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ailedav\AppData\Local\Research\ModelPublishing\SubmittedModels\"/>
    </mc:Choice>
  </mc:AlternateContent>
  <xr:revisionPtr revIDLastSave="0" documentId="8_{0D83128E-0FC3-430A-9E49-458384D77784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ImportantDisclosures" sheetId="493" r:id="rId1"/>
    <sheet name="Fin Sum" sheetId="9" r:id="rId2"/>
    <sheet name="DCF tables" sheetId="488" r:id="rId3"/>
    <sheet name="Model" sheetId="2" r:id="rId4"/>
    <sheet name="Segment" sheetId="4" r:id="rId5"/>
    <sheet name="Assumptions" sheetId="3" r:id="rId6"/>
    <sheet name="IndexInformation" sheetId="494" r:id="rId7"/>
    <sheet name="ModPubIndex" sheetId="495" r:id="rId8"/>
  </sheets>
  <externalReferences>
    <externalReference r:id="rId9"/>
    <externalReference r:id="rId10"/>
    <externalReference r:id="rId11"/>
  </externalReferences>
  <definedNames>
    <definedName name="__FDS_HYPERLINK_TOGGLE_STATE__" hidden="1">"ON"</definedName>
    <definedName name="_Order1" hidden="1">0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nscount" hidden="1">1</definedName>
    <definedName name="AS2DocOpenMode" hidden="1">"AS2DocumentEdit"</definedName>
    <definedName name="B_CA_PPE_H1_00">Model!$AX$242</definedName>
    <definedName name="B_CA_PPE_H1_01">Model!$BA$242</definedName>
    <definedName name="B_CA_PPE_H1_02">Model!$BD$242</definedName>
    <definedName name="B_CA_PPE_H1_03">Model!$BG$242</definedName>
    <definedName name="B_CA_PPE_H1_04">Model!$BJ$242</definedName>
    <definedName name="B_CA_PPE_H1_05">Model!$BM$242</definedName>
    <definedName name="B_CA_PPE_H1_06">Model!$BP$242</definedName>
    <definedName name="B_CA_PPE_H1_07">Model!$BS$242</definedName>
    <definedName name="B_CA_PPE_H1_08">Model!$BV$242</definedName>
    <definedName name="B_CA_PPE_H1_09">Model!$BY$242</definedName>
    <definedName name="B_CA_PPE_H1_10">Model!$CB$242</definedName>
    <definedName name="B_CA_PPE_H1_11">Model!$CE$242</definedName>
    <definedName name="B_CA_PPE_H1_12">Model!$CH$242</definedName>
    <definedName name="B_CA_PPE_H1_13">Model!$CK$242</definedName>
    <definedName name="B_CA_PPE_H1_14">Model!$CN$242</definedName>
    <definedName name="B_CA_PPE_H1_15">Model!$CQ$242</definedName>
    <definedName name="B_CA_PPE_H1_16">Model!$CT$242</definedName>
    <definedName name="B_CA_PPE_H1_17">Model!$CW$242</definedName>
    <definedName name="B_CA_PPE_H1_18">Model!$CZ$242</definedName>
    <definedName name="B_CA_PPE_H1_19">Model!$DC$242</definedName>
    <definedName name="B_CA_PPE_H1_20">Model!$DF$242</definedName>
    <definedName name="B_CA_PPE_H2_00">Model!$AY$242</definedName>
    <definedName name="B_CA_PPE_H2_01">Model!$BB$242</definedName>
    <definedName name="B_CA_PPE_H2_02">Model!$BE$242</definedName>
    <definedName name="B_CA_PPE_H2_03">Model!$BH$242</definedName>
    <definedName name="B_CA_PPE_H2_04">Model!$BK$242</definedName>
    <definedName name="B_CA_PPE_H2_05">Model!$BN$242</definedName>
    <definedName name="B_CA_PPE_H2_06">Model!$BQ$242</definedName>
    <definedName name="B_CA_PPE_H2_07">Model!$BT$242</definedName>
    <definedName name="B_CA_PPE_H2_08">Model!$BW$242</definedName>
    <definedName name="B_CA_PPE_H2_09">Model!$BZ$242</definedName>
    <definedName name="B_CA_PPE_H2_10">Model!$CC$242</definedName>
    <definedName name="B_CA_PPE_H2_11">Model!$CF$242</definedName>
    <definedName name="B_CA_PPE_H2_12">Model!$CI$242</definedName>
    <definedName name="B_CA_PPE_H2_13">Model!$CL$242</definedName>
    <definedName name="B_CA_PPE_H2_14">Model!$CO$242</definedName>
    <definedName name="B_CA_PPE_H2_15">Model!$CR$242</definedName>
    <definedName name="B_CA_PPE_H2_16">Model!$CU$242</definedName>
    <definedName name="B_CA_PPE_H2_17">Model!$CX$242</definedName>
    <definedName name="B_CA_PPE_H2_18">Model!$DA$242</definedName>
    <definedName name="B_CA_PPE_H2_19">Model!$DD$242</definedName>
    <definedName name="B_CA_PPE_H2_20">Model!$DG$242</definedName>
    <definedName name="B_CB_00">Model!$AZ$269</definedName>
    <definedName name="B_CB_01">Model!$BC$269</definedName>
    <definedName name="B_CB_02">Model!$BF$269</definedName>
    <definedName name="B_CB_03">Model!$BI$269</definedName>
    <definedName name="B_CB_04">Model!$BL$269</definedName>
    <definedName name="B_CB_05">Model!$BO$269</definedName>
    <definedName name="B_CB_06">Model!$BR$269</definedName>
    <definedName name="B_CB_07">Model!$BU$269</definedName>
    <definedName name="B_CB_08">Model!$BX$269</definedName>
    <definedName name="B_CB_09">Model!$CA$269</definedName>
    <definedName name="B_CB_10">Model!$CD$269</definedName>
    <definedName name="B_CB_11">Model!$CG$269</definedName>
    <definedName name="B_CB_12">Model!$CJ$269</definedName>
    <definedName name="B_CB_13">Model!$CM$269</definedName>
    <definedName name="B_CB_14">Model!$CP$269</definedName>
    <definedName name="B_CB_15">Model!$CS$269</definedName>
    <definedName name="B_CB_16">Model!$CV$269</definedName>
    <definedName name="B_CB_17">Model!$CY$269</definedName>
    <definedName name="B_CB_18">Model!$DB$269</definedName>
    <definedName name="B_CB_19">Model!$DE$269</definedName>
    <definedName name="B_CB_20">Model!$DH$269</definedName>
    <definedName name="B_CB_95">Model!$AK$269</definedName>
    <definedName name="B_CB_96">Model!$AN$269</definedName>
    <definedName name="B_CB_97">Model!$AQ$269</definedName>
    <definedName name="B_CB_98">Model!$AT$269</definedName>
    <definedName name="B_CB_99">Model!$AW$269</definedName>
    <definedName name="B_CL_AP_00">Model!$AZ$266</definedName>
    <definedName name="B_CL_AP_01">Model!$BC$266</definedName>
    <definedName name="B_CL_AP_02">Model!$BF$266</definedName>
    <definedName name="B_CL_AP_03">Model!$BI$266</definedName>
    <definedName name="B_CL_AP_04">Model!$BL$266</definedName>
    <definedName name="B_CL_AP_05">Model!$BO$266</definedName>
    <definedName name="B_CL_AP_06">Model!$BR$266</definedName>
    <definedName name="B_CL_AP_07">Model!$BU$266</definedName>
    <definedName name="B_CL_AP_08">Model!$BX$266</definedName>
    <definedName name="B_CL_AP_09">Model!$CA$266</definedName>
    <definedName name="B_CL_AP_10">Model!$CD$266</definedName>
    <definedName name="B_CL_AP_11">Model!$CG$266</definedName>
    <definedName name="B_CL_AP_12">Model!$CJ$266</definedName>
    <definedName name="B_CL_AP_13">Model!$CM$266</definedName>
    <definedName name="B_CL_AP_14">Model!$CP$266</definedName>
    <definedName name="B_CL_AP_15">Model!$CS$266</definedName>
    <definedName name="B_CL_AP_16">Model!$CV$266</definedName>
    <definedName name="B_CL_AP_17">Model!$CY$266</definedName>
    <definedName name="B_CL_AP_18">Model!$DB$266</definedName>
    <definedName name="B_CL_AP_19">Model!$DE$266</definedName>
    <definedName name="B_CL_AP_20">Model!$DH$266</definedName>
    <definedName name="B_CL_AP_H1_00">Model!$AX$266</definedName>
    <definedName name="B_CL_AP_H1_01">Model!$BA$266</definedName>
    <definedName name="B_CL_AP_H1_02">Model!$BD$266</definedName>
    <definedName name="B_CL_AP_H1_03">Model!$BG$266</definedName>
    <definedName name="B_CL_AP_H1_04">Model!$BJ$266</definedName>
    <definedName name="B_CL_AP_H1_05">Model!$BM$266</definedName>
    <definedName name="B_CL_AP_H1_06">Model!$BP$266</definedName>
    <definedName name="B_CL_AP_H1_07">Model!$BS$266</definedName>
    <definedName name="B_CL_AP_H1_08">Model!$BV$266</definedName>
    <definedName name="B_CL_AP_H1_09">Model!$BY$266</definedName>
    <definedName name="B_CL_AP_H1_10">Model!$CB$266</definedName>
    <definedName name="B_CL_AP_H1_11">Model!$CE$266</definedName>
    <definedName name="B_CL_AP_H1_12">Model!$CH$266</definedName>
    <definedName name="B_CL_AP_H1_13">Model!$CK$266</definedName>
    <definedName name="B_CL_AP_H1_14">Model!$CN$266</definedName>
    <definedName name="B_CL_AP_H1_15">Model!$CQ$266</definedName>
    <definedName name="B_CL_AP_H1_16">Model!$CT$266</definedName>
    <definedName name="B_CL_AP_H1_17">Model!$CW$266</definedName>
    <definedName name="B_CL_AP_H1_18">Model!$CZ$266</definedName>
    <definedName name="B_CL_AP_H1_19">Model!$DC$266</definedName>
    <definedName name="B_CL_AP_H1_20">Model!$DF$266</definedName>
    <definedName name="B_CL_AP_H2_00">Model!$AY$266</definedName>
    <definedName name="B_CL_AP_H2_01">Model!$BB$266</definedName>
    <definedName name="B_CL_AP_H2_02">Model!$BE$266</definedName>
    <definedName name="B_CL_AP_H2_03">Model!$BH$266</definedName>
    <definedName name="B_CL_AP_H2_04">Model!$BK$266</definedName>
    <definedName name="B_CL_AP_H2_05">Model!$BN$266</definedName>
    <definedName name="B_CL_AP_H2_06">Model!$BQ$266</definedName>
    <definedName name="B_CL_AP_H2_07">Model!$BT$266</definedName>
    <definedName name="B_CL_AP_H2_08">Model!$BW$266</definedName>
    <definedName name="B_CL_AP_H2_09">Model!$BZ$266</definedName>
    <definedName name="B_CL_AP_H2_10">Model!$CC$266</definedName>
    <definedName name="B_CL_AP_H2_11">Model!$CF$266</definedName>
    <definedName name="B_CL_AP_H2_12">Model!$CI$266</definedName>
    <definedName name="B_CL_AP_H2_13">Model!$CL$266</definedName>
    <definedName name="B_CL_AP_H2_14">Model!$CO$266</definedName>
    <definedName name="B_CL_AP_H2_15">Model!$CR$266</definedName>
    <definedName name="B_CL_AP_H2_16">Model!$CU$266</definedName>
    <definedName name="B_CL_AP_H2_17">Model!$CX$266</definedName>
    <definedName name="B_CL_AP_H2_18">Model!$DA$266</definedName>
    <definedName name="B_CL_AP_H2_19">Model!$DD$266</definedName>
    <definedName name="B_CL_AP_H2_20">Model!$DG$266</definedName>
    <definedName name="B_CL_Con_Notes_00">Model!$AZ$271</definedName>
    <definedName name="B_CL_Con_Notes_01">Model!$BC$271</definedName>
    <definedName name="B_CL_Con_Notes_02">Model!$BF$271</definedName>
    <definedName name="B_CL_Con_Notes_03">Model!$BI$271</definedName>
    <definedName name="B_CL_Con_Notes_04">Model!$BL$271</definedName>
    <definedName name="B_CL_Con_Notes_05">Model!$BO$271</definedName>
    <definedName name="B_CL_Con_Notes_06">Model!$BR$271</definedName>
    <definedName name="B_CL_Con_Notes_07">Model!$BU$271</definedName>
    <definedName name="B_CL_Con_Notes_08">Model!$BX$271</definedName>
    <definedName name="B_CL_Con_Notes_09">Model!$CA$271</definedName>
    <definedName name="B_CL_Con_Notes_10">Model!$CD$271</definedName>
    <definedName name="B_CL_Con_Notes_11">Model!$CG$271</definedName>
    <definedName name="B_CL_Con_Notes_12">Model!$CJ$271</definedName>
    <definedName name="B_CL_Con_Notes_13">Model!$CM$271</definedName>
    <definedName name="B_CL_Con_Notes_14">Model!$CP$271</definedName>
    <definedName name="B_CL_Con_Notes_15">Model!$CS$271</definedName>
    <definedName name="B_CL_Con_Notes_16">Model!$CV$271</definedName>
    <definedName name="B_CL_Con_Notes_17">Model!$CY$271</definedName>
    <definedName name="B_CL_Con_Notes_18">Model!$DB$271</definedName>
    <definedName name="B_CL_Con_Notes_19">Model!$DE$271</definedName>
    <definedName name="B_CL_Con_Notes_20">Model!$DH$271</definedName>
    <definedName name="B_CL_Con_Notes_H1_00">Model!$AX$271</definedName>
    <definedName name="B_CL_Con_Notes_H1_01">Model!$BA$271</definedName>
    <definedName name="B_CL_Con_Notes_H1_02">Model!$BD$271</definedName>
    <definedName name="B_CL_Con_Notes_H1_03">Model!$BG$271</definedName>
    <definedName name="B_CL_Con_Notes_H1_04">Model!$BJ$271</definedName>
    <definedName name="B_CL_Con_Notes_H1_05">Model!$BM$271</definedName>
    <definedName name="B_CL_Con_Notes_H1_06">Model!$BP$271</definedName>
    <definedName name="B_CL_Con_Notes_H1_07">Model!$BS$271</definedName>
    <definedName name="B_CL_Con_Notes_H1_08">Model!$BV$271</definedName>
    <definedName name="B_CL_Con_Notes_H1_09">Model!$BY$271</definedName>
    <definedName name="B_CL_Con_Notes_H1_10">Model!$CB$271</definedName>
    <definedName name="B_CL_Con_Notes_H1_11">Model!$CE$271</definedName>
    <definedName name="B_CL_Con_Notes_H1_12">Model!$CH$271</definedName>
    <definedName name="B_CL_Con_Notes_H1_13">Model!$CK$271</definedName>
    <definedName name="B_CL_Con_Notes_H1_14">Model!$CN$271</definedName>
    <definedName name="B_CL_Con_Notes_H1_15">Model!$CQ$271</definedName>
    <definedName name="B_CL_Con_Notes_H1_16">Model!$CT$271</definedName>
    <definedName name="B_CL_Con_Notes_H1_17">Model!$CW$271</definedName>
    <definedName name="B_CL_Con_Notes_H1_18">Model!$CZ$271</definedName>
    <definedName name="B_CL_Con_Notes_H1_19">Model!$DC$271</definedName>
    <definedName name="B_CL_Con_Notes_H1_20">Model!$DF$271</definedName>
    <definedName name="B_CL_Con_Notes_H2_00">Model!$AY$271</definedName>
    <definedName name="B_CL_Con_Notes_H2_01">Model!$BB$271</definedName>
    <definedName name="B_CL_Con_Notes_H2_02">Model!$BE$271</definedName>
    <definedName name="B_CL_Con_Notes_H2_03">Model!$BH$271</definedName>
    <definedName name="B_CL_Con_Notes_H2_04">Model!$BK$271</definedName>
    <definedName name="B_CL_Con_Notes_H2_05">Model!$BN$271</definedName>
    <definedName name="B_CL_Con_Notes_H2_06">Model!$BQ$271</definedName>
    <definedName name="B_CL_Con_Notes_H2_07">Model!$BT$271</definedName>
    <definedName name="B_CL_Con_Notes_H2_08">Model!$BW$271</definedName>
    <definedName name="B_CL_Con_Notes_H2_09">Model!$BZ$271</definedName>
    <definedName name="B_CL_Con_Notes_H2_10">Model!$CC$271</definedName>
    <definedName name="B_CL_Con_Notes_H2_11">Model!$CF$271</definedName>
    <definedName name="B_CL_Con_Notes_H2_12">Model!$CI$271</definedName>
    <definedName name="B_CL_Con_Notes_H2_13">Model!$CL$271</definedName>
    <definedName name="B_CL_Con_Notes_H2_14">Model!$CO$271</definedName>
    <definedName name="B_CL_Con_Notes_H2_15">Model!$CR$271</definedName>
    <definedName name="B_CL_Con_Notes_H2_16">Model!$CU$271</definedName>
    <definedName name="B_CL_Con_Notes_H2_17">Model!$CX$271</definedName>
    <definedName name="B_CL_Con_Notes_H2_18">Model!$DA$271</definedName>
    <definedName name="B_CL_Con_Notes_H2_19">Model!$DD$271</definedName>
    <definedName name="B_CL_Con_Notes_H2_20">Model!$DG$271</definedName>
    <definedName name="B_CL_Div_00">Model!$AZ$277</definedName>
    <definedName name="B_CL_Div_01">Model!$BC$277</definedName>
    <definedName name="B_CL_Div_02">Model!$BF$277</definedName>
    <definedName name="B_CL_Div_03">Model!$BI$277</definedName>
    <definedName name="B_CL_Div_04">Model!$BL$277</definedName>
    <definedName name="B_CL_Div_05">Model!$BO$277</definedName>
    <definedName name="B_CL_Div_06">Model!$BR$277</definedName>
    <definedName name="B_CL_Div_07">Model!$BU$277</definedName>
    <definedName name="B_CL_Div_08">Model!$BX$277</definedName>
    <definedName name="B_CL_Div_09">Model!$CA$277</definedName>
    <definedName name="B_CL_Div_10">Model!$CD$277</definedName>
    <definedName name="B_CL_Div_11">Model!$CG$277</definedName>
    <definedName name="B_CL_Div_12">Model!$CJ$277</definedName>
    <definedName name="B_CL_Div_13">Model!$CM$277</definedName>
    <definedName name="B_CL_Div_14">Model!$CP$277</definedName>
    <definedName name="B_CL_Div_15">Model!$CS$277</definedName>
    <definedName name="B_CL_Div_16">Model!$CV$277</definedName>
    <definedName name="B_CL_Div_17">Model!$CY$277</definedName>
    <definedName name="B_CL_Div_18">Model!$DB$277</definedName>
    <definedName name="B_CL_Div_19">Model!$DE$277</definedName>
    <definedName name="B_CL_Div_20">Model!$DH$277</definedName>
    <definedName name="B_CL_Div_H1_00">Model!$AX$277</definedName>
    <definedName name="B_CL_Div_H1_01">Model!$BA$277</definedName>
    <definedName name="B_CL_Div_H1_02">Model!$BD$277</definedName>
    <definedName name="B_CL_Div_H1_03">Model!$BG$277</definedName>
    <definedName name="B_CL_Div_H1_04">Model!$BJ$277</definedName>
    <definedName name="B_CL_Div_H1_05">Model!$BM$277</definedName>
    <definedName name="B_CL_Div_H1_06">Model!$BP$277</definedName>
    <definedName name="B_CL_Div_H1_07">Model!$BS$277</definedName>
    <definedName name="B_CL_Div_H1_08">Model!$BV$277</definedName>
    <definedName name="B_CL_Div_H1_09">Model!$BY$277</definedName>
    <definedName name="B_CL_Div_H1_10">Model!$CB$277</definedName>
    <definedName name="B_CL_Div_H1_11">Model!$CE$277</definedName>
    <definedName name="B_CL_Div_H1_12">Model!$CH$277</definedName>
    <definedName name="B_CL_Div_H1_13">Model!$CK$277</definedName>
    <definedName name="B_CL_Div_H1_14">Model!$CN$277</definedName>
    <definedName name="B_CL_Div_H1_15">Model!$CQ$277</definedName>
    <definedName name="B_CL_Div_H1_16">Model!$CT$277</definedName>
    <definedName name="B_CL_Div_H1_17">Model!$CW$277</definedName>
    <definedName name="B_CL_Div_H1_18">Model!$CZ$277</definedName>
    <definedName name="B_CL_Div_H1_19">Model!$DC$277</definedName>
    <definedName name="B_CL_Div_H1_20">Model!$DF$277</definedName>
    <definedName name="B_CL_Div_H2_00">Model!$AY$277</definedName>
    <definedName name="B_CL_Div_H2_01">Model!$BB$277</definedName>
    <definedName name="B_CL_Div_H2_02">Model!$BE$277</definedName>
    <definedName name="B_CL_Div_H2_03">Model!$BH$277</definedName>
    <definedName name="B_CL_Div_H2_04">Model!$BK$277</definedName>
    <definedName name="B_CL_Div_H2_05">Model!$BN$277</definedName>
    <definedName name="B_CL_Div_H2_06">Model!$BQ$277</definedName>
    <definedName name="B_CL_Div_H2_07">Model!$BT$277</definedName>
    <definedName name="B_CL_Div_H2_08">Model!$BW$277</definedName>
    <definedName name="B_CL_Div_H2_09">Model!$BZ$277</definedName>
    <definedName name="B_CL_Div_H2_10">Model!$CC$277</definedName>
    <definedName name="B_CL_Div_H2_11">Model!$CF$277</definedName>
    <definedName name="B_CL_Div_H2_12">Model!$CI$277</definedName>
    <definedName name="B_CL_Div_H2_13">Model!$CL$277</definedName>
    <definedName name="B_CL_Div_H2_14">Model!$CO$277</definedName>
    <definedName name="B_CL_Div_H2_15">Model!$CR$277</definedName>
    <definedName name="B_CL_Div_H2_16">Model!$CU$277</definedName>
    <definedName name="B_CL_Div_H2_17">Model!$CX$277</definedName>
    <definedName name="B_CL_Div_H2_18">Model!$DA$277</definedName>
    <definedName name="B_CL_Div_H2_19">Model!$DD$277</definedName>
    <definedName name="B_CL_Div_H2_20">Model!$DG$277</definedName>
    <definedName name="B_CL_Eent_00">Model!$AZ$279</definedName>
    <definedName name="B_CL_Eent_01">Model!$BC$279</definedName>
    <definedName name="B_CL_Eent_02">Model!$BF$279</definedName>
    <definedName name="B_CL_Eent_03">Model!$BI$279</definedName>
    <definedName name="B_CL_Eent_04">Model!$BL$279</definedName>
    <definedName name="B_CL_Eent_05">Model!$BO$279</definedName>
    <definedName name="B_CL_Eent_06">Model!$BR$279</definedName>
    <definedName name="B_CL_Eent_07">Model!$BU$279</definedName>
    <definedName name="B_CL_Eent_08">Model!$BX$279</definedName>
    <definedName name="B_CL_Eent_09">Model!$CA$279</definedName>
    <definedName name="B_CL_Eent_10">Model!$CD$279</definedName>
    <definedName name="B_CL_Eent_11">Model!$CG$279</definedName>
    <definedName name="B_CL_Eent_12">Model!$CJ$279</definedName>
    <definedName name="B_CL_Eent_13">Model!$CM$279</definedName>
    <definedName name="B_CL_Eent_14">Model!$CP$279</definedName>
    <definedName name="B_CL_Eent_15">Model!$CS$279</definedName>
    <definedName name="B_CL_Eent_16">Model!$CV$279</definedName>
    <definedName name="B_CL_Eent_17">Model!$CY$279</definedName>
    <definedName name="B_CL_Eent_18">Model!$DB$279</definedName>
    <definedName name="B_CL_Eent_19">Model!$DE$279</definedName>
    <definedName name="B_CL_Eent_20">Model!$DH$279</definedName>
    <definedName name="B_CL_Eent_H1_00">Model!$AX$279</definedName>
    <definedName name="B_CL_Eent_H1_01">Model!$BA$279</definedName>
    <definedName name="B_CL_Eent_H1_02">Model!$BD$279</definedName>
    <definedName name="B_CL_Eent_H1_03">Model!$BG$279</definedName>
    <definedName name="B_CL_Eent_H1_04">Model!$BJ$279</definedName>
    <definedName name="B_CL_Eent_H1_05">Model!$BM$279</definedName>
    <definedName name="B_CL_Eent_H1_06">Model!$BP$279</definedName>
    <definedName name="B_CL_Eent_H1_07">Model!$BS$279</definedName>
    <definedName name="B_CL_Eent_H1_08">Model!$BV$279</definedName>
    <definedName name="B_CL_Eent_H1_09">Model!$BY$279</definedName>
    <definedName name="B_CL_Eent_H1_10">Model!$CB$279</definedName>
    <definedName name="B_CL_Eent_H1_11">Model!$CE$279</definedName>
    <definedName name="B_CL_Eent_H1_12">Model!$CH$279</definedName>
    <definedName name="B_CL_Eent_H1_13">Model!$CK$279</definedName>
    <definedName name="B_CL_Eent_H1_14">Model!$CN$279</definedName>
    <definedName name="B_CL_Eent_H1_15">Model!$CQ$279</definedName>
    <definedName name="B_CL_Eent_H1_16">Model!$CT$279</definedName>
    <definedName name="B_CL_Eent_H1_17">Model!$CW$279</definedName>
    <definedName name="B_CL_Eent_H1_18">Model!$CZ$279</definedName>
    <definedName name="B_CL_Eent_H1_19">Model!$DC$279</definedName>
    <definedName name="B_CL_Eent_H1_20">Model!$DF$279</definedName>
    <definedName name="B_CL_Eent_H2_00">Model!$AY$279</definedName>
    <definedName name="B_CL_Eent_H2_01">Model!$BB$279</definedName>
    <definedName name="B_CL_Eent_H2_02">Model!$BE$279</definedName>
    <definedName name="B_CL_Eent_H2_03">Model!$BH$279</definedName>
    <definedName name="B_CL_Eent_H2_04">Model!$BK$279</definedName>
    <definedName name="B_CL_Eent_H2_05">Model!$BN$279</definedName>
    <definedName name="B_CL_Eent_H2_06">Model!$BQ$279</definedName>
    <definedName name="B_CL_Eent_H2_07">Model!$BT$279</definedName>
    <definedName name="B_CL_Eent_H2_08">Model!$BW$279</definedName>
    <definedName name="B_CL_Eent_H2_09">Model!$BZ$279</definedName>
    <definedName name="B_CL_Eent_H2_10">Model!$CC$279</definedName>
    <definedName name="B_CL_Eent_H2_11">Model!$CF$279</definedName>
    <definedName name="B_CL_Eent_H2_12">Model!$CI$279</definedName>
    <definedName name="B_CL_Eent_H2_13">Model!$CL$279</definedName>
    <definedName name="B_CL_Eent_H2_14">Model!$CO$279</definedName>
    <definedName name="B_CL_Eent_H2_15">Model!$CR$279</definedName>
    <definedName name="B_CL_Eent_H2_16">Model!$CU$279</definedName>
    <definedName name="B_CL_Eent_H2_17">Model!$CX$279</definedName>
    <definedName name="B_CL_Eent_H2_18">Model!$DA$279</definedName>
    <definedName name="B_CL_Eent_H2_19">Model!$DD$279</definedName>
    <definedName name="B_CL_Eent_H2_20">Model!$DG$279</definedName>
    <definedName name="B_CL_IBDebt_00">Model!$AZ$272</definedName>
    <definedName name="B_CL_IBDebt_01">Model!$BC$272</definedName>
    <definedName name="B_CL_IBDebt_02">Model!$BF$272</definedName>
    <definedName name="B_CL_IBDebt_03">Model!$BI$272</definedName>
    <definedName name="B_CL_IBDebt_04">Model!$BL$272</definedName>
    <definedName name="B_CL_IBDebt_05">Model!$BO$272</definedName>
    <definedName name="B_CL_IBDebt_06">Model!$BR$272</definedName>
    <definedName name="B_CL_IBDebt_07">Model!$BU$272</definedName>
    <definedName name="B_CL_IBDebt_08">Model!$BX$272</definedName>
    <definedName name="B_CL_IBDebt_09">Model!$CA$272</definedName>
    <definedName name="B_CL_IBDebt_10">Model!$CD$272</definedName>
    <definedName name="B_CL_IBDebt_11">Model!$CG$272</definedName>
    <definedName name="B_CL_IBDebt_12">Model!$CJ$272</definedName>
    <definedName name="B_CL_IBDebt_13">Model!$CM$272</definedName>
    <definedName name="B_CL_IBDebt_14">Model!$CP$272</definedName>
    <definedName name="B_CL_IBDebt_15">Model!$CS$272</definedName>
    <definedName name="B_CL_IBDebt_16">Model!$CV$272</definedName>
    <definedName name="B_CL_IBDebt_17">Model!$CY$272</definedName>
    <definedName name="B_CL_IBDebt_18">Model!$DB$272</definedName>
    <definedName name="B_CL_IBDebt_19">Model!$DE$272</definedName>
    <definedName name="B_CL_IBDebt_20">Model!$DH$272</definedName>
    <definedName name="B_CL_IBDebt_H1_00">Model!$AX$272</definedName>
    <definedName name="B_CL_IBDebt_H1_01">Model!$BA$272</definedName>
    <definedName name="B_CL_IBDebt_H1_02">Model!$BD$272</definedName>
    <definedName name="B_CL_IBDebt_H1_03">Model!$BG$272</definedName>
    <definedName name="B_CL_IBDebt_H1_04">Model!$BJ$272</definedName>
    <definedName name="B_CL_IBDebt_H1_05">Model!$BM$272</definedName>
    <definedName name="B_CL_IBDebt_H1_06">Model!$BP$272</definedName>
    <definedName name="B_CL_IBDebt_H1_07">Model!$BS$272</definedName>
    <definedName name="B_CL_IBDebt_H1_08">Model!$BV$272</definedName>
    <definedName name="B_CL_IBDebt_H1_09">Model!$BY$272</definedName>
    <definedName name="B_CL_IBDebt_H1_10">Model!$CB$272</definedName>
    <definedName name="B_CL_IBDebt_H1_11">Model!$CE$272</definedName>
    <definedName name="B_CL_IBDebt_H1_12">Model!$CH$272</definedName>
    <definedName name="B_CL_IBDebt_H1_13">Model!$CK$272</definedName>
    <definedName name="B_CL_IBDebt_H1_14">Model!$CN$272</definedName>
    <definedName name="B_CL_IBDebt_H1_15">Model!$CQ$272</definedName>
    <definedName name="B_CL_IBDebt_H1_16">Model!$CT$272</definedName>
    <definedName name="B_CL_IBDebt_H1_17">Model!$CW$272</definedName>
    <definedName name="B_CL_IBDebt_H1_18">Model!$CZ$272</definedName>
    <definedName name="B_CL_IBDebt_H1_19">Model!$DC$272</definedName>
    <definedName name="B_CL_IBDebt_H1_20">Model!$DF$272</definedName>
    <definedName name="B_CL_IBDebt_H2_00">Model!$AY$272</definedName>
    <definedName name="B_CL_IBDebt_H2_01">Model!$BB$272</definedName>
    <definedName name="B_CL_IBDebt_H2_02">Model!$BE$272</definedName>
    <definedName name="B_CL_IBDebt_H2_03">Model!$BH$272</definedName>
    <definedName name="B_CL_IBDebt_H2_04">Model!$BK$272</definedName>
    <definedName name="B_CL_IBDebt_H2_05">Model!$BN$272</definedName>
    <definedName name="B_CL_IBDebt_H2_06">Model!$BQ$272</definedName>
    <definedName name="B_CL_IBDebt_H2_07">Model!$BT$272</definedName>
    <definedName name="B_CL_IBDebt_H2_08">Model!$BW$272</definedName>
    <definedName name="B_CL_IBDebt_H2_09">Model!$BZ$272</definedName>
    <definedName name="B_CL_IBDebt_H2_10">Model!$CC$272</definedName>
    <definedName name="B_CL_IBDebt_H2_11">Model!$CF$272</definedName>
    <definedName name="B_CL_IBDebt_H2_12">Model!$CI$272</definedName>
    <definedName name="B_CL_IBDebt_H2_13">Model!$CL$272</definedName>
    <definedName name="B_CL_IBDebt_H2_14">Model!$CO$272</definedName>
    <definedName name="B_CL_IBDebt_H2_15">Model!$CR$272</definedName>
    <definedName name="B_CL_IBDebt_H2_16">Model!$CU$272</definedName>
    <definedName name="B_CL_IBDebt_H2_17">Model!$CX$272</definedName>
    <definedName name="B_CL_IBDebt_H2_18">Model!$DA$272</definedName>
    <definedName name="B_CL_IBDebt_H2_19">Model!$DD$272</definedName>
    <definedName name="B_CL_IBDebt_H2_20">Model!$DG$272</definedName>
    <definedName name="B_CL_LLiab_00">Model!$AZ$274</definedName>
    <definedName name="B_CL_LLiab_01">Model!$BC$274</definedName>
    <definedName name="B_CL_LLiab_02">Model!$BF$274</definedName>
    <definedName name="B_CL_LLiab_03">Model!$BI$274</definedName>
    <definedName name="B_CL_LLiab_04">Model!$BL$274</definedName>
    <definedName name="B_CL_LLiab_05">Model!$BO$274</definedName>
    <definedName name="B_CL_LLiab_06">Model!$BR$274</definedName>
    <definedName name="B_CL_LLiab_07">Model!$BU$274</definedName>
    <definedName name="B_CL_LLiab_08">Model!$BX$274</definedName>
    <definedName name="B_CL_LLiab_09">Model!$CA$274</definedName>
    <definedName name="B_CL_LLiab_10">Model!$CD$274</definedName>
    <definedName name="B_CL_LLiab_11">Model!$CG$274</definedName>
    <definedName name="B_CL_LLiab_12">Model!$CJ$274</definedName>
    <definedName name="B_CL_LLiab_13">Model!$CM$274</definedName>
    <definedName name="B_CL_LLiab_14">Model!$CP$274</definedName>
    <definedName name="B_CL_LLiab_15">Model!$CS$274</definedName>
    <definedName name="B_CL_LLiab_16">Model!$CV$274</definedName>
    <definedName name="B_CL_LLiab_17">Model!$CY$274</definedName>
    <definedName name="B_CL_LLiab_18">Model!$DB$274</definedName>
    <definedName name="B_CL_LLiab_19">Model!$DE$274</definedName>
    <definedName name="B_CL_LLiab_20">Model!$DH$274</definedName>
    <definedName name="B_CL_LLiab_H1_00">Model!$AX$274</definedName>
    <definedName name="B_CL_LLiab_H1_01">Model!$BA$274</definedName>
    <definedName name="B_CL_LLiab_H1_02">Model!$BD$274</definedName>
    <definedName name="B_CL_LLiab_H1_03">Model!$BG$274</definedName>
    <definedName name="B_CL_LLiab_H1_04">Model!$BJ$274</definedName>
    <definedName name="B_CL_LLiab_H1_05">Model!$BM$274</definedName>
    <definedName name="B_CL_LLiab_H1_06">Model!$BP$274</definedName>
    <definedName name="B_CL_LLiab_H1_07">Model!$BS$274</definedName>
    <definedName name="B_CL_LLiab_H1_08">Model!$BV$274</definedName>
    <definedName name="B_CL_LLiab_H1_09">Model!$BY$274</definedName>
    <definedName name="B_CL_LLiab_H1_10">Model!$CB$274</definedName>
    <definedName name="B_CL_LLiab_H1_11">Model!$CE$274</definedName>
    <definedName name="B_CL_LLiab_H1_12">Model!$CH$274</definedName>
    <definedName name="B_CL_LLiab_H1_13">Model!$CK$274</definedName>
    <definedName name="B_CL_LLiab_H1_14">Model!$CN$274</definedName>
    <definedName name="B_CL_LLiab_H1_15">Model!$CQ$274</definedName>
    <definedName name="B_CL_LLiab_H1_16">Model!$CT$274</definedName>
    <definedName name="B_CL_LLiab_H1_17">Model!$CW$274</definedName>
    <definedName name="B_CL_LLiab_H1_18">Model!$CZ$274</definedName>
    <definedName name="B_CL_LLiab_H1_19">Model!$DC$274</definedName>
    <definedName name="B_CL_LLiab_H1_20">Model!$DF$274</definedName>
    <definedName name="B_CL_LLiab_H2_00">Model!$AY$274</definedName>
    <definedName name="B_CL_LLiab_H2_01">Model!$BB$274</definedName>
    <definedName name="B_CL_LLiab_H2_02">Model!$BE$274</definedName>
    <definedName name="B_CL_LLiab_H2_03">Model!$BH$274</definedName>
    <definedName name="B_CL_LLiab_H2_04">Model!$BK$274</definedName>
    <definedName name="B_CL_LLiab_H2_05">Model!$BN$274</definedName>
    <definedName name="B_CL_LLiab_H2_06">Model!$BQ$274</definedName>
    <definedName name="B_CL_LLiab_H2_07">Model!$BT$274</definedName>
    <definedName name="B_CL_LLiab_H2_08">Model!$BW$274</definedName>
    <definedName name="B_CL_LLiab_H2_09">Model!$BZ$274</definedName>
    <definedName name="B_CL_LLiab_H2_10">Model!$CC$274</definedName>
    <definedName name="B_CL_LLiab_H2_11">Model!$CF$274</definedName>
    <definedName name="B_CL_LLiab_H2_12">Model!$CI$274</definedName>
    <definedName name="B_CL_LLiab_H2_13">Model!$CL$274</definedName>
    <definedName name="B_CL_LLiab_H2_14">Model!$CO$274</definedName>
    <definedName name="B_CL_LLiab_H2_15">Model!$CR$274</definedName>
    <definedName name="B_CL_LLiab_H2_16">Model!$CU$274</definedName>
    <definedName name="B_CL_LLiab_H2_17">Model!$CX$274</definedName>
    <definedName name="B_CL_LLiab_H2_18">Model!$DA$274</definedName>
    <definedName name="B_CL_LLiab_H2_19">Model!$DD$274</definedName>
    <definedName name="B_CL_LLiab_H2_20">Model!$DG$274</definedName>
    <definedName name="B_CL_NIBDebt_00">Model!$AZ$269</definedName>
    <definedName name="B_CL_NIBDebt_01">Model!$BC$269</definedName>
    <definedName name="B_CL_NIBDebt_02">Model!$BF$269</definedName>
    <definedName name="B_CL_NIBDebt_03">Model!$BI$269</definedName>
    <definedName name="B_CL_NIBDebt_04">Model!$BL$269</definedName>
    <definedName name="B_CL_NIBDebt_05">Model!$BO$269</definedName>
    <definedName name="B_CL_NIBDebt_06">Model!$BR$269</definedName>
    <definedName name="B_CL_NIBDebt_07">Model!$BU$269</definedName>
    <definedName name="B_CL_NIBDebt_08">Model!$BX$269</definedName>
    <definedName name="B_CL_NIBDebt_09">Model!$CA$269</definedName>
    <definedName name="B_CL_NIBDebt_10">Model!$CD$269</definedName>
    <definedName name="B_CL_NIBDebt_11">Model!$CG$269</definedName>
    <definedName name="B_CL_NIBDebt_12">Model!$CJ$269</definedName>
    <definedName name="B_CL_NIBDebt_13">Model!$CM$269</definedName>
    <definedName name="B_CL_NIBDebt_14">Model!$CP$269</definedName>
    <definedName name="B_CL_NIBDebt_15">Model!$CS$269</definedName>
    <definedName name="B_CL_NIBDebt_16">Model!$CV$269</definedName>
    <definedName name="B_CL_NIBDebt_17">Model!$CY$269</definedName>
    <definedName name="B_CL_NIBDebt_18">Model!$DB$269</definedName>
    <definedName name="B_CL_NIBDebt_19">Model!$DE$269</definedName>
    <definedName name="B_CL_NIBDebt_20">Model!$DH$275</definedName>
    <definedName name="B_CL_NIBDebt_H1_00">Model!$AX$269</definedName>
    <definedName name="B_CL_NIBDebt_H1_01">Model!$BA$269</definedName>
    <definedName name="B_CL_NIBDebt_H1_02">Model!$BD$269</definedName>
    <definedName name="B_CL_NIBDebt_H1_03">Model!$BG$269</definedName>
    <definedName name="B_CL_NIBDebt_H1_04">Model!$BJ$269</definedName>
    <definedName name="B_CL_NIBDebt_H1_05">Model!$BM$269</definedName>
    <definedName name="B_CL_NIBDebt_H1_06">Model!$BP$269</definedName>
    <definedName name="B_CL_NIBDebt_H1_07">Model!$BS$269</definedName>
    <definedName name="B_CL_NIBDebt_H1_08">Model!$BV$269</definedName>
    <definedName name="B_CL_NIBDebt_H1_09">Model!$BY$269</definedName>
    <definedName name="B_CL_NIBDebt_H1_10">Model!$CB$269</definedName>
    <definedName name="B_CL_NIBDebt_H1_11">Model!$CE$269</definedName>
    <definedName name="B_CL_NIBDebt_H1_12">Model!$CH$269</definedName>
    <definedName name="B_CL_NIBDebt_H1_13">Model!$CK$269</definedName>
    <definedName name="B_CL_NIBDebt_H1_14">Model!$CN$269</definedName>
    <definedName name="B_CL_NIBDebt_H1_15">Model!$CQ$269</definedName>
    <definedName name="B_CL_NIBDebt_H1_16">Model!$CT$269</definedName>
    <definedName name="B_CL_NIBDebt_H1_17">Model!$CW$269</definedName>
    <definedName name="B_CL_NIBDebt_H1_18">Model!$CZ$269</definedName>
    <definedName name="B_CL_NIBDebt_H1_19">Model!$DC$269</definedName>
    <definedName name="B_CL_NIBDebt_H1_20">Model!$DF$275</definedName>
    <definedName name="B_CL_NIBDebt_H2_00">Model!$AY$269</definedName>
    <definedName name="B_CL_NIBDebt_H2_01">Model!$BB$269</definedName>
    <definedName name="B_CL_NIBDebt_H2_02">Model!$BE$269</definedName>
    <definedName name="B_CL_NIBDebt_H2_03">Model!$BH$269</definedName>
    <definedName name="B_CL_NIBDebt_H2_04">Model!$BK$269</definedName>
    <definedName name="B_CL_NIBDebt_H2_05">Model!$BN$269</definedName>
    <definedName name="B_CL_NIBDebt_H2_06">Model!$BQ$269</definedName>
    <definedName name="B_CL_NIBDebt_H2_07">Model!$BT$269</definedName>
    <definedName name="B_CL_NIBDebt_H2_08">Model!$BW$269</definedName>
    <definedName name="B_CL_NIBDebt_H2_09">Model!$BZ$269</definedName>
    <definedName name="B_CL_NIBDebt_H2_10">Model!$CC$269</definedName>
    <definedName name="B_CL_NIBDebt_H2_11">Model!$CF$269</definedName>
    <definedName name="B_CL_NIBDebt_H2_12">Model!$CI$269</definedName>
    <definedName name="B_CL_NIBDebt_H2_13">Model!$CL$269</definedName>
    <definedName name="B_CL_NIBDebt_H2_14">Model!$CO$269</definedName>
    <definedName name="B_CL_NIBDebt_H2_15">Model!$CR$269</definedName>
    <definedName name="B_CL_NIBDebt_H2_16">Model!$CU$269</definedName>
    <definedName name="B_CL_NIBDebt_H2_17">Model!$CX$269</definedName>
    <definedName name="B_CL_NIBDebt_H2_18">Model!$DA$269</definedName>
    <definedName name="B_CL_NIBDebt_H2_19">Model!$DD$269</definedName>
    <definedName name="B_CL_NIBDebt_H2_20">Model!$DG$275</definedName>
    <definedName name="B_CL_Oth_00">Model!$AZ$283</definedName>
    <definedName name="B_CL_Oth_01">Model!$BC$283</definedName>
    <definedName name="B_CL_Oth_02">Model!$BF$283</definedName>
    <definedName name="B_CL_Oth_03">Model!$BI$283</definedName>
    <definedName name="B_CL_Oth_04">Model!$BL$283</definedName>
    <definedName name="B_CL_Oth_05">Model!$BO$283</definedName>
    <definedName name="B_CL_Oth_06">Model!$BR$283</definedName>
    <definedName name="B_CL_Oth_07">Model!$BU$283</definedName>
    <definedName name="B_CL_Oth_08">Model!$BX$283</definedName>
    <definedName name="B_CL_Oth_09">Model!$CA$283</definedName>
    <definedName name="B_CL_Oth_10">Model!$CD$283</definedName>
    <definedName name="B_CL_Oth_11">Model!$CG$283</definedName>
    <definedName name="B_CL_Oth_12">Model!$CJ$283</definedName>
    <definedName name="B_CL_Oth_13">Model!$CM$283</definedName>
    <definedName name="B_CL_Oth_14">Model!$CP$283</definedName>
    <definedName name="B_CL_Oth_15">Model!$CS$283</definedName>
    <definedName name="B_CL_Oth_16">Model!$CV$283</definedName>
    <definedName name="B_CL_Oth_17">Model!$CY$283</definedName>
    <definedName name="B_CL_Oth_18">Model!$DB$283</definedName>
    <definedName name="B_CL_Oth_19">Model!$DE$283</definedName>
    <definedName name="B_CL_Oth_20">Model!$DH$283</definedName>
    <definedName name="B_CL_Oth_H1_00">Model!$AX$283</definedName>
    <definedName name="B_CL_Oth_H1_01">Model!$BA$283</definedName>
    <definedName name="B_CL_Oth_H1_02">Model!$BD$283</definedName>
    <definedName name="B_CL_Oth_H1_03">Model!$BG$283</definedName>
    <definedName name="B_CL_Oth_H1_04">Model!$BJ$283</definedName>
    <definedName name="B_CL_Oth_H1_05">Model!$BM$283</definedName>
    <definedName name="B_CL_Oth_H1_06">Model!$BP$283</definedName>
    <definedName name="B_CL_Oth_H1_07">Model!$BS$283</definedName>
    <definedName name="B_CL_Oth_H1_08">Model!$BV$283</definedName>
    <definedName name="B_CL_Oth_H1_09">Model!$BY$283</definedName>
    <definedName name="B_CL_Oth_H1_10">Model!$CB$283</definedName>
    <definedName name="B_CL_Oth_H1_11">Model!$CE$283</definedName>
    <definedName name="B_CL_Oth_H1_12">Model!$CH$283</definedName>
    <definedName name="B_CL_Oth_H1_13">Model!$CK$283</definedName>
    <definedName name="B_CL_Oth_H1_14">Model!$CN$283</definedName>
    <definedName name="B_CL_Oth_H1_15">Model!$CQ$283</definedName>
    <definedName name="B_CL_Oth_H1_16">Model!$CT$283</definedName>
    <definedName name="B_CL_Oth_H1_17">Model!$CW$283</definedName>
    <definedName name="B_CL_Oth_H1_18">Model!$CZ$283</definedName>
    <definedName name="B_CL_Oth_H1_19">Model!$DC$283</definedName>
    <definedName name="B_CL_Oth_H1_20">Model!$DF$283</definedName>
    <definedName name="B_CL_Oth_H2_00">Model!$AY$283</definedName>
    <definedName name="B_CL_Oth_H2_01">Model!$BB$283</definedName>
    <definedName name="B_CL_Oth_H2_02">Model!$BE$283</definedName>
    <definedName name="B_CL_Oth_H2_03">Model!$BH$283</definedName>
    <definedName name="B_CL_Oth_H2_04">Model!$BK$283</definedName>
    <definedName name="B_CL_Oth_H2_05">Model!$BN$283</definedName>
    <definedName name="B_CL_Oth_H2_06">Model!$BQ$283</definedName>
    <definedName name="B_CL_Oth_H2_07">Model!$BT$283</definedName>
    <definedName name="B_CL_Oth_H2_08">Model!$BW$283</definedName>
    <definedName name="B_CL_Oth_H2_09">Model!$BZ$283</definedName>
    <definedName name="B_CL_Oth_H2_10">Model!$CC$283</definedName>
    <definedName name="B_CL_Oth_H2_11">Model!$CF$283</definedName>
    <definedName name="B_CL_Oth_H2_12">Model!$CI$283</definedName>
    <definedName name="B_CL_Oth_H2_13">Model!$CL$283</definedName>
    <definedName name="B_CL_Oth_H2_14">Model!$CO$283</definedName>
    <definedName name="B_CL_Oth_H2_15">Model!$CR$283</definedName>
    <definedName name="B_CL_Oth_H2_16">Model!$CU$283</definedName>
    <definedName name="B_CL_Oth_H2_17">Model!$CX$283</definedName>
    <definedName name="B_CL_Oth_H2_18">Model!$DA$283</definedName>
    <definedName name="B_CL_Oth_H2_19">Model!$DD$283</definedName>
    <definedName name="B_CL_Oth_H2_20">Model!$DG$283</definedName>
    <definedName name="B_CL_OthProv_00">Model!$AZ$282</definedName>
    <definedName name="B_CL_OthProv_01">Model!$BC$282</definedName>
    <definedName name="B_CL_OthProv_02">Model!$BF$282</definedName>
    <definedName name="B_CL_OthProv_03">Model!$BI$282</definedName>
    <definedName name="B_CL_OthProv_04">Model!$BL$282</definedName>
    <definedName name="B_CL_OthProv_05">Model!$BO$282</definedName>
    <definedName name="B_CL_OthProv_06">Model!$BR$282</definedName>
    <definedName name="B_CL_OthProv_07">Model!$BU$282</definedName>
    <definedName name="B_CL_OthProv_08">Model!$BX$282</definedName>
    <definedName name="B_CL_OthProv_09">Model!$CA$282</definedName>
    <definedName name="B_CL_OthProv_10">Model!$CD$282</definedName>
    <definedName name="B_CL_OthProv_11">Model!$CG$282</definedName>
    <definedName name="B_CL_OthProv_12">Model!$CJ$282</definedName>
    <definedName name="B_CL_OthProv_13">Model!$CM$282</definedName>
    <definedName name="B_CL_OthProv_14">Model!$CP$282</definedName>
    <definedName name="B_CL_OthProv_15">Model!$CS$282</definedName>
    <definedName name="B_CL_OthProv_16">Model!$CV$282</definedName>
    <definedName name="B_CL_OthProv_17">Model!$CY$282</definedName>
    <definedName name="B_CL_OthProv_18">Model!$DB$282</definedName>
    <definedName name="B_CL_OthProv_19">Model!$DE$282</definedName>
    <definedName name="B_CL_OthProv_20">Model!$DH$282</definedName>
    <definedName name="B_CL_OthProv_H1_00">Model!$AX$282</definedName>
    <definedName name="B_CL_OthProv_H1_01">Model!$BA$282</definedName>
    <definedName name="B_CL_OthProv_H1_02">Model!$BD$282</definedName>
    <definedName name="B_CL_OthProv_H1_03">Model!$BG$282</definedName>
    <definedName name="B_CL_OthProv_H1_04">Model!$BJ$282</definedName>
    <definedName name="B_CL_OthProv_H1_05">Model!$BM$282</definedName>
    <definedName name="B_CL_OthProv_H1_06">Model!$BP$282</definedName>
    <definedName name="B_CL_OthProv_H1_07">Model!$BS$282</definedName>
    <definedName name="B_CL_OthProv_H1_08">Model!$BV$282</definedName>
    <definedName name="B_CL_OthProv_H1_09">Model!$BY$282</definedName>
    <definedName name="B_CL_OthProv_H1_10">Model!$CB$282</definedName>
    <definedName name="B_CL_OthProv_H1_11">Model!$CE$282</definedName>
    <definedName name="B_CL_OthProv_H1_12">Model!$CH$282</definedName>
    <definedName name="B_CL_OthProv_H1_13">Model!$CK$282</definedName>
    <definedName name="B_CL_OthProv_H1_14">Model!$CN$282</definedName>
    <definedName name="B_CL_OthProv_H1_15">Model!$CQ$282</definedName>
    <definedName name="B_CL_OthProv_H1_16">Model!$CT$282</definedName>
    <definedName name="B_CL_OthProv_H1_17">Model!$CW$282</definedName>
    <definedName name="B_CL_OthProv_H1_18">Model!$CZ$282</definedName>
    <definedName name="B_CL_OthProv_H1_19">Model!$DC$282</definedName>
    <definedName name="B_CL_OthProv_H1_20">Model!$DF$282</definedName>
    <definedName name="B_CL_OthProv_H2_00">Model!$AY$282</definedName>
    <definedName name="B_CL_OthProv_H2_01">Model!$BB$282</definedName>
    <definedName name="B_CL_OthProv_H2_02">Model!$BE$282</definedName>
    <definedName name="B_CL_OthProv_H2_03">Model!$BH$282</definedName>
    <definedName name="B_CL_OthProv_H2_04">Model!$BK$282</definedName>
    <definedName name="B_CL_OthProv_H2_05">Model!$BN$282</definedName>
    <definedName name="B_CL_OthProv_H2_06">Model!$BQ$282</definedName>
    <definedName name="B_CL_OthProv_H2_07">Model!$BT$282</definedName>
    <definedName name="B_CL_OthProv_H2_08">Model!$BW$282</definedName>
    <definedName name="B_CL_OthProv_H2_09">Model!$BZ$282</definedName>
    <definedName name="B_CL_OthProv_H2_10">Model!$CC$282</definedName>
    <definedName name="B_CL_OthProv_H2_11">Model!$CF$282</definedName>
    <definedName name="B_CL_OthProv_H2_12">Model!$CI$282</definedName>
    <definedName name="B_CL_OthProv_H2_13">Model!$CL$282</definedName>
    <definedName name="B_CL_OthProv_H2_14">Model!$CO$282</definedName>
    <definedName name="B_CL_OthProv_H2_15">Model!$CR$282</definedName>
    <definedName name="B_CL_OthProv_H2_16">Model!$CU$282</definedName>
    <definedName name="B_CL_OthProv_H2_17">Model!$CX$282</definedName>
    <definedName name="B_CL_OthProv_H2_18">Model!$DA$282</definedName>
    <definedName name="B_CL_OthProv_H2_19">Model!$DD$282</definedName>
    <definedName name="B_CL_OthProv_H2_20">Model!$DG$282</definedName>
    <definedName name="B_CL_Tx_00">Model!$AZ$278</definedName>
    <definedName name="B_CL_Tx_01">Model!$BC$278</definedName>
    <definedName name="B_CL_Tx_02">Model!$BF$278</definedName>
    <definedName name="B_CL_Tx_03">Model!$BI$278</definedName>
    <definedName name="B_CL_Tx_04">Model!$BL$278</definedName>
    <definedName name="B_CL_Tx_05">Model!$BO$278</definedName>
    <definedName name="B_CL_Tx_06">Model!$BR$278</definedName>
    <definedName name="B_CL_Tx_07">Model!$BU$278</definedName>
    <definedName name="B_CL_Tx_08">Model!$BX$278</definedName>
    <definedName name="B_CL_Tx_09">Model!$CA$278</definedName>
    <definedName name="B_CL_Tx_10">Model!$CD$278</definedName>
    <definedName name="B_CL_Tx_11">Model!$CG$278</definedName>
    <definedName name="B_CL_Tx_12">Model!$CJ$278</definedName>
    <definedName name="B_CL_Tx_13">Model!$CM$278</definedName>
    <definedName name="B_CL_Tx_14">Model!$CP$278</definedName>
    <definedName name="B_CL_Tx_15">Model!$CS$278</definedName>
    <definedName name="B_CL_Tx_16">Model!$CV$278</definedName>
    <definedName name="B_CL_Tx_17">Model!$CY$278</definedName>
    <definedName name="B_CL_Tx_18">Model!$DB$278</definedName>
    <definedName name="B_CL_Tx_19">Model!$DE$278</definedName>
    <definedName name="B_CL_Tx_20">Model!$DH$278</definedName>
    <definedName name="B_CL_Tx_H1_00">Model!$AX$278</definedName>
    <definedName name="B_CL_Tx_H1_01">Model!$BA$278</definedName>
    <definedName name="B_CL_Tx_H1_02">Model!$BD$278</definedName>
    <definedName name="B_CL_Tx_H1_03">Model!$BG$278</definedName>
    <definedName name="B_CL_Tx_H1_04">Model!$BJ$278</definedName>
    <definedName name="B_CL_Tx_H1_05">Model!$BM$278</definedName>
    <definedName name="B_CL_Tx_H1_06">Model!$BP$278</definedName>
    <definedName name="B_CL_Tx_H1_07">Model!$BS$278</definedName>
    <definedName name="B_CL_Tx_H1_08">Model!$BV$278</definedName>
    <definedName name="B_CL_Tx_H1_09">Model!$BY$278</definedName>
    <definedName name="B_CL_Tx_H1_10">Model!$CB$278</definedName>
    <definedName name="B_CL_Tx_H1_11">Model!$CE$278</definedName>
    <definedName name="B_CL_Tx_H1_12">Model!$CH$278</definedName>
    <definedName name="B_CL_Tx_H1_13">Model!$CK$278</definedName>
    <definedName name="B_CL_Tx_H1_14">Model!$CN$278</definedName>
    <definedName name="B_CL_Tx_H1_15">Model!$CQ$278</definedName>
    <definedName name="B_CL_Tx_H1_16">Model!$CT$278</definedName>
    <definedName name="B_CL_Tx_H1_17">Model!$CW$278</definedName>
    <definedName name="B_CL_Tx_H1_18">Model!$CZ$278</definedName>
    <definedName name="B_CL_Tx_H1_19">Model!$DC$278</definedName>
    <definedName name="B_CL_Tx_H1_20">Model!$DF$278</definedName>
    <definedName name="B_CL_Tx_H2_00">Model!$AY$278</definedName>
    <definedName name="B_CL_Tx_H2_01">Model!$BB$278</definedName>
    <definedName name="B_CL_Tx_H2_02">Model!$BE$278</definedName>
    <definedName name="B_CL_Tx_H2_03">Model!$BH$278</definedName>
    <definedName name="B_CL_Tx_H2_04">Model!$BK$278</definedName>
    <definedName name="B_CL_Tx_H2_05">Model!$BN$278</definedName>
    <definedName name="B_CL_Tx_H2_06">Model!$BQ$278</definedName>
    <definedName name="B_CL_Tx_H2_07">Model!$BT$278</definedName>
    <definedName name="B_CL_Tx_H2_08">Model!$BW$278</definedName>
    <definedName name="B_CL_Tx_H2_09">Model!$BZ$278</definedName>
    <definedName name="B_CL_Tx_H2_10">Model!$CC$278</definedName>
    <definedName name="B_CL_Tx_H2_11">Model!$CF$278</definedName>
    <definedName name="B_CL_Tx_H2_12">Model!$CI$278</definedName>
    <definedName name="B_CL_Tx_H2_13">Model!$CL$278</definedName>
    <definedName name="B_CL_Tx_H2_14">Model!$CO$278</definedName>
    <definedName name="B_CL_Tx_H2_15">Model!$CR$278</definedName>
    <definedName name="B_CL_Tx_H2_16">Model!$CU$278</definedName>
    <definedName name="B_CL_Tx_H2_17">Model!$CX$278</definedName>
    <definedName name="B_CL_Tx_H2_18">Model!$DA$278</definedName>
    <definedName name="B_CL_Tx_H2_19">Model!$DD$278</definedName>
    <definedName name="B_CL_Tx_H2_20">Model!$DG$278</definedName>
    <definedName name="B_CP_00">Model!$AZ$276</definedName>
    <definedName name="B_CP_01">Model!$BC$276</definedName>
    <definedName name="B_CP_02">Model!$BF$276</definedName>
    <definedName name="B_CP_03">Model!$BI$276</definedName>
    <definedName name="B_CP_04">Model!$BL$276</definedName>
    <definedName name="B_CP_05">Model!$BO$276</definedName>
    <definedName name="B_CP_06">Model!$BR$276</definedName>
    <definedName name="B_CP_07">Model!$BU$276</definedName>
    <definedName name="B_CP_08">Model!$BX$276</definedName>
    <definedName name="B_CP_09">Model!$CA$276</definedName>
    <definedName name="B_CP_10">Model!$CD$276</definedName>
    <definedName name="B_CP_11">Model!$CG$276</definedName>
    <definedName name="B_CP_12">Model!$CJ$276</definedName>
    <definedName name="B_CP_13">Model!$CM$276</definedName>
    <definedName name="B_CP_14">Model!$CP$276</definedName>
    <definedName name="B_CP_15">Model!$CS$276</definedName>
    <definedName name="B_CP_16">Model!$CV$276</definedName>
    <definedName name="B_CP_17">Model!$CY$276</definedName>
    <definedName name="B_CP_18">Model!$DB$276</definedName>
    <definedName name="B_CP_19">Model!$DE$276</definedName>
    <definedName name="B_CP_20">Model!$DH$276</definedName>
    <definedName name="B_CP_95">Model!$AK$276</definedName>
    <definedName name="B_CP_96">Model!$AN$276</definedName>
    <definedName name="B_CP_97">Model!$AQ$276</definedName>
    <definedName name="B_CP_98">Model!$AT$276</definedName>
    <definedName name="B_CP_99">Model!$AW$276</definedName>
    <definedName name="B_CR_00">Model!$AZ$266</definedName>
    <definedName name="B_CR_01">Model!$BC$266</definedName>
    <definedName name="B_CR_02">Model!$BF$266</definedName>
    <definedName name="B_CR_03">Model!$BI$266</definedName>
    <definedName name="B_CR_04">Model!$BL$266</definedName>
    <definedName name="B_CR_05">Model!$BO$266</definedName>
    <definedName name="B_CR_06">Model!$BR$266</definedName>
    <definedName name="B_CR_07">Model!$BU$266</definedName>
    <definedName name="B_CR_08">Model!$BX$266</definedName>
    <definedName name="B_CR_09">Model!$CA$266</definedName>
    <definedName name="B_CR_10">Model!$CD$266</definedName>
    <definedName name="B_CR_11">Model!$CG$266</definedName>
    <definedName name="B_CR_12">Model!$CJ$266</definedName>
    <definedName name="B_CR_13">Model!$CM$266</definedName>
    <definedName name="B_CR_14">Model!$CP$266</definedName>
    <definedName name="B_CR_15">Model!$CS$266</definedName>
    <definedName name="B_CR_16">Model!$CV$266</definedName>
    <definedName name="B_CR_17">Model!$CY$266</definedName>
    <definedName name="B_CR_18">Model!$DB$266</definedName>
    <definedName name="B_CR_19">Model!$DE$266</definedName>
    <definedName name="B_CR_20">Model!$DH$266</definedName>
    <definedName name="B_CR_95">Model!$AK$266</definedName>
    <definedName name="B_CR_96">Model!$AN$266</definedName>
    <definedName name="B_CR_97">Model!$AQ$266</definedName>
    <definedName name="B_CR_98">Model!$AT$266</definedName>
    <definedName name="B_CR_99">Model!$AW$266</definedName>
    <definedName name="B_DB_00">Model!$AZ$231</definedName>
    <definedName name="B_DB_01">Model!$BC$231</definedName>
    <definedName name="B_DB_02">Model!$BF$231</definedName>
    <definedName name="B_DB_03">Model!$BI$231</definedName>
    <definedName name="B_DB_04">Model!$BL$231</definedName>
    <definedName name="B_DB_05">Model!$BO$231</definedName>
    <definedName name="B_DB_06">Model!$BR$231</definedName>
    <definedName name="B_DB_07">Model!$BU$231</definedName>
    <definedName name="B_DB_08">Model!$BX$231</definedName>
    <definedName name="B_DB_09">Model!$CA$231</definedName>
    <definedName name="B_DB_10">Model!$CD$231</definedName>
    <definedName name="B_DB_11">Model!$CG$231</definedName>
    <definedName name="B_DB_12">Model!$CJ$231</definedName>
    <definedName name="B_DB_13">Model!$CM$231</definedName>
    <definedName name="B_DB_14">Model!$CP$231</definedName>
    <definedName name="B_DB_15">Model!$CS$231</definedName>
    <definedName name="B_DB_16">Model!$CV$231</definedName>
    <definedName name="B_DB_17">Model!$CY$231</definedName>
    <definedName name="B_DB_18">Model!$DB$231</definedName>
    <definedName name="B_DB_19">Model!$DE$231</definedName>
    <definedName name="B_DB_20">Model!$DH$231</definedName>
    <definedName name="B_DB_95">Model!$AK$231</definedName>
    <definedName name="B_DB_96">Model!$AN$231</definedName>
    <definedName name="B_DB_97">Model!$AQ$231</definedName>
    <definedName name="B_DB_98">Model!$AT$231</definedName>
    <definedName name="B_DB_99">Model!$AW$231</definedName>
    <definedName name="B_FkCred_00">Model!$AZ$367</definedName>
    <definedName name="B_FkCred_01">Model!$BC$367</definedName>
    <definedName name="B_FkCred_02">Model!$BF$367</definedName>
    <definedName name="B_FkCred_03">Model!$BI$367</definedName>
    <definedName name="B_FkCred_04">Model!$BL$367</definedName>
    <definedName name="B_FkCred_05">Model!$BO$367</definedName>
    <definedName name="B_FkCred_06">Model!$BR$367</definedName>
    <definedName name="B_FkCred_07">Model!$BU$367</definedName>
    <definedName name="B_FkCred_08">Model!$BX$367</definedName>
    <definedName name="B_FkCred_09">Model!$CA$367</definedName>
    <definedName name="B_FkCred_10">Model!$CD$367</definedName>
    <definedName name="B_FkCred_11">Model!$CG$367</definedName>
    <definedName name="B_FkCred_12">Model!$CJ$367</definedName>
    <definedName name="B_FkCred_13">Model!$CM$367</definedName>
    <definedName name="B_FkCred_14">Model!$CP$367</definedName>
    <definedName name="B_FkCred_15">Model!$CS$367</definedName>
    <definedName name="B_FkCred_16">Model!$CV$367</definedName>
    <definedName name="B_FkCred_17">Model!$CY$367</definedName>
    <definedName name="B_FkCred_18">Model!$DB$367</definedName>
    <definedName name="B_FkCred_19">Model!$DE$367</definedName>
    <definedName name="B_FkCred_20">Model!$DH$367</definedName>
    <definedName name="B_FkCred_H1_00">Model!$AX$367</definedName>
    <definedName name="B_FkCred_H1_01">Model!$BA$367</definedName>
    <definedName name="B_FkCred_H1_02">Model!$BD$367</definedName>
    <definedName name="B_FkCred_H1_03">Model!$BG$367</definedName>
    <definedName name="B_FkCred_H1_04">Model!$BJ$367</definedName>
    <definedName name="B_FkCred_H1_05">Model!$BM$367</definedName>
    <definedName name="B_FkCred_H1_06">Model!$BP$367</definedName>
    <definedName name="B_FkCred_H1_07">Model!$BS$367</definedName>
    <definedName name="B_FkCred_H1_08">Model!$BV$367</definedName>
    <definedName name="B_FkCred_H1_09">Model!$BY$367</definedName>
    <definedName name="B_FkCred_H1_10">Model!$CB$367</definedName>
    <definedName name="B_FkCred_H1_11">Model!$CE$367</definedName>
    <definedName name="B_FkCred_H1_12">Model!$CH$367</definedName>
    <definedName name="B_FkCred_H1_13">Model!$CK$367</definedName>
    <definedName name="B_FkCred_H1_14">Model!$CN$367</definedName>
    <definedName name="B_FkCred_H1_15">Model!$CQ$367</definedName>
    <definedName name="B_FkCred_H1_16">Model!$CT$367</definedName>
    <definedName name="B_FkCred_H1_17">Model!$CW$367</definedName>
    <definedName name="B_FkCred_H1_18">Model!$CZ$367</definedName>
    <definedName name="B_FkCred_H1_19">Model!$DC$367</definedName>
    <definedName name="B_FkCred_H1_20">Model!$DF$367</definedName>
    <definedName name="B_FkCred_H2_00">Model!$AY$367</definedName>
    <definedName name="B_FkCred_H2_01">Model!$BB$367</definedName>
    <definedName name="B_FkCred_H2_02">Model!$BE$367</definedName>
    <definedName name="B_FkCred_H2_03">Model!$BH$367</definedName>
    <definedName name="B_FkCred_H2_04">Model!$BK$367</definedName>
    <definedName name="B_FkCred_H2_05">Model!$BN$367</definedName>
    <definedName name="B_FkCred_H2_06">Model!$BQ$367</definedName>
    <definedName name="B_FkCred_H2_07">Model!$BT$367</definedName>
    <definedName name="B_FkCred_H2_08">Model!$BW$367</definedName>
    <definedName name="B_FkCred_H2_09">Model!$BZ$367</definedName>
    <definedName name="B_FkCred_H2_10">Model!$CC$367</definedName>
    <definedName name="B_FkCred_H2_11">Model!$CF$367</definedName>
    <definedName name="B_FkCred_H2_12">Model!$CI$367</definedName>
    <definedName name="B_FkCred_H2_13">Model!$CL$367</definedName>
    <definedName name="B_FkCred_H2_14">Model!$CO$367</definedName>
    <definedName name="B_FkCred_H2_15">Model!$CR$367</definedName>
    <definedName name="B_FkCred_H2_16">Model!$CU$367</definedName>
    <definedName name="B_FkCred_H2_17">Model!$CX$367</definedName>
    <definedName name="B_FkCred_H2_18">Model!$DA$367</definedName>
    <definedName name="B_FkCred_H2_19">Model!$DD$367</definedName>
    <definedName name="B_FkCred_H2_20">Model!$DG$367</definedName>
    <definedName name="B_INT_00">Model!$AZ$252</definedName>
    <definedName name="B_INT_01">Model!$BC$252</definedName>
    <definedName name="B_INT_02">Model!$BF$252</definedName>
    <definedName name="B_INT_03">Model!$BI$252</definedName>
    <definedName name="B_INT_04">Model!$BL$252</definedName>
    <definedName name="B_INT_05">Model!$BO$252</definedName>
    <definedName name="B_INT_06">Model!$BR$252</definedName>
    <definedName name="B_INT_07">Model!$BU$252</definedName>
    <definedName name="B_INT_08">Model!$BX$252</definedName>
    <definedName name="B_INT_09">Model!$CA$252</definedName>
    <definedName name="B_INT_10">Model!$CD$252</definedName>
    <definedName name="B_INT_11">Model!$CG$252</definedName>
    <definedName name="B_INT_12">Model!$CJ$252</definedName>
    <definedName name="B_INT_13">Model!$CM$252</definedName>
    <definedName name="B_INT_14">Model!$CP$252</definedName>
    <definedName name="B_INT_15">Model!$CS$252</definedName>
    <definedName name="B_INT_16">Model!$CV$252</definedName>
    <definedName name="B_INT_17">Model!$CY$252</definedName>
    <definedName name="B_INT_18">Model!$DB$252</definedName>
    <definedName name="B_INT_19">Model!$DE$252</definedName>
    <definedName name="B_INT_20">Model!$DH$252</definedName>
    <definedName name="B_INT_95">Model!$AK$252</definedName>
    <definedName name="B_INT_96">Model!$AN$252</definedName>
    <definedName name="B_INT_97">Model!$AQ$252</definedName>
    <definedName name="B_INT_98">Model!$AT$252</definedName>
    <definedName name="B_INT_99">Model!$AW$252</definedName>
    <definedName name="B_INV_00">Model!$AZ$236</definedName>
    <definedName name="B_INV_01">Model!$BC$236</definedName>
    <definedName name="B_INV_02">Model!$BF$236</definedName>
    <definedName name="B_INV_03">Model!$BI$236</definedName>
    <definedName name="B_INV_04">Model!$BL$236</definedName>
    <definedName name="B_INV_05">Model!$BO$236</definedName>
    <definedName name="B_INV_06">Model!$BR$236</definedName>
    <definedName name="B_INV_07">Model!$BU$236</definedName>
    <definedName name="B_INV_08">Model!$BX$236</definedName>
    <definedName name="B_INV_09">Model!$CA$236</definedName>
    <definedName name="B_INV_10">Model!$CD$236</definedName>
    <definedName name="B_INV_11">Model!$CG$236</definedName>
    <definedName name="B_INV_12">Model!$CJ$236</definedName>
    <definedName name="B_INV_13">Model!$CM$236</definedName>
    <definedName name="B_INV_14">Model!$CP$236</definedName>
    <definedName name="B_INV_15">Model!$CS$236</definedName>
    <definedName name="B_INV_16">Model!$CV$236</definedName>
    <definedName name="B_INV_17">Model!$CY$236</definedName>
    <definedName name="B_INV_18">Model!$DB$236</definedName>
    <definedName name="B_INV_19">Model!$DE$236</definedName>
    <definedName name="B_INV_20">Model!$DH$236</definedName>
    <definedName name="B_INV_95">Model!$AK$236</definedName>
    <definedName name="B_INV_96">Model!$AN$236</definedName>
    <definedName name="B_INV_97">Model!$AQ$236</definedName>
    <definedName name="B_INV_98">Model!$AT$236</definedName>
    <definedName name="B_INV_99">Model!$AW$236</definedName>
    <definedName name="B_IVT_00">Model!$AZ$250</definedName>
    <definedName name="B_IVT_01">Model!$BC$250</definedName>
    <definedName name="B_IVT_02">Model!$BF$250</definedName>
    <definedName name="B_IVT_03">Model!$BI$250</definedName>
    <definedName name="B_IVT_04">Model!$BL$250</definedName>
    <definedName name="B_IVT_05">Model!$BO$250</definedName>
    <definedName name="B_IVT_06">Model!$BR$250</definedName>
    <definedName name="B_IVT_07">Model!$BU$250</definedName>
    <definedName name="B_IVT_08">Model!$BX$250</definedName>
    <definedName name="B_IVT_09">Model!$CA$250</definedName>
    <definedName name="B_IVT_10">Model!$CD$250</definedName>
    <definedName name="B_IVT_11">Model!$CG$250</definedName>
    <definedName name="B_IVT_12">Model!$CJ$250</definedName>
    <definedName name="B_IVT_13">Model!$CM$250</definedName>
    <definedName name="B_IVT_14">Model!$CP$250</definedName>
    <definedName name="B_IVT_15">Model!$CS$250</definedName>
    <definedName name="B_IVT_16">Model!$CV$250</definedName>
    <definedName name="B_IVT_17">Model!$CY$250</definedName>
    <definedName name="B_IVT_18">Model!$DB$250</definedName>
    <definedName name="B_IVT_19">Model!$DE$250</definedName>
    <definedName name="B_IVT_20">Model!$DH$250</definedName>
    <definedName name="B_IVT_95">Model!$AK$250</definedName>
    <definedName name="B_IVT_96">Model!$AN$250</definedName>
    <definedName name="B_IVT_97">Model!$AQ$250</definedName>
    <definedName name="B_IVT_98">Model!$AT$250</definedName>
    <definedName name="B_IVT_99">Model!$AW$250</definedName>
    <definedName name="B_MI_00">Model!$AZ$321</definedName>
    <definedName name="B_MI_01">Model!$BC$321</definedName>
    <definedName name="B_MI_02">Model!$BF$321</definedName>
    <definedName name="B_MI_03">Model!$BI$321</definedName>
    <definedName name="B_MI_04">Model!$BL$321</definedName>
    <definedName name="B_MI_05">Model!$BO$321</definedName>
    <definedName name="B_MI_06">Model!$BR$321</definedName>
    <definedName name="B_MI_07">Model!$BU$321</definedName>
    <definedName name="B_MI_08">Model!$BX$321</definedName>
    <definedName name="B_MI_09">Model!$CA$321</definedName>
    <definedName name="B_MI_10">Model!$CD$321</definedName>
    <definedName name="B_MI_11">Model!$CG$321</definedName>
    <definedName name="B_MI_12">Model!$CJ$321</definedName>
    <definedName name="B_MI_13">Model!$CM$321</definedName>
    <definedName name="B_MI_14">Model!$CP$321</definedName>
    <definedName name="B_MI_15">Model!$CS$321</definedName>
    <definedName name="B_MI_16">Model!$CV$321</definedName>
    <definedName name="B_MI_17">Model!$CY$321</definedName>
    <definedName name="B_MI_18">Model!$DB$321</definedName>
    <definedName name="B_MI_19">Model!$DE$321</definedName>
    <definedName name="B_MI_20">Model!$DH$321</definedName>
    <definedName name="B_MI_95">Model!$AK$321</definedName>
    <definedName name="B_MI_96">Model!$AN$321</definedName>
    <definedName name="B_MI_97">Model!$AQ$321</definedName>
    <definedName name="B_MI_98">Model!$AT$321</definedName>
    <definedName name="B_MI_99">Model!$AW$321</definedName>
    <definedName name="B_NA_00">Model!$AZ$307</definedName>
    <definedName name="B_NA_01">Model!$BC$307</definedName>
    <definedName name="B_NA_02">Model!$BF$307</definedName>
    <definedName name="B_NA_03">Model!$BI$307</definedName>
    <definedName name="B_NA_04">Model!$BL$307</definedName>
    <definedName name="B_NA_05">Model!$BO$307</definedName>
    <definedName name="B_NA_06">Model!$BR$307</definedName>
    <definedName name="B_NA_07">Model!$BU$307</definedName>
    <definedName name="B_NA_08">Model!$BX$307</definedName>
    <definedName name="B_NA_09">Model!$CA$307</definedName>
    <definedName name="B_NA_10">Model!$CD$307</definedName>
    <definedName name="B_NA_11">Model!$CG$307</definedName>
    <definedName name="B_NA_12">Model!$CJ$307</definedName>
    <definedName name="B_NA_13">Model!$CM$307</definedName>
    <definedName name="B_NA_14">Model!$CP$307</definedName>
    <definedName name="B_NA_15">Model!$CS$307</definedName>
    <definedName name="B_NA_16">Model!$CV$307</definedName>
    <definedName name="B_NA_17">Model!$CY$307</definedName>
    <definedName name="B_NA_18">Model!$DB$307</definedName>
    <definedName name="B_NA_19">Model!$DE$307</definedName>
    <definedName name="B_NA_20">Model!$DH$307</definedName>
    <definedName name="B_NA_95">Model!$AK$307</definedName>
    <definedName name="B_NA_96">Model!$AN$307</definedName>
    <definedName name="B_NA_97">Model!$AQ$307</definedName>
    <definedName name="B_NA_98">Model!$AT$307</definedName>
    <definedName name="B_NA_99">Model!$AW$307</definedName>
    <definedName name="B_NA_H1_00">Model!$AX$307</definedName>
    <definedName name="B_NA_H1_01">Model!$BA$307</definedName>
    <definedName name="B_NA_H1_02">Model!$BD$307</definedName>
    <definedName name="B_NA_H1_03">Model!$BG$307</definedName>
    <definedName name="B_NA_H1_04">Model!$BJ$307</definedName>
    <definedName name="B_NA_H1_05">Model!$BM$307</definedName>
    <definedName name="B_NA_H1_06">Model!$BP$307</definedName>
    <definedName name="B_NA_H1_07">Model!$BS$307</definedName>
    <definedName name="B_NA_H1_08">Model!$BV$307</definedName>
    <definedName name="B_NA_H1_09">Model!$BY$307</definedName>
    <definedName name="B_NA_H1_10">Model!$CB$307</definedName>
    <definedName name="B_NA_H1_11">Model!$CE$307</definedName>
    <definedName name="B_NA_H1_12">Model!$CH$307</definedName>
    <definedName name="B_NA_H1_13">Model!$CK$307</definedName>
    <definedName name="B_NA_H1_14">Model!$CN$307</definedName>
    <definedName name="B_NA_H1_15">Model!$CQ$307</definedName>
    <definedName name="B_NA_H1_16">Model!$CT$307</definedName>
    <definedName name="B_NA_H1_17">Model!$CW$307</definedName>
    <definedName name="B_NA_H1_18">Model!$CZ$307</definedName>
    <definedName name="B_NA_H1_19">Model!$DC$307</definedName>
    <definedName name="B_NA_H1_20">Model!$DF$307</definedName>
    <definedName name="B_NA_H2_00">Model!$AY$307</definedName>
    <definedName name="B_NA_H2_01">Model!$BB$307</definedName>
    <definedName name="B_NA_H2_02">Model!$BE$307</definedName>
    <definedName name="B_NA_H2_03">Model!$BH$307</definedName>
    <definedName name="B_NA_H2_04">Model!$BK$307</definedName>
    <definedName name="B_NA_H2_05">Model!$BN$307</definedName>
    <definedName name="B_NA_H2_06">Model!$BQ$307</definedName>
    <definedName name="B_NA_H2_07">Model!$BT$307</definedName>
    <definedName name="B_NA_H2_08">Model!$BW$307</definedName>
    <definedName name="B_NA_H2_09">Model!$BZ$307</definedName>
    <definedName name="B_NA_H2_10">Model!$CC$307</definedName>
    <definedName name="B_NA_H2_11">Model!$CF$307</definedName>
    <definedName name="B_NA_H2_12">Model!$CI$307</definedName>
    <definedName name="B_NA_H2_13">Model!$CL$307</definedName>
    <definedName name="B_NA_H2_14">Model!$CO$307</definedName>
    <definedName name="B_NA_H2_15">Model!$CR$307</definedName>
    <definedName name="B_NA_H2_16">Model!$CU$307</definedName>
    <definedName name="B_NA_H2_17">Model!$CX$307</definedName>
    <definedName name="B_NA_H2_18">Model!$DA$307</definedName>
    <definedName name="B_NA_H2_19">Model!$DD$307</definedName>
    <definedName name="B_NA_H2_20">Model!$DG$307</definedName>
    <definedName name="B_NCA_AR_00">Model!$AZ$246</definedName>
    <definedName name="B_NCA_AR_01">Model!$BC$246</definedName>
    <definedName name="B_NCA_AR_02">Model!$BF$246</definedName>
    <definedName name="B_NCA_AR_03">Model!$BI$246</definedName>
    <definedName name="B_NCA_AR_04">Model!$BL$246</definedName>
    <definedName name="B_NCA_AR_05">Model!$BO$246</definedName>
    <definedName name="B_NCA_AR_06">Model!$BR$246</definedName>
    <definedName name="B_NCA_AR_07">Model!$BU$246</definedName>
    <definedName name="B_NCA_AR_08">Model!$BX$246</definedName>
    <definedName name="B_NCA_AR_09">Model!$CA$246</definedName>
    <definedName name="B_NCA_AR_10">Model!$CD$246</definedName>
    <definedName name="B_NCA_AR_11">Model!$CG$246</definedName>
    <definedName name="B_NCA_AR_12">Model!$CJ$246</definedName>
    <definedName name="B_NCA_AR_13">Model!$CM$246</definedName>
    <definedName name="B_NCA_AR_14">Model!$CP$246</definedName>
    <definedName name="B_NCA_AR_15">Model!$CS$246</definedName>
    <definedName name="B_NCA_AR_16">Model!$CV$246</definedName>
    <definedName name="B_NCA_AR_17">Model!$CY$246</definedName>
    <definedName name="B_NCA_AR_18">Model!$DB$246</definedName>
    <definedName name="B_NCA_AR_19">Model!$DE$246</definedName>
    <definedName name="B_NCA_AR_20">Model!$DH$246</definedName>
    <definedName name="B_NCA_AR_H1_00">Model!$AX$246</definedName>
    <definedName name="B_NCA_AR_H1_01">Model!$BA$246</definedName>
    <definedName name="B_NCA_AR_H1_02">Model!$BD$246</definedName>
    <definedName name="B_NCA_AR_H1_03">Model!$BG$246</definedName>
    <definedName name="B_NCA_AR_H1_04">Model!$BJ$246</definedName>
    <definedName name="B_NCA_AR_H1_05">Model!$BM$246</definedName>
    <definedName name="B_NCA_AR_H1_06">Model!$BP$246</definedName>
    <definedName name="B_NCA_AR_H1_07">Model!$BS$246</definedName>
    <definedName name="B_NCA_AR_H1_08">Model!$BV$246</definedName>
    <definedName name="B_NCA_AR_H1_09">Model!$BY$246</definedName>
    <definedName name="B_NCA_AR_H1_10">Model!$CB$246</definedName>
    <definedName name="B_NCA_AR_H1_11">Model!$CE$246</definedName>
    <definedName name="B_NCA_AR_H1_12">Model!$CH$246</definedName>
    <definedName name="B_NCA_AR_H1_13">Model!$CK$246</definedName>
    <definedName name="B_NCA_AR_H1_14">Model!$CN$246</definedName>
    <definedName name="B_NCA_AR_H1_15">Model!$CQ$246</definedName>
    <definedName name="B_NCA_AR_H1_16">Model!$CT$246</definedName>
    <definedName name="B_NCA_AR_H1_17">Model!$CW$246</definedName>
    <definedName name="B_NCA_AR_H1_18">Model!$CZ$246</definedName>
    <definedName name="B_NCA_AR_H1_19">Model!$DC$246</definedName>
    <definedName name="B_NCA_AR_H1_20">Model!$DF$246</definedName>
    <definedName name="B_NCA_AR_H2_00">Model!$AY$246</definedName>
    <definedName name="B_NCA_AR_H2_01">Model!$BB$246</definedName>
    <definedName name="B_NCA_AR_H2_02">Model!$BE$246</definedName>
    <definedName name="B_NCA_AR_H2_03">Model!$BH$246</definedName>
    <definedName name="B_NCA_AR_H2_04">Model!$BK$246</definedName>
    <definedName name="B_NCA_AR_H2_05">Model!$BN$246</definedName>
    <definedName name="B_NCA_AR_H2_06">Model!$BQ$246</definedName>
    <definedName name="B_NCA_AR_H2_07">Model!$BT$246</definedName>
    <definedName name="B_NCA_AR_H2_08">Model!$BW$246</definedName>
    <definedName name="B_NCA_AR_H2_09">Model!$BZ$246</definedName>
    <definedName name="B_NCA_AR_H2_10">Model!$CC$246</definedName>
    <definedName name="B_NCA_AR_H2_11">Model!$CF$246</definedName>
    <definedName name="B_NCA_AR_H2_12">Model!$CI$246</definedName>
    <definedName name="B_NCA_AR_H2_13">Model!$CL$246</definedName>
    <definedName name="B_NCA_AR_H2_14">Model!$CO$246</definedName>
    <definedName name="B_NCA_AR_H2_15">Model!$CR$246</definedName>
    <definedName name="B_NCA_AR_H2_16">Model!$CU$246</definedName>
    <definedName name="B_NCA_AR_H2_17">Model!$CX$246</definedName>
    <definedName name="B_NCA_AR_H2_18">Model!$DA$246</definedName>
    <definedName name="B_NCA_AR_H2_19">Model!$DD$246</definedName>
    <definedName name="B_NCA_AR_H2_20">Model!$DG$246</definedName>
    <definedName name="B_NCA_Brand_00">Model!$AZ$254</definedName>
    <definedName name="B_NCA_Brand_01">Model!$BC$254</definedName>
    <definedName name="B_NCA_Brand_02">Model!$BF$254</definedName>
    <definedName name="B_NCA_Brand_03">Model!$BI$254</definedName>
    <definedName name="B_NCA_Brand_04">Model!$BL$254</definedName>
    <definedName name="B_NCA_Brand_05">Model!$BO$254</definedName>
    <definedName name="B_NCA_Brand_06">Model!$BR$254</definedName>
    <definedName name="B_NCA_Brand_07">Model!$BU$254</definedName>
    <definedName name="B_NCA_Brand_08">Model!$BX$254</definedName>
    <definedName name="B_NCA_Brand_09">Model!$CA$254</definedName>
    <definedName name="B_NCA_Brand_10">Model!$CD$254</definedName>
    <definedName name="B_NCA_Brand_11">Model!$CG$254</definedName>
    <definedName name="B_NCA_Brand_12">Model!$CJ$254</definedName>
    <definedName name="B_NCA_Brand_13">Model!$CM$254</definedName>
    <definedName name="B_NCA_Brand_14">Model!$CP$254</definedName>
    <definedName name="B_NCA_Brand_15">Model!$CS$254</definedName>
    <definedName name="B_NCA_Brand_16">Model!$CV$254</definedName>
    <definedName name="B_NCA_Brand_17">Model!$CY$254</definedName>
    <definedName name="B_NCA_Brand_18">Model!$DB$254</definedName>
    <definedName name="B_NCA_Brand_19">Model!$DE$254</definedName>
    <definedName name="B_NCA_Brand_20">Model!$DH$254</definedName>
    <definedName name="B_NCA_Brand_H1_00">Model!$AX$254</definedName>
    <definedName name="B_NCA_Brand_H1_01">Model!$BA$254</definedName>
    <definedName name="B_NCA_Brand_H1_02">Model!$BD$254</definedName>
    <definedName name="B_NCA_Brand_H1_03">Model!$BG$254</definedName>
    <definedName name="B_NCA_Brand_H1_04">Model!$BJ$254</definedName>
    <definedName name="B_NCA_Brand_H1_05">Model!$BM$254</definedName>
    <definedName name="B_NCA_Brand_H1_06">Model!$BP$254</definedName>
    <definedName name="B_NCA_Brand_H1_07">Model!$BS$254</definedName>
    <definedName name="B_NCA_Brand_H1_08">Model!$BV$254</definedName>
    <definedName name="B_NCA_Brand_H1_09">Model!$BY$254</definedName>
    <definedName name="B_NCA_Brand_H1_10">Model!$CB$254</definedName>
    <definedName name="B_NCA_Brand_H1_11">Model!$CE$254</definedName>
    <definedName name="B_NCA_Brand_H1_12">Model!$CH$254</definedName>
    <definedName name="B_NCA_Brand_H1_13">Model!$CK$254</definedName>
    <definedName name="B_NCA_Brand_H1_14">Model!$CN$254</definedName>
    <definedName name="B_NCA_Brand_H1_15">Model!$CQ$254</definedName>
    <definedName name="B_NCA_Brand_H1_16">Model!$CT$254</definedName>
    <definedName name="B_NCA_Brand_H1_17">Model!$CW$254</definedName>
    <definedName name="B_NCA_Brand_H1_18">Model!$CZ$254</definedName>
    <definedName name="B_NCA_Brand_H1_19">Model!$DC$254</definedName>
    <definedName name="B_NCA_Brand_H1_20">Model!$DF$254</definedName>
    <definedName name="B_NCA_Brand_H2_00">Model!$AY$254</definedName>
    <definedName name="B_NCA_Brand_H2_01">Model!$BB$254</definedName>
    <definedName name="B_NCA_Brand_H2_02">Model!$BE$254</definedName>
    <definedName name="B_NCA_Brand_H2_03">Model!$BH$254</definedName>
    <definedName name="B_NCA_Brand_H2_04">Model!$BK$254</definedName>
    <definedName name="B_NCA_Brand_H2_05">Model!$BN$254</definedName>
    <definedName name="B_NCA_Brand_H2_06">Model!$BQ$254</definedName>
    <definedName name="B_NCA_Brand_H2_07">Model!$BT$254</definedName>
    <definedName name="B_NCA_Brand_H2_08">Model!$BW$254</definedName>
    <definedName name="B_NCA_Brand_H2_09">Model!$BZ$254</definedName>
    <definedName name="B_NCA_Brand_H2_10">Model!$CC$254</definedName>
    <definedName name="B_NCA_Brand_H2_11">Model!$CF$254</definedName>
    <definedName name="B_NCA_Brand_H2_12">Model!$CI$254</definedName>
    <definedName name="B_NCA_Brand_H2_13">Model!$CL$254</definedName>
    <definedName name="B_NCA_Brand_H2_14">Model!$CO$254</definedName>
    <definedName name="B_NCA_Brand_H2_15">Model!$CR$254</definedName>
    <definedName name="B_NCA_Brand_H2_16">Model!$CU$254</definedName>
    <definedName name="B_NCA_Brand_H2_17">Model!$CX$254</definedName>
    <definedName name="B_NCA_Brand_H2_18">Model!$DA$254</definedName>
    <definedName name="B_NCA_Brand_H2_19">Model!$DD$254</definedName>
    <definedName name="B_NCA_Brand_H2_20">Model!$DG$254</definedName>
    <definedName name="B_NCA_FITB_00">Model!$AZ$260</definedName>
    <definedName name="B_NCA_FITB_01">Model!$BC$260</definedName>
    <definedName name="B_NCA_FITB_02">Model!$BF$260</definedName>
    <definedName name="B_NCA_FITB_03">Model!$BI$260</definedName>
    <definedName name="B_NCA_FITB_04">Model!$BL$260</definedName>
    <definedName name="B_NCA_FITB_05">Model!$BO$260</definedName>
    <definedName name="B_NCA_FITB_06">Model!$BR$260</definedName>
    <definedName name="B_NCA_FITB_07">Model!$BU$260</definedName>
    <definedName name="B_NCA_FITB_08">Model!$BX$260</definedName>
    <definedName name="B_NCA_FITB_09">Model!$CA$260</definedName>
    <definedName name="B_NCA_FITB_10">Model!$CD$260</definedName>
    <definedName name="B_NCA_FITB_11">Model!$CG$260</definedName>
    <definedName name="B_NCA_FITB_12">Model!$CJ$260</definedName>
    <definedName name="B_NCA_FITB_13">Model!$CM$260</definedName>
    <definedName name="B_NCA_FITB_14">Model!$CP$260</definedName>
    <definedName name="B_NCA_FITB_15">Model!$CS$260</definedName>
    <definedName name="B_NCA_FITB_16">Model!$CV$260</definedName>
    <definedName name="B_NCA_FITB_17">Model!$CY$260</definedName>
    <definedName name="B_NCA_FITB_18">Model!$DB$260</definedName>
    <definedName name="B_NCA_FITB_19">Model!$DE$260</definedName>
    <definedName name="B_NCA_FITB_20">Model!$DH$260</definedName>
    <definedName name="B_NCA_FITB_H1_00">Model!$AX$260</definedName>
    <definedName name="B_NCA_FITB_H1_01">Model!$BA$260</definedName>
    <definedName name="B_NCA_FITB_H1_02">Model!$BD$260</definedName>
    <definedName name="B_NCA_FITB_H1_03">Model!$BG$260</definedName>
    <definedName name="B_NCA_FITB_H1_04">Model!$BJ$260</definedName>
    <definedName name="B_NCA_FITB_H1_05">Model!$BM$260</definedName>
    <definedName name="B_NCA_FITB_H1_06">Model!$BP$260</definedName>
    <definedName name="B_NCA_FITB_H1_07">Model!$BS$260</definedName>
    <definedName name="B_NCA_FITB_H1_08">Model!$BV$260</definedName>
    <definedName name="B_NCA_FITB_H1_09">Model!$BY$260</definedName>
    <definedName name="B_NCA_FITB_H1_10">Model!$CB$260</definedName>
    <definedName name="B_NCA_FITB_H1_11">Model!$CE$260</definedName>
    <definedName name="B_NCA_FITB_H1_12">Model!$CH$260</definedName>
    <definedName name="B_NCA_FITB_H1_13">Model!$CK$260</definedName>
    <definedName name="B_NCA_FITB_H1_14">Model!$CN$260</definedName>
    <definedName name="B_NCA_FITB_H1_15">Model!$CQ$260</definedName>
    <definedName name="B_NCA_FITB_H1_16">Model!$CT$260</definedName>
    <definedName name="B_NCA_FITB_H1_17">Model!$CW$260</definedName>
    <definedName name="B_NCA_FITB_H1_18">Model!$CZ$260</definedName>
    <definedName name="B_NCA_FITB_H1_19">Model!$DC$260</definedName>
    <definedName name="B_NCA_FITB_H1_20">Model!$DF$260</definedName>
    <definedName name="B_NCA_FITB_H2_00">Model!$AY$260</definedName>
    <definedName name="B_NCA_FITB_H2_01">Model!$BB$260</definedName>
    <definedName name="B_NCA_FITB_H2_02">Model!$BE$260</definedName>
    <definedName name="B_NCA_FITB_H2_03">Model!$BH$260</definedName>
    <definedName name="B_NCA_FITB_H2_04">Model!$BK$260</definedName>
    <definedName name="B_NCA_FITB_H2_05">Model!$BN$260</definedName>
    <definedName name="B_NCA_FITB_H2_06">Model!$BQ$260</definedName>
    <definedName name="B_NCA_FITB_H2_07">Model!$BT$260</definedName>
    <definedName name="B_NCA_FITB_H2_08">Model!$BW$260</definedName>
    <definedName name="B_NCA_FITB_H2_09">Model!$BZ$260</definedName>
    <definedName name="B_NCA_FITB_H2_10">Model!$CC$260</definedName>
    <definedName name="B_NCA_FITB_H2_11">Model!$CF$260</definedName>
    <definedName name="B_NCA_FITB_H2_12">Model!$CI$260</definedName>
    <definedName name="B_NCA_FITB_H2_13">Model!$CL$260</definedName>
    <definedName name="B_NCA_FITB_H2_14">Model!$CO$260</definedName>
    <definedName name="B_NCA_FITB_H2_15">Model!$CR$260</definedName>
    <definedName name="B_NCA_FITB_H2_16">Model!$CU$260</definedName>
    <definedName name="B_NCA_FITB_H2_17">Model!$CX$260</definedName>
    <definedName name="B_NCA_FITB_H2_18">Model!$DA$260</definedName>
    <definedName name="B_NCA_FITB_H2_19">Model!$DD$260</definedName>
    <definedName name="B_NCA_FITB_H2_20">Model!$DG$260</definedName>
    <definedName name="B_NCA_GW_00">Model!$AZ$253</definedName>
    <definedName name="B_NCA_GW_01">Model!$BC$253</definedName>
    <definedName name="B_NCA_GW_02">Model!$BF$253</definedName>
    <definedName name="B_NCA_GW_03">Model!$BI$253</definedName>
    <definedName name="B_NCA_GW_04">Model!$BL$253</definedName>
    <definedName name="B_NCA_GW_05">Model!$BO$253</definedName>
    <definedName name="B_NCA_GW_06">Model!$BR$253</definedName>
    <definedName name="B_NCA_GW_07">Model!$BU$253</definedName>
    <definedName name="B_NCA_GW_08">Model!$BX$253</definedName>
    <definedName name="B_NCA_GW_09">Model!$CA$253</definedName>
    <definedName name="B_NCA_GW_10">Model!$CD$253</definedName>
    <definedName name="B_NCA_GW_11">Model!$CG$253</definedName>
    <definedName name="B_NCA_GW_12">Model!$CJ$253</definedName>
    <definedName name="B_NCA_GW_13">Model!$CM$253</definedName>
    <definedName name="B_NCA_GW_14">Model!$CP$253</definedName>
    <definedName name="B_NCA_GW_15">Model!$CS$253</definedName>
    <definedName name="B_NCA_GW_16">Model!$CV$253</definedName>
    <definedName name="B_NCA_GW_17">Model!$CY$253</definedName>
    <definedName name="B_NCA_GW_18">Model!$DB$253</definedName>
    <definedName name="B_NCA_GW_19">Model!$DE$253</definedName>
    <definedName name="B_NCA_GW_20">Model!$DH$253</definedName>
    <definedName name="B_NCA_GW_H1_00">Model!$AX$253</definedName>
    <definedName name="B_NCA_GW_H1_01">Model!$BA$253</definedName>
    <definedName name="B_NCA_GW_H1_02">Model!$BD$253</definedName>
    <definedName name="B_NCA_GW_H1_03">Model!$BG$253</definedName>
    <definedName name="B_NCA_GW_H1_04">Model!$BJ$253</definedName>
    <definedName name="B_NCA_GW_H1_05">Model!$BM$253</definedName>
    <definedName name="B_NCA_GW_H1_06">Model!$BP$253</definedName>
    <definedName name="B_NCA_GW_H1_07">Model!$BS$253</definedName>
    <definedName name="B_NCA_GW_H1_08">Model!$BV$253</definedName>
    <definedName name="B_NCA_GW_H1_09">Model!$BY$253</definedName>
    <definedName name="B_NCA_GW_H1_10">Model!$CB$253</definedName>
    <definedName name="B_NCA_GW_H1_11">Model!$CE$253</definedName>
    <definedName name="B_NCA_GW_H1_12">Model!$CH$253</definedName>
    <definedName name="B_NCA_GW_H1_13">Model!$CK$253</definedName>
    <definedName name="B_NCA_GW_H1_14">Model!$CN$253</definedName>
    <definedName name="B_NCA_GW_H1_15">Model!$CQ$253</definedName>
    <definedName name="B_NCA_GW_H1_16">Model!$CT$253</definedName>
    <definedName name="B_NCA_GW_H1_17">Model!$CW$253</definedName>
    <definedName name="B_NCA_GW_H1_18">Model!$CZ$253</definedName>
    <definedName name="B_NCA_GW_H1_19">Model!$DC$253</definedName>
    <definedName name="B_NCA_GW_H1_20">Model!$DF$253</definedName>
    <definedName name="B_NCA_GW_H2_00">Model!$AY$253</definedName>
    <definedName name="B_NCA_GW_H2_01">Model!$BB$253</definedName>
    <definedName name="B_NCA_GW_H2_02">Model!$BE$253</definedName>
    <definedName name="B_NCA_GW_H2_03">Model!$BH$253</definedName>
    <definedName name="B_NCA_GW_H2_04">Model!$BK$253</definedName>
    <definedName name="B_NCA_GW_H2_05">Model!$BN$253</definedName>
    <definedName name="B_NCA_GW_H2_06">Model!$BQ$253</definedName>
    <definedName name="B_NCA_GW_H2_07">Model!$BT$253</definedName>
    <definedName name="B_NCA_GW_H2_08">Model!$BW$253</definedName>
    <definedName name="B_NCA_GW_H2_09">Model!$BZ$253</definedName>
    <definedName name="B_NCA_GW_H2_10">Model!$CC$253</definedName>
    <definedName name="B_NCA_GW_H2_11">Model!$CF$253</definedName>
    <definedName name="B_NCA_GW_H2_12">Model!$CI$253</definedName>
    <definedName name="B_NCA_GW_H2_13">Model!$CL$253</definedName>
    <definedName name="B_NCA_GW_H2_14">Model!$CO$253</definedName>
    <definedName name="B_NCA_GW_H2_15">Model!$CR$253</definedName>
    <definedName name="B_NCA_GW_H2_16">Model!$CU$253</definedName>
    <definedName name="B_NCA_GW_H2_17">Model!$CX$253</definedName>
    <definedName name="B_NCA_GW_H2_18">Model!$DA$253</definedName>
    <definedName name="B_NCA_GW_H2_19">Model!$DD$253</definedName>
    <definedName name="B_NCA_GW_H2_20">Model!$DG$253</definedName>
    <definedName name="B_NCA_InvA_00">Model!$AZ$511</definedName>
    <definedName name="B_NCA_InvA_01">Model!$BC$511</definedName>
    <definedName name="B_NCA_InvA_02">Model!$BF$511</definedName>
    <definedName name="B_NCA_InvA_03">Model!$BI$511</definedName>
    <definedName name="B_NCA_InvA_04">Model!$BL$511</definedName>
    <definedName name="B_NCA_InvA_05">Model!$BO$511</definedName>
    <definedName name="B_NCA_InvA_06">Model!$BR$511</definedName>
    <definedName name="B_NCA_InvA_07">Model!$BU$511</definedName>
    <definedName name="B_NCA_InvA_08">Model!$BX$511</definedName>
    <definedName name="B_NCA_InvA_09">Model!$CA$511</definedName>
    <definedName name="B_NCA_InvA_10">Model!$CD$511</definedName>
    <definedName name="B_NCA_InvA_11">Model!$CG$511</definedName>
    <definedName name="B_NCA_InvA_12">Model!$CJ$511</definedName>
    <definedName name="B_NCA_InvA_13">Model!$CM$511</definedName>
    <definedName name="B_NCA_InvA_14">Model!$CP$511</definedName>
    <definedName name="B_NCA_InvA_15">Model!$CS$511</definedName>
    <definedName name="B_NCA_InvA_16">Model!$CV$511</definedName>
    <definedName name="B_NCA_InvA_17">Model!$CY$511</definedName>
    <definedName name="B_NCA_InvA_18">Model!$DB$511</definedName>
    <definedName name="B_NCA_InvA_19">Model!$DE$511</definedName>
    <definedName name="B_NCA_InvA_20">Model!$DH$511</definedName>
    <definedName name="B_NCA_InvA_H1_00">Model!$AX$511</definedName>
    <definedName name="B_NCA_InvA_H1_01">Model!$BA$511</definedName>
    <definedName name="B_NCA_InvA_H1_02">Model!$BD$511</definedName>
    <definedName name="B_NCA_InvA_H1_03">Model!$BG$511</definedName>
    <definedName name="B_NCA_InvA_H1_04">Model!$BJ$511</definedName>
    <definedName name="B_NCA_InvA_H1_05">Model!$BM$511</definedName>
    <definedName name="B_NCA_InvA_H1_06">Model!$BP$511</definedName>
    <definedName name="B_NCA_InvA_H1_07">Model!$BS$511</definedName>
    <definedName name="B_NCA_InvA_H1_08">Model!$BV$511</definedName>
    <definedName name="B_NCA_InvA_H1_09">Model!$BY$511</definedName>
    <definedName name="B_NCA_InvA_H1_10">Model!$CB$511</definedName>
    <definedName name="B_NCA_InvA_H1_11">Model!$CE$511</definedName>
    <definedName name="B_NCA_InvA_H1_12">Model!$CH$511</definedName>
    <definedName name="B_NCA_InvA_H1_13">Model!$CK$511</definedName>
    <definedName name="B_NCA_InvA_H1_14">Model!$CN$511</definedName>
    <definedName name="B_NCA_InvA_H1_15">Model!$CQ$511</definedName>
    <definedName name="B_NCA_InvA_H1_16">Model!$CT$511</definedName>
    <definedName name="B_NCA_InvA_H1_17">Model!$CW$511</definedName>
    <definedName name="B_NCA_InvA_H1_18">Model!$CZ$511</definedName>
    <definedName name="B_NCA_InvA_H1_19">Model!$DC$511</definedName>
    <definedName name="B_NCA_InvA_H1_20">Model!$DF$511</definedName>
    <definedName name="B_NCA_InvA_H2_00">Model!$AY$511</definedName>
    <definedName name="B_NCA_InvA_H2_01">Model!$BB$511</definedName>
    <definedName name="B_NCA_InvA_H2_02">Model!$BE$511</definedName>
    <definedName name="B_NCA_InvA_H2_03">Model!$BH$511</definedName>
    <definedName name="B_NCA_InvA_H2_04">Model!$BK$511</definedName>
    <definedName name="B_NCA_InvA_H2_05">Model!$BN$511</definedName>
    <definedName name="B_NCA_InvA_H2_06">Model!$BQ$511</definedName>
    <definedName name="B_NCA_InvA_H2_07">Model!$BT$511</definedName>
    <definedName name="B_NCA_InvA_H2_08">Model!$BW$511</definedName>
    <definedName name="B_NCA_InvA_H2_09">Model!$BZ$511</definedName>
    <definedName name="B_NCA_InvA_H2_10">Model!$CC$511</definedName>
    <definedName name="B_NCA_InvA_H2_11">Model!$CF$511</definedName>
    <definedName name="B_NCA_InvA_H2_12">Model!$CI$511</definedName>
    <definedName name="B_NCA_InvA_H2_13">Model!$CL$511</definedName>
    <definedName name="B_NCA_InvA_H2_14">Model!$CO$511</definedName>
    <definedName name="B_NCA_InvA_H2_15">Model!$CR$511</definedName>
    <definedName name="B_NCA_InvA_H2_16">Model!$CU$511</definedName>
    <definedName name="B_NCA_InvA_H2_17">Model!$CX$511</definedName>
    <definedName name="B_NCA_InvA_H2_18">Model!$DA$511</definedName>
    <definedName name="B_NCA_InvA_H2_19">Model!$DD$511</definedName>
    <definedName name="B_NCA_InvA_H2_20">Model!$DG$511</definedName>
    <definedName name="B_NCA_Invent_00">Model!$AZ$251</definedName>
    <definedName name="B_NCA_Invent_01">Model!$BC$251</definedName>
    <definedName name="B_NCA_Invent_02">Model!$BF$251</definedName>
    <definedName name="B_NCA_Invent_03">Model!$BI$251</definedName>
    <definedName name="B_NCA_Invent_04">Model!$BL$251</definedName>
    <definedName name="B_NCA_Invent_05">Model!$BO$251</definedName>
    <definedName name="B_NCA_Invent_06">Model!$BR$251</definedName>
    <definedName name="B_NCA_Invent_07">Model!$BU$251</definedName>
    <definedName name="B_NCA_Invent_08">Model!$BX$251</definedName>
    <definedName name="B_NCA_Invent_09">Model!$CA$251</definedName>
    <definedName name="B_NCA_Invent_10">Model!$CD$251</definedName>
    <definedName name="B_NCA_Invent_11">Model!$CG$251</definedName>
    <definedName name="B_NCA_Invent_12">Model!$CJ$251</definedName>
    <definedName name="B_NCA_Invent_13">Model!$CM$251</definedName>
    <definedName name="B_NCA_Invent_14">Model!$CP$251</definedName>
    <definedName name="B_NCA_Invent_15">Model!$CS$251</definedName>
    <definedName name="B_NCA_Invent_16">Model!$CV$251</definedName>
    <definedName name="B_NCA_Invent_17">Model!$CY$251</definedName>
    <definedName name="B_NCA_Invent_18">Model!$DB$251</definedName>
    <definedName name="B_NCA_Invent_19">Model!$DE$251</definedName>
    <definedName name="B_NCA_Invent_20">Model!$DH$251</definedName>
    <definedName name="B_NCA_Invent_H1_00">Model!$AX$251</definedName>
    <definedName name="B_NCA_Invent_H1_01">Model!$BA$251</definedName>
    <definedName name="B_NCA_Invent_H1_02">Model!$BD$251</definedName>
    <definedName name="B_NCA_Invent_H1_03">Model!$BG$251</definedName>
    <definedName name="B_NCA_Invent_H1_04">Model!$BJ$251</definedName>
    <definedName name="B_NCA_Invent_H1_05">Model!$BM$251</definedName>
    <definedName name="B_NCA_Invent_H1_06">Model!$BP$251</definedName>
    <definedName name="B_NCA_Invent_H1_07">Model!$BS$251</definedName>
    <definedName name="B_NCA_Invent_H1_08">Model!$BV$251</definedName>
    <definedName name="B_NCA_Invent_H1_09">Model!$BY$251</definedName>
    <definedName name="B_NCA_Invent_H1_10">Model!$CB$251</definedName>
    <definedName name="B_NCA_Invent_H1_11">Model!$CE$251</definedName>
    <definedName name="B_NCA_Invent_H1_12">Model!$CH$251</definedName>
    <definedName name="B_NCA_Invent_H1_13">Model!$CK$251</definedName>
    <definedName name="B_NCA_Invent_H1_14">Model!$CN$251</definedName>
    <definedName name="B_NCA_Invent_H1_15">Model!$CQ$251</definedName>
    <definedName name="B_NCA_Invent_H1_16">Model!$CT$251</definedName>
    <definedName name="B_NCA_Invent_H1_17">Model!$CW$251</definedName>
    <definedName name="B_NCA_Invent_H1_18">Model!$CZ$251</definedName>
    <definedName name="B_NCA_Invent_H1_19">Model!$DC$251</definedName>
    <definedName name="B_NCA_Invent_H1_20">Model!$DF$251</definedName>
    <definedName name="B_NCA_Invent_H2_00">Model!$AY$251</definedName>
    <definedName name="B_NCA_Invent_H2_01">Model!$BB$251</definedName>
    <definedName name="B_NCA_Invent_H2_02">Model!$BE$251</definedName>
    <definedName name="B_NCA_Invent_H2_03">Model!$BH$251</definedName>
    <definedName name="B_NCA_Invent_H2_04">Model!$BK$251</definedName>
    <definedName name="B_NCA_Invent_H2_05">Model!$BN$251</definedName>
    <definedName name="B_NCA_Invent_H2_06">Model!$BQ$251</definedName>
    <definedName name="B_NCA_Invent_H2_07">Model!$BT$251</definedName>
    <definedName name="B_NCA_Invent_H2_08">Model!$BW$251</definedName>
    <definedName name="B_NCA_Invent_H2_09">Model!$BZ$251</definedName>
    <definedName name="B_NCA_Invent_H2_10">Model!$CC$251</definedName>
    <definedName name="B_NCA_Invent_H2_11">Model!$CF$251</definedName>
    <definedName name="B_NCA_Invent_H2_12">Model!$CI$251</definedName>
    <definedName name="B_NCA_Invent_H2_13">Model!$CL$251</definedName>
    <definedName name="B_NCA_Invent_H2_14">Model!$CO$251</definedName>
    <definedName name="B_NCA_Invent_H2_15">Model!$CR$251</definedName>
    <definedName name="B_NCA_Invent_H2_16">Model!$CU$251</definedName>
    <definedName name="B_NCA_Invent_H2_17">Model!$CX$251</definedName>
    <definedName name="B_NCA_Invent_H2_18">Model!$DA$251</definedName>
    <definedName name="B_NCA_Invent_H2_19">Model!$DD$251</definedName>
    <definedName name="B_NCA_Invent_H2_20">Model!$DG$251</definedName>
    <definedName name="B_NCA_InvO_00">Model!$AZ$512</definedName>
    <definedName name="B_NCA_InvO_01">Model!$BC$512</definedName>
    <definedName name="B_NCA_InvO_02">Model!$BF$512</definedName>
    <definedName name="B_NCA_InvO_03">Model!$BI$512</definedName>
    <definedName name="B_NCA_InvO_04">Model!$BL$512</definedName>
    <definedName name="B_NCA_InvO_05">Model!$BO$512</definedName>
    <definedName name="B_NCA_InvO_06">Model!$BR$512</definedName>
    <definedName name="B_NCA_InvO_07">Model!$BU$512</definedName>
    <definedName name="B_NCA_InvO_08">Model!$BX$512</definedName>
    <definedName name="B_NCA_InvO_09">Model!$CA$512</definedName>
    <definedName name="B_NCA_InvO_10">Model!$CD$512</definedName>
    <definedName name="B_NCA_InvO_11">Model!$CG$512</definedName>
    <definedName name="B_NCA_InvO_12">Model!$CJ$512</definedName>
    <definedName name="B_NCA_InvO_13">Model!$CM$512</definedName>
    <definedName name="B_NCA_InvO_14">Model!$CP$512</definedName>
    <definedName name="B_NCA_InvO_15">Model!$CS$512</definedName>
    <definedName name="B_NCA_InvO_16">Model!$CV$512</definedName>
    <definedName name="B_NCA_InvO_17">Model!$CY$512</definedName>
    <definedName name="B_NCA_InvO_18">Model!$DB$512</definedName>
    <definedName name="B_NCA_InvO_19">Model!$DE$512</definedName>
    <definedName name="B_NCA_InvO_20">Model!$DH$512</definedName>
    <definedName name="B_NCA_InvO_H1_00">Model!$AX$512</definedName>
    <definedName name="B_NCA_InvO_H1_01">Model!$BA$512</definedName>
    <definedName name="B_NCA_InvO_H1_02">Model!$BD$512</definedName>
    <definedName name="B_NCA_InvO_H1_03">Model!$BG$512</definedName>
    <definedName name="B_NCA_InvO_H1_04">Model!$BJ$512</definedName>
    <definedName name="B_NCA_InvO_H1_05">Model!$BM$512</definedName>
    <definedName name="B_NCA_InvO_H1_06">Model!$BP$512</definedName>
    <definedName name="B_NCA_InvO_H1_07">Model!$BS$512</definedName>
    <definedName name="B_NCA_InvO_H1_08">Model!$BV$512</definedName>
    <definedName name="B_NCA_InvO_H1_09">Model!$BY$512</definedName>
    <definedName name="B_NCA_InvO_H1_10">Model!$CB$512</definedName>
    <definedName name="B_NCA_InvO_H1_11">Model!$CE$512</definedName>
    <definedName name="B_NCA_InvO_H1_12">Model!$CH$512</definedName>
    <definedName name="B_NCA_InvO_H1_13">Model!$CK$512</definedName>
    <definedName name="B_NCA_InvO_H1_14">Model!$CN$512</definedName>
    <definedName name="B_NCA_InvO_H1_15">Model!$CQ$512</definedName>
    <definedName name="B_NCA_InvO_H1_16">Model!$CT$512</definedName>
    <definedName name="B_NCA_InvO_H1_17">Model!$CW$512</definedName>
    <definedName name="B_NCA_InvO_H1_18">Model!$CZ$512</definedName>
    <definedName name="B_NCA_InvO_H1_19">Model!$DC$512</definedName>
    <definedName name="B_NCA_InvO_H1_20">Model!$DF$512</definedName>
    <definedName name="B_NCA_InvO_H2_00">Model!$AY$512</definedName>
    <definedName name="B_NCA_InvO_H2_01">Model!$BB$512</definedName>
    <definedName name="B_NCA_InvO_H2_02">Model!$BE$512</definedName>
    <definedName name="B_NCA_InvO_H2_03">Model!$BH$512</definedName>
    <definedName name="B_NCA_InvO_H2_04">Model!$BK$512</definedName>
    <definedName name="B_NCA_InvO_H2_05">Model!$BN$512</definedName>
    <definedName name="B_NCA_InvO_H2_06">Model!$BQ$512</definedName>
    <definedName name="B_NCA_InvO_H2_07">Model!$BT$512</definedName>
    <definedName name="B_NCA_InvO_H2_08">Model!$BW$512</definedName>
    <definedName name="B_NCA_InvO_H2_09">Model!$BZ$512</definedName>
    <definedName name="B_NCA_InvO_H2_10">Model!$CC$512</definedName>
    <definedName name="B_NCA_InvO_H2_11">Model!$CF$512</definedName>
    <definedName name="B_NCA_InvO_H2_12">Model!$CI$512</definedName>
    <definedName name="B_NCA_InvO_H2_13">Model!$CL$512</definedName>
    <definedName name="B_NCA_InvO_H2_14">Model!$CO$512</definedName>
    <definedName name="B_NCA_InvO_H2_15">Model!$CR$512</definedName>
    <definedName name="B_NCA_InvO_H2_16">Model!$CU$512</definedName>
    <definedName name="B_NCA_InvO_H2_17">Model!$CX$512</definedName>
    <definedName name="B_NCA_InvO_H2_18">Model!$DA$512</definedName>
    <definedName name="B_NCA_InvO_H2_19">Model!$DD$512</definedName>
    <definedName name="B_NCA_InvO_H2_20">Model!$DG$512</definedName>
    <definedName name="B_NCA_Lic_00">Model!$AZ$256</definedName>
    <definedName name="B_NCA_Lic_01">Model!$BC$256</definedName>
    <definedName name="B_NCA_Lic_02">Model!$BF$256</definedName>
    <definedName name="B_NCA_Lic_03">Model!$BI$256</definedName>
    <definedName name="B_NCA_Lic_04">Model!$BL$256</definedName>
    <definedName name="B_NCA_Lic_05">Model!$BO$256</definedName>
    <definedName name="B_NCA_Lic_06">Model!$BR$256</definedName>
    <definedName name="B_NCA_Lic_07">Model!$BU$256</definedName>
    <definedName name="B_NCA_Lic_08">Model!$BX$256</definedName>
    <definedName name="B_NCA_Lic_09">Model!$CA$256</definedName>
    <definedName name="B_NCA_Lic_10">Model!$CD$256</definedName>
    <definedName name="B_NCA_Lic_11">Model!$CG$256</definedName>
    <definedName name="B_NCA_Lic_12">Model!$CJ$256</definedName>
    <definedName name="B_NCA_Lic_13">Model!$CM$256</definedName>
    <definedName name="B_NCA_Lic_14">Model!$CP$256</definedName>
    <definedName name="B_NCA_Lic_15">Model!$CS$256</definedName>
    <definedName name="B_NCA_Lic_16">Model!$CV$256</definedName>
    <definedName name="B_NCA_Lic_17">Model!$CY$256</definedName>
    <definedName name="B_NCA_Lic_18">Model!$DB$256</definedName>
    <definedName name="B_NCA_Lic_19">Model!$DE$256</definedName>
    <definedName name="B_NCA_Lic_20">Model!$DH$256</definedName>
    <definedName name="B_NCA_Lic_H1_00">Model!$AX$256</definedName>
    <definedName name="B_NCA_Lic_H1_01">Model!$BA$256</definedName>
    <definedName name="B_NCA_Lic_H1_02">Model!$BD$256</definedName>
    <definedName name="B_NCA_Lic_H1_03">Model!$BG$256</definedName>
    <definedName name="B_NCA_Lic_H1_04">Model!$BJ$256</definedName>
    <definedName name="B_NCA_Lic_H1_05">Model!$BM$256</definedName>
    <definedName name="B_NCA_Lic_H1_06">Model!$BP$256</definedName>
    <definedName name="B_NCA_Lic_H1_07">Model!$BS$256</definedName>
    <definedName name="B_NCA_Lic_H1_08">Model!$BV$256</definedName>
    <definedName name="B_NCA_Lic_H1_09">Model!$BY$256</definedName>
    <definedName name="B_NCA_Lic_H1_10">Model!$CB$256</definedName>
    <definedName name="B_NCA_Lic_H1_11">Model!$CE$256</definedName>
    <definedName name="B_NCA_Lic_H1_12">Model!$CH$256</definedName>
    <definedName name="B_NCA_Lic_H1_13">Model!$CK$256</definedName>
    <definedName name="B_NCA_Lic_H1_14">Model!$CN$256</definedName>
    <definedName name="B_NCA_Lic_H1_15">Model!$CQ$256</definedName>
    <definedName name="B_NCA_Lic_H1_16">Model!$CT$256</definedName>
    <definedName name="B_NCA_Lic_H1_17">Model!$CW$256</definedName>
    <definedName name="B_NCA_Lic_H1_18">Model!$CZ$256</definedName>
    <definedName name="B_NCA_Lic_H1_19">Model!$DC$256</definedName>
    <definedName name="B_NCA_Lic_H1_20">Model!$DF$256</definedName>
    <definedName name="B_NCA_Lic_H2_00">Model!$AY$256</definedName>
    <definedName name="B_NCA_Lic_H2_01">Model!$BB$256</definedName>
    <definedName name="B_NCA_Lic_H2_02">Model!$BE$256</definedName>
    <definedName name="B_NCA_Lic_H2_03">Model!$BH$256</definedName>
    <definedName name="B_NCA_Lic_H2_04">Model!$BK$256</definedName>
    <definedName name="B_NCA_Lic_H2_05">Model!$BN$256</definedName>
    <definedName name="B_NCA_Lic_H2_06">Model!$BQ$256</definedName>
    <definedName name="B_NCA_Lic_H2_07">Model!$BT$256</definedName>
    <definedName name="B_NCA_Lic_H2_08">Model!$BW$256</definedName>
    <definedName name="B_NCA_Lic_H2_09">Model!$BZ$256</definedName>
    <definedName name="B_NCA_Lic_H2_10">Model!$CC$256</definedName>
    <definedName name="B_NCA_Lic_H2_11">Model!$CF$256</definedName>
    <definedName name="B_NCA_Lic_H2_12">Model!$CI$256</definedName>
    <definedName name="B_NCA_Lic_H2_13">Model!$CL$256</definedName>
    <definedName name="B_NCA_Lic_H2_14">Model!$CO$256</definedName>
    <definedName name="B_NCA_Lic_H2_15">Model!$CR$256</definedName>
    <definedName name="B_NCA_Lic_H2_16">Model!$CU$256</definedName>
    <definedName name="B_NCA_Lic_H2_17">Model!$CX$256</definedName>
    <definedName name="B_NCA_Lic_H2_18">Model!$DA$256</definedName>
    <definedName name="B_NCA_Lic_H2_19">Model!$DD$256</definedName>
    <definedName name="B_NCA_Lic_H2_20">Model!$DG$256</definedName>
    <definedName name="B_NCA_Oth_00">Model!$AZ$259</definedName>
    <definedName name="B_NCA_Oth_01">Model!$BC$259</definedName>
    <definedName name="B_NCA_Oth_02">Model!$BF$259</definedName>
    <definedName name="B_NCA_Oth_03">Model!$BI$259</definedName>
    <definedName name="B_NCA_Oth_04">Model!$BL$259</definedName>
    <definedName name="B_NCA_Oth_05">Model!$BO$259</definedName>
    <definedName name="B_NCA_Oth_06">Model!$BR$259</definedName>
    <definedName name="B_NCA_Oth_07">Model!$BU$259</definedName>
    <definedName name="B_NCA_Oth_08">Model!$BX$259</definedName>
    <definedName name="B_NCA_Oth_09">Model!$CA$259</definedName>
    <definedName name="B_NCA_Oth_10">Model!$CD$259</definedName>
    <definedName name="B_NCA_Oth_11">Model!$CG$259</definedName>
    <definedName name="B_NCA_Oth_12">Model!$CJ$259</definedName>
    <definedName name="B_NCA_Oth_13">Model!$CM$259</definedName>
    <definedName name="B_NCA_Oth_14">Model!$CP$259</definedName>
    <definedName name="B_NCA_Oth_15">Model!$CS$259</definedName>
    <definedName name="B_NCA_Oth_16">Model!$CV$259</definedName>
    <definedName name="B_NCA_Oth_17">Model!$CY$259</definedName>
    <definedName name="B_NCA_Oth_18">Model!$DB$259</definedName>
    <definedName name="B_NCA_Oth_19">Model!$DE$259</definedName>
    <definedName name="B_NCA_Oth_20">Model!$DH$259</definedName>
    <definedName name="B_NCA_Oth_H1_00">Model!$AX$259</definedName>
    <definedName name="B_NCA_Oth_H1_01">Model!$BA$259</definedName>
    <definedName name="B_NCA_Oth_H1_02">Model!$BD$259</definedName>
    <definedName name="B_NCA_Oth_H1_03">Model!$BG$259</definedName>
    <definedName name="B_NCA_Oth_H1_04">Model!$BJ$259</definedName>
    <definedName name="B_NCA_Oth_H1_05">Model!$BM$259</definedName>
    <definedName name="B_NCA_Oth_H1_06">Model!$BP$259</definedName>
    <definedName name="B_NCA_Oth_H1_07">Model!$BS$259</definedName>
    <definedName name="B_NCA_Oth_H1_08">Model!$BV$259</definedName>
    <definedName name="B_NCA_Oth_H1_09">Model!$BY$259</definedName>
    <definedName name="B_NCA_Oth_H1_10">Model!$CB$259</definedName>
    <definedName name="B_NCA_Oth_H1_11">Model!$CE$259</definedName>
    <definedName name="B_NCA_Oth_H1_12">Model!$CH$259</definedName>
    <definedName name="B_NCA_Oth_H1_13">Model!$CK$259</definedName>
    <definedName name="B_NCA_Oth_H1_14">Model!$CN$259</definedName>
    <definedName name="B_NCA_Oth_H1_15">Model!$CQ$259</definedName>
    <definedName name="B_NCA_Oth_H1_16">Model!$CT$259</definedName>
    <definedName name="B_NCA_Oth_H1_17">Model!$CW$259</definedName>
    <definedName name="B_NCA_Oth_H1_18">Model!$CZ$259</definedName>
    <definedName name="B_NCA_Oth_H1_19">Model!$DC$259</definedName>
    <definedName name="B_NCA_Oth_H1_20">Model!$DF$259</definedName>
    <definedName name="B_NCA_Oth_H2_00">Model!$AY$259</definedName>
    <definedName name="B_NCA_Oth_H2_01">Model!$BB$259</definedName>
    <definedName name="B_NCA_Oth_H2_02">Model!$BE$259</definedName>
    <definedName name="B_NCA_Oth_H2_03">Model!$BH$259</definedName>
    <definedName name="B_NCA_Oth_H2_04">Model!$BK$259</definedName>
    <definedName name="B_NCA_Oth_H2_05">Model!$BN$259</definedName>
    <definedName name="B_NCA_Oth_H2_06">Model!$BQ$259</definedName>
    <definedName name="B_NCA_Oth_H2_07">Model!$BT$259</definedName>
    <definedName name="B_NCA_Oth_H2_08">Model!$BW$259</definedName>
    <definedName name="B_NCA_Oth_H2_09">Model!$BZ$259</definedName>
    <definedName name="B_NCA_Oth_H2_10">Model!$CC$259</definedName>
    <definedName name="B_NCA_Oth_H2_11">Model!$CF$259</definedName>
    <definedName name="B_NCA_Oth_H2_12">Model!$CI$259</definedName>
    <definedName name="B_NCA_Oth_H2_13">Model!$CL$259</definedName>
    <definedName name="B_NCA_Oth_H2_14">Model!$CO$259</definedName>
    <definedName name="B_NCA_Oth_H2_15">Model!$CR$259</definedName>
    <definedName name="B_NCA_Oth_H2_16">Model!$CU$259</definedName>
    <definedName name="B_NCA_Oth_H2_17">Model!$CX$259</definedName>
    <definedName name="B_NCA_Oth_H2_18">Model!$DA$259</definedName>
    <definedName name="B_NCA_Oth_H2_19">Model!$DD$259</definedName>
    <definedName name="B_NCA_Oth_H2_20">Model!$DG$259</definedName>
    <definedName name="B_NCA_OthInt_00">Model!$AZ$257</definedName>
    <definedName name="B_NCA_OthInt_01">Model!$BC$257</definedName>
    <definedName name="B_NCA_OthInt_02">Model!$BF$257</definedName>
    <definedName name="B_NCA_OthInt_03">Model!$BI$257</definedName>
    <definedName name="B_NCA_OthInt_04">Model!$BL$257</definedName>
    <definedName name="B_NCA_OthInt_05">Model!$BO$257</definedName>
    <definedName name="B_NCA_OthInt_06">Model!$BR$257</definedName>
    <definedName name="B_NCA_OthInt_07">Model!$BU$257</definedName>
    <definedName name="B_NCA_OthInt_08">Model!$BX$257</definedName>
    <definedName name="B_NCA_OthInt_09">Model!$CA$257</definedName>
    <definedName name="B_NCA_OthInt_10">Model!$CD$257</definedName>
    <definedName name="B_NCA_OthInt_11">Model!$CG$257</definedName>
    <definedName name="B_NCA_OthInt_12">Model!$CJ$257</definedName>
    <definedName name="B_NCA_OthInt_13">Model!$CM$257</definedName>
    <definedName name="B_NCA_OthInt_14">Model!$CP$257</definedName>
    <definedName name="B_NCA_OthInt_15">Model!$CS$257</definedName>
    <definedName name="B_NCA_OthInt_16">Model!$CV$257</definedName>
    <definedName name="B_NCA_OthInt_17">Model!$CY$257</definedName>
    <definedName name="B_NCA_OthInt_18">Model!$DB$257</definedName>
    <definedName name="B_NCA_OthInt_19">Model!$DE$257</definedName>
    <definedName name="B_NCA_OthInt_20">Model!$DH$257</definedName>
    <definedName name="B_NCA_OthInt_H1_00">Model!$AX$257</definedName>
    <definedName name="B_NCA_OthInt_H1_01">Model!$BA$257</definedName>
    <definedName name="B_NCA_OthInt_H1_02">Model!$BD$257</definedName>
    <definedName name="B_NCA_OthInt_H1_03">Model!$BG$257</definedName>
    <definedName name="B_NCA_OthInt_H1_04">Model!$BJ$257</definedName>
    <definedName name="B_NCA_OthInt_H1_05">Model!$BM$257</definedName>
    <definedName name="B_NCA_OthInt_H1_06">Model!$BP$257</definedName>
    <definedName name="B_NCA_OthInt_H1_07">Model!$BS$257</definedName>
    <definedName name="B_NCA_OthInt_H1_08">Model!$BV$257</definedName>
    <definedName name="B_NCA_OthInt_H1_09">Model!$BY$257</definedName>
    <definedName name="B_NCA_OthInt_H1_10">Model!$CB$257</definedName>
    <definedName name="B_NCA_OthInt_H1_11">Model!$CE$257</definedName>
    <definedName name="B_NCA_OthInt_H1_12">Model!$CH$257</definedName>
    <definedName name="B_NCA_OthInt_H1_13">Model!$CK$257</definedName>
    <definedName name="B_NCA_OthInt_H1_14">Model!$CN$257</definedName>
    <definedName name="B_NCA_OthInt_H1_15">Model!$CQ$257</definedName>
    <definedName name="B_NCA_OthInt_H1_16">Model!$CT$257</definedName>
    <definedName name="B_NCA_OthInt_H1_17">Model!$CW$257</definedName>
    <definedName name="B_NCA_OthInt_H1_18">Model!$CZ$257</definedName>
    <definedName name="B_NCA_OthInt_H1_19">Model!$DC$257</definedName>
    <definedName name="B_NCA_OthInt_H1_20">Model!$DF$257</definedName>
    <definedName name="B_NCA_OthInt_H2_00">Model!$AY$257</definedName>
    <definedName name="B_NCA_OthInt_H2_01">Model!$BB$257</definedName>
    <definedName name="B_NCA_OthInt_H2_02">Model!$BE$257</definedName>
    <definedName name="B_NCA_OthInt_H2_03">Model!$BH$257</definedName>
    <definedName name="B_NCA_OthInt_H2_04">Model!$BK$257</definedName>
    <definedName name="B_NCA_OthInt_H2_05">Model!$BN$257</definedName>
    <definedName name="B_NCA_OthInt_H2_06">Model!$BQ$257</definedName>
    <definedName name="B_NCA_OthInt_H2_07">Model!$BT$257</definedName>
    <definedName name="B_NCA_OthInt_H2_08">Model!$BW$257</definedName>
    <definedName name="B_NCA_OthInt_H2_09">Model!$BZ$257</definedName>
    <definedName name="B_NCA_OthInt_H2_10">Model!$CC$257</definedName>
    <definedName name="B_NCA_OthInt_H2_11">Model!$CF$257</definedName>
    <definedName name="B_NCA_OthInt_H2_12">Model!$CI$257</definedName>
    <definedName name="B_NCA_OthInt_H2_13">Model!$CL$257</definedName>
    <definedName name="B_NCA_OthInt_H2_14">Model!$CO$257</definedName>
    <definedName name="B_NCA_OthInt_H2_15">Model!$CR$257</definedName>
    <definedName name="B_NCA_OthInt_H2_16">Model!$CU$257</definedName>
    <definedName name="B_NCA_OthInt_H2_17">Model!$CX$257</definedName>
    <definedName name="B_NCA_OthInt_H2_18">Model!$DA$257</definedName>
    <definedName name="B_NCA_OthInt_H2_19">Model!$DD$257</definedName>
    <definedName name="B_NCA_OthInt_H2_20">Model!$DG$257</definedName>
    <definedName name="B_NCA_PPE_00">Model!$AZ$247</definedName>
    <definedName name="B_NCA_PPE_01">Model!$BC$247</definedName>
    <definedName name="B_NCA_PPE_02">Model!$BF$247</definedName>
    <definedName name="B_NCA_PPE_03">Model!$BI$247</definedName>
    <definedName name="B_NCA_PPE_04">Model!$BL$247</definedName>
    <definedName name="B_NCA_PPE_05">Model!$BO$247</definedName>
    <definedName name="B_NCA_PPE_06">Model!$BR$247</definedName>
    <definedName name="B_NCA_PPE_07">Model!$BU$247</definedName>
    <definedName name="B_NCA_PPE_08">Model!$BX$247</definedName>
    <definedName name="B_NCA_PPE_09">Model!$CA$247</definedName>
    <definedName name="B_NCA_PPE_10">Model!$CD$247</definedName>
    <definedName name="B_NCA_PPE_11">Model!$CG$247</definedName>
    <definedName name="B_NCA_PPE_12">Model!$CJ$247</definedName>
    <definedName name="B_NCA_PPE_13">Model!$CM$247</definedName>
    <definedName name="B_NCA_PPE_14">Model!$CP$247</definedName>
    <definedName name="B_NCA_PPE_15">Model!$CS$247</definedName>
    <definedName name="B_NCA_PPE_16">Model!$CV$247</definedName>
    <definedName name="B_NCA_PPE_17">Model!$CY$247</definedName>
    <definedName name="B_NCA_PPE_18">Model!$DB$247</definedName>
    <definedName name="B_NCA_PPE_19">Model!$DE$247</definedName>
    <definedName name="B_NCA_PPE_20">Model!$DH$247</definedName>
    <definedName name="B_NCA_PPE_H1_00">Model!$AX$247</definedName>
    <definedName name="B_NCA_PPE_H1_01">Model!$BA$247</definedName>
    <definedName name="B_NCA_PPE_H1_02">Model!$BD$247</definedName>
    <definedName name="B_NCA_PPE_H1_03">Model!$BG$247</definedName>
    <definedName name="B_NCA_PPE_H1_04">Model!$BJ$247</definedName>
    <definedName name="B_NCA_PPE_H1_05">Model!$BM$247</definedName>
    <definedName name="B_NCA_PPE_H1_06">Model!$BP$247</definedName>
    <definedName name="B_NCA_PPE_H1_07">Model!$BS$247</definedName>
    <definedName name="B_NCA_PPE_H1_08">Model!$BV$247</definedName>
    <definedName name="B_NCA_PPE_H1_09">Model!$BY$247</definedName>
    <definedName name="B_NCA_PPE_H1_10">Model!$CB$247</definedName>
    <definedName name="B_NCA_PPE_H1_11">Model!$CE$247</definedName>
    <definedName name="B_NCA_PPE_H1_12">Model!$CH$247</definedName>
    <definedName name="B_NCA_PPE_H1_13">Model!$CK$247</definedName>
    <definedName name="B_NCA_PPE_H1_14">Model!$CN$247</definedName>
    <definedName name="B_NCA_PPE_H1_15">Model!$CQ$247</definedName>
    <definedName name="B_NCA_PPE_H1_16">Model!$CT$247</definedName>
    <definedName name="B_NCA_PPE_H1_17">Model!$CW$247</definedName>
    <definedName name="B_NCA_PPE_H1_18">Model!$CZ$247</definedName>
    <definedName name="B_NCA_PPE_H1_19">Model!$DC$247</definedName>
    <definedName name="B_NCA_PPE_H1_20">Model!$DF$247</definedName>
    <definedName name="B_NCA_PPE_H2_00">Model!$AY$247</definedName>
    <definedName name="B_NCA_PPE_H2_01">Model!$BB$247</definedName>
    <definedName name="B_NCA_PPE_H2_02">Model!$BE$247</definedName>
    <definedName name="B_NCA_PPE_H2_03">Model!$BH$247</definedName>
    <definedName name="B_NCA_PPE_H2_04">Model!$BK$247</definedName>
    <definedName name="B_NCA_PPE_H2_05">Model!$BN$247</definedName>
    <definedName name="B_NCA_PPE_H2_06">Model!$BQ$247</definedName>
    <definedName name="B_NCA_PPE_H2_07">Model!$BT$247</definedName>
    <definedName name="B_NCA_PPE_H2_08">Model!$BW$247</definedName>
    <definedName name="B_NCA_PPE_H2_09">Model!$BZ$247</definedName>
    <definedName name="B_NCA_PPE_H2_10">Model!$CC$247</definedName>
    <definedName name="B_NCA_PPE_H2_11">Model!$CF$247</definedName>
    <definedName name="B_NCA_PPE_H2_12">Model!$CI$247</definedName>
    <definedName name="B_NCA_PPE_H2_13">Model!$CL$247</definedName>
    <definedName name="B_NCA_PPE_H2_14">Model!$CO$247</definedName>
    <definedName name="B_NCA_PPE_H2_15">Model!$CR$247</definedName>
    <definedName name="B_NCA_PPE_H2_16">Model!$CU$247</definedName>
    <definedName name="B_NCA_PPE_H2_17">Model!$CX$247</definedName>
    <definedName name="B_NCA_PPE_H2_18">Model!$DA$247</definedName>
    <definedName name="B_NCA_PPE_H2_19">Model!$DD$247</definedName>
    <definedName name="B_NCA_PPE_H2_20">Model!$DG$247</definedName>
    <definedName name="B_NCA_TInt_00">Model!$AZ$252</definedName>
    <definedName name="B_NCA_TInt_01">Model!$BC$252</definedName>
    <definedName name="B_NCA_TInt_02">Model!$BF$252</definedName>
    <definedName name="B_NCA_TInt_03">Model!$BI$252</definedName>
    <definedName name="B_NCA_TInt_04">Model!$BL$252</definedName>
    <definedName name="B_NCA_TInt_05">Model!$BO$252</definedName>
    <definedName name="B_NCA_TInt_06">Model!$BR$252</definedName>
    <definedName name="B_NCA_TInt_07">Model!$BU$252</definedName>
    <definedName name="B_NCA_TInt_08">Model!$BX$252</definedName>
    <definedName name="B_NCA_TInt_09">Model!$CA$252</definedName>
    <definedName name="B_NCA_TInt_10">Model!$CD$252</definedName>
    <definedName name="B_NCA_TInt_11">Model!$CG$252</definedName>
    <definedName name="B_NCA_TInt_12">Model!$CJ$252</definedName>
    <definedName name="B_NCA_TInt_13">Model!$CM$252</definedName>
    <definedName name="B_NCA_TInt_14">Model!$CP$252</definedName>
    <definedName name="B_NCA_TInt_15">Model!$CS$252</definedName>
    <definedName name="B_NCA_TInt_16">Model!$CV$252</definedName>
    <definedName name="B_NCA_TInt_17">Model!$CY$252</definedName>
    <definedName name="B_NCA_TInt_18">Model!$DB$252</definedName>
    <definedName name="B_NCA_TInt_19">Model!$DE$252</definedName>
    <definedName name="B_NCA_TInt_20">Model!$DH$252</definedName>
    <definedName name="B_NCA_TInt_H1_00">Model!$AX$252</definedName>
    <definedName name="B_NCA_TInt_H1_01">Model!$BA$252</definedName>
    <definedName name="B_NCA_TInt_H1_02">Model!$BD$252</definedName>
    <definedName name="B_NCA_TInt_H1_03">Model!$BG$252</definedName>
    <definedName name="B_NCA_TInt_H1_04">Model!$BJ$252</definedName>
    <definedName name="B_NCA_TInt_H1_05">Model!$BM$252</definedName>
    <definedName name="B_NCA_TInt_H1_06">Model!$BP$252</definedName>
    <definedName name="B_NCA_TInt_H1_07">Model!$BS$252</definedName>
    <definedName name="B_NCA_TInt_H1_08">Model!$BV$252</definedName>
    <definedName name="B_NCA_TInt_H1_09">Model!$BY$252</definedName>
    <definedName name="B_NCA_TInt_H1_10">Model!$CB$252</definedName>
    <definedName name="B_NCA_TInt_H1_11">Model!$CE$252</definedName>
    <definedName name="B_NCA_TInt_H1_12">Model!$CH$252</definedName>
    <definedName name="B_NCA_TInt_H1_13">Model!$CK$252</definedName>
    <definedName name="B_NCA_TInt_H1_14">Model!$CN$252</definedName>
    <definedName name="B_NCA_TInt_H1_15">Model!$CQ$252</definedName>
    <definedName name="B_NCA_TInt_H1_16">Model!$CT$252</definedName>
    <definedName name="B_NCA_TInt_H1_17">Model!$CW$252</definedName>
    <definedName name="B_NCA_TInt_H1_18">Model!$CZ$252</definedName>
    <definedName name="B_NCA_TInt_H1_19">Model!$DC$252</definedName>
    <definedName name="B_NCA_TInt_H1_20">Model!$DF$252</definedName>
    <definedName name="B_NCA_TInt_H2_00">Model!$AY$252</definedName>
    <definedName name="B_NCA_TInt_H2_01">Model!$BB$252</definedName>
    <definedName name="B_NCA_TInt_H2_02">Model!$BE$252</definedName>
    <definedName name="B_NCA_TInt_H2_03">Model!$BH$252</definedName>
    <definedName name="B_NCA_TInt_H2_04">Model!$BK$252</definedName>
    <definedName name="B_NCA_TInt_H2_05">Model!$BN$252</definedName>
    <definedName name="B_NCA_TInt_H2_06">Model!$BQ$252</definedName>
    <definedName name="B_NCA_TInt_H2_07">Model!$BT$252</definedName>
    <definedName name="B_NCA_TInt_H2_08">Model!$BW$252</definedName>
    <definedName name="B_NCA_TInt_H2_09">Model!$BZ$252</definedName>
    <definedName name="B_NCA_TInt_H2_10">Model!$CC$252</definedName>
    <definedName name="B_NCA_TInt_H2_11">Model!$CF$252</definedName>
    <definedName name="B_NCA_TInt_H2_12">Model!$CI$252</definedName>
    <definedName name="B_NCA_TInt_H2_13">Model!$CL$252</definedName>
    <definedName name="B_NCA_TInt_H2_14">Model!$CO$252</definedName>
    <definedName name="B_NCA_TInt_H2_15">Model!$CR$252</definedName>
    <definedName name="B_NCA_TInt_H2_16">Model!$CU$252</definedName>
    <definedName name="B_NCA_TInt_H2_17">Model!$CX$252</definedName>
    <definedName name="B_NCA_TInt_H2_18">Model!$DA$252</definedName>
    <definedName name="B_NCA_TInt_H2_19">Model!$DD$252</definedName>
    <definedName name="B_NCA_TInt_H2_20">Model!$DG$252</definedName>
    <definedName name="b_ncb">Model!$BO$276</definedName>
    <definedName name="B_NCB_00">Model!$AZ$290</definedName>
    <definedName name="B_NCB_01">Model!$BC$290</definedName>
    <definedName name="B_NCB_02">Model!$BF$290</definedName>
    <definedName name="B_NCB_03">Model!$BI$290</definedName>
    <definedName name="B_NCB_04">Model!$BL$290</definedName>
    <definedName name="B_NCB_05">Model!$BO$290</definedName>
    <definedName name="B_NCB_06">Model!$BR$290</definedName>
    <definedName name="B_NCB_07">Model!$BU$290</definedName>
    <definedName name="B_NCB_08">Model!$BX$290</definedName>
    <definedName name="B_NCB_09">Model!$CA$290</definedName>
    <definedName name="B_NCB_10">Model!$CD$290</definedName>
    <definedName name="B_NCB_11">Model!$CG$290</definedName>
    <definedName name="B_NCB_12">Model!$CJ$290</definedName>
    <definedName name="B_NCB_13">Model!$CM$290</definedName>
    <definedName name="B_NCB_14">Model!$CP$290</definedName>
    <definedName name="B_NCB_15">Model!$CS$290</definedName>
    <definedName name="B_NCB_16">Model!$CV$290</definedName>
    <definedName name="B_NCB_17">Model!$CY$290</definedName>
    <definedName name="B_NCB_18">Model!$DB$290</definedName>
    <definedName name="B_NCB_19">Model!$DE$290</definedName>
    <definedName name="B_NCB_20">Model!$DH$290</definedName>
    <definedName name="B_NCB_95">Model!$AK$290</definedName>
    <definedName name="B_NCB_96">Model!$AN$290</definedName>
    <definedName name="B_NCB_97">Model!$AQ$290</definedName>
    <definedName name="B_NCB_98">Model!$AT$290</definedName>
    <definedName name="B_NCB_99">Model!$AW$290</definedName>
    <definedName name="B_NCCR_00">Model!$AZ$289</definedName>
    <definedName name="B_NCCR_01">Model!$BC$289</definedName>
    <definedName name="B_NCCR_02">Model!$BF$289</definedName>
    <definedName name="B_NCCR_03">Model!$BI$289</definedName>
    <definedName name="B_NCCR_04">Model!$BL$289</definedName>
    <definedName name="B_NCCR_05">Model!$BO$289</definedName>
    <definedName name="B_NCCR_06">Model!$BR$289</definedName>
    <definedName name="B_NCCR_07">Model!$BU$289</definedName>
    <definedName name="B_NCCR_08">Model!$BX$289</definedName>
    <definedName name="B_NCCR_09">Model!$CA$289</definedName>
    <definedName name="B_NCCR_10">Model!$CD$289</definedName>
    <definedName name="B_NCCR_11">Model!$CG$289</definedName>
    <definedName name="B_NCCR_12">Model!$CJ$289</definedName>
    <definedName name="B_NCCR_13">Model!$CM$289</definedName>
    <definedName name="B_NCCR_14">Model!$CP$289</definedName>
    <definedName name="B_NCCR_15">Model!$CS$289</definedName>
    <definedName name="B_NCCR_16">Model!$CV$289</definedName>
    <definedName name="B_NCCR_17">Model!$CY$289</definedName>
    <definedName name="B_NCCR_18">Model!$DB$289</definedName>
    <definedName name="B_NCCR_19">Model!$DE$289</definedName>
    <definedName name="B_NCCR_20">Model!$DH$289</definedName>
    <definedName name="B_NCCR_95">Model!$AK$289</definedName>
    <definedName name="B_NCCR_96">Model!$AN$289</definedName>
    <definedName name="B_NCCR_97">Model!$AQ$289</definedName>
    <definedName name="B_NCCR_98">Model!$AT$289</definedName>
    <definedName name="B_NCCR_99">Model!$AW$289</definedName>
    <definedName name="B_NCDB_00">Model!$AZ$246</definedName>
    <definedName name="B_NCDB_01">Model!$BC$246</definedName>
    <definedName name="B_NCDB_02">Model!$BF$246</definedName>
    <definedName name="B_NCDB_03">Model!$BI$246</definedName>
    <definedName name="B_NCDB_04">Model!$BL$246</definedName>
    <definedName name="B_NCDB_05">Model!$BO$246</definedName>
    <definedName name="B_NCDB_06">Model!$BR$246</definedName>
    <definedName name="B_NCDB_07">Model!$BU$246</definedName>
    <definedName name="B_NCDB_08">Model!$BX$246</definedName>
    <definedName name="B_NCDB_09">Model!$CA$246</definedName>
    <definedName name="B_NCDB_10">Model!$CD$246</definedName>
    <definedName name="B_NCDB_11">Model!$CG$246</definedName>
    <definedName name="B_NCDB_12">Model!$CJ$246</definedName>
    <definedName name="B_NCDB_13">Model!$CM$246</definedName>
    <definedName name="B_NCDB_14">Model!$CP$246</definedName>
    <definedName name="B_NCDB_15">Model!$CS$246</definedName>
    <definedName name="B_NCDB_16">Model!$CV$246</definedName>
    <definedName name="B_NCDB_17">Model!$CY$246</definedName>
    <definedName name="B_NCDB_18">Model!$DB$246</definedName>
    <definedName name="B_NCDB_19">Model!$DE$246</definedName>
    <definedName name="B_NCDB_20">Model!$DH$246</definedName>
    <definedName name="B_NCDB_95">Model!$AK$246</definedName>
    <definedName name="B_NCDB_96">Model!$AN$246</definedName>
    <definedName name="B_NCDB_97">Model!$AQ$246</definedName>
    <definedName name="B_NCDB_98">Model!$AT$246</definedName>
    <definedName name="B_NCDB_99">Model!$AW$246</definedName>
    <definedName name="B_NCL_AP_00">Model!$AZ$289</definedName>
    <definedName name="B_NCL_AP_01">Model!$BC$289</definedName>
    <definedName name="B_NCL_AP_02">Model!$BF$289</definedName>
    <definedName name="B_NCL_AP_03">Model!$BI$289</definedName>
    <definedName name="B_NCL_AP_04">Model!$BL$289</definedName>
    <definedName name="B_NCL_AP_05">Model!$BO$289</definedName>
    <definedName name="B_NCL_AP_06">Model!$BR$289</definedName>
    <definedName name="B_NCL_AP_07">Model!$BU$289</definedName>
    <definedName name="B_NCL_AP_08">Model!$BX$289</definedName>
    <definedName name="B_NCL_AP_09">Model!$CA$289</definedName>
    <definedName name="B_NCL_AP_10">Model!$CD$289</definedName>
    <definedName name="B_NCL_AP_11">Model!$CG$289</definedName>
    <definedName name="B_NCL_AP_12">Model!$CJ$289</definedName>
    <definedName name="B_NCL_AP_13">Model!$CM$289</definedName>
    <definedName name="B_NCL_AP_14">Model!$CP$289</definedName>
    <definedName name="B_NCL_AP_15">Model!$CS$289</definedName>
    <definedName name="B_NCL_AP_16">Model!$CV$289</definedName>
    <definedName name="B_NCL_AP_17">Model!$CY$289</definedName>
    <definedName name="B_NCL_AP_18">Model!$DB$289</definedName>
    <definedName name="B_NCL_AP_19">Model!$DE$289</definedName>
    <definedName name="B_NCL_AP_20">Model!$DH$289</definedName>
    <definedName name="B_NCL_AP_H1_00">Model!$AX$289</definedName>
    <definedName name="B_NCL_AP_H1_01">Model!$BA$289</definedName>
    <definedName name="B_NCL_AP_H1_02">Model!$BD$289</definedName>
    <definedName name="B_NCL_AP_H1_03">Model!$BG$289</definedName>
    <definedName name="B_NCL_AP_H1_04">Model!$BJ$289</definedName>
    <definedName name="B_NCL_AP_H1_05">Model!$BM$289</definedName>
    <definedName name="B_NCL_AP_H1_06">Model!$BP$289</definedName>
    <definedName name="B_NCL_AP_H1_07">Model!$BS$289</definedName>
    <definedName name="B_NCL_AP_H1_08">Model!$BV$289</definedName>
    <definedName name="B_NCL_AP_H1_09">Model!$BY$289</definedName>
    <definedName name="B_NCL_AP_H1_10">Model!$CB$289</definedName>
    <definedName name="B_NCL_AP_H1_11">Model!$CE$289</definedName>
    <definedName name="B_NCL_AP_H1_12">Model!$CH$289</definedName>
    <definedName name="B_NCL_AP_H1_13">Model!$CK$289</definedName>
    <definedName name="B_NCL_AP_H1_14">Model!$CN$289</definedName>
    <definedName name="B_NCL_AP_H1_15">Model!$CQ$289</definedName>
    <definedName name="B_NCL_AP_H1_16">Model!$CT$289</definedName>
    <definedName name="B_NCL_AP_H1_17">Model!$CW$289</definedName>
    <definedName name="B_NCL_AP_H1_18">Model!$CZ$289</definedName>
    <definedName name="B_NCL_AP_H1_19">Model!$DC$289</definedName>
    <definedName name="B_NCL_AP_H1_20">Model!$DF$289</definedName>
    <definedName name="B_NCL_AP_H2_00">Model!$AY$289</definedName>
    <definedName name="B_NCL_AP_H2_01">Model!$BB$289</definedName>
    <definedName name="B_NCL_AP_H2_02">Model!$BE$289</definedName>
    <definedName name="B_NCL_AP_H2_03">Model!$BH$289</definedName>
    <definedName name="B_NCL_AP_H2_04">Model!$BK$289</definedName>
    <definedName name="B_NCL_AP_H2_05">Model!$BN$289</definedName>
    <definedName name="B_NCL_AP_H2_06">Model!$BQ$289</definedName>
    <definedName name="B_NCL_AP_H2_07">Model!$BT$289</definedName>
    <definedName name="B_NCL_AP_H2_08">Model!$BW$289</definedName>
    <definedName name="B_NCL_AP_H2_09">Model!$BZ$289</definedName>
    <definedName name="B_NCL_AP_H2_10">Model!$CC$289</definedName>
    <definedName name="B_NCL_AP_H2_11">Model!$CF$289</definedName>
    <definedName name="B_NCL_AP_H2_12">Model!$CI$289</definedName>
    <definedName name="B_NCL_AP_H2_13">Model!$CL$289</definedName>
    <definedName name="B_NCL_AP_H2_14">Model!$CO$289</definedName>
    <definedName name="B_NCL_AP_H2_15">Model!$CR$289</definedName>
    <definedName name="B_NCL_AP_H2_16">Model!$CU$289</definedName>
    <definedName name="B_NCL_AP_H2_17">Model!$CX$289</definedName>
    <definedName name="B_NCL_AP_H2_18">Model!$DA$289</definedName>
    <definedName name="B_NCL_AP_H2_19">Model!$DD$289</definedName>
    <definedName name="B_NCL_AP_H2_20">Model!$DG$289</definedName>
    <definedName name="B_NCL_Con_Notes_00">Model!$AZ$292</definedName>
    <definedName name="B_NCL_Con_Notes_01">Model!$BC$292</definedName>
    <definedName name="B_NCL_Con_Notes_02">Model!$BF$292</definedName>
    <definedName name="B_NCL_Con_Notes_03">Model!$BI$292</definedName>
    <definedName name="B_NCL_Con_Notes_04">Model!$BL$292</definedName>
    <definedName name="B_NCL_Con_Notes_05">Model!$BO$292</definedName>
    <definedName name="B_NCL_Con_Notes_06">Model!$BR$292</definedName>
    <definedName name="B_NCL_Con_Notes_07">Model!$BU$292</definedName>
    <definedName name="B_NCL_Con_Notes_08">Model!$BX$292</definedName>
    <definedName name="B_NCL_Con_Notes_09">Model!$CA$292</definedName>
    <definedName name="B_NCL_Con_Notes_10">Model!$CD$292</definedName>
    <definedName name="B_NCL_Con_Notes_11">Model!$CG$292</definedName>
    <definedName name="B_NCL_Con_Notes_12">Model!$CJ$292</definedName>
    <definedName name="B_NCL_Con_Notes_13">Model!$CM$292</definedName>
    <definedName name="B_NCL_Con_Notes_14">Model!$CP$292</definedName>
    <definedName name="B_NCL_Con_Notes_15">Model!$CS$292</definedName>
    <definedName name="B_NCL_Con_Notes_16">Model!$CV$292</definedName>
    <definedName name="B_NCL_Con_Notes_17">Model!$CY$292</definedName>
    <definedName name="B_NCL_Con_Notes_18">Model!$DB$292</definedName>
    <definedName name="B_NCL_Con_Notes_19">Model!$DE$292</definedName>
    <definedName name="B_NCL_Con_Notes_20">Model!$DH$292</definedName>
    <definedName name="B_NCL_Con_Notes_H1_00">Model!$AX$292</definedName>
    <definedName name="B_NCL_Con_Notes_H1_01">Model!$BA$292</definedName>
    <definedName name="B_NCL_Con_Notes_H1_02">Model!$BD$292</definedName>
    <definedName name="B_NCL_Con_Notes_H1_03">Model!$BG$292</definedName>
    <definedName name="B_NCL_Con_Notes_H1_04">Model!$BJ$292</definedName>
    <definedName name="B_NCL_Con_Notes_H1_05">Model!$BM$292</definedName>
    <definedName name="B_NCL_Con_Notes_H1_06">Model!$BP$292</definedName>
    <definedName name="B_NCL_Con_Notes_H1_07">Model!$BS$292</definedName>
    <definedName name="B_NCL_Con_Notes_H1_08">Model!$BV$292</definedName>
    <definedName name="B_NCL_Con_Notes_H1_09">Model!$BY$292</definedName>
    <definedName name="B_NCL_Con_Notes_H1_10">Model!$CB$292</definedName>
    <definedName name="B_NCL_Con_Notes_H1_11">Model!$CE$292</definedName>
    <definedName name="B_NCL_Con_Notes_H1_12">Model!$CH$292</definedName>
    <definedName name="B_NCL_Con_Notes_H1_13">Model!$CK$292</definedName>
    <definedName name="B_NCL_Con_Notes_H1_14">Model!$CN$292</definedName>
    <definedName name="B_NCL_Con_Notes_H1_15">Model!$CQ$292</definedName>
    <definedName name="B_NCL_Con_Notes_H1_16">Model!$CT$292</definedName>
    <definedName name="B_NCL_Con_Notes_H1_17">Model!$CW$292</definedName>
    <definedName name="B_NCL_Con_Notes_H1_18">Model!$CZ$292</definedName>
    <definedName name="B_NCL_Con_Notes_H1_19">Model!$DC$292</definedName>
    <definedName name="B_NCL_Con_Notes_H1_20">Model!$DF$292</definedName>
    <definedName name="B_NCL_Con_Notes_H2_00">Model!$AY$292</definedName>
    <definedName name="B_NCL_Con_Notes_H2_01">Model!$BB$292</definedName>
    <definedName name="B_NCL_Con_Notes_H2_02">Model!$BE$292</definedName>
    <definedName name="B_NCL_Con_Notes_H2_03">Model!$BH$292</definedName>
    <definedName name="B_NCL_Con_Notes_H2_04">Model!$BK$292</definedName>
    <definedName name="B_NCL_Con_Notes_H2_05">Model!$BN$292</definedName>
    <definedName name="B_NCL_Con_Notes_H2_06">Model!$BQ$292</definedName>
    <definedName name="B_NCL_Con_Notes_H2_07">Model!$BT$292</definedName>
    <definedName name="B_NCL_Con_Notes_H2_08">Model!$BW$292</definedName>
    <definedName name="B_NCL_Con_Notes_H2_09">Model!$BZ$292</definedName>
    <definedName name="B_NCL_Con_Notes_H2_10">Model!$CC$292</definedName>
    <definedName name="B_NCL_Con_Notes_H2_11">Model!$CF$292</definedName>
    <definedName name="B_NCL_Con_Notes_H2_12">Model!$CI$292</definedName>
    <definedName name="B_NCL_Con_Notes_H2_13">Model!$CL$292</definedName>
    <definedName name="B_NCL_Con_Notes_H2_14">Model!$CO$292</definedName>
    <definedName name="B_NCL_Con_Notes_H2_15">Model!$CR$292</definedName>
    <definedName name="B_NCL_Con_Notes_H2_16">Model!$CU$292</definedName>
    <definedName name="B_NCL_Con_Notes_H2_17">Model!$CX$292</definedName>
    <definedName name="B_NCL_Con_Notes_H2_18">Model!$DA$292</definedName>
    <definedName name="B_NCL_Con_Notes_H2_19">Model!$DD$292</definedName>
    <definedName name="B_NCL_Con_Notes_H2_20">Model!$DG$292</definedName>
    <definedName name="B_NCL_DITL_00">Model!$AZ$298</definedName>
    <definedName name="B_NCL_DITL_01">Model!$BC$298</definedName>
    <definedName name="B_NCL_DITL_02">Model!$BF$298</definedName>
    <definedName name="B_NCL_DITL_03">Model!$BI$298</definedName>
    <definedName name="B_NCL_DITL_04">Model!$BL$298</definedName>
    <definedName name="B_NCL_DITL_05">Model!$BO$298</definedName>
    <definedName name="B_NCL_DITL_06">Model!$BR$298</definedName>
    <definedName name="B_NCL_DITL_07">Model!$BU$298</definedName>
    <definedName name="B_NCL_DITL_08">Model!$BX$298</definedName>
    <definedName name="B_NCL_DITL_09">Model!$CA$298</definedName>
    <definedName name="B_NCL_DITL_10">Model!$CD$298</definedName>
    <definedName name="B_NCL_DITL_11">Model!$CG$298</definedName>
    <definedName name="B_NCL_DITL_12">Model!$CJ$298</definedName>
    <definedName name="B_NCL_DITL_13">Model!$CM$298</definedName>
    <definedName name="B_NCL_DITL_14">Model!$CP$298</definedName>
    <definedName name="B_NCL_DITL_15">Model!$CS$298</definedName>
    <definedName name="B_NCL_DITL_16">Model!$CV$298</definedName>
    <definedName name="B_NCL_DITL_17">Model!$CY$298</definedName>
    <definedName name="B_NCL_DITL_18">Model!$DB$298</definedName>
    <definedName name="B_NCL_DITL_19">Model!$DE$298</definedName>
    <definedName name="B_NCL_DITL_20">Model!$DH$298</definedName>
    <definedName name="B_NCL_DITL_H1_00">Model!$AX$298</definedName>
    <definedName name="B_NCL_DITL_H1_01">Model!$BA$298</definedName>
    <definedName name="B_NCL_DITL_H1_02">Model!$BD$298</definedName>
    <definedName name="B_NCL_DITL_H1_03">Model!$BG$298</definedName>
    <definedName name="B_NCL_DITL_H1_04">Model!$BJ$298</definedName>
    <definedName name="B_NCL_DITL_H1_05">Model!$BM$298</definedName>
    <definedName name="B_NCL_DITL_H1_06">Model!$BP$298</definedName>
    <definedName name="B_NCL_DITL_H1_07">Model!$BS$298</definedName>
    <definedName name="B_NCL_DITL_H1_08">Model!$BV$298</definedName>
    <definedName name="B_NCL_DITL_H1_09">Model!$BY$298</definedName>
    <definedName name="B_NCL_DITL_H1_10">Model!$CB$298</definedName>
    <definedName name="B_NCL_DITL_H1_11">Model!$CE$298</definedName>
    <definedName name="B_NCL_DITL_H1_12">Model!$CH$298</definedName>
    <definedName name="B_NCL_DITL_H1_13">Model!$CK$298</definedName>
    <definedName name="B_NCL_DITL_H1_14">Model!$CN$298</definedName>
    <definedName name="B_NCL_DITL_H1_15">Model!$CQ$298</definedName>
    <definedName name="B_NCL_DITL_H1_16">Model!$CT$298</definedName>
    <definedName name="B_NCL_DITL_H1_17">Model!$CW$298</definedName>
    <definedName name="B_NCL_DITL_H1_18">Model!$CZ$298</definedName>
    <definedName name="B_NCL_DITL_H1_19">Model!$DC$298</definedName>
    <definedName name="B_NCL_DITL_H1_20">Model!$DF$298</definedName>
    <definedName name="B_NCL_DITL_H2_00">Model!$AY$298</definedName>
    <definedName name="B_NCL_DITL_H2_01">Model!$BB$298</definedName>
    <definedName name="B_NCL_DITL_H2_02">Model!$BE$298</definedName>
    <definedName name="B_NCL_DITL_H2_03">Model!$BH$298</definedName>
    <definedName name="B_NCL_DITL_H2_04">Model!$BK$298</definedName>
    <definedName name="B_NCL_DITL_H2_05">Model!$BN$298</definedName>
    <definedName name="B_NCL_DITL_H2_06">Model!$BQ$298</definedName>
    <definedName name="B_NCL_DITL_H2_07">Model!$BT$298</definedName>
    <definedName name="B_NCL_DITL_H2_08">Model!$BW$298</definedName>
    <definedName name="B_NCL_DITL_H2_09">Model!$BZ$298</definedName>
    <definedName name="B_NCL_DITL_H2_10">Model!$CC$298</definedName>
    <definedName name="B_NCL_DITL_H2_11">Model!$CF$298</definedName>
    <definedName name="B_NCL_DITL_H2_12">Model!$CI$298</definedName>
    <definedName name="B_NCL_DITL_H2_13">Model!$CL$298</definedName>
    <definedName name="B_NCL_DITL_H2_14">Model!$CO$298</definedName>
    <definedName name="B_NCL_DITL_H2_15">Model!$CR$298</definedName>
    <definedName name="B_NCL_DITL_H2_16">Model!$CU$298</definedName>
    <definedName name="B_NCL_DITL_H2_17">Model!$CX$298</definedName>
    <definedName name="B_NCL_DITL_H2_18">Model!$DA$298</definedName>
    <definedName name="B_NCL_DITL_H2_19">Model!$DD$298</definedName>
    <definedName name="B_NCL_DITL_H2_20">Model!$DG$298</definedName>
    <definedName name="B_NCL_Div_00">Model!$AZ$299</definedName>
    <definedName name="B_NCL_Div_01">Model!$BC$299</definedName>
    <definedName name="B_NCL_Div_02">Model!$BF$299</definedName>
    <definedName name="B_NCL_Div_03">Model!$BI$299</definedName>
    <definedName name="B_NCL_Div_04">Model!$BL$299</definedName>
    <definedName name="B_NCL_Div_05">Model!$BO$299</definedName>
    <definedName name="B_NCL_Div_06">Model!$BR$299</definedName>
    <definedName name="B_NCL_Div_07">Model!$BU$299</definedName>
    <definedName name="B_NCL_Div_08">Model!$BX$299</definedName>
    <definedName name="B_NCL_Div_09">Model!$CA$299</definedName>
    <definedName name="B_NCL_Div_10">Model!$CD$299</definedName>
    <definedName name="B_NCL_Div_11">Model!$CG$299</definedName>
    <definedName name="B_NCL_Div_12">Model!$CJ$299</definedName>
    <definedName name="B_NCL_Div_13">Model!$CM$299</definedName>
    <definedName name="B_NCL_Div_14">Model!$CP$299</definedName>
    <definedName name="B_NCL_Div_15">Model!$CS$299</definedName>
    <definedName name="B_NCL_Div_16">Model!$CV$299</definedName>
    <definedName name="B_NCL_Div_17">Model!$CY$299</definedName>
    <definedName name="B_NCL_Div_18">Model!$DB$299</definedName>
    <definedName name="B_NCL_Div_19">Model!$DE$299</definedName>
    <definedName name="B_NCL_Div_20">Model!$DH$299</definedName>
    <definedName name="B_NCL_Div_H1_00">Model!$AX$299</definedName>
    <definedName name="B_NCL_Div_H1_01">Model!$BA$299</definedName>
    <definedName name="B_NCL_Div_H1_02">Model!$BD$299</definedName>
    <definedName name="B_NCL_Div_H1_03">Model!$BG$299</definedName>
    <definedName name="B_NCL_Div_H1_04">Model!$BJ$299</definedName>
    <definedName name="B_NCL_Div_H1_05">Model!$BM$299</definedName>
    <definedName name="B_NCL_Div_H1_06">Model!$BP$299</definedName>
    <definedName name="B_NCL_Div_H1_07">Model!$BS$299</definedName>
    <definedName name="B_NCL_Div_H1_08">Model!$BV$299</definedName>
    <definedName name="B_NCL_Div_H1_09">Model!$BY$299</definedName>
    <definedName name="B_NCL_Div_H1_10">Model!$CB$299</definedName>
    <definedName name="B_NCL_Div_H1_11">Model!$CE$299</definedName>
    <definedName name="B_NCL_Div_H1_12">Model!$CH$299</definedName>
    <definedName name="B_NCL_Div_H1_13">Model!$CK$299</definedName>
    <definedName name="B_NCL_Div_H1_14">Model!$CN$299</definedName>
    <definedName name="B_NCL_Div_H1_15">Model!$CQ$299</definedName>
    <definedName name="B_NCL_Div_H1_16">Model!$CT$299</definedName>
    <definedName name="B_NCL_Div_H1_17">Model!$CW$299</definedName>
    <definedName name="B_NCL_Div_H1_18">Model!$CZ$299</definedName>
    <definedName name="B_NCL_Div_H1_19">Model!$DC$299</definedName>
    <definedName name="B_NCL_Div_H1_20">Model!$DF$299</definedName>
    <definedName name="B_NCL_Div_H2_00">Model!$AY$299</definedName>
    <definedName name="B_NCL_Div_H2_01">Model!$BB$299</definedName>
    <definedName name="B_NCL_Div_H2_02">Model!$BE$299</definedName>
    <definedName name="B_NCL_Div_H2_03">Model!$BH$299</definedName>
    <definedName name="B_NCL_Div_H2_04">Model!$BK$299</definedName>
    <definedName name="B_NCL_Div_H2_05">Model!$BN$299</definedName>
    <definedName name="B_NCL_Div_H2_06">Model!$BQ$299</definedName>
    <definedName name="B_NCL_Div_H2_07">Model!$BT$299</definedName>
    <definedName name="B_NCL_Div_H2_08">Model!$BW$299</definedName>
    <definedName name="B_NCL_Div_H2_09">Model!$BZ$299</definedName>
    <definedName name="B_NCL_Div_H2_10">Model!$CC$299</definedName>
    <definedName name="B_NCL_Div_H2_11">Model!$CF$299</definedName>
    <definedName name="B_NCL_Div_H2_12">Model!$CI$299</definedName>
    <definedName name="B_NCL_Div_H2_13">Model!$CL$299</definedName>
    <definedName name="B_NCL_Div_H2_14">Model!$CO$299</definedName>
    <definedName name="B_NCL_Div_H2_15">Model!$CR$299</definedName>
    <definedName name="B_NCL_Div_H2_16">Model!$CU$299</definedName>
    <definedName name="B_NCL_Div_H2_17">Model!$CX$299</definedName>
    <definedName name="B_NCL_Div_H2_18">Model!$DA$299</definedName>
    <definedName name="B_NCL_Div_H2_19">Model!$DD$299</definedName>
    <definedName name="B_NCL_Div_H2_20">Model!$DG$299</definedName>
    <definedName name="B_NCL_IBDebt_00">Model!$AZ$291</definedName>
    <definedName name="B_NCL_IBDebt_01">Model!$BC$291</definedName>
    <definedName name="B_NCL_IBDebt_02">Model!$BF$291</definedName>
    <definedName name="B_NCL_IBDebt_03">Model!$BI$291</definedName>
    <definedName name="B_NCL_IBDebt_04">Model!$BL$291</definedName>
    <definedName name="B_NCL_IBDebt_05">Model!$BO$291</definedName>
    <definedName name="B_NCL_IBDebt_06">Model!$BR$291</definedName>
    <definedName name="B_NCL_IBDebt_07">Model!$BU$291</definedName>
    <definedName name="B_NCL_IBDebt_08">Model!$BX$291</definedName>
    <definedName name="B_NCL_IBDebt_09">Model!$CA$291</definedName>
    <definedName name="B_NCL_IBDebt_10">Model!$CD$291</definedName>
    <definedName name="B_NCL_IBDebt_11">Model!$CG$291</definedName>
    <definedName name="B_NCL_IBDebt_12">Model!$CJ$291</definedName>
    <definedName name="B_NCL_IBDebt_13">Model!$CM$291</definedName>
    <definedName name="B_NCL_IBDebt_14">Model!$CP$291</definedName>
    <definedName name="B_NCL_IBDebt_15">Model!$CS$291</definedName>
    <definedName name="B_NCL_IBDebt_16">Model!$CV$291</definedName>
    <definedName name="B_NCL_IBDebt_17">Model!$CY$291</definedName>
    <definedName name="B_NCL_IBDebt_18">Model!$DB$291</definedName>
    <definedName name="B_NCL_IBDebt_19">Model!$DE$291</definedName>
    <definedName name="B_NCL_IBDebt_20">Model!$DH$291</definedName>
    <definedName name="B_NCL_IBDebt_H1_00">Model!$AX$291</definedName>
    <definedName name="B_NCL_IBDebt_H1_01">Model!$BA$291</definedName>
    <definedName name="B_NCL_IBDebt_H1_02">Model!$BD$291</definedName>
    <definedName name="B_NCL_IBDebt_H1_03">Model!$BG$291</definedName>
    <definedName name="B_NCL_IBDebt_H1_04">Model!$BJ$291</definedName>
    <definedName name="B_NCL_IBDebt_H1_05">Model!$BM$291</definedName>
    <definedName name="B_NCL_IBDebt_H1_06">Model!$BP$291</definedName>
    <definedName name="B_NCL_IBDebt_H1_07">Model!$BS$291</definedName>
    <definedName name="B_NCL_IBDebt_H1_08">Model!$BV$291</definedName>
    <definedName name="B_NCL_IBDebt_H1_09">Model!$BY$291</definedName>
    <definedName name="B_NCL_IBDebt_H1_10">Model!$CB$291</definedName>
    <definedName name="B_NCL_IBDebt_H1_11">Model!$CE$291</definedName>
    <definedName name="B_NCL_IBDebt_H1_12">Model!$CH$291</definedName>
    <definedName name="B_NCL_IBDebt_H1_13">Model!$CK$291</definedName>
    <definedName name="B_NCL_IBDebt_H1_14">Model!$CN$291</definedName>
    <definedName name="B_NCL_IBDebt_H1_15">Model!$CQ$291</definedName>
    <definedName name="B_NCL_IBDebt_H1_16">Model!$CT$291</definedName>
    <definedName name="B_NCL_IBDebt_H1_17">Model!$CW$291</definedName>
    <definedName name="B_NCL_IBDebt_H1_18">Model!$CZ$291</definedName>
    <definedName name="B_NCL_IBDebt_H1_19">Model!$DC$291</definedName>
    <definedName name="B_NCL_IBDebt_H1_20">Model!$DF$291</definedName>
    <definedName name="B_NCL_IBDebt_H2_00">Model!$AY$291</definedName>
    <definedName name="B_NCL_IBDebt_H2_01">Model!$BB$291</definedName>
    <definedName name="B_NCL_IBDebt_H2_02">Model!$BE$291</definedName>
    <definedName name="B_NCL_IBDebt_H2_03">Model!$BH$291</definedName>
    <definedName name="B_NCL_IBDebt_H2_04">Model!$BK$291</definedName>
    <definedName name="B_NCL_IBDebt_H2_05">Model!$BN$291</definedName>
    <definedName name="B_NCL_IBDebt_H2_06">Model!$BQ$291</definedName>
    <definedName name="B_NCL_IBDebt_H2_07">Model!$BT$291</definedName>
    <definedName name="B_NCL_IBDebt_H2_08">Model!$BW$291</definedName>
    <definedName name="B_NCL_IBDebt_H2_09">Model!$BZ$291</definedName>
    <definedName name="B_NCL_IBDebt_H2_10">Model!$CC$291</definedName>
    <definedName name="B_NCL_IBDebt_H2_11">Model!$CF$291</definedName>
    <definedName name="B_NCL_IBDebt_H2_12">Model!$CI$291</definedName>
    <definedName name="B_NCL_IBDebt_H2_13">Model!$CL$291</definedName>
    <definedName name="B_NCL_IBDebt_H2_14">Model!$CO$291</definedName>
    <definedName name="B_NCL_IBDebt_H2_15">Model!$CR$291</definedName>
    <definedName name="B_NCL_IBDebt_H2_16">Model!$CU$291</definedName>
    <definedName name="B_NCL_IBDebt_H2_17">Model!$CX$291</definedName>
    <definedName name="B_NCL_IBDebt_H2_18">Model!$DA$291</definedName>
    <definedName name="B_NCL_IBDebt_H2_19">Model!$DD$291</definedName>
    <definedName name="B_NCL_IBDebt_H2_20">Model!$DG$291</definedName>
    <definedName name="B_NCL_LLiab_00">Model!$AZ$294</definedName>
    <definedName name="B_NCL_LLiab_01">Model!$BC$294</definedName>
    <definedName name="B_NCL_LLiab_02">Model!$BF$294</definedName>
    <definedName name="B_NCL_LLiab_03">Model!$BI$294</definedName>
    <definedName name="B_NCL_LLiab_04">Model!$BL$294</definedName>
    <definedName name="B_NCL_LLiab_05">Model!$BO$294</definedName>
    <definedName name="B_NCL_LLiab_06">Model!$BR$294</definedName>
    <definedName name="B_NCL_LLiab_07">Model!$BU$294</definedName>
    <definedName name="B_NCL_LLiab_08">Model!$BX$294</definedName>
    <definedName name="B_NCL_LLiab_09">Model!$CA$294</definedName>
    <definedName name="B_NCL_LLiab_10">Model!$CD$294</definedName>
    <definedName name="B_NCL_LLiab_11">Model!$CG$294</definedName>
    <definedName name="B_NCL_LLiab_12">Model!$CJ$294</definedName>
    <definedName name="B_NCL_LLiab_13">Model!$CM$294</definedName>
    <definedName name="B_NCL_LLiab_14">Model!$CP$294</definedName>
    <definedName name="B_NCL_LLiab_15">Model!$CS$294</definedName>
    <definedName name="B_NCL_LLiab_16">Model!$CV$294</definedName>
    <definedName name="B_NCL_LLiab_17">Model!$CY$294</definedName>
    <definedName name="B_NCL_LLiab_18">Model!$DB$294</definedName>
    <definedName name="B_NCL_LLiab_19">Model!$DE$294</definedName>
    <definedName name="B_NCL_LLiab_20">Model!$DH$294</definedName>
    <definedName name="B_NCL_LLiab_H1_00">Model!$AX$294</definedName>
    <definedName name="B_NCL_LLiab_H1_01">Model!$BA$294</definedName>
    <definedName name="B_NCL_LLiab_H1_02">Model!$BD$294</definedName>
    <definedName name="B_NCL_LLiab_H1_03">Model!$BG$294</definedName>
    <definedName name="B_NCL_LLiab_H1_04">Model!$BJ$294</definedName>
    <definedName name="B_NCL_LLiab_H1_05">Model!$BM$294</definedName>
    <definedName name="B_NCL_LLiab_H1_06">Model!$BP$294</definedName>
    <definedName name="B_NCL_LLiab_H1_07">Model!$BS$294</definedName>
    <definedName name="B_NCL_LLiab_H1_08">Model!$BV$294</definedName>
    <definedName name="B_NCL_LLiab_H1_09">Model!$BY$294</definedName>
    <definedName name="B_NCL_LLiab_H1_10">Model!$CB$294</definedName>
    <definedName name="B_NCL_LLiab_H1_11">Model!$CE$294</definedName>
    <definedName name="B_NCL_LLiab_H1_12">Model!$CH$294</definedName>
    <definedName name="B_NCL_LLiab_H1_13">Model!$CK$294</definedName>
    <definedName name="B_NCL_LLiab_H1_14">Model!$CN$294</definedName>
    <definedName name="B_NCL_LLiab_H1_15">Model!$CQ$294</definedName>
    <definedName name="B_NCL_LLiab_H1_16">Model!$CT$294</definedName>
    <definedName name="B_NCL_LLiab_H1_17">Model!$CW$294</definedName>
    <definedName name="B_NCL_LLiab_H1_18">Model!$CZ$294</definedName>
    <definedName name="B_NCL_LLiab_H1_19">Model!$DC$294</definedName>
    <definedName name="B_NCL_LLiab_H1_20">Model!$DF$294</definedName>
    <definedName name="B_NCL_LLiab_H2_00">Model!$AY$294</definedName>
    <definedName name="B_NCL_LLiab_H2_01">Model!$BB$294</definedName>
    <definedName name="B_NCL_LLiab_H2_02">Model!$BE$294</definedName>
    <definedName name="B_NCL_LLiab_H2_03">Model!$BH$294</definedName>
    <definedName name="B_NCL_LLiab_H2_04">Model!$BK$294</definedName>
    <definedName name="B_NCL_LLiab_H2_05">Model!$BN$294</definedName>
    <definedName name="B_NCL_LLiab_H2_06">Model!$BQ$294</definedName>
    <definedName name="B_NCL_LLiab_H2_07">Model!$BT$294</definedName>
    <definedName name="B_NCL_LLiab_H2_08">Model!$BW$294</definedName>
    <definedName name="B_NCL_LLiab_H2_09">Model!$BZ$294</definedName>
    <definedName name="B_NCL_LLiab_H2_10">Model!$CC$294</definedName>
    <definedName name="B_NCL_LLiab_H2_11">Model!$CF$294</definedName>
    <definedName name="B_NCL_LLiab_H2_12">Model!$CI$294</definedName>
    <definedName name="B_NCL_LLiab_H2_13">Model!$CL$294</definedName>
    <definedName name="B_NCL_LLiab_H2_14">Model!$CO$294</definedName>
    <definedName name="B_NCL_LLiab_H2_15">Model!$CR$294</definedName>
    <definedName name="B_NCL_LLiab_H2_16">Model!$CU$294</definedName>
    <definedName name="B_NCL_LLiab_H2_17">Model!$CX$294</definedName>
    <definedName name="B_NCL_LLiab_H2_18">Model!$DA$294</definedName>
    <definedName name="B_NCL_LLiab_H2_19">Model!$DD$294</definedName>
    <definedName name="B_NCL_LLiab_H2_20">Model!$DG$294</definedName>
    <definedName name="B_NCL_NIBDebt_00">Model!$AZ$295</definedName>
    <definedName name="B_NCL_NIBDebt_01">Model!$BC$295</definedName>
    <definedName name="B_NCL_NIBDebt_02">Model!$BF$295</definedName>
    <definedName name="B_NCL_NIBDebt_03">Model!$BI$295</definedName>
    <definedName name="B_NCL_NIBDebt_04">Model!$BL$295</definedName>
    <definedName name="B_NCL_NIBDebt_05">Model!$BO$295</definedName>
    <definedName name="B_NCL_NIBDebt_06">Model!$BR$295</definedName>
    <definedName name="B_NCL_NIBDebt_07">Model!$BU$295</definedName>
    <definedName name="B_NCL_NIBDebt_08">Model!$BX$295</definedName>
    <definedName name="B_NCL_NIBDebt_09">Model!$CA$295</definedName>
    <definedName name="B_NCL_NIBDebt_10">Model!$CD$295</definedName>
    <definedName name="B_NCL_NIBDebt_11">Model!$CG$295</definedName>
    <definedName name="B_NCL_NIBDebt_12">Model!$CJ$295</definedName>
    <definedName name="B_NCL_NIBDebt_13">Model!$CM$295</definedName>
    <definedName name="B_NCL_NIBDebt_14">Model!$CP$295</definedName>
    <definedName name="B_NCL_NIBDebt_15">Model!$CS$295</definedName>
    <definedName name="B_NCL_NIBDebt_16">Model!$CV$295</definedName>
    <definedName name="B_NCL_NIBDebt_17">Model!$CY$295</definedName>
    <definedName name="B_NCL_NIBDebt_18">Model!$DB$295</definedName>
    <definedName name="B_NCL_NIBDebt_19">Model!$DE$295</definedName>
    <definedName name="B_NCL_NIBDebt_20">Model!$DH$295</definedName>
    <definedName name="B_NCL_NIBDebt_H1_00">Model!$AX$295</definedName>
    <definedName name="B_NCL_NIBDebt_H1_01">Model!$BA$295</definedName>
    <definedName name="B_NCL_NIBDebt_H1_02">Model!$BD$295</definedName>
    <definedName name="B_NCL_NIBDebt_H1_03">Model!$BG$295</definedName>
    <definedName name="B_NCL_NIBDebt_H1_04">Model!$BJ$295</definedName>
    <definedName name="B_NCL_NIBDebt_H1_05">Model!$BM$295</definedName>
    <definedName name="B_NCL_NIBDebt_H1_06">Model!$BP$295</definedName>
    <definedName name="B_NCL_NIBDebt_H1_07">Model!$BS$295</definedName>
    <definedName name="B_NCL_NIBDebt_H1_08">Model!$BV$295</definedName>
    <definedName name="B_NCL_NIBDebt_H1_09">Model!$BY$295</definedName>
    <definedName name="B_NCL_NIBDebt_H1_10">Model!$CB$295</definedName>
    <definedName name="B_NCL_NIBDebt_H1_11">Model!$CE$295</definedName>
    <definedName name="B_NCL_NIBDebt_H1_12">Model!$CH$295</definedName>
    <definedName name="B_NCL_NIBDebt_H1_13">Model!$CK$295</definedName>
    <definedName name="B_NCL_NIBDebt_H1_14">Model!$CN$295</definedName>
    <definedName name="B_NCL_NIBDebt_H1_15">Model!$CQ$295</definedName>
    <definedName name="B_NCL_NIBDebt_H1_16">Model!$CT$295</definedName>
    <definedName name="B_NCL_NIBDebt_H1_17">Model!$CW$295</definedName>
    <definedName name="B_NCL_NIBDebt_H1_18">Model!$CZ$295</definedName>
    <definedName name="B_NCL_NIBDebt_H1_19">Model!$DC$295</definedName>
    <definedName name="B_NCL_NIBDebt_H1_20">Model!$DF$295</definedName>
    <definedName name="B_NCL_NIBDebt_H2_00">Model!$AY$295</definedName>
    <definedName name="B_NCL_NIBDebt_H2_01">Model!$BB$295</definedName>
    <definedName name="B_NCL_NIBDebt_H2_02">Model!$BE$295</definedName>
    <definedName name="B_NCL_NIBDebt_H2_03">Model!$BH$295</definedName>
    <definedName name="B_NCL_NIBDebt_H2_04">Model!$BK$295</definedName>
    <definedName name="B_NCL_NIBDebt_H2_05">Model!$BN$295</definedName>
    <definedName name="B_NCL_NIBDebt_H2_06">Model!$BQ$295</definedName>
    <definedName name="B_NCL_NIBDebt_H2_07">Model!$BT$295</definedName>
    <definedName name="B_NCL_NIBDebt_H2_08">Model!$BW$295</definedName>
    <definedName name="B_NCL_NIBDebt_H2_09">Model!$BZ$295</definedName>
    <definedName name="B_NCL_NIBDebt_H2_10">Model!$CC$295</definedName>
    <definedName name="B_NCL_NIBDebt_H2_11">Model!$CF$295</definedName>
    <definedName name="B_NCL_NIBDebt_H2_12">Model!$CI$295</definedName>
    <definedName name="B_NCL_NIBDebt_H2_13">Model!$CL$295</definedName>
    <definedName name="B_NCL_NIBDebt_H2_14">Model!$CO$295</definedName>
    <definedName name="B_NCL_NIBDebt_H2_15">Model!$CR$295</definedName>
    <definedName name="B_NCL_NIBDebt_H2_16">Model!$CU$295</definedName>
    <definedName name="B_NCL_NIBDebt_H2_17">Model!$CX$295</definedName>
    <definedName name="B_NCL_NIBDebt_H2_18">Model!$DA$295</definedName>
    <definedName name="B_NCL_NIBDebt_H2_19">Model!$DD$295</definedName>
    <definedName name="B_NCL_NIBDebt_H2_20">Model!$DG$295</definedName>
    <definedName name="B_NCL_Oth_00">Model!$AZ$303</definedName>
    <definedName name="B_NCL_Oth_01">Model!$BC$303</definedName>
    <definedName name="B_NCL_Oth_02">Model!$BF$303</definedName>
    <definedName name="B_NCL_Oth_03">Model!$BI$303</definedName>
    <definedName name="B_NCL_Oth_04">Model!$BL$303</definedName>
    <definedName name="B_NCL_Oth_05">Model!$BO$303</definedName>
    <definedName name="B_NCL_Oth_06">Model!$BR$303</definedName>
    <definedName name="B_NCL_Oth_07">Model!$BU$303</definedName>
    <definedName name="B_NCL_Oth_08">Model!$BX$303</definedName>
    <definedName name="B_NCL_Oth_09">Model!$CA$303</definedName>
    <definedName name="B_NCL_Oth_10">Model!$CD$303</definedName>
    <definedName name="B_NCL_Oth_11">Model!$CG$303</definedName>
    <definedName name="B_NCL_Oth_12">Model!$CJ$303</definedName>
    <definedName name="B_NCL_Oth_13">Model!$CM$303</definedName>
    <definedName name="B_NCL_Oth_14">Model!$CP$303</definedName>
    <definedName name="B_NCL_Oth_15">Model!$CS$303</definedName>
    <definedName name="B_NCL_Oth_16">Model!$CV$303</definedName>
    <definedName name="B_NCL_Oth_17">Model!$CY$303</definedName>
    <definedName name="B_NCL_Oth_18">Model!$DB$303</definedName>
    <definedName name="B_NCL_Oth_19">Model!$DE$303</definedName>
    <definedName name="B_NCL_Oth_20">Model!$DH$303</definedName>
    <definedName name="B_NCL_Oth_H1_00">Model!$AX$303</definedName>
    <definedName name="B_NCL_Oth_H1_01">Model!$BA$303</definedName>
    <definedName name="B_NCL_Oth_H1_02">Model!$BD$303</definedName>
    <definedName name="B_NCL_Oth_H1_03">Model!$BG$303</definedName>
    <definedName name="B_NCL_Oth_H1_04">Model!$BJ$303</definedName>
    <definedName name="B_NCL_Oth_H1_05">Model!$BM$303</definedName>
    <definedName name="B_NCL_Oth_H1_06">Model!$BP$303</definedName>
    <definedName name="B_NCL_Oth_H1_07">Model!$BS$303</definedName>
    <definedName name="B_NCL_Oth_H1_08">Model!$BV$303</definedName>
    <definedName name="B_NCL_Oth_H1_09">Model!$BY$303</definedName>
    <definedName name="B_NCL_Oth_H1_10">Model!$CB$303</definedName>
    <definedName name="B_NCL_Oth_H1_11">Model!$CE$303</definedName>
    <definedName name="B_NCL_Oth_H1_12">Model!$CH$303</definedName>
    <definedName name="B_NCL_Oth_H1_13">Model!$CK$303</definedName>
    <definedName name="B_NCL_Oth_H1_14">Model!$CN$303</definedName>
    <definedName name="B_NCL_Oth_H1_15">Model!$CQ$303</definedName>
    <definedName name="B_NCL_Oth_H1_16">Model!$CT$303</definedName>
    <definedName name="B_NCL_Oth_H1_17">Model!$CW$303</definedName>
    <definedName name="B_NCL_Oth_H1_18">Model!$CZ$303</definedName>
    <definedName name="B_NCL_Oth_H1_19">Model!$DC$303</definedName>
    <definedName name="B_NCL_Oth_H1_20">Model!$DF$303</definedName>
    <definedName name="B_NCL_Oth_H2_00">Model!$AY$303</definedName>
    <definedName name="B_NCL_Oth_H2_01">Model!$BB$303</definedName>
    <definedName name="B_NCL_Oth_H2_02">Model!$BE$303</definedName>
    <definedName name="B_NCL_Oth_H2_03">Model!$BH$303</definedName>
    <definedName name="B_NCL_Oth_H2_04">Model!$BK$303</definedName>
    <definedName name="B_NCL_Oth_H2_05">Model!$BN$303</definedName>
    <definedName name="B_NCL_Oth_H2_06">Model!$BQ$303</definedName>
    <definedName name="B_NCL_Oth_H2_07">Model!$BT$303</definedName>
    <definedName name="B_NCL_Oth_H2_08">Model!$BW$303</definedName>
    <definedName name="B_NCL_Oth_H2_09">Model!$BZ$303</definedName>
    <definedName name="B_NCL_Oth_H2_10">Model!$CC$303</definedName>
    <definedName name="B_NCL_Oth_H2_11">Model!$CF$303</definedName>
    <definedName name="B_NCL_Oth_H2_12">Model!$CI$303</definedName>
    <definedName name="B_NCL_Oth_H2_13">Model!$CL$303</definedName>
    <definedName name="B_NCL_Oth_H2_14">Model!$CO$303</definedName>
    <definedName name="B_NCL_Oth_H2_15">Model!$CR$303</definedName>
    <definedName name="B_NCL_Oth_H2_16">Model!$CU$303</definedName>
    <definedName name="B_NCL_Oth_H2_17">Model!$CX$303</definedName>
    <definedName name="B_NCL_Oth_H2_18">Model!$DA$303</definedName>
    <definedName name="B_NCL_Oth_H2_19">Model!$DD$303</definedName>
    <definedName name="B_NCL_Oth_H2_20">Model!$DG$303</definedName>
    <definedName name="B_NCL_OthProv_00">Model!$AZ$301</definedName>
    <definedName name="B_NCL_OthProv_01">Model!$BC$301</definedName>
    <definedName name="B_NCL_OthProv_02">Model!$BF$301</definedName>
    <definedName name="B_NCL_OthProv_03">Model!$BI$301</definedName>
    <definedName name="B_NCL_OthProv_04">Model!$BL$301</definedName>
    <definedName name="B_NCL_OthProv_05">Model!$BO$301</definedName>
    <definedName name="B_NCL_OthProv_06">Model!$BR$301</definedName>
    <definedName name="B_NCL_OthProv_07">Model!$BU$301</definedName>
    <definedName name="B_NCL_OthProv_08">Model!$BX$301</definedName>
    <definedName name="B_NCL_OthProv_09">Model!$CA$301</definedName>
    <definedName name="B_NCL_OthProv_10">Model!$CD$301</definedName>
    <definedName name="B_NCL_OthProv_11">Model!$CG$301</definedName>
    <definedName name="B_NCL_OthProv_12">Model!$CJ$301</definedName>
    <definedName name="B_NCL_OthProv_13">Model!$CM$301</definedName>
    <definedName name="B_NCL_OthProv_14">Model!$CP$301</definedName>
    <definedName name="B_NCL_OthProv_15">Model!$CS$301</definedName>
    <definedName name="B_NCL_OthProv_16">Model!$CV$301</definedName>
    <definedName name="B_NCL_OthProv_17">Model!$CY$301</definedName>
    <definedName name="B_NCL_OthProv_18">Model!$DB$301</definedName>
    <definedName name="B_NCL_OthProv_19">Model!$DE$301</definedName>
    <definedName name="B_NCL_OthProv_20">Model!$DH$301</definedName>
    <definedName name="B_NCL_OthProv_H1_00">Model!$AX$301</definedName>
    <definedName name="B_NCL_OthProv_H1_01">Model!$BA$301</definedName>
    <definedName name="B_NCL_OthProv_H1_02">Model!$BD$301</definedName>
    <definedName name="B_NCL_OthProv_H1_03">Model!$BG$301</definedName>
    <definedName name="B_NCL_OthProv_H1_04">Model!$BJ$301</definedName>
    <definedName name="B_NCL_OthProv_H1_05">Model!$BM$301</definedName>
    <definedName name="B_NCL_OthProv_H1_06">Model!$BP$301</definedName>
    <definedName name="B_NCL_OthProv_H1_07">Model!$BS$301</definedName>
    <definedName name="B_NCL_OthProv_H1_08">Model!$BV$301</definedName>
    <definedName name="B_NCL_OthProv_H1_09">Model!$BY$301</definedName>
    <definedName name="B_NCL_OthProv_H1_10">Model!$CB$301</definedName>
    <definedName name="B_NCL_OthProv_H1_11">Model!$CE$301</definedName>
    <definedName name="B_NCL_OthProv_H1_12">Model!$CH$301</definedName>
    <definedName name="B_NCL_OthProv_H1_13">Model!$CK$301</definedName>
    <definedName name="B_NCL_OthProv_H1_14">Model!$CN$301</definedName>
    <definedName name="B_NCL_OthProv_H1_15">Model!$CQ$301</definedName>
    <definedName name="B_NCL_OthProv_H1_16">Model!$CT$301</definedName>
    <definedName name="B_NCL_OthProv_H1_17">Model!$CW$301</definedName>
    <definedName name="B_NCL_OthProv_H1_18">Model!$CZ$301</definedName>
    <definedName name="B_NCL_OthProv_H1_19">Model!$DC$301</definedName>
    <definedName name="B_NCL_OthProv_H1_20">Model!$DF$301</definedName>
    <definedName name="B_NCL_OthProv_H2_00">Model!$AY$301</definedName>
    <definedName name="B_NCL_OthProv_H2_01">Model!$BB$301</definedName>
    <definedName name="B_NCL_OthProv_H2_02">Model!$BE$301</definedName>
    <definedName name="B_NCL_OthProv_H2_03">Model!$BH$301</definedName>
    <definedName name="B_NCL_OthProv_H2_04">Model!$BK$301</definedName>
    <definedName name="B_NCL_OthProv_H2_05">Model!$BN$301</definedName>
    <definedName name="B_NCL_OthProv_H2_06">Model!$BQ$301</definedName>
    <definedName name="B_NCL_OthProv_H2_07">Model!$BT$301</definedName>
    <definedName name="B_NCL_OthProv_H2_08">Model!$BW$301</definedName>
    <definedName name="B_NCL_OthProv_H2_09">Model!$BZ$301</definedName>
    <definedName name="B_NCL_OthProv_H2_10">Model!$CC$301</definedName>
    <definedName name="B_NCL_OthProv_H2_11">Model!$CF$301</definedName>
    <definedName name="B_NCL_OthProv_H2_12">Model!$CI$301</definedName>
    <definedName name="B_NCL_OthProv_H2_13">Model!$CL$301</definedName>
    <definedName name="B_NCL_OthProv_H2_14">Model!$CO$301</definedName>
    <definedName name="B_NCL_OthProv_H2_15">Model!$CR$301</definedName>
    <definedName name="B_NCL_OthProv_H2_16">Model!$CU$301</definedName>
    <definedName name="B_NCL_OthProv_H2_17">Model!$CX$301</definedName>
    <definedName name="B_NCL_OthProv_H2_18">Model!$DA$301</definedName>
    <definedName name="B_NCL_OthProv_H2_19">Model!$DD$301</definedName>
    <definedName name="B_NCL_OthProv_H2_20">Model!$DG$301</definedName>
    <definedName name="B_NCP_00">Model!$AZ$297</definedName>
    <definedName name="B_NCP_01">Model!$BC$297</definedName>
    <definedName name="B_NCP_02">Model!$BF$297</definedName>
    <definedName name="B_NCP_03">Model!$BI$297</definedName>
    <definedName name="B_NCP_04">Model!$BL$297</definedName>
    <definedName name="B_NCP_05">Model!$BO$297</definedName>
    <definedName name="B_NCP_06">Model!$BR$297</definedName>
    <definedName name="B_NCP_07">Model!$BU$297</definedName>
    <definedName name="B_NCP_08">Model!$BX$297</definedName>
    <definedName name="B_NCP_09">Model!$CA$297</definedName>
    <definedName name="B_NCP_10">Model!$CD$297</definedName>
    <definedName name="B_NCP_11">Model!$CG$297</definedName>
    <definedName name="B_NCP_12">Model!$CJ$297</definedName>
    <definedName name="B_NCP_13">Model!$CM$297</definedName>
    <definedName name="B_NCP_14">Model!$CP$297</definedName>
    <definedName name="B_NCP_15">Model!$CS$297</definedName>
    <definedName name="B_NCP_16">Model!$CV$297</definedName>
    <definedName name="B_NCP_17">Model!$CY$297</definedName>
    <definedName name="B_NCP_18">Model!$DB$297</definedName>
    <definedName name="B_NCP_19">Model!$DE$297</definedName>
    <definedName name="B_NCP_20">Model!$DH$297</definedName>
    <definedName name="B_NCP_95">Model!$AK$297</definedName>
    <definedName name="B_NCP_96">Model!$AN$297</definedName>
    <definedName name="B_NCP_97">Model!$AQ$297</definedName>
    <definedName name="B_NCP_98">Model!$AT$297</definedName>
    <definedName name="B_NCP_99">Model!$AW$297</definedName>
    <definedName name="B_ND_00">Model!$AZ$329</definedName>
    <definedName name="B_ND_01">Model!$BC$329</definedName>
    <definedName name="B_ND_02">Model!$BF$329</definedName>
    <definedName name="B_ND_03">Model!$BI$329</definedName>
    <definedName name="B_ND_04">Model!$BL$329</definedName>
    <definedName name="B_ND_05">Model!$BO$329</definedName>
    <definedName name="B_ND_06">Model!$BR$329</definedName>
    <definedName name="B_ND_07">Model!$BU$329</definedName>
    <definedName name="B_ND_08">Model!$BX$329</definedName>
    <definedName name="B_ND_09">Model!$CA$329</definedName>
    <definedName name="B_ND_10">Model!$CD$329</definedName>
    <definedName name="B_ND_11">Model!$CG$329</definedName>
    <definedName name="B_ND_12">Model!$CJ$329</definedName>
    <definedName name="B_ND_13">Model!$CM$329</definedName>
    <definedName name="B_ND_14">Model!$CP$329</definedName>
    <definedName name="B_ND_15">Model!$CS$329</definedName>
    <definedName name="B_ND_16">Model!$CV$329</definedName>
    <definedName name="B_ND_17">Model!$CY$329</definedName>
    <definedName name="B_ND_18">Model!$DB$329</definedName>
    <definedName name="B_ND_19">Model!$DE$329</definedName>
    <definedName name="B_ND_20">Model!$DH$329</definedName>
    <definedName name="B_ND_95">Model!$AK$329</definedName>
    <definedName name="B_ND_96">Model!$AN$329</definedName>
    <definedName name="B_ND_97">Model!$AQ$329</definedName>
    <definedName name="B_ND_98">Model!$AT$329</definedName>
    <definedName name="B_ND_99">Model!$AW$329</definedName>
    <definedName name="B_ND_H1_00">Model!$AX$329</definedName>
    <definedName name="B_ND_H1_01">Model!$BA$329</definedName>
    <definedName name="B_ND_H1_02">Model!$BD$329</definedName>
    <definedName name="B_ND_H1_03">Model!$BG$329</definedName>
    <definedName name="B_ND_H1_04">Model!$BJ$329</definedName>
    <definedName name="B_ND_H1_05">Model!$BM$329</definedName>
    <definedName name="B_ND_H1_06">Model!$BP$329</definedName>
    <definedName name="B_ND_H1_07">Model!$BS$329</definedName>
    <definedName name="B_ND_H1_08">Model!$BV$329</definedName>
    <definedName name="B_ND_H1_09">Model!$BY$329</definedName>
    <definedName name="B_ND_H1_10">Model!$CB$329</definedName>
    <definedName name="B_ND_H1_11">Model!$CE$329</definedName>
    <definedName name="B_ND_H1_12">Model!$CH$329</definedName>
    <definedName name="B_ND_H1_13">Model!$CK$329</definedName>
    <definedName name="B_ND_H1_14">Model!$CN$329</definedName>
    <definedName name="B_ND_H1_15">Model!$CQ$329</definedName>
    <definedName name="B_ND_H1_16">Model!$CT$329</definedName>
    <definedName name="B_ND_H1_17">Model!$CW$329</definedName>
    <definedName name="B_ND_H1_18">Model!$CZ$329</definedName>
    <definedName name="B_ND_H1_19">Model!$DC$329</definedName>
    <definedName name="B_ND_H1_20">Model!$DF$329</definedName>
    <definedName name="B_ND_H2_00">Model!$AY$329</definedName>
    <definedName name="B_ND_H2_01">Model!$BB$329</definedName>
    <definedName name="B_ND_H2_02">Model!$BE$329</definedName>
    <definedName name="B_ND_H2_03">Model!$BH$329</definedName>
    <definedName name="B_ND_H2_04">Model!$BK$329</definedName>
    <definedName name="B_ND_H2_05">Model!$BN$329</definedName>
    <definedName name="B_ND_H2_06">Model!$BQ$329</definedName>
    <definedName name="B_ND_H2_07">Model!$BT$329</definedName>
    <definedName name="B_ND_H2_08">Model!$BW$329</definedName>
    <definedName name="B_ND_H2_09">Model!$BZ$329</definedName>
    <definedName name="B_ND_H2_10">Model!$CC$329</definedName>
    <definedName name="B_ND_H2_11">Model!$CF$329</definedName>
    <definedName name="B_ND_H2_12">Model!$CI$329</definedName>
    <definedName name="B_ND_H2_13">Model!$CL$329</definedName>
    <definedName name="B_ND_H2_14">Model!$CO$329</definedName>
    <definedName name="B_ND_H2_15">Model!$CR$329</definedName>
    <definedName name="B_ND_H2_16">Model!$CU$329</definedName>
    <definedName name="B_ND_H2_17">Model!$CX$329</definedName>
    <definedName name="B_ND_H2_18">Model!$DA$329</definedName>
    <definedName name="B_ND_H2_19">Model!$DD$329</definedName>
    <definedName name="B_ND_H2_20">Model!$DG$329</definedName>
    <definedName name="B_OCA_00">Model!$AZ$241</definedName>
    <definedName name="B_OCA_01">Model!$BC$241</definedName>
    <definedName name="B_OCA_02">Model!$BF$241</definedName>
    <definedName name="B_OCA_03">Model!$BI$241</definedName>
    <definedName name="B_OCA_04">Model!$BL$241</definedName>
    <definedName name="B_OCA_05">Model!$BO$241</definedName>
    <definedName name="B_OCA_06">Model!$BR$241</definedName>
    <definedName name="B_OCA_07">Model!$BU$241</definedName>
    <definedName name="B_OCA_08">Model!$BX$241</definedName>
    <definedName name="B_OCA_09">Model!$CA$241</definedName>
    <definedName name="B_OCA_10">Model!$CD$241</definedName>
    <definedName name="B_OCA_11">Model!$CG$241</definedName>
    <definedName name="B_OCA_12">Model!$CJ$241</definedName>
    <definedName name="B_OCA_13">Model!$CM$241</definedName>
    <definedName name="B_OCA_14">Model!$CP$241</definedName>
    <definedName name="B_OCA_15">Model!$CS$241</definedName>
    <definedName name="B_OCA_16">Model!$CV$241</definedName>
    <definedName name="B_OCA_17">Model!$CY$241</definedName>
    <definedName name="B_OCA_18">Model!$DB$241</definedName>
    <definedName name="B_OCA_19">Model!$DE$241</definedName>
    <definedName name="B_OCA_20">Model!$DH$241</definedName>
    <definedName name="B_OCA_95">Model!$AK$241</definedName>
    <definedName name="B_OCA_96">Model!$AN$241</definedName>
    <definedName name="B_OCA_97">Model!$AQ$241</definedName>
    <definedName name="B_OCA_98">Model!$AT$241</definedName>
    <definedName name="B_OCA_99">Model!$AW$241</definedName>
    <definedName name="B_OCL_00">Model!$AZ$283</definedName>
    <definedName name="B_OCL_01">Model!$BC$283</definedName>
    <definedName name="B_OCL_02">Model!$BF$283</definedName>
    <definedName name="B_OCL_03">Model!$BI$283</definedName>
    <definedName name="B_OCL_04">Model!$BL$283</definedName>
    <definedName name="B_OCL_05">Model!$BO$283</definedName>
    <definedName name="B_OCL_06">Model!$BR$283</definedName>
    <definedName name="B_OCL_07">Model!$BU$283</definedName>
    <definedName name="B_OCL_08">Model!$BX$283</definedName>
    <definedName name="B_OCL_09">Model!$CA$283</definedName>
    <definedName name="B_OCL_10">Model!$CD$283</definedName>
    <definedName name="B_OCL_11">Model!$CG$283</definedName>
    <definedName name="B_OCL_12">Model!$CJ$283</definedName>
    <definedName name="B_OCL_13">Model!$CM$283</definedName>
    <definedName name="B_OCL_14">Model!$CP$283</definedName>
    <definedName name="B_OCL_15">Model!$CS$283</definedName>
    <definedName name="B_OCL_16">Model!$CV$283</definedName>
    <definedName name="B_OCL_17">Model!$CY$283</definedName>
    <definedName name="B_OCL_18">Model!$DB$283</definedName>
    <definedName name="B_OCL_19">Model!$DE$283</definedName>
    <definedName name="B_OCL_20">Model!$DH$283</definedName>
    <definedName name="B_OCL_95">Model!$AK$283</definedName>
    <definedName name="B_OCL_96">Model!$AN$283</definedName>
    <definedName name="B_OCL_97">Model!$AQ$283</definedName>
    <definedName name="B_OCL_98">Model!$AT$283</definedName>
    <definedName name="B_OCL_99">Model!$AW$283</definedName>
    <definedName name="B_OE_00">Model!$AZ$320</definedName>
    <definedName name="B_OE_01">Model!$BC$320</definedName>
    <definedName name="B_OE_02">Model!$BF$320</definedName>
    <definedName name="B_OE_03">Model!$BI$320</definedName>
    <definedName name="B_OE_04">Model!$BL$320</definedName>
    <definedName name="B_OE_05">Model!$BO$320</definedName>
    <definedName name="B_OE_06">Model!$BR$320</definedName>
    <definedName name="B_OE_07">Model!$BU$320</definedName>
    <definedName name="B_OE_08">Model!$BX$320</definedName>
    <definedName name="B_OE_09">Model!$CA$320</definedName>
    <definedName name="B_OE_10">Model!$CD$320</definedName>
    <definedName name="B_OE_11">Model!$CG$320</definedName>
    <definedName name="B_OE_12">Model!$CJ$320</definedName>
    <definedName name="B_OE_13">Model!$CM$320</definedName>
    <definedName name="B_OE_14">Model!$CP$320</definedName>
    <definedName name="B_OE_15">Model!$CS$320</definedName>
    <definedName name="B_OE_16">Model!$CV$320</definedName>
    <definedName name="B_OE_17">Model!$CY$320</definedName>
    <definedName name="B_OE_18">Model!$DB$320</definedName>
    <definedName name="B_OE_19">Model!$DE$320</definedName>
    <definedName name="B_OE_20">Model!$DH$320</definedName>
    <definedName name="B_OE_95">Model!$AK$320</definedName>
    <definedName name="B_OE_96">Model!$AN$320</definedName>
    <definedName name="B_OE_97">Model!$AQ$320</definedName>
    <definedName name="B_OE_98">Model!$AT$320</definedName>
    <definedName name="B_OE_99">Model!$AW$320</definedName>
    <definedName name="B_ONCA_00">Model!$AZ$258</definedName>
    <definedName name="B_ONCA_01">Model!$BC$258</definedName>
    <definedName name="B_ONCA_02">Model!$BF$258</definedName>
    <definedName name="B_ONCA_03">Model!$BI$258</definedName>
    <definedName name="B_ONCA_04">Model!$BL$258</definedName>
    <definedName name="B_ONCA_05">Model!$BO$258</definedName>
    <definedName name="B_ONCA_06">Model!$BR$258</definedName>
    <definedName name="B_ONCA_07">Model!$BU$258</definedName>
    <definedName name="B_ONCA_08">Model!$BX$258</definedName>
    <definedName name="B_ONCA_09">Model!$CA$258</definedName>
    <definedName name="B_ONCA_10">Model!$CD$258</definedName>
    <definedName name="B_ONCA_11">Model!$CG$258</definedName>
    <definedName name="B_ONCA_12">Model!$CJ$258</definedName>
    <definedName name="B_ONCA_13">Model!$CM$258</definedName>
    <definedName name="B_ONCA_14">Model!$CP$258</definedName>
    <definedName name="B_ONCA_15">Model!$CS$258</definedName>
    <definedName name="B_ONCA_16">Model!$CV$258</definedName>
    <definedName name="B_ONCA_17">Model!$CY$258</definedName>
    <definedName name="B_ONCA_18">Model!$DB$258</definedName>
    <definedName name="B_ONCA_19">Model!$DE$258</definedName>
    <definedName name="B_ONCA_20">Model!$DH$258</definedName>
    <definedName name="B_ONCA_95">Model!$AK$258</definedName>
    <definedName name="B_ONCA_96">Model!$AN$258</definedName>
    <definedName name="B_ONCA_97">Model!$AQ$258</definedName>
    <definedName name="B_ONCA_98">Model!$AT$258</definedName>
    <definedName name="B_ONCA_99">Model!$AW$258</definedName>
    <definedName name="B_ONCL_00">Model!$AZ$303</definedName>
    <definedName name="B_ONCL_01">Model!$BC$303</definedName>
    <definedName name="B_ONCL_02">Model!$BF$303</definedName>
    <definedName name="B_ONCL_03">Model!$BI$303</definedName>
    <definedName name="B_ONCL_04">Model!$BL$303</definedName>
    <definedName name="B_ONCL_05">Model!$BO$303</definedName>
    <definedName name="B_ONCL_06">Model!$BR$303</definedName>
    <definedName name="B_ONCL_07">Model!$BU$303</definedName>
    <definedName name="B_ONCL_08">Model!$BX$303</definedName>
    <definedName name="B_ONCL_09">Model!$CA$303</definedName>
    <definedName name="B_ONCL_10">Model!$CD$303</definedName>
    <definedName name="B_ONCL_11">Model!$CG$303</definedName>
    <definedName name="B_ONCL_12">Model!$CJ$303</definedName>
    <definedName name="B_ONCL_13">Model!$CM$303</definedName>
    <definedName name="B_ONCL_14">Model!$CP$303</definedName>
    <definedName name="B_ONCL_15">Model!$CS$303</definedName>
    <definedName name="B_ONCL_16">Model!$CV$303</definedName>
    <definedName name="B_ONCL_17">Model!$CY$303</definedName>
    <definedName name="B_ONCL_18">Model!$DB$303</definedName>
    <definedName name="B_ONCL_19">Model!$DE$303</definedName>
    <definedName name="B_ONCL_20">Model!$DH$303</definedName>
    <definedName name="B_ONCL_95">Model!$AK$303</definedName>
    <definedName name="B_ONCL_96">Model!$AN$303</definedName>
    <definedName name="B_ONCL_97">Model!$AQ$303</definedName>
    <definedName name="B_ONCL_98">Model!$AT$303</definedName>
    <definedName name="B_ONCL_99">Model!$AW$303</definedName>
    <definedName name="B_PPE_00">Model!$AZ$247</definedName>
    <definedName name="B_PPE_01">Model!$BC$247</definedName>
    <definedName name="B_PPE_02">Model!$BF$247</definedName>
    <definedName name="B_PPE_03">Model!$BI$247</definedName>
    <definedName name="B_PPE_04">Model!$BL$247</definedName>
    <definedName name="B_PPE_05">Model!$BO$247</definedName>
    <definedName name="B_PPE_06">Model!$BR$247</definedName>
    <definedName name="B_PPE_07">Model!$BU$247</definedName>
    <definedName name="B_PPE_08">Model!$BX$247</definedName>
    <definedName name="B_PPE_09">Model!$CA$247</definedName>
    <definedName name="B_PPE_10">Model!$CD$247</definedName>
    <definedName name="B_PPE_11">Model!$CG$247</definedName>
    <definedName name="B_PPE_12">Model!$CJ$247</definedName>
    <definedName name="B_PPE_13">Model!$CM$247</definedName>
    <definedName name="B_PPE_14">Model!$CP$247</definedName>
    <definedName name="B_PPE_15">Model!$CS$247</definedName>
    <definedName name="B_PPE_16">Model!$CV$247</definedName>
    <definedName name="B_PPE_17">Model!$CY$247</definedName>
    <definedName name="B_PPE_18">Model!$DB$247</definedName>
    <definedName name="B_PPE_19">Model!$DE$247</definedName>
    <definedName name="B_PPE_20">Model!$DH$247</definedName>
    <definedName name="B_PPE_95">Model!$AK$247</definedName>
    <definedName name="B_PPE_96">Model!$AN$247</definedName>
    <definedName name="B_PPE_97">Model!$AQ$247</definedName>
    <definedName name="B_PPE_98">Model!$AT$247</definedName>
    <definedName name="B_PPE_99">Model!$AW$247</definedName>
    <definedName name="B_RP_00">Model!$AZ$319</definedName>
    <definedName name="B_RP_01">Model!$BC$319</definedName>
    <definedName name="B_RP_02">Model!$BF$319</definedName>
    <definedName name="B_RP_03">Model!$BI$319</definedName>
    <definedName name="B_RP_04">Model!$BL$319</definedName>
    <definedName name="B_RP_05">Model!$BO$319</definedName>
    <definedName name="B_RP_06">Model!$BR$319</definedName>
    <definedName name="B_RP_07">Model!$BU$319</definedName>
    <definedName name="B_RP_08">Model!$BX$319</definedName>
    <definedName name="B_RP_09">Model!$CA$319</definedName>
    <definedName name="B_RP_10">Model!$CD$319</definedName>
    <definedName name="B_RP_11">Model!$CG$319</definedName>
    <definedName name="B_RP_12">Model!$CJ$319</definedName>
    <definedName name="B_RP_13">Model!$CM$319</definedName>
    <definedName name="B_RP_14">Model!$CP$319</definedName>
    <definedName name="B_RP_15">Model!$CS$319</definedName>
    <definedName name="B_RP_16">Model!$CV$319</definedName>
    <definedName name="B_RP_17">Model!$CY$319</definedName>
    <definedName name="B_RP_18">Model!$DB$319</definedName>
    <definedName name="B_RP_19">Model!$DE$319</definedName>
    <definedName name="B_RP_20">Model!$DH$319</definedName>
    <definedName name="B_RP_90">Model!$V$319</definedName>
    <definedName name="B_RP_91">Model!$Y$319</definedName>
    <definedName name="B_RP_92">Model!$AB$319</definedName>
    <definedName name="B_RP_93">Model!$AE$319</definedName>
    <definedName name="B_RP_94">Model!$AH$319</definedName>
    <definedName name="B_RP_95">Model!$AK$319</definedName>
    <definedName name="B_RP_96">Model!$AN$319</definedName>
    <definedName name="B_RP_97">Model!$AQ$319</definedName>
    <definedName name="B_RP_98">Model!$AT$319</definedName>
    <definedName name="B_RP_99">Model!$AW$319</definedName>
    <definedName name="B_SE_Cov_00">Model!$AZ$311</definedName>
    <definedName name="B_SE_Cov_01">Model!$BC$311</definedName>
    <definedName name="B_SE_Cov_02">Model!$BF$311</definedName>
    <definedName name="B_SE_Cov_03">Model!$BI$311</definedName>
    <definedName name="B_SE_Cov_04">Model!$BL$311</definedName>
    <definedName name="B_SE_Cov_05">Model!$BO$311</definedName>
    <definedName name="B_SE_Cov_06">Model!$BR$311</definedName>
    <definedName name="B_SE_Cov_07">Model!$BU$311</definedName>
    <definedName name="B_SE_Cov_08">Model!$BX$311</definedName>
    <definedName name="B_SE_Cov_09">Model!$CA$311</definedName>
    <definedName name="B_SE_Cov_10">Model!$CD$311</definedName>
    <definedName name="B_SE_Cov_11">Model!$CG$311</definedName>
    <definedName name="B_SE_Cov_12">Model!$CJ$311</definedName>
    <definedName name="B_SE_Cov_13">Model!$CM$311</definedName>
    <definedName name="B_SE_Cov_14">Model!$CP$311</definedName>
    <definedName name="B_SE_Cov_15">Model!$CS$311</definedName>
    <definedName name="B_SE_Cov_16">Model!$CV$311</definedName>
    <definedName name="B_SE_Cov_17">Model!$CY$311</definedName>
    <definedName name="B_SE_Cov_18">Model!$DB$311</definedName>
    <definedName name="B_SE_Cov_19">Model!$DE$311</definedName>
    <definedName name="B_SE_Cov_20">Model!$DH$311</definedName>
    <definedName name="B_SE_Cov_H1_00">Model!$AX$311</definedName>
    <definedName name="B_SE_Cov_H1_01">Model!$BA$311</definedName>
    <definedName name="B_SE_Cov_H1_02">Model!$BD$311</definedName>
    <definedName name="B_SE_Cov_H1_03">Model!$BG$311</definedName>
    <definedName name="B_SE_Cov_H1_04">Model!$BJ$311</definedName>
    <definedName name="B_SE_Cov_H1_05">Model!$BM$311</definedName>
    <definedName name="B_SE_Cov_H1_06">Model!$BP$311</definedName>
    <definedName name="B_SE_Cov_H1_07">Model!$BS$311</definedName>
    <definedName name="B_SE_Cov_H1_08">Model!$BV$311</definedName>
    <definedName name="B_SE_Cov_H1_09">Model!$BY$311</definedName>
    <definedName name="B_SE_Cov_H1_10">Model!$CB$311</definedName>
    <definedName name="B_SE_Cov_H1_11">Model!$CE$311</definedName>
    <definedName name="B_SE_Cov_H1_12">Model!$CH$311</definedName>
    <definedName name="B_SE_Cov_H1_13">Model!$CK$311</definedName>
    <definedName name="B_SE_Cov_H1_14">Model!$CN$311</definedName>
    <definedName name="B_SE_Cov_H1_15">Model!$CQ$311</definedName>
    <definedName name="B_SE_Cov_H1_16">Model!$CT$311</definedName>
    <definedName name="B_SE_Cov_H1_17">Model!$CW$311</definedName>
    <definedName name="B_SE_Cov_H1_18">Model!$CZ$311</definedName>
    <definedName name="B_SE_Cov_H1_19">Model!$DC$311</definedName>
    <definedName name="B_SE_Cov_H1_20">Model!$DF$311</definedName>
    <definedName name="B_SE_Cov_H2_00">Model!$AY$311</definedName>
    <definedName name="B_SE_Cov_H2_01">Model!$BB$311</definedName>
    <definedName name="B_SE_Cov_H2_02">Model!$BE$311</definedName>
    <definedName name="B_SE_Cov_H2_03">Model!$BH$311</definedName>
    <definedName name="B_SE_Cov_H2_04">Model!$BK$311</definedName>
    <definedName name="B_SE_Cov_H2_05">Model!$BN$311</definedName>
    <definedName name="B_SE_Cov_H2_06">Model!$BQ$311</definedName>
    <definedName name="B_SE_Cov_H2_07">Model!$BT$311</definedName>
    <definedName name="B_SE_Cov_H2_08">Model!$BW$311</definedName>
    <definedName name="B_SE_Cov_H2_09">Model!$BZ$311</definedName>
    <definedName name="B_SE_Cov_H2_10">Model!$CC$311</definedName>
    <definedName name="B_SE_Cov_H2_11">Model!$CF$311</definedName>
    <definedName name="B_SE_Cov_H2_12">Model!$CI$311</definedName>
    <definedName name="B_SE_Cov_H2_13">Model!$CL$311</definedName>
    <definedName name="B_SE_Cov_H2_14">Model!$CO$311</definedName>
    <definedName name="B_SE_Cov_H2_15">Model!$CR$311</definedName>
    <definedName name="B_SE_Cov_H2_16">Model!$CU$311</definedName>
    <definedName name="B_SE_Cov_H2_17">Model!$CX$311</definedName>
    <definedName name="B_SE_Cov_H2_18">Model!$DA$311</definedName>
    <definedName name="B_SE_Cov_H2_19">Model!$DD$311</definedName>
    <definedName name="B_SE_Cov_H2_20">Model!$DG$311</definedName>
    <definedName name="B_SE_Min_00">Model!$AZ$321</definedName>
    <definedName name="B_SE_Min_01">Model!$BC$321</definedName>
    <definedName name="B_SE_Min_02">Model!$BF$321</definedName>
    <definedName name="B_SE_Min_03">Model!$BI$321</definedName>
    <definedName name="B_SE_Min_04">Model!$BL$321</definedName>
    <definedName name="B_SE_Min_05">Model!$BO$321</definedName>
    <definedName name="B_SE_Min_06">Model!$BR$321</definedName>
    <definedName name="B_SE_Min_07">Model!$BU$321</definedName>
    <definedName name="B_SE_Min_08">Model!$BX$321</definedName>
    <definedName name="B_SE_Min_09">Model!$CA$321</definedName>
    <definedName name="B_SE_Min_10">Model!$CD$321</definedName>
    <definedName name="B_SE_Min_11">Model!$CG$321</definedName>
    <definedName name="B_SE_Min_12">Model!$CJ$321</definedName>
    <definedName name="B_SE_Min_13">Model!$CM$321</definedName>
    <definedName name="B_SE_Min_14">Model!$CP$321</definedName>
    <definedName name="B_SE_Min_15">Model!$CS$321</definedName>
    <definedName name="B_SE_Min_16">Model!$CV$321</definedName>
    <definedName name="B_SE_Min_17">Model!$CY$321</definedName>
    <definedName name="B_SE_Min_18">Model!$DB$321</definedName>
    <definedName name="B_SE_Min_19">Model!$DE$321</definedName>
    <definedName name="B_SE_Min_20">Model!$DH$321</definedName>
    <definedName name="B_SE_Min_H1_00">Model!$AX$321</definedName>
    <definedName name="B_SE_Min_H1_01">Model!$BA$321</definedName>
    <definedName name="B_SE_Min_H1_02">Model!$BD$321</definedName>
    <definedName name="B_SE_Min_H1_03">Model!$BG$321</definedName>
    <definedName name="B_SE_Min_H1_04">Model!$BJ$321</definedName>
    <definedName name="B_SE_Min_H1_05">Model!$BM$321</definedName>
    <definedName name="B_SE_Min_H1_06">Model!$BP$321</definedName>
    <definedName name="B_SE_Min_H1_07">Model!$BS$321</definedName>
    <definedName name="B_SE_Min_H1_08">Model!$BV$321</definedName>
    <definedName name="B_SE_Min_H1_09">Model!$BY$321</definedName>
    <definedName name="B_SE_Min_H1_10">Model!$CB$321</definedName>
    <definedName name="B_SE_Min_H1_11">Model!$CE$321</definedName>
    <definedName name="B_SE_Min_H1_12">Model!$CH$321</definedName>
    <definedName name="B_SE_Min_H1_13">Model!$CK$321</definedName>
    <definedName name="B_SE_Min_H1_14">Model!$CN$321</definedName>
    <definedName name="B_SE_Min_H1_15">Model!$CQ$321</definedName>
    <definedName name="B_SE_Min_H1_16">Model!$CT$321</definedName>
    <definedName name="B_SE_Min_H1_17">Model!$CW$321</definedName>
    <definedName name="B_SE_Min_H1_18">Model!$CZ$321</definedName>
    <definedName name="B_SE_Min_H1_19">Model!$DC$321</definedName>
    <definedName name="B_SE_Min_H1_20">Model!$DF$321</definedName>
    <definedName name="B_SE_Min_H2_00">Model!$AY$321</definedName>
    <definedName name="B_SE_Min_H2_01">Model!$BB$321</definedName>
    <definedName name="B_SE_Min_H2_02">Model!$BE$321</definedName>
    <definedName name="B_SE_Min_H2_03">Model!$BH$321</definedName>
    <definedName name="B_SE_Min_H2_04">Model!$BK$321</definedName>
    <definedName name="B_SE_Min_H2_05">Model!$BN$321</definedName>
    <definedName name="B_SE_Min_H2_06">Model!$BQ$321</definedName>
    <definedName name="B_SE_Min_H2_07">Model!$BT$321</definedName>
    <definedName name="B_SE_Min_H2_08">Model!$BW$321</definedName>
    <definedName name="B_SE_Min_H2_09">Model!$BZ$321</definedName>
    <definedName name="B_SE_Min_H2_10">Model!$CC$321</definedName>
    <definedName name="B_SE_Min_H2_11">Model!$CF$321</definedName>
    <definedName name="B_SE_Min_H2_12">Model!$CI$321</definedName>
    <definedName name="B_SE_Min_H2_13">Model!$CL$321</definedName>
    <definedName name="B_SE_Min_H2_14">Model!$CO$321</definedName>
    <definedName name="B_SE_Min_H2_15">Model!$CR$321</definedName>
    <definedName name="B_SE_Min_H2_16">Model!$CU$321</definedName>
    <definedName name="B_SE_Min_H2_17">Model!$CX$321</definedName>
    <definedName name="B_SE_Min_H2_18">Model!$DA$321</definedName>
    <definedName name="B_SE_Min_H2_19">Model!$DD$321</definedName>
    <definedName name="B_SE_Min_H2_20">Model!$DG$321</definedName>
    <definedName name="B_SE_Non_EClass_00">Model!$AZ$514</definedName>
    <definedName name="B_SE_Non_EClass_01">Model!$BC$514</definedName>
    <definedName name="B_SE_Non_EClass_02">Model!$BF$514</definedName>
    <definedName name="B_SE_Non_EClass_03">Model!$BI$514</definedName>
    <definedName name="B_SE_Non_EClass_04">Model!$BL$514</definedName>
    <definedName name="B_SE_Non_EClass_05">Model!$BO$514</definedName>
    <definedName name="B_SE_Non_EClass_06">Model!$BR$514</definedName>
    <definedName name="B_SE_Non_EClass_07">Model!$BU$514</definedName>
    <definedName name="B_SE_Non_EClass_08">Model!$BX$514</definedName>
    <definedName name="B_SE_Non_EClass_09">Model!$CA$514</definedName>
    <definedName name="B_SE_Non_EClass_10">Model!$CD$514</definedName>
    <definedName name="B_SE_Non_EClass_11">Model!$CG$514</definedName>
    <definedName name="B_SE_Non_EClass_12">Model!$CJ$514</definedName>
    <definedName name="B_SE_Non_EClass_13">Model!$CM$514</definedName>
    <definedName name="B_SE_Non_EClass_14">Model!$CP$514</definedName>
    <definedName name="B_SE_Non_EClass_15">Model!$CS$514</definedName>
    <definedName name="B_SE_Non_EClass_16">Model!$CV$514</definedName>
    <definedName name="B_SE_Non_EClass_17">Model!$CY$514</definedName>
    <definedName name="B_SE_Non_EClass_18">Model!$DB$514</definedName>
    <definedName name="B_SE_Non_EClass_19">Model!$DE$514</definedName>
    <definedName name="B_SE_Non_EClass_20">Model!$DH$514</definedName>
    <definedName name="B_SE_Non_EClass_H1_00">Model!$AX$514</definedName>
    <definedName name="B_SE_Non_EClass_H1_01">Model!$BA$514</definedName>
    <definedName name="B_SE_Non_EClass_H1_02">Model!$BD$514</definedName>
    <definedName name="B_SE_Non_EClass_H1_03">Model!$BG$514</definedName>
    <definedName name="B_SE_Non_EClass_H1_04">Model!$BJ$514</definedName>
    <definedName name="B_SE_Non_EClass_H1_05">Model!$BM$514</definedName>
    <definedName name="B_SE_Non_EClass_H1_06">Model!$BP$514</definedName>
    <definedName name="B_SE_Non_EClass_H1_07">Model!$BS$514</definedName>
    <definedName name="B_SE_Non_EClass_H1_08">Model!$BV$514</definedName>
    <definedName name="B_SE_Non_EClass_H1_09">Model!$BY$514</definedName>
    <definedName name="B_SE_Non_EClass_H1_10">Model!$CB$514</definedName>
    <definedName name="B_SE_Non_EClass_H1_11">Model!$CE$514</definedName>
    <definedName name="B_SE_Non_EClass_H1_12">Model!$CH$514</definedName>
    <definedName name="B_SE_Non_EClass_H1_13">Model!$CK$514</definedName>
    <definedName name="B_SE_Non_EClass_H1_14">Model!$CN$514</definedName>
    <definedName name="B_SE_Non_EClass_H1_15">Model!$CQ$514</definedName>
    <definedName name="B_SE_Non_EClass_H1_16">Model!$CT$514</definedName>
    <definedName name="B_SE_Non_EClass_H1_17">Model!$CW$514</definedName>
    <definedName name="B_SE_Non_EClass_H1_18">Model!$CZ$514</definedName>
    <definedName name="B_SE_Non_EClass_H1_19">Model!$DC$514</definedName>
    <definedName name="B_SE_Non_EClass_H1_20">Model!$DF$514</definedName>
    <definedName name="B_SE_Non_EClass_H2_00">Model!$AY$514</definedName>
    <definedName name="B_SE_Non_EClass_H2_01">Model!$BB$514</definedName>
    <definedName name="B_SE_Non_EClass_H2_02">Model!$BE$514</definedName>
    <definedName name="B_SE_Non_EClass_H2_03">Model!$BH$514</definedName>
    <definedName name="B_SE_Non_EClass_H2_04">Model!$BK$514</definedName>
    <definedName name="B_SE_Non_EClass_H2_05">Model!$BN$514</definedName>
    <definedName name="B_SE_Non_EClass_H2_06">Model!$BQ$514</definedName>
    <definedName name="B_SE_Non_EClass_H2_07">Model!$BT$514</definedName>
    <definedName name="B_SE_Non_EClass_H2_08">Model!$BW$514</definedName>
    <definedName name="B_SE_Non_EClass_H2_09">Model!$BZ$514</definedName>
    <definedName name="B_SE_Non_EClass_H2_10">Model!$CC$514</definedName>
    <definedName name="B_SE_Non_EClass_H2_11">Model!$CF$514</definedName>
    <definedName name="B_SE_Non_EClass_H2_12">Model!$CI$514</definedName>
    <definedName name="B_SE_Non_EClass_H2_13">Model!$CL$514</definedName>
    <definedName name="B_SE_Non_EClass_H2_14">Model!$CO$514</definedName>
    <definedName name="B_SE_Non_EClass_H2_15">Model!$CR$514</definedName>
    <definedName name="B_SE_Non_EClass_H2_16">Model!$CU$514</definedName>
    <definedName name="B_SE_Non_EClass_H2_17">Model!$CX$514</definedName>
    <definedName name="B_SE_Non_EClass_H2_18">Model!$DA$514</definedName>
    <definedName name="B_SE_Non_EClass_H2_19">Model!$DD$514</definedName>
    <definedName name="B_SE_Non_EClass_H2_20">Model!$DG$514</definedName>
    <definedName name="B_SE_OE_00">Model!$AZ$310</definedName>
    <definedName name="B_SE_OE_01">Model!$BC$310</definedName>
    <definedName name="B_SE_OE_02">Model!$BF$310</definedName>
    <definedName name="B_SE_OE_03">Model!$BI$310</definedName>
    <definedName name="B_SE_OE_04">Model!$BL$310</definedName>
    <definedName name="B_SE_OE_05">Model!$BO$310</definedName>
    <definedName name="B_SE_OE_06">Model!$BR$310</definedName>
    <definedName name="B_SE_OE_07">Model!$BU$310</definedName>
    <definedName name="B_SE_OE_08">Model!$BX$310</definedName>
    <definedName name="B_SE_OE_09">Model!$CA$310</definedName>
    <definedName name="B_SE_OE_10">Model!$CD$310</definedName>
    <definedName name="B_SE_OE_11">Model!$CG$310</definedName>
    <definedName name="B_SE_OE_12">Model!$CJ$310</definedName>
    <definedName name="B_SE_OE_13">Model!$CM$310</definedName>
    <definedName name="B_SE_OE_14">Model!$CP$310</definedName>
    <definedName name="B_SE_OE_15">Model!$CS$310</definedName>
    <definedName name="B_SE_OE_16">Model!$CV$310</definedName>
    <definedName name="B_SE_OE_17">Model!$CY$310</definedName>
    <definedName name="B_SE_OE_18">Model!$DB$310</definedName>
    <definedName name="B_SE_OE_19">Model!$DE$310</definedName>
    <definedName name="B_SE_OE_20">Model!$DH$310</definedName>
    <definedName name="B_SE_OE_H1_00">Model!$AX$310</definedName>
    <definedName name="B_SE_OE_H1_01">Model!$BA$310</definedName>
    <definedName name="B_SE_OE_H1_02">Model!$BD$310</definedName>
    <definedName name="B_SE_OE_H1_03">Model!$BG$310</definedName>
    <definedName name="B_SE_OE_H1_04">Model!$BJ$310</definedName>
    <definedName name="B_SE_OE_H1_05">Model!$BM$310</definedName>
    <definedName name="B_SE_OE_H1_06">Model!$BP$310</definedName>
    <definedName name="B_SE_OE_H1_07">Model!$BS$310</definedName>
    <definedName name="B_SE_OE_H1_08">Model!$BV$310</definedName>
    <definedName name="B_SE_OE_H1_09">Model!$BY$310</definedName>
    <definedName name="B_SE_OE_H1_10">Model!$CB$310</definedName>
    <definedName name="B_SE_OE_H1_11">Model!$CE$310</definedName>
    <definedName name="B_SE_OE_H1_12">Model!$CH$310</definedName>
    <definedName name="B_SE_OE_H1_13">Model!$CK$310</definedName>
    <definedName name="B_SE_OE_H1_14">Model!$CN$310</definedName>
    <definedName name="B_SE_OE_H1_15">Model!$CQ$310</definedName>
    <definedName name="B_SE_OE_H1_16">Model!$CT$310</definedName>
    <definedName name="B_SE_OE_H1_17">Model!$CW$310</definedName>
    <definedName name="B_SE_OE_H1_18">Model!$CZ$310</definedName>
    <definedName name="B_SE_OE_H1_19">Model!$DC$310</definedName>
    <definedName name="B_SE_OE_H1_20">Model!$DF$310</definedName>
    <definedName name="B_SE_OE_H2_00">Model!$AY$310</definedName>
    <definedName name="B_SE_OE_H2_01">Model!$BB$310</definedName>
    <definedName name="B_SE_OE_H2_02">Model!$BE$310</definedName>
    <definedName name="B_SE_OE_H2_03">Model!$BH$310</definedName>
    <definedName name="B_SE_OE_H2_04">Model!$BK$310</definedName>
    <definedName name="B_SE_OE_H2_05">Model!$BN$310</definedName>
    <definedName name="B_SE_OE_H2_06">Model!$BQ$310</definedName>
    <definedName name="B_SE_OE_H2_07">Model!$BT$310</definedName>
    <definedName name="B_SE_OE_H2_08">Model!$BW$310</definedName>
    <definedName name="B_SE_OE_H2_09">Model!$BZ$310</definedName>
    <definedName name="B_SE_OE_H2_10">Model!$CC$310</definedName>
    <definedName name="B_SE_OE_H2_11">Model!$CF$310</definedName>
    <definedName name="B_SE_OE_H2_12">Model!$CI$310</definedName>
    <definedName name="B_SE_OE_H2_13">Model!$CL$310</definedName>
    <definedName name="B_SE_OE_H2_14">Model!$CO$310</definedName>
    <definedName name="B_SE_OE_H2_15">Model!$CR$310</definedName>
    <definedName name="B_SE_OE_H2_16">Model!$CU$310</definedName>
    <definedName name="B_SE_OE_H2_17">Model!$CX$310</definedName>
    <definedName name="B_SE_OE_H2_18">Model!$DA$310</definedName>
    <definedName name="B_SE_OE_H2_19">Model!$DD$310</definedName>
    <definedName name="B_SE_OE_H2_20">Model!$DG$310</definedName>
    <definedName name="B_SE_Res_00">Model!$AZ$312</definedName>
    <definedName name="B_SE_Res_01">Model!$BC$312</definedName>
    <definedName name="B_SE_Res_02">Model!$BF$312</definedName>
    <definedName name="B_SE_Res_03">Model!$BI$312</definedName>
    <definedName name="B_SE_Res_04">Model!$BL$312</definedName>
    <definedName name="B_SE_Res_05">Model!$BO$312</definedName>
    <definedName name="B_SE_Res_06">Model!$BR$312</definedName>
    <definedName name="B_SE_Res_07">Model!$BU$312</definedName>
    <definedName name="B_SE_Res_08">Model!$BX$312</definedName>
    <definedName name="B_SE_Res_09">Model!$CA$312</definedName>
    <definedName name="B_SE_Res_10">Model!$CD$312</definedName>
    <definedName name="B_SE_Res_11">Model!$CG$312</definedName>
    <definedName name="B_SE_Res_12">Model!$CJ$312</definedName>
    <definedName name="B_SE_Res_13">Model!$CM$312</definedName>
    <definedName name="B_SE_Res_14">Model!$CP$312</definedName>
    <definedName name="B_SE_Res_15">Model!$CS$312</definedName>
    <definedName name="B_SE_Res_16">Model!$CV$312</definedName>
    <definedName name="B_SE_Res_17">Model!$CY$312</definedName>
    <definedName name="B_SE_Res_18">Model!$DB$312</definedName>
    <definedName name="B_SE_Res_19">Model!$DE$312</definedName>
    <definedName name="B_SE_Res_20">Model!$DH$312</definedName>
    <definedName name="B_SE_Res_H1_00">Model!$AX$312</definedName>
    <definedName name="B_SE_Res_H1_01">Model!$BA$312</definedName>
    <definedName name="B_SE_Res_H1_02">Model!$BD$312</definedName>
    <definedName name="B_SE_Res_H1_03">Model!$BG$312</definedName>
    <definedName name="B_SE_Res_H1_04">Model!$BJ$312</definedName>
    <definedName name="B_SE_Res_H1_05">Model!$BM$312</definedName>
    <definedName name="B_SE_Res_H1_06">Model!$BP$312</definedName>
    <definedName name="B_SE_Res_H1_07">Model!$BS$312</definedName>
    <definedName name="B_SE_Res_H1_08">Model!$BV$312</definedName>
    <definedName name="B_SE_Res_H1_09">Model!$BY$312</definedName>
    <definedName name="B_SE_Res_H1_10">Model!$CB$312</definedName>
    <definedName name="B_SE_Res_H1_11">Model!$CE$312</definedName>
    <definedName name="B_SE_Res_H1_12">Model!$CH$312</definedName>
    <definedName name="B_SE_Res_H1_13">Model!$CK$312</definedName>
    <definedName name="B_SE_Res_H1_14">Model!$CN$312</definedName>
    <definedName name="B_SE_Res_H1_15">Model!$CQ$312</definedName>
    <definedName name="B_SE_Res_H1_16">Model!$CT$312</definedName>
    <definedName name="B_SE_Res_H1_17">Model!$CW$312</definedName>
    <definedName name="B_SE_Res_H1_18">Model!$CZ$312</definedName>
    <definedName name="B_SE_Res_H1_19">Model!$DC$312</definedName>
    <definedName name="B_SE_Res_H1_20">Model!$DF$312</definedName>
    <definedName name="B_SE_Res_H2_00">Model!$AY$312</definedName>
    <definedName name="B_SE_Res_H2_01">Model!$BB$312</definedName>
    <definedName name="B_SE_Res_H2_02">Model!$BE$312</definedName>
    <definedName name="B_SE_Res_H2_03">Model!$BH$312</definedName>
    <definedName name="B_SE_Res_H2_04">Model!$BK$312</definedName>
    <definedName name="B_SE_Res_H2_05">Model!$BN$312</definedName>
    <definedName name="B_SE_Res_H2_06">Model!$BQ$312</definedName>
    <definedName name="B_SE_Res_H2_07">Model!$BT$312</definedName>
    <definedName name="B_SE_Res_H2_08">Model!$BW$312</definedName>
    <definedName name="B_SE_Res_H2_09">Model!$BZ$312</definedName>
    <definedName name="B_SE_Res_H2_10">Model!$CC$312</definedName>
    <definedName name="B_SE_Res_H2_11">Model!$CF$312</definedName>
    <definedName name="B_SE_Res_H2_12">Model!$CI$312</definedName>
    <definedName name="B_SE_Res_H2_13">Model!$CL$312</definedName>
    <definedName name="B_SE_Res_H2_14">Model!$CO$312</definedName>
    <definedName name="B_SE_Res_H2_15">Model!$CR$312</definedName>
    <definedName name="B_SE_Res_H2_16">Model!$CU$312</definedName>
    <definedName name="B_SE_Res_H2_17">Model!$CX$312</definedName>
    <definedName name="B_SE_Res_H2_18">Model!$DA$312</definedName>
    <definedName name="B_SE_Res_H2_19">Model!$DD$312</definedName>
    <definedName name="B_SE_Res_H2_20">Model!$DG$312</definedName>
    <definedName name="B_SE_RP_00">Model!$AZ$319</definedName>
    <definedName name="B_SE_RP_01">Model!$BC$319</definedName>
    <definedName name="B_SE_RP_02">Model!$BF$319</definedName>
    <definedName name="B_SE_RP_03">Model!$BI$319</definedName>
    <definedName name="B_SE_RP_04">Model!$BL$319</definedName>
    <definedName name="B_SE_RP_05">Model!$BO$319</definedName>
    <definedName name="B_SE_RP_06">Model!$BR$319</definedName>
    <definedName name="B_SE_RP_07">Model!$BU$319</definedName>
    <definedName name="B_SE_RP_08">Model!$BX$319</definedName>
    <definedName name="B_SE_RP_09">Model!$CA$319</definedName>
    <definedName name="B_SE_RP_10">Model!$CD$319</definedName>
    <definedName name="B_SE_RP_11">Model!$CG$319</definedName>
    <definedName name="B_SE_RP_12">Model!$CJ$319</definedName>
    <definedName name="B_SE_RP_13">Model!$CM$319</definedName>
    <definedName name="B_SE_RP_14">Model!$CP$319</definedName>
    <definedName name="B_SE_RP_15">Model!$CS$319</definedName>
    <definedName name="B_SE_RP_16">Model!$CV$319</definedName>
    <definedName name="B_SE_RP_17">Model!$CY$319</definedName>
    <definedName name="B_SE_RP_18">Model!$DB$319</definedName>
    <definedName name="B_SE_RP_19">Model!$DE$319</definedName>
    <definedName name="B_SE_RP_20">Model!$DH$319</definedName>
    <definedName name="B_SE_RP_H1_00">Model!$AX$319</definedName>
    <definedName name="B_SE_RP_H1_01">Model!$BA$319</definedName>
    <definedName name="B_SE_RP_H1_02">Model!$BD$319</definedName>
    <definedName name="B_SE_RP_H1_03">Model!$BG$319</definedName>
    <definedName name="B_SE_RP_H1_04">Model!$BJ$319</definedName>
    <definedName name="B_SE_RP_H1_05">Model!$BM$319</definedName>
    <definedName name="B_SE_RP_H1_06">Model!$BP$319</definedName>
    <definedName name="B_SE_RP_H1_07">Model!$BS$319</definedName>
    <definedName name="B_SE_RP_H1_08">Model!$BV$319</definedName>
    <definedName name="B_SE_RP_H1_09">Model!$BY$319</definedName>
    <definedName name="B_SE_RP_H1_10">Model!$CB$319</definedName>
    <definedName name="B_SE_RP_H1_11">Model!$CE$319</definedName>
    <definedName name="B_SE_RP_H1_12">Model!$CH$319</definedName>
    <definedName name="B_SE_RP_H1_13">Model!$CK$319</definedName>
    <definedName name="B_SE_RP_H1_14">Model!$CN$319</definedName>
    <definedName name="B_SE_RP_H1_15">Model!$CQ$319</definedName>
    <definedName name="B_SE_RP_H1_16">Model!$CT$319</definedName>
    <definedName name="B_SE_RP_H1_17">Model!$CW$319</definedName>
    <definedName name="B_SE_RP_H1_18">Model!$CZ$319</definedName>
    <definedName name="B_SE_RP_H1_19">Model!$DC$319</definedName>
    <definedName name="B_SE_RP_H1_20">Model!$DF$319</definedName>
    <definedName name="B_SE_RP_H2_00">Model!$AY$319</definedName>
    <definedName name="B_SE_RP_H2_01">Model!$BB$319</definedName>
    <definedName name="B_SE_RP_H2_02">Model!$BE$319</definedName>
    <definedName name="B_SE_RP_H2_03">Model!$BH$319</definedName>
    <definedName name="B_SE_RP_H2_04">Model!$BK$319</definedName>
    <definedName name="B_SE_RP_H2_05">Model!$BN$319</definedName>
    <definedName name="B_SE_RP_H2_06">Model!$BQ$319</definedName>
    <definedName name="B_SE_RP_H2_07">Model!$BT$319</definedName>
    <definedName name="B_SE_RP_H2_08">Model!$BW$319</definedName>
    <definedName name="B_SE_RP_H2_09">Model!$BZ$319</definedName>
    <definedName name="B_SE_RP_H2_10">Model!$CC$319</definedName>
    <definedName name="B_SE_RP_H2_11">Model!$CF$319</definedName>
    <definedName name="B_SE_RP_H2_12">Model!$CI$319</definedName>
    <definedName name="B_SE_RP_H2_13">Model!$CL$319</definedName>
    <definedName name="B_SE_RP_H2_14">Model!$CO$319</definedName>
    <definedName name="B_SE_RP_H2_15">Model!$CR$319</definedName>
    <definedName name="B_SE_RP_H2_16">Model!$CU$319</definedName>
    <definedName name="B_SE_RP_H2_17">Model!$CX$319</definedName>
    <definedName name="B_SE_RP_H2_18">Model!$DA$319</definedName>
    <definedName name="B_SE_RP_H2_19">Model!$DD$319</definedName>
    <definedName name="B_SE_RP_H2_20">Model!$DG$319</definedName>
    <definedName name="B_TA_00">Model!$AZ$264</definedName>
    <definedName name="B_TA_01">Model!$BC$264</definedName>
    <definedName name="B_TA_02">Model!$BF$264</definedName>
    <definedName name="B_TA_03">Model!$BI$264</definedName>
    <definedName name="B_TA_04">Model!$BL$264</definedName>
    <definedName name="B_TA_05">Model!$BO$264</definedName>
    <definedName name="B_TA_06">Model!$BR$264</definedName>
    <definedName name="B_TA_07">Model!$BU$264</definedName>
    <definedName name="B_TA_08">Model!$BX$264</definedName>
    <definedName name="B_TA_09">Model!$CA$264</definedName>
    <definedName name="B_TA_10">Model!$CD$264</definedName>
    <definedName name="B_TA_11">Model!$CG$264</definedName>
    <definedName name="B_TA_12">Model!$CJ$264</definedName>
    <definedName name="B_TA_13">Model!$CM$264</definedName>
    <definedName name="B_TA_14">Model!$CP$264</definedName>
    <definedName name="B_TA_15">Model!$CS$264</definedName>
    <definedName name="B_TA_16">Model!$CV$264</definedName>
    <definedName name="B_TA_17">Model!$CY$264</definedName>
    <definedName name="B_TA_18">Model!$DB$264</definedName>
    <definedName name="B_TA_19">Model!$DE$264</definedName>
    <definedName name="B_TA_20">Model!$DH$264</definedName>
    <definedName name="B_TA_95">Model!$AK$264</definedName>
    <definedName name="B_TA_96">Model!$AN$264</definedName>
    <definedName name="B_TA_97">Model!$AQ$264</definedName>
    <definedName name="B_TA_98">Model!$AT$264</definedName>
    <definedName name="B_TA_99">Model!$AW$264</definedName>
    <definedName name="B_TA_H1_00">Model!$AX$264</definedName>
    <definedName name="B_TA_H1_01">Model!$BA$264</definedName>
    <definedName name="B_TA_H1_02">Model!$BD$264</definedName>
    <definedName name="B_TA_H1_03">Model!$BG$264</definedName>
    <definedName name="B_TA_H1_04">Model!$BJ$264</definedName>
    <definedName name="B_TA_H1_05">Model!$BM$264</definedName>
    <definedName name="B_TA_H1_06">Model!$BP$264</definedName>
    <definedName name="B_TA_H1_07">Model!$BS$264</definedName>
    <definedName name="B_TA_H1_08">Model!$BV$264</definedName>
    <definedName name="B_TA_H1_09">Model!$BY$264</definedName>
    <definedName name="B_TA_H1_10">Model!$CB$264</definedName>
    <definedName name="B_TA_H1_11">Model!$CE$264</definedName>
    <definedName name="B_TA_H1_12">Model!$CH$264</definedName>
    <definedName name="B_TA_H1_13">Model!$CK$264</definedName>
    <definedName name="B_TA_H1_14">Model!$CN$264</definedName>
    <definedName name="B_TA_H1_15">Model!$CQ$264</definedName>
    <definedName name="B_TA_H1_16">Model!$CT$264</definedName>
    <definedName name="B_TA_H1_17">Model!$CW$264</definedName>
    <definedName name="B_TA_H1_18">Model!$CZ$264</definedName>
    <definedName name="B_TA_H1_19">Model!$DC$264</definedName>
    <definedName name="B_TA_H1_20">Model!$DF$264</definedName>
    <definedName name="B_TA_H2_00">Model!$AY$264</definedName>
    <definedName name="B_TA_H2_01">Model!$BB$264</definedName>
    <definedName name="B_TA_H2_02">Model!$BE$264</definedName>
    <definedName name="B_TA_H2_03">Model!$BH$264</definedName>
    <definedName name="B_TA_H2_04">Model!$BK$264</definedName>
    <definedName name="B_TA_H2_05">Model!$BN$264</definedName>
    <definedName name="B_TA_H2_06">Model!$BQ$264</definedName>
    <definedName name="B_TA_H2_07">Model!$BT$264</definedName>
    <definedName name="B_TA_H2_08">Model!$BW$264</definedName>
    <definedName name="B_TA_H2_09">Model!$BZ$264</definedName>
    <definedName name="B_TA_H2_10">Model!$CC$264</definedName>
    <definedName name="B_TA_H2_11">Model!$CF$264</definedName>
    <definedName name="B_TA_H2_12">Model!$CI$264</definedName>
    <definedName name="B_TA_H2_13">Model!$CL$264</definedName>
    <definedName name="B_TA_H2_14">Model!$CO$264</definedName>
    <definedName name="B_TA_H2_15">Model!$CR$264</definedName>
    <definedName name="B_TA_H2_16">Model!$CU$264</definedName>
    <definedName name="B_TA_H2_17">Model!$CX$264</definedName>
    <definedName name="B_TA_H2_18">Model!$DA$264</definedName>
    <definedName name="B_TA_H2_19">Model!$DD$264</definedName>
    <definedName name="B_TA_H2_20">Model!$DG$264</definedName>
    <definedName name="B_TCA_00">Model!$AZ$244</definedName>
    <definedName name="B_TCA_01">Model!$BC$244</definedName>
    <definedName name="B_TCA_02">Model!$BF$244</definedName>
    <definedName name="B_TCA_03">Model!$BI$244</definedName>
    <definedName name="B_TCA_04">Model!$BL$244</definedName>
    <definedName name="B_TCA_05">Model!$BO$244</definedName>
    <definedName name="B_TCA_06">Model!$BR$244</definedName>
    <definedName name="B_TCA_07">Model!$BU$244</definedName>
    <definedName name="B_TCA_08">Model!$BX$244</definedName>
    <definedName name="B_TCA_09">Model!$CA$244</definedName>
    <definedName name="B_TCA_10">Model!$CD$244</definedName>
    <definedName name="B_TCA_11">Model!$CG$244</definedName>
    <definedName name="B_TCA_12">Model!$CJ$244</definedName>
    <definedName name="B_TCA_13">Model!$CM$244</definedName>
    <definedName name="B_TCA_14">Model!$CP$244</definedName>
    <definedName name="B_TCA_15">Model!$CS$244</definedName>
    <definedName name="B_TCA_16">Model!$CV$244</definedName>
    <definedName name="B_TCA_17">Model!$CY$244</definedName>
    <definedName name="B_TCA_18">Model!$DB$244</definedName>
    <definedName name="B_TCA_19">Model!$DE$244</definedName>
    <definedName name="B_TCA_20">Model!$DH$244</definedName>
    <definedName name="B_TCA_95">Model!$AK$244</definedName>
    <definedName name="B_TCA_96">Model!$AN$244</definedName>
    <definedName name="B_TCA_97">Model!$AQ$244</definedName>
    <definedName name="B_TCA_98">Model!$AT$244</definedName>
    <definedName name="B_TCA_99">Model!$AW$244</definedName>
    <definedName name="B_TCB_00">Model!$AZ$269</definedName>
    <definedName name="B_TCB_01">Model!$BC$269</definedName>
    <definedName name="B_TCB_02">Model!$BF$269</definedName>
    <definedName name="B_TCB_03">Model!$BI$269</definedName>
    <definedName name="B_TCB_04">Model!$BL$269</definedName>
    <definedName name="B_TCB_05">Model!$BO$269</definedName>
    <definedName name="B_TCB_06">Model!$BR$269</definedName>
    <definedName name="B_TCB_07">Model!$BU$269</definedName>
    <definedName name="B_TCB_08">Model!$BX$269</definedName>
    <definedName name="B_TCB_09">Model!$CA$269</definedName>
    <definedName name="B_TCB_10">Model!$CD$269</definedName>
    <definedName name="B_TCB_11">Model!$CG$269</definedName>
    <definedName name="B_TCB_12">Model!$CJ$269</definedName>
    <definedName name="B_TCB_13">Model!$CM$269</definedName>
    <definedName name="B_TCB_14">Model!$CP$269</definedName>
    <definedName name="B_TCB_15">Model!$CS$269</definedName>
    <definedName name="B_TCB_16">Model!$CV$269</definedName>
    <definedName name="B_TCB_17">Model!$CY$269</definedName>
    <definedName name="B_TCB_18">Model!$DB$269</definedName>
    <definedName name="B_TCB_19">Model!$DE$269</definedName>
    <definedName name="B_TCB_20">Model!$DH$269</definedName>
    <definedName name="B_TCB_H1_00">Model!$AX$269</definedName>
    <definedName name="B_TCB_H1_01">Model!$BA$269</definedName>
    <definedName name="B_TCB_H1_02">Model!$BD$269</definedName>
    <definedName name="B_TCB_H1_03">Model!$BG$269</definedName>
    <definedName name="B_TCB_H1_04">Model!$BJ$269</definedName>
    <definedName name="B_TCB_H1_05">Model!$BM$269</definedName>
    <definedName name="B_TCB_H1_06">Model!$BP$269</definedName>
    <definedName name="B_TCB_H1_07">Model!$BS$269</definedName>
    <definedName name="B_TCB_H1_08">Model!$BV$269</definedName>
    <definedName name="B_TCB_H1_09">Model!$BY$269</definedName>
    <definedName name="B_TCB_H1_10">Model!$CB$269</definedName>
    <definedName name="B_TCB_H1_11">Model!$CE$269</definedName>
    <definedName name="B_TCB_H1_12">Model!$CH$269</definedName>
    <definedName name="B_TCB_H1_13">Model!$CK$269</definedName>
    <definedName name="B_TCB_H1_14">Model!$CN$269</definedName>
    <definedName name="B_TCB_H1_15">Model!$CQ$269</definedName>
    <definedName name="B_TCB_H1_16">Model!$CT$269</definedName>
    <definedName name="B_TCB_H1_17">Model!$CW$269</definedName>
    <definedName name="B_TCB_H1_18">Model!$CZ$269</definedName>
    <definedName name="B_TCB_H1_19">Model!$DC$269</definedName>
    <definedName name="B_TCB_H1_20">Model!$DF$269</definedName>
    <definedName name="B_TCB_H2_00">Model!$AY$269</definedName>
    <definedName name="B_TCB_H2_01">Model!$BB$269</definedName>
    <definedName name="B_TCB_H2_02">Model!$BE$269</definedName>
    <definedName name="B_TCB_H2_03">Model!$BH$269</definedName>
    <definedName name="B_TCB_H2_04">Model!$BK$269</definedName>
    <definedName name="B_TCB_H2_05">Model!$BN$269</definedName>
    <definedName name="B_TCB_H2_06">Model!$BQ$269</definedName>
    <definedName name="B_TCB_H2_07">Model!$BT$269</definedName>
    <definedName name="B_TCB_H2_08">Model!$BW$269</definedName>
    <definedName name="B_TCB_H2_09">Model!$BZ$269</definedName>
    <definedName name="B_TCB_H2_10">Model!$CC$269</definedName>
    <definedName name="B_TCB_H2_11">Model!$CF$269</definedName>
    <definedName name="B_TCB_H2_12">Model!$CI$269</definedName>
    <definedName name="B_TCB_H2_13">Model!$CL$269</definedName>
    <definedName name="B_TCB_H2_14">Model!$CO$269</definedName>
    <definedName name="B_TCB_H2_15">Model!$CR$269</definedName>
    <definedName name="B_TCB_H2_16">Model!$CU$269</definedName>
    <definedName name="B_TCB_H2_17">Model!$CX$269</definedName>
    <definedName name="B_TCB_H2_18">Model!$DA$269</definedName>
    <definedName name="B_TCB_H2_19">Model!$DD$269</definedName>
    <definedName name="B_TCB_H2_20">Model!$DG$269</definedName>
    <definedName name="B_TCL_00">Model!$AZ$287</definedName>
    <definedName name="B_TCL_01">Model!$BC$287</definedName>
    <definedName name="B_TCL_02">Model!$BF$287</definedName>
    <definedName name="B_TCL_03">Model!$BI$287</definedName>
    <definedName name="B_TCL_04">Model!$BL$287</definedName>
    <definedName name="B_TCL_05">Model!$BO$287</definedName>
    <definedName name="B_TCL_06">Model!$BR$287</definedName>
    <definedName name="B_TCL_07">Model!$BU$287</definedName>
    <definedName name="B_TCL_08">Model!$BX$287</definedName>
    <definedName name="B_TCL_09">Model!$CA$287</definedName>
    <definedName name="B_TCL_10">Model!$CD$287</definedName>
    <definedName name="B_TCL_11">Model!$CG$287</definedName>
    <definedName name="B_TCL_12">Model!$CJ$287</definedName>
    <definedName name="B_TCL_13">Model!$CM$287</definedName>
    <definedName name="B_TCL_14">Model!$CP$287</definedName>
    <definedName name="B_TCL_15">Model!$CS$287</definedName>
    <definedName name="B_TCL_16">Model!$CV$287</definedName>
    <definedName name="B_TCL_17">Model!$CY$287</definedName>
    <definedName name="B_TCL_18">Model!$DB$287</definedName>
    <definedName name="B_TCL_19">Model!$DE$287</definedName>
    <definedName name="B_TCL_20">Model!$DH$287</definedName>
    <definedName name="B_TCL_95">Model!$AK$287</definedName>
    <definedName name="B_TCL_96">Model!$AN$287</definedName>
    <definedName name="B_TCL_97">Model!$AQ$287</definedName>
    <definedName name="B_TCL_98">Model!$AT$287</definedName>
    <definedName name="B_TCL_99">Model!$AW$287</definedName>
    <definedName name="B_TCL_H1_00">Model!$AX$287</definedName>
    <definedName name="B_TCL_H1_01">Model!$BA$287</definedName>
    <definedName name="B_TCL_H1_02">Model!$BD$287</definedName>
    <definedName name="B_TCL_H1_03">Model!$BG$287</definedName>
    <definedName name="B_TCL_H1_04">Model!$BJ$287</definedName>
    <definedName name="B_TCL_H1_05">Model!$BM$287</definedName>
    <definedName name="B_TCL_H1_06">Model!$BP$287</definedName>
    <definedName name="B_TCL_H1_07">Model!$BS$287</definedName>
    <definedName name="B_TCL_H1_08">Model!$BV$287</definedName>
    <definedName name="B_TCL_H1_09">Model!$BY$287</definedName>
    <definedName name="B_TCL_H1_10">Model!$CB$287</definedName>
    <definedName name="B_TCL_H1_11">Model!$CE$287</definedName>
    <definedName name="B_TCL_H1_12">Model!$CH$287</definedName>
    <definedName name="B_TCL_H1_13">Model!$CK$287</definedName>
    <definedName name="B_TCL_H1_14">Model!$CN$287</definedName>
    <definedName name="B_TCL_H1_15">Model!$CQ$287</definedName>
    <definedName name="B_TCL_H1_16">Model!$CT$287</definedName>
    <definedName name="B_TCL_H1_17">Model!$CW$287</definedName>
    <definedName name="B_TCL_H1_18">Model!$CZ$287</definedName>
    <definedName name="B_TCL_H1_19">Model!$DC$287</definedName>
    <definedName name="B_TCL_H1_20">Model!$DF$287</definedName>
    <definedName name="B_TCL_H2_00">Model!$AY$287</definedName>
    <definedName name="B_TCL_H2_01">Model!$BB$287</definedName>
    <definedName name="B_TCL_H2_02">Model!$BE$287</definedName>
    <definedName name="B_TCL_H2_03">Model!$BH$287</definedName>
    <definedName name="B_TCL_H2_04">Model!$BK$287</definedName>
    <definedName name="B_TCL_H2_05">Model!$BN$287</definedName>
    <definedName name="B_TCL_H2_06">Model!$BQ$287</definedName>
    <definedName name="B_TCL_H2_07">Model!$BT$287</definedName>
    <definedName name="B_TCL_H2_08">Model!$BW$287</definedName>
    <definedName name="B_TCL_H2_09">Model!$BZ$287</definedName>
    <definedName name="B_TCL_H2_10">Model!$CC$287</definedName>
    <definedName name="B_TCL_H2_11">Model!$CF$287</definedName>
    <definedName name="B_TCL_H2_12">Model!$CI$287</definedName>
    <definedName name="B_TCL_H2_13">Model!$CL$287</definedName>
    <definedName name="B_TCL_H2_14">Model!$CO$287</definedName>
    <definedName name="B_TCL_H2_15">Model!$CR$287</definedName>
    <definedName name="B_TCL_H2_16">Model!$CU$287</definedName>
    <definedName name="B_TCL_H2_17">Model!$CX$287</definedName>
    <definedName name="B_TCL_H2_18">Model!$DA$287</definedName>
    <definedName name="B_TCL_H2_19">Model!$DD$287</definedName>
    <definedName name="B_TCL_H2_20">Model!$DG$287</definedName>
    <definedName name="B_TCP_00">Model!$AZ$276</definedName>
    <definedName name="B_TCP_01">Model!$BC$276</definedName>
    <definedName name="B_TCP_02">Model!$BF$276</definedName>
    <definedName name="B_TCP_03">Model!$BI$276</definedName>
    <definedName name="B_TCP_04">Model!$BL$276</definedName>
    <definedName name="B_TCP_05">Model!$BO$276</definedName>
    <definedName name="B_TCP_06">Model!$BR$276</definedName>
    <definedName name="B_TCP_07">Model!$BU$276</definedName>
    <definedName name="B_TCP_08">Model!$BX$276</definedName>
    <definedName name="B_TCP_09">Model!$CA$276</definedName>
    <definedName name="B_TCP_10">Model!$CD$276</definedName>
    <definedName name="B_TCP_11">Model!$CG$276</definedName>
    <definedName name="B_TCP_12">Model!$CJ$276</definedName>
    <definedName name="B_TCP_13">Model!$CM$276</definedName>
    <definedName name="B_TCP_14">Model!$CP$276</definedName>
    <definedName name="B_TCP_15">Model!$CS$276</definedName>
    <definedName name="B_TCP_16">Model!$CV$276</definedName>
    <definedName name="B_TCP_17">Model!$CY$276</definedName>
    <definedName name="B_TCP_18">Model!$DB$276</definedName>
    <definedName name="B_TCP_19">Model!$DE$276</definedName>
    <definedName name="B_TCP_20">Model!$DH$276</definedName>
    <definedName name="B_TCP_H1_00">Model!$AX$276</definedName>
    <definedName name="B_TCP_H1_01">Model!$BA$276</definedName>
    <definedName name="B_TCP_H1_02">Model!$BD$276</definedName>
    <definedName name="B_TCP_H1_03">Model!$BG$276</definedName>
    <definedName name="B_TCP_H1_04">Model!$BJ$276</definedName>
    <definedName name="B_TCP_H1_05">Model!$BM$276</definedName>
    <definedName name="B_TCP_H1_06">Model!$BP$276</definedName>
    <definedName name="B_TCP_H1_07">Model!$BS$276</definedName>
    <definedName name="B_TCP_H1_08">Model!$BV$276</definedName>
    <definedName name="B_TCP_H1_09">Model!$BY$276</definedName>
    <definedName name="B_TCP_H1_10">Model!$CB$276</definedName>
    <definedName name="B_TCP_H1_11">Model!$CE$276</definedName>
    <definedName name="B_TCP_H1_12">Model!$CH$276</definedName>
    <definedName name="B_TCP_H1_13">Model!$CK$276</definedName>
    <definedName name="B_TCP_H1_14">Model!$CN$276</definedName>
    <definedName name="B_TCP_H1_15">Model!$CQ$276</definedName>
    <definedName name="B_TCP_H1_16">Model!$CT$276</definedName>
    <definedName name="B_TCP_H1_17">Model!$CW$276</definedName>
    <definedName name="B_TCP_H1_18">Model!$CZ$276</definedName>
    <definedName name="B_TCP_H1_19">Model!$DC$276</definedName>
    <definedName name="B_TCP_H1_20">Model!$DF$276</definedName>
    <definedName name="B_TCP_H2_00">Model!$AY$276</definedName>
    <definedName name="B_TCP_H2_01">Model!$BB$276</definedName>
    <definedName name="B_TCP_H2_02">Model!$BE$276</definedName>
    <definedName name="B_TCP_H2_03">Model!$BH$276</definedName>
    <definedName name="B_TCP_H2_04">Model!$BK$276</definedName>
    <definedName name="B_TCP_H2_05">Model!$BN$276</definedName>
    <definedName name="B_TCP_H2_06">Model!$BQ$276</definedName>
    <definedName name="B_TCP_H2_07">Model!$BT$276</definedName>
    <definedName name="B_TCP_H2_08">Model!$BW$276</definedName>
    <definedName name="B_TCP_H2_09">Model!$BZ$276</definedName>
    <definedName name="B_TCP_H2_10">Model!$CC$276</definedName>
    <definedName name="B_TCP_H2_11">Model!$CF$276</definedName>
    <definedName name="B_TCP_H2_12">Model!$CI$276</definedName>
    <definedName name="B_TCP_H2_13">Model!$CL$276</definedName>
    <definedName name="B_TCP_H2_14">Model!$CO$276</definedName>
    <definedName name="B_TCP_H2_15">Model!$CR$276</definedName>
    <definedName name="B_TCP_H2_16">Model!$CU$276</definedName>
    <definedName name="B_TCP_H2_17">Model!$CX$276</definedName>
    <definedName name="B_TCP_H2_18">Model!$DA$276</definedName>
    <definedName name="B_TCP_H2_19">Model!$DD$276</definedName>
    <definedName name="B_TCP_H2_20">Model!$DG$276</definedName>
    <definedName name="B_TEC_00">Model!$AZ$515</definedName>
    <definedName name="B_TEC_01">Model!$BC$515</definedName>
    <definedName name="B_TEC_02">Model!$BF$515</definedName>
    <definedName name="B_TEC_03">Model!$BI$515</definedName>
    <definedName name="B_TEC_04">Model!$BL$515</definedName>
    <definedName name="B_TEC_05">Model!$BO$515</definedName>
    <definedName name="B_TEC_06">Model!$BR$515</definedName>
    <definedName name="B_TEC_07">Model!$BU$515</definedName>
    <definedName name="B_TEC_08">Model!$BX$515</definedName>
    <definedName name="B_TEC_09">Model!$CA$515</definedName>
    <definedName name="B_TEC_10">Model!$CD$515</definedName>
    <definedName name="B_TEC_11">Model!$CG$515</definedName>
    <definedName name="B_TEC_12">Model!$CJ$515</definedName>
    <definedName name="B_TEC_13">Model!$CM$515</definedName>
    <definedName name="B_TEC_14">Model!$CP$515</definedName>
    <definedName name="B_TEC_15">Model!$CS$515</definedName>
    <definedName name="B_TEC_16">Model!$CV$515</definedName>
    <definedName name="B_TEC_17">Model!$CY$515</definedName>
    <definedName name="B_TEC_18">Model!$DB$515</definedName>
    <definedName name="B_TEC_19">Model!$DE$515</definedName>
    <definedName name="B_TEC_20">Model!$DH$515</definedName>
    <definedName name="B_TEC_H1_00">Model!$AX$515</definedName>
    <definedName name="B_TEC_H1_01">Model!$BA$515</definedName>
    <definedName name="B_TEC_H1_02">Model!$BD$515</definedName>
    <definedName name="B_TEC_H1_03">Model!$BG$515</definedName>
    <definedName name="B_TEC_H1_04">Model!$BJ$515</definedName>
    <definedName name="B_TEC_H1_05">Model!$BM$515</definedName>
    <definedName name="B_TEC_H1_06">Model!$BP$515</definedName>
    <definedName name="B_TEC_H1_07">Model!$BS$515</definedName>
    <definedName name="B_TEC_H1_08">Model!$BV$515</definedName>
    <definedName name="B_TEC_H1_09">Model!$BY$515</definedName>
    <definedName name="B_TEC_H1_10">Model!$CB$515</definedName>
    <definedName name="B_TEC_H1_11">Model!$CE$515</definedName>
    <definedName name="B_TEC_H1_12">Model!$CH$515</definedName>
    <definedName name="B_TEC_H1_13">Model!$CK$515</definedName>
    <definedName name="B_TEC_H1_14">Model!$CN$515</definedName>
    <definedName name="B_TEC_H1_15">Model!$CQ$515</definedName>
    <definedName name="B_TEC_H1_16">Model!$CT$515</definedName>
    <definedName name="B_TEC_H1_17">Model!$CW$515</definedName>
    <definedName name="B_TEC_H1_18">Model!$CZ$515</definedName>
    <definedName name="B_TEC_H1_19">Model!$DC$515</definedName>
    <definedName name="B_TEC_H1_20">Model!$DF$515</definedName>
    <definedName name="B_TEC_H2_00">Model!$AY$515</definedName>
    <definedName name="B_TEC_H2_01">Model!$BB$515</definedName>
    <definedName name="B_TEC_H2_02">Model!$BE$515</definedName>
    <definedName name="B_TEC_H2_03">Model!$BH$515</definedName>
    <definedName name="B_TEC_H2_04">Model!$BK$515</definedName>
    <definedName name="B_TEC_H2_05">Model!$BN$515</definedName>
    <definedName name="B_TEC_H2_06">Model!$BQ$515</definedName>
    <definedName name="B_TEC_H2_07">Model!$BT$515</definedName>
    <definedName name="B_TEC_H2_08">Model!$BW$515</definedName>
    <definedName name="B_TEC_H2_09">Model!$BZ$515</definedName>
    <definedName name="B_TEC_H2_10">Model!$CC$515</definedName>
    <definedName name="B_TEC_H2_11">Model!$CF$515</definedName>
    <definedName name="B_TEC_H2_12">Model!$CI$515</definedName>
    <definedName name="B_TEC_H2_13">Model!$CL$515</definedName>
    <definedName name="B_TEC_H2_14">Model!$CO$515</definedName>
    <definedName name="B_TEC_H2_15">Model!$CR$515</definedName>
    <definedName name="B_TEC_H2_16">Model!$CU$515</definedName>
    <definedName name="B_TEC_H2_17">Model!$CX$515</definedName>
    <definedName name="B_TEC_H2_18">Model!$DA$515</definedName>
    <definedName name="B_TEC_H2_19">Model!$DD$515</definedName>
    <definedName name="B_TEC_H2_20">Model!$DG$515</definedName>
    <definedName name="B_TL_00">Model!$AZ$305</definedName>
    <definedName name="B_TL_01">Model!$BC$305</definedName>
    <definedName name="B_TL_02">Model!$BF$305</definedName>
    <definedName name="B_TL_03">Model!$BI$305</definedName>
    <definedName name="B_TL_04">Model!$BL$305</definedName>
    <definedName name="B_TL_05">Model!$BO$305</definedName>
    <definedName name="B_TL_06">Model!$BR$305</definedName>
    <definedName name="B_TL_07">Model!$BU$305</definedName>
    <definedName name="B_TL_08">Model!$BX$305</definedName>
    <definedName name="B_TL_09">Model!$CA$305</definedName>
    <definedName name="B_TL_10">Model!$CD$305</definedName>
    <definedName name="B_TL_11">Model!$CG$305</definedName>
    <definedName name="B_TL_12">Model!$CJ$305</definedName>
    <definedName name="B_TL_13">Model!$CM$305</definedName>
    <definedName name="B_TL_14">Model!$CP$305</definedName>
    <definedName name="B_TL_15">Model!$CS$305</definedName>
    <definedName name="B_TL_16">Model!$CV$305</definedName>
    <definedName name="B_TL_17">Model!$CY$305</definedName>
    <definedName name="B_TL_18">Model!$DB$305</definedName>
    <definedName name="B_TL_19">Model!$DE$305</definedName>
    <definedName name="B_TL_20">Model!$DH$305</definedName>
    <definedName name="B_TL_95">Model!$AK$305</definedName>
    <definedName name="B_TL_96">Model!$AN$305</definedName>
    <definedName name="B_TL_97">Model!$AQ$305</definedName>
    <definedName name="B_TL_98">Model!$AT$305</definedName>
    <definedName name="B_TL_99">Model!$AW$305</definedName>
    <definedName name="B_TL_H1_00">Model!$AX$305</definedName>
    <definedName name="B_TL_H1_01">Model!$BA$305</definedName>
    <definedName name="B_TL_H1_02">Model!$BD$305</definedName>
    <definedName name="B_TL_H1_03">Model!$BG$305</definedName>
    <definedName name="B_TL_H1_04">Model!$BJ$305</definedName>
    <definedName name="B_TL_H1_05">Model!$BM$305</definedName>
    <definedName name="B_TL_H1_06">Model!$BP$305</definedName>
    <definedName name="B_TL_H1_07">Model!$BS$305</definedName>
    <definedName name="B_TL_H1_08">Model!$BV$305</definedName>
    <definedName name="B_TL_H1_09">Model!$BY$305</definedName>
    <definedName name="B_TL_H1_10">Model!$CB$305</definedName>
    <definedName name="B_TL_H1_11">Model!$CE$305</definedName>
    <definedName name="B_TL_H1_12">Model!$CH$305</definedName>
    <definedName name="B_TL_H1_13">Model!$CK$305</definedName>
    <definedName name="B_TL_H1_14">Model!$CN$305</definedName>
    <definedName name="B_TL_H1_15">Model!$CQ$305</definedName>
    <definedName name="B_TL_H1_16">Model!$CT$305</definedName>
    <definedName name="B_TL_H1_17">Model!$CW$305</definedName>
    <definedName name="B_TL_H1_18">Model!$CZ$305</definedName>
    <definedName name="B_TL_H1_19">Model!$DC$305</definedName>
    <definedName name="B_TL_H1_20">Model!$DF$305</definedName>
    <definedName name="B_TL_H2_00">Model!$AY$305</definedName>
    <definedName name="B_TL_H2_01">Model!$BB$305</definedName>
    <definedName name="B_TL_H2_02">Model!$BE$305</definedName>
    <definedName name="B_TL_H2_03">Model!$BH$305</definedName>
    <definedName name="B_TL_H2_04">Model!$BK$305</definedName>
    <definedName name="B_TL_H2_05">Model!$BN$305</definedName>
    <definedName name="B_TL_H2_06">Model!$BQ$305</definedName>
    <definedName name="B_TL_H2_07">Model!$BT$305</definedName>
    <definedName name="B_TL_H2_08">Model!$BW$305</definedName>
    <definedName name="B_TL_H2_09">Model!$BZ$305</definedName>
    <definedName name="B_TL_H2_10">Model!$CC$305</definedName>
    <definedName name="B_TL_H2_11">Model!$CF$305</definedName>
    <definedName name="B_TL_H2_12">Model!$CI$305</definedName>
    <definedName name="B_TL_H2_13">Model!$CL$305</definedName>
    <definedName name="B_TL_H2_14">Model!$CO$305</definedName>
    <definedName name="B_TL_H2_15">Model!$CR$305</definedName>
    <definedName name="B_TL_H2_16">Model!$CU$305</definedName>
    <definedName name="B_TL_H2_17">Model!$CX$305</definedName>
    <definedName name="B_TL_H2_18">Model!$DA$305</definedName>
    <definedName name="B_TL_H2_19">Model!$DD$305</definedName>
    <definedName name="B_TL_H2_20">Model!$DG$305</definedName>
    <definedName name="B_TNCA_00">Model!$AZ$263</definedName>
    <definedName name="B_TNCA_01">Model!$BC$263</definedName>
    <definedName name="B_TNCA_02">Model!$BF$263</definedName>
    <definedName name="B_TNCA_03">Model!$BI$263</definedName>
    <definedName name="B_TNCA_04">Model!$BL$263</definedName>
    <definedName name="B_TNCA_05">Model!$BO$263</definedName>
    <definedName name="B_TNCA_06">Model!$BR$263</definedName>
    <definedName name="B_TNCA_07">Model!$BU$263</definedName>
    <definedName name="B_TNCA_08">Model!$BX$263</definedName>
    <definedName name="B_TNCA_09">Model!$CA$263</definedName>
    <definedName name="B_TNCA_10">Model!$CD$263</definedName>
    <definedName name="B_TNCA_11">Model!$CG$263</definedName>
    <definedName name="B_TNCA_12">Model!$CJ$263</definedName>
    <definedName name="B_TNCA_13">Model!$CM$263</definedName>
    <definedName name="B_TNCA_14">Model!$CP$263</definedName>
    <definedName name="B_TNCA_15">Model!$CS$263</definedName>
    <definedName name="B_TNCA_16">Model!$CV$263</definedName>
    <definedName name="B_TNCA_17">Model!$CY$263</definedName>
    <definedName name="B_TNCA_18">Model!$DB$263</definedName>
    <definedName name="B_TNCA_19">Model!$DE$263</definedName>
    <definedName name="B_TNCA_20">Model!$DH$263</definedName>
    <definedName name="B_TNCA_95">Model!$AK$263</definedName>
    <definedName name="B_TNCA_96">Model!$AN$263</definedName>
    <definedName name="B_TNCA_97">Model!$AQ$263</definedName>
    <definedName name="B_TNCA_98">Model!$AT$263</definedName>
    <definedName name="B_TNCA_99">Model!$AW$263</definedName>
    <definedName name="B_TNCA_H1_00">Model!$AX$263</definedName>
    <definedName name="B_TNCA_H1_01">Model!$BA$263</definedName>
    <definedName name="B_TNCA_H1_02">Model!$BD$263</definedName>
    <definedName name="B_TNCA_H1_03">Model!$BG$263</definedName>
    <definedName name="B_TNCA_H1_04">Model!$BJ$263</definedName>
    <definedName name="B_TNCA_H1_05">Model!$BM$263</definedName>
    <definedName name="B_TNCA_H1_06">Model!$BP$263</definedName>
    <definedName name="B_TNCA_H1_07">Model!$BS$263</definedName>
    <definedName name="B_TNCA_H1_08">Model!$BV$263</definedName>
    <definedName name="B_TNCA_H1_09">Model!$BY$263</definedName>
    <definedName name="B_TNCA_H1_10">Model!$CB$263</definedName>
    <definedName name="B_TNCA_H1_11">Model!$CE$263</definedName>
    <definedName name="B_TNCA_H1_12">Model!$CH$263</definedName>
    <definedName name="B_TNCA_H1_13">Model!$CK$263</definedName>
    <definedName name="B_TNCA_H1_14">Model!$CN$263</definedName>
    <definedName name="B_TNCA_H1_15">Model!$CQ$263</definedName>
    <definedName name="B_TNCA_H1_16">Model!$CT$263</definedName>
    <definedName name="B_TNCA_H1_17">Model!$CW$263</definedName>
    <definedName name="B_TNCA_H1_18">Model!$CZ$263</definedName>
    <definedName name="B_TNCA_H1_19">Model!$DC$263</definedName>
    <definedName name="B_TNCA_H1_20">Model!$DF$263</definedName>
    <definedName name="B_TNCA_H2_00">Model!$AY$263</definedName>
    <definedName name="B_TNCA_H2_01">Model!$BB$263</definedName>
    <definedName name="B_TNCA_H2_02">Model!$BE$263</definedName>
    <definedName name="B_TNCA_H2_03">Model!$BH$263</definedName>
    <definedName name="B_TNCA_H2_04">Model!$BK$263</definedName>
    <definedName name="B_TNCA_H2_05">Model!$BN$263</definedName>
    <definedName name="B_TNCA_H2_06">Model!$BQ$263</definedName>
    <definedName name="B_TNCA_H2_07">Model!$BT$263</definedName>
    <definedName name="B_TNCA_H2_08">Model!$BW$263</definedName>
    <definedName name="B_TNCA_H2_09">Model!$BZ$263</definedName>
    <definedName name="B_TNCA_H2_10">Model!$CC$263</definedName>
    <definedName name="B_TNCA_H2_11">Model!$CF$263</definedName>
    <definedName name="B_TNCA_H2_12">Model!$CI$263</definedName>
    <definedName name="B_TNCA_H2_13">Model!$CL$263</definedName>
    <definedName name="B_TNCA_H2_14">Model!$CO$263</definedName>
    <definedName name="B_TNCA_H2_15">Model!$CR$263</definedName>
    <definedName name="B_TNCA_H2_16">Model!$CU$263</definedName>
    <definedName name="B_TNCA_H2_17">Model!$CX$263</definedName>
    <definedName name="B_TNCA_H2_18">Model!$DA$263</definedName>
    <definedName name="B_TNCA_H2_19">Model!$DD$263</definedName>
    <definedName name="B_TNCA_H2_20">Model!$DG$263</definedName>
    <definedName name="B_TNCB_00">Model!$AZ$290</definedName>
    <definedName name="B_TNCB_01">Model!$BC$290</definedName>
    <definedName name="B_TNCB_02">Model!$BF$290</definedName>
    <definedName name="B_TNCB_03">Model!$BI$290</definedName>
    <definedName name="B_TNCB_04">Model!$BL$290</definedName>
    <definedName name="B_TNCB_05">Model!$BO$290</definedName>
    <definedName name="B_TNCB_06">Model!$BR$290</definedName>
    <definedName name="B_TNCB_07">Model!$BU$290</definedName>
    <definedName name="B_TNCB_08">Model!$BX$290</definedName>
    <definedName name="B_TNCB_09">Model!$CA$290</definedName>
    <definedName name="B_TNCB_10">Model!$CD$290</definedName>
    <definedName name="B_TNCB_11">Model!$CG$290</definedName>
    <definedName name="B_TNCB_12">Model!$CJ$290</definedName>
    <definedName name="B_TNCB_13">Model!$CM$290</definedName>
    <definedName name="B_TNCB_14">Model!$CP$290</definedName>
    <definedName name="B_TNCB_15">Model!$CS$290</definedName>
    <definedName name="B_TNCB_16">Model!$CV$290</definedName>
    <definedName name="B_TNCB_17">Model!$CY$290</definedName>
    <definedName name="B_TNCB_18">Model!$DB$290</definedName>
    <definedName name="B_TNCB_19">Model!$DE$290</definedName>
    <definedName name="B_TNCB_20">Model!$DH$290</definedName>
    <definedName name="B_TNCB_H1_00">Model!$AX$290</definedName>
    <definedName name="B_TNCB_H1_01">Model!$BA$290</definedName>
    <definedName name="B_TNCB_H1_02">Model!$BD$290</definedName>
    <definedName name="B_TNCB_H1_03">Model!$BG$290</definedName>
    <definedName name="B_TNCB_H1_04">Model!$BJ$290</definedName>
    <definedName name="B_TNCB_H1_05">Model!$BM$290</definedName>
    <definedName name="B_TNCB_H1_06">Model!$BP$290</definedName>
    <definedName name="B_TNCB_H1_07">Model!$BS$290</definedName>
    <definedName name="B_TNCB_H1_08">Model!$BV$290</definedName>
    <definedName name="B_TNCB_H1_09">Model!$BY$290</definedName>
    <definedName name="B_TNCB_H1_10">Model!$CB$290</definedName>
    <definedName name="B_TNCB_H1_11">Model!$CE$290</definedName>
    <definedName name="B_TNCB_H1_12">Model!$CH$290</definedName>
    <definedName name="B_TNCB_H1_13">Model!$CK$290</definedName>
    <definedName name="B_TNCB_H1_14">Model!$CN$290</definedName>
    <definedName name="B_TNCB_H1_15">Model!$CQ$290</definedName>
    <definedName name="B_TNCB_H1_16">Model!$CT$290</definedName>
    <definedName name="B_TNCB_H1_17">Model!$CW$290</definedName>
    <definedName name="B_TNCB_H1_18">Model!$CZ$290</definedName>
    <definedName name="B_TNCB_H1_19">Model!$DC$290</definedName>
    <definedName name="B_TNCB_H1_20">Model!$DF$290</definedName>
    <definedName name="B_TNCB_H2_00">Model!$AY$290</definedName>
    <definedName name="B_TNCB_H2_01">Model!$BB$290</definedName>
    <definedName name="B_TNCB_H2_02">Model!$BE$290</definedName>
    <definedName name="B_TNCB_H2_03">Model!$BH$290</definedName>
    <definedName name="B_TNCB_H2_04">Model!$BK$290</definedName>
    <definedName name="B_TNCB_H2_05">Model!$BN$290</definedName>
    <definedName name="B_TNCB_H2_06">Model!$BQ$290</definedName>
    <definedName name="B_TNCB_H2_07">Model!$BT$290</definedName>
    <definedName name="B_TNCB_H2_08">Model!$BW$290</definedName>
    <definedName name="B_TNCB_H2_09">Model!$BZ$290</definedName>
    <definedName name="B_TNCB_H2_10">Model!$CC$290</definedName>
    <definedName name="B_TNCB_H2_11">Model!$CF$290</definedName>
    <definedName name="B_TNCB_H2_12">Model!$CI$290</definedName>
    <definedName name="B_TNCB_H2_13">Model!$CL$290</definedName>
    <definedName name="B_TNCB_H2_14">Model!$CO$290</definedName>
    <definedName name="B_TNCB_H2_15">Model!$CR$290</definedName>
    <definedName name="B_TNCB_H2_16">Model!$CU$290</definedName>
    <definedName name="B_TNCB_H2_17">Model!$CX$290</definedName>
    <definedName name="B_TNCB_H2_18">Model!$DA$290</definedName>
    <definedName name="B_TNCB_H2_19">Model!$DD$290</definedName>
    <definedName name="B_TNCB_H2_20">Model!$DG$290</definedName>
    <definedName name="B_TNCL_00">Model!$AZ$304</definedName>
    <definedName name="B_TNCL_01">Model!$BC$304</definedName>
    <definedName name="B_TNCL_02">Model!$BF$304</definedName>
    <definedName name="B_TNCL_03">Model!$BI$304</definedName>
    <definedName name="B_TNCL_04">Model!$BL$304</definedName>
    <definedName name="B_TNCL_05">Model!$BO$304</definedName>
    <definedName name="B_TNCL_06">Model!$BR$304</definedName>
    <definedName name="B_TNCL_07">Model!$BU$304</definedName>
    <definedName name="B_TNCL_08">Model!$BX$304</definedName>
    <definedName name="B_TNCL_09">Model!$CA$304</definedName>
    <definedName name="B_TNCL_10">Model!$CD$304</definedName>
    <definedName name="B_TNCL_11">Model!$CG$304</definedName>
    <definedName name="B_TNCL_12">Model!$CJ$304</definedName>
    <definedName name="B_TNCL_13">Model!$CM$304</definedName>
    <definedName name="B_TNCL_14">Model!$CP$304</definedName>
    <definedName name="B_TNCL_15">Model!$CS$304</definedName>
    <definedName name="B_TNCL_16">Model!$CV$304</definedName>
    <definedName name="B_TNCL_17">Model!$CY$304</definedName>
    <definedName name="B_TNCL_18">Model!$DB$304</definedName>
    <definedName name="B_TNCL_19">Model!$DE$304</definedName>
    <definedName name="B_TNCL_20">Model!$DH$304</definedName>
    <definedName name="B_TNCL_95">Model!$AK$304</definedName>
    <definedName name="B_TNCL_96">Model!$AN$304</definedName>
    <definedName name="B_TNCL_97">Model!$AQ$304</definedName>
    <definedName name="B_TNCL_98">Model!$AT$304</definedName>
    <definedName name="B_TNCL_99">Model!$AW$304</definedName>
    <definedName name="B_TNCL_H1_00">Model!$AX$304</definedName>
    <definedName name="B_TNCL_H1_01">Model!$BA$304</definedName>
    <definedName name="B_TNCL_H1_02">Model!$BD$304</definedName>
    <definedName name="B_TNCL_H1_03">Model!$BG$304</definedName>
    <definedName name="B_TNCL_H1_04">Model!$BJ$304</definedName>
    <definedName name="B_TNCL_H1_05">Model!$BM$304</definedName>
    <definedName name="B_TNCL_H1_06">Model!$BP$304</definedName>
    <definedName name="B_TNCL_H1_07">Model!$BS$304</definedName>
    <definedName name="B_TNCL_H1_08">Model!$BV$304</definedName>
    <definedName name="B_TNCL_H1_09">Model!$BY$304</definedName>
    <definedName name="B_TNCL_H1_10">Model!$CB$304</definedName>
    <definedName name="B_TNCL_H1_11">Model!$CE$304</definedName>
    <definedName name="B_TNCL_H1_12">Model!$CH$304</definedName>
    <definedName name="B_TNCL_H1_13">Model!$CK$304</definedName>
    <definedName name="B_TNCL_H1_14">Model!$CN$304</definedName>
    <definedName name="B_TNCL_H1_15">Model!$CQ$304</definedName>
    <definedName name="B_TNCL_H1_16">Model!$CT$304</definedName>
    <definedName name="B_TNCL_H1_17">Model!$CW$304</definedName>
    <definedName name="B_TNCL_H1_18">Model!$CZ$304</definedName>
    <definedName name="B_TNCL_H1_19">Model!$DC$304</definedName>
    <definedName name="B_TNCL_H1_20">Model!$DF$304</definedName>
    <definedName name="B_TNCL_H2_00">Model!$AY$304</definedName>
    <definedName name="B_TNCL_H2_01">Model!$BB$304</definedName>
    <definedName name="B_TNCL_H2_02">Model!$BE$304</definedName>
    <definedName name="B_TNCL_H2_03">Model!$BH$304</definedName>
    <definedName name="B_TNCL_H2_04">Model!$BK$304</definedName>
    <definedName name="B_TNCL_H2_05">Model!$BN$304</definedName>
    <definedName name="B_TNCL_H2_06">Model!$BQ$304</definedName>
    <definedName name="B_TNCL_H2_07">Model!$BT$304</definedName>
    <definedName name="B_TNCL_H2_08">Model!$BW$304</definedName>
    <definedName name="B_TNCL_H2_09">Model!$BZ$304</definedName>
    <definedName name="B_TNCL_H2_10">Model!$CC$304</definedName>
    <definedName name="B_TNCL_H2_11">Model!$CF$304</definedName>
    <definedName name="B_TNCL_H2_12">Model!$CI$304</definedName>
    <definedName name="B_TNCL_H2_13">Model!$CL$304</definedName>
    <definedName name="B_TNCL_H2_14">Model!$CO$304</definedName>
    <definedName name="B_TNCL_H2_15">Model!$CR$304</definedName>
    <definedName name="B_TNCL_H2_16">Model!$CU$304</definedName>
    <definedName name="B_TNCL_H2_17">Model!$CX$304</definedName>
    <definedName name="B_TNCL_H2_18">Model!$DA$304</definedName>
    <definedName name="B_TNCL_H2_19">Model!$DD$304</definedName>
    <definedName name="B_TNCL_H2_20">Model!$DG$304</definedName>
    <definedName name="B_TNCP_00">Model!$AZ$297</definedName>
    <definedName name="B_TNCP_01">Model!$BC$297</definedName>
    <definedName name="B_TNCP_02">Model!$BF$297</definedName>
    <definedName name="B_TNCP_03">Model!$BI$297</definedName>
    <definedName name="B_TNCP_04">Model!$BL$297</definedName>
    <definedName name="B_TNCP_05">Model!$BO$297</definedName>
    <definedName name="B_TNCP_06">Model!$BR$297</definedName>
    <definedName name="B_TNCP_07">Model!$BU$297</definedName>
    <definedName name="B_TNCP_08">Model!$BX$297</definedName>
    <definedName name="B_TNCP_09">Model!$CA$297</definedName>
    <definedName name="B_TNCP_10">Model!$CD$297</definedName>
    <definedName name="B_TNCP_11">Model!$CG$297</definedName>
    <definedName name="B_TNCP_12">Model!$CJ$297</definedName>
    <definedName name="B_TNCP_13">Model!$CM$297</definedName>
    <definedName name="B_TNCP_14">Model!$CP$297</definedName>
    <definedName name="B_TNCP_15">Model!$CS$297</definedName>
    <definedName name="B_TNCP_16">Model!$CV$297</definedName>
    <definedName name="B_TNCP_17">Model!$CY$297</definedName>
    <definedName name="B_TNCP_18">Model!$DB$297</definedName>
    <definedName name="B_TNCP_19">Model!$DE$297</definedName>
    <definedName name="B_TNCP_20">Model!$DH$297</definedName>
    <definedName name="B_TNCP_H1_00">Model!$AX$297</definedName>
    <definedName name="B_TNCP_H1_01">Model!$BA$297</definedName>
    <definedName name="B_TNCP_H1_02">Model!$BD$297</definedName>
    <definedName name="B_TNCP_H1_03">Model!$BG$297</definedName>
    <definedName name="B_TNCP_H1_04">Model!$BJ$297</definedName>
    <definedName name="B_TNCP_H1_05">Model!$BM$297</definedName>
    <definedName name="B_TNCP_H1_06">Model!$BP$297</definedName>
    <definedName name="B_TNCP_H1_07">Model!$BS$297</definedName>
    <definedName name="B_TNCP_H1_08">Model!$BV$297</definedName>
    <definedName name="B_TNCP_H1_09">Model!$BY$297</definedName>
    <definedName name="B_TNCP_H1_10">Model!$CB$297</definedName>
    <definedName name="B_TNCP_H1_11">Model!$CE$297</definedName>
    <definedName name="B_TNCP_H1_12">Model!$CH$297</definedName>
    <definedName name="B_TNCP_H1_13">Model!$CK$297</definedName>
    <definedName name="B_TNCP_H1_14">Model!$CN$297</definedName>
    <definedName name="B_TNCP_H1_15">Model!$CQ$297</definedName>
    <definedName name="B_TNCP_H1_16">Model!$CT$297</definedName>
    <definedName name="B_TNCP_H1_17">Model!$CW$297</definedName>
    <definedName name="B_TNCP_H1_18">Model!$CZ$297</definedName>
    <definedName name="B_TNCP_H1_19">Model!$DC$297</definedName>
    <definedName name="B_TNCP_H1_20">Model!$DF$297</definedName>
    <definedName name="B_TNCP_H2_00">Model!$AY$297</definedName>
    <definedName name="B_TNCP_H2_01">Model!$BB$297</definedName>
    <definedName name="B_TNCP_H2_02">Model!$BE$297</definedName>
    <definedName name="B_TNCP_H2_03">Model!$BH$297</definedName>
    <definedName name="B_TNCP_H2_04">Model!$BK$297</definedName>
    <definedName name="B_TNCP_H2_05">Model!$BN$297</definedName>
    <definedName name="B_TNCP_H2_06">Model!$BQ$297</definedName>
    <definedName name="B_TNCP_H2_07">Model!$BT$297</definedName>
    <definedName name="B_TNCP_H2_08">Model!$BW$297</definedName>
    <definedName name="B_TNCP_H2_09">Model!$BZ$297</definedName>
    <definedName name="B_TNCP_H2_10">Model!$CC$297</definedName>
    <definedName name="B_TNCP_H2_11">Model!$CF$297</definedName>
    <definedName name="B_TNCP_H2_12">Model!$CI$297</definedName>
    <definedName name="B_TNCP_H2_13">Model!$CL$297</definedName>
    <definedName name="B_TNCP_H2_14">Model!$CO$297</definedName>
    <definedName name="B_TNCP_H2_15">Model!$CR$297</definedName>
    <definedName name="B_TNCP_H2_16">Model!$CU$297</definedName>
    <definedName name="B_TNCP_H2_17">Model!$CX$297</definedName>
    <definedName name="B_TNCP_H2_18">Model!$DA$297</definedName>
    <definedName name="B_TNCP_H2_19">Model!$DD$297</definedName>
    <definedName name="B_TNCP_H2_20">Model!$DG$297</definedName>
    <definedName name="B_TSHE_00">Model!$AZ$322</definedName>
    <definedName name="B_TSHE_01">Model!$BC$322</definedName>
    <definedName name="B_TSHE_02">Model!$BF$322</definedName>
    <definedName name="B_TSHE_03">Model!$BI$322</definedName>
    <definedName name="B_TSHE_04">Model!$BL$322</definedName>
    <definedName name="B_TSHE_05">Model!$BO$322</definedName>
    <definedName name="B_TSHE_06">Model!$BR$322</definedName>
    <definedName name="B_TSHE_07">Model!$BU$322</definedName>
    <definedName name="B_TSHE_08">Model!$BX$322</definedName>
    <definedName name="B_TSHE_09">Model!$CA$322</definedName>
    <definedName name="B_TSHE_10">Model!$CD$322</definedName>
    <definedName name="B_TSHE_11">Model!$CG$322</definedName>
    <definedName name="B_TSHE_12">Model!$CJ$322</definedName>
    <definedName name="B_TSHE_13">Model!$CM$322</definedName>
    <definedName name="B_TSHE_14">Model!$CP$322</definedName>
    <definedName name="B_TSHE_15">Model!$CS$322</definedName>
    <definedName name="B_TSHE_16">Model!$CV$322</definedName>
    <definedName name="B_TSHE_17">Model!$CY$322</definedName>
    <definedName name="B_TSHE_18">Model!$DB$322</definedName>
    <definedName name="B_TSHE_19">Model!$DE$322</definedName>
    <definedName name="B_TSHE_20">Model!$DH$322</definedName>
    <definedName name="B_TSHE_95">Model!$AK$322</definedName>
    <definedName name="B_TSHE_96">Model!$AN$322</definedName>
    <definedName name="B_TSHE_97">Model!$AQ$322</definedName>
    <definedName name="B_TSHE_98">Model!$AT$322</definedName>
    <definedName name="B_TSHE_99">Model!$AW$322</definedName>
    <definedName name="B_TSHE_H1_00">Model!$AX$322</definedName>
    <definedName name="B_TSHE_H1_01">Model!$BA$322</definedName>
    <definedName name="B_TSHE_H1_02">Model!$BD$322</definedName>
    <definedName name="B_TSHE_H1_03">Model!$BG$322</definedName>
    <definedName name="B_TSHE_H1_04">Model!$BJ$322</definedName>
    <definedName name="B_TSHE_H1_05">Model!$BM$322</definedName>
    <definedName name="B_TSHE_H1_06">Model!$BP$322</definedName>
    <definedName name="B_TSHE_H1_07">Model!$BS$322</definedName>
    <definedName name="B_TSHE_H1_08">Model!$BV$322</definedName>
    <definedName name="B_TSHE_H1_09">Model!$BY$322</definedName>
    <definedName name="B_TSHE_H1_10">Model!$CB$322</definedName>
    <definedName name="B_TSHE_H1_11">Model!$CE$322</definedName>
    <definedName name="B_TSHE_H1_12">Model!$CH$322</definedName>
    <definedName name="B_TSHE_H1_13">Model!$CK$322</definedName>
    <definedName name="B_TSHE_H1_14">Model!$CN$322</definedName>
    <definedName name="B_TSHE_H1_15">Model!$CQ$322</definedName>
    <definedName name="B_TSHE_H1_16">Model!$CT$322</definedName>
    <definedName name="B_TSHE_H1_17">Model!$CW$322</definedName>
    <definedName name="B_TSHE_H1_18">Model!$CZ$322</definedName>
    <definedName name="B_TSHE_H1_19">Model!$DC$322</definedName>
    <definedName name="B_TSHE_H1_20">Model!$DF$322</definedName>
    <definedName name="B_TSHE_H2_00">Model!$AY$322</definedName>
    <definedName name="B_TSHE_H2_01">Model!$BB$322</definedName>
    <definedName name="B_TSHE_H2_02">Model!$BE$322</definedName>
    <definedName name="B_TSHE_H2_03">Model!$BH$322</definedName>
    <definedName name="B_TSHE_H2_04">Model!$BK$322</definedName>
    <definedName name="B_TSHE_H2_05">Model!$BN$322</definedName>
    <definedName name="B_TSHE_H2_06">Model!$BQ$322</definedName>
    <definedName name="B_TSHE_H2_07">Model!$BT$322</definedName>
    <definedName name="B_TSHE_H2_08">Model!$BW$322</definedName>
    <definedName name="B_TSHE_H2_09">Model!$BZ$322</definedName>
    <definedName name="B_TSHE_H2_10">Model!$CC$322</definedName>
    <definedName name="B_TSHE_H2_11">Model!$CF$322</definedName>
    <definedName name="B_TSHE_H2_12">Model!$CI$322</definedName>
    <definedName name="B_TSHE_H2_13">Model!$CL$322</definedName>
    <definedName name="B_TSHE_H2_14">Model!$CO$322</definedName>
    <definedName name="B_TSHE_H2_15">Model!$CR$322</definedName>
    <definedName name="B_TSHE_H2_16">Model!$CU$322</definedName>
    <definedName name="B_TSHE_H2_17">Model!$CX$322</definedName>
    <definedName name="B_TSHE_H2_18">Model!$DA$322</definedName>
    <definedName name="B_TSHE_H2_19">Model!$DD$322</definedName>
    <definedName name="B_TSHE_H2_20">Model!$DG$322</definedName>
    <definedName name="B_WC_00">Model!$AZ$614</definedName>
    <definedName name="B_WC_01">Model!$BC$614</definedName>
    <definedName name="B_WC_02">Model!$BF$614</definedName>
    <definedName name="B_WC_03">Model!$BI$614</definedName>
    <definedName name="B_WC_04">Model!$BL$614</definedName>
    <definedName name="B_WC_05">Model!$BO$614</definedName>
    <definedName name="B_WC_06">Model!$BR$614</definedName>
    <definedName name="B_WC_07">Model!$BU$614</definedName>
    <definedName name="B_WC_08">Model!$BX$614</definedName>
    <definedName name="B_WC_09">Model!$CA$614</definedName>
    <definedName name="B_WC_10">Model!$CD$614</definedName>
    <definedName name="B_WC_11">Model!$CG$614</definedName>
    <definedName name="B_WC_12">Model!$CJ$614</definedName>
    <definedName name="B_WC_13">Model!$CM$614</definedName>
    <definedName name="B_WC_14">Model!$CP$614</definedName>
    <definedName name="B_WC_15">Model!$CS$614</definedName>
    <definedName name="B_WC_16">Model!$CV$614</definedName>
    <definedName name="B_WC_17">Model!$CY$614</definedName>
    <definedName name="B_WC_18">Model!$DB$614</definedName>
    <definedName name="B_WC_19">Model!$DE$614</definedName>
    <definedName name="B_WC_20">Model!$DH$614</definedName>
    <definedName name="B_WC_96">Model!$AN$614</definedName>
    <definedName name="B_WC_97">Model!$AQ$614</definedName>
    <definedName name="B_WC_98">Model!$AT$464</definedName>
    <definedName name="B_WC_99">Model!$AW$464</definedName>
    <definedName name="B_WC_H1_00">Model!$AX$614</definedName>
    <definedName name="B_WC_H1_01">Model!$BA$614</definedName>
    <definedName name="B_WC_H1_02">Model!$BD$614</definedName>
    <definedName name="B_WC_H1_03">Model!$BG$614</definedName>
    <definedName name="B_WC_H1_04">Model!$BJ$614</definedName>
    <definedName name="B_WC_H1_05">Model!$BM$614</definedName>
    <definedName name="B_WC_H1_06">Model!$BP$614</definedName>
    <definedName name="B_WC_H1_07">Model!$BS$614</definedName>
    <definedName name="B_WC_H1_08">Model!$BV$614</definedName>
    <definedName name="B_WC_H1_09">Model!$BY$614</definedName>
    <definedName name="B_WC_H1_10">Model!$CB$614</definedName>
    <definedName name="B_WC_H1_11">Model!$CE$614</definedName>
    <definedName name="B_WC_H1_12">Model!$CH$614</definedName>
    <definedName name="B_WC_H1_13">Model!$CK$614</definedName>
    <definedName name="B_WC_H1_14">Model!$CN$614</definedName>
    <definedName name="B_WC_H1_15">Model!$CQ$614</definedName>
    <definedName name="B_WC_H1_16">Model!$CT$614</definedName>
    <definedName name="B_WC_H1_17">Model!$CW$614</definedName>
    <definedName name="B_WC_H1_18">Model!$CZ$614</definedName>
    <definedName name="B_WC_H1_19">Model!$DC$614</definedName>
    <definedName name="B_WC_H1_20">Model!$DF$614</definedName>
    <definedName name="B_WC_H2_00">Model!$AY$614</definedName>
    <definedName name="B_WC_H2_01">Model!$BB$614</definedName>
    <definedName name="B_WC_H2_02">Model!$BE$614</definedName>
    <definedName name="B_WC_H2_03">Model!$BH$614</definedName>
    <definedName name="B_WC_H2_04">Model!$BK$614</definedName>
    <definedName name="B_WC_H2_05">Model!$BN$614</definedName>
    <definedName name="B_WC_H2_06">Model!$BQ$614</definedName>
    <definedName name="B_WC_H2_07">Model!$BT$614</definedName>
    <definedName name="B_WC_H2_08">Model!$BW$614</definedName>
    <definedName name="B_WC_H2_09">Model!$BZ$614</definedName>
    <definedName name="B_WC_H2_10">Model!$CC$614</definedName>
    <definedName name="B_WC_H2_11">Model!$CF$614</definedName>
    <definedName name="B_WC_H2_12">Model!$CI$614</definedName>
    <definedName name="B_WC_H2_13">Model!$CL$614</definedName>
    <definedName name="B_WC_H2_14">Model!$CO$614</definedName>
    <definedName name="B_WC_H2_15">Model!$CR$614</definedName>
    <definedName name="B_WC_H2_16">Model!$CU$614</definedName>
    <definedName name="B_WC_H2_17">Model!$CX$614</definedName>
    <definedName name="B_WC_H2_18">Model!$DA$614</definedName>
    <definedName name="B_WC_H2_19">Model!$DD$614</definedName>
    <definedName name="B_WC_H2_20">Model!$DG$614</definedName>
    <definedName name="C_AS_00">Model!$AZ$192</definedName>
    <definedName name="C_AS_01">Model!$BC$192</definedName>
    <definedName name="C_AS_02">Model!$BF$192</definedName>
    <definedName name="C_AS_03">Model!$BI$192</definedName>
    <definedName name="C_AS_04">Model!$BL$192</definedName>
    <definedName name="C_AS_05">Model!$BO$192</definedName>
    <definedName name="C_AS_06">Model!$BR$192</definedName>
    <definedName name="C_AS_07">Model!$BU$192</definedName>
    <definedName name="C_AS_08">Model!$BX$192</definedName>
    <definedName name="C_AS_09">Model!$CA$192</definedName>
    <definedName name="C_AS_10">Model!$CD$192</definedName>
    <definedName name="C_AS_11">Model!$CG$192</definedName>
    <definedName name="C_AS_12">Model!$CJ$192</definedName>
    <definedName name="C_AS_13">Model!$CM$192</definedName>
    <definedName name="C_AS_14">Model!$CP$192</definedName>
    <definedName name="C_AS_15">Model!$CS$192</definedName>
    <definedName name="C_AS_16">Model!$CV$192</definedName>
    <definedName name="C_AS_17">Model!$CY$192</definedName>
    <definedName name="C_AS_18">Model!$DB$192</definedName>
    <definedName name="C_AS_19">Model!$DE$192</definedName>
    <definedName name="C_AS_20">Model!$DH$192</definedName>
    <definedName name="C_AS_95">Model!$AK$192</definedName>
    <definedName name="C_AS_96">Model!$AN$192</definedName>
    <definedName name="C_AS_97">Model!$AQ$192</definedName>
    <definedName name="C_AS_98">Model!$AT$192</definedName>
    <definedName name="C_AS_99">Model!$AW$192</definedName>
    <definedName name="C_CashBP_00">Model!$AZ$224</definedName>
    <definedName name="C_CashBP_01">Model!$BC$224</definedName>
    <definedName name="C_CashBP_02">Model!$BF$224</definedName>
    <definedName name="C_CashBP_03">Model!$BI$224</definedName>
    <definedName name="C_CashBP_04">Model!$BL$224</definedName>
    <definedName name="C_CashBP_05">Model!$BO$224</definedName>
    <definedName name="C_CashBP_06">Model!$BR$224</definedName>
    <definedName name="C_CashBP_07">Model!$BU$224</definedName>
    <definedName name="C_CashBP_08">Model!$BX$224</definedName>
    <definedName name="C_CashBP_09">Model!$CA$224</definedName>
    <definedName name="C_CashBP_10">Model!$CD$224</definedName>
    <definedName name="C_CashBP_11">Model!$CG$224</definedName>
    <definedName name="C_CashBP_12">Model!$CJ$224</definedName>
    <definedName name="C_CashBP_13">Model!$CM$224</definedName>
    <definedName name="C_CashBP_14">Model!$CP$224</definedName>
    <definedName name="C_CashBP_15">Model!$CS$224</definedName>
    <definedName name="C_CashBP_16">Model!$CV$224</definedName>
    <definedName name="C_CashBP_17">Model!$CY$224</definedName>
    <definedName name="C_CashBP_18">Model!$DB$224</definedName>
    <definedName name="C_CashBP_19">Model!$DE$224</definedName>
    <definedName name="C_CashBP_20">Model!$DH$224</definedName>
    <definedName name="C_CashBP_H1_00">Model!$AX$224</definedName>
    <definedName name="C_CashBP_H1_01">Model!$BA$224</definedName>
    <definedName name="C_CashBP_H1_02">Model!$BD$224</definedName>
    <definedName name="C_CashBP_H1_03">Model!$BG$224</definedName>
    <definedName name="C_CashBP_H1_04">Model!$BJ$224</definedName>
    <definedName name="C_CashBP_H1_05">Model!$BM$224</definedName>
    <definedName name="C_CashBP_H1_06">Model!$BP$224</definedName>
    <definedName name="C_CashBP_H1_07">Model!$BS$224</definedName>
    <definedName name="C_CashBP_H1_08">Model!$BV$224</definedName>
    <definedName name="C_CashBP_H1_09">Model!$BY$224</definedName>
    <definedName name="C_CashBP_H1_10">Model!$CB$224</definedName>
    <definedName name="C_CashBP_H1_11">Model!$CE$224</definedName>
    <definedName name="C_CashBP_H1_12">Model!$CH$224</definedName>
    <definedName name="C_CashBP_H1_13">Model!$CK$224</definedName>
    <definedName name="C_CashBP_H1_14">Model!$CN$224</definedName>
    <definedName name="C_CashBP_H1_15">Model!$CQ$224</definedName>
    <definedName name="C_CashBP_H1_16">Model!$CT$224</definedName>
    <definedName name="C_CashBP_H1_17">Model!$CW$224</definedName>
    <definedName name="C_CashBP_H1_18">Model!$CZ$224</definedName>
    <definedName name="C_CashBP_H1_19">Model!$DC$224</definedName>
    <definedName name="C_CashBP_H1_20">Model!$DF$224</definedName>
    <definedName name="C_CashBP_H2_00">Model!$AY$224</definedName>
    <definedName name="C_CashBP_H2_01">Model!$BB$224</definedName>
    <definedName name="C_CashBP_H2_02">Model!$BE$224</definedName>
    <definedName name="C_CashBP_H2_03">Model!$BH$224</definedName>
    <definedName name="C_CashBP_H2_04">Model!$BK$224</definedName>
    <definedName name="C_CashBP_H2_05">Model!$BN$224</definedName>
    <definedName name="C_CashBP_H2_06">Model!$BQ$224</definedName>
    <definedName name="C_CashBP_H2_07">Model!$BT$224</definedName>
    <definedName name="C_CashBP_H2_08">Model!$BW$224</definedName>
    <definedName name="C_CashBP_H2_09">Model!$BZ$224</definedName>
    <definedName name="C_CashBP_H2_10">Model!$CC$224</definedName>
    <definedName name="C_CashBP_H2_11">Model!$CF$224</definedName>
    <definedName name="C_CashBP_H2_12">Model!$CI$224</definedName>
    <definedName name="C_CashBP_H2_13">Model!$CL$224</definedName>
    <definedName name="C_CashBP_H2_14">Model!$CO$224</definedName>
    <definedName name="C_CashBP_H2_15">Model!$CR$224</definedName>
    <definedName name="C_CashBP_H2_16">Model!$CU$224</definedName>
    <definedName name="C_CashBP_H2_17">Model!$CX$224</definedName>
    <definedName name="C_CashBP_H2_18">Model!$DA$224</definedName>
    <definedName name="C_CashBP_H2_19">Model!$DD$224</definedName>
    <definedName name="C_CashBP_H2_20">Model!$DG$224</definedName>
    <definedName name="C_CashEP_00">Model!$AZ$226</definedName>
    <definedName name="C_CashEP_01">Model!$BC$226</definedName>
    <definedName name="C_CashEP_02">Model!$BF$226</definedName>
    <definedName name="C_CashEP_03">Model!$BI$226</definedName>
    <definedName name="C_CashEP_04">Model!$BL$226</definedName>
    <definedName name="C_CashEP_05">Model!$BO$226</definedName>
    <definedName name="C_CashEP_06">Model!$BR$226</definedName>
    <definedName name="C_CashEP_07">Model!$BU$226</definedName>
    <definedName name="C_CashEP_08">Model!$BX$226</definedName>
    <definedName name="C_CashEP_09">Model!$CA$226</definedName>
    <definedName name="C_CashEP_10">Model!$CD$226</definedName>
    <definedName name="C_CashEP_11">Model!$CG$226</definedName>
    <definedName name="C_CashEP_12">Model!$CJ$226</definedName>
    <definedName name="C_CashEP_13">Model!$CM$226</definedName>
    <definedName name="C_CashEP_14">Model!$CP$226</definedName>
    <definedName name="C_CashEP_15">Model!$CS$226</definedName>
    <definedName name="C_CashEP_16">Model!$CV$226</definedName>
    <definedName name="C_CashEP_17">Model!$CY$226</definedName>
    <definedName name="C_CashEP_18">Model!$DB$226</definedName>
    <definedName name="C_CashEP_19">Model!$DE$226</definedName>
    <definedName name="C_CashEP_20">Model!$DH$226</definedName>
    <definedName name="C_CashEP_H1_00">Model!$AX$226</definedName>
    <definedName name="C_CashEP_H1_01">Model!$BA$226</definedName>
    <definedName name="C_CashEP_H1_02">Model!$BD$226</definedName>
    <definedName name="C_CashEP_H1_03">Model!$BG$226</definedName>
    <definedName name="C_CashEP_H1_04">Model!$BJ$226</definedName>
    <definedName name="C_CashEP_H1_05">Model!$BM$226</definedName>
    <definedName name="C_CashEP_H1_06">Model!$BP$226</definedName>
    <definedName name="C_CashEP_H1_07">Model!$BS$226</definedName>
    <definedName name="C_CashEP_H1_08">Model!$BV$226</definedName>
    <definedName name="C_CashEP_H1_09">Model!$BY$226</definedName>
    <definedName name="C_CashEP_H1_10">Model!$CB$226</definedName>
    <definedName name="C_CashEP_H1_11">Model!$CE$226</definedName>
    <definedName name="C_CashEP_H1_12">Model!$CH$226</definedName>
    <definedName name="C_CashEP_H1_13">Model!$CK$226</definedName>
    <definedName name="C_CashEP_H1_14">Model!$CN$226</definedName>
    <definedName name="C_CashEP_H1_15">Model!$CQ$226</definedName>
    <definedName name="C_CashEP_H1_16">Model!$CT$226</definedName>
    <definedName name="C_CashEP_H1_17">Model!$CW$226</definedName>
    <definedName name="C_CashEP_H1_18">Model!$CZ$226</definedName>
    <definedName name="C_CashEP_H1_19">Model!$DC$226</definedName>
    <definedName name="C_CashEP_H1_20">Model!$DF$226</definedName>
    <definedName name="C_CashEP_H2_00">Model!$AY$226</definedName>
    <definedName name="C_CashEP_H2_01">Model!$BB$226</definedName>
    <definedName name="C_CashEP_H2_02">Model!$BE$226</definedName>
    <definedName name="C_CashEP_H2_03">Model!$BH$226</definedName>
    <definedName name="C_CashEP_H2_04">Model!$BK$226</definedName>
    <definedName name="C_CashEP_H2_05">Model!$BN$226</definedName>
    <definedName name="C_CashEP_H2_06">Model!$BQ$226</definedName>
    <definedName name="C_CashEP_H2_07">Model!$BT$226</definedName>
    <definedName name="C_CashEP_H2_08">Model!$BW$226</definedName>
    <definedName name="C_CashEP_H2_09">Model!$BZ$226</definedName>
    <definedName name="C_CashEP_H2_10">Model!$CC$226</definedName>
    <definedName name="C_CashEP_H2_11">Model!$CF$226</definedName>
    <definedName name="C_CashEP_H2_12">Model!$CI$226</definedName>
    <definedName name="C_CashEP_H2_13">Model!$CL$226</definedName>
    <definedName name="C_CashEP_H2_14">Model!$CO$226</definedName>
    <definedName name="C_CashEP_H2_15">Model!$CR$226</definedName>
    <definedName name="C_CashEP_H2_16">Model!$CU$226</definedName>
    <definedName name="C_CashEP_H2_17">Model!$CX$226</definedName>
    <definedName name="C_CashEP_H2_18">Model!$DA$226</definedName>
    <definedName name="C_CashEP_H2_19">Model!$DD$226</definedName>
    <definedName name="C_CashEP_H2_20">Model!$DG$226</definedName>
    <definedName name="C_CashTx_Pd_00">Model!$AZ$183</definedName>
    <definedName name="C_CashTx_Pd_01">Model!$BC$183</definedName>
    <definedName name="C_CashTx_Pd_02">Model!$BF$183</definedName>
    <definedName name="C_CashTx_Pd_03">Model!$BI$183</definedName>
    <definedName name="C_CashTx_Pd_04">Model!$BL$183</definedName>
    <definedName name="C_CashTx_Pd_05">Model!$BO$183</definedName>
    <definedName name="C_CashTx_Pd_06">Model!$BR$183</definedName>
    <definedName name="C_CashTx_Pd_07">Model!$BU$183</definedName>
    <definedName name="C_CashTx_Pd_08">Model!$BX$183</definedName>
    <definedName name="C_CashTx_Pd_09">Model!$CA$183</definedName>
    <definedName name="C_CashTx_Pd_10">Model!$CD$183</definedName>
    <definedName name="C_CashTx_Pd_11">Model!$CG$183</definedName>
    <definedName name="C_CashTx_Pd_12">Model!$CJ$183</definedName>
    <definedName name="C_CashTx_Pd_13">Model!$CM$183</definedName>
    <definedName name="C_CashTx_Pd_14">Model!$CP$183</definedName>
    <definedName name="C_CashTx_Pd_15">Model!$CS$183</definedName>
    <definedName name="C_CashTx_Pd_16">Model!$CV$183</definedName>
    <definedName name="C_CashTx_Pd_17">Model!$CY$183</definedName>
    <definedName name="C_CashTx_Pd_18">Model!$DB$183</definedName>
    <definedName name="C_CashTx_Pd_19">Model!$DE$183</definedName>
    <definedName name="C_CashTx_Pd_20">Model!$DH$183</definedName>
    <definedName name="C_CashTx_Pd_H1_00">Model!$AX$183</definedName>
    <definedName name="C_CashTx_Pd_H1_01">Model!$BA$183</definedName>
    <definedName name="C_CashTx_Pd_H1_02">Model!$BD$183</definedName>
    <definedName name="C_CashTx_Pd_H1_03">Model!$BG$183</definedName>
    <definedName name="C_CashTx_Pd_H1_04">Model!$BJ$183</definedName>
    <definedName name="C_CashTx_Pd_H1_05">Model!$BM$183</definedName>
    <definedName name="C_CashTx_Pd_H1_06">Model!$BP$183</definedName>
    <definedName name="C_CashTx_Pd_H1_07">Model!$BS$183</definedName>
    <definedName name="C_CashTx_Pd_H1_08">Model!$BV$183</definedName>
    <definedName name="C_CashTx_Pd_H1_09">Model!$BY$183</definedName>
    <definedName name="C_CashTx_Pd_H1_10">Model!$CB$183</definedName>
    <definedName name="C_CashTx_Pd_H1_11">Model!$CE$183</definedName>
    <definedName name="C_CashTx_Pd_H1_12">Model!$CH$183</definedName>
    <definedName name="C_CashTx_Pd_H1_13">Model!$CK$183</definedName>
    <definedName name="C_CashTx_Pd_H1_14">Model!$CN$183</definedName>
    <definedName name="C_CashTx_Pd_H1_15">Model!$CQ$183</definedName>
    <definedName name="C_CashTx_Pd_H1_16">Model!$CT$183</definedName>
    <definedName name="C_CashTx_Pd_H1_17">Model!$CW$183</definedName>
    <definedName name="C_CashTx_Pd_H1_18">Model!$CZ$183</definedName>
    <definedName name="C_CashTx_Pd_H1_19">Model!$DC$183</definedName>
    <definedName name="C_CashTx_Pd_H1_20">Model!$DF$183</definedName>
    <definedName name="C_CashTx_Pd_H2_00">Model!$AY$183</definedName>
    <definedName name="C_CashTx_Pd_H2_01">Model!$BB$183</definedName>
    <definedName name="C_CashTx_Pd_H2_02">Model!$BE$183</definedName>
    <definedName name="C_CashTx_Pd_H2_03">Model!$BH$183</definedName>
    <definedName name="C_CashTx_Pd_H2_04">Model!$BK$183</definedName>
    <definedName name="C_CashTx_Pd_H2_05">Model!$BN$183</definedName>
    <definedName name="C_CashTx_Pd_H2_06">Model!$BQ$183</definedName>
    <definedName name="C_CashTx_Pd_H2_07">Model!$BT$183</definedName>
    <definedName name="C_CashTx_Pd_H2_08">Model!$BW$183</definedName>
    <definedName name="C_CashTx_Pd_H2_09">Model!$BZ$183</definedName>
    <definedName name="C_CashTx_Pd_H2_10">Model!$CC$183</definedName>
    <definedName name="C_CashTx_Pd_H2_11">Model!$CF$183</definedName>
    <definedName name="C_CashTx_Pd_H2_12">Model!$CI$183</definedName>
    <definedName name="C_CashTx_Pd_H2_13">Model!$CL$183</definedName>
    <definedName name="C_CashTx_Pd_H2_14">Model!$CO$183</definedName>
    <definedName name="C_CashTx_Pd_H2_15">Model!$CR$183</definedName>
    <definedName name="C_CashTx_Pd_H2_16">Model!$CU$183</definedName>
    <definedName name="C_CashTx_Pd_H2_17">Model!$CX$183</definedName>
    <definedName name="C_CashTx_Pd_H2_18">Model!$DA$183</definedName>
    <definedName name="C_CashTx_Pd_H2_19">Model!$DD$183</definedName>
    <definedName name="C_CashTx_Pd_H2_20">Model!$DG$183</definedName>
    <definedName name="C_CB_00">Model!$AZ$211</definedName>
    <definedName name="C_CB_01">Model!$BC$211</definedName>
    <definedName name="C_CB_02">Model!$BF$211</definedName>
    <definedName name="C_CB_03">Model!$BI$211</definedName>
    <definedName name="C_CB_04">Model!$BL$211</definedName>
    <definedName name="C_CB_05">Model!$BO$211</definedName>
    <definedName name="C_CB_06">Model!$BR$211</definedName>
    <definedName name="C_CB_07">Model!$BU$211</definedName>
    <definedName name="C_CB_08">Model!$BX$211</definedName>
    <definedName name="C_CB_09">Model!$CA$211</definedName>
    <definedName name="C_CB_10">Model!$CD$211</definedName>
    <definedName name="C_CB_11">Model!$CG$211</definedName>
    <definedName name="C_CB_12">Model!$CJ$211</definedName>
    <definedName name="C_CB_13">Model!$CM$211</definedName>
    <definedName name="C_CB_14">Model!$CP$211</definedName>
    <definedName name="C_CB_15">Model!$CS$211</definedName>
    <definedName name="C_CB_16">Model!$CV$211</definedName>
    <definedName name="C_CB_17">Model!$CY$211</definedName>
    <definedName name="C_CB_18">Model!$DB$211</definedName>
    <definedName name="C_CB_19">Model!$DE$211</definedName>
    <definedName name="C_CB_20">Model!$DH$211</definedName>
    <definedName name="C_CB_95">Model!$AK$211</definedName>
    <definedName name="C_CB_96">Model!$AN$211</definedName>
    <definedName name="C_CB_97">Model!$AQ$211</definedName>
    <definedName name="C_CB_98">Model!$AT$211</definedName>
    <definedName name="C_CB_99">Model!$AW$211</definedName>
    <definedName name="C_CE_00">Model!$AZ$189</definedName>
    <definedName name="C_CE_01">Model!$BC$189</definedName>
    <definedName name="C_CE_02">Model!$BF$189</definedName>
    <definedName name="C_CE_03">Model!$BI$189</definedName>
    <definedName name="C_CE_04">Model!$BL$189</definedName>
    <definedName name="C_CE_05">Model!$BO$189</definedName>
    <definedName name="C_CE_06">Model!$BR$189</definedName>
    <definedName name="C_CE_07">Model!$BU$189</definedName>
    <definedName name="C_CE_08">Model!$BX$189</definedName>
    <definedName name="C_CE_09">Model!$CA$189</definedName>
    <definedName name="C_CE_10">Model!$CD$189</definedName>
    <definedName name="C_CE_11">Model!$CG$189</definedName>
    <definedName name="C_CE_12">Model!$CJ$189</definedName>
    <definedName name="C_CE_13">Model!$CM$189</definedName>
    <definedName name="C_CE_14">Model!$CP$189</definedName>
    <definedName name="C_CE_15">Model!$CS$189</definedName>
    <definedName name="C_CE_16">Model!$CV$189</definedName>
    <definedName name="C_CE_17">Model!$CY$189</definedName>
    <definedName name="C_CE_18">Model!$DB$189</definedName>
    <definedName name="C_CE_19">Model!$DE$189</definedName>
    <definedName name="C_CE_20">Model!$DH$189</definedName>
    <definedName name="C_CE_95">Model!$AK$189</definedName>
    <definedName name="C_CE_96">Model!$AN$189</definedName>
    <definedName name="C_CE_97">Model!$AQ$189</definedName>
    <definedName name="C_CE_98">Model!$AT$189</definedName>
    <definedName name="C_CE_99">Model!$AW$189</definedName>
    <definedName name="C_CNC_00">Model!$AZ$216</definedName>
    <definedName name="C_CNC_01">Model!$BC$216</definedName>
    <definedName name="C_CNC_02">Model!$BF$216</definedName>
    <definedName name="C_CNC_03">Model!$BI$216</definedName>
    <definedName name="C_CNC_04">Model!$BL$216</definedName>
    <definedName name="C_CNC_05">Model!$BO$216</definedName>
    <definedName name="C_CNC_06">Model!$BR$216</definedName>
    <definedName name="C_CNC_07">Model!$BU$216</definedName>
    <definedName name="C_CNC_08">Model!$BX$216</definedName>
    <definedName name="C_CNC_09">Model!$CA$216</definedName>
    <definedName name="C_CNC_10">Model!$CD$216</definedName>
    <definedName name="C_CNC_11">Model!$CG$216</definedName>
    <definedName name="C_CNC_12">Model!$CJ$216</definedName>
    <definedName name="C_CNC_13">Model!$CM$216</definedName>
    <definedName name="C_CNC_14">Model!$CP$216</definedName>
    <definedName name="C_CNC_15">Model!$CS$216</definedName>
    <definedName name="C_CNC_16">Model!$CV$216</definedName>
    <definedName name="C_CNC_17">Model!$CY$216</definedName>
    <definedName name="C_CNC_18">Model!$DB$216</definedName>
    <definedName name="C_CNC_19">Model!$DE$216</definedName>
    <definedName name="C_CNC_20">Model!$DH$216</definedName>
    <definedName name="C_CNC_95">Model!$AK$216</definedName>
    <definedName name="C_CNC_96">Model!$AN$216</definedName>
    <definedName name="C_CNC_97">Model!$AQ$216</definedName>
    <definedName name="C_CNC_98">Model!$AT$216</definedName>
    <definedName name="C_CNC_99">Model!$AW$216</definedName>
    <definedName name="C_CWC_00">Model!$AZ$185</definedName>
    <definedName name="C_CWC_01">Model!$BC$185</definedName>
    <definedName name="C_CWC_02">Model!$BF$185</definedName>
    <definedName name="C_CWC_03">Model!$BI$185</definedName>
    <definedName name="C_CWC_04">Model!$BL$185</definedName>
    <definedName name="C_CWC_05">Model!$BO$185</definedName>
    <definedName name="C_CWC_06">Model!$BR$185</definedName>
    <definedName name="C_CWC_07">Model!$BU$185</definedName>
    <definedName name="C_CWC_08">Model!$BX$185</definedName>
    <definedName name="C_CWC_09">Model!$CA$185</definedName>
    <definedName name="C_CWC_10">Model!$CD$185</definedName>
    <definedName name="C_CWC_11">Model!$CG$185</definedName>
    <definedName name="C_CWC_12">Model!$CJ$185</definedName>
    <definedName name="C_CWC_13">Model!$CM$185</definedName>
    <definedName name="C_CWC_14">Model!$CP$185</definedName>
    <definedName name="C_CWC_15">Model!$CS$185</definedName>
    <definedName name="C_CWC_16">Model!$CV$185</definedName>
    <definedName name="C_CWC_17">Model!$CY$185</definedName>
    <definedName name="C_CWC_18">Model!$DB$185</definedName>
    <definedName name="C_CWC_19">Model!$DE$185</definedName>
    <definedName name="C_CWC_20">Model!$DH$185</definedName>
    <definedName name="C_CWC_95">Model!$AK$185</definedName>
    <definedName name="C_CWC_96">Model!$AN$185</definedName>
    <definedName name="C_CWC_97">Model!$AQ$185</definedName>
    <definedName name="C_CWC_98">Model!$AT$185</definedName>
    <definedName name="C_CWC_99">Model!$AW$185</definedName>
    <definedName name="C_DCE_00">Model!$AZ$191</definedName>
    <definedName name="C_DCE_01">Model!$BC$191</definedName>
    <definedName name="C_DCE_02">Model!$BF$191</definedName>
    <definedName name="C_DCE_03">Model!$BI$191</definedName>
    <definedName name="C_DCE_04">Model!$BL$191</definedName>
    <definedName name="C_DCE_05">Model!$BO$191</definedName>
    <definedName name="C_DCE_06">Model!$BR$191</definedName>
    <definedName name="C_DCE_07">Model!$BU$191</definedName>
    <definedName name="C_DCE_08">Model!$BX$191</definedName>
    <definedName name="C_DCE_09">Model!$CA$191</definedName>
    <definedName name="C_DCE_10">Model!$CD$191</definedName>
    <definedName name="C_DCE_11">Model!$CG$191</definedName>
    <definedName name="C_DCE_12">Model!$CJ$191</definedName>
    <definedName name="C_DCE_13">Model!$CM$191</definedName>
    <definedName name="C_DCE_14">Model!$CP$191</definedName>
    <definedName name="C_DCE_15">Model!$CS$191</definedName>
    <definedName name="C_DCE_16">Model!$CV$191</definedName>
    <definedName name="C_DCE_17">Model!$CY$191</definedName>
    <definedName name="C_DCE_18">Model!$DB$191</definedName>
    <definedName name="C_DCE_19">Model!$DE$191</definedName>
    <definedName name="C_DCE_20">Model!$DH$191</definedName>
    <definedName name="C_DCE_95">Model!$AK$191</definedName>
    <definedName name="C_DCE_96">Model!$AN$191</definedName>
    <definedName name="C_DCE_97">Model!$AQ$191</definedName>
    <definedName name="C_DCE_98">Model!$AT$191</definedName>
    <definedName name="C_DCE_99">Model!$AW$191</definedName>
    <definedName name="C_Div_Recvd_00">Model!$AZ$506</definedName>
    <definedName name="C_Div_Recvd_01">Model!$BC$506</definedName>
    <definedName name="C_Div_Recvd_02">Model!$BF$506</definedName>
    <definedName name="C_Div_Recvd_03">Model!$BI$506</definedName>
    <definedName name="C_Div_Recvd_04">Model!$BL$506</definedName>
    <definedName name="C_Div_Recvd_05">Model!$BO$506</definedName>
    <definedName name="C_Div_Recvd_06">Model!$BR$506</definedName>
    <definedName name="C_Div_Recvd_07">Model!$BU$506</definedName>
    <definedName name="C_Div_Recvd_08">Model!$BX$506</definedName>
    <definedName name="C_Div_Recvd_09">Model!$CA$506</definedName>
    <definedName name="C_Div_Recvd_10">Model!$CD$506</definedName>
    <definedName name="C_Div_Recvd_11">Model!$CG$506</definedName>
    <definedName name="C_Div_Recvd_12">Model!$CJ$506</definedName>
    <definedName name="C_Div_Recvd_13">Model!$CM$506</definedName>
    <definedName name="C_Div_Recvd_14">Model!$CP$506</definedName>
    <definedName name="C_Div_Recvd_15">Model!$CS$506</definedName>
    <definedName name="C_Div_Recvd_16">Model!$CV$506</definedName>
    <definedName name="C_Div_Recvd_17">Model!$CY$506</definedName>
    <definedName name="C_Div_Recvd_18">Model!$DB$506</definedName>
    <definedName name="C_Div_Recvd_19">Model!$DE$506</definedName>
    <definedName name="C_Div_Recvd_20">Model!$DH$506</definedName>
    <definedName name="C_Div_Recvd_H1_00">Model!$AX$506</definedName>
    <definedName name="C_Div_Recvd_H1_01">Model!$BA$506</definedName>
    <definedName name="C_Div_Recvd_H1_02">Model!$BD$506</definedName>
    <definedName name="C_Div_Recvd_H1_03">Model!$BG$506</definedName>
    <definedName name="C_Div_Recvd_H1_04">Model!$BJ$506</definedName>
    <definedName name="C_Div_Recvd_H1_05">Model!$BM$506</definedName>
    <definedName name="C_Div_Recvd_H1_06">Model!$BP$506</definedName>
    <definedName name="C_Div_Recvd_H1_07">Model!$BS$506</definedName>
    <definedName name="C_Div_Recvd_H1_08">Model!$BV$506</definedName>
    <definedName name="C_Div_Recvd_H1_09">Model!$BY$506</definedName>
    <definedName name="C_Div_Recvd_H1_10">Model!$CB$506</definedName>
    <definedName name="C_Div_Recvd_H1_11">Model!$CE$506</definedName>
    <definedName name="C_Div_Recvd_H1_12">Model!$CH$506</definedName>
    <definedName name="C_Div_Recvd_H1_13">Model!$CK$506</definedName>
    <definedName name="C_Div_Recvd_H1_14">Model!$CN$506</definedName>
    <definedName name="C_Div_Recvd_H1_15">Model!$CQ$506</definedName>
    <definedName name="C_Div_Recvd_H1_16">Model!$CT$506</definedName>
    <definedName name="C_Div_Recvd_H1_17">Model!$CW$506</definedName>
    <definedName name="C_Div_Recvd_H1_18">Model!$CZ$506</definedName>
    <definedName name="C_Div_Recvd_H1_19">Model!$DC$506</definedName>
    <definedName name="C_Div_Recvd_H1_20">Model!$DF$506</definedName>
    <definedName name="C_Div_Recvd_H2_00">Model!$AY$506</definedName>
    <definedName name="C_Div_Recvd_H2_01">Model!$BB$506</definedName>
    <definedName name="C_Div_Recvd_H2_02">Model!$BE$506</definedName>
    <definedName name="C_Div_Recvd_H2_03">Model!$BH$506</definedName>
    <definedName name="C_Div_Recvd_H2_04">Model!$BK$506</definedName>
    <definedName name="C_Div_Recvd_H2_05">Model!$BN$506</definedName>
    <definedName name="C_Div_Recvd_H2_06">Model!$BQ$506</definedName>
    <definedName name="C_Div_Recvd_H2_07">Model!$BT$506</definedName>
    <definedName name="C_Div_Recvd_H2_08">Model!$BW$506</definedName>
    <definedName name="C_Div_Recvd_H2_09">Model!$BZ$506</definedName>
    <definedName name="C_Div_Recvd_H2_10">Model!$CC$506</definedName>
    <definedName name="C_Div_Recvd_H2_11">Model!$CF$506</definedName>
    <definedName name="C_Div_Recvd_H2_12">Model!$CI$506</definedName>
    <definedName name="C_Div_Recvd_H2_13">Model!$CL$506</definedName>
    <definedName name="C_Div_Recvd_H2_14">Model!$CO$506</definedName>
    <definedName name="C_Div_Recvd_H2_15">Model!$CR$506</definedName>
    <definedName name="C_Div_Recvd_H2_16">Model!$CU$506</definedName>
    <definedName name="C_Div_Recvd_H2_17">Model!$CX$506</definedName>
    <definedName name="C_Div_Recvd_H2_18">Model!$DA$506</definedName>
    <definedName name="C_Div_Recvd_H2_19">Model!$DD$506</definedName>
    <definedName name="C_Div_Recvd_H2_20">Model!$DG$506</definedName>
    <definedName name="C_DP_00">Model!$AZ$209</definedName>
    <definedName name="C_DP_01">Model!$BC$209</definedName>
    <definedName name="C_DP_02">Model!$BF$209</definedName>
    <definedName name="C_DP_03">Model!$BI$209</definedName>
    <definedName name="C_DP_04">Model!$BL$209</definedName>
    <definedName name="C_DP_05">Model!$BO$209</definedName>
    <definedName name="C_DP_06">Model!$BR$209</definedName>
    <definedName name="C_DP_07">Model!$BU$209</definedName>
    <definedName name="C_DP_08">Model!$BX$209</definedName>
    <definedName name="C_DP_09">Model!$CA$209</definedName>
    <definedName name="C_DP_10">Model!$CD$209</definedName>
    <definedName name="C_DP_11">Model!$CG$209</definedName>
    <definedName name="C_DP_12">Model!$CJ$209</definedName>
    <definedName name="C_DP_13">Model!$CM$209</definedName>
    <definedName name="C_DP_14">Model!$CP$209</definedName>
    <definedName name="C_DP_15">Model!$CS$209</definedName>
    <definedName name="C_DP_16">Model!$CV$209</definedName>
    <definedName name="C_DP_17">Model!$CY$209</definedName>
    <definedName name="C_DP_18">Model!$DB$209</definedName>
    <definedName name="C_DP_19">Model!$DE$209</definedName>
    <definedName name="C_DP_20">Model!$DH$209</definedName>
    <definedName name="C_DP_95">Model!$AK$209</definedName>
    <definedName name="C_DP_96">Model!$AN$209</definedName>
    <definedName name="C_DP_97">Model!$AQ$209</definedName>
    <definedName name="C_DP_98">Model!$AT$209</definedName>
    <definedName name="C_DP_99">Model!$AW$209</definedName>
    <definedName name="C_EqtyIssue_00">Model!$AZ$206</definedName>
    <definedName name="C_EqtyIssue_01">Model!$BC$206</definedName>
    <definedName name="C_EqtyIssue_02">Model!$BF$206</definedName>
    <definedName name="C_EqtyIssue_03">Model!$BI$206</definedName>
    <definedName name="C_EqtyIssue_04">Model!$BL$206</definedName>
    <definedName name="C_EqtyIssue_05">Model!$BO$206</definedName>
    <definedName name="C_EqtyIssue_06">Model!$BR$206</definedName>
    <definedName name="C_EqtyIssue_07">Model!$BU$206</definedName>
    <definedName name="C_EqtyIssue_08">Model!$BX$206</definedName>
    <definedName name="C_EqtyIssue_09">Model!$CA$206</definedName>
    <definedName name="C_EqtyIssue_10">Model!$CD$206</definedName>
    <definedName name="C_EqtyIssue_11">Model!$CG$206</definedName>
    <definedName name="C_EqtyIssue_12">Model!$CJ$206</definedName>
    <definedName name="C_EqtyIssue_13">Model!$CM$206</definedName>
    <definedName name="C_EqtyIssue_14">Model!$CP$206</definedName>
    <definedName name="C_EqtyIssue_15">Model!$CS$206</definedName>
    <definedName name="C_EqtyIssue_16">Model!$CV$206</definedName>
    <definedName name="C_EqtyIssue_17">Model!$CY$206</definedName>
    <definedName name="C_EqtyIssue_18">Model!$DB$206</definedName>
    <definedName name="C_EqtyIssue_19">Model!$DE$206</definedName>
    <definedName name="C_EqtyIssue_20">Model!$DH$206</definedName>
    <definedName name="C_EqtyIssue_H1_00">Model!$AX$206</definedName>
    <definedName name="C_EqtyIssue_H1_01">Model!$BA$206</definedName>
    <definedName name="C_EqtyIssue_H1_02">Model!$BD$206</definedName>
    <definedName name="C_EqtyIssue_H1_03">Model!$BG$206</definedName>
    <definedName name="C_EqtyIssue_H1_04">Model!$BJ$206</definedName>
    <definedName name="C_EqtyIssue_H1_05">Model!$BM$206</definedName>
    <definedName name="C_EqtyIssue_H1_06">Model!$BP$206</definedName>
    <definedName name="C_EqtyIssue_H1_07">Model!$BS$206</definedName>
    <definedName name="C_EqtyIssue_H1_08">Model!$BV$206</definedName>
    <definedName name="C_EqtyIssue_H1_09">Model!$BY$206</definedName>
    <definedName name="C_EqtyIssue_H1_10">Model!$CB$206</definedName>
    <definedName name="C_EqtyIssue_H1_11">Model!$CE$206</definedName>
    <definedName name="C_EqtyIssue_H1_12">Model!$CH$206</definedName>
    <definedName name="C_EqtyIssue_H1_13">Model!$CK$206</definedName>
    <definedName name="C_EqtyIssue_H1_14">Model!$CN$206</definedName>
    <definedName name="C_EqtyIssue_H1_15">Model!$CQ$206</definedName>
    <definedName name="C_EqtyIssue_H1_16">Model!$CT$206</definedName>
    <definedName name="C_EqtyIssue_H1_17">Model!$CW$206</definedName>
    <definedName name="C_EqtyIssue_H1_18">Model!$CZ$206</definedName>
    <definedName name="C_EqtyIssue_H1_19">Model!$DC$206</definedName>
    <definedName name="C_EqtyIssue_H1_20">Model!$DF$206</definedName>
    <definedName name="C_EqtyIssue_H2_00">Model!$AY$206</definedName>
    <definedName name="C_EqtyIssue_H2_01">Model!$BB$206</definedName>
    <definedName name="C_EqtyIssue_H2_02">Model!$BE$206</definedName>
    <definedName name="C_EqtyIssue_H2_03">Model!$BH$206</definedName>
    <definedName name="C_EqtyIssue_H2_04">Model!$BK$206</definedName>
    <definedName name="C_EqtyIssue_H2_05">Model!$BN$206</definedName>
    <definedName name="C_EqtyIssue_H2_06">Model!$BQ$206</definedName>
    <definedName name="C_EqtyIssue_H2_07">Model!$BT$206</definedName>
    <definedName name="C_EqtyIssue_H2_08">Model!$BW$206</definedName>
    <definedName name="C_EqtyIssue_H2_09">Model!$BZ$206</definedName>
    <definedName name="C_EqtyIssue_H2_10">Model!$CC$206</definedName>
    <definedName name="C_EqtyIssue_H2_11">Model!$CF$206</definedName>
    <definedName name="C_EqtyIssue_H2_12">Model!$CI$206</definedName>
    <definedName name="C_EqtyIssue_H2_13">Model!$CL$206</definedName>
    <definedName name="C_EqtyIssue_H2_14">Model!$CO$206</definedName>
    <definedName name="C_EqtyIssue_H2_15">Model!$CR$206</definedName>
    <definedName name="C_EqtyIssue_H2_16">Model!$CU$206</definedName>
    <definedName name="C_EqtyIssue_H2_17">Model!$CX$206</definedName>
    <definedName name="C_EqtyIssue_H2_18">Model!$DA$206</definedName>
    <definedName name="C_EqtyIssue_H2_19">Model!$DD$206</definedName>
    <definedName name="C_EqtyIssue_H2_20">Model!$DG$206</definedName>
    <definedName name="C_ER_00">Model!$AZ$206</definedName>
    <definedName name="C_ER_01">Model!$BC$206</definedName>
    <definedName name="C_ER_02">Model!$BF$206</definedName>
    <definedName name="C_ER_03">Model!$BI$206</definedName>
    <definedName name="C_ER_04">Model!$BL$206</definedName>
    <definedName name="C_ER_05">Model!$BO$206</definedName>
    <definedName name="C_ER_06">Model!$BR$206</definedName>
    <definedName name="C_ER_07">Model!$BU$206</definedName>
    <definedName name="C_ER_08">Model!$BX$206</definedName>
    <definedName name="C_ER_09">Model!$CA$206</definedName>
    <definedName name="C_ER_10">Model!$CD$206</definedName>
    <definedName name="C_ER_11">Model!$CG$206</definedName>
    <definedName name="C_ER_12">Model!$CJ$206</definedName>
    <definedName name="C_ER_13">Model!$CM$206</definedName>
    <definedName name="C_ER_14">Model!$CP$206</definedName>
    <definedName name="C_ER_15">Model!$CS$206</definedName>
    <definedName name="C_ER_16">Model!$CV$206</definedName>
    <definedName name="C_ER_17">Model!$CY$206</definedName>
    <definedName name="C_ER_18">Model!$DB$206</definedName>
    <definedName name="C_ER_19">Model!$DE$206</definedName>
    <definedName name="C_ER_20">Model!$DH$206</definedName>
    <definedName name="C_ER_95">Model!$AK$206</definedName>
    <definedName name="C_ER_96">Model!$AN$206</definedName>
    <definedName name="C_ER_97">Model!$AQ$206</definedName>
    <definedName name="C_ER_98">Model!$AT$206</definedName>
    <definedName name="C_ER_99">Model!$AW$206</definedName>
    <definedName name="C_FCF_00">Model!$AZ$214</definedName>
    <definedName name="C_FCF_01">Model!$BC$214</definedName>
    <definedName name="C_FCF_02">Model!$BF$214</definedName>
    <definedName name="C_FCF_03">Model!$BI$214</definedName>
    <definedName name="C_FCF_04">Model!$BL$214</definedName>
    <definedName name="C_FCF_05">Model!$BO$214</definedName>
    <definedName name="C_FCF_06">Model!$BR$214</definedName>
    <definedName name="C_FCF_07">Model!$BU$214</definedName>
    <definedName name="C_FCF_08">Model!$BX$214</definedName>
    <definedName name="C_FCF_09">Model!$CA$214</definedName>
    <definedName name="C_FCF_10">Model!$CD$214</definedName>
    <definedName name="C_FCF_11">Model!$CG$214</definedName>
    <definedName name="C_FCF_12">Model!$CJ$214</definedName>
    <definedName name="C_FCF_13">Model!$CM$214</definedName>
    <definedName name="C_FCF_14">Model!$CP$214</definedName>
    <definedName name="C_FCF_15">Model!$CS$214</definedName>
    <definedName name="C_FCF_16">Model!$CV$214</definedName>
    <definedName name="C_FCF_17">Model!$CY$214</definedName>
    <definedName name="C_FCF_18">Model!$DB$214</definedName>
    <definedName name="C_FCF_19">Model!$DE$214</definedName>
    <definedName name="C_FCF_20">Model!$DH$214</definedName>
    <definedName name="C_FCF_95">Model!$AK$214</definedName>
    <definedName name="C_FCF_96">Model!$AN$214</definedName>
    <definedName name="C_FCF_97">Model!$AQ$214</definedName>
    <definedName name="C_FCF_98">Model!$AT$214</definedName>
    <definedName name="C_FCF_99">Model!$AW$214</definedName>
    <definedName name="C_FXAdj_00">Model!$AZ$225</definedName>
    <definedName name="C_FXAdj_01">Model!$BC$225</definedName>
    <definedName name="C_FXAdj_02">Model!$BF$225</definedName>
    <definedName name="C_FXAdj_03">Model!$BI$225</definedName>
    <definedName name="C_FXAdj_04">Model!$BL$225</definedName>
    <definedName name="C_FXAdj_05">Model!$BO$225</definedName>
    <definedName name="C_FXAdj_06">Model!$BR$225</definedName>
    <definedName name="C_FXAdj_07">Model!$BU$225</definedName>
    <definedName name="C_FXAdj_08">Model!$BX$225</definedName>
    <definedName name="C_FXAdj_09">Model!$CA$225</definedName>
    <definedName name="C_FXAdj_10">Model!$CD$225</definedName>
    <definedName name="C_FXAdj_11">Model!$CG$225</definedName>
    <definedName name="C_FXAdj_12">Model!$CJ$225</definedName>
    <definedName name="C_FXAdj_13">Model!$CM$225</definedName>
    <definedName name="C_FXAdj_14">Model!$CP$225</definedName>
    <definedName name="C_FXAdj_15">Model!$CS$225</definedName>
    <definedName name="C_FXAdj_16">Model!$CV$225</definedName>
    <definedName name="C_FXAdj_17">Model!$CY$225</definedName>
    <definedName name="C_FXAdj_18">Model!$DB$225</definedName>
    <definedName name="C_FXAdj_19">Model!$DE$225</definedName>
    <definedName name="C_FXAdj_20">Model!$DH$225</definedName>
    <definedName name="C_FXAdj_H1_00">Model!$AX$225</definedName>
    <definedName name="C_FXAdj_H1_01">Model!$BA$225</definedName>
    <definedName name="C_FXAdj_H1_02">Model!$BD$225</definedName>
    <definedName name="C_FXAdj_H1_03">Model!$BG$225</definedName>
    <definedName name="C_FXAdj_H1_04">Model!$BJ$225</definedName>
    <definedName name="C_FXAdj_H1_05">Model!$BM$225</definedName>
    <definedName name="C_FXAdj_H1_06">Model!$BP$225</definedName>
    <definedName name="C_FXAdj_H1_07">Model!$BS$225</definedName>
    <definedName name="C_FXAdj_H1_08">Model!$BV$225</definedName>
    <definedName name="C_FXAdj_H1_09">Model!$BY$225</definedName>
    <definedName name="C_FXAdj_H1_10">Model!$CB$225</definedName>
    <definedName name="C_FXAdj_H1_11">Model!$CE$225</definedName>
    <definedName name="C_FXAdj_H1_12">Model!$CH$225</definedName>
    <definedName name="C_FXAdj_H1_13">Model!$CK$225</definedName>
    <definedName name="C_FXAdj_H1_14">Model!$CN$225</definedName>
    <definedName name="C_FXAdj_H1_15">Model!$CQ$225</definedName>
    <definedName name="C_FXAdj_H1_16">Model!$CT$225</definedName>
    <definedName name="C_FXAdj_H1_17">Model!$CW$225</definedName>
    <definedName name="C_FXAdj_H1_18">Model!$CZ$225</definedName>
    <definedName name="C_FXAdj_H1_19">Model!$DC$225</definedName>
    <definedName name="C_FXAdj_H1_20">Model!$DF$225</definedName>
    <definedName name="C_FXAdj_H2_00">Model!$AY$225</definedName>
    <definedName name="C_FXAdj_H2_01">Model!$BB$225</definedName>
    <definedName name="C_FXAdj_H2_02">Model!$BE$225</definedName>
    <definedName name="C_FXAdj_H2_03">Model!$BH$225</definedName>
    <definedName name="C_FXAdj_H2_04">Model!$BK$225</definedName>
    <definedName name="C_FXAdj_H2_05">Model!$BN$225</definedName>
    <definedName name="C_FXAdj_H2_06">Model!$BQ$225</definedName>
    <definedName name="C_FXAdj_H2_07">Model!$BT$225</definedName>
    <definedName name="C_FXAdj_H2_08">Model!$BW$225</definedName>
    <definedName name="C_FXAdj_H2_09">Model!$BZ$225</definedName>
    <definedName name="C_FXAdj_H2_10">Model!$CC$225</definedName>
    <definedName name="C_FXAdj_H2_11">Model!$CF$225</definedName>
    <definedName name="C_FXAdj_H2_12">Model!$CI$225</definedName>
    <definedName name="C_FXAdj_H2_13">Model!$CL$225</definedName>
    <definedName name="C_FXAdj_H2_14">Model!$CO$225</definedName>
    <definedName name="C_FXAdj_H2_15">Model!$CR$225</definedName>
    <definedName name="C_FXAdj_H2_16">Model!$CU$225</definedName>
    <definedName name="C_FXAdj_H2_17">Model!$CX$225</definedName>
    <definedName name="C_FXAdj_H2_18">Model!$DA$225</definedName>
    <definedName name="C_FXAdj_H2_19">Model!$DD$225</definedName>
    <definedName name="C_FXAdj_H2_20">Model!$DG$225</definedName>
    <definedName name="C_ICF_00">Model!$AZ$205</definedName>
    <definedName name="C_ICF_01">Model!$BC$205</definedName>
    <definedName name="C_ICF_02">Model!$BF$205</definedName>
    <definedName name="C_ICF_03">Model!$BI$205</definedName>
    <definedName name="C_ICF_04">Model!$BL$205</definedName>
    <definedName name="C_ICF_05">Model!$BO$205</definedName>
    <definedName name="C_ICF_06">Model!$BR$205</definedName>
    <definedName name="C_ICF_07">Model!$BU$205</definedName>
    <definedName name="C_ICF_08">Model!$BX$205</definedName>
    <definedName name="C_ICF_09">Model!$CA$205</definedName>
    <definedName name="C_ICF_10">Model!$CD$205</definedName>
    <definedName name="C_ICF_11">Model!$CG$205</definedName>
    <definedName name="C_ICF_12">Model!$CJ$205</definedName>
    <definedName name="C_ICF_13">Model!$CM$205</definedName>
    <definedName name="C_ICF_14">Model!$CP$205</definedName>
    <definedName name="C_ICF_15">Model!$CS$205</definedName>
    <definedName name="C_ICF_16">Model!$CV$205</definedName>
    <definedName name="C_ICF_17">Model!$CY$205</definedName>
    <definedName name="C_ICF_18">Model!$DB$205</definedName>
    <definedName name="C_ICF_19">Model!$DE$205</definedName>
    <definedName name="C_ICF_20">Model!$DH$205</definedName>
    <definedName name="C_ICF_95">Model!$AK$205</definedName>
    <definedName name="C_ICF_96">Model!$AN$205</definedName>
    <definedName name="C_ICF_97">Model!$AQ$205</definedName>
    <definedName name="C_ICF_98">Model!$AT$205</definedName>
    <definedName name="C_ICF_99">Model!$AW$205</definedName>
    <definedName name="C_Int_Pd_00">Model!$AZ$504</definedName>
    <definedName name="C_Int_Pd_01">Model!$BC$504</definedName>
    <definedName name="C_Int_Pd_02">Model!$BF$504</definedName>
    <definedName name="C_Int_Pd_03">Model!$BI$504</definedName>
    <definedName name="C_Int_Pd_04">Model!$BL$504</definedName>
    <definedName name="C_Int_Pd_05">Model!$BO$504</definedName>
    <definedName name="C_Int_Pd_06">Model!$BR$504</definedName>
    <definedName name="C_Int_Pd_07">Model!$BU$504</definedName>
    <definedName name="C_Int_Pd_08">Model!$BX$504</definedName>
    <definedName name="C_Int_Pd_09">Model!$CA$504</definedName>
    <definedName name="C_Int_Pd_10">Model!$CD$504</definedName>
    <definedName name="C_Int_Pd_11">Model!$CG$504</definedName>
    <definedName name="C_Int_Pd_12">Model!$CJ$504</definedName>
    <definedName name="C_Int_Pd_13">Model!$CM$504</definedName>
    <definedName name="C_Int_Pd_14">Model!$CP$504</definedName>
    <definedName name="C_Int_Pd_15">Model!$CS$504</definedName>
    <definedName name="C_Int_Pd_16">Model!$CV$504</definedName>
    <definedName name="C_Int_Pd_17">Model!$CY$504</definedName>
    <definedName name="C_Int_Pd_18">Model!$DB$504</definedName>
    <definedName name="C_Int_Pd_19">Model!$DE$504</definedName>
    <definedName name="C_Int_Pd_20">Model!$DH$504</definedName>
    <definedName name="C_Int_Pd_H1_00">Model!$AX$504</definedName>
    <definedName name="C_Int_Pd_H1_01">Model!$BA$504</definedName>
    <definedName name="C_Int_Pd_H1_02">Model!$BD$504</definedName>
    <definedName name="C_Int_Pd_H1_03">Model!$BG$504</definedName>
    <definedName name="C_Int_Pd_H1_04">Model!$BJ$504</definedName>
    <definedName name="C_Int_Pd_H1_05">Model!$BM$504</definedName>
    <definedName name="C_Int_Pd_H1_06">Model!$BP$504</definedName>
    <definedName name="C_Int_Pd_H1_07">Model!$BS$504</definedName>
    <definedName name="C_Int_Pd_H1_08">Model!$BV$504</definedName>
    <definedName name="C_Int_Pd_H1_09">Model!$BY$504</definedName>
    <definedName name="C_Int_Pd_H1_10">Model!$CB$504</definedName>
    <definedName name="C_Int_Pd_H1_11">Model!$CE$504</definedName>
    <definedName name="C_Int_Pd_H1_12">Model!$CH$504</definedName>
    <definedName name="C_Int_Pd_H1_13">Model!$CK$504</definedName>
    <definedName name="C_Int_Pd_H1_14">Model!$CN$504</definedName>
    <definedName name="C_Int_Pd_H1_15">Model!$CQ$504</definedName>
    <definedName name="C_Int_Pd_H1_16">Model!$CT$504</definedName>
    <definedName name="C_Int_Pd_H1_17">Model!$CW$504</definedName>
    <definedName name="C_Int_Pd_H1_18">Model!$CZ$504</definedName>
    <definedName name="C_Int_Pd_H1_19">Model!$DC$504</definedName>
    <definedName name="C_Int_Pd_H1_20">Model!$DF$504</definedName>
    <definedName name="C_Int_Pd_H2_00">Model!$AY$504</definedName>
    <definedName name="C_Int_Pd_H2_01">Model!$BB$504</definedName>
    <definedName name="C_Int_Pd_H2_02">Model!$BE$504</definedName>
    <definedName name="C_Int_Pd_H2_03">Model!$BH$504</definedName>
    <definedName name="C_Int_Pd_H2_04">Model!$BK$504</definedName>
    <definedName name="C_Int_Pd_H2_05">Model!$BN$504</definedName>
    <definedName name="C_Int_Pd_H2_06">Model!$BQ$504</definedName>
    <definedName name="C_Int_Pd_H2_07">Model!$BT$504</definedName>
    <definedName name="C_Int_Pd_H2_08">Model!$BW$504</definedName>
    <definedName name="C_Int_Pd_H2_09">Model!$BZ$504</definedName>
    <definedName name="C_Int_Pd_H2_10">Model!$CC$504</definedName>
    <definedName name="C_Int_Pd_H2_11">Model!$CF$504</definedName>
    <definedName name="C_Int_Pd_H2_12">Model!$CI$504</definedName>
    <definedName name="C_Int_Pd_H2_13">Model!$CL$504</definedName>
    <definedName name="C_Int_Pd_H2_14">Model!$CO$504</definedName>
    <definedName name="C_Int_Pd_H2_15">Model!$CR$504</definedName>
    <definedName name="C_Int_Pd_H2_16">Model!$CU$504</definedName>
    <definedName name="C_Int_Pd_H2_17">Model!$CX$504</definedName>
    <definedName name="C_Int_Pd_H2_18">Model!$DA$504</definedName>
    <definedName name="C_Int_Pd_H2_19">Model!$DD$504</definedName>
    <definedName name="C_Int_Pd_H2_20">Model!$DG$504</definedName>
    <definedName name="C_Int_Recvd_00">Model!$AZ$505</definedName>
    <definedName name="C_Int_Recvd_01">Model!$BC$505</definedName>
    <definedName name="C_Int_Recvd_02">Model!$BF$505</definedName>
    <definedName name="C_Int_Recvd_03">Model!$BI$505</definedName>
    <definedName name="C_Int_Recvd_04">Model!$BL$505</definedName>
    <definedName name="C_Int_Recvd_05">Model!$BO$505</definedName>
    <definedName name="C_Int_Recvd_06">Model!$BR$505</definedName>
    <definedName name="C_Int_Recvd_07">Model!$BU$505</definedName>
    <definedName name="C_Int_Recvd_08">Model!$BX$505</definedName>
    <definedName name="C_Int_Recvd_09">Model!$CA$505</definedName>
    <definedName name="C_Int_Recvd_10">Model!$CD$505</definedName>
    <definedName name="C_Int_Recvd_11">Model!$CG$505</definedName>
    <definedName name="C_Int_Recvd_12">Model!$CJ$505</definedName>
    <definedName name="C_Int_Recvd_13">Model!$CM$505</definedName>
    <definedName name="C_Int_Recvd_14">Model!$CP$505</definedName>
    <definedName name="C_Int_Recvd_15">Model!$CS$505</definedName>
    <definedName name="C_Int_Recvd_16">Model!$CV$505</definedName>
    <definedName name="C_Int_Recvd_17">Model!$CY$505</definedName>
    <definedName name="C_Int_Recvd_18">Model!$DB$505</definedName>
    <definedName name="C_Int_Recvd_19">Model!$DE$505</definedName>
    <definedName name="C_Int_Recvd_20">Model!$DH$505</definedName>
    <definedName name="C_Int_Recvd_H1_00">Model!$AX$505</definedName>
    <definedName name="C_Int_Recvd_H1_01">Model!$BA$505</definedName>
    <definedName name="C_Int_Recvd_H1_02">Model!$BD$505</definedName>
    <definedName name="C_Int_Recvd_H1_03">Model!$BG$505</definedName>
    <definedName name="C_Int_Recvd_H1_04">Model!$BJ$505</definedName>
    <definedName name="C_Int_Recvd_H1_05">Model!$BM$505</definedName>
    <definedName name="C_Int_Recvd_H1_06">Model!$BP$505</definedName>
    <definedName name="C_Int_Recvd_H1_07">Model!$BS$505</definedName>
    <definedName name="C_Int_Recvd_H1_08">Model!$BV$505</definedName>
    <definedName name="C_Int_Recvd_H1_09">Model!$BY$505</definedName>
    <definedName name="C_Int_Recvd_H1_10">Model!$CB$505</definedName>
    <definedName name="C_Int_Recvd_H1_11">Model!$CE$505</definedName>
    <definedName name="C_Int_Recvd_H1_12">Model!$CH$505</definedName>
    <definedName name="C_Int_Recvd_H1_13">Model!$CK$505</definedName>
    <definedName name="C_Int_Recvd_H1_14">Model!$CN$505</definedName>
    <definedName name="C_Int_Recvd_H1_15">Model!$CQ$505</definedName>
    <definedName name="C_Int_Recvd_H1_16">Model!$CT$505</definedName>
    <definedName name="C_Int_Recvd_H1_17">Model!$CW$505</definedName>
    <definedName name="C_Int_Recvd_H1_18">Model!$CZ$505</definedName>
    <definedName name="C_Int_Recvd_H1_19">Model!$DC$505</definedName>
    <definedName name="C_Int_Recvd_H1_20">Model!$DF$505</definedName>
    <definedName name="C_Int_Recvd_H2_00">Model!$AY$505</definedName>
    <definedName name="C_Int_Recvd_H2_01">Model!$BB$505</definedName>
    <definedName name="C_Int_Recvd_H2_02">Model!$BE$505</definedName>
    <definedName name="C_Int_Recvd_H2_03">Model!$BH$505</definedName>
    <definedName name="C_Int_Recvd_H2_04">Model!$BK$505</definedName>
    <definedName name="C_Int_Recvd_H2_05">Model!$BN$505</definedName>
    <definedName name="C_Int_Recvd_H2_06">Model!$BQ$505</definedName>
    <definedName name="C_Int_Recvd_H2_07">Model!$BT$505</definedName>
    <definedName name="C_Int_Recvd_H2_08">Model!$BW$505</definedName>
    <definedName name="C_Int_Recvd_H2_09">Model!$BZ$505</definedName>
    <definedName name="C_Int_Recvd_H2_10">Model!$CC$505</definedName>
    <definedName name="C_Int_Recvd_H2_11">Model!$CF$505</definedName>
    <definedName name="C_Int_Recvd_H2_12">Model!$CI$505</definedName>
    <definedName name="C_Int_Recvd_H2_13">Model!$CL$505</definedName>
    <definedName name="C_Int_Recvd_H2_14">Model!$CO$505</definedName>
    <definedName name="C_Int_Recvd_H2_15">Model!$CR$505</definedName>
    <definedName name="C_Int_Recvd_H2_16">Model!$CU$505</definedName>
    <definedName name="C_Int_Recvd_H2_17">Model!$CX$505</definedName>
    <definedName name="C_Int_Recvd_H2_18">Model!$DA$505</definedName>
    <definedName name="C_Int_Recvd_H2_19">Model!$DD$505</definedName>
    <definedName name="C_Int_Recvd_H2_20">Model!$DG$505</definedName>
    <definedName name="C_INTN_00">Model!$AZ$181</definedName>
    <definedName name="C_INTN_01">Model!$BC$181</definedName>
    <definedName name="C_INTN_02">Model!$BF$181</definedName>
    <definedName name="C_INTN_03">Model!$BI$181</definedName>
    <definedName name="C_INTN_04">Model!$BL$181</definedName>
    <definedName name="C_INTN_05">Model!$BO$181</definedName>
    <definedName name="C_INTN_06">Model!$BR$181</definedName>
    <definedName name="C_INTN_07">Model!$BU$181</definedName>
    <definedName name="C_INTN_08">Model!$BX$181</definedName>
    <definedName name="C_INTN_09">Model!$CA$181</definedName>
    <definedName name="C_INTN_10">Model!$CD$181</definedName>
    <definedName name="C_INTN_11">Model!$CG$181</definedName>
    <definedName name="C_INTN_12">Model!$CJ$181</definedName>
    <definedName name="C_INTN_13">Model!$CM$181</definedName>
    <definedName name="C_INTN_14">Model!$CP$181</definedName>
    <definedName name="C_INTN_15">Model!$CS$181</definedName>
    <definedName name="C_INTN_16">Model!$CV$181</definedName>
    <definedName name="C_INTN_17">Model!$CY$181</definedName>
    <definedName name="C_INTN_18">Model!$DB$181</definedName>
    <definedName name="C_INTN_19">Model!$DE$181</definedName>
    <definedName name="C_INTN_20">Model!$DH$181</definedName>
    <definedName name="C_INTN_95">Model!$AK$181</definedName>
    <definedName name="C_INTN_96">Model!$AN$181</definedName>
    <definedName name="C_INTN_97">Model!$AQ$181</definedName>
    <definedName name="C_INTN_98">Model!$AT$181</definedName>
    <definedName name="C_INTN_99">Model!$AW$181</definedName>
    <definedName name="C_IP_00">Model!$AZ$186</definedName>
    <definedName name="C_IP_01">Model!$BC$186</definedName>
    <definedName name="C_IP_02">Model!$BF$186</definedName>
    <definedName name="C_IP_03">Model!$BI$186</definedName>
    <definedName name="C_IP_04">Model!$BL$186</definedName>
    <definedName name="C_IP_05">Model!$BO$186</definedName>
    <definedName name="C_IP_06">Model!$BR$186</definedName>
    <definedName name="C_IP_07">Model!$BU$186</definedName>
    <definedName name="C_IP_08">Model!$BX$186</definedName>
    <definedName name="C_IP_09">Model!$CA$186</definedName>
    <definedName name="C_IP_10">Model!$CD$186</definedName>
    <definedName name="C_IP_11">Model!$CG$186</definedName>
    <definedName name="C_IP_12">Model!$CJ$186</definedName>
    <definedName name="C_IP_13">Model!$CM$186</definedName>
    <definedName name="C_IP_14">Model!$CP$186</definedName>
    <definedName name="C_IP_15">Model!$CS$186</definedName>
    <definedName name="C_IP_16">Model!$CV$186</definedName>
    <definedName name="C_IP_17">Model!$CY$186</definedName>
    <definedName name="C_IP_18">Model!$DB$186</definedName>
    <definedName name="C_IP_19">Model!$DE$186</definedName>
    <definedName name="C_IP_20">Model!$DH$186</definedName>
    <definedName name="C_IP_95">Model!$AK$186</definedName>
    <definedName name="C_IP_96">Model!$AN$186</definedName>
    <definedName name="C_IP_97">Model!$AQ$186</definedName>
    <definedName name="C_IP_98">Model!$AT$186</definedName>
    <definedName name="C_IP_99">Model!$AW$186</definedName>
    <definedName name="C_Loans_00">Model!$AZ$203</definedName>
    <definedName name="C_Loans_01">Model!$BC$203</definedName>
    <definedName name="C_Loans_02">Model!$BF$203</definedName>
    <definedName name="C_Loans_03">Model!$BI$203</definedName>
    <definedName name="C_Loans_04">Model!$BL$203</definedName>
    <definedName name="C_Loans_05">Model!$BO$203</definedName>
    <definedName name="C_Loans_06">Model!$BR$203</definedName>
    <definedName name="C_Loans_07">Model!$BU$203</definedName>
    <definedName name="C_Loans_08">Model!$BX$203</definedName>
    <definedName name="C_Loans_09">Model!$CA$203</definedName>
    <definedName name="C_Loans_10">Model!$CD$203</definedName>
    <definedName name="C_Loans_11">Model!$CG$203</definedName>
    <definedName name="C_Loans_12">Model!$CJ$203</definedName>
    <definedName name="C_Loans_13">Model!$CM$203</definedName>
    <definedName name="C_Loans_14">Model!$CP$203</definedName>
    <definedName name="C_Loans_15">Model!$CS$203</definedName>
    <definedName name="C_Loans_16">Model!$CV$203</definedName>
    <definedName name="C_Loans_17">Model!$CY$203</definedName>
    <definedName name="C_Loans_18">Model!$DB$203</definedName>
    <definedName name="C_Loans_19">Model!$DE$203</definedName>
    <definedName name="C_Loans_20">Model!$DH$203</definedName>
    <definedName name="C_Loans_H1_00">Model!$AX$203</definedName>
    <definedName name="C_Loans_H1_01">Model!$BA$203</definedName>
    <definedName name="C_Loans_H1_02">Model!$BD$203</definedName>
    <definedName name="C_Loans_H1_03">Model!$BG$203</definedName>
    <definedName name="C_Loans_H1_04">Model!$BJ$203</definedName>
    <definedName name="C_Loans_H1_05">Model!$BM$203</definedName>
    <definedName name="C_Loans_H1_06">Model!$BP$203</definedName>
    <definedName name="C_Loans_H1_07">Model!$BS$203</definedName>
    <definedName name="C_Loans_H1_08">Model!$BV$203</definedName>
    <definedName name="C_Loans_H1_09">Model!$BY$203</definedName>
    <definedName name="C_Loans_H1_10">Model!$CB$203</definedName>
    <definedName name="C_Loans_H1_11">Model!$CE$203</definedName>
    <definedName name="C_Loans_H1_12">Model!$CH$203</definedName>
    <definedName name="C_Loans_H1_13">Model!$CK$203</definedName>
    <definedName name="C_Loans_H1_14">Model!$CN$203</definedName>
    <definedName name="C_Loans_H1_15">Model!$CQ$203</definedName>
    <definedName name="C_Loans_H1_16">Model!$CT$203</definedName>
    <definedName name="C_Loans_H1_17">Model!$CW$203</definedName>
    <definedName name="C_Loans_H1_18">Model!$CZ$203</definedName>
    <definedName name="C_Loans_H1_19">Model!$DC$203</definedName>
    <definedName name="C_Loans_H1_20">Model!$DF$203</definedName>
    <definedName name="C_Loans_H2_00">Model!$AY$203</definedName>
    <definedName name="C_Loans_H2_01">Model!$BB$203</definedName>
    <definedName name="C_Loans_H2_02">Model!$BE$203</definedName>
    <definedName name="C_Loans_H2_03">Model!$BH$203</definedName>
    <definedName name="C_Loans_H2_04">Model!$BK$203</definedName>
    <definedName name="C_Loans_H2_05">Model!$BN$203</definedName>
    <definedName name="C_Loans_H2_06">Model!$BQ$203</definedName>
    <definedName name="C_Loans_H2_07">Model!$BT$203</definedName>
    <definedName name="C_Loans_H2_08">Model!$BW$203</definedName>
    <definedName name="C_Loans_H2_09">Model!$BZ$203</definedName>
    <definedName name="C_Loans_H2_10">Model!$CC$203</definedName>
    <definedName name="C_Loans_H2_11">Model!$CF$203</definedName>
    <definedName name="C_Loans_H2_12">Model!$CI$203</definedName>
    <definedName name="C_Loans_H2_13">Model!$CL$203</definedName>
    <definedName name="C_Loans_H2_14">Model!$CO$203</definedName>
    <definedName name="C_Loans_H2_15">Model!$CR$203</definedName>
    <definedName name="C_Loans_H2_16">Model!$CU$203</definedName>
    <definedName name="C_Loans_H2_17">Model!$CX$203</definedName>
    <definedName name="C_Loans_H2_18">Model!$DA$203</definedName>
    <definedName name="C_Loans_H2_19">Model!$DD$203</definedName>
    <definedName name="C_Loans_H2_20">Model!$DG$203</definedName>
    <definedName name="C_MCE_00">Model!$AZ$190</definedName>
    <definedName name="C_MCE_01">Model!$BC$190</definedName>
    <definedName name="C_MCE_02">Model!$BF$190</definedName>
    <definedName name="C_MCE_03">Model!$BI$190</definedName>
    <definedName name="C_MCE_04">Model!$BL$190</definedName>
    <definedName name="C_MCE_05">Model!$BO$190</definedName>
    <definedName name="C_MCE_06">Model!$BR$190</definedName>
    <definedName name="C_MCE_07">Model!$BU$190</definedName>
    <definedName name="C_MCE_08">Model!$BX$190</definedName>
    <definedName name="C_MCE_09">Model!$CA$190</definedName>
    <definedName name="C_MCE_10">Model!$CD$190</definedName>
    <definedName name="C_MCE_11">Model!$CG$190</definedName>
    <definedName name="C_MCE_12">Model!$CJ$190</definedName>
    <definedName name="C_MCE_13">Model!$CM$190</definedName>
    <definedName name="C_MCE_14">Model!$CP$190</definedName>
    <definedName name="C_MCE_15">Model!$CS$190</definedName>
    <definedName name="C_MCE_16">Model!$CV$190</definedName>
    <definedName name="C_MCE_17">Model!$CY$190</definedName>
    <definedName name="C_MCE_18">Model!$DB$190</definedName>
    <definedName name="C_MCE_19">Model!$DE$190</definedName>
    <definedName name="C_MCE_20">Model!$DH$190</definedName>
    <definedName name="C_MCE_95">Model!$AK$190</definedName>
    <definedName name="C_MCE_96">Model!$AN$190</definedName>
    <definedName name="C_MCE_97">Model!$AQ$190</definedName>
    <definedName name="C_MCE_98">Model!$AT$190</definedName>
    <definedName name="C_MCE_99">Model!$AW$190</definedName>
    <definedName name="C_NA_00">Model!$AZ$193</definedName>
    <definedName name="C_NA_01">Model!$BC$193</definedName>
    <definedName name="C_NA_02">Model!$BF$193</definedName>
    <definedName name="C_NA_03">Model!$BI$193</definedName>
    <definedName name="C_NA_04">Model!$BL$193</definedName>
    <definedName name="C_NA_05">Model!$BO$193</definedName>
    <definedName name="C_NA_06">Model!$BR$193</definedName>
    <definedName name="C_NA_07">Model!$BU$193</definedName>
    <definedName name="C_NA_08">Model!$BX$193</definedName>
    <definedName name="C_NA_09">Model!$CA$193</definedName>
    <definedName name="C_NA_10">Model!$CD$193</definedName>
    <definedName name="C_NA_11">Model!$CG$193</definedName>
    <definedName name="C_NA_12">Model!$CJ$193</definedName>
    <definedName name="C_NA_13">Model!$CM$193</definedName>
    <definedName name="C_NA_14">Model!$CP$193</definedName>
    <definedName name="C_NA_15">Model!$CS$193</definedName>
    <definedName name="C_NA_16">Model!$CV$193</definedName>
    <definedName name="C_NA_17">Model!$CY$193</definedName>
    <definedName name="C_NA_18">Model!$DB$193</definedName>
    <definedName name="C_NA_19">Model!$DE$193</definedName>
    <definedName name="C_NA_20">Model!$DH$193</definedName>
    <definedName name="C_NA_95">Model!$AK$193</definedName>
    <definedName name="C_NA_96">Model!$AN$193</definedName>
    <definedName name="C_NA_97">Model!$AQ$193</definedName>
    <definedName name="C_NA_98">Model!$AT$193</definedName>
    <definedName name="C_NA_99">Model!$AW$193</definedName>
    <definedName name="C_NetChgC_00">Model!$AZ$216</definedName>
    <definedName name="C_NetChgC_01">Model!$BC$216</definedName>
    <definedName name="C_NetChgC_02">Model!$BF$216</definedName>
    <definedName name="C_NetChgC_03">Model!$BI$216</definedName>
    <definedName name="C_NetChgC_04">Model!$BL$216</definedName>
    <definedName name="C_NetChgC_05">Model!$BO$216</definedName>
    <definedName name="C_NetChgC_06">Model!$BR$216</definedName>
    <definedName name="C_NetChgC_07">Model!$BU$216</definedName>
    <definedName name="C_NetChgC_08">Model!$BX$216</definedName>
    <definedName name="C_NetChgC_09">Model!$CA$216</definedName>
    <definedName name="C_NetChgC_10">Model!$CD$216</definedName>
    <definedName name="C_NetChgC_11">Model!$CG$216</definedName>
    <definedName name="C_NetChgC_12">Model!$CJ$216</definedName>
    <definedName name="C_NetChgC_13">Model!$CM$216</definedName>
    <definedName name="C_NetChgC_14">Model!$CP$216</definedName>
    <definedName name="C_NetChgC_15">Model!$CS$216</definedName>
    <definedName name="C_NetChgC_16">Model!$CV$216</definedName>
    <definedName name="C_NetChgC_17">Model!$CY$216</definedName>
    <definedName name="C_NetChgC_18">Model!$DB$216</definedName>
    <definedName name="C_NetChgC_19">Model!$DE$216</definedName>
    <definedName name="C_NetChgC_20">Model!$DH$216</definedName>
    <definedName name="C_NetChgC_H1_00">Model!$AX$216</definedName>
    <definedName name="C_NetChgC_H1_01">Model!$BA$216</definedName>
    <definedName name="C_NetChgC_H1_02">Model!$BD$216</definedName>
    <definedName name="C_NetChgC_H1_03">Model!$BG$216</definedName>
    <definedName name="C_NetChgC_H1_04">Model!$BJ$216</definedName>
    <definedName name="C_NetChgC_H1_05">Model!$BM$216</definedName>
    <definedName name="C_NetChgC_H1_06">Model!$BP$216</definedName>
    <definedName name="C_NetChgC_H1_07">Model!$BS$216</definedName>
    <definedName name="C_NetChgC_H1_08">Model!$BV$216</definedName>
    <definedName name="C_NetChgC_H1_09">Model!$BY$216</definedName>
    <definedName name="C_NetChgC_H1_10">Model!$CB$216</definedName>
    <definedName name="C_NetChgC_H1_11">Model!$CE$216</definedName>
    <definedName name="C_NetChgC_H1_12">Model!$CH$216</definedName>
    <definedName name="C_NetChgC_H1_13">Model!$CK$216</definedName>
    <definedName name="C_NetChgC_H1_14">Model!$CN$216</definedName>
    <definedName name="C_NetChgC_H1_15">Model!$CQ$216</definedName>
    <definedName name="C_NetChgC_H1_16">Model!$CT$216</definedName>
    <definedName name="C_NetChgC_H1_17">Model!$CW$216</definedName>
    <definedName name="C_NetChgC_H1_18">Model!$CZ$216</definedName>
    <definedName name="C_NetChgC_H1_19">Model!$DC$216</definedName>
    <definedName name="C_NetChgC_H1_20">Model!$DF$216</definedName>
    <definedName name="C_NetChgC_H2_00">Model!$AY$216</definedName>
    <definedName name="C_NetChgC_H2_01">Model!$BB$216</definedName>
    <definedName name="C_NetChgC_H2_02">Model!$BE$216</definedName>
    <definedName name="C_NetChgC_H2_03">Model!$BH$216</definedName>
    <definedName name="C_NetChgC_H2_04">Model!$BK$216</definedName>
    <definedName name="C_NetChgC_H2_05">Model!$BN$216</definedName>
    <definedName name="C_NetChgC_H2_06">Model!$BQ$216</definedName>
    <definedName name="C_NetChgC_H2_07">Model!$BT$216</definedName>
    <definedName name="C_NetChgC_H2_08">Model!$BW$216</definedName>
    <definedName name="C_NetChgC_H2_09">Model!$BZ$216</definedName>
    <definedName name="C_NetChgC_H2_10">Model!$CC$216</definedName>
    <definedName name="C_NetChgC_H2_11">Model!$CF$216</definedName>
    <definedName name="C_NetChgC_H2_12">Model!$CI$216</definedName>
    <definedName name="C_NetChgC_H2_13">Model!$CL$216</definedName>
    <definedName name="C_NetChgC_H2_14">Model!$CO$216</definedName>
    <definedName name="C_NetChgC_H2_15">Model!$CR$216</definedName>
    <definedName name="C_NetChgC_H2_16">Model!$CU$216</definedName>
    <definedName name="C_NetChgC_H2_17">Model!$CX$216</definedName>
    <definedName name="C_NetChgC_H2_18">Model!$DA$216</definedName>
    <definedName name="C_NetChgC_H2_19">Model!$DD$216</definedName>
    <definedName name="C_NetChgC_H2_20">Model!$DG$216</definedName>
    <definedName name="C_OCF_00">Model!$AZ$188</definedName>
    <definedName name="C_OCF_01">Model!$BC$188</definedName>
    <definedName name="C_OCF_02">Model!$BF$188</definedName>
    <definedName name="C_OCF_03">Model!$BI$188</definedName>
    <definedName name="C_OCF_04">Model!$BL$188</definedName>
    <definedName name="C_OCF_05">Model!$BO$188</definedName>
    <definedName name="C_OCF_06">Model!$BR$188</definedName>
    <definedName name="C_OCF_07">Model!$BU$188</definedName>
    <definedName name="C_OCF_08">Model!$BX$188</definedName>
    <definedName name="C_OCF_09">Model!$CA$188</definedName>
    <definedName name="C_OCF_10">Model!$CD$188</definedName>
    <definedName name="C_OCF_11">Model!$CG$188</definedName>
    <definedName name="C_OCF_12">Model!$CJ$188</definedName>
    <definedName name="C_OCF_13">Model!$CM$188</definedName>
    <definedName name="C_OCF_14">Model!$CP$188</definedName>
    <definedName name="C_OCF_15">Model!$CS$188</definedName>
    <definedName name="C_OCF_16">Model!$CV$188</definedName>
    <definedName name="C_OCF_17">Model!$CY$188</definedName>
    <definedName name="C_OCF_18">Model!$DB$188</definedName>
    <definedName name="C_OCF_19">Model!$DE$188</definedName>
    <definedName name="C_OCF_20">Model!$DH$188</definedName>
    <definedName name="C_OCF_95">Model!$AK$188</definedName>
    <definedName name="C_OCF_96">Model!$AN$188</definedName>
    <definedName name="C_OCF_97">Model!$AQ$188</definedName>
    <definedName name="C_OCF_98">Model!$AT$188</definedName>
    <definedName name="C_OCF_99">Model!$AW$188</definedName>
    <definedName name="C_OF_00">Model!$AZ$213</definedName>
    <definedName name="C_OF_01">Model!$BC$213</definedName>
    <definedName name="C_OF_02">Model!$BF$213</definedName>
    <definedName name="C_OF_03">Model!$BI$213</definedName>
    <definedName name="C_OF_04">Model!$BL$213</definedName>
    <definedName name="C_OF_05">Model!$BO$213</definedName>
    <definedName name="C_OF_06">Model!$BR$213</definedName>
    <definedName name="C_OF_07">Model!$BU$213</definedName>
    <definedName name="C_OF_08">Model!$BX$213</definedName>
    <definedName name="C_OF_09">Model!$CA$213</definedName>
    <definedName name="C_OF_10">Model!$CD$213</definedName>
    <definedName name="C_OF_11">Model!$CG$213</definedName>
    <definedName name="C_OF_12">Model!$CJ$213</definedName>
    <definedName name="C_OF_13">Model!$CM$213</definedName>
    <definedName name="C_OF_14">Model!$CP$213</definedName>
    <definedName name="C_OF_15">Model!$CS$213</definedName>
    <definedName name="C_OF_16">Model!$CV$213</definedName>
    <definedName name="C_OF_17">Model!$CY$213</definedName>
    <definedName name="C_OF_18">Model!$DB$213</definedName>
    <definedName name="C_OF_19">Model!$DE$213</definedName>
    <definedName name="C_OF_20">Model!$DH$213</definedName>
    <definedName name="C_OF_95">Model!$AK$213</definedName>
    <definedName name="C_OF_96">Model!$AN$213</definedName>
    <definedName name="C_OF_97">Model!$AQ$213</definedName>
    <definedName name="C_OF_98">Model!$AT$213</definedName>
    <definedName name="C_OF_99">Model!$AW$213</definedName>
    <definedName name="C_OI_00">Model!$AZ$204</definedName>
    <definedName name="C_OI_01">Model!$BC$204</definedName>
    <definedName name="C_OI_02">Model!$BF$204</definedName>
    <definedName name="C_OI_03">Model!$BI$204</definedName>
    <definedName name="C_OI_04">Model!$BL$204</definedName>
    <definedName name="C_OI_05">Model!$BO$204</definedName>
    <definedName name="C_OI_06">Model!$BR$204</definedName>
    <definedName name="C_OI_07">Model!$BU$204</definedName>
    <definedName name="C_OI_08">Model!$BX$204</definedName>
    <definedName name="C_OI_09">Model!$CA$204</definedName>
    <definedName name="C_OI_10">Model!$CD$204</definedName>
    <definedName name="C_OI_11">Model!$CG$204</definedName>
    <definedName name="C_OI_12">Model!$CJ$204</definedName>
    <definedName name="C_OI_13">Model!$CM$204</definedName>
    <definedName name="C_OI_14">Model!$CP$204</definedName>
    <definedName name="C_OI_15">Model!$CS$204</definedName>
    <definedName name="C_OI_16">Model!$CV$204</definedName>
    <definedName name="C_OI_17">Model!$CY$204</definedName>
    <definedName name="C_OI_18">Model!$DB$204</definedName>
    <definedName name="C_OI_19">Model!$DE$204</definedName>
    <definedName name="C_OI_20">Model!$DH$204</definedName>
    <definedName name="C_OI_95">Model!$AK$204</definedName>
    <definedName name="C_OI_96">Model!$AN$204</definedName>
    <definedName name="C_OI_97">Model!$AQ$204</definedName>
    <definedName name="C_OI_98">Model!$AT$204</definedName>
    <definedName name="C_OI_99">Model!$AW$204</definedName>
    <definedName name="C_ONFI_00">Model!$AZ$187</definedName>
    <definedName name="C_ONFI_01">Model!$BC$187</definedName>
    <definedName name="C_ONFI_02">Model!$BF$187</definedName>
    <definedName name="C_ONFI_03">Model!$BI$187</definedName>
    <definedName name="C_ONFI_04">Model!$BL$187</definedName>
    <definedName name="C_ONFI_05">Model!$BO$187</definedName>
    <definedName name="C_ONFI_06">Model!$BR$187</definedName>
    <definedName name="C_ONFI_07">Model!$BU$187</definedName>
    <definedName name="C_ONFI_08">Model!$BX$187</definedName>
    <definedName name="C_ONFI_09">Model!$CA$187</definedName>
    <definedName name="C_ONFI_10">Model!$CD$187</definedName>
    <definedName name="C_ONFI_11">Model!$CG$187</definedName>
    <definedName name="C_ONFI_12">Model!$CJ$187</definedName>
    <definedName name="C_ONFI_13">Model!$CM$187</definedName>
    <definedName name="C_ONFI_14">Model!$CP$187</definedName>
    <definedName name="C_ONFI_15">Model!$CS$187</definedName>
    <definedName name="C_ONFI_16">Model!$CV$187</definedName>
    <definedName name="C_ONFI_17">Model!$CY$187</definedName>
    <definedName name="C_ONFI_18">Model!$DB$187</definedName>
    <definedName name="C_ONFI_19">Model!$DE$187</definedName>
    <definedName name="C_ONFI_20">Model!$DH$187</definedName>
    <definedName name="C_ONFI_95">Model!$AK$187</definedName>
    <definedName name="C_ONFI_96">Model!$AN$187</definedName>
    <definedName name="C_ONFI_97">Model!$AQ$187</definedName>
    <definedName name="C_ONFI_98">Model!$AT$187</definedName>
    <definedName name="C_ONFI_99">Model!$AW$187</definedName>
    <definedName name="C_OtherDivP_00">Model!$AZ$209</definedName>
    <definedName name="C_OtherDivP_01">Model!$BC$209</definedName>
    <definedName name="C_OtherDivP_02">Model!$BF$209</definedName>
    <definedName name="C_OtherDivP_03">Model!$BI$209</definedName>
    <definedName name="C_OtherDivP_04">Model!$BL$209</definedName>
    <definedName name="C_OtherDivP_05">Model!$BO$209</definedName>
    <definedName name="C_OtherDivP_06">Model!$BR$209</definedName>
    <definedName name="C_OtherDivP_07">Model!$BU$209</definedName>
    <definedName name="C_OtherDivP_08">Model!$BX$209</definedName>
    <definedName name="C_OtherDivP_09">Model!$CA$209</definedName>
    <definedName name="C_OtherDivP_10">Model!$CD$209</definedName>
    <definedName name="C_OtherDivP_11">Model!$CG$209</definedName>
    <definedName name="C_OtherDivP_12">Model!$CJ$209</definedName>
    <definedName name="C_OtherDivP_13">Model!$CM$209</definedName>
    <definedName name="C_OtherDivP_14">Model!$CP$209</definedName>
    <definedName name="C_OtherDivP_15">Model!$CS$209</definedName>
    <definedName name="C_OtherDivP_16">Model!$CV$209</definedName>
    <definedName name="C_OtherDivP_17">Model!$CY$209</definedName>
    <definedName name="C_OtherDivP_18">Model!$DB$209</definedName>
    <definedName name="C_OtherDivP_19">Model!$DE$209</definedName>
    <definedName name="C_OtherDivP_20">Model!$DH$209</definedName>
    <definedName name="C_OtherDivP_H1_00">Model!$AX$209</definedName>
    <definedName name="C_OtherDivP_H1_01">Model!$BA$209</definedName>
    <definedName name="C_OtherDivP_H1_02">Model!$BD$209</definedName>
    <definedName name="C_OtherDivP_H1_03">Model!$BG$209</definedName>
    <definedName name="C_OtherDivP_H1_04">Model!$BJ$209</definedName>
    <definedName name="C_OtherDivP_H1_05">Model!$BM$209</definedName>
    <definedName name="C_OtherDivP_H1_06">Model!$BP$209</definedName>
    <definedName name="C_OtherDivP_H1_07">Model!$BS$209</definedName>
    <definedName name="C_OtherDivP_H1_08">Model!$BV$209</definedName>
    <definedName name="C_OtherDivP_H1_09">Model!$BY$209</definedName>
    <definedName name="C_OtherDivP_H1_10">Model!$CB$209</definedName>
    <definedName name="C_OtherDivP_H1_11">Model!$CE$209</definedName>
    <definedName name="C_OtherDivP_H1_12">Model!$CH$209</definedName>
    <definedName name="C_OtherDivP_H1_13">Model!$CK$209</definedName>
    <definedName name="C_OtherDivP_H1_14">Model!$CN$209</definedName>
    <definedName name="C_OtherDivP_H1_15">Model!$CQ$209</definedName>
    <definedName name="C_OtherDivP_H1_16">Model!$CT$209</definedName>
    <definedName name="C_OtherDivP_H1_17">Model!$CW$209</definedName>
    <definedName name="C_OtherDivP_H1_18">Model!$CZ$209</definedName>
    <definedName name="C_OtherDivP_H1_19">Model!$DC$209</definedName>
    <definedName name="C_OtherDivP_H1_20">Model!$DF$209</definedName>
    <definedName name="C_OtherDivP_H2_00">Model!$AY$209</definedName>
    <definedName name="C_OtherDivP_H2_01">Model!$BB$209</definedName>
    <definedName name="C_OtherDivP_H2_02">Model!$BE$209</definedName>
    <definedName name="C_OtherDivP_H2_03">Model!$BH$209</definedName>
    <definedName name="C_OtherDivP_H2_04">Model!$BK$209</definedName>
    <definedName name="C_OtherDivP_H2_05">Model!$BN$209</definedName>
    <definedName name="C_OtherDivP_H2_06">Model!$BQ$209</definedName>
    <definedName name="C_OtherDivP_H2_07">Model!$BT$209</definedName>
    <definedName name="C_OtherDivP_H2_08">Model!$BW$209</definedName>
    <definedName name="C_OtherDivP_H2_09">Model!$BZ$209</definedName>
    <definedName name="C_OtherDivP_H2_10">Model!$CC$209</definedName>
    <definedName name="C_OtherDivP_H2_11">Model!$CF$209</definedName>
    <definedName name="C_OtherDivP_H2_12">Model!$CI$209</definedName>
    <definedName name="C_OtherDivP_H2_13">Model!$CL$209</definedName>
    <definedName name="C_OtherDivP_H2_14">Model!$CO$209</definedName>
    <definedName name="C_OtherDivP_H2_15">Model!$CR$209</definedName>
    <definedName name="C_OtherDivP_H2_16">Model!$CU$209</definedName>
    <definedName name="C_OtherDivP_H2_17">Model!$CX$209</definedName>
    <definedName name="C_OtherDivP_H2_18">Model!$DA$209</definedName>
    <definedName name="C_OtherDivP_H2_19">Model!$DD$209</definedName>
    <definedName name="C_OtherDivP_H2_20">Model!$DG$209</definedName>
    <definedName name="C_OtherF_00">Model!$AZ$213</definedName>
    <definedName name="C_OtherF_01">Model!$BC$213</definedName>
    <definedName name="C_OtherF_02">Model!$BF$213</definedName>
    <definedName name="C_OtherF_03">Model!$BI$213</definedName>
    <definedName name="C_OtherF_04">Model!$BL$213</definedName>
    <definedName name="C_OtherF_05">Model!$BO$213</definedName>
    <definedName name="C_OtherF_06">Model!$BR$213</definedName>
    <definedName name="C_OtherF_07">Model!$BU$213</definedName>
    <definedName name="C_OtherF_08">Model!$BX$213</definedName>
    <definedName name="C_OtherF_09">Model!$CA$213</definedName>
    <definedName name="C_OtherF_10">Model!$CD$213</definedName>
    <definedName name="C_OtherF_11">Model!$CG$213</definedName>
    <definedName name="C_OtherF_12">Model!$CJ$213</definedName>
    <definedName name="C_OtherF_13">Model!$CM$213</definedName>
    <definedName name="C_OtherF_14">Model!$CP$213</definedName>
    <definedName name="C_OtherF_15">Model!$CS$213</definedName>
    <definedName name="C_OtherF_16">Model!$CV$213</definedName>
    <definedName name="C_OtherF_17">Model!$CY$213</definedName>
    <definedName name="C_OtherF_18">Model!$DB$213</definedName>
    <definedName name="C_OtherF_19">Model!$DE$213</definedName>
    <definedName name="C_OtherF_20">Model!$DH$213</definedName>
    <definedName name="C_OtherF_H1_00">Model!$AX$213</definedName>
    <definedName name="C_OtherF_H1_01">Model!$BA$213</definedName>
    <definedName name="C_OtherF_H1_02">Model!$BD$213</definedName>
    <definedName name="C_OtherF_H1_03">Model!$BG$213</definedName>
    <definedName name="C_OtherF_H1_04">Model!$BJ$213</definedName>
    <definedName name="C_OtherF_H1_05">Model!$BM$213</definedName>
    <definedName name="C_OtherF_H1_06">Model!$BP$213</definedName>
    <definedName name="C_OtherF_H1_07">Model!$BS$213</definedName>
    <definedName name="C_OtherF_H1_08">Model!$BV$213</definedName>
    <definedName name="C_OtherF_H1_09">Model!$BY$213</definedName>
    <definedName name="C_OtherF_H1_10">Model!$CB$213</definedName>
    <definedName name="C_OtherF_H1_11">Model!$CE$213</definedName>
    <definedName name="C_OtherF_H1_12">Model!$CH$213</definedName>
    <definedName name="C_OtherF_H1_13">Model!$CK$213</definedName>
    <definedName name="C_OtherF_H1_14">Model!$CN$213</definedName>
    <definedName name="C_OtherF_H1_15">Model!$CQ$213</definedName>
    <definedName name="C_OtherF_H1_16">Model!$CT$213</definedName>
    <definedName name="C_OtherF_H1_17">Model!$CW$213</definedName>
    <definedName name="C_OtherF_H1_18">Model!$CZ$213</definedName>
    <definedName name="C_OtherF_H1_19">Model!$DC$213</definedName>
    <definedName name="C_OtherF_H1_20">Model!$DF$213</definedName>
    <definedName name="C_OtherF_H2_00">Model!$AY$213</definedName>
    <definedName name="C_OtherF_H2_01">Model!$BB$213</definedName>
    <definedName name="C_OtherF_H2_02">Model!$BE$213</definedName>
    <definedName name="C_OtherF_H2_03">Model!$BH$213</definedName>
    <definedName name="C_OtherF_H2_04">Model!$BK$213</definedName>
    <definedName name="C_OtherF_H2_05">Model!$BN$213</definedName>
    <definedName name="C_OtherF_H2_06">Model!$BQ$213</definedName>
    <definedName name="C_OtherF_H2_07">Model!$BT$213</definedName>
    <definedName name="C_OtherF_H2_08">Model!$BW$213</definedName>
    <definedName name="C_OtherF_H2_09">Model!$BZ$213</definedName>
    <definedName name="C_OtherF_H2_10">Model!$CC$213</definedName>
    <definedName name="C_OtherF_H2_11">Model!$CF$213</definedName>
    <definedName name="C_OtherF_H2_12">Model!$CI$213</definedName>
    <definedName name="C_OtherF_H2_13">Model!$CL$213</definedName>
    <definedName name="C_OtherF_H2_14">Model!$CO$213</definedName>
    <definedName name="C_OtherF_H2_15">Model!$CR$213</definedName>
    <definedName name="C_OtherF_H2_16">Model!$CU$213</definedName>
    <definedName name="C_OtherF_H2_17">Model!$CX$213</definedName>
    <definedName name="C_OtherF_H2_18">Model!$DA$213</definedName>
    <definedName name="C_OtherF_H2_19">Model!$DD$213</definedName>
    <definedName name="C_OtherF_H2_20">Model!$DG$213</definedName>
    <definedName name="C_OtherIn_00">Model!$AZ$204</definedName>
    <definedName name="C_OtherIn_01">Model!$BC$204</definedName>
    <definedName name="C_OtherIn_02">Model!$BF$204</definedName>
    <definedName name="C_OtherIn_03">Model!$BI$204</definedName>
    <definedName name="C_OtherIn_04">Model!$BL$204</definedName>
    <definedName name="C_OtherIn_05">Model!$BO$204</definedName>
    <definedName name="C_OtherIn_06">Model!$BR$204</definedName>
    <definedName name="C_OtherIn_07">Model!$BU$204</definedName>
    <definedName name="C_OtherIn_08">Model!$BX$204</definedName>
    <definedName name="C_OtherIn_09">Model!$CA$204</definedName>
    <definedName name="C_OtherIn_10">Model!$CD$204</definedName>
    <definedName name="C_OtherIn_11">Model!$CG$204</definedName>
    <definedName name="C_OtherIn_12">Model!$CJ$204</definedName>
    <definedName name="C_OtherIn_13">Model!$CM$204</definedName>
    <definedName name="C_OtherIn_14">Model!$CP$204</definedName>
    <definedName name="C_OtherIn_15">Model!$CS$204</definedName>
    <definedName name="C_OtherIn_16">Model!$CV$204</definedName>
    <definedName name="C_OtherIn_17">Model!$CY$204</definedName>
    <definedName name="C_OtherIn_18">Model!$DB$204</definedName>
    <definedName name="C_OtherIn_19">Model!$DE$204</definedName>
    <definedName name="C_OtherIn_20">Model!$DH$204</definedName>
    <definedName name="C_OtherIn_H1_00">Model!$AX$204</definedName>
    <definedName name="C_OtherIn_H1_01">Model!$BA$204</definedName>
    <definedName name="C_OtherIn_H1_02">Model!$BD$204</definedName>
    <definedName name="C_OtherIn_H1_03">Model!$BG$204</definedName>
    <definedName name="C_OtherIn_H1_04">Model!$BJ$204</definedName>
    <definedName name="C_OtherIn_H1_05">Model!$BM$204</definedName>
    <definedName name="C_OtherIn_H1_06">Model!$BP$204</definedName>
    <definedName name="C_OtherIn_H1_07">Model!$BS$204</definedName>
    <definedName name="C_OtherIn_H1_08">Model!$BV$204</definedName>
    <definedName name="C_OtherIn_H1_09">Model!$BY$204</definedName>
    <definedName name="C_OtherIn_H1_10">Model!$CB$204</definedName>
    <definedName name="C_OtherIn_H1_11">Model!$CE$204</definedName>
    <definedName name="C_OtherIn_H1_12">Model!$CH$204</definedName>
    <definedName name="C_OtherIn_H1_13">Model!$CK$204</definedName>
    <definedName name="C_OtherIn_H1_14">Model!$CN$204</definedName>
    <definedName name="C_OtherIn_H1_15">Model!$CQ$204</definedName>
    <definedName name="C_OtherIn_H1_16">Model!$CT$204</definedName>
    <definedName name="C_OtherIn_H1_17">Model!$CW$204</definedName>
    <definedName name="C_OtherIn_H1_18">Model!$CZ$204</definedName>
    <definedName name="C_OtherIn_H1_19">Model!$DC$204</definedName>
    <definedName name="C_OtherIn_H1_20">Model!$DF$204</definedName>
    <definedName name="C_OtherIn_H2_00">Model!$AY$204</definedName>
    <definedName name="C_OtherIn_H2_01">Model!$BB$204</definedName>
    <definedName name="C_OtherIn_H2_02">Model!$BE$204</definedName>
    <definedName name="C_OtherIn_H2_03">Model!$BH$204</definedName>
    <definedName name="C_OtherIn_H2_04">Model!$BK$204</definedName>
    <definedName name="C_OtherIn_H2_05">Model!$BN$204</definedName>
    <definedName name="C_OtherIn_H2_06">Model!$BQ$204</definedName>
    <definedName name="C_OtherIn_H2_07">Model!$BT$204</definedName>
    <definedName name="C_OtherIn_H2_08">Model!$BW$204</definedName>
    <definedName name="C_OtherIn_H2_09">Model!$BZ$204</definedName>
    <definedName name="C_OtherIn_H2_10">Model!$CC$204</definedName>
    <definedName name="C_OtherIn_H2_11">Model!$CF$204</definedName>
    <definedName name="C_OtherIn_H2_12">Model!$CI$204</definedName>
    <definedName name="C_OtherIn_H2_13">Model!$CL$204</definedName>
    <definedName name="C_OtherIn_H2_14">Model!$CO$204</definedName>
    <definedName name="C_OtherIn_H2_15">Model!$CR$204</definedName>
    <definedName name="C_OtherIn_H2_16">Model!$CU$204</definedName>
    <definedName name="C_OtherIn_H2_17">Model!$CX$204</definedName>
    <definedName name="C_OtherIn_H2_18">Model!$DA$204</definedName>
    <definedName name="C_OtherIn_H2_19">Model!$DD$204</definedName>
    <definedName name="C_OtherIn_H2_20">Model!$DG$204</definedName>
    <definedName name="C_OtherOp_00">Model!$AZ$187</definedName>
    <definedName name="C_OtherOp_01">Model!$BC$187</definedName>
    <definedName name="C_OtherOp_02">Model!$BF$187</definedName>
    <definedName name="C_OtherOp_03">Model!$BI$187</definedName>
    <definedName name="C_OtherOp_04">Model!$BL$187</definedName>
    <definedName name="C_OtherOp_05">Model!$BO$187</definedName>
    <definedName name="C_OtherOp_06">Model!$BR$187</definedName>
    <definedName name="C_OtherOp_07">Model!$BU$187</definedName>
    <definedName name="C_OtherOp_08">Model!$BX$187</definedName>
    <definedName name="C_OtherOp_09">Model!$CA$187</definedName>
    <definedName name="C_OtherOp_10">Model!$CD$187</definedName>
    <definedName name="C_OtherOp_11">Model!$CG$187</definedName>
    <definedName name="C_OtherOp_12">Model!$CJ$187</definedName>
    <definedName name="C_OtherOp_13">Model!$CM$187</definedName>
    <definedName name="C_OtherOp_14">Model!$CP$187</definedName>
    <definedName name="C_OtherOp_15">Model!$CS$187</definedName>
    <definedName name="C_OtherOp_16">Model!$CV$187</definedName>
    <definedName name="C_OtherOp_17">Model!$CY$187</definedName>
    <definedName name="C_OtherOp_18">Model!$DB$187</definedName>
    <definedName name="C_OtherOp_19">Model!$DE$187</definedName>
    <definedName name="C_OtherOp_20">Model!$DH$187</definedName>
    <definedName name="C_OtherOp_H1_00">Model!$AX$187</definedName>
    <definedName name="C_OtherOp_H1_01">Model!$BA$187</definedName>
    <definedName name="C_OtherOp_H1_02">Model!$BD$187</definedName>
    <definedName name="C_OtherOp_H1_03">Model!$BG$187</definedName>
    <definedName name="C_OtherOp_H1_04">Model!$BJ$187</definedName>
    <definedName name="C_OtherOp_H1_05">Model!$BM$187</definedName>
    <definedName name="C_OtherOp_H1_06">Model!$BP$187</definedName>
    <definedName name="C_OtherOp_H1_07">Model!$BS$187</definedName>
    <definedName name="C_OtherOp_H1_08">Model!$BV$187</definedName>
    <definedName name="C_OtherOp_H1_09">Model!$BY$187</definedName>
    <definedName name="C_OtherOp_H1_10">Model!$CB$187</definedName>
    <definedName name="C_OtherOp_H1_11">Model!$CE$187</definedName>
    <definedName name="C_OtherOp_H1_12">Model!$CH$187</definedName>
    <definedName name="C_OtherOp_H1_13">Model!$CK$187</definedName>
    <definedName name="C_OtherOp_H1_14">Model!$CN$187</definedName>
    <definedName name="C_OtherOp_H1_15">Model!$CQ$187</definedName>
    <definedName name="C_OtherOp_H1_16">Model!$CT$187</definedName>
    <definedName name="C_OtherOp_H1_17">Model!$CW$187</definedName>
    <definedName name="C_OtherOp_H1_18">Model!$CZ$187</definedName>
    <definedName name="C_OtherOp_H1_19">Model!$DC$187</definedName>
    <definedName name="C_OtherOp_H1_20">Model!$DF$187</definedName>
    <definedName name="C_OtherOp_H2_00">Model!$AY$187</definedName>
    <definedName name="C_OtherOp_H2_01">Model!$BB$187</definedName>
    <definedName name="C_OtherOp_H2_02">Model!$BE$187</definedName>
    <definedName name="C_OtherOp_H2_03">Model!$BH$187</definedName>
    <definedName name="C_OtherOp_H2_04">Model!$BK$187</definedName>
    <definedName name="C_OtherOp_H2_05">Model!$BN$187</definedName>
    <definedName name="C_OtherOp_H2_06">Model!$BQ$187</definedName>
    <definedName name="C_OtherOp_H2_07">Model!$BT$187</definedName>
    <definedName name="C_OtherOp_H2_08">Model!$BW$187</definedName>
    <definedName name="C_OtherOp_H2_09">Model!$BZ$187</definedName>
    <definedName name="C_OtherOp_H2_10">Model!$CC$187</definedName>
    <definedName name="C_OtherOp_H2_11">Model!$CF$187</definedName>
    <definedName name="C_OtherOp_H2_12">Model!$CI$187</definedName>
    <definedName name="C_OtherOp_H2_13">Model!$CL$187</definedName>
    <definedName name="C_OtherOp_H2_14">Model!$CO$187</definedName>
    <definedName name="C_OtherOp_H2_15">Model!$CR$187</definedName>
    <definedName name="C_OtherOp_H2_16">Model!$CU$187</definedName>
    <definedName name="C_OtherOp_H2_17">Model!$CX$187</definedName>
    <definedName name="C_OtherOp_H2_18">Model!$DA$187</definedName>
    <definedName name="C_OtherOp_H2_19">Model!$DD$187</definedName>
    <definedName name="C_OtherOp_H2_20">Model!$DG$187</definedName>
    <definedName name="C_PrefDivP_00">Model!$AZ$507</definedName>
    <definedName name="C_PrefDivP_01">Model!$BC$507</definedName>
    <definedName name="C_PrefDivP_02">Model!$BF$507</definedName>
    <definedName name="C_PrefDivP_03">Model!$BI$507</definedName>
    <definedName name="C_PrefDivP_04">Model!$BL$507</definedName>
    <definedName name="C_PrefDivP_05">Model!$BO$507</definedName>
    <definedName name="C_PrefDivP_06">Model!$BR$507</definedName>
    <definedName name="C_PrefDivP_07">Model!$BU$507</definedName>
    <definedName name="C_PrefDivP_08">Model!$BX$507</definedName>
    <definedName name="C_PrefDivP_09">Model!$CA$507</definedName>
    <definedName name="C_PrefDivP_10">Model!$CD$507</definedName>
    <definedName name="C_PrefDivP_11">Model!$CG$507</definedName>
    <definedName name="C_PrefDivP_12">Model!$CJ$507</definedName>
    <definedName name="C_PrefDivP_13">Model!$CM$507</definedName>
    <definedName name="C_PrefDivP_14">Model!$CP$507</definedName>
    <definedName name="C_PrefDivP_15">Model!$CS$507</definedName>
    <definedName name="C_PrefDivP_16">Model!$CV$507</definedName>
    <definedName name="C_PrefDivP_17">Model!$CY$507</definedName>
    <definedName name="C_PrefDivP_18">Model!$DB$507</definedName>
    <definedName name="C_PrefDivP_19">Model!$DE$507</definedName>
    <definedName name="C_PrefDivP_20">Model!$DH$507</definedName>
    <definedName name="C_PrefDivP_H1_00">Model!$AX$507</definedName>
    <definedName name="C_PrefDivP_H1_01">Model!$BA$507</definedName>
    <definedName name="C_PrefDivP_H1_02">Model!$BD$507</definedName>
    <definedName name="C_PrefDivP_H1_03">Model!$BG$507</definedName>
    <definedName name="C_PrefDivP_H1_04">Model!$BJ$507</definedName>
    <definedName name="C_PrefDivP_H1_05">Model!$BM$507</definedName>
    <definedName name="C_PrefDivP_H1_06">Model!$BP$507</definedName>
    <definedName name="C_PrefDivP_H1_07">Model!$BS$507</definedName>
    <definedName name="C_PrefDivP_H1_08">Model!$BV$507</definedName>
    <definedName name="C_PrefDivP_H1_09">Model!$BY$507</definedName>
    <definedName name="C_PrefDivP_H1_10">Model!$CB$507</definedName>
    <definedName name="C_PrefDivP_H1_11">Model!$CE$507</definedName>
    <definedName name="C_PrefDivP_H1_12">Model!$CH$507</definedName>
    <definedName name="C_PrefDivP_H1_13">Model!$CK$507</definedName>
    <definedName name="C_PrefDivP_H1_14">Model!$CN$507</definedName>
    <definedName name="C_PrefDivP_H1_15">Model!$CQ$507</definedName>
    <definedName name="C_PrefDivP_H1_16">Model!$CT$507</definedName>
    <definedName name="C_PrefDivP_H1_17">Model!$CW$507</definedName>
    <definedName name="C_PrefDivP_H1_18">Model!$CZ$507</definedName>
    <definedName name="C_PrefDivP_H1_19">Model!$DC$507</definedName>
    <definedName name="C_PrefDivP_H1_20">Model!$DF$507</definedName>
    <definedName name="C_PrefDivP_H2_00">Model!$AY$507</definedName>
    <definedName name="C_PrefDivP_H2_01">Model!$BB$507</definedName>
    <definedName name="C_PrefDivP_H2_02">Model!$BE$507</definedName>
    <definedName name="C_PrefDivP_H2_03">Model!$BH$507</definedName>
    <definedName name="C_PrefDivP_H2_04">Model!$BK$507</definedName>
    <definedName name="C_PrefDivP_H2_05">Model!$BN$507</definedName>
    <definedName name="C_PrefDivP_H2_06">Model!$BQ$507</definedName>
    <definedName name="C_PrefDivP_H2_07">Model!$BT$507</definedName>
    <definedName name="C_PrefDivP_H2_08">Model!$BW$507</definedName>
    <definedName name="C_PrefDivP_H2_09">Model!$BZ$507</definedName>
    <definedName name="C_PrefDivP_H2_10">Model!$CC$507</definedName>
    <definedName name="C_PrefDivP_H2_11">Model!$CF$507</definedName>
    <definedName name="C_PrefDivP_H2_12">Model!$CI$507</definedName>
    <definedName name="C_PrefDivP_H2_13">Model!$CL$507</definedName>
    <definedName name="C_PrefDivP_H2_14">Model!$CO$507</definedName>
    <definedName name="C_PrefDivP_H2_15">Model!$CR$507</definedName>
    <definedName name="C_PrefDivP_H2_16">Model!$CU$507</definedName>
    <definedName name="C_PrefDivP_H2_17">Model!$CX$507</definedName>
    <definedName name="C_PrefDivP_H2_18">Model!$DA$507</definedName>
    <definedName name="C_PrefDivP_H2_19">Model!$DD$507</definedName>
    <definedName name="C_PrefDivP_H2_20">Model!$DG$507</definedName>
    <definedName name="C_ProcBorr_00">Model!$AZ$210</definedName>
    <definedName name="C_ProcBorr_01">Model!$BC$210</definedName>
    <definedName name="C_ProcBorr_02">Model!$BF$210</definedName>
    <definedName name="C_ProcBorr_03">Model!$BI$210</definedName>
    <definedName name="C_ProcBorr_04">Model!$BL$210</definedName>
    <definedName name="C_ProcBorr_05">Model!$BO$210</definedName>
    <definedName name="C_ProcBorr_06">Model!$BR$210</definedName>
    <definedName name="C_ProcBorr_07">Model!$BU$210</definedName>
    <definedName name="C_ProcBorr_08">Model!$BX$210</definedName>
    <definedName name="C_ProcBorr_09">Model!$CA$210</definedName>
    <definedName name="C_ProcBorr_10">Model!$CD$210</definedName>
    <definedName name="C_ProcBorr_11">Model!$CG$210</definedName>
    <definedName name="C_ProcBorr_12">Model!$CJ$210</definedName>
    <definedName name="C_ProcBorr_13">Model!$CM$210</definedName>
    <definedName name="C_ProcBorr_14">Model!$CP$210</definedName>
    <definedName name="C_ProcBorr_15">Model!$CS$210</definedName>
    <definedName name="C_ProcBorr_16">Model!$CV$210</definedName>
    <definedName name="C_ProcBorr_17">Model!$CY$210</definedName>
    <definedName name="C_ProcBorr_18">Model!$DB$210</definedName>
    <definedName name="C_ProcBorr_19">Model!$DE$210</definedName>
    <definedName name="C_ProcBorr_20">Model!$DH$210</definedName>
    <definedName name="C_ProcBorr_H1_00">Model!$AX$210</definedName>
    <definedName name="C_ProcBorr_H1_01">Model!$BA$210</definedName>
    <definedName name="C_ProcBorr_H1_02">Model!$BD$210</definedName>
    <definedName name="C_ProcBorr_H1_03">Model!$BG$210</definedName>
    <definedName name="C_ProcBorr_H1_04">Model!$BJ$210</definedName>
    <definedName name="C_ProcBorr_H1_05">Model!$BM$210</definedName>
    <definedName name="C_ProcBorr_H1_06">Model!$BP$210</definedName>
    <definedName name="C_ProcBorr_H1_07">Model!$BS$210</definedName>
    <definedName name="C_ProcBorr_H1_08">Model!$BV$210</definedName>
    <definedName name="C_ProcBorr_H1_09">Model!$BY$210</definedName>
    <definedName name="C_ProcBorr_H1_10">Model!$CB$210</definedName>
    <definedName name="C_ProcBorr_H1_11">Model!$CE$210</definedName>
    <definedName name="C_ProcBorr_H1_12">Model!$CH$210</definedName>
    <definedName name="C_ProcBorr_H1_13">Model!$CK$210</definedName>
    <definedName name="C_ProcBorr_H1_14">Model!$CN$210</definedName>
    <definedName name="C_ProcBorr_H1_15">Model!$CQ$210</definedName>
    <definedName name="C_ProcBorr_H1_16">Model!$CT$210</definedName>
    <definedName name="C_ProcBorr_H1_17">Model!$CW$210</definedName>
    <definedName name="C_ProcBorr_H1_18">Model!$CZ$210</definedName>
    <definedName name="C_ProcBorr_H1_19">Model!$DC$210</definedName>
    <definedName name="C_ProcBorr_H1_20">Model!$DF$210</definedName>
    <definedName name="C_ProcBorr_H2_00">Model!$AY$210</definedName>
    <definedName name="C_ProcBorr_H2_01">Model!$BB$210</definedName>
    <definedName name="C_ProcBorr_H2_02">Model!$BE$210</definedName>
    <definedName name="C_ProcBorr_H2_03">Model!$BH$210</definedName>
    <definedName name="C_ProcBorr_H2_04">Model!$BK$210</definedName>
    <definedName name="C_ProcBorr_H2_05">Model!$BN$210</definedName>
    <definedName name="C_ProcBorr_H2_06">Model!$BQ$210</definedName>
    <definedName name="C_ProcBorr_H2_07">Model!$BT$210</definedName>
    <definedName name="C_ProcBorr_H2_08">Model!$BW$210</definedName>
    <definedName name="C_ProcBorr_H2_09">Model!$BZ$210</definedName>
    <definedName name="C_ProcBorr_H2_10">Model!$CC$210</definedName>
    <definedName name="C_ProcBorr_H2_11">Model!$CF$210</definedName>
    <definedName name="C_ProcBorr_H2_12">Model!$CI$210</definedName>
    <definedName name="C_ProcBorr_H2_13">Model!$CL$210</definedName>
    <definedName name="C_ProcBorr_H2_14">Model!$CO$210</definedName>
    <definedName name="C_ProcBorr_H2_15">Model!$CR$210</definedName>
    <definedName name="C_ProcBorr_H2_16">Model!$CU$210</definedName>
    <definedName name="C_ProcBorr_H2_17">Model!$CX$210</definedName>
    <definedName name="C_ProcBorr_H2_18">Model!$DA$210</definedName>
    <definedName name="C_ProcBorr_H2_19">Model!$DD$210</definedName>
    <definedName name="C_ProcBorr_H2_20">Model!$DG$210</definedName>
    <definedName name="C_Prov_00">Model!$AZ$186</definedName>
    <definedName name="C_Prov_01">Model!$BC$186</definedName>
    <definedName name="C_Prov_02">Model!$BF$186</definedName>
    <definedName name="C_Prov_03">Model!$BI$186</definedName>
    <definedName name="C_Prov_04">Model!$BL$186</definedName>
    <definedName name="C_Prov_05">Model!$BO$186</definedName>
    <definedName name="C_Prov_06">Model!$BR$186</definedName>
    <definedName name="C_Prov_07">Model!$BU$186</definedName>
    <definedName name="C_Prov_08">Model!$BX$186</definedName>
    <definedName name="C_Prov_09">Model!$CA$186</definedName>
    <definedName name="C_Prov_10">Model!$CD$186</definedName>
    <definedName name="C_Prov_11">Model!$CG$186</definedName>
    <definedName name="C_Prov_12">Model!$CJ$186</definedName>
    <definedName name="C_Prov_13">Model!$CM$186</definedName>
    <definedName name="C_Prov_14">Model!$CP$186</definedName>
    <definedName name="C_Prov_15">Model!$CS$186</definedName>
    <definedName name="C_Prov_16">Model!$CV$186</definedName>
    <definedName name="C_Prov_17">Model!$CY$186</definedName>
    <definedName name="C_Prov_18">Model!$DB$186</definedName>
    <definedName name="C_Prov_19">Model!$DE$186</definedName>
    <definedName name="C_Prov_20">Model!$DH$186</definedName>
    <definedName name="C_Prov_H1_00">Model!$AX$186</definedName>
    <definedName name="C_Prov_H1_01">Model!$BA$186</definedName>
    <definedName name="C_Prov_H1_02">Model!$BD$186</definedName>
    <definedName name="C_Prov_H1_03">Model!$BG$186</definedName>
    <definedName name="C_Prov_H1_04">Model!$BJ$186</definedName>
    <definedName name="C_Prov_H1_05">Model!$BM$186</definedName>
    <definedName name="C_Prov_H1_06">Model!$BP$186</definedName>
    <definedName name="C_Prov_H1_07">Model!$BS$186</definedName>
    <definedName name="C_Prov_H1_08">Model!$BV$186</definedName>
    <definedName name="C_Prov_H1_09">Model!$BY$186</definedName>
    <definedName name="C_Prov_H1_10">Model!$CB$186</definedName>
    <definedName name="C_Prov_H1_11">Model!$CE$186</definedName>
    <definedName name="C_Prov_H1_12">Model!$CH$186</definedName>
    <definedName name="C_Prov_H1_13">Model!$CK$186</definedName>
    <definedName name="C_Prov_H1_14">Model!$CN$186</definedName>
    <definedName name="C_Prov_H1_15">Model!$CQ$186</definedName>
    <definedName name="C_Prov_H1_16">Model!$CT$186</definedName>
    <definedName name="C_Prov_H1_17">Model!$CW$186</definedName>
    <definedName name="C_Prov_H1_18">Model!$CZ$186</definedName>
    <definedName name="C_Prov_H1_19">Model!$DC$186</definedName>
    <definedName name="C_Prov_H1_20">Model!$DF$186</definedName>
    <definedName name="C_Prov_H2_00">Model!$AY$186</definedName>
    <definedName name="C_Prov_H2_01">Model!$BB$186</definedName>
    <definedName name="C_Prov_H2_02">Model!$BE$186</definedName>
    <definedName name="C_Prov_H2_03">Model!$BH$186</definedName>
    <definedName name="C_Prov_H2_04">Model!$BK$186</definedName>
    <definedName name="C_Prov_H2_05">Model!$BN$186</definedName>
    <definedName name="C_Prov_H2_06">Model!$BQ$186</definedName>
    <definedName name="C_Prov_H2_07">Model!$BT$186</definedName>
    <definedName name="C_Prov_H2_08">Model!$BW$186</definedName>
    <definedName name="C_Prov_H2_09">Model!$BZ$186</definedName>
    <definedName name="C_Prov_H2_10">Model!$CC$186</definedName>
    <definedName name="C_Prov_H2_11">Model!$CF$186</definedName>
    <definedName name="C_Prov_H2_12">Model!$CI$186</definedName>
    <definedName name="C_Prov_H2_13">Model!$CL$186</definedName>
    <definedName name="C_Prov_H2_14">Model!$CO$186</definedName>
    <definedName name="C_Prov_H2_15">Model!$CR$186</definedName>
    <definedName name="C_Prov_H2_16">Model!$CU$186</definedName>
    <definedName name="C_Prov_H2_17">Model!$CX$186</definedName>
    <definedName name="C_Prov_H2_18">Model!$DA$186</definedName>
    <definedName name="C_Prov_H2_19">Model!$DD$186</definedName>
    <definedName name="C_Prov_H2_20">Model!$DG$186</definedName>
    <definedName name="C_PurEI_00">Model!$AZ$193</definedName>
    <definedName name="C_PurEI_01">Model!$BC$193</definedName>
    <definedName name="C_PurEI_02">Model!$BF$193</definedName>
    <definedName name="C_PurEI_03">Model!$BI$193</definedName>
    <definedName name="C_PurEI_04">Model!$BL$193</definedName>
    <definedName name="C_PurEI_05">Model!$BO$193</definedName>
    <definedName name="C_PurEI_06">Model!$BR$193</definedName>
    <definedName name="C_PurEI_07">Model!$BU$193</definedName>
    <definedName name="C_PurEI_08">Model!$BX$193</definedName>
    <definedName name="C_PurEI_09">Model!$CA$193</definedName>
    <definedName name="C_PurEI_10">Model!$CD$193</definedName>
    <definedName name="C_PurEI_11">Model!$CG$193</definedName>
    <definedName name="C_PurEI_12">Model!$CJ$193</definedName>
    <definedName name="C_PurEI_13">Model!$CM$193</definedName>
    <definedName name="C_PurEI_14">Model!$CP$193</definedName>
    <definedName name="C_PurEI_15">Model!$CS$193</definedName>
    <definedName name="C_PurEI_16">Model!$CV$193</definedName>
    <definedName name="C_PurEI_17">Model!$CY$193</definedName>
    <definedName name="C_PurEI_18">Model!$DB$193</definedName>
    <definedName name="C_PurEI_19">Model!$DE$193</definedName>
    <definedName name="C_PurEI_20">Model!$DH$193</definedName>
    <definedName name="C_PurEI_H1_00">Model!$AX$193</definedName>
    <definedName name="C_PurEI_H1_01">Model!$BA$193</definedName>
    <definedName name="C_PurEI_H1_02">Model!$BD$193</definedName>
    <definedName name="C_PurEI_H1_03">Model!$BG$193</definedName>
    <definedName name="C_PurEI_H1_04">Model!$BJ$193</definedName>
    <definedName name="C_PurEI_H1_05">Model!$BM$193</definedName>
    <definedName name="C_PurEI_H1_06">Model!$BP$193</definedName>
    <definedName name="C_PurEI_H1_07">Model!$BS$193</definedName>
    <definedName name="C_PurEI_H1_08">Model!$BV$193</definedName>
    <definedName name="C_PurEI_H1_09">Model!$BY$193</definedName>
    <definedName name="C_PurEI_H1_10">Model!$CB$193</definedName>
    <definedName name="C_PurEI_H1_11">Model!$CE$193</definedName>
    <definedName name="C_PurEI_H1_12">Model!$CH$193</definedName>
    <definedName name="C_PurEI_H1_13">Model!$CK$193</definedName>
    <definedName name="C_PurEI_H1_14">Model!$CN$193</definedName>
    <definedName name="C_PurEI_H1_15">Model!$CQ$193</definedName>
    <definedName name="C_PurEI_H1_16">Model!$CT$193</definedName>
    <definedName name="C_PurEI_H1_17">Model!$CW$193</definedName>
    <definedName name="C_PurEI_H1_18">Model!$CZ$193</definedName>
    <definedName name="C_PurEI_H1_19">Model!$DC$193</definedName>
    <definedName name="C_PurEI_H1_20">Model!$DF$193</definedName>
    <definedName name="C_PurEI_H2_00">Model!$AY$193</definedName>
    <definedName name="C_PurEI_H2_01">Model!$BB$193</definedName>
    <definedName name="C_PurEI_H2_02">Model!$BE$193</definedName>
    <definedName name="C_PurEI_H2_03">Model!$BH$193</definedName>
    <definedName name="C_PurEI_H2_04">Model!$BK$193</definedName>
    <definedName name="C_PurEI_H2_05">Model!$BN$193</definedName>
    <definedName name="C_PurEI_H2_06">Model!$BQ$193</definedName>
    <definedName name="C_PurEI_H2_07">Model!$BT$193</definedName>
    <definedName name="C_PurEI_H2_08">Model!$BW$193</definedName>
    <definedName name="C_PurEI_H2_09">Model!$BZ$193</definedName>
    <definedName name="C_PurEI_H2_10">Model!$CC$193</definedName>
    <definedName name="C_PurEI_H2_11">Model!$CF$193</definedName>
    <definedName name="C_PurEI_H2_12">Model!$CI$193</definedName>
    <definedName name="C_PurEI_H2_13">Model!$CL$193</definedName>
    <definedName name="C_PurEI_H2_14">Model!$CO$193</definedName>
    <definedName name="C_PurEI_H2_15">Model!$CR$193</definedName>
    <definedName name="C_PurEI_H2_16">Model!$CU$193</definedName>
    <definedName name="C_PurEI_H2_17">Model!$CX$193</definedName>
    <definedName name="C_PurEI_H2_18">Model!$DA$193</definedName>
    <definedName name="C_PurEI_H2_19">Model!$DD$193</definedName>
    <definedName name="C_PurEI_H2_20">Model!$DG$193</definedName>
    <definedName name="C_PurPPE_00">Model!$AZ$189</definedName>
    <definedName name="C_PurPPE_01">Model!$BC$189</definedName>
    <definedName name="C_PurPPE_02">Model!$BF$189</definedName>
    <definedName name="C_PurPPE_03">Model!$BI$189</definedName>
    <definedName name="C_PurPPE_04">Model!$BL$189</definedName>
    <definedName name="C_PurPPE_05">Model!$BO$189</definedName>
    <definedName name="C_PurPPE_06">Model!$BR$189</definedName>
    <definedName name="C_PurPPE_07">Model!$BU$189</definedName>
    <definedName name="C_PurPPE_08">Model!$BX$189</definedName>
    <definedName name="C_PurPPE_09">Model!$CA$189</definedName>
    <definedName name="C_PurPPE_10">Model!$CD$189</definedName>
    <definedName name="C_PurPPE_11">Model!$CG$189</definedName>
    <definedName name="C_PurPPE_12">Model!$CJ$189</definedName>
    <definedName name="C_PurPPE_13">Model!$CM$189</definedName>
    <definedName name="C_PurPPE_14">Model!$CP$189</definedName>
    <definedName name="C_PurPPE_15">Model!$CS$189</definedName>
    <definedName name="C_PurPPE_16">Model!$CV$189</definedName>
    <definedName name="C_PurPPE_17">Model!$CY$189</definedName>
    <definedName name="C_PurPPE_18">Model!$DB$189</definedName>
    <definedName name="C_PurPPE_19">Model!$DE$189</definedName>
    <definedName name="C_PurPPE_20">Model!$DH$189</definedName>
    <definedName name="C_PurPPE_H1_00">Model!$AX$189</definedName>
    <definedName name="C_PurPPE_H1_01">Model!$BA$189</definedName>
    <definedName name="C_PurPPE_H1_02">Model!$BD$189</definedName>
    <definedName name="C_PurPPE_H1_03">Model!$BG$189</definedName>
    <definedName name="C_PurPPE_H1_04">Model!$BJ$189</definedName>
    <definedName name="C_PurPPE_H1_05">Model!$BM$189</definedName>
    <definedName name="C_PurPPE_H1_06">Model!$BP$189</definedName>
    <definedName name="C_PurPPE_H1_07">Model!$BS$189</definedName>
    <definedName name="C_PurPPE_H1_08">Model!$BV$189</definedName>
    <definedName name="C_PurPPE_H1_09">Model!$BY$189</definedName>
    <definedName name="C_PurPPE_H1_10">Model!$CB$189</definedName>
    <definedName name="C_PurPPE_H1_11">Model!$CE$189</definedName>
    <definedName name="C_PurPPE_H1_12">Model!$CH$189</definedName>
    <definedName name="C_PurPPE_H1_13">Model!$CK$189</definedName>
    <definedName name="C_PurPPE_H1_14">Model!$CN$189</definedName>
    <definedName name="C_PurPPE_H1_15">Model!$CQ$189</definedName>
    <definedName name="C_PurPPE_H1_16">Model!$CT$189</definedName>
    <definedName name="C_PurPPE_H1_17">Model!$CW$189</definedName>
    <definedName name="C_PurPPE_H1_18">Model!$CZ$189</definedName>
    <definedName name="C_PurPPE_H1_19">Model!$DC$189</definedName>
    <definedName name="C_PurPPE_H1_20">Model!$DF$189</definedName>
    <definedName name="C_PurPPE_H2_00">Model!$AY$189</definedName>
    <definedName name="C_PurPPE_H2_01">Model!$BB$189</definedName>
    <definedName name="C_PurPPE_H2_02">Model!$BE$189</definedName>
    <definedName name="C_PurPPE_H2_03">Model!$BH$189</definedName>
    <definedName name="C_PurPPE_H2_04">Model!$BK$189</definedName>
    <definedName name="C_PurPPE_H2_05">Model!$BN$189</definedName>
    <definedName name="C_PurPPE_H2_06">Model!$BQ$189</definedName>
    <definedName name="C_PurPPE_H2_07">Model!$BT$189</definedName>
    <definedName name="C_PurPPE_H2_08">Model!$BW$189</definedName>
    <definedName name="C_PurPPE_H2_09">Model!$BZ$189</definedName>
    <definedName name="C_PurPPE_H2_10">Model!$CC$189</definedName>
    <definedName name="C_PurPPE_H2_11">Model!$CF$189</definedName>
    <definedName name="C_PurPPE_H2_12">Model!$CI$189</definedName>
    <definedName name="C_PurPPE_H2_13">Model!$CL$189</definedName>
    <definedName name="C_PurPPE_H2_14">Model!$CO$189</definedName>
    <definedName name="C_PurPPE_H2_15">Model!$CR$189</definedName>
    <definedName name="C_PurPPE_H2_16">Model!$CU$189</definedName>
    <definedName name="C_PurPPE_H2_17">Model!$CX$189</definedName>
    <definedName name="C_PurPPE_H2_18">Model!$DA$189</definedName>
    <definedName name="C_PurPPE_H2_19">Model!$DD$189</definedName>
    <definedName name="C_PurPPE_H2_20">Model!$DG$189</definedName>
    <definedName name="C_Rborr_00">Model!$AZ$211</definedName>
    <definedName name="C_Rborr_01">Model!$BC$211</definedName>
    <definedName name="C_Rborr_02">Model!$BF$211</definedName>
    <definedName name="C_Rborr_03">Model!$BI$211</definedName>
    <definedName name="C_Rborr_04">Model!$BL$211</definedName>
    <definedName name="C_Rborr_05">Model!$BO$211</definedName>
    <definedName name="C_Rborr_06">Model!$BR$211</definedName>
    <definedName name="C_Rborr_07">Model!$BU$211</definedName>
    <definedName name="C_Rborr_08">Model!$BX$211</definedName>
    <definedName name="C_Rborr_09">Model!$CA$211</definedName>
    <definedName name="C_Rborr_10">Model!$CD$211</definedName>
    <definedName name="C_Rborr_11">Model!$CG$211</definedName>
    <definedName name="C_Rborr_12">Model!$CJ$211</definedName>
    <definedName name="C_Rborr_13">Model!$CM$211</definedName>
    <definedName name="C_Rborr_14">Model!$CP$211</definedName>
    <definedName name="C_Rborr_15">Model!$CS$211</definedName>
    <definedName name="C_Rborr_16">Model!$CV$211</definedName>
    <definedName name="C_Rborr_17">Model!$CY$211</definedName>
    <definedName name="C_Rborr_18">Model!$DB$211</definedName>
    <definedName name="C_Rborr_19">Model!$DE$211</definedName>
    <definedName name="C_Rborr_20">Model!$DH$211</definedName>
    <definedName name="C_Rborr_H1_00">Model!$AX$211</definedName>
    <definedName name="C_Rborr_H1_01">Model!$BA$211</definedName>
    <definedName name="C_Rborr_H1_02">Model!$BD$211</definedName>
    <definedName name="C_Rborr_H1_03">Model!$BG$211</definedName>
    <definedName name="C_Rborr_H1_04">Model!$BJ$211</definedName>
    <definedName name="C_Rborr_H1_05">Model!$BM$211</definedName>
    <definedName name="C_Rborr_H1_06">Model!$BP$211</definedName>
    <definedName name="C_Rborr_H1_07">Model!$BS$211</definedName>
    <definedName name="C_Rborr_H1_08">Model!$BV$211</definedName>
    <definedName name="C_Rborr_H1_09">Model!$BY$211</definedName>
    <definedName name="C_Rborr_H1_10">Model!$CB$211</definedName>
    <definedName name="C_Rborr_H1_11">Model!$CE$211</definedName>
    <definedName name="C_Rborr_H1_12">Model!$CH$211</definedName>
    <definedName name="C_Rborr_H1_13">Model!$CK$211</definedName>
    <definedName name="C_Rborr_H1_14">Model!$CN$211</definedName>
    <definedName name="C_Rborr_H1_15">Model!$CQ$211</definedName>
    <definedName name="C_Rborr_H1_16">Model!$CT$211</definedName>
    <definedName name="C_Rborr_H1_17">Model!$CW$211</definedName>
    <definedName name="C_Rborr_H1_18">Model!$CZ$211</definedName>
    <definedName name="C_Rborr_H1_19">Model!$DC$211</definedName>
    <definedName name="C_Rborr_H1_20">Model!$DF$211</definedName>
    <definedName name="C_Rborr_H2_00">Model!$AY$211</definedName>
    <definedName name="C_Rborr_H2_01">Model!$BB$211</definedName>
    <definedName name="C_Rborr_H2_02">Model!$BE$211</definedName>
    <definedName name="C_Rborr_H2_03">Model!$BH$211</definedName>
    <definedName name="C_Rborr_H2_04">Model!$BK$211</definedName>
    <definedName name="C_Rborr_H2_05">Model!$BN$211</definedName>
    <definedName name="C_Rborr_H2_06">Model!$BQ$211</definedName>
    <definedName name="C_Rborr_H2_07">Model!$BT$211</definedName>
    <definedName name="C_Rborr_H2_08">Model!$BW$211</definedName>
    <definedName name="C_Rborr_H2_09">Model!$BZ$211</definedName>
    <definedName name="C_Rborr_H2_10">Model!$CC$211</definedName>
    <definedName name="C_Rborr_H2_11">Model!$CF$211</definedName>
    <definedName name="C_Rborr_H2_12">Model!$CI$211</definedName>
    <definedName name="C_Rborr_H2_13">Model!$CL$211</definedName>
    <definedName name="C_Rborr_H2_14">Model!$CO$211</definedName>
    <definedName name="C_Rborr_H2_15">Model!$CR$211</definedName>
    <definedName name="C_Rborr_H2_16">Model!$CU$211</definedName>
    <definedName name="C_Rborr_H2_17">Model!$CX$211</definedName>
    <definedName name="C_Rborr_H2_18">Model!$DA$211</definedName>
    <definedName name="C_Rborr_H2_19">Model!$DD$211</definedName>
    <definedName name="C_Rborr_H2_20">Model!$DG$211</definedName>
    <definedName name="C_SaleEI_00">Model!$AZ$196</definedName>
    <definedName name="C_SaleEI_01">Model!$BC$196</definedName>
    <definedName name="C_SaleEI_02">Model!$BF$196</definedName>
    <definedName name="C_SaleEI_03">Model!$BI$196</definedName>
    <definedName name="C_SaleEI_04">Model!$BL$196</definedName>
    <definedName name="C_SaleEI_05">Model!$BO$196</definedName>
    <definedName name="C_SaleEI_06">Model!$BR$196</definedName>
    <definedName name="C_SaleEI_07">Model!$BU$196</definedName>
    <definedName name="C_SaleEI_08">Model!$BX$196</definedName>
    <definedName name="C_SaleEI_09">Model!$CA$196</definedName>
    <definedName name="C_SaleEI_10">Model!$CD$196</definedName>
    <definedName name="C_SaleEI_11">Model!$CG$196</definedName>
    <definedName name="C_SaleEI_12">Model!$CJ$196</definedName>
    <definedName name="C_SaleEI_13">Model!$CM$196</definedName>
    <definedName name="C_SaleEI_14">Model!$CP$196</definedName>
    <definedName name="C_SaleEI_15">Model!$CS$196</definedName>
    <definedName name="C_SaleEI_16">Model!$CV$196</definedName>
    <definedName name="C_SaleEI_17">Model!$CY$196</definedName>
    <definedName name="C_SaleEI_18">Model!$DB$196</definedName>
    <definedName name="C_SaleEI_19">Model!$DE$196</definedName>
    <definedName name="C_SaleEI_20">Model!$DH$196</definedName>
    <definedName name="C_SaleEI_H1_00">Model!$AX$196</definedName>
    <definedName name="C_SaleEI_H1_01">Model!$BA$196</definedName>
    <definedName name="C_SaleEI_H1_02">Model!$BD$196</definedName>
    <definedName name="C_SaleEI_H1_03">Model!$BG$196</definedName>
    <definedName name="C_SaleEI_H1_04">Model!$BJ$196</definedName>
    <definedName name="C_SaleEI_H1_05">Model!$BM$196</definedName>
    <definedName name="C_SaleEI_H1_06">Model!$BP$196</definedName>
    <definedName name="C_SaleEI_H1_07">Model!$BS$196</definedName>
    <definedName name="C_SaleEI_H1_08">Model!$BV$196</definedName>
    <definedName name="C_SaleEI_H1_09">Model!$BY$196</definedName>
    <definedName name="C_SaleEI_H1_10">Model!$CB$196</definedName>
    <definedName name="C_SaleEI_H1_11">Model!$CE$196</definedName>
    <definedName name="C_SaleEI_H1_12">Model!$CH$196</definedName>
    <definedName name="C_SaleEI_H1_13">Model!$CK$196</definedName>
    <definedName name="C_SaleEI_H1_14">Model!$CN$196</definedName>
    <definedName name="C_SaleEI_H1_15">Model!$CQ$196</definedName>
    <definedName name="C_SaleEI_H1_16">Model!$CT$196</definedName>
    <definedName name="C_SaleEI_H1_17">Model!$CW$196</definedName>
    <definedName name="C_SaleEI_H1_18">Model!$CZ$196</definedName>
    <definedName name="C_SaleEI_H1_19">Model!$DC$196</definedName>
    <definedName name="C_SaleEI_H1_20">Model!$DF$196</definedName>
    <definedName name="C_SaleEI_H2_00">Model!$AY$196</definedName>
    <definedName name="C_SaleEI_H2_01">Model!$BB$196</definedName>
    <definedName name="C_SaleEI_H2_02">Model!$BE$196</definedName>
    <definedName name="C_SaleEI_H2_03">Model!$BH$196</definedName>
    <definedName name="C_SaleEI_H2_04">Model!$BK$196</definedName>
    <definedName name="C_SaleEI_H2_05">Model!$BN$196</definedName>
    <definedName name="C_SaleEI_H2_06">Model!$BQ$196</definedName>
    <definedName name="C_SaleEI_H2_07">Model!$BT$196</definedName>
    <definedName name="C_SaleEI_H2_08">Model!$BW$196</definedName>
    <definedName name="C_SaleEI_H2_09">Model!$BZ$196</definedName>
    <definedName name="C_SaleEI_H2_10">Model!$CC$196</definedName>
    <definedName name="C_SaleEI_H2_11">Model!$CF$196</definedName>
    <definedName name="C_SaleEI_H2_12">Model!$CI$196</definedName>
    <definedName name="C_SaleEI_H2_13">Model!$CL$196</definedName>
    <definedName name="C_SaleEI_H2_14">Model!$CO$196</definedName>
    <definedName name="C_SaleEI_H2_15">Model!$CR$196</definedName>
    <definedName name="C_SaleEI_H2_16">Model!$CU$196</definedName>
    <definedName name="C_SaleEI_H2_17">Model!$CX$196</definedName>
    <definedName name="C_SaleEI_H2_18">Model!$DA$196</definedName>
    <definedName name="C_SaleEI_H2_19">Model!$DD$196</definedName>
    <definedName name="C_SaleEI_H2_20">Model!$DG$196</definedName>
    <definedName name="C_SalePPE_00">Model!$AZ$192</definedName>
    <definedName name="C_SalePPE_01">Model!$BC$192</definedName>
    <definedName name="C_SalePPE_02">Model!$BF$192</definedName>
    <definedName name="C_SalePPE_03">Model!$BI$192</definedName>
    <definedName name="C_SalePPE_04">Model!$BL$192</definedName>
    <definedName name="C_SalePPE_05">Model!$BO$192</definedName>
    <definedName name="C_SalePPE_06">Model!$BR$192</definedName>
    <definedName name="C_SalePPE_07">Model!$BU$192</definedName>
    <definedName name="C_SalePPE_08">Model!$BX$192</definedName>
    <definedName name="C_SalePPE_09">Model!$CA$192</definedName>
    <definedName name="C_SalePPE_10">Model!$CD$192</definedName>
    <definedName name="C_SalePPE_11">Model!$CG$192</definedName>
    <definedName name="C_SalePPE_12">Model!$CJ$192</definedName>
    <definedName name="C_SalePPE_13">Model!$CM$192</definedName>
    <definedName name="C_SalePPE_14">Model!$CP$192</definedName>
    <definedName name="C_SalePPE_15">Model!$CS$192</definedName>
    <definedName name="C_SalePPE_16">Model!$CV$192</definedName>
    <definedName name="C_SalePPE_17">Model!$CY$192</definedName>
    <definedName name="C_SalePPE_18">Model!$DB$192</definedName>
    <definedName name="C_SalePPE_19">Model!$DE$192</definedName>
    <definedName name="C_SalePPE_20">Model!$DH$192</definedName>
    <definedName name="C_SalePPE_H1_00">Model!$AX$192</definedName>
    <definedName name="C_SalePPE_H1_01">Model!$BA$192</definedName>
    <definedName name="C_SalePPE_H1_02">Model!$BD$192</definedName>
    <definedName name="C_SalePPE_H1_03">Model!$BG$192</definedName>
    <definedName name="C_SalePPE_H1_04">Model!$BJ$192</definedName>
    <definedName name="C_SalePPE_H1_05">Model!$BM$192</definedName>
    <definedName name="C_SalePPE_H1_06">Model!$BP$192</definedName>
    <definedName name="C_SalePPE_H1_07">Model!$BS$192</definedName>
    <definedName name="C_SalePPE_H1_08">Model!$BV$192</definedName>
    <definedName name="C_SalePPE_H1_09">Model!$BY$192</definedName>
    <definedName name="C_SalePPE_H1_10">Model!$CB$192</definedName>
    <definedName name="C_SalePPE_H1_11">Model!$CE$192</definedName>
    <definedName name="C_SalePPE_H1_12">Model!$CH$192</definedName>
    <definedName name="C_SalePPE_H1_13">Model!$CK$192</definedName>
    <definedName name="C_SalePPE_H1_14">Model!$CN$192</definedName>
    <definedName name="C_SalePPE_H1_15">Model!$CQ$192</definedName>
    <definedName name="C_SalePPE_H1_16">Model!$CT$192</definedName>
    <definedName name="C_SalePPE_H1_17">Model!$CW$192</definedName>
    <definedName name="C_SalePPE_H1_18">Model!$CZ$192</definedName>
    <definedName name="C_SalePPE_H1_19">Model!$DC$192</definedName>
    <definedName name="C_SalePPE_H1_20">Model!$DF$192</definedName>
    <definedName name="C_SalePPE_H2_00">Model!$AY$192</definedName>
    <definedName name="C_SalePPE_H2_01">Model!$BB$192</definedName>
    <definedName name="C_SalePPE_H2_02">Model!$BE$192</definedName>
    <definedName name="C_SalePPE_H2_03">Model!$BH$192</definedName>
    <definedName name="C_SalePPE_H2_04">Model!$BK$192</definedName>
    <definedName name="C_SalePPE_H2_05">Model!$BN$192</definedName>
    <definedName name="C_SalePPE_H2_06">Model!$BQ$192</definedName>
    <definedName name="C_SalePPE_H2_07">Model!$BT$192</definedName>
    <definedName name="C_SalePPE_H2_08">Model!$BW$192</definedName>
    <definedName name="C_SalePPE_H2_09">Model!$BZ$192</definedName>
    <definedName name="C_SalePPE_H2_10">Model!$CC$192</definedName>
    <definedName name="C_SalePPE_H2_11">Model!$CF$192</definedName>
    <definedName name="C_SalePPE_H2_12">Model!$CI$192</definedName>
    <definedName name="C_SalePPE_H2_13">Model!$CL$192</definedName>
    <definedName name="C_SalePPE_H2_14">Model!$CO$192</definedName>
    <definedName name="C_SalePPE_H2_15">Model!$CR$192</definedName>
    <definedName name="C_SalePPE_H2_16">Model!$CU$192</definedName>
    <definedName name="C_SalePPE_H2_17">Model!$CX$192</definedName>
    <definedName name="C_SalePPE_H2_18">Model!$DA$192</definedName>
    <definedName name="C_SalePPE_H2_19">Model!$DD$192</definedName>
    <definedName name="C_SalePPE_H2_20">Model!$DG$192</definedName>
    <definedName name="C_Tot_Fin_00">Model!$AZ$214</definedName>
    <definedName name="C_Tot_Fin_01">Model!$BC$214</definedName>
    <definedName name="C_Tot_Fin_02">Model!$BF$214</definedName>
    <definedName name="C_Tot_Fin_03">Model!$BI$214</definedName>
    <definedName name="C_Tot_Fin_04">Model!$BL$214</definedName>
    <definedName name="C_Tot_Fin_05">Model!$BO$214</definedName>
    <definedName name="C_Tot_Fin_06">Model!$BR$214</definedName>
    <definedName name="C_Tot_Fin_07">Model!$BU$214</definedName>
    <definedName name="C_Tot_Fin_08">Model!$BX$214</definedName>
    <definedName name="C_Tot_Fin_09">Model!$CA$214</definedName>
    <definedName name="C_Tot_Fin_10">Model!$CD$214</definedName>
    <definedName name="C_Tot_Fin_11">Model!$CG$214</definedName>
    <definedName name="C_Tot_Fin_12">Model!$CJ$214</definedName>
    <definedName name="C_Tot_Fin_13">Model!$CM$214</definedName>
    <definedName name="C_Tot_Fin_14">Model!$CP$214</definedName>
    <definedName name="C_Tot_Fin_15">Model!$CS$214</definedName>
    <definedName name="C_Tot_Fin_16">Model!$CV$214</definedName>
    <definedName name="C_Tot_Fin_17">Model!$CY$214</definedName>
    <definedName name="C_Tot_Fin_18">Model!$DB$214</definedName>
    <definedName name="C_Tot_Fin_19">Model!$DE$214</definedName>
    <definedName name="C_Tot_Fin_20">Model!$DH$214</definedName>
    <definedName name="C_Tot_Fin_H1_00">Model!$AX$214</definedName>
    <definedName name="C_Tot_Fin_H1_01">Model!$BA$214</definedName>
    <definedName name="C_Tot_Fin_H1_02">Model!$BD$214</definedName>
    <definedName name="C_Tot_Fin_H1_03">Model!$BG$214</definedName>
    <definedName name="C_Tot_Fin_H1_04">Model!$BJ$214</definedName>
    <definedName name="C_Tot_Fin_H1_05">Model!$BM$214</definedName>
    <definedName name="C_Tot_Fin_H1_06">Model!$BP$214</definedName>
    <definedName name="C_Tot_Fin_H1_07">Model!$BS$214</definedName>
    <definedName name="C_Tot_Fin_H1_08">Model!$BV$214</definedName>
    <definedName name="C_Tot_Fin_H1_09">Model!$BY$214</definedName>
    <definedName name="C_Tot_Fin_H1_10">Model!$CB$214</definedName>
    <definedName name="C_Tot_Fin_H1_11">Model!$CE$214</definedName>
    <definedName name="C_Tot_Fin_H1_12">Model!$CH$214</definedName>
    <definedName name="C_Tot_Fin_H1_13">Model!$CK$214</definedName>
    <definedName name="C_Tot_Fin_H1_14">Model!$CN$214</definedName>
    <definedName name="C_Tot_Fin_H1_15">Model!$CQ$214</definedName>
    <definedName name="C_Tot_Fin_H1_16">Model!$CT$214</definedName>
    <definedName name="C_Tot_Fin_H1_17">Model!$CW$214</definedName>
    <definedName name="C_Tot_Fin_H1_18">Model!$CZ$214</definedName>
    <definedName name="C_Tot_Fin_H1_19">Model!$DC$214</definedName>
    <definedName name="C_Tot_Fin_H1_20">Model!$DF$214</definedName>
    <definedName name="C_Tot_Fin_H2_00">Model!$AY$214</definedName>
    <definedName name="C_Tot_Fin_H2_01">Model!$BB$214</definedName>
    <definedName name="C_Tot_Fin_H2_02">Model!$BE$214</definedName>
    <definedName name="C_Tot_Fin_H2_03">Model!$BH$214</definedName>
    <definedName name="C_Tot_Fin_H2_04">Model!$BK$214</definedName>
    <definedName name="C_Tot_Fin_H2_05">Model!$BN$214</definedName>
    <definedName name="C_Tot_Fin_H2_06">Model!$BQ$214</definedName>
    <definedName name="C_Tot_Fin_H2_07">Model!$BT$214</definedName>
    <definedName name="C_Tot_Fin_H2_08">Model!$BW$214</definedName>
    <definedName name="C_Tot_Fin_H2_09">Model!$BZ$214</definedName>
    <definedName name="C_Tot_Fin_H2_10">Model!$CC$214</definedName>
    <definedName name="C_Tot_Fin_H2_11">Model!$CF$214</definedName>
    <definedName name="C_Tot_Fin_H2_12">Model!$CI$214</definedName>
    <definedName name="C_Tot_Fin_H2_13">Model!$CL$214</definedName>
    <definedName name="C_Tot_Fin_H2_14">Model!$CO$214</definedName>
    <definedName name="C_Tot_Fin_H2_15">Model!$CR$214</definedName>
    <definedName name="C_Tot_Fin_H2_16">Model!$CU$214</definedName>
    <definedName name="C_Tot_Fin_H2_17">Model!$CX$214</definedName>
    <definedName name="C_Tot_Fin_H2_18">Model!$DA$214</definedName>
    <definedName name="C_Tot_Fin_H2_19">Model!$DD$214</definedName>
    <definedName name="C_Tot_Fin_H2_20">Model!$DG$214</definedName>
    <definedName name="C_Tot_InvAct_00">Model!$AZ$205</definedName>
    <definedName name="C_Tot_InvAct_01">Model!$BC$205</definedName>
    <definedName name="C_Tot_InvAct_02">Model!$BF$205</definedName>
    <definedName name="C_Tot_InvAct_03">Model!$BI$205</definedName>
    <definedName name="C_Tot_InvAct_04">Model!$BL$205</definedName>
    <definedName name="C_Tot_InvAct_05">Model!$BO$205</definedName>
    <definedName name="C_Tot_InvAct_06">Model!$BR$205</definedName>
    <definedName name="C_Tot_InvAct_07">Model!$BU$205</definedName>
    <definedName name="C_Tot_InvAct_08">Model!$BX$205</definedName>
    <definedName name="C_Tot_InvAct_09">Model!$CA$205</definedName>
    <definedName name="C_Tot_InvAct_10">Model!$CD$205</definedName>
    <definedName name="C_Tot_InvAct_11">Model!$CG$205</definedName>
    <definedName name="C_Tot_InvAct_12">Model!$CJ$205</definedName>
    <definedName name="C_Tot_InvAct_13">Model!$CM$205</definedName>
    <definedName name="C_Tot_InvAct_14">Model!$CP$205</definedName>
    <definedName name="C_Tot_InvAct_15">Model!$CS$205</definedName>
    <definedName name="C_Tot_InvAct_16">Model!$CV$205</definedName>
    <definedName name="C_Tot_InvAct_17">Model!$CY$205</definedName>
    <definedName name="C_Tot_InvAct_18">Model!$DB$205</definedName>
    <definedName name="C_Tot_InvAct_19">Model!$DE$205</definedName>
    <definedName name="C_Tot_InvAct_20">Model!$DH$205</definedName>
    <definedName name="C_Tot_InvAct_H1_00">Model!$AX$205</definedName>
    <definedName name="C_Tot_InvAct_H1_01">Model!$BA$205</definedName>
    <definedName name="C_Tot_InvAct_H1_02">Model!$BD$205</definedName>
    <definedName name="C_Tot_InvAct_H1_03">Model!$BG$205</definedName>
    <definedName name="C_Tot_InvAct_H1_04">Model!$BJ$205</definedName>
    <definedName name="C_Tot_InvAct_H1_05">Model!$BM$205</definedName>
    <definedName name="C_Tot_InvAct_H1_06">Model!$BP$205</definedName>
    <definedName name="C_Tot_InvAct_H1_07">Model!$BS$205</definedName>
    <definedName name="C_Tot_InvAct_H1_08">Model!$BV$205</definedName>
    <definedName name="C_Tot_InvAct_H1_09">Model!$BY$205</definedName>
    <definedName name="C_Tot_InvAct_H1_10">Model!$CB$205</definedName>
    <definedName name="C_Tot_InvAct_H1_11">Model!$CE$205</definedName>
    <definedName name="C_Tot_InvAct_H1_12">Model!$CH$205</definedName>
    <definedName name="C_Tot_InvAct_H1_13">Model!$CK$205</definedName>
    <definedName name="C_Tot_InvAct_H1_14">Model!$CN$205</definedName>
    <definedName name="C_Tot_InvAct_H1_15">Model!$CQ$205</definedName>
    <definedName name="C_Tot_InvAct_H1_16">Model!$CT$205</definedName>
    <definedName name="C_Tot_InvAct_H1_17">Model!$CW$205</definedName>
    <definedName name="C_Tot_InvAct_H1_18">Model!$CZ$205</definedName>
    <definedName name="C_Tot_InvAct_H1_19">Model!$DC$205</definedName>
    <definedName name="C_Tot_InvAct_H1_20">Model!$DF$205</definedName>
    <definedName name="C_Tot_InvAct_H2_00">Model!$AY$205</definedName>
    <definedName name="C_Tot_InvAct_H2_01">Model!$BB$205</definedName>
    <definedName name="C_Tot_InvAct_H2_02">Model!$BE$205</definedName>
    <definedName name="C_Tot_InvAct_H2_03">Model!$BH$205</definedName>
    <definedName name="C_Tot_InvAct_H2_04">Model!$BK$205</definedName>
    <definedName name="C_Tot_InvAct_H2_05">Model!$BN$205</definedName>
    <definedName name="C_Tot_InvAct_H2_06">Model!$BQ$205</definedName>
    <definedName name="C_Tot_InvAct_H2_07">Model!$BT$205</definedName>
    <definedName name="C_Tot_InvAct_H2_08">Model!$BW$205</definedName>
    <definedName name="C_Tot_InvAct_H2_09">Model!$BZ$205</definedName>
    <definedName name="C_Tot_InvAct_H2_10">Model!$CC$205</definedName>
    <definedName name="C_Tot_InvAct_H2_11">Model!$CF$205</definedName>
    <definedName name="C_Tot_InvAct_H2_12">Model!$CI$205</definedName>
    <definedName name="C_Tot_InvAct_H2_13">Model!$CL$205</definedName>
    <definedName name="C_Tot_InvAct_H2_14">Model!$CO$205</definedName>
    <definedName name="C_Tot_InvAct_H2_15">Model!$CR$205</definedName>
    <definedName name="C_Tot_InvAct_H2_16">Model!$CU$205</definedName>
    <definedName name="C_Tot_InvAct_H2_17">Model!$CX$205</definedName>
    <definedName name="C_Tot_InvAct_H2_18">Model!$DA$205</definedName>
    <definedName name="C_Tot_InvAct_H2_19">Model!$DD$205</definedName>
    <definedName name="C_Tot_InvAct_H2_20">Model!$DG$205</definedName>
    <definedName name="C_Tot_Op_00">Model!$AZ$188</definedName>
    <definedName name="C_Tot_Op_01">Model!$BC$188</definedName>
    <definedName name="C_Tot_Op_02">Model!$BF$188</definedName>
    <definedName name="C_Tot_Op_03">Model!$BI$188</definedName>
    <definedName name="C_Tot_Op_04">Model!$BL$188</definedName>
    <definedName name="C_Tot_Op_05">Model!$BO$188</definedName>
    <definedName name="C_Tot_Op_06">Model!$BR$188</definedName>
    <definedName name="C_Tot_Op_07">Model!$BU$188</definedName>
    <definedName name="C_Tot_Op_08">Model!$BX$188</definedName>
    <definedName name="C_Tot_Op_09">Model!$CA$188</definedName>
    <definedName name="C_Tot_Op_10">Model!$CD$188</definedName>
    <definedName name="C_Tot_Op_11">Model!$CG$188</definedName>
    <definedName name="C_Tot_Op_12">Model!$CJ$188</definedName>
    <definedName name="C_Tot_Op_13">Model!$CM$188</definedName>
    <definedName name="C_Tot_Op_14">Model!$CP$188</definedName>
    <definedName name="C_Tot_Op_15">Model!$CS$188</definedName>
    <definedName name="C_Tot_Op_16">Model!$CV$188</definedName>
    <definedName name="C_Tot_Op_17">Model!$CY$188</definedName>
    <definedName name="C_Tot_Op_18">Model!$DB$188</definedName>
    <definedName name="C_Tot_Op_19">Model!$DE$188</definedName>
    <definedName name="C_Tot_Op_20">Model!$DH$188</definedName>
    <definedName name="C_Tot_Op_H1_00">Model!$AX$188</definedName>
    <definedName name="C_Tot_Op_H1_01">Model!$BA$188</definedName>
    <definedName name="C_Tot_Op_H1_02">Model!$BD$188</definedName>
    <definedName name="C_Tot_Op_H1_03">Model!$BG$188</definedName>
    <definedName name="C_Tot_Op_H1_04">Model!$BJ$188</definedName>
    <definedName name="C_Tot_Op_H1_05">Model!$BM$188</definedName>
    <definedName name="C_Tot_Op_H1_06">Model!$BP$188</definedName>
    <definedName name="C_Tot_Op_H1_07">Model!$BS$188</definedName>
    <definedName name="C_Tot_Op_H1_08">Model!$BV$188</definedName>
    <definedName name="C_Tot_Op_H1_09">Model!$BY$188</definedName>
    <definedName name="C_Tot_Op_H1_10">Model!$CB$188</definedName>
    <definedName name="C_Tot_Op_H1_11">Model!$CE$188</definedName>
    <definedName name="C_Tot_Op_H1_12">Model!$CH$188</definedName>
    <definedName name="C_Tot_Op_H1_13">Model!$CK$188</definedName>
    <definedName name="C_Tot_Op_H1_14">Model!$CN$188</definedName>
    <definedName name="C_Tot_Op_H1_15">Model!$CQ$188</definedName>
    <definedName name="C_Tot_Op_H1_16">Model!$CT$188</definedName>
    <definedName name="C_Tot_Op_H1_17">Model!$CW$188</definedName>
    <definedName name="C_Tot_Op_H1_18">Model!$CZ$188</definedName>
    <definedName name="C_Tot_Op_H1_19">Model!$DC$188</definedName>
    <definedName name="C_Tot_Op_H1_20">Model!$DF$188</definedName>
    <definedName name="C_Tot_Op_H2_00">Model!$AY$188</definedName>
    <definedName name="C_Tot_Op_H2_01">Model!$BB$188</definedName>
    <definedName name="C_Tot_Op_H2_02">Model!$BE$188</definedName>
    <definedName name="C_Tot_Op_H2_03">Model!$BH$188</definedName>
    <definedName name="C_Tot_Op_H2_04">Model!$BK$188</definedName>
    <definedName name="C_Tot_Op_H2_05">Model!$BN$188</definedName>
    <definedName name="C_Tot_Op_H2_06">Model!$BQ$188</definedName>
    <definedName name="C_Tot_Op_H2_07">Model!$BT$188</definedName>
    <definedName name="C_Tot_Op_H2_08">Model!$BW$188</definedName>
    <definedName name="C_Tot_Op_H2_09">Model!$BZ$188</definedName>
    <definedName name="C_Tot_Op_H2_10">Model!$CC$188</definedName>
    <definedName name="C_Tot_Op_H2_11">Model!$CF$188</definedName>
    <definedName name="C_Tot_Op_H2_12">Model!$CI$188</definedName>
    <definedName name="C_Tot_Op_H2_13">Model!$CL$188</definedName>
    <definedName name="C_Tot_Op_H2_14">Model!$CO$188</definedName>
    <definedName name="C_Tot_Op_H2_15">Model!$CR$188</definedName>
    <definedName name="C_Tot_Op_H2_16">Model!$CU$188</definedName>
    <definedName name="C_Tot_Op_H2_17">Model!$CX$188</definedName>
    <definedName name="C_Tot_Op_H2_18">Model!$DA$188</definedName>
    <definedName name="C_Tot_Op_H2_19">Model!$DD$188</definedName>
    <definedName name="C_Tot_Op_H2_20">Model!$DG$188</definedName>
    <definedName name="C_TP_00">Model!$AZ$183</definedName>
    <definedName name="C_TP_01">Model!$BC$183</definedName>
    <definedName name="C_TP_02">Model!$BF$183</definedName>
    <definedName name="C_TP_03">Model!$BI$183</definedName>
    <definedName name="C_TP_04">Model!$BL$183</definedName>
    <definedName name="C_TP_05">Model!$BO$183</definedName>
    <definedName name="C_TP_06">Model!$BR$183</definedName>
    <definedName name="C_TP_07">Model!$BU$183</definedName>
    <definedName name="C_TP_08">Model!$BX$183</definedName>
    <definedName name="C_TP_09">Model!$CA$183</definedName>
    <definedName name="C_TP_10">Model!$CD$183</definedName>
    <definedName name="C_TP_11">Model!$CG$183</definedName>
    <definedName name="C_TP_12">Model!$CJ$183</definedName>
    <definedName name="C_TP_13">Model!$CM$183</definedName>
    <definedName name="C_TP_14">Model!$CP$183</definedName>
    <definedName name="C_TP_15">Model!$CS$183</definedName>
    <definedName name="C_TP_16">Model!$CV$183</definedName>
    <definedName name="C_TP_17">Model!$CY$183</definedName>
    <definedName name="C_TP_18">Model!$DB$183</definedName>
    <definedName name="C_TP_19">Model!$DE$183</definedName>
    <definedName name="C_TP_20">Model!$DH$183</definedName>
    <definedName name="C_TP_95">Model!$AK$183</definedName>
    <definedName name="C_TP_96">Model!$AN$183</definedName>
    <definedName name="C_TP_97">Model!$AQ$183</definedName>
    <definedName name="C_TP_98">Model!$AT$183</definedName>
    <definedName name="C_TP_99">Model!$AW$183</definedName>
    <definedName name="C_WC_00">Model!$AZ$185</definedName>
    <definedName name="C_WC_01">Model!$BC$185</definedName>
    <definedName name="C_WC_02">Model!$BF$185</definedName>
    <definedName name="C_WC_03">Model!$BI$185</definedName>
    <definedName name="C_WC_04">Model!$BL$185</definedName>
    <definedName name="C_WC_05">Model!$BO$185</definedName>
    <definedName name="C_WC_06">Model!$BR$185</definedName>
    <definedName name="C_WC_07">Model!$BU$185</definedName>
    <definedName name="C_WC_08">Model!$BX$185</definedName>
    <definedName name="C_WC_09">Model!$CA$185</definedName>
    <definedName name="C_WC_10">Model!$CD$185</definedName>
    <definedName name="C_WC_11">Model!$CG$185</definedName>
    <definedName name="C_WC_12">Model!$CJ$185</definedName>
    <definedName name="C_WC_13">Model!$CM$185</definedName>
    <definedName name="C_WC_14">Model!$CP$185</definedName>
    <definedName name="C_WC_15">Model!$CS$185</definedName>
    <definedName name="C_WC_16">Model!$CV$185</definedName>
    <definedName name="C_WC_17">Model!$CY$185</definedName>
    <definedName name="C_WC_18">Model!$DB$185</definedName>
    <definedName name="C_WC_19">Model!$DE$185</definedName>
    <definedName name="C_WC_20">Model!$DH$185</definedName>
    <definedName name="C_WC_H1_00">Model!$AX$185</definedName>
    <definedName name="C_WC_H1_01">Model!$BA$185</definedName>
    <definedName name="C_WC_H1_02">Model!$BD$185</definedName>
    <definedName name="C_WC_H1_03">Model!$BG$185</definedName>
    <definedName name="C_WC_H1_04">Model!$BJ$185</definedName>
    <definedName name="C_WC_H1_05">Model!$BM$185</definedName>
    <definedName name="C_WC_H1_06">Model!$BP$185</definedName>
    <definedName name="C_WC_H1_07">Model!$BS$185</definedName>
    <definedName name="C_WC_H1_08">Model!$BV$185</definedName>
    <definedName name="C_WC_H1_09">Model!$BY$185</definedName>
    <definedName name="C_WC_H1_10">Model!$CB$185</definedName>
    <definedName name="C_WC_H1_11">Model!$CE$185</definedName>
    <definedName name="C_WC_H1_12">Model!$CH$185</definedName>
    <definedName name="C_WC_H1_13">Model!$CK$185</definedName>
    <definedName name="C_WC_H1_14">Model!$CN$185</definedName>
    <definedName name="C_WC_H1_15">Model!$CQ$185</definedName>
    <definedName name="C_WC_H1_16">Model!$CT$185</definedName>
    <definedName name="C_WC_H1_17">Model!$CW$185</definedName>
    <definedName name="C_WC_H1_18">Model!$CZ$185</definedName>
    <definedName name="C_WC_H1_19">Model!$DC$185</definedName>
    <definedName name="C_WC_H1_20">Model!$DF$185</definedName>
    <definedName name="C_WC_H2_00">Model!$AY$185</definedName>
    <definedName name="C_WC_H2_01">Model!$BB$185</definedName>
    <definedName name="C_WC_H2_02">Model!$BE$185</definedName>
    <definedName name="C_WC_H2_03">Model!$BH$185</definedName>
    <definedName name="C_WC_H2_04">Model!$BK$185</definedName>
    <definedName name="C_WC_H2_05">Model!$BN$185</definedName>
    <definedName name="C_WC_H2_06">Model!$BQ$185</definedName>
    <definedName name="C_WC_H2_07">Model!$BT$185</definedName>
    <definedName name="C_WC_H2_08">Model!$BW$185</definedName>
    <definedName name="C_WC_H2_09">Model!$BZ$185</definedName>
    <definedName name="C_WC_H2_10">Model!$CC$185</definedName>
    <definedName name="C_WC_H2_11">Model!$CF$185</definedName>
    <definedName name="C_WC_H2_12">Model!$CI$185</definedName>
    <definedName name="C_WC_H2_13">Model!$CL$185</definedName>
    <definedName name="C_WC_H2_14">Model!$CO$185</definedName>
    <definedName name="C_WC_H2_15">Model!$CR$185</definedName>
    <definedName name="C_WC_H2_16">Model!$CU$185</definedName>
    <definedName name="C_WC_H2_17">Model!$CX$185</definedName>
    <definedName name="C_WC_H2_18">Model!$DA$185</definedName>
    <definedName name="C_WC_H2_19">Model!$DD$185</definedName>
    <definedName name="C_WC_H2_20">Model!$DG$185</definedName>
    <definedName name="CFPS_00">Model!$AZ$20</definedName>
    <definedName name="CFPS_01">Model!$BC$20</definedName>
    <definedName name="CFPS_02">Model!$BF$20</definedName>
    <definedName name="CFPS_03">Model!$BI$20</definedName>
    <definedName name="CFPS_04">Model!$BL$20</definedName>
    <definedName name="CFPS_05">Model!$BO$20</definedName>
    <definedName name="CFPS_06">Model!$BR$20</definedName>
    <definedName name="CFPS_07">Model!$BU$20</definedName>
    <definedName name="CFPS_08">Model!$BX$20</definedName>
    <definedName name="CFPS_09">Model!$CA$20</definedName>
    <definedName name="CFPS_10">Model!$CD$20</definedName>
    <definedName name="CFPS_11">Model!$CG$20</definedName>
    <definedName name="CFPS_12">Model!$CJ$20</definedName>
    <definedName name="CFPS_13">Model!$CM$20</definedName>
    <definedName name="CFPS_14">Model!$CP$20</definedName>
    <definedName name="CFPS_15">Model!$CS$20</definedName>
    <definedName name="CFPS_16">Model!$CV$20</definedName>
    <definedName name="CFPS_17">Model!$CY$20</definedName>
    <definedName name="CFPS_18">Model!$DB$20</definedName>
    <definedName name="CFPS_19">Model!$DE$20</definedName>
    <definedName name="CFPS_20">Model!$DH$20</definedName>
    <definedName name="CFPS_95">Model!$AK$20</definedName>
    <definedName name="CFPS_96">Model!$AN$20</definedName>
    <definedName name="CFPS_97">Model!$AQ$20</definedName>
    <definedName name="CFPS_98">Model!$AT$20</definedName>
    <definedName name="CFPS_99">Model!$AW$20</definedName>
    <definedName name="CS_Adj_Fact_00">Model!$AZ$399</definedName>
    <definedName name="CS_Adj_Fact_01">Model!$BC$399</definedName>
    <definedName name="CS_Adj_Fact_02">Model!$BF$399</definedName>
    <definedName name="CS_Adj_Fact_03">Model!$BI$399</definedName>
    <definedName name="CS_Adj_Fact_04">Model!$BL$399</definedName>
    <definedName name="CS_Adj_Fact_05">Model!$BO$399</definedName>
    <definedName name="CS_Adj_Fact_06">Model!$BR$399</definedName>
    <definedName name="CS_Adj_Fact_07">Model!$BU$399</definedName>
    <definedName name="CS_Adj_Fact_08">Model!$BX$399</definedName>
    <definedName name="CS_Adj_Fact_09">Model!$CA$399</definedName>
    <definedName name="CS_Adj_Fact_10">Model!$CD$399</definedName>
    <definedName name="CS_Adj_Fact_11">Model!$CG$399</definedName>
    <definedName name="CS_Adj_Fact_12">Model!$CJ$399</definedName>
    <definedName name="CS_Adj_Fact_13">Model!$CM$399</definedName>
    <definedName name="CS_Adj_Fact_14">Model!$CP$399</definedName>
    <definedName name="CS_Adj_Fact_15">Model!$CS$399</definedName>
    <definedName name="CS_Adj_Fact_16">Model!$CV$399</definedName>
    <definedName name="CS_Adj_Fact_17">Model!$CY$399</definedName>
    <definedName name="CS_Adj_Fact_18">Model!$DB$399</definedName>
    <definedName name="CS_Adj_Fact_19">Model!$DE$399</definedName>
    <definedName name="CS_Adj_Fact_20">Model!$DH$399</definedName>
    <definedName name="CS_Adj_Fact_H1_00">Model!$AX$399</definedName>
    <definedName name="CS_Adj_Fact_H1_01">Model!$BA$399</definedName>
    <definedName name="CS_Adj_Fact_H1_02">Model!$BD$399</definedName>
    <definedName name="CS_Adj_Fact_H1_03">Model!$BG$399</definedName>
    <definedName name="CS_Adj_Fact_H1_04">Model!$BJ$399</definedName>
    <definedName name="CS_Adj_Fact_H1_05">Model!$BM$399</definedName>
    <definedName name="CS_Adj_Fact_H1_06">Model!$BP$399</definedName>
    <definedName name="CS_Adj_Fact_H1_07">Model!$BS$399</definedName>
    <definedName name="CS_Adj_Fact_H1_08">Model!$BV$399</definedName>
    <definedName name="CS_Adj_Fact_H1_09">Model!$BY$399</definedName>
    <definedName name="CS_Adj_Fact_H1_10">Model!$CB$399</definedName>
    <definedName name="CS_Adj_Fact_H1_11">Model!$CE$399</definedName>
    <definedName name="CS_Adj_Fact_H1_12">Model!$CH$399</definedName>
    <definedName name="CS_Adj_Fact_H1_13">Model!$CK$399</definedName>
    <definedName name="CS_Adj_Fact_H1_14">Model!$CN$399</definedName>
    <definedName name="CS_Adj_Fact_H1_15">Model!$CQ$399</definedName>
    <definedName name="CS_Adj_Fact_H1_16">Model!$CT$399</definedName>
    <definedName name="CS_Adj_Fact_H1_17">Model!$CW$399</definedName>
    <definedName name="CS_Adj_Fact_H1_18">Model!$CZ$399</definedName>
    <definedName name="CS_Adj_Fact_H1_19">Model!$DC$399</definedName>
    <definedName name="CS_Adj_Fact_H1_20">Model!$DF$399</definedName>
    <definedName name="CS_Adj_Fact_H2_00">Model!$AY$399</definedName>
    <definedName name="CS_Adj_Fact_H2_01">Model!$BB$399</definedName>
    <definedName name="CS_Adj_Fact_H2_02">Model!$BE$399</definedName>
    <definedName name="CS_Adj_Fact_H2_03">Model!$BH$399</definedName>
    <definedName name="CS_Adj_Fact_H2_04">Model!$BK$399</definedName>
    <definedName name="CS_Adj_Fact_H2_05">Model!$BN$399</definedName>
    <definedName name="CS_Adj_Fact_H2_06">Model!$BQ$399</definedName>
    <definedName name="CS_Adj_Fact_H2_07">Model!$BT$399</definedName>
    <definedName name="CS_Adj_Fact_H2_08">Model!$BW$399</definedName>
    <definedName name="CS_Adj_Fact_H2_09">Model!$BZ$399</definedName>
    <definedName name="CS_Adj_Fact_H2_10">Model!$CC$399</definedName>
    <definedName name="CS_Adj_Fact_H2_11">Model!$CF$399</definedName>
    <definedName name="CS_Adj_Fact_H2_12">Model!$CI$399</definedName>
    <definedName name="CS_Adj_Fact_H2_13">Model!$CL$399</definedName>
    <definedName name="CS_Adj_Fact_H2_14">Model!$CO$399</definedName>
    <definedName name="CS_Adj_Fact_H2_15">Model!$CR$399</definedName>
    <definedName name="CS_Adj_Fact_H2_16">Model!$CU$399</definedName>
    <definedName name="CS_Adj_Fact_H2_17">Model!$CX$399</definedName>
    <definedName name="CS_Adj_Fact_H2_18">Model!$DA$399</definedName>
    <definedName name="CS_Adj_Fact_H2_19">Model!$DD$399</definedName>
    <definedName name="CS_Adj_Fact_H2_20">Model!$DG$399</definedName>
    <definedName name="CS_Adj_WAC_00">Model!$AZ$400</definedName>
    <definedName name="CS_Adj_WAC_01">Model!$BC$400</definedName>
    <definedName name="CS_Adj_WAC_02">Model!$BF$400</definedName>
    <definedName name="CS_Adj_WAC_03">Model!$BI$400</definedName>
    <definedName name="CS_Adj_WAC_04">Model!$BL$400</definedName>
    <definedName name="CS_Adj_WAC_05">Model!$BO$400</definedName>
    <definedName name="CS_Adj_WAC_06">Model!$BR$400</definedName>
    <definedName name="CS_Adj_WAC_07">Model!$BU$400</definedName>
    <definedName name="CS_Adj_WAC_08">Model!$BX$400</definedName>
    <definedName name="CS_Adj_WAC_09">Model!$CA$400</definedName>
    <definedName name="CS_Adj_WAC_10">Model!$CD$400</definedName>
    <definedName name="CS_Adj_WAC_11">Model!$CG$400</definedName>
    <definedName name="CS_Adj_WAC_12">Model!$CJ$400</definedName>
    <definedName name="CS_Adj_WAC_13">Model!$CM$400</definedName>
    <definedName name="CS_Adj_WAC_14">Model!$CP$400</definedName>
    <definedName name="CS_Adj_WAC_15">Model!$CS$400</definedName>
    <definedName name="CS_Adj_WAC_16">Model!$CV$400</definedName>
    <definedName name="CS_Adj_WAC_17">Model!$CY$400</definedName>
    <definedName name="CS_Adj_WAC_18">Model!$DB$400</definedName>
    <definedName name="CS_Adj_WAC_19">Model!$DE$400</definedName>
    <definedName name="CS_Adj_WAC_20">Model!$DH$400</definedName>
    <definedName name="CS_Adj_WAC_H1_00">Model!$AX$400</definedName>
    <definedName name="CS_Adj_WAC_H1_01">Model!$BA$400</definedName>
    <definedName name="CS_Adj_WAC_H1_02">Model!$BD$400</definedName>
    <definedName name="CS_Adj_WAC_H1_03">Model!$BG$400</definedName>
    <definedName name="CS_Adj_WAC_H1_04">Model!$BJ$400</definedName>
    <definedName name="CS_Adj_WAC_H1_05">Model!$BM$400</definedName>
    <definedName name="CS_Adj_WAC_H1_06">Model!$BP$400</definedName>
    <definedName name="CS_Adj_WAC_H1_07">Model!$BS$400</definedName>
    <definedName name="CS_Adj_WAC_H1_08">Model!$BV$400</definedName>
    <definedName name="CS_Adj_WAC_H1_09">Model!$BY$400</definedName>
    <definedName name="CS_Adj_WAC_H1_10">Model!$CB$400</definedName>
    <definedName name="CS_Adj_WAC_H1_11">Model!$CE$400</definedName>
    <definedName name="CS_Adj_WAC_H1_12">Model!$CH$400</definedName>
    <definedName name="CS_Adj_WAC_H1_13">Model!$CK$400</definedName>
    <definedName name="CS_Adj_WAC_H1_14">Model!$CN$400</definedName>
    <definedName name="CS_Adj_WAC_H1_15">Model!$CQ$400</definedName>
    <definedName name="CS_Adj_WAC_H1_16">Model!$CT$400</definedName>
    <definedName name="CS_Adj_WAC_H1_17">Model!$CW$400</definedName>
    <definedName name="CS_Adj_WAC_H1_18">Model!$CZ$400</definedName>
    <definedName name="CS_Adj_WAC_H1_19">Model!$DC$400</definedName>
    <definedName name="CS_Adj_WAC_H1_20">Model!$DF$400</definedName>
    <definedName name="CS_Adj_WAC_H2_00">Model!$AY$400</definedName>
    <definedName name="CS_Adj_WAC_H2_01">Model!$BB$400</definedName>
    <definedName name="CS_Adj_WAC_H2_02">Model!$BE$400</definedName>
    <definedName name="CS_Adj_WAC_H2_03">Model!$BH$400</definedName>
    <definedName name="CS_Adj_WAC_H2_04">Model!$BK$400</definedName>
    <definedName name="CS_Adj_WAC_H2_05">Model!$BN$400</definedName>
    <definedName name="CS_Adj_WAC_H2_06">Model!$BQ$400</definedName>
    <definedName name="CS_Adj_WAC_H2_07">Model!$BT$400</definedName>
    <definedName name="CS_Adj_WAC_H2_08">Model!$BW$400</definedName>
    <definedName name="CS_Adj_WAC_H2_09">Model!$BZ$400</definedName>
    <definedName name="CS_Adj_WAC_H2_10">Model!$CC$400</definedName>
    <definedName name="CS_Adj_WAC_H2_11">Model!$CF$400</definedName>
    <definedName name="CS_Adj_WAC_H2_12">Model!$CI$400</definedName>
    <definedName name="CS_Adj_WAC_H2_13">Model!$CL$400</definedName>
    <definedName name="CS_Adj_WAC_H2_14">Model!$CO$400</definedName>
    <definedName name="CS_Adj_WAC_H2_15">Model!$CR$400</definedName>
    <definedName name="CS_Adj_WAC_H2_16">Model!$CU$400</definedName>
    <definedName name="CS_Adj_WAC_H2_17">Model!$CX$400</definedName>
    <definedName name="CS_Adj_WAC_H2_18">Model!$DA$400</definedName>
    <definedName name="CS_Adj_WAC_H2_19">Model!$DD$400</definedName>
    <definedName name="CS_Adj_WAC_H2_20">Model!$DG$400</definedName>
    <definedName name="CS_CN_Avg_00">Model!$AZ$552</definedName>
    <definedName name="CS_CN_Avg_01">Model!$BC$552</definedName>
    <definedName name="CS_CN_Avg_02">Model!$BF$552</definedName>
    <definedName name="CS_CN_Avg_03">Model!$BI$552</definedName>
    <definedName name="CS_CN_Avg_04">Model!$BL$552</definedName>
    <definedName name="CS_CN_Avg_05">Model!$BO$552</definedName>
    <definedName name="CS_CN_Avg_06">Model!$BR$552</definedName>
    <definedName name="CS_CN_Avg_07">Model!$BU$552</definedName>
    <definedName name="CS_CN_Avg_08">Model!$BX$552</definedName>
    <definedName name="CS_CN_Avg_09">Model!$CA$552</definedName>
    <definedName name="CS_CN_Avg_10">Model!$CD$552</definedName>
    <definedName name="CS_CN_Avg_11">Model!$CG$552</definedName>
    <definedName name="CS_CN_Avg_12">Model!$CJ$552</definedName>
    <definedName name="CS_CN_Avg_13">Model!$CM$552</definedName>
    <definedName name="CS_CN_Avg_14">Model!$CP$552</definedName>
    <definedName name="CS_CN_Avg_15">Model!$CS$552</definedName>
    <definedName name="CS_CN_Avg_16">Model!$CV$552</definedName>
    <definedName name="CS_CN_Avg_17">Model!$CY$552</definedName>
    <definedName name="CS_CN_Avg_18">Model!$DB$552</definedName>
    <definedName name="CS_CN_Avg_19">Model!$DE$552</definedName>
    <definedName name="CS_CN_Avg_20">Model!$DH$552</definedName>
    <definedName name="CS_CN_Avg_H1_00">Model!$AX$552</definedName>
    <definedName name="CS_CN_Avg_H1_01">Model!$BA$552</definedName>
    <definedName name="CS_CN_Avg_H1_02">Model!$BD$552</definedName>
    <definedName name="CS_CN_Avg_H1_03">Model!$BG$552</definedName>
    <definedName name="CS_CN_Avg_H1_04">Model!$BJ$552</definedName>
    <definedName name="CS_CN_Avg_H1_05">Model!$BM$552</definedName>
    <definedName name="CS_CN_Avg_H1_06">Model!$BP$552</definedName>
    <definedName name="CS_CN_Avg_H1_07">Model!$BS$552</definedName>
    <definedName name="CS_CN_Avg_H1_08">Model!$BV$552</definedName>
    <definedName name="CS_CN_Avg_H1_09">Model!$BY$552</definedName>
    <definedName name="CS_CN_Avg_H1_10">Model!$CB$552</definedName>
    <definedName name="CS_CN_Avg_H1_11">Model!$CE$552</definedName>
    <definedName name="CS_CN_Avg_H1_12">Model!$CH$552</definedName>
    <definedName name="CS_CN_Avg_H1_13">Model!$CK$552</definedName>
    <definedName name="CS_CN_Avg_H1_14">Model!$CN$552</definedName>
    <definedName name="CS_CN_Avg_H1_15">Model!$CQ$552</definedName>
    <definedName name="CS_CN_Avg_H1_16">Model!$CT$552</definedName>
    <definedName name="CS_CN_Avg_H1_17">Model!$CW$552</definedName>
    <definedName name="CS_CN_Avg_H1_18">Model!$CZ$552</definedName>
    <definedName name="CS_CN_Avg_H1_19">Model!$DC$552</definedName>
    <definedName name="CS_CN_Avg_H1_20">Model!$DF$552</definedName>
    <definedName name="CS_CN_Avg_H2_00">Model!$AY$552</definedName>
    <definedName name="CS_CN_Avg_H2_01">Model!$BB$552</definedName>
    <definedName name="CS_CN_Avg_H2_02">Model!$BE$552</definedName>
    <definedName name="CS_CN_Avg_H2_03">Model!$BH$552</definedName>
    <definedName name="CS_CN_Avg_H2_04">Model!$BK$552</definedName>
    <definedName name="CS_CN_Avg_H2_05">Model!$BN$552</definedName>
    <definedName name="CS_CN_Avg_H2_06">Model!$BQ$552</definedName>
    <definedName name="CS_CN_Avg_H2_07">Model!$BT$552</definedName>
    <definedName name="CS_CN_Avg_H2_08">Model!$BW$552</definedName>
    <definedName name="CS_CN_Avg_H2_09">Model!$BZ$552</definedName>
    <definedName name="CS_CN_Avg_H2_10">Model!$CC$552</definedName>
    <definedName name="CS_CN_Avg_H2_11">Model!$CF$552</definedName>
    <definedName name="CS_CN_Avg_H2_12">Model!$CI$552</definedName>
    <definedName name="CS_CN_Avg_H2_13">Model!$CL$552</definedName>
    <definedName name="CS_CN_Avg_H2_14">Model!$CO$552</definedName>
    <definedName name="CS_CN_Avg_H2_15">Model!$CR$552</definedName>
    <definedName name="CS_CN_Avg_H2_16">Model!$CU$552</definedName>
    <definedName name="CS_CN_Avg_H2_17">Model!$CX$552</definedName>
    <definedName name="CS_CN_Avg_H2_18">Model!$DA$552</definedName>
    <definedName name="CS_CN_Avg_H2_19">Model!$DD$552</definedName>
    <definedName name="CS_CN_Avg_H2_20">Model!$DG$552</definedName>
    <definedName name="CS_CN_Clos_00">Model!$AZ$553</definedName>
    <definedName name="CS_CN_Clos_01">Model!$BC$553</definedName>
    <definedName name="CS_CN_Clos_02">Model!$BF$553</definedName>
    <definedName name="CS_CN_Clos_03">Model!$BI$553</definedName>
    <definedName name="CS_CN_Clos_04">Model!$BL$553</definedName>
    <definedName name="CS_CN_Clos_05">Model!$BO$553</definedName>
    <definedName name="CS_CN_Clos_06">Model!$BR$553</definedName>
    <definedName name="CS_CN_Clos_07">Model!$BU$553</definedName>
    <definedName name="CS_CN_Clos_08">Model!$BX$553</definedName>
    <definedName name="CS_CN_Clos_09">Model!$CA$553</definedName>
    <definedName name="CS_CN_Clos_10">Model!$CD$553</definedName>
    <definedName name="CS_CN_Clos_11">Model!$CG$553</definedName>
    <definedName name="CS_CN_Clos_12">Model!$CJ$553</definedName>
    <definedName name="CS_CN_Clos_13">Model!$CM$553</definedName>
    <definedName name="CS_CN_Clos_14">Model!$CP$553</definedName>
    <definedName name="CS_CN_Clos_15">Model!$CS$553</definedName>
    <definedName name="CS_CN_Clos_16">Model!$CV$553</definedName>
    <definedName name="CS_CN_Clos_17">Model!$CY$553</definedName>
    <definedName name="CS_CN_Clos_18">Model!$DB$553</definedName>
    <definedName name="CS_CN_Clos_19">Model!$DE$553</definedName>
    <definedName name="CS_CN_Clos_20">Model!$DH$553</definedName>
    <definedName name="CS_CN_Clos_H1_00">Model!$AX$553</definedName>
    <definedName name="CS_CN_Clos_H1_01">Model!$BA$553</definedName>
    <definedName name="CS_CN_Clos_H1_02">Model!$BD$553</definedName>
    <definedName name="CS_CN_Clos_H1_03">Model!$BG$553</definedName>
    <definedName name="CS_CN_Clos_H1_04">Model!$BJ$553</definedName>
    <definedName name="CS_CN_Clos_H1_05">Model!$BM$553</definedName>
    <definedName name="CS_CN_Clos_H1_06">Model!$BP$553</definedName>
    <definedName name="CS_CN_Clos_H1_07">Model!$BS$553</definedName>
    <definedName name="CS_CN_Clos_H1_08">Model!$BV$553</definedName>
    <definedName name="CS_CN_Clos_H1_09">Model!$BY$553</definedName>
    <definedName name="CS_CN_Clos_H1_10">Model!$CB$553</definedName>
    <definedName name="CS_CN_Clos_H1_11">Model!$CE$553</definedName>
    <definedName name="CS_CN_Clos_H1_12">Model!$CH$553</definedName>
    <definedName name="CS_CN_Clos_H1_13">Model!$CK$553</definedName>
    <definedName name="CS_CN_Clos_H1_14">Model!$CN$553</definedName>
    <definedName name="CS_CN_Clos_H1_15">Model!$CQ$553</definedName>
    <definedName name="CS_CN_Clos_H1_16">Model!$CT$553</definedName>
    <definedName name="CS_CN_Clos_H1_17">Model!$CW$553</definedName>
    <definedName name="CS_CN_Clos_H1_18">Model!$CZ$553</definedName>
    <definedName name="CS_CN_Clos_H1_19">Model!$DC$553</definedName>
    <definedName name="CS_CN_Clos_H1_20">Model!$DF$553</definedName>
    <definedName name="CS_CN_Clos_H2_00">Model!$AY$553</definedName>
    <definedName name="CS_CN_Clos_H2_01">Model!$BB$553</definedName>
    <definedName name="CS_CN_Clos_H2_02">Model!$BE$553</definedName>
    <definedName name="CS_CN_Clos_H2_03">Model!$BH$553</definedName>
    <definedName name="CS_CN_Clos_H2_04">Model!$BK$553</definedName>
    <definedName name="CS_CN_Clos_H2_05">Model!$BN$553</definedName>
    <definedName name="CS_CN_Clos_H2_06">Model!$BQ$553</definedName>
    <definedName name="CS_CN_Clos_H2_07">Model!$BT$553</definedName>
    <definedName name="CS_CN_Clos_H2_08">Model!$BW$553</definedName>
    <definedName name="CS_CN_Clos_H2_09">Model!$BZ$553</definedName>
    <definedName name="CS_CN_Clos_H2_10">Model!$CC$553</definedName>
    <definedName name="CS_CN_Clos_H2_11">Model!$CF$553</definedName>
    <definedName name="CS_CN_Clos_H2_12">Model!$CI$553</definedName>
    <definedName name="CS_CN_Clos_H2_13">Model!$CL$553</definedName>
    <definedName name="CS_CN_Clos_H2_14">Model!$CO$553</definedName>
    <definedName name="CS_CN_Clos_H2_15">Model!$CR$553</definedName>
    <definedName name="CS_CN_Clos_H2_16">Model!$CU$553</definedName>
    <definedName name="CS_CN_Clos_H2_17">Model!$CX$553</definedName>
    <definedName name="CS_CN_Clos_H2_18">Model!$DA$553</definedName>
    <definedName name="CS_CN_Clos_H2_19">Model!$DD$553</definedName>
    <definedName name="CS_CN_Clos_H2_20">Model!$DG$553</definedName>
    <definedName name="CS_CN_Conv_00">Model!$AZ$546</definedName>
    <definedName name="CS_CN_Conv_01">Model!$BC$546</definedName>
    <definedName name="CS_CN_Conv_02">Model!$BF$546</definedName>
    <definedName name="CS_CN_Conv_03">Model!$BI$546</definedName>
    <definedName name="CS_CN_Conv_04">Model!$BL$546</definedName>
    <definedName name="CS_CN_Conv_05">Model!$BO$546</definedName>
    <definedName name="CS_CN_Conv_06">Model!$BR$546</definedName>
    <definedName name="CS_CN_Conv_07">Model!$BU$546</definedName>
    <definedName name="CS_CN_Conv_08">Model!$BX$546</definedName>
    <definedName name="CS_CN_Conv_09">Model!$CA$546</definedName>
    <definedName name="CS_CN_Conv_10">Model!$CD$546</definedName>
    <definedName name="CS_CN_Conv_11">Model!$CG$546</definedName>
    <definedName name="CS_CN_Conv_12">Model!$CJ$546</definedName>
    <definedName name="CS_CN_Conv_13">Model!$CM$546</definedName>
    <definedName name="CS_CN_Conv_14">Model!$CP$546</definedName>
    <definedName name="CS_CN_Conv_15">Model!$CS$546</definedName>
    <definedName name="CS_CN_Conv_16">Model!$CV$546</definedName>
    <definedName name="CS_CN_Conv_17">Model!$CY$546</definedName>
    <definedName name="CS_CN_Conv_18">Model!$DB$546</definedName>
    <definedName name="CS_CN_Conv_19">Model!$DE$546</definedName>
    <definedName name="CS_CN_Conv_20">Model!$DH$546</definedName>
    <definedName name="CS_CN_Conv_H1_00">Model!$AX$546</definedName>
    <definedName name="CS_CN_Conv_H1_01">Model!$BA$546</definedName>
    <definedName name="CS_CN_Conv_H1_02">Model!$BD$546</definedName>
    <definedName name="CS_CN_Conv_H1_03">Model!$BG$546</definedName>
    <definedName name="CS_CN_Conv_H1_04">Model!$BJ$546</definedName>
    <definedName name="CS_CN_Conv_H1_05">Model!$BM$546</definedName>
    <definedName name="CS_CN_Conv_H1_06">Model!$BP$546</definedName>
    <definedName name="CS_CN_Conv_H1_07">Model!$BS$546</definedName>
    <definedName name="CS_CN_Conv_H1_08">Model!$BV$546</definedName>
    <definedName name="CS_CN_Conv_H1_09">Model!$BY$546</definedName>
    <definedName name="CS_CN_Conv_H1_10">Model!$CB$546</definedName>
    <definedName name="CS_CN_Conv_H1_11">Model!$CE$546</definedName>
    <definedName name="CS_CN_Conv_H1_12">Model!$CH$546</definedName>
    <definedName name="CS_CN_Conv_H1_13">Model!$CK$546</definedName>
    <definedName name="CS_CN_Conv_H1_14">Model!$CN$546</definedName>
    <definedName name="CS_CN_Conv_H1_15">Model!$CQ$546</definedName>
    <definedName name="CS_CN_Conv_H1_16">Model!$CT$546</definedName>
    <definedName name="CS_CN_Conv_H1_17">Model!$CW$546</definedName>
    <definedName name="CS_CN_Conv_H1_18">Model!$CZ$546</definedName>
    <definedName name="CS_CN_Conv_H1_19">Model!$DC$546</definedName>
    <definedName name="CS_CN_Conv_H1_20">Model!$DF$546</definedName>
    <definedName name="CS_CN_Conv_H2_00">Model!$AY$546</definedName>
    <definedName name="CS_CN_Conv_H2_01">Model!$BB$546</definedName>
    <definedName name="CS_CN_Conv_H2_02">Model!$BE$546</definedName>
    <definedName name="CS_CN_Conv_H2_03">Model!$BH$546</definedName>
    <definedName name="CS_CN_Conv_H2_04">Model!$BK$546</definedName>
    <definedName name="CS_CN_Conv_H2_05">Model!$BN$546</definedName>
    <definedName name="CS_CN_Conv_H2_06">Model!$BQ$546</definedName>
    <definedName name="CS_CN_Conv_H2_07">Model!$BT$546</definedName>
    <definedName name="CS_CN_Conv_H2_08">Model!$BW$546</definedName>
    <definedName name="CS_CN_Conv_H2_09">Model!$BZ$546</definedName>
    <definedName name="CS_CN_Conv_H2_10">Model!$CC$546</definedName>
    <definedName name="CS_CN_Conv_H2_11">Model!$CF$546</definedName>
    <definedName name="CS_CN_Conv_H2_12">Model!$CI$546</definedName>
    <definedName name="CS_CN_Conv_H2_13">Model!$CL$546</definedName>
    <definedName name="CS_CN_Conv_H2_14">Model!$CO$546</definedName>
    <definedName name="CS_CN_Conv_H2_15">Model!$CR$546</definedName>
    <definedName name="CS_CN_Conv_H2_16">Model!$CU$546</definedName>
    <definedName name="CS_CN_Conv_H2_17">Model!$CX$546</definedName>
    <definedName name="CS_CN_Conv_H2_18">Model!$DA$546</definedName>
    <definedName name="CS_CN_Conv_H2_19">Model!$DD$546</definedName>
    <definedName name="CS_CN_Conv_H2_20">Model!$DG$546</definedName>
    <definedName name="CS_CN_Issue_00">Model!$AZ$550</definedName>
    <definedName name="CS_CN_Issue_01">Model!$BC$550</definedName>
    <definedName name="CS_CN_Issue_02">Model!$BF$550</definedName>
    <definedName name="CS_CN_Issue_03">Model!$BI$550</definedName>
    <definedName name="CS_CN_Issue_04">Model!$BL$550</definedName>
    <definedName name="CS_CN_Issue_05">Model!$BO$550</definedName>
    <definedName name="CS_CN_Issue_06">Model!$BR$550</definedName>
    <definedName name="CS_CN_Issue_07">Model!$BU$550</definedName>
    <definedName name="CS_CN_Issue_08">Model!$BX$550</definedName>
    <definedName name="CS_CN_Issue_09">Model!$CA$550</definedName>
    <definedName name="CS_CN_Issue_10">Model!$CD$550</definedName>
    <definedName name="CS_CN_Issue_11">Model!$CG$550</definedName>
    <definedName name="CS_CN_Issue_12">Model!$CJ$550</definedName>
    <definedName name="CS_CN_Issue_13">Model!$CM$550</definedName>
    <definedName name="CS_CN_Issue_14">Model!$CP$550</definedName>
    <definedName name="CS_CN_Issue_15">Model!$CS$550</definedName>
    <definedName name="CS_CN_Issue_16">Model!$CV$550</definedName>
    <definedName name="CS_CN_Issue_17">Model!$CY$550</definedName>
    <definedName name="CS_CN_Issue_18">Model!$DB$550</definedName>
    <definedName name="CS_CN_Issue_19">Model!$DE$550</definedName>
    <definedName name="CS_CN_Issue_20">Model!$DH$550</definedName>
    <definedName name="CS_CN_Issue_H1_00">Model!$AX$550</definedName>
    <definedName name="CS_CN_Issue_H1_01">Model!$BA$550</definedName>
    <definedName name="CS_CN_Issue_H1_02">Model!$BD$550</definedName>
    <definedName name="CS_CN_Issue_H1_03">Model!$BG$550</definedName>
    <definedName name="CS_CN_Issue_H1_04">Model!$BJ$550</definedName>
    <definedName name="CS_CN_Issue_H1_05">Model!$BM$550</definedName>
    <definedName name="CS_CN_Issue_H1_06">Model!$BP$550</definedName>
    <definedName name="CS_CN_Issue_H1_07">Model!$BS$550</definedName>
    <definedName name="CS_CN_Issue_H1_08">Model!$BV$550</definedName>
    <definedName name="CS_CN_Issue_H1_09">Model!$BY$550</definedName>
    <definedName name="CS_CN_Issue_H1_10">Model!$CB$550</definedName>
    <definedName name="CS_CN_Issue_H1_11">Model!$CE$550</definedName>
    <definedName name="CS_CN_Issue_H1_12">Model!$CH$550</definedName>
    <definedName name="CS_CN_Issue_H1_13">Model!$CK$550</definedName>
    <definedName name="CS_CN_Issue_H1_14">Model!$CN$550</definedName>
    <definedName name="CS_CN_Issue_H1_15">Model!$CQ$550</definedName>
    <definedName name="CS_CN_Issue_H1_16">Model!$CT$550</definedName>
    <definedName name="CS_CN_Issue_H1_17">Model!$CW$550</definedName>
    <definedName name="CS_CN_Issue_H1_18">Model!$CZ$550</definedName>
    <definedName name="CS_CN_Issue_H1_19">Model!$DC$550</definedName>
    <definedName name="CS_CN_Issue_H1_20">Model!$DF$550</definedName>
    <definedName name="CS_CN_Issue_H2_00">Model!$AY$550</definedName>
    <definedName name="CS_CN_Issue_H2_01">Model!$BB$550</definedName>
    <definedName name="CS_CN_Issue_H2_02">Model!$BE$550</definedName>
    <definedName name="CS_CN_Issue_H2_03">Model!$BH$550</definedName>
    <definedName name="CS_CN_Issue_H2_04">Model!$BK$550</definedName>
    <definedName name="CS_CN_Issue_H2_05">Model!$BN$550</definedName>
    <definedName name="CS_CN_Issue_H2_06">Model!$BQ$550</definedName>
    <definedName name="CS_CN_Issue_H2_07">Model!$BT$550</definedName>
    <definedName name="CS_CN_Issue_H2_08">Model!$BW$550</definedName>
    <definedName name="CS_CN_Issue_H2_09">Model!$BZ$550</definedName>
    <definedName name="CS_CN_Issue_H2_10">Model!$CC$550</definedName>
    <definedName name="CS_CN_Issue_H2_11">Model!$CF$550</definedName>
    <definedName name="CS_CN_Issue_H2_12">Model!$CI$550</definedName>
    <definedName name="CS_CN_Issue_H2_13">Model!$CL$550</definedName>
    <definedName name="CS_CN_Issue_H2_14">Model!$CO$550</definedName>
    <definedName name="CS_CN_Issue_H2_15">Model!$CR$550</definedName>
    <definedName name="CS_CN_Issue_H2_16">Model!$CU$550</definedName>
    <definedName name="CS_CN_Issue_H2_17">Model!$CX$550</definedName>
    <definedName name="CS_CN_Issue_H2_18">Model!$DA$550</definedName>
    <definedName name="CS_CN_Issue_H2_19">Model!$DD$550</definedName>
    <definedName name="CS_CN_Issue_H2_20">Model!$DG$550</definedName>
    <definedName name="CS_CN_Op_00">Model!$AZ$545</definedName>
    <definedName name="CS_CN_Op_01">Model!$BC$545</definedName>
    <definedName name="CS_CN_Op_02">Model!$BF$545</definedName>
    <definedName name="CS_CN_Op_03">Model!$BI$545</definedName>
    <definedName name="CS_CN_Op_04">Model!$BL$545</definedName>
    <definedName name="CS_CN_Op_05">Model!$BO$545</definedName>
    <definedName name="CS_CN_Op_06">Model!$BR$545</definedName>
    <definedName name="CS_CN_Op_07">Model!$BU$545</definedName>
    <definedName name="CS_CN_Op_08">Model!$BX$545</definedName>
    <definedName name="CS_CN_Op_09">Model!$CA$545</definedName>
    <definedName name="CS_CN_Op_10">Model!$CD$545</definedName>
    <definedName name="CS_CN_Op_11">Model!$CG$545</definedName>
    <definedName name="CS_CN_Op_12">Model!$CJ$545</definedName>
    <definedName name="CS_CN_Op_13">Model!$CM$545</definedName>
    <definedName name="CS_CN_Op_14">Model!$CP$545</definedName>
    <definedName name="CS_CN_Op_15">Model!$CS$545</definedName>
    <definedName name="CS_CN_Op_16">Model!$CV$545</definedName>
    <definedName name="CS_CN_Op_17">Model!$CY$545</definedName>
    <definedName name="CS_CN_Op_18">Model!$DB$545</definedName>
    <definedName name="CS_CN_Op_19">Model!$DE$545</definedName>
    <definedName name="CS_CN_Op_20">Model!$DH$545</definedName>
    <definedName name="CS_CN_Op_H1_00">Model!$AX$545</definedName>
    <definedName name="CS_CN_Op_H1_01">Model!$BA$545</definedName>
    <definedName name="CS_CN_Op_H1_02">Model!$BD$545</definedName>
    <definedName name="CS_CN_Op_H1_03">Model!$BG$545</definedName>
    <definedName name="CS_CN_Op_H1_04">Model!$BJ$545</definedName>
    <definedName name="CS_CN_Op_H1_05">Model!$BM$545</definedName>
    <definedName name="CS_CN_Op_H1_06">Model!$BP$545</definedName>
    <definedName name="CS_CN_Op_H1_07">Model!$BS$545</definedName>
    <definedName name="CS_CN_Op_H1_08">Model!$BV$545</definedName>
    <definedName name="CS_CN_Op_H1_09">Model!$BY$545</definedName>
    <definedName name="CS_CN_Op_H1_10">Model!$CB$545</definedName>
    <definedName name="CS_CN_Op_H1_11">Model!$CE$545</definedName>
    <definedName name="CS_CN_Op_H1_12">Model!$CH$545</definedName>
    <definedName name="CS_CN_Op_H1_13">Model!$CK$545</definedName>
    <definedName name="CS_CN_Op_H1_14">Model!$CN$545</definedName>
    <definedName name="CS_CN_Op_H1_15">Model!$CQ$545</definedName>
    <definedName name="CS_CN_Op_H1_16">Model!$CT$545</definedName>
    <definedName name="CS_CN_Op_H1_17">Model!$CW$545</definedName>
    <definedName name="CS_CN_Op_H1_18">Model!$CZ$545</definedName>
    <definedName name="CS_CN_Op_H1_19">Model!$DC$545</definedName>
    <definedName name="CS_CN_Op_H1_20">Model!$DF$545</definedName>
    <definedName name="CS_CN_Op_H2_00">Model!$AY$545</definedName>
    <definedName name="CS_CN_Op_H2_01">Model!$BB$545</definedName>
    <definedName name="CS_CN_Op_H2_02">Model!$BE$545</definedName>
    <definedName name="CS_CN_Op_H2_03">Model!$BH$545</definedName>
    <definedName name="CS_CN_Op_H2_04">Model!$BK$545</definedName>
    <definedName name="CS_CN_Op_H2_05">Model!$BN$545</definedName>
    <definedName name="CS_CN_Op_H2_06">Model!$BQ$545</definedName>
    <definedName name="CS_CN_Op_H2_07">Model!$BT$545</definedName>
    <definedName name="CS_CN_Op_H2_08">Model!$BW$545</definedName>
    <definedName name="CS_CN_Op_H2_09">Model!$BZ$545</definedName>
    <definedName name="CS_CN_Op_H2_10">Model!$CC$545</definedName>
    <definedName name="CS_CN_Op_H2_11">Model!$CF$545</definedName>
    <definedName name="CS_CN_Op_H2_12">Model!$CI$545</definedName>
    <definedName name="CS_CN_Op_H2_13">Model!$CL$545</definedName>
    <definedName name="CS_CN_Op_H2_14">Model!$CO$545</definedName>
    <definedName name="CS_CN_Op_H2_15">Model!$CR$545</definedName>
    <definedName name="CS_CN_Op_H2_16">Model!$CU$545</definedName>
    <definedName name="CS_CN_Op_H2_17">Model!$CX$545</definedName>
    <definedName name="CS_CN_Op_H2_18">Model!$DA$545</definedName>
    <definedName name="CS_CN_Op_H2_19">Model!$DD$545</definedName>
    <definedName name="CS_CN_Op_H2_20">Model!$DG$545</definedName>
    <definedName name="CS_CN_Repaid_00">Model!$AZ$548</definedName>
    <definedName name="CS_CN_Repaid_01">Model!$BC$548</definedName>
    <definedName name="CS_CN_Repaid_02">Model!$BF$548</definedName>
    <definedName name="CS_CN_Repaid_03">Model!$BI$548</definedName>
    <definedName name="CS_CN_Repaid_04">Model!$BL$548</definedName>
    <definedName name="CS_CN_Repaid_05">Model!$BO$548</definedName>
    <definedName name="CS_CN_Repaid_06">Model!$BR$548</definedName>
    <definedName name="CS_CN_Repaid_07">Model!$BU$548</definedName>
    <definedName name="CS_CN_Repaid_08">Model!$BX$548</definedName>
    <definedName name="CS_CN_Repaid_09">Model!$CA$548</definedName>
    <definedName name="CS_CN_Repaid_10">Model!$CD$548</definedName>
    <definedName name="CS_CN_Repaid_11">Model!$CG$548</definedName>
    <definedName name="CS_CN_Repaid_12">Model!$CJ$548</definedName>
    <definedName name="CS_CN_Repaid_13">Model!$CM$548</definedName>
    <definedName name="CS_CN_Repaid_14">Model!$CP$548</definedName>
    <definedName name="CS_CN_Repaid_15">Model!$CS$548</definedName>
    <definedName name="CS_CN_Repaid_16">Model!$CV$548</definedName>
    <definedName name="CS_CN_Repaid_17">Model!$CY$548</definedName>
    <definedName name="CS_CN_Repaid_18">Model!$DB$548</definedName>
    <definedName name="CS_CN_Repaid_19">Model!$DE$548</definedName>
    <definedName name="CS_CN_Repaid_20">Model!$DH$548</definedName>
    <definedName name="CS_CN_Repaid_H1_00">Model!$AX$548</definedName>
    <definedName name="CS_CN_Repaid_H1_01">Model!$BA$548</definedName>
    <definedName name="CS_CN_Repaid_H1_02">Model!$BD$548</definedName>
    <definedName name="CS_CN_Repaid_H1_03">Model!$BG$548</definedName>
    <definedName name="CS_CN_Repaid_H1_04">Model!$BJ$548</definedName>
    <definedName name="CS_CN_Repaid_H1_05">Model!$BM$548</definedName>
    <definedName name="CS_CN_Repaid_H1_06">Model!$BP$548</definedName>
    <definedName name="CS_CN_Repaid_H1_07">Model!$BS$548</definedName>
    <definedName name="CS_CN_Repaid_H1_08">Model!$BV$548</definedName>
    <definedName name="CS_CN_Repaid_H1_09">Model!$BY$548</definedName>
    <definedName name="CS_CN_Repaid_H1_10">Model!$CB$548</definedName>
    <definedName name="CS_CN_Repaid_H1_11">Model!$CE$548</definedName>
    <definedName name="CS_CN_Repaid_H1_12">Model!$CH$548</definedName>
    <definedName name="CS_CN_Repaid_H1_13">Model!$CK$548</definedName>
    <definedName name="CS_CN_Repaid_H1_14">Model!$CN$548</definedName>
    <definedName name="CS_CN_Repaid_H1_15">Model!$CQ$548</definedName>
    <definedName name="CS_CN_Repaid_H1_16">Model!$CT$548</definedName>
    <definedName name="CS_CN_Repaid_H1_17">Model!$CW$548</definedName>
    <definedName name="CS_CN_Repaid_H1_18">Model!$CZ$548</definedName>
    <definedName name="CS_CN_Repaid_H1_19">Model!$DC$548</definedName>
    <definedName name="CS_CN_Repaid_H1_20">Model!$DF$548</definedName>
    <definedName name="CS_CN_Repaid_H2_00">Model!$AY$548</definedName>
    <definedName name="CS_CN_Repaid_H2_01">Model!$BB$548</definedName>
    <definedName name="CS_CN_Repaid_H2_02">Model!$BE$548</definedName>
    <definedName name="CS_CN_Repaid_H2_03">Model!$BH$548</definedName>
    <definedName name="CS_CN_Repaid_H2_04">Model!$BK$548</definedName>
    <definedName name="CS_CN_Repaid_H2_05">Model!$BN$548</definedName>
    <definedName name="CS_CN_Repaid_H2_06">Model!$BQ$548</definedName>
    <definedName name="CS_CN_Repaid_H2_07">Model!$BT$548</definedName>
    <definedName name="CS_CN_Repaid_H2_08">Model!$BW$548</definedName>
    <definedName name="CS_CN_Repaid_H2_09">Model!$BZ$548</definedName>
    <definedName name="CS_CN_Repaid_H2_10">Model!$CC$548</definedName>
    <definedName name="CS_CN_Repaid_H2_11">Model!$CF$548</definedName>
    <definedName name="CS_CN_Repaid_H2_12">Model!$CI$548</definedName>
    <definedName name="CS_CN_Repaid_H2_13">Model!$CL$548</definedName>
    <definedName name="CS_CN_Repaid_H2_14">Model!$CO$548</definedName>
    <definedName name="CS_CN_Repaid_H2_15">Model!$CR$548</definedName>
    <definedName name="CS_CN_Repaid_H2_16">Model!$CU$548</definedName>
    <definedName name="CS_CN_Repaid_H2_17">Model!$CX$548</definedName>
    <definedName name="CS_CN_Repaid_H2_18">Model!$DA$548</definedName>
    <definedName name="CS_CN_Repaid_H2_19">Model!$DD$548</definedName>
    <definedName name="CS_CN_Repaid_H2_20">Model!$DG$548</definedName>
    <definedName name="CS_NonCon_Clos_00">Model!$AZ$564</definedName>
    <definedName name="CS_NonCon_Clos_01">Model!$BC$564</definedName>
    <definedName name="CS_NonCon_Clos_02">Model!$BF$564</definedName>
    <definedName name="CS_NonCon_Clos_03">Model!$BI$564</definedName>
    <definedName name="CS_NonCon_Clos_04">Model!$BL$564</definedName>
    <definedName name="CS_NonCon_Clos_05">Model!$BO$564</definedName>
    <definedName name="CS_NonCon_Clos_06">Model!$BR$564</definedName>
    <definedName name="CS_NonCon_Clos_07">Model!$BU$564</definedName>
    <definedName name="CS_NonCon_Clos_08">Model!$BX$564</definedName>
    <definedName name="CS_NonCon_Clos_09">Model!$CA$564</definedName>
    <definedName name="CS_NonCon_Clos_10">Model!$CD$564</definedName>
    <definedName name="CS_NonCon_Clos_11">Model!$CG$564</definedName>
    <definedName name="CS_NonCon_Clos_12">Model!$CJ$564</definedName>
    <definedName name="CS_NonCon_Clos_13">Model!$CM$564</definedName>
    <definedName name="CS_NonCon_Clos_14">Model!$CP$564</definedName>
    <definedName name="CS_NonCon_Clos_15">Model!$CS$564</definedName>
    <definedName name="CS_NonCon_Clos_16">Model!$CV$564</definedName>
    <definedName name="CS_NonCon_Clos_17">Model!$CY$564</definedName>
    <definedName name="CS_NonCon_Clos_18">Model!$DB$564</definedName>
    <definedName name="CS_NonCon_Clos_19">Model!$DE$564</definedName>
    <definedName name="CS_NonCon_Clos_20">Model!$DH$564</definedName>
    <definedName name="CS_NonCon_Clos_H1_00">Model!$AX$564</definedName>
    <definedName name="CS_NonCon_Clos_H1_01">Model!$BA$564</definedName>
    <definedName name="CS_NonCon_Clos_H1_02">Model!$BD$564</definedName>
    <definedName name="CS_NonCon_Clos_H1_03">Model!$BG$564</definedName>
    <definedName name="CS_NonCon_Clos_H1_04">Model!$BJ$564</definedName>
    <definedName name="CS_NonCon_Clos_H1_05">Model!$BM$564</definedName>
    <definedName name="CS_NonCon_Clos_H1_06">Model!$BP$564</definedName>
    <definedName name="CS_NonCon_Clos_H1_07">Model!$BS$564</definedName>
    <definedName name="CS_NonCon_Clos_H1_08">Model!$BV$564</definedName>
    <definedName name="CS_NonCon_Clos_H1_09">Model!$BY$564</definedName>
    <definedName name="CS_NonCon_Clos_H1_10">Model!$CB$564</definedName>
    <definedName name="CS_NonCon_Clos_H1_11">Model!$CE$564</definedName>
    <definedName name="CS_NonCon_Clos_H1_12">Model!$CH$564</definedName>
    <definedName name="CS_NonCon_Clos_H1_13">Model!$CK$564</definedName>
    <definedName name="CS_NonCon_Clos_H1_14">Model!$CN$564</definedName>
    <definedName name="CS_NonCon_Clos_H1_15">Model!$CQ$564</definedName>
    <definedName name="CS_NonCon_Clos_H1_16">Model!$CT$564</definedName>
    <definedName name="CS_NonCon_Clos_H1_17">Model!$CW$564</definedName>
    <definedName name="CS_NonCon_Clos_H1_18">Model!$CZ$564</definedName>
    <definedName name="CS_NonCon_Clos_H1_19">Model!$DC$564</definedName>
    <definedName name="CS_NonCon_Clos_H1_20">Model!$DF$564</definedName>
    <definedName name="CS_NonCon_Clos_H2_00">Model!$AY$564</definedName>
    <definedName name="CS_NonCon_Clos_H2_01">Model!$BB$564</definedName>
    <definedName name="CS_NonCon_Clos_H2_02">Model!$BE$564</definedName>
    <definedName name="CS_NonCon_Clos_H2_03">Model!$BH$564</definedName>
    <definedName name="CS_NonCon_Clos_H2_04">Model!$BK$564</definedName>
    <definedName name="CS_NonCon_Clos_H2_05">Model!$BN$564</definedName>
    <definedName name="CS_NonCon_Clos_H2_06">Model!$BQ$564</definedName>
    <definedName name="CS_NonCon_Clos_H2_07">Model!$BT$564</definedName>
    <definedName name="CS_NonCon_Clos_H2_08">Model!$BW$564</definedName>
    <definedName name="CS_NonCon_Clos_H2_09">Model!$BZ$564</definedName>
    <definedName name="CS_NonCon_Clos_H2_10">Model!$CC$564</definedName>
    <definedName name="CS_NonCon_Clos_H2_11">Model!$CF$564</definedName>
    <definedName name="CS_NonCon_Clos_H2_12">Model!$CI$564</definedName>
    <definedName name="CS_NonCon_Clos_H2_13">Model!$CL$564</definedName>
    <definedName name="CS_NonCon_Clos_H2_14">Model!$CO$564</definedName>
    <definedName name="CS_NonCon_Clos_H2_15">Model!$CR$564</definedName>
    <definedName name="CS_NonCon_Clos_H2_16">Model!$CU$564</definedName>
    <definedName name="CS_NonCon_Clos_H2_17">Model!$CX$564</definedName>
    <definedName name="CS_NonCon_Clos_H2_18">Model!$DA$564</definedName>
    <definedName name="CS_NonCon_Clos_H2_19">Model!$DD$564</definedName>
    <definedName name="CS_NonCon_Clos_H2_20">Model!$DG$564</definedName>
    <definedName name="CS_NonCon_Issue_00">Model!$AZ$561</definedName>
    <definedName name="CS_NonCon_Issue_01">Model!$BC$561</definedName>
    <definedName name="CS_NonCon_Issue_02">Model!$BF$561</definedName>
    <definedName name="CS_NonCon_Issue_03">Model!$BI$561</definedName>
    <definedName name="CS_NonCon_Issue_04">Model!$BL$561</definedName>
    <definedName name="CS_NonCon_Issue_05">Model!$BO$561</definedName>
    <definedName name="CS_NonCon_Issue_06">Model!$BR$561</definedName>
    <definedName name="CS_NonCon_Issue_07">Model!$BU$561</definedName>
    <definedName name="CS_NonCon_Issue_08">Model!$BX$561</definedName>
    <definedName name="CS_NonCon_Issue_09">Model!$CA$561</definedName>
    <definedName name="CS_NonCon_Issue_10">Model!$CD$561</definedName>
    <definedName name="CS_NonCon_Issue_11">Model!$CG$561</definedName>
    <definedName name="CS_NonCon_Issue_12">Model!$CJ$561</definedName>
    <definedName name="CS_NonCon_Issue_13">Model!$CM$561</definedName>
    <definedName name="CS_NonCon_Issue_14">Model!$CP$561</definedName>
    <definedName name="CS_NonCon_Issue_15">Model!$CS$561</definedName>
    <definedName name="CS_NonCon_Issue_16">Model!$CV$561</definedName>
    <definedName name="CS_NonCon_Issue_17">Model!$CY$561</definedName>
    <definedName name="CS_NonCon_Issue_18">Model!$DB$561</definedName>
    <definedName name="CS_NonCon_Issue_19">Model!$DE$561</definedName>
    <definedName name="CS_NonCon_Issue_20">Model!$DH$561</definedName>
    <definedName name="CS_NonCon_Issue_H1_00">Model!$AX$561</definedName>
    <definedName name="CS_NonCon_Issue_H1_01">Model!$BA$561</definedName>
    <definedName name="CS_NonCon_Issue_H1_02">Model!$BD$561</definedName>
    <definedName name="CS_NonCon_Issue_H1_03">Model!$BG$561</definedName>
    <definedName name="CS_NonCon_Issue_H1_04">Model!$BJ$561</definedName>
    <definedName name="CS_NonCon_Issue_H1_05">Model!$BM$561</definedName>
    <definedName name="CS_NonCon_Issue_H1_06">Model!$BP$561</definedName>
    <definedName name="CS_NonCon_Issue_H1_07">Model!$BS$561</definedName>
    <definedName name="CS_NonCon_Issue_H1_08">Model!$BV$561</definedName>
    <definedName name="CS_NonCon_Issue_H1_09">Model!$BY$561</definedName>
    <definedName name="CS_NonCon_Issue_H1_10">Model!$CB$561</definedName>
    <definedName name="CS_NonCon_Issue_H1_11">Model!$CE$561</definedName>
    <definedName name="CS_NonCon_Issue_H1_12">Model!$CH$561</definedName>
    <definedName name="CS_NonCon_Issue_H1_13">Model!$CK$561</definedName>
    <definedName name="CS_NonCon_Issue_H1_14">Model!$CN$561</definedName>
    <definedName name="CS_NonCon_Issue_H1_15">Model!$CQ$561</definedName>
    <definedName name="CS_NonCon_Issue_H1_16">Model!$CT$561</definedName>
    <definedName name="CS_NonCon_Issue_H1_17">Model!$CW$561</definedName>
    <definedName name="CS_NonCon_Issue_H1_18">Model!$CZ$561</definedName>
    <definedName name="CS_NonCon_Issue_H1_19">Model!$DC$561</definedName>
    <definedName name="CS_NonCon_Issue_H1_20">Model!$DF$561</definedName>
    <definedName name="CS_NonCon_Issue_H2_00">Model!$AY$561</definedName>
    <definedName name="CS_NonCon_Issue_H2_01">Model!$BB$561</definedName>
    <definedName name="CS_NonCon_Issue_H2_02">Model!$BE$561</definedName>
    <definedName name="CS_NonCon_Issue_H2_03">Model!$BH$561</definedName>
    <definedName name="CS_NonCon_Issue_H2_04">Model!$BK$561</definedName>
    <definedName name="CS_NonCon_Issue_H2_05">Model!$BN$561</definedName>
    <definedName name="CS_NonCon_Issue_H2_06">Model!$BQ$561</definedName>
    <definedName name="CS_NonCon_Issue_H2_07">Model!$BT$561</definedName>
    <definedName name="CS_NonCon_Issue_H2_08">Model!$BW$561</definedName>
    <definedName name="CS_NonCon_Issue_H2_09">Model!$BZ$561</definedName>
    <definedName name="CS_NonCon_Issue_H2_10">Model!$CC$561</definedName>
    <definedName name="CS_NonCon_Issue_H2_11">Model!$CF$561</definedName>
    <definedName name="CS_NonCon_Issue_H2_12">Model!$CI$561</definedName>
    <definedName name="CS_NonCon_Issue_H2_13">Model!$CL$561</definedName>
    <definedName name="CS_NonCon_Issue_H2_14">Model!$CO$561</definedName>
    <definedName name="CS_NonCon_Issue_H2_15">Model!$CR$561</definedName>
    <definedName name="CS_NonCon_Issue_H2_16">Model!$CU$561</definedName>
    <definedName name="CS_NonCon_Issue_H2_17">Model!$CX$561</definedName>
    <definedName name="CS_NonCon_Issue_H2_18">Model!$DA$561</definedName>
    <definedName name="CS_NonCon_Issue_H2_19">Model!$DD$561</definedName>
    <definedName name="CS_NonCon_Issue_H2_20">Model!$DG$561</definedName>
    <definedName name="CS_NonCon_Op_00">Model!$AZ$556</definedName>
    <definedName name="CS_NonCon_Op_01">Model!$BC$556</definedName>
    <definedName name="CS_NonCon_Op_02">Model!$BF$556</definedName>
    <definedName name="CS_NonCon_Op_03">Model!$BI$556</definedName>
    <definedName name="CS_NonCon_Op_04">Model!$BL$556</definedName>
    <definedName name="CS_NonCon_Op_05">Model!$BO$556</definedName>
    <definedName name="CS_NonCon_Op_06">Model!$BR$556</definedName>
    <definedName name="CS_NonCon_Op_07">Model!$BU$556</definedName>
    <definedName name="CS_NonCon_Op_08">Model!$BX$556</definedName>
    <definedName name="CS_NonCon_Op_09">Model!$CA$556</definedName>
    <definedName name="CS_NonCon_Op_10">Model!$CD$556</definedName>
    <definedName name="CS_NonCon_Op_11">Model!$CG$556</definedName>
    <definedName name="CS_NonCon_Op_12">Model!$CJ$556</definedName>
    <definedName name="CS_NonCon_Op_13">Model!$CM$556</definedName>
    <definedName name="CS_NonCon_Op_14">Model!$CP$556</definedName>
    <definedName name="CS_NonCon_Op_15">Model!$CS$556</definedName>
    <definedName name="CS_NonCon_Op_16">Model!$CV$556</definedName>
    <definedName name="CS_NonCon_Op_17">Model!$CY$556</definedName>
    <definedName name="CS_NonCon_Op_18">Model!$DB$556</definedName>
    <definedName name="CS_NonCon_Op_19">Model!$DE$556</definedName>
    <definedName name="CS_NonCon_Op_20">Model!$DH$556</definedName>
    <definedName name="CS_NonCon_Op_H1_00">Model!$AX$556</definedName>
    <definedName name="CS_NonCon_Op_H1_01">Model!$BA$556</definedName>
    <definedName name="CS_NonCon_Op_H1_02">Model!$BD$556</definedName>
    <definedName name="CS_NonCon_Op_H1_03">Model!$BG$556</definedName>
    <definedName name="CS_NonCon_Op_H1_04">Model!$BJ$556</definedName>
    <definedName name="CS_NonCon_Op_H1_05">Model!$BM$556</definedName>
    <definedName name="CS_NonCon_Op_H1_06">Model!$BP$556</definedName>
    <definedName name="CS_NonCon_Op_H1_07">Model!$BS$556</definedName>
    <definedName name="CS_NonCon_Op_H1_08">Model!$BV$556</definedName>
    <definedName name="CS_NonCon_Op_H1_09">Model!$BY$556</definedName>
    <definedName name="CS_NonCon_Op_H1_10">Model!$CB$556</definedName>
    <definedName name="CS_NonCon_Op_H1_11">Model!$CE$556</definedName>
    <definedName name="CS_NonCon_Op_H1_12">Model!$CH$556</definedName>
    <definedName name="CS_NonCon_Op_H1_13">Model!$CK$556</definedName>
    <definedName name="CS_NonCon_Op_H1_14">Model!$CN$556</definedName>
    <definedName name="CS_NonCon_Op_H1_15">Model!$CQ$556</definedName>
    <definedName name="CS_NonCon_Op_H1_16">Model!$CT$556</definedName>
    <definedName name="CS_NonCon_Op_H1_17">Model!$CW$556</definedName>
    <definedName name="CS_NonCon_Op_H1_18">Model!$CZ$556</definedName>
    <definedName name="CS_NonCon_Op_H1_19">Model!$DC$556</definedName>
    <definedName name="CS_NonCon_Op_H1_20">Model!$DF$556</definedName>
    <definedName name="CS_NonCon_Op_H2_00">Model!$AY$556</definedName>
    <definedName name="CS_NonCon_Op_H2_01">Model!$BB$556</definedName>
    <definedName name="CS_NonCon_Op_H2_02">Model!$BE$556</definedName>
    <definedName name="CS_NonCon_Op_H2_03">Model!$BH$556</definedName>
    <definedName name="CS_NonCon_Op_H2_04">Model!$BK$556</definedName>
    <definedName name="CS_NonCon_Op_H2_05">Model!$BN$556</definedName>
    <definedName name="CS_NonCon_Op_H2_06">Model!$BQ$556</definedName>
    <definedName name="CS_NonCon_Op_H2_07">Model!$BT$556</definedName>
    <definedName name="CS_NonCon_Op_H2_08">Model!$BW$556</definedName>
    <definedName name="CS_NonCon_Op_H2_09">Model!$BZ$556</definedName>
    <definedName name="CS_NonCon_Op_H2_10">Model!$CC$556</definedName>
    <definedName name="CS_NonCon_Op_H2_11">Model!$CF$556</definedName>
    <definedName name="CS_NonCon_Op_H2_12">Model!$CI$556</definedName>
    <definedName name="CS_NonCon_Op_H2_13">Model!$CL$556</definedName>
    <definedName name="CS_NonCon_Op_H2_14">Model!$CO$556</definedName>
    <definedName name="CS_NonCon_Op_H2_15">Model!$CR$556</definedName>
    <definedName name="CS_NonCon_Op_H2_16">Model!$CU$556</definedName>
    <definedName name="CS_NonCon_Op_H2_17">Model!$CX$556</definedName>
    <definedName name="CS_NonCon_Op_H2_18">Model!$DA$556</definedName>
    <definedName name="CS_NonCon_Op_H2_19">Model!$DD$556</definedName>
    <definedName name="CS_NonCon_Op_H2_20">Model!$DG$556</definedName>
    <definedName name="CS_NonCon_RC_00">Model!$AZ$559</definedName>
    <definedName name="CS_NonCon_RC_01">Model!$BC$559</definedName>
    <definedName name="CS_NonCon_RC_02">Model!$BF$559</definedName>
    <definedName name="CS_NonCon_RC_03">Model!$BI$559</definedName>
    <definedName name="CS_NonCon_RC_04">Model!$BL$559</definedName>
    <definedName name="CS_NonCon_RC_05">Model!$BO$559</definedName>
    <definedName name="CS_NonCon_RC_06">Model!$BR$559</definedName>
    <definedName name="CS_NonCon_RC_07">Model!$BU$559</definedName>
    <definedName name="CS_NonCon_RC_08">Model!$BX$559</definedName>
    <definedName name="CS_NonCon_RC_09">Model!$CA$559</definedName>
    <definedName name="CS_NonCon_RC_10">Model!$CD$559</definedName>
    <definedName name="CS_NonCon_RC_11">Model!$CG$559</definedName>
    <definedName name="CS_NonCon_RC_12">Model!$CJ$559</definedName>
    <definedName name="CS_NonCon_RC_13">Model!$CM$559</definedName>
    <definedName name="CS_NonCon_RC_14">Model!$CP$559</definedName>
    <definedName name="CS_NonCon_RC_15">Model!$CS$559</definedName>
    <definedName name="CS_NonCon_RC_16">Model!$CV$559</definedName>
    <definedName name="CS_NonCon_RC_17">Model!$CY$559</definedName>
    <definedName name="CS_NonCon_RC_18">Model!$DB$559</definedName>
    <definedName name="CS_NonCon_RC_19">Model!$DE$559</definedName>
    <definedName name="CS_NonCon_RC_20">Model!$DH$559</definedName>
    <definedName name="CS_NonCon_RC_H1_00">Model!$AX$559</definedName>
    <definedName name="CS_NonCon_RC_H1_01">Model!$BA$559</definedName>
    <definedName name="CS_NonCon_RC_H1_02">Model!$BD$559</definedName>
    <definedName name="CS_NonCon_RC_H1_03">Model!$BG$559</definedName>
    <definedName name="CS_NonCon_RC_H1_04">Model!$BJ$559</definedName>
    <definedName name="CS_NonCon_RC_H1_05">Model!$BM$559</definedName>
    <definedName name="CS_NonCon_RC_H1_06">Model!$BP$559</definedName>
    <definedName name="CS_NonCon_RC_H1_07">Model!$BS$559</definedName>
    <definedName name="CS_NonCon_RC_H1_08">Model!$BV$559</definedName>
    <definedName name="CS_NonCon_RC_H1_09">Model!$BY$559</definedName>
    <definedName name="CS_NonCon_RC_H1_10">Model!$CB$559</definedName>
    <definedName name="CS_NonCon_RC_H1_11">Model!$CE$559</definedName>
    <definedName name="CS_NonCon_RC_H1_12">Model!$CH$559</definedName>
    <definedName name="CS_NonCon_RC_H1_13">Model!$CK$559</definedName>
    <definedName name="CS_NonCon_RC_H1_14">Model!$CN$559</definedName>
    <definedName name="CS_NonCon_RC_H1_15">Model!$CQ$559</definedName>
    <definedName name="CS_NonCon_RC_H1_16">Model!$CT$559</definedName>
    <definedName name="CS_NonCon_RC_H1_17">Model!$CW$559</definedName>
    <definedName name="CS_NonCon_RC_H1_18">Model!$CZ$559</definedName>
    <definedName name="CS_NonCon_RC_H1_19">Model!$DC$559</definedName>
    <definedName name="CS_NonCon_RC_H1_20">Model!$DF$559</definedName>
    <definedName name="CS_NonCon_RC_H2_00">Model!$AY$559</definedName>
    <definedName name="CS_NonCon_RC_H2_01">Model!$BB$559</definedName>
    <definedName name="CS_NonCon_RC_H2_02">Model!$BE$559</definedName>
    <definedName name="CS_NonCon_RC_H2_03">Model!$BH$559</definedName>
    <definedName name="CS_NonCon_RC_H2_04">Model!$BK$559</definedName>
    <definedName name="CS_NonCon_RC_H2_05">Model!$BN$559</definedName>
    <definedName name="CS_NonCon_RC_H2_06">Model!$BQ$559</definedName>
    <definedName name="CS_NonCon_RC_H2_07">Model!$BT$559</definedName>
    <definedName name="CS_NonCon_RC_H2_08">Model!$BW$559</definedName>
    <definedName name="CS_NonCon_RC_H2_09">Model!$BZ$559</definedName>
    <definedName name="CS_NonCon_RC_H2_10">Model!$CC$559</definedName>
    <definedName name="CS_NonCon_RC_H2_11">Model!$CF$559</definedName>
    <definedName name="CS_NonCon_RC_H2_12">Model!$CI$559</definedName>
    <definedName name="CS_NonCon_RC_H2_13">Model!$CL$559</definedName>
    <definedName name="CS_NonCon_RC_H2_14">Model!$CO$559</definedName>
    <definedName name="CS_NonCon_RC_H2_15">Model!$CR$559</definedName>
    <definedName name="CS_NonCon_RC_H2_16">Model!$CU$559</definedName>
    <definedName name="CS_NonCon_RC_H2_17">Model!$CX$559</definedName>
    <definedName name="CS_NonCon_RC_H2_18">Model!$DA$559</definedName>
    <definedName name="CS_NonCon_RC_H2_19">Model!$DD$559</definedName>
    <definedName name="CS_NonCon_RC_H2_20">Model!$DG$559</definedName>
    <definedName name="CS_OpSum_Avg_00">Model!$AZ$529</definedName>
    <definedName name="CS_OpSum_Avg_01">Model!$BC$529</definedName>
    <definedName name="CS_OpSum_Avg_02">Model!$BF$529</definedName>
    <definedName name="CS_OpSum_Avg_03">Model!$BI$529</definedName>
    <definedName name="CS_OpSum_Avg_04">Model!$BL$529</definedName>
    <definedName name="CS_OpSum_Avg_05">Model!$BO$529</definedName>
    <definedName name="CS_OpSum_Avg_06">Model!$BR$529</definedName>
    <definedName name="CS_OpSum_Avg_07">Model!$BU$529</definedName>
    <definedName name="CS_OpSum_Avg_08">Model!$BX$529</definedName>
    <definedName name="CS_OpSum_Avg_09">Model!$CA$529</definedName>
    <definedName name="CS_OpSum_Avg_10">Model!$CD$529</definedName>
    <definedName name="CS_OpSum_Avg_11">Model!$CG$529</definedName>
    <definedName name="CS_OpSum_Avg_12">Model!$CJ$529</definedName>
    <definedName name="CS_OpSum_Avg_13">Model!$CM$529</definedName>
    <definedName name="CS_OpSum_Avg_14">Model!$CP$529</definedName>
    <definedName name="CS_OpSum_Avg_15">Model!$CS$529</definedName>
    <definedName name="CS_OpSum_Avg_16">Model!$CV$529</definedName>
    <definedName name="CS_OpSum_Avg_17">Model!$CY$529</definedName>
    <definedName name="CS_OpSum_Avg_18">Model!$DB$529</definedName>
    <definedName name="CS_OpSum_Avg_19">Model!$DE$529</definedName>
    <definedName name="CS_OpSum_Avg_20">Model!$DH$529</definedName>
    <definedName name="CS_OpSum_Avg_H1_00">Model!$AX$529</definedName>
    <definedName name="CS_OpSum_Avg_H1_01">Model!$BA$529</definedName>
    <definedName name="CS_OpSum_Avg_H1_02">Model!$BD$529</definedName>
    <definedName name="CS_OpSum_Avg_H1_03">Model!$BG$529</definedName>
    <definedName name="CS_OpSum_Avg_H1_04">Model!$BJ$529</definedName>
    <definedName name="CS_OpSum_Avg_H1_05">Model!$BM$529</definedName>
    <definedName name="CS_OpSum_Avg_H1_06">Model!$BP$529</definedName>
    <definedName name="CS_OpSum_Avg_H1_07">Model!$BS$529</definedName>
    <definedName name="CS_OpSum_Avg_H1_08">Model!$BV$529</definedName>
    <definedName name="CS_OpSum_Avg_H1_09">Model!$BY$529</definedName>
    <definedName name="CS_OpSum_Avg_H1_10">Model!$CB$529</definedName>
    <definedName name="CS_OpSum_Avg_H1_11">Model!$CE$529</definedName>
    <definedName name="CS_OpSum_Avg_H1_12">Model!$CH$529</definedName>
    <definedName name="CS_OpSum_Avg_H1_13">Model!$CK$529</definedName>
    <definedName name="CS_OpSum_Avg_H1_14">Model!$CN$529</definedName>
    <definedName name="CS_OpSum_Avg_H1_15">Model!$CQ$529</definedName>
    <definedName name="CS_OpSum_Avg_H1_16">Model!$CT$529</definedName>
    <definedName name="CS_OpSum_Avg_H1_17">Model!$CW$529</definedName>
    <definedName name="CS_OpSum_Avg_H1_18">Model!$CZ$529</definedName>
    <definedName name="CS_OpSum_Avg_H1_19">Model!$DC$529</definedName>
    <definedName name="CS_OpSum_Avg_H1_20">Model!$DF$529</definedName>
    <definedName name="CS_OpSum_Avg_H2_00">Model!$AY$529</definedName>
    <definedName name="CS_OpSum_Avg_H2_01">Model!$BB$529</definedName>
    <definedName name="CS_OpSum_Avg_H2_02">Model!$BE$529</definedName>
    <definedName name="CS_OpSum_Avg_H2_03">Model!$BH$529</definedName>
    <definedName name="CS_OpSum_Avg_H2_04">Model!$BK$529</definedName>
    <definedName name="CS_OpSum_Avg_H2_05">Model!$BN$529</definedName>
    <definedName name="CS_OpSum_Avg_H2_06">Model!$BQ$529</definedName>
    <definedName name="CS_OpSum_Avg_H2_07">Model!$BT$529</definedName>
    <definedName name="CS_OpSum_Avg_H2_08">Model!$BW$529</definedName>
    <definedName name="CS_OpSum_Avg_H2_09">Model!$BZ$529</definedName>
    <definedName name="CS_OpSum_Avg_H2_10">Model!$CC$529</definedName>
    <definedName name="CS_OpSum_Avg_H2_11">Model!$CF$529</definedName>
    <definedName name="CS_OpSum_Avg_H2_12">Model!$CI$529</definedName>
    <definedName name="CS_OpSum_Avg_H2_13">Model!$CL$529</definedName>
    <definedName name="CS_OpSum_Avg_H2_14">Model!$CO$529</definedName>
    <definedName name="CS_OpSum_Avg_H2_15">Model!$CR$529</definedName>
    <definedName name="CS_OpSum_Avg_H2_16">Model!$CU$529</definedName>
    <definedName name="CS_OpSum_Avg_H2_17">Model!$CX$529</definedName>
    <definedName name="CS_OpSum_Avg_H2_18">Model!$DA$529</definedName>
    <definedName name="CS_OpSum_Avg_H2_19">Model!$DD$529</definedName>
    <definedName name="CS_OpSum_Avg_H2_20">Model!$DG$529</definedName>
    <definedName name="CS_OpSum_Clos_00">Model!$AZ$530</definedName>
    <definedName name="CS_OpSum_Clos_01">Model!$BC$530</definedName>
    <definedName name="CS_OpSum_Clos_02">Model!$BF$530</definedName>
    <definedName name="CS_OpSum_Clos_03">Model!$BI$530</definedName>
    <definedName name="CS_OpSum_Clos_04">Model!$BL$530</definedName>
    <definedName name="CS_OpSum_Clos_05">Model!$BO$530</definedName>
    <definedName name="CS_OpSum_Clos_06">Model!$BR$530</definedName>
    <definedName name="CS_OpSum_Clos_07">Model!$BU$530</definedName>
    <definedName name="CS_OpSum_Clos_08">Model!$BX$530</definedName>
    <definedName name="CS_OpSum_Clos_09">Model!$CA$530</definedName>
    <definedName name="CS_OpSum_Clos_10">Model!$CD$530</definedName>
    <definedName name="CS_OpSum_Clos_11">Model!$CG$530</definedName>
    <definedName name="CS_OpSum_Clos_12">Model!$CJ$530</definedName>
    <definedName name="CS_OpSum_Clos_13">Model!$CM$530</definedName>
    <definedName name="CS_OpSum_Clos_14">Model!$CP$530</definedName>
    <definedName name="CS_OpSum_Clos_15">Model!$CS$530</definedName>
    <definedName name="CS_OpSum_Clos_16">Model!$CV$530</definedName>
    <definedName name="CS_OpSum_Clos_17">Model!$CY$530</definedName>
    <definedName name="CS_OpSum_Clos_18">Model!$DB$530</definedName>
    <definedName name="CS_OpSum_Clos_19">Model!$DE$530</definedName>
    <definedName name="CS_OpSum_Clos_20">Model!$DH$530</definedName>
    <definedName name="CS_OpSum_Clos_H1_00">Model!$AX$530</definedName>
    <definedName name="CS_OpSum_Clos_H1_01">Model!$BA$530</definedName>
    <definedName name="CS_OpSum_Clos_H1_02">Model!$BD$530</definedName>
    <definedName name="CS_OpSum_Clos_H1_03">Model!$BG$530</definedName>
    <definedName name="CS_OpSum_Clos_H1_04">Model!$BJ$530</definedName>
    <definedName name="CS_OpSum_Clos_H1_05">Model!$BM$530</definedName>
    <definedName name="CS_OpSum_Clos_H1_06">Model!$BP$530</definedName>
    <definedName name="CS_OpSum_Clos_H1_07">Model!$BS$530</definedName>
    <definedName name="CS_OpSum_Clos_H1_08">Model!$BV$530</definedName>
    <definedName name="CS_OpSum_Clos_H1_09">Model!$BY$530</definedName>
    <definedName name="CS_OpSum_Clos_H1_10">Model!$CB$530</definedName>
    <definedName name="CS_OpSum_Clos_H1_11">Model!$CE$530</definedName>
    <definedName name="CS_OpSum_Clos_H1_12">Model!$CH$530</definedName>
    <definedName name="CS_OpSum_Clos_H1_13">Model!$CK$530</definedName>
    <definedName name="CS_OpSum_Clos_H1_14">Model!$CN$530</definedName>
    <definedName name="CS_OpSum_Clos_H1_15">Model!$CQ$530</definedName>
    <definedName name="CS_OpSum_Clos_H1_16">Model!$CT$530</definedName>
    <definedName name="CS_OpSum_Clos_H1_17">Model!$CW$530</definedName>
    <definedName name="CS_OpSum_Clos_H1_18">Model!$CZ$530</definedName>
    <definedName name="CS_OpSum_Clos_H1_19">Model!$DC$530</definedName>
    <definedName name="CS_OpSum_Clos_H1_20">Model!$DF$530</definedName>
    <definedName name="CS_OpSum_Clos_H2_00">Model!$AY$530</definedName>
    <definedName name="CS_OpSum_Clos_H2_01">Model!$BB$530</definedName>
    <definedName name="CS_OpSum_Clos_H2_02">Model!$BE$530</definedName>
    <definedName name="CS_OpSum_Clos_H2_03">Model!$BH$530</definedName>
    <definedName name="CS_OpSum_Clos_H2_04">Model!$BK$530</definedName>
    <definedName name="CS_OpSum_Clos_H2_05">Model!$BN$530</definedName>
    <definedName name="CS_OpSum_Clos_H2_06">Model!$BQ$530</definedName>
    <definedName name="CS_OpSum_Clos_H2_07">Model!$BT$530</definedName>
    <definedName name="CS_OpSum_Clos_H2_08">Model!$BW$530</definedName>
    <definedName name="CS_OpSum_Clos_H2_09">Model!$BZ$530</definedName>
    <definedName name="CS_OpSum_Clos_H2_10">Model!$CC$530</definedName>
    <definedName name="CS_OpSum_Clos_H2_11">Model!$CF$530</definedName>
    <definedName name="CS_OpSum_Clos_H2_12">Model!$CI$530</definedName>
    <definedName name="CS_OpSum_Clos_H2_13">Model!$CL$530</definedName>
    <definedName name="CS_OpSum_Clos_H2_14">Model!$CO$530</definedName>
    <definedName name="CS_OpSum_Clos_H2_15">Model!$CR$530</definedName>
    <definedName name="CS_OpSum_Clos_H2_16">Model!$CU$530</definedName>
    <definedName name="CS_OpSum_Clos_H2_17">Model!$CX$530</definedName>
    <definedName name="CS_OpSum_Clos_H2_18">Model!$DA$530</definedName>
    <definedName name="CS_OpSum_Clos_H2_19">Model!$DD$530</definedName>
    <definedName name="CS_OpSum_Clos_H2_20">Model!$DG$530</definedName>
    <definedName name="CS_OpSum_Exer_00">Model!$AZ$523</definedName>
    <definedName name="CS_OpSum_Exer_01">Model!$BC$523</definedName>
    <definedName name="CS_OpSum_Exer_02">Model!$BF$523</definedName>
    <definedName name="CS_OpSum_Exer_03">Model!$BI$523</definedName>
    <definedName name="CS_OpSum_Exer_04">Model!$BL$523</definedName>
    <definedName name="CS_OpSum_Exer_05">Model!$BO$523</definedName>
    <definedName name="CS_OpSum_Exer_06">Model!$BR$523</definedName>
    <definedName name="CS_OpSum_Exer_07">Model!$BU$523</definedName>
    <definedName name="CS_OpSum_Exer_08">Model!$BX$523</definedName>
    <definedName name="CS_OpSum_Exer_09">Model!$CA$523</definedName>
    <definedName name="CS_OpSum_Exer_10">Model!$CD$523</definedName>
    <definedName name="CS_OpSum_Exer_11">Model!$CG$523</definedName>
    <definedName name="CS_OpSum_Exer_12">Model!$CJ$523</definedName>
    <definedName name="CS_OpSum_Exer_13">Model!$CM$523</definedName>
    <definedName name="CS_OpSum_Exer_14">Model!$CP$523</definedName>
    <definedName name="CS_OpSum_Exer_15">Model!$CS$523</definedName>
    <definedName name="CS_OpSum_Exer_16">Model!$CV$523</definedName>
    <definedName name="CS_OpSum_Exer_17">Model!$CY$523</definedName>
    <definedName name="CS_OpSum_Exer_18">Model!$DB$523</definedName>
    <definedName name="CS_OpSum_Exer_19">Model!$DE$523</definedName>
    <definedName name="CS_OpSum_Exer_20">Model!$DH$523</definedName>
    <definedName name="CS_OpSum_Exer_H1_00">Model!$AX$523</definedName>
    <definedName name="CS_OpSum_Exer_H1_01">Model!$BA$523</definedName>
    <definedName name="CS_OpSum_Exer_H1_02">Model!$BD$523</definedName>
    <definedName name="CS_OpSum_Exer_H1_03">Model!$BG$523</definedName>
    <definedName name="CS_OpSum_Exer_H1_04">Model!$BJ$523</definedName>
    <definedName name="CS_OpSum_Exer_H1_05">Model!$BM$523</definedName>
    <definedName name="CS_OpSum_Exer_H1_06">Model!$BP$523</definedName>
    <definedName name="CS_OpSum_Exer_H1_07">Model!$BS$523</definedName>
    <definedName name="CS_OpSum_Exer_H1_08">Model!$BV$523</definedName>
    <definedName name="CS_OpSum_Exer_H1_09">Model!$BY$523</definedName>
    <definedName name="CS_OpSum_Exer_H1_10">Model!$CB$523</definedName>
    <definedName name="CS_OpSum_Exer_H1_11">Model!$CE$523</definedName>
    <definedName name="CS_OpSum_Exer_H1_12">Model!$CH$523</definedName>
    <definedName name="CS_OpSum_Exer_H1_13">Model!$CK$523</definedName>
    <definedName name="CS_OpSum_Exer_H1_14">Model!$CN$523</definedName>
    <definedName name="CS_OpSum_Exer_H1_15">Model!$CQ$523</definedName>
    <definedName name="CS_OpSum_Exer_H1_16">Model!$CT$523</definedName>
    <definedName name="CS_OpSum_Exer_H1_17">Model!$CW$523</definedName>
    <definedName name="CS_OpSum_Exer_H1_18">Model!$CZ$523</definedName>
    <definedName name="CS_OpSum_Exer_H1_19">Model!$DC$523</definedName>
    <definedName name="CS_OpSum_Exer_H1_20">Model!$DF$523</definedName>
    <definedName name="CS_OpSum_Exer_H2_00">Model!$AY$523</definedName>
    <definedName name="CS_OpSum_Exer_H2_01">Model!$BB$523</definedName>
    <definedName name="CS_OpSum_Exer_H2_02">Model!$BE$523</definedName>
    <definedName name="CS_OpSum_Exer_H2_03">Model!$BH$523</definedName>
    <definedName name="CS_OpSum_Exer_H2_04">Model!$BK$523</definedName>
    <definedName name="CS_OpSum_Exer_H2_05">Model!$BN$523</definedName>
    <definedName name="CS_OpSum_Exer_H2_06">Model!$BQ$523</definedName>
    <definedName name="CS_OpSum_Exer_H2_07">Model!$BT$523</definedName>
    <definedName name="CS_OpSum_Exer_H2_08">Model!$BW$523</definedName>
    <definedName name="CS_OpSum_Exer_H2_09">Model!$BZ$523</definedName>
    <definedName name="CS_OpSum_Exer_H2_10">Model!$CC$523</definedName>
    <definedName name="CS_OpSum_Exer_H2_11">Model!$CF$523</definedName>
    <definedName name="CS_OpSum_Exer_H2_12">Model!$CI$523</definedName>
    <definedName name="CS_OpSum_Exer_H2_13">Model!$CL$523</definedName>
    <definedName name="CS_OpSum_Exer_H2_14">Model!$CO$523</definedName>
    <definedName name="CS_OpSum_Exer_H2_15">Model!$CR$523</definedName>
    <definedName name="CS_OpSum_Exer_H2_16">Model!$CU$523</definedName>
    <definedName name="CS_OpSum_Exer_H2_17">Model!$CX$523</definedName>
    <definedName name="CS_OpSum_Exer_H2_18">Model!$DA$523</definedName>
    <definedName name="CS_OpSum_Exer_H2_19">Model!$DD$523</definedName>
    <definedName name="CS_OpSum_Exer_H2_20">Model!$DG$523</definedName>
    <definedName name="CS_OpSum_Exp_00">Model!$AZ$525</definedName>
    <definedName name="CS_OpSum_Exp_01">Model!$BC$525</definedName>
    <definedName name="CS_OpSum_Exp_02">Model!$BF$525</definedName>
    <definedName name="CS_OpSum_Exp_03">Model!$BI$525</definedName>
    <definedName name="CS_OpSum_Exp_04">Model!$BL$525</definedName>
    <definedName name="CS_OpSum_Exp_05">Model!$BO$525</definedName>
    <definedName name="CS_OpSum_Exp_06">Model!$BR$525</definedName>
    <definedName name="CS_OpSum_Exp_07">Model!$BU$525</definedName>
    <definedName name="CS_OpSum_Exp_08">Model!$BX$525</definedName>
    <definedName name="CS_OpSum_Exp_09">Model!$CA$525</definedName>
    <definedName name="CS_OpSum_Exp_10">Model!$CD$525</definedName>
    <definedName name="CS_OpSum_Exp_11">Model!$CG$525</definedName>
    <definedName name="CS_OpSum_Exp_12">Model!$CJ$525</definedName>
    <definedName name="CS_OpSum_Exp_13">Model!$CM$525</definedName>
    <definedName name="CS_OpSum_Exp_14">Model!$CP$525</definedName>
    <definedName name="CS_OpSum_Exp_15">Model!$CS$525</definedName>
    <definedName name="CS_OpSum_Exp_16">Model!$CV$525</definedName>
    <definedName name="CS_OpSum_Exp_17">Model!$CY$525</definedName>
    <definedName name="CS_OpSum_Exp_18">Model!$DB$525</definedName>
    <definedName name="CS_OpSum_Exp_19">Model!$DE$525</definedName>
    <definedName name="CS_OpSum_Exp_20">Model!$DH$525</definedName>
    <definedName name="CS_OpSum_Exp_H1_00">Model!$AX$525</definedName>
    <definedName name="CS_OpSum_Exp_H1_01">Model!$BA$525</definedName>
    <definedName name="CS_OpSum_Exp_H1_02">Model!$BD$525</definedName>
    <definedName name="CS_OpSum_Exp_H1_03">Model!$BG$525</definedName>
    <definedName name="CS_OpSum_Exp_H1_04">Model!$BJ$525</definedName>
    <definedName name="CS_OpSum_Exp_H1_05">Model!$BM$525</definedName>
    <definedName name="CS_OpSum_Exp_H1_06">Model!$BP$525</definedName>
    <definedName name="CS_OpSum_Exp_H1_07">Model!$BS$525</definedName>
    <definedName name="CS_OpSum_Exp_H1_08">Model!$BV$525</definedName>
    <definedName name="CS_OpSum_Exp_H1_09">Model!$BY$525</definedName>
    <definedName name="CS_OpSum_Exp_H1_10">Model!$CB$525</definedName>
    <definedName name="CS_OpSum_Exp_H1_11">Model!$CE$525</definedName>
    <definedName name="CS_OpSum_Exp_H1_12">Model!$CH$525</definedName>
    <definedName name="CS_OpSum_Exp_H1_13">Model!$CK$525</definedName>
    <definedName name="CS_OpSum_Exp_H1_14">Model!$CN$525</definedName>
    <definedName name="CS_OpSum_Exp_H1_15">Model!$CQ$525</definedName>
    <definedName name="CS_OpSum_Exp_H1_16">Model!$CT$525</definedName>
    <definedName name="CS_OpSum_Exp_H1_17">Model!$CW$525</definedName>
    <definedName name="CS_OpSum_Exp_H1_18">Model!$CZ$525</definedName>
    <definedName name="CS_OpSum_Exp_H1_19">Model!$DC$525</definedName>
    <definedName name="CS_OpSum_Exp_H1_20">Model!$DF$525</definedName>
    <definedName name="CS_OpSum_Exp_H2_00">Model!$AY$525</definedName>
    <definedName name="CS_OpSum_Exp_H2_01">Model!$BB$525</definedName>
    <definedName name="CS_OpSum_Exp_H2_02">Model!$BE$525</definedName>
    <definedName name="CS_OpSum_Exp_H2_03">Model!$BH$525</definedName>
    <definedName name="CS_OpSum_Exp_H2_04">Model!$BK$525</definedName>
    <definedName name="CS_OpSum_Exp_H2_05">Model!$BN$525</definedName>
    <definedName name="CS_OpSum_Exp_H2_06">Model!$BQ$525</definedName>
    <definedName name="CS_OpSum_Exp_H2_07">Model!$BT$525</definedName>
    <definedName name="CS_OpSum_Exp_H2_08">Model!$BW$525</definedName>
    <definedName name="CS_OpSum_Exp_H2_09">Model!$BZ$525</definedName>
    <definedName name="CS_OpSum_Exp_H2_10">Model!$CC$525</definedName>
    <definedName name="CS_OpSum_Exp_H2_11">Model!$CF$525</definedName>
    <definedName name="CS_OpSum_Exp_H2_12">Model!$CI$525</definedName>
    <definedName name="CS_OpSum_Exp_H2_13">Model!$CL$525</definedName>
    <definedName name="CS_OpSum_Exp_H2_14">Model!$CO$525</definedName>
    <definedName name="CS_OpSum_Exp_H2_15">Model!$CR$525</definedName>
    <definedName name="CS_OpSum_Exp_H2_16">Model!$CU$525</definedName>
    <definedName name="CS_OpSum_Exp_H2_17">Model!$CX$525</definedName>
    <definedName name="CS_OpSum_Exp_H2_18">Model!$DA$525</definedName>
    <definedName name="CS_OpSum_Exp_H2_19">Model!$DD$525</definedName>
    <definedName name="CS_OpSum_Exp_H2_20">Model!$DG$525</definedName>
    <definedName name="CS_OpSum_Issue_00">Model!$AZ$527</definedName>
    <definedName name="CS_OpSum_Issue_01">Model!$BC$527</definedName>
    <definedName name="CS_OpSum_Issue_02">Model!$BF$527</definedName>
    <definedName name="CS_OpSum_Issue_03">Model!$BI$527</definedName>
    <definedName name="CS_OpSum_Issue_04">Model!$BL$527</definedName>
    <definedName name="CS_OpSum_Issue_05">Model!$BO$527</definedName>
    <definedName name="CS_OpSum_Issue_06">Model!$BR$527</definedName>
    <definedName name="CS_OpSum_Issue_07">Model!$BU$527</definedName>
    <definedName name="CS_OpSum_Issue_08">Model!$BX$527</definedName>
    <definedName name="CS_OpSum_Issue_09">Model!$CA$527</definedName>
    <definedName name="CS_OpSum_Issue_10">Model!$CD$527</definedName>
    <definedName name="CS_OpSum_Issue_11">Model!$CG$527</definedName>
    <definedName name="CS_OpSum_Issue_12">Model!$CJ$527</definedName>
    <definedName name="CS_OpSum_Issue_13">Model!$CM$527</definedName>
    <definedName name="CS_OpSum_Issue_14">Model!$CP$527</definedName>
    <definedName name="CS_OpSum_Issue_15">Model!$CS$527</definedName>
    <definedName name="CS_OpSum_Issue_16">Model!$CV$527</definedName>
    <definedName name="CS_OpSum_Issue_17">Model!$CY$527</definedName>
    <definedName name="CS_OpSum_Issue_18">Model!$DB$527</definedName>
    <definedName name="CS_OpSum_Issue_19">Model!$DE$527</definedName>
    <definedName name="CS_OpSum_Issue_20">Model!$DH$527</definedName>
    <definedName name="CS_OpSum_Issue_H1_00">Model!$AX$527</definedName>
    <definedName name="CS_OpSum_Issue_H1_01">Model!$BA$527</definedName>
    <definedName name="CS_OpSum_Issue_H1_02">Model!$BD$527</definedName>
    <definedName name="CS_OpSum_Issue_H1_03">Model!$BG$527</definedName>
    <definedName name="CS_OpSum_Issue_H1_04">Model!$BJ$527</definedName>
    <definedName name="CS_OpSum_Issue_H1_05">Model!$BM$527</definedName>
    <definedName name="CS_OpSum_Issue_H1_06">Model!$BP$527</definedName>
    <definedName name="CS_OpSum_Issue_H1_07">Model!$BS$527</definedName>
    <definedName name="CS_OpSum_Issue_H1_08">Model!$BV$527</definedName>
    <definedName name="CS_OpSum_Issue_H1_09">Model!$BY$527</definedName>
    <definedName name="CS_OpSum_Issue_H1_10">Model!$CB$527</definedName>
    <definedName name="CS_OpSum_Issue_H1_11">Model!$CE$527</definedName>
    <definedName name="CS_OpSum_Issue_H1_12">Model!$CH$527</definedName>
    <definedName name="CS_OpSum_Issue_H1_13">Model!$CK$527</definedName>
    <definedName name="CS_OpSum_Issue_H1_14">Model!$CN$527</definedName>
    <definedName name="CS_OpSum_Issue_H1_15">Model!$CQ$527</definedName>
    <definedName name="CS_OpSum_Issue_H1_16">Model!$CT$527</definedName>
    <definedName name="CS_OpSum_Issue_H1_17">Model!$CW$527</definedName>
    <definedName name="CS_OpSum_Issue_H1_18">Model!$CZ$527</definedName>
    <definedName name="CS_OpSum_Issue_H1_19">Model!$DC$527</definedName>
    <definedName name="CS_OpSum_Issue_H1_20">Model!$DF$527</definedName>
    <definedName name="CS_OpSum_Issue_H2_00">Model!$AY$527</definedName>
    <definedName name="CS_OpSum_Issue_H2_01">Model!$BB$527</definedName>
    <definedName name="CS_OpSum_Issue_H2_02">Model!$BE$527</definedName>
    <definedName name="CS_OpSum_Issue_H2_03">Model!$BH$527</definedName>
    <definedName name="CS_OpSum_Issue_H2_04">Model!$BK$527</definedName>
    <definedName name="CS_OpSum_Issue_H2_05">Model!$BN$527</definedName>
    <definedName name="CS_OpSum_Issue_H2_06">Model!$BQ$527</definedName>
    <definedName name="CS_OpSum_Issue_H2_07">Model!$BT$527</definedName>
    <definedName name="CS_OpSum_Issue_H2_08">Model!$BW$527</definedName>
    <definedName name="CS_OpSum_Issue_H2_09">Model!$BZ$527</definedName>
    <definedName name="CS_OpSum_Issue_H2_10">Model!$CC$527</definedName>
    <definedName name="CS_OpSum_Issue_H2_11">Model!$CF$527</definedName>
    <definedName name="CS_OpSum_Issue_H2_12">Model!$CI$527</definedName>
    <definedName name="CS_OpSum_Issue_H2_13">Model!$CL$527</definedName>
    <definedName name="CS_OpSum_Issue_H2_14">Model!$CO$527</definedName>
    <definedName name="CS_OpSum_Issue_H2_15">Model!$CR$527</definedName>
    <definedName name="CS_OpSum_Issue_H2_16">Model!$CU$527</definedName>
    <definedName name="CS_OpSum_Issue_H2_17">Model!$CX$527</definedName>
    <definedName name="CS_OpSum_Issue_H2_18">Model!$DA$527</definedName>
    <definedName name="CS_OpSum_Issue_H2_19">Model!$DD$527</definedName>
    <definedName name="CS_OpSum_Issue_H2_20">Model!$DG$527</definedName>
    <definedName name="CS_OpSum_Op_00">Model!$AZ$522</definedName>
    <definedName name="CS_OpSum_Op_01">Model!$BC$522</definedName>
    <definedName name="CS_OpSum_Op_02">Model!$BF$522</definedName>
    <definedName name="CS_OpSum_Op_03">Model!$BI$522</definedName>
    <definedName name="CS_OpSum_Op_04">Model!$BL$522</definedName>
    <definedName name="CS_OpSum_Op_05">Model!$BO$522</definedName>
    <definedName name="CS_OpSum_Op_06">Model!$BR$522</definedName>
    <definedName name="CS_OpSum_Op_07">Model!$BU$522</definedName>
    <definedName name="CS_OpSum_Op_08">Model!$BX$522</definedName>
    <definedName name="CS_OpSum_Op_09">Model!$CA$522</definedName>
    <definedName name="CS_OpSum_Op_10">Model!$CD$522</definedName>
    <definedName name="CS_OpSum_Op_11">Model!$CG$522</definedName>
    <definedName name="CS_OpSum_Op_12">Model!$CJ$522</definedName>
    <definedName name="CS_OpSum_Op_13">Model!$CM$522</definedName>
    <definedName name="CS_OpSum_Op_14">Model!$CP$522</definedName>
    <definedName name="CS_OpSum_Op_15">Model!$CS$522</definedName>
    <definedName name="CS_OpSum_Op_16">Model!$CV$522</definedName>
    <definedName name="CS_OpSum_Op_17">Model!$CY$522</definedName>
    <definedName name="CS_OpSum_Op_18">Model!$DB$522</definedName>
    <definedName name="CS_OpSum_Op_19">Model!$DE$522</definedName>
    <definedName name="CS_OpSum_Op_20">Model!$DH$522</definedName>
    <definedName name="CS_OpSum_Op_H1_00">Model!$AX$522</definedName>
    <definedName name="CS_OpSum_Op_H1_01">Model!$BA$522</definedName>
    <definedName name="CS_OpSum_Op_H1_02">Model!$BD$522</definedName>
    <definedName name="CS_OpSum_Op_H1_03">Model!$BG$522</definedName>
    <definedName name="CS_OpSum_Op_H1_04">Model!$BJ$522</definedName>
    <definedName name="CS_OpSum_Op_H1_05">Model!$BM$522</definedName>
    <definedName name="CS_OpSum_Op_H1_06">Model!$BP$522</definedName>
    <definedName name="CS_OpSum_Op_H1_07">Model!$BS$522</definedName>
    <definedName name="CS_OpSum_Op_H1_08">Model!$BV$522</definedName>
    <definedName name="CS_OpSum_Op_H1_09">Model!$BY$522</definedName>
    <definedName name="CS_OpSum_Op_H1_10">Model!$CB$522</definedName>
    <definedName name="CS_OpSum_Op_H1_11">Model!$CE$522</definedName>
    <definedName name="CS_OpSum_Op_H1_12">Model!$CH$522</definedName>
    <definedName name="CS_OpSum_Op_H1_13">Model!$CK$522</definedName>
    <definedName name="CS_OpSum_Op_H1_14">Model!$CN$522</definedName>
    <definedName name="CS_OpSum_Op_H1_15">Model!$CQ$522</definedName>
    <definedName name="CS_OpSum_Op_H1_16">Model!$CT$522</definedName>
    <definedName name="CS_OpSum_Op_H1_17">Model!$CW$522</definedName>
    <definedName name="CS_OpSum_Op_H1_18">Model!$CZ$522</definedName>
    <definedName name="CS_OpSum_Op_H1_19">Model!$DC$522</definedName>
    <definedName name="CS_OpSum_Op_H1_20">Model!$DF$522</definedName>
    <definedName name="CS_OpSum_Op_H2_00">Model!$AY$522</definedName>
    <definedName name="CS_OpSum_Op_H2_01">Model!$BB$522</definedName>
    <definedName name="CS_OpSum_Op_H2_02">Model!$BE$522</definedName>
    <definedName name="CS_OpSum_Op_H2_03">Model!$BH$522</definedName>
    <definedName name="CS_OpSum_Op_H2_04">Model!$BK$522</definedName>
    <definedName name="CS_OpSum_Op_H2_05">Model!$BN$522</definedName>
    <definedName name="CS_OpSum_Op_H2_06">Model!$BQ$522</definedName>
    <definedName name="CS_OpSum_Op_H2_07">Model!$BT$522</definedName>
    <definedName name="CS_OpSum_Op_H2_08">Model!$BW$522</definedName>
    <definedName name="CS_OpSum_Op_H2_09">Model!$BZ$522</definedName>
    <definedName name="CS_OpSum_Op_H2_10">Model!$CC$522</definedName>
    <definedName name="CS_OpSum_Op_H2_11">Model!$CF$522</definedName>
    <definedName name="CS_OpSum_Op_H2_12">Model!$CI$522</definedName>
    <definedName name="CS_OpSum_Op_H2_13">Model!$CL$522</definedName>
    <definedName name="CS_OpSum_Op_H2_14">Model!$CO$522</definedName>
    <definedName name="CS_OpSum_Op_H2_15">Model!$CR$522</definedName>
    <definedName name="CS_OpSum_Op_H2_16">Model!$CU$522</definedName>
    <definedName name="CS_OpSum_Op_H2_17">Model!$CX$522</definedName>
    <definedName name="CS_OpSum_Op_H2_18">Model!$DA$522</definedName>
    <definedName name="CS_OpSum_Op_H2_19">Model!$DD$522</definedName>
    <definedName name="CS_OpSum_Op_H2_20">Model!$DG$522</definedName>
    <definedName name="CS_OrdShr_BBack_00">Model!$AZ$519</definedName>
    <definedName name="CS_OrdShr_BBack_01">Model!$BC$519</definedName>
    <definedName name="CS_OrdShr_BBack_02">Model!$BF$519</definedName>
    <definedName name="CS_OrdShr_BBack_03">Model!$BI$519</definedName>
    <definedName name="CS_OrdShr_BBack_04">Model!$BL$519</definedName>
    <definedName name="CS_OrdShr_BBack_05">Model!$BO$519</definedName>
    <definedName name="CS_OrdShr_BBack_06">Model!$BR$519</definedName>
    <definedName name="CS_OrdShr_BBack_07">Model!$BU$519</definedName>
    <definedName name="CS_OrdShr_BBack_08">Model!$BX$519</definedName>
    <definedName name="CS_OrdShr_BBack_09">Model!$CA$519</definedName>
    <definedName name="CS_OrdShr_BBack_10">Model!$CD$519</definedName>
    <definedName name="CS_OrdShr_BBack_11">Model!$CG$519</definedName>
    <definedName name="CS_OrdShr_BBack_12">Model!$CJ$519</definedName>
    <definedName name="CS_OrdShr_BBack_13">Model!$CM$519</definedName>
    <definedName name="CS_OrdShr_BBack_14">Model!$CP$519</definedName>
    <definedName name="CS_OrdShr_BBack_15">Model!$CS$519</definedName>
    <definedName name="CS_OrdShr_BBack_16">Model!$CV$519</definedName>
    <definedName name="CS_OrdShr_BBack_17">Model!$CY$519</definedName>
    <definedName name="CS_OrdShr_BBack_18">Model!$DB$519</definedName>
    <definedName name="CS_OrdShr_BBack_19">Model!$DE$519</definedName>
    <definedName name="CS_OrdShr_BBack_20">Model!$DH$519</definedName>
    <definedName name="CS_OrdShr_BBack_H1_00">Model!$AX$519</definedName>
    <definedName name="CS_OrdShr_BBack_H1_01">Model!$BA$519</definedName>
    <definedName name="CS_OrdShr_BBack_H1_02">Model!$BD$519</definedName>
    <definedName name="CS_OrdShr_BBack_H1_03">Model!$BG$519</definedName>
    <definedName name="CS_OrdShr_BBack_H1_04">Model!$BJ$519</definedName>
    <definedName name="CS_OrdShr_BBack_H1_05">Model!$BM$519</definedName>
    <definedName name="CS_OrdShr_BBack_H1_06">Model!$BP$519</definedName>
    <definedName name="CS_OrdShr_BBack_H1_07">Model!$BS$519</definedName>
    <definedName name="CS_OrdShr_BBack_H1_08">Model!$BV$519</definedName>
    <definedName name="CS_OrdShr_BBack_H1_09">Model!$BY$519</definedName>
    <definedName name="CS_OrdShr_BBack_H1_10">Model!$CB$519</definedName>
    <definedName name="CS_OrdShr_BBack_H1_11">Model!$CE$519</definedName>
    <definedName name="CS_OrdShr_BBack_H1_12">Model!$CH$519</definedName>
    <definedName name="CS_OrdShr_BBack_H1_13">Model!$CK$519</definedName>
    <definedName name="CS_OrdShr_BBack_H1_14">Model!$CN$519</definedName>
    <definedName name="CS_OrdShr_BBack_H1_15">Model!$CQ$519</definedName>
    <definedName name="CS_OrdShr_BBack_H1_16">Model!$CT$519</definedName>
    <definedName name="CS_OrdShr_BBack_H1_17">Model!$CW$519</definedName>
    <definedName name="CS_OrdShr_BBack_H1_18">Model!$CZ$519</definedName>
    <definedName name="CS_OrdShr_BBack_H1_19">Model!$DC$519</definedName>
    <definedName name="CS_OrdShr_BBack_H1_20">Model!$DF$519</definedName>
    <definedName name="CS_OrdShr_BBack_H2_00">Model!$AY$519</definedName>
    <definedName name="CS_OrdShr_BBack_H2_01">Model!$BB$519</definedName>
    <definedName name="CS_OrdShr_BBack_H2_02">Model!$BE$519</definedName>
    <definedName name="CS_OrdShr_BBack_H2_03">Model!$BH$519</definedName>
    <definedName name="CS_OrdShr_BBack_H2_04">Model!$BK$519</definedName>
    <definedName name="CS_OrdShr_BBack_H2_05">Model!$BN$519</definedName>
    <definedName name="CS_OrdShr_BBack_H2_06">Model!$BQ$519</definedName>
    <definedName name="CS_OrdShr_BBack_H2_07">Model!$BT$519</definedName>
    <definedName name="CS_OrdShr_BBack_H2_08">Model!$BW$519</definedName>
    <definedName name="CS_OrdShr_BBack_H2_09">Model!$BZ$519</definedName>
    <definedName name="CS_OrdShr_BBack_H2_10">Model!$CC$519</definedName>
    <definedName name="CS_OrdShr_BBack_H2_11">Model!$CF$519</definedName>
    <definedName name="CS_OrdShr_BBack_H2_12">Model!$CI$519</definedName>
    <definedName name="CS_OrdShr_BBack_H2_13">Model!$CL$519</definedName>
    <definedName name="CS_OrdShr_BBack_H2_14">Model!$CO$519</definedName>
    <definedName name="CS_OrdShr_BBack_H2_15">Model!$CR$519</definedName>
    <definedName name="CS_OrdShr_BBack_H2_16">Model!$CU$519</definedName>
    <definedName name="CS_OrdShr_BBack_H2_17">Model!$CX$519</definedName>
    <definedName name="CS_OrdShr_BBack_H2_18">Model!$DA$519</definedName>
    <definedName name="CS_OrdShr_BBack_H2_19">Model!$DD$519</definedName>
    <definedName name="CS_OrdShr_BBack_H2_20">Model!$DG$519</definedName>
    <definedName name="CS_OrdShr_Conv_N_00">Model!$AZ$381</definedName>
    <definedName name="CS_OrdShr_Conv_N_01">Model!$BC$381</definedName>
    <definedName name="CS_OrdShr_Conv_N_02">Model!$BF$381</definedName>
    <definedName name="CS_OrdShr_Conv_N_03">Model!$BI$381</definedName>
    <definedName name="CS_OrdShr_Conv_N_04">Model!$BL$381</definedName>
    <definedName name="CS_OrdShr_Conv_N_05">Model!$BO$381</definedName>
    <definedName name="CS_OrdShr_Conv_N_06">Model!$BR$381</definedName>
    <definedName name="CS_OrdShr_Conv_N_07">Model!$BU$381</definedName>
    <definedName name="CS_OrdShr_Conv_N_08">Model!$BX$381</definedName>
    <definedName name="CS_OrdShr_Conv_N_09">Model!$CA$381</definedName>
    <definedName name="CS_OrdShr_Conv_N_10">Model!$CD$381</definedName>
    <definedName name="CS_OrdShr_Conv_N_11">Model!$CG$381</definedName>
    <definedName name="CS_OrdShr_Conv_N_12">Model!$CJ$381</definedName>
    <definedName name="CS_OrdShr_Conv_N_13">Model!$CM$381</definedName>
    <definedName name="CS_OrdShr_Conv_N_14">Model!$CP$381</definedName>
    <definedName name="CS_OrdShr_Conv_N_15">Model!$CS$381</definedName>
    <definedName name="CS_OrdShr_Conv_N_16">Model!$CV$381</definedName>
    <definedName name="CS_OrdShr_Conv_N_17">Model!$CY$381</definedName>
    <definedName name="CS_OrdShr_Conv_N_18">Model!$DB$381</definedName>
    <definedName name="CS_OrdShr_Conv_N_19">Model!$DE$381</definedName>
    <definedName name="CS_OrdShr_Conv_N_20">Model!$DH$381</definedName>
    <definedName name="CS_OrdShr_Conv_N_H1_00">Model!$AX$381</definedName>
    <definedName name="CS_OrdShr_Conv_N_H1_01">Model!$BA$381</definedName>
    <definedName name="CS_OrdShr_Conv_N_H1_02">Model!$BD$381</definedName>
    <definedName name="CS_OrdShr_Conv_N_H1_03">Model!$BG$381</definedName>
    <definedName name="CS_OrdShr_Conv_N_H1_04">Model!$BJ$381</definedName>
    <definedName name="CS_OrdShr_Conv_N_H1_05">Model!$BM$381</definedName>
    <definedName name="CS_OrdShr_Conv_N_H1_06">Model!$BP$381</definedName>
    <definedName name="CS_OrdShr_Conv_N_H1_07">Model!$BS$381</definedName>
    <definedName name="CS_OrdShr_Conv_N_H1_08">Model!$BV$381</definedName>
    <definedName name="CS_OrdShr_Conv_N_H1_09">Model!$BY$381</definedName>
    <definedName name="CS_OrdShr_Conv_N_H1_10">Model!$CB$381</definedName>
    <definedName name="CS_OrdShr_Conv_N_H1_11">Model!$CE$381</definedName>
    <definedName name="CS_OrdShr_Conv_N_H1_12">Model!$CH$381</definedName>
    <definedName name="CS_OrdShr_Conv_N_H1_13">Model!$CK$381</definedName>
    <definedName name="CS_OrdShr_Conv_N_H1_14">Model!$CN$381</definedName>
    <definedName name="CS_OrdShr_Conv_N_H1_15">Model!$CQ$381</definedName>
    <definedName name="CS_OrdShr_Conv_N_H1_16">Model!$CT$381</definedName>
    <definedName name="CS_OrdShr_Conv_N_H1_17">Model!$CW$381</definedName>
    <definedName name="CS_OrdShr_Conv_N_H1_18">Model!$CZ$381</definedName>
    <definedName name="CS_OrdShr_Conv_N_H1_19">Model!$DC$381</definedName>
    <definedName name="CS_OrdShr_Conv_N_H1_20">Model!$DF$381</definedName>
    <definedName name="CS_OrdShr_Conv_N_H2_00">Model!$AY$381</definedName>
    <definedName name="CS_OrdShr_Conv_N_H2_01">Model!$BB$381</definedName>
    <definedName name="CS_OrdShr_Conv_N_H2_02">Model!$BE$381</definedName>
    <definedName name="CS_OrdShr_Conv_N_H2_03">Model!$BH$381</definedName>
    <definedName name="CS_OrdShr_Conv_N_H2_04">Model!$BK$381</definedName>
    <definedName name="CS_OrdShr_Conv_N_H2_05">Model!$BN$381</definedName>
    <definedName name="CS_OrdShr_Conv_N_H2_06">Model!$BQ$381</definedName>
    <definedName name="CS_OrdShr_Conv_N_H2_07">Model!$BT$381</definedName>
    <definedName name="CS_OrdShr_Conv_N_H2_08">Model!$BW$381</definedName>
    <definedName name="CS_OrdShr_Conv_N_H2_09">Model!$BZ$381</definedName>
    <definedName name="CS_OrdShr_Conv_N_H2_10">Model!$CC$381</definedName>
    <definedName name="CS_OrdShr_Conv_N_H2_11">Model!$CF$381</definedName>
    <definedName name="CS_OrdShr_Conv_N_H2_12">Model!$CI$381</definedName>
    <definedName name="CS_OrdShr_Conv_N_H2_13">Model!$CL$381</definedName>
    <definedName name="CS_OrdShr_Conv_N_H2_14">Model!$CO$381</definedName>
    <definedName name="CS_OrdShr_Conv_N_H2_15">Model!$CR$381</definedName>
    <definedName name="CS_OrdShr_Conv_N_H2_16">Model!$CU$381</definedName>
    <definedName name="CS_OrdShr_Conv_N_H2_17">Model!$CX$381</definedName>
    <definedName name="CS_OrdShr_Conv_N_H2_18">Model!$DA$381</definedName>
    <definedName name="CS_OrdShr_Conv_N_H2_19">Model!$DD$381</definedName>
    <definedName name="CS_OrdShr_Conv_N_H2_20">Model!$DG$381</definedName>
    <definedName name="CS_OrdShr_DRP_00">Model!$AZ$382</definedName>
    <definedName name="CS_OrdShr_DRP_01">Model!$BC$382</definedName>
    <definedName name="CS_OrdShr_DRP_02">Model!$BF$382</definedName>
    <definedName name="CS_OrdShr_DRP_03">Model!$BI$382</definedName>
    <definedName name="CS_OrdShr_DRP_04">Model!$BL$382</definedName>
    <definedName name="CS_OrdShr_DRP_05">Model!$BO$382</definedName>
    <definedName name="CS_OrdShr_DRP_06">Model!$BR$382</definedName>
    <definedName name="CS_OrdShr_DRP_07">Model!$BU$382</definedName>
    <definedName name="CS_OrdShr_DRP_08">Model!$BX$382</definedName>
    <definedName name="CS_OrdShr_DRP_09">Model!$CA$382</definedName>
    <definedName name="CS_OrdShr_DRP_10">Model!$CD$382</definedName>
    <definedName name="CS_OrdShr_DRP_11">Model!$CG$382</definedName>
    <definedName name="CS_OrdShr_DRP_12">Model!$CJ$382</definedName>
    <definedName name="CS_OrdShr_DRP_13">Model!$CM$382</definedName>
    <definedName name="CS_OrdShr_DRP_14">Model!$CP$382</definedName>
    <definedName name="CS_OrdShr_DRP_15">Model!$CS$382</definedName>
    <definedName name="CS_OrdShr_DRP_16">Model!$CV$382</definedName>
    <definedName name="CS_OrdShr_DRP_17">Model!$CY$382</definedName>
    <definedName name="CS_OrdShr_DRP_18">Model!$DB$382</definedName>
    <definedName name="CS_OrdShr_DRP_19">Model!$DE$382</definedName>
    <definedName name="CS_OrdShr_DRP_20">Model!$DH$382</definedName>
    <definedName name="CS_OrdShr_DRP_H1_00">Model!$AX$382</definedName>
    <definedName name="CS_OrdShr_DRP_H1_01">Model!$BA$382</definedName>
    <definedName name="CS_OrdShr_DRP_H1_02">Model!$BD$382</definedName>
    <definedName name="CS_OrdShr_DRP_H1_03">Model!$BG$382</definedName>
    <definedName name="CS_OrdShr_DRP_H1_04">Model!$BJ$382</definedName>
    <definedName name="CS_OrdShr_DRP_H1_05">Model!$BM$382</definedName>
    <definedName name="CS_OrdShr_DRP_H1_06">Model!$BP$382</definedName>
    <definedName name="CS_OrdShr_DRP_H1_07">Model!$BS$382</definedName>
    <definedName name="CS_OrdShr_DRP_H1_08">Model!$BV$382</definedName>
    <definedName name="CS_OrdShr_DRP_H1_09">Model!$BY$382</definedName>
    <definedName name="CS_OrdShr_DRP_H1_10">Model!$CB$382</definedName>
    <definedName name="CS_OrdShr_DRP_H1_11">Model!$CE$382</definedName>
    <definedName name="CS_OrdShr_DRP_H1_12">Model!$CH$382</definedName>
    <definedName name="CS_OrdShr_DRP_H1_13">Model!$CK$382</definedName>
    <definedName name="CS_OrdShr_DRP_H1_14">Model!$CN$382</definedName>
    <definedName name="CS_OrdShr_DRP_H1_15">Model!$CQ$382</definedName>
    <definedName name="CS_OrdShr_DRP_H1_16">Model!$CT$382</definedName>
    <definedName name="CS_OrdShr_DRP_H1_17">Model!$CW$382</definedName>
    <definedName name="CS_OrdShr_DRP_H1_18">Model!$CZ$382</definedName>
    <definedName name="CS_OrdShr_DRP_H1_19">Model!$DC$382</definedName>
    <definedName name="CS_OrdShr_DRP_H1_20">Model!$DF$382</definedName>
    <definedName name="CS_OrdShr_DRP_H2_00">Model!$AY$382</definedName>
    <definedName name="CS_OrdShr_DRP_H2_01">Model!$BB$382</definedName>
    <definedName name="CS_OrdShr_DRP_H2_02">Model!$BE$382</definedName>
    <definedName name="CS_OrdShr_DRP_H2_03">Model!$BH$382</definedName>
    <definedName name="CS_OrdShr_DRP_H2_04">Model!$BK$382</definedName>
    <definedName name="CS_OrdShr_DRP_H2_05">Model!$BN$382</definedName>
    <definedName name="CS_OrdShr_DRP_H2_06">Model!$BQ$382</definedName>
    <definedName name="CS_OrdShr_DRP_H2_07">Model!$BT$382</definedName>
    <definedName name="CS_OrdShr_DRP_H2_08">Model!$BW$382</definedName>
    <definedName name="CS_OrdShr_DRP_H2_09">Model!$BZ$382</definedName>
    <definedName name="CS_OrdShr_DRP_H2_10">Model!$CC$382</definedName>
    <definedName name="CS_OrdShr_DRP_H2_11">Model!$CF$382</definedName>
    <definedName name="CS_OrdShr_DRP_H2_12">Model!$CI$382</definedName>
    <definedName name="CS_OrdShr_DRP_H2_13">Model!$CL$382</definedName>
    <definedName name="CS_OrdShr_DRP_H2_14">Model!$CO$382</definedName>
    <definedName name="CS_OrdShr_DRP_H2_15">Model!$CR$382</definedName>
    <definedName name="CS_OrdShr_DRP_H2_16">Model!$CU$382</definedName>
    <definedName name="CS_OrdShr_DRP_H2_17">Model!$CX$382</definedName>
    <definedName name="CS_OrdShr_DRP_H2_18">Model!$DA$382</definedName>
    <definedName name="CS_OrdShr_DRP_H2_19">Model!$DD$382</definedName>
    <definedName name="CS_OrdShr_DRP_H2_20">Model!$DG$382</definedName>
    <definedName name="CS_OrdShr_Iss_00">Model!$AZ$379</definedName>
    <definedName name="CS_OrdShr_Iss_01">Model!$BC$379</definedName>
    <definedName name="CS_OrdShr_Iss_02">Model!$BF$379</definedName>
    <definedName name="CS_OrdShr_Iss_03">Model!$BI$379</definedName>
    <definedName name="CS_OrdShr_Iss_04">Model!$BL$379</definedName>
    <definedName name="CS_OrdShr_Iss_05">Model!$BO$379</definedName>
    <definedName name="CS_OrdShr_Iss_06">Model!$BR$379</definedName>
    <definedName name="CS_OrdShr_Iss_07">Model!$BU$379</definedName>
    <definedName name="CS_OrdShr_Iss_08">Model!$BX$379</definedName>
    <definedName name="CS_OrdShr_Iss_09">Model!$CA$379</definedName>
    <definedName name="CS_OrdShr_Iss_10">Model!$CD$379</definedName>
    <definedName name="CS_OrdShr_Iss_11">Model!$CG$379</definedName>
    <definedName name="CS_OrdShr_Iss_12">Model!$CJ$379</definedName>
    <definedName name="CS_OrdShr_Iss_13">Model!$CM$379</definedName>
    <definedName name="CS_OrdShr_Iss_14">Model!$CP$379</definedName>
    <definedName name="CS_OrdShr_Iss_15">Model!$CS$379</definedName>
    <definedName name="CS_OrdShr_Iss_16">Model!$CV$379</definedName>
    <definedName name="CS_OrdShr_Iss_17">Model!$CY$379</definedName>
    <definedName name="CS_OrdShr_Iss_18">Model!$DB$379</definedName>
    <definedName name="CS_OrdShr_Iss_19">Model!$DE$379</definedName>
    <definedName name="CS_OrdShr_Iss_20">Model!$DH$379</definedName>
    <definedName name="CS_OrdShr_Iss_H1_00">Model!$AX$379</definedName>
    <definedName name="CS_OrdShr_Iss_H1_01">Model!$BA$379</definedName>
    <definedName name="CS_OrdShr_Iss_H1_02">Model!$BD$379</definedName>
    <definedName name="CS_OrdShr_Iss_H1_03">Model!$BG$379</definedName>
    <definedName name="CS_OrdShr_Iss_H1_04">Model!$BJ$379</definedName>
    <definedName name="CS_OrdShr_Iss_H1_05">Model!$BM$379</definedName>
    <definedName name="CS_OrdShr_Iss_H1_06">Model!$BP$379</definedName>
    <definedName name="CS_OrdShr_Iss_H1_07">Model!$BS$379</definedName>
    <definedName name="CS_OrdShr_Iss_H1_08">Model!$BV$379</definedName>
    <definedName name="CS_OrdShr_Iss_H1_09">Model!$BY$379</definedName>
    <definedName name="CS_OrdShr_Iss_H1_10">Model!$CB$379</definedName>
    <definedName name="CS_OrdShr_Iss_H1_11">Model!$CE$379</definedName>
    <definedName name="CS_OrdShr_Iss_H1_12">Model!$CH$379</definedName>
    <definedName name="CS_OrdShr_Iss_H1_13">Model!$CK$379</definedName>
    <definedName name="CS_OrdShr_Iss_H1_14">Model!$CN$379</definedName>
    <definedName name="CS_OrdShr_Iss_H1_15">Model!$CQ$379</definedName>
    <definedName name="CS_OrdShr_Iss_H1_16">Model!$CT$379</definedName>
    <definedName name="CS_OrdShr_Iss_H1_17">Model!$CW$379</definedName>
    <definedName name="CS_OrdShr_Iss_H1_18">Model!$CZ$379</definedName>
    <definedName name="CS_OrdShr_Iss_H1_19">Model!$DC$379</definedName>
    <definedName name="CS_OrdShr_Iss_H1_20">Model!$DF$379</definedName>
    <definedName name="CS_OrdShr_Iss_H2_00">Model!$AY$379</definedName>
    <definedName name="CS_OrdShr_Iss_H2_01">Model!$BB$379</definedName>
    <definedName name="CS_OrdShr_Iss_H2_02">Model!$BE$379</definedName>
    <definedName name="CS_OrdShr_Iss_H2_03">Model!$BH$379</definedName>
    <definedName name="CS_OrdShr_Iss_H2_04">Model!$BK$379</definedName>
    <definedName name="CS_OrdShr_Iss_H2_05">Model!$BN$379</definedName>
    <definedName name="CS_OrdShr_Iss_H2_06">Model!$BQ$379</definedName>
    <definedName name="CS_OrdShr_Iss_H2_07">Model!$BT$379</definedName>
    <definedName name="CS_OrdShr_Iss_H2_08">Model!$BW$379</definedName>
    <definedName name="CS_OrdShr_Iss_H2_09">Model!$BZ$379</definedName>
    <definedName name="CS_OrdShr_Iss_H2_10">Model!$CC$379</definedName>
    <definedName name="CS_OrdShr_Iss_H2_11">Model!$CF$379</definedName>
    <definedName name="CS_OrdShr_Iss_H2_12">Model!$CI$379</definedName>
    <definedName name="CS_OrdShr_Iss_H2_13">Model!$CL$379</definedName>
    <definedName name="CS_OrdShr_Iss_H2_14">Model!$CO$379</definedName>
    <definedName name="CS_OrdShr_Iss_H2_15">Model!$CR$379</definedName>
    <definedName name="CS_OrdShr_Iss_H2_16">Model!$CU$379</definedName>
    <definedName name="CS_OrdShr_Iss_H2_17">Model!$CX$379</definedName>
    <definedName name="CS_OrdShr_Iss_H2_18">Model!$DA$379</definedName>
    <definedName name="CS_OrdShr_Iss_H2_19">Model!$DD$379</definedName>
    <definedName name="CS_OrdShr_Iss_H2_20">Model!$DG$379</definedName>
    <definedName name="CS_OrdShr_Open_00">Model!$AZ$374</definedName>
    <definedName name="CS_OrdShr_Open_01">Model!$BC$374</definedName>
    <definedName name="CS_OrdShr_Open_02">Model!$BF$374</definedName>
    <definedName name="CS_OrdShr_Open_03">Model!$BI$374</definedName>
    <definedName name="CS_OrdShr_Open_04">Model!$BL$374</definedName>
    <definedName name="CS_OrdShr_Open_05">Model!$BO$374</definedName>
    <definedName name="CS_OrdShr_Open_06">Model!$BR$374</definedName>
    <definedName name="CS_OrdShr_Open_07">Model!$BU$374</definedName>
    <definedName name="CS_OrdShr_Open_08">Model!$BX$374</definedName>
    <definedName name="CS_OrdShr_Open_09">Model!$CA$374</definedName>
    <definedName name="CS_OrdShr_Open_10">Model!$CD$374</definedName>
    <definedName name="CS_OrdShr_Open_11">Model!$CG$374</definedName>
    <definedName name="CS_OrdShr_Open_12">Model!$CJ$374</definedName>
    <definedName name="CS_OrdShr_Open_13">Model!$CM$374</definedName>
    <definedName name="CS_OrdShr_Open_14">Model!$CP$374</definedName>
    <definedName name="CS_OrdShr_Open_15">Model!$CS$374</definedName>
    <definedName name="CS_OrdShr_Open_16">Model!$CV$374</definedName>
    <definedName name="CS_OrdShr_Open_17">Model!$CY$374</definedName>
    <definedName name="CS_OrdShr_Open_18">Model!$DB$374</definedName>
    <definedName name="CS_OrdShr_Open_19">Model!$DE$374</definedName>
    <definedName name="CS_OrdShr_Open_20">Model!$DH$374</definedName>
    <definedName name="CS_OrdShr_Open_H1_00">Model!$AX$374</definedName>
    <definedName name="CS_OrdShr_Open_H1_01">Model!$BA$374</definedName>
    <definedName name="CS_OrdShr_Open_H1_02">Model!$BD$374</definedName>
    <definedName name="CS_OrdShr_Open_H1_03">Model!$BG$374</definedName>
    <definedName name="CS_OrdShr_Open_H1_04">Model!$BJ$374</definedName>
    <definedName name="CS_OrdShr_Open_H1_05">Model!$BM$374</definedName>
    <definedName name="CS_OrdShr_Open_H1_06">Model!$BP$374</definedName>
    <definedName name="CS_OrdShr_Open_H1_07">Model!$BS$374</definedName>
    <definedName name="CS_OrdShr_Open_H1_08">Model!$BV$374</definedName>
    <definedName name="CS_OrdShr_Open_H1_09">Model!$BY$374</definedName>
    <definedName name="CS_OrdShr_Open_H1_10">Model!$CB$374</definedName>
    <definedName name="CS_OrdShr_Open_H1_11">Model!$CE$374</definedName>
    <definedName name="CS_OrdShr_Open_H1_12">Model!$CH$374</definedName>
    <definedName name="CS_OrdShr_Open_H1_13">Model!$CK$374</definedName>
    <definedName name="CS_OrdShr_Open_H1_14">Model!$CN$374</definedName>
    <definedName name="CS_OrdShr_Open_H1_15">Model!$CQ$374</definedName>
    <definedName name="CS_OrdShr_Open_H1_16">Model!$CT$374</definedName>
    <definedName name="CS_OrdShr_Open_H1_17">Model!$CW$374</definedName>
    <definedName name="CS_OrdShr_Open_H1_18">Model!$CZ$374</definedName>
    <definedName name="CS_OrdShr_Open_H1_19">Model!$DC$374</definedName>
    <definedName name="CS_OrdShr_Open_H1_20">Model!$DF$374</definedName>
    <definedName name="CS_OrdShr_Open_H2_00">Model!$AY$374</definedName>
    <definedName name="CS_OrdShr_Open_H2_01">Model!$BB$374</definedName>
    <definedName name="CS_OrdShr_Open_H2_02">Model!$BE$374</definedName>
    <definedName name="CS_OrdShr_Open_H2_03">Model!$BH$374</definedName>
    <definedName name="CS_OrdShr_Open_H2_04">Model!$BK$374</definedName>
    <definedName name="CS_OrdShr_Open_H2_05">Model!$BN$374</definedName>
    <definedName name="CS_OrdShr_Open_H2_06">Model!$BQ$374</definedName>
    <definedName name="CS_OrdShr_Open_H2_07">Model!$BT$374</definedName>
    <definedName name="CS_OrdShr_Open_H2_08">Model!$BW$374</definedName>
    <definedName name="CS_OrdShr_Open_H2_09">Model!$BZ$374</definedName>
    <definedName name="CS_OrdShr_Open_H2_10">Model!$CC$374</definedName>
    <definedName name="CS_OrdShr_Open_H2_11">Model!$CF$374</definedName>
    <definedName name="CS_OrdShr_Open_H2_12">Model!$CI$374</definedName>
    <definedName name="CS_OrdShr_Open_H2_13">Model!$CL$374</definedName>
    <definedName name="CS_OrdShr_Open_H2_14">Model!$CO$374</definedName>
    <definedName name="CS_OrdShr_Open_H2_15">Model!$CR$374</definedName>
    <definedName name="CS_OrdShr_Open_H2_16">Model!$CU$374</definedName>
    <definedName name="CS_OrdShr_Open_H2_17">Model!$CX$374</definedName>
    <definedName name="CS_OrdShr_Open_H2_18">Model!$DA$374</definedName>
    <definedName name="CS_OrdShr_Open_H2_19">Model!$DD$374</definedName>
    <definedName name="CS_OrdShr_Open_H2_20">Model!$DG$374</definedName>
    <definedName name="CS_OrdShr_Opt_00">Model!$AZ$380</definedName>
    <definedName name="CS_OrdShr_Opt_01">Model!$BC$380</definedName>
    <definedName name="CS_OrdShr_Opt_02">Model!$BF$380</definedName>
    <definedName name="CS_OrdShr_Opt_03">Model!$BI$380</definedName>
    <definedName name="CS_OrdShr_Opt_04">Model!$BL$380</definedName>
    <definedName name="CS_OrdShr_Opt_05">Model!$BO$380</definedName>
    <definedName name="CS_OrdShr_Opt_06">Model!$BR$380</definedName>
    <definedName name="CS_OrdShr_Opt_07">Model!$BU$380</definedName>
    <definedName name="CS_OrdShr_Opt_08">Model!$BX$380</definedName>
    <definedName name="CS_OrdShr_Opt_09">Model!$CA$380</definedName>
    <definedName name="CS_OrdShr_Opt_10">Model!$CD$380</definedName>
    <definedName name="CS_OrdShr_Opt_11">Model!$CG$380</definedName>
    <definedName name="CS_OrdShr_Opt_12">Model!$CJ$380</definedName>
    <definedName name="CS_OrdShr_Opt_13">Model!$CM$380</definedName>
    <definedName name="CS_OrdShr_Opt_14">Model!$CP$380</definedName>
    <definedName name="CS_OrdShr_Opt_15">Model!$CS$380</definedName>
    <definedName name="CS_OrdShr_Opt_16">Model!$CV$380</definedName>
    <definedName name="CS_OrdShr_Opt_17">Model!$CY$380</definedName>
    <definedName name="CS_OrdShr_Opt_18">Model!$DB$380</definedName>
    <definedName name="CS_OrdShr_Opt_19">Model!$DE$380</definedName>
    <definedName name="CS_OrdShr_Opt_20">Model!$DH$380</definedName>
    <definedName name="CS_OrdShr_Opt_H1_00">Model!$AX$380</definedName>
    <definedName name="CS_OrdShr_Opt_H1_01">Model!$BA$380</definedName>
    <definedName name="CS_OrdShr_Opt_H1_02">Model!$BD$380</definedName>
    <definedName name="CS_OrdShr_Opt_H1_03">Model!$BG$380</definedName>
    <definedName name="CS_OrdShr_Opt_H1_04">Model!$BJ$380</definedName>
    <definedName name="CS_OrdShr_Opt_H1_05">Model!$BM$380</definedName>
    <definedName name="CS_OrdShr_Opt_H1_06">Model!$BP$380</definedName>
    <definedName name="CS_OrdShr_Opt_H1_07">Model!$BS$380</definedName>
    <definedName name="CS_OrdShr_Opt_H1_08">Model!$BV$380</definedName>
    <definedName name="CS_OrdShr_Opt_H1_09">Model!$BY$380</definedName>
    <definedName name="CS_OrdShr_Opt_H1_10">Model!$CB$380</definedName>
    <definedName name="CS_OrdShr_Opt_H1_11">Model!$CE$380</definedName>
    <definedName name="CS_OrdShr_Opt_H1_12">Model!$CH$380</definedName>
    <definedName name="CS_OrdShr_Opt_H1_13">Model!$CK$380</definedName>
    <definedName name="CS_OrdShr_Opt_H1_14">Model!$CN$380</definedName>
    <definedName name="CS_OrdShr_Opt_H1_15">Model!$CQ$380</definedName>
    <definedName name="CS_OrdShr_Opt_H1_16">Model!$CT$380</definedName>
    <definedName name="CS_OrdShr_Opt_H1_17">Model!$CW$380</definedName>
    <definedName name="CS_OrdShr_Opt_H1_18">Model!$CZ$380</definedName>
    <definedName name="CS_OrdShr_Opt_H1_19">Model!$DC$380</definedName>
    <definedName name="CS_OrdShr_Opt_H1_20">Model!$DF$380</definedName>
    <definedName name="CS_OrdShr_Opt_H2_00">Model!$AY$380</definedName>
    <definedName name="CS_OrdShr_Opt_H2_01">Model!$BB$380</definedName>
    <definedName name="CS_OrdShr_Opt_H2_02">Model!$BE$380</definedName>
    <definedName name="CS_OrdShr_Opt_H2_03">Model!$BH$380</definedName>
    <definedName name="CS_OrdShr_Opt_H2_04">Model!$BK$380</definedName>
    <definedName name="CS_OrdShr_Opt_H2_05">Model!$BN$380</definedName>
    <definedName name="CS_OrdShr_Opt_H2_06">Model!$BQ$380</definedName>
    <definedName name="CS_OrdShr_Opt_H2_07">Model!$BT$380</definedName>
    <definedName name="CS_OrdShr_Opt_H2_08">Model!$BW$380</definedName>
    <definedName name="CS_OrdShr_Opt_H2_09">Model!$BZ$380</definedName>
    <definedName name="CS_OrdShr_Opt_H2_10">Model!$CC$380</definedName>
    <definedName name="CS_OrdShr_Opt_H2_11">Model!$CF$380</definedName>
    <definedName name="CS_OrdShr_Opt_H2_12">Model!$CI$380</definedName>
    <definedName name="CS_OrdShr_Opt_H2_13">Model!$CL$380</definedName>
    <definedName name="CS_OrdShr_Opt_H2_14">Model!$CO$380</definedName>
    <definedName name="CS_OrdShr_Opt_H2_15">Model!$CR$380</definedName>
    <definedName name="CS_OrdShr_Opt_H2_16">Model!$CU$380</definedName>
    <definedName name="CS_OrdShr_Opt_H2_17">Model!$CX$380</definedName>
    <definedName name="CS_OrdShr_Opt_H2_18">Model!$DA$380</definedName>
    <definedName name="CS_OrdShr_Opt_H2_19">Model!$DD$380</definedName>
    <definedName name="CS_OrdShr_Opt_H2_20">Model!$DG$380</definedName>
    <definedName name="CS_OrdShr_Oth_00">Model!$AZ$383</definedName>
    <definedName name="CS_OrdShr_Oth_01">Model!$BC$383</definedName>
    <definedName name="CS_OrdShr_Oth_02">Model!$BF$383</definedName>
    <definedName name="CS_OrdShr_Oth_03">Model!$BI$383</definedName>
    <definedName name="CS_OrdShr_Oth_04">Model!$BL$383</definedName>
    <definedName name="CS_OrdShr_Oth_05">Model!$BO$383</definedName>
    <definedName name="CS_OrdShr_Oth_06">Model!$BR$383</definedName>
    <definedName name="CS_OrdShr_Oth_07">Model!$BU$383</definedName>
    <definedName name="CS_OrdShr_Oth_08">Model!$BX$383</definedName>
    <definedName name="CS_OrdShr_Oth_09">Model!$CA$383</definedName>
    <definedName name="CS_OrdShr_Oth_10">Model!$CD$383</definedName>
    <definedName name="CS_OrdShr_Oth_11">Model!$CG$383</definedName>
    <definedName name="CS_OrdShr_Oth_12">Model!$CJ$383</definedName>
    <definedName name="CS_OrdShr_Oth_13">Model!$CM$383</definedName>
    <definedName name="CS_OrdShr_Oth_14">Model!$CP$383</definedName>
    <definedName name="CS_OrdShr_Oth_15">Model!$CS$383</definedName>
    <definedName name="CS_OrdShr_Oth_16">Model!$CV$383</definedName>
    <definedName name="CS_OrdShr_Oth_17">Model!$CY$383</definedName>
    <definedName name="CS_OrdShr_Oth_18">Model!$DB$383</definedName>
    <definedName name="CS_OrdShr_Oth_19">Model!$DE$383</definedName>
    <definedName name="CS_OrdShr_Oth_20">Model!$DH$383</definedName>
    <definedName name="CS_OrdShr_Oth_H1_00">Model!$AX$383</definedName>
    <definedName name="CS_OrdShr_Oth_H1_01">Model!$BA$383</definedName>
    <definedName name="CS_OrdShr_Oth_H1_02">Model!$BD$383</definedName>
    <definedName name="CS_OrdShr_Oth_H1_03">Model!$BG$383</definedName>
    <definedName name="CS_OrdShr_Oth_H1_04">Model!$BJ$383</definedName>
    <definedName name="CS_OrdShr_Oth_H1_05">Model!$BM$383</definedName>
    <definedName name="CS_OrdShr_Oth_H1_06">Model!$BP$383</definedName>
    <definedName name="CS_OrdShr_Oth_H1_07">Model!$BS$383</definedName>
    <definedName name="CS_OrdShr_Oth_H1_08">Model!$BV$383</definedName>
    <definedName name="CS_OrdShr_Oth_H1_09">Model!$BY$383</definedName>
    <definedName name="CS_OrdShr_Oth_H1_10">Model!$CB$383</definedName>
    <definedName name="CS_OrdShr_Oth_H1_11">Model!$CE$383</definedName>
    <definedName name="CS_OrdShr_Oth_H1_12">Model!$CH$383</definedName>
    <definedName name="CS_OrdShr_Oth_H1_13">Model!$CK$383</definedName>
    <definedName name="CS_OrdShr_Oth_H1_14">Model!$CN$383</definedName>
    <definedName name="CS_OrdShr_Oth_H1_15">Model!$CQ$383</definedName>
    <definedName name="CS_OrdShr_Oth_H1_16">Model!$CT$383</definedName>
    <definedName name="CS_OrdShr_Oth_H1_17">Model!$CW$383</definedName>
    <definedName name="CS_OrdShr_Oth_H1_18">Model!$CZ$383</definedName>
    <definedName name="CS_OrdShr_Oth_H1_19">Model!$DC$383</definedName>
    <definedName name="CS_OrdShr_Oth_H1_20">Model!$DF$383</definedName>
    <definedName name="CS_OrdShr_Oth_H2_00">Model!$AY$383</definedName>
    <definedName name="CS_OrdShr_Oth_H2_01">Model!$BB$383</definedName>
    <definedName name="CS_OrdShr_Oth_H2_02">Model!$BE$383</definedName>
    <definedName name="CS_OrdShr_Oth_H2_03">Model!$BH$383</definedName>
    <definedName name="CS_OrdShr_Oth_H2_04">Model!$BK$383</definedName>
    <definedName name="CS_OrdShr_Oth_H2_05">Model!$BN$383</definedName>
    <definedName name="CS_OrdShr_Oth_H2_06">Model!$BQ$383</definedName>
    <definedName name="CS_OrdShr_Oth_H2_07">Model!$BT$383</definedName>
    <definedName name="CS_OrdShr_Oth_H2_08">Model!$BW$383</definedName>
    <definedName name="CS_OrdShr_Oth_H2_09">Model!$BZ$383</definedName>
    <definedName name="CS_OrdShr_Oth_H2_10">Model!$CC$383</definedName>
    <definedName name="CS_OrdShr_Oth_H2_11">Model!$CF$383</definedName>
    <definedName name="CS_OrdShr_Oth_H2_12">Model!$CI$383</definedName>
    <definedName name="CS_OrdShr_Oth_H2_13">Model!$CL$383</definedName>
    <definedName name="CS_OrdShr_Oth_H2_14">Model!$CO$383</definedName>
    <definedName name="CS_OrdShr_Oth_H2_15">Model!$CR$383</definedName>
    <definedName name="CS_OrdShr_Oth_H2_16">Model!$CU$383</definedName>
    <definedName name="CS_OrdShr_Oth_H2_17">Model!$CX$383</definedName>
    <definedName name="CS_OrdShr_Oth_H2_18">Model!$DA$383</definedName>
    <definedName name="CS_OrdShr_Oth_H2_19">Model!$DD$383</definedName>
    <definedName name="CS_OrdShr_Oth_H2_20">Model!$DG$383</definedName>
    <definedName name="CS_OrdShr_Plac_00">Model!$AZ$377</definedName>
    <definedName name="CS_OrdShr_Plac_01">Model!$BC$377</definedName>
    <definedName name="CS_OrdShr_Plac_02">Model!$BF$377</definedName>
    <definedName name="CS_OrdShr_Plac_03">Model!$BI$377</definedName>
    <definedName name="CS_OrdShr_Plac_04">Model!$BL$377</definedName>
    <definedName name="CS_OrdShr_Plac_05">Model!$BO$377</definedName>
    <definedName name="CS_OrdShr_Plac_06">Model!$BR$377</definedName>
    <definedName name="CS_OrdShr_Plac_07">Model!$BU$377</definedName>
    <definedName name="CS_OrdShr_Plac_08">Model!$BX$377</definedName>
    <definedName name="CS_OrdShr_Plac_09">Model!$CA$377</definedName>
    <definedName name="CS_OrdShr_Plac_10">Model!$CD$377</definedName>
    <definedName name="CS_OrdShr_Plac_11">Model!$CG$377</definedName>
    <definedName name="CS_OrdShr_Plac_12">Model!$CJ$377</definedName>
    <definedName name="CS_OrdShr_Plac_13">Model!$CM$377</definedName>
    <definedName name="CS_OrdShr_Plac_14">Model!$CP$377</definedName>
    <definedName name="CS_OrdShr_Plac_15">Model!$CS$377</definedName>
    <definedName name="CS_OrdShr_Plac_16">Model!$CV$377</definedName>
    <definedName name="CS_OrdShr_Plac_17">Model!$CY$377</definedName>
    <definedName name="CS_OrdShr_Plac_18">Model!$DB$377</definedName>
    <definedName name="CS_OrdShr_Plac_19">Model!$DE$377</definedName>
    <definedName name="CS_OrdShr_Plac_20">Model!$DH$377</definedName>
    <definedName name="CS_OrdShr_Plac_H1_00">Model!$AX$377</definedName>
    <definedName name="CS_OrdShr_Plac_H1_01">Model!$BA$377</definedName>
    <definedName name="CS_OrdShr_Plac_H1_02">Model!$BD$377</definedName>
    <definedName name="CS_OrdShr_Plac_H1_03">Model!$BG$377</definedName>
    <definedName name="CS_OrdShr_Plac_H1_04">Model!$BJ$377</definedName>
    <definedName name="CS_OrdShr_Plac_H1_05">Model!$BM$377</definedName>
    <definedName name="CS_OrdShr_Plac_H1_06">Model!$BP$377</definedName>
    <definedName name="CS_OrdShr_Plac_H1_07">Model!$BS$377</definedName>
    <definedName name="CS_OrdShr_Plac_H1_08">Model!$BV$377</definedName>
    <definedName name="CS_OrdShr_Plac_H1_09">Model!$BY$377</definedName>
    <definedName name="CS_OrdShr_Plac_H1_10">Model!$CB$377</definedName>
    <definedName name="CS_OrdShr_Plac_H1_11">Model!$CE$377</definedName>
    <definedName name="CS_OrdShr_Plac_H1_12">Model!$CH$377</definedName>
    <definedName name="CS_OrdShr_Plac_H1_13">Model!$CK$377</definedName>
    <definedName name="CS_OrdShr_Plac_H1_14">Model!$CN$377</definedName>
    <definedName name="CS_OrdShr_Plac_H1_15">Model!$CQ$377</definedName>
    <definedName name="CS_OrdShr_Plac_H1_16">Model!$CT$377</definedName>
    <definedName name="CS_OrdShr_Plac_H1_17">Model!$CW$377</definedName>
    <definedName name="CS_OrdShr_Plac_H1_18">Model!$CZ$377</definedName>
    <definedName name="CS_OrdShr_Plac_H1_19">Model!$DC$377</definedName>
    <definedName name="CS_OrdShr_Plac_H1_20">Model!$DF$377</definedName>
    <definedName name="CS_OrdShr_Plac_H2_00">Model!$AY$377</definedName>
    <definedName name="CS_OrdShr_Plac_H2_01">Model!$BB$377</definedName>
    <definedName name="CS_OrdShr_Plac_H2_02">Model!$BE$377</definedName>
    <definedName name="CS_OrdShr_Plac_H2_03">Model!$BH$377</definedName>
    <definedName name="CS_OrdShr_Plac_H2_04">Model!$BK$377</definedName>
    <definedName name="CS_OrdShr_Plac_H2_05">Model!$BN$377</definedName>
    <definedName name="CS_OrdShr_Plac_H2_06">Model!$BQ$377</definedName>
    <definedName name="CS_OrdShr_Plac_H2_07">Model!$BT$377</definedName>
    <definedName name="CS_OrdShr_Plac_H2_08">Model!$BW$377</definedName>
    <definedName name="CS_OrdShr_Plac_H2_09">Model!$BZ$377</definedName>
    <definedName name="CS_OrdShr_Plac_H2_10">Model!$CC$377</definedName>
    <definedName name="CS_OrdShr_Plac_H2_11">Model!$CF$377</definedName>
    <definedName name="CS_OrdShr_Plac_H2_12">Model!$CI$377</definedName>
    <definedName name="CS_OrdShr_Plac_H2_13">Model!$CL$377</definedName>
    <definedName name="CS_OrdShr_Plac_H2_14">Model!$CO$377</definedName>
    <definedName name="CS_OrdShr_Plac_H2_15">Model!$CR$377</definedName>
    <definedName name="CS_OrdShr_Plac_H2_16">Model!$CU$377</definedName>
    <definedName name="CS_OrdShr_Plac_H2_17">Model!$CX$377</definedName>
    <definedName name="CS_OrdShr_Plac_H2_18">Model!$DA$377</definedName>
    <definedName name="CS_OrdShr_Plac_H2_19">Model!$DD$377</definedName>
    <definedName name="CS_OrdShr_Plac_H2_20">Model!$DG$377</definedName>
    <definedName name="CS_OrdShr_Pref_00">Model!$AZ$518</definedName>
    <definedName name="CS_OrdShr_Pref_01">Model!$BC$518</definedName>
    <definedName name="CS_OrdShr_Pref_02">Model!$BF$518</definedName>
    <definedName name="CS_OrdShr_Pref_03">Model!$BI$518</definedName>
    <definedName name="CS_OrdShr_Pref_04">Model!$BL$518</definedName>
    <definedName name="CS_OrdShr_Pref_05">Model!$BO$518</definedName>
    <definedName name="CS_OrdShr_Pref_06">Model!$BR$518</definedName>
    <definedName name="CS_OrdShr_Pref_07">Model!$BU$518</definedName>
    <definedName name="CS_OrdShr_Pref_08">Model!$BX$518</definedName>
    <definedName name="CS_OrdShr_Pref_09">Model!$CA$518</definedName>
    <definedName name="CS_OrdShr_Pref_10">Model!$CD$518</definedName>
    <definedName name="CS_OrdShr_Pref_11">Model!$CG$518</definedName>
    <definedName name="CS_OrdShr_Pref_12">Model!$CJ$518</definedName>
    <definedName name="CS_OrdShr_Pref_13">Model!$CM$518</definedName>
    <definedName name="CS_OrdShr_Pref_14">Model!$CP$518</definedName>
    <definedName name="CS_OrdShr_Pref_15">Model!$CS$518</definedName>
    <definedName name="CS_OrdShr_Pref_16">Model!$CV$518</definedName>
    <definedName name="CS_OrdShr_Pref_17">Model!$CY$518</definedName>
    <definedName name="CS_OrdShr_Pref_18">Model!$DB$518</definedName>
    <definedName name="CS_OrdShr_Pref_19">Model!$DE$518</definedName>
    <definedName name="CS_OrdShr_Pref_20">Model!$DH$518</definedName>
    <definedName name="CS_OrdShr_Pref_H1_00">Model!$AX$518</definedName>
    <definedName name="CS_OrdShr_Pref_H1_01">Model!$BA$518</definedName>
    <definedName name="CS_OrdShr_Pref_H1_02">Model!$BD$518</definedName>
    <definedName name="CS_OrdShr_Pref_H1_03">Model!$BG$518</definedName>
    <definedName name="CS_OrdShr_Pref_H1_04">Model!$BJ$518</definedName>
    <definedName name="CS_OrdShr_Pref_H1_05">Model!$BM$518</definedName>
    <definedName name="CS_OrdShr_Pref_H1_06">Model!$BP$518</definedName>
    <definedName name="CS_OrdShr_Pref_H1_07">Model!$BS$518</definedName>
    <definedName name="CS_OrdShr_Pref_H1_08">Model!$BV$518</definedName>
    <definedName name="CS_OrdShr_Pref_H1_09">Model!$BY$518</definedName>
    <definedName name="CS_OrdShr_Pref_H1_10">Model!$CB$518</definedName>
    <definedName name="CS_OrdShr_Pref_H1_11">Model!$CE$518</definedName>
    <definedName name="CS_OrdShr_Pref_H1_12">Model!$CH$518</definedName>
    <definedName name="CS_OrdShr_Pref_H1_13">Model!$CK$518</definedName>
    <definedName name="CS_OrdShr_Pref_H1_14">Model!$CN$518</definedName>
    <definedName name="CS_OrdShr_Pref_H1_15">Model!$CQ$518</definedName>
    <definedName name="CS_OrdShr_Pref_H1_16">Model!$CT$518</definedName>
    <definedName name="CS_OrdShr_Pref_H1_17">Model!$CW$518</definedName>
    <definedName name="CS_OrdShr_Pref_H1_18">Model!$CZ$518</definedName>
    <definedName name="CS_OrdShr_Pref_H1_19">Model!$DC$518</definedName>
    <definedName name="CS_OrdShr_Pref_H1_20">Model!$DF$518</definedName>
    <definedName name="CS_OrdShr_Pref_H2_00">Model!$AY$518</definedName>
    <definedName name="CS_OrdShr_Pref_H2_01">Model!$BB$518</definedName>
    <definedName name="CS_OrdShr_Pref_H2_02">Model!$BE$518</definedName>
    <definedName name="CS_OrdShr_Pref_H2_03">Model!$BH$518</definedName>
    <definedName name="CS_OrdShr_Pref_H2_04">Model!$BK$518</definedName>
    <definedName name="CS_OrdShr_Pref_H2_05">Model!$BN$518</definedName>
    <definedName name="CS_OrdShr_Pref_H2_06">Model!$BQ$518</definedName>
    <definedName name="CS_OrdShr_Pref_H2_07">Model!$BT$518</definedName>
    <definedName name="CS_OrdShr_Pref_H2_08">Model!$BW$518</definedName>
    <definedName name="CS_OrdShr_Pref_H2_09">Model!$BZ$518</definedName>
    <definedName name="CS_OrdShr_Pref_H2_10">Model!$CC$518</definedName>
    <definedName name="CS_OrdShr_Pref_H2_11">Model!$CF$518</definedName>
    <definedName name="CS_OrdShr_Pref_H2_12">Model!$CI$518</definedName>
    <definedName name="CS_OrdShr_Pref_H2_13">Model!$CL$518</definedName>
    <definedName name="CS_OrdShr_Pref_H2_14">Model!$CO$518</definedName>
    <definedName name="CS_OrdShr_Pref_H2_15">Model!$CR$518</definedName>
    <definedName name="CS_OrdShr_Pref_H2_16">Model!$CU$518</definedName>
    <definedName name="CS_OrdShr_Pref_H2_17">Model!$CX$518</definedName>
    <definedName name="CS_OrdShr_Pref_H2_18">Model!$DA$518</definedName>
    <definedName name="CS_OrdShr_Pref_H2_19">Model!$DD$518</definedName>
    <definedName name="CS_OrdShr_Pref_H2_20">Model!$DG$518</definedName>
    <definedName name="CS_PC_Avg_00">Model!$AZ$540</definedName>
    <definedName name="CS_PC_Avg_01">Model!$BC$540</definedName>
    <definedName name="CS_PC_Avg_02">Model!$BF$540</definedName>
    <definedName name="CS_PC_Avg_03">Model!$BI$540</definedName>
    <definedName name="CS_PC_Avg_04">Model!$BL$540</definedName>
    <definedName name="CS_PC_Avg_05">Model!$BO$540</definedName>
    <definedName name="CS_PC_Avg_06">Model!$BR$540</definedName>
    <definedName name="CS_PC_Avg_07">Model!$BU$540</definedName>
    <definedName name="CS_PC_Avg_08">Model!$BX$540</definedName>
    <definedName name="CS_PC_Avg_09">Model!$CA$540</definedName>
    <definedName name="CS_PC_Avg_10">Model!$CD$540</definedName>
    <definedName name="CS_PC_Avg_11">Model!$CG$540</definedName>
    <definedName name="CS_PC_Avg_12">Model!$CJ$540</definedName>
    <definedName name="CS_PC_Avg_13">Model!$CM$540</definedName>
    <definedName name="CS_PC_Avg_14">Model!$CP$540</definedName>
    <definedName name="CS_PC_Avg_15">Model!$CS$540</definedName>
    <definedName name="CS_PC_Avg_16">Model!$CV$540</definedName>
    <definedName name="CS_PC_Avg_17">Model!$CY$540</definedName>
    <definedName name="CS_PC_Avg_18">Model!$DB$540</definedName>
    <definedName name="CS_PC_Avg_19">Model!$DE$540</definedName>
    <definedName name="CS_PC_Avg_20">Model!$DH$540</definedName>
    <definedName name="CS_PC_Avg_H1_00">Model!$AX$540</definedName>
    <definedName name="CS_PC_Avg_H1_01">Model!$BA$540</definedName>
    <definedName name="CS_PC_Avg_H1_02">Model!$BD$540</definedName>
    <definedName name="CS_PC_Avg_H1_03">Model!$BG$540</definedName>
    <definedName name="CS_PC_Avg_H1_04">Model!$BJ$540</definedName>
    <definedName name="CS_PC_Avg_H1_05">Model!$BM$540</definedName>
    <definedName name="CS_PC_Avg_H1_06">Model!$BP$540</definedName>
    <definedName name="CS_PC_Avg_H1_07">Model!$BS$540</definedName>
    <definedName name="CS_PC_Avg_H1_08">Model!$BV$540</definedName>
    <definedName name="CS_PC_Avg_H1_09">Model!$BY$540</definedName>
    <definedName name="CS_PC_Avg_H1_10">Model!$CB$540</definedName>
    <definedName name="CS_PC_Avg_H1_11">Model!$CE$540</definedName>
    <definedName name="CS_PC_Avg_H1_12">Model!$CH$540</definedName>
    <definedName name="CS_PC_Avg_H1_13">Model!$CK$540</definedName>
    <definedName name="CS_PC_Avg_H1_14">Model!$CN$540</definedName>
    <definedName name="CS_PC_Avg_H1_15">Model!$CQ$540</definedName>
    <definedName name="CS_PC_Avg_H1_16">Model!$CT$540</definedName>
    <definedName name="CS_PC_Avg_H1_17">Model!$CW$540</definedName>
    <definedName name="CS_PC_Avg_H1_18">Model!$CZ$540</definedName>
    <definedName name="CS_PC_Avg_H1_19">Model!$DC$540</definedName>
    <definedName name="CS_PC_Avg_H1_20">Model!$DF$540</definedName>
    <definedName name="CS_PC_Avg_H2_00">Model!$AY$540</definedName>
    <definedName name="CS_PC_Avg_H2_01">Model!$BB$540</definedName>
    <definedName name="CS_PC_Avg_H2_02">Model!$BE$540</definedName>
    <definedName name="CS_PC_Avg_H2_03">Model!$BH$540</definedName>
    <definedName name="CS_PC_Avg_H2_04">Model!$BK$540</definedName>
    <definedName name="CS_PC_Avg_H2_05">Model!$BN$540</definedName>
    <definedName name="CS_PC_Avg_H2_06">Model!$BQ$540</definedName>
    <definedName name="CS_PC_Avg_H2_07">Model!$BT$540</definedName>
    <definedName name="CS_PC_Avg_H2_08">Model!$BW$540</definedName>
    <definedName name="CS_PC_Avg_H2_09">Model!$BZ$540</definedName>
    <definedName name="CS_PC_Avg_H2_10">Model!$CC$540</definedName>
    <definedName name="CS_PC_Avg_H2_11">Model!$CF$540</definedName>
    <definedName name="CS_PC_Avg_H2_12">Model!$CI$540</definedName>
    <definedName name="CS_PC_Avg_H2_13">Model!$CL$540</definedName>
    <definedName name="CS_PC_Avg_H2_14">Model!$CO$540</definedName>
    <definedName name="CS_PC_Avg_H2_15">Model!$CR$540</definedName>
    <definedName name="CS_PC_Avg_H2_16">Model!$CU$540</definedName>
    <definedName name="CS_PC_Avg_H2_17">Model!$CX$540</definedName>
    <definedName name="CS_PC_Avg_H2_18">Model!$DA$540</definedName>
    <definedName name="CS_PC_Avg_H2_19">Model!$DD$540</definedName>
    <definedName name="CS_PC_Avg_H2_20">Model!$DG$540</definedName>
    <definedName name="CS_PC_Clos_00">Model!$AZ$541</definedName>
    <definedName name="CS_PC_Clos_01">Model!$BC$541</definedName>
    <definedName name="CS_PC_Clos_02">Model!$BF$541</definedName>
    <definedName name="CS_PC_Clos_03">Model!$BI$541</definedName>
    <definedName name="CS_PC_Clos_04">Model!$BL$541</definedName>
    <definedName name="CS_PC_Clos_05">Model!$BO$541</definedName>
    <definedName name="CS_PC_Clos_06">Model!$BR$541</definedName>
    <definedName name="CS_PC_Clos_07">Model!$BU$541</definedName>
    <definedName name="CS_PC_Clos_08">Model!$BX$541</definedName>
    <definedName name="CS_PC_Clos_09">Model!$CA$541</definedName>
    <definedName name="CS_PC_Clos_10">Model!$CD$541</definedName>
    <definedName name="CS_PC_Clos_11">Model!$CG$541</definedName>
    <definedName name="CS_PC_Clos_12">Model!$CJ$541</definedName>
    <definedName name="CS_PC_Clos_13">Model!$CM$541</definedName>
    <definedName name="CS_PC_Clos_14">Model!$CP$541</definedName>
    <definedName name="CS_PC_Clos_15">Model!$CS$541</definedName>
    <definedName name="CS_PC_Clos_16">Model!$CV$541</definedName>
    <definedName name="CS_PC_Clos_17">Model!$CY$541</definedName>
    <definedName name="CS_PC_Clos_18">Model!$DB$541</definedName>
    <definedName name="CS_PC_Clos_19">Model!$DE$541</definedName>
    <definedName name="CS_PC_Clos_20">Model!$DH$541</definedName>
    <definedName name="CS_PC_Clos_H1_00">Model!$AX$541</definedName>
    <definedName name="CS_PC_Clos_H1_01">Model!$BA$541</definedName>
    <definedName name="CS_PC_Clos_H1_02">Model!$BD$541</definedName>
    <definedName name="CS_PC_Clos_H1_03">Model!$BG$541</definedName>
    <definedName name="CS_PC_Clos_H1_04">Model!$BJ$541</definedName>
    <definedName name="CS_PC_Clos_H1_05">Model!$BM$541</definedName>
    <definedName name="CS_PC_Clos_H1_06">Model!$BP$541</definedName>
    <definedName name="CS_PC_Clos_H1_07">Model!$BS$541</definedName>
    <definedName name="CS_PC_Clos_H1_08">Model!$BV$541</definedName>
    <definedName name="CS_PC_Clos_H1_09">Model!$BY$541</definedName>
    <definedName name="CS_PC_Clos_H1_10">Model!$CB$541</definedName>
    <definedName name="CS_PC_Clos_H1_11">Model!$CE$541</definedName>
    <definedName name="CS_PC_Clos_H1_12">Model!$CH$541</definedName>
    <definedName name="CS_PC_Clos_H1_13">Model!$CK$541</definedName>
    <definedName name="CS_PC_Clos_H1_14">Model!$CN$541</definedName>
    <definedName name="CS_PC_Clos_H1_15">Model!$CQ$541</definedName>
    <definedName name="CS_PC_Clos_H1_16">Model!$CT$541</definedName>
    <definedName name="CS_PC_Clos_H1_17">Model!$CW$541</definedName>
    <definedName name="CS_PC_Clos_H1_18">Model!$CZ$541</definedName>
    <definedName name="CS_PC_Clos_H1_19">Model!$DC$541</definedName>
    <definedName name="CS_PC_Clos_H1_20">Model!$DF$541</definedName>
    <definedName name="CS_PC_Clos_H2_00">Model!$AY$541</definedName>
    <definedName name="CS_PC_Clos_H2_01">Model!$BB$541</definedName>
    <definedName name="CS_PC_Clos_H2_02">Model!$BE$541</definedName>
    <definedName name="CS_PC_Clos_H2_03">Model!$BH$541</definedName>
    <definedName name="CS_PC_Clos_H2_04">Model!$BK$541</definedName>
    <definedName name="CS_PC_Clos_H2_05">Model!$BN$541</definedName>
    <definedName name="CS_PC_Clos_H2_06">Model!$BQ$541</definedName>
    <definedName name="CS_PC_Clos_H2_07">Model!$BT$541</definedName>
    <definedName name="CS_PC_Clos_H2_08">Model!$BW$541</definedName>
    <definedName name="CS_PC_Clos_H2_09">Model!$BZ$541</definedName>
    <definedName name="CS_PC_Clos_H2_10">Model!$CC$541</definedName>
    <definedName name="CS_PC_Clos_H2_11">Model!$CF$541</definedName>
    <definedName name="CS_PC_Clos_H2_12">Model!$CI$541</definedName>
    <definedName name="CS_PC_Clos_H2_13">Model!$CL$541</definedName>
    <definedName name="CS_PC_Clos_H2_14">Model!$CO$541</definedName>
    <definedName name="CS_PC_Clos_H2_15">Model!$CR$541</definedName>
    <definedName name="CS_PC_Clos_H2_16">Model!$CU$541</definedName>
    <definedName name="CS_PC_Clos_H2_17">Model!$CX$541</definedName>
    <definedName name="CS_PC_Clos_H2_18">Model!$DA$541</definedName>
    <definedName name="CS_PC_Clos_H2_19">Model!$DD$541</definedName>
    <definedName name="CS_PC_Clos_H2_20">Model!$DG$541</definedName>
    <definedName name="CS_PC_Issue_00">Model!$AZ$538</definedName>
    <definedName name="CS_PC_Issue_01">Model!$BC$538</definedName>
    <definedName name="CS_PC_Issue_02">Model!$BF$538</definedName>
    <definedName name="CS_PC_Issue_03">Model!$BI$538</definedName>
    <definedName name="CS_PC_Issue_04">Model!$BL$538</definedName>
    <definedName name="CS_PC_Issue_05">Model!$BO$538</definedName>
    <definedName name="CS_PC_Issue_06">Model!$BR$538</definedName>
    <definedName name="CS_PC_Issue_07">Model!$BU$538</definedName>
    <definedName name="CS_PC_Issue_08">Model!$BX$538</definedName>
    <definedName name="CS_PC_Issue_09">Model!$CA$538</definedName>
    <definedName name="CS_PC_Issue_10">Model!$CD$538</definedName>
    <definedName name="CS_PC_Issue_11">Model!$CG$538</definedName>
    <definedName name="CS_PC_Issue_12">Model!$CJ$538</definedName>
    <definedName name="CS_PC_Issue_13">Model!$CM$538</definedName>
    <definedName name="CS_PC_Issue_14">Model!$CP$538</definedName>
    <definedName name="CS_PC_Issue_15">Model!$CS$538</definedName>
    <definedName name="CS_PC_Issue_16">Model!$CV$538</definedName>
    <definedName name="CS_PC_Issue_17">Model!$CY$538</definedName>
    <definedName name="CS_PC_Issue_18">Model!$DB$538</definedName>
    <definedName name="CS_PC_Issue_19">Model!$DE$538</definedName>
    <definedName name="CS_PC_Issue_20">Model!$DH$538</definedName>
    <definedName name="CS_PC_Issue_H1_00">Model!$AX$538</definedName>
    <definedName name="CS_PC_Issue_H1_01">Model!$BA$538</definedName>
    <definedName name="CS_PC_Issue_H1_02">Model!$BD$538</definedName>
    <definedName name="CS_PC_Issue_H1_03">Model!$BG$538</definedName>
    <definedName name="CS_PC_Issue_H1_04">Model!$BJ$538</definedName>
    <definedName name="CS_PC_Issue_H1_05">Model!$BM$538</definedName>
    <definedName name="CS_PC_Issue_H1_06">Model!$BP$538</definedName>
    <definedName name="CS_PC_Issue_H1_07">Model!$BS$538</definedName>
    <definedName name="CS_PC_Issue_H1_08">Model!$BV$538</definedName>
    <definedName name="CS_PC_Issue_H1_09">Model!$BY$538</definedName>
    <definedName name="CS_PC_Issue_H1_10">Model!$CB$538</definedName>
    <definedName name="CS_PC_Issue_H1_11">Model!$CE$538</definedName>
    <definedName name="CS_PC_Issue_H1_12">Model!$CH$538</definedName>
    <definedName name="CS_PC_Issue_H1_13">Model!$CK$538</definedName>
    <definedName name="CS_PC_Issue_H1_14">Model!$CN$538</definedName>
    <definedName name="CS_PC_Issue_H1_15">Model!$CQ$538</definedName>
    <definedName name="CS_PC_Issue_H1_16">Model!$CT$538</definedName>
    <definedName name="CS_PC_Issue_H1_17">Model!$CW$538</definedName>
    <definedName name="CS_PC_Issue_H1_18">Model!$CZ$538</definedName>
    <definedName name="CS_PC_Issue_H1_19">Model!$DC$538</definedName>
    <definedName name="CS_PC_Issue_H1_20">Model!$DF$538</definedName>
    <definedName name="CS_PC_Issue_H2_00">Model!$AY$538</definedName>
    <definedName name="CS_PC_Issue_H2_01">Model!$BB$538</definedName>
    <definedName name="CS_PC_Issue_H2_02">Model!$BE$538</definedName>
    <definedName name="CS_PC_Issue_H2_03">Model!$BH$538</definedName>
    <definedName name="CS_PC_Issue_H2_04">Model!$BK$538</definedName>
    <definedName name="CS_PC_Issue_H2_05">Model!$BN$538</definedName>
    <definedName name="CS_PC_Issue_H2_06">Model!$BQ$538</definedName>
    <definedName name="CS_PC_Issue_H2_07">Model!$BT$538</definedName>
    <definedName name="CS_PC_Issue_H2_08">Model!$BW$538</definedName>
    <definedName name="CS_PC_Issue_H2_09">Model!$BZ$538</definedName>
    <definedName name="CS_PC_Issue_H2_10">Model!$CC$538</definedName>
    <definedName name="CS_PC_Issue_H2_11">Model!$CF$538</definedName>
    <definedName name="CS_PC_Issue_H2_12">Model!$CI$538</definedName>
    <definedName name="CS_PC_Issue_H2_13">Model!$CL$538</definedName>
    <definedName name="CS_PC_Issue_H2_14">Model!$CO$538</definedName>
    <definedName name="CS_PC_Issue_H2_15">Model!$CR$538</definedName>
    <definedName name="CS_PC_Issue_H2_16">Model!$CU$538</definedName>
    <definedName name="CS_PC_Issue_H2_17">Model!$CX$538</definedName>
    <definedName name="CS_PC_Issue_H2_18">Model!$DA$538</definedName>
    <definedName name="CS_PC_Issue_H2_19">Model!$DD$538</definedName>
    <definedName name="CS_PC_Issue_H2_20">Model!$DG$538</definedName>
    <definedName name="CS_PC_Op_00">Model!$AZ$533</definedName>
    <definedName name="CS_PC_Op_01">Model!$BC$533</definedName>
    <definedName name="CS_PC_Op_02">Model!$BF$533</definedName>
    <definedName name="CS_PC_Op_03">Model!$BI$533</definedName>
    <definedName name="CS_PC_Op_04">Model!$BL$533</definedName>
    <definedName name="CS_PC_Op_05">Model!$BO$533</definedName>
    <definedName name="CS_PC_Op_06">Model!$BR$533</definedName>
    <definedName name="CS_PC_Op_07">Model!$BU$533</definedName>
    <definedName name="CS_PC_Op_08">Model!$BX$533</definedName>
    <definedName name="CS_PC_Op_09">Model!$CA$533</definedName>
    <definedName name="CS_PC_Op_10">Model!$CD$533</definedName>
    <definedName name="CS_PC_Op_11">Model!$CG$533</definedName>
    <definedName name="CS_PC_Op_12">Model!$CJ$533</definedName>
    <definedName name="CS_PC_Op_13">Model!$CM$533</definedName>
    <definedName name="CS_PC_Op_14">Model!$CP$533</definedName>
    <definedName name="CS_PC_Op_15">Model!$CS$533</definedName>
    <definedName name="CS_PC_Op_16">Model!$CV$533</definedName>
    <definedName name="CS_PC_Op_17">Model!$CY$533</definedName>
    <definedName name="CS_PC_Op_18">Model!$DB$533</definedName>
    <definedName name="CS_PC_Op_19">Model!$DE$533</definedName>
    <definedName name="CS_PC_Op_20">Model!$DH$533</definedName>
    <definedName name="CS_PC_Op_H1_00">Model!$AX$533</definedName>
    <definedName name="CS_PC_Op_H1_01">Model!$BA$533</definedName>
    <definedName name="CS_PC_Op_H1_02">Model!$BD$533</definedName>
    <definedName name="CS_PC_Op_H1_03">Model!$BG$533</definedName>
    <definedName name="CS_PC_Op_H1_04">Model!$BJ$533</definedName>
    <definedName name="CS_PC_Op_H1_05">Model!$BM$533</definedName>
    <definedName name="CS_PC_Op_H1_06">Model!$BP$533</definedName>
    <definedName name="CS_PC_Op_H1_07">Model!$BS$533</definedName>
    <definedName name="CS_PC_Op_H1_08">Model!$BV$533</definedName>
    <definedName name="CS_PC_Op_H1_09">Model!$BY$533</definedName>
    <definedName name="CS_PC_Op_H1_10">Model!$CB$533</definedName>
    <definedName name="CS_PC_Op_H1_11">Model!$CE$533</definedName>
    <definedName name="CS_PC_Op_H1_12">Model!$CH$533</definedName>
    <definedName name="CS_PC_Op_H1_13">Model!$CK$533</definedName>
    <definedName name="CS_PC_Op_H1_14">Model!$CN$533</definedName>
    <definedName name="CS_PC_Op_H1_15">Model!$CQ$533</definedName>
    <definedName name="CS_PC_Op_H1_16">Model!$CT$533</definedName>
    <definedName name="CS_PC_Op_H1_17">Model!$CW$533</definedName>
    <definedName name="CS_PC_Op_H1_18">Model!$CZ$533</definedName>
    <definedName name="CS_PC_Op_H1_19">Model!$DC$533</definedName>
    <definedName name="CS_PC_Op_H1_20">Model!$DF$533</definedName>
    <definedName name="CS_PC_Op_H2_00">Model!$AY$533</definedName>
    <definedName name="CS_PC_Op_H2_01">Model!$BB$533</definedName>
    <definedName name="CS_PC_Op_H2_02">Model!$BE$533</definedName>
    <definedName name="CS_PC_Op_H2_03">Model!$BH$533</definedName>
    <definedName name="CS_PC_Op_H2_04">Model!$BK$533</definedName>
    <definedName name="CS_PC_Op_H2_05">Model!$BN$533</definedName>
    <definedName name="CS_PC_Op_H2_06">Model!$BQ$533</definedName>
    <definedName name="CS_PC_Op_H2_07">Model!$BT$533</definedName>
    <definedName name="CS_PC_Op_H2_08">Model!$BW$533</definedName>
    <definedName name="CS_PC_Op_H2_09">Model!$BZ$533</definedName>
    <definedName name="CS_PC_Op_H2_10">Model!$CC$533</definedName>
    <definedName name="CS_PC_Op_H2_11">Model!$CF$533</definedName>
    <definedName name="CS_PC_Op_H2_12">Model!$CI$533</definedName>
    <definedName name="CS_PC_Op_H2_13">Model!$CL$533</definedName>
    <definedName name="CS_PC_Op_H2_14">Model!$CO$533</definedName>
    <definedName name="CS_PC_Op_H2_15">Model!$CR$533</definedName>
    <definedName name="CS_PC_Op_H2_16">Model!$CU$533</definedName>
    <definedName name="CS_PC_Op_H2_17">Model!$CX$533</definedName>
    <definedName name="CS_PC_Op_H2_18">Model!$DA$533</definedName>
    <definedName name="CS_PC_Op_H2_19">Model!$DD$533</definedName>
    <definedName name="CS_PC_Op_H2_20">Model!$DG$533</definedName>
    <definedName name="CS_PC_Shr_BB_00">Model!$AZ$536</definedName>
    <definedName name="CS_PC_Shr_BB_01">Model!$BC$536</definedName>
    <definedName name="CS_PC_Shr_BB_02">Model!$BF$536</definedName>
    <definedName name="CS_PC_Shr_BB_03">Model!$BI$536</definedName>
    <definedName name="CS_PC_Shr_BB_04">Model!$BL$536</definedName>
    <definedName name="CS_PC_Shr_BB_05">Model!$BO$536</definedName>
    <definedName name="CS_PC_Shr_BB_06">Model!$BR$536</definedName>
    <definedName name="CS_PC_Shr_BB_07">Model!$BU$536</definedName>
    <definedName name="CS_PC_Shr_BB_08">Model!$BX$536</definedName>
    <definedName name="CS_PC_Shr_BB_09">Model!$CA$536</definedName>
    <definedName name="CS_PC_Shr_BB_10">Model!$CD$536</definedName>
    <definedName name="CS_PC_Shr_BB_11">Model!$CG$536</definedName>
    <definedName name="CS_PC_Shr_BB_12">Model!$CJ$536</definedName>
    <definedName name="CS_PC_Shr_BB_13">Model!$CM$536</definedName>
    <definedName name="CS_PC_Shr_BB_14">Model!$CP$536</definedName>
    <definedName name="CS_PC_Shr_BB_15">Model!$CS$536</definedName>
    <definedName name="CS_PC_Shr_BB_16">Model!$CV$536</definedName>
    <definedName name="CS_PC_Shr_BB_17">Model!$CY$536</definedName>
    <definedName name="CS_PC_Shr_BB_18">Model!$DB$536</definedName>
    <definedName name="CS_PC_Shr_BB_19">Model!$DE$536</definedName>
    <definedName name="CS_PC_Shr_BB_20">Model!$DH$536</definedName>
    <definedName name="CS_PC_Shr_BB_H1_00">Model!$AX$536</definedName>
    <definedName name="CS_PC_Shr_BB_H1_01">Model!$BA$536</definedName>
    <definedName name="CS_PC_Shr_BB_H1_02">Model!$BD$536</definedName>
    <definedName name="CS_PC_Shr_BB_H1_03">Model!$BG$536</definedName>
    <definedName name="CS_PC_Shr_BB_H1_04">Model!$BJ$536</definedName>
    <definedName name="CS_PC_Shr_BB_H1_05">Model!$BM$536</definedName>
    <definedName name="CS_PC_Shr_BB_H1_06">Model!$BP$536</definedName>
    <definedName name="CS_PC_Shr_BB_H1_07">Model!$BS$536</definedName>
    <definedName name="CS_PC_Shr_BB_H1_08">Model!$BV$536</definedName>
    <definedName name="CS_PC_Shr_BB_H1_09">Model!$BY$536</definedName>
    <definedName name="CS_PC_Shr_BB_H1_10">Model!$CB$536</definedName>
    <definedName name="CS_PC_Shr_BB_H1_11">Model!$CE$536</definedName>
    <definedName name="CS_PC_Shr_BB_H1_12">Model!$CH$536</definedName>
    <definedName name="CS_PC_Shr_BB_H1_13">Model!$CK$536</definedName>
    <definedName name="CS_PC_Shr_BB_H1_14">Model!$CN$536</definedName>
    <definedName name="CS_PC_Shr_BB_H1_15">Model!$CQ$536</definedName>
    <definedName name="CS_PC_Shr_BB_H1_16">Model!$CT$536</definedName>
    <definedName name="CS_PC_Shr_BB_H1_17">Model!$CW$536</definedName>
    <definedName name="CS_PC_Shr_BB_H1_18">Model!$CZ$536</definedName>
    <definedName name="CS_PC_Shr_BB_H1_19">Model!$DC$536</definedName>
    <definedName name="CS_PC_Shr_BB_H1_20">Model!$DF$536</definedName>
    <definedName name="CS_PC_Shr_BB_H2_00">Model!$AY$536</definedName>
    <definedName name="CS_PC_Shr_BB_H2_01">Model!$BB$536</definedName>
    <definedName name="CS_PC_Shr_BB_H2_02">Model!$BE$536</definedName>
    <definedName name="CS_PC_Shr_BB_H2_03">Model!$BH$536</definedName>
    <definedName name="CS_PC_Shr_BB_H2_04">Model!$BK$536</definedName>
    <definedName name="CS_PC_Shr_BB_H2_05">Model!$BN$536</definedName>
    <definedName name="CS_PC_Shr_BB_H2_06">Model!$BQ$536</definedName>
    <definedName name="CS_PC_Shr_BB_H2_07">Model!$BT$536</definedName>
    <definedName name="CS_PC_Shr_BB_H2_08">Model!$BW$536</definedName>
    <definedName name="CS_PC_Shr_BB_H2_09">Model!$BZ$536</definedName>
    <definedName name="CS_PC_Shr_BB_H2_10">Model!$CC$536</definedName>
    <definedName name="CS_PC_Shr_BB_H2_11">Model!$CF$536</definedName>
    <definedName name="CS_PC_Shr_BB_H2_12">Model!$CI$536</definedName>
    <definedName name="CS_PC_Shr_BB_H2_13">Model!$CL$536</definedName>
    <definedName name="CS_PC_Shr_BB_H2_14">Model!$CO$536</definedName>
    <definedName name="CS_PC_Shr_BB_H2_15">Model!$CR$536</definedName>
    <definedName name="CS_PC_Shr_BB_H2_16">Model!$CU$536</definedName>
    <definedName name="CS_PC_Shr_BB_H2_17">Model!$CX$536</definedName>
    <definedName name="CS_PC_Shr_BB_H2_18">Model!$DA$536</definedName>
    <definedName name="CS_PC_Shr_BB_H2_19">Model!$DD$536</definedName>
    <definedName name="CS_PC_Shr_BB_H2_20">Model!$DG$536</definedName>
    <definedName name="CS_PC_Shr_Conv_00">Model!$AZ$534</definedName>
    <definedName name="CS_PC_Shr_Conv_01">Model!$BC$534</definedName>
    <definedName name="CS_PC_Shr_Conv_02">Model!$BF$534</definedName>
    <definedName name="CS_PC_Shr_Conv_03">Model!$BI$534</definedName>
    <definedName name="CS_PC_Shr_Conv_04">Model!$BL$534</definedName>
    <definedName name="CS_PC_Shr_Conv_05">Model!$BO$534</definedName>
    <definedName name="CS_PC_Shr_Conv_06">Model!$BR$534</definedName>
    <definedName name="CS_PC_Shr_Conv_07">Model!$BU$534</definedName>
    <definedName name="CS_PC_Shr_Conv_08">Model!$BX$534</definedName>
    <definedName name="CS_PC_Shr_Conv_09">Model!$CA$534</definedName>
    <definedName name="CS_PC_Shr_Conv_10">Model!$CD$534</definedName>
    <definedName name="CS_PC_Shr_Conv_11">Model!$CG$534</definedName>
    <definedName name="CS_PC_Shr_Conv_12">Model!$CJ$534</definedName>
    <definedName name="CS_PC_Shr_Conv_13">Model!$CM$534</definedName>
    <definedName name="CS_PC_Shr_Conv_14">Model!$CP$534</definedName>
    <definedName name="CS_PC_Shr_Conv_15">Model!$CS$534</definedName>
    <definedName name="CS_PC_Shr_Conv_16">Model!$CV$534</definedName>
    <definedName name="CS_PC_Shr_Conv_17">Model!$CY$534</definedName>
    <definedName name="CS_PC_Shr_Conv_18">Model!$DB$534</definedName>
    <definedName name="CS_PC_Shr_Conv_19">Model!$DE$534</definedName>
    <definedName name="CS_PC_Shr_Conv_20">Model!$DH$534</definedName>
    <definedName name="CS_PC_Shr_Conv_H1_00">Model!$AX$534</definedName>
    <definedName name="CS_PC_Shr_Conv_H1_01">Model!$BA$534</definedName>
    <definedName name="CS_PC_Shr_Conv_H1_02">Model!$BD$534</definedName>
    <definedName name="CS_PC_Shr_Conv_H1_03">Model!$BG$534</definedName>
    <definedName name="CS_PC_Shr_Conv_H1_04">Model!$BJ$534</definedName>
    <definedName name="CS_PC_Shr_Conv_H1_05">Model!$BM$534</definedName>
    <definedName name="CS_PC_Shr_Conv_H1_06">Model!$BP$534</definedName>
    <definedName name="CS_PC_Shr_Conv_H1_07">Model!$BS$534</definedName>
    <definedName name="CS_PC_Shr_Conv_H1_08">Model!$BV$534</definedName>
    <definedName name="CS_PC_Shr_Conv_H1_09">Model!$BY$534</definedName>
    <definedName name="CS_PC_Shr_Conv_H1_10">Model!$CB$534</definedName>
    <definedName name="CS_PC_Shr_Conv_H1_11">Model!$CE$534</definedName>
    <definedName name="CS_PC_Shr_Conv_H1_12">Model!$CH$534</definedName>
    <definedName name="CS_PC_Shr_Conv_H1_13">Model!$CK$534</definedName>
    <definedName name="CS_PC_Shr_Conv_H1_14">Model!$CN$534</definedName>
    <definedName name="CS_PC_Shr_Conv_H1_15">Model!$CQ$534</definedName>
    <definedName name="CS_PC_Shr_Conv_H1_16">Model!$CT$534</definedName>
    <definedName name="CS_PC_Shr_Conv_H1_17">Model!$CW$534</definedName>
    <definedName name="CS_PC_Shr_Conv_H1_18">Model!$CZ$534</definedName>
    <definedName name="CS_PC_Shr_Conv_H1_19">Model!$DC$534</definedName>
    <definedName name="CS_PC_Shr_Conv_H1_20">Model!$DF$534</definedName>
    <definedName name="CS_PC_Shr_Conv_H2_00">Model!$AY$534</definedName>
    <definedName name="CS_PC_Shr_Conv_H2_01">Model!$BB$534</definedName>
    <definedName name="CS_PC_Shr_Conv_H2_02">Model!$BE$534</definedName>
    <definedName name="CS_PC_Shr_Conv_H2_03">Model!$BH$534</definedName>
    <definedName name="CS_PC_Shr_Conv_H2_04">Model!$BK$534</definedName>
    <definedName name="CS_PC_Shr_Conv_H2_05">Model!$BN$534</definedName>
    <definedName name="CS_PC_Shr_Conv_H2_06">Model!$BQ$534</definedName>
    <definedName name="CS_PC_Shr_Conv_H2_07">Model!$BT$534</definedName>
    <definedName name="CS_PC_Shr_Conv_H2_08">Model!$BW$534</definedName>
    <definedName name="CS_PC_Shr_Conv_H2_09">Model!$BZ$534</definedName>
    <definedName name="CS_PC_Shr_Conv_H2_10">Model!$CC$534</definedName>
    <definedName name="CS_PC_Shr_Conv_H2_11">Model!$CF$534</definedName>
    <definedName name="CS_PC_Shr_Conv_H2_12">Model!$CI$534</definedName>
    <definedName name="CS_PC_Shr_Conv_H2_13">Model!$CL$534</definedName>
    <definedName name="CS_PC_Shr_Conv_H2_14">Model!$CO$534</definedName>
    <definedName name="CS_PC_Shr_Conv_H2_15">Model!$CR$534</definedName>
    <definedName name="CS_PC_Shr_Conv_H2_16">Model!$CU$534</definedName>
    <definedName name="CS_PC_Shr_Conv_H2_17">Model!$CX$534</definedName>
    <definedName name="CS_PC_Shr_Conv_H2_18">Model!$DA$534</definedName>
    <definedName name="CS_PC_Shr_Conv_H2_19">Model!$DD$534</definedName>
    <definedName name="CS_PC_Shr_Conv_H2_20">Model!$DG$534</definedName>
    <definedName name="CS_Simp_Avg_00">Model!$AZ$385</definedName>
    <definedName name="CS_Simp_Avg_01">Model!$BC$385</definedName>
    <definedName name="CS_Simp_Avg_02">Model!$BF$385</definedName>
    <definedName name="CS_Simp_Avg_03">Model!$BI$385</definedName>
    <definedName name="CS_Simp_Avg_04">Model!$BL$385</definedName>
    <definedName name="CS_Simp_Avg_05">Model!$BO$385</definedName>
    <definedName name="CS_Simp_Avg_06">Model!$BR$385</definedName>
    <definedName name="CS_Simp_Avg_07">Model!$BU$385</definedName>
    <definedName name="CS_Simp_Avg_08">Model!$BX$385</definedName>
    <definedName name="CS_Simp_Avg_09">Model!$CA$385</definedName>
    <definedName name="CS_Simp_Avg_10">Model!$CD$385</definedName>
    <definedName name="CS_Simp_Avg_11">Model!$CG$385</definedName>
    <definedName name="CS_Simp_Avg_12">Model!$CJ$385</definedName>
    <definedName name="CS_Simp_Avg_13">Model!$CM$385</definedName>
    <definedName name="CS_Simp_Avg_14">Model!$CP$385</definedName>
    <definedName name="CS_Simp_Avg_15">Model!$CS$385</definedName>
    <definedName name="CS_Simp_Avg_16">Model!$CV$385</definedName>
    <definedName name="CS_Simp_Avg_17">Model!$CY$385</definedName>
    <definedName name="CS_Simp_Avg_18">Model!$DB$385</definedName>
    <definedName name="CS_Simp_Avg_19">Model!$DE$385</definedName>
    <definedName name="CS_Simp_Avg_20">Model!$DH$385</definedName>
    <definedName name="CS_Simp_Avg_H1_00">Model!$AX$385</definedName>
    <definedName name="CS_Simp_Avg_H1_01">Model!$BA$385</definedName>
    <definedName name="CS_Simp_Avg_H1_02">Model!$BD$385</definedName>
    <definedName name="CS_Simp_Avg_H1_03">Model!$BG$385</definedName>
    <definedName name="CS_Simp_Avg_H1_04">Model!$BJ$385</definedName>
    <definedName name="CS_Simp_Avg_H1_05">Model!$BM$385</definedName>
    <definedName name="CS_Simp_Avg_H1_06">Model!$BP$385</definedName>
    <definedName name="CS_Simp_Avg_H1_07">Model!$BS$385</definedName>
    <definedName name="CS_Simp_Avg_H1_08">Model!$BV$385</definedName>
    <definedName name="CS_Simp_Avg_H1_09">Model!$BY$385</definedName>
    <definedName name="CS_Simp_Avg_H1_10">Model!$CB$385</definedName>
    <definedName name="CS_Simp_Avg_H1_11">Model!$CE$385</definedName>
    <definedName name="CS_Simp_Avg_H1_12">Model!$CH$385</definedName>
    <definedName name="CS_Simp_Avg_H1_13">Model!$CK$385</definedName>
    <definedName name="CS_Simp_Avg_H1_14">Model!$CN$385</definedName>
    <definedName name="CS_Simp_Avg_H1_15">Model!$CQ$385</definedName>
    <definedName name="CS_Simp_Avg_H1_16">Model!$CT$385</definedName>
    <definedName name="CS_Simp_Avg_H1_17">Model!$CW$385</definedName>
    <definedName name="CS_Simp_Avg_H1_18">Model!$CZ$385</definedName>
    <definedName name="CS_Simp_Avg_H1_19">Model!$DC$385</definedName>
    <definedName name="CS_Simp_Avg_H1_20">Model!$DF$385</definedName>
    <definedName name="CS_Simp_Avg_H2_00">Model!$AY$385</definedName>
    <definedName name="CS_Simp_Avg_H2_01">Model!$BB$385</definedName>
    <definedName name="CS_Simp_Avg_H2_02">Model!$BE$385</definedName>
    <definedName name="CS_Simp_Avg_H2_03">Model!$BH$385</definedName>
    <definedName name="CS_Simp_Avg_H2_04">Model!$BK$385</definedName>
    <definedName name="CS_Simp_Avg_H2_05">Model!$BN$385</definedName>
    <definedName name="CS_Simp_Avg_H2_06">Model!$BQ$385</definedName>
    <definedName name="CS_Simp_Avg_H2_07">Model!$BT$385</definedName>
    <definedName name="CS_Simp_Avg_H2_08">Model!$BW$385</definedName>
    <definedName name="CS_Simp_Avg_H2_09">Model!$BZ$385</definedName>
    <definedName name="CS_Simp_Avg_H2_10">Model!$CC$385</definedName>
    <definedName name="CS_Simp_Avg_H2_11">Model!$CF$385</definedName>
    <definedName name="CS_Simp_Avg_H2_12">Model!$CI$385</definedName>
    <definedName name="CS_Simp_Avg_H2_13">Model!$CL$385</definedName>
    <definedName name="CS_Simp_Avg_H2_14">Model!$CO$385</definedName>
    <definedName name="CS_Simp_Avg_H2_15">Model!$CR$385</definedName>
    <definedName name="CS_Simp_Avg_H2_16">Model!$CU$385</definedName>
    <definedName name="CS_Simp_Avg_H2_17">Model!$CX$385</definedName>
    <definedName name="CS_Simp_Avg_H2_18">Model!$DA$385</definedName>
    <definedName name="CS_Simp_Avg_H2_19">Model!$DD$385</definedName>
    <definedName name="CS_Simp_Avg_H2_20">Model!$DG$385</definedName>
    <definedName name="CS_W_Avg_00">Model!$AZ$566</definedName>
    <definedName name="CS_W_Avg_01">Model!$BC$566</definedName>
    <definedName name="CS_W_Avg_02">Model!$BF$566</definedName>
    <definedName name="CS_W_Avg_03">Model!$BI$566</definedName>
    <definedName name="CS_W_Avg_04">Model!$BL$566</definedName>
    <definedName name="CS_W_Avg_05">Model!$BO$566</definedName>
    <definedName name="CS_W_Avg_06">Model!$BR$566</definedName>
    <definedName name="CS_W_Avg_07">Model!$BU$566</definedName>
    <definedName name="CS_W_Avg_08">Model!$BX$566</definedName>
    <definedName name="CS_W_Avg_09">Model!$CA$566</definedName>
    <definedName name="CS_W_Avg_10">Model!$CD$566</definedName>
    <definedName name="CS_W_Avg_11">Model!$CG$566</definedName>
    <definedName name="CS_W_Avg_12">Model!$CJ$566</definedName>
    <definedName name="CS_W_Avg_13">Model!$CM$566</definedName>
    <definedName name="CS_W_Avg_14">Model!$CP$566</definedName>
    <definedName name="CS_W_Avg_15">Model!$CS$566</definedName>
    <definedName name="CS_W_Avg_16">Model!$CV$566</definedName>
    <definedName name="CS_W_Avg_17">Model!$CY$566</definedName>
    <definedName name="CS_W_Avg_18">Model!$DB$566</definedName>
    <definedName name="CS_W_Avg_19">Model!$DE$566</definedName>
    <definedName name="CS_W_Avg_20">Model!$DH$566</definedName>
    <definedName name="CS_W_Avg_H1_00">Model!$AX$566</definedName>
    <definedName name="CS_W_Avg_H1_01">Model!$BA$566</definedName>
    <definedName name="CS_W_Avg_H1_02">Model!$BD$566</definedName>
    <definedName name="CS_W_Avg_H1_03">Model!$BG$566</definedName>
    <definedName name="CS_W_Avg_H1_04">Model!$BJ$566</definedName>
    <definedName name="CS_W_Avg_H1_05">Model!$BM$566</definedName>
    <definedName name="CS_W_Avg_H1_06">Model!$BP$566</definedName>
    <definedName name="CS_W_Avg_H1_07">Model!$BS$566</definedName>
    <definedName name="CS_W_Avg_H1_08">Model!$BV$566</definedName>
    <definedName name="CS_W_Avg_H1_09">Model!$BY$566</definedName>
    <definedName name="CS_W_Avg_H1_10">Model!$CB$566</definedName>
    <definedName name="CS_W_Avg_H1_11">Model!$CE$566</definedName>
    <definedName name="CS_W_Avg_H1_12">Model!$CH$566</definedName>
    <definedName name="CS_W_Avg_H1_13">Model!$CK$566</definedName>
    <definedName name="CS_W_Avg_H1_14">Model!$CN$566</definedName>
    <definedName name="CS_W_Avg_H1_15">Model!$CQ$566</definedName>
    <definedName name="CS_W_Avg_H1_16">Model!$CT$566</definedName>
    <definedName name="CS_W_Avg_H1_17">Model!$CW$566</definedName>
    <definedName name="CS_W_Avg_H1_18">Model!$CZ$566</definedName>
    <definedName name="CS_W_Avg_H1_19">Model!$DC$566</definedName>
    <definedName name="CS_W_Avg_H1_20">Model!$DF$566</definedName>
    <definedName name="CS_W_Avg_H2_00">Model!$AY$566</definedName>
    <definedName name="CS_W_Avg_H2_01">Model!$BB$566</definedName>
    <definedName name="CS_W_Avg_H2_02">Model!$BE$566</definedName>
    <definedName name="CS_W_Avg_H2_03">Model!$BH$566</definedName>
    <definedName name="CS_W_Avg_H2_04">Model!$BK$566</definedName>
    <definedName name="CS_W_Avg_H2_05">Model!$BN$566</definedName>
    <definedName name="CS_W_Avg_H2_06">Model!$BQ$566</definedName>
    <definedName name="CS_W_Avg_H2_07">Model!$BT$566</definedName>
    <definedName name="CS_W_Avg_H2_08">Model!$BW$566</definedName>
    <definedName name="CS_W_Avg_H2_09">Model!$BZ$566</definedName>
    <definedName name="CS_W_Avg_H2_10">Model!$CC$566</definedName>
    <definedName name="CS_W_Avg_H2_11">Model!$CF$566</definedName>
    <definedName name="CS_W_Avg_H2_12">Model!$CI$566</definedName>
    <definedName name="CS_W_Avg_H2_13">Model!$CL$566</definedName>
    <definedName name="CS_W_Avg_H2_14">Model!$CO$566</definedName>
    <definedName name="CS_W_Avg_H2_15">Model!$CR$566</definedName>
    <definedName name="CS_W_Avg_H2_16">Model!$CU$566</definedName>
    <definedName name="CS_W_Avg_H2_17">Model!$CX$566</definedName>
    <definedName name="CS_W_Avg_H2_18">Model!$DA$566</definedName>
    <definedName name="CS_W_Avg_H2_19">Model!$DD$566</definedName>
    <definedName name="CS_W_Avg_H2_20">Model!$DG$566</definedName>
    <definedName name="CS_WAC_00">Model!$AZ$398</definedName>
    <definedName name="CS_WAC_01">Model!$BC$398</definedName>
    <definedName name="CS_WAC_02">Model!$BF$398</definedName>
    <definedName name="CS_WAC_03">Model!$BI$398</definedName>
    <definedName name="CS_WAC_04">Model!$BL$398</definedName>
    <definedName name="CS_WAC_05">Model!$BO$398</definedName>
    <definedName name="CS_WAC_06">Model!$BR$398</definedName>
    <definedName name="CS_WAC_07">Model!$BU$398</definedName>
    <definedName name="CS_WAC_08">Model!$BX$398</definedName>
    <definedName name="CS_WAC_09">Model!$CA$398</definedName>
    <definedName name="CS_WAC_10">Model!$CD$398</definedName>
    <definedName name="CS_WAC_11">Model!$CG$398</definedName>
    <definedName name="CS_WAC_12">Model!$CJ$398</definedName>
    <definedName name="CS_WAC_13">Model!$CM$398</definedName>
    <definedName name="CS_WAC_14">Model!$CP$398</definedName>
    <definedName name="CS_WAC_15">Model!$CS$398</definedName>
    <definedName name="CS_WAC_16">Model!$CV$398</definedName>
    <definedName name="CS_WAC_17">Model!$CY$398</definedName>
    <definedName name="CS_WAC_18">Model!$DB$398</definedName>
    <definedName name="CS_WAC_19">Model!$DE$398</definedName>
    <definedName name="CS_WAC_20">Model!$DH$398</definedName>
    <definedName name="CS_WAC_H1_00">Model!$AX$398</definedName>
    <definedName name="CS_WAC_H1_01">Model!$BA$398</definedName>
    <definedName name="CS_WAC_H1_02">Model!$BD$398</definedName>
    <definedName name="CS_WAC_H1_03">Model!$BG$398</definedName>
    <definedName name="CS_WAC_H1_04">Model!$BJ$398</definedName>
    <definedName name="CS_WAC_H1_05">Model!$BM$398</definedName>
    <definedName name="CS_WAC_H1_06">Model!$BP$398</definedName>
    <definedName name="CS_WAC_H1_07">Model!$BS$398</definedName>
    <definedName name="CS_WAC_H1_08">Model!$BV$398</definedName>
    <definedName name="CS_WAC_H1_09">Model!$BY$398</definedName>
    <definedName name="CS_WAC_H1_10">Model!$CB$398</definedName>
    <definedName name="CS_WAC_H1_11">Model!$CE$398</definedName>
    <definedName name="CS_WAC_H1_12">Model!$CH$398</definedName>
    <definedName name="CS_WAC_H1_13">Model!$CK$398</definedName>
    <definedName name="CS_WAC_H1_14">Model!$CN$398</definedName>
    <definedName name="CS_WAC_H1_15">Model!$CQ$398</definedName>
    <definedName name="CS_WAC_H1_16">Model!$CT$398</definedName>
    <definedName name="CS_WAC_H1_17">Model!$CW$398</definedName>
    <definedName name="CS_WAC_H1_18">Model!$CZ$398</definedName>
    <definedName name="CS_WAC_H1_19">Model!$DC$398</definedName>
    <definedName name="CS_WAC_H1_20">Model!$DF$398</definedName>
    <definedName name="CS_WAC_H2_00">Model!$AY$398</definedName>
    <definedName name="CS_WAC_H2_01">Model!$BB$398</definedName>
    <definedName name="CS_WAC_H2_02">Model!$BE$398</definedName>
    <definedName name="CS_WAC_H2_03">Model!$BH$398</definedName>
    <definedName name="CS_WAC_H2_04">Model!$BK$398</definedName>
    <definedName name="CS_WAC_H2_05">Model!$BN$398</definedName>
    <definedName name="CS_WAC_H2_06">Model!$BQ$398</definedName>
    <definedName name="CS_WAC_H2_07">Model!$BT$398</definedName>
    <definedName name="CS_WAC_H2_08">Model!$BW$398</definedName>
    <definedName name="CS_WAC_H2_09">Model!$BZ$398</definedName>
    <definedName name="CS_WAC_H2_10">Model!$CC$398</definedName>
    <definedName name="CS_WAC_H2_11">Model!$CF$398</definedName>
    <definedName name="CS_WAC_H2_12">Model!$CI$398</definedName>
    <definedName name="CS_WAC_H2_13">Model!$CL$398</definedName>
    <definedName name="CS_WAC_H2_14">Model!$CO$398</definedName>
    <definedName name="CS_WAC_H2_15">Model!$CR$398</definedName>
    <definedName name="CS_WAC_H2_16">Model!$CU$398</definedName>
    <definedName name="CS_WAC_H2_17">Model!$CX$398</definedName>
    <definedName name="CS_WAC_H2_18">Model!$DA$398</definedName>
    <definedName name="CS_WAC_H2_19">Model!$DD$398</definedName>
    <definedName name="CS_WAC_H2_20">Model!$DG$398</definedName>
    <definedName name="Curr_NPV">14009.611901476</definedName>
    <definedName name="Curr_NPV_Shr">213.766310779021</definedName>
    <definedName name="Curr_WACC">0.0825</definedName>
    <definedName name="D1_NAME">Segment!$C$15</definedName>
    <definedName name="DA_00">Model!$AZ$411</definedName>
    <definedName name="DA_01">Model!$BC$411</definedName>
    <definedName name="DA_02">Model!$BF$411</definedName>
    <definedName name="DA_03">Model!$BI$411</definedName>
    <definedName name="DA_04">Model!$BL$411</definedName>
    <definedName name="DA_05">Model!$BO$411</definedName>
    <definedName name="DA_06">Model!$BR$411</definedName>
    <definedName name="DA_07">Model!$BU$411</definedName>
    <definedName name="DA_08">Model!$BX$411</definedName>
    <definedName name="DA_09">Model!$CA$411</definedName>
    <definedName name="DA_10">Model!$CD$411</definedName>
    <definedName name="DA_11">Model!$CG$411</definedName>
    <definedName name="DA_12">Model!$CJ$411</definedName>
    <definedName name="DA_13">Model!$CM$411</definedName>
    <definedName name="DA_14">Model!$CP$411</definedName>
    <definedName name="DA_15">Model!$CS$411</definedName>
    <definedName name="DA_16">Model!$CV$411</definedName>
    <definedName name="DA_17">Model!$CY$411</definedName>
    <definedName name="DA_18">Model!$DB$411</definedName>
    <definedName name="DA_19">Model!$DE$411</definedName>
    <definedName name="DA_20">Model!$DH$411</definedName>
    <definedName name="DA_95">Model!$AK$411</definedName>
    <definedName name="DA_96">Model!$AN$411</definedName>
    <definedName name="DA_97">Model!$AQ$411</definedName>
    <definedName name="DA_98">Model!$AT$411</definedName>
    <definedName name="DA_99">Model!$AW$411</definedName>
    <definedName name="Debt">[1]debt!$D$4:$AC$214</definedName>
    <definedName name="EBIT_11">Model!$CG$72</definedName>
    <definedName name="EBIT_12">Model!$CJ$72</definedName>
    <definedName name="EBIT_13">Model!$CM$72</definedName>
    <definedName name="EBIT_14">Model!$CP$72</definedName>
    <definedName name="EBIT_15">Model!$CS$72</definedName>
    <definedName name="EBIT_16">Model!$CV$72</definedName>
    <definedName name="EBIT_17">Model!$CY$72</definedName>
    <definedName name="EBIT_18">Model!$DB$72</definedName>
    <definedName name="EBIT_19">Model!$DE$72</definedName>
    <definedName name="EBIT_20">Model!$DH$72</definedName>
    <definedName name="EBIT_95">Model!$AK$72</definedName>
    <definedName name="EBIT_96">Model!$AN$72</definedName>
    <definedName name="EBIT_97">Model!$AQ$72</definedName>
    <definedName name="EBIT_98">Model!$AT$72</definedName>
    <definedName name="EBIT_99">Model!$AW$72</definedName>
    <definedName name="EBIT_D1_01">Segment!$BC$43</definedName>
    <definedName name="EBIT_D1_02">Segment!$BF$43</definedName>
    <definedName name="EBIT_D1_03">Segment!$BI$43</definedName>
    <definedName name="EBIT_D1_04">Segment!$BL$43</definedName>
    <definedName name="EBIT_D1_05">Segment!$BO$43</definedName>
    <definedName name="EBIT_D1_06">Segment!$BR$43</definedName>
    <definedName name="EBIT_D1_07">Segment!$BU$43</definedName>
    <definedName name="EBIT_D1_08">Segment!$BX$43</definedName>
    <definedName name="EBIT_D1_09">Segment!$CA$43</definedName>
    <definedName name="EBIT_D1_10">Segment!$CD$43</definedName>
    <definedName name="EBIT_D1_11">Segment!$CG$43</definedName>
    <definedName name="EBIT_D1_12">Segment!$CJ$43</definedName>
    <definedName name="EBIT_D1_13">Segment!$CM$43</definedName>
    <definedName name="EBIT_D1_14">Segment!$CP$43</definedName>
    <definedName name="EBIT_D1_15">Segment!$CS$43</definedName>
    <definedName name="EBIT_D1_16">Segment!$CV$43</definedName>
    <definedName name="EBIT_D1_17">Segment!$CY$43</definedName>
    <definedName name="EBIT_D1_18">Segment!$DB$43</definedName>
    <definedName name="EBIT_D1_19">Segment!$DE$43</definedName>
    <definedName name="EBIT_D1_20">Segment!$DH$43</definedName>
    <definedName name="EBIT_D1_95">Segment!$AK$43</definedName>
    <definedName name="EBIT_D1_96">Segment!$AN$43</definedName>
    <definedName name="EBIT_D1_97">Segment!$AQ$43</definedName>
    <definedName name="EBIT_D1_98">Segment!$AT$43</definedName>
    <definedName name="EBIT_D1_99">Segment!$AW$43</definedName>
    <definedName name="EFPO_00">Model!$AZ$385</definedName>
    <definedName name="EFPO_01">Model!$BC$385</definedName>
    <definedName name="EFPO_02">Model!$BF$385</definedName>
    <definedName name="EFPO_03">Model!$BI$385</definedName>
    <definedName name="EFPO_04">Model!$BL$385</definedName>
    <definedName name="EFPO_05">Model!$BO$385</definedName>
    <definedName name="EFPO_06">Model!$BR$385</definedName>
    <definedName name="EFPO_07">Model!$BU$385</definedName>
    <definedName name="EFPO_08">Model!$BX$385</definedName>
    <definedName name="EFPO_09">Model!$CA$385</definedName>
    <definedName name="EFPO_10">Model!$CD$385</definedName>
    <definedName name="EFPO_11">Model!$CG$385</definedName>
    <definedName name="EFPO_12">Model!$CJ$385</definedName>
    <definedName name="EFPO_13">Model!$CM$385</definedName>
    <definedName name="EFPO_14">Model!$CP$385</definedName>
    <definedName name="EFPO_15">Model!$CS$385</definedName>
    <definedName name="EFPO_16">Model!$CV$385</definedName>
    <definedName name="EFPO_17">Model!$CY$385</definedName>
    <definedName name="EFPO_18">Model!$DB$385</definedName>
    <definedName name="EFPO_19">Model!$DE$385</definedName>
    <definedName name="EFPO_20">Model!$DH$385</definedName>
    <definedName name="EFPOWA_00">Model!$AZ$385</definedName>
    <definedName name="EFPOWA_01">Model!$BC$385</definedName>
    <definedName name="EFPOWA_02">Model!$BF$385</definedName>
    <definedName name="EFPOWA_03">Model!$BI$385</definedName>
    <definedName name="EFPOWA_04">Model!$BL$385</definedName>
    <definedName name="EFPOWA_05">Model!$BO$385</definedName>
    <definedName name="EFPOWA_06">Model!$BR$385</definedName>
    <definedName name="EFPOWA_07">Model!$BU$385</definedName>
    <definedName name="EFPOWA_08">Model!$BX$385</definedName>
    <definedName name="EFPOWA_09">Model!$CA$385</definedName>
    <definedName name="EFPOWA_10">Model!$CD$385</definedName>
    <definedName name="EFPOWA_11">Model!$CG$385</definedName>
    <definedName name="EFPOWA_12">Model!$CJ$385</definedName>
    <definedName name="EFPOWA_13">Model!$CM$385</definedName>
    <definedName name="EFPOWA_14">Model!$CP$385</definedName>
    <definedName name="EFPOWA_15">Model!$CS$385</definedName>
    <definedName name="EFPOWA_16">Model!$CV$385</definedName>
    <definedName name="EFPOWA_17">Model!$CY$385</definedName>
    <definedName name="EFPOWA_18">Model!$DB$385</definedName>
    <definedName name="EFPOWA_19">Model!$DE$385</definedName>
    <definedName name="EFPOWA_20">Model!$DH$385</definedName>
    <definedName name="EFPOWA_H1_00">Model!$AX$385</definedName>
    <definedName name="EFPOWA_H1_01">Model!$BA$385</definedName>
    <definedName name="EFPOWA_H1_02">Model!$BD$385</definedName>
    <definedName name="EFPOWA_H1_03">Model!$BG$385</definedName>
    <definedName name="EFPOWA_H1_04">Model!$BJ$385</definedName>
    <definedName name="EFPOWA_H1_05">Model!$BM$385</definedName>
    <definedName name="EFPOWA_H1_06">Model!$BP$385</definedName>
    <definedName name="EFPOWA_H1_07">Model!$BS$385</definedName>
    <definedName name="EFPOWA_H1_08">Model!$BV$385</definedName>
    <definedName name="EFPOWA_H1_09">Model!$BY$385</definedName>
    <definedName name="EFPOWA_H1_10">Model!$CB$385</definedName>
    <definedName name="EFPOWA_H1_11">Model!$CE$385</definedName>
    <definedName name="EFPOWA_H1_12">Model!$CH$385</definedName>
    <definedName name="EFPOWA_H1_13">Model!$CK$385</definedName>
    <definedName name="EFPOWA_H1_14">Model!$CN$385</definedName>
    <definedName name="EFPOWA_H1_15">Model!$CQ$385</definedName>
    <definedName name="EFPOWA_H1_16">Model!$CT$385</definedName>
    <definedName name="EFPOWA_H1_17">Model!$CW$385</definedName>
    <definedName name="EFPOWA_H1_18">Model!$CZ$385</definedName>
    <definedName name="EFPOWA_H1_19">Model!$DC$385</definedName>
    <definedName name="EFPOWA_H1_20">Model!$DF$385</definedName>
    <definedName name="EFPOWA_H2_00">Model!$AY$385</definedName>
    <definedName name="EFPOWA_H2_01">Model!$BB$385</definedName>
    <definedName name="EFPOWA_H2_02">Model!$BE$385</definedName>
    <definedName name="EFPOWA_H2_03">Model!$BH$385</definedName>
    <definedName name="EFPOWA_H2_04">Model!$BK$385</definedName>
    <definedName name="EFPOWA_H2_05">Model!$BN$385</definedName>
    <definedName name="EFPOWA_H2_06">Model!$BQ$385</definedName>
    <definedName name="EFPOWA_H2_07">Model!$BT$385</definedName>
    <definedName name="EFPOWA_H2_08">Model!$BW$385</definedName>
    <definedName name="EFPOWA_H2_09">Model!$BZ$385</definedName>
    <definedName name="EFPOWA_H2_10">Model!$CC$385</definedName>
    <definedName name="EFPOWA_H2_11">Model!$CF$385</definedName>
    <definedName name="EFPOWA_H2_12">Model!$CI$385</definedName>
    <definedName name="EFPOWA_H2_13">Model!$CL$385</definedName>
    <definedName name="EFPOWA_H2_14">Model!$CO$385</definedName>
    <definedName name="EFPOWA_H2_15">Model!$CR$385</definedName>
    <definedName name="EFPOWA_H2_16">Model!$CU$385</definedName>
    <definedName name="EFPOWA_H2_17">Model!$CX$385</definedName>
    <definedName name="EFPOWA_H2_18">Model!$DA$385</definedName>
    <definedName name="EFPOWA_H2_19">Model!$DD$385</definedName>
    <definedName name="EFPOWA_H2_20">Model!$DG$385</definedName>
    <definedName name="ev.Calculation" hidden="1">2</definedName>
    <definedName name="ev.Initialized" hidden="1">FALSE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RANK_00">Model!$AZ$24</definedName>
    <definedName name="FRANK_01">Model!$BC$24</definedName>
    <definedName name="FRANK_02">Model!$BF$24</definedName>
    <definedName name="FRANK_03">Model!$BI$24</definedName>
    <definedName name="FRANK_04">Model!$BL$24</definedName>
    <definedName name="FRANK_05">Model!$BO$24</definedName>
    <definedName name="FRANK_06">Model!$BR$24</definedName>
    <definedName name="FRANK_07">Model!$BU$24</definedName>
    <definedName name="FRANK_08">Model!$BX$24</definedName>
    <definedName name="FRANK_09">Model!$CA$24</definedName>
    <definedName name="FRANK_10">Model!$CD$24</definedName>
    <definedName name="FRANK_11">Model!$CG$24</definedName>
    <definedName name="FRANK_12">Model!$CJ$24</definedName>
    <definedName name="FRANK_13">Model!$CM$24</definedName>
    <definedName name="FRANK_14">Model!$CP$24</definedName>
    <definedName name="FRANK_15">Model!$CS$24</definedName>
    <definedName name="FRANK_16">Model!$CV$24</definedName>
    <definedName name="FRANK_17">Model!$CY$24</definedName>
    <definedName name="FRANK_18">Model!$DB$24</definedName>
    <definedName name="FRANK_19">Model!$DE$24</definedName>
    <definedName name="FRANK_20">Model!$DH$24</definedName>
    <definedName name="FRANK_96">Model!$AN$24</definedName>
    <definedName name="FRANK_97">Model!$AQ$24</definedName>
    <definedName name="FRANK_98">Model!$AT$24</definedName>
    <definedName name="FRANK_99">Model!$AW$24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INC_00">Model!$AZ$331</definedName>
    <definedName name="INC_01">Model!$BC$331</definedName>
    <definedName name="INC_02">Model!$BF$331</definedName>
    <definedName name="INC_03">Model!$BI$331</definedName>
    <definedName name="INC_04">Model!$BL$331</definedName>
    <definedName name="INC_05">Model!$BO$331</definedName>
    <definedName name="INC_06">Model!$BR$331</definedName>
    <definedName name="INC_07">Model!$BU$331</definedName>
    <definedName name="INC_08">Model!$BX$331</definedName>
    <definedName name="INC_09">Model!$CA$331</definedName>
    <definedName name="INC_10">Model!$CD$331</definedName>
    <definedName name="INC_11">Model!$CG$331</definedName>
    <definedName name="INC_12">Model!$CJ$331</definedName>
    <definedName name="INC_13">Model!$CM$331</definedName>
    <definedName name="INC_14">Model!$CP$331</definedName>
    <definedName name="INC_15">Model!$CS$331</definedName>
    <definedName name="INC_16">Model!$CV$331</definedName>
    <definedName name="INC_17">Model!$CY$331</definedName>
    <definedName name="INC_18">Model!$DB$331</definedName>
    <definedName name="INC_19">Model!$DE$331</definedName>
    <definedName name="INC_20">Model!$DH$331</definedName>
    <definedName name="INC_95">Model!$AK$331</definedName>
    <definedName name="INC_96">Model!$AN$331</definedName>
    <definedName name="INC_97">Model!$AQ$331</definedName>
    <definedName name="INC_98">Model!$AT$331</definedName>
    <definedName name="INC_99">Model!$AW$331</definedName>
    <definedName name="Input_Auto1">#REF!</definedName>
    <definedName name="Input_Auto2">#REF!</definedName>
    <definedName name="Input_Auto3">#REF!</definedName>
    <definedName name="Input_BasisRange">#REF!</definedName>
    <definedName name="Input_CC10">#REF!</definedName>
    <definedName name="Input_CC2">#REF!</definedName>
    <definedName name="Input_CC3">#REF!</definedName>
    <definedName name="Input_CC4">#REF!</definedName>
    <definedName name="Input_CC5">#REF!</definedName>
    <definedName name="Input_CC7">#REF!</definedName>
    <definedName name="Input_CurrentDate">#REF!</definedName>
    <definedName name="Input_Equip1">#REF!</definedName>
    <definedName name="Input_Equip2">#REF!</definedName>
    <definedName name="Input_Equip3">#REF!</definedName>
    <definedName name="Input_Equip4">#REF!</definedName>
    <definedName name="Input_FltAt1">#REF!</definedName>
    <definedName name="Input_FltAt2">#REF!</definedName>
    <definedName name="Input_FltAt3">#REF!</definedName>
    <definedName name="Input_FLTCC10">#REF!</definedName>
    <definedName name="Input_FLTCC2">#REF!</definedName>
    <definedName name="Input_FLTCC3">#REF!</definedName>
    <definedName name="Input_FLTCC4">#REF!</definedName>
    <definedName name="Input_FLTCC5">#REF!</definedName>
    <definedName name="Input_FLTCC7">#REF!</definedName>
    <definedName name="Input_FLTHEL2">#REF!</definedName>
    <definedName name="Input_FLTHEL3">#REF!</definedName>
    <definedName name="Input_FN02YA1">#REF!</definedName>
    <definedName name="Input_FN05YA1">#REF!</definedName>
    <definedName name="Input_FN10YA1">#REF!</definedName>
    <definedName name="Input_GB3">#REF!</definedName>
    <definedName name="Input_GB6">#REF!</definedName>
    <definedName name="Input_GT10">#REF!</definedName>
    <definedName name="Input_GT2">#REF!</definedName>
    <definedName name="Input_GT30">#REF!</definedName>
    <definedName name="Input_GT5">#REF!</definedName>
    <definedName name="Input_HEL1">#REF!</definedName>
    <definedName name="Input_HEL2">#REF!</definedName>
    <definedName name="Input_HEL3">#REF!</definedName>
    <definedName name="Input_HEL4">#REF!</definedName>
    <definedName name="Input_HEL5">#REF!</definedName>
    <definedName name="Input_HEL7">#REF!</definedName>
    <definedName name="Input_HELNAS">#REF!</definedName>
    <definedName name="Input_IN02YA2">#REF!</definedName>
    <definedName name="Input_IN05YA2">#REF!</definedName>
    <definedName name="Input_IN10YA2">#REF!</definedName>
    <definedName name="Input_Libor1">#REF!</definedName>
    <definedName name="Input_Libor12">#REF!</definedName>
    <definedName name="Input_Libor3">#REF!</definedName>
    <definedName name="Input_Libor6">#REF!</definedName>
    <definedName name="Input_LiborRange">#REF!</definedName>
    <definedName name="Input_MH1">#REF!</definedName>
    <definedName name="Input_MH2">#REF!</definedName>
    <definedName name="Input_MH3">#REF!</definedName>
    <definedName name="Input_MH4">#REF!</definedName>
    <definedName name="Input_MH5">#REF!</definedName>
    <definedName name="Input_MH7">#REF!</definedName>
    <definedName name="Input_NewDate">#REF!</definedName>
    <definedName name="Input_RRB1">#REF!</definedName>
    <definedName name="Input_RRB10">#REF!</definedName>
    <definedName name="Input_RRB2">#REF!</definedName>
    <definedName name="Input_RRB3">#REF!</definedName>
    <definedName name="Input_RRB4">#REF!</definedName>
    <definedName name="Input_RRB5">#REF!</definedName>
    <definedName name="Input_RRB7">#REF!</definedName>
    <definedName name="Input_SLMA_L2">#REF!</definedName>
    <definedName name="Input_SLMA_L7">#REF!</definedName>
    <definedName name="Input_SLMA_T2">#REF!</definedName>
    <definedName name="Input_Swap10">#REF!</definedName>
    <definedName name="Input_Swap2">#REF!</definedName>
    <definedName name="Input_Swap3">#REF!</definedName>
    <definedName name="Input_Swap4">#REF!</definedName>
    <definedName name="Input_Swap5">#REF!</definedName>
    <definedName name="Input_Swap7">#REF!</definedName>
    <definedName name="Input_TreasuryRange">#REF!</definedName>
    <definedName name="Input_USBE2_Bid">#REF!</definedName>
    <definedName name="IsColHidden" hidden="1">FALSE</definedName>
    <definedName name="IsLTMColHidden" hidden="1">FALSE</definedName>
    <definedName name="Linking_1">#REF!</definedName>
    <definedName name="Linking_10">#REF!</definedName>
    <definedName name="Linking_100">#REF!</definedName>
    <definedName name="Linking_101">#REF!</definedName>
    <definedName name="Linking_102">#REF!</definedName>
    <definedName name="Linking_103">#REF!</definedName>
    <definedName name="Linking_104">#REF!</definedName>
    <definedName name="Linking_105">#REF!</definedName>
    <definedName name="Linking_106">#REF!</definedName>
    <definedName name="Linking_107">#REF!</definedName>
    <definedName name="Linking_108">#REF!</definedName>
    <definedName name="Linking_109">#REF!</definedName>
    <definedName name="Linking_11">#REF!</definedName>
    <definedName name="Linking_110">#REF!</definedName>
    <definedName name="Linking_111">#REF!</definedName>
    <definedName name="Linking_112">#REF!</definedName>
    <definedName name="Linking_113">#REF!</definedName>
    <definedName name="Linking_114">#REF!</definedName>
    <definedName name="Linking_115">#REF!</definedName>
    <definedName name="Linking_116">'Fin Sum'!$C$10:$AD$66</definedName>
    <definedName name="Linking_117">#REF!</definedName>
    <definedName name="Linking_118">#REF!</definedName>
    <definedName name="Linking_119">#REF!</definedName>
    <definedName name="Linking_12">#REF!</definedName>
    <definedName name="Linking_120">#REF!</definedName>
    <definedName name="Linking_121">#REF!</definedName>
    <definedName name="Linking_122">'Fin Sum'!$C$10:$AE$66</definedName>
    <definedName name="Linking_123">#REF!</definedName>
    <definedName name="Linking_124">'Fin Sum'!$C$10:$AF$66</definedName>
    <definedName name="Linking_125">'DCF tables'!$B$3:$M$29</definedName>
    <definedName name="Linking_126">'DCF tables'!$O$3:$R$9</definedName>
    <definedName name="Linking_127">#REF!</definedName>
    <definedName name="Linking_128">'DCF tables'!$B$3:$M$30</definedName>
    <definedName name="Linking_129">'Fin Sum'!$C$9:$AF$66</definedName>
    <definedName name="Linking_13">#REF!</definedName>
    <definedName name="Linking_130">'DCF tables'!$B$3:$L$29</definedName>
    <definedName name="Linking_131">'Fin Sum'!$C$10:$AF$67</definedName>
    <definedName name="Linking_132">#REF!</definedName>
    <definedName name="Linking_133">'Fin Sum'!$C$10:$AG$66</definedName>
    <definedName name="Linking_134">#REF!</definedName>
    <definedName name="Linking_14">[2]Charts!$A$967:$F$972</definedName>
    <definedName name="Linking_15">#REF!</definedName>
    <definedName name="Linking_16">#REF!</definedName>
    <definedName name="Linking_17">#REF!</definedName>
    <definedName name="Linking_18">#REF!</definedName>
    <definedName name="Linking_19">#REF!</definedName>
    <definedName name="Linking_2">#REF!</definedName>
    <definedName name="Linking_20">'Fin Sum'!$C$10:$X$68</definedName>
    <definedName name="Linking_21">#REF!</definedName>
    <definedName name="Linking_22">#REF!</definedName>
    <definedName name="Linking_23">#REF!</definedName>
    <definedName name="Linking_24">#REF!</definedName>
    <definedName name="Linking_25">#REF!</definedName>
    <definedName name="Linking_26">#REF!</definedName>
    <definedName name="Linking_27">#REF!</definedName>
    <definedName name="Linking_28">#REF!</definedName>
    <definedName name="Linking_29">#REF!</definedName>
    <definedName name="Linking_3">#REF!</definedName>
    <definedName name="Linking_30">#REF!</definedName>
    <definedName name="Linking_31">#REF!</definedName>
    <definedName name="Linking_32">#REF!</definedName>
    <definedName name="Linking_33">#REF!</definedName>
    <definedName name="Linking_34">'Fin Sum'!$C$10:$Y$68</definedName>
    <definedName name="Linking_35">#REF!</definedName>
    <definedName name="Linking_36">#REF!</definedName>
    <definedName name="Linking_37">#REF!</definedName>
    <definedName name="Linking_38">#REF!</definedName>
    <definedName name="Linking_39">#REF!</definedName>
    <definedName name="Linking_4">#REF!</definedName>
    <definedName name="Linking_40">#REF!</definedName>
    <definedName name="Linking_41">'Fin Sum'!$C$10:$Z$68</definedName>
    <definedName name="Linking_42">#REF!</definedName>
    <definedName name="Linking_43">192</definedName>
    <definedName name="Linking_44">0.00579540633676778</definedName>
    <definedName name="Linking_45">#REF!</definedName>
    <definedName name="Linking_46">#REF!</definedName>
    <definedName name="Linking_47">#REF!</definedName>
    <definedName name="Linking_48">#REF!</definedName>
    <definedName name="Linking_49">#REF!</definedName>
    <definedName name="Linking_5">#REF!</definedName>
    <definedName name="Linking_50">#REF!</definedName>
    <definedName name="Linking_51">#REF!</definedName>
    <definedName name="Linking_52">#REF!</definedName>
    <definedName name="Linking_53">#REF!</definedName>
    <definedName name="Linking_54">#REF!</definedName>
    <definedName name="Linking_55">#REF!</definedName>
    <definedName name="Linking_56">#REF!</definedName>
    <definedName name="Linking_57">#REF!</definedName>
    <definedName name="Linking_58">#REF!</definedName>
    <definedName name="Linking_59">#REF!</definedName>
    <definedName name="Linking_6">#REF!</definedName>
    <definedName name="Linking_60">#REF!</definedName>
    <definedName name="Linking_61">#REF!</definedName>
    <definedName name="Linking_62">#REF!</definedName>
    <definedName name="Linking_63">#REF!</definedName>
    <definedName name="Linking_64">#REF!</definedName>
    <definedName name="Linking_65">#REF!</definedName>
    <definedName name="Linking_66">#REF!</definedName>
    <definedName name="Linking_67">'Fin Sum'!$C$10:$AA$68</definedName>
    <definedName name="Linking_68">#REF!</definedName>
    <definedName name="Linking_69">#REF!</definedName>
    <definedName name="Linking_7">#REF!</definedName>
    <definedName name="Linking_70">#REF!</definedName>
    <definedName name="Linking_71">#REF!</definedName>
    <definedName name="Linking_72">#REF!</definedName>
    <definedName name="Linking_73">#REF!</definedName>
    <definedName name="Linking_74">'Fin Sum'!$C$10:$AA$67</definedName>
    <definedName name="Linking_75">#REF!</definedName>
    <definedName name="Linking_76">#REF!</definedName>
    <definedName name="Linking_77">'Fin Sum'!$C$10:$AA$66</definedName>
    <definedName name="Linking_78">#REF!</definedName>
    <definedName name="Linking_79">#REF!</definedName>
    <definedName name="Linking_8">#REF!</definedName>
    <definedName name="Linking_80">#REF!</definedName>
    <definedName name="Linking_81">#REF!</definedName>
    <definedName name="Linking_82">#REF!</definedName>
    <definedName name="Linking_83">#REF!</definedName>
    <definedName name="Linking_84">#REF!</definedName>
    <definedName name="Linking_85">#REF!</definedName>
    <definedName name="Linking_86">#REF!</definedName>
    <definedName name="Linking_87">#REF!</definedName>
    <definedName name="Linking_88">'Fin Sum'!$C$10:$AB$66</definedName>
    <definedName name="Linking_89">#REF!</definedName>
    <definedName name="Linking_9">#REF!</definedName>
    <definedName name="Linking_90">#REF!</definedName>
    <definedName name="Linking_91">#REF!</definedName>
    <definedName name="Linking_92">#REF!</definedName>
    <definedName name="Linking_93">#REF!</definedName>
    <definedName name="Linking_94">#REF!</definedName>
    <definedName name="Linking_95">#REF!</definedName>
    <definedName name="Linking_96">#REF!</definedName>
    <definedName name="Linking_97">#REF!</definedName>
    <definedName name="Linking_98">#REF!</definedName>
    <definedName name="Linking_99">'Fin Sum'!$C$10:$AC$66</definedName>
    <definedName name="Linking_Range_1">'Fin Sum'!$C$9:$S$72</definedName>
    <definedName name="Linking_Range_15">#REF!</definedName>
    <definedName name="Linking_Range_16">#REF!</definedName>
    <definedName name="Linking_Range_17">#REF!</definedName>
    <definedName name="Linking_Range_18">'Fin Sum'!$C$10:$T$68</definedName>
    <definedName name="Linking_Range_2">'Fin Sum'!$C$9:$T$72</definedName>
    <definedName name="Linking_Range_20">'[3]Charts &amp; Tables'!$AE$136:$AG$141</definedName>
    <definedName name="Linking_Range_27">'Fin Sum'!$C$10:$U$68</definedName>
    <definedName name="Linking_Range_31">#REF!</definedName>
    <definedName name="Linking_Range_32">#REF!</definedName>
    <definedName name="Linking_Range_33">#REF!</definedName>
    <definedName name="Linking_Range_34">#REF!</definedName>
    <definedName name="Linking_Range_35">#REF!</definedName>
    <definedName name="Linking_Range_36">#REF!</definedName>
    <definedName name="Linking_Range_40">'Fin Sum'!$C$10:$W$68</definedName>
    <definedName name="Linking_Range_48">#REF!</definedName>
    <definedName name="Linking_Range_5">#REF!</definedName>
    <definedName name="Linking_Range_52">#REF!</definedName>
    <definedName name="Linking_Range_6">#REF!</definedName>
    <definedName name="Linking_Range_7">#REF!</definedName>
    <definedName name="Linking_Range_8">'Fin Sum'!$C$9:$T$71</definedName>
    <definedName name="Linking_Range_80">[2]Charts!$A$864:$C$882</definedName>
    <definedName name="Linking_Range_81">[2]Charts!$A$884:$H$908</definedName>
    <definedName name="Linking_Range_82">[2]Charts!$A$911:$D$931</definedName>
    <definedName name="Linking_Range_83">[2]Charts!$A$884:$H$899</definedName>
    <definedName name="Linking_Range_88">[2]Charts!$A$1227:$H$1263</definedName>
    <definedName name="Linking_Range_89">[2]Charts!$A$1265:$D$1268</definedName>
    <definedName name="lstexchcodes">"Drop Down 22"</definedName>
    <definedName name="MExbrlDates">#REF!</definedName>
    <definedName name="NEPS_00">Model!$AZ$11</definedName>
    <definedName name="NEPS_01">Model!$BC$11</definedName>
    <definedName name="NEPS_02">Model!$BF$11</definedName>
    <definedName name="NEPS_03">Model!$BI$11</definedName>
    <definedName name="NEPS_04">Model!$BL$11</definedName>
    <definedName name="NEPS_05">Model!$BO$11</definedName>
    <definedName name="NEPS_06">Model!$BR$11</definedName>
    <definedName name="NEPS_07">Model!$BU$11</definedName>
    <definedName name="NEPS_08">Model!$BX$11</definedName>
    <definedName name="NEPS_09">Model!$CA$11</definedName>
    <definedName name="NEPS_10">Model!$CD$11</definedName>
    <definedName name="NEPS_11">Model!$CG$11</definedName>
    <definedName name="NEPS_12">Model!$CJ$11</definedName>
    <definedName name="NEPS_13">Model!$CM$11</definedName>
    <definedName name="NEPS_14">Model!$CP$11</definedName>
    <definedName name="NEPS_15">Model!$CS$11</definedName>
    <definedName name="NEPS_16">Model!$CV$11</definedName>
    <definedName name="NEPS_17">Model!$CY$11</definedName>
    <definedName name="NEPS_18">Model!$DB$11</definedName>
    <definedName name="NEPS_19">Model!$DE$11</definedName>
    <definedName name="NEPS_20">Model!$DH$11</definedName>
    <definedName name="NEPS_95">Model!$AK$11</definedName>
    <definedName name="NEPS_96">Model!$AN$11</definedName>
    <definedName name="NEPS_97">Model!$AQ$11</definedName>
    <definedName name="NEPS_98">Model!$AT$11</definedName>
    <definedName name="NEPS_99">Model!$AW$11</definedName>
    <definedName name="NTA_00">Model!$AZ$25</definedName>
    <definedName name="NTA_01">Model!$BC$25</definedName>
    <definedName name="NTA_02">Model!$BF$25</definedName>
    <definedName name="NTA_03">Model!$BI$25</definedName>
    <definedName name="NTA_04">Model!$BL$25</definedName>
    <definedName name="NTA_05">Model!$BO$25</definedName>
    <definedName name="NTA_06">Model!$BR$25</definedName>
    <definedName name="NTA_07">Model!$BU$25</definedName>
    <definedName name="NTA_08">Model!$BX$25</definedName>
    <definedName name="NTA_09">Model!$CA$25</definedName>
    <definedName name="NTA_10">Model!$CD$25</definedName>
    <definedName name="NTA_11">Model!$CG$25</definedName>
    <definedName name="NTA_12">Model!$CJ$25</definedName>
    <definedName name="NTA_13">Model!$CM$25</definedName>
    <definedName name="NTA_14">Model!$CP$25</definedName>
    <definedName name="NTA_15">Model!$CS$25</definedName>
    <definedName name="NTA_16">Model!$CV$25</definedName>
    <definedName name="NTA_17">Model!$CY$25</definedName>
    <definedName name="NTA_18">Model!$DB$25</definedName>
    <definedName name="NTA_19">Model!$DE$25</definedName>
    <definedName name="NTA_20">Model!$DH$25</definedName>
    <definedName name="NTA_95">Model!$AK$25</definedName>
    <definedName name="NTA_96">Model!$AN$25</definedName>
    <definedName name="NTA_97">Model!$AQ$25</definedName>
    <definedName name="NTA_98">Model!$AT$25</definedName>
    <definedName name="NTA_99">Model!$AW$25</definedName>
    <definedName name="P_AB_00">Model!$AZ$92</definedName>
    <definedName name="P_AB_01">Model!$BC$92</definedName>
    <definedName name="P_AB_02">Model!$BF$92</definedName>
    <definedName name="P_AB_03">Model!$BI$92</definedName>
    <definedName name="P_AB_04">Model!$BL$92</definedName>
    <definedName name="P_AB_05">Model!$BO$92</definedName>
    <definedName name="P_AB_06">Model!$BR$92</definedName>
    <definedName name="P_AB_07">Model!$BU$92</definedName>
    <definedName name="P_AB_08">Model!$BX$92</definedName>
    <definedName name="P_AB_09">Model!$CA$92</definedName>
    <definedName name="P_AB_10">Model!$CD$92</definedName>
    <definedName name="P_AB_11">Model!$CG$92</definedName>
    <definedName name="P_AB_12">Model!$CJ$92</definedName>
    <definedName name="P_AB_13">Model!$CM$92</definedName>
    <definedName name="P_AB_14">Model!$CP$92</definedName>
    <definedName name="P_AB_15">Model!$CS$92</definedName>
    <definedName name="P_AB_16">Model!$CV$92</definedName>
    <definedName name="P_AB_17">Model!$CY$92</definedName>
    <definedName name="P_AB_18">Model!$DB$92</definedName>
    <definedName name="P_AB_19">Model!$DE$92</definedName>
    <definedName name="P_AB_20">Model!$DH$92</definedName>
    <definedName name="P_AB_95">Model!$AK$92</definedName>
    <definedName name="P_AB_96">Model!$AN$92</definedName>
    <definedName name="P_AB_97">Model!$AQ$92</definedName>
    <definedName name="P_AB_98">Model!$AT$92</definedName>
    <definedName name="P_AB_99">Model!$AW$92</definedName>
    <definedName name="P_ABTAX_00">Model!$AZ$93</definedName>
    <definedName name="P_ABTAX_01">Model!$BC$93</definedName>
    <definedName name="P_ABTAX_02">Model!$BF$93</definedName>
    <definedName name="P_ABTAX_03">Model!$BI$93</definedName>
    <definedName name="P_ABTAX_04">Model!$BL$93</definedName>
    <definedName name="P_ABTAX_05">Model!$BO$93</definedName>
    <definedName name="P_ABTAX_06">Model!$BR$93</definedName>
    <definedName name="P_ABTAX_07">Model!$BU$93</definedName>
    <definedName name="P_ABTAX_08">Model!$BX$93</definedName>
    <definedName name="P_ABTAX_09">Model!$CA$93</definedName>
    <definedName name="P_ABTAX_10">Model!$CD$93</definedName>
    <definedName name="P_ABTAX_11">Model!$CG$93</definedName>
    <definedName name="P_ABTAX_12">Model!$CJ$93</definedName>
    <definedName name="P_ABTAX_13">Model!$CM$93</definedName>
    <definedName name="P_ABTAX_14">Model!$CP$93</definedName>
    <definedName name="P_ABTAX_15">Model!$CS$93</definedName>
    <definedName name="P_ABTAX_16">Model!$CV$93</definedName>
    <definedName name="P_ABTAX_17">Model!$CY$93</definedName>
    <definedName name="P_ABTAX_18">Model!$DB$93</definedName>
    <definedName name="P_ABTAX_19">Model!$DE$93</definedName>
    <definedName name="P_ABTAX_20">Model!$DH$93</definedName>
    <definedName name="P_ABTAX_95">Model!$AK$93</definedName>
    <definedName name="P_ABTAX_96">Model!$AN$93</definedName>
    <definedName name="P_ABTAX_97">Model!$AQ$93</definedName>
    <definedName name="P_ABTAX_98">Model!$AT$93</definedName>
    <definedName name="P_ABTAX_99">Model!$AW$93</definedName>
    <definedName name="P_AG_00">Model!$AZ$70</definedName>
    <definedName name="P_AG_01">Model!$BC$70</definedName>
    <definedName name="P_AG_02">Model!$BF$70</definedName>
    <definedName name="P_AG_03">Model!$BI$70</definedName>
    <definedName name="P_AG_04">Model!$BL$70</definedName>
    <definedName name="P_AG_05">Model!$BO$70</definedName>
    <definedName name="P_AG_06">Model!$BR$70</definedName>
    <definedName name="P_AG_07">Model!$BU$70</definedName>
    <definedName name="P_AG_08">Model!$BX$70</definedName>
    <definedName name="P_AG_09">Model!$CA$70</definedName>
    <definedName name="P_AG_10">Model!$CD$70</definedName>
    <definedName name="P_AG_11">Model!$CG$70</definedName>
    <definedName name="P_AG_12">Model!$CJ$70</definedName>
    <definedName name="P_AG_13">Model!$CM$70</definedName>
    <definedName name="P_AG_14">Model!$CP$70</definedName>
    <definedName name="P_AG_15">Model!$CS$70</definedName>
    <definedName name="P_AG_16">Model!$CV$70</definedName>
    <definedName name="P_AG_17">Model!$CY$70</definedName>
    <definedName name="P_AG_18">Model!$DB$70</definedName>
    <definedName name="P_AG_19">Model!$DE$70</definedName>
    <definedName name="P_AG_20">Model!$DH$70</definedName>
    <definedName name="P_AG_95">Model!$AK$70</definedName>
    <definedName name="P_AG_96">Model!$AN$70</definedName>
    <definedName name="P_AG_97">Model!$AQ$70</definedName>
    <definedName name="P_AG_98">Model!$AT$70</definedName>
    <definedName name="P_AG_99">Model!$AW$70</definedName>
    <definedName name="P_AI_00">Model!$AZ$62</definedName>
    <definedName name="P_AI_01">Model!$BC$62</definedName>
    <definedName name="P_AI_02">Model!$BF$62</definedName>
    <definedName name="P_AI_03">Model!$BI$62</definedName>
    <definedName name="P_AI_04">Model!$BL$62</definedName>
    <definedName name="P_AI_05">Model!$BO$62</definedName>
    <definedName name="P_AI_06">Model!$BR$62</definedName>
    <definedName name="P_AI_07">Model!$BU$62</definedName>
    <definedName name="P_AI_08">Model!$BX$62</definedName>
    <definedName name="P_AI_09">Model!$CA$62</definedName>
    <definedName name="P_AI_10">Model!$CD$62</definedName>
    <definedName name="P_AI_11">Model!$CG$62</definedName>
    <definedName name="P_AI_12">Model!$CJ$62</definedName>
    <definedName name="P_AI_13">Model!$CM$62</definedName>
    <definedName name="P_AI_14">Model!$CP$62</definedName>
    <definedName name="P_AI_15">Model!$CS$62</definedName>
    <definedName name="P_AI_16">Model!$CV$62</definedName>
    <definedName name="P_AI_17">Model!$CY$62</definedName>
    <definedName name="P_AI_18">Model!$DB$62</definedName>
    <definedName name="P_AI_19">Model!$DE$62</definedName>
    <definedName name="P_AI_20">Model!$DH$62</definedName>
    <definedName name="P_AI_95">Model!$AK$62</definedName>
    <definedName name="P_AI_96">Model!$AN$62</definedName>
    <definedName name="P_AI_97">Model!$AQ$62</definedName>
    <definedName name="P_AI_98">Model!$AT$62</definedName>
    <definedName name="P_AI_99">Model!$AW$62</definedName>
    <definedName name="P_D_00">Model!$AZ$57</definedName>
    <definedName name="P_D_01">Model!$BC$57</definedName>
    <definedName name="P_D_02">Model!$BF$57</definedName>
    <definedName name="P_D_03">Model!$BI$57</definedName>
    <definedName name="P_D_04">Model!$BL$57</definedName>
    <definedName name="P_D_05">Model!$BO$57</definedName>
    <definedName name="P_D_06">Model!$BR$57</definedName>
    <definedName name="P_D_07">Model!$BU$57</definedName>
    <definedName name="P_D_08">Model!$BX$57</definedName>
    <definedName name="P_D_09">Model!$CA$57</definedName>
    <definedName name="P_D_10">Model!$CD$57</definedName>
    <definedName name="P_D_11">Model!$CG$57</definedName>
    <definedName name="P_D_12">Model!$CJ$57</definedName>
    <definedName name="P_D_13">Model!$CM$57</definedName>
    <definedName name="P_D_14">Model!$CP$57</definedName>
    <definedName name="P_D_15">Model!$CS$57</definedName>
    <definedName name="P_D_16">Model!$CV$57</definedName>
    <definedName name="P_D_17">Model!$CY$57</definedName>
    <definedName name="P_D_18">Model!$DB$57</definedName>
    <definedName name="P_D_19">Model!$DE$57</definedName>
    <definedName name="P_D_20">Model!$DH$57</definedName>
    <definedName name="P_D_95">Model!$AK$57</definedName>
    <definedName name="P_D_96">Model!$AN$57</definedName>
    <definedName name="P_D_97">Model!$AQ$57</definedName>
    <definedName name="P_D_98">Model!$AT$57</definedName>
    <definedName name="P_D_99">Model!$AW$57</definedName>
    <definedName name="P_IE_00">Model!$AZ$456</definedName>
    <definedName name="P_IE_01">Model!$BC$456</definedName>
    <definedName name="P_IE_02">Model!$BF$456</definedName>
    <definedName name="P_IE_03">Model!$BI$456</definedName>
    <definedName name="P_IE_04">Model!$BL$456</definedName>
    <definedName name="P_IE_05">Model!$BO$456</definedName>
    <definedName name="P_IE_06">Model!$BR$456</definedName>
    <definedName name="P_IE_07">Model!$BU$456</definedName>
    <definedName name="P_IE_08">Model!$BX$456</definedName>
    <definedName name="P_IE_09">Model!$CA$456</definedName>
    <definedName name="P_IE_10">Model!$CD$456</definedName>
    <definedName name="P_IE_11">Model!$CG$456</definedName>
    <definedName name="P_IE_12">Model!$CJ$456</definedName>
    <definedName name="P_IE_13">Model!$CM$456</definedName>
    <definedName name="P_IE_14">Model!$CP$456</definedName>
    <definedName name="P_IE_15">Model!$CS$456</definedName>
    <definedName name="P_IE_16">Model!$CV$456</definedName>
    <definedName name="P_IE_17">Model!$CY$456</definedName>
    <definedName name="P_IE_18">Model!$DB$456</definedName>
    <definedName name="P_IE_19">Model!$DE$456</definedName>
    <definedName name="P_IE_20">Model!$DH$456</definedName>
    <definedName name="P_IE_95">Model!$AK$456</definedName>
    <definedName name="P_IE_96">Model!$AN$456</definedName>
    <definedName name="P_IE_97">Model!$AQ$456</definedName>
    <definedName name="P_IE_98">Model!$AT$456</definedName>
    <definedName name="P_IE_99">Model!$AW$456</definedName>
    <definedName name="P_IR_00">Model!$AZ$455</definedName>
    <definedName name="P_IR_01">Model!$BC$455</definedName>
    <definedName name="P_IR_02">Model!$BF$455</definedName>
    <definedName name="P_IR_03">Model!$BI$455</definedName>
    <definedName name="P_IR_04">Model!$BL$455</definedName>
    <definedName name="P_IR_05">Model!$BO$455</definedName>
    <definedName name="P_IR_06">Model!$BR$455</definedName>
    <definedName name="P_IR_07">Model!$BU$455</definedName>
    <definedName name="P_IR_08">Model!$BX$455</definedName>
    <definedName name="P_IR_09">Model!$CA$455</definedName>
    <definedName name="P_IR_10">Model!$CD$455</definedName>
    <definedName name="P_IR_11">Model!$CG$455</definedName>
    <definedName name="P_IR_12">Model!$CJ$455</definedName>
    <definedName name="P_IR_13">Model!$CM$455</definedName>
    <definedName name="P_IR_14">Model!$CP$455</definedName>
    <definedName name="P_IR_15">Model!$CS$455</definedName>
    <definedName name="P_IR_16">Model!$CV$455</definedName>
    <definedName name="P_IR_17">Model!$CY$455</definedName>
    <definedName name="P_IR_18">Model!$DB$455</definedName>
    <definedName name="P_IR_19">Model!$DE$455</definedName>
    <definedName name="P_IR_20">Model!$DH$455</definedName>
    <definedName name="P_IR_95">Model!$AK$455</definedName>
    <definedName name="P_IR_96">Model!$AN$455</definedName>
    <definedName name="P_IR_97">Model!$AQ$455</definedName>
    <definedName name="P_IR_98">Model!$AT$455</definedName>
    <definedName name="P_IR_99">Model!$AW$455</definedName>
    <definedName name="P_MI_00">Model!$AZ$83</definedName>
    <definedName name="P_MI_01">Model!$BC$83</definedName>
    <definedName name="P_MI_02">Model!$BF$83</definedName>
    <definedName name="P_MI_03">Model!$BI$83</definedName>
    <definedName name="P_MI_04">Model!$BL$83</definedName>
    <definedName name="P_MI_05">Model!$BO$83</definedName>
    <definedName name="P_MI_06">Model!$BR$83</definedName>
    <definedName name="P_MI_07">Model!$BU$83</definedName>
    <definedName name="P_MI_08">Model!$BX$83</definedName>
    <definedName name="P_MI_09">Model!$CA$83</definedName>
    <definedName name="P_MI_10">Model!$CD$83</definedName>
    <definedName name="P_MI_11">Model!$CG$83</definedName>
    <definedName name="P_MI_12">Model!$CJ$83</definedName>
    <definedName name="P_MI_13">Model!$CM$83</definedName>
    <definedName name="P_MI_14">Model!$CP$83</definedName>
    <definedName name="P_MI_15">Model!$CS$83</definedName>
    <definedName name="P_MI_16">Model!$CV$83</definedName>
    <definedName name="P_MI_17">Model!$CY$83</definedName>
    <definedName name="P_MI_18">Model!$DB$83</definedName>
    <definedName name="P_MI_19">Model!$DE$83</definedName>
    <definedName name="P_MI_20">Model!$DH$83</definedName>
    <definedName name="P_MI_95">Model!$AK$83</definedName>
    <definedName name="P_MI_96">Model!$AN$83</definedName>
    <definedName name="P_MI_97">Model!$AQ$83</definedName>
    <definedName name="P_MI_98">Model!$AT$83</definedName>
    <definedName name="P_MI_99">Model!$AW$83</definedName>
    <definedName name="P_NIE_00">Model!$AZ$457</definedName>
    <definedName name="P_NIE_01">Model!$BC$457</definedName>
    <definedName name="P_NIE_02">Model!$BF$457</definedName>
    <definedName name="P_NIE_03">Model!$BI$457</definedName>
    <definedName name="P_NIE_04">Model!$BL$457</definedName>
    <definedName name="P_NIE_05">Model!$BO$457</definedName>
    <definedName name="P_NIE_06">Model!$BR$457</definedName>
    <definedName name="P_NIE_07">Model!$BU$457</definedName>
    <definedName name="P_NIE_08">Model!$BX$457</definedName>
    <definedName name="P_NIE_09">Model!$CA$457</definedName>
    <definedName name="P_NIE_10">Model!$CD$457</definedName>
    <definedName name="P_NIE_11">Model!$CG$457</definedName>
    <definedName name="P_NIE_12">Model!$CJ$457</definedName>
    <definedName name="P_NIE_13">Model!$CM$457</definedName>
    <definedName name="P_NIE_14">Model!$CP$457</definedName>
    <definedName name="P_NIE_15">Model!$CS$457</definedName>
    <definedName name="P_NIE_16">Model!$CV$457</definedName>
    <definedName name="P_NIE_17">Model!$CY$457</definedName>
    <definedName name="P_NIE_18">Model!$DB$457</definedName>
    <definedName name="P_NIE_19">Model!$DE$457</definedName>
    <definedName name="P_NIE_20">Model!$DH$457</definedName>
    <definedName name="P_NIE_95">Model!$AK$457</definedName>
    <definedName name="P_NIE_96">Model!$AN$457</definedName>
    <definedName name="P_NIE_97">Model!$AQ$457</definedName>
    <definedName name="P_NIE_98">Model!$AT$457</definedName>
    <definedName name="P_NIE_99">Model!$AW$457</definedName>
    <definedName name="P_NPATC_00">Model!$AZ$90</definedName>
    <definedName name="P_NPATC_01">Model!$BC$90</definedName>
    <definedName name="P_NPATC_02">Model!$BF$90</definedName>
    <definedName name="P_NPATC_03">Model!$BI$90</definedName>
    <definedName name="P_NPATC_04">Model!$BL$90</definedName>
    <definedName name="P_NPATC_05">Model!$BO$90</definedName>
    <definedName name="P_NPATC_06">Model!$BR$90</definedName>
    <definedName name="P_NPATC_07">Model!$BU$90</definedName>
    <definedName name="P_NPATC_08">Model!$BX$90</definedName>
    <definedName name="P_NPATC_09">Model!$CA$90</definedName>
    <definedName name="P_NPATC_10">Model!$CD$90</definedName>
    <definedName name="P_NPATC_11">Model!$CG$90</definedName>
    <definedName name="P_NPATC_12">Model!$CJ$90</definedName>
    <definedName name="P_NPATC_13">Model!$CM$90</definedName>
    <definedName name="P_NPATC_14">Model!$CP$90</definedName>
    <definedName name="P_NPATC_15">Model!$CS$90</definedName>
    <definedName name="P_NPATC_16">Model!$CV$90</definedName>
    <definedName name="P_NPATC_17">Model!$CY$90</definedName>
    <definedName name="P_NPATC_18">Model!$DB$90</definedName>
    <definedName name="P_NPATC_19">Model!$DE$90</definedName>
    <definedName name="P_NPATC_20">Model!$DH$90</definedName>
    <definedName name="P_NPATC_95">Model!$AK$90</definedName>
    <definedName name="P_NPATC_96">Model!$AN$90</definedName>
    <definedName name="P_NPATC_97">Model!$AQ$90</definedName>
    <definedName name="P_NPATC_98">Model!$AT$90</definedName>
    <definedName name="P_NPATC_99">Model!$AW$90</definedName>
    <definedName name="P_PTP_00">Model!$AZ$79</definedName>
    <definedName name="P_PTP_01">Model!$BC$79</definedName>
    <definedName name="P_PTP_02">Model!$BF$79</definedName>
    <definedName name="P_PTP_03">Model!$BI$79</definedName>
    <definedName name="P_PTP_04">Model!$BL$79</definedName>
    <definedName name="P_PTP_05">Model!$BO$79</definedName>
    <definedName name="P_PTP_06">Model!$BR$79</definedName>
    <definedName name="P_PTP_07">Model!$BU$79</definedName>
    <definedName name="P_PTP_08">Model!$BX$79</definedName>
    <definedName name="P_PTP_09">Model!$CA$79</definedName>
    <definedName name="P_PTP_10">Model!$CD$79</definedName>
    <definedName name="P_PTP_11">Model!$CG$79</definedName>
    <definedName name="P_PTP_12">Model!$CJ$79</definedName>
    <definedName name="P_PTP_13">Model!$CM$79</definedName>
    <definedName name="P_PTP_14">Model!$CP$79</definedName>
    <definedName name="P_PTP_15">Model!$CS$79</definedName>
    <definedName name="P_PTP_16">Model!$CV$79</definedName>
    <definedName name="P_PTP_17">Model!$CY$79</definedName>
    <definedName name="P_PTP_18">Model!$DB$79</definedName>
    <definedName name="P_PTP_19">Model!$DE$79</definedName>
    <definedName name="P_PTP_20">Model!$DH$79</definedName>
    <definedName name="P_PTP_95">Model!$AK$79</definedName>
    <definedName name="P_PTP_96">Model!$AN$79</definedName>
    <definedName name="P_PTP_97">Model!$AQ$79</definedName>
    <definedName name="P_PTP_98">Model!$AT$79</definedName>
    <definedName name="P_PTP_99">Model!$AW$79</definedName>
    <definedName name="P_TE_00">Model!$AZ$461</definedName>
    <definedName name="P_TE_01">Model!$BC$461</definedName>
    <definedName name="P_TE_02">Model!$BF$461</definedName>
    <definedName name="P_TE_03">Model!$BI$461</definedName>
    <definedName name="P_TE_04">Model!$BL$461</definedName>
    <definedName name="P_TE_05">Model!$BO$461</definedName>
    <definedName name="P_TE_06">Model!$BR$461</definedName>
    <definedName name="P_TE_07">Model!$BU$461</definedName>
    <definedName name="P_TE_08">Model!$BX$461</definedName>
    <definedName name="P_TE_09">Model!$CA$461</definedName>
    <definedName name="P_TE_10">Model!$CD$461</definedName>
    <definedName name="P_TE_11">Model!$CG$461</definedName>
    <definedName name="P_TE_12">Model!$CJ$461</definedName>
    <definedName name="P_TE_13">Model!$CM$461</definedName>
    <definedName name="P_TE_14">Model!$CP$461</definedName>
    <definedName name="P_TE_15">Model!$CS$461</definedName>
    <definedName name="P_TE_16">Model!$CV$461</definedName>
    <definedName name="P_TE_17">Model!$CY$461</definedName>
    <definedName name="P_TE_18">Model!$DB$461</definedName>
    <definedName name="P_TE_19">Model!$DE$461</definedName>
    <definedName name="P_TE_20">Model!$DH$461</definedName>
    <definedName name="P_TE_95">Model!$AK$461</definedName>
    <definedName name="P_TE_96">Model!$AN$461</definedName>
    <definedName name="P_TE_97">Model!$AQ$461</definedName>
    <definedName name="P_TE_98">Model!$AT$461</definedName>
    <definedName name="P_TE_99">Model!$AW$461</definedName>
    <definedName name="PL_Abnorm_Tx_00">Model!$AZ$92</definedName>
    <definedName name="PL_Abnorm_Tx_01">Model!$BC$92</definedName>
    <definedName name="PL_Abnorm_Tx_02">Model!$BF$92</definedName>
    <definedName name="PL_Abnorm_Tx_03">Model!$BI$92</definedName>
    <definedName name="PL_Abnorm_Tx_04">Model!$BL$92</definedName>
    <definedName name="PL_Abnorm_Tx_05">Model!$BO$92</definedName>
    <definedName name="PL_Abnorm_Tx_06">Model!$BR$92</definedName>
    <definedName name="PL_Abnorm_Tx_07">Model!$BU$92</definedName>
    <definedName name="PL_Abnorm_Tx_08">Model!$BX$92</definedName>
    <definedName name="PL_Abnorm_Tx_09">Model!$CA$92</definedName>
    <definedName name="PL_Abnorm_Tx_10">Model!$CD$92</definedName>
    <definedName name="PL_Abnorm_Tx_11">Model!$CG$92</definedName>
    <definedName name="PL_Abnorm_Tx_12">Model!$CJ$92</definedName>
    <definedName name="PL_Abnorm_Tx_13">Model!$CM$92</definedName>
    <definedName name="PL_Abnorm_Tx_14">Model!$CP$92</definedName>
    <definedName name="PL_Abnorm_Tx_15">Model!$CS$92</definedName>
    <definedName name="PL_Abnorm_Tx_16">Model!$CV$92</definedName>
    <definedName name="PL_Abnorm_Tx_17">Model!$CY$92</definedName>
    <definedName name="PL_Abnorm_Tx_18">Model!$DB$92</definedName>
    <definedName name="PL_Abnorm_Tx_19">Model!$DE$92</definedName>
    <definedName name="PL_Abnorm_Tx_20">Model!$DH$92</definedName>
    <definedName name="PL_Abnorm_Tx_H1_00">Model!$AX$92</definedName>
    <definedName name="PL_Abnorm_Tx_H1_01">Model!$BA$92</definedName>
    <definedName name="PL_Abnorm_Tx_H1_02">Model!$BD$92</definedName>
    <definedName name="PL_Abnorm_Tx_H1_03">Model!$BG$92</definedName>
    <definedName name="PL_Abnorm_Tx_H1_04">Model!$BJ$92</definedName>
    <definedName name="PL_Abnorm_Tx_H1_05">Model!$BM$92</definedName>
    <definedName name="PL_Abnorm_Tx_H1_06">Model!$BP$92</definedName>
    <definedName name="PL_Abnorm_Tx_H1_07">Model!$BS$92</definedName>
    <definedName name="PL_Abnorm_Tx_H1_08">Model!$BV$92</definedName>
    <definedName name="PL_Abnorm_Tx_H1_09">Model!$BY$92</definedName>
    <definedName name="PL_Abnorm_Tx_H1_10">Model!$CB$92</definedName>
    <definedName name="PL_Abnorm_Tx_H1_11">Model!$CE$92</definedName>
    <definedName name="PL_Abnorm_Tx_H1_12">Model!$CH$92</definedName>
    <definedName name="PL_Abnorm_Tx_H1_13">Model!$CK$92</definedName>
    <definedName name="PL_Abnorm_Tx_H1_14">Model!$CN$92</definedName>
    <definedName name="PL_Abnorm_Tx_H1_15">Model!$CQ$92</definedName>
    <definedName name="PL_Abnorm_Tx_H1_16">Model!$CT$92</definedName>
    <definedName name="PL_Abnorm_Tx_H1_17">Model!$CW$92</definedName>
    <definedName name="PL_Abnorm_Tx_H1_18">Model!$CZ$92</definedName>
    <definedName name="PL_Abnorm_Tx_H1_19">Model!$DC$92</definedName>
    <definedName name="PL_Abnorm_Tx_H1_20">Model!$DF$92</definedName>
    <definedName name="PL_Abnorm_Tx_H2_00">Model!$AY$92</definedName>
    <definedName name="PL_Abnorm_Tx_H2_01">Model!$BB$92</definedName>
    <definedName name="PL_Abnorm_Tx_H2_02">Model!$BE$92</definedName>
    <definedName name="PL_Abnorm_Tx_H2_03">Model!$BH$92</definedName>
    <definedName name="PL_Abnorm_Tx_H2_04">Model!$BK$92</definedName>
    <definedName name="PL_Abnorm_Tx_H2_05">Model!$BN$92</definedName>
    <definedName name="PL_Abnorm_Tx_H2_06">Model!$BQ$92</definedName>
    <definedName name="PL_Abnorm_Tx_H2_07">Model!$BT$92</definedName>
    <definedName name="PL_Abnorm_Tx_H2_08">Model!$BW$92</definedName>
    <definedName name="PL_Abnorm_Tx_H2_09">Model!$BZ$92</definedName>
    <definedName name="PL_Abnorm_Tx_H2_10">Model!$CC$92</definedName>
    <definedName name="PL_Abnorm_Tx_H2_11">Model!$CF$92</definedName>
    <definedName name="PL_Abnorm_Tx_H2_12">Model!$CI$92</definedName>
    <definedName name="PL_Abnorm_Tx_H2_13">Model!$CL$92</definedName>
    <definedName name="PL_Abnorm_Tx_H2_14">Model!$CO$92</definedName>
    <definedName name="PL_Abnorm_Tx_H2_15">Model!$CR$92</definedName>
    <definedName name="PL_Abnorm_Tx_H2_16">Model!$CU$92</definedName>
    <definedName name="PL_Abnorm_Tx_H2_17">Model!$CX$92</definedName>
    <definedName name="PL_Abnorm_Tx_H2_18">Model!$DA$92</definedName>
    <definedName name="PL_Abnorm_Tx_H2_19">Model!$DD$92</definedName>
    <definedName name="PL_Abnorm_Tx_H2_20">Model!$DG$92</definedName>
    <definedName name="PL_adj_GW_00">Model!$AZ$70</definedName>
    <definedName name="PL_adj_GW_01">Model!$BC$70</definedName>
    <definedName name="PL_adj_GW_02">Model!$BF$70</definedName>
    <definedName name="PL_adj_GW_03">Model!$BI$70</definedName>
    <definedName name="PL_adj_GW_04">Model!$BL$70</definedName>
    <definedName name="PL_adj_GW_05">Model!$BO$70</definedName>
    <definedName name="PL_adj_GW_06">Model!$BR$70</definedName>
    <definedName name="PL_adj_GW_07">Model!$BU$70</definedName>
    <definedName name="PL_adj_GW_08">Model!$BX$70</definedName>
    <definedName name="PL_adj_GW_09">Model!$CA$70</definedName>
    <definedName name="PL_adj_GW_10">Model!$CD$70</definedName>
    <definedName name="PL_adj_GW_11">Model!$CG$70</definedName>
    <definedName name="PL_adj_GW_12">Model!$CJ$70</definedName>
    <definedName name="PL_adj_GW_13">Model!$CM$70</definedName>
    <definedName name="PL_adj_GW_14">Model!$CP$70</definedName>
    <definedName name="PL_adj_GW_15">Model!$CS$70</definedName>
    <definedName name="PL_adj_GW_16">Model!$CV$70</definedName>
    <definedName name="PL_adj_GW_17">Model!$CY$70</definedName>
    <definedName name="PL_adj_GW_18">Model!$DB$70</definedName>
    <definedName name="PL_adj_GW_19">Model!$DE$70</definedName>
    <definedName name="PL_adj_GW_20">Model!$DH$70</definedName>
    <definedName name="PL_adj_GW_H1_00">Model!$AX$70</definedName>
    <definedName name="PL_adj_GW_H1_01">Model!$BA$70</definedName>
    <definedName name="PL_adj_GW_H1_02">Model!$BD$70</definedName>
    <definedName name="PL_adj_GW_H1_03">Model!$BG$70</definedName>
    <definedName name="PL_adj_GW_H1_04">Model!$BJ$70</definedName>
    <definedName name="PL_adj_GW_H1_05">Model!$BM$70</definedName>
    <definedName name="PL_adj_GW_H1_06">Model!$BP$70</definedName>
    <definedName name="PL_adj_GW_H1_07">Model!$BS$70</definedName>
    <definedName name="PL_adj_GW_H1_08">Model!$BV$70</definedName>
    <definedName name="PL_adj_GW_H1_09">Model!$BY$70</definedName>
    <definedName name="PL_adj_GW_H1_10">Model!$CB$70</definedName>
    <definedName name="PL_adj_GW_H1_11">Model!$CE$70</definedName>
    <definedName name="PL_adj_GW_H1_12">Model!$CH$70</definedName>
    <definedName name="PL_adj_GW_H1_13">Model!$CK$70</definedName>
    <definedName name="PL_adj_GW_H1_14">Model!$CN$70</definedName>
    <definedName name="PL_adj_GW_H1_15">Model!$CQ$70</definedName>
    <definedName name="PL_adj_GW_H1_16">Model!$CT$70</definedName>
    <definedName name="PL_adj_GW_H1_17">Model!$CW$70</definedName>
    <definedName name="PL_adj_GW_H1_18">Model!$CZ$70</definedName>
    <definedName name="PL_adj_GW_H1_19">Model!$DC$70</definedName>
    <definedName name="PL_adj_GW_H1_20">Model!$DF$70</definedName>
    <definedName name="PL_adj_GW_H2_00">Model!$AY$70</definedName>
    <definedName name="PL_adj_GW_H2_01">Model!$BB$70</definedName>
    <definedName name="PL_adj_GW_H2_02">Model!$BE$70</definedName>
    <definedName name="PL_adj_GW_H2_03">Model!$BH$70</definedName>
    <definedName name="PL_adj_GW_H2_04">Model!$BK$70</definedName>
    <definedName name="PL_adj_GW_H2_05">Model!$BN$70</definedName>
    <definedName name="PL_adj_GW_H2_06">Model!$BQ$70</definedName>
    <definedName name="PL_adj_GW_H2_07">Model!$BT$70</definedName>
    <definedName name="PL_adj_GW_H2_08">Model!$BW$70</definedName>
    <definedName name="PL_adj_GW_H2_09">Model!$BZ$70</definedName>
    <definedName name="PL_adj_GW_H2_10">Model!$CC$70</definedName>
    <definedName name="PL_adj_GW_H2_11">Model!$CF$70</definedName>
    <definedName name="PL_adj_GW_H2_12">Model!$CI$70</definedName>
    <definedName name="PL_adj_GW_H2_13">Model!$CL$70</definedName>
    <definedName name="PL_adj_GW_H2_14">Model!$CO$70</definedName>
    <definedName name="PL_adj_GW_H2_15">Model!$CR$70</definedName>
    <definedName name="PL_adj_GW_H2_16">Model!$CU$70</definedName>
    <definedName name="PL_adj_GW_H2_17">Model!$CX$70</definedName>
    <definedName name="PL_adj_GW_H2_18">Model!$DA$70</definedName>
    <definedName name="PL_adj_GW_H2_19">Model!$DD$70</definedName>
    <definedName name="PL_adj_GW_H2_20">Model!$DG$70</definedName>
    <definedName name="PL_adj_Intang_00">Model!$AZ$62</definedName>
    <definedName name="PL_adj_Intang_01">Model!$BC$62</definedName>
    <definedName name="PL_adj_Intang_02">Model!$BF$62</definedName>
    <definedName name="PL_adj_Intang_03">Model!$BI$62</definedName>
    <definedName name="PL_adj_Intang_04">Model!$BL$62</definedName>
    <definedName name="PL_adj_Intang_05">Model!$BO$62</definedName>
    <definedName name="PL_adj_Intang_06">Model!$BR$62</definedName>
    <definedName name="PL_adj_Intang_07">Model!$BU$62</definedName>
    <definedName name="PL_adj_Intang_08">Model!$BX$62</definedName>
    <definedName name="PL_adj_Intang_09">Model!$CA$62</definedName>
    <definedName name="PL_adj_Intang_10">Model!$CD$62</definedName>
    <definedName name="PL_adj_Intang_11">Model!$CG$62</definedName>
    <definedName name="PL_adj_Intang_12">Model!$CJ$62</definedName>
    <definedName name="PL_adj_Intang_13">Model!$CM$62</definedName>
    <definedName name="PL_adj_Intang_14">Model!$CP$62</definedName>
    <definedName name="PL_adj_Intang_15">Model!$CS$62</definedName>
    <definedName name="PL_adj_Intang_16">Model!$CV$62</definedName>
    <definedName name="PL_adj_Intang_17">Model!$CY$62</definedName>
    <definedName name="PL_adj_Intang_18">Model!$DB$62</definedName>
    <definedName name="PL_adj_Intang_19">Model!$DE$62</definedName>
    <definedName name="PL_adj_Intang_20">Model!$DH$62</definedName>
    <definedName name="PL_adj_Intang_H1_00">Model!$AX$62</definedName>
    <definedName name="PL_adj_Intang_H1_01">Model!$BA$62</definedName>
    <definedName name="PL_adj_Intang_H1_02">Model!$BD$62</definedName>
    <definedName name="PL_adj_Intang_H1_03">Model!$BG$62</definedName>
    <definedName name="PL_adj_Intang_H1_04">Model!$BJ$62</definedName>
    <definedName name="PL_adj_Intang_H1_05">Model!$BM$62</definedName>
    <definedName name="PL_adj_Intang_H1_06">Model!$BP$62</definedName>
    <definedName name="PL_adj_Intang_H1_07">Model!$BS$62</definedName>
    <definedName name="PL_adj_Intang_H1_08">Model!$BV$62</definedName>
    <definedName name="PL_adj_Intang_H1_09">Model!$BY$62</definedName>
    <definedName name="PL_adj_Intang_H1_10">Model!$CB$62</definedName>
    <definedName name="PL_adj_Intang_H1_11">Model!$CE$62</definedName>
    <definedName name="PL_adj_Intang_H1_12">Model!$CH$62</definedName>
    <definedName name="PL_adj_Intang_H1_13">Model!$CK$62</definedName>
    <definedName name="PL_adj_Intang_H1_14">Model!$CN$62</definedName>
    <definedName name="PL_adj_Intang_H1_15">Model!$CQ$62</definedName>
    <definedName name="PL_adj_Intang_H1_16">Model!$CT$62</definedName>
    <definedName name="PL_adj_Intang_H1_17">Model!$CW$62</definedName>
    <definedName name="PL_adj_Intang_H1_18">Model!$CZ$62</definedName>
    <definedName name="PL_adj_Intang_H1_19">Model!$DC$62</definedName>
    <definedName name="PL_adj_Intang_H1_20">Model!$DF$62</definedName>
    <definedName name="PL_adj_Intang_H2_00">Model!$AY$62</definedName>
    <definedName name="PL_adj_Intang_H2_01">Model!$BB$62</definedName>
    <definedName name="PL_adj_Intang_H2_02">Model!$BE$62</definedName>
    <definedName name="PL_adj_Intang_H2_03">Model!$BH$62</definedName>
    <definedName name="PL_adj_Intang_H2_04">Model!$BK$62</definedName>
    <definedName name="PL_adj_Intang_H2_05">Model!$BN$62</definedName>
    <definedName name="PL_adj_Intang_H2_06">Model!$BQ$62</definedName>
    <definedName name="PL_adj_Intang_H2_07">Model!$BT$62</definedName>
    <definedName name="PL_adj_Intang_H2_08">Model!$BW$62</definedName>
    <definedName name="PL_adj_Intang_H2_09">Model!$BZ$62</definedName>
    <definedName name="PL_adj_Intang_H2_10">Model!$CC$62</definedName>
    <definedName name="PL_adj_Intang_H2_11">Model!$CF$62</definedName>
    <definedName name="PL_adj_Intang_H2_12">Model!$CI$62</definedName>
    <definedName name="PL_adj_Intang_H2_13">Model!$CL$62</definedName>
    <definedName name="PL_adj_Intang_H2_14">Model!$CO$62</definedName>
    <definedName name="PL_adj_Intang_H2_15">Model!$CR$62</definedName>
    <definedName name="PL_adj_Intang_H2_16">Model!$CU$62</definedName>
    <definedName name="PL_adj_Intang_H2_17">Model!$CX$62</definedName>
    <definedName name="PL_adj_Intang_H2_18">Model!$DA$62</definedName>
    <definedName name="PL_adj_Intang_H2_19">Model!$DD$62</definedName>
    <definedName name="PL_adj_Intang_H2_20">Model!$DG$62</definedName>
    <definedName name="PL_adj_Other_00">Model!$AZ$145</definedName>
    <definedName name="PL_adj_Other_01">Model!$BC$145</definedName>
    <definedName name="PL_adj_Other_02">Model!$BF$145</definedName>
    <definedName name="PL_adj_Other_03">Model!$BI$145</definedName>
    <definedName name="PL_adj_Other_04">Model!$BL$145</definedName>
    <definedName name="PL_adj_Other_05">Model!$BO$145</definedName>
    <definedName name="PL_adj_Other_06">Model!$BR$145</definedName>
    <definedName name="PL_adj_Other_07">Model!$BU$145</definedName>
    <definedName name="PL_adj_Other_08">Model!$BX$145</definedName>
    <definedName name="PL_adj_Other_09">Model!$CA$145</definedName>
    <definedName name="PL_adj_Other_10">Model!$CD$145</definedName>
    <definedName name="PL_adj_Other_11">Model!$CG$145</definedName>
    <definedName name="PL_adj_Other_12">Model!$CJ$145</definedName>
    <definedName name="PL_adj_Other_13">Model!$CM$145</definedName>
    <definedName name="PL_adj_Other_14">Model!$CP$145</definedName>
    <definedName name="PL_adj_Other_15">Model!$CS$145</definedName>
    <definedName name="PL_adj_Other_16">Model!$CV$145</definedName>
    <definedName name="PL_adj_Other_17">Model!$CY$145</definedName>
    <definedName name="PL_adj_Other_18">Model!$DB$145</definedName>
    <definedName name="PL_adj_Other_19">Model!$DE$145</definedName>
    <definedName name="PL_adj_Other_20">Model!$DH$145</definedName>
    <definedName name="PL_adj_Other_H1_00">Model!$AX$145</definedName>
    <definedName name="PL_adj_Other_H1_01">Model!$BA$145</definedName>
    <definedName name="PL_adj_Other_H1_02">Model!$BD$145</definedName>
    <definedName name="PL_adj_Other_H1_03">Model!$BG$145</definedName>
    <definedName name="PL_adj_Other_H1_04">Model!$BJ$145</definedName>
    <definedName name="PL_adj_Other_H1_05">Model!$BM$145</definedName>
    <definedName name="PL_adj_Other_H1_06">Model!$BP$145</definedName>
    <definedName name="PL_adj_Other_H1_07">Model!$BS$145</definedName>
    <definedName name="PL_adj_Other_H1_08">Model!$BV$145</definedName>
    <definedName name="PL_adj_Other_H1_09">Model!$BY$145</definedName>
    <definedName name="PL_adj_Other_H1_10">Model!$CB$145</definedName>
    <definedName name="PL_adj_Other_H1_11">Model!$CE$145</definedName>
    <definedName name="PL_adj_Other_H1_12">Model!$CH$145</definedName>
    <definedName name="PL_adj_Other_H1_13">Model!$CK$145</definedName>
    <definedName name="PL_adj_Other_H1_14">Model!$CN$145</definedName>
    <definedName name="PL_adj_Other_H1_15">Model!$CQ$145</definedName>
    <definedName name="PL_adj_Other_H1_16">Model!$CT$145</definedName>
    <definedName name="PL_adj_Other_H1_17">Model!$CW$145</definedName>
    <definedName name="PL_adj_Other_H1_18">Model!$CZ$145</definedName>
    <definedName name="PL_adj_Other_H1_19">Model!$DC$145</definedName>
    <definedName name="PL_adj_Other_H1_20">Model!$DF$145</definedName>
    <definedName name="PL_adj_Other_H2_00">Model!$AY$145</definedName>
    <definedName name="PL_adj_Other_H2_01">Model!$BB$145</definedName>
    <definedName name="PL_adj_Other_H2_02">Model!$BE$145</definedName>
    <definedName name="PL_adj_Other_H2_03">Model!$BH$145</definedName>
    <definedName name="PL_adj_Other_H2_04">Model!$BK$145</definedName>
    <definedName name="PL_adj_Other_H2_05">Model!$BN$145</definedName>
    <definedName name="PL_adj_Other_H2_06">Model!$BQ$145</definedName>
    <definedName name="PL_adj_Other_H2_07">Model!$BT$145</definedName>
    <definedName name="PL_adj_Other_H2_08">Model!$BW$145</definedName>
    <definedName name="PL_adj_Other_H2_09">Model!$BZ$145</definedName>
    <definedName name="PL_adj_Other_H2_10">Model!$CC$145</definedName>
    <definedName name="PL_adj_Other_H2_11">Model!$CF$145</definedName>
    <definedName name="PL_adj_Other_H2_12">Model!$CI$145</definedName>
    <definedName name="PL_adj_Other_H2_13">Model!$CL$145</definedName>
    <definedName name="PL_adj_Other_H2_14">Model!$CO$145</definedName>
    <definedName name="PL_adj_Other_H2_15">Model!$CR$145</definedName>
    <definedName name="PL_adj_Other_H2_16">Model!$CU$145</definedName>
    <definedName name="PL_adj_Other_H2_17">Model!$CX$145</definedName>
    <definedName name="PL_adj_Other_H2_18">Model!$DA$145</definedName>
    <definedName name="PL_adj_Other_H2_19">Model!$DD$145</definedName>
    <definedName name="PL_adj_Other_H2_20">Model!$DG$145</definedName>
    <definedName name="PL_AG_00">Model!$AZ$70</definedName>
    <definedName name="PL_AG_01">Model!$BC$70</definedName>
    <definedName name="PL_AG_02">Model!$BF$70</definedName>
    <definedName name="PL_AG_03">Model!$BI$70</definedName>
    <definedName name="PL_AG_04">Model!$BL$70</definedName>
    <definedName name="PL_AG_05">Model!$BO$70</definedName>
    <definedName name="PL_AG_06">Model!$BR$70</definedName>
    <definedName name="PL_AG_07">Model!$BU$70</definedName>
    <definedName name="PL_AG_08">Model!$BX$70</definedName>
    <definedName name="PL_AG_09">Model!$CA$70</definedName>
    <definedName name="PL_AG_10">Model!$CD$70</definedName>
    <definedName name="PL_AG_11">Model!$CG$70</definedName>
    <definedName name="PL_AG_12">Model!$CJ$70</definedName>
    <definedName name="PL_AG_13">Model!$CM$70</definedName>
    <definedName name="PL_AG_14">Model!$CP$70</definedName>
    <definedName name="PL_AG_15">Model!$CS$70</definedName>
    <definedName name="PL_AG_16">Model!$CV$70</definedName>
    <definedName name="PL_AG_17">Model!$CY$70</definedName>
    <definedName name="PL_AG_18">Model!$DB$70</definedName>
    <definedName name="PL_AG_19">Model!$DE$70</definedName>
    <definedName name="PL_AG_20">Model!$DH$70</definedName>
    <definedName name="PL_AG_H1_00">Model!$AX$70</definedName>
    <definedName name="PL_AG_H1_01">Model!$BA$70</definedName>
    <definedName name="PL_AG_H1_02">Model!$BD$70</definedName>
    <definedName name="PL_AG_H1_03">Model!$BG$70</definedName>
    <definedName name="PL_AG_H1_04">Model!$BJ$70</definedName>
    <definedName name="PL_AG_H1_05">Model!$BM$70</definedName>
    <definedName name="PL_AG_H1_06">Model!$BP$70</definedName>
    <definedName name="PL_AG_H1_07">Model!$BS$70</definedName>
    <definedName name="PL_AG_H1_08">Model!$BV$70</definedName>
    <definedName name="PL_AG_H1_09">Model!$BY$70</definedName>
    <definedName name="PL_AG_H1_10">Model!$CB$70</definedName>
    <definedName name="PL_AG_H1_11">Model!$CE$70</definedName>
    <definedName name="PL_AG_H1_12">Model!$CH$70</definedName>
    <definedName name="PL_AG_H1_13">Model!$CK$70</definedName>
    <definedName name="PL_AG_H1_14">Model!$CN$70</definedName>
    <definedName name="PL_AG_H1_15">Model!$CQ$70</definedName>
    <definedName name="PL_AG_H1_16">Model!$CT$70</definedName>
    <definedName name="PL_AG_H1_17">Model!$CW$70</definedName>
    <definedName name="PL_AG_H1_18">Model!$CZ$70</definedName>
    <definedName name="PL_AG_H1_19">Model!$DC$70</definedName>
    <definedName name="PL_AG_H1_20">Model!$DF$70</definedName>
    <definedName name="PL_AG_H2_00">Model!$AY$70</definedName>
    <definedName name="PL_AG_H2_01">Model!$BB$70</definedName>
    <definedName name="PL_AG_H2_02">Model!$BE$70</definedName>
    <definedName name="PL_AG_H2_03">Model!$BH$70</definedName>
    <definedName name="PL_AG_H2_04">Model!$BK$70</definedName>
    <definedName name="PL_AG_H2_05">Model!$BN$70</definedName>
    <definedName name="PL_AG_H2_06">Model!$BQ$70</definedName>
    <definedName name="PL_AG_H2_07">Model!$BT$70</definedName>
    <definedName name="PL_AG_H2_08">Model!$BW$70</definedName>
    <definedName name="PL_AG_H2_09">Model!$BZ$70</definedName>
    <definedName name="PL_AG_H2_10">Model!$CC$70</definedName>
    <definedName name="PL_AG_H2_11">Model!$CF$70</definedName>
    <definedName name="PL_AG_H2_12">Model!$CI$70</definedName>
    <definedName name="PL_AG_H2_13">Model!$CL$70</definedName>
    <definedName name="PL_AG_H2_14">Model!$CO$70</definedName>
    <definedName name="PL_AG_H2_15">Model!$CR$70</definedName>
    <definedName name="PL_AG_H2_16">Model!$CU$70</definedName>
    <definedName name="PL_AG_H2_17">Model!$CX$70</definedName>
    <definedName name="PL_AG_H2_18">Model!$DA$70</definedName>
    <definedName name="PL_AG_H2_19">Model!$DD$70</definedName>
    <definedName name="PL_AG_H2_20">Model!$DG$70</definedName>
    <definedName name="PL_Amort_Brand_00">Model!$AZ$63</definedName>
    <definedName name="PL_Amort_Brand_01">Model!$BC$63</definedName>
    <definedName name="PL_Amort_Brand_02">Model!$BF$63</definedName>
    <definedName name="PL_Amort_Brand_03">Model!$BI$63</definedName>
    <definedName name="PL_Amort_Brand_04">Model!$BL$63</definedName>
    <definedName name="PL_Amort_Brand_05">Model!$BO$63</definedName>
    <definedName name="PL_Amort_Brand_06">Model!$BR$63</definedName>
    <definedName name="PL_Amort_Brand_07">Model!$BU$63</definedName>
    <definedName name="PL_Amort_Brand_08">Model!$BX$63</definedName>
    <definedName name="PL_Amort_Brand_09">Model!$CA$63</definedName>
    <definedName name="PL_Amort_Brand_10">Model!$CD$63</definedName>
    <definedName name="PL_Amort_Brand_11">Model!$CG$63</definedName>
    <definedName name="PL_Amort_Brand_12">Model!$CJ$63</definedName>
    <definedName name="PL_Amort_Brand_13">Model!$CM$63</definedName>
    <definedName name="PL_Amort_Brand_14">Model!$CP$63</definedName>
    <definedName name="PL_Amort_Brand_15">Model!$CS$63</definedName>
    <definedName name="PL_Amort_Brand_16">Model!$CV$63</definedName>
    <definedName name="PL_Amort_Brand_17">Model!$CY$63</definedName>
    <definedName name="PL_Amort_Brand_18">Model!$DB$63</definedName>
    <definedName name="PL_Amort_Brand_19">Model!$DE$63</definedName>
    <definedName name="PL_Amort_Brand_20">Model!$DH$63</definedName>
    <definedName name="PL_Amort_Brand_H1_00">Model!$AX$63</definedName>
    <definedName name="PL_Amort_Brand_H1_01">Model!$BA$63</definedName>
    <definedName name="PL_Amort_Brand_H1_02">Model!$BD$63</definedName>
    <definedName name="PL_Amort_Brand_H1_03">Model!$BG$63</definedName>
    <definedName name="PL_Amort_Brand_H1_04">Model!$BJ$63</definedName>
    <definedName name="PL_Amort_Brand_H1_05">Model!$BM$63</definedName>
    <definedName name="PL_Amort_Brand_H1_06">Model!$BP$63</definedName>
    <definedName name="PL_Amort_Brand_H1_07">Model!$BS$63</definedName>
    <definedName name="PL_Amort_Brand_H1_08">Model!$BV$63</definedName>
    <definedName name="PL_Amort_Brand_H1_09">Model!$BY$63</definedName>
    <definedName name="PL_Amort_Brand_H1_10">Model!$CB$63</definedName>
    <definedName name="PL_Amort_Brand_H1_12">Model!$CH$63</definedName>
    <definedName name="PL_Amort_Brand_H1_13">Model!$CK$63</definedName>
    <definedName name="PL_Amort_Brand_H1_14">Model!$CN$63</definedName>
    <definedName name="PL_Amort_Brand_H1_15">Model!$CQ$63</definedName>
    <definedName name="PL_Amort_Brand_H1_16">Model!$CT$63</definedName>
    <definedName name="PL_Amort_Brand_H1_17">Model!$CW$63</definedName>
    <definedName name="PL_Amort_Brand_H1_18">Model!$CZ$63</definedName>
    <definedName name="PL_Amort_Brand_H1_19">Model!$DC$63</definedName>
    <definedName name="PL_Amort_Brand_H2_00">Model!$AY$63</definedName>
    <definedName name="PL_Amort_Brand_H2_01">Model!$BB$63</definedName>
    <definedName name="PL_Amort_Brand_H2_02">Model!$BE$63</definedName>
    <definedName name="PL_Amort_Brand_H2_03">Model!$BH$63</definedName>
    <definedName name="PL_Amort_Brand_H2_04">Model!$BK$63</definedName>
    <definedName name="PL_Amort_Brand_H2_05">Model!$BN$63</definedName>
    <definedName name="PL_Amort_Brand_H2_06">Model!$BQ$63</definedName>
    <definedName name="PL_Amort_Brand_H2_08">Model!$BW$63</definedName>
    <definedName name="PL_Amort_Brand_H2_09">Model!$BZ$63</definedName>
    <definedName name="PL_Amort_Brand_H2_10">Model!$CC$63</definedName>
    <definedName name="PL_Amort_Brand_H2_11">Model!$CF$63</definedName>
    <definedName name="PL_Amort_Brand_H2_12">Model!$CI$63</definedName>
    <definedName name="PL_Amort_Brand_H2_13">Model!$CL$63</definedName>
    <definedName name="PL_Amort_Brand_H2_15">Model!$CR$63</definedName>
    <definedName name="PL_Amort_Brand_H2_16">Model!$CU$63</definedName>
    <definedName name="PL_Amort_Brand_H2_17">Model!$CX$63</definedName>
    <definedName name="PL_Amort_Brand_H2_18">Model!$DA$63</definedName>
    <definedName name="PL_Amort_Brand_H2_19">Model!$DD$63</definedName>
    <definedName name="PL_Amort_Other_00">Model!$AZ$64</definedName>
    <definedName name="PL_Amort_Other_01">Model!$BC$64</definedName>
    <definedName name="PL_Amort_Other_02">Model!$BF$64</definedName>
    <definedName name="PL_Amort_Other_03">Model!$BI$64</definedName>
    <definedName name="PL_Amort_Other_04">Model!$BL$64</definedName>
    <definedName name="PL_Amort_Other_06">Model!$BR$64</definedName>
    <definedName name="PL_Amort_Other_07">Model!$BU$64</definedName>
    <definedName name="PL_Amort_Other_08">Model!$BX$64</definedName>
    <definedName name="PL_Amort_Other_09">Model!$CA$64</definedName>
    <definedName name="PL_Amort_Other_10">Model!$CD$64</definedName>
    <definedName name="PL_Amort_Other_11">Model!$CG$64</definedName>
    <definedName name="PL_Amort_Other_13">Model!$CM$64</definedName>
    <definedName name="PL_Amort_Other_14">Model!$CP$64</definedName>
    <definedName name="PL_Amort_Other_15">Model!$CS$64</definedName>
    <definedName name="PL_Amort_Other_16">Model!$CV$64</definedName>
    <definedName name="PL_Amort_Other_18">Model!$DB$64</definedName>
    <definedName name="PL_Amort_Other_19">Model!$DE$64</definedName>
    <definedName name="PL_Amort_Other_20">Model!$DH$64</definedName>
    <definedName name="PL_Amort_Other_H1_01">Model!$BA$64</definedName>
    <definedName name="PL_Amort_Other_H1_02">Model!$BD$64</definedName>
    <definedName name="PL_Amort_Other_H1_03">Model!$BG$64</definedName>
    <definedName name="PL_Amort_Other_H1_04">Model!$BJ$64</definedName>
    <definedName name="PL_Amort_Other_H1_05">Model!$BM$64</definedName>
    <definedName name="PL_Amort_Other_H1_07">Model!$BS$64</definedName>
    <definedName name="PL_Amort_Other_H1_08">Model!$BV$64</definedName>
    <definedName name="PL_Amort_Other_H1_09">Model!$BY$64</definedName>
    <definedName name="PL_Amort_Other_H1_10">Model!$CB$64</definedName>
    <definedName name="PL_Amort_Other_H1_11">Model!$CE$64</definedName>
    <definedName name="PL_Amort_Other_H1_12">Model!$CH$64</definedName>
    <definedName name="PL_Amort_Other_H1_14">Model!$CN$64</definedName>
    <definedName name="PL_Amort_Other_H1_15">Model!$CQ$64</definedName>
    <definedName name="PL_Amort_Other_H1_16">Model!$CT$64</definedName>
    <definedName name="PL_Amort_Other_H1_17">Model!$CW$64</definedName>
    <definedName name="PL_Amort_Other_H1_18">Model!$CZ$64</definedName>
    <definedName name="PL_Amort_Other_H1_19">Model!$DC$64</definedName>
    <definedName name="PL_Amort_Other_H1_20">Model!$DF$64</definedName>
    <definedName name="PL_Amort_Other_H2_01">Model!$BB$64</definedName>
    <definedName name="PL_Amort_Other_H2_02">Model!$BE$64</definedName>
    <definedName name="PL_Amort_Other_H2_03">Model!$BH$64</definedName>
    <definedName name="PL_Amort_Other_H2_04">Model!$BK$64</definedName>
    <definedName name="PL_Amort_Other_H2_05">Model!$BN$64</definedName>
    <definedName name="PL_Amort_Other_H2_06">Model!$BQ$64</definedName>
    <definedName name="PL_Amort_Other_H2_07">Model!$BT$64</definedName>
    <definedName name="PL_Amort_Other_H2_08">Model!$BW$64</definedName>
    <definedName name="PL_Amort_Other_H2_09">Model!$BZ$64</definedName>
    <definedName name="PL_Amort_Other_H2_10">Model!$CC$64</definedName>
    <definedName name="PL_Amort_Other_H2_11">Model!$CF$64</definedName>
    <definedName name="PL_Amort_Other_H2_12">Model!$CI$64</definedName>
    <definedName name="PL_Amort_Other_H2_13">Model!$CL$64</definedName>
    <definedName name="PL_Amort_Other_H2_14">Model!$CO$64</definedName>
    <definedName name="PL_Amort_Other_H2_15">Model!$CR$64</definedName>
    <definedName name="PL_Amort_Other_H2_16">Model!$CU$64</definedName>
    <definedName name="PL_Amort_Other_H2_17">Model!$CX$64</definedName>
    <definedName name="PL_Amort_Other_H2_18">Model!$DA$64</definedName>
    <definedName name="PL_Amort_Other_H2_19">Model!$DD$64</definedName>
    <definedName name="PL_Amort_Other_H2_20">Model!$DG$64</definedName>
    <definedName name="PL_DA_00">Model!$AZ$456</definedName>
    <definedName name="PL_DA_01">Model!$BC$456</definedName>
    <definedName name="PL_DA_02">Model!$BF$456</definedName>
    <definedName name="PL_DA_03">Model!$BI$456</definedName>
    <definedName name="PL_DA_04">Model!$BL$456</definedName>
    <definedName name="PL_DA_05">Model!$BO$456</definedName>
    <definedName name="PL_DA_06">Model!$BR$456</definedName>
    <definedName name="PL_DA_07">Model!$BU$456</definedName>
    <definedName name="PL_DA_08">Model!$BX$456</definedName>
    <definedName name="PL_DA_09">Model!$CA$456</definedName>
    <definedName name="PL_DA_10">Model!$CD$456</definedName>
    <definedName name="PL_DA_11">Model!$CG$456</definedName>
    <definedName name="PL_DA_12">Model!$CJ$456</definedName>
    <definedName name="PL_DA_13">Model!$CM$456</definedName>
    <definedName name="PL_DA_14">Model!$CP$456</definedName>
    <definedName name="PL_DA_15">Model!$CS$456</definedName>
    <definedName name="PL_DA_16">Model!$CV$456</definedName>
    <definedName name="PL_DA_17">Model!$CY$456</definedName>
    <definedName name="PL_DA_18">Model!$DB$456</definedName>
    <definedName name="PL_DA_19">Model!$DE$456</definedName>
    <definedName name="PL_DA_20">Model!$DH$456</definedName>
    <definedName name="PL_DA_H1_00">Model!$AX$456</definedName>
    <definedName name="PL_DA_H1_01">Model!$BA$456</definedName>
    <definedName name="PL_DA_H1_02">Model!$BD$456</definedName>
    <definedName name="PL_DA_H1_03">Model!$BG$456</definedName>
    <definedName name="PL_DA_H1_04">Model!$BJ$456</definedName>
    <definedName name="PL_DA_H1_05">Model!$BM$456</definedName>
    <definedName name="PL_DA_H1_06">Model!$BP$456</definedName>
    <definedName name="PL_DA_H1_07">Model!$BS$456</definedName>
    <definedName name="PL_DA_H1_08">Model!$BV$456</definedName>
    <definedName name="PL_DA_H1_09">Model!$BY$456</definedName>
    <definedName name="PL_DA_H1_10">Model!$CB$456</definedName>
    <definedName name="PL_DA_H1_11">Model!$CE$456</definedName>
    <definedName name="PL_DA_H1_12">Model!$CH$456</definedName>
    <definedName name="PL_DA_H1_13">Model!$CK$456</definedName>
    <definedName name="PL_DA_H1_14">Model!$CN$456</definedName>
    <definedName name="PL_DA_H1_15">Model!$CQ$456</definedName>
    <definedName name="PL_DA_H1_16">Model!$CT$456</definedName>
    <definedName name="PL_DA_H1_17">Model!$CW$456</definedName>
    <definedName name="PL_DA_H1_18">Model!$CZ$456</definedName>
    <definedName name="PL_DA_H1_19">Model!$DC$456</definedName>
    <definedName name="PL_DA_H1_20">Model!$DF$456</definedName>
    <definedName name="PL_DA_H2_00">Model!$AY$456</definedName>
    <definedName name="PL_DA_H2_01">Model!$BB$456</definedName>
    <definedName name="PL_DA_H2_02">Model!$BE$456</definedName>
    <definedName name="PL_DA_H2_03">Model!$BH$456</definedName>
    <definedName name="PL_DA_H2_04">Model!$BK$456</definedName>
    <definedName name="PL_DA_H2_05">Model!$BN$456</definedName>
    <definedName name="PL_DA_H2_06">Model!$BQ$456</definedName>
    <definedName name="PL_DA_H2_07">Model!$BT$456</definedName>
    <definedName name="PL_DA_H2_08">Model!$BW$456</definedName>
    <definedName name="PL_DA_H2_09">Model!$BZ$456</definedName>
    <definedName name="PL_DA_H2_10">Model!$CC$456</definedName>
    <definedName name="PL_DA_H2_11">Model!$CF$456</definedName>
    <definedName name="PL_DA_H2_12">Model!$CI$456</definedName>
    <definedName name="PL_DA_H2_13">Model!$CL$456</definedName>
    <definedName name="PL_DA_H2_14">Model!$CO$456</definedName>
    <definedName name="PL_DA_H2_15">Model!$CR$456</definedName>
    <definedName name="PL_DA_H2_16">Model!$CU$456</definedName>
    <definedName name="PL_DA_H2_17">Model!$CX$456</definedName>
    <definedName name="PL_DA_H2_18">Model!$DA$456</definedName>
    <definedName name="PL_DA_H2_19">Model!$DD$456</definedName>
    <definedName name="PL_DA_H2_20">Model!$DG$456</definedName>
    <definedName name="PL_DEPN_00">Model!$AZ$57</definedName>
    <definedName name="PL_DEPN_01">Model!$BC$57</definedName>
    <definedName name="PL_DEPN_02">Model!$BF$57</definedName>
    <definedName name="PL_DEPN_03">Model!$BI$57</definedName>
    <definedName name="PL_DEPN_04">Model!$BL$57</definedName>
    <definedName name="PL_DEPN_05">Model!$BO$57</definedName>
    <definedName name="PL_DEPN_06">Model!$BR$57</definedName>
    <definedName name="PL_DEPN_07">Model!$BU$57</definedName>
    <definedName name="PL_DEPN_08">Model!$BX$57</definedName>
    <definedName name="PL_DEPN_09">Model!$CA$57</definedName>
    <definedName name="PL_DEPN_10">Model!$CD$57</definedName>
    <definedName name="PL_DEPN_11">Model!$CG$57</definedName>
    <definedName name="PL_DEPN_12">Model!$CJ$57</definedName>
    <definedName name="PL_DEPN_13">Model!$CM$57</definedName>
    <definedName name="PL_DEPN_14">Model!$CP$57</definedName>
    <definedName name="PL_DEPN_15">Model!$CS$57</definedName>
    <definedName name="PL_DEPN_16">Model!$CV$57</definedName>
    <definedName name="PL_DEPN_17">Model!$CY$57</definedName>
    <definedName name="PL_DEPN_18">Model!$DB$57</definedName>
    <definedName name="PL_DEPN_19">Model!$DE$57</definedName>
    <definedName name="PL_DEPN_20">Model!$DH$57</definedName>
    <definedName name="PL_DEPN_H1_00">Model!$AX$57</definedName>
    <definedName name="PL_DEPN_H1_01">Model!$BA$57</definedName>
    <definedName name="PL_DEPN_H1_02">Model!$BD$57</definedName>
    <definedName name="PL_DEPN_H1_03">Model!$BG$57</definedName>
    <definedName name="PL_DEPN_H1_04">Model!$BJ$57</definedName>
    <definedName name="PL_DEPN_H1_05">Model!$BM$57</definedName>
    <definedName name="PL_DEPN_H1_06">Model!$BP$57</definedName>
    <definedName name="PL_DEPN_H1_07">Model!$BS$57</definedName>
    <definedName name="PL_DEPN_H1_08">Model!$BV$57</definedName>
    <definedName name="PL_DEPN_H1_09">Model!$BY$57</definedName>
    <definedName name="PL_DEPN_H1_10">Model!$CB$57</definedName>
    <definedName name="PL_DEPN_H1_11">Model!$CE$57</definedName>
    <definedName name="PL_DEPN_H1_12">Model!$CH$57</definedName>
    <definedName name="PL_DEPN_H1_13">Model!$CK$57</definedName>
    <definedName name="PL_DEPN_H1_14">Model!$CN$57</definedName>
    <definedName name="PL_DEPN_H1_15">Model!$CQ$57</definedName>
    <definedName name="PL_DEPN_H1_16">Model!$CT$57</definedName>
    <definedName name="PL_DEPN_H1_17">Model!$CW$57</definedName>
    <definedName name="PL_DEPN_H1_18">Model!$CZ$57</definedName>
    <definedName name="PL_DEPN_H1_19">Model!$DC$57</definedName>
    <definedName name="PL_DEPN_H1_20">Model!$DF$57</definedName>
    <definedName name="PL_DEPN_H2_00">Model!$AY$57</definedName>
    <definedName name="PL_DEPN_H2_01">Model!$BB$57</definedName>
    <definedName name="PL_DEPN_H2_02">Model!$BE$57</definedName>
    <definedName name="PL_DEPN_H2_03">Model!$BH$57</definedName>
    <definedName name="PL_DEPN_H2_04">Model!$BK$57</definedName>
    <definedName name="PL_DEPN_H2_05">Model!$BN$57</definedName>
    <definedName name="PL_DEPN_H2_06">Model!$BQ$57</definedName>
    <definedName name="PL_DEPN_H2_07">Model!$BT$57</definedName>
    <definedName name="PL_DEPN_H2_08">Model!$BW$57</definedName>
    <definedName name="PL_DEPN_H2_09">Model!$BZ$57</definedName>
    <definedName name="PL_DEPN_H2_10">Model!$CC$57</definedName>
    <definedName name="PL_DEPN_H2_11">Model!$CF$57</definedName>
    <definedName name="PL_DEPN_H2_12">Model!$CI$57</definedName>
    <definedName name="PL_DEPN_H2_13">Model!$CL$57</definedName>
    <definedName name="PL_DEPN_H2_14">Model!$CO$57</definedName>
    <definedName name="PL_DEPN_H2_15">Model!$CR$57</definedName>
    <definedName name="PL_DEPN_H2_16">Model!$CU$57</definedName>
    <definedName name="PL_DEPN_H2_17">Model!$CX$57</definedName>
    <definedName name="PL_DEPN_H2_18">Model!$DA$57</definedName>
    <definedName name="PL_DEPN_H2_19">Model!$DD$57</definedName>
    <definedName name="PL_DEPN_H2_20">Model!$DG$57</definedName>
    <definedName name="PL_Div_Assoc_00">Model!$AZ$36</definedName>
    <definedName name="PL_Div_Assoc_01">Model!$BC$36</definedName>
    <definedName name="PL_Div_Assoc_02">Model!$BF$36</definedName>
    <definedName name="PL_Div_Assoc_03">Model!$BI$36</definedName>
    <definedName name="PL_Div_Assoc_04">Model!$BL$36</definedName>
    <definedName name="PL_Div_Assoc_05">Model!$BO$36</definedName>
    <definedName name="PL_Div_Assoc_06">Model!$BR$36</definedName>
    <definedName name="PL_Div_Assoc_07">Model!$BU$36</definedName>
    <definedName name="PL_Div_Assoc_08">Model!$BX$36</definedName>
    <definedName name="PL_Div_Assoc_09">Model!$CA$36</definedName>
    <definedName name="PL_Div_Assoc_10">Model!$CD$36</definedName>
    <definedName name="PL_Div_Assoc_11">Model!$CG$36</definedName>
    <definedName name="PL_Div_Assoc_12">Model!$CJ$36</definedName>
    <definedName name="PL_Div_Assoc_13">Model!$CM$36</definedName>
    <definedName name="PL_Div_Assoc_14">Model!$CP$36</definedName>
    <definedName name="PL_Div_Assoc_15">Model!$CS$36</definedName>
    <definedName name="PL_Div_Assoc_16">Model!$CV$36</definedName>
    <definedName name="PL_Div_Assoc_17">Model!$CY$36</definedName>
    <definedName name="PL_Div_Assoc_18">Model!$DB$36</definedName>
    <definedName name="PL_Div_Assoc_19">Model!$DE$36</definedName>
    <definedName name="PL_Div_Assoc_20">Model!$DH$36</definedName>
    <definedName name="PL_Div_Assoc_H1_00">Model!$AX$36</definedName>
    <definedName name="PL_Div_Assoc_H1_01">Model!$BA$36</definedName>
    <definedName name="PL_Div_Assoc_H1_02">Model!$BD$36</definedName>
    <definedName name="PL_Div_Assoc_H1_03">Model!$BG$36</definedName>
    <definedName name="PL_Div_Assoc_H1_04">Model!$BJ$36</definedName>
    <definedName name="PL_Div_Assoc_H1_05">Model!$BM$36</definedName>
    <definedName name="PL_Div_Assoc_H1_06">Model!$BP$36</definedName>
    <definedName name="PL_Div_Assoc_H1_07">Model!$BS$36</definedName>
    <definedName name="PL_Div_Assoc_H1_08">Model!$BV$36</definedName>
    <definedName name="PL_Div_Assoc_H1_09">Model!$BY$36</definedName>
    <definedName name="PL_Div_Assoc_H1_10">Model!$CB$36</definedName>
    <definedName name="PL_Div_Assoc_H1_11">Model!$CE$36</definedName>
    <definedName name="PL_Div_Assoc_H1_12">Model!$CH$36</definedName>
    <definedName name="PL_Div_Assoc_H1_13">Model!$CK$36</definedName>
    <definedName name="PL_Div_Assoc_H1_14">Model!$CN$36</definedName>
    <definedName name="PL_Div_Assoc_H1_15">Model!$CQ$36</definedName>
    <definedName name="PL_Div_Assoc_H1_16">Model!$CT$36</definedName>
    <definedName name="PL_Div_Assoc_H1_17">Model!$CW$36</definedName>
    <definedName name="PL_Div_Assoc_H1_18">Model!$CZ$36</definedName>
    <definedName name="PL_Div_Assoc_H1_19">Model!$DC$36</definedName>
    <definedName name="PL_Div_Assoc_H1_20">Model!$DF$36</definedName>
    <definedName name="PL_Div_Assoc_H2_00">Model!$AY$36</definedName>
    <definedName name="PL_Div_Assoc_H2_01">Model!$BB$36</definedName>
    <definedName name="PL_Div_Assoc_H2_02">Model!$BE$36</definedName>
    <definedName name="PL_Div_Assoc_H2_03">Model!$BH$36</definedName>
    <definedName name="PL_Div_Assoc_H2_04">Model!$BK$36</definedName>
    <definedName name="PL_Div_Assoc_H2_05">Model!$BN$36</definedName>
    <definedName name="PL_Div_Assoc_H2_06">Model!$BQ$36</definedName>
    <definedName name="PL_Div_Assoc_H2_07">Model!$BT$36</definedName>
    <definedName name="PL_Div_Assoc_H2_08">Model!$BW$36</definedName>
    <definedName name="PL_Div_Assoc_H2_09">Model!$BZ$36</definedName>
    <definedName name="PL_Div_Assoc_H2_10">Model!$CC$36</definedName>
    <definedName name="PL_Div_Assoc_H2_11">Model!$CF$36</definedName>
    <definedName name="PL_Div_Assoc_H2_12">Model!$CI$36</definedName>
    <definedName name="PL_Div_Assoc_H2_13">Model!$CL$36</definedName>
    <definedName name="PL_Div_Assoc_H2_14">Model!$CO$36</definedName>
    <definedName name="PL_Div_Assoc_H2_15">Model!$CR$36</definedName>
    <definedName name="PL_Div_Assoc_H2_16">Model!$CU$36</definedName>
    <definedName name="PL_Div_Assoc_H2_17">Model!$CX$36</definedName>
    <definedName name="PL_Div_Assoc_H2_18">Model!$DA$36</definedName>
    <definedName name="PL_Div_Assoc_H2_19">Model!$DD$36</definedName>
    <definedName name="PL_Div_Assoc_H2_20">Model!$DG$36</definedName>
    <definedName name="PL_Div_Other_00">Model!$AZ$37</definedName>
    <definedName name="PL_Div_Other_01">Model!$BC$37</definedName>
    <definedName name="PL_Div_Other_02">Model!$BF$37</definedName>
    <definedName name="PL_Div_Other_03">Model!$BI$37</definedName>
    <definedName name="PL_Div_Other_04">Model!$BL$37</definedName>
    <definedName name="PL_Div_Other_05">Model!$BO$37</definedName>
    <definedName name="PL_Div_Other_06">Model!$BR$37</definedName>
    <definedName name="PL_Div_Other_07">Model!$BU$37</definedName>
    <definedName name="PL_Div_Other_08">Model!$BX$37</definedName>
    <definedName name="PL_Div_Other_09">Model!$CA$37</definedName>
    <definedName name="PL_Div_Other_10">Model!$CD$37</definedName>
    <definedName name="PL_Div_Other_11">Model!$CG$37</definedName>
    <definedName name="PL_Div_Other_12">Model!$CJ$37</definedName>
    <definedName name="PL_Div_Other_13">Model!$CM$37</definedName>
    <definedName name="PL_Div_Other_14">Model!$CP$37</definedName>
    <definedName name="PL_Div_Other_15">Model!$CS$37</definedName>
    <definedName name="PL_Div_Other_16">Model!$CV$37</definedName>
    <definedName name="PL_Div_Other_17">Model!$CY$37</definedName>
    <definedName name="PL_Div_Other_18">Model!$DB$37</definedName>
    <definedName name="PL_Div_Other_19">Model!$DE$37</definedName>
    <definedName name="PL_Div_Other_20">Model!$DH$37</definedName>
    <definedName name="PL_Div_Other_H1_00">Model!$AX$37</definedName>
    <definedName name="PL_Div_Other_H1_01">Model!$BA$37</definedName>
    <definedName name="PL_Div_Other_H1_02">Model!$BD$37</definedName>
    <definedName name="PL_Div_Other_H1_03">Model!$BG$37</definedName>
    <definedName name="PL_Div_Other_H1_04">Model!$BJ$37</definedName>
    <definedName name="PL_Div_Other_H1_05">Model!$BM$37</definedName>
    <definedName name="PL_Div_Other_H1_06">Model!$BP$37</definedName>
    <definedName name="PL_Div_Other_H1_07">Model!$BS$37</definedName>
    <definedName name="PL_Div_Other_H1_08">Model!$BV$37</definedName>
    <definedName name="PL_Div_Other_H1_09">Model!$BY$37</definedName>
    <definedName name="PL_Div_Other_H1_10">Model!$CB$37</definedName>
    <definedName name="PL_Div_Other_H1_11">Model!$CE$37</definedName>
    <definedName name="PL_Div_Other_H1_12">Model!$CH$37</definedName>
    <definedName name="PL_Div_Other_H1_13">Model!$CK$37</definedName>
    <definedName name="PL_Div_Other_H1_14">Model!$CN$37</definedName>
    <definedName name="PL_Div_Other_H1_15">Model!$CQ$37</definedName>
    <definedName name="PL_Div_Other_H1_16">Model!$CT$37</definedName>
    <definedName name="PL_Div_Other_H1_17">Model!$CW$37</definedName>
    <definedName name="PL_Div_Other_H1_18">Model!$CZ$37</definedName>
    <definedName name="PL_Div_Other_H1_19">Model!$DC$37</definedName>
    <definedName name="PL_Div_Other_H1_20">Model!$DF$37</definedName>
    <definedName name="PL_Div_Other_H2_00">Model!$AY$37</definedName>
    <definedName name="PL_Div_Other_H2_01">Model!$BB$37</definedName>
    <definedName name="PL_Div_Other_H2_02">Model!$BE$37</definedName>
    <definedName name="PL_Div_Other_H2_03">Model!$BH$37</definedName>
    <definedName name="PL_Div_Other_H2_04">Model!$BK$37</definedName>
    <definedName name="PL_Div_Other_H2_05">Model!$BN$37</definedName>
    <definedName name="PL_Div_Other_H2_06">Model!$BQ$37</definedName>
    <definedName name="PL_Div_Other_H2_07">Model!$BT$37</definedName>
    <definedName name="PL_Div_Other_H2_08">Model!$BW$37</definedName>
    <definedName name="PL_Div_Other_H2_09">Model!$BZ$37</definedName>
    <definedName name="PL_Div_Other_H2_10">Model!$CC$37</definedName>
    <definedName name="PL_Div_Other_H2_11">Model!$CF$37</definedName>
    <definedName name="PL_Div_Other_H2_12">Model!$CI$37</definedName>
    <definedName name="PL_Div_Other_H2_13">Model!$CL$37</definedName>
    <definedName name="PL_Div_Other_H2_14">Model!$CO$37</definedName>
    <definedName name="PL_Div_Other_H2_15">Model!$CR$37</definedName>
    <definedName name="PL_Div_Other_H2_16">Model!$CU$37</definedName>
    <definedName name="PL_Div_Other_H2_17">Model!$CX$37</definedName>
    <definedName name="PL_Div_Other_H2_18">Model!$DA$37</definedName>
    <definedName name="PL_Div_Other_H2_19">Model!$DD$37</definedName>
    <definedName name="PL_Div_Other_H2_20">Model!$DG$37</definedName>
    <definedName name="PL_Equit_assoc_03">Model!$BI$82</definedName>
    <definedName name="PL_Equit_assoc_07">Model!$BU$82</definedName>
    <definedName name="PL_Equit_assoc_09">Model!$CA$82</definedName>
    <definedName name="PL_Equit_assoc_10">Model!$CD$82</definedName>
    <definedName name="PL_Equit_assoc_11">Model!$CG$82</definedName>
    <definedName name="PL_Equit_assoc_12">Model!$CJ$82</definedName>
    <definedName name="PL_Equit_assoc_13">Model!$CM$82</definedName>
    <definedName name="PL_Equit_assoc_14">Model!$CP$82</definedName>
    <definedName name="PL_Equit_assoc_15">Model!$CS$82</definedName>
    <definedName name="PL_Equit_assoc_16">Model!$CV$82</definedName>
    <definedName name="PL_Equit_assoc_17">Model!$CY$82</definedName>
    <definedName name="PL_Equit_assoc_18">Model!$DB$82</definedName>
    <definedName name="PL_Equit_assoc_19">Model!$DE$82</definedName>
    <definedName name="PL_Equit_assoc_20">Model!$DH$500</definedName>
    <definedName name="PL_Equit_assoc_95">Model!$AK$82</definedName>
    <definedName name="PL_Equit_assoc_96">Model!$AN$82</definedName>
    <definedName name="PL_Equit_assoc_97">Model!$AQ$82</definedName>
    <definedName name="PL_Equit_assoc_98">Model!$AT$82</definedName>
    <definedName name="PL_Equit_assoc_99">Model!$AW$82</definedName>
    <definedName name="PL_Equit_assoc_H1_00">Model!$AX$500</definedName>
    <definedName name="PL_Equit_assoc_H1_01">Model!$BA$500</definedName>
    <definedName name="PL_Equit_assoc_H1_02">Model!$BD$500</definedName>
    <definedName name="PL_Equit_assoc_H1_03">Model!$BG$500</definedName>
    <definedName name="PL_Equit_assoc_H1_04">Model!$BJ$500</definedName>
    <definedName name="PL_Equit_assoc_H1_05">Model!$BM$500</definedName>
    <definedName name="PL_Equit_assoc_H1_06">Model!$BP$500</definedName>
    <definedName name="PL_Equit_assoc_H1_07">Model!$BS$500</definedName>
    <definedName name="PL_Equit_assoc_H1_08">Model!$BV$500</definedName>
    <definedName name="PL_Equit_assoc_H1_09">Model!$BY$500</definedName>
    <definedName name="PL_Equit_assoc_H1_10">Model!$CB$500</definedName>
    <definedName name="PL_Equit_assoc_H1_11">Model!$CE$500</definedName>
    <definedName name="PL_Equit_assoc_H1_12">Model!$CH$500</definedName>
    <definedName name="PL_Equit_assoc_H1_13">Model!$CK$500</definedName>
    <definedName name="PL_Equit_assoc_H1_14">Model!$CN$500</definedName>
    <definedName name="PL_Equit_assoc_H1_15">Model!$CQ$500</definedName>
    <definedName name="PL_Equit_assoc_H1_16">Model!$CT$500</definedName>
    <definedName name="PL_Equit_assoc_H1_17">Model!$CW$500</definedName>
    <definedName name="PL_Equit_assoc_H1_18">Model!$CZ$500</definedName>
    <definedName name="PL_Equit_assoc_H1_19">Model!$DC$500</definedName>
    <definedName name="PL_Equit_assoc_H1_20">Model!$DF$500</definedName>
    <definedName name="PL_Equit_assoc_H2_00">Model!$AY$500</definedName>
    <definedName name="PL_Equit_assoc_H2_01">Model!$BB$500</definedName>
    <definedName name="PL_Equit_assoc_H2_02">Model!$BE$500</definedName>
    <definedName name="PL_Equit_assoc_H2_03">Model!$BH$500</definedName>
    <definedName name="PL_Equit_assoc_H2_04">Model!$BK$500</definedName>
    <definedName name="PL_Equit_assoc_H2_05">Model!$BN$500</definedName>
    <definedName name="PL_Equit_assoc_H2_06">Model!$BQ$500</definedName>
    <definedName name="PL_Equit_assoc_H2_07">Model!$BT$500</definedName>
    <definedName name="PL_Equit_assoc_H2_08">Model!$BW$500</definedName>
    <definedName name="PL_Equit_assoc_H2_09">Model!$BZ$500</definedName>
    <definedName name="PL_Equit_assoc_H2_10">Model!$CC$500</definedName>
    <definedName name="PL_Equit_assoc_H2_11">Model!$CF$500</definedName>
    <definedName name="PL_Equit_assoc_H2_12">Model!$CI$500</definedName>
    <definedName name="PL_Equit_assoc_H2_13">Model!$CL$500</definedName>
    <definedName name="PL_Equit_assoc_H2_14">Model!$CO$500</definedName>
    <definedName name="PL_Equit_assoc_H2_15">Model!$CR$500</definedName>
    <definedName name="PL_Equit_assoc_H2_16">Model!$CU$500</definedName>
    <definedName name="PL_Equit_assoc_H2_17">Model!$CX$500</definedName>
    <definedName name="PL_Equit_assoc_H2_18">Model!$DA$500</definedName>
    <definedName name="PL_Equit_assoc_H2_19">Model!$DD$500</definedName>
    <definedName name="PL_Equit_assoc_H2_20">Model!$DG$500</definedName>
    <definedName name="PL_Explor_00">Model!$AZ$49</definedName>
    <definedName name="PL_Explor_01">Model!$BC$49</definedName>
    <definedName name="PL_Explor_02">Model!$BF$49</definedName>
    <definedName name="PL_Explor_03">Model!$BI$49</definedName>
    <definedName name="PL_Explor_04">Model!$BL$49</definedName>
    <definedName name="PL_Explor_05">Model!$BO$49</definedName>
    <definedName name="PL_Explor_06">Model!$BR$49</definedName>
    <definedName name="PL_Explor_07">Model!$BU$49</definedName>
    <definedName name="PL_Explor_08">Model!$BX$49</definedName>
    <definedName name="PL_Explor_09">Model!$CA$49</definedName>
    <definedName name="PL_Explor_10">Model!$CD$49</definedName>
    <definedName name="PL_Explor_11">Model!$CG$49</definedName>
    <definedName name="PL_Explor_12">Model!$CJ$49</definedName>
    <definedName name="PL_Explor_13">Model!$CM$49</definedName>
    <definedName name="PL_Explor_14">Model!$CP$49</definedName>
    <definedName name="PL_Explor_15">Model!$CS$49</definedName>
    <definedName name="PL_Explor_16">Model!$CV$49</definedName>
    <definedName name="PL_Explor_17">Model!$CY$49</definedName>
    <definedName name="PL_Explor_18">Model!$DB$49</definedName>
    <definedName name="PL_Explor_19">Model!$DE$49</definedName>
    <definedName name="PL_Explor_20">Model!$DH$49</definedName>
    <definedName name="PL_Explor_H1_00">Model!$AX$49</definedName>
    <definedName name="PL_Explor_H1_01">Model!$BA$49</definedName>
    <definedName name="PL_Explor_H1_02">Model!$BD$49</definedName>
    <definedName name="PL_Explor_H1_03">Model!$BG$49</definedName>
    <definedName name="PL_Explor_H1_04">Model!$BJ$49</definedName>
    <definedName name="PL_Explor_H1_05">Model!$BM$49</definedName>
    <definedName name="PL_Explor_H1_06">Model!$BP$49</definedName>
    <definedName name="PL_Explor_H1_07">Model!$BS$49</definedName>
    <definedName name="PL_Explor_H1_08">Model!$BV$49</definedName>
    <definedName name="PL_Explor_H1_09">Model!$BY$49</definedName>
    <definedName name="PL_Explor_H1_10">Model!$CB$49</definedName>
    <definedName name="PL_Explor_H1_11">Model!$CE$49</definedName>
    <definedName name="PL_Explor_H1_12">Model!$CH$49</definedName>
    <definedName name="PL_Explor_H1_13">Model!$CK$49</definedName>
    <definedName name="PL_Explor_H1_14">Model!$CN$49</definedName>
    <definedName name="PL_Explor_H1_15">Model!$CQ$49</definedName>
    <definedName name="PL_Explor_H1_16">Model!$CT$49</definedName>
    <definedName name="PL_Explor_H1_17">Model!$CW$49</definedName>
    <definedName name="PL_Explor_H1_18">Model!$CZ$49</definedName>
    <definedName name="PL_Explor_H1_19">Model!$DC$49</definedName>
    <definedName name="PL_Explor_H1_20">Model!$DF$49</definedName>
    <definedName name="PL_Explor_H2_00">Model!$AY$49</definedName>
    <definedName name="PL_Explor_H2_01">Model!$BB$49</definedName>
    <definedName name="PL_Explor_H2_02">Model!$BE$49</definedName>
    <definedName name="PL_Explor_H2_03">Model!$BH$49</definedName>
    <definedName name="PL_Explor_H2_04">Model!$BK$49</definedName>
    <definedName name="PL_Explor_H2_05">Model!$BN$49</definedName>
    <definedName name="PL_Explor_H2_06">Model!$BQ$49</definedName>
    <definedName name="PL_Explor_H2_07">Model!$BT$49</definedName>
    <definedName name="PL_Explor_H2_08">Model!$BW$49</definedName>
    <definedName name="PL_Explor_H2_09">Model!$BZ$49</definedName>
    <definedName name="PL_Explor_H2_10">Model!$CC$49</definedName>
    <definedName name="PL_Explor_H2_11">Model!$CF$49</definedName>
    <definedName name="PL_Explor_H2_12">Model!$CI$49</definedName>
    <definedName name="PL_Explor_H2_13">Model!$CL$49</definedName>
    <definedName name="PL_Explor_H2_14">Model!$CO$49</definedName>
    <definedName name="PL_Explor_H2_15">Model!$CR$49</definedName>
    <definedName name="PL_Explor_H2_16">Model!$CU$49</definedName>
    <definedName name="PL_Explor_H2_17">Model!$CX$49</definedName>
    <definedName name="PL_Explor_H2_18">Model!$DA$49</definedName>
    <definedName name="PL_Explor_H2_19">Model!$DD$49</definedName>
    <definedName name="PL_Explor_H2_20">Model!$DG$49</definedName>
    <definedName name="PL_Frank_00">Model!$AZ$352</definedName>
    <definedName name="PL_Frank_01">Model!$BC$352</definedName>
    <definedName name="PL_Frank_02">Model!$BF$352</definedName>
    <definedName name="PL_Frank_03">Model!$BI$352</definedName>
    <definedName name="PL_Frank_04">Model!$BL$352</definedName>
    <definedName name="PL_Frank_05">Model!$BO$352</definedName>
    <definedName name="PL_Frank_06">Model!$BR$352</definedName>
    <definedName name="PL_Frank_07">Model!$BU$352</definedName>
    <definedName name="PL_Frank_08">Model!$BX$352</definedName>
    <definedName name="PL_Frank_09">Model!$CA$352</definedName>
    <definedName name="PL_Frank_10">Model!$CD$352</definedName>
    <definedName name="PL_Frank_11">Model!$CG$352</definedName>
    <definedName name="PL_Frank_12">Model!$CJ$352</definedName>
    <definedName name="PL_Frank_13">Model!$CM$352</definedName>
    <definedName name="PL_Frank_14">Model!$CP$352</definedName>
    <definedName name="PL_Frank_15">Model!$CS$352</definedName>
    <definedName name="PL_Frank_16">Model!$CV$352</definedName>
    <definedName name="PL_Frank_17">Model!$CY$352</definedName>
    <definedName name="PL_Frank_18">Model!$DB$352</definedName>
    <definedName name="PL_Frank_19">Model!$DE$352</definedName>
    <definedName name="PL_Frank_20">Model!$DH$352</definedName>
    <definedName name="PL_Frank_H1_00">Model!$AX$352</definedName>
    <definedName name="PL_Frank_H1_01">Model!$BA$352</definedName>
    <definedName name="PL_Frank_H1_02">Model!$BD$352</definedName>
    <definedName name="PL_Frank_H1_03">Model!$BG$352</definedName>
    <definedName name="PL_Frank_H1_04">Model!$BJ$352</definedName>
    <definedName name="PL_Frank_H1_05">Model!$BM$352</definedName>
    <definedName name="PL_Frank_H1_06">Model!$BP$352</definedName>
    <definedName name="PL_Frank_H1_07">Model!$BS$352</definedName>
    <definedName name="PL_Frank_H1_08">Model!$BV$352</definedName>
    <definedName name="PL_Frank_H1_09">Model!$BY$352</definedName>
    <definedName name="PL_Frank_H1_10">Model!$CB$352</definedName>
    <definedName name="PL_Frank_H1_11">Model!$CE$352</definedName>
    <definedName name="PL_Frank_H1_12">Model!$CH$352</definedName>
    <definedName name="PL_Frank_H1_13">Model!$CK$352</definedName>
    <definedName name="PL_Frank_H1_14">Model!$CN$352</definedName>
    <definedName name="PL_Frank_H1_15">Model!$CQ$352</definedName>
    <definedName name="PL_Frank_H1_16">Model!$CT$352</definedName>
    <definedName name="PL_Frank_H1_17">Model!$CW$352</definedName>
    <definedName name="PL_Frank_H1_18">Model!$CZ$352</definedName>
    <definedName name="PL_Frank_H1_19">Model!$DC$352</definedName>
    <definedName name="PL_Frank_H1_20">Model!$DF$352</definedName>
    <definedName name="PL_Frank_H2_00">Model!$AY$352</definedName>
    <definedName name="PL_Frank_H2_01">Model!$BB$352</definedName>
    <definedName name="PL_Frank_H2_02">Model!$BE$352</definedName>
    <definedName name="PL_Frank_H2_03">Model!$BH$352</definedName>
    <definedName name="PL_Frank_H2_04">Model!$BK$352</definedName>
    <definedName name="PL_Frank_H2_05">Model!$BN$352</definedName>
    <definedName name="PL_Frank_H2_06">Model!$BQ$352</definedName>
    <definedName name="PL_Frank_H2_07">Model!$BT$352</definedName>
    <definedName name="PL_Frank_H2_08">Model!$BW$352</definedName>
    <definedName name="PL_Frank_H2_09">Model!$BZ$352</definedName>
    <definedName name="PL_Frank_H2_10">Model!$CC$352</definedName>
    <definedName name="PL_Frank_H2_11">Model!$CF$352</definedName>
    <definedName name="PL_Frank_H2_12">Model!$CI$352</definedName>
    <definedName name="PL_Frank_H2_13">Model!$CL$352</definedName>
    <definedName name="PL_Frank_H2_14">Model!$CO$352</definedName>
    <definedName name="PL_Frank_H2_15">Model!$CR$352</definedName>
    <definedName name="PL_Frank_H2_16">Model!$CU$352</definedName>
    <definedName name="PL_Frank_H2_17">Model!$CX$352</definedName>
    <definedName name="PL_Frank_H2_18">Model!$DA$352</definedName>
    <definedName name="PL_Frank_H2_19">Model!$DD$352</definedName>
    <definedName name="PL_Frank_H2_20">Model!$DG$352</definedName>
    <definedName name="PL_FX_00">Model!$AZ$38</definedName>
    <definedName name="PL_FX_01">Model!$BC$38</definedName>
    <definedName name="PL_FX_02">Model!$BF$38</definedName>
    <definedName name="PL_FX_03">Model!$BI$38</definedName>
    <definedName name="PL_FX_04">Model!$BL$38</definedName>
    <definedName name="PL_FX_05">Model!$BO$38</definedName>
    <definedName name="PL_FX_06">Model!$BR$38</definedName>
    <definedName name="PL_FX_07">Model!$BU$38</definedName>
    <definedName name="PL_FX_08">Model!$BX$38</definedName>
    <definedName name="PL_FX_09">Model!$CA$38</definedName>
    <definedName name="PL_FX_10">Model!$CD$38</definedName>
    <definedName name="PL_FX_11">Model!$CG$38</definedName>
    <definedName name="PL_FX_12">Model!$CJ$38</definedName>
    <definedName name="PL_FX_13">Model!$CM$38</definedName>
    <definedName name="PL_FX_14">Model!$CP$38</definedName>
    <definedName name="PL_FX_15">Model!$CS$38</definedName>
    <definedName name="PL_FX_16">Model!$CV$38</definedName>
    <definedName name="PL_FX_17">Model!$CY$38</definedName>
    <definedName name="PL_FX_18">Model!$DB$38</definedName>
    <definedName name="PL_FX_19">Model!$DE$38</definedName>
    <definedName name="PL_FX_20">Model!$DH$38</definedName>
    <definedName name="PL_FX_H1_00">Model!$AX$38</definedName>
    <definedName name="PL_FX_H1_01">Model!$BA$38</definedName>
    <definedName name="PL_FX_H1_02">Model!$BD$38</definedName>
    <definedName name="PL_FX_H1_03">Model!$BG$38</definedName>
    <definedName name="PL_FX_H1_04">Model!$BJ$38</definedName>
    <definedName name="PL_FX_H1_05">Model!$BM$38</definedName>
    <definedName name="PL_FX_H1_06">Model!$BP$38</definedName>
    <definedName name="PL_FX_H1_07">Model!$BS$38</definedName>
    <definedName name="PL_FX_H1_08">Model!$BV$38</definedName>
    <definedName name="PL_FX_H1_09">Model!$BY$38</definedName>
    <definedName name="PL_FX_H1_10">Model!$CB$38</definedName>
    <definedName name="PL_FX_H1_11">Model!$CE$38</definedName>
    <definedName name="PL_FX_H1_12">Model!$CH$38</definedName>
    <definedName name="PL_FX_H1_13">Model!$CK$38</definedName>
    <definedName name="PL_FX_H1_14">Model!$CN$38</definedName>
    <definedName name="PL_FX_H1_15">Model!$CQ$38</definedName>
    <definedName name="PL_FX_H1_16">Model!$CT$38</definedName>
    <definedName name="PL_FX_H1_17">Model!$CW$38</definedName>
    <definedName name="PL_FX_H1_18">Model!$CZ$38</definedName>
    <definedName name="PL_FX_H1_19">Model!$DC$38</definedName>
    <definedName name="PL_FX_H1_20">Model!$DF$38</definedName>
    <definedName name="PL_FX_H2_00">Model!$AY$38</definedName>
    <definedName name="PL_FX_H2_01">Model!$BB$38</definedName>
    <definedName name="PL_FX_H2_02">Model!$BE$38</definedName>
    <definedName name="PL_FX_H2_03">Model!$BH$38</definedName>
    <definedName name="PL_FX_H2_04">Model!$BK$38</definedName>
    <definedName name="PL_FX_H2_05">Model!$BN$38</definedName>
    <definedName name="PL_FX_H2_06">Model!$BQ$38</definedName>
    <definedName name="PL_FX_H2_07">Model!$BT$38</definedName>
    <definedName name="PL_FX_H2_08">Model!$BW$38</definedName>
    <definedName name="PL_FX_H2_09">Model!$BZ$38</definedName>
    <definedName name="PL_FX_H2_10">Model!$CC$38</definedName>
    <definedName name="PL_FX_H2_11">Model!$CF$38</definedName>
    <definedName name="PL_FX_H2_12">Model!$CI$38</definedName>
    <definedName name="PL_FX_H2_13">Model!$CL$38</definedName>
    <definedName name="PL_FX_H2_14">Model!$CO$38</definedName>
    <definedName name="PL_FX_H2_15">Model!$CR$38</definedName>
    <definedName name="PL_FX_H2_16">Model!$CU$38</definedName>
    <definedName name="PL_FX_H2_17">Model!$CX$38</definedName>
    <definedName name="PL_FX_H2_18">Model!$DA$38</definedName>
    <definedName name="PL_FX_H2_19">Model!$DD$38</definedName>
    <definedName name="PL_FX_H2_20">Model!$DG$38</definedName>
    <definedName name="PL_FX_Loss_00">Model!$AZ$47</definedName>
    <definedName name="PL_FX_Loss_01">Model!$BC$47</definedName>
    <definedName name="PL_FX_Loss_02">Model!$BF$47</definedName>
    <definedName name="PL_FX_Loss_03">Model!$BI$47</definedName>
    <definedName name="PL_FX_Loss_04">Model!$BL$47</definedName>
    <definedName name="PL_FX_Loss_05">Model!$BO$47</definedName>
    <definedName name="PL_FX_Loss_06">Model!$BR$47</definedName>
    <definedName name="PL_FX_Loss_07">Model!$BU$47</definedName>
    <definedName name="PL_FX_Loss_08">Model!$BX$47</definedName>
    <definedName name="PL_FX_Loss_09">Model!$CA$47</definedName>
    <definedName name="PL_FX_Loss_10">Model!$CD$47</definedName>
    <definedName name="PL_FX_Loss_11">Model!$CG$47</definedName>
    <definedName name="PL_FX_Loss_12">Model!$CJ$47</definedName>
    <definedName name="PL_FX_Loss_13">Model!$CM$47</definedName>
    <definedName name="PL_FX_Loss_14">Model!$CP$47</definedName>
    <definedName name="PL_FX_Loss_15">Model!$CS$47</definedName>
    <definedName name="PL_FX_Loss_16">Model!$CV$47</definedName>
    <definedName name="PL_FX_Loss_17">Model!$CY$47</definedName>
    <definedName name="PL_FX_Loss_18">Model!$DB$47</definedName>
    <definedName name="PL_FX_Loss_19">Model!$DE$47</definedName>
    <definedName name="PL_FX_Loss_20">Model!$DH$47</definedName>
    <definedName name="PL_FX_Loss_H1_00">Model!$AX$47</definedName>
    <definedName name="PL_FX_Loss_H1_01">Model!$BA$47</definedName>
    <definedName name="PL_FX_Loss_H1_02">Model!$BD$47</definedName>
    <definedName name="PL_FX_Loss_H1_03">Model!$BG$47</definedName>
    <definedName name="PL_FX_Loss_H1_04">Model!$BJ$47</definedName>
    <definedName name="PL_FX_Loss_H1_05">Model!$BM$47</definedName>
    <definedName name="PL_FX_Loss_H1_06">Model!$BP$47</definedName>
    <definedName name="PL_FX_Loss_H1_07">Model!$BS$47</definedName>
    <definedName name="PL_FX_Loss_H1_08">Model!$BV$47</definedName>
    <definedName name="PL_FX_Loss_H1_09">Model!$BY$47</definedName>
    <definedName name="PL_FX_Loss_H1_10">Model!$CB$47</definedName>
    <definedName name="PL_FX_Loss_H1_11">Model!$CE$47</definedName>
    <definedName name="PL_FX_Loss_H1_12">Model!$CH$47</definedName>
    <definedName name="PL_FX_Loss_H1_13">Model!$CK$47</definedName>
    <definedName name="PL_FX_Loss_H1_14">Model!$CN$47</definedName>
    <definedName name="PL_FX_Loss_H1_15">Model!$CQ$47</definedName>
    <definedName name="PL_FX_Loss_H1_16">Model!$CT$47</definedName>
    <definedName name="PL_FX_Loss_H1_17">Model!$CW$47</definedName>
    <definedName name="PL_FX_Loss_H1_18">Model!$CZ$47</definedName>
    <definedName name="PL_FX_Loss_H1_19">Model!$DC$47</definedName>
    <definedName name="PL_FX_Loss_H1_20">Model!$DF$47</definedName>
    <definedName name="PL_FX_Loss_H2_00">Model!$AY$47</definedName>
    <definedName name="PL_FX_Loss_H2_01">Model!$BB$47</definedName>
    <definedName name="PL_FX_Loss_H2_02">Model!$BE$47</definedName>
    <definedName name="PL_FX_Loss_H2_03">Model!$BH$47</definedName>
    <definedName name="PL_FX_Loss_H2_04">Model!$BK$47</definedName>
    <definedName name="PL_FX_Loss_H2_05">Model!$BN$47</definedName>
    <definedName name="PL_FX_Loss_H2_06">Model!$BQ$47</definedName>
    <definedName name="PL_FX_Loss_H2_07">Model!$BT$47</definedName>
    <definedName name="PL_FX_Loss_H2_08">Model!$BW$47</definedName>
    <definedName name="PL_FX_Loss_H2_09">Model!$BZ$47</definedName>
    <definedName name="PL_FX_Loss_H2_10">Model!$CC$47</definedName>
    <definedName name="PL_FX_Loss_H2_11">Model!$CF$47</definedName>
    <definedName name="PL_FX_Loss_H2_12">Model!$CI$47</definedName>
    <definedName name="PL_FX_Loss_H2_13">Model!$CL$47</definedName>
    <definedName name="PL_FX_Loss_H2_14">Model!$CO$47</definedName>
    <definedName name="PL_FX_Loss_H2_15">Model!$CR$47</definedName>
    <definedName name="PL_FX_Loss_H2_16">Model!$CU$47</definedName>
    <definedName name="PL_FX_Loss_H2_17">Model!$CX$47</definedName>
    <definedName name="PL_FX_Loss_H2_18">Model!$DA$47</definedName>
    <definedName name="PL_FX_Loss_H2_19">Model!$DD$47</definedName>
    <definedName name="PL_FX_Loss_H2_20">Model!$DG$47</definedName>
    <definedName name="PL_In_Conv_00">Model!$AZ$77</definedName>
    <definedName name="PL_In_Conv_01">Model!$BC$77</definedName>
    <definedName name="PL_In_Conv_02">Model!$BF$77</definedName>
    <definedName name="PL_In_Conv_03">Model!$BI$77</definedName>
    <definedName name="PL_In_Conv_04">Model!$BL$77</definedName>
    <definedName name="PL_In_Conv_05">Model!$BO$77</definedName>
    <definedName name="PL_In_Conv_06">Model!$BR$77</definedName>
    <definedName name="PL_In_Conv_07">Model!$BU$77</definedName>
    <definedName name="PL_In_Conv_08">Model!$BX$77</definedName>
    <definedName name="PL_In_Conv_09">Model!$CA$77</definedName>
    <definedName name="PL_In_Conv_10">Model!$CD$77</definedName>
    <definedName name="PL_In_Conv_11">Model!$CG$77</definedName>
    <definedName name="PL_In_Conv_12">Model!$CJ$77</definedName>
    <definedName name="PL_In_Conv_13">Model!$CM$77</definedName>
    <definedName name="PL_In_Conv_14">Model!$CP$77</definedName>
    <definedName name="PL_In_Conv_15">Model!$CS$77</definedName>
    <definedName name="PL_In_Conv_16">Model!$CV$77</definedName>
    <definedName name="PL_In_Conv_17">Model!$CY$77</definedName>
    <definedName name="PL_In_Conv_18">Model!$DB$77</definedName>
    <definedName name="PL_In_Conv_19">Model!$DE$77</definedName>
    <definedName name="PL_In_Conv_20">Model!$DH$77</definedName>
    <definedName name="PL_In_Conv_H1_00">Model!$AX$77</definedName>
    <definedName name="PL_In_Conv_H1_01">Model!$BA$77</definedName>
    <definedName name="PL_In_Conv_H1_02">Model!$BD$77</definedName>
    <definedName name="PL_In_Conv_H1_03">Model!$BG$77</definedName>
    <definedName name="PL_In_Conv_H1_04">Model!$BJ$77</definedName>
    <definedName name="PL_In_Conv_H1_05">Model!$BM$77</definedName>
    <definedName name="PL_In_Conv_H1_06">Model!$BP$77</definedName>
    <definedName name="PL_In_Conv_H1_07">Model!$BS$77</definedName>
    <definedName name="PL_In_Conv_H1_08">Model!$BV$77</definedName>
    <definedName name="PL_In_Conv_H1_09">Model!$BY$77</definedName>
    <definedName name="PL_In_Conv_H1_10">Model!$CB$77</definedName>
    <definedName name="PL_In_Conv_H1_11">Model!$CE$77</definedName>
    <definedName name="PL_In_Conv_H1_12">Model!$CH$77</definedName>
    <definedName name="PL_In_Conv_H1_13">Model!$CK$77</definedName>
    <definedName name="PL_In_Conv_H1_14">Model!$CN$77</definedName>
    <definedName name="PL_In_Conv_H1_15">Model!$CQ$77</definedName>
    <definedName name="PL_In_Conv_H1_16">Model!$CT$77</definedName>
    <definedName name="PL_In_Conv_H1_17">Model!$CW$77</definedName>
    <definedName name="PL_In_Conv_H1_18">Model!$CZ$77</definedName>
    <definedName name="PL_In_Conv_H1_19">Model!$DC$77</definedName>
    <definedName name="PL_In_Conv_H1_20">Model!$DF$77</definedName>
    <definedName name="PL_In_Conv_H2_00">Model!$AY$77</definedName>
    <definedName name="PL_In_Conv_H2_01">Model!$BB$77</definedName>
    <definedName name="PL_In_Conv_H2_02">Model!$BE$77</definedName>
    <definedName name="PL_In_Conv_H2_03">Model!$BH$77</definedName>
    <definedName name="PL_In_Conv_H2_04">Model!$BK$77</definedName>
    <definedName name="PL_In_Conv_H2_05">Model!$BN$77</definedName>
    <definedName name="PL_In_Conv_H2_06">Model!$BQ$77</definedName>
    <definedName name="PL_In_Conv_H2_07">Model!$BT$77</definedName>
    <definedName name="PL_In_Conv_H2_08">Model!$BW$77</definedName>
    <definedName name="PL_In_Conv_H2_09">Model!$BZ$77</definedName>
    <definedName name="PL_In_Conv_H2_10">Model!$CC$77</definedName>
    <definedName name="PL_In_Conv_H2_11">Model!$CF$77</definedName>
    <definedName name="PL_In_Conv_H2_12">Model!$CI$77</definedName>
    <definedName name="PL_In_Conv_H2_13">Model!$CL$77</definedName>
    <definedName name="PL_In_Conv_H2_14">Model!$CO$77</definedName>
    <definedName name="PL_In_Conv_H2_15">Model!$CR$77</definedName>
    <definedName name="PL_In_Conv_H2_16">Model!$CU$77</definedName>
    <definedName name="PL_In_Conv_H2_17">Model!$CX$77</definedName>
    <definedName name="PL_In_Conv_H2_18">Model!$DA$77</definedName>
    <definedName name="PL_In_Conv_H2_19">Model!$DD$77</definedName>
    <definedName name="PL_In_Conv_H2_20">Model!$DG$77</definedName>
    <definedName name="PL_Int_Cap_00">Model!$AZ$78</definedName>
    <definedName name="PL_Int_Cap_01">Model!$BC$78</definedName>
    <definedName name="PL_Int_Cap_02">Model!$BF$78</definedName>
    <definedName name="PL_Int_Cap_03">Model!$BI$78</definedName>
    <definedName name="PL_Int_Cap_04">Model!$BL$78</definedName>
    <definedName name="PL_Int_Cap_05">Model!$BO$78</definedName>
    <definedName name="PL_Int_Cap_06">Model!$BR$78</definedName>
    <definedName name="PL_Int_Cap_07">Model!$BU$78</definedName>
    <definedName name="PL_Int_Cap_08">Model!$BX$78</definedName>
    <definedName name="PL_Int_Cap_09">Model!$CA$78</definedName>
    <definedName name="PL_Int_Cap_10">Model!$CD$78</definedName>
    <definedName name="PL_Int_Cap_11">Model!$CG$78</definedName>
    <definedName name="PL_Int_Cap_12">Model!$CJ$78</definedName>
    <definedName name="PL_Int_Cap_13">Model!$CM$78</definedName>
    <definedName name="PL_Int_Cap_14">Model!$CP$78</definedName>
    <definedName name="PL_Int_Cap_15">Model!$CS$78</definedName>
    <definedName name="PL_Int_Cap_16">Model!$CV$78</definedName>
    <definedName name="PL_Int_Cap_17">Model!$CY$78</definedName>
    <definedName name="PL_Int_Cap_18">Model!$DB$78</definedName>
    <definedName name="PL_Int_Cap_19">Model!$DE$78</definedName>
    <definedName name="PL_Int_Cap_20">Model!$DH$78</definedName>
    <definedName name="PL_Int_Cap_H1_00">Model!$AX$78</definedName>
    <definedName name="PL_Int_Cap_H1_01">Model!$BA$78</definedName>
    <definedName name="PL_Int_Cap_H1_02">Model!$BD$78</definedName>
    <definedName name="PL_Int_Cap_H1_03">Model!$BG$78</definedName>
    <definedName name="PL_Int_Cap_H1_04">Model!$BJ$78</definedName>
    <definedName name="PL_Int_Cap_H1_05">Model!$BM$78</definedName>
    <definedName name="PL_Int_Cap_H1_06">Model!$BP$78</definedName>
    <definedName name="PL_Int_Cap_H1_07">Model!$BS$78</definedName>
    <definedName name="PL_Int_Cap_H1_08">Model!$BV$78</definedName>
    <definedName name="PL_Int_Cap_H1_09">Model!$BY$78</definedName>
    <definedName name="PL_Int_Cap_H1_10">Model!$CB$78</definedName>
    <definedName name="PL_Int_Cap_H1_11">Model!$CE$78</definedName>
    <definedName name="PL_Int_Cap_H1_12">Model!$CH$78</definedName>
    <definedName name="PL_Int_Cap_H1_13">Model!$CK$78</definedName>
    <definedName name="PL_Int_Cap_H1_14">Model!$CN$78</definedName>
    <definedName name="PL_Int_Cap_H1_15">Model!$CQ$78</definedName>
    <definedName name="PL_Int_Cap_H1_16">Model!$CT$78</definedName>
    <definedName name="PL_Int_Cap_H1_17">Model!$CW$78</definedName>
    <definedName name="PL_Int_Cap_H1_18">Model!$CZ$78</definedName>
    <definedName name="PL_Int_Cap_H1_19">Model!$DC$78</definedName>
    <definedName name="PL_Int_Cap_H1_20">Model!$DF$78</definedName>
    <definedName name="PL_Int_Cap_H2_00">Model!$AY$78</definedName>
    <definedName name="PL_Int_Cap_H2_01">Model!$BB$78</definedName>
    <definedName name="PL_Int_Cap_H2_02">Model!$BE$78</definedName>
    <definedName name="PL_Int_Cap_H2_03">Model!$BH$78</definedName>
    <definedName name="PL_Int_Cap_H2_04">Model!$BK$78</definedName>
    <definedName name="PL_Int_Cap_H2_05">Model!$BN$78</definedName>
    <definedName name="PL_Int_Cap_H2_06">Model!$BQ$78</definedName>
    <definedName name="PL_Int_Cap_H2_07">Model!$BT$78</definedName>
    <definedName name="PL_Int_Cap_H2_08">Model!$BW$78</definedName>
    <definedName name="PL_Int_Cap_H2_09">Model!$BZ$78</definedName>
    <definedName name="PL_Int_Cap_H2_10">Model!$CC$78</definedName>
    <definedName name="PL_Int_Cap_H2_11">Model!$CF$78</definedName>
    <definedName name="PL_Int_Cap_H2_12">Model!$CI$78</definedName>
    <definedName name="PL_Int_Cap_H2_13">Model!$CL$78</definedName>
    <definedName name="PL_Int_Cap_H2_14">Model!$CO$78</definedName>
    <definedName name="PL_Int_Cap_H2_15">Model!$CR$78</definedName>
    <definedName name="PL_Int_Cap_H2_16">Model!$CU$78</definedName>
    <definedName name="PL_Int_Cap_H2_17">Model!$CX$78</definedName>
    <definedName name="PL_Int_Cap_H2_18">Model!$DA$78</definedName>
    <definedName name="PL_Int_Cap_H2_19">Model!$DD$78</definedName>
    <definedName name="PL_Int_Cap_H2_20">Model!$DG$78</definedName>
    <definedName name="PL_Int_Exp_00">Model!$AZ$497</definedName>
    <definedName name="PL_Int_Exp_01">Model!$BC$497</definedName>
    <definedName name="PL_Int_Exp_02">Model!$BF$497</definedName>
    <definedName name="PL_Int_Exp_03">Model!$BI$497</definedName>
    <definedName name="PL_Int_Exp_04">Model!$BL$497</definedName>
    <definedName name="PL_Int_Exp_05">Model!$BO$497</definedName>
    <definedName name="PL_Int_Exp_06">Model!$BR$497</definedName>
    <definedName name="PL_Int_Exp_07">Model!$BU$497</definedName>
    <definedName name="PL_Int_Exp_08">Model!$BX$497</definedName>
    <definedName name="PL_Int_Exp_09">Model!$CA$497</definedName>
    <definedName name="PL_Int_Exp_10">Model!$CD$497</definedName>
    <definedName name="PL_Int_Exp_11">Model!$CG$497</definedName>
    <definedName name="PL_Int_Exp_12">Model!$CJ$497</definedName>
    <definedName name="PL_Int_Exp_13">Model!$CM$497</definedName>
    <definedName name="PL_Int_Exp_14">Model!$CP$497</definedName>
    <definedName name="PL_Int_Exp_15">Model!$CS$497</definedName>
    <definedName name="PL_Int_Exp_16">Model!$CV$497</definedName>
    <definedName name="PL_Int_Exp_17">Model!$CY$497</definedName>
    <definedName name="PL_Int_Exp_18">Model!$DB$497</definedName>
    <definedName name="PL_Int_Exp_19">Model!$DE$497</definedName>
    <definedName name="PL_Int_Exp_20">Model!$DH$497</definedName>
    <definedName name="PL_Int_Exp_H1_00">Model!$AX$497</definedName>
    <definedName name="PL_Int_Exp_H1_01">Model!$BA$497</definedName>
    <definedName name="PL_Int_Exp_H1_02">Model!$BD$497</definedName>
    <definedName name="PL_Int_Exp_H1_03">Model!$BG$497</definedName>
    <definedName name="PL_Int_Exp_H1_04">Model!$BJ$497</definedName>
    <definedName name="PL_Int_Exp_H1_05">Model!$BM$497</definedName>
    <definedName name="PL_Int_Exp_H1_06">Model!$BP$497</definedName>
    <definedName name="PL_Int_Exp_H1_07">Model!$BS$497</definedName>
    <definedName name="PL_Int_Exp_H1_08">Model!$BV$497</definedName>
    <definedName name="PL_Int_Exp_H1_09">Model!$BY$497</definedName>
    <definedName name="PL_Int_Exp_H1_10">Model!$CB$497</definedName>
    <definedName name="PL_Int_Exp_H1_11">Model!$CE$497</definedName>
    <definedName name="PL_Int_Exp_H1_12">Model!$CH$497</definedName>
    <definedName name="PL_Int_Exp_H1_13">Model!$CK$497</definedName>
    <definedName name="PL_Int_Exp_H1_14">Model!$CN$497</definedName>
    <definedName name="PL_Int_Exp_H1_15">Model!$CQ$497</definedName>
    <definedName name="PL_Int_Exp_H1_16">Model!$CT$497</definedName>
    <definedName name="PL_Int_Exp_H1_17">Model!$CW$497</definedName>
    <definedName name="PL_Int_Exp_H1_18">Model!$CZ$497</definedName>
    <definedName name="PL_Int_Exp_H1_19">Model!$DC$497</definedName>
    <definedName name="PL_Int_Exp_H1_20">Model!$DF$497</definedName>
    <definedName name="PL_Int_Exp_H2_00">Model!$AY$497</definedName>
    <definedName name="PL_Int_Exp_H2_01">Model!$BB$497</definedName>
    <definedName name="PL_Int_Exp_H2_02">Model!$BE$497</definedName>
    <definedName name="PL_Int_Exp_H2_03">Model!$BH$497</definedName>
    <definedName name="PL_Int_Exp_H2_04">Model!$BK$497</definedName>
    <definedName name="PL_Int_Exp_H2_05">Model!$BN$497</definedName>
    <definedName name="PL_Int_Exp_H2_06">Model!$BQ$497</definedName>
    <definedName name="PL_Int_Exp_H2_07">Model!$BT$497</definedName>
    <definedName name="PL_Int_Exp_H2_08">Model!$BW$497</definedName>
    <definedName name="PL_Int_Exp_H2_09">Model!$BZ$497</definedName>
    <definedName name="PL_Int_Exp_H2_10">Model!$CC$497</definedName>
    <definedName name="PL_Int_Exp_H2_11">Model!$CF$497</definedName>
    <definedName name="PL_Int_Exp_H2_12">Model!$CI$497</definedName>
    <definedName name="PL_Int_Exp_H2_13">Model!$CL$497</definedName>
    <definedName name="PL_Int_Exp_H2_14">Model!$CO$497</definedName>
    <definedName name="PL_Int_Exp_H2_15">Model!$CR$497</definedName>
    <definedName name="PL_Int_Exp_H2_16">Model!$CU$497</definedName>
    <definedName name="PL_Int_Exp_H2_17">Model!$CX$497</definedName>
    <definedName name="PL_Int_Exp_H2_18">Model!$DA$497</definedName>
    <definedName name="PL_Int_Exp_H2_19">Model!$DD$497</definedName>
    <definedName name="PL_Int_Exp_H2_20">Model!$DG$497</definedName>
    <definedName name="PL_Int_Income_00">Model!$AZ$75</definedName>
    <definedName name="PL_Int_Income_01">Model!$BC$75</definedName>
    <definedName name="PL_Int_Income_02">Model!$BF$75</definedName>
    <definedName name="PL_Int_Income_03">Model!$BI$75</definedName>
    <definedName name="PL_Int_Income_04">Model!$BL$75</definedName>
    <definedName name="PL_Int_Income_05">Model!$BO$75</definedName>
    <definedName name="PL_Int_Income_06">Model!$BR$75</definedName>
    <definedName name="PL_Int_Income_07">Model!$BU$75</definedName>
    <definedName name="PL_Int_Income_08">Model!$BX$75</definedName>
    <definedName name="PL_Int_Income_09">Model!$CA$75</definedName>
    <definedName name="PL_Int_Income_10">Model!$CD$75</definedName>
    <definedName name="PL_Int_Income_11">Model!$CG$75</definedName>
    <definedName name="PL_Int_Income_12">Model!$CJ$75</definedName>
    <definedName name="PL_Int_Income_13">Model!$CM$75</definedName>
    <definedName name="PL_Int_Income_14">Model!$CP$75</definedName>
    <definedName name="PL_Int_Income_15">Model!$CS$75</definedName>
    <definedName name="PL_Int_Income_16">Model!$CV$75</definedName>
    <definedName name="PL_Int_Income_17">Model!$CY$75</definedName>
    <definedName name="PL_Int_Income_18">Model!$DB$75</definedName>
    <definedName name="PL_Int_Income_19">Model!$DE$75</definedName>
    <definedName name="PL_Int_Income_20">Model!$DH$75</definedName>
    <definedName name="PL_Int_Income_H1_00">Model!$AX$75</definedName>
    <definedName name="PL_Int_Income_H1_01">Model!$BA$75</definedName>
    <definedName name="PL_Int_Income_H1_02">Model!$BD$75</definedName>
    <definedName name="PL_Int_Income_H1_03">Model!$BG$75</definedName>
    <definedName name="PL_Int_Income_H1_04">Model!$BJ$75</definedName>
    <definedName name="PL_Int_Income_H1_05">Model!$BM$75</definedName>
    <definedName name="PL_Int_Income_H1_06">Model!$BP$75</definedName>
    <definedName name="PL_Int_Income_H1_07">Model!$BS$75</definedName>
    <definedName name="PL_Int_Income_H1_08">Model!$BV$75</definedName>
    <definedName name="PL_Int_Income_H1_09">Model!$BY$75</definedName>
    <definedName name="PL_Int_Income_H1_10">Model!$CB$75</definedName>
    <definedName name="PL_Int_Income_H1_11">Model!$CE$75</definedName>
    <definedName name="PL_Int_Income_H1_12">Model!$CH$75</definedName>
    <definedName name="PL_Int_Income_H1_13">Model!$CK$75</definedName>
    <definedName name="PL_Int_Income_H1_14">Model!$CN$75</definedName>
    <definedName name="PL_Int_Income_H1_15">Model!$CQ$75</definedName>
    <definedName name="PL_Int_Income_H1_16">Model!$CT$75</definedName>
    <definedName name="PL_Int_Income_H1_17">Model!$CW$75</definedName>
    <definedName name="PL_Int_Income_H1_18">Model!$CZ$75</definedName>
    <definedName name="PL_Int_Income_H1_19">Model!$DC$75</definedName>
    <definedName name="PL_Int_Income_H1_20">Model!$DF$75</definedName>
    <definedName name="PL_Int_Income_H2_00">Model!$AY$75</definedName>
    <definedName name="PL_Int_Income_H2_01">Model!$BB$75</definedName>
    <definedName name="PL_Int_Income_H2_02">Model!$BE$75</definedName>
    <definedName name="PL_Int_Income_H2_03">Model!$BH$75</definedName>
    <definedName name="PL_Int_Income_H2_04">Model!$BK$75</definedName>
    <definedName name="PL_Int_Income_H2_05">Model!$BN$75</definedName>
    <definedName name="PL_Int_Income_H2_06">Model!$BQ$75</definedName>
    <definedName name="PL_Int_Income_H2_07">Model!$BT$75</definedName>
    <definedName name="PL_Int_Income_H2_08">Model!$BW$75</definedName>
    <definedName name="PL_Int_Income_H2_09">Model!$BZ$75</definedName>
    <definedName name="PL_Int_Income_H2_10">Model!$CC$75</definedName>
    <definedName name="PL_Int_Income_H2_11">Model!$CF$75</definedName>
    <definedName name="PL_Int_Income_H2_12">Model!$CI$75</definedName>
    <definedName name="PL_Int_Income_H2_13">Model!$CL$75</definedName>
    <definedName name="PL_Int_Income_H2_14">Model!$CO$75</definedName>
    <definedName name="PL_Int_Income_H2_15">Model!$CR$75</definedName>
    <definedName name="PL_Int_Income_H2_16">Model!$CU$75</definedName>
    <definedName name="PL_Int_Income_H2_17">Model!$CX$75</definedName>
    <definedName name="PL_Int_Income_H2_18">Model!$DA$75</definedName>
    <definedName name="PL_Int_Income_H2_19">Model!$DD$75</definedName>
    <definedName name="PL_Int_Income_H2_20">Model!$DG$75</definedName>
    <definedName name="PL_Int_Incur_00">Model!$AZ$496</definedName>
    <definedName name="PL_Int_Incur_01">Model!$BC$496</definedName>
    <definedName name="PL_Int_Incur_02">Model!$BF$496</definedName>
    <definedName name="PL_Int_Incur_03">Model!$BI$496</definedName>
    <definedName name="PL_Int_Incur_04">Model!$BL$496</definedName>
    <definedName name="PL_Int_Incur_05">Model!$BO$496</definedName>
    <definedName name="PL_Int_Incur_06">Model!$BR$496</definedName>
    <definedName name="PL_Int_Incur_07">Model!$BU$496</definedName>
    <definedName name="PL_Int_Incur_08">Model!$BX$496</definedName>
    <definedName name="PL_Int_Incur_09">Model!$CA$496</definedName>
    <definedName name="PL_Int_Incur_10">Model!$CD$496</definedName>
    <definedName name="PL_Int_Incur_11">Model!$CG$496</definedName>
    <definedName name="PL_Int_Incur_12">Model!$CJ$496</definedName>
    <definedName name="PL_Int_Incur_13">Model!$CM$496</definedName>
    <definedName name="PL_Int_Incur_14">Model!$CP$496</definedName>
    <definedName name="PL_Int_Incur_15">Model!$CS$496</definedName>
    <definedName name="PL_Int_Incur_16">Model!$CV$496</definedName>
    <definedName name="PL_Int_Incur_17">Model!$CY$496</definedName>
    <definedName name="PL_Int_Incur_18">Model!$DB$496</definedName>
    <definedName name="PL_Int_Incur_19">Model!$DE$496</definedName>
    <definedName name="PL_Int_Incur_20">Model!$DH$496</definedName>
    <definedName name="PL_Int_Incur_H1_00">Model!$AX$496</definedName>
    <definedName name="PL_Int_Incur_H1_01">Model!$BA$496</definedName>
    <definedName name="PL_Int_Incur_H1_02">Model!$BD$496</definedName>
    <definedName name="PL_Int_Incur_H1_03">Model!$BG$496</definedName>
    <definedName name="PL_Int_Incur_H1_04">Model!$BJ$496</definedName>
    <definedName name="PL_Int_Incur_H1_05">Model!$BM$496</definedName>
    <definedName name="PL_Int_Incur_H1_06">Model!$BP$496</definedName>
    <definedName name="PL_Int_Incur_H1_07">Model!$BS$496</definedName>
    <definedName name="PL_Int_Incur_H1_08">Model!$BV$496</definedName>
    <definedName name="PL_Int_Incur_H1_09">Model!$BY$496</definedName>
    <definedName name="PL_Int_Incur_H1_10">Model!$CB$496</definedName>
    <definedName name="PL_Int_Incur_H1_11">Model!$CE$496</definedName>
    <definedName name="PL_Int_Incur_H1_12">Model!$CH$496</definedName>
    <definedName name="PL_Int_Incur_H1_13">Model!$CK$496</definedName>
    <definedName name="PL_Int_Incur_H1_14">Model!$CN$496</definedName>
    <definedName name="PL_Int_Incur_H1_15">Model!$CQ$496</definedName>
    <definedName name="PL_Int_Incur_H1_16">Model!$CT$496</definedName>
    <definedName name="PL_Int_Incur_H1_17">Model!$CW$496</definedName>
    <definedName name="PL_Int_Incur_H1_18">Model!$CZ$496</definedName>
    <definedName name="PL_Int_Incur_H1_19">Model!$DC$496</definedName>
    <definedName name="PL_Int_Incur_H1_20">Model!$DF$496</definedName>
    <definedName name="PL_Int_Incur_H2_00">Model!$AY$496</definedName>
    <definedName name="PL_Int_Incur_H2_01">Model!$BB$496</definedName>
    <definedName name="PL_Int_Incur_H2_02">Model!$BE$496</definedName>
    <definedName name="PL_Int_Incur_H2_03">Model!$BH$496</definedName>
    <definedName name="PL_Int_Incur_H2_04">Model!$BK$496</definedName>
    <definedName name="PL_Int_Incur_H2_05">Model!$BN$496</definedName>
    <definedName name="PL_Int_Incur_H2_06">Model!$BQ$496</definedName>
    <definedName name="PL_Int_Incur_H2_07">Model!$BT$496</definedName>
    <definedName name="PL_Int_Incur_H2_08">Model!$BW$496</definedName>
    <definedName name="PL_Int_Incur_H2_09">Model!$BZ$496</definedName>
    <definedName name="PL_Int_Incur_H2_10">Model!$CC$496</definedName>
    <definedName name="PL_Int_Incur_H2_11">Model!$CF$496</definedName>
    <definedName name="PL_Int_Incur_H2_12">Model!$CI$496</definedName>
    <definedName name="PL_Int_Incur_H2_13">Model!$CL$496</definedName>
    <definedName name="PL_Int_Incur_H2_14">Model!$CO$496</definedName>
    <definedName name="PL_Int_Incur_H2_15">Model!$CR$496</definedName>
    <definedName name="PL_Int_Incur_H2_16">Model!$CU$496</definedName>
    <definedName name="PL_Int_Incur_H2_17">Model!$CX$496</definedName>
    <definedName name="PL_Int_Incur_H2_18">Model!$DA$496</definedName>
    <definedName name="PL_Int_Incur_H2_19">Model!$DD$496</definedName>
    <definedName name="PL_Int_Incur_H2_20">Model!$DG$496</definedName>
    <definedName name="PL_Int_Leases_00">Model!$AZ$495</definedName>
    <definedName name="PL_Int_Leases_01">Model!$BC$495</definedName>
    <definedName name="PL_Int_Leases_02">Model!$BF$495</definedName>
    <definedName name="PL_Int_Leases_03">Model!$BI$495</definedName>
    <definedName name="PL_Int_Leases_04">Model!$BL$495</definedName>
    <definedName name="PL_Int_Leases_05">Model!$BO$495</definedName>
    <definedName name="PL_Int_Leases_06">Model!$BR$495</definedName>
    <definedName name="PL_Int_Leases_07">Model!$BU$495</definedName>
    <definedName name="PL_Int_Leases_08">Model!$BX$495</definedName>
    <definedName name="PL_Int_Leases_09">Model!$CA$495</definedName>
    <definedName name="PL_Int_Leases_10">Model!$CD$495</definedName>
    <definedName name="PL_Int_Leases_11">Model!$CG$495</definedName>
    <definedName name="PL_Int_Leases_12">Model!$CJ$495</definedName>
    <definedName name="PL_Int_Leases_13">Model!$CM$495</definedName>
    <definedName name="PL_Int_Leases_14">Model!$CP$495</definedName>
    <definedName name="PL_Int_Leases_15">Model!$CS$495</definedName>
    <definedName name="PL_Int_Leases_16">Model!$CV$495</definedName>
    <definedName name="PL_Int_Leases_17">Model!$CY$495</definedName>
    <definedName name="PL_Int_Leases_18">Model!$DB$495</definedName>
    <definedName name="PL_Int_Leases_19">Model!$DE$495</definedName>
    <definedName name="PL_Int_Leases_20">Model!$DH$495</definedName>
    <definedName name="PL_Int_Leases_H1_00">Model!$AX$495</definedName>
    <definedName name="PL_Int_Leases_H1_01">Model!$BA$495</definedName>
    <definedName name="PL_Int_Leases_H1_02">Model!$BD$495</definedName>
    <definedName name="PL_Int_Leases_H1_03">Model!$BG$495</definedName>
    <definedName name="PL_Int_Leases_H1_04">Model!$BJ$495</definedName>
    <definedName name="PL_Int_Leases_H1_05">Model!$BM$495</definedName>
    <definedName name="PL_Int_Leases_H1_06">Model!$BP$495</definedName>
    <definedName name="PL_Int_Leases_H1_07">Model!$BS$495</definedName>
    <definedName name="PL_Int_Leases_H1_08">Model!$BV$495</definedName>
    <definedName name="PL_Int_Leases_H1_09">Model!$BY$495</definedName>
    <definedName name="PL_Int_Leases_H1_10">Model!$CB$495</definedName>
    <definedName name="PL_Int_Leases_H1_11">Model!$CE$495</definedName>
    <definedName name="PL_Int_Leases_H1_12">Model!$CH$495</definedName>
    <definedName name="PL_Int_Leases_H1_13">Model!$CK$495</definedName>
    <definedName name="PL_Int_Leases_H1_14">Model!$CN$495</definedName>
    <definedName name="PL_Int_Leases_H1_15">Model!$CQ$495</definedName>
    <definedName name="PL_Int_Leases_H1_16">Model!$CT$495</definedName>
    <definedName name="PL_Int_Leases_H1_17">Model!$CW$495</definedName>
    <definedName name="PL_Int_Leases_H1_18">Model!$CZ$495</definedName>
    <definedName name="PL_Int_Leases_H1_19">Model!$DC$495</definedName>
    <definedName name="PL_Int_Leases_H1_20">Model!$DF$495</definedName>
    <definedName name="PL_Int_Leases_H2_00">Model!$AY$495</definedName>
    <definedName name="PL_Int_Leases_H2_01">Model!$BB$495</definedName>
    <definedName name="PL_Int_Leases_H2_02">Model!$BE$495</definedName>
    <definedName name="PL_Int_Leases_H2_03">Model!$BH$495</definedName>
    <definedName name="PL_Int_Leases_H2_04">Model!$BK$495</definedName>
    <definedName name="PL_Int_Leases_H2_05">Model!$BN$495</definedName>
    <definedName name="PL_Int_Leases_H2_06">Model!$BQ$495</definedName>
    <definedName name="PL_Int_Leases_H2_07">Model!$BT$495</definedName>
    <definedName name="PL_Int_Leases_H2_08">Model!$BW$495</definedName>
    <definedName name="PL_Int_Leases_H2_09">Model!$BZ$495</definedName>
    <definedName name="PL_Int_Leases_H2_10">Model!$CC$495</definedName>
    <definedName name="PL_Int_Leases_H2_11">Model!$CF$495</definedName>
    <definedName name="PL_Int_Leases_H2_12">Model!$CI$495</definedName>
    <definedName name="PL_Int_Leases_H2_13">Model!$CL$495</definedName>
    <definedName name="PL_Int_Leases_H2_14">Model!$CO$495</definedName>
    <definedName name="PL_Int_Leases_H2_15">Model!$CR$495</definedName>
    <definedName name="PL_Int_Leases_H2_16">Model!$CU$495</definedName>
    <definedName name="PL_Int_Leases_H2_17">Model!$CX$495</definedName>
    <definedName name="PL_Int_Leases_H2_18">Model!$DA$495</definedName>
    <definedName name="PL_Int_Leases_H2_19">Model!$DD$495</definedName>
    <definedName name="PL_Int_Leases_H2_20">Model!$DG$495</definedName>
    <definedName name="PL_Int_Rev_00">Model!$AZ$35</definedName>
    <definedName name="PL_Int_Rev_01">Model!$BC$35</definedName>
    <definedName name="PL_Int_Rev_02">Model!$BF$35</definedName>
    <definedName name="PL_Int_Rev_03">Model!$BI$35</definedName>
    <definedName name="PL_Int_Rev_04">Model!$BL$35</definedName>
    <definedName name="PL_Int_Rev_05">Model!$BO$35</definedName>
    <definedName name="PL_Int_Rev_06">Model!$BR$35</definedName>
    <definedName name="PL_Int_Rev_07">Model!$BU$35</definedName>
    <definedName name="PL_Int_Rev_08">Model!$BX$35</definedName>
    <definedName name="PL_Int_Rev_09">Model!$CA$35</definedName>
    <definedName name="PL_Int_Rev_10">Model!$CD$35</definedName>
    <definedName name="PL_Int_Rev_11">Model!$CG$35</definedName>
    <definedName name="PL_Int_Rev_12">Model!$CJ$35</definedName>
    <definedName name="PL_Int_Rev_13">Model!$CM$35</definedName>
    <definedName name="PL_Int_Rev_14">Model!$CP$35</definedName>
    <definedName name="PL_Int_Rev_15">Model!$CS$35</definedName>
    <definedName name="PL_Int_Rev_16">Model!$CV$35</definedName>
    <definedName name="PL_Int_Rev_17">Model!$CY$35</definedName>
    <definedName name="PL_Int_Rev_18">Model!$DB$35</definedName>
    <definedName name="PL_Int_Rev_19">Model!$DE$35</definedName>
    <definedName name="PL_Int_Rev_20">Model!$DH$35</definedName>
    <definedName name="PL_Int_Rev_H1_00">Model!$AX$35</definedName>
    <definedName name="PL_Int_Rev_H1_01">Model!$BA$35</definedName>
    <definedName name="PL_Int_Rev_H1_02">Model!$BD$35</definedName>
    <definedName name="PL_Int_Rev_H1_03">Model!$BG$35</definedName>
    <definedName name="PL_Int_Rev_H1_04">Model!$BJ$35</definedName>
    <definedName name="PL_Int_Rev_H1_05">Model!$BM$35</definedName>
    <definedName name="PL_Int_Rev_H1_06">Model!$BP$35</definedName>
    <definedName name="PL_Int_Rev_H1_07">Model!$BS$35</definedName>
    <definedName name="PL_Int_Rev_H1_08">Model!$BV$35</definedName>
    <definedName name="PL_Int_Rev_H1_09">Model!$BY$35</definedName>
    <definedName name="PL_Int_Rev_H1_10">Model!$CB$35</definedName>
    <definedName name="PL_Int_Rev_H1_11">Model!$CE$35</definedName>
    <definedName name="PL_Int_Rev_H1_12">Model!$CH$35</definedName>
    <definedName name="PL_Int_Rev_H1_13">Model!$CK$35</definedName>
    <definedName name="PL_Int_Rev_H1_14">Model!$CN$35</definedName>
    <definedName name="PL_Int_Rev_H1_15">Model!$CQ$35</definedName>
    <definedName name="PL_Int_Rev_H1_16">Model!$CT$35</definedName>
    <definedName name="PL_Int_Rev_H1_17">Model!$CW$35</definedName>
    <definedName name="PL_Int_Rev_H1_18">Model!$CZ$35</definedName>
    <definedName name="PL_Int_Rev_H1_19">Model!$DC$35</definedName>
    <definedName name="PL_Int_Rev_H1_20">Model!$DF$35</definedName>
    <definedName name="PL_Int_Rev_H2_00">Model!$AY$35</definedName>
    <definedName name="PL_Int_Rev_H2_01">Model!$BB$35</definedName>
    <definedName name="PL_Int_Rev_H2_02">Model!$BE$35</definedName>
    <definedName name="PL_Int_Rev_H2_03">Model!$BH$35</definedName>
    <definedName name="PL_Int_Rev_H2_04">Model!$BK$35</definedName>
    <definedName name="PL_Int_Rev_H2_05">Model!$BN$35</definedName>
    <definedName name="PL_Int_Rev_H2_06">Model!$BQ$35</definedName>
    <definedName name="PL_Int_Rev_H2_07">Model!$BT$35</definedName>
    <definedName name="PL_Int_Rev_H2_08">Model!$BW$35</definedName>
    <definedName name="PL_Int_Rev_H2_09">Model!$BZ$35</definedName>
    <definedName name="PL_Int_Rev_H2_10">Model!$CC$35</definedName>
    <definedName name="PL_Int_Rev_H2_11">Model!$CF$35</definedName>
    <definedName name="PL_Int_Rev_H2_12">Model!$CI$35</definedName>
    <definedName name="PL_Int_Rev_H2_13">Model!$CL$35</definedName>
    <definedName name="PL_Int_Rev_H2_14">Model!$CO$35</definedName>
    <definedName name="PL_Int_Rev_H2_15">Model!$CR$35</definedName>
    <definedName name="PL_Int_Rev_H2_16">Model!$CU$35</definedName>
    <definedName name="PL_Int_Rev_H2_17">Model!$CX$35</definedName>
    <definedName name="PL_Int_Rev_H2_18">Model!$DA$35</definedName>
    <definedName name="PL_Int_Rev_H2_19">Model!$DD$35</definedName>
    <definedName name="PL_Int_Rev_H2_20">Model!$DG$35</definedName>
    <definedName name="PL_Leas_Rent_00">Model!$AZ$44</definedName>
    <definedName name="PL_Leas_Rent_01">Model!$BC$44</definedName>
    <definedName name="PL_Leas_Rent_02">Model!$BF$44</definedName>
    <definedName name="PL_Leas_Rent_03">Model!$BI$44</definedName>
    <definedName name="PL_Leas_Rent_04">Model!$BL$44</definedName>
    <definedName name="PL_Leas_Rent_05">Model!$BO$44</definedName>
    <definedName name="PL_Leas_Rent_06">Model!$BR$44</definedName>
    <definedName name="PL_Leas_Rent_07">Model!$BU$44</definedName>
    <definedName name="PL_Leas_Rent_08">Model!$BX$44</definedName>
    <definedName name="PL_Leas_Rent_09">Model!$CA$44</definedName>
    <definedName name="PL_Leas_Rent_10">Model!$CD$44</definedName>
    <definedName name="PL_Leas_Rent_11">Model!$CG$44</definedName>
    <definedName name="PL_Leas_Rent_12">Model!$CJ$44</definedName>
    <definedName name="PL_Leas_Rent_13">Model!$CM$44</definedName>
    <definedName name="PL_Leas_Rent_14">Model!$CP$44</definedName>
    <definedName name="PL_Leas_Rent_15">Model!$CS$44</definedName>
    <definedName name="PL_Leas_Rent_16">Model!$CV$44</definedName>
    <definedName name="PL_Leas_Rent_17">Model!$CY$44</definedName>
    <definedName name="PL_Leas_Rent_18">Model!$DB$44</definedName>
    <definedName name="PL_Leas_Rent_19">Model!$DE$44</definedName>
    <definedName name="PL_Leas_Rent_20">Model!$DH$44</definedName>
    <definedName name="PL_Leas_Rent_H1_00">Model!$AX$44</definedName>
    <definedName name="PL_Leas_Rent_H1_01">Model!$BA$44</definedName>
    <definedName name="PL_Leas_Rent_H1_02">Model!$BD$44</definedName>
    <definedName name="PL_Leas_Rent_H1_03">Model!$BG$44</definedName>
    <definedName name="PL_Leas_Rent_H1_04">Model!$BJ$44</definedName>
    <definedName name="PL_Leas_Rent_H1_05">Model!$BM$44</definedName>
    <definedName name="PL_Leas_Rent_H1_06">Model!$BP$44</definedName>
    <definedName name="PL_Leas_Rent_H1_07">Model!$BS$44</definedName>
    <definedName name="PL_Leas_Rent_H1_08">Model!$BV$44</definedName>
    <definedName name="PL_Leas_Rent_H1_09">Model!$BY$44</definedName>
    <definedName name="PL_Leas_Rent_H1_10">Model!$CB$44</definedName>
    <definedName name="PL_Leas_Rent_H1_11">Model!$CE$44</definedName>
    <definedName name="PL_Leas_Rent_H1_12">Model!$CH$44</definedName>
    <definedName name="PL_Leas_Rent_H1_13">Model!$CK$44</definedName>
    <definedName name="PL_Leas_Rent_H1_14">Model!$CN$44</definedName>
    <definedName name="PL_Leas_Rent_H1_15">Model!$CQ$44</definedName>
    <definedName name="PL_Leas_Rent_H1_16">Model!$CT$44</definedName>
    <definedName name="PL_Leas_Rent_H1_17">Model!$CW$44</definedName>
    <definedName name="PL_Leas_Rent_H1_18">Model!$CZ$44</definedName>
    <definedName name="PL_Leas_Rent_H1_19">Model!$DC$44</definedName>
    <definedName name="PL_Leas_Rent_H1_20">Model!$DF$44</definedName>
    <definedName name="PL_Leas_Rent_H2_00">Model!$AY$44</definedName>
    <definedName name="PL_Leas_Rent_H2_01">Model!$BB$44</definedName>
    <definedName name="PL_Leas_Rent_H2_02">Model!$BE$44</definedName>
    <definedName name="PL_Leas_Rent_H2_03">Model!$BH$44</definedName>
    <definedName name="PL_Leas_Rent_H2_04">Model!$BK$44</definedName>
    <definedName name="PL_Leas_Rent_H2_05">Model!$BN$44</definedName>
    <definedName name="PL_Leas_Rent_H2_06">Model!$BQ$44</definedName>
    <definedName name="PL_Leas_Rent_H2_07">Model!$BT$44</definedName>
    <definedName name="PL_Leas_Rent_H2_08">Model!$BW$44</definedName>
    <definedName name="PL_Leas_Rent_H2_09">Model!$BZ$44</definedName>
    <definedName name="PL_Leas_Rent_H2_10">Model!$CC$44</definedName>
    <definedName name="PL_Leas_Rent_H2_11">Model!$CF$44</definedName>
    <definedName name="PL_Leas_Rent_H2_12">Model!$CI$44</definedName>
    <definedName name="PL_Leas_Rent_H2_13">Model!$CL$44</definedName>
    <definedName name="PL_Leas_Rent_H2_14">Model!$CO$44</definedName>
    <definedName name="PL_Leas_Rent_H2_15">Model!$CR$44</definedName>
    <definedName name="PL_Leas_Rent_H2_16">Model!$CU$44</definedName>
    <definedName name="PL_Leas_Rent_H2_17">Model!$CX$44</definedName>
    <definedName name="PL_Leas_Rent_H2_18">Model!$DA$44</definedName>
    <definedName name="PL_Leas_Rent_H2_19">Model!$DD$44</definedName>
    <definedName name="PL_Leas_Rent_H2_20">Model!$DG$44</definedName>
    <definedName name="PL_Minor_Intr_00">Model!$AZ$138</definedName>
    <definedName name="PL_Minor_Intr_01">Model!$BC$138</definedName>
    <definedName name="PL_Minor_Intr_02">Model!$BF$138</definedName>
    <definedName name="PL_Minor_Intr_03">Model!$BI$138</definedName>
    <definedName name="PL_Minor_Intr_04">Model!$BL$138</definedName>
    <definedName name="PL_Minor_Intr_05">Model!$BO$138</definedName>
    <definedName name="PL_Minor_Intr_06">Model!$BR$138</definedName>
    <definedName name="PL_Minor_Intr_07">Model!$BU$138</definedName>
    <definedName name="PL_Minor_Intr_08">Model!$BX$138</definedName>
    <definedName name="PL_Minor_Intr_09">Model!$CA$138</definedName>
    <definedName name="PL_Minor_Intr_10">Model!$CD$138</definedName>
    <definedName name="PL_Minor_Intr_11">Model!$CG$138</definedName>
    <definedName name="PL_Minor_Intr_12">Model!$CJ$138</definedName>
    <definedName name="PL_Minor_Intr_13">Model!$CM$138</definedName>
    <definedName name="PL_Minor_Intr_14">Model!$CP$138</definedName>
    <definedName name="PL_Minor_Intr_15">Model!$CS$138</definedName>
    <definedName name="PL_Minor_Intr_16">Model!$CV$138</definedName>
    <definedName name="PL_Minor_Intr_17">Model!$CY$138</definedName>
    <definedName name="PL_Minor_Intr_18">Model!$DB$138</definedName>
    <definedName name="PL_Minor_Intr_19">Model!$DE$138</definedName>
    <definedName name="PL_Minor_Intr_20">Model!$DH$138</definedName>
    <definedName name="PL_Minor_Intr_H1_00">Model!$AX$138</definedName>
    <definedName name="PL_Minor_Intr_H1_01">Model!$BA$138</definedName>
    <definedName name="PL_Minor_Intr_H1_02">Model!$BD$138</definedName>
    <definedName name="PL_Minor_Intr_H1_03">Model!$BG$138</definedName>
    <definedName name="PL_Minor_Intr_H1_04">Model!$BJ$138</definedName>
    <definedName name="PL_Minor_Intr_H1_05">Model!$BM$138</definedName>
    <definedName name="PL_Minor_Intr_H1_06">Model!$BP$138</definedName>
    <definedName name="PL_Minor_Intr_H1_07">Model!$BS$138</definedName>
    <definedName name="PL_Minor_Intr_H1_08">Model!$BV$138</definedName>
    <definedName name="PL_Minor_Intr_H1_09">Model!$BY$138</definedName>
    <definedName name="PL_Minor_Intr_H1_10">Model!$CB$138</definedName>
    <definedName name="PL_Minor_Intr_H1_11">Model!$CE$138</definedName>
    <definedName name="PL_Minor_Intr_H1_12">Model!$CH$138</definedName>
    <definedName name="PL_Minor_Intr_H1_13">Model!$CK$138</definedName>
    <definedName name="PL_Minor_Intr_H1_14">Model!$CN$138</definedName>
    <definedName name="PL_Minor_Intr_H1_15">Model!$CQ$138</definedName>
    <definedName name="PL_Minor_Intr_H1_16">Model!$CT$138</definedName>
    <definedName name="PL_Minor_Intr_H1_17">Model!$CW$138</definedName>
    <definedName name="PL_Minor_Intr_H1_18">Model!$CZ$138</definedName>
    <definedName name="PL_Minor_Intr_H1_19">Model!$DC$138</definedName>
    <definedName name="PL_Minor_Intr_H1_20">Model!$DF$138</definedName>
    <definedName name="PL_Minor_Intr_H2_00">Model!$AY$138</definedName>
    <definedName name="PL_Minor_Intr_H2_01">Model!$BB$138</definedName>
    <definedName name="PL_Minor_Intr_H2_02">Model!$BE$138</definedName>
    <definedName name="PL_Minor_Intr_H2_03">Model!$BH$138</definedName>
    <definedName name="PL_Minor_Intr_H2_04">Model!$BK$138</definedName>
    <definedName name="PL_Minor_Intr_H2_05">Model!$BN$138</definedName>
    <definedName name="PL_Minor_Intr_H2_06">Model!$BQ$138</definedName>
    <definedName name="PL_Minor_Intr_H2_07">Model!$BT$138</definedName>
    <definedName name="PL_Minor_Intr_H2_08">Model!$BW$138</definedName>
    <definedName name="PL_Minor_Intr_H2_09">Model!$BZ$138</definedName>
    <definedName name="PL_Minor_Intr_H2_10">Model!$CC$138</definedName>
    <definedName name="PL_Minor_Intr_H2_11">Model!$CF$138</definedName>
    <definedName name="PL_Minor_Intr_H2_12">Model!$CI$138</definedName>
    <definedName name="PL_Minor_Intr_H2_13">Model!$CL$138</definedName>
    <definedName name="PL_Minor_Intr_H2_14">Model!$CO$138</definedName>
    <definedName name="PL_Minor_Intr_H2_15">Model!$CR$138</definedName>
    <definedName name="PL_Minor_Intr_H2_16">Model!$CU$138</definedName>
    <definedName name="PL_Minor_Intr_H2_17">Model!$CX$138</definedName>
    <definedName name="PL_Minor_Intr_H2_18">Model!$DA$138</definedName>
    <definedName name="PL_Minor_Intr_H2_19">Model!$DD$138</definedName>
    <definedName name="PL_Minor_Intr_H2_20">Model!$DG$138</definedName>
    <definedName name="PL_NCA_00">Model!$AZ$46</definedName>
    <definedName name="PL_NCA_01">Model!$BC$46</definedName>
    <definedName name="PL_NCA_02">Model!$BF$46</definedName>
    <definedName name="PL_NCA_03">Model!$BI$46</definedName>
    <definedName name="PL_NCA_04">Model!$BL$46</definedName>
    <definedName name="PL_NCA_05">Model!$BO$46</definedName>
    <definedName name="PL_NCA_06">Model!$BR$46</definedName>
    <definedName name="PL_NCA_07">Model!$BU$46</definedName>
    <definedName name="PL_NCA_08">Model!$BX$46</definedName>
    <definedName name="PL_NCA_09">Model!$CA$46</definedName>
    <definedName name="PL_NCA_10">Model!$CD$46</definedName>
    <definedName name="PL_NCA_11">Model!$CG$46</definedName>
    <definedName name="PL_NCA_12">Model!$CJ$46</definedName>
    <definedName name="PL_NCA_13">Model!$CM$46</definedName>
    <definedName name="PL_NCA_14">Model!$CP$46</definedName>
    <definedName name="PL_NCA_15">Model!$CS$46</definedName>
    <definedName name="PL_NCA_16">Model!$CV$46</definedName>
    <definedName name="PL_NCA_17">Model!$CY$46</definedName>
    <definedName name="PL_NCA_18">Model!$DB$46</definedName>
    <definedName name="PL_NCA_19">Model!$DE$46</definedName>
    <definedName name="PL_NCA_20">Model!$DH$46</definedName>
    <definedName name="PL_NCA_H1_00">Model!$AX$46</definedName>
    <definedName name="PL_NCA_H1_01">Model!$BA$46</definedName>
    <definedName name="PL_NCA_H1_02">Model!$BD$46</definedName>
    <definedName name="PL_NCA_H1_03">Model!$BG$46</definedName>
    <definedName name="PL_NCA_H1_04">Model!$BJ$46</definedName>
    <definedName name="PL_NCA_H1_05">Model!$BM$46</definedName>
    <definedName name="PL_NCA_H1_06">Model!$BP$46</definedName>
    <definedName name="PL_NCA_H1_07">Model!$BS$46</definedName>
    <definedName name="PL_NCA_H1_08">Model!$BV$46</definedName>
    <definedName name="PL_NCA_H1_09">Model!$BY$46</definedName>
    <definedName name="PL_NCA_H1_10">Model!$CB$46</definedName>
    <definedName name="PL_NCA_H1_11">Model!$CE$46</definedName>
    <definedName name="PL_NCA_H1_12">Model!$CH$46</definedName>
    <definedName name="PL_NCA_H1_13">Model!$CK$46</definedName>
    <definedName name="PL_NCA_H1_14">Model!$CN$46</definedName>
    <definedName name="PL_NCA_H1_15">Model!$CQ$46</definedName>
    <definedName name="PL_NCA_H1_16">Model!$CT$46</definedName>
    <definedName name="PL_NCA_H1_17">Model!$CW$46</definedName>
    <definedName name="PL_NCA_H1_18">Model!$CZ$46</definedName>
    <definedName name="PL_NCA_H1_19">Model!$DC$46</definedName>
    <definedName name="PL_NCA_H1_20">Model!$DF$46</definedName>
    <definedName name="PL_NCA_H2_00">Model!$AY$46</definedName>
    <definedName name="PL_NCA_H2_01">Model!$BB$46</definedName>
    <definedName name="PL_NCA_H2_02">Model!$BE$46</definedName>
    <definedName name="PL_NCA_H2_03">Model!$BH$46</definedName>
    <definedName name="PL_NCA_H2_04">Model!$BK$46</definedName>
    <definedName name="PL_NCA_H2_05">Model!$BN$46</definedName>
    <definedName name="PL_NCA_H2_06">Model!$BQ$46</definedName>
    <definedName name="PL_NCA_H2_07">Model!$BT$46</definedName>
    <definedName name="PL_NCA_H2_08">Model!$BW$46</definedName>
    <definedName name="PL_NCA_H2_09">Model!$BZ$46</definedName>
    <definedName name="PL_NCA_H2_10">Model!$CC$46</definedName>
    <definedName name="PL_NCA_H2_11">Model!$CF$46</definedName>
    <definedName name="PL_NCA_H2_12">Model!$CI$46</definedName>
    <definedName name="PL_NCA_H2_13">Model!$CL$46</definedName>
    <definedName name="PL_NCA_H2_14">Model!$CO$46</definedName>
    <definedName name="PL_NCA_H2_15">Model!$CR$46</definedName>
    <definedName name="PL_NCA_H2_16">Model!$CU$46</definedName>
    <definedName name="PL_NCA_H2_17">Model!$CX$46</definedName>
    <definedName name="PL_NCA_H2_18">Model!$DA$46</definedName>
    <definedName name="PL_NCA_H2_19">Model!$DD$46</definedName>
    <definedName name="PL_NCA_H2_20">Model!$DG$46</definedName>
    <definedName name="PL_NEPS_00">Model!$AZ$91</definedName>
    <definedName name="PL_NEPS_01">Model!$BC$91</definedName>
    <definedName name="PL_NEPS_02">Model!$BF$91</definedName>
    <definedName name="PL_NEPS_03">Model!$BI$91</definedName>
    <definedName name="PL_NEPS_04">Model!$BL$91</definedName>
    <definedName name="PL_NEPS_05">Model!$BO$91</definedName>
    <definedName name="PL_NEPS_06">Model!$BR$91</definedName>
    <definedName name="PL_NEPS_07">Model!$BU$91</definedName>
    <definedName name="PL_NEPS_08">Model!$BX$91</definedName>
    <definedName name="PL_NEPS_09">Model!$CA$91</definedName>
    <definedName name="PL_NEPS_10">Model!$CD$91</definedName>
    <definedName name="PL_NEPS_11">Model!$CG$91</definedName>
    <definedName name="PL_NEPS_12">Model!$CJ$91</definedName>
    <definedName name="PL_NEPS_13">Model!$CM$91</definedName>
    <definedName name="PL_NEPS_14">Model!$CP$91</definedName>
    <definedName name="PL_NEPS_15">Model!$CS$91</definedName>
    <definedName name="PL_NEPS_16">Model!$CV$91</definedName>
    <definedName name="PL_NEPS_17">Model!$CY$91</definedName>
    <definedName name="PL_NEPS_18">Model!$DB$91</definedName>
    <definedName name="PL_NEPS_19">Model!$DE$91</definedName>
    <definedName name="PL_NEPS_20">Model!$DH$91</definedName>
    <definedName name="PL_NEPS_H1_00">Model!$AX$91</definedName>
    <definedName name="PL_NEPS_H1_01">Model!$BA$91</definedName>
    <definedName name="PL_NEPS_H1_02">Model!$BD$91</definedName>
    <definedName name="PL_NEPS_H1_03">Model!$BG$91</definedName>
    <definedName name="PL_NEPS_H1_04">Model!$BJ$91</definedName>
    <definedName name="PL_NEPS_H1_05">Model!$BM$91</definedName>
    <definedName name="PL_NEPS_H1_06">Model!$BP$91</definedName>
    <definedName name="PL_NEPS_H1_07">Model!$BS$91</definedName>
    <definedName name="PL_NEPS_H1_08">Model!$BV$91</definedName>
    <definedName name="PL_NEPS_H1_09">Model!$BY$91</definedName>
    <definedName name="PL_NEPS_H1_10">Model!$CB$91</definedName>
    <definedName name="PL_NEPS_H1_11">Model!$CE$91</definedName>
    <definedName name="PL_NEPS_H1_12">Model!$CH$91</definedName>
    <definedName name="PL_NEPS_H1_13">Model!$CK$91</definedName>
    <definedName name="PL_NEPS_H1_14">Model!$CN$91</definedName>
    <definedName name="PL_NEPS_H1_15">Model!$CQ$91</definedName>
    <definedName name="PL_NEPS_H1_16">Model!$CT$91</definedName>
    <definedName name="PL_NEPS_H1_17">Model!$CW$91</definedName>
    <definedName name="PL_NEPS_H1_18">Model!$CZ$91</definedName>
    <definedName name="PL_NEPS_H1_19">Model!$DC$91</definedName>
    <definedName name="PL_NEPS_H1_20">Model!$DF$91</definedName>
    <definedName name="PL_NEPS_H2_00">Model!$AY$91</definedName>
    <definedName name="PL_NEPS_H2_01">Model!$BB$91</definedName>
    <definedName name="PL_NEPS_H2_02">Model!$BE$91</definedName>
    <definedName name="PL_NEPS_H2_03">Model!$BH$91</definedName>
    <definedName name="PL_NEPS_H2_04">Model!$BK$91</definedName>
    <definedName name="PL_NEPS_H2_05">Model!$BN$91</definedName>
    <definedName name="PL_NEPS_H2_06">Model!$BQ$91</definedName>
    <definedName name="PL_NEPS_H2_07">Model!$BT$91</definedName>
    <definedName name="PL_NEPS_H2_08">Model!$BW$91</definedName>
    <definedName name="PL_NEPS_H2_09">Model!$BZ$91</definedName>
    <definedName name="PL_NEPS_H2_10">Model!$CC$91</definedName>
    <definedName name="PL_NEPS_H2_11">Model!$CF$91</definedName>
    <definedName name="PL_NEPS_H2_12">Model!$CI$91</definedName>
    <definedName name="PL_NEPS_H2_13">Model!$CL$91</definedName>
    <definedName name="PL_NEPS_H2_14">Model!$CO$91</definedName>
    <definedName name="PL_NEPS_H2_15">Model!$CR$91</definedName>
    <definedName name="PL_NEPS_H2_16">Model!$CU$91</definedName>
    <definedName name="PL_NEPS_H2_17">Model!$CX$91</definedName>
    <definedName name="PL_NEPS_H2_18">Model!$DA$91</definedName>
    <definedName name="PL_NEPS_H2_19">Model!$DD$91</definedName>
    <definedName name="PL_NEPS_H2_20">Model!$DG$91</definedName>
    <definedName name="PL_NPAT_05">Model!$BO$139</definedName>
    <definedName name="PL_NPAT_06">Model!$BR$139</definedName>
    <definedName name="PL_NPAT_07">Model!$BU$139</definedName>
    <definedName name="PL_NPAT_08">Model!$BX$139</definedName>
    <definedName name="PL_NPAT_09">Model!$CA$139</definedName>
    <definedName name="PL_NPAT_10">Model!$CD$139</definedName>
    <definedName name="PL_NPAT_11">Model!$CG$139</definedName>
    <definedName name="PL_NPAT_12">Model!$CJ$139</definedName>
    <definedName name="PL_NPAT_13">Model!$CM$139</definedName>
    <definedName name="PL_NPAT_14">Model!$CP$139</definedName>
    <definedName name="PL_NPAT_15">Model!$CS$139</definedName>
    <definedName name="PL_NPAT_16">Model!$CV$139</definedName>
    <definedName name="PL_NPAT_17">Model!$CY$139</definedName>
    <definedName name="PL_NPAT_18">Model!$DB$139</definedName>
    <definedName name="PL_NPAT_19">Model!$DE$139</definedName>
    <definedName name="PL_NPAT_20">Model!$DH$139</definedName>
    <definedName name="PL_NPAT_att_00">Model!$AZ$84</definedName>
    <definedName name="PL_NPAT_att_01">Model!$BC$84</definedName>
    <definedName name="PL_NPAT_att_02">Model!$BF$84</definedName>
    <definedName name="PL_NPAT_att_03">Model!$BI$84</definedName>
    <definedName name="PL_NPAT_att_04">Model!$BL$84</definedName>
    <definedName name="PL_NPAT_att_05">Model!$BO$84</definedName>
    <definedName name="PL_NPAT_att_06">Model!$BR$84</definedName>
    <definedName name="PL_NPAT_att_07">Model!$BU$84</definedName>
    <definedName name="PL_NPAT_att_08">Model!$BX$84</definedName>
    <definedName name="PL_NPAT_att_09">Model!$CA$84</definedName>
    <definedName name="PL_NPAT_att_10">Model!$CD$84</definedName>
    <definedName name="PL_NPAT_att_11">Model!$CG$84</definedName>
    <definedName name="PL_NPAT_att_12">Model!$CJ$84</definedName>
    <definedName name="PL_NPAT_att_13">Model!$CM$84</definedName>
    <definedName name="PL_NPAT_att_14">Model!$CP$84</definedName>
    <definedName name="PL_NPAT_att_15">Model!$CS$84</definedName>
    <definedName name="PL_NPAT_att_16">Model!$CV$84</definedName>
    <definedName name="PL_NPAT_att_17">Model!$CY$84</definedName>
    <definedName name="PL_NPAT_att_18">Model!$DB$84</definedName>
    <definedName name="PL_NPAT_att_19">Model!$DE$84</definedName>
    <definedName name="PL_NPAT_att_20">Model!$DH$84</definedName>
    <definedName name="PL_NPAT_att_H1_00">Model!$AX$84</definedName>
    <definedName name="PL_NPAT_att_H1_01">Model!$BA$84</definedName>
    <definedName name="PL_NPAT_att_H1_02">Model!$BD$84</definedName>
    <definedName name="PL_NPAT_att_H1_03">Model!$BG$84</definedName>
    <definedName name="PL_NPAT_att_H1_04">Model!$BJ$84</definedName>
    <definedName name="PL_NPAT_att_H1_05">Model!$BM$84</definedName>
    <definedName name="PL_NPAT_att_H1_06">Model!$BP$84</definedName>
    <definedName name="PL_NPAT_att_H1_07">Model!$BS$84</definedName>
    <definedName name="PL_NPAT_att_H1_08">Model!$BV$84</definedName>
    <definedName name="PL_NPAT_att_H1_09">Model!$BY$84</definedName>
    <definedName name="PL_NPAT_att_H1_10">Model!$CB$84</definedName>
    <definedName name="PL_NPAT_att_H1_11">Model!$CE$84</definedName>
    <definedName name="PL_NPAT_att_H1_12">Model!$CH$84</definedName>
    <definedName name="PL_NPAT_att_H1_13">Model!$CK$84</definedName>
    <definedName name="PL_NPAT_att_H1_14">Model!$CN$84</definedName>
    <definedName name="PL_NPAT_att_H1_15">Model!$CQ$84</definedName>
    <definedName name="PL_NPAT_att_H1_16">Model!$CT$84</definedName>
    <definedName name="PL_NPAT_att_H1_17">Model!$CW$84</definedName>
    <definedName name="PL_NPAT_att_H1_18">Model!$CZ$84</definedName>
    <definedName name="PL_NPAT_att_H1_19">Model!$DC$84</definedName>
    <definedName name="PL_NPAT_att_H1_20">Model!$DF$84</definedName>
    <definedName name="PL_NPAT_att_H2_00">Model!$AY$84</definedName>
    <definedName name="PL_NPAT_att_H2_01">Model!$BB$84</definedName>
    <definedName name="PL_NPAT_att_H2_02">Model!$BE$84</definedName>
    <definedName name="PL_NPAT_att_H2_03">Model!$BH$84</definedName>
    <definedName name="PL_NPAT_att_H2_04">Model!$BK$84</definedName>
    <definedName name="PL_NPAT_att_H2_05">Model!$BN$84</definedName>
    <definedName name="PL_NPAT_att_H2_06">Model!$BQ$84</definedName>
    <definedName name="PL_NPAT_att_H2_07">Model!$BT$84</definedName>
    <definedName name="PL_NPAT_att_H2_08">Model!$BW$84</definedName>
    <definedName name="PL_NPAT_att_H2_09">Model!$BZ$84</definedName>
    <definedName name="PL_NPAT_att_H2_10">Model!$CC$84</definedName>
    <definedName name="PL_NPAT_att_H2_11">Model!$CF$84</definedName>
    <definedName name="PL_NPAT_att_H2_12">Model!$CI$84</definedName>
    <definedName name="PL_NPAT_att_H2_13">Model!$CL$84</definedName>
    <definedName name="PL_NPAT_att_H2_14">Model!$CO$84</definedName>
    <definedName name="PL_NPAT_att_H2_15">Model!$CR$84</definedName>
    <definedName name="PL_NPAT_att_H2_16">Model!$CU$84</definedName>
    <definedName name="PL_NPAT_att_H2_17">Model!$CX$84</definedName>
    <definedName name="PL_NPAT_att_H2_18">Model!$DA$84</definedName>
    <definedName name="PL_NPAT_att_H2_19">Model!$DD$84</definedName>
    <definedName name="PL_NPAT_att_H2_20">Model!$DG$84</definedName>
    <definedName name="PL_NPAT_H1_00">Model!$AX$139</definedName>
    <definedName name="PL_NPAT_H1_01">Model!$BA$139</definedName>
    <definedName name="PL_NPAT_H1_02">Model!$BD$139</definedName>
    <definedName name="PL_NPAT_H1_03">Model!$BG$139</definedName>
    <definedName name="PL_NPAT_H1_04">Model!$BJ$139</definedName>
    <definedName name="PL_NPAT_H1_05">Model!$BM$139</definedName>
    <definedName name="PL_NPAT_H1_06">Model!$BP$139</definedName>
    <definedName name="PL_NPAT_H1_07">Model!$BS$139</definedName>
    <definedName name="PL_NPAT_H1_08">Model!$BV$139</definedName>
    <definedName name="PL_NPAT_H1_09">Model!$BY$139</definedName>
    <definedName name="PL_NPAT_H1_10">Model!$CB$139</definedName>
    <definedName name="PL_NPAT_H1_11">Model!$CE$139</definedName>
    <definedName name="PL_NPAT_H1_12">Model!$CH$139</definedName>
    <definedName name="PL_NPAT_H1_13">Model!$CK$139</definedName>
    <definedName name="PL_NPAT_H1_14">Model!$CN$139</definedName>
    <definedName name="PL_NPAT_H1_15">Model!$CQ$139</definedName>
    <definedName name="PL_NPAT_H1_16">Model!$CT$139</definedName>
    <definedName name="PL_NPAT_H1_17">Model!$CW$139</definedName>
    <definedName name="PL_NPAT_H1_18">Model!$CZ$139</definedName>
    <definedName name="PL_NPAT_H1_19">Model!$DC$139</definedName>
    <definedName name="PL_NPAT_H1_20">Model!$DF$139</definedName>
    <definedName name="PL_NPAT_H2_00">Model!$AY$139</definedName>
    <definedName name="PL_NPAT_H2_01">Model!$BB$139</definedName>
    <definedName name="PL_NPAT_H2_02">Model!$BE$139</definedName>
    <definedName name="PL_NPAT_H2_03">Model!$BH$139</definedName>
    <definedName name="PL_NPAT_H2_04">Model!$BK$139</definedName>
    <definedName name="PL_NPAT_H2_05">Model!$BN$139</definedName>
    <definedName name="PL_NPAT_H2_06">Model!$BQ$139</definedName>
    <definedName name="PL_NPAT_H2_07">Model!$BT$139</definedName>
    <definedName name="PL_NPAT_H2_08">Model!$BW$139</definedName>
    <definedName name="PL_NPAT_H2_09">Model!$BZ$139</definedName>
    <definedName name="PL_NPAT_H2_10">Model!$CC$139</definedName>
    <definedName name="PL_NPAT_H2_11">Model!$CF$139</definedName>
    <definedName name="PL_NPAT_H2_12">Model!$CI$139</definedName>
    <definedName name="PL_NPAT_H2_13">Model!$CL$139</definedName>
    <definedName name="PL_NPAT_H2_14">Model!$CO$139</definedName>
    <definedName name="PL_NPAT_H2_15">Model!$CR$139</definedName>
    <definedName name="PL_NPAT_H2_16">Model!$CU$139</definedName>
    <definedName name="PL_NPAT_H2_17">Model!$CX$139</definedName>
    <definedName name="PL_NPAT_H2_18">Model!$DA$139</definedName>
    <definedName name="PL_NPAT_H2_19">Model!$DD$139</definedName>
    <definedName name="PL_NPAT_H2_20">Model!$DG$139</definedName>
    <definedName name="PL_NPAT_N_00">Model!$AZ$90</definedName>
    <definedName name="PL_NPAT_N_01">Model!$BC$90</definedName>
    <definedName name="PL_NPAT_N_02">Model!$BF$90</definedName>
    <definedName name="PL_NPAT_N_03">Model!$BI$90</definedName>
    <definedName name="PL_NPAT_N_04">Model!$BL$90</definedName>
    <definedName name="PL_NPAT_N_05">Model!$BO$90</definedName>
    <definedName name="PL_NPAT_N_06">Model!$BR$90</definedName>
    <definedName name="PL_NPAT_N_07">Model!$BU$90</definedName>
    <definedName name="PL_NPAT_N_08">Model!$BX$90</definedName>
    <definedName name="PL_NPAT_N_09">Model!$CA$90</definedName>
    <definedName name="PL_NPAT_N_10">Model!$CD$90</definedName>
    <definedName name="PL_NPAT_N_11">Model!$CG$90</definedName>
    <definedName name="PL_NPAT_N_12">Model!$CJ$90</definedName>
    <definedName name="PL_NPAT_N_13">Model!$CM$90</definedName>
    <definedName name="PL_NPAT_N_14">Model!$CP$90</definedName>
    <definedName name="PL_NPAT_N_15">Model!$CS$90</definedName>
    <definedName name="PL_NPAT_N_16">Model!$CV$90</definedName>
    <definedName name="PL_NPAT_N_17">Model!$CY$90</definedName>
    <definedName name="PL_NPAT_N_18">Model!$DB$90</definedName>
    <definedName name="PL_NPAT_N_19">Model!$DE$90</definedName>
    <definedName name="PL_NPAT_N_20">Model!$DH$90</definedName>
    <definedName name="PL_NPAT_N_H1_00">Model!$AX$90</definedName>
    <definedName name="PL_NPAT_N_H1_01">Model!$BA$90</definedName>
    <definedName name="PL_NPAT_N_H1_02">Model!$BD$90</definedName>
    <definedName name="PL_NPAT_N_H1_03">Model!$BG$90</definedName>
    <definedName name="PL_NPAT_N_H1_04">Model!$BJ$90</definedName>
    <definedName name="PL_NPAT_N_H1_05">Model!$BM$90</definedName>
    <definedName name="PL_NPAT_N_H1_06">Model!$BP$90</definedName>
    <definedName name="PL_NPAT_N_H1_07">Model!$BS$90</definedName>
    <definedName name="PL_NPAT_N_H1_08">Model!$BV$90</definedName>
    <definedName name="PL_NPAT_N_H1_09">Model!$BY$90</definedName>
    <definedName name="PL_NPAT_N_H1_10">Model!$CB$90</definedName>
    <definedName name="PL_NPAT_N_H1_11">Model!$CE$90</definedName>
    <definedName name="PL_NPAT_N_H1_12">Model!$CH$90</definedName>
    <definedName name="PL_NPAT_N_H1_13">Model!$CK$90</definedName>
    <definedName name="PL_NPAT_N_H1_14">Model!$CN$90</definedName>
    <definedName name="PL_NPAT_N_H1_15">Model!$CQ$90</definedName>
    <definedName name="PL_NPAT_N_H1_16">Model!$CT$90</definedName>
    <definedName name="PL_NPAT_N_H1_17">Model!$CW$90</definedName>
    <definedName name="PL_NPAT_N_H1_18">Model!$CZ$90</definedName>
    <definedName name="PL_NPAT_N_H1_19">Model!$DC$90</definedName>
    <definedName name="PL_NPAT_N_H1_20">Model!$DF$90</definedName>
    <definedName name="PL_NPAT_N_H2_00">Model!$AY$90</definedName>
    <definedName name="PL_NPAT_N_H2_01">Model!$BB$90</definedName>
    <definedName name="PL_NPAT_N_H2_02">Model!$BE$90</definedName>
    <definedName name="PL_NPAT_N_H2_03">Model!$BH$90</definedName>
    <definedName name="PL_NPAT_N_H2_04">Model!$BK$90</definedName>
    <definedName name="PL_NPAT_N_H2_05">Model!$BN$90</definedName>
    <definedName name="PL_NPAT_N_H2_06">Model!$BQ$90</definedName>
    <definedName name="PL_NPAT_N_H2_07">Model!$BT$90</definedName>
    <definedName name="PL_NPAT_N_H2_08">Model!$BW$90</definedName>
    <definedName name="PL_NPAT_N_H2_09">Model!$BZ$90</definedName>
    <definedName name="PL_NPAT_N_H2_10">Model!$CC$90</definedName>
    <definedName name="PL_NPAT_N_H2_11">Model!$CF$90</definedName>
    <definedName name="PL_NPAT_N_H2_12">Model!$CI$90</definedName>
    <definedName name="PL_NPAT_N_H2_13">Model!$CL$90</definedName>
    <definedName name="PL_NPAT_N_H2_14">Model!$CO$90</definedName>
    <definedName name="PL_NPAT_N_H2_15">Model!$CR$90</definedName>
    <definedName name="PL_NPAT_N_H2_16">Model!$CU$90</definedName>
    <definedName name="PL_NPAT_N_H2_17">Model!$CX$90</definedName>
    <definedName name="PL_NPAT_N_H2_18">Model!$DA$90</definedName>
    <definedName name="PL_NPAT_N_H2_19">Model!$DD$90</definedName>
    <definedName name="PL_NPAT_N_H2_20">Model!$DG$90</definedName>
    <definedName name="PL_ODPS_00">Model!$AZ$348</definedName>
    <definedName name="PL_ODPS_01">Model!$BC$348</definedName>
    <definedName name="PL_ODPS_02">Model!$BF$348</definedName>
    <definedName name="PL_ODPS_03">Model!$BI$348</definedName>
    <definedName name="PL_ODPS_04">Model!$BL$348</definedName>
    <definedName name="PL_ODPS_05">Model!$BO$348</definedName>
    <definedName name="PL_ODPS_06">Model!$BR$348</definedName>
    <definedName name="PL_ODPS_07">Model!$BU$348</definedName>
    <definedName name="PL_ODPS_08">Model!$BX$348</definedName>
    <definedName name="PL_ODPS_09">Model!$CA$348</definedName>
    <definedName name="PL_ODPS_10">Model!$CD$348</definedName>
    <definedName name="PL_ODPS_11">Model!$CG$348</definedName>
    <definedName name="PL_ODPS_12">Model!$CJ$348</definedName>
    <definedName name="PL_ODPS_13">Model!$CM$348</definedName>
    <definedName name="PL_ODPS_14">Model!$CP$348</definedName>
    <definedName name="PL_ODPS_15">Model!$CS$348</definedName>
    <definedName name="PL_ODPS_16">Model!$CV$348</definedName>
    <definedName name="PL_ODPS_17">Model!$CY$348</definedName>
    <definedName name="PL_ODPS_18">Model!$DB$348</definedName>
    <definedName name="PL_ODPS_19">Model!$DE$348</definedName>
    <definedName name="PL_ODPS_20">Model!$DH$348</definedName>
    <definedName name="PL_ODPS_H1_00">Model!$AX$348</definedName>
    <definedName name="PL_ODPS_H1_01">Model!$BA$348</definedName>
    <definedName name="PL_ODPS_H1_02">Model!$BD$348</definedName>
    <definedName name="PL_ODPS_H1_03">Model!$BG$348</definedName>
    <definedName name="PL_ODPS_H1_04">Model!$BJ$348</definedName>
    <definedName name="PL_ODPS_H1_05">Model!$BM$348</definedName>
    <definedName name="PL_ODPS_H1_06">Model!$BP$348</definedName>
    <definedName name="PL_ODPS_H1_07">Model!$BS$348</definedName>
    <definedName name="PL_ODPS_H1_08">Model!$BV$348</definedName>
    <definedName name="PL_ODPS_H1_09">Model!$BY$348</definedName>
    <definedName name="PL_ODPS_H1_10">Model!$CB$348</definedName>
    <definedName name="PL_ODPS_H1_11">Model!$CE$348</definedName>
    <definedName name="PL_ODPS_H1_12">Model!$CH$348</definedName>
    <definedName name="PL_ODPS_H1_13">Model!$CK$348</definedName>
    <definedName name="PL_ODPS_H1_14">Model!$CN$348</definedName>
    <definedName name="PL_ODPS_H1_15">Model!$CQ$348</definedName>
    <definedName name="PL_ODPS_H1_16">Model!$CT$348</definedName>
    <definedName name="PL_ODPS_H1_17">Model!$CW$348</definedName>
    <definedName name="PL_ODPS_H1_18">Model!$CZ$348</definedName>
    <definedName name="PL_ODPS_H1_19">Model!$DC$348</definedName>
    <definedName name="PL_ODPS_H1_20">Model!$DF$348</definedName>
    <definedName name="PL_ODPS_H2_00">Model!$AY$348</definedName>
    <definedName name="PL_ODPS_H2_01">Model!$BB$348</definedName>
    <definedName name="PL_ODPS_H2_02">Model!$BE$348</definedName>
    <definedName name="PL_ODPS_H2_03">Model!$BH$348</definedName>
    <definedName name="PL_ODPS_H2_04">Model!$BK$348</definedName>
    <definedName name="PL_ODPS_H2_05">Model!$BN$348</definedName>
    <definedName name="PL_ODPS_H2_06">Model!$BQ$348</definedName>
    <definedName name="PL_ODPS_H2_07">Model!$BT$348</definedName>
    <definedName name="PL_ODPS_H2_08">Model!$BW$348</definedName>
    <definedName name="PL_ODPS_H2_09">Model!$BZ$348</definedName>
    <definedName name="PL_ODPS_H2_10">Model!$CC$348</definedName>
    <definedName name="PL_ODPS_H2_11">Model!$CF$348</definedName>
    <definedName name="PL_ODPS_H2_12">Model!$CI$348</definedName>
    <definedName name="PL_ODPS_H2_13">Model!$CL$348</definedName>
    <definedName name="PL_ODPS_H2_14">Model!$CO$348</definedName>
    <definedName name="PL_ODPS_H2_15">Model!$CR$348</definedName>
    <definedName name="PL_ODPS_H2_16">Model!$CU$348</definedName>
    <definedName name="PL_ODPS_H2_17">Model!$CX$348</definedName>
    <definedName name="PL_ODPS_H2_18">Model!$DA$348</definedName>
    <definedName name="PL_ODPS_H2_19">Model!$DD$348</definedName>
    <definedName name="PL_ODPS_H2_20">Model!$DG$348</definedName>
    <definedName name="PL_Oth_OpRev_00">Model!$AZ$32</definedName>
    <definedName name="PL_Oth_OpRev_01">Model!$BC$32</definedName>
    <definedName name="PL_Oth_OpRev_02">Model!$BF$32</definedName>
    <definedName name="PL_Oth_OpRev_03">Model!$BI$32</definedName>
    <definedName name="PL_Oth_OpRev_04">Model!$BL$32</definedName>
    <definedName name="PL_Oth_OpRev_05">Model!$BO$32</definedName>
    <definedName name="PL_Oth_OpRev_06">Model!$BR$32</definedName>
    <definedName name="PL_Oth_OpRev_07">Model!$BU$32</definedName>
    <definedName name="PL_Oth_OpRev_08">Model!$BX$32</definedName>
    <definedName name="PL_Oth_OpRev_09">Model!$CA$32</definedName>
    <definedName name="PL_Oth_OpRev_10">Model!$CD$32</definedName>
    <definedName name="PL_Oth_OpRev_11">Model!$CG$32</definedName>
    <definedName name="PL_Oth_OpRev_12">Model!$CJ$32</definedName>
    <definedName name="PL_Oth_OpRev_13">Model!$CM$32</definedName>
    <definedName name="PL_Oth_OpRev_14">Model!$CP$32</definedName>
    <definedName name="PL_Oth_OpRev_15">Model!$CS$32</definedName>
    <definedName name="PL_Oth_OpRev_16">Model!$CV$32</definedName>
    <definedName name="PL_Oth_OpRev_17">Model!$CY$32</definedName>
    <definedName name="PL_Oth_OpRev_18">Model!$DB$32</definedName>
    <definedName name="PL_Oth_OpRev_19">Model!$DE$32</definedName>
    <definedName name="PL_Oth_OpRev_20">Model!$DH$32</definedName>
    <definedName name="PL_Oth_OpRev_H1_00">Model!$AX$32</definedName>
    <definedName name="PL_Oth_OpRev_H1_01">Model!$BA$32</definedName>
    <definedName name="PL_Oth_OpRev_H1_02">Model!$BD$32</definedName>
    <definedName name="PL_Oth_OpRev_H1_04">Model!$BJ$32</definedName>
    <definedName name="PL_Oth_OpRev_H1_05">Model!$BM$32</definedName>
    <definedName name="PL_Oth_OpRev_H1_06">Model!$BP$32</definedName>
    <definedName name="PL_Oth_OpRev_H1_07">Model!$BS$32</definedName>
    <definedName name="PL_Oth_OpRev_H1_08">Model!$BV$32</definedName>
    <definedName name="PL_Oth_OpRev_H1_09">Model!$BY$32</definedName>
    <definedName name="PL_Oth_OpRev_H1_10">Model!$CB$32</definedName>
    <definedName name="PL_Oth_OpRev_H1_11">Model!$CE$32</definedName>
    <definedName name="PL_Oth_OpRev_H1_12">Model!$CH$32</definedName>
    <definedName name="PL_Oth_OpRev_H1_13">Model!$CK$32</definedName>
    <definedName name="PL_Oth_OpRev_H1_14">Model!$CN$32</definedName>
    <definedName name="PL_Oth_OpRev_H1_15">Model!$CQ$32</definedName>
    <definedName name="PL_Oth_OpRev_H1_16">Model!$CT$32</definedName>
    <definedName name="PL_Oth_OpRev_H1_17">Model!$CW$32</definedName>
    <definedName name="PL_Oth_OpRev_H1_18">Model!$CZ$32</definedName>
    <definedName name="PL_Oth_OpRev_H1_19">Model!$DC$32</definedName>
    <definedName name="PL_Oth_OpRev_H1_20">Model!$DF$32</definedName>
    <definedName name="PL_Oth_OpRev_H2_00">Model!$AY$32</definedName>
    <definedName name="PL_Oth_OpRev_H2_01">Model!$BB$32</definedName>
    <definedName name="PL_Oth_OpRev_H2_02">Model!$BE$32</definedName>
    <definedName name="PL_Oth_OpRev_H2_04">Model!$BK$32</definedName>
    <definedName name="PL_Oth_OpRev_H2_05">Model!$BN$32</definedName>
    <definedName name="PL_Oth_OpRev_H2_06">Model!$BQ$32</definedName>
    <definedName name="PL_Oth_OpRev_H2_07">Model!$BT$32</definedName>
    <definedName name="PL_Oth_OpRev_H2_08">Model!$BW$32</definedName>
    <definedName name="PL_Oth_OpRev_H2_09">Model!$BZ$32</definedName>
    <definedName name="PL_Oth_OpRev_H2_10">Model!$CC$32</definedName>
    <definedName name="PL_Oth_OpRev_H2_11">Model!$CF$32</definedName>
    <definedName name="PL_Oth_OpRev_H2_12">Model!$CI$32</definedName>
    <definedName name="PL_Oth_OpRev_H2_13">Model!$CL$32</definedName>
    <definedName name="PL_Oth_OpRev_H2_14">Model!$CO$32</definedName>
    <definedName name="PL_Oth_OpRev_H2_15">Model!$CR$32</definedName>
    <definedName name="PL_Oth_OpRev_H2_16">Model!$CU$32</definedName>
    <definedName name="PL_Oth_OpRev_H2_17">Model!$CX$32</definedName>
    <definedName name="PL_Oth_OpRev_H2_18">Model!$DA$32</definedName>
    <definedName name="PL_Oth_OpRev_H2_19">Model!$DD$32</definedName>
    <definedName name="PL_Oth_OpRev_H2_20">Model!$DG$32</definedName>
    <definedName name="PL_Other_00">Model!$AZ$53</definedName>
    <definedName name="PL_Other_01">Model!$BC$53</definedName>
    <definedName name="PL_Other_02">Model!$BF$53</definedName>
    <definedName name="PL_Other_03">Model!$BI$53</definedName>
    <definedName name="PL_Other_04">Model!$BL$53</definedName>
    <definedName name="PL_Other_05">Model!$BO$53</definedName>
    <definedName name="PL_Other_06">Model!$BR$53</definedName>
    <definedName name="PL_Other_07">Model!$BU$53</definedName>
    <definedName name="PL_Other_08">Model!$BX$53</definedName>
    <definedName name="PL_Other_09">Model!$CA$53</definedName>
    <definedName name="PL_Other_10">Model!$CD$53</definedName>
    <definedName name="PL_Other_11">Model!$CG$53</definedName>
    <definedName name="PL_Other_12">Model!$CJ$53</definedName>
    <definedName name="PL_Other_13">Model!$CM$53</definedName>
    <definedName name="PL_Other_14">Model!$CP$53</definedName>
    <definedName name="PL_Other_15">Model!$CS$53</definedName>
    <definedName name="PL_Other_16">Model!$CV$53</definedName>
    <definedName name="PL_Other_17">Model!$CY$53</definedName>
    <definedName name="PL_Other_18">Model!$DB$53</definedName>
    <definedName name="PL_Other_19">Model!$DE$53</definedName>
    <definedName name="PL_Other_20">Model!$DH$53</definedName>
    <definedName name="PL_Other_H1_00">Model!$AX$53</definedName>
    <definedName name="PL_Other_H1_01">Model!$BA$53</definedName>
    <definedName name="PL_Other_H1_02">Model!$BD$53</definedName>
    <definedName name="PL_Other_H1_04">Model!$BJ$53</definedName>
    <definedName name="PL_Other_H1_05">Model!$BM$53</definedName>
    <definedName name="PL_Other_H1_06">Model!$BP$53</definedName>
    <definedName name="PL_Other_H1_07">Model!$BS$53</definedName>
    <definedName name="PL_Other_H1_08">Model!$BV$53</definedName>
    <definedName name="PL_Other_H1_09">Model!$BY$53</definedName>
    <definedName name="PL_Other_H1_10">Model!$CB$53</definedName>
    <definedName name="PL_Other_H1_11">Model!$CE$53</definedName>
    <definedName name="PL_Other_H1_12">Model!$CH$53</definedName>
    <definedName name="PL_Other_H1_13">Model!$CK$53</definedName>
    <definedName name="PL_Other_H1_14">Model!$CN$53</definedName>
    <definedName name="PL_Other_H1_15">Model!$CQ$53</definedName>
    <definedName name="PL_Other_H1_16">Model!$CT$53</definedName>
    <definedName name="PL_Other_H1_17">Model!$CW$53</definedName>
    <definedName name="PL_Other_H1_18">Model!$CZ$53</definedName>
    <definedName name="PL_Other_H1_19">Model!$DC$53</definedName>
    <definedName name="PL_Other_H1_20">Model!$DF$53</definedName>
    <definedName name="PL_Other_H2_00">Model!$AY$53</definedName>
    <definedName name="PL_Other_H2_01">Model!$BB$53</definedName>
    <definedName name="PL_Other_H2_02">Model!$BE$53</definedName>
    <definedName name="PL_Other_H2_04">Model!$BK$53</definedName>
    <definedName name="PL_Other_H2_05">Model!$BN$53</definedName>
    <definedName name="PL_Other_H2_06">Model!$BQ$53</definedName>
    <definedName name="PL_Other_H2_07">Model!$BT$53</definedName>
    <definedName name="PL_Other_H2_08">Model!$BW$53</definedName>
    <definedName name="PL_Other_H2_09">Model!$BZ$53</definedName>
    <definedName name="PL_Other_H2_10">Model!$CC$53</definedName>
    <definedName name="PL_Other_H2_11">Model!$CF$53</definedName>
    <definedName name="PL_Other_H2_12">Model!$CI$53</definedName>
    <definedName name="PL_Other_H2_13">Model!$CL$53</definedName>
    <definedName name="PL_Other_H2_14">Model!$CO$53</definedName>
    <definedName name="PL_Other_H2_15">Model!$CR$53</definedName>
    <definedName name="PL_Other_H2_16">Model!$CU$53</definedName>
    <definedName name="PL_Other_H2_17">Model!$CX$53</definedName>
    <definedName name="PL_Other_H2_18">Model!$DA$53</definedName>
    <definedName name="PL_Other_H2_19">Model!$DD$53</definedName>
    <definedName name="PL_Other_H2_20">Model!$DG$53</definedName>
    <definedName name="PL_Other_Rev_00">Model!$AZ$41</definedName>
    <definedName name="PL_Other_Rev_01">Model!$BC$41</definedName>
    <definedName name="PL_Other_Rev_02">Model!$BF$41</definedName>
    <definedName name="PL_Other_Rev_03">Model!$BI$41</definedName>
    <definedName name="PL_Other_Rev_04">Model!$BL$41</definedName>
    <definedName name="PL_Other_Rev_05">Model!$BO$41</definedName>
    <definedName name="PL_Other_Rev_06">Model!$BR$41</definedName>
    <definedName name="PL_Other_Rev_07">Model!$BU$41</definedName>
    <definedName name="PL_Other_Rev_08">Model!$BX$41</definedName>
    <definedName name="PL_Other_Rev_09">Model!$CA$41</definedName>
    <definedName name="PL_Other_Rev_10">Model!$CD$41</definedName>
    <definedName name="PL_Other_Rev_11">Model!$CG$41</definedName>
    <definedName name="PL_Other_Rev_12">Model!$CJ$41</definedName>
    <definedName name="PL_Other_Rev_13">Model!$CM$41</definedName>
    <definedName name="PL_Other_Rev_14">Model!$CP$41</definedName>
    <definedName name="PL_Other_Rev_15">Model!$CS$41</definedName>
    <definedName name="PL_Other_Rev_16">Model!$CV$41</definedName>
    <definedName name="PL_Other_Rev_17">Model!$CY$41</definedName>
    <definedName name="PL_Other_Rev_18">Model!$DB$41</definedName>
    <definedName name="PL_Other_Rev_19">Model!$DE$41</definedName>
    <definedName name="PL_Other_Rev_20">Model!$DH$41</definedName>
    <definedName name="PL_Other_Rev_H1_00">Model!$AX$41</definedName>
    <definedName name="PL_Other_Rev_H1_01">Model!$BA$41</definedName>
    <definedName name="PL_Other_Rev_H1_02">Model!$BD$41</definedName>
    <definedName name="PL_Other_Rev_H1_03">Model!$BG$41</definedName>
    <definedName name="PL_Other_Rev_H1_04">Model!$BJ$41</definedName>
    <definedName name="PL_Other_Rev_H1_05">Model!$BM$41</definedName>
    <definedName name="PL_Other_Rev_H1_06">Model!$BP$41</definedName>
    <definedName name="PL_Other_Rev_H1_07">Model!$BS$41</definedName>
    <definedName name="PL_Other_Rev_H1_08">Model!$BV$41</definedName>
    <definedName name="PL_Other_Rev_H1_09">Model!$BY$41</definedName>
    <definedName name="PL_Other_Rev_H1_10">Model!$CB$41</definedName>
    <definedName name="PL_Other_Rev_H1_11">Model!$CE$41</definedName>
    <definedName name="PL_Other_Rev_H1_12">Model!$CH$41</definedName>
    <definedName name="PL_Other_Rev_H1_13">Model!$CK$41</definedName>
    <definedName name="PL_Other_Rev_H1_14">Model!$CN$41</definedName>
    <definedName name="PL_Other_Rev_H1_15">Model!$CQ$41</definedName>
    <definedName name="PL_Other_Rev_H1_16">Model!$CT$41</definedName>
    <definedName name="PL_Other_Rev_H1_17">Model!$CW$41</definedName>
    <definedName name="PL_Other_Rev_H1_18">Model!$CZ$41</definedName>
    <definedName name="PL_Other_Rev_H1_19">Model!$DC$41</definedName>
    <definedName name="PL_Other_Rev_H1_20">Model!$DF$41</definedName>
    <definedName name="PL_Other_Rev_H2_00">Model!$AY$41</definedName>
    <definedName name="PL_Other_Rev_H2_01">Model!$BB$41</definedName>
    <definedName name="PL_Other_Rev_H2_02">Model!$BE$41</definedName>
    <definedName name="PL_Other_Rev_H2_03">Model!$BH$41</definedName>
    <definedName name="PL_Other_Rev_H2_04">Model!$BK$41</definedName>
    <definedName name="PL_Other_Rev_H2_05">Model!$BN$41</definedName>
    <definedName name="PL_Other_Rev_H2_06">Model!$BQ$41</definedName>
    <definedName name="PL_Other_Rev_H2_07">Model!$BT$41</definedName>
    <definedName name="PL_Other_Rev_H2_08">Model!$BW$41</definedName>
    <definedName name="PL_Other_Rev_H2_09">Model!$BZ$41</definedName>
    <definedName name="PL_Other_Rev_H2_10">Model!$CC$41</definedName>
    <definedName name="PL_Other_Rev_H2_11">Model!$CF$41</definedName>
    <definedName name="PL_Other_Rev_H2_12">Model!$CI$41</definedName>
    <definedName name="PL_Other_Rev_H2_13">Model!$CL$41</definedName>
    <definedName name="PL_Other_Rev_H2_14">Model!$CO$41</definedName>
    <definedName name="PL_Other_Rev_H2_15">Model!$CR$41</definedName>
    <definedName name="PL_Other_Rev_H2_16">Model!$CU$41</definedName>
    <definedName name="PL_Other_Rev_H2_17">Model!$CX$41</definedName>
    <definedName name="PL_Other_Rev_H2_18">Model!$DA$41</definedName>
    <definedName name="PL_Other_Rev_H2_19">Model!$DD$41</definedName>
    <definedName name="PL_Other_Rev_H2_20">Model!$DG$41</definedName>
    <definedName name="PL_PrefDividend_00">Model!$AZ$83</definedName>
    <definedName name="PL_PrefDividend_01">Model!$BC$83</definedName>
    <definedName name="PL_PrefDividend_02">Model!$BF$83</definedName>
    <definedName name="PL_PrefDividend_03">Model!$BI$83</definedName>
    <definedName name="PL_PrefDividend_04">Model!$BL$83</definedName>
    <definedName name="PL_PrefDividend_05">Model!$BO$83</definedName>
    <definedName name="PL_PrefDividend_06">Model!$BR$83</definedName>
    <definedName name="PL_PrefDividend_07">Model!$BU$83</definedName>
    <definedName name="PL_PrefDividend_08">Model!$BX$83</definedName>
    <definedName name="PL_PrefDividend_09">Model!$CA$83</definedName>
    <definedName name="PL_PrefDividend_10">Model!$CD$83</definedName>
    <definedName name="PL_PrefDividend_11">Model!$CG$83</definedName>
    <definedName name="PL_PrefDividend_12">Model!$CJ$83</definedName>
    <definedName name="PL_PrefDividend_13">Model!$CM$83</definedName>
    <definedName name="PL_PrefDividend_14">Model!$CP$83</definedName>
    <definedName name="PL_PrefDividend_15">Model!$CS$83</definedName>
    <definedName name="PL_PrefDividend_16">Model!$CV$83</definedName>
    <definedName name="PL_PrefDividend_17">Model!$CY$83</definedName>
    <definedName name="PL_PrefDividend_18">Model!$DB$83</definedName>
    <definedName name="PL_PrefDividend_19">Model!$DE$83</definedName>
    <definedName name="PL_PrefDividend_20">Model!$DH$83</definedName>
    <definedName name="PL_PrefDividend_H1_00">Model!$AX$83</definedName>
    <definedName name="PL_PrefDividend_H1_01">Model!$BA$83</definedName>
    <definedName name="PL_PrefDividend_H1_02">Model!$BD$83</definedName>
    <definedName name="PL_PrefDividend_H1_03">Model!$BG$83</definedName>
    <definedName name="PL_PrefDividend_H1_04">Model!$BJ$83</definedName>
    <definedName name="PL_PrefDividend_H1_05">Model!$BM$83</definedName>
    <definedName name="PL_PrefDividend_H1_06">Model!$BP$83</definedName>
    <definedName name="PL_PrefDividend_H1_07">Model!$BS$83</definedName>
    <definedName name="PL_PrefDividend_H1_08">Model!$BV$83</definedName>
    <definedName name="PL_PrefDividend_H1_09">Model!$BY$83</definedName>
    <definedName name="PL_PrefDividend_H1_10">Model!$CB$83</definedName>
    <definedName name="PL_PrefDividend_H1_11">Model!$CE$83</definedName>
    <definedName name="PL_PrefDividend_H1_12">Model!$CH$83</definedName>
    <definedName name="PL_PrefDividend_H1_13">Model!$CK$83</definedName>
    <definedName name="PL_PrefDividend_H1_14">Model!$CN$83</definedName>
    <definedName name="PL_PrefDividend_H1_15">Model!$CQ$83</definedName>
    <definedName name="PL_PrefDividend_H1_16">Model!$CT$83</definedName>
    <definedName name="PL_PrefDividend_H1_17">Model!$CW$83</definedName>
    <definedName name="PL_PrefDividend_H1_18">Model!$CZ$83</definedName>
    <definedName name="PL_PrefDividend_H1_19">Model!$DC$83</definedName>
    <definedName name="PL_PrefDividend_H1_20">Model!$DF$83</definedName>
    <definedName name="PL_PrefDividend_H2_00">Model!$AY$83</definedName>
    <definedName name="PL_PrefDividend_H2_01">Model!$BB$83</definedName>
    <definedName name="PL_PrefDividend_H2_02">Model!$BE$83</definedName>
    <definedName name="PL_PrefDividend_H2_03">Model!$BH$83</definedName>
    <definedName name="PL_PrefDividend_H2_04">Model!$BK$83</definedName>
    <definedName name="PL_PrefDividend_H2_05">Model!$BN$83</definedName>
    <definedName name="PL_PrefDividend_H2_06">Model!$BQ$83</definedName>
    <definedName name="PL_PrefDividend_H2_07">Model!$BT$83</definedName>
    <definedName name="PL_PrefDividend_H2_08">Model!$BW$83</definedName>
    <definedName name="PL_PrefDividend_H2_09">Model!$BZ$83</definedName>
    <definedName name="PL_PrefDividend_H2_10">Model!$CC$83</definedName>
    <definedName name="PL_PrefDividend_H2_11">Model!$CF$83</definedName>
    <definedName name="PL_PrefDividend_H2_12">Model!$CI$83</definedName>
    <definedName name="PL_PrefDividend_H2_13">Model!$CL$83</definedName>
    <definedName name="PL_PrefDividend_H2_14">Model!$CO$83</definedName>
    <definedName name="PL_PrefDividend_H2_15">Model!$CR$83</definedName>
    <definedName name="PL_PrefDividend_H2_16">Model!$CU$83</definedName>
    <definedName name="PL_PrefDividend_H2_17">Model!$CX$83</definedName>
    <definedName name="PL_PrefDividend_H2_18">Model!$DA$83</definedName>
    <definedName name="PL_PrefDividend_H2_19">Model!$DD$83</definedName>
    <definedName name="PL_PrefDividend_H2_20">Model!$DG$83</definedName>
    <definedName name="PL_Prov_00">Model!$AZ$48</definedName>
    <definedName name="PL_Prov_01">Model!$BC$48</definedName>
    <definedName name="PL_Prov_02">Model!$BF$48</definedName>
    <definedName name="PL_Prov_03">Model!$BI$48</definedName>
    <definedName name="PL_Prov_04">Model!$BL$48</definedName>
    <definedName name="PL_Prov_05">Model!$BO$48</definedName>
    <definedName name="PL_Prov_06">Model!$BR$48</definedName>
    <definedName name="PL_Prov_07">Model!$BU$48</definedName>
    <definedName name="PL_Prov_08">Model!$BX$48</definedName>
    <definedName name="PL_Prov_09">Model!$CA$48</definedName>
    <definedName name="PL_Prov_10">Model!$CD$48</definedName>
    <definedName name="PL_Prov_11">Model!$CG$48</definedName>
    <definedName name="PL_Prov_12">Model!$CJ$48</definedName>
    <definedName name="PL_Prov_13">Model!$CM$48</definedName>
    <definedName name="PL_Prov_14">Model!$CP$48</definedName>
    <definedName name="PL_Prov_15">Model!$CS$48</definedName>
    <definedName name="PL_Prov_16">Model!$CV$48</definedName>
    <definedName name="PL_Prov_17">Model!$CY$48</definedName>
    <definedName name="PL_Prov_18">Model!$DB$48</definedName>
    <definedName name="PL_Prov_19">Model!$DE$48</definedName>
    <definedName name="PL_Prov_20">Model!$DH$48</definedName>
    <definedName name="PL_Prov_H1_00">Model!$AX$48</definedName>
    <definedName name="PL_Prov_H1_01">Model!$BA$48</definedName>
    <definedName name="PL_Prov_H1_02">Model!$BD$48</definedName>
    <definedName name="PL_Prov_H1_03">Model!$BG$48</definedName>
    <definedName name="PL_Prov_H1_04">Model!$BJ$48</definedName>
    <definedName name="PL_Prov_H1_05">Model!$BM$48</definedName>
    <definedName name="PL_Prov_H1_06">Model!$BP$48</definedName>
    <definedName name="PL_Prov_H1_07">Model!$BS$48</definedName>
    <definedName name="PL_Prov_H1_08">Model!$BV$48</definedName>
    <definedName name="PL_Prov_H1_09">Model!$BY$48</definedName>
    <definedName name="PL_Prov_H1_10">Model!$CB$48</definedName>
    <definedName name="PL_Prov_H1_11">Model!$CE$48</definedName>
    <definedName name="PL_Prov_H1_12">Model!$CH$48</definedName>
    <definedName name="PL_Prov_H1_13">Model!$CK$48</definedName>
    <definedName name="PL_Prov_H1_14">Model!$CN$48</definedName>
    <definedName name="PL_Prov_H1_15">Model!$CQ$48</definedName>
    <definedName name="PL_Prov_H1_16">Model!$CT$48</definedName>
    <definedName name="PL_Prov_H1_17">Model!$CW$48</definedName>
    <definedName name="PL_Prov_H1_18">Model!$CZ$48</definedName>
    <definedName name="PL_Prov_H1_19">Model!$DC$48</definedName>
    <definedName name="PL_Prov_H1_20">Model!$DF$48</definedName>
    <definedName name="PL_Prov_H2_00">Model!$AY$48</definedName>
    <definedName name="PL_Prov_H2_01">Model!$BB$48</definedName>
    <definedName name="PL_Prov_H2_02">Model!$BE$48</definedName>
    <definedName name="PL_Prov_H2_03">Model!$BH$48</definedName>
    <definedName name="PL_Prov_H2_04">Model!$BK$48</definedName>
    <definedName name="PL_Prov_H2_05">Model!$BN$48</definedName>
    <definedName name="PL_Prov_H2_06">Model!$BQ$48</definedName>
    <definedName name="PL_Prov_H2_07">Model!$BT$48</definedName>
    <definedName name="PL_Prov_H2_08">Model!$BW$48</definedName>
    <definedName name="PL_Prov_H2_09">Model!$BZ$48</definedName>
    <definedName name="PL_Prov_H2_10">Model!$CC$48</definedName>
    <definedName name="PL_Prov_H2_11">Model!$CF$48</definedName>
    <definedName name="PL_Prov_H2_12">Model!$CI$48</definedName>
    <definedName name="PL_Prov_H2_13">Model!$CL$48</definedName>
    <definedName name="PL_Prov_H2_14">Model!$CO$48</definedName>
    <definedName name="PL_Prov_H2_15">Model!$CR$48</definedName>
    <definedName name="PL_Prov_H2_16">Model!$CU$48</definedName>
    <definedName name="PL_Prov_H2_17">Model!$CX$48</definedName>
    <definedName name="PL_Prov_H2_18">Model!$DA$48</definedName>
    <definedName name="PL_Prov_H2_19">Model!$DD$48</definedName>
    <definedName name="PL_Prov_H2_20">Model!$DG$48</definedName>
    <definedName name="PL_PTP_00">Model!$AZ$79</definedName>
    <definedName name="PL_PTP_01">Model!$BC$79</definedName>
    <definedName name="PL_PTP_02">Model!$BF$79</definedName>
    <definedName name="PL_PTP_03">Model!$BI$79</definedName>
    <definedName name="PL_PTP_04">Model!$BL$79</definedName>
    <definedName name="PL_PTP_05">Model!$BO$79</definedName>
    <definedName name="PL_PTP_06">Model!$BR$79</definedName>
    <definedName name="PL_PTP_07">Model!$BU$79</definedName>
    <definedName name="PL_PTP_08">Model!$BX$79</definedName>
    <definedName name="PL_PTP_09">Model!$CA$79</definedName>
    <definedName name="PL_PTP_10">Model!$CD$79</definedName>
    <definedName name="PL_PTP_11">Model!$CG$79</definedName>
    <definedName name="PL_PTP_12">Model!$CJ$79</definedName>
    <definedName name="PL_PTP_13">Model!$CM$79</definedName>
    <definedName name="PL_PTP_14">Model!$CP$79</definedName>
    <definedName name="PL_PTP_15">Model!$CS$79</definedName>
    <definedName name="PL_PTP_16">Model!$CV$79</definedName>
    <definedName name="PL_PTP_17">Model!$CY$79</definedName>
    <definedName name="PL_PTP_18">Model!$DB$79</definedName>
    <definedName name="PL_PTP_19">Model!$DE$79</definedName>
    <definedName name="PL_PTP_20">Model!$DH$79</definedName>
    <definedName name="PL_PTP_H1_00">Model!$AX$79</definedName>
    <definedName name="PL_PTP_H1_01">Model!$BA$79</definedName>
    <definedName name="PL_PTP_H1_02">Model!$BD$79</definedName>
    <definedName name="PL_PTP_H1_03">Model!$BG$79</definedName>
    <definedName name="PL_PTP_H1_04">Model!$BJ$79</definedName>
    <definedName name="PL_PTP_H1_05">Model!$BM$79</definedName>
    <definedName name="PL_PTP_H1_06">Model!$BP$79</definedName>
    <definedName name="PL_PTP_H1_07">Model!$BS$79</definedName>
    <definedName name="PL_PTP_H1_08">Model!$BV$79</definedName>
    <definedName name="PL_PTP_H1_09">Model!$BY$79</definedName>
    <definedName name="PL_PTP_H1_10">Model!$CB$79</definedName>
    <definedName name="PL_PTP_H1_11">Model!$CE$79</definedName>
    <definedName name="PL_PTP_H1_12">Model!$CH$79</definedName>
    <definedName name="PL_PTP_H1_13">Model!$CK$79</definedName>
    <definedName name="PL_PTP_H1_14">Model!$CN$79</definedName>
    <definedName name="PL_PTP_H1_15">Model!$CQ$79</definedName>
    <definedName name="PL_PTP_H1_16">Model!$CT$79</definedName>
    <definedName name="PL_PTP_H1_17">Model!$CW$79</definedName>
    <definedName name="PL_PTP_H1_18">Model!$CZ$79</definedName>
    <definedName name="PL_PTP_H1_19">Model!$DC$79</definedName>
    <definedName name="PL_PTP_H1_20">Model!$DF$79</definedName>
    <definedName name="PL_PTP_H2_00">Model!$AY$79</definedName>
    <definedName name="PL_PTP_H2_01">Model!$BB$79</definedName>
    <definedName name="PL_PTP_H2_02">Model!$BE$79</definedName>
    <definedName name="PL_PTP_H2_03">Model!$BH$79</definedName>
    <definedName name="PL_PTP_H2_04">Model!$BK$79</definedName>
    <definedName name="PL_PTP_H2_05">Model!$BN$79</definedName>
    <definedName name="PL_PTP_H2_06">Model!$BQ$79</definedName>
    <definedName name="PL_PTP_H2_07">Model!$BT$79</definedName>
    <definedName name="PL_PTP_H2_08">Model!$BW$79</definedName>
    <definedName name="PL_PTP_H2_09">Model!$BZ$79</definedName>
    <definedName name="PL_PTP_H2_10">Model!$CC$79</definedName>
    <definedName name="PL_PTP_H2_11">Model!$CF$79</definedName>
    <definedName name="PL_PTP_H2_12">Model!$CI$79</definedName>
    <definedName name="PL_PTP_H2_13">Model!$CL$79</definedName>
    <definedName name="PL_PTP_H2_14">Model!$CO$79</definedName>
    <definedName name="PL_PTP_H2_15">Model!$CR$79</definedName>
    <definedName name="PL_PTP_H2_16">Model!$CU$79</definedName>
    <definedName name="PL_PTP_H2_17">Model!$CX$79</definedName>
    <definedName name="PL_PTP_H2_18">Model!$DA$79</definedName>
    <definedName name="PL_PTP_H2_19">Model!$DD$79</definedName>
    <definedName name="PL_PTP_H2_20">Model!$DG$79</definedName>
    <definedName name="PL_RD_00">Model!$AZ$45</definedName>
    <definedName name="PL_RD_01">Model!$BC$45</definedName>
    <definedName name="PL_RD_02">Model!$BF$45</definedName>
    <definedName name="PL_RD_03">Model!$BI$45</definedName>
    <definedName name="PL_RD_04">Model!$BL$45</definedName>
    <definedName name="PL_RD_05">Model!$BO$45</definedName>
    <definedName name="PL_RD_06">Model!$BR$45</definedName>
    <definedName name="PL_RD_07">Model!$BU$45</definedName>
    <definedName name="PL_RD_08">Model!$BX$45</definedName>
    <definedName name="PL_RD_09">Model!$CA$45</definedName>
    <definedName name="PL_RD_10">Model!$CD$45</definedName>
    <definedName name="PL_RD_11">Model!$CG$45</definedName>
    <definedName name="PL_RD_12">Model!$CJ$45</definedName>
    <definedName name="PL_RD_13">Model!$CM$45</definedName>
    <definedName name="PL_RD_14">Model!$CP$45</definedName>
    <definedName name="PL_RD_15">Model!$CS$45</definedName>
    <definedName name="PL_RD_16">Model!$CV$45</definedName>
    <definedName name="PL_RD_17">Model!$CY$45</definedName>
    <definedName name="PL_RD_18">Model!$DB$45</definedName>
    <definedName name="PL_RD_19">Model!$DE$45</definedName>
    <definedName name="PL_RD_20">Model!$DH$45</definedName>
    <definedName name="PL_RD_H1_00">Model!$AX$45</definedName>
    <definedName name="PL_RD_H1_01">Model!$BA$45</definedName>
    <definedName name="PL_RD_H1_02">Model!$BD$45</definedName>
    <definedName name="PL_RD_H1_03">Model!$BG$45</definedName>
    <definedName name="PL_RD_H1_04">Model!$BJ$45</definedName>
    <definedName name="PL_RD_H1_05">Model!$BM$45</definedName>
    <definedName name="PL_RD_H1_06">Model!$BP$45</definedName>
    <definedName name="PL_RD_H1_07">Model!$BS$45</definedName>
    <definedName name="PL_RD_H1_08">Model!$BV$45</definedName>
    <definedName name="PL_RD_H1_09">Model!$BY$45</definedName>
    <definedName name="PL_RD_H1_10">Model!$CB$45</definedName>
    <definedName name="PL_RD_H1_11">Model!$CE$45</definedName>
    <definedName name="PL_RD_H1_12">Model!$CH$45</definedName>
    <definedName name="PL_RD_H1_13">Model!$CK$45</definedName>
    <definedName name="PL_RD_H1_14">Model!$CN$45</definedName>
    <definedName name="PL_RD_H1_15">Model!$CQ$45</definedName>
    <definedName name="PL_RD_H1_16">Model!$CT$45</definedName>
    <definedName name="PL_RD_H1_17">Model!$CW$45</definedName>
    <definedName name="PL_RD_H1_18">Model!$CZ$45</definedName>
    <definedName name="PL_RD_H1_19">Model!$DC$45</definedName>
    <definedName name="PL_RD_H1_20">Model!$DF$45</definedName>
    <definedName name="PL_RD_H2_00">Model!$AY$45</definedName>
    <definedName name="PL_RD_H2_01">Model!$BB$45</definedName>
    <definedName name="PL_RD_H2_02">Model!$BE$45</definedName>
    <definedName name="PL_RD_H2_03">Model!$BH$45</definedName>
    <definedName name="PL_RD_H2_04">Model!$BK$45</definedName>
    <definedName name="PL_RD_H2_05">Model!$BN$45</definedName>
    <definedName name="PL_RD_H2_06">Model!$BQ$45</definedName>
    <definedName name="PL_RD_H2_07">Model!$BT$45</definedName>
    <definedName name="PL_RD_H2_08">Model!$BW$45</definedName>
    <definedName name="PL_RD_H2_09">Model!$BZ$45</definedName>
    <definedName name="PL_RD_H2_10">Model!$CC$45</definedName>
    <definedName name="PL_RD_H2_11">Model!$CF$45</definedName>
    <definedName name="PL_RD_H2_12">Model!$CI$45</definedName>
    <definedName name="PL_RD_H2_13">Model!$CL$45</definedName>
    <definedName name="PL_RD_H2_14">Model!$CO$45</definedName>
    <definedName name="PL_RD_H2_15">Model!$CR$45</definedName>
    <definedName name="PL_RD_H2_16">Model!$CU$45</definedName>
    <definedName name="PL_RD_H2_17">Model!$CX$45</definedName>
    <definedName name="PL_RD_H2_18">Model!$DA$45</definedName>
    <definedName name="PL_RD_H2_19">Model!$DD$45</definedName>
    <definedName name="PL_RD_H2_20">Model!$DG$45</definedName>
    <definedName name="PL_REPS_00">Model!$AZ$140</definedName>
    <definedName name="PL_REPS_01">Model!$BC$140</definedName>
    <definedName name="PL_REPS_02">Model!$BF$140</definedName>
    <definedName name="PL_REPS_03">Model!$BI$140</definedName>
    <definedName name="PL_REPS_04">Model!$BL$140</definedName>
    <definedName name="PL_REPS_05">Model!$BO$140</definedName>
    <definedName name="PL_REPS_06">Model!$BR$140</definedName>
    <definedName name="PL_REPS_07">Model!$BU$140</definedName>
    <definedName name="PL_REPS_08">Model!$BX$140</definedName>
    <definedName name="PL_REPS_09">Model!$CA$140</definedName>
    <definedName name="PL_REPS_10">Model!$CD$140</definedName>
    <definedName name="PL_REPS_11">Model!$CG$140</definedName>
    <definedName name="PL_REPS_12">Model!$CJ$140</definedName>
    <definedName name="PL_REPS_13">Model!$CM$140</definedName>
    <definedName name="PL_REPS_14">Model!$CP$140</definedName>
    <definedName name="PL_REPS_15">Model!$CS$140</definedName>
    <definedName name="PL_REPS_16">Model!$CV$140</definedName>
    <definedName name="PL_REPS_17">Model!$CY$140</definedName>
    <definedName name="PL_REPS_18">Model!$DB$140</definedName>
    <definedName name="PL_REPS_19">Model!$DE$140</definedName>
    <definedName name="PL_REPS_20">Model!$DH$140</definedName>
    <definedName name="PL_REPS_BA_00">Model!$AZ$11</definedName>
    <definedName name="PL_REPS_BA_01">Model!$BC$11</definedName>
    <definedName name="PL_REPS_BA_02">Model!$BF$11</definedName>
    <definedName name="PL_REPS_BA_03">Model!$BI$11</definedName>
    <definedName name="PL_REPS_BA_04">Model!$BL$11</definedName>
    <definedName name="PL_REPS_BA_05">Model!$BO$11</definedName>
    <definedName name="PL_REPS_BA_06">Model!$BR$11</definedName>
    <definedName name="PL_REPS_BA_07">Model!$BU$11</definedName>
    <definedName name="PL_REPS_BA_08">Model!$BX$11</definedName>
    <definedName name="PL_REPS_BA_09">Model!$CA$11</definedName>
    <definedName name="PL_REPS_BA_10">Model!$CD$11</definedName>
    <definedName name="PL_REPS_BA_11">Model!$CG$11</definedName>
    <definedName name="PL_REPS_BA_12">Model!$CJ$11</definedName>
    <definedName name="PL_REPS_BA_13">Model!$CM$11</definedName>
    <definedName name="PL_REPS_BA_14">Model!$CP$11</definedName>
    <definedName name="PL_REPS_BA_15">Model!$CS$11</definedName>
    <definedName name="PL_REPS_BA_16">Model!$CV$11</definedName>
    <definedName name="PL_REPS_BA_17">Model!$CY$11</definedName>
    <definedName name="PL_REPS_BA_18">Model!$DB$11</definedName>
    <definedName name="PL_REPS_BA_19">Model!$DE$11</definedName>
    <definedName name="PL_REPS_BA_20">Model!$DH$11</definedName>
    <definedName name="PL_REPS_BA_H1_00">Model!$AX$11</definedName>
    <definedName name="PL_REPS_BA_H1_01">Model!$BA$11</definedName>
    <definedName name="PL_REPS_BA_H1_02">Model!$BD$11</definedName>
    <definedName name="PL_REPS_BA_H1_03">Model!$BG$11</definedName>
    <definedName name="PL_REPS_BA_H1_04">Model!$BJ$11</definedName>
    <definedName name="PL_REPS_BA_H1_05">Model!$BM$11</definedName>
    <definedName name="PL_REPS_BA_H1_06">Model!$BP$11</definedName>
    <definedName name="PL_REPS_BA_H1_07">Model!$BS$11</definedName>
    <definedName name="PL_REPS_BA_H1_08">Model!$BV$11</definedName>
    <definedName name="PL_REPS_BA_H1_09">Model!$BY$11</definedName>
    <definedName name="PL_REPS_BA_H1_10">Model!$CB$11</definedName>
    <definedName name="PL_REPS_BA_H1_11">Model!$CE$11</definedName>
    <definedName name="PL_REPS_BA_H1_12">Model!$CH$11</definedName>
    <definedName name="PL_REPS_BA_H1_13">Model!$CK$11</definedName>
    <definedName name="PL_REPS_BA_H1_14">Model!$CN$11</definedName>
    <definedName name="PL_REPS_BA_H1_15">Model!$CQ$11</definedName>
    <definedName name="PL_REPS_BA_H1_16">Model!$CT$11</definedName>
    <definedName name="PL_REPS_BA_H1_17">Model!$CW$11</definedName>
    <definedName name="PL_REPS_BA_H1_18">Model!$CZ$11</definedName>
    <definedName name="PL_REPS_BA_H1_19">Model!$DC$11</definedName>
    <definedName name="PL_REPS_BA_H1_20">Model!$DF$11</definedName>
    <definedName name="PL_REPS_BA_H2_00">Model!$AY$11</definedName>
    <definedName name="PL_REPS_BA_H2_01">Model!$BB$11</definedName>
    <definedName name="PL_REPS_BA_H2_02">Model!$BE$11</definedName>
    <definedName name="PL_REPS_BA_H2_03">Model!$BH$11</definedName>
    <definedName name="PL_REPS_BA_H2_04">Model!$BK$11</definedName>
    <definedName name="PL_REPS_BA_H2_05">Model!$BN$11</definedName>
    <definedName name="PL_REPS_BA_H2_06">Model!$BQ$11</definedName>
    <definedName name="PL_REPS_BA_H2_07">Model!$BT$11</definedName>
    <definedName name="PL_REPS_BA_H2_08">Model!$BW$11</definedName>
    <definedName name="PL_REPS_BA_H2_09">Model!$BZ$11</definedName>
    <definedName name="PL_REPS_BA_H2_10">Model!$CC$11</definedName>
    <definedName name="PL_REPS_BA_H2_11">Model!$CF$11</definedName>
    <definedName name="PL_REPS_BA_H2_12">Model!$CI$11</definedName>
    <definedName name="PL_REPS_BA_H2_13">Model!$CL$11</definedName>
    <definedName name="PL_REPS_BA_H2_14">Model!$CO$11</definedName>
    <definedName name="PL_REPS_BA_H2_15">Model!$CR$11</definedName>
    <definedName name="PL_REPS_BA_H2_16">Model!$CU$11</definedName>
    <definedName name="PL_REPS_BA_H2_17">Model!$CX$11</definedName>
    <definedName name="PL_REPS_BA_H2_18">Model!$DA$11</definedName>
    <definedName name="PL_REPS_BA_H2_19">Model!$DD$11</definedName>
    <definedName name="PL_REPS_BA_H2_20">Model!$DG$11</definedName>
    <definedName name="PL_REPS_H1_00">Model!$AX$140</definedName>
    <definedName name="PL_REPS_H1_01">Model!$BA$140</definedName>
    <definedName name="PL_REPS_H1_02">Model!$BD$140</definedName>
    <definedName name="PL_REPS_H1_03">Model!$BG$140</definedName>
    <definedName name="PL_REPS_H1_04">Model!$BJ$140</definedName>
    <definedName name="PL_REPS_H1_05">Model!$BM$140</definedName>
    <definedName name="PL_REPS_H1_06">Model!$BP$140</definedName>
    <definedName name="PL_REPS_H1_07">Model!$BS$140</definedName>
    <definedName name="PL_REPS_H1_08">Model!$BV$140</definedName>
    <definedName name="PL_REPS_H1_09">Model!$BY$140</definedName>
    <definedName name="PL_REPS_H1_10">Model!$CB$140</definedName>
    <definedName name="PL_REPS_H1_11">Model!$CE$140</definedName>
    <definedName name="PL_REPS_H1_12">Model!$CH$140</definedName>
    <definedName name="PL_REPS_H1_13">Model!$CK$140</definedName>
    <definedName name="PL_REPS_H1_14">Model!$CN$140</definedName>
    <definedName name="PL_REPS_H1_15">Model!$CQ$140</definedName>
    <definedName name="PL_REPS_H1_16">Model!$CT$140</definedName>
    <definedName name="PL_REPS_H1_17">Model!$CW$140</definedName>
    <definedName name="PL_REPS_H1_18">Model!$CZ$140</definedName>
    <definedName name="PL_REPS_H1_19">Model!$DC$140</definedName>
    <definedName name="PL_REPS_H1_20">Model!$DF$140</definedName>
    <definedName name="PL_REPS_H2_00">Model!$AY$140</definedName>
    <definedName name="PL_REPS_H2_01">Model!$BB$140</definedName>
    <definedName name="PL_REPS_H2_02">Model!$BE$140</definedName>
    <definedName name="PL_REPS_H2_03">Model!$BH$140</definedName>
    <definedName name="PL_REPS_H2_04">Model!$BK$140</definedName>
    <definedName name="PL_REPS_H2_05">Model!$BN$140</definedName>
    <definedName name="PL_REPS_H2_06">Model!$BQ$140</definedName>
    <definedName name="PL_REPS_H2_07">Model!$BT$140</definedName>
    <definedName name="PL_REPS_H2_08">Model!$BW$140</definedName>
    <definedName name="PL_REPS_H2_09">Model!$BZ$140</definedName>
    <definedName name="PL_REPS_H2_10">Model!$CC$140</definedName>
    <definedName name="PL_REPS_H2_11">Model!$CF$140</definedName>
    <definedName name="PL_REPS_H2_12">Model!$CI$140</definedName>
    <definedName name="PL_REPS_H2_13">Model!$CL$140</definedName>
    <definedName name="PL_REPS_H2_14">Model!$CO$140</definedName>
    <definedName name="PL_REPS_H2_15">Model!$CR$140</definedName>
    <definedName name="PL_REPS_H2_16">Model!$CU$140</definedName>
    <definedName name="PL_REPS_H2_17">Model!$CX$140</definedName>
    <definedName name="PL_REPS_H2_18">Model!$DA$140</definedName>
    <definedName name="PL_REPS_H2_19">Model!$DD$140</definedName>
    <definedName name="PL_REPS_H2_20">Model!$DG$140</definedName>
    <definedName name="PL_Rev_NCA_00">Model!$AZ$39</definedName>
    <definedName name="PL_Rev_NCA_01">Model!$BC$39</definedName>
    <definedName name="PL_Rev_NCA_02">Model!$BF$39</definedName>
    <definedName name="PL_Rev_NCA_03">Model!$BI$39</definedName>
    <definedName name="PL_Rev_NCA_04">Model!$BL$39</definedName>
    <definedName name="PL_Rev_NCA_05">Model!$BO$39</definedName>
    <definedName name="PL_Rev_NCA_06">Model!$BR$39</definedName>
    <definedName name="PL_Rev_NCA_07">Model!$BU$39</definedName>
    <definedName name="PL_Rev_NCA_08">Model!$BX$39</definedName>
    <definedName name="PL_Rev_NCA_09">Model!$CA$39</definedName>
    <definedName name="PL_Rev_NCA_10">Model!$CD$39</definedName>
    <definedName name="PL_Rev_NCA_11">Model!$CG$39</definedName>
    <definedName name="PL_Rev_NCA_12">Model!$CJ$39</definedName>
    <definedName name="PL_Rev_NCA_13">Model!$CM$39</definedName>
    <definedName name="PL_Rev_NCA_14">Model!$CP$39</definedName>
    <definedName name="PL_Rev_NCA_15">Model!$CS$39</definedName>
    <definedName name="PL_Rev_NCA_16">Model!$CV$39</definedName>
    <definedName name="PL_Rev_NCA_17">Model!$CY$39</definedName>
    <definedName name="PL_Rev_NCA_18">Model!$DB$39</definedName>
    <definedName name="PL_Rev_NCA_19">Model!$DE$39</definedName>
    <definedName name="PL_Rev_NCA_20">Model!$DH$39</definedName>
    <definedName name="PL_Rev_NCA_H1_00">Model!$AX$39</definedName>
    <definedName name="PL_Rev_NCA_H1_01">Model!$BA$39</definedName>
    <definedName name="PL_Rev_NCA_H1_02">Model!$BD$39</definedName>
    <definedName name="PL_Rev_NCA_H1_03">Model!$BG$39</definedName>
    <definedName name="PL_Rev_NCA_H1_04">Model!$BJ$39</definedName>
    <definedName name="PL_Rev_NCA_H1_05">Model!$BM$39</definedName>
    <definedName name="PL_Rev_NCA_H1_06">Model!$BP$39</definedName>
    <definedName name="PL_Rev_NCA_H1_07">Model!$BS$39</definedName>
    <definedName name="PL_Rev_NCA_H1_08">Model!$BV$39</definedName>
    <definedName name="PL_Rev_NCA_H1_09">Model!$BY$39</definedName>
    <definedName name="PL_Rev_NCA_H1_10">Model!$CB$39</definedName>
    <definedName name="PL_Rev_NCA_H1_11">Model!$CE$39</definedName>
    <definedName name="PL_Rev_NCA_H1_12">Model!$CH$39</definedName>
    <definedName name="PL_Rev_NCA_H1_13">Model!$CK$39</definedName>
    <definedName name="PL_Rev_NCA_H1_14">Model!$CN$39</definedName>
    <definedName name="PL_Rev_NCA_H1_15">Model!$CQ$39</definedName>
    <definedName name="PL_Rev_NCA_H1_16">Model!$CT$39</definedName>
    <definedName name="PL_Rev_NCA_H1_17">Model!$CW$39</definedName>
    <definedName name="PL_Rev_NCA_H1_18">Model!$CZ$39</definedName>
    <definedName name="PL_Rev_NCA_H1_19">Model!$DC$39</definedName>
    <definedName name="PL_Rev_NCA_H1_20">Model!$DF$39</definedName>
    <definedName name="PL_Rev_NCA_H2_00">Model!$AY$39</definedName>
    <definedName name="PL_Rev_NCA_H2_01">Model!$BB$39</definedName>
    <definedName name="PL_Rev_NCA_H2_02">Model!$BE$39</definedName>
    <definedName name="PL_Rev_NCA_H2_03">Model!$BH$39</definedName>
    <definedName name="PL_Rev_NCA_H2_04">Model!$BK$39</definedName>
    <definedName name="PL_Rev_NCA_H2_05">Model!$BN$39</definedName>
    <definedName name="PL_Rev_NCA_H2_06">Model!$BQ$39</definedName>
    <definedName name="PL_Rev_NCA_H2_07">Model!$BT$39</definedName>
    <definedName name="PL_Rev_NCA_H2_08">Model!$BW$39</definedName>
    <definedName name="PL_Rev_NCA_H2_09">Model!$BZ$39</definedName>
    <definedName name="PL_Rev_NCA_H2_10">Model!$CC$39</definedName>
    <definedName name="PL_Rev_NCA_H2_11">Model!$CF$39</definedName>
    <definedName name="PL_Rev_NCA_H2_12">Model!$CI$39</definedName>
    <definedName name="PL_Rev_NCA_H2_13">Model!$CL$39</definedName>
    <definedName name="PL_Rev_NCA_H2_14">Model!$CO$39</definedName>
    <definedName name="PL_Rev_NCA_H2_15">Model!$CR$39</definedName>
    <definedName name="PL_Rev_NCA_H2_16">Model!$CU$39</definedName>
    <definedName name="PL_Rev_NCA_H2_17">Model!$CX$39</definedName>
    <definedName name="PL_Rev_NCA_H2_18">Model!$DA$39</definedName>
    <definedName name="PL_Rev_NCA_H2_19">Model!$DD$39</definedName>
    <definedName name="PL_Rev_NCA_H2_20">Model!$DG$39</definedName>
    <definedName name="PL_Royal_Pd_00">Model!$AZ$52</definedName>
    <definedName name="PL_Royal_Pd_01">Model!$BC$52</definedName>
    <definedName name="PL_Royal_Pd_02">Model!$BF$52</definedName>
    <definedName name="PL_Royal_Pd_03">Model!$BI$52</definedName>
    <definedName name="PL_Royal_Pd_04">Model!$BL$52</definedName>
    <definedName name="PL_Royal_Pd_05">Model!$BO$52</definedName>
    <definedName name="PL_Royal_Pd_06">Model!$BR$52</definedName>
    <definedName name="PL_Royal_Pd_07">Model!$BU$52</definedName>
    <definedName name="PL_Royal_Pd_08">Model!$BX$52</definedName>
    <definedName name="PL_Royal_Pd_09">Model!$CA$52</definedName>
    <definedName name="PL_Royal_Pd_10">Model!$CD$52</definedName>
    <definedName name="PL_Royal_Pd_11">Model!$CG$52</definedName>
    <definedName name="PL_Royal_Pd_12">Model!$CJ$52</definedName>
    <definedName name="PL_Royal_Pd_13">Model!$CM$52</definedName>
    <definedName name="PL_Royal_Pd_14">Model!$CP$52</definedName>
    <definedName name="PL_Royal_Pd_15">Model!$CS$52</definedName>
    <definedName name="PL_Royal_Pd_16">Model!$CV$52</definedName>
    <definedName name="PL_Royal_Pd_17">Model!$CY$52</definedName>
    <definedName name="PL_Royal_Pd_18">Model!$DB$52</definedName>
    <definedName name="PL_Royal_Pd_19">Model!$DE$52</definedName>
    <definedName name="PL_Royal_Pd_20">Model!$DH$52</definedName>
    <definedName name="PL_Royal_Pd_H1_00">Model!$AX$52</definedName>
    <definedName name="PL_Royal_Pd_H1_01">Model!$BA$52</definedName>
    <definedName name="PL_Royal_Pd_H1_02">Model!$BD$52</definedName>
    <definedName name="PL_Royal_Pd_H1_03">Model!$BG$52</definedName>
    <definedName name="PL_Royal_Pd_H1_04">Model!$BJ$52</definedName>
    <definedName name="PL_Royal_Pd_H1_05">Model!$BM$52</definedName>
    <definedName name="PL_Royal_Pd_H1_06">Model!$BP$52</definedName>
    <definedName name="PL_Royal_Pd_H1_07">Model!$BS$52</definedName>
    <definedName name="PL_Royal_Pd_H1_08">Model!$BV$52</definedName>
    <definedName name="PL_Royal_Pd_H1_09">Model!$BY$52</definedName>
    <definedName name="PL_Royal_Pd_H1_10">Model!$CB$52</definedName>
    <definedName name="PL_Royal_Pd_H1_11">Model!$CE$52</definedName>
    <definedName name="PL_Royal_Pd_H1_12">Model!$CH$52</definedName>
    <definedName name="PL_Royal_Pd_H1_13">Model!$CK$52</definedName>
    <definedName name="PL_Royal_Pd_H1_14">Model!$CN$52</definedName>
    <definedName name="PL_Royal_Pd_H1_15">Model!$CQ$52</definedName>
    <definedName name="PL_Royal_Pd_H1_16">Model!$CT$52</definedName>
    <definedName name="PL_Royal_Pd_H1_17">Model!$CW$52</definedName>
    <definedName name="PL_Royal_Pd_H1_18">Model!$CZ$52</definedName>
    <definedName name="PL_Royal_Pd_H1_19">Model!$DC$52</definedName>
    <definedName name="PL_Royal_Pd_H1_20">Model!$DF$52</definedName>
    <definedName name="PL_Royal_Pd_H2_00">Model!$AY$52</definedName>
    <definedName name="PL_Royal_Pd_H2_01">Model!$BB$52</definedName>
    <definedName name="PL_Royal_Pd_H2_02">Model!$BE$52</definedName>
    <definedName name="PL_Royal_Pd_H2_03">Model!$BH$52</definedName>
    <definedName name="PL_Royal_Pd_H2_04">Model!$BK$52</definedName>
    <definedName name="PL_Royal_Pd_H2_05">Model!$BN$52</definedName>
    <definedName name="PL_Royal_Pd_H2_06">Model!$BQ$52</definedName>
    <definedName name="PL_Royal_Pd_H2_07">Model!$BT$52</definedName>
    <definedName name="PL_Royal_Pd_H2_08">Model!$BW$52</definedName>
    <definedName name="PL_Royal_Pd_H2_09">Model!$BZ$52</definedName>
    <definedName name="PL_Royal_Pd_H2_10">Model!$CC$52</definedName>
    <definedName name="PL_Royal_Pd_H2_11">Model!$CF$52</definedName>
    <definedName name="PL_Royal_Pd_H2_12">Model!$CI$52</definedName>
    <definedName name="PL_Royal_Pd_H2_13">Model!$CL$52</definedName>
    <definedName name="PL_Royal_Pd_H2_14">Model!$CO$52</definedName>
    <definedName name="PL_Royal_Pd_H2_15">Model!$CR$52</definedName>
    <definedName name="PL_Royal_Pd_H2_16">Model!$CU$52</definedName>
    <definedName name="PL_Royal_Pd_H2_17">Model!$CX$52</definedName>
    <definedName name="PL_Royal_Pd_H2_18">Model!$DA$52</definedName>
    <definedName name="PL_Royal_Pd_H2_19">Model!$DD$52</definedName>
    <definedName name="PL_Royal_Pd_H2_20">Model!$DG$52</definedName>
    <definedName name="PL_Sales_00">Model!$AZ$30</definedName>
    <definedName name="PL_Sales_01">Model!$BC$30</definedName>
    <definedName name="PL_Sales_02">Model!$BF$30</definedName>
    <definedName name="PL_Sales_03">Model!$BI$30</definedName>
    <definedName name="PL_Sales_04">Model!$BL$30</definedName>
    <definedName name="PL_Sales_05">Model!$BO$30</definedName>
    <definedName name="PL_Sales_06">Model!$BR$30</definedName>
    <definedName name="PL_Sales_07">Model!$BU$30</definedName>
    <definedName name="PL_Sales_08">Model!$BX$30</definedName>
    <definedName name="PL_Sales_09">Model!$CA$30</definedName>
    <definedName name="PL_Sales_10">Model!$CD$30</definedName>
    <definedName name="PL_Sales_11">Model!$CG$30</definedName>
    <definedName name="PL_Sales_12">Model!$CJ$30</definedName>
    <definedName name="PL_Sales_13">Model!$CM$30</definedName>
    <definedName name="PL_Sales_14">Model!$CP$30</definedName>
    <definedName name="PL_Sales_15">Model!$CS$30</definedName>
    <definedName name="PL_Sales_16">Model!$CV$30</definedName>
    <definedName name="PL_Sales_17">Model!$CY$30</definedName>
    <definedName name="PL_Sales_18">Model!$DB$30</definedName>
    <definedName name="PL_Sales_19">Model!$DE$30</definedName>
    <definedName name="PL_Sales_20">Model!$DH$30</definedName>
    <definedName name="PL_Sales_H1_00">Model!$AX$30</definedName>
    <definedName name="PL_Sales_H1_01">Model!$BA$30</definedName>
    <definedName name="PL_Sales_H1_02">Model!$BD$30</definedName>
    <definedName name="PL_Sales_H1_03">Model!$BG$30</definedName>
    <definedName name="PL_Sales_H1_04">Model!$BJ$30</definedName>
    <definedName name="PL_Sales_H1_05">Model!$BM$30</definedName>
    <definedName name="PL_Sales_H1_06">Model!$BP$30</definedName>
    <definedName name="PL_Sales_H1_07">Model!$BS$30</definedName>
    <definedName name="PL_Sales_H1_08">Model!$BV$30</definedName>
    <definedName name="PL_Sales_H1_09">Model!$BY$30</definedName>
    <definedName name="PL_Sales_H1_10">Model!$CB$30</definedName>
    <definedName name="PL_Sales_H1_11">Model!$CE$30</definedName>
    <definedName name="PL_Sales_H1_12">Model!$CH$30</definedName>
    <definedName name="PL_Sales_H1_13">Model!$CK$30</definedName>
    <definedName name="PL_Sales_H1_14">Model!$CN$30</definedName>
    <definedName name="PL_Sales_H1_15">Model!$CQ$30</definedName>
    <definedName name="PL_Sales_H1_16">Model!$CT$30</definedName>
    <definedName name="PL_Sales_H1_17">Model!$CW$30</definedName>
    <definedName name="PL_Sales_H1_18">Model!$CZ$30</definedName>
    <definedName name="PL_Sales_H1_19">Model!$DC$30</definedName>
    <definedName name="PL_Sales_H1_20">Model!$DF$30</definedName>
    <definedName name="PL_Sales_H2_00">Model!$AY$30</definedName>
    <definedName name="PL_Sales_H2_01">Model!$BB$30</definedName>
    <definedName name="PL_Sales_H2_02">Model!$BE$30</definedName>
    <definedName name="PL_Sales_H2_03">Model!$BH$30</definedName>
    <definedName name="PL_Sales_H2_04">Model!$BK$30</definedName>
    <definedName name="PL_Sales_H2_05">Model!$BN$30</definedName>
    <definedName name="PL_Sales_H2_06">Model!$BQ$30</definedName>
    <definedName name="PL_Sales_H2_07">Model!$BT$30</definedName>
    <definedName name="PL_Sales_H2_08">Model!$BW$30</definedName>
    <definedName name="PL_Sales_H2_09">Model!$BZ$30</definedName>
    <definedName name="PL_Sales_H2_10">Model!$CC$30</definedName>
    <definedName name="PL_Sales_H2_11">Model!$CF$30</definedName>
    <definedName name="PL_Sales_H2_12">Model!$CI$30</definedName>
    <definedName name="PL_Sales_H2_13">Model!$CL$30</definedName>
    <definedName name="PL_Sales_H2_14">Model!$CO$30</definedName>
    <definedName name="PL_Sales_H2_15">Model!$CR$30</definedName>
    <definedName name="PL_Sales_H2_16">Model!$CU$30</definedName>
    <definedName name="PL_Sales_H2_17">Model!$CX$30</definedName>
    <definedName name="PL_Sales_H2_18">Model!$DA$30</definedName>
    <definedName name="PL_Sales_H2_19">Model!$DD$30</definedName>
    <definedName name="PL_Sales_H2_20">Model!$DG$30</definedName>
    <definedName name="PL_Tot_OE_00">Model!$AZ$43</definedName>
    <definedName name="PL_Tot_OE_01">Model!$BC$43</definedName>
    <definedName name="PL_Tot_OE_02">Model!$BF$43</definedName>
    <definedName name="PL_Tot_OE_03">Model!$BI$43</definedName>
    <definedName name="PL_Tot_OE_04">Model!$BL$43</definedName>
    <definedName name="PL_Tot_OE_05">Model!$BO$43</definedName>
    <definedName name="PL_Tot_OE_06">Model!$BR$43</definedName>
    <definedName name="PL_Tot_OE_07">Model!$BU$43</definedName>
    <definedName name="PL_Tot_OE_08">Model!$BX$43</definedName>
    <definedName name="PL_Tot_OE_09">Model!$CA$43</definedName>
    <definedName name="PL_Tot_OE_10">Model!$CD$43</definedName>
    <definedName name="PL_Tot_OE_11">Model!$CG$43</definedName>
    <definedName name="PL_Tot_OE_12">Model!$CJ$43</definedName>
    <definedName name="PL_Tot_OE_13">Model!$CM$43</definedName>
    <definedName name="PL_Tot_OE_14">Model!$CP$43</definedName>
    <definedName name="PL_Tot_OE_15">Model!$CS$43</definedName>
    <definedName name="PL_Tot_OE_16">Model!$CV$43</definedName>
    <definedName name="PL_Tot_OE_17">Model!$CY$43</definedName>
    <definedName name="PL_Tot_OE_18">Model!$DB$43</definedName>
    <definedName name="PL_Tot_OE_19">Model!$DE$43</definedName>
    <definedName name="PL_Tot_OE_20">Model!$DH$43</definedName>
    <definedName name="PL_Tot_OE_H1_00">Model!$AX$43</definedName>
    <definedName name="PL_Tot_OE_H1_01">Model!$BA$43</definedName>
    <definedName name="PL_Tot_OE_H1_02">Model!$BD$43</definedName>
    <definedName name="PL_Tot_OE_H1_04">Model!$BJ$43</definedName>
    <definedName name="PL_Tot_OE_H1_05">Model!$BM$43</definedName>
    <definedName name="PL_Tot_OE_H1_06">Model!$BP$43</definedName>
    <definedName name="PL_Tot_OE_H1_07">Model!$BS$43</definedName>
    <definedName name="PL_Tot_OE_H1_08">Model!$BV$43</definedName>
    <definedName name="PL_Tot_OE_H1_09">Model!$BY$43</definedName>
    <definedName name="PL_Tot_OE_H1_10">Model!$CB$43</definedName>
    <definedName name="PL_Tot_OE_H1_11">Model!$CE$43</definedName>
    <definedName name="PL_Tot_OE_H1_12">Model!$CH$43</definedName>
    <definedName name="PL_Tot_OE_H1_13">Model!$CK$43</definedName>
    <definedName name="PL_Tot_OE_H1_14">Model!$CN$43</definedName>
    <definedName name="PL_Tot_OE_H1_15">Model!$CQ$43</definedName>
    <definedName name="PL_Tot_OE_H1_16">Model!$CT$43</definedName>
    <definedName name="PL_Tot_OE_H1_17">Model!$CW$43</definedName>
    <definedName name="PL_Tot_OE_H1_18">Model!$CZ$43</definedName>
    <definedName name="PL_Tot_OE_H1_19">Model!$DC$43</definedName>
    <definedName name="PL_Tot_OE_H1_20">Model!$DF$43</definedName>
    <definedName name="PL_Tot_OE_H2_00">Model!$AY$43</definedName>
    <definedName name="PL_Tot_OE_H2_01">Model!$BB$43</definedName>
    <definedName name="PL_Tot_OE_H2_02">Model!$BE$43</definedName>
    <definedName name="PL_Tot_OE_H2_04">Model!$BK$43</definedName>
    <definedName name="PL_Tot_OE_H2_05">Model!$BN$43</definedName>
    <definedName name="PL_Tot_OE_H2_06">Model!$BQ$43</definedName>
    <definedName name="PL_Tot_OE_H2_07">Model!$BT$43</definedName>
    <definedName name="PL_Tot_OE_H2_08">Model!$BW$43</definedName>
    <definedName name="PL_Tot_OE_H2_09">Model!$BZ$43</definedName>
    <definedName name="PL_Tot_OE_H2_10">Model!$CC$43</definedName>
    <definedName name="PL_Tot_OE_H2_11">Model!$CF$43</definedName>
    <definedName name="PL_Tot_OE_H2_13">Model!$CL$43</definedName>
    <definedName name="PL_Tot_OE_H2_14">Model!$CO$43</definedName>
    <definedName name="PL_Tot_OE_H2_15">Model!$CR$43</definedName>
    <definedName name="PL_Tot_OE_H2_16">Model!$CU$43</definedName>
    <definedName name="PL_Tot_OE_H2_17">Model!$CX$43</definedName>
    <definedName name="PL_Tot_OE_H2_18">Model!$DA$43</definedName>
    <definedName name="PL_Tot_OE_H2_19">Model!$DD$43</definedName>
    <definedName name="PL_Tot_OE_H2_20">Model!$DG$43</definedName>
    <definedName name="PL_Tot_Tx_03">Model!$BI$499</definedName>
    <definedName name="PL_Tot_Tx_04">Model!$BL$499</definedName>
    <definedName name="PL_Tot_Tx_05">Model!$BO$499</definedName>
    <definedName name="PL_Tot_Tx_06">Model!$BR$499</definedName>
    <definedName name="PL_Tot_Tx_07">Model!$BU$499</definedName>
    <definedName name="PL_Tot_Tx_08">Model!$BX$499</definedName>
    <definedName name="PL_Tot_Tx_09">Model!$CA$499</definedName>
    <definedName name="PL_Tot_Tx_10">Model!$CD$499</definedName>
    <definedName name="PL_Tot_Tx_11">Model!$CG$499</definedName>
    <definedName name="PL_Tot_Tx_12">Model!$CJ$499</definedName>
    <definedName name="PL_Tot_Tx_13">Model!$CM$499</definedName>
    <definedName name="PL_Tot_Tx_14">Model!$CP$499</definedName>
    <definedName name="PL_Tot_Tx_15">Model!$CS$499</definedName>
    <definedName name="PL_Tot_Tx_16">Model!$CV$499</definedName>
    <definedName name="PL_Tot_Tx_17">Model!$CY$499</definedName>
    <definedName name="PL_Tot_Tx_18">Model!$DB$499</definedName>
    <definedName name="PL_Tot_Tx_19">Model!$DE$499</definedName>
    <definedName name="PL_Tot_Tx_20">Model!$DH$499</definedName>
    <definedName name="PL_Tot_Tx_H1_00">Model!$AX$499</definedName>
    <definedName name="PL_Tot_Tx_H1_01">Model!$BA$499</definedName>
    <definedName name="PL_Tot_Tx_H1_02">Model!$BD$499</definedName>
    <definedName name="PL_Tot_Tx_H1_03">Model!$BG$499</definedName>
    <definedName name="PL_Tot_Tx_H1_04">Model!$BJ$499</definedName>
    <definedName name="PL_Tot_Tx_H1_05">Model!$BM$499</definedName>
    <definedName name="PL_Tot_Tx_H1_06">Model!$BP$499</definedName>
    <definedName name="PL_Tot_Tx_H1_07">Model!$BS$499</definedName>
    <definedName name="PL_Tot_Tx_H1_08">Model!$BV$499</definedName>
    <definedName name="PL_Tot_Tx_H1_09">Model!$BY$499</definedName>
    <definedName name="PL_Tot_Tx_H1_10">Model!$CB$499</definedName>
    <definedName name="PL_Tot_Tx_H1_11">Model!$CE$499</definedName>
    <definedName name="PL_Tot_Tx_H1_12">Model!$CH$499</definedName>
    <definedName name="PL_Tot_Tx_H1_13">Model!$CK$499</definedName>
    <definedName name="PL_Tot_Tx_H1_14">Model!$CN$499</definedName>
    <definedName name="PL_Tot_Tx_H1_15">Model!$CQ$499</definedName>
    <definedName name="PL_Tot_Tx_H1_16">Model!$CT$499</definedName>
    <definedName name="PL_Tot_Tx_H1_17">Model!$CW$499</definedName>
    <definedName name="PL_Tot_Tx_H1_18">Model!$CZ$499</definedName>
    <definedName name="PL_Tot_Tx_H1_19">Model!$DC$499</definedName>
    <definedName name="PL_Tot_Tx_H1_20">Model!$DF$499</definedName>
    <definedName name="PL_Tot_Tx_H2_00">Model!$AY$499</definedName>
    <definedName name="PL_Tot_Tx_H2_01">Model!$BB$499</definedName>
    <definedName name="PL_Tot_Tx_H2_02">Model!$BE$499</definedName>
    <definedName name="PL_Tot_Tx_H2_03">Model!$BH$499</definedName>
    <definedName name="PL_Tot_Tx_H2_04">Model!$BK$499</definedName>
    <definedName name="PL_Tot_Tx_H2_05">Model!$BN$499</definedName>
    <definedName name="PL_Tot_Tx_H2_06">Model!$BQ$499</definedName>
    <definedName name="PL_Tot_Tx_H2_07">Model!$BT$499</definedName>
    <definedName name="PL_Tot_Tx_H2_08">Model!$BW$499</definedName>
    <definedName name="PL_Tot_Tx_H2_09">Model!$BZ$499</definedName>
    <definedName name="PL_Tot_Tx_H2_10">Model!$CC$499</definedName>
    <definedName name="PL_Tot_Tx_H2_11">Model!$CF$499</definedName>
    <definedName name="PL_Tot_Tx_H2_12">Model!$CI$499</definedName>
    <definedName name="PL_Tot_Tx_H2_13">Model!$CL$499</definedName>
    <definedName name="PL_Tot_Tx_H2_14">Model!$CO$499</definedName>
    <definedName name="PL_Tot_Tx_H2_15">Model!$CR$499</definedName>
    <definedName name="PL_Tot_Tx_H2_16">Model!$CU$499</definedName>
    <definedName name="PL_Tot_Tx_H2_17">Model!$CX$499</definedName>
    <definedName name="PL_Tot_Tx_H2_18">Model!$DA$499</definedName>
    <definedName name="PL_Tot_Tx_H2_19">Model!$DD$499</definedName>
    <definedName name="PL_Tot_Tx_H2_20">Model!$DG$499</definedName>
    <definedName name="PL_Total_Rev_00">Model!$AZ$42</definedName>
    <definedName name="PL_Total_Rev_01">Model!$BC$42</definedName>
    <definedName name="PL_Total_Rev_02">Model!$BF$42</definedName>
    <definedName name="PL_Total_Rev_03">Model!$BI$42</definedName>
    <definedName name="PL_Total_Rev_04">Model!$BL$42</definedName>
    <definedName name="PL_Total_Rev_05">Model!$BO$42</definedName>
    <definedName name="PL_Total_Rev_06">Model!$BR$42</definedName>
    <definedName name="PL_Total_Rev_07">Model!$BU$42</definedName>
    <definedName name="PL_Total_Rev_08">Model!$BX$42</definedName>
    <definedName name="PL_Total_Rev_09">Model!$CA$42</definedName>
    <definedName name="PL_Total_Rev_10">Model!$CD$42</definedName>
    <definedName name="PL_Total_Rev_11">Model!$CG$42</definedName>
    <definedName name="PL_Total_Rev_12">Model!$CJ$42</definedName>
    <definedName name="PL_Total_Rev_13">Model!$CM$42</definedName>
    <definedName name="PL_Total_Rev_14">Model!$CP$42</definedName>
    <definedName name="PL_Total_Rev_15">Model!$CS$42</definedName>
    <definedName name="PL_Total_Rev_16">Model!$CV$42</definedName>
    <definedName name="PL_Total_Rev_17">Model!$CY$42</definedName>
    <definedName name="PL_Total_Rev_18">Model!$DB$42</definedName>
    <definedName name="PL_Total_Rev_19">Model!$DE$42</definedName>
    <definedName name="PL_Total_Rev_20">Model!$DH$42</definedName>
    <definedName name="PL_Total_Rev_H1_00">Model!$AX$42</definedName>
    <definedName name="PL_Total_Rev_H1_01">Model!$BA$42</definedName>
    <definedName name="PL_Total_Rev_H1_02">Model!$BD$42</definedName>
    <definedName name="PL_Total_Rev_H1_04">Model!$BJ$42</definedName>
    <definedName name="PL_Total_Rev_H1_05">Model!$BM$42</definedName>
    <definedName name="PL_Total_Rev_H1_06">Model!$BP$42</definedName>
    <definedName name="PL_Total_Rev_H1_07">Model!$BS$42</definedName>
    <definedName name="PL_Total_Rev_H1_08">Model!$BV$42</definedName>
    <definedName name="PL_Total_Rev_H1_09">Model!$BY$42</definedName>
    <definedName name="PL_Total_Rev_H1_10">Model!$CB$42</definedName>
    <definedName name="PL_Total_Rev_H1_11">Model!$CE$42</definedName>
    <definedName name="PL_Total_Rev_H1_12">Model!$CH$42</definedName>
    <definedName name="PL_Total_Rev_H1_13">Model!$CK$42</definedName>
    <definedName name="PL_Total_Rev_H1_14">Model!$CN$42</definedName>
    <definedName name="PL_Total_Rev_H1_15">Model!$CQ$42</definedName>
    <definedName name="PL_Total_Rev_H1_16">Model!$CT$42</definedName>
    <definedName name="PL_Total_Rev_H1_17">Model!$CW$42</definedName>
    <definedName name="PL_Total_Rev_H1_18">Model!$CZ$42</definedName>
    <definedName name="PL_Total_Rev_H1_19">Model!$DC$42</definedName>
    <definedName name="PL_Total_Rev_H1_20">Model!$DF$42</definedName>
    <definedName name="PL_Total_Rev_H2_00">Model!$AY$42</definedName>
    <definedName name="PL_Total_Rev_H2_01">Model!$BB$42</definedName>
    <definedName name="PL_Total_Rev_H2_02">Model!$BE$42</definedName>
    <definedName name="PL_Total_Rev_H2_04">Model!$BK$42</definedName>
    <definedName name="PL_Total_Rev_H2_05">Model!$BN$42</definedName>
    <definedName name="PL_Total_Rev_H2_06">Model!$BQ$42</definedName>
    <definedName name="PL_Total_Rev_H2_07">Model!$BT$42</definedName>
    <definedName name="PL_Total_Rev_H2_08">Model!$BW$42</definedName>
    <definedName name="PL_Total_Rev_H2_09">Model!$BZ$42</definedName>
    <definedName name="PL_Total_Rev_H2_10">Model!$CC$42</definedName>
    <definedName name="PL_Total_Rev_H2_11">Model!$CF$42</definedName>
    <definedName name="PL_Total_Rev_H2_12">Model!$CI$42</definedName>
    <definedName name="PL_Total_Rev_H2_13">Model!$CL$42</definedName>
    <definedName name="PL_Total_Rev_H2_14">Model!$CO$42</definedName>
    <definedName name="PL_Total_Rev_H2_15">Model!$CR$42</definedName>
    <definedName name="PL_Total_Rev_H2_16">Model!$CU$42</definedName>
    <definedName name="PL_Total_Rev_H2_17">Model!$CX$42</definedName>
    <definedName name="PL_Total_Rev_H2_18">Model!$DA$42</definedName>
    <definedName name="PL_Total_Rev_H2_19">Model!$DD$42</definedName>
    <definedName name="PL_Total_Rev_H2_20">Model!$DG$42</definedName>
    <definedName name="PL_Tx_Abnorm_00">Model!$AZ$93</definedName>
    <definedName name="PL_Tx_Abnorm_01">Model!$BC$93</definedName>
    <definedName name="PL_Tx_Abnorm_02">Model!$BF$93</definedName>
    <definedName name="PL_Tx_Abnorm_03">Model!$BI$93</definedName>
    <definedName name="PL_Tx_Abnorm_04">Model!$BL$93</definedName>
    <definedName name="PL_Tx_Abnorm_05">Model!$BO$93</definedName>
    <definedName name="PL_Tx_Abnorm_06">Model!$BR$93</definedName>
    <definedName name="PL_Tx_Abnorm_07">Model!$BU$93</definedName>
    <definedName name="PL_Tx_Abnorm_08">Model!$BX$93</definedName>
    <definedName name="PL_Tx_Abnorm_09">Model!$CA$93</definedName>
    <definedName name="PL_Tx_Abnorm_10">Model!$CD$93</definedName>
    <definedName name="PL_Tx_Abnorm_11">Model!$CG$93</definedName>
    <definedName name="PL_Tx_Abnorm_12">Model!$CJ$93</definedName>
    <definedName name="PL_Tx_Abnorm_13">Model!$CM$93</definedName>
    <definedName name="PL_Tx_Abnorm_14">Model!$CP$93</definedName>
    <definedName name="PL_Tx_Abnorm_15">Model!$CS$93</definedName>
    <definedName name="PL_Tx_Abnorm_16">Model!$CV$93</definedName>
    <definedName name="PL_Tx_Abnorm_17">Model!$CY$93</definedName>
    <definedName name="PL_Tx_Abnorm_18">Model!$DB$93</definedName>
    <definedName name="PL_Tx_Abnorm_19">Model!$DE$93</definedName>
    <definedName name="PL_Tx_Abnorm_20">Model!$DH$93</definedName>
    <definedName name="PL_Tx_Abnorm_H1_00">Model!$AX$93</definedName>
    <definedName name="PL_Tx_Abnorm_H1_01">Model!$BA$93</definedName>
    <definedName name="PL_Tx_Abnorm_H1_02">Model!$BD$93</definedName>
    <definedName name="PL_Tx_Abnorm_H1_03">Model!$BG$93</definedName>
    <definedName name="PL_Tx_Abnorm_H1_04">Model!$BJ$93</definedName>
    <definedName name="PL_Tx_Abnorm_H1_05">Model!$BM$93</definedName>
    <definedName name="PL_Tx_Abnorm_H1_06">Model!$BP$93</definedName>
    <definedName name="PL_Tx_Abnorm_H1_07">Model!$BS$93</definedName>
    <definedName name="PL_Tx_Abnorm_H1_08">Model!$BV$93</definedName>
    <definedName name="PL_Tx_Abnorm_H1_09">Model!$BY$93</definedName>
    <definedName name="PL_Tx_Abnorm_H1_10">Model!$CB$93</definedName>
    <definedName name="PL_Tx_Abnorm_H1_11">Model!$CE$93</definedName>
    <definedName name="PL_Tx_Abnorm_H1_12">Model!$CH$93</definedName>
    <definedName name="PL_Tx_Abnorm_H1_13">Model!$CK$93</definedName>
    <definedName name="PL_Tx_Abnorm_H1_14">Model!$CN$93</definedName>
    <definedName name="PL_Tx_Abnorm_H1_15">Model!$CQ$93</definedName>
    <definedName name="PL_Tx_Abnorm_H1_16">Model!$CT$93</definedName>
    <definedName name="PL_Tx_Abnorm_H1_17">Model!$CW$93</definedName>
    <definedName name="PL_Tx_Abnorm_H1_18">Model!$CZ$93</definedName>
    <definedName name="PL_Tx_Abnorm_H1_19">Model!$DC$93</definedName>
    <definedName name="PL_Tx_Abnorm_H1_20">Model!$DF$93</definedName>
    <definedName name="PL_Tx_Abnorm_H2_00">Model!$AY$93</definedName>
    <definedName name="PL_Tx_Abnorm_H2_01">Model!$BB$93</definedName>
    <definedName name="PL_Tx_Abnorm_H2_02">Model!$BE$93</definedName>
    <definedName name="PL_Tx_Abnorm_H2_03">Model!$BH$93</definedName>
    <definedName name="PL_Tx_Abnorm_H2_04">Model!$BK$93</definedName>
    <definedName name="PL_Tx_Abnorm_H2_05">Model!$BN$93</definedName>
    <definedName name="PL_Tx_Abnorm_H2_06">Model!$BQ$93</definedName>
    <definedName name="PL_Tx_Abnorm_H2_07">Model!$BT$93</definedName>
    <definedName name="PL_Tx_Abnorm_H2_08">Model!$BW$93</definedName>
    <definedName name="PL_Tx_Abnorm_H2_09">Model!$BZ$93</definedName>
    <definedName name="PL_Tx_Abnorm_H2_10">Model!$CC$93</definedName>
    <definedName name="PL_Tx_Abnorm_H2_11">Model!$CF$93</definedName>
    <definedName name="PL_Tx_Abnorm_H2_12">Model!$CI$93</definedName>
    <definedName name="PL_Tx_Abnorm_H2_13">Model!$CL$93</definedName>
    <definedName name="PL_Tx_Abnorm_H2_14">Model!$CO$93</definedName>
    <definedName name="PL_Tx_Abnorm_H2_15">Model!$CR$93</definedName>
    <definedName name="PL_Tx_Abnorm_H2_16">Model!$CU$93</definedName>
    <definedName name="PL_Tx_Abnorm_H2_17">Model!$CX$93</definedName>
    <definedName name="PL_Tx_Abnorm_H2_18">Model!$DA$93</definedName>
    <definedName name="PL_Tx_Abnorm_H2_19">Model!$DD$93</definedName>
    <definedName name="PL_Tx_Abnorm_H2_20">Model!$DG$93</definedName>
    <definedName name="PL_Yield_00">Model!$AZ$350</definedName>
    <definedName name="PL_Yield_01">Model!$BC$350</definedName>
    <definedName name="PL_Yield_02">Model!$BF$350</definedName>
    <definedName name="PL_Yield_03">Model!$BI$350</definedName>
    <definedName name="PL_Yield_04">Model!$BL$350</definedName>
    <definedName name="PL_Yield_05">Model!$BO$350</definedName>
    <definedName name="PL_Yield_06">Model!$BR$350</definedName>
    <definedName name="PL_Yield_07">Model!$BU$350</definedName>
    <definedName name="PL_Yield_08">Model!$BX$350</definedName>
    <definedName name="PL_Yield_09">Model!$CA$350</definedName>
    <definedName name="PL_Yield_10">Model!$CD$350</definedName>
    <definedName name="PL_Yield_11">Model!$CG$350</definedName>
    <definedName name="PL_Yield_12">Model!$CJ$350</definedName>
    <definedName name="PL_Yield_13">Model!$CM$350</definedName>
    <definedName name="PL_Yield_14">Model!$CP$350</definedName>
    <definedName name="PL_Yield_15">Model!$CS$350</definedName>
    <definedName name="PL_Yield_16">Model!$CV$350</definedName>
    <definedName name="PL_Yield_17">Model!$CY$350</definedName>
    <definedName name="PL_Yield_18">Model!$DB$350</definedName>
    <definedName name="PL_Yield_19">Model!$DE$350</definedName>
    <definedName name="PL_Yield_20">Model!$DH$350</definedName>
    <definedName name="PL_Yield_H1_00">Model!$AX$350</definedName>
    <definedName name="PL_Yield_H1_01">Model!$BA$350</definedName>
    <definedName name="PL_Yield_H1_02">Model!$BD$350</definedName>
    <definedName name="PL_Yield_H1_03">Model!$BG$350</definedName>
    <definedName name="PL_Yield_H1_04">Model!$BJ$350</definedName>
    <definedName name="PL_Yield_H1_05">Model!$BM$350</definedName>
    <definedName name="PL_Yield_H1_06">Model!$BP$350</definedName>
    <definedName name="PL_Yield_H1_07">Model!$BS$350</definedName>
    <definedName name="PL_Yield_H1_08">Model!$BV$350</definedName>
    <definedName name="PL_Yield_H1_09">Model!$BY$350</definedName>
    <definedName name="PL_Yield_H1_10">Model!$CB$350</definedName>
    <definedName name="PL_Yield_H1_11">Model!$CE$350</definedName>
    <definedName name="PL_Yield_H1_12">Model!$CH$350</definedName>
    <definedName name="PL_Yield_H1_13">Model!$CK$350</definedName>
    <definedName name="PL_Yield_H1_14">Model!$CN$350</definedName>
    <definedName name="PL_Yield_H1_15">Model!$CQ$350</definedName>
    <definedName name="PL_Yield_H1_16">Model!$CT$350</definedName>
    <definedName name="PL_Yield_H1_17">Model!$CW$350</definedName>
    <definedName name="PL_Yield_H1_18">Model!$CZ$350</definedName>
    <definedName name="PL_Yield_H1_19">Model!$DC$350</definedName>
    <definedName name="PL_Yield_H1_20">Model!$DF$350</definedName>
    <definedName name="PL_Yield_H2_00">Model!$AY$350</definedName>
    <definedName name="PL_Yield_H2_01">Model!$BB$350</definedName>
    <definedName name="PL_Yield_H2_02">Model!$BE$350</definedName>
    <definedName name="PL_Yield_H2_03">Model!$BH$350</definedName>
    <definedName name="PL_Yield_H2_04">Model!$BK$350</definedName>
    <definedName name="PL_Yield_H2_05">Model!$BN$350</definedName>
    <definedName name="PL_Yield_H2_06">Model!$BQ$350</definedName>
    <definedName name="PL_Yield_H2_07">Model!$BT$350</definedName>
    <definedName name="PL_Yield_H2_08">Model!$BW$350</definedName>
    <definedName name="PL_Yield_H2_09">Model!$BZ$350</definedName>
    <definedName name="PL_Yield_H2_10">Model!$CC$350</definedName>
    <definedName name="PL_Yield_H2_11">Model!$CF$350</definedName>
    <definedName name="PL_Yield_H2_12">Model!$CI$350</definedName>
    <definedName name="PL_Yield_H2_13">Model!$CL$350</definedName>
    <definedName name="PL_Yield_H2_14">Model!$CO$350</definedName>
    <definedName name="PL_Yield_H2_15">Model!$CR$350</definedName>
    <definedName name="PL_Yield_H2_16">Model!$CU$350</definedName>
    <definedName name="PL_Yield_H2_17">Model!$CX$350</definedName>
    <definedName name="PL_Yield_H2_18">Model!$DA$350</definedName>
    <definedName name="PL_Yield_H2_19">Model!$DD$350</definedName>
    <definedName name="PL_Yield_H2_20">Model!$DG$350</definedName>
    <definedName name="_xlnm.Print_Area" localSheetId="5">Assumptions!$A$1:$AW$356</definedName>
    <definedName name="_xlnm.Print_Area" localSheetId="1">'Fin Sum'!$B$6:$AR$73</definedName>
    <definedName name="ProjectName">{"Client Name or Project Name"}</definedName>
    <definedName name="PUB_UserID" hidden="1">"MAYERX"</definedName>
    <definedName name="R_EProfit_04">Model!$BL$645</definedName>
    <definedName name="R_EProfit_05">Model!$BO$645</definedName>
    <definedName name="R_EProfit_06">Model!$BR$645</definedName>
    <definedName name="R_EProfit_H1_04">Model!$BJ$645</definedName>
    <definedName name="R_EProfit_H1_05">Model!$BM$645</definedName>
    <definedName name="R_EProfit_H1_06">Model!$BP$645</definedName>
    <definedName name="R_EProfit_H1_07">Model!$BS$645</definedName>
    <definedName name="R_EProfit_H2_04">Model!$BK$645</definedName>
    <definedName name="R_EProfit_H2_05">Model!$BN$645</definedName>
    <definedName name="R_EProfit_H2_06">Model!$BQ$645</definedName>
    <definedName name="R_NOPLAT_00">Model!$AZ$622</definedName>
    <definedName name="R_NOPLAT_01">Model!$BC$622</definedName>
    <definedName name="R_NOPLAT_02">Model!$BF$622</definedName>
    <definedName name="R_NOPLAT_03">Model!$BI$622</definedName>
    <definedName name="R_NOPLAT_04">Model!$BL$622</definedName>
    <definedName name="R_NOPLAT_05">Model!$BO$622</definedName>
    <definedName name="R_NOPLAT_06">Model!$BR$622</definedName>
    <definedName name="R_NOPLAT_07">Model!$BU$622</definedName>
    <definedName name="R_NOPLAT_08">Model!$BX$622</definedName>
    <definedName name="R_NOPLAT_09">Model!$CA$622</definedName>
    <definedName name="R_NOPLAT_10">Model!$CD$622</definedName>
    <definedName name="R_NOPLAT_11">Model!$CG$622</definedName>
    <definedName name="R_NOPLAT_12">Model!$CJ$622</definedName>
    <definedName name="R_NOPLAT_13">Model!$CM$622</definedName>
    <definedName name="R_NOPLAT_14">Model!$CP$622</definedName>
    <definedName name="R_NOPLAT_15">Model!$CS$622</definedName>
    <definedName name="R_NOPLAT_16">Model!$CV$622</definedName>
    <definedName name="R_NOPLAT_17">Model!$CY$622</definedName>
    <definedName name="R_NOPLAT_18">Model!$DB$622</definedName>
    <definedName name="R_NOPLAT_19">Model!$DE$622</definedName>
    <definedName name="R_NOPLAT_20">Model!$DH$622</definedName>
    <definedName name="R_NOPLAT_H1_00">Model!$AX$622</definedName>
    <definedName name="R_NOPLAT_H1_01">Model!$BA$622</definedName>
    <definedName name="R_NOPLAT_H1_02">Model!$BD$622</definedName>
    <definedName name="R_NOPLAT_H1_03">Model!$BG$622</definedName>
    <definedName name="R_NOPLAT_H1_04">Model!$BJ$622</definedName>
    <definedName name="R_NOPLAT_H1_05">Model!$BM$622</definedName>
    <definedName name="R_NOPLAT_H1_06">Model!$BP$622</definedName>
    <definedName name="R_NOPLAT_H1_07">Model!$BS$622</definedName>
    <definedName name="R_NOPLAT_H1_08">Model!$BV$622</definedName>
    <definedName name="R_NOPLAT_H1_09">Model!$BY$622</definedName>
    <definedName name="R_NOPLAT_H1_10">Model!$CB$622</definedName>
    <definedName name="R_NOPLAT_H1_11">Model!$CE$622</definedName>
    <definedName name="R_NOPLAT_H1_12">Model!$CH$622</definedName>
    <definedName name="R_NOPLAT_H1_13">Model!$CK$622</definedName>
    <definedName name="R_NOPLAT_H1_14">Model!$CN$622</definedName>
    <definedName name="R_NOPLAT_H1_15">Model!$CQ$622</definedName>
    <definedName name="R_NOPLAT_H1_16">Model!$CT$622</definedName>
    <definedName name="R_NOPLAT_H1_17">Model!$CW$622</definedName>
    <definedName name="R_NOPLAT_H1_18">Model!$CZ$622</definedName>
    <definedName name="R_NOPLAT_H1_19">Model!$DC$622</definedName>
    <definedName name="R_NOPLAT_H1_20">Model!$DF$622</definedName>
    <definedName name="R_NOPLAT_H2_00">Model!$AY$622</definedName>
    <definedName name="R_NOPLAT_H2_01">Model!$BB$622</definedName>
    <definedName name="R_NOPLAT_H2_02">Model!$BE$622</definedName>
    <definedName name="R_NOPLAT_H2_03">Model!$BH$622</definedName>
    <definedName name="R_NOPLAT_H2_04">Model!$BK$622</definedName>
    <definedName name="R_NOPLAT_H2_05">Model!$BN$622</definedName>
    <definedName name="R_NOPLAT_H2_06">Model!$BQ$622</definedName>
    <definedName name="R_NOPLAT_H2_07">Model!$BT$622</definedName>
    <definedName name="R_NOPLAT_H2_08">Model!$BW$622</definedName>
    <definedName name="R_NOPLAT_H2_09">Model!$BZ$622</definedName>
    <definedName name="R_NOPLAT_H2_10">Model!$CC$622</definedName>
    <definedName name="R_NOPLAT_H2_11">Model!$CF$622</definedName>
    <definedName name="R_NOPLAT_H2_12">Model!$CI$622</definedName>
    <definedName name="R_NOPLAT_H2_13">Model!$CL$622</definedName>
    <definedName name="R_NOPLAT_H2_14">Model!$CO$622</definedName>
    <definedName name="R_NOPLAT_H2_15">Model!$CR$622</definedName>
    <definedName name="R_NOPLAT_H2_16">Model!$CU$622</definedName>
    <definedName name="R_NOPLAT_H2_17">Model!$CX$622</definedName>
    <definedName name="R_NOPLAT_H2_18">Model!$DA$622</definedName>
    <definedName name="R_NOPLAT_H2_19">Model!$DD$622</definedName>
    <definedName name="R_NOPLAT_H2_20">Model!$DG$622</definedName>
    <definedName name="R_NTA_00">Model!$AZ$25</definedName>
    <definedName name="R_NTA_01">Model!$BC$25</definedName>
    <definedName name="R_NTA_02">Model!$BF$25</definedName>
    <definedName name="R_NTA_03">Model!$BI$25</definedName>
    <definedName name="R_NTA_04">Model!$BL$25</definedName>
    <definedName name="R_NTA_05">Model!$BO$25</definedName>
    <definedName name="R_NTA_06">Model!$BR$25</definedName>
    <definedName name="R_NTA_07">Model!$BU$25</definedName>
    <definedName name="R_NTA_08">Model!$BX$25</definedName>
    <definedName name="R_NTA_09">Model!$CA$25</definedName>
    <definedName name="R_NTA_10">Model!$CD$25</definedName>
    <definedName name="R_NTA_11">Model!$CG$25</definedName>
    <definedName name="R_NTA_12">Model!$CJ$25</definedName>
    <definedName name="R_NTA_13">Model!$CM$25</definedName>
    <definedName name="R_NTA_14">Model!$CP$25</definedName>
    <definedName name="R_NTA_15">Model!$CS$25</definedName>
    <definedName name="R_NTA_16">Model!$CV$25</definedName>
    <definedName name="R_NTA_17">Model!$CY$25</definedName>
    <definedName name="R_NTA_18">Model!$DB$25</definedName>
    <definedName name="R_NTA_19">Model!$DE$25</definedName>
    <definedName name="R_NTA_20">Model!$DH$25</definedName>
    <definedName name="R_NTA_H1_00">Model!$AX$25</definedName>
    <definedName name="R_NTA_H1_01">Model!$BA$25</definedName>
    <definedName name="R_NTA_H1_02">Model!$BD$25</definedName>
    <definedName name="R_NTA_H1_03">Model!$BG$25</definedName>
    <definedName name="R_NTA_H1_04">Model!$BJ$25</definedName>
    <definedName name="R_NTA_H1_05">Model!$BM$25</definedName>
    <definedName name="R_NTA_H1_06">Model!$BP$25</definedName>
    <definedName name="R_NTA_H1_07">Model!$BS$25</definedName>
    <definedName name="R_NTA_H1_08">Model!$BV$25</definedName>
    <definedName name="R_NTA_H1_09">Model!$BY$25</definedName>
    <definedName name="R_NTA_H1_10">Model!$CB$25</definedName>
    <definedName name="R_NTA_H1_11">Model!$CE$25</definedName>
    <definedName name="R_NTA_H1_12">Model!$CH$25</definedName>
    <definedName name="R_NTA_H1_13">Model!$CK$25</definedName>
    <definedName name="R_NTA_H1_14">Model!$CN$25</definedName>
    <definedName name="R_NTA_H1_15">Model!$CQ$25</definedName>
    <definedName name="R_NTA_H1_16">Model!$CT$25</definedName>
    <definedName name="R_NTA_H1_17">Model!$CW$25</definedName>
    <definedName name="R_NTA_H1_18">Model!$CZ$25</definedName>
    <definedName name="R_NTA_H1_19">Model!$DC$25</definedName>
    <definedName name="R_NTA_H1_20">Model!$DF$25</definedName>
    <definedName name="R_NTA_H2_00">Model!$AY$25</definedName>
    <definedName name="R_NTA_H2_01">Model!$BB$25</definedName>
    <definedName name="R_NTA_H2_02">Model!$BE$25</definedName>
    <definedName name="R_NTA_H2_03">Model!$BH$25</definedName>
    <definedName name="R_NTA_H2_04">Model!$BK$25</definedName>
    <definedName name="R_NTA_H2_05">Model!$BN$25</definedName>
    <definedName name="R_NTA_H2_06">Model!$BQ$25</definedName>
    <definedName name="R_NTA_H2_07">Model!$BT$25</definedName>
    <definedName name="R_NTA_H2_08">Model!$BW$25</definedName>
    <definedName name="R_NTA_H2_09">Model!$BZ$25</definedName>
    <definedName name="R_NTA_H2_10">Model!$CC$25</definedName>
    <definedName name="R_NTA_H2_11">Model!$CF$25</definedName>
    <definedName name="R_NTA_H2_12">Model!$CI$25</definedName>
    <definedName name="R_NTA_H2_13">Model!$CL$25</definedName>
    <definedName name="R_NTA_H2_14">Model!$CO$25</definedName>
    <definedName name="R_NTA_H2_15">Model!$CR$25</definedName>
    <definedName name="R_NTA_H2_16">Model!$CU$25</definedName>
    <definedName name="R_NTA_H2_17">Model!$CX$25</definedName>
    <definedName name="R_NTA_H2_18">Model!$DA$25</definedName>
    <definedName name="R_NTA_H2_19">Model!$DD$25</definedName>
    <definedName name="R_NTA_H2_20">Model!$DG$25</definedName>
    <definedName name="R_ROA_00">Model!$AZ$343</definedName>
    <definedName name="R_ROA_01">Model!$BC$343</definedName>
    <definedName name="R_ROA_02">Model!$BF$343</definedName>
    <definedName name="R_ROA_03">Model!$BI$343</definedName>
    <definedName name="R_ROA_04">Model!$BL$343</definedName>
    <definedName name="R_ROA_05">Model!$BO$343</definedName>
    <definedName name="R_ROA_06">Model!$BR$343</definedName>
    <definedName name="R_ROA_07">Model!$BU$343</definedName>
    <definedName name="R_ROA_08">Model!$BX$343</definedName>
    <definedName name="R_ROA_09">Model!$CA$343</definedName>
    <definedName name="R_ROA_10">Model!$CD$343</definedName>
    <definedName name="R_ROA_11">Model!$CG$343</definedName>
    <definedName name="R_ROA_12">Model!$CJ$343</definedName>
    <definedName name="R_ROA_13">Model!$CM$343</definedName>
    <definedName name="R_ROA_14">Model!$CP$343</definedName>
    <definedName name="R_ROA_15">Model!$CS$343</definedName>
    <definedName name="R_ROA_16">Model!$CV$343</definedName>
    <definedName name="R_ROA_17">Model!$CY$343</definedName>
    <definedName name="R_ROA_18">Model!$DB$343</definedName>
    <definedName name="R_ROA_19">Model!$DE$343</definedName>
    <definedName name="R_ROA_20">Model!$DH$343</definedName>
    <definedName name="R_ROA_H1_00">Model!$AX$343</definedName>
    <definedName name="R_ROA_H1_01">Model!$BA$343</definedName>
    <definedName name="R_ROA_H1_02">Model!$BD$343</definedName>
    <definedName name="R_ROA_H1_03">Model!$BG$343</definedName>
    <definedName name="R_ROA_H1_04">Model!$BJ$343</definedName>
    <definedName name="R_ROA_H1_05">Model!$BM$343</definedName>
    <definedName name="R_ROA_H1_06">Model!$BP$343</definedName>
    <definedName name="R_ROA_H1_07">Model!$BS$343</definedName>
    <definedName name="R_ROA_H1_08">Model!$BV$343</definedName>
    <definedName name="R_ROA_H1_09">Model!$BY$343</definedName>
    <definedName name="R_ROA_H1_10">Model!$CB$343</definedName>
    <definedName name="R_ROA_H1_11">Model!$CE$343</definedName>
    <definedName name="R_ROA_H1_12">Model!$CH$343</definedName>
    <definedName name="R_ROA_H1_13">Model!$CK$343</definedName>
    <definedName name="R_ROA_H1_14">Model!$CN$343</definedName>
    <definedName name="R_ROA_H1_15">Model!$CQ$343</definedName>
    <definedName name="R_ROA_H1_16">Model!$CT$343</definedName>
    <definedName name="R_ROA_H1_17">Model!$CW$343</definedName>
    <definedName name="R_ROA_H1_18">Model!$CZ$343</definedName>
    <definedName name="R_ROA_H1_19">Model!$DC$343</definedName>
    <definedName name="R_ROA_H1_20">Model!$DF$343</definedName>
    <definedName name="R_ROA_H2_00">Model!$AY$343</definedName>
    <definedName name="R_ROA_H2_01">Model!$BB$343</definedName>
    <definedName name="R_ROA_H2_02">Model!$BE$343</definedName>
    <definedName name="R_ROA_H2_03">Model!$BH$343</definedName>
    <definedName name="R_ROA_H2_04">Model!$BK$343</definedName>
    <definedName name="R_ROA_H2_05">Model!$BN$343</definedName>
    <definedName name="R_ROA_H2_06">Model!$BQ$343</definedName>
    <definedName name="R_ROA_H2_07">Model!$BT$343</definedName>
    <definedName name="R_ROA_H2_08">Model!$BW$343</definedName>
    <definedName name="R_ROA_H2_09">Model!$BZ$343</definedName>
    <definedName name="R_ROA_H2_10">Model!$CC$343</definedName>
    <definedName name="R_ROA_H2_11">Model!$CF$343</definedName>
    <definedName name="R_ROA_H2_12">Model!$CI$343</definedName>
    <definedName name="R_ROA_H2_13">Model!$CL$343</definedName>
    <definedName name="R_ROA_H2_14">Model!$CO$343</definedName>
    <definedName name="R_ROA_H2_15">Model!$CR$343</definedName>
    <definedName name="R_ROA_H2_16">Model!$CU$343</definedName>
    <definedName name="R_ROA_H2_17">Model!$CX$343</definedName>
    <definedName name="R_ROA_H2_18">Model!$DA$343</definedName>
    <definedName name="R_ROA_H2_19">Model!$DD$343</definedName>
    <definedName name="R_ROA_H2_20">Model!$DG$343</definedName>
    <definedName name="R_ROE_00">Model!$AZ$344</definedName>
    <definedName name="R_ROE_01">Model!$BC$344</definedName>
    <definedName name="R_ROE_02">Model!$BF$344</definedName>
    <definedName name="R_ROE_03">Model!$BI$344</definedName>
    <definedName name="R_ROE_04">Model!$BL$344</definedName>
    <definedName name="R_ROE_05">Model!$BO$344</definedName>
    <definedName name="R_ROE_06">Model!$BR$344</definedName>
    <definedName name="R_ROE_07">Model!$BU$344</definedName>
    <definedName name="R_ROE_08">Model!$BX$344</definedName>
    <definedName name="R_ROE_09">Model!$CA$344</definedName>
    <definedName name="R_ROE_10">Model!$CD$344</definedName>
    <definedName name="R_ROE_11">Model!$CG$344</definedName>
    <definedName name="R_ROE_12">Model!$CJ$344</definedName>
    <definedName name="R_ROE_13">Model!$CM$344</definedName>
    <definedName name="R_ROE_14">Model!$CP$344</definedName>
    <definedName name="R_ROE_15">Model!$CS$344</definedName>
    <definedName name="R_ROE_16">Model!$CV$344</definedName>
    <definedName name="R_ROE_17">Model!$CY$344</definedName>
    <definedName name="R_ROE_18">Model!$DB$344</definedName>
    <definedName name="R_ROE_19">Model!$DE$344</definedName>
    <definedName name="R_ROE_20">Model!$DH$344</definedName>
    <definedName name="R_ROE_H1_00">Model!$AX$344</definedName>
    <definedName name="R_ROE_H1_01">Model!$BA$344</definedName>
    <definedName name="R_ROE_H1_02">Model!$BD$344</definedName>
    <definedName name="R_ROE_H1_03">Model!$BG$344</definedName>
    <definedName name="R_ROE_H1_04">Model!$BJ$344</definedName>
    <definedName name="R_ROE_H1_05">Model!$BM$344</definedName>
    <definedName name="R_ROE_H1_06">Model!$BP$344</definedName>
    <definedName name="R_ROE_H1_07">Model!$BS$344</definedName>
    <definedName name="R_ROE_H1_08">Model!$BV$344</definedName>
    <definedName name="R_ROE_H1_09">Model!$BY$344</definedName>
    <definedName name="R_ROE_H1_10">Model!$CB$344</definedName>
    <definedName name="R_ROE_H1_11">Model!$CE$344</definedName>
    <definedName name="R_ROE_H1_12">Model!$CH$344</definedName>
    <definedName name="R_ROE_H1_13">Model!$CK$344</definedName>
    <definedName name="R_ROE_H1_14">Model!$CN$344</definedName>
    <definedName name="R_ROE_H1_15">Model!$CQ$344</definedName>
    <definedName name="R_ROE_H1_16">Model!$CT$344</definedName>
    <definedName name="R_ROE_H1_17">Model!$CW$344</definedName>
    <definedName name="R_ROE_H1_18">Model!$CZ$344</definedName>
    <definedName name="R_ROE_H1_19">Model!$DC$344</definedName>
    <definedName name="R_ROE_H1_20">Model!$DF$344</definedName>
    <definedName name="R_ROE_H2_00">Model!$AY$344</definedName>
    <definedName name="R_ROE_H2_01">Model!$BB$344</definedName>
    <definedName name="R_ROE_H2_02">Model!$BE$344</definedName>
    <definedName name="R_ROE_H2_03">Model!$BH$344</definedName>
    <definedName name="R_ROE_H2_04">Model!$BK$344</definedName>
    <definedName name="R_ROE_H2_05">Model!$BN$344</definedName>
    <definedName name="R_ROE_H2_06">Model!$BQ$344</definedName>
    <definedName name="R_ROE_H2_07">Model!$BT$344</definedName>
    <definedName name="R_ROE_H2_08">Model!$BW$344</definedName>
    <definedName name="R_ROE_H2_09">Model!$BZ$344</definedName>
    <definedName name="R_ROE_H2_10">Model!$CC$344</definedName>
    <definedName name="R_ROE_H2_11">Model!$CF$344</definedName>
    <definedName name="R_ROE_H2_12">Model!$CI$344</definedName>
    <definedName name="R_ROE_H2_13">Model!$CL$344</definedName>
    <definedName name="R_ROE_H2_14">Model!$CO$344</definedName>
    <definedName name="R_ROE_H2_15">Model!$CR$344</definedName>
    <definedName name="R_ROE_H2_16">Model!$CU$344</definedName>
    <definedName name="R_ROE_H2_17">Model!$CX$344</definedName>
    <definedName name="R_ROE_H2_18">Model!$DA$344</definedName>
    <definedName name="R_ROE_H2_19">Model!$DD$344</definedName>
    <definedName name="R_ROE_H2_20">Model!$DG$344</definedName>
    <definedName name="R_ROIC_04">Model!$BL$644</definedName>
    <definedName name="R_ROIC_05">Model!$BO$644</definedName>
    <definedName name="R_ROIC_06">Model!$BR$644</definedName>
    <definedName name="R_ROIC_07">Model!$BU$644</definedName>
    <definedName name="R_ROIC_08">Model!$BX$644</definedName>
    <definedName name="R_ROIC_09">Model!$CA$644</definedName>
    <definedName name="R_ROIC_10">Model!$CD$644</definedName>
    <definedName name="R_ROIC_11">Model!$CG$644</definedName>
    <definedName name="R_ROIC_12">Model!$CJ$644</definedName>
    <definedName name="R_ROIC_13">Model!$CM$644</definedName>
    <definedName name="R_ROIC_14">Model!$CP$644</definedName>
    <definedName name="R_ROIC_15">Model!$CS$644</definedName>
    <definedName name="R_ROIC_16">Model!$CV$644</definedName>
    <definedName name="R_ROIC_17">Model!$CY$644</definedName>
    <definedName name="R_ROIC_18">Model!$DB$644</definedName>
    <definedName name="R_ROIC_19">Model!$DE$644</definedName>
    <definedName name="R_ROIC_20">Model!$DH$644</definedName>
    <definedName name="R_ROIC_H1_04">Model!$BJ$644</definedName>
    <definedName name="R_ROIC_H1_05">Model!$BM$644</definedName>
    <definedName name="R_ROIC_H1_06">Model!$BP$644</definedName>
    <definedName name="R_ROIC_H1_07">Model!$BS$644</definedName>
    <definedName name="R_ROIC_H1_08">Model!$BV$644</definedName>
    <definedName name="R_ROIC_H1_09">Model!$BY$644</definedName>
    <definedName name="R_ROIC_H1_10">Model!$CB$644</definedName>
    <definedName name="R_ROIC_H1_11">Model!$CE$644</definedName>
    <definedName name="R_ROIC_H1_12">Model!$CH$644</definedName>
    <definedName name="R_ROIC_H1_13">Model!$CK$644</definedName>
    <definedName name="R_ROIC_H1_14">Model!$CN$644</definedName>
    <definedName name="R_ROIC_H1_15">Model!$CQ$644</definedName>
    <definedName name="R_ROIC_H1_16">Model!$CT$644</definedName>
    <definedName name="R_ROIC_H1_17">Model!$CW$644</definedName>
    <definedName name="R_ROIC_H1_18">Model!$CZ$644</definedName>
    <definedName name="R_ROIC_H1_19">Model!$DC$644</definedName>
    <definedName name="R_ROIC_H1_20">Model!$DF$644</definedName>
    <definedName name="R_ROIC_H2_04">Model!$BK$644</definedName>
    <definedName name="R_ROIC_H2_05">Model!$BN$644</definedName>
    <definedName name="R_ROIC_H2_06">Model!$BQ$644</definedName>
    <definedName name="R_ROIC_H2_07">Model!$BT$644</definedName>
    <definedName name="R_ROIC_H2_08">Model!$BW$644</definedName>
    <definedName name="R_ROIC_H2_09">Model!$BZ$644</definedName>
    <definedName name="R_ROIC_H2_10">Model!$CC$644</definedName>
    <definedName name="R_ROIC_H2_11">Model!$CF$644</definedName>
    <definedName name="R_ROIC_H2_12">Model!$CI$644</definedName>
    <definedName name="R_ROIC_H2_13">Model!$CL$644</definedName>
    <definedName name="R_ROIC_H2_14">Model!$CO$644</definedName>
    <definedName name="R_ROIC_H2_15">Model!$CR$644</definedName>
    <definedName name="R_ROIC_H2_16">Model!$CU$644</definedName>
    <definedName name="R_ROIC_H2_17">Model!$CX$644</definedName>
    <definedName name="R_ROIC_H2_18">Model!$DA$644</definedName>
    <definedName name="R_ROIC_H2_19">Model!$DD$644</definedName>
    <definedName name="R_ROIC_H2_20">Model!$DG$644</definedName>
    <definedName name="R_STxRt_00">Assumptions!$AZ$149</definedName>
    <definedName name="R_STxRt_01">Assumptions!$BC$149</definedName>
    <definedName name="R_STxRt_02">Assumptions!$BF$149</definedName>
    <definedName name="R_STxRt_03">Assumptions!$BI$149</definedName>
    <definedName name="R_STxRt_04">Assumptions!$BL$149</definedName>
    <definedName name="R_STxRt_05">Assumptions!$BO$149</definedName>
    <definedName name="R_STxRt_06">Assumptions!$BR$149</definedName>
    <definedName name="R_STxRt_07">Assumptions!$BU$149</definedName>
    <definedName name="R_STxRt_08">Assumptions!$BX$149</definedName>
    <definedName name="R_STxRt_09">Assumptions!$CA$149</definedName>
    <definedName name="R_STxRt_10">Assumptions!$CD$149</definedName>
    <definedName name="R_STxRt_11">Assumptions!$CG$149</definedName>
    <definedName name="R_STxRt_12">Assumptions!$CJ$149</definedName>
    <definedName name="R_STxRt_13">Assumptions!$CM$149</definedName>
    <definedName name="R_STxRt_14">Assumptions!$CP$149</definedName>
    <definedName name="R_STxRt_15">Assumptions!$CS$149</definedName>
    <definedName name="R_STxRt_16">Assumptions!$CV$149</definedName>
    <definedName name="R_STxRt_17">Assumptions!$CY$149</definedName>
    <definedName name="R_STxRt_18">Assumptions!$DB$149</definedName>
    <definedName name="R_STxRt_19">Assumptions!$DE$149</definedName>
    <definedName name="R_STxRt_20">Assumptions!$DH$149</definedName>
    <definedName name="R_STxRt_H1_00">Assumptions!$AX$149</definedName>
    <definedName name="R_STxRt_H1_01">Assumptions!$BA$149</definedName>
    <definedName name="R_STxRt_H1_02">Assumptions!$BD$149</definedName>
    <definedName name="R_STxRt_H1_03">Assumptions!$BG$149</definedName>
    <definedName name="R_STxRt_H1_04">Assumptions!$BJ$149</definedName>
    <definedName name="R_STxRt_H1_05">Assumptions!$BM$149</definedName>
    <definedName name="R_STxRt_H1_06">Assumptions!$BP$149</definedName>
    <definedName name="R_STxRt_H1_07">Assumptions!$BS$149</definedName>
    <definedName name="R_STxRt_H1_08">Assumptions!$BV$149</definedName>
    <definedName name="R_STxRt_H1_09">Assumptions!$BY$149</definedName>
    <definedName name="R_STxRt_H1_10">Assumptions!$CB$149</definedName>
    <definedName name="R_STxRt_H1_11">Assumptions!$CE$149</definedName>
    <definedName name="R_STxRt_H1_12">Assumptions!$CH$149</definedName>
    <definedName name="R_STxRt_H1_13">Assumptions!$CK$149</definedName>
    <definedName name="R_STxRt_H1_14">Assumptions!$CN$149</definedName>
    <definedName name="R_STxRt_H1_15">Assumptions!$CQ$149</definedName>
    <definedName name="R_STxRt_H1_16">Assumptions!$CT$149</definedName>
    <definedName name="R_STxRt_H1_17">Assumptions!$CW$149</definedName>
    <definedName name="R_STxRt_H1_18">Assumptions!$CZ$149</definedName>
    <definedName name="R_STxRt_H1_19">Assumptions!$DC$149</definedName>
    <definedName name="R_STxRt_H1_20">Assumptions!$DF$149</definedName>
    <definedName name="R_STxRt_H2_00">Assumptions!$AY$149</definedName>
    <definedName name="R_STxRt_H2_01">Assumptions!$BB$149</definedName>
    <definedName name="R_STxRt_H2_02">Assumptions!$BE$149</definedName>
    <definedName name="R_STxRt_H2_03">Assumptions!$BH$149</definedName>
    <definedName name="R_STxRt_H2_04">Assumptions!$BK$149</definedName>
    <definedName name="R_STxRt_H2_05">Assumptions!$BN$149</definedName>
    <definedName name="R_STxRt_H2_06">Assumptions!$BQ$149</definedName>
    <definedName name="R_STxRt_H2_07">Assumptions!$BT$149</definedName>
    <definedName name="R_STxRt_H2_08">Assumptions!$BW$149</definedName>
    <definedName name="R_STxRt_H2_09">Assumptions!$BZ$149</definedName>
    <definedName name="R_STxRt_H2_10">Assumptions!$CC$149</definedName>
    <definedName name="R_STxRt_H2_11">Assumptions!$CF$149</definedName>
    <definedName name="R_STxRt_H2_12">Assumptions!$CI$149</definedName>
    <definedName name="R_STxRt_H2_13">Assumptions!$CL$149</definedName>
    <definedName name="R_STxRt_H2_14">Assumptions!$CO$149</definedName>
    <definedName name="R_STxRt_H2_15">Assumptions!$CR$149</definedName>
    <definedName name="R_STxRt_H2_16">Assumptions!$CU$149</definedName>
    <definedName name="R_STxRt_H2_17">Assumptions!$CX$149</definedName>
    <definedName name="R_STxRt_H2_18">Assumptions!$DA$149</definedName>
    <definedName name="R_STxRt_H2_19">Assumptions!$DD$149</definedName>
    <definedName name="R_STxRt_H2_20">Assumptions!$DG$149</definedName>
    <definedName name="REPSEA_00">Model!$AZ$11</definedName>
    <definedName name="REPSEA_01">Model!$BC$11</definedName>
    <definedName name="REPSEA_02">Model!$BF$11</definedName>
    <definedName name="REPSEA_03">Model!$BI$11</definedName>
    <definedName name="REPSEA_04">Model!$BL$11</definedName>
    <definedName name="REPSEA_05">Model!$BO$11</definedName>
    <definedName name="REPSEA_06">Model!$BR$11</definedName>
    <definedName name="REPSEA_07">Model!$BU$11</definedName>
    <definedName name="REPSEA_08">Model!$BX$11</definedName>
    <definedName name="REPSEA_09">Model!$CA$11</definedName>
    <definedName name="REPSEA_10">Model!$CD$11</definedName>
    <definedName name="REPSEA_11">Model!$CG$11</definedName>
    <definedName name="REPSEA_12">Model!$CJ$11</definedName>
    <definedName name="REPSEA_13">Model!$CM$11</definedName>
    <definedName name="REPSEA_14">Model!$CP$11</definedName>
    <definedName name="REPSEA_15">Model!$CS$11</definedName>
    <definedName name="REPSEA_16">Model!$CV$11</definedName>
    <definedName name="REPSEA_17">Model!$CY$11</definedName>
    <definedName name="REPSEA_18">Model!$DB$11</definedName>
    <definedName name="REPSEA_19">Model!$DE$11</definedName>
    <definedName name="REPSEA_20">Model!$DH$11</definedName>
    <definedName name="REPSEA_95">Model!$AK$11</definedName>
    <definedName name="REPSEA_96">Model!$AN$11</definedName>
    <definedName name="REPSEA_97">Model!$AQ$11</definedName>
    <definedName name="REPSEA_98">Model!$AT$11</definedName>
    <definedName name="REPSEA_99">Model!$AW$11</definedName>
    <definedName name="REPSIA_00">Model!$AZ$140</definedName>
    <definedName name="REPSIA_01">Model!$BC$140</definedName>
    <definedName name="REPSIA_02">Model!$BF$140</definedName>
    <definedName name="REPSIA_03">Model!$BI$140</definedName>
    <definedName name="REPSIA_04">Model!$BL$140</definedName>
    <definedName name="REPSIA_05">Model!$BO$140</definedName>
    <definedName name="REPSIA_06">Model!$BR$140</definedName>
    <definedName name="REPSIA_07">Model!$BU$140</definedName>
    <definedName name="REPSIA_08">Model!$BX$140</definedName>
    <definedName name="REPSIA_09">Model!$CA$140</definedName>
    <definedName name="REPSIA_10">Model!$CD$140</definedName>
    <definedName name="REPSIA_11">Model!$CG$140</definedName>
    <definedName name="REPSIA_12">Model!$CJ$140</definedName>
    <definedName name="REPSIA_13">Model!$CM$140</definedName>
    <definedName name="REPSIA_14">Model!$CP$140</definedName>
    <definedName name="REPSIA_15">Model!$CS$140</definedName>
    <definedName name="REPSIA_16">Model!$CV$140</definedName>
    <definedName name="REPSIA_17">Model!$CY$140</definedName>
    <definedName name="REPSIA_18">Model!$DB$140</definedName>
    <definedName name="REPSIA_19">Model!$DE$140</definedName>
    <definedName name="REPSIA_20">Model!$DH$140</definedName>
    <definedName name="REPSIA_95">Model!$AK$140</definedName>
    <definedName name="REPSIA_96">Model!$AN$140</definedName>
    <definedName name="REPSIA_97">Model!$AQ$140</definedName>
    <definedName name="REPSIA_98">Model!$AT$140</definedName>
    <definedName name="REPSIA_99">Model!$AW$140</definedName>
    <definedName name="RPIA_00">Model!$AZ$139</definedName>
    <definedName name="RPIA_01">Model!$BC$139</definedName>
    <definedName name="RPIA_02">Model!$BF$139</definedName>
    <definedName name="RPIA_03">Model!$BI$139</definedName>
    <definedName name="RPIA_04">Model!$BL$139</definedName>
    <definedName name="RPIA_05">Model!$BO$139</definedName>
    <definedName name="RPIA_06">Model!$BR$139</definedName>
    <definedName name="RPIA_07">Model!$BU$139</definedName>
    <definedName name="RPIA_08">Model!$BX$139</definedName>
    <definedName name="RPIA_09">Model!$CA$139</definedName>
    <definedName name="RPIA_10">Model!$CD$139</definedName>
    <definedName name="RPIA_11">Model!$CG$139</definedName>
    <definedName name="RPIA_12">Model!$CJ$139</definedName>
    <definedName name="RPIA_13">Model!$CM$139</definedName>
    <definedName name="RPIA_14">Model!$CP$139</definedName>
    <definedName name="RPIA_15">Model!$CS$139</definedName>
    <definedName name="RPIA_16">Model!$CV$139</definedName>
    <definedName name="RPIA_17">Model!$CY$139</definedName>
    <definedName name="RPIA_18">Model!$DB$139</definedName>
    <definedName name="RPIA_19">Model!$DE$139</definedName>
    <definedName name="RPIA_20">Model!$DH$139</definedName>
    <definedName name="RPIA_95">Model!$AK$139</definedName>
    <definedName name="rrr">{"Client Name or Project Name"}</definedName>
    <definedName name="sencount" hidden="1">1</definedName>
    <definedName name="TextRefCopyRangeCount" hidden="1">4</definedName>
    <definedName name="V_WACC_01">#REF!</definedName>
    <definedName name="V_WACC_02">#REF!</definedName>
    <definedName name="V_WACC_04">#REF!</definedName>
    <definedName name="V_WACC_05">#REF!</definedName>
    <definedName name="V_WACC_06">#REF!</definedName>
    <definedName name="V_WACC_H1_00">0.0825</definedName>
    <definedName name="V_WACC_H1_02">#REF!</definedName>
    <definedName name="V_WACC_H1_03">#REF!</definedName>
    <definedName name="V_WACC_H1_05">#REF!</definedName>
    <definedName name="V_WACC_H1_06">#REF!</definedName>
    <definedName name="V_WACC_H1_07">#REF!</definedName>
    <definedName name="V_WACC_H2_00">#REF!</definedName>
    <definedName name="V_WACC_H2_01">#REF!</definedName>
    <definedName name="V_WACC_H2_02">#REF!</definedName>
    <definedName name="V_WACC_H2_04">#REF!</definedName>
    <definedName name="V_WACC_H2_05">#REF!</definedName>
    <definedName name="V_WACC_H2_06">#REF!</definedName>
    <definedName name="ValidDateTable">#REF!</definedName>
    <definedName name="valuation">#REF!</definedName>
    <definedName name="WAC_00">Model!$AZ$400</definedName>
    <definedName name="WAC_01">Model!$BC$400</definedName>
    <definedName name="WAC_02">Model!$BF$400</definedName>
    <definedName name="WAC_03">Model!$BI$400</definedName>
    <definedName name="WAC_04">Model!$BL$400</definedName>
    <definedName name="WAC_05">Model!$BO$400</definedName>
    <definedName name="WAC_06">Model!$BR$400</definedName>
    <definedName name="WAC_07">Model!$BU$400</definedName>
    <definedName name="WAC_08">Model!$BX$400</definedName>
    <definedName name="WAC_09">Model!$CA$400</definedName>
    <definedName name="WAC_10">Model!$CD$400</definedName>
    <definedName name="WAC_11">Model!$CG$400</definedName>
    <definedName name="WAC_12">Model!$CJ$400</definedName>
    <definedName name="WAC_13">Model!$CM$400</definedName>
    <definedName name="WAC_14">Model!$CP$400</definedName>
    <definedName name="WAC_15">Model!$CS$400</definedName>
    <definedName name="WAC_16">Model!$CV$400</definedName>
    <definedName name="WAC_17">Model!$CY$400</definedName>
    <definedName name="WAC_18">Model!$DB$400</definedName>
    <definedName name="WAC_19">Model!$DE$400</definedName>
    <definedName name="WAC_20">Model!$DH$400</definedName>
    <definedName name="WAC_95">Model!$AK$400</definedName>
    <definedName name="WAC_96">Model!$AN$400</definedName>
    <definedName name="WAC_97">Model!$AQ$400</definedName>
    <definedName name="WAC_98">Model!$AT$400</definedName>
    <definedName name="WAC_99">Model!$AW$400</definedName>
    <definedName name="WACB_00">Model!$AZ$396</definedName>
    <definedName name="WACB_01">Model!$BC$396</definedName>
    <definedName name="WACB_02">Model!$BF$396</definedName>
    <definedName name="WACB_03">Model!$BI$396</definedName>
    <definedName name="WACB_04">Model!$BL$396</definedName>
    <definedName name="WACB_05">Model!$BO$396</definedName>
    <definedName name="WACB_06">Model!$BR$396</definedName>
    <definedName name="WACB_07">Model!$BU$396</definedName>
    <definedName name="WACB_08">Model!$BX$396</definedName>
    <definedName name="WACB_09">Model!$CA$396</definedName>
    <definedName name="WACB_10">Model!$CD$396</definedName>
    <definedName name="WACB_11">Model!$CG$396</definedName>
    <definedName name="WACB_12">Model!$CJ$396</definedName>
    <definedName name="WACB_13">Model!$CM$396</definedName>
    <definedName name="WACB_14">Model!$CP$396</definedName>
    <definedName name="WACB_15">Model!$CS$396</definedName>
    <definedName name="WACB_16">Model!$CV$396</definedName>
    <definedName name="WACB_17">Model!$CY$396</definedName>
    <definedName name="WACB_18">Model!$DB$396</definedName>
    <definedName name="WACB_19">Model!$DE$396</definedName>
    <definedName name="WACB_20">Model!$DH$396</definedName>
    <definedName name="WACB_95">Model!$AK$396</definedName>
    <definedName name="WACB_96">Model!$AN$396</definedName>
    <definedName name="WACB_97">Model!$AQ$396</definedName>
    <definedName name="WACB_98">Model!$AT$396</definedName>
    <definedName name="WACB_99">Model!$AW$396</definedName>
    <definedName name="WAOT_00">Model!$AZ$397</definedName>
    <definedName name="WAOT_01">Model!$BC$397</definedName>
    <definedName name="WAOT_02">Model!$BF$397</definedName>
    <definedName name="WAOT_03">Model!$BI$397</definedName>
    <definedName name="WAOT_04">Model!$BL$397</definedName>
    <definedName name="WAOT_05">Model!$BO$397</definedName>
    <definedName name="WAOT_06">Model!$BR$397</definedName>
    <definedName name="WAOT_07">Model!$BU$397</definedName>
    <definedName name="WAOT_08">Model!$BX$397</definedName>
    <definedName name="WAOT_09">Model!$CA$397</definedName>
    <definedName name="WAOT_10">Model!$CD$397</definedName>
    <definedName name="WAOT_11">Model!$CG$397</definedName>
    <definedName name="WAOT_12">Model!$CJ$397</definedName>
    <definedName name="WAOT_13">Model!$CM$397</definedName>
    <definedName name="WAOT_14">Model!$CP$397</definedName>
    <definedName name="WAOT_15">Model!$CS$397</definedName>
    <definedName name="WAOT_16">Model!$CV$397</definedName>
    <definedName name="WAOT_17">Model!$CY$397</definedName>
    <definedName name="WAOT_18">Model!$DB$397</definedName>
    <definedName name="WAOT_19">Model!$DE$397</definedName>
    <definedName name="WAOT_20">Model!$DH$397</definedName>
    <definedName name="WAOT_95">Model!$AK$397</definedName>
    <definedName name="WAOT_96">Model!$AN$397</definedName>
    <definedName name="WAOT_97">Model!$AQ$397</definedName>
    <definedName name="WAOT_98">Model!$AT$397</definedName>
    <definedName name="WAOT_99">Model!$AW$397</definedName>
    <definedName name="Web_BSCLO">#REF!</definedName>
    <definedName name="Web_CDOs">#REF!</definedName>
    <definedName name="Web_Corps">#REF!</definedName>
    <definedName name="Web_CorpsSwapped">#REF!</definedName>
    <definedName name="Web_Date_Autos">#REF!</definedName>
    <definedName name="Web_Date_Cards">#REF!</definedName>
    <definedName name="Web_Date_CDO">#REF!</definedName>
    <definedName name="Web_Date_Corporates">#REF!</definedName>
    <definedName name="Web_Date_Equip">#REF!</definedName>
    <definedName name="Web_Date_General">#REF!</definedName>
    <definedName name="Web_Date_HEL">#REF!</definedName>
    <definedName name="Web_Date_MH">#REF!</definedName>
    <definedName name="Web_Date_RRB">#REF!</definedName>
    <definedName name="Web_Date_Student">#REF!</definedName>
    <definedName name="Web_FltAAAAutos">#REF!</definedName>
    <definedName name="Web_FltAAACards">#REF!</definedName>
    <definedName name="Web_FxdAAAAutos">#REF!</definedName>
    <definedName name="Web_FxdAAAAutosSwapped">#REF!</definedName>
    <definedName name="Web_FxdAAACards">#REF!</definedName>
    <definedName name="Web_FxdAAACardsSwapped">#REF!</definedName>
    <definedName name="Web_FxdHEL">#REF!</definedName>
    <definedName name="Web_FxdHELSubs">#REF!</definedName>
    <definedName name="Web_FxdHELSubsSwapped">#REF!</definedName>
    <definedName name="Web_HELARMs">#REF!</definedName>
    <definedName name="Web_HELNAS">#REF!</definedName>
    <definedName name="Web_HELNASSwapped">#REF!</definedName>
    <definedName name="Web_RRB">#REF!</definedName>
    <definedName name="Web_RRBSwapped">#REF!</definedName>
    <definedName name="Web_StudentLIBOR">#REF!</definedName>
    <definedName name="Web_StudentTBill">#REF!</definedName>
    <definedName name="Web_StudentTBillSwapped">#REF!</definedName>
    <definedName name="Web_Swaps">#REF!</definedName>
    <definedName name="XRefColumnsCount" hidden="1">1</definedName>
    <definedName name="XRefCopyRangeCount" hidden="1">2</definedName>
    <definedName name="XRefPasteRangeCount" hidden="1">1</definedName>
    <definedName name="YEC_00">Model!$AZ$385</definedName>
    <definedName name="YEC_01">Model!$BC$385</definedName>
    <definedName name="YEC_02">Model!$BF$385</definedName>
    <definedName name="YEC_03">Model!$BI$385</definedName>
    <definedName name="YEC_04">Model!$BL$385</definedName>
    <definedName name="YEC_05">Model!$BO$385</definedName>
    <definedName name="YEC_06">Model!$BR$385</definedName>
    <definedName name="YEC_07">Model!$BU$385</definedName>
    <definedName name="YEC_08">Model!$BX$385</definedName>
    <definedName name="YEC_09">Model!$CA$385</definedName>
    <definedName name="YEC_10">Model!$CD$385</definedName>
    <definedName name="YEC_11">Model!$CG$385</definedName>
    <definedName name="YEC_12">Model!$CJ$385</definedName>
    <definedName name="YEC_13">Model!$CM$385</definedName>
    <definedName name="YEC_14">Model!$CP$385</definedName>
    <definedName name="YEC_15">Model!$CS$385</definedName>
    <definedName name="YEC_16">Model!$CV$385</definedName>
    <definedName name="YEC_17">Model!$CY$385</definedName>
    <definedName name="YEC_18">Model!$DB$385</definedName>
    <definedName name="YEC_19">Model!$DE$385</definedName>
    <definedName name="YEC_20">Model!$DH$385</definedName>
    <definedName name="YEC_95">Model!$AK$385</definedName>
    <definedName name="YEC_96">Model!$AN$385</definedName>
    <definedName name="YEC_97">Model!$AQ$385</definedName>
    <definedName name="YEC_98">Model!$AT$385</definedName>
    <definedName name="YEC_99">Model!$AW$385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X377" i="2" l="1"/>
  <c r="DX400" i="2"/>
  <c r="EM176" i="3"/>
  <c r="ED176" i="4" l="1"/>
  <c r="EE176" i="4" s="1"/>
  <c r="EE357" i="4" s="1"/>
  <c r="ED137" i="4"/>
  <c r="EB563" i="4"/>
  <c r="EA563" i="4"/>
  <c r="DY187" i="2"/>
  <c r="DY188" i="2"/>
  <c r="DY261" i="2"/>
  <c r="DZ261" i="2"/>
  <c r="DY254" i="2"/>
  <c r="DZ254" i="2"/>
  <c r="DZ250" i="2"/>
  <c r="DY250" i="2" s="1"/>
  <c r="EC94" i="2"/>
  <c r="EB94" i="2"/>
  <c r="EA94" i="2"/>
  <c r="DX94" i="2"/>
  <c r="DU94" i="2"/>
  <c r="EY171" i="3"/>
  <c r="EZ171" i="3" s="1"/>
  <c r="FA171" i="3" s="1"/>
  <c r="EY170" i="3"/>
  <c r="EZ170" i="3" s="1"/>
  <c r="FA170" i="3" s="1"/>
  <c r="EZ169" i="3"/>
  <c r="FA169" i="3" s="1"/>
  <c r="EY169" i="3"/>
  <c r="ED170" i="3"/>
  <c r="EG170" i="3" s="1"/>
  <c r="EG176" i="3"/>
  <c r="DY563" i="4"/>
  <c r="DY75" i="4"/>
  <c r="DX18" i="4"/>
  <c r="EV134" i="4"/>
  <c r="EW134" i="4" s="1"/>
  <c r="ET134" i="4"/>
  <c r="ES134" i="4"/>
  <c r="EQ134" i="4"/>
  <c r="EP134" i="4"/>
  <c r="DY363" i="4"/>
  <c r="DY276" i="4"/>
  <c r="EG197" i="4"/>
  <c r="DY290" i="4"/>
  <c r="EB357" i="4"/>
  <c r="EA357" i="4"/>
  <c r="EB268" i="4"/>
  <c r="EA268" i="4"/>
  <c r="ED357" i="4" l="1"/>
  <c r="ED268" i="4"/>
  <c r="EJ170" i="3"/>
  <c r="EH170" i="3"/>
  <c r="EI170" i="3" s="1"/>
  <c r="EE170" i="3"/>
  <c r="EF170" i="3" s="1"/>
  <c r="EY134" i="4"/>
  <c r="EZ134" i="4" s="1"/>
  <c r="EK170" i="3" l="1"/>
  <c r="EL170" i="3" s="1"/>
  <c r="EM170" i="3"/>
  <c r="EP170" i="3" l="1"/>
  <c r="EN170" i="3"/>
  <c r="EO170" i="3" s="1"/>
  <c r="ES170" i="3" l="1"/>
  <c r="EQ170" i="3"/>
  <c r="ER170" i="3" s="1"/>
  <c r="EV170" i="3" l="1"/>
  <c r="ET170" i="3"/>
  <c r="EU170" i="3" s="1"/>
  <c r="EW170" i="3" l="1"/>
  <c r="EX170" i="3" s="1"/>
  <c r="EB103" i="4" l="1"/>
  <c r="EB106" i="4" s="1"/>
  <c r="EA103" i="4"/>
  <c r="EA106" i="4" s="1"/>
  <c r="DY103" i="4"/>
  <c r="DY106" i="4" s="1"/>
  <c r="DY357" i="4"/>
  <c r="DY268" i="4"/>
  <c r="DX91" i="4"/>
  <c r="DX180" i="4"/>
  <c r="DZ282" i="2" l="1"/>
  <c r="DZ225" i="2"/>
  <c r="DX214" i="3"/>
  <c r="DX207" i="3"/>
  <c r="DZ213" i="2"/>
  <c r="DZ195" i="2"/>
  <c r="DX210" i="2" l="1"/>
  <c r="DZ210" i="2" s="1"/>
  <c r="DX207" i="2"/>
  <c r="DX179" i="3"/>
  <c r="DX239" i="3"/>
  <c r="DX303" i="2"/>
  <c r="DX219" i="3" s="1"/>
  <c r="DX285" i="2"/>
  <c r="DX217" i="3" s="1"/>
  <c r="DX286" i="2"/>
  <c r="DX246" i="2"/>
  <c r="DX209" i="3" s="1"/>
  <c r="DX243" i="2"/>
  <c r="DX208" i="3" s="1"/>
  <c r="DX312" i="2"/>
  <c r="DX320" i="2" s="1"/>
  <c r="DX289" i="2"/>
  <c r="DX284" i="2"/>
  <c r="DX259" i="2"/>
  <c r="DX258" i="2" s="1"/>
  <c r="DX251" i="2"/>
  <c r="DX236" i="2"/>
  <c r="DX231" i="2"/>
  <c r="DX219" i="2"/>
  <c r="DX208" i="2"/>
  <c r="DX214" i="2" s="1"/>
  <c r="DX204" i="2"/>
  <c r="DX203" i="2"/>
  <c r="DX202" i="2"/>
  <c r="DX201" i="2"/>
  <c r="DX200" i="2"/>
  <c r="DX198" i="2"/>
  <c r="DX197" i="2"/>
  <c r="DX194" i="2"/>
  <c r="DX193" i="2" s="1"/>
  <c r="DX192" i="2"/>
  <c r="DX39" i="2" s="1"/>
  <c r="DX79" i="2"/>
  <c r="DX135" i="3" s="1"/>
  <c r="DX117" i="2"/>
  <c r="DX116" i="2"/>
  <c r="DX93" i="2"/>
  <c r="DX92" i="2"/>
  <c r="DX83" i="2"/>
  <c r="DX82" i="2"/>
  <c r="DX67" i="2"/>
  <c r="DX66" i="2"/>
  <c r="DX65" i="2"/>
  <c r="DX63" i="2"/>
  <c r="DX58" i="2"/>
  <c r="DX41" i="2"/>
  <c r="DX38" i="2"/>
  <c r="DX37" i="2"/>
  <c r="DX36" i="2"/>
  <c r="DX136" i="3"/>
  <c r="DX140" i="3" s="1"/>
  <c r="DX80" i="2" s="1"/>
  <c r="DX125" i="3"/>
  <c r="DX131" i="3" s="1"/>
  <c r="DX112" i="3"/>
  <c r="DX114" i="3" s="1"/>
  <c r="DX110" i="3"/>
  <c r="DX75" i="2" s="1"/>
  <c r="DX49" i="3"/>
  <c r="DX59" i="2" s="1"/>
  <c r="DX417" i="4"/>
  <c r="DX393" i="4"/>
  <c r="DX384" i="4"/>
  <c r="DX365" i="4"/>
  <c r="DX352" i="4"/>
  <c r="DX263" i="4"/>
  <c r="DX257" i="4"/>
  <c r="DX171" i="4"/>
  <c r="DX139" i="4"/>
  <c r="DX127" i="4"/>
  <c r="DX131" i="4" s="1"/>
  <c r="DX125" i="4"/>
  <c r="DX122" i="4"/>
  <c r="DX119" i="4"/>
  <c r="DX113" i="4"/>
  <c r="DX115" i="4" s="1"/>
  <c r="DX97" i="4"/>
  <c r="DX50" i="4"/>
  <c r="DX48" i="4"/>
  <c r="DX538" i="4"/>
  <c r="DX283" i="2" l="1"/>
  <c r="DX199" i="2"/>
  <c r="DX206" i="2"/>
  <c r="DX78" i="2"/>
  <c r="DX182" i="2" s="1"/>
  <c r="DX57" i="2"/>
  <c r="DX241" i="2"/>
  <c r="DX196" i="2"/>
  <c r="DX64" i="2"/>
  <c r="DX62" i="2" s="1"/>
  <c r="DX40" i="2"/>
  <c r="DX84" i="2"/>
  <c r="DX81" i="2"/>
  <c r="DX35" i="2"/>
  <c r="DX144" i="3"/>
  <c r="DX137" i="3"/>
  <c r="DX143" i="3" s="1"/>
  <c r="DX143" i="4"/>
  <c r="DX147" i="4"/>
  <c r="DX140" i="4"/>
  <c r="DX133" i="4"/>
  <c r="DX137" i="4"/>
  <c r="DX179" i="2" l="1"/>
  <c r="DX34" i="2"/>
  <c r="DX115" i="2"/>
  <c r="DX149" i="4"/>
  <c r="DX134" i="4"/>
  <c r="DT71" i="2"/>
  <c r="DW71" i="2"/>
  <c r="DK147" i="3"/>
  <c r="DM147" i="3"/>
  <c r="DN147" i="3" s="1"/>
  <c r="DQ147" i="3"/>
  <c r="DS147" i="3"/>
  <c r="DV147" i="3"/>
  <c r="DV139" i="3"/>
  <c r="DS139" i="3"/>
  <c r="DP139" i="3"/>
  <c r="DM139" i="3"/>
  <c r="DJ139" i="3"/>
  <c r="FA136" i="3"/>
  <c r="EZ136" i="3"/>
  <c r="EY136" i="3"/>
  <c r="EX136" i="3"/>
  <c r="EW136" i="3"/>
  <c r="EV136" i="3"/>
  <c r="EU136" i="3"/>
  <c r="ET136" i="3"/>
  <c r="ES136" i="3"/>
  <c r="ER136" i="3"/>
  <c r="EQ136" i="3"/>
  <c r="EP136" i="3"/>
  <c r="EO136" i="3"/>
  <c r="EN136" i="3"/>
  <c r="EM136" i="3"/>
  <c r="EL136" i="3"/>
  <c r="EK136" i="3"/>
  <c r="EJ136" i="3"/>
  <c r="EI136" i="3"/>
  <c r="EH136" i="3"/>
  <c r="EG136" i="3"/>
  <c r="EF136" i="3"/>
  <c r="EE136" i="3"/>
  <c r="ED136" i="3"/>
  <c r="DW136" i="3"/>
  <c r="DW140" i="3" s="1"/>
  <c r="DW141" i="3" s="1"/>
  <c r="DW80" i="2" s="1"/>
  <c r="DU136" i="3"/>
  <c r="DU140" i="3" s="1"/>
  <c r="DU141" i="3" s="1"/>
  <c r="DU80" i="2" s="1"/>
  <c r="DT136" i="3"/>
  <c r="DT140" i="3" s="1"/>
  <c r="DT141" i="3" s="1"/>
  <c r="DT80" i="2" s="1"/>
  <c r="DR136" i="3"/>
  <c r="DR140" i="3" s="1"/>
  <c r="DR141" i="3" s="1"/>
  <c r="DR80" i="2" s="1"/>
  <c r="DQ136" i="3"/>
  <c r="DQ140" i="3" s="1"/>
  <c r="DQ141" i="3" s="1"/>
  <c r="DO136" i="3"/>
  <c r="DO140" i="3" s="1"/>
  <c r="DO141" i="3" s="1"/>
  <c r="DO80" i="2" s="1"/>
  <c r="DN136" i="3"/>
  <c r="DN140" i="3" s="1"/>
  <c r="DN141" i="3" s="1"/>
  <c r="DL136" i="3"/>
  <c r="DL140" i="3" s="1"/>
  <c r="DL141" i="3" s="1"/>
  <c r="DL80" i="2" s="1"/>
  <c r="DK136" i="3"/>
  <c r="DK140" i="3" s="1"/>
  <c r="DK141" i="3" s="1"/>
  <c r="DI136" i="3"/>
  <c r="DI140" i="3" s="1"/>
  <c r="DI141" i="3" s="1"/>
  <c r="DI79" i="2"/>
  <c r="DI135" i="3" s="1"/>
  <c r="DL79" i="2"/>
  <c r="DL135" i="3" s="1"/>
  <c r="DK79" i="2"/>
  <c r="DK135" i="3" s="1"/>
  <c r="DN79" i="2"/>
  <c r="DN135" i="3" s="1"/>
  <c r="EA109" i="4"/>
  <c r="DX154" i="4" l="1"/>
  <c r="DX150" i="4"/>
  <c r="DN144" i="3"/>
  <c r="DK144" i="3"/>
  <c r="DK80" i="2"/>
  <c r="DN80" i="2"/>
  <c r="DQ80" i="2"/>
  <c r="DL144" i="3"/>
  <c r="DI137" i="3"/>
  <c r="DI143" i="3" s="1"/>
  <c r="DI144" i="3"/>
  <c r="DL137" i="3"/>
  <c r="DL143" i="3" s="1"/>
  <c r="DI147" i="3"/>
  <c r="DN137" i="3"/>
  <c r="DN143" i="3" s="1"/>
  <c r="DK137" i="3"/>
  <c r="DK143" i="3" s="1"/>
  <c r="EH207" i="2"/>
  <c r="EI207" i="2" s="1"/>
  <c r="AG22" i="9"/>
  <c r="AG43" i="9" s="1"/>
  <c r="Q40" i="9"/>
  <c r="Q51" i="9" s="1"/>
  <c r="Q22" i="9"/>
  <c r="DX160" i="4" l="1"/>
  <c r="DX161" i="4" s="1"/>
  <c r="DX155" i="4"/>
  <c r="DJ147" i="3"/>
  <c r="DI80" i="2"/>
  <c r="FA229" i="3"/>
  <c r="FA228" i="3"/>
  <c r="FA227" i="3"/>
  <c r="EZ218" i="3"/>
  <c r="EZ216" i="3"/>
  <c r="EZ212" i="3"/>
  <c r="EZ210" i="3"/>
  <c r="FA196" i="3"/>
  <c r="EY196" i="3"/>
  <c r="FA189" i="3"/>
  <c r="EY189" i="3"/>
  <c r="EZ160" i="3"/>
  <c r="EZ159" i="3"/>
  <c r="EZ156" i="3"/>
  <c r="FA156" i="3" s="1"/>
  <c r="EZ155" i="3"/>
  <c r="FA112" i="3"/>
  <c r="FA114" i="3" s="1"/>
  <c r="EZ112" i="3"/>
  <c r="EZ114" i="3" s="1"/>
  <c r="EY112" i="3"/>
  <c r="EY114" i="3" s="1"/>
  <c r="FA102" i="3"/>
  <c r="EZ102" i="3" s="1"/>
  <c r="EY102" i="3"/>
  <c r="EZ101" i="3"/>
  <c r="EZ100" i="3"/>
  <c r="EZ99" i="3"/>
  <c r="EZ96" i="3"/>
  <c r="FA92" i="3"/>
  <c r="FA95" i="3" s="1"/>
  <c r="EZ95" i="3" s="1"/>
  <c r="EY92" i="3"/>
  <c r="EY95" i="3" s="1"/>
  <c r="EZ90" i="3"/>
  <c r="EZ89" i="3"/>
  <c r="EZ92" i="3" s="1"/>
  <c r="EZ87" i="3"/>
  <c r="FA83" i="3"/>
  <c r="FA86" i="3" s="1"/>
  <c r="EZ86" i="3" s="1"/>
  <c r="EY83" i="3"/>
  <c r="EY86" i="3" s="1"/>
  <c r="FA82" i="3"/>
  <c r="EZ82" i="3"/>
  <c r="EY82" i="3"/>
  <c r="EZ81" i="3"/>
  <c r="EZ80" i="3"/>
  <c r="EZ83" i="3" s="1"/>
  <c r="EZ78" i="3"/>
  <c r="FA74" i="3"/>
  <c r="FA77" i="3" s="1"/>
  <c r="EZ77" i="3" s="1"/>
  <c r="EY74" i="3"/>
  <c r="EY77" i="3" s="1"/>
  <c r="EZ72" i="3"/>
  <c r="EZ71" i="3"/>
  <c r="EZ74" i="3" s="1"/>
  <c r="FA65" i="3"/>
  <c r="FA68" i="3" s="1"/>
  <c r="EZ68" i="3" s="1"/>
  <c r="EY65" i="3"/>
  <c r="EY68" i="3" s="1"/>
  <c r="EZ63" i="3"/>
  <c r="EZ62" i="3"/>
  <c r="EZ65" i="3" s="1"/>
  <c r="EZ60" i="3"/>
  <c r="FA58" i="3"/>
  <c r="EY58" i="3"/>
  <c r="FA43" i="3"/>
  <c r="EY43" i="3"/>
  <c r="EZ41" i="3"/>
  <c r="EZ40" i="3"/>
  <c r="EZ43" i="3" s="1"/>
  <c r="EZ38" i="3"/>
  <c r="FA34" i="3"/>
  <c r="FA37" i="3" s="1"/>
  <c r="EZ37" i="3" s="1"/>
  <c r="EY34" i="3"/>
  <c r="EY37" i="3" s="1"/>
  <c r="EZ32" i="3"/>
  <c r="EZ31" i="3"/>
  <c r="EZ34" i="3" s="1"/>
  <c r="EZ24" i="3"/>
  <c r="EZ23" i="3"/>
  <c r="EZ22" i="3"/>
  <c r="EY575" i="4"/>
  <c r="EZ575" i="4" s="1"/>
  <c r="EY574" i="4"/>
  <c r="EZ574" i="4" s="1"/>
  <c r="EY573" i="4"/>
  <c r="EZ573" i="4" s="1"/>
  <c r="EZ480" i="4"/>
  <c r="EZ152" i="4"/>
  <c r="EY152" i="4"/>
  <c r="EZ18" i="4"/>
  <c r="EZ48" i="4" s="1"/>
  <c r="EY18" i="4"/>
  <c r="FA668" i="2"/>
  <c r="EZ668" i="2"/>
  <c r="EY668" i="2"/>
  <c r="FA667" i="2"/>
  <c r="EZ667" i="2"/>
  <c r="EY667" i="2"/>
  <c r="FA666" i="2"/>
  <c r="EZ666" i="2"/>
  <c r="EY666" i="2"/>
  <c r="FA665" i="2"/>
  <c r="EZ665" i="2"/>
  <c r="EY665" i="2"/>
  <c r="EZ664" i="2"/>
  <c r="EY664" i="2"/>
  <c r="FA605" i="2"/>
  <c r="EZ605" i="2" s="1"/>
  <c r="EY605" i="2"/>
  <c r="EZ604" i="2"/>
  <c r="EZ603" i="2"/>
  <c r="EZ602" i="2"/>
  <c r="EZ601" i="2"/>
  <c r="EZ599" i="2"/>
  <c r="EZ598" i="2"/>
  <c r="EZ597" i="2"/>
  <c r="EZ596" i="2"/>
  <c r="EZ594" i="2"/>
  <c r="EZ593" i="2"/>
  <c r="EZ592" i="2"/>
  <c r="EZ591" i="2"/>
  <c r="EZ590" i="2"/>
  <c r="EZ589" i="2"/>
  <c r="EZ588" i="2"/>
  <c r="EZ587" i="2"/>
  <c r="EZ586" i="2"/>
  <c r="EZ584" i="2"/>
  <c r="EZ583" i="2"/>
  <c r="EZ582" i="2"/>
  <c r="EZ581" i="2"/>
  <c r="EZ576" i="2"/>
  <c r="EZ575" i="2"/>
  <c r="FA574" i="2"/>
  <c r="EZ574" i="2" s="1"/>
  <c r="EY574" i="2"/>
  <c r="EZ573" i="2"/>
  <c r="EZ572" i="2"/>
  <c r="FA571" i="2"/>
  <c r="EY571" i="2"/>
  <c r="EZ450" i="2"/>
  <c r="EZ449" i="2"/>
  <c r="EZ448" i="2"/>
  <c r="EZ445" i="2"/>
  <c r="EZ444" i="2"/>
  <c r="EZ443" i="2"/>
  <c r="EZ440" i="2"/>
  <c r="EZ439" i="2"/>
  <c r="EZ438" i="2"/>
  <c r="EZ435" i="2"/>
  <c r="EZ434" i="2"/>
  <c r="EZ433" i="2"/>
  <c r="EZ430" i="2"/>
  <c r="EZ429" i="2"/>
  <c r="EZ428" i="2"/>
  <c r="FA425" i="2"/>
  <c r="EZ425" i="2" s="1"/>
  <c r="FA424" i="2"/>
  <c r="EZ424" i="2" s="1"/>
  <c r="FA423" i="2"/>
  <c r="EZ423" i="2" s="1"/>
  <c r="FA420" i="2"/>
  <c r="EZ420" i="2" s="1"/>
  <c r="FA419" i="2"/>
  <c r="EZ419" i="2" s="1"/>
  <c r="FA418" i="2"/>
  <c r="EZ418" i="2" s="1"/>
  <c r="FA407" i="2"/>
  <c r="EZ407" i="2" s="1"/>
  <c r="EY407" i="2"/>
  <c r="FA383" i="2"/>
  <c r="FA382" i="2"/>
  <c r="FA381" i="2"/>
  <c r="FA380" i="2"/>
  <c r="FA379" i="2"/>
  <c r="FA378" i="2"/>
  <c r="FA377" i="2"/>
  <c r="EZ369" i="2"/>
  <c r="EY369" i="2"/>
  <c r="EZ368" i="2"/>
  <c r="EY368" i="2"/>
  <c r="FA367" i="2"/>
  <c r="EZ367" i="2" s="1"/>
  <c r="EZ230" i="3" s="1"/>
  <c r="EY367" i="2"/>
  <c r="EZ360" i="2"/>
  <c r="EY360" i="2"/>
  <c r="EZ357" i="2"/>
  <c r="EY357" i="2"/>
  <c r="EZ354" i="2"/>
  <c r="EY354" i="2"/>
  <c r="EZ352" i="2"/>
  <c r="EZ24" i="2" s="1"/>
  <c r="EY352" i="2"/>
  <c r="EY24" i="2" s="1"/>
  <c r="EZ318" i="2"/>
  <c r="EZ317" i="2"/>
  <c r="EZ316" i="2"/>
  <c r="EZ315" i="2"/>
  <c r="EZ314" i="2"/>
  <c r="EZ311" i="2"/>
  <c r="FA289" i="2"/>
  <c r="EZ289" i="2" s="1"/>
  <c r="EY289" i="2"/>
  <c r="FA284" i="2"/>
  <c r="EZ284" i="2" s="1"/>
  <c r="EY284" i="2"/>
  <c r="FA259" i="2"/>
  <c r="EZ259" i="2" s="1"/>
  <c r="EY259" i="2"/>
  <c r="FA251" i="2"/>
  <c r="EZ251" i="2" s="1"/>
  <c r="EY251" i="2"/>
  <c r="EZ239" i="2"/>
  <c r="EZ238" i="2"/>
  <c r="EZ237" i="2"/>
  <c r="EZ234" i="2"/>
  <c r="EZ233" i="2"/>
  <c r="EZ225" i="2"/>
  <c r="FA210" i="2"/>
  <c r="EY210" i="2"/>
  <c r="FA208" i="2"/>
  <c r="EY208" i="2"/>
  <c r="FA207" i="2"/>
  <c r="EY207" i="2"/>
  <c r="FA204" i="2"/>
  <c r="EY204" i="2"/>
  <c r="FA203" i="2"/>
  <c r="EY203" i="2"/>
  <c r="FA202" i="2"/>
  <c r="EY202" i="2"/>
  <c r="FA201" i="2"/>
  <c r="EY201" i="2"/>
  <c r="FA200" i="2"/>
  <c r="EY200" i="2"/>
  <c r="FA198" i="2"/>
  <c r="EY198" i="2"/>
  <c r="FA197" i="2"/>
  <c r="EY197" i="2"/>
  <c r="FA195" i="2"/>
  <c r="EY195" i="2"/>
  <c r="FA194" i="2"/>
  <c r="EY194" i="2"/>
  <c r="FA192" i="2"/>
  <c r="FA39" i="2" s="1"/>
  <c r="EY192" i="2"/>
  <c r="EY39" i="2" s="1"/>
  <c r="EZ137" i="2"/>
  <c r="EZ136" i="2"/>
  <c r="EZ135" i="2"/>
  <c r="EZ134" i="2"/>
  <c r="EZ133" i="2"/>
  <c r="EZ132" i="2"/>
  <c r="EZ131" i="2"/>
  <c r="EZ130" i="2"/>
  <c r="EZ129" i="2"/>
  <c r="EZ128" i="2"/>
  <c r="EZ127" i="2"/>
  <c r="EZ126" i="2"/>
  <c r="EZ125" i="2"/>
  <c r="EZ124" i="2"/>
  <c r="EZ123" i="2"/>
  <c r="EZ122" i="2"/>
  <c r="EZ121" i="2"/>
  <c r="EZ120" i="2"/>
  <c r="EZ119" i="2"/>
  <c r="EZ118" i="2"/>
  <c r="FA117" i="2"/>
  <c r="EY117" i="2"/>
  <c r="FA116" i="2"/>
  <c r="EY116" i="2"/>
  <c r="EZ114" i="2"/>
  <c r="EZ113" i="2"/>
  <c r="EZ112" i="2"/>
  <c r="EZ111" i="2"/>
  <c r="EZ110" i="2"/>
  <c r="EZ109" i="2"/>
  <c r="EZ108" i="2"/>
  <c r="EZ107" i="2"/>
  <c r="EZ106" i="2"/>
  <c r="EZ105" i="2"/>
  <c r="EZ104" i="2"/>
  <c r="EZ103" i="2"/>
  <c r="EZ102" i="2"/>
  <c r="EZ101" i="2"/>
  <c r="EZ100" i="2"/>
  <c r="EZ99" i="2"/>
  <c r="EZ98" i="2"/>
  <c r="EZ97" i="2"/>
  <c r="EZ96" i="2"/>
  <c r="EZ94" i="2"/>
  <c r="FA93" i="2"/>
  <c r="EY93" i="2"/>
  <c r="FA92" i="2"/>
  <c r="EY92" i="2"/>
  <c r="EZ89" i="2"/>
  <c r="EZ88" i="2"/>
  <c r="EZ87" i="2"/>
  <c r="FA83" i="2"/>
  <c r="EY83" i="2"/>
  <c r="FA82" i="2"/>
  <c r="EY82" i="2"/>
  <c r="FA67" i="2"/>
  <c r="EY67" i="2"/>
  <c r="FA66" i="2"/>
  <c r="EY66" i="2"/>
  <c r="FA63" i="2"/>
  <c r="EY63" i="2"/>
  <c r="FA58" i="2"/>
  <c r="EY58" i="2"/>
  <c r="EZ52" i="2"/>
  <c r="EZ49" i="2"/>
  <c r="EZ48" i="2"/>
  <c r="EZ47" i="2"/>
  <c r="EZ46" i="2"/>
  <c r="EZ45" i="2"/>
  <c r="EZ44" i="2"/>
  <c r="FA41" i="2"/>
  <c r="EY41" i="2"/>
  <c r="FA38" i="2"/>
  <c r="EY38" i="2"/>
  <c r="FA37" i="2"/>
  <c r="EY37" i="2"/>
  <c r="FA36" i="2"/>
  <c r="EY36" i="2"/>
  <c r="FA7" i="2"/>
  <c r="FA5" i="2"/>
  <c r="FA4" i="2" s="1"/>
  <c r="EZ5" i="2"/>
  <c r="EZ4" i="2" s="1"/>
  <c r="EY5" i="2"/>
  <c r="EY4" i="2" s="1"/>
  <c r="EG268" i="4"/>
  <c r="EH268" i="4" s="1"/>
  <c r="EJ268" i="4" s="1"/>
  <c r="EK268" i="4" s="1"/>
  <c r="EM268" i="4" s="1"/>
  <c r="EN268" i="4" s="1"/>
  <c r="EP268" i="4" s="1"/>
  <c r="EQ268" i="4" s="1"/>
  <c r="ES268" i="4" s="1"/>
  <c r="ET268" i="4" s="1"/>
  <c r="EV268" i="4" s="1"/>
  <c r="EW268" i="4" s="1"/>
  <c r="EY268" i="4" s="1"/>
  <c r="EZ268" i="4" s="1"/>
  <c r="FP97" i="4"/>
  <c r="FQ97" i="4" s="1"/>
  <c r="FQ96" i="4"/>
  <c r="FM97" i="4"/>
  <c r="FN96" i="4"/>
  <c r="FJ97" i="4"/>
  <c r="FK98" i="4" s="1"/>
  <c r="EC144" i="4"/>
  <c r="EC136" i="3" s="1"/>
  <c r="DZ144" i="4"/>
  <c r="DZ136" i="3" s="1"/>
  <c r="DV127" i="3"/>
  <c r="DV256" i="4"/>
  <c r="DY109" i="4"/>
  <c r="DV563" i="4"/>
  <c r="DV18" i="4" s="1"/>
  <c r="DV48" i="4" s="1"/>
  <c r="DW125" i="3"/>
  <c r="DW78" i="2" s="1"/>
  <c r="DW182" i="2" s="1"/>
  <c r="DW397" i="2"/>
  <c r="DX397" i="2" s="1"/>
  <c r="DW374" i="2"/>
  <c r="DW378" i="2"/>
  <c r="DW379" i="2"/>
  <c r="DW380" i="2"/>
  <c r="DW381" i="2"/>
  <c r="DW382" i="2"/>
  <c r="DW383" i="2"/>
  <c r="DW407" i="2"/>
  <c r="DV407" i="2" s="1"/>
  <c r="DW303" i="2"/>
  <c r="DV303" i="2" s="1"/>
  <c r="DW285" i="2"/>
  <c r="DV285" i="2" s="1"/>
  <c r="DW246" i="2"/>
  <c r="DV246" i="2" s="1"/>
  <c r="DW243" i="2"/>
  <c r="DV243" i="2" s="1"/>
  <c r="DV319" i="2"/>
  <c r="DV318" i="2"/>
  <c r="DV317" i="2"/>
  <c r="DV316" i="2"/>
  <c r="DV315" i="2"/>
  <c r="DV314" i="2"/>
  <c r="DV313" i="2"/>
  <c r="DW312" i="2"/>
  <c r="DV312" i="2" s="1"/>
  <c r="DV311" i="2"/>
  <c r="DV310" i="2"/>
  <c r="DV302" i="2"/>
  <c r="DV301" i="2"/>
  <c r="DV299" i="2"/>
  <c r="DV298" i="2"/>
  <c r="DW289" i="2"/>
  <c r="DV289" i="2" s="1"/>
  <c r="DV286" i="2"/>
  <c r="DW284" i="2"/>
  <c r="DV282" i="2"/>
  <c r="DV279" i="2"/>
  <c r="DV278" i="2"/>
  <c r="DV73" i="3" s="1"/>
  <c r="DV267" i="2"/>
  <c r="DV262" i="2"/>
  <c r="DV261" i="2"/>
  <c r="DV260" i="2"/>
  <c r="DV213" i="3" s="1"/>
  <c r="DW259" i="2"/>
  <c r="DV259" i="2" s="1"/>
  <c r="DV254" i="2"/>
  <c r="DW251" i="2"/>
  <c r="DV251" i="2" s="1"/>
  <c r="DV250" i="2"/>
  <c r="DV249" i="2"/>
  <c r="DV42" i="3" s="1"/>
  <c r="DV242" i="2"/>
  <c r="DV240" i="2"/>
  <c r="DV239" i="2"/>
  <c r="DV238" i="2"/>
  <c r="DV237" i="2"/>
  <c r="DW236" i="2"/>
  <c r="DV236" i="2" s="1"/>
  <c r="DV234" i="2"/>
  <c r="DV233" i="2"/>
  <c r="DV232" i="2"/>
  <c r="DW231" i="2"/>
  <c r="DV230" i="2"/>
  <c r="DW207" i="2"/>
  <c r="DV225" i="2"/>
  <c r="DW219" i="2"/>
  <c r="DV216" i="2"/>
  <c r="DV212" i="2"/>
  <c r="DV211" i="2"/>
  <c r="DV201" i="3" s="1"/>
  <c r="DW210" i="2"/>
  <c r="DV209" i="2"/>
  <c r="DW208" i="2"/>
  <c r="DW204" i="2"/>
  <c r="DW203" i="2"/>
  <c r="DW202" i="2"/>
  <c r="DW201" i="2"/>
  <c r="DW200" i="2"/>
  <c r="DW198" i="2"/>
  <c r="DW197" i="2"/>
  <c r="DV195" i="2"/>
  <c r="DV184" i="3" s="1"/>
  <c r="DW194" i="2"/>
  <c r="DW193" i="2" s="1"/>
  <c r="DW192" i="2"/>
  <c r="DW39" i="2" s="1"/>
  <c r="DW191" i="2"/>
  <c r="DV188" i="2"/>
  <c r="DV183" i="2"/>
  <c r="DW79" i="2"/>
  <c r="DW135" i="3" s="1"/>
  <c r="DV137" i="2"/>
  <c r="DV136" i="2"/>
  <c r="DV135" i="2"/>
  <c r="DV134" i="2"/>
  <c r="DV133" i="2"/>
  <c r="DV132" i="2"/>
  <c r="DV131" i="2"/>
  <c r="DV130" i="2"/>
  <c r="DV129" i="2"/>
  <c r="DV128" i="2"/>
  <c r="DV127" i="2"/>
  <c r="DV126" i="2"/>
  <c r="DV125" i="2"/>
  <c r="DV124" i="2"/>
  <c r="DV123" i="2"/>
  <c r="DV122" i="2"/>
  <c r="DV121" i="2"/>
  <c r="DV120" i="2"/>
  <c r="DV119" i="2"/>
  <c r="DV118" i="2"/>
  <c r="DW117" i="2"/>
  <c r="DW116" i="2"/>
  <c r="DV114" i="2"/>
  <c r="DV113" i="2"/>
  <c r="DV112" i="2"/>
  <c r="DV111" i="2"/>
  <c r="DV110" i="2"/>
  <c r="DV109" i="2"/>
  <c r="DV108" i="2"/>
  <c r="DV107" i="2"/>
  <c r="DV106" i="2"/>
  <c r="DV105" i="2"/>
  <c r="DV104" i="2"/>
  <c r="DV103" i="2"/>
  <c r="DV102" i="2"/>
  <c r="DV101" i="2"/>
  <c r="DV100" i="2"/>
  <c r="DV99" i="2"/>
  <c r="DV98" i="2"/>
  <c r="DV97" i="2"/>
  <c r="DV96" i="2"/>
  <c r="DW92" i="2"/>
  <c r="DW93" i="2"/>
  <c r="DV89" i="2"/>
  <c r="DV88" i="2"/>
  <c r="DV87" i="2"/>
  <c r="DW83" i="2"/>
  <c r="DW82" i="2"/>
  <c r="DW67" i="2"/>
  <c r="DW66" i="2"/>
  <c r="DW65" i="2"/>
  <c r="DW63" i="2"/>
  <c r="DW58" i="2"/>
  <c r="DV52" i="2"/>
  <c r="DV49" i="2"/>
  <c r="DV48" i="2"/>
  <c r="DV47" i="2"/>
  <c r="DV46" i="2"/>
  <c r="DV45" i="2"/>
  <c r="DV44" i="2"/>
  <c r="DW41" i="2"/>
  <c r="DW38" i="2"/>
  <c r="DW37" i="2"/>
  <c r="DW36" i="2"/>
  <c r="DW229" i="3"/>
  <c r="DW228" i="3"/>
  <c r="DW227" i="3"/>
  <c r="DW223" i="3"/>
  <c r="DV218" i="3"/>
  <c r="DV216" i="3"/>
  <c r="DW213" i="3"/>
  <c r="DV212" i="3"/>
  <c r="DV210" i="3"/>
  <c r="DW201" i="3"/>
  <c r="DW199" i="3" s="1"/>
  <c r="DW196" i="3"/>
  <c r="DW189" i="3"/>
  <c r="DV160" i="3"/>
  <c r="DV159" i="3"/>
  <c r="DV156" i="3"/>
  <c r="DW156" i="3" s="1"/>
  <c r="DV155" i="3"/>
  <c r="DV153" i="3"/>
  <c r="DV119" i="3"/>
  <c r="DW119" i="3" s="1"/>
  <c r="DW112" i="3"/>
  <c r="DW114" i="3" s="1"/>
  <c r="DV112" i="3"/>
  <c r="DV114" i="3" s="1"/>
  <c r="DW110" i="3"/>
  <c r="DW75" i="2" s="1"/>
  <c r="DW35" i="2" s="1"/>
  <c r="DV109" i="3"/>
  <c r="DW102" i="3"/>
  <c r="DV102" i="3" s="1"/>
  <c r="DV101" i="3"/>
  <c r="DV100" i="3"/>
  <c r="DV99" i="3"/>
  <c r="DV96" i="3"/>
  <c r="DW92" i="3"/>
  <c r="DW95" i="3" s="1"/>
  <c r="DV95" i="3" s="1"/>
  <c r="DV90" i="3"/>
  <c r="DV89" i="3"/>
  <c r="DV92" i="3" s="1"/>
  <c r="DV87" i="3"/>
  <c r="DW83" i="3"/>
  <c r="DW86" i="3" s="1"/>
  <c r="DV86" i="3" s="1"/>
  <c r="DW82" i="3"/>
  <c r="DV82" i="3"/>
  <c r="DV81" i="3"/>
  <c r="DV80" i="3"/>
  <c r="DV83" i="3" s="1"/>
  <c r="DV78" i="3"/>
  <c r="DW74" i="3"/>
  <c r="DW77" i="3" s="1"/>
  <c r="DV77" i="3" s="1"/>
  <c r="DW73" i="3"/>
  <c r="DV72" i="3"/>
  <c r="DV71" i="3"/>
  <c r="DV74" i="3" s="1"/>
  <c r="DW65" i="3"/>
  <c r="DW68" i="3" s="1"/>
  <c r="DV68" i="3" s="1"/>
  <c r="DV63" i="3"/>
  <c r="DV62" i="3"/>
  <c r="DV65" i="3" s="1"/>
  <c r="DV60" i="3"/>
  <c r="DW58" i="3"/>
  <c r="DV48" i="3"/>
  <c r="DW43" i="3"/>
  <c r="DW42" i="3"/>
  <c r="DV41" i="3"/>
  <c r="DV40" i="3"/>
  <c r="DV43" i="3" s="1"/>
  <c r="DV38" i="3"/>
  <c r="DW34" i="3"/>
  <c r="DW37" i="3" s="1"/>
  <c r="DV37" i="3" s="1"/>
  <c r="DV32" i="3"/>
  <c r="DV31" i="3"/>
  <c r="DV34" i="3" s="1"/>
  <c r="DW417" i="4"/>
  <c r="DV365" i="4"/>
  <c r="DW352" i="4"/>
  <c r="DV351" i="4"/>
  <c r="DV347" i="4"/>
  <c r="DW263" i="4"/>
  <c r="DV262" i="4"/>
  <c r="DW171" i="4"/>
  <c r="DV170" i="4"/>
  <c r="DV159" i="4"/>
  <c r="DV50" i="4" s="1"/>
  <c r="DV152" i="4"/>
  <c r="DV146" i="4"/>
  <c r="DV144" i="4"/>
  <c r="DV136" i="3" s="1"/>
  <c r="DV140" i="3" s="1"/>
  <c r="DV141" i="3" s="1"/>
  <c r="DV80" i="2" s="1"/>
  <c r="DV142" i="4"/>
  <c r="DW139" i="4"/>
  <c r="DV136" i="4"/>
  <c r="DV130" i="4"/>
  <c r="DW125" i="4"/>
  <c r="DV124" i="4"/>
  <c r="DV25" i="4" s="1"/>
  <c r="DW122" i="4"/>
  <c r="DV121" i="4"/>
  <c r="DW119" i="4"/>
  <c r="DV118" i="4"/>
  <c r="DW97" i="4"/>
  <c r="DV96" i="4"/>
  <c r="DW137" i="3" l="1"/>
  <c r="DW143" i="3" s="1"/>
  <c r="DW144" i="3"/>
  <c r="EZ63" i="2"/>
  <c r="EZ67" i="2"/>
  <c r="FA577" i="2"/>
  <c r="FA607" i="2" s="1"/>
  <c r="FA40" i="2"/>
  <c r="DW241" i="2"/>
  <c r="DV241" i="2" s="1"/>
  <c r="FA152" i="4"/>
  <c r="EZ41" i="2"/>
  <c r="EZ92" i="2"/>
  <c r="EZ116" i="2"/>
  <c r="EZ39" i="2"/>
  <c r="EZ198" i="2"/>
  <c r="EZ187" i="3" s="1"/>
  <c r="FL98" i="4"/>
  <c r="EZ66" i="2"/>
  <c r="EZ82" i="2"/>
  <c r="EZ194" i="2"/>
  <c r="EZ183" i="3" s="1"/>
  <c r="EZ571" i="2"/>
  <c r="EZ577" i="2" s="1"/>
  <c r="EZ607" i="2" s="1"/>
  <c r="EZ93" i="2"/>
  <c r="EZ201" i="2"/>
  <c r="EZ191" i="3" s="1"/>
  <c r="EZ210" i="2"/>
  <c r="EZ200" i="3" s="1"/>
  <c r="EZ37" i="2"/>
  <c r="EZ38" i="2"/>
  <c r="FA196" i="2"/>
  <c r="EZ202" i="2"/>
  <c r="EZ192" i="3" s="1"/>
  <c r="FA2" i="3"/>
  <c r="FA309" i="3" s="1"/>
  <c r="FA9" i="2"/>
  <c r="FA2" i="4"/>
  <c r="FA90" i="4" s="1"/>
  <c r="EY177" i="2"/>
  <c r="EY29" i="2"/>
  <c r="EY9" i="2"/>
  <c r="EY2" i="3"/>
  <c r="EY13" i="3" s="1"/>
  <c r="EY20" i="3" s="1"/>
  <c r="EY2" i="4"/>
  <c r="EY117" i="4" s="1"/>
  <c r="EZ2" i="3"/>
  <c r="EZ244" i="3" s="1"/>
  <c r="EZ2" i="4"/>
  <c r="EZ350" i="4" s="1"/>
  <c r="EY206" i="2"/>
  <c r="FA664" i="2"/>
  <c r="EZ203" i="2"/>
  <c r="EZ193" i="3" s="1"/>
  <c r="EY48" i="4"/>
  <c r="FA48" i="4" s="1"/>
  <c r="EY193" i="2"/>
  <c r="EZ84" i="3"/>
  <c r="EZ58" i="2"/>
  <c r="EZ36" i="2"/>
  <c r="EZ195" i="2"/>
  <c r="EZ184" i="3" s="1"/>
  <c r="EZ200" i="2"/>
  <c r="EZ190" i="3" s="1"/>
  <c r="FA199" i="2"/>
  <c r="EZ83" i="2"/>
  <c r="EZ192" i="2"/>
  <c r="EZ181" i="3" s="1"/>
  <c r="FA193" i="2"/>
  <c r="EZ204" i="2"/>
  <c r="EZ208" i="2"/>
  <c r="EZ198" i="3" s="1"/>
  <c r="FA18" i="4"/>
  <c r="EZ372" i="2"/>
  <c r="EZ568" i="2"/>
  <c r="EZ347" i="2"/>
  <c r="EZ326" i="2"/>
  <c r="EZ148" i="2"/>
  <c r="EZ228" i="2"/>
  <c r="EZ177" i="2"/>
  <c r="FA372" i="2"/>
  <c r="FA568" i="2"/>
  <c r="FA347" i="2"/>
  <c r="FA326" i="2"/>
  <c r="FA228" i="2"/>
  <c r="FA177" i="2"/>
  <c r="FA148" i="2"/>
  <c r="EZ197" i="2"/>
  <c r="EZ186" i="3" s="1"/>
  <c r="EY196" i="2"/>
  <c r="EZ29" i="2"/>
  <c r="EZ117" i="2"/>
  <c r="FA206" i="2"/>
  <c r="EZ207" i="2"/>
  <c r="EZ197" i="3" s="1"/>
  <c r="EY372" i="2"/>
  <c r="EY347" i="2"/>
  <c r="EY568" i="2"/>
  <c r="EY148" i="2"/>
  <c r="EY326" i="2"/>
  <c r="EZ9" i="2"/>
  <c r="FA29" i="2"/>
  <c r="EY40" i="2"/>
  <c r="EY199" i="2"/>
  <c r="EY228" i="2"/>
  <c r="EY577" i="2"/>
  <c r="EY607" i="2" s="1"/>
  <c r="DV94" i="2"/>
  <c r="FM98" i="4"/>
  <c r="FO98" i="4"/>
  <c r="DW283" i="2"/>
  <c r="DV283" i="2" s="1"/>
  <c r="FN97" i="4"/>
  <c r="FN98" i="4" s="1"/>
  <c r="FP98" i="4"/>
  <c r="EY358" i="2"/>
  <c r="FQ98" i="4"/>
  <c r="DW196" i="2"/>
  <c r="DV284" i="2"/>
  <c r="DW199" i="2"/>
  <c r="DW40" i="2"/>
  <c r="DW34" i="2" s="1"/>
  <c r="DW64" i="2"/>
  <c r="DW81" i="2"/>
  <c r="DV231" i="2"/>
  <c r="DW258" i="2"/>
  <c r="DV258" i="2" s="1"/>
  <c r="DW320" i="2"/>
  <c r="DW206" i="2"/>
  <c r="DV110" i="3"/>
  <c r="DV127" i="4"/>
  <c r="DV137" i="4" s="1"/>
  <c r="DV24" i="4"/>
  <c r="FA244" i="3" l="1"/>
  <c r="EY419" i="4"/>
  <c r="EZ507" i="4"/>
  <c r="EZ95" i="4"/>
  <c r="EZ498" i="4" s="1"/>
  <c r="EZ41" i="4"/>
  <c r="EZ419" i="4"/>
  <c r="FA41" i="4"/>
  <c r="EZ14" i="4"/>
  <c r="EZ74" i="4"/>
  <c r="EZ167" i="4"/>
  <c r="EZ206" i="2"/>
  <c r="EZ259" i="4"/>
  <c r="EZ117" i="4"/>
  <c r="EZ90" i="4"/>
  <c r="FA13" i="3"/>
  <c r="FA20" i="3" s="1"/>
  <c r="EZ196" i="3"/>
  <c r="EY259" i="4"/>
  <c r="EY507" i="4"/>
  <c r="EY14" i="4"/>
  <c r="EZ309" i="3"/>
  <c r="EY74" i="4"/>
  <c r="EY95" i="4"/>
  <c r="EY498" i="4" s="1"/>
  <c r="EZ13" i="3"/>
  <c r="EZ20" i="3" s="1"/>
  <c r="EY90" i="4"/>
  <c r="EZ358" i="2"/>
  <c r="FA95" i="4"/>
  <c r="FA498" i="4" s="1"/>
  <c r="FA259" i="4"/>
  <c r="EZ189" i="3"/>
  <c r="EZ199" i="2"/>
  <c r="EY244" i="3"/>
  <c r="EY309" i="3"/>
  <c r="FA507" i="4"/>
  <c r="FA419" i="4"/>
  <c r="FA14" i="4"/>
  <c r="FA350" i="4"/>
  <c r="FA117" i="4"/>
  <c r="FA167" i="4"/>
  <c r="FA74" i="4"/>
  <c r="DV131" i="4"/>
  <c r="DV147" i="4"/>
  <c r="EZ193" i="2"/>
  <c r="EY167" i="4"/>
  <c r="EY350" i="4"/>
  <c r="EY41" i="4"/>
  <c r="EZ196" i="2"/>
  <c r="EZ40" i="2"/>
  <c r="DV133" i="4"/>
  <c r="DV134" i="4" s="1"/>
  <c r="DW84" i="2"/>
  <c r="DW115" i="2" s="1"/>
  <c r="DW149" i="2" s="1"/>
  <c r="DV149" i="2" s="1"/>
  <c r="DW62" i="2"/>
  <c r="DV320" i="2"/>
  <c r="DV143" i="4"/>
  <c r="DX543" i="4" l="1"/>
  <c r="DX558" i="4"/>
  <c r="DO79" i="2"/>
  <c r="DO135" i="3" s="1"/>
  <c r="DQ79" i="2"/>
  <c r="DQ135" i="3" s="1"/>
  <c r="DR79" i="2"/>
  <c r="DR135" i="3" s="1"/>
  <c r="DT79" i="2"/>
  <c r="DT135" i="3" s="1"/>
  <c r="DU79" i="2"/>
  <c r="DU139" i="4"/>
  <c r="DV139" i="4" s="1"/>
  <c r="DT139" i="4"/>
  <c r="DR139" i="4"/>
  <c r="DQ139" i="4"/>
  <c r="DO139" i="4"/>
  <c r="DN139" i="4"/>
  <c r="DL139" i="4"/>
  <c r="DK139" i="4"/>
  <c r="DI139" i="4"/>
  <c r="DT137" i="3" l="1"/>
  <c r="DT143" i="3" s="1"/>
  <c r="DT144" i="3"/>
  <c r="DR137" i="3"/>
  <c r="DR143" i="3" s="1"/>
  <c r="DR144" i="3"/>
  <c r="DO137" i="3"/>
  <c r="DO143" i="3" s="1"/>
  <c r="DO144" i="3"/>
  <c r="DQ137" i="3"/>
  <c r="DQ143" i="3" s="1"/>
  <c r="DQ144" i="3"/>
  <c r="DV79" i="2"/>
  <c r="DV135" i="3" s="1"/>
  <c r="DU135" i="3"/>
  <c r="DV140" i="4"/>
  <c r="DV149" i="4"/>
  <c r="DS139" i="4"/>
  <c r="DP139" i="4"/>
  <c r="DM139" i="4"/>
  <c r="DU137" i="3" l="1"/>
  <c r="DU143" i="3" s="1"/>
  <c r="DU144" i="3"/>
  <c r="DV137" i="3"/>
  <c r="DV143" i="3" s="1"/>
  <c r="DV144" i="3"/>
  <c r="DV150" i="4"/>
  <c r="DV154" i="4"/>
  <c r="DV160" i="4" l="1"/>
  <c r="DV161" i="4" s="1"/>
  <c r="DV155" i="4"/>
  <c r="BQ52" i="2" l="1"/>
  <c r="DS119" i="3"/>
  <c r="DT119" i="3" s="1"/>
  <c r="P6" i="488"/>
  <c r="DU194" i="2" l="1"/>
  <c r="DU192" i="2"/>
  <c r="DV192" i="2" s="1"/>
  <c r="DU193" i="2" l="1"/>
  <c r="DV193" i="2" s="1"/>
  <c r="DV194" i="2"/>
  <c r="DZ207" i="2" l="1"/>
  <c r="DX375" i="2"/>
  <c r="DY375" i="2" l="1"/>
  <c r="EA375" i="2" s="1"/>
  <c r="EB207" i="2"/>
  <c r="EE207" i="2"/>
  <c r="EF207" i="2" l="1"/>
  <c r="DY377" i="2"/>
  <c r="EB375" i="2"/>
  <c r="ED375" i="2" s="1"/>
  <c r="EA377" i="2"/>
  <c r="EC207" i="2"/>
  <c r="EE375" i="2" l="1"/>
  <c r="EE377" i="2" s="1"/>
  <c r="ED377" i="2"/>
  <c r="EB377" i="2"/>
  <c r="EG134" i="4"/>
  <c r="ED169" i="3"/>
  <c r="EG169" i="3" s="1"/>
  <c r="EJ169" i="3" s="1"/>
  <c r="EM169" i="3" s="1"/>
  <c r="EP169" i="3" s="1"/>
  <c r="ES169" i="3" s="1"/>
  <c r="EV169" i="3" s="1"/>
  <c r="EA144" i="4"/>
  <c r="DS144" i="4"/>
  <c r="DS136" i="3" s="1"/>
  <c r="DS140" i="3" s="1"/>
  <c r="DS141" i="3" s="1"/>
  <c r="DS80" i="2" s="1"/>
  <c r="DS142" i="4"/>
  <c r="DP144" i="4"/>
  <c r="DP136" i="3" s="1"/>
  <c r="DP140" i="3" s="1"/>
  <c r="DP141" i="3" s="1"/>
  <c r="DP80" i="2" s="1"/>
  <c r="DP142" i="4"/>
  <c r="DM144" i="4"/>
  <c r="DM136" i="3" s="1"/>
  <c r="DM140" i="3" s="1"/>
  <c r="DM141" i="3" s="1"/>
  <c r="DM80" i="2" s="1"/>
  <c r="DM142" i="4"/>
  <c r="DJ144" i="4"/>
  <c r="DJ136" i="3" s="1"/>
  <c r="DJ140" i="3" s="1"/>
  <c r="DJ141" i="3" s="1"/>
  <c r="DJ80" i="2" s="1"/>
  <c r="DJ142" i="4"/>
  <c r="DU207" i="2"/>
  <c r="DV207" i="2" s="1"/>
  <c r="DT207" i="3"/>
  <c r="DR207" i="3"/>
  <c r="DQ207" i="3"/>
  <c r="DO207" i="3"/>
  <c r="DN207" i="3"/>
  <c r="DL207" i="3"/>
  <c r="DU207" i="3"/>
  <c r="DT214" i="3"/>
  <c r="DR214" i="3"/>
  <c r="DQ214" i="3"/>
  <c r="DO214" i="3"/>
  <c r="DU214" i="3"/>
  <c r="DT239" i="3"/>
  <c r="DR239" i="3"/>
  <c r="DQ239" i="3"/>
  <c r="DO239" i="3"/>
  <c r="DN239" i="3"/>
  <c r="DL239" i="3"/>
  <c r="DU239" i="3"/>
  <c r="DU303" i="2"/>
  <c r="DU219" i="3" s="1"/>
  <c r="DU285" i="2"/>
  <c r="DU217" i="3" s="1"/>
  <c r="DU246" i="2"/>
  <c r="DU209" i="3" s="1"/>
  <c r="DU243" i="2"/>
  <c r="DU208" i="3" s="1"/>
  <c r="DU179" i="3"/>
  <c r="DU191" i="2" s="1"/>
  <c r="DV191" i="2" s="1"/>
  <c r="DU125" i="3"/>
  <c r="DW369" i="4"/>
  <c r="DU365" i="4"/>
  <c r="DU352" i="4"/>
  <c r="DW287" i="4"/>
  <c r="DU263" i="4"/>
  <c r="DW194" i="4"/>
  <c r="EB144" i="4" l="1"/>
  <c r="EB136" i="3" s="1"/>
  <c r="EA136" i="3"/>
  <c r="DY144" i="4"/>
  <c r="DY136" i="3" s="1"/>
  <c r="DV197" i="3"/>
  <c r="DV377" i="2"/>
  <c r="DY143" i="4"/>
  <c r="EB143" i="4" s="1"/>
  <c r="DW377" i="2" l="1"/>
  <c r="DW385" i="2" s="1"/>
  <c r="DW384" i="2" s="1"/>
  <c r="EC559" i="4" l="1"/>
  <c r="EC549" i="4"/>
  <c r="EC544" i="4"/>
  <c r="EC539" i="4"/>
  <c r="ED372" i="4"/>
  <c r="ED290" i="4"/>
  <c r="DY372" i="4" l="1"/>
  <c r="EA290" i="4" l="1"/>
  <c r="EA372" i="4"/>
  <c r="EB290" i="4" l="1"/>
  <c r="EB372" i="4"/>
  <c r="AF22" i="9" l="1"/>
  <c r="AF43" i="9" s="1"/>
  <c r="P40" i="9"/>
  <c r="P51" i="9" s="1"/>
  <c r="P22" i="9"/>
  <c r="DR92" i="2" l="1"/>
  <c r="DQ92" i="2"/>
  <c r="DN92" i="2"/>
  <c r="DL92" i="2"/>
  <c r="DT94" i="2"/>
  <c r="DS94" i="2" s="1"/>
  <c r="DO94" i="2"/>
  <c r="DP94" i="2" s="1"/>
  <c r="DM94" i="2"/>
  <c r="DY211" i="2"/>
  <c r="DZ211" i="2" s="1"/>
  <c r="EA211" i="2" s="1"/>
  <c r="EB211" i="2" s="1"/>
  <c r="EC211" i="2" s="1"/>
  <c r="ED211" i="2" s="1"/>
  <c r="EE211" i="2" s="1"/>
  <c r="EF211" i="2" s="1"/>
  <c r="EG211" i="2" s="1"/>
  <c r="EH211" i="2" s="1"/>
  <c r="EI211" i="2" s="1"/>
  <c r="EJ211" i="2" s="1"/>
  <c r="EK211" i="2" s="1"/>
  <c r="EL211" i="2" s="1"/>
  <c r="EM211" i="2" s="1"/>
  <c r="EN211" i="2" s="1"/>
  <c r="EO211" i="2" s="1"/>
  <c r="EP211" i="2" s="1"/>
  <c r="EQ211" i="2" s="1"/>
  <c r="ER211" i="2" s="1"/>
  <c r="ES211" i="2" s="1"/>
  <c r="ET211" i="2" s="1"/>
  <c r="EU211" i="2" s="1"/>
  <c r="EV211" i="2" s="1"/>
  <c r="EW211" i="2" s="1"/>
  <c r="EX211" i="2" s="1"/>
  <c r="EY211" i="2" s="1"/>
  <c r="EW137" i="2"/>
  <c r="EW136" i="2"/>
  <c r="EW135" i="2"/>
  <c r="EW134" i="2"/>
  <c r="EW133" i="2"/>
  <c r="EW132" i="2"/>
  <c r="EW131" i="2"/>
  <c r="EW130" i="2"/>
  <c r="EW129" i="2"/>
  <c r="EW128" i="2"/>
  <c r="EW127" i="2"/>
  <c r="EW126" i="2"/>
  <c r="EW125" i="2"/>
  <c r="EW124" i="2"/>
  <c r="EW123" i="2"/>
  <c r="EW122" i="2"/>
  <c r="EW121" i="2"/>
  <c r="EW120" i="2"/>
  <c r="EW119" i="2"/>
  <c r="EW118" i="2"/>
  <c r="EX117" i="2"/>
  <c r="EV117" i="2"/>
  <c r="EX116" i="2"/>
  <c r="EV116" i="2"/>
  <c r="EW114" i="2"/>
  <c r="EW113" i="2"/>
  <c r="EW112" i="2"/>
  <c r="EW111" i="2"/>
  <c r="EW110" i="2"/>
  <c r="EW109" i="2"/>
  <c r="EW108" i="2"/>
  <c r="EW107" i="2"/>
  <c r="EW106" i="2"/>
  <c r="EW105" i="2"/>
  <c r="EW104" i="2"/>
  <c r="EW103" i="2"/>
  <c r="EW102" i="2"/>
  <c r="EW101" i="2"/>
  <c r="EW100" i="2"/>
  <c r="EW99" i="2"/>
  <c r="EW98" i="2"/>
  <c r="EW97" i="2"/>
  <c r="EW96" i="2"/>
  <c r="EW94" i="2"/>
  <c r="EX93" i="2"/>
  <c r="EV93" i="2"/>
  <c r="EX92" i="2"/>
  <c r="EV92" i="2"/>
  <c r="EW89" i="2"/>
  <c r="EW88" i="2"/>
  <c r="EW87" i="2"/>
  <c r="EX83" i="2"/>
  <c r="EV83" i="2"/>
  <c r="EX82" i="2"/>
  <c r="EV82" i="2"/>
  <c r="EX67" i="2"/>
  <c r="EV67" i="2"/>
  <c r="EX66" i="2"/>
  <c r="EV66" i="2"/>
  <c r="EX63" i="2"/>
  <c r="EV63" i="2"/>
  <c r="EX58" i="2"/>
  <c r="EV58" i="2"/>
  <c r="EW52" i="2"/>
  <c r="EW49" i="2"/>
  <c r="EW48" i="2"/>
  <c r="EW47" i="2"/>
  <c r="EW46" i="2"/>
  <c r="EW45" i="2"/>
  <c r="EW44" i="2"/>
  <c r="EX41" i="2"/>
  <c r="EV41" i="2"/>
  <c r="EX38" i="2"/>
  <c r="EV38" i="2"/>
  <c r="EX37" i="2"/>
  <c r="EV37" i="2"/>
  <c r="EX36" i="2"/>
  <c r="EV36" i="2"/>
  <c r="ET137" i="2"/>
  <c r="ET136" i="2"/>
  <c r="ET135" i="2"/>
  <c r="ET134" i="2"/>
  <c r="ET133" i="2"/>
  <c r="ET132" i="2"/>
  <c r="ET131" i="2"/>
  <c r="ET130" i="2"/>
  <c r="ET129" i="2"/>
  <c r="ET128" i="2"/>
  <c r="ET127" i="2"/>
  <c r="ET126" i="2"/>
  <c r="ET125" i="2"/>
  <c r="ET124" i="2"/>
  <c r="ET123" i="2"/>
  <c r="ET122" i="2"/>
  <c r="ET121" i="2"/>
  <c r="ET120" i="2"/>
  <c r="ET119" i="2"/>
  <c r="ET118" i="2"/>
  <c r="EU117" i="2"/>
  <c r="ES117" i="2"/>
  <c r="EU116" i="2"/>
  <c r="ES116" i="2"/>
  <c r="ET114" i="2"/>
  <c r="ET113" i="2"/>
  <c r="ET112" i="2"/>
  <c r="ET111" i="2"/>
  <c r="ET110" i="2"/>
  <c r="ET109" i="2"/>
  <c r="ET108" i="2"/>
  <c r="ET107" i="2"/>
  <c r="ET106" i="2"/>
  <c r="ET105" i="2"/>
  <c r="ET104" i="2"/>
  <c r="ET103" i="2"/>
  <c r="ET102" i="2"/>
  <c r="ET101" i="2"/>
  <c r="ET100" i="2"/>
  <c r="ET99" i="2"/>
  <c r="ET98" i="2"/>
  <c r="ET97" i="2"/>
  <c r="ET96" i="2"/>
  <c r="ET94" i="2"/>
  <c r="EU93" i="2"/>
  <c r="ES93" i="2"/>
  <c r="EU92" i="2"/>
  <c r="ES92" i="2"/>
  <c r="ET89" i="2"/>
  <c r="ET88" i="2"/>
  <c r="ET87" i="2"/>
  <c r="EU83" i="2"/>
  <c r="ES83" i="2"/>
  <c r="EU82" i="2"/>
  <c r="ES82" i="2"/>
  <c r="EU67" i="2"/>
  <c r="ES67" i="2"/>
  <c r="EU66" i="2"/>
  <c r="ES66" i="2"/>
  <c r="EU63" i="2"/>
  <c r="ES63" i="2"/>
  <c r="EU58" i="2"/>
  <c r="ES58" i="2"/>
  <c r="ET52" i="2"/>
  <c r="ET49" i="2"/>
  <c r="ET48" i="2"/>
  <c r="ET47" i="2"/>
  <c r="ET46" i="2"/>
  <c r="ET45" i="2"/>
  <c r="ET44" i="2"/>
  <c r="EU41" i="2"/>
  <c r="ES41" i="2"/>
  <c r="EU38" i="2"/>
  <c r="ES38" i="2"/>
  <c r="EU37" i="2"/>
  <c r="ES37" i="2"/>
  <c r="EU36" i="2"/>
  <c r="ES36" i="2"/>
  <c r="EP36" i="2"/>
  <c r="ER36" i="2"/>
  <c r="EP37" i="2"/>
  <c r="ER37" i="2"/>
  <c r="EP38" i="2"/>
  <c r="ER38" i="2"/>
  <c r="EP41" i="2"/>
  <c r="ER41" i="2"/>
  <c r="EQ44" i="2"/>
  <c r="EQ45" i="2"/>
  <c r="EQ46" i="2"/>
  <c r="EQ47" i="2"/>
  <c r="EW369" i="2"/>
  <c r="EV369" i="2"/>
  <c r="EW368" i="2"/>
  <c r="EV368" i="2"/>
  <c r="EX367" i="2"/>
  <c r="EW367" i="2" s="1"/>
  <c r="EW230" i="3" s="1"/>
  <c r="EV367" i="2"/>
  <c r="EW360" i="2"/>
  <c r="EV360" i="2"/>
  <c r="EW357" i="2"/>
  <c r="EV357" i="2"/>
  <c r="EW354" i="2"/>
  <c r="EV354" i="2"/>
  <c r="EW352" i="2"/>
  <c r="EW24" i="2" s="1"/>
  <c r="EV352" i="2"/>
  <c r="EV24" i="2" s="1"/>
  <c r="ET369" i="2"/>
  <c r="ES369" i="2"/>
  <c r="ET368" i="2"/>
  <c r="ES368" i="2"/>
  <c r="EU367" i="2"/>
  <c r="ET367" i="2" s="1"/>
  <c r="ET230" i="3" s="1"/>
  <c r="ES367" i="2"/>
  <c r="ET360" i="2"/>
  <c r="ES360" i="2"/>
  <c r="ET357" i="2"/>
  <c r="ES357" i="2"/>
  <c r="ET354" i="2"/>
  <c r="ES354" i="2"/>
  <c r="ET352" i="2"/>
  <c r="ET24" i="2" s="1"/>
  <c r="ES352" i="2"/>
  <c r="ES24" i="2" s="1"/>
  <c r="EW318" i="2"/>
  <c r="EW317" i="2"/>
  <c r="EW316" i="2"/>
  <c r="EW315" i="2"/>
  <c r="EW314" i="2"/>
  <c r="EW311" i="2"/>
  <c r="EX289" i="2"/>
  <c r="EW289" i="2" s="1"/>
  <c r="EV289" i="2"/>
  <c r="EX284" i="2"/>
  <c r="EW284" i="2" s="1"/>
  <c r="EV284" i="2"/>
  <c r="EX259" i="2"/>
  <c r="EW259" i="2" s="1"/>
  <c r="EV259" i="2"/>
  <c r="EX251" i="2"/>
  <c r="EW251" i="2" s="1"/>
  <c r="EV251" i="2"/>
  <c r="EW239" i="2"/>
  <c r="EW238" i="2"/>
  <c r="EW237" i="2"/>
  <c r="EW234" i="2"/>
  <c r="EW233" i="2"/>
  <c r="ET318" i="2"/>
  <c r="ET317" i="2"/>
  <c r="ET316" i="2"/>
  <c r="ET315" i="2"/>
  <c r="ET314" i="2"/>
  <c r="ET311" i="2"/>
  <c r="EU289" i="2"/>
  <c r="ES289" i="2"/>
  <c r="EU284" i="2"/>
  <c r="ES284" i="2"/>
  <c r="EU259" i="2"/>
  <c r="ET259" i="2" s="1"/>
  <c r="ES259" i="2"/>
  <c r="EU251" i="2"/>
  <c r="ET251" i="2" s="1"/>
  <c r="ES251" i="2"/>
  <c r="ET239" i="2"/>
  <c r="ET238" i="2"/>
  <c r="ET237" i="2"/>
  <c r="ET234" i="2"/>
  <c r="ET233" i="2"/>
  <c r="EQ233" i="2"/>
  <c r="EQ234" i="2"/>
  <c r="EQ237" i="2"/>
  <c r="EQ238" i="2"/>
  <c r="EQ239" i="2"/>
  <c r="EP251" i="2"/>
  <c r="ER251" i="2"/>
  <c r="EQ251" i="2" s="1"/>
  <c r="EP259" i="2"/>
  <c r="ER259" i="2"/>
  <c r="EQ259" i="2" s="1"/>
  <c r="EW225" i="2"/>
  <c r="EX210" i="2"/>
  <c r="EV210" i="2"/>
  <c r="EX208" i="2"/>
  <c r="EV208" i="2"/>
  <c r="EX207" i="2"/>
  <c r="EV207" i="2"/>
  <c r="EX204" i="2"/>
  <c r="EV204" i="2"/>
  <c r="EX203" i="2"/>
  <c r="EV203" i="2"/>
  <c r="EX202" i="2"/>
  <c r="EV202" i="2"/>
  <c r="EX201" i="2"/>
  <c r="EV201" i="2"/>
  <c r="EX200" i="2"/>
  <c r="EV200" i="2"/>
  <c r="EX198" i="2"/>
  <c r="EV198" i="2"/>
  <c r="EX197" i="2"/>
  <c r="EV197" i="2"/>
  <c r="EX195" i="2"/>
  <c r="EV195" i="2"/>
  <c r="EX194" i="2"/>
  <c r="EV194" i="2"/>
  <c r="EX192" i="2"/>
  <c r="EX39" i="2" s="1"/>
  <c r="EV192" i="2"/>
  <c r="ET225" i="2"/>
  <c r="EU210" i="2"/>
  <c r="ES210" i="2"/>
  <c r="EU208" i="2"/>
  <c r="ES208" i="2"/>
  <c r="EU207" i="2"/>
  <c r="ES207" i="2"/>
  <c r="EU204" i="2"/>
  <c r="ES204" i="2"/>
  <c r="EU203" i="2"/>
  <c r="ES203" i="2"/>
  <c r="EU202" i="2"/>
  <c r="ES202" i="2"/>
  <c r="EU201" i="2"/>
  <c r="ES201" i="2"/>
  <c r="EU200" i="2"/>
  <c r="ES200" i="2"/>
  <c r="EU198" i="2"/>
  <c r="ES198" i="2"/>
  <c r="EU197" i="2"/>
  <c r="ES197" i="2"/>
  <c r="EU195" i="2"/>
  <c r="ES195" i="2"/>
  <c r="EU194" i="2"/>
  <c r="ES194" i="2"/>
  <c r="EU192" i="2"/>
  <c r="EU39" i="2" s="1"/>
  <c r="ES192" i="2"/>
  <c r="EX229" i="3"/>
  <c r="EX228" i="3"/>
  <c r="EX227" i="3"/>
  <c r="EW218" i="3"/>
  <c r="EW216" i="3"/>
  <c r="EW212" i="3"/>
  <c r="EW210" i="3"/>
  <c r="EX196" i="3"/>
  <c r="EV196" i="3"/>
  <c r="EX189" i="3"/>
  <c r="EV189" i="3"/>
  <c r="EW160" i="3"/>
  <c r="EW159" i="3"/>
  <c r="EW156" i="3"/>
  <c r="EX156" i="3" s="1"/>
  <c r="EW155" i="3"/>
  <c r="EX112" i="3"/>
  <c r="EX114" i="3" s="1"/>
  <c r="EW112" i="3"/>
  <c r="EW114" i="3" s="1"/>
  <c r="EV112" i="3"/>
  <c r="EV114" i="3" s="1"/>
  <c r="EX102" i="3"/>
  <c r="EW102" i="3" s="1"/>
  <c r="EV102" i="3"/>
  <c r="EW101" i="3"/>
  <c r="EW100" i="3"/>
  <c r="EW99" i="3"/>
  <c r="EW96" i="3"/>
  <c r="EX92" i="3"/>
  <c r="EX95" i="3" s="1"/>
  <c r="EW95" i="3" s="1"/>
  <c r="EV92" i="3"/>
  <c r="EV95" i="3" s="1"/>
  <c r="EW90" i="3"/>
  <c r="EW89" i="3"/>
  <c r="EW92" i="3" s="1"/>
  <c r="EW87" i="3"/>
  <c r="EX83" i="3"/>
  <c r="EX86" i="3" s="1"/>
  <c r="EW86" i="3" s="1"/>
  <c r="EV83" i="3"/>
  <c r="EV86" i="3" s="1"/>
  <c r="EX82" i="3"/>
  <c r="EW82" i="3"/>
  <c r="EV82" i="3"/>
  <c r="EW81" i="3"/>
  <c r="EW80" i="3"/>
  <c r="EW83" i="3" s="1"/>
  <c r="EW78" i="3"/>
  <c r="EX74" i="3"/>
  <c r="EX77" i="3" s="1"/>
  <c r="EW77" i="3" s="1"/>
  <c r="EV74" i="3"/>
  <c r="EV77" i="3" s="1"/>
  <c r="EW72" i="3"/>
  <c r="EW71" i="3"/>
  <c r="EW74" i="3" s="1"/>
  <c r="EX65" i="3"/>
  <c r="EX68" i="3" s="1"/>
  <c r="EW68" i="3" s="1"/>
  <c r="EV65" i="3"/>
  <c r="EV68" i="3" s="1"/>
  <c r="EW63" i="3"/>
  <c r="EW62" i="3"/>
  <c r="EW65" i="3" s="1"/>
  <c r="EW60" i="3"/>
  <c r="EX58" i="3"/>
  <c r="EV58" i="3"/>
  <c r="EX43" i="3"/>
  <c r="EV43" i="3"/>
  <c r="EW41" i="3"/>
  <c r="EW40" i="3"/>
  <c r="EW43" i="3" s="1"/>
  <c r="EW38" i="3"/>
  <c r="EX34" i="3"/>
  <c r="EX37" i="3" s="1"/>
  <c r="EW37" i="3" s="1"/>
  <c r="EV34" i="3"/>
  <c r="EV37" i="3" s="1"/>
  <c r="EW32" i="3"/>
  <c r="EW31" i="3"/>
  <c r="EW34" i="3" s="1"/>
  <c r="EW24" i="3"/>
  <c r="EW23" i="3"/>
  <c r="EW22" i="3"/>
  <c r="EU229" i="3"/>
  <c r="EU228" i="3"/>
  <c r="EU227" i="3"/>
  <c r="ET218" i="3"/>
  <c r="ET216" i="3"/>
  <c r="ET212" i="3"/>
  <c r="ET210" i="3"/>
  <c r="EU196" i="3"/>
  <c r="ES196" i="3"/>
  <c r="EU189" i="3"/>
  <c r="ES189" i="3"/>
  <c r="ET160" i="3"/>
  <c r="ET159" i="3"/>
  <c r="ET156" i="3"/>
  <c r="EU156" i="3" s="1"/>
  <c r="ET155" i="3"/>
  <c r="EU112" i="3"/>
  <c r="EU114" i="3" s="1"/>
  <c r="ET112" i="3"/>
  <c r="ET114" i="3" s="1"/>
  <c r="ES112" i="3"/>
  <c r="ES114" i="3" s="1"/>
  <c r="EU102" i="3"/>
  <c r="ET102" i="3" s="1"/>
  <c r="ES102" i="3"/>
  <c r="ET101" i="3"/>
  <c r="ET100" i="3"/>
  <c r="ET99" i="3"/>
  <c r="ET96" i="3"/>
  <c r="EU92" i="3"/>
  <c r="EU95" i="3" s="1"/>
  <c r="ET95" i="3" s="1"/>
  <c r="ES92" i="3"/>
  <c r="ES95" i="3" s="1"/>
  <c r="ET90" i="3"/>
  <c r="ET89" i="3"/>
  <c r="ET92" i="3" s="1"/>
  <c r="ET87" i="3"/>
  <c r="EU83" i="3"/>
  <c r="EU86" i="3" s="1"/>
  <c r="ET86" i="3" s="1"/>
  <c r="ES83" i="3"/>
  <c r="ES86" i="3" s="1"/>
  <c r="EU82" i="3"/>
  <c r="ET82" i="3"/>
  <c r="ES82" i="3"/>
  <c r="ET81" i="3"/>
  <c r="ET80" i="3"/>
  <c r="ET83" i="3" s="1"/>
  <c r="ET78" i="3"/>
  <c r="EU74" i="3"/>
  <c r="EU77" i="3" s="1"/>
  <c r="ET77" i="3" s="1"/>
  <c r="ES74" i="3"/>
  <c r="ES77" i="3" s="1"/>
  <c r="ET72" i="3"/>
  <c r="ET71" i="3"/>
  <c r="ET74" i="3" s="1"/>
  <c r="EU65" i="3"/>
  <c r="EU68" i="3" s="1"/>
  <c r="ET68" i="3" s="1"/>
  <c r="ES65" i="3"/>
  <c r="ES68" i="3" s="1"/>
  <c r="ET63" i="3"/>
  <c r="ET62" i="3"/>
  <c r="ET65" i="3" s="1"/>
  <c r="ET60" i="3"/>
  <c r="EU58" i="3"/>
  <c r="ES58" i="3"/>
  <c r="EU43" i="3"/>
  <c r="ES43" i="3"/>
  <c r="ET41" i="3"/>
  <c r="ET40" i="3"/>
  <c r="ET43" i="3" s="1"/>
  <c r="ET38" i="3"/>
  <c r="EU34" i="3"/>
  <c r="EU37" i="3" s="1"/>
  <c r="ET37" i="3" s="1"/>
  <c r="ES34" i="3"/>
  <c r="ES37" i="3" s="1"/>
  <c r="ET32" i="3"/>
  <c r="ET31" i="3"/>
  <c r="ET34" i="3" s="1"/>
  <c r="ET24" i="3"/>
  <c r="ET23" i="3"/>
  <c r="ET22" i="3"/>
  <c r="EV575" i="4"/>
  <c r="EW575" i="4" s="1"/>
  <c r="EV574" i="4"/>
  <c r="EW574" i="4" s="1"/>
  <c r="EV573" i="4"/>
  <c r="EW573" i="4" s="1"/>
  <c r="EW480" i="4"/>
  <c r="EW152" i="4"/>
  <c r="EV152" i="4"/>
  <c r="EW18" i="4"/>
  <c r="EV18" i="4"/>
  <c r="ES575" i="4"/>
  <c r="ET575" i="4" s="1"/>
  <c r="ES574" i="4"/>
  <c r="ET574" i="4" s="1"/>
  <c r="ES573" i="4"/>
  <c r="ET573" i="4" s="1"/>
  <c r="ET480" i="4"/>
  <c r="ET152" i="4"/>
  <c r="ES152" i="4"/>
  <c r="ET18" i="4"/>
  <c r="ET48" i="4" s="1"/>
  <c r="ES18" i="4"/>
  <c r="ES48" i="4" s="1"/>
  <c r="EX668" i="2"/>
  <c r="EW668" i="2"/>
  <c r="EV668" i="2"/>
  <c r="EX667" i="2"/>
  <c r="EW667" i="2"/>
  <c r="EV667" i="2"/>
  <c r="EX666" i="2"/>
  <c r="EW666" i="2"/>
  <c r="EV666" i="2"/>
  <c r="EX665" i="2"/>
  <c r="EW665" i="2"/>
  <c r="EV665" i="2"/>
  <c r="EX664" i="2"/>
  <c r="EW664" i="2"/>
  <c r="EV664" i="2"/>
  <c r="EX605" i="2"/>
  <c r="EW605" i="2" s="1"/>
  <c r="EV605" i="2"/>
  <c r="EW604" i="2"/>
  <c r="EW603" i="2"/>
  <c r="EW602" i="2"/>
  <c r="EW601" i="2"/>
  <c r="EW599" i="2"/>
  <c r="EW598" i="2"/>
  <c r="EW597" i="2"/>
  <c r="EW596" i="2"/>
  <c r="EW594" i="2"/>
  <c r="EW593" i="2"/>
  <c r="EW592" i="2"/>
  <c r="EW591" i="2"/>
  <c r="EW590" i="2"/>
  <c r="EW589" i="2"/>
  <c r="EW588" i="2"/>
  <c r="EW587" i="2"/>
  <c r="EW586" i="2"/>
  <c r="EW584" i="2"/>
  <c r="EW583" i="2"/>
  <c r="EW582" i="2"/>
  <c r="EW581" i="2"/>
  <c r="EW576" i="2"/>
  <c r="EW575" i="2"/>
  <c r="EX574" i="2"/>
  <c r="EW574" i="2" s="1"/>
  <c r="EV574" i="2"/>
  <c r="EW573" i="2"/>
  <c r="EW572" i="2"/>
  <c r="EX571" i="2"/>
  <c r="EV571" i="2"/>
  <c r="EW450" i="2"/>
  <c r="EW449" i="2"/>
  <c r="EW448" i="2"/>
  <c r="EW445" i="2"/>
  <c r="EW444" i="2"/>
  <c r="EW443" i="2"/>
  <c r="EW440" i="2"/>
  <c r="EW439" i="2"/>
  <c r="EW438" i="2"/>
  <c r="EW435" i="2"/>
  <c r="EW434" i="2"/>
  <c r="EW433" i="2"/>
  <c r="EW430" i="2"/>
  <c r="EW429" i="2"/>
  <c r="EW428" i="2"/>
  <c r="EX425" i="2"/>
  <c r="EW425" i="2" s="1"/>
  <c r="EX424" i="2"/>
  <c r="EW424" i="2" s="1"/>
  <c r="EX423" i="2"/>
  <c r="EW423" i="2" s="1"/>
  <c r="EX420" i="2"/>
  <c r="EW420" i="2" s="1"/>
  <c r="EX419" i="2"/>
  <c r="EW419" i="2" s="1"/>
  <c r="EX418" i="2"/>
  <c r="EW418" i="2" s="1"/>
  <c r="EX407" i="2"/>
  <c r="EW407" i="2" s="1"/>
  <c r="EV407" i="2"/>
  <c r="EX383" i="2"/>
  <c r="EX382" i="2"/>
  <c r="EX381" i="2"/>
  <c r="EX380" i="2"/>
  <c r="EX379" i="2"/>
  <c r="EX378" i="2"/>
  <c r="EX377" i="2"/>
  <c r="EX7" i="2"/>
  <c r="EX5" i="2"/>
  <c r="EW5" i="2"/>
  <c r="EV5" i="2"/>
  <c r="EV4" i="2" s="1"/>
  <c r="EU668" i="2"/>
  <c r="ES668" i="2"/>
  <c r="EU667" i="2"/>
  <c r="ET667" i="2"/>
  <c r="ES667" i="2"/>
  <c r="EU666" i="2"/>
  <c r="ET666" i="2"/>
  <c r="ES666" i="2"/>
  <c r="EU665" i="2"/>
  <c r="ET665" i="2"/>
  <c r="ES665" i="2"/>
  <c r="EU664" i="2"/>
  <c r="ET664" i="2"/>
  <c r="ES664" i="2"/>
  <c r="EU605" i="2"/>
  <c r="ET605" i="2" s="1"/>
  <c r="ES605" i="2"/>
  <c r="ET604" i="2"/>
  <c r="ET603" i="2"/>
  <c r="ET602" i="2"/>
  <c r="ET601" i="2"/>
  <c r="ET599" i="2"/>
  <c r="ET598" i="2"/>
  <c r="ET597" i="2"/>
  <c r="ET596" i="2"/>
  <c r="ET594" i="2"/>
  <c r="ET593" i="2"/>
  <c r="ET592" i="2"/>
  <c r="ET591" i="2"/>
  <c r="ET590" i="2"/>
  <c r="ET589" i="2"/>
  <c r="ET588" i="2"/>
  <c r="ET587" i="2"/>
  <c r="ET586" i="2"/>
  <c r="ET584" i="2"/>
  <c r="ET583" i="2"/>
  <c r="ET582" i="2"/>
  <c r="ET581" i="2"/>
  <c r="ET576" i="2"/>
  <c r="ET575" i="2"/>
  <c r="EU574" i="2"/>
  <c r="ET574" i="2" s="1"/>
  <c r="ES574" i="2"/>
  <c r="ET573" i="2"/>
  <c r="ET572" i="2"/>
  <c r="EU571" i="2"/>
  <c r="ES571" i="2"/>
  <c r="ET450" i="2"/>
  <c r="ET449" i="2"/>
  <c r="ET448" i="2"/>
  <c r="ET445" i="2"/>
  <c r="ET444" i="2"/>
  <c r="ET443" i="2"/>
  <c r="ET440" i="2"/>
  <c r="ET439" i="2"/>
  <c r="ET438" i="2"/>
  <c r="ET435" i="2"/>
  <c r="ET434" i="2"/>
  <c r="ET433" i="2"/>
  <c r="ET430" i="2"/>
  <c r="ET429" i="2"/>
  <c r="ET428" i="2"/>
  <c r="EU425" i="2"/>
  <c r="ET425" i="2" s="1"/>
  <c r="EU424" i="2"/>
  <c r="ET424" i="2" s="1"/>
  <c r="EU423" i="2"/>
  <c r="ET423" i="2" s="1"/>
  <c r="EU420" i="2"/>
  <c r="ET420" i="2" s="1"/>
  <c r="EU419" i="2"/>
  <c r="ET419" i="2" s="1"/>
  <c r="EU418" i="2"/>
  <c r="ET418" i="2" s="1"/>
  <c r="EU407" i="2"/>
  <c r="ET407" i="2" s="1"/>
  <c r="ES407" i="2"/>
  <c r="EU383" i="2"/>
  <c r="EU382" i="2"/>
  <c r="EU381" i="2"/>
  <c r="EU380" i="2"/>
  <c r="EU379" i="2"/>
  <c r="EU378" i="2"/>
  <c r="EU377" i="2"/>
  <c r="EU7" i="2"/>
  <c r="EU5" i="2"/>
  <c r="ET5" i="2"/>
  <c r="ES5" i="2"/>
  <c r="ES4" i="2" s="1"/>
  <c r="DJ563" i="4"/>
  <c r="DM563" i="4"/>
  <c r="DS563" i="4"/>
  <c r="DP563" i="4"/>
  <c r="DQ210" i="2"/>
  <c r="DT125" i="3"/>
  <c r="DR125" i="3"/>
  <c r="DR397" i="2"/>
  <c r="DT397" i="2"/>
  <c r="DS302" i="2"/>
  <c r="DP302" i="2"/>
  <c r="DM302" i="2"/>
  <c r="DJ302" i="2"/>
  <c r="DT303" i="2"/>
  <c r="DT219" i="3" s="1"/>
  <c r="DT285" i="2"/>
  <c r="DT217" i="3" s="1"/>
  <c r="DT246" i="2"/>
  <c r="DT209" i="3" s="1"/>
  <c r="DT243" i="2"/>
  <c r="DT208" i="3" s="1"/>
  <c r="DI179" i="3"/>
  <c r="DL179" i="3"/>
  <c r="DK179" i="3"/>
  <c r="DK191" i="2" s="1"/>
  <c r="DN179" i="3"/>
  <c r="DO179" i="3"/>
  <c r="DR179" i="3"/>
  <c r="DQ179" i="3"/>
  <c r="DT179" i="3"/>
  <c r="DO50" i="3"/>
  <c r="DR50" i="3"/>
  <c r="DS127" i="3"/>
  <c r="DS125" i="3" s="1"/>
  <c r="DP127" i="3"/>
  <c r="DM127" i="3"/>
  <c r="DJ127" i="3"/>
  <c r="AT5" i="4"/>
  <c r="AU5" i="4"/>
  <c r="AW5" i="4"/>
  <c r="AV6" i="4"/>
  <c r="AV5" i="4" s="1"/>
  <c r="AY6" i="4"/>
  <c r="DH37" i="4"/>
  <c r="DR24" i="4"/>
  <c r="DO24" i="4"/>
  <c r="DL24" i="4"/>
  <c r="DI24" i="4"/>
  <c r="DI37" i="4" s="1"/>
  <c r="DL414" i="4"/>
  <c r="DM414" i="4" s="1"/>
  <c r="DS365" i="4"/>
  <c r="DR365" i="4"/>
  <c r="DP365" i="4"/>
  <c r="DO365" i="4"/>
  <c r="DM365" i="4"/>
  <c r="DL365" i="4"/>
  <c r="EG357" i="4"/>
  <c r="EH357" i="4" s="1"/>
  <c r="EJ357" i="4" s="1"/>
  <c r="EK357" i="4" s="1"/>
  <c r="EM357" i="4" s="1"/>
  <c r="EN357" i="4" s="1"/>
  <c r="EP357" i="4" s="1"/>
  <c r="EQ357" i="4" s="1"/>
  <c r="ES357" i="4" s="1"/>
  <c r="ET357" i="4" s="1"/>
  <c r="DL345" i="4"/>
  <c r="DM345" i="4" s="1"/>
  <c r="DO345" i="4" s="1"/>
  <c r="DP345" i="4" s="1"/>
  <c r="DR345" i="4" s="1"/>
  <c r="DS345" i="4" s="1"/>
  <c r="DI344" i="4"/>
  <c r="DM278" i="4"/>
  <c r="DO278" i="4" s="1"/>
  <c r="DP278" i="4" s="1"/>
  <c r="DR278" i="4" s="1"/>
  <c r="DS278" i="4" s="1"/>
  <c r="DU278" i="4" s="1"/>
  <c r="DV278" i="4" s="1"/>
  <c r="DX278" i="4" s="1"/>
  <c r="EE197" i="4"/>
  <c r="DM186" i="4"/>
  <c r="DO186" i="4" s="1"/>
  <c r="DP186" i="4" s="1"/>
  <c r="DR186" i="4" s="1"/>
  <c r="DS186" i="4" s="1"/>
  <c r="DU186" i="4" s="1"/>
  <c r="DV186" i="4" s="1"/>
  <c r="DX186" i="4" s="1"/>
  <c r="EV48" i="4" l="1"/>
  <c r="EY32" i="4"/>
  <c r="EY84" i="3"/>
  <c r="FA84" i="3"/>
  <c r="EW48" i="4"/>
  <c r="EZ32" i="4"/>
  <c r="EY201" i="3"/>
  <c r="EY199" i="3" s="1"/>
  <c r="EZ211" i="2"/>
  <c r="FA211" i="2" s="1"/>
  <c r="DP50" i="3"/>
  <c r="DR49" i="3"/>
  <c r="DU345" i="4"/>
  <c r="EE372" i="4"/>
  <c r="EE290" i="4"/>
  <c r="EW82" i="2"/>
  <c r="EV193" i="2"/>
  <c r="EQ41" i="2"/>
  <c r="EQ37" i="2"/>
  <c r="ET38" i="2"/>
  <c r="EU199" i="2"/>
  <c r="EW37" i="2"/>
  <c r="ET82" i="2"/>
  <c r="EX193" i="2"/>
  <c r="ES193" i="2"/>
  <c r="ES206" i="2"/>
  <c r="EQ36" i="2"/>
  <c r="EW83" i="2"/>
  <c r="ET83" i="2"/>
  <c r="EW198" i="2"/>
  <c r="EW187" i="3" s="1"/>
  <c r="EW210" i="2"/>
  <c r="EW200" i="3" s="1"/>
  <c r="ET36" i="2"/>
  <c r="EX152" i="4"/>
  <c r="ES577" i="2"/>
  <c r="ES607" i="2" s="1"/>
  <c r="ET210" i="2"/>
  <c r="ET200" i="3" s="1"/>
  <c r="EX577" i="2"/>
  <c r="EX607" i="2" s="1"/>
  <c r="EW41" i="2"/>
  <c r="EU577" i="2"/>
  <c r="EU607" i="2" s="1"/>
  <c r="EV577" i="2"/>
  <c r="EV607" i="2" s="1"/>
  <c r="EU18" i="4"/>
  <c r="EW63" i="2"/>
  <c r="EW67" i="2"/>
  <c r="ET194" i="2"/>
  <c r="ET183" i="3" s="1"/>
  <c r="ET197" i="2"/>
  <c r="ET186" i="3" s="1"/>
  <c r="EW194" i="2"/>
  <c r="EW183" i="3" s="1"/>
  <c r="EW200" i="2"/>
  <c r="EW190" i="3" s="1"/>
  <c r="EW58" i="2"/>
  <c r="EW66" i="2"/>
  <c r="DM92" i="2"/>
  <c r="EU48" i="4"/>
  <c r="EW202" i="2"/>
  <c r="EW192" i="3" s="1"/>
  <c r="ET37" i="2"/>
  <c r="ET41" i="2"/>
  <c r="ET92" i="2"/>
  <c r="EW36" i="2"/>
  <c r="EW38" i="2"/>
  <c r="EV206" i="2"/>
  <c r="EW571" i="2"/>
  <c r="EW577" i="2" s="1"/>
  <c r="EW607" i="2" s="1"/>
  <c r="ET200" i="2"/>
  <c r="ET190" i="3" s="1"/>
  <c r="ET93" i="2"/>
  <c r="EW92" i="2"/>
  <c r="EV358" i="2"/>
  <c r="EV9" i="2"/>
  <c r="EV2" i="3"/>
  <c r="EV244" i="3" s="1"/>
  <c r="EV2" i="4"/>
  <c r="EV14" i="4" s="1"/>
  <c r="ES2" i="3"/>
  <c r="ES2" i="4"/>
  <c r="ES167" i="4" s="1"/>
  <c r="ES29" i="2"/>
  <c r="ES326" i="2"/>
  <c r="ES148" i="2"/>
  <c r="ES372" i="2"/>
  <c r="EV357" i="4"/>
  <c r="EW357" i="4" s="1"/>
  <c r="EY357" i="4" s="1"/>
  <c r="ET358" i="2"/>
  <c r="EU4" i="2"/>
  <c r="EW358" i="2"/>
  <c r="EX4" i="2"/>
  <c r="EX177" i="2" s="1"/>
  <c r="ES358" i="2"/>
  <c r="ET4" i="2"/>
  <c r="ET347" i="2" s="1"/>
  <c r="EW4" i="2"/>
  <c r="EV32" i="4"/>
  <c r="EU152" i="4"/>
  <c r="EW84" i="3"/>
  <c r="EU196" i="2"/>
  <c r="EU40" i="2"/>
  <c r="EW201" i="2"/>
  <c r="EW191" i="3" s="1"/>
  <c r="ET202" i="2"/>
  <c r="ET192" i="3" s="1"/>
  <c r="EW192" i="2"/>
  <c r="EW181" i="3" s="1"/>
  <c r="EV39" i="2"/>
  <c r="EW39" i="2" s="1"/>
  <c r="EW197" i="2"/>
  <c r="EW186" i="3" s="1"/>
  <c r="EV40" i="2"/>
  <c r="EX199" i="2"/>
  <c r="ET198" i="2"/>
  <c r="ET187" i="3" s="1"/>
  <c r="ET201" i="2"/>
  <c r="ET191" i="3" s="1"/>
  <c r="EX196" i="2"/>
  <c r="EX40" i="2"/>
  <c r="ET192" i="2"/>
  <c r="ET181" i="3" s="1"/>
  <c r="ES39" i="2"/>
  <c r="ET39" i="2" s="1"/>
  <c r="ES40" i="2"/>
  <c r="ET203" i="2"/>
  <c r="ET193" i="3" s="1"/>
  <c r="ET207" i="2"/>
  <c r="ET197" i="3" s="1"/>
  <c r="EW203" i="2"/>
  <c r="EW193" i="3" s="1"/>
  <c r="EW207" i="2"/>
  <c r="EW197" i="3" s="1"/>
  <c r="ET58" i="2"/>
  <c r="ET66" i="2"/>
  <c r="DO92" i="2"/>
  <c r="DP92" i="2" s="1"/>
  <c r="ET195" i="2"/>
  <c r="ET184" i="3" s="1"/>
  <c r="ET204" i="2"/>
  <c r="ET208" i="2"/>
  <c r="ET198" i="3" s="1"/>
  <c r="EW195" i="2"/>
  <c r="EW184" i="3" s="1"/>
  <c r="EW204" i="2"/>
  <c r="EW208" i="2"/>
  <c r="EW198" i="3" s="1"/>
  <c r="ET67" i="2"/>
  <c r="EW117" i="2"/>
  <c r="DT92" i="2"/>
  <c r="DS92" i="2" s="1"/>
  <c r="ET117" i="2"/>
  <c r="ET116" i="2"/>
  <c r="EW116" i="2"/>
  <c r="EW93" i="2"/>
  <c r="ET63" i="2"/>
  <c r="EQ38" i="2"/>
  <c r="EV84" i="3"/>
  <c r="ET84" i="3"/>
  <c r="EX84" i="3"/>
  <c r="ET284" i="2"/>
  <c r="ET289" i="2"/>
  <c r="EV196" i="2"/>
  <c r="EX206" i="2"/>
  <c r="EV199" i="2"/>
  <c r="EU193" i="2"/>
  <c r="ES199" i="2"/>
  <c r="ES196" i="2"/>
  <c r="EU206" i="2"/>
  <c r="DS50" i="3"/>
  <c r="EX48" i="4"/>
  <c r="EX18" i="4"/>
  <c r="FA32" i="4" s="1"/>
  <c r="EW32" i="4"/>
  <c r="DL37" i="4"/>
  <c r="DR37" i="4"/>
  <c r="EV29" i="2"/>
  <c r="EV372" i="2"/>
  <c r="EV326" i="2"/>
  <c r="EV228" i="2"/>
  <c r="EV177" i="2"/>
  <c r="EV568" i="2"/>
  <c r="EV347" i="2"/>
  <c r="EV148" i="2"/>
  <c r="ES9" i="2"/>
  <c r="ES568" i="2"/>
  <c r="ES347" i="2"/>
  <c r="ES228" i="2"/>
  <c r="ES177" i="2"/>
  <c r="ET571" i="2"/>
  <c r="ET577" i="2" s="1"/>
  <c r="ET607" i="2" s="1"/>
  <c r="DS79" i="2"/>
  <c r="DS135" i="3" s="1"/>
  <c r="DO37" i="4"/>
  <c r="DU50" i="3"/>
  <c r="DO49" i="3"/>
  <c r="DR121" i="3"/>
  <c r="DO414" i="4"/>
  <c r="DP414" i="4" s="1"/>
  <c r="DR414" i="4" s="1"/>
  <c r="DS414" i="4" s="1"/>
  <c r="DU414" i="4" s="1"/>
  <c r="ET193" i="2" l="1"/>
  <c r="DS137" i="3"/>
  <c r="DS143" i="3" s="1"/>
  <c r="DS144" i="3"/>
  <c r="EZ357" i="4"/>
  <c r="FA201" i="3"/>
  <c r="FA199" i="3" s="1"/>
  <c r="EZ201" i="3"/>
  <c r="EZ199" i="3" s="1"/>
  <c r="DV50" i="3"/>
  <c r="DV414" i="4"/>
  <c r="DU413" i="4"/>
  <c r="DU344" i="4"/>
  <c r="DV345" i="4"/>
  <c r="ET199" i="2"/>
  <c r="DU49" i="3"/>
  <c r="ES350" i="4"/>
  <c r="EH197" i="4"/>
  <c r="EG372" i="4"/>
  <c r="EG290" i="4"/>
  <c r="ET326" i="2"/>
  <c r="EV95" i="4"/>
  <c r="EV498" i="4" s="1"/>
  <c r="ES419" i="4"/>
  <c r="EX32" i="4"/>
  <c r="ET9" i="2"/>
  <c r="ES259" i="4"/>
  <c r="ES74" i="4"/>
  <c r="ES507" i="4"/>
  <c r="EV13" i="3"/>
  <c r="EV20" i="3" s="1"/>
  <c r="EW193" i="2"/>
  <c r="EX148" i="2"/>
  <c r="EX228" i="2"/>
  <c r="EX372" i="2"/>
  <c r="EX29" i="2"/>
  <c r="EX347" i="2"/>
  <c r="EX326" i="2"/>
  <c r="EX9" i="2"/>
  <c r="EX568" i="2"/>
  <c r="ET196" i="2"/>
  <c r="ET29" i="2"/>
  <c r="ES117" i="4"/>
  <c r="ES14" i="4"/>
  <c r="ES41" i="4"/>
  <c r="EV167" i="4"/>
  <c r="EV309" i="3"/>
  <c r="ET177" i="2"/>
  <c r="ET372" i="2"/>
  <c r="EV41" i="4"/>
  <c r="EV117" i="4"/>
  <c r="ET148" i="2"/>
  <c r="EV350" i="4"/>
  <c r="EW40" i="2"/>
  <c r="ET568" i="2"/>
  <c r="ES90" i="4"/>
  <c r="EV419" i="4"/>
  <c r="ES95" i="4"/>
  <c r="ES498" i="4" s="1"/>
  <c r="EV507" i="4"/>
  <c r="EV259" i="4"/>
  <c r="EV74" i="4"/>
  <c r="EV90" i="4"/>
  <c r="EW189" i="3"/>
  <c r="ET228" i="2"/>
  <c r="EW199" i="2"/>
  <c r="EW196" i="3"/>
  <c r="EW196" i="2"/>
  <c r="ET189" i="3"/>
  <c r="ET196" i="3"/>
  <c r="ET2" i="3"/>
  <c r="ET2" i="4"/>
  <c r="EW2" i="3"/>
  <c r="EW2" i="4"/>
  <c r="ES244" i="3"/>
  <c r="ES13" i="3"/>
  <c r="ES20" i="3" s="1"/>
  <c r="ES309" i="3"/>
  <c r="EU2" i="3"/>
  <c r="EU2" i="4"/>
  <c r="ET40" i="2"/>
  <c r="EX2" i="3"/>
  <c r="EX2" i="4"/>
  <c r="EW206" i="2"/>
  <c r="ET206" i="2"/>
  <c r="EW372" i="2"/>
  <c r="EW568" i="2"/>
  <c r="EW347" i="2"/>
  <c r="EW326" i="2"/>
  <c r="EW228" i="2"/>
  <c r="EW177" i="2"/>
  <c r="EW148" i="2"/>
  <c r="EW9" i="2"/>
  <c r="EW29" i="2"/>
  <c r="EU372" i="2"/>
  <c r="EU568" i="2"/>
  <c r="EU347" i="2"/>
  <c r="EU326" i="2"/>
  <c r="EU177" i="2"/>
  <c r="EU29" i="2"/>
  <c r="EU148" i="2"/>
  <c r="EU228" i="2"/>
  <c r="EU9" i="2"/>
  <c r="DY186" i="4"/>
  <c r="DZ186" i="4" s="1"/>
  <c r="DV413" i="4" l="1"/>
  <c r="DX414" i="4"/>
  <c r="DX413" i="4" s="1"/>
  <c r="DV344" i="4"/>
  <c r="DV342" i="4" s="1"/>
  <c r="DX345" i="4"/>
  <c r="DX344" i="4" s="1"/>
  <c r="DX342" i="4" s="1"/>
  <c r="DY414" i="4"/>
  <c r="EA414" i="4" s="1"/>
  <c r="EB414" i="4" s="1"/>
  <c r="ED414" i="4" s="1"/>
  <c r="EE414" i="4" s="1"/>
  <c r="EG414" i="4" s="1"/>
  <c r="EH414" i="4" s="1"/>
  <c r="EJ414" i="4" s="1"/>
  <c r="EK414" i="4" s="1"/>
  <c r="EM414" i="4" s="1"/>
  <c r="EN414" i="4" s="1"/>
  <c r="EP414" i="4" s="1"/>
  <c r="EQ414" i="4" s="1"/>
  <c r="ES414" i="4" s="1"/>
  <c r="ET414" i="4" s="1"/>
  <c r="EV414" i="4" s="1"/>
  <c r="EW414" i="4" s="1"/>
  <c r="EY414" i="4" s="1"/>
  <c r="EZ414" i="4" s="1"/>
  <c r="DV49" i="3"/>
  <c r="DW49" i="3" s="1"/>
  <c r="DU342" i="4"/>
  <c r="DW342" i="4" s="1"/>
  <c r="DW344" i="4"/>
  <c r="DW345" i="4" s="1"/>
  <c r="DW413" i="4"/>
  <c r="DW414" i="4" s="1"/>
  <c r="EH372" i="4"/>
  <c r="EH290" i="4"/>
  <c r="EX309" i="3"/>
  <c r="EX244" i="3"/>
  <c r="EX13" i="3"/>
  <c r="EX20" i="3" s="1"/>
  <c r="EU14" i="4"/>
  <c r="EU507" i="4"/>
  <c r="EU419" i="4"/>
  <c r="EU95" i="4"/>
  <c r="EU498" i="4" s="1"/>
  <c r="EU90" i="4"/>
  <c r="EU350" i="4"/>
  <c r="EU117" i="4"/>
  <c r="EU259" i="4"/>
  <c r="EU41" i="4"/>
  <c r="EU167" i="4"/>
  <c r="EU74" i="4"/>
  <c r="EW244" i="3"/>
  <c r="EW309" i="3"/>
  <c r="EW13" i="3"/>
  <c r="EW20" i="3" s="1"/>
  <c r="ET244" i="3"/>
  <c r="ET309" i="3"/>
  <c r="ET13" i="3"/>
  <c r="ET20" i="3" s="1"/>
  <c r="EU309" i="3"/>
  <c r="EU13" i="3"/>
  <c r="EU20" i="3" s="1"/>
  <c r="EU244" i="3"/>
  <c r="EX95" i="4"/>
  <c r="EX498" i="4" s="1"/>
  <c r="EX90" i="4"/>
  <c r="EX74" i="4"/>
  <c r="EX14" i="4"/>
  <c r="EX507" i="4"/>
  <c r="EX350" i="4"/>
  <c r="EX41" i="4"/>
  <c r="EX117" i="4"/>
  <c r="EX419" i="4"/>
  <c r="EX259" i="4"/>
  <c r="EX167" i="4"/>
  <c r="EW95" i="4"/>
  <c r="EW498" i="4" s="1"/>
  <c r="EW14" i="4"/>
  <c r="EW90" i="4"/>
  <c r="EW507" i="4"/>
  <c r="EW350" i="4"/>
  <c r="EW41" i="4"/>
  <c r="EW117" i="4"/>
  <c r="EW259" i="4"/>
  <c r="EW419" i="4"/>
  <c r="EW167" i="4"/>
  <c r="EW74" i="4"/>
  <c r="ET95" i="4"/>
  <c r="ET498" i="4" s="1"/>
  <c r="ET90" i="4"/>
  <c r="ET350" i="4"/>
  <c r="ET14" i="4"/>
  <c r="ET41" i="4"/>
  <c r="ET259" i="4"/>
  <c r="ET117" i="4"/>
  <c r="ET74" i="4"/>
  <c r="ET507" i="4"/>
  <c r="ET167" i="4"/>
  <c r="ET419" i="4"/>
  <c r="DZ184" i="4"/>
  <c r="EA186" i="4"/>
  <c r="DY365" i="4"/>
  <c r="DY278" i="4"/>
  <c r="DZ278" i="4" s="1"/>
  <c r="DY345" i="4" l="1"/>
  <c r="EA345" i="4" s="1"/>
  <c r="EB345" i="4" s="1"/>
  <c r="ED345" i="4" s="1"/>
  <c r="EE345" i="4" s="1"/>
  <c r="EG345" i="4" s="1"/>
  <c r="EH345" i="4" s="1"/>
  <c r="EJ345" i="4" s="1"/>
  <c r="EK345" i="4" s="1"/>
  <c r="EM345" i="4" s="1"/>
  <c r="EN345" i="4" s="1"/>
  <c r="EP345" i="4" s="1"/>
  <c r="EQ345" i="4" s="1"/>
  <c r="ES345" i="4" s="1"/>
  <c r="ET345" i="4" s="1"/>
  <c r="EV345" i="4" s="1"/>
  <c r="EW345" i="4" s="1"/>
  <c r="EY345" i="4" s="1"/>
  <c r="EZ345" i="4" s="1"/>
  <c r="DW59" i="2"/>
  <c r="DW57" i="2" s="1"/>
  <c r="DW179" i="2" s="1"/>
  <c r="EK197" i="4"/>
  <c r="EJ372" i="4"/>
  <c r="EJ290" i="4"/>
  <c r="EA276" i="4"/>
  <c r="EB186" i="4"/>
  <c r="EA365" i="4"/>
  <c r="EA278" i="4"/>
  <c r="EM197" i="4" l="1"/>
  <c r="EK372" i="4"/>
  <c r="EK290" i="4"/>
  <c r="EB276" i="4"/>
  <c r="EC184" i="4"/>
  <c r="ED186" i="4"/>
  <c r="EB278" i="4"/>
  <c r="EC278" i="4" s="1"/>
  <c r="EB365" i="4"/>
  <c r="EC186" i="4"/>
  <c r="EN197" i="4" l="1"/>
  <c r="EM372" i="4"/>
  <c r="EM290" i="4"/>
  <c r="EE186" i="4"/>
  <c r="ED365" i="4"/>
  <c r="ED278" i="4"/>
  <c r="EE184" i="4"/>
  <c r="ED276" i="4"/>
  <c r="EP197" i="4" l="1"/>
  <c r="EN372" i="4"/>
  <c r="EN290" i="4"/>
  <c r="EE276" i="4"/>
  <c r="EF184" i="4"/>
  <c r="EE365" i="4"/>
  <c r="EE278" i="4"/>
  <c r="EF278" i="4" s="1"/>
  <c r="EG186" i="4"/>
  <c r="EF186" i="4"/>
  <c r="EQ197" i="4" l="1"/>
  <c r="EP372" i="4"/>
  <c r="EP290" i="4"/>
  <c r="EH184" i="4"/>
  <c r="EG276" i="4"/>
  <c r="EH186" i="4"/>
  <c r="EG365" i="4"/>
  <c r="EG278" i="4"/>
  <c r="ES197" i="4" l="1"/>
  <c r="EQ372" i="4"/>
  <c r="EQ290" i="4"/>
  <c r="EH365" i="4"/>
  <c r="EH278" i="4"/>
  <c r="EI278" i="4" s="1"/>
  <c r="EJ186" i="4"/>
  <c r="EI186" i="4"/>
  <c r="EH276" i="4"/>
  <c r="EI184" i="4"/>
  <c r="EJ184" i="4"/>
  <c r="ET197" i="4" l="1"/>
  <c r="ES372" i="4"/>
  <c r="ES290" i="4"/>
  <c r="EK184" i="4"/>
  <c r="EJ276" i="4"/>
  <c r="EK186" i="4"/>
  <c r="EJ365" i="4"/>
  <c r="EJ278" i="4"/>
  <c r="EV197" i="4" l="1"/>
  <c r="ET372" i="4"/>
  <c r="ET290" i="4"/>
  <c r="EK365" i="4"/>
  <c r="EK278" i="4"/>
  <c r="EL278" i="4" s="1"/>
  <c r="EM186" i="4"/>
  <c r="EL186" i="4"/>
  <c r="EK276" i="4"/>
  <c r="EM184" i="4"/>
  <c r="EL184" i="4"/>
  <c r="EW197" i="4" l="1"/>
  <c r="EY197" i="4" s="1"/>
  <c r="EV372" i="4"/>
  <c r="EV290" i="4"/>
  <c r="EN186" i="4"/>
  <c r="EM365" i="4"/>
  <c r="EM278" i="4"/>
  <c r="EN184" i="4"/>
  <c r="EM276" i="4"/>
  <c r="EY290" i="4" l="1"/>
  <c r="EZ197" i="4"/>
  <c r="EY372" i="4"/>
  <c r="EW372" i="4"/>
  <c r="EW290" i="4"/>
  <c r="EN276" i="4"/>
  <c r="EO184" i="4"/>
  <c r="EP184" i="4"/>
  <c r="EN365" i="4"/>
  <c r="EN278" i="4"/>
  <c r="EO278" i="4" s="1"/>
  <c r="EP186" i="4"/>
  <c r="EO186" i="4"/>
  <c r="EZ372" i="4" l="1"/>
  <c r="EZ290" i="4"/>
  <c r="EQ184" i="4"/>
  <c r="ES184" i="4" s="1"/>
  <c r="EP276" i="4"/>
  <c r="EQ186" i="4"/>
  <c r="ES186" i="4" s="1"/>
  <c r="EP365" i="4"/>
  <c r="EP278" i="4"/>
  <c r="ET186" i="4" l="1"/>
  <c r="ES278" i="4"/>
  <c r="ES365" i="4"/>
  <c r="ES363" i="4"/>
  <c r="ET184" i="4"/>
  <c r="ES276" i="4"/>
  <c r="ER186" i="4"/>
  <c r="EQ365" i="4"/>
  <c r="EQ278" i="4"/>
  <c r="ER278" i="4" s="1"/>
  <c r="ER184" i="4"/>
  <c r="EQ276" i="4"/>
  <c r="EV184" i="4" l="1"/>
  <c r="EU184" i="4"/>
  <c r="ET276" i="4"/>
  <c r="ET363" i="4"/>
  <c r="EV186" i="4"/>
  <c r="EU186" i="4"/>
  <c r="ET278" i="4"/>
  <c r="EU278" i="4" s="1"/>
  <c r="ET365" i="4"/>
  <c r="DR113" i="4"/>
  <c r="DR115" i="4" s="1"/>
  <c r="DO113" i="4"/>
  <c r="DO115" i="4" s="1"/>
  <c r="DL113" i="4"/>
  <c r="DL115" i="4" s="1"/>
  <c r="DI113" i="4"/>
  <c r="DI115" i="4" s="1"/>
  <c r="CX109" i="4"/>
  <c r="EB109" i="4"/>
  <c r="DJ111" i="4"/>
  <c r="DM111" i="4" s="1"/>
  <c r="DP111" i="4" s="1"/>
  <c r="DS111" i="4" s="1"/>
  <c r="DV111" i="4" s="1"/>
  <c r="DJ416" i="4"/>
  <c r="DM416" i="4"/>
  <c r="DP416" i="4"/>
  <c r="DS416" i="4"/>
  <c r="DJ159" i="4"/>
  <c r="DM159" i="4"/>
  <c r="DS159" i="4"/>
  <c r="DP159" i="4"/>
  <c r="DS152" i="4"/>
  <c r="DP152" i="4"/>
  <c r="DM152" i="4"/>
  <c r="DJ152" i="4"/>
  <c r="DS96" i="4"/>
  <c r="DV97" i="4" s="1"/>
  <c r="DP96" i="4"/>
  <c r="DM96" i="4"/>
  <c r="DJ96" i="4"/>
  <c r="DJ146" i="4"/>
  <c r="DJ139" i="4"/>
  <c r="DJ136" i="4"/>
  <c r="DM146" i="4"/>
  <c r="DM136" i="4"/>
  <c r="DP146" i="4"/>
  <c r="DP136" i="4"/>
  <c r="DS146" i="4"/>
  <c r="DS136" i="4"/>
  <c r="DS130" i="4"/>
  <c r="DP130" i="4"/>
  <c r="DM130" i="4"/>
  <c r="DJ130" i="4"/>
  <c r="DJ124" i="4"/>
  <c r="DJ121" i="4"/>
  <c r="DJ24" i="4" s="1"/>
  <c r="DJ118" i="4"/>
  <c r="DM124" i="4"/>
  <c r="DM121" i="4"/>
  <c r="DM24" i="4" s="1"/>
  <c r="DM118" i="4"/>
  <c r="DP124" i="4"/>
  <c r="DP121" i="4"/>
  <c r="DP24" i="4" s="1"/>
  <c r="DP118" i="4"/>
  <c r="DS124" i="4"/>
  <c r="DV125" i="4" s="1"/>
  <c r="DS121" i="4"/>
  <c r="DS118" i="4"/>
  <c r="DV119" i="4" s="1"/>
  <c r="DS351" i="4"/>
  <c r="DV352" i="4" s="1"/>
  <c r="DP351" i="4"/>
  <c r="DM351" i="4"/>
  <c r="DJ351" i="4"/>
  <c r="DJ409" i="4" s="1"/>
  <c r="DS347" i="4"/>
  <c r="DP347" i="4"/>
  <c r="DM347" i="4"/>
  <c r="DJ347" i="4"/>
  <c r="DJ262" i="4"/>
  <c r="DM262" i="4"/>
  <c r="DP262" i="4"/>
  <c r="DS262" i="4"/>
  <c r="DV263" i="4" s="1"/>
  <c r="DS256" i="4"/>
  <c r="DP256" i="4"/>
  <c r="DM256" i="4"/>
  <c r="DJ256" i="4"/>
  <c r="DS170" i="4"/>
  <c r="DV171" i="4" s="1"/>
  <c r="DP170" i="4"/>
  <c r="DM170" i="4"/>
  <c r="DJ170" i="4"/>
  <c r="BT120" i="4"/>
  <c r="BW120" i="4"/>
  <c r="BZ120" i="4"/>
  <c r="CC120" i="4"/>
  <c r="CF120" i="4"/>
  <c r="DR116" i="4" l="1"/>
  <c r="DS24" i="4"/>
  <c r="DV37" i="4" s="1"/>
  <c r="DV122" i="4"/>
  <c r="EV278" i="4"/>
  <c r="EV365" i="4"/>
  <c r="EW186" i="4"/>
  <c r="EY186" i="4" s="1"/>
  <c r="EV363" i="4"/>
  <c r="EW184" i="4"/>
  <c r="EY184" i="4" s="1"/>
  <c r="EV276" i="4"/>
  <c r="DQ24" i="4"/>
  <c r="DP37" i="4"/>
  <c r="DK24" i="4"/>
  <c r="DK37" i="4" s="1"/>
  <c r="DJ37" i="4"/>
  <c r="DN24" i="4"/>
  <c r="DM37" i="4"/>
  <c r="DS113" i="4"/>
  <c r="DS115" i="4" s="1"/>
  <c r="DP113" i="4"/>
  <c r="DJ113" i="4"/>
  <c r="DM113" i="4"/>
  <c r="DM115" i="4" s="1"/>
  <c r="DM125" i="4"/>
  <c r="DP122" i="4"/>
  <c r="DM122" i="4"/>
  <c r="DP125" i="4"/>
  <c r="DM119" i="4"/>
  <c r="DP119" i="4"/>
  <c r="G9" i="9"/>
  <c r="H9" i="9" s="1"/>
  <c r="I9" i="9" s="1"/>
  <c r="J9" i="9" s="1"/>
  <c r="K9" i="9" s="1"/>
  <c r="L9" i="9" s="1"/>
  <c r="M9" i="9" s="1"/>
  <c r="N9" i="9" s="1"/>
  <c r="O9" i="9" s="1"/>
  <c r="P9" i="9" s="1"/>
  <c r="Q9" i="9" s="1"/>
  <c r="D22" i="9"/>
  <c r="E22" i="9"/>
  <c r="T22" i="9"/>
  <c r="T43" i="9" s="1"/>
  <c r="U22" i="9"/>
  <c r="U43" i="9" s="1"/>
  <c r="U26" i="9"/>
  <c r="V26" i="9"/>
  <c r="X26" i="9"/>
  <c r="Y26" i="9"/>
  <c r="Z26" i="9"/>
  <c r="AA26" i="9"/>
  <c r="T30" i="9"/>
  <c r="U30" i="9"/>
  <c r="V30" i="9"/>
  <c r="W30" i="9"/>
  <c r="X30" i="9"/>
  <c r="Y30" i="9"/>
  <c r="Z30" i="9"/>
  <c r="AA30" i="9"/>
  <c r="W32" i="9"/>
  <c r="U37" i="9"/>
  <c r="W37" i="9"/>
  <c r="X37" i="9"/>
  <c r="Y37" i="9"/>
  <c r="Z37" i="9"/>
  <c r="AA37" i="9"/>
  <c r="Z38" i="9"/>
  <c r="D40" i="9"/>
  <c r="D51" i="9" s="1"/>
  <c r="E40" i="9"/>
  <c r="E51" i="9" s="1"/>
  <c r="T41" i="9"/>
  <c r="U41" i="9"/>
  <c r="V41" i="9"/>
  <c r="W41" i="9"/>
  <c r="X41" i="9"/>
  <c r="Y41" i="9"/>
  <c r="AA41" i="9"/>
  <c r="T44" i="9"/>
  <c r="U44" i="9"/>
  <c r="V44" i="9"/>
  <c r="W44" i="9"/>
  <c r="X44" i="9"/>
  <c r="Z44" i="9"/>
  <c r="AA44" i="9"/>
  <c r="U50" i="9"/>
  <c r="V50" i="9"/>
  <c r="W50" i="9"/>
  <c r="X50" i="9"/>
  <c r="Z50" i="9"/>
  <c r="AA50" i="9"/>
  <c r="T51" i="9"/>
  <c r="U51" i="9"/>
  <c r="V51" i="9"/>
  <c r="W53" i="9"/>
  <c r="X53" i="9"/>
  <c r="Y53" i="9"/>
  <c r="Z53" i="9"/>
  <c r="AA53" i="9"/>
  <c r="T63" i="9"/>
  <c r="U63" i="9"/>
  <c r="V63" i="9"/>
  <c r="W63" i="9"/>
  <c r="X63" i="9"/>
  <c r="Y63" i="9"/>
  <c r="Z63" i="9"/>
  <c r="AA63" i="9"/>
  <c r="U65" i="9"/>
  <c r="CH99" i="4"/>
  <c r="CK99" i="4" s="1"/>
  <c r="CN99" i="4" s="1"/>
  <c r="CN745" i="4" s="1"/>
  <c r="CF100" i="4"/>
  <c r="CI103" i="4"/>
  <c r="CO103" i="4"/>
  <c r="CX103" i="4"/>
  <c r="CH102" i="4"/>
  <c r="CH265" i="4" s="1"/>
  <c r="CN103" i="4"/>
  <c r="CT103" i="4"/>
  <c r="CF105" i="4"/>
  <c r="CF747" i="4" s="1"/>
  <c r="CI106" i="4"/>
  <c r="CH105" i="4"/>
  <c r="CK105" i="4" s="1"/>
  <c r="CK747" i="4" s="1"/>
  <c r="DI111" i="4"/>
  <c r="DU76" i="4"/>
  <c r="BM183" i="4"/>
  <c r="BP183" i="4" s="1"/>
  <c r="CK184" i="4"/>
  <c r="BN185" i="4"/>
  <c r="BP185" i="4" s="1"/>
  <c r="BS185" i="4" s="1"/>
  <c r="BV185" i="4" s="1"/>
  <c r="BY185" i="4" s="1"/>
  <c r="CB185" i="4" s="1"/>
  <c r="CE185" i="4" s="1"/>
  <c r="CH185" i="4" s="1"/>
  <c r="CK185" i="4" s="1"/>
  <c r="CN185" i="4" s="1"/>
  <c r="CQ186" i="4"/>
  <c r="CQ365" i="4" s="1"/>
  <c r="BH267" i="4"/>
  <c r="BI267" i="4" s="1"/>
  <c r="BJ267" i="4" s="1"/>
  <c r="BK267" i="4" s="1"/>
  <c r="BL267" i="4" s="1"/>
  <c r="BM267" i="4" s="1"/>
  <c r="BN267" i="4" s="1"/>
  <c r="BQ267" i="4" s="1"/>
  <c r="BS267" i="4" s="1"/>
  <c r="BV267" i="4" s="1"/>
  <c r="BY267" i="4" s="1"/>
  <c r="CB267" i="4" s="1"/>
  <c r="BM275" i="4"/>
  <c r="BP276" i="4"/>
  <c r="BP363" i="4" s="1"/>
  <c r="BS276" i="4"/>
  <c r="BV276" i="4"/>
  <c r="BY276" i="4"/>
  <c r="CB276" i="4"/>
  <c r="CE276" i="4"/>
  <c r="CH276" i="4"/>
  <c r="CT276" i="4"/>
  <c r="CW276" i="4"/>
  <c r="CZ276" i="4"/>
  <c r="BN277" i="4"/>
  <c r="BP277" i="4" s="1"/>
  <c r="BP278" i="4" s="1"/>
  <c r="BS278" i="4"/>
  <c r="BV278" i="4"/>
  <c r="BY278" i="4"/>
  <c r="CB278" i="4"/>
  <c r="CE278" i="4"/>
  <c r="CH278" i="4"/>
  <c r="CN278" i="4"/>
  <c r="DT84" i="4"/>
  <c r="DU84" i="4" s="1"/>
  <c r="DV84" i="4" s="1"/>
  <c r="DV85" i="4" s="1"/>
  <c r="DS87" i="4"/>
  <c r="DT87" i="4" s="1"/>
  <c r="DU87" i="4" s="1"/>
  <c r="DV87" i="4" s="1"/>
  <c r="DW87" i="4" s="1"/>
  <c r="DF78" i="4"/>
  <c r="DF543" i="4" s="1"/>
  <c r="DF545" i="4" s="1"/>
  <c r="BJ175" i="4"/>
  <c r="BM175" i="4" s="1"/>
  <c r="BN175" i="4" s="1"/>
  <c r="BO176" i="4"/>
  <c r="DF75" i="4"/>
  <c r="DF76" i="4" s="1"/>
  <c r="BS363" i="4"/>
  <c r="BV363" i="4"/>
  <c r="BY363" i="4"/>
  <c r="CB363" i="4"/>
  <c r="CE363" i="4"/>
  <c r="CH363" i="4"/>
  <c r="CQ363" i="4"/>
  <c r="CT363" i="4"/>
  <c r="CW363" i="4"/>
  <c r="CZ363" i="4"/>
  <c r="BN364" i="4"/>
  <c r="BS365" i="4"/>
  <c r="BV365" i="4"/>
  <c r="BY365" i="4"/>
  <c r="CB365" i="4"/>
  <c r="CK365" i="4"/>
  <c r="DU560" i="4"/>
  <c r="BM19" i="4"/>
  <c r="BT186" i="4"/>
  <c r="BT278" i="4" s="1"/>
  <c r="BD265" i="4"/>
  <c r="BG265" i="4" s="1"/>
  <c r="BJ265" i="4" s="1"/>
  <c r="BM265" i="4" s="1"/>
  <c r="BP265" i="4" s="1"/>
  <c r="BS265" i="4" s="1"/>
  <c r="BV265" i="4" s="1"/>
  <c r="BY265" i="4" s="1"/>
  <c r="CB265" i="4" s="1"/>
  <c r="CE265" i="4" s="1"/>
  <c r="BH265" i="4"/>
  <c r="BK265" i="4" s="1"/>
  <c r="BN265" i="4" s="1"/>
  <c r="BQ265" i="4" s="1"/>
  <c r="BT265" i="4" s="1"/>
  <c r="BW265" i="4" s="1"/>
  <c r="BZ265" i="4" s="1"/>
  <c r="CC265" i="4" s="1"/>
  <c r="CU278" i="4"/>
  <c r="DD278" i="4"/>
  <c r="BM356" i="4"/>
  <c r="BP356" i="4" s="1"/>
  <c r="BS356" i="4" s="1"/>
  <c r="BV356" i="4" s="1"/>
  <c r="BY356" i="4" s="1"/>
  <c r="CB356" i="4" s="1"/>
  <c r="CC356" i="4" s="1"/>
  <c r="BT363" i="4"/>
  <c r="BW363" i="4"/>
  <c r="BZ363" i="4"/>
  <c r="CC363" i="4"/>
  <c r="CF363" i="4"/>
  <c r="CR363" i="4"/>
  <c r="CU363" i="4"/>
  <c r="CX363" i="4"/>
  <c r="DA363" i="4"/>
  <c r="DV5" i="2"/>
  <c r="DV4" i="2" s="1"/>
  <c r="AE10" i="9" s="1"/>
  <c r="DW5" i="2"/>
  <c r="DW4" i="2" s="1"/>
  <c r="CE393" i="4"/>
  <c r="CE392" i="4" s="1"/>
  <c r="CE317" i="4" s="1"/>
  <c r="CH393" i="4"/>
  <c r="CK393" i="4"/>
  <c r="CN393" i="4"/>
  <c r="CQ393" i="4"/>
  <c r="CT393" i="4"/>
  <c r="CW393" i="4"/>
  <c r="CZ393" i="4"/>
  <c r="DC393" i="4"/>
  <c r="DF393" i="4"/>
  <c r="DI393" i="4"/>
  <c r="DL393" i="4"/>
  <c r="DO393" i="4"/>
  <c r="DU393" i="4"/>
  <c r="BP383" i="4"/>
  <c r="BS384" i="4"/>
  <c r="BV384" i="4"/>
  <c r="BY384" i="4"/>
  <c r="CB384" i="4"/>
  <c r="CE384" i="4"/>
  <c r="CH384" i="4"/>
  <c r="CN384" i="4"/>
  <c r="CQ384" i="4"/>
  <c r="CT384" i="4"/>
  <c r="CW384" i="4"/>
  <c r="CZ384" i="4"/>
  <c r="DC384" i="4"/>
  <c r="DF384" i="4"/>
  <c r="DI384" i="4"/>
  <c r="DU384" i="4"/>
  <c r="DS81" i="4"/>
  <c r="BP375" i="4"/>
  <c r="BS375" i="4" s="1"/>
  <c r="BV375" i="4" s="1"/>
  <c r="BY375" i="4" s="1"/>
  <c r="CB375" i="4" s="1"/>
  <c r="CE375" i="4" s="1"/>
  <c r="CH375" i="4" s="1"/>
  <c r="CK375" i="4" s="1"/>
  <c r="CN375" i="4" s="1"/>
  <c r="CQ375" i="4" s="1"/>
  <c r="CT375" i="4" s="1"/>
  <c r="CW375" i="4" s="1"/>
  <c r="CZ375" i="4" s="1"/>
  <c r="DC375" i="4" s="1"/>
  <c r="DF375" i="4" s="1"/>
  <c r="DI375" i="4" s="1"/>
  <c r="DI295" i="4" s="1"/>
  <c r="CH247" i="4"/>
  <c r="CK247" i="4" s="1"/>
  <c r="CN247" i="4" s="1"/>
  <c r="CQ247" i="4" s="1"/>
  <c r="CT247" i="4" s="1"/>
  <c r="CW247" i="4" s="1"/>
  <c r="CZ247" i="4" s="1"/>
  <c r="DC247" i="4" s="1"/>
  <c r="DF247" i="4" s="1"/>
  <c r="DI247" i="4" s="1"/>
  <c r="DL247" i="4" s="1"/>
  <c r="DO247" i="4" s="1"/>
  <c r="DR247" i="4" s="1"/>
  <c r="CF254" i="4"/>
  <c r="CI254" i="4" s="1"/>
  <c r="CL254" i="4" s="1"/>
  <c r="CO254" i="4" s="1"/>
  <c r="CR254" i="4" s="1"/>
  <c r="CU254" i="4" s="1"/>
  <c r="CX254" i="4" s="1"/>
  <c r="DA254" i="4" s="1"/>
  <c r="DD254" i="4" s="1"/>
  <c r="DG254" i="4" s="1"/>
  <c r="DJ254" i="4" s="1"/>
  <c r="DM254" i="4" s="1"/>
  <c r="DP254" i="4" s="1"/>
  <c r="CF338" i="4"/>
  <c r="CH338" i="4" s="1"/>
  <c r="CI338" i="4" s="1"/>
  <c r="CK338" i="4" s="1"/>
  <c r="CL338" i="4" s="1"/>
  <c r="CN338" i="4" s="1"/>
  <c r="CO338" i="4" s="1"/>
  <c r="CQ338" i="4" s="1"/>
  <c r="CR338" i="4" s="1"/>
  <c r="CT338" i="4" s="1"/>
  <c r="CU338" i="4" s="1"/>
  <c r="CW338" i="4" s="1"/>
  <c r="CX338" i="4" s="1"/>
  <c r="CZ338" i="4" s="1"/>
  <c r="DA338" i="4" s="1"/>
  <c r="DC338" i="4" s="1"/>
  <c r="DD338" i="4" s="1"/>
  <c r="DF338" i="4" s="1"/>
  <c r="DG338" i="4" s="1"/>
  <c r="DI338" i="4" s="1"/>
  <c r="DJ338" i="4" s="1"/>
  <c r="DL338" i="4" s="1"/>
  <c r="DM338" i="4" s="1"/>
  <c r="DO338" i="4" s="1"/>
  <c r="DP338" i="4" s="1"/>
  <c r="DR338" i="4" s="1"/>
  <c r="DO410" i="4"/>
  <c r="DR410" i="4" s="1"/>
  <c r="DU410" i="4" s="1"/>
  <c r="DX410" i="4" s="1"/>
  <c r="DX409" i="4" s="1"/>
  <c r="DU487" i="4"/>
  <c r="DU50" i="4"/>
  <c r="CF393" i="4"/>
  <c r="CF392" i="4" s="1"/>
  <c r="CF317" i="4" s="1"/>
  <c r="CF320" i="4" s="1"/>
  <c r="CI393" i="4"/>
  <c r="CO393" i="4"/>
  <c r="CR393" i="4"/>
  <c r="CU393" i="4"/>
  <c r="CX393" i="4"/>
  <c r="DA393" i="4"/>
  <c r="DD393" i="4"/>
  <c r="DG393" i="4"/>
  <c r="DJ393" i="4"/>
  <c r="DM393" i="4"/>
  <c r="DP393" i="4"/>
  <c r="CO384" i="4"/>
  <c r="CR384" i="4"/>
  <c r="CU384" i="4"/>
  <c r="CX384" i="4"/>
  <c r="DA384" i="4"/>
  <c r="DD384" i="4"/>
  <c r="DJ384" i="4"/>
  <c r="BQ376" i="4"/>
  <c r="BQ375" i="4" s="1"/>
  <c r="CL247" i="4"/>
  <c r="CO247" i="4" s="1"/>
  <c r="CR247" i="4" s="1"/>
  <c r="CU247" i="4" s="1"/>
  <c r="CX247" i="4" s="1"/>
  <c r="DA247" i="4" s="1"/>
  <c r="DD247" i="4" s="1"/>
  <c r="DG247" i="4" s="1"/>
  <c r="DJ247" i="4" s="1"/>
  <c r="DM247" i="4" s="1"/>
  <c r="DP247" i="4" s="1"/>
  <c r="DS247" i="4" s="1"/>
  <c r="DV247" i="4" s="1"/>
  <c r="DM410" i="4"/>
  <c r="DP410" i="4" s="1"/>
  <c r="DS410" i="4" s="1"/>
  <c r="DV480" i="4"/>
  <c r="DV484" i="4"/>
  <c r="BP69" i="3"/>
  <c r="BP70" i="2" s="1"/>
  <c r="BP460" i="2" s="1"/>
  <c r="DR87" i="4"/>
  <c r="DR88" i="4" s="1"/>
  <c r="DR538" i="4"/>
  <c r="DR540" i="4" s="1"/>
  <c r="DR543" i="4"/>
  <c r="DR545" i="4" s="1"/>
  <c r="DR560" i="4"/>
  <c r="DS538" i="4"/>
  <c r="DS540" i="4" s="1"/>
  <c r="DS550" i="4"/>
  <c r="DS560" i="4"/>
  <c r="DO540" i="4"/>
  <c r="DO545" i="4"/>
  <c r="DO550" i="4"/>
  <c r="DO553" i="4"/>
  <c r="DO555" i="4" s="1"/>
  <c r="DO560" i="4"/>
  <c r="DU5" i="2"/>
  <c r="DU63" i="2"/>
  <c r="DU66" i="2"/>
  <c r="DV66" i="2" s="1"/>
  <c r="DU67" i="2"/>
  <c r="DV67" i="2" s="1"/>
  <c r="DU58" i="2"/>
  <c r="DV58" i="2" s="1"/>
  <c r="CY4" i="2"/>
  <c r="CY9" i="2" s="1"/>
  <c r="F10" i="9" s="1"/>
  <c r="DB5" i="2"/>
  <c r="DB4" i="2" s="1"/>
  <c r="DB9" i="2" s="1"/>
  <c r="G10" i="9" s="1"/>
  <c r="DE5" i="2"/>
  <c r="DH5" i="2"/>
  <c r="DK5" i="2"/>
  <c r="DK4" i="2" s="1"/>
  <c r="DK9" i="2" s="1"/>
  <c r="J10" i="9" s="1"/>
  <c r="DN4" i="2"/>
  <c r="DN9" i="2" s="1"/>
  <c r="K10" i="9" s="1"/>
  <c r="DQ5" i="2"/>
  <c r="DQ4" i="2" s="1"/>
  <c r="DT5" i="2"/>
  <c r="DZ5" i="2"/>
  <c r="CZ5" i="2"/>
  <c r="CZ321" i="2" s="1"/>
  <c r="DG5" i="2"/>
  <c r="DI5" i="2"/>
  <c r="DI248" i="2" s="1"/>
  <c r="DI33" i="3" s="1"/>
  <c r="DJ5" i="2"/>
  <c r="DJ4" i="2" s="1"/>
  <c r="W10" i="9" s="1"/>
  <c r="DL5" i="2"/>
  <c r="DL211" i="2" s="1"/>
  <c r="DL201" i="3" s="1"/>
  <c r="DL199" i="3" s="1"/>
  <c r="DM4" i="2"/>
  <c r="DM148" i="2" s="1"/>
  <c r="DO5" i="2"/>
  <c r="DP5" i="2"/>
  <c r="DP4" i="2" s="1"/>
  <c r="AA10" i="9" s="1"/>
  <c r="DR5" i="2"/>
  <c r="DR321" i="2" s="1"/>
  <c r="DR626" i="2" s="1"/>
  <c r="DS5" i="2"/>
  <c r="CZ198" i="4"/>
  <c r="CT84" i="4"/>
  <c r="CU84" i="4" s="1"/>
  <c r="CV84" i="4" s="1"/>
  <c r="CW84" i="4" s="1"/>
  <c r="CX84" i="4" s="1"/>
  <c r="CY84" i="4" s="1"/>
  <c r="CZ84" i="4" s="1"/>
  <c r="DA84" i="4" s="1"/>
  <c r="DB84" i="4" s="1"/>
  <c r="DC84" i="4" s="1"/>
  <c r="DD84" i="4" s="1"/>
  <c r="DE84" i="4" s="1"/>
  <c r="DF84" i="4" s="1"/>
  <c r="DG84" i="4" s="1"/>
  <c r="DH84" i="4" s="1"/>
  <c r="DI84" i="4" s="1"/>
  <c r="DJ84" i="4" s="1"/>
  <c r="DK84" i="4" s="1"/>
  <c r="CT87" i="4"/>
  <c r="CU87" i="4" s="1"/>
  <c r="CV87" i="4" s="1"/>
  <c r="CW87" i="4" s="1"/>
  <c r="CX87" i="4" s="1"/>
  <c r="CY87" i="4" s="1"/>
  <c r="CZ87" i="4" s="1"/>
  <c r="DA87" i="4" s="1"/>
  <c r="DB87" i="4" s="1"/>
  <c r="DC87" i="4" s="1"/>
  <c r="DD87" i="4" s="1"/>
  <c r="DE87" i="4" s="1"/>
  <c r="DF87" i="4" s="1"/>
  <c r="DG87" i="4" s="1"/>
  <c r="DH87" i="4" s="1"/>
  <c r="DI87" i="4" s="1"/>
  <c r="DJ87" i="4" s="1"/>
  <c r="DK87" i="4" s="1"/>
  <c r="DL87" i="4" s="1"/>
  <c r="DL88" i="4" s="1"/>
  <c r="CZ291" i="4"/>
  <c r="BG354" i="4"/>
  <c r="BJ354" i="4" s="1"/>
  <c r="BM354" i="4" s="1"/>
  <c r="BP354" i="4" s="1"/>
  <c r="BS354" i="4" s="1"/>
  <c r="BV354" i="4" s="1"/>
  <c r="BY354" i="4" s="1"/>
  <c r="CB354" i="4" s="1"/>
  <c r="BH354" i="4"/>
  <c r="BK354" i="4" s="1"/>
  <c r="BN354" i="4" s="1"/>
  <c r="BQ354" i="4" s="1"/>
  <c r="BT354" i="4" s="1"/>
  <c r="BW354" i="4" s="1"/>
  <c r="BZ354" i="4" s="1"/>
  <c r="CC354" i="4" s="1"/>
  <c r="CZ540" i="4"/>
  <c r="CZ543" i="4"/>
  <c r="CZ545" i="4" s="1"/>
  <c r="DB549" i="4"/>
  <c r="CW548" i="4"/>
  <c r="DF18" i="4"/>
  <c r="DF48" i="4" s="1"/>
  <c r="DG198" i="4"/>
  <c r="DG103" i="4"/>
  <c r="BT276" i="4"/>
  <c r="BW276" i="4"/>
  <c r="BZ276" i="4"/>
  <c r="CC276" i="4"/>
  <c r="CF276" i="4"/>
  <c r="CI276" i="4"/>
  <c r="CO276" i="4"/>
  <c r="CR276" i="4"/>
  <c r="CU276" i="4"/>
  <c r="CX276" i="4"/>
  <c r="DA276" i="4"/>
  <c r="DG291" i="4"/>
  <c r="BM366" i="4"/>
  <c r="BO362" i="4"/>
  <c r="BW365" i="4"/>
  <c r="BZ365" i="4"/>
  <c r="CC365" i="4"/>
  <c r="CF365" i="4"/>
  <c r="CI365" i="4"/>
  <c r="CL365" i="4"/>
  <c r="CO365" i="4"/>
  <c r="CU365" i="4"/>
  <c r="DG563" i="4"/>
  <c r="DG18" i="4" s="1"/>
  <c r="DG48" i="4" s="1"/>
  <c r="DI18" i="4"/>
  <c r="DI48" i="4" s="1"/>
  <c r="DJ18" i="4"/>
  <c r="DJ48" i="4" s="1"/>
  <c r="DL18" i="4"/>
  <c r="DL48" i="4" s="1"/>
  <c r="DM84" i="4"/>
  <c r="DP85" i="4" s="1"/>
  <c r="DM87" i="4"/>
  <c r="DN87" i="4" s="1"/>
  <c r="DM18" i="4"/>
  <c r="DM48" i="4" s="1"/>
  <c r="DL108" i="3"/>
  <c r="DL110" i="3"/>
  <c r="DL75" i="2" s="1"/>
  <c r="DL505" i="2" s="1"/>
  <c r="CB270" i="2"/>
  <c r="CD270" i="2" s="1"/>
  <c r="CE270" i="2" s="1"/>
  <c r="CG270" i="2" s="1"/>
  <c r="CH270" i="2" s="1"/>
  <c r="CJ270" i="2" s="1"/>
  <c r="CK270" i="2" s="1"/>
  <c r="CM270" i="2" s="1"/>
  <c r="CN270" i="2" s="1"/>
  <c r="CP270" i="2" s="1"/>
  <c r="CQ270" i="2" s="1"/>
  <c r="CS270" i="2" s="1"/>
  <c r="CT270" i="2" s="1"/>
  <c r="CV270" i="2" s="1"/>
  <c r="CU270" i="2" s="1"/>
  <c r="BL271" i="2"/>
  <c r="BM271" i="2" s="1"/>
  <c r="BO271" i="2" s="1"/>
  <c r="BM273" i="2"/>
  <c r="BO273" i="2" s="1"/>
  <c r="BP273" i="2" s="1"/>
  <c r="BR273" i="2" s="1"/>
  <c r="BS273" i="2" s="1"/>
  <c r="BU273" i="2" s="1"/>
  <c r="BV273" i="2" s="1"/>
  <c r="BX273" i="2" s="1"/>
  <c r="BY273" i="2" s="1"/>
  <c r="CA273" i="2" s="1"/>
  <c r="CB273" i="2" s="1"/>
  <c r="CD273" i="2" s="1"/>
  <c r="CE273" i="2" s="1"/>
  <c r="CG273" i="2" s="1"/>
  <c r="CH273" i="2" s="1"/>
  <c r="CJ273" i="2" s="1"/>
  <c r="CK273" i="2" s="1"/>
  <c r="CM273" i="2" s="1"/>
  <c r="CN273" i="2" s="1"/>
  <c r="CP273" i="2" s="1"/>
  <c r="CQ273" i="2" s="1"/>
  <c r="BM274" i="2"/>
  <c r="BO274" i="2" s="1"/>
  <c r="BP274" i="2" s="1"/>
  <c r="BR274" i="2" s="1"/>
  <c r="BS274" i="2" s="1"/>
  <c r="BU274" i="2" s="1"/>
  <c r="BV274" i="2" s="1"/>
  <c r="BX274" i="2" s="1"/>
  <c r="BY274" i="2" s="1"/>
  <c r="CA274" i="2" s="1"/>
  <c r="CB274" i="2" s="1"/>
  <c r="CD274" i="2" s="1"/>
  <c r="CE274" i="2" s="1"/>
  <c r="CG274" i="2" s="1"/>
  <c r="CH274" i="2" s="1"/>
  <c r="CJ274" i="2" s="1"/>
  <c r="CK274" i="2" s="1"/>
  <c r="CM274" i="2" s="1"/>
  <c r="CN274" i="2" s="1"/>
  <c r="CP274" i="2" s="1"/>
  <c r="CQ274" i="2" s="1"/>
  <c r="CS274" i="2" s="1"/>
  <c r="CT274" i="2" s="1"/>
  <c r="CV274" i="2" s="1"/>
  <c r="CW274" i="2" s="1"/>
  <c r="CY274" i="2" s="1"/>
  <c r="CZ274" i="2" s="1"/>
  <c r="DB274" i="2" s="1"/>
  <c r="W58" i="9" s="1"/>
  <c r="DK272" i="2"/>
  <c r="DJ272" i="2" s="1"/>
  <c r="DK292" i="2"/>
  <c r="DH293" i="2"/>
  <c r="DH294" i="2"/>
  <c r="DI294" i="2" s="1"/>
  <c r="DH296" i="2"/>
  <c r="DI296" i="2" s="1"/>
  <c r="DK296" i="2" s="1"/>
  <c r="DL296" i="2" s="1"/>
  <c r="DN296" i="2" s="1"/>
  <c r="DO296" i="2" s="1"/>
  <c r="DQ296" i="2" s="1"/>
  <c r="DR296" i="2" s="1"/>
  <c r="DT296" i="2" s="1"/>
  <c r="DS296" i="2" s="1"/>
  <c r="BM77" i="2"/>
  <c r="DL63" i="2"/>
  <c r="DL461" i="2" s="1"/>
  <c r="DL66" i="2"/>
  <c r="DL67" i="2"/>
  <c r="DL58" i="2"/>
  <c r="DR108" i="3"/>
  <c r="DR110" i="3" s="1"/>
  <c r="DQ272" i="2"/>
  <c r="DR272" i="2" s="1"/>
  <c r="DT272" i="2" s="1"/>
  <c r="DS272" i="2" s="1"/>
  <c r="DR291" i="2"/>
  <c r="DT291" i="2" s="1"/>
  <c r="DU291" i="2" s="1"/>
  <c r="DW291" i="2" s="1"/>
  <c r="DR78" i="2"/>
  <c r="DR182" i="2" s="1"/>
  <c r="DR63" i="2"/>
  <c r="DR65" i="2"/>
  <c r="DR66" i="2"/>
  <c r="DR67" i="2"/>
  <c r="DR58" i="2"/>
  <c r="DR50" i="4"/>
  <c r="DS480" i="4"/>
  <c r="DS484" i="4"/>
  <c r="DS487" i="4"/>
  <c r="DT63" i="2"/>
  <c r="DT461" i="2" s="1"/>
  <c r="DT66" i="2"/>
  <c r="DT67" i="2"/>
  <c r="DT58" i="2"/>
  <c r="CZ108" i="3"/>
  <c r="CZ109" i="3" s="1"/>
  <c r="CZ110" i="3" s="1"/>
  <c r="BL292" i="2"/>
  <c r="BL293" i="2"/>
  <c r="BM293" i="2" s="1"/>
  <c r="BO293" i="2" s="1"/>
  <c r="BP293" i="2" s="1"/>
  <c r="BR293" i="2" s="1"/>
  <c r="BS293" i="2" s="1"/>
  <c r="BU293" i="2" s="1"/>
  <c r="BV293" i="2" s="1"/>
  <c r="BX293" i="2" s="1"/>
  <c r="BY293" i="2" s="1"/>
  <c r="CA293" i="2" s="1"/>
  <c r="CB293" i="2" s="1"/>
  <c r="CD293" i="2" s="1"/>
  <c r="CE293" i="2" s="1"/>
  <c r="CG293" i="2" s="1"/>
  <c r="CH293" i="2" s="1"/>
  <c r="CJ293" i="2" s="1"/>
  <c r="CK293" i="2" s="1"/>
  <c r="CM293" i="2" s="1"/>
  <c r="CN293" i="2" s="1"/>
  <c r="CP293" i="2" s="1"/>
  <c r="CQ293" i="2" s="1"/>
  <c r="CS293" i="2" s="1"/>
  <c r="CT293" i="2" s="1"/>
  <c r="CV293" i="2" s="1"/>
  <c r="CW293" i="2" s="1"/>
  <c r="CY293" i="2" s="1"/>
  <c r="CZ293" i="2" s="1"/>
  <c r="DB293" i="2" s="1"/>
  <c r="DC293" i="2" s="1"/>
  <c r="DE293" i="2" s="1"/>
  <c r="DD293" i="2" s="1"/>
  <c r="BL294" i="2"/>
  <c r="BM294" i="2" s="1"/>
  <c r="BO294" i="2" s="1"/>
  <c r="BP294" i="2" s="1"/>
  <c r="BR294" i="2" s="1"/>
  <c r="BS294" i="2" s="1"/>
  <c r="BU294" i="2" s="1"/>
  <c r="BV294" i="2" s="1"/>
  <c r="BX294" i="2" s="1"/>
  <c r="BY294" i="2" s="1"/>
  <c r="CA294" i="2" s="1"/>
  <c r="CB294" i="2" s="1"/>
  <c r="CD294" i="2" s="1"/>
  <c r="CE294" i="2" s="1"/>
  <c r="CG294" i="2" s="1"/>
  <c r="CH294" i="2" s="1"/>
  <c r="CJ294" i="2" s="1"/>
  <c r="CK294" i="2" s="1"/>
  <c r="CM294" i="2" s="1"/>
  <c r="CN294" i="2" s="1"/>
  <c r="CP294" i="2" s="1"/>
  <c r="CQ294" i="2" s="1"/>
  <c r="CS294" i="2" s="1"/>
  <c r="CT294" i="2" s="1"/>
  <c r="CV294" i="2" s="1"/>
  <c r="CW294" i="2" s="1"/>
  <c r="CY294" i="2" s="1"/>
  <c r="CZ294" i="2" s="1"/>
  <c r="DB294" i="2" s="1"/>
  <c r="DC294" i="2" s="1"/>
  <c r="BL296" i="2"/>
  <c r="CY295" i="2"/>
  <c r="CX295" i="2" s="1"/>
  <c r="CZ119" i="3"/>
  <c r="DA119" i="3" s="1"/>
  <c r="DH79" i="2"/>
  <c r="DH151" i="3" s="1"/>
  <c r="DH230" i="2"/>
  <c r="DF290" i="2"/>
  <c r="DG125" i="3"/>
  <c r="DG131" i="3" s="1"/>
  <c r="DF121" i="3"/>
  <c r="DF18" i="3" s="1"/>
  <c r="DF79" i="2"/>
  <c r="DF151" i="3" s="1"/>
  <c r="DE108" i="3"/>
  <c r="DE109" i="3" s="1"/>
  <c r="DE110" i="3" s="1"/>
  <c r="DE75" i="2" s="1"/>
  <c r="DE505" i="2" s="1"/>
  <c r="DC108" i="3"/>
  <c r="DC109" i="3" s="1"/>
  <c r="DC110" i="3" s="1"/>
  <c r="DD108" i="3"/>
  <c r="DF108" i="3"/>
  <c r="DF78" i="2"/>
  <c r="DF182" i="2" s="1"/>
  <c r="DG182" i="2" s="1"/>
  <c r="DI151" i="3"/>
  <c r="CS58" i="2"/>
  <c r="CK198" i="4"/>
  <c r="CK291" i="4"/>
  <c r="CK550" i="4"/>
  <c r="CK562" i="4" s="1"/>
  <c r="CK563" i="4" s="1"/>
  <c r="CK18" i="4" s="1"/>
  <c r="CK48" i="4" s="1"/>
  <c r="CL198" i="4"/>
  <c r="BQ277" i="4"/>
  <c r="BW278" i="4"/>
  <c r="BZ278" i="4"/>
  <c r="CC278" i="4"/>
  <c r="CI278" i="4"/>
  <c r="CL278" i="4"/>
  <c r="CL291" i="4"/>
  <c r="CL538" i="4"/>
  <c r="CL540" i="4" s="1"/>
  <c r="CM540" i="4" s="1"/>
  <c r="CL543" i="4"/>
  <c r="CL545" i="4" s="1"/>
  <c r="CM545" i="4" s="1"/>
  <c r="CL548" i="4"/>
  <c r="CL550" i="4" s="1"/>
  <c r="CS63" i="2"/>
  <c r="CS461" i="2" s="1"/>
  <c r="CS65" i="2"/>
  <c r="CS66" i="2"/>
  <c r="CS67" i="2"/>
  <c r="CV58" i="2"/>
  <c r="CV63" i="2"/>
  <c r="CV461" i="2" s="1"/>
  <c r="CV65" i="2"/>
  <c r="CV66" i="2"/>
  <c r="CV67" i="2"/>
  <c r="CY58" i="2"/>
  <c r="CY63" i="2"/>
  <c r="CY461" i="2" s="1"/>
  <c r="CY65" i="2"/>
  <c r="CY66" i="2"/>
  <c r="CY67" i="2"/>
  <c r="DB79" i="2"/>
  <c r="DA79" i="2" s="1"/>
  <c r="DB108" i="3"/>
  <c r="DB109" i="3" s="1"/>
  <c r="DB63" i="2"/>
  <c r="DB461" i="2" s="1"/>
  <c r="DB65" i="2"/>
  <c r="DB66" i="2"/>
  <c r="DB67" i="2"/>
  <c r="DB58" i="2"/>
  <c r="DB59" i="2"/>
  <c r="DE79" i="2"/>
  <c r="DC5" i="2"/>
  <c r="DC253" i="2" s="1"/>
  <c r="DC637" i="2" s="1"/>
  <c r="DE63" i="2"/>
  <c r="DE461" i="2" s="1"/>
  <c r="DE65" i="2"/>
  <c r="DE66" i="2"/>
  <c r="DE67" i="2"/>
  <c r="DE58" i="2"/>
  <c r="DE59" i="2"/>
  <c r="DH63" i="2"/>
  <c r="DH461" i="2" s="1"/>
  <c r="DG50" i="3"/>
  <c r="DH50" i="3" s="1"/>
  <c r="DH65" i="2" s="1"/>
  <c r="DH66" i="2"/>
  <c r="DH67" i="2"/>
  <c r="DH58" i="2"/>
  <c r="DH49" i="3"/>
  <c r="DK58" i="2"/>
  <c r="DJ50" i="3"/>
  <c r="DK50" i="3" s="1"/>
  <c r="DK63" i="2"/>
  <c r="DK461" i="2" s="1"/>
  <c r="DK66" i="2"/>
  <c r="DK67" i="2"/>
  <c r="DN58" i="2"/>
  <c r="DN63" i="2"/>
  <c r="DN66" i="2"/>
  <c r="DN67" i="2"/>
  <c r="DQ58" i="2"/>
  <c r="DQ63" i="2"/>
  <c r="DQ461" i="2" s="1"/>
  <c r="DQ65" i="2"/>
  <c r="DQ66" i="2"/>
  <c r="DQ67" i="2"/>
  <c r="DY393" i="4"/>
  <c r="DY384" i="4"/>
  <c r="EB384" i="4" s="1"/>
  <c r="EE384" i="4" s="1"/>
  <c r="EH384" i="4" s="1"/>
  <c r="EK384" i="4" s="1"/>
  <c r="EN384" i="4" s="1"/>
  <c r="EQ384" i="4" s="1"/>
  <c r="ET384" i="4" s="1"/>
  <c r="DY480" i="4"/>
  <c r="DY484" i="4"/>
  <c r="DZ63" i="2"/>
  <c r="DZ461" i="2" s="1"/>
  <c r="DZ66" i="2"/>
  <c r="DZ67" i="2"/>
  <c r="DZ58" i="2"/>
  <c r="CZ80" i="2"/>
  <c r="CZ83" i="2"/>
  <c r="DH147" i="3"/>
  <c r="DG153" i="3" s="1"/>
  <c r="DH82" i="2"/>
  <c r="DH83" i="2"/>
  <c r="DH86" i="2"/>
  <c r="DH85" i="2" s="1"/>
  <c r="DF147" i="3"/>
  <c r="DF82" i="2"/>
  <c r="DF83" i="2"/>
  <c r="DI82" i="2"/>
  <c r="DI83" i="2"/>
  <c r="DI85" i="2"/>
  <c r="DJ153" i="3"/>
  <c r="DK82" i="2"/>
  <c r="DK83" i="2"/>
  <c r="DK85" i="2"/>
  <c r="DL83" i="2"/>
  <c r="DL85" i="2"/>
  <c r="DM79" i="2"/>
  <c r="DM135" i="3" s="1"/>
  <c r="DM153" i="3"/>
  <c r="DN83" i="2"/>
  <c r="DN85" i="2"/>
  <c r="DO151" i="3"/>
  <c r="DO82" i="2"/>
  <c r="DO83" i="2"/>
  <c r="DQ151" i="3"/>
  <c r="DP153" i="3"/>
  <c r="DQ82" i="2"/>
  <c r="DQ83" i="2"/>
  <c r="DR463" i="2"/>
  <c r="DR82" i="2"/>
  <c r="DR83" i="2"/>
  <c r="DR85" i="2"/>
  <c r="CZ92" i="2"/>
  <c r="CZ93" i="2"/>
  <c r="DH92" i="2"/>
  <c r="DH93" i="2"/>
  <c r="DF92" i="2"/>
  <c r="DF93" i="2"/>
  <c r="DI92" i="2"/>
  <c r="DI93" i="2"/>
  <c r="DK92" i="2"/>
  <c r="DK93" i="2"/>
  <c r="DL93" i="2"/>
  <c r="DN93" i="2"/>
  <c r="DO93" i="2"/>
  <c r="DQ93" i="2"/>
  <c r="DR93" i="2"/>
  <c r="AH416" i="2"/>
  <c r="AI416" i="2" s="1"/>
  <c r="AK416" i="2" s="1"/>
  <c r="AL416" i="2" s="1"/>
  <c r="AN416" i="2" s="1"/>
  <c r="AO416" i="2" s="1"/>
  <c r="AQ416" i="2" s="1"/>
  <c r="AR416" i="2" s="1"/>
  <c r="AT416" i="2" s="1"/>
  <c r="AU416" i="2" s="1"/>
  <c r="AW416" i="2" s="1"/>
  <c r="AX416" i="2" s="1"/>
  <c r="AZ416" i="2" s="1"/>
  <c r="BA416" i="2" s="1"/>
  <c r="BC416" i="2" s="1"/>
  <c r="BD416" i="2" s="1"/>
  <c r="BF416" i="2" s="1"/>
  <c r="BG416" i="2" s="1"/>
  <c r="BI416" i="2" s="1"/>
  <c r="BJ416" i="2" s="1"/>
  <c r="BL416" i="2" s="1"/>
  <c r="BM416" i="2" s="1"/>
  <c r="BO416" i="2" s="1"/>
  <c r="BP416" i="2" s="1"/>
  <c r="BR416" i="2" s="1"/>
  <c r="BS416" i="2" s="1"/>
  <c r="BU416" i="2" s="1"/>
  <c r="BV416" i="2" s="1"/>
  <c r="BX416" i="2" s="1"/>
  <c r="BY416" i="2" s="1"/>
  <c r="CA416" i="2" s="1"/>
  <c r="CB416" i="2" s="1"/>
  <c r="CD416" i="2" s="1"/>
  <c r="CE416" i="2" s="1"/>
  <c r="CG416" i="2" s="1"/>
  <c r="CH416" i="2" s="1"/>
  <c r="CJ416" i="2" s="1"/>
  <c r="CK416" i="2" s="1"/>
  <c r="CM416" i="2" s="1"/>
  <c r="CN416" i="2" s="1"/>
  <c r="CP416" i="2" s="1"/>
  <c r="CQ416" i="2" s="1"/>
  <c r="G421" i="2"/>
  <c r="H421" i="2" s="1"/>
  <c r="J421" i="2" s="1"/>
  <c r="K421" i="2" s="1"/>
  <c r="M421" i="2" s="1"/>
  <c r="N421" i="2" s="1"/>
  <c r="P421" i="2" s="1"/>
  <c r="Q421" i="2" s="1"/>
  <c r="S421" i="2" s="1"/>
  <c r="T421" i="2" s="1"/>
  <c r="V421" i="2" s="1"/>
  <c r="W421" i="2" s="1"/>
  <c r="Y421" i="2" s="1"/>
  <c r="Z421" i="2" s="1"/>
  <c r="AB421" i="2" s="1"/>
  <c r="AC421" i="2" s="1"/>
  <c r="AE421" i="2" s="1"/>
  <c r="AF421" i="2" s="1"/>
  <c r="AH421" i="2" s="1"/>
  <c r="AI421" i="2" s="1"/>
  <c r="AK421" i="2" s="1"/>
  <c r="AL421" i="2" s="1"/>
  <c r="AN421" i="2" s="1"/>
  <c r="AO421" i="2" s="1"/>
  <c r="AQ421" i="2" s="1"/>
  <c r="AR421" i="2" s="1"/>
  <c r="AT421" i="2" s="1"/>
  <c r="AU421" i="2" s="1"/>
  <c r="AW421" i="2" s="1"/>
  <c r="AX421" i="2" s="1"/>
  <c r="AZ421" i="2" s="1"/>
  <c r="BA421" i="2" s="1"/>
  <c r="BC421" i="2" s="1"/>
  <c r="BD421" i="2" s="1"/>
  <c r="BF421" i="2" s="1"/>
  <c r="BG421" i="2" s="1"/>
  <c r="BI421" i="2" s="1"/>
  <c r="BJ421" i="2" s="1"/>
  <c r="BL421" i="2" s="1"/>
  <c r="BM421" i="2" s="1"/>
  <c r="BO421" i="2" s="1"/>
  <c r="BP421" i="2" s="1"/>
  <c r="BR421" i="2" s="1"/>
  <c r="BS421" i="2" s="1"/>
  <c r="BU421" i="2" s="1"/>
  <c r="BV421" i="2" s="1"/>
  <c r="BX421" i="2" s="1"/>
  <c r="BY421" i="2" s="1"/>
  <c r="CA421" i="2" s="1"/>
  <c r="CB421" i="2" s="1"/>
  <c r="CD421" i="2" s="1"/>
  <c r="CE421" i="2" s="1"/>
  <c r="CG421" i="2" s="1"/>
  <c r="CH421" i="2" s="1"/>
  <c r="CJ421" i="2" s="1"/>
  <c r="CK421" i="2" s="1"/>
  <c r="CM421" i="2" s="1"/>
  <c r="CN421" i="2" s="1"/>
  <c r="CP421" i="2" s="1"/>
  <c r="CQ421" i="2" s="1"/>
  <c r="CS421" i="2" s="1"/>
  <c r="CT421" i="2" s="1"/>
  <c r="CV421" i="2" s="1"/>
  <c r="CW421" i="2" s="1"/>
  <c r="CY421" i="2" s="1"/>
  <c r="CZ421" i="2" s="1"/>
  <c r="DB421" i="2" s="1"/>
  <c r="DC421" i="2" s="1"/>
  <c r="DE421" i="2" s="1"/>
  <c r="DF421" i="2" s="1"/>
  <c r="DH421" i="2" s="1"/>
  <c r="DI421" i="2" s="1"/>
  <c r="DK421" i="2" s="1"/>
  <c r="DL421" i="2" s="1"/>
  <c r="DN421" i="2" s="1"/>
  <c r="DO421" i="2" s="1"/>
  <c r="DQ421" i="2" s="1"/>
  <c r="DR421" i="2" s="1"/>
  <c r="DT421" i="2" s="1"/>
  <c r="DU421" i="2" s="1"/>
  <c r="DW421" i="2" s="1"/>
  <c r="DX421" i="2" s="1"/>
  <c r="DZ421" i="2" s="1"/>
  <c r="EA421" i="2" s="1"/>
  <c r="EC421" i="2" s="1"/>
  <c r="ED421" i="2" s="1"/>
  <c r="EF421" i="2" s="1"/>
  <c r="EG421" i="2" s="1"/>
  <c r="EI421" i="2" s="1"/>
  <c r="EJ421" i="2" s="1"/>
  <c r="EL421" i="2" s="1"/>
  <c r="EM421" i="2" s="1"/>
  <c r="EO421" i="2" s="1"/>
  <c r="EP421" i="2" s="1"/>
  <c r="ER421" i="2" s="1"/>
  <c r="ES421" i="2" s="1"/>
  <c r="EU421" i="2" s="1"/>
  <c r="EV421" i="2" s="1"/>
  <c r="EX421" i="2" s="1"/>
  <c r="EY421" i="2" s="1"/>
  <c r="FA421" i="2" s="1"/>
  <c r="G426" i="2"/>
  <c r="H426" i="2" s="1"/>
  <c r="J426" i="2" s="1"/>
  <c r="K426" i="2" s="1"/>
  <c r="M426" i="2" s="1"/>
  <c r="N426" i="2" s="1"/>
  <c r="P426" i="2" s="1"/>
  <c r="Q426" i="2" s="1"/>
  <c r="S426" i="2" s="1"/>
  <c r="T426" i="2" s="1"/>
  <c r="V426" i="2" s="1"/>
  <c r="W426" i="2" s="1"/>
  <c r="Y426" i="2" s="1"/>
  <c r="Z426" i="2" s="1"/>
  <c r="AB426" i="2" s="1"/>
  <c r="AC426" i="2" s="1"/>
  <c r="AE426" i="2" s="1"/>
  <c r="AF426" i="2" s="1"/>
  <c r="AH426" i="2" s="1"/>
  <c r="AI426" i="2" s="1"/>
  <c r="AK426" i="2" s="1"/>
  <c r="AL426" i="2" s="1"/>
  <c r="AN426" i="2" s="1"/>
  <c r="AO426" i="2" s="1"/>
  <c r="AQ426" i="2" s="1"/>
  <c r="AR426" i="2" s="1"/>
  <c r="AT426" i="2" s="1"/>
  <c r="AU426" i="2" s="1"/>
  <c r="AW426" i="2" s="1"/>
  <c r="AX426" i="2" s="1"/>
  <c r="AZ426" i="2" s="1"/>
  <c r="BA426" i="2" s="1"/>
  <c r="BC426" i="2" s="1"/>
  <c r="BD426" i="2" s="1"/>
  <c r="BF426" i="2" s="1"/>
  <c r="BG426" i="2" s="1"/>
  <c r="BI426" i="2" s="1"/>
  <c r="BJ426" i="2" s="1"/>
  <c r="BL426" i="2" s="1"/>
  <c r="BM426" i="2" s="1"/>
  <c r="BO426" i="2" s="1"/>
  <c r="BP426" i="2" s="1"/>
  <c r="BR426" i="2" s="1"/>
  <c r="BS426" i="2" s="1"/>
  <c r="BU426" i="2" s="1"/>
  <c r="BV426" i="2" s="1"/>
  <c r="BX426" i="2" s="1"/>
  <c r="BY426" i="2" s="1"/>
  <c r="CA426" i="2" s="1"/>
  <c r="CB426" i="2" s="1"/>
  <c r="CD426" i="2" s="1"/>
  <c r="CE426" i="2" s="1"/>
  <c r="CG426" i="2" s="1"/>
  <c r="CH426" i="2" s="1"/>
  <c r="CJ426" i="2" s="1"/>
  <c r="CK426" i="2" s="1"/>
  <c r="CM426" i="2" s="1"/>
  <c r="CN426" i="2" s="1"/>
  <c r="CP426" i="2" s="1"/>
  <c r="CQ426" i="2" s="1"/>
  <c r="CS426" i="2" s="1"/>
  <c r="CT426" i="2" s="1"/>
  <c r="CV426" i="2" s="1"/>
  <c r="CW426" i="2" s="1"/>
  <c r="CY426" i="2" s="1"/>
  <c r="CZ426" i="2" s="1"/>
  <c r="DB426" i="2" s="1"/>
  <c r="DC426" i="2" s="1"/>
  <c r="DE426" i="2" s="1"/>
  <c r="DF426" i="2" s="1"/>
  <c r="DH426" i="2" s="1"/>
  <c r="DI426" i="2" s="1"/>
  <c r="DK426" i="2" s="1"/>
  <c r="DL426" i="2" s="1"/>
  <c r="DN426" i="2" s="1"/>
  <c r="DO426" i="2" s="1"/>
  <c r="DQ426" i="2" s="1"/>
  <c r="DR426" i="2" s="1"/>
  <c r="DT426" i="2" s="1"/>
  <c r="DU426" i="2" s="1"/>
  <c r="DW426" i="2" s="1"/>
  <c r="DX426" i="2" s="1"/>
  <c r="DZ426" i="2" s="1"/>
  <c r="EA426" i="2" s="1"/>
  <c r="EC426" i="2" s="1"/>
  <c r="ED426" i="2" s="1"/>
  <c r="EF426" i="2" s="1"/>
  <c r="EG426" i="2" s="1"/>
  <c r="EI426" i="2" s="1"/>
  <c r="EJ426" i="2" s="1"/>
  <c r="EL426" i="2" s="1"/>
  <c r="EM426" i="2" s="1"/>
  <c r="EO426" i="2" s="1"/>
  <c r="EP426" i="2" s="1"/>
  <c r="ER426" i="2" s="1"/>
  <c r="ES426" i="2" s="1"/>
  <c r="EU426" i="2" s="1"/>
  <c r="EV426" i="2" s="1"/>
  <c r="EX426" i="2" s="1"/>
  <c r="EY426" i="2" s="1"/>
  <c r="FA426" i="2" s="1"/>
  <c r="G431" i="2"/>
  <c r="H431" i="2" s="1"/>
  <c r="J431" i="2" s="1"/>
  <c r="K431" i="2" s="1"/>
  <c r="M431" i="2" s="1"/>
  <c r="N431" i="2" s="1"/>
  <c r="P431" i="2" s="1"/>
  <c r="Q431" i="2" s="1"/>
  <c r="S431" i="2" s="1"/>
  <c r="T431" i="2" s="1"/>
  <c r="V431" i="2" s="1"/>
  <c r="W431" i="2" s="1"/>
  <c r="Y431" i="2" s="1"/>
  <c r="Z431" i="2" s="1"/>
  <c r="AB431" i="2" s="1"/>
  <c r="AC431" i="2" s="1"/>
  <c r="AE431" i="2" s="1"/>
  <c r="AF431" i="2" s="1"/>
  <c r="AH431" i="2" s="1"/>
  <c r="AI431" i="2" s="1"/>
  <c r="AK431" i="2" s="1"/>
  <c r="AL431" i="2" s="1"/>
  <c r="AN431" i="2" s="1"/>
  <c r="AO431" i="2" s="1"/>
  <c r="AQ431" i="2" s="1"/>
  <c r="AR431" i="2" s="1"/>
  <c r="AT431" i="2" s="1"/>
  <c r="AU431" i="2" s="1"/>
  <c r="AW431" i="2" s="1"/>
  <c r="AX431" i="2" s="1"/>
  <c r="AZ431" i="2" s="1"/>
  <c r="BA431" i="2" s="1"/>
  <c r="BC431" i="2" s="1"/>
  <c r="BD431" i="2" s="1"/>
  <c r="BF431" i="2" s="1"/>
  <c r="BG431" i="2" s="1"/>
  <c r="BI431" i="2" s="1"/>
  <c r="BJ431" i="2" s="1"/>
  <c r="BL431" i="2" s="1"/>
  <c r="BM431" i="2" s="1"/>
  <c r="BO431" i="2" s="1"/>
  <c r="BP431" i="2" s="1"/>
  <c r="BR431" i="2" s="1"/>
  <c r="BS431" i="2" s="1"/>
  <c r="BU431" i="2" s="1"/>
  <c r="BV431" i="2" s="1"/>
  <c r="BX431" i="2" s="1"/>
  <c r="BY431" i="2" s="1"/>
  <c r="CA431" i="2" s="1"/>
  <c r="CB431" i="2" s="1"/>
  <c r="CD431" i="2" s="1"/>
  <c r="CE431" i="2" s="1"/>
  <c r="CG431" i="2" s="1"/>
  <c r="CH431" i="2" s="1"/>
  <c r="CJ431" i="2" s="1"/>
  <c r="CK431" i="2" s="1"/>
  <c r="CM431" i="2" s="1"/>
  <c r="CN431" i="2" s="1"/>
  <c r="CP431" i="2" s="1"/>
  <c r="CQ431" i="2" s="1"/>
  <c r="CS431" i="2" s="1"/>
  <c r="CT431" i="2" s="1"/>
  <c r="CV431" i="2" s="1"/>
  <c r="CW431" i="2" s="1"/>
  <c r="CY431" i="2" s="1"/>
  <c r="CZ431" i="2" s="1"/>
  <c r="DB431" i="2" s="1"/>
  <c r="DC431" i="2" s="1"/>
  <c r="DE431" i="2" s="1"/>
  <c r="DF431" i="2" s="1"/>
  <c r="DH431" i="2" s="1"/>
  <c r="DI431" i="2" s="1"/>
  <c r="DK431" i="2" s="1"/>
  <c r="DL431" i="2" s="1"/>
  <c r="DN431" i="2" s="1"/>
  <c r="DO431" i="2" s="1"/>
  <c r="DQ431" i="2" s="1"/>
  <c r="DR431" i="2" s="1"/>
  <c r="DT431" i="2" s="1"/>
  <c r="DU431" i="2" s="1"/>
  <c r="DW431" i="2" s="1"/>
  <c r="DX431" i="2" s="1"/>
  <c r="DZ431" i="2" s="1"/>
  <c r="EA431" i="2" s="1"/>
  <c r="EC431" i="2" s="1"/>
  <c r="ED431" i="2" s="1"/>
  <c r="EF431" i="2" s="1"/>
  <c r="EG431" i="2" s="1"/>
  <c r="EI431" i="2" s="1"/>
  <c r="EJ431" i="2" s="1"/>
  <c r="EL431" i="2" s="1"/>
  <c r="EM431" i="2" s="1"/>
  <c r="EO431" i="2" s="1"/>
  <c r="EP431" i="2" s="1"/>
  <c r="ER431" i="2" s="1"/>
  <c r="ES431" i="2" s="1"/>
  <c r="EU431" i="2" s="1"/>
  <c r="EV431" i="2" s="1"/>
  <c r="EX431" i="2" s="1"/>
  <c r="EY431" i="2" s="1"/>
  <c r="FA431" i="2" s="1"/>
  <c r="G436" i="2"/>
  <c r="H436" i="2" s="1"/>
  <c r="J436" i="2" s="1"/>
  <c r="K436" i="2" s="1"/>
  <c r="M436" i="2" s="1"/>
  <c r="N436" i="2" s="1"/>
  <c r="P436" i="2" s="1"/>
  <c r="Q436" i="2" s="1"/>
  <c r="S436" i="2" s="1"/>
  <c r="T436" i="2" s="1"/>
  <c r="V436" i="2" s="1"/>
  <c r="W436" i="2" s="1"/>
  <c r="Y436" i="2" s="1"/>
  <c r="Z436" i="2" s="1"/>
  <c r="AB436" i="2" s="1"/>
  <c r="AC436" i="2" s="1"/>
  <c r="AE436" i="2" s="1"/>
  <c r="AF436" i="2" s="1"/>
  <c r="AH436" i="2" s="1"/>
  <c r="AI436" i="2" s="1"/>
  <c r="AK436" i="2" s="1"/>
  <c r="AL436" i="2" s="1"/>
  <c r="AN436" i="2" s="1"/>
  <c r="AO436" i="2" s="1"/>
  <c r="AQ436" i="2" s="1"/>
  <c r="AR436" i="2" s="1"/>
  <c r="AT436" i="2" s="1"/>
  <c r="AU436" i="2" s="1"/>
  <c r="AW436" i="2" s="1"/>
  <c r="AX436" i="2" s="1"/>
  <c r="AZ436" i="2" s="1"/>
  <c r="BA436" i="2" s="1"/>
  <c r="BC436" i="2" s="1"/>
  <c r="BD436" i="2" s="1"/>
  <c r="BF436" i="2" s="1"/>
  <c r="BG436" i="2" s="1"/>
  <c r="BI436" i="2" s="1"/>
  <c r="BJ436" i="2" s="1"/>
  <c r="BL436" i="2" s="1"/>
  <c r="BM436" i="2" s="1"/>
  <c r="BO436" i="2" s="1"/>
  <c r="BP436" i="2" s="1"/>
  <c r="BR436" i="2" s="1"/>
  <c r="BS436" i="2" s="1"/>
  <c r="BU436" i="2" s="1"/>
  <c r="BV436" i="2" s="1"/>
  <c r="BX436" i="2" s="1"/>
  <c r="BY436" i="2" s="1"/>
  <c r="CA436" i="2" s="1"/>
  <c r="CB436" i="2" s="1"/>
  <c r="CD436" i="2" s="1"/>
  <c r="CE436" i="2" s="1"/>
  <c r="CG436" i="2" s="1"/>
  <c r="CH436" i="2" s="1"/>
  <c r="CJ436" i="2" s="1"/>
  <c r="CK436" i="2" s="1"/>
  <c r="CM436" i="2" s="1"/>
  <c r="CN436" i="2" s="1"/>
  <c r="CP436" i="2" s="1"/>
  <c r="CQ436" i="2" s="1"/>
  <c r="CS436" i="2" s="1"/>
  <c r="CT436" i="2" s="1"/>
  <c r="CV436" i="2" s="1"/>
  <c r="CW436" i="2" s="1"/>
  <c r="CY436" i="2" s="1"/>
  <c r="CZ436" i="2" s="1"/>
  <c r="DB436" i="2" s="1"/>
  <c r="DC436" i="2" s="1"/>
  <c r="DE436" i="2" s="1"/>
  <c r="DF436" i="2" s="1"/>
  <c r="DH436" i="2" s="1"/>
  <c r="DI436" i="2" s="1"/>
  <c r="DK436" i="2" s="1"/>
  <c r="DL436" i="2" s="1"/>
  <c r="DN436" i="2" s="1"/>
  <c r="DO436" i="2" s="1"/>
  <c r="DQ436" i="2" s="1"/>
  <c r="DR436" i="2" s="1"/>
  <c r="DT436" i="2" s="1"/>
  <c r="DU436" i="2" s="1"/>
  <c r="DW436" i="2" s="1"/>
  <c r="DX436" i="2" s="1"/>
  <c r="DZ436" i="2" s="1"/>
  <c r="EA436" i="2" s="1"/>
  <c r="EC436" i="2" s="1"/>
  <c r="ED436" i="2" s="1"/>
  <c r="EF436" i="2" s="1"/>
  <c r="EG436" i="2" s="1"/>
  <c r="EI436" i="2" s="1"/>
  <c r="EJ436" i="2" s="1"/>
  <c r="EL436" i="2" s="1"/>
  <c r="EM436" i="2" s="1"/>
  <c r="EO436" i="2" s="1"/>
  <c r="EP436" i="2" s="1"/>
  <c r="ER436" i="2" s="1"/>
  <c r="ES436" i="2" s="1"/>
  <c r="EU436" i="2" s="1"/>
  <c r="EV436" i="2" s="1"/>
  <c r="EX436" i="2" s="1"/>
  <c r="EY436" i="2" s="1"/>
  <c r="FA436" i="2" s="1"/>
  <c r="G441" i="2"/>
  <c r="H441" i="2" s="1"/>
  <c r="J441" i="2" s="1"/>
  <c r="K441" i="2" s="1"/>
  <c r="M441" i="2" s="1"/>
  <c r="N441" i="2" s="1"/>
  <c r="P441" i="2" s="1"/>
  <c r="Q441" i="2" s="1"/>
  <c r="S441" i="2" s="1"/>
  <c r="T441" i="2" s="1"/>
  <c r="V441" i="2" s="1"/>
  <c r="W441" i="2" s="1"/>
  <c r="Y441" i="2" s="1"/>
  <c r="Z441" i="2" s="1"/>
  <c r="AB441" i="2" s="1"/>
  <c r="AC441" i="2" s="1"/>
  <c r="AE441" i="2" s="1"/>
  <c r="AF441" i="2" s="1"/>
  <c r="G446" i="2"/>
  <c r="H446" i="2" s="1"/>
  <c r="J446" i="2" s="1"/>
  <c r="K446" i="2" s="1"/>
  <c r="M446" i="2" s="1"/>
  <c r="N446" i="2" s="1"/>
  <c r="P446" i="2" s="1"/>
  <c r="Q446" i="2" s="1"/>
  <c r="S446" i="2" s="1"/>
  <c r="T446" i="2" s="1"/>
  <c r="V446" i="2" s="1"/>
  <c r="W446" i="2" s="1"/>
  <c r="Y446" i="2" s="1"/>
  <c r="Z446" i="2" s="1"/>
  <c r="AB446" i="2" s="1"/>
  <c r="AC446" i="2" s="1"/>
  <c r="AE446" i="2" s="1"/>
  <c r="AF446" i="2" s="1"/>
  <c r="AH446" i="2" s="1"/>
  <c r="AI446" i="2" s="1"/>
  <c r="AK446" i="2" s="1"/>
  <c r="AL446" i="2" s="1"/>
  <c r="AN446" i="2" s="1"/>
  <c r="AO446" i="2" s="1"/>
  <c r="AQ446" i="2" s="1"/>
  <c r="AR446" i="2" s="1"/>
  <c r="AT446" i="2" s="1"/>
  <c r="AU446" i="2" s="1"/>
  <c r="AW446" i="2" s="1"/>
  <c r="AX446" i="2" s="1"/>
  <c r="AZ446" i="2" s="1"/>
  <c r="BA446" i="2" s="1"/>
  <c r="BC446" i="2" s="1"/>
  <c r="BD446" i="2" s="1"/>
  <c r="BF446" i="2" s="1"/>
  <c r="BG446" i="2" s="1"/>
  <c r="BI446" i="2" s="1"/>
  <c r="BJ446" i="2" s="1"/>
  <c r="BL446" i="2" s="1"/>
  <c r="BM446" i="2" s="1"/>
  <c r="BO446" i="2" s="1"/>
  <c r="BP446" i="2" s="1"/>
  <c r="BR446" i="2" s="1"/>
  <c r="BS446" i="2" s="1"/>
  <c r="BU446" i="2" s="1"/>
  <c r="BV446" i="2" s="1"/>
  <c r="BX446" i="2" s="1"/>
  <c r="BY446" i="2" s="1"/>
  <c r="CA446" i="2" s="1"/>
  <c r="CB446" i="2" s="1"/>
  <c r="CD446" i="2" s="1"/>
  <c r="CE446" i="2" s="1"/>
  <c r="CG446" i="2" s="1"/>
  <c r="CH446" i="2" s="1"/>
  <c r="CJ446" i="2" s="1"/>
  <c r="CK446" i="2" s="1"/>
  <c r="CM446" i="2" s="1"/>
  <c r="CN446" i="2" s="1"/>
  <c r="CP446" i="2" s="1"/>
  <c r="CQ446" i="2" s="1"/>
  <c r="CS446" i="2" s="1"/>
  <c r="CT446" i="2" s="1"/>
  <c r="CV446" i="2" s="1"/>
  <c r="CW446" i="2" s="1"/>
  <c r="CY446" i="2" s="1"/>
  <c r="CZ446" i="2" s="1"/>
  <c r="DB446" i="2" s="1"/>
  <c r="DC446" i="2" s="1"/>
  <c r="DE446" i="2" s="1"/>
  <c r="DF446" i="2" s="1"/>
  <c r="DH446" i="2" s="1"/>
  <c r="DI446" i="2" s="1"/>
  <c r="DK446" i="2" s="1"/>
  <c r="DL446" i="2" s="1"/>
  <c r="DN446" i="2" s="1"/>
  <c r="DO446" i="2" s="1"/>
  <c r="DQ446" i="2" s="1"/>
  <c r="DR446" i="2" s="1"/>
  <c r="DT446" i="2" s="1"/>
  <c r="DU446" i="2" s="1"/>
  <c r="DW446" i="2" s="1"/>
  <c r="DX446" i="2" s="1"/>
  <c r="DZ446" i="2" s="1"/>
  <c r="EA446" i="2" s="1"/>
  <c r="EC446" i="2" s="1"/>
  <c r="ED446" i="2" s="1"/>
  <c r="EF446" i="2" s="1"/>
  <c r="EG446" i="2" s="1"/>
  <c r="EI446" i="2" s="1"/>
  <c r="EJ446" i="2" s="1"/>
  <c r="EL446" i="2" s="1"/>
  <c r="EM446" i="2" s="1"/>
  <c r="EO446" i="2" s="1"/>
  <c r="EP446" i="2" s="1"/>
  <c r="ER446" i="2" s="1"/>
  <c r="ES446" i="2" s="1"/>
  <c r="EU446" i="2" s="1"/>
  <c r="EV446" i="2" s="1"/>
  <c r="EX446" i="2" s="1"/>
  <c r="EY446" i="2" s="1"/>
  <c r="FA446" i="2" s="1"/>
  <c r="G451" i="2"/>
  <c r="H451" i="2" s="1"/>
  <c r="J451" i="2" s="1"/>
  <c r="K451" i="2" s="1"/>
  <c r="M451" i="2" s="1"/>
  <c r="N451" i="2" s="1"/>
  <c r="P451" i="2" s="1"/>
  <c r="Q451" i="2" s="1"/>
  <c r="S451" i="2" s="1"/>
  <c r="T451" i="2" s="1"/>
  <c r="V451" i="2" s="1"/>
  <c r="W451" i="2" s="1"/>
  <c r="Y451" i="2" s="1"/>
  <c r="Z451" i="2" s="1"/>
  <c r="AB451" i="2" s="1"/>
  <c r="AC451" i="2" s="1"/>
  <c r="AE451" i="2" s="1"/>
  <c r="AF451" i="2" s="1"/>
  <c r="AH451" i="2" s="1"/>
  <c r="AI451" i="2" s="1"/>
  <c r="AK451" i="2" s="1"/>
  <c r="AL451" i="2" s="1"/>
  <c r="AN451" i="2" s="1"/>
  <c r="AO451" i="2" s="1"/>
  <c r="AQ451" i="2" s="1"/>
  <c r="AR451" i="2" s="1"/>
  <c r="AT451" i="2" s="1"/>
  <c r="AU451" i="2" s="1"/>
  <c r="AW451" i="2" s="1"/>
  <c r="AX451" i="2" s="1"/>
  <c r="AZ451" i="2" s="1"/>
  <c r="BA451" i="2" s="1"/>
  <c r="BC451" i="2" s="1"/>
  <c r="BD451" i="2" s="1"/>
  <c r="BF451" i="2" s="1"/>
  <c r="BG451" i="2" s="1"/>
  <c r="BI451" i="2" s="1"/>
  <c r="BJ451" i="2" s="1"/>
  <c r="BL451" i="2" s="1"/>
  <c r="BM451" i="2" s="1"/>
  <c r="BO451" i="2" s="1"/>
  <c r="BP451" i="2" s="1"/>
  <c r="BR451" i="2" s="1"/>
  <c r="BS451" i="2" s="1"/>
  <c r="BU451" i="2" s="1"/>
  <c r="BV451" i="2" s="1"/>
  <c r="BX451" i="2" s="1"/>
  <c r="BY451" i="2" s="1"/>
  <c r="CA451" i="2" s="1"/>
  <c r="CB451" i="2" s="1"/>
  <c r="CD451" i="2" s="1"/>
  <c r="CE451" i="2" s="1"/>
  <c r="CG451" i="2" s="1"/>
  <c r="CH451" i="2" s="1"/>
  <c r="CJ451" i="2" s="1"/>
  <c r="CK451" i="2" s="1"/>
  <c r="CM451" i="2" s="1"/>
  <c r="CN451" i="2" s="1"/>
  <c r="CP451" i="2" s="1"/>
  <c r="CQ451" i="2" s="1"/>
  <c r="CS451" i="2" s="1"/>
  <c r="CT451" i="2" s="1"/>
  <c r="CV451" i="2" s="1"/>
  <c r="CW451" i="2" s="1"/>
  <c r="CY451" i="2" s="1"/>
  <c r="CZ451" i="2" s="1"/>
  <c r="DB451" i="2" s="1"/>
  <c r="DC451" i="2" s="1"/>
  <c r="DE451" i="2" s="1"/>
  <c r="DF451" i="2" s="1"/>
  <c r="DH451" i="2" s="1"/>
  <c r="DI451" i="2" s="1"/>
  <c r="DK451" i="2" s="1"/>
  <c r="DL451" i="2" s="1"/>
  <c r="DN451" i="2" s="1"/>
  <c r="DO451" i="2" s="1"/>
  <c r="DQ451" i="2" s="1"/>
  <c r="DR451" i="2" s="1"/>
  <c r="DT451" i="2" s="1"/>
  <c r="DU451" i="2" s="1"/>
  <c r="DW451" i="2" s="1"/>
  <c r="DX451" i="2" s="1"/>
  <c r="DZ451" i="2" s="1"/>
  <c r="EA451" i="2" s="1"/>
  <c r="EC451" i="2" s="1"/>
  <c r="ED451" i="2" s="1"/>
  <c r="EF451" i="2" s="1"/>
  <c r="EG451" i="2" s="1"/>
  <c r="EI451" i="2" s="1"/>
  <c r="EJ451" i="2" s="1"/>
  <c r="EL451" i="2" s="1"/>
  <c r="EM451" i="2" s="1"/>
  <c r="EO451" i="2" s="1"/>
  <c r="EP451" i="2" s="1"/>
  <c r="ER451" i="2" s="1"/>
  <c r="ES451" i="2" s="1"/>
  <c r="EU451" i="2" s="1"/>
  <c r="EV451" i="2" s="1"/>
  <c r="EX451" i="2" s="1"/>
  <c r="EY451" i="2" s="1"/>
  <c r="FA451" i="2" s="1"/>
  <c r="CQ385" i="2"/>
  <c r="CT385" i="2"/>
  <c r="CU374" i="2" s="1"/>
  <c r="CU385" i="2" s="1"/>
  <c r="CU384" i="2" s="1"/>
  <c r="CM374" i="2"/>
  <c r="CM377" i="2"/>
  <c r="CM378" i="2"/>
  <c r="CM379" i="2"/>
  <c r="CM381" i="2"/>
  <c r="CM382" i="2"/>
  <c r="CP377" i="2"/>
  <c r="CP378" i="2"/>
  <c r="CP379" i="2"/>
  <c r="CP380" i="2"/>
  <c r="CP381" i="2"/>
  <c r="CP382" i="2"/>
  <c r="CP383" i="2"/>
  <c r="CS377" i="2"/>
  <c r="CS378" i="2"/>
  <c r="CS379" i="2"/>
  <c r="CS380" i="2"/>
  <c r="CS381" i="2"/>
  <c r="CS382" i="2"/>
  <c r="CS383" i="2"/>
  <c r="CV377" i="2"/>
  <c r="CV378" i="2"/>
  <c r="CV379" i="2"/>
  <c r="CV380" i="2"/>
  <c r="CV381" i="2"/>
  <c r="CV382" i="2"/>
  <c r="CV383" i="2"/>
  <c r="CY413" i="2"/>
  <c r="CX413" i="2" s="1"/>
  <c r="CZ380" i="2"/>
  <c r="CZ385" i="2" s="1"/>
  <c r="CZ566" i="2" s="1"/>
  <c r="DB413" i="2"/>
  <c r="DB529" i="2" s="1"/>
  <c r="CY377" i="2"/>
  <c r="CY378" i="2"/>
  <c r="CY379" i="2"/>
  <c r="CY380" i="2"/>
  <c r="CY381" i="2"/>
  <c r="CY382" i="2"/>
  <c r="CY383" i="2"/>
  <c r="DB377" i="2"/>
  <c r="DB378" i="2"/>
  <c r="DB379" i="2"/>
  <c r="DB381" i="2"/>
  <c r="DB382" i="2"/>
  <c r="DB383" i="2"/>
  <c r="DC380" i="2"/>
  <c r="DD380" i="2" s="1"/>
  <c r="DD409" i="2"/>
  <c r="DD397" i="2" s="1"/>
  <c r="DE377" i="2"/>
  <c r="DE378" i="2"/>
  <c r="DE379" i="2"/>
  <c r="DE381" i="2"/>
  <c r="DE382" i="2"/>
  <c r="DE383" i="2"/>
  <c r="DF377" i="2"/>
  <c r="DF397" i="2"/>
  <c r="DG409" i="2"/>
  <c r="DG397" i="2" s="1"/>
  <c r="DH397" i="2" s="1"/>
  <c r="DH378" i="2"/>
  <c r="DH379" i="2"/>
  <c r="DH380" i="2"/>
  <c r="DH381" i="2"/>
  <c r="DH382" i="2"/>
  <c r="DH383" i="2"/>
  <c r="DI397" i="2"/>
  <c r="DJ397" i="2"/>
  <c r="DK397" i="2" s="1"/>
  <c r="DK377" i="2"/>
  <c r="DK378" i="2"/>
  <c r="DK379" i="2"/>
  <c r="DK380" i="2"/>
  <c r="DK381" i="2"/>
  <c r="DK382" i="2"/>
  <c r="DL397" i="2"/>
  <c r="DQ400" i="2"/>
  <c r="DQ20" i="2" s="1"/>
  <c r="CQ80" i="2"/>
  <c r="CQ618" i="2" s="1"/>
  <c r="CQ82" i="2"/>
  <c r="CQ83" i="2"/>
  <c r="CQ396" i="2"/>
  <c r="CS82" i="2"/>
  <c r="CS83" i="2"/>
  <c r="CT80" i="2"/>
  <c r="CT82" i="2"/>
  <c r="CU82" i="2" s="1"/>
  <c r="CT83" i="2"/>
  <c r="CT396" i="2"/>
  <c r="CV80" i="2"/>
  <c r="CV83" i="2"/>
  <c r="CW80" i="2"/>
  <c r="CW82" i="2"/>
  <c r="CX82" i="2" s="1"/>
  <c r="CW83" i="2"/>
  <c r="CX223" i="3"/>
  <c r="CY223" i="3" s="1"/>
  <c r="CY80" i="2"/>
  <c r="CY146" i="3" s="1"/>
  <c r="CY83" i="2"/>
  <c r="DB147" i="3"/>
  <c r="DA153" i="3" s="1"/>
  <c r="DB83" i="2"/>
  <c r="DC147" i="3"/>
  <c r="DC80" i="2" s="1"/>
  <c r="DC463" i="2" s="1"/>
  <c r="DC82" i="2"/>
  <c r="DC83" i="2"/>
  <c r="DE147" i="3"/>
  <c r="DD153" i="3" s="1"/>
  <c r="DE82" i="2"/>
  <c r="DE83" i="2"/>
  <c r="DP398" i="2"/>
  <c r="DP400" i="2" s="1"/>
  <c r="DN377" i="2"/>
  <c r="DN378" i="2"/>
  <c r="DN379" i="2"/>
  <c r="DN380" i="2"/>
  <c r="DN381" i="2"/>
  <c r="DN382" i="2"/>
  <c r="DQ377" i="2"/>
  <c r="DQ378" i="2"/>
  <c r="DQ379" i="2"/>
  <c r="DQ380" i="2"/>
  <c r="DQ381" i="2"/>
  <c r="DQ382" i="2"/>
  <c r="DP374" i="2"/>
  <c r="DP383" i="2" s="1"/>
  <c r="DG22" i="2"/>
  <c r="CS313" i="2"/>
  <c r="CS254" i="2"/>
  <c r="CR254" i="2" s="1"/>
  <c r="CQ256" i="2"/>
  <c r="CS257" i="2"/>
  <c r="CR257" i="2" s="1"/>
  <c r="BC413" i="2"/>
  <c r="BC529" i="2" s="1"/>
  <c r="CV312" i="2"/>
  <c r="CV5" i="2"/>
  <c r="CV248" i="2" s="1"/>
  <c r="CV247" i="2" s="1"/>
  <c r="U49" i="9" s="1"/>
  <c r="CY312" i="2"/>
  <c r="CY254" i="2"/>
  <c r="CX254" i="2" s="1"/>
  <c r="CY257" i="2"/>
  <c r="CX257" i="2" s="1"/>
  <c r="DB312" i="2"/>
  <c r="DB320" i="2" s="1"/>
  <c r="DB625" i="2" s="1"/>
  <c r="DB397" i="2"/>
  <c r="DE312" i="2"/>
  <c r="DE397" i="2"/>
  <c r="DH313" i="2"/>
  <c r="DH312" i="2" s="1"/>
  <c r="DH320" i="2" s="1"/>
  <c r="DI312" i="2"/>
  <c r="DI320" i="2" s="1"/>
  <c r="DI625" i="2" s="1"/>
  <c r="DL312" i="2"/>
  <c r="DL320" i="2" s="1"/>
  <c r="DL256" i="2"/>
  <c r="DN256" i="2" s="1"/>
  <c r="DO256" i="2" s="1"/>
  <c r="DO312" i="2"/>
  <c r="DO320" i="2" s="1"/>
  <c r="DO625" i="2" s="1"/>
  <c r="DR312" i="2"/>
  <c r="DR320" i="2" s="1"/>
  <c r="DR625" i="2" s="1"/>
  <c r="DA198" i="4"/>
  <c r="DA291" i="4"/>
  <c r="DA18" i="4"/>
  <c r="DA48" i="4" s="1"/>
  <c r="DA69" i="4" s="1"/>
  <c r="CQ198" i="4"/>
  <c r="CQ291" i="4"/>
  <c r="CS544" i="4"/>
  <c r="CR545" i="4" s="1"/>
  <c r="CQ543" i="4"/>
  <c r="CS549" i="4"/>
  <c r="CQ548" i="4"/>
  <c r="CR15" i="4"/>
  <c r="CR291" i="4"/>
  <c r="CO548" i="4"/>
  <c r="CR548" i="4" s="1"/>
  <c r="CU548" i="4" s="1"/>
  <c r="CT75" i="4"/>
  <c r="CT198" i="4" s="1"/>
  <c r="CT291" i="4"/>
  <c r="CT540" i="4"/>
  <c r="CV540" i="4" s="1"/>
  <c r="CT545" i="4"/>
  <c r="CT550" i="4"/>
  <c r="CU198" i="4"/>
  <c r="CU291" i="4"/>
  <c r="CU545" i="4"/>
  <c r="CW198" i="4"/>
  <c r="CW291" i="4"/>
  <c r="CW372" i="4"/>
  <c r="CY537" i="4"/>
  <c r="CX540" i="4" s="1"/>
  <c r="CY542" i="4"/>
  <c r="CW545" i="4" s="1"/>
  <c r="CX198" i="4"/>
  <c r="CX291" i="4"/>
  <c r="CX543" i="4"/>
  <c r="DC198" i="4"/>
  <c r="DC291" i="4"/>
  <c r="DC357" i="4"/>
  <c r="DC540" i="4"/>
  <c r="DC545" i="4"/>
  <c r="DC550" i="4"/>
  <c r="DD198" i="4"/>
  <c r="DD291" i="4"/>
  <c r="DD111" i="4"/>
  <c r="DE111" i="4" s="1"/>
  <c r="DD540" i="4"/>
  <c r="DD545" i="4"/>
  <c r="DD548" i="4"/>
  <c r="DD550" i="4" s="1"/>
  <c r="DH181" i="2"/>
  <c r="Y24" i="9" s="1"/>
  <c r="DH232" i="2"/>
  <c r="DH231" i="2" s="1"/>
  <c r="Y45" i="9" s="1"/>
  <c r="DE231" i="2"/>
  <c r="DH236" i="2"/>
  <c r="DE236" i="2"/>
  <c r="X46" i="9" s="1"/>
  <c r="BJ268" i="2"/>
  <c r="BL268" i="2" s="1"/>
  <c r="BM268" i="2" s="1"/>
  <c r="BO268" i="2" s="1"/>
  <c r="BP268" i="2" s="1"/>
  <c r="BR268" i="2" s="1"/>
  <c r="BS268" i="2" s="1"/>
  <c r="BU268" i="2" s="1"/>
  <c r="BV268" i="2" s="1"/>
  <c r="BX268" i="2" s="1"/>
  <c r="BY268" i="2" s="1"/>
  <c r="CA268" i="2" s="1"/>
  <c r="CB268" i="2" s="1"/>
  <c r="CD268" i="2" s="1"/>
  <c r="CE268" i="2" s="1"/>
  <c r="CG268" i="2" s="1"/>
  <c r="CH268" i="2" s="1"/>
  <c r="CJ268" i="2" s="1"/>
  <c r="CK268" i="2" s="1"/>
  <c r="CM268" i="2" s="1"/>
  <c r="CN268" i="2" s="1"/>
  <c r="CP268" i="2" s="1"/>
  <c r="CO268" i="2" s="1"/>
  <c r="CQ181" i="2"/>
  <c r="T24" i="9" s="1"/>
  <c r="CV181" i="2"/>
  <c r="U24" i="9" s="1"/>
  <c r="CY181" i="2"/>
  <c r="V24" i="9" s="1"/>
  <c r="DB181" i="2"/>
  <c r="W24" i="9" s="1"/>
  <c r="DE181" i="2"/>
  <c r="X24" i="9" s="1"/>
  <c r="CQ183" i="2"/>
  <c r="DB183" i="2"/>
  <c r="W26" i="9" s="1"/>
  <c r="CQ231" i="2"/>
  <c r="T45" i="9" s="1"/>
  <c r="CP231" i="2"/>
  <c r="CO231" i="2" s="1"/>
  <c r="CQ236" i="2"/>
  <c r="T46" i="9" s="1"/>
  <c r="CP240" i="2"/>
  <c r="CP236" i="2" s="1"/>
  <c r="CV231" i="2"/>
  <c r="U45" i="9" s="1"/>
  <c r="CS231" i="2"/>
  <c r="CR231" i="2" s="1"/>
  <c r="CV240" i="2"/>
  <c r="CU240" i="2" s="1"/>
  <c r="CS240" i="2"/>
  <c r="CY231" i="2"/>
  <c r="V45" i="9" s="1"/>
  <c r="CY240" i="2"/>
  <c r="CY236" i="2" s="1"/>
  <c r="DB231" i="2"/>
  <c r="W45" i="9" s="1"/>
  <c r="DB236" i="2"/>
  <c r="DK231" i="2"/>
  <c r="Z45" i="9" s="1"/>
  <c r="DK236" i="2"/>
  <c r="DN231" i="2"/>
  <c r="DN236" i="2"/>
  <c r="DQ231" i="2"/>
  <c r="DP231" i="2" s="1"/>
  <c r="DQ236" i="2"/>
  <c r="DP236" i="2" s="1"/>
  <c r="DR231" i="2"/>
  <c r="DR236" i="2"/>
  <c r="CQ191" i="2"/>
  <c r="CV190" i="2"/>
  <c r="CV189" i="2" s="1"/>
  <c r="CV192" i="2"/>
  <c r="U32" i="9" s="1"/>
  <c r="CV194" i="2"/>
  <c r="CV195" i="2"/>
  <c r="CV200" i="2"/>
  <c r="CV201" i="2"/>
  <c r="CV197" i="2"/>
  <c r="CV198" i="2"/>
  <c r="CV203" i="2"/>
  <c r="CV204" i="2"/>
  <c r="CV207" i="2"/>
  <c r="CV208" i="2"/>
  <c r="CV210" i="2"/>
  <c r="CV211" i="2"/>
  <c r="CV201" i="3" s="1"/>
  <c r="CV199" i="3" s="1"/>
  <c r="CY190" i="2"/>
  <c r="CY189" i="2" s="1"/>
  <c r="DB190" i="2"/>
  <c r="DB191" i="2"/>
  <c r="DE190" i="2"/>
  <c r="DE189" i="2" s="1"/>
  <c r="X31" i="9" s="1"/>
  <c r="DG178" i="3"/>
  <c r="DH178" i="3" s="1"/>
  <c r="DN192" i="2"/>
  <c r="AA32" i="9" s="1"/>
  <c r="DN194" i="2"/>
  <c r="DN195" i="2"/>
  <c r="DN200" i="2"/>
  <c r="DN201" i="2"/>
  <c r="DN202" i="2"/>
  <c r="DN197" i="2"/>
  <c r="DN198" i="2"/>
  <c r="DN203" i="2"/>
  <c r="DN204" i="2"/>
  <c r="DN208" i="2"/>
  <c r="DN206" i="2" s="1"/>
  <c r="AA36" i="9" s="1"/>
  <c r="DN210" i="2"/>
  <c r="DM210" i="2" s="1"/>
  <c r="DM200" i="3" s="1"/>
  <c r="DN211" i="2"/>
  <c r="CQ192" i="2"/>
  <c r="CY192" i="2"/>
  <c r="V32" i="9" s="1"/>
  <c r="DE192" i="2"/>
  <c r="X32" i="9" s="1"/>
  <c r="DH192" i="2"/>
  <c r="Y32" i="9" s="1"/>
  <c r="DK192" i="2"/>
  <c r="DQ192" i="2"/>
  <c r="DQ39" i="2" s="1"/>
  <c r="DT192" i="2"/>
  <c r="DT39" i="2" s="1"/>
  <c r="DZ192" i="2"/>
  <c r="DZ39" i="2" s="1"/>
  <c r="CQ194" i="2"/>
  <c r="CQ195" i="2"/>
  <c r="CQ200" i="2"/>
  <c r="CQ201" i="2"/>
  <c r="CQ202" i="2"/>
  <c r="CY194" i="2"/>
  <c r="CY193" i="2" s="1"/>
  <c r="CY200" i="2"/>
  <c r="CY201" i="2"/>
  <c r="DB193" i="2"/>
  <c r="DB200" i="2"/>
  <c r="DB201" i="2"/>
  <c r="DE194" i="2"/>
  <c r="DE193" i="2" s="1"/>
  <c r="DE200" i="2"/>
  <c r="DE201" i="2"/>
  <c r="DH194" i="2"/>
  <c r="DH193" i="2" s="1"/>
  <c r="DH200" i="2"/>
  <c r="DH201" i="2"/>
  <c r="DK194" i="2"/>
  <c r="DK200" i="2"/>
  <c r="DK201" i="2"/>
  <c r="DQ194" i="2"/>
  <c r="DQ193" i="2" s="1"/>
  <c r="DQ200" i="2"/>
  <c r="DQ201" i="2"/>
  <c r="DQ202" i="2"/>
  <c r="DT194" i="2"/>
  <c r="DT200" i="2"/>
  <c r="DT201" i="2"/>
  <c r="DT202" i="2"/>
  <c r="DZ194" i="2"/>
  <c r="DZ200" i="2"/>
  <c r="DZ201" i="2"/>
  <c r="DZ202" i="2"/>
  <c r="DT82" i="2"/>
  <c r="DZ82" i="2"/>
  <c r="CQ197" i="2"/>
  <c r="CQ198" i="2"/>
  <c r="CQ203" i="2"/>
  <c r="CQ204" i="2"/>
  <c r="CY197" i="2"/>
  <c r="CY198" i="2"/>
  <c r="CY203" i="2"/>
  <c r="CY204" i="2"/>
  <c r="DB196" i="2"/>
  <c r="DB203" i="2"/>
  <c r="DB204" i="2"/>
  <c r="DE196" i="2"/>
  <c r="DE203" i="2"/>
  <c r="DE204" i="2"/>
  <c r="DH197" i="2"/>
  <c r="DH198" i="2"/>
  <c r="DH203" i="2"/>
  <c r="DK197" i="2"/>
  <c r="DK198" i="2"/>
  <c r="DK203" i="2"/>
  <c r="DQ197" i="2"/>
  <c r="DQ198" i="2"/>
  <c r="DQ203" i="2"/>
  <c r="DQ204" i="2"/>
  <c r="DT197" i="2"/>
  <c r="DT198" i="2"/>
  <c r="DT203" i="2"/>
  <c r="DT204" i="2"/>
  <c r="DZ197" i="2"/>
  <c r="DZ198" i="2"/>
  <c r="DZ203" i="2"/>
  <c r="DZ204" i="2"/>
  <c r="CS92" i="2"/>
  <c r="CS93" i="2"/>
  <c r="CV92" i="2"/>
  <c r="CV93" i="2"/>
  <c r="CY92" i="2"/>
  <c r="CY93" i="2"/>
  <c r="DB92" i="2"/>
  <c r="DB93" i="2"/>
  <c r="DE92" i="2"/>
  <c r="DE93" i="2"/>
  <c r="CQ207" i="2"/>
  <c r="CQ208" i="2"/>
  <c r="CY207" i="2"/>
  <c r="CX207" i="2" s="1"/>
  <c r="CX197" i="3" s="1"/>
  <c r="CY208" i="2"/>
  <c r="DB207" i="2"/>
  <c r="DB208" i="2"/>
  <c r="DE207" i="2"/>
  <c r="DE208" i="2"/>
  <c r="DH207" i="2"/>
  <c r="DH208" i="2"/>
  <c r="DK208" i="2"/>
  <c r="DK206" i="2" s="1"/>
  <c r="Z36" i="9" s="1"/>
  <c r="DQ208" i="2"/>
  <c r="DQ206" i="2" s="1"/>
  <c r="DT208" i="2"/>
  <c r="DZ208" i="2"/>
  <c r="CQ209" i="2"/>
  <c r="T37" i="9" s="1"/>
  <c r="CY209" i="2"/>
  <c r="CQ210" i="2"/>
  <c r="CQ211" i="2"/>
  <c r="CY210" i="2"/>
  <c r="V38" i="9" s="1"/>
  <c r="DB210" i="2"/>
  <c r="W38" i="9" s="1"/>
  <c r="DE210" i="2"/>
  <c r="DH210" i="2"/>
  <c r="Y38" i="9" s="1"/>
  <c r="DK216" i="2"/>
  <c r="Z41" i="9" s="1"/>
  <c r="CY235" i="2"/>
  <c r="CY241" i="2"/>
  <c r="CX241" i="2" s="1"/>
  <c r="CY246" i="2"/>
  <c r="CX246" i="2" s="1"/>
  <c r="CY248" i="2"/>
  <c r="CY247" i="2" s="1"/>
  <c r="V49" i="9" s="1"/>
  <c r="CY251" i="2"/>
  <c r="CX251" i="2" s="1"/>
  <c r="CY259" i="2"/>
  <c r="CX259" i="2" s="1"/>
  <c r="CY261" i="2"/>
  <c r="CX261" i="2" s="1"/>
  <c r="DB243" i="2"/>
  <c r="DB241" i="2" s="1"/>
  <c r="DA241" i="2" s="1"/>
  <c r="DB246" i="2"/>
  <c r="DA246" i="2" s="1"/>
  <c r="DB251" i="2"/>
  <c r="DA251" i="2" s="1"/>
  <c r="DB259" i="2"/>
  <c r="DA259" i="2" s="1"/>
  <c r="DB261" i="2"/>
  <c r="DA261" i="2" s="1"/>
  <c r="DE243" i="2"/>
  <c r="DE246" i="2"/>
  <c r="DD246" i="2" s="1"/>
  <c r="DE251" i="2"/>
  <c r="DD251" i="2" s="1"/>
  <c r="DE259" i="2"/>
  <c r="DD259" i="2" s="1"/>
  <c r="DE261" i="2"/>
  <c r="DD261" i="2" s="1"/>
  <c r="DH243" i="2"/>
  <c r="DH241" i="2" s="1"/>
  <c r="DG241" i="2" s="1"/>
  <c r="DH246" i="2"/>
  <c r="DG246" i="2" s="1"/>
  <c r="DH250" i="2"/>
  <c r="DH251" i="2"/>
  <c r="DG251" i="2" s="1"/>
  <c r="DH259" i="2"/>
  <c r="DG259" i="2" s="1"/>
  <c r="DH261" i="2"/>
  <c r="DG261" i="2" s="1"/>
  <c r="DQ243" i="2"/>
  <c r="DQ208" i="3" s="1"/>
  <c r="DQ246" i="2"/>
  <c r="DQ251" i="2"/>
  <c r="DP251" i="2" s="1"/>
  <c r="DQ259" i="2"/>
  <c r="DQ258" i="2" s="1"/>
  <c r="DP258" i="2" s="1"/>
  <c r="DH207" i="3"/>
  <c r="DI243" i="2"/>
  <c r="DF246" i="2"/>
  <c r="DF209" i="3" s="1"/>
  <c r="DH209" i="3" s="1"/>
  <c r="DI209" i="3" s="1"/>
  <c r="DK209" i="3" s="1"/>
  <c r="DT251" i="2"/>
  <c r="DS251" i="2" s="1"/>
  <c r="DT259" i="2"/>
  <c r="DS259" i="2" s="1"/>
  <c r="DZ251" i="2"/>
  <c r="DY251" i="2" s="1"/>
  <c r="DZ259" i="2"/>
  <c r="DY259" i="2" s="1"/>
  <c r="CV241" i="2"/>
  <c r="CU241" i="2" s="1"/>
  <c r="DN235" i="2"/>
  <c r="DN641" i="2" s="1"/>
  <c r="DN243" i="2"/>
  <c r="DN208" i="3" s="1"/>
  <c r="CP312" i="2"/>
  <c r="CP320" i="2" s="1"/>
  <c r="DK312" i="2"/>
  <c r="DK320" i="2" s="1"/>
  <c r="DK625" i="2" s="1"/>
  <c r="DN312" i="2"/>
  <c r="CS295" i="2"/>
  <c r="CR295" i="2" s="1"/>
  <c r="DN295" i="2"/>
  <c r="DM295" i="2" s="1"/>
  <c r="CQ235" i="2"/>
  <c r="CQ241" i="2"/>
  <c r="DK243" i="2"/>
  <c r="DK241" i="2" s="1"/>
  <c r="DJ241" i="2" s="1"/>
  <c r="CY321" i="2"/>
  <c r="V65" i="9" s="1"/>
  <c r="DN321" i="2"/>
  <c r="AA65" i="9" s="1"/>
  <c r="DQ312" i="2"/>
  <c r="DQ320" i="2" s="1"/>
  <c r="DP320" i="2" s="1"/>
  <c r="DP625" i="2" s="1"/>
  <c r="CQ248" i="2"/>
  <c r="DN248" i="2"/>
  <c r="DN247" i="2" s="1"/>
  <c r="AA49" i="9" s="1"/>
  <c r="CQ250" i="2"/>
  <c r="T50" i="9" s="1"/>
  <c r="BO280" i="2"/>
  <c r="BL281" i="2"/>
  <c r="BM281" i="2" s="1"/>
  <c r="BO281" i="2" s="1"/>
  <c r="BP281" i="2" s="1"/>
  <c r="BR281" i="2" s="1"/>
  <c r="BS281" i="2" s="1"/>
  <c r="BU281" i="2" s="1"/>
  <c r="BV281" i="2" s="1"/>
  <c r="BX281" i="2" s="1"/>
  <c r="BY281" i="2" s="1"/>
  <c r="CA281" i="2" s="1"/>
  <c r="CB281" i="2" s="1"/>
  <c r="CD281" i="2" s="1"/>
  <c r="CE281" i="2" s="1"/>
  <c r="CG281" i="2" s="1"/>
  <c r="CH281" i="2" s="1"/>
  <c r="CJ281" i="2" s="1"/>
  <c r="CK281" i="2" s="1"/>
  <c r="CM281" i="2" s="1"/>
  <c r="CN281" i="2" s="1"/>
  <c r="CP281" i="2" s="1"/>
  <c r="CQ281" i="2" s="1"/>
  <c r="CS281" i="2" s="1"/>
  <c r="CT281" i="2" s="1"/>
  <c r="CV281" i="2" s="1"/>
  <c r="CW281" i="2" s="1"/>
  <c r="CY281" i="2" s="1"/>
  <c r="CZ281" i="2" s="1"/>
  <c r="DB281" i="2" s="1"/>
  <c r="DC281" i="2" s="1"/>
  <c r="DE281" i="2" s="1"/>
  <c r="DF281" i="2" s="1"/>
  <c r="DH281" i="2" s="1"/>
  <c r="DI281" i="2" s="1"/>
  <c r="DK281" i="2" s="1"/>
  <c r="DL281" i="2" s="1"/>
  <c r="DN281" i="2" s="1"/>
  <c r="DO281" i="2" s="1"/>
  <c r="DQ281" i="2" s="1"/>
  <c r="DR281" i="2" s="1"/>
  <c r="DT281" i="2" s="1"/>
  <c r="DU281" i="2" s="1"/>
  <c r="DW281" i="2" s="1"/>
  <c r="DX281" i="2" s="1"/>
  <c r="DE297" i="2"/>
  <c r="DD297" i="2" s="1"/>
  <c r="DD91" i="3" s="1"/>
  <c r="DE284" i="2"/>
  <c r="DD284" i="2" s="1"/>
  <c r="DE285" i="2"/>
  <c r="DD285" i="2" s="1"/>
  <c r="DE303" i="2"/>
  <c r="DD303" i="2" s="1"/>
  <c r="DF300" i="2"/>
  <c r="DH300" i="2" s="1"/>
  <c r="DI300" i="2" s="1"/>
  <c r="DK300" i="2" s="1"/>
  <c r="DJ300" i="2" s="1"/>
  <c r="DQ284" i="2"/>
  <c r="DP284" i="2" s="1"/>
  <c r="DQ285" i="2"/>
  <c r="DQ289" i="2"/>
  <c r="DP289" i="2" s="1"/>
  <c r="DQ303" i="2"/>
  <c r="DF131" i="3"/>
  <c r="DF132" i="3"/>
  <c r="DF212" i="2" s="1"/>
  <c r="DG212" i="2" s="1"/>
  <c r="CV246" i="2"/>
  <c r="CU246" i="2" s="1"/>
  <c r="CV251" i="2"/>
  <c r="CU251" i="2" s="1"/>
  <c r="CV259" i="2"/>
  <c r="CU259" i="2" s="1"/>
  <c r="CV261" i="2"/>
  <c r="CU261" i="2" s="1"/>
  <c r="DK255" i="2"/>
  <c r="Z52" i="9" s="1"/>
  <c r="DN253" i="2"/>
  <c r="DN637" i="2" s="1"/>
  <c r="DN257" i="2"/>
  <c r="DM257" i="2" s="1"/>
  <c r="DN246" i="2"/>
  <c r="DN251" i="2"/>
  <c r="DM251" i="2" s="1"/>
  <c r="DN259" i="2"/>
  <c r="DM259" i="2" s="1"/>
  <c r="DN261" i="2"/>
  <c r="DM261" i="2" s="1"/>
  <c r="CQ257" i="2"/>
  <c r="CQ251" i="2"/>
  <c r="CQ254" i="2"/>
  <c r="CQ259" i="2"/>
  <c r="CQ261" i="2"/>
  <c r="DK246" i="2"/>
  <c r="DJ246" i="2" s="1"/>
  <c r="DK251" i="2"/>
  <c r="DJ251" i="2" s="1"/>
  <c r="DK259" i="2"/>
  <c r="DJ259" i="2" s="1"/>
  <c r="DK261" i="2"/>
  <c r="DJ261" i="2" s="1"/>
  <c r="CN198" i="4"/>
  <c r="CN291" i="4"/>
  <c r="CO198" i="4"/>
  <c r="CO291" i="4"/>
  <c r="BO279" i="2"/>
  <c r="BP279" i="2" s="1"/>
  <c r="CQ299" i="2"/>
  <c r="CQ300" i="2"/>
  <c r="CQ301" i="2"/>
  <c r="CT300" i="2"/>
  <c r="CV300" i="2" s="1"/>
  <c r="CU300" i="2" s="1"/>
  <c r="CV301" i="2"/>
  <c r="CU301" i="2" s="1"/>
  <c r="CV284" i="2"/>
  <c r="CU284" i="2" s="1"/>
  <c r="CV285" i="2"/>
  <c r="CU285" i="2" s="1"/>
  <c r="CV289" i="2"/>
  <c r="CU289" i="2" s="1"/>
  <c r="CV303" i="2"/>
  <c r="CU303" i="2" s="1"/>
  <c r="CY301" i="2"/>
  <c r="CX301" i="2" s="1"/>
  <c r="CZ301" i="2"/>
  <c r="DB301" i="2" s="1"/>
  <c r="DA301" i="2" s="1"/>
  <c r="DH301" i="2"/>
  <c r="DG301" i="2" s="1"/>
  <c r="DK282" i="2"/>
  <c r="DJ282" i="2" s="1"/>
  <c r="DK301" i="2"/>
  <c r="DJ301" i="2" s="1"/>
  <c r="DN284" i="2"/>
  <c r="DM284" i="2" s="1"/>
  <c r="DN285" i="2"/>
  <c r="DN303" i="2"/>
  <c r="EC282" i="2"/>
  <c r="EF282" i="2" s="1"/>
  <c r="EG282" i="2" s="1"/>
  <c r="DF239" i="3"/>
  <c r="DG239" i="3" s="1"/>
  <c r="DH239" i="3" s="1"/>
  <c r="DI239" i="3" s="1"/>
  <c r="DJ239" i="3" s="1"/>
  <c r="DK239" i="3" s="1"/>
  <c r="DZ299" i="2"/>
  <c r="EA299" i="2" s="1"/>
  <c r="EC299" i="2" s="1"/>
  <c r="CQ284" i="2"/>
  <c r="CQ285" i="2"/>
  <c r="CQ289" i="2"/>
  <c r="CQ313" i="2"/>
  <c r="CQ312" i="2" s="1"/>
  <c r="CQ320" i="2" s="1"/>
  <c r="CQ321" i="2"/>
  <c r="T65" i="9" s="1"/>
  <c r="CY284" i="2"/>
  <c r="CX284" i="2" s="1"/>
  <c r="CY285" i="2"/>
  <c r="CX285" i="2" s="1"/>
  <c r="DB284" i="2"/>
  <c r="DA284" i="2" s="1"/>
  <c r="DB285" i="2"/>
  <c r="DA285" i="2" s="1"/>
  <c r="DB303" i="2"/>
  <c r="DA303" i="2" s="1"/>
  <c r="DH284" i="2"/>
  <c r="DG284" i="2" s="1"/>
  <c r="DH285" i="2"/>
  <c r="DH217" i="3" s="1"/>
  <c r="DH215" i="3" s="1"/>
  <c r="DH289" i="2"/>
  <c r="DG289" i="2" s="1"/>
  <c r="DH303" i="2"/>
  <c r="DG303" i="2" s="1"/>
  <c r="DK284" i="2"/>
  <c r="DJ284" i="2" s="1"/>
  <c r="DK285" i="2"/>
  <c r="DJ285" i="2" s="1"/>
  <c r="DK303" i="2"/>
  <c r="DJ303" i="2" s="1"/>
  <c r="DS793" i="4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D248" i="3"/>
  <c r="BF248" i="3" s="1"/>
  <c r="BG248" i="3" s="1"/>
  <c r="AW248" i="3"/>
  <c r="CH239" i="3"/>
  <c r="CI239" i="3" s="1"/>
  <c r="CJ239" i="3" s="1"/>
  <c r="CK239" i="3" s="1"/>
  <c r="CL239" i="3" s="1"/>
  <c r="CM239" i="3" s="1"/>
  <c r="CN239" i="3" s="1"/>
  <c r="CO239" i="3" s="1"/>
  <c r="CP239" i="3" s="1"/>
  <c r="CQ239" i="3" s="1"/>
  <c r="CR239" i="3" s="1"/>
  <c r="CS239" i="3" s="1"/>
  <c r="CT239" i="3" s="1"/>
  <c r="CU239" i="3" s="1"/>
  <c r="CV239" i="3" s="1"/>
  <c r="CW239" i="3" s="1"/>
  <c r="CX239" i="3" s="1"/>
  <c r="CY239" i="3" s="1"/>
  <c r="CZ239" i="3" s="1"/>
  <c r="DA239" i="3" s="1"/>
  <c r="DB239" i="3" s="1"/>
  <c r="DC239" i="3" s="1"/>
  <c r="DD239" i="3" s="1"/>
  <c r="DE239" i="3" s="1"/>
  <c r="CF239" i="3"/>
  <c r="CC239" i="3"/>
  <c r="BZ239" i="3"/>
  <c r="BW239" i="3"/>
  <c r="BT239" i="3"/>
  <c r="BQ239" i="3"/>
  <c r="BN239" i="3"/>
  <c r="BK239" i="3"/>
  <c r="BH239" i="3"/>
  <c r="BE239" i="3"/>
  <c r="BC239" i="3"/>
  <c r="BB239" i="3" s="1"/>
  <c r="BA239" i="3"/>
  <c r="AZ239" i="3"/>
  <c r="AY239" i="3" s="1"/>
  <c r="AX239" i="3"/>
  <c r="AW239" i="3"/>
  <c r="AV239" i="3" s="1"/>
  <c r="AU239" i="3"/>
  <c r="AT239" i="3"/>
  <c r="AS239" i="3" s="1"/>
  <c r="AR239" i="3"/>
  <c r="AQ239" i="3"/>
  <c r="AP239" i="3" s="1"/>
  <c r="AO239" i="3"/>
  <c r="AN239" i="3"/>
  <c r="AM239" i="3" s="1"/>
  <c r="AL239" i="3"/>
  <c r="AK239" i="3"/>
  <c r="AJ239" i="3" s="1"/>
  <c r="AI239" i="3"/>
  <c r="AH239" i="3"/>
  <c r="AG239" i="3" s="1"/>
  <c r="AF239" i="3"/>
  <c r="AE239" i="3"/>
  <c r="AD239" i="3" s="1"/>
  <c r="AC239" i="3"/>
  <c r="AB239" i="3"/>
  <c r="AA239" i="3" s="1"/>
  <c r="Z239" i="3"/>
  <c r="Y239" i="3"/>
  <c r="X239" i="3" s="1"/>
  <c r="W239" i="3"/>
  <c r="V239" i="3"/>
  <c r="U239" i="3" s="1"/>
  <c r="T239" i="3"/>
  <c r="S239" i="3"/>
  <c r="R239" i="3" s="1"/>
  <c r="Q239" i="3"/>
  <c r="P239" i="3"/>
  <c r="O239" i="3" s="1"/>
  <c r="N239" i="3"/>
  <c r="M239" i="3"/>
  <c r="L239" i="3" s="1"/>
  <c r="K239" i="3"/>
  <c r="J239" i="3"/>
  <c r="I239" i="3" s="1"/>
  <c r="H239" i="3"/>
  <c r="G239" i="3"/>
  <c r="F239" i="3" s="1"/>
  <c r="E239" i="3"/>
  <c r="BC233" i="3"/>
  <c r="BB233" i="3"/>
  <c r="BA233" i="3"/>
  <c r="AZ233" i="3"/>
  <c r="AY233" i="3"/>
  <c r="AW233" i="3"/>
  <c r="AV233" i="3"/>
  <c r="AT233" i="3"/>
  <c r="AS233" i="3"/>
  <c r="AQ233" i="3"/>
  <c r="AP233" i="3"/>
  <c r="AN233" i="3"/>
  <c r="AM233" i="3"/>
  <c r="AK233" i="3"/>
  <c r="AJ233" i="3"/>
  <c r="AH233" i="3"/>
  <c r="AG233" i="3"/>
  <c r="AE233" i="3"/>
  <c r="AD233" i="3"/>
  <c r="AB233" i="3"/>
  <c r="AA233" i="3"/>
  <c r="Y233" i="3"/>
  <c r="X233" i="3"/>
  <c r="V233" i="3"/>
  <c r="U233" i="3"/>
  <c r="S233" i="3"/>
  <c r="R233" i="3"/>
  <c r="P233" i="3"/>
  <c r="O233" i="3"/>
  <c r="M233" i="3"/>
  <c r="L233" i="3"/>
  <c r="J233" i="3"/>
  <c r="I233" i="3"/>
  <c r="G233" i="3"/>
  <c r="F233" i="3"/>
  <c r="BC232" i="3"/>
  <c r="BB232" i="3"/>
  <c r="BA232" i="3"/>
  <c r="AZ232" i="3"/>
  <c r="AY232" i="3"/>
  <c r="AX232" i="3"/>
  <c r="AW232" i="3"/>
  <c r="AV232" i="3"/>
  <c r="AU232" i="3"/>
  <c r="AT232" i="3"/>
  <c r="AS232" i="3"/>
  <c r="AR232" i="3"/>
  <c r="AQ232" i="3"/>
  <c r="AP232" i="3"/>
  <c r="AO232" i="3"/>
  <c r="AN232" i="3"/>
  <c r="AM232" i="3"/>
  <c r="AL232" i="3"/>
  <c r="AK232" i="3"/>
  <c r="AJ232" i="3"/>
  <c r="AI232" i="3"/>
  <c r="AH232" i="3"/>
  <c r="AG232" i="3"/>
  <c r="AF232" i="3"/>
  <c r="AE232" i="3"/>
  <c r="AD232" i="3"/>
  <c r="AC232" i="3"/>
  <c r="AB232" i="3"/>
  <c r="AA232" i="3"/>
  <c r="Z232" i="3"/>
  <c r="Y232" i="3"/>
  <c r="X232" i="3"/>
  <c r="W232" i="3"/>
  <c r="V232" i="3"/>
  <c r="U232" i="3"/>
  <c r="T232" i="3"/>
  <c r="S232" i="3"/>
  <c r="R232" i="3"/>
  <c r="Q232" i="3"/>
  <c r="P232" i="3"/>
  <c r="O232" i="3"/>
  <c r="N232" i="3"/>
  <c r="M232" i="3"/>
  <c r="L232" i="3"/>
  <c r="K232" i="3"/>
  <c r="J232" i="3"/>
  <c r="I232" i="3"/>
  <c r="H232" i="3"/>
  <c r="G232" i="3"/>
  <c r="F232" i="3"/>
  <c r="E232" i="3"/>
  <c r="BC231" i="3"/>
  <c r="BB231" i="3"/>
  <c r="BA231" i="3"/>
  <c r="AZ231" i="3"/>
  <c r="AY231" i="3"/>
  <c r="AX231" i="3"/>
  <c r="AW231" i="3"/>
  <c r="AV231" i="3"/>
  <c r="AU231" i="3"/>
  <c r="AT231" i="3"/>
  <c r="AS231" i="3"/>
  <c r="AR231" i="3"/>
  <c r="AQ231" i="3"/>
  <c r="AP231" i="3"/>
  <c r="AO231" i="3"/>
  <c r="AN231" i="3"/>
  <c r="AM231" i="3"/>
  <c r="AL231" i="3"/>
  <c r="AK231" i="3"/>
  <c r="AJ231" i="3"/>
  <c r="AI231" i="3"/>
  <c r="AH231" i="3"/>
  <c r="AG231" i="3"/>
  <c r="AF231" i="3"/>
  <c r="AE231" i="3"/>
  <c r="AD231" i="3"/>
  <c r="AC231" i="3"/>
  <c r="AB231" i="3"/>
  <c r="AA231" i="3"/>
  <c r="Z231" i="3"/>
  <c r="Y231" i="3"/>
  <c r="X231" i="3"/>
  <c r="W231" i="3"/>
  <c r="V231" i="3"/>
  <c r="U231" i="3"/>
  <c r="T231" i="3"/>
  <c r="S231" i="3"/>
  <c r="R231" i="3"/>
  <c r="Q231" i="3"/>
  <c r="P231" i="3"/>
  <c r="O231" i="3"/>
  <c r="N231" i="3"/>
  <c r="M231" i="3"/>
  <c r="L231" i="3"/>
  <c r="K231" i="3"/>
  <c r="J231" i="3"/>
  <c r="I231" i="3"/>
  <c r="H231" i="3"/>
  <c r="G231" i="3"/>
  <c r="F231" i="3"/>
  <c r="E231" i="3"/>
  <c r="BC230" i="3"/>
  <c r="BB230" i="3"/>
  <c r="BA230" i="3"/>
  <c r="AZ230" i="3"/>
  <c r="AY230" i="3"/>
  <c r="AX230" i="3"/>
  <c r="AW230" i="3"/>
  <c r="AV230" i="3"/>
  <c r="AU230" i="3"/>
  <c r="AT230" i="3"/>
  <c r="AS230" i="3"/>
  <c r="AR230" i="3"/>
  <c r="AQ230" i="3"/>
  <c r="AP230" i="3"/>
  <c r="AO230" i="3"/>
  <c r="AN230" i="3"/>
  <c r="AM230" i="3"/>
  <c r="AL230" i="3"/>
  <c r="AK230" i="3"/>
  <c r="AJ230" i="3"/>
  <c r="AI230" i="3"/>
  <c r="AH230" i="3"/>
  <c r="AG230" i="3"/>
  <c r="AF230" i="3"/>
  <c r="AE230" i="3"/>
  <c r="AD230" i="3"/>
  <c r="AC230" i="3"/>
  <c r="AB230" i="3"/>
  <c r="AA230" i="3"/>
  <c r="Z230" i="3"/>
  <c r="Y230" i="3"/>
  <c r="X230" i="3"/>
  <c r="W230" i="3"/>
  <c r="V230" i="3"/>
  <c r="U230" i="3"/>
  <c r="T230" i="3"/>
  <c r="S230" i="3"/>
  <c r="R230" i="3"/>
  <c r="Q230" i="3"/>
  <c r="P230" i="3"/>
  <c r="O230" i="3"/>
  <c r="N230" i="3"/>
  <c r="M230" i="3"/>
  <c r="L230" i="3"/>
  <c r="K230" i="3"/>
  <c r="J230" i="3"/>
  <c r="I230" i="3"/>
  <c r="H230" i="3"/>
  <c r="G230" i="3"/>
  <c r="F230" i="3"/>
  <c r="E230" i="3"/>
  <c r="ER229" i="3"/>
  <c r="EO229" i="3"/>
  <c r="EL229" i="3"/>
  <c r="EI229" i="3"/>
  <c r="EF229" i="3"/>
  <c r="EC229" i="3"/>
  <c r="DZ229" i="3"/>
  <c r="DT229" i="3"/>
  <c r="DQ229" i="3"/>
  <c r="DN229" i="3"/>
  <c r="DK229" i="3"/>
  <c r="DH229" i="3"/>
  <c r="DE229" i="3"/>
  <c r="DB229" i="3"/>
  <c r="CY229" i="3"/>
  <c r="CV229" i="3"/>
  <c r="CS229" i="3"/>
  <c r="CP229" i="3"/>
  <c r="CM229" i="3"/>
  <c r="CJ229" i="3"/>
  <c r="CG229" i="3"/>
  <c r="CD229" i="3"/>
  <c r="CA229" i="3"/>
  <c r="BX229" i="3"/>
  <c r="BU229" i="3"/>
  <c r="BR229" i="3"/>
  <c r="BO229" i="3"/>
  <c r="BL229" i="3"/>
  <c r="BI229" i="3"/>
  <c r="BF229" i="3"/>
  <c r="BC229" i="3"/>
  <c r="BB229" i="3"/>
  <c r="BA229" i="3"/>
  <c r="AZ229" i="3"/>
  <c r="AY229" i="3"/>
  <c r="AX229" i="3"/>
  <c r="AW229" i="3"/>
  <c r="AV229" i="3"/>
  <c r="AU229" i="3"/>
  <c r="AT229" i="3"/>
  <c r="AS229" i="3"/>
  <c r="AR229" i="3"/>
  <c r="AQ229" i="3"/>
  <c r="AP229" i="3"/>
  <c r="AO229" i="3"/>
  <c r="AN229" i="3"/>
  <c r="AM229" i="3"/>
  <c r="AL229" i="3"/>
  <c r="AK229" i="3"/>
  <c r="AJ229" i="3"/>
  <c r="AI229" i="3"/>
  <c r="AH229" i="3"/>
  <c r="AG229" i="3"/>
  <c r="AF229" i="3"/>
  <c r="AE229" i="3"/>
  <c r="AD229" i="3"/>
  <c r="AC229" i="3"/>
  <c r="AB229" i="3"/>
  <c r="AA229" i="3"/>
  <c r="Z229" i="3"/>
  <c r="Y229" i="3"/>
  <c r="X229" i="3"/>
  <c r="W229" i="3"/>
  <c r="V229" i="3"/>
  <c r="U229" i="3"/>
  <c r="T229" i="3"/>
  <c r="S229" i="3"/>
  <c r="R229" i="3"/>
  <c r="Q229" i="3"/>
  <c r="P229" i="3"/>
  <c r="O229" i="3"/>
  <c r="N229" i="3"/>
  <c r="M229" i="3"/>
  <c r="L229" i="3"/>
  <c r="K229" i="3"/>
  <c r="J229" i="3"/>
  <c r="I229" i="3"/>
  <c r="H229" i="3"/>
  <c r="G229" i="3"/>
  <c r="F229" i="3"/>
  <c r="E229" i="3"/>
  <c r="ER228" i="3"/>
  <c r="EO228" i="3"/>
  <c r="EL228" i="3"/>
  <c r="EI228" i="3"/>
  <c r="EF228" i="3"/>
  <c r="EC228" i="3"/>
  <c r="DZ228" i="3"/>
  <c r="DT228" i="3"/>
  <c r="DQ228" i="3"/>
  <c r="DN228" i="3"/>
  <c r="DK228" i="3"/>
  <c r="DH228" i="3"/>
  <c r="DE228" i="3"/>
  <c r="DB228" i="3"/>
  <c r="CY228" i="3"/>
  <c r="CV228" i="3"/>
  <c r="CS228" i="3"/>
  <c r="CP228" i="3"/>
  <c r="CM228" i="3"/>
  <c r="CJ228" i="3"/>
  <c r="CG228" i="3"/>
  <c r="CD228" i="3"/>
  <c r="CA228" i="3"/>
  <c r="BX228" i="3"/>
  <c r="BU228" i="3"/>
  <c r="BR228" i="3"/>
  <c r="BO228" i="3"/>
  <c r="BL228" i="3"/>
  <c r="BI228" i="3"/>
  <c r="BF228" i="3"/>
  <c r="BC228" i="3"/>
  <c r="BB228" i="3"/>
  <c r="BA228" i="3"/>
  <c r="AZ228" i="3"/>
  <c r="AY228" i="3"/>
  <c r="AX228" i="3"/>
  <c r="AW228" i="3"/>
  <c r="AV228" i="3"/>
  <c r="AU228" i="3"/>
  <c r="AT228" i="3"/>
  <c r="AS228" i="3"/>
  <c r="AR228" i="3"/>
  <c r="AQ228" i="3"/>
  <c r="AP228" i="3"/>
  <c r="AO228" i="3"/>
  <c r="AN228" i="3"/>
  <c r="AM228" i="3"/>
  <c r="AL228" i="3"/>
  <c r="AK228" i="3"/>
  <c r="AJ228" i="3"/>
  <c r="AI228" i="3"/>
  <c r="AH228" i="3"/>
  <c r="AG228" i="3"/>
  <c r="AF228" i="3"/>
  <c r="AE228" i="3"/>
  <c r="AD228" i="3"/>
  <c r="AC228" i="3"/>
  <c r="AB228" i="3"/>
  <c r="AA228" i="3"/>
  <c r="Z228" i="3"/>
  <c r="Y228" i="3"/>
  <c r="X228" i="3"/>
  <c r="W228" i="3"/>
  <c r="V228" i="3"/>
  <c r="U228" i="3"/>
  <c r="T228" i="3"/>
  <c r="S228" i="3"/>
  <c r="R228" i="3"/>
  <c r="Q228" i="3"/>
  <c r="P228" i="3"/>
  <c r="O228" i="3"/>
  <c r="N228" i="3"/>
  <c r="M228" i="3"/>
  <c r="L228" i="3"/>
  <c r="K228" i="3"/>
  <c r="J228" i="3"/>
  <c r="I228" i="3"/>
  <c r="H228" i="3"/>
  <c r="G228" i="3"/>
  <c r="F228" i="3"/>
  <c r="E228" i="3"/>
  <c r="ER227" i="3"/>
  <c r="EO227" i="3"/>
  <c r="EL227" i="3"/>
  <c r="EI227" i="3"/>
  <c r="EF227" i="3"/>
  <c r="EC227" i="3"/>
  <c r="DZ227" i="3"/>
  <c r="DT227" i="3"/>
  <c r="DQ227" i="3"/>
  <c r="DN227" i="3"/>
  <c r="DK227" i="3"/>
  <c r="DH227" i="3"/>
  <c r="DE227" i="3"/>
  <c r="DB227" i="3"/>
  <c r="CY227" i="3"/>
  <c r="CV227" i="3"/>
  <c r="CS227" i="3"/>
  <c r="CP227" i="3"/>
  <c r="CM227" i="3"/>
  <c r="CJ227" i="3"/>
  <c r="CG227" i="3"/>
  <c r="CD227" i="3"/>
  <c r="CA227" i="3"/>
  <c r="BX227" i="3"/>
  <c r="BU227" i="3"/>
  <c r="BR227" i="3"/>
  <c r="BO227" i="3"/>
  <c r="BL227" i="3"/>
  <c r="BI227" i="3"/>
  <c r="BF227" i="3"/>
  <c r="BC227" i="3"/>
  <c r="BB227" i="3"/>
  <c r="BA227" i="3"/>
  <c r="AZ227" i="3"/>
  <c r="AY227" i="3"/>
  <c r="AX227" i="3"/>
  <c r="AW227" i="3"/>
  <c r="AV227" i="3"/>
  <c r="AU227" i="3"/>
  <c r="AT227" i="3"/>
  <c r="AS227" i="3"/>
  <c r="AR227" i="3"/>
  <c r="AQ227" i="3"/>
  <c r="AP227" i="3"/>
  <c r="AO227" i="3"/>
  <c r="AN227" i="3"/>
  <c r="AM227" i="3"/>
  <c r="AL227" i="3"/>
  <c r="AK227" i="3"/>
  <c r="AJ227" i="3"/>
  <c r="AI227" i="3"/>
  <c r="AH227" i="3"/>
  <c r="AG227" i="3"/>
  <c r="AF227" i="3"/>
  <c r="AE227" i="3"/>
  <c r="AD227" i="3"/>
  <c r="AC227" i="3"/>
  <c r="AB227" i="3"/>
  <c r="AA227" i="3"/>
  <c r="Z227" i="3"/>
  <c r="Y227" i="3"/>
  <c r="X227" i="3"/>
  <c r="W227" i="3"/>
  <c r="V227" i="3"/>
  <c r="U227" i="3"/>
  <c r="T227" i="3"/>
  <c r="S227" i="3"/>
  <c r="R227" i="3"/>
  <c r="Q227" i="3"/>
  <c r="P227" i="3"/>
  <c r="O227" i="3"/>
  <c r="N227" i="3"/>
  <c r="M227" i="3"/>
  <c r="L227" i="3"/>
  <c r="K227" i="3"/>
  <c r="J227" i="3"/>
  <c r="I227" i="3"/>
  <c r="H227" i="3"/>
  <c r="G227" i="3"/>
  <c r="F227" i="3"/>
  <c r="E227" i="3"/>
  <c r="BB226" i="3"/>
  <c r="BA226" i="3"/>
  <c r="AY226" i="3"/>
  <c r="AX226" i="3"/>
  <c r="AV226" i="3"/>
  <c r="AU226" i="3"/>
  <c r="AS226" i="3"/>
  <c r="AR226" i="3"/>
  <c r="AP226" i="3"/>
  <c r="AO226" i="3"/>
  <c r="AM226" i="3"/>
  <c r="AL226" i="3"/>
  <c r="AK226" i="3"/>
  <c r="AJ226" i="3"/>
  <c r="AI226" i="3"/>
  <c r="AH226" i="3"/>
  <c r="AG226" i="3"/>
  <c r="AF226" i="3"/>
  <c r="AE226" i="3"/>
  <c r="AD226" i="3"/>
  <c r="AC226" i="3"/>
  <c r="AB226" i="3"/>
  <c r="AA226" i="3"/>
  <c r="Z226" i="3"/>
  <c r="Y226" i="3"/>
  <c r="X226" i="3"/>
  <c r="W226" i="3"/>
  <c r="V226" i="3"/>
  <c r="U226" i="3"/>
  <c r="T226" i="3"/>
  <c r="S226" i="3"/>
  <c r="R226" i="3"/>
  <c r="Q226" i="3"/>
  <c r="P226" i="3"/>
  <c r="O226" i="3"/>
  <c r="N226" i="3"/>
  <c r="M226" i="3"/>
  <c r="L226" i="3"/>
  <c r="K226" i="3"/>
  <c r="J226" i="3"/>
  <c r="I226" i="3"/>
  <c r="H226" i="3"/>
  <c r="G226" i="3"/>
  <c r="F226" i="3"/>
  <c r="E226" i="3"/>
  <c r="BC225" i="3"/>
  <c r="BA225" i="3"/>
  <c r="AZ225" i="3"/>
  <c r="AX225" i="3"/>
  <c r="AW225" i="3"/>
  <c r="AU225" i="3"/>
  <c r="AT225" i="3"/>
  <c r="AR225" i="3"/>
  <c r="AQ225" i="3"/>
  <c r="AO225" i="3"/>
  <c r="AN225" i="3"/>
  <c r="AL225" i="3"/>
  <c r="AK225" i="3"/>
  <c r="AI225" i="3"/>
  <c r="AH225" i="3"/>
  <c r="AF225" i="3"/>
  <c r="AE225" i="3"/>
  <c r="AC225" i="3"/>
  <c r="AB225" i="3"/>
  <c r="Z225" i="3"/>
  <c r="Y225" i="3"/>
  <c r="W225" i="3"/>
  <c r="V225" i="3"/>
  <c r="T225" i="3"/>
  <c r="S225" i="3"/>
  <c r="Q225" i="3"/>
  <c r="P225" i="3"/>
  <c r="N225" i="3"/>
  <c r="M225" i="3"/>
  <c r="K225" i="3"/>
  <c r="J225" i="3"/>
  <c r="H225" i="3"/>
  <c r="G225" i="3"/>
  <c r="E225" i="3"/>
  <c r="DG224" i="3"/>
  <c r="AK224" i="3"/>
  <c r="AJ224" i="3"/>
  <c r="AI224" i="3"/>
  <c r="AH224" i="3"/>
  <c r="AG224" i="3"/>
  <c r="AF224" i="3"/>
  <c r="AE224" i="3"/>
  <c r="AD224" i="3"/>
  <c r="AC224" i="3"/>
  <c r="AB224" i="3"/>
  <c r="AA224" i="3"/>
  <c r="Z224" i="3"/>
  <c r="Y224" i="3"/>
  <c r="X224" i="3"/>
  <c r="W224" i="3"/>
  <c r="V224" i="3"/>
  <c r="U224" i="3"/>
  <c r="T224" i="3"/>
  <c r="S224" i="3"/>
  <c r="R224" i="3"/>
  <c r="Q224" i="3"/>
  <c r="P224" i="3"/>
  <c r="O224" i="3"/>
  <c r="N224" i="3"/>
  <c r="M224" i="3"/>
  <c r="L224" i="3"/>
  <c r="K224" i="3"/>
  <c r="J224" i="3"/>
  <c r="I224" i="3"/>
  <c r="H224" i="3"/>
  <c r="G224" i="3"/>
  <c r="F224" i="3"/>
  <c r="E224" i="3"/>
  <c r="DX223" i="3"/>
  <c r="DY223" i="3" s="1"/>
  <c r="DZ223" i="3" s="1"/>
  <c r="EA223" i="3" s="1"/>
  <c r="EB223" i="3" s="1"/>
  <c r="EC223" i="3" s="1"/>
  <c r="ED223" i="3" s="1"/>
  <c r="EE223" i="3" s="1"/>
  <c r="EF223" i="3" s="1"/>
  <c r="EG223" i="3" s="1"/>
  <c r="EH223" i="3" s="1"/>
  <c r="EI223" i="3" s="1"/>
  <c r="EJ223" i="3" s="1"/>
  <c r="EK223" i="3" s="1"/>
  <c r="EL223" i="3" s="1"/>
  <c r="EM223" i="3" s="1"/>
  <c r="EN223" i="3" s="1"/>
  <c r="EO223" i="3" s="1"/>
  <c r="EP223" i="3" s="1"/>
  <c r="EQ223" i="3" s="1"/>
  <c r="ER223" i="3" s="1"/>
  <c r="ES223" i="3" s="1"/>
  <c r="ET223" i="3" s="1"/>
  <c r="EU223" i="3" s="1"/>
  <c r="EV223" i="3" s="1"/>
  <c r="EW223" i="3" s="1"/>
  <c r="EX223" i="3" s="1"/>
  <c r="EY223" i="3" s="1"/>
  <c r="EZ223" i="3" s="1"/>
  <c r="FA223" i="3" s="1"/>
  <c r="DT223" i="3"/>
  <c r="DQ223" i="3"/>
  <c r="DK223" i="3"/>
  <c r="DG223" i="3"/>
  <c r="DH223" i="3" s="1"/>
  <c r="DE223" i="3"/>
  <c r="CV223" i="3"/>
  <c r="CS223" i="3"/>
  <c r="CP223" i="3"/>
  <c r="CM223" i="3"/>
  <c r="CJ223" i="3"/>
  <c r="CG223" i="3"/>
  <c r="CD223" i="3"/>
  <c r="CE223" i="3" s="1"/>
  <c r="BZ223" i="3"/>
  <c r="CA223" i="3" s="1"/>
  <c r="AH223" i="3"/>
  <c r="AG223" i="3"/>
  <c r="AF223" i="3"/>
  <c r="AE223" i="3"/>
  <c r="AD223" i="3"/>
  <c r="AC223" i="3"/>
  <c r="AB223" i="3"/>
  <c r="AA223" i="3"/>
  <c r="Z223" i="3"/>
  <c r="Y223" i="3"/>
  <c r="X223" i="3"/>
  <c r="W223" i="3"/>
  <c r="V223" i="3"/>
  <c r="U223" i="3"/>
  <c r="T223" i="3"/>
  <c r="S223" i="3"/>
  <c r="R223" i="3"/>
  <c r="Q223" i="3"/>
  <c r="P223" i="3"/>
  <c r="O223" i="3"/>
  <c r="N223" i="3"/>
  <c r="M223" i="3"/>
  <c r="L223" i="3"/>
  <c r="K223" i="3"/>
  <c r="J223" i="3"/>
  <c r="I223" i="3"/>
  <c r="H223" i="3"/>
  <c r="G223" i="3"/>
  <c r="F223" i="3"/>
  <c r="E223" i="3"/>
  <c r="BX222" i="3"/>
  <c r="BU222" i="3"/>
  <c r="BR222" i="3"/>
  <c r="BO222" i="3"/>
  <c r="BL222" i="3"/>
  <c r="BI222" i="3"/>
  <c r="BF222" i="3"/>
  <c r="BB222" i="3"/>
  <c r="BA222" i="3"/>
  <c r="AX222" i="3"/>
  <c r="AY222" i="3"/>
  <c r="AV222" i="3"/>
  <c r="AU222" i="3"/>
  <c r="AS222" i="3"/>
  <c r="AR222" i="3"/>
  <c r="AP222" i="3"/>
  <c r="AO222" i="3"/>
  <c r="AM222" i="3"/>
  <c r="AL222" i="3"/>
  <c r="AJ222" i="3"/>
  <c r="AI222" i="3"/>
  <c r="AG222" i="3"/>
  <c r="AF222" i="3"/>
  <c r="AD222" i="3"/>
  <c r="AC222" i="3"/>
  <c r="AA222" i="3"/>
  <c r="Z222" i="3"/>
  <c r="X222" i="3"/>
  <c r="W222" i="3"/>
  <c r="U222" i="3"/>
  <c r="T222" i="3"/>
  <c r="R222" i="3"/>
  <c r="Q222" i="3"/>
  <c r="O222" i="3"/>
  <c r="N222" i="3"/>
  <c r="L222" i="3"/>
  <c r="K222" i="3"/>
  <c r="I222" i="3"/>
  <c r="H222" i="3"/>
  <c r="F222" i="3"/>
  <c r="E222" i="3"/>
  <c r="CO221" i="3"/>
  <c r="CP221" i="3" s="1"/>
  <c r="CQ221" i="3" s="1"/>
  <c r="CR221" i="3" s="1"/>
  <c r="CS221" i="3" s="1"/>
  <c r="CT221" i="3" s="1"/>
  <c r="CU221" i="3" s="1"/>
  <c r="CV221" i="3" s="1"/>
  <c r="CW221" i="3" s="1"/>
  <c r="CX221" i="3" s="1"/>
  <c r="CY221" i="3" s="1"/>
  <c r="CZ221" i="3" s="1"/>
  <c r="DA221" i="3" s="1"/>
  <c r="DB221" i="3" s="1"/>
  <c r="DC221" i="3" s="1"/>
  <c r="DD221" i="3" s="1"/>
  <c r="DE221" i="3" s="1"/>
  <c r="DF221" i="3" s="1"/>
  <c r="DG221" i="3" s="1"/>
  <c r="DH221" i="3" s="1"/>
  <c r="DI221" i="3" s="1"/>
  <c r="DJ221" i="3" s="1"/>
  <c r="DK221" i="3" s="1"/>
  <c r="DL221" i="3" s="1"/>
  <c r="DM221" i="3" s="1"/>
  <c r="DN221" i="3" s="1"/>
  <c r="DO221" i="3" s="1"/>
  <c r="DP221" i="3" s="1"/>
  <c r="DQ221" i="3" s="1"/>
  <c r="DR221" i="3" s="1"/>
  <c r="DS221" i="3" s="1"/>
  <c r="DT221" i="3" s="1"/>
  <c r="DU221" i="3" s="1"/>
  <c r="CL221" i="3"/>
  <c r="CM221" i="3" s="1"/>
  <c r="CI221" i="3"/>
  <c r="CJ221" i="3" s="1"/>
  <c r="CF221" i="3"/>
  <c r="CG221" i="3" s="1"/>
  <c r="CB221" i="3"/>
  <c r="CC221" i="3" s="1"/>
  <c r="BY221" i="3"/>
  <c r="BZ221" i="3" s="1"/>
  <c r="BV221" i="3"/>
  <c r="BW221" i="3" s="1"/>
  <c r="BP221" i="3"/>
  <c r="BQ221" i="3" s="1"/>
  <c r="BR221" i="3" s="1"/>
  <c r="BS221" i="3" s="1"/>
  <c r="BT221" i="3" s="1"/>
  <c r="BM221" i="3"/>
  <c r="BN221" i="3" s="1"/>
  <c r="BK221" i="3"/>
  <c r="BQ219" i="3"/>
  <c r="BN219" i="3"/>
  <c r="BK219" i="3"/>
  <c r="BH219" i="3"/>
  <c r="BE219" i="3"/>
  <c r="BC219" i="3"/>
  <c r="BB219" i="3" s="1"/>
  <c r="BA219" i="3"/>
  <c r="AZ219" i="3"/>
  <c r="AY219" i="3" s="1"/>
  <c r="AX219" i="3"/>
  <c r="AW219" i="3"/>
  <c r="AV219" i="3" s="1"/>
  <c r="AU219" i="3"/>
  <c r="AT219" i="3"/>
  <c r="AS219" i="3" s="1"/>
  <c r="AR219" i="3"/>
  <c r="AQ219" i="3"/>
  <c r="AP219" i="3" s="1"/>
  <c r="AO219" i="3"/>
  <c r="AN219" i="3"/>
  <c r="AM219" i="3" s="1"/>
  <c r="AL219" i="3"/>
  <c r="AK219" i="3"/>
  <c r="AJ219" i="3" s="1"/>
  <c r="AI219" i="3"/>
  <c r="AH219" i="3"/>
  <c r="AG219" i="3" s="1"/>
  <c r="AF219" i="3"/>
  <c r="AE219" i="3"/>
  <c r="AD219" i="3" s="1"/>
  <c r="AC219" i="3"/>
  <c r="AB219" i="3"/>
  <c r="AA219" i="3" s="1"/>
  <c r="Z219" i="3"/>
  <c r="Y219" i="3"/>
  <c r="X219" i="3" s="1"/>
  <c r="W219" i="3"/>
  <c r="V219" i="3"/>
  <c r="U219" i="3" s="1"/>
  <c r="T219" i="3"/>
  <c r="S219" i="3"/>
  <c r="R219" i="3" s="1"/>
  <c r="Q219" i="3"/>
  <c r="P219" i="3"/>
  <c r="O219" i="3" s="1"/>
  <c r="N219" i="3"/>
  <c r="M219" i="3"/>
  <c r="L219" i="3" s="1"/>
  <c r="K219" i="3"/>
  <c r="J219" i="3"/>
  <c r="I219" i="3" s="1"/>
  <c r="H219" i="3"/>
  <c r="G219" i="3"/>
  <c r="F219" i="3" s="1"/>
  <c r="E219" i="3"/>
  <c r="EQ218" i="3"/>
  <c r="EN218" i="3"/>
  <c r="EK218" i="3"/>
  <c r="EH218" i="3"/>
  <c r="EE218" i="3"/>
  <c r="EB218" i="3"/>
  <c r="DY218" i="3"/>
  <c r="DS218" i="3"/>
  <c r="DP218" i="3"/>
  <c r="DM218" i="3"/>
  <c r="DJ218" i="3"/>
  <c r="DF218" i="3"/>
  <c r="DH218" i="3" s="1"/>
  <c r="DG218" i="3" s="1"/>
  <c r="DD218" i="3"/>
  <c r="DA218" i="3"/>
  <c r="CX218" i="3"/>
  <c r="CU218" i="3"/>
  <c r="CR218" i="3"/>
  <c r="CO218" i="3"/>
  <c r="CL218" i="3"/>
  <c r="CI218" i="3"/>
  <c r="CF218" i="3"/>
  <c r="CC218" i="3"/>
  <c r="BZ218" i="3"/>
  <c r="BW218" i="3"/>
  <c r="BT218" i="3"/>
  <c r="BQ218" i="3"/>
  <c r="BN218" i="3"/>
  <c r="BK218" i="3"/>
  <c r="BH218" i="3"/>
  <c r="BE218" i="3"/>
  <c r="BC218" i="3"/>
  <c r="BB218" i="3" s="1"/>
  <c r="BA218" i="3"/>
  <c r="AZ218" i="3"/>
  <c r="AY218" i="3" s="1"/>
  <c r="AX218" i="3"/>
  <c r="AW218" i="3"/>
  <c r="AV218" i="3" s="1"/>
  <c r="AU218" i="3"/>
  <c r="AT218" i="3"/>
  <c r="AS218" i="3" s="1"/>
  <c r="AR218" i="3"/>
  <c r="AQ218" i="3"/>
  <c r="AP218" i="3" s="1"/>
  <c r="AO218" i="3"/>
  <c r="AN218" i="3"/>
  <c r="AM218" i="3" s="1"/>
  <c r="AL218" i="3"/>
  <c r="AK218" i="3"/>
  <c r="AJ218" i="3" s="1"/>
  <c r="AI218" i="3"/>
  <c r="AH218" i="3"/>
  <c r="AG218" i="3" s="1"/>
  <c r="AF218" i="3"/>
  <c r="AE218" i="3"/>
  <c r="AD218" i="3" s="1"/>
  <c r="AC218" i="3"/>
  <c r="AB218" i="3"/>
  <c r="AA218" i="3" s="1"/>
  <c r="Z218" i="3"/>
  <c r="Y218" i="3"/>
  <c r="X218" i="3" s="1"/>
  <c r="W218" i="3"/>
  <c r="V218" i="3"/>
  <c r="U218" i="3" s="1"/>
  <c r="T218" i="3"/>
  <c r="S218" i="3"/>
  <c r="R218" i="3" s="1"/>
  <c r="Q218" i="3"/>
  <c r="P218" i="3"/>
  <c r="O218" i="3" s="1"/>
  <c r="N218" i="3"/>
  <c r="M218" i="3"/>
  <c r="L218" i="3" s="1"/>
  <c r="K218" i="3"/>
  <c r="J218" i="3"/>
  <c r="I218" i="3" s="1"/>
  <c r="H218" i="3"/>
  <c r="G218" i="3"/>
  <c r="F218" i="3" s="1"/>
  <c r="E218" i="3"/>
  <c r="AW217" i="3"/>
  <c r="AV217" i="3" s="1"/>
  <c r="AU217" i="3"/>
  <c r="AT217" i="3"/>
  <c r="AS217" i="3" s="1"/>
  <c r="AR217" i="3"/>
  <c r="AQ217" i="3"/>
  <c r="AP217" i="3" s="1"/>
  <c r="AO217" i="3"/>
  <c r="AN217" i="3"/>
  <c r="AL217" i="3"/>
  <c r="AL216" i="3"/>
  <c r="AK217" i="3"/>
  <c r="AJ217" i="3" s="1"/>
  <c r="AI217" i="3"/>
  <c r="AH217" i="3"/>
  <c r="AG217" i="3" s="1"/>
  <c r="AF217" i="3"/>
  <c r="AE217" i="3"/>
  <c r="AD217" i="3" s="1"/>
  <c r="AC217" i="3"/>
  <c r="AB217" i="3"/>
  <c r="AA217" i="3" s="1"/>
  <c r="Z217" i="3"/>
  <c r="Y217" i="3"/>
  <c r="X217" i="3" s="1"/>
  <c r="W217" i="3"/>
  <c r="V217" i="3"/>
  <c r="T217" i="3"/>
  <c r="T216" i="3"/>
  <c r="S217" i="3"/>
  <c r="R217" i="3" s="1"/>
  <c r="Q217" i="3"/>
  <c r="P217" i="3"/>
  <c r="O217" i="3" s="1"/>
  <c r="N217" i="3"/>
  <c r="M217" i="3"/>
  <c r="L217" i="3" s="1"/>
  <c r="K217" i="3"/>
  <c r="J217" i="3"/>
  <c r="I217" i="3" s="1"/>
  <c r="H217" i="3"/>
  <c r="G217" i="3"/>
  <c r="F217" i="3" s="1"/>
  <c r="E217" i="3"/>
  <c r="EQ216" i="3"/>
  <c r="EN216" i="3"/>
  <c r="EK216" i="3"/>
  <c r="EH216" i="3"/>
  <c r="EE216" i="3"/>
  <c r="EB216" i="3"/>
  <c r="DY216" i="3"/>
  <c r="DS216" i="3"/>
  <c r="DP216" i="3"/>
  <c r="DM216" i="3"/>
  <c r="DJ216" i="3"/>
  <c r="DG216" i="3"/>
  <c r="DD216" i="3"/>
  <c r="DA216" i="3"/>
  <c r="CX216" i="3"/>
  <c r="CU216" i="3"/>
  <c r="CR216" i="3"/>
  <c r="CO216" i="3"/>
  <c r="CL216" i="3"/>
  <c r="CI216" i="3"/>
  <c r="CF216" i="3"/>
  <c r="CC216" i="3"/>
  <c r="BZ216" i="3"/>
  <c r="BW216" i="3"/>
  <c r="BT216" i="3"/>
  <c r="BQ216" i="3"/>
  <c r="BN216" i="3"/>
  <c r="BK216" i="3"/>
  <c r="BH216" i="3"/>
  <c r="BE216" i="3"/>
  <c r="BC216" i="3"/>
  <c r="BB216" i="3" s="1"/>
  <c r="BA216" i="3"/>
  <c r="AZ216" i="3"/>
  <c r="AY216" i="3" s="1"/>
  <c r="AX216" i="3"/>
  <c r="AW216" i="3"/>
  <c r="AV216" i="3" s="1"/>
  <c r="AU216" i="3"/>
  <c r="AT216" i="3"/>
  <c r="AS216" i="3" s="1"/>
  <c r="AR216" i="3"/>
  <c r="AQ216" i="3"/>
  <c r="AO216" i="3"/>
  <c r="AN216" i="3"/>
  <c r="AM216" i="3" s="1"/>
  <c r="AK216" i="3"/>
  <c r="AI216" i="3"/>
  <c r="AH216" i="3"/>
  <c r="AF216" i="3"/>
  <c r="AE216" i="3"/>
  <c r="AD216" i="3" s="1"/>
  <c r="AC216" i="3"/>
  <c r="AB216" i="3"/>
  <c r="AA216" i="3" s="1"/>
  <c r="Z216" i="3"/>
  <c r="Y216" i="3"/>
  <c r="X216" i="3" s="1"/>
  <c r="W216" i="3"/>
  <c r="V216" i="3"/>
  <c r="U216" i="3" s="1"/>
  <c r="S216" i="3"/>
  <c r="Q216" i="3"/>
  <c r="P216" i="3"/>
  <c r="N216" i="3"/>
  <c r="M216" i="3"/>
  <c r="K216" i="3"/>
  <c r="J216" i="3"/>
  <c r="H216" i="3"/>
  <c r="G216" i="3"/>
  <c r="F216" i="3" s="1"/>
  <c r="E216" i="3"/>
  <c r="DM214" i="3"/>
  <c r="DJ214" i="3"/>
  <c r="DG214" i="3"/>
  <c r="DD214" i="3"/>
  <c r="DA214" i="3"/>
  <c r="CX214" i="3"/>
  <c r="CU214" i="3"/>
  <c r="CR214" i="3"/>
  <c r="CO214" i="3"/>
  <c r="CL214" i="3"/>
  <c r="CI214" i="3"/>
  <c r="CF214" i="3"/>
  <c r="CC214" i="3"/>
  <c r="BZ214" i="3"/>
  <c r="BW214" i="3"/>
  <c r="BT214" i="3"/>
  <c r="BQ214" i="3"/>
  <c r="BN214" i="3"/>
  <c r="BK214" i="3"/>
  <c r="BH214" i="3"/>
  <c r="BE214" i="3"/>
  <c r="BC214" i="3"/>
  <c r="BB214" i="3" s="1"/>
  <c r="BA214" i="3"/>
  <c r="AZ214" i="3"/>
  <c r="AY214" i="3" s="1"/>
  <c r="AX214" i="3"/>
  <c r="AW214" i="3"/>
  <c r="AV214" i="3" s="1"/>
  <c r="AU214" i="3"/>
  <c r="AT214" i="3"/>
  <c r="AS214" i="3" s="1"/>
  <c r="AR214" i="3"/>
  <c r="AQ214" i="3"/>
  <c r="AP214" i="3" s="1"/>
  <c r="AO214" i="3"/>
  <c r="AN214" i="3"/>
  <c r="AM214" i="3" s="1"/>
  <c r="AL214" i="3"/>
  <c r="AK214" i="3"/>
  <c r="AJ214" i="3" s="1"/>
  <c r="AI214" i="3"/>
  <c r="AI212" i="3"/>
  <c r="AI213" i="3"/>
  <c r="AH214" i="3"/>
  <c r="AF214" i="3"/>
  <c r="AE214" i="3"/>
  <c r="AD214" i="3" s="1"/>
  <c r="AC214" i="3"/>
  <c r="AB214" i="3"/>
  <c r="AA214" i="3" s="1"/>
  <c r="Z214" i="3"/>
  <c r="Y214" i="3"/>
  <c r="X214" i="3" s="1"/>
  <c r="W214" i="3"/>
  <c r="V214" i="3"/>
  <c r="U214" i="3" s="1"/>
  <c r="T214" i="3"/>
  <c r="S214" i="3"/>
  <c r="R214" i="3" s="1"/>
  <c r="Q214" i="3"/>
  <c r="Q212" i="3"/>
  <c r="Q213" i="3"/>
  <c r="P214" i="3"/>
  <c r="O214" i="3" s="1"/>
  <c r="N214" i="3"/>
  <c r="M214" i="3"/>
  <c r="L214" i="3" s="1"/>
  <c r="K214" i="3"/>
  <c r="J214" i="3"/>
  <c r="I214" i="3" s="1"/>
  <c r="H214" i="3"/>
  <c r="G214" i="3"/>
  <c r="F214" i="3" s="1"/>
  <c r="E214" i="3"/>
  <c r="DR213" i="3"/>
  <c r="DR211" i="3" s="1"/>
  <c r="DQ213" i="3"/>
  <c r="DQ211" i="3" s="1"/>
  <c r="DO213" i="3"/>
  <c r="DO211" i="3" s="1"/>
  <c r="DN213" i="3"/>
  <c r="DN211" i="3" s="1"/>
  <c r="DL213" i="3"/>
  <c r="DL211" i="3" s="1"/>
  <c r="DK213" i="3"/>
  <c r="DK211" i="3" s="1"/>
  <c r="DI213" i="3"/>
  <c r="DI211" i="3" s="1"/>
  <c r="DH213" i="3"/>
  <c r="DH211" i="3" s="1"/>
  <c r="DF213" i="3"/>
  <c r="DF211" i="3" s="1"/>
  <c r="DE213" i="3"/>
  <c r="DE211" i="3" s="1"/>
  <c r="DC213" i="3"/>
  <c r="DC211" i="3" s="1"/>
  <c r="DB213" i="3"/>
  <c r="DB211" i="3" s="1"/>
  <c r="CZ213" i="3"/>
  <c r="CZ211" i="3" s="1"/>
  <c r="CY213" i="3"/>
  <c r="CY211" i="3" s="1"/>
  <c r="CW213" i="3"/>
  <c r="CW211" i="3" s="1"/>
  <c r="CV213" i="3"/>
  <c r="CV211" i="3" s="1"/>
  <c r="CT213" i="3"/>
  <c r="CT211" i="3" s="1"/>
  <c r="CS213" i="3"/>
  <c r="CS211" i="3" s="1"/>
  <c r="CQ213" i="3"/>
  <c r="CQ211" i="3" s="1"/>
  <c r="CP213" i="3"/>
  <c r="CP211" i="3" s="1"/>
  <c r="CN213" i="3"/>
  <c r="CN211" i="3" s="1"/>
  <c r="CM213" i="3"/>
  <c r="CM211" i="3" s="1"/>
  <c r="CK213" i="3"/>
  <c r="CK211" i="3" s="1"/>
  <c r="CJ213" i="3"/>
  <c r="CJ211" i="3" s="1"/>
  <c r="CH213" i="3"/>
  <c r="CH211" i="3" s="1"/>
  <c r="CG213" i="3"/>
  <c r="CG211" i="3" s="1"/>
  <c r="CE213" i="3"/>
  <c r="CE211" i="3" s="1"/>
  <c r="CD213" i="3"/>
  <c r="CD211" i="3" s="1"/>
  <c r="CB213" i="3"/>
  <c r="CB211" i="3" s="1"/>
  <c r="CA213" i="3"/>
  <c r="CA211" i="3" s="1"/>
  <c r="BY213" i="3"/>
  <c r="BY211" i="3" s="1"/>
  <c r="BX213" i="3"/>
  <c r="BX211" i="3" s="1"/>
  <c r="BV213" i="3"/>
  <c r="BV211" i="3" s="1"/>
  <c r="BU213" i="3"/>
  <c r="BU211" i="3" s="1"/>
  <c r="BR213" i="3"/>
  <c r="BR211" i="3" s="1"/>
  <c r="BP213" i="3"/>
  <c r="BP211" i="3" s="1"/>
  <c r="BO213" i="3"/>
  <c r="BO211" i="3" s="1"/>
  <c r="BM213" i="3"/>
  <c r="BM211" i="3" s="1"/>
  <c r="BL213" i="3"/>
  <c r="BL211" i="3" s="1"/>
  <c r="BJ213" i="3"/>
  <c r="BJ211" i="3" s="1"/>
  <c r="BI213" i="3"/>
  <c r="BI211" i="3" s="1"/>
  <c r="BG213" i="3"/>
  <c r="BG211" i="3" s="1"/>
  <c r="BF213" i="3"/>
  <c r="BF211" i="3" s="1"/>
  <c r="BD213" i="3"/>
  <c r="BD211" i="3" s="1"/>
  <c r="BC213" i="3"/>
  <c r="BA213" i="3"/>
  <c r="AZ213" i="3"/>
  <c r="AX213" i="3"/>
  <c r="AX212" i="3"/>
  <c r="AW213" i="3"/>
  <c r="AU213" i="3"/>
  <c r="AT213" i="3"/>
  <c r="AT212" i="3"/>
  <c r="AS212" i="3" s="1"/>
  <c r="AR213" i="3"/>
  <c r="AQ213" i="3"/>
  <c r="AO213" i="3"/>
  <c r="AN213" i="3"/>
  <c r="AL213" i="3"/>
  <c r="AK213" i="3"/>
  <c r="AH213" i="3"/>
  <c r="AG213" i="3" s="1"/>
  <c r="AF213" i="3"/>
  <c r="AE213" i="3"/>
  <c r="AD213" i="3" s="1"/>
  <c r="AC213" i="3"/>
  <c r="AB213" i="3"/>
  <c r="AA213" i="3" s="1"/>
  <c r="Z213" i="3"/>
  <c r="Y213" i="3"/>
  <c r="X213" i="3" s="1"/>
  <c r="W213" i="3"/>
  <c r="V213" i="3"/>
  <c r="U213" i="3" s="1"/>
  <c r="T213" i="3"/>
  <c r="S213" i="3"/>
  <c r="R213" i="3" s="1"/>
  <c r="P213" i="3"/>
  <c r="O213" i="3" s="1"/>
  <c r="N213" i="3"/>
  <c r="M213" i="3"/>
  <c r="L213" i="3" s="1"/>
  <c r="K213" i="3"/>
  <c r="K212" i="3"/>
  <c r="J213" i="3"/>
  <c r="I213" i="3" s="1"/>
  <c r="H213" i="3"/>
  <c r="G213" i="3"/>
  <c r="F213" i="3" s="1"/>
  <c r="E213" i="3"/>
  <c r="EQ212" i="3"/>
  <c r="EN212" i="3"/>
  <c r="EK212" i="3"/>
  <c r="EH212" i="3"/>
  <c r="EE212" i="3"/>
  <c r="EB212" i="3"/>
  <c r="DY212" i="3"/>
  <c r="DS212" i="3"/>
  <c r="DP212" i="3"/>
  <c r="DM212" i="3"/>
  <c r="DJ212" i="3"/>
  <c r="DG212" i="3"/>
  <c r="DD212" i="3"/>
  <c r="DA212" i="3"/>
  <c r="CX212" i="3"/>
  <c r="CU212" i="3"/>
  <c r="CR212" i="3"/>
  <c r="CO212" i="3"/>
  <c r="CL212" i="3"/>
  <c r="CI212" i="3"/>
  <c r="CF212" i="3"/>
  <c r="CC212" i="3"/>
  <c r="BZ212" i="3"/>
  <c r="BW212" i="3"/>
  <c r="BT212" i="3"/>
  <c r="BQ212" i="3"/>
  <c r="BN212" i="3"/>
  <c r="BK212" i="3"/>
  <c r="BH212" i="3"/>
  <c r="BE212" i="3"/>
  <c r="BC212" i="3"/>
  <c r="BB212" i="3" s="1"/>
  <c r="BA212" i="3"/>
  <c r="AZ212" i="3"/>
  <c r="AY212" i="3" s="1"/>
  <c r="AW212" i="3"/>
  <c r="AV212" i="3" s="1"/>
  <c r="AU212" i="3"/>
  <c r="AR212" i="3"/>
  <c r="AQ212" i="3"/>
  <c r="AO212" i="3"/>
  <c r="AN212" i="3"/>
  <c r="AL212" i="3"/>
  <c r="AK212" i="3"/>
  <c r="AJ212" i="3" s="1"/>
  <c r="AH212" i="3"/>
  <c r="AG212" i="3" s="1"/>
  <c r="AF212" i="3"/>
  <c r="AE212" i="3"/>
  <c r="AD212" i="3" s="1"/>
  <c r="AC212" i="3"/>
  <c r="AB212" i="3"/>
  <c r="Z212" i="3"/>
  <c r="Y212" i="3"/>
  <c r="X212" i="3" s="1"/>
  <c r="W212" i="3"/>
  <c r="V212" i="3"/>
  <c r="U212" i="3" s="1"/>
  <c r="T212" i="3"/>
  <c r="S212" i="3"/>
  <c r="R212" i="3" s="1"/>
  <c r="P212" i="3"/>
  <c r="O212" i="3" s="1"/>
  <c r="N212" i="3"/>
  <c r="M212" i="3"/>
  <c r="L212" i="3" s="1"/>
  <c r="J212" i="3"/>
  <c r="I212" i="3" s="1"/>
  <c r="H212" i="3"/>
  <c r="G212" i="3"/>
  <c r="E212" i="3"/>
  <c r="EQ210" i="3"/>
  <c r="EN210" i="3"/>
  <c r="EK210" i="3"/>
  <c r="EH210" i="3"/>
  <c r="EE210" i="3"/>
  <c r="EB210" i="3"/>
  <c r="DY210" i="3"/>
  <c r="DS210" i="3"/>
  <c r="DP210" i="3"/>
  <c r="DM210" i="3"/>
  <c r="DJ210" i="3"/>
  <c r="DG210" i="3"/>
  <c r="DD210" i="3"/>
  <c r="DA210" i="3"/>
  <c r="CX210" i="3"/>
  <c r="CU210" i="3"/>
  <c r="CR210" i="3"/>
  <c r="CO210" i="3"/>
  <c r="CL210" i="3"/>
  <c r="CI210" i="3"/>
  <c r="CF210" i="3"/>
  <c r="CC210" i="3"/>
  <c r="BZ210" i="3"/>
  <c r="BW210" i="3"/>
  <c r="BT210" i="3"/>
  <c r="BQ210" i="3"/>
  <c r="BN210" i="3"/>
  <c r="BK210" i="3"/>
  <c r="BH210" i="3"/>
  <c r="BE210" i="3"/>
  <c r="BC210" i="3"/>
  <c r="BB210" i="3" s="1"/>
  <c r="BA210" i="3"/>
  <c r="AZ210" i="3"/>
  <c r="AY210" i="3" s="1"/>
  <c r="AX210" i="3"/>
  <c r="AW210" i="3"/>
  <c r="AV210" i="3" s="1"/>
  <c r="AU210" i="3"/>
  <c r="AT210" i="3"/>
  <c r="AS210" i="3" s="1"/>
  <c r="AR210" i="3"/>
  <c r="AQ210" i="3"/>
  <c r="AP210" i="3" s="1"/>
  <c r="AO210" i="3"/>
  <c r="AN210" i="3"/>
  <c r="AM210" i="3" s="1"/>
  <c r="AL210" i="3"/>
  <c r="AK210" i="3"/>
  <c r="AJ210" i="3" s="1"/>
  <c r="AI210" i="3"/>
  <c r="AH210" i="3"/>
  <c r="AG210" i="3" s="1"/>
  <c r="AF210" i="3"/>
  <c r="AE210" i="3"/>
  <c r="AD210" i="3" s="1"/>
  <c r="AC210" i="3"/>
  <c r="AB210" i="3"/>
  <c r="AA210" i="3" s="1"/>
  <c r="Z210" i="3"/>
  <c r="Y210" i="3"/>
  <c r="X210" i="3" s="1"/>
  <c r="W210" i="3"/>
  <c r="V210" i="3"/>
  <c r="U210" i="3" s="1"/>
  <c r="T210" i="3"/>
  <c r="S210" i="3"/>
  <c r="R210" i="3" s="1"/>
  <c r="Q210" i="3"/>
  <c r="P210" i="3"/>
  <c r="O210" i="3" s="1"/>
  <c r="N210" i="3"/>
  <c r="M210" i="3"/>
  <c r="L210" i="3" s="1"/>
  <c r="K210" i="3"/>
  <c r="J210" i="3"/>
  <c r="I210" i="3" s="1"/>
  <c r="H210" i="3"/>
  <c r="G210" i="3"/>
  <c r="F210" i="3" s="1"/>
  <c r="E210" i="3"/>
  <c r="BX209" i="3"/>
  <c r="BY209" i="3" s="1"/>
  <c r="CA209" i="3" s="1"/>
  <c r="CB209" i="3" s="1"/>
  <c r="CD209" i="3" s="1"/>
  <c r="CC209" i="3" s="1"/>
  <c r="BM209" i="3"/>
  <c r="BL209" i="3"/>
  <c r="BJ209" i="3"/>
  <c r="BI209" i="3"/>
  <c r="BG209" i="3"/>
  <c r="BF209" i="3"/>
  <c r="BD209" i="3"/>
  <c r="BC209" i="3"/>
  <c r="BA209" i="3"/>
  <c r="AZ209" i="3"/>
  <c r="AX209" i="3"/>
  <c r="AW209" i="3"/>
  <c r="AU209" i="3"/>
  <c r="AT209" i="3"/>
  <c r="AR209" i="3"/>
  <c r="AQ209" i="3"/>
  <c r="AO209" i="3"/>
  <c r="AN209" i="3"/>
  <c r="AL209" i="3"/>
  <c r="AK209" i="3"/>
  <c r="AI209" i="3"/>
  <c r="AH209" i="3"/>
  <c r="AG209" i="3" s="1"/>
  <c r="AF209" i="3"/>
  <c r="AE209" i="3"/>
  <c r="AD209" i="3" s="1"/>
  <c r="AC209" i="3"/>
  <c r="AB209" i="3"/>
  <c r="AA209" i="3" s="1"/>
  <c r="Z209" i="3"/>
  <c r="Y209" i="3"/>
  <c r="X209" i="3" s="1"/>
  <c r="W209" i="3"/>
  <c r="V209" i="3"/>
  <c r="U209" i="3" s="1"/>
  <c r="T209" i="3"/>
  <c r="S209" i="3"/>
  <c r="R209" i="3" s="1"/>
  <c r="Q209" i="3"/>
  <c r="P209" i="3"/>
  <c r="O209" i="3" s="1"/>
  <c r="N209" i="3"/>
  <c r="M209" i="3"/>
  <c r="L209" i="3" s="1"/>
  <c r="K209" i="3"/>
  <c r="J209" i="3"/>
  <c r="I209" i="3" s="1"/>
  <c r="H209" i="3"/>
  <c r="G209" i="3"/>
  <c r="F209" i="3" s="1"/>
  <c r="E209" i="3"/>
  <c r="CE208" i="3"/>
  <c r="AH208" i="3"/>
  <c r="AG208" i="3" s="1"/>
  <c r="AF208" i="3"/>
  <c r="AE208" i="3"/>
  <c r="AD208" i="3" s="1"/>
  <c r="AC208" i="3"/>
  <c r="AB208" i="3"/>
  <c r="AA208" i="3" s="1"/>
  <c r="Z208" i="3"/>
  <c r="Y208" i="3"/>
  <c r="X208" i="3" s="1"/>
  <c r="W208" i="3"/>
  <c r="V208" i="3"/>
  <c r="U208" i="3" s="1"/>
  <c r="T208" i="3"/>
  <c r="S208" i="3"/>
  <c r="R208" i="3" s="1"/>
  <c r="Q208" i="3"/>
  <c r="P208" i="3"/>
  <c r="O208" i="3" s="1"/>
  <c r="N208" i="3"/>
  <c r="M208" i="3"/>
  <c r="L208" i="3" s="1"/>
  <c r="K208" i="3"/>
  <c r="J208" i="3"/>
  <c r="I208" i="3" s="1"/>
  <c r="H208" i="3"/>
  <c r="G208" i="3"/>
  <c r="F208" i="3" s="1"/>
  <c r="E208" i="3"/>
  <c r="DF207" i="3"/>
  <c r="CF207" i="3"/>
  <c r="CG207" i="3" s="1"/>
  <c r="CH207" i="3" s="1"/>
  <c r="CI207" i="3" s="1"/>
  <c r="CJ207" i="3" s="1"/>
  <c r="CK207" i="3" s="1"/>
  <c r="CL207" i="3" s="1"/>
  <c r="CC207" i="3"/>
  <c r="BZ207" i="3"/>
  <c r="BW207" i="3"/>
  <c r="BT207" i="3"/>
  <c r="BQ207" i="3"/>
  <c r="BN207" i="3"/>
  <c r="BK207" i="3"/>
  <c r="BH207" i="3"/>
  <c r="BE207" i="3"/>
  <c r="BC207" i="3"/>
  <c r="BB207" i="3" s="1"/>
  <c r="BA207" i="3"/>
  <c r="AZ207" i="3"/>
  <c r="AY207" i="3" s="1"/>
  <c r="AX207" i="3"/>
  <c r="AW207" i="3"/>
  <c r="AV207" i="3" s="1"/>
  <c r="AU207" i="3"/>
  <c r="AT207" i="3"/>
  <c r="AS207" i="3" s="1"/>
  <c r="AR207" i="3"/>
  <c r="AQ207" i="3"/>
  <c r="AP207" i="3" s="1"/>
  <c r="AO207" i="3"/>
  <c r="AN207" i="3"/>
  <c r="AM207" i="3" s="1"/>
  <c r="AL207" i="3"/>
  <c r="AK207" i="3"/>
  <c r="AJ207" i="3" s="1"/>
  <c r="AI207" i="3"/>
  <c r="AH207" i="3"/>
  <c r="AG207" i="3" s="1"/>
  <c r="AF207" i="3"/>
  <c r="AE207" i="3"/>
  <c r="AD207" i="3" s="1"/>
  <c r="AC207" i="3"/>
  <c r="AB207" i="3"/>
  <c r="AA207" i="3" s="1"/>
  <c r="Z207" i="3"/>
  <c r="Y207" i="3"/>
  <c r="X207" i="3" s="1"/>
  <c r="W207" i="3"/>
  <c r="V207" i="3"/>
  <c r="T207" i="3"/>
  <c r="S207" i="3"/>
  <c r="Q207" i="3"/>
  <c r="P207" i="3"/>
  <c r="O207" i="3" s="1"/>
  <c r="N207" i="3"/>
  <c r="M207" i="3"/>
  <c r="L207" i="3" s="1"/>
  <c r="K207" i="3"/>
  <c r="J207" i="3"/>
  <c r="H207" i="3"/>
  <c r="G207" i="3"/>
  <c r="F207" i="3" s="1"/>
  <c r="E207" i="3"/>
  <c r="BC203" i="3"/>
  <c r="BA203" i="3"/>
  <c r="AZ203" i="3"/>
  <c r="AX203" i="3"/>
  <c r="AW203" i="3"/>
  <c r="AU203" i="3"/>
  <c r="AT203" i="3"/>
  <c r="AR203" i="3"/>
  <c r="AQ203" i="3"/>
  <c r="AO203" i="3"/>
  <c r="AN203" i="3"/>
  <c r="AL203" i="3"/>
  <c r="AK203" i="3"/>
  <c r="AI203" i="3"/>
  <c r="AH203" i="3"/>
  <c r="AG203" i="3"/>
  <c r="AF203" i="3"/>
  <c r="AE203" i="3"/>
  <c r="AD203" i="3"/>
  <c r="AC203" i="3"/>
  <c r="AB203" i="3"/>
  <c r="AA203" i="3"/>
  <c r="Z203" i="3"/>
  <c r="Y203" i="3"/>
  <c r="X203" i="3"/>
  <c r="W203" i="3"/>
  <c r="V203" i="3"/>
  <c r="U203" i="3"/>
  <c r="T203" i="3"/>
  <c r="S203" i="3"/>
  <c r="R203" i="3"/>
  <c r="Q203" i="3"/>
  <c r="P203" i="3"/>
  <c r="O203" i="3"/>
  <c r="N203" i="3"/>
  <c r="M203" i="3"/>
  <c r="L203" i="3"/>
  <c r="K203" i="3"/>
  <c r="J203" i="3"/>
  <c r="I203" i="3"/>
  <c r="H203" i="3"/>
  <c r="G203" i="3"/>
  <c r="F203" i="3"/>
  <c r="E203" i="3"/>
  <c r="DQ201" i="3"/>
  <c r="DQ199" i="3" s="1"/>
  <c r="DK201" i="3"/>
  <c r="DK199" i="3" s="1"/>
  <c r="DI201" i="3"/>
  <c r="DH201" i="3"/>
  <c r="DF201" i="3"/>
  <c r="DE201" i="3"/>
  <c r="DE199" i="3" s="1"/>
  <c r="DC201" i="3"/>
  <c r="DC199" i="3" s="1"/>
  <c r="DB201" i="3"/>
  <c r="DB199" i="3" s="1"/>
  <c r="CY201" i="3"/>
  <c r="CY199" i="3" s="1"/>
  <c r="CS201" i="3"/>
  <c r="CS199" i="3" s="1"/>
  <c r="CP201" i="3"/>
  <c r="CP199" i="3" s="1"/>
  <c r="CK201" i="3"/>
  <c r="CK199" i="3" s="1"/>
  <c r="CJ201" i="3"/>
  <c r="CJ199" i="3" s="1"/>
  <c r="CG201" i="3"/>
  <c r="CG199" i="3" s="1"/>
  <c r="CD201" i="3"/>
  <c r="CD199" i="3" s="1"/>
  <c r="CB201" i="3"/>
  <c r="CB199" i="3" s="1"/>
  <c r="BY201" i="3"/>
  <c r="BY199" i="3" s="1"/>
  <c r="BV201" i="3"/>
  <c r="BV199" i="3" s="1"/>
  <c r="BR201" i="3"/>
  <c r="BR199" i="3" s="1"/>
  <c r="BP201" i="3"/>
  <c r="BP199" i="3" s="1"/>
  <c r="BO201" i="3"/>
  <c r="BO199" i="3" s="1"/>
  <c r="BL201" i="3"/>
  <c r="BL199" i="3" s="1"/>
  <c r="BJ201" i="3"/>
  <c r="BJ199" i="3" s="1"/>
  <c r="BI201" i="3"/>
  <c r="BI199" i="3" s="1"/>
  <c r="BG201" i="3"/>
  <c r="BF201" i="3"/>
  <c r="BF199" i="3" s="1"/>
  <c r="BD201" i="3"/>
  <c r="BD199" i="3" s="1"/>
  <c r="BC201" i="3"/>
  <c r="BA201" i="3"/>
  <c r="BA200" i="3"/>
  <c r="AZ201" i="3"/>
  <c r="AX201" i="3"/>
  <c r="AW201" i="3"/>
  <c r="AV201" i="3"/>
  <c r="AU201" i="3"/>
  <c r="AT201" i="3"/>
  <c r="AS201" i="3"/>
  <c r="AR201" i="3"/>
  <c r="AQ201" i="3"/>
  <c r="AP201" i="3"/>
  <c r="AO201" i="3"/>
  <c r="AN201" i="3"/>
  <c r="AM201" i="3"/>
  <c r="AL201" i="3"/>
  <c r="AK201" i="3"/>
  <c r="AJ201" i="3"/>
  <c r="AJ200" i="3"/>
  <c r="AI201" i="3"/>
  <c r="AI200" i="3"/>
  <c r="AH201" i="3"/>
  <c r="AG201" i="3"/>
  <c r="AF201" i="3"/>
  <c r="AE201" i="3"/>
  <c r="AD201" i="3"/>
  <c r="AD200" i="3"/>
  <c r="AC201" i="3"/>
  <c r="AC200" i="3"/>
  <c r="AB201" i="3"/>
  <c r="AA201" i="3"/>
  <c r="Z201" i="3"/>
  <c r="Y201" i="3"/>
  <c r="X201" i="3"/>
  <c r="W201" i="3"/>
  <c r="W200" i="3"/>
  <c r="V201" i="3"/>
  <c r="U201" i="3"/>
  <c r="T201" i="3"/>
  <c r="S201" i="3"/>
  <c r="R201" i="3"/>
  <c r="R200" i="3"/>
  <c r="Q201" i="3"/>
  <c r="Q200" i="3"/>
  <c r="P201" i="3"/>
  <c r="O201" i="3"/>
  <c r="N201" i="3"/>
  <c r="M201" i="3"/>
  <c r="L201" i="3"/>
  <c r="K201" i="3"/>
  <c r="K200" i="3"/>
  <c r="J201" i="3"/>
  <c r="I201" i="3"/>
  <c r="H201" i="3"/>
  <c r="G201" i="3"/>
  <c r="F201" i="3"/>
  <c r="F200" i="3"/>
  <c r="E201" i="3"/>
  <c r="BC200" i="3"/>
  <c r="AZ200" i="3"/>
  <c r="AX200" i="3"/>
  <c r="AW200" i="3"/>
  <c r="AV200" i="3"/>
  <c r="AU200" i="3"/>
  <c r="AT200" i="3"/>
  <c r="AS200" i="3"/>
  <c r="AR200" i="3"/>
  <c r="AQ200" i="3"/>
  <c r="AK200" i="3"/>
  <c r="AH200" i="3"/>
  <c r="AH199" i="3" s="1"/>
  <c r="AG200" i="3"/>
  <c r="AG199" i="3" s="1"/>
  <c r="AF200" i="3"/>
  <c r="AE200" i="3"/>
  <c r="AE199" i="3" s="1"/>
  <c r="AB200" i="3"/>
  <c r="AA200" i="3"/>
  <c r="Z200" i="3"/>
  <c r="Y200" i="3"/>
  <c r="X200" i="3"/>
  <c r="V200" i="3"/>
  <c r="U200" i="3"/>
  <c r="T200" i="3"/>
  <c r="S200" i="3"/>
  <c r="P200" i="3"/>
  <c r="O200" i="3"/>
  <c r="N200" i="3"/>
  <c r="M200" i="3"/>
  <c r="L200" i="3"/>
  <c r="J200" i="3"/>
  <c r="I200" i="3"/>
  <c r="H200" i="3"/>
  <c r="G200" i="3"/>
  <c r="E200" i="3"/>
  <c r="BG199" i="3"/>
  <c r="BC198" i="3"/>
  <c r="BA198" i="3"/>
  <c r="AZ198" i="3"/>
  <c r="AX198" i="3"/>
  <c r="AW198" i="3"/>
  <c r="AW197" i="3"/>
  <c r="AV198" i="3"/>
  <c r="AU198" i="3"/>
  <c r="AT198" i="3"/>
  <c r="AS198" i="3"/>
  <c r="AR198" i="3"/>
  <c r="AQ198" i="3"/>
  <c r="AP198" i="3"/>
  <c r="AP197" i="3"/>
  <c r="AO198" i="3"/>
  <c r="AN198" i="3"/>
  <c r="AM198" i="3"/>
  <c r="AL198" i="3"/>
  <c r="AK198" i="3"/>
  <c r="AJ198" i="3"/>
  <c r="AJ197" i="3"/>
  <c r="AI198" i="3"/>
  <c r="AH198" i="3"/>
  <c r="AG198" i="3"/>
  <c r="AG197" i="3"/>
  <c r="AF198" i="3"/>
  <c r="AE198" i="3"/>
  <c r="AD198" i="3"/>
  <c r="AD197" i="3"/>
  <c r="AC198" i="3"/>
  <c r="AB198" i="3"/>
  <c r="AA198" i="3"/>
  <c r="Z198" i="3"/>
  <c r="Y198" i="3"/>
  <c r="X198" i="3"/>
  <c r="X197" i="3"/>
  <c r="W198" i="3"/>
  <c r="V198" i="3"/>
  <c r="U198" i="3"/>
  <c r="T198" i="3"/>
  <c r="S198" i="3"/>
  <c r="R198" i="3"/>
  <c r="R197" i="3"/>
  <c r="Q198" i="3"/>
  <c r="P198" i="3"/>
  <c r="O198" i="3"/>
  <c r="N198" i="3"/>
  <c r="M198" i="3"/>
  <c r="L198" i="3"/>
  <c r="L197" i="3"/>
  <c r="K198" i="3"/>
  <c r="J198" i="3"/>
  <c r="I198" i="3"/>
  <c r="H198" i="3"/>
  <c r="G198" i="3"/>
  <c r="F198" i="3"/>
  <c r="F197" i="3"/>
  <c r="E198" i="3"/>
  <c r="DH197" i="3"/>
  <c r="DH196" i="3" s="1"/>
  <c r="BC197" i="3"/>
  <c r="BA197" i="3"/>
  <c r="AZ197" i="3"/>
  <c r="AX197" i="3"/>
  <c r="AU197" i="3"/>
  <c r="AT197" i="3"/>
  <c r="AS197" i="3"/>
  <c r="AR197" i="3"/>
  <c r="AQ197" i="3"/>
  <c r="AO197" i="3"/>
  <c r="AN197" i="3"/>
  <c r="AM197" i="3"/>
  <c r="AL197" i="3"/>
  <c r="AK197" i="3"/>
  <c r="AI197" i="3"/>
  <c r="AH197" i="3"/>
  <c r="AF197" i="3"/>
  <c r="AE197" i="3"/>
  <c r="AC197" i="3"/>
  <c r="AB197" i="3"/>
  <c r="AB196" i="3" s="1"/>
  <c r="AA197" i="3"/>
  <c r="AA196" i="3" s="1"/>
  <c r="Z197" i="3"/>
  <c r="Y197" i="3"/>
  <c r="Y196" i="3" s="1"/>
  <c r="W197" i="3"/>
  <c r="V197" i="3"/>
  <c r="U197" i="3"/>
  <c r="T197" i="3"/>
  <c r="S197" i="3"/>
  <c r="Q197" i="3"/>
  <c r="P197" i="3"/>
  <c r="O197" i="3"/>
  <c r="N197" i="3"/>
  <c r="M197" i="3"/>
  <c r="K197" i="3"/>
  <c r="J197" i="3"/>
  <c r="I197" i="3"/>
  <c r="H197" i="3"/>
  <c r="G197" i="3"/>
  <c r="E197" i="3"/>
  <c r="ER196" i="3"/>
  <c r="EP196" i="3"/>
  <c r="EO196" i="3"/>
  <c r="EM196" i="3"/>
  <c r="EL196" i="3"/>
  <c r="EJ196" i="3"/>
  <c r="EI196" i="3"/>
  <c r="EG196" i="3"/>
  <c r="EF196" i="3"/>
  <c r="ED196" i="3"/>
  <c r="EC196" i="3"/>
  <c r="EA196" i="3"/>
  <c r="DZ196" i="3"/>
  <c r="DX196" i="3"/>
  <c r="DU196" i="3"/>
  <c r="DT196" i="3"/>
  <c r="DR196" i="3"/>
  <c r="DQ196" i="3"/>
  <c r="DO196" i="3"/>
  <c r="DN196" i="3"/>
  <c r="DL196" i="3"/>
  <c r="DK196" i="3"/>
  <c r="DI196" i="3"/>
  <c r="DF196" i="3"/>
  <c r="DE196" i="3"/>
  <c r="DC196" i="3"/>
  <c r="DB196" i="3"/>
  <c r="CZ196" i="3"/>
  <c r="CY196" i="3"/>
  <c r="CW196" i="3"/>
  <c r="CV196" i="3"/>
  <c r="CT196" i="3"/>
  <c r="CS196" i="3"/>
  <c r="CQ196" i="3"/>
  <c r="CP196" i="3"/>
  <c r="CN196" i="3"/>
  <c r="CM196" i="3"/>
  <c r="CK196" i="3"/>
  <c r="CJ196" i="3"/>
  <c r="CH196" i="3"/>
  <c r="CG196" i="3"/>
  <c r="CE196" i="3"/>
  <c r="CD196" i="3"/>
  <c r="CB196" i="3"/>
  <c r="CA196" i="3"/>
  <c r="BY196" i="3"/>
  <c r="BX196" i="3"/>
  <c r="BV196" i="3"/>
  <c r="BU196" i="3"/>
  <c r="BS196" i="3"/>
  <c r="BR196" i="3"/>
  <c r="BP196" i="3"/>
  <c r="BO196" i="3"/>
  <c r="BM196" i="3"/>
  <c r="BL196" i="3"/>
  <c r="BJ196" i="3"/>
  <c r="BI196" i="3"/>
  <c r="BG196" i="3"/>
  <c r="BF196" i="3"/>
  <c r="BD196" i="3"/>
  <c r="BC194" i="3"/>
  <c r="BA194" i="3"/>
  <c r="AZ194" i="3"/>
  <c r="AX194" i="3"/>
  <c r="AW194" i="3"/>
  <c r="AV194" i="3"/>
  <c r="AU194" i="3"/>
  <c r="AT194" i="3"/>
  <c r="AS194" i="3"/>
  <c r="AR194" i="3"/>
  <c r="AQ194" i="3"/>
  <c r="AP194" i="3"/>
  <c r="AO194" i="3"/>
  <c r="AN194" i="3"/>
  <c r="AM194" i="3"/>
  <c r="AL194" i="3"/>
  <c r="AK194" i="3"/>
  <c r="AJ194" i="3"/>
  <c r="AI194" i="3"/>
  <c r="AH194" i="3"/>
  <c r="AG194" i="3"/>
  <c r="AF194" i="3"/>
  <c r="AE194" i="3"/>
  <c r="AD194" i="3"/>
  <c r="AC194" i="3"/>
  <c r="AB194" i="3"/>
  <c r="AA194" i="3"/>
  <c r="Z194" i="3"/>
  <c r="Y194" i="3"/>
  <c r="X194" i="3"/>
  <c r="W194" i="3"/>
  <c r="V194" i="3"/>
  <c r="U194" i="3"/>
  <c r="T194" i="3"/>
  <c r="S194" i="3"/>
  <c r="R194" i="3"/>
  <c r="Q194" i="3"/>
  <c r="P194" i="3"/>
  <c r="O194" i="3"/>
  <c r="N194" i="3"/>
  <c r="M194" i="3"/>
  <c r="L194" i="3"/>
  <c r="K194" i="3"/>
  <c r="J194" i="3"/>
  <c r="I194" i="3"/>
  <c r="H194" i="3"/>
  <c r="G194" i="3"/>
  <c r="F194" i="3"/>
  <c r="E194" i="3"/>
  <c r="BC193" i="3"/>
  <c r="BA193" i="3"/>
  <c r="AZ193" i="3"/>
  <c r="AX193" i="3"/>
  <c r="AW193" i="3"/>
  <c r="AV193" i="3"/>
  <c r="AU193" i="3"/>
  <c r="AT193" i="3"/>
  <c r="AS193" i="3"/>
  <c r="AR193" i="3"/>
  <c r="AQ193" i="3"/>
  <c r="AP193" i="3"/>
  <c r="AO193" i="3"/>
  <c r="AN193" i="3"/>
  <c r="AM193" i="3"/>
  <c r="AL193" i="3"/>
  <c r="AK193" i="3"/>
  <c r="AJ193" i="3"/>
  <c r="AI193" i="3"/>
  <c r="AH193" i="3"/>
  <c r="AG193" i="3"/>
  <c r="AF193" i="3"/>
  <c r="AE193" i="3"/>
  <c r="AD193" i="3"/>
  <c r="AC193" i="3"/>
  <c r="AB193" i="3"/>
  <c r="AA193" i="3"/>
  <c r="Z193" i="3"/>
  <c r="Y193" i="3"/>
  <c r="X193" i="3"/>
  <c r="W193" i="3"/>
  <c r="V193" i="3"/>
  <c r="U193" i="3"/>
  <c r="T193" i="3"/>
  <c r="S193" i="3"/>
  <c r="R193" i="3"/>
  <c r="Q193" i="3"/>
  <c r="P193" i="3"/>
  <c r="O193" i="3"/>
  <c r="N193" i="3"/>
  <c r="M193" i="3"/>
  <c r="L193" i="3"/>
  <c r="K193" i="3"/>
  <c r="J193" i="3"/>
  <c r="I193" i="3"/>
  <c r="H193" i="3"/>
  <c r="G193" i="3"/>
  <c r="F193" i="3"/>
  <c r="E193" i="3"/>
  <c r="BC192" i="3"/>
  <c r="BA192" i="3"/>
  <c r="AZ192" i="3"/>
  <c r="AX192" i="3"/>
  <c r="AX190" i="3"/>
  <c r="AX191" i="3"/>
  <c r="AW192" i="3"/>
  <c r="AV192" i="3"/>
  <c r="AU192" i="3"/>
  <c r="AT192" i="3"/>
  <c r="AS192" i="3"/>
  <c r="AR192" i="3"/>
  <c r="AR190" i="3"/>
  <c r="AR191" i="3"/>
  <c r="AQ192" i="3"/>
  <c r="AP192" i="3"/>
  <c r="AO192" i="3"/>
  <c r="AN192" i="3"/>
  <c r="AM192" i="3"/>
  <c r="AL192" i="3"/>
  <c r="AK192" i="3"/>
  <c r="AJ192" i="3"/>
  <c r="AI192" i="3"/>
  <c r="AH192" i="3"/>
  <c r="AG192" i="3"/>
  <c r="AF192" i="3"/>
  <c r="AF190" i="3"/>
  <c r="AF191" i="3"/>
  <c r="AE192" i="3"/>
  <c r="AD192" i="3"/>
  <c r="AC192" i="3"/>
  <c r="AB192" i="3"/>
  <c r="AA192" i="3"/>
  <c r="Z192" i="3"/>
  <c r="Y192" i="3"/>
  <c r="X192" i="3"/>
  <c r="W192" i="3"/>
  <c r="V192" i="3"/>
  <c r="U192" i="3"/>
  <c r="T192" i="3"/>
  <c r="S192" i="3"/>
  <c r="R192" i="3"/>
  <c r="Q192" i="3"/>
  <c r="P192" i="3"/>
  <c r="O192" i="3"/>
  <c r="N192" i="3"/>
  <c r="N190" i="3"/>
  <c r="N191" i="3"/>
  <c r="M192" i="3"/>
  <c r="L192" i="3"/>
  <c r="K192" i="3"/>
  <c r="J192" i="3"/>
  <c r="I192" i="3"/>
  <c r="H192" i="3"/>
  <c r="H190" i="3"/>
  <c r="H191" i="3"/>
  <c r="G192" i="3"/>
  <c r="F192" i="3"/>
  <c r="E192" i="3"/>
  <c r="BC191" i="3"/>
  <c r="BA191" i="3"/>
  <c r="AZ191" i="3"/>
  <c r="AW191" i="3"/>
  <c r="AV191" i="3"/>
  <c r="AU191" i="3"/>
  <c r="AT191" i="3"/>
  <c r="AS191" i="3"/>
  <c r="AQ191" i="3"/>
  <c r="AP191" i="3"/>
  <c r="AO191" i="3"/>
  <c r="AN191" i="3"/>
  <c r="AM191" i="3"/>
  <c r="AL191" i="3"/>
  <c r="AK191" i="3"/>
  <c r="AJ191" i="3"/>
  <c r="AI191" i="3"/>
  <c r="AH191" i="3"/>
  <c r="AG191" i="3"/>
  <c r="AE191" i="3"/>
  <c r="AD191" i="3"/>
  <c r="AC191" i="3"/>
  <c r="AB191" i="3"/>
  <c r="AA191" i="3"/>
  <c r="Z191" i="3"/>
  <c r="Y191" i="3"/>
  <c r="X191" i="3"/>
  <c r="W191" i="3"/>
  <c r="V191" i="3"/>
  <c r="U191" i="3"/>
  <c r="T191" i="3"/>
  <c r="S191" i="3"/>
  <c r="R191" i="3"/>
  <c r="Q191" i="3"/>
  <c r="P191" i="3"/>
  <c r="O191" i="3"/>
  <c r="M191" i="3"/>
  <c r="L191" i="3"/>
  <c r="K191" i="3"/>
  <c r="J191" i="3"/>
  <c r="I191" i="3"/>
  <c r="G191" i="3"/>
  <c r="F191" i="3"/>
  <c r="E191" i="3"/>
  <c r="BC190" i="3"/>
  <c r="BA190" i="3"/>
  <c r="AZ190" i="3"/>
  <c r="AW190" i="3"/>
  <c r="AV190" i="3"/>
  <c r="AU190" i="3"/>
  <c r="AT190" i="3"/>
  <c r="AS190" i="3"/>
  <c r="AQ190" i="3"/>
  <c r="AP190" i="3"/>
  <c r="AO190" i="3"/>
  <c r="AN190" i="3"/>
  <c r="AM190" i="3"/>
  <c r="AL190" i="3"/>
  <c r="AK190" i="3"/>
  <c r="AJ190" i="3"/>
  <c r="AI190" i="3"/>
  <c r="AH190" i="3"/>
  <c r="AG190" i="3"/>
  <c r="AE190" i="3"/>
  <c r="AD190" i="3"/>
  <c r="AC190" i="3"/>
  <c r="AB190" i="3"/>
  <c r="AA190" i="3"/>
  <c r="Z190" i="3"/>
  <c r="Y190" i="3"/>
  <c r="X190" i="3"/>
  <c r="W190" i="3"/>
  <c r="V190" i="3"/>
  <c r="U190" i="3"/>
  <c r="T190" i="3"/>
  <c r="S190" i="3"/>
  <c r="R190" i="3"/>
  <c r="Q190" i="3"/>
  <c r="P190" i="3"/>
  <c r="O190" i="3"/>
  <c r="M190" i="3"/>
  <c r="L190" i="3"/>
  <c r="K190" i="3"/>
  <c r="J190" i="3"/>
  <c r="I190" i="3"/>
  <c r="G190" i="3"/>
  <c r="F190" i="3"/>
  <c r="E190" i="3"/>
  <c r="ER189" i="3"/>
  <c r="EP189" i="3"/>
  <c r="EO189" i="3"/>
  <c r="EM189" i="3"/>
  <c r="EL189" i="3"/>
  <c r="EJ189" i="3"/>
  <c r="EI189" i="3"/>
  <c r="EG189" i="3"/>
  <c r="EF189" i="3"/>
  <c r="ED189" i="3"/>
  <c r="EC189" i="3"/>
  <c r="EA189" i="3"/>
  <c r="DZ189" i="3"/>
  <c r="DX189" i="3"/>
  <c r="DU189" i="3"/>
  <c r="DT189" i="3"/>
  <c r="DR189" i="3"/>
  <c r="DQ189" i="3"/>
  <c r="DO189" i="3"/>
  <c r="DN189" i="3"/>
  <c r="DL189" i="3"/>
  <c r="DK189" i="3"/>
  <c r="DI189" i="3"/>
  <c r="DH189" i="3"/>
  <c r="DF189" i="3"/>
  <c r="DE189" i="3"/>
  <c r="DC189" i="3"/>
  <c r="DB189" i="3"/>
  <c r="CZ189" i="3"/>
  <c r="CY189" i="3"/>
  <c r="CW189" i="3"/>
  <c r="CV189" i="3"/>
  <c r="CT189" i="3"/>
  <c r="CS189" i="3"/>
  <c r="CQ189" i="3"/>
  <c r="CP189" i="3"/>
  <c r="CN189" i="3"/>
  <c r="CM189" i="3"/>
  <c r="CK189" i="3"/>
  <c r="CJ189" i="3"/>
  <c r="CH189" i="3"/>
  <c r="CG189" i="3"/>
  <c r="CE189" i="3"/>
  <c r="CD189" i="3"/>
  <c r="CB189" i="3"/>
  <c r="CA189" i="3"/>
  <c r="BY189" i="3"/>
  <c r="BX189" i="3"/>
  <c r="BV189" i="3"/>
  <c r="BU189" i="3"/>
  <c r="BS189" i="3"/>
  <c r="BR189" i="3"/>
  <c r="BP189" i="3"/>
  <c r="BO189" i="3"/>
  <c r="BM189" i="3"/>
  <c r="BL189" i="3"/>
  <c r="BJ189" i="3"/>
  <c r="BI189" i="3"/>
  <c r="BG189" i="3"/>
  <c r="BF189" i="3"/>
  <c r="BD189" i="3"/>
  <c r="BC187" i="3"/>
  <c r="BA187" i="3"/>
  <c r="AZ187" i="3"/>
  <c r="AX187" i="3"/>
  <c r="AW187" i="3"/>
  <c r="AV187" i="3"/>
  <c r="AU187" i="3"/>
  <c r="AT187" i="3"/>
  <c r="AR187" i="3"/>
  <c r="AQ187" i="3"/>
  <c r="AO187" i="3"/>
  <c r="AN187" i="3"/>
  <c r="AL187" i="3"/>
  <c r="AK187" i="3"/>
  <c r="AJ187" i="3"/>
  <c r="AI187" i="3"/>
  <c r="AH187" i="3"/>
  <c r="AG187" i="3"/>
  <c r="AF187" i="3"/>
  <c r="AE187" i="3"/>
  <c r="AD187" i="3"/>
  <c r="AC187" i="3"/>
  <c r="AB187" i="3"/>
  <c r="AA187" i="3"/>
  <c r="Z187" i="3"/>
  <c r="Y187" i="3"/>
  <c r="X187" i="3"/>
  <c r="W187" i="3"/>
  <c r="V187" i="3"/>
  <c r="U187" i="3"/>
  <c r="T187" i="3"/>
  <c r="S187" i="3"/>
  <c r="R187" i="3"/>
  <c r="Q187" i="3"/>
  <c r="P187" i="3"/>
  <c r="O187" i="3"/>
  <c r="N187" i="3"/>
  <c r="M187" i="3"/>
  <c r="L187" i="3"/>
  <c r="K187" i="3"/>
  <c r="J187" i="3"/>
  <c r="I187" i="3"/>
  <c r="H187" i="3"/>
  <c r="G187" i="3"/>
  <c r="F187" i="3"/>
  <c r="E187" i="3"/>
  <c r="BC186" i="3"/>
  <c r="BA186" i="3"/>
  <c r="AZ186" i="3"/>
  <c r="AX186" i="3"/>
  <c r="AW186" i="3"/>
  <c r="AV186" i="3"/>
  <c r="AU186" i="3"/>
  <c r="AT186" i="3"/>
  <c r="AS186" i="3"/>
  <c r="AR186" i="3"/>
  <c r="AQ186" i="3"/>
  <c r="AP186" i="3"/>
  <c r="AO186" i="3"/>
  <c r="AN186" i="3"/>
  <c r="AM186" i="3"/>
  <c r="AL186" i="3"/>
  <c r="AK186" i="3"/>
  <c r="AJ186" i="3"/>
  <c r="AI186" i="3"/>
  <c r="AH186" i="3"/>
  <c r="AG186" i="3"/>
  <c r="AF186" i="3"/>
  <c r="AE186" i="3"/>
  <c r="AD186" i="3"/>
  <c r="AC186" i="3"/>
  <c r="AB186" i="3"/>
  <c r="AA186" i="3"/>
  <c r="Z186" i="3"/>
  <c r="Y186" i="3"/>
  <c r="X186" i="3"/>
  <c r="W186" i="3"/>
  <c r="V186" i="3"/>
  <c r="U186" i="3"/>
  <c r="T186" i="3"/>
  <c r="S186" i="3"/>
  <c r="R186" i="3"/>
  <c r="Q186" i="3"/>
  <c r="P186" i="3"/>
  <c r="O186" i="3"/>
  <c r="N186" i="3"/>
  <c r="M186" i="3"/>
  <c r="L186" i="3"/>
  <c r="K186" i="3"/>
  <c r="J186" i="3"/>
  <c r="I186" i="3"/>
  <c r="H186" i="3"/>
  <c r="G186" i="3"/>
  <c r="F186" i="3"/>
  <c r="E186" i="3"/>
  <c r="BC184" i="3"/>
  <c r="BA184" i="3"/>
  <c r="AZ184" i="3"/>
  <c r="AX184" i="3"/>
  <c r="AW184" i="3"/>
  <c r="AV184" i="3"/>
  <c r="AU184" i="3"/>
  <c r="AT184" i="3"/>
  <c r="AS184" i="3"/>
  <c r="AR184" i="3"/>
  <c r="AQ184" i="3"/>
  <c r="AP184" i="3"/>
  <c r="AO184" i="3"/>
  <c r="AN184" i="3"/>
  <c r="AM184" i="3"/>
  <c r="AL184" i="3"/>
  <c r="AK184" i="3"/>
  <c r="AJ184" i="3"/>
  <c r="AI184" i="3"/>
  <c r="AH184" i="3"/>
  <c r="AG184" i="3"/>
  <c r="AF184" i="3"/>
  <c r="AE184" i="3"/>
  <c r="AD184" i="3"/>
  <c r="AC184" i="3"/>
  <c r="AB184" i="3"/>
  <c r="AA184" i="3"/>
  <c r="Z184" i="3"/>
  <c r="Y184" i="3"/>
  <c r="X184" i="3"/>
  <c r="W184" i="3"/>
  <c r="V184" i="3"/>
  <c r="U184" i="3"/>
  <c r="T184" i="3"/>
  <c r="S184" i="3"/>
  <c r="R184" i="3"/>
  <c r="Q184" i="3"/>
  <c r="P184" i="3"/>
  <c r="O184" i="3"/>
  <c r="N184" i="3"/>
  <c r="M184" i="3"/>
  <c r="L184" i="3"/>
  <c r="K184" i="3"/>
  <c r="J184" i="3"/>
  <c r="I184" i="3"/>
  <c r="H184" i="3"/>
  <c r="G184" i="3"/>
  <c r="F184" i="3"/>
  <c r="E184" i="3"/>
  <c r="BC183" i="3"/>
  <c r="BA183" i="3"/>
  <c r="AZ183" i="3"/>
  <c r="AX183" i="3"/>
  <c r="AW183" i="3"/>
  <c r="AV183" i="3"/>
  <c r="AU183" i="3"/>
  <c r="AT183" i="3"/>
  <c r="AS183" i="3"/>
  <c r="AR183" i="3"/>
  <c r="AQ183" i="3"/>
  <c r="AP183" i="3"/>
  <c r="AO183" i="3"/>
  <c r="AN183" i="3"/>
  <c r="AM183" i="3"/>
  <c r="AL183" i="3"/>
  <c r="AK183" i="3"/>
  <c r="AJ183" i="3"/>
  <c r="AI183" i="3"/>
  <c r="AH183" i="3"/>
  <c r="AG183" i="3"/>
  <c r="AF183" i="3"/>
  <c r="AE183" i="3"/>
  <c r="AD183" i="3"/>
  <c r="AC183" i="3"/>
  <c r="AB183" i="3"/>
  <c r="AA183" i="3"/>
  <c r="Z183" i="3"/>
  <c r="Y183" i="3"/>
  <c r="X183" i="3"/>
  <c r="W183" i="3"/>
  <c r="V183" i="3"/>
  <c r="U183" i="3"/>
  <c r="T183" i="3"/>
  <c r="S183" i="3"/>
  <c r="R183" i="3"/>
  <c r="Q183" i="3"/>
  <c r="P183" i="3"/>
  <c r="O183" i="3"/>
  <c r="N183" i="3"/>
  <c r="M183" i="3"/>
  <c r="L183" i="3"/>
  <c r="K183" i="3"/>
  <c r="J183" i="3"/>
  <c r="I183" i="3"/>
  <c r="H183" i="3"/>
  <c r="G183" i="3"/>
  <c r="F183" i="3"/>
  <c r="E183" i="3"/>
  <c r="BC181" i="3"/>
  <c r="BB181" i="3"/>
  <c r="BA181" i="3"/>
  <c r="AZ181" i="3"/>
  <c r="AX181" i="3"/>
  <c r="AW181" i="3"/>
  <c r="AU181" i="3"/>
  <c r="AT181" i="3"/>
  <c r="AS181" i="3"/>
  <c r="AR181" i="3"/>
  <c r="AQ181" i="3"/>
  <c r="AP181" i="3"/>
  <c r="AO181" i="3"/>
  <c r="AN181" i="3"/>
  <c r="AM181" i="3"/>
  <c r="AL181" i="3"/>
  <c r="AK181" i="3"/>
  <c r="AJ181" i="3"/>
  <c r="AI181" i="3"/>
  <c r="AH181" i="3"/>
  <c r="AG181" i="3"/>
  <c r="AF181" i="3"/>
  <c r="AE181" i="3"/>
  <c r="AD181" i="3"/>
  <c r="AC181" i="3"/>
  <c r="AB181" i="3"/>
  <c r="AA181" i="3"/>
  <c r="Z181" i="3"/>
  <c r="Y181" i="3"/>
  <c r="X181" i="3"/>
  <c r="W181" i="3"/>
  <c r="V181" i="3"/>
  <c r="U181" i="3"/>
  <c r="T181" i="3"/>
  <c r="S181" i="3"/>
  <c r="R181" i="3"/>
  <c r="Q181" i="3"/>
  <c r="P181" i="3"/>
  <c r="O181" i="3"/>
  <c r="N181" i="3"/>
  <c r="M181" i="3"/>
  <c r="L181" i="3"/>
  <c r="K181" i="3"/>
  <c r="J181" i="3"/>
  <c r="I181" i="3"/>
  <c r="H181" i="3"/>
  <c r="G181" i="3"/>
  <c r="F181" i="3"/>
  <c r="E181" i="3"/>
  <c r="DF179" i="3"/>
  <c r="DF191" i="2" s="1"/>
  <c r="CU179" i="3"/>
  <c r="CR179" i="3"/>
  <c r="AX179" i="3"/>
  <c r="AW179" i="3"/>
  <c r="AU179" i="3"/>
  <c r="AT179" i="3"/>
  <c r="AS179" i="3"/>
  <c r="AR179" i="3"/>
  <c r="AQ179" i="3"/>
  <c r="AP179" i="3"/>
  <c r="AO179" i="3"/>
  <c r="AN179" i="3"/>
  <c r="AM179" i="3"/>
  <c r="AL179" i="3"/>
  <c r="AK179" i="3"/>
  <c r="AJ179" i="3"/>
  <c r="AI179" i="3"/>
  <c r="AH179" i="3"/>
  <c r="AG179" i="3"/>
  <c r="AF179" i="3"/>
  <c r="AE179" i="3"/>
  <c r="AD179" i="3"/>
  <c r="AC179" i="3"/>
  <c r="AB179" i="3"/>
  <c r="AA179" i="3"/>
  <c r="Z179" i="3"/>
  <c r="Y179" i="3"/>
  <c r="X179" i="3"/>
  <c r="W179" i="3"/>
  <c r="V179" i="3"/>
  <c r="U179" i="3"/>
  <c r="T179" i="3"/>
  <c r="S179" i="3"/>
  <c r="R179" i="3"/>
  <c r="Q179" i="3"/>
  <c r="P179" i="3"/>
  <c r="O179" i="3"/>
  <c r="N179" i="3"/>
  <c r="M179" i="3"/>
  <c r="L179" i="3"/>
  <c r="K179" i="3"/>
  <c r="J179" i="3"/>
  <c r="I179" i="3"/>
  <c r="H179" i="3"/>
  <c r="G179" i="3"/>
  <c r="F179" i="3"/>
  <c r="E179" i="3"/>
  <c r="BZ178" i="3"/>
  <c r="CA178" i="3" s="1"/>
  <c r="CB178" i="3" s="1"/>
  <c r="CC178" i="3" s="1"/>
  <c r="CD178" i="3" s="1"/>
  <c r="CE178" i="3" s="1"/>
  <c r="CF178" i="3" s="1"/>
  <c r="CG178" i="3" s="1"/>
  <c r="CH178" i="3" s="1"/>
  <c r="CI178" i="3" s="1"/>
  <c r="CJ178" i="3" s="1"/>
  <c r="CK178" i="3" s="1"/>
  <c r="CL178" i="3" s="1"/>
  <c r="CM178" i="3" s="1"/>
  <c r="CN178" i="3" s="1"/>
  <c r="CO178" i="3" s="1"/>
  <c r="CP178" i="3" s="1"/>
  <c r="CQ178" i="3" s="1"/>
  <c r="CR178" i="3" s="1"/>
  <c r="CS178" i="3" s="1"/>
  <c r="CT178" i="3" s="1"/>
  <c r="CU178" i="3" s="1"/>
  <c r="CV178" i="3" s="1"/>
  <c r="CW178" i="3" s="1"/>
  <c r="CX178" i="3" s="1"/>
  <c r="CY178" i="3" s="1"/>
  <c r="CZ178" i="3" s="1"/>
  <c r="DA178" i="3" s="1"/>
  <c r="DB178" i="3" s="1"/>
  <c r="DC178" i="3" s="1"/>
  <c r="DD178" i="3" s="1"/>
  <c r="DE178" i="3" s="1"/>
  <c r="BW178" i="3"/>
  <c r="BX178" i="3" s="1"/>
  <c r="BS178" i="3"/>
  <c r="BT178" i="3" s="1"/>
  <c r="BP178" i="3"/>
  <c r="BQ178" i="3" s="1"/>
  <c r="BM178" i="3"/>
  <c r="BN178" i="3" s="1"/>
  <c r="DK176" i="3"/>
  <c r="DF176" i="3"/>
  <c r="CI176" i="3"/>
  <c r="CJ176" i="3" s="1"/>
  <c r="CC176" i="3"/>
  <c r="CD176" i="3" s="1"/>
  <c r="CE176" i="3" s="1"/>
  <c r="CF176" i="3" s="1"/>
  <c r="BS176" i="3"/>
  <c r="BT176" i="3" s="1"/>
  <c r="BU176" i="3" s="1"/>
  <c r="BV176" i="3" s="1"/>
  <c r="BW176" i="3" s="1"/>
  <c r="BX176" i="3" s="1"/>
  <c r="BY176" i="3" s="1"/>
  <c r="BZ176" i="3" s="1"/>
  <c r="BN176" i="3"/>
  <c r="BO176" i="3" s="1"/>
  <c r="BP176" i="3" s="1"/>
  <c r="BQ176" i="3" s="1"/>
  <c r="BH171" i="3"/>
  <c r="BI171" i="3" s="1"/>
  <c r="AH171" i="3"/>
  <c r="AG171" i="3"/>
  <c r="AF171" i="3"/>
  <c r="AE171" i="3"/>
  <c r="AD171" i="3"/>
  <c r="AC171" i="3"/>
  <c r="AB171" i="3"/>
  <c r="AA171" i="3"/>
  <c r="Z171" i="3"/>
  <c r="Y171" i="3"/>
  <c r="X171" i="3"/>
  <c r="W171" i="3"/>
  <c r="V171" i="3"/>
  <c r="U171" i="3"/>
  <c r="T171" i="3"/>
  <c r="S171" i="3"/>
  <c r="R171" i="3"/>
  <c r="Q171" i="3"/>
  <c r="P171" i="3"/>
  <c r="O171" i="3"/>
  <c r="N171" i="3"/>
  <c r="M171" i="3"/>
  <c r="L171" i="3"/>
  <c r="K171" i="3"/>
  <c r="J171" i="3"/>
  <c r="I171" i="3"/>
  <c r="H171" i="3"/>
  <c r="G171" i="3"/>
  <c r="F171" i="3"/>
  <c r="E171" i="3"/>
  <c r="BN170" i="3"/>
  <c r="BO170" i="3" s="1"/>
  <c r="BL170" i="3"/>
  <c r="AH170" i="3"/>
  <c r="AG170" i="3"/>
  <c r="AF170" i="3"/>
  <c r="AE170" i="3"/>
  <c r="AD170" i="3"/>
  <c r="AC170" i="3"/>
  <c r="AB170" i="3"/>
  <c r="AA170" i="3"/>
  <c r="Z170" i="3"/>
  <c r="Y170" i="3"/>
  <c r="X170" i="3"/>
  <c r="W170" i="3"/>
  <c r="V170" i="3"/>
  <c r="U170" i="3"/>
  <c r="T170" i="3"/>
  <c r="S170" i="3"/>
  <c r="R170" i="3"/>
  <c r="Q170" i="3"/>
  <c r="P170" i="3"/>
  <c r="O170" i="3"/>
  <c r="N170" i="3"/>
  <c r="M170" i="3"/>
  <c r="L170" i="3"/>
  <c r="K170" i="3"/>
  <c r="J170" i="3"/>
  <c r="I170" i="3"/>
  <c r="H170" i="3"/>
  <c r="G170" i="3"/>
  <c r="F170" i="3"/>
  <c r="E170" i="3"/>
  <c r="BN169" i="3"/>
  <c r="BO169" i="3" s="1"/>
  <c r="BH169" i="3"/>
  <c r="BI169" i="3" s="1"/>
  <c r="AH169" i="3"/>
  <c r="AG169" i="3"/>
  <c r="AF169" i="3"/>
  <c r="AE169" i="3"/>
  <c r="AD169" i="3"/>
  <c r="AC169" i="3"/>
  <c r="AB169" i="3"/>
  <c r="AA169" i="3"/>
  <c r="Z169" i="3"/>
  <c r="Y169" i="3"/>
  <c r="X169" i="3"/>
  <c r="W169" i="3"/>
  <c r="V169" i="3"/>
  <c r="U169" i="3"/>
  <c r="T169" i="3"/>
  <c r="S169" i="3"/>
  <c r="R169" i="3"/>
  <c r="Q169" i="3"/>
  <c r="P169" i="3"/>
  <c r="O169" i="3"/>
  <c r="N169" i="3"/>
  <c r="M169" i="3"/>
  <c r="L169" i="3"/>
  <c r="K169" i="3"/>
  <c r="J169" i="3"/>
  <c r="I169" i="3"/>
  <c r="H169" i="3"/>
  <c r="G169" i="3"/>
  <c r="F169" i="3"/>
  <c r="E169" i="3"/>
  <c r="EQ160" i="3"/>
  <c r="EN160" i="3"/>
  <c r="EK160" i="3"/>
  <c r="EH160" i="3"/>
  <c r="EE160" i="3"/>
  <c r="EB160" i="3"/>
  <c r="DY160" i="3"/>
  <c r="DS160" i="3"/>
  <c r="DP160" i="3"/>
  <c r="DM160" i="3"/>
  <c r="DJ160" i="3"/>
  <c r="DG160" i="3"/>
  <c r="DD160" i="3"/>
  <c r="DA160" i="3"/>
  <c r="CX160" i="3"/>
  <c r="CU160" i="3"/>
  <c r="CR160" i="3"/>
  <c r="CO160" i="3"/>
  <c r="CL160" i="3"/>
  <c r="CI160" i="3"/>
  <c r="CF160" i="3"/>
  <c r="CC160" i="3"/>
  <c r="BZ160" i="3"/>
  <c r="BW160" i="3"/>
  <c r="BT160" i="3"/>
  <c r="BQ160" i="3"/>
  <c r="BN160" i="3"/>
  <c r="BK160" i="3"/>
  <c r="BH160" i="3"/>
  <c r="BE160" i="3"/>
  <c r="BC160" i="3"/>
  <c r="BA160" i="3"/>
  <c r="AZ160" i="3"/>
  <c r="AX160" i="3"/>
  <c r="AW160" i="3"/>
  <c r="AU160" i="3"/>
  <c r="AT160" i="3"/>
  <c r="AR160" i="3"/>
  <c r="AQ160" i="3"/>
  <c r="AO160" i="3"/>
  <c r="AN160" i="3"/>
  <c r="AL160" i="3"/>
  <c r="AK160" i="3"/>
  <c r="AI160" i="3"/>
  <c r="AH160" i="3"/>
  <c r="AF160" i="3"/>
  <c r="AE160" i="3"/>
  <c r="AC160" i="3"/>
  <c r="AB160" i="3"/>
  <c r="Z160" i="3"/>
  <c r="Y160" i="3"/>
  <c r="W160" i="3"/>
  <c r="V160" i="3"/>
  <c r="T160" i="3"/>
  <c r="S160" i="3"/>
  <c r="Q160" i="3"/>
  <c r="P160" i="3"/>
  <c r="N160" i="3"/>
  <c r="M160" i="3"/>
  <c r="K160" i="3"/>
  <c r="J160" i="3"/>
  <c r="H160" i="3"/>
  <c r="G160" i="3"/>
  <c r="E160" i="3"/>
  <c r="EQ159" i="3"/>
  <c r="EN159" i="3"/>
  <c r="EK159" i="3"/>
  <c r="EH159" i="3"/>
  <c r="EE159" i="3"/>
  <c r="EB159" i="3"/>
  <c r="DY159" i="3"/>
  <c r="DS159" i="3"/>
  <c r="DP159" i="3"/>
  <c r="DM159" i="3"/>
  <c r="DJ159" i="3"/>
  <c r="DG159" i="3"/>
  <c r="DD159" i="3"/>
  <c r="DA159" i="3"/>
  <c r="CX159" i="3"/>
  <c r="CU159" i="3"/>
  <c r="CR159" i="3"/>
  <c r="CO159" i="3"/>
  <c r="CL159" i="3"/>
  <c r="CI159" i="3"/>
  <c r="CF159" i="3"/>
  <c r="CC159" i="3"/>
  <c r="BZ159" i="3"/>
  <c r="BW159" i="3"/>
  <c r="BT159" i="3"/>
  <c r="BQ159" i="3"/>
  <c r="BN159" i="3"/>
  <c r="BK159" i="3"/>
  <c r="BH159" i="3"/>
  <c r="BE159" i="3"/>
  <c r="BC159" i="3"/>
  <c r="BA159" i="3"/>
  <c r="AZ159" i="3"/>
  <c r="AX159" i="3"/>
  <c r="AW159" i="3"/>
  <c r="AU159" i="3"/>
  <c r="AT159" i="3"/>
  <c r="AR159" i="3"/>
  <c r="AQ159" i="3"/>
  <c r="AO159" i="3"/>
  <c r="AN159" i="3"/>
  <c r="AL159" i="3"/>
  <c r="AK159" i="3"/>
  <c r="AI159" i="3"/>
  <c r="AH159" i="3"/>
  <c r="AF159" i="3"/>
  <c r="AE159" i="3"/>
  <c r="AC159" i="3"/>
  <c r="AB159" i="3"/>
  <c r="Z159" i="3"/>
  <c r="Y159" i="3"/>
  <c r="W159" i="3"/>
  <c r="V159" i="3"/>
  <c r="T159" i="3"/>
  <c r="S159" i="3"/>
  <c r="Q159" i="3"/>
  <c r="P159" i="3"/>
  <c r="N159" i="3"/>
  <c r="M159" i="3"/>
  <c r="K159" i="3"/>
  <c r="J159" i="3"/>
  <c r="H159" i="3"/>
  <c r="G159" i="3"/>
  <c r="E159" i="3"/>
  <c r="EQ156" i="3"/>
  <c r="ER156" i="3" s="1"/>
  <c r="EN156" i="3"/>
  <c r="EO156" i="3" s="1"/>
  <c r="EK156" i="3"/>
  <c r="EL156" i="3" s="1"/>
  <c r="EH156" i="3"/>
  <c r="EI156" i="3" s="1"/>
  <c r="EE156" i="3"/>
  <c r="EF156" i="3" s="1"/>
  <c r="EB156" i="3"/>
  <c r="EC156" i="3" s="1"/>
  <c r="DY156" i="3"/>
  <c r="DZ156" i="3" s="1"/>
  <c r="DS156" i="3"/>
  <c r="DT156" i="3" s="1"/>
  <c r="DP156" i="3"/>
  <c r="DQ156" i="3" s="1"/>
  <c r="DJ156" i="3"/>
  <c r="DK156" i="3" s="1"/>
  <c r="DG156" i="3"/>
  <c r="DH156" i="3" s="1"/>
  <c r="DD156" i="3"/>
  <c r="DE156" i="3" s="1"/>
  <c r="DA156" i="3"/>
  <c r="DB156" i="3" s="1"/>
  <c r="CX156" i="3"/>
  <c r="CY156" i="3" s="1"/>
  <c r="CU156" i="3"/>
  <c r="CV156" i="3" s="1"/>
  <c r="CR156" i="3"/>
  <c r="CS156" i="3" s="1"/>
  <c r="CO156" i="3"/>
  <c r="CP156" i="3" s="1"/>
  <c r="CL156" i="3"/>
  <c r="CM156" i="3" s="1"/>
  <c r="CI156" i="3"/>
  <c r="CJ156" i="3" s="1"/>
  <c r="CF156" i="3"/>
  <c r="CG156" i="3" s="1"/>
  <c r="CC156" i="3"/>
  <c r="CD156" i="3" s="1"/>
  <c r="BZ156" i="3"/>
  <c r="CA156" i="3" s="1"/>
  <c r="BW156" i="3"/>
  <c r="BX156" i="3" s="1"/>
  <c r="BT156" i="3"/>
  <c r="BU156" i="3" s="1"/>
  <c r="BQ156" i="3"/>
  <c r="BR156" i="3" s="1"/>
  <c r="BN156" i="3"/>
  <c r="BO156" i="3" s="1"/>
  <c r="BK156" i="3"/>
  <c r="BL156" i="3" s="1"/>
  <c r="BH156" i="3"/>
  <c r="BI156" i="3" s="1"/>
  <c r="BE156" i="3"/>
  <c r="BF156" i="3" s="1"/>
  <c r="BA156" i="3"/>
  <c r="BB156" i="3" s="1"/>
  <c r="BC156" i="3" s="1"/>
  <c r="AX156" i="3"/>
  <c r="AY156" i="3" s="1"/>
  <c r="AZ156" i="3" s="1"/>
  <c r="AU156" i="3"/>
  <c r="AV156" i="3" s="1"/>
  <c r="AW156" i="3" s="1"/>
  <c r="AR156" i="3"/>
  <c r="AS156" i="3" s="1"/>
  <c r="AT156" i="3" s="1"/>
  <c r="AO156" i="3"/>
  <c r="AP156" i="3" s="1"/>
  <c r="AQ156" i="3" s="1"/>
  <c r="AL156" i="3"/>
  <c r="AM156" i="3" s="1"/>
  <c r="AN156" i="3" s="1"/>
  <c r="AI156" i="3"/>
  <c r="AJ156" i="3" s="1"/>
  <c r="AK156" i="3" s="1"/>
  <c r="AF156" i="3"/>
  <c r="AG156" i="3" s="1"/>
  <c r="AH156" i="3" s="1"/>
  <c r="AC156" i="3"/>
  <c r="AD156" i="3" s="1"/>
  <c r="AE156" i="3" s="1"/>
  <c r="Z156" i="3"/>
  <c r="AA156" i="3" s="1"/>
  <c r="AB156" i="3" s="1"/>
  <c r="W156" i="3"/>
  <c r="X156" i="3" s="1"/>
  <c r="Y156" i="3" s="1"/>
  <c r="T156" i="3"/>
  <c r="Q156" i="3"/>
  <c r="R156" i="3" s="1"/>
  <c r="S156" i="3" s="1"/>
  <c r="N156" i="3"/>
  <c r="O156" i="3" s="1"/>
  <c r="P156" i="3" s="1"/>
  <c r="K156" i="3"/>
  <c r="L156" i="3" s="1"/>
  <c r="M156" i="3" s="1"/>
  <c r="H156" i="3"/>
  <c r="I156" i="3" s="1"/>
  <c r="E156" i="3"/>
  <c r="F156" i="3" s="1"/>
  <c r="G156" i="3" s="1"/>
  <c r="EQ155" i="3"/>
  <c r="EN155" i="3"/>
  <c r="EK155" i="3"/>
  <c r="EH155" i="3"/>
  <c r="EE155" i="3"/>
  <c r="EB155" i="3"/>
  <c r="DY155" i="3"/>
  <c r="DS155" i="3"/>
  <c r="DP155" i="3"/>
  <c r="DM155" i="3"/>
  <c r="DJ155" i="3"/>
  <c r="DG155" i="3"/>
  <c r="DD155" i="3"/>
  <c r="DA155" i="3"/>
  <c r="CX155" i="3"/>
  <c r="CU155" i="3"/>
  <c r="CR155" i="3"/>
  <c r="CO155" i="3"/>
  <c r="CL155" i="3"/>
  <c r="CI155" i="3"/>
  <c r="CF155" i="3"/>
  <c r="CC155" i="3"/>
  <c r="BW155" i="3"/>
  <c r="BT155" i="3"/>
  <c r="BQ155" i="3"/>
  <c r="BN155" i="3"/>
  <c r="BK155" i="3"/>
  <c r="BH155" i="3"/>
  <c r="BE155" i="3"/>
  <c r="CX153" i="3"/>
  <c r="CU153" i="3"/>
  <c r="CC153" i="3"/>
  <c r="BB152" i="3"/>
  <c r="AY152" i="3"/>
  <c r="AV152" i="3"/>
  <c r="AS152" i="3"/>
  <c r="AP152" i="3"/>
  <c r="AM152" i="3"/>
  <c r="AJ152" i="3"/>
  <c r="AG152" i="3"/>
  <c r="AD152" i="3"/>
  <c r="AA152" i="3"/>
  <c r="X152" i="3"/>
  <c r="U152" i="3"/>
  <c r="R152" i="3"/>
  <c r="O152" i="3"/>
  <c r="L152" i="3"/>
  <c r="I152" i="3"/>
  <c r="F152" i="3"/>
  <c r="DC151" i="3"/>
  <c r="CZ151" i="3"/>
  <c r="CY151" i="3"/>
  <c r="CW151" i="3"/>
  <c r="CV151" i="3"/>
  <c r="CT151" i="3"/>
  <c r="CS151" i="3"/>
  <c r="CQ151" i="3"/>
  <c r="CM151" i="3"/>
  <c r="CK151" i="3"/>
  <c r="CJ151" i="3"/>
  <c r="CH151" i="3"/>
  <c r="CG151" i="3"/>
  <c r="CD151" i="3"/>
  <c r="CD148" i="3" s="1"/>
  <c r="CB151" i="3"/>
  <c r="CB148" i="3" s="1"/>
  <c r="CA151" i="3"/>
  <c r="BY151" i="3"/>
  <c r="BX151" i="3"/>
  <c r="BV151" i="3"/>
  <c r="BU151" i="3"/>
  <c r="BS151" i="3"/>
  <c r="BR151" i="3"/>
  <c r="BP151" i="3"/>
  <c r="BO151" i="3"/>
  <c r="BM151" i="3"/>
  <c r="BL151" i="3"/>
  <c r="BJ151" i="3"/>
  <c r="BI151" i="3"/>
  <c r="BG151" i="3"/>
  <c r="BG148" i="3" s="1"/>
  <c r="BD151" i="3"/>
  <c r="DC149" i="3"/>
  <c r="CF149" i="3"/>
  <c r="CG149" i="3" s="1"/>
  <c r="CG455" i="2" s="1"/>
  <c r="BH149" i="3"/>
  <c r="BB149" i="3"/>
  <c r="BB455" i="2" s="1"/>
  <c r="AY149" i="3"/>
  <c r="AY455" i="2" s="1"/>
  <c r="AV149" i="3"/>
  <c r="AS149" i="3"/>
  <c r="AP149" i="3"/>
  <c r="AM149" i="3"/>
  <c r="AJ149" i="3"/>
  <c r="AG149" i="3"/>
  <c r="AD149" i="3"/>
  <c r="AA149" i="3"/>
  <c r="X149" i="3"/>
  <c r="U149" i="3"/>
  <c r="R149" i="3"/>
  <c r="O149" i="3"/>
  <c r="L149" i="3"/>
  <c r="I149" i="3"/>
  <c r="F149" i="3"/>
  <c r="EB147" i="3"/>
  <c r="EC147" i="3" s="1"/>
  <c r="EB153" i="3" s="1"/>
  <c r="DY147" i="3"/>
  <c r="DZ147" i="3" s="1"/>
  <c r="DY153" i="3" s="1"/>
  <c r="CX147" i="3"/>
  <c r="CU147" i="3"/>
  <c r="CR147" i="3"/>
  <c r="CS147" i="3" s="1"/>
  <c r="CR153" i="3" s="1"/>
  <c r="CG147" i="3"/>
  <c r="CH147" i="3" s="1"/>
  <c r="CI147" i="3" s="1"/>
  <c r="CJ147" i="3" s="1"/>
  <c r="CI153" i="3" s="1"/>
  <c r="CE147" i="3"/>
  <c r="CC147" i="3"/>
  <c r="CB147" i="3"/>
  <c r="AH147" i="3"/>
  <c r="AG147" i="3"/>
  <c r="AF147" i="3"/>
  <c r="AE147" i="3"/>
  <c r="AD147" i="3"/>
  <c r="AC147" i="3"/>
  <c r="AB147" i="3"/>
  <c r="AA147" i="3"/>
  <c r="Z147" i="3"/>
  <c r="Y147" i="3"/>
  <c r="X147" i="3"/>
  <c r="W147" i="3"/>
  <c r="V147" i="3"/>
  <c r="U147" i="3"/>
  <c r="T147" i="3"/>
  <c r="S147" i="3"/>
  <c r="R147" i="3"/>
  <c r="Q147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DR131" i="3"/>
  <c r="CN127" i="3"/>
  <c r="CN18" i="3" s="1"/>
  <c r="BV127" i="3"/>
  <c r="BV18" i="3" s="1"/>
  <c r="BH127" i="3"/>
  <c r="BH18" i="3" s="1"/>
  <c r="BE127" i="3"/>
  <c r="BE18" i="3" s="1"/>
  <c r="BC127" i="3"/>
  <c r="BA127" i="3"/>
  <c r="AZ127" i="3"/>
  <c r="AX127" i="3"/>
  <c r="AW127" i="3"/>
  <c r="AU127" i="3"/>
  <c r="AT127" i="3"/>
  <c r="AR127" i="3"/>
  <c r="AQ127" i="3"/>
  <c r="AO127" i="3"/>
  <c r="AN127" i="3"/>
  <c r="AL127" i="3"/>
  <c r="AK127" i="3"/>
  <c r="AH127" i="3"/>
  <c r="AG127" i="3" s="1"/>
  <c r="AF127" i="3"/>
  <c r="AE127" i="3"/>
  <c r="AD127" i="3" s="1"/>
  <c r="AC127" i="3"/>
  <c r="AB127" i="3"/>
  <c r="AA127" i="3" s="1"/>
  <c r="Z127" i="3"/>
  <c r="Y127" i="3"/>
  <c r="X127" i="3" s="1"/>
  <c r="W127" i="3"/>
  <c r="V127" i="3"/>
  <c r="U127" i="3" s="1"/>
  <c r="T127" i="3"/>
  <c r="S127" i="3"/>
  <c r="R127" i="3" s="1"/>
  <c r="Q127" i="3"/>
  <c r="P127" i="3"/>
  <c r="O127" i="3" s="1"/>
  <c r="N127" i="3"/>
  <c r="M127" i="3"/>
  <c r="L127" i="3" s="1"/>
  <c r="K127" i="3"/>
  <c r="J127" i="3"/>
  <c r="I127" i="3" s="1"/>
  <c r="H127" i="3"/>
  <c r="G127" i="3"/>
  <c r="F127" i="3" s="1"/>
  <c r="E127" i="3"/>
  <c r="DI124" i="3"/>
  <c r="DJ124" i="3" s="1"/>
  <c r="DL124" i="3" s="1"/>
  <c r="DH124" i="3"/>
  <c r="DF124" i="3"/>
  <c r="DR123" i="3"/>
  <c r="DO123" i="3"/>
  <c r="DI123" i="3"/>
  <c r="CM127" i="3"/>
  <c r="CM18" i="3" s="1"/>
  <c r="CK127" i="3"/>
  <c r="CK18" i="3" s="1"/>
  <c r="CJ127" i="3"/>
  <c r="CJ18" i="3" s="1"/>
  <c r="CH127" i="3"/>
  <c r="CH18" i="3" s="1"/>
  <c r="CG127" i="3"/>
  <c r="CG18" i="3" s="1"/>
  <c r="CE127" i="3"/>
  <c r="CE18" i="3" s="1"/>
  <c r="CD127" i="3"/>
  <c r="CD18" i="3" s="1"/>
  <c r="CB127" i="3"/>
  <c r="CB18" i="3" s="1"/>
  <c r="CA127" i="3"/>
  <c r="CA18" i="3" s="1"/>
  <c r="BY127" i="3"/>
  <c r="BY18" i="3" s="1"/>
  <c r="BX127" i="3"/>
  <c r="BX18" i="3" s="1"/>
  <c r="BU127" i="3"/>
  <c r="BU18" i="3" s="1"/>
  <c r="BS127" i="3"/>
  <c r="BS18" i="3" s="1"/>
  <c r="BR127" i="3"/>
  <c r="BR18" i="3" s="1"/>
  <c r="BP127" i="3"/>
  <c r="BP18" i="3" s="1"/>
  <c r="BO127" i="3"/>
  <c r="BO18" i="3" s="1"/>
  <c r="BL127" i="3"/>
  <c r="BL18" i="3" s="1"/>
  <c r="BJ127" i="3"/>
  <c r="BJ18" i="3" s="1"/>
  <c r="BI18" i="3"/>
  <c r="BD18" i="3"/>
  <c r="E121" i="3"/>
  <c r="CX119" i="3"/>
  <c r="CU119" i="3"/>
  <c r="CR119" i="3"/>
  <c r="CP119" i="3"/>
  <c r="CN119" i="3"/>
  <c r="CD119" i="3"/>
  <c r="CE119" i="3" s="1"/>
  <c r="CF119" i="3" s="1"/>
  <c r="CG119" i="3" s="1"/>
  <c r="CH119" i="3" s="1"/>
  <c r="CI119" i="3" s="1"/>
  <c r="CJ119" i="3" s="1"/>
  <c r="CK119" i="3" s="1"/>
  <c r="CL119" i="3" s="1"/>
  <c r="AH119" i="3"/>
  <c r="AG119" i="3"/>
  <c r="AF119" i="3"/>
  <c r="AE119" i="3"/>
  <c r="AD119" i="3"/>
  <c r="AC119" i="3"/>
  <c r="AB119" i="3"/>
  <c r="AA119" i="3"/>
  <c r="Z119" i="3"/>
  <c r="Y119" i="3"/>
  <c r="X119" i="3"/>
  <c r="W119" i="3"/>
  <c r="V119" i="3"/>
  <c r="U119" i="3"/>
  <c r="T119" i="3"/>
  <c r="S119" i="3"/>
  <c r="R119" i="3"/>
  <c r="Q119" i="3"/>
  <c r="P119" i="3"/>
  <c r="O119" i="3"/>
  <c r="N119" i="3"/>
  <c r="M119" i="3"/>
  <c r="L119" i="3"/>
  <c r="K119" i="3"/>
  <c r="J119" i="3"/>
  <c r="I119" i="3"/>
  <c r="H119" i="3"/>
  <c r="CR117" i="3"/>
  <c r="CQ117" i="3"/>
  <c r="CP117" i="3"/>
  <c r="CO117" i="3"/>
  <c r="CN117" i="3"/>
  <c r="CM117" i="3"/>
  <c r="CL117" i="3"/>
  <c r="CK117" i="3"/>
  <c r="CJ117" i="3"/>
  <c r="CI117" i="3"/>
  <c r="CH117" i="3"/>
  <c r="CG117" i="3"/>
  <c r="CF117" i="3"/>
  <c r="CE117" i="3"/>
  <c r="CC117" i="3"/>
  <c r="CB117" i="3"/>
  <c r="CA117" i="3"/>
  <c r="BZ117" i="3"/>
  <c r="BY117" i="3"/>
  <c r="BX117" i="3"/>
  <c r="BW117" i="3"/>
  <c r="BV117" i="3"/>
  <c r="BU117" i="3"/>
  <c r="BT117" i="3"/>
  <c r="BS117" i="3"/>
  <c r="BR117" i="3"/>
  <c r="BQ117" i="3"/>
  <c r="BP117" i="3"/>
  <c r="BO117" i="3"/>
  <c r="BN117" i="3"/>
  <c r="BM117" i="3"/>
  <c r="BL117" i="3"/>
  <c r="BK117" i="3"/>
  <c r="BJ117" i="3"/>
  <c r="BI117" i="3"/>
  <c r="BH117" i="3"/>
  <c r="BG117" i="3"/>
  <c r="BF117" i="3"/>
  <c r="BE117" i="3"/>
  <c r="BD117" i="3"/>
  <c r="DF115" i="3"/>
  <c r="DF117" i="3" s="1"/>
  <c r="DE115" i="3"/>
  <c r="DE117" i="3" s="1"/>
  <c r="DD115" i="3"/>
  <c r="DD117" i="3" s="1"/>
  <c r="DC115" i="3"/>
  <c r="DC117" i="3" s="1"/>
  <c r="DB115" i="3"/>
  <c r="DB117" i="3" s="1"/>
  <c r="DA115" i="3"/>
  <c r="DA117" i="3" s="1"/>
  <c r="CZ115" i="3"/>
  <c r="CZ117" i="3" s="1"/>
  <c r="CY115" i="3"/>
  <c r="CY117" i="3" s="1"/>
  <c r="CX115" i="3"/>
  <c r="CX117" i="3" s="1"/>
  <c r="CW115" i="3"/>
  <c r="CW117" i="3" s="1"/>
  <c r="CV115" i="3"/>
  <c r="CV117" i="3" s="1"/>
  <c r="CU115" i="3"/>
  <c r="CU117" i="3" s="1"/>
  <c r="CT115" i="3"/>
  <c r="CT117" i="3" s="1"/>
  <c r="CS115" i="3"/>
  <c r="CS117" i="3" s="1"/>
  <c r="AP115" i="3"/>
  <c r="AO115" i="3"/>
  <c r="AN115" i="3"/>
  <c r="AM115" i="3"/>
  <c r="AL115" i="3"/>
  <c r="AK115" i="3"/>
  <c r="AJ115" i="3"/>
  <c r="AI115" i="3"/>
  <c r="AH115" i="3"/>
  <c r="AG115" i="3"/>
  <c r="AF115" i="3"/>
  <c r="AE115" i="3"/>
  <c r="AD115" i="3"/>
  <c r="AC115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EM112" i="3"/>
  <c r="EM114" i="3" s="1"/>
  <c r="DU112" i="3"/>
  <c r="DU114" i="3" s="1"/>
  <c r="DB112" i="3"/>
  <c r="DB114" i="3" s="1"/>
  <c r="CD112" i="3"/>
  <c r="CD114" i="3" s="1"/>
  <c r="ER112" i="3"/>
  <c r="ER114" i="3" s="1"/>
  <c r="EQ112" i="3"/>
  <c r="EQ114" i="3" s="1"/>
  <c r="EP112" i="3"/>
  <c r="EP114" i="3" s="1"/>
  <c r="EO112" i="3"/>
  <c r="EO114" i="3" s="1"/>
  <c r="EN112" i="3"/>
  <c r="EN114" i="3" s="1"/>
  <c r="EL112" i="3"/>
  <c r="EL114" i="3" s="1"/>
  <c r="EK112" i="3"/>
  <c r="EK114" i="3" s="1"/>
  <c r="EJ112" i="3"/>
  <c r="EJ114" i="3" s="1"/>
  <c r="EI112" i="3"/>
  <c r="EI114" i="3" s="1"/>
  <c r="EH112" i="3"/>
  <c r="EH114" i="3" s="1"/>
  <c r="EG112" i="3"/>
  <c r="EG114" i="3" s="1"/>
  <c r="EF112" i="3"/>
  <c r="EF114" i="3" s="1"/>
  <c r="EE112" i="3"/>
  <c r="EE114" i="3" s="1"/>
  <c r="ED112" i="3"/>
  <c r="ED114" i="3" s="1"/>
  <c r="EC112" i="3"/>
  <c r="EC114" i="3" s="1"/>
  <c r="EB112" i="3"/>
  <c r="EB114" i="3" s="1"/>
  <c r="EA112" i="3"/>
  <c r="EA114" i="3" s="1"/>
  <c r="DZ112" i="3"/>
  <c r="DZ114" i="3" s="1"/>
  <c r="DY112" i="3"/>
  <c r="DY114" i="3" s="1"/>
  <c r="DT112" i="3"/>
  <c r="DT114" i="3" s="1"/>
  <c r="DS112" i="3"/>
  <c r="DS114" i="3" s="1"/>
  <c r="DR112" i="3"/>
  <c r="DR114" i="3" s="1"/>
  <c r="DQ112" i="3"/>
  <c r="DQ114" i="3" s="1"/>
  <c r="DP112" i="3"/>
  <c r="DP114" i="3" s="1"/>
  <c r="DO112" i="3"/>
  <c r="DO114" i="3" s="1"/>
  <c r="DN112" i="3"/>
  <c r="DN114" i="3" s="1"/>
  <c r="DM112" i="3"/>
  <c r="DM114" i="3" s="1"/>
  <c r="DL112" i="3"/>
  <c r="DL114" i="3" s="1"/>
  <c r="DK112" i="3"/>
  <c r="DK114" i="3" s="1"/>
  <c r="DJ112" i="3"/>
  <c r="DJ114" i="3" s="1"/>
  <c r="DI112" i="3"/>
  <c r="DI114" i="3" s="1"/>
  <c r="DH112" i="3"/>
  <c r="DH114" i="3" s="1"/>
  <c r="DG112" i="3"/>
  <c r="DF112" i="3"/>
  <c r="DF114" i="3" s="1"/>
  <c r="DE112" i="3"/>
  <c r="DE114" i="3" s="1"/>
  <c r="DD112" i="3"/>
  <c r="DD114" i="3" s="1"/>
  <c r="DC112" i="3"/>
  <c r="DC114" i="3" s="1"/>
  <c r="DA112" i="3"/>
  <c r="DA114" i="3" s="1"/>
  <c r="CZ112" i="3"/>
  <c r="CZ114" i="3" s="1"/>
  <c r="CY112" i="3"/>
  <c r="CY114" i="3" s="1"/>
  <c r="CX112" i="3"/>
  <c r="CX114" i="3" s="1"/>
  <c r="CW112" i="3"/>
  <c r="CW114" i="3" s="1"/>
  <c r="CV112" i="3"/>
  <c r="CV114" i="3" s="1"/>
  <c r="CU112" i="3"/>
  <c r="CU114" i="3" s="1"/>
  <c r="CT112" i="3"/>
  <c r="CT114" i="3" s="1"/>
  <c r="CS112" i="3"/>
  <c r="CS114" i="3" s="1"/>
  <c r="CR112" i="3"/>
  <c r="CR114" i="3" s="1"/>
  <c r="CQ112" i="3"/>
  <c r="CQ114" i="3" s="1"/>
  <c r="CP112" i="3"/>
  <c r="CP114" i="3" s="1"/>
  <c r="CO112" i="3"/>
  <c r="CO114" i="3" s="1"/>
  <c r="CN112" i="3"/>
  <c r="CN114" i="3" s="1"/>
  <c r="CM112" i="3"/>
  <c r="CM114" i="3" s="1"/>
  <c r="CL112" i="3"/>
  <c r="CL114" i="3" s="1"/>
  <c r="CK112" i="3"/>
  <c r="CK114" i="3" s="1"/>
  <c r="CJ112" i="3"/>
  <c r="CJ114" i="3" s="1"/>
  <c r="CI112" i="3"/>
  <c r="CI114" i="3" s="1"/>
  <c r="CH112" i="3"/>
  <c r="CH114" i="3" s="1"/>
  <c r="CG112" i="3"/>
  <c r="CG114" i="3" s="1"/>
  <c r="CF112" i="3"/>
  <c r="CF114" i="3" s="1"/>
  <c r="CE112" i="3"/>
  <c r="CE114" i="3" s="1"/>
  <c r="CC112" i="3"/>
  <c r="CC114" i="3" s="1"/>
  <c r="CB112" i="3"/>
  <c r="CB114" i="3" s="1"/>
  <c r="CA112" i="3"/>
  <c r="CA114" i="3" s="1"/>
  <c r="BZ112" i="3"/>
  <c r="BZ114" i="3" s="1"/>
  <c r="BY112" i="3"/>
  <c r="BY114" i="3" s="1"/>
  <c r="BX112" i="3"/>
  <c r="BX114" i="3" s="1"/>
  <c r="BW112" i="3"/>
  <c r="BW114" i="3" s="1"/>
  <c r="BV112" i="3"/>
  <c r="BV114" i="3" s="1"/>
  <c r="BU112" i="3"/>
  <c r="BU114" i="3" s="1"/>
  <c r="BT112" i="3"/>
  <c r="BT114" i="3" s="1"/>
  <c r="BS112" i="3"/>
  <c r="BS114" i="3" s="1"/>
  <c r="BR112" i="3"/>
  <c r="BR114" i="3" s="1"/>
  <c r="BQ112" i="3"/>
  <c r="BQ114" i="3" s="1"/>
  <c r="BP112" i="3"/>
  <c r="BP114" i="3" s="1"/>
  <c r="BO112" i="3"/>
  <c r="BO114" i="3" s="1"/>
  <c r="BN112" i="3"/>
  <c r="BN114" i="3" s="1"/>
  <c r="BM112" i="3"/>
  <c r="BM114" i="3" s="1"/>
  <c r="BL112" i="3"/>
  <c r="BL114" i="3" s="1"/>
  <c r="BK112" i="3"/>
  <c r="BK114" i="3" s="1"/>
  <c r="BJ112" i="3"/>
  <c r="BJ114" i="3" s="1"/>
  <c r="BI112" i="3"/>
  <c r="BI114" i="3" s="1"/>
  <c r="BH112" i="3"/>
  <c r="BH114" i="3" s="1"/>
  <c r="BG112" i="3"/>
  <c r="BG114" i="3" s="1"/>
  <c r="BF112" i="3"/>
  <c r="BF114" i="3" s="1"/>
  <c r="BE112" i="3"/>
  <c r="BE114" i="3" s="1"/>
  <c r="BD112" i="3"/>
  <c r="BD114" i="3" s="1"/>
  <c r="BC112" i="3"/>
  <c r="BB112" i="3"/>
  <c r="BA112" i="3"/>
  <c r="AZ112" i="3"/>
  <c r="AY112" i="3"/>
  <c r="AX112" i="3"/>
  <c r="AW112" i="3"/>
  <c r="AV112" i="3"/>
  <c r="AU112" i="3"/>
  <c r="AT112" i="3"/>
  <c r="AS112" i="3"/>
  <c r="AR112" i="3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BJ110" i="3"/>
  <c r="BH110" i="3"/>
  <c r="BE110" i="3"/>
  <c r="BC110" i="3"/>
  <c r="BA110" i="3"/>
  <c r="AZ110" i="3"/>
  <c r="AX110" i="3"/>
  <c r="AW110" i="3"/>
  <c r="AU110" i="3"/>
  <c r="AL110" i="3"/>
  <c r="AK110" i="3"/>
  <c r="AH110" i="3"/>
  <c r="AG110" i="3" s="1"/>
  <c r="AF110" i="3"/>
  <c r="AE110" i="3"/>
  <c r="AD110" i="3" s="1"/>
  <c r="AC110" i="3"/>
  <c r="AB110" i="3"/>
  <c r="AA110" i="3" s="1"/>
  <c r="Z110" i="3"/>
  <c r="Y110" i="3"/>
  <c r="X110" i="3" s="1"/>
  <c r="W110" i="3"/>
  <c r="V110" i="3"/>
  <c r="U110" i="3" s="1"/>
  <c r="T110" i="3"/>
  <c r="S110" i="3"/>
  <c r="R110" i="3" s="1"/>
  <c r="Q110" i="3"/>
  <c r="P110" i="3"/>
  <c r="O110" i="3" s="1"/>
  <c r="N110" i="3"/>
  <c r="M110" i="3"/>
  <c r="L110" i="3" s="1"/>
  <c r="K110" i="3"/>
  <c r="J110" i="3"/>
  <c r="I110" i="3" s="1"/>
  <c r="H110" i="3"/>
  <c r="G110" i="3"/>
  <c r="F110" i="3" s="1"/>
  <c r="E110" i="3"/>
  <c r="CA109" i="3"/>
  <c r="BY109" i="3"/>
  <c r="BX109" i="3"/>
  <c r="BX110" i="3" s="1"/>
  <c r="BX17" i="3" s="1"/>
  <c r="BV109" i="3"/>
  <c r="BV110" i="3" s="1"/>
  <c r="BV17" i="3" s="1"/>
  <c r="BU109" i="3"/>
  <c r="BU110" i="3" s="1"/>
  <c r="BU17" i="3" s="1"/>
  <c r="BS109" i="3"/>
  <c r="BR109" i="3"/>
  <c r="BR110" i="3" s="1"/>
  <c r="BR17" i="3" s="1"/>
  <c r="BO109" i="3"/>
  <c r="BO110" i="3" s="1"/>
  <c r="BO17" i="3" s="1"/>
  <c r="BM109" i="3"/>
  <c r="BL109" i="3"/>
  <c r="BJ109" i="3"/>
  <c r="BI109" i="3"/>
  <c r="BI17" i="3" s="1"/>
  <c r="BG109" i="3"/>
  <c r="BG17" i="3" s="1"/>
  <c r="BF109" i="3"/>
  <c r="BF17" i="3" s="1"/>
  <c r="BD109" i="3"/>
  <c r="BD17" i="3" s="1"/>
  <c r="BC109" i="3"/>
  <c r="BA109" i="3"/>
  <c r="AZ109" i="3"/>
  <c r="AX109" i="3"/>
  <c r="AW109" i="3"/>
  <c r="AU109" i="3"/>
  <c r="AL109" i="3"/>
  <c r="AK109" i="3"/>
  <c r="AK108" i="3"/>
  <c r="AH109" i="3"/>
  <c r="AF109" i="3"/>
  <c r="AE109" i="3"/>
  <c r="AD109" i="3" s="1"/>
  <c r="AD108" i="3"/>
  <c r="AC109" i="3"/>
  <c r="AB109" i="3"/>
  <c r="AA109" i="3" s="1"/>
  <c r="Z109" i="3"/>
  <c r="Y109" i="3"/>
  <c r="X109" i="3" s="1"/>
  <c r="W109" i="3"/>
  <c r="V109" i="3"/>
  <c r="U109" i="3" s="1"/>
  <c r="T109" i="3"/>
  <c r="S109" i="3"/>
  <c r="R109" i="3" s="1"/>
  <c r="R108" i="3"/>
  <c r="Q109" i="3"/>
  <c r="P109" i="3"/>
  <c r="O109" i="3" s="1"/>
  <c r="O108" i="3"/>
  <c r="N109" i="3"/>
  <c r="M109" i="3"/>
  <c r="L109" i="3" s="1"/>
  <c r="L108" i="3"/>
  <c r="K109" i="3"/>
  <c r="J109" i="3"/>
  <c r="H109" i="3"/>
  <c r="G109" i="3"/>
  <c r="F109" i="3" s="1"/>
  <c r="E109" i="3"/>
  <c r="DQ108" i="3"/>
  <c r="DN108" i="3"/>
  <c r="DM108" i="3"/>
  <c r="DJ108" i="3"/>
  <c r="DA108" i="3"/>
  <c r="CY108" i="3"/>
  <c r="CY109" i="3" s="1"/>
  <c r="CY110" i="3" s="1"/>
  <c r="CX108" i="3"/>
  <c r="CW108" i="3"/>
  <c r="CW109" i="3" s="1"/>
  <c r="CW110" i="3" s="1"/>
  <c r="CV108" i="3"/>
  <c r="CV109" i="3" s="1"/>
  <c r="CV110" i="3" s="1"/>
  <c r="CV75" i="2" s="1"/>
  <c r="CU108" i="3"/>
  <c r="CT108" i="3"/>
  <c r="CT109" i="3" s="1"/>
  <c r="CS108" i="3"/>
  <c r="CS109" i="3" s="1"/>
  <c r="CS110" i="3" s="1"/>
  <c r="CR108" i="3"/>
  <c r="CQ108" i="3"/>
  <c r="CQ109" i="3" s="1"/>
  <c r="CQ110" i="3" s="1"/>
  <c r="CP108" i="3"/>
  <c r="CO108" i="3"/>
  <c r="CN108" i="3"/>
  <c r="CM108" i="3"/>
  <c r="CL108" i="3"/>
  <c r="CK108" i="3"/>
  <c r="CJ108" i="3"/>
  <c r="CI108" i="3"/>
  <c r="CH108" i="3"/>
  <c r="CG108" i="3"/>
  <c r="CF108" i="3"/>
  <c r="CE108" i="3"/>
  <c r="CD108" i="3"/>
  <c r="CC108" i="3"/>
  <c r="CB108" i="3"/>
  <c r="CB109" i="3" s="1"/>
  <c r="CB110" i="3" s="1"/>
  <c r="CB17" i="3" s="1"/>
  <c r="CA108" i="3"/>
  <c r="BZ108" i="3"/>
  <c r="BY108" i="3"/>
  <c r="BX108" i="3"/>
  <c r="BW108" i="3"/>
  <c r="BV108" i="3"/>
  <c r="BU108" i="3"/>
  <c r="BT108" i="3"/>
  <c r="BS108" i="3"/>
  <c r="BR108" i="3"/>
  <c r="BQ108" i="3"/>
  <c r="BP108" i="3"/>
  <c r="BO108" i="3"/>
  <c r="BN108" i="3"/>
  <c r="BM108" i="3"/>
  <c r="BL108" i="3"/>
  <c r="BK108" i="3"/>
  <c r="BJ108" i="3"/>
  <c r="BI108" i="3"/>
  <c r="BH108" i="3"/>
  <c r="BG108" i="3"/>
  <c r="BF108" i="3"/>
  <c r="BE108" i="3"/>
  <c r="BD108" i="3"/>
  <c r="BC108" i="3"/>
  <c r="BB108" i="3"/>
  <c r="BA108" i="3"/>
  <c r="AZ108" i="3"/>
  <c r="AY108" i="3"/>
  <c r="AX108" i="3"/>
  <c r="AW108" i="3"/>
  <c r="AV108" i="3"/>
  <c r="AU108" i="3"/>
  <c r="AT108" i="3"/>
  <c r="AS108" i="3"/>
  <c r="AR108" i="3"/>
  <c r="AQ108" i="3"/>
  <c r="AP108" i="3"/>
  <c r="AO108" i="3"/>
  <c r="AN108" i="3"/>
  <c r="AM108" i="3"/>
  <c r="AL108" i="3"/>
  <c r="AJ108" i="3"/>
  <c r="AI108" i="3"/>
  <c r="AH108" i="3"/>
  <c r="AG108" i="3"/>
  <c r="AF108" i="3"/>
  <c r="AE108" i="3"/>
  <c r="AC108" i="3"/>
  <c r="AB108" i="3"/>
  <c r="AA108" i="3"/>
  <c r="Z108" i="3"/>
  <c r="Y108" i="3"/>
  <c r="X108" i="3"/>
  <c r="W108" i="3"/>
  <c r="V108" i="3"/>
  <c r="U108" i="3"/>
  <c r="T108" i="3"/>
  <c r="S108" i="3"/>
  <c r="Q108" i="3"/>
  <c r="P108" i="3"/>
  <c r="N108" i="3"/>
  <c r="M108" i="3"/>
  <c r="K108" i="3"/>
  <c r="J108" i="3"/>
  <c r="I108" i="3"/>
  <c r="H108" i="3"/>
  <c r="DA107" i="3"/>
  <c r="CX107" i="3"/>
  <c r="CU107" i="3"/>
  <c r="CR107" i="3"/>
  <c r="CP107" i="3"/>
  <c r="CC107" i="3"/>
  <c r="CD107" i="3" s="1"/>
  <c r="DK106" i="3"/>
  <c r="DJ106" i="3"/>
  <c r="DI106" i="3"/>
  <c r="DH106" i="3"/>
  <c r="DG106" i="3"/>
  <c r="DF106" i="3"/>
  <c r="DE106" i="3"/>
  <c r="DD106" i="3"/>
  <c r="DC106" i="3"/>
  <c r="DB106" i="3"/>
  <c r="DA106" i="3"/>
  <c r="CZ106" i="3"/>
  <c r="CY106" i="3"/>
  <c r="CX106" i="3"/>
  <c r="CW106" i="3"/>
  <c r="CV106" i="3"/>
  <c r="CU106" i="3"/>
  <c r="CT106" i="3"/>
  <c r="CS106" i="3"/>
  <c r="CR106" i="3"/>
  <c r="CQ106" i="3"/>
  <c r="CP106" i="3"/>
  <c r="CO106" i="3"/>
  <c r="CN106" i="3"/>
  <c r="CM106" i="3"/>
  <c r="CL106" i="3"/>
  <c r="CK106" i="3"/>
  <c r="CJ106" i="3"/>
  <c r="CI106" i="3"/>
  <c r="CH106" i="3"/>
  <c r="CG106" i="3"/>
  <c r="CF106" i="3"/>
  <c r="CE106" i="3"/>
  <c r="CD106" i="3"/>
  <c r="CC106" i="3"/>
  <c r="CB106" i="3"/>
  <c r="CA106" i="3"/>
  <c r="BZ106" i="3"/>
  <c r="BY106" i="3"/>
  <c r="BX106" i="3"/>
  <c r="BW106" i="3"/>
  <c r="BV106" i="3"/>
  <c r="BU106" i="3"/>
  <c r="BT106" i="3"/>
  <c r="BS106" i="3"/>
  <c r="BR106" i="3"/>
  <c r="BQ106" i="3"/>
  <c r="BP106" i="3"/>
  <c r="BO106" i="3"/>
  <c r="BN106" i="3"/>
  <c r="BM106" i="3"/>
  <c r="BL106" i="3"/>
  <c r="BK106" i="3"/>
  <c r="BJ106" i="3"/>
  <c r="BI106" i="3"/>
  <c r="BH106" i="3"/>
  <c r="BG106" i="3"/>
  <c r="BF106" i="3"/>
  <c r="BE106" i="3"/>
  <c r="BD106" i="3"/>
  <c r="BC106" i="3"/>
  <c r="BB106" i="3"/>
  <c r="BA106" i="3"/>
  <c r="AZ106" i="3"/>
  <c r="AY106" i="3"/>
  <c r="AX106" i="3"/>
  <c r="AW106" i="3"/>
  <c r="AV106" i="3"/>
  <c r="AU106" i="3"/>
  <c r="AT106" i="3"/>
  <c r="AS106" i="3"/>
  <c r="AR106" i="3"/>
  <c r="AQ106" i="3"/>
  <c r="AP106" i="3"/>
  <c r="AO106" i="3"/>
  <c r="AN106" i="3"/>
  <c r="AM106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ER102" i="3"/>
  <c r="EQ102" i="3" s="1"/>
  <c r="EP102" i="3"/>
  <c r="EO102" i="3"/>
  <c r="EN102" i="3" s="1"/>
  <c r="EM102" i="3"/>
  <c r="EL102" i="3"/>
  <c r="EK102" i="3" s="1"/>
  <c r="EJ102" i="3"/>
  <c r="EI102" i="3"/>
  <c r="EH102" i="3" s="1"/>
  <c r="EG102" i="3"/>
  <c r="EF102" i="3"/>
  <c r="EE102" i="3" s="1"/>
  <c r="ED102" i="3"/>
  <c r="EC102" i="3"/>
  <c r="EB102" i="3" s="1"/>
  <c r="EA102" i="3"/>
  <c r="DZ102" i="3"/>
  <c r="DY102" i="3" s="1"/>
  <c r="DX102" i="3"/>
  <c r="DU102" i="3"/>
  <c r="DT102" i="3"/>
  <c r="DS102" i="3" s="1"/>
  <c r="DR102" i="3"/>
  <c r="DQ102" i="3"/>
  <c r="DP102" i="3" s="1"/>
  <c r="DO102" i="3"/>
  <c r="DN102" i="3"/>
  <c r="DM102" i="3" s="1"/>
  <c r="DL102" i="3"/>
  <c r="DK102" i="3"/>
  <c r="DJ102" i="3" s="1"/>
  <c r="DI102" i="3"/>
  <c r="DH102" i="3"/>
  <c r="DG102" i="3" s="1"/>
  <c r="DF102" i="3"/>
  <c r="DE102" i="3"/>
  <c r="DD102" i="3" s="1"/>
  <c r="DC102" i="3"/>
  <c r="DB102" i="3"/>
  <c r="DA102" i="3" s="1"/>
  <c r="CZ102" i="3"/>
  <c r="CY102" i="3"/>
  <c r="CX102" i="3" s="1"/>
  <c r="CW102" i="3"/>
  <c r="CV102" i="3"/>
  <c r="CU102" i="3" s="1"/>
  <c r="CT102" i="3"/>
  <c r="CS102" i="3"/>
  <c r="CR102" i="3" s="1"/>
  <c r="CQ102" i="3"/>
  <c r="CN102" i="3"/>
  <c r="CM102" i="3"/>
  <c r="CL102" i="3" s="1"/>
  <c r="CK102" i="3"/>
  <c r="CJ102" i="3"/>
  <c r="CI102" i="3" s="1"/>
  <c r="CH102" i="3"/>
  <c r="CG102" i="3"/>
  <c r="CF102" i="3" s="1"/>
  <c r="CE102" i="3"/>
  <c r="CD102" i="3"/>
  <c r="CC102" i="3" s="1"/>
  <c r="CB102" i="3"/>
  <c r="CA102" i="3"/>
  <c r="BZ102" i="3" s="1"/>
  <c r="BY102" i="3"/>
  <c r="BX102" i="3"/>
  <c r="BW102" i="3" s="1"/>
  <c r="BV102" i="3"/>
  <c r="BU102" i="3"/>
  <c r="BT102" i="3" s="1"/>
  <c r="BS102" i="3"/>
  <c r="BR102" i="3"/>
  <c r="BQ102" i="3" s="1"/>
  <c r="BP102" i="3"/>
  <c r="BO102" i="3"/>
  <c r="BN102" i="3" s="1"/>
  <c r="BM102" i="3"/>
  <c r="BL102" i="3"/>
  <c r="BK102" i="3" s="1"/>
  <c r="BJ102" i="3"/>
  <c r="BI102" i="3"/>
  <c r="BH102" i="3" s="1"/>
  <c r="BG102" i="3"/>
  <c r="BF102" i="3"/>
  <c r="BE102" i="3" s="1"/>
  <c r="BD102" i="3"/>
  <c r="EQ101" i="3"/>
  <c r="EN101" i="3"/>
  <c r="EK101" i="3"/>
  <c r="EH101" i="3"/>
  <c r="EE101" i="3"/>
  <c r="EB101" i="3"/>
  <c r="DY101" i="3"/>
  <c r="DS101" i="3"/>
  <c r="DP101" i="3"/>
  <c r="DM101" i="3"/>
  <c r="DJ101" i="3"/>
  <c r="DG101" i="3"/>
  <c r="DD101" i="3"/>
  <c r="DA101" i="3"/>
  <c r="CX101" i="3"/>
  <c r="CU101" i="3"/>
  <c r="CR101" i="3"/>
  <c r="CO101" i="3"/>
  <c r="CL101" i="3"/>
  <c r="CI101" i="3"/>
  <c r="CF101" i="3"/>
  <c r="CC101" i="3"/>
  <c r="BZ101" i="3"/>
  <c r="BW101" i="3"/>
  <c r="BT101" i="3"/>
  <c r="BQ101" i="3"/>
  <c r="BN101" i="3"/>
  <c r="BK101" i="3"/>
  <c r="BH101" i="3"/>
  <c r="BE101" i="3"/>
  <c r="EQ100" i="3"/>
  <c r="EN100" i="3"/>
  <c r="EK100" i="3"/>
  <c r="EH100" i="3"/>
  <c r="EE100" i="3"/>
  <c r="EB100" i="3"/>
  <c r="DY100" i="3"/>
  <c r="DS100" i="3"/>
  <c r="DP100" i="3"/>
  <c r="DM100" i="3"/>
  <c r="DJ100" i="3"/>
  <c r="DG100" i="3"/>
  <c r="DD100" i="3"/>
  <c r="DA100" i="3"/>
  <c r="CX100" i="3"/>
  <c r="CU100" i="3"/>
  <c r="CR100" i="3"/>
  <c r="CL100" i="3"/>
  <c r="CI100" i="3"/>
  <c r="CF100" i="3"/>
  <c r="CC100" i="3"/>
  <c r="BZ100" i="3"/>
  <c r="BW100" i="3"/>
  <c r="BT100" i="3"/>
  <c r="BQ100" i="3"/>
  <c r="BN100" i="3"/>
  <c r="BK100" i="3"/>
  <c r="BH100" i="3"/>
  <c r="BE100" i="3"/>
  <c r="EQ99" i="3"/>
  <c r="EN99" i="3"/>
  <c r="EK99" i="3"/>
  <c r="EH99" i="3"/>
  <c r="EE99" i="3"/>
  <c r="EB99" i="3"/>
  <c r="DY99" i="3"/>
  <c r="DS99" i="3"/>
  <c r="DP99" i="3"/>
  <c r="DM99" i="3"/>
  <c r="DJ99" i="3"/>
  <c r="DG99" i="3"/>
  <c r="DD99" i="3"/>
  <c r="DA99" i="3"/>
  <c r="CX99" i="3"/>
  <c r="CU99" i="3"/>
  <c r="CR99" i="3"/>
  <c r="CO99" i="3"/>
  <c r="CL99" i="3"/>
  <c r="CI99" i="3"/>
  <c r="CF99" i="3"/>
  <c r="CC99" i="3"/>
  <c r="BZ99" i="3"/>
  <c r="BW99" i="3"/>
  <c r="BT99" i="3"/>
  <c r="BQ99" i="3"/>
  <c r="BN99" i="3"/>
  <c r="BK99" i="3"/>
  <c r="BH99" i="3"/>
  <c r="BE99" i="3"/>
  <c r="BC99" i="3"/>
  <c r="BB99" i="3" s="1"/>
  <c r="AZ99" i="3"/>
  <c r="AY99" i="3" s="1"/>
  <c r="AW99" i="3"/>
  <c r="AV99" i="3" s="1"/>
  <c r="AT99" i="3"/>
  <c r="AS99" i="3" s="1"/>
  <c r="AQ99" i="3"/>
  <c r="AP99" i="3" s="1"/>
  <c r="AO99" i="3"/>
  <c r="AN99" i="3"/>
  <c r="AM99" i="3" s="1"/>
  <c r="AL99" i="3"/>
  <c r="AK99" i="3"/>
  <c r="AJ99" i="3" s="1"/>
  <c r="AI99" i="3"/>
  <c r="AH99" i="3"/>
  <c r="AG99" i="3" s="1"/>
  <c r="AF99" i="3"/>
  <c r="AE99" i="3"/>
  <c r="AD99" i="3" s="1"/>
  <c r="AC99" i="3"/>
  <c r="AB99" i="3"/>
  <c r="AA99" i="3" s="1"/>
  <c r="Z99" i="3"/>
  <c r="Y99" i="3"/>
  <c r="X99" i="3" s="1"/>
  <c r="W99" i="3"/>
  <c r="V99" i="3"/>
  <c r="U99" i="3" s="1"/>
  <c r="T99" i="3"/>
  <c r="S99" i="3"/>
  <c r="R99" i="3" s="1"/>
  <c r="Q99" i="3"/>
  <c r="P99" i="3"/>
  <c r="O99" i="3" s="1"/>
  <c r="N99" i="3"/>
  <c r="M99" i="3"/>
  <c r="L99" i="3" s="1"/>
  <c r="K99" i="3"/>
  <c r="J99" i="3"/>
  <c r="I99" i="3" s="1"/>
  <c r="H99" i="3"/>
  <c r="G99" i="3"/>
  <c r="F99" i="3" s="1"/>
  <c r="E99" i="3"/>
  <c r="EQ96" i="3"/>
  <c r="EN96" i="3"/>
  <c r="EK96" i="3"/>
  <c r="EH96" i="3"/>
  <c r="EE96" i="3"/>
  <c r="EB96" i="3"/>
  <c r="DY96" i="3"/>
  <c r="DS96" i="3"/>
  <c r="DP96" i="3"/>
  <c r="DM96" i="3"/>
  <c r="DJ96" i="3"/>
  <c r="DG96" i="3"/>
  <c r="DD96" i="3"/>
  <c r="DA96" i="3"/>
  <c r="CX96" i="3"/>
  <c r="CU96" i="3"/>
  <c r="CR96" i="3"/>
  <c r="CO96" i="3"/>
  <c r="CL96" i="3"/>
  <c r="CI96" i="3"/>
  <c r="CF96" i="3"/>
  <c r="CC96" i="3"/>
  <c r="BZ96" i="3"/>
  <c r="BW96" i="3"/>
  <c r="BT96" i="3"/>
  <c r="BQ96" i="3"/>
  <c r="BN96" i="3"/>
  <c r="BK96" i="3"/>
  <c r="BH96" i="3"/>
  <c r="BE96" i="3"/>
  <c r="BC96" i="3"/>
  <c r="BA96" i="3"/>
  <c r="AZ96" i="3"/>
  <c r="AX96" i="3"/>
  <c r="AW96" i="3"/>
  <c r="AU96" i="3"/>
  <c r="AT96" i="3"/>
  <c r="AR96" i="3"/>
  <c r="AQ96" i="3"/>
  <c r="AO96" i="3"/>
  <c r="AN96" i="3"/>
  <c r="AL96" i="3"/>
  <c r="AK96" i="3"/>
  <c r="AI96" i="3"/>
  <c r="AH96" i="3"/>
  <c r="AF96" i="3"/>
  <c r="AE96" i="3"/>
  <c r="AC96" i="3"/>
  <c r="AB96" i="3"/>
  <c r="Z96" i="3"/>
  <c r="Y96" i="3"/>
  <c r="W96" i="3"/>
  <c r="V96" i="3"/>
  <c r="T96" i="3"/>
  <c r="S96" i="3"/>
  <c r="Q96" i="3"/>
  <c r="P96" i="3"/>
  <c r="N96" i="3"/>
  <c r="M96" i="3"/>
  <c r="K96" i="3"/>
  <c r="J96" i="3"/>
  <c r="H96" i="3"/>
  <c r="G96" i="3"/>
  <c r="E96" i="3"/>
  <c r="ER92" i="3"/>
  <c r="ER95" i="3" s="1"/>
  <c r="EQ95" i="3" s="1"/>
  <c r="EP92" i="3"/>
  <c r="EP95" i="3" s="1"/>
  <c r="EO92" i="3"/>
  <c r="EO95" i="3" s="1"/>
  <c r="EN95" i="3" s="1"/>
  <c r="EM92" i="3"/>
  <c r="EM95" i="3" s="1"/>
  <c r="EL92" i="3"/>
  <c r="EL95" i="3" s="1"/>
  <c r="EK95" i="3" s="1"/>
  <c r="EJ92" i="3"/>
  <c r="EJ95" i="3" s="1"/>
  <c r="EI92" i="3"/>
  <c r="EI95" i="3" s="1"/>
  <c r="EH95" i="3" s="1"/>
  <c r="EG92" i="3"/>
  <c r="EG95" i="3" s="1"/>
  <c r="EF92" i="3"/>
  <c r="EF95" i="3" s="1"/>
  <c r="EE95" i="3" s="1"/>
  <c r="ED92" i="3"/>
  <c r="ED95" i="3" s="1"/>
  <c r="EC92" i="3"/>
  <c r="EC95" i="3" s="1"/>
  <c r="EB95" i="3" s="1"/>
  <c r="EA92" i="3"/>
  <c r="EA95" i="3" s="1"/>
  <c r="DZ92" i="3"/>
  <c r="DZ95" i="3" s="1"/>
  <c r="DY95" i="3" s="1"/>
  <c r="DX92" i="3"/>
  <c r="DX95" i="3" s="1"/>
  <c r="DU92" i="3"/>
  <c r="DU95" i="3" s="1"/>
  <c r="DT92" i="3"/>
  <c r="DT95" i="3" s="1"/>
  <c r="DS95" i="3" s="1"/>
  <c r="DR92" i="3"/>
  <c r="DR95" i="3" s="1"/>
  <c r="DQ92" i="3"/>
  <c r="DQ95" i="3" s="1"/>
  <c r="DP95" i="3" s="1"/>
  <c r="DO92" i="3"/>
  <c r="DO95" i="3" s="1"/>
  <c r="DN92" i="3"/>
  <c r="DN95" i="3" s="1"/>
  <c r="DM95" i="3" s="1"/>
  <c r="DL92" i="3"/>
  <c r="DL95" i="3" s="1"/>
  <c r="DK92" i="3"/>
  <c r="DK95" i="3" s="1"/>
  <c r="DJ95" i="3" s="1"/>
  <c r="DI92" i="3"/>
  <c r="DI95" i="3" s="1"/>
  <c r="DH92" i="3"/>
  <c r="DH95" i="3" s="1"/>
  <c r="DG95" i="3" s="1"/>
  <c r="DF92" i="3"/>
  <c r="DF95" i="3" s="1"/>
  <c r="DE92" i="3"/>
  <c r="DE95" i="3" s="1"/>
  <c r="DD95" i="3" s="1"/>
  <c r="DC92" i="3"/>
  <c r="DC95" i="3" s="1"/>
  <c r="DB92" i="3"/>
  <c r="DB95" i="3" s="1"/>
  <c r="DA95" i="3" s="1"/>
  <c r="CZ92" i="3"/>
  <c r="CZ95" i="3" s="1"/>
  <c r="CY92" i="3"/>
  <c r="CY95" i="3" s="1"/>
  <c r="CX95" i="3" s="1"/>
  <c r="CW92" i="3"/>
  <c r="CW95" i="3" s="1"/>
  <c r="CV92" i="3"/>
  <c r="CV95" i="3" s="1"/>
  <c r="CU95" i="3" s="1"/>
  <c r="CT92" i="3"/>
  <c r="CT95" i="3" s="1"/>
  <c r="CS92" i="3"/>
  <c r="CS95" i="3" s="1"/>
  <c r="CR95" i="3" s="1"/>
  <c r="CQ92" i="3"/>
  <c r="CQ95" i="3" s="1"/>
  <c r="CP92" i="3"/>
  <c r="CP95" i="3" s="1"/>
  <c r="CO95" i="3" s="1"/>
  <c r="CN92" i="3"/>
  <c r="CN95" i="3" s="1"/>
  <c r="CM92" i="3"/>
  <c r="CM95" i="3" s="1"/>
  <c r="CL95" i="3" s="1"/>
  <c r="CK92" i="3"/>
  <c r="CK95" i="3" s="1"/>
  <c r="CJ92" i="3"/>
  <c r="CJ95" i="3" s="1"/>
  <c r="CI95" i="3" s="1"/>
  <c r="CH92" i="3"/>
  <c r="CH95" i="3" s="1"/>
  <c r="CG92" i="3"/>
  <c r="CG95" i="3" s="1"/>
  <c r="CF95" i="3" s="1"/>
  <c r="CE92" i="3"/>
  <c r="CE95" i="3" s="1"/>
  <c r="CD92" i="3"/>
  <c r="CD95" i="3" s="1"/>
  <c r="CC95" i="3" s="1"/>
  <c r="CB92" i="3"/>
  <c r="CB95" i="3" s="1"/>
  <c r="CA92" i="3"/>
  <c r="CA95" i="3" s="1"/>
  <c r="BZ95" i="3" s="1"/>
  <c r="BY92" i="3"/>
  <c r="BY95" i="3" s="1"/>
  <c r="BX92" i="3"/>
  <c r="BX95" i="3" s="1"/>
  <c r="BW95" i="3" s="1"/>
  <c r="BV92" i="3"/>
  <c r="BV95" i="3" s="1"/>
  <c r="BU92" i="3"/>
  <c r="BU95" i="3" s="1"/>
  <c r="BT95" i="3" s="1"/>
  <c r="BS92" i="3"/>
  <c r="BS95" i="3" s="1"/>
  <c r="BR92" i="3"/>
  <c r="BR95" i="3" s="1"/>
  <c r="BQ95" i="3" s="1"/>
  <c r="BP92" i="3"/>
  <c r="BP95" i="3" s="1"/>
  <c r="BO92" i="3"/>
  <c r="BO95" i="3" s="1"/>
  <c r="BN95" i="3" s="1"/>
  <c r="BM92" i="3"/>
  <c r="BM95" i="3" s="1"/>
  <c r="BL92" i="3"/>
  <c r="BL95" i="3" s="1"/>
  <c r="BK95" i="3" s="1"/>
  <c r="BJ92" i="3"/>
  <c r="BJ95" i="3" s="1"/>
  <c r="BI92" i="3"/>
  <c r="BI95" i="3" s="1"/>
  <c r="BH95" i="3" s="1"/>
  <c r="BH89" i="3"/>
  <c r="BH92" i="3" s="1"/>
  <c r="BG92" i="3"/>
  <c r="BG95" i="3" s="1"/>
  <c r="BF92" i="3"/>
  <c r="BF95" i="3" s="1"/>
  <c r="BE95" i="3" s="1"/>
  <c r="BD92" i="3"/>
  <c r="BD95" i="3" s="1"/>
  <c r="BC92" i="3"/>
  <c r="BB92" i="3"/>
  <c r="BA92" i="3"/>
  <c r="AZ92" i="3"/>
  <c r="AY92" i="3"/>
  <c r="AX92" i="3"/>
  <c r="AW92" i="3"/>
  <c r="AV92" i="3"/>
  <c r="AU92" i="3"/>
  <c r="AT92" i="3"/>
  <c r="AS92" i="3"/>
  <c r="AR92" i="3"/>
  <c r="AQ92" i="3"/>
  <c r="AP92" i="3"/>
  <c r="AO92" i="3"/>
  <c r="AN92" i="3"/>
  <c r="AL92" i="3"/>
  <c r="AK92" i="3"/>
  <c r="AI92" i="3"/>
  <c r="AH92" i="3"/>
  <c r="AF92" i="3"/>
  <c r="AE92" i="3"/>
  <c r="AC92" i="3"/>
  <c r="AB92" i="3"/>
  <c r="Z92" i="3"/>
  <c r="Y92" i="3"/>
  <c r="W92" i="3"/>
  <c r="V92" i="3"/>
  <c r="T92" i="3"/>
  <c r="S92" i="3"/>
  <c r="Q92" i="3"/>
  <c r="P92" i="3"/>
  <c r="N92" i="3"/>
  <c r="M92" i="3"/>
  <c r="K92" i="3"/>
  <c r="J92" i="3"/>
  <c r="H92" i="3"/>
  <c r="EQ90" i="3"/>
  <c r="EN90" i="3"/>
  <c r="EK90" i="3"/>
  <c r="EH90" i="3"/>
  <c r="EE90" i="3"/>
  <c r="EB90" i="3"/>
  <c r="DY90" i="3"/>
  <c r="DS90" i="3"/>
  <c r="DP90" i="3"/>
  <c r="DM90" i="3"/>
  <c r="DJ90" i="3"/>
  <c r="DG90" i="3"/>
  <c r="DD90" i="3"/>
  <c r="DA90" i="3"/>
  <c r="CX90" i="3"/>
  <c r="CU90" i="3"/>
  <c r="CR90" i="3"/>
  <c r="CO90" i="3"/>
  <c r="CL90" i="3"/>
  <c r="CI90" i="3"/>
  <c r="CF90" i="3"/>
  <c r="CC90" i="3"/>
  <c r="BZ90" i="3"/>
  <c r="BW90" i="3"/>
  <c r="BT90" i="3"/>
  <c r="BQ90" i="3"/>
  <c r="BN90" i="3"/>
  <c r="BK90" i="3"/>
  <c r="BH90" i="3"/>
  <c r="BE90" i="3"/>
  <c r="BB90" i="3"/>
  <c r="AY90" i="3"/>
  <c r="AV90" i="3"/>
  <c r="AS90" i="3"/>
  <c r="AP90" i="3"/>
  <c r="AM90" i="3"/>
  <c r="AJ90" i="3"/>
  <c r="AG90" i="3"/>
  <c r="AD90" i="3"/>
  <c r="AA90" i="3"/>
  <c r="X90" i="3"/>
  <c r="U90" i="3"/>
  <c r="R90" i="3"/>
  <c r="O90" i="3"/>
  <c r="L90" i="3"/>
  <c r="I90" i="3"/>
  <c r="F90" i="3"/>
  <c r="EQ89" i="3"/>
  <c r="EQ92" i="3" s="1"/>
  <c r="EN89" i="3"/>
  <c r="EN92" i="3" s="1"/>
  <c r="EK89" i="3"/>
  <c r="EK92" i="3" s="1"/>
  <c r="EH89" i="3"/>
  <c r="EH92" i="3" s="1"/>
  <c r="EE89" i="3"/>
  <c r="EE92" i="3" s="1"/>
  <c r="EB89" i="3"/>
  <c r="EB92" i="3" s="1"/>
  <c r="DY89" i="3"/>
  <c r="DY92" i="3" s="1"/>
  <c r="DS89" i="3"/>
  <c r="DS92" i="3" s="1"/>
  <c r="DP89" i="3"/>
  <c r="DP92" i="3" s="1"/>
  <c r="DM89" i="3"/>
  <c r="DM92" i="3" s="1"/>
  <c r="DJ89" i="3"/>
  <c r="DJ92" i="3" s="1"/>
  <c r="DG89" i="3"/>
  <c r="DG92" i="3" s="1"/>
  <c r="DD89" i="3"/>
  <c r="DD92" i="3" s="1"/>
  <c r="DA89" i="3"/>
  <c r="DA92" i="3" s="1"/>
  <c r="CX89" i="3"/>
  <c r="CX92" i="3" s="1"/>
  <c r="CU89" i="3"/>
  <c r="CU92" i="3" s="1"/>
  <c r="CR89" i="3"/>
  <c r="CR92" i="3" s="1"/>
  <c r="CO89" i="3"/>
  <c r="CO92" i="3" s="1"/>
  <c r="CL89" i="3"/>
  <c r="CL92" i="3" s="1"/>
  <c r="CI89" i="3"/>
  <c r="CI92" i="3" s="1"/>
  <c r="CF89" i="3"/>
  <c r="CF92" i="3" s="1"/>
  <c r="CC89" i="3"/>
  <c r="CC92" i="3" s="1"/>
  <c r="BZ89" i="3"/>
  <c r="BZ92" i="3" s="1"/>
  <c r="BW89" i="3"/>
  <c r="BW92" i="3" s="1"/>
  <c r="BT89" i="3"/>
  <c r="BT92" i="3" s="1"/>
  <c r="BQ89" i="3"/>
  <c r="BQ92" i="3" s="1"/>
  <c r="BN89" i="3"/>
  <c r="BN92" i="3" s="1"/>
  <c r="BK89" i="3"/>
  <c r="BK92" i="3" s="1"/>
  <c r="BE89" i="3"/>
  <c r="BE92" i="3" s="1"/>
  <c r="AM89" i="3"/>
  <c r="AM92" i="3" s="1"/>
  <c r="AJ89" i="3"/>
  <c r="AJ92" i="3" s="1"/>
  <c r="AG89" i="3"/>
  <c r="AG92" i="3" s="1"/>
  <c r="AD89" i="3"/>
  <c r="AD92" i="3" s="1"/>
  <c r="AA89" i="3"/>
  <c r="AA92" i="3" s="1"/>
  <c r="X89" i="3"/>
  <c r="X92" i="3" s="1"/>
  <c r="U89" i="3"/>
  <c r="U92" i="3" s="1"/>
  <c r="R89" i="3"/>
  <c r="R92" i="3" s="1"/>
  <c r="O89" i="3"/>
  <c r="O92" i="3" s="1"/>
  <c r="L89" i="3"/>
  <c r="L92" i="3" s="1"/>
  <c r="I89" i="3"/>
  <c r="I92" i="3" s="1"/>
  <c r="F89" i="3"/>
  <c r="EQ87" i="3"/>
  <c r="EN87" i="3"/>
  <c r="EK87" i="3"/>
  <c r="EH87" i="3"/>
  <c r="EE87" i="3"/>
  <c r="EB87" i="3"/>
  <c r="DY87" i="3"/>
  <c r="DS87" i="3"/>
  <c r="DP87" i="3"/>
  <c r="DM87" i="3"/>
  <c r="DJ87" i="3"/>
  <c r="DG87" i="3"/>
  <c r="DD87" i="3"/>
  <c r="DA87" i="3"/>
  <c r="CX87" i="3"/>
  <c r="CU87" i="3"/>
  <c r="CR87" i="3"/>
  <c r="CO87" i="3"/>
  <c r="CL87" i="3"/>
  <c r="CI87" i="3"/>
  <c r="CF87" i="3"/>
  <c r="CC87" i="3"/>
  <c r="BZ87" i="3"/>
  <c r="BW87" i="3"/>
  <c r="BT87" i="3"/>
  <c r="BQ87" i="3"/>
  <c r="BN87" i="3"/>
  <c r="BK87" i="3"/>
  <c r="BH87" i="3"/>
  <c r="BE87" i="3"/>
  <c r="BC87" i="3"/>
  <c r="BA87" i="3"/>
  <c r="AZ87" i="3"/>
  <c r="AX87" i="3"/>
  <c r="AW87" i="3"/>
  <c r="AU87" i="3"/>
  <c r="AT87" i="3"/>
  <c r="AR87" i="3"/>
  <c r="AQ87" i="3"/>
  <c r="AO87" i="3"/>
  <c r="AN87" i="3"/>
  <c r="AL87" i="3"/>
  <c r="AK87" i="3"/>
  <c r="AI87" i="3"/>
  <c r="AH87" i="3"/>
  <c r="AF87" i="3"/>
  <c r="AE87" i="3"/>
  <c r="AC87" i="3"/>
  <c r="AB87" i="3"/>
  <c r="Z87" i="3"/>
  <c r="Y87" i="3"/>
  <c r="W87" i="3"/>
  <c r="V87" i="3"/>
  <c r="T87" i="3"/>
  <c r="S87" i="3"/>
  <c r="Q87" i="3"/>
  <c r="P87" i="3"/>
  <c r="N87" i="3"/>
  <c r="M87" i="3"/>
  <c r="K87" i="3"/>
  <c r="J87" i="3"/>
  <c r="H87" i="3"/>
  <c r="G87" i="3"/>
  <c r="E87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ER83" i="3"/>
  <c r="ER86" i="3" s="1"/>
  <c r="EQ86" i="3" s="1"/>
  <c r="EP83" i="3"/>
  <c r="EP86" i="3" s="1"/>
  <c r="EO83" i="3"/>
  <c r="EO86" i="3" s="1"/>
  <c r="EN86" i="3" s="1"/>
  <c r="EM83" i="3"/>
  <c r="EM86" i="3" s="1"/>
  <c r="EL83" i="3"/>
  <c r="EL86" i="3" s="1"/>
  <c r="EK86" i="3" s="1"/>
  <c r="EJ83" i="3"/>
  <c r="EJ86" i="3" s="1"/>
  <c r="EI83" i="3"/>
  <c r="EI86" i="3" s="1"/>
  <c r="EH86" i="3" s="1"/>
  <c r="EG83" i="3"/>
  <c r="EG86" i="3" s="1"/>
  <c r="EF83" i="3"/>
  <c r="EF86" i="3" s="1"/>
  <c r="EE86" i="3" s="1"/>
  <c r="ED83" i="3"/>
  <c r="ED86" i="3" s="1"/>
  <c r="EC83" i="3"/>
  <c r="EC86" i="3" s="1"/>
  <c r="EB86" i="3" s="1"/>
  <c r="EA83" i="3"/>
  <c r="EA86" i="3" s="1"/>
  <c r="DZ83" i="3"/>
  <c r="DZ86" i="3" s="1"/>
  <c r="DY86" i="3" s="1"/>
  <c r="DX83" i="3"/>
  <c r="DX86" i="3" s="1"/>
  <c r="DU83" i="3"/>
  <c r="DU86" i="3" s="1"/>
  <c r="DT83" i="3"/>
  <c r="DT86" i="3" s="1"/>
  <c r="DS86" i="3" s="1"/>
  <c r="DR83" i="3"/>
  <c r="DR86" i="3" s="1"/>
  <c r="DQ83" i="3"/>
  <c r="DQ86" i="3" s="1"/>
  <c r="DP86" i="3" s="1"/>
  <c r="DO83" i="3"/>
  <c r="DO86" i="3" s="1"/>
  <c r="DN83" i="3"/>
  <c r="DN86" i="3" s="1"/>
  <c r="DM86" i="3" s="1"/>
  <c r="DL83" i="3"/>
  <c r="DL86" i="3" s="1"/>
  <c r="DK83" i="3"/>
  <c r="DK86" i="3" s="1"/>
  <c r="DJ86" i="3" s="1"/>
  <c r="DI83" i="3"/>
  <c r="DI86" i="3" s="1"/>
  <c r="DH83" i="3"/>
  <c r="DH86" i="3" s="1"/>
  <c r="DG86" i="3" s="1"/>
  <c r="DF83" i="3"/>
  <c r="DF86" i="3" s="1"/>
  <c r="DE83" i="3"/>
  <c r="DE86" i="3" s="1"/>
  <c r="DD86" i="3" s="1"/>
  <c r="DC83" i="3"/>
  <c r="DC86" i="3" s="1"/>
  <c r="DB83" i="3"/>
  <c r="DB86" i="3" s="1"/>
  <c r="DA86" i="3" s="1"/>
  <c r="CZ83" i="3"/>
  <c r="CZ86" i="3" s="1"/>
  <c r="CY83" i="3"/>
  <c r="CY86" i="3" s="1"/>
  <c r="CX86" i="3" s="1"/>
  <c r="CW83" i="3"/>
  <c r="CW86" i="3" s="1"/>
  <c r="CV83" i="3"/>
  <c r="CV86" i="3" s="1"/>
  <c r="CU86" i="3" s="1"/>
  <c r="CT83" i="3"/>
  <c r="CT86" i="3" s="1"/>
  <c r="CS83" i="3"/>
  <c r="CS86" i="3" s="1"/>
  <c r="CR86" i="3" s="1"/>
  <c r="CQ83" i="3"/>
  <c r="CQ86" i="3" s="1"/>
  <c r="CP83" i="3"/>
  <c r="CP86" i="3" s="1"/>
  <c r="CO86" i="3" s="1"/>
  <c r="CN83" i="3"/>
  <c r="CN86" i="3" s="1"/>
  <c r="CM83" i="3"/>
  <c r="CM86" i="3" s="1"/>
  <c r="CL86" i="3" s="1"/>
  <c r="CK83" i="3"/>
  <c r="CK86" i="3" s="1"/>
  <c r="CJ83" i="3"/>
  <c r="CJ86" i="3" s="1"/>
  <c r="CI86" i="3" s="1"/>
  <c r="CH83" i="3"/>
  <c r="CH86" i="3" s="1"/>
  <c r="CG83" i="3"/>
  <c r="CG86" i="3" s="1"/>
  <c r="CF86" i="3" s="1"/>
  <c r="CE83" i="3"/>
  <c r="CE86" i="3" s="1"/>
  <c r="CD83" i="3"/>
  <c r="CD86" i="3" s="1"/>
  <c r="CC86" i="3" s="1"/>
  <c r="CB83" i="3"/>
  <c r="CB86" i="3" s="1"/>
  <c r="CA83" i="3"/>
  <c r="CA86" i="3" s="1"/>
  <c r="BZ86" i="3" s="1"/>
  <c r="BY83" i="3"/>
  <c r="BY86" i="3" s="1"/>
  <c r="BX83" i="3"/>
  <c r="BX86" i="3" s="1"/>
  <c r="BW86" i="3" s="1"/>
  <c r="BV83" i="3"/>
  <c r="BV86" i="3" s="1"/>
  <c r="BU83" i="3"/>
  <c r="BU86" i="3" s="1"/>
  <c r="BT86" i="3" s="1"/>
  <c r="BS83" i="3"/>
  <c r="BS86" i="3" s="1"/>
  <c r="BR83" i="3"/>
  <c r="BR86" i="3" s="1"/>
  <c r="BQ86" i="3" s="1"/>
  <c r="BP83" i="3"/>
  <c r="BP86" i="3" s="1"/>
  <c r="BO83" i="3"/>
  <c r="BO86" i="3" s="1"/>
  <c r="BN86" i="3" s="1"/>
  <c r="BM83" i="3"/>
  <c r="BM86" i="3" s="1"/>
  <c r="BL83" i="3"/>
  <c r="BL86" i="3" s="1"/>
  <c r="BK86" i="3" s="1"/>
  <c r="BJ83" i="3"/>
  <c r="BJ86" i="3" s="1"/>
  <c r="BI83" i="3"/>
  <c r="BI86" i="3" s="1"/>
  <c r="BH86" i="3" s="1"/>
  <c r="BG83" i="3"/>
  <c r="BG86" i="3" s="1"/>
  <c r="BF83" i="3"/>
  <c r="BF86" i="3" s="1"/>
  <c r="BE86" i="3" s="1"/>
  <c r="BD83" i="3"/>
  <c r="BD86" i="3" s="1"/>
  <c r="BC83" i="3"/>
  <c r="BB83" i="3"/>
  <c r="BA83" i="3"/>
  <c r="AZ83" i="3"/>
  <c r="AY83" i="3"/>
  <c r="AX83" i="3"/>
  <c r="AW83" i="3"/>
  <c r="AV83" i="3"/>
  <c r="AU83" i="3"/>
  <c r="AT83" i="3"/>
  <c r="AS83" i="3"/>
  <c r="AR83" i="3"/>
  <c r="AQ83" i="3"/>
  <c r="AP83" i="3"/>
  <c r="AO83" i="3"/>
  <c r="AN83" i="3"/>
  <c r="AL83" i="3"/>
  <c r="AK83" i="3"/>
  <c r="AI83" i="3"/>
  <c r="AH83" i="3"/>
  <c r="AF83" i="3"/>
  <c r="AE83" i="3"/>
  <c r="AC83" i="3"/>
  <c r="AB83" i="3"/>
  <c r="Z83" i="3"/>
  <c r="Y83" i="3"/>
  <c r="W83" i="3"/>
  <c r="V83" i="3"/>
  <c r="T83" i="3"/>
  <c r="S83" i="3"/>
  <c r="R80" i="3"/>
  <c r="R83" i="3" s="1"/>
  <c r="Q83" i="3"/>
  <c r="P83" i="3"/>
  <c r="N83" i="3"/>
  <c r="M83" i="3"/>
  <c r="K83" i="3"/>
  <c r="J83" i="3"/>
  <c r="H83" i="3"/>
  <c r="ER82" i="3"/>
  <c r="EQ82" i="3"/>
  <c r="EP82" i="3"/>
  <c r="EO82" i="3"/>
  <c r="EN82" i="3"/>
  <c r="EM82" i="3"/>
  <c r="EL82" i="3"/>
  <c r="EK82" i="3"/>
  <c r="EJ82" i="3"/>
  <c r="EI82" i="3"/>
  <c r="EH82" i="3"/>
  <c r="EG82" i="3"/>
  <c r="EF82" i="3"/>
  <c r="EE82" i="3"/>
  <c r="ED82" i="3"/>
  <c r="EC82" i="3"/>
  <c r="EB82" i="3"/>
  <c r="EA82" i="3"/>
  <c r="DZ82" i="3"/>
  <c r="DY82" i="3"/>
  <c r="DX82" i="3"/>
  <c r="DU82" i="3"/>
  <c r="DV84" i="3" s="1"/>
  <c r="DT82" i="3"/>
  <c r="DW84" i="3" s="1"/>
  <c r="DS82" i="3"/>
  <c r="DR82" i="3"/>
  <c r="DQ82" i="3"/>
  <c r="DP82" i="3"/>
  <c r="DO82" i="3"/>
  <c r="DN82" i="3"/>
  <c r="DM82" i="3"/>
  <c r="DL82" i="3"/>
  <c r="DK82" i="3"/>
  <c r="DJ82" i="3"/>
  <c r="DI82" i="3"/>
  <c r="DH82" i="3"/>
  <c r="DG82" i="3"/>
  <c r="DF82" i="3"/>
  <c r="DE82" i="3"/>
  <c r="DD82" i="3"/>
  <c r="DC82" i="3"/>
  <c r="DB82" i="3"/>
  <c r="DA82" i="3"/>
  <c r="CZ82" i="3"/>
  <c r="CY82" i="3"/>
  <c r="CX82" i="3"/>
  <c r="CW82" i="3"/>
  <c r="CV82" i="3"/>
  <c r="CU82" i="3"/>
  <c r="CT82" i="3"/>
  <c r="CS82" i="3"/>
  <c r="CR82" i="3"/>
  <c r="CQ82" i="3"/>
  <c r="CP82" i="3"/>
  <c r="CO82" i="3"/>
  <c r="CN82" i="3"/>
  <c r="CM82" i="3"/>
  <c r="CL82" i="3"/>
  <c r="CK82" i="3"/>
  <c r="CJ82" i="3"/>
  <c r="CI82" i="3"/>
  <c r="CH82" i="3"/>
  <c r="CG82" i="3"/>
  <c r="CF82" i="3"/>
  <c r="CE82" i="3"/>
  <c r="CD82" i="3"/>
  <c r="CC82" i="3"/>
  <c r="CB82" i="3"/>
  <c r="CA82" i="3"/>
  <c r="BZ82" i="3"/>
  <c r="BY82" i="3"/>
  <c r="BX82" i="3"/>
  <c r="BW82" i="3"/>
  <c r="BV82" i="3"/>
  <c r="BU82" i="3"/>
  <c r="BT82" i="3"/>
  <c r="BS82" i="3"/>
  <c r="BR82" i="3"/>
  <c r="BQ82" i="3"/>
  <c r="BP82" i="3"/>
  <c r="BO82" i="3"/>
  <c r="BN82" i="3"/>
  <c r="BM82" i="3"/>
  <c r="BL82" i="3"/>
  <c r="BK82" i="3"/>
  <c r="BJ82" i="3"/>
  <c r="BI82" i="3"/>
  <c r="BH82" i="3"/>
  <c r="BG82" i="3"/>
  <c r="BF82" i="3"/>
  <c r="BE82" i="3"/>
  <c r="BD82" i="3"/>
  <c r="BC82" i="3"/>
  <c r="BB82" i="3"/>
  <c r="BA82" i="3"/>
  <c r="AZ82" i="3"/>
  <c r="AY82" i="3"/>
  <c r="AX82" i="3"/>
  <c r="AW82" i="3"/>
  <c r="AV82" i="3"/>
  <c r="AU82" i="3"/>
  <c r="AT82" i="3"/>
  <c r="AS82" i="3"/>
  <c r="AR82" i="3"/>
  <c r="AQ82" i="3"/>
  <c r="AP82" i="3"/>
  <c r="AO82" i="3"/>
  <c r="AN82" i="3"/>
  <c r="AM82" i="3"/>
  <c r="AL82" i="3"/>
  <c r="AK82" i="3"/>
  <c r="AJ82" i="3"/>
  <c r="AI82" i="3"/>
  <c r="AH82" i="3"/>
  <c r="AG82" i="3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EQ81" i="3"/>
  <c r="EN81" i="3"/>
  <c r="EK81" i="3"/>
  <c r="EH81" i="3"/>
  <c r="EE81" i="3"/>
  <c r="EB81" i="3"/>
  <c r="DY81" i="3"/>
  <c r="DS81" i="3"/>
  <c r="DP81" i="3"/>
  <c r="DM81" i="3"/>
  <c r="DJ81" i="3"/>
  <c r="DG81" i="3"/>
  <c r="DD81" i="3"/>
  <c r="DA81" i="3"/>
  <c r="CX81" i="3"/>
  <c r="CU81" i="3"/>
  <c r="CR81" i="3"/>
  <c r="CO81" i="3"/>
  <c r="CL81" i="3"/>
  <c r="CI81" i="3"/>
  <c r="CF81" i="3"/>
  <c r="CC81" i="3"/>
  <c r="BZ81" i="3"/>
  <c r="BW81" i="3"/>
  <c r="BT81" i="3"/>
  <c r="BQ81" i="3"/>
  <c r="BN81" i="3"/>
  <c r="BK81" i="3"/>
  <c r="BH81" i="3"/>
  <c r="BE81" i="3"/>
  <c r="BB81" i="3"/>
  <c r="AY81" i="3"/>
  <c r="AV81" i="3"/>
  <c r="AS81" i="3"/>
  <c r="AP81" i="3"/>
  <c r="AM81" i="3"/>
  <c r="AJ81" i="3"/>
  <c r="AG81" i="3"/>
  <c r="AD81" i="3"/>
  <c r="AA81" i="3"/>
  <c r="X81" i="3"/>
  <c r="U81" i="3"/>
  <c r="R81" i="3"/>
  <c r="O81" i="3"/>
  <c r="L81" i="3"/>
  <c r="I81" i="3"/>
  <c r="F81" i="3"/>
  <c r="EQ80" i="3"/>
  <c r="EQ83" i="3" s="1"/>
  <c r="EN80" i="3"/>
  <c r="EN83" i="3" s="1"/>
  <c r="EK80" i="3"/>
  <c r="EK83" i="3" s="1"/>
  <c r="EH80" i="3"/>
  <c r="EH83" i="3" s="1"/>
  <c r="EE80" i="3"/>
  <c r="EE83" i="3" s="1"/>
  <c r="EB80" i="3"/>
  <c r="EB83" i="3" s="1"/>
  <c r="DY80" i="3"/>
  <c r="DY83" i="3" s="1"/>
  <c r="DS80" i="3"/>
  <c r="DS83" i="3" s="1"/>
  <c r="DP80" i="3"/>
  <c r="DP83" i="3" s="1"/>
  <c r="DM80" i="3"/>
  <c r="DM83" i="3" s="1"/>
  <c r="DJ80" i="3"/>
  <c r="DJ83" i="3" s="1"/>
  <c r="DG80" i="3"/>
  <c r="DG83" i="3" s="1"/>
  <c r="DD80" i="3"/>
  <c r="DD83" i="3" s="1"/>
  <c r="DA80" i="3"/>
  <c r="DA83" i="3" s="1"/>
  <c r="CX80" i="3"/>
  <c r="CX83" i="3" s="1"/>
  <c r="CU80" i="3"/>
  <c r="CU83" i="3" s="1"/>
  <c r="CR80" i="3"/>
  <c r="CR83" i="3" s="1"/>
  <c r="CO80" i="3"/>
  <c r="CO83" i="3" s="1"/>
  <c r="CL80" i="3"/>
  <c r="CL83" i="3" s="1"/>
  <c r="CI80" i="3"/>
  <c r="CI83" i="3" s="1"/>
  <c r="CF80" i="3"/>
  <c r="CF83" i="3" s="1"/>
  <c r="CC80" i="3"/>
  <c r="CC83" i="3" s="1"/>
  <c r="BZ80" i="3"/>
  <c r="BZ83" i="3" s="1"/>
  <c r="BW80" i="3"/>
  <c r="BW83" i="3" s="1"/>
  <c r="BT80" i="3"/>
  <c r="BT83" i="3" s="1"/>
  <c r="BQ80" i="3"/>
  <c r="BQ83" i="3" s="1"/>
  <c r="BN80" i="3"/>
  <c r="BN83" i="3" s="1"/>
  <c r="BK80" i="3"/>
  <c r="BK83" i="3" s="1"/>
  <c r="BH80" i="3"/>
  <c r="BH83" i="3" s="1"/>
  <c r="BE80" i="3"/>
  <c r="BE83" i="3" s="1"/>
  <c r="AM80" i="3"/>
  <c r="AM83" i="3" s="1"/>
  <c r="AJ80" i="3"/>
  <c r="AJ83" i="3" s="1"/>
  <c r="AG80" i="3"/>
  <c r="AG83" i="3" s="1"/>
  <c r="AD80" i="3"/>
  <c r="AD83" i="3" s="1"/>
  <c r="AA80" i="3"/>
  <c r="AA83" i="3" s="1"/>
  <c r="X80" i="3"/>
  <c r="X83" i="3" s="1"/>
  <c r="U80" i="3"/>
  <c r="U83" i="3" s="1"/>
  <c r="O80" i="3"/>
  <c r="O83" i="3" s="1"/>
  <c r="L80" i="3"/>
  <c r="L83" i="3" s="1"/>
  <c r="I80" i="3"/>
  <c r="I83" i="3" s="1"/>
  <c r="F80" i="3"/>
  <c r="EQ78" i="3"/>
  <c r="EN78" i="3"/>
  <c r="EK78" i="3"/>
  <c r="EH78" i="3"/>
  <c r="EE78" i="3"/>
  <c r="EB78" i="3"/>
  <c r="DY78" i="3"/>
  <c r="DS78" i="3"/>
  <c r="DP78" i="3"/>
  <c r="DM78" i="3"/>
  <c r="DJ78" i="3"/>
  <c r="DG78" i="3"/>
  <c r="DD78" i="3"/>
  <c r="DA78" i="3"/>
  <c r="CX78" i="3"/>
  <c r="CU78" i="3"/>
  <c r="CR78" i="3"/>
  <c r="CO78" i="3"/>
  <c r="CL78" i="3"/>
  <c r="CI78" i="3"/>
  <c r="CF78" i="3"/>
  <c r="CC78" i="3"/>
  <c r="BZ78" i="3"/>
  <c r="BW78" i="3"/>
  <c r="BT78" i="3"/>
  <c r="BQ78" i="3"/>
  <c r="BN78" i="3"/>
  <c r="BK78" i="3"/>
  <c r="BH78" i="3"/>
  <c r="BE78" i="3"/>
  <c r="BC78" i="3"/>
  <c r="BA78" i="3"/>
  <c r="AZ78" i="3"/>
  <c r="AX78" i="3"/>
  <c r="AW78" i="3"/>
  <c r="AU78" i="3"/>
  <c r="AT78" i="3"/>
  <c r="AR78" i="3"/>
  <c r="AQ78" i="3"/>
  <c r="AO78" i="3"/>
  <c r="AN78" i="3"/>
  <c r="AL78" i="3"/>
  <c r="AK78" i="3"/>
  <c r="AI78" i="3"/>
  <c r="AH78" i="3"/>
  <c r="AF78" i="3"/>
  <c r="AE78" i="3"/>
  <c r="AC78" i="3"/>
  <c r="AB78" i="3"/>
  <c r="Z78" i="3"/>
  <c r="Y78" i="3"/>
  <c r="W78" i="3"/>
  <c r="V78" i="3"/>
  <c r="T78" i="3"/>
  <c r="S78" i="3"/>
  <c r="Q78" i="3"/>
  <c r="P78" i="3"/>
  <c r="N78" i="3"/>
  <c r="M78" i="3"/>
  <c r="K78" i="3"/>
  <c r="J78" i="3"/>
  <c r="H78" i="3"/>
  <c r="G78" i="3"/>
  <c r="E78" i="3"/>
  <c r="ER74" i="3"/>
  <c r="ER77" i="3" s="1"/>
  <c r="EQ77" i="3" s="1"/>
  <c r="EP74" i="3"/>
  <c r="EP77" i="3" s="1"/>
  <c r="EO74" i="3"/>
  <c r="EO77" i="3" s="1"/>
  <c r="EN77" i="3" s="1"/>
  <c r="EM74" i="3"/>
  <c r="EM77" i="3" s="1"/>
  <c r="EL74" i="3"/>
  <c r="EL77" i="3" s="1"/>
  <c r="EK77" i="3" s="1"/>
  <c r="EJ74" i="3"/>
  <c r="EJ77" i="3" s="1"/>
  <c r="EI74" i="3"/>
  <c r="EI77" i="3" s="1"/>
  <c r="EH77" i="3" s="1"/>
  <c r="EG74" i="3"/>
  <c r="EG77" i="3" s="1"/>
  <c r="EF74" i="3"/>
  <c r="EF77" i="3" s="1"/>
  <c r="EE77" i="3" s="1"/>
  <c r="ED74" i="3"/>
  <c r="ED77" i="3" s="1"/>
  <c r="EC74" i="3"/>
  <c r="EC77" i="3" s="1"/>
  <c r="EB77" i="3" s="1"/>
  <c r="EA74" i="3"/>
  <c r="EA77" i="3" s="1"/>
  <c r="DZ74" i="3"/>
  <c r="DZ77" i="3" s="1"/>
  <c r="DY77" i="3" s="1"/>
  <c r="DX74" i="3"/>
  <c r="DX77" i="3" s="1"/>
  <c r="DU74" i="3"/>
  <c r="DU77" i="3" s="1"/>
  <c r="DT74" i="3"/>
  <c r="DT77" i="3" s="1"/>
  <c r="DS77" i="3" s="1"/>
  <c r="DR74" i="3"/>
  <c r="DR77" i="3" s="1"/>
  <c r="DQ74" i="3"/>
  <c r="DQ77" i="3" s="1"/>
  <c r="DP77" i="3" s="1"/>
  <c r="DO74" i="3"/>
  <c r="DO77" i="3" s="1"/>
  <c r="DN74" i="3"/>
  <c r="DN77" i="3" s="1"/>
  <c r="DM77" i="3" s="1"/>
  <c r="DL74" i="3"/>
  <c r="DL77" i="3" s="1"/>
  <c r="DK74" i="3"/>
  <c r="DK77" i="3" s="1"/>
  <c r="DJ77" i="3" s="1"/>
  <c r="DI74" i="3"/>
  <c r="DI77" i="3" s="1"/>
  <c r="DH74" i="3"/>
  <c r="DH77" i="3" s="1"/>
  <c r="DG77" i="3" s="1"/>
  <c r="DF74" i="3"/>
  <c r="DF77" i="3" s="1"/>
  <c r="DE74" i="3"/>
  <c r="DE77" i="3" s="1"/>
  <c r="DD77" i="3" s="1"/>
  <c r="DC74" i="3"/>
  <c r="DC77" i="3" s="1"/>
  <c r="DB74" i="3"/>
  <c r="DB77" i="3" s="1"/>
  <c r="DA77" i="3" s="1"/>
  <c r="CZ74" i="3"/>
  <c r="CZ77" i="3" s="1"/>
  <c r="CY74" i="3"/>
  <c r="CY77" i="3" s="1"/>
  <c r="CX77" i="3" s="1"/>
  <c r="CW74" i="3"/>
  <c r="CW77" i="3" s="1"/>
  <c r="CV74" i="3"/>
  <c r="CV77" i="3" s="1"/>
  <c r="CU77" i="3" s="1"/>
  <c r="CT74" i="3"/>
  <c r="CT77" i="3" s="1"/>
  <c r="CS74" i="3"/>
  <c r="CS77" i="3" s="1"/>
  <c r="CR77" i="3" s="1"/>
  <c r="CQ74" i="3"/>
  <c r="CQ77" i="3" s="1"/>
  <c r="CP74" i="3"/>
  <c r="CP77" i="3" s="1"/>
  <c r="CO77" i="3" s="1"/>
  <c r="CN74" i="3"/>
  <c r="CN77" i="3" s="1"/>
  <c r="CM74" i="3"/>
  <c r="CM77" i="3" s="1"/>
  <c r="CL77" i="3" s="1"/>
  <c r="CK74" i="3"/>
  <c r="CK77" i="3" s="1"/>
  <c r="CJ74" i="3"/>
  <c r="CJ77" i="3" s="1"/>
  <c r="CI77" i="3" s="1"/>
  <c r="CH74" i="3"/>
  <c r="CH77" i="3" s="1"/>
  <c r="CG74" i="3"/>
  <c r="CG77" i="3" s="1"/>
  <c r="CF77" i="3" s="1"/>
  <c r="CE74" i="3"/>
  <c r="CE77" i="3" s="1"/>
  <c r="CD74" i="3"/>
  <c r="CD77" i="3" s="1"/>
  <c r="CC77" i="3" s="1"/>
  <c r="CB74" i="3"/>
  <c r="CB77" i="3" s="1"/>
  <c r="CA74" i="3"/>
  <c r="CA77" i="3" s="1"/>
  <c r="BZ77" i="3" s="1"/>
  <c r="BY74" i="3"/>
  <c r="BY77" i="3" s="1"/>
  <c r="BX74" i="3"/>
  <c r="BX77" i="3" s="1"/>
  <c r="BW77" i="3" s="1"/>
  <c r="BV74" i="3"/>
  <c r="BV77" i="3" s="1"/>
  <c r="BU74" i="3"/>
  <c r="BU77" i="3" s="1"/>
  <c r="BT77" i="3" s="1"/>
  <c r="BS74" i="3"/>
  <c r="BS77" i="3" s="1"/>
  <c r="BR74" i="3"/>
  <c r="BR77" i="3" s="1"/>
  <c r="BQ77" i="3" s="1"/>
  <c r="BP74" i="3"/>
  <c r="BP77" i="3" s="1"/>
  <c r="BO74" i="3"/>
  <c r="BO77" i="3" s="1"/>
  <c r="BN77" i="3" s="1"/>
  <c r="BM74" i="3"/>
  <c r="BM77" i="3" s="1"/>
  <c r="BL74" i="3"/>
  <c r="BL77" i="3" s="1"/>
  <c r="BK77" i="3" s="1"/>
  <c r="BJ74" i="3"/>
  <c r="BJ77" i="3" s="1"/>
  <c r="BI74" i="3"/>
  <c r="BI77" i="3" s="1"/>
  <c r="BH77" i="3" s="1"/>
  <c r="BG74" i="3"/>
  <c r="BG77" i="3" s="1"/>
  <c r="BF74" i="3"/>
  <c r="BF77" i="3" s="1"/>
  <c r="BE77" i="3" s="1"/>
  <c r="BD74" i="3"/>
  <c r="BD77" i="3" s="1"/>
  <c r="BC74" i="3"/>
  <c r="BB74" i="3"/>
  <c r="BA74" i="3"/>
  <c r="AZ74" i="3"/>
  <c r="AY74" i="3"/>
  <c r="AX74" i="3"/>
  <c r="AW74" i="3"/>
  <c r="AV74" i="3"/>
  <c r="AU74" i="3"/>
  <c r="AT74" i="3"/>
  <c r="AS74" i="3"/>
  <c r="AR74" i="3"/>
  <c r="AQ74" i="3"/>
  <c r="AP74" i="3"/>
  <c r="AO74" i="3"/>
  <c r="AN74" i="3"/>
  <c r="AL74" i="3"/>
  <c r="AK74" i="3"/>
  <c r="AI74" i="3"/>
  <c r="AH74" i="3"/>
  <c r="AF74" i="3"/>
  <c r="AE74" i="3"/>
  <c r="AC74" i="3"/>
  <c r="AB74" i="3"/>
  <c r="Z74" i="3"/>
  <c r="Y74" i="3"/>
  <c r="W74" i="3"/>
  <c r="V74" i="3"/>
  <c r="T74" i="3"/>
  <c r="S74" i="3"/>
  <c r="Q74" i="3"/>
  <c r="P74" i="3"/>
  <c r="N74" i="3"/>
  <c r="M74" i="3"/>
  <c r="K74" i="3"/>
  <c r="J74" i="3"/>
  <c r="H74" i="3"/>
  <c r="DR73" i="3"/>
  <c r="DQ73" i="3"/>
  <c r="DO73" i="3"/>
  <c r="DN73" i="3"/>
  <c r="DL73" i="3"/>
  <c r="DK73" i="3"/>
  <c r="DI73" i="3"/>
  <c r="DH73" i="3"/>
  <c r="DF73" i="3"/>
  <c r="DE73" i="3"/>
  <c r="DC73" i="3"/>
  <c r="DB73" i="3"/>
  <c r="CZ73" i="3"/>
  <c r="CY73" i="3"/>
  <c r="CW73" i="3"/>
  <c r="CV73" i="3"/>
  <c r="CT73" i="3"/>
  <c r="CS73" i="3"/>
  <c r="CQ73" i="3"/>
  <c r="CP73" i="3"/>
  <c r="CN73" i="3"/>
  <c r="CM73" i="3"/>
  <c r="CK73" i="3"/>
  <c r="CJ73" i="3"/>
  <c r="CH73" i="3"/>
  <c r="CG73" i="3"/>
  <c r="CE73" i="3"/>
  <c r="CD73" i="3"/>
  <c r="CB73" i="3"/>
  <c r="CA73" i="3"/>
  <c r="BY73" i="3"/>
  <c r="BX73" i="3"/>
  <c r="BV73" i="3"/>
  <c r="BU73" i="3"/>
  <c r="BS73" i="3"/>
  <c r="BR73" i="3"/>
  <c r="BP73" i="3"/>
  <c r="BO73" i="3"/>
  <c r="BM73" i="3"/>
  <c r="BL73" i="3"/>
  <c r="BJ73" i="3"/>
  <c r="BI73" i="3"/>
  <c r="BG73" i="3"/>
  <c r="BF73" i="3"/>
  <c r="BD73" i="3"/>
  <c r="BC73" i="3"/>
  <c r="BA73" i="3"/>
  <c r="AZ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EQ72" i="3"/>
  <c r="EN72" i="3"/>
  <c r="EK72" i="3"/>
  <c r="EH72" i="3"/>
  <c r="EE72" i="3"/>
  <c r="EB72" i="3"/>
  <c r="DY72" i="3"/>
  <c r="DS72" i="3"/>
  <c r="DP72" i="3"/>
  <c r="DM72" i="3"/>
  <c r="DJ72" i="3"/>
  <c r="DG72" i="3"/>
  <c r="DD72" i="3"/>
  <c r="DA72" i="3"/>
  <c r="CX72" i="3"/>
  <c r="CU72" i="3"/>
  <c r="CR72" i="3"/>
  <c r="CO72" i="3"/>
  <c r="CL72" i="3"/>
  <c r="CI72" i="3"/>
  <c r="CF72" i="3"/>
  <c r="CC72" i="3"/>
  <c r="BZ72" i="3"/>
  <c r="BW72" i="3"/>
  <c r="BT72" i="3"/>
  <c r="BQ72" i="3"/>
  <c r="BN72" i="3"/>
  <c r="BK72" i="3"/>
  <c r="BH72" i="3"/>
  <c r="BE72" i="3"/>
  <c r="BB72" i="3"/>
  <c r="AY72" i="3"/>
  <c r="AV72" i="3"/>
  <c r="AS72" i="3"/>
  <c r="AP72" i="3"/>
  <c r="AM72" i="3"/>
  <c r="AJ72" i="3"/>
  <c r="AG72" i="3"/>
  <c r="AD72" i="3"/>
  <c r="AA72" i="3"/>
  <c r="X72" i="3"/>
  <c r="U72" i="3"/>
  <c r="R72" i="3"/>
  <c r="O72" i="3"/>
  <c r="L72" i="3"/>
  <c r="I72" i="3"/>
  <c r="F72" i="3"/>
  <c r="EQ71" i="3"/>
  <c r="EQ74" i="3" s="1"/>
  <c r="EN71" i="3"/>
  <c r="EN74" i="3" s="1"/>
  <c r="EK71" i="3"/>
  <c r="EK74" i="3" s="1"/>
  <c r="EH71" i="3"/>
  <c r="EH74" i="3" s="1"/>
  <c r="EE71" i="3"/>
  <c r="EE74" i="3" s="1"/>
  <c r="EB71" i="3"/>
  <c r="EB74" i="3" s="1"/>
  <c r="DY71" i="3"/>
  <c r="DY74" i="3" s="1"/>
  <c r="DS71" i="3"/>
  <c r="DS74" i="3" s="1"/>
  <c r="DP71" i="3"/>
  <c r="DP74" i="3" s="1"/>
  <c r="DM71" i="3"/>
  <c r="DM74" i="3" s="1"/>
  <c r="DJ71" i="3"/>
  <c r="DJ74" i="3" s="1"/>
  <c r="DG71" i="3"/>
  <c r="DG74" i="3" s="1"/>
  <c r="DD71" i="3"/>
  <c r="DD74" i="3" s="1"/>
  <c r="DA71" i="3"/>
  <c r="DA74" i="3" s="1"/>
  <c r="CX71" i="3"/>
  <c r="CX74" i="3" s="1"/>
  <c r="CU71" i="3"/>
  <c r="CU74" i="3" s="1"/>
  <c r="CR71" i="3"/>
  <c r="CR74" i="3" s="1"/>
  <c r="CO71" i="3"/>
  <c r="CO74" i="3" s="1"/>
  <c r="CL71" i="3"/>
  <c r="CL74" i="3" s="1"/>
  <c r="CI71" i="3"/>
  <c r="CI74" i="3" s="1"/>
  <c r="CF71" i="3"/>
  <c r="CF74" i="3" s="1"/>
  <c r="CC71" i="3"/>
  <c r="CC74" i="3" s="1"/>
  <c r="BZ71" i="3"/>
  <c r="BZ74" i="3" s="1"/>
  <c r="BW71" i="3"/>
  <c r="BW74" i="3" s="1"/>
  <c r="BT71" i="3"/>
  <c r="BT74" i="3" s="1"/>
  <c r="BQ71" i="3"/>
  <c r="BQ74" i="3" s="1"/>
  <c r="BN71" i="3"/>
  <c r="BN74" i="3" s="1"/>
  <c r="BK71" i="3"/>
  <c r="BK74" i="3" s="1"/>
  <c r="BH71" i="3"/>
  <c r="BH74" i="3" s="1"/>
  <c r="BE71" i="3"/>
  <c r="BE74" i="3" s="1"/>
  <c r="AM71" i="3"/>
  <c r="AM74" i="3" s="1"/>
  <c r="AJ71" i="3"/>
  <c r="AJ74" i="3" s="1"/>
  <c r="AG71" i="3"/>
  <c r="AG74" i="3" s="1"/>
  <c r="AD71" i="3"/>
  <c r="AD74" i="3" s="1"/>
  <c r="AA71" i="3"/>
  <c r="AA74" i="3" s="1"/>
  <c r="X71" i="3"/>
  <c r="X74" i="3" s="1"/>
  <c r="U71" i="3"/>
  <c r="U74" i="3" s="1"/>
  <c r="R71" i="3"/>
  <c r="R74" i="3" s="1"/>
  <c r="O71" i="3"/>
  <c r="O74" i="3" s="1"/>
  <c r="L71" i="3"/>
  <c r="L74" i="3" s="1"/>
  <c r="I71" i="3"/>
  <c r="I74" i="3" s="1"/>
  <c r="F71" i="3"/>
  <c r="BO69" i="3"/>
  <c r="BK69" i="3"/>
  <c r="BH69" i="3"/>
  <c r="BE69" i="3"/>
  <c r="BC69" i="3"/>
  <c r="BA69" i="3"/>
  <c r="AZ69" i="3"/>
  <c r="AX69" i="3"/>
  <c r="AW69" i="3"/>
  <c r="AU69" i="3"/>
  <c r="AT69" i="3"/>
  <c r="AR69" i="3"/>
  <c r="AQ69" i="3"/>
  <c r="AO69" i="3"/>
  <c r="AN69" i="3"/>
  <c r="AL69" i="3"/>
  <c r="AK69" i="3"/>
  <c r="AI69" i="3"/>
  <c r="AH69" i="3"/>
  <c r="AF69" i="3"/>
  <c r="AE69" i="3"/>
  <c r="AC69" i="3"/>
  <c r="AB69" i="3"/>
  <c r="Z69" i="3"/>
  <c r="Y69" i="3"/>
  <c r="W69" i="3"/>
  <c r="V69" i="3"/>
  <c r="T69" i="3"/>
  <c r="S69" i="3"/>
  <c r="Q69" i="3"/>
  <c r="P69" i="3"/>
  <c r="N69" i="3"/>
  <c r="M69" i="3"/>
  <c r="K69" i="3"/>
  <c r="J69" i="3"/>
  <c r="H69" i="3"/>
  <c r="G69" i="3"/>
  <c r="E69" i="3"/>
  <c r="CV65" i="3"/>
  <c r="CV68" i="3" s="1"/>
  <c r="CU68" i="3" s="1"/>
  <c r="ER65" i="3"/>
  <c r="ER68" i="3" s="1"/>
  <c r="EQ68" i="3" s="1"/>
  <c r="EP65" i="3"/>
  <c r="EP68" i="3" s="1"/>
  <c r="EO65" i="3"/>
  <c r="EO68" i="3" s="1"/>
  <c r="EN68" i="3" s="1"/>
  <c r="EM65" i="3"/>
  <c r="EM68" i="3" s="1"/>
  <c r="EL65" i="3"/>
  <c r="EL68" i="3" s="1"/>
  <c r="EK68" i="3" s="1"/>
  <c r="EJ65" i="3"/>
  <c r="EJ68" i="3" s="1"/>
  <c r="EI65" i="3"/>
  <c r="EI68" i="3" s="1"/>
  <c r="EH68" i="3" s="1"/>
  <c r="EG65" i="3"/>
  <c r="EG68" i="3" s="1"/>
  <c r="EF65" i="3"/>
  <c r="EF68" i="3" s="1"/>
  <c r="EE68" i="3" s="1"/>
  <c r="ED65" i="3"/>
  <c r="ED68" i="3" s="1"/>
  <c r="EC65" i="3"/>
  <c r="EC68" i="3" s="1"/>
  <c r="EB68" i="3" s="1"/>
  <c r="EA65" i="3"/>
  <c r="EA68" i="3" s="1"/>
  <c r="DZ65" i="3"/>
  <c r="DZ68" i="3" s="1"/>
  <c r="DY68" i="3" s="1"/>
  <c r="DX65" i="3"/>
  <c r="DX68" i="3" s="1"/>
  <c r="DU65" i="3"/>
  <c r="DU68" i="3" s="1"/>
  <c r="DT65" i="3"/>
  <c r="DT68" i="3" s="1"/>
  <c r="DS68" i="3" s="1"/>
  <c r="DR65" i="3"/>
  <c r="DR68" i="3" s="1"/>
  <c r="DQ65" i="3"/>
  <c r="DQ68" i="3" s="1"/>
  <c r="DP68" i="3" s="1"/>
  <c r="DO65" i="3"/>
  <c r="DO68" i="3" s="1"/>
  <c r="DN65" i="3"/>
  <c r="DN68" i="3" s="1"/>
  <c r="DM68" i="3" s="1"/>
  <c r="DL65" i="3"/>
  <c r="DL68" i="3" s="1"/>
  <c r="DK65" i="3"/>
  <c r="DK68" i="3" s="1"/>
  <c r="DJ68" i="3" s="1"/>
  <c r="DI65" i="3"/>
  <c r="DI68" i="3" s="1"/>
  <c r="DH65" i="3"/>
  <c r="DH68" i="3" s="1"/>
  <c r="DG68" i="3" s="1"/>
  <c r="DF65" i="3"/>
  <c r="DF68" i="3" s="1"/>
  <c r="DE65" i="3"/>
  <c r="DE68" i="3" s="1"/>
  <c r="DD68" i="3" s="1"/>
  <c r="DC65" i="3"/>
  <c r="DC68" i="3" s="1"/>
  <c r="DB65" i="3"/>
  <c r="DB68" i="3" s="1"/>
  <c r="DA68" i="3" s="1"/>
  <c r="CZ65" i="3"/>
  <c r="CZ68" i="3" s="1"/>
  <c r="CY65" i="3"/>
  <c r="CY68" i="3" s="1"/>
  <c r="CX68" i="3" s="1"/>
  <c r="CW65" i="3"/>
  <c r="CW68" i="3" s="1"/>
  <c r="CT65" i="3"/>
  <c r="CT68" i="3" s="1"/>
  <c r="CS65" i="3"/>
  <c r="CS68" i="3" s="1"/>
  <c r="CR68" i="3" s="1"/>
  <c r="CQ65" i="3"/>
  <c r="CQ68" i="3" s="1"/>
  <c r="CP65" i="3"/>
  <c r="CP68" i="3" s="1"/>
  <c r="CO68" i="3" s="1"/>
  <c r="CN65" i="3"/>
  <c r="CN68" i="3" s="1"/>
  <c r="CM65" i="3"/>
  <c r="CM68" i="3" s="1"/>
  <c r="CL68" i="3" s="1"/>
  <c r="CK65" i="3"/>
  <c r="CK68" i="3" s="1"/>
  <c r="CJ65" i="3"/>
  <c r="CJ68" i="3" s="1"/>
  <c r="CI68" i="3" s="1"/>
  <c r="CH65" i="3"/>
  <c r="CH68" i="3" s="1"/>
  <c r="CG65" i="3"/>
  <c r="CG68" i="3" s="1"/>
  <c r="CF68" i="3" s="1"/>
  <c r="CE65" i="3"/>
  <c r="CE68" i="3" s="1"/>
  <c r="CD65" i="3"/>
  <c r="CD68" i="3" s="1"/>
  <c r="CC68" i="3" s="1"/>
  <c r="CB65" i="3"/>
  <c r="CB68" i="3" s="1"/>
  <c r="CA65" i="3"/>
  <c r="CA68" i="3" s="1"/>
  <c r="BZ68" i="3" s="1"/>
  <c r="BY65" i="3"/>
  <c r="BY68" i="3" s="1"/>
  <c r="BX65" i="3"/>
  <c r="BX68" i="3" s="1"/>
  <c r="BW68" i="3" s="1"/>
  <c r="BV65" i="3"/>
  <c r="BV68" i="3" s="1"/>
  <c r="BU65" i="3"/>
  <c r="BU68" i="3" s="1"/>
  <c r="BT68" i="3" s="1"/>
  <c r="BS65" i="3"/>
  <c r="BS68" i="3" s="1"/>
  <c r="BR65" i="3"/>
  <c r="BR68" i="3" s="1"/>
  <c r="BQ68" i="3" s="1"/>
  <c r="BP65" i="3"/>
  <c r="BP68" i="3" s="1"/>
  <c r="BO65" i="3"/>
  <c r="BO68" i="3" s="1"/>
  <c r="BN68" i="3" s="1"/>
  <c r="BM65" i="3"/>
  <c r="BM68" i="3" s="1"/>
  <c r="BL65" i="3"/>
  <c r="BL68" i="3" s="1"/>
  <c r="BK68" i="3" s="1"/>
  <c r="BJ65" i="3"/>
  <c r="BJ68" i="3" s="1"/>
  <c r="BI65" i="3"/>
  <c r="BI68" i="3" s="1"/>
  <c r="BH68" i="3" s="1"/>
  <c r="BG65" i="3"/>
  <c r="BG68" i="3" s="1"/>
  <c r="BF65" i="3"/>
  <c r="BF68" i="3" s="1"/>
  <c r="BE68" i="3" s="1"/>
  <c r="BD65" i="3"/>
  <c r="BD68" i="3" s="1"/>
  <c r="BC65" i="3"/>
  <c r="BB65" i="3"/>
  <c r="BA65" i="3"/>
  <c r="AZ65" i="3"/>
  <c r="AY65" i="3"/>
  <c r="AX65" i="3"/>
  <c r="AW65" i="3"/>
  <c r="AV65" i="3"/>
  <c r="AU65" i="3"/>
  <c r="AT65" i="3"/>
  <c r="AS65" i="3"/>
  <c r="AR65" i="3"/>
  <c r="AQ65" i="3"/>
  <c r="AP65" i="3"/>
  <c r="AO65" i="3"/>
  <c r="AN65" i="3"/>
  <c r="AL65" i="3"/>
  <c r="AK65" i="3"/>
  <c r="AI65" i="3"/>
  <c r="AH65" i="3"/>
  <c r="AF65" i="3"/>
  <c r="AE65" i="3"/>
  <c r="AC65" i="3"/>
  <c r="AB65" i="3"/>
  <c r="Z65" i="3"/>
  <c r="Y65" i="3"/>
  <c r="W65" i="3"/>
  <c r="V65" i="3"/>
  <c r="T65" i="3"/>
  <c r="S65" i="3"/>
  <c r="Q65" i="3"/>
  <c r="P65" i="3"/>
  <c r="N65" i="3"/>
  <c r="M65" i="3"/>
  <c r="K65" i="3"/>
  <c r="J65" i="3"/>
  <c r="H65" i="3"/>
  <c r="EQ63" i="3"/>
  <c r="EN63" i="3"/>
  <c r="EK63" i="3"/>
  <c r="EH63" i="3"/>
  <c r="EE63" i="3"/>
  <c r="EB63" i="3"/>
  <c r="DY63" i="3"/>
  <c r="DS63" i="3"/>
  <c r="DP63" i="3"/>
  <c r="DM63" i="3"/>
  <c r="DJ63" i="3"/>
  <c r="DG63" i="3"/>
  <c r="DD63" i="3"/>
  <c r="DA63" i="3"/>
  <c r="CX63" i="3"/>
  <c r="CU63" i="3"/>
  <c r="CR63" i="3"/>
  <c r="CO63" i="3"/>
  <c r="CL63" i="3"/>
  <c r="CI63" i="3"/>
  <c r="CF63" i="3"/>
  <c r="CC63" i="3"/>
  <c r="BZ63" i="3"/>
  <c r="BW63" i="3"/>
  <c r="BT63" i="3"/>
  <c r="BQ63" i="3"/>
  <c r="BN63" i="3"/>
  <c r="BK63" i="3"/>
  <c r="BH63" i="3"/>
  <c r="BE63" i="3"/>
  <c r="BB63" i="3"/>
  <c r="AY63" i="3"/>
  <c r="AV63" i="3"/>
  <c r="AS63" i="3"/>
  <c r="AP63" i="3"/>
  <c r="AM63" i="3"/>
  <c r="AJ63" i="3"/>
  <c r="AG63" i="3"/>
  <c r="AD63" i="3"/>
  <c r="AA63" i="3"/>
  <c r="X63" i="3"/>
  <c r="U63" i="3"/>
  <c r="R63" i="3"/>
  <c r="O63" i="3"/>
  <c r="L63" i="3"/>
  <c r="I63" i="3"/>
  <c r="F63" i="3"/>
  <c r="EQ62" i="3"/>
  <c r="EQ65" i="3" s="1"/>
  <c r="EN62" i="3"/>
  <c r="EN65" i="3" s="1"/>
  <c r="EK62" i="3"/>
  <c r="EK65" i="3" s="1"/>
  <c r="EH62" i="3"/>
  <c r="EH65" i="3" s="1"/>
  <c r="EE62" i="3"/>
  <c r="EE65" i="3" s="1"/>
  <c r="EB62" i="3"/>
  <c r="EB65" i="3" s="1"/>
  <c r="DY62" i="3"/>
  <c r="DY65" i="3" s="1"/>
  <c r="DS62" i="3"/>
  <c r="DS65" i="3" s="1"/>
  <c r="DP62" i="3"/>
  <c r="DP65" i="3" s="1"/>
  <c r="DM62" i="3"/>
  <c r="DM65" i="3" s="1"/>
  <c r="DJ62" i="3"/>
  <c r="DJ65" i="3" s="1"/>
  <c r="DG62" i="3"/>
  <c r="DG65" i="3" s="1"/>
  <c r="DD62" i="3"/>
  <c r="DD65" i="3" s="1"/>
  <c r="DA62" i="3"/>
  <c r="DA65" i="3" s="1"/>
  <c r="CX62" i="3"/>
  <c r="CX65" i="3" s="1"/>
  <c r="CU62" i="3"/>
  <c r="CU65" i="3" s="1"/>
  <c r="CR62" i="3"/>
  <c r="CR65" i="3" s="1"/>
  <c r="CO62" i="3"/>
  <c r="CO65" i="3" s="1"/>
  <c r="CL62" i="3"/>
  <c r="CL65" i="3" s="1"/>
  <c r="CI62" i="3"/>
  <c r="CI65" i="3" s="1"/>
  <c r="CF62" i="3"/>
  <c r="CF65" i="3" s="1"/>
  <c r="CC62" i="3"/>
  <c r="CC65" i="3" s="1"/>
  <c r="BZ62" i="3"/>
  <c r="BZ65" i="3" s="1"/>
  <c r="BW62" i="3"/>
  <c r="BW65" i="3" s="1"/>
  <c r="BT62" i="3"/>
  <c r="BT65" i="3" s="1"/>
  <c r="BQ62" i="3"/>
  <c r="BQ65" i="3" s="1"/>
  <c r="BN62" i="3"/>
  <c r="BN65" i="3" s="1"/>
  <c r="BK62" i="3"/>
  <c r="BK65" i="3" s="1"/>
  <c r="BH62" i="3"/>
  <c r="BH65" i="3" s="1"/>
  <c r="BE62" i="3"/>
  <c r="BE65" i="3" s="1"/>
  <c r="AM62" i="3"/>
  <c r="AM65" i="3" s="1"/>
  <c r="AJ62" i="3"/>
  <c r="AJ65" i="3" s="1"/>
  <c r="AG62" i="3"/>
  <c r="AG65" i="3" s="1"/>
  <c r="AD62" i="3"/>
  <c r="AD65" i="3" s="1"/>
  <c r="AA62" i="3"/>
  <c r="AA65" i="3" s="1"/>
  <c r="X62" i="3"/>
  <c r="X65" i="3" s="1"/>
  <c r="U62" i="3"/>
  <c r="U65" i="3" s="1"/>
  <c r="R62" i="3"/>
  <c r="R65" i="3" s="1"/>
  <c r="O62" i="3"/>
  <c r="O65" i="3" s="1"/>
  <c r="L62" i="3"/>
  <c r="L65" i="3" s="1"/>
  <c r="I62" i="3"/>
  <c r="I65" i="3" s="1"/>
  <c r="F62" i="3"/>
  <c r="EQ60" i="3"/>
  <c r="EN60" i="3"/>
  <c r="EK60" i="3"/>
  <c r="EH60" i="3"/>
  <c r="EE60" i="3"/>
  <c r="EB60" i="3"/>
  <c r="DY60" i="3"/>
  <c r="DS60" i="3"/>
  <c r="DP60" i="3"/>
  <c r="DM60" i="3"/>
  <c r="DJ60" i="3"/>
  <c r="DG60" i="3"/>
  <c r="DD60" i="3"/>
  <c r="DA60" i="3"/>
  <c r="CX60" i="3"/>
  <c r="CU60" i="3"/>
  <c r="CR60" i="3"/>
  <c r="CO60" i="3"/>
  <c r="CL60" i="3"/>
  <c r="CI60" i="3"/>
  <c r="CF60" i="3"/>
  <c r="CC60" i="3"/>
  <c r="BZ60" i="3"/>
  <c r="BW60" i="3"/>
  <c r="BT60" i="3"/>
  <c r="BQ60" i="3"/>
  <c r="BN60" i="3"/>
  <c r="BK60" i="3"/>
  <c r="BH60" i="3"/>
  <c r="BE60" i="3"/>
  <c r="BC60" i="3"/>
  <c r="BA60" i="3"/>
  <c r="AZ60" i="3"/>
  <c r="AX60" i="3"/>
  <c r="AW60" i="3"/>
  <c r="AU60" i="3"/>
  <c r="AT60" i="3"/>
  <c r="AR60" i="3"/>
  <c r="AQ60" i="3"/>
  <c r="AO60" i="3"/>
  <c r="AN60" i="3"/>
  <c r="AL60" i="3"/>
  <c r="AK60" i="3"/>
  <c r="AI60" i="3"/>
  <c r="AH60" i="3"/>
  <c r="AF60" i="3"/>
  <c r="AE60" i="3"/>
  <c r="AC60" i="3"/>
  <c r="AB60" i="3"/>
  <c r="Z60" i="3"/>
  <c r="Y60" i="3"/>
  <c r="W60" i="3"/>
  <c r="V60" i="3"/>
  <c r="T60" i="3"/>
  <c r="S60" i="3"/>
  <c r="Q60" i="3"/>
  <c r="P60" i="3"/>
  <c r="N60" i="3"/>
  <c r="M60" i="3"/>
  <c r="K60" i="3"/>
  <c r="J60" i="3"/>
  <c r="H60" i="3"/>
  <c r="G60" i="3"/>
  <c r="E60" i="3"/>
  <c r="ER58" i="3"/>
  <c r="EP58" i="3"/>
  <c r="EO58" i="3"/>
  <c r="EM58" i="3"/>
  <c r="EL58" i="3"/>
  <c r="EJ58" i="3"/>
  <c r="EI58" i="3"/>
  <c r="EG58" i="3"/>
  <c r="EF58" i="3"/>
  <c r="ED58" i="3"/>
  <c r="EC58" i="3"/>
  <c r="EA58" i="3"/>
  <c r="DZ58" i="3"/>
  <c r="DX58" i="3"/>
  <c r="DU58" i="3"/>
  <c r="DT58" i="3"/>
  <c r="DR58" i="3"/>
  <c r="DQ58" i="3"/>
  <c r="DO58" i="3"/>
  <c r="DN58" i="3"/>
  <c r="DL58" i="3"/>
  <c r="DK58" i="3"/>
  <c r="DI58" i="3"/>
  <c r="DH58" i="3"/>
  <c r="DF58" i="3"/>
  <c r="DE58" i="3"/>
  <c r="DC58" i="3"/>
  <c r="DB58" i="3"/>
  <c r="CZ58" i="3"/>
  <c r="CY58" i="3"/>
  <c r="CW58" i="3"/>
  <c r="CV58" i="3"/>
  <c r="CT58" i="3"/>
  <c r="CS58" i="3"/>
  <c r="CQ58" i="3"/>
  <c r="CP58" i="3"/>
  <c r="CN58" i="3"/>
  <c r="CM58" i="3"/>
  <c r="CK58" i="3"/>
  <c r="CJ58" i="3"/>
  <c r="CH58" i="3"/>
  <c r="CG58" i="3"/>
  <c r="CE58" i="3"/>
  <c r="CD58" i="3"/>
  <c r="CB58" i="3"/>
  <c r="CA58" i="3"/>
  <c r="BY58" i="3"/>
  <c r="BX58" i="3"/>
  <c r="BV58" i="3"/>
  <c r="BU58" i="3"/>
  <c r="BS58" i="3"/>
  <c r="BR58" i="3"/>
  <c r="BP58" i="3"/>
  <c r="BO58" i="3"/>
  <c r="BM58" i="3"/>
  <c r="BL58" i="3"/>
  <c r="BJ58" i="3"/>
  <c r="BI58" i="3"/>
  <c r="BG58" i="3"/>
  <c r="BF58" i="3"/>
  <c r="BD58" i="3"/>
  <c r="CA48" i="3"/>
  <c r="CD48" i="3" s="1"/>
  <c r="CG48" i="3" s="1"/>
  <c r="BL48" i="3"/>
  <c r="BO48" i="3" s="1"/>
  <c r="BJ48" i="3"/>
  <c r="BM48" i="3" s="1"/>
  <c r="BH48" i="3"/>
  <c r="BE48" i="3"/>
  <c r="BC48" i="3"/>
  <c r="BA48" i="3"/>
  <c r="AZ48" i="3"/>
  <c r="AX48" i="3"/>
  <c r="AW48" i="3"/>
  <c r="AU48" i="3"/>
  <c r="AT48" i="3"/>
  <c r="AR48" i="3"/>
  <c r="AQ48" i="3"/>
  <c r="AO48" i="3"/>
  <c r="AN48" i="3"/>
  <c r="AL48" i="3"/>
  <c r="AK48" i="3"/>
  <c r="AI48" i="3"/>
  <c r="AH48" i="3"/>
  <c r="AF48" i="3"/>
  <c r="AE48" i="3"/>
  <c r="AC48" i="3"/>
  <c r="AB48" i="3"/>
  <c r="Z48" i="3"/>
  <c r="Y48" i="3"/>
  <c r="W48" i="3"/>
  <c r="V48" i="3"/>
  <c r="T48" i="3"/>
  <c r="S48" i="3"/>
  <c r="Q48" i="3"/>
  <c r="P48" i="3"/>
  <c r="N48" i="3"/>
  <c r="M48" i="3"/>
  <c r="K48" i="3"/>
  <c r="J48" i="3"/>
  <c r="H48" i="3"/>
  <c r="G48" i="3"/>
  <c r="E48" i="3"/>
  <c r="ER43" i="3"/>
  <c r="EP43" i="3"/>
  <c r="EO43" i="3"/>
  <c r="EM43" i="3"/>
  <c r="EL43" i="3"/>
  <c r="EJ43" i="3"/>
  <c r="EI43" i="3"/>
  <c r="EG43" i="3"/>
  <c r="EF43" i="3"/>
  <c r="ED43" i="3"/>
  <c r="EC43" i="3"/>
  <c r="EA43" i="3"/>
  <c r="DZ43" i="3"/>
  <c r="DX43" i="3"/>
  <c r="DU43" i="3"/>
  <c r="DT43" i="3"/>
  <c r="DR43" i="3"/>
  <c r="DQ43" i="3"/>
  <c r="DO43" i="3"/>
  <c r="DN43" i="3"/>
  <c r="DL43" i="3"/>
  <c r="DK43" i="3"/>
  <c r="DI43" i="3"/>
  <c r="DH43" i="3"/>
  <c r="DF43" i="3"/>
  <c r="DE43" i="3"/>
  <c r="DC43" i="3"/>
  <c r="DB43" i="3"/>
  <c r="CZ43" i="3"/>
  <c r="CY43" i="3"/>
  <c r="CW43" i="3"/>
  <c r="CV43" i="3"/>
  <c r="CT43" i="3"/>
  <c r="CS43" i="3"/>
  <c r="CQ43" i="3"/>
  <c r="CP43" i="3"/>
  <c r="CN43" i="3"/>
  <c r="CM43" i="3"/>
  <c r="CK43" i="3"/>
  <c r="CJ43" i="3"/>
  <c r="CH43" i="3"/>
  <c r="CG43" i="3"/>
  <c r="CE43" i="3"/>
  <c r="CD43" i="3"/>
  <c r="CB43" i="3"/>
  <c r="CA43" i="3"/>
  <c r="BY43" i="3"/>
  <c r="BX43" i="3"/>
  <c r="BV43" i="3"/>
  <c r="BU43" i="3"/>
  <c r="BS43" i="3"/>
  <c r="BR43" i="3"/>
  <c r="BP43" i="3"/>
  <c r="BO43" i="3"/>
  <c r="BM43" i="3"/>
  <c r="BL43" i="3"/>
  <c r="BJ43" i="3"/>
  <c r="BI43" i="3"/>
  <c r="BG43" i="3"/>
  <c r="BF43" i="3"/>
  <c r="BD43" i="3"/>
  <c r="BC43" i="3"/>
  <c r="BA43" i="3"/>
  <c r="AZ43" i="3"/>
  <c r="AX43" i="3"/>
  <c r="AW43" i="3"/>
  <c r="AU43" i="3"/>
  <c r="AT43" i="3"/>
  <c r="AR43" i="3"/>
  <c r="AQ43" i="3"/>
  <c r="AO43" i="3"/>
  <c r="AN43" i="3"/>
  <c r="AL43" i="3"/>
  <c r="AK43" i="3"/>
  <c r="AI43" i="3"/>
  <c r="AH43" i="3"/>
  <c r="AF43" i="3"/>
  <c r="AE43" i="3"/>
  <c r="AC43" i="3"/>
  <c r="AB43" i="3"/>
  <c r="Z43" i="3"/>
  <c r="Y43" i="3"/>
  <c r="W43" i="3"/>
  <c r="V43" i="3"/>
  <c r="T43" i="3"/>
  <c r="S43" i="3"/>
  <c r="Q43" i="3"/>
  <c r="P43" i="3"/>
  <c r="N43" i="3"/>
  <c r="M43" i="3"/>
  <c r="K43" i="3"/>
  <c r="J43" i="3"/>
  <c r="H43" i="3"/>
  <c r="DR42" i="3"/>
  <c r="DQ42" i="3"/>
  <c r="DO42" i="3"/>
  <c r="DN42" i="3"/>
  <c r="DL42" i="3"/>
  <c r="DK42" i="3"/>
  <c r="DI42" i="3"/>
  <c r="DH42" i="3"/>
  <c r="DE42" i="3"/>
  <c r="DC42" i="3"/>
  <c r="DB42" i="3"/>
  <c r="CZ42" i="3"/>
  <c r="CY42" i="3"/>
  <c r="CW42" i="3"/>
  <c r="CV42" i="3"/>
  <c r="CT42" i="3"/>
  <c r="CS42" i="3"/>
  <c r="CQ42" i="3"/>
  <c r="CP42" i="3"/>
  <c r="CN42" i="3"/>
  <c r="CM42" i="3"/>
  <c r="CK42" i="3"/>
  <c r="CJ42" i="3"/>
  <c r="CH42" i="3"/>
  <c r="CG42" i="3"/>
  <c r="CE42" i="3"/>
  <c r="CD42" i="3"/>
  <c r="CB42" i="3"/>
  <c r="CA42" i="3"/>
  <c r="BY42" i="3"/>
  <c r="BX42" i="3"/>
  <c r="BV42" i="3"/>
  <c r="BU42" i="3"/>
  <c r="BS42" i="3"/>
  <c r="BR42" i="3"/>
  <c r="BP42" i="3"/>
  <c r="BO42" i="3"/>
  <c r="BM42" i="3"/>
  <c r="BL42" i="3"/>
  <c r="BJ42" i="3"/>
  <c r="BI42" i="3"/>
  <c r="BG42" i="3"/>
  <c r="BF42" i="3"/>
  <c r="BD42" i="3"/>
  <c r="BC42" i="3"/>
  <c r="BA42" i="3"/>
  <c r="AZ42" i="3"/>
  <c r="AX42" i="3"/>
  <c r="AW42" i="3"/>
  <c r="AU42" i="3"/>
  <c r="AT42" i="3"/>
  <c r="AR42" i="3"/>
  <c r="AQ42" i="3"/>
  <c r="AO42" i="3"/>
  <c r="AN42" i="3"/>
  <c r="AL42" i="3"/>
  <c r="AK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EQ41" i="3"/>
  <c r="EN41" i="3"/>
  <c r="EK41" i="3"/>
  <c r="EH41" i="3"/>
  <c r="EE41" i="3"/>
  <c r="EB41" i="3"/>
  <c r="DY41" i="3"/>
  <c r="DS41" i="3"/>
  <c r="DP41" i="3"/>
  <c r="DM41" i="3"/>
  <c r="DJ41" i="3"/>
  <c r="DG41" i="3"/>
  <c r="DD41" i="3"/>
  <c r="DA41" i="3"/>
  <c r="CX41" i="3"/>
  <c r="CU41" i="3"/>
  <c r="CR41" i="3"/>
  <c r="CO41" i="3"/>
  <c r="CL41" i="3"/>
  <c r="CI41" i="3"/>
  <c r="CF41" i="3"/>
  <c r="CC41" i="3"/>
  <c r="BZ41" i="3"/>
  <c r="BW41" i="3"/>
  <c r="BT41" i="3"/>
  <c r="BQ41" i="3"/>
  <c r="BN41" i="3"/>
  <c r="BK41" i="3"/>
  <c r="BH41" i="3"/>
  <c r="BE41" i="3"/>
  <c r="BB41" i="3"/>
  <c r="AY41" i="3"/>
  <c r="AV41" i="3"/>
  <c r="AS41" i="3"/>
  <c r="AP41" i="3"/>
  <c r="AM41" i="3"/>
  <c r="AJ41" i="3"/>
  <c r="AG41" i="3"/>
  <c r="AD41" i="3"/>
  <c r="AA41" i="3"/>
  <c r="X41" i="3"/>
  <c r="U41" i="3"/>
  <c r="R41" i="3"/>
  <c r="O41" i="3"/>
  <c r="L41" i="3"/>
  <c r="I41" i="3"/>
  <c r="F41" i="3"/>
  <c r="EQ40" i="3"/>
  <c r="EQ43" i="3" s="1"/>
  <c r="EN40" i="3"/>
  <c r="EN43" i="3" s="1"/>
  <c r="EK40" i="3"/>
  <c r="EK43" i="3" s="1"/>
  <c r="EH40" i="3"/>
  <c r="EH43" i="3" s="1"/>
  <c r="EE40" i="3"/>
  <c r="EE43" i="3" s="1"/>
  <c r="EB40" i="3"/>
  <c r="EB43" i="3" s="1"/>
  <c r="DY40" i="3"/>
  <c r="DY43" i="3" s="1"/>
  <c r="DS40" i="3"/>
  <c r="DS43" i="3" s="1"/>
  <c r="DP40" i="3"/>
  <c r="DP43" i="3" s="1"/>
  <c r="DM40" i="3"/>
  <c r="DM43" i="3" s="1"/>
  <c r="DJ40" i="3"/>
  <c r="DJ43" i="3" s="1"/>
  <c r="DG40" i="3"/>
  <c r="DG43" i="3" s="1"/>
  <c r="DD40" i="3"/>
  <c r="DD43" i="3" s="1"/>
  <c r="DA40" i="3"/>
  <c r="DA43" i="3" s="1"/>
  <c r="CX40" i="3"/>
  <c r="CX43" i="3" s="1"/>
  <c r="CU40" i="3"/>
  <c r="CU43" i="3" s="1"/>
  <c r="CR40" i="3"/>
  <c r="CR43" i="3" s="1"/>
  <c r="CO40" i="3"/>
  <c r="CO43" i="3" s="1"/>
  <c r="CL40" i="3"/>
  <c r="CL43" i="3" s="1"/>
  <c r="CI40" i="3"/>
  <c r="CI43" i="3" s="1"/>
  <c r="CF40" i="3"/>
  <c r="CF43" i="3" s="1"/>
  <c r="CC40" i="3"/>
  <c r="CC43" i="3" s="1"/>
  <c r="BZ40" i="3"/>
  <c r="BZ43" i="3" s="1"/>
  <c r="BW40" i="3"/>
  <c r="BW43" i="3" s="1"/>
  <c r="BT40" i="3"/>
  <c r="BT43" i="3" s="1"/>
  <c r="BQ40" i="3"/>
  <c r="BQ43" i="3" s="1"/>
  <c r="BN40" i="3"/>
  <c r="BN43" i="3" s="1"/>
  <c r="BK40" i="3"/>
  <c r="BK43" i="3" s="1"/>
  <c r="BH40" i="3"/>
  <c r="BH43" i="3" s="1"/>
  <c r="BE40" i="3"/>
  <c r="BE43" i="3" s="1"/>
  <c r="BB40" i="3"/>
  <c r="BB43" i="3" s="1"/>
  <c r="AY40" i="3"/>
  <c r="AY43" i="3" s="1"/>
  <c r="AV40" i="3"/>
  <c r="AV43" i="3" s="1"/>
  <c r="AS40" i="3"/>
  <c r="AS43" i="3" s="1"/>
  <c r="AP40" i="3"/>
  <c r="AP43" i="3" s="1"/>
  <c r="AM40" i="3"/>
  <c r="AM43" i="3" s="1"/>
  <c r="AJ40" i="3"/>
  <c r="AJ43" i="3" s="1"/>
  <c r="AG40" i="3"/>
  <c r="AG43" i="3" s="1"/>
  <c r="AD40" i="3"/>
  <c r="AD43" i="3" s="1"/>
  <c r="AA40" i="3"/>
  <c r="AA43" i="3" s="1"/>
  <c r="X40" i="3"/>
  <c r="X43" i="3" s="1"/>
  <c r="U40" i="3"/>
  <c r="U43" i="3" s="1"/>
  <c r="R40" i="3"/>
  <c r="R43" i="3" s="1"/>
  <c r="O40" i="3"/>
  <c r="O43" i="3" s="1"/>
  <c r="L40" i="3"/>
  <c r="L43" i="3" s="1"/>
  <c r="I40" i="3"/>
  <c r="I43" i="3" s="1"/>
  <c r="F40" i="3"/>
  <c r="EQ38" i="3"/>
  <c r="EN38" i="3"/>
  <c r="EK38" i="3"/>
  <c r="EH38" i="3"/>
  <c r="EE38" i="3"/>
  <c r="EB38" i="3"/>
  <c r="DY38" i="3"/>
  <c r="DS38" i="3"/>
  <c r="DP38" i="3"/>
  <c r="DM38" i="3"/>
  <c r="DJ38" i="3"/>
  <c r="DG38" i="3"/>
  <c r="DD38" i="3"/>
  <c r="DA38" i="3"/>
  <c r="CX38" i="3"/>
  <c r="CU38" i="3"/>
  <c r="CR38" i="3"/>
  <c r="CO38" i="3"/>
  <c r="CL38" i="3"/>
  <c r="CI38" i="3"/>
  <c r="CF38" i="3"/>
  <c r="CC38" i="3"/>
  <c r="BZ38" i="3"/>
  <c r="BW38" i="3"/>
  <c r="BT38" i="3"/>
  <c r="BQ38" i="3"/>
  <c r="BN38" i="3"/>
  <c r="BK38" i="3"/>
  <c r="BH38" i="3"/>
  <c r="BE38" i="3"/>
  <c r="BC38" i="3"/>
  <c r="BA38" i="3"/>
  <c r="AZ38" i="3"/>
  <c r="AX38" i="3"/>
  <c r="AW38" i="3"/>
  <c r="AU38" i="3"/>
  <c r="AT38" i="3"/>
  <c r="AR38" i="3"/>
  <c r="AQ38" i="3"/>
  <c r="AO38" i="3"/>
  <c r="AN38" i="3"/>
  <c r="AL38" i="3"/>
  <c r="AK38" i="3"/>
  <c r="AI38" i="3"/>
  <c r="AH38" i="3"/>
  <c r="AF38" i="3"/>
  <c r="AE38" i="3"/>
  <c r="AC38" i="3"/>
  <c r="AB38" i="3"/>
  <c r="Z38" i="3"/>
  <c r="Y38" i="3"/>
  <c r="W38" i="3"/>
  <c r="V38" i="3"/>
  <c r="T38" i="3"/>
  <c r="S38" i="3"/>
  <c r="Q38" i="3"/>
  <c r="P38" i="3"/>
  <c r="N38" i="3"/>
  <c r="M38" i="3"/>
  <c r="K38" i="3"/>
  <c r="J38" i="3"/>
  <c r="H38" i="3"/>
  <c r="G38" i="3"/>
  <c r="E38" i="3"/>
  <c r="ER34" i="3"/>
  <c r="ER37" i="3" s="1"/>
  <c r="EQ37" i="3" s="1"/>
  <c r="EP34" i="3"/>
  <c r="EP37" i="3" s="1"/>
  <c r="EO34" i="3"/>
  <c r="EO37" i="3" s="1"/>
  <c r="EN37" i="3" s="1"/>
  <c r="EM34" i="3"/>
  <c r="EM37" i="3" s="1"/>
  <c r="EL34" i="3"/>
  <c r="EL37" i="3" s="1"/>
  <c r="EK37" i="3" s="1"/>
  <c r="EJ34" i="3"/>
  <c r="EJ37" i="3" s="1"/>
  <c r="EI34" i="3"/>
  <c r="EI37" i="3" s="1"/>
  <c r="EH37" i="3" s="1"/>
  <c r="EG34" i="3"/>
  <c r="EG37" i="3" s="1"/>
  <c r="EF34" i="3"/>
  <c r="EF37" i="3" s="1"/>
  <c r="EE37" i="3" s="1"/>
  <c r="ED34" i="3"/>
  <c r="ED37" i="3" s="1"/>
  <c r="EC34" i="3"/>
  <c r="EC37" i="3" s="1"/>
  <c r="EB37" i="3" s="1"/>
  <c r="EA34" i="3"/>
  <c r="EA37" i="3" s="1"/>
  <c r="DZ34" i="3"/>
  <c r="DZ37" i="3" s="1"/>
  <c r="DY37" i="3" s="1"/>
  <c r="DX34" i="3"/>
  <c r="DX37" i="3" s="1"/>
  <c r="DU34" i="3"/>
  <c r="DU37" i="3" s="1"/>
  <c r="DT34" i="3"/>
  <c r="DT37" i="3" s="1"/>
  <c r="DS37" i="3" s="1"/>
  <c r="DR34" i="3"/>
  <c r="DR37" i="3" s="1"/>
  <c r="DQ34" i="3"/>
  <c r="DQ37" i="3" s="1"/>
  <c r="DP37" i="3" s="1"/>
  <c r="DO34" i="3"/>
  <c r="DO37" i="3" s="1"/>
  <c r="DN34" i="3"/>
  <c r="DN37" i="3" s="1"/>
  <c r="DM37" i="3" s="1"/>
  <c r="DL34" i="3"/>
  <c r="DL37" i="3" s="1"/>
  <c r="DK34" i="3"/>
  <c r="DK37" i="3" s="1"/>
  <c r="DJ37" i="3" s="1"/>
  <c r="DI34" i="3"/>
  <c r="DI37" i="3" s="1"/>
  <c r="DH34" i="3"/>
  <c r="DH37" i="3" s="1"/>
  <c r="DG37" i="3" s="1"/>
  <c r="DF34" i="3"/>
  <c r="DF37" i="3" s="1"/>
  <c r="DE34" i="3"/>
  <c r="DE37" i="3" s="1"/>
  <c r="DD37" i="3" s="1"/>
  <c r="DC34" i="3"/>
  <c r="DC37" i="3" s="1"/>
  <c r="DB34" i="3"/>
  <c r="DB37" i="3" s="1"/>
  <c r="DA37" i="3" s="1"/>
  <c r="CZ34" i="3"/>
  <c r="CZ37" i="3" s="1"/>
  <c r="CY34" i="3"/>
  <c r="CY37" i="3" s="1"/>
  <c r="CX37" i="3" s="1"/>
  <c r="CW34" i="3"/>
  <c r="CW37" i="3" s="1"/>
  <c r="CV34" i="3"/>
  <c r="CV37" i="3" s="1"/>
  <c r="CU37" i="3" s="1"/>
  <c r="CT34" i="3"/>
  <c r="CT37" i="3" s="1"/>
  <c r="CS34" i="3"/>
  <c r="CS37" i="3" s="1"/>
  <c r="CR37" i="3" s="1"/>
  <c r="CQ34" i="3"/>
  <c r="CQ37" i="3" s="1"/>
  <c r="CP34" i="3"/>
  <c r="CP37" i="3" s="1"/>
  <c r="CO37" i="3" s="1"/>
  <c r="CN34" i="3"/>
  <c r="CN37" i="3" s="1"/>
  <c r="CM34" i="3"/>
  <c r="CM37" i="3" s="1"/>
  <c r="CL37" i="3" s="1"/>
  <c r="CK34" i="3"/>
  <c r="CK37" i="3" s="1"/>
  <c r="CJ34" i="3"/>
  <c r="CJ37" i="3" s="1"/>
  <c r="CI37" i="3" s="1"/>
  <c r="CH34" i="3"/>
  <c r="CH37" i="3" s="1"/>
  <c r="CG34" i="3"/>
  <c r="CG37" i="3" s="1"/>
  <c r="CF37" i="3" s="1"/>
  <c r="CE34" i="3"/>
  <c r="CE37" i="3" s="1"/>
  <c r="CD34" i="3"/>
  <c r="CD37" i="3" s="1"/>
  <c r="CC37" i="3" s="1"/>
  <c r="CB34" i="3"/>
  <c r="CB37" i="3" s="1"/>
  <c r="CA34" i="3"/>
  <c r="CA37" i="3" s="1"/>
  <c r="BZ37" i="3" s="1"/>
  <c r="BY34" i="3"/>
  <c r="BY37" i="3" s="1"/>
  <c r="BX34" i="3"/>
  <c r="BX37" i="3" s="1"/>
  <c r="BW37" i="3" s="1"/>
  <c r="BV34" i="3"/>
  <c r="BV37" i="3" s="1"/>
  <c r="BU34" i="3"/>
  <c r="BU37" i="3" s="1"/>
  <c r="BT37" i="3" s="1"/>
  <c r="BS34" i="3"/>
  <c r="BS37" i="3" s="1"/>
  <c r="BR34" i="3"/>
  <c r="BR37" i="3" s="1"/>
  <c r="BQ37" i="3" s="1"/>
  <c r="BP34" i="3"/>
  <c r="BP37" i="3" s="1"/>
  <c r="BO34" i="3"/>
  <c r="BO37" i="3" s="1"/>
  <c r="BN37" i="3" s="1"/>
  <c r="BM34" i="3"/>
  <c r="BM37" i="3" s="1"/>
  <c r="BL34" i="3"/>
  <c r="BL37" i="3" s="1"/>
  <c r="BK37" i="3" s="1"/>
  <c r="BJ34" i="3"/>
  <c r="BJ37" i="3" s="1"/>
  <c r="BI34" i="3"/>
  <c r="BI37" i="3" s="1"/>
  <c r="BH37" i="3" s="1"/>
  <c r="BG34" i="3"/>
  <c r="BG37" i="3" s="1"/>
  <c r="BF34" i="3"/>
  <c r="BF37" i="3" s="1"/>
  <c r="BE37" i="3" s="1"/>
  <c r="BD34" i="3"/>
  <c r="BD37" i="3" s="1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L34" i="3"/>
  <c r="AK34" i="3"/>
  <c r="AI34" i="3"/>
  <c r="AH34" i="3"/>
  <c r="AF34" i="3"/>
  <c r="AE34" i="3"/>
  <c r="AC34" i="3"/>
  <c r="AB34" i="3"/>
  <c r="Z34" i="3"/>
  <c r="Y34" i="3"/>
  <c r="W34" i="3"/>
  <c r="V34" i="3"/>
  <c r="T34" i="3"/>
  <c r="S34" i="3"/>
  <c r="Q34" i="3"/>
  <c r="P34" i="3"/>
  <c r="N34" i="3"/>
  <c r="M34" i="3"/>
  <c r="K34" i="3"/>
  <c r="J34" i="3"/>
  <c r="H34" i="3"/>
  <c r="DF33" i="3"/>
  <c r="BL33" i="3"/>
  <c r="BJ33" i="3"/>
  <c r="BI33" i="3"/>
  <c r="BG33" i="3"/>
  <c r="BF33" i="3"/>
  <c r="BD33" i="3"/>
  <c r="BC33" i="3"/>
  <c r="BA33" i="3"/>
  <c r="AZ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EQ32" i="3"/>
  <c r="EN32" i="3"/>
  <c r="EK32" i="3"/>
  <c r="EH32" i="3"/>
  <c r="EE32" i="3"/>
  <c r="EB32" i="3"/>
  <c r="DY32" i="3"/>
  <c r="DS32" i="3"/>
  <c r="DP32" i="3"/>
  <c r="DM32" i="3"/>
  <c r="DJ32" i="3"/>
  <c r="DG32" i="3"/>
  <c r="DD32" i="3"/>
  <c r="DA32" i="3"/>
  <c r="CX32" i="3"/>
  <c r="CU32" i="3"/>
  <c r="CR32" i="3"/>
  <c r="CO32" i="3"/>
  <c r="CL32" i="3"/>
  <c r="CI32" i="3"/>
  <c r="CF32" i="3"/>
  <c r="CC32" i="3"/>
  <c r="BZ32" i="3"/>
  <c r="BW32" i="3"/>
  <c r="BT32" i="3"/>
  <c r="BQ32" i="3"/>
  <c r="BN32" i="3"/>
  <c r="BK32" i="3"/>
  <c r="BH32" i="3"/>
  <c r="BE32" i="3"/>
  <c r="BB32" i="3"/>
  <c r="AY32" i="3"/>
  <c r="AV32" i="3"/>
  <c r="AS32" i="3"/>
  <c r="AP32" i="3"/>
  <c r="AM32" i="3"/>
  <c r="AJ32" i="3"/>
  <c r="AG32" i="3"/>
  <c r="AD32" i="3"/>
  <c r="AA32" i="3"/>
  <c r="X32" i="3"/>
  <c r="U32" i="3"/>
  <c r="R32" i="3"/>
  <c r="O32" i="3"/>
  <c r="L32" i="3"/>
  <c r="I32" i="3"/>
  <c r="F32" i="3"/>
  <c r="EQ31" i="3"/>
  <c r="EQ34" i="3" s="1"/>
  <c r="EN31" i="3"/>
  <c r="EN34" i="3" s="1"/>
  <c r="EK31" i="3"/>
  <c r="EK34" i="3" s="1"/>
  <c r="EH31" i="3"/>
  <c r="EH34" i="3" s="1"/>
  <c r="EE31" i="3"/>
  <c r="EE34" i="3" s="1"/>
  <c r="EB31" i="3"/>
  <c r="EB34" i="3" s="1"/>
  <c r="DY31" i="3"/>
  <c r="DY34" i="3" s="1"/>
  <c r="DS31" i="3"/>
  <c r="DS34" i="3" s="1"/>
  <c r="DP31" i="3"/>
  <c r="DP34" i="3" s="1"/>
  <c r="DM31" i="3"/>
  <c r="DM34" i="3" s="1"/>
  <c r="DJ31" i="3"/>
  <c r="DJ34" i="3" s="1"/>
  <c r="DG31" i="3"/>
  <c r="DG34" i="3" s="1"/>
  <c r="DD31" i="3"/>
  <c r="DD34" i="3" s="1"/>
  <c r="DA31" i="3"/>
  <c r="DA34" i="3" s="1"/>
  <c r="CX31" i="3"/>
  <c r="CX34" i="3" s="1"/>
  <c r="CU31" i="3"/>
  <c r="CU34" i="3" s="1"/>
  <c r="CR31" i="3"/>
  <c r="CR34" i="3" s="1"/>
  <c r="CO31" i="3"/>
  <c r="CO34" i="3" s="1"/>
  <c r="CL31" i="3"/>
  <c r="CL34" i="3" s="1"/>
  <c r="CI31" i="3"/>
  <c r="CI34" i="3" s="1"/>
  <c r="CF31" i="3"/>
  <c r="CF34" i="3" s="1"/>
  <c r="CC31" i="3"/>
  <c r="CC34" i="3" s="1"/>
  <c r="BZ31" i="3"/>
  <c r="BZ34" i="3" s="1"/>
  <c r="BW31" i="3"/>
  <c r="BW34" i="3" s="1"/>
  <c r="BT31" i="3"/>
  <c r="BT34" i="3" s="1"/>
  <c r="BQ31" i="3"/>
  <c r="BQ34" i="3" s="1"/>
  <c r="BN31" i="3"/>
  <c r="BN34" i="3" s="1"/>
  <c r="BK31" i="3"/>
  <c r="BK34" i="3" s="1"/>
  <c r="BH31" i="3"/>
  <c r="BH34" i="3" s="1"/>
  <c r="BE31" i="3"/>
  <c r="BE34" i="3" s="1"/>
  <c r="AM31" i="3"/>
  <c r="AM34" i="3" s="1"/>
  <c r="AJ31" i="3"/>
  <c r="AJ34" i="3" s="1"/>
  <c r="AG31" i="3"/>
  <c r="AG34" i="3" s="1"/>
  <c r="AD31" i="3"/>
  <c r="AD34" i="3" s="1"/>
  <c r="AA31" i="3"/>
  <c r="AA34" i="3" s="1"/>
  <c r="X31" i="3"/>
  <c r="X34" i="3" s="1"/>
  <c r="U31" i="3"/>
  <c r="U34" i="3" s="1"/>
  <c r="R31" i="3"/>
  <c r="R34" i="3" s="1"/>
  <c r="O31" i="3"/>
  <c r="O34" i="3" s="1"/>
  <c r="L31" i="3"/>
  <c r="L34" i="3" s="1"/>
  <c r="I31" i="3"/>
  <c r="I34" i="3" s="1"/>
  <c r="F31" i="3"/>
  <c r="EQ24" i="3"/>
  <c r="EN24" i="3"/>
  <c r="EK24" i="3"/>
  <c r="EH24" i="3"/>
  <c r="EE24" i="3"/>
  <c r="EB24" i="3"/>
  <c r="DY24" i="3"/>
  <c r="DV24" i="3"/>
  <c r="DS24" i="3"/>
  <c r="DP24" i="3"/>
  <c r="DM24" i="3"/>
  <c r="DJ24" i="3"/>
  <c r="DG24" i="3"/>
  <c r="DD24" i="3"/>
  <c r="DA24" i="3"/>
  <c r="CX24" i="3"/>
  <c r="CU24" i="3"/>
  <c r="CR24" i="3"/>
  <c r="CO24" i="3"/>
  <c r="CL24" i="3"/>
  <c r="CI24" i="3"/>
  <c r="CF24" i="3"/>
  <c r="CC24" i="3"/>
  <c r="BZ24" i="3"/>
  <c r="BW24" i="3"/>
  <c r="BT24" i="3"/>
  <c r="BQ24" i="3"/>
  <c r="BN24" i="3"/>
  <c r="BK24" i="3"/>
  <c r="BH24" i="3"/>
  <c r="BE24" i="3"/>
  <c r="BA24" i="3"/>
  <c r="AR24" i="3"/>
  <c r="AH24" i="3"/>
  <c r="AF24" i="3"/>
  <c r="AE24" i="3"/>
  <c r="AC24" i="3"/>
  <c r="AB24" i="3"/>
  <c r="Z24" i="3"/>
  <c r="Y24" i="3"/>
  <c r="W24" i="3"/>
  <c r="V24" i="3"/>
  <c r="T24" i="3"/>
  <c r="S24" i="3"/>
  <c r="Q24" i="3"/>
  <c r="P24" i="3"/>
  <c r="N24" i="3"/>
  <c r="M24" i="3"/>
  <c r="K24" i="3"/>
  <c r="J24" i="3"/>
  <c r="H24" i="3"/>
  <c r="G24" i="3"/>
  <c r="E24" i="3"/>
  <c r="EQ23" i="3"/>
  <c r="EN23" i="3"/>
  <c r="EK23" i="3"/>
  <c r="EH23" i="3"/>
  <c r="EE23" i="3"/>
  <c r="EB23" i="3"/>
  <c r="DY23" i="3"/>
  <c r="DV23" i="3"/>
  <c r="DS23" i="3"/>
  <c r="DP23" i="3"/>
  <c r="DM23" i="3"/>
  <c r="DJ23" i="3"/>
  <c r="DG23" i="3"/>
  <c r="DD23" i="3"/>
  <c r="DA23" i="3"/>
  <c r="CX23" i="3"/>
  <c r="CU23" i="3"/>
  <c r="CR23" i="3"/>
  <c r="CO23" i="3"/>
  <c r="CL23" i="3"/>
  <c r="CI23" i="3"/>
  <c r="CF23" i="3"/>
  <c r="CC23" i="3"/>
  <c r="BZ23" i="3"/>
  <c r="BW23" i="3"/>
  <c r="BT23" i="3"/>
  <c r="BQ23" i="3"/>
  <c r="BN23" i="3"/>
  <c r="BK23" i="3"/>
  <c r="BH23" i="3"/>
  <c r="BE23" i="3"/>
  <c r="BC23" i="3"/>
  <c r="BA23" i="3"/>
  <c r="AZ23" i="3"/>
  <c r="AX23" i="3"/>
  <c r="AW23" i="3"/>
  <c r="AU23" i="3"/>
  <c r="AT23" i="3"/>
  <c r="AR23" i="3"/>
  <c r="AQ23" i="3"/>
  <c r="AO23" i="3"/>
  <c r="AN23" i="3"/>
  <c r="AL23" i="3"/>
  <c r="AK23" i="3"/>
  <c r="AI23" i="3"/>
  <c r="AH23" i="3"/>
  <c r="AF23" i="3"/>
  <c r="AE23" i="3"/>
  <c r="AC23" i="3"/>
  <c r="AB23" i="3"/>
  <c r="Z23" i="3"/>
  <c r="Y23" i="3"/>
  <c r="W23" i="3"/>
  <c r="V23" i="3"/>
  <c r="T23" i="3"/>
  <c r="S23" i="3"/>
  <c r="Q23" i="3"/>
  <c r="P23" i="3"/>
  <c r="N23" i="3"/>
  <c r="M23" i="3"/>
  <c r="K23" i="3"/>
  <c r="J23" i="3"/>
  <c r="H23" i="3"/>
  <c r="G23" i="3"/>
  <c r="E23" i="3"/>
  <c r="EQ22" i="3"/>
  <c r="EN22" i="3"/>
  <c r="EK22" i="3"/>
  <c r="EH22" i="3"/>
  <c r="EE22" i="3"/>
  <c r="EB22" i="3"/>
  <c r="DY22" i="3"/>
  <c r="DV22" i="3"/>
  <c r="DS22" i="3"/>
  <c r="DP22" i="3"/>
  <c r="DM22" i="3"/>
  <c r="DJ22" i="3"/>
  <c r="DG22" i="3"/>
  <c r="DD22" i="3"/>
  <c r="DA22" i="3"/>
  <c r="CX22" i="3"/>
  <c r="CU22" i="3"/>
  <c r="CR22" i="3"/>
  <c r="CO22" i="3"/>
  <c r="CL22" i="3"/>
  <c r="CI22" i="3"/>
  <c r="CF22" i="3"/>
  <c r="CC22" i="3"/>
  <c r="BZ22" i="3"/>
  <c r="BW22" i="3"/>
  <c r="BT22" i="3"/>
  <c r="BQ22" i="3"/>
  <c r="BN22" i="3"/>
  <c r="BK22" i="3"/>
  <c r="BH22" i="3"/>
  <c r="BE22" i="3"/>
  <c r="BC22" i="3"/>
  <c r="BA22" i="3"/>
  <c r="AZ22" i="3"/>
  <c r="AX22" i="3"/>
  <c r="AW22" i="3"/>
  <c r="AU22" i="3"/>
  <c r="AT22" i="3"/>
  <c r="AR22" i="3"/>
  <c r="AQ22" i="3"/>
  <c r="AO22" i="3"/>
  <c r="AN22" i="3"/>
  <c r="AL22" i="3"/>
  <c r="AK22" i="3"/>
  <c r="AI22" i="3"/>
  <c r="AH22" i="3"/>
  <c r="AF22" i="3"/>
  <c r="AE22" i="3"/>
  <c r="AC22" i="3"/>
  <c r="AB22" i="3"/>
  <c r="Z22" i="3"/>
  <c r="Y22" i="3"/>
  <c r="W22" i="3"/>
  <c r="V22" i="3"/>
  <c r="T22" i="3"/>
  <c r="S22" i="3"/>
  <c r="Q22" i="3"/>
  <c r="P22" i="3"/>
  <c r="N22" i="3"/>
  <c r="M22" i="3"/>
  <c r="K22" i="3"/>
  <c r="J22" i="3"/>
  <c r="H22" i="3"/>
  <c r="G22" i="3"/>
  <c r="E22" i="3"/>
  <c r="BG18" i="3"/>
  <c r="BF18" i="3"/>
  <c r="AL2" i="3"/>
  <c r="AL309" i="3" s="1"/>
  <c r="AK2" i="3"/>
  <c r="AK13" i="3" s="1"/>
  <c r="AJ2" i="3"/>
  <c r="AI2" i="3"/>
  <c r="AI13" i="3" s="1"/>
  <c r="AH2" i="3"/>
  <c r="AH244" i="3" s="1"/>
  <c r="AG2" i="3"/>
  <c r="AG244" i="3" s="1"/>
  <c r="AF2" i="3"/>
  <c r="AF309" i="3" s="1"/>
  <c r="AE2" i="3"/>
  <c r="AE13" i="3" s="1"/>
  <c r="AD2" i="3"/>
  <c r="AD309" i="3" s="1"/>
  <c r="AC2" i="3"/>
  <c r="AC13" i="3" s="1"/>
  <c r="AB2" i="3"/>
  <c r="AA2" i="3"/>
  <c r="AA13" i="3" s="1"/>
  <c r="Z2" i="3"/>
  <c r="Z13" i="3" s="1"/>
  <c r="Y2" i="3"/>
  <c r="Y13" i="3" s="1"/>
  <c r="X2" i="3"/>
  <c r="W2" i="3"/>
  <c r="W13" i="3" s="1"/>
  <c r="V2" i="3"/>
  <c r="V244" i="3" s="1"/>
  <c r="U2" i="3"/>
  <c r="U309" i="3" s="1"/>
  <c r="T2" i="3"/>
  <c r="S2" i="3"/>
  <c r="S13" i="3" s="1"/>
  <c r="R2" i="3"/>
  <c r="R13" i="3" s="1"/>
  <c r="Q2" i="3"/>
  <c r="Q13" i="3" s="1"/>
  <c r="P2" i="3"/>
  <c r="P20" i="3" s="1"/>
  <c r="O2" i="3"/>
  <c r="O309" i="3" s="1"/>
  <c r="N2" i="3"/>
  <c r="N309" i="3" s="1"/>
  <c r="M2" i="3"/>
  <c r="M13" i="3" s="1"/>
  <c r="L2" i="3"/>
  <c r="L20" i="3" s="1"/>
  <c r="K2" i="3"/>
  <c r="K13" i="3" s="1"/>
  <c r="J2" i="3"/>
  <c r="J309" i="3" s="1"/>
  <c r="I2" i="3"/>
  <c r="I13" i="3" s="1"/>
  <c r="H2" i="3"/>
  <c r="G2" i="3"/>
  <c r="G13" i="3" s="1"/>
  <c r="F2" i="3"/>
  <c r="F20" i="3" s="1"/>
  <c r="E2" i="3"/>
  <c r="D2" i="3"/>
  <c r="AZ855" i="4"/>
  <c r="BC855" i="4" s="1"/>
  <c r="BF855" i="4" s="1"/>
  <c r="BI855" i="4" s="1"/>
  <c r="AZ854" i="4"/>
  <c r="BC854" i="4" s="1"/>
  <c r="BF854" i="4" s="1"/>
  <c r="AZ853" i="4"/>
  <c r="AY853" i="4" s="1"/>
  <c r="AZ852" i="4"/>
  <c r="BC852" i="4" s="1"/>
  <c r="BA852" i="4" s="1"/>
  <c r="BB852" i="4" s="1"/>
  <c r="AX840" i="4"/>
  <c r="AX846" i="4" s="1"/>
  <c r="AX847" i="4" s="1"/>
  <c r="AZ837" i="4"/>
  <c r="BC837" i="4" s="1"/>
  <c r="BF837" i="4" s="1"/>
  <c r="BD837" i="4" s="1"/>
  <c r="BE837" i="4" s="1"/>
  <c r="AZ836" i="4"/>
  <c r="BC836" i="4" s="1"/>
  <c r="BF836" i="4" s="1"/>
  <c r="BI836" i="4" s="1"/>
  <c r="AZ835" i="4"/>
  <c r="AY835" i="4" s="1"/>
  <c r="AZ834" i="4"/>
  <c r="BC834" i="4" s="1"/>
  <c r="BF834" i="4" s="1"/>
  <c r="BI834" i="4" s="1"/>
  <c r="BL834" i="4" s="1"/>
  <c r="AX828" i="4"/>
  <c r="AX829" i="4" s="1"/>
  <c r="AX823" i="4"/>
  <c r="AX824" i="4" s="1"/>
  <c r="AX842" i="4" s="1"/>
  <c r="AY822" i="4"/>
  <c r="AZ822" i="4" s="1"/>
  <c r="AZ840" i="4" s="1"/>
  <c r="AX816" i="4"/>
  <c r="AX811" i="4"/>
  <c r="AX817" i="4" s="1"/>
  <c r="AY810" i="4"/>
  <c r="AZ810" i="4" s="1"/>
  <c r="AN808" i="4"/>
  <c r="AQ808" i="4" s="1"/>
  <c r="AT808" i="4" s="1"/>
  <c r="AW808" i="4" s="1"/>
  <c r="DV793" i="4"/>
  <c r="DY793" i="4" s="1"/>
  <c r="EB793" i="4" s="1"/>
  <c r="EE793" i="4" s="1"/>
  <c r="EH793" i="4" s="1"/>
  <c r="EK793" i="4" s="1"/>
  <c r="EN793" i="4" s="1"/>
  <c r="EQ793" i="4" s="1"/>
  <c r="ET793" i="4" s="1"/>
  <c r="EW793" i="4" s="1"/>
  <c r="EZ793" i="4" s="1"/>
  <c r="DX793" i="4"/>
  <c r="EA793" i="4" s="1"/>
  <c r="ED793" i="4" s="1"/>
  <c r="EG793" i="4" s="1"/>
  <c r="EJ793" i="4" s="1"/>
  <c r="EM793" i="4" s="1"/>
  <c r="EP793" i="4" s="1"/>
  <c r="ES793" i="4" s="1"/>
  <c r="DJ798" i="4"/>
  <c r="DQ769" i="4"/>
  <c r="AZ769" i="4"/>
  <c r="AY769" i="4" s="1"/>
  <c r="DP761" i="4"/>
  <c r="DP769" i="4" s="1"/>
  <c r="DO761" i="4"/>
  <c r="DO769" i="4" s="1"/>
  <c r="AY761" i="4"/>
  <c r="AX761" i="4"/>
  <c r="B761" i="4"/>
  <c r="BC761" i="4" s="1"/>
  <c r="BB761" i="4" s="1"/>
  <c r="BB769" i="4" s="1"/>
  <c r="AK754" i="4"/>
  <c r="CE747" i="4"/>
  <c r="CC747" i="4"/>
  <c r="CB747" i="4"/>
  <c r="BZ747" i="4"/>
  <c r="BY747" i="4"/>
  <c r="BW747" i="4"/>
  <c r="BV747" i="4"/>
  <c r="BT747" i="4"/>
  <c r="BS747" i="4"/>
  <c r="BQ747" i="4"/>
  <c r="BP747" i="4"/>
  <c r="BN747" i="4"/>
  <c r="BM747" i="4"/>
  <c r="BJ747" i="4"/>
  <c r="BK747" i="4"/>
  <c r="BH747" i="4"/>
  <c r="BG747" i="4"/>
  <c r="BE747" i="4"/>
  <c r="BD747" i="4"/>
  <c r="BB747" i="4"/>
  <c r="BA747" i="4"/>
  <c r="AX747" i="4" s="1"/>
  <c r="AX753" i="4" s="1"/>
  <c r="CE746" i="4"/>
  <c r="CC746" i="4"/>
  <c r="CB746" i="4"/>
  <c r="BZ746" i="4"/>
  <c r="BY746" i="4"/>
  <c r="BW746" i="4"/>
  <c r="BV746" i="4"/>
  <c r="BT746" i="4"/>
  <c r="BS746" i="4"/>
  <c r="BQ746" i="4"/>
  <c r="BP746" i="4"/>
  <c r="BN746" i="4"/>
  <c r="BM746" i="4"/>
  <c r="BK746" i="4"/>
  <c r="BJ746" i="4"/>
  <c r="BH746" i="4"/>
  <c r="BG746" i="4"/>
  <c r="BE746" i="4"/>
  <c r="BD746" i="4"/>
  <c r="BA746" i="4"/>
  <c r="AX746" i="4" s="1"/>
  <c r="AX752" i="4" s="1"/>
  <c r="BB746" i="4"/>
  <c r="AY746" i="4" s="1"/>
  <c r="CE745" i="4"/>
  <c r="CB745" i="4"/>
  <c r="CC745" i="4"/>
  <c r="BZ745" i="4"/>
  <c r="BY745" i="4"/>
  <c r="BW745" i="4"/>
  <c r="BV745" i="4"/>
  <c r="BT745" i="4"/>
  <c r="BS745" i="4"/>
  <c r="BQ745" i="4"/>
  <c r="BP745" i="4"/>
  <c r="BN745" i="4"/>
  <c r="BM745" i="4"/>
  <c r="BK745" i="4"/>
  <c r="BJ745" i="4"/>
  <c r="BH745" i="4"/>
  <c r="BG745" i="4"/>
  <c r="BE745" i="4"/>
  <c r="BD745" i="4"/>
  <c r="BB745" i="4"/>
  <c r="AY745" i="4" s="1"/>
  <c r="BA745" i="4"/>
  <c r="AX745" i="4" s="1"/>
  <c r="AY693" i="4"/>
  <c r="AZ693" i="4" s="1"/>
  <c r="BA693" i="4" s="1"/>
  <c r="BB693" i="4" s="1"/>
  <c r="BC693" i="4" s="1"/>
  <c r="BD693" i="4" s="1"/>
  <c r="BE693" i="4" s="1"/>
  <c r="BF693" i="4" s="1"/>
  <c r="BG693" i="4" s="1"/>
  <c r="AY692" i="4"/>
  <c r="AZ692" i="4" s="1"/>
  <c r="AY691" i="4"/>
  <c r="AZ691" i="4" s="1"/>
  <c r="BA691" i="4" s="1"/>
  <c r="BB691" i="4" s="1"/>
  <c r="BC691" i="4" s="1"/>
  <c r="BD691" i="4" s="1"/>
  <c r="BE691" i="4" s="1"/>
  <c r="BF691" i="4" s="1"/>
  <c r="BG691" i="4" s="1"/>
  <c r="AX650" i="4"/>
  <c r="AY650" i="4" s="1"/>
  <c r="AZ650" i="4" s="1"/>
  <c r="BA650" i="4" s="1"/>
  <c r="BB650" i="4" s="1"/>
  <c r="BC650" i="4" s="1"/>
  <c r="BD650" i="4" s="1"/>
  <c r="BE650" i="4" s="1"/>
  <c r="BF650" i="4" s="1"/>
  <c r="BG650" i="4" s="1"/>
  <c r="BH650" i="4" s="1"/>
  <c r="AY649" i="4"/>
  <c r="AZ649" i="4" s="1"/>
  <c r="BA649" i="4" s="1"/>
  <c r="BB649" i="4" s="1"/>
  <c r="BC649" i="4" s="1"/>
  <c r="BD649" i="4" s="1"/>
  <c r="BE649" i="4" s="1"/>
  <c r="BF649" i="4" s="1"/>
  <c r="BG649" i="4" s="1"/>
  <c r="AX644" i="4"/>
  <c r="AX645" i="4" s="1"/>
  <c r="AX646" i="4" s="1"/>
  <c r="AY646" i="4" s="1"/>
  <c r="AZ646" i="4" s="1"/>
  <c r="BA646" i="4" s="1"/>
  <c r="BB646" i="4" s="1"/>
  <c r="BC646" i="4" s="1"/>
  <c r="BD646" i="4" s="1"/>
  <c r="BE646" i="4" s="1"/>
  <c r="BF646" i="4" s="1"/>
  <c r="BG646" i="4" s="1"/>
  <c r="BH646" i="4" s="1"/>
  <c r="BI646" i="4" s="1"/>
  <c r="BJ646" i="4" s="1"/>
  <c r="BK646" i="4" s="1"/>
  <c r="BL646" i="4" s="1"/>
  <c r="BM646" i="4" s="1"/>
  <c r="BN646" i="4" s="1"/>
  <c r="BO646" i="4" s="1"/>
  <c r="BP646" i="4" s="1"/>
  <c r="BQ646" i="4" s="1"/>
  <c r="BR646" i="4" s="1"/>
  <c r="BS646" i="4" s="1"/>
  <c r="BT646" i="4" s="1"/>
  <c r="BU646" i="4" s="1"/>
  <c r="BV646" i="4" s="1"/>
  <c r="BW646" i="4" s="1"/>
  <c r="BX646" i="4" s="1"/>
  <c r="BY646" i="4" s="1"/>
  <c r="BZ646" i="4" s="1"/>
  <c r="CA646" i="4" s="1"/>
  <c r="CB646" i="4" s="1"/>
  <c r="CC646" i="4" s="1"/>
  <c r="CD646" i="4" s="1"/>
  <c r="CE646" i="4" s="1"/>
  <c r="CF646" i="4" s="1"/>
  <c r="CG646" i="4" s="1"/>
  <c r="CH646" i="4" s="1"/>
  <c r="CI646" i="4" s="1"/>
  <c r="CJ646" i="4" s="1"/>
  <c r="CK646" i="4" s="1"/>
  <c r="CL646" i="4" s="1"/>
  <c r="CM646" i="4" s="1"/>
  <c r="CN646" i="4" s="1"/>
  <c r="CO646" i="4" s="1"/>
  <c r="CP646" i="4" s="1"/>
  <c r="CQ646" i="4" s="1"/>
  <c r="CR646" i="4" s="1"/>
  <c r="CS646" i="4" s="1"/>
  <c r="CT646" i="4" s="1"/>
  <c r="CU646" i="4" s="1"/>
  <c r="CV646" i="4" s="1"/>
  <c r="CW646" i="4" s="1"/>
  <c r="CX646" i="4" s="1"/>
  <c r="CY646" i="4" s="1"/>
  <c r="CZ646" i="4" s="1"/>
  <c r="DA646" i="4" s="1"/>
  <c r="DB646" i="4" s="1"/>
  <c r="DC646" i="4" s="1"/>
  <c r="DD646" i="4" s="1"/>
  <c r="DE646" i="4" s="1"/>
  <c r="DF646" i="4" s="1"/>
  <c r="DG646" i="4" s="1"/>
  <c r="DH646" i="4" s="1"/>
  <c r="DI646" i="4" s="1"/>
  <c r="DJ646" i="4" s="1"/>
  <c r="DK646" i="4" s="1"/>
  <c r="DL646" i="4" s="1"/>
  <c r="DM646" i="4" s="1"/>
  <c r="DN646" i="4" s="1"/>
  <c r="DO646" i="4" s="1"/>
  <c r="DP646" i="4" s="1"/>
  <c r="DQ646" i="4" s="1"/>
  <c r="DR646" i="4" s="1"/>
  <c r="DS646" i="4" s="1"/>
  <c r="DT646" i="4" s="1"/>
  <c r="DU646" i="4" s="1"/>
  <c r="DV646" i="4" s="1"/>
  <c r="DW646" i="4" s="1"/>
  <c r="DX646" i="4" s="1"/>
  <c r="DY646" i="4" s="1"/>
  <c r="DZ646" i="4" s="1"/>
  <c r="EA646" i="4" s="1"/>
  <c r="EB646" i="4" s="1"/>
  <c r="EC646" i="4" s="1"/>
  <c r="ED646" i="4" s="1"/>
  <c r="EE646" i="4" s="1"/>
  <c r="EF646" i="4" s="1"/>
  <c r="EG646" i="4" s="1"/>
  <c r="EH646" i="4" s="1"/>
  <c r="EI646" i="4" s="1"/>
  <c r="EJ646" i="4" s="1"/>
  <c r="EK646" i="4" s="1"/>
  <c r="EL646" i="4" s="1"/>
  <c r="EM646" i="4" s="1"/>
  <c r="EN646" i="4" s="1"/>
  <c r="EO646" i="4" s="1"/>
  <c r="EP646" i="4" s="1"/>
  <c r="EQ646" i="4" s="1"/>
  <c r="ER646" i="4" s="1"/>
  <c r="ES646" i="4" s="1"/>
  <c r="ET646" i="4" s="1"/>
  <c r="EU646" i="4" s="1"/>
  <c r="EV646" i="4" s="1"/>
  <c r="EW646" i="4" s="1"/>
  <c r="EX646" i="4" s="1"/>
  <c r="EY646" i="4" s="1"/>
  <c r="EZ646" i="4" s="1"/>
  <c r="FA646" i="4" s="1"/>
  <c r="AY643" i="4"/>
  <c r="AZ643" i="4" s="1"/>
  <c r="BA643" i="4" s="1"/>
  <c r="BB643" i="4" s="1"/>
  <c r="BC643" i="4" s="1"/>
  <c r="BD643" i="4" s="1"/>
  <c r="BE643" i="4" s="1"/>
  <c r="BF643" i="4" s="1"/>
  <c r="BG643" i="4" s="1"/>
  <c r="BH643" i="4" s="1"/>
  <c r="BI643" i="4" s="1"/>
  <c r="BJ643" i="4" s="1"/>
  <c r="BK643" i="4" s="1"/>
  <c r="BL643" i="4" s="1"/>
  <c r="BM643" i="4" s="1"/>
  <c r="BN643" i="4" s="1"/>
  <c r="BO643" i="4" s="1"/>
  <c r="BP643" i="4" s="1"/>
  <c r="BQ643" i="4" s="1"/>
  <c r="BR643" i="4" s="1"/>
  <c r="BS643" i="4" s="1"/>
  <c r="BT643" i="4" s="1"/>
  <c r="BU643" i="4" s="1"/>
  <c r="BV643" i="4" s="1"/>
  <c r="BW643" i="4" s="1"/>
  <c r="BX643" i="4" s="1"/>
  <c r="BY643" i="4" s="1"/>
  <c r="BZ643" i="4" s="1"/>
  <c r="CA643" i="4" s="1"/>
  <c r="CB643" i="4" s="1"/>
  <c r="AX616" i="4"/>
  <c r="AY616" i="4" s="1"/>
  <c r="AZ616" i="4" s="1"/>
  <c r="BA616" i="4" s="1"/>
  <c r="BB616" i="4" s="1"/>
  <c r="BC616" i="4" s="1"/>
  <c r="BD616" i="4" s="1"/>
  <c r="BE616" i="4" s="1"/>
  <c r="BF616" i="4" s="1"/>
  <c r="BG616" i="4" s="1"/>
  <c r="BH616" i="4" s="1"/>
  <c r="BI616" i="4" s="1"/>
  <c r="BJ616" i="4" s="1"/>
  <c r="BK616" i="4" s="1"/>
  <c r="BL616" i="4" s="1"/>
  <c r="BM616" i="4" s="1"/>
  <c r="BN616" i="4" s="1"/>
  <c r="BO616" i="4" s="1"/>
  <c r="BP616" i="4" s="1"/>
  <c r="BQ616" i="4" s="1"/>
  <c r="BR616" i="4" s="1"/>
  <c r="BS616" i="4" s="1"/>
  <c r="BT616" i="4" s="1"/>
  <c r="BU616" i="4" s="1"/>
  <c r="BV616" i="4" s="1"/>
  <c r="BW616" i="4" s="1"/>
  <c r="BX616" i="4" s="1"/>
  <c r="BY616" i="4" s="1"/>
  <c r="BZ616" i="4" s="1"/>
  <c r="CA616" i="4" s="1"/>
  <c r="CB616" i="4" s="1"/>
  <c r="CC616" i="4" s="1"/>
  <c r="CD616" i="4" s="1"/>
  <c r="CE616" i="4" s="1"/>
  <c r="CF616" i="4" s="1"/>
  <c r="CG616" i="4" s="1"/>
  <c r="CH616" i="4" s="1"/>
  <c r="CI616" i="4" s="1"/>
  <c r="CJ616" i="4" s="1"/>
  <c r="CK616" i="4" s="1"/>
  <c r="CL616" i="4" s="1"/>
  <c r="CM616" i="4" s="1"/>
  <c r="CN616" i="4" s="1"/>
  <c r="CO616" i="4" s="1"/>
  <c r="CP616" i="4" s="1"/>
  <c r="CQ616" i="4" s="1"/>
  <c r="CR616" i="4" s="1"/>
  <c r="CS616" i="4" s="1"/>
  <c r="CT616" i="4" s="1"/>
  <c r="CU616" i="4" s="1"/>
  <c r="CV616" i="4" s="1"/>
  <c r="CW616" i="4" s="1"/>
  <c r="CX616" i="4" s="1"/>
  <c r="CY616" i="4" s="1"/>
  <c r="CZ616" i="4" s="1"/>
  <c r="DA616" i="4" s="1"/>
  <c r="DB616" i="4" s="1"/>
  <c r="DC616" i="4" s="1"/>
  <c r="DD616" i="4" s="1"/>
  <c r="DE616" i="4" s="1"/>
  <c r="DF616" i="4" s="1"/>
  <c r="DG616" i="4" s="1"/>
  <c r="DH616" i="4" s="1"/>
  <c r="DI616" i="4" s="1"/>
  <c r="DJ616" i="4" s="1"/>
  <c r="DK616" i="4" s="1"/>
  <c r="DL616" i="4" s="1"/>
  <c r="DM616" i="4" s="1"/>
  <c r="DN616" i="4" s="1"/>
  <c r="DO616" i="4" s="1"/>
  <c r="DP616" i="4" s="1"/>
  <c r="DQ616" i="4" s="1"/>
  <c r="DR616" i="4" s="1"/>
  <c r="DS616" i="4" s="1"/>
  <c r="DT616" i="4" s="1"/>
  <c r="DU616" i="4" s="1"/>
  <c r="DV616" i="4" s="1"/>
  <c r="DW616" i="4" s="1"/>
  <c r="DX616" i="4" s="1"/>
  <c r="DY616" i="4" s="1"/>
  <c r="DZ616" i="4" s="1"/>
  <c r="EA616" i="4" s="1"/>
  <c r="EB616" i="4" s="1"/>
  <c r="EC616" i="4" s="1"/>
  <c r="ED616" i="4" s="1"/>
  <c r="EE616" i="4" s="1"/>
  <c r="EF616" i="4" s="1"/>
  <c r="EG616" i="4" s="1"/>
  <c r="EH616" i="4" s="1"/>
  <c r="EI616" i="4" s="1"/>
  <c r="EJ616" i="4" s="1"/>
  <c r="EK616" i="4" s="1"/>
  <c r="EL616" i="4" s="1"/>
  <c r="EM616" i="4" s="1"/>
  <c r="EN616" i="4" s="1"/>
  <c r="EO616" i="4" s="1"/>
  <c r="EP616" i="4" s="1"/>
  <c r="EQ616" i="4" s="1"/>
  <c r="ER616" i="4" s="1"/>
  <c r="ES616" i="4" s="1"/>
  <c r="ET616" i="4" s="1"/>
  <c r="EU616" i="4" s="1"/>
  <c r="EV616" i="4" s="1"/>
  <c r="EW616" i="4" s="1"/>
  <c r="EX616" i="4" s="1"/>
  <c r="EY616" i="4" s="1"/>
  <c r="EZ616" i="4" s="1"/>
  <c r="FA616" i="4" s="1"/>
  <c r="AX615" i="4"/>
  <c r="AY615" i="4" s="1"/>
  <c r="AZ615" i="4" s="1"/>
  <c r="BA615" i="4" s="1"/>
  <c r="BB615" i="4" s="1"/>
  <c r="BC615" i="4" s="1"/>
  <c r="BD615" i="4" s="1"/>
  <c r="BE615" i="4" s="1"/>
  <c r="BF615" i="4" s="1"/>
  <c r="BG615" i="4" s="1"/>
  <c r="BH615" i="4" s="1"/>
  <c r="BI615" i="4" s="1"/>
  <c r="BJ615" i="4" s="1"/>
  <c r="BK615" i="4" s="1"/>
  <c r="BL615" i="4" s="1"/>
  <c r="BM615" i="4" s="1"/>
  <c r="BN615" i="4" s="1"/>
  <c r="BO615" i="4" s="1"/>
  <c r="BP615" i="4" s="1"/>
  <c r="BQ615" i="4" s="1"/>
  <c r="BR615" i="4" s="1"/>
  <c r="BS615" i="4" s="1"/>
  <c r="BT615" i="4" s="1"/>
  <c r="BU615" i="4" s="1"/>
  <c r="BV615" i="4" s="1"/>
  <c r="BW615" i="4" s="1"/>
  <c r="BX615" i="4" s="1"/>
  <c r="BY615" i="4" s="1"/>
  <c r="BZ615" i="4" s="1"/>
  <c r="CA615" i="4" s="1"/>
  <c r="CB615" i="4" s="1"/>
  <c r="CC615" i="4" s="1"/>
  <c r="CD615" i="4" s="1"/>
  <c r="CE615" i="4" s="1"/>
  <c r="CF615" i="4" s="1"/>
  <c r="CG615" i="4" s="1"/>
  <c r="CH615" i="4" s="1"/>
  <c r="CI615" i="4" s="1"/>
  <c r="CJ615" i="4" s="1"/>
  <c r="CK615" i="4" s="1"/>
  <c r="CL615" i="4" s="1"/>
  <c r="CM615" i="4" s="1"/>
  <c r="CN615" i="4" s="1"/>
  <c r="CO615" i="4" s="1"/>
  <c r="CP615" i="4" s="1"/>
  <c r="CQ615" i="4" s="1"/>
  <c r="CR615" i="4" s="1"/>
  <c r="CS615" i="4" s="1"/>
  <c r="CT615" i="4" s="1"/>
  <c r="CU615" i="4" s="1"/>
  <c r="CV615" i="4" s="1"/>
  <c r="CW615" i="4" s="1"/>
  <c r="CX615" i="4" s="1"/>
  <c r="CY615" i="4" s="1"/>
  <c r="CZ615" i="4" s="1"/>
  <c r="DA615" i="4" s="1"/>
  <c r="DB615" i="4" s="1"/>
  <c r="DC615" i="4" s="1"/>
  <c r="DD615" i="4" s="1"/>
  <c r="DE615" i="4" s="1"/>
  <c r="DF615" i="4" s="1"/>
  <c r="DG615" i="4" s="1"/>
  <c r="DH615" i="4" s="1"/>
  <c r="DI615" i="4" s="1"/>
  <c r="DJ615" i="4" s="1"/>
  <c r="DK615" i="4" s="1"/>
  <c r="DL615" i="4" s="1"/>
  <c r="DM615" i="4" s="1"/>
  <c r="DN615" i="4" s="1"/>
  <c r="DO615" i="4" s="1"/>
  <c r="DP615" i="4" s="1"/>
  <c r="DQ615" i="4" s="1"/>
  <c r="DR615" i="4" s="1"/>
  <c r="DS615" i="4" s="1"/>
  <c r="DT615" i="4" s="1"/>
  <c r="DU615" i="4" s="1"/>
  <c r="DV615" i="4" s="1"/>
  <c r="DW615" i="4" s="1"/>
  <c r="DX615" i="4" s="1"/>
  <c r="DY615" i="4" s="1"/>
  <c r="DZ615" i="4" s="1"/>
  <c r="EA615" i="4" s="1"/>
  <c r="EB615" i="4" s="1"/>
  <c r="EC615" i="4" s="1"/>
  <c r="ED615" i="4" s="1"/>
  <c r="EE615" i="4" s="1"/>
  <c r="EF615" i="4" s="1"/>
  <c r="EG615" i="4" s="1"/>
  <c r="EH615" i="4" s="1"/>
  <c r="EI615" i="4" s="1"/>
  <c r="EJ615" i="4" s="1"/>
  <c r="EK615" i="4" s="1"/>
  <c r="EL615" i="4" s="1"/>
  <c r="EM615" i="4" s="1"/>
  <c r="EN615" i="4" s="1"/>
  <c r="EO615" i="4" s="1"/>
  <c r="EP615" i="4" s="1"/>
  <c r="EQ615" i="4" s="1"/>
  <c r="ER615" i="4" s="1"/>
  <c r="ES615" i="4" s="1"/>
  <c r="ET615" i="4" s="1"/>
  <c r="EU615" i="4" s="1"/>
  <c r="EV615" i="4" s="1"/>
  <c r="EW615" i="4" s="1"/>
  <c r="EX615" i="4" s="1"/>
  <c r="EY615" i="4" s="1"/>
  <c r="EZ615" i="4" s="1"/>
  <c r="FA615" i="4" s="1"/>
  <c r="AX614" i="4"/>
  <c r="AY614" i="4" s="1"/>
  <c r="AZ614" i="4" s="1"/>
  <c r="BA614" i="4" s="1"/>
  <c r="BB614" i="4" s="1"/>
  <c r="BC614" i="4" s="1"/>
  <c r="BD614" i="4" s="1"/>
  <c r="BE614" i="4" s="1"/>
  <c r="BF614" i="4" s="1"/>
  <c r="BG614" i="4" s="1"/>
  <c r="BH614" i="4" s="1"/>
  <c r="BI614" i="4" s="1"/>
  <c r="BJ614" i="4" s="1"/>
  <c r="BK614" i="4" s="1"/>
  <c r="BL614" i="4" s="1"/>
  <c r="BM614" i="4" s="1"/>
  <c r="BN614" i="4" s="1"/>
  <c r="BO614" i="4" s="1"/>
  <c r="BP614" i="4" s="1"/>
  <c r="BQ614" i="4" s="1"/>
  <c r="BR614" i="4" s="1"/>
  <c r="BS614" i="4" s="1"/>
  <c r="BT614" i="4" s="1"/>
  <c r="BU614" i="4" s="1"/>
  <c r="BV614" i="4" s="1"/>
  <c r="BW614" i="4" s="1"/>
  <c r="BX614" i="4" s="1"/>
  <c r="BY614" i="4" s="1"/>
  <c r="BZ614" i="4" s="1"/>
  <c r="CA614" i="4" s="1"/>
  <c r="CB614" i="4" s="1"/>
  <c r="CC614" i="4" s="1"/>
  <c r="CD614" i="4" s="1"/>
  <c r="CE614" i="4" s="1"/>
  <c r="CF614" i="4" s="1"/>
  <c r="CG614" i="4" s="1"/>
  <c r="CH614" i="4" s="1"/>
  <c r="CI614" i="4" s="1"/>
  <c r="CJ614" i="4" s="1"/>
  <c r="CK614" i="4" s="1"/>
  <c r="CL614" i="4" s="1"/>
  <c r="CM614" i="4" s="1"/>
  <c r="CN614" i="4" s="1"/>
  <c r="CO614" i="4" s="1"/>
  <c r="CP614" i="4" s="1"/>
  <c r="CQ614" i="4" s="1"/>
  <c r="CR614" i="4" s="1"/>
  <c r="CS614" i="4" s="1"/>
  <c r="CT614" i="4" s="1"/>
  <c r="CU614" i="4" s="1"/>
  <c r="CV614" i="4" s="1"/>
  <c r="CW614" i="4" s="1"/>
  <c r="CX614" i="4" s="1"/>
  <c r="CY614" i="4" s="1"/>
  <c r="CZ614" i="4" s="1"/>
  <c r="DA614" i="4" s="1"/>
  <c r="DB614" i="4" s="1"/>
  <c r="DC614" i="4" s="1"/>
  <c r="DD614" i="4" s="1"/>
  <c r="DE614" i="4" s="1"/>
  <c r="DF614" i="4" s="1"/>
  <c r="DG614" i="4" s="1"/>
  <c r="DH614" i="4" s="1"/>
  <c r="DI614" i="4" s="1"/>
  <c r="DJ614" i="4" s="1"/>
  <c r="DK614" i="4" s="1"/>
  <c r="DL614" i="4" s="1"/>
  <c r="DM614" i="4" s="1"/>
  <c r="DN614" i="4" s="1"/>
  <c r="DO614" i="4" s="1"/>
  <c r="DP614" i="4" s="1"/>
  <c r="DQ614" i="4" s="1"/>
  <c r="DR614" i="4" s="1"/>
  <c r="DS614" i="4" s="1"/>
  <c r="DT614" i="4" s="1"/>
  <c r="DU614" i="4" s="1"/>
  <c r="DV614" i="4" s="1"/>
  <c r="DW614" i="4" s="1"/>
  <c r="DX614" i="4" s="1"/>
  <c r="DY614" i="4" s="1"/>
  <c r="DZ614" i="4" s="1"/>
  <c r="EA614" i="4" s="1"/>
  <c r="EB614" i="4" s="1"/>
  <c r="EC614" i="4" s="1"/>
  <c r="ED614" i="4" s="1"/>
  <c r="EE614" i="4" s="1"/>
  <c r="EF614" i="4" s="1"/>
  <c r="EG614" i="4" s="1"/>
  <c r="EH614" i="4" s="1"/>
  <c r="EI614" i="4" s="1"/>
  <c r="EJ614" i="4" s="1"/>
  <c r="EK614" i="4" s="1"/>
  <c r="EL614" i="4" s="1"/>
  <c r="EM614" i="4" s="1"/>
  <c r="EN614" i="4" s="1"/>
  <c r="EO614" i="4" s="1"/>
  <c r="EP614" i="4" s="1"/>
  <c r="EQ614" i="4" s="1"/>
  <c r="ER614" i="4" s="1"/>
  <c r="ES614" i="4" s="1"/>
  <c r="ET614" i="4" s="1"/>
  <c r="EU614" i="4" s="1"/>
  <c r="EV614" i="4" s="1"/>
  <c r="EW614" i="4" s="1"/>
  <c r="EX614" i="4" s="1"/>
  <c r="EY614" i="4" s="1"/>
  <c r="EZ614" i="4" s="1"/>
  <c r="FA614" i="4" s="1"/>
  <c r="AY613" i="4"/>
  <c r="AZ613" i="4" s="1"/>
  <c r="BA613" i="4" s="1"/>
  <c r="BB613" i="4" s="1"/>
  <c r="BC613" i="4" s="1"/>
  <c r="BD613" i="4" s="1"/>
  <c r="BE613" i="4" s="1"/>
  <c r="BF613" i="4" s="1"/>
  <c r="BG613" i="4" s="1"/>
  <c r="BH613" i="4" s="1"/>
  <c r="BI613" i="4" s="1"/>
  <c r="BJ613" i="4" s="1"/>
  <c r="BK613" i="4" s="1"/>
  <c r="BL613" i="4" s="1"/>
  <c r="BM613" i="4" s="1"/>
  <c r="BN613" i="4" s="1"/>
  <c r="BO613" i="4" s="1"/>
  <c r="BP613" i="4" s="1"/>
  <c r="BQ613" i="4" s="1"/>
  <c r="BR613" i="4" s="1"/>
  <c r="BS613" i="4" s="1"/>
  <c r="BT613" i="4" s="1"/>
  <c r="BU613" i="4" s="1"/>
  <c r="BV613" i="4" s="1"/>
  <c r="BW613" i="4" s="1"/>
  <c r="BX613" i="4" s="1"/>
  <c r="BY613" i="4" s="1"/>
  <c r="BZ613" i="4" s="1"/>
  <c r="CA613" i="4" s="1"/>
  <c r="CB613" i="4" s="1"/>
  <c r="CC613" i="4" s="1"/>
  <c r="CD613" i="4" s="1"/>
  <c r="CE613" i="4" s="1"/>
  <c r="CF613" i="4" s="1"/>
  <c r="CG613" i="4" s="1"/>
  <c r="CH613" i="4" s="1"/>
  <c r="CI613" i="4" s="1"/>
  <c r="CJ613" i="4" s="1"/>
  <c r="CK613" i="4" s="1"/>
  <c r="CL613" i="4" s="1"/>
  <c r="CM613" i="4" s="1"/>
  <c r="CN613" i="4" s="1"/>
  <c r="CO613" i="4" s="1"/>
  <c r="CP613" i="4" s="1"/>
  <c r="CQ613" i="4" s="1"/>
  <c r="CR613" i="4" s="1"/>
  <c r="CS613" i="4" s="1"/>
  <c r="CT613" i="4" s="1"/>
  <c r="CU613" i="4" s="1"/>
  <c r="CV613" i="4" s="1"/>
  <c r="CW613" i="4" s="1"/>
  <c r="CX613" i="4" s="1"/>
  <c r="CY613" i="4" s="1"/>
  <c r="CZ613" i="4" s="1"/>
  <c r="DA613" i="4" s="1"/>
  <c r="DB613" i="4" s="1"/>
  <c r="DC613" i="4" s="1"/>
  <c r="DD613" i="4" s="1"/>
  <c r="DE613" i="4" s="1"/>
  <c r="DF613" i="4" s="1"/>
  <c r="DG613" i="4" s="1"/>
  <c r="DH613" i="4" s="1"/>
  <c r="DI613" i="4" s="1"/>
  <c r="DJ613" i="4" s="1"/>
  <c r="DK613" i="4" s="1"/>
  <c r="DL613" i="4" s="1"/>
  <c r="DM613" i="4" s="1"/>
  <c r="DN613" i="4" s="1"/>
  <c r="DO613" i="4" s="1"/>
  <c r="DP613" i="4" s="1"/>
  <c r="DQ613" i="4" s="1"/>
  <c r="DR613" i="4" s="1"/>
  <c r="DS613" i="4" s="1"/>
  <c r="DT613" i="4" s="1"/>
  <c r="DU613" i="4" s="1"/>
  <c r="DV613" i="4" s="1"/>
  <c r="DW613" i="4" s="1"/>
  <c r="DX613" i="4" s="1"/>
  <c r="DY613" i="4" s="1"/>
  <c r="DZ613" i="4" s="1"/>
  <c r="EA613" i="4" s="1"/>
  <c r="EB613" i="4" s="1"/>
  <c r="EC613" i="4" s="1"/>
  <c r="ED613" i="4" s="1"/>
  <c r="EE613" i="4" s="1"/>
  <c r="EF613" i="4" s="1"/>
  <c r="EG613" i="4" s="1"/>
  <c r="EH613" i="4" s="1"/>
  <c r="EI613" i="4" s="1"/>
  <c r="EJ613" i="4" s="1"/>
  <c r="EK613" i="4" s="1"/>
  <c r="EL613" i="4" s="1"/>
  <c r="EM613" i="4" s="1"/>
  <c r="EN613" i="4" s="1"/>
  <c r="EO613" i="4" s="1"/>
  <c r="EP613" i="4" s="1"/>
  <c r="EQ613" i="4" s="1"/>
  <c r="ER613" i="4" s="1"/>
  <c r="ES613" i="4" s="1"/>
  <c r="ET613" i="4" s="1"/>
  <c r="EU613" i="4" s="1"/>
  <c r="EV613" i="4" s="1"/>
  <c r="EW613" i="4" s="1"/>
  <c r="EX613" i="4" s="1"/>
  <c r="EY613" i="4" s="1"/>
  <c r="EZ613" i="4" s="1"/>
  <c r="FA613" i="4" s="1"/>
  <c r="AX610" i="4"/>
  <c r="AY610" i="4" s="1"/>
  <c r="AZ610" i="4" s="1"/>
  <c r="BA610" i="4" s="1"/>
  <c r="BB610" i="4" s="1"/>
  <c r="BC610" i="4" s="1"/>
  <c r="BD610" i="4" s="1"/>
  <c r="BE610" i="4" s="1"/>
  <c r="BF610" i="4" s="1"/>
  <c r="BG610" i="4" s="1"/>
  <c r="BH610" i="4" s="1"/>
  <c r="BI610" i="4" s="1"/>
  <c r="BJ610" i="4" s="1"/>
  <c r="BK610" i="4" s="1"/>
  <c r="BL610" i="4" s="1"/>
  <c r="BM610" i="4" s="1"/>
  <c r="BN610" i="4" s="1"/>
  <c r="BO610" i="4" s="1"/>
  <c r="BP610" i="4" s="1"/>
  <c r="BQ610" i="4" s="1"/>
  <c r="BR610" i="4" s="1"/>
  <c r="BS610" i="4" s="1"/>
  <c r="BT610" i="4" s="1"/>
  <c r="BU610" i="4" s="1"/>
  <c r="BV610" i="4" s="1"/>
  <c r="BW610" i="4" s="1"/>
  <c r="BX610" i="4" s="1"/>
  <c r="BY610" i="4" s="1"/>
  <c r="BZ610" i="4" s="1"/>
  <c r="CA610" i="4" s="1"/>
  <c r="CB610" i="4" s="1"/>
  <c r="CC610" i="4" s="1"/>
  <c r="CD610" i="4" s="1"/>
  <c r="CE610" i="4" s="1"/>
  <c r="CF610" i="4" s="1"/>
  <c r="CG610" i="4" s="1"/>
  <c r="CH610" i="4" s="1"/>
  <c r="CI610" i="4" s="1"/>
  <c r="CJ610" i="4" s="1"/>
  <c r="CK610" i="4" s="1"/>
  <c r="CL610" i="4" s="1"/>
  <c r="CM610" i="4" s="1"/>
  <c r="CN610" i="4" s="1"/>
  <c r="CO610" i="4" s="1"/>
  <c r="CP610" i="4" s="1"/>
  <c r="CQ610" i="4" s="1"/>
  <c r="CR610" i="4" s="1"/>
  <c r="CS610" i="4" s="1"/>
  <c r="CT610" i="4" s="1"/>
  <c r="CU610" i="4" s="1"/>
  <c r="CV610" i="4" s="1"/>
  <c r="CW610" i="4" s="1"/>
  <c r="CX610" i="4" s="1"/>
  <c r="CY610" i="4" s="1"/>
  <c r="CZ610" i="4" s="1"/>
  <c r="DA610" i="4" s="1"/>
  <c r="DB610" i="4" s="1"/>
  <c r="DC610" i="4" s="1"/>
  <c r="DD610" i="4" s="1"/>
  <c r="DE610" i="4" s="1"/>
  <c r="DF610" i="4" s="1"/>
  <c r="DG610" i="4" s="1"/>
  <c r="DH610" i="4" s="1"/>
  <c r="DI610" i="4" s="1"/>
  <c r="DJ610" i="4" s="1"/>
  <c r="DK610" i="4" s="1"/>
  <c r="DL610" i="4" s="1"/>
  <c r="DM610" i="4" s="1"/>
  <c r="DN610" i="4" s="1"/>
  <c r="DO610" i="4" s="1"/>
  <c r="DP610" i="4" s="1"/>
  <c r="DQ610" i="4" s="1"/>
  <c r="DR610" i="4" s="1"/>
  <c r="DS610" i="4" s="1"/>
  <c r="DT610" i="4" s="1"/>
  <c r="DU610" i="4" s="1"/>
  <c r="DV610" i="4" s="1"/>
  <c r="DW610" i="4" s="1"/>
  <c r="DX610" i="4" s="1"/>
  <c r="DY610" i="4" s="1"/>
  <c r="DZ610" i="4" s="1"/>
  <c r="EA610" i="4" s="1"/>
  <c r="EB610" i="4" s="1"/>
  <c r="EC610" i="4" s="1"/>
  <c r="ED610" i="4" s="1"/>
  <c r="EE610" i="4" s="1"/>
  <c r="EF610" i="4" s="1"/>
  <c r="EG610" i="4" s="1"/>
  <c r="EH610" i="4" s="1"/>
  <c r="EI610" i="4" s="1"/>
  <c r="EJ610" i="4" s="1"/>
  <c r="EK610" i="4" s="1"/>
  <c r="EL610" i="4" s="1"/>
  <c r="EM610" i="4" s="1"/>
  <c r="EN610" i="4" s="1"/>
  <c r="EO610" i="4" s="1"/>
  <c r="EP610" i="4" s="1"/>
  <c r="EQ610" i="4" s="1"/>
  <c r="ER610" i="4" s="1"/>
  <c r="ES610" i="4" s="1"/>
  <c r="ET610" i="4" s="1"/>
  <c r="EU610" i="4" s="1"/>
  <c r="EV610" i="4" s="1"/>
  <c r="EW610" i="4" s="1"/>
  <c r="EX610" i="4" s="1"/>
  <c r="EY610" i="4" s="1"/>
  <c r="EZ610" i="4" s="1"/>
  <c r="FA610" i="4" s="1"/>
  <c r="AX609" i="4"/>
  <c r="AY609" i="4" s="1"/>
  <c r="AZ609" i="4" s="1"/>
  <c r="BA609" i="4" s="1"/>
  <c r="BB609" i="4" s="1"/>
  <c r="BC609" i="4" s="1"/>
  <c r="BD609" i="4" s="1"/>
  <c r="BE609" i="4" s="1"/>
  <c r="BF609" i="4" s="1"/>
  <c r="BG609" i="4" s="1"/>
  <c r="BH609" i="4" s="1"/>
  <c r="BI609" i="4" s="1"/>
  <c r="BJ609" i="4" s="1"/>
  <c r="BK609" i="4" s="1"/>
  <c r="BL609" i="4" s="1"/>
  <c r="BM609" i="4" s="1"/>
  <c r="BN609" i="4" s="1"/>
  <c r="BO609" i="4" s="1"/>
  <c r="BP609" i="4" s="1"/>
  <c r="BQ609" i="4" s="1"/>
  <c r="BR609" i="4" s="1"/>
  <c r="BS609" i="4" s="1"/>
  <c r="BT609" i="4" s="1"/>
  <c r="BU609" i="4" s="1"/>
  <c r="BV609" i="4" s="1"/>
  <c r="BW609" i="4" s="1"/>
  <c r="BX609" i="4" s="1"/>
  <c r="BY609" i="4" s="1"/>
  <c r="BZ609" i="4" s="1"/>
  <c r="CA609" i="4" s="1"/>
  <c r="CB609" i="4" s="1"/>
  <c r="CC609" i="4" s="1"/>
  <c r="CD609" i="4" s="1"/>
  <c r="CE609" i="4" s="1"/>
  <c r="CF609" i="4" s="1"/>
  <c r="CG609" i="4" s="1"/>
  <c r="CH609" i="4" s="1"/>
  <c r="CI609" i="4" s="1"/>
  <c r="CJ609" i="4" s="1"/>
  <c r="CK609" i="4" s="1"/>
  <c r="CL609" i="4" s="1"/>
  <c r="CM609" i="4" s="1"/>
  <c r="CN609" i="4" s="1"/>
  <c r="CO609" i="4" s="1"/>
  <c r="CP609" i="4" s="1"/>
  <c r="CQ609" i="4" s="1"/>
  <c r="CR609" i="4" s="1"/>
  <c r="CS609" i="4" s="1"/>
  <c r="CT609" i="4" s="1"/>
  <c r="CU609" i="4" s="1"/>
  <c r="CV609" i="4" s="1"/>
  <c r="CW609" i="4" s="1"/>
  <c r="CX609" i="4" s="1"/>
  <c r="CY609" i="4" s="1"/>
  <c r="CZ609" i="4" s="1"/>
  <c r="DA609" i="4" s="1"/>
  <c r="DB609" i="4" s="1"/>
  <c r="DC609" i="4" s="1"/>
  <c r="DD609" i="4" s="1"/>
  <c r="DE609" i="4" s="1"/>
  <c r="DF609" i="4" s="1"/>
  <c r="DG609" i="4" s="1"/>
  <c r="DH609" i="4" s="1"/>
  <c r="DI609" i="4" s="1"/>
  <c r="DJ609" i="4" s="1"/>
  <c r="DK609" i="4" s="1"/>
  <c r="DL609" i="4" s="1"/>
  <c r="DM609" i="4" s="1"/>
  <c r="DN609" i="4" s="1"/>
  <c r="DO609" i="4" s="1"/>
  <c r="DP609" i="4" s="1"/>
  <c r="DQ609" i="4" s="1"/>
  <c r="DR609" i="4" s="1"/>
  <c r="DS609" i="4" s="1"/>
  <c r="DT609" i="4" s="1"/>
  <c r="DU609" i="4" s="1"/>
  <c r="DV609" i="4" s="1"/>
  <c r="DW609" i="4" s="1"/>
  <c r="DX609" i="4" s="1"/>
  <c r="DY609" i="4" s="1"/>
  <c r="DZ609" i="4" s="1"/>
  <c r="EA609" i="4" s="1"/>
  <c r="EB609" i="4" s="1"/>
  <c r="EC609" i="4" s="1"/>
  <c r="ED609" i="4" s="1"/>
  <c r="EE609" i="4" s="1"/>
  <c r="EF609" i="4" s="1"/>
  <c r="EG609" i="4" s="1"/>
  <c r="EH609" i="4" s="1"/>
  <c r="EI609" i="4" s="1"/>
  <c r="EJ609" i="4" s="1"/>
  <c r="EK609" i="4" s="1"/>
  <c r="EL609" i="4" s="1"/>
  <c r="EM609" i="4" s="1"/>
  <c r="EN609" i="4" s="1"/>
  <c r="EO609" i="4" s="1"/>
  <c r="EP609" i="4" s="1"/>
  <c r="EQ609" i="4" s="1"/>
  <c r="ER609" i="4" s="1"/>
  <c r="ES609" i="4" s="1"/>
  <c r="ET609" i="4" s="1"/>
  <c r="EU609" i="4" s="1"/>
  <c r="EV609" i="4" s="1"/>
  <c r="EW609" i="4" s="1"/>
  <c r="EX609" i="4" s="1"/>
  <c r="EY609" i="4" s="1"/>
  <c r="EZ609" i="4" s="1"/>
  <c r="FA609" i="4" s="1"/>
  <c r="AX608" i="4"/>
  <c r="AY608" i="4" s="1"/>
  <c r="AZ608" i="4" s="1"/>
  <c r="BA608" i="4" s="1"/>
  <c r="BB608" i="4" s="1"/>
  <c r="BC608" i="4" s="1"/>
  <c r="BD608" i="4" s="1"/>
  <c r="BE608" i="4" s="1"/>
  <c r="BF608" i="4" s="1"/>
  <c r="BG608" i="4" s="1"/>
  <c r="BH608" i="4" s="1"/>
  <c r="BI608" i="4" s="1"/>
  <c r="BJ608" i="4" s="1"/>
  <c r="BK608" i="4" s="1"/>
  <c r="BL608" i="4" s="1"/>
  <c r="BM608" i="4" s="1"/>
  <c r="BN608" i="4" s="1"/>
  <c r="BO608" i="4" s="1"/>
  <c r="BP608" i="4" s="1"/>
  <c r="BQ608" i="4" s="1"/>
  <c r="BR608" i="4" s="1"/>
  <c r="BS608" i="4" s="1"/>
  <c r="BT608" i="4" s="1"/>
  <c r="BU608" i="4" s="1"/>
  <c r="BV608" i="4" s="1"/>
  <c r="BW608" i="4" s="1"/>
  <c r="BX608" i="4" s="1"/>
  <c r="BY608" i="4" s="1"/>
  <c r="BZ608" i="4" s="1"/>
  <c r="CA608" i="4" s="1"/>
  <c r="CB608" i="4" s="1"/>
  <c r="CC608" i="4" s="1"/>
  <c r="CD608" i="4" s="1"/>
  <c r="CE608" i="4" s="1"/>
  <c r="CF608" i="4" s="1"/>
  <c r="CG608" i="4" s="1"/>
  <c r="CH608" i="4" s="1"/>
  <c r="CI608" i="4" s="1"/>
  <c r="CJ608" i="4" s="1"/>
  <c r="CK608" i="4" s="1"/>
  <c r="CL608" i="4" s="1"/>
  <c r="CM608" i="4" s="1"/>
  <c r="CN608" i="4" s="1"/>
  <c r="CO608" i="4" s="1"/>
  <c r="CP608" i="4" s="1"/>
  <c r="CQ608" i="4" s="1"/>
  <c r="CR608" i="4" s="1"/>
  <c r="CS608" i="4" s="1"/>
  <c r="CT608" i="4" s="1"/>
  <c r="CU608" i="4" s="1"/>
  <c r="CV608" i="4" s="1"/>
  <c r="CW608" i="4" s="1"/>
  <c r="CX608" i="4" s="1"/>
  <c r="CY608" i="4" s="1"/>
  <c r="CZ608" i="4" s="1"/>
  <c r="DA608" i="4" s="1"/>
  <c r="DB608" i="4" s="1"/>
  <c r="DC608" i="4" s="1"/>
  <c r="DD608" i="4" s="1"/>
  <c r="DE608" i="4" s="1"/>
  <c r="DF608" i="4" s="1"/>
  <c r="DG608" i="4" s="1"/>
  <c r="DH608" i="4" s="1"/>
  <c r="DI608" i="4" s="1"/>
  <c r="DJ608" i="4" s="1"/>
  <c r="DK608" i="4" s="1"/>
  <c r="DL608" i="4" s="1"/>
  <c r="DM608" i="4" s="1"/>
  <c r="DN608" i="4" s="1"/>
  <c r="DO608" i="4" s="1"/>
  <c r="DP608" i="4" s="1"/>
  <c r="DQ608" i="4" s="1"/>
  <c r="DR608" i="4" s="1"/>
  <c r="DS608" i="4" s="1"/>
  <c r="DT608" i="4" s="1"/>
  <c r="DU608" i="4" s="1"/>
  <c r="DV608" i="4" s="1"/>
  <c r="DW608" i="4" s="1"/>
  <c r="DX608" i="4" s="1"/>
  <c r="DY608" i="4" s="1"/>
  <c r="DZ608" i="4" s="1"/>
  <c r="EA608" i="4" s="1"/>
  <c r="EB608" i="4" s="1"/>
  <c r="EC608" i="4" s="1"/>
  <c r="ED608" i="4" s="1"/>
  <c r="EE608" i="4" s="1"/>
  <c r="EF608" i="4" s="1"/>
  <c r="EG608" i="4" s="1"/>
  <c r="EH608" i="4" s="1"/>
  <c r="EI608" i="4" s="1"/>
  <c r="EJ608" i="4" s="1"/>
  <c r="EK608" i="4" s="1"/>
  <c r="EL608" i="4" s="1"/>
  <c r="EM608" i="4" s="1"/>
  <c r="EN608" i="4" s="1"/>
  <c r="EO608" i="4" s="1"/>
  <c r="EP608" i="4" s="1"/>
  <c r="EQ608" i="4" s="1"/>
  <c r="ER608" i="4" s="1"/>
  <c r="ES608" i="4" s="1"/>
  <c r="ET608" i="4" s="1"/>
  <c r="EU608" i="4" s="1"/>
  <c r="EV608" i="4" s="1"/>
  <c r="EW608" i="4" s="1"/>
  <c r="EX608" i="4" s="1"/>
  <c r="EY608" i="4" s="1"/>
  <c r="EZ608" i="4" s="1"/>
  <c r="FA608" i="4" s="1"/>
  <c r="AY607" i="4"/>
  <c r="AZ607" i="4" s="1"/>
  <c r="BA607" i="4" s="1"/>
  <c r="BB607" i="4" s="1"/>
  <c r="BC607" i="4" s="1"/>
  <c r="BD607" i="4" s="1"/>
  <c r="BE607" i="4" s="1"/>
  <c r="BF607" i="4" s="1"/>
  <c r="BG607" i="4" s="1"/>
  <c r="BH607" i="4" s="1"/>
  <c r="BI607" i="4" s="1"/>
  <c r="BJ607" i="4" s="1"/>
  <c r="BK607" i="4" s="1"/>
  <c r="BL607" i="4" s="1"/>
  <c r="BM607" i="4" s="1"/>
  <c r="BN607" i="4" s="1"/>
  <c r="BO607" i="4" s="1"/>
  <c r="BP607" i="4" s="1"/>
  <c r="BQ607" i="4" s="1"/>
  <c r="BR607" i="4" s="1"/>
  <c r="BS607" i="4" s="1"/>
  <c r="BT607" i="4" s="1"/>
  <c r="BU607" i="4" s="1"/>
  <c r="BV607" i="4" s="1"/>
  <c r="BW607" i="4" s="1"/>
  <c r="BX607" i="4" s="1"/>
  <c r="BY607" i="4" s="1"/>
  <c r="BZ607" i="4" s="1"/>
  <c r="CA607" i="4" s="1"/>
  <c r="CB607" i="4" s="1"/>
  <c r="CC607" i="4" s="1"/>
  <c r="CD607" i="4" s="1"/>
  <c r="CE607" i="4" s="1"/>
  <c r="CF607" i="4" s="1"/>
  <c r="CG607" i="4" s="1"/>
  <c r="CH607" i="4" s="1"/>
  <c r="CI607" i="4" s="1"/>
  <c r="CJ607" i="4" s="1"/>
  <c r="CK607" i="4" s="1"/>
  <c r="CL607" i="4" s="1"/>
  <c r="CM607" i="4" s="1"/>
  <c r="CN607" i="4" s="1"/>
  <c r="CO607" i="4" s="1"/>
  <c r="CP607" i="4" s="1"/>
  <c r="CQ607" i="4" s="1"/>
  <c r="CR607" i="4" s="1"/>
  <c r="CS607" i="4" s="1"/>
  <c r="CT607" i="4" s="1"/>
  <c r="CU607" i="4" s="1"/>
  <c r="CV607" i="4" s="1"/>
  <c r="CW607" i="4" s="1"/>
  <c r="CX607" i="4" s="1"/>
  <c r="CY607" i="4" s="1"/>
  <c r="CZ607" i="4" s="1"/>
  <c r="DA607" i="4" s="1"/>
  <c r="DB607" i="4" s="1"/>
  <c r="DC607" i="4" s="1"/>
  <c r="DD607" i="4" s="1"/>
  <c r="DE607" i="4" s="1"/>
  <c r="DF607" i="4" s="1"/>
  <c r="DG607" i="4" s="1"/>
  <c r="DH607" i="4" s="1"/>
  <c r="DI607" i="4" s="1"/>
  <c r="DJ607" i="4" s="1"/>
  <c r="DK607" i="4" s="1"/>
  <c r="DL607" i="4" s="1"/>
  <c r="DM607" i="4" s="1"/>
  <c r="DN607" i="4" s="1"/>
  <c r="DO607" i="4" s="1"/>
  <c r="DP607" i="4" s="1"/>
  <c r="DQ607" i="4" s="1"/>
  <c r="DR607" i="4" s="1"/>
  <c r="DS607" i="4" s="1"/>
  <c r="DT607" i="4" s="1"/>
  <c r="DU607" i="4" s="1"/>
  <c r="DV607" i="4" s="1"/>
  <c r="DW607" i="4" s="1"/>
  <c r="DX607" i="4" s="1"/>
  <c r="DY607" i="4" s="1"/>
  <c r="DZ607" i="4" s="1"/>
  <c r="EA607" i="4" s="1"/>
  <c r="EB607" i="4" s="1"/>
  <c r="EC607" i="4" s="1"/>
  <c r="ED607" i="4" s="1"/>
  <c r="EE607" i="4" s="1"/>
  <c r="EF607" i="4" s="1"/>
  <c r="EG607" i="4" s="1"/>
  <c r="EH607" i="4" s="1"/>
  <c r="EI607" i="4" s="1"/>
  <c r="EJ607" i="4" s="1"/>
  <c r="EK607" i="4" s="1"/>
  <c r="EL607" i="4" s="1"/>
  <c r="EM607" i="4" s="1"/>
  <c r="EN607" i="4" s="1"/>
  <c r="EO607" i="4" s="1"/>
  <c r="EP607" i="4" s="1"/>
  <c r="EQ607" i="4" s="1"/>
  <c r="ER607" i="4" s="1"/>
  <c r="ES607" i="4" s="1"/>
  <c r="ET607" i="4" s="1"/>
  <c r="EU607" i="4" s="1"/>
  <c r="EV607" i="4" s="1"/>
  <c r="EW607" i="4" s="1"/>
  <c r="EX607" i="4" s="1"/>
  <c r="EY607" i="4" s="1"/>
  <c r="EZ607" i="4" s="1"/>
  <c r="FA607" i="4" s="1"/>
  <c r="AX604" i="4"/>
  <c r="AY604" i="4" s="1"/>
  <c r="AZ604" i="4" s="1"/>
  <c r="BA604" i="4" s="1"/>
  <c r="BB604" i="4" s="1"/>
  <c r="BC604" i="4" s="1"/>
  <c r="BD604" i="4" s="1"/>
  <c r="BE604" i="4" s="1"/>
  <c r="BF604" i="4" s="1"/>
  <c r="BG604" i="4" s="1"/>
  <c r="BH604" i="4" s="1"/>
  <c r="BI604" i="4" s="1"/>
  <c r="BJ604" i="4" s="1"/>
  <c r="BK604" i="4" s="1"/>
  <c r="BL604" i="4" s="1"/>
  <c r="BM604" i="4" s="1"/>
  <c r="BN604" i="4" s="1"/>
  <c r="BO604" i="4" s="1"/>
  <c r="BP604" i="4" s="1"/>
  <c r="BQ604" i="4" s="1"/>
  <c r="BR604" i="4" s="1"/>
  <c r="BS604" i="4" s="1"/>
  <c r="BT604" i="4" s="1"/>
  <c r="BU604" i="4" s="1"/>
  <c r="BV604" i="4" s="1"/>
  <c r="BW604" i="4" s="1"/>
  <c r="BX604" i="4" s="1"/>
  <c r="BY604" i="4" s="1"/>
  <c r="BZ604" i="4" s="1"/>
  <c r="CA604" i="4" s="1"/>
  <c r="CB604" i="4" s="1"/>
  <c r="CC604" i="4" s="1"/>
  <c r="CD604" i="4" s="1"/>
  <c r="CE604" i="4" s="1"/>
  <c r="CF604" i="4" s="1"/>
  <c r="CG604" i="4" s="1"/>
  <c r="CH604" i="4" s="1"/>
  <c r="CI604" i="4" s="1"/>
  <c r="CJ604" i="4" s="1"/>
  <c r="CK604" i="4" s="1"/>
  <c r="CL604" i="4" s="1"/>
  <c r="CM604" i="4" s="1"/>
  <c r="CN604" i="4" s="1"/>
  <c r="CO604" i="4" s="1"/>
  <c r="CP604" i="4" s="1"/>
  <c r="CQ604" i="4" s="1"/>
  <c r="CR604" i="4" s="1"/>
  <c r="CS604" i="4" s="1"/>
  <c r="CT604" i="4" s="1"/>
  <c r="CU604" i="4" s="1"/>
  <c r="CV604" i="4" s="1"/>
  <c r="CW604" i="4" s="1"/>
  <c r="CX604" i="4" s="1"/>
  <c r="CY604" i="4" s="1"/>
  <c r="CZ604" i="4" s="1"/>
  <c r="DA604" i="4" s="1"/>
  <c r="DB604" i="4" s="1"/>
  <c r="DC604" i="4" s="1"/>
  <c r="DD604" i="4" s="1"/>
  <c r="DE604" i="4" s="1"/>
  <c r="DF604" i="4" s="1"/>
  <c r="DG604" i="4" s="1"/>
  <c r="DH604" i="4" s="1"/>
  <c r="DI604" i="4" s="1"/>
  <c r="DJ604" i="4" s="1"/>
  <c r="DK604" i="4" s="1"/>
  <c r="DL604" i="4" s="1"/>
  <c r="DM604" i="4" s="1"/>
  <c r="DN604" i="4" s="1"/>
  <c r="DO604" i="4" s="1"/>
  <c r="DP604" i="4" s="1"/>
  <c r="DQ604" i="4" s="1"/>
  <c r="DR604" i="4" s="1"/>
  <c r="DS604" i="4" s="1"/>
  <c r="DT604" i="4" s="1"/>
  <c r="DU604" i="4" s="1"/>
  <c r="DV604" i="4" s="1"/>
  <c r="DW604" i="4" s="1"/>
  <c r="DX604" i="4" s="1"/>
  <c r="DY604" i="4" s="1"/>
  <c r="DZ604" i="4" s="1"/>
  <c r="EA604" i="4" s="1"/>
  <c r="EB604" i="4" s="1"/>
  <c r="EC604" i="4" s="1"/>
  <c r="ED604" i="4" s="1"/>
  <c r="EE604" i="4" s="1"/>
  <c r="EF604" i="4" s="1"/>
  <c r="EG604" i="4" s="1"/>
  <c r="EH604" i="4" s="1"/>
  <c r="EI604" i="4" s="1"/>
  <c r="EJ604" i="4" s="1"/>
  <c r="EK604" i="4" s="1"/>
  <c r="EL604" i="4" s="1"/>
  <c r="EM604" i="4" s="1"/>
  <c r="EN604" i="4" s="1"/>
  <c r="EO604" i="4" s="1"/>
  <c r="EP604" i="4" s="1"/>
  <c r="EQ604" i="4" s="1"/>
  <c r="ER604" i="4" s="1"/>
  <c r="ES604" i="4" s="1"/>
  <c r="ET604" i="4" s="1"/>
  <c r="EU604" i="4" s="1"/>
  <c r="EV604" i="4" s="1"/>
  <c r="EW604" i="4" s="1"/>
  <c r="EX604" i="4" s="1"/>
  <c r="EY604" i="4" s="1"/>
  <c r="EZ604" i="4" s="1"/>
  <c r="FA604" i="4" s="1"/>
  <c r="AX603" i="4"/>
  <c r="AY603" i="4" s="1"/>
  <c r="AZ603" i="4" s="1"/>
  <c r="BA603" i="4" s="1"/>
  <c r="BB603" i="4" s="1"/>
  <c r="BC603" i="4" s="1"/>
  <c r="BD603" i="4" s="1"/>
  <c r="BE603" i="4" s="1"/>
  <c r="BF603" i="4" s="1"/>
  <c r="BG603" i="4" s="1"/>
  <c r="BH603" i="4" s="1"/>
  <c r="BI603" i="4" s="1"/>
  <c r="BJ603" i="4" s="1"/>
  <c r="BK603" i="4" s="1"/>
  <c r="BL603" i="4" s="1"/>
  <c r="BM603" i="4" s="1"/>
  <c r="BN603" i="4" s="1"/>
  <c r="BO603" i="4" s="1"/>
  <c r="BP603" i="4" s="1"/>
  <c r="BQ603" i="4" s="1"/>
  <c r="BR603" i="4" s="1"/>
  <c r="BS603" i="4" s="1"/>
  <c r="BT603" i="4" s="1"/>
  <c r="BU603" i="4" s="1"/>
  <c r="BV603" i="4" s="1"/>
  <c r="BW603" i="4" s="1"/>
  <c r="BX603" i="4" s="1"/>
  <c r="BY603" i="4" s="1"/>
  <c r="BZ603" i="4" s="1"/>
  <c r="CA603" i="4" s="1"/>
  <c r="CB603" i="4" s="1"/>
  <c r="CC603" i="4" s="1"/>
  <c r="CD603" i="4" s="1"/>
  <c r="CE603" i="4" s="1"/>
  <c r="CF603" i="4" s="1"/>
  <c r="CG603" i="4" s="1"/>
  <c r="CH603" i="4" s="1"/>
  <c r="CI603" i="4" s="1"/>
  <c r="CJ603" i="4" s="1"/>
  <c r="CK603" i="4" s="1"/>
  <c r="CL603" i="4" s="1"/>
  <c r="CM603" i="4" s="1"/>
  <c r="CN603" i="4" s="1"/>
  <c r="CO603" i="4" s="1"/>
  <c r="CP603" i="4" s="1"/>
  <c r="CQ603" i="4" s="1"/>
  <c r="CR603" i="4" s="1"/>
  <c r="CS603" i="4" s="1"/>
  <c r="CT603" i="4" s="1"/>
  <c r="CU603" i="4" s="1"/>
  <c r="CV603" i="4" s="1"/>
  <c r="CW603" i="4" s="1"/>
  <c r="CX603" i="4" s="1"/>
  <c r="CY603" i="4" s="1"/>
  <c r="CZ603" i="4" s="1"/>
  <c r="DA603" i="4" s="1"/>
  <c r="DB603" i="4" s="1"/>
  <c r="DC603" i="4" s="1"/>
  <c r="DD603" i="4" s="1"/>
  <c r="DE603" i="4" s="1"/>
  <c r="DF603" i="4" s="1"/>
  <c r="DG603" i="4" s="1"/>
  <c r="DH603" i="4" s="1"/>
  <c r="DI603" i="4" s="1"/>
  <c r="DJ603" i="4" s="1"/>
  <c r="DK603" i="4" s="1"/>
  <c r="DL603" i="4" s="1"/>
  <c r="DM603" i="4" s="1"/>
  <c r="DN603" i="4" s="1"/>
  <c r="DO603" i="4" s="1"/>
  <c r="DP603" i="4" s="1"/>
  <c r="DQ603" i="4" s="1"/>
  <c r="DR603" i="4" s="1"/>
  <c r="DS603" i="4" s="1"/>
  <c r="DT603" i="4" s="1"/>
  <c r="DU603" i="4" s="1"/>
  <c r="DV603" i="4" s="1"/>
  <c r="DW603" i="4" s="1"/>
  <c r="DX603" i="4" s="1"/>
  <c r="DY603" i="4" s="1"/>
  <c r="DZ603" i="4" s="1"/>
  <c r="EA603" i="4" s="1"/>
  <c r="EB603" i="4" s="1"/>
  <c r="EC603" i="4" s="1"/>
  <c r="ED603" i="4" s="1"/>
  <c r="EE603" i="4" s="1"/>
  <c r="EF603" i="4" s="1"/>
  <c r="EG603" i="4" s="1"/>
  <c r="EH603" i="4" s="1"/>
  <c r="EI603" i="4" s="1"/>
  <c r="EJ603" i="4" s="1"/>
  <c r="EK603" i="4" s="1"/>
  <c r="EL603" i="4" s="1"/>
  <c r="EM603" i="4" s="1"/>
  <c r="EN603" i="4" s="1"/>
  <c r="EO603" i="4" s="1"/>
  <c r="EP603" i="4" s="1"/>
  <c r="EQ603" i="4" s="1"/>
  <c r="ER603" i="4" s="1"/>
  <c r="ES603" i="4" s="1"/>
  <c r="ET603" i="4" s="1"/>
  <c r="EU603" i="4" s="1"/>
  <c r="EV603" i="4" s="1"/>
  <c r="EW603" i="4" s="1"/>
  <c r="EX603" i="4" s="1"/>
  <c r="EY603" i="4" s="1"/>
  <c r="EZ603" i="4" s="1"/>
  <c r="FA603" i="4" s="1"/>
  <c r="AX602" i="4"/>
  <c r="AY602" i="4" s="1"/>
  <c r="AZ602" i="4" s="1"/>
  <c r="BA602" i="4" s="1"/>
  <c r="BB602" i="4" s="1"/>
  <c r="BC602" i="4" s="1"/>
  <c r="BD602" i="4" s="1"/>
  <c r="BE602" i="4" s="1"/>
  <c r="BF602" i="4" s="1"/>
  <c r="BG602" i="4" s="1"/>
  <c r="BH602" i="4" s="1"/>
  <c r="BI602" i="4" s="1"/>
  <c r="BJ602" i="4" s="1"/>
  <c r="BK602" i="4" s="1"/>
  <c r="BL602" i="4" s="1"/>
  <c r="BM602" i="4" s="1"/>
  <c r="BN602" i="4" s="1"/>
  <c r="BO602" i="4" s="1"/>
  <c r="BP602" i="4" s="1"/>
  <c r="BQ602" i="4" s="1"/>
  <c r="BR602" i="4" s="1"/>
  <c r="BS602" i="4" s="1"/>
  <c r="BT602" i="4" s="1"/>
  <c r="BU602" i="4" s="1"/>
  <c r="BV602" i="4" s="1"/>
  <c r="BW602" i="4" s="1"/>
  <c r="BX602" i="4" s="1"/>
  <c r="BY602" i="4" s="1"/>
  <c r="BZ602" i="4" s="1"/>
  <c r="CA602" i="4" s="1"/>
  <c r="CB602" i="4" s="1"/>
  <c r="CC602" i="4" s="1"/>
  <c r="CD602" i="4" s="1"/>
  <c r="CE602" i="4" s="1"/>
  <c r="CF602" i="4" s="1"/>
  <c r="CG602" i="4" s="1"/>
  <c r="CH602" i="4" s="1"/>
  <c r="CI602" i="4" s="1"/>
  <c r="CJ602" i="4" s="1"/>
  <c r="CK602" i="4" s="1"/>
  <c r="CL602" i="4" s="1"/>
  <c r="CM602" i="4" s="1"/>
  <c r="CN602" i="4" s="1"/>
  <c r="CO602" i="4" s="1"/>
  <c r="CP602" i="4" s="1"/>
  <c r="CQ602" i="4" s="1"/>
  <c r="CR602" i="4" s="1"/>
  <c r="CS602" i="4" s="1"/>
  <c r="CT602" i="4" s="1"/>
  <c r="CU602" i="4" s="1"/>
  <c r="CV602" i="4" s="1"/>
  <c r="CW602" i="4" s="1"/>
  <c r="CX602" i="4" s="1"/>
  <c r="CY602" i="4" s="1"/>
  <c r="CZ602" i="4" s="1"/>
  <c r="DA602" i="4" s="1"/>
  <c r="DB602" i="4" s="1"/>
  <c r="DC602" i="4" s="1"/>
  <c r="DD602" i="4" s="1"/>
  <c r="DE602" i="4" s="1"/>
  <c r="DF602" i="4" s="1"/>
  <c r="DG602" i="4" s="1"/>
  <c r="DH602" i="4" s="1"/>
  <c r="DI602" i="4" s="1"/>
  <c r="DJ602" i="4" s="1"/>
  <c r="DK602" i="4" s="1"/>
  <c r="DL602" i="4" s="1"/>
  <c r="DM602" i="4" s="1"/>
  <c r="DN602" i="4" s="1"/>
  <c r="DO602" i="4" s="1"/>
  <c r="DP602" i="4" s="1"/>
  <c r="DQ602" i="4" s="1"/>
  <c r="DR602" i="4" s="1"/>
  <c r="DS602" i="4" s="1"/>
  <c r="DT602" i="4" s="1"/>
  <c r="DU602" i="4" s="1"/>
  <c r="DV602" i="4" s="1"/>
  <c r="DW602" i="4" s="1"/>
  <c r="DX602" i="4" s="1"/>
  <c r="DY602" i="4" s="1"/>
  <c r="DZ602" i="4" s="1"/>
  <c r="EA602" i="4" s="1"/>
  <c r="EB602" i="4" s="1"/>
  <c r="EC602" i="4" s="1"/>
  <c r="ED602" i="4" s="1"/>
  <c r="EE602" i="4" s="1"/>
  <c r="EF602" i="4" s="1"/>
  <c r="EG602" i="4" s="1"/>
  <c r="EH602" i="4" s="1"/>
  <c r="EI602" i="4" s="1"/>
  <c r="EJ602" i="4" s="1"/>
  <c r="EK602" i="4" s="1"/>
  <c r="EL602" i="4" s="1"/>
  <c r="EM602" i="4" s="1"/>
  <c r="EN602" i="4" s="1"/>
  <c r="EO602" i="4" s="1"/>
  <c r="EP602" i="4" s="1"/>
  <c r="EQ602" i="4" s="1"/>
  <c r="ER602" i="4" s="1"/>
  <c r="ES602" i="4" s="1"/>
  <c r="ET602" i="4" s="1"/>
  <c r="EU602" i="4" s="1"/>
  <c r="EV602" i="4" s="1"/>
  <c r="EW602" i="4" s="1"/>
  <c r="EX602" i="4" s="1"/>
  <c r="EY602" i="4" s="1"/>
  <c r="EZ602" i="4" s="1"/>
  <c r="FA602" i="4" s="1"/>
  <c r="AY601" i="4"/>
  <c r="AZ601" i="4" s="1"/>
  <c r="BA601" i="4" s="1"/>
  <c r="BB601" i="4" s="1"/>
  <c r="BC601" i="4" s="1"/>
  <c r="BD601" i="4" s="1"/>
  <c r="BE601" i="4" s="1"/>
  <c r="BF601" i="4" s="1"/>
  <c r="BG601" i="4" s="1"/>
  <c r="BH601" i="4" s="1"/>
  <c r="BI601" i="4" s="1"/>
  <c r="BJ601" i="4" s="1"/>
  <c r="BK601" i="4" s="1"/>
  <c r="BL601" i="4" s="1"/>
  <c r="BM601" i="4" s="1"/>
  <c r="BN601" i="4" s="1"/>
  <c r="BO601" i="4" s="1"/>
  <c r="BP601" i="4" s="1"/>
  <c r="BQ601" i="4" s="1"/>
  <c r="BR601" i="4" s="1"/>
  <c r="BS601" i="4" s="1"/>
  <c r="BT601" i="4" s="1"/>
  <c r="BU601" i="4" s="1"/>
  <c r="BV601" i="4" s="1"/>
  <c r="BW601" i="4" s="1"/>
  <c r="BX601" i="4" s="1"/>
  <c r="BY601" i="4" s="1"/>
  <c r="BZ601" i="4" s="1"/>
  <c r="CA601" i="4" s="1"/>
  <c r="CB601" i="4" s="1"/>
  <c r="CC601" i="4" s="1"/>
  <c r="CD601" i="4" s="1"/>
  <c r="CE601" i="4" s="1"/>
  <c r="CF601" i="4" s="1"/>
  <c r="CG601" i="4" s="1"/>
  <c r="CH601" i="4" s="1"/>
  <c r="CI601" i="4" s="1"/>
  <c r="CJ601" i="4" s="1"/>
  <c r="CK601" i="4" s="1"/>
  <c r="CL601" i="4" s="1"/>
  <c r="CM601" i="4" s="1"/>
  <c r="CN601" i="4" s="1"/>
  <c r="CO601" i="4" s="1"/>
  <c r="CP601" i="4" s="1"/>
  <c r="CQ601" i="4" s="1"/>
  <c r="CR601" i="4" s="1"/>
  <c r="CS601" i="4" s="1"/>
  <c r="CT601" i="4" s="1"/>
  <c r="CU601" i="4" s="1"/>
  <c r="CV601" i="4" s="1"/>
  <c r="CW601" i="4" s="1"/>
  <c r="CX601" i="4" s="1"/>
  <c r="CY601" i="4" s="1"/>
  <c r="CZ601" i="4" s="1"/>
  <c r="DA601" i="4" s="1"/>
  <c r="DB601" i="4" s="1"/>
  <c r="DC601" i="4" s="1"/>
  <c r="DD601" i="4" s="1"/>
  <c r="DE601" i="4" s="1"/>
  <c r="DF601" i="4" s="1"/>
  <c r="DG601" i="4" s="1"/>
  <c r="DH601" i="4" s="1"/>
  <c r="DI601" i="4" s="1"/>
  <c r="DJ601" i="4" s="1"/>
  <c r="DK601" i="4" s="1"/>
  <c r="DL601" i="4" s="1"/>
  <c r="DM601" i="4" s="1"/>
  <c r="DN601" i="4" s="1"/>
  <c r="DO601" i="4" s="1"/>
  <c r="DP601" i="4" s="1"/>
  <c r="DQ601" i="4" s="1"/>
  <c r="DR601" i="4" s="1"/>
  <c r="DS601" i="4" s="1"/>
  <c r="DT601" i="4" s="1"/>
  <c r="DU601" i="4" s="1"/>
  <c r="DV601" i="4" s="1"/>
  <c r="DW601" i="4" s="1"/>
  <c r="DX601" i="4" s="1"/>
  <c r="DY601" i="4" s="1"/>
  <c r="DZ601" i="4" s="1"/>
  <c r="EA601" i="4" s="1"/>
  <c r="EB601" i="4" s="1"/>
  <c r="EC601" i="4" s="1"/>
  <c r="ED601" i="4" s="1"/>
  <c r="EE601" i="4" s="1"/>
  <c r="EF601" i="4" s="1"/>
  <c r="EG601" i="4" s="1"/>
  <c r="EH601" i="4" s="1"/>
  <c r="EI601" i="4" s="1"/>
  <c r="EJ601" i="4" s="1"/>
  <c r="EK601" i="4" s="1"/>
  <c r="EL601" i="4" s="1"/>
  <c r="EM601" i="4" s="1"/>
  <c r="EN601" i="4" s="1"/>
  <c r="EO601" i="4" s="1"/>
  <c r="EP601" i="4" s="1"/>
  <c r="EQ601" i="4" s="1"/>
  <c r="ER601" i="4" s="1"/>
  <c r="ES601" i="4" s="1"/>
  <c r="ET601" i="4" s="1"/>
  <c r="EU601" i="4" s="1"/>
  <c r="EV601" i="4" s="1"/>
  <c r="EW601" i="4" s="1"/>
  <c r="EX601" i="4" s="1"/>
  <c r="EY601" i="4" s="1"/>
  <c r="EZ601" i="4" s="1"/>
  <c r="FA601" i="4" s="1"/>
  <c r="AX598" i="4"/>
  <c r="AY598" i="4" s="1"/>
  <c r="AZ598" i="4" s="1"/>
  <c r="BA598" i="4" s="1"/>
  <c r="BB598" i="4" s="1"/>
  <c r="BC598" i="4" s="1"/>
  <c r="BD598" i="4" s="1"/>
  <c r="BE598" i="4" s="1"/>
  <c r="BF598" i="4" s="1"/>
  <c r="BG598" i="4" s="1"/>
  <c r="BH598" i="4" s="1"/>
  <c r="BI598" i="4" s="1"/>
  <c r="BJ598" i="4" s="1"/>
  <c r="BK598" i="4" s="1"/>
  <c r="BL598" i="4" s="1"/>
  <c r="BM598" i="4" s="1"/>
  <c r="BN598" i="4" s="1"/>
  <c r="BO598" i="4" s="1"/>
  <c r="BP598" i="4" s="1"/>
  <c r="BQ598" i="4" s="1"/>
  <c r="BR598" i="4" s="1"/>
  <c r="BS598" i="4" s="1"/>
  <c r="BT598" i="4" s="1"/>
  <c r="BU598" i="4" s="1"/>
  <c r="BV598" i="4" s="1"/>
  <c r="BW598" i="4" s="1"/>
  <c r="BX598" i="4" s="1"/>
  <c r="BY598" i="4" s="1"/>
  <c r="BZ598" i="4" s="1"/>
  <c r="CA598" i="4" s="1"/>
  <c r="CB598" i="4" s="1"/>
  <c r="CC598" i="4" s="1"/>
  <c r="CD598" i="4" s="1"/>
  <c r="CE598" i="4" s="1"/>
  <c r="CF598" i="4" s="1"/>
  <c r="CG598" i="4" s="1"/>
  <c r="CH598" i="4" s="1"/>
  <c r="CI598" i="4" s="1"/>
  <c r="CJ598" i="4" s="1"/>
  <c r="CK598" i="4" s="1"/>
  <c r="CL598" i="4" s="1"/>
  <c r="CM598" i="4" s="1"/>
  <c r="CN598" i="4" s="1"/>
  <c r="CO598" i="4" s="1"/>
  <c r="CP598" i="4" s="1"/>
  <c r="CQ598" i="4" s="1"/>
  <c r="CR598" i="4" s="1"/>
  <c r="CS598" i="4" s="1"/>
  <c r="CT598" i="4" s="1"/>
  <c r="CU598" i="4" s="1"/>
  <c r="CV598" i="4" s="1"/>
  <c r="CW598" i="4" s="1"/>
  <c r="CX598" i="4" s="1"/>
  <c r="CY598" i="4" s="1"/>
  <c r="CZ598" i="4" s="1"/>
  <c r="DA598" i="4" s="1"/>
  <c r="DB598" i="4" s="1"/>
  <c r="DC598" i="4" s="1"/>
  <c r="DD598" i="4" s="1"/>
  <c r="DE598" i="4" s="1"/>
  <c r="DF598" i="4" s="1"/>
  <c r="DG598" i="4" s="1"/>
  <c r="DH598" i="4" s="1"/>
  <c r="DI598" i="4" s="1"/>
  <c r="DJ598" i="4" s="1"/>
  <c r="DK598" i="4" s="1"/>
  <c r="DL598" i="4" s="1"/>
  <c r="DM598" i="4" s="1"/>
  <c r="DN598" i="4" s="1"/>
  <c r="DO598" i="4" s="1"/>
  <c r="DP598" i="4" s="1"/>
  <c r="DQ598" i="4" s="1"/>
  <c r="DR598" i="4" s="1"/>
  <c r="DS598" i="4" s="1"/>
  <c r="DT598" i="4" s="1"/>
  <c r="DU598" i="4" s="1"/>
  <c r="DV598" i="4" s="1"/>
  <c r="DW598" i="4" s="1"/>
  <c r="DX598" i="4" s="1"/>
  <c r="DY598" i="4" s="1"/>
  <c r="DZ598" i="4" s="1"/>
  <c r="EA598" i="4" s="1"/>
  <c r="EB598" i="4" s="1"/>
  <c r="EC598" i="4" s="1"/>
  <c r="ED598" i="4" s="1"/>
  <c r="EE598" i="4" s="1"/>
  <c r="EF598" i="4" s="1"/>
  <c r="EG598" i="4" s="1"/>
  <c r="EH598" i="4" s="1"/>
  <c r="EI598" i="4" s="1"/>
  <c r="EJ598" i="4" s="1"/>
  <c r="EK598" i="4" s="1"/>
  <c r="EL598" i="4" s="1"/>
  <c r="EM598" i="4" s="1"/>
  <c r="EN598" i="4" s="1"/>
  <c r="EO598" i="4" s="1"/>
  <c r="EP598" i="4" s="1"/>
  <c r="EQ598" i="4" s="1"/>
  <c r="ER598" i="4" s="1"/>
  <c r="ES598" i="4" s="1"/>
  <c r="ET598" i="4" s="1"/>
  <c r="EU598" i="4" s="1"/>
  <c r="EV598" i="4" s="1"/>
  <c r="EW598" i="4" s="1"/>
  <c r="EX598" i="4" s="1"/>
  <c r="EY598" i="4" s="1"/>
  <c r="EZ598" i="4" s="1"/>
  <c r="FA598" i="4" s="1"/>
  <c r="AX597" i="4"/>
  <c r="AY597" i="4" s="1"/>
  <c r="AZ597" i="4" s="1"/>
  <c r="BA597" i="4" s="1"/>
  <c r="BB597" i="4" s="1"/>
  <c r="BC597" i="4" s="1"/>
  <c r="BD597" i="4" s="1"/>
  <c r="BE597" i="4" s="1"/>
  <c r="BF597" i="4" s="1"/>
  <c r="BG597" i="4" s="1"/>
  <c r="BH597" i="4" s="1"/>
  <c r="BI597" i="4" s="1"/>
  <c r="BJ597" i="4" s="1"/>
  <c r="BK597" i="4" s="1"/>
  <c r="BL597" i="4" s="1"/>
  <c r="BM597" i="4" s="1"/>
  <c r="BN597" i="4" s="1"/>
  <c r="BO597" i="4" s="1"/>
  <c r="BP597" i="4" s="1"/>
  <c r="BQ597" i="4" s="1"/>
  <c r="BR597" i="4" s="1"/>
  <c r="BS597" i="4" s="1"/>
  <c r="BT597" i="4" s="1"/>
  <c r="BU597" i="4" s="1"/>
  <c r="BV597" i="4" s="1"/>
  <c r="BW597" i="4" s="1"/>
  <c r="BX597" i="4" s="1"/>
  <c r="BY597" i="4" s="1"/>
  <c r="BZ597" i="4" s="1"/>
  <c r="CA597" i="4" s="1"/>
  <c r="CB597" i="4" s="1"/>
  <c r="CC597" i="4" s="1"/>
  <c r="CD597" i="4" s="1"/>
  <c r="CE597" i="4" s="1"/>
  <c r="CF597" i="4" s="1"/>
  <c r="CG597" i="4" s="1"/>
  <c r="CH597" i="4" s="1"/>
  <c r="CI597" i="4" s="1"/>
  <c r="CJ597" i="4" s="1"/>
  <c r="CK597" i="4" s="1"/>
  <c r="CL597" i="4" s="1"/>
  <c r="CM597" i="4" s="1"/>
  <c r="CN597" i="4" s="1"/>
  <c r="CO597" i="4" s="1"/>
  <c r="CP597" i="4" s="1"/>
  <c r="CQ597" i="4" s="1"/>
  <c r="CR597" i="4" s="1"/>
  <c r="CS597" i="4" s="1"/>
  <c r="CT597" i="4" s="1"/>
  <c r="CU597" i="4" s="1"/>
  <c r="CV597" i="4" s="1"/>
  <c r="CW597" i="4" s="1"/>
  <c r="CX597" i="4" s="1"/>
  <c r="CY597" i="4" s="1"/>
  <c r="CZ597" i="4" s="1"/>
  <c r="DA597" i="4" s="1"/>
  <c r="DB597" i="4" s="1"/>
  <c r="DC597" i="4" s="1"/>
  <c r="DD597" i="4" s="1"/>
  <c r="DE597" i="4" s="1"/>
  <c r="DF597" i="4" s="1"/>
  <c r="DG597" i="4" s="1"/>
  <c r="DH597" i="4" s="1"/>
  <c r="DI597" i="4" s="1"/>
  <c r="DJ597" i="4" s="1"/>
  <c r="DK597" i="4" s="1"/>
  <c r="DL597" i="4" s="1"/>
  <c r="DM597" i="4" s="1"/>
  <c r="DN597" i="4" s="1"/>
  <c r="DO597" i="4" s="1"/>
  <c r="DP597" i="4" s="1"/>
  <c r="DQ597" i="4" s="1"/>
  <c r="DR597" i="4" s="1"/>
  <c r="DS597" i="4" s="1"/>
  <c r="DT597" i="4" s="1"/>
  <c r="DU597" i="4" s="1"/>
  <c r="DV597" i="4" s="1"/>
  <c r="DW597" i="4" s="1"/>
  <c r="DX597" i="4" s="1"/>
  <c r="DY597" i="4" s="1"/>
  <c r="DZ597" i="4" s="1"/>
  <c r="EA597" i="4" s="1"/>
  <c r="EB597" i="4" s="1"/>
  <c r="EC597" i="4" s="1"/>
  <c r="ED597" i="4" s="1"/>
  <c r="EE597" i="4" s="1"/>
  <c r="EF597" i="4" s="1"/>
  <c r="EG597" i="4" s="1"/>
  <c r="EH597" i="4" s="1"/>
  <c r="EI597" i="4" s="1"/>
  <c r="EJ597" i="4" s="1"/>
  <c r="EK597" i="4" s="1"/>
  <c r="EL597" i="4" s="1"/>
  <c r="EM597" i="4" s="1"/>
  <c r="EN597" i="4" s="1"/>
  <c r="EO597" i="4" s="1"/>
  <c r="EP597" i="4" s="1"/>
  <c r="EQ597" i="4" s="1"/>
  <c r="ER597" i="4" s="1"/>
  <c r="ES597" i="4" s="1"/>
  <c r="ET597" i="4" s="1"/>
  <c r="EU597" i="4" s="1"/>
  <c r="EV597" i="4" s="1"/>
  <c r="EW597" i="4" s="1"/>
  <c r="EX597" i="4" s="1"/>
  <c r="EY597" i="4" s="1"/>
  <c r="EZ597" i="4" s="1"/>
  <c r="FA597" i="4" s="1"/>
  <c r="AX596" i="4"/>
  <c r="AY596" i="4" s="1"/>
  <c r="AZ596" i="4" s="1"/>
  <c r="BA596" i="4" s="1"/>
  <c r="BB596" i="4" s="1"/>
  <c r="BC596" i="4" s="1"/>
  <c r="BD596" i="4" s="1"/>
  <c r="BE596" i="4" s="1"/>
  <c r="BF596" i="4" s="1"/>
  <c r="BG596" i="4" s="1"/>
  <c r="BH596" i="4" s="1"/>
  <c r="BI596" i="4" s="1"/>
  <c r="BJ596" i="4" s="1"/>
  <c r="BK596" i="4" s="1"/>
  <c r="BL596" i="4" s="1"/>
  <c r="BM596" i="4" s="1"/>
  <c r="BN596" i="4" s="1"/>
  <c r="BO596" i="4" s="1"/>
  <c r="BP596" i="4" s="1"/>
  <c r="BQ596" i="4" s="1"/>
  <c r="BR596" i="4" s="1"/>
  <c r="BS596" i="4" s="1"/>
  <c r="BT596" i="4" s="1"/>
  <c r="BU596" i="4" s="1"/>
  <c r="BV596" i="4" s="1"/>
  <c r="BW596" i="4" s="1"/>
  <c r="BX596" i="4" s="1"/>
  <c r="BY596" i="4" s="1"/>
  <c r="BZ596" i="4" s="1"/>
  <c r="CA596" i="4" s="1"/>
  <c r="CB596" i="4" s="1"/>
  <c r="CC596" i="4" s="1"/>
  <c r="CD596" i="4" s="1"/>
  <c r="CE596" i="4" s="1"/>
  <c r="CF596" i="4" s="1"/>
  <c r="CG596" i="4" s="1"/>
  <c r="CH596" i="4" s="1"/>
  <c r="CI596" i="4" s="1"/>
  <c r="CJ596" i="4" s="1"/>
  <c r="CK596" i="4" s="1"/>
  <c r="CL596" i="4" s="1"/>
  <c r="CM596" i="4" s="1"/>
  <c r="CN596" i="4" s="1"/>
  <c r="CO596" i="4" s="1"/>
  <c r="CP596" i="4" s="1"/>
  <c r="CQ596" i="4" s="1"/>
  <c r="CR596" i="4" s="1"/>
  <c r="CS596" i="4" s="1"/>
  <c r="CT596" i="4" s="1"/>
  <c r="CU596" i="4" s="1"/>
  <c r="CV596" i="4" s="1"/>
  <c r="CW596" i="4" s="1"/>
  <c r="CX596" i="4" s="1"/>
  <c r="CY596" i="4" s="1"/>
  <c r="CZ596" i="4" s="1"/>
  <c r="DA596" i="4" s="1"/>
  <c r="DB596" i="4" s="1"/>
  <c r="DC596" i="4" s="1"/>
  <c r="DD596" i="4" s="1"/>
  <c r="DE596" i="4" s="1"/>
  <c r="DF596" i="4" s="1"/>
  <c r="DG596" i="4" s="1"/>
  <c r="DH596" i="4" s="1"/>
  <c r="DI596" i="4" s="1"/>
  <c r="DJ596" i="4" s="1"/>
  <c r="DK596" i="4" s="1"/>
  <c r="DL596" i="4" s="1"/>
  <c r="DM596" i="4" s="1"/>
  <c r="DN596" i="4" s="1"/>
  <c r="DO596" i="4" s="1"/>
  <c r="DP596" i="4" s="1"/>
  <c r="DQ596" i="4" s="1"/>
  <c r="DR596" i="4" s="1"/>
  <c r="DS596" i="4" s="1"/>
  <c r="DT596" i="4" s="1"/>
  <c r="DU596" i="4" s="1"/>
  <c r="DV596" i="4" s="1"/>
  <c r="DW596" i="4" s="1"/>
  <c r="DX596" i="4" s="1"/>
  <c r="DY596" i="4" s="1"/>
  <c r="DZ596" i="4" s="1"/>
  <c r="EA596" i="4" s="1"/>
  <c r="EB596" i="4" s="1"/>
  <c r="EC596" i="4" s="1"/>
  <c r="ED596" i="4" s="1"/>
  <c r="EE596" i="4" s="1"/>
  <c r="EF596" i="4" s="1"/>
  <c r="EG596" i="4" s="1"/>
  <c r="EH596" i="4" s="1"/>
  <c r="EI596" i="4" s="1"/>
  <c r="EJ596" i="4" s="1"/>
  <c r="EK596" i="4" s="1"/>
  <c r="EL596" i="4" s="1"/>
  <c r="EM596" i="4" s="1"/>
  <c r="EN596" i="4" s="1"/>
  <c r="EO596" i="4" s="1"/>
  <c r="EP596" i="4" s="1"/>
  <c r="EQ596" i="4" s="1"/>
  <c r="ER596" i="4" s="1"/>
  <c r="ES596" i="4" s="1"/>
  <c r="ET596" i="4" s="1"/>
  <c r="EU596" i="4" s="1"/>
  <c r="EV596" i="4" s="1"/>
  <c r="EW596" i="4" s="1"/>
  <c r="EX596" i="4" s="1"/>
  <c r="EY596" i="4" s="1"/>
  <c r="EZ596" i="4" s="1"/>
  <c r="FA596" i="4" s="1"/>
  <c r="AY595" i="4"/>
  <c r="AZ595" i="4" s="1"/>
  <c r="BA595" i="4" s="1"/>
  <c r="BB595" i="4" s="1"/>
  <c r="BC595" i="4" s="1"/>
  <c r="BD595" i="4" s="1"/>
  <c r="BE595" i="4" s="1"/>
  <c r="BF595" i="4" s="1"/>
  <c r="BG595" i="4" s="1"/>
  <c r="BH595" i="4" s="1"/>
  <c r="BI595" i="4" s="1"/>
  <c r="BJ595" i="4" s="1"/>
  <c r="BK595" i="4" s="1"/>
  <c r="BL595" i="4" s="1"/>
  <c r="BM595" i="4" s="1"/>
  <c r="BN595" i="4" s="1"/>
  <c r="BO595" i="4" s="1"/>
  <c r="BP595" i="4" s="1"/>
  <c r="BQ595" i="4" s="1"/>
  <c r="BR595" i="4" s="1"/>
  <c r="BS595" i="4" s="1"/>
  <c r="BT595" i="4" s="1"/>
  <c r="BU595" i="4" s="1"/>
  <c r="BV595" i="4" s="1"/>
  <c r="BW595" i="4" s="1"/>
  <c r="BX595" i="4" s="1"/>
  <c r="BY595" i="4" s="1"/>
  <c r="BZ595" i="4" s="1"/>
  <c r="CA595" i="4" s="1"/>
  <c r="CB595" i="4" s="1"/>
  <c r="CC595" i="4" s="1"/>
  <c r="CD595" i="4" s="1"/>
  <c r="CE595" i="4" s="1"/>
  <c r="CF595" i="4" s="1"/>
  <c r="CG595" i="4" s="1"/>
  <c r="CH595" i="4" s="1"/>
  <c r="CI595" i="4" s="1"/>
  <c r="CJ595" i="4" s="1"/>
  <c r="CK595" i="4" s="1"/>
  <c r="CL595" i="4" s="1"/>
  <c r="CM595" i="4" s="1"/>
  <c r="CN595" i="4" s="1"/>
  <c r="CO595" i="4" s="1"/>
  <c r="CP595" i="4" s="1"/>
  <c r="CQ595" i="4" s="1"/>
  <c r="CR595" i="4" s="1"/>
  <c r="CS595" i="4" s="1"/>
  <c r="CT595" i="4" s="1"/>
  <c r="CU595" i="4" s="1"/>
  <c r="CV595" i="4" s="1"/>
  <c r="CW595" i="4" s="1"/>
  <c r="CX595" i="4" s="1"/>
  <c r="CY595" i="4" s="1"/>
  <c r="CZ595" i="4" s="1"/>
  <c r="DA595" i="4" s="1"/>
  <c r="DB595" i="4" s="1"/>
  <c r="DC595" i="4" s="1"/>
  <c r="DD595" i="4" s="1"/>
  <c r="DE595" i="4" s="1"/>
  <c r="DF595" i="4" s="1"/>
  <c r="DG595" i="4" s="1"/>
  <c r="DH595" i="4" s="1"/>
  <c r="DI595" i="4" s="1"/>
  <c r="DJ595" i="4" s="1"/>
  <c r="DK595" i="4" s="1"/>
  <c r="DL595" i="4" s="1"/>
  <c r="DM595" i="4" s="1"/>
  <c r="DN595" i="4" s="1"/>
  <c r="DO595" i="4" s="1"/>
  <c r="DP595" i="4" s="1"/>
  <c r="DQ595" i="4" s="1"/>
  <c r="DR595" i="4" s="1"/>
  <c r="DS595" i="4" s="1"/>
  <c r="DT595" i="4" s="1"/>
  <c r="DU595" i="4" s="1"/>
  <c r="DV595" i="4" s="1"/>
  <c r="DW595" i="4" s="1"/>
  <c r="DX595" i="4" s="1"/>
  <c r="DY595" i="4" s="1"/>
  <c r="DZ595" i="4" s="1"/>
  <c r="EA595" i="4" s="1"/>
  <c r="EB595" i="4" s="1"/>
  <c r="EC595" i="4" s="1"/>
  <c r="ED595" i="4" s="1"/>
  <c r="EE595" i="4" s="1"/>
  <c r="EF595" i="4" s="1"/>
  <c r="EG595" i="4" s="1"/>
  <c r="EH595" i="4" s="1"/>
  <c r="EI595" i="4" s="1"/>
  <c r="EJ595" i="4" s="1"/>
  <c r="EK595" i="4" s="1"/>
  <c r="EL595" i="4" s="1"/>
  <c r="EM595" i="4" s="1"/>
  <c r="EN595" i="4" s="1"/>
  <c r="EO595" i="4" s="1"/>
  <c r="EP595" i="4" s="1"/>
  <c r="EQ595" i="4" s="1"/>
  <c r="ER595" i="4" s="1"/>
  <c r="ES595" i="4" s="1"/>
  <c r="ET595" i="4" s="1"/>
  <c r="EU595" i="4" s="1"/>
  <c r="EV595" i="4" s="1"/>
  <c r="EW595" i="4" s="1"/>
  <c r="EX595" i="4" s="1"/>
  <c r="EY595" i="4" s="1"/>
  <c r="EZ595" i="4" s="1"/>
  <c r="FA595" i="4" s="1"/>
  <c r="BC580" i="4"/>
  <c r="BA580" i="4" s="1"/>
  <c r="BB580" i="4" s="1"/>
  <c r="AX580" i="4"/>
  <c r="AY580" i="4" s="1"/>
  <c r="BC579" i="4"/>
  <c r="BF579" i="4" s="1"/>
  <c r="AX579" i="4"/>
  <c r="AY579" i="4" s="1"/>
  <c r="BC578" i="4"/>
  <c r="BF578" i="4" s="1"/>
  <c r="AX578" i="4"/>
  <c r="AY578" i="4" s="1"/>
  <c r="EP575" i="4"/>
  <c r="EQ575" i="4" s="1"/>
  <c r="EM575" i="4"/>
  <c r="EN575" i="4" s="1"/>
  <c r="EJ575" i="4"/>
  <c r="EK575" i="4" s="1"/>
  <c r="EG575" i="4"/>
  <c r="EH575" i="4" s="1"/>
  <c r="ED575" i="4"/>
  <c r="EE575" i="4" s="1"/>
  <c r="EA575" i="4"/>
  <c r="EB575" i="4" s="1"/>
  <c r="DX575" i="4"/>
  <c r="DY575" i="4" s="1"/>
  <c r="DU575" i="4"/>
  <c r="DV575" i="4" s="1"/>
  <c r="DR575" i="4"/>
  <c r="DS575" i="4" s="1"/>
  <c r="DO575" i="4"/>
  <c r="DP575" i="4" s="1"/>
  <c r="DL575" i="4"/>
  <c r="DM575" i="4" s="1"/>
  <c r="DI575" i="4"/>
  <c r="DJ575" i="4" s="1"/>
  <c r="DF575" i="4"/>
  <c r="DG575" i="4" s="1"/>
  <c r="DC575" i="4"/>
  <c r="DD575" i="4" s="1"/>
  <c r="CZ575" i="4"/>
  <c r="DA575" i="4" s="1"/>
  <c r="CW575" i="4"/>
  <c r="CX575" i="4" s="1"/>
  <c r="CT575" i="4"/>
  <c r="CU575" i="4" s="1"/>
  <c r="CQ575" i="4"/>
  <c r="CR575" i="4" s="1"/>
  <c r="CN575" i="4"/>
  <c r="CO575" i="4" s="1"/>
  <c r="CK575" i="4"/>
  <c r="CL575" i="4" s="1"/>
  <c r="CH575" i="4"/>
  <c r="CI575" i="4" s="1"/>
  <c r="CE575" i="4"/>
  <c r="CF575" i="4" s="1"/>
  <c r="CB575" i="4"/>
  <c r="CC575" i="4" s="1"/>
  <c r="BY575" i="4"/>
  <c r="BZ575" i="4" s="1"/>
  <c r="BV575" i="4"/>
  <c r="BW575" i="4" s="1"/>
  <c r="BS575" i="4"/>
  <c r="BT575" i="4" s="1"/>
  <c r="BP575" i="4"/>
  <c r="BQ575" i="4" s="1"/>
  <c r="BM575" i="4"/>
  <c r="BN575" i="4" s="1"/>
  <c r="BJ575" i="4"/>
  <c r="BK575" i="4" s="1"/>
  <c r="BG575" i="4"/>
  <c r="BH575" i="4" s="1"/>
  <c r="BD575" i="4"/>
  <c r="BE575" i="4" s="1"/>
  <c r="BA575" i="4"/>
  <c r="BB575" i="4" s="1"/>
  <c r="AX575" i="4"/>
  <c r="AY575" i="4" s="1"/>
  <c r="EP574" i="4"/>
  <c r="EQ574" i="4" s="1"/>
  <c r="EM574" i="4"/>
  <c r="EN574" i="4" s="1"/>
  <c r="EJ574" i="4"/>
  <c r="EK574" i="4" s="1"/>
  <c r="EG574" i="4"/>
  <c r="EH574" i="4" s="1"/>
  <c r="ED574" i="4"/>
  <c r="EE574" i="4" s="1"/>
  <c r="EA574" i="4"/>
  <c r="EB574" i="4" s="1"/>
  <c r="DX574" i="4"/>
  <c r="DY574" i="4" s="1"/>
  <c r="DU574" i="4"/>
  <c r="DV574" i="4" s="1"/>
  <c r="DR574" i="4"/>
  <c r="DS574" i="4" s="1"/>
  <c r="DO574" i="4"/>
  <c r="DP574" i="4" s="1"/>
  <c r="DL574" i="4"/>
  <c r="DM574" i="4" s="1"/>
  <c r="DI574" i="4"/>
  <c r="DJ574" i="4" s="1"/>
  <c r="DF574" i="4"/>
  <c r="DG574" i="4" s="1"/>
  <c r="DC574" i="4"/>
  <c r="DD574" i="4" s="1"/>
  <c r="CZ574" i="4"/>
  <c r="DA574" i="4" s="1"/>
  <c r="CW574" i="4"/>
  <c r="CX574" i="4" s="1"/>
  <c r="CT574" i="4"/>
  <c r="CU574" i="4" s="1"/>
  <c r="CQ574" i="4"/>
  <c r="CR574" i="4" s="1"/>
  <c r="CN574" i="4"/>
  <c r="CO574" i="4" s="1"/>
  <c r="CK574" i="4"/>
  <c r="CL574" i="4" s="1"/>
  <c r="CH574" i="4"/>
  <c r="CI574" i="4" s="1"/>
  <c r="CE574" i="4"/>
  <c r="CF574" i="4" s="1"/>
  <c r="CB574" i="4"/>
  <c r="CC574" i="4" s="1"/>
  <c r="BY574" i="4"/>
  <c r="BZ574" i="4" s="1"/>
  <c r="BV574" i="4"/>
  <c r="BW574" i="4" s="1"/>
  <c r="BS574" i="4"/>
  <c r="BT574" i="4" s="1"/>
  <c r="BP574" i="4"/>
  <c r="BQ574" i="4" s="1"/>
  <c r="BM574" i="4"/>
  <c r="BN574" i="4" s="1"/>
  <c r="BJ574" i="4"/>
  <c r="BK574" i="4" s="1"/>
  <c r="BG574" i="4"/>
  <c r="BH574" i="4" s="1"/>
  <c r="BD574" i="4"/>
  <c r="BE574" i="4" s="1"/>
  <c r="BA574" i="4"/>
  <c r="BB574" i="4" s="1"/>
  <c r="AX574" i="4"/>
  <c r="AY574" i="4" s="1"/>
  <c r="EP573" i="4"/>
  <c r="EQ573" i="4" s="1"/>
  <c r="EM573" i="4"/>
  <c r="EN573" i="4" s="1"/>
  <c r="EJ573" i="4"/>
  <c r="EK573" i="4" s="1"/>
  <c r="EG573" i="4"/>
  <c r="EH573" i="4" s="1"/>
  <c r="ED573" i="4"/>
  <c r="EE573" i="4" s="1"/>
  <c r="EA573" i="4"/>
  <c r="EB573" i="4" s="1"/>
  <c r="DX573" i="4"/>
  <c r="DY573" i="4" s="1"/>
  <c r="DU573" i="4"/>
  <c r="DV573" i="4" s="1"/>
  <c r="DR573" i="4"/>
  <c r="DS573" i="4" s="1"/>
  <c r="DO573" i="4"/>
  <c r="DP573" i="4" s="1"/>
  <c r="DL573" i="4"/>
  <c r="DM573" i="4" s="1"/>
  <c r="DI573" i="4"/>
  <c r="DJ573" i="4" s="1"/>
  <c r="DF573" i="4"/>
  <c r="DG573" i="4" s="1"/>
  <c r="DC573" i="4"/>
  <c r="DD573" i="4" s="1"/>
  <c r="CZ573" i="4"/>
  <c r="DA573" i="4" s="1"/>
  <c r="CW573" i="4"/>
  <c r="CX573" i="4" s="1"/>
  <c r="CT573" i="4"/>
  <c r="CU573" i="4" s="1"/>
  <c r="CQ573" i="4"/>
  <c r="CR573" i="4" s="1"/>
  <c r="CN573" i="4"/>
  <c r="CO573" i="4" s="1"/>
  <c r="CK573" i="4"/>
  <c r="CL573" i="4" s="1"/>
  <c r="CH573" i="4"/>
  <c r="CI573" i="4" s="1"/>
  <c r="CE573" i="4"/>
  <c r="CF573" i="4" s="1"/>
  <c r="CB573" i="4"/>
  <c r="CC573" i="4" s="1"/>
  <c r="BY573" i="4"/>
  <c r="BZ573" i="4" s="1"/>
  <c r="BV573" i="4"/>
  <c r="BW573" i="4" s="1"/>
  <c r="BS573" i="4"/>
  <c r="BT573" i="4" s="1"/>
  <c r="BP573" i="4"/>
  <c r="BQ573" i="4" s="1"/>
  <c r="BM573" i="4"/>
  <c r="BN573" i="4" s="1"/>
  <c r="BJ573" i="4"/>
  <c r="BK573" i="4" s="1"/>
  <c r="BG573" i="4"/>
  <c r="BH573" i="4" s="1"/>
  <c r="BD573" i="4"/>
  <c r="BE573" i="4" s="1"/>
  <c r="BA573" i="4"/>
  <c r="BB573" i="4" s="1"/>
  <c r="AX573" i="4"/>
  <c r="AY573" i="4" s="1"/>
  <c r="AW569" i="4"/>
  <c r="AW568" i="4"/>
  <c r="AW567" i="4"/>
  <c r="CH562" i="4"/>
  <c r="CH563" i="4" s="1"/>
  <c r="CH18" i="4" s="1"/>
  <c r="DP560" i="4"/>
  <c r="DP553" i="4"/>
  <c r="DP555" i="4" s="1"/>
  <c r="DP550" i="4"/>
  <c r="DJ550" i="4"/>
  <c r="CN550" i="4"/>
  <c r="DL548" i="4"/>
  <c r="DL550" i="4" s="1"/>
  <c r="CJ547" i="4"/>
  <c r="CI547" i="4" s="1"/>
  <c r="CI550" i="4" s="1"/>
  <c r="CN543" i="4"/>
  <c r="CN545" i="4" s="1"/>
  <c r="DP543" i="4"/>
  <c r="DP545" i="4" s="1"/>
  <c r="DM543" i="4"/>
  <c r="DM545" i="4" s="1"/>
  <c r="DL543" i="4"/>
  <c r="DL545" i="4" s="1"/>
  <c r="DJ543" i="4"/>
  <c r="DI543" i="4"/>
  <c r="DK542" i="4"/>
  <c r="DG543" i="4"/>
  <c r="DG545" i="4" s="1"/>
  <c r="DA543" i="4"/>
  <c r="DA545" i="4" s="1"/>
  <c r="CO543" i="4"/>
  <c r="CO545" i="4" s="1"/>
  <c r="CK543" i="4"/>
  <c r="CJ542" i="4"/>
  <c r="CI542" i="4" s="1"/>
  <c r="CI545" i="4" s="1"/>
  <c r="CS540" i="4"/>
  <c r="CS539" i="4"/>
  <c r="DP538" i="4"/>
  <c r="DP540" i="4" s="1"/>
  <c r="DM538" i="4"/>
  <c r="DM540" i="4" s="1"/>
  <c r="DL538" i="4"/>
  <c r="DL540" i="4" s="1"/>
  <c r="DJ538" i="4"/>
  <c r="DJ540" i="4" s="1"/>
  <c r="DI538" i="4"/>
  <c r="DI540" i="4" s="1"/>
  <c r="DG538" i="4"/>
  <c r="DG540" i="4" s="1"/>
  <c r="DA538" i="4"/>
  <c r="DA540" i="4" s="1"/>
  <c r="CR538" i="4"/>
  <c r="CQ538" i="4"/>
  <c r="CO538" i="4"/>
  <c r="CO540" i="4" s="1"/>
  <c r="CP540" i="4" s="1"/>
  <c r="CN538" i="4"/>
  <c r="CK538" i="4"/>
  <c r="CI537" i="4"/>
  <c r="CI540" i="4" s="1"/>
  <c r="BI536" i="4"/>
  <c r="BM535" i="4"/>
  <c r="BO535" i="4" s="1"/>
  <c r="BI535" i="4"/>
  <c r="BI534" i="4"/>
  <c r="BK532" i="4"/>
  <c r="BJ532" i="4"/>
  <c r="BI532" i="4"/>
  <c r="BO531" i="4"/>
  <c r="BR531" i="4" s="1"/>
  <c r="BI531" i="4"/>
  <c r="BM530" i="4"/>
  <c r="BN530" i="4" s="1"/>
  <c r="BI530" i="4"/>
  <c r="BI529" i="4"/>
  <c r="BH529" i="4"/>
  <c r="BW527" i="4"/>
  <c r="BV527" i="4"/>
  <c r="BK527" i="4"/>
  <c r="BJ527" i="4"/>
  <c r="BI527" i="4"/>
  <c r="BI526" i="4"/>
  <c r="BM525" i="4"/>
  <c r="BM527" i="4" s="1"/>
  <c r="BI525" i="4"/>
  <c r="BI524" i="4"/>
  <c r="BH524" i="4"/>
  <c r="BZ522" i="4"/>
  <c r="BP522" i="4"/>
  <c r="BK522" i="4"/>
  <c r="BJ522" i="4"/>
  <c r="BI522" i="4"/>
  <c r="CD521" i="4"/>
  <c r="BX521" i="4"/>
  <c r="BI521" i="4"/>
  <c r="DM520" i="4"/>
  <c r="DL520" i="4"/>
  <c r="DJ520" i="4"/>
  <c r="DI520" i="4"/>
  <c r="DG520" i="4"/>
  <c r="CI520" i="4"/>
  <c r="CI522" i="4" s="1"/>
  <c r="CJ522" i="4" s="1"/>
  <c r="BY520" i="4"/>
  <c r="BY522" i="4" s="1"/>
  <c r="BS520" i="4"/>
  <c r="BT520" i="4" s="1"/>
  <c r="BT522" i="4" s="1"/>
  <c r="BQ520" i="4"/>
  <c r="BQ522" i="4" s="1"/>
  <c r="BM520" i="4"/>
  <c r="BI520" i="4"/>
  <c r="CC519" i="4"/>
  <c r="CC522" i="4" s="1"/>
  <c r="BI519" i="4"/>
  <c r="BH519" i="4"/>
  <c r="DM518" i="4"/>
  <c r="DL518" i="4"/>
  <c r="DJ518" i="4"/>
  <c r="DI518" i="4"/>
  <c r="DG518" i="4"/>
  <c r="CI517" i="4"/>
  <c r="CJ517" i="4" s="1"/>
  <c r="CE517" i="4"/>
  <c r="BZ517" i="4"/>
  <c r="BW517" i="4"/>
  <c r="BT517" i="4"/>
  <c r="BS517" i="4"/>
  <c r="BP517" i="4"/>
  <c r="BJ517" i="4"/>
  <c r="BI517" i="4"/>
  <c r="CD516" i="4"/>
  <c r="CB517" i="4" s="1"/>
  <c r="BI516" i="4"/>
  <c r="CF515" i="4"/>
  <c r="CF517" i="4" s="1"/>
  <c r="CC515" i="4"/>
  <c r="BY515" i="4"/>
  <c r="BY517" i="4" s="1"/>
  <c r="BV515" i="4"/>
  <c r="BV517" i="4" s="1"/>
  <c r="BQ515" i="4"/>
  <c r="BQ517" i="4" s="1"/>
  <c r="BK515" i="4"/>
  <c r="BI515" i="4"/>
  <c r="BI514" i="4"/>
  <c r="BH514" i="4"/>
  <c r="CB512" i="4"/>
  <c r="BZ512" i="4"/>
  <c r="BW512" i="4"/>
  <c r="BV512" i="4"/>
  <c r="BT512" i="4"/>
  <c r="BP512" i="4"/>
  <c r="BJ512" i="4"/>
  <c r="BI512" i="4"/>
  <c r="BI511" i="4"/>
  <c r="CI510" i="4"/>
  <c r="CI512" i="4" s="1"/>
  <c r="CF510" i="4"/>
  <c r="CF512" i="4" s="1"/>
  <c r="CE510" i="4"/>
  <c r="CE512" i="4" s="1"/>
  <c r="CC510" i="4"/>
  <c r="CC512" i="4" s="1"/>
  <c r="BY510" i="4"/>
  <c r="BY512" i="4" s="1"/>
  <c r="BS510" i="4"/>
  <c r="BS512" i="4" s="1"/>
  <c r="BQ510" i="4"/>
  <c r="BQ512" i="4" s="1"/>
  <c r="BN510" i="4"/>
  <c r="BN512" i="4" s="1"/>
  <c r="BM510" i="4"/>
  <c r="BM512" i="4" s="1"/>
  <c r="BK510" i="4"/>
  <c r="BK512" i="4" s="1"/>
  <c r="BI510" i="4"/>
  <c r="BI509" i="4"/>
  <c r="BH509" i="4"/>
  <c r="D507" i="4"/>
  <c r="CS506" i="4"/>
  <c r="CV506" i="4" s="1"/>
  <c r="CY506" i="4" s="1"/>
  <c r="DB506" i="4" s="1"/>
  <c r="DE506" i="4" s="1"/>
  <c r="DH506" i="4" s="1"/>
  <c r="DK506" i="4" s="1"/>
  <c r="DN506" i="4" s="1"/>
  <c r="DQ506" i="4" s="1"/>
  <c r="DT506" i="4" s="1"/>
  <c r="DW506" i="4" s="1"/>
  <c r="DZ506" i="4" s="1"/>
  <c r="EC506" i="4" s="1"/>
  <c r="EF506" i="4" s="1"/>
  <c r="EI506" i="4" s="1"/>
  <c r="EL506" i="4" s="1"/>
  <c r="EO506" i="4" s="1"/>
  <c r="ER506" i="4" s="1"/>
  <c r="EU506" i="4" s="1"/>
  <c r="CS503" i="4"/>
  <c r="CV503" i="4" s="1"/>
  <c r="CY503" i="4" s="1"/>
  <c r="DB503" i="4" s="1"/>
  <c r="DE503" i="4" s="1"/>
  <c r="DH503" i="4" s="1"/>
  <c r="DK503" i="4" s="1"/>
  <c r="DN503" i="4" s="1"/>
  <c r="DQ503" i="4" s="1"/>
  <c r="DT503" i="4" s="1"/>
  <c r="DW503" i="4" s="1"/>
  <c r="DZ503" i="4" s="1"/>
  <c r="EC503" i="4" s="1"/>
  <c r="EF503" i="4" s="1"/>
  <c r="EI503" i="4" s="1"/>
  <c r="EL503" i="4" s="1"/>
  <c r="EO503" i="4" s="1"/>
  <c r="ER503" i="4" s="1"/>
  <c r="EU503" i="4" s="1"/>
  <c r="EX503" i="4" s="1"/>
  <c r="FA503" i="4" s="1"/>
  <c r="CF502" i="4"/>
  <c r="CC502" i="4"/>
  <c r="BZ502" i="4"/>
  <c r="CU500" i="4"/>
  <c r="CX500" i="4" s="1"/>
  <c r="DA500" i="4" s="1"/>
  <c r="DD500" i="4" s="1"/>
  <c r="DG500" i="4" s="1"/>
  <c r="DJ500" i="4" s="1"/>
  <c r="DM500" i="4" s="1"/>
  <c r="DP500" i="4" s="1"/>
  <c r="DS500" i="4" s="1"/>
  <c r="DV500" i="4" s="1"/>
  <c r="DY500" i="4" s="1"/>
  <c r="EB500" i="4" s="1"/>
  <c r="EE500" i="4" s="1"/>
  <c r="EH500" i="4" s="1"/>
  <c r="EK500" i="4" s="1"/>
  <c r="EN500" i="4" s="1"/>
  <c r="EQ500" i="4" s="1"/>
  <c r="ET500" i="4" s="1"/>
  <c r="CT500" i="4"/>
  <c r="CT501" i="4" s="1"/>
  <c r="CS500" i="4"/>
  <c r="CV500" i="4" s="1"/>
  <c r="CY500" i="4" s="1"/>
  <c r="DB500" i="4" s="1"/>
  <c r="DE500" i="4" s="1"/>
  <c r="DH500" i="4" s="1"/>
  <c r="DK500" i="4" s="1"/>
  <c r="DN500" i="4" s="1"/>
  <c r="DQ500" i="4" s="1"/>
  <c r="DT500" i="4" s="1"/>
  <c r="DW500" i="4" s="1"/>
  <c r="DZ500" i="4" s="1"/>
  <c r="EC500" i="4" s="1"/>
  <c r="EF500" i="4" s="1"/>
  <c r="EI500" i="4" s="1"/>
  <c r="EL500" i="4" s="1"/>
  <c r="EO500" i="4" s="1"/>
  <c r="ER500" i="4" s="1"/>
  <c r="EU500" i="4" s="1"/>
  <c r="EX500" i="4" s="1"/>
  <c r="FA500" i="4" s="1"/>
  <c r="CF499" i="4"/>
  <c r="CC499" i="4"/>
  <c r="BZ499" i="4"/>
  <c r="DH111" i="4"/>
  <c r="DB111" i="4"/>
  <c r="CY111" i="4"/>
  <c r="CV111" i="4"/>
  <c r="CS111" i="4"/>
  <c r="CP111" i="4"/>
  <c r="CM111" i="4"/>
  <c r="CC162" i="4"/>
  <c r="BZ162" i="4"/>
  <c r="BW162" i="4"/>
  <c r="BT162" i="4"/>
  <c r="DM50" i="4"/>
  <c r="DJ50" i="4"/>
  <c r="DG159" i="4"/>
  <c r="DH159" i="4" s="1"/>
  <c r="DD159" i="4"/>
  <c r="DA159" i="4"/>
  <c r="DB159" i="4" s="1"/>
  <c r="CY159" i="4"/>
  <c r="CU159" i="4"/>
  <c r="CV159" i="4" s="1"/>
  <c r="CR159" i="4"/>
  <c r="CN159" i="4"/>
  <c r="CN50" i="4" s="1"/>
  <c r="CM159" i="4"/>
  <c r="CK159" i="4"/>
  <c r="CC159" i="4"/>
  <c r="CC495" i="4" s="1"/>
  <c r="BZ159" i="4"/>
  <c r="BZ495" i="4" s="1"/>
  <c r="BW159" i="4"/>
  <c r="BT159" i="4"/>
  <c r="BT50" i="4" s="1"/>
  <c r="CC158" i="4"/>
  <c r="BY158" i="4"/>
  <c r="BZ158" i="4" s="1"/>
  <c r="BX158" i="4"/>
  <c r="BV158" i="4"/>
  <c r="BU158" i="4"/>
  <c r="BS158" i="4"/>
  <c r="CC157" i="4"/>
  <c r="CC496" i="4" s="1"/>
  <c r="BZ157" i="4"/>
  <c r="BZ496" i="4" s="1"/>
  <c r="BW157" i="4"/>
  <c r="BW496" i="4" s="1"/>
  <c r="BT157" i="4"/>
  <c r="BT496" i="4" s="1"/>
  <c r="CQ153" i="4"/>
  <c r="CO153" i="4"/>
  <c r="CC153" i="4"/>
  <c r="CA153" i="4"/>
  <c r="BZ153" i="4" s="1"/>
  <c r="BW153" i="4"/>
  <c r="BT153" i="4"/>
  <c r="EQ152" i="4"/>
  <c r="EP152" i="4"/>
  <c r="EN152" i="4"/>
  <c r="EM152" i="4"/>
  <c r="EK152" i="4"/>
  <c r="EJ152" i="4"/>
  <c r="EH152" i="4"/>
  <c r="EG152" i="4"/>
  <c r="EE152" i="4"/>
  <c r="ED152" i="4"/>
  <c r="DF152" i="4"/>
  <c r="DA152" i="4"/>
  <c r="CE152" i="4"/>
  <c r="CE494" i="4" s="1"/>
  <c r="CE495" i="4"/>
  <c r="CE496" i="4"/>
  <c r="CE151" i="4"/>
  <c r="CD151" i="4"/>
  <c r="CB151" i="4"/>
  <c r="BY151" i="4"/>
  <c r="BX151" i="4"/>
  <c r="BV151" i="4"/>
  <c r="BU151" i="4"/>
  <c r="BS151" i="4"/>
  <c r="CO148" i="4"/>
  <c r="CL148" i="4"/>
  <c r="CI148" i="4"/>
  <c r="CF148" i="4"/>
  <c r="CC148" i="4"/>
  <c r="BZ148" i="4"/>
  <c r="BW148" i="4"/>
  <c r="BT148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CO141" i="4"/>
  <c r="CL141" i="4"/>
  <c r="CI141" i="4"/>
  <c r="CF141" i="4"/>
  <c r="CC141" i="4"/>
  <c r="BZ141" i="4"/>
  <c r="BW141" i="4"/>
  <c r="BT141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CR138" i="4"/>
  <c r="CP138" i="4"/>
  <c r="CO138" i="4" s="1"/>
  <c r="CL138" i="4"/>
  <c r="CI138" i="4"/>
  <c r="CF138" i="4"/>
  <c r="CC138" i="4"/>
  <c r="BZ138" i="4"/>
  <c r="BW138" i="4"/>
  <c r="BT138" i="4"/>
  <c r="BK136" i="4"/>
  <c r="BJ136" i="4"/>
  <c r="BH136" i="4"/>
  <c r="BG136" i="4"/>
  <c r="BE136" i="4"/>
  <c r="BD136" i="4"/>
  <c r="BB136" i="4"/>
  <c r="BA136" i="4"/>
  <c r="CE135" i="4"/>
  <c r="CD135" i="4"/>
  <c r="CB135" i="4"/>
  <c r="CA135" i="4"/>
  <c r="BY135" i="4"/>
  <c r="BV135" i="4"/>
  <c r="BW135" i="4" s="1"/>
  <c r="BU135" i="4"/>
  <c r="BS135" i="4"/>
  <c r="CO132" i="4"/>
  <c r="CL132" i="4"/>
  <c r="CI132" i="4"/>
  <c r="CF132" i="4"/>
  <c r="CC132" i="4"/>
  <c r="BZ132" i="4"/>
  <c r="BW132" i="4"/>
  <c r="BT132" i="4"/>
  <c r="BL130" i="4"/>
  <c r="BK130" i="4"/>
  <c r="BJ130" i="4"/>
  <c r="BI130" i="4"/>
  <c r="BH130" i="4"/>
  <c r="BG130" i="4"/>
  <c r="BF130" i="4"/>
  <c r="BE130" i="4"/>
  <c r="BD130" i="4"/>
  <c r="BB130" i="4"/>
  <c r="BA130" i="4"/>
  <c r="CC129" i="4"/>
  <c r="BY129" i="4"/>
  <c r="BZ129" i="4" s="1"/>
  <c r="BX129" i="4"/>
  <c r="BV129" i="4"/>
  <c r="BU129" i="4"/>
  <c r="BS129" i="4"/>
  <c r="CR126" i="4"/>
  <c r="CO126" i="4"/>
  <c r="CL126" i="4"/>
  <c r="CI126" i="4"/>
  <c r="CF126" i="4"/>
  <c r="CC126" i="4"/>
  <c r="BZ126" i="4"/>
  <c r="BW126" i="4"/>
  <c r="BT126" i="4"/>
  <c r="CR121" i="4"/>
  <c r="CR118" i="4"/>
  <c r="CD496" i="4"/>
  <c r="CB496" i="4"/>
  <c r="CA496" i="4"/>
  <c r="BY496" i="4"/>
  <c r="BX496" i="4"/>
  <c r="BV496" i="4"/>
  <c r="BU496" i="4"/>
  <c r="BS496" i="4"/>
  <c r="CD495" i="4"/>
  <c r="CB495" i="4"/>
  <c r="CA495" i="4"/>
  <c r="BY495" i="4"/>
  <c r="BX495" i="4"/>
  <c r="BV495" i="4"/>
  <c r="BU495" i="4"/>
  <c r="BS495" i="4"/>
  <c r="CE489" i="4"/>
  <c r="CE46" i="4" s="1"/>
  <c r="CC489" i="4"/>
  <c r="CC46" i="4" s="1"/>
  <c r="CB489" i="4"/>
  <c r="CB46" i="4" s="1"/>
  <c r="BZ489" i="4"/>
  <c r="BY489" i="4"/>
  <c r="BY46" i="4" s="1"/>
  <c r="BW489" i="4"/>
  <c r="BW46" i="4" s="1"/>
  <c r="BV489" i="4"/>
  <c r="BV46" i="4" s="1"/>
  <c r="BS489" i="4"/>
  <c r="BS46" i="4" s="1"/>
  <c r="BS57" i="4" s="1"/>
  <c r="BT489" i="4"/>
  <c r="EE487" i="4"/>
  <c r="EB487" i="4"/>
  <c r="CD486" i="4"/>
  <c r="CA486" i="4"/>
  <c r="BX486" i="4"/>
  <c r="BU486" i="4"/>
  <c r="EA484" i="4"/>
  <c r="EB484" i="4" s="1"/>
  <c r="CD483" i="4"/>
  <c r="CA483" i="4"/>
  <c r="BX483" i="4"/>
  <c r="BU483" i="4"/>
  <c r="EQ480" i="4"/>
  <c r="EN480" i="4"/>
  <c r="EK480" i="4"/>
  <c r="EH480" i="4"/>
  <c r="EE480" i="4"/>
  <c r="EB480" i="4"/>
  <c r="CD479" i="4"/>
  <c r="CA479" i="4"/>
  <c r="BX479" i="4"/>
  <c r="BU479" i="4"/>
  <c r="BD469" i="4"/>
  <c r="BD471" i="4"/>
  <c r="BD473" i="4"/>
  <c r="C472" i="4"/>
  <c r="C474" i="4" s="1"/>
  <c r="BQ473" i="4"/>
  <c r="BP473" i="4"/>
  <c r="BN473" i="4"/>
  <c r="BM473" i="4"/>
  <c r="BK473" i="4"/>
  <c r="BJ473" i="4"/>
  <c r="BH473" i="4"/>
  <c r="BG473" i="4"/>
  <c r="BE473" i="4"/>
  <c r="BB473" i="4"/>
  <c r="BA473" i="4"/>
  <c r="BK471" i="4"/>
  <c r="BJ471" i="4"/>
  <c r="BH471" i="4"/>
  <c r="BG471" i="4"/>
  <c r="BE471" i="4"/>
  <c r="BB471" i="4"/>
  <c r="BA471" i="4"/>
  <c r="BK469" i="4"/>
  <c r="BJ469" i="4"/>
  <c r="BH469" i="4"/>
  <c r="BG469" i="4"/>
  <c r="BE469" i="4"/>
  <c r="BB469" i="4"/>
  <c r="BA469" i="4"/>
  <c r="BK463" i="4"/>
  <c r="BJ463" i="4"/>
  <c r="BH463" i="4"/>
  <c r="BG463" i="4"/>
  <c r="BD463" i="4"/>
  <c r="BE463" i="4"/>
  <c r="BB463" i="4"/>
  <c r="BA463" i="4"/>
  <c r="C462" i="4"/>
  <c r="C464" i="4" s="1"/>
  <c r="BK461" i="4"/>
  <c r="BJ461" i="4"/>
  <c r="BH461" i="4"/>
  <c r="BG461" i="4"/>
  <c r="BE461" i="4"/>
  <c r="BD461" i="4"/>
  <c r="BB461" i="4"/>
  <c r="BA461" i="4"/>
  <c r="BK459" i="4"/>
  <c r="BJ459" i="4"/>
  <c r="BH459" i="4"/>
  <c r="BG459" i="4"/>
  <c r="BE459" i="4"/>
  <c r="BD459" i="4"/>
  <c r="BB459" i="4"/>
  <c r="BA459" i="4"/>
  <c r="BK452" i="4"/>
  <c r="BJ452" i="4"/>
  <c r="BH452" i="4"/>
  <c r="BG452" i="4"/>
  <c r="BE452" i="4"/>
  <c r="BD452" i="4"/>
  <c r="BB452" i="4"/>
  <c r="BA452" i="4"/>
  <c r="C451" i="4"/>
  <c r="C453" i="4" s="1"/>
  <c r="BK450" i="4"/>
  <c r="BJ450" i="4"/>
  <c r="BH450" i="4"/>
  <c r="BG450" i="4"/>
  <c r="BE450" i="4"/>
  <c r="BD450" i="4"/>
  <c r="BB450" i="4"/>
  <c r="BA450" i="4"/>
  <c r="BK448" i="4"/>
  <c r="BJ448" i="4"/>
  <c r="BH448" i="4"/>
  <c r="BG448" i="4"/>
  <c r="BE448" i="4"/>
  <c r="BD448" i="4"/>
  <c r="BB448" i="4"/>
  <c r="BA448" i="4"/>
  <c r="DG442" i="4"/>
  <c r="BK442" i="4"/>
  <c r="BJ442" i="4"/>
  <c r="BH442" i="4"/>
  <c r="BG442" i="4"/>
  <c r="BE442" i="4"/>
  <c r="BD442" i="4"/>
  <c r="BB442" i="4"/>
  <c r="BA442" i="4"/>
  <c r="C441" i="4"/>
  <c r="C443" i="4" s="1"/>
  <c r="BK440" i="4"/>
  <c r="BJ440" i="4"/>
  <c r="BH440" i="4"/>
  <c r="BG440" i="4"/>
  <c r="BE440" i="4"/>
  <c r="BD440" i="4"/>
  <c r="BB440" i="4"/>
  <c r="BA440" i="4"/>
  <c r="BK438" i="4"/>
  <c r="BJ438" i="4"/>
  <c r="BH438" i="4"/>
  <c r="BG438" i="4"/>
  <c r="BE438" i="4"/>
  <c r="BD438" i="4"/>
  <c r="BB438" i="4"/>
  <c r="BA438" i="4"/>
  <c r="BK433" i="4"/>
  <c r="BJ433" i="4"/>
  <c r="BH433" i="4"/>
  <c r="BG433" i="4"/>
  <c r="BE433" i="4"/>
  <c r="BD433" i="4"/>
  <c r="BB433" i="4"/>
  <c r="BA433" i="4"/>
  <c r="C432" i="4"/>
  <c r="C434" i="4" s="1"/>
  <c r="BK431" i="4"/>
  <c r="BJ431" i="4"/>
  <c r="BH431" i="4"/>
  <c r="BG431" i="4"/>
  <c r="BE431" i="4"/>
  <c r="BD431" i="4"/>
  <c r="BB431" i="4"/>
  <c r="BA431" i="4"/>
  <c r="BK429" i="4"/>
  <c r="BJ429" i="4"/>
  <c r="BH429" i="4"/>
  <c r="BG429" i="4"/>
  <c r="BE429" i="4"/>
  <c r="BD429" i="4"/>
  <c r="BB429" i="4"/>
  <c r="BA429" i="4"/>
  <c r="CR420" i="4"/>
  <c r="BW418" i="4"/>
  <c r="BT418" i="4"/>
  <c r="CU414" i="4"/>
  <c r="CW414" i="4" s="1"/>
  <c r="CQ414" i="4"/>
  <c r="CR414" i="4" s="1"/>
  <c r="CL414" i="4"/>
  <c r="CF414" i="4"/>
  <c r="CH414" i="4" s="1"/>
  <c r="CI414" i="4" s="1"/>
  <c r="BQ414" i="4"/>
  <c r="BP414" i="4"/>
  <c r="BP345" i="4" s="1"/>
  <c r="ED410" i="4"/>
  <c r="EG410" i="4" s="1"/>
  <c r="EJ410" i="4" s="1"/>
  <c r="EM410" i="4" s="1"/>
  <c r="EP410" i="4" s="1"/>
  <c r="ES410" i="4" s="1"/>
  <c r="CT410" i="4"/>
  <c r="CW410" i="4" s="1"/>
  <c r="CZ410" i="4" s="1"/>
  <c r="DC410" i="4" s="1"/>
  <c r="DF410" i="4" s="1"/>
  <c r="CI410" i="4"/>
  <c r="CL410" i="4" s="1"/>
  <c r="CO410" i="4" s="1"/>
  <c r="CR410" i="4" s="1"/>
  <c r="CU410" i="4" s="1"/>
  <c r="CX410" i="4" s="1"/>
  <c r="DA410" i="4" s="1"/>
  <c r="DD410" i="4" s="1"/>
  <c r="DG410" i="4" s="1"/>
  <c r="CH410" i="4"/>
  <c r="CK410" i="4" s="1"/>
  <c r="CN410" i="4" s="1"/>
  <c r="BP410" i="4"/>
  <c r="BP338" i="4" s="1"/>
  <c r="BN410" i="4"/>
  <c r="BQ410" i="4" s="1"/>
  <c r="BQ338" i="4" s="1"/>
  <c r="EB406" i="4"/>
  <c r="BP406" i="4"/>
  <c r="BN406" i="4"/>
  <c r="BQ406" i="4" s="1"/>
  <c r="CC395" i="4"/>
  <c r="CC397" i="4" s="1"/>
  <c r="CB395" i="4"/>
  <c r="BZ395" i="4"/>
  <c r="BY395" i="4"/>
  <c r="BY397" i="4" s="1"/>
  <c r="BY398" i="4" s="1"/>
  <c r="BW395" i="4"/>
  <c r="BW397" i="4" s="1"/>
  <c r="BW398" i="4" s="1"/>
  <c r="BV395" i="4"/>
  <c r="BV397" i="4" s="1"/>
  <c r="BS395" i="4"/>
  <c r="BT395" i="4"/>
  <c r="BT397" i="4" s="1"/>
  <c r="BT398" i="4" s="1"/>
  <c r="BQ395" i="4"/>
  <c r="BQ397" i="4" s="1"/>
  <c r="BP395" i="4"/>
  <c r="BP397" i="4" s="1"/>
  <c r="BN395" i="4"/>
  <c r="BN397" i="4" s="1"/>
  <c r="BM395" i="4"/>
  <c r="BM397" i="4" s="1"/>
  <c r="EA393" i="4"/>
  <c r="CD393" i="4"/>
  <c r="CC393" i="4"/>
  <c r="CB393" i="4"/>
  <c r="CA393" i="4"/>
  <c r="BZ393" i="4"/>
  <c r="BY393" i="4"/>
  <c r="BX393" i="4"/>
  <c r="BW393" i="4"/>
  <c r="BV393" i="4"/>
  <c r="BU393" i="4"/>
  <c r="BT393" i="4"/>
  <c r="BS393" i="4"/>
  <c r="BR393" i="4"/>
  <c r="BQ393" i="4"/>
  <c r="BP393" i="4"/>
  <c r="EA384" i="4"/>
  <c r="ED384" i="4" s="1"/>
  <c r="EG384" i="4" s="1"/>
  <c r="EJ384" i="4" s="1"/>
  <c r="EM384" i="4" s="1"/>
  <c r="EP384" i="4" s="1"/>
  <c r="ES384" i="4" s="1"/>
  <c r="EV384" i="4" s="1"/>
  <c r="EY384" i="4" s="1"/>
  <c r="CI384" i="4"/>
  <c r="CC384" i="4"/>
  <c r="BZ384" i="4"/>
  <c r="BW384" i="4"/>
  <c r="BT384" i="4"/>
  <c r="BQ383" i="4"/>
  <c r="BQ305" i="4" s="1"/>
  <c r="ED376" i="4"/>
  <c r="EB376" i="4"/>
  <c r="EB393" i="4" s="1"/>
  <c r="ET369" i="4"/>
  <c r="EW369" i="4" s="1"/>
  <c r="EZ369" i="4" s="1"/>
  <c r="ES369" i="4"/>
  <c r="EV369" i="4" s="1"/>
  <c r="EY369" i="4" s="1"/>
  <c r="CV369" i="4"/>
  <c r="CG357" i="4"/>
  <c r="CD357" i="4"/>
  <c r="BX357" i="4"/>
  <c r="BU357" i="4"/>
  <c r="BO357" i="4"/>
  <c r="BL357" i="4"/>
  <c r="BK356" i="4"/>
  <c r="CE355" i="4"/>
  <c r="BE354" i="4"/>
  <c r="BE163" i="4" s="1"/>
  <c r="BD354" i="4"/>
  <c r="BB354" i="4"/>
  <c r="BA354" i="4"/>
  <c r="CR353" i="4"/>
  <c r="CO353" i="4"/>
  <c r="CL353" i="4"/>
  <c r="CI353" i="4"/>
  <c r="CF353" i="4"/>
  <c r="CC353" i="4"/>
  <c r="BZ353" i="4"/>
  <c r="BV353" i="4"/>
  <c r="BW353" i="4" s="1"/>
  <c r="BT353" i="4"/>
  <c r="CU349" i="4"/>
  <c r="CR349" i="4"/>
  <c r="CP349" i="4"/>
  <c r="CO349" i="4" s="1"/>
  <c r="CL349" i="4"/>
  <c r="CI349" i="4"/>
  <c r="CF349" i="4"/>
  <c r="CC349" i="4"/>
  <c r="BZ349" i="4"/>
  <c r="BW349" i="4"/>
  <c r="BT349" i="4"/>
  <c r="CH345" i="4"/>
  <c r="CK345" i="4" s="1"/>
  <c r="CN345" i="4" s="1"/>
  <c r="CQ345" i="4" s="1"/>
  <c r="CT345" i="4" s="1"/>
  <c r="CW345" i="4" s="1"/>
  <c r="CZ345" i="4" s="1"/>
  <c r="DC345" i="4" s="1"/>
  <c r="DF345" i="4" s="1"/>
  <c r="CF345" i="4"/>
  <c r="CI345" i="4" s="1"/>
  <c r="CL345" i="4" s="1"/>
  <c r="CO345" i="4" s="1"/>
  <c r="CR345" i="4" s="1"/>
  <c r="CU345" i="4" s="1"/>
  <c r="CX345" i="4" s="1"/>
  <c r="DA345" i="4" s="1"/>
  <c r="DD345" i="4" s="1"/>
  <c r="BZ345" i="4"/>
  <c r="BY345" i="4"/>
  <c r="BW345" i="4"/>
  <c r="BV345" i="4"/>
  <c r="BT345" i="4"/>
  <c r="BS345" i="4"/>
  <c r="BN345" i="4"/>
  <c r="BM345" i="4"/>
  <c r="BM338" i="4"/>
  <c r="C335" i="4"/>
  <c r="DG334" i="4"/>
  <c r="DG440" i="4" s="1"/>
  <c r="BZ333" i="4"/>
  <c r="BY333" i="4"/>
  <c r="BW333" i="4"/>
  <c r="BV333" i="4"/>
  <c r="BT333" i="4"/>
  <c r="BS333" i="4"/>
  <c r="BM333" i="4"/>
  <c r="CC317" i="4"/>
  <c r="CB317" i="4"/>
  <c r="CB320" i="4" s="1"/>
  <c r="CB321" i="4" s="1"/>
  <c r="BZ317" i="4"/>
  <c r="BZ320" i="4" s="1"/>
  <c r="BW317" i="4"/>
  <c r="BY317" i="4"/>
  <c r="BV317" i="4"/>
  <c r="BV320" i="4" s="1"/>
  <c r="BT317" i="4"/>
  <c r="BS317" i="4"/>
  <c r="BS320" i="4" s="1"/>
  <c r="BS321" i="4" s="1"/>
  <c r="BQ317" i="4"/>
  <c r="BN317" i="4"/>
  <c r="BN320" i="4" s="1"/>
  <c r="BM317" i="4"/>
  <c r="BN305" i="4"/>
  <c r="BM305" i="4"/>
  <c r="BN295" i="4"/>
  <c r="BM295" i="4"/>
  <c r="CI291" i="4"/>
  <c r="CH291" i="4"/>
  <c r="CF291" i="4"/>
  <c r="CE291" i="4"/>
  <c r="CC291" i="4"/>
  <c r="CB291" i="4"/>
  <c r="BZ291" i="4"/>
  <c r="BY291" i="4"/>
  <c r="BW291" i="4"/>
  <c r="BV291" i="4"/>
  <c r="BT291" i="4"/>
  <c r="BS291" i="4"/>
  <c r="CV287" i="4"/>
  <c r="BN276" i="4"/>
  <c r="BN363" i="4" s="1"/>
  <c r="BO363" i="4" s="1"/>
  <c r="B272" i="4"/>
  <c r="BE270" i="4"/>
  <c r="BE260" i="4" s="1"/>
  <c r="BE262" i="4" s="1"/>
  <c r="BB270" i="4"/>
  <c r="BB260" i="4" s="1"/>
  <c r="BA270" i="4"/>
  <c r="BA260" i="4" s="1"/>
  <c r="BU268" i="4"/>
  <c r="BP268" i="4"/>
  <c r="BG268" i="4"/>
  <c r="BF268" i="4"/>
  <c r="BE268" i="4"/>
  <c r="BD268" i="4"/>
  <c r="BE266" i="4"/>
  <c r="BC265" i="4"/>
  <c r="CR264" i="4"/>
  <c r="CP264" i="4"/>
  <c r="CO264" i="4" s="1"/>
  <c r="CL264" i="4"/>
  <c r="CI264" i="4"/>
  <c r="CF264" i="4"/>
  <c r="CC264" i="4"/>
  <c r="BZ264" i="4"/>
  <c r="BW264" i="4"/>
  <c r="BU264" i="4"/>
  <c r="BT264" i="4" s="1"/>
  <c r="CU258" i="4"/>
  <c r="CR258" i="4"/>
  <c r="CP258" i="4"/>
  <c r="CO258" i="4" s="1"/>
  <c r="CL258" i="4"/>
  <c r="CI258" i="4"/>
  <c r="CF258" i="4"/>
  <c r="CC258" i="4"/>
  <c r="BZ258" i="4"/>
  <c r="BW258" i="4"/>
  <c r="BT258" i="4"/>
  <c r="BT254" i="4"/>
  <c r="BN254" i="4"/>
  <c r="BM254" i="4"/>
  <c r="C249" i="4"/>
  <c r="CF247" i="4"/>
  <c r="BW247" i="4"/>
  <c r="BM247" i="4"/>
  <c r="C244" i="4"/>
  <c r="DG243" i="4"/>
  <c r="DG438" i="4" s="1"/>
  <c r="BZ242" i="4"/>
  <c r="BY242" i="4"/>
  <c r="BW242" i="4"/>
  <c r="BV242" i="4"/>
  <c r="BT242" i="4"/>
  <c r="BS242" i="4"/>
  <c r="BM242" i="4"/>
  <c r="CC225" i="4"/>
  <c r="CB225" i="4"/>
  <c r="CB228" i="4" s="1"/>
  <c r="BZ225" i="4"/>
  <c r="BZ228" i="4" s="1"/>
  <c r="BY225" i="4"/>
  <c r="BY228" i="4" s="1"/>
  <c r="BY229" i="4" s="1"/>
  <c r="BV225" i="4"/>
  <c r="BV228" i="4" s="1"/>
  <c r="BW225" i="4"/>
  <c r="BT225" i="4"/>
  <c r="BT228" i="4" s="1"/>
  <c r="BT229" i="4" s="1"/>
  <c r="BS225" i="4"/>
  <c r="BS228" i="4" s="1"/>
  <c r="BS231" i="4" s="1"/>
  <c r="BS232" i="4" s="1"/>
  <c r="BQ225" i="4"/>
  <c r="BP225" i="4"/>
  <c r="BP228" i="4" s="1"/>
  <c r="BN225" i="4"/>
  <c r="BN228" i="4" s="1"/>
  <c r="BN231" i="4" s="1"/>
  <c r="BN232" i="4" s="1"/>
  <c r="BM225" i="4"/>
  <c r="BN213" i="4"/>
  <c r="BM213" i="4"/>
  <c r="BN203" i="4"/>
  <c r="BM203" i="4"/>
  <c r="CR198" i="4"/>
  <c r="CH198" i="4"/>
  <c r="CI198" i="4"/>
  <c r="CF198" i="4"/>
  <c r="CE198" i="4"/>
  <c r="CC198" i="4"/>
  <c r="CB198" i="4"/>
  <c r="BZ198" i="4"/>
  <c r="BY198" i="4"/>
  <c r="BW198" i="4"/>
  <c r="BV198" i="4"/>
  <c r="BT198" i="4"/>
  <c r="BS198" i="4"/>
  <c r="CV194" i="4"/>
  <c r="BE178" i="4"/>
  <c r="BE180" i="4" s="1"/>
  <c r="B180" i="4"/>
  <c r="BB178" i="4"/>
  <c r="BB168" i="4" s="1"/>
  <c r="BA178" i="4"/>
  <c r="BA168" i="4" s="1"/>
  <c r="DH176" i="4"/>
  <c r="CY176" i="4"/>
  <c r="CV176" i="4"/>
  <c r="CS176" i="4"/>
  <c r="CP176" i="4"/>
  <c r="CJ176" i="4"/>
  <c r="CJ357" i="4" s="1"/>
  <c r="CG176" i="4"/>
  <c r="CD176" i="4"/>
  <c r="BX176" i="4"/>
  <c r="BU176" i="4"/>
  <c r="BG176" i="4"/>
  <c r="BF176" i="4"/>
  <c r="BE176" i="4"/>
  <c r="BD176" i="4"/>
  <c r="BH175" i="4"/>
  <c r="BU174" i="4"/>
  <c r="BO174" i="4"/>
  <c r="BE174" i="4"/>
  <c r="BH173" i="4"/>
  <c r="BK173" i="4" s="1"/>
  <c r="BN173" i="4" s="1"/>
  <c r="BD173" i="4"/>
  <c r="BG173" i="4" s="1"/>
  <c r="BC173" i="4"/>
  <c r="CR88" i="4"/>
  <c r="CQ88" i="4"/>
  <c r="CP88" i="4"/>
  <c r="CO88" i="4"/>
  <c r="CN88" i="4"/>
  <c r="CM88" i="4"/>
  <c r="CL88" i="4"/>
  <c r="CK88" i="4"/>
  <c r="CJ88" i="4"/>
  <c r="CI88" i="4"/>
  <c r="CH88" i="4"/>
  <c r="CG88" i="4"/>
  <c r="CF88" i="4"/>
  <c r="CE88" i="4"/>
  <c r="CD88" i="4"/>
  <c r="CC88" i="4"/>
  <c r="CB88" i="4"/>
  <c r="CA88" i="4"/>
  <c r="BZ88" i="4"/>
  <c r="BY88" i="4"/>
  <c r="BX88" i="4"/>
  <c r="BW88" i="4"/>
  <c r="BV88" i="4"/>
  <c r="DQ87" i="4"/>
  <c r="CS87" i="4"/>
  <c r="CS88" i="4" s="1"/>
  <c r="BQ87" i="4"/>
  <c r="BP87" i="4"/>
  <c r="BS88" i="4" s="1"/>
  <c r="BN87" i="4"/>
  <c r="BM87" i="4"/>
  <c r="DS85" i="4"/>
  <c r="DR85" i="4"/>
  <c r="DO85" i="4"/>
  <c r="CR85" i="4"/>
  <c r="CQ85" i="4"/>
  <c r="CP85" i="4"/>
  <c r="CO85" i="4"/>
  <c r="CN85" i="4"/>
  <c r="CM85" i="4"/>
  <c r="CL85" i="4"/>
  <c r="CK85" i="4"/>
  <c r="CJ85" i="4"/>
  <c r="CI85" i="4"/>
  <c r="CA85" i="4"/>
  <c r="BZ85" i="4"/>
  <c r="BY85" i="4"/>
  <c r="BX85" i="4"/>
  <c r="BW85" i="4"/>
  <c r="BV85" i="4"/>
  <c r="DQ84" i="4"/>
  <c r="CS84" i="4"/>
  <c r="CS85" i="4" s="1"/>
  <c r="BQ84" i="4"/>
  <c r="BN84" i="4"/>
  <c r="BM84" i="4"/>
  <c r="DR82" i="4"/>
  <c r="DO82" i="4"/>
  <c r="CR82" i="4"/>
  <c r="CQ82" i="4"/>
  <c r="CP82" i="4"/>
  <c r="CO82" i="4"/>
  <c r="CN82" i="4"/>
  <c r="CM82" i="4"/>
  <c r="CL82" i="4"/>
  <c r="CK82" i="4"/>
  <c r="CJ82" i="4"/>
  <c r="CI82" i="4"/>
  <c r="CA82" i="4"/>
  <c r="BZ82" i="4"/>
  <c r="BY82" i="4"/>
  <c r="BX82" i="4"/>
  <c r="BW82" i="4"/>
  <c r="BV82" i="4"/>
  <c r="DQ81" i="4"/>
  <c r="DM81" i="4"/>
  <c r="DN81" i="4" s="1"/>
  <c r="CT81" i="4"/>
  <c r="CS81" i="4"/>
  <c r="CS82" i="4" s="1"/>
  <c r="BQ81" i="4"/>
  <c r="BR81" i="4" s="1"/>
  <c r="BU82" i="4" s="1"/>
  <c r="BN81" i="4"/>
  <c r="BM81" i="4"/>
  <c r="DP79" i="4"/>
  <c r="DO79" i="4"/>
  <c r="DM79" i="4"/>
  <c r="DL79" i="4"/>
  <c r="DJ79" i="4"/>
  <c r="DG79" i="4"/>
  <c r="DD79" i="4"/>
  <c r="DC79" i="4"/>
  <c r="CU79" i="4"/>
  <c r="CT79" i="4"/>
  <c r="CR79" i="4"/>
  <c r="CQ79" i="4"/>
  <c r="CP79" i="4"/>
  <c r="CO79" i="4"/>
  <c r="CN79" i="4"/>
  <c r="CM79" i="4"/>
  <c r="CL79" i="4"/>
  <c r="CK79" i="4"/>
  <c r="CJ79" i="4"/>
  <c r="CI79" i="4"/>
  <c r="CA79" i="4"/>
  <c r="BZ79" i="4"/>
  <c r="BY79" i="4"/>
  <c r="BX79" i="4"/>
  <c r="BW79" i="4"/>
  <c r="BV79" i="4"/>
  <c r="BT79" i="4"/>
  <c r="BQ79" i="4"/>
  <c r="BN79" i="4"/>
  <c r="BM79" i="4"/>
  <c r="BK79" i="4"/>
  <c r="BJ79" i="4"/>
  <c r="BH79" i="4"/>
  <c r="BG79" i="4"/>
  <c r="DQ78" i="4"/>
  <c r="DN78" i="4"/>
  <c r="DK78" i="4"/>
  <c r="DE78" i="4"/>
  <c r="DB78" i="4"/>
  <c r="CY78" i="4"/>
  <c r="CV78" i="4"/>
  <c r="CS78" i="4"/>
  <c r="CS79" i="4" s="1"/>
  <c r="BP78" i="4"/>
  <c r="BP79" i="4" s="1"/>
  <c r="BO78" i="4"/>
  <c r="BL78" i="4"/>
  <c r="BI78" i="4"/>
  <c r="BF78" i="4"/>
  <c r="DS76" i="4"/>
  <c r="DR76" i="4"/>
  <c r="DP76" i="4"/>
  <c r="DO76" i="4"/>
  <c r="DM76" i="4"/>
  <c r="DL76" i="4"/>
  <c r="DJ76" i="4"/>
  <c r="DG76" i="4"/>
  <c r="DD76" i="4"/>
  <c r="CU76" i="4"/>
  <c r="CR76" i="4"/>
  <c r="CQ76" i="4"/>
  <c r="CP76" i="4"/>
  <c r="CO76" i="4"/>
  <c r="CN76" i="4"/>
  <c r="CM76" i="4"/>
  <c r="CL76" i="4"/>
  <c r="CK76" i="4"/>
  <c r="CJ76" i="4"/>
  <c r="CI76" i="4"/>
  <c r="CA76" i="4"/>
  <c r="BZ76" i="4"/>
  <c r="BY76" i="4"/>
  <c r="BX76" i="4"/>
  <c r="BW76" i="4"/>
  <c r="BV76" i="4"/>
  <c r="BT76" i="4"/>
  <c r="BS76" i="4"/>
  <c r="BQ76" i="4"/>
  <c r="BP76" i="4"/>
  <c r="BN76" i="4"/>
  <c r="BM76" i="4"/>
  <c r="BK76" i="4"/>
  <c r="BJ76" i="4"/>
  <c r="BH76" i="4"/>
  <c r="BG76" i="4"/>
  <c r="DT75" i="4"/>
  <c r="DQ75" i="4"/>
  <c r="DN75" i="4"/>
  <c r="DK75" i="4"/>
  <c r="DE75" i="4"/>
  <c r="DB75" i="4"/>
  <c r="CY75" i="4"/>
  <c r="CS75" i="4"/>
  <c r="CS76" i="4" s="1"/>
  <c r="BR75" i="4"/>
  <c r="BU76" i="4" s="1"/>
  <c r="BO75" i="4"/>
  <c r="BL75" i="4"/>
  <c r="BI75" i="4"/>
  <c r="BF75" i="4"/>
  <c r="E68" i="4"/>
  <c r="BG67" i="4"/>
  <c r="BR66" i="4"/>
  <c r="BO66" i="4"/>
  <c r="BM66" i="4"/>
  <c r="BL66" i="4"/>
  <c r="BJ66" i="4"/>
  <c r="BI66" i="4"/>
  <c r="BG66" i="4"/>
  <c r="BF66" i="4"/>
  <c r="BD66" i="4"/>
  <c r="E66" i="4"/>
  <c r="BR65" i="4"/>
  <c r="BO65" i="4"/>
  <c r="BM65" i="4"/>
  <c r="BL65" i="4"/>
  <c r="BJ65" i="4"/>
  <c r="BI65" i="4"/>
  <c r="BG65" i="4"/>
  <c r="BF65" i="4"/>
  <c r="BD65" i="4"/>
  <c r="E65" i="4"/>
  <c r="BR64" i="4"/>
  <c r="BO64" i="4"/>
  <c r="BM64" i="4"/>
  <c r="BL64" i="4"/>
  <c r="BJ64" i="4"/>
  <c r="BG64" i="4"/>
  <c r="BF64" i="4"/>
  <c r="BD64" i="4"/>
  <c r="E64" i="4"/>
  <c r="CF63" i="4"/>
  <c r="CE63" i="4"/>
  <c r="BU63" i="4"/>
  <c r="BT63" i="4"/>
  <c r="BS63" i="4"/>
  <c r="BR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AZ63" i="4"/>
  <c r="AY63" i="4"/>
  <c r="AX63" i="4"/>
  <c r="AS63" i="4"/>
  <c r="AR63" i="4"/>
  <c r="AZ58" i="4"/>
  <c r="AY58" i="4"/>
  <c r="AX58" i="4"/>
  <c r="AS58" i="4"/>
  <c r="AR58" i="4"/>
  <c r="BR57" i="4"/>
  <c r="BP57" i="4"/>
  <c r="BO57" i="4"/>
  <c r="BM57" i="4"/>
  <c r="BJ57" i="4"/>
  <c r="BG57" i="4"/>
  <c r="BF57" i="4"/>
  <c r="BD57" i="4"/>
  <c r="AZ57" i="4"/>
  <c r="AY57" i="4"/>
  <c r="AX57" i="4"/>
  <c r="AS57" i="4"/>
  <c r="AR57" i="4"/>
  <c r="BR56" i="4"/>
  <c r="BP56" i="4"/>
  <c r="BO56" i="4"/>
  <c r="BM56" i="4"/>
  <c r="BL56" i="4"/>
  <c r="BJ56" i="4"/>
  <c r="BI56" i="4"/>
  <c r="BG56" i="4"/>
  <c r="BF56" i="4"/>
  <c r="BD56" i="4"/>
  <c r="AZ56" i="4"/>
  <c r="AY56" i="4"/>
  <c r="AX56" i="4"/>
  <c r="AS56" i="4"/>
  <c r="AR56" i="4"/>
  <c r="BR55" i="4"/>
  <c r="BP55" i="4"/>
  <c r="BO55" i="4"/>
  <c r="BM55" i="4"/>
  <c r="BL55" i="4"/>
  <c r="BJ55" i="4"/>
  <c r="BI55" i="4"/>
  <c r="BG55" i="4"/>
  <c r="BF55" i="4"/>
  <c r="BD55" i="4"/>
  <c r="AZ55" i="4"/>
  <c r="AY55" i="4"/>
  <c r="AX55" i="4"/>
  <c r="AS55" i="4"/>
  <c r="AR55" i="4"/>
  <c r="BR54" i="4"/>
  <c r="BP54" i="4"/>
  <c r="BO54" i="4"/>
  <c r="BM54" i="4"/>
  <c r="BJ54" i="4"/>
  <c r="BI43" i="4"/>
  <c r="BI64" i="4" s="1"/>
  <c r="BG54" i="4"/>
  <c r="BF54" i="4"/>
  <c r="BD54" i="4"/>
  <c r="AZ54" i="4"/>
  <c r="AY54" i="4"/>
  <c r="AX54" i="4"/>
  <c r="AS54" i="4"/>
  <c r="AR54" i="4"/>
  <c r="E54" i="4"/>
  <c r="AZ53" i="4"/>
  <c r="AY53" i="4"/>
  <c r="AX53" i="4"/>
  <c r="AS53" i="4"/>
  <c r="AR53" i="4"/>
  <c r="DO50" i="4"/>
  <c r="DL50" i="4"/>
  <c r="DI50" i="4"/>
  <c r="DF50" i="4"/>
  <c r="DC50" i="4"/>
  <c r="CZ50" i="4"/>
  <c r="CX50" i="4"/>
  <c r="CW50" i="4"/>
  <c r="CT50" i="4"/>
  <c r="CU50" i="4" s="1"/>
  <c r="CQ50" i="4"/>
  <c r="CK50" i="4"/>
  <c r="CJ50" i="4"/>
  <c r="CF50" i="4"/>
  <c r="CI61" i="4" s="1"/>
  <c r="CE50" i="4"/>
  <c r="CH61" i="4" s="1"/>
  <c r="CB50" i="4"/>
  <c r="BY50" i="4"/>
  <c r="BV50" i="4"/>
  <c r="BS50" i="4"/>
  <c r="BP50" i="4"/>
  <c r="BQ50" i="4"/>
  <c r="BN50" i="4"/>
  <c r="BM50" i="4"/>
  <c r="BK50" i="4"/>
  <c r="BJ50" i="4"/>
  <c r="BH50" i="4"/>
  <c r="BG50" i="4"/>
  <c r="BE50" i="4"/>
  <c r="BE61" i="4" s="1"/>
  <c r="BD50" i="4"/>
  <c r="BD61" i="4" s="1"/>
  <c r="E50" i="4"/>
  <c r="E5" i="4" s="1"/>
  <c r="BM48" i="4"/>
  <c r="BG48" i="4"/>
  <c r="BG69" i="4" s="1"/>
  <c r="BP47" i="4"/>
  <c r="BM47" i="4"/>
  <c r="BJ47" i="4"/>
  <c r="BG47" i="4"/>
  <c r="BD47" i="4"/>
  <c r="BD58" i="4" s="1"/>
  <c r="BQ46" i="4"/>
  <c r="BN46" i="4"/>
  <c r="BK46" i="4"/>
  <c r="BI46" i="4"/>
  <c r="BL57" i="4" s="1"/>
  <c r="BE46" i="4"/>
  <c r="BE57" i="4" s="1"/>
  <c r="BQ45" i="4"/>
  <c r="BN45" i="4"/>
  <c r="BK45" i="4"/>
  <c r="BH45" i="4"/>
  <c r="BE45" i="4"/>
  <c r="BQ44" i="4"/>
  <c r="BN44" i="4"/>
  <c r="BK44" i="4"/>
  <c r="BH44" i="4"/>
  <c r="BE44" i="4"/>
  <c r="BE55" i="4" s="1"/>
  <c r="BQ43" i="4"/>
  <c r="BN43" i="4"/>
  <c r="BK43" i="4"/>
  <c r="BE43" i="4"/>
  <c r="BE54" i="4" s="1"/>
  <c r="BP42" i="4"/>
  <c r="BM42" i="4"/>
  <c r="BJ42" i="4"/>
  <c r="BG42" i="4"/>
  <c r="BF42" i="4"/>
  <c r="BF53" i="4" s="1"/>
  <c r="BD42" i="4"/>
  <c r="BR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R38" i="4"/>
  <c r="BP38" i="4"/>
  <c r="BO38" i="4"/>
  <c r="BM38" i="4"/>
  <c r="BL38" i="4"/>
  <c r="BK38" i="4"/>
  <c r="BJ38" i="4"/>
  <c r="BI38" i="4"/>
  <c r="BH38" i="4"/>
  <c r="BG38" i="4"/>
  <c r="BF38" i="4"/>
  <c r="BE38" i="4"/>
  <c r="BD38" i="4"/>
  <c r="BR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AZ34" i="4"/>
  <c r="AY34" i="4"/>
  <c r="AX34" i="4"/>
  <c r="AW34" i="4"/>
  <c r="AV34" i="4"/>
  <c r="AU34" i="4"/>
  <c r="AT34" i="4"/>
  <c r="AS34" i="4"/>
  <c r="AR34" i="4"/>
  <c r="BK33" i="4"/>
  <c r="BJ33" i="4"/>
  <c r="BH33" i="4"/>
  <c r="BG33" i="4"/>
  <c r="BE33" i="4"/>
  <c r="BD33" i="4"/>
  <c r="BR32" i="4"/>
  <c r="BO32" i="4"/>
  <c r="BF32" i="4"/>
  <c r="BR31" i="4"/>
  <c r="BO31" i="4"/>
  <c r="BM31" i="4"/>
  <c r="BL31" i="4"/>
  <c r="BJ31" i="4"/>
  <c r="BI31" i="4"/>
  <c r="BG31" i="4"/>
  <c r="BF31" i="4"/>
  <c r="BD31" i="4"/>
  <c r="AZ31" i="4"/>
  <c r="AY31" i="4"/>
  <c r="AX31" i="4"/>
  <c r="AW31" i="4"/>
  <c r="AV31" i="4"/>
  <c r="AU31" i="4"/>
  <c r="AT31" i="4"/>
  <c r="AS31" i="4"/>
  <c r="AR31" i="4"/>
  <c r="BR30" i="4"/>
  <c r="BO30" i="4"/>
  <c r="BM30" i="4"/>
  <c r="BL30" i="4"/>
  <c r="BJ30" i="4"/>
  <c r="BI30" i="4"/>
  <c r="BG30" i="4"/>
  <c r="BF30" i="4"/>
  <c r="BD30" i="4"/>
  <c r="AZ30" i="4"/>
  <c r="AY30" i="4"/>
  <c r="AX30" i="4"/>
  <c r="AW30" i="4"/>
  <c r="AV30" i="4"/>
  <c r="AU30" i="4"/>
  <c r="AT30" i="4"/>
  <c r="AS30" i="4"/>
  <c r="AR30" i="4"/>
  <c r="BR29" i="4"/>
  <c r="BO29" i="4"/>
  <c r="BM29" i="4"/>
  <c r="BL29" i="4"/>
  <c r="BJ29" i="4"/>
  <c r="BI29" i="4"/>
  <c r="BG29" i="4"/>
  <c r="BF29" i="4"/>
  <c r="BD29" i="4"/>
  <c r="AZ29" i="4"/>
  <c r="AY29" i="4"/>
  <c r="AX29" i="4"/>
  <c r="AW29" i="4"/>
  <c r="AV29" i="4"/>
  <c r="AU29" i="4"/>
  <c r="AT29" i="4"/>
  <c r="AS29" i="4"/>
  <c r="AR29" i="4"/>
  <c r="BQ25" i="4"/>
  <c r="BN25" i="4"/>
  <c r="BN38" i="4" s="1"/>
  <c r="CQ23" i="4"/>
  <c r="BM21" i="4"/>
  <c r="BJ21" i="4"/>
  <c r="BG21" i="4"/>
  <c r="BD21" i="4"/>
  <c r="AY21" i="4"/>
  <c r="BG20" i="4"/>
  <c r="BG3" i="4" s="1"/>
  <c r="BG11" i="4" s="1"/>
  <c r="E20" i="4"/>
  <c r="E3" i="4" s="1"/>
  <c r="E11" i="4" s="1"/>
  <c r="BL19" i="4"/>
  <c r="BL67" i="4" s="1"/>
  <c r="BI19" i="4"/>
  <c r="BF19" i="4"/>
  <c r="BF33" i="4" s="1"/>
  <c r="EQ18" i="4"/>
  <c r="EP18" i="4"/>
  <c r="ES32" i="4" s="1"/>
  <c r="EM18" i="4"/>
  <c r="EM48" i="4" s="1"/>
  <c r="EN18" i="4"/>
  <c r="EN48" i="4" s="1"/>
  <c r="EJ18" i="4"/>
  <c r="EK18" i="4"/>
  <c r="EH18" i="4"/>
  <c r="EH48" i="4" s="1"/>
  <c r="EG18" i="4"/>
  <c r="EE18" i="4"/>
  <c r="ED18" i="4"/>
  <c r="ED48" i="4" s="1"/>
  <c r="CE18" i="4"/>
  <c r="CE48" i="4" s="1"/>
  <c r="CE69" i="4" s="1"/>
  <c r="BP18" i="4"/>
  <c r="BQ18" i="4" s="1"/>
  <c r="BN18" i="4"/>
  <c r="BN48" i="4" s="1"/>
  <c r="BJ18" i="4"/>
  <c r="BJ48" i="4" s="1"/>
  <c r="BJ69" i="4" s="1"/>
  <c r="BI18" i="4"/>
  <c r="BI32" i="4" s="1"/>
  <c r="BE18" i="4"/>
  <c r="BE32" i="4" s="1"/>
  <c r="BD18" i="4"/>
  <c r="BG32" i="4" s="1"/>
  <c r="BN17" i="4"/>
  <c r="BK17" i="4"/>
  <c r="BN16" i="4"/>
  <c r="BK16" i="4"/>
  <c r="BH16" i="4"/>
  <c r="BN15" i="4"/>
  <c r="BK15" i="4"/>
  <c r="BH15" i="4"/>
  <c r="AV7" i="4"/>
  <c r="AW7" i="4"/>
  <c r="AU7" i="4"/>
  <c r="AT7" i="4"/>
  <c r="AL2" i="4"/>
  <c r="AL74" i="4" s="1"/>
  <c r="AK2" i="4"/>
  <c r="AK74" i="4" s="1"/>
  <c r="AJ2" i="4"/>
  <c r="AJ74" i="4" s="1"/>
  <c r="AI2" i="4"/>
  <c r="AI74" i="4" s="1"/>
  <c r="AH2" i="4"/>
  <c r="AH74" i="4" s="1"/>
  <c r="AG2" i="4"/>
  <c r="AG74" i="4" s="1"/>
  <c r="AF2" i="4"/>
  <c r="AF74" i="4" s="1"/>
  <c r="AE2" i="4"/>
  <c r="AE74" i="4" s="1"/>
  <c r="AD2" i="4"/>
  <c r="AD74" i="4" s="1"/>
  <c r="AC2" i="4"/>
  <c r="AC74" i="4" s="1"/>
  <c r="AB2" i="4"/>
  <c r="AB74" i="4" s="1"/>
  <c r="AA2" i="4"/>
  <c r="AA74" i="4" s="1"/>
  <c r="Z2" i="4"/>
  <c r="Z74" i="4" s="1"/>
  <c r="Y2" i="4"/>
  <c r="Y74" i="4" s="1"/>
  <c r="X2" i="4"/>
  <c r="X74" i="4" s="1"/>
  <c r="W2" i="4"/>
  <c r="W74" i="4" s="1"/>
  <c r="V2" i="4"/>
  <c r="V74" i="4" s="1"/>
  <c r="U2" i="4"/>
  <c r="U74" i="4" s="1"/>
  <c r="T2" i="4"/>
  <c r="T74" i="4" s="1"/>
  <c r="S2" i="4"/>
  <c r="S74" i="4" s="1"/>
  <c r="R2" i="4"/>
  <c r="R74" i="4" s="1"/>
  <c r="Q2" i="4"/>
  <c r="Q74" i="4" s="1"/>
  <c r="P2" i="4"/>
  <c r="P74" i="4" s="1"/>
  <c r="O2" i="4"/>
  <c r="O74" i="4" s="1"/>
  <c r="N2" i="4"/>
  <c r="N74" i="4" s="1"/>
  <c r="M2" i="4"/>
  <c r="M74" i="4" s="1"/>
  <c r="L2" i="4"/>
  <c r="L74" i="4" s="1"/>
  <c r="K2" i="4"/>
  <c r="K74" i="4" s="1"/>
  <c r="J2" i="4"/>
  <c r="J74" i="4" s="1"/>
  <c r="I2" i="4"/>
  <c r="I74" i="4" s="1"/>
  <c r="H2" i="4"/>
  <c r="H74" i="4" s="1"/>
  <c r="G2" i="4"/>
  <c r="G74" i="4" s="1"/>
  <c r="F2" i="4"/>
  <c r="F74" i="4" s="1"/>
  <c r="E2" i="4"/>
  <c r="CG641" i="2"/>
  <c r="BL641" i="2"/>
  <c r="BJ641" i="2"/>
  <c r="CZ637" i="2"/>
  <c r="CY637" i="2"/>
  <c r="CW637" i="2"/>
  <c r="CV637" i="2"/>
  <c r="CT637" i="2"/>
  <c r="CS637" i="2"/>
  <c r="CQ637" i="2"/>
  <c r="CP637" i="2"/>
  <c r="CM637" i="2"/>
  <c r="CK637" i="2"/>
  <c r="CJ637" i="2"/>
  <c r="CH637" i="2"/>
  <c r="CG637" i="2"/>
  <c r="CE637" i="2"/>
  <c r="CD637" i="2"/>
  <c r="CB637" i="2"/>
  <c r="CA637" i="2"/>
  <c r="BY637" i="2"/>
  <c r="BX637" i="2"/>
  <c r="BV637" i="2"/>
  <c r="BU637" i="2"/>
  <c r="BS637" i="2"/>
  <c r="BR637" i="2"/>
  <c r="BP637" i="2"/>
  <c r="BO637" i="2"/>
  <c r="BM637" i="2"/>
  <c r="BL637" i="2"/>
  <c r="BJ637" i="2"/>
  <c r="CW626" i="2"/>
  <c r="CV626" i="2"/>
  <c r="CS626" i="2"/>
  <c r="CP626" i="2"/>
  <c r="CG626" i="2"/>
  <c r="CA626" i="2"/>
  <c r="BS626" i="2"/>
  <c r="BR626" i="2"/>
  <c r="BP626" i="2"/>
  <c r="BO626" i="2"/>
  <c r="BM626" i="2"/>
  <c r="BL626" i="2"/>
  <c r="BJ626" i="2"/>
  <c r="CS618" i="2"/>
  <c r="CM618" i="2"/>
  <c r="CK618" i="2"/>
  <c r="CJ618" i="2"/>
  <c r="CH618" i="2"/>
  <c r="CG618" i="2"/>
  <c r="CD618" i="2"/>
  <c r="CB618" i="2"/>
  <c r="CA618" i="2"/>
  <c r="BY618" i="2"/>
  <c r="BX618" i="2"/>
  <c r="BV618" i="2"/>
  <c r="BU618" i="2"/>
  <c r="BS618" i="2"/>
  <c r="BR618" i="2"/>
  <c r="BP618" i="2"/>
  <c r="BO618" i="2"/>
  <c r="BM618" i="2"/>
  <c r="BL618" i="2"/>
  <c r="BJ618" i="2"/>
  <c r="BG618" i="2"/>
  <c r="BF618" i="2"/>
  <c r="BD618" i="2"/>
  <c r="BC618" i="2"/>
  <c r="BA618" i="2"/>
  <c r="AX618" i="2"/>
  <c r="AW618" i="2"/>
  <c r="AU618" i="2"/>
  <c r="AT618" i="2"/>
  <c r="AR618" i="2"/>
  <c r="AQ618" i="2"/>
  <c r="AO618" i="2"/>
  <c r="AN618" i="2"/>
  <c r="ER605" i="2"/>
  <c r="EQ605" i="2" s="1"/>
  <c r="EP605" i="2"/>
  <c r="EO605" i="2"/>
  <c r="EN605" i="2" s="1"/>
  <c r="EM605" i="2"/>
  <c r="EL605" i="2"/>
  <c r="EK605" i="2" s="1"/>
  <c r="EJ605" i="2"/>
  <c r="EI605" i="2"/>
  <c r="EH605" i="2" s="1"/>
  <c r="EG605" i="2"/>
  <c r="EF605" i="2"/>
  <c r="EE605" i="2" s="1"/>
  <c r="ED605" i="2"/>
  <c r="EC605" i="2"/>
  <c r="EB605" i="2" s="1"/>
  <c r="EA605" i="2"/>
  <c r="DZ605" i="2"/>
  <c r="DY605" i="2" s="1"/>
  <c r="DX605" i="2"/>
  <c r="DW605" i="2"/>
  <c r="DV605" i="2" s="1"/>
  <c r="DU605" i="2"/>
  <c r="DT605" i="2"/>
  <c r="DS605" i="2" s="1"/>
  <c r="DR605" i="2"/>
  <c r="DQ605" i="2"/>
  <c r="DP605" i="2" s="1"/>
  <c r="DO605" i="2"/>
  <c r="DN605" i="2"/>
  <c r="DM605" i="2" s="1"/>
  <c r="DL605" i="2"/>
  <c r="DK605" i="2"/>
  <c r="DJ605" i="2" s="1"/>
  <c r="DI605" i="2"/>
  <c r="DH605" i="2"/>
  <c r="DG605" i="2" s="1"/>
  <c r="DF605" i="2"/>
  <c r="DE605" i="2"/>
  <c r="DD605" i="2" s="1"/>
  <c r="DC605" i="2"/>
  <c r="DB605" i="2"/>
  <c r="DA605" i="2" s="1"/>
  <c r="CZ605" i="2"/>
  <c r="CY605" i="2"/>
  <c r="CX605" i="2" s="1"/>
  <c r="CW605" i="2"/>
  <c r="CV605" i="2"/>
  <c r="CU605" i="2" s="1"/>
  <c r="CT605" i="2"/>
  <c r="CS605" i="2"/>
  <c r="CR605" i="2" s="1"/>
  <c r="CQ605" i="2"/>
  <c r="CP605" i="2"/>
  <c r="CO605" i="2" s="1"/>
  <c r="CN605" i="2"/>
  <c r="CM605" i="2"/>
  <c r="CL605" i="2" s="1"/>
  <c r="CK605" i="2"/>
  <c r="CJ605" i="2"/>
  <c r="CI605" i="2" s="1"/>
  <c r="CH605" i="2"/>
  <c r="CG605" i="2"/>
  <c r="CF605" i="2" s="1"/>
  <c r="CE605" i="2"/>
  <c r="CD605" i="2"/>
  <c r="CC605" i="2" s="1"/>
  <c r="CB605" i="2"/>
  <c r="CA605" i="2"/>
  <c r="BZ605" i="2" s="1"/>
  <c r="BY605" i="2"/>
  <c r="BX605" i="2"/>
  <c r="BW605" i="2" s="1"/>
  <c r="BV605" i="2"/>
  <c r="BU605" i="2"/>
  <c r="BT605" i="2" s="1"/>
  <c r="BS605" i="2"/>
  <c r="BR605" i="2"/>
  <c r="BQ605" i="2" s="1"/>
  <c r="BP605" i="2"/>
  <c r="BO605" i="2"/>
  <c r="BN605" i="2" s="1"/>
  <c r="BM605" i="2"/>
  <c r="BL605" i="2"/>
  <c r="BK605" i="2" s="1"/>
  <c r="BJ605" i="2"/>
  <c r="BI605" i="2"/>
  <c r="BH605" i="2" s="1"/>
  <c r="BG605" i="2"/>
  <c r="BF605" i="2"/>
  <c r="BE605" i="2" s="1"/>
  <c r="BD605" i="2"/>
  <c r="BC605" i="2"/>
  <c r="BB605" i="2" s="1"/>
  <c r="BA605" i="2"/>
  <c r="AZ605" i="2"/>
  <c r="AY605" i="2" s="1"/>
  <c r="AX605" i="2"/>
  <c r="AW605" i="2"/>
  <c r="AV605" i="2" s="1"/>
  <c r="AU605" i="2"/>
  <c r="AT605" i="2"/>
  <c r="AS605" i="2" s="1"/>
  <c r="AR605" i="2"/>
  <c r="AQ605" i="2"/>
  <c r="AP605" i="2" s="1"/>
  <c r="AO605" i="2"/>
  <c r="AN605" i="2"/>
  <c r="EQ604" i="2"/>
  <c r="EN604" i="2"/>
  <c r="EK604" i="2"/>
  <c r="EH604" i="2"/>
  <c r="EE604" i="2"/>
  <c r="EB604" i="2"/>
  <c r="DY604" i="2"/>
  <c r="DV604" i="2"/>
  <c r="DS604" i="2"/>
  <c r="DP604" i="2"/>
  <c r="DM604" i="2"/>
  <c r="DJ604" i="2"/>
  <c r="DG604" i="2"/>
  <c r="DD604" i="2"/>
  <c r="DA604" i="2"/>
  <c r="CX604" i="2"/>
  <c r="CU604" i="2"/>
  <c r="CR604" i="2"/>
  <c r="CO604" i="2"/>
  <c r="CL604" i="2"/>
  <c r="CI604" i="2"/>
  <c r="CF604" i="2"/>
  <c r="CC604" i="2"/>
  <c r="BZ604" i="2"/>
  <c r="BW604" i="2"/>
  <c r="BT604" i="2"/>
  <c r="BQ604" i="2"/>
  <c r="BN604" i="2"/>
  <c r="BK604" i="2"/>
  <c r="BH604" i="2"/>
  <c r="BE604" i="2"/>
  <c r="BB604" i="2"/>
  <c r="AY604" i="2"/>
  <c r="AV604" i="2"/>
  <c r="AS604" i="2"/>
  <c r="AP604" i="2"/>
  <c r="EQ603" i="2"/>
  <c r="EN603" i="2"/>
  <c r="EK603" i="2"/>
  <c r="EH603" i="2"/>
  <c r="EE603" i="2"/>
  <c r="EB603" i="2"/>
  <c r="DY603" i="2"/>
  <c r="DV603" i="2"/>
  <c r="DS603" i="2"/>
  <c r="DP603" i="2"/>
  <c r="DM603" i="2"/>
  <c r="DJ603" i="2"/>
  <c r="DG603" i="2"/>
  <c r="DD603" i="2"/>
  <c r="DA603" i="2"/>
  <c r="CX603" i="2"/>
  <c r="CU603" i="2"/>
  <c r="CR603" i="2"/>
  <c r="CO603" i="2"/>
  <c r="CL603" i="2"/>
  <c r="CI603" i="2"/>
  <c r="CF603" i="2"/>
  <c r="CC603" i="2"/>
  <c r="BZ603" i="2"/>
  <c r="BW603" i="2"/>
  <c r="BT603" i="2"/>
  <c r="BQ603" i="2"/>
  <c r="BN603" i="2"/>
  <c r="BK603" i="2"/>
  <c r="BH603" i="2"/>
  <c r="BE603" i="2"/>
  <c r="BB603" i="2"/>
  <c r="AY603" i="2"/>
  <c r="AV603" i="2"/>
  <c r="AS603" i="2"/>
  <c r="AP603" i="2"/>
  <c r="EQ602" i="2"/>
  <c r="EN602" i="2"/>
  <c r="EK602" i="2"/>
  <c r="EH602" i="2"/>
  <c r="EE602" i="2"/>
  <c r="EB602" i="2"/>
  <c r="DY602" i="2"/>
  <c r="DV602" i="2"/>
  <c r="DS602" i="2"/>
  <c r="DP602" i="2"/>
  <c r="DM602" i="2"/>
  <c r="DJ602" i="2"/>
  <c r="DG602" i="2"/>
  <c r="DD602" i="2"/>
  <c r="DA602" i="2"/>
  <c r="CX602" i="2"/>
  <c r="CU602" i="2"/>
  <c r="CR602" i="2"/>
  <c r="CO602" i="2"/>
  <c r="CL602" i="2"/>
  <c r="CI602" i="2"/>
  <c r="CF602" i="2"/>
  <c r="CC602" i="2"/>
  <c r="BZ602" i="2"/>
  <c r="BW602" i="2"/>
  <c r="BT602" i="2"/>
  <c r="BQ602" i="2"/>
  <c r="BN602" i="2"/>
  <c r="BK602" i="2"/>
  <c r="BH602" i="2"/>
  <c r="BE602" i="2"/>
  <c r="BB602" i="2"/>
  <c r="AY602" i="2"/>
  <c r="AV602" i="2"/>
  <c r="AS602" i="2"/>
  <c r="AP602" i="2"/>
  <c r="EQ601" i="2"/>
  <c r="EN601" i="2"/>
  <c r="EK601" i="2"/>
  <c r="EH601" i="2"/>
  <c r="EE601" i="2"/>
  <c r="EB601" i="2"/>
  <c r="DY601" i="2"/>
  <c r="DV601" i="2"/>
  <c r="DS601" i="2"/>
  <c r="DP601" i="2"/>
  <c r="DM601" i="2"/>
  <c r="DJ601" i="2"/>
  <c r="DG601" i="2"/>
  <c r="DD601" i="2"/>
  <c r="DA601" i="2"/>
  <c r="CX601" i="2"/>
  <c r="CU601" i="2"/>
  <c r="CR601" i="2"/>
  <c r="CO601" i="2"/>
  <c r="CL601" i="2"/>
  <c r="CI601" i="2"/>
  <c r="CF601" i="2"/>
  <c r="CC601" i="2"/>
  <c r="BZ601" i="2"/>
  <c r="BW601" i="2"/>
  <c r="BT601" i="2"/>
  <c r="BQ601" i="2"/>
  <c r="BN601" i="2"/>
  <c r="BK601" i="2"/>
  <c r="BH601" i="2"/>
  <c r="BE601" i="2"/>
  <c r="BB601" i="2"/>
  <c r="AY601" i="2"/>
  <c r="AV601" i="2"/>
  <c r="AS601" i="2"/>
  <c r="AP601" i="2"/>
  <c r="EQ599" i="2"/>
  <c r="EN599" i="2"/>
  <c r="EK599" i="2"/>
  <c r="EH599" i="2"/>
  <c r="EE599" i="2"/>
  <c r="EB599" i="2"/>
  <c r="DY599" i="2"/>
  <c r="DV599" i="2"/>
  <c r="DS599" i="2"/>
  <c r="DP599" i="2"/>
  <c r="DM599" i="2"/>
  <c r="DJ599" i="2"/>
  <c r="DG599" i="2"/>
  <c r="DD599" i="2"/>
  <c r="DA599" i="2"/>
  <c r="CX599" i="2"/>
  <c r="CU599" i="2"/>
  <c r="CR599" i="2"/>
  <c r="CO599" i="2"/>
  <c r="CL599" i="2"/>
  <c r="CI599" i="2"/>
  <c r="CF599" i="2"/>
  <c r="CC599" i="2"/>
  <c r="BZ599" i="2"/>
  <c r="BW599" i="2"/>
  <c r="BT599" i="2"/>
  <c r="BQ599" i="2"/>
  <c r="BN599" i="2"/>
  <c r="BK599" i="2"/>
  <c r="BH599" i="2"/>
  <c r="BE599" i="2"/>
  <c r="BB599" i="2"/>
  <c r="AY599" i="2"/>
  <c r="AV599" i="2"/>
  <c r="AS599" i="2"/>
  <c r="AP599" i="2"/>
  <c r="EQ598" i="2"/>
  <c r="EN598" i="2"/>
  <c r="EK598" i="2"/>
  <c r="EH598" i="2"/>
  <c r="EE598" i="2"/>
  <c r="EB598" i="2"/>
  <c r="DY598" i="2"/>
  <c r="DV598" i="2"/>
  <c r="DS598" i="2"/>
  <c r="DP598" i="2"/>
  <c r="DM598" i="2"/>
  <c r="DJ598" i="2"/>
  <c r="DG598" i="2"/>
  <c r="DD598" i="2"/>
  <c r="DA598" i="2"/>
  <c r="CX598" i="2"/>
  <c r="CU598" i="2"/>
  <c r="CR598" i="2"/>
  <c r="CO598" i="2"/>
  <c r="CL598" i="2"/>
  <c r="CI598" i="2"/>
  <c r="CF598" i="2"/>
  <c r="CC598" i="2"/>
  <c r="BZ598" i="2"/>
  <c r="BW598" i="2"/>
  <c r="BT598" i="2"/>
  <c r="BQ598" i="2"/>
  <c r="BN598" i="2"/>
  <c r="BK598" i="2"/>
  <c r="BH598" i="2"/>
  <c r="BE598" i="2"/>
  <c r="BB598" i="2"/>
  <c r="AY598" i="2"/>
  <c r="AV598" i="2"/>
  <c r="AS598" i="2"/>
  <c r="AP598" i="2"/>
  <c r="EQ597" i="2"/>
  <c r="EN597" i="2"/>
  <c r="EK597" i="2"/>
  <c r="EH597" i="2"/>
  <c r="EE597" i="2"/>
  <c r="EB597" i="2"/>
  <c r="DY597" i="2"/>
  <c r="DV597" i="2"/>
  <c r="DS597" i="2"/>
  <c r="DP597" i="2"/>
  <c r="DM597" i="2"/>
  <c r="DJ597" i="2"/>
  <c r="DG597" i="2"/>
  <c r="DD597" i="2"/>
  <c r="DA597" i="2"/>
  <c r="CX597" i="2"/>
  <c r="CU597" i="2"/>
  <c r="CR597" i="2"/>
  <c r="CO597" i="2"/>
  <c r="CL597" i="2"/>
  <c r="CI597" i="2"/>
  <c r="CF597" i="2"/>
  <c r="CC597" i="2"/>
  <c r="BZ597" i="2"/>
  <c r="BW597" i="2"/>
  <c r="BT597" i="2"/>
  <c r="BQ597" i="2"/>
  <c r="BN597" i="2"/>
  <c r="BK597" i="2"/>
  <c r="BH597" i="2"/>
  <c r="BE597" i="2"/>
  <c r="BB597" i="2"/>
  <c r="AY597" i="2"/>
  <c r="AV597" i="2"/>
  <c r="AS597" i="2"/>
  <c r="AP597" i="2"/>
  <c r="EQ596" i="2"/>
  <c r="EN596" i="2"/>
  <c r="EK596" i="2"/>
  <c r="EH596" i="2"/>
  <c r="EE596" i="2"/>
  <c r="EB596" i="2"/>
  <c r="DY596" i="2"/>
  <c r="DV596" i="2"/>
  <c r="DS596" i="2"/>
  <c r="DP596" i="2"/>
  <c r="DM596" i="2"/>
  <c r="DJ596" i="2"/>
  <c r="DG596" i="2"/>
  <c r="DD596" i="2"/>
  <c r="DA596" i="2"/>
  <c r="CX596" i="2"/>
  <c r="CU596" i="2"/>
  <c r="CR596" i="2"/>
  <c r="CO596" i="2"/>
  <c r="CL596" i="2"/>
  <c r="CI596" i="2"/>
  <c r="CF596" i="2"/>
  <c r="CC596" i="2"/>
  <c r="BZ596" i="2"/>
  <c r="BW596" i="2"/>
  <c r="BT596" i="2"/>
  <c r="BQ596" i="2"/>
  <c r="BN596" i="2"/>
  <c r="BK596" i="2"/>
  <c r="BH596" i="2"/>
  <c r="BE596" i="2"/>
  <c r="BB596" i="2"/>
  <c r="AY596" i="2"/>
  <c r="AV596" i="2"/>
  <c r="AS596" i="2"/>
  <c r="AP596" i="2"/>
  <c r="EQ594" i="2"/>
  <c r="EN594" i="2"/>
  <c r="EK594" i="2"/>
  <c r="EH594" i="2"/>
  <c r="EE594" i="2"/>
  <c r="EB594" i="2"/>
  <c r="DY594" i="2"/>
  <c r="DV594" i="2"/>
  <c r="DS594" i="2"/>
  <c r="DP594" i="2"/>
  <c r="DM594" i="2"/>
  <c r="DJ594" i="2"/>
  <c r="DG594" i="2"/>
  <c r="DD594" i="2"/>
  <c r="DA594" i="2"/>
  <c r="CX594" i="2"/>
  <c r="CU594" i="2"/>
  <c r="CR594" i="2"/>
  <c r="CO594" i="2"/>
  <c r="CL594" i="2"/>
  <c r="CI594" i="2"/>
  <c r="CF594" i="2"/>
  <c r="CC594" i="2"/>
  <c r="BZ594" i="2"/>
  <c r="BW594" i="2"/>
  <c r="BT594" i="2"/>
  <c r="BQ594" i="2"/>
  <c r="BN594" i="2"/>
  <c r="BK594" i="2"/>
  <c r="BH594" i="2"/>
  <c r="BE594" i="2"/>
  <c r="BB594" i="2"/>
  <c r="AY594" i="2"/>
  <c r="AV594" i="2"/>
  <c r="AS594" i="2"/>
  <c r="AP594" i="2"/>
  <c r="EQ593" i="2"/>
  <c r="EN593" i="2"/>
  <c r="EK593" i="2"/>
  <c r="EH593" i="2"/>
  <c r="EE593" i="2"/>
  <c r="EB593" i="2"/>
  <c r="DY593" i="2"/>
  <c r="DV593" i="2"/>
  <c r="DS593" i="2"/>
  <c r="DP593" i="2"/>
  <c r="DM593" i="2"/>
  <c r="DJ593" i="2"/>
  <c r="DG593" i="2"/>
  <c r="DD593" i="2"/>
  <c r="DA593" i="2"/>
  <c r="CX593" i="2"/>
  <c r="CU593" i="2"/>
  <c r="CR593" i="2"/>
  <c r="CO593" i="2"/>
  <c r="CL593" i="2"/>
  <c r="CI593" i="2"/>
  <c r="CF593" i="2"/>
  <c r="CC593" i="2"/>
  <c r="BZ593" i="2"/>
  <c r="BW593" i="2"/>
  <c r="BT593" i="2"/>
  <c r="BQ593" i="2"/>
  <c r="BN593" i="2"/>
  <c r="BK593" i="2"/>
  <c r="BH593" i="2"/>
  <c r="BE593" i="2"/>
  <c r="BB593" i="2"/>
  <c r="AY593" i="2"/>
  <c r="AV593" i="2"/>
  <c r="AS593" i="2"/>
  <c r="AP593" i="2"/>
  <c r="EQ592" i="2"/>
  <c r="EN592" i="2"/>
  <c r="EK592" i="2"/>
  <c r="EH592" i="2"/>
  <c r="EE592" i="2"/>
  <c r="EB592" i="2"/>
  <c r="DY592" i="2"/>
  <c r="DV592" i="2"/>
  <c r="DS592" i="2"/>
  <c r="DP592" i="2"/>
  <c r="DM592" i="2"/>
  <c r="DJ592" i="2"/>
  <c r="DG592" i="2"/>
  <c r="DD592" i="2"/>
  <c r="DA592" i="2"/>
  <c r="CX592" i="2"/>
  <c r="CU592" i="2"/>
  <c r="CR592" i="2"/>
  <c r="CO592" i="2"/>
  <c r="CL592" i="2"/>
  <c r="CI592" i="2"/>
  <c r="CF592" i="2"/>
  <c r="CC592" i="2"/>
  <c r="BZ592" i="2"/>
  <c r="BW592" i="2"/>
  <c r="BT592" i="2"/>
  <c r="BQ592" i="2"/>
  <c r="BN592" i="2"/>
  <c r="BK592" i="2"/>
  <c r="BH592" i="2"/>
  <c r="BE592" i="2"/>
  <c r="BB592" i="2"/>
  <c r="AY592" i="2"/>
  <c r="AV592" i="2"/>
  <c r="AS592" i="2"/>
  <c r="AP592" i="2"/>
  <c r="EQ591" i="2"/>
  <c r="EN591" i="2"/>
  <c r="EK591" i="2"/>
  <c r="EH591" i="2"/>
  <c r="EE591" i="2"/>
  <c r="EB591" i="2"/>
  <c r="DY591" i="2"/>
  <c r="DV591" i="2"/>
  <c r="DS591" i="2"/>
  <c r="DP591" i="2"/>
  <c r="DM591" i="2"/>
  <c r="DJ591" i="2"/>
  <c r="DG591" i="2"/>
  <c r="DD591" i="2"/>
  <c r="DA591" i="2"/>
  <c r="CX591" i="2"/>
  <c r="CU591" i="2"/>
  <c r="CR591" i="2"/>
  <c r="CO591" i="2"/>
  <c r="CL591" i="2"/>
  <c r="CI591" i="2"/>
  <c r="CF591" i="2"/>
  <c r="CC591" i="2"/>
  <c r="BZ591" i="2"/>
  <c r="BW591" i="2"/>
  <c r="BT591" i="2"/>
  <c r="BQ591" i="2"/>
  <c r="BN591" i="2"/>
  <c r="BK591" i="2"/>
  <c r="BH591" i="2"/>
  <c r="BE591" i="2"/>
  <c r="BB591" i="2"/>
  <c r="AY591" i="2"/>
  <c r="AV591" i="2"/>
  <c r="AS591" i="2"/>
  <c r="AP591" i="2"/>
  <c r="EQ590" i="2"/>
  <c r="EN590" i="2"/>
  <c r="EK590" i="2"/>
  <c r="EH590" i="2"/>
  <c r="EE590" i="2"/>
  <c r="EB590" i="2"/>
  <c r="DY590" i="2"/>
  <c r="DV590" i="2"/>
  <c r="DS590" i="2"/>
  <c r="DP590" i="2"/>
  <c r="DM590" i="2"/>
  <c r="DJ590" i="2"/>
  <c r="DG590" i="2"/>
  <c r="DD590" i="2"/>
  <c r="DA590" i="2"/>
  <c r="CX590" i="2"/>
  <c r="CU590" i="2"/>
  <c r="CR590" i="2"/>
  <c r="CO590" i="2"/>
  <c r="CL590" i="2"/>
  <c r="CI590" i="2"/>
  <c r="CF590" i="2"/>
  <c r="CC590" i="2"/>
  <c r="BZ590" i="2"/>
  <c r="BW590" i="2"/>
  <c r="BT590" i="2"/>
  <c r="BQ590" i="2"/>
  <c r="BN590" i="2"/>
  <c r="BK590" i="2"/>
  <c r="BH590" i="2"/>
  <c r="BE590" i="2"/>
  <c r="BB590" i="2"/>
  <c r="AY590" i="2"/>
  <c r="AV590" i="2"/>
  <c r="AS590" i="2"/>
  <c r="AP590" i="2"/>
  <c r="EQ589" i="2"/>
  <c r="EN589" i="2"/>
  <c r="EK589" i="2"/>
  <c r="EH589" i="2"/>
  <c r="EE589" i="2"/>
  <c r="EB589" i="2"/>
  <c r="DY589" i="2"/>
  <c r="DV589" i="2"/>
  <c r="DS589" i="2"/>
  <c r="DP589" i="2"/>
  <c r="DM589" i="2"/>
  <c r="DJ589" i="2"/>
  <c r="DG589" i="2"/>
  <c r="DD589" i="2"/>
  <c r="DA589" i="2"/>
  <c r="CX589" i="2"/>
  <c r="CU589" i="2"/>
  <c r="CR589" i="2"/>
  <c r="CO589" i="2"/>
  <c r="CL589" i="2"/>
  <c r="CI589" i="2"/>
  <c r="CF589" i="2"/>
  <c r="CC589" i="2"/>
  <c r="BZ589" i="2"/>
  <c r="BW589" i="2"/>
  <c r="BT589" i="2"/>
  <c r="BQ589" i="2"/>
  <c r="BN589" i="2"/>
  <c r="BK589" i="2"/>
  <c r="BH589" i="2"/>
  <c r="BE589" i="2"/>
  <c r="BB589" i="2"/>
  <c r="AY589" i="2"/>
  <c r="AV589" i="2"/>
  <c r="AS589" i="2"/>
  <c r="AP589" i="2"/>
  <c r="EQ588" i="2"/>
  <c r="EN588" i="2"/>
  <c r="EK588" i="2"/>
  <c r="EH588" i="2"/>
  <c r="EE588" i="2"/>
  <c r="EB588" i="2"/>
  <c r="DY588" i="2"/>
  <c r="DV588" i="2"/>
  <c r="DS588" i="2"/>
  <c r="DP588" i="2"/>
  <c r="DM588" i="2"/>
  <c r="DJ588" i="2"/>
  <c r="DG588" i="2"/>
  <c r="DD588" i="2"/>
  <c r="DA588" i="2"/>
  <c r="CX588" i="2"/>
  <c r="CU588" i="2"/>
  <c r="CR588" i="2"/>
  <c r="CO588" i="2"/>
  <c r="CL588" i="2"/>
  <c r="CI588" i="2"/>
  <c r="CF588" i="2"/>
  <c r="CC588" i="2"/>
  <c r="BZ588" i="2"/>
  <c r="BW588" i="2"/>
  <c r="BT588" i="2"/>
  <c r="BQ588" i="2"/>
  <c r="BN588" i="2"/>
  <c r="BK588" i="2"/>
  <c r="BH588" i="2"/>
  <c r="BE588" i="2"/>
  <c r="BB588" i="2"/>
  <c r="AY588" i="2"/>
  <c r="AV588" i="2"/>
  <c r="AS588" i="2"/>
  <c r="AP588" i="2"/>
  <c r="EQ587" i="2"/>
  <c r="EN587" i="2"/>
  <c r="EK587" i="2"/>
  <c r="EH587" i="2"/>
  <c r="EE587" i="2"/>
  <c r="EB587" i="2"/>
  <c r="DY587" i="2"/>
  <c r="DV587" i="2"/>
  <c r="DS587" i="2"/>
  <c r="DP587" i="2"/>
  <c r="DM587" i="2"/>
  <c r="DJ587" i="2"/>
  <c r="DG587" i="2"/>
  <c r="DD587" i="2"/>
  <c r="DA587" i="2"/>
  <c r="CX587" i="2"/>
  <c r="CU587" i="2"/>
  <c r="CR587" i="2"/>
  <c r="CO587" i="2"/>
  <c r="CL587" i="2"/>
  <c r="CI587" i="2"/>
  <c r="CF587" i="2"/>
  <c r="CC587" i="2"/>
  <c r="BZ587" i="2"/>
  <c r="BW587" i="2"/>
  <c r="BT587" i="2"/>
  <c r="BQ587" i="2"/>
  <c r="BN587" i="2"/>
  <c r="BK587" i="2"/>
  <c r="BH587" i="2"/>
  <c r="BE587" i="2"/>
  <c r="BB587" i="2"/>
  <c r="AY587" i="2"/>
  <c r="AV587" i="2"/>
  <c r="AS587" i="2"/>
  <c r="AP587" i="2"/>
  <c r="EQ586" i="2"/>
  <c r="EN586" i="2"/>
  <c r="EK586" i="2"/>
  <c r="EH586" i="2"/>
  <c r="EE586" i="2"/>
  <c r="EB586" i="2"/>
  <c r="DY586" i="2"/>
  <c r="DV586" i="2"/>
  <c r="DS586" i="2"/>
  <c r="DP586" i="2"/>
  <c r="DM586" i="2"/>
  <c r="DJ586" i="2"/>
  <c r="DG586" i="2"/>
  <c r="DD586" i="2"/>
  <c r="DA586" i="2"/>
  <c r="CX586" i="2"/>
  <c r="CU586" i="2"/>
  <c r="CR586" i="2"/>
  <c r="CO586" i="2"/>
  <c r="CL586" i="2"/>
  <c r="CI586" i="2"/>
  <c r="CF586" i="2"/>
  <c r="CC586" i="2"/>
  <c r="BZ586" i="2"/>
  <c r="BW586" i="2"/>
  <c r="BT586" i="2"/>
  <c r="BQ586" i="2"/>
  <c r="BN586" i="2"/>
  <c r="BK586" i="2"/>
  <c r="BH586" i="2"/>
  <c r="BE586" i="2"/>
  <c r="BB586" i="2"/>
  <c r="AY586" i="2"/>
  <c r="AV586" i="2"/>
  <c r="AS586" i="2"/>
  <c r="AP586" i="2"/>
  <c r="EQ584" i="2"/>
  <c r="EN584" i="2"/>
  <c r="EK584" i="2"/>
  <c r="EH584" i="2"/>
  <c r="EE584" i="2"/>
  <c r="EB584" i="2"/>
  <c r="DY584" i="2"/>
  <c r="DV584" i="2"/>
  <c r="DS584" i="2"/>
  <c r="DP584" i="2"/>
  <c r="DM584" i="2"/>
  <c r="DJ584" i="2"/>
  <c r="DG584" i="2"/>
  <c r="DD584" i="2"/>
  <c r="DA584" i="2"/>
  <c r="CX584" i="2"/>
  <c r="CU584" i="2"/>
  <c r="CR584" i="2"/>
  <c r="CO584" i="2"/>
  <c r="CL584" i="2"/>
  <c r="CI584" i="2"/>
  <c r="CF584" i="2"/>
  <c r="CC584" i="2"/>
  <c r="BZ584" i="2"/>
  <c r="BW584" i="2"/>
  <c r="BT584" i="2"/>
  <c r="BQ584" i="2"/>
  <c r="BN584" i="2"/>
  <c r="BK584" i="2"/>
  <c r="BH584" i="2"/>
  <c r="BE584" i="2"/>
  <c r="BB584" i="2"/>
  <c r="AY584" i="2"/>
  <c r="AV584" i="2"/>
  <c r="AS584" i="2"/>
  <c r="AP584" i="2"/>
  <c r="EQ583" i="2"/>
  <c r="EN583" i="2"/>
  <c r="EK583" i="2"/>
  <c r="EH583" i="2"/>
  <c r="EE583" i="2"/>
  <c r="EB583" i="2"/>
  <c r="DY583" i="2"/>
  <c r="DV583" i="2"/>
  <c r="DS583" i="2"/>
  <c r="DP583" i="2"/>
  <c r="DM583" i="2"/>
  <c r="DJ583" i="2"/>
  <c r="DG583" i="2"/>
  <c r="DD583" i="2"/>
  <c r="DA583" i="2"/>
  <c r="CX583" i="2"/>
  <c r="CU583" i="2"/>
  <c r="CR583" i="2"/>
  <c r="CO583" i="2"/>
  <c r="CL583" i="2"/>
  <c r="CI583" i="2"/>
  <c r="CF583" i="2"/>
  <c r="CC583" i="2"/>
  <c r="BZ583" i="2"/>
  <c r="BW583" i="2"/>
  <c r="BT583" i="2"/>
  <c r="BQ583" i="2"/>
  <c r="BN583" i="2"/>
  <c r="BK583" i="2"/>
  <c r="BH583" i="2"/>
  <c r="BE583" i="2"/>
  <c r="BB583" i="2"/>
  <c r="AY583" i="2"/>
  <c r="AV583" i="2"/>
  <c r="AS583" i="2"/>
  <c r="AP583" i="2"/>
  <c r="EQ582" i="2"/>
  <c r="EN582" i="2"/>
  <c r="EK582" i="2"/>
  <c r="EH582" i="2"/>
  <c r="EE582" i="2"/>
  <c r="EB582" i="2"/>
  <c r="DY582" i="2"/>
  <c r="DV582" i="2"/>
  <c r="DS582" i="2"/>
  <c r="DP582" i="2"/>
  <c r="DM582" i="2"/>
  <c r="DJ582" i="2"/>
  <c r="DG582" i="2"/>
  <c r="DD582" i="2"/>
  <c r="DA582" i="2"/>
  <c r="CX582" i="2"/>
  <c r="CU582" i="2"/>
  <c r="CR582" i="2"/>
  <c r="CO582" i="2"/>
  <c r="CL582" i="2"/>
  <c r="CI582" i="2"/>
  <c r="CF582" i="2"/>
  <c r="CC582" i="2"/>
  <c r="BZ582" i="2"/>
  <c r="BW582" i="2"/>
  <c r="BT582" i="2"/>
  <c r="BQ582" i="2"/>
  <c r="BN582" i="2"/>
  <c r="BK582" i="2"/>
  <c r="BH582" i="2"/>
  <c r="BE582" i="2"/>
  <c r="BB582" i="2"/>
  <c r="AY582" i="2"/>
  <c r="AV582" i="2"/>
  <c r="AS582" i="2"/>
  <c r="AP582" i="2"/>
  <c r="EQ581" i="2"/>
  <c r="EN581" i="2"/>
  <c r="EK581" i="2"/>
  <c r="EH581" i="2"/>
  <c r="EE581" i="2"/>
  <c r="EB581" i="2"/>
  <c r="DY581" i="2"/>
  <c r="DV581" i="2"/>
  <c r="DS581" i="2"/>
  <c r="DP581" i="2"/>
  <c r="DM581" i="2"/>
  <c r="DJ581" i="2"/>
  <c r="DG581" i="2"/>
  <c r="DD581" i="2"/>
  <c r="DA581" i="2"/>
  <c r="CX581" i="2"/>
  <c r="CU581" i="2"/>
  <c r="CR581" i="2"/>
  <c r="CO581" i="2"/>
  <c r="CL581" i="2"/>
  <c r="CI581" i="2"/>
  <c r="CF581" i="2"/>
  <c r="CC581" i="2"/>
  <c r="BZ581" i="2"/>
  <c r="BW581" i="2"/>
  <c r="BT581" i="2"/>
  <c r="BQ581" i="2"/>
  <c r="BN581" i="2"/>
  <c r="BK581" i="2"/>
  <c r="BH581" i="2"/>
  <c r="BE581" i="2"/>
  <c r="BB581" i="2"/>
  <c r="AY581" i="2"/>
  <c r="AV581" i="2"/>
  <c r="AS581" i="2"/>
  <c r="AP581" i="2"/>
  <c r="EQ576" i="2"/>
  <c r="EN576" i="2"/>
  <c r="EK576" i="2"/>
  <c r="EH576" i="2"/>
  <c r="EE576" i="2"/>
  <c r="EB576" i="2"/>
  <c r="DY576" i="2"/>
  <c r="DV576" i="2"/>
  <c r="DS576" i="2"/>
  <c r="DP576" i="2"/>
  <c r="DM576" i="2"/>
  <c r="DJ576" i="2"/>
  <c r="DG576" i="2"/>
  <c r="DD576" i="2"/>
  <c r="DA576" i="2"/>
  <c r="CX576" i="2"/>
  <c r="CU576" i="2"/>
  <c r="CR576" i="2"/>
  <c r="CO576" i="2"/>
  <c r="CL576" i="2"/>
  <c r="CI576" i="2"/>
  <c r="CF576" i="2"/>
  <c r="CC576" i="2"/>
  <c r="BZ576" i="2"/>
  <c r="BW576" i="2"/>
  <c r="BT576" i="2"/>
  <c r="BQ576" i="2"/>
  <c r="BN576" i="2"/>
  <c r="BK576" i="2"/>
  <c r="BH576" i="2"/>
  <c r="BE576" i="2"/>
  <c r="BB576" i="2"/>
  <c r="AY576" i="2"/>
  <c r="AV576" i="2"/>
  <c r="AS576" i="2"/>
  <c r="AP576" i="2"/>
  <c r="EQ575" i="2"/>
  <c r="EN575" i="2"/>
  <c r="EK575" i="2"/>
  <c r="EH575" i="2"/>
  <c r="EE575" i="2"/>
  <c r="EB575" i="2"/>
  <c r="DY575" i="2"/>
  <c r="DV575" i="2"/>
  <c r="DS575" i="2"/>
  <c r="DP575" i="2"/>
  <c r="DM575" i="2"/>
  <c r="DJ575" i="2"/>
  <c r="DG575" i="2"/>
  <c r="DD575" i="2"/>
  <c r="DA575" i="2"/>
  <c r="CX575" i="2"/>
  <c r="CU575" i="2"/>
  <c r="CR575" i="2"/>
  <c r="CO575" i="2"/>
  <c r="CL575" i="2"/>
  <c r="CI575" i="2"/>
  <c r="CF575" i="2"/>
  <c r="CC575" i="2"/>
  <c r="BZ575" i="2"/>
  <c r="BW575" i="2"/>
  <c r="BT575" i="2"/>
  <c r="BQ575" i="2"/>
  <c r="BN575" i="2"/>
  <c r="BK575" i="2"/>
  <c r="BH575" i="2"/>
  <c r="BE575" i="2"/>
  <c r="BB575" i="2"/>
  <c r="AY575" i="2"/>
  <c r="AV575" i="2"/>
  <c r="AS575" i="2"/>
  <c r="AP575" i="2"/>
  <c r="ER574" i="2"/>
  <c r="EQ574" i="2" s="1"/>
  <c r="EP574" i="2"/>
  <c r="EO574" i="2"/>
  <c r="EM574" i="2"/>
  <c r="EL574" i="2"/>
  <c r="EK574" i="2" s="1"/>
  <c r="EJ574" i="2"/>
  <c r="EI574" i="2"/>
  <c r="EH574" i="2" s="1"/>
  <c r="EG574" i="2"/>
  <c r="EF574" i="2"/>
  <c r="ED574" i="2"/>
  <c r="EC574" i="2"/>
  <c r="EB574" i="2" s="1"/>
  <c r="EA574" i="2"/>
  <c r="DZ574" i="2"/>
  <c r="DY574" i="2" s="1"/>
  <c r="DX574" i="2"/>
  <c r="DW574" i="2"/>
  <c r="DU574" i="2"/>
  <c r="DT574" i="2"/>
  <c r="DR574" i="2"/>
  <c r="DQ574" i="2"/>
  <c r="DP574" i="2" s="1"/>
  <c r="DO574" i="2"/>
  <c r="DN574" i="2"/>
  <c r="DM574" i="2" s="1"/>
  <c r="DL574" i="2"/>
  <c r="DK574" i="2"/>
  <c r="DJ574" i="2" s="1"/>
  <c r="DI574" i="2"/>
  <c r="DH574" i="2"/>
  <c r="DF574" i="2"/>
  <c r="DE574" i="2"/>
  <c r="DD574" i="2" s="1"/>
  <c r="DC574" i="2"/>
  <c r="DB574" i="2"/>
  <c r="DA574" i="2" s="1"/>
  <c r="CZ574" i="2"/>
  <c r="CY574" i="2"/>
  <c r="CX574" i="2" s="1"/>
  <c r="CW574" i="2"/>
  <c r="CV574" i="2"/>
  <c r="CT574" i="2"/>
  <c r="CS574" i="2"/>
  <c r="CR574" i="2" s="1"/>
  <c r="CQ574" i="2"/>
  <c r="CP574" i="2"/>
  <c r="CN574" i="2"/>
  <c r="CM574" i="2"/>
  <c r="CL574" i="2" s="1"/>
  <c r="CK574" i="2"/>
  <c r="CJ574" i="2"/>
  <c r="CH574" i="2"/>
  <c r="CG574" i="2"/>
  <c r="CF574" i="2" s="1"/>
  <c r="CE574" i="2"/>
  <c r="CD574" i="2"/>
  <c r="CC574" i="2" s="1"/>
  <c r="CB574" i="2"/>
  <c r="CA574" i="2"/>
  <c r="BZ574" i="2" s="1"/>
  <c r="BY574" i="2"/>
  <c r="BX574" i="2"/>
  <c r="BV574" i="2"/>
  <c r="BU574" i="2"/>
  <c r="BT574" i="2" s="1"/>
  <c r="BS574" i="2"/>
  <c r="BR574" i="2"/>
  <c r="BQ574" i="2" s="1"/>
  <c r="BP574" i="2"/>
  <c r="BO574" i="2"/>
  <c r="BN574" i="2" s="1"/>
  <c r="BM574" i="2"/>
  <c r="BL574" i="2"/>
  <c r="BK574" i="2" s="1"/>
  <c r="BJ574" i="2"/>
  <c r="BI574" i="2"/>
  <c r="BH574" i="2" s="1"/>
  <c r="BG574" i="2"/>
  <c r="BF574" i="2"/>
  <c r="BD574" i="2"/>
  <c r="BC574" i="2"/>
  <c r="BB574" i="2" s="1"/>
  <c r="BA574" i="2"/>
  <c r="AZ574" i="2"/>
  <c r="AY574" i="2" s="1"/>
  <c r="AX574" i="2"/>
  <c r="AW574" i="2"/>
  <c r="AV574" i="2" s="1"/>
  <c r="AU574" i="2"/>
  <c r="AT574" i="2"/>
  <c r="AS574" i="2" s="1"/>
  <c r="AR574" i="2"/>
  <c r="AQ574" i="2"/>
  <c r="AP574" i="2" s="1"/>
  <c r="AO574" i="2"/>
  <c r="AN574" i="2"/>
  <c r="EQ573" i="2"/>
  <c r="EN573" i="2"/>
  <c r="EK573" i="2"/>
  <c r="EH573" i="2"/>
  <c r="EE573" i="2"/>
  <c r="EB573" i="2"/>
  <c r="DY573" i="2"/>
  <c r="DV573" i="2"/>
  <c r="DS573" i="2"/>
  <c r="DP573" i="2"/>
  <c r="DM573" i="2"/>
  <c r="DJ573" i="2"/>
  <c r="DG573" i="2"/>
  <c r="DD573" i="2"/>
  <c r="DA573" i="2"/>
  <c r="CX573" i="2"/>
  <c r="CU573" i="2"/>
  <c r="CR573" i="2"/>
  <c r="CO573" i="2"/>
  <c r="CL573" i="2"/>
  <c r="CI573" i="2"/>
  <c r="CF573" i="2"/>
  <c r="CC573" i="2"/>
  <c r="BZ573" i="2"/>
  <c r="BW573" i="2"/>
  <c r="BT573" i="2"/>
  <c r="BQ573" i="2"/>
  <c r="BN573" i="2"/>
  <c r="BK573" i="2"/>
  <c r="BH573" i="2"/>
  <c r="BE573" i="2"/>
  <c r="BB573" i="2"/>
  <c r="AY573" i="2"/>
  <c r="AV573" i="2"/>
  <c r="AS573" i="2"/>
  <c r="AP573" i="2"/>
  <c r="EQ572" i="2"/>
  <c r="EN572" i="2"/>
  <c r="EK572" i="2"/>
  <c r="EH572" i="2"/>
  <c r="EE572" i="2"/>
  <c r="EB572" i="2"/>
  <c r="DY572" i="2"/>
  <c r="DV572" i="2"/>
  <c r="DS572" i="2"/>
  <c r="DP572" i="2"/>
  <c r="DM572" i="2"/>
  <c r="DJ572" i="2"/>
  <c r="DG572" i="2"/>
  <c r="DD572" i="2"/>
  <c r="DA572" i="2"/>
  <c r="CX572" i="2"/>
  <c r="CU572" i="2"/>
  <c r="CR572" i="2"/>
  <c r="CO572" i="2"/>
  <c r="CL572" i="2"/>
  <c r="CI572" i="2"/>
  <c r="CF572" i="2"/>
  <c r="CC572" i="2"/>
  <c r="BZ572" i="2"/>
  <c r="BW572" i="2"/>
  <c r="BT572" i="2"/>
  <c r="BQ572" i="2"/>
  <c r="BN572" i="2"/>
  <c r="BK572" i="2"/>
  <c r="BH572" i="2"/>
  <c r="BE572" i="2"/>
  <c r="BB572" i="2"/>
  <c r="AY572" i="2"/>
  <c r="AV572" i="2"/>
  <c r="AS572" i="2"/>
  <c r="AP572" i="2"/>
  <c r="ER571" i="2"/>
  <c r="EQ571" i="2" s="1"/>
  <c r="EP571" i="2"/>
  <c r="EO571" i="2"/>
  <c r="EN571" i="2" s="1"/>
  <c r="EM571" i="2"/>
  <c r="EL571" i="2"/>
  <c r="EK571" i="2" s="1"/>
  <c r="EJ571" i="2"/>
  <c r="EI571" i="2"/>
  <c r="EH571" i="2" s="1"/>
  <c r="EG571" i="2"/>
  <c r="EF571" i="2"/>
  <c r="EE571" i="2" s="1"/>
  <c r="ED571" i="2"/>
  <c r="EC571" i="2"/>
  <c r="EB571" i="2" s="1"/>
  <c r="EA571" i="2"/>
  <c r="DZ571" i="2"/>
  <c r="DY571" i="2" s="1"/>
  <c r="DX571" i="2"/>
  <c r="DW571" i="2"/>
  <c r="DV571" i="2" s="1"/>
  <c r="DU571" i="2"/>
  <c r="DT571" i="2"/>
  <c r="DS571" i="2" s="1"/>
  <c r="DR571" i="2"/>
  <c r="DQ571" i="2"/>
  <c r="DP571" i="2" s="1"/>
  <c r="DO571" i="2"/>
  <c r="DN571" i="2"/>
  <c r="DM571" i="2" s="1"/>
  <c r="DL571" i="2"/>
  <c r="DK571" i="2"/>
  <c r="DI571" i="2"/>
  <c r="DH571" i="2"/>
  <c r="DG571" i="2" s="1"/>
  <c r="DF571" i="2"/>
  <c r="DE571" i="2"/>
  <c r="DD571" i="2" s="1"/>
  <c r="DC571" i="2"/>
  <c r="DB571" i="2"/>
  <c r="DA571" i="2" s="1"/>
  <c r="CZ571" i="2"/>
  <c r="CY571" i="2"/>
  <c r="CX571" i="2" s="1"/>
  <c r="CW571" i="2"/>
  <c r="CV571" i="2"/>
  <c r="CU571" i="2" s="1"/>
  <c r="CT571" i="2"/>
  <c r="CS571" i="2"/>
  <c r="CR571" i="2" s="1"/>
  <c r="CQ571" i="2"/>
  <c r="CP571" i="2"/>
  <c r="CO571" i="2" s="1"/>
  <c r="CN571" i="2"/>
  <c r="CM571" i="2"/>
  <c r="CL571" i="2" s="1"/>
  <c r="CK571" i="2"/>
  <c r="CJ571" i="2"/>
  <c r="CI571" i="2" s="1"/>
  <c r="CH571" i="2"/>
  <c r="CG571" i="2"/>
  <c r="CF571" i="2" s="1"/>
  <c r="CE571" i="2"/>
  <c r="CD571" i="2"/>
  <c r="CC571" i="2" s="1"/>
  <c r="CB571" i="2"/>
  <c r="CA571" i="2"/>
  <c r="BZ571" i="2" s="1"/>
  <c r="BY571" i="2"/>
  <c r="BX571" i="2"/>
  <c r="BW571" i="2" s="1"/>
  <c r="BV571" i="2"/>
  <c r="BU571" i="2"/>
  <c r="BT571" i="2" s="1"/>
  <c r="BS571" i="2"/>
  <c r="BR571" i="2"/>
  <c r="BQ571" i="2" s="1"/>
  <c r="BP571" i="2"/>
  <c r="BO571" i="2"/>
  <c r="BN571" i="2" s="1"/>
  <c r="BM571" i="2"/>
  <c r="BL571" i="2"/>
  <c r="BK571" i="2" s="1"/>
  <c r="BJ571" i="2"/>
  <c r="BI571" i="2"/>
  <c r="BG571" i="2"/>
  <c r="BF571" i="2"/>
  <c r="BE571" i="2" s="1"/>
  <c r="BD571" i="2"/>
  <c r="BC571" i="2"/>
  <c r="BB571" i="2" s="1"/>
  <c r="BA571" i="2"/>
  <c r="AZ571" i="2"/>
  <c r="AY571" i="2" s="1"/>
  <c r="AX571" i="2"/>
  <c r="AW571" i="2"/>
  <c r="AV571" i="2" s="1"/>
  <c r="AU571" i="2"/>
  <c r="AT571" i="2"/>
  <c r="AS571" i="2" s="1"/>
  <c r="AR571" i="2"/>
  <c r="AQ571" i="2"/>
  <c r="AP571" i="2" s="1"/>
  <c r="AO571" i="2"/>
  <c r="AN571" i="2"/>
  <c r="AL568" i="2"/>
  <c r="AK568" i="2"/>
  <c r="AJ568" i="2"/>
  <c r="AI568" i="2"/>
  <c r="AH568" i="2"/>
  <c r="AG568" i="2"/>
  <c r="AF568" i="2"/>
  <c r="AE568" i="2"/>
  <c r="AD568" i="2"/>
  <c r="AC568" i="2"/>
  <c r="AB568" i="2"/>
  <c r="AA568" i="2"/>
  <c r="Z568" i="2"/>
  <c r="Y568" i="2"/>
  <c r="X568" i="2"/>
  <c r="W568" i="2"/>
  <c r="V568" i="2"/>
  <c r="U568" i="2"/>
  <c r="T568" i="2"/>
  <c r="S568" i="2"/>
  <c r="R568" i="2"/>
  <c r="Q568" i="2"/>
  <c r="P568" i="2"/>
  <c r="O568" i="2"/>
  <c r="N568" i="2"/>
  <c r="M568" i="2"/>
  <c r="L568" i="2"/>
  <c r="K568" i="2"/>
  <c r="J568" i="2"/>
  <c r="I568" i="2"/>
  <c r="H568" i="2"/>
  <c r="G568" i="2"/>
  <c r="F568" i="2"/>
  <c r="E568" i="2"/>
  <c r="DR566" i="2"/>
  <c r="DP566" i="2"/>
  <c r="DO566" i="2"/>
  <c r="DG566" i="2"/>
  <c r="BV566" i="2"/>
  <c r="DI556" i="2"/>
  <c r="DT556" i="2"/>
  <c r="DR556" i="2"/>
  <c r="DR564" i="2" s="1"/>
  <c r="DQ556" i="2"/>
  <c r="DQ564" i="2" s="1"/>
  <c r="DO556" i="2"/>
  <c r="DO564" i="2" s="1"/>
  <c r="DN556" i="2"/>
  <c r="DL556" i="2"/>
  <c r="DL564" i="2" s="1"/>
  <c r="DK556" i="2"/>
  <c r="DH556" i="2"/>
  <c r="DH563" i="2" s="1"/>
  <c r="DF556" i="2"/>
  <c r="DE556" i="2"/>
  <c r="DE564" i="2" s="1"/>
  <c r="DC556" i="2"/>
  <c r="DC564" i="2" s="1"/>
  <c r="DB556" i="2"/>
  <c r="DB563" i="2" s="1"/>
  <c r="CZ556" i="2"/>
  <c r="CZ564" i="2" s="1"/>
  <c r="CY556" i="2"/>
  <c r="CW556" i="2"/>
  <c r="CV556" i="2"/>
  <c r="CV563" i="2" s="1"/>
  <c r="CT556" i="2"/>
  <c r="CS556" i="2"/>
  <c r="CQ556" i="2"/>
  <c r="CQ564" i="2" s="1"/>
  <c r="CP556" i="2"/>
  <c r="CP563" i="2" s="1"/>
  <c r="CN556" i="2"/>
  <c r="CM556" i="2"/>
  <c r="CM564" i="2" s="1"/>
  <c r="CK556" i="2"/>
  <c r="CK564" i="2" s="1"/>
  <c r="CJ556" i="2"/>
  <c r="CJ563" i="2" s="1"/>
  <c r="CH556" i="2"/>
  <c r="CG556" i="2"/>
  <c r="CE556" i="2"/>
  <c r="CE564" i="2" s="1"/>
  <c r="CD556" i="2"/>
  <c r="CD563" i="2" s="1"/>
  <c r="CB556" i="2"/>
  <c r="CB564" i="2" s="1"/>
  <c r="CA556" i="2"/>
  <c r="BY556" i="2"/>
  <c r="BY564" i="2" s="1"/>
  <c r="BX556" i="2"/>
  <c r="BX563" i="2" s="1"/>
  <c r="BV556" i="2"/>
  <c r="BU556" i="2"/>
  <c r="BS556" i="2"/>
  <c r="BR556" i="2"/>
  <c r="BP556" i="2"/>
  <c r="BO556" i="2"/>
  <c r="BO564" i="2" s="1"/>
  <c r="BM556" i="2"/>
  <c r="BM564" i="2" s="1"/>
  <c r="BL556" i="2"/>
  <c r="BL563" i="2" s="1"/>
  <c r="BJ556" i="2"/>
  <c r="BI556" i="2"/>
  <c r="BG556" i="2"/>
  <c r="BG564" i="2" s="1"/>
  <c r="BF556" i="2"/>
  <c r="BF563" i="2" s="1"/>
  <c r="BD556" i="2"/>
  <c r="BD564" i="2" s="1"/>
  <c r="BC556" i="2"/>
  <c r="BA556" i="2"/>
  <c r="BA564" i="2" s="1"/>
  <c r="AZ556" i="2"/>
  <c r="AZ563" i="2" s="1"/>
  <c r="AX556" i="2"/>
  <c r="DF545" i="2"/>
  <c r="CN545" i="2"/>
  <c r="CD545" i="2"/>
  <c r="CD553" i="2" s="1"/>
  <c r="BD545" i="2"/>
  <c r="BD553" i="2" s="1"/>
  <c r="DT545" i="2"/>
  <c r="DT553" i="2" s="1"/>
  <c r="DR545" i="2"/>
  <c r="DR553" i="2" s="1"/>
  <c r="DQ545" i="2"/>
  <c r="DQ552" i="2" s="1"/>
  <c r="DO545" i="2"/>
  <c r="DO553" i="2" s="1"/>
  <c r="DN545" i="2"/>
  <c r="DL545" i="2"/>
  <c r="DL553" i="2" s="1"/>
  <c r="DK545" i="2"/>
  <c r="DK552" i="2" s="1"/>
  <c r="DI545" i="2"/>
  <c r="DH545" i="2"/>
  <c r="DE545" i="2"/>
  <c r="DC545" i="2"/>
  <c r="DC553" i="2" s="1"/>
  <c r="DB545" i="2"/>
  <c r="CZ545" i="2"/>
  <c r="CY545" i="2"/>
  <c r="CW545" i="2"/>
  <c r="CW553" i="2" s="1"/>
  <c r="CV545" i="2"/>
  <c r="CT545" i="2"/>
  <c r="CT553" i="2" s="1"/>
  <c r="CS545" i="2"/>
  <c r="CS552" i="2" s="1"/>
  <c r="CQ545" i="2"/>
  <c r="CQ553" i="2" s="1"/>
  <c r="CP545" i="2"/>
  <c r="CM545" i="2"/>
  <c r="CM552" i="2" s="1"/>
  <c r="CK545" i="2"/>
  <c r="CJ545" i="2"/>
  <c r="CJ553" i="2" s="1"/>
  <c r="CH545" i="2"/>
  <c r="CG545" i="2"/>
  <c r="CG552" i="2" s="1"/>
  <c r="CE545" i="2"/>
  <c r="CE553" i="2" s="1"/>
  <c r="CB545" i="2"/>
  <c r="CB553" i="2" s="1"/>
  <c r="CA545" i="2"/>
  <c r="BY545" i="2"/>
  <c r="BY553" i="2" s="1"/>
  <c r="BX545" i="2"/>
  <c r="BX553" i="2" s="1"/>
  <c r="BV545" i="2"/>
  <c r="BV553" i="2" s="1"/>
  <c r="BU545" i="2"/>
  <c r="BU552" i="2" s="1"/>
  <c r="BS545" i="2"/>
  <c r="BS553" i="2" s="1"/>
  <c r="BR545" i="2"/>
  <c r="BR553" i="2" s="1"/>
  <c r="BP545" i="2"/>
  <c r="BP553" i="2" s="1"/>
  <c r="BO545" i="2"/>
  <c r="BM545" i="2"/>
  <c r="BM553" i="2" s="1"/>
  <c r="BL545" i="2"/>
  <c r="BL553" i="2" s="1"/>
  <c r="BJ545" i="2"/>
  <c r="BJ553" i="2" s="1"/>
  <c r="BI545" i="2"/>
  <c r="BG545" i="2"/>
  <c r="BG553" i="2" s="1"/>
  <c r="BF545" i="2"/>
  <c r="BF553" i="2" s="1"/>
  <c r="BC545" i="2"/>
  <c r="BC552" i="2" s="1"/>
  <c r="BA545" i="2"/>
  <c r="AZ545" i="2"/>
  <c r="DR540" i="2"/>
  <c r="DO540" i="2"/>
  <c r="DL540" i="2"/>
  <c r="DI540" i="2"/>
  <c r="DF540" i="2"/>
  <c r="DC540" i="2"/>
  <c r="CZ540" i="2"/>
  <c r="CW540" i="2"/>
  <c r="CT540" i="2"/>
  <c r="CQ540" i="2"/>
  <c r="CN540" i="2"/>
  <c r="CK540" i="2"/>
  <c r="CH540" i="2"/>
  <c r="CE540" i="2"/>
  <c r="CB540" i="2"/>
  <c r="BY540" i="2"/>
  <c r="BV540" i="2"/>
  <c r="BS540" i="2"/>
  <c r="BP540" i="2"/>
  <c r="BM540" i="2"/>
  <c r="BJ540" i="2"/>
  <c r="BG540" i="2"/>
  <c r="BD540" i="2"/>
  <c r="BA540" i="2"/>
  <c r="AX540" i="2"/>
  <c r="DR533" i="2"/>
  <c r="DR541" i="2" s="1"/>
  <c r="DO533" i="2"/>
  <c r="DO541" i="2" s="1"/>
  <c r="DL533" i="2"/>
  <c r="DL541" i="2" s="1"/>
  <c r="DI533" i="2"/>
  <c r="DI541" i="2" s="1"/>
  <c r="DF533" i="2"/>
  <c r="DF541" i="2" s="1"/>
  <c r="DC533" i="2"/>
  <c r="DC541" i="2" s="1"/>
  <c r="CZ533" i="2"/>
  <c r="CZ541" i="2" s="1"/>
  <c r="CW533" i="2"/>
  <c r="CW541" i="2" s="1"/>
  <c r="CT533" i="2"/>
  <c r="CT541" i="2" s="1"/>
  <c r="CQ533" i="2"/>
  <c r="CQ541" i="2" s="1"/>
  <c r="CN533" i="2"/>
  <c r="CN541" i="2" s="1"/>
  <c r="CK533" i="2"/>
  <c r="CK541" i="2" s="1"/>
  <c r="CH533" i="2"/>
  <c r="CH541" i="2" s="1"/>
  <c r="CE533" i="2"/>
  <c r="CE541" i="2" s="1"/>
  <c r="CB533" i="2"/>
  <c r="CB541" i="2" s="1"/>
  <c r="BY533" i="2"/>
  <c r="BY541" i="2" s="1"/>
  <c r="BV533" i="2"/>
  <c r="BV541" i="2" s="1"/>
  <c r="BS533" i="2"/>
  <c r="BS541" i="2" s="1"/>
  <c r="BP533" i="2"/>
  <c r="BP541" i="2" s="1"/>
  <c r="BM533" i="2"/>
  <c r="BM541" i="2" s="1"/>
  <c r="BJ533" i="2"/>
  <c r="BJ541" i="2" s="1"/>
  <c r="BG533" i="2"/>
  <c r="BG541" i="2" s="1"/>
  <c r="BD533" i="2"/>
  <c r="BD541" i="2" s="1"/>
  <c r="BA533" i="2"/>
  <c r="BA541" i="2" s="1"/>
  <c r="AX533" i="2"/>
  <c r="AX541" i="2" s="1"/>
  <c r="CZ529" i="2"/>
  <c r="CW529" i="2"/>
  <c r="CV529" i="2"/>
  <c r="CT529" i="2"/>
  <c r="CS529" i="2"/>
  <c r="CQ529" i="2"/>
  <c r="CM529" i="2"/>
  <c r="CG529" i="2"/>
  <c r="CE529" i="2"/>
  <c r="BY529" i="2"/>
  <c r="BX529" i="2"/>
  <c r="BS529" i="2"/>
  <c r="CZ522" i="2"/>
  <c r="CZ530" i="2" s="1"/>
  <c r="CW522" i="2"/>
  <c r="CW530" i="2" s="1"/>
  <c r="CV522" i="2"/>
  <c r="CV530" i="2" s="1"/>
  <c r="CT522" i="2"/>
  <c r="CT530" i="2" s="1"/>
  <c r="CS522" i="2"/>
  <c r="CS530" i="2" s="1"/>
  <c r="CQ522" i="2"/>
  <c r="CQ530" i="2" s="1"/>
  <c r="CM522" i="2"/>
  <c r="CM530" i="2" s="1"/>
  <c r="CG522" i="2"/>
  <c r="CG530" i="2" s="1"/>
  <c r="CE522" i="2"/>
  <c r="CE530" i="2" s="1"/>
  <c r="BY522" i="2"/>
  <c r="BY530" i="2" s="1"/>
  <c r="BX522" i="2"/>
  <c r="BX530" i="2" s="1"/>
  <c r="BS522" i="2"/>
  <c r="BS530" i="2" s="1"/>
  <c r="AY519" i="2"/>
  <c r="AZ519" i="2" s="1"/>
  <c r="BA519" i="2" s="1"/>
  <c r="BB519" i="2" s="1"/>
  <c r="BC519" i="2" s="1"/>
  <c r="BD519" i="2" s="1"/>
  <c r="BE519" i="2" s="1"/>
  <c r="BF519" i="2" s="1"/>
  <c r="BG519" i="2" s="1"/>
  <c r="BH519" i="2" s="1"/>
  <c r="BI519" i="2" s="1"/>
  <c r="BJ519" i="2" s="1"/>
  <c r="BK519" i="2" s="1"/>
  <c r="BL519" i="2" s="1"/>
  <c r="BM519" i="2" s="1"/>
  <c r="BN519" i="2" s="1"/>
  <c r="BO519" i="2" s="1"/>
  <c r="BP519" i="2" s="1"/>
  <c r="BQ519" i="2" s="1"/>
  <c r="BR519" i="2" s="1"/>
  <c r="BS519" i="2" s="1"/>
  <c r="BT519" i="2" s="1"/>
  <c r="BU519" i="2" s="1"/>
  <c r="BV519" i="2" s="1"/>
  <c r="BW519" i="2" s="1"/>
  <c r="BX519" i="2" s="1"/>
  <c r="BY519" i="2" s="1"/>
  <c r="BZ519" i="2" s="1"/>
  <c r="CA519" i="2" s="1"/>
  <c r="CB519" i="2" s="1"/>
  <c r="CC519" i="2" s="1"/>
  <c r="CD519" i="2" s="1"/>
  <c r="CE519" i="2" s="1"/>
  <c r="CF519" i="2" s="1"/>
  <c r="CG519" i="2" s="1"/>
  <c r="CH519" i="2" s="1"/>
  <c r="CI519" i="2" s="1"/>
  <c r="CJ519" i="2" s="1"/>
  <c r="CK519" i="2" s="1"/>
  <c r="CL519" i="2" s="1"/>
  <c r="CM519" i="2" s="1"/>
  <c r="CN519" i="2" s="1"/>
  <c r="CO519" i="2" s="1"/>
  <c r="CP519" i="2" s="1"/>
  <c r="CQ519" i="2" s="1"/>
  <c r="CR519" i="2" s="1"/>
  <c r="CS519" i="2" s="1"/>
  <c r="CT519" i="2" s="1"/>
  <c r="CU519" i="2" s="1"/>
  <c r="CV519" i="2" s="1"/>
  <c r="CW519" i="2" s="1"/>
  <c r="CX519" i="2" s="1"/>
  <c r="CY519" i="2" s="1"/>
  <c r="CZ519" i="2" s="1"/>
  <c r="DA519" i="2" s="1"/>
  <c r="DB519" i="2" s="1"/>
  <c r="DC519" i="2" s="1"/>
  <c r="DD519" i="2" s="1"/>
  <c r="DE519" i="2" s="1"/>
  <c r="DF519" i="2" s="1"/>
  <c r="DG519" i="2" s="1"/>
  <c r="DH519" i="2" s="1"/>
  <c r="DI519" i="2" s="1"/>
  <c r="DJ519" i="2" s="1"/>
  <c r="DK519" i="2" s="1"/>
  <c r="DL519" i="2" s="1"/>
  <c r="DM519" i="2" s="1"/>
  <c r="DN519" i="2" s="1"/>
  <c r="DO519" i="2" s="1"/>
  <c r="DP519" i="2" s="1"/>
  <c r="DQ519" i="2" s="1"/>
  <c r="DR519" i="2" s="1"/>
  <c r="DS519" i="2" s="1"/>
  <c r="DT519" i="2" s="1"/>
  <c r="AY518" i="2"/>
  <c r="AZ518" i="2" s="1"/>
  <c r="BA518" i="2" s="1"/>
  <c r="BB518" i="2" s="1"/>
  <c r="BC518" i="2" s="1"/>
  <c r="BD518" i="2" s="1"/>
  <c r="BE518" i="2" s="1"/>
  <c r="BF518" i="2" s="1"/>
  <c r="BG518" i="2" s="1"/>
  <c r="BH518" i="2" s="1"/>
  <c r="BI518" i="2" s="1"/>
  <c r="BJ518" i="2" s="1"/>
  <c r="BK518" i="2" s="1"/>
  <c r="BL518" i="2" s="1"/>
  <c r="BM518" i="2" s="1"/>
  <c r="BN518" i="2" s="1"/>
  <c r="BO518" i="2" s="1"/>
  <c r="BP518" i="2" s="1"/>
  <c r="BQ518" i="2" s="1"/>
  <c r="BR518" i="2" s="1"/>
  <c r="BS518" i="2" s="1"/>
  <c r="BT518" i="2" s="1"/>
  <c r="BU518" i="2" s="1"/>
  <c r="BV518" i="2" s="1"/>
  <c r="BW518" i="2" s="1"/>
  <c r="BX518" i="2" s="1"/>
  <c r="BY518" i="2" s="1"/>
  <c r="BZ518" i="2" s="1"/>
  <c r="CA518" i="2" s="1"/>
  <c r="CB518" i="2" s="1"/>
  <c r="CC518" i="2" s="1"/>
  <c r="CD518" i="2" s="1"/>
  <c r="CE518" i="2" s="1"/>
  <c r="CF518" i="2" s="1"/>
  <c r="CG518" i="2" s="1"/>
  <c r="CH518" i="2" s="1"/>
  <c r="CI518" i="2" s="1"/>
  <c r="CJ518" i="2" s="1"/>
  <c r="CK518" i="2" s="1"/>
  <c r="CL518" i="2" s="1"/>
  <c r="CM518" i="2" s="1"/>
  <c r="CN518" i="2" s="1"/>
  <c r="CO518" i="2" s="1"/>
  <c r="CP518" i="2" s="1"/>
  <c r="CQ518" i="2" s="1"/>
  <c r="CR518" i="2" s="1"/>
  <c r="CS518" i="2" s="1"/>
  <c r="CT518" i="2" s="1"/>
  <c r="CU518" i="2" s="1"/>
  <c r="CV518" i="2" s="1"/>
  <c r="CW518" i="2" s="1"/>
  <c r="CX518" i="2" s="1"/>
  <c r="CY518" i="2" s="1"/>
  <c r="CZ518" i="2" s="1"/>
  <c r="DA518" i="2" s="1"/>
  <c r="DB518" i="2" s="1"/>
  <c r="DC518" i="2" s="1"/>
  <c r="DD518" i="2" s="1"/>
  <c r="DE518" i="2" s="1"/>
  <c r="DF518" i="2" s="1"/>
  <c r="DG518" i="2" s="1"/>
  <c r="DH518" i="2" s="1"/>
  <c r="DI518" i="2" s="1"/>
  <c r="DJ518" i="2" s="1"/>
  <c r="DK518" i="2" s="1"/>
  <c r="DL518" i="2" s="1"/>
  <c r="DM518" i="2" s="1"/>
  <c r="DN518" i="2" s="1"/>
  <c r="DO518" i="2" s="1"/>
  <c r="DP518" i="2" s="1"/>
  <c r="DQ518" i="2" s="1"/>
  <c r="DR518" i="2" s="1"/>
  <c r="DS518" i="2" s="1"/>
  <c r="DT518" i="2" s="1"/>
  <c r="AX515" i="2"/>
  <c r="AY514" i="2"/>
  <c r="AZ514" i="2" s="1"/>
  <c r="AY512" i="2"/>
  <c r="AZ512" i="2" s="1"/>
  <c r="BA512" i="2" s="1"/>
  <c r="BB512" i="2" s="1"/>
  <c r="BC512" i="2" s="1"/>
  <c r="BD512" i="2" s="1"/>
  <c r="BE512" i="2" s="1"/>
  <c r="BF512" i="2" s="1"/>
  <c r="BG512" i="2" s="1"/>
  <c r="BH512" i="2" s="1"/>
  <c r="BI512" i="2" s="1"/>
  <c r="BJ512" i="2" s="1"/>
  <c r="BK512" i="2" s="1"/>
  <c r="BL512" i="2" s="1"/>
  <c r="BM512" i="2" s="1"/>
  <c r="BN512" i="2" s="1"/>
  <c r="BO512" i="2" s="1"/>
  <c r="BP512" i="2" s="1"/>
  <c r="BQ512" i="2" s="1"/>
  <c r="BR512" i="2" s="1"/>
  <c r="BS512" i="2" s="1"/>
  <c r="BT512" i="2" s="1"/>
  <c r="BU512" i="2" s="1"/>
  <c r="BV512" i="2" s="1"/>
  <c r="BW512" i="2" s="1"/>
  <c r="BX512" i="2" s="1"/>
  <c r="BY512" i="2" s="1"/>
  <c r="BZ512" i="2" s="1"/>
  <c r="CA512" i="2" s="1"/>
  <c r="CB512" i="2" s="1"/>
  <c r="CC512" i="2" s="1"/>
  <c r="CD512" i="2" s="1"/>
  <c r="CE512" i="2" s="1"/>
  <c r="CF512" i="2" s="1"/>
  <c r="CG512" i="2" s="1"/>
  <c r="CH512" i="2" s="1"/>
  <c r="CI512" i="2" s="1"/>
  <c r="CJ512" i="2" s="1"/>
  <c r="CK512" i="2" s="1"/>
  <c r="CL512" i="2" s="1"/>
  <c r="CM512" i="2" s="1"/>
  <c r="CN512" i="2" s="1"/>
  <c r="CO512" i="2" s="1"/>
  <c r="CP512" i="2" s="1"/>
  <c r="CQ512" i="2" s="1"/>
  <c r="CR512" i="2" s="1"/>
  <c r="CS512" i="2" s="1"/>
  <c r="CT512" i="2" s="1"/>
  <c r="CU512" i="2" s="1"/>
  <c r="CV512" i="2" s="1"/>
  <c r="CW512" i="2" s="1"/>
  <c r="CX512" i="2" s="1"/>
  <c r="CY512" i="2" s="1"/>
  <c r="CZ512" i="2" s="1"/>
  <c r="DA512" i="2" s="1"/>
  <c r="DB512" i="2" s="1"/>
  <c r="DC512" i="2" s="1"/>
  <c r="DD512" i="2" s="1"/>
  <c r="DE512" i="2" s="1"/>
  <c r="DF512" i="2" s="1"/>
  <c r="DG512" i="2" s="1"/>
  <c r="DH512" i="2" s="1"/>
  <c r="DI512" i="2" s="1"/>
  <c r="DJ512" i="2" s="1"/>
  <c r="DK512" i="2" s="1"/>
  <c r="DL512" i="2" s="1"/>
  <c r="DM512" i="2" s="1"/>
  <c r="DN512" i="2" s="1"/>
  <c r="DO512" i="2" s="1"/>
  <c r="DP512" i="2" s="1"/>
  <c r="DQ512" i="2" s="1"/>
  <c r="DR512" i="2" s="1"/>
  <c r="DS512" i="2" s="1"/>
  <c r="DT512" i="2" s="1"/>
  <c r="DR511" i="2"/>
  <c r="DQ511" i="2"/>
  <c r="DO511" i="2"/>
  <c r="DN511" i="2"/>
  <c r="DL511" i="2"/>
  <c r="DK511" i="2"/>
  <c r="DF511" i="2"/>
  <c r="DE511" i="2"/>
  <c r="DC511" i="2"/>
  <c r="DB511" i="2"/>
  <c r="CZ511" i="2"/>
  <c r="CY511" i="2"/>
  <c r="CW511" i="2"/>
  <c r="CV511" i="2"/>
  <c r="CJ511" i="2"/>
  <c r="CH511" i="2"/>
  <c r="CG511" i="2"/>
  <c r="CE511" i="2"/>
  <c r="BX511" i="2"/>
  <c r="BR511" i="2"/>
  <c r="BP511" i="2"/>
  <c r="BO511" i="2"/>
  <c r="BL511" i="2"/>
  <c r="BJ511" i="2"/>
  <c r="BI511" i="2"/>
  <c r="BG511" i="2"/>
  <c r="BF511" i="2"/>
  <c r="BD511" i="2"/>
  <c r="BC511" i="2"/>
  <c r="BA511" i="2"/>
  <c r="AZ511" i="2"/>
  <c r="AX511" i="2"/>
  <c r="AY507" i="2"/>
  <c r="AZ507" i="2" s="1"/>
  <c r="BA507" i="2" s="1"/>
  <c r="BB507" i="2" s="1"/>
  <c r="BC507" i="2" s="1"/>
  <c r="BD507" i="2" s="1"/>
  <c r="BE507" i="2" s="1"/>
  <c r="BF507" i="2" s="1"/>
  <c r="BG507" i="2" s="1"/>
  <c r="BH507" i="2" s="1"/>
  <c r="BI507" i="2" s="1"/>
  <c r="BJ507" i="2" s="1"/>
  <c r="BK507" i="2" s="1"/>
  <c r="BL507" i="2" s="1"/>
  <c r="BM507" i="2" s="1"/>
  <c r="BN507" i="2" s="1"/>
  <c r="BO507" i="2" s="1"/>
  <c r="BP507" i="2" s="1"/>
  <c r="BQ507" i="2" s="1"/>
  <c r="BR507" i="2" s="1"/>
  <c r="BS507" i="2" s="1"/>
  <c r="BT507" i="2" s="1"/>
  <c r="BU507" i="2" s="1"/>
  <c r="BV507" i="2" s="1"/>
  <c r="BW507" i="2" s="1"/>
  <c r="BX507" i="2" s="1"/>
  <c r="BY507" i="2" s="1"/>
  <c r="BZ507" i="2" s="1"/>
  <c r="CA507" i="2" s="1"/>
  <c r="CB507" i="2" s="1"/>
  <c r="CC507" i="2" s="1"/>
  <c r="CD507" i="2" s="1"/>
  <c r="CE507" i="2" s="1"/>
  <c r="CF507" i="2" s="1"/>
  <c r="CG507" i="2" s="1"/>
  <c r="CH507" i="2" s="1"/>
  <c r="CI507" i="2" s="1"/>
  <c r="CJ507" i="2" s="1"/>
  <c r="CK507" i="2" s="1"/>
  <c r="CL507" i="2" s="1"/>
  <c r="CM507" i="2" s="1"/>
  <c r="CN507" i="2" s="1"/>
  <c r="CO507" i="2" s="1"/>
  <c r="CP507" i="2" s="1"/>
  <c r="CQ507" i="2" s="1"/>
  <c r="CR507" i="2" s="1"/>
  <c r="CS507" i="2" s="1"/>
  <c r="CT507" i="2" s="1"/>
  <c r="CU507" i="2" s="1"/>
  <c r="CV507" i="2" s="1"/>
  <c r="CW507" i="2" s="1"/>
  <c r="CX507" i="2" s="1"/>
  <c r="CY507" i="2" s="1"/>
  <c r="CZ507" i="2" s="1"/>
  <c r="DA507" i="2" s="1"/>
  <c r="DB507" i="2" s="1"/>
  <c r="DC507" i="2" s="1"/>
  <c r="DD507" i="2" s="1"/>
  <c r="DE507" i="2" s="1"/>
  <c r="DF507" i="2" s="1"/>
  <c r="DG507" i="2" s="1"/>
  <c r="DH507" i="2" s="1"/>
  <c r="DI507" i="2" s="1"/>
  <c r="DJ507" i="2" s="1"/>
  <c r="DK507" i="2" s="1"/>
  <c r="DL507" i="2" s="1"/>
  <c r="DM507" i="2" s="1"/>
  <c r="DN507" i="2" s="1"/>
  <c r="DO507" i="2" s="1"/>
  <c r="DP507" i="2" s="1"/>
  <c r="DQ507" i="2" s="1"/>
  <c r="DR507" i="2" s="1"/>
  <c r="DS507" i="2" s="1"/>
  <c r="DT507" i="2" s="1"/>
  <c r="DT506" i="2"/>
  <c r="DS506" i="2"/>
  <c r="DR506" i="2"/>
  <c r="DQ506" i="2"/>
  <c r="DP506" i="2"/>
  <c r="DO506" i="2"/>
  <c r="DN506" i="2"/>
  <c r="DM506" i="2"/>
  <c r="DL506" i="2"/>
  <c r="DK506" i="2"/>
  <c r="DJ506" i="2"/>
  <c r="DI506" i="2"/>
  <c r="DH506" i="2"/>
  <c r="DG506" i="2"/>
  <c r="DF506" i="2"/>
  <c r="DE506" i="2"/>
  <c r="DD506" i="2"/>
  <c r="DC506" i="2"/>
  <c r="DB506" i="2"/>
  <c r="DA506" i="2"/>
  <c r="CZ506" i="2"/>
  <c r="CY506" i="2"/>
  <c r="CX506" i="2"/>
  <c r="CW506" i="2"/>
  <c r="CV506" i="2"/>
  <c r="CU506" i="2"/>
  <c r="CT506" i="2"/>
  <c r="CS506" i="2"/>
  <c r="CR506" i="2"/>
  <c r="CQ506" i="2"/>
  <c r="CP506" i="2"/>
  <c r="CO506" i="2"/>
  <c r="CN506" i="2"/>
  <c r="CM506" i="2"/>
  <c r="CL506" i="2"/>
  <c r="CK506" i="2"/>
  <c r="CJ506" i="2"/>
  <c r="CI506" i="2"/>
  <c r="CH506" i="2"/>
  <c r="CG506" i="2"/>
  <c r="CF506" i="2"/>
  <c r="CE506" i="2"/>
  <c r="CD506" i="2"/>
  <c r="CC506" i="2"/>
  <c r="CB506" i="2"/>
  <c r="CA506" i="2"/>
  <c r="BZ506" i="2"/>
  <c r="BY506" i="2"/>
  <c r="BX506" i="2"/>
  <c r="BW506" i="2"/>
  <c r="BV506" i="2"/>
  <c r="BU506" i="2"/>
  <c r="BT506" i="2"/>
  <c r="BS506" i="2"/>
  <c r="BR506" i="2"/>
  <c r="BQ506" i="2"/>
  <c r="BP506" i="2"/>
  <c r="BO506" i="2"/>
  <c r="BN506" i="2"/>
  <c r="BM506" i="2"/>
  <c r="BL506" i="2"/>
  <c r="BK506" i="2"/>
  <c r="BJ506" i="2"/>
  <c r="BI506" i="2"/>
  <c r="BH506" i="2"/>
  <c r="BG506" i="2"/>
  <c r="BF506" i="2"/>
  <c r="BE506" i="2"/>
  <c r="BD506" i="2"/>
  <c r="BC506" i="2"/>
  <c r="BB506" i="2"/>
  <c r="BA506" i="2"/>
  <c r="AZ506" i="2"/>
  <c r="AY506" i="2"/>
  <c r="CN505" i="2"/>
  <c r="CM505" i="2"/>
  <c r="CK505" i="2"/>
  <c r="CJ505" i="2"/>
  <c r="CH505" i="2"/>
  <c r="CG505" i="2"/>
  <c r="CE505" i="2"/>
  <c r="CD505" i="2"/>
  <c r="CB505" i="2"/>
  <c r="CA505" i="2"/>
  <c r="BY505" i="2"/>
  <c r="BX505" i="2"/>
  <c r="BV505" i="2"/>
  <c r="BU505" i="2"/>
  <c r="BS505" i="2"/>
  <c r="BR505" i="2"/>
  <c r="BO505" i="2"/>
  <c r="BM505" i="2"/>
  <c r="BL505" i="2"/>
  <c r="BJ505" i="2"/>
  <c r="BI505" i="2"/>
  <c r="BG505" i="2"/>
  <c r="BF505" i="2"/>
  <c r="BD505" i="2"/>
  <c r="BC505" i="2"/>
  <c r="BA505" i="2"/>
  <c r="AZ505" i="2"/>
  <c r="AX505" i="2"/>
  <c r="AX504" i="2"/>
  <c r="AX500" i="2"/>
  <c r="AX499" i="2"/>
  <c r="AY498" i="2"/>
  <c r="AZ498" i="2" s="1"/>
  <c r="AZ504" i="2" s="1"/>
  <c r="AX497" i="2"/>
  <c r="AY496" i="2"/>
  <c r="AZ496" i="2" s="1"/>
  <c r="BA496" i="2" s="1"/>
  <c r="BB496" i="2" s="1"/>
  <c r="BC496" i="2" s="1"/>
  <c r="BD496" i="2" s="1"/>
  <c r="BE496" i="2" s="1"/>
  <c r="BF496" i="2" s="1"/>
  <c r="BG496" i="2" s="1"/>
  <c r="BH496" i="2" s="1"/>
  <c r="BI496" i="2" s="1"/>
  <c r="BJ496" i="2" s="1"/>
  <c r="BK496" i="2" s="1"/>
  <c r="BL496" i="2" s="1"/>
  <c r="BM496" i="2" s="1"/>
  <c r="BN496" i="2" s="1"/>
  <c r="BO496" i="2" s="1"/>
  <c r="BP496" i="2" s="1"/>
  <c r="BQ496" i="2" s="1"/>
  <c r="BR496" i="2" s="1"/>
  <c r="BS496" i="2" s="1"/>
  <c r="BT496" i="2" s="1"/>
  <c r="BU496" i="2" s="1"/>
  <c r="BV496" i="2" s="1"/>
  <c r="BW496" i="2" s="1"/>
  <c r="BX496" i="2" s="1"/>
  <c r="BY496" i="2" s="1"/>
  <c r="BZ496" i="2" s="1"/>
  <c r="CA496" i="2" s="1"/>
  <c r="CB496" i="2" s="1"/>
  <c r="CC496" i="2" s="1"/>
  <c r="CD496" i="2" s="1"/>
  <c r="CE496" i="2" s="1"/>
  <c r="CF496" i="2" s="1"/>
  <c r="CG496" i="2" s="1"/>
  <c r="CH496" i="2" s="1"/>
  <c r="CI496" i="2" s="1"/>
  <c r="CJ496" i="2" s="1"/>
  <c r="CK496" i="2" s="1"/>
  <c r="CL496" i="2" s="1"/>
  <c r="CM496" i="2" s="1"/>
  <c r="CN496" i="2" s="1"/>
  <c r="CO496" i="2" s="1"/>
  <c r="CP496" i="2" s="1"/>
  <c r="CQ496" i="2" s="1"/>
  <c r="CR496" i="2" s="1"/>
  <c r="CS496" i="2" s="1"/>
  <c r="CT496" i="2" s="1"/>
  <c r="CU496" i="2" s="1"/>
  <c r="CV496" i="2" s="1"/>
  <c r="CW496" i="2" s="1"/>
  <c r="CX496" i="2" s="1"/>
  <c r="CY496" i="2" s="1"/>
  <c r="CZ496" i="2" s="1"/>
  <c r="DA496" i="2" s="1"/>
  <c r="DB496" i="2" s="1"/>
  <c r="DC496" i="2" s="1"/>
  <c r="DD496" i="2" s="1"/>
  <c r="DE496" i="2" s="1"/>
  <c r="DF496" i="2" s="1"/>
  <c r="DG496" i="2" s="1"/>
  <c r="DH496" i="2" s="1"/>
  <c r="DI496" i="2" s="1"/>
  <c r="DJ496" i="2" s="1"/>
  <c r="DK496" i="2" s="1"/>
  <c r="DL496" i="2" s="1"/>
  <c r="DM496" i="2" s="1"/>
  <c r="DN496" i="2" s="1"/>
  <c r="DO496" i="2" s="1"/>
  <c r="DP496" i="2" s="1"/>
  <c r="DQ496" i="2" s="1"/>
  <c r="DR496" i="2" s="1"/>
  <c r="DS496" i="2" s="1"/>
  <c r="DT496" i="2" s="1"/>
  <c r="AY495" i="2"/>
  <c r="AZ495" i="2" s="1"/>
  <c r="BA495" i="2" s="1"/>
  <c r="BB495" i="2" s="1"/>
  <c r="BC495" i="2" s="1"/>
  <c r="BD495" i="2" s="1"/>
  <c r="BE495" i="2" s="1"/>
  <c r="BF495" i="2" s="1"/>
  <c r="BG495" i="2" s="1"/>
  <c r="BH495" i="2" s="1"/>
  <c r="BI495" i="2" s="1"/>
  <c r="BJ495" i="2" s="1"/>
  <c r="BK495" i="2" s="1"/>
  <c r="BL495" i="2" s="1"/>
  <c r="BM495" i="2" s="1"/>
  <c r="BN495" i="2" s="1"/>
  <c r="BO495" i="2" s="1"/>
  <c r="BP495" i="2" s="1"/>
  <c r="BQ495" i="2" s="1"/>
  <c r="BR495" i="2" s="1"/>
  <c r="BS495" i="2" s="1"/>
  <c r="BT495" i="2" s="1"/>
  <c r="BU495" i="2" s="1"/>
  <c r="BV495" i="2" s="1"/>
  <c r="BW495" i="2" s="1"/>
  <c r="BX495" i="2" s="1"/>
  <c r="BY495" i="2" s="1"/>
  <c r="BZ495" i="2" s="1"/>
  <c r="CA495" i="2" s="1"/>
  <c r="CB495" i="2" s="1"/>
  <c r="CC495" i="2" s="1"/>
  <c r="CD495" i="2" s="1"/>
  <c r="CE495" i="2" s="1"/>
  <c r="CF495" i="2" s="1"/>
  <c r="CG495" i="2" s="1"/>
  <c r="CH495" i="2" s="1"/>
  <c r="CI495" i="2" s="1"/>
  <c r="CJ495" i="2" s="1"/>
  <c r="CK495" i="2" s="1"/>
  <c r="CL495" i="2" s="1"/>
  <c r="CM495" i="2" s="1"/>
  <c r="CN495" i="2" s="1"/>
  <c r="CO495" i="2" s="1"/>
  <c r="CP495" i="2" s="1"/>
  <c r="CQ495" i="2" s="1"/>
  <c r="CR495" i="2" s="1"/>
  <c r="CS495" i="2" s="1"/>
  <c r="CT495" i="2" s="1"/>
  <c r="CU495" i="2" s="1"/>
  <c r="CV495" i="2" s="1"/>
  <c r="CW495" i="2" s="1"/>
  <c r="CX495" i="2" s="1"/>
  <c r="CY495" i="2" s="1"/>
  <c r="CZ495" i="2" s="1"/>
  <c r="DA495" i="2" s="1"/>
  <c r="DB495" i="2" s="1"/>
  <c r="DC495" i="2" s="1"/>
  <c r="DD495" i="2" s="1"/>
  <c r="DE495" i="2" s="1"/>
  <c r="DF495" i="2" s="1"/>
  <c r="DG495" i="2" s="1"/>
  <c r="DH495" i="2" s="1"/>
  <c r="DI495" i="2" s="1"/>
  <c r="DJ495" i="2" s="1"/>
  <c r="DK495" i="2" s="1"/>
  <c r="DL495" i="2" s="1"/>
  <c r="DM495" i="2" s="1"/>
  <c r="DN495" i="2" s="1"/>
  <c r="DO495" i="2" s="1"/>
  <c r="DP495" i="2" s="1"/>
  <c r="DQ495" i="2" s="1"/>
  <c r="DR495" i="2" s="1"/>
  <c r="DS495" i="2" s="1"/>
  <c r="DT495" i="2" s="1"/>
  <c r="AL493" i="2"/>
  <c r="AK493" i="2"/>
  <c r="AJ493" i="2"/>
  <c r="AI493" i="2"/>
  <c r="AH493" i="2"/>
  <c r="AG493" i="2"/>
  <c r="AF493" i="2"/>
  <c r="AE493" i="2"/>
  <c r="AD493" i="2"/>
  <c r="AC493" i="2"/>
  <c r="AB493" i="2"/>
  <c r="AA493" i="2"/>
  <c r="Z493" i="2"/>
  <c r="Y493" i="2"/>
  <c r="X493" i="2"/>
  <c r="W493" i="2"/>
  <c r="V493" i="2"/>
  <c r="U493" i="2"/>
  <c r="T493" i="2"/>
  <c r="S493" i="2"/>
  <c r="R493" i="2"/>
  <c r="Q493" i="2"/>
  <c r="P493" i="2"/>
  <c r="O493" i="2"/>
  <c r="N493" i="2"/>
  <c r="M493" i="2"/>
  <c r="L493" i="2"/>
  <c r="K493" i="2"/>
  <c r="J493" i="2"/>
  <c r="I493" i="2"/>
  <c r="H493" i="2"/>
  <c r="G493" i="2"/>
  <c r="F493" i="2"/>
  <c r="E493" i="2"/>
  <c r="BC489" i="2"/>
  <c r="BF489" i="2" s="1"/>
  <c r="BI489" i="2" s="1"/>
  <c r="BL489" i="2" s="1"/>
  <c r="BO489" i="2" s="1"/>
  <c r="BR489" i="2" s="1"/>
  <c r="BU489" i="2" s="1"/>
  <c r="BX489" i="2" s="1"/>
  <c r="CA489" i="2" s="1"/>
  <c r="CD489" i="2" s="1"/>
  <c r="CG489" i="2" s="1"/>
  <c r="CJ489" i="2" s="1"/>
  <c r="CM489" i="2" s="1"/>
  <c r="CP489" i="2" s="1"/>
  <c r="CS489" i="2" s="1"/>
  <c r="CV489" i="2" s="1"/>
  <c r="CY489" i="2" s="1"/>
  <c r="DB489" i="2" s="1"/>
  <c r="DE489" i="2" s="1"/>
  <c r="DH489" i="2" s="1"/>
  <c r="DK489" i="2" s="1"/>
  <c r="DN489" i="2" s="1"/>
  <c r="DQ489" i="2" s="1"/>
  <c r="DT489" i="2" s="1"/>
  <c r="DW489" i="2" s="1"/>
  <c r="DZ489" i="2" s="1"/>
  <c r="BC488" i="2"/>
  <c r="BF488" i="2" s="1"/>
  <c r="BI488" i="2" s="1"/>
  <c r="BL488" i="2" s="1"/>
  <c r="BO488" i="2" s="1"/>
  <c r="BR488" i="2" s="1"/>
  <c r="BU488" i="2" s="1"/>
  <c r="BX488" i="2" s="1"/>
  <c r="CA488" i="2" s="1"/>
  <c r="CD488" i="2" s="1"/>
  <c r="CG488" i="2" s="1"/>
  <c r="CJ488" i="2" s="1"/>
  <c r="CM488" i="2" s="1"/>
  <c r="CP488" i="2" s="1"/>
  <c r="CS488" i="2" s="1"/>
  <c r="CV488" i="2" s="1"/>
  <c r="CY488" i="2" s="1"/>
  <c r="DB488" i="2" s="1"/>
  <c r="DE488" i="2" s="1"/>
  <c r="DH488" i="2" s="1"/>
  <c r="DK488" i="2" s="1"/>
  <c r="DN488" i="2" s="1"/>
  <c r="DQ488" i="2" s="1"/>
  <c r="DT488" i="2" s="1"/>
  <c r="DW488" i="2" s="1"/>
  <c r="DZ488" i="2" s="1"/>
  <c r="O469" i="2"/>
  <c r="P469" i="2" s="1"/>
  <c r="Q469" i="2" s="1"/>
  <c r="R469" i="2" s="1"/>
  <c r="S469" i="2" s="1"/>
  <c r="T469" i="2" s="1"/>
  <c r="U469" i="2" s="1"/>
  <c r="V469" i="2" s="1"/>
  <c r="W469" i="2" s="1"/>
  <c r="X469" i="2" s="1"/>
  <c r="Y469" i="2" s="1"/>
  <c r="Z469" i="2" s="1"/>
  <c r="AA469" i="2" s="1"/>
  <c r="AB469" i="2" s="1"/>
  <c r="AC469" i="2" s="1"/>
  <c r="AD469" i="2" s="1"/>
  <c r="AE469" i="2" s="1"/>
  <c r="AF469" i="2" s="1"/>
  <c r="AG469" i="2" s="1"/>
  <c r="AH469" i="2" s="1"/>
  <c r="AI469" i="2" s="1"/>
  <c r="AJ469" i="2" s="1"/>
  <c r="AK469" i="2" s="1"/>
  <c r="AL469" i="2" s="1"/>
  <c r="AM469" i="2" s="1"/>
  <c r="AN469" i="2" s="1"/>
  <c r="AO469" i="2" s="1"/>
  <c r="AP469" i="2" s="1"/>
  <c r="AQ469" i="2" s="1"/>
  <c r="AR469" i="2" s="1"/>
  <c r="AS469" i="2" s="1"/>
  <c r="AT469" i="2" s="1"/>
  <c r="AU469" i="2" s="1"/>
  <c r="AV469" i="2" s="1"/>
  <c r="AW469" i="2" s="1"/>
  <c r="AX469" i="2" s="1"/>
  <c r="AY469" i="2" s="1"/>
  <c r="AZ469" i="2" s="1"/>
  <c r="BA469" i="2" s="1"/>
  <c r="BB469" i="2" s="1"/>
  <c r="BC469" i="2" s="1"/>
  <c r="BD469" i="2" s="1"/>
  <c r="BE469" i="2" s="1"/>
  <c r="BF469" i="2" s="1"/>
  <c r="BG469" i="2" s="1"/>
  <c r="BH469" i="2" s="1"/>
  <c r="BI469" i="2" s="1"/>
  <c r="BJ469" i="2" s="1"/>
  <c r="BK469" i="2" s="1"/>
  <c r="BL469" i="2" s="1"/>
  <c r="BM469" i="2" s="1"/>
  <c r="BN469" i="2" s="1"/>
  <c r="BO469" i="2" s="1"/>
  <c r="BP469" i="2" s="1"/>
  <c r="BQ469" i="2" s="1"/>
  <c r="BR469" i="2" s="1"/>
  <c r="BS469" i="2" s="1"/>
  <c r="BT469" i="2" s="1"/>
  <c r="BU469" i="2" s="1"/>
  <c r="BV469" i="2" s="1"/>
  <c r="BW469" i="2" s="1"/>
  <c r="BX469" i="2" s="1"/>
  <c r="BY469" i="2" s="1"/>
  <c r="BZ469" i="2" s="1"/>
  <c r="CA469" i="2" s="1"/>
  <c r="CB469" i="2" s="1"/>
  <c r="CC469" i="2" s="1"/>
  <c r="CD469" i="2" s="1"/>
  <c r="CE469" i="2" s="1"/>
  <c r="CF469" i="2" s="1"/>
  <c r="CG469" i="2" s="1"/>
  <c r="CH469" i="2" s="1"/>
  <c r="CI469" i="2" s="1"/>
  <c r="CJ469" i="2" s="1"/>
  <c r="CK469" i="2" s="1"/>
  <c r="CL469" i="2" s="1"/>
  <c r="CM469" i="2" s="1"/>
  <c r="DQ466" i="2"/>
  <c r="DH466" i="2"/>
  <c r="DG466" i="2"/>
  <c r="DE466" i="2"/>
  <c r="DA466" i="2"/>
  <c r="CX466" i="2"/>
  <c r="CU466" i="2"/>
  <c r="CS466" i="2"/>
  <c r="CP466" i="2"/>
  <c r="CO466" i="2"/>
  <c r="CH466" i="2"/>
  <c r="CG466" i="2"/>
  <c r="CF466" i="2"/>
  <c r="CD466" i="2"/>
  <c r="CA466" i="2"/>
  <c r="BV466" i="2"/>
  <c r="BX466" i="2" s="1"/>
  <c r="BS466" i="2"/>
  <c r="BR466" i="2"/>
  <c r="BI466" i="2"/>
  <c r="BE466" i="2"/>
  <c r="BD466" i="2"/>
  <c r="BB466" i="2"/>
  <c r="AV466" i="2"/>
  <c r="AS466" i="2"/>
  <c r="AR466" i="2"/>
  <c r="AP466" i="2"/>
  <c r="AO466" i="2"/>
  <c r="AM466" i="2"/>
  <c r="AL466" i="2"/>
  <c r="AJ466" i="2"/>
  <c r="AI466" i="2"/>
  <c r="AG466" i="2"/>
  <c r="AF466" i="2"/>
  <c r="AD466" i="2"/>
  <c r="AC466" i="2"/>
  <c r="AA466" i="2"/>
  <c r="Z466" i="2"/>
  <c r="X466" i="2"/>
  <c r="W466" i="2"/>
  <c r="U466" i="2"/>
  <c r="T466" i="2"/>
  <c r="R466" i="2"/>
  <c r="Q466" i="2"/>
  <c r="O466" i="2"/>
  <c r="N466" i="2"/>
  <c r="L466" i="2"/>
  <c r="K466" i="2"/>
  <c r="I466" i="2"/>
  <c r="H466" i="2"/>
  <c r="CS463" i="2"/>
  <c r="CK463" i="2"/>
  <c r="CJ463" i="2"/>
  <c r="CB463" i="2"/>
  <c r="CA463" i="2"/>
  <c r="BY463" i="2"/>
  <c r="BX463" i="2"/>
  <c r="BV463" i="2"/>
  <c r="BS463" i="2"/>
  <c r="BR463" i="2"/>
  <c r="BP463" i="2"/>
  <c r="BO463" i="2"/>
  <c r="BM463" i="2"/>
  <c r="BL463" i="2"/>
  <c r="BJ463" i="2"/>
  <c r="BQ461" i="2"/>
  <c r="BC461" i="2"/>
  <c r="BA461" i="2"/>
  <c r="AZ461" i="2"/>
  <c r="AX461" i="2"/>
  <c r="AW461" i="2"/>
  <c r="AU461" i="2"/>
  <c r="AT461" i="2"/>
  <c r="AR461" i="2"/>
  <c r="AQ461" i="2"/>
  <c r="AO461" i="2"/>
  <c r="AN461" i="2"/>
  <c r="AL461" i="2"/>
  <c r="AK461" i="2"/>
  <c r="AI461" i="2"/>
  <c r="AH461" i="2"/>
  <c r="AF461" i="2"/>
  <c r="AE461" i="2"/>
  <c r="AC461" i="2"/>
  <c r="AB461" i="2"/>
  <c r="Z461" i="2"/>
  <c r="Y461" i="2"/>
  <c r="W461" i="2"/>
  <c r="V461" i="2"/>
  <c r="T461" i="2"/>
  <c r="S461" i="2"/>
  <c r="Q461" i="2"/>
  <c r="P461" i="2"/>
  <c r="N461" i="2"/>
  <c r="M461" i="2"/>
  <c r="K461" i="2"/>
  <c r="J461" i="2"/>
  <c r="H461" i="2"/>
  <c r="G461" i="2"/>
  <c r="BO460" i="2"/>
  <c r="BM460" i="2"/>
  <c r="BC460" i="2"/>
  <c r="BA460" i="2"/>
  <c r="AZ460" i="2"/>
  <c r="AX460" i="2"/>
  <c r="AW460" i="2"/>
  <c r="AU460" i="2"/>
  <c r="AT460" i="2"/>
  <c r="AR460" i="2"/>
  <c r="AQ460" i="2"/>
  <c r="AO460" i="2"/>
  <c r="AN460" i="2"/>
  <c r="AL460" i="2"/>
  <c r="AK460" i="2"/>
  <c r="AI460" i="2"/>
  <c r="AH460" i="2"/>
  <c r="AF460" i="2"/>
  <c r="AE460" i="2"/>
  <c r="AC460" i="2"/>
  <c r="AB460" i="2"/>
  <c r="Z460" i="2"/>
  <c r="Y460" i="2"/>
  <c r="W460" i="2"/>
  <c r="V460" i="2"/>
  <c r="T460" i="2"/>
  <c r="S460" i="2"/>
  <c r="Q460" i="2"/>
  <c r="P460" i="2"/>
  <c r="N460" i="2"/>
  <c r="M460" i="2"/>
  <c r="K460" i="2"/>
  <c r="J460" i="2"/>
  <c r="H460" i="2"/>
  <c r="G460" i="2"/>
  <c r="DB455" i="2"/>
  <c r="CE455" i="2"/>
  <c r="CD455" i="2"/>
  <c r="CC455" i="2"/>
  <c r="CB455" i="2"/>
  <c r="BG455" i="2"/>
  <c r="BF455" i="2"/>
  <c r="BE455" i="2"/>
  <c r="BD455" i="2"/>
  <c r="BC455" i="2"/>
  <c r="BA455" i="2"/>
  <c r="AZ455" i="2"/>
  <c r="AX455" i="2"/>
  <c r="AW455" i="2"/>
  <c r="AL453" i="2"/>
  <c r="AK453" i="2"/>
  <c r="AJ453" i="2"/>
  <c r="AI453" i="2"/>
  <c r="AH453" i="2"/>
  <c r="AG453" i="2"/>
  <c r="AF453" i="2"/>
  <c r="AE453" i="2"/>
  <c r="AD453" i="2"/>
  <c r="AC453" i="2"/>
  <c r="AB453" i="2"/>
  <c r="AA453" i="2"/>
  <c r="Z453" i="2"/>
  <c r="Y453" i="2"/>
  <c r="X453" i="2"/>
  <c r="W453" i="2"/>
  <c r="V453" i="2"/>
  <c r="U453" i="2"/>
  <c r="T453" i="2"/>
  <c r="S453" i="2"/>
  <c r="R453" i="2"/>
  <c r="Q453" i="2"/>
  <c r="P453" i="2"/>
  <c r="O453" i="2"/>
  <c r="N453" i="2"/>
  <c r="M453" i="2"/>
  <c r="L453" i="2"/>
  <c r="K453" i="2"/>
  <c r="J453" i="2"/>
  <c r="I453" i="2"/>
  <c r="H453" i="2"/>
  <c r="G453" i="2"/>
  <c r="F453" i="2"/>
  <c r="E453" i="2"/>
  <c r="EQ450" i="2"/>
  <c r="EN450" i="2"/>
  <c r="EK450" i="2"/>
  <c r="EH450" i="2"/>
  <c r="EE450" i="2"/>
  <c r="EB450" i="2"/>
  <c r="DY450" i="2"/>
  <c r="DV450" i="2"/>
  <c r="DS450" i="2"/>
  <c r="DP450" i="2"/>
  <c r="DM450" i="2"/>
  <c r="DJ450" i="2"/>
  <c r="DG450" i="2"/>
  <c r="DD450" i="2"/>
  <c r="DA450" i="2"/>
  <c r="CX450" i="2"/>
  <c r="CU450" i="2"/>
  <c r="CR450" i="2"/>
  <c r="CO450" i="2"/>
  <c r="CL450" i="2"/>
  <c r="CI450" i="2"/>
  <c r="CF450" i="2"/>
  <c r="CC450" i="2"/>
  <c r="BZ450" i="2"/>
  <c r="BW450" i="2"/>
  <c r="BT450" i="2"/>
  <c r="BQ450" i="2"/>
  <c r="BN450" i="2"/>
  <c r="BK450" i="2"/>
  <c r="BH450" i="2"/>
  <c r="BE450" i="2"/>
  <c r="BB450" i="2"/>
  <c r="AY450" i="2"/>
  <c r="AV450" i="2"/>
  <c r="AS450" i="2"/>
  <c r="AP450" i="2"/>
  <c r="AM450" i="2"/>
  <c r="AJ450" i="2"/>
  <c r="AG450" i="2"/>
  <c r="AD450" i="2"/>
  <c r="AA450" i="2"/>
  <c r="X450" i="2"/>
  <c r="U450" i="2"/>
  <c r="R450" i="2"/>
  <c r="O450" i="2"/>
  <c r="L450" i="2"/>
  <c r="I450" i="2"/>
  <c r="F450" i="2"/>
  <c r="EQ449" i="2"/>
  <c r="EN449" i="2"/>
  <c r="EK449" i="2"/>
  <c r="EH449" i="2"/>
  <c r="EE449" i="2"/>
  <c r="EB449" i="2"/>
  <c r="DY449" i="2"/>
  <c r="DV449" i="2"/>
  <c r="DS449" i="2"/>
  <c r="DP449" i="2"/>
  <c r="DM449" i="2"/>
  <c r="DJ449" i="2"/>
  <c r="DG449" i="2"/>
  <c r="DD449" i="2"/>
  <c r="DA449" i="2"/>
  <c r="CX449" i="2"/>
  <c r="CU449" i="2"/>
  <c r="CR449" i="2"/>
  <c r="CO449" i="2"/>
  <c r="CL449" i="2"/>
  <c r="CI449" i="2"/>
  <c r="CF449" i="2"/>
  <c r="CC449" i="2"/>
  <c r="BZ449" i="2"/>
  <c r="BW449" i="2"/>
  <c r="BT449" i="2"/>
  <c r="BQ449" i="2"/>
  <c r="BN449" i="2"/>
  <c r="BK449" i="2"/>
  <c r="BH449" i="2"/>
  <c r="BE449" i="2"/>
  <c r="BB449" i="2"/>
  <c r="AY449" i="2"/>
  <c r="AV449" i="2"/>
  <c r="AS449" i="2"/>
  <c r="AP449" i="2"/>
  <c r="AM449" i="2"/>
  <c r="AJ449" i="2"/>
  <c r="AG449" i="2"/>
  <c r="AD449" i="2"/>
  <c r="AA449" i="2"/>
  <c r="X449" i="2"/>
  <c r="U449" i="2"/>
  <c r="R449" i="2"/>
  <c r="O449" i="2"/>
  <c r="L449" i="2"/>
  <c r="I449" i="2"/>
  <c r="F449" i="2"/>
  <c r="EQ448" i="2"/>
  <c r="EN448" i="2"/>
  <c r="EK448" i="2"/>
  <c r="EH448" i="2"/>
  <c r="EE448" i="2"/>
  <c r="EB448" i="2"/>
  <c r="DY448" i="2"/>
  <c r="DV448" i="2"/>
  <c r="DS448" i="2"/>
  <c r="DP448" i="2"/>
  <c r="DM448" i="2"/>
  <c r="DJ448" i="2"/>
  <c r="DG448" i="2"/>
  <c r="DD448" i="2"/>
  <c r="DA448" i="2"/>
  <c r="CX448" i="2"/>
  <c r="CU448" i="2"/>
  <c r="CR448" i="2"/>
  <c r="CO448" i="2"/>
  <c r="CL448" i="2"/>
  <c r="CI448" i="2"/>
  <c r="CF448" i="2"/>
  <c r="CC448" i="2"/>
  <c r="BZ448" i="2"/>
  <c r="BW448" i="2"/>
  <c r="BT448" i="2"/>
  <c r="BQ448" i="2"/>
  <c r="BN448" i="2"/>
  <c r="BK448" i="2"/>
  <c r="BH448" i="2"/>
  <c r="BE448" i="2"/>
  <c r="BB448" i="2"/>
  <c r="AY448" i="2"/>
  <c r="AV448" i="2"/>
  <c r="AS448" i="2"/>
  <c r="AP448" i="2"/>
  <c r="AM448" i="2"/>
  <c r="AJ448" i="2"/>
  <c r="AG448" i="2"/>
  <c r="AD448" i="2"/>
  <c r="AA448" i="2"/>
  <c r="X448" i="2"/>
  <c r="U448" i="2"/>
  <c r="R448" i="2"/>
  <c r="O448" i="2"/>
  <c r="L448" i="2"/>
  <c r="I448" i="2"/>
  <c r="F448" i="2"/>
  <c r="EQ445" i="2"/>
  <c r="EN445" i="2"/>
  <c r="EK445" i="2"/>
  <c r="EH445" i="2"/>
  <c r="EE445" i="2"/>
  <c r="EB445" i="2"/>
  <c r="DY445" i="2"/>
  <c r="DV445" i="2"/>
  <c r="DS445" i="2"/>
  <c r="DP445" i="2"/>
  <c r="DM445" i="2"/>
  <c r="DJ445" i="2"/>
  <c r="DG445" i="2"/>
  <c r="DD445" i="2"/>
  <c r="DA445" i="2"/>
  <c r="CX445" i="2"/>
  <c r="CU445" i="2"/>
  <c r="CR445" i="2"/>
  <c r="CO445" i="2"/>
  <c r="CL445" i="2"/>
  <c r="CI445" i="2"/>
  <c r="CF445" i="2"/>
  <c r="CC445" i="2"/>
  <c r="BZ445" i="2"/>
  <c r="BW445" i="2"/>
  <c r="BT445" i="2"/>
  <c r="BQ445" i="2"/>
  <c r="BN445" i="2"/>
  <c r="BK445" i="2"/>
  <c r="BH445" i="2"/>
  <c r="BE445" i="2"/>
  <c r="BB445" i="2"/>
  <c r="AY445" i="2"/>
  <c r="AV445" i="2"/>
  <c r="AS445" i="2"/>
  <c r="AP445" i="2"/>
  <c r="AM445" i="2"/>
  <c r="AJ445" i="2"/>
  <c r="AG445" i="2"/>
  <c r="AD445" i="2"/>
  <c r="AA445" i="2"/>
  <c r="X445" i="2"/>
  <c r="U445" i="2"/>
  <c r="R445" i="2"/>
  <c r="O445" i="2"/>
  <c r="L445" i="2"/>
  <c r="I445" i="2"/>
  <c r="F445" i="2"/>
  <c r="EQ444" i="2"/>
  <c r="EN444" i="2"/>
  <c r="EK444" i="2"/>
  <c r="EH444" i="2"/>
  <c r="EE444" i="2"/>
  <c r="EB444" i="2"/>
  <c r="DY444" i="2"/>
  <c r="DV444" i="2"/>
  <c r="DS444" i="2"/>
  <c r="DP444" i="2"/>
  <c r="DM444" i="2"/>
  <c r="DJ444" i="2"/>
  <c r="DG444" i="2"/>
  <c r="DD444" i="2"/>
  <c r="DA444" i="2"/>
  <c r="CX444" i="2"/>
  <c r="CU444" i="2"/>
  <c r="CR444" i="2"/>
  <c r="CO444" i="2"/>
  <c r="CL444" i="2"/>
  <c r="CI444" i="2"/>
  <c r="CF444" i="2"/>
  <c r="CC444" i="2"/>
  <c r="BZ444" i="2"/>
  <c r="BW444" i="2"/>
  <c r="BT444" i="2"/>
  <c r="BQ444" i="2"/>
  <c r="BN444" i="2"/>
  <c r="BK444" i="2"/>
  <c r="BH444" i="2"/>
  <c r="BE444" i="2"/>
  <c r="BB444" i="2"/>
  <c r="AY444" i="2"/>
  <c r="AV444" i="2"/>
  <c r="AS444" i="2"/>
  <c r="AP444" i="2"/>
  <c r="AM444" i="2"/>
  <c r="AJ444" i="2"/>
  <c r="AG444" i="2"/>
  <c r="AD444" i="2"/>
  <c r="AA444" i="2"/>
  <c r="X444" i="2"/>
  <c r="U444" i="2"/>
  <c r="R444" i="2"/>
  <c r="O444" i="2"/>
  <c r="L444" i="2"/>
  <c r="I444" i="2"/>
  <c r="F444" i="2"/>
  <c r="EQ443" i="2"/>
  <c r="EN443" i="2"/>
  <c r="EK443" i="2"/>
  <c r="EH443" i="2"/>
  <c r="EE443" i="2"/>
  <c r="EB443" i="2"/>
  <c r="DY443" i="2"/>
  <c r="DV443" i="2"/>
  <c r="DS443" i="2"/>
  <c r="DP443" i="2"/>
  <c r="DM443" i="2"/>
  <c r="DJ443" i="2"/>
  <c r="DG443" i="2"/>
  <c r="DD443" i="2"/>
  <c r="DA443" i="2"/>
  <c r="CX443" i="2"/>
  <c r="CU443" i="2"/>
  <c r="CR443" i="2"/>
  <c r="CO443" i="2"/>
  <c r="CL443" i="2"/>
  <c r="CI443" i="2"/>
  <c r="CF443" i="2"/>
  <c r="CC443" i="2"/>
  <c r="BZ443" i="2"/>
  <c r="BW443" i="2"/>
  <c r="BT443" i="2"/>
  <c r="BQ443" i="2"/>
  <c r="BN443" i="2"/>
  <c r="BK443" i="2"/>
  <c r="BH443" i="2"/>
  <c r="BE443" i="2"/>
  <c r="BB443" i="2"/>
  <c r="AY443" i="2"/>
  <c r="AV443" i="2"/>
  <c r="AS443" i="2"/>
  <c r="AP443" i="2"/>
  <c r="AM443" i="2"/>
  <c r="AJ443" i="2"/>
  <c r="AG443" i="2"/>
  <c r="AD443" i="2"/>
  <c r="AA443" i="2"/>
  <c r="X443" i="2"/>
  <c r="U443" i="2"/>
  <c r="R443" i="2"/>
  <c r="O443" i="2"/>
  <c r="L443" i="2"/>
  <c r="I443" i="2"/>
  <c r="F443" i="2"/>
  <c r="EQ440" i="2"/>
  <c r="EN440" i="2"/>
  <c r="EK440" i="2"/>
  <c r="EH440" i="2"/>
  <c r="EE440" i="2"/>
  <c r="EB440" i="2"/>
  <c r="DY440" i="2"/>
  <c r="DV440" i="2"/>
  <c r="DS440" i="2"/>
  <c r="DP440" i="2"/>
  <c r="DM440" i="2"/>
  <c r="DJ440" i="2"/>
  <c r="DG440" i="2"/>
  <c r="DD440" i="2"/>
  <c r="DA440" i="2"/>
  <c r="CX440" i="2"/>
  <c r="CU440" i="2"/>
  <c r="CR440" i="2"/>
  <c r="CO440" i="2"/>
  <c r="CL440" i="2"/>
  <c r="CI440" i="2"/>
  <c r="CF440" i="2"/>
  <c r="CC440" i="2"/>
  <c r="BZ440" i="2"/>
  <c r="BW440" i="2"/>
  <c r="BT440" i="2"/>
  <c r="BQ440" i="2"/>
  <c r="BN440" i="2"/>
  <c r="BK440" i="2"/>
  <c r="BH440" i="2"/>
  <c r="BE440" i="2"/>
  <c r="BB440" i="2"/>
  <c r="AY440" i="2"/>
  <c r="AV440" i="2"/>
  <c r="AS440" i="2"/>
  <c r="AP440" i="2"/>
  <c r="AM440" i="2"/>
  <c r="AJ440" i="2"/>
  <c r="AG440" i="2"/>
  <c r="AD440" i="2"/>
  <c r="AA440" i="2"/>
  <c r="X440" i="2"/>
  <c r="U440" i="2"/>
  <c r="R440" i="2"/>
  <c r="O440" i="2"/>
  <c r="L440" i="2"/>
  <c r="I440" i="2"/>
  <c r="F440" i="2"/>
  <c r="EQ439" i="2"/>
  <c r="EN439" i="2"/>
  <c r="EK439" i="2"/>
  <c r="EH439" i="2"/>
  <c r="EE439" i="2"/>
  <c r="EB439" i="2"/>
  <c r="DY439" i="2"/>
  <c r="DV439" i="2"/>
  <c r="DS439" i="2"/>
  <c r="DP439" i="2"/>
  <c r="DM439" i="2"/>
  <c r="DJ439" i="2"/>
  <c r="DG439" i="2"/>
  <c r="DD439" i="2"/>
  <c r="DA439" i="2"/>
  <c r="CX439" i="2"/>
  <c r="CU439" i="2"/>
  <c r="CR439" i="2"/>
  <c r="CO439" i="2"/>
  <c r="CL439" i="2"/>
  <c r="CI439" i="2"/>
  <c r="CF439" i="2"/>
  <c r="CC439" i="2"/>
  <c r="BZ439" i="2"/>
  <c r="BW439" i="2"/>
  <c r="BT439" i="2"/>
  <c r="BQ439" i="2"/>
  <c r="BN439" i="2"/>
  <c r="BK439" i="2"/>
  <c r="BH439" i="2"/>
  <c r="BE439" i="2"/>
  <c r="BB439" i="2"/>
  <c r="AY439" i="2"/>
  <c r="AV439" i="2"/>
  <c r="AS439" i="2"/>
  <c r="AP439" i="2"/>
  <c r="AM439" i="2"/>
  <c r="AJ439" i="2"/>
  <c r="AG439" i="2"/>
  <c r="AD439" i="2"/>
  <c r="AA439" i="2"/>
  <c r="X439" i="2"/>
  <c r="U439" i="2"/>
  <c r="R439" i="2"/>
  <c r="O439" i="2"/>
  <c r="L439" i="2"/>
  <c r="I439" i="2"/>
  <c r="F439" i="2"/>
  <c r="EQ438" i="2"/>
  <c r="EN438" i="2"/>
  <c r="EK438" i="2"/>
  <c r="EH438" i="2"/>
  <c r="EE438" i="2"/>
  <c r="EB438" i="2"/>
  <c r="DY438" i="2"/>
  <c r="DV438" i="2"/>
  <c r="DS438" i="2"/>
  <c r="DP438" i="2"/>
  <c r="DM438" i="2"/>
  <c r="DJ438" i="2"/>
  <c r="DG438" i="2"/>
  <c r="DD438" i="2"/>
  <c r="DA438" i="2"/>
  <c r="CX438" i="2"/>
  <c r="CU438" i="2"/>
  <c r="CR438" i="2"/>
  <c r="CO438" i="2"/>
  <c r="CL438" i="2"/>
  <c r="CI438" i="2"/>
  <c r="CF438" i="2"/>
  <c r="CC438" i="2"/>
  <c r="BZ438" i="2"/>
  <c r="BW438" i="2"/>
  <c r="BT438" i="2"/>
  <c r="BQ438" i="2"/>
  <c r="BN438" i="2"/>
  <c r="BK438" i="2"/>
  <c r="BH438" i="2"/>
  <c r="BE438" i="2"/>
  <c r="BB438" i="2"/>
  <c r="AY438" i="2"/>
  <c r="AV438" i="2"/>
  <c r="AS438" i="2"/>
  <c r="AP438" i="2"/>
  <c r="AM438" i="2"/>
  <c r="AJ438" i="2"/>
  <c r="AG438" i="2"/>
  <c r="AD438" i="2"/>
  <c r="AA438" i="2"/>
  <c r="X438" i="2"/>
  <c r="U438" i="2"/>
  <c r="R438" i="2"/>
  <c r="O438" i="2"/>
  <c r="L438" i="2"/>
  <c r="I438" i="2"/>
  <c r="F438" i="2"/>
  <c r="EQ435" i="2"/>
  <c r="EN435" i="2"/>
  <c r="EK435" i="2"/>
  <c r="EH435" i="2"/>
  <c r="EE435" i="2"/>
  <c r="EB435" i="2"/>
  <c r="DY435" i="2"/>
  <c r="DV435" i="2"/>
  <c r="DS435" i="2"/>
  <c r="DS545" i="2" s="1"/>
  <c r="DS552" i="2" s="1"/>
  <c r="DP435" i="2"/>
  <c r="DP545" i="2" s="1"/>
  <c r="DM435" i="2"/>
  <c r="DM545" i="2" s="1"/>
  <c r="DM553" i="2" s="1"/>
  <c r="DJ435" i="2"/>
  <c r="DJ545" i="2" s="1"/>
  <c r="DJ552" i="2" s="1"/>
  <c r="DG435" i="2"/>
  <c r="DG545" i="2" s="1"/>
  <c r="DD435" i="2"/>
  <c r="DD545" i="2" s="1"/>
  <c r="DD552" i="2" s="1"/>
  <c r="DA435" i="2"/>
  <c r="DA545" i="2" s="1"/>
  <c r="CX435" i="2"/>
  <c r="CX545" i="2" s="1"/>
  <c r="CX552" i="2" s="1"/>
  <c r="CU435" i="2"/>
  <c r="CU545" i="2" s="1"/>
  <c r="CU552" i="2" s="1"/>
  <c r="CR435" i="2"/>
  <c r="CR545" i="2" s="1"/>
  <c r="CR552" i="2" s="1"/>
  <c r="CO435" i="2"/>
  <c r="CO545" i="2" s="1"/>
  <c r="CL435" i="2"/>
  <c r="CL545" i="2" s="1"/>
  <c r="CL552" i="2" s="1"/>
  <c r="CI435" i="2"/>
  <c r="CI545" i="2" s="1"/>
  <c r="CI552" i="2" s="1"/>
  <c r="CF435" i="2"/>
  <c r="CF545" i="2" s="1"/>
  <c r="CC435" i="2"/>
  <c r="CC545" i="2" s="1"/>
  <c r="CC553" i="2" s="1"/>
  <c r="BZ435" i="2"/>
  <c r="BZ545" i="2" s="1"/>
  <c r="BZ553" i="2" s="1"/>
  <c r="BW435" i="2"/>
  <c r="BW545" i="2" s="1"/>
  <c r="BW552" i="2" s="1"/>
  <c r="BT435" i="2"/>
  <c r="BT545" i="2" s="1"/>
  <c r="BT552" i="2" s="1"/>
  <c r="BQ435" i="2"/>
  <c r="BQ545" i="2" s="1"/>
  <c r="BQ553" i="2" s="1"/>
  <c r="BN435" i="2"/>
  <c r="BN545" i="2" s="1"/>
  <c r="BK435" i="2"/>
  <c r="BK545" i="2" s="1"/>
  <c r="BK552" i="2" s="1"/>
  <c r="BH435" i="2"/>
  <c r="BH545" i="2" s="1"/>
  <c r="BH552" i="2" s="1"/>
  <c r="BE435" i="2"/>
  <c r="BE545" i="2" s="1"/>
  <c r="BB435" i="2"/>
  <c r="BB545" i="2" s="1"/>
  <c r="BB553" i="2" s="1"/>
  <c r="AY435" i="2"/>
  <c r="AY545" i="2" s="1"/>
  <c r="AV435" i="2"/>
  <c r="AS435" i="2"/>
  <c r="AP435" i="2"/>
  <c r="AM435" i="2"/>
  <c r="AJ435" i="2"/>
  <c r="AG435" i="2"/>
  <c r="AD435" i="2"/>
  <c r="AA435" i="2"/>
  <c r="X435" i="2"/>
  <c r="U435" i="2"/>
  <c r="R435" i="2"/>
  <c r="O435" i="2"/>
  <c r="L435" i="2"/>
  <c r="I435" i="2"/>
  <c r="F435" i="2"/>
  <c r="EQ434" i="2"/>
  <c r="EN434" i="2"/>
  <c r="EK434" i="2"/>
  <c r="EH434" i="2"/>
  <c r="EE434" i="2"/>
  <c r="EB434" i="2"/>
  <c r="DY434" i="2"/>
  <c r="DV434" i="2"/>
  <c r="DS434" i="2"/>
  <c r="DP434" i="2"/>
  <c r="DM434" i="2"/>
  <c r="DJ434" i="2"/>
  <c r="DG434" i="2"/>
  <c r="DD434" i="2"/>
  <c r="DA434" i="2"/>
  <c r="CX434" i="2"/>
  <c r="CU434" i="2"/>
  <c r="CR434" i="2"/>
  <c r="CO434" i="2"/>
  <c r="CL434" i="2"/>
  <c r="CI434" i="2"/>
  <c r="CF434" i="2"/>
  <c r="CC434" i="2"/>
  <c r="BZ434" i="2"/>
  <c r="BW434" i="2"/>
  <c r="BT434" i="2"/>
  <c r="BQ434" i="2"/>
  <c r="BN434" i="2"/>
  <c r="BK434" i="2"/>
  <c r="BH434" i="2"/>
  <c r="BE434" i="2"/>
  <c r="BB434" i="2"/>
  <c r="AY434" i="2"/>
  <c r="AV434" i="2"/>
  <c r="AS434" i="2"/>
  <c r="AP434" i="2"/>
  <c r="AM434" i="2"/>
  <c r="AJ434" i="2"/>
  <c r="AG434" i="2"/>
  <c r="AD434" i="2"/>
  <c r="AA434" i="2"/>
  <c r="X434" i="2"/>
  <c r="U434" i="2"/>
  <c r="R434" i="2"/>
  <c r="O434" i="2"/>
  <c r="L434" i="2"/>
  <c r="I434" i="2"/>
  <c r="F434" i="2"/>
  <c r="EQ433" i="2"/>
  <c r="EN433" i="2"/>
  <c r="EK433" i="2"/>
  <c r="EH433" i="2"/>
  <c r="EE433" i="2"/>
  <c r="EB433" i="2"/>
  <c r="DY433" i="2"/>
  <c r="DV433" i="2"/>
  <c r="DS433" i="2"/>
  <c r="DP433" i="2"/>
  <c r="DM433" i="2"/>
  <c r="DJ433" i="2"/>
  <c r="DG433" i="2"/>
  <c r="DD433" i="2"/>
  <c r="DA433" i="2"/>
  <c r="CX433" i="2"/>
  <c r="CU433" i="2"/>
  <c r="CR433" i="2"/>
  <c r="CO433" i="2"/>
  <c r="CL433" i="2"/>
  <c r="CI433" i="2"/>
  <c r="CF433" i="2"/>
  <c r="CC433" i="2"/>
  <c r="BZ433" i="2"/>
  <c r="BW433" i="2"/>
  <c r="BT433" i="2"/>
  <c r="BQ433" i="2"/>
  <c r="BN433" i="2"/>
  <c r="BK433" i="2"/>
  <c r="BH433" i="2"/>
  <c r="BE433" i="2"/>
  <c r="BB433" i="2"/>
  <c r="AY433" i="2"/>
  <c r="AV433" i="2"/>
  <c r="AS433" i="2"/>
  <c r="AP433" i="2"/>
  <c r="AM433" i="2"/>
  <c r="AJ433" i="2"/>
  <c r="AG433" i="2"/>
  <c r="AD433" i="2"/>
  <c r="AA433" i="2"/>
  <c r="X433" i="2"/>
  <c r="U433" i="2"/>
  <c r="R433" i="2"/>
  <c r="O433" i="2"/>
  <c r="L433" i="2"/>
  <c r="I433" i="2"/>
  <c r="F433" i="2"/>
  <c r="EQ430" i="2"/>
  <c r="EN430" i="2"/>
  <c r="EK430" i="2"/>
  <c r="EH430" i="2"/>
  <c r="EE430" i="2"/>
  <c r="EB430" i="2"/>
  <c r="DY430" i="2"/>
  <c r="DV430" i="2"/>
  <c r="DS430" i="2"/>
  <c r="DP430" i="2"/>
  <c r="DM430" i="2"/>
  <c r="DJ430" i="2"/>
  <c r="DG430" i="2"/>
  <c r="DD430" i="2"/>
  <c r="DA430" i="2"/>
  <c r="CX430" i="2"/>
  <c r="CU430" i="2"/>
  <c r="CR430" i="2"/>
  <c r="CO430" i="2"/>
  <c r="CL430" i="2"/>
  <c r="CI430" i="2"/>
  <c r="CF430" i="2"/>
  <c r="CC430" i="2"/>
  <c r="BZ430" i="2"/>
  <c r="BW430" i="2"/>
  <c r="BT430" i="2"/>
  <c r="BQ430" i="2"/>
  <c r="BN430" i="2"/>
  <c r="BK430" i="2"/>
  <c r="BH430" i="2"/>
  <c r="BE430" i="2"/>
  <c r="BB430" i="2"/>
  <c r="AY430" i="2"/>
  <c r="AV430" i="2"/>
  <c r="AS430" i="2"/>
  <c r="AP430" i="2"/>
  <c r="AM430" i="2"/>
  <c r="AJ430" i="2"/>
  <c r="AG430" i="2"/>
  <c r="AD430" i="2"/>
  <c r="AA430" i="2"/>
  <c r="X430" i="2"/>
  <c r="U430" i="2"/>
  <c r="R430" i="2"/>
  <c r="O430" i="2"/>
  <c r="L430" i="2"/>
  <c r="I430" i="2"/>
  <c r="F430" i="2"/>
  <c r="EQ429" i="2"/>
  <c r="EN429" i="2"/>
  <c r="EK429" i="2"/>
  <c r="EH429" i="2"/>
  <c r="EE429" i="2"/>
  <c r="EB429" i="2"/>
  <c r="DY429" i="2"/>
  <c r="DV429" i="2"/>
  <c r="DS429" i="2"/>
  <c r="DP429" i="2"/>
  <c r="DM429" i="2"/>
  <c r="DJ429" i="2"/>
  <c r="DG429" i="2"/>
  <c r="DD429" i="2"/>
  <c r="DA429" i="2"/>
  <c r="CX429" i="2"/>
  <c r="CU429" i="2"/>
  <c r="CR429" i="2"/>
  <c r="CO429" i="2"/>
  <c r="CL429" i="2"/>
  <c r="CI429" i="2"/>
  <c r="CF429" i="2"/>
  <c r="CC429" i="2"/>
  <c r="BZ429" i="2"/>
  <c r="BW429" i="2"/>
  <c r="BT429" i="2"/>
  <c r="BQ429" i="2"/>
  <c r="BN429" i="2"/>
  <c r="BK429" i="2"/>
  <c r="BH429" i="2"/>
  <c r="BE429" i="2"/>
  <c r="BB429" i="2"/>
  <c r="AY429" i="2"/>
  <c r="AV429" i="2"/>
  <c r="AS429" i="2"/>
  <c r="AP429" i="2"/>
  <c r="AM429" i="2"/>
  <c r="AJ429" i="2"/>
  <c r="AG429" i="2"/>
  <c r="AD429" i="2"/>
  <c r="AA429" i="2"/>
  <c r="X429" i="2"/>
  <c r="U429" i="2"/>
  <c r="R429" i="2"/>
  <c r="O429" i="2"/>
  <c r="L429" i="2"/>
  <c r="I429" i="2"/>
  <c r="F429" i="2"/>
  <c r="EQ428" i="2"/>
  <c r="EN428" i="2"/>
  <c r="EK428" i="2"/>
  <c r="EH428" i="2"/>
  <c r="EE428" i="2"/>
  <c r="EB428" i="2"/>
  <c r="DY428" i="2"/>
  <c r="DV428" i="2"/>
  <c r="DS428" i="2"/>
  <c r="DS556" i="2" s="1"/>
  <c r="DP428" i="2"/>
  <c r="DP556" i="2" s="1"/>
  <c r="DP564" i="2" s="1"/>
  <c r="DM428" i="2"/>
  <c r="DM556" i="2" s="1"/>
  <c r="DJ428" i="2"/>
  <c r="DJ556" i="2" s="1"/>
  <c r="DJ564" i="2" s="1"/>
  <c r="DG428" i="2"/>
  <c r="DG556" i="2" s="1"/>
  <c r="DG564" i="2" s="1"/>
  <c r="DD428" i="2"/>
  <c r="DD556" i="2" s="1"/>
  <c r="DD564" i="2" s="1"/>
  <c r="DA428" i="2"/>
  <c r="DA556" i="2" s="1"/>
  <c r="DA563" i="2" s="1"/>
  <c r="CX428" i="2"/>
  <c r="CX556" i="2" s="1"/>
  <c r="CX564" i="2" s="1"/>
  <c r="CU428" i="2"/>
  <c r="CU556" i="2" s="1"/>
  <c r="CR428" i="2"/>
  <c r="CR556" i="2" s="1"/>
  <c r="CR564" i="2" s="1"/>
  <c r="CO428" i="2"/>
  <c r="CO556" i="2" s="1"/>
  <c r="CO564" i="2" s="1"/>
  <c r="CL428" i="2"/>
  <c r="CL556" i="2" s="1"/>
  <c r="CL564" i="2" s="1"/>
  <c r="CI428" i="2"/>
  <c r="CI556" i="2" s="1"/>
  <c r="CF428" i="2"/>
  <c r="CF556" i="2" s="1"/>
  <c r="CF564" i="2" s="1"/>
  <c r="CC428" i="2"/>
  <c r="CC556" i="2" s="1"/>
  <c r="BZ428" i="2"/>
  <c r="BZ556" i="2" s="1"/>
  <c r="BZ564" i="2" s="1"/>
  <c r="BW428" i="2"/>
  <c r="BW556" i="2" s="1"/>
  <c r="BW564" i="2" s="1"/>
  <c r="BT428" i="2"/>
  <c r="BT556" i="2" s="1"/>
  <c r="BQ428" i="2"/>
  <c r="BQ556" i="2" s="1"/>
  <c r="BN428" i="2"/>
  <c r="BN556" i="2" s="1"/>
  <c r="BN564" i="2" s="1"/>
  <c r="BK428" i="2"/>
  <c r="BK556" i="2" s="1"/>
  <c r="BK564" i="2" s="1"/>
  <c r="BH428" i="2"/>
  <c r="BH556" i="2" s="1"/>
  <c r="BH564" i="2" s="1"/>
  <c r="BE428" i="2"/>
  <c r="BE556" i="2" s="1"/>
  <c r="BB428" i="2"/>
  <c r="BB556" i="2" s="1"/>
  <c r="BB564" i="2" s="1"/>
  <c r="AY428" i="2"/>
  <c r="AY556" i="2" s="1"/>
  <c r="AV428" i="2"/>
  <c r="AS428" i="2"/>
  <c r="AP428" i="2"/>
  <c r="AM428" i="2"/>
  <c r="AJ428" i="2"/>
  <c r="AG428" i="2"/>
  <c r="AD428" i="2"/>
  <c r="AA428" i="2"/>
  <c r="X428" i="2"/>
  <c r="U428" i="2"/>
  <c r="R428" i="2"/>
  <c r="O428" i="2"/>
  <c r="L428" i="2"/>
  <c r="I428" i="2"/>
  <c r="F428" i="2"/>
  <c r="ER425" i="2"/>
  <c r="EQ425" i="2" s="1"/>
  <c r="EO425" i="2"/>
  <c r="EN425" i="2" s="1"/>
  <c r="EL425" i="2"/>
  <c r="EK425" i="2" s="1"/>
  <c r="EI425" i="2"/>
  <c r="EH425" i="2" s="1"/>
  <c r="EF425" i="2"/>
  <c r="EE425" i="2" s="1"/>
  <c r="EC425" i="2"/>
  <c r="EB425" i="2" s="1"/>
  <c r="DZ425" i="2"/>
  <c r="DY425" i="2" s="1"/>
  <c r="DW425" i="2"/>
  <c r="DV425" i="2" s="1"/>
  <c r="DT425" i="2"/>
  <c r="DS425" i="2" s="1"/>
  <c r="DQ425" i="2"/>
  <c r="DP425" i="2" s="1"/>
  <c r="DN425" i="2"/>
  <c r="DM425" i="2" s="1"/>
  <c r="DK425" i="2"/>
  <c r="DJ425" i="2" s="1"/>
  <c r="DH425" i="2"/>
  <c r="DG425" i="2" s="1"/>
  <c r="DE425" i="2"/>
  <c r="DD425" i="2" s="1"/>
  <c r="DB425" i="2"/>
  <c r="DA425" i="2" s="1"/>
  <c r="CY425" i="2"/>
  <c r="CX425" i="2" s="1"/>
  <c r="CV425" i="2"/>
  <c r="CU425" i="2" s="1"/>
  <c r="CS425" i="2"/>
  <c r="CR425" i="2" s="1"/>
  <c r="CP425" i="2"/>
  <c r="CO425" i="2" s="1"/>
  <c r="CM425" i="2"/>
  <c r="CL425" i="2" s="1"/>
  <c r="CJ425" i="2"/>
  <c r="CI425" i="2" s="1"/>
  <c r="CG425" i="2"/>
  <c r="CF425" i="2" s="1"/>
  <c r="CD425" i="2"/>
  <c r="CC425" i="2" s="1"/>
  <c r="CA425" i="2"/>
  <c r="BZ425" i="2" s="1"/>
  <c r="BX425" i="2"/>
  <c r="BW425" i="2" s="1"/>
  <c r="BU425" i="2"/>
  <c r="BT425" i="2" s="1"/>
  <c r="BR425" i="2"/>
  <c r="BQ425" i="2" s="1"/>
  <c r="BO425" i="2"/>
  <c r="BN425" i="2" s="1"/>
  <c r="BL425" i="2"/>
  <c r="BK425" i="2" s="1"/>
  <c r="BI425" i="2"/>
  <c r="BH425" i="2" s="1"/>
  <c r="BF425" i="2"/>
  <c r="BE425" i="2" s="1"/>
  <c r="BC425" i="2"/>
  <c r="BB425" i="2" s="1"/>
  <c r="AZ425" i="2"/>
  <c r="AY425" i="2" s="1"/>
  <c r="AV425" i="2"/>
  <c r="AS425" i="2"/>
  <c r="AP425" i="2"/>
  <c r="AM425" i="2"/>
  <c r="AJ425" i="2"/>
  <c r="AG425" i="2"/>
  <c r="AD425" i="2"/>
  <c r="AA425" i="2"/>
  <c r="X425" i="2"/>
  <c r="U425" i="2"/>
  <c r="R425" i="2"/>
  <c r="O425" i="2"/>
  <c r="L425" i="2"/>
  <c r="I425" i="2"/>
  <c r="F425" i="2"/>
  <c r="ER424" i="2"/>
  <c r="EQ424" i="2" s="1"/>
  <c r="EO424" i="2"/>
  <c r="EN424" i="2" s="1"/>
  <c r="EL424" i="2"/>
  <c r="EK424" i="2" s="1"/>
  <c r="EI424" i="2"/>
  <c r="EH424" i="2" s="1"/>
  <c r="EF424" i="2"/>
  <c r="EE424" i="2" s="1"/>
  <c r="EC424" i="2"/>
  <c r="EB424" i="2" s="1"/>
  <c r="DZ424" i="2"/>
  <c r="DY424" i="2" s="1"/>
  <c r="DW424" i="2"/>
  <c r="DV424" i="2" s="1"/>
  <c r="DT424" i="2"/>
  <c r="DS424" i="2" s="1"/>
  <c r="DQ424" i="2"/>
  <c r="DP424" i="2" s="1"/>
  <c r="DN424" i="2"/>
  <c r="DM424" i="2" s="1"/>
  <c r="DK424" i="2"/>
  <c r="DJ424" i="2" s="1"/>
  <c r="DH424" i="2"/>
  <c r="DG424" i="2" s="1"/>
  <c r="DE424" i="2"/>
  <c r="DD424" i="2" s="1"/>
  <c r="DB424" i="2"/>
  <c r="DA424" i="2" s="1"/>
  <c r="CY424" i="2"/>
  <c r="CX424" i="2" s="1"/>
  <c r="CV424" i="2"/>
  <c r="CU424" i="2" s="1"/>
  <c r="CS424" i="2"/>
  <c r="CR424" i="2" s="1"/>
  <c r="CP424" i="2"/>
  <c r="CO424" i="2" s="1"/>
  <c r="CM424" i="2"/>
  <c r="CL424" i="2" s="1"/>
  <c r="CJ424" i="2"/>
  <c r="CI424" i="2" s="1"/>
  <c r="CG424" i="2"/>
  <c r="CF424" i="2" s="1"/>
  <c r="CD424" i="2"/>
  <c r="CC424" i="2" s="1"/>
  <c r="CA424" i="2"/>
  <c r="BZ424" i="2" s="1"/>
  <c r="BX424" i="2"/>
  <c r="BW424" i="2" s="1"/>
  <c r="BU424" i="2"/>
  <c r="BT424" i="2" s="1"/>
  <c r="BR424" i="2"/>
  <c r="BQ424" i="2" s="1"/>
  <c r="BO424" i="2"/>
  <c r="BN424" i="2" s="1"/>
  <c r="BL424" i="2"/>
  <c r="BK424" i="2" s="1"/>
  <c r="BI424" i="2"/>
  <c r="BH424" i="2" s="1"/>
  <c r="BF424" i="2"/>
  <c r="BE424" i="2" s="1"/>
  <c r="BC424" i="2"/>
  <c r="BB424" i="2" s="1"/>
  <c r="AZ424" i="2"/>
  <c r="AY424" i="2" s="1"/>
  <c r="AV424" i="2"/>
  <c r="AS424" i="2"/>
  <c r="AP424" i="2"/>
  <c r="AM424" i="2"/>
  <c r="AJ424" i="2"/>
  <c r="AG424" i="2"/>
  <c r="AD424" i="2"/>
  <c r="AA424" i="2"/>
  <c r="X424" i="2"/>
  <c r="U424" i="2"/>
  <c r="R424" i="2"/>
  <c r="O424" i="2"/>
  <c r="L424" i="2"/>
  <c r="I424" i="2"/>
  <c r="F424" i="2"/>
  <c r="ER423" i="2"/>
  <c r="EQ423" i="2" s="1"/>
  <c r="EO423" i="2"/>
  <c r="EN423" i="2" s="1"/>
  <c r="EL423" i="2"/>
  <c r="EK423" i="2" s="1"/>
  <c r="EI423" i="2"/>
  <c r="EH423" i="2" s="1"/>
  <c r="EF423" i="2"/>
  <c r="EE423" i="2" s="1"/>
  <c r="EC423" i="2"/>
  <c r="EB423" i="2" s="1"/>
  <c r="DZ423" i="2"/>
  <c r="DY423" i="2" s="1"/>
  <c r="DW423" i="2"/>
  <c r="DV423" i="2" s="1"/>
  <c r="DT423" i="2"/>
  <c r="DS423" i="2" s="1"/>
  <c r="DQ423" i="2"/>
  <c r="DP423" i="2" s="1"/>
  <c r="DP533" i="2" s="1"/>
  <c r="DP541" i="2" s="1"/>
  <c r="DN423" i="2"/>
  <c r="DN540" i="2" s="1"/>
  <c r="DK423" i="2"/>
  <c r="DH423" i="2"/>
  <c r="DG423" i="2" s="1"/>
  <c r="DG540" i="2" s="1"/>
  <c r="DE423" i="2"/>
  <c r="DB423" i="2"/>
  <c r="DB533" i="2" s="1"/>
  <c r="DB541" i="2" s="1"/>
  <c r="CY423" i="2"/>
  <c r="CY533" i="2" s="1"/>
  <c r="CY541" i="2" s="1"/>
  <c r="CV423" i="2"/>
  <c r="CV540" i="2" s="1"/>
  <c r="CS423" i="2"/>
  <c r="CS533" i="2" s="1"/>
  <c r="CS541" i="2" s="1"/>
  <c r="CP423" i="2"/>
  <c r="CO423" i="2" s="1"/>
  <c r="CO533" i="2" s="1"/>
  <c r="CO541" i="2" s="1"/>
  <c r="CM423" i="2"/>
  <c r="CL423" i="2" s="1"/>
  <c r="CL533" i="2" s="1"/>
  <c r="CL541" i="2" s="1"/>
  <c r="CJ423" i="2"/>
  <c r="CJ533" i="2" s="1"/>
  <c r="CJ541" i="2" s="1"/>
  <c r="CG423" i="2"/>
  <c r="CF423" i="2" s="1"/>
  <c r="CF533" i="2" s="1"/>
  <c r="CF541" i="2" s="1"/>
  <c r="CD423" i="2"/>
  <c r="CD540" i="2" s="1"/>
  <c r="CA423" i="2"/>
  <c r="BX423" i="2"/>
  <c r="BW423" i="2" s="1"/>
  <c r="BU423" i="2"/>
  <c r="BR423" i="2"/>
  <c r="BQ423" i="2" s="1"/>
  <c r="BQ540" i="2" s="1"/>
  <c r="BO423" i="2"/>
  <c r="BL423" i="2"/>
  <c r="BL533" i="2" s="1"/>
  <c r="BL541" i="2" s="1"/>
  <c r="BI423" i="2"/>
  <c r="BI533" i="2" s="1"/>
  <c r="BI541" i="2" s="1"/>
  <c r="BF423" i="2"/>
  <c r="BE423" i="2" s="1"/>
  <c r="BC423" i="2"/>
  <c r="AZ423" i="2"/>
  <c r="AZ533" i="2" s="1"/>
  <c r="AZ541" i="2" s="1"/>
  <c r="AV423" i="2"/>
  <c r="AS423" i="2"/>
  <c r="AP423" i="2"/>
  <c r="AM423" i="2"/>
  <c r="AJ423" i="2"/>
  <c r="AG423" i="2"/>
  <c r="AD423" i="2"/>
  <c r="AA423" i="2"/>
  <c r="X423" i="2"/>
  <c r="U423" i="2"/>
  <c r="R423" i="2"/>
  <c r="O423" i="2"/>
  <c r="L423" i="2"/>
  <c r="I423" i="2"/>
  <c r="F423" i="2"/>
  <c r="ER420" i="2"/>
  <c r="EQ420" i="2" s="1"/>
  <c r="EO420" i="2"/>
  <c r="EN420" i="2" s="1"/>
  <c r="EL420" i="2"/>
  <c r="EK420" i="2" s="1"/>
  <c r="EI420" i="2"/>
  <c r="EH420" i="2" s="1"/>
  <c r="EF420" i="2"/>
  <c r="EE420" i="2" s="1"/>
  <c r="EC420" i="2"/>
  <c r="EB420" i="2" s="1"/>
  <c r="DZ420" i="2"/>
  <c r="DY420" i="2" s="1"/>
  <c r="DW420" i="2"/>
  <c r="DV420" i="2" s="1"/>
  <c r="DT420" i="2"/>
  <c r="DS420" i="2" s="1"/>
  <c r="DQ420" i="2"/>
  <c r="DP420" i="2" s="1"/>
  <c r="DN420" i="2"/>
  <c r="DM420" i="2" s="1"/>
  <c r="DK420" i="2"/>
  <c r="DJ420" i="2" s="1"/>
  <c r="DH420" i="2"/>
  <c r="DG420" i="2" s="1"/>
  <c r="DE420" i="2"/>
  <c r="DD420" i="2" s="1"/>
  <c r="DB420" i="2"/>
  <c r="DA420" i="2" s="1"/>
  <c r="CY420" i="2"/>
  <c r="CX420" i="2" s="1"/>
  <c r="CV420" i="2"/>
  <c r="CU420" i="2" s="1"/>
  <c r="CS420" i="2"/>
  <c r="CR420" i="2" s="1"/>
  <c r="CP420" i="2"/>
  <c r="CO420" i="2" s="1"/>
  <c r="CM420" i="2"/>
  <c r="CL420" i="2" s="1"/>
  <c r="CJ420" i="2"/>
  <c r="CI420" i="2" s="1"/>
  <c r="CG420" i="2"/>
  <c r="CF420" i="2" s="1"/>
  <c r="CD420" i="2"/>
  <c r="CC420" i="2" s="1"/>
  <c r="CA420" i="2"/>
  <c r="BZ420" i="2" s="1"/>
  <c r="BX420" i="2"/>
  <c r="BW420" i="2" s="1"/>
  <c r="BU420" i="2"/>
  <c r="BT420" i="2" s="1"/>
  <c r="BR420" i="2"/>
  <c r="BQ420" i="2" s="1"/>
  <c r="BO420" i="2"/>
  <c r="BN420" i="2" s="1"/>
  <c r="BL420" i="2"/>
  <c r="BK420" i="2" s="1"/>
  <c r="BI420" i="2"/>
  <c r="BH420" i="2" s="1"/>
  <c r="BF420" i="2"/>
  <c r="BE420" i="2" s="1"/>
  <c r="BC420" i="2"/>
  <c r="BB420" i="2" s="1"/>
  <c r="AZ420" i="2"/>
  <c r="AY420" i="2" s="1"/>
  <c r="AV420" i="2"/>
  <c r="AS420" i="2"/>
  <c r="AP420" i="2"/>
  <c r="AM420" i="2"/>
  <c r="AJ420" i="2"/>
  <c r="AG420" i="2"/>
  <c r="AD420" i="2"/>
  <c r="AA420" i="2"/>
  <c r="X420" i="2"/>
  <c r="U420" i="2"/>
  <c r="R420" i="2"/>
  <c r="O420" i="2"/>
  <c r="L420" i="2"/>
  <c r="I420" i="2"/>
  <c r="F420" i="2"/>
  <c r="ER419" i="2"/>
  <c r="EQ419" i="2" s="1"/>
  <c r="EO419" i="2"/>
  <c r="EN419" i="2" s="1"/>
  <c r="EL419" i="2"/>
  <c r="EK419" i="2" s="1"/>
  <c r="EI419" i="2"/>
  <c r="EH419" i="2" s="1"/>
  <c r="EF419" i="2"/>
  <c r="EE419" i="2" s="1"/>
  <c r="EC419" i="2"/>
  <c r="EB419" i="2" s="1"/>
  <c r="DZ419" i="2"/>
  <c r="DY419" i="2" s="1"/>
  <c r="DW419" i="2"/>
  <c r="DV419" i="2" s="1"/>
  <c r="DT419" i="2"/>
  <c r="DS419" i="2" s="1"/>
  <c r="DQ419" i="2"/>
  <c r="DP419" i="2" s="1"/>
  <c r="DN419" i="2"/>
  <c r="DM419" i="2" s="1"/>
  <c r="DK419" i="2"/>
  <c r="DJ419" i="2" s="1"/>
  <c r="DH419" i="2"/>
  <c r="DG419" i="2" s="1"/>
  <c r="DE419" i="2"/>
  <c r="DD419" i="2" s="1"/>
  <c r="DB419" i="2"/>
  <c r="DA419" i="2" s="1"/>
  <c r="CY419" i="2"/>
  <c r="CX419" i="2" s="1"/>
  <c r="CV419" i="2"/>
  <c r="CU419" i="2" s="1"/>
  <c r="CS419" i="2"/>
  <c r="CR419" i="2" s="1"/>
  <c r="CP419" i="2"/>
  <c r="CO419" i="2" s="1"/>
  <c r="CM419" i="2"/>
  <c r="CL419" i="2" s="1"/>
  <c r="CJ419" i="2"/>
  <c r="CI419" i="2" s="1"/>
  <c r="CG419" i="2"/>
  <c r="CF419" i="2" s="1"/>
  <c r="CD419" i="2"/>
  <c r="CC419" i="2" s="1"/>
  <c r="CA419" i="2"/>
  <c r="BZ419" i="2" s="1"/>
  <c r="BX419" i="2"/>
  <c r="BW419" i="2" s="1"/>
  <c r="BU419" i="2"/>
  <c r="BT419" i="2" s="1"/>
  <c r="BR419" i="2"/>
  <c r="BQ419" i="2" s="1"/>
  <c r="BO419" i="2"/>
  <c r="BN419" i="2" s="1"/>
  <c r="BL419" i="2"/>
  <c r="BK419" i="2" s="1"/>
  <c r="BI419" i="2"/>
  <c r="BH419" i="2" s="1"/>
  <c r="BF419" i="2"/>
  <c r="BE419" i="2" s="1"/>
  <c r="BC419" i="2"/>
  <c r="BB419" i="2" s="1"/>
  <c r="AZ419" i="2"/>
  <c r="AY419" i="2" s="1"/>
  <c r="AV419" i="2"/>
  <c r="AS419" i="2"/>
  <c r="AP419" i="2"/>
  <c r="AM419" i="2"/>
  <c r="AJ419" i="2"/>
  <c r="AG419" i="2"/>
  <c r="AD419" i="2"/>
  <c r="AA419" i="2"/>
  <c r="X419" i="2"/>
  <c r="U419" i="2"/>
  <c r="R419" i="2"/>
  <c r="O419" i="2"/>
  <c r="L419" i="2"/>
  <c r="I419" i="2"/>
  <c r="F419" i="2"/>
  <c r="ER418" i="2"/>
  <c r="EQ418" i="2" s="1"/>
  <c r="EO418" i="2"/>
  <c r="EN418" i="2" s="1"/>
  <c r="EL418" i="2"/>
  <c r="EK418" i="2" s="1"/>
  <c r="EI418" i="2"/>
  <c r="EH418" i="2" s="1"/>
  <c r="EF418" i="2"/>
  <c r="EE418" i="2" s="1"/>
  <c r="EC418" i="2"/>
  <c r="EB418" i="2" s="1"/>
  <c r="DZ418" i="2"/>
  <c r="DY418" i="2" s="1"/>
  <c r="DW418" i="2"/>
  <c r="DV418" i="2" s="1"/>
  <c r="DT418" i="2"/>
  <c r="DS418" i="2" s="1"/>
  <c r="DQ418" i="2"/>
  <c r="DP418" i="2" s="1"/>
  <c r="DN418" i="2"/>
  <c r="DM418" i="2" s="1"/>
  <c r="DK418" i="2"/>
  <c r="DJ418" i="2" s="1"/>
  <c r="DH418" i="2"/>
  <c r="DG418" i="2" s="1"/>
  <c r="DE418" i="2"/>
  <c r="DD418" i="2" s="1"/>
  <c r="DB418" i="2"/>
  <c r="DA418" i="2" s="1"/>
  <c r="CY418" i="2"/>
  <c r="CX418" i="2" s="1"/>
  <c r="CV418" i="2"/>
  <c r="CU418" i="2" s="1"/>
  <c r="CS418" i="2"/>
  <c r="CR418" i="2" s="1"/>
  <c r="CP418" i="2"/>
  <c r="CO418" i="2" s="1"/>
  <c r="CM418" i="2"/>
  <c r="CL418" i="2" s="1"/>
  <c r="CJ418" i="2"/>
  <c r="CI418" i="2" s="1"/>
  <c r="CG418" i="2"/>
  <c r="CF418" i="2" s="1"/>
  <c r="CD418" i="2"/>
  <c r="CC418" i="2" s="1"/>
  <c r="CA418" i="2"/>
  <c r="BZ418" i="2" s="1"/>
  <c r="BX418" i="2"/>
  <c r="BW418" i="2" s="1"/>
  <c r="BU418" i="2"/>
  <c r="BT418" i="2" s="1"/>
  <c r="BR418" i="2"/>
  <c r="BQ418" i="2" s="1"/>
  <c r="BO418" i="2"/>
  <c r="BN418" i="2" s="1"/>
  <c r="BL418" i="2"/>
  <c r="BK418" i="2" s="1"/>
  <c r="BI418" i="2"/>
  <c r="BH418" i="2" s="1"/>
  <c r="BF418" i="2"/>
  <c r="BE418" i="2" s="1"/>
  <c r="BC418" i="2"/>
  <c r="BB418" i="2" s="1"/>
  <c r="AZ418" i="2"/>
  <c r="AY418" i="2" s="1"/>
  <c r="AV418" i="2"/>
  <c r="AS418" i="2"/>
  <c r="AP418" i="2"/>
  <c r="AM418" i="2"/>
  <c r="AJ418" i="2"/>
  <c r="AG418" i="2"/>
  <c r="AD418" i="2"/>
  <c r="AA418" i="2"/>
  <c r="X418" i="2"/>
  <c r="U418" i="2"/>
  <c r="R418" i="2"/>
  <c r="O418" i="2"/>
  <c r="L418" i="2"/>
  <c r="I418" i="2"/>
  <c r="F418" i="2"/>
  <c r="G416" i="2"/>
  <c r="H416" i="2" s="1"/>
  <c r="J416" i="2" s="1"/>
  <c r="AD415" i="2"/>
  <c r="AA415" i="2"/>
  <c r="X415" i="2"/>
  <c r="U415" i="2"/>
  <c r="R415" i="2"/>
  <c r="O415" i="2"/>
  <c r="L415" i="2"/>
  <c r="I415" i="2"/>
  <c r="F415" i="2"/>
  <c r="AW413" i="2"/>
  <c r="AW414" i="2" s="1"/>
  <c r="AV414" i="2" s="1"/>
  <c r="AQ414" i="2"/>
  <c r="AP414" i="2" s="1"/>
  <c r="AL414" i="2"/>
  <c r="AJ414" i="2"/>
  <c r="AG414" i="2"/>
  <c r="AD414" i="2"/>
  <c r="AA414" i="2"/>
  <c r="X414" i="2"/>
  <c r="U414" i="2"/>
  <c r="R414" i="2"/>
  <c r="O414" i="2"/>
  <c r="L414" i="2"/>
  <c r="I414" i="2"/>
  <c r="F414" i="2"/>
  <c r="CU413" i="2"/>
  <c r="CU522" i="2" s="1"/>
  <c r="CU530" i="2" s="1"/>
  <c r="CR413" i="2"/>
  <c r="CR529" i="2" s="1"/>
  <c r="CN413" i="2"/>
  <c r="CP413" i="2" s="1"/>
  <c r="CP522" i="2" s="1"/>
  <c r="CP530" i="2" s="1"/>
  <c r="CL413" i="2"/>
  <c r="CL529" i="2" s="1"/>
  <c r="CH413" i="2"/>
  <c r="CJ413" i="2" s="1"/>
  <c r="CJ529" i="2" s="1"/>
  <c r="CF413" i="2"/>
  <c r="CB413" i="2"/>
  <c r="CD413" i="2" s="1"/>
  <c r="CA413" i="2"/>
  <c r="CA529" i="2" s="1"/>
  <c r="BW413" i="2"/>
  <c r="BW522" i="2" s="1"/>
  <c r="BW530" i="2" s="1"/>
  <c r="BU413" i="2"/>
  <c r="BU529" i="2" s="1"/>
  <c r="BA413" i="2"/>
  <c r="BA414" i="2" s="1"/>
  <c r="BA415" i="2" s="1"/>
  <c r="AZ413" i="2"/>
  <c r="AX413" i="2"/>
  <c r="AX522" i="2" s="1"/>
  <c r="AX530" i="2" s="1"/>
  <c r="AU413" i="2"/>
  <c r="AU414" i="2" s="1"/>
  <c r="AT413" i="2"/>
  <c r="AT414" i="2" s="1"/>
  <c r="AS414" i="2" s="1"/>
  <c r="AR413" i="2"/>
  <c r="AR414" i="2" s="1"/>
  <c r="AQ413" i="2"/>
  <c r="AP413" i="2" s="1"/>
  <c r="AO413" i="2"/>
  <c r="AO414" i="2" s="1"/>
  <c r="AN413" i="2"/>
  <c r="AM413" i="2" s="1"/>
  <c r="AJ413" i="2"/>
  <c r="AG413" i="2"/>
  <c r="AD413" i="2"/>
  <c r="AA413" i="2"/>
  <c r="X413" i="2"/>
  <c r="U413" i="2"/>
  <c r="R413" i="2"/>
  <c r="O413" i="2"/>
  <c r="L413" i="2"/>
  <c r="I413" i="2"/>
  <c r="F413" i="2"/>
  <c r="E411" i="2"/>
  <c r="E410" i="2"/>
  <c r="DI409" i="2"/>
  <c r="DK409" i="2" s="1"/>
  <c r="DL409" i="2" s="1"/>
  <c r="DN409" i="2" s="1"/>
  <c r="DO409" i="2" s="1"/>
  <c r="DQ409" i="2" s="1"/>
  <c r="DP409" i="2" s="1"/>
  <c r="CP409" i="2"/>
  <c r="CO409" i="2" s="1"/>
  <c r="CO397" i="2" s="1"/>
  <c r="E409" i="2"/>
  <c r="E397" i="2" s="1"/>
  <c r="ER407" i="2"/>
  <c r="EQ407" i="2" s="1"/>
  <c r="EP407" i="2"/>
  <c r="EO407" i="2"/>
  <c r="EN407" i="2" s="1"/>
  <c r="EM407" i="2"/>
  <c r="EL407" i="2"/>
  <c r="EK407" i="2" s="1"/>
  <c r="EJ407" i="2"/>
  <c r="EI407" i="2"/>
  <c r="EH407" i="2" s="1"/>
  <c r="EG407" i="2"/>
  <c r="EF407" i="2"/>
  <c r="EE407" i="2" s="1"/>
  <c r="ED407" i="2"/>
  <c r="EC407" i="2"/>
  <c r="EB407" i="2" s="1"/>
  <c r="EA407" i="2"/>
  <c r="DZ407" i="2"/>
  <c r="DY407" i="2" s="1"/>
  <c r="DX407" i="2"/>
  <c r="DU407" i="2"/>
  <c r="DT407" i="2"/>
  <c r="DS407" i="2" s="1"/>
  <c r="DR407" i="2"/>
  <c r="DQ407" i="2"/>
  <c r="DP407" i="2" s="1"/>
  <c r="DO407" i="2"/>
  <c r="DN407" i="2"/>
  <c r="DM407" i="2" s="1"/>
  <c r="DL407" i="2"/>
  <c r="DK407" i="2"/>
  <c r="DJ407" i="2" s="1"/>
  <c r="DI407" i="2"/>
  <c r="DH407" i="2"/>
  <c r="DG407" i="2" s="1"/>
  <c r="DF407" i="2"/>
  <c r="DE407" i="2"/>
  <c r="DD407" i="2" s="1"/>
  <c r="DC407" i="2"/>
  <c r="DB407" i="2"/>
  <c r="DA407" i="2" s="1"/>
  <c r="CZ407" i="2"/>
  <c r="CY407" i="2"/>
  <c r="CX407" i="2" s="1"/>
  <c r="CW407" i="2"/>
  <c r="CV407" i="2"/>
  <c r="CU407" i="2" s="1"/>
  <c r="CT407" i="2"/>
  <c r="CS407" i="2"/>
  <c r="CR407" i="2" s="1"/>
  <c r="CQ407" i="2"/>
  <c r="CP407" i="2"/>
  <c r="CO407" i="2" s="1"/>
  <c r="CN407" i="2"/>
  <c r="CM407" i="2"/>
  <c r="CL407" i="2" s="1"/>
  <c r="CK407" i="2"/>
  <c r="CJ407" i="2"/>
  <c r="CI407" i="2" s="1"/>
  <c r="CH407" i="2"/>
  <c r="CG407" i="2"/>
  <c r="CF407" i="2" s="1"/>
  <c r="CE407" i="2"/>
  <c r="CD407" i="2"/>
  <c r="CC407" i="2" s="1"/>
  <c r="CB407" i="2"/>
  <c r="CA407" i="2"/>
  <c r="BZ407" i="2" s="1"/>
  <c r="BY407" i="2"/>
  <c r="BX407" i="2"/>
  <c r="BW407" i="2" s="1"/>
  <c r="BV407" i="2"/>
  <c r="BU407" i="2"/>
  <c r="BT407" i="2" s="1"/>
  <c r="BS407" i="2"/>
  <c r="BR407" i="2"/>
  <c r="BQ407" i="2" s="1"/>
  <c r="BP407" i="2"/>
  <c r="BO407" i="2"/>
  <c r="BN407" i="2" s="1"/>
  <c r="BM407" i="2"/>
  <c r="BL407" i="2"/>
  <c r="BK407" i="2" s="1"/>
  <c r="BJ407" i="2"/>
  <c r="BH407" i="2"/>
  <c r="BE407" i="2"/>
  <c r="BB407" i="2"/>
  <c r="AY407" i="2"/>
  <c r="AU407" i="2"/>
  <c r="AT407" i="2"/>
  <c r="AS407" i="2" s="1"/>
  <c r="AR407" i="2"/>
  <c r="AQ407" i="2"/>
  <c r="AO407" i="2"/>
  <c r="AN407" i="2"/>
  <c r="AL407" i="2"/>
  <c r="AK407" i="2"/>
  <c r="AI407" i="2"/>
  <c r="AI415" i="2" s="1"/>
  <c r="AH407" i="2"/>
  <c r="AG407" i="2" s="1"/>
  <c r="AF407" i="2"/>
  <c r="AE407" i="2"/>
  <c r="AD407" i="2" s="1"/>
  <c r="AC407" i="2"/>
  <c r="AB407" i="2"/>
  <c r="AA407" i="2" s="1"/>
  <c r="Z407" i="2"/>
  <c r="Y407" i="2"/>
  <c r="X407" i="2" s="1"/>
  <c r="W407" i="2"/>
  <c r="V407" i="2"/>
  <c r="U407" i="2" s="1"/>
  <c r="T407" i="2"/>
  <c r="S407" i="2"/>
  <c r="R407" i="2" s="1"/>
  <c r="Q407" i="2"/>
  <c r="P407" i="2"/>
  <c r="O407" i="2" s="1"/>
  <c r="N407" i="2"/>
  <c r="M407" i="2"/>
  <c r="L407" i="2" s="1"/>
  <c r="K407" i="2"/>
  <c r="J407" i="2"/>
  <c r="I407" i="2" s="1"/>
  <c r="H407" i="2"/>
  <c r="G407" i="2"/>
  <c r="F407" i="2" s="1"/>
  <c r="CN400" i="2"/>
  <c r="CN20" i="2" s="1"/>
  <c r="CK400" i="2"/>
  <c r="CK20" i="2" s="1"/>
  <c r="CH400" i="2"/>
  <c r="CH20" i="2" s="1"/>
  <c r="CA400" i="2"/>
  <c r="CA20" i="2" s="1"/>
  <c r="BV400" i="2"/>
  <c r="BV20" i="2" s="1"/>
  <c r="AY399" i="2"/>
  <c r="AX399" i="2" s="1"/>
  <c r="AV399" i="2"/>
  <c r="AU399" i="2" s="1"/>
  <c r="AS399" i="2"/>
  <c r="AR399" i="2" s="1"/>
  <c r="AP399" i="2"/>
  <c r="AO399" i="2" s="1"/>
  <c r="AM399" i="2"/>
  <c r="AJ399" i="2"/>
  <c r="AI399" i="2" s="1"/>
  <c r="AH399" i="2" s="1"/>
  <c r="AG399" i="2" s="1"/>
  <c r="AF399" i="2" s="1"/>
  <c r="AE399" i="2" s="1"/>
  <c r="AD399" i="2" s="1"/>
  <c r="AC399" i="2" s="1"/>
  <c r="AB399" i="2" s="1"/>
  <c r="AA399" i="2" s="1"/>
  <c r="Z399" i="2" s="1"/>
  <c r="Y399" i="2" s="1"/>
  <c r="X399" i="2" s="1"/>
  <c r="W399" i="2" s="1"/>
  <c r="DQ397" i="2"/>
  <c r="DP397" i="2" s="1"/>
  <c r="CM397" i="2"/>
  <c r="CM398" i="2" s="1"/>
  <c r="CA397" i="2"/>
  <c r="CA409" i="2" s="1"/>
  <c r="BZ409" i="2" s="1"/>
  <c r="BZ397" i="2" s="1"/>
  <c r="BV397" i="2"/>
  <c r="BV413" i="2" s="1"/>
  <c r="BV529" i="2" s="1"/>
  <c r="DP396" i="2"/>
  <c r="DA396" i="2"/>
  <c r="CN396" i="2"/>
  <c r="CN398" i="2" s="1"/>
  <c r="CK396" i="2"/>
  <c r="CK398" i="2" s="1"/>
  <c r="CH396" i="2"/>
  <c r="CH398" i="2" s="1"/>
  <c r="CE396" i="2"/>
  <c r="CB396" i="2"/>
  <c r="BY396" i="2"/>
  <c r="Q396" i="2"/>
  <c r="N396" i="2"/>
  <c r="K396" i="2"/>
  <c r="H396" i="2"/>
  <c r="E396" i="2"/>
  <c r="CM394" i="2"/>
  <c r="CM391" i="2"/>
  <c r="CN385" i="2"/>
  <c r="CO374" i="2" s="1"/>
  <c r="CO385" i="2" s="1"/>
  <c r="CK385" i="2"/>
  <c r="CH385" i="2"/>
  <c r="CH384" i="2" s="1"/>
  <c r="CE385" i="2"/>
  <c r="CF374" i="2" s="1"/>
  <c r="CB385" i="2"/>
  <c r="CB384" i="2" s="1"/>
  <c r="BY385" i="2"/>
  <c r="BY566" i="2" s="1"/>
  <c r="Q385" i="2"/>
  <c r="R374" i="2" s="1"/>
  <c r="R385" i="2" s="1"/>
  <c r="N385" i="2"/>
  <c r="O374" i="2" s="1"/>
  <c r="O385" i="2" s="1"/>
  <c r="K385" i="2"/>
  <c r="L374" i="2" s="1"/>
  <c r="L396" i="2" s="1"/>
  <c r="H385" i="2"/>
  <c r="I374" i="2" s="1"/>
  <c r="I385" i="2" s="1"/>
  <c r="E385" i="2"/>
  <c r="F374" i="2" s="1"/>
  <c r="F396" i="2" s="1"/>
  <c r="ER383" i="2"/>
  <c r="EO383" i="2"/>
  <c r="EL383" i="2"/>
  <c r="EI383" i="2"/>
  <c r="EF383" i="2"/>
  <c r="EC383" i="2"/>
  <c r="DZ383" i="2"/>
  <c r="CL383" i="2"/>
  <c r="CJ383" i="2"/>
  <c r="CG383" i="2"/>
  <c r="CD383" i="2"/>
  <c r="CA383" i="2"/>
  <c r="BX383" i="2"/>
  <c r="BU383" i="2"/>
  <c r="BR383" i="2"/>
  <c r="BO383" i="2"/>
  <c r="BL383" i="2"/>
  <c r="BI383" i="2"/>
  <c r="BF383" i="2"/>
  <c r="BC383" i="2"/>
  <c r="AZ383" i="2"/>
  <c r="AW383" i="2"/>
  <c r="AT383" i="2"/>
  <c r="AQ383" i="2"/>
  <c r="AN383" i="2"/>
  <c r="AK383" i="2"/>
  <c r="AH383" i="2"/>
  <c r="AE383" i="2"/>
  <c r="AB383" i="2"/>
  <c r="Y383" i="2"/>
  <c r="V383" i="2"/>
  <c r="S383" i="2"/>
  <c r="P383" i="2"/>
  <c r="M383" i="2"/>
  <c r="J383" i="2"/>
  <c r="G383" i="2"/>
  <c r="ER382" i="2"/>
  <c r="EO382" i="2"/>
  <c r="EL382" i="2"/>
  <c r="EI382" i="2"/>
  <c r="EF382" i="2"/>
  <c r="EC382" i="2"/>
  <c r="DZ382" i="2"/>
  <c r="DT382" i="2"/>
  <c r="CJ382" i="2"/>
  <c r="CG382" i="2"/>
  <c r="CD382" i="2"/>
  <c r="CA382" i="2"/>
  <c r="BX382" i="2"/>
  <c r="BU382" i="2"/>
  <c r="BR382" i="2"/>
  <c r="BO382" i="2"/>
  <c r="BL382" i="2"/>
  <c r="BI382" i="2"/>
  <c r="BF382" i="2"/>
  <c r="BC382" i="2"/>
  <c r="AZ382" i="2"/>
  <c r="AW382" i="2"/>
  <c r="AT382" i="2"/>
  <c r="AQ382" i="2"/>
  <c r="AN382" i="2"/>
  <c r="AK382" i="2"/>
  <c r="AH382" i="2"/>
  <c r="AE382" i="2"/>
  <c r="AB382" i="2"/>
  <c r="Y382" i="2"/>
  <c r="V382" i="2"/>
  <c r="S382" i="2"/>
  <c r="P382" i="2"/>
  <c r="M382" i="2"/>
  <c r="J382" i="2"/>
  <c r="G382" i="2"/>
  <c r="ER381" i="2"/>
  <c r="EO381" i="2"/>
  <c r="EL381" i="2"/>
  <c r="EI381" i="2"/>
  <c r="EF381" i="2"/>
  <c r="EC381" i="2"/>
  <c r="DZ381" i="2"/>
  <c r="DT381" i="2"/>
  <c r="CJ381" i="2"/>
  <c r="CG381" i="2"/>
  <c r="CD381" i="2"/>
  <c r="CA381" i="2"/>
  <c r="BX381" i="2"/>
  <c r="BU381" i="2"/>
  <c r="BR381" i="2"/>
  <c r="BO381" i="2"/>
  <c r="BL381" i="2"/>
  <c r="BI381" i="2"/>
  <c r="BF381" i="2"/>
  <c r="BC381" i="2"/>
  <c r="AZ381" i="2"/>
  <c r="AW381" i="2"/>
  <c r="AT381" i="2"/>
  <c r="AQ381" i="2"/>
  <c r="AN381" i="2"/>
  <c r="AK381" i="2"/>
  <c r="AH381" i="2"/>
  <c r="AE381" i="2"/>
  <c r="AB381" i="2"/>
  <c r="Y381" i="2"/>
  <c r="V381" i="2"/>
  <c r="S381" i="2"/>
  <c r="P381" i="2"/>
  <c r="M381" i="2"/>
  <c r="J381" i="2"/>
  <c r="G381" i="2"/>
  <c r="ER380" i="2"/>
  <c r="EO380" i="2"/>
  <c r="EL380" i="2"/>
  <c r="EI380" i="2"/>
  <c r="EF380" i="2"/>
  <c r="EC380" i="2"/>
  <c r="DZ380" i="2"/>
  <c r="DT380" i="2"/>
  <c r="CL380" i="2"/>
  <c r="CJ380" i="2"/>
  <c r="CG380" i="2"/>
  <c r="CD380" i="2"/>
  <c r="BZ380" i="2"/>
  <c r="BU380" i="2"/>
  <c r="BR380" i="2"/>
  <c r="BO380" i="2"/>
  <c r="BL380" i="2"/>
  <c r="BI380" i="2"/>
  <c r="BF380" i="2"/>
  <c r="BA380" i="2"/>
  <c r="BA466" i="2" s="1"/>
  <c r="AY380" i="2"/>
  <c r="AY466" i="2" s="1"/>
  <c r="AX380" i="2"/>
  <c r="AU380" i="2"/>
  <c r="AW380" i="2" s="1"/>
  <c r="AT380" i="2"/>
  <c r="AQ380" i="2"/>
  <c r="AN380" i="2"/>
  <c r="AK380" i="2"/>
  <c r="AH380" i="2"/>
  <c r="AE380" i="2"/>
  <c r="AB380" i="2"/>
  <c r="Y380" i="2"/>
  <c r="V380" i="2"/>
  <c r="S380" i="2"/>
  <c r="P380" i="2"/>
  <c r="M380" i="2"/>
  <c r="J380" i="2"/>
  <c r="G380" i="2"/>
  <c r="ER379" i="2"/>
  <c r="EO379" i="2"/>
  <c r="EL379" i="2"/>
  <c r="EI379" i="2"/>
  <c r="EF379" i="2"/>
  <c r="EC379" i="2"/>
  <c r="DZ379" i="2"/>
  <c r="DT379" i="2"/>
  <c r="CJ379" i="2"/>
  <c r="CG379" i="2"/>
  <c r="CD379" i="2"/>
  <c r="CA379" i="2"/>
  <c r="BX379" i="2"/>
  <c r="BU379" i="2"/>
  <c r="BR379" i="2"/>
  <c r="BO379" i="2"/>
  <c r="BL379" i="2"/>
  <c r="BI379" i="2"/>
  <c r="BF379" i="2"/>
  <c r="BC379" i="2"/>
  <c r="AZ379" i="2"/>
  <c r="AW379" i="2"/>
  <c r="AT379" i="2"/>
  <c r="AQ379" i="2"/>
  <c r="AN379" i="2"/>
  <c r="AK379" i="2"/>
  <c r="AH379" i="2"/>
  <c r="AE379" i="2"/>
  <c r="AB379" i="2"/>
  <c r="Y379" i="2"/>
  <c r="V379" i="2"/>
  <c r="S379" i="2"/>
  <c r="P379" i="2"/>
  <c r="M379" i="2"/>
  <c r="J379" i="2"/>
  <c r="G379" i="2"/>
  <c r="ER378" i="2"/>
  <c r="EO378" i="2"/>
  <c r="EL378" i="2"/>
  <c r="EI378" i="2"/>
  <c r="EF378" i="2"/>
  <c r="EC378" i="2"/>
  <c r="DZ378" i="2"/>
  <c r="DT378" i="2"/>
  <c r="CJ378" i="2"/>
  <c r="CG378" i="2"/>
  <c r="CD378" i="2"/>
  <c r="CA378" i="2"/>
  <c r="BX378" i="2"/>
  <c r="BU378" i="2"/>
  <c r="BR378" i="2"/>
  <c r="BO378" i="2"/>
  <c r="BL378" i="2"/>
  <c r="BI378" i="2"/>
  <c r="BF378" i="2"/>
  <c r="BC378" i="2"/>
  <c r="AZ378" i="2"/>
  <c r="AW378" i="2"/>
  <c r="AT378" i="2"/>
  <c r="AQ378" i="2"/>
  <c r="AN378" i="2"/>
  <c r="AK378" i="2"/>
  <c r="AH378" i="2"/>
  <c r="AE378" i="2"/>
  <c r="AB378" i="2"/>
  <c r="Y378" i="2"/>
  <c r="V378" i="2"/>
  <c r="S378" i="2"/>
  <c r="P378" i="2"/>
  <c r="M378" i="2"/>
  <c r="J378" i="2"/>
  <c r="G378" i="2"/>
  <c r="ER377" i="2"/>
  <c r="EO377" i="2"/>
  <c r="EL377" i="2"/>
  <c r="EI377" i="2"/>
  <c r="EF377" i="2"/>
  <c r="EC377" i="2"/>
  <c r="DZ377" i="2"/>
  <c r="DT377" i="2"/>
  <c r="CJ377" i="2"/>
  <c r="CG377" i="2"/>
  <c r="CD377" i="2"/>
  <c r="CA377" i="2"/>
  <c r="BX377" i="2"/>
  <c r="BU377" i="2"/>
  <c r="BR377" i="2"/>
  <c r="BO377" i="2"/>
  <c r="BL377" i="2"/>
  <c r="BI377" i="2"/>
  <c r="BF377" i="2"/>
  <c r="BC377" i="2"/>
  <c r="AZ377" i="2"/>
  <c r="AW377" i="2"/>
  <c r="AT377" i="2"/>
  <c r="AQ377" i="2"/>
  <c r="AN377" i="2"/>
  <c r="AK377" i="2"/>
  <c r="AH377" i="2"/>
  <c r="AE377" i="2"/>
  <c r="AB377" i="2"/>
  <c r="Y377" i="2"/>
  <c r="V377" i="2"/>
  <c r="S377" i="2"/>
  <c r="P377" i="2"/>
  <c r="M377" i="2"/>
  <c r="J377" i="2"/>
  <c r="G377" i="2"/>
  <c r="DS374" i="2"/>
  <c r="DS385" i="2" s="1"/>
  <c r="BW374" i="2"/>
  <c r="AK374" i="2"/>
  <c r="AK396" i="2" s="1"/>
  <c r="AI374" i="2"/>
  <c r="AI385" i="2" s="1"/>
  <c r="AJ374" i="2" s="1"/>
  <c r="AJ396" i="2" s="1"/>
  <c r="S374" i="2"/>
  <c r="P374" i="2"/>
  <c r="P396" i="2" s="1"/>
  <c r="M374" i="2"/>
  <c r="M396" i="2" s="1"/>
  <c r="J374" i="2"/>
  <c r="J396" i="2" s="1"/>
  <c r="G374" i="2"/>
  <c r="G396" i="2" s="1"/>
  <c r="AL372" i="2"/>
  <c r="AK372" i="2"/>
  <c r="AJ372" i="2"/>
  <c r="AI372" i="2"/>
  <c r="AH372" i="2"/>
  <c r="AG372" i="2"/>
  <c r="AF372" i="2"/>
  <c r="AE372" i="2"/>
  <c r="AD372" i="2"/>
  <c r="AC372" i="2"/>
  <c r="AB372" i="2"/>
  <c r="AA372" i="2"/>
  <c r="Z372" i="2"/>
  <c r="Y372" i="2"/>
  <c r="X372" i="2"/>
  <c r="W372" i="2"/>
  <c r="V372" i="2"/>
  <c r="U372" i="2"/>
  <c r="T372" i="2"/>
  <c r="S372" i="2"/>
  <c r="R372" i="2"/>
  <c r="Q372" i="2"/>
  <c r="P372" i="2"/>
  <c r="O372" i="2"/>
  <c r="N372" i="2"/>
  <c r="M372" i="2"/>
  <c r="L372" i="2"/>
  <c r="K372" i="2"/>
  <c r="J372" i="2"/>
  <c r="I372" i="2"/>
  <c r="H372" i="2"/>
  <c r="G372" i="2"/>
  <c r="F372" i="2"/>
  <c r="E372" i="2"/>
  <c r="EQ369" i="2"/>
  <c r="EP369" i="2"/>
  <c r="EN369" i="2"/>
  <c r="EM369" i="2"/>
  <c r="EK369" i="2"/>
  <c r="EJ369" i="2"/>
  <c r="EH369" i="2"/>
  <c r="EG369" i="2"/>
  <c r="EE369" i="2"/>
  <c r="ED369" i="2"/>
  <c r="EB369" i="2"/>
  <c r="EA369" i="2"/>
  <c r="DY369" i="2"/>
  <c r="DX369" i="2"/>
  <c r="DV369" i="2"/>
  <c r="DU369" i="2"/>
  <c r="DS369" i="2"/>
  <c r="DR369" i="2"/>
  <c r="DP369" i="2"/>
  <c r="DO369" i="2"/>
  <c r="DM369" i="2"/>
  <c r="DL369" i="2"/>
  <c r="DJ369" i="2"/>
  <c r="DI369" i="2"/>
  <c r="DG369" i="2"/>
  <c r="DF369" i="2"/>
  <c r="DD369" i="2"/>
  <c r="DC369" i="2"/>
  <c r="DA369" i="2"/>
  <c r="CZ369" i="2"/>
  <c r="CX369" i="2"/>
  <c r="CW369" i="2"/>
  <c r="CU369" i="2"/>
  <c r="CT369" i="2"/>
  <c r="CR369" i="2"/>
  <c r="CQ369" i="2"/>
  <c r="CO369" i="2"/>
  <c r="CN369" i="2"/>
  <c r="CL369" i="2"/>
  <c r="CK369" i="2"/>
  <c r="CI369" i="2"/>
  <c r="CH369" i="2"/>
  <c r="CF369" i="2"/>
  <c r="CE369" i="2"/>
  <c r="CC369" i="2"/>
  <c r="CB369" i="2"/>
  <c r="BZ369" i="2"/>
  <c r="BY369" i="2"/>
  <c r="BW369" i="2"/>
  <c r="BV369" i="2"/>
  <c r="BT369" i="2"/>
  <c r="BS369" i="2"/>
  <c r="BQ369" i="2"/>
  <c r="BP369" i="2"/>
  <c r="BN369" i="2"/>
  <c r="BM369" i="2"/>
  <c r="BK369" i="2"/>
  <c r="BJ369" i="2"/>
  <c r="BH369" i="2"/>
  <c r="BG369" i="2"/>
  <c r="BE369" i="2"/>
  <c r="BD369" i="2"/>
  <c r="EQ368" i="2"/>
  <c r="EP368" i="2"/>
  <c r="EN368" i="2"/>
  <c r="EM368" i="2"/>
  <c r="EK368" i="2"/>
  <c r="EJ368" i="2"/>
  <c r="EH368" i="2"/>
  <c r="EG368" i="2"/>
  <c r="EE368" i="2"/>
  <c r="ED368" i="2"/>
  <c r="EB368" i="2"/>
  <c r="EA368" i="2"/>
  <c r="DY368" i="2"/>
  <c r="DX368" i="2"/>
  <c r="DV368" i="2"/>
  <c r="DU368" i="2"/>
  <c r="DS368" i="2"/>
  <c r="DR368" i="2"/>
  <c r="DP368" i="2"/>
  <c r="DO368" i="2"/>
  <c r="DM368" i="2"/>
  <c r="DL368" i="2"/>
  <c r="DJ368" i="2"/>
  <c r="DI368" i="2"/>
  <c r="DG368" i="2"/>
  <c r="DF368" i="2"/>
  <c r="DD368" i="2"/>
  <c r="DC368" i="2"/>
  <c r="DA368" i="2"/>
  <c r="CZ368" i="2"/>
  <c r="CX368" i="2"/>
  <c r="CW368" i="2"/>
  <c r="CU368" i="2"/>
  <c r="CT368" i="2"/>
  <c r="CR368" i="2"/>
  <c r="CQ368" i="2"/>
  <c r="CO368" i="2"/>
  <c r="CN368" i="2"/>
  <c r="CL368" i="2"/>
  <c r="CK368" i="2"/>
  <c r="CI368" i="2"/>
  <c r="CH368" i="2"/>
  <c r="CF368" i="2"/>
  <c r="CE368" i="2"/>
  <c r="CE226" i="3" s="1"/>
  <c r="CF226" i="3" s="1"/>
  <c r="CG226" i="3" s="1"/>
  <c r="CH226" i="3" s="1"/>
  <c r="CI226" i="3" s="1"/>
  <c r="CJ226" i="3" s="1"/>
  <c r="CK226" i="3" s="1"/>
  <c r="CL226" i="3" s="1"/>
  <c r="CM226" i="3" s="1"/>
  <c r="CN226" i="3" s="1"/>
  <c r="CO226" i="3" s="1"/>
  <c r="CP226" i="3" s="1"/>
  <c r="CQ226" i="3" s="1"/>
  <c r="CR226" i="3" s="1"/>
  <c r="CS226" i="3" s="1"/>
  <c r="CT226" i="3" s="1"/>
  <c r="CU226" i="3" s="1"/>
  <c r="CV226" i="3" s="1"/>
  <c r="CW226" i="3" s="1"/>
  <c r="CX226" i="3" s="1"/>
  <c r="CY226" i="3" s="1"/>
  <c r="CZ226" i="3" s="1"/>
  <c r="DA226" i="3" s="1"/>
  <c r="DB226" i="3" s="1"/>
  <c r="DC226" i="3" s="1"/>
  <c r="DD226" i="3" s="1"/>
  <c r="DE226" i="3" s="1"/>
  <c r="DF226" i="3" s="1"/>
  <c r="DG226" i="3" s="1"/>
  <c r="DH226" i="3" s="1"/>
  <c r="DI226" i="3" s="1"/>
  <c r="DJ226" i="3" s="1"/>
  <c r="DK226" i="3" s="1"/>
  <c r="DL226" i="3" s="1"/>
  <c r="DM226" i="3" s="1"/>
  <c r="DN226" i="3" s="1"/>
  <c r="DO226" i="3" s="1"/>
  <c r="DP226" i="3" s="1"/>
  <c r="DQ226" i="3" s="1"/>
  <c r="DR226" i="3" s="1"/>
  <c r="DS226" i="3" s="1"/>
  <c r="DT226" i="3" s="1"/>
  <c r="DU226" i="3" s="1"/>
  <c r="CC368" i="2"/>
  <c r="CB368" i="2"/>
  <c r="BZ368" i="2"/>
  <c r="BY368" i="2"/>
  <c r="BW368" i="2"/>
  <c r="BV368" i="2"/>
  <c r="BT368" i="2"/>
  <c r="BS368" i="2"/>
  <c r="BQ368" i="2"/>
  <c r="BP368" i="2"/>
  <c r="BN368" i="2"/>
  <c r="BM368" i="2"/>
  <c r="BK368" i="2"/>
  <c r="BJ368" i="2"/>
  <c r="BH368" i="2"/>
  <c r="BG368" i="2"/>
  <c r="BE368" i="2"/>
  <c r="BD368" i="2"/>
  <c r="ER367" i="2"/>
  <c r="EQ367" i="2" s="1"/>
  <c r="EQ230" i="3" s="1"/>
  <c r="EP367" i="2"/>
  <c r="EO367" i="2"/>
  <c r="EN367" i="2" s="1"/>
  <c r="EN230" i="3" s="1"/>
  <c r="EM367" i="2"/>
  <c r="EL367" i="2"/>
  <c r="EK367" i="2" s="1"/>
  <c r="EK230" i="3" s="1"/>
  <c r="EJ367" i="2"/>
  <c r="EI367" i="2"/>
  <c r="EH367" i="2" s="1"/>
  <c r="EH230" i="3" s="1"/>
  <c r="EG367" i="2"/>
  <c r="EF367" i="2"/>
  <c r="EE367" i="2" s="1"/>
  <c r="EE230" i="3" s="1"/>
  <c r="ED367" i="2"/>
  <c r="EC367" i="2"/>
  <c r="EB367" i="2" s="1"/>
  <c r="EB230" i="3" s="1"/>
  <c r="EA367" i="2"/>
  <c r="DZ367" i="2"/>
  <c r="DY367" i="2" s="1"/>
  <c r="DY230" i="3" s="1"/>
  <c r="DX367" i="2"/>
  <c r="DW367" i="2"/>
  <c r="DV367" i="2" s="1"/>
  <c r="DV230" i="3" s="1"/>
  <c r="DU367" i="2"/>
  <c r="DT367" i="2"/>
  <c r="DS367" i="2" s="1"/>
  <c r="DS230" i="3" s="1"/>
  <c r="DR367" i="2"/>
  <c r="DQ367" i="2"/>
  <c r="DP367" i="2" s="1"/>
  <c r="DP230" i="3" s="1"/>
  <c r="DO367" i="2"/>
  <c r="DN367" i="2"/>
  <c r="DM367" i="2" s="1"/>
  <c r="DM230" i="3" s="1"/>
  <c r="DL367" i="2"/>
  <c r="DK367" i="2"/>
  <c r="DJ367" i="2" s="1"/>
  <c r="DJ230" i="3" s="1"/>
  <c r="DI367" i="2"/>
  <c r="DH367" i="2"/>
  <c r="DG367" i="2" s="1"/>
  <c r="DG230" i="3" s="1"/>
  <c r="DF367" i="2"/>
  <c r="DE367" i="2"/>
  <c r="DD367" i="2" s="1"/>
  <c r="DD230" i="3" s="1"/>
  <c r="DC367" i="2"/>
  <c r="DB367" i="2"/>
  <c r="DA367" i="2" s="1"/>
  <c r="DA230" i="3" s="1"/>
  <c r="CZ367" i="2"/>
  <c r="CY367" i="2"/>
  <c r="CX367" i="2" s="1"/>
  <c r="CX230" i="3" s="1"/>
  <c r="CW367" i="2"/>
  <c r="CV367" i="2"/>
  <c r="CU367" i="2" s="1"/>
  <c r="CU230" i="3" s="1"/>
  <c r="CT367" i="2"/>
  <c r="CS367" i="2"/>
  <c r="CR367" i="2" s="1"/>
  <c r="CR230" i="3" s="1"/>
  <c r="CQ367" i="2"/>
  <c r="CP367" i="2"/>
  <c r="CO367" i="2" s="1"/>
  <c r="CO230" i="3" s="1"/>
  <c r="CN367" i="2"/>
  <c r="CM367" i="2"/>
  <c r="CL367" i="2" s="1"/>
  <c r="CL230" i="3" s="1"/>
  <c r="CK367" i="2"/>
  <c r="CJ367" i="2"/>
  <c r="CI367" i="2" s="1"/>
  <c r="CI230" i="3" s="1"/>
  <c r="CH367" i="2"/>
  <c r="CG367" i="2"/>
  <c r="CF367" i="2" s="1"/>
  <c r="CF230" i="3" s="1"/>
  <c r="CE367" i="2"/>
  <c r="CE225" i="3" s="1"/>
  <c r="CD367" i="2"/>
  <c r="CC367" i="2" s="1"/>
  <c r="CC230" i="3" s="1"/>
  <c r="CB367" i="2"/>
  <c r="CA367" i="2"/>
  <c r="BZ367" i="2" s="1"/>
  <c r="BZ230" i="3" s="1"/>
  <c r="BY367" i="2"/>
  <c r="BX367" i="2"/>
  <c r="BW367" i="2" s="1"/>
  <c r="BW230" i="3" s="1"/>
  <c r="BV367" i="2"/>
  <c r="BU367" i="2"/>
  <c r="BT367" i="2" s="1"/>
  <c r="BT230" i="3" s="1"/>
  <c r="BS367" i="2"/>
  <c r="BR367" i="2"/>
  <c r="BQ367" i="2" s="1"/>
  <c r="BQ230" i="3" s="1"/>
  <c r="BP367" i="2"/>
  <c r="BO367" i="2"/>
  <c r="BN367" i="2" s="1"/>
  <c r="BN230" i="3" s="1"/>
  <c r="BM367" i="2"/>
  <c r="BL367" i="2"/>
  <c r="BK367" i="2" s="1"/>
  <c r="BK230" i="3" s="1"/>
  <c r="BJ367" i="2"/>
  <c r="BI367" i="2"/>
  <c r="BH367" i="2" s="1"/>
  <c r="BH230" i="3" s="1"/>
  <c r="BG367" i="2"/>
  <c r="BF367" i="2"/>
  <c r="BE367" i="2" s="1"/>
  <c r="BE230" i="3" s="1"/>
  <c r="BD367" i="2"/>
  <c r="BB367" i="2"/>
  <c r="AY367" i="2"/>
  <c r="AV367" i="2"/>
  <c r="AS367" i="2"/>
  <c r="AP367" i="2"/>
  <c r="AM367" i="2"/>
  <c r="AJ367" i="2"/>
  <c r="AG367" i="2"/>
  <c r="AD367" i="2"/>
  <c r="AA367" i="2"/>
  <c r="X367" i="2"/>
  <c r="U367" i="2"/>
  <c r="R367" i="2"/>
  <c r="O367" i="2"/>
  <c r="L367" i="2"/>
  <c r="I367" i="2"/>
  <c r="F367" i="2"/>
  <c r="BS359" i="2"/>
  <c r="BS360" i="2"/>
  <c r="BD361" i="2"/>
  <c r="BB361" i="2"/>
  <c r="BA361" i="2"/>
  <c r="E361" i="2"/>
  <c r="E362" i="2" s="1"/>
  <c r="EQ360" i="2"/>
  <c r="EP360" i="2"/>
  <c r="EN360" i="2"/>
  <c r="EM360" i="2"/>
  <c r="EK360" i="2"/>
  <c r="EJ360" i="2"/>
  <c r="EH360" i="2"/>
  <c r="EG360" i="2"/>
  <c r="EE360" i="2"/>
  <c r="ED360" i="2"/>
  <c r="EB360" i="2"/>
  <c r="EA360" i="2"/>
  <c r="DY360" i="2"/>
  <c r="DX360" i="2"/>
  <c r="DV360" i="2"/>
  <c r="DU360" i="2"/>
  <c r="DS360" i="2"/>
  <c r="DR360" i="2"/>
  <c r="DP360" i="2"/>
  <c r="DO360" i="2"/>
  <c r="DM360" i="2"/>
  <c r="DL360" i="2"/>
  <c r="DJ360" i="2"/>
  <c r="DI360" i="2"/>
  <c r="DG360" i="2"/>
  <c r="DF360" i="2"/>
  <c r="DD360" i="2"/>
  <c r="DC360" i="2"/>
  <c r="DA360" i="2"/>
  <c r="CZ360" i="2"/>
  <c r="CX360" i="2"/>
  <c r="CW360" i="2"/>
  <c r="CU360" i="2"/>
  <c r="CT360" i="2"/>
  <c r="CR360" i="2"/>
  <c r="CQ360" i="2"/>
  <c r="CO360" i="2"/>
  <c r="CN360" i="2"/>
  <c r="CL360" i="2"/>
  <c r="CK360" i="2"/>
  <c r="CI360" i="2"/>
  <c r="CH360" i="2"/>
  <c r="CF360" i="2"/>
  <c r="CE360" i="2"/>
  <c r="CC360" i="2"/>
  <c r="CB360" i="2"/>
  <c r="BZ360" i="2"/>
  <c r="BY360" i="2"/>
  <c r="BW360" i="2"/>
  <c r="BV360" i="2"/>
  <c r="BT360" i="2"/>
  <c r="BQ360" i="2"/>
  <c r="BP360" i="2"/>
  <c r="BN360" i="2"/>
  <c r="BM360" i="2"/>
  <c r="BK360" i="2"/>
  <c r="BJ360" i="2"/>
  <c r="BH360" i="2"/>
  <c r="BG360" i="2"/>
  <c r="BE360" i="2"/>
  <c r="BD360" i="2"/>
  <c r="DM359" i="2"/>
  <c r="DM233" i="3" s="1"/>
  <c r="DL359" i="2"/>
  <c r="DL233" i="3" s="1"/>
  <c r="CX359" i="2"/>
  <c r="CX233" i="3" s="1"/>
  <c r="CR359" i="2"/>
  <c r="CR233" i="3" s="1"/>
  <c r="CQ359" i="2"/>
  <c r="CQ233" i="3" s="1"/>
  <c r="CO359" i="2"/>
  <c r="CO233" i="3" s="1"/>
  <c r="CN359" i="2"/>
  <c r="CN233" i="3" s="1"/>
  <c r="CL359" i="2"/>
  <c r="CL233" i="3" s="1"/>
  <c r="CK359" i="2"/>
  <c r="CK233" i="3" s="1"/>
  <c r="CI359" i="2"/>
  <c r="CI233" i="3" s="1"/>
  <c r="CH359" i="2"/>
  <c r="CH233" i="3" s="1"/>
  <c r="CF359" i="2"/>
  <c r="CF233" i="3" s="1"/>
  <c r="CE359" i="2"/>
  <c r="CE233" i="3" s="1"/>
  <c r="CC359" i="2"/>
  <c r="CB359" i="2"/>
  <c r="CB233" i="3" s="1"/>
  <c r="BZ359" i="2"/>
  <c r="BZ233" i="3" s="1"/>
  <c r="BY359" i="2"/>
  <c r="BY233" i="3" s="1"/>
  <c r="BW359" i="2"/>
  <c r="BW233" i="3" s="1"/>
  <c r="BV359" i="2"/>
  <c r="BV233" i="3" s="1"/>
  <c r="BT359" i="2"/>
  <c r="BT233" i="3" s="1"/>
  <c r="BQ359" i="2"/>
  <c r="BQ233" i="3" s="1"/>
  <c r="BP359" i="2"/>
  <c r="BP233" i="3" s="1"/>
  <c r="BN359" i="2"/>
  <c r="BN233" i="3" s="1"/>
  <c r="BM359" i="2"/>
  <c r="BM233" i="3" s="1"/>
  <c r="BK359" i="2"/>
  <c r="BK233" i="3" s="1"/>
  <c r="BJ359" i="2"/>
  <c r="BJ233" i="3" s="1"/>
  <c r="BH359" i="2"/>
  <c r="BH233" i="3" s="1"/>
  <c r="BG359" i="2"/>
  <c r="BG233" i="3" s="1"/>
  <c r="BE359" i="2"/>
  <c r="BD359" i="2"/>
  <c r="BD233" i="3" s="1"/>
  <c r="AX359" i="2"/>
  <c r="AX233" i="3" s="1"/>
  <c r="AV359" i="2"/>
  <c r="AX361" i="2" s="1"/>
  <c r="AU359" i="2"/>
  <c r="AS359" i="2"/>
  <c r="AU361" i="2" s="1"/>
  <c r="AR359" i="2"/>
  <c r="AR233" i="3" s="1"/>
  <c r="AP359" i="2"/>
  <c r="AR361" i="2" s="1"/>
  <c r="AO359" i="2"/>
  <c r="AO233" i="3" s="1"/>
  <c r="AM359" i="2"/>
  <c r="AO361" i="2" s="1"/>
  <c r="AL359" i="2"/>
  <c r="AL233" i="3" s="1"/>
  <c r="AJ359" i="2"/>
  <c r="AL361" i="2" s="1"/>
  <c r="AI359" i="2"/>
  <c r="AI233" i="3" s="1"/>
  <c r="AG359" i="2"/>
  <c r="AI361" i="2" s="1"/>
  <c r="AF359" i="2"/>
  <c r="AD359" i="2"/>
  <c r="AF361" i="2" s="1"/>
  <c r="AC359" i="2"/>
  <c r="AC233" i="3" s="1"/>
  <c r="AA359" i="2"/>
  <c r="AC361" i="2" s="1"/>
  <c r="Z359" i="2"/>
  <c r="Z233" i="3" s="1"/>
  <c r="X359" i="2"/>
  <c r="Z361" i="2" s="1"/>
  <c r="W359" i="2"/>
  <c r="U359" i="2"/>
  <c r="W361" i="2" s="1"/>
  <c r="T359" i="2"/>
  <c r="T233" i="3" s="1"/>
  <c r="R359" i="2"/>
  <c r="T361" i="2" s="1"/>
  <c r="Q359" i="2"/>
  <c r="Q233" i="3" s="1"/>
  <c r="O359" i="2"/>
  <c r="Q361" i="2" s="1"/>
  <c r="N359" i="2"/>
  <c r="N233" i="3" s="1"/>
  <c r="L359" i="2"/>
  <c r="N361" i="2" s="1"/>
  <c r="K359" i="2"/>
  <c r="K233" i="3" s="1"/>
  <c r="I359" i="2"/>
  <c r="K361" i="2" s="1"/>
  <c r="H359" i="2"/>
  <c r="H233" i="3" s="1"/>
  <c r="F359" i="2"/>
  <c r="H361" i="2" s="1"/>
  <c r="E359" i="2"/>
  <c r="E233" i="3" s="1"/>
  <c r="DM358" i="2"/>
  <c r="DL358" i="2"/>
  <c r="CX358" i="2"/>
  <c r="CR358" i="2"/>
  <c r="CQ358" i="2"/>
  <c r="CO358" i="2"/>
  <c r="CN358" i="2"/>
  <c r="CL358" i="2"/>
  <c r="CK358" i="2"/>
  <c r="CI358" i="2"/>
  <c r="CH358" i="2"/>
  <c r="CF358" i="2"/>
  <c r="CE358" i="2"/>
  <c r="CC358" i="2"/>
  <c r="CB358" i="2"/>
  <c r="BZ358" i="2"/>
  <c r="BY358" i="2"/>
  <c r="BW358" i="2"/>
  <c r="BV358" i="2"/>
  <c r="BT358" i="2"/>
  <c r="BS358" i="2"/>
  <c r="BQ358" i="2"/>
  <c r="BP358" i="2"/>
  <c r="BN358" i="2"/>
  <c r="BM358" i="2"/>
  <c r="BK358" i="2"/>
  <c r="BJ358" i="2"/>
  <c r="BH358" i="2"/>
  <c r="BG358" i="2"/>
  <c r="BE358" i="2"/>
  <c r="BD358" i="2"/>
  <c r="AX358" i="2"/>
  <c r="AV358" i="2"/>
  <c r="AU358" i="2"/>
  <c r="AS358" i="2"/>
  <c r="AR358" i="2"/>
  <c r="AP358" i="2"/>
  <c r="AO358" i="2"/>
  <c r="AM358" i="2"/>
  <c r="AL358" i="2"/>
  <c r="AJ358" i="2"/>
  <c r="AI358" i="2"/>
  <c r="AG358" i="2"/>
  <c r="AF358" i="2"/>
  <c r="AD358" i="2"/>
  <c r="AC358" i="2"/>
  <c r="AA358" i="2"/>
  <c r="Z358" i="2"/>
  <c r="X358" i="2"/>
  <c r="W358" i="2"/>
  <c r="U358" i="2"/>
  <c r="T358" i="2"/>
  <c r="R358" i="2"/>
  <c r="Q358" i="2"/>
  <c r="O358" i="2"/>
  <c r="N358" i="2"/>
  <c r="L358" i="2"/>
  <c r="K358" i="2"/>
  <c r="I358" i="2"/>
  <c r="H358" i="2"/>
  <c r="F358" i="2"/>
  <c r="E358" i="2"/>
  <c r="EQ357" i="2"/>
  <c r="EP357" i="2"/>
  <c r="EN357" i="2"/>
  <c r="EM357" i="2"/>
  <c r="EK357" i="2"/>
  <c r="EJ357" i="2"/>
  <c r="EH357" i="2"/>
  <c r="EG357" i="2"/>
  <c r="EE357" i="2"/>
  <c r="ED357" i="2"/>
  <c r="EB357" i="2"/>
  <c r="EA357" i="2"/>
  <c r="DY357" i="2"/>
  <c r="DX357" i="2"/>
  <c r="DV357" i="2"/>
  <c r="DU357" i="2"/>
  <c r="DS357" i="2"/>
  <c r="DR357" i="2"/>
  <c r="DP357" i="2"/>
  <c r="DO357" i="2"/>
  <c r="DM357" i="2"/>
  <c r="DL357" i="2"/>
  <c r="DJ357" i="2"/>
  <c r="DI357" i="2"/>
  <c r="DG357" i="2"/>
  <c r="DF357" i="2"/>
  <c r="DD357" i="2"/>
  <c r="DC357" i="2"/>
  <c r="DA357" i="2"/>
  <c r="CZ357" i="2"/>
  <c r="CX357" i="2"/>
  <c r="CW357" i="2"/>
  <c r="CU357" i="2"/>
  <c r="CT357" i="2"/>
  <c r="CR357" i="2"/>
  <c r="CQ357" i="2"/>
  <c r="CO357" i="2"/>
  <c r="CN357" i="2"/>
  <c r="CL357" i="2"/>
  <c r="CK357" i="2"/>
  <c r="CI357" i="2"/>
  <c r="CH357" i="2"/>
  <c r="CF357" i="2"/>
  <c r="CE357" i="2"/>
  <c r="CC357" i="2"/>
  <c r="CB357" i="2"/>
  <c r="BZ357" i="2"/>
  <c r="BY357" i="2"/>
  <c r="BW357" i="2"/>
  <c r="BV357" i="2"/>
  <c r="BT357" i="2"/>
  <c r="BS357" i="2"/>
  <c r="BQ357" i="2"/>
  <c r="BP357" i="2"/>
  <c r="BN357" i="2"/>
  <c r="BM357" i="2"/>
  <c r="BK357" i="2"/>
  <c r="BJ357" i="2"/>
  <c r="BH357" i="2"/>
  <c r="BG357" i="2"/>
  <c r="BE357" i="2"/>
  <c r="BD357" i="2"/>
  <c r="DM355" i="2"/>
  <c r="DL355" i="2"/>
  <c r="CX355" i="2"/>
  <c r="CR355" i="2"/>
  <c r="CQ355" i="2"/>
  <c r="CO355" i="2"/>
  <c r="CN355" i="2"/>
  <c r="CL355" i="2"/>
  <c r="CK355" i="2"/>
  <c r="CI355" i="2"/>
  <c r="CH355" i="2"/>
  <c r="CF355" i="2"/>
  <c r="CE355" i="2"/>
  <c r="CC355" i="2"/>
  <c r="CB355" i="2"/>
  <c r="BZ355" i="2"/>
  <c r="BY355" i="2"/>
  <c r="BW355" i="2"/>
  <c r="BV355" i="2"/>
  <c r="BT355" i="2"/>
  <c r="BS355" i="2"/>
  <c r="BQ355" i="2"/>
  <c r="BP355" i="2"/>
  <c r="BN355" i="2"/>
  <c r="BM355" i="2"/>
  <c r="BK355" i="2"/>
  <c r="BJ355" i="2"/>
  <c r="BI355" i="2"/>
  <c r="BE355" i="2"/>
  <c r="BD355" i="2"/>
  <c r="BB355" i="2"/>
  <c r="BA355" i="2"/>
  <c r="AY355" i="2"/>
  <c r="AX355" i="2"/>
  <c r="AV355" i="2"/>
  <c r="AU355" i="2"/>
  <c r="AS355" i="2"/>
  <c r="AR355" i="2"/>
  <c r="AP355" i="2"/>
  <c r="AO355" i="2"/>
  <c r="AM355" i="2"/>
  <c r="AL355" i="2"/>
  <c r="AJ355" i="2"/>
  <c r="AI355" i="2"/>
  <c r="AG355" i="2"/>
  <c r="AF355" i="2"/>
  <c r="AD355" i="2"/>
  <c r="AC355" i="2"/>
  <c r="AA355" i="2"/>
  <c r="Z355" i="2"/>
  <c r="X355" i="2"/>
  <c r="W355" i="2"/>
  <c r="U355" i="2"/>
  <c r="T355" i="2"/>
  <c r="R355" i="2"/>
  <c r="Q355" i="2"/>
  <c r="O355" i="2"/>
  <c r="N355" i="2"/>
  <c r="L355" i="2"/>
  <c r="K355" i="2"/>
  <c r="I355" i="2"/>
  <c r="H355" i="2"/>
  <c r="F355" i="2"/>
  <c r="E355" i="2"/>
  <c r="EQ354" i="2"/>
  <c r="EP354" i="2"/>
  <c r="EN354" i="2"/>
  <c r="EM354" i="2"/>
  <c r="EK354" i="2"/>
  <c r="EJ354" i="2"/>
  <c r="EH354" i="2"/>
  <c r="EG354" i="2"/>
  <c r="EE354" i="2"/>
  <c r="ED354" i="2"/>
  <c r="EB354" i="2"/>
  <c r="EA354" i="2"/>
  <c r="DY354" i="2"/>
  <c r="DX354" i="2"/>
  <c r="DV354" i="2"/>
  <c r="DU354" i="2"/>
  <c r="DS354" i="2"/>
  <c r="DR354" i="2"/>
  <c r="DP354" i="2"/>
  <c r="DO354" i="2"/>
  <c r="DM354" i="2"/>
  <c r="DL354" i="2"/>
  <c r="DJ354" i="2"/>
  <c r="DI354" i="2"/>
  <c r="DG354" i="2"/>
  <c r="DF354" i="2"/>
  <c r="DD354" i="2"/>
  <c r="DC354" i="2"/>
  <c r="DA354" i="2"/>
  <c r="CZ354" i="2"/>
  <c r="CX354" i="2"/>
  <c r="CW354" i="2"/>
  <c r="CU354" i="2"/>
  <c r="CT354" i="2"/>
  <c r="CR354" i="2"/>
  <c r="CQ354" i="2"/>
  <c r="CO354" i="2"/>
  <c r="CN354" i="2"/>
  <c r="CL354" i="2"/>
  <c r="CK354" i="2"/>
  <c r="CI354" i="2"/>
  <c r="CH354" i="2"/>
  <c r="CF354" i="2"/>
  <c r="CE354" i="2"/>
  <c r="CC354" i="2"/>
  <c r="CB354" i="2"/>
  <c r="BZ354" i="2"/>
  <c r="BY354" i="2"/>
  <c r="BW354" i="2"/>
  <c r="BV354" i="2"/>
  <c r="BT354" i="2"/>
  <c r="BS354" i="2"/>
  <c r="BQ354" i="2"/>
  <c r="BP354" i="2"/>
  <c r="BN354" i="2"/>
  <c r="BM354" i="2"/>
  <c r="BK354" i="2"/>
  <c r="BJ354" i="2"/>
  <c r="BH354" i="2"/>
  <c r="BG354" i="2"/>
  <c r="BE354" i="2"/>
  <c r="BD354" i="2"/>
  <c r="EQ352" i="2"/>
  <c r="EQ24" i="2" s="1"/>
  <c r="EP352" i="2"/>
  <c r="EP24" i="2" s="1"/>
  <c r="EN352" i="2"/>
  <c r="EN24" i="2" s="1"/>
  <c r="EM352" i="2"/>
  <c r="EM24" i="2" s="1"/>
  <c r="EK352" i="2"/>
  <c r="EK24" i="2" s="1"/>
  <c r="EJ352" i="2"/>
  <c r="EJ24" i="2" s="1"/>
  <c r="EH352" i="2"/>
  <c r="EH24" i="2" s="1"/>
  <c r="EG352" i="2"/>
  <c r="EG24" i="2" s="1"/>
  <c r="EE352" i="2"/>
  <c r="EE24" i="2" s="1"/>
  <c r="ED352" i="2"/>
  <c r="ED24" i="2" s="1"/>
  <c r="EB352" i="2"/>
  <c r="EB24" i="2" s="1"/>
  <c r="EA352" i="2"/>
  <c r="EA24" i="2" s="1"/>
  <c r="DY352" i="2"/>
  <c r="DY24" i="2" s="1"/>
  <c r="DX352" i="2"/>
  <c r="DX24" i="2" s="1"/>
  <c r="DV352" i="2"/>
  <c r="DV24" i="2" s="1"/>
  <c r="DU352" i="2"/>
  <c r="DU24" i="2" s="1"/>
  <c r="DS352" i="2"/>
  <c r="DS24" i="2" s="1"/>
  <c r="DR352" i="2"/>
  <c r="DR24" i="2" s="1"/>
  <c r="DP352" i="2"/>
  <c r="DP24" i="2" s="1"/>
  <c r="DO352" i="2"/>
  <c r="DO24" i="2" s="1"/>
  <c r="DM352" i="2"/>
  <c r="DM24" i="2" s="1"/>
  <c r="DJ352" i="2"/>
  <c r="DJ24" i="2" s="1"/>
  <c r="DI352" i="2"/>
  <c r="DI24" i="2" s="1"/>
  <c r="DG352" i="2"/>
  <c r="DG24" i="2" s="1"/>
  <c r="DF352" i="2"/>
  <c r="DF24" i="2" s="1"/>
  <c r="DD352" i="2"/>
  <c r="DD24" i="2" s="1"/>
  <c r="DC352" i="2"/>
  <c r="DC24" i="2" s="1"/>
  <c r="DA352" i="2"/>
  <c r="DA24" i="2" s="1"/>
  <c r="CZ352" i="2"/>
  <c r="CZ24" i="2" s="1"/>
  <c r="CX352" i="2"/>
  <c r="CX24" i="2" s="1"/>
  <c r="CW352" i="2"/>
  <c r="CW24" i="2" s="1"/>
  <c r="CU352" i="2"/>
  <c r="CU24" i="2" s="1"/>
  <c r="CR352" i="2"/>
  <c r="CR24" i="2" s="1"/>
  <c r="CO352" i="2"/>
  <c r="CO24" i="2" s="1"/>
  <c r="BH352" i="2"/>
  <c r="BH24" i="2" s="1"/>
  <c r="BG352" i="2"/>
  <c r="BG24" i="2" s="1"/>
  <c r="BE352" i="2"/>
  <c r="BE24" i="2" s="1"/>
  <c r="BD352" i="2"/>
  <c r="BD24" i="2" s="1"/>
  <c r="BC352" i="2"/>
  <c r="BC226" i="3" s="1"/>
  <c r="AZ352" i="2"/>
  <c r="AW352" i="2"/>
  <c r="AW226" i="3" s="1"/>
  <c r="AT352" i="2"/>
  <c r="AQ352" i="2"/>
  <c r="AQ226" i="3" s="1"/>
  <c r="AN352" i="2"/>
  <c r="AN226" i="3" s="1"/>
  <c r="BH348" i="2"/>
  <c r="BH22" i="2" s="1"/>
  <c r="BB349" i="2"/>
  <c r="AY349" i="2"/>
  <c r="AV349" i="2"/>
  <c r="AS349" i="2"/>
  <c r="AP349" i="2"/>
  <c r="AM349" i="2"/>
  <c r="AJ349" i="2"/>
  <c r="AG349" i="2"/>
  <c r="AD349" i="2"/>
  <c r="AA349" i="2"/>
  <c r="X349" i="2"/>
  <c r="U349" i="2"/>
  <c r="R349" i="2"/>
  <c r="O349" i="2"/>
  <c r="L349" i="2"/>
  <c r="I349" i="2"/>
  <c r="F349" i="2"/>
  <c r="BZ348" i="2"/>
  <c r="BW348" i="2"/>
  <c r="BV348" i="2"/>
  <c r="BV349" i="2" s="1"/>
  <c r="BT348" i="2"/>
  <c r="BS348" i="2"/>
  <c r="BQ348" i="2"/>
  <c r="BP348" i="2"/>
  <c r="BP22" i="2" s="1"/>
  <c r="BN348" i="2"/>
  <c r="BM348" i="2"/>
  <c r="BK348" i="2"/>
  <c r="BJ348" i="2"/>
  <c r="BJ225" i="3" s="1"/>
  <c r="BE348" i="2"/>
  <c r="BD348" i="2"/>
  <c r="BC348" i="2"/>
  <c r="AZ348" i="2"/>
  <c r="AW348" i="2"/>
  <c r="AT348" i="2"/>
  <c r="AQ348" i="2"/>
  <c r="AN348" i="2"/>
  <c r="AK348" i="2"/>
  <c r="AH348" i="2"/>
  <c r="AE348" i="2"/>
  <c r="AB348" i="2"/>
  <c r="Y348" i="2"/>
  <c r="V348" i="2"/>
  <c r="S348" i="2"/>
  <c r="P348" i="2"/>
  <c r="M348" i="2"/>
  <c r="J348" i="2"/>
  <c r="G348" i="2"/>
  <c r="AL347" i="2"/>
  <c r="AK347" i="2"/>
  <c r="AJ347" i="2"/>
  <c r="AI347" i="2"/>
  <c r="AH347" i="2"/>
  <c r="AG347" i="2"/>
  <c r="AF347" i="2"/>
  <c r="AE347" i="2"/>
  <c r="AD347" i="2"/>
  <c r="AC347" i="2"/>
  <c r="AB347" i="2"/>
  <c r="AA347" i="2"/>
  <c r="Z347" i="2"/>
  <c r="Y347" i="2"/>
  <c r="X347" i="2"/>
  <c r="W347" i="2"/>
  <c r="V347" i="2"/>
  <c r="U347" i="2"/>
  <c r="T347" i="2"/>
  <c r="S347" i="2"/>
  <c r="R347" i="2"/>
  <c r="Q347" i="2"/>
  <c r="P347" i="2"/>
  <c r="O347" i="2"/>
  <c r="N347" i="2"/>
  <c r="M347" i="2"/>
  <c r="L347" i="2"/>
  <c r="K347" i="2"/>
  <c r="J347" i="2"/>
  <c r="I347" i="2"/>
  <c r="H347" i="2"/>
  <c r="G347" i="2"/>
  <c r="F347" i="2"/>
  <c r="E347" i="2"/>
  <c r="AL326" i="2"/>
  <c r="AK326" i="2"/>
  <c r="AJ326" i="2"/>
  <c r="AI326" i="2"/>
  <c r="AH326" i="2"/>
  <c r="AG326" i="2"/>
  <c r="AF326" i="2"/>
  <c r="AE326" i="2"/>
  <c r="AD326" i="2"/>
  <c r="AC326" i="2"/>
  <c r="AB326" i="2"/>
  <c r="AA326" i="2"/>
  <c r="Z326" i="2"/>
  <c r="Y326" i="2"/>
  <c r="X326" i="2"/>
  <c r="W326" i="2"/>
  <c r="V326" i="2"/>
  <c r="U326" i="2"/>
  <c r="T326" i="2"/>
  <c r="S326" i="2"/>
  <c r="R326" i="2"/>
  <c r="Q326" i="2"/>
  <c r="P326" i="2"/>
  <c r="O326" i="2"/>
  <c r="N326" i="2"/>
  <c r="M326" i="2"/>
  <c r="L326" i="2"/>
  <c r="K326" i="2"/>
  <c r="J326" i="2"/>
  <c r="I326" i="2"/>
  <c r="H326" i="2"/>
  <c r="G326" i="2"/>
  <c r="F326" i="2"/>
  <c r="E326" i="2"/>
  <c r="BH323" i="2"/>
  <c r="AB312" i="2"/>
  <c r="AB320" i="2" s="1"/>
  <c r="DF321" i="2"/>
  <c r="DF626" i="2" s="1"/>
  <c r="CU321" i="2"/>
  <c r="CU626" i="2" s="1"/>
  <c r="CR321" i="2"/>
  <c r="CR626" i="2" s="1"/>
  <c r="CO321" i="2"/>
  <c r="CO626" i="2" s="1"/>
  <c r="CN321" i="2"/>
  <c r="CN626" i="2" s="1"/>
  <c r="CM321" i="2"/>
  <c r="CM626" i="2" s="1"/>
  <c r="CK321" i="2"/>
  <c r="CJ321" i="2"/>
  <c r="CJ626" i="2" s="1"/>
  <c r="CH321" i="2"/>
  <c r="CH626" i="2" s="1"/>
  <c r="CF321" i="2"/>
  <c r="CF626" i="2" s="1"/>
  <c r="CE321" i="2"/>
  <c r="CD321" i="2"/>
  <c r="CD626" i="2" s="1"/>
  <c r="CB321" i="2"/>
  <c r="CB626" i="2" s="1"/>
  <c r="BZ321" i="2"/>
  <c r="BZ626" i="2" s="1"/>
  <c r="BY321" i="2"/>
  <c r="BY626" i="2" s="1"/>
  <c r="BX321" i="2"/>
  <c r="BV321" i="2"/>
  <c r="BU321" i="2"/>
  <c r="BQ321" i="2"/>
  <c r="BQ626" i="2" s="1"/>
  <c r="BN321" i="2"/>
  <c r="BN626" i="2" s="1"/>
  <c r="BK321" i="2"/>
  <c r="BK626" i="2" s="1"/>
  <c r="BH321" i="2"/>
  <c r="BE321" i="2"/>
  <c r="BB321" i="2"/>
  <c r="AY321" i="2"/>
  <c r="AV321" i="2"/>
  <c r="AS321" i="2"/>
  <c r="AP321" i="2"/>
  <c r="AM321" i="2"/>
  <c r="AJ321" i="2"/>
  <c r="AG321" i="2"/>
  <c r="AD321" i="2"/>
  <c r="AA321" i="2"/>
  <c r="X321" i="2"/>
  <c r="U321" i="2"/>
  <c r="R321" i="2"/>
  <c r="O321" i="2"/>
  <c r="L321" i="2"/>
  <c r="I321" i="2"/>
  <c r="F321" i="2"/>
  <c r="K312" i="2"/>
  <c r="K320" i="2" s="1"/>
  <c r="K322" i="2" s="1"/>
  <c r="DP319" i="2"/>
  <c r="DM319" i="2"/>
  <c r="DJ319" i="2"/>
  <c r="DG319" i="2"/>
  <c r="DD319" i="2"/>
  <c r="DA319" i="2"/>
  <c r="CX319" i="2"/>
  <c r="CU319" i="2"/>
  <c r="CR319" i="2"/>
  <c r="CO319" i="2"/>
  <c r="CL319" i="2"/>
  <c r="CI319" i="2"/>
  <c r="CF319" i="2"/>
  <c r="CC319" i="2"/>
  <c r="BZ319" i="2"/>
  <c r="BW319" i="2"/>
  <c r="BT319" i="2"/>
  <c r="BQ319" i="2"/>
  <c r="BN319" i="2"/>
  <c r="BK319" i="2"/>
  <c r="BH319" i="2"/>
  <c r="BE319" i="2"/>
  <c r="BB319" i="2"/>
  <c r="BA319" i="2"/>
  <c r="AY319" i="2"/>
  <c r="AX319" i="2"/>
  <c r="AV319" i="2"/>
  <c r="AU319" i="2"/>
  <c r="AS319" i="2"/>
  <c r="AR319" i="2"/>
  <c r="AP319" i="2"/>
  <c r="AM319" i="2"/>
  <c r="AJ319" i="2"/>
  <c r="AG319" i="2"/>
  <c r="AD319" i="2"/>
  <c r="AA319" i="2"/>
  <c r="X319" i="2"/>
  <c r="U319" i="2"/>
  <c r="R319" i="2"/>
  <c r="O319" i="2"/>
  <c r="L319" i="2"/>
  <c r="I319" i="2"/>
  <c r="F319" i="2"/>
  <c r="EQ318" i="2"/>
  <c r="EN318" i="2"/>
  <c r="EK318" i="2"/>
  <c r="EH318" i="2"/>
  <c r="EE318" i="2"/>
  <c r="EB318" i="2"/>
  <c r="DY318" i="2"/>
  <c r="DS318" i="2"/>
  <c r="DP318" i="2"/>
  <c r="DM318" i="2"/>
  <c r="DJ318" i="2"/>
  <c r="DG318" i="2"/>
  <c r="DD318" i="2"/>
  <c r="DA318" i="2"/>
  <c r="CX318" i="2"/>
  <c r="CU318" i="2"/>
  <c r="CR318" i="2"/>
  <c r="CO318" i="2"/>
  <c r="CL318" i="2"/>
  <c r="CI318" i="2"/>
  <c r="CF318" i="2"/>
  <c r="CC318" i="2"/>
  <c r="BZ318" i="2"/>
  <c r="BW318" i="2"/>
  <c r="BT318" i="2"/>
  <c r="BQ318" i="2"/>
  <c r="BN318" i="2"/>
  <c r="BK318" i="2"/>
  <c r="BH318" i="2"/>
  <c r="BE318" i="2"/>
  <c r="BB318" i="2"/>
  <c r="AY318" i="2"/>
  <c r="AX318" i="2"/>
  <c r="AX312" i="2" s="1"/>
  <c r="AW318" i="2"/>
  <c r="AU318" i="2"/>
  <c r="AU312" i="2" s="1"/>
  <c r="AS318" i="2"/>
  <c r="AP318" i="2"/>
  <c r="AM318" i="2"/>
  <c r="AJ318" i="2"/>
  <c r="AG318" i="2"/>
  <c r="AD318" i="2"/>
  <c r="AA318" i="2"/>
  <c r="X318" i="2"/>
  <c r="U318" i="2"/>
  <c r="R318" i="2"/>
  <c r="O318" i="2"/>
  <c r="L318" i="2"/>
  <c r="I318" i="2"/>
  <c r="F318" i="2"/>
  <c r="EQ317" i="2"/>
  <c r="EN317" i="2"/>
  <c r="EK317" i="2"/>
  <c r="EH317" i="2"/>
  <c r="EE317" i="2"/>
  <c r="EB317" i="2"/>
  <c r="DY317" i="2"/>
  <c r="DS317" i="2"/>
  <c r="DP317" i="2"/>
  <c r="DM317" i="2"/>
  <c r="DJ317" i="2"/>
  <c r="DG317" i="2"/>
  <c r="DD317" i="2"/>
  <c r="DA317" i="2"/>
  <c r="CX317" i="2"/>
  <c r="CU317" i="2"/>
  <c r="CR317" i="2"/>
  <c r="CO317" i="2"/>
  <c r="CL317" i="2"/>
  <c r="CI317" i="2"/>
  <c r="CF317" i="2"/>
  <c r="CC317" i="2"/>
  <c r="BZ317" i="2"/>
  <c r="BW317" i="2"/>
  <c r="BT317" i="2"/>
  <c r="BQ317" i="2"/>
  <c r="BN317" i="2"/>
  <c r="BK317" i="2"/>
  <c r="BH317" i="2"/>
  <c r="BE317" i="2"/>
  <c r="BB317" i="2"/>
  <c r="AY317" i="2"/>
  <c r="AV317" i="2"/>
  <c r="AS317" i="2"/>
  <c r="AP317" i="2"/>
  <c r="AM317" i="2"/>
  <c r="AJ317" i="2"/>
  <c r="AG317" i="2"/>
  <c r="AD317" i="2"/>
  <c r="AA317" i="2"/>
  <c r="X317" i="2"/>
  <c r="U317" i="2"/>
  <c r="R317" i="2"/>
  <c r="O317" i="2"/>
  <c r="L317" i="2"/>
  <c r="I317" i="2"/>
  <c r="F317" i="2"/>
  <c r="EQ316" i="2"/>
  <c r="EN316" i="2"/>
  <c r="EK316" i="2"/>
  <c r="EH316" i="2"/>
  <c r="EE316" i="2"/>
  <c r="EB316" i="2"/>
  <c r="DY316" i="2"/>
  <c r="DS316" i="2"/>
  <c r="DP316" i="2"/>
  <c r="DM316" i="2"/>
  <c r="DJ316" i="2"/>
  <c r="DG316" i="2"/>
  <c r="DD316" i="2"/>
  <c r="DA316" i="2"/>
  <c r="CX316" i="2"/>
  <c r="CU316" i="2"/>
  <c r="CR316" i="2"/>
  <c r="CO316" i="2"/>
  <c r="CL316" i="2"/>
  <c r="CI316" i="2"/>
  <c r="CF316" i="2"/>
  <c r="CC316" i="2"/>
  <c r="BZ316" i="2"/>
  <c r="BW316" i="2"/>
  <c r="BT316" i="2"/>
  <c r="BQ316" i="2"/>
  <c r="BN316" i="2"/>
  <c r="BK316" i="2"/>
  <c r="BH316" i="2"/>
  <c r="BE316" i="2"/>
  <c r="BB316" i="2"/>
  <c r="AY316" i="2"/>
  <c r="AV316" i="2"/>
  <c r="AS316" i="2"/>
  <c r="AP316" i="2"/>
  <c r="AM316" i="2"/>
  <c r="AJ316" i="2"/>
  <c r="AG316" i="2"/>
  <c r="AD316" i="2"/>
  <c r="AA316" i="2"/>
  <c r="X316" i="2"/>
  <c r="U316" i="2"/>
  <c r="R316" i="2"/>
  <c r="O316" i="2"/>
  <c r="L316" i="2"/>
  <c r="I316" i="2"/>
  <c r="F316" i="2"/>
  <c r="EQ315" i="2"/>
  <c r="EN315" i="2"/>
  <c r="EK315" i="2"/>
  <c r="EH315" i="2"/>
  <c r="EE315" i="2"/>
  <c r="EB315" i="2"/>
  <c r="DY315" i="2"/>
  <c r="DS315" i="2"/>
  <c r="DP315" i="2"/>
  <c r="DM315" i="2"/>
  <c r="DJ315" i="2"/>
  <c r="DG315" i="2"/>
  <c r="DD315" i="2"/>
  <c r="DA315" i="2"/>
  <c r="CX315" i="2"/>
  <c r="CU315" i="2"/>
  <c r="CR315" i="2"/>
  <c r="CO315" i="2"/>
  <c r="CL315" i="2"/>
  <c r="CI315" i="2"/>
  <c r="CF315" i="2"/>
  <c r="CC315" i="2"/>
  <c r="BZ315" i="2"/>
  <c r="BW315" i="2"/>
  <c r="BT315" i="2"/>
  <c r="BQ315" i="2"/>
  <c r="BN315" i="2"/>
  <c r="BK315" i="2"/>
  <c r="BH315" i="2"/>
  <c r="BE315" i="2"/>
  <c r="BB315" i="2"/>
  <c r="AY315" i="2"/>
  <c r="AV315" i="2"/>
  <c r="AS315" i="2"/>
  <c r="AP315" i="2"/>
  <c r="AM315" i="2"/>
  <c r="AJ315" i="2"/>
  <c r="AG315" i="2"/>
  <c r="AD315" i="2"/>
  <c r="AA315" i="2"/>
  <c r="X315" i="2"/>
  <c r="U315" i="2"/>
  <c r="R315" i="2"/>
  <c r="O315" i="2"/>
  <c r="L315" i="2"/>
  <c r="I315" i="2"/>
  <c r="F315" i="2"/>
  <c r="EQ314" i="2"/>
  <c r="EN314" i="2"/>
  <c r="EK314" i="2"/>
  <c r="EH314" i="2"/>
  <c r="EE314" i="2"/>
  <c r="EB314" i="2"/>
  <c r="DY314" i="2"/>
  <c r="DS314" i="2"/>
  <c r="DP314" i="2"/>
  <c r="DM314" i="2"/>
  <c r="DJ314" i="2"/>
  <c r="DG314" i="2"/>
  <c r="DD314" i="2"/>
  <c r="DA314" i="2"/>
  <c r="CX314" i="2"/>
  <c r="CU314" i="2"/>
  <c r="CR314" i="2"/>
  <c r="CO314" i="2"/>
  <c r="CL314" i="2"/>
  <c r="CI314" i="2"/>
  <c r="CF314" i="2"/>
  <c r="CC314" i="2"/>
  <c r="BZ314" i="2"/>
  <c r="BW314" i="2"/>
  <c r="BT314" i="2"/>
  <c r="BQ314" i="2"/>
  <c r="BN314" i="2"/>
  <c r="BK314" i="2"/>
  <c r="BH314" i="2"/>
  <c r="BE314" i="2"/>
  <c r="BB314" i="2"/>
  <c r="AY314" i="2"/>
  <c r="AV314" i="2"/>
  <c r="AS314" i="2"/>
  <c r="AP314" i="2"/>
  <c r="AM314" i="2"/>
  <c r="AJ314" i="2"/>
  <c r="AG314" i="2"/>
  <c r="AD314" i="2"/>
  <c r="AA314" i="2"/>
  <c r="X314" i="2"/>
  <c r="U314" i="2"/>
  <c r="R314" i="2"/>
  <c r="O314" i="2"/>
  <c r="L314" i="2"/>
  <c r="I314" i="2"/>
  <c r="F314" i="2"/>
  <c r="DP313" i="2"/>
  <c r="DM313" i="2"/>
  <c r="DJ313" i="2"/>
  <c r="DD313" i="2"/>
  <c r="DA313" i="2"/>
  <c r="CX313" i="2"/>
  <c r="CW313" i="2"/>
  <c r="CW312" i="2" s="1"/>
  <c r="CW320" i="2" s="1"/>
  <c r="CW322" i="2" s="1"/>
  <c r="CU313" i="2"/>
  <c r="CT313" i="2"/>
  <c r="CT312" i="2" s="1"/>
  <c r="CT320" i="2" s="1"/>
  <c r="CT625" i="2" s="1"/>
  <c r="CO313" i="2"/>
  <c r="CL313" i="2"/>
  <c r="CI313" i="2"/>
  <c r="CF313" i="2"/>
  <c r="CC313" i="2"/>
  <c r="BZ313" i="2"/>
  <c r="BW313" i="2"/>
  <c r="BT313" i="2"/>
  <c r="BQ313" i="2"/>
  <c r="BN313" i="2"/>
  <c r="BL313" i="2"/>
  <c r="BK313" i="2" s="1"/>
  <c r="BH313" i="2"/>
  <c r="BE313" i="2"/>
  <c r="BB313" i="2"/>
  <c r="AY313" i="2"/>
  <c r="AV313" i="2"/>
  <c r="AS313" i="2"/>
  <c r="AP313" i="2"/>
  <c r="AM313" i="2"/>
  <c r="AJ313" i="2"/>
  <c r="AG313" i="2"/>
  <c r="AD313" i="2"/>
  <c r="AA313" i="2"/>
  <c r="X313" i="2"/>
  <c r="U313" i="2"/>
  <c r="R313" i="2"/>
  <c r="O313" i="2"/>
  <c r="L313" i="2"/>
  <c r="I313" i="2"/>
  <c r="F313" i="2"/>
  <c r="DF312" i="2"/>
  <c r="DF320" i="2" s="1"/>
  <c r="DF625" i="2" s="1"/>
  <c r="DC312" i="2"/>
  <c r="DC320" i="2" s="1"/>
  <c r="DC625" i="2" s="1"/>
  <c r="CZ312" i="2"/>
  <c r="CZ320" i="2" s="1"/>
  <c r="CZ625" i="2" s="1"/>
  <c r="CN312" i="2"/>
  <c r="CN320" i="2" s="1"/>
  <c r="CM312" i="2"/>
  <c r="CL312" i="2" s="1"/>
  <c r="CK312" i="2"/>
  <c r="CK320" i="2" s="1"/>
  <c r="CK625" i="2" s="1"/>
  <c r="CJ312" i="2"/>
  <c r="CH312" i="2"/>
  <c r="CH320" i="2" s="1"/>
  <c r="CH625" i="2" s="1"/>
  <c r="CG312" i="2"/>
  <c r="CF312" i="2" s="1"/>
  <c r="CE312" i="2"/>
  <c r="CE320" i="2" s="1"/>
  <c r="CE625" i="2" s="1"/>
  <c r="CD312" i="2"/>
  <c r="CD320" i="2" s="1"/>
  <c r="CB312" i="2"/>
  <c r="CB320" i="2" s="1"/>
  <c r="CB625" i="2" s="1"/>
  <c r="CA312" i="2"/>
  <c r="BY312" i="2"/>
  <c r="BY320" i="2" s="1"/>
  <c r="BX312" i="2"/>
  <c r="BV312" i="2"/>
  <c r="BV320" i="2" s="1"/>
  <c r="BV625" i="2" s="1"/>
  <c r="BU312" i="2"/>
  <c r="BS312" i="2"/>
  <c r="BS320" i="2" s="1"/>
  <c r="BS322" i="2" s="1"/>
  <c r="BR312" i="2"/>
  <c r="BR320" i="2" s="1"/>
  <c r="BP312" i="2"/>
  <c r="BP320" i="2" s="1"/>
  <c r="BP625" i="2" s="1"/>
  <c r="BO312" i="2"/>
  <c r="BN312" i="2" s="1"/>
  <c r="BM312" i="2"/>
  <c r="BM320" i="2" s="1"/>
  <c r="BJ312" i="2"/>
  <c r="BJ320" i="2" s="1"/>
  <c r="BI312" i="2"/>
  <c r="BH312" i="2" s="1"/>
  <c r="BG312" i="2"/>
  <c r="BG320" i="2" s="1"/>
  <c r="BG625" i="2" s="1"/>
  <c r="BG627" i="2" s="1"/>
  <c r="BF312" i="2"/>
  <c r="BD312" i="2"/>
  <c r="BD320" i="2" s="1"/>
  <c r="BD625" i="2" s="1"/>
  <c r="BD627" i="2" s="1"/>
  <c r="BC312" i="2"/>
  <c r="BA312" i="2"/>
  <c r="AZ312" i="2"/>
  <c r="AZ320" i="2" s="1"/>
  <c r="AT312" i="2"/>
  <c r="AR312" i="2"/>
  <c r="AQ312" i="2"/>
  <c r="AP312" i="2" s="1"/>
  <c r="AO312" i="2"/>
  <c r="AO320" i="2" s="1"/>
  <c r="AN312" i="2"/>
  <c r="AL312" i="2"/>
  <c r="AL320" i="2" s="1"/>
  <c r="AL322" i="2" s="1"/>
  <c r="AK312" i="2"/>
  <c r="AJ312" i="2" s="1"/>
  <c r="AI312" i="2"/>
  <c r="AI320" i="2" s="1"/>
  <c r="AI322" i="2" s="1"/>
  <c r="AH312" i="2"/>
  <c r="AF312" i="2"/>
  <c r="AF320" i="2" s="1"/>
  <c r="AF322" i="2" s="1"/>
  <c r="AE312" i="2"/>
  <c r="AD312" i="2" s="1"/>
  <c r="AC312" i="2"/>
  <c r="AC320" i="2" s="1"/>
  <c r="AC322" i="2" s="1"/>
  <c r="Z312" i="2"/>
  <c r="Z320" i="2" s="1"/>
  <c r="Z322" i="2" s="1"/>
  <c r="Y312" i="2"/>
  <c r="W312" i="2"/>
  <c r="W320" i="2" s="1"/>
  <c r="W322" i="2" s="1"/>
  <c r="V312" i="2"/>
  <c r="V320" i="2" s="1"/>
  <c r="T312" i="2"/>
  <c r="T320" i="2" s="1"/>
  <c r="T322" i="2" s="1"/>
  <c r="S312" i="2"/>
  <c r="R312" i="2" s="1"/>
  <c r="Q312" i="2"/>
  <c r="Q320" i="2" s="1"/>
  <c r="Q322" i="2" s="1"/>
  <c r="P312" i="2"/>
  <c r="N312" i="2"/>
  <c r="N320" i="2" s="1"/>
  <c r="N322" i="2" s="1"/>
  <c r="M312" i="2"/>
  <c r="L312" i="2" s="1"/>
  <c r="J312" i="2"/>
  <c r="J320" i="2" s="1"/>
  <c r="H312" i="2"/>
  <c r="H320" i="2" s="1"/>
  <c r="H322" i="2" s="1"/>
  <c r="G312" i="2"/>
  <c r="E312" i="2"/>
  <c r="E320" i="2" s="1"/>
  <c r="E322" i="2" s="1"/>
  <c r="EQ311" i="2"/>
  <c r="EN311" i="2"/>
  <c r="EK311" i="2"/>
  <c r="EH311" i="2"/>
  <c r="EE311" i="2"/>
  <c r="EB311" i="2"/>
  <c r="DY311" i="2"/>
  <c r="DS311" i="2"/>
  <c r="DP311" i="2"/>
  <c r="DM311" i="2"/>
  <c r="DJ311" i="2"/>
  <c r="DG311" i="2"/>
  <c r="DD311" i="2"/>
  <c r="DA311" i="2"/>
  <c r="CX311" i="2"/>
  <c r="CU311" i="2"/>
  <c r="CR311" i="2"/>
  <c r="CO311" i="2"/>
  <c r="CL311" i="2"/>
  <c r="CI311" i="2"/>
  <c r="CF311" i="2"/>
  <c r="CC311" i="2"/>
  <c r="BZ311" i="2"/>
  <c r="BW311" i="2"/>
  <c r="BT311" i="2"/>
  <c r="BQ311" i="2"/>
  <c r="BN311" i="2"/>
  <c r="BK311" i="2"/>
  <c r="BH311" i="2"/>
  <c r="BE311" i="2"/>
  <c r="BB311" i="2"/>
  <c r="AY311" i="2"/>
  <c r="AV311" i="2"/>
  <c r="AS311" i="2"/>
  <c r="AP311" i="2"/>
  <c r="AM311" i="2"/>
  <c r="AJ311" i="2"/>
  <c r="AG311" i="2"/>
  <c r="AD311" i="2"/>
  <c r="AA311" i="2"/>
  <c r="X311" i="2"/>
  <c r="U311" i="2"/>
  <c r="R311" i="2"/>
  <c r="O311" i="2"/>
  <c r="L311" i="2"/>
  <c r="I311" i="2"/>
  <c r="F311" i="2"/>
  <c r="DP310" i="2"/>
  <c r="DM310" i="2"/>
  <c r="DJ310" i="2"/>
  <c r="DG310" i="2"/>
  <c r="DD310" i="2"/>
  <c r="DA310" i="2"/>
  <c r="CX310" i="2"/>
  <c r="CU310" i="2"/>
  <c r="CR310" i="2"/>
  <c r="CO310" i="2"/>
  <c r="CL310" i="2"/>
  <c r="CI310" i="2"/>
  <c r="CF310" i="2"/>
  <c r="CC310" i="2"/>
  <c r="BZ310" i="2"/>
  <c r="BW310" i="2"/>
  <c r="BT310" i="2"/>
  <c r="BQ310" i="2"/>
  <c r="BN310" i="2"/>
  <c r="BK310" i="2"/>
  <c r="BH310" i="2"/>
  <c r="BE310" i="2"/>
  <c r="BB310" i="2"/>
  <c r="AY310" i="2"/>
  <c r="AV310" i="2"/>
  <c r="AS310" i="2"/>
  <c r="AP310" i="2"/>
  <c r="AM310" i="2"/>
  <c r="AJ310" i="2"/>
  <c r="AG310" i="2"/>
  <c r="AD310" i="2"/>
  <c r="AA310" i="2"/>
  <c r="X310" i="2"/>
  <c r="U310" i="2"/>
  <c r="R310" i="2"/>
  <c r="O310" i="2"/>
  <c r="L310" i="2"/>
  <c r="I310" i="2"/>
  <c r="F310" i="2"/>
  <c r="AT290" i="2"/>
  <c r="AS290" i="2" s="1"/>
  <c r="AT297" i="2"/>
  <c r="DR303" i="2"/>
  <c r="DR219" i="3" s="1"/>
  <c r="DO303" i="2"/>
  <c r="DO219" i="3" s="1"/>
  <c r="DL303" i="2"/>
  <c r="DL219" i="3" s="1"/>
  <c r="DF303" i="2"/>
  <c r="DF219" i="3" s="1"/>
  <c r="DH219" i="3" s="1"/>
  <c r="DI219" i="3" s="1"/>
  <c r="DK219" i="3" s="1"/>
  <c r="DJ219" i="3" s="1"/>
  <c r="DC303" i="2"/>
  <c r="CX303" i="2"/>
  <c r="CW303" i="2"/>
  <c r="CT303" i="2"/>
  <c r="CS303" i="2"/>
  <c r="CR303" i="2" s="1"/>
  <c r="CO303" i="2"/>
  <c r="CN303" i="2"/>
  <c r="CM303" i="2"/>
  <c r="CL303" i="2" s="1"/>
  <c r="CK303" i="2"/>
  <c r="CJ303" i="2"/>
  <c r="CI303" i="2" s="1"/>
  <c r="CH303" i="2"/>
  <c r="CG303" i="2"/>
  <c r="CF303" i="2" s="1"/>
  <c r="CE303" i="2"/>
  <c r="CD303" i="2"/>
  <c r="CC303" i="2" s="1"/>
  <c r="CB303" i="2"/>
  <c r="CA303" i="2"/>
  <c r="BZ303" i="2" s="1"/>
  <c r="BY303" i="2"/>
  <c r="BW303" i="2"/>
  <c r="BV303" i="2"/>
  <c r="BU303" i="2"/>
  <c r="BT303" i="2" s="1"/>
  <c r="BS303" i="2"/>
  <c r="BQ303" i="2"/>
  <c r="BP303" i="2"/>
  <c r="BN303" i="2"/>
  <c r="BM303" i="2"/>
  <c r="BK303" i="2"/>
  <c r="BJ303" i="2"/>
  <c r="BH303" i="2"/>
  <c r="BG303" i="2"/>
  <c r="BF303" i="2"/>
  <c r="BE303" i="2" s="1"/>
  <c r="BD303" i="2"/>
  <c r="BB303" i="2"/>
  <c r="AY303" i="2"/>
  <c r="AV303" i="2"/>
  <c r="AS303" i="2"/>
  <c r="AP303" i="2"/>
  <c r="AM303" i="2"/>
  <c r="AJ303" i="2"/>
  <c r="AG303" i="2"/>
  <c r="AD303" i="2"/>
  <c r="AA303" i="2"/>
  <c r="X303" i="2"/>
  <c r="U303" i="2"/>
  <c r="R303" i="2"/>
  <c r="O303" i="2"/>
  <c r="L303" i="2"/>
  <c r="I303" i="2"/>
  <c r="F303" i="2"/>
  <c r="DG302" i="2"/>
  <c r="DS301" i="2"/>
  <c r="DP301" i="2"/>
  <c r="DM301" i="2"/>
  <c r="DD301" i="2"/>
  <c r="CW301" i="2"/>
  <c r="CT301" i="2"/>
  <c r="CS301" i="2"/>
  <c r="CP301" i="2"/>
  <c r="CO301" i="2" s="1"/>
  <c r="CH301" i="2"/>
  <c r="CJ301" i="2" s="1"/>
  <c r="CI301" i="2" s="1"/>
  <c r="CF301" i="2"/>
  <c r="CC301" i="2"/>
  <c r="BZ301" i="2"/>
  <c r="BW301" i="2"/>
  <c r="BT301" i="2"/>
  <c r="BQ301" i="2"/>
  <c r="BN301" i="2"/>
  <c r="BM301" i="2"/>
  <c r="BK301" i="2"/>
  <c r="BH301" i="2"/>
  <c r="BE301" i="2"/>
  <c r="BB301" i="2"/>
  <c r="AY301" i="2"/>
  <c r="AV301" i="2"/>
  <c r="AS301" i="2"/>
  <c r="AP301" i="2"/>
  <c r="AM301" i="2"/>
  <c r="AJ301" i="2"/>
  <c r="AG301" i="2"/>
  <c r="AD301" i="2"/>
  <c r="AA301" i="2"/>
  <c r="X301" i="2"/>
  <c r="U301" i="2"/>
  <c r="R301" i="2"/>
  <c r="O301" i="2"/>
  <c r="L301" i="2"/>
  <c r="I301" i="2"/>
  <c r="F301" i="2"/>
  <c r="DD300" i="2"/>
  <c r="CR300" i="2"/>
  <c r="CP300" i="2"/>
  <c r="CO300" i="2" s="1"/>
  <c r="BL300" i="2"/>
  <c r="BM300" i="2" s="1"/>
  <c r="BO300" i="2" s="1"/>
  <c r="BH300" i="2"/>
  <c r="BE300" i="2"/>
  <c r="BB300" i="2"/>
  <c r="AY300" i="2"/>
  <c r="AV300" i="2"/>
  <c r="AS300" i="2"/>
  <c r="AP300" i="2"/>
  <c r="AM300" i="2"/>
  <c r="AJ300" i="2"/>
  <c r="AG300" i="2"/>
  <c r="AD300" i="2"/>
  <c r="AA300" i="2"/>
  <c r="X300" i="2"/>
  <c r="U300" i="2"/>
  <c r="R300" i="2"/>
  <c r="O300" i="2"/>
  <c r="L300" i="2"/>
  <c r="I300" i="2"/>
  <c r="F300" i="2"/>
  <c r="DP299" i="2"/>
  <c r="DM299" i="2"/>
  <c r="DJ299" i="2"/>
  <c r="DG299" i="2"/>
  <c r="DD299" i="2"/>
  <c r="DA299" i="2"/>
  <c r="CX299" i="2"/>
  <c r="CU299" i="2"/>
  <c r="CR299" i="2"/>
  <c r="CP299" i="2"/>
  <c r="BL299" i="2"/>
  <c r="BH299" i="2"/>
  <c r="BE299" i="2"/>
  <c r="BB299" i="2"/>
  <c r="AY299" i="2"/>
  <c r="AV299" i="2"/>
  <c r="AS299" i="2"/>
  <c r="AP299" i="2"/>
  <c r="AM299" i="2"/>
  <c r="AJ299" i="2"/>
  <c r="AG299" i="2"/>
  <c r="AD299" i="2"/>
  <c r="AA299" i="2"/>
  <c r="X299" i="2"/>
  <c r="U299" i="2"/>
  <c r="R299" i="2"/>
  <c r="O299" i="2"/>
  <c r="L299" i="2"/>
  <c r="I299" i="2"/>
  <c r="F299" i="2"/>
  <c r="DP298" i="2"/>
  <c r="DP239" i="3" s="1"/>
  <c r="DM298" i="2"/>
  <c r="DM239" i="3" s="1"/>
  <c r="DJ298" i="2"/>
  <c r="DG298" i="2"/>
  <c r="DD298" i="2"/>
  <c r="DA298" i="2"/>
  <c r="CX298" i="2"/>
  <c r="CU298" i="2"/>
  <c r="CR298" i="2"/>
  <c r="CO298" i="2"/>
  <c r="CL298" i="2"/>
  <c r="CI298" i="2"/>
  <c r="CF298" i="2"/>
  <c r="CC298" i="2"/>
  <c r="BZ298" i="2"/>
  <c r="BX298" i="2"/>
  <c r="BW298" i="2" s="1"/>
  <c r="BV298" i="2"/>
  <c r="BU298" i="2"/>
  <c r="BT298" i="2" s="1"/>
  <c r="BS298" i="2"/>
  <c r="BR298" i="2"/>
  <c r="BQ298" i="2" s="1"/>
  <c r="BP298" i="2"/>
  <c r="BO298" i="2"/>
  <c r="BN298" i="2" s="1"/>
  <c r="BM298" i="2"/>
  <c r="BL298" i="2"/>
  <c r="BK298" i="2" s="1"/>
  <c r="BH298" i="2"/>
  <c r="BF298" i="2"/>
  <c r="BE298" i="2" s="1"/>
  <c r="BB298" i="2"/>
  <c r="AY298" i="2"/>
  <c r="AV298" i="2"/>
  <c r="AS298" i="2"/>
  <c r="AP298" i="2"/>
  <c r="AM298" i="2"/>
  <c r="AJ298" i="2"/>
  <c r="AG298" i="2"/>
  <c r="AD298" i="2"/>
  <c r="AA298" i="2"/>
  <c r="X298" i="2"/>
  <c r="U298" i="2"/>
  <c r="R298" i="2"/>
  <c r="O298" i="2"/>
  <c r="L298" i="2"/>
  <c r="I298" i="2"/>
  <c r="F298" i="2"/>
  <c r="BJ297" i="2"/>
  <c r="BJ91" i="3" s="1"/>
  <c r="BI297" i="2"/>
  <c r="BI337" i="2" s="1"/>
  <c r="BG297" i="2"/>
  <c r="BG91" i="3" s="1"/>
  <c r="BD297" i="2"/>
  <c r="BD91" i="3" s="1"/>
  <c r="BC297" i="2"/>
  <c r="BA297" i="2"/>
  <c r="BA91" i="3" s="1"/>
  <c r="AZ297" i="2"/>
  <c r="AY297" i="2" s="1"/>
  <c r="AX297" i="2"/>
  <c r="AX91" i="3" s="1"/>
  <c r="AW297" i="2"/>
  <c r="AU297" i="2"/>
  <c r="AU91" i="3" s="1"/>
  <c r="AR297" i="2"/>
  <c r="AR337" i="2" s="1"/>
  <c r="AQ297" i="2"/>
  <c r="AO297" i="2"/>
  <c r="AN297" i="2"/>
  <c r="AL297" i="2"/>
  <c r="AL91" i="3" s="1"/>
  <c r="AK297" i="2"/>
  <c r="AI297" i="2"/>
  <c r="AI91" i="3" s="1"/>
  <c r="AH297" i="2"/>
  <c r="AH91" i="3" s="1"/>
  <c r="AF297" i="2"/>
  <c r="AF91" i="3" s="1"/>
  <c r="AE297" i="2"/>
  <c r="AD297" i="2" s="1"/>
  <c r="AC297" i="2"/>
  <c r="AC91" i="3" s="1"/>
  <c r="AB297" i="2"/>
  <c r="AA297" i="2" s="1"/>
  <c r="Z297" i="2"/>
  <c r="Z91" i="3" s="1"/>
  <c r="Y297" i="2"/>
  <c r="X297" i="2" s="1"/>
  <c r="W297" i="2"/>
  <c r="W91" i="3" s="1"/>
  <c r="V297" i="2"/>
  <c r="U297" i="2" s="1"/>
  <c r="T297" i="2"/>
  <c r="T91" i="3" s="1"/>
  <c r="S297" i="2"/>
  <c r="Q297" i="2"/>
  <c r="Q91" i="3" s="1"/>
  <c r="P297" i="2"/>
  <c r="P91" i="3" s="1"/>
  <c r="N297" i="2"/>
  <c r="N91" i="3" s="1"/>
  <c r="M297" i="2"/>
  <c r="K297" i="2"/>
  <c r="J297" i="2"/>
  <c r="H297" i="2"/>
  <c r="H91" i="3" s="1"/>
  <c r="G297" i="2"/>
  <c r="F297" i="2" s="1"/>
  <c r="E297" i="2"/>
  <c r="DD296" i="2"/>
  <c r="BH296" i="2"/>
  <c r="BE296" i="2"/>
  <c r="BB296" i="2"/>
  <c r="AY296" i="2"/>
  <c r="AV296" i="2"/>
  <c r="AS296" i="2"/>
  <c r="AP296" i="2"/>
  <c r="AM296" i="2"/>
  <c r="AJ296" i="2"/>
  <c r="AG296" i="2"/>
  <c r="AD296" i="2"/>
  <c r="AA296" i="2"/>
  <c r="X296" i="2"/>
  <c r="U296" i="2"/>
  <c r="R296" i="2"/>
  <c r="O296" i="2"/>
  <c r="L296" i="2"/>
  <c r="I296" i="2"/>
  <c r="F296" i="2"/>
  <c r="DJ295" i="2"/>
  <c r="DD295" i="2"/>
  <c r="CW295" i="2"/>
  <c r="CP295" i="2"/>
  <c r="CO295" i="2" s="1"/>
  <c r="CN295" i="2"/>
  <c r="CM295" i="2"/>
  <c r="CL295" i="2" s="1"/>
  <c r="CJ295" i="2"/>
  <c r="CI295" i="2" s="1"/>
  <c r="CH295" i="2"/>
  <c r="CF295" i="2"/>
  <c r="CE295" i="2"/>
  <c r="CD295" i="2"/>
  <c r="CC295" i="2" s="1"/>
  <c r="CB295" i="2"/>
  <c r="BZ295" i="2"/>
  <c r="BY295" i="2"/>
  <c r="BW295" i="2"/>
  <c r="BV295" i="2"/>
  <c r="BU295" i="2"/>
  <c r="BT295" i="2" s="1"/>
  <c r="BS295" i="2"/>
  <c r="BR295" i="2"/>
  <c r="BQ295" i="2" s="1"/>
  <c r="BN295" i="2"/>
  <c r="BK295" i="2"/>
  <c r="BH295" i="2"/>
  <c r="BE295" i="2"/>
  <c r="BB295" i="2"/>
  <c r="AY295" i="2"/>
  <c r="AV295" i="2"/>
  <c r="AS295" i="2"/>
  <c r="AP295" i="2"/>
  <c r="AM295" i="2"/>
  <c r="AJ295" i="2"/>
  <c r="AG295" i="2"/>
  <c r="AD295" i="2"/>
  <c r="AA295" i="2"/>
  <c r="X295" i="2"/>
  <c r="U295" i="2"/>
  <c r="R295" i="2"/>
  <c r="O295" i="2"/>
  <c r="L295" i="2"/>
  <c r="I295" i="2"/>
  <c r="F295" i="2"/>
  <c r="DD294" i="2"/>
  <c r="BH294" i="2"/>
  <c r="BE294" i="2"/>
  <c r="BB294" i="2"/>
  <c r="AY294" i="2"/>
  <c r="AV294" i="2"/>
  <c r="AS294" i="2"/>
  <c r="AP294" i="2"/>
  <c r="AM294" i="2"/>
  <c r="AJ294" i="2"/>
  <c r="AG294" i="2"/>
  <c r="AD294" i="2"/>
  <c r="AA294" i="2"/>
  <c r="X294" i="2"/>
  <c r="U294" i="2"/>
  <c r="R294" i="2"/>
  <c r="O294" i="2"/>
  <c r="L294" i="2"/>
  <c r="I294" i="2"/>
  <c r="F294" i="2"/>
  <c r="BH293" i="2"/>
  <c r="BE293" i="2"/>
  <c r="BB293" i="2"/>
  <c r="AY293" i="2"/>
  <c r="AV293" i="2"/>
  <c r="AS293" i="2"/>
  <c r="AP293" i="2"/>
  <c r="AM293" i="2"/>
  <c r="AJ293" i="2"/>
  <c r="AG293" i="2"/>
  <c r="AD293" i="2"/>
  <c r="AA293" i="2"/>
  <c r="X293" i="2"/>
  <c r="U293" i="2"/>
  <c r="R293" i="2"/>
  <c r="O293" i="2"/>
  <c r="L293" i="2"/>
  <c r="I293" i="2"/>
  <c r="F293" i="2"/>
  <c r="DG292" i="2"/>
  <c r="BH292" i="2"/>
  <c r="BE292" i="2"/>
  <c r="BB292" i="2"/>
  <c r="AY292" i="2"/>
  <c r="AV292" i="2"/>
  <c r="AS292" i="2"/>
  <c r="AP292" i="2"/>
  <c r="AM292" i="2"/>
  <c r="AJ292" i="2"/>
  <c r="AG292" i="2"/>
  <c r="AD292" i="2"/>
  <c r="AA292" i="2"/>
  <c r="X292" i="2"/>
  <c r="U292" i="2"/>
  <c r="R292" i="2"/>
  <c r="O292" i="2"/>
  <c r="L292" i="2"/>
  <c r="I292" i="2"/>
  <c r="F292" i="2"/>
  <c r="DP291" i="2"/>
  <c r="DM291" i="2"/>
  <c r="DJ291" i="2"/>
  <c r="DG291" i="2"/>
  <c r="DD291" i="2"/>
  <c r="DA291" i="2"/>
  <c r="CX291" i="2"/>
  <c r="CU291" i="2"/>
  <c r="CR291" i="2"/>
  <c r="CO291" i="2"/>
  <c r="CL291" i="2"/>
  <c r="CI291" i="2"/>
  <c r="CF291" i="2"/>
  <c r="CC291" i="2"/>
  <c r="BZ291" i="2"/>
  <c r="BW291" i="2"/>
  <c r="BT291" i="2"/>
  <c r="BQ291" i="2"/>
  <c r="BN291" i="2"/>
  <c r="BL291" i="2"/>
  <c r="BM291" i="2" s="1"/>
  <c r="BH291" i="2"/>
  <c r="BE291" i="2"/>
  <c r="BB291" i="2"/>
  <c r="AY291" i="2"/>
  <c r="AV291" i="2"/>
  <c r="AS291" i="2"/>
  <c r="AP291" i="2"/>
  <c r="AM291" i="2"/>
  <c r="AJ291" i="2"/>
  <c r="AG291" i="2"/>
  <c r="AD291" i="2"/>
  <c r="AA291" i="2"/>
  <c r="X291" i="2"/>
  <c r="U291" i="2"/>
  <c r="R291" i="2"/>
  <c r="O291" i="2"/>
  <c r="L291" i="2"/>
  <c r="I291" i="2"/>
  <c r="F291" i="2"/>
  <c r="BJ290" i="2"/>
  <c r="BI290" i="2"/>
  <c r="BG290" i="2"/>
  <c r="BF290" i="2"/>
  <c r="BE290" i="2" s="1"/>
  <c r="BD290" i="2"/>
  <c r="BC290" i="2"/>
  <c r="BA290" i="2"/>
  <c r="AZ290" i="2"/>
  <c r="AY290" i="2" s="1"/>
  <c r="AX290" i="2"/>
  <c r="AW290" i="2"/>
  <c r="AU290" i="2"/>
  <c r="AT269" i="2"/>
  <c r="AT64" i="3" s="1"/>
  <c r="AU269" i="2"/>
  <c r="AU64" i="3" s="1"/>
  <c r="AR290" i="2"/>
  <c r="AQ290" i="2"/>
  <c r="AO290" i="2"/>
  <c r="AN290" i="2"/>
  <c r="AL290" i="2"/>
  <c r="AK290" i="2"/>
  <c r="AJ290" i="2" s="1"/>
  <c r="AI290" i="2"/>
  <c r="AH290" i="2"/>
  <c r="AG290" i="2" s="1"/>
  <c r="AF290" i="2"/>
  <c r="AE290" i="2"/>
  <c r="AD290" i="2" s="1"/>
  <c r="AC290" i="2"/>
  <c r="AB290" i="2"/>
  <c r="Z290" i="2"/>
  <c r="Y290" i="2"/>
  <c r="X290" i="2" s="1"/>
  <c r="W290" i="2"/>
  <c r="V290" i="2"/>
  <c r="U290" i="2" s="1"/>
  <c r="T290" i="2"/>
  <c r="S290" i="2"/>
  <c r="R290" i="2" s="1"/>
  <c r="Q290" i="2"/>
  <c r="P290" i="2"/>
  <c r="O290" i="2" s="1"/>
  <c r="N290" i="2"/>
  <c r="M290" i="2"/>
  <c r="L290" i="2" s="1"/>
  <c r="K290" i="2"/>
  <c r="J290" i="2"/>
  <c r="H290" i="2"/>
  <c r="G290" i="2"/>
  <c r="F290" i="2" s="1"/>
  <c r="E290" i="2"/>
  <c r="ER289" i="2"/>
  <c r="EQ289" i="2" s="1"/>
  <c r="EP289" i="2"/>
  <c r="EO289" i="2"/>
  <c r="EN289" i="2" s="1"/>
  <c r="EM289" i="2"/>
  <c r="EL289" i="2"/>
  <c r="EK289" i="2" s="1"/>
  <c r="EJ289" i="2"/>
  <c r="EI289" i="2"/>
  <c r="EH289" i="2" s="1"/>
  <c r="EG289" i="2"/>
  <c r="EF289" i="2"/>
  <c r="EE289" i="2" s="1"/>
  <c r="ED289" i="2"/>
  <c r="EC289" i="2"/>
  <c r="EB289" i="2" s="1"/>
  <c r="EA289" i="2"/>
  <c r="DZ289" i="2"/>
  <c r="DY289" i="2" s="1"/>
  <c r="DU289" i="2"/>
  <c r="DT289" i="2"/>
  <c r="DS289" i="2" s="1"/>
  <c r="DR289" i="2"/>
  <c r="DM289" i="2"/>
  <c r="DJ289" i="2"/>
  <c r="DD289" i="2"/>
  <c r="DA289" i="2"/>
  <c r="CX289" i="2"/>
  <c r="CW289" i="2"/>
  <c r="CT289" i="2"/>
  <c r="CS289" i="2"/>
  <c r="CR289" i="2" s="1"/>
  <c r="CP289" i="2"/>
  <c r="CO289" i="2" s="1"/>
  <c r="CL289" i="2"/>
  <c r="CI289" i="2"/>
  <c r="CG289" i="2"/>
  <c r="CF289" i="2" s="1"/>
  <c r="CE289" i="2"/>
  <c r="CC289" i="2"/>
  <c r="BZ289" i="2"/>
  <c r="BX289" i="2"/>
  <c r="BW289" i="2" s="1"/>
  <c r="BV289" i="2"/>
  <c r="BU289" i="2"/>
  <c r="BT289" i="2" s="1"/>
  <c r="BS289" i="2"/>
  <c r="BR289" i="2"/>
  <c r="BQ289" i="2" s="1"/>
  <c r="BP289" i="2"/>
  <c r="BO289" i="2"/>
  <c r="BN289" i="2" s="1"/>
  <c r="BM289" i="2"/>
  <c r="BL289" i="2"/>
  <c r="BK289" i="2" s="1"/>
  <c r="BJ289" i="2"/>
  <c r="BI289" i="2"/>
  <c r="BH289" i="2" s="1"/>
  <c r="BG289" i="2"/>
  <c r="BF289" i="2"/>
  <c r="BE289" i="2" s="1"/>
  <c r="BB289" i="2"/>
  <c r="AY289" i="2"/>
  <c r="AV289" i="2"/>
  <c r="AS289" i="2"/>
  <c r="AP289" i="2"/>
  <c r="AM289" i="2"/>
  <c r="AJ289" i="2"/>
  <c r="AG289" i="2"/>
  <c r="AD289" i="2"/>
  <c r="AA289" i="2"/>
  <c r="X289" i="2"/>
  <c r="U289" i="2"/>
  <c r="R289" i="2"/>
  <c r="O289" i="2"/>
  <c r="L289" i="2"/>
  <c r="I289" i="2"/>
  <c r="F289" i="2"/>
  <c r="DP286" i="2"/>
  <c r="DM286" i="2"/>
  <c r="DJ286" i="2"/>
  <c r="DG286" i="2"/>
  <c r="DR285" i="2"/>
  <c r="DR217" i="3" s="1"/>
  <c r="DO285" i="2"/>
  <c r="DO217" i="3" s="1"/>
  <c r="DL285" i="2"/>
  <c r="DL217" i="3" s="1"/>
  <c r="DI285" i="2"/>
  <c r="DF285" i="2"/>
  <c r="DF217" i="3" s="1"/>
  <c r="DF215" i="3" s="1"/>
  <c r="DC285" i="2"/>
  <c r="CZ285" i="2"/>
  <c r="CW285" i="2"/>
  <c r="CT285" i="2"/>
  <c r="CS285" i="2"/>
  <c r="CR285" i="2" s="1"/>
  <c r="CP285" i="2"/>
  <c r="CO285" i="2" s="1"/>
  <c r="CN285" i="2"/>
  <c r="CL285" i="2"/>
  <c r="CK285" i="2"/>
  <c r="CJ285" i="2"/>
  <c r="CI285" i="2" s="1"/>
  <c r="CH285" i="2"/>
  <c r="CF285" i="2"/>
  <c r="CC285" i="2"/>
  <c r="CB285" i="2"/>
  <c r="CB284" i="2"/>
  <c r="CA285" i="2"/>
  <c r="BZ285" i="2" s="1"/>
  <c r="BY285" i="2"/>
  <c r="BX285" i="2"/>
  <c r="BW285" i="2" s="1"/>
  <c r="BV285" i="2"/>
  <c r="BU285" i="2"/>
  <c r="BT285" i="2" s="1"/>
  <c r="BQ285" i="2"/>
  <c r="BN285" i="2"/>
  <c r="BK285" i="2"/>
  <c r="BH285" i="2"/>
  <c r="BB285" i="2"/>
  <c r="AY285" i="2"/>
  <c r="AV285" i="2"/>
  <c r="AS285" i="2"/>
  <c r="AP285" i="2"/>
  <c r="AM285" i="2"/>
  <c r="AJ285" i="2"/>
  <c r="AG285" i="2"/>
  <c r="AD285" i="2"/>
  <c r="AA285" i="2"/>
  <c r="X285" i="2"/>
  <c r="U285" i="2"/>
  <c r="R285" i="2"/>
  <c r="O285" i="2"/>
  <c r="L285" i="2"/>
  <c r="I285" i="2"/>
  <c r="F285" i="2"/>
  <c r="ER284" i="2"/>
  <c r="EQ284" i="2" s="1"/>
  <c r="EP284" i="2"/>
  <c r="EO284" i="2"/>
  <c r="EN284" i="2" s="1"/>
  <c r="EM284" i="2"/>
  <c r="EL284" i="2"/>
  <c r="EK284" i="2" s="1"/>
  <c r="EJ284" i="2"/>
  <c r="EI284" i="2"/>
  <c r="EH284" i="2" s="1"/>
  <c r="EG284" i="2"/>
  <c r="EF284" i="2"/>
  <c r="EE284" i="2" s="1"/>
  <c r="ED284" i="2"/>
  <c r="EC284" i="2"/>
  <c r="EB284" i="2" s="1"/>
  <c r="EA284" i="2"/>
  <c r="DZ284" i="2"/>
  <c r="DY284" i="2" s="1"/>
  <c r="DU284" i="2"/>
  <c r="DT284" i="2"/>
  <c r="DS284" i="2" s="1"/>
  <c r="DR284" i="2"/>
  <c r="DO284" i="2"/>
  <c r="DL284" i="2"/>
  <c r="DI284" i="2"/>
  <c r="DF284" i="2"/>
  <c r="DC284" i="2"/>
  <c r="CZ284" i="2"/>
  <c r="CW284" i="2"/>
  <c r="CT284" i="2"/>
  <c r="CS284" i="2"/>
  <c r="CP284" i="2"/>
  <c r="CN284" i="2"/>
  <c r="CL284" i="2"/>
  <c r="CK284" i="2"/>
  <c r="CJ284" i="2"/>
  <c r="CI284" i="2" s="1"/>
  <c r="CH284" i="2"/>
  <c r="CF284" i="2"/>
  <c r="CC284" i="2"/>
  <c r="CA284" i="2"/>
  <c r="BZ284" i="2" s="1"/>
  <c r="BY284" i="2"/>
  <c r="BX284" i="2"/>
  <c r="BW284" i="2" s="1"/>
  <c r="BV284" i="2"/>
  <c r="BU284" i="2"/>
  <c r="BT284" i="2" s="1"/>
  <c r="BS284" i="2"/>
  <c r="BS283" i="2" s="1"/>
  <c r="BR284" i="2"/>
  <c r="BQ284" i="2" s="1"/>
  <c r="BP284" i="2"/>
  <c r="BP283" i="2" s="1"/>
  <c r="BO284" i="2"/>
  <c r="BN284" i="2" s="1"/>
  <c r="BL284" i="2"/>
  <c r="BK284" i="2" s="1"/>
  <c r="BI284" i="2"/>
  <c r="BG284" i="2"/>
  <c r="BF284" i="2"/>
  <c r="BE284" i="2" s="1"/>
  <c r="BD284" i="2"/>
  <c r="BB284" i="2"/>
  <c r="AY284" i="2"/>
  <c r="AV284" i="2"/>
  <c r="AS284" i="2"/>
  <c r="AP284" i="2"/>
  <c r="AM284" i="2"/>
  <c r="AJ284" i="2"/>
  <c r="AG284" i="2"/>
  <c r="AD284" i="2"/>
  <c r="AA284" i="2"/>
  <c r="X284" i="2"/>
  <c r="U284" i="2"/>
  <c r="R284" i="2"/>
  <c r="O284" i="2"/>
  <c r="L284" i="2"/>
  <c r="I284" i="2"/>
  <c r="F284" i="2"/>
  <c r="CM283" i="2"/>
  <c r="CL283" i="2" s="1"/>
  <c r="CG283" i="2"/>
  <c r="CF283" i="2" s="1"/>
  <c r="CE283" i="2"/>
  <c r="CD283" i="2"/>
  <c r="CC283" i="2" s="1"/>
  <c r="BM283" i="2"/>
  <c r="BJ283" i="2"/>
  <c r="BC283" i="2"/>
  <c r="BB283" i="2" s="1"/>
  <c r="BA283" i="2"/>
  <c r="AZ283" i="2"/>
  <c r="AY283" i="2" s="1"/>
  <c r="AX283" i="2"/>
  <c r="AW283" i="2"/>
  <c r="AV283" i="2" s="1"/>
  <c r="AU283" i="2"/>
  <c r="AT283" i="2"/>
  <c r="AS283" i="2" s="1"/>
  <c r="AR283" i="2"/>
  <c r="AQ283" i="2"/>
  <c r="AO283" i="2"/>
  <c r="AN283" i="2"/>
  <c r="AM283" i="2" s="1"/>
  <c r="AL283" i="2"/>
  <c r="AK283" i="2"/>
  <c r="AJ283" i="2" s="1"/>
  <c r="AI283" i="2"/>
  <c r="AH283" i="2"/>
  <c r="AF283" i="2"/>
  <c r="AE283" i="2"/>
  <c r="AD283" i="2" s="1"/>
  <c r="AC283" i="2"/>
  <c r="AB283" i="2"/>
  <c r="AA283" i="2" s="1"/>
  <c r="Z283" i="2"/>
  <c r="Y283" i="2"/>
  <c r="W283" i="2"/>
  <c r="V283" i="2"/>
  <c r="U283" i="2" s="1"/>
  <c r="T283" i="2"/>
  <c r="S283" i="2"/>
  <c r="R283" i="2" s="1"/>
  <c r="Q283" i="2"/>
  <c r="P283" i="2"/>
  <c r="N283" i="2"/>
  <c r="M283" i="2"/>
  <c r="L283" i="2" s="1"/>
  <c r="K283" i="2"/>
  <c r="J283" i="2"/>
  <c r="I283" i="2" s="1"/>
  <c r="H283" i="2"/>
  <c r="G283" i="2"/>
  <c r="E283" i="2"/>
  <c r="DS282" i="2"/>
  <c r="DP282" i="2"/>
  <c r="DM282" i="2"/>
  <c r="DG282" i="2"/>
  <c r="DD282" i="2"/>
  <c r="DA282" i="2"/>
  <c r="CX282" i="2"/>
  <c r="CU282" i="2"/>
  <c r="CR282" i="2"/>
  <c r="BQ282" i="2"/>
  <c r="BN282" i="2"/>
  <c r="BK282" i="2"/>
  <c r="BH282" i="2"/>
  <c r="BE282" i="2"/>
  <c r="BB282" i="2"/>
  <c r="AY282" i="2"/>
  <c r="AV282" i="2"/>
  <c r="AS282" i="2"/>
  <c r="AP282" i="2"/>
  <c r="AM282" i="2"/>
  <c r="AJ282" i="2"/>
  <c r="AG282" i="2"/>
  <c r="AD282" i="2"/>
  <c r="AA282" i="2"/>
  <c r="X282" i="2"/>
  <c r="U282" i="2"/>
  <c r="R282" i="2"/>
  <c r="O282" i="2"/>
  <c r="L282" i="2"/>
  <c r="I282" i="2"/>
  <c r="F282" i="2"/>
  <c r="BH281" i="2"/>
  <c r="BE281" i="2"/>
  <c r="BB281" i="2"/>
  <c r="AY281" i="2"/>
  <c r="AV281" i="2"/>
  <c r="AS281" i="2"/>
  <c r="AP281" i="2"/>
  <c r="AM281" i="2"/>
  <c r="AJ281" i="2"/>
  <c r="AG281" i="2"/>
  <c r="AD281" i="2"/>
  <c r="AA281" i="2"/>
  <c r="X281" i="2"/>
  <c r="U281" i="2"/>
  <c r="R281" i="2"/>
  <c r="O281" i="2"/>
  <c r="L281" i="2"/>
  <c r="I281" i="2"/>
  <c r="F281" i="2"/>
  <c r="BK280" i="2"/>
  <c r="BH280" i="2"/>
  <c r="BE280" i="2"/>
  <c r="BB280" i="2"/>
  <c r="AY280" i="2"/>
  <c r="AV280" i="2"/>
  <c r="AS280" i="2"/>
  <c r="AP280" i="2"/>
  <c r="AM280" i="2"/>
  <c r="AJ280" i="2"/>
  <c r="AG280" i="2"/>
  <c r="AD280" i="2"/>
  <c r="AA280" i="2"/>
  <c r="X280" i="2"/>
  <c r="U280" i="2"/>
  <c r="R280" i="2"/>
  <c r="O280" i="2"/>
  <c r="L280" i="2"/>
  <c r="I280" i="2"/>
  <c r="F280" i="2"/>
  <c r="DS279" i="2"/>
  <c r="DP279" i="2"/>
  <c r="DM279" i="2"/>
  <c r="DJ279" i="2"/>
  <c r="DG279" i="2"/>
  <c r="DD279" i="2"/>
  <c r="DA279" i="2"/>
  <c r="CX279" i="2"/>
  <c r="CU279" i="2"/>
  <c r="CR279" i="2"/>
  <c r="BK279" i="2"/>
  <c r="BH279" i="2"/>
  <c r="BE279" i="2"/>
  <c r="BB279" i="2"/>
  <c r="AY279" i="2"/>
  <c r="AV279" i="2"/>
  <c r="AS279" i="2"/>
  <c r="AP279" i="2"/>
  <c r="AM279" i="2"/>
  <c r="AJ279" i="2"/>
  <c r="AG279" i="2"/>
  <c r="AD279" i="2"/>
  <c r="AA279" i="2"/>
  <c r="X279" i="2"/>
  <c r="U279" i="2"/>
  <c r="R279" i="2"/>
  <c r="O279" i="2"/>
  <c r="L279" i="2"/>
  <c r="I279" i="2"/>
  <c r="F279" i="2"/>
  <c r="DS278" i="2"/>
  <c r="DS73" i="3" s="1"/>
  <c r="DP278" i="2"/>
  <c r="DP73" i="3" s="1"/>
  <c r="DM278" i="2"/>
  <c r="DM73" i="3" s="1"/>
  <c r="DJ278" i="2"/>
  <c r="DJ73" i="3" s="1"/>
  <c r="DG278" i="2"/>
  <c r="DG73" i="3" s="1"/>
  <c r="DD278" i="2"/>
  <c r="DD73" i="3" s="1"/>
  <c r="DA278" i="2"/>
  <c r="DA73" i="3" s="1"/>
  <c r="CX278" i="2"/>
  <c r="CX73" i="3" s="1"/>
  <c r="CU278" i="2"/>
  <c r="CU73" i="3" s="1"/>
  <c r="CR278" i="2"/>
  <c r="CR73" i="3" s="1"/>
  <c r="CO278" i="2"/>
  <c r="CO73" i="3" s="1"/>
  <c r="CL278" i="2"/>
  <c r="CL73" i="3" s="1"/>
  <c r="CI278" i="2"/>
  <c r="CI73" i="3" s="1"/>
  <c r="CF278" i="2"/>
  <c r="CF73" i="3" s="1"/>
  <c r="CC278" i="2"/>
  <c r="CC73" i="3" s="1"/>
  <c r="BZ278" i="2"/>
  <c r="BZ73" i="3" s="1"/>
  <c r="BW278" i="2"/>
  <c r="BW73" i="3" s="1"/>
  <c r="BT278" i="2"/>
  <c r="BT73" i="3" s="1"/>
  <c r="BQ278" i="2"/>
  <c r="BQ73" i="3" s="1"/>
  <c r="BN278" i="2"/>
  <c r="BN73" i="3" s="1"/>
  <c r="BK278" i="2"/>
  <c r="BK73" i="3" s="1"/>
  <c r="BH278" i="2"/>
  <c r="BH73" i="3" s="1"/>
  <c r="BE278" i="2"/>
  <c r="BE73" i="3" s="1"/>
  <c r="BB278" i="2"/>
  <c r="BB73" i="3" s="1"/>
  <c r="AY278" i="2"/>
  <c r="AY73" i="3" s="1"/>
  <c r="AV278" i="2"/>
  <c r="AS278" i="2"/>
  <c r="AP278" i="2"/>
  <c r="AM278" i="2"/>
  <c r="AJ278" i="2"/>
  <c r="AG278" i="2"/>
  <c r="AD278" i="2"/>
  <c r="AA278" i="2"/>
  <c r="X278" i="2"/>
  <c r="U278" i="2"/>
  <c r="R278" i="2"/>
  <c r="O278" i="2"/>
  <c r="L278" i="2"/>
  <c r="I278" i="2"/>
  <c r="F278" i="2"/>
  <c r="BW277" i="2"/>
  <c r="BT277" i="2"/>
  <c r="BQ277" i="2"/>
  <c r="BN277" i="2"/>
  <c r="BK277" i="2"/>
  <c r="BI277" i="2"/>
  <c r="BH277" i="2" s="1"/>
  <c r="BE277" i="2"/>
  <c r="BB277" i="2"/>
  <c r="AY277" i="2"/>
  <c r="AV277" i="2"/>
  <c r="AS277" i="2"/>
  <c r="AP277" i="2"/>
  <c r="AM277" i="2"/>
  <c r="AJ277" i="2"/>
  <c r="AG277" i="2"/>
  <c r="AD277" i="2"/>
  <c r="AA277" i="2"/>
  <c r="X277" i="2"/>
  <c r="U277" i="2"/>
  <c r="R277" i="2"/>
  <c r="O277" i="2"/>
  <c r="L277" i="2"/>
  <c r="I277" i="2"/>
  <c r="F277" i="2"/>
  <c r="BJ276" i="2"/>
  <c r="BG276" i="2"/>
  <c r="BG336" i="2" s="1"/>
  <c r="BF276" i="2"/>
  <c r="BD276" i="2"/>
  <c r="BC276" i="2"/>
  <c r="BB276" i="2" s="1"/>
  <c r="BA276" i="2"/>
  <c r="BA336" i="2" s="1"/>
  <c r="AZ276" i="2"/>
  <c r="AX276" i="2"/>
  <c r="AX336" i="2" s="1"/>
  <c r="AW276" i="2"/>
  <c r="AV276" i="2" s="1"/>
  <c r="AU276" i="2"/>
  <c r="AU336" i="2" s="1"/>
  <c r="AT276" i="2"/>
  <c r="AR276" i="2"/>
  <c r="AR336" i="2" s="1"/>
  <c r="AQ276" i="2"/>
  <c r="AP276" i="2" s="1"/>
  <c r="AO276" i="2"/>
  <c r="AO336" i="2" s="1"/>
  <c r="AN276" i="2"/>
  <c r="AN336" i="2" s="1"/>
  <c r="AL276" i="2"/>
  <c r="AL336" i="2" s="1"/>
  <c r="AK276" i="2"/>
  <c r="AI276" i="2"/>
  <c r="AI336" i="2" s="1"/>
  <c r="AH276" i="2"/>
  <c r="AG276" i="2" s="1"/>
  <c r="AF276" i="2"/>
  <c r="AE276" i="2"/>
  <c r="AD276" i="2" s="1"/>
  <c r="AC276" i="2"/>
  <c r="AB276" i="2"/>
  <c r="AA276" i="2" s="1"/>
  <c r="Z276" i="2"/>
  <c r="Y276" i="2"/>
  <c r="X276" i="2" s="1"/>
  <c r="W276" i="2"/>
  <c r="V276" i="2"/>
  <c r="U276" i="2" s="1"/>
  <c r="T276" i="2"/>
  <c r="S276" i="2"/>
  <c r="R276" i="2" s="1"/>
  <c r="Q276" i="2"/>
  <c r="P276" i="2"/>
  <c r="O276" i="2" s="1"/>
  <c r="N276" i="2"/>
  <c r="M276" i="2"/>
  <c r="K276" i="2"/>
  <c r="J276" i="2"/>
  <c r="I276" i="2" s="1"/>
  <c r="H276" i="2"/>
  <c r="G276" i="2"/>
  <c r="F276" i="2" s="1"/>
  <c r="E276" i="2"/>
  <c r="BW275" i="2"/>
  <c r="BV275" i="2"/>
  <c r="BU275" i="2"/>
  <c r="BT275" i="2" s="1"/>
  <c r="BS275" i="2"/>
  <c r="BQ275" i="2"/>
  <c r="BN275" i="2"/>
  <c r="BM275" i="2"/>
  <c r="BK275" i="2"/>
  <c r="BH275" i="2"/>
  <c r="BE275" i="2"/>
  <c r="AP275" i="2"/>
  <c r="AM275" i="2"/>
  <c r="AJ275" i="2"/>
  <c r="AG275" i="2"/>
  <c r="AD275" i="2"/>
  <c r="AA275" i="2"/>
  <c r="X275" i="2"/>
  <c r="U275" i="2"/>
  <c r="R275" i="2"/>
  <c r="O275" i="2"/>
  <c r="L275" i="2"/>
  <c r="I275" i="2"/>
  <c r="F275" i="2"/>
  <c r="BK274" i="2"/>
  <c r="BH274" i="2"/>
  <c r="BE274" i="2"/>
  <c r="BB274" i="2"/>
  <c r="AY274" i="2"/>
  <c r="AV274" i="2"/>
  <c r="AS274" i="2"/>
  <c r="AP274" i="2"/>
  <c r="AM274" i="2"/>
  <c r="AJ274" i="2"/>
  <c r="AG274" i="2"/>
  <c r="AD274" i="2"/>
  <c r="AA274" i="2"/>
  <c r="X274" i="2"/>
  <c r="U274" i="2"/>
  <c r="R274" i="2"/>
  <c r="O274" i="2"/>
  <c r="L274" i="2"/>
  <c r="I274" i="2"/>
  <c r="F274" i="2"/>
  <c r="BK273" i="2"/>
  <c r="BH273" i="2"/>
  <c r="BE273" i="2"/>
  <c r="BB273" i="2"/>
  <c r="AY273" i="2"/>
  <c r="AV273" i="2"/>
  <c r="AS273" i="2"/>
  <c r="AP273" i="2"/>
  <c r="AM273" i="2"/>
  <c r="AJ273" i="2"/>
  <c r="AG273" i="2"/>
  <c r="AD273" i="2"/>
  <c r="AA273" i="2"/>
  <c r="X273" i="2"/>
  <c r="U273" i="2"/>
  <c r="R273" i="2"/>
  <c r="O273" i="2"/>
  <c r="L273" i="2"/>
  <c r="I273" i="2"/>
  <c r="F273" i="2"/>
  <c r="DM272" i="2"/>
  <c r="DG272" i="2"/>
  <c r="DD272" i="2"/>
  <c r="DA272" i="2"/>
  <c r="CX272" i="2"/>
  <c r="CU272" i="2"/>
  <c r="CR272" i="2"/>
  <c r="CO272" i="2"/>
  <c r="CL272" i="2"/>
  <c r="CI272" i="2"/>
  <c r="CF272" i="2"/>
  <c r="CC272" i="2"/>
  <c r="BM272" i="2"/>
  <c r="BO272" i="2" s="1"/>
  <c r="BP272" i="2" s="1"/>
  <c r="BR272" i="2" s="1"/>
  <c r="BQ272" i="2" s="1"/>
  <c r="BK272" i="2"/>
  <c r="BH272" i="2"/>
  <c r="BE272" i="2"/>
  <c r="BB272" i="2"/>
  <c r="AY272" i="2"/>
  <c r="AV272" i="2"/>
  <c r="AS272" i="2"/>
  <c r="AP272" i="2"/>
  <c r="AM272" i="2"/>
  <c r="AJ272" i="2"/>
  <c r="AG272" i="2"/>
  <c r="AD272" i="2"/>
  <c r="AA272" i="2"/>
  <c r="X272" i="2"/>
  <c r="U272" i="2"/>
  <c r="R272" i="2"/>
  <c r="O272" i="2"/>
  <c r="L272" i="2"/>
  <c r="I272" i="2"/>
  <c r="F272" i="2"/>
  <c r="BH271" i="2"/>
  <c r="BE271" i="2"/>
  <c r="BB271" i="2"/>
  <c r="AY271" i="2"/>
  <c r="AV271" i="2"/>
  <c r="AS271" i="2"/>
  <c r="AP271" i="2"/>
  <c r="AM271" i="2"/>
  <c r="AJ271" i="2"/>
  <c r="AG271" i="2"/>
  <c r="AD271" i="2"/>
  <c r="AA271" i="2"/>
  <c r="X271" i="2"/>
  <c r="U271" i="2"/>
  <c r="R271" i="2"/>
  <c r="O271" i="2"/>
  <c r="L271" i="2"/>
  <c r="I271" i="2"/>
  <c r="F271" i="2"/>
  <c r="BZ270" i="2"/>
  <c r="BW270" i="2"/>
  <c r="BT270" i="2"/>
  <c r="BQ270" i="2"/>
  <c r="BN270" i="2"/>
  <c r="BK270" i="2"/>
  <c r="BH270" i="2"/>
  <c r="BE270" i="2"/>
  <c r="BB270" i="2"/>
  <c r="AY270" i="2"/>
  <c r="AV270" i="2"/>
  <c r="AS270" i="2"/>
  <c r="AP270" i="2"/>
  <c r="AM270" i="2"/>
  <c r="AJ270" i="2"/>
  <c r="AG270" i="2"/>
  <c r="AD270" i="2"/>
  <c r="AA270" i="2"/>
  <c r="X270" i="2"/>
  <c r="U270" i="2"/>
  <c r="R270" i="2"/>
  <c r="O270" i="2"/>
  <c r="L270" i="2"/>
  <c r="I270" i="2"/>
  <c r="F270" i="2"/>
  <c r="BJ269" i="2"/>
  <c r="BJ64" i="3" s="1"/>
  <c r="BI269" i="2"/>
  <c r="BG269" i="2"/>
  <c r="BF269" i="2"/>
  <c r="BE269" i="2" s="1"/>
  <c r="BD269" i="2"/>
  <c r="BD64" i="3" s="1"/>
  <c r="BC269" i="2"/>
  <c r="BB269" i="2" s="1"/>
  <c r="BA269" i="2"/>
  <c r="AZ269" i="2"/>
  <c r="AZ64" i="3" s="1"/>
  <c r="AX269" i="2"/>
  <c r="AX64" i="3" s="1"/>
  <c r="AW269" i="2"/>
  <c r="AV269" i="2" s="1"/>
  <c r="AR269" i="2"/>
  <c r="AQ269" i="2"/>
  <c r="AP269" i="2" s="1"/>
  <c r="AP64" i="3" s="1"/>
  <c r="AO269" i="2"/>
  <c r="AN269" i="2"/>
  <c r="AM269" i="2" s="1"/>
  <c r="AL269" i="2"/>
  <c r="AL64" i="3" s="1"/>
  <c r="AK269" i="2"/>
  <c r="AK64" i="3" s="1"/>
  <c r="AI269" i="2"/>
  <c r="AI64" i="3" s="1"/>
  <c r="AH269" i="2"/>
  <c r="AF269" i="2"/>
  <c r="AF64" i="3" s="1"/>
  <c r="AE269" i="2"/>
  <c r="AE64" i="3" s="1"/>
  <c r="AC269" i="2"/>
  <c r="AC64" i="3" s="1"/>
  <c r="AB269" i="2"/>
  <c r="AA269" i="2" s="1"/>
  <c r="AA64" i="3" s="1"/>
  <c r="Z269" i="2"/>
  <c r="Y269" i="2"/>
  <c r="Y64" i="3" s="1"/>
  <c r="W269" i="2"/>
  <c r="W64" i="3" s="1"/>
  <c r="V269" i="2"/>
  <c r="V64" i="3" s="1"/>
  <c r="T269" i="2"/>
  <c r="T64" i="3" s="1"/>
  <c r="S269" i="2"/>
  <c r="R269" i="2" s="1"/>
  <c r="R64" i="3" s="1"/>
  <c r="Q269" i="2"/>
  <c r="Q64" i="3" s="1"/>
  <c r="P269" i="2"/>
  <c r="P64" i="3" s="1"/>
  <c r="N269" i="2"/>
  <c r="M269" i="2"/>
  <c r="L269" i="2" s="1"/>
  <c r="L64" i="3" s="1"/>
  <c r="K269" i="2"/>
  <c r="K64" i="3" s="1"/>
  <c r="J269" i="2"/>
  <c r="H269" i="2"/>
  <c r="G269" i="2"/>
  <c r="G64" i="3" s="1"/>
  <c r="E269" i="2"/>
  <c r="E64" i="3" s="1"/>
  <c r="BH268" i="2"/>
  <c r="BE268" i="2"/>
  <c r="BB268" i="2"/>
  <c r="AY268" i="2"/>
  <c r="AV268" i="2"/>
  <c r="AS268" i="2"/>
  <c r="AP268" i="2"/>
  <c r="AM268" i="2"/>
  <c r="AJ268" i="2"/>
  <c r="AG268" i="2"/>
  <c r="AD268" i="2"/>
  <c r="AA268" i="2"/>
  <c r="X268" i="2"/>
  <c r="U268" i="2"/>
  <c r="R268" i="2"/>
  <c r="O268" i="2"/>
  <c r="L268" i="2"/>
  <c r="I268" i="2"/>
  <c r="F268" i="2"/>
  <c r="DP267" i="2"/>
  <c r="DM267" i="2"/>
  <c r="DJ267" i="2"/>
  <c r="DG267" i="2"/>
  <c r="DD267" i="2"/>
  <c r="DA267" i="2"/>
  <c r="CX267" i="2"/>
  <c r="CU267" i="2"/>
  <c r="CR267" i="2"/>
  <c r="CO267" i="2"/>
  <c r="CL267" i="2"/>
  <c r="CI267" i="2"/>
  <c r="CF267" i="2"/>
  <c r="CC267" i="2"/>
  <c r="BZ267" i="2"/>
  <c r="BW267" i="2"/>
  <c r="BT267" i="2"/>
  <c r="BQ267" i="2"/>
  <c r="BN267" i="2"/>
  <c r="BK267" i="2"/>
  <c r="BH267" i="2"/>
  <c r="BE267" i="2"/>
  <c r="BB267" i="2"/>
  <c r="AY267" i="2"/>
  <c r="AV267" i="2"/>
  <c r="AS267" i="2"/>
  <c r="AP267" i="2"/>
  <c r="AM267" i="2"/>
  <c r="AJ267" i="2"/>
  <c r="AG267" i="2"/>
  <c r="AD267" i="2"/>
  <c r="AA267" i="2"/>
  <c r="X267" i="2"/>
  <c r="U267" i="2"/>
  <c r="R267" i="2"/>
  <c r="O267" i="2"/>
  <c r="L267" i="2"/>
  <c r="I267" i="2"/>
  <c r="F267" i="2"/>
  <c r="BI266" i="2"/>
  <c r="BH266" i="2" s="1"/>
  <c r="BG266" i="2"/>
  <c r="BF266" i="2"/>
  <c r="BD266" i="2"/>
  <c r="BD335" i="2" s="1"/>
  <c r="BC266" i="2"/>
  <c r="BB266" i="2" s="1"/>
  <c r="BA266" i="2"/>
  <c r="BA171" i="3" s="1"/>
  <c r="AZ266" i="2"/>
  <c r="AX266" i="2"/>
  <c r="AX335" i="2" s="1"/>
  <c r="AX171" i="3" s="1"/>
  <c r="AW266" i="2"/>
  <c r="AV266" i="2" s="1"/>
  <c r="AU266" i="2"/>
  <c r="AU335" i="2" s="1"/>
  <c r="AU171" i="3" s="1"/>
  <c r="AT266" i="2"/>
  <c r="AR266" i="2"/>
  <c r="AR335" i="2" s="1"/>
  <c r="AR171" i="3" s="1"/>
  <c r="AQ266" i="2"/>
  <c r="AP266" i="2" s="1"/>
  <c r="AO266" i="2"/>
  <c r="AO335" i="2" s="1"/>
  <c r="AO171" i="3" s="1"/>
  <c r="AN266" i="2"/>
  <c r="AL266" i="2"/>
  <c r="AL335" i="2" s="1"/>
  <c r="AL171" i="3" s="1"/>
  <c r="AK266" i="2"/>
  <c r="AJ266" i="2" s="1"/>
  <c r="AI266" i="2"/>
  <c r="AH266" i="2"/>
  <c r="AF266" i="2"/>
  <c r="AE266" i="2"/>
  <c r="AD266" i="2" s="1"/>
  <c r="AC266" i="2"/>
  <c r="AB266" i="2"/>
  <c r="Z266" i="2"/>
  <c r="Y266" i="2"/>
  <c r="X266" i="2" s="1"/>
  <c r="W266" i="2"/>
  <c r="V266" i="2"/>
  <c r="T266" i="2"/>
  <c r="S266" i="2"/>
  <c r="Q266" i="2"/>
  <c r="P266" i="2"/>
  <c r="O266" i="2" s="1"/>
  <c r="N266" i="2"/>
  <c r="M266" i="2"/>
  <c r="L266" i="2" s="1"/>
  <c r="K266" i="2"/>
  <c r="J266" i="2"/>
  <c r="H266" i="2"/>
  <c r="G266" i="2"/>
  <c r="F266" i="2" s="1"/>
  <c r="E266" i="2"/>
  <c r="DP262" i="2"/>
  <c r="DM262" i="2"/>
  <c r="DJ262" i="2"/>
  <c r="DG262" i="2"/>
  <c r="DS261" i="2"/>
  <c r="DS214" i="3" s="1"/>
  <c r="DP261" i="2"/>
  <c r="DP214" i="3" s="1"/>
  <c r="DL261" i="2"/>
  <c r="DI261" i="2"/>
  <c r="DF261" i="2"/>
  <c r="DF259" i="2"/>
  <c r="DC261" i="2"/>
  <c r="CZ261" i="2"/>
  <c r="CW261" i="2"/>
  <c r="CT261" i="2"/>
  <c r="CS261" i="2"/>
  <c r="CR261" i="2" s="1"/>
  <c r="CP261" i="2"/>
  <c r="CN261" i="2"/>
  <c r="CN259" i="2"/>
  <c r="CM261" i="2"/>
  <c r="CL261" i="2" s="1"/>
  <c r="CK261" i="2"/>
  <c r="CJ261" i="2"/>
  <c r="CH261" i="2"/>
  <c r="CG261" i="2"/>
  <c r="CF261" i="2" s="1"/>
  <c r="CE261" i="2"/>
  <c r="CD261" i="2"/>
  <c r="CC261" i="2" s="1"/>
  <c r="CB261" i="2"/>
  <c r="CA261" i="2"/>
  <c r="BY261" i="2"/>
  <c r="BX261" i="2"/>
  <c r="BW261" i="2" s="1"/>
  <c r="BV261" i="2"/>
  <c r="BV259" i="2"/>
  <c r="BU261" i="2"/>
  <c r="BT261" i="2" s="1"/>
  <c r="BS261" i="2"/>
  <c r="BR261" i="2"/>
  <c r="BQ261" i="2" s="1"/>
  <c r="BP261" i="2"/>
  <c r="BO261" i="2"/>
  <c r="BN261" i="2" s="1"/>
  <c r="BM261" i="2"/>
  <c r="BM259" i="2"/>
  <c r="BL261" i="2"/>
  <c r="BK261" i="2" s="1"/>
  <c r="BJ261" i="2"/>
  <c r="BI261" i="2"/>
  <c r="BI258" i="2" s="1"/>
  <c r="BG261" i="2"/>
  <c r="BF261" i="2"/>
  <c r="BE261" i="2" s="1"/>
  <c r="BD261" i="2"/>
  <c r="BB261" i="2"/>
  <c r="AY261" i="2"/>
  <c r="AV261" i="2"/>
  <c r="AS261" i="2"/>
  <c r="AP261" i="2"/>
  <c r="AM261" i="2"/>
  <c r="AJ261" i="2"/>
  <c r="AG261" i="2"/>
  <c r="AD261" i="2"/>
  <c r="AA261" i="2"/>
  <c r="X261" i="2"/>
  <c r="U261" i="2"/>
  <c r="R261" i="2"/>
  <c r="O261" i="2"/>
  <c r="L261" i="2"/>
  <c r="I261" i="2"/>
  <c r="F261" i="2"/>
  <c r="DT213" i="3"/>
  <c r="DT211" i="3" s="1"/>
  <c r="DP260" i="2"/>
  <c r="DP213" i="3" s="1"/>
  <c r="DM260" i="2"/>
  <c r="DM213" i="3" s="1"/>
  <c r="DJ260" i="2"/>
  <c r="DJ213" i="3" s="1"/>
  <c r="DG260" i="2"/>
  <c r="DG213" i="3" s="1"/>
  <c r="DD260" i="2"/>
  <c r="DD213" i="3" s="1"/>
  <c r="DA260" i="2"/>
  <c r="DA213" i="3" s="1"/>
  <c r="CX260" i="2"/>
  <c r="CX213" i="3" s="1"/>
  <c r="CU260" i="2"/>
  <c r="CU213" i="3" s="1"/>
  <c r="CR260" i="2"/>
  <c r="CR213" i="3" s="1"/>
  <c r="CO260" i="2"/>
  <c r="CO213" i="3" s="1"/>
  <c r="CL260" i="2"/>
  <c r="CL213" i="3" s="1"/>
  <c r="CI260" i="2"/>
  <c r="CI213" i="3" s="1"/>
  <c r="CF260" i="2"/>
  <c r="CF213" i="3" s="1"/>
  <c r="CC260" i="2"/>
  <c r="CC213" i="3" s="1"/>
  <c r="BZ260" i="2"/>
  <c r="BZ213" i="3" s="1"/>
  <c r="BW260" i="2"/>
  <c r="BW213" i="3" s="1"/>
  <c r="BT260" i="2"/>
  <c r="BT213" i="3" s="1"/>
  <c r="BS260" i="2"/>
  <c r="BS213" i="3" s="1"/>
  <c r="BS211" i="3" s="1"/>
  <c r="BQ260" i="2"/>
  <c r="BQ213" i="3" s="1"/>
  <c r="BN260" i="2"/>
  <c r="BN213" i="3" s="1"/>
  <c r="BK260" i="2"/>
  <c r="BK213" i="3" s="1"/>
  <c r="BH260" i="2"/>
  <c r="BH213" i="3" s="1"/>
  <c r="BE260" i="2"/>
  <c r="BE213" i="3" s="1"/>
  <c r="BB260" i="2"/>
  <c r="BB213" i="3" s="1"/>
  <c r="AY260" i="2"/>
  <c r="AY213" i="3" s="1"/>
  <c r="AV260" i="2"/>
  <c r="AV213" i="3" s="1"/>
  <c r="AS260" i="2"/>
  <c r="AS213" i="3" s="1"/>
  <c r="AP260" i="2"/>
  <c r="AP213" i="3" s="1"/>
  <c r="AM260" i="2"/>
  <c r="AM213" i="3" s="1"/>
  <c r="AJ260" i="2"/>
  <c r="AJ213" i="3" s="1"/>
  <c r="AG260" i="2"/>
  <c r="AD260" i="2"/>
  <c r="AA260" i="2"/>
  <c r="X260" i="2"/>
  <c r="U260" i="2"/>
  <c r="R260" i="2"/>
  <c r="O260" i="2"/>
  <c r="L260" i="2"/>
  <c r="I260" i="2"/>
  <c r="F260" i="2"/>
  <c r="EO259" i="2"/>
  <c r="EN259" i="2" s="1"/>
  <c r="EM259" i="2"/>
  <c r="EL259" i="2"/>
  <c r="EK259" i="2" s="1"/>
  <c r="EJ259" i="2"/>
  <c r="EI259" i="2"/>
  <c r="EH259" i="2" s="1"/>
  <c r="EG259" i="2"/>
  <c r="EF259" i="2"/>
  <c r="EE259" i="2" s="1"/>
  <c r="ED259" i="2"/>
  <c r="EC259" i="2"/>
  <c r="EB259" i="2" s="1"/>
  <c r="EA259" i="2"/>
  <c r="DU259" i="2"/>
  <c r="DR259" i="2"/>
  <c r="DR258" i="2" s="1"/>
  <c r="DO259" i="2"/>
  <c r="DO258" i="2" s="1"/>
  <c r="DL259" i="2"/>
  <c r="DI259" i="2"/>
  <c r="DC259" i="2"/>
  <c r="CZ259" i="2"/>
  <c r="CW259" i="2"/>
  <c r="CT259" i="2"/>
  <c r="CS259" i="2"/>
  <c r="CR259" i="2" s="1"/>
  <c r="CP259" i="2"/>
  <c r="CO259" i="2" s="1"/>
  <c r="CM259" i="2"/>
  <c r="CK259" i="2"/>
  <c r="CJ259" i="2"/>
  <c r="CI259" i="2" s="1"/>
  <c r="CH259" i="2"/>
  <c r="CG259" i="2"/>
  <c r="CF259" i="2" s="1"/>
  <c r="CE259" i="2"/>
  <c r="CD259" i="2"/>
  <c r="CC259" i="2" s="1"/>
  <c r="CB259" i="2"/>
  <c r="CA259" i="2"/>
  <c r="BZ259" i="2" s="1"/>
  <c r="BY259" i="2"/>
  <c r="BX259" i="2"/>
  <c r="BW259" i="2" s="1"/>
  <c r="BU259" i="2"/>
  <c r="BT259" i="2" s="1"/>
  <c r="BS259" i="2"/>
  <c r="BR259" i="2"/>
  <c r="BP259" i="2"/>
  <c r="BO259" i="2"/>
  <c r="BN259" i="2" s="1"/>
  <c r="BL259" i="2"/>
  <c r="BK259" i="2" s="1"/>
  <c r="BJ259" i="2"/>
  <c r="BH259" i="2"/>
  <c r="BG259" i="2"/>
  <c r="BF259" i="2"/>
  <c r="BE259" i="2" s="1"/>
  <c r="BD259" i="2"/>
  <c r="BB259" i="2"/>
  <c r="AY259" i="2"/>
  <c r="AV259" i="2"/>
  <c r="AS259" i="2"/>
  <c r="AP259" i="2"/>
  <c r="AM259" i="2"/>
  <c r="AJ259" i="2"/>
  <c r="AG259" i="2"/>
  <c r="AD259" i="2"/>
  <c r="AA259" i="2"/>
  <c r="X259" i="2"/>
  <c r="U259" i="2"/>
  <c r="R259" i="2"/>
  <c r="O259" i="2"/>
  <c r="L259" i="2"/>
  <c r="I259" i="2"/>
  <c r="F259" i="2"/>
  <c r="BC258" i="2"/>
  <c r="BB258" i="2" s="1"/>
  <c r="BA258" i="2"/>
  <c r="AZ258" i="2"/>
  <c r="AY258" i="2" s="1"/>
  <c r="AX258" i="2"/>
  <c r="AW258" i="2"/>
  <c r="AV258" i="2" s="1"/>
  <c r="AU258" i="2"/>
  <c r="AT258" i="2"/>
  <c r="AS258" i="2" s="1"/>
  <c r="AR258" i="2"/>
  <c r="AQ258" i="2"/>
  <c r="AP258" i="2" s="1"/>
  <c r="AO258" i="2"/>
  <c r="AN258" i="2"/>
  <c r="AM258" i="2" s="1"/>
  <c r="AL258" i="2"/>
  <c r="AK258" i="2"/>
  <c r="AI258" i="2"/>
  <c r="AH258" i="2"/>
  <c r="AG258" i="2" s="1"/>
  <c r="AF258" i="2"/>
  <c r="AE258" i="2"/>
  <c r="AD258" i="2" s="1"/>
  <c r="AC258" i="2"/>
  <c r="AB258" i="2"/>
  <c r="AA258" i="2" s="1"/>
  <c r="Z258" i="2"/>
  <c r="Y258" i="2"/>
  <c r="X258" i="2" s="1"/>
  <c r="W258" i="2"/>
  <c r="V258" i="2"/>
  <c r="U258" i="2" s="1"/>
  <c r="T258" i="2"/>
  <c r="S258" i="2"/>
  <c r="R258" i="2" s="1"/>
  <c r="Q258" i="2"/>
  <c r="P258" i="2"/>
  <c r="O258" i="2" s="1"/>
  <c r="N258" i="2"/>
  <c r="M258" i="2"/>
  <c r="L258" i="2" s="1"/>
  <c r="K258" i="2"/>
  <c r="J258" i="2"/>
  <c r="I258" i="2" s="1"/>
  <c r="H258" i="2"/>
  <c r="G258" i="2"/>
  <c r="F258" i="2" s="1"/>
  <c r="E258" i="2"/>
  <c r="DJ257" i="2"/>
  <c r="CW257" i="2"/>
  <c r="CO257" i="2"/>
  <c r="CM257" i="2"/>
  <c r="CL257" i="2" s="1"/>
  <c r="CI257" i="2"/>
  <c r="CG257" i="2"/>
  <c r="CF257" i="2" s="1"/>
  <c r="CC257" i="2"/>
  <c r="BZ257" i="2"/>
  <c r="BY257" i="2"/>
  <c r="BW257" i="2"/>
  <c r="BV257" i="2"/>
  <c r="BU257" i="2"/>
  <c r="BT257" i="2" s="1"/>
  <c r="BS257" i="2"/>
  <c r="BR257" i="2"/>
  <c r="BQ257" i="2" s="1"/>
  <c r="BP257" i="2"/>
  <c r="BN257" i="2"/>
  <c r="BM257" i="2"/>
  <c r="BM255" i="2" s="1"/>
  <c r="BK257" i="2"/>
  <c r="BH257" i="2"/>
  <c r="BE257" i="2"/>
  <c r="BB257" i="2"/>
  <c r="AY257" i="2"/>
  <c r="AV257" i="2"/>
  <c r="AS257" i="2"/>
  <c r="AP257" i="2"/>
  <c r="AM257" i="2"/>
  <c r="AJ257" i="2"/>
  <c r="AG257" i="2"/>
  <c r="AD257" i="2"/>
  <c r="AA257" i="2"/>
  <c r="X257" i="2"/>
  <c r="U257" i="2"/>
  <c r="R257" i="2"/>
  <c r="O257" i="2"/>
  <c r="L257" i="2"/>
  <c r="I257" i="2"/>
  <c r="F257" i="2"/>
  <c r="DJ256" i="2"/>
  <c r="CO256" i="2"/>
  <c r="BO256" i="2"/>
  <c r="BP256" i="2" s="1"/>
  <c r="BR256" i="2" s="1"/>
  <c r="BK256" i="2"/>
  <c r="BH256" i="2"/>
  <c r="BE256" i="2"/>
  <c r="BB256" i="2"/>
  <c r="AY256" i="2"/>
  <c r="AV256" i="2"/>
  <c r="AS256" i="2"/>
  <c r="AP256" i="2"/>
  <c r="AM256" i="2"/>
  <c r="AJ256" i="2"/>
  <c r="AG256" i="2"/>
  <c r="AD256" i="2"/>
  <c r="AA256" i="2"/>
  <c r="X256" i="2"/>
  <c r="U256" i="2"/>
  <c r="R256" i="2"/>
  <c r="O256" i="2"/>
  <c r="L256" i="2"/>
  <c r="I256" i="2"/>
  <c r="F256" i="2"/>
  <c r="CP255" i="2"/>
  <c r="CO255" i="2" s="1"/>
  <c r="CA255" i="2"/>
  <c r="BZ255" i="2" s="1"/>
  <c r="BX255" i="2"/>
  <c r="BW255" i="2" s="1"/>
  <c r="BL255" i="2"/>
  <c r="BK255" i="2" s="1"/>
  <c r="BJ255" i="2"/>
  <c r="BJ252" i="2" s="1"/>
  <c r="BI255" i="2"/>
  <c r="BI252" i="2" s="1"/>
  <c r="BH252" i="2" s="1"/>
  <c r="BG255" i="2"/>
  <c r="BG252" i="2" s="1"/>
  <c r="BF255" i="2"/>
  <c r="BE255" i="2" s="1"/>
  <c r="BD255" i="2"/>
  <c r="BD252" i="2" s="1"/>
  <c r="BC255" i="2"/>
  <c r="BA255" i="2"/>
  <c r="BA252" i="2" s="1"/>
  <c r="AZ255" i="2"/>
  <c r="AY255" i="2" s="1"/>
  <c r="AX255" i="2"/>
  <c r="AX252" i="2" s="1"/>
  <c r="AW255" i="2"/>
  <c r="AV255" i="2" s="1"/>
  <c r="AU255" i="2"/>
  <c r="AU252" i="2" s="1"/>
  <c r="AT255" i="2"/>
  <c r="AR255" i="2"/>
  <c r="AR252" i="2" s="1"/>
  <c r="AQ255" i="2"/>
  <c r="AQ252" i="2" s="1"/>
  <c r="AP252" i="2" s="1"/>
  <c r="AO255" i="2"/>
  <c r="AO252" i="2" s="1"/>
  <c r="AN255" i="2"/>
  <c r="AM255" i="2" s="1"/>
  <c r="AL255" i="2"/>
  <c r="AL252" i="2" s="1"/>
  <c r="AK255" i="2"/>
  <c r="AK252" i="2" s="1"/>
  <c r="AJ252" i="2" s="1"/>
  <c r="AI255" i="2"/>
  <c r="AI252" i="2" s="1"/>
  <c r="AH255" i="2"/>
  <c r="AG255" i="2" s="1"/>
  <c r="AF255" i="2"/>
  <c r="AF252" i="2" s="1"/>
  <c r="AE255" i="2"/>
  <c r="AC255" i="2"/>
  <c r="AC252" i="2" s="1"/>
  <c r="AB255" i="2"/>
  <c r="AA255" i="2" s="1"/>
  <c r="Z255" i="2"/>
  <c r="Z252" i="2" s="1"/>
  <c r="Y255" i="2"/>
  <c r="X255" i="2" s="1"/>
  <c r="W255" i="2"/>
  <c r="W252" i="2" s="1"/>
  <c r="V255" i="2"/>
  <c r="U255" i="2" s="1"/>
  <c r="T255" i="2"/>
  <c r="T252" i="2" s="1"/>
  <c r="S255" i="2"/>
  <c r="Q255" i="2"/>
  <c r="Q252" i="2" s="1"/>
  <c r="P255" i="2"/>
  <c r="P252" i="2" s="1"/>
  <c r="O252" i="2" s="1"/>
  <c r="N255" i="2"/>
  <c r="N252" i="2" s="1"/>
  <c r="M255" i="2"/>
  <c r="K255" i="2"/>
  <c r="K252" i="2" s="1"/>
  <c r="J255" i="2"/>
  <c r="H255" i="2"/>
  <c r="H252" i="2" s="1"/>
  <c r="G255" i="2"/>
  <c r="G252" i="2" s="1"/>
  <c r="F252" i="2" s="1"/>
  <c r="E255" i="2"/>
  <c r="E252" i="2" s="1"/>
  <c r="DP254" i="2"/>
  <c r="DM254" i="2"/>
  <c r="DJ254" i="2"/>
  <c r="DG254" i="2"/>
  <c r="DD254" i="2"/>
  <c r="DA254" i="2"/>
  <c r="CW254" i="2"/>
  <c r="CP254" i="2"/>
  <c r="CO254" i="2" s="1"/>
  <c r="CN254" i="2"/>
  <c r="CM254" i="2"/>
  <c r="CL254" i="2" s="1"/>
  <c r="CK254" i="2"/>
  <c r="CJ254" i="2"/>
  <c r="CI254" i="2" s="1"/>
  <c r="CH254" i="2"/>
  <c r="CG254" i="2"/>
  <c r="CF254" i="2" s="1"/>
  <c r="CE254" i="2"/>
  <c r="CD254" i="2"/>
  <c r="CC254" i="2" s="1"/>
  <c r="CB254" i="2"/>
  <c r="CA254" i="2"/>
  <c r="BY254" i="2"/>
  <c r="BX254" i="2"/>
  <c r="BW254" i="2" s="1"/>
  <c r="BV254" i="2"/>
  <c r="BU254" i="2"/>
  <c r="BT254" i="2" s="1"/>
  <c r="BS254" i="2"/>
  <c r="BR254" i="2"/>
  <c r="BQ254" i="2" s="1"/>
  <c r="BP254" i="2"/>
  <c r="BO254" i="2"/>
  <c r="BN254" i="2" s="1"/>
  <c r="BM254" i="2"/>
  <c r="BK254" i="2"/>
  <c r="BH254" i="2"/>
  <c r="BE254" i="2"/>
  <c r="BB254" i="2"/>
  <c r="AY254" i="2"/>
  <c r="AV254" i="2"/>
  <c r="AS254" i="2"/>
  <c r="AP254" i="2"/>
  <c r="AM254" i="2"/>
  <c r="AJ254" i="2"/>
  <c r="AG254" i="2"/>
  <c r="AD254" i="2"/>
  <c r="AA254" i="2"/>
  <c r="X254" i="2"/>
  <c r="U254" i="2"/>
  <c r="R254" i="2"/>
  <c r="O254" i="2"/>
  <c r="L254" i="2"/>
  <c r="I254" i="2"/>
  <c r="F254" i="2"/>
  <c r="DF253" i="2"/>
  <c r="DF637" i="2" s="1"/>
  <c r="CX253" i="2"/>
  <c r="CX637" i="2" s="1"/>
  <c r="CU253" i="2"/>
  <c r="CU637" i="2" s="1"/>
  <c r="CR253" i="2"/>
  <c r="CR637" i="2" s="1"/>
  <c r="CO253" i="2"/>
  <c r="CO637" i="2" s="1"/>
  <c r="CL253" i="2"/>
  <c r="CL637" i="2" s="1"/>
  <c r="CI253" i="2"/>
  <c r="CI637" i="2" s="1"/>
  <c r="CF253" i="2"/>
  <c r="CF637" i="2" s="1"/>
  <c r="CC253" i="2"/>
  <c r="CC637" i="2" s="1"/>
  <c r="BZ253" i="2"/>
  <c r="BZ637" i="2" s="1"/>
  <c r="BW253" i="2"/>
  <c r="BW637" i="2" s="1"/>
  <c r="BT253" i="2"/>
  <c r="BT637" i="2" s="1"/>
  <c r="BQ253" i="2"/>
  <c r="BQ637" i="2" s="1"/>
  <c r="BN253" i="2"/>
  <c r="BN637" i="2" s="1"/>
  <c r="BK253" i="2"/>
  <c r="BK637" i="2" s="1"/>
  <c r="BH253" i="2"/>
  <c r="BE253" i="2"/>
  <c r="BB253" i="2"/>
  <c r="AY253" i="2"/>
  <c r="AV253" i="2"/>
  <c r="AS253" i="2"/>
  <c r="AP253" i="2"/>
  <c r="AM253" i="2"/>
  <c r="AJ253" i="2"/>
  <c r="AG253" i="2"/>
  <c r="AD253" i="2"/>
  <c r="AA253" i="2"/>
  <c r="X253" i="2"/>
  <c r="U253" i="2"/>
  <c r="R253" i="2"/>
  <c r="O253" i="2"/>
  <c r="L253" i="2"/>
  <c r="I253" i="2"/>
  <c r="F253" i="2"/>
  <c r="EO251" i="2"/>
  <c r="EN251" i="2" s="1"/>
  <c r="EM251" i="2"/>
  <c r="EL251" i="2"/>
  <c r="EK251" i="2" s="1"/>
  <c r="EJ251" i="2"/>
  <c r="EI251" i="2"/>
  <c r="EH251" i="2" s="1"/>
  <c r="EG251" i="2"/>
  <c r="EF251" i="2"/>
  <c r="EE251" i="2" s="1"/>
  <c r="ED251" i="2"/>
  <c r="EC251" i="2"/>
  <c r="EB251" i="2" s="1"/>
  <c r="EA251" i="2"/>
  <c r="DU251" i="2"/>
  <c r="DR251" i="2"/>
  <c r="DO251" i="2"/>
  <c r="DL251" i="2"/>
  <c r="DI251" i="2"/>
  <c r="DF251" i="2"/>
  <c r="DC251" i="2"/>
  <c r="CZ251" i="2"/>
  <c r="CW251" i="2"/>
  <c r="CT251" i="2"/>
  <c r="CS251" i="2"/>
  <c r="CR251" i="2" s="1"/>
  <c r="CP251" i="2"/>
  <c r="CO251" i="2" s="1"/>
  <c r="CN251" i="2"/>
  <c r="CM251" i="2"/>
  <c r="CL251" i="2" s="1"/>
  <c r="CK251" i="2"/>
  <c r="CJ251" i="2"/>
  <c r="CI251" i="2" s="1"/>
  <c r="CH251" i="2"/>
  <c r="CG251" i="2"/>
  <c r="CF251" i="2" s="1"/>
  <c r="CE251" i="2"/>
  <c r="CD251" i="2"/>
  <c r="CC251" i="2" s="1"/>
  <c r="CB251" i="2"/>
  <c r="CA251" i="2"/>
  <c r="BZ251" i="2" s="1"/>
  <c r="BY251" i="2"/>
  <c r="BX251" i="2"/>
  <c r="BW251" i="2" s="1"/>
  <c r="BV251" i="2"/>
  <c r="BU251" i="2"/>
  <c r="BT251" i="2" s="1"/>
  <c r="BS251" i="2"/>
  <c r="BR251" i="2"/>
  <c r="BQ251" i="2" s="1"/>
  <c r="BP251" i="2"/>
  <c r="BO251" i="2"/>
  <c r="BN251" i="2" s="1"/>
  <c r="BM251" i="2"/>
  <c r="BL251" i="2"/>
  <c r="BK251" i="2" s="1"/>
  <c r="BJ251" i="2"/>
  <c r="BI251" i="2"/>
  <c r="BH251" i="2" s="1"/>
  <c r="BG251" i="2"/>
  <c r="BF251" i="2"/>
  <c r="BE251" i="2" s="1"/>
  <c r="BB251" i="2"/>
  <c r="AY251" i="2"/>
  <c r="AV251" i="2"/>
  <c r="AS251" i="2"/>
  <c r="AP251" i="2"/>
  <c r="AM251" i="2"/>
  <c r="AJ251" i="2"/>
  <c r="AG251" i="2"/>
  <c r="AD251" i="2"/>
  <c r="AA251" i="2"/>
  <c r="X251" i="2"/>
  <c r="U251" i="2"/>
  <c r="R251" i="2"/>
  <c r="O251" i="2"/>
  <c r="L251" i="2"/>
  <c r="I251" i="2"/>
  <c r="F251" i="2"/>
  <c r="DP250" i="2"/>
  <c r="DP511" i="2" s="1"/>
  <c r="DM250" i="2"/>
  <c r="DM511" i="2" s="1"/>
  <c r="DJ250" i="2"/>
  <c r="DJ511" i="2" s="1"/>
  <c r="DI250" i="2"/>
  <c r="DI511" i="2" s="1"/>
  <c r="DD250" i="2"/>
  <c r="DD511" i="2" s="1"/>
  <c r="DA250" i="2"/>
  <c r="DA511" i="2" s="1"/>
  <c r="CX250" i="2"/>
  <c r="CX511" i="2" s="1"/>
  <c r="CU250" i="2"/>
  <c r="CU511" i="2" s="1"/>
  <c r="CS250" i="2"/>
  <c r="CS511" i="2" s="1"/>
  <c r="CP250" i="2"/>
  <c r="CP511" i="2" s="1"/>
  <c r="CN250" i="2"/>
  <c r="CN511" i="2" s="1"/>
  <c r="CM250" i="2"/>
  <c r="CM511" i="2" s="1"/>
  <c r="CK250" i="2"/>
  <c r="CK511" i="2" s="1"/>
  <c r="CI250" i="2"/>
  <c r="CI511" i="2" s="1"/>
  <c r="CF250" i="2"/>
  <c r="CF641" i="2" s="1"/>
  <c r="CA250" i="2"/>
  <c r="BZ250" i="2" s="1"/>
  <c r="BZ511" i="2" s="1"/>
  <c r="BY250" i="2"/>
  <c r="BW250" i="2"/>
  <c r="BW511" i="2" s="1"/>
  <c r="BV250" i="2"/>
  <c r="BV511" i="2" s="1"/>
  <c r="BU250" i="2"/>
  <c r="BT250" i="2" s="1"/>
  <c r="BT511" i="2" s="1"/>
  <c r="BS250" i="2"/>
  <c r="BQ250" i="2"/>
  <c r="BQ511" i="2" s="1"/>
  <c r="BN250" i="2"/>
  <c r="BN511" i="2" s="1"/>
  <c r="BM250" i="2"/>
  <c r="BM511" i="2" s="1"/>
  <c r="BK250" i="2"/>
  <c r="BH250" i="2"/>
  <c r="BH511" i="2" s="1"/>
  <c r="BE250" i="2"/>
  <c r="BE511" i="2" s="1"/>
  <c r="BB250" i="2"/>
  <c r="BB511" i="2" s="1"/>
  <c r="AY250" i="2"/>
  <c r="AY511" i="2" s="1"/>
  <c r="AV250" i="2"/>
  <c r="AS250" i="2"/>
  <c r="AP250" i="2"/>
  <c r="AM250" i="2"/>
  <c r="AJ250" i="2"/>
  <c r="AG250" i="2"/>
  <c r="AD250" i="2"/>
  <c r="AA250" i="2"/>
  <c r="X250" i="2"/>
  <c r="U250" i="2"/>
  <c r="R250" i="2"/>
  <c r="O250" i="2"/>
  <c r="L250" i="2"/>
  <c r="I250" i="2"/>
  <c r="F250" i="2"/>
  <c r="DP249" i="2"/>
  <c r="DP42" i="3" s="1"/>
  <c r="DM249" i="2"/>
  <c r="DM42" i="3" s="1"/>
  <c r="DJ249" i="2"/>
  <c r="DJ42" i="3" s="1"/>
  <c r="DG249" i="2"/>
  <c r="DG42" i="3" s="1"/>
  <c r="DF249" i="2"/>
  <c r="DF42" i="3" s="1"/>
  <c r="DD249" i="2"/>
  <c r="DD42" i="3" s="1"/>
  <c r="DA249" i="2"/>
  <c r="DA42" i="3" s="1"/>
  <c r="CX249" i="2"/>
  <c r="CX42" i="3" s="1"/>
  <c r="CU249" i="2"/>
  <c r="CU42" i="3" s="1"/>
  <c r="CR249" i="2"/>
  <c r="CR42" i="3" s="1"/>
  <c r="CO249" i="2"/>
  <c r="CO42" i="3" s="1"/>
  <c r="CL249" i="2"/>
  <c r="CL42" i="3" s="1"/>
  <c r="CI249" i="2"/>
  <c r="CI42" i="3" s="1"/>
  <c r="CF249" i="2"/>
  <c r="CF42" i="3" s="1"/>
  <c r="CC249" i="2"/>
  <c r="CC42" i="3" s="1"/>
  <c r="BZ249" i="2"/>
  <c r="BZ42" i="3" s="1"/>
  <c r="BW249" i="2"/>
  <c r="BW42" i="3" s="1"/>
  <c r="BT249" i="2"/>
  <c r="BT42" i="3" s="1"/>
  <c r="BQ249" i="2"/>
  <c r="BQ42" i="3" s="1"/>
  <c r="BN249" i="2"/>
  <c r="BN42" i="3" s="1"/>
  <c r="BK249" i="2"/>
  <c r="BK42" i="3" s="1"/>
  <c r="BH249" i="2"/>
  <c r="BH42" i="3" s="1"/>
  <c r="BE249" i="2"/>
  <c r="BE42" i="3" s="1"/>
  <c r="BB249" i="2"/>
  <c r="BB42" i="3" s="1"/>
  <c r="AY249" i="2"/>
  <c r="AY42" i="3" s="1"/>
  <c r="AV249" i="2"/>
  <c r="AV42" i="3" s="1"/>
  <c r="AS249" i="2"/>
  <c r="AS42" i="3" s="1"/>
  <c r="AP249" i="2"/>
  <c r="AP42" i="3" s="1"/>
  <c r="AM249" i="2"/>
  <c r="AM42" i="3" s="1"/>
  <c r="AJ249" i="2"/>
  <c r="AJ42" i="3" s="1"/>
  <c r="AG249" i="2"/>
  <c r="AD249" i="2"/>
  <c r="AA249" i="2"/>
  <c r="X249" i="2"/>
  <c r="U249" i="2"/>
  <c r="R249" i="2"/>
  <c r="O249" i="2"/>
  <c r="L249" i="2"/>
  <c r="I249" i="2"/>
  <c r="F249" i="2"/>
  <c r="CW248" i="2"/>
  <c r="CS248" i="2"/>
  <c r="CR248" i="2" s="1"/>
  <c r="CP248" i="2"/>
  <c r="CN248" i="2"/>
  <c r="CN33" i="3" s="1"/>
  <c r="CM248" i="2"/>
  <c r="CK248" i="2"/>
  <c r="CK247" i="2" s="1"/>
  <c r="CK633" i="2" s="1"/>
  <c r="CJ248" i="2"/>
  <c r="CH248" i="2"/>
  <c r="CH247" i="2" s="1"/>
  <c r="CH633" i="2" s="1"/>
  <c r="CG248" i="2"/>
  <c r="CF33" i="3" s="1"/>
  <c r="CE248" i="2"/>
  <c r="CD248" i="2"/>
  <c r="CD247" i="2" s="1"/>
  <c r="CD633" i="2" s="1"/>
  <c r="CB248" i="2"/>
  <c r="CB247" i="2" s="1"/>
  <c r="CB633" i="2" s="1"/>
  <c r="CA248" i="2"/>
  <c r="BY248" i="2"/>
  <c r="BY33" i="3" s="1"/>
  <c r="BX248" i="2"/>
  <c r="BW33" i="3" s="1"/>
  <c r="BV248" i="2"/>
  <c r="BV33" i="3" s="1"/>
  <c r="BU248" i="2"/>
  <c r="BU33" i="3" s="1"/>
  <c r="BS248" i="2"/>
  <c r="BS33" i="3" s="1"/>
  <c r="BR248" i="2"/>
  <c r="BP248" i="2"/>
  <c r="BP33" i="3" s="1"/>
  <c r="BO248" i="2"/>
  <c r="BN33" i="3" s="1"/>
  <c r="BM248" i="2"/>
  <c r="BM33" i="3" s="1"/>
  <c r="BK248" i="2"/>
  <c r="BK33" i="3" s="1"/>
  <c r="BH248" i="2"/>
  <c r="BH33" i="3" s="1"/>
  <c r="BE248" i="2"/>
  <c r="BE33" i="3" s="1"/>
  <c r="BB248" i="2"/>
  <c r="BB33" i="3" s="1"/>
  <c r="AY248" i="2"/>
  <c r="AY33" i="3" s="1"/>
  <c r="AV248" i="2"/>
  <c r="AS248" i="2"/>
  <c r="AP248" i="2"/>
  <c r="AM248" i="2"/>
  <c r="AJ248" i="2"/>
  <c r="AG248" i="2"/>
  <c r="AD248" i="2"/>
  <c r="AA248" i="2"/>
  <c r="X248" i="2"/>
  <c r="U248" i="2"/>
  <c r="R248" i="2"/>
  <c r="O248" i="2"/>
  <c r="L248" i="2"/>
  <c r="I248" i="2"/>
  <c r="F248" i="2"/>
  <c r="BL247" i="2"/>
  <c r="BL633" i="2" s="1"/>
  <c r="BJ247" i="2"/>
  <c r="BJ633" i="2" s="1"/>
  <c r="BI247" i="2"/>
  <c r="BH247" i="2" s="1"/>
  <c r="BG247" i="2"/>
  <c r="BF247" i="2"/>
  <c r="BE247" i="2" s="1"/>
  <c r="BD247" i="2"/>
  <c r="BC247" i="2"/>
  <c r="BB247" i="2" s="1"/>
  <c r="BA247" i="2"/>
  <c r="AZ247" i="2"/>
  <c r="AX247" i="2"/>
  <c r="AW247" i="2"/>
  <c r="AU247" i="2"/>
  <c r="AT247" i="2"/>
  <c r="AS247" i="2" s="1"/>
  <c r="AR247" i="2"/>
  <c r="AQ247" i="2"/>
  <c r="AP247" i="2" s="1"/>
  <c r="AO247" i="2"/>
  <c r="AN247" i="2"/>
  <c r="AM247" i="2" s="1"/>
  <c r="AL247" i="2"/>
  <c r="AK247" i="2"/>
  <c r="AJ247" i="2" s="1"/>
  <c r="AI247" i="2"/>
  <c r="AH247" i="2"/>
  <c r="AG247" i="2" s="1"/>
  <c r="AF247" i="2"/>
  <c r="AE247" i="2"/>
  <c r="AD247" i="2" s="1"/>
  <c r="AC247" i="2"/>
  <c r="AB247" i="2"/>
  <c r="AA247" i="2" s="1"/>
  <c r="Z247" i="2"/>
  <c r="Y247" i="2"/>
  <c r="X247" i="2" s="1"/>
  <c r="W247" i="2"/>
  <c r="V247" i="2"/>
  <c r="U247" i="2" s="1"/>
  <c r="T247" i="2"/>
  <c r="S247" i="2"/>
  <c r="R247" i="2" s="1"/>
  <c r="Q247" i="2"/>
  <c r="P247" i="2"/>
  <c r="O247" i="2" s="1"/>
  <c r="N247" i="2"/>
  <c r="M247" i="2"/>
  <c r="L247" i="2" s="1"/>
  <c r="K247" i="2"/>
  <c r="J247" i="2"/>
  <c r="I247" i="2" s="1"/>
  <c r="H247" i="2"/>
  <c r="G247" i="2"/>
  <c r="F247" i="2" s="1"/>
  <c r="E247" i="2"/>
  <c r="DR246" i="2"/>
  <c r="DR209" i="3" s="1"/>
  <c r="DO246" i="2"/>
  <c r="DO209" i="3" s="1"/>
  <c r="DL246" i="2"/>
  <c r="DL209" i="3" s="1"/>
  <c r="DI246" i="2"/>
  <c r="DC246" i="2"/>
  <c r="CZ246" i="2"/>
  <c r="CW246" i="2"/>
  <c r="CT246" i="2"/>
  <c r="CS246" i="2"/>
  <c r="CR246" i="2" s="1"/>
  <c r="CO246" i="2"/>
  <c r="CL246" i="2"/>
  <c r="CI246" i="2"/>
  <c r="CF246" i="2"/>
  <c r="CC246" i="2"/>
  <c r="BZ246" i="2"/>
  <c r="BW246" i="2"/>
  <c r="BW209" i="3" s="1"/>
  <c r="BV246" i="2"/>
  <c r="BV209" i="3" s="1"/>
  <c r="BU246" i="2"/>
  <c r="BT246" i="2" s="1"/>
  <c r="BT209" i="3" s="1"/>
  <c r="BP246" i="2"/>
  <c r="BP209" i="3" s="1"/>
  <c r="BO246" i="2"/>
  <c r="BO209" i="3" s="1"/>
  <c r="BK246" i="2"/>
  <c r="BK209" i="3" s="1"/>
  <c r="BH246" i="2"/>
  <c r="BH209" i="3" s="1"/>
  <c r="BE246" i="2"/>
  <c r="BE209" i="3" s="1"/>
  <c r="BB246" i="2"/>
  <c r="BB209" i="3" s="1"/>
  <c r="AY246" i="2"/>
  <c r="AY209" i="3" s="1"/>
  <c r="AV246" i="2"/>
  <c r="AV209" i="3" s="1"/>
  <c r="AS246" i="2"/>
  <c r="AS209" i="3" s="1"/>
  <c r="AP246" i="2"/>
  <c r="AP209" i="3" s="1"/>
  <c r="AM246" i="2"/>
  <c r="AM209" i="3" s="1"/>
  <c r="AJ246" i="2"/>
  <c r="AJ209" i="3" s="1"/>
  <c r="AG246" i="2"/>
  <c r="AD246" i="2"/>
  <c r="AA246" i="2"/>
  <c r="X246" i="2"/>
  <c r="U246" i="2"/>
  <c r="R246" i="2"/>
  <c r="O246" i="2"/>
  <c r="L246" i="2"/>
  <c r="I246" i="2"/>
  <c r="F246" i="2"/>
  <c r="AL231" i="2"/>
  <c r="AL236" i="2"/>
  <c r="AL241" i="2"/>
  <c r="AL208" i="3" s="1"/>
  <c r="DR243" i="2"/>
  <c r="DO243" i="2"/>
  <c r="DL243" i="2"/>
  <c r="DF243" i="2"/>
  <c r="DF241" i="2" s="1"/>
  <c r="DC243" i="2"/>
  <c r="DC241" i="2" s="1"/>
  <c r="CX243" i="2"/>
  <c r="CU243" i="2"/>
  <c r="CR243" i="2"/>
  <c r="CO243" i="2"/>
  <c r="CL243" i="2"/>
  <c r="CI243" i="2"/>
  <c r="CF243" i="2"/>
  <c r="CD243" i="2"/>
  <c r="CC243" i="2" s="1"/>
  <c r="CB243" i="2"/>
  <c r="CB241" i="2" s="1"/>
  <c r="CA243" i="2"/>
  <c r="BY243" i="2"/>
  <c r="BY242" i="2"/>
  <c r="BX243" i="2"/>
  <c r="BW243" i="2" s="1"/>
  <c r="BT243" i="2"/>
  <c r="BS243" i="2"/>
  <c r="BQ243" i="2"/>
  <c r="BN243" i="2"/>
  <c r="BM243" i="2"/>
  <c r="BK243" i="2"/>
  <c r="BJ243" i="2"/>
  <c r="BH243" i="2"/>
  <c r="BG243" i="2"/>
  <c r="BE243" i="2"/>
  <c r="BB243" i="2"/>
  <c r="AY243" i="2"/>
  <c r="AV243" i="2"/>
  <c r="AS243" i="2"/>
  <c r="AP243" i="2"/>
  <c r="AM243" i="2"/>
  <c r="AJ243" i="2"/>
  <c r="AG243" i="2"/>
  <c r="AD243" i="2"/>
  <c r="AA243" i="2"/>
  <c r="X243" i="2"/>
  <c r="U243" i="2"/>
  <c r="R243" i="2"/>
  <c r="O243" i="2"/>
  <c r="L243" i="2"/>
  <c r="I243" i="2"/>
  <c r="F243" i="2"/>
  <c r="DP242" i="2"/>
  <c r="DP207" i="3" s="1"/>
  <c r="DM242" i="2"/>
  <c r="DM207" i="3" s="1"/>
  <c r="DJ242" i="2"/>
  <c r="DG242" i="2"/>
  <c r="DD242" i="2"/>
  <c r="DA242" i="2"/>
  <c r="CX242" i="2"/>
  <c r="CU242" i="2"/>
  <c r="CR242" i="2"/>
  <c r="CO242" i="2"/>
  <c r="CL242" i="2"/>
  <c r="CI242" i="2"/>
  <c r="CG242" i="2"/>
  <c r="CD242" i="2"/>
  <c r="CC242" i="2" s="1"/>
  <c r="CA242" i="2"/>
  <c r="BZ242" i="2" s="1"/>
  <c r="BX242" i="2"/>
  <c r="BW242" i="2" s="1"/>
  <c r="BV242" i="2"/>
  <c r="BV241" i="2" s="1"/>
  <c r="BV208" i="3" s="1"/>
  <c r="BV206" i="3" s="1"/>
  <c r="BU242" i="2"/>
  <c r="BT242" i="2" s="1"/>
  <c r="BS242" i="2"/>
  <c r="BR242" i="2"/>
  <c r="BR241" i="2" s="1"/>
  <c r="BR208" i="3" s="1"/>
  <c r="BR206" i="3" s="1"/>
  <c r="BP242" i="2"/>
  <c r="BP241" i="2" s="1"/>
  <c r="BP208" i="3" s="1"/>
  <c r="BP206" i="3" s="1"/>
  <c r="BO242" i="2"/>
  <c r="BN242" i="2" s="1"/>
  <c r="BM242" i="2"/>
  <c r="BK242" i="2"/>
  <c r="BJ242" i="2"/>
  <c r="BI242" i="2"/>
  <c r="BH242" i="2" s="1"/>
  <c r="BG242" i="2"/>
  <c r="BF242" i="2"/>
  <c r="BE242" i="2" s="1"/>
  <c r="BB242" i="2"/>
  <c r="AY242" i="2"/>
  <c r="AV242" i="2"/>
  <c r="AS242" i="2"/>
  <c r="AP242" i="2"/>
  <c r="AM242" i="2"/>
  <c r="AJ242" i="2"/>
  <c r="AG242" i="2"/>
  <c r="AD242" i="2"/>
  <c r="AA242" i="2"/>
  <c r="X242" i="2"/>
  <c r="U242" i="2"/>
  <c r="R242" i="2"/>
  <c r="O242" i="2"/>
  <c r="L242" i="2"/>
  <c r="I242" i="2"/>
  <c r="F242" i="2"/>
  <c r="CZ241" i="2"/>
  <c r="CW241" i="2"/>
  <c r="CT241" i="2"/>
  <c r="CS241" i="2"/>
  <c r="CR241" i="2" s="1"/>
  <c r="CP241" i="2"/>
  <c r="CO241" i="2" s="1"/>
  <c r="CN241" i="2"/>
  <c r="CM241" i="2"/>
  <c r="CL241" i="2" s="1"/>
  <c r="CK241" i="2"/>
  <c r="CJ241" i="2"/>
  <c r="CI241" i="2" s="1"/>
  <c r="CH241" i="2"/>
  <c r="CE241" i="2"/>
  <c r="BL241" i="2"/>
  <c r="BL208" i="3" s="1"/>
  <c r="BL206" i="3" s="1"/>
  <c r="BD241" i="2"/>
  <c r="BD208" i="3" s="1"/>
  <c r="BD206" i="3" s="1"/>
  <c r="BC241" i="2"/>
  <c r="BC208" i="3" s="1"/>
  <c r="BA241" i="2"/>
  <c r="BA208" i="3" s="1"/>
  <c r="AZ241" i="2"/>
  <c r="AY241" i="2" s="1"/>
  <c r="AY208" i="3" s="1"/>
  <c r="AX241" i="2"/>
  <c r="AX208" i="3" s="1"/>
  <c r="AW241" i="2"/>
  <c r="AW208" i="3" s="1"/>
  <c r="AU241" i="2"/>
  <c r="AT241" i="2"/>
  <c r="AR241" i="2"/>
  <c r="AQ241" i="2"/>
  <c r="AQ208" i="3" s="1"/>
  <c r="AO241" i="2"/>
  <c r="AN241" i="2"/>
  <c r="AN208" i="3" s="1"/>
  <c r="AK241" i="2"/>
  <c r="AK208" i="3" s="1"/>
  <c r="AI241" i="2"/>
  <c r="AI208" i="3" s="1"/>
  <c r="AH241" i="2"/>
  <c r="AG241" i="2" s="1"/>
  <c r="AF241" i="2"/>
  <c r="AE241" i="2"/>
  <c r="AD241" i="2" s="1"/>
  <c r="AC241" i="2"/>
  <c r="AB241" i="2"/>
  <c r="AA241" i="2" s="1"/>
  <c r="Z241" i="2"/>
  <c r="Y241" i="2"/>
  <c r="X241" i="2" s="1"/>
  <c r="W241" i="2"/>
  <c r="V241" i="2"/>
  <c r="U241" i="2" s="1"/>
  <c r="T241" i="2"/>
  <c r="S241" i="2"/>
  <c r="R241" i="2" s="1"/>
  <c r="Q241" i="2"/>
  <c r="P241" i="2"/>
  <c r="O241" i="2" s="1"/>
  <c r="N241" i="2"/>
  <c r="M241" i="2"/>
  <c r="L241" i="2" s="1"/>
  <c r="K241" i="2"/>
  <c r="J241" i="2"/>
  <c r="H241" i="2"/>
  <c r="G241" i="2"/>
  <c r="F241" i="2" s="1"/>
  <c r="E241" i="2"/>
  <c r="DP240" i="2"/>
  <c r="DM240" i="2"/>
  <c r="DJ240" i="2"/>
  <c r="DG240" i="2"/>
  <c r="DD240" i="2"/>
  <c r="DA240" i="2"/>
  <c r="CZ240" i="2"/>
  <c r="CZ236" i="2" s="1"/>
  <c r="CW240" i="2"/>
  <c r="CW236" i="2" s="1"/>
  <c r="CT240" i="2"/>
  <c r="CT236" i="2" s="1"/>
  <c r="CL240" i="2"/>
  <c r="CI240" i="2"/>
  <c r="CF240" i="2"/>
  <c r="CC240" i="2"/>
  <c r="BZ240" i="2"/>
  <c r="BW240" i="2"/>
  <c r="BT240" i="2"/>
  <c r="BQ240" i="2"/>
  <c r="BN240" i="2"/>
  <c r="BK240" i="2"/>
  <c r="BH240" i="2"/>
  <c r="BE240" i="2"/>
  <c r="BB240" i="2"/>
  <c r="AY240" i="2"/>
  <c r="AV240" i="2"/>
  <c r="AS240" i="2"/>
  <c r="AP240" i="2"/>
  <c r="AM240" i="2"/>
  <c r="AJ240" i="2"/>
  <c r="AG240" i="2"/>
  <c r="AD240" i="2"/>
  <c r="AA240" i="2"/>
  <c r="X240" i="2"/>
  <c r="U240" i="2"/>
  <c r="R240" i="2"/>
  <c r="O240" i="2"/>
  <c r="L240" i="2"/>
  <c r="I240" i="2"/>
  <c r="F240" i="2"/>
  <c r="EN239" i="2"/>
  <c r="EK239" i="2"/>
  <c r="EH239" i="2"/>
  <c r="EE239" i="2"/>
  <c r="EB239" i="2"/>
  <c r="DY239" i="2"/>
  <c r="DS239" i="2"/>
  <c r="DP239" i="2"/>
  <c r="DM239" i="2"/>
  <c r="DJ239" i="2"/>
  <c r="DG239" i="2"/>
  <c r="DD239" i="2"/>
  <c r="DA239" i="2"/>
  <c r="CX239" i="2"/>
  <c r="CU239" i="2"/>
  <c r="CR239" i="2"/>
  <c r="CO239" i="2"/>
  <c r="CL239" i="2"/>
  <c r="CI239" i="2"/>
  <c r="CF239" i="2"/>
  <c r="CC239" i="2"/>
  <c r="BZ239" i="2"/>
  <c r="BW239" i="2"/>
  <c r="BT239" i="2"/>
  <c r="BQ239" i="2"/>
  <c r="BN239" i="2"/>
  <c r="BK239" i="2"/>
  <c r="BH239" i="2"/>
  <c r="BE239" i="2"/>
  <c r="BB239" i="2"/>
  <c r="AY239" i="2"/>
  <c r="AV239" i="2"/>
  <c r="AS239" i="2"/>
  <c r="AP239" i="2"/>
  <c r="AM239" i="2"/>
  <c r="AJ239" i="2"/>
  <c r="AG239" i="2"/>
  <c r="AD239" i="2"/>
  <c r="AA239" i="2"/>
  <c r="X239" i="2"/>
  <c r="U239" i="2"/>
  <c r="R239" i="2"/>
  <c r="O239" i="2"/>
  <c r="L239" i="2"/>
  <c r="I239" i="2"/>
  <c r="F239" i="2"/>
  <c r="EN238" i="2"/>
  <c r="EK238" i="2"/>
  <c r="EH238" i="2"/>
  <c r="EE238" i="2"/>
  <c r="EB238" i="2"/>
  <c r="DY238" i="2"/>
  <c r="DS238" i="2"/>
  <c r="DP238" i="2"/>
  <c r="DM238" i="2"/>
  <c r="DJ238" i="2"/>
  <c r="DG238" i="2"/>
  <c r="DD238" i="2"/>
  <c r="DA238" i="2"/>
  <c r="CX238" i="2"/>
  <c r="CU238" i="2"/>
  <c r="CR238" i="2"/>
  <c r="CO238" i="2"/>
  <c r="CL238" i="2"/>
  <c r="CI238" i="2"/>
  <c r="CF238" i="2"/>
  <c r="CC238" i="2"/>
  <c r="BZ238" i="2"/>
  <c r="BW238" i="2"/>
  <c r="BT238" i="2"/>
  <c r="BQ238" i="2"/>
  <c r="BN238" i="2"/>
  <c r="BK238" i="2"/>
  <c r="BH238" i="2"/>
  <c r="BE238" i="2"/>
  <c r="BB238" i="2"/>
  <c r="AY238" i="2"/>
  <c r="AV238" i="2"/>
  <c r="AS238" i="2"/>
  <c r="AP238" i="2"/>
  <c r="AM238" i="2"/>
  <c r="AJ238" i="2"/>
  <c r="AG238" i="2"/>
  <c r="AD238" i="2"/>
  <c r="AA238" i="2"/>
  <c r="X238" i="2"/>
  <c r="U238" i="2"/>
  <c r="R238" i="2"/>
  <c r="O238" i="2"/>
  <c r="L238" i="2"/>
  <c r="I238" i="2"/>
  <c r="F238" i="2"/>
  <c r="EN237" i="2"/>
  <c r="EK237" i="2"/>
  <c r="EH237" i="2"/>
  <c r="EE237" i="2"/>
  <c r="EB237" i="2"/>
  <c r="DY237" i="2"/>
  <c r="DS237" i="2"/>
  <c r="DP237" i="2"/>
  <c r="DM237" i="2"/>
  <c r="DJ237" i="2"/>
  <c r="DG237" i="2"/>
  <c r="DD237" i="2"/>
  <c r="DA237" i="2"/>
  <c r="CX237" i="2"/>
  <c r="CU237" i="2"/>
  <c r="CR237" i="2"/>
  <c r="CO237" i="2"/>
  <c r="CL237" i="2"/>
  <c r="CI237" i="2"/>
  <c r="CF237" i="2"/>
  <c r="CC237" i="2"/>
  <c r="BZ237" i="2"/>
  <c r="BW237" i="2"/>
  <c r="BT237" i="2"/>
  <c r="BQ237" i="2"/>
  <c r="BN237" i="2"/>
  <c r="BK237" i="2"/>
  <c r="BH237" i="2"/>
  <c r="BE237" i="2"/>
  <c r="BB237" i="2"/>
  <c r="AY237" i="2"/>
  <c r="AV237" i="2"/>
  <c r="AS237" i="2"/>
  <c r="AP237" i="2"/>
  <c r="AM237" i="2"/>
  <c r="AJ237" i="2"/>
  <c r="AG237" i="2"/>
  <c r="AD237" i="2"/>
  <c r="AA237" i="2"/>
  <c r="X237" i="2"/>
  <c r="U237" i="2"/>
  <c r="R237" i="2"/>
  <c r="O237" i="2"/>
  <c r="L237" i="2"/>
  <c r="I237" i="2"/>
  <c r="F237" i="2"/>
  <c r="DO236" i="2"/>
  <c r="DL236" i="2"/>
  <c r="DI236" i="2"/>
  <c r="DF236" i="2"/>
  <c r="DC236" i="2"/>
  <c r="CN236" i="2"/>
  <c r="CM236" i="2"/>
  <c r="CL236" i="2" s="1"/>
  <c r="CK236" i="2"/>
  <c r="CJ236" i="2"/>
  <c r="CI236" i="2" s="1"/>
  <c r="CH236" i="2"/>
  <c r="CG236" i="2"/>
  <c r="CE236" i="2"/>
  <c r="CD236" i="2"/>
  <c r="CC236" i="2" s="1"/>
  <c r="CB236" i="2"/>
  <c r="CA236" i="2"/>
  <c r="BZ236" i="2" s="1"/>
  <c r="BY236" i="2"/>
  <c r="BX236" i="2"/>
  <c r="BW236" i="2" s="1"/>
  <c r="BV236" i="2"/>
  <c r="BU236" i="2"/>
  <c r="BS236" i="2"/>
  <c r="BR236" i="2"/>
  <c r="BQ236" i="2" s="1"/>
  <c r="BP236" i="2"/>
  <c r="BO236" i="2"/>
  <c r="BN236" i="2" s="1"/>
  <c r="BM236" i="2"/>
  <c r="BL236" i="2"/>
  <c r="BK236" i="2" s="1"/>
  <c r="BJ236" i="2"/>
  <c r="BI236" i="2"/>
  <c r="BG236" i="2"/>
  <c r="BG334" i="2" s="1"/>
  <c r="BF236" i="2"/>
  <c r="BE236" i="2" s="1"/>
  <c r="BD236" i="2"/>
  <c r="BD334" i="2" s="1"/>
  <c r="BC236" i="2"/>
  <c r="BC334" i="2" s="1"/>
  <c r="BC170" i="3" s="1"/>
  <c r="BA236" i="2"/>
  <c r="BA334" i="2" s="1"/>
  <c r="BA170" i="3" s="1"/>
  <c r="AZ236" i="2"/>
  <c r="AY236" i="2" s="1"/>
  <c r="AX236" i="2"/>
  <c r="AW236" i="2"/>
  <c r="AW334" i="2" s="1"/>
  <c r="AW170" i="3" s="1"/>
  <c r="AU236" i="2"/>
  <c r="AU334" i="2" s="1"/>
  <c r="AU170" i="3" s="1"/>
  <c r="AT236" i="2"/>
  <c r="AS236" i="2" s="1"/>
  <c r="AR236" i="2"/>
  <c r="AQ236" i="2"/>
  <c r="AO236" i="2"/>
  <c r="AO334" i="2" s="1"/>
  <c r="AO170" i="3" s="1"/>
  <c r="AN236" i="2"/>
  <c r="AM236" i="2" s="1"/>
  <c r="AK236" i="2"/>
  <c r="AJ236" i="2" s="1"/>
  <c r="AI236" i="2"/>
  <c r="AI334" i="2" s="1"/>
  <c r="AI170" i="3" s="1"/>
  <c r="AH236" i="2"/>
  <c r="AF236" i="2"/>
  <c r="AE236" i="2"/>
  <c r="AC236" i="2"/>
  <c r="AB236" i="2"/>
  <c r="AA236" i="2" s="1"/>
  <c r="Z236" i="2"/>
  <c r="Y236" i="2"/>
  <c r="W236" i="2"/>
  <c r="V236" i="2"/>
  <c r="T236" i="2"/>
  <c r="S236" i="2"/>
  <c r="Q236" i="2"/>
  <c r="P236" i="2"/>
  <c r="O236" i="2" s="1"/>
  <c r="N236" i="2"/>
  <c r="M236" i="2"/>
  <c r="K236" i="2"/>
  <c r="J236" i="2"/>
  <c r="H236" i="2"/>
  <c r="G236" i="2"/>
  <c r="E236" i="2"/>
  <c r="DF235" i="2"/>
  <c r="CW235" i="2"/>
  <c r="CW641" i="2" s="1"/>
  <c r="CS235" i="2"/>
  <c r="CR235" i="2" s="1"/>
  <c r="CP235" i="2"/>
  <c r="CO235" i="2" s="1"/>
  <c r="CN235" i="2"/>
  <c r="CM235" i="2"/>
  <c r="CK235" i="2"/>
  <c r="CJ235" i="2"/>
  <c r="CJ641" i="2" s="1"/>
  <c r="CH235" i="2"/>
  <c r="CH641" i="2" s="1"/>
  <c r="CE235" i="2"/>
  <c r="CE641" i="2" s="1"/>
  <c r="CC235" i="2"/>
  <c r="CA235" i="2"/>
  <c r="BZ235" i="2" s="1"/>
  <c r="BY235" i="2"/>
  <c r="BX235" i="2"/>
  <c r="BX641" i="2" s="1"/>
  <c r="BV235" i="2"/>
  <c r="BU235" i="2"/>
  <c r="BT235" i="2" s="1"/>
  <c r="BS235" i="2"/>
  <c r="BR235" i="2"/>
  <c r="BR641" i="2" s="1"/>
  <c r="BP235" i="2"/>
  <c r="BP641" i="2" s="1"/>
  <c r="BO235" i="2"/>
  <c r="BM235" i="2"/>
  <c r="BK235" i="2"/>
  <c r="BH235" i="2"/>
  <c r="BE235" i="2"/>
  <c r="BB235" i="2"/>
  <c r="AY235" i="2"/>
  <c r="AV235" i="2"/>
  <c r="AS235" i="2"/>
  <c r="AP235" i="2"/>
  <c r="AM235" i="2"/>
  <c r="AJ235" i="2"/>
  <c r="AG235" i="2"/>
  <c r="AD235" i="2"/>
  <c r="AA235" i="2"/>
  <c r="X235" i="2"/>
  <c r="U235" i="2"/>
  <c r="R235" i="2"/>
  <c r="O235" i="2"/>
  <c r="L235" i="2"/>
  <c r="I235" i="2"/>
  <c r="F235" i="2"/>
  <c r="EN234" i="2"/>
  <c r="EK234" i="2"/>
  <c r="EH234" i="2"/>
  <c r="EE234" i="2"/>
  <c r="EB234" i="2"/>
  <c r="DY234" i="2"/>
  <c r="DS234" i="2"/>
  <c r="DP234" i="2"/>
  <c r="DM234" i="2"/>
  <c r="DJ234" i="2"/>
  <c r="DG234" i="2"/>
  <c r="DD234" i="2"/>
  <c r="DA234" i="2"/>
  <c r="CX234" i="2"/>
  <c r="CU234" i="2"/>
  <c r="CR234" i="2"/>
  <c r="CO234" i="2"/>
  <c r="CL234" i="2"/>
  <c r="CI234" i="2"/>
  <c r="CF234" i="2"/>
  <c r="CC234" i="2"/>
  <c r="BZ234" i="2"/>
  <c r="BW234" i="2"/>
  <c r="BT234" i="2"/>
  <c r="BQ234" i="2"/>
  <c r="BN234" i="2"/>
  <c r="BK234" i="2"/>
  <c r="BH234" i="2"/>
  <c r="BE234" i="2"/>
  <c r="BB234" i="2"/>
  <c r="AY234" i="2"/>
  <c r="AV234" i="2"/>
  <c r="AS234" i="2"/>
  <c r="AP234" i="2"/>
  <c r="AM234" i="2"/>
  <c r="AJ234" i="2"/>
  <c r="AG234" i="2"/>
  <c r="AD234" i="2"/>
  <c r="AA234" i="2"/>
  <c r="X234" i="2"/>
  <c r="U234" i="2"/>
  <c r="R234" i="2"/>
  <c r="O234" i="2"/>
  <c r="L234" i="2"/>
  <c r="I234" i="2"/>
  <c r="F234" i="2"/>
  <c r="EN233" i="2"/>
  <c r="EK233" i="2"/>
  <c r="EH233" i="2"/>
  <c r="EE233" i="2"/>
  <c r="EB233" i="2"/>
  <c r="DY233" i="2"/>
  <c r="DS233" i="2"/>
  <c r="DP233" i="2"/>
  <c r="DM233" i="2"/>
  <c r="DJ233" i="2"/>
  <c r="DG233" i="2"/>
  <c r="DD233" i="2"/>
  <c r="DA233" i="2"/>
  <c r="CX233" i="2"/>
  <c r="CU233" i="2"/>
  <c r="CR233" i="2"/>
  <c r="CO233" i="2"/>
  <c r="CL233" i="2"/>
  <c r="CI233" i="2"/>
  <c r="CF233" i="2"/>
  <c r="CC233" i="2"/>
  <c r="BZ233" i="2"/>
  <c r="BW233" i="2"/>
  <c r="BT233" i="2"/>
  <c r="BQ233" i="2"/>
  <c r="BN233" i="2"/>
  <c r="BK233" i="2"/>
  <c r="BH233" i="2"/>
  <c r="BE233" i="2"/>
  <c r="BB233" i="2"/>
  <c r="AY233" i="2"/>
  <c r="AV233" i="2"/>
  <c r="AS233" i="2"/>
  <c r="AP233" i="2"/>
  <c r="AM233" i="2"/>
  <c r="AJ233" i="2"/>
  <c r="AG233" i="2"/>
  <c r="AD233" i="2"/>
  <c r="AA233" i="2"/>
  <c r="X233" i="2"/>
  <c r="U233" i="2"/>
  <c r="R233" i="2"/>
  <c r="O233" i="2"/>
  <c r="L233" i="2"/>
  <c r="I233" i="2"/>
  <c r="F233" i="2"/>
  <c r="DP232" i="2"/>
  <c r="DM232" i="2"/>
  <c r="DJ232" i="2"/>
  <c r="DD232" i="2"/>
  <c r="DA232" i="2"/>
  <c r="CX232" i="2"/>
  <c r="CU232" i="2"/>
  <c r="CR232" i="2"/>
  <c r="CO232" i="2"/>
  <c r="CL232" i="2"/>
  <c r="CI232" i="2"/>
  <c r="CF232" i="2"/>
  <c r="CC232" i="2"/>
  <c r="BZ232" i="2"/>
  <c r="BW232" i="2"/>
  <c r="BT232" i="2"/>
  <c r="BQ232" i="2"/>
  <c r="BP232" i="2"/>
  <c r="BP231" i="2" s="1"/>
  <c r="BN232" i="2"/>
  <c r="BM232" i="2"/>
  <c r="BM231" i="2" s="1"/>
  <c r="BK232" i="2"/>
  <c r="BH232" i="2"/>
  <c r="BE232" i="2"/>
  <c r="BB232" i="2"/>
  <c r="AY232" i="2"/>
  <c r="AV232" i="2"/>
  <c r="AS232" i="2"/>
  <c r="AP232" i="2"/>
  <c r="AM232" i="2"/>
  <c r="AJ232" i="2"/>
  <c r="AG232" i="2"/>
  <c r="AD232" i="2"/>
  <c r="AA232" i="2"/>
  <c r="X232" i="2"/>
  <c r="U232" i="2"/>
  <c r="R232" i="2"/>
  <c r="O232" i="2"/>
  <c r="L232" i="2"/>
  <c r="I232" i="2"/>
  <c r="F232" i="2"/>
  <c r="DO231" i="2"/>
  <c r="DL231" i="2"/>
  <c r="DI231" i="2"/>
  <c r="DF231" i="2"/>
  <c r="DC231" i="2"/>
  <c r="CZ231" i="2"/>
  <c r="CW231" i="2"/>
  <c r="CT231" i="2"/>
  <c r="CN231" i="2"/>
  <c r="CM231" i="2"/>
  <c r="CL231" i="2" s="1"/>
  <c r="CK231" i="2"/>
  <c r="CJ231" i="2"/>
  <c r="CI231" i="2" s="1"/>
  <c r="CH231" i="2"/>
  <c r="CG231" i="2"/>
  <c r="CF231" i="2" s="1"/>
  <c r="CE231" i="2"/>
  <c r="CD231" i="2"/>
  <c r="CC231" i="2" s="1"/>
  <c r="CB231" i="2"/>
  <c r="CA231" i="2"/>
  <c r="BZ231" i="2" s="1"/>
  <c r="BY231" i="2"/>
  <c r="BX231" i="2"/>
  <c r="BW231" i="2" s="1"/>
  <c r="BV231" i="2"/>
  <c r="BU231" i="2"/>
  <c r="BT231" i="2" s="1"/>
  <c r="BS231" i="2"/>
  <c r="BR231" i="2"/>
  <c r="BQ231" i="2" s="1"/>
  <c r="BO231" i="2"/>
  <c r="BN231" i="2" s="1"/>
  <c r="BL231" i="2"/>
  <c r="BK231" i="2" s="1"/>
  <c r="BJ231" i="2"/>
  <c r="BI231" i="2"/>
  <c r="BG231" i="2"/>
  <c r="BG333" i="2" s="1"/>
  <c r="BF231" i="2"/>
  <c r="BF333" i="2" s="1"/>
  <c r="BD231" i="2"/>
  <c r="BD169" i="3" s="1"/>
  <c r="BC231" i="2"/>
  <c r="BC169" i="3" s="1"/>
  <c r="BA231" i="2"/>
  <c r="AZ231" i="2"/>
  <c r="AX231" i="2"/>
  <c r="AX333" i="2" s="1"/>
  <c r="AX169" i="3" s="1"/>
  <c r="AW231" i="2"/>
  <c r="AW333" i="2" s="1"/>
  <c r="AW169" i="3" s="1"/>
  <c r="AU231" i="2"/>
  <c r="AU333" i="2" s="1"/>
  <c r="AU169" i="3" s="1"/>
  <c r="AT231" i="2"/>
  <c r="AR231" i="2"/>
  <c r="AQ231" i="2"/>
  <c r="AP231" i="2" s="1"/>
  <c r="AO231" i="2"/>
  <c r="AN231" i="2"/>
  <c r="AK231" i="2"/>
  <c r="AJ231" i="2" s="1"/>
  <c r="AI231" i="2"/>
  <c r="AI333" i="2" s="1"/>
  <c r="AI169" i="3" s="1"/>
  <c r="AH231" i="2"/>
  <c r="AG231" i="2" s="1"/>
  <c r="AF231" i="2"/>
  <c r="AE231" i="2"/>
  <c r="AC231" i="2"/>
  <c r="AB231" i="2"/>
  <c r="Z231" i="2"/>
  <c r="Y231" i="2"/>
  <c r="X231" i="2" s="1"/>
  <c r="W231" i="2"/>
  <c r="V231" i="2"/>
  <c r="U231" i="2" s="1"/>
  <c r="T231" i="2"/>
  <c r="S231" i="2"/>
  <c r="Q231" i="2"/>
  <c r="P231" i="2"/>
  <c r="O231" i="2" s="1"/>
  <c r="N231" i="2"/>
  <c r="M231" i="2"/>
  <c r="K231" i="2"/>
  <c r="J231" i="2"/>
  <c r="I231" i="2" s="1"/>
  <c r="H231" i="2"/>
  <c r="G231" i="2"/>
  <c r="E231" i="2"/>
  <c r="DP230" i="2"/>
  <c r="DO230" i="2"/>
  <c r="DP108" i="3" s="1"/>
  <c r="DM230" i="2"/>
  <c r="DJ230" i="2"/>
  <c r="DD230" i="2"/>
  <c r="DA230" i="2"/>
  <c r="CX230" i="2"/>
  <c r="CU230" i="2"/>
  <c r="CR230" i="2"/>
  <c r="CO230" i="2"/>
  <c r="CL230" i="2"/>
  <c r="CI230" i="2"/>
  <c r="CF230" i="2"/>
  <c r="CC230" i="2"/>
  <c r="BZ230" i="2"/>
  <c r="BW230" i="2"/>
  <c r="BT230" i="2"/>
  <c r="BQ230" i="2"/>
  <c r="BN230" i="2"/>
  <c r="BK230" i="2"/>
  <c r="BH230" i="2"/>
  <c r="BE230" i="2"/>
  <c r="BB230" i="2"/>
  <c r="AY230" i="2"/>
  <c r="AV230" i="2"/>
  <c r="AS230" i="2"/>
  <c r="AP230" i="2"/>
  <c r="AM230" i="2"/>
  <c r="AJ230" i="2"/>
  <c r="AG230" i="2"/>
  <c r="AD230" i="2"/>
  <c r="AA230" i="2"/>
  <c r="X230" i="2"/>
  <c r="U230" i="2"/>
  <c r="R230" i="2"/>
  <c r="O230" i="2"/>
  <c r="L230" i="2"/>
  <c r="I230" i="2"/>
  <c r="F230" i="2"/>
  <c r="AL228" i="2"/>
  <c r="AK228" i="2"/>
  <c r="AJ228" i="2"/>
  <c r="AI228" i="2"/>
  <c r="AH228" i="2"/>
  <c r="AG228" i="2"/>
  <c r="AF228" i="2"/>
  <c r="AE228" i="2"/>
  <c r="AD228" i="2"/>
  <c r="AC228" i="2"/>
  <c r="AB228" i="2"/>
  <c r="AA228" i="2"/>
  <c r="Z228" i="2"/>
  <c r="Y228" i="2"/>
  <c r="X228" i="2"/>
  <c r="W228" i="2"/>
  <c r="V228" i="2"/>
  <c r="U228" i="2"/>
  <c r="T228" i="2"/>
  <c r="S228" i="2"/>
  <c r="R228" i="2"/>
  <c r="Q228" i="2"/>
  <c r="P228" i="2"/>
  <c r="O228" i="2"/>
  <c r="N228" i="2"/>
  <c r="M228" i="2"/>
  <c r="L228" i="2"/>
  <c r="K228" i="2"/>
  <c r="J228" i="2"/>
  <c r="I228" i="2"/>
  <c r="H228" i="2"/>
  <c r="G228" i="2"/>
  <c r="F228" i="2"/>
  <c r="E228" i="2"/>
  <c r="BW227" i="2"/>
  <c r="BT227" i="2"/>
  <c r="CD226" i="2"/>
  <c r="CE224" i="2" s="1"/>
  <c r="CE226" i="2" s="1"/>
  <c r="CF224" i="2" s="1"/>
  <c r="CB226" i="2"/>
  <c r="CC224" i="2" s="1"/>
  <c r="CA226" i="2"/>
  <c r="BZ226" i="2" s="1"/>
  <c r="BY226" i="2"/>
  <c r="BZ224" i="2" s="1"/>
  <c r="BU226" i="2"/>
  <c r="BX224" i="2" s="1"/>
  <c r="BX226" i="2" s="1"/>
  <c r="BW226" i="2" s="1"/>
  <c r="BP226" i="2"/>
  <c r="BQ224" i="2" s="1"/>
  <c r="BM226" i="2"/>
  <c r="BN224" i="2" s="1"/>
  <c r="E226" i="2"/>
  <c r="F224" i="2" s="1"/>
  <c r="EQ225" i="2"/>
  <c r="EN225" i="2"/>
  <c r="EK225" i="2"/>
  <c r="EH225" i="2"/>
  <c r="EE225" i="2"/>
  <c r="EB225" i="2"/>
  <c r="DS225" i="2"/>
  <c r="DP225" i="2"/>
  <c r="DM225" i="2"/>
  <c r="DJ225" i="2"/>
  <c r="DG225" i="2"/>
  <c r="DD225" i="2"/>
  <c r="DA225" i="2"/>
  <c r="CX225" i="2"/>
  <c r="CU225" i="2"/>
  <c r="CR225" i="2"/>
  <c r="CO225" i="2"/>
  <c r="CL225" i="2"/>
  <c r="CI225" i="2"/>
  <c r="CF225" i="2"/>
  <c r="CC225" i="2"/>
  <c r="BZ225" i="2"/>
  <c r="BW225" i="2"/>
  <c r="BT225" i="2"/>
  <c r="BQ225" i="2"/>
  <c r="BN225" i="2"/>
  <c r="BK225" i="2"/>
  <c r="BH225" i="2"/>
  <c r="BE225" i="2"/>
  <c r="BB225" i="2"/>
  <c r="AZ225" i="2"/>
  <c r="AY225" i="2" s="1"/>
  <c r="AV225" i="2"/>
  <c r="AS225" i="2"/>
  <c r="AP225" i="2"/>
  <c r="AM225" i="2"/>
  <c r="AJ225" i="2"/>
  <c r="AG225" i="2"/>
  <c r="AD225" i="2"/>
  <c r="AA225" i="2"/>
  <c r="X225" i="2"/>
  <c r="U225" i="2"/>
  <c r="R225" i="2"/>
  <c r="O225" i="2"/>
  <c r="L225" i="2"/>
  <c r="I225" i="2"/>
  <c r="F225" i="2"/>
  <c r="G224" i="2"/>
  <c r="G226" i="2" s="1"/>
  <c r="J224" i="2" s="1"/>
  <c r="J226" i="2" s="1"/>
  <c r="M224" i="2" s="1"/>
  <c r="M226" i="2" s="1"/>
  <c r="BJ221" i="2"/>
  <c r="BI221" i="2"/>
  <c r="BC221" i="2"/>
  <c r="BA221" i="2"/>
  <c r="AZ221" i="2"/>
  <c r="AX221" i="2"/>
  <c r="AW221" i="2"/>
  <c r="AU221" i="2"/>
  <c r="AT221" i="2"/>
  <c r="AR221" i="2"/>
  <c r="AQ221" i="2"/>
  <c r="AO221" i="2"/>
  <c r="AN221" i="2"/>
  <c r="AL221" i="2"/>
  <c r="AK221" i="2"/>
  <c r="AI221" i="2"/>
  <c r="AH221" i="2"/>
  <c r="AF221" i="2"/>
  <c r="AE221" i="2"/>
  <c r="AC221" i="2"/>
  <c r="AB221" i="2"/>
  <c r="Z221" i="2"/>
  <c r="Y221" i="2"/>
  <c r="W221" i="2"/>
  <c r="V221" i="2"/>
  <c r="T221" i="2"/>
  <c r="S221" i="2"/>
  <c r="Q221" i="2"/>
  <c r="P221" i="2"/>
  <c r="N221" i="2"/>
  <c r="M221" i="2"/>
  <c r="K221" i="2"/>
  <c r="J221" i="2"/>
  <c r="H221" i="2"/>
  <c r="G221" i="2"/>
  <c r="E221" i="2"/>
  <c r="BI220" i="2"/>
  <c r="BG220" i="2"/>
  <c r="BF220" i="2"/>
  <c r="BD220" i="2"/>
  <c r="BC220" i="2"/>
  <c r="BA220" i="2"/>
  <c r="AZ220" i="2"/>
  <c r="AX220" i="2"/>
  <c r="AW220" i="2"/>
  <c r="AU220" i="2"/>
  <c r="AT220" i="2"/>
  <c r="AR220" i="2"/>
  <c r="AQ220" i="2"/>
  <c r="AO220" i="2"/>
  <c r="AN220" i="2"/>
  <c r="AL220" i="2"/>
  <c r="AK220" i="2"/>
  <c r="AI220" i="2"/>
  <c r="AH220" i="2"/>
  <c r="AF220" i="2"/>
  <c r="AE220" i="2"/>
  <c r="AC220" i="2"/>
  <c r="AB220" i="2"/>
  <c r="Z220" i="2"/>
  <c r="Y220" i="2"/>
  <c r="W220" i="2"/>
  <c r="V220" i="2"/>
  <c r="T220" i="2"/>
  <c r="S220" i="2"/>
  <c r="Q220" i="2"/>
  <c r="P220" i="2"/>
  <c r="N220" i="2"/>
  <c r="M220" i="2"/>
  <c r="K220" i="2"/>
  <c r="J220" i="2"/>
  <c r="H220" i="2"/>
  <c r="G220" i="2"/>
  <c r="E220" i="2"/>
  <c r="DR219" i="2"/>
  <c r="DQ219" i="2"/>
  <c r="DO219" i="2"/>
  <c r="DN219" i="2"/>
  <c r="DL219" i="2"/>
  <c r="DK219" i="2"/>
  <c r="DI219" i="2"/>
  <c r="DH219" i="2"/>
  <c r="DF219" i="2"/>
  <c r="DE219" i="2"/>
  <c r="DC219" i="2"/>
  <c r="DB219" i="2"/>
  <c r="CZ219" i="2"/>
  <c r="CY219" i="2"/>
  <c r="CW219" i="2"/>
  <c r="CV219" i="2"/>
  <c r="CT219" i="2"/>
  <c r="CS219" i="2"/>
  <c r="CQ219" i="2"/>
  <c r="CP219" i="2"/>
  <c r="CN219" i="2"/>
  <c r="CM219" i="2"/>
  <c r="CK219" i="2"/>
  <c r="CJ219" i="2"/>
  <c r="CH219" i="2"/>
  <c r="CG219" i="2"/>
  <c r="CE219" i="2"/>
  <c r="CD219" i="2"/>
  <c r="CB219" i="2"/>
  <c r="CA219" i="2"/>
  <c r="BY219" i="2"/>
  <c r="BX219" i="2"/>
  <c r="BV219" i="2"/>
  <c r="BU219" i="2"/>
  <c r="BS219" i="2"/>
  <c r="BR219" i="2"/>
  <c r="BP219" i="2"/>
  <c r="BO219" i="2"/>
  <c r="BM219" i="2"/>
  <c r="BL219" i="2"/>
  <c r="BJ219" i="2"/>
  <c r="BI219" i="2"/>
  <c r="BG219" i="2"/>
  <c r="BF219" i="2"/>
  <c r="BD219" i="2"/>
  <c r="BC219" i="2"/>
  <c r="BA219" i="2"/>
  <c r="AZ219" i="2"/>
  <c r="AX219" i="2"/>
  <c r="AW219" i="2"/>
  <c r="AU219" i="2"/>
  <c r="AT219" i="2"/>
  <c r="AR219" i="2"/>
  <c r="AQ219" i="2"/>
  <c r="AO219" i="2"/>
  <c r="AN219" i="2"/>
  <c r="AL219" i="2"/>
  <c r="AK219" i="2"/>
  <c r="AI219" i="2"/>
  <c r="AH219" i="2"/>
  <c r="AF219" i="2"/>
  <c r="AE219" i="2"/>
  <c r="AC219" i="2"/>
  <c r="AB219" i="2"/>
  <c r="Z219" i="2"/>
  <c r="Y219" i="2"/>
  <c r="W219" i="2"/>
  <c r="V219" i="2"/>
  <c r="T219" i="2"/>
  <c r="S219" i="2"/>
  <c r="Q219" i="2"/>
  <c r="P219" i="2"/>
  <c r="N219" i="2"/>
  <c r="M219" i="2"/>
  <c r="K219" i="2"/>
  <c r="J219" i="2"/>
  <c r="H219" i="2"/>
  <c r="G219" i="2"/>
  <c r="E219" i="2"/>
  <c r="DS216" i="2"/>
  <c r="DP216" i="2"/>
  <c r="DM216" i="2"/>
  <c r="DG216" i="2"/>
  <c r="DD216" i="2"/>
  <c r="DA216" i="2"/>
  <c r="CX216" i="2"/>
  <c r="CU216" i="2"/>
  <c r="CR216" i="2"/>
  <c r="CO216" i="2"/>
  <c r="CL216" i="2"/>
  <c r="CI216" i="2"/>
  <c r="CF216" i="2"/>
  <c r="CC216" i="2"/>
  <c r="BZ216" i="2"/>
  <c r="BW216" i="2"/>
  <c r="BW203" i="3" s="1"/>
  <c r="BT216" i="2"/>
  <c r="BT203" i="3" s="1"/>
  <c r="BQ216" i="2"/>
  <c r="BQ203" i="3" s="1"/>
  <c r="BN216" i="2"/>
  <c r="BN203" i="3" s="1"/>
  <c r="BK216" i="2"/>
  <c r="BK203" i="3" s="1"/>
  <c r="BG216" i="2"/>
  <c r="BH216" i="2" s="1"/>
  <c r="BH203" i="3" s="1"/>
  <c r="BE216" i="2"/>
  <c r="BE203" i="3" s="1"/>
  <c r="BB216" i="2"/>
  <c r="BB203" i="3" s="1"/>
  <c r="AY216" i="2"/>
  <c r="AY203" i="3" s="1"/>
  <c r="AV216" i="2"/>
  <c r="AV203" i="3" s="1"/>
  <c r="AS216" i="2"/>
  <c r="AS203" i="3" s="1"/>
  <c r="AP216" i="2"/>
  <c r="AP203" i="3" s="1"/>
  <c r="AM216" i="2"/>
  <c r="AM203" i="3" s="1"/>
  <c r="AJ216" i="2"/>
  <c r="AJ203" i="3" s="1"/>
  <c r="AG216" i="2"/>
  <c r="AD216" i="2"/>
  <c r="AA216" i="2"/>
  <c r="X216" i="2"/>
  <c r="U216" i="2"/>
  <c r="R216" i="2"/>
  <c r="O216" i="2"/>
  <c r="L216" i="2"/>
  <c r="I216" i="2"/>
  <c r="F216" i="2"/>
  <c r="DP212" i="2"/>
  <c r="DM212" i="2"/>
  <c r="DJ212" i="2"/>
  <c r="DJ211" i="2"/>
  <c r="DJ201" i="3" s="1"/>
  <c r="DG211" i="2"/>
  <c r="DG201" i="3" s="1"/>
  <c r="DD211" i="2"/>
  <c r="DD201" i="3" s="1"/>
  <c r="CZ211" i="2"/>
  <c r="CW211" i="2"/>
  <c r="CW201" i="3" s="1"/>
  <c r="CW199" i="3" s="1"/>
  <c r="CN211" i="2"/>
  <c r="CN201" i="3" s="1"/>
  <c r="CN199" i="3" s="1"/>
  <c r="CM211" i="2"/>
  <c r="CL211" i="2" s="1"/>
  <c r="CH211" i="2"/>
  <c r="CH201" i="3" s="1"/>
  <c r="CH199" i="3" s="1"/>
  <c r="CE211" i="2"/>
  <c r="CC211" i="2"/>
  <c r="CC201" i="3" s="1"/>
  <c r="CA211" i="2"/>
  <c r="CA201" i="3" s="1"/>
  <c r="CA199" i="3" s="1"/>
  <c r="BX211" i="2"/>
  <c r="BU211" i="2"/>
  <c r="BU201" i="3" s="1"/>
  <c r="BU199" i="3" s="1"/>
  <c r="BQ211" i="2"/>
  <c r="BQ201" i="3" s="1"/>
  <c r="BM211" i="2"/>
  <c r="BM201" i="3" s="1"/>
  <c r="BM199" i="3" s="1"/>
  <c r="BK211" i="2"/>
  <c r="BK201" i="3" s="1"/>
  <c r="BH211" i="2"/>
  <c r="BH201" i="3" s="1"/>
  <c r="BE211" i="2"/>
  <c r="BE201" i="3" s="1"/>
  <c r="BB211" i="2"/>
  <c r="BB201" i="3" s="1"/>
  <c r="AY211" i="2"/>
  <c r="AY201" i="3" s="1"/>
  <c r="AV211" i="2"/>
  <c r="AS211" i="2"/>
  <c r="AP211" i="2"/>
  <c r="AM211" i="2"/>
  <c r="AJ211" i="2"/>
  <c r="AG211" i="2"/>
  <c r="AD211" i="2"/>
  <c r="AA211" i="2"/>
  <c r="X211" i="2"/>
  <c r="U211" i="2"/>
  <c r="R211" i="2"/>
  <c r="O211" i="2"/>
  <c r="L211" i="2"/>
  <c r="I211" i="2"/>
  <c r="F211" i="2"/>
  <c r="ER210" i="2"/>
  <c r="EP210" i="2"/>
  <c r="EO210" i="2"/>
  <c r="EM210" i="2"/>
  <c r="EL210" i="2"/>
  <c r="EJ210" i="2"/>
  <c r="EI210" i="2"/>
  <c r="EG210" i="2"/>
  <c r="EF210" i="2"/>
  <c r="ED210" i="2"/>
  <c r="EC210" i="2"/>
  <c r="EA210" i="2"/>
  <c r="DU210" i="2"/>
  <c r="DV210" i="2" s="1"/>
  <c r="DT210" i="2"/>
  <c r="DR210" i="2"/>
  <c r="DO210" i="2"/>
  <c r="DP210" i="2" s="1"/>
  <c r="DP200" i="3" s="1"/>
  <c r="DI210" i="2"/>
  <c r="DJ210" i="2" s="1"/>
  <c r="DI200" i="3" s="1"/>
  <c r="DF210" i="2"/>
  <c r="CZ210" i="2"/>
  <c r="CW210" i="2"/>
  <c r="CT210" i="2"/>
  <c r="CS210" i="2"/>
  <c r="CN210" i="2"/>
  <c r="CO210" i="2" s="1"/>
  <c r="CO200" i="3" s="1"/>
  <c r="CM210" i="2"/>
  <c r="CK210" i="2"/>
  <c r="CJ210" i="2"/>
  <c r="CI210" i="2" s="1"/>
  <c r="CG210" i="2"/>
  <c r="CE210" i="2"/>
  <c r="CD210" i="2"/>
  <c r="CC210" i="2" s="1"/>
  <c r="CC200" i="3" s="1"/>
  <c r="CA210" i="2"/>
  <c r="BX210" i="2"/>
  <c r="BV210" i="2"/>
  <c r="BU210" i="2"/>
  <c r="BS210" i="2"/>
  <c r="BQ210" i="2"/>
  <c r="BQ200" i="3" s="1"/>
  <c r="BN210" i="2"/>
  <c r="BN200" i="3" s="1"/>
  <c r="BK210" i="2"/>
  <c r="BK200" i="3" s="1"/>
  <c r="BH210" i="2"/>
  <c r="BH200" i="3" s="1"/>
  <c r="BE210" i="2"/>
  <c r="BE200" i="3" s="1"/>
  <c r="BB210" i="2"/>
  <c r="BB200" i="3" s="1"/>
  <c r="AY210" i="2"/>
  <c r="AY200" i="3" s="1"/>
  <c r="AV210" i="2"/>
  <c r="AS210" i="2"/>
  <c r="AO210" i="2"/>
  <c r="AP210" i="2" s="1"/>
  <c r="AP200" i="3" s="1"/>
  <c r="AN210" i="2"/>
  <c r="AN200" i="3" s="1"/>
  <c r="AL210" i="2"/>
  <c r="AL200" i="3" s="1"/>
  <c r="AJ210" i="2"/>
  <c r="AG210" i="2"/>
  <c r="AD210" i="2"/>
  <c r="AA210" i="2"/>
  <c r="X210" i="2"/>
  <c r="U210" i="2"/>
  <c r="R210" i="2"/>
  <c r="O210" i="2"/>
  <c r="L210" i="2"/>
  <c r="I210" i="2"/>
  <c r="F210" i="2"/>
  <c r="DP209" i="2"/>
  <c r="DM209" i="2"/>
  <c r="DJ209" i="2"/>
  <c r="DG209" i="2"/>
  <c r="DC209" i="2"/>
  <c r="DA209" i="2"/>
  <c r="CW209" i="2"/>
  <c r="CW144" i="2" s="1"/>
  <c r="CT209" i="2"/>
  <c r="CU209" i="2" s="1"/>
  <c r="CS209" i="2"/>
  <c r="CO209" i="2"/>
  <c r="CL209" i="2"/>
  <c r="CI209" i="2"/>
  <c r="CE209" i="2"/>
  <c r="CC209" i="2"/>
  <c r="BY209" i="2"/>
  <c r="BZ209" i="2" s="1"/>
  <c r="BW209" i="2"/>
  <c r="BT209" i="2"/>
  <c r="BQ209" i="2"/>
  <c r="BN209" i="2"/>
  <c r="BK209" i="2"/>
  <c r="BH209" i="2"/>
  <c r="BE209" i="2"/>
  <c r="BB209" i="2"/>
  <c r="AY209" i="2"/>
  <c r="AV209" i="2"/>
  <c r="AS209" i="2"/>
  <c r="AP209" i="2"/>
  <c r="AM209" i="2"/>
  <c r="AJ209" i="2"/>
  <c r="AG209" i="2"/>
  <c r="AD209" i="2"/>
  <c r="AA209" i="2"/>
  <c r="X209" i="2"/>
  <c r="U209" i="2"/>
  <c r="R209" i="2"/>
  <c r="O209" i="2"/>
  <c r="L209" i="2"/>
  <c r="I209" i="2"/>
  <c r="F209" i="2"/>
  <c r="ER208" i="2"/>
  <c r="EP208" i="2"/>
  <c r="EO208" i="2"/>
  <c r="EM208" i="2"/>
  <c r="EL208" i="2"/>
  <c r="EJ208" i="2"/>
  <c r="EI208" i="2"/>
  <c r="EG208" i="2"/>
  <c r="EF208" i="2"/>
  <c r="ED208" i="2"/>
  <c r="EC208" i="2"/>
  <c r="EA208" i="2"/>
  <c r="DU208" i="2"/>
  <c r="DV208" i="2" s="1"/>
  <c r="DR208" i="2"/>
  <c r="DR206" i="2" s="1"/>
  <c r="DR466" i="2" s="1"/>
  <c r="DO208" i="2"/>
  <c r="DL208" i="2"/>
  <c r="DL206" i="2" s="1"/>
  <c r="DL466" i="2" s="1"/>
  <c r="DI208" i="2"/>
  <c r="DF208" i="2"/>
  <c r="DC208" i="2"/>
  <c r="CZ208" i="2"/>
  <c r="CW208" i="2"/>
  <c r="CW206" i="2" s="1"/>
  <c r="CT208" i="2"/>
  <c r="CS208" i="2"/>
  <c r="CP208" i="2"/>
  <c r="CN208" i="2"/>
  <c r="CM208" i="2"/>
  <c r="CK208" i="2"/>
  <c r="CK206" i="2" s="1"/>
  <c r="CK466" i="2" s="1"/>
  <c r="CJ208" i="2"/>
  <c r="CH208" i="2"/>
  <c r="CH206" i="2" s="1"/>
  <c r="CG208" i="2"/>
  <c r="CE208" i="2"/>
  <c r="CE206" i="2" s="1"/>
  <c r="CD208" i="2"/>
  <c r="CD206" i="2" s="1"/>
  <c r="CB208" i="2"/>
  <c r="CB206" i="2" s="1"/>
  <c r="CA208" i="2"/>
  <c r="CA206" i="2" s="1"/>
  <c r="BY208" i="2"/>
  <c r="BX208" i="2"/>
  <c r="BX206" i="2" s="1"/>
  <c r="BV208" i="2"/>
  <c r="BV206" i="2" s="1"/>
  <c r="BU208" i="2"/>
  <c r="BU206" i="2" s="1"/>
  <c r="BS208" i="2"/>
  <c r="BS206" i="2" s="1"/>
  <c r="BR208" i="2"/>
  <c r="BR206" i="2" s="1"/>
  <c r="BP208" i="2"/>
  <c r="BO208" i="2"/>
  <c r="BN208" i="2" s="1"/>
  <c r="BL208" i="2"/>
  <c r="BL206" i="2" s="1"/>
  <c r="BJ208" i="2"/>
  <c r="BJ206" i="2" s="1"/>
  <c r="BI208" i="2"/>
  <c r="BG208" i="2"/>
  <c r="BG206" i="2" s="1"/>
  <c r="BG466" i="2" s="1"/>
  <c r="BF208" i="2"/>
  <c r="BF206" i="2" s="1"/>
  <c r="BB208" i="2"/>
  <c r="BB198" i="3" s="1"/>
  <c r="AY208" i="2"/>
  <c r="AY198" i="3" s="1"/>
  <c r="AV208" i="2"/>
  <c r="AS208" i="2"/>
  <c r="AP208" i="2"/>
  <c r="AM208" i="2"/>
  <c r="AJ208" i="2"/>
  <c r="AG208" i="2"/>
  <c r="AD208" i="2"/>
  <c r="AA208" i="2"/>
  <c r="X208" i="2"/>
  <c r="U208" i="2"/>
  <c r="R208" i="2"/>
  <c r="O208" i="2"/>
  <c r="L208" i="2"/>
  <c r="I208" i="2"/>
  <c r="F208" i="2"/>
  <c r="ER207" i="2"/>
  <c r="EP207" i="2"/>
  <c r="EO207" i="2"/>
  <c r="EM207" i="2"/>
  <c r="EL207" i="2"/>
  <c r="EJ207" i="2"/>
  <c r="DP207" i="2"/>
  <c r="DP197" i="3" s="1"/>
  <c r="DM207" i="2"/>
  <c r="DM197" i="3" s="1"/>
  <c r="DJ207" i="2"/>
  <c r="DJ197" i="3" s="1"/>
  <c r="DF207" i="2"/>
  <c r="DC207" i="2"/>
  <c r="CZ207" i="2"/>
  <c r="CT207" i="2"/>
  <c r="CS207" i="2"/>
  <c r="CP207" i="2"/>
  <c r="CN207" i="2"/>
  <c r="CL207" i="2"/>
  <c r="CL197" i="3" s="1"/>
  <c r="CI207" i="2"/>
  <c r="CI197" i="3" s="1"/>
  <c r="CF207" i="2"/>
  <c r="CF197" i="3" s="1"/>
  <c r="CC207" i="2"/>
  <c r="CC197" i="3" s="1"/>
  <c r="BZ207" i="2"/>
  <c r="BZ197" i="3" s="1"/>
  <c r="BW207" i="2"/>
  <c r="BW197" i="3" s="1"/>
  <c r="BT207" i="2"/>
  <c r="BT197" i="3" s="1"/>
  <c r="BP207" i="2"/>
  <c r="BO207" i="2"/>
  <c r="BK207" i="2"/>
  <c r="BK197" i="3" s="1"/>
  <c r="BI207" i="2"/>
  <c r="BH207" i="2" s="1"/>
  <c r="BE207" i="2"/>
  <c r="BE197" i="3" s="1"/>
  <c r="BB207" i="2"/>
  <c r="BB197" i="3" s="1"/>
  <c r="AY207" i="2"/>
  <c r="AY197" i="3" s="1"/>
  <c r="AV207" i="2"/>
  <c r="AV197" i="3" s="1"/>
  <c r="AS207" i="2"/>
  <c r="AP207" i="2"/>
  <c r="AM207" i="2"/>
  <c r="AJ207" i="2"/>
  <c r="AG207" i="2"/>
  <c r="AD207" i="2"/>
  <c r="AA207" i="2"/>
  <c r="X207" i="2"/>
  <c r="U207" i="2"/>
  <c r="R207" i="2"/>
  <c r="O207" i="2"/>
  <c r="L207" i="2"/>
  <c r="I207" i="2"/>
  <c r="F207" i="2"/>
  <c r="BM206" i="2"/>
  <c r="BD206" i="2"/>
  <c r="BC206" i="2"/>
  <c r="BA206" i="2"/>
  <c r="AZ206" i="2"/>
  <c r="AX206" i="2"/>
  <c r="AW206" i="2"/>
  <c r="AU206" i="2"/>
  <c r="AT206" i="2"/>
  <c r="AR206" i="2"/>
  <c r="AQ206" i="2"/>
  <c r="AO206" i="2"/>
  <c r="AN206" i="2"/>
  <c r="AL206" i="2"/>
  <c r="AK206" i="2"/>
  <c r="AI206" i="2"/>
  <c r="AH206" i="2"/>
  <c r="AF206" i="2"/>
  <c r="AE206" i="2"/>
  <c r="AC206" i="2"/>
  <c r="AB206" i="2"/>
  <c r="Z206" i="2"/>
  <c r="Y206" i="2"/>
  <c r="W206" i="2"/>
  <c r="V206" i="2"/>
  <c r="T206" i="2"/>
  <c r="S206" i="2"/>
  <c r="Q206" i="2"/>
  <c r="P206" i="2"/>
  <c r="N206" i="2"/>
  <c r="M206" i="2"/>
  <c r="K206" i="2"/>
  <c r="J206" i="2"/>
  <c r="H206" i="2"/>
  <c r="G206" i="2"/>
  <c r="E206" i="2"/>
  <c r="ER204" i="2"/>
  <c r="EP204" i="2"/>
  <c r="EO204" i="2"/>
  <c r="EM204" i="2"/>
  <c r="EL204" i="2"/>
  <c r="EJ204" i="2"/>
  <c r="EI204" i="2"/>
  <c r="EG204" i="2"/>
  <c r="EF204" i="2"/>
  <c r="ED204" i="2"/>
  <c r="EC204" i="2"/>
  <c r="EA204" i="2"/>
  <c r="DU204" i="2"/>
  <c r="DV204" i="2" s="1"/>
  <c r="DR204" i="2"/>
  <c r="DO204" i="2"/>
  <c r="DL204" i="2"/>
  <c r="DJ204" i="2"/>
  <c r="DF204" i="2"/>
  <c r="DG204" i="2" s="1"/>
  <c r="DC204" i="2"/>
  <c r="CZ204" i="2"/>
  <c r="CW204" i="2"/>
  <c r="CT204" i="2"/>
  <c r="CS204" i="2"/>
  <c r="CP204" i="2"/>
  <c r="CN204" i="2"/>
  <c r="CM204" i="2"/>
  <c r="CK204" i="2"/>
  <c r="CJ204" i="2"/>
  <c r="CH204" i="2"/>
  <c r="CG204" i="2"/>
  <c r="CE204" i="2"/>
  <c r="CD204" i="2"/>
  <c r="CB204" i="2"/>
  <c r="CA204" i="2"/>
  <c r="BY204" i="2"/>
  <c r="BX204" i="2"/>
  <c r="BV204" i="2"/>
  <c r="BU204" i="2"/>
  <c r="BS204" i="2"/>
  <c r="BR204" i="2"/>
  <c r="BQ204" i="2" s="1"/>
  <c r="BO204" i="2"/>
  <c r="BM204" i="2"/>
  <c r="BL204" i="2"/>
  <c r="BJ204" i="2"/>
  <c r="BI204" i="2"/>
  <c r="BG204" i="2"/>
  <c r="BF204" i="2"/>
  <c r="BD204" i="2"/>
  <c r="BB204" i="2"/>
  <c r="BB194" i="3" s="1"/>
  <c r="AY204" i="2"/>
  <c r="AY194" i="3" s="1"/>
  <c r="AV204" i="2"/>
  <c r="AS204" i="2"/>
  <c r="AP204" i="2"/>
  <c r="AM204" i="2"/>
  <c r="AJ204" i="2"/>
  <c r="AG204" i="2"/>
  <c r="AD204" i="2"/>
  <c r="AA204" i="2"/>
  <c r="X204" i="2"/>
  <c r="U204" i="2"/>
  <c r="R204" i="2"/>
  <c r="O204" i="2"/>
  <c r="L204" i="2"/>
  <c r="I204" i="2"/>
  <c r="F204" i="2"/>
  <c r="ER203" i="2"/>
  <c r="EP203" i="2"/>
  <c r="EO203" i="2"/>
  <c r="EM203" i="2"/>
  <c r="EL203" i="2"/>
  <c r="EJ203" i="2"/>
  <c r="EI203" i="2"/>
  <c r="EG203" i="2"/>
  <c r="EF203" i="2"/>
  <c r="ED203" i="2"/>
  <c r="EC203" i="2"/>
  <c r="EA203" i="2"/>
  <c r="DU203" i="2"/>
  <c r="DV203" i="2" s="1"/>
  <c r="DR203" i="2"/>
  <c r="DO203" i="2"/>
  <c r="DL203" i="2"/>
  <c r="DI203" i="2"/>
  <c r="DF203" i="2"/>
  <c r="DC203" i="2"/>
  <c r="CZ203" i="2"/>
  <c r="CW203" i="2"/>
  <c r="CT203" i="2"/>
  <c r="CS203" i="2"/>
  <c r="CP203" i="2"/>
  <c r="CN203" i="2"/>
  <c r="CM203" i="2"/>
  <c r="CK203" i="2"/>
  <c r="CJ203" i="2"/>
  <c r="CH203" i="2"/>
  <c r="CG203" i="2"/>
  <c r="CE203" i="2"/>
  <c r="CD203" i="2"/>
  <c r="CB203" i="2"/>
  <c r="CA203" i="2"/>
  <c r="BY203" i="2"/>
  <c r="BX203" i="2"/>
  <c r="BV203" i="2"/>
  <c r="BU203" i="2"/>
  <c r="BS203" i="2"/>
  <c r="BR203" i="2"/>
  <c r="BQ203" i="2" s="1"/>
  <c r="BO203" i="2"/>
  <c r="BM203" i="2"/>
  <c r="BL203" i="2"/>
  <c r="BJ203" i="2"/>
  <c r="BI203" i="2"/>
  <c r="BG203" i="2"/>
  <c r="BF203" i="2"/>
  <c r="BD203" i="2"/>
  <c r="BB203" i="2"/>
  <c r="BB193" i="3" s="1"/>
  <c r="AY203" i="2"/>
  <c r="AY193" i="3" s="1"/>
  <c r="AV203" i="2"/>
  <c r="AS203" i="2"/>
  <c r="AP203" i="2"/>
  <c r="AM203" i="2"/>
  <c r="AJ203" i="2"/>
  <c r="AG203" i="2"/>
  <c r="AD203" i="2"/>
  <c r="AA203" i="2"/>
  <c r="X203" i="2"/>
  <c r="U203" i="2"/>
  <c r="R203" i="2"/>
  <c r="O203" i="2"/>
  <c r="L203" i="2"/>
  <c r="I203" i="2"/>
  <c r="F203" i="2"/>
  <c r="ER202" i="2"/>
  <c r="EP202" i="2"/>
  <c r="EO202" i="2"/>
  <c r="EM202" i="2"/>
  <c r="EL202" i="2"/>
  <c r="EJ202" i="2"/>
  <c r="EI202" i="2"/>
  <c r="EG202" i="2"/>
  <c r="EF202" i="2"/>
  <c r="ED202" i="2"/>
  <c r="EC202" i="2"/>
  <c r="EA202" i="2"/>
  <c r="DU202" i="2"/>
  <c r="DV202" i="2" s="1"/>
  <c r="DR202" i="2"/>
  <c r="DO202" i="2"/>
  <c r="DL202" i="2"/>
  <c r="DJ202" i="2"/>
  <c r="DJ192" i="3" s="1"/>
  <c r="DG202" i="2"/>
  <c r="DG192" i="3" s="1"/>
  <c r="DC202" i="2"/>
  <c r="DD202" i="2" s="1"/>
  <c r="DD192" i="3" s="1"/>
  <c r="CZ202" i="2"/>
  <c r="DA202" i="2" s="1"/>
  <c r="DA192" i="3" s="1"/>
  <c r="CW202" i="2"/>
  <c r="CX202" i="2" s="1"/>
  <c r="CX192" i="3" s="1"/>
  <c r="CT202" i="2"/>
  <c r="CU202" i="2" s="1"/>
  <c r="CU192" i="3" s="1"/>
  <c r="CS202" i="2"/>
  <c r="CP202" i="2"/>
  <c r="CN202" i="2"/>
  <c r="CM202" i="2"/>
  <c r="CK202" i="2"/>
  <c r="CJ202" i="2"/>
  <c r="CF202" i="2"/>
  <c r="CF192" i="3" s="1"/>
  <c r="CB202" i="2"/>
  <c r="CC202" i="2" s="1"/>
  <c r="CC192" i="3" s="1"/>
  <c r="BY202" i="2"/>
  <c r="BW202" i="2"/>
  <c r="BW192" i="3" s="1"/>
  <c r="BU202" i="2"/>
  <c r="BS202" i="2"/>
  <c r="BQ202" i="2"/>
  <c r="BQ192" i="3" s="1"/>
  <c r="BM202" i="2"/>
  <c r="BL202" i="2"/>
  <c r="BJ202" i="2"/>
  <c r="BI202" i="2"/>
  <c r="BG202" i="2"/>
  <c r="BE202" i="2"/>
  <c r="BE192" i="3" s="1"/>
  <c r="BB202" i="2"/>
  <c r="BB192" i="3" s="1"/>
  <c r="AY202" i="2"/>
  <c r="AY192" i="3" s="1"/>
  <c r="AV202" i="2"/>
  <c r="AS202" i="2"/>
  <c r="AP202" i="2"/>
  <c r="AM202" i="2"/>
  <c r="AJ202" i="2"/>
  <c r="AG202" i="2"/>
  <c r="AD202" i="2"/>
  <c r="AA202" i="2"/>
  <c r="X202" i="2"/>
  <c r="U202" i="2"/>
  <c r="R202" i="2"/>
  <c r="O202" i="2"/>
  <c r="L202" i="2"/>
  <c r="I202" i="2"/>
  <c r="F202" i="2"/>
  <c r="ER201" i="2"/>
  <c r="EP201" i="2"/>
  <c r="EO201" i="2"/>
  <c r="EM201" i="2"/>
  <c r="EL201" i="2"/>
  <c r="EJ201" i="2"/>
  <c r="EI201" i="2"/>
  <c r="EG201" i="2"/>
  <c r="EG200" i="2"/>
  <c r="EF201" i="2"/>
  <c r="ED201" i="2"/>
  <c r="EC201" i="2"/>
  <c r="EA201" i="2"/>
  <c r="DU201" i="2"/>
  <c r="DV201" i="2" s="1"/>
  <c r="DR201" i="2"/>
  <c r="DO201" i="2"/>
  <c r="DO200" i="2"/>
  <c r="DL201" i="2"/>
  <c r="DI201" i="2"/>
  <c r="DF201" i="2"/>
  <c r="DC201" i="2"/>
  <c r="CZ201" i="2"/>
  <c r="CW201" i="2"/>
  <c r="CT201" i="2"/>
  <c r="CS201" i="2"/>
  <c r="CP201" i="2"/>
  <c r="CN201" i="2"/>
  <c r="CM201" i="2"/>
  <c r="CK201" i="2"/>
  <c r="CJ201" i="2"/>
  <c r="CH201" i="2"/>
  <c r="CG201" i="2"/>
  <c r="CE201" i="2"/>
  <c r="CE200" i="2"/>
  <c r="CD201" i="2"/>
  <c r="CB201" i="2"/>
  <c r="CA201" i="2"/>
  <c r="BY201" i="2"/>
  <c r="BX201" i="2"/>
  <c r="BV201" i="2"/>
  <c r="BU201" i="2"/>
  <c r="BS201" i="2"/>
  <c r="BR201" i="2"/>
  <c r="BO201" i="2"/>
  <c r="BM201" i="2"/>
  <c r="BL201" i="2"/>
  <c r="BJ201" i="2"/>
  <c r="BI201" i="2"/>
  <c r="BG201" i="2"/>
  <c r="BF201" i="2"/>
  <c r="BD201" i="2"/>
  <c r="BB201" i="2"/>
  <c r="BB191" i="3" s="1"/>
  <c r="AY201" i="2"/>
  <c r="AY191" i="3" s="1"/>
  <c r="AV201" i="2"/>
  <c r="AS201" i="2"/>
  <c r="AP201" i="2"/>
  <c r="AM201" i="2"/>
  <c r="AJ201" i="2"/>
  <c r="AG201" i="2"/>
  <c r="AD201" i="2"/>
  <c r="AA201" i="2"/>
  <c r="X201" i="2"/>
  <c r="U201" i="2"/>
  <c r="R201" i="2"/>
  <c r="O201" i="2"/>
  <c r="L201" i="2"/>
  <c r="I201" i="2"/>
  <c r="F201" i="2"/>
  <c r="ER200" i="2"/>
  <c r="EP200" i="2"/>
  <c r="EO200" i="2"/>
  <c r="EM200" i="2"/>
  <c r="EL200" i="2"/>
  <c r="EJ200" i="2"/>
  <c r="EI200" i="2"/>
  <c r="EF200" i="2"/>
  <c r="ED200" i="2"/>
  <c r="EC200" i="2"/>
  <c r="EA200" i="2"/>
  <c r="DU200" i="2"/>
  <c r="DV200" i="2" s="1"/>
  <c r="DR200" i="2"/>
  <c r="DL200" i="2"/>
  <c r="DI200" i="2"/>
  <c r="DF200" i="2"/>
  <c r="DC200" i="2"/>
  <c r="CZ200" i="2"/>
  <c r="CW200" i="2"/>
  <c r="CT200" i="2"/>
  <c r="CS200" i="2"/>
  <c r="CP200" i="2"/>
  <c r="CN200" i="2"/>
  <c r="CM200" i="2"/>
  <c r="CK200" i="2"/>
  <c r="CJ200" i="2"/>
  <c r="CH200" i="2"/>
  <c r="CG200" i="2"/>
  <c r="CD200" i="2"/>
  <c r="CB200" i="2"/>
  <c r="CA200" i="2"/>
  <c r="BY200" i="2"/>
  <c r="BX200" i="2"/>
  <c r="BV200" i="2"/>
  <c r="BU200" i="2"/>
  <c r="BS200" i="2"/>
  <c r="BR200" i="2"/>
  <c r="BQ200" i="2" s="1"/>
  <c r="BQ190" i="3" s="1"/>
  <c r="BO200" i="2"/>
  <c r="BM200" i="2"/>
  <c r="BL200" i="2"/>
  <c r="BJ200" i="2"/>
  <c r="BI200" i="2"/>
  <c r="BG200" i="2"/>
  <c r="BF200" i="2"/>
  <c r="BD200" i="2"/>
  <c r="BB200" i="2"/>
  <c r="BB190" i="3" s="1"/>
  <c r="AY200" i="2"/>
  <c r="AY190" i="3" s="1"/>
  <c r="AV200" i="2"/>
  <c r="AS200" i="2"/>
  <c r="AP200" i="2"/>
  <c r="AM200" i="2"/>
  <c r="AJ200" i="2"/>
  <c r="AG200" i="2"/>
  <c r="AD200" i="2"/>
  <c r="AA200" i="2"/>
  <c r="X200" i="2"/>
  <c r="U200" i="2"/>
  <c r="R200" i="2"/>
  <c r="O200" i="2"/>
  <c r="L200" i="2"/>
  <c r="I200" i="2"/>
  <c r="F200" i="2"/>
  <c r="BP199" i="2"/>
  <c r="BC199" i="2"/>
  <c r="BA199" i="2"/>
  <c r="AZ199" i="2"/>
  <c r="AX199" i="2"/>
  <c r="AW199" i="2"/>
  <c r="AU199" i="2"/>
  <c r="AT199" i="2"/>
  <c r="AR199" i="2"/>
  <c r="AQ199" i="2"/>
  <c r="AO199" i="2"/>
  <c r="AN199" i="2"/>
  <c r="AL199" i="2"/>
  <c r="AK199" i="2"/>
  <c r="AI199" i="2"/>
  <c r="AH199" i="2"/>
  <c r="AF199" i="2"/>
  <c r="AE199" i="2"/>
  <c r="AC199" i="2"/>
  <c r="AB199" i="2"/>
  <c r="Z199" i="2"/>
  <c r="Y199" i="2"/>
  <c r="W199" i="2"/>
  <c r="V199" i="2"/>
  <c r="T199" i="2"/>
  <c r="S199" i="2"/>
  <c r="Q199" i="2"/>
  <c r="P199" i="2"/>
  <c r="N199" i="2"/>
  <c r="M199" i="2"/>
  <c r="K199" i="2"/>
  <c r="J199" i="2"/>
  <c r="H199" i="2"/>
  <c r="G199" i="2"/>
  <c r="E199" i="2"/>
  <c r="ER198" i="2"/>
  <c r="EP198" i="2"/>
  <c r="EO198" i="2"/>
  <c r="EM198" i="2"/>
  <c r="EL198" i="2"/>
  <c r="EJ198" i="2"/>
  <c r="EI198" i="2"/>
  <c r="EG198" i="2"/>
  <c r="EF198" i="2"/>
  <c r="ED198" i="2"/>
  <c r="EC198" i="2"/>
  <c r="EA198" i="2"/>
  <c r="DU198" i="2"/>
  <c r="DV198" i="2" s="1"/>
  <c r="DR198" i="2"/>
  <c r="DO198" i="2"/>
  <c r="DL198" i="2"/>
  <c r="DI198" i="2"/>
  <c r="DF198" i="2"/>
  <c r="DC198" i="2"/>
  <c r="DD198" i="2" s="1"/>
  <c r="DD187" i="3" s="1"/>
  <c r="CZ198" i="2"/>
  <c r="CW198" i="2"/>
  <c r="CT198" i="2"/>
  <c r="CS198" i="2"/>
  <c r="CP198" i="2"/>
  <c r="CN198" i="2"/>
  <c r="CN197" i="2"/>
  <c r="CM198" i="2"/>
  <c r="CK198" i="2"/>
  <c r="CJ198" i="2"/>
  <c r="CH198" i="2"/>
  <c r="CG198" i="2"/>
  <c r="CE198" i="2"/>
  <c r="CE197" i="2"/>
  <c r="CD198" i="2"/>
  <c r="CB198" i="2"/>
  <c r="CA198" i="2"/>
  <c r="BY198" i="2"/>
  <c r="BY197" i="2"/>
  <c r="BX198" i="2"/>
  <c r="BV198" i="2"/>
  <c r="BU198" i="2"/>
  <c r="BS198" i="2"/>
  <c r="BR198" i="2"/>
  <c r="BQ198" i="2" s="1"/>
  <c r="BQ187" i="3" s="1"/>
  <c r="BO198" i="2"/>
  <c r="BM198" i="2"/>
  <c r="BL198" i="2"/>
  <c r="BJ198" i="2"/>
  <c r="BI198" i="2"/>
  <c r="BG198" i="2"/>
  <c r="BF198" i="2"/>
  <c r="BD198" i="2"/>
  <c r="BB198" i="2"/>
  <c r="BB187" i="3" s="1"/>
  <c r="AY198" i="2"/>
  <c r="AY187" i="3" s="1"/>
  <c r="AV198" i="2"/>
  <c r="AS198" i="2"/>
  <c r="AS187" i="3" s="1"/>
  <c r="AP198" i="2"/>
  <c r="AP187" i="3" s="1"/>
  <c r="AM198" i="2"/>
  <c r="AM187" i="3" s="1"/>
  <c r="AJ198" i="2"/>
  <c r="AG198" i="2"/>
  <c r="AD198" i="2"/>
  <c r="AA198" i="2"/>
  <c r="X198" i="2"/>
  <c r="U198" i="2"/>
  <c r="R198" i="2"/>
  <c r="O198" i="2"/>
  <c r="L198" i="2"/>
  <c r="I198" i="2"/>
  <c r="F198" i="2"/>
  <c r="ER197" i="2"/>
  <c r="EP197" i="2"/>
  <c r="EO197" i="2"/>
  <c r="EM197" i="2"/>
  <c r="EL197" i="2"/>
  <c r="EJ197" i="2"/>
  <c r="EI197" i="2"/>
  <c r="EG197" i="2"/>
  <c r="EF197" i="2"/>
  <c r="ED197" i="2"/>
  <c r="EC197" i="2"/>
  <c r="EA197" i="2"/>
  <c r="DU197" i="2"/>
  <c r="DV197" i="2" s="1"/>
  <c r="DR197" i="2"/>
  <c r="DO197" i="2"/>
  <c r="DL197" i="2"/>
  <c r="DI197" i="2"/>
  <c r="DF197" i="2"/>
  <c r="DD197" i="2"/>
  <c r="DD186" i="3" s="1"/>
  <c r="DA197" i="2"/>
  <c r="DA186" i="3" s="1"/>
  <c r="CW197" i="2"/>
  <c r="CT197" i="2"/>
  <c r="CS197" i="2"/>
  <c r="CP197" i="2"/>
  <c r="CM197" i="2"/>
  <c r="CK197" i="2"/>
  <c r="CJ197" i="2"/>
  <c r="CH197" i="2"/>
  <c r="CG197" i="2"/>
  <c r="CD197" i="2"/>
  <c r="CB197" i="2"/>
  <c r="CA197" i="2"/>
  <c r="BX197" i="2"/>
  <c r="BV197" i="2"/>
  <c r="BU197" i="2"/>
  <c r="BS197" i="2"/>
  <c r="BR197" i="2"/>
  <c r="BQ197" i="2" s="1"/>
  <c r="BQ186" i="3" s="1"/>
  <c r="BO197" i="2"/>
  <c r="BM197" i="2"/>
  <c r="BL197" i="2"/>
  <c r="BJ197" i="2"/>
  <c r="BI197" i="2"/>
  <c r="BG197" i="2"/>
  <c r="BF197" i="2"/>
  <c r="BD197" i="2"/>
  <c r="BB197" i="2"/>
  <c r="BB186" i="3" s="1"/>
  <c r="AY197" i="2"/>
  <c r="AY186" i="3" s="1"/>
  <c r="AV197" i="2"/>
  <c r="AS197" i="2"/>
  <c r="AP197" i="2"/>
  <c r="AM197" i="2"/>
  <c r="AJ197" i="2"/>
  <c r="AG197" i="2"/>
  <c r="AD197" i="2"/>
  <c r="AA197" i="2"/>
  <c r="X197" i="2"/>
  <c r="U197" i="2"/>
  <c r="R197" i="2"/>
  <c r="O197" i="2"/>
  <c r="L197" i="2"/>
  <c r="I197" i="2"/>
  <c r="F197" i="2"/>
  <c r="BP196" i="2"/>
  <c r="BC196" i="2"/>
  <c r="BA196" i="2"/>
  <c r="AZ196" i="2"/>
  <c r="AX196" i="2"/>
  <c r="AW196" i="2"/>
  <c r="AU196" i="2"/>
  <c r="AT196" i="2"/>
  <c r="AR196" i="2"/>
  <c r="AQ196" i="2"/>
  <c r="AO196" i="2"/>
  <c r="AN196" i="2"/>
  <c r="AL196" i="2"/>
  <c r="AK196" i="2"/>
  <c r="AI196" i="2"/>
  <c r="AH196" i="2"/>
  <c r="AF196" i="2"/>
  <c r="AE196" i="2"/>
  <c r="AC196" i="2"/>
  <c r="AB196" i="2"/>
  <c r="Z196" i="2"/>
  <c r="Y196" i="2"/>
  <c r="W196" i="2"/>
  <c r="V196" i="2"/>
  <c r="T196" i="2"/>
  <c r="S196" i="2"/>
  <c r="Q196" i="2"/>
  <c r="P196" i="2"/>
  <c r="N196" i="2"/>
  <c r="M196" i="2"/>
  <c r="K196" i="2"/>
  <c r="J196" i="2"/>
  <c r="H196" i="2"/>
  <c r="G196" i="2"/>
  <c r="E196" i="2"/>
  <c r="ER195" i="2"/>
  <c r="EP195" i="2"/>
  <c r="EO195" i="2"/>
  <c r="EM195" i="2"/>
  <c r="EL195" i="2"/>
  <c r="EJ195" i="2"/>
  <c r="EI195" i="2"/>
  <c r="EG195" i="2"/>
  <c r="EF195" i="2"/>
  <c r="ED195" i="2"/>
  <c r="EC195" i="2"/>
  <c r="EA195" i="2"/>
  <c r="DS195" i="2"/>
  <c r="DS184" i="3" s="1"/>
  <c r="DO195" i="2"/>
  <c r="DP195" i="2" s="1"/>
  <c r="DP184" i="3" s="1"/>
  <c r="DL195" i="2"/>
  <c r="DI195" i="2"/>
  <c r="DJ195" i="2" s="1"/>
  <c r="DJ184" i="3" s="1"/>
  <c r="DF195" i="2"/>
  <c r="DG195" i="2" s="1"/>
  <c r="DG184" i="3" s="1"/>
  <c r="DC195" i="2"/>
  <c r="DD195" i="2" s="1"/>
  <c r="DD184" i="3" s="1"/>
  <c r="CZ195" i="2"/>
  <c r="DA195" i="2" s="1"/>
  <c r="DA184" i="3" s="1"/>
  <c r="CW195" i="2"/>
  <c r="CX195" i="2" s="1"/>
  <c r="CX184" i="3" s="1"/>
  <c r="CT195" i="2"/>
  <c r="CS195" i="2"/>
  <c r="CP195" i="2"/>
  <c r="CN195" i="2"/>
  <c r="CM195" i="2"/>
  <c r="CK195" i="2"/>
  <c r="CJ195" i="2"/>
  <c r="CH195" i="2"/>
  <c r="CH193" i="2" s="1"/>
  <c r="CG195" i="2"/>
  <c r="CE195" i="2"/>
  <c r="CE194" i="2"/>
  <c r="CD195" i="2"/>
  <c r="CD193" i="2" s="1"/>
  <c r="CB195" i="2"/>
  <c r="CA195" i="2"/>
  <c r="BY195" i="2"/>
  <c r="BX195" i="2"/>
  <c r="BW195" i="2" s="1"/>
  <c r="BW184" i="3" s="1"/>
  <c r="BU195" i="2"/>
  <c r="BS195" i="2"/>
  <c r="BR195" i="2"/>
  <c r="BQ195" i="2" s="1"/>
  <c r="BO195" i="2"/>
  <c r="BM195" i="2"/>
  <c r="BM193" i="2" s="1"/>
  <c r="BL195" i="2"/>
  <c r="BJ195" i="2"/>
  <c r="BI195" i="2"/>
  <c r="BG195" i="2"/>
  <c r="BF195" i="2"/>
  <c r="BD195" i="2"/>
  <c r="BB195" i="2"/>
  <c r="BB184" i="3" s="1"/>
  <c r="AY195" i="2"/>
  <c r="AY184" i="3" s="1"/>
  <c r="AV195" i="2"/>
  <c r="AS195" i="2"/>
  <c r="AP195" i="2"/>
  <c r="AM195" i="2"/>
  <c r="AJ195" i="2"/>
  <c r="AG195" i="2"/>
  <c r="AD195" i="2"/>
  <c r="AA195" i="2"/>
  <c r="X195" i="2"/>
  <c r="U195" i="2"/>
  <c r="R195" i="2"/>
  <c r="O195" i="2"/>
  <c r="L195" i="2"/>
  <c r="I195" i="2"/>
  <c r="F195" i="2"/>
  <c r="ER194" i="2"/>
  <c r="EP194" i="2"/>
  <c r="EO194" i="2"/>
  <c r="EM194" i="2"/>
  <c r="EL194" i="2"/>
  <c r="EJ194" i="2"/>
  <c r="EI194" i="2"/>
  <c r="EG194" i="2"/>
  <c r="EF194" i="2"/>
  <c r="ED194" i="2"/>
  <c r="EC194" i="2"/>
  <c r="EA194" i="2"/>
  <c r="DR194" i="2"/>
  <c r="DO194" i="2"/>
  <c r="DL194" i="2"/>
  <c r="DI194" i="2"/>
  <c r="DF194" i="2"/>
  <c r="DC194" i="2"/>
  <c r="CZ194" i="2"/>
  <c r="CW194" i="2"/>
  <c r="CT194" i="2"/>
  <c r="CS194" i="2"/>
  <c r="CP194" i="2"/>
  <c r="CN194" i="2"/>
  <c r="CM194" i="2"/>
  <c r="CK194" i="2"/>
  <c r="CI194" i="2"/>
  <c r="CI183" i="3" s="1"/>
  <c r="CG194" i="2"/>
  <c r="CB194" i="2"/>
  <c r="CC194" i="2" s="1"/>
  <c r="CC183" i="3" s="1"/>
  <c r="CA194" i="2"/>
  <c r="BY194" i="2"/>
  <c r="BV194" i="2"/>
  <c r="BU194" i="2"/>
  <c r="BS194" i="2"/>
  <c r="BR194" i="2"/>
  <c r="BQ194" i="2" s="1"/>
  <c r="BQ183" i="3" s="1"/>
  <c r="BO194" i="2"/>
  <c r="BN194" i="2" s="1"/>
  <c r="BN183" i="3" s="1"/>
  <c r="BL194" i="2"/>
  <c r="BJ194" i="2"/>
  <c r="BI194" i="2"/>
  <c r="BG194" i="2"/>
  <c r="BF194" i="2"/>
  <c r="BD194" i="2"/>
  <c r="BB194" i="2"/>
  <c r="BB183" i="3" s="1"/>
  <c r="AY194" i="2"/>
  <c r="AY183" i="3" s="1"/>
  <c r="AV194" i="2"/>
  <c r="AS194" i="2"/>
  <c r="AP194" i="2"/>
  <c r="AM194" i="2"/>
  <c r="AJ194" i="2"/>
  <c r="AG194" i="2"/>
  <c r="AD194" i="2"/>
  <c r="AA194" i="2"/>
  <c r="X194" i="2"/>
  <c r="U194" i="2"/>
  <c r="R194" i="2"/>
  <c r="O194" i="2"/>
  <c r="L194" i="2"/>
  <c r="I194" i="2"/>
  <c r="F194" i="2"/>
  <c r="BP193" i="2"/>
  <c r="BC193" i="2"/>
  <c r="BA193" i="2"/>
  <c r="AZ193" i="2"/>
  <c r="AX193" i="2"/>
  <c r="AW193" i="2"/>
  <c r="AU193" i="2"/>
  <c r="AT193" i="2"/>
  <c r="AR193" i="2"/>
  <c r="AQ193" i="2"/>
  <c r="AO193" i="2"/>
  <c r="AN193" i="2"/>
  <c r="AL193" i="2"/>
  <c r="AK193" i="2"/>
  <c r="AI193" i="2"/>
  <c r="AH193" i="2"/>
  <c r="AF193" i="2"/>
  <c r="AE193" i="2"/>
  <c r="AC193" i="2"/>
  <c r="AB193" i="2"/>
  <c r="Z193" i="2"/>
  <c r="Y193" i="2"/>
  <c r="W193" i="2"/>
  <c r="V193" i="2"/>
  <c r="T193" i="2"/>
  <c r="S193" i="2"/>
  <c r="Q193" i="2"/>
  <c r="P193" i="2"/>
  <c r="N193" i="2"/>
  <c r="M193" i="2"/>
  <c r="K193" i="2"/>
  <c r="J193" i="2"/>
  <c r="H193" i="2"/>
  <c r="G193" i="2"/>
  <c r="E193" i="2"/>
  <c r="ER192" i="2"/>
  <c r="ER39" i="2" s="1"/>
  <c r="EP192" i="2"/>
  <c r="EP39" i="2" s="1"/>
  <c r="EO192" i="2"/>
  <c r="EO39" i="2" s="1"/>
  <c r="EM192" i="2"/>
  <c r="EM39" i="2" s="1"/>
  <c r="EL192" i="2"/>
  <c r="EL39" i="2" s="1"/>
  <c r="EJ192" i="2"/>
  <c r="EI192" i="2"/>
  <c r="EI39" i="2" s="1"/>
  <c r="EG192" i="2"/>
  <c r="EF192" i="2"/>
  <c r="ED192" i="2"/>
  <c r="ED39" i="2" s="1"/>
  <c r="EC192" i="2"/>
  <c r="EA192" i="2"/>
  <c r="EA39" i="2" s="1"/>
  <c r="DR192" i="2"/>
  <c r="DR39" i="2" s="1"/>
  <c r="DO192" i="2"/>
  <c r="DL192" i="2"/>
  <c r="DI192" i="2"/>
  <c r="DF192" i="2"/>
  <c r="DF39" i="2" s="1"/>
  <c r="DC192" i="2"/>
  <c r="CZ192" i="2"/>
  <c r="CW192" i="2"/>
  <c r="CW39" i="2" s="1"/>
  <c r="CT192" i="2"/>
  <c r="CS192" i="2"/>
  <c r="CP192" i="2"/>
  <c r="CN192" i="2"/>
  <c r="CN39" i="2" s="1"/>
  <c r="CM192" i="2"/>
  <c r="CK192" i="2"/>
  <c r="CK39" i="2" s="1"/>
  <c r="CJ192" i="2"/>
  <c r="CH192" i="2"/>
  <c r="CH39" i="2" s="1"/>
  <c r="CF192" i="2"/>
  <c r="CF181" i="3" s="1"/>
  <c r="CD192" i="2"/>
  <c r="CD39" i="2" s="1"/>
  <c r="CB192" i="2"/>
  <c r="CB39" i="2" s="1"/>
  <c r="BY192" i="2"/>
  <c r="BZ192" i="2" s="1"/>
  <c r="BZ181" i="3" s="1"/>
  <c r="BV192" i="2"/>
  <c r="BS192" i="2"/>
  <c r="BT192" i="2" s="1"/>
  <c r="BT181" i="3" s="1"/>
  <c r="BQ192" i="2"/>
  <c r="BQ181" i="3" s="1"/>
  <c r="BM192" i="2"/>
  <c r="BN192" i="2" s="1"/>
  <c r="BN181" i="3" s="1"/>
  <c r="BJ192" i="2"/>
  <c r="BI192" i="2"/>
  <c r="BI39" i="2" s="1"/>
  <c r="BG192" i="2"/>
  <c r="BF192" i="2"/>
  <c r="BD192" i="2"/>
  <c r="BD39" i="2" s="1"/>
  <c r="BB192" i="2"/>
  <c r="AY192" i="2"/>
  <c r="AY181" i="3" s="1"/>
  <c r="AV192" i="2"/>
  <c r="AV181" i="3" s="1"/>
  <c r="AS192" i="2"/>
  <c r="AP192" i="2"/>
  <c r="AM192" i="2"/>
  <c r="AJ192" i="2"/>
  <c r="AG192" i="2"/>
  <c r="AD192" i="2"/>
  <c r="AA192" i="2"/>
  <c r="X192" i="2"/>
  <c r="U192" i="2"/>
  <c r="R192" i="2"/>
  <c r="O192" i="2"/>
  <c r="L192" i="2"/>
  <c r="I192" i="2"/>
  <c r="F192" i="2"/>
  <c r="DJ191" i="2"/>
  <c r="DJ179" i="3" s="1"/>
  <c r="DC191" i="2"/>
  <c r="DD191" i="2" s="1"/>
  <c r="DD179" i="3" s="1"/>
  <c r="CZ191" i="2"/>
  <c r="CX191" i="2"/>
  <c r="CX179" i="3" s="1"/>
  <c r="CU191" i="2"/>
  <c r="CN191" i="2"/>
  <c r="CI191" i="2"/>
  <c r="CI179" i="3" s="1"/>
  <c r="CE191" i="2"/>
  <c r="CF191" i="2" s="1"/>
  <c r="CF179" i="3" s="1"/>
  <c r="CB191" i="2"/>
  <c r="BZ191" i="2"/>
  <c r="BZ179" i="3" s="1"/>
  <c r="BW191" i="2"/>
  <c r="BW179" i="3" s="1"/>
  <c r="BU191" i="2"/>
  <c r="BU189" i="2" s="1"/>
  <c r="BU220" i="2" s="1"/>
  <c r="BS191" i="2"/>
  <c r="BQ191" i="2"/>
  <c r="BQ179" i="3" s="1"/>
  <c r="BN191" i="2"/>
  <c r="BN179" i="3" s="1"/>
  <c r="BK191" i="2"/>
  <c r="BK179" i="3" s="1"/>
  <c r="BH191" i="2"/>
  <c r="BH179" i="3" s="1"/>
  <c r="BE191" i="2"/>
  <c r="BE179" i="3" s="1"/>
  <c r="BB191" i="2"/>
  <c r="AY191" i="2"/>
  <c r="AY179" i="3" s="1"/>
  <c r="AV191" i="2"/>
  <c r="AV179" i="3" s="1"/>
  <c r="AS191" i="2"/>
  <c r="AP191" i="2"/>
  <c r="AM191" i="2"/>
  <c r="AJ191" i="2"/>
  <c r="AG191" i="2"/>
  <c r="AD191" i="2"/>
  <c r="AA191" i="2"/>
  <c r="X191" i="2"/>
  <c r="U191" i="2"/>
  <c r="R191" i="2"/>
  <c r="O191" i="2"/>
  <c r="L191" i="2"/>
  <c r="I191" i="2"/>
  <c r="F191" i="2"/>
  <c r="DC190" i="2"/>
  <c r="CZ190" i="2"/>
  <c r="CW190" i="2"/>
  <c r="CT190" i="2"/>
  <c r="CS190" i="2"/>
  <c r="CP190" i="2"/>
  <c r="CM190" i="2"/>
  <c r="CK190" i="2"/>
  <c r="CK189" i="2" s="1"/>
  <c r="CK220" i="2" s="1"/>
  <c r="CJ190" i="2"/>
  <c r="CI190" i="2" s="1"/>
  <c r="CG190" i="2"/>
  <c r="CD190" i="2"/>
  <c r="CA190" i="2"/>
  <c r="BZ190" i="2" s="1"/>
  <c r="BW190" i="2"/>
  <c r="BS190" i="2"/>
  <c r="BT190" i="2" s="1"/>
  <c r="BQ190" i="2"/>
  <c r="BN190" i="2"/>
  <c r="BK190" i="2"/>
  <c r="BH190" i="2"/>
  <c r="BE190" i="2"/>
  <c r="BB190" i="2"/>
  <c r="AY190" i="2"/>
  <c r="AV190" i="2"/>
  <c r="AS190" i="2"/>
  <c r="AP190" i="2"/>
  <c r="AM190" i="2"/>
  <c r="AJ190" i="2"/>
  <c r="AG190" i="2"/>
  <c r="AD190" i="2"/>
  <c r="AA190" i="2"/>
  <c r="X190" i="2"/>
  <c r="U190" i="2"/>
  <c r="R190" i="2"/>
  <c r="O190" i="2"/>
  <c r="L190" i="2"/>
  <c r="I190" i="2"/>
  <c r="F190" i="2"/>
  <c r="CH189" i="2"/>
  <c r="BY189" i="2"/>
  <c r="BY220" i="2" s="1"/>
  <c r="BX189" i="2"/>
  <c r="BV189" i="2"/>
  <c r="BV220" i="2" s="1"/>
  <c r="BR189" i="2"/>
  <c r="BR220" i="2" s="1"/>
  <c r="BP189" i="2"/>
  <c r="BP220" i="2" s="1"/>
  <c r="BO189" i="2"/>
  <c r="BO220" i="2" s="1"/>
  <c r="BM189" i="2"/>
  <c r="BM220" i="2" s="1"/>
  <c r="BL189" i="2"/>
  <c r="BL220" i="2" s="1"/>
  <c r="BJ189" i="2"/>
  <c r="BJ220" i="2" s="1"/>
  <c r="BI189" i="2"/>
  <c r="BI176" i="3" s="1"/>
  <c r="BI179" i="3" s="1"/>
  <c r="BG189" i="2"/>
  <c r="BF189" i="2"/>
  <c r="BD189" i="2"/>
  <c r="BD176" i="3" s="1"/>
  <c r="BC189" i="2"/>
  <c r="BC179" i="3" s="1"/>
  <c r="BA189" i="2"/>
  <c r="AZ189" i="2"/>
  <c r="AZ176" i="3" s="1"/>
  <c r="AX189" i="2"/>
  <c r="AX176" i="3" s="1"/>
  <c r="AW189" i="2"/>
  <c r="AU189" i="2"/>
  <c r="AT189" i="2"/>
  <c r="AR189" i="2"/>
  <c r="AQ189" i="2"/>
  <c r="AO189" i="2"/>
  <c r="AN189" i="2"/>
  <c r="AL189" i="2"/>
  <c r="AK189" i="2"/>
  <c r="AI189" i="2"/>
  <c r="AH189" i="2"/>
  <c r="AF189" i="2"/>
  <c r="AE189" i="2"/>
  <c r="AC189" i="2"/>
  <c r="AB189" i="2"/>
  <c r="Z189" i="2"/>
  <c r="Y189" i="2"/>
  <c r="W189" i="2"/>
  <c r="V189" i="2"/>
  <c r="T189" i="2"/>
  <c r="S189" i="2"/>
  <c r="Q189" i="2"/>
  <c r="P189" i="2"/>
  <c r="N189" i="2"/>
  <c r="M189" i="2"/>
  <c r="K189" i="2"/>
  <c r="J189" i="2"/>
  <c r="H189" i="2"/>
  <c r="G189" i="2"/>
  <c r="E189" i="2"/>
  <c r="DP188" i="2"/>
  <c r="DM188" i="2"/>
  <c r="DJ188" i="2"/>
  <c r="DG188" i="2"/>
  <c r="DD188" i="2"/>
  <c r="DA188" i="2"/>
  <c r="CX188" i="2"/>
  <c r="CU188" i="2"/>
  <c r="CR188" i="2"/>
  <c r="CO188" i="2"/>
  <c r="CL188" i="2"/>
  <c r="CI188" i="2"/>
  <c r="CF188" i="2"/>
  <c r="CC188" i="2"/>
  <c r="BZ188" i="2"/>
  <c r="BW188" i="2"/>
  <c r="BT188" i="2"/>
  <c r="BQ188" i="2"/>
  <c r="BN188" i="2"/>
  <c r="BK188" i="2"/>
  <c r="BH188" i="2"/>
  <c r="BE188" i="2"/>
  <c r="BB188" i="2"/>
  <c r="AY188" i="2"/>
  <c r="AV188" i="2"/>
  <c r="AS188" i="2"/>
  <c r="AP188" i="2"/>
  <c r="AM188" i="2"/>
  <c r="AJ188" i="2"/>
  <c r="AG188" i="2"/>
  <c r="AD188" i="2"/>
  <c r="AA188" i="2"/>
  <c r="X188" i="2"/>
  <c r="U188" i="2"/>
  <c r="R188" i="2"/>
  <c r="O188" i="2"/>
  <c r="L188" i="2"/>
  <c r="I188" i="2"/>
  <c r="F188" i="2"/>
  <c r="AP186" i="2"/>
  <c r="AM186" i="2"/>
  <c r="AJ186" i="2"/>
  <c r="AG186" i="2"/>
  <c r="AD186" i="2"/>
  <c r="AA186" i="2"/>
  <c r="X186" i="2"/>
  <c r="U186" i="2"/>
  <c r="R186" i="2"/>
  <c r="O186" i="2"/>
  <c r="L186" i="2"/>
  <c r="I186" i="2"/>
  <c r="F186" i="2"/>
  <c r="AP185" i="2"/>
  <c r="AM185" i="2"/>
  <c r="AJ185" i="2"/>
  <c r="AG185" i="2"/>
  <c r="AD185" i="2"/>
  <c r="AA185" i="2"/>
  <c r="X185" i="2"/>
  <c r="U185" i="2"/>
  <c r="R185" i="2"/>
  <c r="O185" i="2"/>
  <c r="L185" i="2"/>
  <c r="I185" i="2"/>
  <c r="F185" i="2"/>
  <c r="DP183" i="2"/>
  <c r="DM183" i="2"/>
  <c r="DJ183" i="2"/>
  <c r="DG183" i="2"/>
  <c r="DD183" i="2"/>
  <c r="CZ183" i="2"/>
  <c r="CW183" i="2"/>
  <c r="CX183" i="2" s="1"/>
  <c r="CT183" i="2"/>
  <c r="CU183" i="2" s="1"/>
  <c r="CO183" i="2"/>
  <c r="CM183" i="2"/>
  <c r="CM463" i="2" s="1"/>
  <c r="CH183" i="2"/>
  <c r="CG183" i="2"/>
  <c r="CD183" i="2"/>
  <c r="BZ183" i="2"/>
  <c r="BW183" i="2"/>
  <c r="BU183" i="2"/>
  <c r="BU463" i="2" s="1"/>
  <c r="BQ183" i="2"/>
  <c r="BN183" i="2"/>
  <c r="BK183" i="2"/>
  <c r="BH183" i="2"/>
  <c r="BE183" i="2"/>
  <c r="BB183" i="2"/>
  <c r="AY183" i="2"/>
  <c r="AV183" i="2"/>
  <c r="AS183" i="2"/>
  <c r="AP183" i="2"/>
  <c r="AM183" i="2"/>
  <c r="AJ183" i="2"/>
  <c r="AG183" i="2"/>
  <c r="AD183" i="2"/>
  <c r="AA183" i="2"/>
  <c r="X183" i="2"/>
  <c r="U183" i="2"/>
  <c r="R183" i="2"/>
  <c r="O183" i="2"/>
  <c r="L183" i="2"/>
  <c r="I183" i="2"/>
  <c r="F183" i="2"/>
  <c r="DF181" i="2"/>
  <c r="DC181" i="2"/>
  <c r="CZ181" i="2"/>
  <c r="CW181" i="2"/>
  <c r="CT181" i="2"/>
  <c r="CS181" i="2"/>
  <c r="CP181" i="2"/>
  <c r="CN181" i="2"/>
  <c r="CK181" i="2"/>
  <c r="CJ181" i="2"/>
  <c r="CH181" i="2"/>
  <c r="CG181" i="2"/>
  <c r="CE181" i="2"/>
  <c r="CD181" i="2"/>
  <c r="CB181" i="2"/>
  <c r="CA181" i="2"/>
  <c r="BY181" i="2"/>
  <c r="BX181" i="2"/>
  <c r="BV181" i="2"/>
  <c r="BU181" i="2"/>
  <c r="BS181" i="2"/>
  <c r="BR181" i="2"/>
  <c r="BP181" i="2"/>
  <c r="BO181" i="2"/>
  <c r="BM181" i="2"/>
  <c r="BL181" i="2"/>
  <c r="BJ181" i="2"/>
  <c r="BI181" i="2"/>
  <c r="BG181" i="2"/>
  <c r="BE181" i="2"/>
  <c r="BC181" i="2"/>
  <c r="BA181" i="2"/>
  <c r="AZ181" i="2"/>
  <c r="AX181" i="2"/>
  <c r="AW181" i="2"/>
  <c r="AV181" i="2" s="1"/>
  <c r="AT181" i="2"/>
  <c r="AS181" i="2" s="1"/>
  <c r="AQ181" i="2"/>
  <c r="AO181" i="2"/>
  <c r="AN181" i="2"/>
  <c r="AL181" i="2"/>
  <c r="AJ181" i="2"/>
  <c r="AG181" i="2"/>
  <c r="AD181" i="2"/>
  <c r="AA181" i="2"/>
  <c r="X181" i="2"/>
  <c r="U181" i="2"/>
  <c r="R181" i="2"/>
  <c r="O181" i="2"/>
  <c r="L181" i="2"/>
  <c r="I181" i="2"/>
  <c r="F181" i="2"/>
  <c r="AL177" i="2"/>
  <c r="AK177" i="2"/>
  <c r="AJ177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H177" i="2"/>
  <c r="G177" i="2"/>
  <c r="F177" i="2"/>
  <c r="E177" i="2"/>
  <c r="BG175" i="2"/>
  <c r="BD175" i="2"/>
  <c r="BA175" i="2"/>
  <c r="AX175" i="2"/>
  <c r="AU175" i="2"/>
  <c r="AR175" i="2"/>
  <c r="AO175" i="2"/>
  <c r="AL175" i="2"/>
  <c r="AI175" i="2"/>
  <c r="BL165" i="2"/>
  <c r="BI165" i="2"/>
  <c r="BG165" i="2"/>
  <c r="BF165" i="2"/>
  <c r="BD165" i="2"/>
  <c r="BC165" i="2"/>
  <c r="BA165" i="2"/>
  <c r="AZ165" i="2"/>
  <c r="AX165" i="2"/>
  <c r="AW165" i="2"/>
  <c r="AU165" i="2"/>
  <c r="AT165" i="2"/>
  <c r="AR165" i="2"/>
  <c r="AQ165" i="2"/>
  <c r="AO165" i="2"/>
  <c r="AN165" i="2"/>
  <c r="AL165" i="2"/>
  <c r="AK165" i="2"/>
  <c r="AI165" i="2"/>
  <c r="AH165" i="2"/>
  <c r="AF165" i="2"/>
  <c r="AE165" i="2"/>
  <c r="AC165" i="2"/>
  <c r="AB165" i="2"/>
  <c r="Z165" i="2"/>
  <c r="Y165" i="2"/>
  <c r="W165" i="2"/>
  <c r="V165" i="2"/>
  <c r="T165" i="2"/>
  <c r="S165" i="2"/>
  <c r="Q165" i="2"/>
  <c r="P165" i="2"/>
  <c r="N165" i="2"/>
  <c r="M165" i="2"/>
  <c r="K165" i="2"/>
  <c r="J165" i="2"/>
  <c r="H165" i="2"/>
  <c r="G165" i="2"/>
  <c r="E165" i="2"/>
  <c r="BL150" i="2"/>
  <c r="BI150" i="2"/>
  <c r="BG150" i="2"/>
  <c r="BF150" i="2"/>
  <c r="BD150" i="2"/>
  <c r="BC150" i="2"/>
  <c r="BA150" i="2"/>
  <c r="AZ150" i="2"/>
  <c r="AX150" i="2"/>
  <c r="AW150" i="2"/>
  <c r="AU150" i="2"/>
  <c r="AT150" i="2"/>
  <c r="AR150" i="2"/>
  <c r="AQ150" i="2"/>
  <c r="AO150" i="2"/>
  <c r="AN150" i="2"/>
  <c r="AL150" i="2"/>
  <c r="AL148" i="2"/>
  <c r="AK148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H148" i="2"/>
  <c r="G148" i="2"/>
  <c r="F148" i="2"/>
  <c r="E148" i="2"/>
  <c r="BP145" i="2"/>
  <c r="BS145" i="2" s="1"/>
  <c r="BV145" i="2" s="1"/>
  <c r="BN145" i="2"/>
  <c r="BL145" i="2"/>
  <c r="BK145" i="2" s="1"/>
  <c r="BH145" i="2"/>
  <c r="BE145" i="2"/>
  <c r="BB145" i="2"/>
  <c r="AY145" i="2"/>
  <c r="AV145" i="2"/>
  <c r="AS145" i="2"/>
  <c r="AP145" i="2"/>
  <c r="AM145" i="2"/>
  <c r="AJ145" i="2"/>
  <c r="AG145" i="2"/>
  <c r="AD145" i="2"/>
  <c r="AA145" i="2"/>
  <c r="X145" i="2"/>
  <c r="U145" i="2"/>
  <c r="R145" i="2"/>
  <c r="O145" i="2"/>
  <c r="L145" i="2"/>
  <c r="I145" i="2"/>
  <c r="F145" i="2"/>
  <c r="DR144" i="2"/>
  <c r="DQ144" i="2"/>
  <c r="DO144" i="2"/>
  <c r="DN144" i="2"/>
  <c r="DL144" i="2"/>
  <c r="DK144" i="2"/>
  <c r="DI144" i="2"/>
  <c r="DH144" i="2"/>
  <c r="DF144" i="2"/>
  <c r="DE144" i="2"/>
  <c r="DB144" i="2"/>
  <c r="CZ144" i="2"/>
  <c r="CV144" i="2"/>
  <c r="CP144" i="2"/>
  <c r="CN144" i="2"/>
  <c r="CM144" i="2"/>
  <c r="CK144" i="2"/>
  <c r="CJ144" i="2"/>
  <c r="CH144" i="2"/>
  <c r="CG144" i="2"/>
  <c r="CD144" i="2"/>
  <c r="CB144" i="2"/>
  <c r="CA144" i="2"/>
  <c r="BX144" i="2"/>
  <c r="BV144" i="2"/>
  <c r="BU144" i="2"/>
  <c r="BS144" i="2"/>
  <c r="BR144" i="2"/>
  <c r="BP144" i="2"/>
  <c r="BO144" i="2"/>
  <c r="BM144" i="2"/>
  <c r="BL144" i="2"/>
  <c r="BJ144" i="2"/>
  <c r="BI144" i="2"/>
  <c r="BC144" i="2"/>
  <c r="BA144" i="2"/>
  <c r="AZ144" i="2"/>
  <c r="AX144" i="2"/>
  <c r="AW144" i="2"/>
  <c r="AU144" i="2"/>
  <c r="AT144" i="2"/>
  <c r="AR144" i="2"/>
  <c r="AQ144" i="2"/>
  <c r="AO144" i="2"/>
  <c r="AN144" i="2"/>
  <c r="AL144" i="2"/>
  <c r="AK144" i="2"/>
  <c r="AI144" i="2"/>
  <c r="AH144" i="2"/>
  <c r="AF144" i="2"/>
  <c r="AE144" i="2"/>
  <c r="AC144" i="2"/>
  <c r="AB144" i="2"/>
  <c r="Z144" i="2"/>
  <c r="Y144" i="2"/>
  <c r="W144" i="2"/>
  <c r="V144" i="2"/>
  <c r="T144" i="2"/>
  <c r="S144" i="2"/>
  <c r="Q144" i="2"/>
  <c r="P144" i="2"/>
  <c r="N144" i="2"/>
  <c r="M144" i="2"/>
  <c r="K144" i="2"/>
  <c r="J144" i="2"/>
  <c r="H144" i="2"/>
  <c r="G144" i="2"/>
  <c r="E144" i="2"/>
  <c r="BI142" i="2"/>
  <c r="G142" i="2"/>
  <c r="BP138" i="2"/>
  <c r="BR138" i="2" s="1"/>
  <c r="BN138" i="2"/>
  <c r="BK138" i="2"/>
  <c r="BH138" i="2"/>
  <c r="BE138" i="2"/>
  <c r="BB138" i="2"/>
  <c r="AY138" i="2"/>
  <c r="AV138" i="2"/>
  <c r="AS138" i="2"/>
  <c r="AP138" i="2"/>
  <c r="AM138" i="2"/>
  <c r="AJ138" i="2"/>
  <c r="AG138" i="2"/>
  <c r="AD138" i="2"/>
  <c r="AA138" i="2"/>
  <c r="X138" i="2"/>
  <c r="U138" i="2"/>
  <c r="R138" i="2"/>
  <c r="O138" i="2"/>
  <c r="L138" i="2"/>
  <c r="I138" i="2"/>
  <c r="F138" i="2"/>
  <c r="EQ137" i="2"/>
  <c r="EN137" i="2"/>
  <c r="EK137" i="2"/>
  <c r="EH137" i="2"/>
  <c r="EE137" i="2"/>
  <c r="EB137" i="2"/>
  <c r="DY137" i="2"/>
  <c r="DS137" i="2"/>
  <c r="DP137" i="2"/>
  <c r="DM137" i="2"/>
  <c r="DJ137" i="2"/>
  <c r="DG137" i="2"/>
  <c r="DD137" i="2"/>
  <c r="DA137" i="2"/>
  <c r="CX137" i="2"/>
  <c r="CU137" i="2"/>
  <c r="CR137" i="2"/>
  <c r="CO137" i="2"/>
  <c r="CL137" i="2"/>
  <c r="CI137" i="2"/>
  <c r="CF137" i="2"/>
  <c r="CC137" i="2"/>
  <c r="BZ137" i="2"/>
  <c r="BW137" i="2"/>
  <c r="BT137" i="2"/>
  <c r="BQ137" i="2"/>
  <c r="BN137" i="2"/>
  <c r="BK137" i="2"/>
  <c r="BH137" i="2"/>
  <c r="BE137" i="2"/>
  <c r="BB137" i="2"/>
  <c r="AY137" i="2"/>
  <c r="AV137" i="2"/>
  <c r="AS137" i="2"/>
  <c r="AP137" i="2"/>
  <c r="AM137" i="2"/>
  <c r="AJ137" i="2"/>
  <c r="AG137" i="2"/>
  <c r="AD137" i="2"/>
  <c r="AA137" i="2"/>
  <c r="X137" i="2"/>
  <c r="U137" i="2"/>
  <c r="R137" i="2"/>
  <c r="O137" i="2"/>
  <c r="L137" i="2"/>
  <c r="I137" i="2"/>
  <c r="F137" i="2"/>
  <c r="EQ136" i="2"/>
  <c r="EN136" i="2"/>
  <c r="EK136" i="2"/>
  <c r="EH136" i="2"/>
  <c r="EE136" i="2"/>
  <c r="EB136" i="2"/>
  <c r="DY136" i="2"/>
  <c r="DS136" i="2"/>
  <c r="DP136" i="2"/>
  <c r="DM136" i="2"/>
  <c r="DJ136" i="2"/>
  <c r="DG136" i="2"/>
  <c r="DD136" i="2"/>
  <c r="DA136" i="2"/>
  <c r="CX136" i="2"/>
  <c r="CU136" i="2"/>
  <c r="CR136" i="2"/>
  <c r="CO136" i="2"/>
  <c r="CL136" i="2"/>
  <c r="CI136" i="2"/>
  <c r="CF136" i="2"/>
  <c r="CC136" i="2"/>
  <c r="BZ136" i="2"/>
  <c r="BW136" i="2"/>
  <c r="BT136" i="2"/>
  <c r="BQ136" i="2"/>
  <c r="BN136" i="2"/>
  <c r="BK136" i="2"/>
  <c r="BH136" i="2"/>
  <c r="BE136" i="2"/>
  <c r="BB136" i="2"/>
  <c r="AY136" i="2"/>
  <c r="AV136" i="2"/>
  <c r="AS136" i="2"/>
  <c r="AP136" i="2"/>
  <c r="AM136" i="2"/>
  <c r="AJ136" i="2"/>
  <c r="AG136" i="2"/>
  <c r="AD136" i="2"/>
  <c r="AA136" i="2"/>
  <c r="X136" i="2"/>
  <c r="U136" i="2"/>
  <c r="R136" i="2"/>
  <c r="O136" i="2"/>
  <c r="L136" i="2"/>
  <c r="I136" i="2"/>
  <c r="F136" i="2"/>
  <c r="EQ135" i="2"/>
  <c r="EN135" i="2"/>
  <c r="EK135" i="2"/>
  <c r="EH135" i="2"/>
  <c r="EE135" i="2"/>
  <c r="EB135" i="2"/>
  <c r="DY135" i="2"/>
  <c r="DS135" i="2"/>
  <c r="DP135" i="2"/>
  <c r="DM135" i="2"/>
  <c r="DJ135" i="2"/>
  <c r="DG135" i="2"/>
  <c r="DD135" i="2"/>
  <c r="DA135" i="2"/>
  <c r="CX135" i="2"/>
  <c r="CU135" i="2"/>
  <c r="CR135" i="2"/>
  <c r="CO135" i="2"/>
  <c r="CL135" i="2"/>
  <c r="CI135" i="2"/>
  <c r="CF135" i="2"/>
  <c r="CC135" i="2"/>
  <c r="BZ135" i="2"/>
  <c r="BW135" i="2"/>
  <c r="BT135" i="2"/>
  <c r="BQ135" i="2"/>
  <c r="BN135" i="2"/>
  <c r="BK135" i="2"/>
  <c r="BH135" i="2"/>
  <c r="BE135" i="2"/>
  <c r="BB135" i="2"/>
  <c r="AY135" i="2"/>
  <c r="AV135" i="2"/>
  <c r="AS135" i="2"/>
  <c r="AP135" i="2"/>
  <c r="AM135" i="2"/>
  <c r="AJ135" i="2"/>
  <c r="AG135" i="2"/>
  <c r="AD135" i="2"/>
  <c r="AA135" i="2"/>
  <c r="X135" i="2"/>
  <c r="U135" i="2"/>
  <c r="R135" i="2"/>
  <c r="O135" i="2"/>
  <c r="L135" i="2"/>
  <c r="I135" i="2"/>
  <c r="F135" i="2"/>
  <c r="EQ134" i="2"/>
  <c r="EN134" i="2"/>
  <c r="EK134" i="2"/>
  <c r="EH134" i="2"/>
  <c r="EE134" i="2"/>
  <c r="EB134" i="2"/>
  <c r="DY134" i="2"/>
  <c r="DS134" i="2"/>
  <c r="DP134" i="2"/>
  <c r="DM134" i="2"/>
  <c r="DJ134" i="2"/>
  <c r="DG134" i="2"/>
  <c r="DD134" i="2"/>
  <c r="DA134" i="2"/>
  <c r="CX134" i="2"/>
  <c r="CU134" i="2"/>
  <c r="CR134" i="2"/>
  <c r="CO134" i="2"/>
  <c r="CL134" i="2"/>
  <c r="CI134" i="2"/>
  <c r="CF134" i="2"/>
  <c r="CC134" i="2"/>
  <c r="BZ134" i="2"/>
  <c r="BW134" i="2"/>
  <c r="BT134" i="2"/>
  <c r="BQ134" i="2"/>
  <c r="BN134" i="2"/>
  <c r="BK134" i="2"/>
  <c r="BH134" i="2"/>
  <c r="BE134" i="2"/>
  <c r="BB134" i="2"/>
  <c r="AY134" i="2"/>
  <c r="AV134" i="2"/>
  <c r="AS134" i="2"/>
  <c r="AP134" i="2"/>
  <c r="AM134" i="2"/>
  <c r="AJ134" i="2"/>
  <c r="AG134" i="2"/>
  <c r="AD134" i="2"/>
  <c r="AA134" i="2"/>
  <c r="X134" i="2"/>
  <c r="U134" i="2"/>
  <c r="R134" i="2"/>
  <c r="O134" i="2"/>
  <c r="L134" i="2"/>
  <c r="I134" i="2"/>
  <c r="F134" i="2"/>
  <c r="EQ133" i="2"/>
  <c r="EN133" i="2"/>
  <c r="EK133" i="2"/>
  <c r="EH133" i="2"/>
  <c r="EE133" i="2"/>
  <c r="EB133" i="2"/>
  <c r="DY133" i="2"/>
  <c r="DS133" i="2"/>
  <c r="DP133" i="2"/>
  <c r="DM133" i="2"/>
  <c r="DJ133" i="2"/>
  <c r="DG133" i="2"/>
  <c r="DD133" i="2"/>
  <c r="DA133" i="2"/>
  <c r="CX133" i="2"/>
  <c r="CU133" i="2"/>
  <c r="CR133" i="2"/>
  <c r="CO133" i="2"/>
  <c r="CL133" i="2"/>
  <c r="CI133" i="2"/>
  <c r="CF133" i="2"/>
  <c r="CC133" i="2"/>
  <c r="BZ133" i="2"/>
  <c r="BW133" i="2"/>
  <c r="BT133" i="2"/>
  <c r="BQ133" i="2"/>
  <c r="BN133" i="2"/>
  <c r="BK133" i="2"/>
  <c r="BH133" i="2"/>
  <c r="BE133" i="2"/>
  <c r="BB133" i="2"/>
  <c r="AY133" i="2"/>
  <c r="AV133" i="2"/>
  <c r="AS133" i="2"/>
  <c r="AP133" i="2"/>
  <c r="AM133" i="2"/>
  <c r="AJ133" i="2"/>
  <c r="AG133" i="2"/>
  <c r="AD133" i="2"/>
  <c r="AA133" i="2"/>
  <c r="X133" i="2"/>
  <c r="U133" i="2"/>
  <c r="R133" i="2"/>
  <c r="O133" i="2"/>
  <c r="L133" i="2"/>
  <c r="I133" i="2"/>
  <c r="F133" i="2"/>
  <c r="EQ132" i="2"/>
  <c r="EN132" i="2"/>
  <c r="EK132" i="2"/>
  <c r="EH132" i="2"/>
  <c r="EE132" i="2"/>
  <c r="EB132" i="2"/>
  <c r="DY132" i="2"/>
  <c r="DS132" i="2"/>
  <c r="DP132" i="2"/>
  <c r="DM132" i="2"/>
  <c r="DJ132" i="2"/>
  <c r="DG132" i="2"/>
  <c r="DD132" i="2"/>
  <c r="DA132" i="2"/>
  <c r="CX132" i="2"/>
  <c r="CU132" i="2"/>
  <c r="CR132" i="2"/>
  <c r="CO132" i="2"/>
  <c r="CL132" i="2"/>
  <c r="CI132" i="2"/>
  <c r="CF132" i="2"/>
  <c r="CC132" i="2"/>
  <c r="BZ132" i="2"/>
  <c r="BW132" i="2"/>
  <c r="BT132" i="2"/>
  <c r="BQ132" i="2"/>
  <c r="BN132" i="2"/>
  <c r="BK132" i="2"/>
  <c r="BH132" i="2"/>
  <c r="BE132" i="2"/>
  <c r="BB132" i="2"/>
  <c r="AY132" i="2"/>
  <c r="AV132" i="2"/>
  <c r="AS132" i="2"/>
  <c r="AP132" i="2"/>
  <c r="AM132" i="2"/>
  <c r="AJ132" i="2"/>
  <c r="AG132" i="2"/>
  <c r="AD132" i="2"/>
  <c r="AA132" i="2"/>
  <c r="X132" i="2"/>
  <c r="U132" i="2"/>
  <c r="R132" i="2"/>
  <c r="O132" i="2"/>
  <c r="L132" i="2"/>
  <c r="I132" i="2"/>
  <c r="F132" i="2"/>
  <c r="EQ131" i="2"/>
  <c r="EN131" i="2"/>
  <c r="EK131" i="2"/>
  <c r="EH131" i="2"/>
  <c r="EE131" i="2"/>
  <c r="EB131" i="2"/>
  <c r="DY131" i="2"/>
  <c r="DS131" i="2"/>
  <c r="DP131" i="2"/>
  <c r="DM131" i="2"/>
  <c r="DJ131" i="2"/>
  <c r="DG131" i="2"/>
  <c r="DD131" i="2"/>
  <c r="DA131" i="2"/>
  <c r="CX131" i="2"/>
  <c r="CU131" i="2"/>
  <c r="CR131" i="2"/>
  <c r="CO131" i="2"/>
  <c r="CL131" i="2"/>
  <c r="CI131" i="2"/>
  <c r="CF131" i="2"/>
  <c r="CC131" i="2"/>
  <c r="BZ131" i="2"/>
  <c r="BW131" i="2"/>
  <c r="BT131" i="2"/>
  <c r="BQ131" i="2"/>
  <c r="BN131" i="2"/>
  <c r="BK131" i="2"/>
  <c r="BH131" i="2"/>
  <c r="BE131" i="2"/>
  <c r="BB131" i="2"/>
  <c r="AY131" i="2"/>
  <c r="AV131" i="2"/>
  <c r="AS131" i="2"/>
  <c r="AP131" i="2"/>
  <c r="AM131" i="2"/>
  <c r="AJ131" i="2"/>
  <c r="AG131" i="2"/>
  <c r="AD131" i="2"/>
  <c r="AA131" i="2"/>
  <c r="X131" i="2"/>
  <c r="U131" i="2"/>
  <c r="R131" i="2"/>
  <c r="O131" i="2"/>
  <c r="L131" i="2"/>
  <c r="I131" i="2"/>
  <c r="F131" i="2"/>
  <c r="EQ130" i="2"/>
  <c r="EN130" i="2"/>
  <c r="EK130" i="2"/>
  <c r="EH130" i="2"/>
  <c r="EE130" i="2"/>
  <c r="EB130" i="2"/>
  <c r="DY130" i="2"/>
  <c r="DS130" i="2"/>
  <c r="DP130" i="2"/>
  <c r="DM130" i="2"/>
  <c r="DJ130" i="2"/>
  <c r="DG130" i="2"/>
  <c r="DD130" i="2"/>
  <c r="DA130" i="2"/>
  <c r="CX130" i="2"/>
  <c r="CU130" i="2"/>
  <c r="CR130" i="2"/>
  <c r="CO130" i="2"/>
  <c r="CL130" i="2"/>
  <c r="CI130" i="2"/>
  <c r="CF130" i="2"/>
  <c r="CC130" i="2"/>
  <c r="BZ130" i="2"/>
  <c r="BW130" i="2"/>
  <c r="BT130" i="2"/>
  <c r="BQ130" i="2"/>
  <c r="BN130" i="2"/>
  <c r="BK130" i="2"/>
  <c r="BH130" i="2"/>
  <c r="BE130" i="2"/>
  <c r="BB130" i="2"/>
  <c r="AY130" i="2"/>
  <c r="AV130" i="2"/>
  <c r="AS130" i="2"/>
  <c r="AP130" i="2"/>
  <c r="AM130" i="2"/>
  <c r="AJ130" i="2"/>
  <c r="AG130" i="2"/>
  <c r="AD130" i="2"/>
  <c r="AA130" i="2"/>
  <c r="X130" i="2"/>
  <c r="U130" i="2"/>
  <c r="R130" i="2"/>
  <c r="O130" i="2"/>
  <c r="L130" i="2"/>
  <c r="I130" i="2"/>
  <c r="F130" i="2"/>
  <c r="EQ129" i="2"/>
  <c r="EN129" i="2"/>
  <c r="EK129" i="2"/>
  <c r="EH129" i="2"/>
  <c r="EE129" i="2"/>
  <c r="EB129" i="2"/>
  <c r="DY129" i="2"/>
  <c r="DS129" i="2"/>
  <c r="DP129" i="2"/>
  <c r="DM129" i="2"/>
  <c r="DJ129" i="2"/>
  <c r="DG129" i="2"/>
  <c r="DD129" i="2"/>
  <c r="DA129" i="2"/>
  <c r="CX129" i="2"/>
  <c r="CU129" i="2"/>
  <c r="CR129" i="2"/>
  <c r="CO129" i="2"/>
  <c r="CL129" i="2"/>
  <c r="CI129" i="2"/>
  <c r="CF129" i="2"/>
  <c r="CC129" i="2"/>
  <c r="BZ129" i="2"/>
  <c r="BW129" i="2"/>
  <c r="BT129" i="2"/>
  <c r="BQ129" i="2"/>
  <c r="BN129" i="2"/>
  <c r="BK129" i="2"/>
  <c r="BH129" i="2"/>
  <c r="BE129" i="2"/>
  <c r="BB129" i="2"/>
  <c r="AY129" i="2"/>
  <c r="AV129" i="2"/>
  <c r="AS129" i="2"/>
  <c r="AP129" i="2"/>
  <c r="AM129" i="2"/>
  <c r="AJ129" i="2"/>
  <c r="AG129" i="2"/>
  <c r="AD129" i="2"/>
  <c r="AA129" i="2"/>
  <c r="X129" i="2"/>
  <c r="U129" i="2"/>
  <c r="R129" i="2"/>
  <c r="O129" i="2"/>
  <c r="L129" i="2"/>
  <c r="I129" i="2"/>
  <c r="F129" i="2"/>
  <c r="EQ128" i="2"/>
  <c r="EN128" i="2"/>
  <c r="EK128" i="2"/>
  <c r="EH128" i="2"/>
  <c r="EE128" i="2"/>
  <c r="EB128" i="2"/>
  <c r="DY128" i="2"/>
  <c r="DS128" i="2"/>
  <c r="DP128" i="2"/>
  <c r="DM128" i="2"/>
  <c r="DJ128" i="2"/>
  <c r="DG128" i="2"/>
  <c r="DD128" i="2"/>
  <c r="DA128" i="2"/>
  <c r="CX128" i="2"/>
  <c r="CU128" i="2"/>
  <c r="CR128" i="2"/>
  <c r="CO128" i="2"/>
  <c r="CL128" i="2"/>
  <c r="CI128" i="2"/>
  <c r="CF128" i="2"/>
  <c r="CC128" i="2"/>
  <c r="BZ128" i="2"/>
  <c r="BW128" i="2"/>
  <c r="BT128" i="2"/>
  <c r="BQ128" i="2"/>
  <c r="BN128" i="2"/>
  <c r="BK128" i="2"/>
  <c r="BH128" i="2"/>
  <c r="BE128" i="2"/>
  <c r="BB128" i="2"/>
  <c r="AY128" i="2"/>
  <c r="AV128" i="2"/>
  <c r="AS128" i="2"/>
  <c r="AP128" i="2"/>
  <c r="AM128" i="2"/>
  <c r="AJ128" i="2"/>
  <c r="AG128" i="2"/>
  <c r="AD128" i="2"/>
  <c r="AA128" i="2"/>
  <c r="X128" i="2"/>
  <c r="U128" i="2"/>
  <c r="R128" i="2"/>
  <c r="O128" i="2"/>
  <c r="L128" i="2"/>
  <c r="I128" i="2"/>
  <c r="F128" i="2"/>
  <c r="EQ127" i="2"/>
  <c r="EN127" i="2"/>
  <c r="EK127" i="2"/>
  <c r="EH127" i="2"/>
  <c r="EE127" i="2"/>
  <c r="EB127" i="2"/>
  <c r="DY127" i="2"/>
  <c r="DS127" i="2"/>
  <c r="DP127" i="2"/>
  <c r="DM127" i="2"/>
  <c r="DJ127" i="2"/>
  <c r="DG127" i="2"/>
  <c r="DD127" i="2"/>
  <c r="DA127" i="2"/>
  <c r="CX127" i="2"/>
  <c r="CU127" i="2"/>
  <c r="CR127" i="2"/>
  <c r="CO127" i="2"/>
  <c r="CL127" i="2"/>
  <c r="CI127" i="2"/>
  <c r="CF127" i="2"/>
  <c r="CC127" i="2"/>
  <c r="BZ127" i="2"/>
  <c r="BW127" i="2"/>
  <c r="BT127" i="2"/>
  <c r="BQ127" i="2"/>
  <c r="BN127" i="2"/>
  <c r="BK127" i="2"/>
  <c r="BH127" i="2"/>
  <c r="BE127" i="2"/>
  <c r="BB127" i="2"/>
  <c r="AY127" i="2"/>
  <c r="AV127" i="2"/>
  <c r="AS127" i="2"/>
  <c r="AP127" i="2"/>
  <c r="AM127" i="2"/>
  <c r="AJ127" i="2"/>
  <c r="AG127" i="2"/>
  <c r="AD127" i="2"/>
  <c r="AA127" i="2"/>
  <c r="X127" i="2"/>
  <c r="U127" i="2"/>
  <c r="R127" i="2"/>
  <c r="O127" i="2"/>
  <c r="L127" i="2"/>
  <c r="I127" i="2"/>
  <c r="F127" i="2"/>
  <c r="EQ126" i="2"/>
  <c r="EN126" i="2"/>
  <c r="EK126" i="2"/>
  <c r="EH126" i="2"/>
  <c r="EE126" i="2"/>
  <c r="EB126" i="2"/>
  <c r="DY126" i="2"/>
  <c r="DS126" i="2"/>
  <c r="DP126" i="2"/>
  <c r="DM126" i="2"/>
  <c r="DJ126" i="2"/>
  <c r="DG126" i="2"/>
  <c r="DD126" i="2"/>
  <c r="DA126" i="2"/>
  <c r="CX126" i="2"/>
  <c r="CU126" i="2"/>
  <c r="CR126" i="2"/>
  <c r="CO126" i="2"/>
  <c r="CL126" i="2"/>
  <c r="CI126" i="2"/>
  <c r="CF126" i="2"/>
  <c r="CC126" i="2"/>
  <c r="BZ126" i="2"/>
  <c r="BW126" i="2"/>
  <c r="BT126" i="2"/>
  <c r="BQ126" i="2"/>
  <c r="BN126" i="2"/>
  <c r="BK126" i="2"/>
  <c r="BH126" i="2"/>
  <c r="BE126" i="2"/>
  <c r="BB126" i="2"/>
  <c r="AY126" i="2"/>
  <c r="AV126" i="2"/>
  <c r="AS126" i="2"/>
  <c r="AP126" i="2"/>
  <c r="AM126" i="2"/>
  <c r="AJ126" i="2"/>
  <c r="AG126" i="2"/>
  <c r="AD126" i="2"/>
  <c r="AA126" i="2"/>
  <c r="X126" i="2"/>
  <c r="U126" i="2"/>
  <c r="R126" i="2"/>
  <c r="O126" i="2"/>
  <c r="L126" i="2"/>
  <c r="I126" i="2"/>
  <c r="F126" i="2"/>
  <c r="EQ125" i="2"/>
  <c r="EN125" i="2"/>
  <c r="EK125" i="2"/>
  <c r="EH125" i="2"/>
  <c r="EE125" i="2"/>
  <c r="EB125" i="2"/>
  <c r="DY125" i="2"/>
  <c r="DS125" i="2"/>
  <c r="DP125" i="2"/>
  <c r="DM125" i="2"/>
  <c r="DJ125" i="2"/>
  <c r="DG125" i="2"/>
  <c r="DD125" i="2"/>
  <c r="DA125" i="2"/>
  <c r="CX125" i="2"/>
  <c r="CU125" i="2"/>
  <c r="CR125" i="2"/>
  <c r="CO125" i="2"/>
  <c r="CL125" i="2"/>
  <c r="CI125" i="2"/>
  <c r="CF125" i="2"/>
  <c r="CC125" i="2"/>
  <c r="BZ125" i="2"/>
  <c r="BW125" i="2"/>
  <c r="BT125" i="2"/>
  <c r="BQ125" i="2"/>
  <c r="BN125" i="2"/>
  <c r="BK125" i="2"/>
  <c r="BH125" i="2"/>
  <c r="BE125" i="2"/>
  <c r="BB125" i="2"/>
  <c r="AY125" i="2"/>
  <c r="AV125" i="2"/>
  <c r="AS125" i="2"/>
  <c r="AP125" i="2"/>
  <c r="AM125" i="2"/>
  <c r="AJ125" i="2"/>
  <c r="AG125" i="2"/>
  <c r="AD125" i="2"/>
  <c r="AA125" i="2"/>
  <c r="X125" i="2"/>
  <c r="U125" i="2"/>
  <c r="R125" i="2"/>
  <c r="O125" i="2"/>
  <c r="L125" i="2"/>
  <c r="I125" i="2"/>
  <c r="F125" i="2"/>
  <c r="EQ124" i="2"/>
  <c r="EN124" i="2"/>
  <c r="EK124" i="2"/>
  <c r="EH124" i="2"/>
  <c r="EE124" i="2"/>
  <c r="EB124" i="2"/>
  <c r="DY124" i="2"/>
  <c r="DS124" i="2"/>
  <c r="DP124" i="2"/>
  <c r="DM124" i="2"/>
  <c r="DJ124" i="2"/>
  <c r="DG124" i="2"/>
  <c r="DD124" i="2"/>
  <c r="DA124" i="2"/>
  <c r="CX124" i="2"/>
  <c r="CU124" i="2"/>
  <c r="CR124" i="2"/>
  <c r="CO124" i="2"/>
  <c r="CL124" i="2"/>
  <c r="CI124" i="2"/>
  <c r="CF124" i="2"/>
  <c r="CC124" i="2"/>
  <c r="BZ124" i="2"/>
  <c r="BW124" i="2"/>
  <c r="BT124" i="2"/>
  <c r="BQ124" i="2"/>
  <c r="BN124" i="2"/>
  <c r="BK124" i="2"/>
  <c r="BH124" i="2"/>
  <c r="BE124" i="2"/>
  <c r="BB124" i="2"/>
  <c r="AY124" i="2"/>
  <c r="AV124" i="2"/>
  <c r="AS124" i="2"/>
  <c r="AP124" i="2"/>
  <c r="AM124" i="2"/>
  <c r="AJ124" i="2"/>
  <c r="AG124" i="2"/>
  <c r="AD124" i="2"/>
  <c r="AA124" i="2"/>
  <c r="X124" i="2"/>
  <c r="U124" i="2"/>
  <c r="R124" i="2"/>
  <c r="O124" i="2"/>
  <c r="L124" i="2"/>
  <c r="I124" i="2"/>
  <c r="F124" i="2"/>
  <c r="EQ123" i="2"/>
  <c r="EN123" i="2"/>
  <c r="EK123" i="2"/>
  <c r="EH123" i="2"/>
  <c r="EE123" i="2"/>
  <c r="EB123" i="2"/>
  <c r="DY123" i="2"/>
  <c r="DS123" i="2"/>
  <c r="DP123" i="2"/>
  <c r="DM123" i="2"/>
  <c r="DJ123" i="2"/>
  <c r="DG123" i="2"/>
  <c r="DD123" i="2"/>
  <c r="DA123" i="2"/>
  <c r="CX123" i="2"/>
  <c r="CU123" i="2"/>
  <c r="CR123" i="2"/>
  <c r="CO123" i="2"/>
  <c r="CL123" i="2"/>
  <c r="CI123" i="2"/>
  <c r="CF123" i="2"/>
  <c r="CC123" i="2"/>
  <c r="BZ123" i="2"/>
  <c r="BW123" i="2"/>
  <c r="BT123" i="2"/>
  <c r="BQ123" i="2"/>
  <c r="BN123" i="2"/>
  <c r="BK123" i="2"/>
  <c r="BH123" i="2"/>
  <c r="BE123" i="2"/>
  <c r="BB123" i="2"/>
  <c r="AY123" i="2"/>
  <c r="AV123" i="2"/>
  <c r="AS123" i="2"/>
  <c r="AP123" i="2"/>
  <c r="AM123" i="2"/>
  <c r="AJ123" i="2"/>
  <c r="AG123" i="2"/>
  <c r="AD123" i="2"/>
  <c r="AA123" i="2"/>
  <c r="X123" i="2"/>
  <c r="U123" i="2"/>
  <c r="R123" i="2"/>
  <c r="O123" i="2"/>
  <c r="L123" i="2"/>
  <c r="I123" i="2"/>
  <c r="F123" i="2"/>
  <c r="EQ122" i="2"/>
  <c r="EN122" i="2"/>
  <c r="EK122" i="2"/>
  <c r="EH122" i="2"/>
  <c r="EE122" i="2"/>
  <c r="EB122" i="2"/>
  <c r="DY122" i="2"/>
  <c r="DS122" i="2"/>
  <c r="DP122" i="2"/>
  <c r="DM122" i="2"/>
  <c r="DJ122" i="2"/>
  <c r="DG122" i="2"/>
  <c r="DD122" i="2"/>
  <c r="DA122" i="2"/>
  <c r="CX122" i="2"/>
  <c r="CU122" i="2"/>
  <c r="CR122" i="2"/>
  <c r="CO122" i="2"/>
  <c r="CL122" i="2"/>
  <c r="CI122" i="2"/>
  <c r="CF122" i="2"/>
  <c r="CC122" i="2"/>
  <c r="BZ122" i="2"/>
  <c r="BW122" i="2"/>
  <c r="BT122" i="2"/>
  <c r="BQ122" i="2"/>
  <c r="BN122" i="2"/>
  <c r="BK122" i="2"/>
  <c r="BH122" i="2"/>
  <c r="BE122" i="2"/>
  <c r="BB122" i="2"/>
  <c r="AY122" i="2"/>
  <c r="AV122" i="2"/>
  <c r="AS122" i="2"/>
  <c r="AP122" i="2"/>
  <c r="AM122" i="2"/>
  <c r="AJ122" i="2"/>
  <c r="AG122" i="2"/>
  <c r="AD122" i="2"/>
  <c r="AA122" i="2"/>
  <c r="X122" i="2"/>
  <c r="U122" i="2"/>
  <c r="R122" i="2"/>
  <c r="O122" i="2"/>
  <c r="L122" i="2"/>
  <c r="I122" i="2"/>
  <c r="F122" i="2"/>
  <c r="EQ121" i="2"/>
  <c r="EN121" i="2"/>
  <c r="EK121" i="2"/>
  <c r="EH121" i="2"/>
  <c r="EE121" i="2"/>
  <c r="EB121" i="2"/>
  <c r="DY121" i="2"/>
  <c r="DS121" i="2"/>
  <c r="DP121" i="2"/>
  <c r="DM121" i="2"/>
  <c r="DJ121" i="2"/>
  <c r="DG121" i="2"/>
  <c r="DD121" i="2"/>
  <c r="DA121" i="2"/>
  <c r="CX121" i="2"/>
  <c r="CU121" i="2"/>
  <c r="CR121" i="2"/>
  <c r="CO121" i="2"/>
  <c r="CL121" i="2"/>
  <c r="CI121" i="2"/>
  <c r="CF121" i="2"/>
  <c r="CC121" i="2"/>
  <c r="BZ121" i="2"/>
  <c r="BW121" i="2"/>
  <c r="BT121" i="2"/>
  <c r="BQ121" i="2"/>
  <c r="BN121" i="2"/>
  <c r="BK121" i="2"/>
  <c r="BH121" i="2"/>
  <c r="BE121" i="2"/>
  <c r="BB121" i="2"/>
  <c r="AY121" i="2"/>
  <c r="AV121" i="2"/>
  <c r="AS121" i="2"/>
  <c r="AP121" i="2"/>
  <c r="AM121" i="2"/>
  <c r="AJ121" i="2"/>
  <c r="AG121" i="2"/>
  <c r="AD121" i="2"/>
  <c r="AA121" i="2"/>
  <c r="X121" i="2"/>
  <c r="U121" i="2"/>
  <c r="R121" i="2"/>
  <c r="O121" i="2"/>
  <c r="L121" i="2"/>
  <c r="I121" i="2"/>
  <c r="F121" i="2"/>
  <c r="EQ120" i="2"/>
  <c r="EN120" i="2"/>
  <c r="EK120" i="2"/>
  <c r="EH120" i="2"/>
  <c r="EE120" i="2"/>
  <c r="EB120" i="2"/>
  <c r="DY120" i="2"/>
  <c r="DS120" i="2"/>
  <c r="DP120" i="2"/>
  <c r="DM120" i="2"/>
  <c r="DJ120" i="2"/>
  <c r="DG120" i="2"/>
  <c r="DD120" i="2"/>
  <c r="DA120" i="2"/>
  <c r="CX120" i="2"/>
  <c r="CU120" i="2"/>
  <c r="CR120" i="2"/>
  <c r="CO120" i="2"/>
  <c r="CL120" i="2"/>
  <c r="CI120" i="2"/>
  <c r="CF120" i="2"/>
  <c r="CC120" i="2"/>
  <c r="BZ120" i="2"/>
  <c r="BW120" i="2"/>
  <c r="BT120" i="2"/>
  <c r="BQ120" i="2"/>
  <c r="BN120" i="2"/>
  <c r="BK120" i="2"/>
  <c r="BH120" i="2"/>
  <c r="BE120" i="2"/>
  <c r="BB120" i="2"/>
  <c r="AY120" i="2"/>
  <c r="AV120" i="2"/>
  <c r="AS120" i="2"/>
  <c r="AP120" i="2"/>
  <c r="AM120" i="2"/>
  <c r="AJ120" i="2"/>
  <c r="AG120" i="2"/>
  <c r="AD120" i="2"/>
  <c r="AA120" i="2"/>
  <c r="X120" i="2"/>
  <c r="U120" i="2"/>
  <c r="R120" i="2"/>
  <c r="O120" i="2"/>
  <c r="L120" i="2"/>
  <c r="I120" i="2"/>
  <c r="F120" i="2"/>
  <c r="EQ119" i="2"/>
  <c r="EN119" i="2"/>
  <c r="EK119" i="2"/>
  <c r="EH119" i="2"/>
  <c r="EE119" i="2"/>
  <c r="EB119" i="2"/>
  <c r="DY119" i="2"/>
  <c r="DS119" i="2"/>
  <c r="DP119" i="2"/>
  <c r="DM119" i="2"/>
  <c r="DJ119" i="2"/>
  <c r="DG119" i="2"/>
  <c r="DD119" i="2"/>
  <c r="DA119" i="2"/>
  <c r="CX119" i="2"/>
  <c r="CU119" i="2"/>
  <c r="CR119" i="2"/>
  <c r="CO119" i="2"/>
  <c r="CL119" i="2"/>
  <c r="CI119" i="2"/>
  <c r="CF119" i="2"/>
  <c r="CC119" i="2"/>
  <c r="BZ119" i="2"/>
  <c r="BW119" i="2"/>
  <c r="BT119" i="2"/>
  <c r="BQ119" i="2"/>
  <c r="BN119" i="2"/>
  <c r="BK119" i="2"/>
  <c r="BH119" i="2"/>
  <c r="BE119" i="2"/>
  <c r="BB119" i="2"/>
  <c r="AY119" i="2"/>
  <c r="AV119" i="2"/>
  <c r="AS119" i="2"/>
  <c r="AP119" i="2"/>
  <c r="AM119" i="2"/>
  <c r="AJ119" i="2"/>
  <c r="AG119" i="2"/>
  <c r="AD119" i="2"/>
  <c r="AA119" i="2"/>
  <c r="X119" i="2"/>
  <c r="U119" i="2"/>
  <c r="R119" i="2"/>
  <c r="O119" i="2"/>
  <c r="L119" i="2"/>
  <c r="I119" i="2"/>
  <c r="F119" i="2"/>
  <c r="EQ118" i="2"/>
  <c r="EN118" i="2"/>
  <c r="EK118" i="2"/>
  <c r="EH118" i="2"/>
  <c r="EE118" i="2"/>
  <c r="EB118" i="2"/>
  <c r="DY118" i="2"/>
  <c r="DS118" i="2"/>
  <c r="DP118" i="2"/>
  <c r="DM118" i="2"/>
  <c r="DJ118" i="2"/>
  <c r="DG118" i="2"/>
  <c r="DD118" i="2"/>
  <c r="DA118" i="2"/>
  <c r="CX118" i="2"/>
  <c r="CU118" i="2"/>
  <c r="CR118" i="2"/>
  <c r="CO118" i="2"/>
  <c r="CL118" i="2"/>
  <c r="CI118" i="2"/>
  <c r="CF118" i="2"/>
  <c r="CC118" i="2"/>
  <c r="BZ118" i="2"/>
  <c r="BW118" i="2"/>
  <c r="BT118" i="2"/>
  <c r="BQ118" i="2"/>
  <c r="BN118" i="2"/>
  <c r="BK118" i="2"/>
  <c r="BH118" i="2"/>
  <c r="BE118" i="2"/>
  <c r="BB118" i="2"/>
  <c r="AY118" i="2"/>
  <c r="AV118" i="2"/>
  <c r="AS118" i="2"/>
  <c r="AP118" i="2"/>
  <c r="AM118" i="2"/>
  <c r="AJ118" i="2"/>
  <c r="AG118" i="2"/>
  <c r="AD118" i="2"/>
  <c r="AA118" i="2"/>
  <c r="X118" i="2"/>
  <c r="U118" i="2"/>
  <c r="R118" i="2"/>
  <c r="O118" i="2"/>
  <c r="L118" i="2"/>
  <c r="I118" i="2"/>
  <c r="F118" i="2"/>
  <c r="ER117" i="2"/>
  <c r="EP117" i="2"/>
  <c r="EO117" i="2"/>
  <c r="EM117" i="2"/>
  <c r="EL117" i="2"/>
  <c r="EJ117" i="2"/>
  <c r="EI117" i="2"/>
  <c r="EG117" i="2"/>
  <c r="EF117" i="2"/>
  <c r="ED117" i="2"/>
  <c r="EC117" i="2"/>
  <c r="EA117" i="2"/>
  <c r="DZ117" i="2"/>
  <c r="DU117" i="2"/>
  <c r="DV117" i="2" s="1"/>
  <c r="DT117" i="2"/>
  <c r="DR117" i="2"/>
  <c r="DQ117" i="2"/>
  <c r="DO117" i="2"/>
  <c r="DN117" i="2"/>
  <c r="DL117" i="2"/>
  <c r="DK117" i="2"/>
  <c r="DI117" i="2"/>
  <c r="DH117" i="2"/>
  <c r="DF117" i="2"/>
  <c r="DE117" i="2"/>
  <c r="DC117" i="2"/>
  <c r="DB117" i="2"/>
  <c r="CZ117" i="2"/>
  <c r="CY117" i="2"/>
  <c r="CW117" i="2"/>
  <c r="CV117" i="2"/>
  <c r="CT117" i="2"/>
  <c r="CS117" i="2"/>
  <c r="CQ117" i="2"/>
  <c r="CP117" i="2"/>
  <c r="CN117" i="2"/>
  <c r="CM117" i="2"/>
  <c r="CK117" i="2"/>
  <c r="CJ117" i="2"/>
  <c r="CH117" i="2"/>
  <c r="CG117" i="2"/>
  <c r="CE117" i="2"/>
  <c r="CD117" i="2"/>
  <c r="CB117" i="2"/>
  <c r="CA117" i="2"/>
  <c r="BY117" i="2"/>
  <c r="BX117" i="2"/>
  <c r="BV117" i="2"/>
  <c r="BU117" i="2"/>
  <c r="BS117" i="2"/>
  <c r="BR117" i="2"/>
  <c r="BP117" i="2"/>
  <c r="BO117" i="2"/>
  <c r="BM117" i="2"/>
  <c r="BL117" i="2"/>
  <c r="BJ117" i="2"/>
  <c r="BI117" i="2"/>
  <c r="BG117" i="2"/>
  <c r="BF117" i="2"/>
  <c r="BD117" i="2"/>
  <c r="BC117" i="2"/>
  <c r="BA117" i="2"/>
  <c r="AZ117" i="2"/>
  <c r="AX117" i="2"/>
  <c r="AW117" i="2"/>
  <c r="AU117" i="2"/>
  <c r="AT117" i="2"/>
  <c r="AR117" i="2"/>
  <c r="AQ117" i="2"/>
  <c r="AO117" i="2"/>
  <c r="AN117" i="2"/>
  <c r="AL117" i="2"/>
  <c r="AK117" i="2"/>
  <c r="AI117" i="2"/>
  <c r="AH117" i="2"/>
  <c r="AF117" i="2"/>
  <c r="AE117" i="2"/>
  <c r="AC117" i="2"/>
  <c r="AB117" i="2"/>
  <c r="Z117" i="2"/>
  <c r="Y117" i="2"/>
  <c r="W117" i="2"/>
  <c r="V117" i="2"/>
  <c r="T117" i="2"/>
  <c r="S117" i="2"/>
  <c r="Q117" i="2"/>
  <c r="P117" i="2"/>
  <c r="N117" i="2"/>
  <c r="M117" i="2"/>
  <c r="K117" i="2"/>
  <c r="J117" i="2"/>
  <c r="H117" i="2"/>
  <c r="G117" i="2"/>
  <c r="E117" i="2"/>
  <c r="ER116" i="2"/>
  <c r="EP116" i="2"/>
  <c r="EO116" i="2"/>
  <c r="EM116" i="2"/>
  <c r="EL116" i="2"/>
  <c r="EJ116" i="2"/>
  <c r="EI116" i="2"/>
  <c r="EG116" i="2"/>
  <c r="EF116" i="2"/>
  <c r="ED116" i="2"/>
  <c r="EC116" i="2"/>
  <c r="EA116" i="2"/>
  <c r="DZ116" i="2"/>
  <c r="DU116" i="2"/>
  <c r="DV116" i="2" s="1"/>
  <c r="DT116" i="2"/>
  <c r="DR116" i="2"/>
  <c r="DQ116" i="2"/>
  <c r="DO116" i="2"/>
  <c r="DN116" i="2"/>
  <c r="DL116" i="2"/>
  <c r="DK116" i="2"/>
  <c r="DI116" i="2"/>
  <c r="DH116" i="2"/>
  <c r="DF116" i="2"/>
  <c r="DE116" i="2"/>
  <c r="DC116" i="2"/>
  <c r="DB116" i="2"/>
  <c r="CZ116" i="2"/>
  <c r="CY116" i="2"/>
  <c r="CW116" i="2"/>
  <c r="CV116" i="2"/>
  <c r="CT116" i="2"/>
  <c r="CS116" i="2"/>
  <c r="CQ116" i="2"/>
  <c r="CP116" i="2"/>
  <c r="CN116" i="2"/>
  <c r="CM116" i="2"/>
  <c r="CK116" i="2"/>
  <c r="CJ116" i="2"/>
  <c r="CH116" i="2"/>
  <c r="CG116" i="2"/>
  <c r="CE116" i="2"/>
  <c r="CD116" i="2"/>
  <c r="CB116" i="2"/>
  <c r="CA116" i="2"/>
  <c r="BY116" i="2"/>
  <c r="BX116" i="2"/>
  <c r="BV116" i="2"/>
  <c r="BU116" i="2"/>
  <c r="BS116" i="2"/>
  <c r="BR116" i="2"/>
  <c r="BP116" i="2"/>
  <c r="BO116" i="2"/>
  <c r="BM116" i="2"/>
  <c r="BL116" i="2"/>
  <c r="BJ116" i="2"/>
  <c r="BI116" i="2"/>
  <c r="BG116" i="2"/>
  <c r="BF116" i="2"/>
  <c r="BD116" i="2"/>
  <c r="BC116" i="2"/>
  <c r="BA116" i="2"/>
  <c r="AZ116" i="2"/>
  <c r="AX116" i="2"/>
  <c r="AW116" i="2"/>
  <c r="AU116" i="2"/>
  <c r="AT116" i="2"/>
  <c r="AR116" i="2"/>
  <c r="AQ116" i="2"/>
  <c r="AO116" i="2"/>
  <c r="AN116" i="2"/>
  <c r="AL116" i="2"/>
  <c r="AK116" i="2"/>
  <c r="AI116" i="2"/>
  <c r="AH116" i="2"/>
  <c r="AF116" i="2"/>
  <c r="AE116" i="2"/>
  <c r="AC116" i="2"/>
  <c r="AB116" i="2"/>
  <c r="Z116" i="2"/>
  <c r="Y116" i="2"/>
  <c r="W116" i="2"/>
  <c r="V116" i="2"/>
  <c r="T116" i="2"/>
  <c r="S116" i="2"/>
  <c r="Q116" i="2"/>
  <c r="P116" i="2"/>
  <c r="N116" i="2"/>
  <c r="M116" i="2"/>
  <c r="K116" i="2"/>
  <c r="J116" i="2"/>
  <c r="H116" i="2"/>
  <c r="G116" i="2"/>
  <c r="E116" i="2"/>
  <c r="EQ114" i="2"/>
  <c r="EN114" i="2"/>
  <c r="EK114" i="2"/>
  <c r="EH114" i="2"/>
  <c r="EE114" i="2"/>
  <c r="EB114" i="2"/>
  <c r="DY114" i="2"/>
  <c r="DS114" i="2"/>
  <c r="DP114" i="2"/>
  <c r="DM114" i="2"/>
  <c r="DJ114" i="2"/>
  <c r="DG114" i="2"/>
  <c r="DD114" i="2"/>
  <c r="DA114" i="2"/>
  <c r="CX114" i="2"/>
  <c r="CU114" i="2"/>
  <c r="CR114" i="2"/>
  <c r="CO114" i="2"/>
  <c r="CL114" i="2"/>
  <c r="CI114" i="2"/>
  <c r="CF114" i="2"/>
  <c r="CC114" i="2"/>
  <c r="BZ114" i="2"/>
  <c r="BW114" i="2"/>
  <c r="BT114" i="2"/>
  <c r="BQ114" i="2"/>
  <c r="BN114" i="2"/>
  <c r="BK114" i="2"/>
  <c r="BH114" i="2"/>
  <c r="BE114" i="2"/>
  <c r="BB114" i="2"/>
  <c r="AY114" i="2"/>
  <c r="AV114" i="2"/>
  <c r="AS114" i="2"/>
  <c r="AP114" i="2"/>
  <c r="AM114" i="2"/>
  <c r="AJ114" i="2"/>
  <c r="AG114" i="2"/>
  <c r="AD114" i="2"/>
  <c r="AA114" i="2"/>
  <c r="X114" i="2"/>
  <c r="U114" i="2"/>
  <c r="R114" i="2"/>
  <c r="O114" i="2"/>
  <c r="L114" i="2"/>
  <c r="I114" i="2"/>
  <c r="F114" i="2"/>
  <c r="EQ113" i="2"/>
  <c r="EN113" i="2"/>
  <c r="EK113" i="2"/>
  <c r="EH113" i="2"/>
  <c r="EE113" i="2"/>
  <c r="EB113" i="2"/>
  <c r="DY113" i="2"/>
  <c r="DS113" i="2"/>
  <c r="DP113" i="2"/>
  <c r="DM113" i="2"/>
  <c r="DJ113" i="2"/>
  <c r="DG113" i="2"/>
  <c r="DD113" i="2"/>
  <c r="DA113" i="2"/>
  <c r="CX113" i="2"/>
  <c r="CU113" i="2"/>
  <c r="CR113" i="2"/>
  <c r="CO113" i="2"/>
  <c r="CL113" i="2"/>
  <c r="CI113" i="2"/>
  <c r="CF113" i="2"/>
  <c r="CC113" i="2"/>
  <c r="BZ113" i="2"/>
  <c r="BW113" i="2"/>
  <c r="BT113" i="2"/>
  <c r="BQ113" i="2"/>
  <c r="BN113" i="2"/>
  <c r="BK113" i="2"/>
  <c r="BH113" i="2"/>
  <c r="BE113" i="2"/>
  <c r="BB113" i="2"/>
  <c r="AY113" i="2"/>
  <c r="AV113" i="2"/>
  <c r="AS113" i="2"/>
  <c r="AP113" i="2"/>
  <c r="AM113" i="2"/>
  <c r="AJ113" i="2"/>
  <c r="AG113" i="2"/>
  <c r="AD113" i="2"/>
  <c r="AA113" i="2"/>
  <c r="X113" i="2"/>
  <c r="U113" i="2"/>
  <c r="R113" i="2"/>
  <c r="O113" i="2"/>
  <c r="L113" i="2"/>
  <c r="I113" i="2"/>
  <c r="F113" i="2"/>
  <c r="EQ112" i="2"/>
  <c r="EN112" i="2"/>
  <c r="EK112" i="2"/>
  <c r="EH112" i="2"/>
  <c r="EE112" i="2"/>
  <c r="EB112" i="2"/>
  <c r="DY112" i="2"/>
  <c r="DS112" i="2"/>
  <c r="DP112" i="2"/>
  <c r="DM112" i="2"/>
  <c r="DJ112" i="2"/>
  <c r="DG112" i="2"/>
  <c r="DD112" i="2"/>
  <c r="DA112" i="2"/>
  <c r="CX112" i="2"/>
  <c r="CU112" i="2"/>
  <c r="CR112" i="2"/>
  <c r="CO112" i="2"/>
  <c r="CL112" i="2"/>
  <c r="CI112" i="2"/>
  <c r="CF112" i="2"/>
  <c r="CC112" i="2"/>
  <c r="BZ112" i="2"/>
  <c r="BW112" i="2"/>
  <c r="BT112" i="2"/>
  <c r="BQ112" i="2"/>
  <c r="BN112" i="2"/>
  <c r="BK112" i="2"/>
  <c r="BH112" i="2"/>
  <c r="BE112" i="2"/>
  <c r="BB112" i="2"/>
  <c r="AY112" i="2"/>
  <c r="AV112" i="2"/>
  <c r="AS112" i="2"/>
  <c r="AP112" i="2"/>
  <c r="AM112" i="2"/>
  <c r="AJ112" i="2"/>
  <c r="AG112" i="2"/>
  <c r="AD112" i="2"/>
  <c r="AA112" i="2"/>
  <c r="X112" i="2"/>
  <c r="U112" i="2"/>
  <c r="R112" i="2"/>
  <c r="O112" i="2"/>
  <c r="L112" i="2"/>
  <c r="I112" i="2"/>
  <c r="F112" i="2"/>
  <c r="EQ111" i="2"/>
  <c r="EN111" i="2"/>
  <c r="EK111" i="2"/>
  <c r="EH111" i="2"/>
  <c r="EE111" i="2"/>
  <c r="EB111" i="2"/>
  <c r="DY111" i="2"/>
  <c r="DS111" i="2"/>
  <c r="DP111" i="2"/>
  <c r="DM111" i="2"/>
  <c r="DJ111" i="2"/>
  <c r="DG111" i="2"/>
  <c r="DD111" i="2"/>
  <c r="DA111" i="2"/>
  <c r="CX111" i="2"/>
  <c r="CU111" i="2"/>
  <c r="CR111" i="2"/>
  <c r="CO111" i="2"/>
  <c r="CL111" i="2"/>
  <c r="CI111" i="2"/>
  <c r="CF111" i="2"/>
  <c r="CC111" i="2"/>
  <c r="BZ111" i="2"/>
  <c r="BW111" i="2"/>
  <c r="BT111" i="2"/>
  <c r="BQ111" i="2"/>
  <c r="BN111" i="2"/>
  <c r="BK111" i="2"/>
  <c r="BH111" i="2"/>
  <c r="BE111" i="2"/>
  <c r="BB111" i="2"/>
  <c r="AY111" i="2"/>
  <c r="AV111" i="2"/>
  <c r="AS111" i="2"/>
  <c r="AP111" i="2"/>
  <c r="AM111" i="2"/>
  <c r="AJ111" i="2"/>
  <c r="AG111" i="2"/>
  <c r="AD111" i="2"/>
  <c r="AA111" i="2"/>
  <c r="X111" i="2"/>
  <c r="U111" i="2"/>
  <c r="R111" i="2"/>
  <c r="O111" i="2"/>
  <c r="L111" i="2"/>
  <c r="I111" i="2"/>
  <c r="F111" i="2"/>
  <c r="EQ110" i="2"/>
  <c r="EN110" i="2"/>
  <c r="EK110" i="2"/>
  <c r="EH110" i="2"/>
  <c r="EE110" i="2"/>
  <c r="EB110" i="2"/>
  <c r="DY110" i="2"/>
  <c r="DS110" i="2"/>
  <c r="DP110" i="2"/>
  <c r="DM110" i="2"/>
  <c r="DJ110" i="2"/>
  <c r="DG110" i="2"/>
  <c r="DD110" i="2"/>
  <c r="DA110" i="2"/>
  <c r="CX110" i="2"/>
  <c r="CU110" i="2"/>
  <c r="CR110" i="2"/>
  <c r="CO110" i="2"/>
  <c r="CL110" i="2"/>
  <c r="CI110" i="2"/>
  <c r="CF110" i="2"/>
  <c r="CC110" i="2"/>
  <c r="BZ110" i="2"/>
  <c r="BW110" i="2"/>
  <c r="BT110" i="2"/>
  <c r="BQ110" i="2"/>
  <c r="BN110" i="2"/>
  <c r="BK110" i="2"/>
  <c r="BH110" i="2"/>
  <c r="BE110" i="2"/>
  <c r="BB110" i="2"/>
  <c r="AY110" i="2"/>
  <c r="AV110" i="2"/>
  <c r="AS110" i="2"/>
  <c r="AP110" i="2"/>
  <c r="AM110" i="2"/>
  <c r="AJ110" i="2"/>
  <c r="AG110" i="2"/>
  <c r="AD110" i="2"/>
  <c r="AA110" i="2"/>
  <c r="X110" i="2"/>
  <c r="U110" i="2"/>
  <c r="R110" i="2"/>
  <c r="O110" i="2"/>
  <c r="L110" i="2"/>
  <c r="I110" i="2"/>
  <c r="F110" i="2"/>
  <c r="EQ109" i="2"/>
  <c r="EN109" i="2"/>
  <c r="EK109" i="2"/>
  <c r="EH109" i="2"/>
  <c r="EE109" i="2"/>
  <c r="EB109" i="2"/>
  <c r="DY109" i="2"/>
  <c r="DS109" i="2"/>
  <c r="DP109" i="2"/>
  <c r="DM109" i="2"/>
  <c r="DJ109" i="2"/>
  <c r="DG109" i="2"/>
  <c r="DD109" i="2"/>
  <c r="DA109" i="2"/>
  <c r="CX109" i="2"/>
  <c r="CU109" i="2"/>
  <c r="CR109" i="2"/>
  <c r="CO109" i="2"/>
  <c r="CL109" i="2"/>
  <c r="CI109" i="2"/>
  <c r="CF109" i="2"/>
  <c r="CC109" i="2"/>
  <c r="BZ109" i="2"/>
  <c r="BW109" i="2"/>
  <c r="BT109" i="2"/>
  <c r="BQ109" i="2"/>
  <c r="BN109" i="2"/>
  <c r="BK109" i="2"/>
  <c r="BH109" i="2"/>
  <c r="BE109" i="2"/>
  <c r="BB109" i="2"/>
  <c r="AY109" i="2"/>
  <c r="AV109" i="2"/>
  <c r="AS109" i="2"/>
  <c r="AP109" i="2"/>
  <c r="AM109" i="2"/>
  <c r="AJ109" i="2"/>
  <c r="AG109" i="2"/>
  <c r="AD109" i="2"/>
  <c r="AA109" i="2"/>
  <c r="X109" i="2"/>
  <c r="U109" i="2"/>
  <c r="R109" i="2"/>
  <c r="O109" i="2"/>
  <c r="L109" i="2"/>
  <c r="I109" i="2"/>
  <c r="F109" i="2"/>
  <c r="EQ108" i="2"/>
  <c r="EN108" i="2"/>
  <c r="EK108" i="2"/>
  <c r="EH108" i="2"/>
  <c r="EE108" i="2"/>
  <c r="EB108" i="2"/>
  <c r="DY108" i="2"/>
  <c r="DS108" i="2"/>
  <c r="DP108" i="2"/>
  <c r="DM108" i="2"/>
  <c r="DJ108" i="2"/>
  <c r="DG108" i="2"/>
  <c r="DD108" i="2"/>
  <c r="DA108" i="2"/>
  <c r="CX108" i="2"/>
  <c r="CU108" i="2"/>
  <c r="CR108" i="2"/>
  <c r="CO108" i="2"/>
  <c r="CL108" i="2"/>
  <c r="CI108" i="2"/>
  <c r="CF108" i="2"/>
  <c r="CC108" i="2"/>
  <c r="BZ108" i="2"/>
  <c r="BW108" i="2"/>
  <c r="BT108" i="2"/>
  <c r="BQ108" i="2"/>
  <c r="BN108" i="2"/>
  <c r="BK108" i="2"/>
  <c r="BH108" i="2"/>
  <c r="BE108" i="2"/>
  <c r="BB108" i="2"/>
  <c r="AY108" i="2"/>
  <c r="AV108" i="2"/>
  <c r="AS108" i="2"/>
  <c r="AP108" i="2"/>
  <c r="AM108" i="2"/>
  <c r="AJ108" i="2"/>
  <c r="AG108" i="2"/>
  <c r="AD108" i="2"/>
  <c r="AA108" i="2"/>
  <c r="X108" i="2"/>
  <c r="U108" i="2"/>
  <c r="R108" i="2"/>
  <c r="O108" i="2"/>
  <c r="L108" i="2"/>
  <c r="I108" i="2"/>
  <c r="F108" i="2"/>
  <c r="EQ107" i="2"/>
  <c r="EN107" i="2"/>
  <c r="EK107" i="2"/>
  <c r="EH107" i="2"/>
  <c r="EE107" i="2"/>
  <c r="EB107" i="2"/>
  <c r="DY107" i="2"/>
  <c r="DS107" i="2"/>
  <c r="DP107" i="2"/>
  <c r="DM107" i="2"/>
  <c r="DJ107" i="2"/>
  <c r="DG107" i="2"/>
  <c r="DD107" i="2"/>
  <c r="DA107" i="2"/>
  <c r="CX107" i="2"/>
  <c r="CU107" i="2"/>
  <c r="CR107" i="2"/>
  <c r="CO107" i="2"/>
  <c r="CL107" i="2"/>
  <c r="CI107" i="2"/>
  <c r="CF107" i="2"/>
  <c r="CC107" i="2"/>
  <c r="BZ107" i="2"/>
  <c r="BW107" i="2"/>
  <c r="BT107" i="2"/>
  <c r="BQ107" i="2"/>
  <c r="BN107" i="2"/>
  <c r="BK107" i="2"/>
  <c r="BH107" i="2"/>
  <c r="BE107" i="2"/>
  <c r="BB107" i="2"/>
  <c r="AY107" i="2"/>
  <c r="AV107" i="2"/>
  <c r="AS107" i="2"/>
  <c r="AP107" i="2"/>
  <c r="AM107" i="2"/>
  <c r="AJ107" i="2"/>
  <c r="AG107" i="2"/>
  <c r="AD107" i="2"/>
  <c r="AA107" i="2"/>
  <c r="X107" i="2"/>
  <c r="U107" i="2"/>
  <c r="R107" i="2"/>
  <c r="O107" i="2"/>
  <c r="L107" i="2"/>
  <c r="I107" i="2"/>
  <c r="F107" i="2"/>
  <c r="EQ106" i="2"/>
  <c r="EN106" i="2"/>
  <c r="EK106" i="2"/>
  <c r="EH106" i="2"/>
  <c r="EE106" i="2"/>
  <c r="EB106" i="2"/>
  <c r="DY106" i="2"/>
  <c r="DS106" i="2"/>
  <c r="DP106" i="2"/>
  <c r="DM106" i="2"/>
  <c r="DJ106" i="2"/>
  <c r="DG106" i="2"/>
  <c r="DD106" i="2"/>
  <c r="DA106" i="2"/>
  <c r="CX106" i="2"/>
  <c r="CU106" i="2"/>
  <c r="CR106" i="2"/>
  <c r="CO106" i="2"/>
  <c r="CL106" i="2"/>
  <c r="CI106" i="2"/>
  <c r="CF106" i="2"/>
  <c r="CC106" i="2"/>
  <c r="BZ106" i="2"/>
  <c r="BW106" i="2"/>
  <c r="BT106" i="2"/>
  <c r="BQ106" i="2"/>
  <c r="BN106" i="2"/>
  <c r="BK106" i="2"/>
  <c r="BH106" i="2"/>
  <c r="BE106" i="2"/>
  <c r="BB106" i="2"/>
  <c r="AY106" i="2"/>
  <c r="AV106" i="2"/>
  <c r="AS106" i="2"/>
  <c r="AP106" i="2"/>
  <c r="AM106" i="2"/>
  <c r="AJ106" i="2"/>
  <c r="AG106" i="2"/>
  <c r="AD106" i="2"/>
  <c r="AA106" i="2"/>
  <c r="X106" i="2"/>
  <c r="U106" i="2"/>
  <c r="R106" i="2"/>
  <c r="O106" i="2"/>
  <c r="L106" i="2"/>
  <c r="I106" i="2"/>
  <c r="F106" i="2"/>
  <c r="EQ105" i="2"/>
  <c r="EN105" i="2"/>
  <c r="EK105" i="2"/>
  <c r="EH105" i="2"/>
  <c r="EE105" i="2"/>
  <c r="EB105" i="2"/>
  <c r="DY105" i="2"/>
  <c r="DS105" i="2"/>
  <c r="DP105" i="2"/>
  <c r="DM105" i="2"/>
  <c r="DJ105" i="2"/>
  <c r="DG105" i="2"/>
  <c r="DD105" i="2"/>
  <c r="DA105" i="2"/>
  <c r="CX105" i="2"/>
  <c r="CU105" i="2"/>
  <c r="CR105" i="2"/>
  <c r="CO105" i="2"/>
  <c r="CL105" i="2"/>
  <c r="CI105" i="2"/>
  <c r="CF105" i="2"/>
  <c r="CC105" i="2"/>
  <c r="BZ105" i="2"/>
  <c r="BW105" i="2"/>
  <c r="BT105" i="2"/>
  <c r="BQ105" i="2"/>
  <c r="BN105" i="2"/>
  <c r="BK105" i="2"/>
  <c r="BH105" i="2"/>
  <c r="BE105" i="2"/>
  <c r="BB105" i="2"/>
  <c r="AY105" i="2"/>
  <c r="AV105" i="2"/>
  <c r="AS105" i="2"/>
  <c r="AP105" i="2"/>
  <c r="AM105" i="2"/>
  <c r="AJ105" i="2"/>
  <c r="AG105" i="2"/>
  <c r="AD105" i="2"/>
  <c r="AA105" i="2"/>
  <c r="X105" i="2"/>
  <c r="U105" i="2"/>
  <c r="R105" i="2"/>
  <c r="O105" i="2"/>
  <c r="L105" i="2"/>
  <c r="I105" i="2"/>
  <c r="F105" i="2"/>
  <c r="EQ104" i="2"/>
  <c r="EN104" i="2"/>
  <c r="EK104" i="2"/>
  <c r="EH104" i="2"/>
  <c r="EE104" i="2"/>
  <c r="EB104" i="2"/>
  <c r="DY104" i="2"/>
  <c r="DS104" i="2"/>
  <c r="DP104" i="2"/>
  <c r="DM104" i="2"/>
  <c r="DJ104" i="2"/>
  <c r="DG104" i="2"/>
  <c r="DD104" i="2"/>
  <c r="DA104" i="2"/>
  <c r="CX104" i="2"/>
  <c r="CU104" i="2"/>
  <c r="CR104" i="2"/>
  <c r="CO104" i="2"/>
  <c r="CL104" i="2"/>
  <c r="CI104" i="2"/>
  <c r="CF104" i="2"/>
  <c r="CC104" i="2"/>
  <c r="BZ104" i="2"/>
  <c r="BW104" i="2"/>
  <c r="BT104" i="2"/>
  <c r="BQ104" i="2"/>
  <c r="BN104" i="2"/>
  <c r="BK104" i="2"/>
  <c r="BH104" i="2"/>
  <c r="BE104" i="2"/>
  <c r="BB104" i="2"/>
  <c r="AY104" i="2"/>
  <c r="AV104" i="2"/>
  <c r="AS104" i="2"/>
  <c r="AP104" i="2"/>
  <c r="AM104" i="2"/>
  <c r="AJ104" i="2"/>
  <c r="AG104" i="2"/>
  <c r="AD104" i="2"/>
  <c r="AA104" i="2"/>
  <c r="X104" i="2"/>
  <c r="U104" i="2"/>
  <c r="R104" i="2"/>
  <c r="O104" i="2"/>
  <c r="L104" i="2"/>
  <c r="I104" i="2"/>
  <c r="F104" i="2"/>
  <c r="EQ103" i="2"/>
  <c r="EN103" i="2"/>
  <c r="EK103" i="2"/>
  <c r="EH103" i="2"/>
  <c r="EE103" i="2"/>
  <c r="EB103" i="2"/>
  <c r="DY103" i="2"/>
  <c r="DS103" i="2"/>
  <c r="DP103" i="2"/>
  <c r="DM103" i="2"/>
  <c r="DJ103" i="2"/>
  <c r="DG103" i="2"/>
  <c r="DD103" i="2"/>
  <c r="DA103" i="2"/>
  <c r="CX103" i="2"/>
  <c r="CU103" i="2"/>
  <c r="CR103" i="2"/>
  <c r="CO103" i="2"/>
  <c r="CL103" i="2"/>
  <c r="CI103" i="2"/>
  <c r="CF103" i="2"/>
  <c r="CC103" i="2"/>
  <c r="BZ103" i="2"/>
  <c r="BW103" i="2"/>
  <c r="BT103" i="2"/>
  <c r="BQ103" i="2"/>
  <c r="BN103" i="2"/>
  <c r="BK103" i="2"/>
  <c r="BH103" i="2"/>
  <c r="BE103" i="2"/>
  <c r="BB103" i="2"/>
  <c r="AY103" i="2"/>
  <c r="AV103" i="2"/>
  <c r="AS103" i="2"/>
  <c r="AP103" i="2"/>
  <c r="AM103" i="2"/>
  <c r="AJ103" i="2"/>
  <c r="AG103" i="2"/>
  <c r="AD103" i="2"/>
  <c r="AA103" i="2"/>
  <c r="X103" i="2"/>
  <c r="U103" i="2"/>
  <c r="R103" i="2"/>
  <c r="O103" i="2"/>
  <c r="L103" i="2"/>
  <c r="I103" i="2"/>
  <c r="F103" i="2"/>
  <c r="EQ102" i="2"/>
  <c r="EN102" i="2"/>
  <c r="EK102" i="2"/>
  <c r="EH102" i="2"/>
  <c r="EE102" i="2"/>
  <c r="EB102" i="2"/>
  <c r="DY102" i="2"/>
  <c r="DS102" i="2"/>
  <c r="DP102" i="2"/>
  <c r="DM102" i="2"/>
  <c r="DJ102" i="2"/>
  <c r="DG102" i="2"/>
  <c r="DD102" i="2"/>
  <c r="DA102" i="2"/>
  <c r="CX102" i="2"/>
  <c r="CU102" i="2"/>
  <c r="CR102" i="2"/>
  <c r="CO102" i="2"/>
  <c r="CL102" i="2"/>
  <c r="CI102" i="2"/>
  <c r="CF102" i="2"/>
  <c r="CC102" i="2"/>
  <c r="BZ102" i="2"/>
  <c r="BW102" i="2"/>
  <c r="BT102" i="2"/>
  <c r="BQ102" i="2"/>
  <c r="BN102" i="2"/>
  <c r="BK102" i="2"/>
  <c r="BH102" i="2"/>
  <c r="BE102" i="2"/>
  <c r="BB102" i="2"/>
  <c r="AY102" i="2"/>
  <c r="AV102" i="2"/>
  <c r="AS102" i="2"/>
  <c r="AP102" i="2"/>
  <c r="AM102" i="2"/>
  <c r="AJ102" i="2"/>
  <c r="AG102" i="2"/>
  <c r="AD102" i="2"/>
  <c r="AA102" i="2"/>
  <c r="X102" i="2"/>
  <c r="U102" i="2"/>
  <c r="R102" i="2"/>
  <c r="O102" i="2"/>
  <c r="L102" i="2"/>
  <c r="I102" i="2"/>
  <c r="F102" i="2"/>
  <c r="EQ101" i="2"/>
  <c r="EN101" i="2"/>
  <c r="EK101" i="2"/>
  <c r="EH101" i="2"/>
  <c r="EE101" i="2"/>
  <c r="EB101" i="2"/>
  <c r="DY101" i="2"/>
  <c r="DS101" i="2"/>
  <c r="DP101" i="2"/>
  <c r="DM101" i="2"/>
  <c r="DJ101" i="2"/>
  <c r="DG101" i="2"/>
  <c r="DD101" i="2"/>
  <c r="DA101" i="2"/>
  <c r="CX101" i="2"/>
  <c r="CU101" i="2"/>
  <c r="CR101" i="2"/>
  <c r="CO101" i="2"/>
  <c r="CL101" i="2"/>
  <c r="CI101" i="2"/>
  <c r="CF101" i="2"/>
  <c r="CC101" i="2"/>
  <c r="BZ101" i="2"/>
  <c r="BW101" i="2"/>
  <c r="BT101" i="2"/>
  <c r="BQ101" i="2"/>
  <c r="BN101" i="2"/>
  <c r="BK101" i="2"/>
  <c r="BH101" i="2"/>
  <c r="BE101" i="2"/>
  <c r="BB101" i="2"/>
  <c r="AY101" i="2"/>
  <c r="AV101" i="2"/>
  <c r="AS101" i="2"/>
  <c r="AP101" i="2"/>
  <c r="AM101" i="2"/>
  <c r="AJ101" i="2"/>
  <c r="AG101" i="2"/>
  <c r="AD101" i="2"/>
  <c r="AA101" i="2"/>
  <c r="X101" i="2"/>
  <c r="U101" i="2"/>
  <c r="R101" i="2"/>
  <c r="O101" i="2"/>
  <c r="L101" i="2"/>
  <c r="I101" i="2"/>
  <c r="F101" i="2"/>
  <c r="EQ100" i="2"/>
  <c r="EN100" i="2"/>
  <c r="EK100" i="2"/>
  <c r="EH100" i="2"/>
  <c r="EE100" i="2"/>
  <c r="EB100" i="2"/>
  <c r="DY100" i="2"/>
  <c r="DS100" i="2"/>
  <c r="DP100" i="2"/>
  <c r="DM100" i="2"/>
  <c r="DJ100" i="2"/>
  <c r="DG100" i="2"/>
  <c r="DD100" i="2"/>
  <c r="DA100" i="2"/>
  <c r="CX100" i="2"/>
  <c r="CU100" i="2"/>
  <c r="CR100" i="2"/>
  <c r="CO100" i="2"/>
  <c r="CL100" i="2"/>
  <c r="CI100" i="2"/>
  <c r="CF100" i="2"/>
  <c r="CC100" i="2"/>
  <c r="BZ100" i="2"/>
  <c r="BW100" i="2"/>
  <c r="BT100" i="2"/>
  <c r="BQ100" i="2"/>
  <c r="BN100" i="2"/>
  <c r="BK100" i="2"/>
  <c r="BH100" i="2"/>
  <c r="BE100" i="2"/>
  <c r="BB100" i="2"/>
  <c r="AY100" i="2"/>
  <c r="AV100" i="2"/>
  <c r="AS100" i="2"/>
  <c r="AP100" i="2"/>
  <c r="AM100" i="2"/>
  <c r="AJ100" i="2"/>
  <c r="AG100" i="2"/>
  <c r="AD100" i="2"/>
  <c r="AA100" i="2"/>
  <c r="X100" i="2"/>
  <c r="U100" i="2"/>
  <c r="R100" i="2"/>
  <c r="O100" i="2"/>
  <c r="L100" i="2"/>
  <c r="I100" i="2"/>
  <c r="F100" i="2"/>
  <c r="EQ99" i="2"/>
  <c r="EN99" i="2"/>
  <c r="EK99" i="2"/>
  <c r="EH99" i="2"/>
  <c r="EE99" i="2"/>
  <c r="EB99" i="2"/>
  <c r="DY99" i="2"/>
  <c r="DS99" i="2"/>
  <c r="DP99" i="2"/>
  <c r="DM99" i="2"/>
  <c r="DJ99" i="2"/>
  <c r="DG99" i="2"/>
  <c r="DD99" i="2"/>
  <c r="DA99" i="2"/>
  <c r="CX99" i="2"/>
  <c r="CU99" i="2"/>
  <c r="CR99" i="2"/>
  <c r="CO99" i="2"/>
  <c r="CL99" i="2"/>
  <c r="CI99" i="2"/>
  <c r="CF99" i="2"/>
  <c r="CC99" i="2"/>
  <c r="BZ99" i="2"/>
  <c r="BW99" i="2"/>
  <c r="BT99" i="2"/>
  <c r="BQ99" i="2"/>
  <c r="BN99" i="2"/>
  <c r="BK99" i="2"/>
  <c r="BH99" i="2"/>
  <c r="BE99" i="2"/>
  <c r="BB99" i="2"/>
  <c r="AY99" i="2"/>
  <c r="AV99" i="2"/>
  <c r="AS99" i="2"/>
  <c r="AP99" i="2"/>
  <c r="AM99" i="2"/>
  <c r="AJ99" i="2"/>
  <c r="AG99" i="2"/>
  <c r="AD99" i="2"/>
  <c r="AA99" i="2"/>
  <c r="X99" i="2"/>
  <c r="U99" i="2"/>
  <c r="R99" i="2"/>
  <c r="O99" i="2"/>
  <c r="L99" i="2"/>
  <c r="I99" i="2"/>
  <c r="F99" i="2"/>
  <c r="EQ98" i="2"/>
  <c r="EN98" i="2"/>
  <c r="EK98" i="2"/>
  <c r="EH98" i="2"/>
  <c r="EE98" i="2"/>
  <c r="EB98" i="2"/>
  <c r="DY98" i="2"/>
  <c r="DS98" i="2"/>
  <c r="DP98" i="2"/>
  <c r="DM98" i="2"/>
  <c r="DJ98" i="2"/>
  <c r="DG98" i="2"/>
  <c r="DD98" i="2"/>
  <c r="DA98" i="2"/>
  <c r="CX98" i="2"/>
  <c r="CU98" i="2"/>
  <c r="CR98" i="2"/>
  <c r="CO98" i="2"/>
  <c r="CL98" i="2"/>
  <c r="CI98" i="2"/>
  <c r="CF98" i="2"/>
  <c r="CC98" i="2"/>
  <c r="BZ98" i="2"/>
  <c r="BW98" i="2"/>
  <c r="BT98" i="2"/>
  <c r="BQ98" i="2"/>
  <c r="BN98" i="2"/>
  <c r="BK98" i="2"/>
  <c r="BH98" i="2"/>
  <c r="BE98" i="2"/>
  <c r="BB98" i="2"/>
  <c r="AY98" i="2"/>
  <c r="AV98" i="2"/>
  <c r="AS98" i="2"/>
  <c r="AP98" i="2"/>
  <c r="AM98" i="2"/>
  <c r="AJ98" i="2"/>
  <c r="AG98" i="2"/>
  <c r="AD98" i="2"/>
  <c r="AA98" i="2"/>
  <c r="X98" i="2"/>
  <c r="U98" i="2"/>
  <c r="R98" i="2"/>
  <c r="O98" i="2"/>
  <c r="L98" i="2"/>
  <c r="I98" i="2"/>
  <c r="F98" i="2"/>
  <c r="EQ97" i="2"/>
  <c r="EN97" i="2"/>
  <c r="EK97" i="2"/>
  <c r="EH97" i="2"/>
  <c r="EE97" i="2"/>
  <c r="EB97" i="2"/>
  <c r="DY97" i="2"/>
  <c r="DS97" i="2"/>
  <c r="DP97" i="2"/>
  <c r="DM97" i="2"/>
  <c r="DJ97" i="2"/>
  <c r="DG97" i="2"/>
  <c r="DD97" i="2"/>
  <c r="DA97" i="2"/>
  <c r="CX97" i="2"/>
  <c r="CU97" i="2"/>
  <c r="CR97" i="2"/>
  <c r="CO97" i="2"/>
  <c r="CL97" i="2"/>
  <c r="CI97" i="2"/>
  <c r="CF97" i="2"/>
  <c r="CC97" i="2"/>
  <c r="BZ97" i="2"/>
  <c r="BW97" i="2"/>
  <c r="BT97" i="2"/>
  <c r="BQ97" i="2"/>
  <c r="BN97" i="2"/>
  <c r="BK97" i="2"/>
  <c r="BH97" i="2"/>
  <c r="BE97" i="2"/>
  <c r="BB97" i="2"/>
  <c r="AY97" i="2"/>
  <c r="AV97" i="2"/>
  <c r="AS97" i="2"/>
  <c r="AP97" i="2"/>
  <c r="AM97" i="2"/>
  <c r="AJ97" i="2"/>
  <c r="AG97" i="2"/>
  <c r="AD97" i="2"/>
  <c r="AA97" i="2"/>
  <c r="X97" i="2"/>
  <c r="U97" i="2"/>
  <c r="R97" i="2"/>
  <c r="O97" i="2"/>
  <c r="L97" i="2"/>
  <c r="I97" i="2"/>
  <c r="F97" i="2"/>
  <c r="EQ96" i="2"/>
  <c r="EN96" i="2"/>
  <c r="EK96" i="2"/>
  <c r="EH96" i="2"/>
  <c r="EE96" i="2"/>
  <c r="EB96" i="2"/>
  <c r="DY96" i="2"/>
  <c r="DS96" i="2"/>
  <c r="DP96" i="2"/>
  <c r="DM96" i="2"/>
  <c r="DJ96" i="2"/>
  <c r="DG96" i="2"/>
  <c r="DD96" i="2"/>
  <c r="DA96" i="2"/>
  <c r="CX96" i="2"/>
  <c r="CU96" i="2"/>
  <c r="CR96" i="2"/>
  <c r="CO96" i="2"/>
  <c r="CL96" i="2"/>
  <c r="CI96" i="2"/>
  <c r="CF96" i="2"/>
  <c r="CC96" i="2"/>
  <c r="BZ96" i="2"/>
  <c r="BW96" i="2"/>
  <c r="BT96" i="2"/>
  <c r="BQ96" i="2"/>
  <c r="BN96" i="2"/>
  <c r="BK96" i="2"/>
  <c r="BH96" i="2"/>
  <c r="BE96" i="2"/>
  <c r="BB96" i="2"/>
  <c r="AY96" i="2"/>
  <c r="AV96" i="2"/>
  <c r="AS96" i="2"/>
  <c r="AP96" i="2"/>
  <c r="AM96" i="2"/>
  <c r="AJ96" i="2"/>
  <c r="AG96" i="2"/>
  <c r="AD96" i="2"/>
  <c r="AA96" i="2"/>
  <c r="X96" i="2"/>
  <c r="U96" i="2"/>
  <c r="R96" i="2"/>
  <c r="O96" i="2"/>
  <c r="L96" i="2"/>
  <c r="I96" i="2"/>
  <c r="F96" i="2"/>
  <c r="DM95" i="2"/>
  <c r="DJ95" i="2"/>
  <c r="DG95" i="2"/>
  <c r="DD95" i="2"/>
  <c r="DA95" i="2"/>
  <c r="CX95" i="2"/>
  <c r="CU95" i="2"/>
  <c r="CR95" i="2"/>
  <c r="CN95" i="2"/>
  <c r="CL95" i="2"/>
  <c r="CI95" i="2"/>
  <c r="CE95" i="2"/>
  <c r="CC95" i="2"/>
  <c r="BZ95" i="2"/>
  <c r="BW95" i="2"/>
  <c r="BT95" i="2"/>
  <c r="BQ95" i="2"/>
  <c r="BN95" i="2"/>
  <c r="BK95" i="2"/>
  <c r="BH95" i="2"/>
  <c r="BE95" i="2"/>
  <c r="BB95" i="2"/>
  <c r="AY95" i="2"/>
  <c r="AV95" i="2"/>
  <c r="AS95" i="2"/>
  <c r="AP95" i="2"/>
  <c r="AM95" i="2"/>
  <c r="AJ95" i="2"/>
  <c r="AG95" i="2"/>
  <c r="AD95" i="2"/>
  <c r="AA95" i="2"/>
  <c r="X95" i="2"/>
  <c r="U95" i="2"/>
  <c r="R95" i="2"/>
  <c r="O95" i="2"/>
  <c r="L95" i="2"/>
  <c r="I95" i="2"/>
  <c r="F95" i="2"/>
  <c r="EQ94" i="2"/>
  <c r="EN94" i="2"/>
  <c r="EK94" i="2"/>
  <c r="EH94" i="2"/>
  <c r="EE94" i="2"/>
  <c r="DY94" i="2"/>
  <c r="DJ94" i="2"/>
  <c r="DG94" i="2"/>
  <c r="DD94" i="2"/>
  <c r="DA94" i="2"/>
  <c r="CX94" i="2"/>
  <c r="CU94" i="2"/>
  <c r="CR94" i="2"/>
  <c r="CP94" i="2"/>
  <c r="CO94" i="2" s="1"/>
  <c r="CL94" i="2"/>
  <c r="CI94" i="2"/>
  <c r="CG94" i="2"/>
  <c r="CC94" i="2"/>
  <c r="BZ94" i="2"/>
  <c r="BW94" i="2"/>
  <c r="BT94" i="2"/>
  <c r="BQ94" i="2"/>
  <c r="BN94" i="2"/>
  <c r="BK94" i="2"/>
  <c r="BH94" i="2"/>
  <c r="BF94" i="2"/>
  <c r="BE94" i="2" s="1"/>
  <c r="BB94" i="2"/>
  <c r="AY94" i="2"/>
  <c r="AV94" i="2"/>
  <c r="AS94" i="2"/>
  <c r="AP94" i="2"/>
  <c r="AM94" i="2"/>
  <c r="AJ94" i="2"/>
  <c r="AG94" i="2"/>
  <c r="AD94" i="2"/>
  <c r="AA94" i="2"/>
  <c r="X94" i="2"/>
  <c r="U94" i="2"/>
  <c r="R94" i="2"/>
  <c r="O94" i="2"/>
  <c r="L94" i="2"/>
  <c r="I94" i="2"/>
  <c r="F94" i="2"/>
  <c r="ER93" i="2"/>
  <c r="EP93" i="2"/>
  <c r="EO93" i="2"/>
  <c r="EM93" i="2"/>
  <c r="EL93" i="2"/>
  <c r="EJ93" i="2"/>
  <c r="EI93" i="2"/>
  <c r="EG93" i="2"/>
  <c r="EF93" i="2"/>
  <c r="ED93" i="2"/>
  <c r="EC93" i="2"/>
  <c r="EA93" i="2"/>
  <c r="DZ93" i="2"/>
  <c r="DU93" i="2"/>
  <c r="DV93" i="2" s="1"/>
  <c r="DT93" i="2"/>
  <c r="DC93" i="2"/>
  <c r="CW93" i="2"/>
  <c r="CT93" i="2"/>
  <c r="CQ93" i="2"/>
  <c r="CP93" i="2"/>
  <c r="CM93" i="2"/>
  <c r="CK93" i="2"/>
  <c r="CJ93" i="2"/>
  <c r="CH93" i="2"/>
  <c r="CD93" i="2"/>
  <c r="CB93" i="2"/>
  <c r="CA93" i="2"/>
  <c r="BY93" i="2"/>
  <c r="BX93" i="2"/>
  <c r="BV93" i="2"/>
  <c r="BU93" i="2"/>
  <c r="BS93" i="2"/>
  <c r="BR93" i="2"/>
  <c r="BP93" i="2"/>
  <c r="BO93" i="2"/>
  <c r="BM93" i="2"/>
  <c r="BL93" i="2"/>
  <c r="BJ93" i="2"/>
  <c r="BI93" i="2"/>
  <c r="BG93" i="2"/>
  <c r="BF93" i="2"/>
  <c r="BD93" i="2"/>
  <c r="BC93" i="2"/>
  <c r="BA93" i="2"/>
  <c r="AZ93" i="2"/>
  <c r="AX93" i="2"/>
  <c r="AW93" i="2"/>
  <c r="AU93" i="2"/>
  <c r="AT93" i="2"/>
  <c r="AR93" i="2"/>
  <c r="AQ93" i="2"/>
  <c r="AO93" i="2"/>
  <c r="AN93" i="2"/>
  <c r="AL93" i="2"/>
  <c r="AK93" i="2"/>
  <c r="AI93" i="2"/>
  <c r="AH93" i="2"/>
  <c r="AF93" i="2"/>
  <c r="AE93" i="2"/>
  <c r="AC93" i="2"/>
  <c r="AB93" i="2"/>
  <c r="Z93" i="2"/>
  <c r="Y93" i="2"/>
  <c r="W93" i="2"/>
  <c r="V93" i="2"/>
  <c r="T93" i="2"/>
  <c r="S93" i="2"/>
  <c r="Q93" i="2"/>
  <c r="P93" i="2"/>
  <c r="N93" i="2"/>
  <c r="M93" i="2"/>
  <c r="K93" i="2"/>
  <c r="J93" i="2"/>
  <c r="H93" i="2"/>
  <c r="G93" i="2"/>
  <c r="E93" i="2"/>
  <c r="ER92" i="2"/>
  <c r="EP92" i="2"/>
  <c r="EO92" i="2"/>
  <c r="EM92" i="2"/>
  <c r="EL92" i="2"/>
  <c r="EJ92" i="2"/>
  <c r="EI92" i="2"/>
  <c r="EG92" i="2"/>
  <c r="EF92" i="2"/>
  <c r="ED92" i="2"/>
  <c r="EC92" i="2"/>
  <c r="EA92" i="2"/>
  <c r="DZ92" i="2"/>
  <c r="DU92" i="2"/>
  <c r="DV92" i="2" s="1"/>
  <c r="DC92" i="2"/>
  <c r="CW92" i="2"/>
  <c r="CT92" i="2"/>
  <c r="CQ92" i="2"/>
  <c r="CN92" i="2"/>
  <c r="CM92" i="2"/>
  <c r="CK92" i="2"/>
  <c r="CJ92" i="2"/>
  <c r="CH92" i="2"/>
  <c r="CE92" i="2"/>
  <c r="CD92" i="2"/>
  <c r="CB92" i="2"/>
  <c r="CA92" i="2"/>
  <c r="BY92" i="2"/>
  <c r="BX92" i="2"/>
  <c r="BV92" i="2"/>
  <c r="BU92" i="2"/>
  <c r="BS92" i="2"/>
  <c r="BR92" i="2"/>
  <c r="BP92" i="2"/>
  <c r="BO92" i="2"/>
  <c r="BM92" i="2"/>
  <c r="BL92" i="2"/>
  <c r="BJ92" i="2"/>
  <c r="BI92" i="2"/>
  <c r="BG92" i="2"/>
  <c r="BD92" i="2"/>
  <c r="BC92" i="2"/>
  <c r="BA92" i="2"/>
  <c r="AZ92" i="2"/>
  <c r="AX92" i="2"/>
  <c r="AW92" i="2"/>
  <c r="AU92" i="2"/>
  <c r="AT92" i="2"/>
  <c r="AR92" i="2"/>
  <c r="AQ92" i="2"/>
  <c r="AO92" i="2"/>
  <c r="AN92" i="2"/>
  <c r="AL92" i="2"/>
  <c r="AK92" i="2"/>
  <c r="AI92" i="2"/>
  <c r="AH92" i="2"/>
  <c r="AF92" i="2"/>
  <c r="AE92" i="2"/>
  <c r="AC92" i="2"/>
  <c r="AB92" i="2"/>
  <c r="Z92" i="2"/>
  <c r="Y92" i="2"/>
  <c r="W92" i="2"/>
  <c r="V92" i="2"/>
  <c r="T92" i="2"/>
  <c r="S92" i="2"/>
  <c r="Q92" i="2"/>
  <c r="P92" i="2"/>
  <c r="N92" i="2"/>
  <c r="M92" i="2"/>
  <c r="K92" i="2"/>
  <c r="J92" i="2"/>
  <c r="H92" i="2"/>
  <c r="G92" i="2"/>
  <c r="E92" i="2"/>
  <c r="EQ89" i="2"/>
  <c r="EN89" i="2"/>
  <c r="EK89" i="2"/>
  <c r="EH89" i="2"/>
  <c r="EE89" i="2"/>
  <c r="EB89" i="2"/>
  <c r="DY89" i="2"/>
  <c r="DS89" i="2"/>
  <c r="DP89" i="2"/>
  <c r="DM89" i="2"/>
  <c r="DJ89" i="2"/>
  <c r="DG89" i="2"/>
  <c r="DD89" i="2"/>
  <c r="DA89" i="2"/>
  <c r="CX89" i="2"/>
  <c r="CU89" i="2"/>
  <c r="CR89" i="2"/>
  <c r="CO89" i="2"/>
  <c r="CL89" i="2"/>
  <c r="CI89" i="2"/>
  <c r="CF89" i="2"/>
  <c r="CC89" i="2"/>
  <c r="BZ89" i="2"/>
  <c r="BW89" i="2"/>
  <c r="BT89" i="2"/>
  <c r="BQ89" i="2"/>
  <c r="BN89" i="2"/>
  <c r="BK89" i="2"/>
  <c r="BH89" i="2"/>
  <c r="BE89" i="2"/>
  <c r="BB89" i="2"/>
  <c r="AY89" i="2"/>
  <c r="AV89" i="2"/>
  <c r="AS89" i="2"/>
  <c r="AP89" i="2"/>
  <c r="AM89" i="2"/>
  <c r="AJ89" i="2"/>
  <c r="AG89" i="2"/>
  <c r="AD89" i="2"/>
  <c r="AA89" i="2"/>
  <c r="X89" i="2"/>
  <c r="U89" i="2"/>
  <c r="R89" i="2"/>
  <c r="O89" i="2"/>
  <c r="L89" i="2"/>
  <c r="I89" i="2"/>
  <c r="F89" i="2"/>
  <c r="EQ88" i="2"/>
  <c r="EN88" i="2"/>
  <c r="EK88" i="2"/>
  <c r="EH88" i="2"/>
  <c r="EE88" i="2"/>
  <c r="EB88" i="2"/>
  <c r="DY88" i="2"/>
  <c r="DS88" i="2"/>
  <c r="DP88" i="2"/>
  <c r="DM88" i="2"/>
  <c r="DJ88" i="2"/>
  <c r="DG88" i="2"/>
  <c r="DD88" i="2"/>
  <c r="DA88" i="2"/>
  <c r="CX88" i="2"/>
  <c r="CU88" i="2"/>
  <c r="CR88" i="2"/>
  <c r="CO88" i="2"/>
  <c r="CL88" i="2"/>
  <c r="CI88" i="2"/>
  <c r="CF88" i="2"/>
  <c r="CC88" i="2"/>
  <c r="BZ88" i="2"/>
  <c r="BW88" i="2"/>
  <c r="BT88" i="2"/>
  <c r="BQ88" i="2"/>
  <c r="BN88" i="2"/>
  <c r="BK88" i="2"/>
  <c r="BH88" i="2"/>
  <c r="BE88" i="2"/>
  <c r="BB88" i="2"/>
  <c r="AY88" i="2"/>
  <c r="AV88" i="2"/>
  <c r="AS88" i="2"/>
  <c r="AP88" i="2"/>
  <c r="AM88" i="2"/>
  <c r="AJ88" i="2"/>
  <c r="AG88" i="2"/>
  <c r="AD88" i="2"/>
  <c r="AA88" i="2"/>
  <c r="X88" i="2"/>
  <c r="U88" i="2"/>
  <c r="R88" i="2"/>
  <c r="O88" i="2"/>
  <c r="L88" i="2"/>
  <c r="I88" i="2"/>
  <c r="F88" i="2"/>
  <c r="EQ87" i="2"/>
  <c r="EN87" i="2"/>
  <c r="EK87" i="2"/>
  <c r="EH87" i="2"/>
  <c r="EE87" i="2"/>
  <c r="EB87" i="2"/>
  <c r="DY87" i="2"/>
  <c r="DS87" i="2"/>
  <c r="DP87" i="2"/>
  <c r="DM87" i="2"/>
  <c r="DJ87" i="2"/>
  <c r="DG87" i="2"/>
  <c r="DD87" i="2"/>
  <c r="DA87" i="2"/>
  <c r="CX87" i="2"/>
  <c r="CU87" i="2"/>
  <c r="CR87" i="2"/>
  <c r="CO87" i="2"/>
  <c r="CL87" i="2"/>
  <c r="CI87" i="2"/>
  <c r="CF87" i="2"/>
  <c r="CC87" i="2"/>
  <c r="BZ87" i="2"/>
  <c r="BW87" i="2"/>
  <c r="BT87" i="2"/>
  <c r="BQ87" i="2"/>
  <c r="BN87" i="2"/>
  <c r="BK87" i="2"/>
  <c r="BH87" i="2"/>
  <c r="BE87" i="2"/>
  <c r="BB87" i="2"/>
  <c r="AY87" i="2"/>
  <c r="AV87" i="2"/>
  <c r="AS87" i="2"/>
  <c r="AP87" i="2"/>
  <c r="AM87" i="2"/>
  <c r="AJ87" i="2"/>
  <c r="AG87" i="2"/>
  <c r="AD87" i="2"/>
  <c r="AA87" i="2"/>
  <c r="X87" i="2"/>
  <c r="U87" i="2"/>
  <c r="R87" i="2"/>
  <c r="O87" i="2"/>
  <c r="L87" i="2"/>
  <c r="I87" i="2"/>
  <c r="F87" i="2"/>
  <c r="DM86" i="2"/>
  <c r="DJ86" i="2"/>
  <c r="BO86" i="2"/>
  <c r="BO85" i="2" s="1"/>
  <c r="BM86" i="2"/>
  <c r="BM85" i="2" s="1"/>
  <c r="BI86" i="2"/>
  <c r="BI85" i="2" s="1"/>
  <c r="BF86" i="2"/>
  <c r="BC86" i="2"/>
  <c r="BC85" i="2" s="1"/>
  <c r="BA86" i="2"/>
  <c r="BA85" i="2" s="1"/>
  <c r="AZ86" i="2"/>
  <c r="AZ85" i="2" s="1"/>
  <c r="AX86" i="2"/>
  <c r="AX85" i="2" s="1"/>
  <c r="AW86" i="2"/>
  <c r="AU86" i="2"/>
  <c r="AU85" i="2" s="1"/>
  <c r="AT86" i="2"/>
  <c r="AT85" i="2" s="1"/>
  <c r="AR86" i="2"/>
  <c r="AR85" i="2" s="1"/>
  <c r="AQ86" i="2"/>
  <c r="AQ85" i="2" s="1"/>
  <c r="AO86" i="2"/>
  <c r="AN86" i="2"/>
  <c r="AN85" i="2" s="1"/>
  <c r="AL86" i="2"/>
  <c r="AK86" i="2"/>
  <c r="AK85" i="2" s="1"/>
  <c r="AI86" i="2"/>
  <c r="AG86" i="2"/>
  <c r="AD86" i="2"/>
  <c r="AA86" i="2"/>
  <c r="X86" i="2"/>
  <c r="U86" i="2"/>
  <c r="R86" i="2"/>
  <c r="O86" i="2"/>
  <c r="L86" i="2"/>
  <c r="I86" i="2"/>
  <c r="F86" i="2"/>
  <c r="AH85" i="2"/>
  <c r="AF85" i="2"/>
  <c r="AE85" i="2"/>
  <c r="AC85" i="2"/>
  <c r="AB85" i="2"/>
  <c r="Z85" i="2"/>
  <c r="Y85" i="2"/>
  <c r="W85" i="2"/>
  <c r="V85" i="2"/>
  <c r="T85" i="2"/>
  <c r="S85" i="2"/>
  <c r="Q85" i="2"/>
  <c r="P85" i="2"/>
  <c r="N85" i="2"/>
  <c r="M85" i="2"/>
  <c r="K85" i="2"/>
  <c r="J85" i="2"/>
  <c r="H85" i="2"/>
  <c r="G85" i="2"/>
  <c r="E85" i="2"/>
  <c r="BC84" i="2"/>
  <c r="BC10" i="2" s="1"/>
  <c r="BA84" i="2"/>
  <c r="BA163" i="2" s="1"/>
  <c r="AX84" i="2"/>
  <c r="AX163" i="2" s="1"/>
  <c r="AU84" i="2"/>
  <c r="AU10" i="2" s="1"/>
  <c r="AW84" i="2"/>
  <c r="AT84" i="2"/>
  <c r="AR84" i="2"/>
  <c r="AO84" i="2"/>
  <c r="AO163" i="2" s="1"/>
  <c r="AQ84" i="2"/>
  <c r="AQ163" i="2" s="1"/>
  <c r="AN84" i="2"/>
  <c r="AN10" i="2" s="1"/>
  <c r="AL84" i="2"/>
  <c r="AL163" i="2" s="1"/>
  <c r="AI84" i="2"/>
  <c r="AI163" i="2" s="1"/>
  <c r="AK84" i="2"/>
  <c r="AH84" i="2"/>
  <c r="AF84" i="2"/>
  <c r="AF10" i="2" s="1"/>
  <c r="AE84" i="2"/>
  <c r="AE10" i="2" s="1"/>
  <c r="AC84" i="2"/>
  <c r="AB84" i="2"/>
  <c r="AB10" i="2" s="1"/>
  <c r="Z84" i="2"/>
  <c r="Y84" i="2"/>
  <c r="Y10" i="2" s="1"/>
  <c r="W84" i="2"/>
  <c r="V84" i="2"/>
  <c r="V10" i="2" s="1"/>
  <c r="T84" i="2"/>
  <c r="S84" i="2"/>
  <c r="Q84" i="2"/>
  <c r="Q10" i="2" s="1"/>
  <c r="P84" i="2"/>
  <c r="P10" i="2" s="1"/>
  <c r="N84" i="2"/>
  <c r="M84" i="2"/>
  <c r="K84" i="2"/>
  <c r="J84" i="2"/>
  <c r="J10" i="2" s="1"/>
  <c r="H84" i="2"/>
  <c r="H10" i="2" s="1"/>
  <c r="G84" i="2"/>
  <c r="G10" i="2" s="1"/>
  <c r="E84" i="2"/>
  <c r="ER83" i="2"/>
  <c r="EP83" i="2"/>
  <c r="EO83" i="2"/>
  <c r="EM83" i="2"/>
  <c r="EL83" i="2"/>
  <c r="EJ83" i="2"/>
  <c r="EI83" i="2"/>
  <c r="EG83" i="2"/>
  <c r="EF83" i="2"/>
  <c r="ED83" i="2"/>
  <c r="EC83" i="2"/>
  <c r="EA83" i="2"/>
  <c r="DZ83" i="2"/>
  <c r="DU83" i="2"/>
  <c r="DV83" i="2" s="1"/>
  <c r="DT83" i="2"/>
  <c r="CP83" i="2"/>
  <c r="CN83" i="2"/>
  <c r="CM83" i="2"/>
  <c r="CK83" i="2"/>
  <c r="CJ83" i="2"/>
  <c r="CH83" i="2"/>
  <c r="CG83" i="2"/>
  <c r="CE83" i="2"/>
  <c r="CD83" i="2"/>
  <c r="CB83" i="2"/>
  <c r="CA83" i="2"/>
  <c r="BY83" i="2"/>
  <c r="BX83" i="2"/>
  <c r="BV83" i="2"/>
  <c r="BU83" i="2"/>
  <c r="BU84" i="2" s="1"/>
  <c r="BS83" i="2"/>
  <c r="BS84" i="2" s="1"/>
  <c r="BR83" i="2"/>
  <c r="BP83" i="2"/>
  <c r="BO83" i="2"/>
  <c r="BO84" i="2" s="1"/>
  <c r="BM83" i="2"/>
  <c r="BL83" i="2"/>
  <c r="BL84" i="2" s="1"/>
  <c r="BJ83" i="2"/>
  <c r="BJ84" i="2" s="1"/>
  <c r="BI83" i="2"/>
  <c r="BG83" i="2"/>
  <c r="BF83" i="2"/>
  <c r="BD83" i="2"/>
  <c r="BB83" i="2"/>
  <c r="AY83" i="2"/>
  <c r="AV83" i="2"/>
  <c r="AS83" i="2"/>
  <c r="AP83" i="2"/>
  <c r="AM83" i="2"/>
  <c r="AJ83" i="2"/>
  <c r="AG83" i="2"/>
  <c r="AD83" i="2"/>
  <c r="AA83" i="2"/>
  <c r="X83" i="2"/>
  <c r="U83" i="2"/>
  <c r="R83" i="2"/>
  <c r="O83" i="2"/>
  <c r="L83" i="2"/>
  <c r="I83" i="2"/>
  <c r="F83" i="2"/>
  <c r="ER82" i="2"/>
  <c r="EP82" i="2"/>
  <c r="EO82" i="2"/>
  <c r="EM82" i="2"/>
  <c r="EL82" i="2"/>
  <c r="EJ82" i="2"/>
  <c r="EI82" i="2"/>
  <c r="EG82" i="2"/>
  <c r="EF82" i="2"/>
  <c r="ED82" i="2"/>
  <c r="EC82" i="2"/>
  <c r="EA82" i="2"/>
  <c r="DU82" i="2"/>
  <c r="DV82" i="2" s="1"/>
  <c r="DM82" i="2"/>
  <c r="CP82" i="2"/>
  <c r="CN82" i="2"/>
  <c r="CM82" i="2"/>
  <c r="CK82" i="2"/>
  <c r="CJ82" i="2"/>
  <c r="CH82" i="2"/>
  <c r="CG82" i="2"/>
  <c r="CE82" i="2"/>
  <c r="CD82" i="2"/>
  <c r="CB82" i="2"/>
  <c r="CA82" i="2"/>
  <c r="BY82" i="2"/>
  <c r="BX82" i="2"/>
  <c r="BV82" i="2"/>
  <c r="BT82" i="2"/>
  <c r="BP82" i="2"/>
  <c r="BQ82" i="2" s="1"/>
  <c r="BN82" i="2"/>
  <c r="BK82" i="2"/>
  <c r="BI82" i="2"/>
  <c r="BG82" i="2"/>
  <c r="BF82" i="2"/>
  <c r="BD82" i="2"/>
  <c r="BB82" i="2"/>
  <c r="AY82" i="2"/>
  <c r="AV82" i="2"/>
  <c r="AS82" i="2"/>
  <c r="AP82" i="2"/>
  <c r="AM82" i="2"/>
  <c r="AJ82" i="2"/>
  <c r="AG82" i="2"/>
  <c r="AD82" i="2"/>
  <c r="AA82" i="2"/>
  <c r="X82" i="2"/>
  <c r="U82" i="2"/>
  <c r="R82" i="2"/>
  <c r="O82" i="2"/>
  <c r="L82" i="2"/>
  <c r="I82" i="2"/>
  <c r="F82" i="2"/>
  <c r="CS81" i="2"/>
  <c r="CM81" i="2"/>
  <c r="CM147" i="3" s="1"/>
  <c r="CL153" i="3" s="1"/>
  <c r="CK81" i="2"/>
  <c r="CK147" i="3" s="1"/>
  <c r="CJ81" i="2"/>
  <c r="CH81" i="2"/>
  <c r="CG81" i="2"/>
  <c r="CD81" i="2"/>
  <c r="CB81" i="2"/>
  <c r="CA81" i="2"/>
  <c r="CA147" i="3" s="1"/>
  <c r="BZ153" i="3" s="1"/>
  <c r="BY81" i="2"/>
  <c r="BY147" i="3" s="1"/>
  <c r="BX81" i="2"/>
  <c r="BX147" i="3" s="1"/>
  <c r="BW153" i="3" s="1"/>
  <c r="BV81" i="2"/>
  <c r="BV147" i="3" s="1"/>
  <c r="BU81" i="2"/>
  <c r="BU147" i="3" s="1"/>
  <c r="BT153" i="3" s="1"/>
  <c r="BS81" i="2"/>
  <c r="BS147" i="3" s="1"/>
  <c r="BR81" i="2"/>
  <c r="BR147" i="3" s="1"/>
  <c r="BQ153" i="3" s="1"/>
  <c r="BP81" i="2"/>
  <c r="BP147" i="3" s="1"/>
  <c r="BO81" i="2"/>
  <c r="BO147" i="3" s="1"/>
  <c r="BN153" i="3" s="1"/>
  <c r="BM81" i="2"/>
  <c r="BM147" i="3" s="1"/>
  <c r="BL81" i="2"/>
  <c r="BL147" i="3" s="1"/>
  <c r="BJ81" i="2"/>
  <c r="BG81" i="2"/>
  <c r="BG147" i="3" s="1"/>
  <c r="BD81" i="2"/>
  <c r="BD147" i="3" s="1"/>
  <c r="BD150" i="3" s="1"/>
  <c r="BC81" i="2"/>
  <c r="BA81" i="2"/>
  <c r="AX81" i="2"/>
  <c r="AX147" i="3" s="1"/>
  <c r="AW81" i="2"/>
  <c r="AU81" i="2"/>
  <c r="AU147" i="3" s="1"/>
  <c r="AT81" i="2"/>
  <c r="AR81" i="2"/>
  <c r="AR147" i="3" s="1"/>
  <c r="AQ81" i="2"/>
  <c r="AQ147" i="3" s="1"/>
  <c r="AO81" i="2"/>
  <c r="AO147" i="3" s="1"/>
  <c r="AN81" i="2"/>
  <c r="AL81" i="2"/>
  <c r="AL147" i="3" s="1"/>
  <c r="AK81" i="2"/>
  <c r="AK147" i="3" s="1"/>
  <c r="AI81" i="2"/>
  <c r="AI147" i="3" s="1"/>
  <c r="CP80" i="2"/>
  <c r="CN80" i="2"/>
  <c r="CN618" i="2" s="1"/>
  <c r="CL80" i="2"/>
  <c r="CL618" i="2" s="1"/>
  <c r="CI80" i="2"/>
  <c r="CE80" i="2"/>
  <c r="CC80" i="2"/>
  <c r="BZ80" i="2"/>
  <c r="BZ618" i="2" s="1"/>
  <c r="BW80" i="2"/>
  <c r="BT80" i="2"/>
  <c r="BQ80" i="2"/>
  <c r="BQ618" i="2" s="1"/>
  <c r="BN80" i="2"/>
  <c r="BN618" i="2" s="1"/>
  <c r="BK80" i="2"/>
  <c r="BI80" i="2"/>
  <c r="BE80" i="2"/>
  <c r="BE618" i="2" s="1"/>
  <c r="BB80" i="2"/>
  <c r="BB618" i="2" s="1"/>
  <c r="AZ80" i="2"/>
  <c r="AV80" i="2"/>
  <c r="AV618" i="2" s="1"/>
  <c r="AS80" i="2"/>
  <c r="AS618" i="2" s="1"/>
  <c r="AP80" i="2"/>
  <c r="AP618" i="2" s="1"/>
  <c r="AM80" i="2"/>
  <c r="AM79" i="2"/>
  <c r="AJ80" i="2"/>
  <c r="AG80" i="2"/>
  <c r="AD80" i="2"/>
  <c r="AA80" i="2"/>
  <c r="X80" i="2"/>
  <c r="U80" i="2"/>
  <c r="R80" i="2"/>
  <c r="O80" i="2"/>
  <c r="L80" i="2"/>
  <c r="I80" i="2"/>
  <c r="F80" i="2"/>
  <c r="CX79" i="2"/>
  <c r="CU79" i="2"/>
  <c r="CR79" i="2"/>
  <c r="CP79" i="2"/>
  <c r="CP151" i="3" s="1"/>
  <c r="CN79" i="2"/>
  <c r="CL79" i="2"/>
  <c r="CI79" i="2"/>
  <c r="CE79" i="2"/>
  <c r="CF79" i="2" s="1"/>
  <c r="CC79" i="2"/>
  <c r="BZ79" i="2"/>
  <c r="BW79" i="2"/>
  <c r="BT79" i="2"/>
  <c r="BQ79" i="2"/>
  <c r="BN79" i="2"/>
  <c r="BK79" i="2"/>
  <c r="BH79" i="2"/>
  <c r="BF79" i="2"/>
  <c r="BB79" i="2"/>
  <c r="AY79" i="2"/>
  <c r="AV79" i="2"/>
  <c r="AS79" i="2"/>
  <c r="AP79" i="2"/>
  <c r="AJ79" i="2"/>
  <c r="AG79" i="2"/>
  <c r="AD79" i="2"/>
  <c r="AA79" i="2"/>
  <c r="X79" i="2"/>
  <c r="U79" i="2"/>
  <c r="R79" i="2"/>
  <c r="O79" i="2"/>
  <c r="L79" i="2"/>
  <c r="I79" i="2"/>
  <c r="F79" i="2"/>
  <c r="BL78" i="2"/>
  <c r="BM78" i="2" s="1"/>
  <c r="BO78" i="2" s="1"/>
  <c r="BH78" i="2"/>
  <c r="BE78" i="2"/>
  <c r="BB78" i="2"/>
  <c r="AY78" i="2"/>
  <c r="AV78" i="2"/>
  <c r="AS78" i="2"/>
  <c r="AP78" i="2"/>
  <c r="AM78" i="2"/>
  <c r="AJ78" i="2"/>
  <c r="AG78" i="2"/>
  <c r="AD78" i="2"/>
  <c r="AA78" i="2"/>
  <c r="X78" i="2"/>
  <c r="U78" i="2"/>
  <c r="R78" i="2"/>
  <c r="O78" i="2"/>
  <c r="L78" i="2"/>
  <c r="I78" i="2"/>
  <c r="F78" i="2"/>
  <c r="BK77" i="2"/>
  <c r="BH77" i="2"/>
  <c r="BE77" i="2"/>
  <c r="BB77" i="2"/>
  <c r="AY77" i="2"/>
  <c r="AV77" i="2"/>
  <c r="AS77" i="2"/>
  <c r="AP77" i="2"/>
  <c r="AM77" i="2"/>
  <c r="AJ77" i="2"/>
  <c r="AG77" i="2"/>
  <c r="AD77" i="2"/>
  <c r="AA77" i="2"/>
  <c r="X77" i="2"/>
  <c r="U77" i="2"/>
  <c r="R77" i="2"/>
  <c r="O77" i="2"/>
  <c r="L77" i="2"/>
  <c r="I77" i="2"/>
  <c r="F77" i="2"/>
  <c r="CL76" i="2"/>
  <c r="CI76" i="2"/>
  <c r="CF76" i="2"/>
  <c r="CC76" i="2"/>
  <c r="BZ76" i="2"/>
  <c r="BW76" i="2"/>
  <c r="BT76" i="2"/>
  <c r="BQ76" i="2"/>
  <c r="BN76" i="2"/>
  <c r="BK76" i="2"/>
  <c r="BH76" i="2"/>
  <c r="BE76" i="2"/>
  <c r="BB76" i="2"/>
  <c r="AY76" i="2"/>
  <c r="AV76" i="2"/>
  <c r="AS76" i="2"/>
  <c r="AP76" i="2"/>
  <c r="AM76" i="2"/>
  <c r="AI76" i="2"/>
  <c r="AI127" i="3" s="1"/>
  <c r="AG76" i="2"/>
  <c r="AD76" i="2"/>
  <c r="AA76" i="2"/>
  <c r="X76" i="2"/>
  <c r="U76" i="2"/>
  <c r="R76" i="2"/>
  <c r="O76" i="2"/>
  <c r="L76" i="2"/>
  <c r="I76" i="2"/>
  <c r="F76" i="2"/>
  <c r="CL75" i="2"/>
  <c r="CL505" i="2" s="1"/>
  <c r="CI75" i="2"/>
  <c r="CI505" i="2" s="1"/>
  <c r="CF75" i="2"/>
  <c r="CF505" i="2" s="1"/>
  <c r="CC75" i="2"/>
  <c r="CC505" i="2" s="1"/>
  <c r="BZ75" i="2"/>
  <c r="BW75" i="2"/>
  <c r="BW109" i="3" s="1"/>
  <c r="BT75" i="2"/>
  <c r="BP75" i="2"/>
  <c r="BN75" i="2"/>
  <c r="BN505" i="2" s="1"/>
  <c r="BK75" i="2"/>
  <c r="BK505" i="2" s="1"/>
  <c r="BH75" i="2"/>
  <c r="BE75" i="2"/>
  <c r="BE109" i="3" s="1"/>
  <c r="BB75" i="2"/>
  <c r="BB109" i="3" s="1"/>
  <c r="AY75" i="2"/>
  <c r="AV75" i="2"/>
  <c r="AV109" i="3" s="1"/>
  <c r="AT75" i="2"/>
  <c r="AR75" i="2"/>
  <c r="AR35" i="2" s="1"/>
  <c r="AQ75" i="2"/>
  <c r="AQ110" i="3" s="1"/>
  <c r="AO75" i="2"/>
  <c r="AN75" i="2"/>
  <c r="AN110" i="3" s="1"/>
  <c r="AI75" i="2"/>
  <c r="AJ75" i="2" s="1"/>
  <c r="AJ109" i="3" s="1"/>
  <c r="AG75" i="2"/>
  <c r="AD75" i="2"/>
  <c r="AA75" i="2"/>
  <c r="X75" i="2"/>
  <c r="U75" i="2"/>
  <c r="R75" i="2"/>
  <c r="O75" i="2"/>
  <c r="L75" i="2"/>
  <c r="I75" i="2"/>
  <c r="F75" i="2"/>
  <c r="BL74" i="2"/>
  <c r="BJ74" i="2"/>
  <c r="BJ72" i="2" s="1"/>
  <c r="BI74" i="2"/>
  <c r="BI479" i="2" s="1"/>
  <c r="BG74" i="2"/>
  <c r="BG72" i="2" s="1"/>
  <c r="BF74" i="2"/>
  <c r="BF479" i="2" s="1"/>
  <c r="BF480" i="2" s="1"/>
  <c r="BD74" i="2"/>
  <c r="BC74" i="2"/>
  <c r="BA74" i="2"/>
  <c r="BA72" i="2" s="1"/>
  <c r="AZ74" i="2"/>
  <c r="AX74" i="2"/>
  <c r="AX72" i="2" s="1"/>
  <c r="AX4" i="3" s="1"/>
  <c r="AX10" i="3" s="1"/>
  <c r="AW74" i="2"/>
  <c r="AW72" i="2" s="1"/>
  <c r="AU74" i="2"/>
  <c r="AL74" i="2"/>
  <c r="AL72" i="2" s="1"/>
  <c r="AK74" i="2"/>
  <c r="AK72" i="2" s="1"/>
  <c r="AH74" i="2"/>
  <c r="AF74" i="2"/>
  <c r="AF72" i="2" s="1"/>
  <c r="AF180" i="2" s="1"/>
  <c r="AF184" i="2" s="1"/>
  <c r="AE74" i="2"/>
  <c r="AE72" i="2" s="1"/>
  <c r="AE68" i="2" s="1"/>
  <c r="AC74" i="2"/>
  <c r="AC72" i="2" s="1"/>
  <c r="AB74" i="2"/>
  <c r="AB72" i="2" s="1"/>
  <c r="Z74" i="2"/>
  <c r="Z72" i="2" s="1"/>
  <c r="Z180" i="2" s="1"/>
  <c r="Y74" i="2"/>
  <c r="Y72" i="2" s="1"/>
  <c r="Y180" i="2" s="1"/>
  <c r="W74" i="2"/>
  <c r="W72" i="2" s="1"/>
  <c r="W4" i="3" s="1"/>
  <c r="W10" i="3" s="1"/>
  <c r="V74" i="2"/>
  <c r="V72" i="2" s="1"/>
  <c r="T74" i="2"/>
  <c r="S74" i="2"/>
  <c r="Q74" i="2"/>
  <c r="Q72" i="2" s="1"/>
  <c r="P74" i="2"/>
  <c r="P72" i="2" s="1"/>
  <c r="P180" i="2" s="1"/>
  <c r="P184" i="2" s="1"/>
  <c r="P187" i="2" s="1"/>
  <c r="N74" i="2"/>
  <c r="N72" i="2" s="1"/>
  <c r="M74" i="2"/>
  <c r="K74" i="2"/>
  <c r="K72" i="2" s="1"/>
  <c r="J74" i="2"/>
  <c r="J72" i="2" s="1"/>
  <c r="H74" i="2"/>
  <c r="G74" i="2"/>
  <c r="G72" i="2" s="1"/>
  <c r="G4" i="3" s="1"/>
  <c r="G10" i="3" s="1"/>
  <c r="E74" i="2"/>
  <c r="E72" i="2" s="1"/>
  <c r="E64" i="2"/>
  <c r="E62" i="2" s="1"/>
  <c r="E27" i="3" s="1"/>
  <c r="BN70" i="2"/>
  <c r="BN460" i="2" s="1"/>
  <c r="BL70" i="2"/>
  <c r="BL460" i="2" s="1"/>
  <c r="BJ70" i="2"/>
  <c r="BJ86" i="2" s="1"/>
  <c r="BJ85" i="2" s="1"/>
  <c r="BI70" i="2"/>
  <c r="BI460" i="2" s="1"/>
  <c r="BG70" i="2"/>
  <c r="BF70" i="2"/>
  <c r="BD70" i="2"/>
  <c r="BB70" i="2"/>
  <c r="BB460" i="2" s="1"/>
  <c r="AY70" i="2"/>
  <c r="AY460" i="2" s="1"/>
  <c r="AV70" i="2"/>
  <c r="AV460" i="2" s="1"/>
  <c r="AS70" i="2"/>
  <c r="AS460" i="2" s="1"/>
  <c r="AP70" i="2"/>
  <c r="AP460" i="2" s="1"/>
  <c r="AM70" i="2"/>
  <c r="AM460" i="2" s="1"/>
  <c r="AJ70" i="2"/>
  <c r="AJ460" i="2" s="1"/>
  <c r="AG70" i="2"/>
  <c r="AG460" i="2" s="1"/>
  <c r="AD70" i="2"/>
  <c r="AD460" i="2" s="1"/>
  <c r="AA70" i="2"/>
  <c r="AA460" i="2" s="1"/>
  <c r="X70" i="2"/>
  <c r="X460" i="2" s="1"/>
  <c r="U70" i="2"/>
  <c r="U460" i="2" s="1"/>
  <c r="R70" i="2"/>
  <c r="R460" i="2" s="1"/>
  <c r="O70" i="2"/>
  <c r="O460" i="2" s="1"/>
  <c r="L70" i="2"/>
  <c r="L460" i="2" s="1"/>
  <c r="I70" i="2"/>
  <c r="I460" i="2" s="1"/>
  <c r="F70" i="2"/>
  <c r="ER67" i="2"/>
  <c r="EP67" i="2"/>
  <c r="EO67" i="2"/>
  <c r="EM67" i="2"/>
  <c r="EL67" i="2"/>
  <c r="EJ67" i="2"/>
  <c r="EI67" i="2"/>
  <c r="EG67" i="2"/>
  <c r="EF67" i="2"/>
  <c r="ED67" i="2"/>
  <c r="EC67" i="2"/>
  <c r="EA67" i="2"/>
  <c r="DO67" i="2"/>
  <c r="DI67" i="2"/>
  <c r="DF67" i="2"/>
  <c r="DC67" i="2"/>
  <c r="CZ67" i="2"/>
  <c r="CZ65" i="2"/>
  <c r="CZ66" i="2"/>
  <c r="CW67" i="2"/>
  <c r="CT67" i="2"/>
  <c r="CQ67" i="2"/>
  <c r="CP67" i="2"/>
  <c r="CN67" i="2"/>
  <c r="CM67" i="2"/>
  <c r="CK67" i="2"/>
  <c r="CJ67" i="2"/>
  <c r="CH67" i="2"/>
  <c r="CG67" i="2"/>
  <c r="CE67" i="2"/>
  <c r="CD67" i="2"/>
  <c r="CB67" i="2"/>
  <c r="CA67" i="2"/>
  <c r="BY67" i="2"/>
  <c r="BX67" i="2"/>
  <c r="BV67" i="2"/>
  <c r="BU67" i="2"/>
  <c r="BS67" i="2"/>
  <c r="BR67" i="2"/>
  <c r="BP67" i="2"/>
  <c r="BM67" i="2"/>
  <c r="BN67" i="2" s="1"/>
  <c r="BL67" i="2"/>
  <c r="BJ67" i="2"/>
  <c r="BI67" i="2"/>
  <c r="BG67" i="2"/>
  <c r="BF67" i="2"/>
  <c r="BD67" i="2"/>
  <c r="BB67" i="2"/>
  <c r="AY67" i="2"/>
  <c r="AV67" i="2"/>
  <c r="AS67" i="2"/>
  <c r="AP67" i="2"/>
  <c r="AM67" i="2"/>
  <c r="AJ67" i="2"/>
  <c r="AG67" i="2"/>
  <c r="AD67" i="2"/>
  <c r="AA67" i="2"/>
  <c r="X67" i="2"/>
  <c r="U67" i="2"/>
  <c r="R67" i="2"/>
  <c r="O67" i="2"/>
  <c r="L67" i="2"/>
  <c r="I67" i="2"/>
  <c r="F67" i="2"/>
  <c r="ER66" i="2"/>
  <c r="EP66" i="2"/>
  <c r="EO66" i="2"/>
  <c r="EM66" i="2"/>
  <c r="EL66" i="2"/>
  <c r="EJ66" i="2"/>
  <c r="EI66" i="2"/>
  <c r="EG66" i="2"/>
  <c r="EF66" i="2"/>
  <c r="ED66" i="2"/>
  <c r="EC66" i="2"/>
  <c r="EA66" i="2"/>
  <c r="DO66" i="2"/>
  <c r="DI66" i="2"/>
  <c r="DF66" i="2"/>
  <c r="DC66" i="2"/>
  <c r="CW66" i="2"/>
  <c r="CT66" i="2"/>
  <c r="CQ66" i="2"/>
  <c r="CP66" i="2"/>
  <c r="CN66" i="2"/>
  <c r="CM66" i="2"/>
  <c r="CK66" i="2"/>
  <c r="CJ66" i="2"/>
  <c r="CH66" i="2"/>
  <c r="CG66" i="2"/>
  <c r="CE66" i="2"/>
  <c r="CE65" i="2"/>
  <c r="CD66" i="2"/>
  <c r="CB66" i="2"/>
  <c r="CA66" i="2"/>
  <c r="BY66" i="2"/>
  <c r="BX66" i="2"/>
  <c r="BV66" i="2"/>
  <c r="BU66" i="2"/>
  <c r="BS66" i="2"/>
  <c r="BR66" i="2"/>
  <c r="BP66" i="2"/>
  <c r="BO66" i="2"/>
  <c r="BM66" i="2"/>
  <c r="BL66" i="2"/>
  <c r="BJ66" i="2"/>
  <c r="BI66" i="2"/>
  <c r="BG66" i="2"/>
  <c r="BF66" i="2"/>
  <c r="BD66" i="2"/>
  <c r="BB66" i="2"/>
  <c r="AY66" i="2"/>
  <c r="AV66" i="2"/>
  <c r="AS66" i="2"/>
  <c r="AP66" i="2"/>
  <c r="AM66" i="2"/>
  <c r="AJ66" i="2"/>
  <c r="AG66" i="2"/>
  <c r="AD66" i="2"/>
  <c r="AA66" i="2"/>
  <c r="X66" i="2"/>
  <c r="U66" i="2"/>
  <c r="R66" i="2"/>
  <c r="O66" i="2"/>
  <c r="L66" i="2"/>
  <c r="I66" i="2"/>
  <c r="F66" i="2"/>
  <c r="DO65" i="2"/>
  <c r="DI65" i="2"/>
  <c r="DF65" i="2"/>
  <c r="DC65" i="2"/>
  <c r="CW65" i="2"/>
  <c r="CT65" i="2"/>
  <c r="CQ65" i="2"/>
  <c r="CP65" i="2"/>
  <c r="CN65" i="2"/>
  <c r="CM65" i="2"/>
  <c r="CK65" i="2"/>
  <c r="CJ65" i="2"/>
  <c r="CH65" i="2"/>
  <c r="CG65" i="2"/>
  <c r="CB65" i="2"/>
  <c r="BZ65" i="2"/>
  <c r="BV65" i="2"/>
  <c r="BS65" i="2"/>
  <c r="BT65" i="2" s="1"/>
  <c r="BP65" i="2"/>
  <c r="BQ65" i="2" s="1"/>
  <c r="BM65" i="2"/>
  <c r="BJ65" i="2"/>
  <c r="BK65" i="2" s="1"/>
  <c r="BI65" i="2"/>
  <c r="BG65" i="2"/>
  <c r="BF65" i="2"/>
  <c r="BD65" i="2"/>
  <c r="BB65" i="2"/>
  <c r="AY65" i="2"/>
  <c r="AV65" i="2"/>
  <c r="AS65" i="2"/>
  <c r="AP65" i="2"/>
  <c r="AM65" i="2"/>
  <c r="AJ65" i="2"/>
  <c r="AG65" i="2"/>
  <c r="AD65" i="2"/>
  <c r="AA65" i="2"/>
  <c r="X65" i="2"/>
  <c r="U65" i="2"/>
  <c r="R65" i="2"/>
  <c r="O65" i="2"/>
  <c r="L65" i="2"/>
  <c r="I65" i="2"/>
  <c r="F65" i="2"/>
  <c r="BC64" i="2"/>
  <c r="BA64" i="2"/>
  <c r="AZ64" i="2"/>
  <c r="AX64" i="2"/>
  <c r="AX462" i="2" s="1"/>
  <c r="AW64" i="2"/>
  <c r="AW462" i="2" s="1"/>
  <c r="AU64" i="2"/>
  <c r="AU462" i="2" s="1"/>
  <c r="AT64" i="2"/>
  <c r="AR64" i="2"/>
  <c r="AR462" i="2" s="1"/>
  <c r="AQ64" i="2"/>
  <c r="AO64" i="2"/>
  <c r="AO62" i="2" s="1"/>
  <c r="AO27" i="3" s="1"/>
  <c r="AN64" i="2"/>
  <c r="AL64" i="2"/>
  <c r="AL462" i="2" s="1"/>
  <c r="AK64" i="2"/>
  <c r="AI64" i="2"/>
  <c r="AI62" i="2" s="1"/>
  <c r="AI27" i="3" s="1"/>
  <c r="AH64" i="2"/>
  <c r="AF64" i="2"/>
  <c r="AF62" i="2" s="1"/>
  <c r="AE64" i="2"/>
  <c r="AC64" i="2"/>
  <c r="AC462" i="2" s="1"/>
  <c r="AB64" i="2"/>
  <c r="Z64" i="2"/>
  <c r="Y64" i="2"/>
  <c r="W64" i="2"/>
  <c r="W62" i="2" s="1"/>
  <c r="W27" i="3" s="1"/>
  <c r="V64" i="2"/>
  <c r="T64" i="2"/>
  <c r="S64" i="2"/>
  <c r="S462" i="2" s="1"/>
  <c r="Q64" i="2"/>
  <c r="Q462" i="2" s="1"/>
  <c r="P64" i="2"/>
  <c r="N64" i="2"/>
  <c r="N62" i="2" s="1"/>
  <c r="M64" i="2"/>
  <c r="K64" i="2"/>
  <c r="K62" i="2" s="1"/>
  <c r="K27" i="3" s="1"/>
  <c r="J64" i="2"/>
  <c r="J462" i="2" s="1"/>
  <c r="H64" i="2"/>
  <c r="G64" i="2"/>
  <c r="ER63" i="2"/>
  <c r="EP63" i="2"/>
  <c r="EO63" i="2"/>
  <c r="EM63" i="2"/>
  <c r="EL63" i="2"/>
  <c r="EJ63" i="2"/>
  <c r="EI63" i="2"/>
  <c r="EG63" i="2"/>
  <c r="EF63" i="2"/>
  <c r="ED63" i="2"/>
  <c r="EC63" i="2"/>
  <c r="EA63" i="2"/>
  <c r="DO63" i="2"/>
  <c r="DO461" i="2" s="1"/>
  <c r="DI63" i="2"/>
  <c r="DF63" i="2"/>
  <c r="DF461" i="2" s="1"/>
  <c r="DC63" i="2"/>
  <c r="DC461" i="2" s="1"/>
  <c r="CZ63" i="2"/>
  <c r="CW63" i="2"/>
  <c r="CW461" i="2" s="1"/>
  <c r="CT63" i="2"/>
  <c r="CT461" i="2" s="1"/>
  <c r="CQ63" i="2"/>
  <c r="CQ461" i="2" s="1"/>
  <c r="CP63" i="2"/>
  <c r="CP461" i="2" s="1"/>
  <c r="CN63" i="2"/>
  <c r="CN461" i="2" s="1"/>
  <c r="CM63" i="2"/>
  <c r="CM461" i="2" s="1"/>
  <c r="CK63" i="2"/>
  <c r="CK461" i="2" s="1"/>
  <c r="CJ63" i="2"/>
  <c r="CJ461" i="2" s="1"/>
  <c r="CH63" i="2"/>
  <c r="CG63" i="2"/>
  <c r="CG461" i="2" s="1"/>
  <c r="CE63" i="2"/>
  <c r="CD63" i="2"/>
  <c r="CD461" i="2" s="1"/>
  <c r="CB63" i="2"/>
  <c r="CA63" i="2"/>
  <c r="BY63" i="2"/>
  <c r="BY461" i="2" s="1"/>
  <c r="BX63" i="2"/>
  <c r="BX461" i="2" s="1"/>
  <c r="BV63" i="2"/>
  <c r="BV461" i="2" s="1"/>
  <c r="BU63" i="2"/>
  <c r="BU461" i="2" s="1"/>
  <c r="BS63" i="2"/>
  <c r="BS461" i="2" s="1"/>
  <c r="BR63" i="2"/>
  <c r="BR461" i="2" s="1"/>
  <c r="BP63" i="2"/>
  <c r="BO63" i="2"/>
  <c r="BO461" i="2" s="1"/>
  <c r="BM63" i="2"/>
  <c r="BL63" i="2"/>
  <c r="BJ63" i="2"/>
  <c r="BJ461" i="2" s="1"/>
  <c r="BI63" i="2"/>
  <c r="BG63" i="2"/>
  <c r="BG461" i="2" s="1"/>
  <c r="BF63" i="2"/>
  <c r="BD63" i="2"/>
  <c r="BD461" i="2" s="1"/>
  <c r="BB63" i="2"/>
  <c r="BB461" i="2" s="1"/>
  <c r="AY63" i="2"/>
  <c r="AY461" i="2" s="1"/>
  <c r="AV63" i="2"/>
  <c r="AV461" i="2" s="1"/>
  <c r="AS63" i="2"/>
  <c r="AS461" i="2" s="1"/>
  <c r="AP63" i="2"/>
  <c r="AP461" i="2" s="1"/>
  <c r="AM63" i="2"/>
  <c r="AM461" i="2" s="1"/>
  <c r="AJ63" i="2"/>
  <c r="AJ461" i="2" s="1"/>
  <c r="AG63" i="2"/>
  <c r="AG461" i="2" s="1"/>
  <c r="AD63" i="2"/>
  <c r="AD461" i="2" s="1"/>
  <c r="AA63" i="2"/>
  <c r="AA461" i="2" s="1"/>
  <c r="X63" i="2"/>
  <c r="X461" i="2" s="1"/>
  <c r="U63" i="2"/>
  <c r="U461" i="2" s="1"/>
  <c r="R63" i="2"/>
  <c r="R461" i="2" s="1"/>
  <c r="O63" i="2"/>
  <c r="O461" i="2" s="1"/>
  <c r="L63" i="2"/>
  <c r="L461" i="2" s="1"/>
  <c r="I63" i="2"/>
  <c r="I461" i="2" s="1"/>
  <c r="F63" i="2"/>
  <c r="CG59" i="2"/>
  <c r="BX59" i="2"/>
  <c r="BR59" i="2"/>
  <c r="BI59" i="2"/>
  <c r="BG59" i="2"/>
  <c r="BD59" i="2"/>
  <c r="BE59" i="2" s="1"/>
  <c r="BB59" i="2"/>
  <c r="AY59" i="2"/>
  <c r="AV59" i="2"/>
  <c r="AS59" i="2"/>
  <c r="AP59" i="2"/>
  <c r="AM59" i="2"/>
  <c r="AJ59" i="2"/>
  <c r="AG59" i="2"/>
  <c r="AD59" i="2"/>
  <c r="AA59" i="2"/>
  <c r="X59" i="2"/>
  <c r="U59" i="2"/>
  <c r="R59" i="2"/>
  <c r="O59" i="2"/>
  <c r="L59" i="2"/>
  <c r="I59" i="2"/>
  <c r="F59" i="2"/>
  <c r="ER58" i="2"/>
  <c r="EP58" i="2"/>
  <c r="EO58" i="2"/>
  <c r="EM58" i="2"/>
  <c r="EL58" i="2"/>
  <c r="EJ58" i="2"/>
  <c r="EI58" i="2"/>
  <c r="EG58" i="2"/>
  <c r="EF58" i="2"/>
  <c r="ED58" i="2"/>
  <c r="EC58" i="2"/>
  <c r="EA58" i="2"/>
  <c r="DO58" i="2"/>
  <c r="DI58" i="2"/>
  <c r="DF58" i="2"/>
  <c r="DC58" i="2"/>
  <c r="CZ58" i="2"/>
  <c r="CW58" i="2"/>
  <c r="CT58" i="2"/>
  <c r="CQ58" i="2"/>
  <c r="CP58" i="2"/>
  <c r="CN58" i="2"/>
  <c r="CM58" i="2"/>
  <c r="CK58" i="2"/>
  <c r="CJ58" i="2"/>
  <c r="CH58" i="2"/>
  <c r="CG58" i="2"/>
  <c r="CE58" i="2"/>
  <c r="CD58" i="2"/>
  <c r="CB58" i="2"/>
  <c r="CA58" i="2"/>
  <c r="CA57" i="2" s="1"/>
  <c r="CA26" i="3" s="1"/>
  <c r="BY58" i="2"/>
  <c r="BX58" i="2"/>
  <c r="BV58" i="2"/>
  <c r="BU58" i="2"/>
  <c r="BS58" i="2"/>
  <c r="BR58" i="2"/>
  <c r="BP58" i="2"/>
  <c r="BM58" i="2"/>
  <c r="BJ58" i="2"/>
  <c r="BK58" i="2" s="1"/>
  <c r="BI58" i="2"/>
  <c r="BG58" i="2"/>
  <c r="BF58" i="2"/>
  <c r="BF57" i="2" s="1"/>
  <c r="BD58" i="2"/>
  <c r="BB58" i="2"/>
  <c r="AY58" i="2"/>
  <c r="AV58" i="2"/>
  <c r="AS58" i="2"/>
  <c r="AP58" i="2"/>
  <c r="AM58" i="2"/>
  <c r="AJ58" i="2"/>
  <c r="AG58" i="2"/>
  <c r="AD58" i="2"/>
  <c r="AA58" i="2"/>
  <c r="X58" i="2"/>
  <c r="U58" i="2"/>
  <c r="R58" i="2"/>
  <c r="O58" i="2"/>
  <c r="L58" i="2"/>
  <c r="I58" i="2"/>
  <c r="F58" i="2"/>
  <c r="BO57" i="2"/>
  <c r="BO26" i="3" s="1"/>
  <c r="BL57" i="2"/>
  <c r="BC57" i="2"/>
  <c r="BC26" i="3" s="1"/>
  <c r="BA57" i="2"/>
  <c r="BA26" i="3" s="1"/>
  <c r="AZ57" i="2"/>
  <c r="AZ26" i="3" s="1"/>
  <c r="AX57" i="2"/>
  <c r="AW57" i="2"/>
  <c r="AW26" i="3" s="1"/>
  <c r="AU57" i="2"/>
  <c r="AT57" i="2"/>
  <c r="AT26" i="3" s="1"/>
  <c r="AR57" i="2"/>
  <c r="AQ57" i="2"/>
  <c r="AQ26" i="3" s="1"/>
  <c r="AO57" i="2"/>
  <c r="AO26" i="3" s="1"/>
  <c r="AN57" i="2"/>
  <c r="AL57" i="2"/>
  <c r="AL26" i="3" s="1"/>
  <c r="AK57" i="2"/>
  <c r="AK26" i="3" s="1"/>
  <c r="AI57" i="2"/>
  <c r="AH57" i="2"/>
  <c r="AH26" i="3" s="1"/>
  <c r="AF57" i="2"/>
  <c r="AF26" i="3" s="1"/>
  <c r="AE57" i="2"/>
  <c r="AC57" i="2"/>
  <c r="AC26" i="3" s="1"/>
  <c r="AB57" i="2"/>
  <c r="Z57" i="2"/>
  <c r="Z26" i="3" s="1"/>
  <c r="Y57" i="2"/>
  <c r="W57" i="2"/>
  <c r="V57" i="2"/>
  <c r="T57" i="2"/>
  <c r="T26" i="3" s="1"/>
  <c r="S57" i="2"/>
  <c r="S26" i="3" s="1"/>
  <c r="Q57" i="2"/>
  <c r="P57" i="2"/>
  <c r="P26" i="3" s="1"/>
  <c r="N57" i="2"/>
  <c r="M57" i="2"/>
  <c r="M26" i="3" s="1"/>
  <c r="K57" i="2"/>
  <c r="J57" i="2"/>
  <c r="J26" i="3" s="1"/>
  <c r="H57" i="2"/>
  <c r="G57" i="2"/>
  <c r="G26" i="3" s="1"/>
  <c r="E57" i="2"/>
  <c r="E26" i="3" s="1"/>
  <c r="EQ52" i="2"/>
  <c r="EN52" i="2"/>
  <c r="EK52" i="2"/>
  <c r="EH52" i="2"/>
  <c r="EE52" i="2"/>
  <c r="EB52" i="2"/>
  <c r="DY52" i="2"/>
  <c r="DS52" i="2"/>
  <c r="DP52" i="2"/>
  <c r="DM52" i="2"/>
  <c r="DJ52" i="2"/>
  <c r="DG52" i="2"/>
  <c r="DD52" i="2"/>
  <c r="DA52" i="2"/>
  <c r="CX52" i="2"/>
  <c r="CU52" i="2"/>
  <c r="CR52" i="2"/>
  <c r="CO52" i="2"/>
  <c r="CL52" i="2"/>
  <c r="CI52" i="2"/>
  <c r="CF52" i="2"/>
  <c r="CC52" i="2"/>
  <c r="BZ52" i="2"/>
  <c r="BW52" i="2"/>
  <c r="BT52" i="2"/>
  <c r="BN52" i="2"/>
  <c r="BK52" i="2"/>
  <c r="BH52" i="2"/>
  <c r="BE52" i="2"/>
  <c r="BB52" i="2"/>
  <c r="AY52" i="2"/>
  <c r="AV52" i="2"/>
  <c r="AS52" i="2"/>
  <c r="AP52" i="2"/>
  <c r="AM52" i="2"/>
  <c r="AJ52" i="2"/>
  <c r="AG52" i="2"/>
  <c r="AD52" i="2"/>
  <c r="AA52" i="2"/>
  <c r="X52" i="2"/>
  <c r="U52" i="2"/>
  <c r="R52" i="2"/>
  <c r="O52" i="2"/>
  <c r="L52" i="2"/>
  <c r="I52" i="2"/>
  <c r="F52" i="2"/>
  <c r="EQ49" i="2"/>
  <c r="EN49" i="2"/>
  <c r="EK49" i="2"/>
  <c r="EH49" i="2"/>
  <c r="EE49" i="2"/>
  <c r="EB49" i="2"/>
  <c r="DY49" i="2"/>
  <c r="DS49" i="2"/>
  <c r="DP49" i="2"/>
  <c r="DM49" i="2"/>
  <c r="DJ49" i="2"/>
  <c r="DG49" i="2"/>
  <c r="DD49" i="2"/>
  <c r="DA49" i="2"/>
  <c r="CX49" i="2"/>
  <c r="CU49" i="2"/>
  <c r="CR49" i="2"/>
  <c r="CO49" i="2"/>
  <c r="CL49" i="2"/>
  <c r="CI49" i="2"/>
  <c r="CF49" i="2"/>
  <c r="CC49" i="2"/>
  <c r="BZ49" i="2"/>
  <c r="BW49" i="2"/>
  <c r="BT49" i="2"/>
  <c r="BQ49" i="2"/>
  <c r="BN49" i="2"/>
  <c r="BK49" i="2"/>
  <c r="BH49" i="2"/>
  <c r="BE49" i="2"/>
  <c r="BB49" i="2"/>
  <c r="AY49" i="2"/>
  <c r="AV49" i="2"/>
  <c r="AS49" i="2"/>
  <c r="AP49" i="2"/>
  <c r="AM49" i="2"/>
  <c r="AJ49" i="2"/>
  <c r="AG49" i="2"/>
  <c r="AD49" i="2"/>
  <c r="AA49" i="2"/>
  <c r="X49" i="2"/>
  <c r="U49" i="2"/>
  <c r="R49" i="2"/>
  <c r="O49" i="2"/>
  <c r="L49" i="2"/>
  <c r="I49" i="2"/>
  <c r="F49" i="2"/>
  <c r="EQ48" i="2"/>
  <c r="EN48" i="2"/>
  <c r="EK48" i="2"/>
  <c r="EH48" i="2"/>
  <c r="EE48" i="2"/>
  <c r="EB48" i="2"/>
  <c r="DY48" i="2"/>
  <c r="DS48" i="2"/>
  <c r="DP48" i="2"/>
  <c r="DM48" i="2"/>
  <c r="DJ48" i="2"/>
  <c r="DG48" i="2"/>
  <c r="DD48" i="2"/>
  <c r="DA48" i="2"/>
  <c r="CX48" i="2"/>
  <c r="CU48" i="2"/>
  <c r="CR48" i="2"/>
  <c r="CO48" i="2"/>
  <c r="CL48" i="2"/>
  <c r="CI48" i="2"/>
  <c r="CF48" i="2"/>
  <c r="CC48" i="2"/>
  <c r="BZ48" i="2"/>
  <c r="BW48" i="2"/>
  <c r="BT48" i="2"/>
  <c r="BQ48" i="2"/>
  <c r="BN48" i="2"/>
  <c r="BK48" i="2"/>
  <c r="BH48" i="2"/>
  <c r="BE48" i="2"/>
  <c r="BB48" i="2"/>
  <c r="AY48" i="2"/>
  <c r="AV48" i="2"/>
  <c r="AS48" i="2"/>
  <c r="AP48" i="2"/>
  <c r="AM48" i="2"/>
  <c r="AJ48" i="2"/>
  <c r="AG48" i="2"/>
  <c r="AD48" i="2"/>
  <c r="AA48" i="2"/>
  <c r="X48" i="2"/>
  <c r="U48" i="2"/>
  <c r="R48" i="2"/>
  <c r="O48" i="2"/>
  <c r="L48" i="2"/>
  <c r="I48" i="2"/>
  <c r="F48" i="2"/>
  <c r="EN47" i="2"/>
  <c r="EK47" i="2"/>
  <c r="EH47" i="2"/>
  <c r="EE47" i="2"/>
  <c r="EB47" i="2"/>
  <c r="DY47" i="2"/>
  <c r="DS47" i="2"/>
  <c r="DP47" i="2"/>
  <c r="DM47" i="2"/>
  <c r="DJ47" i="2"/>
  <c r="DG47" i="2"/>
  <c r="DD47" i="2"/>
  <c r="DA47" i="2"/>
  <c r="CX47" i="2"/>
  <c r="CU47" i="2"/>
  <c r="CR47" i="2"/>
  <c r="CO47" i="2"/>
  <c r="CL47" i="2"/>
  <c r="CI47" i="2"/>
  <c r="CF47" i="2"/>
  <c r="CC47" i="2"/>
  <c r="BZ47" i="2"/>
  <c r="BW47" i="2"/>
  <c r="BT47" i="2"/>
  <c r="BQ47" i="2"/>
  <c r="BN47" i="2"/>
  <c r="BK47" i="2"/>
  <c r="BH47" i="2"/>
  <c r="BE47" i="2"/>
  <c r="BB47" i="2"/>
  <c r="AY47" i="2"/>
  <c r="AV47" i="2"/>
  <c r="AS47" i="2"/>
  <c r="AP47" i="2"/>
  <c r="AM47" i="2"/>
  <c r="AJ47" i="2"/>
  <c r="AG47" i="2"/>
  <c r="AD47" i="2"/>
  <c r="AA47" i="2"/>
  <c r="X47" i="2"/>
  <c r="U47" i="2"/>
  <c r="R47" i="2"/>
  <c r="O47" i="2"/>
  <c r="L47" i="2"/>
  <c r="I47" i="2"/>
  <c r="F47" i="2"/>
  <c r="EN46" i="2"/>
  <c r="EK46" i="2"/>
  <c r="EH46" i="2"/>
  <c r="EE46" i="2"/>
  <c r="EB46" i="2"/>
  <c r="DY46" i="2"/>
  <c r="DS46" i="2"/>
  <c r="DP46" i="2"/>
  <c r="DM46" i="2"/>
  <c r="DJ46" i="2"/>
  <c r="DG46" i="2"/>
  <c r="DD46" i="2"/>
  <c r="DA46" i="2"/>
  <c r="CX46" i="2"/>
  <c r="CU46" i="2"/>
  <c r="CR46" i="2"/>
  <c r="CO46" i="2"/>
  <c r="CL46" i="2"/>
  <c r="CI46" i="2"/>
  <c r="CF46" i="2"/>
  <c r="CC46" i="2"/>
  <c r="BZ46" i="2"/>
  <c r="BW46" i="2"/>
  <c r="BT46" i="2"/>
  <c r="BQ46" i="2"/>
  <c r="BN46" i="2"/>
  <c r="BK46" i="2"/>
  <c r="BH46" i="2"/>
  <c r="BF46" i="2"/>
  <c r="BE46" i="2" s="1"/>
  <c r="BB46" i="2"/>
  <c r="AY46" i="2"/>
  <c r="AV46" i="2"/>
  <c r="AS46" i="2"/>
  <c r="AP46" i="2"/>
  <c r="AM46" i="2"/>
  <c r="AJ46" i="2"/>
  <c r="AG46" i="2"/>
  <c r="AD46" i="2"/>
  <c r="AA46" i="2"/>
  <c r="X46" i="2"/>
  <c r="U46" i="2"/>
  <c r="R46" i="2"/>
  <c r="O46" i="2"/>
  <c r="L46" i="2"/>
  <c r="I46" i="2"/>
  <c r="F46" i="2"/>
  <c r="EN45" i="2"/>
  <c r="EK45" i="2"/>
  <c r="EH45" i="2"/>
  <c r="EE45" i="2"/>
  <c r="EB45" i="2"/>
  <c r="DY45" i="2"/>
  <c r="DS45" i="2"/>
  <c r="DP45" i="2"/>
  <c r="DM45" i="2"/>
  <c r="DJ45" i="2"/>
  <c r="DG45" i="2"/>
  <c r="DD45" i="2"/>
  <c r="DA45" i="2"/>
  <c r="CX45" i="2"/>
  <c r="CU45" i="2"/>
  <c r="CR45" i="2"/>
  <c r="CO45" i="2"/>
  <c r="CL45" i="2"/>
  <c r="CI45" i="2"/>
  <c r="CF45" i="2"/>
  <c r="CC45" i="2"/>
  <c r="BZ45" i="2"/>
  <c r="BW45" i="2"/>
  <c r="BT45" i="2"/>
  <c r="BQ45" i="2"/>
  <c r="BN45" i="2"/>
  <c r="BK45" i="2"/>
  <c r="BH45" i="2"/>
  <c r="BE45" i="2"/>
  <c r="BB45" i="2"/>
  <c r="AY45" i="2"/>
  <c r="AV45" i="2"/>
  <c r="AS45" i="2"/>
  <c r="AP45" i="2"/>
  <c r="AM45" i="2"/>
  <c r="AJ45" i="2"/>
  <c r="AG45" i="2"/>
  <c r="AD45" i="2"/>
  <c r="AA45" i="2"/>
  <c r="X45" i="2"/>
  <c r="U45" i="2"/>
  <c r="R45" i="2"/>
  <c r="O45" i="2"/>
  <c r="L45" i="2"/>
  <c r="I45" i="2"/>
  <c r="F45" i="2"/>
  <c r="EN44" i="2"/>
  <c r="EK44" i="2"/>
  <c r="EH44" i="2"/>
  <c r="EE44" i="2"/>
  <c r="EB44" i="2"/>
  <c r="DY44" i="2"/>
  <c r="DS44" i="2"/>
  <c r="DP44" i="2"/>
  <c r="DM44" i="2"/>
  <c r="DJ44" i="2"/>
  <c r="DG44" i="2"/>
  <c r="DD44" i="2"/>
  <c r="DA44" i="2"/>
  <c r="CX44" i="2"/>
  <c r="CU44" i="2"/>
  <c r="CR44" i="2"/>
  <c r="CO44" i="2"/>
  <c r="CL44" i="2"/>
  <c r="CI44" i="2"/>
  <c r="CF44" i="2"/>
  <c r="CC44" i="2"/>
  <c r="BZ44" i="2"/>
  <c r="BW44" i="2"/>
  <c r="BT44" i="2"/>
  <c r="BQ44" i="2"/>
  <c r="BN44" i="2"/>
  <c r="BK44" i="2"/>
  <c r="BH44" i="2"/>
  <c r="BE44" i="2"/>
  <c r="BB44" i="2"/>
  <c r="AY44" i="2"/>
  <c r="AV44" i="2"/>
  <c r="AS44" i="2"/>
  <c r="AP44" i="2"/>
  <c r="AM44" i="2"/>
  <c r="AJ44" i="2"/>
  <c r="AG44" i="2"/>
  <c r="AD44" i="2"/>
  <c r="AA44" i="2"/>
  <c r="X44" i="2"/>
  <c r="U44" i="2"/>
  <c r="R44" i="2"/>
  <c r="O44" i="2"/>
  <c r="L44" i="2"/>
  <c r="I44" i="2"/>
  <c r="F44" i="2"/>
  <c r="EO41" i="2"/>
  <c r="EM41" i="2"/>
  <c r="EL41" i="2"/>
  <c r="EJ41" i="2"/>
  <c r="EI41" i="2"/>
  <c r="EG41" i="2"/>
  <c r="EF41" i="2"/>
  <c r="ED41" i="2"/>
  <c r="EC41" i="2"/>
  <c r="EA41" i="2"/>
  <c r="DZ41" i="2"/>
  <c r="DU41" i="2"/>
  <c r="DV41" i="2" s="1"/>
  <c r="DT41" i="2"/>
  <c r="DR41" i="2"/>
  <c r="DQ41" i="2"/>
  <c r="DO41" i="2"/>
  <c r="DN41" i="2"/>
  <c r="DL41" i="2"/>
  <c r="DK41" i="2"/>
  <c r="DI41" i="2"/>
  <c r="DH41" i="2"/>
  <c r="DF41" i="2"/>
  <c r="DE41" i="2"/>
  <c r="DC41" i="2"/>
  <c r="DB41" i="2"/>
  <c r="CZ41" i="2"/>
  <c r="CY41" i="2"/>
  <c r="CW41" i="2"/>
  <c r="CV41" i="2"/>
  <c r="CT41" i="2"/>
  <c r="CS41" i="2"/>
  <c r="CQ41" i="2"/>
  <c r="CP41" i="2"/>
  <c r="CN41" i="2"/>
  <c r="CM41" i="2"/>
  <c r="CK41" i="2"/>
  <c r="CJ41" i="2"/>
  <c r="CH41" i="2"/>
  <c r="CG41" i="2"/>
  <c r="CE41" i="2"/>
  <c r="CD41" i="2"/>
  <c r="CB41" i="2"/>
  <c r="CA41" i="2"/>
  <c r="BY41" i="2"/>
  <c r="BX41" i="2"/>
  <c r="BV41" i="2"/>
  <c r="BU41" i="2"/>
  <c r="BS41" i="2"/>
  <c r="BR41" i="2"/>
  <c r="BP41" i="2"/>
  <c r="BO41" i="2"/>
  <c r="BM41" i="2"/>
  <c r="BJ41" i="2"/>
  <c r="BK41" i="2" s="1"/>
  <c r="BI41" i="2"/>
  <c r="BG41" i="2"/>
  <c r="BF41" i="2"/>
  <c r="BD41" i="2"/>
  <c r="AG41" i="2"/>
  <c r="AD41" i="2"/>
  <c r="AA41" i="2"/>
  <c r="X41" i="2"/>
  <c r="U41" i="2"/>
  <c r="R41" i="2"/>
  <c r="O41" i="2"/>
  <c r="L41" i="2"/>
  <c r="I41" i="2"/>
  <c r="F41" i="2"/>
  <c r="DE40" i="2"/>
  <c r="DB40" i="2"/>
  <c r="BP40" i="2"/>
  <c r="BB40" i="2"/>
  <c r="AY40" i="2"/>
  <c r="AV40" i="2"/>
  <c r="AS40" i="2"/>
  <c r="AP40" i="2"/>
  <c r="AM40" i="2"/>
  <c r="AJ40" i="2"/>
  <c r="AG40" i="2"/>
  <c r="AD40" i="2"/>
  <c r="AA40" i="2"/>
  <c r="X40" i="2"/>
  <c r="U40" i="2"/>
  <c r="R40" i="2"/>
  <c r="O40" i="2"/>
  <c r="L40" i="2"/>
  <c r="I40" i="2"/>
  <c r="F40" i="2"/>
  <c r="DB39" i="2"/>
  <c r="CG39" i="2"/>
  <c r="CE39" i="2"/>
  <c r="CA39" i="2"/>
  <c r="BX39" i="2"/>
  <c r="BU39" i="2"/>
  <c r="BP39" i="2"/>
  <c r="BQ39" i="2" s="1"/>
  <c r="BO39" i="2"/>
  <c r="BB39" i="2"/>
  <c r="AY39" i="2"/>
  <c r="AV39" i="2"/>
  <c r="AS39" i="2"/>
  <c r="AP39" i="2"/>
  <c r="AM39" i="2"/>
  <c r="AJ39" i="2"/>
  <c r="AG39" i="2"/>
  <c r="AD39" i="2"/>
  <c r="AA39" i="2"/>
  <c r="X39" i="2"/>
  <c r="U39" i="2"/>
  <c r="R39" i="2"/>
  <c r="O39" i="2"/>
  <c r="L39" i="2"/>
  <c r="I39" i="2"/>
  <c r="F39" i="2"/>
  <c r="EO38" i="2"/>
  <c r="EM38" i="2"/>
  <c r="EL38" i="2"/>
  <c r="EJ38" i="2"/>
  <c r="EI38" i="2"/>
  <c r="EG38" i="2"/>
  <c r="EF38" i="2"/>
  <c r="ED38" i="2"/>
  <c r="EC38" i="2"/>
  <c r="EA38" i="2"/>
  <c r="DZ38" i="2"/>
  <c r="DU38" i="2"/>
  <c r="DV38" i="2" s="1"/>
  <c r="DT38" i="2"/>
  <c r="DR38" i="2"/>
  <c r="DQ38" i="2"/>
  <c r="DO38" i="2"/>
  <c r="DN38" i="2"/>
  <c r="DL38" i="2"/>
  <c r="DK38" i="2"/>
  <c r="DI38" i="2"/>
  <c r="DH38" i="2"/>
  <c r="DF38" i="2"/>
  <c r="DE38" i="2"/>
  <c r="DC38" i="2"/>
  <c r="DC36" i="2"/>
  <c r="DC37" i="2"/>
  <c r="DB38" i="2"/>
  <c r="CZ38" i="2"/>
  <c r="CY38" i="2"/>
  <c r="CW38" i="2"/>
  <c r="CV38" i="2"/>
  <c r="CT38" i="2"/>
  <c r="CS38" i="2"/>
  <c r="CQ38" i="2"/>
  <c r="CP38" i="2"/>
  <c r="CN38" i="2"/>
  <c r="CM38" i="2"/>
  <c r="CK38" i="2"/>
  <c r="CJ38" i="2"/>
  <c r="CH38" i="2"/>
  <c r="CG38" i="2"/>
  <c r="CE38" i="2"/>
  <c r="CD38" i="2"/>
  <c r="CB38" i="2"/>
  <c r="BZ38" i="2"/>
  <c r="BW38" i="2"/>
  <c r="BU38" i="2"/>
  <c r="BS38" i="2"/>
  <c r="BR38" i="2"/>
  <c r="BP38" i="2"/>
  <c r="BO38" i="2"/>
  <c r="BM38" i="2"/>
  <c r="BJ38" i="2"/>
  <c r="BK38" i="2" s="1"/>
  <c r="BI38" i="2"/>
  <c r="BG38" i="2"/>
  <c r="BF38" i="2"/>
  <c r="BD38" i="2"/>
  <c r="BB38" i="2"/>
  <c r="AY38" i="2"/>
  <c r="AV38" i="2"/>
  <c r="AS38" i="2"/>
  <c r="AP38" i="2"/>
  <c r="AM38" i="2"/>
  <c r="AJ38" i="2"/>
  <c r="AG38" i="2"/>
  <c r="AD38" i="2"/>
  <c r="AA38" i="2"/>
  <c r="X38" i="2"/>
  <c r="U38" i="2"/>
  <c r="R38" i="2"/>
  <c r="O38" i="2"/>
  <c r="L38" i="2"/>
  <c r="I38" i="2"/>
  <c r="F38" i="2"/>
  <c r="EO37" i="2"/>
  <c r="EM37" i="2"/>
  <c r="EL37" i="2"/>
  <c r="EJ37" i="2"/>
  <c r="EI37" i="2"/>
  <c r="EG37" i="2"/>
  <c r="EF37" i="2"/>
  <c r="ED37" i="2"/>
  <c r="EC37" i="2"/>
  <c r="EA37" i="2"/>
  <c r="DZ37" i="2"/>
  <c r="DU37" i="2"/>
  <c r="DV37" i="2" s="1"/>
  <c r="DT37" i="2"/>
  <c r="DR37" i="2"/>
  <c r="DQ37" i="2"/>
  <c r="DO37" i="2"/>
  <c r="DN37" i="2"/>
  <c r="DL37" i="2"/>
  <c r="DK37" i="2"/>
  <c r="DI37" i="2"/>
  <c r="DH37" i="2"/>
  <c r="DF37" i="2"/>
  <c r="DE37" i="2"/>
  <c r="DB37" i="2"/>
  <c r="CZ37" i="2"/>
  <c r="CY37" i="2"/>
  <c r="CW37" i="2"/>
  <c r="CV37" i="2"/>
  <c r="CT37" i="2"/>
  <c r="CS37" i="2"/>
  <c r="CQ37" i="2"/>
  <c r="CP37" i="2"/>
  <c r="CN37" i="2"/>
  <c r="CM37" i="2"/>
  <c r="CK37" i="2"/>
  <c r="CJ37" i="2"/>
  <c r="CH37" i="2"/>
  <c r="CG37" i="2"/>
  <c r="CE37" i="2"/>
  <c r="CD37" i="2"/>
  <c r="CB37" i="2"/>
  <c r="CA37" i="2"/>
  <c r="BY37" i="2"/>
  <c r="BX37" i="2"/>
  <c r="BV37" i="2"/>
  <c r="BU37" i="2"/>
  <c r="BS37" i="2"/>
  <c r="BR37" i="2"/>
  <c r="BP37" i="2"/>
  <c r="BO37" i="2"/>
  <c r="BM37" i="2"/>
  <c r="BL37" i="2"/>
  <c r="BJ37" i="2"/>
  <c r="BI37" i="2"/>
  <c r="BG37" i="2"/>
  <c r="BF37" i="2"/>
  <c r="BD37" i="2"/>
  <c r="BB37" i="2"/>
  <c r="AY37" i="2"/>
  <c r="AV37" i="2"/>
  <c r="AS37" i="2"/>
  <c r="AP37" i="2"/>
  <c r="AM37" i="2"/>
  <c r="AJ37" i="2"/>
  <c r="AG37" i="2"/>
  <c r="AD37" i="2"/>
  <c r="AA37" i="2"/>
  <c r="X37" i="2"/>
  <c r="U37" i="2"/>
  <c r="R37" i="2"/>
  <c r="O37" i="2"/>
  <c r="L37" i="2"/>
  <c r="I37" i="2"/>
  <c r="F37" i="2"/>
  <c r="EO36" i="2"/>
  <c r="EM36" i="2"/>
  <c r="EL36" i="2"/>
  <c r="EJ36" i="2"/>
  <c r="EI36" i="2"/>
  <c r="EG36" i="2"/>
  <c r="EF36" i="2"/>
  <c r="ED36" i="2"/>
  <c r="EC36" i="2"/>
  <c r="EA36" i="2"/>
  <c r="DZ36" i="2"/>
  <c r="DU36" i="2"/>
  <c r="DV36" i="2" s="1"/>
  <c r="DT36" i="2"/>
  <c r="DR36" i="2"/>
  <c r="DQ36" i="2"/>
  <c r="DO36" i="2"/>
  <c r="DN36" i="2"/>
  <c r="DL36" i="2"/>
  <c r="DK36" i="2"/>
  <c r="DI36" i="2"/>
  <c r="DH36" i="2"/>
  <c r="DF36" i="2"/>
  <c r="DE36" i="2"/>
  <c r="DB36" i="2"/>
  <c r="CZ36" i="2"/>
  <c r="CY36" i="2"/>
  <c r="CW36" i="2"/>
  <c r="CV36" i="2"/>
  <c r="CT36" i="2"/>
  <c r="CS36" i="2"/>
  <c r="CQ36" i="2"/>
  <c r="CP36" i="2"/>
  <c r="CN36" i="2"/>
  <c r="CM36" i="2"/>
  <c r="CK36" i="2"/>
  <c r="CJ36" i="2"/>
  <c r="CH36" i="2"/>
  <c r="CG36" i="2"/>
  <c r="CE36" i="2"/>
  <c r="CD36" i="2"/>
  <c r="CB36" i="2"/>
  <c r="CA36" i="2"/>
  <c r="CA35" i="2"/>
  <c r="BY36" i="2"/>
  <c r="BX36" i="2"/>
  <c r="BV36" i="2"/>
  <c r="BU36" i="2"/>
  <c r="BS36" i="2"/>
  <c r="BR36" i="2"/>
  <c r="BP36" i="2"/>
  <c r="BO36" i="2"/>
  <c r="BM36" i="2"/>
  <c r="BL36" i="2"/>
  <c r="BJ36" i="2"/>
  <c r="BI36" i="2"/>
  <c r="BG36" i="2"/>
  <c r="BG35" i="2"/>
  <c r="BF36" i="2"/>
  <c r="BD36" i="2"/>
  <c r="BB36" i="2"/>
  <c r="AY36" i="2"/>
  <c r="AV36" i="2"/>
  <c r="AS36" i="2"/>
  <c r="AP36" i="2"/>
  <c r="AM36" i="2"/>
  <c r="AJ36" i="2"/>
  <c r="AG36" i="2"/>
  <c r="AD36" i="2"/>
  <c r="AA36" i="2"/>
  <c r="X36" i="2"/>
  <c r="U36" i="2"/>
  <c r="R36" i="2"/>
  <c r="O36" i="2"/>
  <c r="L36" i="2"/>
  <c r="I36" i="2"/>
  <c r="F36" i="2"/>
  <c r="CN35" i="2"/>
  <c r="CM35" i="2"/>
  <c r="CK35" i="2"/>
  <c r="CJ35" i="2"/>
  <c r="CH35" i="2"/>
  <c r="CG35" i="2"/>
  <c r="CE35" i="2"/>
  <c r="CD35" i="2"/>
  <c r="CB35" i="2"/>
  <c r="BY35" i="2"/>
  <c r="BX35" i="2"/>
  <c r="BV35" i="2"/>
  <c r="BU35" i="2"/>
  <c r="BS35" i="2"/>
  <c r="BR35" i="2"/>
  <c r="BO35" i="2"/>
  <c r="BM35" i="2"/>
  <c r="BL35" i="2"/>
  <c r="BJ35" i="2"/>
  <c r="BI35" i="2"/>
  <c r="BF35" i="2"/>
  <c r="BD35" i="2"/>
  <c r="BC35" i="2"/>
  <c r="BC41" i="2" s="1"/>
  <c r="BC24" i="3" s="1"/>
  <c r="BA35" i="2"/>
  <c r="BA34" i="2" s="1"/>
  <c r="AZ35" i="2"/>
  <c r="AZ41" i="2" s="1"/>
  <c r="AZ24" i="3" s="1"/>
  <c r="AX35" i="2"/>
  <c r="AX41" i="2" s="1"/>
  <c r="AX24" i="3" s="1"/>
  <c r="AW35" i="2"/>
  <c r="AW41" i="2" s="1"/>
  <c r="AW24" i="3" s="1"/>
  <c r="AU35" i="2"/>
  <c r="AL35" i="2"/>
  <c r="AL41" i="2" s="1"/>
  <c r="AK35" i="2"/>
  <c r="AK41" i="2" s="1"/>
  <c r="AH35" i="2"/>
  <c r="AH34" i="2" s="1"/>
  <c r="AF35" i="2"/>
  <c r="AE35" i="2"/>
  <c r="AE34" i="2" s="1"/>
  <c r="AC35" i="2"/>
  <c r="AC34" i="2" s="1"/>
  <c r="AB35" i="2"/>
  <c r="AB34" i="2" s="1"/>
  <c r="Z35" i="2"/>
  <c r="Y35" i="2"/>
  <c r="Y34" i="2" s="1"/>
  <c r="W35" i="2"/>
  <c r="W34" i="2" s="1"/>
  <c r="V35" i="2"/>
  <c r="T35" i="2"/>
  <c r="T34" i="2" s="1"/>
  <c r="S35" i="2"/>
  <c r="Q35" i="2"/>
  <c r="Q34" i="2" s="1"/>
  <c r="P35" i="2"/>
  <c r="P34" i="2" s="1"/>
  <c r="N35" i="2"/>
  <c r="N34" i="2" s="1"/>
  <c r="M35" i="2"/>
  <c r="M34" i="2" s="1"/>
  <c r="K35" i="2"/>
  <c r="K34" i="2" s="1"/>
  <c r="J35" i="2"/>
  <c r="J34" i="2" s="1"/>
  <c r="H35" i="2"/>
  <c r="H34" i="2" s="1"/>
  <c r="G35" i="2"/>
  <c r="G34" i="2" s="1"/>
  <c r="E35" i="2"/>
  <c r="BI33" i="2"/>
  <c r="BD33" i="2"/>
  <c r="BC33" i="2"/>
  <c r="BA33" i="2"/>
  <c r="AZ33" i="2"/>
  <c r="AX33" i="2"/>
  <c r="AW33" i="2"/>
  <c r="AU33" i="2"/>
  <c r="AT33" i="2"/>
  <c r="AR33" i="2"/>
  <c r="AQ33" i="2"/>
  <c r="AO33" i="2"/>
  <c r="AN33" i="2"/>
  <c r="AL33" i="2"/>
  <c r="AK33" i="2"/>
  <c r="AI33" i="2"/>
  <c r="AH33" i="2"/>
  <c r="AF33" i="2"/>
  <c r="AE33" i="2"/>
  <c r="AC33" i="2"/>
  <c r="AB33" i="2"/>
  <c r="Z33" i="2"/>
  <c r="Y33" i="2"/>
  <c r="W33" i="2"/>
  <c r="V33" i="2"/>
  <c r="T33" i="2"/>
  <c r="S33" i="2"/>
  <c r="Q33" i="2"/>
  <c r="P33" i="2"/>
  <c r="N33" i="2"/>
  <c r="M33" i="2"/>
  <c r="K33" i="2"/>
  <c r="J33" i="2"/>
  <c r="H33" i="2"/>
  <c r="G33" i="2"/>
  <c r="E33" i="2"/>
  <c r="BP32" i="2"/>
  <c r="BQ32" i="2" s="1"/>
  <c r="BN32" i="2"/>
  <c r="BL32" i="2"/>
  <c r="BL33" i="2" s="1"/>
  <c r="BJ32" i="2"/>
  <c r="BF32" i="2"/>
  <c r="BB32" i="2"/>
  <c r="AY32" i="2"/>
  <c r="AV32" i="2"/>
  <c r="AS32" i="2"/>
  <c r="AP32" i="2"/>
  <c r="AM32" i="2"/>
  <c r="AJ32" i="2"/>
  <c r="AG32" i="2"/>
  <c r="AD32" i="2"/>
  <c r="AA32" i="2"/>
  <c r="X32" i="2"/>
  <c r="U32" i="2"/>
  <c r="R32" i="2"/>
  <c r="O32" i="2"/>
  <c r="L32" i="2"/>
  <c r="I32" i="2"/>
  <c r="F32" i="2"/>
  <c r="BL31" i="2"/>
  <c r="BI31" i="2"/>
  <c r="BG31" i="2"/>
  <c r="BF31" i="2"/>
  <c r="BD31" i="2"/>
  <c r="BC31" i="2"/>
  <c r="BA31" i="2"/>
  <c r="AZ31" i="2"/>
  <c r="AY30" i="2"/>
  <c r="AY175" i="2" s="1"/>
  <c r="AV30" i="2"/>
  <c r="AV168" i="2" s="1"/>
  <c r="AX31" i="2"/>
  <c r="AW31" i="2"/>
  <c r="AU31" i="2"/>
  <c r="AT31" i="2"/>
  <c r="AR31" i="2"/>
  <c r="AQ31" i="2"/>
  <c r="AO31" i="2"/>
  <c r="AN31" i="2"/>
  <c r="AL31" i="2"/>
  <c r="BJ30" i="2"/>
  <c r="BJ175" i="2" s="1"/>
  <c r="BH30" i="2"/>
  <c r="BE30" i="2"/>
  <c r="BG168" i="2" s="1"/>
  <c r="BB30" i="2"/>
  <c r="BB175" i="2" s="1"/>
  <c r="AS30" i="2"/>
  <c r="AS175" i="2" s="1"/>
  <c r="AP30" i="2"/>
  <c r="AR168" i="2" s="1"/>
  <c r="AM30" i="2"/>
  <c r="AO168" i="2" s="1"/>
  <c r="AJ30" i="2"/>
  <c r="AG30" i="2"/>
  <c r="AG165" i="2" s="1"/>
  <c r="AD30" i="2"/>
  <c r="AD165" i="2" s="1"/>
  <c r="AA30" i="2"/>
  <c r="AA165" i="2" s="1"/>
  <c r="X30" i="2"/>
  <c r="X165" i="2" s="1"/>
  <c r="U30" i="2"/>
  <c r="U165" i="2" s="1"/>
  <c r="R30" i="2"/>
  <c r="R165" i="2" s="1"/>
  <c r="O30" i="2"/>
  <c r="O165" i="2" s="1"/>
  <c r="L30" i="2"/>
  <c r="L165" i="2" s="1"/>
  <c r="I30" i="2"/>
  <c r="I165" i="2" s="1"/>
  <c r="F30" i="2"/>
  <c r="F165" i="2" s="1"/>
  <c r="BW4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L24" i="2"/>
  <c r="CT24" i="2"/>
  <c r="CQ24" i="2"/>
  <c r="CN24" i="2"/>
  <c r="CL24" i="2"/>
  <c r="CK24" i="2"/>
  <c r="CH24" i="2"/>
  <c r="CF24" i="2"/>
  <c r="CE24" i="2"/>
  <c r="BB24" i="2"/>
  <c r="BA24" i="2"/>
  <c r="AY24" i="2"/>
  <c r="AX24" i="2"/>
  <c r="AV24" i="2"/>
  <c r="AU24" i="2"/>
  <c r="AS24" i="2"/>
  <c r="AR24" i="2"/>
  <c r="AP24" i="2"/>
  <c r="AO24" i="2"/>
  <c r="AM24" i="2"/>
  <c r="AL24" i="2"/>
  <c r="AJ24" i="2"/>
  <c r="AI24" i="2"/>
  <c r="AG24" i="2"/>
  <c r="AF24" i="2"/>
  <c r="AD24" i="2"/>
  <c r="AC24" i="2"/>
  <c r="AA24" i="2"/>
  <c r="Z24" i="2"/>
  <c r="X24" i="2"/>
  <c r="W24" i="2"/>
  <c r="U24" i="2"/>
  <c r="T24" i="2"/>
  <c r="R24" i="2"/>
  <c r="Q24" i="2"/>
  <c r="O24" i="2"/>
  <c r="N24" i="2"/>
  <c r="L24" i="2"/>
  <c r="K24" i="2"/>
  <c r="I24" i="2"/>
  <c r="H24" i="2"/>
  <c r="F24" i="2"/>
  <c r="E24" i="2"/>
  <c r="CH22" i="2"/>
  <c r="CE22" i="2"/>
  <c r="CA22" i="2"/>
  <c r="BY22" i="2"/>
  <c r="BG22" i="2"/>
  <c r="BB22" i="2"/>
  <c r="BA22" i="2"/>
  <c r="AY22" i="2"/>
  <c r="AX22" i="2"/>
  <c r="AV22" i="2"/>
  <c r="AU22" i="2"/>
  <c r="AS22" i="2"/>
  <c r="AR22" i="2"/>
  <c r="AP22" i="2"/>
  <c r="AO22" i="2"/>
  <c r="AM22" i="2"/>
  <c r="AL22" i="2"/>
  <c r="AJ22" i="2"/>
  <c r="AI22" i="2"/>
  <c r="AG22" i="2"/>
  <c r="AF22" i="2"/>
  <c r="AD22" i="2"/>
  <c r="AC22" i="2"/>
  <c r="AA22" i="2"/>
  <c r="Z22" i="2"/>
  <c r="X22" i="2"/>
  <c r="W22" i="2"/>
  <c r="U22" i="2"/>
  <c r="T22" i="2"/>
  <c r="R22" i="2"/>
  <c r="Q22" i="2"/>
  <c r="O22" i="2"/>
  <c r="N22" i="2"/>
  <c r="L22" i="2"/>
  <c r="K22" i="2"/>
  <c r="I22" i="2"/>
  <c r="H22" i="2"/>
  <c r="F22" i="2"/>
  <c r="E22" i="2"/>
  <c r="CG20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ER7" i="2"/>
  <c r="EO7" i="2"/>
  <c r="EL7" i="2"/>
  <c r="EI7" i="2"/>
  <c r="EF7" i="2"/>
  <c r="EC7" i="2"/>
  <c r="DZ7" i="2"/>
  <c r="DW7" i="2"/>
  <c r="DT7" i="2"/>
  <c r="DQ7" i="2"/>
  <c r="DN7" i="2"/>
  <c r="DK7" i="2"/>
  <c r="ER5" i="2"/>
  <c r="EQ5" i="2"/>
  <c r="EP5" i="2"/>
  <c r="EO5" i="2"/>
  <c r="EO4" i="2" s="1"/>
  <c r="EN5" i="2"/>
  <c r="EM5" i="2"/>
  <c r="EM4" i="2" s="1"/>
  <c r="EM347" i="2" s="1"/>
  <c r="EL5" i="2"/>
  <c r="EK5" i="2"/>
  <c r="EK4" i="2" s="1"/>
  <c r="EJ5" i="2"/>
  <c r="EJ4" i="2" s="1"/>
  <c r="EJ372" i="2" s="1"/>
  <c r="EI5" i="2"/>
  <c r="EH5" i="2"/>
  <c r="EG5" i="2"/>
  <c r="EG4" i="2" s="1"/>
  <c r="EG568" i="2" s="1"/>
  <c r="EF5" i="2"/>
  <c r="EE5" i="2"/>
  <c r="EE4" i="2" s="1"/>
  <c r="EE148" i="2" s="1"/>
  <c r="ED5" i="2"/>
  <c r="ED4" i="2" s="1"/>
  <c r="ED148" i="2" s="1"/>
  <c r="EC5" i="2"/>
  <c r="EB5" i="2"/>
  <c r="EB4" i="2" s="1"/>
  <c r="EB148" i="2" s="1"/>
  <c r="EA5" i="2"/>
  <c r="EA4" i="2" s="1"/>
  <c r="DY5" i="2"/>
  <c r="DX5" i="2"/>
  <c r="DD5" i="2"/>
  <c r="DA5" i="2"/>
  <c r="DA4" i="2" s="1"/>
  <c r="DA326" i="2" s="1"/>
  <c r="CX5" i="2"/>
  <c r="CU5" i="2"/>
  <c r="CT359" i="2" s="1"/>
  <c r="CT5" i="2"/>
  <c r="CT4" i="2" s="1"/>
  <c r="CT568" i="2" s="1"/>
  <c r="DF4" i="2"/>
  <c r="DF372" i="2" s="1"/>
  <c r="CW4" i="2"/>
  <c r="CW29" i="2" s="1"/>
  <c r="CS4" i="2"/>
  <c r="CR4" i="2"/>
  <c r="CR493" i="2" s="1"/>
  <c r="CQ4" i="2"/>
  <c r="CP4" i="2"/>
  <c r="CP148" i="2" s="1"/>
  <c r="CO4" i="2"/>
  <c r="CN4" i="2"/>
  <c r="CN568" i="2" s="1"/>
  <c r="CM4" i="2"/>
  <c r="CM228" i="2" s="1"/>
  <c r="CL4" i="2"/>
  <c r="CL29" i="2" s="1"/>
  <c r="CK4" i="2"/>
  <c r="CJ4" i="2"/>
  <c r="CI4" i="2"/>
  <c r="CH4" i="2"/>
  <c r="CH228" i="2" s="1"/>
  <c r="CG4" i="2"/>
  <c r="CG29" i="2" s="1"/>
  <c r="CF4" i="2"/>
  <c r="CF493" i="2" s="1"/>
  <c r="CE4" i="2"/>
  <c r="CE453" i="2" s="1"/>
  <c r="CD4" i="2"/>
  <c r="CD29" i="2" s="1"/>
  <c r="CC4" i="2"/>
  <c r="CB4" i="2"/>
  <c r="CB2" i="3" s="1"/>
  <c r="CA4" i="2"/>
  <c r="CA453" i="2" s="1"/>
  <c r="BZ4" i="2"/>
  <c r="BZ29" i="2" s="1"/>
  <c r="BY4" i="2"/>
  <c r="BY177" i="2" s="1"/>
  <c r="BX4" i="2"/>
  <c r="BX2" i="4" s="1"/>
  <c r="BV4" i="2"/>
  <c r="BV148" i="2" s="1"/>
  <c r="BU4" i="2"/>
  <c r="BU177" i="2" s="1"/>
  <c r="BT4" i="2"/>
  <c r="BT372" i="2" s="1"/>
  <c r="BS4" i="2"/>
  <c r="BS2" i="4" s="1"/>
  <c r="BS259" i="4" s="1"/>
  <c r="BR4" i="2"/>
  <c r="BR493" i="2" s="1"/>
  <c r="BQ4" i="2"/>
  <c r="BP4" i="2"/>
  <c r="BP228" i="2" s="1"/>
  <c r="BO4" i="2"/>
  <c r="BO493" i="2" s="1"/>
  <c r="BN4" i="2"/>
  <c r="BN326" i="2" s="1"/>
  <c r="BM4" i="2"/>
  <c r="BM2" i="3" s="1"/>
  <c r="BL4" i="2"/>
  <c r="BK4" i="2"/>
  <c r="BK347" i="2" s="1"/>
  <c r="BJ4" i="2"/>
  <c r="BJ493" i="2" s="1"/>
  <c r="BI4" i="2"/>
  <c r="BI228" i="2" s="1"/>
  <c r="BH4" i="2"/>
  <c r="BH29" i="2" s="1"/>
  <c r="BG4" i="2"/>
  <c r="BG568" i="2" s="1"/>
  <c r="BF4" i="2"/>
  <c r="BF568" i="2" s="1"/>
  <c r="BE4" i="2"/>
  <c r="BE2" i="3" s="1"/>
  <c r="BE244" i="3" s="1"/>
  <c r="BD4" i="2"/>
  <c r="BC4" i="2"/>
  <c r="BB4" i="2"/>
  <c r="BB453" i="2" s="1"/>
  <c r="BA4" i="2"/>
  <c r="BA29" i="2" s="1"/>
  <c r="AZ4" i="2"/>
  <c r="AZ326" i="2" s="1"/>
  <c r="AY4" i="2"/>
  <c r="AY2" i="3" s="1"/>
  <c r="AX4" i="2"/>
  <c r="AX326" i="2" s="1"/>
  <c r="AW4" i="2"/>
  <c r="AW9" i="2" s="1"/>
  <c r="AV4" i="2"/>
  <c r="AU4" i="2"/>
  <c r="AU372" i="2" s="1"/>
  <c r="AT4" i="2"/>
  <c r="AT2" i="4" s="1"/>
  <c r="AT14" i="4" s="1"/>
  <c r="AS4" i="2"/>
  <c r="AS568" i="2" s="1"/>
  <c r="AR4" i="2"/>
  <c r="AR347" i="2" s="1"/>
  <c r="AQ4" i="2"/>
  <c r="AQ493" i="2" s="1"/>
  <c r="AP4" i="2"/>
  <c r="AP372" i="2" s="1"/>
  <c r="AO4" i="2"/>
  <c r="AO228" i="2" s="1"/>
  <c r="AN4" i="2"/>
  <c r="AN372" i="2" s="1"/>
  <c r="AM4" i="2"/>
  <c r="B2" i="2"/>
  <c r="B1" i="2"/>
  <c r="DM9" i="2"/>
  <c r="DN326" i="2"/>
  <c r="DS207" i="2"/>
  <c r="DS197" i="3" s="1"/>
  <c r="DS260" i="2"/>
  <c r="DS213" i="3" s="1"/>
  <c r="BK175" i="4"/>
  <c r="BL175" i="4" s="1"/>
  <c r="DL248" i="2"/>
  <c r="DL247" i="2" s="1"/>
  <c r="DL633" i="2" s="1"/>
  <c r="DS254" i="2"/>
  <c r="BZ127" i="3"/>
  <c r="BZ18" i="3" s="1"/>
  <c r="DN568" i="2"/>
  <c r="CC127" i="3"/>
  <c r="CC18" i="3" s="1"/>
  <c r="CL127" i="3"/>
  <c r="CL18" i="3" s="1"/>
  <c r="CF127" i="3"/>
  <c r="CF18" i="3" s="1"/>
  <c r="DR151" i="3"/>
  <c r="DS299" i="2"/>
  <c r="CI127" i="3"/>
  <c r="CI18" i="3" s="1"/>
  <c r="DJ109" i="3"/>
  <c r="DS286" i="2"/>
  <c r="DT73" i="3"/>
  <c r="DW75" i="3" s="1"/>
  <c r="DR79" i="4"/>
  <c r="DM109" i="3"/>
  <c r="DN110" i="3"/>
  <c r="DN75" i="2" s="1"/>
  <c r="DN505" i="2" s="1"/>
  <c r="EE147" i="3"/>
  <c r="EF147" i="3" s="1"/>
  <c r="EE153" i="3" s="1"/>
  <c r="DS153" i="3"/>
  <c r="BW127" i="3"/>
  <c r="BW18" i="3" s="1"/>
  <c r="BT127" i="3"/>
  <c r="BT18" i="3" s="1"/>
  <c r="BK127" i="3"/>
  <c r="BK18" i="3" s="1"/>
  <c r="BQ127" i="3"/>
  <c r="BQ18" i="3" s="1"/>
  <c r="DK110" i="3"/>
  <c r="DK75" i="2" s="1"/>
  <c r="DZ4" i="2" l="1"/>
  <c r="DZ9" i="2" s="1"/>
  <c r="O10" i="9" s="1"/>
  <c r="O22" i="9" s="1"/>
  <c r="DX87" i="4"/>
  <c r="DX88" i="4" s="1"/>
  <c r="DW50" i="4"/>
  <c r="DX61" i="4"/>
  <c r="DV291" i="2"/>
  <c r="DX291" i="2"/>
  <c r="DX4" i="2"/>
  <c r="DX228" i="2" s="1"/>
  <c r="DX295" i="2"/>
  <c r="DX248" i="2"/>
  <c r="DX247" i="2" s="1"/>
  <c r="DX321" i="2"/>
  <c r="DX322" i="2" s="1"/>
  <c r="DX257" i="2"/>
  <c r="DX235" i="2"/>
  <c r="DX244" i="2" s="1"/>
  <c r="DX253" i="2"/>
  <c r="DY198" i="2"/>
  <c r="DY187" i="3" s="1"/>
  <c r="DE91" i="3"/>
  <c r="DG312" i="2"/>
  <c r="CU204" i="2"/>
  <c r="AS196" i="3"/>
  <c r="AT196" i="3"/>
  <c r="DM137" i="3"/>
  <c r="DM143" i="3" s="1"/>
  <c r="DM144" i="3"/>
  <c r="CX58" i="2"/>
  <c r="DP67" i="2"/>
  <c r="J13" i="3"/>
  <c r="DI297" i="2"/>
  <c r="DI91" i="3" s="1"/>
  <c r="DA83" i="2"/>
  <c r="DS37" i="4"/>
  <c r="DT24" i="4"/>
  <c r="EY276" i="4"/>
  <c r="EY363" i="4"/>
  <c r="EZ184" i="4"/>
  <c r="EY278" i="4"/>
  <c r="EZ186" i="4"/>
  <c r="EY365" i="4"/>
  <c r="DV281" i="2"/>
  <c r="DA203" i="2"/>
  <c r="DA193" i="3" s="1"/>
  <c r="DV410" i="4"/>
  <c r="DV409" i="4" s="1"/>
  <c r="DV221" i="3"/>
  <c r="DW221" i="3" s="1"/>
  <c r="DX221" i="3" s="1"/>
  <c r="DY221" i="3" s="1"/>
  <c r="DZ221" i="3" s="1"/>
  <c r="EA221" i="3" s="1"/>
  <c r="EB221" i="3" s="1"/>
  <c r="EC221" i="3" s="1"/>
  <c r="ED221" i="3" s="1"/>
  <c r="EE221" i="3" s="1"/>
  <c r="EF221" i="3" s="1"/>
  <c r="EG221" i="3" s="1"/>
  <c r="EH221" i="3" s="1"/>
  <c r="EI221" i="3" s="1"/>
  <c r="EJ221" i="3" s="1"/>
  <c r="EK221" i="3" s="1"/>
  <c r="EL221" i="3" s="1"/>
  <c r="EM221" i="3" s="1"/>
  <c r="EN221" i="3" s="1"/>
  <c r="EO221" i="3" s="1"/>
  <c r="EP221" i="3" s="1"/>
  <c r="EQ221" i="3" s="1"/>
  <c r="ER221" i="3" s="1"/>
  <c r="ES221" i="3" s="1"/>
  <c r="ET221" i="3" s="1"/>
  <c r="EU221" i="3" s="1"/>
  <c r="EV221" i="3" s="1"/>
  <c r="EW221" i="3" s="1"/>
  <c r="EX221" i="3" s="1"/>
  <c r="EY221" i="3" s="1"/>
  <c r="EZ221" i="3" s="1"/>
  <c r="FA221" i="3" s="1"/>
  <c r="DU461" i="2"/>
  <c r="DV63" i="2"/>
  <c r="DV461" i="2" s="1"/>
  <c r="DV226" i="3"/>
  <c r="DW226" i="3" s="1"/>
  <c r="DX226" i="3" s="1"/>
  <c r="DY226" i="3" s="1"/>
  <c r="DZ226" i="3" s="1"/>
  <c r="EA226" i="3" s="1"/>
  <c r="EB226" i="3" s="1"/>
  <c r="EC226" i="3" s="1"/>
  <c r="ED226" i="3" s="1"/>
  <c r="EE226" i="3" s="1"/>
  <c r="EF226" i="3" s="1"/>
  <c r="EG226" i="3" s="1"/>
  <c r="EH226" i="3" s="1"/>
  <c r="EI226" i="3" s="1"/>
  <c r="EJ226" i="3" s="1"/>
  <c r="EK226" i="3" s="1"/>
  <c r="EL226" i="3" s="1"/>
  <c r="EM226" i="3" s="1"/>
  <c r="EN226" i="3" s="1"/>
  <c r="EO226" i="3" s="1"/>
  <c r="EP226" i="3" s="1"/>
  <c r="EQ226" i="3" s="1"/>
  <c r="ER226" i="3" s="1"/>
  <c r="ES226" i="3" s="1"/>
  <c r="ET226" i="3" s="1"/>
  <c r="EU226" i="3" s="1"/>
  <c r="EV226" i="3" s="1"/>
  <c r="EW226" i="3" s="1"/>
  <c r="EX226" i="3" s="1"/>
  <c r="EY226" i="3" s="1"/>
  <c r="EZ226" i="3" s="1"/>
  <c r="FA226" i="3" s="1"/>
  <c r="DW257" i="2"/>
  <c r="DW248" i="2"/>
  <c r="DW321" i="2"/>
  <c r="DW253" i="2"/>
  <c r="DV253" i="2" s="1"/>
  <c r="DW235" i="2"/>
  <c r="DW295" i="2"/>
  <c r="DV186" i="3"/>
  <c r="AM2" i="4"/>
  <c r="AM74" i="4" s="1"/>
  <c r="P196" i="3"/>
  <c r="X199" i="3"/>
  <c r="DK88" i="4"/>
  <c r="CR270" i="2"/>
  <c r="DA358" i="2"/>
  <c r="DR211" i="2"/>
  <c r="DR201" i="3" s="1"/>
  <c r="DR199" i="3" s="1"/>
  <c r="BZ294" i="2"/>
  <c r="CU88" i="4"/>
  <c r="DG88" i="4"/>
  <c r="DC88" i="4"/>
  <c r="CI270" i="2"/>
  <c r="DB228" i="2"/>
  <c r="BZ281" i="2"/>
  <c r="DA231" i="2"/>
  <c r="DB453" i="2"/>
  <c r="DN29" i="2"/>
  <c r="CD266" i="2"/>
  <c r="CC266" i="2" s="1"/>
  <c r="CC614" i="2" s="1"/>
  <c r="CF294" i="2"/>
  <c r="BO266" i="2"/>
  <c r="BO614" i="2" s="1"/>
  <c r="DN347" i="2"/>
  <c r="DB2" i="4"/>
  <c r="DB95" i="4" s="1"/>
  <c r="DB498" i="4" s="1"/>
  <c r="EH176" i="3"/>
  <c r="DJ281" i="2"/>
  <c r="DA294" i="2"/>
  <c r="CI294" i="2"/>
  <c r="DR235" i="2"/>
  <c r="DR641" i="2" s="1"/>
  <c r="DB148" i="2"/>
  <c r="DN2" i="4"/>
  <c r="DN259" i="4" s="1"/>
  <c r="DB493" i="2"/>
  <c r="DP58" i="2"/>
  <c r="DG296" i="2"/>
  <c r="CT88" i="4"/>
  <c r="DD88" i="4"/>
  <c r="DO88" i="4"/>
  <c r="DI88" i="4"/>
  <c r="CX294" i="2"/>
  <c r="CU294" i="2"/>
  <c r="CR294" i="2"/>
  <c r="CL294" i="2"/>
  <c r="DA88" i="4"/>
  <c r="CY88" i="4"/>
  <c r="DY299" i="2"/>
  <c r="BW294" i="2"/>
  <c r="BT294" i="2"/>
  <c r="DM296" i="2"/>
  <c r="DJ296" i="2"/>
  <c r="CC270" i="2"/>
  <c r="DR248" i="2"/>
  <c r="DR33" i="3" s="1"/>
  <c r="DA355" i="2"/>
  <c r="DN228" i="2"/>
  <c r="DN453" i="2"/>
  <c r="DN2" i="3"/>
  <c r="DN309" i="3" s="1"/>
  <c r="DB326" i="2"/>
  <c r="DL235" i="2"/>
  <c r="DL641" i="2" s="1"/>
  <c r="DF548" i="4"/>
  <c r="DG548" i="4" s="1"/>
  <c r="DG550" i="4" s="1"/>
  <c r="DG562" i="4" s="1"/>
  <c r="DB29" i="2"/>
  <c r="CR58" i="2"/>
  <c r="CR65" i="2"/>
  <c r="DG67" i="2"/>
  <c r="DS201" i="2"/>
  <c r="DS191" i="3" s="1"/>
  <c r="DM203" i="2"/>
  <c r="DM193" i="3" s="1"/>
  <c r="DJ88" i="4"/>
  <c r="DB88" i="4"/>
  <c r="CZ88" i="4"/>
  <c r="CX88" i="4"/>
  <c r="CW88" i="4"/>
  <c r="BN294" i="2"/>
  <c r="DN372" i="2"/>
  <c r="DB177" i="2"/>
  <c r="DB2" i="3"/>
  <c r="DB13" i="3" s="1"/>
  <c r="DB20" i="3" s="1"/>
  <c r="DL321" i="2"/>
  <c r="DL626" i="2" s="1"/>
  <c r="BK294" i="2"/>
  <c r="DD65" i="2"/>
  <c r="CX67" i="2"/>
  <c r="DJ255" i="2"/>
  <c r="DH88" i="4"/>
  <c r="DF88" i="4"/>
  <c r="DE88" i="4"/>
  <c r="CO294" i="2"/>
  <c r="CO270" i="2"/>
  <c r="CL270" i="2"/>
  <c r="CC294" i="2"/>
  <c r="CB203" i="4"/>
  <c r="CF270" i="2"/>
  <c r="BQ294" i="2"/>
  <c r="DA359" i="2"/>
  <c r="DA233" i="3" s="1"/>
  <c r="DN177" i="2"/>
  <c r="DN493" i="2"/>
  <c r="DB347" i="2"/>
  <c r="DB372" i="2"/>
  <c r="DB568" i="2"/>
  <c r="DN148" i="2"/>
  <c r="DH39" i="2"/>
  <c r="DG39" i="2" s="1"/>
  <c r="DA65" i="2"/>
  <c r="DC372" i="4"/>
  <c r="AS211" i="3"/>
  <c r="CE107" i="3"/>
  <c r="CE109" i="3" s="1"/>
  <c r="CE110" i="3" s="1"/>
  <c r="CE17" i="3" s="1"/>
  <c r="DJ9" i="2"/>
  <c r="AR415" i="2"/>
  <c r="G199" i="3"/>
  <c r="AA199" i="3"/>
  <c r="DP83" i="2"/>
  <c r="AH196" i="3"/>
  <c r="J199" i="3"/>
  <c r="Y199" i="3"/>
  <c r="AK199" i="3"/>
  <c r="P42" i="2"/>
  <c r="CD109" i="3"/>
  <c r="CD110" i="3" s="1"/>
  <c r="CD17" i="3" s="1"/>
  <c r="AT189" i="3"/>
  <c r="DM85" i="2"/>
  <c r="DG82" i="2"/>
  <c r="AV189" i="3"/>
  <c r="AB199" i="3"/>
  <c r="DP82" i="2"/>
  <c r="AU415" i="2"/>
  <c r="AW189" i="3"/>
  <c r="M196" i="3"/>
  <c r="I199" i="3"/>
  <c r="DM83" i="2"/>
  <c r="BT274" i="2"/>
  <c r="DV568" i="2"/>
  <c r="DJ358" i="2"/>
  <c r="BW293" i="2"/>
  <c r="DK568" i="2"/>
  <c r="BT267" i="4"/>
  <c r="BT270" i="4" s="1"/>
  <c r="CY177" i="2"/>
  <c r="DP347" i="2"/>
  <c r="CY326" i="2"/>
  <c r="DZ177" i="2"/>
  <c r="DZ29" i="2"/>
  <c r="BW267" i="4"/>
  <c r="BW270" i="4" s="1"/>
  <c r="DJ177" i="2"/>
  <c r="CY2" i="3"/>
  <c r="CY244" i="3" s="1"/>
  <c r="DV29" i="2"/>
  <c r="DA58" i="2"/>
  <c r="CK152" i="4"/>
  <c r="DJ2" i="3"/>
  <c r="DJ13" i="3" s="1"/>
  <c r="DJ20" i="3" s="1"/>
  <c r="F309" i="3"/>
  <c r="DM67" i="2"/>
  <c r="D309" i="3"/>
  <c r="DC148" i="3"/>
  <c r="CR293" i="2"/>
  <c r="DV228" i="2"/>
  <c r="DV2" i="3"/>
  <c r="DV244" i="3" s="1"/>
  <c r="DP2" i="4"/>
  <c r="DP90" i="4" s="1"/>
  <c r="DJ372" i="2"/>
  <c r="CY347" i="2"/>
  <c r="DO359" i="2"/>
  <c r="DO233" i="3" s="1"/>
  <c r="DZ453" i="2"/>
  <c r="DK453" i="2"/>
  <c r="DP29" i="2"/>
  <c r="CX293" i="2"/>
  <c r="BY266" i="2"/>
  <c r="CF293" i="2"/>
  <c r="BJ270" i="4"/>
  <c r="BJ260" i="4" s="1"/>
  <c r="BJ262" i="4" s="1"/>
  <c r="BJ422" i="4" s="1"/>
  <c r="BJ432" i="4" s="1"/>
  <c r="AG20" i="3"/>
  <c r="BN293" i="2"/>
  <c r="DV177" i="2"/>
  <c r="DP148" i="2"/>
  <c r="DP453" i="2"/>
  <c r="DJ568" i="2"/>
  <c r="CY29" i="2"/>
  <c r="DO358" i="2"/>
  <c r="DZ568" i="2"/>
  <c r="DK228" i="2"/>
  <c r="DZ148" i="2"/>
  <c r="DA293" i="2"/>
  <c r="CL293" i="2"/>
  <c r="BT293" i="2"/>
  <c r="DI358" i="2"/>
  <c r="DV372" i="2"/>
  <c r="DP326" i="2"/>
  <c r="DJ228" i="2"/>
  <c r="DJ2" i="4"/>
  <c r="DJ350" i="4" s="1"/>
  <c r="CY453" i="2"/>
  <c r="DP9" i="2"/>
  <c r="DZ326" i="2"/>
  <c r="DK326" i="2"/>
  <c r="DK2" i="3"/>
  <c r="DK309" i="3" s="1"/>
  <c r="DJ355" i="2"/>
  <c r="DM256" i="2"/>
  <c r="DG294" i="2"/>
  <c r="CR75" i="3"/>
  <c r="BV84" i="3"/>
  <c r="CU293" i="2"/>
  <c r="CO293" i="2"/>
  <c r="CI293" i="2"/>
  <c r="AK244" i="3"/>
  <c r="AC309" i="3"/>
  <c r="DI359" i="2"/>
  <c r="DI233" i="3" s="1"/>
  <c r="DV326" i="2"/>
  <c r="DV453" i="2"/>
  <c r="DP228" i="2"/>
  <c r="DP372" i="2"/>
  <c r="DP2" i="3"/>
  <c r="DP309" i="3" s="1"/>
  <c r="DJ326" i="2"/>
  <c r="DJ453" i="2"/>
  <c r="CY148" i="2"/>
  <c r="CY372" i="2"/>
  <c r="CY493" i="2"/>
  <c r="DU358" i="2"/>
  <c r="DZ347" i="2"/>
  <c r="DZ2" i="4"/>
  <c r="DZ117" i="4" s="1"/>
  <c r="DK347" i="2"/>
  <c r="DK493" i="2"/>
  <c r="DY358" i="2"/>
  <c r="DL35" i="2"/>
  <c r="BZ267" i="4"/>
  <c r="BZ270" i="4" s="1"/>
  <c r="BZ272" i="4" s="1"/>
  <c r="CC293" i="2"/>
  <c r="BZ293" i="2"/>
  <c r="BL268" i="4"/>
  <c r="BQ293" i="2"/>
  <c r="AG13" i="3"/>
  <c r="AG309" i="3"/>
  <c r="DI355" i="2"/>
  <c r="DV148" i="2"/>
  <c r="DV347" i="2"/>
  <c r="DV2" i="4"/>
  <c r="DV95" i="4" s="1"/>
  <c r="DV498" i="4" s="1"/>
  <c r="DP177" i="2"/>
  <c r="DP568" i="2"/>
  <c r="DJ148" i="2"/>
  <c r="DJ347" i="2"/>
  <c r="DJ493" i="2"/>
  <c r="DK29" i="2"/>
  <c r="CY228" i="2"/>
  <c r="CY568" i="2"/>
  <c r="CY2" i="4"/>
  <c r="CY419" i="4" s="1"/>
  <c r="DV9" i="2"/>
  <c r="DO355" i="2"/>
  <c r="DZ228" i="2"/>
  <c r="DZ372" i="2"/>
  <c r="DZ2" i="3"/>
  <c r="DZ309" i="3" s="1"/>
  <c r="DK148" i="2"/>
  <c r="DK372" i="2"/>
  <c r="DK2" i="4"/>
  <c r="DK95" i="4" s="1"/>
  <c r="DK498" i="4" s="1"/>
  <c r="DJ359" i="2"/>
  <c r="DJ233" i="3" s="1"/>
  <c r="DJ29" i="2"/>
  <c r="DK177" i="2"/>
  <c r="DE75" i="3"/>
  <c r="AY35" i="3"/>
  <c r="BK35" i="3"/>
  <c r="AM69" i="3"/>
  <c r="W75" i="3"/>
  <c r="DC84" i="3"/>
  <c r="EL84" i="3"/>
  <c r="I87" i="3"/>
  <c r="U87" i="3"/>
  <c r="Z309" i="3"/>
  <c r="DG66" i="2"/>
  <c r="BK293" i="2"/>
  <c r="U189" i="3"/>
  <c r="DQ625" i="2"/>
  <c r="DM235" i="2"/>
  <c r="DM641" i="2" s="1"/>
  <c r="CU58" i="2"/>
  <c r="AN199" i="3"/>
  <c r="AD244" i="3"/>
  <c r="CN266" i="2"/>
  <c r="CN614" i="2" s="1"/>
  <c r="BX266" i="2"/>
  <c r="BW266" i="2" s="1"/>
  <c r="BW614" i="2" s="1"/>
  <c r="BR266" i="2"/>
  <c r="BR614" i="2" s="1"/>
  <c r="CV633" i="2"/>
  <c r="CU33" i="3"/>
  <c r="CW197" i="4"/>
  <c r="DM253" i="2"/>
  <c r="DM637" i="2" s="1"/>
  <c r="CU359" i="2"/>
  <c r="CU233" i="3" s="1"/>
  <c r="AN35" i="3"/>
  <c r="BB38" i="3"/>
  <c r="AQ222" i="3"/>
  <c r="CJ266" i="2"/>
  <c r="CJ168" i="3" s="1"/>
  <c r="BV266" i="2"/>
  <c r="BV614" i="2" s="1"/>
  <c r="DA320" i="2"/>
  <c r="DA625" i="2" s="1"/>
  <c r="DG243" i="2"/>
  <c r="DG208" i="3" s="1"/>
  <c r="DP192" i="2"/>
  <c r="DP181" i="3" s="1"/>
  <c r="DN633" i="2"/>
  <c r="DB248" i="2"/>
  <c r="CM266" i="2"/>
  <c r="DG285" i="2"/>
  <c r="DR107" i="3"/>
  <c r="DD58" i="2"/>
  <c r="DP66" i="2"/>
  <c r="DJ67" i="2"/>
  <c r="BV107" i="3"/>
  <c r="AZ564" i="2"/>
  <c r="DJ58" i="2"/>
  <c r="CX93" i="2"/>
  <c r="DP272" i="2"/>
  <c r="AJ78" i="3"/>
  <c r="AA84" i="3"/>
  <c r="BN183" i="4"/>
  <c r="BN188" i="4" s="1"/>
  <c r="K75" i="3"/>
  <c r="AX75" i="3"/>
  <c r="BI84" i="3"/>
  <c r="BM188" i="4"/>
  <c r="CO563" i="2"/>
  <c r="DL17" i="3"/>
  <c r="AA22" i="3"/>
  <c r="X24" i="3"/>
  <c r="AW35" i="3"/>
  <c r="AG87" i="3"/>
  <c r="AC20" i="3"/>
  <c r="AK309" i="3"/>
  <c r="U20" i="3"/>
  <c r="AK20" i="3"/>
  <c r="M309" i="3"/>
  <c r="AC244" i="3"/>
  <c r="DB564" i="2"/>
  <c r="CJ552" i="2"/>
  <c r="AY504" i="2"/>
  <c r="U13" i="3"/>
  <c r="Q244" i="3"/>
  <c r="U244" i="3"/>
  <c r="BA498" i="2"/>
  <c r="BA504" i="2" s="1"/>
  <c r="Q20" i="3"/>
  <c r="M244" i="3"/>
  <c r="Q309" i="3"/>
  <c r="M20" i="3"/>
  <c r="AL337" i="2"/>
  <c r="BB107" i="3"/>
  <c r="CD564" i="2"/>
  <c r="AQ320" i="2"/>
  <c r="AQ625" i="2" s="1"/>
  <c r="AQ627" i="2" s="1"/>
  <c r="BG337" i="2"/>
  <c r="AZ91" i="3"/>
  <c r="BA93" i="3" s="1"/>
  <c r="CK301" i="2"/>
  <c r="CM301" i="2" s="1"/>
  <c r="CL301" i="2" s="1"/>
  <c r="AS44" i="3"/>
  <c r="BE44" i="3"/>
  <c r="BQ44" i="3"/>
  <c r="CC44" i="3"/>
  <c r="CO44" i="3"/>
  <c r="DA44" i="3"/>
  <c r="DK235" i="2"/>
  <c r="DK244" i="2" s="1"/>
  <c r="DK253" i="2"/>
  <c r="DK252" i="2" s="1"/>
  <c r="DK248" i="2"/>
  <c r="DK247" i="2" s="1"/>
  <c r="DK321" i="2"/>
  <c r="DK322" i="2" s="1"/>
  <c r="DJ322" i="2" s="1"/>
  <c r="DV358" i="2"/>
  <c r="DR241" i="2"/>
  <c r="DR208" i="3"/>
  <c r="DM303" i="2"/>
  <c r="DM219" i="3" s="1"/>
  <c r="DN219" i="3"/>
  <c r="DP303" i="2"/>
  <c r="DP219" i="3" s="1"/>
  <c r="DQ219" i="3"/>
  <c r="DP246" i="2"/>
  <c r="DP209" i="3" s="1"/>
  <c r="DQ209" i="3"/>
  <c r="DL241" i="2"/>
  <c r="DL208" i="3"/>
  <c r="O160" i="3"/>
  <c r="DM246" i="2"/>
  <c r="DM209" i="3" s="1"/>
  <c r="DN209" i="3"/>
  <c r="DO241" i="2"/>
  <c r="DO208" i="3"/>
  <c r="DM285" i="2"/>
  <c r="DM217" i="3" s="1"/>
  <c r="DN217" i="3"/>
  <c r="DP285" i="2"/>
  <c r="DP217" i="3" s="1"/>
  <c r="DQ217" i="3"/>
  <c r="BP44" i="3"/>
  <c r="BZ552" i="2"/>
  <c r="DJ320" i="2"/>
  <c r="DJ625" i="2" s="1"/>
  <c r="CY39" i="2"/>
  <c r="CX39" i="2" s="1"/>
  <c r="DY82" i="2"/>
  <c r="DS83" i="2"/>
  <c r="BJ266" i="2"/>
  <c r="BJ614" i="2" s="1"/>
  <c r="BB552" i="2"/>
  <c r="BS625" i="2"/>
  <c r="BS627" i="2" s="1"/>
  <c r="AL75" i="3"/>
  <c r="L60" i="3"/>
  <c r="BV75" i="3"/>
  <c r="CN75" i="3"/>
  <c r="CZ75" i="3"/>
  <c r="N84" i="3"/>
  <c r="Z84" i="3"/>
  <c r="AY110" i="3"/>
  <c r="AM127" i="3"/>
  <c r="AM189" i="3"/>
  <c r="BA107" i="3"/>
  <c r="U160" i="3"/>
  <c r="DJ79" i="2"/>
  <c r="AW84" i="3"/>
  <c r="BZ84" i="3"/>
  <c r="DE84" i="3"/>
  <c r="DR84" i="3"/>
  <c r="EP84" i="3"/>
  <c r="DS194" i="2"/>
  <c r="DS183" i="3" s="1"/>
  <c r="DM195" i="2"/>
  <c r="DM184" i="3" s="1"/>
  <c r="DD200" i="2"/>
  <c r="DD190" i="3" s="1"/>
  <c r="DV192" i="3"/>
  <c r="CX204" i="2"/>
  <c r="CR208" i="2"/>
  <c r="CR198" i="3" s="1"/>
  <c r="CX210" i="2"/>
  <c r="CX200" i="3" s="1"/>
  <c r="DJ312" i="2"/>
  <c r="CG266" i="2"/>
  <c r="CB266" i="2"/>
  <c r="CB614" i="2" s="1"/>
  <c r="BU266" i="2"/>
  <c r="BU614" i="2" s="1"/>
  <c r="BM270" i="4"/>
  <c r="DE35" i="2"/>
  <c r="BW356" i="4"/>
  <c r="BN268" i="2"/>
  <c r="CV33" i="3"/>
  <c r="M206" i="3"/>
  <c r="AF20" i="3"/>
  <c r="CU197" i="4"/>
  <c r="AK320" i="2"/>
  <c r="AK322" i="2" s="1"/>
  <c r="AK328" i="2" s="1"/>
  <c r="DA312" i="2"/>
  <c r="CU358" i="2"/>
  <c r="DA413" i="2"/>
  <c r="DA522" i="2" s="1"/>
  <c r="DA530" i="2" s="1"/>
  <c r="DA243" i="2"/>
  <c r="CQ144" i="2"/>
  <c r="CK266" i="2"/>
  <c r="CK614" i="2" s="1"/>
  <c r="CF268" i="2"/>
  <c r="CA266" i="2"/>
  <c r="BZ266" i="2" s="1"/>
  <c r="BZ614" i="2" s="1"/>
  <c r="CN295" i="4"/>
  <c r="BS270" i="4"/>
  <c r="BS272" i="4" s="1"/>
  <c r="BT268" i="2"/>
  <c r="DY282" i="2"/>
  <c r="P309" i="3"/>
  <c r="BK268" i="2"/>
  <c r="I312" i="2"/>
  <c r="DG232" i="2"/>
  <c r="DJ231" i="2"/>
  <c r="CU355" i="2"/>
  <c r="CR423" i="2"/>
  <c r="CR533" i="2" s="1"/>
  <c r="CR541" i="2" s="1"/>
  <c r="DC413" i="2"/>
  <c r="DC522" i="2" s="1"/>
  <c r="DC530" i="2" s="1"/>
  <c r="DB522" i="2"/>
  <c r="DB530" i="2" s="1"/>
  <c r="DW461" i="2"/>
  <c r="DK151" i="3"/>
  <c r="DA181" i="2"/>
  <c r="DV183" i="3"/>
  <c r="DY204" i="2"/>
  <c r="DG208" i="2"/>
  <c r="DG198" i="3" s="1"/>
  <c r="DG313" i="2"/>
  <c r="CI268" i="2"/>
  <c r="CC268" i="2"/>
  <c r="BW268" i="2"/>
  <c r="BQ268" i="2"/>
  <c r="EA282" i="2"/>
  <c r="DG231" i="2"/>
  <c r="BT356" i="4"/>
  <c r="DQ540" i="2"/>
  <c r="DP384" i="2"/>
  <c r="CU231" i="2"/>
  <c r="CV4" i="2"/>
  <c r="CV453" i="2" s="1"/>
  <c r="CL268" i="2"/>
  <c r="CH266" i="2"/>
  <c r="CH168" i="3" s="1"/>
  <c r="CE266" i="2"/>
  <c r="CE614" i="2" s="1"/>
  <c r="BZ268" i="2"/>
  <c r="BS266" i="2"/>
  <c r="BS614" i="2" s="1"/>
  <c r="BZ356" i="4"/>
  <c r="BP266" i="2"/>
  <c r="BP614" i="2" s="1"/>
  <c r="CU248" i="2"/>
  <c r="BM266" i="2"/>
  <c r="BM614" i="2" s="1"/>
  <c r="CH149" i="3"/>
  <c r="CI149" i="3" s="1"/>
  <c r="BF265" i="4"/>
  <c r="BF266" i="4" s="1"/>
  <c r="CM320" i="2"/>
  <c r="CM625" i="2" s="1"/>
  <c r="CM627" i="2" s="1"/>
  <c r="BG322" i="2"/>
  <c r="BG327" i="2" s="1"/>
  <c r="CX231" i="2"/>
  <c r="DE220" i="2"/>
  <c r="BL266" i="2"/>
  <c r="CV39" i="2"/>
  <c r="DY67" i="2"/>
  <c r="CU93" i="2"/>
  <c r="CU201" i="2"/>
  <c r="CU191" i="3" s="1"/>
  <c r="DG201" i="2"/>
  <c r="DG191" i="3" s="1"/>
  <c r="DJ203" i="2"/>
  <c r="DJ193" i="3" s="1"/>
  <c r="CR204" i="2"/>
  <c r="DP204" i="2"/>
  <c r="CR209" i="2"/>
  <c r="DJ216" i="2"/>
  <c r="DR338" i="2"/>
  <c r="DQ338" i="2"/>
  <c r="AZ500" i="2"/>
  <c r="BL577" i="2"/>
  <c r="BL607" i="2" s="1"/>
  <c r="CV564" i="2"/>
  <c r="BX564" i="2"/>
  <c r="DQ553" i="2"/>
  <c r="DJ553" i="2"/>
  <c r="BN563" i="2"/>
  <c r="CL553" i="2"/>
  <c r="DJ563" i="2"/>
  <c r="CB552" i="2"/>
  <c r="BK75" i="3"/>
  <c r="CI75" i="3"/>
  <c r="DG75" i="3"/>
  <c r="AE222" i="3"/>
  <c r="DC552" i="2"/>
  <c r="CP564" i="2"/>
  <c r="BL564" i="2"/>
  <c r="DK553" i="2"/>
  <c r="AW64" i="3"/>
  <c r="AX66" i="3" s="1"/>
  <c r="CX553" i="2"/>
  <c r="BJ552" i="2"/>
  <c r="BP552" i="2"/>
  <c r="AM44" i="3"/>
  <c r="BK44" i="3"/>
  <c r="BW44" i="3"/>
  <c r="CI44" i="3"/>
  <c r="CQ552" i="2"/>
  <c r="DH564" i="2"/>
  <c r="CJ564" i="2"/>
  <c r="BF564" i="2"/>
  <c r="BC553" i="2"/>
  <c r="DO563" i="2"/>
  <c r="AZ497" i="2"/>
  <c r="AY500" i="2"/>
  <c r="BQ75" i="3"/>
  <c r="CO75" i="3"/>
  <c r="DM75" i="3"/>
  <c r="N35" i="3"/>
  <c r="R35" i="3"/>
  <c r="AL35" i="3"/>
  <c r="AP35" i="3"/>
  <c r="R44" i="3"/>
  <c r="Y44" i="3"/>
  <c r="AA75" i="3"/>
  <c r="AI75" i="3"/>
  <c r="AU75" i="3"/>
  <c r="BJ35" i="3"/>
  <c r="BN246" i="2"/>
  <c r="BN209" i="3" s="1"/>
  <c r="BK300" i="2"/>
  <c r="AW44" i="3"/>
  <c r="AW45" i="3" s="1"/>
  <c r="BX44" i="3"/>
  <c r="CV44" i="3"/>
  <c r="DI44" i="3"/>
  <c r="DO44" i="3"/>
  <c r="I48" i="3"/>
  <c r="O48" i="3"/>
  <c r="AM48" i="3"/>
  <c r="AS48" i="3"/>
  <c r="AY48" i="3"/>
  <c r="DK75" i="3"/>
  <c r="K84" i="3"/>
  <c r="AT84" i="3"/>
  <c r="AU84" i="3"/>
  <c r="BK84" i="3"/>
  <c r="CD84" i="3"/>
  <c r="CE84" i="3"/>
  <c r="CU84" i="3"/>
  <c r="DB84" i="3"/>
  <c r="DS84" i="3"/>
  <c r="EM84" i="3"/>
  <c r="AY87" i="3"/>
  <c r="AQ211" i="3"/>
  <c r="AY515" i="2"/>
  <c r="AS78" i="3"/>
  <c r="CO540" i="2"/>
  <c r="CF211" i="3"/>
  <c r="F225" i="3"/>
  <c r="AP225" i="3"/>
  <c r="G222" i="3"/>
  <c r="N13" i="3"/>
  <c r="N20" i="3"/>
  <c r="N244" i="3"/>
  <c r="DN533" i="2"/>
  <c r="DN541" i="2" s="1"/>
  <c r="AS269" i="2"/>
  <c r="DH75" i="3"/>
  <c r="BR540" i="2"/>
  <c r="BT211" i="3"/>
  <c r="AD225" i="3"/>
  <c r="M222" i="3"/>
  <c r="S222" i="3"/>
  <c r="Y222" i="3"/>
  <c r="AP212" i="3"/>
  <c r="AP211" i="3" s="1"/>
  <c r="CX109" i="3"/>
  <c r="CX110" i="3" s="1"/>
  <c r="CX17" i="3" s="1"/>
  <c r="AH13" i="3"/>
  <c r="AH20" i="3"/>
  <c r="R309" i="3"/>
  <c r="AA20" i="3"/>
  <c r="K244" i="3"/>
  <c r="AH309" i="3"/>
  <c r="AY852" i="4"/>
  <c r="CG533" i="2"/>
  <c r="CG541" i="2" s="1"/>
  <c r="ER577" i="2"/>
  <c r="ER607" i="2" s="1"/>
  <c r="CS553" i="2"/>
  <c r="CB522" i="2"/>
  <c r="CB530" i="2" s="1"/>
  <c r="AB64" i="3"/>
  <c r="AE66" i="3" s="1"/>
  <c r="CG320" i="2"/>
  <c r="CG625" i="2" s="1"/>
  <c r="CG627" i="2" s="1"/>
  <c r="AE320" i="2"/>
  <c r="O269" i="2"/>
  <c r="O64" i="3" s="1"/>
  <c r="DM33" i="3"/>
  <c r="DM321" i="2"/>
  <c r="DM626" i="2" s="1"/>
  <c r="DM247" i="2"/>
  <c r="DM633" i="2" s="1"/>
  <c r="DG300" i="2"/>
  <c r="CI374" i="2"/>
  <c r="CI396" i="2" s="1"/>
  <c r="BH423" i="2"/>
  <c r="BH533" i="2" s="1"/>
  <c r="BH541" i="2" s="1"/>
  <c r="BN279" i="2"/>
  <c r="EQ358" i="2"/>
  <c r="DH208" i="3"/>
  <c r="DH206" i="3" s="1"/>
  <c r="DF297" i="2"/>
  <c r="DF91" i="3" s="1"/>
  <c r="DB321" i="2"/>
  <c r="DA321" i="2" s="1"/>
  <c r="DA626" i="2" s="1"/>
  <c r="J20" i="3"/>
  <c r="J244" i="3"/>
  <c r="DM552" i="2"/>
  <c r="BL552" i="2"/>
  <c r="AY211" i="3"/>
  <c r="DP211" i="3"/>
  <c r="R225" i="3"/>
  <c r="BB225" i="3"/>
  <c r="DJ209" i="3"/>
  <c r="DG209" i="3"/>
  <c r="V13" i="3"/>
  <c r="S244" i="3"/>
  <c r="V20" i="3"/>
  <c r="R244" i="3"/>
  <c r="V309" i="3"/>
  <c r="S20" i="3"/>
  <c r="R20" i="3"/>
  <c r="BA834" i="4"/>
  <c r="BB834" i="4" s="1"/>
  <c r="CD577" i="2"/>
  <c r="CD607" i="2" s="1"/>
  <c r="BO320" i="2"/>
  <c r="BN320" i="2" s="1"/>
  <c r="CO312" i="2"/>
  <c r="DN33" i="3"/>
  <c r="DN626" i="2"/>
  <c r="DM423" i="2"/>
  <c r="DJ243" i="2"/>
  <c r="DM248" i="2"/>
  <c r="L225" i="3"/>
  <c r="X225" i="3"/>
  <c r="AJ225" i="3"/>
  <c r="AV225" i="3"/>
  <c r="U159" i="3"/>
  <c r="AA159" i="3"/>
  <c r="AM159" i="3"/>
  <c r="AS159" i="3"/>
  <c r="AP189" i="3"/>
  <c r="AV199" i="3"/>
  <c r="CG148" i="3"/>
  <c r="AK222" i="3"/>
  <c r="DH40" i="2"/>
  <c r="DJ85" i="2"/>
  <c r="DG83" i="2"/>
  <c r="DH196" i="4"/>
  <c r="DC292" i="4"/>
  <c r="BH261" i="2"/>
  <c r="N107" i="3"/>
  <c r="I189" i="3"/>
  <c r="AN196" i="3"/>
  <c r="L199" i="3"/>
  <c r="P199" i="3"/>
  <c r="P35" i="3"/>
  <c r="F38" i="3"/>
  <c r="P44" i="3"/>
  <c r="AZ44" i="3"/>
  <c r="AZ45" i="3" s="1"/>
  <c r="DB44" i="3"/>
  <c r="AJ60" i="3"/>
  <c r="N75" i="3"/>
  <c r="Z75" i="3"/>
  <c r="BD75" i="3"/>
  <c r="BJ75" i="3"/>
  <c r="BP75" i="3"/>
  <c r="CB75" i="3"/>
  <c r="CH75" i="3"/>
  <c r="DF75" i="3"/>
  <c r="DL75" i="3"/>
  <c r="M84" i="3"/>
  <c r="R84" i="3"/>
  <c r="AK84" i="3"/>
  <c r="AX84" i="3"/>
  <c r="BJ84" i="3"/>
  <c r="CG84" i="3"/>
  <c r="DF84" i="3"/>
  <c r="DQ84" i="3"/>
  <c r="EC84" i="3"/>
  <c r="EH84" i="3"/>
  <c r="EO84" i="3"/>
  <c r="AA96" i="3"/>
  <c r="CR109" i="3"/>
  <c r="CR110" i="3" s="1"/>
  <c r="CR17" i="3" s="1"/>
  <c r="CQ201" i="3"/>
  <c r="CQ199" i="3" s="1"/>
  <c r="CR211" i="2"/>
  <c r="CR201" i="3" s="1"/>
  <c r="Z32" i="9"/>
  <c r="DK39" i="2"/>
  <c r="T32" i="9"/>
  <c r="CQ39" i="2"/>
  <c r="U31" i="9"/>
  <c r="CV220" i="2"/>
  <c r="W46" i="9"/>
  <c r="DA236" i="2"/>
  <c r="DA338" i="2" s="1"/>
  <c r="CV320" i="2"/>
  <c r="CV322" i="2" s="1"/>
  <c r="CU322" i="2" s="1"/>
  <c r="CU312" i="2"/>
  <c r="CU80" i="2"/>
  <c r="CV146" i="3"/>
  <c r="CV618" i="2"/>
  <c r="CV463" i="2"/>
  <c r="CT618" i="2"/>
  <c r="CT146" i="3"/>
  <c r="DA374" i="2"/>
  <c r="DA385" i="2" s="1"/>
  <c r="DA566" i="2" s="1"/>
  <c r="CZ384" i="2"/>
  <c r="DH108" i="3"/>
  <c r="DH109" i="3" s="1"/>
  <c r="DH110" i="3" s="1"/>
  <c r="DG108" i="3"/>
  <c r="DK108" i="3"/>
  <c r="DN107" i="3" s="1"/>
  <c r="BM296" i="2"/>
  <c r="BO296" i="2" s="1"/>
  <c r="BK296" i="2"/>
  <c r="DT369" i="4"/>
  <c r="BO77" i="2"/>
  <c r="BM74" i="2"/>
  <c r="BM479" i="2" s="1"/>
  <c r="DL292" i="2"/>
  <c r="DN292" i="2" s="1"/>
  <c r="DJ292" i="2"/>
  <c r="DL151" i="3"/>
  <c r="Y10" i="9"/>
  <c r="DM29" i="2"/>
  <c r="DM2" i="4"/>
  <c r="DM90" i="4" s="1"/>
  <c r="DM347" i="2"/>
  <c r="DM177" i="2"/>
  <c r="DM493" i="2"/>
  <c r="DM326" i="2"/>
  <c r="DM228" i="2"/>
  <c r="DM453" i="2"/>
  <c r="DE4" i="2"/>
  <c r="DE177" i="2" s="1"/>
  <c r="DD359" i="2"/>
  <c r="BP213" i="4"/>
  <c r="BP214" i="4" s="1"/>
  <c r="BP305" i="4"/>
  <c r="BP306" i="4" s="1"/>
  <c r="BM17" i="3"/>
  <c r="BM107" i="3"/>
  <c r="BI149" i="3"/>
  <c r="BI455" i="2" s="1"/>
  <c r="BH455" i="2"/>
  <c r="U156" i="3"/>
  <c r="V156" i="3" s="1"/>
  <c r="R207" i="3"/>
  <c r="R206" i="3" s="1"/>
  <c r="S206" i="3"/>
  <c r="CG208" i="3"/>
  <c r="CG206" i="3" s="1"/>
  <c r="CE206" i="3"/>
  <c r="I216" i="3"/>
  <c r="I215" i="3" s="1"/>
  <c r="J215" i="3"/>
  <c r="O216" i="3"/>
  <c r="O215" i="3" s="1"/>
  <c r="P215" i="3"/>
  <c r="AP216" i="3"/>
  <c r="AP215" i="3" s="1"/>
  <c r="AQ215" i="3"/>
  <c r="BP271" i="2"/>
  <c r="BR271" i="2" s="1"/>
  <c r="BR269" i="2" s="1"/>
  <c r="BN271" i="2"/>
  <c r="DS4" i="2"/>
  <c r="DS177" i="2" s="1"/>
  <c r="DR358" i="2"/>
  <c r="DG4" i="2"/>
  <c r="DF355" i="2"/>
  <c r="DF359" i="2"/>
  <c r="DG361" i="2" s="1"/>
  <c r="BT375" i="4"/>
  <c r="BT378" i="4" s="1"/>
  <c r="BQ203" i="4"/>
  <c r="BQ204" i="4" s="1"/>
  <c r="DG230" i="2"/>
  <c r="DM568" i="2"/>
  <c r="DD355" i="2"/>
  <c r="DA191" i="2"/>
  <c r="DA179" i="3" s="1"/>
  <c r="BW396" i="2"/>
  <c r="BW385" i="2"/>
  <c r="CZ146" i="3"/>
  <c r="CZ81" i="2"/>
  <c r="CZ75" i="2"/>
  <c r="CZ17" i="3"/>
  <c r="DQ2" i="4"/>
  <c r="DQ90" i="4" s="1"/>
  <c r="DQ326" i="2"/>
  <c r="DT81" i="4"/>
  <c r="DT82" i="4" s="1"/>
  <c r="DS82" i="4"/>
  <c r="DI76" i="4"/>
  <c r="DF538" i="4"/>
  <c r="DF540" i="4" s="1"/>
  <c r="DH540" i="4" s="1"/>
  <c r="DH75" i="4"/>
  <c r="DH76" i="4" s="1"/>
  <c r="CT81" i="2"/>
  <c r="BQ295" i="4"/>
  <c r="BQ298" i="4" s="1"/>
  <c r="DP359" i="2"/>
  <c r="DP233" i="3" s="1"/>
  <c r="CZ618" i="2"/>
  <c r="DF358" i="2"/>
  <c r="DM2" i="3"/>
  <c r="DM309" i="3" s="1"/>
  <c r="DD358" i="2"/>
  <c r="CO240" i="2"/>
  <c r="DN151" i="3"/>
  <c r="CV81" i="2"/>
  <c r="DG181" i="2"/>
  <c r="CU190" i="2"/>
  <c r="DD194" i="2"/>
  <c r="DD183" i="3" s="1"/>
  <c r="CX201" i="2"/>
  <c r="CX191" i="3" s="1"/>
  <c r="DS202" i="2"/>
  <c r="DS192" i="3" s="1"/>
  <c r="DY203" i="2"/>
  <c r="DY193" i="3" s="1"/>
  <c r="DA207" i="2"/>
  <c r="DA197" i="3" s="1"/>
  <c r="DY208" i="2"/>
  <c r="DI199" i="3"/>
  <c r="S211" i="3"/>
  <c r="BQ312" i="2"/>
  <c r="DP358" i="2"/>
  <c r="DM372" i="2"/>
  <c r="DY66" i="2"/>
  <c r="DB151" i="3"/>
  <c r="DB148" i="3" s="1"/>
  <c r="DN241" i="2"/>
  <c r="DM241" i="2" s="1"/>
  <c r="DM243" i="2"/>
  <c r="DM208" i="3" s="1"/>
  <c r="DI208" i="3"/>
  <c r="DK208" i="3" s="1"/>
  <c r="DI241" i="2"/>
  <c r="DE241" i="2"/>
  <c r="DD241" i="2" s="1"/>
  <c r="DD243" i="2"/>
  <c r="DO338" i="2"/>
  <c r="BC206" i="3"/>
  <c r="Y84" i="3"/>
  <c r="AB84" i="3"/>
  <c r="CW17" i="3"/>
  <c r="CW75" i="2"/>
  <c r="CW35" i="2" s="1"/>
  <c r="DC338" i="2"/>
  <c r="AQ206" i="3"/>
  <c r="T13" i="3"/>
  <c r="T244" i="3"/>
  <c r="CT84" i="3"/>
  <c r="CS84" i="3"/>
  <c r="W107" i="3"/>
  <c r="CH84" i="3"/>
  <c r="Q44" i="3"/>
  <c r="CU65" i="2"/>
  <c r="DE552" i="2"/>
  <c r="DE553" i="2"/>
  <c r="CO574" i="2"/>
  <c r="CO577" i="2" s="1"/>
  <c r="CO607" i="2" s="1"/>
  <c r="CP577" i="2"/>
  <c r="CP607" i="2" s="1"/>
  <c r="DS574" i="2"/>
  <c r="DS577" i="2" s="1"/>
  <c r="DS607" i="2" s="1"/>
  <c r="DT577" i="2"/>
  <c r="DT607" i="2" s="1"/>
  <c r="CX181" i="2"/>
  <c r="DA183" i="2"/>
  <c r="DG197" i="2"/>
  <c r="DG186" i="3" s="1"/>
  <c r="DP203" i="2"/>
  <c r="DP193" i="3" s="1"/>
  <c r="DF338" i="2"/>
  <c r="AK206" i="3"/>
  <c r="DS211" i="3"/>
  <c r="AJ107" i="3"/>
  <c r="DJ192" i="2"/>
  <c r="DJ181" i="3" s="1"/>
  <c r="DG200" i="2"/>
  <c r="DG190" i="3" s="1"/>
  <c r="CR201" i="2"/>
  <c r="CR191" i="3" s="1"/>
  <c r="DM202" i="2"/>
  <c r="DM192" i="3" s="1"/>
  <c r="CU203" i="2"/>
  <c r="CU193" i="3" s="1"/>
  <c r="DM44" i="3"/>
  <c r="DT75" i="3"/>
  <c r="BE107" i="3"/>
  <c r="DJ198" i="2"/>
  <c r="DJ187" i="3" s="1"/>
  <c r="DG210" i="2"/>
  <c r="DG200" i="3" s="1"/>
  <c r="DG199" i="3" s="1"/>
  <c r="DB235" i="2"/>
  <c r="BU355" i="2"/>
  <c r="BK247" i="2"/>
  <c r="BK633" i="2" s="1"/>
  <c r="CA355" i="2"/>
  <c r="DT560" i="4"/>
  <c r="BO185" i="4"/>
  <c r="BQ185" i="4" s="1"/>
  <c r="BQ186" i="4" s="1"/>
  <c r="DY548" i="4"/>
  <c r="DY550" i="4" s="1"/>
  <c r="EA548" i="4"/>
  <c r="DX550" i="4"/>
  <c r="CD533" i="2"/>
  <c r="CD541" i="2" s="1"/>
  <c r="CN522" i="2"/>
  <c r="CN530" i="2" s="1"/>
  <c r="BA335" i="2"/>
  <c r="CX563" i="2"/>
  <c r="BZ563" i="2"/>
  <c r="AH415" i="2"/>
  <c r="AG415" i="2" s="1"/>
  <c r="BC64" i="3"/>
  <c r="BD66" i="3" s="1"/>
  <c r="BB563" i="2"/>
  <c r="CC423" i="2"/>
  <c r="CE349" i="2"/>
  <c r="CE221" i="2" s="1"/>
  <c r="CI151" i="3"/>
  <c r="CH627" i="2"/>
  <c r="AN211" i="3"/>
  <c r="BR533" i="2"/>
  <c r="BR541" i="2" s="1"/>
  <c r="CN529" i="2"/>
  <c r="AN64" i="3"/>
  <c r="AN66" i="3" s="1"/>
  <c r="DS396" i="2"/>
  <c r="U269" i="2"/>
  <c r="U64" i="3" s="1"/>
  <c r="U66" i="3" s="1"/>
  <c r="O396" i="2"/>
  <c r="BF540" i="2"/>
  <c r="BF533" i="2"/>
  <c r="BF541" i="2" s="1"/>
  <c r="CB529" i="2"/>
  <c r="AT415" i="2"/>
  <c r="DF627" i="2"/>
  <c r="AN414" i="2"/>
  <c r="G244" i="2"/>
  <c r="F244" i="2" s="1"/>
  <c r="DS82" i="2"/>
  <c r="AF244" i="2"/>
  <c r="L206" i="3"/>
  <c r="Z211" i="3"/>
  <c r="O211" i="3"/>
  <c r="K215" i="3"/>
  <c r="Q215" i="3"/>
  <c r="W215" i="3"/>
  <c r="DK40" i="2"/>
  <c r="BU75" i="3"/>
  <c r="AA189" i="3"/>
  <c r="V196" i="3"/>
  <c r="CL211" i="3"/>
  <c r="DR283" i="2"/>
  <c r="I22" i="3"/>
  <c r="AG22" i="3"/>
  <c r="AS22" i="3"/>
  <c r="AY22" i="3"/>
  <c r="F24" i="3"/>
  <c r="M35" i="3"/>
  <c r="Z35" i="3"/>
  <c r="AD35" i="3"/>
  <c r="AK35" i="3"/>
  <c r="AX35" i="3"/>
  <c r="BD35" i="3"/>
  <c r="Z44" i="3"/>
  <c r="DP44" i="3"/>
  <c r="U48" i="3"/>
  <c r="AA48" i="3"/>
  <c r="O75" i="3"/>
  <c r="AP78" i="3"/>
  <c r="BB78" i="3"/>
  <c r="J84" i="3"/>
  <c r="O84" i="3"/>
  <c r="AH84" i="3"/>
  <c r="AI84" i="3"/>
  <c r="AY84" i="3"/>
  <c r="BF84" i="3"/>
  <c r="BG84" i="3"/>
  <c r="BW84" i="3"/>
  <c r="CP84" i="3"/>
  <c r="CQ84" i="3"/>
  <c r="DG84" i="3"/>
  <c r="DZ84" i="3"/>
  <c r="EA84" i="3"/>
  <c r="EQ84" i="3"/>
  <c r="O87" i="3"/>
  <c r="AA87" i="3"/>
  <c r="BC107" i="3"/>
  <c r="BO107" i="3"/>
  <c r="AY127" i="3"/>
  <c r="AM160" i="3"/>
  <c r="J189" i="3"/>
  <c r="V199" i="3"/>
  <c r="AW199" i="3"/>
  <c r="AH206" i="3"/>
  <c r="AP290" i="2"/>
  <c r="AP166" i="2" s="1"/>
  <c r="AQ329" i="2"/>
  <c r="AP329" i="2" s="1"/>
  <c r="I297" i="2"/>
  <c r="I91" i="3" s="1"/>
  <c r="I93" i="3" s="1"/>
  <c r="J91" i="3"/>
  <c r="AN337" i="2"/>
  <c r="AN91" i="3"/>
  <c r="DI217" i="3"/>
  <c r="DG217" i="3"/>
  <c r="DG215" i="3" s="1"/>
  <c r="BP280" i="2"/>
  <c r="BR280" i="2" s="1"/>
  <c r="BN280" i="2"/>
  <c r="CQ247" i="2"/>
  <c r="CQ33" i="3"/>
  <c r="DN320" i="2"/>
  <c r="DM320" i="2" s="1"/>
  <c r="DM625" i="2" s="1"/>
  <c r="DM312" i="2"/>
  <c r="DI207" i="3"/>
  <c r="DG207" i="3"/>
  <c r="DQ241" i="2"/>
  <c r="DP241" i="2" s="1"/>
  <c r="DP243" i="2"/>
  <c r="DP208" i="3" s="1"/>
  <c r="Y50" i="9"/>
  <c r="DH511" i="2"/>
  <c r="X38" i="9"/>
  <c r="DD210" i="2"/>
  <c r="DD200" i="3" s="1"/>
  <c r="DD199" i="3" s="1"/>
  <c r="CQ189" i="2"/>
  <c r="CR191" i="2"/>
  <c r="AA45" i="9"/>
  <c r="DM231" i="2"/>
  <c r="T26" i="9"/>
  <c r="CR183" i="2"/>
  <c r="Y46" i="9"/>
  <c r="DG236" i="2"/>
  <c r="DG338" i="2" s="1"/>
  <c r="DE320" i="2"/>
  <c r="DD312" i="2"/>
  <c r="BP19" i="4"/>
  <c r="BP67" i="4" s="1"/>
  <c r="BM67" i="4"/>
  <c r="DZ286" i="2"/>
  <c r="DY286" i="2" s="1"/>
  <c r="AM212" i="3"/>
  <c r="AM211" i="3" s="1"/>
  <c r="CK553" i="2"/>
  <c r="CK552" i="2"/>
  <c r="CY552" i="2"/>
  <c r="CY553" i="2"/>
  <c r="BS564" i="2"/>
  <c r="BS563" i="2"/>
  <c r="CW564" i="2"/>
  <c r="CW563" i="2"/>
  <c r="DK563" i="2"/>
  <c r="DK564" i="2"/>
  <c r="BE574" i="2"/>
  <c r="BE577" i="2" s="1"/>
  <c r="BE607" i="2" s="1"/>
  <c r="BF577" i="2"/>
  <c r="BF607" i="2" s="1"/>
  <c r="BW574" i="2"/>
  <c r="BW577" i="2" s="1"/>
  <c r="BW607" i="2" s="1"/>
  <c r="BX577" i="2"/>
  <c r="BX607" i="2" s="1"/>
  <c r="CI574" i="2"/>
  <c r="CI577" i="2" s="1"/>
  <c r="CI607" i="2" s="1"/>
  <c r="CJ577" i="2"/>
  <c r="CJ607" i="2" s="1"/>
  <c r="CU574" i="2"/>
  <c r="CU577" i="2" s="1"/>
  <c r="CU607" i="2" s="1"/>
  <c r="CV577" i="2"/>
  <c r="CV607" i="2" s="1"/>
  <c r="DG574" i="2"/>
  <c r="DG577" i="2" s="1"/>
  <c r="DG607" i="2" s="1"/>
  <c r="DH577" i="2"/>
  <c r="DH607" i="2" s="1"/>
  <c r="EE574" i="2"/>
  <c r="EE577" i="2" s="1"/>
  <c r="EE607" i="2" s="1"/>
  <c r="EF577" i="2"/>
  <c r="EF607" i="2" s="1"/>
  <c r="F13" i="3"/>
  <c r="F244" i="3"/>
  <c r="Z20" i="3"/>
  <c r="Z244" i="3"/>
  <c r="AD13" i="3"/>
  <c r="AD20" i="3"/>
  <c r="AL244" i="3"/>
  <c r="AL20" i="3"/>
  <c r="AL13" i="3"/>
  <c r="CA75" i="3"/>
  <c r="BX75" i="3"/>
  <c r="CQ17" i="3"/>
  <c r="CQ75" i="2"/>
  <c r="CQ35" i="2" s="1"/>
  <c r="CY17" i="3"/>
  <c r="CY75" i="2"/>
  <c r="CY505" i="2" s="1"/>
  <c r="DD149" i="3"/>
  <c r="DC455" i="2"/>
  <c r="I207" i="3"/>
  <c r="I206" i="3" s="1"/>
  <c r="J206" i="3"/>
  <c r="CR93" i="2"/>
  <c r="BU348" i="2"/>
  <c r="AG361" i="2"/>
  <c r="AG362" i="2" s="1"/>
  <c r="AF233" i="3"/>
  <c r="CF529" i="2"/>
  <c r="CF522" i="2"/>
  <c r="CF530" i="2" s="1"/>
  <c r="BU533" i="2"/>
  <c r="BU541" i="2" s="1"/>
  <c r="BU540" i="2"/>
  <c r="DE533" i="2"/>
  <c r="DE541" i="2" s="1"/>
  <c r="DD423" i="2"/>
  <c r="DD533" i="2" s="1"/>
  <c r="DD541" i="2" s="1"/>
  <c r="BQ564" i="2"/>
  <c r="BQ563" i="2"/>
  <c r="DM564" i="2"/>
  <c r="DM563" i="2"/>
  <c r="DA552" i="2"/>
  <c r="DA553" i="2"/>
  <c r="P211" i="3"/>
  <c r="BH297" i="2"/>
  <c r="BH91" i="3" s="1"/>
  <c r="BH93" i="3" s="1"/>
  <c r="AU337" i="2"/>
  <c r="Y206" i="3"/>
  <c r="CE552" i="2"/>
  <c r="DB577" i="2"/>
  <c r="DB607" i="2" s="1"/>
  <c r="AZ577" i="2"/>
  <c r="AZ607" i="2" s="1"/>
  <c r="U91" i="3"/>
  <c r="U93" i="3" s="1"/>
  <c r="BF297" i="2"/>
  <c r="BF91" i="3" s="1"/>
  <c r="DR552" i="2"/>
  <c r="DG250" i="2"/>
  <c r="DG511" i="2" s="1"/>
  <c r="DN39" i="2"/>
  <c r="X312" i="2"/>
  <c r="Y320" i="2"/>
  <c r="Y322" i="2" s="1"/>
  <c r="X322" i="2" s="1"/>
  <c r="BB312" i="2"/>
  <c r="BC320" i="2"/>
  <c r="BB24" i="3"/>
  <c r="DY184" i="3"/>
  <c r="CR198" i="2"/>
  <c r="CR187" i="3" s="1"/>
  <c r="DP198" i="2"/>
  <c r="DP187" i="3" s="1"/>
  <c r="CR200" i="2"/>
  <c r="CR190" i="3" s="1"/>
  <c r="DA201" i="2"/>
  <c r="DA191" i="3" s="1"/>
  <c r="DM201" i="2"/>
  <c r="DM191" i="3" s="1"/>
  <c r="DD208" i="2"/>
  <c r="DD198" i="3" s="1"/>
  <c r="DP208" i="2"/>
  <c r="DP198" i="3" s="1"/>
  <c r="DP196" i="3" s="1"/>
  <c r="I225" i="3"/>
  <c r="U225" i="3"/>
  <c r="AG225" i="3"/>
  <c r="AS225" i="3"/>
  <c r="CU181" i="2"/>
  <c r="DJ197" i="2"/>
  <c r="DJ186" i="3" s="1"/>
  <c r="CU198" i="2"/>
  <c r="CU187" i="3" s="1"/>
  <c r="DS198" i="2"/>
  <c r="DS187" i="3" s="1"/>
  <c r="DV190" i="3"/>
  <c r="CU208" i="2"/>
  <c r="CU198" i="3" s="1"/>
  <c r="AM110" i="3"/>
  <c r="DD93" i="2"/>
  <c r="DM192" i="2"/>
  <c r="DM181" i="3" s="1"/>
  <c r="CU195" i="2"/>
  <c r="CU184" i="3" s="1"/>
  <c r="CX198" i="2"/>
  <c r="CX187" i="3" s="1"/>
  <c r="CX200" i="2"/>
  <c r="CX190" i="3" s="1"/>
  <c r="DJ200" i="2"/>
  <c r="DJ190" i="3" s="1"/>
  <c r="DP201" i="2"/>
  <c r="DP191" i="3" s="1"/>
  <c r="DD204" i="2"/>
  <c r="DY197" i="3"/>
  <c r="DI338" i="2"/>
  <c r="AN206" i="3"/>
  <c r="BZ211" i="3"/>
  <c r="CX211" i="3"/>
  <c r="O225" i="3"/>
  <c r="AA225" i="3"/>
  <c r="AM225" i="3"/>
  <c r="AY225" i="3"/>
  <c r="CR250" i="2"/>
  <c r="CD326" i="2"/>
  <c r="DF247" i="2"/>
  <c r="DF633" i="2" s="1"/>
  <c r="BL333" i="2"/>
  <c r="CI413" i="2"/>
  <c r="BW529" i="2"/>
  <c r="DB253" i="2"/>
  <c r="AJ269" i="2"/>
  <c r="AJ120" i="3" s="1"/>
  <c r="DT533" i="2"/>
  <c r="DT541" i="2" s="1"/>
  <c r="CF563" i="2"/>
  <c r="BF513" i="2"/>
  <c r="CI200" i="3"/>
  <c r="AT334" i="2"/>
  <c r="AT170" i="3" s="1"/>
  <c r="AT166" i="3" s="1"/>
  <c r="BP247" i="2"/>
  <c r="BP633" i="2" s="1"/>
  <c r="AH252" i="2"/>
  <c r="AG252" i="2" s="1"/>
  <c r="AN334" i="2"/>
  <c r="AN170" i="3" s="1"/>
  <c r="AN166" i="3" s="1"/>
  <c r="BE231" i="2"/>
  <c r="BE165" i="3" s="1"/>
  <c r="CB577" i="2"/>
  <c r="CB607" i="2" s="1"/>
  <c r="BI276" i="2"/>
  <c r="BH276" i="2" s="1"/>
  <c r="BH336" i="2" s="1"/>
  <c r="BV247" i="2"/>
  <c r="BV633" i="2" s="1"/>
  <c r="AD167" i="3"/>
  <c r="CH322" i="2"/>
  <c r="DF322" i="2"/>
  <c r="BO355" i="2"/>
  <c r="CG355" i="2"/>
  <c r="CM355" i="2"/>
  <c r="CS355" i="2"/>
  <c r="BI233" i="3"/>
  <c r="BO233" i="3"/>
  <c r="DO552" i="2"/>
  <c r="CR577" i="2"/>
  <c r="CR607" i="2" s="1"/>
  <c r="BK553" i="2"/>
  <c r="BI352" i="2"/>
  <c r="BW563" i="2"/>
  <c r="CZ563" i="2"/>
  <c r="BK563" i="2"/>
  <c r="DS553" i="2"/>
  <c r="BX233" i="3"/>
  <c r="DE540" i="2"/>
  <c r="BI540" i="2"/>
  <c r="DA564" i="2"/>
  <c r="DP540" i="2"/>
  <c r="V91" i="3"/>
  <c r="W93" i="3" s="1"/>
  <c r="BO348" i="2"/>
  <c r="BO22" i="2" s="1"/>
  <c r="AM297" i="2"/>
  <c r="W329" i="2"/>
  <c r="CZ361" i="2"/>
  <c r="S320" i="2"/>
  <c r="S322" i="2" s="1"/>
  <c r="R322" i="2" s="1"/>
  <c r="BI91" i="3"/>
  <c r="BJ93" i="3" s="1"/>
  <c r="BQ552" i="2"/>
  <c r="BL283" i="2"/>
  <c r="BK283" i="2" s="1"/>
  <c r="BP322" i="2"/>
  <c r="AJ385" i="2"/>
  <c r="AY361" i="2"/>
  <c r="O361" i="2"/>
  <c r="P361" i="2" s="1"/>
  <c r="BF348" i="2"/>
  <c r="BF22" i="2" s="1"/>
  <c r="BA337" i="2"/>
  <c r="BA563" i="2"/>
  <c r="DQ563" i="2"/>
  <c r="CE563" i="2"/>
  <c r="CQ563" i="2"/>
  <c r="CH566" i="2"/>
  <c r="AS361" i="2"/>
  <c r="AS362" i="2" s="1"/>
  <c r="BT413" i="2"/>
  <c r="BT529" i="2" s="1"/>
  <c r="AI396" i="2"/>
  <c r="CS540" i="2"/>
  <c r="BU522" i="2"/>
  <c r="BU530" i="2" s="1"/>
  <c r="CC552" i="2"/>
  <c r="AA91" i="3"/>
  <c r="AA93" i="3" s="1"/>
  <c r="R396" i="2"/>
  <c r="BI348" i="2"/>
  <c r="BI22" i="2" s="1"/>
  <c r="CF540" i="2"/>
  <c r="AM361" i="2"/>
  <c r="AM362" i="2" s="1"/>
  <c r="M320" i="2"/>
  <c r="CR522" i="2"/>
  <c r="CR530" i="2" s="1"/>
  <c r="AA312" i="2"/>
  <c r="DC563" i="2"/>
  <c r="DL552" i="2"/>
  <c r="BX552" i="2"/>
  <c r="BY563" i="2"/>
  <c r="CI321" i="2"/>
  <c r="CI626" i="2" s="1"/>
  <c r="BE35" i="3"/>
  <c r="DQ533" i="2"/>
  <c r="DQ541" i="2" s="1"/>
  <c r="CG540" i="2"/>
  <c r="AB91" i="3"/>
  <c r="AC93" i="3" s="1"/>
  <c r="BC380" i="2"/>
  <c r="BC466" i="2" s="1"/>
  <c r="CC321" i="2"/>
  <c r="CC626" i="2" s="1"/>
  <c r="U361" i="2"/>
  <c r="U362" i="2" s="1"/>
  <c r="F385" i="2"/>
  <c r="BI320" i="2"/>
  <c r="BJ345" i="2" s="1"/>
  <c r="AK335" i="2"/>
  <c r="AK171" i="3" s="1"/>
  <c r="AK167" i="3" s="1"/>
  <c r="BC336" i="2"/>
  <c r="M329" i="2"/>
  <c r="L329" i="2" s="1"/>
  <c r="AQ336" i="2"/>
  <c r="CK563" i="2"/>
  <c r="BR552" i="2"/>
  <c r="BG563" i="2"/>
  <c r="CK641" i="2"/>
  <c r="CX211" i="2"/>
  <c r="CX201" i="3" s="1"/>
  <c r="AQ338" i="2"/>
  <c r="AQ339" i="2" s="1"/>
  <c r="BI338" i="2"/>
  <c r="BU338" i="2"/>
  <c r="AX362" i="2"/>
  <c r="AP236" i="2"/>
  <c r="AP334" i="2" s="1"/>
  <c r="AP170" i="3" s="1"/>
  <c r="AP166" i="3" s="1"/>
  <c r="CL177" i="2"/>
  <c r="BJ577" i="2"/>
  <c r="BJ607" i="2" s="1"/>
  <c r="CT577" i="2"/>
  <c r="CT607" i="2" s="1"/>
  <c r="ED577" i="2"/>
  <c r="ED607" i="2" s="1"/>
  <c r="AF304" i="2"/>
  <c r="AU614" i="2"/>
  <c r="CX199" i="4"/>
  <c r="BX540" i="2"/>
  <c r="DP563" i="2"/>
  <c r="S329" i="2"/>
  <c r="R329" i="2" s="1"/>
  <c r="P263" i="2"/>
  <c r="O263" i="2" s="1"/>
  <c r="BF166" i="3"/>
  <c r="BS272" i="2"/>
  <c r="BU272" i="2" s="1"/>
  <c r="BT272" i="2" s="1"/>
  <c r="BH202" i="2"/>
  <c r="BH192" i="3" s="1"/>
  <c r="AO342" i="2"/>
  <c r="AT287" i="2"/>
  <c r="AS287" i="2" s="1"/>
  <c r="BC244" i="2"/>
  <c r="BB244" i="2" s="1"/>
  <c r="BM326" i="2"/>
  <c r="AQ244" i="2"/>
  <c r="AP244" i="2" s="1"/>
  <c r="BE372" i="2"/>
  <c r="AX545" i="2"/>
  <c r="AX552" i="2" s="1"/>
  <c r="BN272" i="2"/>
  <c r="AD269" i="2"/>
  <c r="AD64" i="3" s="1"/>
  <c r="AD66" i="3" s="1"/>
  <c r="CR33" i="3"/>
  <c r="H224" i="2"/>
  <c r="H226" i="2" s="1"/>
  <c r="I224" i="2" s="1"/>
  <c r="AO568" i="2"/>
  <c r="CP453" i="2"/>
  <c r="BU493" i="2"/>
  <c r="CN206" i="2"/>
  <c r="AO614" i="2"/>
  <c r="AU165" i="3"/>
  <c r="BA614" i="2"/>
  <c r="BJ640" i="2"/>
  <c r="K329" i="2"/>
  <c r="BC171" i="3"/>
  <c r="BC167" i="3" s="1"/>
  <c r="BI335" i="2"/>
  <c r="CL493" i="2"/>
  <c r="BU29" i="2"/>
  <c r="CW148" i="2"/>
  <c r="BA148" i="2"/>
  <c r="CD228" i="2"/>
  <c r="BE453" i="2"/>
  <c r="N167" i="3"/>
  <c r="Z167" i="3"/>
  <c r="L66" i="3"/>
  <c r="Y329" i="2"/>
  <c r="X329" i="2" s="1"/>
  <c r="H362" i="2"/>
  <c r="E329" i="2"/>
  <c r="AL167" i="3"/>
  <c r="BC335" i="2"/>
  <c r="AX287" i="2"/>
  <c r="BU258" i="2"/>
  <c r="BT258" i="2" s="1"/>
  <c r="AW336" i="2"/>
  <c r="CL2" i="3"/>
  <c r="CW347" i="2"/>
  <c r="BA177" i="2"/>
  <c r="CD2" i="4"/>
  <c r="CD419" i="4" s="1"/>
  <c r="BU148" i="2"/>
  <c r="W287" i="2"/>
  <c r="AC329" i="2"/>
  <c r="W66" i="3"/>
  <c r="AW335" i="2"/>
  <c r="AW171" i="3" s="1"/>
  <c r="AW167" i="3" s="1"/>
  <c r="BC287" i="2"/>
  <c r="BB287" i="2" s="1"/>
  <c r="CL228" i="2"/>
  <c r="BM177" i="2"/>
  <c r="AO372" i="2"/>
  <c r="BU347" i="2"/>
  <c r="BE228" i="2"/>
  <c r="BD342" i="2"/>
  <c r="BD171" i="3"/>
  <c r="BD167" i="3" s="1"/>
  <c r="BF64" i="3"/>
  <c r="AT120" i="3"/>
  <c r="AT119" i="3" s="1"/>
  <c r="AE287" i="2"/>
  <c r="AD287" i="2" s="1"/>
  <c r="AE329" i="2"/>
  <c r="AD329" i="2" s="1"/>
  <c r="M64" i="3"/>
  <c r="P66" i="3" s="1"/>
  <c r="CM338" i="2"/>
  <c r="AQ341" i="2"/>
  <c r="AK329" i="2"/>
  <c r="AJ329" i="2" s="1"/>
  <c r="S64" i="3"/>
  <c r="V66" i="3" s="1"/>
  <c r="AQ64" i="3"/>
  <c r="F269" i="2"/>
  <c r="F64" i="3" s="1"/>
  <c r="BB241" i="2"/>
  <c r="BB208" i="3" s="1"/>
  <c r="BB206" i="3" s="1"/>
  <c r="AQ334" i="2"/>
  <c r="AQ170" i="3" s="1"/>
  <c r="AQ166" i="3" s="1"/>
  <c r="BC333" i="2"/>
  <c r="AV231" i="2"/>
  <c r="AV341" i="2" s="1"/>
  <c r="AV236" i="2"/>
  <c r="AV338" i="2" s="1"/>
  <c r="AQ333" i="2"/>
  <c r="AQ169" i="3" s="1"/>
  <c r="AQ165" i="3" s="1"/>
  <c r="CO211" i="2"/>
  <c r="CO201" i="3" s="1"/>
  <c r="CO199" i="3" s="1"/>
  <c r="BT236" i="2"/>
  <c r="BT338" i="2" s="1"/>
  <c r="AR614" i="2"/>
  <c r="AZ287" i="2"/>
  <c r="AY287" i="2" s="1"/>
  <c r="AX342" i="2"/>
  <c r="AZ513" i="2"/>
  <c r="AY269" i="2"/>
  <c r="AY166" i="2" s="1"/>
  <c r="AI337" i="2"/>
  <c r="G263" i="2"/>
  <c r="F263" i="2" s="1"/>
  <c r="AT166" i="2"/>
  <c r="X269" i="2"/>
  <c r="X64" i="3" s="1"/>
  <c r="X66" i="3" s="1"/>
  <c r="G329" i="2"/>
  <c r="F329" i="2" s="1"/>
  <c r="BB236" i="2"/>
  <c r="BB334" i="2" s="1"/>
  <c r="BB170" i="3" s="1"/>
  <c r="BB166" i="3" s="1"/>
  <c r="BC614" i="2"/>
  <c r="AP241" i="2"/>
  <c r="AP208" i="3" s="1"/>
  <c r="AP206" i="3" s="1"/>
  <c r="AP255" i="2"/>
  <c r="AL342" i="2"/>
  <c r="AX167" i="3"/>
  <c r="BM247" i="2"/>
  <c r="BM633" i="2" s="1"/>
  <c r="AX165" i="3"/>
  <c r="F226" i="2"/>
  <c r="BB231" i="2"/>
  <c r="BB333" i="2" s="1"/>
  <c r="BB169" i="3" s="1"/>
  <c r="BB165" i="3" s="1"/>
  <c r="F255" i="2"/>
  <c r="Y252" i="2"/>
  <c r="X252" i="2" s="1"/>
  <c r="BG166" i="3"/>
  <c r="CE338" i="2"/>
  <c r="G68" i="2"/>
  <c r="CL372" i="2"/>
  <c r="BZ568" i="2"/>
  <c r="AW148" i="2"/>
  <c r="CW453" i="2"/>
  <c r="BM453" i="2"/>
  <c r="BA2" i="4"/>
  <c r="BA95" i="4" s="1"/>
  <c r="CD177" i="2"/>
  <c r="BU372" i="2"/>
  <c r="BE326" i="2"/>
  <c r="CH568" i="2"/>
  <c r="CL568" i="2"/>
  <c r="BZ453" i="2"/>
  <c r="CW2" i="3"/>
  <c r="BM493" i="2"/>
  <c r="BA2" i="3"/>
  <c r="BA244" i="3" s="1"/>
  <c r="CP372" i="2"/>
  <c r="BU453" i="2"/>
  <c r="BE568" i="2"/>
  <c r="CH2" i="3"/>
  <c r="CH13" i="3" s="1"/>
  <c r="CH20" i="3" s="1"/>
  <c r="BO241" i="2"/>
  <c r="BO244" i="2" s="1"/>
  <c r="O96" i="3"/>
  <c r="AM96" i="3"/>
  <c r="AO333" i="2"/>
  <c r="AO169" i="3" s="1"/>
  <c r="AO165" i="3" s="1"/>
  <c r="Q338" i="2"/>
  <c r="BG165" i="3"/>
  <c r="DF208" i="3"/>
  <c r="DF206" i="3" s="1"/>
  <c r="AW287" i="2"/>
  <c r="AV287" i="2" s="1"/>
  <c r="Q166" i="3"/>
  <c r="CN257" i="2"/>
  <c r="CN253" i="2" s="1"/>
  <c r="CN637" i="2" s="1"/>
  <c r="BU241" i="2"/>
  <c r="BU208" i="3" s="1"/>
  <c r="BU206" i="3" s="1"/>
  <c r="BO255" i="2"/>
  <c r="CI235" i="2"/>
  <c r="CI641" i="2" s="1"/>
  <c r="CC248" i="2"/>
  <c r="AW614" i="2"/>
  <c r="AW22" i="2"/>
  <c r="AH167" i="3"/>
  <c r="AN120" i="3"/>
  <c r="AN119" i="3" s="1"/>
  <c r="M304" i="2"/>
  <c r="L304" i="2" s="1"/>
  <c r="AI327" i="2"/>
  <c r="J355" i="2"/>
  <c r="V355" i="2"/>
  <c r="AH355" i="2"/>
  <c r="AZ355" i="2"/>
  <c r="BF355" i="2"/>
  <c r="DN355" i="2"/>
  <c r="AL415" i="2"/>
  <c r="CL321" i="2"/>
  <c r="CL626" i="2" s="1"/>
  <c r="AP127" i="3"/>
  <c r="BB127" i="3"/>
  <c r="L160" i="3"/>
  <c r="R160" i="3"/>
  <c r="AJ160" i="3"/>
  <c r="AP160" i="3"/>
  <c r="AV160" i="3"/>
  <c r="AG189" i="3"/>
  <c r="AU199" i="3"/>
  <c r="CW625" i="2"/>
  <c r="CW627" i="2" s="1"/>
  <c r="CG258" i="2"/>
  <c r="CF258" i="2" s="1"/>
  <c r="BO33" i="3"/>
  <c r="BP35" i="3" s="1"/>
  <c r="Q165" i="3"/>
  <c r="DJ200" i="3"/>
  <c r="DJ199" i="3" s="1"/>
  <c r="BN211" i="2"/>
  <c r="BN201" i="3" s="1"/>
  <c r="BN199" i="3" s="1"/>
  <c r="BV338" i="2"/>
  <c r="CB338" i="2"/>
  <c r="AZ380" i="2"/>
  <c r="AZ466" i="2" s="1"/>
  <c r="X23" i="3"/>
  <c r="I35" i="3"/>
  <c r="Q35" i="3"/>
  <c r="U35" i="3"/>
  <c r="AC35" i="3"/>
  <c r="AG35" i="3"/>
  <c r="AS35" i="3"/>
  <c r="AD38" i="3"/>
  <c r="AV38" i="3"/>
  <c r="I44" i="3"/>
  <c r="U44" i="3"/>
  <c r="AB44" i="3"/>
  <c r="AG44" i="3"/>
  <c r="DH44" i="3"/>
  <c r="M75" i="3"/>
  <c r="Y75" i="3"/>
  <c r="M355" i="2"/>
  <c r="Y355" i="2"/>
  <c r="AE355" i="2"/>
  <c r="AK355" i="2"/>
  <c r="BC355" i="2"/>
  <c r="BV361" i="2"/>
  <c r="BW362" i="2" s="1"/>
  <c r="CB361" i="2"/>
  <c r="CC362" i="2" s="1"/>
  <c r="CN361" i="2"/>
  <c r="CO362" i="2" s="1"/>
  <c r="CT361" i="2"/>
  <c r="BD107" i="3"/>
  <c r="F159" i="3"/>
  <c r="X159" i="3"/>
  <c r="AD159" i="3"/>
  <c r="AP159" i="3"/>
  <c r="AV159" i="3"/>
  <c r="AZ189" i="3"/>
  <c r="G211" i="3"/>
  <c r="AS215" i="3"/>
  <c r="AN222" i="3"/>
  <c r="DZ40" i="2"/>
  <c r="DT40" i="2"/>
  <c r="DQ40" i="2"/>
  <c r="CY40" i="2"/>
  <c r="CQ40" i="2"/>
  <c r="DK338" i="2"/>
  <c r="DD83" i="2"/>
  <c r="CX83" i="2"/>
  <c r="DP93" i="2"/>
  <c r="DJ83" i="2"/>
  <c r="DZ194" i="4"/>
  <c r="CM550" i="4"/>
  <c r="EF199" i="2"/>
  <c r="BJ513" i="2"/>
  <c r="CP297" i="2"/>
  <c r="CO297" i="2" s="1"/>
  <c r="CO91" i="3" s="1"/>
  <c r="DG123" i="3"/>
  <c r="DH123" i="3" s="1"/>
  <c r="AI328" i="2"/>
  <c r="BJ361" i="2"/>
  <c r="BJ362" i="2" s="1"/>
  <c r="BP361" i="2"/>
  <c r="BQ362" i="2" s="1"/>
  <c r="CI361" i="2"/>
  <c r="CO361" i="2"/>
  <c r="CQ362" i="2" s="1"/>
  <c r="AT466" i="2"/>
  <c r="CD746" i="4"/>
  <c r="BH35" i="3"/>
  <c r="BU44" i="3"/>
  <c r="CD44" i="3"/>
  <c r="F60" i="3"/>
  <c r="CD75" i="3"/>
  <c r="DN75" i="3"/>
  <c r="DQ75" i="3"/>
  <c r="AD84" i="3"/>
  <c r="AP84" i="3"/>
  <c r="BN84" i="3"/>
  <c r="CL84" i="3"/>
  <c r="DJ84" i="3"/>
  <c r="CI202" i="2"/>
  <c r="CI192" i="3" s="1"/>
  <c r="CL259" i="2"/>
  <c r="CM258" i="2"/>
  <c r="CL258" i="2" s="1"/>
  <c r="M167" i="3"/>
  <c r="I266" i="2"/>
  <c r="I167" i="3" s="1"/>
  <c r="J167" i="3"/>
  <c r="U266" i="2"/>
  <c r="U167" i="3" s="1"/>
  <c r="V287" i="2"/>
  <c r="U287" i="2" s="1"/>
  <c r="AG266" i="2"/>
  <c r="AG167" i="3" s="1"/>
  <c r="AK342" i="2"/>
  <c r="BA120" i="3"/>
  <c r="BA119" i="3" s="1"/>
  <c r="BA64" i="3"/>
  <c r="BA66" i="3" s="1"/>
  <c r="BF336" i="2"/>
  <c r="BE276" i="2"/>
  <c r="BE336" i="2" s="1"/>
  <c r="BD329" i="2"/>
  <c r="BD330" i="2" s="1"/>
  <c r="BD513" i="2"/>
  <c r="R297" i="2"/>
  <c r="R91" i="3" s="1"/>
  <c r="R93" i="3" s="1"/>
  <c r="S91" i="3"/>
  <c r="T93" i="3" s="1"/>
  <c r="S304" i="2"/>
  <c r="AK337" i="2"/>
  <c r="AK304" i="2"/>
  <c r="AJ304" i="2" s="1"/>
  <c r="AJ297" i="2"/>
  <c r="AJ337" i="2" s="1"/>
  <c r="AK91" i="3"/>
  <c r="BU626" i="2"/>
  <c r="BT321" i="2"/>
  <c r="BT626" i="2" s="1"/>
  <c r="AZ522" i="2"/>
  <c r="AZ530" i="2" s="1"/>
  <c r="AZ529" i="2"/>
  <c r="BB423" i="2"/>
  <c r="BB533" i="2" s="1"/>
  <c r="BB541" i="2" s="1"/>
  <c r="BC533" i="2"/>
  <c r="BC541" i="2" s="1"/>
  <c r="BC540" i="2"/>
  <c r="BN423" i="2"/>
  <c r="BO533" i="2"/>
  <c r="BO541" i="2" s="1"/>
  <c r="BO540" i="2"/>
  <c r="CM533" i="2"/>
  <c r="CM541" i="2" s="1"/>
  <c r="CM540" i="2"/>
  <c r="BI552" i="2"/>
  <c r="BI553" i="2"/>
  <c r="DT563" i="2"/>
  <c r="DT564" i="2"/>
  <c r="D20" i="3"/>
  <c r="D244" i="3"/>
  <c r="D13" i="3"/>
  <c r="H13" i="3"/>
  <c r="H244" i="3"/>
  <c r="L13" i="3"/>
  <c r="L309" i="3"/>
  <c r="L244" i="3"/>
  <c r="P13" i="3"/>
  <c r="P244" i="3"/>
  <c r="T20" i="3"/>
  <c r="T309" i="3"/>
  <c r="X13" i="3"/>
  <c r="X20" i="3"/>
  <c r="X309" i="3"/>
  <c r="X244" i="3"/>
  <c r="AB20" i="3"/>
  <c r="AB244" i="3"/>
  <c r="AB13" i="3"/>
  <c r="AF13" i="3"/>
  <c r="AF244" i="3"/>
  <c r="AJ13" i="3"/>
  <c r="AJ244" i="3"/>
  <c r="AJ309" i="3"/>
  <c r="AN44" i="3"/>
  <c r="AL44" i="3"/>
  <c r="AR44" i="3"/>
  <c r="AT44" i="3"/>
  <c r="BC44" i="3"/>
  <c r="BC45" i="3" s="1"/>
  <c r="BD44" i="3"/>
  <c r="BF44" i="3"/>
  <c r="BF47" i="3" s="1"/>
  <c r="BL44" i="3"/>
  <c r="BJ44" i="3"/>
  <c r="BO44" i="3"/>
  <c r="BR44" i="3"/>
  <c r="CJ44" i="3"/>
  <c r="CG44" i="3"/>
  <c r="CH44" i="3"/>
  <c r="CM44" i="3"/>
  <c r="CP44" i="3"/>
  <c r="CZ44" i="3"/>
  <c r="CY44" i="3"/>
  <c r="AW75" i="3"/>
  <c r="AZ75" i="3"/>
  <c r="BC75" i="3"/>
  <c r="BF75" i="3"/>
  <c r="BI75" i="3"/>
  <c r="BL75" i="3"/>
  <c r="BR75" i="3"/>
  <c r="BO75" i="3"/>
  <c r="CJ75" i="3"/>
  <c r="CG75" i="3"/>
  <c r="CM75" i="3"/>
  <c r="CP75" i="3"/>
  <c r="CS75" i="3"/>
  <c r="CV75" i="3"/>
  <c r="DB75" i="3"/>
  <c r="CY75" i="3"/>
  <c r="AD231" i="2"/>
  <c r="AD165" i="3" s="1"/>
  <c r="AE244" i="2"/>
  <c r="AD244" i="2" s="1"/>
  <c r="AX334" i="2"/>
  <c r="AX170" i="3" s="1"/>
  <c r="AX166" i="3" s="1"/>
  <c r="AX338" i="2"/>
  <c r="CA33" i="3"/>
  <c r="BZ33" i="3"/>
  <c r="BZ35" i="3" s="1"/>
  <c r="AB287" i="2"/>
  <c r="AA287" i="2" s="1"/>
  <c r="AA266" i="2"/>
  <c r="AA167" i="3" s="1"/>
  <c r="AM290" i="2"/>
  <c r="AM166" i="2" s="1"/>
  <c r="AN304" i="2"/>
  <c r="AM304" i="2" s="1"/>
  <c r="AQ120" i="3"/>
  <c r="AQ119" i="3" s="1"/>
  <c r="L297" i="2"/>
  <c r="L91" i="3" s="1"/>
  <c r="M91" i="3"/>
  <c r="N93" i="3" s="1"/>
  <c r="AQ337" i="2"/>
  <c r="AQ91" i="3"/>
  <c r="AQ304" i="2"/>
  <c r="AP304" i="2" s="1"/>
  <c r="P320" i="2"/>
  <c r="O320" i="2" s="1"/>
  <c r="O312" i="2"/>
  <c r="BK22" i="2"/>
  <c r="BL348" i="2"/>
  <c r="BZ423" i="2"/>
  <c r="CA540" i="2"/>
  <c r="CI563" i="2"/>
  <c r="CI564" i="2"/>
  <c r="DS563" i="2"/>
  <c r="DS564" i="2"/>
  <c r="BP564" i="2"/>
  <c r="BP563" i="2"/>
  <c r="CN564" i="2"/>
  <c r="CN563" i="2"/>
  <c r="DN563" i="2"/>
  <c r="DN564" i="2"/>
  <c r="AB309" i="3"/>
  <c r="AJ20" i="3"/>
  <c r="CU553" i="2"/>
  <c r="BW553" i="2"/>
  <c r="AM276" i="2"/>
  <c r="AM336" i="2" s="1"/>
  <c r="DG563" i="2"/>
  <c r="AX466" i="2"/>
  <c r="CJ189" i="2"/>
  <c r="CB44" i="3"/>
  <c r="DE44" i="3"/>
  <c r="BF167" i="3"/>
  <c r="BF342" i="2"/>
  <c r="BG64" i="3"/>
  <c r="BG513" i="2"/>
  <c r="BG120" i="3"/>
  <c r="BG119" i="3" s="1"/>
  <c r="AT336" i="2"/>
  <c r="AS276" i="2"/>
  <c r="AS336" i="2" s="1"/>
  <c r="AO322" i="2"/>
  <c r="AO328" i="2" s="1"/>
  <c r="AO625" i="2"/>
  <c r="AO627" i="2" s="1"/>
  <c r="BF320" i="2"/>
  <c r="BG345" i="2" s="1"/>
  <c r="BE312" i="2"/>
  <c r="CX423" i="2"/>
  <c r="CY540" i="2"/>
  <c r="AY563" i="2"/>
  <c r="AY564" i="2"/>
  <c r="AY553" i="2"/>
  <c r="AY552" i="2"/>
  <c r="DG553" i="2"/>
  <c r="DG552" i="2"/>
  <c r="CT564" i="2"/>
  <c r="CT563" i="2"/>
  <c r="DF564" i="2"/>
  <c r="DF563" i="2"/>
  <c r="H20" i="3"/>
  <c r="H309" i="3"/>
  <c r="CL522" i="2"/>
  <c r="CL530" i="2" s="1"/>
  <c r="BA513" i="2"/>
  <c r="AP297" i="2"/>
  <c r="AP337" i="2" s="1"/>
  <c r="CG33" i="3"/>
  <c r="BV522" i="2"/>
  <c r="BV530" i="2" s="1"/>
  <c r="CO299" i="2"/>
  <c r="Q167" i="3"/>
  <c r="CN44" i="3"/>
  <c r="AK44" i="3"/>
  <c r="AO167" i="3"/>
  <c r="BB35" i="3"/>
  <c r="T329" i="2"/>
  <c r="CD355" i="2"/>
  <c r="K362" i="2"/>
  <c r="Q362" i="2"/>
  <c r="W362" i="2"/>
  <c r="AI362" i="2"/>
  <c r="AO362" i="2"/>
  <c r="BA362" i="2"/>
  <c r="J466" i="2"/>
  <c r="S466" i="2"/>
  <c r="AB466" i="2"/>
  <c r="M466" i="2"/>
  <c r="AK466" i="2"/>
  <c r="AV577" i="2"/>
  <c r="AV607" i="2" s="1"/>
  <c r="BB577" i="2"/>
  <c r="BB607" i="2" s="1"/>
  <c r="BI577" i="2"/>
  <c r="BI607" i="2" s="1"/>
  <c r="BZ577" i="2"/>
  <c r="BZ607" i="2" s="1"/>
  <c r="CF577" i="2"/>
  <c r="CF607" i="2" s="1"/>
  <c r="CL577" i="2"/>
  <c r="CL607" i="2" s="1"/>
  <c r="CX577" i="2"/>
  <c r="CX607" i="2" s="1"/>
  <c r="DD577" i="2"/>
  <c r="DD607" i="2" s="1"/>
  <c r="DP577" i="2"/>
  <c r="DP607" i="2" s="1"/>
  <c r="EB577" i="2"/>
  <c r="EB607" i="2" s="1"/>
  <c r="BS577" i="2"/>
  <c r="BS607" i="2" s="1"/>
  <c r="F22" i="3"/>
  <c r="X22" i="3"/>
  <c r="AJ22" i="3"/>
  <c r="BB22" i="3"/>
  <c r="AA23" i="3"/>
  <c r="AG23" i="3"/>
  <c r="AY23" i="3"/>
  <c r="AG24" i="3"/>
  <c r="J35" i="3"/>
  <c r="O35" i="3"/>
  <c r="T35" i="3"/>
  <c r="X35" i="3"/>
  <c r="AF35" i="3"/>
  <c r="AJ35" i="3"/>
  <c r="AM35" i="3"/>
  <c r="AR35" i="3"/>
  <c r="AV35" i="3"/>
  <c r="AZ35" i="3"/>
  <c r="BF35" i="3"/>
  <c r="I38" i="3"/>
  <c r="AA38" i="3"/>
  <c r="AG38" i="3"/>
  <c r="J44" i="3"/>
  <c r="L44" i="3"/>
  <c r="AO44" i="3"/>
  <c r="BM44" i="3"/>
  <c r="CK44" i="3"/>
  <c r="DD44" i="3"/>
  <c r="DL44" i="3"/>
  <c r="F48" i="3"/>
  <c r="R48" i="3"/>
  <c r="X48" i="3"/>
  <c r="AD48" i="3"/>
  <c r="AP48" i="3"/>
  <c r="AV48" i="3"/>
  <c r="BB48" i="3"/>
  <c r="I60" i="3"/>
  <c r="U60" i="3"/>
  <c r="AG60" i="3"/>
  <c r="AS60" i="3"/>
  <c r="R69" i="3"/>
  <c r="S75" i="3"/>
  <c r="AE75" i="3"/>
  <c r="AF75" i="3"/>
  <c r="AS75" i="3"/>
  <c r="BG75" i="3"/>
  <c r="BN75" i="3"/>
  <c r="BS75" i="3"/>
  <c r="CF75" i="3"/>
  <c r="CK75" i="3"/>
  <c r="CQ75" i="3"/>
  <c r="DC75" i="3"/>
  <c r="DI75" i="3"/>
  <c r="DO75" i="3"/>
  <c r="I78" i="3"/>
  <c r="AG78" i="3"/>
  <c r="H84" i="3"/>
  <c r="L84" i="3"/>
  <c r="Q84" i="3"/>
  <c r="T84" i="3"/>
  <c r="AC84" i="3"/>
  <c r="AG84" i="3"/>
  <c r="AJ84" i="3"/>
  <c r="BT577" i="2"/>
  <c r="BT607" i="2" s="1"/>
  <c r="BS258" i="2"/>
  <c r="AH329" i="2"/>
  <c r="AG329" i="2" s="1"/>
  <c r="AN329" i="2"/>
  <c r="AM329" i="2" s="1"/>
  <c r="AU167" i="3"/>
  <c r="AU338" i="2"/>
  <c r="AU340" i="2" s="1"/>
  <c r="AS84" i="3"/>
  <c r="AV84" i="3"/>
  <c r="BA84" i="3"/>
  <c r="BH84" i="3"/>
  <c r="BL84" i="3"/>
  <c r="BQ84" i="3"/>
  <c r="BX84" i="3"/>
  <c r="CB84" i="3"/>
  <c r="CF84" i="3"/>
  <c r="CO84" i="3"/>
  <c r="CR84" i="3"/>
  <c r="CZ84" i="3"/>
  <c r="DD84" i="3"/>
  <c r="DI84" i="3"/>
  <c r="DT84" i="3"/>
  <c r="DY84" i="3"/>
  <c r="EB84" i="3"/>
  <c r="EK84" i="3"/>
  <c r="EN84" i="3"/>
  <c r="ER84" i="3"/>
  <c r="F87" i="3"/>
  <c r="R87" i="3"/>
  <c r="AJ87" i="3"/>
  <c r="AP87" i="3"/>
  <c r="BB87" i="3"/>
  <c r="L96" i="3"/>
  <c r="R96" i="3"/>
  <c r="AD96" i="3"/>
  <c r="AJ96" i="3"/>
  <c r="AP96" i="3"/>
  <c r="K107" i="3"/>
  <c r="H107" i="3"/>
  <c r="U107" i="3"/>
  <c r="AA107" i="3"/>
  <c r="AL107" i="3"/>
  <c r="BO166" i="3"/>
  <c r="H167" i="3"/>
  <c r="P167" i="3"/>
  <c r="X167" i="3"/>
  <c r="AB167" i="3"/>
  <c r="AF167" i="3"/>
  <c r="P189" i="3"/>
  <c r="X189" i="3"/>
  <c r="AB189" i="3"/>
  <c r="R189" i="3"/>
  <c r="V189" i="3"/>
  <c r="Z189" i="3"/>
  <c r="AD189" i="3"/>
  <c r="AN189" i="3"/>
  <c r="I196" i="3"/>
  <c r="AM196" i="3"/>
  <c r="U196" i="3"/>
  <c r="O199" i="3"/>
  <c r="U199" i="3"/>
  <c r="M199" i="3"/>
  <c r="S199" i="3"/>
  <c r="AT199" i="3"/>
  <c r="W206" i="3"/>
  <c r="N206" i="3"/>
  <c r="U211" i="3"/>
  <c r="AR211" i="3"/>
  <c r="BA211" i="3"/>
  <c r="X215" i="3"/>
  <c r="DN40" i="2"/>
  <c r="DP338" i="2"/>
  <c r="CR292" i="4"/>
  <c r="DJ92" i="2"/>
  <c r="CZ165" i="4"/>
  <c r="CZ293" i="4" s="1"/>
  <c r="DU79" i="4"/>
  <c r="AL327" i="2"/>
  <c r="AL120" i="3"/>
  <c r="AL119" i="3" s="1"/>
  <c r="AL328" i="2"/>
  <c r="AV290" i="2"/>
  <c r="AW120" i="3"/>
  <c r="AW119" i="3" s="1"/>
  <c r="AW329" i="2"/>
  <c r="AZ120" i="3"/>
  <c r="AZ119" i="3" s="1"/>
  <c r="AW304" i="2"/>
  <c r="AV304" i="2" s="1"/>
  <c r="BH290" i="2"/>
  <c r="BJ166" i="2"/>
  <c r="K91" i="3"/>
  <c r="K304" i="2"/>
  <c r="AO91" i="3"/>
  <c r="AO337" i="2"/>
  <c r="AW337" i="2"/>
  <c r="AV297" i="2"/>
  <c r="AV337" i="2" s="1"/>
  <c r="BC337" i="2"/>
  <c r="BB297" i="2"/>
  <c r="BB337" i="2" s="1"/>
  <c r="BC91" i="3"/>
  <c r="BD93" i="3" s="1"/>
  <c r="F312" i="2"/>
  <c r="G320" i="2"/>
  <c r="BJ625" i="2"/>
  <c r="BJ627" i="2" s="1"/>
  <c r="BJ322" i="2"/>
  <c r="BJ328" i="2" s="1"/>
  <c r="BX320" i="2"/>
  <c r="BX322" i="2" s="1"/>
  <c r="BW322" i="2" s="1"/>
  <c r="BW312" i="2"/>
  <c r="CJ320" i="2"/>
  <c r="CJ322" i="2" s="1"/>
  <c r="CI312" i="2"/>
  <c r="CE626" i="2"/>
  <c r="CE627" i="2" s="1"/>
  <c r="CE322" i="2"/>
  <c r="BM299" i="2"/>
  <c r="BO299" i="2" s="1"/>
  <c r="BK299" i="2"/>
  <c r="BL297" i="2"/>
  <c r="BL91" i="3" s="1"/>
  <c r="AH320" i="2"/>
  <c r="AG312" i="2"/>
  <c r="AN320" i="2"/>
  <c r="AM320" i="2" s="1"/>
  <c r="AM312" i="2"/>
  <c r="AT320" i="2"/>
  <c r="AS312" i="2"/>
  <c r="BR322" i="2"/>
  <c r="BQ322" i="2" s="1"/>
  <c r="BR625" i="2"/>
  <c r="BR627" i="2" s="1"/>
  <c r="BQ320" i="2"/>
  <c r="BQ625" i="2" s="1"/>
  <c r="BQ627" i="2" s="1"/>
  <c r="AV318" i="2"/>
  <c r="AW312" i="2"/>
  <c r="AW320" i="2" s="1"/>
  <c r="CK626" i="2"/>
  <c r="CK627" i="2" s="1"/>
  <c r="CK322" i="2"/>
  <c r="AW91" i="3"/>
  <c r="AX93" i="3" s="1"/>
  <c r="AC304" i="2"/>
  <c r="AZ22" i="2"/>
  <c r="AO75" i="3"/>
  <c r="AQ75" i="3"/>
  <c r="BY110" i="3"/>
  <c r="BY17" i="3" s="1"/>
  <c r="BY107" i="3"/>
  <c r="CQ641" i="2"/>
  <c r="V37" i="9"/>
  <c r="CY144" i="2"/>
  <c r="CX144" i="2" s="1"/>
  <c r="V31" i="9"/>
  <c r="CY220" i="2"/>
  <c r="BC414" i="2"/>
  <c r="BC522" i="2"/>
  <c r="BC530" i="2" s="1"/>
  <c r="BD413" i="2"/>
  <c r="CS312" i="2"/>
  <c r="T62" i="9" s="1"/>
  <c r="CR313" i="2"/>
  <c r="CO273" i="2"/>
  <c r="CI273" i="2"/>
  <c r="CF273" i="2"/>
  <c r="BW273" i="2"/>
  <c r="CK745" i="4"/>
  <c r="DA199" i="4"/>
  <c r="AR84" i="3"/>
  <c r="CE75" i="3"/>
  <c r="K20" i="3"/>
  <c r="S309" i="3"/>
  <c r="O13" i="3"/>
  <c r="AI244" i="3"/>
  <c r="W309" i="3"/>
  <c r="K309" i="3"/>
  <c r="AA244" i="3"/>
  <c r="O244" i="3"/>
  <c r="BA35" i="3"/>
  <c r="DU85" i="4"/>
  <c r="BY552" i="2"/>
  <c r="BH571" i="2"/>
  <c r="BH577" i="2" s="1"/>
  <c r="BH607" i="2" s="1"/>
  <c r="CM553" i="2"/>
  <c r="CQ361" i="2"/>
  <c r="CR362" i="2" s="1"/>
  <c r="CK413" i="2"/>
  <c r="CK522" i="2" s="1"/>
  <c r="CK530" i="2" s="1"/>
  <c r="DD553" i="2"/>
  <c r="BT553" i="2"/>
  <c r="BH563" i="2"/>
  <c r="AX529" i="2"/>
  <c r="AF362" i="2"/>
  <c r="DM409" i="2"/>
  <c r="DR81" i="2"/>
  <c r="DI321" i="2"/>
  <c r="DE289" i="4"/>
  <c r="DE563" i="2"/>
  <c r="AM266" i="2"/>
  <c r="AN342" i="2"/>
  <c r="AS266" i="2"/>
  <c r="AS335" i="2" s="1"/>
  <c r="AS171" i="3" s="1"/>
  <c r="AS167" i="3" s="1"/>
  <c r="AT335" i="2"/>
  <c r="AT171" i="3" s="1"/>
  <c r="AT167" i="3" s="1"/>
  <c r="AY266" i="2"/>
  <c r="AZ171" i="3"/>
  <c r="AZ167" i="3" s="1"/>
  <c r="AZ335" i="2"/>
  <c r="AZ342" i="2"/>
  <c r="BE266" i="2"/>
  <c r="BI167" i="3"/>
  <c r="BF335" i="2"/>
  <c r="H64" i="3"/>
  <c r="H66" i="3" s="1"/>
  <c r="H329" i="2"/>
  <c r="N64" i="3"/>
  <c r="N329" i="2"/>
  <c r="Z64" i="3"/>
  <c r="Z66" i="3" s="1"/>
  <c r="Z329" i="2"/>
  <c r="AL329" i="2"/>
  <c r="AL287" i="2"/>
  <c r="AR120" i="3"/>
  <c r="AR119" i="3" s="1"/>
  <c r="AR329" i="2"/>
  <c r="AR64" i="3"/>
  <c r="AR287" i="2"/>
  <c r="CR284" i="2"/>
  <c r="CS283" i="2"/>
  <c r="CR283" i="2" s="1"/>
  <c r="AB22" i="2"/>
  <c r="BY349" i="2"/>
  <c r="BY225" i="3" s="1"/>
  <c r="BY384" i="2"/>
  <c r="CW84" i="3"/>
  <c r="CV84" i="3"/>
  <c r="AA212" i="3"/>
  <c r="AA211" i="3" s="1"/>
  <c r="AB211" i="3"/>
  <c r="CY641" i="2"/>
  <c r="CX235" i="2"/>
  <c r="CX641" i="2" s="1"/>
  <c r="Z46" i="9"/>
  <c r="DJ236" i="2"/>
  <c r="DJ338" i="2" s="1"/>
  <c r="X45" i="9"/>
  <c r="DD231" i="2"/>
  <c r="DH59" i="2"/>
  <c r="DH57" i="2" s="1"/>
  <c r="DH48" i="3"/>
  <c r="DC295" i="2"/>
  <c r="DC235" i="2"/>
  <c r="DC641" i="2" s="1"/>
  <c r="DC4" i="2"/>
  <c r="DC148" i="2" s="1"/>
  <c r="DC257" i="2"/>
  <c r="DC248" i="2"/>
  <c r="DC33" i="3" s="1"/>
  <c r="CL273" i="2"/>
  <c r="BP378" i="4"/>
  <c r="BP379" i="4" s="1"/>
  <c r="BP380" i="4" s="1"/>
  <c r="BM378" i="4"/>
  <c r="BT273" i="2"/>
  <c r="DE17" i="3"/>
  <c r="AW211" i="3"/>
  <c r="Y215" i="3"/>
  <c r="AE211" i="3"/>
  <c r="Y211" i="3"/>
  <c r="CA84" i="3"/>
  <c r="AI20" i="3"/>
  <c r="AE244" i="3"/>
  <c r="O20" i="3"/>
  <c r="AI309" i="3"/>
  <c r="H35" i="3"/>
  <c r="G20" i="3"/>
  <c r="AA309" i="3"/>
  <c r="W35" i="3"/>
  <c r="BM20" i="4"/>
  <c r="BM71" i="4" s="1"/>
  <c r="DR563" i="2"/>
  <c r="BM552" i="2"/>
  <c r="CG553" i="2"/>
  <c r="DH533" i="2"/>
  <c r="DH541" i="2" s="1"/>
  <c r="BX533" i="2"/>
  <c r="BX541" i="2" s="1"/>
  <c r="CU529" i="2"/>
  <c r="CK361" i="2"/>
  <c r="CL362" i="2" s="1"/>
  <c r="Q93" i="3"/>
  <c r="CR553" i="2"/>
  <c r="BH553" i="2"/>
  <c r="DJ409" i="2"/>
  <c r="CJ522" i="2"/>
  <c r="CJ530" i="2" s="1"/>
  <c r="BQ361" i="2"/>
  <c r="BS362" i="2" s="1"/>
  <c r="CH522" i="2"/>
  <c r="CH530" i="2" s="1"/>
  <c r="AX414" i="2"/>
  <c r="AZ414" i="2" s="1"/>
  <c r="AZ415" i="2" s="1"/>
  <c r="CX321" i="2"/>
  <c r="CX626" i="2" s="1"/>
  <c r="Z362" i="2"/>
  <c r="DC321" i="2"/>
  <c r="DN338" i="2"/>
  <c r="DR618" i="2"/>
  <c r="DD563" i="2"/>
  <c r="DG533" i="2"/>
  <c r="DG541" i="2" s="1"/>
  <c r="CC84" i="3"/>
  <c r="DT540" i="2"/>
  <c r="CX240" i="2"/>
  <c r="DE39" i="2"/>
  <c r="CC233" i="3"/>
  <c r="CD233" i="3" s="1"/>
  <c r="CE361" i="2"/>
  <c r="CF362" i="2" s="1"/>
  <c r="CF553" i="2"/>
  <c r="CF552" i="2"/>
  <c r="CA564" i="2"/>
  <c r="CA563" i="2"/>
  <c r="DL84" i="3"/>
  <c r="DM84" i="3"/>
  <c r="CC273" i="2"/>
  <c r="BZ273" i="2"/>
  <c r="F212" i="3"/>
  <c r="F211" i="3" s="1"/>
  <c r="BZ209" i="3"/>
  <c r="S84" i="3"/>
  <c r="AE309" i="3"/>
  <c r="BC35" i="3"/>
  <c r="AE20" i="3"/>
  <c r="AI35" i="3"/>
  <c r="AY840" i="4"/>
  <c r="DC197" i="4"/>
  <c r="DB196" i="4"/>
  <c r="DH540" i="2"/>
  <c r="BG552" i="2"/>
  <c r="BY361" i="2"/>
  <c r="BZ362" i="2" s="1"/>
  <c r="CH529" i="2"/>
  <c r="AK385" i="2"/>
  <c r="I396" i="2"/>
  <c r="BD362" i="2"/>
  <c r="N362" i="2"/>
  <c r="BB413" i="2"/>
  <c r="BB529" i="2" s="1"/>
  <c r="DR409" i="2"/>
  <c r="DT409" i="2" s="1"/>
  <c r="DL338" i="2"/>
  <c r="G355" i="2"/>
  <c r="BZ211" i="2"/>
  <c r="BZ201" i="3" s="1"/>
  <c r="CZ201" i="3"/>
  <c r="CZ199" i="3" s="1"/>
  <c r="DA211" i="2"/>
  <c r="DA201" i="3" s="1"/>
  <c r="BN165" i="3"/>
  <c r="I236" i="2"/>
  <c r="I166" i="3" s="1"/>
  <c r="M338" i="2"/>
  <c r="U236" i="2"/>
  <c r="W166" i="3"/>
  <c r="W338" i="2"/>
  <c r="BM166" i="3"/>
  <c r="BM338" i="2"/>
  <c r="CI248" i="2"/>
  <c r="CI33" i="3"/>
  <c r="DA67" i="2"/>
  <c r="BE211" i="3"/>
  <c r="BQ211" i="3"/>
  <c r="BA167" i="3"/>
  <c r="AF66" i="3"/>
  <c r="CL338" i="2"/>
  <c r="CR92" i="2"/>
  <c r="V165" i="3"/>
  <c r="AK341" i="2"/>
  <c r="J166" i="3"/>
  <c r="V338" i="2"/>
  <c r="AH166" i="3"/>
  <c r="AT355" i="2"/>
  <c r="BK361" i="2"/>
  <c r="DM58" i="2"/>
  <c r="DD192" i="2"/>
  <c r="DD181" i="3" s="1"/>
  <c r="DP197" i="2"/>
  <c r="DP186" i="3" s="1"/>
  <c r="DA200" i="2"/>
  <c r="DA190" i="3" s="1"/>
  <c r="DM200" i="2"/>
  <c r="DM190" i="3" s="1"/>
  <c r="BF614" i="2"/>
  <c r="R216" i="3"/>
  <c r="R215" i="3" s="1"/>
  <c r="S215" i="3"/>
  <c r="BL110" i="3"/>
  <c r="BL17" i="3" s="1"/>
  <c r="BL107" i="3"/>
  <c r="AD211" i="3"/>
  <c r="CF153" i="3"/>
  <c r="X211" i="3"/>
  <c r="CN84" i="3"/>
  <c r="BP84" i="3"/>
  <c r="AF84" i="3"/>
  <c r="CY84" i="3"/>
  <c r="BO84" i="3"/>
  <c r="DP75" i="3"/>
  <c r="AC75" i="3"/>
  <c r="DD75" i="3"/>
  <c r="AH35" i="3"/>
  <c r="V35" i="3"/>
  <c r="AU35" i="3"/>
  <c r="CO396" i="2"/>
  <c r="CO398" i="2" s="1"/>
  <c r="DU84" i="3"/>
  <c r="BM75" i="3"/>
  <c r="AT215" i="3"/>
  <c r="AZ84" i="3"/>
  <c r="P84" i="3"/>
  <c r="CF211" i="2"/>
  <c r="CF201" i="3" s="1"/>
  <c r="CE201" i="3"/>
  <c r="CE199" i="3" s="1"/>
  <c r="CM641" i="2"/>
  <c r="P166" i="3"/>
  <c r="L236" i="2"/>
  <c r="Y166" i="3"/>
  <c r="X236" i="2"/>
  <c r="X166" i="3" s="1"/>
  <c r="EJ84" i="3"/>
  <c r="AE84" i="3"/>
  <c r="AR75" i="3"/>
  <c r="BT75" i="3"/>
  <c r="AE35" i="3"/>
  <c r="S35" i="3"/>
  <c r="BG35" i="3"/>
  <c r="BY84" i="3"/>
  <c r="U84" i="3"/>
  <c r="V211" i="3"/>
  <c r="M107" i="3"/>
  <c r="DH84" i="3"/>
  <c r="AL199" i="3"/>
  <c r="CL75" i="3"/>
  <c r="O297" i="2"/>
  <c r="O91" i="3" s="1"/>
  <c r="O93" i="3" s="1"/>
  <c r="P304" i="2"/>
  <c r="O304" i="2" s="1"/>
  <c r="AG297" i="2"/>
  <c r="AG91" i="3" s="1"/>
  <c r="AG93" i="3" s="1"/>
  <c r="AH304" i="2"/>
  <c r="AG304" i="2" s="1"/>
  <c r="R211" i="3"/>
  <c r="DX84" i="3"/>
  <c r="DK84" i="3"/>
  <c r="BC84" i="3"/>
  <c r="DJ75" i="3"/>
  <c r="Q75" i="3"/>
  <c r="BM84" i="3"/>
  <c r="AV107" i="3"/>
  <c r="BD152" i="3"/>
  <c r="BD148" i="3" s="1"/>
  <c r="BQ248" i="2"/>
  <c r="BQ33" i="3"/>
  <c r="BQ35" i="3" s="1"/>
  <c r="CO33" i="3"/>
  <c r="CO35" i="3" s="1"/>
  <c r="CP33" i="3"/>
  <c r="BL540" i="2"/>
  <c r="BK423" i="2"/>
  <c r="BK540" i="2" s="1"/>
  <c r="CX92" i="2"/>
  <c r="CR181" i="2"/>
  <c r="DD181" i="2"/>
  <c r="CU194" i="2"/>
  <c r="CU183" i="3" s="1"/>
  <c r="CU197" i="2"/>
  <c r="CU186" i="3" s="1"/>
  <c r="DD203" i="2"/>
  <c r="DD193" i="3" s="1"/>
  <c r="AV196" i="3"/>
  <c r="CC211" i="3"/>
  <c r="CO211" i="3"/>
  <c r="DA211" i="3"/>
  <c r="DM211" i="3"/>
  <c r="DP312" i="2"/>
  <c r="CT384" i="2"/>
  <c r="CT566" i="2"/>
  <c r="DP79" i="2"/>
  <c r="CV289" i="4"/>
  <c r="AW464" i="2"/>
  <c r="DG65" i="2"/>
  <c r="DJ66" i="2"/>
  <c r="DD92" i="2"/>
  <c r="CX194" i="2"/>
  <c r="CX183" i="3" s="1"/>
  <c r="DJ194" i="2"/>
  <c r="DJ183" i="3" s="1"/>
  <c r="CR195" i="2"/>
  <c r="CR184" i="3" s="1"/>
  <c r="CX197" i="2"/>
  <c r="CX186" i="3" s="1"/>
  <c r="DD201" i="2"/>
  <c r="DD191" i="3" s="1"/>
  <c r="DP200" i="2"/>
  <c r="DP190" i="3" s="1"/>
  <c r="DY202" i="2"/>
  <c r="DY192" i="3" s="1"/>
  <c r="DG203" i="2"/>
  <c r="DG193" i="3" s="1"/>
  <c r="DD207" i="2"/>
  <c r="DD197" i="3" s="1"/>
  <c r="AP199" i="3"/>
  <c r="BA206" i="3"/>
  <c r="DP259" i="2"/>
  <c r="BH75" i="3"/>
  <c r="DA92" i="2"/>
  <c r="DY194" i="2"/>
  <c r="DY183" i="3" s="1"/>
  <c r="CU207" i="2"/>
  <c r="CU197" i="3" s="1"/>
  <c r="DA210" i="2"/>
  <c r="DA200" i="3" s="1"/>
  <c r="AI206" i="3"/>
  <c r="CQ511" i="2"/>
  <c r="CY626" i="2"/>
  <c r="CU92" i="2"/>
  <c r="DS93" i="2"/>
  <c r="EN202" i="2"/>
  <c r="EN192" i="3" s="1"/>
  <c r="AY196" i="3"/>
  <c r="AX185" i="2"/>
  <c r="BD165" i="3"/>
  <c r="AR338" i="2"/>
  <c r="AR340" i="2" s="1"/>
  <c r="BD338" i="2"/>
  <c r="BD339" i="2" s="1"/>
  <c r="BQ338" i="2"/>
  <c r="BQ193" i="3"/>
  <c r="Y338" i="2"/>
  <c r="S338" i="2"/>
  <c r="M166" i="3"/>
  <c r="S165" i="3"/>
  <c r="BD170" i="3"/>
  <c r="BD166" i="3" s="1"/>
  <c r="BD333" i="2"/>
  <c r="AX614" i="2"/>
  <c r="CC33" i="3"/>
  <c r="CL235" i="2"/>
  <c r="F236" i="2"/>
  <c r="BD185" i="2"/>
  <c r="BD341" i="2"/>
  <c r="AK333" i="2"/>
  <c r="AK169" i="3" s="1"/>
  <c r="AK165" i="3" s="1"/>
  <c r="AX341" i="2"/>
  <c r="CJ33" i="3"/>
  <c r="BR33" i="3"/>
  <c r="BS35" i="3" s="1"/>
  <c r="CP247" i="2"/>
  <c r="CP633" i="2" s="1"/>
  <c r="BP338" i="2"/>
  <c r="AD236" i="2"/>
  <c r="AD338" i="2" s="1"/>
  <c r="F231" i="2"/>
  <c r="AK334" i="2"/>
  <c r="AK170" i="3" s="1"/>
  <c r="AK166" i="3" s="1"/>
  <c r="BX247" i="2"/>
  <c r="BW247" i="2" s="1"/>
  <c r="BW633" i="2" s="1"/>
  <c r="AQ24" i="2"/>
  <c r="CC200" i="2"/>
  <c r="CC190" i="3" s="1"/>
  <c r="EB200" i="2"/>
  <c r="EB190" i="3" s="1"/>
  <c r="T165" i="3"/>
  <c r="Z165" i="3"/>
  <c r="H166" i="3"/>
  <c r="T338" i="2"/>
  <c r="Z166" i="3"/>
  <c r="AF166" i="3"/>
  <c r="BE338" i="2"/>
  <c r="BE339" i="2" s="1"/>
  <c r="BK166" i="3"/>
  <c r="CI338" i="2"/>
  <c r="BD614" i="2"/>
  <c r="AR333" i="2"/>
  <c r="AR169" i="3" s="1"/>
  <c r="AR165" i="3" s="1"/>
  <c r="CD33" i="3"/>
  <c r="AJ241" i="2"/>
  <c r="AJ208" i="3" s="1"/>
  <c r="AJ206" i="3" s="1"/>
  <c r="J338" i="2"/>
  <c r="R231" i="2"/>
  <c r="R165" i="3" s="1"/>
  <c r="CJ247" i="2"/>
  <c r="CI247" i="2" s="1"/>
  <c r="CI633" i="2" s="1"/>
  <c r="BR247" i="2"/>
  <c r="CO248" i="2"/>
  <c r="AH338" i="2"/>
  <c r="BW248" i="2"/>
  <c r="BI304" i="2"/>
  <c r="BH304" i="2" s="1"/>
  <c r="CX208" i="2"/>
  <c r="CX198" i="3" s="1"/>
  <c r="CX196" i="3" s="1"/>
  <c r="J304" i="2"/>
  <c r="I304" i="2" s="1"/>
  <c r="BS22" i="2"/>
  <c r="BC24" i="2"/>
  <c r="BX193" i="2"/>
  <c r="AK338" i="2"/>
  <c r="S166" i="3"/>
  <c r="Y165" i="3"/>
  <c r="AR334" i="2"/>
  <c r="AR170" i="3" s="1"/>
  <c r="AR166" i="3" s="1"/>
  <c r="BX33" i="3"/>
  <c r="BY35" i="3" s="1"/>
  <c r="CD258" i="2"/>
  <c r="CC258" i="2" s="1"/>
  <c r="J22" i="2"/>
  <c r="EH194" i="2"/>
  <c r="EH183" i="3" s="1"/>
  <c r="EN194" i="2"/>
  <c r="EN183" i="3" s="1"/>
  <c r="DY200" i="3"/>
  <c r="O167" i="3"/>
  <c r="AR166" i="2"/>
  <c r="BW151" i="3"/>
  <c r="DU272" i="2"/>
  <c r="DW272" i="2" s="1"/>
  <c r="CP92" i="2"/>
  <c r="CO92" i="2" s="1"/>
  <c r="AW62" i="2"/>
  <c r="AW179" i="2" s="1"/>
  <c r="BJ222" i="2"/>
  <c r="BT191" i="2"/>
  <c r="BT179" i="3" s="1"/>
  <c r="EQ200" i="2"/>
  <c r="EQ190" i="3" s="1"/>
  <c r="BF199" i="2"/>
  <c r="BL199" i="2"/>
  <c r="EE204" i="2"/>
  <c r="O206" i="2"/>
  <c r="AG206" i="2"/>
  <c r="AM206" i="2"/>
  <c r="AY206" i="2"/>
  <c r="EB197" i="3"/>
  <c r="EN207" i="2"/>
  <c r="EN197" i="3" s="1"/>
  <c r="AJ220" i="2"/>
  <c r="AA221" i="2"/>
  <c r="O338" i="2"/>
  <c r="AC167" i="3"/>
  <c r="BE17" i="3"/>
  <c r="DL33" i="3"/>
  <c r="EE200" i="2"/>
  <c r="EE190" i="3" s="1"/>
  <c r="BN203" i="2"/>
  <c r="BN193" i="3" s="1"/>
  <c r="DM144" i="2"/>
  <c r="CP199" i="2"/>
  <c r="AE90" i="2"/>
  <c r="AE5" i="3" s="1"/>
  <c r="AE11" i="3" s="1"/>
  <c r="EA358" i="2"/>
  <c r="DM66" i="2"/>
  <c r="AX62" i="2"/>
  <c r="AX27" i="3" s="1"/>
  <c r="BS228" i="2"/>
  <c r="BO347" i="2"/>
  <c r="AV116" i="2"/>
  <c r="EC193" i="2"/>
  <c r="EF193" i="2"/>
  <c r="BU199" i="2"/>
  <c r="CC199" i="3"/>
  <c r="Q222" i="2"/>
  <c r="AW341" i="2"/>
  <c r="BC341" i="2"/>
  <c r="AL341" i="2"/>
  <c r="BR255" i="2"/>
  <c r="BQ255" i="2" s="1"/>
  <c r="Y167" i="3"/>
  <c r="CK283" i="2"/>
  <c r="N304" i="2"/>
  <c r="AU493" i="2"/>
  <c r="BY247" i="2"/>
  <c r="BY633" i="2" s="1"/>
  <c r="BI342" i="2"/>
  <c r="AN335" i="2"/>
  <c r="AN171" i="3" s="1"/>
  <c r="AN167" i="3" s="1"/>
  <c r="BO258" i="2"/>
  <c r="BN258" i="2" s="1"/>
  <c r="CF511" i="2"/>
  <c r="AU166" i="3"/>
  <c r="CS33" i="3"/>
  <c r="CA338" i="2"/>
  <c r="BL334" i="2"/>
  <c r="BG338" i="2"/>
  <c r="BG340" i="2" s="1"/>
  <c r="AZ334" i="2"/>
  <c r="AZ170" i="3" s="1"/>
  <c r="AZ166" i="3" s="1"/>
  <c r="AW338" i="2"/>
  <c r="AW340" i="2" s="1"/>
  <c r="BO165" i="3"/>
  <c r="AW342" i="2"/>
  <c r="AE167" i="3"/>
  <c r="BS256" i="2"/>
  <c r="AG165" i="3"/>
  <c r="AL333" i="2"/>
  <c r="AL169" i="3" s="1"/>
  <c r="AL165" i="3" s="1"/>
  <c r="DD4" i="2"/>
  <c r="DD2" i="3" s="1"/>
  <c r="CL326" i="2"/>
  <c r="CL2" i="4"/>
  <c r="CL95" i="4" s="1"/>
  <c r="CL498" i="4" s="1"/>
  <c r="BZ347" i="2"/>
  <c r="BZ493" i="2"/>
  <c r="AW453" i="2"/>
  <c r="AT338" i="2"/>
  <c r="AT339" i="2" s="1"/>
  <c r="BU9" i="2"/>
  <c r="CW228" i="2"/>
  <c r="CW493" i="2"/>
  <c r="BM148" i="2"/>
  <c r="BM347" i="2"/>
  <c r="BM2" i="4"/>
  <c r="BM167" i="4" s="1"/>
  <c r="BA326" i="2"/>
  <c r="CL9" i="2"/>
  <c r="CP568" i="2"/>
  <c r="CD347" i="2"/>
  <c r="BU228" i="2"/>
  <c r="BU568" i="2"/>
  <c r="BU2" i="3"/>
  <c r="BC342" i="2"/>
  <c r="BE177" i="2"/>
  <c r="BE347" i="2"/>
  <c r="BE493" i="2"/>
  <c r="CA283" i="2"/>
  <c r="BZ283" i="2" s="1"/>
  <c r="CJ283" i="2"/>
  <c r="CI283" i="2" s="1"/>
  <c r="CU63" i="2"/>
  <c r="CU461" i="2" s="1"/>
  <c r="M22" i="2"/>
  <c r="AN180" i="3"/>
  <c r="BN256" i="2"/>
  <c r="BS247" i="2"/>
  <c r="BS633" i="2" s="1"/>
  <c r="AO166" i="3"/>
  <c r="BK338" i="2"/>
  <c r="BN35" i="3"/>
  <c r="CK338" i="2"/>
  <c r="BS338" i="2"/>
  <c r="BO338" i="2"/>
  <c r="BF334" i="2"/>
  <c r="BC338" i="2"/>
  <c r="BC339" i="2" s="1"/>
  <c r="AO338" i="2"/>
  <c r="BG341" i="2"/>
  <c r="AU342" i="2"/>
  <c r="AY497" i="2"/>
  <c r="CL148" i="2"/>
  <c r="CL347" i="2"/>
  <c r="CL453" i="2"/>
  <c r="BZ372" i="2"/>
  <c r="BZ2" i="3"/>
  <c r="BZ13" i="3" s="1"/>
  <c r="BZ20" i="3" s="1"/>
  <c r="CW177" i="2"/>
  <c r="CW2" i="4"/>
  <c r="CW117" i="4" s="1"/>
  <c r="BM228" i="2"/>
  <c r="BM372" i="2"/>
  <c r="BM568" i="2"/>
  <c r="BA347" i="2"/>
  <c r="AF329" i="2"/>
  <c r="BZ9" i="2"/>
  <c r="CP228" i="2"/>
  <c r="CP2" i="4"/>
  <c r="CP95" i="4" s="1"/>
  <c r="CP498" i="4" s="1"/>
  <c r="CD568" i="2"/>
  <c r="BU326" i="2"/>
  <c r="BU2" i="4"/>
  <c r="BU167" i="4" s="1"/>
  <c r="BA342" i="2"/>
  <c r="BE148" i="2"/>
  <c r="BE2" i="4"/>
  <c r="Y22" i="2"/>
  <c r="DA93" i="2"/>
  <c r="DB257" i="2"/>
  <c r="DA257" i="2" s="1"/>
  <c r="DB295" i="2"/>
  <c r="DA295" i="2" s="1"/>
  <c r="EC199" i="2"/>
  <c r="BF185" i="2"/>
  <c r="BF341" i="2"/>
  <c r="BF165" i="3"/>
  <c r="CS199" i="2"/>
  <c r="AW166" i="3"/>
  <c r="BH197" i="3"/>
  <c r="BR338" i="2"/>
  <c r="AN338" i="2"/>
  <c r="AN340" i="2" s="1"/>
  <c r="P338" i="2"/>
  <c r="X165" i="3"/>
  <c r="AR341" i="2"/>
  <c r="CN463" i="2"/>
  <c r="BD179" i="3"/>
  <c r="CG177" i="2"/>
  <c r="BT183" i="2"/>
  <c r="BT463" i="2" s="1"/>
  <c r="CN338" i="2"/>
  <c r="AV326" i="2"/>
  <c r="AV493" i="2"/>
  <c r="BD493" i="2"/>
  <c r="BD29" i="2"/>
  <c r="BT326" i="2"/>
  <c r="BT148" i="2"/>
  <c r="BT2" i="3"/>
  <c r="CK2" i="3"/>
  <c r="CK13" i="3" s="1"/>
  <c r="CK20" i="3" s="1"/>
  <c r="CK568" i="2"/>
  <c r="CK347" i="2"/>
  <c r="CK148" i="2"/>
  <c r="CS453" i="2"/>
  <c r="CS347" i="2"/>
  <c r="BW2" i="4"/>
  <c r="BW95" i="4" s="1"/>
  <c r="BW498" i="4" s="1"/>
  <c r="BW372" i="2"/>
  <c r="AC42" i="2"/>
  <c r="CP529" i="2"/>
  <c r="AV342" i="2"/>
  <c r="BW2" i="3"/>
  <c r="BW244" i="3" s="1"/>
  <c r="BD347" i="2"/>
  <c r="AV336" i="2"/>
  <c r="AD64" i="2"/>
  <c r="AD462" i="2" s="1"/>
  <c r="AX168" i="2"/>
  <c r="CS9" i="2"/>
  <c r="AN493" i="2"/>
  <c r="AN228" i="2"/>
  <c r="AN2" i="4"/>
  <c r="AN74" i="4" s="1"/>
  <c r="AZ177" i="2"/>
  <c r="AZ2" i="4"/>
  <c r="AZ372" i="2"/>
  <c r="BL372" i="2"/>
  <c r="BL493" i="2"/>
  <c r="BL177" i="2"/>
  <c r="CO347" i="2"/>
  <c r="CO493" i="2"/>
  <c r="AH10" i="2"/>
  <c r="AG84" i="2"/>
  <c r="AG10" i="2" s="1"/>
  <c r="BS138" i="2"/>
  <c r="BU138" i="2" s="1"/>
  <c r="BQ138" i="2"/>
  <c r="CG463" i="2"/>
  <c r="CF183" i="2"/>
  <c r="CF190" i="2"/>
  <c r="CG189" i="2"/>
  <c r="CG220" i="2" s="1"/>
  <c r="CB189" i="2"/>
  <c r="CB220" i="2" s="1"/>
  <c r="CC191" i="2"/>
  <c r="CC179" i="3" s="1"/>
  <c r="DV191" i="3"/>
  <c r="CR203" i="2"/>
  <c r="CR193" i="3" s="1"/>
  <c r="BW211" i="2"/>
  <c r="BW201" i="3" s="1"/>
  <c r="BX201" i="3"/>
  <c r="BX199" i="3" s="1"/>
  <c r="AN341" i="2"/>
  <c r="AM231" i="2"/>
  <c r="AM341" i="2" s="1"/>
  <c r="AN333" i="2"/>
  <c r="AN169" i="3" s="1"/>
  <c r="AN165" i="3" s="1"/>
  <c r="AO341" i="2"/>
  <c r="AN614" i="2"/>
  <c r="AT333" i="2"/>
  <c r="AT169" i="3" s="1"/>
  <c r="AT165" i="3" s="1"/>
  <c r="AT341" i="2"/>
  <c r="AW185" i="2"/>
  <c r="AS231" i="2"/>
  <c r="AS341" i="2" s="1"/>
  <c r="AU341" i="2"/>
  <c r="AT614" i="2"/>
  <c r="AZ333" i="2"/>
  <c r="AZ169" i="3" s="1"/>
  <c r="AZ165" i="3" s="1"/>
  <c r="BC185" i="2"/>
  <c r="AY231" i="2"/>
  <c r="AY341" i="2" s="1"/>
  <c r="AZ614" i="2"/>
  <c r="BE334" i="2"/>
  <c r="U165" i="3"/>
  <c r="BE166" i="3"/>
  <c r="O166" i="3"/>
  <c r="BC166" i="3"/>
  <c r="BL166" i="3"/>
  <c r="AW165" i="3"/>
  <c r="AZ338" i="2"/>
  <c r="AF338" i="2"/>
  <c r="N166" i="3"/>
  <c r="BQ242" i="2"/>
  <c r="H180" i="3"/>
  <c r="AR180" i="3"/>
  <c r="BW197" i="2"/>
  <c r="BW186" i="3" s="1"/>
  <c r="BT201" i="2"/>
  <c r="BT191" i="3" s="1"/>
  <c r="BZ201" i="2"/>
  <c r="BZ191" i="3" s="1"/>
  <c r="EQ204" i="2"/>
  <c r="AA206" i="2"/>
  <c r="AP220" i="2"/>
  <c r="BB220" i="2"/>
  <c r="I221" i="2"/>
  <c r="AS221" i="2"/>
  <c r="AO35" i="3"/>
  <c r="AX44" i="3"/>
  <c r="BV44" i="3"/>
  <c r="AL84" i="3"/>
  <c r="BB84" i="3"/>
  <c r="BU84" i="3"/>
  <c r="CX84" i="3"/>
  <c r="ED84" i="3"/>
  <c r="O165" i="3"/>
  <c r="BF338" i="2"/>
  <c r="H338" i="2"/>
  <c r="CJ338" i="2"/>
  <c r="BX241" i="2"/>
  <c r="BX244" i="2" s="1"/>
  <c r="BW244" i="2" s="1"/>
  <c r="I165" i="3"/>
  <c r="CD338" i="2"/>
  <c r="BO283" i="2"/>
  <c r="BN283" i="2" s="1"/>
  <c r="R57" i="2"/>
  <c r="R26" i="3" s="1"/>
  <c r="Z115" i="2"/>
  <c r="Z139" i="2" s="1"/>
  <c r="BT116" i="2"/>
  <c r="EH116" i="2"/>
  <c r="L117" i="2"/>
  <c r="BN117" i="2"/>
  <c r="L144" i="2"/>
  <c r="CC181" i="2"/>
  <c r="M180" i="3"/>
  <c r="BO193" i="2"/>
  <c r="BN193" i="2" s="1"/>
  <c r="I196" i="2"/>
  <c r="AA196" i="2"/>
  <c r="CC197" i="2"/>
  <c r="CC186" i="3" s="1"/>
  <c r="CO200" i="2"/>
  <c r="CO190" i="3" s="1"/>
  <c r="EI199" i="2"/>
  <c r="BX199" i="2"/>
  <c r="CD199" i="2"/>
  <c r="CO201" i="2"/>
  <c r="CO191" i="3" s="1"/>
  <c r="EN201" i="2"/>
  <c r="EN191" i="3" s="1"/>
  <c r="CC206" i="2"/>
  <c r="CO208" i="2"/>
  <c r="CO198" i="3" s="1"/>
  <c r="EE208" i="2"/>
  <c r="EE198" i="3" s="1"/>
  <c r="EK208" i="2"/>
  <c r="EK198" i="3" s="1"/>
  <c r="EE210" i="2"/>
  <c r="EE200" i="3" s="1"/>
  <c r="T166" i="3"/>
  <c r="Q263" i="2"/>
  <c r="T287" i="2"/>
  <c r="AP577" i="2"/>
  <c r="AP607" i="2" s="1"/>
  <c r="BN577" i="2"/>
  <c r="BN607" i="2" s="1"/>
  <c r="CA577" i="2"/>
  <c r="CA607" i="2" s="1"/>
  <c r="CS577" i="2"/>
  <c r="CS607" i="2" s="1"/>
  <c r="DK577" i="2"/>
  <c r="DK607" i="2" s="1"/>
  <c r="EC577" i="2"/>
  <c r="EC607" i="2" s="1"/>
  <c r="EH577" i="2"/>
  <c r="EH607" i="2" s="1"/>
  <c r="R22" i="3"/>
  <c r="AP22" i="3"/>
  <c r="O24" i="3"/>
  <c r="L48" i="3"/>
  <c r="AJ48" i="3"/>
  <c r="EG326" i="2"/>
  <c r="BE166" i="2"/>
  <c r="AX115" i="2"/>
  <c r="AX139" i="2" s="1"/>
  <c r="BQ256" i="2"/>
  <c r="CB29" i="2"/>
  <c r="CF2" i="3"/>
  <c r="CF13" i="3" s="1"/>
  <c r="CF20" i="3" s="1"/>
  <c r="BK109" i="3"/>
  <c r="BK110" i="3" s="1"/>
  <c r="BK17" i="3" s="1"/>
  <c r="CM568" i="2"/>
  <c r="BJ165" i="2"/>
  <c r="N338" i="2"/>
  <c r="J165" i="3"/>
  <c r="BU511" i="2"/>
  <c r="BF252" i="2"/>
  <c r="BE252" i="2" s="1"/>
  <c r="V22" i="2"/>
  <c r="AT22" i="2"/>
  <c r="BZ22" i="2"/>
  <c r="AF263" i="2"/>
  <c r="AX263" i="2"/>
  <c r="DJ93" i="2"/>
  <c r="DG93" i="2"/>
  <c r="DZ287" i="4"/>
  <c r="DS66" i="2"/>
  <c r="P355" i="2"/>
  <c r="AB355" i="2"/>
  <c r="AN355" i="2"/>
  <c r="BQ533" i="2"/>
  <c r="BQ541" i="2" s="1"/>
  <c r="BX220" i="2"/>
  <c r="BW220" i="2" s="1"/>
  <c r="AO180" i="3"/>
  <c r="CF228" i="2"/>
  <c r="AH22" i="2"/>
  <c r="L189" i="3"/>
  <c r="AZ196" i="3"/>
  <c r="BC199" i="3"/>
  <c r="CR83" i="2"/>
  <c r="CB13" i="3"/>
  <c r="CB20" i="3" s="1"/>
  <c r="CB244" i="3"/>
  <c r="EG372" i="2"/>
  <c r="BJ337" i="2"/>
  <c r="AZ180" i="3"/>
  <c r="BJ334" i="2"/>
  <c r="BJ169" i="3"/>
  <c r="BJ165" i="3" s="1"/>
  <c r="AR62" i="2"/>
  <c r="AR27" i="3" s="1"/>
  <c r="CF177" i="2"/>
  <c r="BS326" i="2"/>
  <c r="AU2" i="3"/>
  <c r="AU309" i="3" s="1"/>
  <c r="BJ150" i="2"/>
  <c r="BA479" i="2"/>
  <c r="BA480" i="2" s="1"/>
  <c r="BK78" i="2"/>
  <c r="AU180" i="3"/>
  <c r="AD85" i="2"/>
  <c r="BQ463" i="2"/>
  <c r="AK180" i="3"/>
  <c r="CL204" i="2"/>
  <c r="BI206" i="2"/>
  <c r="BH206" i="2" s="1"/>
  <c r="BH466" i="2" s="1"/>
  <c r="EQ210" i="2"/>
  <c r="EQ200" i="3" s="1"/>
  <c r="EJ2" i="4"/>
  <c r="EJ350" i="4" s="1"/>
  <c r="EG29" i="2"/>
  <c r="EG2" i="4"/>
  <c r="EG419" i="4" s="1"/>
  <c r="AL62" i="2"/>
  <c r="AL27" i="3" s="1"/>
  <c r="AL28" i="3" s="1"/>
  <c r="BJ31" i="2"/>
  <c r="CF372" i="2"/>
  <c r="BS453" i="2"/>
  <c r="BG493" i="2"/>
  <c r="AU177" i="2"/>
  <c r="BJ33" i="2"/>
  <c r="BK33" i="2" s="1"/>
  <c r="AZ341" i="2"/>
  <c r="EG228" i="2"/>
  <c r="BJ336" i="2"/>
  <c r="BJ170" i="3"/>
  <c r="BJ166" i="3" s="1"/>
  <c r="BJ333" i="2"/>
  <c r="BJ176" i="3"/>
  <c r="BK176" i="3" s="1"/>
  <c r="CT29" i="2"/>
  <c r="CF148" i="2"/>
  <c r="CT321" i="2"/>
  <c r="CT322" i="2" s="1"/>
  <c r="J90" i="2"/>
  <c r="J5" i="3" s="1"/>
  <c r="J11" i="3" s="1"/>
  <c r="AH90" i="2"/>
  <c r="AH5" i="3" s="1"/>
  <c r="AH11" i="3" s="1"/>
  <c r="AU90" i="2"/>
  <c r="AU5" i="3" s="1"/>
  <c r="AU11" i="3" s="1"/>
  <c r="AB180" i="3"/>
  <c r="AH180" i="3"/>
  <c r="AT180" i="3"/>
  <c r="BF193" i="2"/>
  <c r="EB195" i="2"/>
  <c r="EB184" i="3" s="1"/>
  <c r="F196" i="2"/>
  <c r="AJ196" i="2"/>
  <c r="CD196" i="2"/>
  <c r="BE206" i="2"/>
  <c r="BW210" i="2"/>
  <c r="BW200" i="3" s="1"/>
  <c r="X219" i="2"/>
  <c r="AI222" i="2"/>
  <c r="AW252" i="2"/>
  <c r="AV252" i="2" s="1"/>
  <c r="CI347" i="2"/>
  <c r="CI493" i="2"/>
  <c r="CQ148" i="2"/>
  <c r="CQ2" i="4"/>
  <c r="CQ419" i="4" s="1"/>
  <c r="G462" i="2"/>
  <c r="G62" i="2"/>
  <c r="AE462" i="2"/>
  <c r="AE62" i="2"/>
  <c r="AE60" i="2" s="1"/>
  <c r="AE55" i="2" s="1"/>
  <c r="EG148" i="2"/>
  <c r="EG347" i="2"/>
  <c r="EG2" i="3"/>
  <c r="EG244" i="3" s="1"/>
  <c r="AL180" i="3"/>
  <c r="BJ9" i="2"/>
  <c r="BN453" i="2"/>
  <c r="BE505" i="2"/>
  <c r="CK177" i="2"/>
  <c r="BO180" i="3"/>
  <c r="BC163" i="2"/>
  <c r="AT372" i="2"/>
  <c r="DF177" i="2"/>
  <c r="AW34" i="2"/>
  <c r="AW620" i="2" s="1"/>
  <c r="DF2" i="4"/>
  <c r="DF419" i="4" s="1"/>
  <c r="AN568" i="2"/>
  <c r="AN326" i="2"/>
  <c r="AN148" i="2"/>
  <c r="AN2" i="3"/>
  <c r="AN20" i="3" s="1"/>
  <c r="AN453" i="2"/>
  <c r="AN347" i="2"/>
  <c r="AZ568" i="2"/>
  <c r="AZ347" i="2"/>
  <c r="AZ2" i="3"/>
  <c r="AZ309" i="3" s="1"/>
  <c r="AZ453" i="2"/>
  <c r="AZ228" i="2"/>
  <c r="BD568" i="2"/>
  <c r="BD9" i="2"/>
  <c r="BL2" i="3"/>
  <c r="BL244" i="3" s="1"/>
  <c r="BL453" i="2"/>
  <c r="BL228" i="2"/>
  <c r="BL148" i="2"/>
  <c r="BL568" i="2"/>
  <c r="BL326" i="2"/>
  <c r="CG568" i="2"/>
  <c r="CG9" i="2"/>
  <c r="CG453" i="2"/>
  <c r="CK2" i="4"/>
  <c r="CK259" i="4" s="1"/>
  <c r="CK372" i="2"/>
  <c r="CK228" i="2"/>
  <c r="CK493" i="2"/>
  <c r="CK326" i="2"/>
  <c r="CU4" i="2"/>
  <c r="CU148" i="2" s="1"/>
  <c r="CT358" i="2"/>
  <c r="EK347" i="2"/>
  <c r="EK2" i="3"/>
  <c r="EK13" i="3" s="1"/>
  <c r="EK20" i="3" s="1"/>
  <c r="AJ165" i="2"/>
  <c r="AJ335" i="2"/>
  <c r="AJ171" i="3" s="1"/>
  <c r="AJ167" i="3" s="1"/>
  <c r="BB165" i="2"/>
  <c r="BB168" i="2"/>
  <c r="BF33" i="2"/>
  <c r="BE33" i="2" s="1"/>
  <c r="BE32" i="2"/>
  <c r="K26" i="3"/>
  <c r="K28" i="3" s="1"/>
  <c r="L57" i="2"/>
  <c r="W26" i="3"/>
  <c r="W28" i="3" s="1"/>
  <c r="W180" i="3"/>
  <c r="BD86" i="2"/>
  <c r="BD85" i="2" s="1"/>
  <c r="BD460" i="2"/>
  <c r="P68" i="2"/>
  <c r="P4" i="3"/>
  <c r="P10" i="3" s="1"/>
  <c r="BC72" i="2"/>
  <c r="BB72" i="2" s="1"/>
  <c r="BC479" i="2"/>
  <c r="BC480" i="2" s="1"/>
  <c r="AU155" i="2"/>
  <c r="AR163" i="2"/>
  <c r="AX10" i="2"/>
  <c r="AX90" i="2"/>
  <c r="CO191" i="2"/>
  <c r="CO179" i="3" s="1"/>
  <c r="CN189" i="2"/>
  <c r="CN220" i="2" s="1"/>
  <c r="BQ201" i="2"/>
  <c r="BQ191" i="3" s="1"/>
  <c r="BQ189" i="3" s="1"/>
  <c r="BQ207" i="2"/>
  <c r="BQ197" i="3" s="1"/>
  <c r="BP206" i="2"/>
  <c r="BQ206" i="2" s="1"/>
  <c r="CF209" i="2"/>
  <c r="CE144" i="2"/>
  <c r="CF144" i="2" s="1"/>
  <c r="BZ210" i="2"/>
  <c r="BZ200" i="3" s="1"/>
  <c r="CR210" i="2"/>
  <c r="CR200" i="3" s="1"/>
  <c r="AP165" i="2"/>
  <c r="AX453" i="2"/>
  <c r="BP148" i="2"/>
  <c r="BP9" i="2"/>
  <c r="BP568" i="2"/>
  <c r="BP29" i="2"/>
  <c r="BT29" i="2"/>
  <c r="BT568" i="2"/>
  <c r="BT228" i="2"/>
  <c r="BT493" i="2"/>
  <c r="BT347" i="2"/>
  <c r="CC347" i="2"/>
  <c r="CC453" i="2"/>
  <c r="CS326" i="2"/>
  <c r="CS2" i="3"/>
  <c r="CS568" i="2"/>
  <c r="CS228" i="2"/>
  <c r="CS177" i="2"/>
  <c r="CS493" i="2"/>
  <c r="CS372" i="2"/>
  <c r="CS29" i="2"/>
  <c r="EC4" i="2"/>
  <c r="EB358" i="2"/>
  <c r="EG9" i="2"/>
  <c r="EG177" i="2"/>
  <c r="BB342" i="2"/>
  <c r="BL347" i="2"/>
  <c r="BW505" i="2"/>
  <c r="CT355" i="2"/>
  <c r="BT2" i="4"/>
  <c r="BT419" i="4" s="1"/>
  <c r="BD168" i="2"/>
  <c r="S62" i="2"/>
  <c r="S27" i="3" s="1"/>
  <c r="S28" i="3" s="1"/>
  <c r="EN358" i="2"/>
  <c r="CQ347" i="2"/>
  <c r="CK453" i="2"/>
  <c r="BY347" i="2"/>
  <c r="BL2" i="4"/>
  <c r="BL41" i="4" s="1"/>
  <c r="AZ493" i="2"/>
  <c r="AN177" i="2"/>
  <c r="CZ463" i="2"/>
  <c r="CS148" i="2"/>
  <c r="CS2" i="4"/>
  <c r="CS74" i="4" s="1"/>
  <c r="BC176" i="3"/>
  <c r="CC372" i="2"/>
  <c r="CG372" i="2"/>
  <c r="BP2" i="3"/>
  <c r="EK568" i="2"/>
  <c r="CE2" i="3"/>
  <c r="CE244" i="3" s="1"/>
  <c r="CE177" i="2"/>
  <c r="BH165" i="2"/>
  <c r="BH31" i="2"/>
  <c r="BJ168" i="2"/>
  <c r="AT74" i="2"/>
  <c r="AT72" i="2" s="1"/>
  <c r="AT68" i="2" s="1"/>
  <c r="AT110" i="3"/>
  <c r="BJ147" i="3"/>
  <c r="BJ619" i="2"/>
  <c r="BB336" i="2"/>
  <c r="F72" i="2"/>
  <c r="F4" i="3" s="1"/>
  <c r="F10" i="3" s="1"/>
  <c r="AI287" i="2"/>
  <c r="S355" i="2"/>
  <c r="AQ355" i="2"/>
  <c r="DM204" i="2"/>
  <c r="CU83" i="2"/>
  <c r="DM93" i="2"/>
  <c r="DJ82" i="2"/>
  <c r="DS58" i="2"/>
  <c r="EG193" i="2"/>
  <c r="M205" i="2"/>
  <c r="M214" i="2" s="1"/>
  <c r="M213" i="2" s="1"/>
  <c r="AY337" i="2"/>
  <c r="BR196" i="2"/>
  <c r="BQ196" i="2" s="1"/>
  <c r="BX196" i="2"/>
  <c r="CT463" i="2"/>
  <c r="BR64" i="2"/>
  <c r="BI614" i="2"/>
  <c r="AZ329" i="2"/>
  <c r="BF329" i="2"/>
  <c r="DC577" i="2"/>
  <c r="DC607" i="2" s="1"/>
  <c r="EM577" i="2"/>
  <c r="EM607" i="2" s="1"/>
  <c r="AE466" i="2"/>
  <c r="AW466" i="2"/>
  <c r="F160" i="3"/>
  <c r="J196" i="3"/>
  <c r="DS67" i="2"/>
  <c r="Q68" i="2"/>
  <c r="Q4" i="3"/>
  <c r="Q10" i="3" s="1"/>
  <c r="Q180" i="2"/>
  <c r="Q184" i="2" s="1"/>
  <c r="Q187" i="2" s="1"/>
  <c r="CY320" i="2"/>
  <c r="CY322" i="2" s="1"/>
  <c r="CX322" i="2" s="1"/>
  <c r="CX312" i="2"/>
  <c r="U18" i="9"/>
  <c r="DC81" i="2"/>
  <c r="DC618" i="2"/>
  <c r="CY618" i="2"/>
  <c r="CY81" i="2"/>
  <c r="CW81" i="2"/>
  <c r="CW146" i="3"/>
  <c r="CR374" i="2"/>
  <c r="CR385" i="2" s="1"/>
  <c r="CQ566" i="2"/>
  <c r="DN461" i="2"/>
  <c r="DM63" i="2"/>
  <c r="DM461" i="2" s="1"/>
  <c r="DE151" i="3"/>
  <c r="DD79" i="2"/>
  <c r="DD151" i="3" s="1"/>
  <c r="BM292" i="2"/>
  <c r="BO292" i="2" s="1"/>
  <c r="BK292" i="2"/>
  <c r="DR461" i="2"/>
  <c r="DS63" i="2"/>
  <c r="DS461" i="2" s="1"/>
  <c r="DR75" i="2"/>
  <c r="DR17" i="3"/>
  <c r="DI293" i="2"/>
  <c r="DK293" i="2" s="1"/>
  <c r="DJ293" i="2" s="1"/>
  <c r="DG293" i="2"/>
  <c r="DO4" i="2"/>
  <c r="DO372" i="2" s="1"/>
  <c r="DO257" i="2"/>
  <c r="DO255" i="2" s="1"/>
  <c r="DO321" i="2"/>
  <c r="DO322" i="2" s="1"/>
  <c r="DO211" i="2"/>
  <c r="DP211" i="2" s="1"/>
  <c r="DP201" i="3" s="1"/>
  <c r="DP199" i="3" s="1"/>
  <c r="DO253" i="2"/>
  <c r="DO637" i="2" s="1"/>
  <c r="DO235" i="2"/>
  <c r="DO641" i="2" s="1"/>
  <c r="DI4" i="2"/>
  <c r="V10" i="9" s="1"/>
  <c r="DI253" i="2"/>
  <c r="DI637" i="2" s="1"/>
  <c r="DI257" i="2"/>
  <c r="DI235" i="2"/>
  <c r="DI641" i="2" s="1"/>
  <c r="DT4" i="2"/>
  <c r="DT453" i="2" s="1"/>
  <c r="DS358" i="2"/>
  <c r="DH248" i="2"/>
  <c r="DG248" i="2" s="1"/>
  <c r="DG355" i="2"/>
  <c r="CQ463" i="2"/>
  <c r="CW618" i="2"/>
  <c r="CR82" i="2"/>
  <c r="CX80" i="2"/>
  <c r="CX81" i="2" s="1"/>
  <c r="BW493" i="2"/>
  <c r="BW347" i="2"/>
  <c r="BW177" i="2"/>
  <c r="BW453" i="2"/>
  <c r="BW326" i="2"/>
  <c r="BW228" i="2"/>
  <c r="BW568" i="2"/>
  <c r="BW148" i="2"/>
  <c r="AM168" i="2"/>
  <c r="AM175" i="2"/>
  <c r="AM165" i="2"/>
  <c r="BE175" i="2"/>
  <c r="BE168" i="2"/>
  <c r="BE150" i="2"/>
  <c r="BE165" i="2"/>
  <c r="AV335" i="2"/>
  <c r="AV171" i="3" s="1"/>
  <c r="AV167" i="3" s="1"/>
  <c r="AV150" i="2"/>
  <c r="AV165" i="2"/>
  <c r="AV175" i="2"/>
  <c r="M462" i="2"/>
  <c r="M62" i="2"/>
  <c r="M27" i="3" s="1"/>
  <c r="M28" i="3" s="1"/>
  <c r="Y462" i="2"/>
  <c r="Y62" i="2"/>
  <c r="Y27" i="3" s="1"/>
  <c r="AK462" i="2"/>
  <c r="AK62" i="2"/>
  <c r="AK27" i="3" s="1"/>
  <c r="AK28" i="3" s="1"/>
  <c r="BC462" i="2"/>
  <c r="BC464" i="2" s="1"/>
  <c r="BC62" i="2"/>
  <c r="BC179" i="2" s="1"/>
  <c r="CU66" i="2"/>
  <c r="CR80" i="2"/>
  <c r="CR618" i="2" s="1"/>
  <c r="DG359" i="2"/>
  <c r="DG233" i="3" s="1"/>
  <c r="BN273" i="2"/>
  <c r="AM148" i="2"/>
  <c r="AM493" i="2"/>
  <c r="AM372" i="2"/>
  <c r="AM568" i="2"/>
  <c r="AM177" i="2"/>
  <c r="AU453" i="2"/>
  <c r="AU228" i="2"/>
  <c r="AU568" i="2"/>
  <c r="AU326" i="2"/>
  <c r="AY372" i="2"/>
  <c r="AY568" i="2"/>
  <c r="BC148" i="2"/>
  <c r="BC372" i="2"/>
  <c r="BG29" i="2"/>
  <c r="BG2" i="4"/>
  <c r="BG167" i="4" s="1"/>
  <c r="BK372" i="2"/>
  <c r="BK493" i="2"/>
  <c r="BK326" i="2"/>
  <c r="BK453" i="2"/>
  <c r="BK148" i="2"/>
  <c r="BK568" i="2"/>
  <c r="BK228" i="2"/>
  <c r="BS29" i="2"/>
  <c r="BS2" i="3"/>
  <c r="BS13" i="3" s="1"/>
  <c r="BS20" i="3" s="1"/>
  <c r="BS372" i="2"/>
  <c r="BS493" i="2"/>
  <c r="BS177" i="2"/>
  <c r="CB2" i="4"/>
  <c r="CB117" i="4" s="1"/>
  <c r="CB453" i="2"/>
  <c r="CB372" i="2"/>
  <c r="CB148" i="2"/>
  <c r="CF29" i="2"/>
  <c r="CF9" i="2"/>
  <c r="CF2" i="4"/>
  <c r="CF259" i="4" s="1"/>
  <c r="CF347" i="2"/>
  <c r="CF568" i="2"/>
  <c r="DO248" i="2"/>
  <c r="DO33" i="3" s="1"/>
  <c r="EQ4" i="2"/>
  <c r="EP358" i="2"/>
  <c r="E91" i="3"/>
  <c r="E304" i="2"/>
  <c r="CR301" i="2"/>
  <c r="CS297" i="2"/>
  <c r="CS91" i="3" s="1"/>
  <c r="CQ384" i="2"/>
  <c r="AZ553" i="2"/>
  <c r="AZ552" i="2"/>
  <c r="CZ553" i="2"/>
  <c r="CZ552" i="2"/>
  <c r="DH553" i="2"/>
  <c r="DH552" i="2"/>
  <c r="DN553" i="2"/>
  <c r="DN552" i="2"/>
  <c r="BC564" i="2"/>
  <c r="BC563" i="2"/>
  <c r="BI564" i="2"/>
  <c r="BI563" i="2"/>
  <c r="BU564" i="2"/>
  <c r="BU563" i="2"/>
  <c r="CG564" i="2"/>
  <c r="CG563" i="2"/>
  <c r="CK292" i="4"/>
  <c r="DU296" i="2"/>
  <c r="DW296" i="2" s="1"/>
  <c r="CY463" i="2"/>
  <c r="DG358" i="2"/>
  <c r="BQ273" i="2"/>
  <c r="CQ81" i="2"/>
  <c r="E10" i="2"/>
  <c r="F84" i="2"/>
  <c r="F10" i="2" s="1"/>
  <c r="K10" i="2"/>
  <c r="K90" i="2"/>
  <c r="K5" i="3" s="1"/>
  <c r="K11" i="3" s="1"/>
  <c r="W10" i="2"/>
  <c r="W90" i="2"/>
  <c r="W5" i="3" s="1"/>
  <c r="W11" i="3" s="1"/>
  <c r="AK10" i="2"/>
  <c r="AK163" i="2"/>
  <c r="AW10" i="2"/>
  <c r="AW163" i="2"/>
  <c r="AI85" i="2"/>
  <c r="AJ85" i="2" s="1"/>
  <c r="AJ86" i="2"/>
  <c r="DF189" i="2"/>
  <c r="DF220" i="2" s="1"/>
  <c r="DG191" i="2"/>
  <c r="DG179" i="3" s="1"/>
  <c r="BF39" i="2"/>
  <c r="BE39" i="2" s="1"/>
  <c r="BE192" i="2"/>
  <c r="BE181" i="3" s="1"/>
  <c r="I241" i="2"/>
  <c r="J244" i="2"/>
  <c r="I244" i="2" s="1"/>
  <c r="AO208" i="3"/>
  <c r="AO206" i="3" s="1"/>
  <c r="AO244" i="2"/>
  <c r="AU208" i="3"/>
  <c r="AU206" i="3" s="1"/>
  <c r="AU244" i="2"/>
  <c r="BZ248" i="2"/>
  <c r="CA247" i="2"/>
  <c r="CD148" i="2"/>
  <c r="AY24" i="3"/>
  <c r="Y180" i="3"/>
  <c r="CF63" i="2"/>
  <c r="CF461" i="2" s="1"/>
  <c r="AX464" i="2"/>
  <c r="DA66" i="2"/>
  <c r="CX151" i="3"/>
  <c r="BC90" i="2"/>
  <c r="BC344" i="2" s="1"/>
  <c r="AQ115" i="2"/>
  <c r="AQ13" i="2" s="1"/>
  <c r="DJ144" i="2"/>
  <c r="DP144" i="2"/>
  <c r="CO181" i="2"/>
  <c r="K180" i="3"/>
  <c r="AD189" i="2"/>
  <c r="AI180" i="3"/>
  <c r="BH189" i="2"/>
  <c r="BH176" i="3" s="1"/>
  <c r="ER193" i="2"/>
  <c r="EN195" i="2"/>
  <c r="EN184" i="3" s="1"/>
  <c r="X196" i="2"/>
  <c r="CO197" i="2"/>
  <c r="CO186" i="3" s="1"/>
  <c r="EL196" i="2"/>
  <c r="CJ40" i="2"/>
  <c r="I199" i="2"/>
  <c r="BI199" i="2"/>
  <c r="CB199" i="2"/>
  <c r="AF287" i="2"/>
  <c r="DA151" i="3"/>
  <c r="DG58" i="2"/>
  <c r="DY58" i="2"/>
  <c r="CX65" i="2"/>
  <c r="DD66" i="2"/>
  <c r="CR67" i="2"/>
  <c r="AX248" i="3"/>
  <c r="AX407" i="2" s="1"/>
  <c r="AW407" i="2"/>
  <c r="AW415" i="2" s="1"/>
  <c r="DY200" i="2"/>
  <c r="DY190" i="3" s="1"/>
  <c r="DJ201" i="2"/>
  <c r="DJ191" i="3" s="1"/>
  <c r="AA46" i="9"/>
  <c r="DM236" i="2"/>
  <c r="DM338" i="2" s="1"/>
  <c r="CS236" i="2"/>
  <c r="CS338" i="2" s="1"/>
  <c r="CR240" i="2"/>
  <c r="DM151" i="3"/>
  <c r="CD9" i="2"/>
  <c r="CH2" i="4"/>
  <c r="CH14" i="4" s="1"/>
  <c r="BK30" i="2"/>
  <c r="BK175" i="2" s="1"/>
  <c r="O33" i="2"/>
  <c r="AM33" i="2"/>
  <c r="EQ208" i="2"/>
  <c r="EQ198" i="3" s="1"/>
  <c r="AM210" i="2"/>
  <c r="AM200" i="3" s="1"/>
  <c r="AM199" i="3" s="1"/>
  <c r="AS219" i="2"/>
  <c r="Z338" i="2"/>
  <c r="AY338" i="2"/>
  <c r="AY339" i="2" s="1"/>
  <c r="BL355" i="2"/>
  <c r="BX355" i="2"/>
  <c r="CJ355" i="2"/>
  <c r="BW361" i="2"/>
  <c r="BC361" i="2"/>
  <c r="G466" i="2"/>
  <c r="O23" i="3"/>
  <c r="AM23" i="3"/>
  <c r="K35" i="3"/>
  <c r="AA35" i="3"/>
  <c r="AT35" i="3"/>
  <c r="U38" i="3"/>
  <c r="AS38" i="3"/>
  <c r="O44" i="3"/>
  <c r="AH44" i="3"/>
  <c r="AA60" i="3"/>
  <c r="AY60" i="3"/>
  <c r="BA75" i="3"/>
  <c r="BY75" i="3"/>
  <c r="CW75" i="3"/>
  <c r="X84" i="3"/>
  <c r="BT84" i="3"/>
  <c r="CM84" i="3"/>
  <c r="DP84" i="3"/>
  <c r="I160" i="3"/>
  <c r="AG160" i="3"/>
  <c r="AC215" i="3"/>
  <c r="CR207" i="2"/>
  <c r="CR197" i="3" s="1"/>
  <c r="AB165" i="3"/>
  <c r="AK244" i="2"/>
  <c r="AJ244" i="2" s="1"/>
  <c r="BX252" i="2"/>
  <c r="BW252" i="2" s="1"/>
  <c r="BK211" i="3"/>
  <c r="CA258" i="2"/>
  <c r="BZ258" i="2" s="1"/>
  <c r="K167" i="3"/>
  <c r="BG167" i="3"/>
  <c r="J287" i="2"/>
  <c r="I287" i="2" s="1"/>
  <c r="BJ120" i="3"/>
  <c r="BJ119" i="3" s="1"/>
  <c r="AB304" i="2"/>
  <c r="AA304" i="2" s="1"/>
  <c r="CG199" i="2"/>
  <c r="EL199" i="2"/>
  <c r="ER199" i="2"/>
  <c r="CL202" i="2"/>
  <c r="CL192" i="3" s="1"/>
  <c r="DP202" i="2"/>
  <c r="DP192" i="3" s="1"/>
  <c r="EB202" i="2"/>
  <c r="EB192" i="3" s="1"/>
  <c r="BH203" i="2"/>
  <c r="BH193" i="3" s="1"/>
  <c r="CX203" i="2"/>
  <c r="CX193" i="3" s="1"/>
  <c r="DV193" i="3"/>
  <c r="BZ204" i="2"/>
  <c r="CF204" i="2"/>
  <c r="X206" i="2"/>
  <c r="AD206" i="2"/>
  <c r="AV206" i="2"/>
  <c r="BB206" i="2"/>
  <c r="BB196" i="3"/>
  <c r="DG207" i="2"/>
  <c r="DG197" i="3" s="1"/>
  <c r="BE199" i="3"/>
  <c r="BB219" i="2"/>
  <c r="DJ219" i="2"/>
  <c r="AF222" i="2"/>
  <c r="K165" i="3"/>
  <c r="AI165" i="3"/>
  <c r="BM165" i="3"/>
  <c r="K338" i="2"/>
  <c r="AI166" i="3"/>
  <c r="BI166" i="3"/>
  <c r="CG338" i="2"/>
  <c r="CE258" i="2"/>
  <c r="BW211" i="3"/>
  <c r="CI211" i="3"/>
  <c r="CU211" i="3"/>
  <c r="DG211" i="3"/>
  <c r="S287" i="2"/>
  <c r="R287" i="2" s="1"/>
  <c r="AK287" i="2"/>
  <c r="AJ287" i="2" s="1"/>
  <c r="W304" i="2"/>
  <c r="BA577" i="2"/>
  <c r="BA607" i="2" s="1"/>
  <c r="DU577" i="2"/>
  <c r="DU607" i="2" s="1"/>
  <c r="DA577" i="2"/>
  <c r="DA607" i="2" s="1"/>
  <c r="BT748" i="4"/>
  <c r="O22" i="3"/>
  <c r="Y35" i="3"/>
  <c r="BI35" i="3"/>
  <c r="AP38" i="3"/>
  <c r="M44" i="3"/>
  <c r="AD44" i="3"/>
  <c r="CU44" i="3"/>
  <c r="AG48" i="3"/>
  <c r="AV60" i="3"/>
  <c r="AA69" i="3"/>
  <c r="AY69" i="3"/>
  <c r="AK75" i="3"/>
  <c r="CT75" i="3"/>
  <c r="DR75" i="3"/>
  <c r="X78" i="3"/>
  <c r="AV78" i="3"/>
  <c r="W84" i="3"/>
  <c r="CI84" i="3"/>
  <c r="DO84" i="3"/>
  <c r="AS87" i="3"/>
  <c r="U96" i="3"/>
  <c r="AS96" i="3"/>
  <c r="X107" i="3"/>
  <c r="DL107" i="3"/>
  <c r="I159" i="3"/>
  <c r="AD160" i="3"/>
  <c r="AH189" i="3"/>
  <c r="BA189" i="3"/>
  <c r="AQ199" i="3"/>
  <c r="X206" i="3"/>
  <c r="BH211" i="3"/>
  <c r="DD211" i="3"/>
  <c r="CR211" i="3"/>
  <c r="Z215" i="3"/>
  <c r="AW222" i="3"/>
  <c r="V46" i="9"/>
  <c r="CX236" i="2"/>
  <c r="CX338" i="2" s="1"/>
  <c r="CZ338" i="2"/>
  <c r="DB338" i="2"/>
  <c r="CE309" i="3"/>
  <c r="BM309" i="3"/>
  <c r="AF10" i="9"/>
  <c r="DX2" i="3"/>
  <c r="DX309" i="3" s="1"/>
  <c r="DX2" i="4"/>
  <c r="DX347" i="2"/>
  <c r="DX453" i="2"/>
  <c r="DX568" i="2"/>
  <c r="DX372" i="2"/>
  <c r="DX326" i="2"/>
  <c r="DX148" i="2"/>
  <c r="DX177" i="2"/>
  <c r="DX29" i="2"/>
  <c r="DX9" i="2"/>
  <c r="CO236" i="2"/>
  <c r="CO338" i="2" s="1"/>
  <c r="CP244" i="2"/>
  <c r="CQ338" i="2"/>
  <c r="CP338" i="2"/>
  <c r="BL165" i="3"/>
  <c r="BU107" i="3"/>
  <c r="BR84" i="3"/>
  <c r="G205" i="2"/>
  <c r="G214" i="2" s="1"/>
  <c r="DA204" i="2"/>
  <c r="EK204" i="2"/>
  <c r="U206" i="2"/>
  <c r="AS206" i="2"/>
  <c r="AU222" i="2"/>
  <c r="O221" i="2"/>
  <c r="AM221" i="2"/>
  <c r="BA341" i="2"/>
  <c r="BA166" i="3"/>
  <c r="BY338" i="2"/>
  <c r="DE257" i="2"/>
  <c r="DD257" i="2" s="1"/>
  <c r="BN198" i="3"/>
  <c r="G244" i="3"/>
  <c r="DJ571" i="2"/>
  <c r="DJ577" i="2" s="1"/>
  <c r="DJ607" i="2" s="1"/>
  <c r="BZ261" i="2"/>
  <c r="G309" i="3"/>
  <c r="CP533" i="2"/>
  <c r="CP541" i="2" s="1"/>
  <c r="I269" i="2"/>
  <c r="I64" i="3" s="1"/>
  <c r="BX626" i="2"/>
  <c r="F57" i="2"/>
  <c r="F26" i="3" s="1"/>
  <c r="BH236" i="2"/>
  <c r="BH166" i="3" s="1"/>
  <c r="BR148" i="2"/>
  <c r="CH453" i="2"/>
  <c r="N44" i="3"/>
  <c r="BL269" i="2"/>
  <c r="G115" i="2"/>
  <c r="G139" i="2" s="1"/>
  <c r="E205" i="2"/>
  <c r="E214" i="2" s="1"/>
  <c r="E213" i="2" s="1"/>
  <c r="EL193" i="2"/>
  <c r="BU193" i="2"/>
  <c r="EI193" i="2"/>
  <c r="R196" i="2"/>
  <c r="AP196" i="2"/>
  <c r="CA199" i="2"/>
  <c r="AC263" i="2"/>
  <c r="AZ846" i="4"/>
  <c r="AZ847" i="4" s="1"/>
  <c r="AZ848" i="4" s="1"/>
  <c r="AZ849" i="4" s="1"/>
  <c r="BW321" i="2"/>
  <c r="BW626" i="2" s="1"/>
  <c r="AI338" i="2"/>
  <c r="AI340" i="2" s="1"/>
  <c r="AC44" i="3"/>
  <c r="W244" i="3"/>
  <c r="G385" i="2"/>
  <c r="Y304" i="2"/>
  <c r="X304" i="2" s="1"/>
  <c r="AP336" i="2"/>
  <c r="AO155" i="2"/>
  <c r="AJ189" i="2"/>
  <c r="DG79" i="2"/>
  <c r="DG151" i="3" s="1"/>
  <c r="BI334" i="2"/>
  <c r="DQ29" i="2"/>
  <c r="DP355" i="2"/>
  <c r="CD2" i="3"/>
  <c r="CD13" i="3" s="1"/>
  <c r="CD20" i="3" s="1"/>
  <c r="CH493" i="2"/>
  <c r="BS84" i="3"/>
  <c r="AB215" i="3"/>
  <c r="BW463" i="2"/>
  <c r="AR90" i="2"/>
  <c r="H115" i="2"/>
  <c r="H139" i="2" s="1"/>
  <c r="AF115" i="2"/>
  <c r="AF139" i="2" s="1"/>
  <c r="L116" i="2"/>
  <c r="AY75" i="3"/>
  <c r="CU75" i="3"/>
  <c r="E287" i="2"/>
  <c r="CQ626" i="2"/>
  <c r="AH64" i="3"/>
  <c r="AI341" i="2"/>
  <c r="BL338" i="2"/>
  <c r="BL339" i="2" s="1"/>
  <c r="BR177" i="2"/>
  <c r="CI177" i="2"/>
  <c r="AZ211" i="3"/>
  <c r="CT44" i="3"/>
  <c r="AQ577" i="2"/>
  <c r="AQ607" i="2" s="1"/>
  <c r="I211" i="3"/>
  <c r="CN247" i="2"/>
  <c r="CN633" i="2" s="1"/>
  <c r="DD82" i="2"/>
  <c r="DG92" i="2"/>
  <c r="DZ369" i="4"/>
  <c r="CO292" i="4"/>
  <c r="BI341" i="2"/>
  <c r="BJ338" i="2"/>
  <c r="BJ340" i="2" s="1"/>
  <c r="CF236" i="2"/>
  <c r="CF338" i="2" s="1"/>
  <c r="AN24" i="2"/>
  <c r="DS203" i="2"/>
  <c r="DS193" i="3" s="1"/>
  <c r="BK208" i="2"/>
  <c r="BK198" i="3" s="1"/>
  <c r="BK196" i="3" s="1"/>
  <c r="AW206" i="3"/>
  <c r="BE75" i="3"/>
  <c r="DA75" i="3"/>
  <c r="CK577" i="2"/>
  <c r="CK607" i="2" s="1"/>
  <c r="DS204" i="2"/>
  <c r="CP540" i="2"/>
  <c r="BH167" i="3"/>
  <c r="CA641" i="2"/>
  <c r="BH269" i="2"/>
  <c r="BH64" i="3" s="1"/>
  <c r="CG224" i="2"/>
  <c r="CG226" i="2" s="1"/>
  <c r="CH224" i="2" s="1"/>
  <c r="CH226" i="2" s="1"/>
  <c r="CI224" i="2" s="1"/>
  <c r="L189" i="2"/>
  <c r="CH338" i="2"/>
  <c r="BO563" i="2"/>
  <c r="AU163" i="2"/>
  <c r="CW9" i="2"/>
  <c r="DB80" i="2"/>
  <c r="DB84" i="2" s="1"/>
  <c r="DB115" i="2" s="1"/>
  <c r="AB35" i="3"/>
  <c r="BG335" i="2"/>
  <c r="J64" i="3"/>
  <c r="K66" i="3" s="1"/>
  <c r="X91" i="3"/>
  <c r="X93" i="3" s="1"/>
  <c r="BR348" i="2"/>
  <c r="BI165" i="3"/>
  <c r="EO193" i="2"/>
  <c r="BI329" i="2"/>
  <c r="CC226" i="2"/>
  <c r="CH29" i="2"/>
  <c r="BA228" i="2"/>
  <c r="AM84" i="3"/>
  <c r="V84" i="3"/>
  <c r="AJ127" i="3"/>
  <c r="AL166" i="2"/>
  <c r="AR577" i="2"/>
  <c r="AR607" i="2" s="1"/>
  <c r="DL577" i="2"/>
  <c r="DL607" i="2" s="1"/>
  <c r="BL35" i="3"/>
  <c r="BB44" i="3"/>
  <c r="AD69" i="3"/>
  <c r="BB69" i="3"/>
  <c r="U75" i="3"/>
  <c r="AA78" i="3"/>
  <c r="AY78" i="3"/>
  <c r="I84" i="3"/>
  <c r="AN84" i="3"/>
  <c r="BE84" i="3"/>
  <c r="DA84" i="3"/>
  <c r="EF84" i="3"/>
  <c r="X87" i="3"/>
  <c r="AV87" i="3"/>
  <c r="L159" i="3"/>
  <c r="W165" i="3"/>
  <c r="W167" i="3"/>
  <c r="O189" i="3"/>
  <c r="AS189" i="3"/>
  <c r="DJ211" i="3"/>
  <c r="AK211" i="3"/>
  <c r="AD215" i="3"/>
  <c r="F215" i="3"/>
  <c r="AB222" i="3"/>
  <c r="DE248" i="2"/>
  <c r="Y91" i="3"/>
  <c r="Z93" i="3" s="1"/>
  <c r="BG614" i="2"/>
  <c r="BG176" i="3"/>
  <c r="BG179" i="3" s="1"/>
  <c r="BI513" i="2"/>
  <c r="AI342" i="2"/>
  <c r="AQ148" i="2"/>
  <c r="V304" i="2"/>
  <c r="U304" i="2" s="1"/>
  <c r="AW215" i="3"/>
  <c r="AM189" i="2"/>
  <c r="DC283" i="2"/>
  <c r="AC362" i="2"/>
  <c r="BH361" i="2"/>
  <c r="BH362" i="2" s="1"/>
  <c r="CH361" i="2"/>
  <c r="CI362" i="2" s="1"/>
  <c r="N196" i="3"/>
  <c r="BI64" i="3"/>
  <c r="BI185" i="2"/>
  <c r="EE84" i="3"/>
  <c r="DN84" i="3"/>
  <c r="AX304" i="2"/>
  <c r="DQ540" i="4"/>
  <c r="BS552" i="2"/>
  <c r="AI120" i="3"/>
  <c r="AI119" i="3" s="1"/>
  <c r="AJ342" i="2"/>
  <c r="L167" i="3"/>
  <c r="BG342" i="2"/>
  <c r="BI120" i="3"/>
  <c r="BI119" i="3" s="1"/>
  <c r="J156" i="3"/>
  <c r="O219" i="2"/>
  <c r="BK219" i="2"/>
  <c r="AS338" i="2"/>
  <c r="AO287" i="2"/>
  <c r="BW75" i="3"/>
  <c r="DS75" i="3"/>
  <c r="DQ253" i="2"/>
  <c r="CI553" i="2"/>
  <c r="AI335" i="2"/>
  <c r="AI171" i="3" s="1"/>
  <c r="AI167" i="3" s="1"/>
  <c r="CN9" i="2"/>
  <c r="BA372" i="2"/>
  <c r="CF201" i="2"/>
  <c r="CF191" i="3" s="1"/>
  <c r="BH231" i="2"/>
  <c r="BH341" i="2" s="1"/>
  <c r="CH177" i="2"/>
  <c r="CT552" i="2"/>
  <c r="BF258" i="2"/>
  <c r="BE258" i="2" s="1"/>
  <c r="CU210" i="2"/>
  <c r="CU200" i="3" s="1"/>
  <c r="AY312" i="2"/>
  <c r="K166" i="3"/>
  <c r="CH9" i="2"/>
  <c r="BA453" i="2"/>
  <c r="AQ109" i="3"/>
  <c r="AQ107" i="3" s="1"/>
  <c r="CD372" i="2"/>
  <c r="BI333" i="2"/>
  <c r="CA511" i="2"/>
  <c r="CH148" i="2"/>
  <c r="CO144" i="2"/>
  <c r="N263" i="2"/>
  <c r="CC75" i="3"/>
  <c r="AK120" i="3"/>
  <c r="AK119" i="3" s="1"/>
  <c r="BA529" i="2"/>
  <c r="AY91" i="3"/>
  <c r="AY93" i="3" s="1"/>
  <c r="BK291" i="2"/>
  <c r="AG269" i="2"/>
  <c r="AG64" i="3" s="1"/>
  <c r="AG66" i="3" s="1"/>
  <c r="G180" i="3"/>
  <c r="BA493" i="2"/>
  <c r="CD453" i="2"/>
  <c r="BL341" i="2"/>
  <c r="CH326" i="2"/>
  <c r="BN356" i="4"/>
  <c r="BQ356" i="4" s="1"/>
  <c r="W263" i="2"/>
  <c r="DL563" i="2"/>
  <c r="BA522" i="2"/>
  <c r="BA530" i="2" s="1"/>
  <c r="BA287" i="2"/>
  <c r="AX337" i="2"/>
  <c r="BL290" i="2"/>
  <c r="BA568" i="2"/>
  <c r="CD493" i="2"/>
  <c r="BF347" i="2"/>
  <c r="BJ341" i="2"/>
  <c r="CH347" i="2"/>
  <c r="DT552" i="2"/>
  <c r="BK271" i="2"/>
  <c r="BK151" i="3"/>
  <c r="BF180" i="3"/>
  <c r="W20" i="3"/>
  <c r="U312" i="2"/>
  <c r="CH372" i="2"/>
  <c r="CL563" i="2"/>
  <c r="CM563" i="2"/>
  <c r="AV84" i="2"/>
  <c r="AY44" i="3"/>
  <c r="CX529" i="2"/>
  <c r="CX522" i="2"/>
  <c r="CX530" i="2" s="1"/>
  <c r="AB68" i="2"/>
  <c r="AB4" i="3"/>
  <c r="AB10" i="3" s="1"/>
  <c r="BX145" i="2"/>
  <c r="BW145" i="2" s="1"/>
  <c r="BY145" i="2"/>
  <c r="EJ568" i="2"/>
  <c r="AE206" i="3"/>
  <c r="T75" i="3"/>
  <c r="AQ35" i="3"/>
  <c r="CW552" i="2"/>
  <c r="CV533" i="2"/>
  <c r="CV541" i="2" s="1"/>
  <c r="M385" i="2"/>
  <c r="BA333" i="2"/>
  <c r="BA169" i="3" s="1"/>
  <c r="BA165" i="3" s="1"/>
  <c r="BA338" i="2"/>
  <c r="BA339" i="2" s="1"/>
  <c r="DP194" i="2"/>
  <c r="DP183" i="3" s="1"/>
  <c r="AR29" i="2"/>
  <c r="DH338" i="2"/>
  <c r="BY326" i="2"/>
  <c r="CO568" i="2"/>
  <c r="CK84" i="3"/>
  <c r="BU247" i="2"/>
  <c r="BT247" i="2" s="1"/>
  <c r="BT633" i="2" s="1"/>
  <c r="DN466" i="2"/>
  <c r="CV236" i="2"/>
  <c r="EJ2" i="3"/>
  <c r="EJ309" i="3" s="1"/>
  <c r="BY372" i="2"/>
  <c r="CZ235" i="2"/>
  <c r="CZ641" i="2" s="1"/>
  <c r="AR148" i="2"/>
  <c r="AQ347" i="2"/>
  <c r="BK48" i="3"/>
  <c r="AA33" i="2"/>
  <c r="AY33" i="2"/>
  <c r="BT219" i="2"/>
  <c r="CX248" i="2"/>
  <c r="BZ75" i="3"/>
  <c r="DF283" i="2"/>
  <c r="CP355" i="2"/>
  <c r="CT189" i="2"/>
  <c r="AC205" i="2"/>
  <c r="AC214" i="2" s="1"/>
  <c r="AC213" i="2" s="1"/>
  <c r="BH228" i="2"/>
  <c r="AQ205" i="2"/>
  <c r="AQ214" i="2" s="1"/>
  <c r="AQ213" i="2" s="1"/>
  <c r="AQ29" i="2"/>
  <c r="BY453" i="2"/>
  <c r="CP326" i="2"/>
  <c r="CZ248" i="2"/>
  <c r="CZ33" i="3" s="1"/>
  <c r="AR568" i="2"/>
  <c r="AQ568" i="2"/>
  <c r="AE44" i="3"/>
  <c r="DS210" i="2"/>
  <c r="DS200" i="3" s="1"/>
  <c r="AY219" i="2"/>
  <c r="BW219" i="2"/>
  <c r="AB222" i="2"/>
  <c r="AH165" i="3"/>
  <c r="BG49" i="4"/>
  <c r="BG70" i="4" s="1"/>
  <c r="DA274" i="2"/>
  <c r="CC281" i="2"/>
  <c r="CR563" i="2"/>
  <c r="AE91" i="3"/>
  <c r="AF93" i="3" s="1"/>
  <c r="AR362" i="2"/>
  <c r="AQ335" i="2"/>
  <c r="AQ171" i="3" s="1"/>
  <c r="AQ167" i="3" s="1"/>
  <c r="CX33" i="3"/>
  <c r="AC165" i="3"/>
  <c r="DG281" i="2"/>
  <c r="CI281" i="2"/>
  <c r="H409" i="2"/>
  <c r="H397" i="2" s="1"/>
  <c r="H398" i="2" s="1"/>
  <c r="EI84" i="3"/>
  <c r="AQ84" i="3"/>
  <c r="DF79" i="4"/>
  <c r="CY522" i="2"/>
  <c r="CY530" i="2" s="1"/>
  <c r="AO64" i="3"/>
  <c r="CL201" i="3"/>
  <c r="AN287" i="2"/>
  <c r="CY33" i="3"/>
  <c r="AE165" i="3"/>
  <c r="BD322" i="2"/>
  <c r="AM241" i="2"/>
  <c r="AM208" i="3" s="1"/>
  <c r="AM206" i="3" s="1"/>
  <c r="BH177" i="2"/>
  <c r="F189" i="2"/>
  <c r="BY493" i="2"/>
  <c r="DM208" i="2"/>
  <c r="DM198" i="3" s="1"/>
  <c r="DM196" i="3" s="1"/>
  <c r="CP177" i="2"/>
  <c r="CZ257" i="2"/>
  <c r="BG479" i="2"/>
  <c r="BG480" i="2" s="1"/>
  <c r="CP29" i="2"/>
  <c r="AR493" i="2"/>
  <c r="AQ2" i="4"/>
  <c r="AQ74" i="4" s="1"/>
  <c r="AB206" i="3"/>
  <c r="CM291" i="4"/>
  <c r="AB244" i="2"/>
  <c r="AA244" i="2" s="1"/>
  <c r="CJ84" i="3"/>
  <c r="AY334" i="2"/>
  <c r="AY170" i="3" s="1"/>
  <c r="AY166" i="3" s="1"/>
  <c r="CX66" i="2"/>
  <c r="BN211" i="3"/>
  <c r="AD91" i="3"/>
  <c r="AD93" i="3" s="1"/>
  <c r="CU281" i="2"/>
  <c r="CL281" i="2"/>
  <c r="CC274" i="2"/>
  <c r="DB244" i="3"/>
  <c r="BO269" i="2"/>
  <c r="Y244" i="3"/>
  <c r="I20" i="3"/>
  <c r="I244" i="3"/>
  <c r="BR577" i="2"/>
  <c r="BR607" i="2" s="1"/>
  <c r="CY529" i="2"/>
  <c r="CM201" i="3"/>
  <c r="CM199" i="3" s="1"/>
  <c r="R66" i="3"/>
  <c r="BX148" i="2"/>
  <c r="BZ2" i="4"/>
  <c r="BZ95" i="4" s="1"/>
  <c r="BZ498" i="4" s="1"/>
  <c r="BH326" i="2"/>
  <c r="BY2" i="4"/>
  <c r="BY95" i="4" s="1"/>
  <c r="BY498" i="4" s="1"/>
  <c r="CP347" i="2"/>
  <c r="AQ614" i="2"/>
  <c r="CZ254" i="2"/>
  <c r="DO108" i="3"/>
  <c r="DO110" i="3" s="1"/>
  <c r="DO17" i="3" s="1"/>
  <c r="BG619" i="2"/>
  <c r="CP9" i="2"/>
  <c r="AR2" i="3"/>
  <c r="AR244" i="3" s="1"/>
  <c r="AA206" i="3"/>
  <c r="AW24" i="2"/>
  <c r="U64" i="2"/>
  <c r="U462" i="2" s="1"/>
  <c r="AS64" i="2"/>
  <c r="AS462" i="2" s="1"/>
  <c r="BK74" i="2"/>
  <c r="BK479" i="2" s="1"/>
  <c r="BQ151" i="3"/>
  <c r="AS84" i="2"/>
  <c r="AS163" i="2" s="1"/>
  <c r="AL115" i="2"/>
  <c r="AL13" i="2" s="1"/>
  <c r="Q196" i="3"/>
  <c r="BM35" i="3"/>
  <c r="BH148" i="2"/>
  <c r="CX281" i="2"/>
  <c r="CO281" i="2"/>
  <c r="CX274" i="2"/>
  <c r="CF274" i="2"/>
  <c r="H411" i="2"/>
  <c r="L211" i="3"/>
  <c r="Y309" i="3"/>
  <c r="I309" i="3"/>
  <c r="G410" i="2"/>
  <c r="F410" i="2" s="1"/>
  <c r="G304" i="2"/>
  <c r="F304" i="2" s="1"/>
  <c r="T362" i="2"/>
  <c r="AQ342" i="2"/>
  <c r="AC180" i="3"/>
  <c r="AA231" i="2"/>
  <c r="AA165" i="3" s="1"/>
  <c r="AR9" i="2"/>
  <c r="BH347" i="2"/>
  <c r="AX34" i="2"/>
  <c r="AX620" i="2" s="1"/>
  <c r="BY568" i="2"/>
  <c r="CF151" i="3"/>
  <c r="CF148" i="3" s="1"/>
  <c r="BI568" i="2"/>
  <c r="BU641" i="2"/>
  <c r="AI329" i="2"/>
  <c r="AY577" i="2"/>
  <c r="AY607" i="2" s="1"/>
  <c r="AK336" i="2"/>
  <c r="L385" i="2"/>
  <c r="BH372" i="2"/>
  <c r="BY2" i="3"/>
  <c r="BY244" i="3" s="1"/>
  <c r="CB322" i="2"/>
  <c r="AS148" i="2"/>
  <c r="CN228" i="2"/>
  <c r="CN148" i="2"/>
  <c r="BX338" i="2"/>
  <c r="G411" i="2"/>
  <c r="F411" i="2" s="1"/>
  <c r="DD67" i="2"/>
  <c r="I219" i="2"/>
  <c r="BE219" i="2"/>
  <c r="CC219" i="2"/>
  <c r="I220" i="2"/>
  <c r="AE304" i="2"/>
  <c r="AD304" i="2" s="1"/>
  <c r="BQ281" i="2"/>
  <c r="CU274" i="2"/>
  <c r="BD337" i="2"/>
  <c r="AX513" i="2"/>
  <c r="AJ276" i="2"/>
  <c r="AJ336" i="2" s="1"/>
  <c r="BH568" i="2"/>
  <c r="CB627" i="2"/>
  <c r="CP493" i="2"/>
  <c r="BX347" i="2"/>
  <c r="CN372" i="2"/>
  <c r="EG84" i="3"/>
  <c r="AO84" i="3"/>
  <c r="Y68" i="2"/>
  <c r="DY201" i="2"/>
  <c r="DY191" i="3" s="1"/>
  <c r="BK281" i="2"/>
  <c r="H410" i="2"/>
  <c r="DD281" i="2"/>
  <c r="EJ9" i="2"/>
  <c r="BD84" i="3"/>
  <c r="Y20" i="3"/>
  <c r="BX348" i="2"/>
  <c r="E180" i="3"/>
  <c r="DE338" i="2"/>
  <c r="BH453" i="2"/>
  <c r="CX209" i="2"/>
  <c r="AQ155" i="2"/>
  <c r="BX177" i="2"/>
  <c r="CN453" i="2"/>
  <c r="AN155" i="2"/>
  <c r="BE361" i="2"/>
  <c r="BF361" i="2" s="1"/>
  <c r="G215" i="3"/>
  <c r="AY64" i="2"/>
  <c r="AY462" i="2" s="1"/>
  <c r="AY464" i="2" s="1"/>
  <c r="AN74" i="2"/>
  <c r="AN619" i="2" s="1"/>
  <c r="CC151" i="3"/>
  <c r="CC148" i="3" s="1"/>
  <c r="T115" i="2"/>
  <c r="T139" i="2" s="1"/>
  <c r="AR115" i="2"/>
  <c r="AR139" i="2" s="1"/>
  <c r="EQ93" i="2"/>
  <c r="CL144" i="2"/>
  <c r="AD196" i="2"/>
  <c r="BN200" i="2"/>
  <c r="BN190" i="3" s="1"/>
  <c r="CN199" i="2"/>
  <c r="BO199" i="2"/>
  <c r="CL201" i="2"/>
  <c r="CL191" i="3" s="1"/>
  <c r="CR202" i="2"/>
  <c r="CR192" i="3" s="1"/>
  <c r="L206" i="2"/>
  <c r="AY206" i="3"/>
  <c r="EJ228" i="2"/>
  <c r="L35" i="3"/>
  <c r="Q66" i="3"/>
  <c r="BP627" i="2"/>
  <c r="AB338" i="2"/>
  <c r="BT281" i="2"/>
  <c r="EJ29" i="2"/>
  <c r="AN90" i="2"/>
  <c r="AN5" i="3" s="1"/>
  <c r="AN11" i="3" s="1"/>
  <c r="EL577" i="2"/>
  <c r="EL607" i="2" s="1"/>
  <c r="AR342" i="2"/>
  <c r="F91" i="3"/>
  <c r="AX120" i="3"/>
  <c r="AX119" i="3" s="1"/>
  <c r="BR145" i="2"/>
  <c r="BQ145" i="2" s="1"/>
  <c r="BH493" i="2"/>
  <c r="CP196" i="2"/>
  <c r="AQ9" i="2"/>
  <c r="BH9" i="2"/>
  <c r="BX326" i="2"/>
  <c r="CN2" i="3"/>
  <c r="AX329" i="2"/>
  <c r="AX330" i="2" s="1"/>
  <c r="CG57" i="2"/>
  <c r="CG26" i="3" s="1"/>
  <c r="CW258" i="2"/>
  <c r="BB75" i="3"/>
  <c r="CT283" i="2"/>
  <c r="BF466" i="2"/>
  <c r="DH321" i="2"/>
  <c r="DH322" i="2" s="1"/>
  <c r="DG322" i="2" s="1"/>
  <c r="CI274" i="2"/>
  <c r="AT577" i="2"/>
  <c r="AT607" i="2" s="1"/>
  <c r="BM276" i="2"/>
  <c r="AC338" i="2"/>
  <c r="BH2" i="4"/>
  <c r="BH95" i="4" s="1"/>
  <c r="CS258" i="2"/>
  <c r="CR258" i="2" s="1"/>
  <c r="BG148" i="2"/>
  <c r="BX453" i="2"/>
  <c r="BH255" i="2"/>
  <c r="AK22" i="2"/>
  <c r="BJ59" i="2"/>
  <c r="BJ57" i="2" s="1"/>
  <c r="G189" i="3"/>
  <c r="M211" i="3"/>
  <c r="DS281" i="2"/>
  <c r="CO274" i="2"/>
  <c r="DP281" i="2"/>
  <c r="CR281" i="2"/>
  <c r="CA522" i="2"/>
  <c r="CA530" i="2" s="1"/>
  <c r="G91" i="3"/>
  <c r="EJ148" i="2"/>
  <c r="BQ274" i="2"/>
  <c r="BC211" i="3"/>
  <c r="Q329" i="2"/>
  <c r="CC312" i="2"/>
  <c r="DS291" i="2"/>
  <c r="AE338" i="2"/>
  <c r="BZ148" i="2"/>
  <c r="BH2" i="3"/>
  <c r="BH309" i="3" s="1"/>
  <c r="BU145" i="2"/>
  <c r="BT145" i="2" s="1"/>
  <c r="BZ338" i="2"/>
  <c r="AB166" i="3"/>
  <c r="BC165" i="3"/>
  <c r="BG228" i="2"/>
  <c r="AZ185" i="2"/>
  <c r="CS641" i="2"/>
  <c r="Y4" i="3"/>
  <c r="Y10" i="3" s="1"/>
  <c r="CP2" i="3"/>
  <c r="CP244" i="3" s="1"/>
  <c r="BX493" i="2"/>
  <c r="EK29" i="2"/>
  <c r="CS247" i="2"/>
  <c r="CP252" i="2"/>
  <c r="CO252" i="2" s="1"/>
  <c r="BZ44" i="3"/>
  <c r="BW274" i="2"/>
  <c r="EJ326" i="2"/>
  <c r="AZ34" i="2"/>
  <c r="AZ42" i="2" s="1"/>
  <c r="AZ475" i="2" s="1"/>
  <c r="DN577" i="2"/>
  <c r="DN607" i="2" s="1"/>
  <c r="CQ322" i="2"/>
  <c r="AC166" i="3"/>
  <c r="BZ228" i="2"/>
  <c r="BY148" i="2"/>
  <c r="BG326" i="2"/>
  <c r="AX166" i="2"/>
  <c r="BX568" i="2"/>
  <c r="CO177" i="2"/>
  <c r="AJ175" i="2"/>
  <c r="EK228" i="2"/>
  <c r="BL276" i="2"/>
  <c r="AY189" i="2"/>
  <c r="AY176" i="3" s="1"/>
  <c r="AS81" i="2"/>
  <c r="AS147" i="3" s="1"/>
  <c r="AV189" i="2"/>
  <c r="CP193" i="2"/>
  <c r="EH204" i="2"/>
  <c r="R206" i="2"/>
  <c r="AP206" i="2"/>
  <c r="EN208" i="2"/>
  <c r="EN198" i="3" s="1"/>
  <c r="CF281" i="2"/>
  <c r="BM269" i="2"/>
  <c r="BM64" i="3" s="1"/>
  <c r="BB211" i="3"/>
  <c r="DM281" i="2"/>
  <c r="BO276" i="2"/>
  <c r="BN276" i="2" s="1"/>
  <c r="EJ347" i="2"/>
  <c r="AY41" i="2"/>
  <c r="CX75" i="3"/>
  <c r="AR167" i="3"/>
  <c r="AT342" i="2"/>
  <c r="CQ625" i="2"/>
  <c r="AE166" i="3"/>
  <c r="AZ179" i="3"/>
  <c r="AR228" i="2"/>
  <c r="DD63" i="2"/>
  <c r="DD461" i="2" s="1"/>
  <c r="BZ177" i="2"/>
  <c r="BY228" i="2"/>
  <c r="BG347" i="2"/>
  <c r="CX192" i="2"/>
  <c r="CX181" i="3" s="1"/>
  <c r="BX2" i="3"/>
  <c r="BX244" i="3" s="1"/>
  <c r="BN274" i="2"/>
  <c r="CO372" i="2"/>
  <c r="AJ168" i="2"/>
  <c r="EK177" i="2"/>
  <c r="BV552" i="2"/>
  <c r="AN22" i="2"/>
  <c r="BV22" i="2"/>
  <c r="AS33" i="2"/>
  <c r="BQ199" i="3"/>
  <c r="N287" i="2"/>
  <c r="BA186" i="2"/>
  <c r="BB362" i="2"/>
  <c r="CL274" i="2"/>
  <c r="BW281" i="2"/>
  <c r="CR274" i="2"/>
  <c r="BZ274" i="2"/>
  <c r="EJ177" i="2"/>
  <c r="Q287" i="2"/>
  <c r="DA281" i="2"/>
  <c r="BN281" i="2"/>
  <c r="AE215" i="3"/>
  <c r="BN48" i="3"/>
  <c r="BZ326" i="2"/>
  <c r="DD236" i="2"/>
  <c r="DD338" i="2" s="1"/>
  <c r="BG372" i="2"/>
  <c r="EJ358" i="2"/>
  <c r="AR185" i="2"/>
  <c r="AS185" i="2" s="1"/>
  <c r="AL168" i="2"/>
  <c r="G409" i="2"/>
  <c r="G397" i="2" s="1"/>
  <c r="G398" i="2" s="1"/>
  <c r="EK210" i="2"/>
  <c r="EK200" i="3" s="1"/>
  <c r="U219" i="2"/>
  <c r="AT222" i="2"/>
  <c r="L221" i="2"/>
  <c r="AK222" i="2"/>
  <c r="AX244" i="2"/>
  <c r="AU189" i="3"/>
  <c r="CH553" i="2"/>
  <c r="CH552" i="2"/>
  <c r="BA553" i="2"/>
  <c r="BA552" i="2"/>
  <c r="BO552" i="2"/>
  <c r="BO553" i="2"/>
  <c r="CA552" i="2"/>
  <c r="CA553" i="2"/>
  <c r="CP553" i="2"/>
  <c r="CP552" i="2"/>
  <c r="CV553" i="2"/>
  <c r="CV552" i="2"/>
  <c r="DB553" i="2"/>
  <c r="DB552" i="2"/>
  <c r="DI553" i="2"/>
  <c r="DI552" i="2"/>
  <c r="AX564" i="2"/>
  <c r="AX563" i="2"/>
  <c r="BJ564" i="2"/>
  <c r="BJ563" i="2"/>
  <c r="BV564" i="2"/>
  <c r="BV563" i="2"/>
  <c r="CH564" i="2"/>
  <c r="CH563" i="2"/>
  <c r="DP296" i="2"/>
  <c r="CH309" i="3"/>
  <c r="CB563" i="2"/>
  <c r="BU553" i="2"/>
  <c r="BD563" i="2"/>
  <c r="CN177" i="2"/>
  <c r="CB326" i="2"/>
  <c r="AQ228" i="2"/>
  <c r="BC493" i="2"/>
  <c r="BK29" i="2"/>
  <c r="P62" i="2"/>
  <c r="P462" i="2"/>
  <c r="BV199" i="2"/>
  <c r="BW201" i="2"/>
  <c r="BW191" i="3" s="1"/>
  <c r="CG206" i="2"/>
  <c r="CF206" i="2" s="1"/>
  <c r="CF208" i="2"/>
  <c r="CF198" i="3" s="1"/>
  <c r="CF196" i="3" s="1"/>
  <c r="AM453" i="2"/>
  <c r="AM326" i="2"/>
  <c r="AM228" i="2"/>
  <c r="AQ453" i="2"/>
  <c r="AQ326" i="2"/>
  <c r="AQ177" i="2"/>
  <c r="AU29" i="2"/>
  <c r="AU9" i="2"/>
  <c r="CB493" i="2"/>
  <c r="CB347" i="2"/>
  <c r="CN493" i="2"/>
  <c r="CN347" i="2"/>
  <c r="AS255" i="2"/>
  <c r="AT252" i="2"/>
  <c r="AS252" i="2" s="1"/>
  <c r="BM625" i="2"/>
  <c r="BM627" i="2" s="1"/>
  <c r="BM322" i="2"/>
  <c r="S22" i="2"/>
  <c r="BC22" i="2"/>
  <c r="BW22" i="2"/>
  <c r="AZ226" i="3"/>
  <c r="AZ24" i="2"/>
  <c r="AU233" i="3"/>
  <c r="AV361" i="2"/>
  <c r="AV362" i="2" s="1"/>
  <c r="CE384" i="2"/>
  <c r="CE566" i="2"/>
  <c r="AK415" i="2"/>
  <c r="AJ415" i="2" s="1"/>
  <c r="AJ407" i="2"/>
  <c r="CB228" i="2"/>
  <c r="BO177" i="2"/>
  <c r="CN29" i="2"/>
  <c r="CB9" i="2"/>
  <c r="CF326" i="2"/>
  <c r="CF453" i="2"/>
  <c r="BE31" i="2"/>
  <c r="BS148" i="2"/>
  <c r="BS347" i="2"/>
  <c r="BS568" i="2"/>
  <c r="BG177" i="2"/>
  <c r="BG453" i="2"/>
  <c r="BG2" i="3"/>
  <c r="AU148" i="2"/>
  <c r="AU347" i="2"/>
  <c r="AU2" i="4"/>
  <c r="AU41" i="4" s="1"/>
  <c r="BC177" i="2"/>
  <c r="BX228" i="2"/>
  <c r="BX372" i="2"/>
  <c r="DA493" i="2"/>
  <c r="BK177" i="2"/>
  <c r="BK2" i="4"/>
  <c r="BK350" i="4" s="1"/>
  <c r="BK2" i="3"/>
  <c r="AM347" i="2"/>
  <c r="AM2" i="3"/>
  <c r="AM244" i="3" s="1"/>
  <c r="CN326" i="2"/>
  <c r="CN2" i="4"/>
  <c r="CN117" i="4" s="1"/>
  <c r="CB177" i="2"/>
  <c r="CB568" i="2"/>
  <c r="AQ372" i="2"/>
  <c r="AQ2" i="3"/>
  <c r="AB252" i="2"/>
  <c r="BG9" i="2"/>
  <c r="BD2" i="3"/>
  <c r="BD148" i="2"/>
  <c r="G22" i="2"/>
  <c r="V166" i="3"/>
  <c r="R236" i="2"/>
  <c r="CS564" i="2"/>
  <c r="CS563" i="2"/>
  <c r="CY564" i="2"/>
  <c r="CY563" i="2"/>
  <c r="BN63" i="2"/>
  <c r="BN461" i="2" s="1"/>
  <c r="BW200" i="2"/>
  <c r="BW190" i="3" s="1"/>
  <c r="EH201" i="2"/>
  <c r="EH191" i="3" s="1"/>
  <c r="BW206" i="2"/>
  <c r="DQ235" i="2"/>
  <c r="DG257" i="2"/>
  <c r="DH257" i="2" s="1"/>
  <c r="DE253" i="2"/>
  <c r="BQ37" i="2"/>
  <c r="CI37" i="2"/>
  <c r="CO37" i="2"/>
  <c r="CI41" i="2"/>
  <c r="DM41" i="2"/>
  <c r="DY41" i="2"/>
  <c r="EE41" i="2"/>
  <c r="EN58" i="2"/>
  <c r="BQ67" i="2"/>
  <c r="CI67" i="2"/>
  <c r="DJ44" i="3"/>
  <c r="CF455" i="2"/>
  <c r="BV577" i="2"/>
  <c r="BV607" i="2" s="1"/>
  <c r="DQ321" i="2"/>
  <c r="DQ322" i="2" s="1"/>
  <c r="DP322" i="2" s="1"/>
  <c r="DQ248" i="2"/>
  <c r="DE321" i="2"/>
  <c r="DQ257" i="2"/>
  <c r="DP257" i="2" s="1"/>
  <c r="DE235" i="2"/>
  <c r="CO566" i="2"/>
  <c r="CO384" i="2"/>
  <c r="B1" i="3"/>
  <c r="B1" i="4"/>
  <c r="AT29" i="2"/>
  <c r="AT9" i="2"/>
  <c r="AT568" i="2"/>
  <c r="AT347" i="2"/>
  <c r="AT493" i="2"/>
  <c r="AT177" i="2"/>
  <c r="AT2" i="3"/>
  <c r="AT453" i="2"/>
  <c r="AT228" i="2"/>
  <c r="AT326" i="2"/>
  <c r="AX228" i="2"/>
  <c r="AX2" i="3"/>
  <c r="AX309" i="3" s="1"/>
  <c r="AX568" i="2"/>
  <c r="AX148" i="2"/>
  <c r="AX2" i="4"/>
  <c r="AX74" i="4" s="1"/>
  <c r="AX372" i="2"/>
  <c r="AX177" i="2"/>
  <c r="AX9" i="2"/>
  <c r="AX493" i="2"/>
  <c r="AX347" i="2"/>
  <c r="AX29" i="2"/>
  <c r="BF29" i="2"/>
  <c r="BF493" i="2"/>
  <c r="BF177" i="2"/>
  <c r="BF2" i="3"/>
  <c r="BF20" i="3" s="1"/>
  <c r="BF453" i="2"/>
  <c r="BF326" i="2"/>
  <c r="BF2" i="4"/>
  <c r="BF14" i="4" s="1"/>
  <c r="BF372" i="2"/>
  <c r="BF228" i="2"/>
  <c r="BJ568" i="2"/>
  <c r="BJ29" i="2"/>
  <c r="BJ372" i="2"/>
  <c r="BJ228" i="2"/>
  <c r="BJ148" i="2"/>
  <c r="BN29" i="2"/>
  <c r="BN9" i="2"/>
  <c r="BN2" i="3"/>
  <c r="BT309" i="3" s="1"/>
  <c r="BN568" i="2"/>
  <c r="BN177" i="2"/>
  <c r="BN2" i="4"/>
  <c r="BN419" i="4" s="1"/>
  <c r="BN372" i="2"/>
  <c r="BN228" i="2"/>
  <c r="BN493" i="2"/>
  <c r="BN347" i="2"/>
  <c r="BN148" i="2"/>
  <c r="BR29" i="2"/>
  <c r="BR2" i="3"/>
  <c r="BR453" i="2"/>
  <c r="BR228" i="2"/>
  <c r="BR9" i="2"/>
  <c r="BR2" i="4"/>
  <c r="BR167" i="4" s="1"/>
  <c r="BR372" i="2"/>
  <c r="BR347" i="2"/>
  <c r="BR568" i="2"/>
  <c r="BR326" i="2"/>
  <c r="BV228" i="2"/>
  <c r="BV2" i="3"/>
  <c r="BV244" i="3" s="1"/>
  <c r="CE568" i="2"/>
  <c r="CE372" i="2"/>
  <c r="CE228" i="2"/>
  <c r="CE2" i="4"/>
  <c r="CE95" i="4" s="1"/>
  <c r="CE498" i="4" s="1"/>
  <c r="CE347" i="2"/>
  <c r="CE148" i="2"/>
  <c r="CE493" i="2"/>
  <c r="CE326" i="2"/>
  <c r="CI29" i="2"/>
  <c r="CI453" i="2"/>
  <c r="CI326" i="2"/>
  <c r="CI228" i="2"/>
  <c r="CI2" i="4"/>
  <c r="CI14" i="4" s="1"/>
  <c r="CI148" i="2"/>
  <c r="CI2" i="3"/>
  <c r="CI244" i="3" s="1"/>
  <c r="CI568" i="2"/>
  <c r="CI372" i="2"/>
  <c r="CM177" i="2"/>
  <c r="CM493" i="2"/>
  <c r="CM372" i="2"/>
  <c r="CM148" i="2"/>
  <c r="CM453" i="2"/>
  <c r="CM347" i="2"/>
  <c r="CM2" i="3"/>
  <c r="CM2" i="4"/>
  <c r="CM350" i="4" s="1"/>
  <c r="CM326" i="2"/>
  <c r="CM9" i="2"/>
  <c r="CM29" i="2"/>
  <c r="CQ29" i="2"/>
  <c r="CQ493" i="2"/>
  <c r="CQ326" i="2"/>
  <c r="CQ2" i="3"/>
  <c r="CQ244" i="3" s="1"/>
  <c r="CQ453" i="2"/>
  <c r="CQ177" i="2"/>
  <c r="CQ568" i="2"/>
  <c r="CQ372" i="2"/>
  <c r="CQ228" i="2"/>
  <c r="DF493" i="2"/>
  <c r="DF347" i="2"/>
  <c r="DF9" i="2"/>
  <c r="DF453" i="2"/>
  <c r="DF326" i="2"/>
  <c r="DF228" i="2"/>
  <c r="DF2" i="3"/>
  <c r="DF13" i="3" s="1"/>
  <c r="DF20" i="3" s="1"/>
  <c r="DF568" i="2"/>
  <c r="DF148" i="2"/>
  <c r="DF29" i="2"/>
  <c r="DX358" i="2"/>
  <c r="DY4" i="2"/>
  <c r="ED2" i="3"/>
  <c r="ED309" i="3" s="1"/>
  <c r="ED228" i="2"/>
  <c r="ED568" i="2"/>
  <c r="EH4" i="2"/>
  <c r="EH372" i="2" s="1"/>
  <c r="EG358" i="2"/>
  <c r="AP342" i="2"/>
  <c r="AF180" i="3"/>
  <c r="U84" i="2"/>
  <c r="U10" i="2" s="1"/>
  <c r="BQ81" i="2"/>
  <c r="BQ147" i="3" s="1"/>
  <c r="AV64" i="2"/>
  <c r="AV462" i="2" s="1"/>
  <c r="AV464" i="2" s="1"/>
  <c r="X64" i="2"/>
  <c r="X462" i="2" s="1"/>
  <c r="BT63" i="2"/>
  <c r="BT461" i="2" s="1"/>
  <c r="BA168" i="2"/>
  <c r="CA189" i="2"/>
  <c r="BH168" i="2"/>
  <c r="AY86" i="2"/>
  <c r="AW155" i="2"/>
  <c r="BF26" i="3"/>
  <c r="BB31" i="2"/>
  <c r="AU205" i="2"/>
  <c r="AU214" i="2" s="1"/>
  <c r="AU213" i="2" s="1"/>
  <c r="AN109" i="3"/>
  <c r="AN107" i="3" s="1"/>
  <c r="BZ463" i="2"/>
  <c r="AT10" i="2"/>
  <c r="AN163" i="2"/>
  <c r="AF165" i="3"/>
  <c r="CO250" i="2"/>
  <c r="CO511" i="2" s="1"/>
  <c r="CT206" i="2"/>
  <c r="O255" i="2"/>
  <c r="AV247" i="2"/>
  <c r="J222" i="2"/>
  <c r="CF38" i="2"/>
  <c r="CX38" i="2"/>
  <c r="DM38" i="2"/>
  <c r="AA57" i="2"/>
  <c r="AA26" i="3" s="1"/>
  <c r="BH151" i="3"/>
  <c r="BH148" i="3" s="1"/>
  <c r="AD84" i="2"/>
  <c r="AD10" i="2" s="1"/>
  <c r="EH92" i="2"/>
  <c r="BE194" i="2"/>
  <c r="BE183" i="3" s="1"/>
  <c r="BZ194" i="2"/>
  <c r="BZ183" i="3" s="1"/>
  <c r="EN200" i="2"/>
  <c r="EN190" i="3" s="1"/>
  <c r="EB201" i="2"/>
  <c r="EB191" i="3" s="1"/>
  <c r="EH202" i="2"/>
  <c r="EH192" i="3" s="1"/>
  <c r="BW203" i="2"/>
  <c r="BW193" i="3" s="1"/>
  <c r="BT204" i="2"/>
  <c r="BT210" i="2"/>
  <c r="BT200" i="3" s="1"/>
  <c r="CP397" i="2"/>
  <c r="CP398" i="2" s="1"/>
  <c r="DT113" i="4"/>
  <c r="DT115" i="4" s="1"/>
  <c r="BH342" i="2"/>
  <c r="P180" i="3"/>
  <c r="Z180" i="3"/>
  <c r="I84" i="2"/>
  <c r="I10" i="2" s="1"/>
  <c r="AM75" i="2"/>
  <c r="AM109" i="3" s="1"/>
  <c r="AM107" i="3" s="1"/>
  <c r="AP64" i="2"/>
  <c r="AP462" i="2" s="1"/>
  <c r="R64" i="2"/>
  <c r="R462" i="2" s="1"/>
  <c r="CR63" i="2"/>
  <c r="CR461" i="2" s="1"/>
  <c r="BB41" i="2"/>
  <c r="AY165" i="2"/>
  <c r="V90" i="2"/>
  <c r="V5" i="3" s="1"/>
  <c r="V11" i="3" s="1"/>
  <c r="BN189" i="2"/>
  <c r="AP150" i="2"/>
  <c r="BL115" i="2"/>
  <c r="BL139" i="2" s="1"/>
  <c r="BN463" i="2"/>
  <c r="AP31" i="2"/>
  <c r="AP335" i="2"/>
  <c r="AP171" i="3" s="1"/>
  <c r="AP167" i="3" s="1"/>
  <c r="BH175" i="2"/>
  <c r="P90" i="2"/>
  <c r="P5" i="3" s="1"/>
  <c r="P11" i="3" s="1"/>
  <c r="AT163" i="2"/>
  <c r="CD241" i="2"/>
  <c r="CD244" i="2" s="1"/>
  <c r="BQ235" i="2"/>
  <c r="BQ641" i="2" s="1"/>
  <c r="AN252" i="2"/>
  <c r="AM252" i="2" s="1"/>
  <c r="AZ252" i="2"/>
  <c r="AY252" i="2" s="1"/>
  <c r="V252" i="2"/>
  <c r="AT35" i="2"/>
  <c r="AS35" i="2" s="1"/>
  <c r="T304" i="2"/>
  <c r="BA90" i="2"/>
  <c r="BA5" i="3" s="1"/>
  <c r="BA11" i="3" s="1"/>
  <c r="AJ64" i="2"/>
  <c r="AJ462" i="2" s="1"/>
  <c r="F64" i="2"/>
  <c r="CL63" i="2"/>
  <c r="CL461" i="2" s="1"/>
  <c r="AY150" i="2"/>
  <c r="V115" i="2"/>
  <c r="V139" i="2" s="1"/>
  <c r="AT109" i="3"/>
  <c r="AT107" i="3" s="1"/>
  <c r="CW463" i="2"/>
  <c r="BC34" i="2"/>
  <c r="AS150" i="2"/>
  <c r="BH335" i="2"/>
  <c r="BL252" i="2"/>
  <c r="BK252" i="2" s="1"/>
  <c r="O74" i="2"/>
  <c r="Q62" i="2"/>
  <c r="CL183" i="2"/>
  <c r="CL463" i="2" s="1"/>
  <c r="BZ35" i="2"/>
  <c r="EH37" i="2"/>
  <c r="BT58" i="2"/>
  <c r="BZ67" i="2"/>
  <c r="O84" i="2"/>
  <c r="O10" i="2" s="1"/>
  <c r="AA84" i="2"/>
  <c r="AA10" i="2" s="1"/>
  <c r="AM84" i="2"/>
  <c r="AO174" i="2" s="1"/>
  <c r="G90" i="2"/>
  <c r="G5" i="3" s="1"/>
  <c r="G11" i="3" s="1"/>
  <c r="M90" i="2"/>
  <c r="M5" i="3" s="1"/>
  <c r="M11" i="3" s="1"/>
  <c r="R85" i="2"/>
  <c r="Y90" i="2"/>
  <c r="Y5" i="3" s="1"/>
  <c r="Y11" i="3" s="1"/>
  <c r="AK90" i="2"/>
  <c r="AK5" i="3" s="1"/>
  <c r="AK11" i="3" s="1"/>
  <c r="AQ90" i="2"/>
  <c r="AQ5" i="3" s="1"/>
  <c r="AQ11" i="3" s="1"/>
  <c r="BB86" i="2"/>
  <c r="BN86" i="2"/>
  <c r="F92" i="2"/>
  <c r="R92" i="2"/>
  <c r="Y115" i="2"/>
  <c r="Y139" i="2" s="1"/>
  <c r="AE115" i="2"/>
  <c r="AE139" i="2" s="1"/>
  <c r="AK115" i="2"/>
  <c r="AK13" i="2" s="1"/>
  <c r="AW115" i="2"/>
  <c r="AW13" i="2" s="1"/>
  <c r="BC115" i="2"/>
  <c r="BJ115" i="2"/>
  <c r="BJ13" i="2" s="1"/>
  <c r="BQ92" i="2"/>
  <c r="CC92" i="2"/>
  <c r="J115" i="2"/>
  <c r="J139" i="2" s="1"/>
  <c r="AB115" i="2"/>
  <c r="AB139" i="2" s="1"/>
  <c r="AH115" i="2"/>
  <c r="AH139" i="2" s="1"/>
  <c r="CL93" i="2"/>
  <c r="BN181" i="2"/>
  <c r="CF181" i="2"/>
  <c r="I193" i="2"/>
  <c r="O193" i="2"/>
  <c r="U193" i="2"/>
  <c r="AG193" i="2"/>
  <c r="AM193" i="2"/>
  <c r="BH194" i="2"/>
  <c r="BH183" i="3" s="1"/>
  <c r="BK197" i="2"/>
  <c r="BK186" i="3" s="1"/>
  <c r="EP40" i="2"/>
  <c r="BT206" i="2"/>
  <c r="AA220" i="2"/>
  <c r="AS220" i="2"/>
  <c r="AX222" i="2"/>
  <c r="F221" i="2"/>
  <c r="R221" i="2"/>
  <c r="W222" i="2"/>
  <c r="AJ221" i="2"/>
  <c r="AO222" i="2"/>
  <c r="BB221" i="2"/>
  <c r="D35" i="9"/>
  <c r="D33" i="9"/>
  <c r="BL233" i="3"/>
  <c r="DN233" i="3"/>
  <c r="DO361" i="2"/>
  <c r="R361" i="2"/>
  <c r="S361" i="2" s="1"/>
  <c r="L361" i="2"/>
  <c r="CF361" i="2"/>
  <c r="CH362" i="2" s="1"/>
  <c r="AJ361" i="2"/>
  <c r="AJ362" i="2" s="1"/>
  <c r="CR361" i="2"/>
  <c r="CT362" i="2" s="1"/>
  <c r="CM233" i="3"/>
  <c r="BM361" i="2"/>
  <c r="F361" i="2"/>
  <c r="F362" i="2" s="1"/>
  <c r="BZ361" i="2"/>
  <c r="CB362" i="2" s="1"/>
  <c r="BS361" i="2"/>
  <c r="BT362" i="2" s="1"/>
  <c r="AP361" i="2"/>
  <c r="AP362" i="2" s="1"/>
  <c r="AD361" i="2"/>
  <c r="AE361" i="2" s="1"/>
  <c r="CO413" i="2"/>
  <c r="CO529" i="2" s="1"/>
  <c r="ED177" i="2"/>
  <c r="ED372" i="2"/>
  <c r="DP63" i="2"/>
  <c r="DP461" i="2" s="1"/>
  <c r="AP57" i="2"/>
  <c r="AP26" i="3" s="1"/>
  <c r="BJ479" i="2"/>
  <c r="AW180" i="3"/>
  <c r="BC180" i="3"/>
  <c r="BW618" i="2"/>
  <c r="BN109" i="3"/>
  <c r="AL10" i="2"/>
  <c r="H26" i="3"/>
  <c r="I57" i="2"/>
  <c r="I26" i="3" s="1"/>
  <c r="O57" i="2"/>
  <c r="O26" i="3" s="1"/>
  <c r="N26" i="3"/>
  <c r="AT147" i="3"/>
  <c r="BA147" i="3"/>
  <c r="BA619" i="2"/>
  <c r="CH463" i="2"/>
  <c r="CI183" i="2"/>
  <c r="CI463" i="2" s="1"/>
  <c r="ED9" i="2"/>
  <c r="ED326" i="2"/>
  <c r="ED2" i="4"/>
  <c r="CL540" i="2"/>
  <c r="T180" i="3"/>
  <c r="BW81" i="2"/>
  <c r="BW147" i="3" s="1"/>
  <c r="AY74" i="2"/>
  <c r="AY479" i="2" s="1"/>
  <c r="AY480" i="2" s="1"/>
  <c r="CX63" i="2"/>
  <c r="CX461" i="2" s="1"/>
  <c r="AQ180" i="3"/>
  <c r="AX479" i="2"/>
  <c r="AX480" i="2" s="1"/>
  <c r="BP86" i="2"/>
  <c r="BP85" i="2" s="1"/>
  <c r="BB505" i="2"/>
  <c r="AI109" i="3"/>
  <c r="AI107" i="3" s="1"/>
  <c r="AE180" i="2"/>
  <c r="AE184" i="2" s="1"/>
  <c r="AE187" i="2" s="1"/>
  <c r="G180" i="2"/>
  <c r="G184" i="2" s="1"/>
  <c r="G187" i="2" s="1"/>
  <c r="AP168" i="2"/>
  <c r="AP175" i="2"/>
  <c r="AY168" i="2"/>
  <c r="BB150" i="2"/>
  <c r="ED29" i="2"/>
  <c r="ED347" i="2"/>
  <c r="N180" i="3"/>
  <c r="AR109" i="3"/>
  <c r="AR107" i="3" s="1"/>
  <c r="AX619" i="2"/>
  <c r="AI110" i="3"/>
  <c r="AJ110" i="3" s="1"/>
  <c r="AE4" i="3"/>
  <c r="AE10" i="3" s="1"/>
  <c r="AN29" i="2"/>
  <c r="AN9" i="2"/>
  <c r="AR2" i="4"/>
  <c r="AR74" i="4" s="1"/>
  <c r="AR372" i="2"/>
  <c r="AR177" i="2"/>
  <c r="AR453" i="2"/>
  <c r="AR326" i="2"/>
  <c r="AZ148" i="2"/>
  <c r="AZ9" i="2"/>
  <c r="AZ29" i="2"/>
  <c r="BD2" i="4"/>
  <c r="BD95" i="4" s="1"/>
  <c r="BD372" i="2"/>
  <c r="BD177" i="2"/>
  <c r="BD228" i="2"/>
  <c r="BD453" i="2"/>
  <c r="BD326" i="2"/>
  <c r="BP326" i="2"/>
  <c r="BP453" i="2"/>
  <c r="CC29" i="2"/>
  <c r="CC568" i="2"/>
  <c r="CC177" i="2"/>
  <c r="CC493" i="2"/>
  <c r="CC148" i="2"/>
  <c r="CO2" i="3"/>
  <c r="CO2" i="4"/>
  <c r="CO167" i="4" s="1"/>
  <c r="CO148" i="2"/>
  <c r="CO453" i="2"/>
  <c r="CO326" i="2"/>
  <c r="CO228" i="2"/>
  <c r="ER4" i="2"/>
  <c r="ER326" i="2" s="1"/>
  <c r="V68" i="2"/>
  <c r="V4" i="3"/>
  <c r="V10" i="3" s="1"/>
  <c r="X34" i="2"/>
  <c r="H205" i="2"/>
  <c r="H214" i="2" s="1"/>
  <c r="H213" i="2" s="1"/>
  <c r="EP4" i="2"/>
  <c r="EP347" i="2" s="1"/>
  <c r="BP205" i="2"/>
  <c r="BP214" i="2" s="1"/>
  <c r="CM199" i="2"/>
  <c r="DL283" i="2"/>
  <c r="BA320" i="2"/>
  <c r="BA345" i="2" s="1"/>
  <c r="AL362" i="2"/>
  <c r="EQ48" i="4"/>
  <c r="ET32" i="4"/>
  <c r="EV410" i="4"/>
  <c r="EY410" i="4" s="1"/>
  <c r="EU84" i="3"/>
  <c r="ES84" i="3"/>
  <c r="W189" i="3"/>
  <c r="DN37" i="4"/>
  <c r="DT37" i="4"/>
  <c r="EW278" i="4"/>
  <c r="EX278" i="4" s="1"/>
  <c r="EX186" i="4"/>
  <c r="EW365" i="4"/>
  <c r="BA222" i="2"/>
  <c r="O35" i="2"/>
  <c r="AP221" i="2"/>
  <c r="AM150" i="2"/>
  <c r="W42" i="2"/>
  <c r="AP33" i="2"/>
  <c r="I35" i="2"/>
  <c r="O34" i="2"/>
  <c r="CI35" i="2"/>
  <c r="AD116" i="2"/>
  <c r="AJ117" i="2"/>
  <c r="AV117" i="2"/>
  <c r="CL200" i="2"/>
  <c r="CL190" i="3" s="1"/>
  <c r="EK200" i="2"/>
  <c r="EK190" i="3" s="1"/>
  <c r="EH197" i="3"/>
  <c r="CF210" i="2"/>
  <c r="CF200" i="3" s="1"/>
  <c r="EH210" i="2"/>
  <c r="EH200" i="3" s="1"/>
  <c r="T263" i="2"/>
  <c r="Z263" i="2"/>
  <c r="BK577" i="2"/>
  <c r="BK607" i="2" s="1"/>
  <c r="EV793" i="4"/>
  <c r="EY793" i="4" s="1"/>
  <c r="AZ199" i="3"/>
  <c r="W199" i="3"/>
  <c r="EQ169" i="3"/>
  <c r="ER169" i="3" s="1"/>
  <c r="DK84" i="2"/>
  <c r="DG154" i="3"/>
  <c r="EW500" i="4"/>
  <c r="EZ500" i="4" s="1"/>
  <c r="EW384" i="4"/>
  <c r="EZ384" i="4" s="1"/>
  <c r="EW363" i="4"/>
  <c r="EX184" i="4"/>
  <c r="EW276" i="4"/>
  <c r="AG57" i="2"/>
  <c r="AG26" i="3" s="1"/>
  <c r="AT148" i="2"/>
  <c r="P244" i="2"/>
  <c r="O244" i="2" s="1"/>
  <c r="U85" i="2"/>
  <c r="O92" i="2"/>
  <c r="EQ39" i="2"/>
  <c r="ER40" i="2"/>
  <c r="F206" i="2"/>
  <c r="BG241" i="2"/>
  <c r="BA263" i="2"/>
  <c r="BP258" i="2"/>
  <c r="AL304" i="2"/>
  <c r="AU320" i="2"/>
  <c r="DM361" i="2"/>
  <c r="DO362" i="2" s="1"/>
  <c r="BC577" i="2"/>
  <c r="BC607" i="2" s="1"/>
  <c r="EX506" i="4"/>
  <c r="FA506" i="4" s="1"/>
  <c r="AO215" i="3"/>
  <c r="DQ295" i="2"/>
  <c r="DP295" i="2" s="1"/>
  <c r="CL117" i="2"/>
  <c r="CS233" i="3"/>
  <c r="BN361" i="2"/>
  <c r="BP362" i="2" s="1"/>
  <c r="AA361" i="2"/>
  <c r="AA362" i="2" s="1"/>
  <c r="I361" i="2"/>
  <c r="I362" i="2" s="1"/>
  <c r="CA233" i="3"/>
  <c r="CC361" i="2"/>
  <c r="CE362" i="2" s="1"/>
  <c r="DI247" i="2"/>
  <c r="DI633" i="2" s="1"/>
  <c r="DK505" i="2"/>
  <c r="DK35" i="2"/>
  <c r="CS17" i="3"/>
  <c r="CS75" i="2"/>
  <c r="CS505" i="2" s="1"/>
  <c r="CL194" i="2"/>
  <c r="CL183" i="3" s="1"/>
  <c r="EM40" i="2"/>
  <c r="BK202" i="2"/>
  <c r="BK192" i="3" s="1"/>
  <c r="BE203" i="2"/>
  <c r="BE193" i="3" s="1"/>
  <c r="BN204" i="2"/>
  <c r="ED206" i="2"/>
  <c r="BW35" i="3"/>
  <c r="DI258" i="2"/>
  <c r="CN283" i="2"/>
  <c r="EO199" i="2"/>
  <c r="CL250" i="2"/>
  <c r="CL511" i="2" s="1"/>
  <c r="BR199" i="2"/>
  <c r="BQ199" i="2" s="1"/>
  <c r="BW208" i="2"/>
  <c r="BW198" i="3" s="1"/>
  <c r="BW196" i="3" s="1"/>
  <c r="BI263" i="2"/>
  <c r="BH263" i="2" s="1"/>
  <c r="CC208" i="2"/>
  <c r="CC198" i="3" s="1"/>
  <c r="CC196" i="3" s="1"/>
  <c r="DS208" i="2"/>
  <c r="DS198" i="3" s="1"/>
  <c r="DS196" i="3" s="1"/>
  <c r="BR283" i="2"/>
  <c r="BQ283" i="2" s="1"/>
  <c r="BX283" i="2"/>
  <c r="BJ217" i="3" s="1"/>
  <c r="BJ215" i="3" s="1"/>
  <c r="BM22" i="2"/>
  <c r="CV35" i="2"/>
  <c r="CV505" i="2"/>
  <c r="CV17" i="3"/>
  <c r="BL258" i="2"/>
  <c r="BK258" i="2" s="1"/>
  <c r="BR40" i="2"/>
  <c r="BQ40" i="2" s="1"/>
  <c r="BE22" i="2"/>
  <c r="BN22" i="2"/>
  <c r="EH36" i="2"/>
  <c r="BX40" i="2"/>
  <c r="BX34" i="2" s="1"/>
  <c r="BX620" i="2" s="1"/>
  <c r="S107" i="3"/>
  <c r="BI107" i="3"/>
  <c r="CS144" i="2"/>
  <c r="BX258" i="2"/>
  <c r="BW258" i="2" s="1"/>
  <c r="BK206" i="2"/>
  <c r="BK466" i="2" s="1"/>
  <c r="DF64" i="2"/>
  <c r="DF62" i="2" s="1"/>
  <c r="DF27" i="3" s="1"/>
  <c r="BT22" i="2"/>
  <c r="CF36" i="2"/>
  <c r="CL36" i="2"/>
  <c r="CR36" i="2"/>
  <c r="DC40" i="2"/>
  <c r="DD40" i="2" s="1"/>
  <c r="CL203" i="2"/>
  <c r="CL193" i="3" s="1"/>
  <c r="P107" i="3"/>
  <c r="DK17" i="3"/>
  <c r="EK67" i="2"/>
  <c r="EG147" i="3"/>
  <c r="EH147" i="3" s="1"/>
  <c r="EI147" i="3" s="1"/>
  <c r="EH153" i="3" s="1"/>
  <c r="DL39" i="2"/>
  <c r="BE198" i="2"/>
  <c r="BE187" i="3" s="1"/>
  <c r="CV206" i="2"/>
  <c r="U36" i="9" s="1"/>
  <c r="DB110" i="3"/>
  <c r="DA109" i="3"/>
  <c r="DA110" i="3" s="1"/>
  <c r="DA17" i="3" s="1"/>
  <c r="BW198" i="2"/>
  <c r="BW187" i="3" s="1"/>
  <c r="DE258" i="2"/>
  <c r="DD258" i="2" s="1"/>
  <c r="T38" i="9"/>
  <c r="DH131" i="3"/>
  <c r="CC37" i="2"/>
  <c r="CT144" i="2"/>
  <c r="CU144" i="2" s="1"/>
  <c r="R60" i="3"/>
  <c r="X60" i="3"/>
  <c r="CP109" i="3"/>
  <c r="CP110" i="3" s="1"/>
  <c r="DF133" i="3"/>
  <c r="DG133" i="3" s="1"/>
  <c r="CY84" i="2"/>
  <c r="CY115" i="2" s="1"/>
  <c r="V107" i="3"/>
  <c r="AZ107" i="3"/>
  <c r="DG63" i="2"/>
  <c r="DG461" i="2" s="1"/>
  <c r="CC36" i="2"/>
  <c r="DC39" i="2"/>
  <c r="CG64" i="2"/>
  <c r="CG62" i="2" s="1"/>
  <c r="CT110" i="3"/>
  <c r="CU109" i="3"/>
  <c r="CU110" i="3" s="1"/>
  <c r="CU17" i="3" s="1"/>
  <c r="DC17" i="3"/>
  <c r="DC75" i="2"/>
  <c r="DD75" i="2" s="1"/>
  <c r="DD505" i="2" s="1"/>
  <c r="DN35" i="2"/>
  <c r="BK66" i="2"/>
  <c r="E215" i="3"/>
  <c r="DM75" i="2"/>
  <c r="DM505" i="2" s="1"/>
  <c r="CF65" i="2"/>
  <c r="DO193" i="2"/>
  <c r="DP193" i="2" s="1"/>
  <c r="EA193" i="2"/>
  <c r="EM193" i="2"/>
  <c r="BF40" i="2"/>
  <c r="BK200" i="2"/>
  <c r="BK190" i="3" s="1"/>
  <c r="EH203" i="2"/>
  <c r="EH193" i="3" s="1"/>
  <c r="EN203" i="2"/>
  <c r="EN193" i="3" s="1"/>
  <c r="BW204" i="2"/>
  <c r="CC204" i="2"/>
  <c r="CO204" i="2"/>
  <c r="BY283" i="2"/>
  <c r="AB107" i="3"/>
  <c r="DQ107" i="3"/>
  <c r="AD107" i="3"/>
  <c r="BJ17" i="3"/>
  <c r="Q189" i="3"/>
  <c r="T196" i="3"/>
  <c r="K199" i="3"/>
  <c r="J222" i="3"/>
  <c r="V222" i="3"/>
  <c r="AH222" i="3"/>
  <c r="AT222" i="3"/>
  <c r="CV283" i="2"/>
  <c r="CU283" i="2" s="1"/>
  <c r="DB57" i="2"/>
  <c r="DN17" i="3"/>
  <c r="EJ193" i="2"/>
  <c r="CB196" i="2"/>
  <c r="CS196" i="2"/>
  <c r="CO203" i="2"/>
  <c r="CO193" i="3" s="1"/>
  <c r="EB204" i="2"/>
  <c r="AS199" i="3"/>
  <c r="BA199" i="3"/>
  <c r="DE80" i="2"/>
  <c r="DE84" i="2" s="1"/>
  <c r="EA2" i="3"/>
  <c r="EA13" i="3" s="1"/>
  <c r="EA20" i="3" s="1"/>
  <c r="EA326" i="2"/>
  <c r="EA9" i="2"/>
  <c r="EA2" i="4"/>
  <c r="EA117" i="4" s="1"/>
  <c r="EA177" i="2"/>
  <c r="EA372" i="2"/>
  <c r="EA228" i="2"/>
  <c r="EA347" i="2"/>
  <c r="EA29" i="2"/>
  <c r="EE228" i="2"/>
  <c r="EE568" i="2"/>
  <c r="EE2" i="4"/>
  <c r="EE419" i="4" s="1"/>
  <c r="BK165" i="3"/>
  <c r="CT211" i="2"/>
  <c r="CT201" i="3" s="1"/>
  <c r="CT199" i="3" s="1"/>
  <c r="CZ355" i="2"/>
  <c r="BL29" i="2"/>
  <c r="BL9" i="2"/>
  <c r="BP2" i="4"/>
  <c r="BP419" i="4" s="1"/>
  <c r="BP372" i="2"/>
  <c r="BP177" i="2"/>
  <c r="BP493" i="2"/>
  <c r="BP347" i="2"/>
  <c r="BY29" i="2"/>
  <c r="BY9" i="2"/>
  <c r="CG2" i="3"/>
  <c r="CG228" i="2"/>
  <c r="CK29" i="2"/>
  <c r="CK9" i="2"/>
  <c r="CF41" i="2"/>
  <c r="CC247" i="2"/>
  <c r="CC633" i="2" s="1"/>
  <c r="DM206" i="2"/>
  <c r="DM466" i="2" s="1"/>
  <c r="CT9" i="2"/>
  <c r="CT235" i="2"/>
  <c r="CT244" i="2" s="1"/>
  <c r="CT248" i="2"/>
  <c r="CZ359" i="2"/>
  <c r="DA361" i="2" s="1"/>
  <c r="ED358" i="2"/>
  <c r="DA228" i="2"/>
  <c r="CT148" i="2"/>
  <c r="AB26" i="3"/>
  <c r="BX48" i="3"/>
  <c r="BX57" i="2"/>
  <c r="BK63" i="2"/>
  <c r="BK461" i="2" s="1"/>
  <c r="BL461" i="2"/>
  <c r="AH462" i="2"/>
  <c r="AH62" i="2"/>
  <c r="AH27" i="3" s="1"/>
  <c r="AH28" i="3" s="1"/>
  <c r="AN62" i="2"/>
  <c r="AN462" i="2"/>
  <c r="AM64" i="2"/>
  <c r="AM462" i="2" s="1"/>
  <c r="AT462" i="2"/>
  <c r="AT62" i="2"/>
  <c r="BN266" i="2"/>
  <c r="BN614" i="2" s="1"/>
  <c r="CT257" i="2"/>
  <c r="CT250" i="2"/>
  <c r="CT511" i="2" s="1"/>
  <c r="CT254" i="2"/>
  <c r="CZ358" i="2"/>
  <c r="AB180" i="2"/>
  <c r="AB184" i="2" s="1"/>
  <c r="AB187" i="2" s="1"/>
  <c r="CT228" i="2"/>
  <c r="CT372" i="2"/>
  <c r="BK70" i="2"/>
  <c r="BK460" i="2" s="1"/>
  <c r="X74" i="2"/>
  <c r="BA10" i="2"/>
  <c r="EE63" i="2"/>
  <c r="EQ63" i="2"/>
  <c r="EB67" i="2"/>
  <c r="EN67" i="2"/>
  <c r="O85" i="2"/>
  <c r="BT144" i="2"/>
  <c r="DR193" i="2"/>
  <c r="EO40" i="2"/>
  <c r="EL206" i="2"/>
  <c r="L219" i="2"/>
  <c r="AJ219" i="2"/>
  <c r="AV219" i="2"/>
  <c r="BH219" i="2"/>
  <c r="BN219" i="2"/>
  <c r="E244" i="2"/>
  <c r="U22" i="3"/>
  <c r="R38" i="3"/>
  <c r="O69" i="3"/>
  <c r="AH75" i="3"/>
  <c r="AV127" i="3"/>
  <c r="AF196" i="3"/>
  <c r="BC196" i="3"/>
  <c r="AG196" i="3"/>
  <c r="N199" i="3"/>
  <c r="T199" i="3"/>
  <c r="BK9" i="2"/>
  <c r="CQ9" i="2"/>
  <c r="E115" i="2"/>
  <c r="E139" i="2" s="1"/>
  <c r="E143" i="2" s="1"/>
  <c r="E146" i="2" s="1"/>
  <c r="F142" i="2" s="1"/>
  <c r="W462" i="2"/>
  <c r="G42" i="2"/>
  <c r="BT151" i="3"/>
  <c r="M115" i="2"/>
  <c r="M139" i="2" s="1"/>
  <c r="R84" i="2"/>
  <c r="R10" i="2" s="1"/>
  <c r="AG116" i="2"/>
  <c r="AS116" i="2"/>
  <c r="BE116" i="2"/>
  <c r="CI116" i="2"/>
  <c r="CU116" i="2"/>
  <c r="U117" i="2"/>
  <c r="BK117" i="2"/>
  <c r="BW117" i="2"/>
  <c r="DM117" i="2"/>
  <c r="DY117" i="2"/>
  <c r="O144" i="2"/>
  <c r="U144" i="2"/>
  <c r="AM144" i="2"/>
  <c r="BQ144" i="2"/>
  <c r="X189" i="2"/>
  <c r="CL190" i="2"/>
  <c r="DC258" i="2"/>
  <c r="BZ374" i="2"/>
  <c r="BZ396" i="2" s="1"/>
  <c r="BZ398" i="2" s="1"/>
  <c r="AO577" i="2"/>
  <c r="AO607" i="2" s="1"/>
  <c r="AU577" i="2"/>
  <c r="AU607" i="2" s="1"/>
  <c r="L75" i="3"/>
  <c r="R196" i="3"/>
  <c r="AM31" i="2"/>
  <c r="J42" i="2"/>
  <c r="BM39" i="2"/>
  <c r="BN39" i="2" s="1"/>
  <c r="DI64" i="2"/>
  <c r="DI462" i="2" s="1"/>
  <c r="AP81" i="2"/>
  <c r="AP147" i="3" s="1"/>
  <c r="BB81" i="2"/>
  <c r="BB147" i="3" s="1"/>
  <c r="CL81" i="2"/>
  <c r="CL147" i="3" s="1"/>
  <c r="H90" i="2"/>
  <c r="BZ117" i="2"/>
  <c r="R144" i="2"/>
  <c r="AD144" i="2"/>
  <c r="AP144" i="2"/>
  <c r="BK189" i="2"/>
  <c r="BY577" i="2"/>
  <c r="BY607" i="2" s="1"/>
  <c r="CE577" i="2"/>
  <c r="CE607" i="2" s="1"/>
  <c r="CQ577" i="2"/>
  <c r="CQ607" i="2" s="1"/>
  <c r="CW577" i="2"/>
  <c r="CW607" i="2" s="1"/>
  <c r="DI577" i="2"/>
  <c r="DI607" i="2" s="1"/>
  <c r="DO577" i="2"/>
  <c r="DO607" i="2" s="1"/>
  <c r="H44" i="3"/>
  <c r="S44" i="3"/>
  <c r="AF44" i="3"/>
  <c r="AC199" i="3"/>
  <c r="AI199" i="3"/>
  <c r="AK24" i="3"/>
  <c r="AK34" i="2"/>
  <c r="AK42" i="2" s="1"/>
  <c r="BA620" i="2"/>
  <c r="BA42" i="2"/>
  <c r="BA475" i="2" s="1"/>
  <c r="DQ9" i="2"/>
  <c r="DQ453" i="2"/>
  <c r="DQ347" i="2"/>
  <c r="DQ177" i="2"/>
  <c r="DQ568" i="2"/>
  <c r="DQ228" i="2"/>
  <c r="DQ2" i="3"/>
  <c r="DQ372" i="2"/>
  <c r="DQ148" i="2"/>
  <c r="Y66" i="3"/>
  <c r="DA2" i="3"/>
  <c r="DA568" i="2"/>
  <c r="DA372" i="2"/>
  <c r="DA453" i="2"/>
  <c r="DA148" i="2"/>
  <c r="DA2" i="4"/>
  <c r="DA419" i="4" s="1"/>
  <c r="DA177" i="2"/>
  <c r="BS9" i="2"/>
  <c r="BB35" i="2"/>
  <c r="K462" i="2"/>
  <c r="BK32" i="2"/>
  <c r="AN35" i="2"/>
  <c r="AM35" i="2" s="1"/>
  <c r="BZ41" i="2"/>
  <c r="AM57" i="2"/>
  <c r="AM26" i="3" s="1"/>
  <c r="CL58" i="2"/>
  <c r="EH63" i="2"/>
  <c r="EN63" i="2"/>
  <c r="BE65" i="2"/>
  <c r="CJ64" i="2"/>
  <c r="CP64" i="2"/>
  <c r="CP62" i="2" s="1"/>
  <c r="DC64" i="2"/>
  <c r="DC462" i="2" s="1"/>
  <c r="CA64" i="2"/>
  <c r="CA462" i="2" s="1"/>
  <c r="R116" i="2"/>
  <c r="BH116" i="2"/>
  <c r="BN116" i="2"/>
  <c r="CF116" i="2"/>
  <c r="BQ189" i="2"/>
  <c r="L193" i="2"/>
  <c r="R193" i="2"/>
  <c r="X193" i="2"/>
  <c r="AP193" i="2"/>
  <c r="CK193" i="2"/>
  <c r="EM206" i="2"/>
  <c r="CW283" i="2"/>
  <c r="AR320" i="2"/>
  <c r="AX577" i="2"/>
  <c r="AX607" i="2" s="1"/>
  <c r="CH577" i="2"/>
  <c r="CH607" i="2" s="1"/>
  <c r="AP75" i="3"/>
  <c r="I96" i="3"/>
  <c r="AG96" i="3"/>
  <c r="AX107" i="3"/>
  <c r="AA160" i="3"/>
  <c r="AP196" i="3"/>
  <c r="K206" i="3"/>
  <c r="CI9" i="2"/>
  <c r="K42" i="2"/>
  <c r="BQ36" i="2"/>
  <c r="DG36" i="2"/>
  <c r="AO28" i="3"/>
  <c r="BB57" i="2"/>
  <c r="BB26" i="3" s="1"/>
  <c r="E28" i="3"/>
  <c r="BJ73" i="2"/>
  <c r="CC144" i="2"/>
  <c r="AI205" i="2"/>
  <c r="AI214" i="2" s="1"/>
  <c r="AI213" i="2" s="1"/>
  <c r="EQ201" i="2"/>
  <c r="EQ191" i="3" s="1"/>
  <c r="BE204" i="2"/>
  <c r="S222" i="2"/>
  <c r="AE222" i="2"/>
  <c r="BC222" i="2"/>
  <c r="BE220" i="2"/>
  <c r="AC244" i="2"/>
  <c r="CJ244" i="2"/>
  <c r="CJ629" i="2" s="1"/>
  <c r="AL263" i="2"/>
  <c r="AR263" i="2"/>
  <c r="AQ166" i="2"/>
  <c r="BA304" i="2"/>
  <c r="CN577" i="2"/>
  <c r="CN607" i="2" s="1"/>
  <c r="AM22" i="3"/>
  <c r="AV110" i="3"/>
  <c r="DH206" i="2"/>
  <c r="Y36" i="9" s="1"/>
  <c r="CQ206" i="2"/>
  <c r="T36" i="9" s="1"/>
  <c r="DN193" i="2"/>
  <c r="DB189" i="2"/>
  <c r="U38" i="9"/>
  <c r="DI84" i="2"/>
  <c r="DI115" i="2" s="1"/>
  <c r="V15" i="9" s="1"/>
  <c r="BH35" i="2"/>
  <c r="EB66" i="2"/>
  <c r="EQ67" i="2"/>
  <c r="CU151" i="3"/>
  <c r="AX155" i="2"/>
  <c r="L85" i="2"/>
  <c r="X85" i="2"/>
  <c r="AY181" i="2"/>
  <c r="EE194" i="2"/>
  <c r="EE183" i="3" s="1"/>
  <c r="EH197" i="2"/>
  <c r="EH186" i="3" s="1"/>
  <c r="CI203" i="2"/>
  <c r="CI193" i="3" s="1"/>
  <c r="BQ219" i="2"/>
  <c r="CI219" i="2"/>
  <c r="CU219" i="2"/>
  <c r="DM219" i="2"/>
  <c r="K263" i="2"/>
  <c r="E74" i="4"/>
  <c r="O38" i="3"/>
  <c r="AM60" i="3"/>
  <c r="F69" i="3"/>
  <c r="AV69" i="3"/>
  <c r="H196" i="3"/>
  <c r="BC222" i="3"/>
  <c r="CY283" i="2"/>
  <c r="CX283" i="2" s="1"/>
  <c r="DK258" i="2"/>
  <c r="DJ258" i="2" s="1"/>
  <c r="DK297" i="2"/>
  <c r="BE120" i="3"/>
  <c r="BE119" i="3" s="1"/>
  <c r="I33" i="2"/>
  <c r="AV29" i="2"/>
  <c r="AV2" i="3"/>
  <c r="AV372" i="2"/>
  <c r="AV228" i="2"/>
  <c r="AV2" i="4"/>
  <c r="AV14" i="4" s="1"/>
  <c r="AV347" i="2"/>
  <c r="AV453" i="2"/>
  <c r="AV177" i="2"/>
  <c r="CB461" i="2"/>
  <c r="CC63" i="2"/>
  <c r="CC461" i="2" s="1"/>
  <c r="H462" i="2"/>
  <c r="H62" i="2"/>
  <c r="H27" i="3" s="1"/>
  <c r="O64" i="2"/>
  <c r="O462" i="2" s="1"/>
  <c r="N462" i="2"/>
  <c r="T462" i="2"/>
  <c r="T62" i="2"/>
  <c r="T27" i="3" s="1"/>
  <c r="T28" i="3" s="1"/>
  <c r="AQ462" i="2"/>
  <c r="AQ62" i="2"/>
  <c r="BA462" i="2"/>
  <c r="BA464" i="2" s="1"/>
  <c r="BB64" i="2"/>
  <c r="BB462" i="2" s="1"/>
  <c r="BB464" i="2" s="1"/>
  <c r="BU64" i="2"/>
  <c r="BT66" i="2"/>
  <c r="CR66" i="2"/>
  <c r="CQ64" i="2"/>
  <c r="CU566" i="2"/>
  <c r="BB85" i="2"/>
  <c r="BI9" i="2"/>
  <c r="AO29" i="2"/>
  <c r="AO493" i="2"/>
  <c r="AO326" i="2"/>
  <c r="AO2" i="3"/>
  <c r="AO309" i="3" s="1"/>
  <c r="AO453" i="2"/>
  <c r="AO177" i="2"/>
  <c r="AO2" i="4"/>
  <c r="AO74" i="4" s="1"/>
  <c r="AO347" i="2"/>
  <c r="AO148" i="2"/>
  <c r="AS493" i="2"/>
  <c r="AS347" i="2"/>
  <c r="AS177" i="2"/>
  <c r="AS453" i="2"/>
  <c r="AS326" i="2"/>
  <c r="AS228" i="2"/>
  <c r="AS2" i="3"/>
  <c r="AS2" i="4"/>
  <c r="AS14" i="4" s="1"/>
  <c r="AS372" i="2"/>
  <c r="BO2" i="3"/>
  <c r="BU309" i="3" s="1"/>
  <c r="BO568" i="2"/>
  <c r="BO228" i="2"/>
  <c r="BO2" i="4"/>
  <c r="BO507" i="4" s="1"/>
  <c r="BO372" i="2"/>
  <c r="BO148" i="2"/>
  <c r="BO29" i="2"/>
  <c r="BO453" i="2"/>
  <c r="BO326" i="2"/>
  <c r="BO9" i="2"/>
  <c r="BV453" i="2"/>
  <c r="BV9" i="2"/>
  <c r="BV347" i="2"/>
  <c r="BV493" i="2"/>
  <c r="BV177" i="2"/>
  <c r="BV29" i="2"/>
  <c r="Y26" i="3"/>
  <c r="X57" i="2"/>
  <c r="AI26" i="3"/>
  <c r="AI28" i="3" s="1"/>
  <c r="AJ57" i="2"/>
  <c r="AJ26" i="3" s="1"/>
  <c r="AU26" i="3"/>
  <c r="AV57" i="2"/>
  <c r="AV26" i="3" s="1"/>
  <c r="BI493" i="2"/>
  <c r="BI347" i="2"/>
  <c r="BI29" i="2"/>
  <c r="BI453" i="2"/>
  <c r="BI326" i="2"/>
  <c r="BI177" i="2"/>
  <c r="BI2" i="4"/>
  <c r="BI117" i="4" s="1"/>
  <c r="BI372" i="2"/>
  <c r="BI148" i="2"/>
  <c r="BI618" i="2"/>
  <c r="BH80" i="2"/>
  <c r="BI81" i="2"/>
  <c r="CF80" i="2"/>
  <c r="CE618" i="2"/>
  <c r="CE463" i="2"/>
  <c r="BE513" i="2"/>
  <c r="BI2" i="3"/>
  <c r="AY29" i="2"/>
  <c r="AY453" i="2"/>
  <c r="AY326" i="2"/>
  <c r="AY228" i="2"/>
  <c r="AY2" i="4"/>
  <c r="AY74" i="4" s="1"/>
  <c r="AY148" i="2"/>
  <c r="AY493" i="2"/>
  <c r="AY347" i="2"/>
  <c r="AY177" i="2"/>
  <c r="BC2" i="4"/>
  <c r="BC95" i="4" s="1"/>
  <c r="BC326" i="2"/>
  <c r="BC2" i="3"/>
  <c r="BC568" i="2"/>
  <c r="BC228" i="2"/>
  <c r="BC9" i="2"/>
  <c r="BC453" i="2"/>
  <c r="BC347" i="2"/>
  <c r="BC29" i="2"/>
  <c r="CX4" i="2"/>
  <c r="CW359" i="2"/>
  <c r="CW355" i="2"/>
  <c r="CY355" i="2" s="1"/>
  <c r="CW358" i="2"/>
  <c r="DC355" i="2"/>
  <c r="DC359" i="2"/>
  <c r="DC233" i="3" s="1"/>
  <c r="DC358" i="2"/>
  <c r="EN4" i="2"/>
  <c r="EN372" i="2" s="1"/>
  <c r="EM358" i="2"/>
  <c r="AO74" i="2"/>
  <c r="AO35" i="2"/>
  <c r="AO41" i="2" s="1"/>
  <c r="AO24" i="3" s="1"/>
  <c r="AO109" i="3"/>
  <c r="AO107" i="3" s="1"/>
  <c r="AO110" i="3"/>
  <c r="AP110" i="3" s="1"/>
  <c r="BT505" i="2"/>
  <c r="BT109" i="3"/>
  <c r="BZ81" i="2"/>
  <c r="BZ147" i="3" s="1"/>
  <c r="BZ151" i="3"/>
  <c r="Y205" i="2"/>
  <c r="Y214" i="2" s="1"/>
  <c r="AD219" i="2"/>
  <c r="BT226" i="2"/>
  <c r="AZ462" i="2"/>
  <c r="AZ464" i="2" s="1"/>
  <c r="AZ62" i="2"/>
  <c r="L84" i="2"/>
  <c r="L10" i="2" s="1"/>
  <c r="M10" i="2"/>
  <c r="BW235" i="2"/>
  <c r="BW641" i="2" s="1"/>
  <c r="R219" i="2"/>
  <c r="S10" i="2"/>
  <c r="BW58" i="2"/>
  <c r="AQ74" i="2"/>
  <c r="AQ619" i="2" s="1"/>
  <c r="AP75" i="2"/>
  <c r="AP109" i="3" s="1"/>
  <c r="AP107" i="3" s="1"/>
  <c r="AQ35" i="2"/>
  <c r="AY189" i="3"/>
  <c r="S90" i="2"/>
  <c r="S5" i="3" s="1"/>
  <c r="S11" i="3" s="1"/>
  <c r="BV224" i="2"/>
  <c r="BV226" i="2" s="1"/>
  <c r="BW224" i="2" s="1"/>
  <c r="AB42" i="2"/>
  <c r="BW67" i="2"/>
  <c r="CE189" i="2"/>
  <c r="DJ208" i="2"/>
  <c r="DJ198" i="3" s="1"/>
  <c r="DJ196" i="3" s="1"/>
  <c r="DI206" i="2"/>
  <c r="L255" i="2"/>
  <c r="M252" i="2"/>
  <c r="AO10" i="2"/>
  <c r="BB33" i="2"/>
  <c r="I34" i="2"/>
  <c r="BE35" i="2"/>
  <c r="BT35" i="2"/>
  <c r="DD37" i="2"/>
  <c r="DP37" i="2"/>
  <c r="BW41" i="2"/>
  <c r="BW63" i="2"/>
  <c r="BW461" i="2" s="1"/>
  <c r="EE66" i="2"/>
  <c r="EK66" i="2"/>
  <c r="AA74" i="2"/>
  <c r="BK463" i="2"/>
  <c r="X93" i="2"/>
  <c r="AJ93" i="2"/>
  <c r="BB93" i="2"/>
  <c r="BN93" i="2"/>
  <c r="BT93" i="2"/>
  <c r="DG144" i="2"/>
  <c r="BZ181" i="2"/>
  <c r="AL205" i="2"/>
  <c r="AL214" i="2" s="1"/>
  <c r="AL213" i="2" s="1"/>
  <c r="CE40" i="2"/>
  <c r="CE34" i="2" s="1"/>
  <c r="AS199" i="2"/>
  <c r="AY199" i="2"/>
  <c r="AV221" i="2"/>
  <c r="BJ241" i="2"/>
  <c r="BJ208" i="3" s="1"/>
  <c r="BJ206" i="3" s="1"/>
  <c r="CK258" i="2"/>
  <c r="DL258" i="2"/>
  <c r="BN36" i="2"/>
  <c r="CO36" i="2"/>
  <c r="CR37" i="2"/>
  <c r="BN41" i="2"/>
  <c r="BT41" i="2"/>
  <c r="CL151" i="3"/>
  <c r="BX64" i="2"/>
  <c r="BX462" i="2" s="1"/>
  <c r="AV81" i="2"/>
  <c r="AV147" i="3" s="1"/>
  <c r="AJ81" i="2"/>
  <c r="AJ147" i="3" s="1"/>
  <c r="BD84" i="2"/>
  <c r="BV84" i="2"/>
  <c r="BV10" i="2" s="1"/>
  <c r="BV11" i="2" s="1"/>
  <c r="EH82" i="2"/>
  <c r="BY144" i="2"/>
  <c r="BZ144" i="2" s="1"/>
  <c r="DA144" i="2"/>
  <c r="AZ166" i="2"/>
  <c r="EH195" i="2"/>
  <c r="EH184" i="3" s="1"/>
  <c r="EE197" i="2"/>
  <c r="EE186" i="3" s="1"/>
  <c r="EK197" i="2"/>
  <c r="EK186" i="3" s="1"/>
  <c r="F199" i="2"/>
  <c r="DC206" i="2"/>
  <c r="V222" i="2"/>
  <c r="AG220" i="2"/>
  <c r="Z244" i="2"/>
  <c r="BG185" i="2"/>
  <c r="W244" i="2"/>
  <c r="AU263" i="2"/>
  <c r="BP255" i="2"/>
  <c r="BP252" i="2" s="1"/>
  <c r="BD258" i="2"/>
  <c r="BD263" i="2" s="1"/>
  <c r="CB258" i="2"/>
  <c r="CZ577" i="2"/>
  <c r="CZ607" i="2" s="1"/>
  <c r="DR577" i="2"/>
  <c r="DR607" i="2" s="1"/>
  <c r="DX577" i="2"/>
  <c r="DX607" i="2" s="1"/>
  <c r="EP577" i="2"/>
  <c r="EP607" i="2" s="1"/>
  <c r="AD24" i="3"/>
  <c r="L92" i="2"/>
  <c r="Q115" i="2"/>
  <c r="Q139" i="2" s="1"/>
  <c r="W115" i="2"/>
  <c r="W139" i="2" s="1"/>
  <c r="AC115" i="2"/>
  <c r="AC139" i="2" s="1"/>
  <c r="AJ92" i="2"/>
  <c r="AP92" i="2"/>
  <c r="AU115" i="2"/>
  <c r="BA115" i="2"/>
  <c r="BA13" i="2" s="1"/>
  <c r="CI92" i="2"/>
  <c r="AX186" i="2"/>
  <c r="BT195" i="2"/>
  <c r="BT184" i="3" s="1"/>
  <c r="U196" i="2"/>
  <c r="CJ196" i="2"/>
  <c r="BQ208" i="2"/>
  <c r="BQ198" i="3" s="1"/>
  <c r="R220" i="2"/>
  <c r="X220" i="2"/>
  <c r="BH220" i="2"/>
  <c r="CE244" i="2"/>
  <c r="CE629" i="2" s="1"/>
  <c r="BS241" i="2"/>
  <c r="CN552" i="2"/>
  <c r="CN553" i="2"/>
  <c r="BR233" i="3"/>
  <c r="CO400" i="2"/>
  <c r="CO20" i="2" s="1"/>
  <c r="K44" i="3"/>
  <c r="W44" i="3"/>
  <c r="AA44" i="3"/>
  <c r="AU44" i="3"/>
  <c r="BA44" i="3"/>
  <c r="BA45" i="3" s="1"/>
  <c r="BS44" i="3"/>
  <c r="BY44" i="3"/>
  <c r="CQ44" i="3"/>
  <c r="CW44" i="3"/>
  <c r="DC44" i="3"/>
  <c r="DK44" i="3"/>
  <c r="DQ44" i="3"/>
  <c r="AB75" i="3"/>
  <c r="AD75" i="3"/>
  <c r="BB96" i="3"/>
  <c r="Z107" i="3"/>
  <c r="AS127" i="3"/>
  <c r="AE196" i="3"/>
  <c r="AK196" i="3"/>
  <c r="L196" i="3"/>
  <c r="O206" i="3"/>
  <c r="AL215" i="3"/>
  <c r="AR215" i="3"/>
  <c r="DB283" i="2"/>
  <c r="DA283" i="2" s="1"/>
  <c r="W34" i="9"/>
  <c r="DF80" i="2"/>
  <c r="DF84" i="2" s="1"/>
  <c r="DF115" i="2" s="1"/>
  <c r="I24" i="3"/>
  <c r="AG69" i="3"/>
  <c r="AC107" i="3"/>
  <c r="O159" i="3"/>
  <c r="AY159" i="3"/>
  <c r="AD206" i="3"/>
  <c r="N215" i="3"/>
  <c r="DN84" i="2"/>
  <c r="DI108" i="3"/>
  <c r="DI110" i="3" s="1"/>
  <c r="AW577" i="2"/>
  <c r="AW607" i="2" s="1"/>
  <c r="DF577" i="2"/>
  <c r="DF607" i="2" s="1"/>
  <c r="L23" i="3"/>
  <c r="R23" i="3"/>
  <c r="AD23" i="3"/>
  <c r="AJ23" i="3"/>
  <c r="AP23" i="3"/>
  <c r="AV23" i="3"/>
  <c r="AJ38" i="3"/>
  <c r="BB60" i="3"/>
  <c r="AT75" i="3"/>
  <c r="AM87" i="3"/>
  <c r="T107" i="3"/>
  <c r="R159" i="3"/>
  <c r="Y189" i="3"/>
  <c r="AC189" i="3"/>
  <c r="AR196" i="3"/>
  <c r="AJ199" i="3"/>
  <c r="H211" i="3"/>
  <c r="DH297" i="2"/>
  <c r="CQ258" i="2"/>
  <c r="DQ84" i="2"/>
  <c r="DE57" i="2"/>
  <c r="M189" i="3"/>
  <c r="AI189" i="3"/>
  <c r="AQ189" i="3"/>
  <c r="DN255" i="2"/>
  <c r="DN252" i="2" s="1"/>
  <c r="DM252" i="2" s="1"/>
  <c r="DS303" i="2"/>
  <c r="DS219" i="3" s="1"/>
  <c r="E68" i="2"/>
  <c r="E4" i="3"/>
  <c r="E10" i="3" s="1"/>
  <c r="E180" i="2"/>
  <c r="BR48" i="3"/>
  <c r="BU48" i="3" s="1"/>
  <c r="DM110" i="3"/>
  <c r="DM17" i="3" s="1"/>
  <c r="DM107" i="3"/>
  <c r="AK331" i="2"/>
  <c r="AK4" i="3"/>
  <c r="AK10" i="3" s="1"/>
  <c r="AK73" i="2"/>
  <c r="AK180" i="2"/>
  <c r="AK184" i="2" s="1"/>
  <c r="AK187" i="2" s="1"/>
  <c r="AK68" i="2"/>
  <c r="AK161" i="2"/>
  <c r="BP78" i="2"/>
  <c r="BR78" i="2" s="1"/>
  <c r="BN78" i="2"/>
  <c r="AL68" i="2"/>
  <c r="AL69" i="2" s="1"/>
  <c r="AL4" i="3"/>
  <c r="AL10" i="3" s="1"/>
  <c r="AL73" i="2"/>
  <c r="AL331" i="2"/>
  <c r="AL180" i="2"/>
  <c r="AL184" i="2" s="1"/>
  <c r="AL161" i="2"/>
  <c r="EO177" i="2"/>
  <c r="EO347" i="2"/>
  <c r="EO228" i="2"/>
  <c r="EO29" i="2"/>
  <c r="EO2" i="3"/>
  <c r="EO309" i="3" s="1"/>
  <c r="EO568" i="2"/>
  <c r="EO9" i="2"/>
  <c r="N4" i="3"/>
  <c r="N10" i="3" s="1"/>
  <c r="N180" i="2"/>
  <c r="N184" i="2" s="1"/>
  <c r="BK220" i="2"/>
  <c r="BH258" i="2"/>
  <c r="V180" i="2"/>
  <c r="V184" i="2" s="1"/>
  <c r="V187" i="2" s="1"/>
  <c r="BH150" i="2"/>
  <c r="AY31" i="2"/>
  <c r="L35" i="2"/>
  <c r="AI35" i="2"/>
  <c r="BK36" i="2"/>
  <c r="CU36" i="2"/>
  <c r="DM36" i="2"/>
  <c r="DS36" i="2"/>
  <c r="EE36" i="2"/>
  <c r="CU37" i="2"/>
  <c r="DA37" i="2"/>
  <c r="DY37" i="2"/>
  <c r="EK37" i="2"/>
  <c r="BN38" i="2"/>
  <c r="CI38" i="2"/>
  <c r="CO38" i="2"/>
  <c r="DA38" i="2"/>
  <c r="CF39" i="2"/>
  <c r="CL41" i="2"/>
  <c r="CR41" i="2"/>
  <c r="DD41" i="2"/>
  <c r="EB41" i="2"/>
  <c r="AN26" i="3"/>
  <c r="EB58" i="2"/>
  <c r="EH58" i="2"/>
  <c r="AU62" i="2"/>
  <c r="AZ205" i="2"/>
  <c r="AZ214" i="2" s="1"/>
  <c r="AZ213" i="2" s="1"/>
  <c r="DL196" i="2"/>
  <c r="AM334" i="2"/>
  <c r="AM170" i="3" s="1"/>
  <c r="AM166" i="3" s="1"/>
  <c r="BN248" i="2"/>
  <c r="BO247" i="2"/>
  <c r="BA9" i="2"/>
  <c r="AO9" i="2"/>
  <c r="AY9" i="2"/>
  <c r="Q42" i="2"/>
  <c r="N42" i="2"/>
  <c r="AC62" i="2"/>
  <c r="X84" i="2"/>
  <c r="X10" i="2" s="1"/>
  <c r="BB199" i="3"/>
  <c r="BI222" i="2"/>
  <c r="DJ110" i="3"/>
  <c r="DJ17" i="3" s="1"/>
  <c r="AV33" i="2"/>
  <c r="AV35" i="2"/>
  <c r="BK35" i="2"/>
  <c r="BE36" i="2"/>
  <c r="BH36" i="2"/>
  <c r="EN36" i="2"/>
  <c r="DG37" i="2"/>
  <c r="BQ38" i="2"/>
  <c r="DS38" i="2"/>
  <c r="EK38" i="2"/>
  <c r="DG41" i="2"/>
  <c r="DS41" i="2"/>
  <c r="CM84" i="2"/>
  <c r="CM10" i="2" s="1"/>
  <c r="CO190" i="2"/>
  <c r="CP189" i="2"/>
  <c r="AK205" i="2"/>
  <c r="L34" i="2"/>
  <c r="BP84" i="2"/>
  <c r="EH83" i="2"/>
  <c r="AF90" i="2"/>
  <c r="AF5" i="3" s="1"/>
  <c r="AF11" i="3" s="1"/>
  <c r="I116" i="2"/>
  <c r="O116" i="2"/>
  <c r="DJ116" i="2"/>
  <c r="EB116" i="2"/>
  <c r="X117" i="2"/>
  <c r="AD117" i="2"/>
  <c r="EB117" i="2"/>
  <c r="EN117" i="2"/>
  <c r="BI166" i="2"/>
  <c r="AM181" i="2"/>
  <c r="BB181" i="2"/>
  <c r="AG196" i="2"/>
  <c r="AS196" i="2"/>
  <c r="K205" i="2"/>
  <c r="BZ203" i="2"/>
  <c r="BZ193" i="3" s="1"/>
  <c r="CF203" i="2"/>
  <c r="CF193" i="3" s="1"/>
  <c r="EE203" i="2"/>
  <c r="EE193" i="3" s="1"/>
  <c r="EQ203" i="2"/>
  <c r="EQ193" i="3" s="1"/>
  <c r="CS206" i="2"/>
  <c r="BZ219" i="2"/>
  <c r="CL219" i="2"/>
  <c r="CR219" i="2"/>
  <c r="CX219" i="2"/>
  <c r="AD220" i="2"/>
  <c r="BV641" i="2"/>
  <c r="CN244" i="2"/>
  <c r="CN629" i="2" s="1"/>
  <c r="H263" i="2"/>
  <c r="CT258" i="2"/>
  <c r="BV283" i="2"/>
  <c r="DO283" i="2"/>
  <c r="Z304" i="2"/>
  <c r="AW355" i="2"/>
  <c r="BD577" i="2"/>
  <c r="BD607" i="2" s="1"/>
  <c r="EJ577" i="2"/>
  <c r="EJ607" i="2" s="1"/>
  <c r="U23" i="3"/>
  <c r="AJ44" i="3"/>
  <c r="BH44" i="3"/>
  <c r="CF44" i="3"/>
  <c r="CL44" i="3"/>
  <c r="F144" i="2"/>
  <c r="X144" i="2"/>
  <c r="BB144" i="2"/>
  <c r="BW144" i="2"/>
  <c r="BQ181" i="2"/>
  <c r="BW181" i="2"/>
  <c r="AS193" i="2"/>
  <c r="AY193" i="2"/>
  <c r="O196" i="2"/>
  <c r="BN198" i="2"/>
  <c r="BN187" i="3" s="1"/>
  <c r="AP199" i="2"/>
  <c r="BB199" i="2"/>
  <c r="DF206" i="2"/>
  <c r="EC206" i="2"/>
  <c r="EI206" i="2"/>
  <c r="EO206" i="2"/>
  <c r="EA206" i="2"/>
  <c r="Q244" i="2"/>
  <c r="H304" i="2"/>
  <c r="AN577" i="2"/>
  <c r="AN607" i="2" s="1"/>
  <c r="BO577" i="2"/>
  <c r="BO607" i="2" s="1"/>
  <c r="BG577" i="2"/>
  <c r="BG607" i="2" s="1"/>
  <c r="DY577" i="2"/>
  <c r="DY607" i="2" s="1"/>
  <c r="EQ577" i="2"/>
  <c r="EQ607" i="2" s="1"/>
  <c r="AD22" i="3"/>
  <c r="AV22" i="3"/>
  <c r="AS23" i="3"/>
  <c r="R24" i="3"/>
  <c r="CF83" i="2"/>
  <c r="AA92" i="2"/>
  <c r="AG92" i="2"/>
  <c r="AY92" i="2"/>
  <c r="BW93" i="2"/>
  <c r="AJ116" i="2"/>
  <c r="DS116" i="2"/>
  <c r="EE116" i="2"/>
  <c r="EK116" i="2"/>
  <c r="AG117" i="2"/>
  <c r="DA117" i="2"/>
  <c r="EK117" i="2"/>
  <c r="AA144" i="2"/>
  <c r="AY144" i="2"/>
  <c r="AH205" i="2"/>
  <c r="AH214" i="2" s="1"/>
  <c r="AH213" i="2" s="1"/>
  <c r="AT205" i="2"/>
  <c r="AT214" i="2" s="1"/>
  <c r="AT213" i="2" s="1"/>
  <c r="W205" i="2"/>
  <c r="W214" i="2" s="1"/>
  <c r="W213" i="2" s="1"/>
  <c r="U199" i="2"/>
  <c r="AM199" i="2"/>
  <c r="BH199" i="3"/>
  <c r="CH283" i="2"/>
  <c r="CH349" i="2"/>
  <c r="AY413" i="2"/>
  <c r="CA533" i="2"/>
  <c r="CA541" i="2" s="1"/>
  <c r="BD552" i="2"/>
  <c r="DQ577" i="2"/>
  <c r="DQ607" i="2" s="1"/>
  <c r="EA577" i="2"/>
  <c r="EA607" i="2" s="1"/>
  <c r="O107" i="3"/>
  <c r="F40" i="9"/>
  <c r="F51" i="9" s="1"/>
  <c r="F22" i="9"/>
  <c r="V22" i="9"/>
  <c r="V43" i="9" s="1"/>
  <c r="AP60" i="3"/>
  <c r="AJ69" i="3"/>
  <c r="AM78" i="3"/>
  <c r="S189" i="3"/>
  <c r="AE189" i="3"/>
  <c r="N189" i="3"/>
  <c r="G196" i="3"/>
  <c r="W196" i="3"/>
  <c r="AQ196" i="3"/>
  <c r="E199" i="3"/>
  <c r="H199" i="3"/>
  <c r="Z199" i="3"/>
  <c r="W211" i="3"/>
  <c r="AT211" i="3"/>
  <c r="AL211" i="3"/>
  <c r="AF215" i="3"/>
  <c r="AU215" i="3"/>
  <c r="K40" i="9"/>
  <c r="K51" i="9" s="1"/>
  <c r="K22" i="9"/>
  <c r="AA22" i="9"/>
  <c r="AA43" i="9" s="1"/>
  <c r="F96" i="3"/>
  <c r="BG107" i="3"/>
  <c r="AK107" i="3"/>
  <c r="BJ107" i="3"/>
  <c r="AL189" i="3"/>
  <c r="AO189" i="3"/>
  <c r="AJ189" i="3"/>
  <c r="AU196" i="3"/>
  <c r="F196" i="3"/>
  <c r="AC196" i="3"/>
  <c r="AI196" i="3"/>
  <c r="BA196" i="3"/>
  <c r="F199" i="3"/>
  <c r="R199" i="3"/>
  <c r="AX199" i="3"/>
  <c r="T206" i="3"/>
  <c r="Z206" i="3"/>
  <c r="AF206" i="3"/>
  <c r="Q206" i="3"/>
  <c r="AC206" i="3"/>
  <c r="AC211" i="3"/>
  <c r="AO211" i="3"/>
  <c r="Q211" i="3"/>
  <c r="L38" i="3"/>
  <c r="AQ44" i="3"/>
  <c r="CS44" i="3"/>
  <c r="P75" i="3"/>
  <c r="AV75" i="3"/>
  <c r="R78" i="3"/>
  <c r="AS160" i="3"/>
  <c r="T189" i="3"/>
  <c r="AX189" i="3"/>
  <c r="AX196" i="3"/>
  <c r="S196" i="3"/>
  <c r="Z196" i="3"/>
  <c r="AJ196" i="3"/>
  <c r="N211" i="3"/>
  <c r="AI215" i="3"/>
  <c r="J40" i="9"/>
  <c r="J51" i="9" s="1"/>
  <c r="J22" i="9"/>
  <c r="Z22" i="9"/>
  <c r="Z43" i="9" s="1"/>
  <c r="G40" i="9"/>
  <c r="G51" i="9" s="1"/>
  <c r="G22" i="9"/>
  <c r="W22" i="9"/>
  <c r="W43" i="9" s="1"/>
  <c r="DK283" i="2"/>
  <c r="DJ283" i="2" s="1"/>
  <c r="CQ297" i="2"/>
  <c r="CQ91" i="3" s="1"/>
  <c r="CV235" i="2"/>
  <c r="DE206" i="2"/>
  <c r="X34" i="9"/>
  <c r="Y44" i="9"/>
  <c r="DN258" i="2"/>
  <c r="DM258" i="2" s="1"/>
  <c r="DE283" i="2"/>
  <c r="DD283" i="2" s="1"/>
  <c r="CV295" i="2"/>
  <c r="CU295" i="2" s="1"/>
  <c r="DB258" i="2"/>
  <c r="DA258" i="2" s="1"/>
  <c r="DB206" i="2"/>
  <c r="W36" i="9" s="1"/>
  <c r="DB380" i="2"/>
  <c r="DP20" i="2"/>
  <c r="DQ37" i="4"/>
  <c r="BE563" i="2"/>
  <c r="BE564" i="2"/>
  <c r="BW540" i="2"/>
  <c r="BW533" i="2"/>
  <c r="BW541" i="2" s="1"/>
  <c r="CC563" i="2"/>
  <c r="CC564" i="2"/>
  <c r="CO553" i="2"/>
  <c r="CO552" i="2"/>
  <c r="BE553" i="2"/>
  <c r="BE552" i="2"/>
  <c r="AH441" i="2"/>
  <c r="AF411" i="2"/>
  <c r="AF410" i="2"/>
  <c r="AF409" i="2"/>
  <c r="AF397" i="2" s="1"/>
  <c r="CU423" i="2"/>
  <c r="E398" i="2"/>
  <c r="U320" i="2"/>
  <c r="V322" i="2"/>
  <c r="U322" i="2" s="1"/>
  <c r="CC320" i="2"/>
  <c r="CC625" i="2" s="1"/>
  <c r="CD625" i="2"/>
  <c r="CD627" i="2" s="1"/>
  <c r="DL625" i="2"/>
  <c r="AZ322" i="2"/>
  <c r="AZ625" i="2"/>
  <c r="AZ627" i="2" s="1"/>
  <c r="AY320" i="2"/>
  <c r="AY625" i="2" s="1"/>
  <c r="AY627" i="2" s="1"/>
  <c r="CO320" i="2"/>
  <c r="CO625" i="2" s="1"/>
  <c r="CO627" i="2" s="1"/>
  <c r="CP322" i="2"/>
  <c r="CP625" i="2"/>
  <c r="CP627" i="2" s="1"/>
  <c r="I320" i="2"/>
  <c r="J322" i="2"/>
  <c r="I322" i="2" s="1"/>
  <c r="DH625" i="2"/>
  <c r="DG320" i="2"/>
  <c r="DG625" i="2" s="1"/>
  <c r="T215" i="3"/>
  <c r="EI282" i="2"/>
  <c r="EL282" i="2" s="1"/>
  <c r="EB282" i="2"/>
  <c r="EE282" i="2"/>
  <c r="ED282" i="2"/>
  <c r="BR279" i="2"/>
  <c r="J75" i="3"/>
  <c r="X75" i="3"/>
  <c r="AG75" i="3"/>
  <c r="AM75" i="3"/>
  <c r="CX247" i="2"/>
  <c r="CX633" i="2" s="1"/>
  <c r="CE44" i="3"/>
  <c r="BG44" i="3"/>
  <c r="AI44" i="3"/>
  <c r="CX44" i="3"/>
  <c r="DR44" i="3"/>
  <c r="T44" i="3"/>
  <c r="AP44" i="3"/>
  <c r="BT44" i="3"/>
  <c r="CY633" i="2"/>
  <c r="DN44" i="3"/>
  <c r="V44" i="3"/>
  <c r="AV44" i="3"/>
  <c r="AQ263" i="2"/>
  <c r="AP263" i="2" s="1"/>
  <c r="X44" i="3"/>
  <c r="CR44" i="3"/>
  <c r="CU247" i="2"/>
  <c r="CU633" i="2" s="1"/>
  <c r="BN44" i="3"/>
  <c r="CE209" i="3"/>
  <c r="CG209" i="3" s="1"/>
  <c r="CF209" i="3" s="1"/>
  <c r="G206" i="3"/>
  <c r="Y244" i="2"/>
  <c r="H206" i="3"/>
  <c r="AL206" i="3"/>
  <c r="V244" i="2"/>
  <c r="U244" i="2" s="1"/>
  <c r="E206" i="3"/>
  <c r="CI211" i="2"/>
  <c r="CI201" i="3" s="1"/>
  <c r="P206" i="3"/>
  <c r="AX206" i="3"/>
  <c r="BQ241" i="2"/>
  <c r="BQ208" i="3" s="1"/>
  <c r="BQ206" i="3" s="1"/>
  <c r="S244" i="2"/>
  <c r="R244" i="2" s="1"/>
  <c r="CM244" i="2"/>
  <c r="CL244" i="2" s="1"/>
  <c r="N244" i="2"/>
  <c r="BK241" i="2"/>
  <c r="BK208" i="3" s="1"/>
  <c r="BK206" i="3" s="1"/>
  <c r="AG206" i="3"/>
  <c r="BL244" i="2"/>
  <c r="BR244" i="2"/>
  <c r="AA166" i="3"/>
  <c r="AA338" i="2"/>
  <c r="BW338" i="2"/>
  <c r="AU185" i="2"/>
  <c r="P115" i="2"/>
  <c r="P139" i="2" s="1"/>
  <c r="AY93" i="2"/>
  <c r="BK93" i="2"/>
  <c r="EB93" i="2"/>
  <c r="BK92" i="2"/>
  <c r="BT641" i="2"/>
  <c r="X92" i="2"/>
  <c r="BZ93" i="2"/>
  <c r="BB92" i="2"/>
  <c r="BH92" i="2"/>
  <c r="BN92" i="2"/>
  <c r="BT92" i="2"/>
  <c r="BZ92" i="2"/>
  <c r="DY92" i="2"/>
  <c r="I93" i="2"/>
  <c r="CC93" i="2"/>
  <c r="F116" i="2"/>
  <c r="CC116" i="2"/>
  <c r="DG116" i="2"/>
  <c r="I117" i="2"/>
  <c r="AA117" i="2"/>
  <c r="CF117" i="2"/>
  <c r="CX117" i="2"/>
  <c r="DD117" i="2"/>
  <c r="CL116" i="2"/>
  <c r="CX116" i="2"/>
  <c r="EN116" i="2"/>
  <c r="BB117" i="2"/>
  <c r="CU117" i="2"/>
  <c r="EK92" i="2"/>
  <c r="EQ92" i="2"/>
  <c r="U93" i="2"/>
  <c r="AA93" i="2"/>
  <c r="AM93" i="2"/>
  <c r="EN93" i="2"/>
  <c r="BQ93" i="2"/>
  <c r="I92" i="2"/>
  <c r="AM92" i="2"/>
  <c r="AS92" i="2"/>
  <c r="EN92" i="2"/>
  <c r="L93" i="2"/>
  <c r="AV93" i="2"/>
  <c r="CI93" i="2"/>
  <c r="DY93" i="2"/>
  <c r="DM124" i="3"/>
  <c r="DK124" i="3"/>
  <c r="DT78" i="2"/>
  <c r="DS78" i="2" s="1"/>
  <c r="DS121" i="3"/>
  <c r="DT90" i="4"/>
  <c r="EQ117" i="2"/>
  <c r="EO326" i="2"/>
  <c r="EO2" i="4"/>
  <c r="EO90" i="4" s="1"/>
  <c r="EO148" i="2"/>
  <c r="EO372" i="2"/>
  <c r="EK577" i="2"/>
  <c r="EK607" i="2" s="1"/>
  <c r="EH93" i="2"/>
  <c r="EE93" i="2"/>
  <c r="AE22" i="9"/>
  <c r="AE43" i="9" s="1"/>
  <c r="DY116" i="2"/>
  <c r="O40" i="9"/>
  <c r="O51" i="9" s="1"/>
  <c r="DP154" i="3"/>
  <c r="DZ577" i="2"/>
  <c r="DZ607" i="2" s="1"/>
  <c r="DZ301" i="2"/>
  <c r="DZ279" i="2"/>
  <c r="DZ281" i="2"/>
  <c r="DT248" i="2"/>
  <c r="DP117" i="2"/>
  <c r="BH208" i="2"/>
  <c r="BH198" i="3" s="1"/>
  <c r="DG192" i="2"/>
  <c r="DG181" i="3" s="1"/>
  <c r="CI58" i="2"/>
  <c r="CJ57" i="2"/>
  <c r="CJ26" i="3" s="1"/>
  <c r="CH64" i="2"/>
  <c r="BW194" i="2"/>
  <c r="BW183" i="3" s="1"/>
  <c r="BV193" i="2"/>
  <c r="BI225" i="3"/>
  <c r="BP48" i="3"/>
  <c r="BP59" i="2" s="1"/>
  <c r="BM59" i="2"/>
  <c r="BN59" i="2" s="1"/>
  <c r="BK192" i="2"/>
  <c r="BK181" i="3" s="1"/>
  <c r="BJ39" i="2"/>
  <c r="BK39" i="2" s="1"/>
  <c r="BW192" i="2"/>
  <c r="BW181" i="3" s="1"/>
  <c r="BV39" i="2"/>
  <c r="BW39" i="2" s="1"/>
  <c r="CU192" i="2"/>
  <c r="CU181" i="3" s="1"/>
  <c r="CT39" i="2"/>
  <c r="BT361" i="2"/>
  <c r="BS233" i="3"/>
  <c r="BU233" i="3" s="1"/>
  <c r="BT208" i="2"/>
  <c r="BT198" i="3" s="1"/>
  <c r="BT196" i="3" s="1"/>
  <c r="DS192" i="2"/>
  <c r="DS181" i="3" s="1"/>
  <c r="BF352" i="2"/>
  <c r="BF226" i="3" s="1"/>
  <c r="BD22" i="2"/>
  <c r="BN207" i="2"/>
  <c r="BN197" i="3" s="1"/>
  <c r="BO206" i="2"/>
  <c r="BN206" i="2" s="1"/>
  <c r="BZ641" i="2"/>
  <c r="BQ259" i="2"/>
  <c r="BR258" i="2"/>
  <c r="BQ258" i="2" s="1"/>
  <c r="DJ36" i="2"/>
  <c r="BN37" i="2"/>
  <c r="CL37" i="2"/>
  <c r="CX37" i="2"/>
  <c r="DJ37" i="2"/>
  <c r="EN37" i="2"/>
  <c r="CL38" i="2"/>
  <c r="BQ41" i="2"/>
  <c r="CC41" i="2"/>
  <c r="CF58" i="2"/>
  <c r="EK58" i="2"/>
  <c r="EQ58" i="2"/>
  <c r="BR57" i="2"/>
  <c r="BR26" i="3" s="1"/>
  <c r="EK63" i="2"/>
  <c r="CI65" i="2"/>
  <c r="BH66" i="2"/>
  <c r="CI66" i="2"/>
  <c r="EH66" i="2"/>
  <c r="BH67" i="2"/>
  <c r="CI201" i="2"/>
  <c r="CI191" i="3" s="1"/>
  <c r="EB203" i="2"/>
  <c r="EB193" i="3" s="1"/>
  <c r="BP244" i="2"/>
  <c r="BP629" i="2" s="1"/>
  <c r="BZ36" i="2"/>
  <c r="BY84" i="2"/>
  <c r="BY115" i="2" s="1"/>
  <c r="BE83" i="2"/>
  <c r="EK36" i="2"/>
  <c r="BE37" i="2"/>
  <c r="DM37" i="2"/>
  <c r="DS37" i="2"/>
  <c r="DP38" i="2"/>
  <c r="BH41" i="2"/>
  <c r="CO41" i="2"/>
  <c r="EB63" i="2"/>
  <c r="BI84" i="2"/>
  <c r="BI10" i="2" s="1"/>
  <c r="EK83" i="2"/>
  <c r="CI204" i="2"/>
  <c r="EB210" i="2"/>
  <c r="EB200" i="3" s="1"/>
  <c r="CZ258" i="2"/>
  <c r="BM258" i="2"/>
  <c r="DF258" i="2"/>
  <c r="CT298" i="2"/>
  <c r="CT297" i="2" s="1"/>
  <c r="CJ233" i="3"/>
  <c r="L107" i="3"/>
  <c r="DH258" i="2"/>
  <c r="DG258" i="2" s="1"/>
  <c r="DT206" i="2"/>
  <c r="CY206" i="2"/>
  <c r="V36" i="9" s="1"/>
  <c r="CS64" i="2"/>
  <c r="CS62" i="2" s="1"/>
  <c r="D28" i="9" s="1"/>
  <c r="DT65" i="2"/>
  <c r="DT64" i="2" s="1"/>
  <c r="F206" i="3"/>
  <c r="AA215" i="3"/>
  <c r="CY199" i="2"/>
  <c r="V33" i="9" s="1"/>
  <c r="AA38" i="9"/>
  <c r="DE64" i="2"/>
  <c r="DB64" i="2"/>
  <c r="DD109" i="3"/>
  <c r="BY193" i="2"/>
  <c r="CC195" i="2"/>
  <c r="CC184" i="3" s="1"/>
  <c r="BE197" i="2"/>
  <c r="BE186" i="3" s="1"/>
  <c r="EH200" i="2"/>
  <c r="EH190" i="3" s="1"/>
  <c r="CC201" i="2"/>
  <c r="CC191" i="3" s="1"/>
  <c r="DE199" i="2"/>
  <c r="DE205" i="2" s="1"/>
  <c r="DE214" i="2" s="1"/>
  <c r="DM197" i="2"/>
  <c r="DM186" i="3" s="1"/>
  <c r="BF196" i="2"/>
  <c r="EQ82" i="2"/>
  <c r="CI83" i="2"/>
  <c r="EA40" i="2"/>
  <c r="EG40" i="2"/>
  <c r="DF199" i="2"/>
  <c r="DU199" i="2"/>
  <c r="DV199" i="2" s="1"/>
  <c r="BN201" i="2"/>
  <c r="BN191" i="3" s="1"/>
  <c r="CO202" i="2"/>
  <c r="CO192" i="3" s="1"/>
  <c r="EQ202" i="2"/>
  <c r="EQ192" i="3" s="1"/>
  <c r="DT321" i="2"/>
  <c r="CQ199" i="2"/>
  <c r="EN197" i="2"/>
  <c r="EN186" i="3" s="1"/>
  <c r="CT40" i="2"/>
  <c r="CU40" i="2" s="1"/>
  <c r="DO40" i="2"/>
  <c r="BE82" i="2"/>
  <c r="BZ197" i="2"/>
  <c r="BZ186" i="3" s="1"/>
  <c r="BI40" i="2"/>
  <c r="BO196" i="2"/>
  <c r="EB198" i="2"/>
  <c r="EB187" i="3" s="1"/>
  <c r="EN198" i="2"/>
  <c r="EN187" i="3" s="1"/>
  <c r="BT200" i="2"/>
  <c r="BT190" i="3" s="1"/>
  <c r="EK202" i="2"/>
  <c r="EK192" i="3" s="1"/>
  <c r="BM641" i="2"/>
  <c r="BM252" i="2"/>
  <c r="DK196" i="2"/>
  <c r="Z34" i="9" s="1"/>
  <c r="CJ84" i="2"/>
  <c r="BS39" i="2"/>
  <c r="BT39" i="2" s="1"/>
  <c r="CW40" i="2"/>
  <c r="DC196" i="2"/>
  <c r="DD196" i="2" s="1"/>
  <c r="BG40" i="2"/>
  <c r="BM40" i="2"/>
  <c r="DO196" i="2"/>
  <c r="CP40" i="2"/>
  <c r="DU40" i="2"/>
  <c r="DV40" i="2" s="1"/>
  <c r="CW199" i="2"/>
  <c r="EM199" i="2"/>
  <c r="DS131" i="3"/>
  <c r="BT83" i="2"/>
  <c r="BH192" i="2"/>
  <c r="BH181" i="3" s="1"/>
  <c r="EK194" i="2"/>
  <c r="EK183" i="3" s="1"/>
  <c r="BK195" i="2"/>
  <c r="BK184" i="3" s="1"/>
  <c r="CT196" i="2"/>
  <c r="EG196" i="2"/>
  <c r="EM196" i="2"/>
  <c r="EP199" i="2"/>
  <c r="DB199" i="2"/>
  <c r="DR84" i="2"/>
  <c r="BS115" i="2"/>
  <c r="BS13" i="2" s="1"/>
  <c r="DY38" i="2"/>
  <c r="BG39" i="2"/>
  <c r="BH39" i="2" s="1"/>
  <c r="DI39" i="2"/>
  <c r="DQ196" i="2"/>
  <c r="BN195" i="2"/>
  <c r="BN184" i="3" s="1"/>
  <c r="BD40" i="2"/>
  <c r="EL40" i="2"/>
  <c r="CM193" i="2"/>
  <c r="DN196" i="2"/>
  <c r="AA34" i="9" s="1"/>
  <c r="BD196" i="2"/>
  <c r="DI40" i="2"/>
  <c r="BW82" i="2"/>
  <c r="BG84" i="2"/>
  <c r="BG163" i="2" s="1"/>
  <c r="BW83" i="2"/>
  <c r="CB84" i="2"/>
  <c r="CB10" i="2" s="1"/>
  <c r="CH84" i="2"/>
  <c r="CH10" i="2" s="1"/>
  <c r="CH11" i="2" s="1"/>
  <c r="BK194" i="2"/>
  <c r="BK183" i="3" s="1"/>
  <c r="EJ196" i="2"/>
  <c r="CE196" i="2"/>
  <c r="CO198" i="2"/>
  <c r="CO187" i="3" s="1"/>
  <c r="CV199" i="2"/>
  <c r="CD250" i="2"/>
  <c r="CD511" i="2" s="1"/>
  <c r="EB194" i="2"/>
  <c r="EB183" i="3" s="1"/>
  <c r="DL199" i="2"/>
  <c r="BI196" i="2"/>
  <c r="EN192" i="2"/>
  <c r="EN181" i="3" s="1"/>
  <c r="BS10" i="2"/>
  <c r="BY39" i="2"/>
  <c r="BZ39" i="2" s="1"/>
  <c r="DO39" i="2"/>
  <c r="DP39" i="2" s="1"/>
  <c r="BO40" i="2"/>
  <c r="BO34" i="2" s="1"/>
  <c r="BO620" i="2" s="1"/>
  <c r="CB40" i="2"/>
  <c r="CB34" i="2" s="1"/>
  <c r="CB620" i="2" s="1"/>
  <c r="EF40" i="2"/>
  <c r="CL82" i="2"/>
  <c r="BK83" i="2"/>
  <c r="CF194" i="2"/>
  <c r="CF183" i="3" s="1"/>
  <c r="BJ193" i="2"/>
  <c r="BG196" i="2"/>
  <c r="EO196" i="2"/>
  <c r="BZ200" i="2"/>
  <c r="BZ190" i="3" s="1"/>
  <c r="CF200" i="2"/>
  <c r="CF190" i="3" s="1"/>
  <c r="CH244" i="2"/>
  <c r="CH629" i="2" s="1"/>
  <c r="CN641" i="2"/>
  <c r="BL193" i="2"/>
  <c r="CL195" i="2"/>
  <c r="CL184" i="3" s="1"/>
  <c r="EJ40" i="2"/>
  <c r="BH197" i="2"/>
  <c r="BH186" i="3" s="1"/>
  <c r="DR322" i="2"/>
  <c r="CW193" i="2"/>
  <c r="CX193" i="2" s="1"/>
  <c r="CI82" i="2"/>
  <c r="CO82" i="2"/>
  <c r="EB82" i="2"/>
  <c r="CK84" i="2"/>
  <c r="CK115" i="2" s="1"/>
  <c r="DY83" i="2"/>
  <c r="EE83" i="2"/>
  <c r="EQ83" i="2"/>
  <c r="DC193" i="2"/>
  <c r="DD193" i="2" s="1"/>
  <c r="CE193" i="2"/>
  <c r="EK195" i="2"/>
  <c r="EK184" i="3" s="1"/>
  <c r="CF198" i="2"/>
  <c r="CF187" i="3" s="1"/>
  <c r="EF196" i="2"/>
  <c r="EK198" i="2"/>
  <c r="EK187" i="3" s="1"/>
  <c r="DC199" i="2"/>
  <c r="BE201" i="2"/>
  <c r="BE191" i="3" s="1"/>
  <c r="CZ199" i="2"/>
  <c r="DZ199" i="2"/>
  <c r="CQ193" i="2"/>
  <c r="CQ84" i="2"/>
  <c r="EQ198" i="2"/>
  <c r="EQ187" i="3" s="1"/>
  <c r="CE199" i="2"/>
  <c r="CK199" i="2"/>
  <c r="CP641" i="2"/>
  <c r="CP233" i="3"/>
  <c r="DK199" i="2"/>
  <c r="DH199" i="2"/>
  <c r="CT84" i="2"/>
  <c r="BS40" i="2"/>
  <c r="BT40" i="2" s="1"/>
  <c r="EA199" i="2"/>
  <c r="BH201" i="2"/>
  <c r="BH191" i="3" s="1"/>
  <c r="CD322" i="2"/>
  <c r="CC322" i="2" s="1"/>
  <c r="DT235" i="2"/>
  <c r="CY244" i="2"/>
  <c r="CY196" i="2"/>
  <c r="DZ193" i="2"/>
  <c r="DT199" i="2"/>
  <c r="CV196" i="2"/>
  <c r="CV193" i="2"/>
  <c r="DC84" i="2"/>
  <c r="BJ5" i="4"/>
  <c r="BD5" i="4"/>
  <c r="BM5" i="4"/>
  <c r="BP5" i="4"/>
  <c r="BG5" i="4"/>
  <c r="DS543" i="4"/>
  <c r="DS545" i="4" s="1"/>
  <c r="DS562" i="4" s="1"/>
  <c r="DF295" i="4"/>
  <c r="DI296" i="4" s="1"/>
  <c r="BY295" i="4"/>
  <c r="BY298" i="4" s="1"/>
  <c r="BY299" i="4" s="1"/>
  <c r="BF580" i="4"/>
  <c r="BI580" i="4" s="1"/>
  <c r="BL580" i="4" s="1"/>
  <c r="BA578" i="4"/>
  <c r="BB578" i="4" s="1"/>
  <c r="CE225" i="4"/>
  <c r="CE228" i="4" s="1"/>
  <c r="CE231" i="4" s="1"/>
  <c r="CE232" i="4" s="1"/>
  <c r="CQ295" i="4"/>
  <c r="CB378" i="4"/>
  <c r="BY378" i="4"/>
  <c r="BY379" i="4" s="1"/>
  <c r="BY380" i="4" s="1"/>
  <c r="BV378" i="4"/>
  <c r="CE395" i="4"/>
  <c r="CE397" i="4" s="1"/>
  <c r="CE398" i="4" s="1"/>
  <c r="BS378" i="4"/>
  <c r="BS379" i="4" s="1"/>
  <c r="BY203" i="4"/>
  <c r="BV203" i="4"/>
  <c r="E7" i="4"/>
  <c r="E12" i="4" s="1"/>
  <c r="DL375" i="4"/>
  <c r="DL203" i="4" s="1"/>
  <c r="DI203" i="4"/>
  <c r="DN113" i="4"/>
  <c r="DN115" i="4" s="1"/>
  <c r="DK113" i="4"/>
  <c r="DK115" i="4" s="1"/>
  <c r="DJ115" i="4"/>
  <c r="DP115" i="4"/>
  <c r="DS116" i="4" s="1"/>
  <c r="DQ113" i="4"/>
  <c r="DQ115" i="4" s="1"/>
  <c r="BU747" i="4"/>
  <c r="CH747" i="4"/>
  <c r="DB545" i="4"/>
  <c r="CK32" i="4"/>
  <c r="DF197" i="4"/>
  <c r="CZ292" i="4"/>
  <c r="BQ278" i="4"/>
  <c r="DW84" i="4"/>
  <c r="DL111" i="4"/>
  <c r="CK354" i="4"/>
  <c r="CK108" i="4"/>
  <c r="AX758" i="4"/>
  <c r="AX766" i="4" s="1"/>
  <c r="CX290" i="4"/>
  <c r="DF290" i="4"/>
  <c r="DC165" i="4"/>
  <c r="DA197" i="4"/>
  <c r="CH173" i="4"/>
  <c r="DI79" i="4"/>
  <c r="BM33" i="4"/>
  <c r="DH78" i="4"/>
  <c r="DK79" i="4" s="1"/>
  <c r="BI268" i="4"/>
  <c r="DE291" i="4"/>
  <c r="BD834" i="4"/>
  <c r="BE834" i="4" s="1"/>
  <c r="CZ372" i="4"/>
  <c r="CZ290" i="4"/>
  <c r="BP267" i="4"/>
  <c r="BP270" i="4" s="1"/>
  <c r="AY855" i="4"/>
  <c r="AX769" i="4"/>
  <c r="CI562" i="4"/>
  <c r="CI563" i="4" s="1"/>
  <c r="CJ563" i="4" s="1"/>
  <c r="BN19" i="4"/>
  <c r="BN33" i="4" s="1"/>
  <c r="BH268" i="4"/>
  <c r="CH745" i="4"/>
  <c r="CW290" i="4"/>
  <c r="BI745" i="4"/>
  <c r="BO745" i="4"/>
  <c r="BU745" i="4"/>
  <c r="CA745" i="4"/>
  <c r="BF746" i="4"/>
  <c r="BL746" i="4"/>
  <c r="BQ748" i="4"/>
  <c r="BW748" i="4"/>
  <c r="BC747" i="4"/>
  <c r="BC759" i="4" s="1"/>
  <c r="BC767" i="4" s="1"/>
  <c r="BI747" i="4"/>
  <c r="BO747" i="4"/>
  <c r="CA747" i="4"/>
  <c r="CO165" i="4"/>
  <c r="CO293" i="4" s="1"/>
  <c r="DG199" i="4"/>
  <c r="CY198" i="4"/>
  <c r="CW292" i="4"/>
  <c r="DB371" i="4"/>
  <c r="BQ276" i="4"/>
  <c r="DB540" i="4"/>
  <c r="DQ545" i="4"/>
  <c r="DQ560" i="4"/>
  <c r="CK173" i="4"/>
  <c r="CW121" i="4"/>
  <c r="BC853" i="4"/>
  <c r="BA853" i="4" s="1"/>
  <c r="BB853" i="4" s="1"/>
  <c r="AY823" i="4"/>
  <c r="AY841" i="4" s="1"/>
  <c r="CY196" i="4"/>
  <c r="AY757" i="4"/>
  <c r="AY765" i="4" s="1"/>
  <c r="DE198" i="4"/>
  <c r="AX841" i="4"/>
  <c r="AX877" i="4" s="1"/>
  <c r="BD836" i="4"/>
  <c r="BE836" i="4" s="1"/>
  <c r="BX746" i="4"/>
  <c r="BC745" i="4"/>
  <c r="BC757" i="4" s="1"/>
  <c r="BC765" i="4" s="1"/>
  <c r="BN748" i="4"/>
  <c r="DG197" i="4"/>
  <c r="CW165" i="4"/>
  <c r="CW293" i="4" s="1"/>
  <c r="BA836" i="4"/>
  <c r="BB836" i="4" s="1"/>
  <c r="CV291" i="4"/>
  <c r="BR746" i="4"/>
  <c r="AY747" i="4"/>
  <c r="AY759" i="4" s="1"/>
  <c r="AY767" i="4" s="1"/>
  <c r="CX197" i="4"/>
  <c r="AY836" i="4"/>
  <c r="DE196" i="4"/>
  <c r="CV196" i="4"/>
  <c r="CV197" i="4" s="1"/>
  <c r="DR61" i="4"/>
  <c r="BL448" i="4"/>
  <c r="DT540" i="4"/>
  <c r="CN292" i="4"/>
  <c r="DD372" i="4"/>
  <c r="DA372" i="4"/>
  <c r="DN88" i="4"/>
  <c r="BP275" i="4"/>
  <c r="BP280" i="4" s="1"/>
  <c r="BE748" i="4"/>
  <c r="DL665" i="2"/>
  <c r="BH748" i="4"/>
  <c r="BZ748" i="4"/>
  <c r="DD199" i="4"/>
  <c r="BD748" i="4"/>
  <c r="BP748" i="4"/>
  <c r="BG748" i="4"/>
  <c r="BS748" i="4"/>
  <c r="CE748" i="4"/>
  <c r="CM198" i="4"/>
  <c r="DH371" i="4"/>
  <c r="AZ746" i="4"/>
  <c r="AZ758" i="4" s="1"/>
  <c r="AZ766" i="4" s="1"/>
  <c r="CO199" i="4"/>
  <c r="CT121" i="4"/>
  <c r="CT122" i="4" s="1"/>
  <c r="DD292" i="4"/>
  <c r="CX292" i="4"/>
  <c r="CU165" i="4"/>
  <c r="CU293" i="4" s="1"/>
  <c r="CZ199" i="4"/>
  <c r="BB454" i="4"/>
  <c r="CQ199" i="4"/>
  <c r="DT194" i="4"/>
  <c r="DT85" i="4"/>
  <c r="CL199" i="4"/>
  <c r="CF225" i="4"/>
  <c r="CF228" i="4" s="1"/>
  <c r="CF229" i="4" s="1"/>
  <c r="DL254" i="4"/>
  <c r="DF203" i="4"/>
  <c r="DC203" i="4"/>
  <c r="CZ295" i="4"/>
  <c r="CW203" i="4"/>
  <c r="CT295" i="4"/>
  <c r="BY270" i="4"/>
  <c r="BY272" i="4" s="1"/>
  <c r="CN203" i="4"/>
  <c r="CK203" i="4"/>
  <c r="CH295" i="4"/>
  <c r="CH298" i="4" s="1"/>
  <c r="CH299" i="4" s="1"/>
  <c r="CE203" i="4"/>
  <c r="DG121" i="4"/>
  <c r="BS203" i="4"/>
  <c r="DB198" i="4"/>
  <c r="CU121" i="4"/>
  <c r="CH96" i="4"/>
  <c r="CH97" i="4" s="1"/>
  <c r="BD270" i="4"/>
  <c r="BD272" i="4" s="1"/>
  <c r="CY291" i="4"/>
  <c r="BP188" i="4"/>
  <c r="BP186" i="4"/>
  <c r="DN84" i="4"/>
  <c r="DQ85" i="4" s="1"/>
  <c r="CZ197" i="4"/>
  <c r="DL85" i="4"/>
  <c r="DH85" i="4"/>
  <c r="CB322" i="4"/>
  <c r="DC295" i="4"/>
  <c r="CZ203" i="4"/>
  <c r="CW295" i="4"/>
  <c r="CQ203" i="4"/>
  <c r="BV270" i="4"/>
  <c r="BV272" i="4" s="1"/>
  <c r="CK295" i="4"/>
  <c r="CH203" i="4"/>
  <c r="BY360" i="4"/>
  <c r="CE295" i="4"/>
  <c r="CE298" i="4" s="1"/>
  <c r="CE299" i="4" s="1"/>
  <c r="CB295" i="4"/>
  <c r="CB298" i="4" s="1"/>
  <c r="CB299" i="4" s="1"/>
  <c r="BP360" i="4"/>
  <c r="BV295" i="4"/>
  <c r="BS295" i="4"/>
  <c r="BS298" i="4" s="1"/>
  <c r="DC199" i="4"/>
  <c r="BJ351" i="4"/>
  <c r="BJ424" i="4" s="1"/>
  <c r="BJ443" i="4" s="1"/>
  <c r="DE371" i="4"/>
  <c r="CF395" i="4"/>
  <c r="BG270" i="4"/>
  <c r="BG260" i="4" s="1"/>
  <c r="DD197" i="4"/>
  <c r="DC121" i="4"/>
  <c r="DT78" i="4"/>
  <c r="DT79" i="4" s="1"/>
  <c r="CY289" i="4"/>
  <c r="CE318" i="4"/>
  <c r="BN65" i="4"/>
  <c r="CA746" i="4"/>
  <c r="CB748" i="4"/>
  <c r="CH152" i="4"/>
  <c r="BT231" i="4"/>
  <c r="BT232" i="4" s="1"/>
  <c r="BN229" i="4"/>
  <c r="BQ247" i="4"/>
  <c r="CH354" i="4"/>
  <c r="BO276" i="4"/>
  <c r="CL165" i="4"/>
  <c r="CR23" i="4"/>
  <c r="CS23" i="4" s="1"/>
  <c r="DK50" i="4"/>
  <c r="BE48" i="4"/>
  <c r="BE59" i="4" s="1"/>
  <c r="DE369" i="4"/>
  <c r="CB323" i="4"/>
  <c r="DS79" i="4"/>
  <c r="BN280" i="4"/>
  <c r="BC354" i="4"/>
  <c r="CE354" i="4"/>
  <c r="CE378" i="4" s="1"/>
  <c r="BF136" i="4"/>
  <c r="AY834" i="4"/>
  <c r="AY828" i="4" s="1"/>
  <c r="AY829" i="4" s="1"/>
  <c r="AY830" i="4" s="1"/>
  <c r="AY831" i="4" s="1"/>
  <c r="BM298" i="4"/>
  <c r="BG355" i="4"/>
  <c r="BP203" i="4"/>
  <c r="DJ85" i="4"/>
  <c r="DC85" i="4"/>
  <c r="CH266" i="4"/>
  <c r="BR265" i="4"/>
  <c r="DD290" i="4"/>
  <c r="BI265" i="4"/>
  <c r="BS322" i="4"/>
  <c r="BU265" i="4"/>
  <c r="BO275" i="4"/>
  <c r="CU85" i="4"/>
  <c r="CA354" i="4"/>
  <c r="CW254" i="4"/>
  <c r="CX85" i="4"/>
  <c r="BO354" i="4"/>
  <c r="BL354" i="4"/>
  <c r="BL265" i="4"/>
  <c r="BH270" i="4"/>
  <c r="BH271" i="4" s="1"/>
  <c r="BY292" i="4"/>
  <c r="EI369" i="4"/>
  <c r="BP386" i="4"/>
  <c r="AX68" i="2"/>
  <c r="AX69" i="2" s="1"/>
  <c r="CV75" i="4"/>
  <c r="CY76" i="4" s="1"/>
  <c r="CC748" i="4"/>
  <c r="BK748" i="4"/>
  <c r="CQ292" i="4"/>
  <c r="BT82" i="4"/>
  <c r="AY645" i="4"/>
  <c r="AZ645" i="4" s="1"/>
  <c r="BA645" i="4" s="1"/>
  <c r="BB645" i="4" s="1"/>
  <c r="BC645" i="4" s="1"/>
  <c r="BD645" i="4" s="1"/>
  <c r="BE645" i="4" s="1"/>
  <c r="BF645" i="4" s="1"/>
  <c r="BG645" i="4" s="1"/>
  <c r="BH645" i="4" s="1"/>
  <c r="BI645" i="4" s="1"/>
  <c r="BJ645" i="4" s="1"/>
  <c r="BK645" i="4" s="1"/>
  <c r="BL645" i="4" s="1"/>
  <c r="BM645" i="4" s="1"/>
  <c r="BN645" i="4" s="1"/>
  <c r="BO645" i="4" s="1"/>
  <c r="BP645" i="4" s="1"/>
  <c r="BQ645" i="4" s="1"/>
  <c r="DC254" i="4"/>
  <c r="BQ270" i="4"/>
  <c r="BQ272" i="4" s="1"/>
  <c r="BU354" i="4"/>
  <c r="CR253" i="4"/>
  <c r="CR251" i="4" s="1"/>
  <c r="BR354" i="4"/>
  <c r="CY85" i="4"/>
  <c r="DG165" i="4"/>
  <c r="DV88" i="4"/>
  <c r="DD165" i="4"/>
  <c r="CN254" i="4"/>
  <c r="DF372" i="4"/>
  <c r="CY371" i="4"/>
  <c r="DH289" i="4"/>
  <c r="CN165" i="4"/>
  <c r="CN293" i="4" s="1"/>
  <c r="CP291" i="4"/>
  <c r="DO665" i="2"/>
  <c r="CT199" i="4"/>
  <c r="CK254" i="4"/>
  <c r="CV85" i="4"/>
  <c r="BN298" i="4"/>
  <c r="BN299" i="4" s="1"/>
  <c r="BA837" i="4"/>
  <c r="BB837" i="4" s="1"/>
  <c r="BF761" i="4"/>
  <c r="BI761" i="4" s="1"/>
  <c r="DG152" i="4"/>
  <c r="DH152" i="4" s="1"/>
  <c r="DM88" i="4"/>
  <c r="DM85" i="4"/>
  <c r="DG85" i="4"/>
  <c r="DF85" i="4"/>
  <c r="DE85" i="4"/>
  <c r="DD85" i="4"/>
  <c r="DI254" i="4"/>
  <c r="CA265" i="4"/>
  <c r="BN270" i="4"/>
  <c r="BN272" i="4" s="1"/>
  <c r="BX354" i="4"/>
  <c r="CZ85" i="4"/>
  <c r="CT254" i="4"/>
  <c r="BK270" i="4"/>
  <c r="BK260" i="4" s="1"/>
  <c r="BK262" i="4" s="1"/>
  <c r="BK422" i="4" s="1"/>
  <c r="BK451" i="4" s="1"/>
  <c r="BO265" i="4"/>
  <c r="DD121" i="4"/>
  <c r="CX165" i="4"/>
  <c r="CX293" i="4" s="1"/>
  <c r="CW85" i="4"/>
  <c r="AZ828" i="4"/>
  <c r="AZ829" i="4" s="1"/>
  <c r="AZ830" i="4" s="1"/>
  <c r="AZ831" i="4" s="1"/>
  <c r="DG292" i="4"/>
  <c r="DB289" i="4"/>
  <c r="DG290" i="4"/>
  <c r="CT165" i="4"/>
  <c r="CT293" i="4" s="1"/>
  <c r="CV198" i="4"/>
  <c r="DU88" i="4"/>
  <c r="DI85" i="4"/>
  <c r="CT203" i="4"/>
  <c r="DO254" i="4"/>
  <c r="DF254" i="4"/>
  <c r="DB85" i="4"/>
  <c r="DA85" i="4"/>
  <c r="CZ254" i="4"/>
  <c r="BX265" i="4"/>
  <c r="CQ254" i="4"/>
  <c r="DW88" i="4"/>
  <c r="CX121" i="4"/>
  <c r="BQ378" i="4"/>
  <c r="BA854" i="4"/>
  <c r="BB854" i="4" s="1"/>
  <c r="BC769" i="4"/>
  <c r="BB748" i="4"/>
  <c r="BB760" i="4" s="1"/>
  <c r="BB768" i="4" s="1"/>
  <c r="AX859" i="4"/>
  <c r="AY644" i="4"/>
  <c r="AZ644" i="4" s="1"/>
  <c r="BA644" i="4" s="1"/>
  <c r="BB644" i="4" s="1"/>
  <c r="BC644" i="4" s="1"/>
  <c r="BD644" i="4" s="1"/>
  <c r="BE644" i="4" s="1"/>
  <c r="BF644" i="4" s="1"/>
  <c r="BG644" i="4" s="1"/>
  <c r="BH644" i="4" s="1"/>
  <c r="BI644" i="4" s="1"/>
  <c r="BJ644" i="4" s="1"/>
  <c r="DK111" i="4"/>
  <c r="CW500" i="4"/>
  <c r="CZ500" i="4" s="1"/>
  <c r="DC500" i="4" s="1"/>
  <c r="DF500" i="4" s="1"/>
  <c r="DI500" i="4" s="1"/>
  <c r="DL500" i="4" s="1"/>
  <c r="DO500" i="4" s="1"/>
  <c r="DR500" i="4" s="1"/>
  <c r="DU500" i="4" s="1"/>
  <c r="DX500" i="4" s="1"/>
  <c r="EA500" i="4" s="1"/>
  <c r="ED500" i="4" s="1"/>
  <c r="EG500" i="4" s="1"/>
  <c r="EJ500" i="4" s="1"/>
  <c r="EM500" i="4" s="1"/>
  <c r="EP500" i="4" s="1"/>
  <c r="ES500" i="4" s="1"/>
  <c r="BN378" i="4"/>
  <c r="CS291" i="4"/>
  <c r="CN199" i="4"/>
  <c r="DA290" i="4"/>
  <c r="CW199" i="4"/>
  <c r="AY837" i="4"/>
  <c r="DG372" i="4"/>
  <c r="CC50" i="4"/>
  <c r="CD50" i="4" s="1"/>
  <c r="BJ454" i="4"/>
  <c r="BL450" i="4"/>
  <c r="BJ748" i="4"/>
  <c r="BV748" i="4"/>
  <c r="BY748" i="4"/>
  <c r="DP50" i="4"/>
  <c r="DQ50" i="4" s="1"/>
  <c r="EC369" i="4"/>
  <c r="EO369" i="4"/>
  <c r="BQ57" i="4"/>
  <c r="CT61" i="4"/>
  <c r="BL76" i="4"/>
  <c r="EF194" i="4"/>
  <c r="BL429" i="4"/>
  <c r="BG444" i="4"/>
  <c r="BI452" i="4"/>
  <c r="BT129" i="4"/>
  <c r="DL61" i="4"/>
  <c r="EC287" i="4"/>
  <c r="BV292" i="4"/>
  <c r="CB292" i="4"/>
  <c r="CH292" i="4"/>
  <c r="BV318" i="4"/>
  <c r="BA761" i="4"/>
  <c r="BA757" i="4" s="1"/>
  <c r="BA765" i="4" s="1"/>
  <c r="BS522" i="4"/>
  <c r="BK351" i="4"/>
  <c r="BK424" i="4" s="1"/>
  <c r="BK453" i="4" s="1"/>
  <c r="CG105" i="4"/>
  <c r="CG106" i="4" s="1"/>
  <c r="DP82" i="4"/>
  <c r="BF50" i="4"/>
  <c r="BF61" i="4" s="1"/>
  <c r="CT76" i="4"/>
  <c r="BV165" i="4"/>
  <c r="CB165" i="4"/>
  <c r="CC135" i="4"/>
  <c r="BT151" i="4"/>
  <c r="DE545" i="4"/>
  <c r="CG517" i="4"/>
  <c r="CH254" i="4"/>
  <c r="BH65" i="4"/>
  <c r="BD579" i="4"/>
  <c r="BE579" i="4" s="1"/>
  <c r="BI579" i="4"/>
  <c r="BL579" i="4" s="1"/>
  <c r="BJ579" i="4" s="1"/>
  <c r="BK579" i="4" s="1"/>
  <c r="CU501" i="4"/>
  <c r="CX501" i="4" s="1"/>
  <c r="DA501" i="4" s="1"/>
  <c r="DD501" i="4" s="1"/>
  <c r="DG501" i="4" s="1"/>
  <c r="DJ501" i="4" s="1"/>
  <c r="DM501" i="4" s="1"/>
  <c r="DP501" i="4" s="1"/>
  <c r="DS501" i="4" s="1"/>
  <c r="DV501" i="4" s="1"/>
  <c r="DY501" i="4" s="1"/>
  <c r="EB501" i="4" s="1"/>
  <c r="EE501" i="4" s="1"/>
  <c r="EH501" i="4" s="1"/>
  <c r="EK501" i="4" s="1"/>
  <c r="EN501" i="4" s="1"/>
  <c r="EQ501" i="4" s="1"/>
  <c r="ET501" i="4" s="1"/>
  <c r="BJ67" i="4"/>
  <c r="BK30" i="4"/>
  <c r="BQ38" i="4"/>
  <c r="BK55" i="4"/>
  <c r="BN307" i="4"/>
  <c r="BN309" i="4" s="1"/>
  <c r="BN310" i="4" s="1"/>
  <c r="DQ194" i="4"/>
  <c r="BU317" i="4"/>
  <c r="BE435" i="4"/>
  <c r="BK435" i="4"/>
  <c r="BB444" i="4"/>
  <c r="BI442" i="4"/>
  <c r="BF448" i="4"/>
  <c r="BF450" i="4"/>
  <c r="BD454" i="4"/>
  <c r="BB465" i="4"/>
  <c r="BI463" i="4"/>
  <c r="BC469" i="4"/>
  <c r="CD46" i="4"/>
  <c r="BT135" i="4"/>
  <c r="DM61" i="4"/>
  <c r="AW570" i="4"/>
  <c r="BL745" i="4"/>
  <c r="BX745" i="4"/>
  <c r="BI746" i="4"/>
  <c r="BO746" i="4"/>
  <c r="BR747" i="4"/>
  <c r="BX747" i="4"/>
  <c r="DE550" i="4"/>
  <c r="CX372" i="4"/>
  <c r="CV545" i="4"/>
  <c r="CQ165" i="4"/>
  <c r="CQ293" i="4" s="1"/>
  <c r="BM32" i="4"/>
  <c r="CH48" i="4"/>
  <c r="CH69" i="4" s="1"/>
  <c r="BQ82" i="4"/>
  <c r="BA579" i="4"/>
  <c r="BB579" i="4" s="1"/>
  <c r="BG68" i="4"/>
  <c r="EB159" i="4"/>
  <c r="EB50" i="4" s="1"/>
  <c r="DF291" i="4"/>
  <c r="DK74" i="4"/>
  <c r="BC822" i="4"/>
  <c r="BC840" i="4" s="1"/>
  <c r="BC846" i="4" s="1"/>
  <c r="BC847" i="4" s="1"/>
  <c r="BC848" i="4" s="1"/>
  <c r="BC849" i="4" s="1"/>
  <c r="BK65" i="4"/>
  <c r="BG58" i="4"/>
  <c r="BL50" i="4"/>
  <c r="DB194" i="4"/>
  <c r="DH194" i="4"/>
  <c r="BB758" i="4"/>
  <c r="BB766" i="4" s="1"/>
  <c r="CO159" i="4"/>
  <c r="CO50" i="4" s="1"/>
  <c r="BH444" i="4"/>
  <c r="CI199" i="4"/>
  <c r="BY231" i="4"/>
  <c r="BD48" i="4"/>
  <c r="BG59" i="4" s="1"/>
  <c r="BF173" i="4"/>
  <c r="BF174" i="4" s="1"/>
  <c r="CV50" i="4"/>
  <c r="BX489" i="4"/>
  <c r="BD20" i="4"/>
  <c r="BD71" i="4" s="1"/>
  <c r="BN30" i="4"/>
  <c r="DE287" i="4"/>
  <c r="BI448" i="4"/>
  <c r="BC450" i="4"/>
  <c r="CA151" i="4"/>
  <c r="BZ151" i="4" s="1"/>
  <c r="BC270" i="4"/>
  <c r="BS229" i="4"/>
  <c r="BU229" i="4" s="1"/>
  <c r="BP61" i="4"/>
  <c r="BH465" i="4"/>
  <c r="BD32" i="4"/>
  <c r="BT383" i="4"/>
  <c r="BW383" i="4" s="1"/>
  <c r="CD489" i="4"/>
  <c r="CE165" i="4"/>
  <c r="CQ61" i="4"/>
  <c r="BY534" i="4"/>
  <c r="BY535" i="4" s="1"/>
  <c r="BY18" i="4" s="1"/>
  <c r="DN545" i="4"/>
  <c r="CP198" i="4"/>
  <c r="CG747" i="4"/>
  <c r="CY369" i="4"/>
  <c r="DQ369" i="4"/>
  <c r="BZ135" i="4"/>
  <c r="EO152" i="4"/>
  <c r="CC517" i="4"/>
  <c r="CC534" i="4" s="1"/>
  <c r="CC535" i="4" s="1"/>
  <c r="DN540" i="4"/>
  <c r="DK167" i="4"/>
  <c r="BR50" i="4"/>
  <c r="AX178" i="2"/>
  <c r="BE272" i="4"/>
  <c r="BP247" i="4"/>
  <c r="DB287" i="4"/>
  <c r="CD291" i="4"/>
  <c r="BM307" i="4"/>
  <c r="BM309" i="4" s="1"/>
  <c r="BM310" i="4" s="1"/>
  <c r="BI354" i="4"/>
  <c r="BF354" i="4"/>
  <c r="DF198" i="4"/>
  <c r="ER18" i="4"/>
  <c r="EU32" i="4" s="1"/>
  <c r="DI61" i="4"/>
  <c r="DE76" i="4"/>
  <c r="BI450" i="4"/>
  <c r="CK165" i="4"/>
  <c r="DQ287" i="4"/>
  <c r="BP58" i="4"/>
  <c r="BQ61" i="4"/>
  <c r="DA50" i="4"/>
  <c r="DB50" i="4" s="1"/>
  <c r="DT287" i="4"/>
  <c r="BK64" i="4"/>
  <c r="EN32" i="4"/>
  <c r="BP53" i="4"/>
  <c r="BN55" i="4"/>
  <c r="BK56" i="4"/>
  <c r="BC429" i="4"/>
  <c r="BC431" i="4"/>
  <c r="BI431" i="4"/>
  <c r="BA435" i="4"/>
  <c r="BG435" i="4"/>
  <c r="BF438" i="4"/>
  <c r="BL438" i="4"/>
  <c r="BF440" i="4"/>
  <c r="BL440" i="4"/>
  <c r="BD444" i="4"/>
  <c r="BJ444" i="4"/>
  <c r="BE454" i="4"/>
  <c r="BL452" i="4"/>
  <c r="BF459" i="4"/>
  <c r="BL459" i="4"/>
  <c r="BL461" i="4"/>
  <c r="BJ465" i="4"/>
  <c r="BL469" i="4"/>
  <c r="BG475" i="4"/>
  <c r="BI473" i="4"/>
  <c r="BO473" i="4"/>
  <c r="BF473" i="4"/>
  <c r="CB57" i="4"/>
  <c r="EF152" i="4"/>
  <c r="EL152" i="4"/>
  <c r="BT158" i="4"/>
  <c r="BZ50" i="4"/>
  <c r="BV199" i="4"/>
  <c r="BY199" i="4"/>
  <c r="DE540" i="4"/>
  <c r="AX871" i="4"/>
  <c r="CB199" i="4"/>
  <c r="EP48" i="4"/>
  <c r="E14" i="4"/>
  <c r="BL33" i="4"/>
  <c r="BP32" i="4"/>
  <c r="E41" i="4"/>
  <c r="EK32" i="4"/>
  <c r="AX161" i="2"/>
  <c r="DH563" i="4"/>
  <c r="EH32" i="4"/>
  <c r="BQ47" i="4"/>
  <c r="BM280" i="4"/>
  <c r="CF354" i="4"/>
  <c r="BR397" i="4"/>
  <c r="BD465" i="4"/>
  <c r="BW158" i="4"/>
  <c r="BT61" i="4"/>
  <c r="CG512" i="4"/>
  <c r="BZ534" i="4"/>
  <c r="BZ535" i="4" s="1"/>
  <c r="BZ152" i="4" s="1"/>
  <c r="DK540" i="4"/>
  <c r="DL562" i="4"/>
  <c r="DQ555" i="4"/>
  <c r="CY167" i="4"/>
  <c r="CV79" i="4"/>
  <c r="BP48" i="4"/>
  <c r="EK48" i="4"/>
  <c r="AX73" i="2"/>
  <c r="AX331" i="2"/>
  <c r="BM532" i="4"/>
  <c r="CT85" i="4"/>
  <c r="BK163" i="4"/>
  <c r="DC290" i="4"/>
  <c r="DS88" i="4"/>
  <c r="CT307" i="4"/>
  <c r="DP88" i="4"/>
  <c r="CV371" i="4"/>
  <c r="BF433" i="4"/>
  <c r="BC136" i="4"/>
  <c r="BI136" i="4"/>
  <c r="AY752" i="4"/>
  <c r="AZ752" i="4" s="1"/>
  <c r="BA752" i="4" s="1"/>
  <c r="BB752" i="4" s="1"/>
  <c r="BC752" i="4" s="1"/>
  <c r="BD752" i="4" s="1"/>
  <c r="BE752" i="4" s="1"/>
  <c r="BF752" i="4" s="1"/>
  <c r="BF852" i="4"/>
  <c r="BD852" i="4" s="1"/>
  <c r="BE852" i="4" s="1"/>
  <c r="BH46" i="4"/>
  <c r="BH57" i="4" s="1"/>
  <c r="BI57" i="4"/>
  <c r="BA748" i="4"/>
  <c r="BH163" i="4"/>
  <c r="BH164" i="4" s="1"/>
  <c r="BW129" i="4"/>
  <c r="CQ550" i="4"/>
  <c r="BX291" i="4"/>
  <c r="DJ545" i="4"/>
  <c r="DJ562" i="4" s="1"/>
  <c r="BK61" i="4"/>
  <c r="BH61" i="4"/>
  <c r="CX61" i="4"/>
  <c r="BR84" i="4"/>
  <c r="BU85" i="4" s="1"/>
  <c r="BQ85" i="4"/>
  <c r="BM386" i="4"/>
  <c r="BM387" i="4" s="1"/>
  <c r="BM389" i="4" s="1"/>
  <c r="BM390" i="4" s="1"/>
  <c r="BP88" i="4"/>
  <c r="DQ88" i="4"/>
  <c r="DT88" i="4"/>
  <c r="CR165" i="4"/>
  <c r="CS198" i="4"/>
  <c r="CU199" i="4"/>
  <c r="BQ228" i="4"/>
  <c r="BR225" i="4"/>
  <c r="BR228" i="4" s="1"/>
  <c r="BR231" i="4" s="1"/>
  <c r="BV231" i="4"/>
  <c r="BV233" i="4" s="1"/>
  <c r="BV229" i="4"/>
  <c r="CC228" i="4"/>
  <c r="CL292" i="4"/>
  <c r="CI165" i="4"/>
  <c r="BQ320" i="4"/>
  <c r="BQ318" i="4"/>
  <c r="BY320" i="4"/>
  <c r="CA320" i="4" s="1"/>
  <c r="CB318" i="4"/>
  <c r="CA317" i="4"/>
  <c r="BY318" i="4"/>
  <c r="CD317" i="4"/>
  <c r="CC320" i="4"/>
  <c r="CC322" i="4" s="1"/>
  <c r="BA163" i="4"/>
  <c r="BD355" i="4"/>
  <c r="BZ397" i="4"/>
  <c r="BZ398" i="4" s="1"/>
  <c r="CA395" i="4"/>
  <c r="BP333" i="4"/>
  <c r="BP242" i="4"/>
  <c r="BI429" i="4"/>
  <c r="BH435" i="4"/>
  <c r="BE475" i="4"/>
  <c r="BF469" i="4"/>
  <c r="BK454" i="4"/>
  <c r="BG53" i="4"/>
  <c r="BM522" i="4"/>
  <c r="BN520" i="4"/>
  <c r="BN522" i="4" s="1"/>
  <c r="BV522" i="4"/>
  <c r="BV534" i="4" s="1"/>
  <c r="BV535" i="4" s="1"/>
  <c r="BW522" i="4"/>
  <c r="BW534" i="4" s="1"/>
  <c r="CV88" i="4"/>
  <c r="CC318" i="4"/>
  <c r="BQ32" i="4"/>
  <c r="BQ48" i="4"/>
  <c r="BQ69" i="4" s="1"/>
  <c r="BO395" i="4"/>
  <c r="CG198" i="4"/>
  <c r="DN665" i="2"/>
  <c r="CR199" i="4"/>
  <c r="CE199" i="4"/>
  <c r="BT85" i="4"/>
  <c r="BE465" i="4"/>
  <c r="BN61" i="4"/>
  <c r="BF452" i="4"/>
  <c r="CJ291" i="4"/>
  <c r="BL356" i="4"/>
  <c r="BX395" i="4"/>
  <c r="BF431" i="4"/>
  <c r="BL431" i="4"/>
  <c r="BI433" i="4"/>
  <c r="BI438" i="4"/>
  <c r="BC440" i="4"/>
  <c r="BI440" i="4"/>
  <c r="BE444" i="4"/>
  <c r="BC448" i="4"/>
  <c r="BG454" i="4"/>
  <c r="BC461" i="4"/>
  <c r="BI461" i="4"/>
  <c r="BK465" i="4"/>
  <c r="BI469" i="4"/>
  <c r="BC473" i="4"/>
  <c r="BR473" i="4"/>
  <c r="CA489" i="4"/>
  <c r="DP562" i="4"/>
  <c r="DH287" i="4"/>
  <c r="DN287" i="4"/>
  <c r="EI287" i="4"/>
  <c r="EO287" i="4"/>
  <c r="BW292" i="4"/>
  <c r="BJ534" i="4"/>
  <c r="BZ46" i="4"/>
  <c r="BZ57" i="4" s="1"/>
  <c r="BJ58" i="4"/>
  <c r="BJ61" i="4"/>
  <c r="CB61" i="4"/>
  <c r="DO61" i="4"/>
  <c r="BO76" i="4"/>
  <c r="DB76" i="4"/>
  <c r="DN76" i="4"/>
  <c r="BI79" i="4"/>
  <c r="DB79" i="4"/>
  <c r="DN79" i="4"/>
  <c r="DN194" i="4"/>
  <c r="EC194" i="4"/>
  <c r="EI194" i="4"/>
  <c r="EO194" i="4"/>
  <c r="CC199" i="4"/>
  <c r="BE271" i="4"/>
  <c r="CY287" i="4"/>
  <c r="DK287" i="4"/>
  <c r="EF287" i="4"/>
  <c r="EL287" i="4"/>
  <c r="ER287" i="4"/>
  <c r="DQ550" i="4"/>
  <c r="CY14" i="4"/>
  <c r="BZ322" i="4"/>
  <c r="BZ321" i="4"/>
  <c r="BZ323" i="4" s="1"/>
  <c r="BZ324" i="4" s="1"/>
  <c r="CB231" i="4"/>
  <c r="CB229" i="4"/>
  <c r="BW320" i="4"/>
  <c r="BX320" i="4" s="1"/>
  <c r="BW318" i="4"/>
  <c r="BX317" i="4"/>
  <c r="EG376" i="4"/>
  <c r="EH376" i="4" s="1"/>
  <c r="EH393" i="4" s="1"/>
  <c r="EE376" i="4"/>
  <c r="EE393" i="4" s="1"/>
  <c r="CE320" i="4"/>
  <c r="CG317" i="4"/>
  <c r="CD395" i="4"/>
  <c r="CB397" i="4"/>
  <c r="CD397" i="4" s="1"/>
  <c r="BD435" i="4"/>
  <c r="BF429" i="4"/>
  <c r="BB435" i="4"/>
  <c r="BC433" i="4"/>
  <c r="BC438" i="4"/>
  <c r="BA444" i="4"/>
  <c r="BA454" i="4"/>
  <c r="BC452" i="4"/>
  <c r="BC459" i="4"/>
  <c r="BA465" i="4"/>
  <c r="BI459" i="4"/>
  <c r="BG465" i="4"/>
  <c r="BC471" i="4"/>
  <c r="BA475" i="4"/>
  <c r="BI471" i="4"/>
  <c r="BH475" i="4"/>
  <c r="BL473" i="4"/>
  <c r="BJ475" i="4"/>
  <c r="BM69" i="4"/>
  <c r="BM49" i="4"/>
  <c r="BM51" i="4" s="1"/>
  <c r="BM6" i="4" s="1"/>
  <c r="CN61" i="4"/>
  <c r="CK61" i="4"/>
  <c r="CW61" i="4"/>
  <c r="CZ61" i="4"/>
  <c r="DC61" i="4"/>
  <c r="DF61" i="4"/>
  <c r="BI54" i="4"/>
  <c r="BL54" i="4"/>
  <c r="BP317" i="4"/>
  <c r="BR78" i="4"/>
  <c r="BS79" i="4"/>
  <c r="BP295" i="4"/>
  <c r="BO84" i="4"/>
  <c r="BP84" i="4" s="1"/>
  <c r="BR87" i="4"/>
  <c r="BU88" i="4" s="1"/>
  <c r="BQ88" i="4"/>
  <c r="BT88" i="4"/>
  <c r="BH178" i="4"/>
  <c r="BH180" i="4" s="1"/>
  <c r="BH181" i="4" s="1"/>
  <c r="BH176" i="4"/>
  <c r="BI175" i="4"/>
  <c r="BI176" i="4" s="1"/>
  <c r="BW165" i="4"/>
  <c r="BZ199" i="4"/>
  <c r="BW199" i="4"/>
  <c r="CH165" i="4"/>
  <c r="CK199" i="4"/>
  <c r="CH199" i="4"/>
  <c r="BP231" i="4"/>
  <c r="BP232" i="4" s="1"/>
  <c r="BP229" i="4"/>
  <c r="CD225" i="4"/>
  <c r="CD228" i="4" s="1"/>
  <c r="CD231" i="4" s="1"/>
  <c r="CD233" i="4" s="1"/>
  <c r="CA291" i="4"/>
  <c r="BZ292" i="4"/>
  <c r="CC292" i="4"/>
  <c r="CG291" i="4"/>
  <c r="CI292" i="4"/>
  <c r="BM320" i="4"/>
  <c r="BO320" i="4" s="1"/>
  <c r="BO317" i="4"/>
  <c r="BT320" i="4"/>
  <c r="BT318" i="4"/>
  <c r="BK517" i="4"/>
  <c r="BK534" i="4" s="1"/>
  <c r="BK535" i="4" s="1"/>
  <c r="BL535" i="4" s="1"/>
  <c r="BM515" i="4"/>
  <c r="CG521" i="4"/>
  <c r="CE522" i="4" s="1"/>
  <c r="CE534" i="4" s="1"/>
  <c r="CB522" i="4"/>
  <c r="CB534" i="4" s="1"/>
  <c r="CB535" i="4" s="1"/>
  <c r="DN50" i="4"/>
  <c r="BA161" i="2"/>
  <c r="BA68" i="2"/>
  <c r="BA178" i="2"/>
  <c r="BA154" i="2"/>
  <c r="BK31" i="4"/>
  <c r="BK66" i="4"/>
  <c r="BH18" i="4"/>
  <c r="BL32" i="4"/>
  <c r="EE48" i="4"/>
  <c r="EF48" i="4" s="1"/>
  <c r="EF18" i="4"/>
  <c r="EL18" i="4"/>
  <c r="EJ48" i="4"/>
  <c r="BQ55" i="4"/>
  <c r="BQ42" i="4"/>
  <c r="BQ56" i="4"/>
  <c r="BN56" i="4"/>
  <c r="BV322" i="4"/>
  <c r="BV321" i="4"/>
  <c r="CI392" i="4"/>
  <c r="CY194" i="4"/>
  <c r="DE194" i="4"/>
  <c r="DK194" i="4"/>
  <c r="EL194" i="4"/>
  <c r="ER194" i="4"/>
  <c r="BB757" i="4"/>
  <c r="BB765" i="4" s="1"/>
  <c r="DY364" i="4"/>
  <c r="EB364" i="4" s="1"/>
  <c r="EE364" i="4" s="1"/>
  <c r="EH364" i="4" s="1"/>
  <c r="EK364" i="4" s="1"/>
  <c r="EN364" i="4" s="1"/>
  <c r="EQ364" i="4" s="1"/>
  <c r="ET364" i="4" s="1"/>
  <c r="BU291" i="4"/>
  <c r="BL463" i="4"/>
  <c r="BI76" i="4"/>
  <c r="BP254" i="4"/>
  <c r="BJ53" i="4"/>
  <c r="BK47" i="4"/>
  <c r="BL47" i="4" s="1"/>
  <c r="BH55" i="4"/>
  <c r="BN57" i="4"/>
  <c r="AW68" i="2"/>
  <c r="BG73" i="2"/>
  <c r="BG4" i="3"/>
  <c r="BG10" i="3" s="1"/>
  <c r="BK42" i="4"/>
  <c r="DN201" i="3"/>
  <c r="DN199" i="3" s="1"/>
  <c r="BG161" i="2"/>
  <c r="BG331" i="2"/>
  <c r="BJ154" i="2"/>
  <c r="CN562" i="4"/>
  <c r="CN563" i="4" s="1"/>
  <c r="CN18" i="4" s="1"/>
  <c r="CP545" i="4"/>
  <c r="EO48" i="4"/>
  <c r="DQ76" i="4"/>
  <c r="BU198" i="4"/>
  <c r="EP32" i="4"/>
  <c r="DK369" i="4"/>
  <c r="DM665" i="2"/>
  <c r="DK48" i="4"/>
  <c r="BB759" i="4"/>
  <c r="BB767" i="4" s="1"/>
  <c r="CE61" i="4"/>
  <c r="BT365" i="4"/>
  <c r="DR550" i="4"/>
  <c r="DT550" i="4" s="1"/>
  <c r="BN21" i="4"/>
  <c r="BO21" i="4" s="1"/>
  <c r="BN66" i="4"/>
  <c r="BJ32" i="4"/>
  <c r="BJ20" i="4"/>
  <c r="EG32" i="4"/>
  <c r="EJ32" i="4"/>
  <c r="EI18" i="4"/>
  <c r="EG48" i="4"/>
  <c r="EI48" i="4" s="1"/>
  <c r="EO18" i="4"/>
  <c r="EQ32" i="4"/>
  <c r="BE56" i="4"/>
  <c r="BH56" i="4"/>
  <c r="CF322" i="4"/>
  <c r="CF321" i="4"/>
  <c r="BB163" i="4"/>
  <c r="BE164" i="4" s="1"/>
  <c r="BE355" i="4"/>
  <c r="BJ4" i="3"/>
  <c r="BJ10" i="3" s="1"/>
  <c r="BJ178" i="2"/>
  <c r="BJ331" i="2"/>
  <c r="BJ161" i="2"/>
  <c r="BO81" i="4"/>
  <c r="BN215" i="4"/>
  <c r="BN386" i="4"/>
  <c r="BN387" i="4" s="1"/>
  <c r="BO87" i="4"/>
  <c r="BZ165" i="4"/>
  <c r="CA198" i="4"/>
  <c r="CF165" i="4"/>
  <c r="CF199" i="4"/>
  <c r="BM228" i="4"/>
  <c r="BO225" i="4"/>
  <c r="BO228" i="4" s="1"/>
  <c r="BO231" i="4" s="1"/>
  <c r="BX46" i="4"/>
  <c r="BY57" i="4"/>
  <c r="BV57" i="4"/>
  <c r="BK18" i="4"/>
  <c r="AW12" i="4"/>
  <c r="AW178" i="2"/>
  <c r="AW161" i="2"/>
  <c r="BI50" i="4"/>
  <c r="BG71" i="4"/>
  <c r="BG61" i="4"/>
  <c r="BM61" i="4"/>
  <c r="BO50" i="4"/>
  <c r="BU50" i="4"/>
  <c r="BV61" i="4"/>
  <c r="ED484" i="4"/>
  <c r="CE57" i="4"/>
  <c r="BN525" i="4"/>
  <c r="BN47" i="4"/>
  <c r="BO47" i="4" s="1"/>
  <c r="AX865" i="4"/>
  <c r="BL471" i="4"/>
  <c r="CL159" i="4"/>
  <c r="CL50" i="4" s="1"/>
  <c r="CL61" i="4" s="1"/>
  <c r="DG50" i="4"/>
  <c r="DH50" i="4" s="1"/>
  <c r="BO397" i="4"/>
  <c r="CH392" i="4"/>
  <c r="BS360" i="4"/>
  <c r="BE261" i="4"/>
  <c r="BC260" i="4"/>
  <c r="BS233" i="4"/>
  <c r="BN322" i="4"/>
  <c r="BN321" i="4"/>
  <c r="BN323" i="4" s="1"/>
  <c r="DP665" i="2"/>
  <c r="DA292" i="4"/>
  <c r="DA121" i="4"/>
  <c r="DA165" i="4"/>
  <c r="DB291" i="4"/>
  <c r="CZ121" i="4"/>
  <c r="BP530" i="4"/>
  <c r="BN532" i="4"/>
  <c r="DU61" i="4"/>
  <c r="AW4" i="3"/>
  <c r="AW10" i="3" s="1"/>
  <c r="BA331" i="2"/>
  <c r="BM58" i="4"/>
  <c r="BQ213" i="4"/>
  <c r="DB369" i="4"/>
  <c r="EL369" i="4"/>
  <c r="ED393" i="4"/>
  <c r="DS50" i="4"/>
  <c r="DV61" i="4" s="1"/>
  <c r="BS277" i="4"/>
  <c r="BV277" i="4" s="1"/>
  <c r="BY277" i="4" s="1"/>
  <c r="CB277" i="4" s="1"/>
  <c r="CE277" i="4" s="1"/>
  <c r="CH277" i="4" s="1"/>
  <c r="CK277" i="4" s="1"/>
  <c r="CN277" i="4" s="1"/>
  <c r="CQ185" i="4"/>
  <c r="BA73" i="2"/>
  <c r="BA4" i="3"/>
  <c r="BA10" i="3" s="1"/>
  <c r="BH43" i="4"/>
  <c r="BQ386" i="4"/>
  <c r="CD198" i="4"/>
  <c r="CJ198" i="4"/>
  <c r="BN247" i="4"/>
  <c r="BT495" i="4"/>
  <c r="BL136" i="4"/>
  <c r="CC151" i="4"/>
  <c r="DI545" i="4"/>
  <c r="DG444" i="4"/>
  <c r="AW73" i="2"/>
  <c r="AW331" i="2"/>
  <c r="CO550" i="4"/>
  <c r="CP550" i="4" s="1"/>
  <c r="CR550" i="4"/>
  <c r="BK178" i="4"/>
  <c r="BK168" i="4" s="1"/>
  <c r="BG178" i="4"/>
  <c r="BG168" i="4" s="1"/>
  <c r="BJ173" i="4"/>
  <c r="BG163" i="4"/>
  <c r="DM211" i="2"/>
  <c r="BD178" i="4"/>
  <c r="DM201" i="3"/>
  <c r="DM199" i="3" s="1"/>
  <c r="BD163" i="4"/>
  <c r="BE179" i="4"/>
  <c r="BN178" i="4"/>
  <c r="BN180" i="4" s="1"/>
  <c r="BN64" i="4"/>
  <c r="BN54" i="4"/>
  <c r="BE42" i="4"/>
  <c r="BE5" i="4" s="1"/>
  <c r="BN42" i="4"/>
  <c r="BD578" i="4"/>
  <c r="BE578" i="4" s="1"/>
  <c r="BI578" i="4"/>
  <c r="BL578" i="4" s="1"/>
  <c r="AX830" i="4"/>
  <c r="AX831" i="4" s="1"/>
  <c r="BG834" i="4"/>
  <c r="BH834" i="4" s="1"/>
  <c r="AX848" i="4"/>
  <c r="AX849" i="4" s="1"/>
  <c r="AX883" i="4"/>
  <c r="BO834" i="4"/>
  <c r="BR834" i="4" s="1"/>
  <c r="BU834" i="4" s="1"/>
  <c r="BJ834" i="4"/>
  <c r="BK834" i="4" s="1"/>
  <c r="BI837" i="4"/>
  <c r="BD855" i="4"/>
  <c r="BE855" i="4" s="1"/>
  <c r="AY854" i="4"/>
  <c r="AY824" i="4"/>
  <c r="AZ824" i="4" s="1"/>
  <c r="AX567" i="4"/>
  <c r="AY567" i="4" s="1"/>
  <c r="BC835" i="4"/>
  <c r="AX825" i="4"/>
  <c r="AY816" i="4"/>
  <c r="AX651" i="4"/>
  <c r="AX569" i="4"/>
  <c r="DI59" i="4"/>
  <c r="DJ665" i="2"/>
  <c r="DK85" i="4"/>
  <c r="BQ360" i="4"/>
  <c r="DT167" i="4"/>
  <c r="DT41" i="4"/>
  <c r="BX95" i="4"/>
  <c r="BX498" i="4" s="1"/>
  <c r="BX259" i="4"/>
  <c r="BX14" i="4"/>
  <c r="BX74" i="4"/>
  <c r="BX117" i="4"/>
  <c r="BX419" i="4"/>
  <c r="BX167" i="4"/>
  <c r="AT41" i="4"/>
  <c r="AT74" i="4"/>
  <c r="CX414" i="4"/>
  <c r="DA414" i="4" s="1"/>
  <c r="DD414" i="4" s="1"/>
  <c r="CZ414" i="4"/>
  <c r="DC414" i="4" s="1"/>
  <c r="DF414" i="4" s="1"/>
  <c r="DG414" i="4" s="1"/>
  <c r="BA810" i="4"/>
  <c r="BA816" i="4" s="1"/>
  <c r="AZ816" i="4"/>
  <c r="BX41" i="4"/>
  <c r="DT419" i="4"/>
  <c r="BX350" i="4"/>
  <c r="BV398" i="4"/>
  <c r="BX397" i="4"/>
  <c r="BX398" i="4" s="1"/>
  <c r="BE16" i="4"/>
  <c r="BE30" i="4" s="1"/>
  <c r="BE422" i="4"/>
  <c r="CI534" i="4"/>
  <c r="CI535" i="4" s="1"/>
  <c r="CJ535" i="4" s="1"/>
  <c r="CJ512" i="4"/>
  <c r="BX507" i="4"/>
  <c r="BZ231" i="4"/>
  <c r="BZ229" i="4"/>
  <c r="CA229" i="4" s="1"/>
  <c r="BD53" i="4"/>
  <c r="DE79" i="4"/>
  <c r="DN369" i="4"/>
  <c r="BF442" i="4"/>
  <c r="BL442" i="4"/>
  <c r="BW151" i="4"/>
  <c r="CL184" i="4"/>
  <c r="CK363" i="4"/>
  <c r="EE109" i="4"/>
  <c r="CK102" i="4"/>
  <c r="CH746" i="4"/>
  <c r="BN31" i="4"/>
  <c r="EM32" i="4"/>
  <c r="CG50" i="4"/>
  <c r="DQ79" i="4"/>
  <c r="CC165" i="4"/>
  <c r="BN242" i="4"/>
  <c r="BD475" i="4"/>
  <c r="CK276" i="4"/>
  <c r="BQ54" i="4"/>
  <c r="BY61" i="4"/>
  <c r="DT76" i="4"/>
  <c r="BY165" i="4"/>
  <c r="BN333" i="4"/>
  <c r="DH369" i="4"/>
  <c r="ER369" i="4"/>
  <c r="EU369" i="4" s="1"/>
  <c r="EX369" i="4" s="1"/>
  <c r="FA369" i="4" s="1"/>
  <c r="BC442" i="4"/>
  <c r="BB475" i="4"/>
  <c r="BF471" i="4"/>
  <c r="AY758" i="4"/>
  <c r="AY766" i="4" s="1"/>
  <c r="BF747" i="4"/>
  <c r="DU538" i="4"/>
  <c r="DU540" i="4" s="1"/>
  <c r="CQ99" i="4"/>
  <c r="CN173" i="4"/>
  <c r="EI152" i="4"/>
  <c r="BF745" i="4"/>
  <c r="AN754" i="4"/>
  <c r="AQ754" i="4" s="1"/>
  <c r="AT754" i="4" s="1"/>
  <c r="DC562" i="4"/>
  <c r="DC563" i="4" s="1"/>
  <c r="CW540" i="4"/>
  <c r="CY540" i="4" s="1"/>
  <c r="CT562" i="4"/>
  <c r="CT563" i="4" s="1"/>
  <c r="CI105" i="4"/>
  <c r="CD747" i="4"/>
  <c r="CX545" i="4"/>
  <c r="CY545" i="4" s="1"/>
  <c r="BT277" i="4"/>
  <c r="BW277" i="4" s="1"/>
  <c r="DN18" i="4"/>
  <c r="DH18" i="4"/>
  <c r="DD562" i="4"/>
  <c r="DD563" i="4" s="1"/>
  <c r="DK18" i="4"/>
  <c r="DO562" i="4"/>
  <c r="BE66" i="2"/>
  <c r="BF64" i="2"/>
  <c r="CP618" i="2"/>
  <c r="BM84" i="2"/>
  <c r="BM10" i="2" s="1"/>
  <c r="BN83" i="2"/>
  <c r="CS39" i="2"/>
  <c r="CR192" i="2"/>
  <c r="CR181" i="3" s="1"/>
  <c r="CF197" i="2"/>
  <c r="CF186" i="3" s="1"/>
  <c r="CG40" i="2"/>
  <c r="CG34" i="2" s="1"/>
  <c r="CG620" i="2" s="1"/>
  <c r="CG196" i="2"/>
  <c r="BG199" i="2"/>
  <c r="BH200" i="2"/>
  <c r="BH190" i="3" s="1"/>
  <c r="BB290" i="2"/>
  <c r="BF166" i="2"/>
  <c r="BC166" i="2"/>
  <c r="BC120" i="3"/>
  <c r="BC119" i="3" s="1"/>
  <c r="BC304" i="2"/>
  <c r="BF120" i="3"/>
  <c r="BF119" i="3" s="1"/>
  <c r="BC513" i="2"/>
  <c r="BD120" i="3"/>
  <c r="BD119" i="3" s="1"/>
  <c r="BC329" i="2"/>
  <c r="BB329" i="2" s="1"/>
  <c r="BB330" i="2" s="1"/>
  <c r="BY322" i="2"/>
  <c r="BY625" i="2"/>
  <c r="BY627" i="2" s="1"/>
  <c r="S396" i="2"/>
  <c r="S385" i="2"/>
  <c r="AM407" i="2"/>
  <c r="CU563" i="2"/>
  <c r="CU564" i="2"/>
  <c r="AE26" i="3"/>
  <c r="AE180" i="3"/>
  <c r="AD57" i="2"/>
  <c r="AD26" i="3" s="1"/>
  <c r="BO64" i="2"/>
  <c r="BN66" i="2"/>
  <c r="BB189" i="2"/>
  <c r="BA176" i="3"/>
  <c r="BA179" i="3"/>
  <c r="BA180" i="3"/>
  <c r="EH192" i="2"/>
  <c r="EH181" i="3" s="1"/>
  <c r="EG39" i="2"/>
  <c r="EH39" i="2" s="1"/>
  <c r="AU329" i="2"/>
  <c r="AU330" i="2" s="1"/>
  <c r="AU120" i="3"/>
  <c r="AU119" i="3" s="1"/>
  <c r="AU304" i="2"/>
  <c r="CN625" i="2"/>
  <c r="CN627" i="2" s="1"/>
  <c r="CN322" i="2"/>
  <c r="AU362" i="2"/>
  <c r="CK566" i="2"/>
  <c r="CK384" i="2"/>
  <c r="CL374" i="2"/>
  <c r="CL396" i="2" s="1"/>
  <c r="CL398" i="2" s="1"/>
  <c r="CD522" i="2"/>
  <c r="CD530" i="2" s="1"/>
  <c r="CC413" i="2"/>
  <c r="CD529" i="2"/>
  <c r="DK533" i="2"/>
  <c r="DK541" i="2" s="1"/>
  <c r="DJ423" i="2"/>
  <c r="DK540" i="2"/>
  <c r="BT564" i="2"/>
  <c r="BT563" i="2"/>
  <c r="BR563" i="2"/>
  <c r="BR564" i="2"/>
  <c r="I75" i="3"/>
  <c r="H75" i="3"/>
  <c r="CM207" i="3"/>
  <c r="AY20" i="3"/>
  <c r="AY244" i="3"/>
  <c r="AY309" i="3"/>
  <c r="AY13" i="3"/>
  <c r="BI461" i="2"/>
  <c r="BH63" i="2"/>
  <c r="BH461" i="2" s="1"/>
  <c r="BB193" i="2"/>
  <c r="BC205" i="2"/>
  <c r="BC214" i="2" s="1"/>
  <c r="BC213" i="2" s="1"/>
  <c r="CT199" i="2"/>
  <c r="CU200" i="2"/>
  <c r="CU190" i="3" s="1"/>
  <c r="AY247" i="2"/>
  <c r="AO166" i="2"/>
  <c r="W233" i="3"/>
  <c r="X361" i="2"/>
  <c r="Y361" i="2" s="1"/>
  <c r="BN552" i="2"/>
  <c r="BN553" i="2"/>
  <c r="AX26" i="3"/>
  <c r="AX180" i="3"/>
  <c r="BE58" i="2"/>
  <c r="BD57" i="2"/>
  <c r="BE57" i="2" s="1"/>
  <c r="AZ618" i="2"/>
  <c r="AY80" i="2"/>
  <c r="AY81" i="2" s="1"/>
  <c r="AY147" i="3" s="1"/>
  <c r="AZ84" i="2"/>
  <c r="AZ81" i="2"/>
  <c r="AZ499" i="2"/>
  <c r="I189" i="2"/>
  <c r="J205" i="2"/>
  <c r="J180" i="3"/>
  <c r="CL248" i="2"/>
  <c r="CM247" i="2"/>
  <c r="CM33" i="3"/>
  <c r="CL33" i="3"/>
  <c r="CO284" i="2"/>
  <c r="CP283" i="2"/>
  <c r="CO283" i="2" s="1"/>
  <c r="AT337" i="2"/>
  <c r="AS297" i="2"/>
  <c r="AS91" i="3" s="1"/>
  <c r="AT91" i="3"/>
  <c r="BV626" i="2"/>
  <c r="BV627" i="2" s="1"/>
  <c r="BV322" i="2"/>
  <c r="BE233" i="3"/>
  <c r="BF233" i="3" s="1"/>
  <c r="BG361" i="2"/>
  <c r="AO415" i="2"/>
  <c r="BE540" i="2"/>
  <c r="BE533" i="2"/>
  <c r="BE541" i="2" s="1"/>
  <c r="DP552" i="2"/>
  <c r="DP553" i="2"/>
  <c r="E13" i="3"/>
  <c r="E20" i="3"/>
  <c r="E309" i="3"/>
  <c r="E244" i="3"/>
  <c r="BQ63" i="2"/>
  <c r="Z462" i="2"/>
  <c r="Z62" i="2"/>
  <c r="Z27" i="3" s="1"/>
  <c r="Z28" i="3" s="1"/>
  <c r="R189" i="2"/>
  <c r="S180" i="3"/>
  <c r="S205" i="2"/>
  <c r="S214" i="2" s="1"/>
  <c r="CW189" i="2"/>
  <c r="CX190" i="2"/>
  <c r="DV181" i="3"/>
  <c r="DU39" i="2"/>
  <c r="DV39" i="2" s="1"/>
  <c r="BY196" i="2"/>
  <c r="BY40" i="2"/>
  <c r="CI200" i="2"/>
  <c r="CI190" i="3" s="1"/>
  <c r="CJ199" i="2"/>
  <c r="BQ173" i="4"/>
  <c r="BN163" i="4"/>
  <c r="BN205" i="4"/>
  <c r="DS540" i="2"/>
  <c r="DS533" i="2"/>
  <c r="DS541" i="2" s="1"/>
  <c r="AW29" i="2"/>
  <c r="AW568" i="2"/>
  <c r="AW177" i="2"/>
  <c r="AW372" i="2"/>
  <c r="AW2" i="3"/>
  <c r="AW13" i="3" s="1"/>
  <c r="AW347" i="2"/>
  <c r="AW2" i="4"/>
  <c r="AW326" i="2"/>
  <c r="AW493" i="2"/>
  <c r="AW228" i="2"/>
  <c r="AL34" i="2"/>
  <c r="AL42" i="2" s="1"/>
  <c r="AL24" i="3"/>
  <c r="AS29" i="2"/>
  <c r="AS9" i="2"/>
  <c r="EH41" i="2"/>
  <c r="AY57" i="2"/>
  <c r="AG85" i="2"/>
  <c r="AX205" i="2"/>
  <c r="AY196" i="2"/>
  <c r="BV196" i="2"/>
  <c r="BV40" i="2"/>
  <c r="ER196" i="2"/>
  <c r="BJ196" i="2"/>
  <c r="BJ40" i="2"/>
  <c r="CW466" i="2"/>
  <c r="N222" i="2"/>
  <c r="O220" i="2"/>
  <c r="CC38" i="2"/>
  <c r="AR26" i="3"/>
  <c r="AS57" i="2"/>
  <c r="AS26" i="3" s="1"/>
  <c r="DX461" i="2"/>
  <c r="DY63" i="2"/>
  <c r="DY461" i="2" s="1"/>
  <c r="EH198" i="2"/>
  <c r="EH187" i="3" s="1"/>
  <c r="EI40" i="2"/>
  <c r="EI196" i="2"/>
  <c r="BK201" i="2"/>
  <c r="BK191" i="3" s="1"/>
  <c r="BJ199" i="2"/>
  <c r="EJ206" i="2"/>
  <c r="EK207" i="2"/>
  <c r="EK197" i="3" s="1"/>
  <c r="EQ207" i="2"/>
  <c r="EQ197" i="3" s="1"/>
  <c r="ER206" i="2"/>
  <c r="CM206" i="2"/>
  <c r="CL208" i="2"/>
  <c r="CL198" i="3" s="1"/>
  <c r="CL196" i="3" s="1"/>
  <c r="BC168" i="4"/>
  <c r="BE64" i="3"/>
  <c r="BE66" i="3" s="1"/>
  <c r="AL66" i="3"/>
  <c r="BW29" i="2"/>
  <c r="BW9" i="2"/>
  <c r="CU67" i="2"/>
  <c r="CT64" i="2"/>
  <c r="AH72" i="2"/>
  <c r="AG72" i="2" s="1"/>
  <c r="AG4" i="3" s="1"/>
  <c r="AG10" i="3" s="1"/>
  <c r="AG74" i="2"/>
  <c r="BN220" i="2"/>
  <c r="BN197" i="2"/>
  <c r="BN186" i="3" s="1"/>
  <c r="DR627" i="2"/>
  <c r="CN93" i="2"/>
  <c r="CO93" i="2" s="1"/>
  <c r="CO95" i="2"/>
  <c r="CD463" i="2"/>
  <c r="CC183" i="2"/>
  <c r="CC463" i="2" s="1"/>
  <c r="BE9" i="2"/>
  <c r="BE29" i="2"/>
  <c r="R33" i="2"/>
  <c r="BW37" i="2"/>
  <c r="CZ461" i="2"/>
  <c r="DA63" i="2"/>
  <c r="DA461" i="2" s="1"/>
  <c r="CL67" i="2"/>
  <c r="M72" i="2"/>
  <c r="L72" i="2" s="1"/>
  <c r="L4" i="3" s="1"/>
  <c r="L10" i="3" s="1"/>
  <c r="L74" i="2"/>
  <c r="AY117" i="2"/>
  <c r="CI144" i="2"/>
  <c r="AA189" i="2"/>
  <c r="Z205" i="2"/>
  <c r="Z214" i="2" s="1"/>
  <c r="Z213" i="2" s="1"/>
  <c r="BS196" i="2"/>
  <c r="DA198" i="2"/>
  <c r="DA187" i="3" s="1"/>
  <c r="CZ40" i="2"/>
  <c r="DA40" i="2" s="1"/>
  <c r="AJ33" i="2"/>
  <c r="AY35" i="2"/>
  <c r="CF35" i="2"/>
  <c r="EB36" i="2"/>
  <c r="EE37" i="2"/>
  <c r="BH38" i="2"/>
  <c r="DG38" i="2"/>
  <c r="EH38" i="2"/>
  <c r="BE41" i="2"/>
  <c r="DA41" i="2"/>
  <c r="DJ41" i="2"/>
  <c r="CO66" i="2"/>
  <c r="EQ66" i="2"/>
  <c r="BD64" i="2"/>
  <c r="BD462" i="2" s="1"/>
  <c r="F74" i="2"/>
  <c r="CC83" i="2"/>
  <c r="Q90" i="2"/>
  <c r="U92" i="2"/>
  <c r="AD92" i="2"/>
  <c r="AN115" i="2"/>
  <c r="AV92" i="2"/>
  <c r="BF92" i="2"/>
  <c r="BE92" i="2" s="1"/>
  <c r="BW92" i="2"/>
  <c r="EB92" i="2"/>
  <c r="N115" i="2"/>
  <c r="AD93" i="2"/>
  <c r="AP116" i="2"/>
  <c r="AY116" i="2"/>
  <c r="CO116" i="2"/>
  <c r="R117" i="2"/>
  <c r="BH117" i="2"/>
  <c r="BQ117" i="2"/>
  <c r="DG117" i="2"/>
  <c r="AG144" i="2"/>
  <c r="BK144" i="2"/>
  <c r="AP181" i="2"/>
  <c r="BK181" i="2"/>
  <c r="BT181" i="2"/>
  <c r="AV193" i="2"/>
  <c r="BG193" i="2"/>
  <c r="DI196" i="2"/>
  <c r="AD199" i="2"/>
  <c r="DI199" i="2"/>
  <c r="BB189" i="3"/>
  <c r="BO641" i="2"/>
  <c r="BN235" i="2"/>
  <c r="BN641" i="2" s="1"/>
  <c r="CO261" i="2"/>
  <c r="CP258" i="2"/>
  <c r="CI423" i="2"/>
  <c r="CJ540" i="2"/>
  <c r="AD33" i="2"/>
  <c r="AD35" i="2"/>
  <c r="BZ37" i="2"/>
  <c r="CU38" i="2"/>
  <c r="EB38" i="2"/>
  <c r="EK41" i="2"/>
  <c r="BQ58" i="2"/>
  <c r="BZ58" i="2"/>
  <c r="CO65" i="2"/>
  <c r="BQ66" i="2"/>
  <c r="CF67" i="2"/>
  <c r="BB74" i="2"/>
  <c r="BH82" i="2"/>
  <c r="EE82" i="2"/>
  <c r="EB83" i="2"/>
  <c r="I85" i="2"/>
  <c r="F93" i="2"/>
  <c r="AO115" i="2"/>
  <c r="BE93" i="2"/>
  <c r="AA116" i="2"/>
  <c r="BQ116" i="2"/>
  <c r="DP116" i="2"/>
  <c r="AS117" i="2"/>
  <c r="CI117" i="2"/>
  <c r="EH117" i="2"/>
  <c r="I144" i="2"/>
  <c r="T205" i="2"/>
  <c r="T214" i="2" s="1"/>
  <c r="T213" i="2" s="1"/>
  <c r="CB193" i="2"/>
  <c r="CC193" i="2" s="1"/>
  <c r="DF196" i="2"/>
  <c r="BM196" i="2"/>
  <c r="CF248" i="2"/>
  <c r="CG247" i="2"/>
  <c r="P329" i="2"/>
  <c r="O329" i="2" s="1"/>
  <c r="AA290" i="2"/>
  <c r="AB329" i="2"/>
  <c r="AA329" i="2" s="1"/>
  <c r="BQ242" i="4"/>
  <c r="BQ333" i="4"/>
  <c r="F33" i="2"/>
  <c r="AE42" i="2"/>
  <c r="BT37" i="2"/>
  <c r="AO462" i="2"/>
  <c r="BJ64" i="2"/>
  <c r="BP64" i="2"/>
  <c r="CZ64" i="2"/>
  <c r="EE67" i="2"/>
  <c r="AD74" i="2"/>
  <c r="BX84" i="2"/>
  <c r="BX115" i="2" s="1"/>
  <c r="CO83" i="2"/>
  <c r="EN83" i="2"/>
  <c r="CL92" i="2"/>
  <c r="EE92" i="2"/>
  <c r="AG93" i="2"/>
  <c r="U116" i="2"/>
  <c r="BB116" i="2"/>
  <c r="BK116" i="2"/>
  <c r="CR116" i="2"/>
  <c r="EQ116" i="2"/>
  <c r="AM117" i="2"/>
  <c r="BT117" i="2"/>
  <c r="CC117" i="2"/>
  <c r="DJ117" i="2"/>
  <c r="AJ144" i="2"/>
  <c r="BN144" i="2"/>
  <c r="F193" i="2"/>
  <c r="N205" i="2"/>
  <c r="N214" i="2" s="1"/>
  <c r="N213" i="2" s="1"/>
  <c r="DF193" i="2"/>
  <c r="DG193" i="2" s="1"/>
  <c r="L196" i="2"/>
  <c r="CW196" i="2"/>
  <c r="CC198" i="2"/>
  <c r="CC187" i="3" s="1"/>
  <c r="O199" i="2"/>
  <c r="X199" i="2"/>
  <c r="AG199" i="2"/>
  <c r="BY511" i="2"/>
  <c r="BY641" i="2"/>
  <c r="DB540" i="2"/>
  <c r="DA423" i="2"/>
  <c r="CK64" i="2"/>
  <c r="CK462" i="2" s="1"/>
  <c r="X72" i="2"/>
  <c r="X4" i="3" s="1"/>
  <c r="X10" i="3" s="1"/>
  <c r="AI74" i="2"/>
  <c r="BH284" i="2"/>
  <c r="BI283" i="2"/>
  <c r="AY423" i="2"/>
  <c r="AZ540" i="2"/>
  <c r="BQ306" i="4"/>
  <c r="BQ307" i="4"/>
  <c r="CL35" i="2"/>
  <c r="DP36" i="2"/>
  <c r="CF37" i="2"/>
  <c r="DD38" i="2"/>
  <c r="EN38" i="2"/>
  <c r="DP41" i="2"/>
  <c r="BW66" i="2"/>
  <c r="BS64" i="2"/>
  <c r="CC67" i="2"/>
  <c r="AM81" i="2"/>
  <c r="AM147" i="3" s="1"/>
  <c r="EK82" i="2"/>
  <c r="BZ83" i="2"/>
  <c r="E90" i="2"/>
  <c r="AS86" i="2"/>
  <c r="AY85" i="2"/>
  <c r="K115" i="2"/>
  <c r="EK93" i="2"/>
  <c r="AM116" i="2"/>
  <c r="BW116" i="2"/>
  <c r="DD116" i="2"/>
  <c r="DM116" i="2"/>
  <c r="F117" i="2"/>
  <c r="BE117" i="2"/>
  <c r="CO117" i="2"/>
  <c r="EE117" i="2"/>
  <c r="AV144" i="2"/>
  <c r="BW189" i="2"/>
  <c r="EN39" i="2"/>
  <c r="Q205" i="2"/>
  <c r="Q214" i="2" s="1"/>
  <c r="Q213" i="2" s="1"/>
  <c r="AJ193" i="2"/>
  <c r="CT193" i="2"/>
  <c r="BH195" i="2"/>
  <c r="BH184" i="3" s="1"/>
  <c r="CO195" i="2"/>
  <c r="CO184" i="3" s="1"/>
  <c r="AM196" i="2"/>
  <c r="BT197" i="2"/>
  <c r="BT186" i="3" s="1"/>
  <c r="CD40" i="2"/>
  <c r="CD34" i="2" s="1"/>
  <c r="EA196" i="2"/>
  <c r="BH198" i="2"/>
  <c r="BH187" i="3" s="1"/>
  <c r="R199" i="2"/>
  <c r="AA199" i="2"/>
  <c r="AJ199" i="2"/>
  <c r="CH199" i="2"/>
  <c r="BM241" i="2"/>
  <c r="I290" i="2"/>
  <c r="J329" i="2"/>
  <c r="I329" i="2" s="1"/>
  <c r="AB322" i="2"/>
  <c r="AA322" i="2" s="1"/>
  <c r="AA320" i="2"/>
  <c r="DO199" i="2"/>
  <c r="EE201" i="2"/>
  <c r="EE191" i="3" s="1"/>
  <c r="EK201" i="2"/>
  <c r="EK191" i="3" s="1"/>
  <c r="BK203" i="2"/>
  <c r="BK193" i="3" s="1"/>
  <c r="BT203" i="2"/>
  <c r="BT193" i="3" s="1"/>
  <c r="BK204" i="2"/>
  <c r="EN204" i="2"/>
  <c r="I206" i="2"/>
  <c r="AJ206" i="2"/>
  <c r="DO206" i="2"/>
  <c r="DP206" i="2" s="1"/>
  <c r="BE208" i="2"/>
  <c r="BE198" i="3" s="1"/>
  <c r="BE196" i="3" s="1"/>
  <c r="DX466" i="2"/>
  <c r="BK199" i="3"/>
  <c r="CL210" i="2"/>
  <c r="CL200" i="3" s="1"/>
  <c r="DV200" i="3"/>
  <c r="DV199" i="3" s="1"/>
  <c r="EN210" i="2"/>
  <c r="EN200" i="3" s="1"/>
  <c r="AW222" i="2"/>
  <c r="DD219" i="2"/>
  <c r="CC338" i="2"/>
  <c r="BF241" i="2"/>
  <c r="BE241" i="2" s="1"/>
  <c r="BE208" i="3" s="1"/>
  <c r="BE206" i="3" s="1"/>
  <c r="BY241" i="2"/>
  <c r="CB33" i="3"/>
  <c r="CH33" i="3"/>
  <c r="BG258" i="2"/>
  <c r="BG263" i="2" s="1"/>
  <c r="BV258" i="2"/>
  <c r="CB283" i="2"/>
  <c r="BM748" i="4"/>
  <c r="AO200" i="3"/>
  <c r="AO199" i="3" s="1"/>
  <c r="K222" i="2"/>
  <c r="T244" i="2"/>
  <c r="E263" i="2"/>
  <c r="AO263" i="2"/>
  <c r="H287" i="2"/>
  <c r="Z287" i="2"/>
  <c r="V329" i="2"/>
  <c r="U329" i="2" s="1"/>
  <c r="CZ283" i="2"/>
  <c r="CG233" i="3"/>
  <c r="J385" i="2"/>
  <c r="Y466" i="2"/>
  <c r="AQ466" i="2"/>
  <c r="V466" i="2"/>
  <c r="AN466" i="2"/>
  <c r="AS413" i="2"/>
  <c r="BM53" i="4"/>
  <c r="DE159" i="4"/>
  <c r="DD50" i="4"/>
  <c r="DE50" i="4" s="1"/>
  <c r="ED199" i="2"/>
  <c r="EG199" i="2"/>
  <c r="BT202" i="2"/>
  <c r="BT192" i="3" s="1"/>
  <c r="EK203" i="2"/>
  <c r="EK193" i="3" s="1"/>
  <c r="EB208" i="2"/>
  <c r="EB198" i="3" s="1"/>
  <c r="DG219" i="2"/>
  <c r="DP219" i="2"/>
  <c r="BV244" i="2"/>
  <c r="BV629" i="2" s="1"/>
  <c r="BU209" i="3"/>
  <c r="CN258" i="2"/>
  <c r="K287" i="2"/>
  <c r="AC287" i="2"/>
  <c r="AU287" i="2"/>
  <c r="AH466" i="2"/>
  <c r="AU466" i="2"/>
  <c r="DI564" i="2"/>
  <c r="DI563" i="2"/>
  <c r="AR222" i="2"/>
  <c r="K244" i="2"/>
  <c r="AI244" i="2"/>
  <c r="CK33" i="3"/>
  <c r="BY258" i="2"/>
  <c r="BG304" i="2"/>
  <c r="BH454" i="4"/>
  <c r="BW495" i="4"/>
  <c r="BW50" i="4"/>
  <c r="AX812" i="4"/>
  <c r="AX872" i="4" s="1"/>
  <c r="AY811" i="4"/>
  <c r="EE202" i="2"/>
  <c r="EE192" i="3" s="1"/>
  <c r="DA219" i="2"/>
  <c r="U220" i="2"/>
  <c r="P222" i="2"/>
  <c r="AG221" i="2"/>
  <c r="AY221" i="2"/>
  <c r="BD244" i="2"/>
  <c r="CW244" i="2"/>
  <c r="CW629" i="2" s="1"/>
  <c r="CH258" i="2"/>
  <c r="BR355" i="2"/>
  <c r="P385" i="2"/>
  <c r="DF553" i="2"/>
  <c r="DF552" i="2"/>
  <c r="BQ577" i="2"/>
  <c r="BQ607" i="2" s="1"/>
  <c r="EG577" i="2"/>
  <c r="EG607" i="2" s="1"/>
  <c r="BI33" i="4"/>
  <c r="BS61" i="4"/>
  <c r="BX198" i="4"/>
  <c r="BZ318" i="4"/>
  <c r="BN338" i="4"/>
  <c r="BC463" i="4"/>
  <c r="AA24" i="3"/>
  <c r="AS577" i="2"/>
  <c r="AS607" i="2" s="1"/>
  <c r="BM577" i="2"/>
  <c r="BM607" i="2" s="1"/>
  <c r="DM577" i="2"/>
  <c r="DM607" i="2" s="1"/>
  <c r="EI577" i="2"/>
  <c r="EI607" i="2" s="1"/>
  <c r="DH545" i="4"/>
  <c r="BK444" i="4"/>
  <c r="BU577" i="2"/>
  <c r="BU607" i="2" s="1"/>
  <c r="CH32" i="4"/>
  <c r="CY79" i="4"/>
  <c r="DQ82" i="4"/>
  <c r="BJ435" i="4"/>
  <c r="BL433" i="4"/>
  <c r="BF463" i="4"/>
  <c r="ER152" i="4"/>
  <c r="BR745" i="4"/>
  <c r="BC746" i="4"/>
  <c r="BC758" i="4" s="1"/>
  <c r="BC766" i="4" s="1"/>
  <c r="BL747" i="4"/>
  <c r="F23" i="3"/>
  <c r="L24" i="3"/>
  <c r="U24" i="3"/>
  <c r="AK215" i="3"/>
  <c r="AJ216" i="3"/>
  <c r="AJ215" i="3" s="1"/>
  <c r="BM215" i="4"/>
  <c r="BM217" i="4" s="1"/>
  <c r="BI44" i="3"/>
  <c r="BI47" i="3" s="1"/>
  <c r="CA44" i="3"/>
  <c r="BP577" i="2"/>
  <c r="BP607" i="2" s="1"/>
  <c r="CY50" i="4"/>
  <c r="BL79" i="4"/>
  <c r="BC178" i="4"/>
  <c r="CF318" i="4"/>
  <c r="EF369" i="4"/>
  <c r="BF461" i="4"/>
  <c r="BC130" i="4"/>
  <c r="CD745" i="4"/>
  <c r="BU746" i="4"/>
  <c r="CF103" i="4"/>
  <c r="CF102" i="4" s="1"/>
  <c r="CF99" i="4"/>
  <c r="J107" i="3"/>
  <c r="I109" i="3"/>
  <c r="I107" i="3" s="1"/>
  <c r="AM38" i="3"/>
  <c r="I69" i="3"/>
  <c r="AP69" i="3"/>
  <c r="AJ75" i="3"/>
  <c r="L78" i="3"/>
  <c r="U78" i="3"/>
  <c r="AD78" i="3"/>
  <c r="AY96" i="3"/>
  <c r="BX107" i="3"/>
  <c r="V215" i="3"/>
  <c r="U217" i="3"/>
  <c r="U215" i="3" s="1"/>
  <c r="O60" i="3"/>
  <c r="L69" i="3"/>
  <c r="AS69" i="3"/>
  <c r="AN75" i="3"/>
  <c r="F78" i="3"/>
  <c r="O78" i="3"/>
  <c r="Y107" i="3"/>
  <c r="R75" i="3"/>
  <c r="L87" i="3"/>
  <c r="AD87" i="3"/>
  <c r="AE107" i="3"/>
  <c r="R107" i="3"/>
  <c r="K189" i="3"/>
  <c r="BB110" i="3"/>
  <c r="X196" i="3"/>
  <c r="Q199" i="3"/>
  <c r="AD199" i="3"/>
  <c r="K211" i="3"/>
  <c r="P222" i="3"/>
  <c r="DI125" i="3"/>
  <c r="DI121" i="3" s="1"/>
  <c r="DH125" i="3"/>
  <c r="DH78" i="2" s="1"/>
  <c r="DG78" i="2" s="1"/>
  <c r="DH4" i="2"/>
  <c r="DH253" i="2"/>
  <c r="DH235" i="2"/>
  <c r="DH295" i="2"/>
  <c r="DG295" i="2" s="1"/>
  <c r="DS254" i="4"/>
  <c r="DV254" i="4" s="1"/>
  <c r="DR254" i="4"/>
  <c r="AF107" i="3"/>
  <c r="BF107" i="3"/>
  <c r="BB159" i="3"/>
  <c r="E189" i="3"/>
  <c r="H189" i="3"/>
  <c r="AR189" i="3"/>
  <c r="E196" i="3"/>
  <c r="K196" i="3"/>
  <c r="AD196" i="3"/>
  <c r="AW196" i="3"/>
  <c r="AU211" i="3"/>
  <c r="T211" i="3"/>
  <c r="AI211" i="3"/>
  <c r="AZ222" i="3"/>
  <c r="CV297" i="2"/>
  <c r="CW300" i="2"/>
  <c r="CS256" i="2"/>
  <c r="CQ255" i="2"/>
  <c r="T52" i="9" s="1"/>
  <c r="CS273" i="2"/>
  <c r="DV487" i="4"/>
  <c r="DX487" i="4"/>
  <c r="DY487" i="4" s="1"/>
  <c r="BC189" i="3"/>
  <c r="AR199" i="3"/>
  <c r="DM397" i="2"/>
  <c r="DL398" i="2"/>
  <c r="DR4" i="2"/>
  <c r="AB10" i="9" s="1"/>
  <c r="DR253" i="2"/>
  <c r="DR637" i="2" s="1"/>
  <c r="DR257" i="2"/>
  <c r="DR295" i="2"/>
  <c r="DL295" i="2"/>
  <c r="DL257" i="2"/>
  <c r="DL255" i="2" s="1"/>
  <c r="AU107" i="3"/>
  <c r="AK189" i="3"/>
  <c r="H215" i="3"/>
  <c r="AV215" i="3"/>
  <c r="DT258" i="2"/>
  <c r="DS258" i="2" s="1"/>
  <c r="BS183" i="4"/>
  <c r="BQ183" i="4"/>
  <c r="CV258" i="2"/>
  <c r="CU258" i="2" s="1"/>
  <c r="DH196" i="2"/>
  <c r="Y34" i="9" s="1"/>
  <c r="DH80" i="2"/>
  <c r="DH84" i="2" s="1"/>
  <c r="CL562" i="4"/>
  <c r="CL563" i="4" s="1"/>
  <c r="CQ244" i="2"/>
  <c r="T48" i="9" s="1"/>
  <c r="DN199" i="2"/>
  <c r="CQ545" i="4"/>
  <c r="CS545" i="4" s="1"/>
  <c r="AP407" i="2"/>
  <c r="AQ415" i="2"/>
  <c r="CC643" i="4"/>
  <c r="BI650" i="4"/>
  <c r="BH691" i="4"/>
  <c r="BH693" i="4"/>
  <c r="AS85" i="2"/>
  <c r="AT90" i="2"/>
  <c r="V399" i="2"/>
  <c r="U399" i="2" s="1"/>
  <c r="T399" i="2" s="1"/>
  <c r="CN469" i="2"/>
  <c r="CO469" i="2" s="1"/>
  <c r="CP469" i="2" s="1"/>
  <c r="BS323" i="4"/>
  <c r="AP341" i="2"/>
  <c r="AP333" i="2"/>
  <c r="AP169" i="3" s="1"/>
  <c r="AP165" i="3" s="1"/>
  <c r="BH649" i="4"/>
  <c r="BZ360" i="4"/>
  <c r="BN127" i="3"/>
  <c r="BN18" i="3" s="1"/>
  <c r="AM64" i="3"/>
  <c r="AM66" i="3" s="1"/>
  <c r="ED299" i="2"/>
  <c r="EF299" i="2" s="1"/>
  <c r="EB299" i="2"/>
  <c r="AV64" i="3"/>
  <c r="AV66" i="3" s="1"/>
  <c r="BI854" i="4"/>
  <c r="BD854" i="4"/>
  <c r="BE854" i="4" s="1"/>
  <c r="BA692" i="4"/>
  <c r="DZ291" i="2"/>
  <c r="BV35" i="3"/>
  <c r="AF27" i="3"/>
  <c r="AF28" i="3" s="1"/>
  <c r="Z184" i="2"/>
  <c r="AJ338" i="2"/>
  <c r="AJ334" i="2"/>
  <c r="AJ170" i="3" s="1"/>
  <c r="AJ166" i="3" s="1"/>
  <c r="BL836" i="4"/>
  <c r="BJ836" i="4" s="1"/>
  <c r="BK836" i="4" s="1"/>
  <c r="BG836" i="4"/>
  <c r="BH836" i="4" s="1"/>
  <c r="DJ38" i="2"/>
  <c r="BW110" i="3"/>
  <c r="BW17" i="3" s="1"/>
  <c r="BW107" i="3"/>
  <c r="EM568" i="2"/>
  <c r="EM148" i="2"/>
  <c r="EM372" i="2"/>
  <c r="EM29" i="2"/>
  <c r="EM2" i="3"/>
  <c r="EM309" i="3" s="1"/>
  <c r="EM9" i="2"/>
  <c r="EM2" i="4"/>
  <c r="EM90" i="4" s="1"/>
  <c r="EM326" i="2"/>
  <c r="EM177" i="2"/>
  <c r="EM228" i="2"/>
  <c r="AX757" i="4"/>
  <c r="AX765" i="4" s="1"/>
  <c r="AZ745" i="4"/>
  <c r="AX751" i="4"/>
  <c r="AX748" i="4"/>
  <c r="BQ29" i="2"/>
  <c r="BQ9" i="2"/>
  <c r="BQ568" i="2"/>
  <c r="BQ228" i="2"/>
  <c r="BQ347" i="2"/>
  <c r="BQ493" i="2"/>
  <c r="BQ148" i="2"/>
  <c r="BQ453" i="2"/>
  <c r="BQ177" i="2"/>
  <c r="BQ2" i="3"/>
  <c r="BQ326" i="2"/>
  <c r="BQ2" i="4"/>
  <c r="BQ372" i="2"/>
  <c r="EI4" i="2"/>
  <c r="EH358" i="2"/>
  <c r="CC35" i="2"/>
  <c r="BV360" i="4"/>
  <c r="BB64" i="3"/>
  <c r="N27" i="3"/>
  <c r="AJ333" i="2"/>
  <c r="AJ169" i="3" s="1"/>
  <c r="AJ165" i="3" s="1"/>
  <c r="AJ341" i="2"/>
  <c r="BN85" i="2"/>
  <c r="BO90" i="2"/>
  <c r="K416" i="2"/>
  <c r="J409" i="2"/>
  <c r="J411" i="2"/>
  <c r="J410" i="2"/>
  <c r="I410" i="2" s="1"/>
  <c r="DF44" i="3"/>
  <c r="DG44" i="3"/>
  <c r="BS507" i="4"/>
  <c r="BS14" i="4"/>
  <c r="BS117" i="4"/>
  <c r="BS167" i="4"/>
  <c r="BS95" i="4"/>
  <c r="BS41" i="4"/>
  <c r="BS350" i="4"/>
  <c r="BS74" i="4"/>
  <c r="BS419" i="4"/>
  <c r="CN309" i="3"/>
  <c r="BY309" i="3"/>
  <c r="DC309" i="3"/>
  <c r="CK309" i="3"/>
  <c r="BV309" i="3"/>
  <c r="CQ309" i="3"/>
  <c r="DF309" i="3"/>
  <c r="BP309" i="3"/>
  <c r="CW309" i="3"/>
  <c r="CT309" i="3"/>
  <c r="BM244" i="3"/>
  <c r="BM13" i="3"/>
  <c r="CB309" i="3"/>
  <c r="DI309" i="3"/>
  <c r="BM20" i="3"/>
  <c r="CZ309" i="3"/>
  <c r="BS309" i="3"/>
  <c r="AP29" i="2"/>
  <c r="AP453" i="2"/>
  <c r="AP228" i="2"/>
  <c r="AP568" i="2"/>
  <c r="AP148" i="2"/>
  <c r="AP326" i="2"/>
  <c r="AP177" i="2"/>
  <c r="AP2" i="3"/>
  <c r="AP493" i="2"/>
  <c r="AP9" i="2"/>
  <c r="AP347" i="2"/>
  <c r="AP2" i="4"/>
  <c r="AP74" i="4" s="1"/>
  <c r="BB29" i="2"/>
  <c r="BB372" i="2"/>
  <c r="BB9" i="2"/>
  <c r="BB2" i="3"/>
  <c r="BB347" i="2"/>
  <c r="BB2" i="4"/>
  <c r="BB228" i="2"/>
  <c r="BB568" i="2"/>
  <c r="BB326" i="2"/>
  <c r="BB148" i="2"/>
  <c r="BB177" i="2"/>
  <c r="BB493" i="2"/>
  <c r="CA29" i="2"/>
  <c r="CA2" i="3"/>
  <c r="CA347" i="2"/>
  <c r="CA2" i="4"/>
  <c r="CA326" i="2"/>
  <c r="CA568" i="2"/>
  <c r="CA177" i="2"/>
  <c r="CA372" i="2"/>
  <c r="CA228" i="2"/>
  <c r="CA9" i="2"/>
  <c r="CA493" i="2"/>
  <c r="CA148" i="2"/>
  <c r="CJ148" i="2"/>
  <c r="CJ9" i="2"/>
  <c r="CJ29" i="2"/>
  <c r="CJ2" i="4"/>
  <c r="CJ347" i="2"/>
  <c r="CJ568" i="2"/>
  <c r="CJ177" i="2"/>
  <c r="CJ453" i="2"/>
  <c r="CJ372" i="2"/>
  <c r="CJ228" i="2"/>
  <c r="CJ2" i="3"/>
  <c r="CJ493" i="2"/>
  <c r="CJ326" i="2"/>
  <c r="CR29" i="2"/>
  <c r="CR2" i="3"/>
  <c r="CR347" i="2"/>
  <c r="CR2" i="4"/>
  <c r="CR326" i="2"/>
  <c r="CR568" i="2"/>
  <c r="CR148" i="2"/>
  <c r="CR228" i="2"/>
  <c r="CR453" i="2"/>
  <c r="CR9" i="2"/>
  <c r="CR372" i="2"/>
  <c r="CR177" i="2"/>
  <c r="EB29" i="2"/>
  <c r="EB2" i="3"/>
  <c r="EB309" i="3" s="1"/>
  <c r="EB177" i="2"/>
  <c r="EB9" i="2"/>
  <c r="EB2" i="4"/>
  <c r="EB90" i="4" s="1"/>
  <c r="EB228" i="2"/>
  <c r="EB347" i="2"/>
  <c r="EB372" i="2"/>
  <c r="EB568" i="2"/>
  <c r="EB326" i="2"/>
  <c r="EL4" i="2"/>
  <c r="EK358" i="2"/>
  <c r="BN35" i="2"/>
  <c r="BW35" i="2"/>
  <c r="BA855" i="4"/>
  <c r="BB855" i="4" s="1"/>
  <c r="BK84" i="2"/>
  <c r="BL10" i="2"/>
  <c r="BO155" i="2"/>
  <c r="BL163" i="2"/>
  <c r="BN166" i="3"/>
  <c r="BN338" i="2"/>
  <c r="L226" i="2"/>
  <c r="N224" i="2"/>
  <c r="N226" i="2" s="1"/>
  <c r="O224" i="2" s="1"/>
  <c r="P224" i="2"/>
  <c r="P226" i="2" s="1"/>
  <c r="BH59" i="2"/>
  <c r="BI57" i="2"/>
  <c r="BG855" i="4"/>
  <c r="BH855" i="4" s="1"/>
  <c r="AX889" i="4"/>
  <c r="BM59" i="4"/>
  <c r="BJ49" i="4"/>
  <c r="BJ59" i="4"/>
  <c r="BO48" i="4"/>
  <c r="BN69" i="4"/>
  <c r="BA514" i="2"/>
  <c r="AZ515" i="2"/>
  <c r="AU66" i="3"/>
  <c r="DT117" i="4"/>
  <c r="DT259" i="4"/>
  <c r="DT507" i="4"/>
  <c r="DT74" i="4"/>
  <c r="DT95" i="4"/>
  <c r="DT498" i="4" s="1"/>
  <c r="DT14" i="4"/>
  <c r="DT350" i="4"/>
  <c r="BE20" i="3"/>
  <c r="BE309" i="3"/>
  <c r="BE13" i="3"/>
  <c r="DY197" i="2"/>
  <c r="DY186" i="3" s="1"/>
  <c r="CM40" i="2"/>
  <c r="CM196" i="2"/>
  <c r="CL198" i="2"/>
  <c r="CL187" i="3" s="1"/>
  <c r="H244" i="2"/>
  <c r="H165" i="3"/>
  <c r="DF641" i="2"/>
  <c r="DF244" i="2"/>
  <c r="AT208" i="3"/>
  <c r="AT206" i="3" s="1"/>
  <c r="AT244" i="2"/>
  <c r="AS241" i="2"/>
  <c r="AS208" i="3" s="1"/>
  <c r="AS206" i="3" s="1"/>
  <c r="AL244" i="2"/>
  <c r="AL338" i="2"/>
  <c r="AL334" i="2"/>
  <c r="AL170" i="3" s="1"/>
  <c r="AL166" i="3" s="1"/>
  <c r="AM338" i="2"/>
  <c r="BL855" i="4"/>
  <c r="BJ855" i="4" s="1"/>
  <c r="BK855" i="4" s="1"/>
  <c r="CC109" i="3"/>
  <c r="CC110" i="3" s="1"/>
  <c r="CC17" i="3" s="1"/>
  <c r="AI93" i="3"/>
  <c r="AF187" i="2"/>
  <c r="CZ626" i="2"/>
  <c r="CZ627" i="2" s="1"/>
  <c r="CZ322" i="2"/>
  <c r="AC180" i="2"/>
  <c r="AC68" i="2"/>
  <c r="AD72" i="2"/>
  <c r="AD4" i="3" s="1"/>
  <c r="AD10" i="3" s="1"/>
  <c r="AC4" i="3"/>
  <c r="AC10" i="3" s="1"/>
  <c r="X33" i="2"/>
  <c r="Y42" i="2"/>
  <c r="AG33" i="2"/>
  <c r="AH42" i="2"/>
  <c r="Z34" i="2"/>
  <c r="AA35" i="2"/>
  <c r="AR34" i="2"/>
  <c r="BK37" i="2"/>
  <c r="BE38" i="2"/>
  <c r="Q26" i="3"/>
  <c r="Q180" i="3"/>
  <c r="BL26" i="3"/>
  <c r="BL180" i="3"/>
  <c r="AA85" i="2"/>
  <c r="AB90" i="2"/>
  <c r="AO85" i="2"/>
  <c r="AP86" i="2"/>
  <c r="AW85" i="2"/>
  <c r="AV86" i="2"/>
  <c r="BF85" i="2"/>
  <c r="CC190" i="2"/>
  <c r="CD189" i="2"/>
  <c r="DA190" i="2"/>
  <c r="CZ189" i="2"/>
  <c r="DH48" i="4"/>
  <c r="DJ59" i="4"/>
  <c r="Y184" i="2"/>
  <c r="CI197" i="2"/>
  <c r="CI186" i="3" s="1"/>
  <c r="CH40" i="2"/>
  <c r="CH196" i="2"/>
  <c r="BL40" i="2"/>
  <c r="BL196" i="2"/>
  <c r="BK198" i="2"/>
  <c r="BK187" i="3" s="1"/>
  <c r="BT198" i="2"/>
  <c r="BT187" i="3" s="1"/>
  <c r="BU196" i="2"/>
  <c r="CA196" i="2"/>
  <c r="BZ198" i="2"/>
  <c r="BZ187" i="3" s="1"/>
  <c r="P165" i="3"/>
  <c r="M244" i="2"/>
  <c r="N165" i="3"/>
  <c r="M165" i="3"/>
  <c r="L231" i="2"/>
  <c r="L165" i="3" s="1"/>
  <c r="AW244" i="2"/>
  <c r="AV241" i="2"/>
  <c r="AV208" i="3" s="1"/>
  <c r="AV206" i="3" s="1"/>
  <c r="DI461" i="2"/>
  <c r="DJ63" i="2"/>
  <c r="DJ461" i="2" s="1"/>
  <c r="AB462" i="2"/>
  <c r="AA64" i="2"/>
  <c r="AA462" i="2" s="1"/>
  <c r="CC65" i="2"/>
  <c r="CB64" i="2"/>
  <c r="BY64" i="2"/>
  <c r="BZ66" i="2"/>
  <c r="BH70" i="2"/>
  <c r="BH460" i="2" s="1"/>
  <c r="BG460" i="2"/>
  <c r="AU72" i="2"/>
  <c r="AU619" i="2"/>
  <c r="BD72" i="2"/>
  <c r="BG154" i="2" s="1"/>
  <c r="BD619" i="2"/>
  <c r="BE74" i="2"/>
  <c r="BL72" i="2"/>
  <c r="BL619" i="2"/>
  <c r="BL479" i="2"/>
  <c r="AR74" i="2"/>
  <c r="AR110" i="3"/>
  <c r="AY505" i="2"/>
  <c r="AY109" i="3"/>
  <c r="AY107" i="3" s="1"/>
  <c r="BP35" i="2"/>
  <c r="BP109" i="3"/>
  <c r="BF151" i="3"/>
  <c r="BF148" i="3" s="1"/>
  <c r="BF72" i="2"/>
  <c r="BE79" i="2"/>
  <c r="BF81" i="2"/>
  <c r="CO79" i="2"/>
  <c r="CO151" i="3" s="1"/>
  <c r="CN81" i="2"/>
  <c r="CN147" i="3" s="1"/>
  <c r="CN151" i="3"/>
  <c r="CN84" i="2"/>
  <c r="BT81" i="2"/>
  <c r="BT147" i="3" s="1"/>
  <c r="BT618" i="2"/>
  <c r="BC147" i="3"/>
  <c r="BC619" i="2"/>
  <c r="BJ90" i="2"/>
  <c r="BJ10" i="2"/>
  <c r="BR84" i="2"/>
  <c r="BU155" i="2" s="1"/>
  <c r="BQ83" i="2"/>
  <c r="V205" i="2"/>
  <c r="U189" i="2"/>
  <c r="BE189" i="2"/>
  <c r="BF176" i="3"/>
  <c r="BF179" i="3" s="1"/>
  <c r="BS189" i="2"/>
  <c r="DL193" i="2"/>
  <c r="DM194" i="2"/>
  <c r="DM183" i="3" s="1"/>
  <c r="BQ184" i="3"/>
  <c r="BR193" i="2"/>
  <c r="BZ195" i="2"/>
  <c r="BZ184" i="3" s="1"/>
  <c r="CA193" i="2"/>
  <c r="AV196" i="2"/>
  <c r="AW205" i="2"/>
  <c r="DR199" i="2"/>
  <c r="DS200" i="2"/>
  <c r="DS190" i="3" s="1"/>
  <c r="CJ206" i="2"/>
  <c r="CI206" i="2" s="1"/>
  <c r="CI466" i="2" s="1"/>
  <c r="CI208" i="2"/>
  <c r="CI198" i="3" s="1"/>
  <c r="CI196" i="3" s="1"/>
  <c r="DA208" i="2"/>
  <c r="DA198" i="3" s="1"/>
  <c r="CZ206" i="2"/>
  <c r="Z222" i="2"/>
  <c r="AA219" i="2"/>
  <c r="AH222" i="2"/>
  <c r="AG219" i="2"/>
  <c r="AP219" i="2"/>
  <c r="AQ222" i="2"/>
  <c r="R266" i="2"/>
  <c r="R167" i="3" s="1"/>
  <c r="V167" i="3"/>
  <c r="T167" i="3"/>
  <c r="S167" i="3"/>
  <c r="BB335" i="2"/>
  <c r="BB171" i="3" s="1"/>
  <c r="BB167" i="3" s="1"/>
  <c r="BD336" i="2"/>
  <c r="BD186" i="2"/>
  <c r="AT226" i="3"/>
  <c r="AT24" i="2"/>
  <c r="AV211" i="3"/>
  <c r="V180" i="3"/>
  <c r="CI618" i="2"/>
  <c r="L64" i="2"/>
  <c r="L462" i="2" s="1"/>
  <c r="BQ75" i="2"/>
  <c r="BG86" i="2"/>
  <c r="AS31" i="2"/>
  <c r="AV31" i="2"/>
  <c r="AS168" i="2"/>
  <c r="AS165" i="2"/>
  <c r="AS334" i="2"/>
  <c r="AS170" i="3" s="1"/>
  <c r="AS166" i="3" s="1"/>
  <c r="AU168" i="2"/>
  <c r="BE63" i="2"/>
  <c r="BE461" i="2" s="1"/>
  <c r="BF461" i="2"/>
  <c r="K68" i="2"/>
  <c r="K60" i="2" s="1"/>
  <c r="K55" i="2" s="1"/>
  <c r="K4" i="3"/>
  <c r="K10" i="3" s="1"/>
  <c r="K180" i="2"/>
  <c r="R93" i="2"/>
  <c r="S115" i="2"/>
  <c r="BH93" i="2"/>
  <c r="P205" i="2"/>
  <c r="O189" i="2"/>
  <c r="AA193" i="2"/>
  <c r="AB205" i="2"/>
  <c r="DL40" i="2"/>
  <c r="DM198" i="2"/>
  <c r="DM187" i="3" s="1"/>
  <c r="CE33" i="3"/>
  <c r="CE247" i="2"/>
  <c r="AE252" i="2"/>
  <c r="AD255" i="2"/>
  <c r="BN300" i="2"/>
  <c r="BP300" i="2"/>
  <c r="AJ211" i="3"/>
  <c r="CG193" i="2"/>
  <c r="BF84" i="2"/>
  <c r="BJ163" i="2"/>
  <c r="BP505" i="2"/>
  <c r="BL312" i="2"/>
  <c r="BI193" i="2"/>
  <c r="CF195" i="2"/>
  <c r="CF184" i="3" s="1"/>
  <c r="BE67" i="2"/>
  <c r="L33" i="2"/>
  <c r="M42" i="2"/>
  <c r="T42" i="2"/>
  <c r="U33" i="2"/>
  <c r="U35" i="2"/>
  <c r="V34" i="2"/>
  <c r="BI64" i="2"/>
  <c r="BH65" i="2"/>
  <c r="DO64" i="2"/>
  <c r="DP65" i="2"/>
  <c r="CC66" i="2"/>
  <c r="CD64" i="2"/>
  <c r="BJ460" i="2"/>
  <c r="BJ68" i="2"/>
  <c r="AZ72" i="2"/>
  <c r="AZ479" i="2"/>
  <c r="AZ480" i="2" s="1"/>
  <c r="BH109" i="3"/>
  <c r="BH505" i="2"/>
  <c r="BZ505" i="2"/>
  <c r="BZ109" i="3"/>
  <c r="BN151" i="3"/>
  <c r="BN81" i="2"/>
  <c r="BN147" i="3" s="1"/>
  <c r="CE81" i="2"/>
  <c r="CE151" i="3"/>
  <c r="CE84" i="2"/>
  <c r="CR151" i="3"/>
  <c r="BK618" i="2"/>
  <c r="BK81" i="2"/>
  <c r="BK147" i="3" s="1"/>
  <c r="CC618" i="2"/>
  <c r="CC81" i="2"/>
  <c r="CO80" i="2"/>
  <c r="CP81" i="2"/>
  <c r="CP147" i="3" s="1"/>
  <c r="CP463" i="2"/>
  <c r="CP84" i="2"/>
  <c r="AN147" i="3"/>
  <c r="CA84" i="2"/>
  <c r="BZ82" i="2"/>
  <c r="BU115" i="2"/>
  <c r="BT84" i="2"/>
  <c r="BU10" i="2"/>
  <c r="AO205" i="2"/>
  <c r="AP189" i="2"/>
  <c r="BS193" i="2"/>
  <c r="BT194" i="2"/>
  <c r="BT183" i="3" s="1"/>
  <c r="CN193" i="2"/>
  <c r="CO194" i="2"/>
  <c r="CO183" i="3" s="1"/>
  <c r="BD193" i="2"/>
  <c r="BE195" i="2"/>
  <c r="BE184" i="3" s="1"/>
  <c r="CI195" i="2"/>
  <c r="CI184" i="3" s="1"/>
  <c r="CJ193" i="2"/>
  <c r="BA205" i="2"/>
  <c r="BB196" i="2"/>
  <c r="BN202" i="2"/>
  <c r="BN192" i="3" s="1"/>
  <c r="BM199" i="2"/>
  <c r="BZ202" i="2"/>
  <c r="BZ192" i="3" s="1"/>
  <c r="BY199" i="2"/>
  <c r="BZ208" i="2"/>
  <c r="BZ198" i="3" s="1"/>
  <c r="BZ196" i="3" s="1"/>
  <c r="BY206" i="2"/>
  <c r="BZ206" i="2" s="1"/>
  <c r="DU206" i="2"/>
  <c r="DV206" i="2" s="1"/>
  <c r="DV198" i="3"/>
  <c r="DV196" i="3" s="1"/>
  <c r="EG206" i="2"/>
  <c r="EH208" i="2"/>
  <c r="EH198" i="3" s="1"/>
  <c r="AM219" i="2"/>
  <c r="AL222" i="2"/>
  <c r="F220" i="2"/>
  <c r="E222" i="2"/>
  <c r="BC186" i="2"/>
  <c r="AZ336" i="2"/>
  <c r="AZ186" i="2"/>
  <c r="AY276" i="2"/>
  <c r="AY336" i="2" s="1"/>
  <c r="F283" i="2"/>
  <c r="G287" i="2"/>
  <c r="O283" i="2"/>
  <c r="P287" i="2"/>
  <c r="X283" i="2"/>
  <c r="Y287" i="2"/>
  <c r="AG283" i="2"/>
  <c r="AH287" i="2"/>
  <c r="AP283" i="2"/>
  <c r="AQ287" i="2"/>
  <c r="AI304" i="2"/>
  <c r="AI166" i="2"/>
  <c r="AO304" i="2"/>
  <c r="AO120" i="3"/>
  <c r="AO119" i="3" s="1"/>
  <c r="AZ337" i="2"/>
  <c r="AZ304" i="2"/>
  <c r="AY304" i="2" s="1"/>
  <c r="BT312" i="2"/>
  <c r="BU320" i="2"/>
  <c r="BZ312" i="2"/>
  <c r="CA320" i="2"/>
  <c r="DS566" i="2"/>
  <c r="DS384" i="2"/>
  <c r="AX759" i="4"/>
  <c r="AX767" i="4" s="1"/>
  <c r="DN48" i="4"/>
  <c r="CK69" i="4"/>
  <c r="BQ220" i="2"/>
  <c r="CI81" i="2"/>
  <c r="AS75" i="2"/>
  <c r="AS109" i="3" s="1"/>
  <c r="AS107" i="3" s="1"/>
  <c r="CT233" i="3"/>
  <c r="CU361" i="2"/>
  <c r="BD479" i="2"/>
  <c r="BD480" i="2" s="1"/>
  <c r="EA568" i="2"/>
  <c r="EA148" i="2"/>
  <c r="AB62" i="2"/>
  <c r="CF385" i="2"/>
  <c r="CF396" i="2"/>
  <c r="CA461" i="2"/>
  <c r="BZ63" i="2"/>
  <c r="BZ461" i="2" s="1"/>
  <c r="J4" i="3"/>
  <c r="J10" i="3" s="1"/>
  <c r="J68" i="2"/>
  <c r="J180" i="2"/>
  <c r="AF68" i="2"/>
  <c r="AF60" i="2" s="1"/>
  <c r="AF55" i="2" s="1"/>
  <c r="AF4" i="3"/>
  <c r="AF10" i="3" s="1"/>
  <c r="N68" i="2"/>
  <c r="N60" i="2" s="1"/>
  <c r="N55" i="2" s="1"/>
  <c r="O72" i="2"/>
  <c r="O4" i="3" s="1"/>
  <c r="O10" i="3" s="1"/>
  <c r="U74" i="2"/>
  <c r="T72" i="2"/>
  <c r="Z68" i="2"/>
  <c r="Z4" i="3"/>
  <c r="Z10" i="3" s="1"/>
  <c r="AA72" i="2"/>
  <c r="AA4" i="3" s="1"/>
  <c r="AA10" i="3" s="1"/>
  <c r="CF94" i="2"/>
  <c r="CG92" i="2"/>
  <c r="CF92" i="2" s="1"/>
  <c r="CL192" i="2"/>
  <c r="CL181" i="3" s="1"/>
  <c r="CM39" i="2"/>
  <c r="CL39" i="2" s="1"/>
  <c r="DA192" i="2"/>
  <c r="DA181" i="3" s="1"/>
  <c r="CZ39" i="2"/>
  <c r="DA39" i="2" s="1"/>
  <c r="EC39" i="2"/>
  <c r="EB39" i="2" s="1"/>
  <c r="EB192" i="2"/>
  <c r="EB181" i="3" s="1"/>
  <c r="ED40" i="2"/>
  <c r="ED196" i="2"/>
  <c r="BT248" i="2"/>
  <c r="BT33" i="3"/>
  <c r="BT35" i="3" s="1"/>
  <c r="BK641" i="2"/>
  <c r="BK511" i="2"/>
  <c r="CW372" i="2"/>
  <c r="BT9" i="2"/>
  <c r="CC228" i="2"/>
  <c r="CC2" i="4"/>
  <c r="BA62" i="2"/>
  <c r="AI462" i="2"/>
  <c r="H42" i="2"/>
  <c r="AM9" i="2"/>
  <c r="AM29" i="2"/>
  <c r="BX9" i="2"/>
  <c r="BX29" i="2"/>
  <c r="CG2" i="4"/>
  <c r="CG347" i="2"/>
  <c r="CG493" i="2"/>
  <c r="CG326" i="2"/>
  <c r="CG148" i="2"/>
  <c r="CO29" i="2"/>
  <c r="CO9" i="2"/>
  <c r="R35" i="2"/>
  <c r="S34" i="2"/>
  <c r="BW36" i="2"/>
  <c r="DA36" i="2"/>
  <c r="BH37" i="2"/>
  <c r="BU34" i="2"/>
  <c r="BT38" i="2"/>
  <c r="DS39" i="2"/>
  <c r="CA40" i="2"/>
  <c r="CX41" i="2"/>
  <c r="EN41" i="2"/>
  <c r="CD57" i="2"/>
  <c r="CC58" i="2"/>
  <c r="V462" i="2"/>
  <c r="V62" i="2"/>
  <c r="CN64" i="2"/>
  <c r="CO67" i="2"/>
  <c r="I74" i="2"/>
  <c r="H72" i="2"/>
  <c r="BI72" i="2"/>
  <c r="BH74" i="2"/>
  <c r="BH83" i="2"/>
  <c r="BO10" i="2"/>
  <c r="BO115" i="2"/>
  <c r="CL83" i="2"/>
  <c r="Z90" i="2"/>
  <c r="Z10" i="2"/>
  <c r="AI10" i="2"/>
  <c r="AJ84" i="2"/>
  <c r="AR10" i="2"/>
  <c r="AR155" i="2"/>
  <c r="BB84" i="2"/>
  <c r="BA155" i="2"/>
  <c r="O93" i="2"/>
  <c r="CG95" i="2"/>
  <c r="CE93" i="2"/>
  <c r="BZ116" i="2"/>
  <c r="CR117" i="2"/>
  <c r="CI192" i="2"/>
  <c r="CI181" i="3" s="1"/>
  <c r="CJ39" i="2"/>
  <c r="DY192" i="2"/>
  <c r="DY181" i="3" s="1"/>
  <c r="DY39" i="2"/>
  <c r="EQ192" i="2"/>
  <c r="EQ181" i="3" s="1"/>
  <c r="EQ194" i="2"/>
  <c r="EQ183" i="3" s="1"/>
  <c r="EP193" i="2"/>
  <c r="EP196" i="2"/>
  <c r="EQ197" i="2"/>
  <c r="EQ186" i="3" s="1"/>
  <c r="DF40" i="2"/>
  <c r="DG198" i="2"/>
  <c r="DG187" i="3" s="1"/>
  <c r="EE198" i="2"/>
  <c r="EE187" i="3" s="1"/>
  <c r="BD199" i="2"/>
  <c r="BE200" i="2"/>
  <c r="BE190" i="3" s="1"/>
  <c r="CC203" i="2"/>
  <c r="CC193" i="3" s="1"/>
  <c r="CB250" i="2"/>
  <c r="CP206" i="2"/>
  <c r="CO207" i="2"/>
  <c r="CO197" i="3" s="1"/>
  <c r="G222" i="2"/>
  <c r="F219" i="2"/>
  <c r="CF219" i="2"/>
  <c r="CB244" i="2"/>
  <c r="CB208" i="3"/>
  <c r="CB206" i="3" s="1"/>
  <c r="CA252" i="2"/>
  <c r="BZ254" i="2"/>
  <c r="I255" i="2"/>
  <c r="J252" i="2"/>
  <c r="BC252" i="2"/>
  <c r="BB255" i="2"/>
  <c r="AJ258" i="2"/>
  <c r="AK263" i="2"/>
  <c r="BA329" i="2"/>
  <c r="BA330" i="2" s="1"/>
  <c r="BA166" i="2"/>
  <c r="BG329" i="2"/>
  <c r="BG330" i="2" s="1"/>
  <c r="BG166" i="2"/>
  <c r="AU464" i="2"/>
  <c r="AU41" i="2"/>
  <c r="DD36" i="2"/>
  <c r="BN58" i="2"/>
  <c r="CE461" i="2"/>
  <c r="BG64" i="2"/>
  <c r="W68" i="2"/>
  <c r="W60" i="2" s="1"/>
  <c r="W55" i="2" s="1"/>
  <c r="W180" i="2"/>
  <c r="W184" i="2" s="1"/>
  <c r="W187" i="2" s="1"/>
  <c r="CC82" i="2"/>
  <c r="CD84" i="2"/>
  <c r="EN82" i="2"/>
  <c r="AL155" i="2"/>
  <c r="AP93" i="2"/>
  <c r="DA116" i="2"/>
  <c r="DS117" i="2"/>
  <c r="AS144" i="2"/>
  <c r="AR205" i="2"/>
  <c r="AS189" i="2"/>
  <c r="EJ39" i="2"/>
  <c r="EK39" i="2" s="1"/>
  <c r="EK192" i="2"/>
  <c r="EK181" i="3" s="1"/>
  <c r="AE205" i="2"/>
  <c r="AD193" i="2"/>
  <c r="AN205" i="2"/>
  <c r="DA194" i="2"/>
  <c r="DA183" i="3" s="1"/>
  <c r="CZ193" i="2"/>
  <c r="DA193" i="2" s="1"/>
  <c r="ED193" i="2"/>
  <c r="EE195" i="2"/>
  <c r="EE184" i="3" s="1"/>
  <c r="CR197" i="2"/>
  <c r="CR186" i="3" s="1"/>
  <c r="CS40" i="2"/>
  <c r="EC196" i="2"/>
  <c r="EB197" i="2"/>
  <c r="EB186" i="3" s="1"/>
  <c r="EC40" i="2"/>
  <c r="CN196" i="2"/>
  <c r="CN40" i="2"/>
  <c r="DU196" i="2"/>
  <c r="DV196" i="2" s="1"/>
  <c r="DV187" i="3"/>
  <c r="EF206" i="2"/>
  <c r="EE197" i="3"/>
  <c r="DD209" i="2"/>
  <c r="DC144" i="2"/>
  <c r="DD144" i="2" s="1"/>
  <c r="AZ222" i="2"/>
  <c r="AY220" i="2"/>
  <c r="T222" i="2"/>
  <c r="U221" i="2"/>
  <c r="AC222" i="2"/>
  <c r="AD221" i="2"/>
  <c r="AG236" i="2"/>
  <c r="AH244" i="2"/>
  <c r="AZ208" i="3"/>
  <c r="AZ206" i="3" s="1"/>
  <c r="AZ244" i="2"/>
  <c r="CG241" i="2"/>
  <c r="CF242" i="2"/>
  <c r="CW247" i="2"/>
  <c r="CW33" i="3"/>
  <c r="BS511" i="2"/>
  <c r="BS641" i="2"/>
  <c r="AN166" i="2"/>
  <c r="AK166" i="2"/>
  <c r="AT329" i="2"/>
  <c r="AS329" i="2" s="1"/>
  <c r="AW166" i="2"/>
  <c r="AU166" i="2"/>
  <c r="CC9" i="2"/>
  <c r="BM9" i="2"/>
  <c r="BM29" i="2"/>
  <c r="CE9" i="2"/>
  <c r="CE29" i="2"/>
  <c r="CT2" i="3"/>
  <c r="CT347" i="2"/>
  <c r="CT2" i="4"/>
  <c r="CT326" i="2"/>
  <c r="CT453" i="2"/>
  <c r="CT177" i="2"/>
  <c r="DA29" i="2"/>
  <c r="DA9" i="2"/>
  <c r="EE347" i="2"/>
  <c r="EE372" i="2"/>
  <c r="EE326" i="2"/>
  <c r="EE29" i="2"/>
  <c r="EE2" i="3"/>
  <c r="EE309" i="3" s="1"/>
  <c r="EE177" i="2"/>
  <c r="DY36" i="2"/>
  <c r="EB37" i="2"/>
  <c r="CR38" i="2"/>
  <c r="CC39" i="2"/>
  <c r="BG57" i="2"/>
  <c r="BH58" i="2"/>
  <c r="CO58" i="2"/>
  <c r="EE58" i="2"/>
  <c r="BV64" i="2"/>
  <c r="BW65" i="2"/>
  <c r="CW64" i="2"/>
  <c r="CL66" i="2"/>
  <c r="EN66" i="2"/>
  <c r="AV74" i="2"/>
  <c r="AW147" i="3"/>
  <c r="AW619" i="2"/>
  <c r="CF82" i="2"/>
  <c r="CG84" i="2"/>
  <c r="AC90" i="2"/>
  <c r="AC10" i="2"/>
  <c r="F85" i="2"/>
  <c r="AL85" i="2"/>
  <c r="AL90" i="2" s="1"/>
  <c r="AM86" i="2"/>
  <c r="AT115" i="2"/>
  <c r="AS93" i="2"/>
  <c r="O117" i="2"/>
  <c r="BH181" i="2"/>
  <c r="AF205" i="2"/>
  <c r="AG189" i="2"/>
  <c r="CH220" i="2"/>
  <c r="DD190" i="2"/>
  <c r="DC189" i="2"/>
  <c r="CC192" i="2"/>
  <c r="CC181" i="3" s="1"/>
  <c r="DR40" i="2"/>
  <c r="DS197" i="2"/>
  <c r="DS186" i="3" s="1"/>
  <c r="DR196" i="2"/>
  <c r="CI198" i="2"/>
  <c r="CI187" i="3" s="1"/>
  <c r="BA244" i="2"/>
  <c r="BA185" i="2"/>
  <c r="BZ243" i="2"/>
  <c r="CA241" i="2"/>
  <c r="L276" i="2"/>
  <c r="M287" i="2"/>
  <c r="Q304" i="2"/>
  <c r="BD304" i="2"/>
  <c r="BD166" i="2"/>
  <c r="BJ304" i="2"/>
  <c r="BJ329" i="2"/>
  <c r="BJ330" i="2" s="1"/>
  <c r="AR304" i="2"/>
  <c r="AR186" i="2"/>
  <c r="AS186" i="2" s="1"/>
  <c r="AR91" i="3"/>
  <c r="BT177" i="2"/>
  <c r="BT453" i="2"/>
  <c r="AV148" i="2"/>
  <c r="AV568" i="2"/>
  <c r="CW326" i="2"/>
  <c r="CW568" i="2"/>
  <c r="AV9" i="2"/>
  <c r="DA347" i="2"/>
  <c r="CC326" i="2"/>
  <c r="CC2" i="3"/>
  <c r="CT493" i="2"/>
  <c r="EE9" i="2"/>
  <c r="DI193" i="2"/>
  <c r="DG194" i="2"/>
  <c r="DG183" i="3" s="1"/>
  <c r="I64" i="2"/>
  <c r="I462" i="2" s="1"/>
  <c r="J62" i="2"/>
  <c r="AD34" i="2"/>
  <c r="AJ76" i="2"/>
  <c r="BF148" i="2"/>
  <c r="BF9" i="2"/>
  <c r="BJ2" i="3"/>
  <c r="BJ347" i="2"/>
  <c r="BJ2" i="4"/>
  <c r="BJ326" i="2"/>
  <c r="BJ453" i="2"/>
  <c r="BJ177" i="2"/>
  <c r="BV568" i="2"/>
  <c r="BV372" i="2"/>
  <c r="BV2" i="4"/>
  <c r="BV326" i="2"/>
  <c r="EE358" i="2"/>
  <c r="EF4" i="2"/>
  <c r="EK326" i="2"/>
  <c r="EK9" i="2"/>
  <c r="EK148" i="2"/>
  <c r="EK2" i="4"/>
  <c r="EK90" i="4" s="1"/>
  <c r="EK372" i="2"/>
  <c r="E34" i="2"/>
  <c r="F35" i="2"/>
  <c r="X35" i="2"/>
  <c r="AF34" i="2"/>
  <c r="AF42" i="2" s="1"/>
  <c r="AG35" i="2"/>
  <c r="BT36" i="2"/>
  <c r="CI36" i="2"/>
  <c r="CX36" i="2"/>
  <c r="EE38" i="2"/>
  <c r="CU41" i="2"/>
  <c r="V26" i="3"/>
  <c r="U57" i="2"/>
  <c r="U26" i="3" s="1"/>
  <c r="CH461" i="2"/>
  <c r="CI63" i="2"/>
  <c r="CI461" i="2" s="1"/>
  <c r="CO63" i="2"/>
  <c r="CO461" i="2" s="1"/>
  <c r="AF462" i="2"/>
  <c r="AG64" i="2"/>
  <c r="AG462" i="2" s="1"/>
  <c r="BM64" i="2"/>
  <c r="BN65" i="2"/>
  <c r="CM64" i="2"/>
  <c r="CL65" i="2"/>
  <c r="CE64" i="2"/>
  <c r="CE462" i="2" s="1"/>
  <c r="CF66" i="2"/>
  <c r="BK67" i="2"/>
  <c r="BL64" i="2"/>
  <c r="BT67" i="2"/>
  <c r="EH67" i="2"/>
  <c r="BF460" i="2"/>
  <c r="BE70" i="2"/>
  <c r="BE460" i="2" s="1"/>
  <c r="R74" i="2"/>
  <c r="S72" i="2"/>
  <c r="BG68" i="2"/>
  <c r="BG178" i="2"/>
  <c r="N90" i="2"/>
  <c r="N10" i="2"/>
  <c r="T90" i="2"/>
  <c r="T10" i="2"/>
  <c r="AI115" i="2"/>
  <c r="AP84" i="2"/>
  <c r="AQ10" i="2"/>
  <c r="AT155" i="2"/>
  <c r="X116" i="2"/>
  <c r="AP117" i="2"/>
  <c r="CI181" i="2"/>
  <c r="CR190" i="2"/>
  <c r="CS189" i="2"/>
  <c r="CO192" i="2"/>
  <c r="CO181" i="3" s="1"/>
  <c r="CP39" i="2"/>
  <c r="EE192" i="2"/>
  <c r="EE181" i="3" s="1"/>
  <c r="EF39" i="2"/>
  <c r="EE39" i="2" s="1"/>
  <c r="CR194" i="2"/>
  <c r="CR183" i="3" s="1"/>
  <c r="CS193" i="2"/>
  <c r="EQ195" i="2"/>
  <c r="EQ184" i="3" s="1"/>
  <c r="CK196" i="2"/>
  <c r="CL197" i="2"/>
  <c r="CL186" i="3" s="1"/>
  <c r="CK40" i="2"/>
  <c r="CK34" i="2" s="1"/>
  <c r="CK620" i="2" s="1"/>
  <c r="M222" i="2"/>
  <c r="L220" i="2"/>
  <c r="X221" i="2"/>
  <c r="Y222" i="2"/>
  <c r="K224" i="2"/>
  <c r="K226" i="2" s="1"/>
  <c r="L224" i="2" s="1"/>
  <c r="I226" i="2"/>
  <c r="AX320" i="2"/>
  <c r="AE22" i="2"/>
  <c r="AQ22" i="2"/>
  <c r="CA380" i="2"/>
  <c r="EN574" i="2"/>
  <c r="EN577" i="2" s="1"/>
  <c r="EN607" i="2" s="1"/>
  <c r="EO577" i="2"/>
  <c r="EO607" i="2" s="1"/>
  <c r="BK29" i="4"/>
  <c r="BN29" i="4"/>
  <c r="CZ196" i="2"/>
  <c r="DA196" i="2" s="1"/>
  <c r="EJ199" i="2"/>
  <c r="H222" i="2"/>
  <c r="BI241" i="2"/>
  <c r="AJ255" i="2"/>
  <c r="BU283" i="2"/>
  <c r="BT283" i="2" s="1"/>
  <c r="P466" i="2"/>
  <c r="BU489" i="4"/>
  <c r="BT46" i="4"/>
  <c r="DM548" i="4"/>
  <c r="DM550" i="4" s="1"/>
  <c r="BU225" i="4"/>
  <c r="BU228" i="4" s="1"/>
  <c r="BU231" i="4" s="1"/>
  <c r="BU233" i="4" s="1"/>
  <c r="P22" i="2"/>
  <c r="BJ22" i="2"/>
  <c r="AY199" i="3"/>
  <c r="AN244" i="2"/>
  <c r="AT304" i="2"/>
  <c r="AS304" i="2" s="1"/>
  <c r="BV225" i="3"/>
  <c r="BV221" i="2"/>
  <c r="BV222" i="2" s="1"/>
  <c r="CN566" i="2"/>
  <c r="BZ413" i="2"/>
  <c r="BT423" i="2"/>
  <c r="CC577" i="2"/>
  <c r="CC607" i="2" s="1"/>
  <c r="BR395" i="4"/>
  <c r="BQ254" i="4"/>
  <c r="BQ345" i="4"/>
  <c r="CC374" i="2"/>
  <c r="CB566" i="2"/>
  <c r="DW577" i="2"/>
  <c r="DW607" i="2" s="1"/>
  <c r="DV574" i="2"/>
  <c r="DV577" i="2" s="1"/>
  <c r="DV607" i="2" s="1"/>
  <c r="AX568" i="4"/>
  <c r="BF552" i="2"/>
  <c r="CA225" i="4"/>
  <c r="CA228" i="4" s="1"/>
  <c r="CA231" i="4" s="1"/>
  <c r="CA233" i="4" s="1"/>
  <c r="BM563" i="2"/>
  <c r="CL361" i="2"/>
  <c r="CN384" i="2"/>
  <c r="AU186" i="2"/>
  <c r="L199" i="2"/>
  <c r="AV199" i="2"/>
  <c r="BH204" i="2"/>
  <c r="EP206" i="2"/>
  <c r="CO219" i="2"/>
  <c r="AM220" i="2"/>
  <c r="AN222" i="2"/>
  <c r="AV220" i="2"/>
  <c r="AI263" i="2"/>
  <c r="AO329" i="2"/>
  <c r="DE577" i="2"/>
  <c r="DE607" i="2" s="1"/>
  <c r="CT82" i="4"/>
  <c r="CU81" i="4"/>
  <c r="BW228" i="4"/>
  <c r="BX225" i="4"/>
  <c r="BX228" i="4" s="1"/>
  <c r="BX231" i="4" s="1"/>
  <c r="BX233" i="4" s="1"/>
  <c r="BK21" i="4"/>
  <c r="BL21" i="4" s="1"/>
  <c r="BQ22" i="2"/>
  <c r="AW186" i="2"/>
  <c r="BS199" i="2"/>
  <c r="CK244" i="2"/>
  <c r="AR208" i="3"/>
  <c r="AR206" i="3" s="1"/>
  <c r="AR244" i="2"/>
  <c r="R255" i="2"/>
  <c r="S252" i="2"/>
  <c r="BJ258" i="2"/>
  <c r="BJ263" i="2" s="1"/>
  <c r="CI261" i="2"/>
  <c r="CJ258" i="2"/>
  <c r="CI258" i="2" s="1"/>
  <c r="DI283" i="2"/>
  <c r="AV413" i="2"/>
  <c r="CG577" i="2"/>
  <c r="CG607" i="2" s="1"/>
  <c r="CM577" i="2"/>
  <c r="CM607" i="2" s="1"/>
  <c r="BE168" i="4"/>
  <c r="CE497" i="4"/>
  <c r="J211" i="3"/>
  <c r="CD552" i="2"/>
  <c r="BR76" i="4"/>
  <c r="CS159" i="4"/>
  <c r="CR50" i="4"/>
  <c r="BR107" i="3"/>
  <c r="BU395" i="4"/>
  <c r="BS397" i="4"/>
  <c r="AO196" i="3"/>
  <c r="CY577" i="2"/>
  <c r="CY607" i="2" s="1"/>
  <c r="BO79" i="4"/>
  <c r="BK475" i="4"/>
  <c r="AG109" i="3"/>
  <c r="AG107" i="3" s="1"/>
  <c r="AH107" i="3"/>
  <c r="U207" i="3"/>
  <c r="U206" i="3" s="1"/>
  <c r="V206" i="3"/>
  <c r="I23" i="3"/>
  <c r="X38" i="3"/>
  <c r="AY38" i="3"/>
  <c r="AD60" i="3"/>
  <c r="AV96" i="3"/>
  <c r="BS110" i="3"/>
  <c r="BS17" i="3" s="1"/>
  <c r="BS107" i="3"/>
  <c r="X160" i="3"/>
  <c r="AF189" i="3"/>
  <c r="O196" i="3"/>
  <c r="AF199" i="3"/>
  <c r="AG214" i="3"/>
  <c r="AG211" i="3" s="1"/>
  <c r="AH211" i="3"/>
  <c r="L22" i="3"/>
  <c r="U69" i="3"/>
  <c r="V75" i="3"/>
  <c r="X96" i="3"/>
  <c r="Q107" i="3"/>
  <c r="AW107" i="3"/>
  <c r="CA107" i="3"/>
  <c r="CA110" i="3"/>
  <c r="CA17" i="3" s="1"/>
  <c r="AG159" i="3"/>
  <c r="AY160" i="3"/>
  <c r="F189" i="3"/>
  <c r="E211" i="3"/>
  <c r="L216" i="3"/>
  <c r="L215" i="3" s="1"/>
  <c r="M215" i="3"/>
  <c r="AM217" i="3"/>
  <c r="AM215" i="3" s="1"/>
  <c r="AN215" i="3"/>
  <c r="BB23" i="3"/>
  <c r="X69" i="3"/>
  <c r="AJ159" i="3"/>
  <c r="BB160" i="3"/>
  <c r="AL196" i="3"/>
  <c r="AG216" i="3"/>
  <c r="AG215" i="3" s="1"/>
  <c r="AH215" i="3"/>
  <c r="AF211" i="3"/>
  <c r="DN283" i="2"/>
  <c r="DM283" i="2" s="1"/>
  <c r="DS212" i="2"/>
  <c r="DC274" i="2"/>
  <c r="DE274" i="2" s="1"/>
  <c r="X58" i="9" s="1"/>
  <c r="AX211" i="3"/>
  <c r="DH283" i="2"/>
  <c r="DG283" i="2" s="1"/>
  <c r="DS243" i="2"/>
  <c r="DS208" i="3" s="1"/>
  <c r="CQ283" i="2"/>
  <c r="CP266" i="2"/>
  <c r="CQ268" i="2"/>
  <c r="CS416" i="2"/>
  <c r="DT196" i="2"/>
  <c r="AC34" i="9" s="1"/>
  <c r="CV64" i="2"/>
  <c r="CV62" i="2" s="1"/>
  <c r="CZ548" i="4"/>
  <c r="CZ550" i="4" s="1"/>
  <c r="CW550" i="4"/>
  <c r="AD34" i="9"/>
  <c r="DL300" i="2"/>
  <c r="CU396" i="2"/>
  <c r="CY64" i="2"/>
  <c r="DI178" i="3"/>
  <c r="DH190" i="2"/>
  <c r="CS84" i="2"/>
  <c r="DK65" i="2"/>
  <c r="CW270" i="2"/>
  <c r="CF356" i="4"/>
  <c r="CY258" i="2"/>
  <c r="CX258" i="2" s="1"/>
  <c r="DZ196" i="2"/>
  <c r="AE34" i="9" s="1"/>
  <c r="CX548" i="4"/>
  <c r="CU550" i="4"/>
  <c r="DQ283" i="2"/>
  <c r="DP283" i="2" s="1"/>
  <c r="DQ256" i="2"/>
  <c r="DS338" i="4"/>
  <c r="DU338" i="4" s="1"/>
  <c r="DV338" i="4" s="1"/>
  <c r="DX338" i="4" s="1"/>
  <c r="DU247" i="4"/>
  <c r="DX247" i="4" s="1"/>
  <c r="CQ196" i="2"/>
  <c r="DQ199" i="2"/>
  <c r="DK193" i="2"/>
  <c r="CW84" i="2"/>
  <c r="DE380" i="2"/>
  <c r="DK294" i="2"/>
  <c r="DL4" i="2"/>
  <c r="X10" i="9" s="1"/>
  <c r="DL253" i="2"/>
  <c r="CZ4" i="2"/>
  <c r="T10" i="9" s="1"/>
  <c r="CZ295" i="2"/>
  <c r="CV84" i="2"/>
  <c r="DH64" i="2"/>
  <c r="DF76" i="2"/>
  <c r="DU4" i="2"/>
  <c r="AD10" i="9" s="1"/>
  <c r="DU65" i="2"/>
  <c r="DV65" i="2" s="1"/>
  <c r="DT193" i="2"/>
  <c r="CV254" i="2"/>
  <c r="CV257" i="2"/>
  <c r="CU257" i="2" s="1"/>
  <c r="DR64" i="2"/>
  <c r="BP364" i="4"/>
  <c r="BN366" i="4"/>
  <c r="CM385" i="2"/>
  <c r="CZ84" i="2"/>
  <c r="CB270" i="4"/>
  <c r="CC267" i="4"/>
  <c r="DQ64" i="2"/>
  <c r="DQ62" i="2" s="1"/>
  <c r="CD354" i="4"/>
  <c r="BQ363" i="4"/>
  <c r="BP362" i="4"/>
  <c r="BO175" i="4"/>
  <c r="BQ175" i="4"/>
  <c r="BR69" i="3"/>
  <c r="BS69" i="3"/>
  <c r="BS383" i="4"/>
  <c r="CD265" i="4"/>
  <c r="CR186" i="4"/>
  <c r="CT186" i="4"/>
  <c r="CQ278" i="4"/>
  <c r="DV550" i="4"/>
  <c r="DU550" i="4"/>
  <c r="DU543" i="4"/>
  <c r="DU545" i="4" s="1"/>
  <c r="DY198" i="3" l="1"/>
  <c r="DY206" i="2"/>
  <c r="DZ206" i="2" s="1"/>
  <c r="DY87" i="4"/>
  <c r="DV253" i="4"/>
  <c r="DV251" i="4" s="1"/>
  <c r="DX254" i="4"/>
  <c r="DX253" i="4" s="1"/>
  <c r="DX251" i="4" s="1"/>
  <c r="DX84" i="4"/>
  <c r="DX85" i="4" s="1"/>
  <c r="DV272" i="2"/>
  <c r="DX272" i="2"/>
  <c r="DV296" i="2"/>
  <c r="DX296" i="2"/>
  <c r="DN74" i="4"/>
  <c r="DF93" i="3"/>
  <c r="DX41" i="4"/>
  <c r="DX14" i="4"/>
  <c r="DX117" i="4"/>
  <c r="CM185" i="2"/>
  <c r="DW550" i="4"/>
  <c r="DN90" i="4"/>
  <c r="DB419" i="4"/>
  <c r="CF107" i="3"/>
  <c r="CG107" i="3" s="1"/>
  <c r="CG109" i="3" s="1"/>
  <c r="CG110" i="3" s="1"/>
  <c r="CG17" i="3" s="1"/>
  <c r="DP151" i="3"/>
  <c r="DP135" i="3"/>
  <c r="DJ151" i="3"/>
  <c r="DJ135" i="3"/>
  <c r="DN350" i="4"/>
  <c r="DB74" i="4"/>
  <c r="DB14" i="4"/>
  <c r="CE204" i="4"/>
  <c r="DN14" i="4"/>
  <c r="DN41" i="4"/>
  <c r="DB41" i="4"/>
  <c r="CB204" i="4"/>
  <c r="DN507" i="4"/>
  <c r="DB350" i="4"/>
  <c r="DF550" i="4"/>
  <c r="DT116" i="4"/>
  <c r="Q35" i="9"/>
  <c r="AG33" i="9"/>
  <c r="AG36" i="9"/>
  <c r="DY29" i="2"/>
  <c r="AG10" i="9"/>
  <c r="AG32" i="9"/>
  <c r="AG38" i="9"/>
  <c r="FA186" i="4"/>
  <c r="EZ365" i="4"/>
  <c r="EZ278" i="4"/>
  <c r="FA278" i="4" s="1"/>
  <c r="FA184" i="4"/>
  <c r="EZ276" i="4"/>
  <c r="EZ363" i="4"/>
  <c r="CG185" i="2"/>
  <c r="EI176" i="3"/>
  <c r="EJ176" i="3"/>
  <c r="DY410" i="4"/>
  <c r="EB410" i="4" s="1"/>
  <c r="EE410" i="4" s="1"/>
  <c r="EH410" i="4" s="1"/>
  <c r="EK410" i="4" s="1"/>
  <c r="EN410" i="4" s="1"/>
  <c r="EQ410" i="4" s="1"/>
  <c r="ET410" i="4" s="1"/>
  <c r="EW410" i="4" s="1"/>
  <c r="EZ410" i="4" s="1"/>
  <c r="DV295" i="2"/>
  <c r="DV235" i="2"/>
  <c r="DW244" i="2"/>
  <c r="DV321" i="2"/>
  <c r="DV626" i="2" s="1"/>
  <c r="DW322" i="2"/>
  <c r="DV322" i="2" s="1"/>
  <c r="DV248" i="2"/>
  <c r="DW247" i="2"/>
  <c r="DV257" i="2"/>
  <c r="DV189" i="3"/>
  <c r="DN419" i="4"/>
  <c r="DN95" i="4"/>
  <c r="DN498" i="4" s="1"/>
  <c r="DN117" i="4"/>
  <c r="DB259" i="4"/>
  <c r="DB117" i="4"/>
  <c r="DL322" i="2"/>
  <c r="CD614" i="2"/>
  <c r="DC361" i="2"/>
  <c r="BS185" i="2"/>
  <c r="DN167" i="4"/>
  <c r="DB507" i="4"/>
  <c r="DB167" i="4"/>
  <c r="DN13" i="3"/>
  <c r="DN20" i="3" s="1"/>
  <c r="U62" i="9"/>
  <c r="V62" i="9"/>
  <c r="W62" i="9"/>
  <c r="Z62" i="9"/>
  <c r="AA62" i="9"/>
  <c r="BJ451" i="4"/>
  <c r="DK350" i="4"/>
  <c r="BO185" i="2"/>
  <c r="BX614" i="2"/>
  <c r="DL244" i="2"/>
  <c r="DL629" i="2" s="1"/>
  <c r="BI148" i="3"/>
  <c r="BR185" i="2"/>
  <c r="DL627" i="2"/>
  <c r="DE244" i="2"/>
  <c r="DE629" i="2" s="1"/>
  <c r="DI548" i="4"/>
  <c r="DI550" i="4" s="1"/>
  <c r="DK550" i="4" s="1"/>
  <c r="DG40" i="2"/>
  <c r="CQ507" i="4"/>
  <c r="DR247" i="2"/>
  <c r="DR633" i="2" s="1"/>
  <c r="DN244" i="3"/>
  <c r="DR244" i="2"/>
  <c r="DR629" i="2" s="1"/>
  <c r="DZ259" i="4"/>
  <c r="BR252" i="2"/>
  <c r="BQ252" i="2" s="1"/>
  <c r="DZ41" i="4"/>
  <c r="DV74" i="4"/>
  <c r="DZ167" i="4"/>
  <c r="DV41" i="4"/>
  <c r="BX185" i="2"/>
  <c r="DZ507" i="4"/>
  <c r="CW259" i="4"/>
  <c r="DV14" i="4"/>
  <c r="DZ90" i="4"/>
  <c r="DV419" i="4"/>
  <c r="CR540" i="2"/>
  <c r="DV167" i="4"/>
  <c r="DV117" i="4"/>
  <c r="BG328" i="2"/>
  <c r="DZ350" i="4"/>
  <c r="DV90" i="4"/>
  <c r="CV228" i="2"/>
  <c r="DZ419" i="4"/>
  <c r="DV507" i="4"/>
  <c r="DV259" i="4"/>
  <c r="CP41" i="4"/>
  <c r="AW66" i="3"/>
  <c r="CJ633" i="2"/>
  <c r="DZ74" i="4"/>
  <c r="DZ14" i="4"/>
  <c r="EG74" i="4"/>
  <c r="CP419" i="4"/>
  <c r="CV493" i="2"/>
  <c r="CT626" i="2"/>
  <c r="CT627" i="2" s="1"/>
  <c r="DV350" i="4"/>
  <c r="CP507" i="4"/>
  <c r="BW196" i="2"/>
  <c r="DZ95" i="4"/>
  <c r="DZ498" i="4" s="1"/>
  <c r="AZ66" i="3"/>
  <c r="O42" i="2"/>
  <c r="DE34" i="2"/>
  <c r="DJ14" i="4"/>
  <c r="DJ95" i="4"/>
  <c r="DJ498" i="4" s="1"/>
  <c r="BM3" i="4"/>
  <c r="BM68" i="4"/>
  <c r="DS40" i="2"/>
  <c r="BM30" i="2"/>
  <c r="BM341" i="2" s="1"/>
  <c r="DP350" i="4"/>
  <c r="AW27" i="3"/>
  <c r="AW28" i="3" s="1"/>
  <c r="CY13" i="3"/>
  <c r="CY20" i="3" s="1"/>
  <c r="DJ259" i="4"/>
  <c r="DP74" i="4"/>
  <c r="BT199" i="2"/>
  <c r="AM120" i="3"/>
  <c r="AM119" i="3" s="1"/>
  <c r="AP614" i="2"/>
  <c r="DP507" i="4"/>
  <c r="DJ361" i="2"/>
  <c r="DL362" i="2" s="1"/>
  <c r="CW361" i="2"/>
  <c r="CX362" i="2" s="1"/>
  <c r="AS415" i="2"/>
  <c r="BU232" i="4"/>
  <c r="BG117" i="4"/>
  <c r="BN301" i="4"/>
  <c r="BG507" i="4"/>
  <c r="BG419" i="4"/>
  <c r="BG14" i="4"/>
  <c r="BG259" i="4"/>
  <c r="BT185" i="4"/>
  <c r="BW185" i="4" s="1"/>
  <c r="BZ185" i="4" s="1"/>
  <c r="CC185" i="4" s="1"/>
  <c r="CF185" i="4" s="1"/>
  <c r="CI185" i="4" s="1"/>
  <c r="CL185" i="4" s="1"/>
  <c r="CO185" i="4" s="1"/>
  <c r="CR185" i="4" s="1"/>
  <c r="CU185" i="4" s="1"/>
  <c r="DJ244" i="3"/>
  <c r="EQ193" i="2"/>
  <c r="DQ167" i="4"/>
  <c r="BG95" i="4"/>
  <c r="BG350" i="4"/>
  <c r="BG41" i="4"/>
  <c r="BG74" i="4"/>
  <c r="X62" i="2"/>
  <c r="X27" i="3" s="1"/>
  <c r="CJ614" i="2"/>
  <c r="DK355" i="2"/>
  <c r="AC10" i="9"/>
  <c r="BL259" i="4"/>
  <c r="BJ149" i="3"/>
  <c r="BJ480" i="2" s="1"/>
  <c r="CO206" i="2"/>
  <c r="CD507" i="4"/>
  <c r="L62" i="2"/>
  <c r="L27" i="3" s="1"/>
  <c r="BQ266" i="2"/>
  <c r="BQ614" i="2" s="1"/>
  <c r="BJ441" i="4"/>
  <c r="CR39" i="2"/>
  <c r="CY507" i="4"/>
  <c r="DK259" i="4"/>
  <c r="BJ261" i="4"/>
  <c r="DS568" i="2"/>
  <c r="DK76" i="4"/>
  <c r="CY350" i="4"/>
  <c r="CY117" i="4"/>
  <c r="DK14" i="4"/>
  <c r="DS2" i="3"/>
  <c r="DS309" i="3" s="1"/>
  <c r="DN244" i="2"/>
  <c r="AA48" i="9" s="1"/>
  <c r="AA47" i="9" s="1"/>
  <c r="CH148" i="3"/>
  <c r="BJ472" i="4"/>
  <c r="BV272" i="2"/>
  <c r="BX272" i="2" s="1"/>
  <c r="CK168" i="3"/>
  <c r="EE199" i="2"/>
  <c r="AT180" i="2"/>
  <c r="AT184" i="2" s="1"/>
  <c r="AT187" i="2" s="1"/>
  <c r="AH263" i="2"/>
  <c r="AG263" i="2" s="1"/>
  <c r="AO305" i="2"/>
  <c r="BL350" i="4"/>
  <c r="BJ462" i="4"/>
  <c r="CY41" i="4"/>
  <c r="CY74" i="4"/>
  <c r="CY95" i="4"/>
  <c r="CY498" i="4" s="1"/>
  <c r="DK117" i="4"/>
  <c r="DK507" i="4"/>
  <c r="DS347" i="2"/>
  <c r="AY846" i="4"/>
  <c r="AY847" i="4" s="1"/>
  <c r="AY848" i="4" s="1"/>
  <c r="AY849" i="4" s="1"/>
  <c r="O362" i="2"/>
  <c r="P362" i="2" s="1"/>
  <c r="DK13" i="3"/>
  <c r="DK20" i="3" s="1"/>
  <c r="CM168" i="3"/>
  <c r="CS14" i="4"/>
  <c r="EJ41" i="4"/>
  <c r="DJ189" i="3"/>
  <c r="DP244" i="3"/>
  <c r="W305" i="2"/>
  <c r="BY185" i="2"/>
  <c r="DU81" i="4"/>
  <c r="DU82" i="4" s="1"/>
  <c r="DK90" i="4"/>
  <c r="DS326" i="2"/>
  <c r="DS372" i="2"/>
  <c r="DS9" i="2"/>
  <c r="DV309" i="3"/>
  <c r="CH455" i="2"/>
  <c r="CN301" i="2"/>
  <c r="DP361" i="2"/>
  <c r="DQ361" i="2" s="1"/>
  <c r="BM271" i="4"/>
  <c r="AW60" i="2"/>
  <c r="AW159" i="2" s="1"/>
  <c r="CY259" i="4"/>
  <c r="BJ272" i="4"/>
  <c r="DK41" i="4"/>
  <c r="DK419" i="4"/>
  <c r="DS453" i="2"/>
  <c r="DS2" i="4"/>
  <c r="DS14" i="4" s="1"/>
  <c r="DS148" i="2"/>
  <c r="BG339" i="2"/>
  <c r="DV13" i="3"/>
  <c r="DV20" i="3" s="1"/>
  <c r="AV62" i="2"/>
  <c r="AV27" i="3" s="1"/>
  <c r="AV28" i="3" s="1"/>
  <c r="DM35" i="2"/>
  <c r="CV34" i="2"/>
  <c r="CV620" i="2" s="1"/>
  <c r="BJ335" i="2"/>
  <c r="EP2" i="3"/>
  <c r="EP309" i="3" s="1"/>
  <c r="CU39" i="2"/>
  <c r="DS228" i="2"/>
  <c r="DS29" i="2"/>
  <c r="BJ171" i="3"/>
  <c r="BK171" i="3" s="1"/>
  <c r="BL171" i="3" s="1"/>
  <c r="BM171" i="3" s="1"/>
  <c r="DQ233" i="3"/>
  <c r="DK244" i="3"/>
  <c r="CP74" i="4"/>
  <c r="CQ41" i="4"/>
  <c r="BN217" i="4"/>
  <c r="BO217" i="4" s="1"/>
  <c r="CP350" i="4"/>
  <c r="BO183" i="4"/>
  <c r="BP189" i="4"/>
  <c r="CN185" i="2"/>
  <c r="CL266" i="2"/>
  <c r="CL614" i="2" s="1"/>
  <c r="BY614" i="2"/>
  <c r="CW167" i="4"/>
  <c r="CI266" i="2"/>
  <c r="CI168" i="3" s="1"/>
  <c r="BC66" i="3"/>
  <c r="DQ355" i="2"/>
  <c r="CV35" i="3"/>
  <c r="CM614" i="2"/>
  <c r="CC627" i="2"/>
  <c r="CK185" i="2"/>
  <c r="DP13" i="3"/>
  <c r="DP20" i="3" s="1"/>
  <c r="DG206" i="3"/>
  <c r="DK233" i="3"/>
  <c r="AJ91" i="3"/>
  <c r="AJ93" i="3" s="1"/>
  <c r="DZ244" i="3"/>
  <c r="BL14" i="4"/>
  <c r="BI322" i="2"/>
  <c r="BI327" i="2" s="1"/>
  <c r="DJ41" i="4"/>
  <c r="DP117" i="4"/>
  <c r="DJ90" i="4"/>
  <c r="V60" i="2"/>
  <c r="V55" i="2" s="1"/>
  <c r="BL419" i="4"/>
  <c r="BA499" i="2"/>
  <c r="BT266" i="2"/>
  <c r="BT614" i="2" s="1"/>
  <c r="AW154" i="2"/>
  <c r="AT331" i="2"/>
  <c r="BL95" i="4"/>
  <c r="BL167" i="4"/>
  <c r="DJ117" i="4"/>
  <c r="DP14" i="4"/>
  <c r="DJ419" i="4"/>
  <c r="DJ167" i="4"/>
  <c r="DJ74" i="4"/>
  <c r="DL361" i="2"/>
  <c r="DM362" i="2" s="1"/>
  <c r="AC66" i="3"/>
  <c r="DZ13" i="3"/>
  <c r="DZ20" i="3" s="1"/>
  <c r="AT12" i="4"/>
  <c r="DJ507" i="4"/>
  <c r="DP95" i="4"/>
  <c r="DP498" i="4" s="1"/>
  <c r="CV233" i="3"/>
  <c r="EP372" i="2"/>
  <c r="AT4" i="3"/>
  <c r="AT10" i="3" s="1"/>
  <c r="AT161" i="2"/>
  <c r="DP259" i="4"/>
  <c r="BL117" i="4"/>
  <c r="DP167" i="4"/>
  <c r="DP419" i="4"/>
  <c r="DP41" i="4"/>
  <c r="AB362" i="2"/>
  <c r="AK305" i="2"/>
  <c r="AJ305" i="2" s="1"/>
  <c r="BV185" i="2"/>
  <c r="BJ186" i="2"/>
  <c r="DI361" i="2"/>
  <c r="DJ362" i="2" s="1"/>
  <c r="DA248" i="2"/>
  <c r="DA33" i="3"/>
  <c r="DA35" i="3" s="1"/>
  <c r="DB33" i="3"/>
  <c r="DB35" i="3" s="1"/>
  <c r="DJ248" i="2"/>
  <c r="DE29" i="2"/>
  <c r="BJ185" i="2"/>
  <c r="CI385" i="2"/>
  <c r="CI566" i="2" s="1"/>
  <c r="BJ287" i="2"/>
  <c r="BJ630" i="2" s="1"/>
  <c r="BJ342" i="2"/>
  <c r="DB247" i="2"/>
  <c r="DA247" i="2" s="1"/>
  <c r="DA633" i="2" s="1"/>
  <c r="BL507" i="4"/>
  <c r="DA384" i="2"/>
  <c r="AT73" i="2"/>
  <c r="BL74" i="4"/>
  <c r="CD41" i="4"/>
  <c r="AD166" i="3"/>
  <c r="V93" i="3"/>
  <c r="DM189" i="3"/>
  <c r="DA627" i="2"/>
  <c r="AT361" i="2"/>
  <c r="DA362" i="2"/>
  <c r="EP326" i="2"/>
  <c r="EP177" i="2"/>
  <c r="EP29" i="2"/>
  <c r="EP228" i="2"/>
  <c r="EP148" i="2"/>
  <c r="EP2" i="4"/>
  <c r="EP90" i="4" s="1"/>
  <c r="Z65" i="9"/>
  <c r="K93" i="3"/>
  <c r="BF66" i="3"/>
  <c r="CV326" i="2"/>
  <c r="BN241" i="2"/>
  <c r="BN208" i="3" s="1"/>
  <c r="BN206" i="3" s="1"/>
  <c r="CU189" i="3"/>
  <c r="CJ185" i="2"/>
  <c r="CF266" i="2"/>
  <c r="CF168" i="3" s="1"/>
  <c r="BK266" i="2"/>
  <c r="BK335" i="2" s="1"/>
  <c r="CG614" i="2"/>
  <c r="CV9" i="2"/>
  <c r="BT350" i="4"/>
  <c r="BT95" i="4"/>
  <c r="CN296" i="4"/>
  <c r="CG168" i="3"/>
  <c r="DK107" i="3"/>
  <c r="CX199" i="3"/>
  <c r="AD222" i="2"/>
  <c r="CV2" i="4"/>
  <c r="CV95" i="4" s="1"/>
  <c r="CV498" i="4" s="1"/>
  <c r="CV148" i="2"/>
  <c r="BT259" i="4"/>
  <c r="CS95" i="4"/>
  <c r="CS498" i="4" s="1"/>
  <c r="CQ505" i="2"/>
  <c r="Y263" i="2"/>
  <c r="X263" i="2" s="1"/>
  <c r="CR144" i="2"/>
  <c r="BL614" i="2"/>
  <c r="AN361" i="2"/>
  <c r="DE9" i="2"/>
  <c r="H10" i="9" s="1"/>
  <c r="AB66" i="3"/>
  <c r="BU185" i="2"/>
  <c r="DD540" i="2"/>
  <c r="BI66" i="3"/>
  <c r="DO35" i="3"/>
  <c r="DF304" i="2"/>
  <c r="DA196" i="3"/>
  <c r="BB498" i="2"/>
  <c r="BC498" i="2" s="1"/>
  <c r="BA419" i="4"/>
  <c r="BI266" i="4"/>
  <c r="CH185" i="2"/>
  <c r="BU22" i="2"/>
  <c r="CH614" i="2"/>
  <c r="BH540" i="2"/>
  <c r="DA529" i="2"/>
  <c r="DC247" i="2"/>
  <c r="DC633" i="2" s="1"/>
  <c r="BA500" i="2"/>
  <c r="BA497" i="2"/>
  <c r="AP320" i="2"/>
  <c r="AP625" i="2" s="1"/>
  <c r="AP627" i="2" s="1"/>
  <c r="T66" i="3"/>
  <c r="BH337" i="2"/>
  <c r="AQ322" i="2"/>
  <c r="DM35" i="3"/>
  <c r="DG189" i="3"/>
  <c r="P60" i="2"/>
  <c r="O60" i="2" s="1"/>
  <c r="CV355" i="2"/>
  <c r="F409" i="2"/>
  <c r="F397" i="2" s="1"/>
  <c r="F398" i="2" s="1"/>
  <c r="CY35" i="2"/>
  <c r="CY34" i="2" s="1"/>
  <c r="BP276" i="2"/>
  <c r="DM39" i="2"/>
  <c r="AW621" i="2"/>
  <c r="K53" i="2"/>
  <c r="K43" i="2" s="1"/>
  <c r="BB614" i="2"/>
  <c r="BI625" i="2"/>
  <c r="BI627" i="2" s="1"/>
  <c r="BU35" i="3"/>
  <c r="AO327" i="2"/>
  <c r="AK327" i="2"/>
  <c r="CG322" i="2"/>
  <c r="CF322" i="2" s="1"/>
  <c r="CD185" i="2"/>
  <c r="AJ322" i="2"/>
  <c r="AJ327" i="2" s="1"/>
  <c r="BA20" i="3"/>
  <c r="V362" i="2"/>
  <c r="CX40" i="2"/>
  <c r="DQ244" i="2"/>
  <c r="DQ629" i="2" s="1"/>
  <c r="BB338" i="2"/>
  <c r="BB340" i="2" s="1"/>
  <c r="V361" i="2"/>
  <c r="BM272" i="4"/>
  <c r="DB322" i="2"/>
  <c r="DA322" i="2" s="1"/>
  <c r="F68" i="2"/>
  <c r="CE185" i="2"/>
  <c r="CF185" i="2" s="1"/>
  <c r="BP185" i="2"/>
  <c r="CL320" i="2"/>
  <c r="CL625" i="2" s="1"/>
  <c r="CL627" i="2" s="1"/>
  <c r="AQ340" i="2"/>
  <c r="DK626" i="2"/>
  <c r="DK627" i="2" s="1"/>
  <c r="DK33" i="3"/>
  <c r="DN35" i="3" s="1"/>
  <c r="DJ33" i="3"/>
  <c r="DJ35" i="3" s="1"/>
  <c r="DQ507" i="4"/>
  <c r="AV334" i="2"/>
  <c r="AV170" i="3" s="1"/>
  <c r="AV166" i="3" s="1"/>
  <c r="AM333" i="2"/>
  <c r="AM169" i="3" s="1"/>
  <c r="AM165" i="3" s="1"/>
  <c r="N28" i="3"/>
  <c r="G264" i="2"/>
  <c r="F264" i="2" s="1"/>
  <c r="AC305" i="2"/>
  <c r="EH568" i="2"/>
  <c r="DY148" i="2"/>
  <c r="BM74" i="4"/>
  <c r="AL345" i="2"/>
  <c r="CA614" i="2"/>
  <c r="AK345" i="2"/>
  <c r="DK637" i="2"/>
  <c r="DJ253" i="2"/>
  <c r="DJ637" i="2" s="1"/>
  <c r="DJ321" i="2"/>
  <c r="DJ626" i="2" s="1"/>
  <c r="DJ627" i="2" s="1"/>
  <c r="AP338" i="2"/>
  <c r="AP340" i="2" s="1"/>
  <c r="CF95" i="4"/>
  <c r="CF498" i="4" s="1"/>
  <c r="AT93" i="3"/>
  <c r="BM507" i="4"/>
  <c r="BM300" i="4"/>
  <c r="BM302" i="4" s="1"/>
  <c r="CA185" i="2"/>
  <c r="CE168" i="3"/>
  <c r="DJ235" i="2"/>
  <c r="DJ641" i="2" s="1"/>
  <c r="DK641" i="2"/>
  <c r="Y60" i="2"/>
  <c r="X60" i="2" s="1"/>
  <c r="DF233" i="3"/>
  <c r="DH233" i="3" s="1"/>
  <c r="CQ296" i="4"/>
  <c r="CI117" i="4"/>
  <c r="CM507" i="4"/>
  <c r="DY326" i="2"/>
  <c r="CM167" i="4"/>
  <c r="AI90" i="2"/>
  <c r="AJ90" i="2" s="1"/>
  <c r="BK107" i="3"/>
  <c r="CF14" i="4"/>
  <c r="BM95" i="4"/>
  <c r="BM41" i="4"/>
  <c r="BM419" i="4"/>
  <c r="DD148" i="2"/>
  <c r="CM322" i="2"/>
  <c r="CL322" i="2" s="1"/>
  <c r="CF507" i="4"/>
  <c r="BM350" i="4"/>
  <c r="BM14" i="4"/>
  <c r="X338" i="2"/>
  <c r="BA309" i="3"/>
  <c r="DD347" i="2"/>
  <c r="CF167" i="4"/>
  <c r="EK196" i="3"/>
  <c r="CY35" i="3"/>
  <c r="AH361" i="2"/>
  <c r="CI13" i="3"/>
  <c r="CI20" i="3" s="1"/>
  <c r="BJ139" i="2"/>
  <c r="BK139" i="2" s="1"/>
  <c r="BD340" i="2"/>
  <c r="DE322" i="2"/>
  <c r="DD322" i="2" s="1"/>
  <c r="AX42" i="2"/>
  <c r="AY42" i="2" s="1"/>
  <c r="CO507" i="4"/>
  <c r="E202" i="3"/>
  <c r="AB93" i="3"/>
  <c r="CY290" i="4"/>
  <c r="BW193" i="2"/>
  <c r="BX633" i="2"/>
  <c r="DC244" i="2"/>
  <c r="DC629" i="2" s="1"/>
  <c r="X320" i="2"/>
  <c r="CV372" i="2"/>
  <c r="P93" i="3"/>
  <c r="S93" i="3"/>
  <c r="CF199" i="3"/>
  <c r="O66" i="3"/>
  <c r="BP33" i="4"/>
  <c r="BX361" i="2"/>
  <c r="AJ320" i="2"/>
  <c r="CR199" i="3"/>
  <c r="BH14" i="4"/>
  <c r="BH507" i="4"/>
  <c r="AX553" i="2"/>
  <c r="CU362" i="2"/>
  <c r="CV362" i="2" s="1"/>
  <c r="CB185" i="2"/>
  <c r="DD189" i="3"/>
  <c r="AW42" i="2"/>
  <c r="CV177" i="2"/>
  <c r="BF304" i="2"/>
  <c r="BE304" i="2" s="1"/>
  <c r="BH320" i="2"/>
  <c r="BH625" i="2" s="1"/>
  <c r="BH627" i="2" s="1"/>
  <c r="DM13" i="3"/>
  <c r="DM20" i="3" s="1"/>
  <c r="BO208" i="3"/>
  <c r="DQ117" i="4"/>
  <c r="DM627" i="2"/>
  <c r="DE355" i="2"/>
  <c r="DE413" i="2"/>
  <c r="DE529" i="2" s="1"/>
  <c r="CF320" i="2"/>
  <c r="CF625" i="2" s="1"/>
  <c r="CF627" i="2" s="1"/>
  <c r="AQ362" i="2"/>
  <c r="BL185" i="2"/>
  <c r="BB341" i="2"/>
  <c r="AO66" i="3"/>
  <c r="BM185" i="2"/>
  <c r="DC529" i="2"/>
  <c r="CV2" i="3"/>
  <c r="CV13" i="3" s="1"/>
  <c r="CV20" i="3" s="1"/>
  <c r="CV568" i="2"/>
  <c r="CV347" i="2"/>
  <c r="AV614" i="2"/>
  <c r="DQ95" i="4"/>
  <c r="DQ498" i="4" s="1"/>
  <c r="DM244" i="3"/>
  <c r="DY40" i="2"/>
  <c r="EB196" i="3"/>
  <c r="AV222" i="2"/>
  <c r="EQ196" i="3"/>
  <c r="DX95" i="4"/>
  <c r="DX498" i="4" s="1"/>
  <c r="BU95" i="4"/>
  <c r="BU498" i="4" s="1"/>
  <c r="AN625" i="2"/>
  <c r="AN627" i="2" s="1"/>
  <c r="AV333" i="2"/>
  <c r="AV169" i="3" s="1"/>
  <c r="AV165" i="3" s="1"/>
  <c r="BL342" i="2"/>
  <c r="BP269" i="2"/>
  <c r="AY185" i="2"/>
  <c r="DG196" i="3"/>
  <c r="CR196" i="3"/>
  <c r="CV29" i="2"/>
  <c r="DB626" i="2"/>
  <c r="DB627" i="2" s="1"/>
  <c r="BI361" i="2"/>
  <c r="DQ41" i="4"/>
  <c r="DM14" i="4"/>
  <c r="DQ14" i="4"/>
  <c r="DJ40" i="2"/>
  <c r="CQ34" i="2"/>
  <c r="CQ620" i="2" s="1"/>
  <c r="BL335" i="2"/>
  <c r="DY196" i="3"/>
  <c r="CX189" i="3"/>
  <c r="DR10" i="2"/>
  <c r="DR11" i="2" s="1"/>
  <c r="AB17" i="9" s="1"/>
  <c r="BM287" i="2"/>
  <c r="BM630" i="2" s="1"/>
  <c r="AN93" i="3"/>
  <c r="AZ41" i="4"/>
  <c r="AZ74" i="4"/>
  <c r="AZ14" i="4"/>
  <c r="DC626" i="2"/>
  <c r="DC627" i="2" s="1"/>
  <c r="DC322" i="2"/>
  <c r="DK217" i="3"/>
  <c r="DK215" i="3" s="1"/>
  <c r="DI215" i="3"/>
  <c r="BM619" i="2"/>
  <c r="BM72" i="2"/>
  <c r="BM68" i="2" s="1"/>
  <c r="BO625" i="2"/>
  <c r="BO627" i="2" s="1"/>
  <c r="BO322" i="2"/>
  <c r="BN322" i="2" s="1"/>
  <c r="AS64" i="3"/>
  <c r="AS66" i="3" s="1"/>
  <c r="AS166" i="2"/>
  <c r="AS120" i="3"/>
  <c r="AS119" i="3" s="1"/>
  <c r="DF200" i="3"/>
  <c r="DH200" i="3" s="1"/>
  <c r="DH199" i="3" s="1"/>
  <c r="EH326" i="2"/>
  <c r="EH228" i="2"/>
  <c r="DY177" i="2"/>
  <c r="DY9" i="2"/>
  <c r="DY568" i="2"/>
  <c r="DY2" i="4"/>
  <c r="DY90" i="4" s="1"/>
  <c r="CI41" i="4"/>
  <c r="CI74" i="4"/>
  <c r="CI350" i="4"/>
  <c r="J93" i="3"/>
  <c r="H93" i="3"/>
  <c r="BK168" i="2"/>
  <c r="BK341" i="2"/>
  <c r="BK334" i="2"/>
  <c r="DZ296" i="2"/>
  <c r="EA296" i="2" s="1"/>
  <c r="EC296" i="2" s="1"/>
  <c r="EQ326" i="2"/>
  <c r="EQ148" i="2"/>
  <c r="CF74" i="4"/>
  <c r="CF41" i="4"/>
  <c r="CF117" i="4"/>
  <c r="CF350" i="4"/>
  <c r="CF419" i="4"/>
  <c r="DS409" i="2"/>
  <c r="DU409" i="2"/>
  <c r="AM91" i="3"/>
  <c r="AM93" i="3" s="1"/>
  <c r="AM337" i="2"/>
  <c r="BI226" i="3"/>
  <c r="BJ226" i="3" s="1"/>
  <c r="BI24" i="2"/>
  <c r="BE333" i="2"/>
  <c r="BE341" i="2"/>
  <c r="CI529" i="2"/>
  <c r="CI522" i="2"/>
  <c r="CI530" i="2" s="1"/>
  <c r="CR511" i="2"/>
  <c r="CR641" i="2"/>
  <c r="BB320" i="2"/>
  <c r="BB625" i="2" s="1"/>
  <c r="BB627" i="2" s="1"/>
  <c r="BC322" i="2"/>
  <c r="BB322" i="2" s="1"/>
  <c r="BB328" i="2" s="1"/>
  <c r="BC625" i="2"/>
  <c r="BC627" i="2" s="1"/>
  <c r="DN625" i="2"/>
  <c r="DN627" i="2" s="1"/>
  <c r="DN322" i="2"/>
  <c r="DM322" i="2" s="1"/>
  <c r="CC540" i="2"/>
  <c r="CC533" i="2"/>
  <c r="CC541" i="2" s="1"/>
  <c r="CU146" i="3"/>
  <c r="CU618" i="2"/>
  <c r="CU463" i="2"/>
  <c r="DM540" i="2"/>
  <c r="DM533" i="2"/>
  <c r="DM541" i="2" s="1"/>
  <c r="AD320" i="2"/>
  <c r="AE322" i="2"/>
  <c r="AD322" i="2" s="1"/>
  <c r="DR361" i="2"/>
  <c r="CU81" i="2"/>
  <c r="DS189" i="3"/>
  <c r="AP120" i="3"/>
  <c r="AP119" i="3" s="1"/>
  <c r="BU419" i="4"/>
  <c r="BU74" i="4"/>
  <c r="BR633" i="2"/>
  <c r="BQ247" i="2"/>
  <c r="BQ633" i="2" s="1"/>
  <c r="BL93" i="3"/>
  <c r="AV166" i="2"/>
  <c r="AV120" i="3"/>
  <c r="AV119" i="3" s="1"/>
  <c r="BB185" i="2"/>
  <c r="W53" i="2"/>
  <c r="W43" i="2" s="1"/>
  <c r="S66" i="3"/>
  <c r="DQ419" i="4"/>
  <c r="DQ350" i="4"/>
  <c r="CP91" i="3"/>
  <c r="CQ93" i="3" s="1"/>
  <c r="BQ296" i="4"/>
  <c r="BB66" i="3"/>
  <c r="AY414" i="2"/>
  <c r="AD42" i="2"/>
  <c r="AP91" i="3"/>
  <c r="AP93" i="3" s="1"/>
  <c r="AJ64" i="3"/>
  <c r="AJ66" i="3" s="1"/>
  <c r="DX419" i="4"/>
  <c r="DM259" i="4"/>
  <c r="CD350" i="4"/>
  <c r="CD167" i="4"/>
  <c r="CD117" i="4"/>
  <c r="CD95" i="4"/>
  <c r="CD498" i="4" s="1"/>
  <c r="CD259" i="4"/>
  <c r="DE290" i="4"/>
  <c r="DM507" i="4"/>
  <c r="BM34" i="2"/>
  <c r="BM620" i="2" s="1"/>
  <c r="DT29" i="2"/>
  <c r="BT241" i="2"/>
  <c r="BT208" i="3" s="1"/>
  <c r="BT206" i="3" s="1"/>
  <c r="CI199" i="3"/>
  <c r="DK34" i="2"/>
  <c r="BB522" i="2"/>
  <c r="BB530" i="2" s="1"/>
  <c r="I66" i="3"/>
  <c r="AX415" i="2"/>
  <c r="AY415" i="2" s="1"/>
  <c r="DA189" i="3"/>
  <c r="W65" i="9"/>
  <c r="DH355" i="2"/>
  <c r="AR305" i="2"/>
  <c r="EE193" i="2"/>
  <c r="CD74" i="4"/>
  <c r="AY186" i="2"/>
  <c r="BC93" i="3"/>
  <c r="DQ74" i="4"/>
  <c r="DQ259" i="4"/>
  <c r="AL264" i="2"/>
  <c r="AV407" i="2"/>
  <c r="CD14" i="4"/>
  <c r="DH197" i="4"/>
  <c r="DB197" i="4"/>
  <c r="EQ199" i="2"/>
  <c r="DZ272" i="2"/>
  <c r="EA272" i="2" s="1"/>
  <c r="EC272" i="2" s="1"/>
  <c r="BU244" i="2"/>
  <c r="BT244" i="2" s="1"/>
  <c r="BT629" i="2" s="1"/>
  <c r="R320" i="2"/>
  <c r="R222" i="2"/>
  <c r="AL305" i="2"/>
  <c r="BJ327" i="2"/>
  <c r="BT522" i="2"/>
  <c r="BT530" i="2" s="1"/>
  <c r="CH244" i="3"/>
  <c r="BI336" i="2"/>
  <c r="AX156" i="2"/>
  <c r="BI480" i="2"/>
  <c r="EQ568" i="2"/>
  <c r="EQ29" i="2"/>
  <c r="CU196" i="3"/>
  <c r="DD196" i="3"/>
  <c r="CR35" i="3"/>
  <c r="EQ372" i="2"/>
  <c r="AY342" i="2"/>
  <c r="AY335" i="2"/>
  <c r="AY171" i="3" s="1"/>
  <c r="AY167" i="3" s="1"/>
  <c r="DD233" i="3"/>
  <c r="DE233" i="3" s="1"/>
  <c r="DF361" i="2"/>
  <c r="DG362" i="2" s="1"/>
  <c r="EE196" i="3"/>
  <c r="EJ95" i="4"/>
  <c r="EJ498" i="4" s="1"/>
  <c r="EJ507" i="4"/>
  <c r="EJ167" i="4"/>
  <c r="EJ259" i="4"/>
  <c r="EJ117" i="4"/>
  <c r="EJ74" i="4"/>
  <c r="CJ220" i="2"/>
  <c r="CI220" i="2" s="1"/>
  <c r="CI189" i="2"/>
  <c r="BN533" i="2"/>
  <c r="BN541" i="2" s="1"/>
  <c r="BN540" i="2"/>
  <c r="CK362" i="2"/>
  <c r="CM362" i="2" s="1"/>
  <c r="CJ361" i="2"/>
  <c r="BO252" i="2"/>
  <c r="BN252" i="2" s="1"/>
  <c r="BN255" i="2"/>
  <c r="CW244" i="3"/>
  <c r="CW13" i="3"/>
  <c r="CW20" i="3" s="1"/>
  <c r="BA350" i="4"/>
  <c r="BA259" i="4"/>
  <c r="BA507" i="4"/>
  <c r="BA117" i="4"/>
  <c r="BA167" i="4"/>
  <c r="AY513" i="2"/>
  <c r="AY120" i="3"/>
  <c r="AY119" i="3" s="1"/>
  <c r="AY64" i="3"/>
  <c r="AY66" i="3" s="1"/>
  <c r="AR66" i="3"/>
  <c r="AT66" i="3"/>
  <c r="AQ66" i="3"/>
  <c r="CL13" i="3"/>
  <c r="CL20" i="3" s="1"/>
  <c r="CL244" i="3"/>
  <c r="BI340" i="2"/>
  <c r="BI339" i="2"/>
  <c r="L320" i="2"/>
  <c r="M322" i="2"/>
  <c r="L322" i="2" s="1"/>
  <c r="AZ361" i="2"/>
  <c r="AY362" i="2"/>
  <c r="AZ362" i="2" s="1"/>
  <c r="BI186" i="2"/>
  <c r="BF186" i="2"/>
  <c r="BE186" i="2" s="1"/>
  <c r="BF337" i="2"/>
  <c r="BG186" i="2"/>
  <c r="BE297" i="2"/>
  <c r="BE337" i="2" s="1"/>
  <c r="AQ93" i="3"/>
  <c r="AO93" i="3"/>
  <c r="AM414" i="2"/>
  <c r="AN415" i="2"/>
  <c r="AM415" i="2" s="1"/>
  <c r="DB641" i="2"/>
  <c r="DA235" i="2"/>
  <c r="DA641" i="2" s="1"/>
  <c r="DB244" i="2"/>
  <c r="W48" i="9" s="1"/>
  <c r="W47" i="9" s="1"/>
  <c r="CW505" i="2"/>
  <c r="CX75" i="2"/>
  <c r="CX505" i="2" s="1"/>
  <c r="BW566" i="2"/>
  <c r="BW384" i="2"/>
  <c r="CH208" i="3"/>
  <c r="CF208" i="3"/>
  <c r="CF206" i="3" s="1"/>
  <c r="BZ167" i="4"/>
  <c r="BZ41" i="4"/>
  <c r="EJ419" i="4"/>
  <c r="EC228" i="2"/>
  <c r="EC2" i="3"/>
  <c r="EC309" i="3" s="1"/>
  <c r="BE74" i="4"/>
  <c r="BE350" i="4"/>
  <c r="BE95" i="4"/>
  <c r="AO340" i="2"/>
  <c r="AO339" i="2"/>
  <c r="BZ117" i="4"/>
  <c r="BZ259" i="4"/>
  <c r="BZ350" i="4"/>
  <c r="BZ507" i="4"/>
  <c r="BZ14" i="4"/>
  <c r="BZ74" i="4"/>
  <c r="AM287" i="2"/>
  <c r="AN305" i="2"/>
  <c r="AM305" i="2" s="1"/>
  <c r="BE614" i="2"/>
  <c r="BE335" i="2"/>
  <c r="BE171" i="3" s="1"/>
  <c r="BE167" i="3" s="1"/>
  <c r="BP299" i="2"/>
  <c r="BR299" i="2" s="1"/>
  <c r="BN299" i="2"/>
  <c r="BO297" i="2"/>
  <c r="BO91" i="3" s="1"/>
  <c r="BO93" i="3" s="1"/>
  <c r="AV329" i="2"/>
  <c r="AV330" i="2" s="1"/>
  <c r="AW330" i="2"/>
  <c r="CF244" i="3"/>
  <c r="AZ93" i="3"/>
  <c r="BK199" i="2"/>
  <c r="CP361" i="2"/>
  <c r="CN244" i="3"/>
  <c r="CN13" i="3"/>
  <c r="CN20" i="3" s="1"/>
  <c r="BF340" i="2"/>
  <c r="BF339" i="2"/>
  <c r="BW350" i="4"/>
  <c r="BW167" i="4"/>
  <c r="BW419" i="4"/>
  <c r="BT13" i="3"/>
  <c r="BT20" i="3" s="1"/>
  <c r="BT244" i="3"/>
  <c r="CQ35" i="3"/>
  <c r="BP77" i="2"/>
  <c r="BO74" i="2"/>
  <c r="BN77" i="2"/>
  <c r="I222" i="2"/>
  <c r="DM350" i="4"/>
  <c r="DM41" i="4"/>
  <c r="DJ39" i="2"/>
  <c r="AF264" i="2"/>
  <c r="Z49" i="9"/>
  <c r="DJ247" i="2"/>
  <c r="DJ633" i="2" s="1"/>
  <c r="DK633" i="2"/>
  <c r="CZ35" i="2"/>
  <c r="CZ34" i="2" s="1"/>
  <c r="CZ620" i="2" s="1"/>
  <c r="CZ505" i="2"/>
  <c r="DE453" i="2"/>
  <c r="DE347" i="2"/>
  <c r="DE2" i="3"/>
  <c r="DE2" i="4"/>
  <c r="DE326" i="2"/>
  <c r="DE568" i="2"/>
  <c r="DE148" i="2"/>
  <c r="DE493" i="2"/>
  <c r="DE372" i="2"/>
  <c r="DE228" i="2"/>
  <c r="CV625" i="2"/>
  <c r="CV627" i="2" s="1"/>
  <c r="CU320" i="2"/>
  <c r="CU625" i="2" s="1"/>
  <c r="CU627" i="2" s="1"/>
  <c r="DL81" i="2"/>
  <c r="DL156" i="3"/>
  <c r="DL618" i="2"/>
  <c r="DL463" i="2"/>
  <c r="O180" i="3"/>
  <c r="AA222" i="2"/>
  <c r="DM74" i="4"/>
  <c r="DM95" i="4"/>
  <c r="DM498" i="4" s="1"/>
  <c r="DM419" i="4"/>
  <c r="CO189" i="3"/>
  <c r="J362" i="2"/>
  <c r="AK362" i="2"/>
  <c r="AF305" i="2"/>
  <c r="DD148" i="3"/>
  <c r="AI305" i="2"/>
  <c r="BE85" i="2"/>
  <c r="DM167" i="4"/>
  <c r="DM117" i="4"/>
  <c r="AH411" i="2"/>
  <c r="AG411" i="2" s="1"/>
  <c r="DL84" i="2"/>
  <c r="DL90" i="2" s="1"/>
  <c r="X14" i="9" s="1"/>
  <c r="Q264" i="2"/>
  <c r="DJ208" i="3"/>
  <c r="BW375" i="4"/>
  <c r="BT295" i="4"/>
  <c r="BT203" i="4"/>
  <c r="BT204" i="4" s="1"/>
  <c r="U10" i="9"/>
  <c r="DG2" i="3"/>
  <c r="DG2" i="4"/>
  <c r="DG372" i="2"/>
  <c r="DG29" i="2"/>
  <c r="DG493" i="2"/>
  <c r="DG347" i="2"/>
  <c r="DG177" i="2"/>
  <c r="DG326" i="2"/>
  <c r="DG228" i="2"/>
  <c r="DG453" i="2"/>
  <c r="DG568" i="2"/>
  <c r="DG9" i="2"/>
  <c r="DG148" i="2"/>
  <c r="BS271" i="2"/>
  <c r="BQ271" i="2"/>
  <c r="BP296" i="2"/>
  <c r="BR296" i="2" s="1"/>
  <c r="BN296" i="2"/>
  <c r="H264" i="2"/>
  <c r="DV560" i="4"/>
  <c r="DW560" i="4" s="1"/>
  <c r="EA550" i="4"/>
  <c r="EB548" i="4"/>
  <c r="EB550" i="4" s="1"/>
  <c r="BB180" i="3"/>
  <c r="EQ228" i="2"/>
  <c r="EQ177" i="2"/>
  <c r="EQ2" i="4"/>
  <c r="EQ14" i="4" s="1"/>
  <c r="BF34" i="2"/>
  <c r="BF620" i="2" s="1"/>
  <c r="AT619" i="2"/>
  <c r="N264" i="2"/>
  <c r="EQ2" i="3"/>
  <c r="EQ244" i="3" s="1"/>
  <c r="EQ347" i="2"/>
  <c r="EQ9" i="2"/>
  <c r="N305" i="2"/>
  <c r="BL304" i="2"/>
  <c r="BK304" i="2" s="1"/>
  <c r="G60" i="2"/>
  <c r="G55" i="2" s="1"/>
  <c r="G53" i="2" s="1"/>
  <c r="G43" i="2" s="1"/>
  <c r="DE149" i="3"/>
  <c r="DD455" i="2"/>
  <c r="DE625" i="2"/>
  <c r="DD320" i="2"/>
  <c r="DD625" i="2" s="1"/>
  <c r="T31" i="9"/>
  <c r="CQ220" i="2"/>
  <c r="DJ207" i="3"/>
  <c r="DI206" i="3"/>
  <c r="BS280" i="2"/>
  <c r="BU280" i="2" s="1"/>
  <c r="BQ280" i="2"/>
  <c r="EA286" i="2"/>
  <c r="EC286" i="2" s="1"/>
  <c r="BS19" i="4"/>
  <c r="BQ19" i="4"/>
  <c r="BQ33" i="4" s="1"/>
  <c r="T49" i="9"/>
  <c r="CQ633" i="2"/>
  <c r="U222" i="2"/>
  <c r="BN350" i="4"/>
  <c r="AU264" i="2"/>
  <c r="G27" i="3"/>
  <c r="G28" i="3" s="1"/>
  <c r="EN193" i="2"/>
  <c r="AY333" i="2"/>
  <c r="AY169" i="3" s="1"/>
  <c r="AY165" i="3" s="1"/>
  <c r="DB637" i="2"/>
  <c r="DA253" i="2"/>
  <c r="DA637" i="2" s="1"/>
  <c r="AV74" i="4"/>
  <c r="BB540" i="2"/>
  <c r="EA350" i="4"/>
  <c r="U139" i="2"/>
  <c r="BH199" i="2"/>
  <c r="BU259" i="4"/>
  <c r="AR264" i="2"/>
  <c r="BZ385" i="2"/>
  <c r="BZ384" i="2" s="1"/>
  <c r="AY222" i="2"/>
  <c r="AY614" i="2"/>
  <c r="AC202" i="3"/>
  <c r="BE193" i="2"/>
  <c r="AA115" i="2"/>
  <c r="BF41" i="4"/>
  <c r="BK290" i="2"/>
  <c r="BY350" i="4"/>
  <c r="DF117" i="4"/>
  <c r="CO14" i="4"/>
  <c r="I338" i="2"/>
  <c r="CB167" i="4"/>
  <c r="BU41" i="4"/>
  <c r="BO378" i="4"/>
  <c r="BO375" i="4" s="1"/>
  <c r="CU228" i="2"/>
  <c r="BM295" i="2"/>
  <c r="BM290" i="2" s="1"/>
  <c r="BM166" i="2" s="1"/>
  <c r="K305" i="2"/>
  <c r="BA264" i="2"/>
  <c r="AV619" i="2"/>
  <c r="AA139" i="2"/>
  <c r="AX13" i="3"/>
  <c r="BE342" i="2"/>
  <c r="DF95" i="4"/>
  <c r="DF498" i="4" s="1"/>
  <c r="CO95" i="4"/>
  <c r="CO498" i="4" s="1"/>
  <c r="DO244" i="2"/>
  <c r="DO629" i="2" s="1"/>
  <c r="CK35" i="3"/>
  <c r="EH199" i="2"/>
  <c r="CP100" i="3"/>
  <c r="CO100" i="3" s="1"/>
  <c r="AV185" i="2"/>
  <c r="AV91" i="3"/>
  <c r="AV93" i="3" s="1"/>
  <c r="AW305" i="2"/>
  <c r="AV305" i="2" s="1"/>
  <c r="AO20" i="3"/>
  <c r="BV366" i="2"/>
  <c r="BV224" i="3" s="1"/>
  <c r="EA41" i="4"/>
  <c r="AV41" i="4"/>
  <c r="DC505" i="2"/>
  <c r="AN156" i="2"/>
  <c r="CH74" i="4"/>
  <c r="BU633" i="2"/>
  <c r="CU568" i="2"/>
  <c r="CE13" i="3"/>
  <c r="CE20" i="3" s="1"/>
  <c r="BK533" i="2"/>
  <c r="BK541" i="2" s="1"/>
  <c r="E33" i="9"/>
  <c r="DO2" i="4"/>
  <c r="DO117" i="4" s="1"/>
  <c r="AX305" i="2"/>
  <c r="BZ419" i="4"/>
  <c r="CG362" i="2"/>
  <c r="AN362" i="2"/>
  <c r="BO41" i="4"/>
  <c r="BN14" i="4"/>
  <c r="BN507" i="4"/>
  <c r="O180" i="2"/>
  <c r="BA625" i="2"/>
  <c r="BA627" i="2" s="1"/>
  <c r="BN95" i="4"/>
  <c r="CN507" i="4"/>
  <c r="CN167" i="4"/>
  <c r="DD568" i="2"/>
  <c r="EK193" i="2"/>
  <c r="DH33" i="3"/>
  <c r="DI35" i="3" s="1"/>
  <c r="AW339" i="2"/>
  <c r="BJ66" i="3"/>
  <c r="DO228" i="2"/>
  <c r="DO2" i="3"/>
  <c r="DO309" i="3" s="1"/>
  <c r="DO326" i="2"/>
  <c r="DO453" i="2"/>
  <c r="AB305" i="2"/>
  <c r="AA305" i="2" s="1"/>
  <c r="DO29" i="2"/>
  <c r="DG33" i="3"/>
  <c r="DG35" i="3" s="1"/>
  <c r="BP263" i="2"/>
  <c r="BP264" i="2" s="1"/>
  <c r="CD309" i="3"/>
  <c r="DE309" i="3"/>
  <c r="BK59" i="2"/>
  <c r="CH115" i="2"/>
  <c r="CH13" i="2" s="1"/>
  <c r="CH14" i="2" s="1"/>
  <c r="AJ205" i="2"/>
  <c r="EK206" i="2"/>
  <c r="AK214" i="2"/>
  <c r="AJ214" i="2" s="1"/>
  <c r="BH74" i="4"/>
  <c r="BH259" i="4"/>
  <c r="BH117" i="4"/>
  <c r="BP213" i="2"/>
  <c r="AZ20" i="3"/>
  <c r="AW263" i="2"/>
  <c r="AV263" i="2" s="1"/>
  <c r="BA13" i="3"/>
  <c r="N66" i="3"/>
  <c r="DA206" i="2"/>
  <c r="I180" i="3"/>
  <c r="BX62" i="2"/>
  <c r="BX27" i="3" s="1"/>
  <c r="BN117" i="4"/>
  <c r="BH167" i="4"/>
  <c r="BH41" i="4"/>
  <c r="CX463" i="2"/>
  <c r="BK150" i="2"/>
  <c r="AZ244" i="3"/>
  <c r="AS333" i="2"/>
  <c r="AS169" i="3" s="1"/>
  <c r="AS165" i="3" s="1"/>
  <c r="AS342" i="2"/>
  <c r="EH193" i="2"/>
  <c r="CT641" i="2"/>
  <c r="BE185" i="2"/>
  <c r="AE27" i="3"/>
  <c r="AE28" i="3" s="1"/>
  <c r="EE90" i="4"/>
  <c r="BL166" i="2"/>
  <c r="BX205" i="2"/>
  <c r="BX214" i="2" s="1"/>
  <c r="BL640" i="2"/>
  <c r="AU14" i="4"/>
  <c r="CN41" i="4"/>
  <c r="BN196" i="3"/>
  <c r="DT228" i="2"/>
  <c r="DT326" i="2"/>
  <c r="DO107" i="3"/>
  <c r="BL329" i="2"/>
  <c r="BK329" i="2" s="1"/>
  <c r="BK330" i="2" s="1"/>
  <c r="CJ224" i="2"/>
  <c r="CJ226" i="2" s="1"/>
  <c r="CI226" i="2" s="1"/>
  <c r="CE419" i="4"/>
  <c r="CB14" i="4"/>
  <c r="CN14" i="4"/>
  <c r="CN350" i="4"/>
  <c r="CN259" i="4"/>
  <c r="CR396" i="2"/>
  <c r="DK290" i="2"/>
  <c r="DK304" i="2" s="1"/>
  <c r="DJ304" i="2" s="1"/>
  <c r="EC372" i="2"/>
  <c r="EC568" i="2"/>
  <c r="DO626" i="2"/>
  <c r="DO627" i="2" s="1"/>
  <c r="DI62" i="2"/>
  <c r="DI27" i="3" s="1"/>
  <c r="BO74" i="4"/>
  <c r="BZ199" i="2"/>
  <c r="CH155" i="2"/>
  <c r="AG222" i="2"/>
  <c r="BJ155" i="2"/>
  <c r="CF226" i="2"/>
  <c r="DF462" i="2"/>
  <c r="AG62" i="2"/>
  <c r="AG27" i="3" s="1"/>
  <c r="AG28" i="3" s="1"/>
  <c r="BA322" i="2"/>
  <c r="BA327" i="2" s="1"/>
  <c r="AL160" i="2"/>
  <c r="AU74" i="4"/>
  <c r="BN41" i="4"/>
  <c r="CE350" i="4"/>
  <c r="CE259" i="4"/>
  <c r="CB259" i="4"/>
  <c r="CE507" i="4"/>
  <c r="CN74" i="4"/>
  <c r="CN95" i="4"/>
  <c r="CN498" i="4" s="1"/>
  <c r="CF189" i="3"/>
  <c r="EC148" i="2"/>
  <c r="DI568" i="2"/>
  <c r="BL20" i="3"/>
  <c r="AJ62" i="2"/>
  <c r="AJ27" i="3" s="1"/>
  <c r="AJ28" i="3" s="1"/>
  <c r="AS614" i="2"/>
  <c r="BB91" i="3"/>
  <c r="BB93" i="3" s="1"/>
  <c r="DD493" i="2"/>
  <c r="BO95" i="4"/>
  <c r="DI290" i="2"/>
  <c r="DI304" i="2" s="1"/>
  <c r="BF24" i="2"/>
  <c r="DO75" i="2"/>
  <c r="DO35" i="2" s="1"/>
  <c r="DO34" i="2" s="1"/>
  <c r="BO117" i="4"/>
  <c r="BB186" i="2"/>
  <c r="BT193" i="2"/>
  <c r="CI309" i="3"/>
  <c r="AP222" i="2"/>
  <c r="BL120" i="3"/>
  <c r="BL119" i="3" s="1"/>
  <c r="BL513" i="2"/>
  <c r="AS74" i="4"/>
  <c r="CP462" i="2"/>
  <c r="BY41" i="4"/>
  <c r="CL199" i="3"/>
  <c r="CB507" i="4"/>
  <c r="BN259" i="4"/>
  <c r="BN74" i="4"/>
  <c r="CN419" i="4"/>
  <c r="AH202" i="3"/>
  <c r="BL13" i="3"/>
  <c r="F62" i="2"/>
  <c r="F27" i="3" s="1"/>
  <c r="F28" i="3" s="1"/>
  <c r="BL309" i="3"/>
  <c r="BY362" i="2"/>
  <c r="CA362" i="2" s="1"/>
  <c r="BM297" i="2"/>
  <c r="BM91" i="3" s="1"/>
  <c r="BM93" i="3" s="1"/>
  <c r="BC362" i="2"/>
  <c r="AT362" i="2"/>
  <c r="AX621" i="2"/>
  <c r="DN34" i="2"/>
  <c r="AH362" i="2"/>
  <c r="CJ35" i="3"/>
  <c r="DA167" i="4"/>
  <c r="E28" i="9"/>
  <c r="EK199" i="2"/>
  <c r="AX217" i="3"/>
  <c r="AX215" i="3" s="1"/>
  <c r="CO196" i="3"/>
  <c r="EH196" i="3"/>
  <c r="EG14" i="4"/>
  <c r="BW507" i="4"/>
  <c r="BF95" i="4"/>
  <c r="CH419" i="4"/>
  <c r="DD362" i="2"/>
  <c r="X90" i="2"/>
  <c r="X5" i="3" s="1"/>
  <c r="X11" i="3" s="1"/>
  <c r="AL139" i="2"/>
  <c r="EJ147" i="3"/>
  <c r="EK147" i="3" s="1"/>
  <c r="EL147" i="3" s="1"/>
  <c r="DF507" i="4"/>
  <c r="DF74" i="4"/>
  <c r="DF14" i="4"/>
  <c r="AA180" i="2"/>
  <c r="CO259" i="4"/>
  <c r="CO41" i="4"/>
  <c r="DO201" i="3"/>
  <c r="DO199" i="3" s="1"/>
  <c r="BD464" i="2"/>
  <c r="AA180" i="3"/>
  <c r="AD362" i="2"/>
  <c r="AE362" i="2" s="1"/>
  <c r="CG35" i="3"/>
  <c r="AX28" i="3"/>
  <c r="BW74" i="4"/>
  <c r="EG167" i="4"/>
  <c r="EG350" i="4"/>
  <c r="BU14" i="4"/>
  <c r="BT749" i="4"/>
  <c r="AN322" i="2"/>
  <c r="AM322" i="2" s="1"/>
  <c r="CU29" i="2"/>
  <c r="CU9" i="2"/>
  <c r="W264" i="2"/>
  <c r="BR35" i="3"/>
  <c r="DO247" i="2"/>
  <c r="DO633" i="2" s="1"/>
  <c r="AU339" i="2"/>
  <c r="CC196" i="2"/>
  <c r="EB193" i="2"/>
  <c r="BO35" i="3"/>
  <c r="BR362" i="2"/>
  <c r="DC29" i="2"/>
  <c r="J305" i="2"/>
  <c r="I305" i="2" s="1"/>
  <c r="BF217" i="3"/>
  <c r="BF215" i="3" s="1"/>
  <c r="BG51" i="4"/>
  <c r="BG6" i="4" s="1"/>
  <c r="EG95" i="4"/>
  <c r="EG498" i="4" s="1"/>
  <c r="DM40" i="2"/>
  <c r="BF263" i="2"/>
  <c r="BE263" i="2" s="1"/>
  <c r="BW259" i="4"/>
  <c r="BF167" i="4"/>
  <c r="CH350" i="4"/>
  <c r="AX20" i="3"/>
  <c r="BB115" i="2"/>
  <c r="BB13" i="2" s="1"/>
  <c r="DF259" i="4"/>
  <c r="DF41" i="4"/>
  <c r="DF350" i="4"/>
  <c r="BX35" i="3"/>
  <c r="CO419" i="4"/>
  <c r="CO117" i="4"/>
  <c r="AB361" i="2"/>
  <c r="CH35" i="3"/>
  <c r="AX456" i="2"/>
  <c r="AZ263" i="2"/>
  <c r="AY263" i="2" s="1"/>
  <c r="BW41" i="4"/>
  <c r="P322" i="2"/>
  <c r="O322" i="2" s="1"/>
  <c r="BR259" i="4"/>
  <c r="CL419" i="4"/>
  <c r="BR95" i="4"/>
  <c r="BR419" i="4"/>
  <c r="EG41" i="4"/>
  <c r="EG117" i="4"/>
  <c r="BF419" i="4"/>
  <c r="BF350" i="4"/>
  <c r="EG90" i="4"/>
  <c r="DP40" i="2"/>
  <c r="W202" i="3"/>
  <c r="CU177" i="2"/>
  <c r="EJ13" i="3"/>
  <c r="EJ20" i="3" s="1"/>
  <c r="CA35" i="3"/>
  <c r="DC326" i="2"/>
  <c r="AV312" i="2"/>
  <c r="AJ222" i="2"/>
  <c r="CY10" i="2"/>
  <c r="BS217" i="3"/>
  <c r="BS215" i="3" s="1"/>
  <c r="CO196" i="2"/>
  <c r="CG462" i="2"/>
  <c r="BK167" i="4"/>
  <c r="BW117" i="4"/>
  <c r="BF507" i="4"/>
  <c r="AX244" i="3"/>
  <c r="AS41" i="4"/>
  <c r="DF167" i="4"/>
  <c r="CO350" i="4"/>
  <c r="CO74" i="4"/>
  <c r="AM115" i="2"/>
  <c r="AM13" i="2" s="1"/>
  <c r="AU202" i="3"/>
  <c r="AX179" i="2"/>
  <c r="BW14" i="4"/>
  <c r="BK41" i="4"/>
  <c r="CL14" i="4"/>
  <c r="BR14" i="4"/>
  <c r="BR74" i="4"/>
  <c r="CL117" i="4"/>
  <c r="EG259" i="4"/>
  <c r="EG507" i="4"/>
  <c r="BF117" i="4"/>
  <c r="BU350" i="4"/>
  <c r="BU507" i="4"/>
  <c r="BU117" i="4"/>
  <c r="EK196" i="2"/>
  <c r="CU372" i="2"/>
  <c r="BF93" i="3"/>
  <c r="Z264" i="2"/>
  <c r="M93" i="3"/>
  <c r="DC2" i="4"/>
  <c r="DC95" i="4" s="1"/>
  <c r="DC498" i="4" s="1"/>
  <c r="BC340" i="2"/>
  <c r="CG179" i="2"/>
  <c r="CK244" i="3"/>
  <c r="BT271" i="4"/>
  <c r="CG180" i="3"/>
  <c r="ED244" i="3"/>
  <c r="ED13" i="3"/>
  <c r="ED20" i="3" s="1"/>
  <c r="AY340" i="2"/>
  <c r="BB222" i="2"/>
  <c r="CS309" i="3"/>
  <c r="EA74" i="4"/>
  <c r="EA259" i="4"/>
  <c r="BH20" i="3"/>
  <c r="AU162" i="2"/>
  <c r="DR115" i="2"/>
  <c r="AB15" i="9" s="1"/>
  <c r="CM309" i="3"/>
  <c r="K264" i="2"/>
  <c r="E264" i="2"/>
  <c r="EA95" i="4"/>
  <c r="EA498" i="4" s="1"/>
  <c r="EA419" i="4"/>
  <c r="BN167" i="4"/>
  <c r="Y93" i="3"/>
  <c r="BS244" i="3"/>
  <c r="BW199" i="2"/>
  <c r="BE340" i="2"/>
  <c r="DA199" i="3"/>
  <c r="AA66" i="3"/>
  <c r="AT345" i="2"/>
  <c r="CD35" i="3"/>
  <c r="CJ309" i="3"/>
  <c r="EA14" i="4"/>
  <c r="EA90" i="4"/>
  <c r="EH189" i="3"/>
  <c r="BA340" i="2"/>
  <c r="AX264" i="2"/>
  <c r="CP205" i="2"/>
  <c r="CP214" i="2" s="1"/>
  <c r="EB189" i="3"/>
  <c r="DP189" i="3"/>
  <c r="P27" i="3"/>
  <c r="P28" i="3" s="1"/>
  <c r="O62" i="2"/>
  <c r="O27" i="3" s="1"/>
  <c r="O28" i="3" s="1"/>
  <c r="AN162" i="2"/>
  <c r="AN344" i="2"/>
  <c r="CP14" i="4"/>
  <c r="CP117" i="4"/>
  <c r="CP167" i="4"/>
  <c r="CW507" i="4"/>
  <c r="CW350" i="4"/>
  <c r="CW74" i="4"/>
  <c r="CW14" i="4"/>
  <c r="BU244" i="3"/>
  <c r="BU13" i="3"/>
  <c r="BU20" i="3" s="1"/>
  <c r="L166" i="3"/>
  <c r="L338" i="2"/>
  <c r="BK362" i="2"/>
  <c r="BL362" i="2" s="1"/>
  <c r="BL361" i="2"/>
  <c r="BM362" i="2"/>
  <c r="U338" i="2"/>
  <c r="U166" i="3"/>
  <c r="AN374" i="2"/>
  <c r="AL374" i="2"/>
  <c r="AM342" i="2"/>
  <c r="AM335" i="2"/>
  <c r="AM171" i="3" s="1"/>
  <c r="AM167" i="3" s="1"/>
  <c r="DI626" i="2"/>
  <c r="DI627" i="2" s="1"/>
  <c r="DI322" i="2"/>
  <c r="BD522" i="2"/>
  <c r="BD530" i="2" s="1"/>
  <c r="BD529" i="2"/>
  <c r="BF413" i="2"/>
  <c r="BG413" i="2" s="1"/>
  <c r="G322" i="2"/>
  <c r="F322" i="2" s="1"/>
  <c r="F320" i="2"/>
  <c r="CX533" i="2"/>
  <c r="CX541" i="2" s="1"/>
  <c r="CX540" i="2"/>
  <c r="BL22" i="2"/>
  <c r="AL93" i="3"/>
  <c r="AK93" i="3"/>
  <c r="R304" i="2"/>
  <c r="S305" i="2"/>
  <c r="R305" i="2" s="1"/>
  <c r="BD10" i="2"/>
  <c r="BD163" i="2"/>
  <c r="ED167" i="4"/>
  <c r="ED95" i="4"/>
  <c r="ED498" i="4" s="1"/>
  <c r="AR5" i="3"/>
  <c r="AR11" i="3" s="1"/>
  <c r="AU156" i="2"/>
  <c r="AR344" i="2"/>
  <c r="BA156" i="2"/>
  <c r="CQ167" i="4"/>
  <c r="CQ117" i="4"/>
  <c r="CZ233" i="3"/>
  <c r="DB233" i="3" s="1"/>
  <c r="BH338" i="2"/>
  <c r="BH340" i="2" s="1"/>
  <c r="AP180" i="3"/>
  <c r="AE305" i="2"/>
  <c r="AD305" i="2" s="1"/>
  <c r="AU13" i="3"/>
  <c r="AP66" i="3"/>
  <c r="EN189" i="3"/>
  <c r="DY453" i="2"/>
  <c r="DY347" i="2"/>
  <c r="DY2" i="3"/>
  <c r="DY309" i="3" s="1"/>
  <c r="CI507" i="4"/>
  <c r="CI419" i="4"/>
  <c r="CI259" i="4"/>
  <c r="AX14" i="4"/>
  <c r="AX41" i="4"/>
  <c r="AR339" i="2"/>
  <c r="BO287" i="2"/>
  <c r="BN287" i="2" s="1"/>
  <c r="AK340" i="2"/>
  <c r="AK339" i="2"/>
  <c r="DC347" i="2"/>
  <c r="DC2" i="3"/>
  <c r="DC244" i="3" s="1"/>
  <c r="DC228" i="2"/>
  <c r="DC177" i="2"/>
  <c r="DC493" i="2"/>
  <c r="DC453" i="2"/>
  <c r="DC568" i="2"/>
  <c r="DC372" i="2"/>
  <c r="BL337" i="2"/>
  <c r="BK297" i="2"/>
  <c r="BK337" i="2" s="1"/>
  <c r="BH66" i="3"/>
  <c r="AX340" i="2"/>
  <c r="AX339" i="2"/>
  <c r="BC13" i="2"/>
  <c r="BC139" i="2"/>
  <c r="AI66" i="3"/>
  <c r="AK66" i="3"/>
  <c r="DD13" i="3"/>
  <c r="DD20" i="3" s="1"/>
  <c r="DD244" i="3"/>
  <c r="EG309" i="3"/>
  <c r="EG13" i="3"/>
  <c r="EG20" i="3" s="1"/>
  <c r="CQ350" i="4"/>
  <c r="CQ259" i="4"/>
  <c r="CQ14" i="4"/>
  <c r="AR162" i="2"/>
  <c r="AL202" i="3"/>
  <c r="BD115" i="2"/>
  <c r="BD13" i="2" s="1"/>
  <c r="CL199" i="2"/>
  <c r="DP362" i="2"/>
  <c r="DQ362" i="2" s="1"/>
  <c r="EH29" i="2"/>
  <c r="EH148" i="2"/>
  <c r="CM259" i="4"/>
  <c r="CM419" i="4"/>
  <c r="CM117" i="4"/>
  <c r="CM41" i="4"/>
  <c r="CM74" i="4"/>
  <c r="BQ269" i="2"/>
  <c r="BQ64" i="3" s="1"/>
  <c r="BR64" i="3"/>
  <c r="AV10" i="2"/>
  <c r="AX174" i="2"/>
  <c r="AS340" i="2"/>
  <c r="AS339" i="2"/>
  <c r="BC162" i="2"/>
  <c r="BC5" i="3"/>
  <c r="BC11" i="3" s="1"/>
  <c r="CB95" i="4"/>
  <c r="CB498" i="4" s="1"/>
  <c r="CB419" i="4"/>
  <c r="CB41" i="4"/>
  <c r="CB74" i="4"/>
  <c r="DI362" i="2"/>
  <c r="DT2" i="3"/>
  <c r="DT309" i="3" s="1"/>
  <c r="DT177" i="2"/>
  <c r="DT372" i="2"/>
  <c r="DT347" i="2"/>
  <c r="DT148" i="2"/>
  <c r="DT9" i="2"/>
  <c r="M10" i="9" s="1"/>
  <c r="DI29" i="2"/>
  <c r="DI493" i="2"/>
  <c r="DI9" i="2"/>
  <c r="DI326" i="2"/>
  <c r="DI347" i="2"/>
  <c r="BR462" i="2"/>
  <c r="BR62" i="2"/>
  <c r="BR27" i="3" s="1"/>
  <c r="BR28" i="3" s="1"/>
  <c r="EC29" i="2"/>
  <c r="EC177" i="2"/>
  <c r="BC73" i="2"/>
  <c r="BC345" i="2"/>
  <c r="CK419" i="4"/>
  <c r="CK14" i="4"/>
  <c r="DL293" i="2"/>
  <c r="DN293" i="2" s="1"/>
  <c r="DO293" i="2" s="1"/>
  <c r="DQ293" i="2" s="1"/>
  <c r="X222" i="2"/>
  <c r="EC347" i="2"/>
  <c r="DC35" i="2"/>
  <c r="DC34" i="2" s="1"/>
  <c r="EC326" i="2"/>
  <c r="BE199" i="2"/>
  <c r="BH334" i="2"/>
  <c r="BG155" i="2"/>
  <c r="AN41" i="2"/>
  <c r="AN34" i="2" s="1"/>
  <c r="AN42" i="2" s="1"/>
  <c r="BA176" i="2"/>
  <c r="BD155" i="2"/>
  <c r="CP259" i="4"/>
  <c r="AY34" i="2"/>
  <c r="AY620" i="2" s="1"/>
  <c r="AV155" i="2"/>
  <c r="CQ95" i="4"/>
  <c r="CQ498" i="4" s="1"/>
  <c r="CQ74" i="4"/>
  <c r="CI167" i="4"/>
  <c r="CI95" i="4"/>
  <c r="CI498" i="4" s="1"/>
  <c r="BR361" i="2"/>
  <c r="EH347" i="2"/>
  <c r="EH2" i="4"/>
  <c r="EH90" i="4" s="1"/>
  <c r="AZ620" i="2"/>
  <c r="DY372" i="2"/>
  <c r="DY228" i="2"/>
  <c r="CW419" i="4"/>
  <c r="CM95" i="4"/>
  <c r="CM498" i="4" s="1"/>
  <c r="CW95" i="4"/>
  <c r="CW498" i="4" s="1"/>
  <c r="CW41" i="4"/>
  <c r="CB350" i="4"/>
  <c r="DT568" i="2"/>
  <c r="CL629" i="2"/>
  <c r="BY221" i="2"/>
  <c r="BY222" i="2" s="1"/>
  <c r="AH66" i="3"/>
  <c r="BG66" i="3"/>
  <c r="AR322" i="2"/>
  <c r="AR327" i="2" s="1"/>
  <c r="AR625" i="2"/>
  <c r="AR627" i="2" s="1"/>
  <c r="DC9" i="2"/>
  <c r="CA145" i="2"/>
  <c r="BZ145" i="2" s="1"/>
  <c r="CB145" i="2"/>
  <c r="CO244" i="2"/>
  <c r="CO629" i="2" s="1"/>
  <c r="CP629" i="2"/>
  <c r="BK165" i="2"/>
  <c r="BK333" i="2"/>
  <c r="BK31" i="2"/>
  <c r="CA633" i="2"/>
  <c r="BZ247" i="2"/>
  <c r="BZ633" i="2" s="1"/>
  <c r="DM193" i="2"/>
  <c r="I411" i="2"/>
  <c r="BT64" i="2"/>
  <c r="BT462" i="2" s="1"/>
  <c r="AQ202" i="3"/>
  <c r="BR507" i="4"/>
  <c r="BR350" i="4"/>
  <c r="BR117" i="4"/>
  <c r="BR41" i="4"/>
  <c r="BF259" i="4"/>
  <c r="BF74" i="4"/>
  <c r="BH244" i="3"/>
  <c r="BH13" i="3"/>
  <c r="BR22" i="2"/>
  <c r="AX5" i="3"/>
  <c r="AX11" i="3" s="1"/>
  <c r="AX162" i="2"/>
  <c r="L26" i="3"/>
  <c r="L180" i="3"/>
  <c r="EK309" i="3"/>
  <c r="EK244" i="3"/>
  <c r="CU453" i="2"/>
  <c r="CU2" i="3"/>
  <c r="CU493" i="2"/>
  <c r="E35" i="9"/>
  <c r="CU326" i="2"/>
  <c r="CU2" i="4"/>
  <c r="CU507" i="4" s="1"/>
  <c r="CU347" i="2"/>
  <c r="AN309" i="3"/>
  <c r="AN13" i="3"/>
  <c r="AN244" i="3"/>
  <c r="EJ14" i="4"/>
  <c r="EJ90" i="4"/>
  <c r="BW241" i="2"/>
  <c r="BW208" i="3" s="1"/>
  <c r="BW206" i="3" s="1"/>
  <c r="BX208" i="3"/>
  <c r="BX206" i="3" s="1"/>
  <c r="BM117" i="4"/>
  <c r="BM259" i="4"/>
  <c r="DD9" i="2"/>
  <c r="DD177" i="2"/>
  <c r="DD372" i="2"/>
  <c r="DD29" i="2"/>
  <c r="DD228" i="2"/>
  <c r="DD453" i="2"/>
  <c r="BU256" i="2"/>
  <c r="BS255" i="2"/>
  <c r="BS252" i="2" s="1"/>
  <c r="CO199" i="2"/>
  <c r="EB199" i="2"/>
  <c r="CC189" i="3"/>
  <c r="BH196" i="3"/>
  <c r="AK60" i="2"/>
  <c r="AK55" i="2" s="1"/>
  <c r="CF463" i="2"/>
  <c r="CS362" i="2"/>
  <c r="DD39" i="2"/>
  <c r="BU362" i="2"/>
  <c r="AX344" i="2"/>
  <c r="CS35" i="3"/>
  <c r="L93" i="3"/>
  <c r="BE320" i="2"/>
  <c r="BE625" i="2" s="1"/>
  <c r="BE627" i="2" s="1"/>
  <c r="BF322" i="2"/>
  <c r="BF625" i="2"/>
  <c r="BF627" i="2" s="1"/>
  <c r="BZ533" i="2"/>
  <c r="BZ541" i="2" s="1"/>
  <c r="BZ540" i="2"/>
  <c r="BO205" i="2"/>
  <c r="BO214" i="2" s="1"/>
  <c r="BO213" i="2" s="1"/>
  <c r="BF205" i="2"/>
  <c r="BF214" i="2" s="1"/>
  <c r="BQ196" i="3"/>
  <c r="AC264" i="2"/>
  <c r="T305" i="2"/>
  <c r="EN196" i="3"/>
  <c r="BL186" i="2"/>
  <c r="BW320" i="2"/>
  <c r="BW625" i="2" s="1"/>
  <c r="BW627" i="2" s="1"/>
  <c r="BX625" i="2"/>
  <c r="BX627" i="2" s="1"/>
  <c r="CH209" i="3"/>
  <c r="CJ209" i="3" s="1"/>
  <c r="CI209" i="3" s="1"/>
  <c r="BX629" i="2"/>
  <c r="EJ244" i="3"/>
  <c r="BZ199" i="3"/>
  <c r="BD414" i="2"/>
  <c r="BB414" i="2"/>
  <c r="BC415" i="2"/>
  <c r="BB415" i="2" s="1"/>
  <c r="ER177" i="2"/>
  <c r="BF13" i="3"/>
  <c r="BF309" i="3"/>
  <c r="AZ13" i="3"/>
  <c r="CR297" i="2"/>
  <c r="CR91" i="3" s="1"/>
  <c r="CR93" i="3" s="1"/>
  <c r="CR189" i="3"/>
  <c r="AU344" i="2"/>
  <c r="CS320" i="2"/>
  <c r="CR312" i="2"/>
  <c r="CJ625" i="2"/>
  <c r="CJ627" i="2" s="1"/>
  <c r="CI320" i="2"/>
  <c r="CI625" i="2" s="1"/>
  <c r="CI627" i="2" s="1"/>
  <c r="CJ180" i="3"/>
  <c r="ER9" i="2"/>
  <c r="BH185" i="2"/>
  <c r="BF244" i="3"/>
  <c r="DD2" i="4"/>
  <c r="DD326" i="2"/>
  <c r="CO247" i="2"/>
  <c r="CO633" i="2" s="1"/>
  <c r="CK529" i="2"/>
  <c r="AT322" i="2"/>
  <c r="AT625" i="2"/>
  <c r="AT627" i="2" s="1"/>
  <c r="AS320" i="2"/>
  <c r="AS625" i="2" s="1"/>
  <c r="AS627" i="2" s="1"/>
  <c r="AH322" i="2"/>
  <c r="AG322" i="2" s="1"/>
  <c r="AG320" i="2"/>
  <c r="BE40" i="2"/>
  <c r="I115" i="2"/>
  <c r="BL13" i="2"/>
  <c r="AG139" i="2"/>
  <c r="AX13" i="2"/>
  <c r="AR309" i="3"/>
  <c r="DE115" i="2"/>
  <c r="DE13" i="2" s="1"/>
  <c r="DD84" i="2"/>
  <c r="DF174" i="2" s="1"/>
  <c r="DH290" i="2"/>
  <c r="DG290" i="2" s="1"/>
  <c r="EO419" i="4"/>
  <c r="BD34" i="2"/>
  <c r="BD42" i="2" s="1"/>
  <c r="EA507" i="4"/>
  <c r="BE362" i="2"/>
  <c r="BF362" i="2" s="1"/>
  <c r="BA621" i="2"/>
  <c r="AD139" i="2"/>
  <c r="DO9" i="2"/>
  <c r="DO347" i="2"/>
  <c r="DO568" i="2"/>
  <c r="Z10" i="9"/>
  <c r="DH247" i="2"/>
  <c r="DG247" i="2" s="1"/>
  <c r="DG633" i="2" s="1"/>
  <c r="EA167" i="4"/>
  <c r="DO177" i="2"/>
  <c r="DO148" i="2"/>
  <c r="X139" i="2"/>
  <c r="EN199" i="2"/>
  <c r="BI350" i="4"/>
  <c r="EO259" i="4"/>
  <c r="BO309" i="3"/>
  <c r="BO244" i="3"/>
  <c r="CA309" i="3"/>
  <c r="DH309" i="3"/>
  <c r="BW40" i="2"/>
  <c r="BP507" i="4"/>
  <c r="BD350" i="4"/>
  <c r="BD419" i="4"/>
  <c r="DA95" i="4"/>
  <c r="DA498" i="4" s="1"/>
  <c r="EO507" i="4"/>
  <c r="BX309" i="3"/>
  <c r="BO13" i="3"/>
  <c r="DB309" i="3"/>
  <c r="BO20" i="3"/>
  <c r="DA74" i="4"/>
  <c r="DA259" i="4"/>
  <c r="BP74" i="4"/>
  <c r="BD41" i="4"/>
  <c r="AK162" i="2"/>
  <c r="AP35" i="2"/>
  <c r="EO14" i="4"/>
  <c r="BR309" i="3"/>
  <c r="CP309" i="3"/>
  <c r="CY309" i="3"/>
  <c r="CG309" i="3"/>
  <c r="CV309" i="3"/>
  <c r="AR14" i="4"/>
  <c r="DA41" i="4"/>
  <c r="DA14" i="4"/>
  <c r="EE117" i="4"/>
  <c r="BC330" i="2"/>
  <c r="DO252" i="2"/>
  <c r="DK263" i="2"/>
  <c r="Z55" i="9" s="1"/>
  <c r="EN40" i="2"/>
  <c r="E305" i="2"/>
  <c r="Y28" i="3"/>
  <c r="BD90" i="2"/>
  <c r="BD5" i="3" s="1"/>
  <c r="BD11" i="3" s="1"/>
  <c r="CC199" i="2"/>
  <c r="BK339" i="2"/>
  <c r="F222" i="2"/>
  <c r="F115" i="2"/>
  <c r="DR90" i="2"/>
  <c r="DR91" i="2" s="1"/>
  <c r="Q305" i="2"/>
  <c r="AG180" i="3"/>
  <c r="BZ189" i="3"/>
  <c r="BK117" i="4"/>
  <c r="BX13" i="3"/>
  <c r="BX20" i="3" s="1"/>
  <c r="BC4" i="3"/>
  <c r="BC10" i="3" s="1"/>
  <c r="BJ339" i="2"/>
  <c r="BN309" i="3"/>
  <c r="CI40" i="2"/>
  <c r="CH507" i="4"/>
  <c r="CS259" i="4"/>
  <c r="BE86" i="2"/>
  <c r="CX199" i="2"/>
  <c r="AS174" i="2"/>
  <c r="BY74" i="4"/>
  <c r="BY419" i="4"/>
  <c r="AO13" i="3"/>
  <c r="AU20" i="3"/>
  <c r="CK350" i="4"/>
  <c r="CK95" i="4"/>
  <c r="CK498" i="4" s="1"/>
  <c r="BZ244" i="3"/>
  <c r="AO264" i="2"/>
  <c r="AR28" i="3"/>
  <c r="EN228" i="2"/>
  <c r="DX259" i="4"/>
  <c r="DX350" i="4"/>
  <c r="BK14" i="4"/>
  <c r="ED259" i="4"/>
  <c r="ED74" i="4"/>
  <c r="CL350" i="4"/>
  <c r="BT167" i="4"/>
  <c r="CL259" i="4"/>
  <c r="BT41" i="4"/>
  <c r="CE167" i="4"/>
  <c r="CE41" i="4"/>
  <c r="CM292" i="4"/>
  <c r="BE41" i="4"/>
  <c r="BE14" i="4"/>
  <c r="CE74" i="4"/>
  <c r="BD74" i="4"/>
  <c r="BO356" i="4"/>
  <c r="BD117" i="4"/>
  <c r="CH41" i="4"/>
  <c r="DX507" i="4"/>
  <c r="BE117" i="4"/>
  <c r="EE350" i="4"/>
  <c r="EE259" i="4"/>
  <c r="EE507" i="4"/>
  <c r="EE74" i="4"/>
  <c r="EE95" i="4"/>
  <c r="EE498" i="4" s="1"/>
  <c r="CF199" i="2"/>
  <c r="AI339" i="2"/>
  <c r="BH513" i="2"/>
  <c r="BB90" i="2"/>
  <c r="BH165" i="3"/>
  <c r="BH333" i="2"/>
  <c r="AN339" i="2"/>
  <c r="BW13" i="3"/>
  <c r="BW20" i="3" s="1"/>
  <c r="E60" i="2"/>
  <c r="EE206" i="2"/>
  <c r="N53" i="2"/>
  <c r="N43" i="2" s="1"/>
  <c r="BH614" i="2"/>
  <c r="ED41" i="4"/>
  <c r="CR81" i="2"/>
  <c r="J66" i="3"/>
  <c r="BC68" i="2"/>
  <c r="BC60" i="2" s="1"/>
  <c r="CL309" i="3"/>
  <c r="BS48" i="3"/>
  <c r="BT48" i="3" s="1"/>
  <c r="AS110" i="3"/>
  <c r="CH167" i="4"/>
  <c r="CS167" i="4"/>
  <c r="CS507" i="4"/>
  <c r="BK340" i="2"/>
  <c r="AU174" i="2"/>
  <c r="AS10" i="2"/>
  <c r="BY14" i="4"/>
  <c r="BY259" i="4"/>
  <c r="AO244" i="3"/>
  <c r="AU244" i="3"/>
  <c r="CK41" i="4"/>
  <c r="CK74" i="4"/>
  <c r="AQ156" i="2"/>
  <c r="EN326" i="2"/>
  <c r="BV365" i="2"/>
  <c r="BV223" i="3" s="1"/>
  <c r="AW361" i="2"/>
  <c r="BK507" i="4"/>
  <c r="ED14" i="4"/>
  <c r="ED419" i="4"/>
  <c r="CL167" i="4"/>
  <c r="CS419" i="4"/>
  <c r="CL41" i="4"/>
  <c r="BE419" i="4"/>
  <c r="BE259" i="4"/>
  <c r="BD167" i="4"/>
  <c r="ER48" i="4"/>
  <c r="CS41" i="4"/>
  <c r="BD259" i="4"/>
  <c r="BY167" i="4"/>
  <c r="CP292" i="4"/>
  <c r="EE14" i="4"/>
  <c r="EE41" i="4"/>
  <c r="DX90" i="4"/>
  <c r="AT340" i="2"/>
  <c r="CV244" i="2"/>
  <c r="U48" i="9" s="1"/>
  <c r="BH166" i="2"/>
  <c r="BH120" i="3"/>
  <c r="BH119" i="3" s="1"/>
  <c r="CQ627" i="2"/>
  <c r="CR193" i="2"/>
  <c r="L90" i="2"/>
  <c r="L5" i="3" s="1"/>
  <c r="L11" i="3" s="1"/>
  <c r="ED117" i="4"/>
  <c r="EH206" i="2"/>
  <c r="CO193" i="2"/>
  <c r="BC161" i="2"/>
  <c r="BC178" i="2"/>
  <c r="BB178" i="2" s="1"/>
  <c r="DG309" i="3"/>
  <c r="AQ344" i="2"/>
  <c r="CH259" i="4"/>
  <c r="CH95" i="4"/>
  <c r="CH498" i="4" s="1"/>
  <c r="CS117" i="4"/>
  <c r="CS350" i="4"/>
  <c r="BA162" i="2"/>
  <c r="X205" i="2"/>
  <c r="BY507" i="4"/>
  <c r="BY117" i="4"/>
  <c r="BK115" i="2"/>
  <c r="BK13" i="2" s="1"/>
  <c r="CK167" i="4"/>
  <c r="CK117" i="4"/>
  <c r="CK507" i="4"/>
  <c r="M202" i="3"/>
  <c r="AS222" i="2"/>
  <c r="T264" i="2"/>
  <c r="AE93" i="3"/>
  <c r="DX167" i="4"/>
  <c r="R180" i="3"/>
  <c r="AW362" i="2"/>
  <c r="BK259" i="4"/>
  <c r="BK95" i="4"/>
  <c r="ED350" i="4"/>
  <c r="BT14" i="4"/>
  <c r="BT117" i="4"/>
  <c r="BT507" i="4"/>
  <c r="CE14" i="4"/>
  <c r="BC331" i="2"/>
  <c r="CL507" i="4"/>
  <c r="CL74" i="4"/>
  <c r="CE117" i="4"/>
  <c r="BT74" i="4"/>
  <c r="BE167" i="4"/>
  <c r="BE507" i="4"/>
  <c r="AR41" i="4"/>
  <c r="CH117" i="4"/>
  <c r="BD14" i="4"/>
  <c r="BD507" i="4"/>
  <c r="EE167" i="4"/>
  <c r="DX74" i="4"/>
  <c r="BK74" i="4"/>
  <c r="BC117" i="4"/>
  <c r="BK419" i="4"/>
  <c r="ED90" i="4"/>
  <c r="DI244" i="2"/>
  <c r="DI629" i="2" s="1"/>
  <c r="CR199" i="2"/>
  <c r="BL287" i="2"/>
  <c r="BL263" i="2"/>
  <c r="BL264" i="2" s="1"/>
  <c r="BK264" i="2" s="1"/>
  <c r="CZ244" i="2"/>
  <c r="CZ629" i="2" s="1"/>
  <c r="M66" i="3"/>
  <c r="AH93" i="3"/>
  <c r="BA305" i="2"/>
  <c r="BX22" i="2"/>
  <c r="CD244" i="3"/>
  <c r="CR463" i="2"/>
  <c r="DY189" i="3"/>
  <c r="ER2" i="3"/>
  <c r="ER309" i="3" s="1"/>
  <c r="ER347" i="2"/>
  <c r="ER29" i="2"/>
  <c r="AN263" i="2"/>
  <c r="AM263" i="2" s="1"/>
  <c r="EH196" i="2"/>
  <c r="ER148" i="2"/>
  <c r="BW199" i="3"/>
  <c r="CK205" i="2"/>
  <c r="CK214" i="2" s="1"/>
  <c r="CK213" i="2" s="1"/>
  <c r="BG115" i="2"/>
  <c r="BG139" i="2" s="1"/>
  <c r="AV163" i="2"/>
  <c r="DU321" i="2"/>
  <c r="DU626" i="2" s="1"/>
  <c r="BV155" i="2"/>
  <c r="BV115" i="2"/>
  <c r="BW115" i="2" s="1"/>
  <c r="BW13" i="2" s="1"/>
  <c r="BI93" i="3"/>
  <c r="DT545" i="4"/>
  <c r="BO167" i="4"/>
  <c r="BI14" i="4"/>
  <c r="CG361" i="2"/>
  <c r="AR13" i="3"/>
  <c r="AR20" i="3"/>
  <c r="BM115" i="2"/>
  <c r="BN115" i="2" s="1"/>
  <c r="BN13" i="2" s="1"/>
  <c r="AY618" i="2"/>
  <c r="BO350" i="4"/>
  <c r="BI507" i="4"/>
  <c r="CI244" i="2"/>
  <c r="CI629" i="2" s="1"/>
  <c r="BI259" i="4"/>
  <c r="AG115" i="2"/>
  <c r="CP13" i="3"/>
  <c r="CP20" i="3" s="1"/>
  <c r="DH79" i="4"/>
  <c r="BW189" i="3"/>
  <c r="BZ400" i="2"/>
  <c r="BZ20" i="2" s="1"/>
  <c r="F180" i="3"/>
  <c r="CZ35" i="3"/>
  <c r="DJ199" i="2"/>
  <c r="EN2" i="4"/>
  <c r="EN90" i="4" s="1"/>
  <c r="EN347" i="2"/>
  <c r="BP14" i="4"/>
  <c r="BP350" i="4"/>
  <c r="ED507" i="4"/>
  <c r="BP41" i="4"/>
  <c r="BC507" i="4"/>
  <c r="BA344" i="2"/>
  <c r="BY13" i="3"/>
  <c r="BY20" i="3" s="1"/>
  <c r="AM309" i="3"/>
  <c r="AV174" i="2"/>
  <c r="BL340" i="2"/>
  <c r="BM57" i="2"/>
  <c r="BM26" i="3" s="1"/>
  <c r="EN148" i="2"/>
  <c r="EN177" i="2"/>
  <c r="EN9" i="2"/>
  <c r="BP259" i="4"/>
  <c r="BP95" i="4"/>
  <c r="DE155" i="2"/>
  <c r="DB355" i="2"/>
  <c r="EQ189" i="3"/>
  <c r="AW345" i="2"/>
  <c r="DX13" i="3"/>
  <c r="DX20" i="3" s="1"/>
  <c r="L222" i="2"/>
  <c r="EN568" i="2"/>
  <c r="EN2" i="3"/>
  <c r="EN309" i="3" s="1"/>
  <c r="EN29" i="2"/>
  <c r="BP167" i="4"/>
  <c r="BP117" i="4"/>
  <c r="CM14" i="4"/>
  <c r="CZ247" i="2"/>
  <c r="CZ633" i="2" s="1"/>
  <c r="CL189" i="3"/>
  <c r="DX244" i="3"/>
  <c r="G213" i="2"/>
  <c r="G202" i="3" s="1"/>
  <c r="F214" i="2"/>
  <c r="AL60" i="2"/>
  <c r="AL61" i="2" s="1"/>
  <c r="BC259" i="4"/>
  <c r="BC167" i="4"/>
  <c r="BC350" i="4"/>
  <c r="BR34" i="2"/>
  <c r="BR620" i="2" s="1"/>
  <c r="P264" i="2"/>
  <c r="O264" i="2" s="1"/>
  <c r="U115" i="2"/>
  <c r="CC309" i="3"/>
  <c r="AZ340" i="2"/>
  <c r="AZ339" i="2"/>
  <c r="AD180" i="3"/>
  <c r="CB115" i="2"/>
  <c r="CB13" i="2" s="1"/>
  <c r="BC419" i="4"/>
  <c r="BV138" i="2"/>
  <c r="BX138" i="2" s="1"/>
  <c r="BX139" i="2" s="1"/>
  <c r="BT138" i="2"/>
  <c r="BM299" i="4"/>
  <c r="BO299" i="4" s="1"/>
  <c r="CU211" i="2"/>
  <c r="CU201" i="3" s="1"/>
  <c r="CU199" i="3" s="1"/>
  <c r="BX263" i="2"/>
  <c r="BW263" i="2" s="1"/>
  <c r="X115" i="2"/>
  <c r="CA361" i="2"/>
  <c r="I139" i="2"/>
  <c r="BZ196" i="2"/>
  <c r="BB513" i="2"/>
  <c r="CS35" i="2"/>
  <c r="CR35" i="2" s="1"/>
  <c r="CO309" i="3"/>
  <c r="F205" i="2"/>
  <c r="EQ196" i="2"/>
  <c r="BX155" i="2"/>
  <c r="CX196" i="2"/>
  <c r="CY165" i="4"/>
  <c r="CY293" i="4" s="1"/>
  <c r="BN217" i="3"/>
  <c r="BN215" i="3" s="1"/>
  <c r="AS180" i="3"/>
  <c r="BH272" i="4"/>
  <c r="BH273" i="4" s="1"/>
  <c r="EQ40" i="2"/>
  <c r="DE165" i="4"/>
  <c r="AY619" i="2"/>
  <c r="BE329" i="2"/>
  <c r="BE330" i="2" s="1"/>
  <c r="BF330" i="2"/>
  <c r="BP13" i="3"/>
  <c r="BP20" i="3" s="1"/>
  <c r="BP244" i="3"/>
  <c r="BJ34" i="2"/>
  <c r="BJ620" i="2" s="1"/>
  <c r="BJ621" i="2" s="1"/>
  <c r="CU122" i="4"/>
  <c r="BQ271" i="4"/>
  <c r="CP400" i="2"/>
  <c r="CP20" i="2" s="1"/>
  <c r="EA309" i="3"/>
  <c r="CQ13" i="3"/>
  <c r="CQ20" i="3" s="1"/>
  <c r="BV13" i="3"/>
  <c r="BV20" i="3" s="1"/>
  <c r="CX309" i="3"/>
  <c r="CR309" i="3"/>
  <c r="BQ309" i="3"/>
  <c r="DF244" i="3"/>
  <c r="AZ330" i="2"/>
  <c r="AY329" i="2"/>
  <c r="AY330" i="2" s="1"/>
  <c r="AK361" i="2"/>
  <c r="DD309" i="3"/>
  <c r="BN20" i="3"/>
  <c r="DJ309" i="3"/>
  <c r="AQ139" i="2"/>
  <c r="CS13" i="3"/>
  <c r="CS20" i="3" s="1"/>
  <c r="CS244" i="3"/>
  <c r="CX206" i="2"/>
  <c r="CL193" i="2"/>
  <c r="CQ466" i="2"/>
  <c r="H28" i="3"/>
  <c r="CU206" i="2"/>
  <c r="BN13" i="3"/>
  <c r="CU309" i="3"/>
  <c r="BW309" i="3"/>
  <c r="EC2" i="4"/>
  <c r="EC9" i="2"/>
  <c r="DR505" i="2"/>
  <c r="DR35" i="2"/>
  <c r="DR34" i="2" s="1"/>
  <c r="DR620" i="2" s="1"/>
  <c r="BP292" i="2"/>
  <c r="BN292" i="2"/>
  <c r="BO290" i="2"/>
  <c r="CX320" i="2"/>
  <c r="CX625" i="2" s="1"/>
  <c r="CX627" i="2" s="1"/>
  <c r="CY625" i="2"/>
  <c r="CY627" i="2" s="1"/>
  <c r="X362" i="2"/>
  <c r="Y362" i="2" s="1"/>
  <c r="CX146" i="3"/>
  <c r="CX618" i="2"/>
  <c r="Z60" i="2"/>
  <c r="Z55" i="2" s="1"/>
  <c r="BJ244" i="2"/>
  <c r="BJ629" i="2" s="1"/>
  <c r="H305" i="2"/>
  <c r="BC27" i="3"/>
  <c r="BC28" i="3" s="1"/>
  <c r="BC456" i="2"/>
  <c r="DI453" i="2"/>
  <c r="DI148" i="2"/>
  <c r="DI2" i="3"/>
  <c r="DI177" i="2"/>
  <c r="DI2" i="4"/>
  <c r="DI372" i="2"/>
  <c r="DI228" i="2"/>
  <c r="CR566" i="2"/>
  <c r="CR384" i="2"/>
  <c r="AS337" i="2"/>
  <c r="BD26" i="3"/>
  <c r="AU305" i="2"/>
  <c r="CF196" i="2"/>
  <c r="CS244" i="2"/>
  <c r="CR236" i="2"/>
  <c r="CR338" i="2" s="1"/>
  <c r="CT338" i="2"/>
  <c r="CR206" i="2"/>
  <c r="DE247" i="2"/>
  <c r="DE33" i="3"/>
  <c r="DD33" i="3"/>
  <c r="DD35" i="3" s="1"/>
  <c r="DD248" i="2"/>
  <c r="BG93" i="3"/>
  <c r="BU748" i="4"/>
  <c r="CM115" i="2"/>
  <c r="CL115" i="2" s="1"/>
  <c r="CL13" i="2" s="1"/>
  <c r="CL14" i="2" s="1"/>
  <c r="BI74" i="4"/>
  <c r="CR75" i="2"/>
  <c r="CR505" i="2" s="1"/>
  <c r="BI167" i="4"/>
  <c r="ER228" i="2"/>
  <c r="AQ361" i="2"/>
  <c r="BA217" i="3"/>
  <c r="BA215" i="3" s="1"/>
  <c r="DB81" i="2"/>
  <c r="DB618" i="2"/>
  <c r="DB463" i="2"/>
  <c r="DA80" i="2"/>
  <c r="BH419" i="4"/>
  <c r="ER372" i="2"/>
  <c r="CO522" i="2"/>
  <c r="CO530" i="2" s="1"/>
  <c r="BO270" i="4"/>
  <c r="BP90" i="2"/>
  <c r="BP5" i="3" s="1"/>
  <c r="BP11" i="3" s="1"/>
  <c r="BI41" i="4"/>
  <c r="ER568" i="2"/>
  <c r="BS34" i="2"/>
  <c r="BS620" i="2" s="1"/>
  <c r="BA139" i="2"/>
  <c r="AY499" i="2"/>
  <c r="BI419" i="4"/>
  <c r="BI95" i="4"/>
  <c r="BK269" i="2"/>
  <c r="BK64" i="3" s="1"/>
  <c r="BK66" i="3" s="1"/>
  <c r="BL64" i="3"/>
  <c r="DA117" i="4"/>
  <c r="BH350" i="4"/>
  <c r="BU378" i="4"/>
  <c r="BU375" i="4" s="1"/>
  <c r="CA272" i="4"/>
  <c r="DH372" i="4"/>
  <c r="AD115" i="2"/>
  <c r="DI133" i="3"/>
  <c r="DL133" i="3" s="1"/>
  <c r="ER2" i="4"/>
  <c r="AY217" i="3"/>
  <c r="AY215" i="3" s="1"/>
  <c r="AQ162" i="2"/>
  <c r="CJ362" i="2"/>
  <c r="BH329" i="2"/>
  <c r="BH330" i="2" s="1"/>
  <c r="BI330" i="2"/>
  <c r="BK189" i="3"/>
  <c r="BH189" i="3"/>
  <c r="DA350" i="4"/>
  <c r="DA507" i="4"/>
  <c r="CL641" i="2"/>
  <c r="AW139" i="2"/>
  <c r="AZ217" i="3"/>
  <c r="AZ215" i="3" s="1"/>
  <c r="AM174" i="2"/>
  <c r="AR13" i="2"/>
  <c r="DP253" i="2"/>
  <c r="DP637" i="2" s="1"/>
  <c r="DQ637" i="2"/>
  <c r="AM10" i="2"/>
  <c r="V305" i="2"/>
  <c r="U305" i="2" s="1"/>
  <c r="DN61" i="4"/>
  <c r="J361" i="2"/>
  <c r="EA244" i="3"/>
  <c r="AM163" i="2"/>
  <c r="DC62" i="2"/>
  <c r="DC27" i="3" s="1"/>
  <c r="AQ72" i="2"/>
  <c r="AQ4" i="3" s="1"/>
  <c r="AQ10" i="3" s="1"/>
  <c r="BH217" i="3"/>
  <c r="BH215" i="3" s="1"/>
  <c r="BO64" i="3"/>
  <c r="BN269" i="2"/>
  <c r="BN64" i="3" s="1"/>
  <c r="BN66" i="3" s="1"/>
  <c r="CE226" i="4"/>
  <c r="BL217" i="3"/>
  <c r="BL215" i="3" s="1"/>
  <c r="BY273" i="4"/>
  <c r="AM180" i="3"/>
  <c r="BG217" i="3"/>
  <c r="BG285" i="2" s="1"/>
  <c r="BG283" i="2" s="1"/>
  <c r="BG287" i="2" s="1"/>
  <c r="BG305" i="2" s="1"/>
  <c r="BI217" i="3"/>
  <c r="BI215" i="3" s="1"/>
  <c r="CR247" i="2"/>
  <c r="CR633" i="2" s="1"/>
  <c r="CS633" i="2"/>
  <c r="AN72" i="2"/>
  <c r="AM74" i="2"/>
  <c r="BD580" i="4"/>
  <c r="BE580" i="4" s="1"/>
  <c r="DJ107" i="3"/>
  <c r="Y65" i="9"/>
  <c r="DH626" i="2"/>
  <c r="DH627" i="2" s="1"/>
  <c r="DG321" i="2"/>
  <c r="DG626" i="2" s="1"/>
  <c r="DG627" i="2" s="1"/>
  <c r="BG580" i="4"/>
  <c r="BH580" i="4" s="1"/>
  <c r="BV273" i="4"/>
  <c r="BK217" i="3"/>
  <c r="BK215" i="3" s="1"/>
  <c r="AT263" i="2"/>
  <c r="AS263" i="2" s="1"/>
  <c r="BY301" i="4"/>
  <c r="BY10" i="2"/>
  <c r="BW217" i="3"/>
  <c r="BW215" i="3" s="1"/>
  <c r="BP217" i="3"/>
  <c r="BP215" i="3" s="1"/>
  <c r="CT220" i="2"/>
  <c r="CU220" i="2" s="1"/>
  <c r="CU189" i="2"/>
  <c r="AG90" i="2"/>
  <c r="AG5" i="3" s="1"/>
  <c r="AG11" i="3" s="1"/>
  <c r="CI189" i="3"/>
  <c r="BF853" i="4"/>
  <c r="BD853" i="4" s="1"/>
  <c r="BE853" i="4" s="1"/>
  <c r="AA51" i="9"/>
  <c r="CM155" i="2"/>
  <c r="BD217" i="3"/>
  <c r="BR217" i="3"/>
  <c r="BR215" i="3" s="1"/>
  <c r="AM20" i="3"/>
  <c r="U46" i="9"/>
  <c r="CU236" i="2"/>
  <c r="CU338" i="2" s="1"/>
  <c r="CY338" i="2"/>
  <c r="CW338" i="2"/>
  <c r="CV338" i="2"/>
  <c r="BU266" i="4"/>
  <c r="BB217" i="3"/>
  <c r="BB215" i="3" s="1"/>
  <c r="BM217" i="3"/>
  <c r="BM215" i="3" s="1"/>
  <c r="AM13" i="3"/>
  <c r="AK139" i="2"/>
  <c r="BL336" i="2"/>
  <c r="BK276" i="2"/>
  <c r="BK336" i="2" s="1"/>
  <c r="BD328" i="2"/>
  <c r="BD327" i="2"/>
  <c r="BE217" i="3"/>
  <c r="BE215" i="3" s="1"/>
  <c r="AM222" i="2"/>
  <c r="DF296" i="4"/>
  <c r="AV115" i="2"/>
  <c r="AV13" i="2" s="1"/>
  <c r="BU217" i="3"/>
  <c r="BU215" i="3" s="1"/>
  <c r="BS275" i="4"/>
  <c r="BS280" i="4" s="1"/>
  <c r="BS282" i="4" s="1"/>
  <c r="DE10" i="2"/>
  <c r="EB40" i="2"/>
  <c r="E5" i="3"/>
  <c r="E11" i="3" s="1"/>
  <c r="BB120" i="3"/>
  <c r="BB119" i="3" s="1"/>
  <c r="BN196" i="2"/>
  <c r="CH748" i="4"/>
  <c r="CH749" i="4" s="1"/>
  <c r="CS361" i="2"/>
  <c r="R362" i="2"/>
  <c r="S362" i="2" s="1"/>
  <c r="CO641" i="2"/>
  <c r="AA252" i="2"/>
  <c r="AB263" i="2"/>
  <c r="DE641" i="2"/>
  <c r="DD235" i="2"/>
  <c r="DD641" i="2" s="1"/>
  <c r="DD253" i="2"/>
  <c r="DD637" i="2" s="1"/>
  <c r="DE637" i="2"/>
  <c r="BG13" i="3"/>
  <c r="BG20" i="3"/>
  <c r="BG244" i="3"/>
  <c r="BG309" i="3"/>
  <c r="BN189" i="3"/>
  <c r="DS199" i="2"/>
  <c r="CC250" i="2"/>
  <c r="CC511" i="2" s="1"/>
  <c r="CM199" i="4"/>
  <c r="CG225" i="4"/>
  <c r="CG228" i="4" s="1"/>
  <c r="CG231" i="4" s="1"/>
  <c r="CG233" i="4" s="1"/>
  <c r="DE197" i="4"/>
  <c r="CH163" i="4"/>
  <c r="DQ247" i="2"/>
  <c r="DP33" i="3"/>
  <c r="DP35" i="3" s="1"/>
  <c r="DQ33" i="3"/>
  <c r="DP248" i="2"/>
  <c r="R166" i="3"/>
  <c r="R338" i="2"/>
  <c r="BD13" i="3"/>
  <c r="BD20" i="3"/>
  <c r="BD244" i="3"/>
  <c r="BD309" i="3"/>
  <c r="AQ13" i="3"/>
  <c r="AQ309" i="3"/>
  <c r="AQ20" i="3"/>
  <c r="AQ244" i="3"/>
  <c r="BK309" i="3"/>
  <c r="BK13" i="3"/>
  <c r="BK20" i="3"/>
  <c r="BK244" i="3"/>
  <c r="AW322" i="2"/>
  <c r="AW625" i="2"/>
  <c r="AW627" i="2" s="1"/>
  <c r="AV320" i="2"/>
  <c r="AV625" i="2" s="1"/>
  <c r="AV627" i="2" s="1"/>
  <c r="F90" i="2"/>
  <c r="F5" i="3" s="1"/>
  <c r="F11" i="3" s="1"/>
  <c r="CD641" i="2"/>
  <c r="BB166" i="2"/>
  <c r="EK189" i="3"/>
  <c r="DJ196" i="2"/>
  <c r="AP74" i="2"/>
  <c r="AP619" i="2" s="1"/>
  <c r="X65" i="9"/>
  <c r="DD321" i="2"/>
  <c r="DD626" i="2" s="1"/>
  <c r="DE626" i="2"/>
  <c r="DQ626" i="2"/>
  <c r="DQ627" i="2" s="1"/>
  <c r="DP321" i="2"/>
  <c r="DP626" i="2" s="1"/>
  <c r="DP627" i="2" s="1"/>
  <c r="DQ641" i="2"/>
  <c r="DP235" i="2"/>
  <c r="DP641" i="2" s="1"/>
  <c r="K33" i="9"/>
  <c r="J35" i="9"/>
  <c r="AF32" i="9"/>
  <c r="AF38" i="9"/>
  <c r="Q27" i="3"/>
  <c r="Q28" i="3" s="1"/>
  <c r="Q60" i="2"/>
  <c r="Q55" i="2" s="1"/>
  <c r="Q53" i="2" s="1"/>
  <c r="Q43" i="2" s="1"/>
  <c r="R62" i="2"/>
  <c r="R27" i="3" s="1"/>
  <c r="R28" i="3" s="1"/>
  <c r="U252" i="2"/>
  <c r="V263" i="2"/>
  <c r="CD208" i="3"/>
  <c r="CD206" i="3" s="1"/>
  <c r="CC241" i="2"/>
  <c r="CC208" i="3" s="1"/>
  <c r="CC206" i="3" s="1"/>
  <c r="BR244" i="3"/>
  <c r="BR13" i="3"/>
  <c r="BR20" i="3" s="1"/>
  <c r="N202" i="3"/>
  <c r="CL400" i="2"/>
  <c r="CM400" i="2" s="1"/>
  <c r="CM20" i="2" s="1"/>
  <c r="Q202" i="3"/>
  <c r="BV271" i="4"/>
  <c r="BY271" i="4"/>
  <c r="DW85" i="4"/>
  <c r="CH205" i="4"/>
  <c r="CH206" i="4" s="1"/>
  <c r="AV180" i="3"/>
  <c r="G26" i="9"/>
  <c r="G33" i="9"/>
  <c r="G35" i="9"/>
  <c r="G38" i="9"/>
  <c r="P35" i="9"/>
  <c r="AE33" i="9"/>
  <c r="EH2" i="3"/>
  <c r="EH177" i="2"/>
  <c r="EH9" i="2"/>
  <c r="AT244" i="3"/>
  <c r="AT13" i="3"/>
  <c r="AT20" i="3"/>
  <c r="AT309" i="3"/>
  <c r="CL385" i="2"/>
  <c r="CL566" i="2" s="1"/>
  <c r="BD271" i="4"/>
  <c r="BI163" i="2"/>
  <c r="F33" i="9"/>
  <c r="K35" i="9"/>
  <c r="D56" i="9"/>
  <c r="AF36" i="9"/>
  <c r="AF33" i="9"/>
  <c r="AE38" i="9"/>
  <c r="BC42" i="2"/>
  <c r="BB34" i="2"/>
  <c r="BB620" i="2" s="1"/>
  <c r="BC620" i="2"/>
  <c r="BC621" i="2" s="1"/>
  <c r="AT41" i="2"/>
  <c r="AT34" i="2" s="1"/>
  <c r="AS34" i="2" s="1"/>
  <c r="AS620" i="2" s="1"/>
  <c r="CM13" i="3"/>
  <c r="CM20" i="3" s="1"/>
  <c r="CM244" i="3"/>
  <c r="CF309" i="3"/>
  <c r="DA309" i="3"/>
  <c r="BZ309" i="3"/>
  <c r="BN244" i="3"/>
  <c r="J33" i="9"/>
  <c r="F35" i="9"/>
  <c r="O35" i="9"/>
  <c r="F38" i="9"/>
  <c r="D54" i="9"/>
  <c r="AE32" i="9"/>
  <c r="AE36" i="9"/>
  <c r="CA220" i="2"/>
  <c r="BZ220" i="2" s="1"/>
  <c r="CA180" i="3"/>
  <c r="BZ189" i="2"/>
  <c r="BO361" i="2"/>
  <c r="BN362" i="2"/>
  <c r="M361" i="2"/>
  <c r="L362" i="2"/>
  <c r="M362" i="2" s="1"/>
  <c r="DD361" i="2"/>
  <c r="DF362" i="2" s="1"/>
  <c r="AU322" i="2"/>
  <c r="AU625" i="2"/>
  <c r="AU627" i="2" s="1"/>
  <c r="BG208" i="3"/>
  <c r="BG206" i="3" s="1"/>
  <c r="BG244" i="2"/>
  <c r="BG264" i="2" s="1"/>
  <c r="EP9" i="2"/>
  <c r="EP568" i="2"/>
  <c r="EV500" i="4"/>
  <c r="EY500" i="4" s="1"/>
  <c r="EW501" i="4"/>
  <c r="EZ501" i="4" s="1"/>
  <c r="O222" i="2"/>
  <c r="AQ264" i="2"/>
  <c r="AP264" i="2" s="1"/>
  <c r="CO13" i="3"/>
  <c r="CO20" i="3" s="1"/>
  <c r="CO244" i="3"/>
  <c r="BN110" i="3"/>
  <c r="BN17" i="3" s="1"/>
  <c r="BN107" i="3"/>
  <c r="DK463" i="2"/>
  <c r="DK81" i="2"/>
  <c r="DK618" i="2"/>
  <c r="EW364" i="4"/>
  <c r="CD361" i="2"/>
  <c r="CD362" i="2"/>
  <c r="EH40" i="2"/>
  <c r="BW283" i="2"/>
  <c r="BQ217" i="3"/>
  <c r="BQ215" i="3" s="1"/>
  <c r="BO217" i="3"/>
  <c r="BO215" i="3" s="1"/>
  <c r="BC217" i="3"/>
  <c r="BC215" i="3" s="1"/>
  <c r="BX217" i="3"/>
  <c r="BV217" i="3"/>
  <c r="BV215" i="3" s="1"/>
  <c r="BT217" i="3"/>
  <c r="BT215" i="3" s="1"/>
  <c r="CA62" i="2"/>
  <c r="CA179" i="2" s="1"/>
  <c r="CG27" i="3"/>
  <c r="CG28" i="3" s="1"/>
  <c r="CB155" i="2"/>
  <c r="EN196" i="2"/>
  <c r="EO13" i="3"/>
  <c r="EO20" i="3" s="1"/>
  <c r="EO244" i="3"/>
  <c r="CU199" i="2"/>
  <c r="BY155" i="2"/>
  <c r="BM263" i="2"/>
  <c r="DF10" i="2"/>
  <c r="EB206" i="2"/>
  <c r="CP17" i="3"/>
  <c r="CP75" i="2"/>
  <c r="DB75" i="2"/>
  <c r="DB17" i="3"/>
  <c r="DA199" i="2"/>
  <c r="DB26" i="3"/>
  <c r="BS62" i="2"/>
  <c r="BS27" i="3" s="1"/>
  <c r="AW20" i="3"/>
  <c r="EN206" i="2"/>
  <c r="BS462" i="2"/>
  <c r="BG362" i="2"/>
  <c r="BI362" i="2" s="1"/>
  <c r="BY34" i="2"/>
  <c r="BY620" i="2" s="1"/>
  <c r="EH282" i="2"/>
  <c r="DE81" i="2"/>
  <c r="DD80" i="2"/>
  <c r="DE618" i="2"/>
  <c r="DE463" i="2"/>
  <c r="CT17" i="3"/>
  <c r="CT75" i="2"/>
  <c r="CP199" i="4"/>
  <c r="CG395" i="4"/>
  <c r="CG392" i="4" s="1"/>
  <c r="CG393" i="4" s="1"/>
  <c r="CY199" i="4"/>
  <c r="CT296" i="4"/>
  <c r="BO748" i="4"/>
  <c r="BF272" i="4"/>
  <c r="BF270" i="4"/>
  <c r="BF271" i="4" s="1"/>
  <c r="CA266" i="4"/>
  <c r="BD260" i="4"/>
  <c r="BF260" i="4" s="1"/>
  <c r="BF261" i="4" s="1"/>
  <c r="DI204" i="4"/>
  <c r="AE53" i="2"/>
  <c r="AE43" i="2" s="1"/>
  <c r="CM629" i="2"/>
  <c r="Z51" i="9"/>
  <c r="DJ252" i="2"/>
  <c r="BX26" i="3"/>
  <c r="BX180" i="3"/>
  <c r="EO41" i="4"/>
  <c r="H5" i="3"/>
  <c r="H11" i="3" s="1"/>
  <c r="I90" i="2"/>
  <c r="I5" i="3" s="1"/>
  <c r="I11" i="3" s="1"/>
  <c r="H202" i="3"/>
  <c r="CG244" i="3"/>
  <c r="CG13" i="3"/>
  <c r="CG20" i="3" s="1"/>
  <c r="R205" i="2"/>
  <c r="AT27" i="3"/>
  <c r="AT28" i="3" s="1"/>
  <c r="AS62" i="2"/>
  <c r="AS27" i="3" s="1"/>
  <c r="AS28" i="3" s="1"/>
  <c r="AN27" i="3"/>
  <c r="AN28" i="3" s="1"/>
  <c r="AM62" i="2"/>
  <c r="AM27" i="3" s="1"/>
  <c r="AM28" i="3" s="1"/>
  <c r="CT33" i="3"/>
  <c r="CT247" i="2"/>
  <c r="CT633" i="2" s="1"/>
  <c r="BY13" i="2"/>
  <c r="EO282" i="2"/>
  <c r="EK282" i="2"/>
  <c r="EM282" i="2"/>
  <c r="L10" i="9"/>
  <c r="AY41" i="4"/>
  <c r="AY14" i="4"/>
  <c r="BE196" i="2"/>
  <c r="BS155" i="2"/>
  <c r="W31" i="9"/>
  <c r="DB180" i="3"/>
  <c r="DB220" i="2"/>
  <c r="CJ62" i="2"/>
  <c r="CJ27" i="3" s="1"/>
  <c r="CJ28" i="3" s="1"/>
  <c r="CJ462" i="2"/>
  <c r="EJ282" i="2"/>
  <c r="CK10" i="2"/>
  <c r="CK11" i="2" s="1"/>
  <c r="CK222" i="3" s="1"/>
  <c r="CK348" i="2" s="1"/>
  <c r="BO419" i="4"/>
  <c r="BO259" i="4"/>
  <c r="T33" i="9"/>
  <c r="DG206" i="2"/>
  <c r="DB10" i="2"/>
  <c r="DB155" i="2"/>
  <c r="DA13" i="3"/>
  <c r="DA20" i="3" s="1"/>
  <c r="DA244" i="3"/>
  <c r="DQ309" i="3"/>
  <c r="DQ13" i="3"/>
  <c r="DQ20" i="3" s="1"/>
  <c r="DQ244" i="3"/>
  <c r="BK40" i="2"/>
  <c r="Z305" i="2"/>
  <c r="BO14" i="4"/>
  <c r="DJ297" i="2"/>
  <c r="DJ91" i="3" s="1"/>
  <c r="DJ93" i="3" s="1"/>
  <c r="DK91" i="3"/>
  <c r="DI618" i="2"/>
  <c r="DI463" i="2"/>
  <c r="DI81" i="2"/>
  <c r="DQ618" i="2"/>
  <c r="DQ463" i="2"/>
  <c r="DQ81" i="2"/>
  <c r="DI75" i="2"/>
  <c r="DI17" i="3"/>
  <c r="DF81" i="2"/>
  <c r="DF618" i="2"/>
  <c r="DF463" i="2"/>
  <c r="BS208" i="3"/>
  <c r="BS206" i="3" s="1"/>
  <c r="BS244" i="2"/>
  <c r="BS629" i="2" s="1"/>
  <c r="AU139" i="2"/>
  <c r="AU13" i="2"/>
  <c r="DI107" i="3"/>
  <c r="BI147" i="3"/>
  <c r="BI619" i="2"/>
  <c r="AJ180" i="3"/>
  <c r="CG354" i="4"/>
  <c r="CG355" i="4" s="1"/>
  <c r="BN20" i="4"/>
  <c r="BN71" i="4" s="1"/>
  <c r="CE229" i="4"/>
  <c r="CG229" i="4" s="1"/>
  <c r="DE372" i="4"/>
  <c r="BN40" i="2"/>
  <c r="DN81" i="2"/>
  <c r="DN618" i="2"/>
  <c r="DN463" i="2"/>
  <c r="L252" i="2"/>
  <c r="M263" i="2"/>
  <c r="L263" i="2" s="1"/>
  <c r="CF189" i="2"/>
  <c r="CE220" i="2"/>
  <c r="AQ41" i="2"/>
  <c r="AQ34" i="2" s="1"/>
  <c r="AZ27" i="3"/>
  <c r="AZ28" i="3" s="1"/>
  <c r="AZ456" i="2"/>
  <c r="AZ179" i="2"/>
  <c r="AY62" i="2"/>
  <c r="AY27" i="3" s="1"/>
  <c r="BT107" i="3"/>
  <c r="BT110" i="3"/>
  <c r="BT17" i="3" s="1"/>
  <c r="BH618" i="2"/>
  <c r="BH81" i="2"/>
  <c r="BH147" i="3" s="1"/>
  <c r="X26" i="3"/>
  <c r="X180" i="3"/>
  <c r="AS244" i="3"/>
  <c r="AS13" i="3"/>
  <c r="AS20" i="3"/>
  <c r="AS309" i="3"/>
  <c r="BW629" i="2"/>
  <c r="CQ62" i="2"/>
  <c r="CQ27" i="3" s="1"/>
  <c r="CQ462" i="2"/>
  <c r="AQ27" i="3"/>
  <c r="AQ28" i="3" s="1"/>
  <c r="AP62" i="2"/>
  <c r="AP27" i="3" s="1"/>
  <c r="AP28" i="3" s="1"/>
  <c r="AV20" i="3"/>
  <c r="AV244" i="3"/>
  <c r="AV309" i="3"/>
  <c r="AV13" i="3"/>
  <c r="AS93" i="3"/>
  <c r="AA68" i="2"/>
  <c r="CK62" i="2"/>
  <c r="CK27" i="3" s="1"/>
  <c r="DG297" i="2"/>
  <c r="DG91" i="3" s="1"/>
  <c r="DG93" i="3" s="1"/>
  <c r="DH91" i="3"/>
  <c r="AO72" i="2"/>
  <c r="AO619" i="2"/>
  <c r="CW233" i="3"/>
  <c r="CY233" i="3" s="1"/>
  <c r="CX361" i="2"/>
  <c r="BC13" i="3"/>
  <c r="BC309" i="3"/>
  <c r="BC20" i="3"/>
  <c r="BC244" i="3"/>
  <c r="BU462" i="2"/>
  <c r="BU62" i="2"/>
  <c r="BU27" i="3" s="1"/>
  <c r="BG205" i="2"/>
  <c r="BG214" i="2" s="1"/>
  <c r="BG213" i="2" s="1"/>
  <c r="CE233" i="4"/>
  <c r="BV204" i="4"/>
  <c r="DN263" i="2"/>
  <c r="AA52" i="9"/>
  <c r="DM255" i="2"/>
  <c r="DE26" i="3"/>
  <c r="DE180" i="3"/>
  <c r="DI466" i="2"/>
  <c r="DK466" i="2" s="1"/>
  <c r="DJ206" i="2"/>
  <c r="CX29" i="2"/>
  <c r="CX2" i="4"/>
  <c r="CX372" i="2"/>
  <c r="CX228" i="2"/>
  <c r="CX493" i="2"/>
  <c r="CX347" i="2"/>
  <c r="CX148" i="2"/>
  <c r="CX2" i="3"/>
  <c r="CX568" i="2"/>
  <c r="CX177" i="2"/>
  <c r="CX9" i="2"/>
  <c r="CX453" i="2"/>
  <c r="CX326" i="2"/>
  <c r="BI20" i="3"/>
  <c r="BI244" i="3"/>
  <c r="BI13" i="3"/>
  <c r="BI309" i="3"/>
  <c r="CF618" i="2"/>
  <c r="CF81" i="2"/>
  <c r="BJ26" i="3"/>
  <c r="BJ180" i="3"/>
  <c r="BK57" i="2"/>
  <c r="BH40" i="2"/>
  <c r="CV641" i="2"/>
  <c r="CU235" i="2"/>
  <c r="CU641" i="2" s="1"/>
  <c r="AY529" i="2"/>
  <c r="AY522" i="2"/>
  <c r="AY530" i="2" s="1"/>
  <c r="AC27" i="3"/>
  <c r="AC28" i="3" s="1"/>
  <c r="AD62" i="2"/>
  <c r="AD27" i="3" s="1"/>
  <c r="AD28" i="3" s="1"/>
  <c r="CJ149" i="3"/>
  <c r="CI455" i="2"/>
  <c r="CI148" i="3"/>
  <c r="AV186" i="2"/>
  <c r="DH75" i="2"/>
  <c r="DH17" i="3"/>
  <c r="CH225" i="3"/>
  <c r="CH221" i="2"/>
  <c r="CH222" i="2" s="1"/>
  <c r="BP115" i="2"/>
  <c r="BP10" i="2"/>
  <c r="CO189" i="2"/>
  <c r="CP220" i="2"/>
  <c r="CO220" i="2" s="1"/>
  <c r="N187" i="2"/>
  <c r="O187" i="2" s="1"/>
  <c r="O184" i="2"/>
  <c r="AK160" i="2"/>
  <c r="AK69" i="2"/>
  <c r="E184" i="2"/>
  <c r="F180" i="2"/>
  <c r="BE64" i="2"/>
  <c r="BE462" i="2" s="1"/>
  <c r="BE464" i="2" s="1"/>
  <c r="EE40" i="2"/>
  <c r="BQ48" i="3"/>
  <c r="DJ133" i="3"/>
  <c r="DM133" i="3" s="1"/>
  <c r="DP133" i="3" s="1"/>
  <c r="DS133" i="3" s="1"/>
  <c r="DH133" i="3"/>
  <c r="DG132" i="3"/>
  <c r="DH132" i="3" s="1"/>
  <c r="BO633" i="2"/>
  <c r="BN247" i="2"/>
  <c r="BN633" i="2" s="1"/>
  <c r="X36" i="9"/>
  <c r="DD206" i="2"/>
  <c r="K214" i="2"/>
  <c r="L205" i="2"/>
  <c r="AU27" i="3"/>
  <c r="AU28" i="3" s="1"/>
  <c r="AU179" i="2"/>
  <c r="AV179" i="2" s="1"/>
  <c r="AJ35" i="2"/>
  <c r="AI41" i="2"/>
  <c r="AI34" i="2" s="1"/>
  <c r="BS78" i="2"/>
  <c r="BU78" i="2" s="1"/>
  <c r="BQ78" i="2"/>
  <c r="DT131" i="3"/>
  <c r="AI441" i="2"/>
  <c r="AH410" i="2"/>
  <c r="AG410" i="2" s="1"/>
  <c r="AH409" i="2"/>
  <c r="CU540" i="2"/>
  <c r="CU533" i="2"/>
  <c r="CU541" i="2" s="1"/>
  <c r="AY322" i="2"/>
  <c r="AZ327" i="2"/>
  <c r="AZ328" i="2"/>
  <c r="CO322" i="2"/>
  <c r="BS279" i="2"/>
  <c r="BR276" i="2"/>
  <c r="BQ279" i="2"/>
  <c r="BD264" i="2"/>
  <c r="BF208" i="3"/>
  <c r="BF206" i="3" s="1"/>
  <c r="X244" i="2"/>
  <c r="AI264" i="2"/>
  <c r="BF244" i="2"/>
  <c r="BK244" i="2"/>
  <c r="BK629" i="2" s="1"/>
  <c r="BL629" i="2"/>
  <c r="BQ244" i="2"/>
  <c r="BQ629" i="2" s="1"/>
  <c r="BR629" i="2"/>
  <c r="DT182" i="2"/>
  <c r="DS182" i="2" s="1"/>
  <c r="DO124" i="3"/>
  <c r="DN124" i="3"/>
  <c r="DT121" i="3"/>
  <c r="EO117" i="4"/>
  <c r="EO167" i="4"/>
  <c r="EO350" i="4"/>
  <c r="EO74" i="4"/>
  <c r="EO95" i="4"/>
  <c r="EO498" i="4" s="1"/>
  <c r="EK40" i="2"/>
  <c r="DY279" i="2"/>
  <c r="EA279" i="2"/>
  <c r="EC279" i="2" s="1"/>
  <c r="EA301" i="2"/>
  <c r="EC301" i="2" s="1"/>
  <c r="DY301" i="2"/>
  <c r="DS248" i="2"/>
  <c r="DS33" i="3" s="1"/>
  <c r="DS35" i="3" s="1"/>
  <c r="DU248" i="2"/>
  <c r="DU33" i="3" s="1"/>
  <c r="DT33" i="3"/>
  <c r="EA281" i="2"/>
  <c r="EC281" i="2" s="1"/>
  <c r="DY281" i="2"/>
  <c r="EQ206" i="2"/>
  <c r="CL35" i="3"/>
  <c r="BD62" i="2"/>
  <c r="BD27" i="3" s="1"/>
  <c r="BT189" i="3"/>
  <c r="BS139" i="2"/>
  <c r="DD107" i="3"/>
  <c r="DF107" i="3" s="1"/>
  <c r="DD110" i="3"/>
  <c r="DD17" i="3" s="1"/>
  <c r="BU361" i="2"/>
  <c r="BV362" i="2"/>
  <c r="BX362" i="2" s="1"/>
  <c r="CS462" i="2"/>
  <c r="CR64" i="2"/>
  <c r="CR462" i="2" s="1"/>
  <c r="CT91" i="3"/>
  <c r="CT93" i="3" s="1"/>
  <c r="BI115" i="2"/>
  <c r="BI139" i="2" s="1"/>
  <c r="BL155" i="2"/>
  <c r="BG34" i="2"/>
  <c r="BG620" i="2" s="1"/>
  <c r="BG621" i="2" s="1"/>
  <c r="DG199" i="2"/>
  <c r="DD199" i="2"/>
  <c r="X33" i="9"/>
  <c r="BI34" i="2"/>
  <c r="BI90" i="2"/>
  <c r="DB62" i="2"/>
  <c r="G28" i="9" s="1"/>
  <c r="DB462" i="2"/>
  <c r="BR180" i="3"/>
  <c r="BQ59" i="2"/>
  <c r="BP57" i="2"/>
  <c r="DP199" i="2"/>
  <c r="BZ40" i="2"/>
  <c r="BM205" i="2"/>
  <c r="BM214" i="2" s="1"/>
  <c r="BM213" i="2" s="1"/>
  <c r="BD180" i="3"/>
  <c r="CI84" i="2"/>
  <c r="CK174" i="2" s="1"/>
  <c r="DE62" i="2"/>
  <c r="DD64" i="2"/>
  <c r="DD462" i="2" s="1"/>
  <c r="DE462" i="2"/>
  <c r="DS65" i="2"/>
  <c r="DS206" i="2"/>
  <c r="DS466" i="2" s="1"/>
  <c r="DT466" i="2"/>
  <c r="CH462" i="2"/>
  <c r="CI64" i="2"/>
  <c r="CI462" i="2" s="1"/>
  <c r="CH62" i="2"/>
  <c r="BK193" i="2"/>
  <c r="DT626" i="2"/>
  <c r="DS321" i="2"/>
  <c r="DS626" i="2" s="1"/>
  <c r="CH205" i="2"/>
  <c r="CH214" i="2" s="1"/>
  <c r="CH213" i="2" s="1"/>
  <c r="EE196" i="2"/>
  <c r="EB196" i="2"/>
  <c r="CW34" i="2"/>
  <c r="CW620" i="2" s="1"/>
  <c r="CQ252" i="2"/>
  <c r="CQ263" i="2" s="1"/>
  <c r="T55" i="9" s="1"/>
  <c r="DY199" i="2"/>
  <c r="W33" i="9"/>
  <c r="DB205" i="2"/>
  <c r="DB214" i="2" s="1"/>
  <c r="DB213" i="2" s="1"/>
  <c r="CJ115" i="2"/>
  <c r="CJ10" i="2"/>
  <c r="CW205" i="2"/>
  <c r="CW214" i="2" s="1"/>
  <c r="DM199" i="2"/>
  <c r="CF40" i="2"/>
  <c r="DU78" i="2"/>
  <c r="DU131" i="3"/>
  <c r="DV125" i="3"/>
  <c r="DV131" i="3" s="1"/>
  <c r="BV34" i="2"/>
  <c r="BV620" i="2" s="1"/>
  <c r="Z48" i="9"/>
  <c r="DJ244" i="2"/>
  <c r="DK629" i="2"/>
  <c r="AB34" i="9"/>
  <c r="DP196" i="2"/>
  <c r="CI196" i="2"/>
  <c r="BY205" i="2"/>
  <c r="BY214" i="2" s="1"/>
  <c r="BY213" i="2" s="1"/>
  <c r="BZ213" i="2" s="1"/>
  <c r="BG10" i="2"/>
  <c r="BH84" i="2"/>
  <c r="BK155" i="2" s="1"/>
  <c r="CI322" i="2"/>
  <c r="DM196" i="2"/>
  <c r="BH196" i="2"/>
  <c r="EE189" i="3"/>
  <c r="DS235" i="2"/>
  <c r="DU235" i="2"/>
  <c r="CQ10" i="2"/>
  <c r="CQ115" i="2"/>
  <c r="CQ13" i="2" s="1"/>
  <c r="CR196" i="2"/>
  <c r="T34" i="9"/>
  <c r="DI90" i="2"/>
  <c r="V14" i="9" s="1"/>
  <c r="BV205" i="2"/>
  <c r="BW84" i="2"/>
  <c r="BW10" i="2" s="1"/>
  <c r="DF205" i="2"/>
  <c r="DF214" i="2" s="1"/>
  <c r="DF213" i="2" s="1"/>
  <c r="CB205" i="2"/>
  <c r="CB214" i="2" s="1"/>
  <c r="CB213" i="2" s="1"/>
  <c r="CL84" i="2"/>
  <c r="CL174" i="2" s="1"/>
  <c r="U34" i="9"/>
  <c r="CU196" i="2"/>
  <c r="DB13" i="2"/>
  <c r="DB14" i="2" s="1"/>
  <c r="Y33" i="9"/>
  <c r="Z33" i="9"/>
  <c r="DI10" i="2"/>
  <c r="DI11" i="2" s="1"/>
  <c r="DZ321" i="2"/>
  <c r="AE65" i="9" s="1"/>
  <c r="BM155" i="2"/>
  <c r="BE189" i="3"/>
  <c r="BX10" i="2"/>
  <c r="DZ235" i="2"/>
  <c r="CC40" i="2"/>
  <c r="CK155" i="2"/>
  <c r="DC10" i="2"/>
  <c r="DC115" i="2"/>
  <c r="DC13" i="2" s="1"/>
  <c r="V48" i="9"/>
  <c r="CY629" i="2"/>
  <c r="CX244" i="2"/>
  <c r="CX629" i="2" s="1"/>
  <c r="DY193" i="2"/>
  <c r="CE205" i="2"/>
  <c r="CE214" i="2" s="1"/>
  <c r="CE213" i="2" s="1"/>
  <c r="DL34" i="2"/>
  <c r="T47" i="9"/>
  <c r="U33" i="9"/>
  <c r="CV205" i="2"/>
  <c r="CV214" i="2" s="1"/>
  <c r="CV213" i="2" s="1"/>
  <c r="V34" i="9"/>
  <c r="V39" i="9" s="1"/>
  <c r="CY205" i="2"/>
  <c r="CY214" i="2" s="1"/>
  <c r="CY213" i="2" s="1"/>
  <c r="CT10" i="2"/>
  <c r="CT115" i="2"/>
  <c r="CT13" i="2" s="1"/>
  <c r="CT155" i="2"/>
  <c r="AA33" i="9"/>
  <c r="CM11" i="2"/>
  <c r="BQ5" i="4"/>
  <c r="BR5" i="4" s="1"/>
  <c r="BK5" i="4"/>
  <c r="BL5" i="4" s="1"/>
  <c r="BF5" i="4"/>
  <c r="BN5" i="4"/>
  <c r="BO5" i="4" s="1"/>
  <c r="BO298" i="4"/>
  <c r="BO295" i="4" s="1"/>
  <c r="CC749" i="4"/>
  <c r="AZ747" i="4"/>
  <c r="AZ759" i="4" s="1"/>
  <c r="AZ767" i="4" s="1"/>
  <c r="AY753" i="4"/>
  <c r="AZ753" i="4" s="1"/>
  <c r="AY748" i="4"/>
  <c r="AZ748" i="4" s="1"/>
  <c r="BA758" i="4"/>
  <c r="BA766" i="4" s="1"/>
  <c r="DC296" i="4"/>
  <c r="BY204" i="4"/>
  <c r="CB296" i="4"/>
  <c r="BS296" i="4"/>
  <c r="BM260" i="4"/>
  <c r="BM261" i="4" s="1"/>
  <c r="BM282" i="4"/>
  <c r="CK174" i="4"/>
  <c r="BN282" i="4"/>
  <c r="BN284" i="4" s="1"/>
  <c r="BN313" i="4" s="1"/>
  <c r="BP282" i="4"/>
  <c r="BP284" i="4" s="1"/>
  <c r="BL42" i="4"/>
  <c r="BR355" i="4"/>
  <c r="CK205" i="4"/>
  <c r="CK206" i="4" s="1"/>
  <c r="DO375" i="4"/>
  <c r="DL295" i="4"/>
  <c r="DL296" i="4" s="1"/>
  <c r="BQ749" i="4"/>
  <c r="CA270" i="4"/>
  <c r="CA267" i="4" s="1"/>
  <c r="BQ275" i="4"/>
  <c r="BT275" i="4" s="1"/>
  <c r="BZ749" i="4"/>
  <c r="CV76" i="4"/>
  <c r="BW749" i="4"/>
  <c r="CF397" i="4"/>
  <c r="CG397" i="4" s="1"/>
  <c r="CG398" i="4" s="1"/>
  <c r="DK61" i="4"/>
  <c r="BT233" i="4"/>
  <c r="CK59" i="4"/>
  <c r="CK204" i="4"/>
  <c r="BL475" i="4"/>
  <c r="CW122" i="4"/>
  <c r="DC122" i="4"/>
  <c r="CH204" i="4"/>
  <c r="CA748" i="4"/>
  <c r="BX292" i="4"/>
  <c r="BN379" i="4"/>
  <c r="BN380" i="4" s="1"/>
  <c r="BX266" i="4"/>
  <c r="DB372" i="4"/>
  <c r="CH355" i="4"/>
  <c r="DL204" i="4"/>
  <c r="BO355" i="4"/>
  <c r="BP271" i="4"/>
  <c r="BR270" i="4"/>
  <c r="BR267" i="4" s="1"/>
  <c r="BS271" i="4"/>
  <c r="BP272" i="4"/>
  <c r="BR272" i="4" s="1"/>
  <c r="CP165" i="4"/>
  <c r="CP293" i="4" s="1"/>
  <c r="CG318" i="4"/>
  <c r="BO19" i="4"/>
  <c r="BO67" i="4" s="1"/>
  <c r="BI748" i="4"/>
  <c r="BK749" i="4"/>
  <c r="CY197" i="4"/>
  <c r="BJ453" i="4"/>
  <c r="BM351" i="4"/>
  <c r="BM424" i="4" s="1"/>
  <c r="BF757" i="4"/>
  <c r="BF765" i="4" s="1"/>
  <c r="BN67" i="4"/>
  <c r="BH260" i="4"/>
  <c r="BH262" i="4" s="1"/>
  <c r="BT360" i="4"/>
  <c r="DN85" i="4"/>
  <c r="BV379" i="4"/>
  <c r="BV380" i="4" s="1"/>
  <c r="CG165" i="4"/>
  <c r="BE761" i="4"/>
  <c r="BE757" i="4" s="1"/>
  <c r="BE765" i="4" s="1"/>
  <c r="DC665" i="2"/>
  <c r="CY121" i="4"/>
  <c r="CW204" i="4"/>
  <c r="DE121" i="4"/>
  <c r="DE665" i="2" s="1"/>
  <c r="DE199" i="4"/>
  <c r="CZ204" i="4"/>
  <c r="CY292" i="4"/>
  <c r="DN111" i="4"/>
  <c r="DO111" i="4"/>
  <c r="CN354" i="4"/>
  <c r="CK378" i="4"/>
  <c r="BQ379" i="4"/>
  <c r="BR379" i="4" s="1"/>
  <c r="BR380" i="4" s="1"/>
  <c r="BS204" i="4"/>
  <c r="AZ823" i="4"/>
  <c r="AZ841" i="4" s="1"/>
  <c r="CF231" i="4"/>
  <c r="CF232" i="4" s="1"/>
  <c r="CG232" i="4" s="1"/>
  <c r="BJ749" i="4"/>
  <c r="BS749" i="4"/>
  <c r="CA397" i="4"/>
  <c r="CA398" i="4" s="1"/>
  <c r="EA50" i="4"/>
  <c r="EA61" i="4" s="1"/>
  <c r="BL266" i="4"/>
  <c r="DD665" i="2"/>
  <c r="BU165" i="4"/>
  <c r="CE296" i="4"/>
  <c r="BG749" i="4"/>
  <c r="DG665" i="2"/>
  <c r="BJ434" i="4"/>
  <c r="BM360" i="4"/>
  <c r="BF748" i="4"/>
  <c r="BF760" i="4" s="1"/>
  <c r="BF768" i="4" s="1"/>
  <c r="BF773" i="4" s="1"/>
  <c r="BN260" i="4"/>
  <c r="BN262" i="4" s="1"/>
  <c r="BN263" i="4" s="1"/>
  <c r="BM379" i="4"/>
  <c r="BM380" i="4" s="1"/>
  <c r="BO188" i="4"/>
  <c r="BH749" i="4"/>
  <c r="BJ464" i="4"/>
  <c r="CH296" i="4"/>
  <c r="DC204" i="4"/>
  <c r="BJ474" i="4"/>
  <c r="BN312" i="4"/>
  <c r="DB292" i="4"/>
  <c r="CK296" i="4"/>
  <c r="CE749" i="4"/>
  <c r="CW296" i="4"/>
  <c r="CN204" i="4"/>
  <c r="DJ122" i="4"/>
  <c r="BP260" i="4"/>
  <c r="BP337" i="4" s="1"/>
  <c r="BP339" i="4" s="1"/>
  <c r="BP450" i="4" s="1"/>
  <c r="DS665" i="2"/>
  <c r="CD322" i="4"/>
  <c r="CF226" i="4"/>
  <c r="AX160" i="2"/>
  <c r="BG272" i="4"/>
  <c r="BG273" i="4" s="1"/>
  <c r="CV121" i="4"/>
  <c r="CV122" i="4" s="1"/>
  <c r="BO579" i="4"/>
  <c r="BR579" i="4" s="1"/>
  <c r="BN749" i="4"/>
  <c r="CX122" i="4"/>
  <c r="BA153" i="2"/>
  <c r="BP204" i="4"/>
  <c r="CN152" i="4"/>
  <c r="BA760" i="4"/>
  <c r="BA768" i="4" s="1"/>
  <c r="BA771" i="4" s="1"/>
  <c r="DF204" i="4"/>
  <c r="AX589" i="4"/>
  <c r="AX583" i="4" s="1"/>
  <c r="AX619" i="4" s="1"/>
  <c r="CA355" i="4"/>
  <c r="CA356" i="4"/>
  <c r="CP159" i="4"/>
  <c r="BN300" i="4"/>
  <c r="BN302" i="4" s="1"/>
  <c r="BY300" i="4"/>
  <c r="BY302" i="4" s="1"/>
  <c r="BI465" i="4"/>
  <c r="BX318" i="4"/>
  <c r="BC454" i="4"/>
  <c r="DB290" i="4"/>
  <c r="CV199" i="4"/>
  <c r="CY372" i="4"/>
  <c r="BJ445" i="4"/>
  <c r="BL355" i="4"/>
  <c r="BL424" i="4"/>
  <c r="BL453" i="4" s="1"/>
  <c r="CA318" i="4"/>
  <c r="BG180" i="4"/>
  <c r="BI180" i="4" s="1"/>
  <c r="BV296" i="4"/>
  <c r="CQ204" i="4"/>
  <c r="CZ296" i="4"/>
  <c r="AX60" i="2"/>
  <c r="AX159" i="2" s="1"/>
  <c r="BK474" i="4"/>
  <c r="BK464" i="4"/>
  <c r="BG271" i="4"/>
  <c r="BX270" i="4"/>
  <c r="BZ271" i="4"/>
  <c r="DB199" i="4"/>
  <c r="BD3" i="4"/>
  <c r="BD11" i="4" s="1"/>
  <c r="BK272" i="4"/>
  <c r="BK443" i="4"/>
  <c r="BJ271" i="4"/>
  <c r="BW272" i="4"/>
  <c r="BI270" i="4"/>
  <c r="BY296" i="4"/>
  <c r="BV298" i="4"/>
  <c r="BV300" i="4" s="1"/>
  <c r="BV302" i="4" s="1"/>
  <c r="CM165" i="4"/>
  <c r="CB749" i="4"/>
  <c r="BK434" i="4"/>
  <c r="BL262" i="4"/>
  <c r="BL270" i="4"/>
  <c r="BD68" i="4"/>
  <c r="BN360" i="4"/>
  <c r="CH378" i="4"/>
  <c r="CK355" i="4"/>
  <c r="CS292" i="4"/>
  <c r="BY152" i="4"/>
  <c r="BY494" i="4" s="1"/>
  <c r="BY497" i="4" s="1"/>
  <c r="BT379" i="4"/>
  <c r="BT380" i="4" s="1"/>
  <c r="BQ300" i="4"/>
  <c r="BQ302" i="4" s="1"/>
  <c r="CC61" i="4"/>
  <c r="CF61" i="4"/>
  <c r="BF355" i="4"/>
  <c r="BO266" i="4"/>
  <c r="DU254" i="4"/>
  <c r="BX748" i="4"/>
  <c r="BT386" i="4"/>
  <c r="BY48" i="4"/>
  <c r="BY69" i="4" s="1"/>
  <c r="BA769" i="4"/>
  <c r="DO122" i="4"/>
  <c r="DG122" i="4"/>
  <c r="BI454" i="4"/>
  <c r="BG164" i="4"/>
  <c r="DD122" i="4"/>
  <c r="BC444" i="4"/>
  <c r="BY749" i="4"/>
  <c r="BN164" i="4"/>
  <c r="BW271" i="4"/>
  <c r="BG579" i="4"/>
  <c r="BH579" i="4" s="1"/>
  <c r="AX955" i="4"/>
  <c r="BI61" i="4"/>
  <c r="BO387" i="4"/>
  <c r="BO386" i="4" s="1"/>
  <c r="BO383" i="4" s="1"/>
  <c r="BO213" i="4" s="1"/>
  <c r="BO215" i="4" s="1"/>
  <c r="CV165" i="4"/>
  <c r="CV293" i="4" s="1"/>
  <c r="BU355" i="4"/>
  <c r="CJ199" i="4"/>
  <c r="BA759" i="4"/>
  <c r="BA767" i="4" s="1"/>
  <c r="BU270" i="4"/>
  <c r="BU267" i="4" s="1"/>
  <c r="BT272" i="4"/>
  <c r="BR748" i="4"/>
  <c r="BR356" i="4"/>
  <c r="BF454" i="4"/>
  <c r="BN49" i="4"/>
  <c r="BO49" i="4" s="1"/>
  <c r="CT204" i="4"/>
  <c r="DK545" i="4"/>
  <c r="BU61" i="4"/>
  <c r="BN271" i="4"/>
  <c r="BL260" i="4"/>
  <c r="BK271" i="4"/>
  <c r="BX355" i="4"/>
  <c r="BO61" i="4"/>
  <c r="CA165" i="4"/>
  <c r="BL351" i="4"/>
  <c r="BF48" i="4"/>
  <c r="BF59" i="4" s="1"/>
  <c r="BX356" i="4"/>
  <c r="BC435" i="4"/>
  <c r="DH550" i="4"/>
  <c r="BI769" i="4"/>
  <c r="BH761" i="4"/>
  <c r="BH758" i="4" s="1"/>
  <c r="BH766" i="4" s="1"/>
  <c r="BI757" i="4"/>
  <c r="BI765" i="4" s="1"/>
  <c r="BR378" i="4"/>
  <c r="BR375" i="4" s="1"/>
  <c r="BF822" i="4"/>
  <c r="BF828" i="4" s="1"/>
  <c r="BF829" i="4" s="1"/>
  <c r="BF830" i="4" s="1"/>
  <c r="BF831" i="4" s="1"/>
  <c r="BM312" i="4"/>
  <c r="CA50" i="4"/>
  <c r="CD61" i="4" s="1"/>
  <c r="DP61" i="4"/>
  <c r="BD761" i="4"/>
  <c r="BD759" i="4" s="1"/>
  <c r="BD767" i="4" s="1"/>
  <c r="BL454" i="4"/>
  <c r="BI444" i="4"/>
  <c r="DF562" i="4"/>
  <c r="DH562" i="4" s="1"/>
  <c r="DR562" i="4"/>
  <c r="DR18" i="4" s="1"/>
  <c r="BQ59" i="4"/>
  <c r="BV749" i="4"/>
  <c r="BM72" i="4"/>
  <c r="BF759" i="4"/>
  <c r="BF767" i="4" s="1"/>
  <c r="BW360" i="4"/>
  <c r="BB822" i="4"/>
  <c r="BB828" i="4" s="1"/>
  <c r="BB829" i="4" s="1"/>
  <c r="BB830" i="4" s="1"/>
  <c r="BB831" i="4" s="1"/>
  <c r="CD165" i="4"/>
  <c r="BR266" i="4"/>
  <c r="BF769" i="4"/>
  <c r="CW501" i="4"/>
  <c r="CZ501" i="4" s="1"/>
  <c r="DC501" i="4" s="1"/>
  <c r="DF501" i="4" s="1"/>
  <c r="DI501" i="4" s="1"/>
  <c r="DL501" i="4" s="1"/>
  <c r="DO501" i="4" s="1"/>
  <c r="DR501" i="4" s="1"/>
  <c r="DU501" i="4" s="1"/>
  <c r="DX501" i="4" s="1"/>
  <c r="EA501" i="4" s="1"/>
  <c r="ED501" i="4" s="1"/>
  <c r="EG501" i="4" s="1"/>
  <c r="EJ501" i="4" s="1"/>
  <c r="EM501" i="4" s="1"/>
  <c r="EP501" i="4" s="1"/>
  <c r="ES501" i="4" s="1"/>
  <c r="BF758" i="4"/>
  <c r="BF766" i="4" s="1"/>
  <c r="CM50" i="4"/>
  <c r="CM61" i="4" s="1"/>
  <c r="BL435" i="4"/>
  <c r="CA535" i="4"/>
  <c r="BC828" i="4"/>
  <c r="BC829" i="4" s="1"/>
  <c r="BC830" i="4" s="1"/>
  <c r="BC831" i="4" s="1"/>
  <c r="BC832" i="4" s="1"/>
  <c r="BE749" i="4"/>
  <c r="CR459" i="4"/>
  <c r="CR460" i="4" s="1"/>
  <c r="BO309" i="4"/>
  <c r="BI759" i="4"/>
  <c r="BI767" i="4" s="1"/>
  <c r="BL761" i="4"/>
  <c r="BK761" i="4" s="1"/>
  <c r="BG761" i="4"/>
  <c r="BG769" i="4" s="1"/>
  <c r="EL48" i="4"/>
  <c r="AX866" i="4"/>
  <c r="CD320" i="4"/>
  <c r="DA61" i="4"/>
  <c r="EJ376" i="4"/>
  <c r="EM376" i="4" s="1"/>
  <c r="BM834" i="4"/>
  <c r="BN834" i="4" s="1"/>
  <c r="BZ383" i="4"/>
  <c r="BZ305" i="4" s="1"/>
  <c r="BZ307" i="4" s="1"/>
  <c r="BW305" i="4"/>
  <c r="BW213" i="4"/>
  <c r="BW215" i="4" s="1"/>
  <c r="BW386" i="4"/>
  <c r="BC475" i="4"/>
  <c r="EO32" i="4"/>
  <c r="BE65" i="4"/>
  <c r="BX360" i="4"/>
  <c r="BG578" i="4"/>
  <c r="BH578" i="4" s="1"/>
  <c r="BP834" i="4"/>
  <c r="BQ834" i="4" s="1"/>
  <c r="BH30" i="4"/>
  <c r="BR61" i="4"/>
  <c r="AY842" i="4"/>
  <c r="BQ53" i="4"/>
  <c r="BH179" i="4"/>
  <c r="BF444" i="4"/>
  <c r="CC321" i="4"/>
  <c r="CD321" i="4" s="1"/>
  <c r="DJ61" i="4"/>
  <c r="EE103" i="4"/>
  <c r="BI163" i="4"/>
  <c r="BF435" i="4"/>
  <c r="BL465" i="4"/>
  <c r="BP85" i="4"/>
  <c r="BS85" i="4"/>
  <c r="BP307" i="4"/>
  <c r="BP309" i="4" s="1"/>
  <c r="BP312" i="4" s="1"/>
  <c r="BF475" i="4"/>
  <c r="CD318" i="4"/>
  <c r="BQ49" i="4"/>
  <c r="CQ562" i="4"/>
  <c r="CQ563" i="4" s="1"/>
  <c r="CQ152" i="4" s="1"/>
  <c r="BI178" i="4"/>
  <c r="DL122" i="4"/>
  <c r="BV232" i="4"/>
  <c r="BK179" i="4"/>
  <c r="CI152" i="4"/>
  <c r="CJ152" i="4" s="1"/>
  <c r="BH67" i="4"/>
  <c r="BI758" i="4"/>
  <c r="BI766" i="4" s="1"/>
  <c r="CS199" i="4"/>
  <c r="BD34" i="4"/>
  <c r="BI475" i="4"/>
  <c r="BL444" i="4"/>
  <c r="BX165" i="4"/>
  <c r="BH168" i="4"/>
  <c r="BH170" i="4" s="1"/>
  <c r="BH420" i="4" s="1"/>
  <c r="BH449" i="4" s="1"/>
  <c r="BH47" i="4"/>
  <c r="BK58" i="4" s="1"/>
  <c r="ER32" i="4"/>
  <c r="CH59" i="4"/>
  <c r="CA292" i="4"/>
  <c r="BR47" i="4"/>
  <c r="BR58" i="4" s="1"/>
  <c r="DB121" i="4"/>
  <c r="BK57" i="4"/>
  <c r="CG199" i="4"/>
  <c r="DA122" i="4"/>
  <c r="BQ299" i="4"/>
  <c r="BQ301" i="4" s="1"/>
  <c r="CS550" i="4"/>
  <c r="BG34" i="4"/>
  <c r="BC465" i="4"/>
  <c r="DO18" i="4"/>
  <c r="DO48" i="4" s="1"/>
  <c r="DS122" i="4"/>
  <c r="DF292" i="4"/>
  <c r="DH291" i="4"/>
  <c r="EG393" i="4"/>
  <c r="DY50" i="4"/>
  <c r="EB61" i="4" s="1"/>
  <c r="DZ159" i="4"/>
  <c r="CQ277" i="4"/>
  <c r="CR277" i="4" s="1"/>
  <c r="CU277" i="4" s="1"/>
  <c r="BA811" i="4"/>
  <c r="BA812" i="4" s="1"/>
  <c r="CF522" i="4"/>
  <c r="CF534" i="4" s="1"/>
  <c r="CF535" i="4" s="1"/>
  <c r="BR88" i="4"/>
  <c r="BI852" i="4"/>
  <c r="BI355" i="4"/>
  <c r="BT305" i="4"/>
  <c r="BT213" i="4"/>
  <c r="BT214" i="4" s="1"/>
  <c r="BD59" i="4"/>
  <c r="BD49" i="4"/>
  <c r="CA360" i="4"/>
  <c r="BY233" i="4"/>
  <c r="BY232" i="4"/>
  <c r="BR85" i="4"/>
  <c r="BZ494" i="4"/>
  <c r="BZ497" i="4" s="1"/>
  <c r="BS380" i="4"/>
  <c r="AW153" i="2"/>
  <c r="BU360" i="4"/>
  <c r="CJ292" i="4"/>
  <c r="BB810" i="4"/>
  <c r="BC810" i="4" s="1"/>
  <c r="CI18" i="4"/>
  <c r="CI48" i="4" s="1"/>
  <c r="BN58" i="4"/>
  <c r="CJ165" i="4"/>
  <c r="BM70" i="4"/>
  <c r="BR48" i="4"/>
  <c r="BR69" i="4" s="1"/>
  <c r="BZ18" i="4"/>
  <c r="BI435" i="4"/>
  <c r="DF121" i="4"/>
  <c r="DH198" i="4"/>
  <c r="DF165" i="4"/>
  <c r="DH165" i="4" s="1"/>
  <c r="DF199" i="4"/>
  <c r="BF465" i="4"/>
  <c r="CB152" i="4"/>
  <c r="CB494" i="4" s="1"/>
  <c r="CB497" i="4" s="1"/>
  <c r="CD535" i="4"/>
  <c r="CB18" i="4"/>
  <c r="DI562" i="4"/>
  <c r="CC57" i="4"/>
  <c r="BK472" i="4"/>
  <c r="EE106" i="4"/>
  <c r="BC163" i="4"/>
  <c r="CA46" i="4"/>
  <c r="CD57" i="4" s="1"/>
  <c r="BD749" i="4"/>
  <c r="BC748" i="4"/>
  <c r="BP49" i="4"/>
  <c r="BP59" i="4"/>
  <c r="BP69" i="4"/>
  <c r="BN168" i="4"/>
  <c r="BN170" i="4" s="1"/>
  <c r="CF355" i="4"/>
  <c r="CD199" i="4"/>
  <c r="BR42" i="4"/>
  <c r="BK164" i="4"/>
  <c r="BO280" i="4"/>
  <c r="BP281" i="4"/>
  <c r="BV18" i="4"/>
  <c r="BW535" i="4"/>
  <c r="BV152" i="4"/>
  <c r="CR293" i="4"/>
  <c r="CS165" i="4"/>
  <c r="CS293" i="4" s="1"/>
  <c r="BY321" i="4"/>
  <c r="BY322" i="4"/>
  <c r="CA322" i="4" s="1"/>
  <c r="CC231" i="4"/>
  <c r="CC229" i="4"/>
  <c r="CD229" i="4" s="1"/>
  <c r="BQ231" i="4"/>
  <c r="BQ232" i="4" s="1"/>
  <c r="BR232" i="4" s="1"/>
  <c r="BQ229" i="4"/>
  <c r="BR229" i="4" s="1"/>
  <c r="BQ321" i="4"/>
  <c r="BQ323" i="4" s="1"/>
  <c r="BQ322" i="4"/>
  <c r="AX860" i="4"/>
  <c r="EE159" i="4"/>
  <c r="BM321" i="4"/>
  <c r="BM322" i="4"/>
  <c r="BO322" i="4" s="1"/>
  <c r="BP320" i="4"/>
  <c r="BP318" i="4"/>
  <c r="BS318" i="4"/>
  <c r="BR317" i="4"/>
  <c r="CE321" i="4"/>
  <c r="CE323" i="4" s="1"/>
  <c r="CE324" i="4" s="1"/>
  <c r="CG320" i="4"/>
  <c r="CE322" i="4"/>
  <c r="CG322" i="4" s="1"/>
  <c r="BK445" i="4"/>
  <c r="BP296" i="4"/>
  <c r="BP298" i="4"/>
  <c r="CB232" i="4"/>
  <c r="CB233" i="4"/>
  <c r="CD292" i="4"/>
  <c r="BN53" i="4"/>
  <c r="BV323" i="4"/>
  <c r="BH48" i="4"/>
  <c r="BH32" i="4"/>
  <c r="BT322" i="4"/>
  <c r="BU322" i="4" s="1"/>
  <c r="BT321" i="4"/>
  <c r="BU320" i="4"/>
  <c r="CL392" i="4"/>
  <c r="CI317" i="4"/>
  <c r="CI395" i="4"/>
  <c r="CI397" i="4" s="1"/>
  <c r="CI398" i="4" s="1"/>
  <c r="CI225" i="4"/>
  <c r="BA69" i="2"/>
  <c r="BA160" i="2"/>
  <c r="BM517" i="4"/>
  <c r="BM534" i="4" s="1"/>
  <c r="BN515" i="4"/>
  <c r="BN517" i="4" s="1"/>
  <c r="BR79" i="4"/>
  <c r="BU79" i="4"/>
  <c r="BW321" i="4"/>
  <c r="BW323" i="4" s="1"/>
  <c r="BW322" i="4"/>
  <c r="BX322" i="4" s="1"/>
  <c r="CT185" i="4"/>
  <c r="CR562" i="4"/>
  <c r="CR563" i="4" s="1"/>
  <c r="CR152" i="4" s="1"/>
  <c r="BN179" i="4"/>
  <c r="DE292" i="4"/>
  <c r="BK180" i="4"/>
  <c r="BN181" i="4" s="1"/>
  <c r="BK441" i="4"/>
  <c r="BO310" i="4"/>
  <c r="BU356" i="4"/>
  <c r="BL422" i="4"/>
  <c r="BL432" i="4" s="1"/>
  <c r="BK432" i="4"/>
  <c r="BK462" i="4"/>
  <c r="AW69" i="2"/>
  <c r="AW160" i="2"/>
  <c r="BI71" i="4"/>
  <c r="BL61" i="4"/>
  <c r="BP81" i="4"/>
  <c r="BR82" i="4"/>
  <c r="EL32" i="4"/>
  <c r="EI32" i="4"/>
  <c r="EG484" i="4"/>
  <c r="EE484" i="4"/>
  <c r="BM229" i="4"/>
  <c r="BO229" i="4" s="1"/>
  <c r="BM231" i="4"/>
  <c r="BM232" i="4" s="1"/>
  <c r="BO232" i="4" s="1"/>
  <c r="BJ68" i="4"/>
  <c r="BJ3" i="4"/>
  <c r="BJ11" i="4" s="1"/>
  <c r="BJ71" i="4"/>
  <c r="BJ34" i="4"/>
  <c r="BM34" i="4"/>
  <c r="BN32" i="4"/>
  <c r="BK48" i="4"/>
  <c r="BK32" i="4"/>
  <c r="BK67" i="4"/>
  <c r="BK20" i="4"/>
  <c r="BQ58" i="4"/>
  <c r="CK392" i="4"/>
  <c r="CH395" i="4"/>
  <c r="CH317" i="4"/>
  <c r="CH225" i="4"/>
  <c r="BN527" i="4"/>
  <c r="BP525" i="4"/>
  <c r="CF323" i="4"/>
  <c r="BQ530" i="4"/>
  <c r="BQ532" i="4" s="1"/>
  <c r="BP532" i="4"/>
  <c r="CO562" i="4"/>
  <c r="CO563" i="4" s="1"/>
  <c r="CP50" i="4"/>
  <c r="CO61" i="4"/>
  <c r="BH42" i="4"/>
  <c r="BH64" i="4"/>
  <c r="BH54" i="4"/>
  <c r="BK54" i="4"/>
  <c r="DA293" i="4"/>
  <c r="DB165" i="4"/>
  <c r="DB293" i="4" s="1"/>
  <c r="DV81" i="4"/>
  <c r="DT50" i="4"/>
  <c r="DW61" i="4" s="1"/>
  <c r="DS61" i="4"/>
  <c r="BQ214" i="4"/>
  <c r="BQ215" i="4"/>
  <c r="BQ217" i="4" s="1"/>
  <c r="DI665" i="2"/>
  <c r="CZ122" i="4"/>
  <c r="BD168" i="4"/>
  <c r="BG169" i="4" s="1"/>
  <c r="BD179" i="4"/>
  <c r="BF178" i="4"/>
  <c r="BF179" i="4" s="1"/>
  <c r="BD180" i="4"/>
  <c r="BF180" i="4" s="1"/>
  <c r="BJ178" i="4"/>
  <c r="BM173" i="4"/>
  <c r="BL173" i="4"/>
  <c r="BJ163" i="4"/>
  <c r="BF163" i="4"/>
  <c r="BD164" i="4"/>
  <c r="BG179" i="4"/>
  <c r="BO42" i="4"/>
  <c r="AT69" i="2"/>
  <c r="AT60" i="2"/>
  <c r="AT160" i="2"/>
  <c r="BE53" i="4"/>
  <c r="AX591" i="4"/>
  <c r="AX585" i="4" s="1"/>
  <c r="AY569" i="4"/>
  <c r="AX652" i="4"/>
  <c r="AY652" i="4" s="1"/>
  <c r="AZ652" i="4" s="1"/>
  <c r="BA652" i="4" s="1"/>
  <c r="BB652" i="4" s="1"/>
  <c r="BC652" i="4" s="1"/>
  <c r="BD652" i="4" s="1"/>
  <c r="BE652" i="4" s="1"/>
  <c r="BF652" i="4" s="1"/>
  <c r="BG652" i="4" s="1"/>
  <c r="AY651" i="4"/>
  <c r="BF835" i="4"/>
  <c r="BI835" i="4" s="1"/>
  <c r="BG837" i="4"/>
  <c r="BH837" i="4" s="1"/>
  <c r="BL837" i="4"/>
  <c r="BO837" i="4" s="1"/>
  <c r="CD748" i="4"/>
  <c r="AX838" i="4"/>
  <c r="AY825" i="4"/>
  <c r="AX843" i="4"/>
  <c r="AX856" i="4" s="1"/>
  <c r="BA835" i="4"/>
  <c r="BB835" i="4" s="1"/>
  <c r="DD18" i="4"/>
  <c r="DD152" i="4"/>
  <c r="CT18" i="4"/>
  <c r="CT48" i="4" s="1"/>
  <c r="CT69" i="4" s="1"/>
  <c r="CT152" i="4"/>
  <c r="CT99" i="4"/>
  <c r="CQ173" i="4"/>
  <c r="CQ745" i="4"/>
  <c r="DS18" i="4"/>
  <c r="DS48" i="4" s="1"/>
  <c r="CN102" i="4"/>
  <c r="CK265" i="4"/>
  <c r="CK96" i="4"/>
  <c r="CK97" i="4" s="1"/>
  <c r="CK746" i="4"/>
  <c r="CK748" i="4" s="1"/>
  <c r="DV540" i="4"/>
  <c r="DW540" i="4" s="1"/>
  <c r="DX540" i="4"/>
  <c r="DW75" i="4"/>
  <c r="DW76" i="4" s="1"/>
  <c r="DV76" i="4"/>
  <c r="CJ61" i="4"/>
  <c r="CG61" i="4"/>
  <c r="DC18" i="4"/>
  <c r="DC152" i="4"/>
  <c r="DE563" i="4"/>
  <c r="BZ233" i="4"/>
  <c r="BZ232" i="4"/>
  <c r="BO58" i="4"/>
  <c r="CL105" i="4"/>
  <c r="CL108" i="4" s="1"/>
  <c r="CM108" i="4" s="1"/>
  <c r="CI747" i="4"/>
  <c r="CJ747" i="4" s="1"/>
  <c r="CJ105" i="4"/>
  <c r="CJ106" i="4" s="1"/>
  <c r="CI354" i="4"/>
  <c r="CN174" i="4"/>
  <c r="CN205" i="4"/>
  <c r="CN206" i="4" s="1"/>
  <c r="CL363" i="4"/>
  <c r="CL276" i="4"/>
  <c r="BE462" i="4"/>
  <c r="BE472" i="4"/>
  <c r="BE432" i="4"/>
  <c r="BE441" i="4"/>
  <c r="BE451" i="4"/>
  <c r="DH61" i="4"/>
  <c r="DE61" i="4"/>
  <c r="DW466" i="2"/>
  <c r="DI78" i="2"/>
  <c r="DI182" i="2" s="1"/>
  <c r="DI131" i="3"/>
  <c r="DW626" i="2"/>
  <c r="DX626" i="2"/>
  <c r="BL748" i="4"/>
  <c r="AJ74" i="2"/>
  <c r="AI72" i="2"/>
  <c r="BP462" i="2"/>
  <c r="BP464" i="2" s="1"/>
  <c r="BQ64" i="2"/>
  <c r="BQ462" i="2" s="1"/>
  <c r="O115" i="2"/>
  <c r="N139" i="2"/>
  <c r="O139" i="2" s="1"/>
  <c r="AW244" i="3"/>
  <c r="AW309" i="3"/>
  <c r="BJ580" i="4"/>
  <c r="BK580" i="4" s="1"/>
  <c r="BO580" i="4"/>
  <c r="BT173" i="4"/>
  <c r="BQ205" i="4"/>
  <c r="BQ206" i="4" s="1"/>
  <c r="BQ163" i="4"/>
  <c r="BQ164" i="4" s="1"/>
  <c r="CT273" i="2"/>
  <c r="CR273" i="2"/>
  <c r="CI99" i="4"/>
  <c r="CF173" i="4"/>
  <c r="CF745" i="4"/>
  <c r="CF96" i="4"/>
  <c r="CG99" i="4"/>
  <c r="CG100" i="4" s="1"/>
  <c r="CD629" i="2"/>
  <c r="CC244" i="2"/>
  <c r="CC629" i="2" s="1"/>
  <c r="BX199" i="4"/>
  <c r="BJ462" i="2"/>
  <c r="BJ464" i="2" s="1"/>
  <c r="BJ62" i="2"/>
  <c r="BJ60" i="2" s="1"/>
  <c r="BJ205" i="2"/>
  <c r="BJ214" i="2" s="1"/>
  <c r="BJ213" i="2" s="1"/>
  <c r="BJ202" i="3" s="1"/>
  <c r="AX214" i="2"/>
  <c r="AY205" i="2"/>
  <c r="AV415" i="2"/>
  <c r="J214" i="2"/>
  <c r="I205" i="2"/>
  <c r="BB176" i="3"/>
  <c r="BB179" i="3"/>
  <c r="BO462" i="2"/>
  <c r="BO464" i="2" s="1"/>
  <c r="BO62" i="2"/>
  <c r="AO34" i="2"/>
  <c r="AO42" i="2" s="1"/>
  <c r="CE620" i="2"/>
  <c r="DR568" i="2"/>
  <c r="DR29" i="2"/>
  <c r="DR372" i="2"/>
  <c r="DR9" i="2"/>
  <c r="DR347" i="2"/>
  <c r="DR228" i="2"/>
  <c r="DR2" i="3"/>
  <c r="DR309" i="3" s="1"/>
  <c r="DR326" i="2"/>
  <c r="DR2" i="4"/>
  <c r="DR90" i="4" s="1"/>
  <c r="DR148" i="2"/>
  <c r="DR453" i="2"/>
  <c r="DR177" i="2"/>
  <c r="CI102" i="4"/>
  <c r="CF746" i="4"/>
  <c r="CG746" i="4" s="1"/>
  <c r="CF265" i="4"/>
  <c r="CG102" i="4"/>
  <c r="CG103" i="4" s="1"/>
  <c r="AY540" i="2"/>
  <c r="AY533" i="2"/>
  <c r="AY541" i="2" s="1"/>
  <c r="Q5" i="3"/>
  <c r="Q11" i="3" s="1"/>
  <c r="R90" i="2"/>
  <c r="R5" i="3" s="1"/>
  <c r="R11" i="3" s="1"/>
  <c r="M68" i="2"/>
  <c r="M4" i="3"/>
  <c r="M10" i="3" s="1"/>
  <c r="M180" i="2"/>
  <c r="M184" i="2" s="1"/>
  <c r="M187" i="2" s="1"/>
  <c r="CM466" i="2"/>
  <c r="CL206" i="2"/>
  <c r="CL466" i="2" s="1"/>
  <c r="CI199" i="2"/>
  <c r="AU93" i="3"/>
  <c r="AW93" i="3"/>
  <c r="CM35" i="3"/>
  <c r="CP35" i="3"/>
  <c r="CN35" i="3"/>
  <c r="AZ147" i="3"/>
  <c r="AZ619" i="2"/>
  <c r="CN207" i="3"/>
  <c r="CC522" i="2"/>
  <c r="CC530" i="2" s="1"/>
  <c r="CC529" i="2"/>
  <c r="BF462" i="2"/>
  <c r="BF464" i="2" s="1"/>
  <c r="BF62" i="2"/>
  <c r="CL18" i="4"/>
  <c r="CM563" i="4"/>
  <c r="CL152" i="4"/>
  <c r="CM152" i="4" s="1"/>
  <c r="DG80" i="2"/>
  <c r="DH618" i="2"/>
  <c r="DH463" i="2"/>
  <c r="DH81" i="2"/>
  <c r="BT183" i="4"/>
  <c r="BU183" i="4" s="1"/>
  <c r="BQ188" i="4"/>
  <c r="BR183" i="4"/>
  <c r="DU213" i="3"/>
  <c r="DU211" i="3" s="1"/>
  <c r="DU258" i="2"/>
  <c r="CS255" i="2"/>
  <c r="CT256" i="2"/>
  <c r="CR256" i="2"/>
  <c r="DH244" i="2"/>
  <c r="Y48" i="9" s="1"/>
  <c r="Y47" i="9" s="1"/>
  <c r="DG235" i="2"/>
  <c r="DG641" i="2" s="1"/>
  <c r="DH641" i="2"/>
  <c r="CY61" i="4"/>
  <c r="DB61" i="4"/>
  <c r="BM220" i="4"/>
  <c r="BM218" i="4"/>
  <c r="AZ811" i="4"/>
  <c r="AZ817" i="4" s="1"/>
  <c r="AY817" i="4"/>
  <c r="AY865" i="4"/>
  <c r="AZ865" i="4" s="1"/>
  <c r="AY871" i="4"/>
  <c r="AZ871" i="4" s="1"/>
  <c r="AY859" i="4"/>
  <c r="BH283" i="2"/>
  <c r="BI287" i="2"/>
  <c r="CG633" i="2"/>
  <c r="CF247" i="2"/>
  <c r="CF633" i="2" s="1"/>
  <c r="CM633" i="2"/>
  <c r="CL247" i="2"/>
  <c r="CL633" i="2" s="1"/>
  <c r="AZ115" i="2"/>
  <c r="AZ155" i="2"/>
  <c r="BC155" i="2"/>
  <c r="AZ163" i="2"/>
  <c r="AY84" i="2"/>
  <c r="BB155" i="2" s="1"/>
  <c r="AZ90" i="2"/>
  <c r="AZ10" i="2"/>
  <c r="V374" i="2"/>
  <c r="T374" i="2"/>
  <c r="BB304" i="2"/>
  <c r="BC305" i="2"/>
  <c r="BB305" i="2" s="1"/>
  <c r="X180" i="2"/>
  <c r="CQ629" i="2"/>
  <c r="DI155" i="2"/>
  <c r="DF155" i="2"/>
  <c r="BV183" i="4"/>
  <c r="BS188" i="4"/>
  <c r="DM398" i="2"/>
  <c r="DN397" i="2"/>
  <c r="CY300" i="2"/>
  <c r="CW297" i="2"/>
  <c r="DH637" i="2"/>
  <c r="DG253" i="2"/>
  <c r="DG637" i="2" s="1"/>
  <c r="DQ110" i="3"/>
  <c r="DP109" i="3"/>
  <c r="AX813" i="4"/>
  <c r="AY812" i="4"/>
  <c r="AX818" i="4"/>
  <c r="BM749" i="4"/>
  <c r="BP749" i="4"/>
  <c r="CC35" i="3"/>
  <c r="CB35" i="3"/>
  <c r="BM208" i="3"/>
  <c r="BM206" i="3" s="1"/>
  <c r="BM244" i="2"/>
  <c r="CI540" i="2"/>
  <c r="CI533" i="2"/>
  <c r="CI541" i="2" s="1"/>
  <c r="CC18" i="4"/>
  <c r="CC152" i="4"/>
  <c r="AH68" i="2"/>
  <c r="AH60" i="2" s="1"/>
  <c r="AH55" i="2" s="1"/>
  <c r="AH53" i="2" s="1"/>
  <c r="AH43" i="2" s="1"/>
  <c r="AH4" i="3"/>
  <c r="AH10" i="3" s="1"/>
  <c r="AH180" i="2"/>
  <c r="AY26" i="3"/>
  <c r="AY180" i="3"/>
  <c r="AW74" i="4"/>
  <c r="AW41" i="4"/>
  <c r="AW14" i="4"/>
  <c r="CA199" i="4"/>
  <c r="CI35" i="3"/>
  <c r="BN206" i="4"/>
  <c r="BN209" i="4" s="1"/>
  <c r="BN210" i="4" s="1"/>
  <c r="BN208" i="4"/>
  <c r="CW220" i="2"/>
  <c r="CX220" i="2" s="1"/>
  <c r="CX189" i="2"/>
  <c r="BP62" i="2"/>
  <c r="CK13" i="2"/>
  <c r="CK14" i="2" s="1"/>
  <c r="CL196" i="2"/>
  <c r="AM90" i="2"/>
  <c r="AM173" i="2" s="1"/>
  <c r="DG196" i="2"/>
  <c r="CU297" i="2"/>
  <c r="CU91" i="3" s="1"/>
  <c r="CV91" i="3"/>
  <c r="DH9" i="2"/>
  <c r="I10" i="9" s="1"/>
  <c r="DH29" i="2"/>
  <c r="DH2" i="4"/>
  <c r="DH90" i="4" s="1"/>
  <c r="DH326" i="2"/>
  <c r="DH177" i="2"/>
  <c r="DH568" i="2"/>
  <c r="DH347" i="2"/>
  <c r="DH493" i="2"/>
  <c r="DH228" i="2"/>
  <c r="DH148" i="2"/>
  <c r="DH453" i="2"/>
  <c r="DH2" i="3"/>
  <c r="DH372" i="2"/>
  <c r="BZ61" i="4"/>
  <c r="BW61" i="4"/>
  <c r="BX50" i="4"/>
  <c r="DG61" i="4"/>
  <c r="DD61" i="4"/>
  <c r="BY208" i="3"/>
  <c r="BY206" i="3" s="1"/>
  <c r="BY244" i="2"/>
  <c r="BY629" i="2" s="1"/>
  <c r="CT205" i="2"/>
  <c r="CU193" i="2"/>
  <c r="K139" i="2"/>
  <c r="L139" i="2" s="1"/>
  <c r="L115" i="2"/>
  <c r="DA540" i="2"/>
  <c r="DA533" i="2"/>
  <c r="DA541" i="2" s="1"/>
  <c r="CZ462" i="2"/>
  <c r="DA64" i="2"/>
  <c r="DA462" i="2" s="1"/>
  <c r="CZ62" i="2"/>
  <c r="AO13" i="2"/>
  <c r="AP115" i="2"/>
  <c r="AP13" i="2" s="1"/>
  <c r="AO139" i="2"/>
  <c r="BB479" i="2"/>
  <c r="BB480" i="2" s="1"/>
  <c r="BB619" i="2"/>
  <c r="CO258" i="2"/>
  <c r="CP263" i="2"/>
  <c r="AN139" i="2"/>
  <c r="AN13" i="2"/>
  <c r="CT462" i="2"/>
  <c r="CT62" i="2"/>
  <c r="CT27" i="3" s="1"/>
  <c r="BQ273" i="4"/>
  <c r="DJ533" i="2"/>
  <c r="DJ541" i="2" s="1"/>
  <c r="DJ540" i="2"/>
  <c r="BM90" i="2"/>
  <c r="BP155" i="2"/>
  <c r="BN84" i="2"/>
  <c r="CZ562" i="4"/>
  <c r="CZ563" i="4" s="1"/>
  <c r="CV27" i="3"/>
  <c r="CY62" i="2"/>
  <c r="F28" i="9" s="1"/>
  <c r="CY462" i="2"/>
  <c r="CX64" i="2"/>
  <c r="CX462" i="2" s="1"/>
  <c r="DT511" i="2"/>
  <c r="DT641" i="2"/>
  <c r="DS250" i="2"/>
  <c r="CK629" i="2"/>
  <c r="AX625" i="2"/>
  <c r="AX627" i="2" s="1"/>
  <c r="AX345" i="2"/>
  <c r="AX322" i="2"/>
  <c r="T5" i="3"/>
  <c r="T11" i="3" s="1"/>
  <c r="U90" i="2"/>
  <c r="U5" i="3" s="1"/>
  <c r="U11" i="3" s="1"/>
  <c r="CC13" i="3"/>
  <c r="CC20" i="3" s="1"/>
  <c r="CC244" i="3"/>
  <c r="CT13" i="3"/>
  <c r="CT20" i="3" s="1"/>
  <c r="CT244" i="3"/>
  <c r="AV41" i="2"/>
  <c r="AU24" i="3"/>
  <c r="AV24" i="3" s="1"/>
  <c r="J263" i="2"/>
  <c r="I252" i="2"/>
  <c r="CB641" i="2"/>
  <c r="CB511" i="2"/>
  <c r="BB10" i="2"/>
  <c r="BB174" i="2"/>
  <c r="BB163" i="2"/>
  <c r="BI68" i="2"/>
  <c r="BI4" i="3"/>
  <c r="BI10" i="3" s="1"/>
  <c r="BI154" i="2"/>
  <c r="BH72" i="2"/>
  <c r="BI345" i="2"/>
  <c r="BI73" i="2"/>
  <c r="BI178" i="2"/>
  <c r="BH178" i="2" s="1"/>
  <c r="BI331" i="2"/>
  <c r="BI161" i="2"/>
  <c r="CV419" i="4"/>
  <c r="T202" i="3"/>
  <c r="T68" i="2"/>
  <c r="T180" i="2"/>
  <c r="U72" i="2"/>
  <c r="U4" i="3" s="1"/>
  <c r="U10" i="3" s="1"/>
  <c r="T4" i="3"/>
  <c r="T10" i="3" s="1"/>
  <c r="AB27" i="3"/>
  <c r="AB28" i="3" s="1"/>
  <c r="AA62" i="2"/>
  <c r="AA27" i="3" s="1"/>
  <c r="AA28" i="3" s="1"/>
  <c r="CV361" i="2"/>
  <c r="CW362" i="2"/>
  <c r="CO153" i="3"/>
  <c r="CO154" i="3" s="1"/>
  <c r="DO62" i="2"/>
  <c r="DO27" i="3" s="1"/>
  <c r="DO462" i="2"/>
  <c r="U34" i="2"/>
  <c r="V42" i="2"/>
  <c r="AZ567" i="4"/>
  <c r="AY589" i="4"/>
  <c r="AY583" i="4" s="1"/>
  <c r="V214" i="2"/>
  <c r="U205" i="2"/>
  <c r="BF619" i="2"/>
  <c r="BF147" i="3"/>
  <c r="BQ35" i="2"/>
  <c r="BP34" i="2"/>
  <c r="AU4" i="3"/>
  <c r="AU10" i="3" s="1"/>
  <c r="AU68" i="2"/>
  <c r="AU331" i="2"/>
  <c r="AU345" i="2"/>
  <c r="AX154" i="2"/>
  <c r="AV72" i="2"/>
  <c r="AU161" i="2"/>
  <c r="AU73" i="2"/>
  <c r="AU12" i="4"/>
  <c r="AU178" i="2"/>
  <c r="AV178" i="2" s="1"/>
  <c r="AU176" i="2"/>
  <c r="CB462" i="2"/>
  <c r="CB62" i="2"/>
  <c r="CB27" i="3" s="1"/>
  <c r="BB771" i="4"/>
  <c r="BB773" i="4"/>
  <c r="AL187" i="2"/>
  <c r="BQ244" i="3"/>
  <c r="BQ13" i="3"/>
  <c r="BQ20" i="3" s="1"/>
  <c r="AX882" i="4"/>
  <c r="AX864" i="4"/>
  <c r="AX876" i="4"/>
  <c r="AX870" i="4"/>
  <c r="AX754" i="4"/>
  <c r="AY751" i="4"/>
  <c r="AX858" i="4"/>
  <c r="AX888" i="4"/>
  <c r="AJ340" i="2"/>
  <c r="AJ339" i="2"/>
  <c r="BG752" i="4"/>
  <c r="CQ469" i="2"/>
  <c r="CR469" i="2" s="1"/>
  <c r="CS469" i="2" s="1"/>
  <c r="BI693" i="4"/>
  <c r="BT175" i="4"/>
  <c r="BQ178" i="4"/>
  <c r="CB360" i="4"/>
  <c r="CB379" i="4"/>
  <c r="CS27" i="3"/>
  <c r="CB300" i="4"/>
  <c r="CB302" i="4" s="1"/>
  <c r="CB271" i="4"/>
  <c r="CB272" i="4"/>
  <c r="CZ115" i="2"/>
  <c r="T15" i="9" s="1"/>
  <c r="CZ10" i="2"/>
  <c r="CZ155" i="2"/>
  <c r="DC155" i="2"/>
  <c r="DS193" i="2"/>
  <c r="DO81" i="2"/>
  <c r="DO618" i="2"/>
  <c r="DO463" i="2"/>
  <c r="DO292" i="2"/>
  <c r="DM292" i="2"/>
  <c r="CU82" i="4"/>
  <c r="CV81" i="4"/>
  <c r="F34" i="2"/>
  <c r="E42" i="2"/>
  <c r="CG155" i="2"/>
  <c r="CG10" i="2"/>
  <c r="CJ155" i="2"/>
  <c r="CF84" i="2"/>
  <c r="BV462" i="2"/>
  <c r="BW64" i="2"/>
  <c r="BW462" i="2" s="1"/>
  <c r="BV62" i="2"/>
  <c r="H68" i="2"/>
  <c r="H60" i="2" s="1"/>
  <c r="H55" i="2" s="1"/>
  <c r="H53" i="2" s="1"/>
  <c r="H43" i="2" s="1"/>
  <c r="H180" i="2"/>
  <c r="H184" i="2" s="1"/>
  <c r="H187" i="2" s="1"/>
  <c r="H4" i="3"/>
  <c r="H10" i="3" s="1"/>
  <c r="I72" i="2"/>
  <c r="I4" i="3" s="1"/>
  <c r="I10" i="3" s="1"/>
  <c r="CF566" i="2"/>
  <c r="CF384" i="2"/>
  <c r="X287" i="2"/>
  <c r="Y305" i="2"/>
  <c r="DU466" i="2"/>
  <c r="DV466" i="2"/>
  <c r="BV383" i="4"/>
  <c r="BS386" i="4"/>
  <c r="BS213" i="4"/>
  <c r="BS305" i="4"/>
  <c r="DF13" i="2"/>
  <c r="DQ27" i="3"/>
  <c r="DY196" i="2"/>
  <c r="DK64" i="2"/>
  <c r="DJ65" i="2"/>
  <c r="DH189" i="2"/>
  <c r="Y31" i="9" s="1"/>
  <c r="DG190" i="2"/>
  <c r="CS268" i="2"/>
  <c r="CQ266" i="2"/>
  <c r="DT241" i="2"/>
  <c r="DS242" i="2"/>
  <c r="DS207" i="3" s="1"/>
  <c r="BT533" i="2"/>
  <c r="BT541" i="2" s="1"/>
  <c r="BT540" i="2"/>
  <c r="BU46" i="4"/>
  <c r="BW57" i="4"/>
  <c r="BT57" i="4"/>
  <c r="AF214" i="2"/>
  <c r="AG205" i="2"/>
  <c r="CN34" i="2"/>
  <c r="CN620" i="2" s="1"/>
  <c r="CO40" i="2"/>
  <c r="AN214" i="2"/>
  <c r="AM205" i="2"/>
  <c r="BZ252" i="2"/>
  <c r="CA263" i="2"/>
  <c r="BZ263" i="2" s="1"/>
  <c r="CG93" i="2"/>
  <c r="CF93" i="2" s="1"/>
  <c r="CF95" i="2"/>
  <c r="AJ10" i="2"/>
  <c r="AM155" i="2"/>
  <c r="AJ174" i="2"/>
  <c r="AL174" i="2"/>
  <c r="AJ163" i="2"/>
  <c r="J60" i="2"/>
  <c r="O287" i="2"/>
  <c r="P305" i="2"/>
  <c r="BA214" i="2"/>
  <c r="BB205" i="2"/>
  <c r="CE155" i="2"/>
  <c r="CE10" i="2"/>
  <c r="CE115" i="2"/>
  <c r="CD462" i="2"/>
  <c r="CC64" i="2"/>
  <c r="CC462" i="2" s="1"/>
  <c r="CD62" i="2"/>
  <c r="CD179" i="2" s="1"/>
  <c r="BE180" i="3"/>
  <c r="BE176" i="3"/>
  <c r="BK196" i="2"/>
  <c r="BL205" i="2"/>
  <c r="CC189" i="2"/>
  <c r="CD220" i="2"/>
  <c r="CD180" i="3"/>
  <c r="CD205" i="2"/>
  <c r="AL340" i="2"/>
  <c r="AL339" i="2"/>
  <c r="DF629" i="2"/>
  <c r="Y213" i="2"/>
  <c r="X214" i="2"/>
  <c r="BO69" i="4"/>
  <c r="BK170" i="4"/>
  <c r="BO629" i="2"/>
  <c r="BN244" i="2"/>
  <c r="BN629" i="2" s="1"/>
  <c r="BO836" i="4"/>
  <c r="BM836" i="4" s="1"/>
  <c r="BN836" i="4" s="1"/>
  <c r="BL854" i="4"/>
  <c r="BJ854" i="4" s="1"/>
  <c r="BK854" i="4" s="1"/>
  <c r="CD643" i="4"/>
  <c r="BV69" i="3"/>
  <c r="BS70" i="2"/>
  <c r="DW9" i="2"/>
  <c r="N10" i="9" s="1"/>
  <c r="DW372" i="2"/>
  <c r="DW347" i="2"/>
  <c r="DW2" i="4"/>
  <c r="DW228" i="2"/>
  <c r="DW453" i="2"/>
  <c r="DW568" i="2"/>
  <c r="DW177" i="2"/>
  <c r="DW29" i="2"/>
  <c r="DW148" i="2"/>
  <c r="DW2" i="3"/>
  <c r="DW309" i="3" s="1"/>
  <c r="DW326" i="2"/>
  <c r="DQ462" i="2"/>
  <c r="DP64" i="2"/>
  <c r="DP462" i="2" s="1"/>
  <c r="DH26" i="3"/>
  <c r="BO366" i="4"/>
  <c r="BO364" i="4" s="1"/>
  <c r="BQ364" i="4" s="1"/>
  <c r="BN389" i="4"/>
  <c r="BN351" i="4"/>
  <c r="CV10" i="2"/>
  <c r="CU84" i="2"/>
  <c r="CW174" i="2" s="1"/>
  <c r="CV115" i="2"/>
  <c r="E38" i="9" s="1"/>
  <c r="CV155" i="2"/>
  <c r="CY155" i="2"/>
  <c r="DL294" i="2"/>
  <c r="DJ294" i="2"/>
  <c r="CW10" i="2"/>
  <c r="CW155" i="2"/>
  <c r="CW115" i="2"/>
  <c r="CX115" i="2" s="1"/>
  <c r="CX13" i="2" s="1"/>
  <c r="DT108" i="3"/>
  <c r="DT107" i="3" s="1"/>
  <c r="DS230" i="2"/>
  <c r="DS108" i="3"/>
  <c r="CY13" i="2"/>
  <c r="CI356" i="4"/>
  <c r="CF359" i="4"/>
  <c r="CS10" i="2"/>
  <c r="CR84" i="2"/>
  <c r="CS115" i="2"/>
  <c r="D38" i="9" s="1"/>
  <c r="CS155" i="2"/>
  <c r="CS149" i="2"/>
  <c r="DJ178" i="3"/>
  <c r="DK178" i="3" s="1"/>
  <c r="DI190" i="2"/>
  <c r="DI189" i="2" s="1"/>
  <c r="DA84" i="2"/>
  <c r="DN300" i="2"/>
  <c r="DL297" i="2"/>
  <c r="CO266" i="2"/>
  <c r="CP185" i="2"/>
  <c r="CP614" i="2"/>
  <c r="CN362" i="2"/>
  <c r="CP362" i="2" s="1"/>
  <c r="CM361" i="2"/>
  <c r="BZ529" i="2"/>
  <c r="BZ522" i="2"/>
  <c r="BZ530" i="2" s="1"/>
  <c r="AI139" i="2"/>
  <c r="AI13" i="2"/>
  <c r="AJ115" i="2"/>
  <c r="AJ13" i="2" s="1"/>
  <c r="AF53" i="2"/>
  <c r="AF43" i="2" s="1"/>
  <c r="DC205" i="2"/>
  <c r="DC220" i="2"/>
  <c r="DD189" i="2"/>
  <c r="CT95" i="4"/>
  <c r="CT498" i="4" s="1"/>
  <c r="CT259" i="4"/>
  <c r="CT167" i="4"/>
  <c r="CT419" i="4"/>
  <c r="CT350" i="4"/>
  <c r="CT74" i="4"/>
  <c r="CT41" i="4"/>
  <c r="CT14" i="4"/>
  <c r="CT117" i="4"/>
  <c r="CT507" i="4"/>
  <c r="CD155" i="2"/>
  <c r="CD115" i="2"/>
  <c r="CD10" i="2"/>
  <c r="CC84" i="2"/>
  <c r="CE174" i="2" s="1"/>
  <c r="O68" i="2"/>
  <c r="BG462" i="2"/>
  <c r="BG464" i="2" s="1"/>
  <c r="BG62" i="2"/>
  <c r="BG27" i="3" s="1"/>
  <c r="CI39" i="2"/>
  <c r="CJ34" i="2"/>
  <c r="CN62" i="2"/>
  <c r="CN27" i="3" s="1"/>
  <c r="CN462" i="2"/>
  <c r="CC350" i="4"/>
  <c r="CC117" i="4"/>
  <c r="CC259" i="4"/>
  <c r="CC419" i="4"/>
  <c r="CC41" i="4"/>
  <c r="CC507" i="4"/>
  <c r="CC95" i="4"/>
  <c r="CC498" i="4" s="1"/>
  <c r="CC74" i="4"/>
  <c r="CC14" i="4"/>
  <c r="CC167" i="4"/>
  <c r="CF64" i="2"/>
  <c r="CF462" i="2" s="1"/>
  <c r="CI193" i="2"/>
  <c r="CJ205" i="2"/>
  <c r="CN205" i="2"/>
  <c r="CN214" i="2" s="1"/>
  <c r="CN213" i="2" s="1"/>
  <c r="CP10" i="2"/>
  <c r="CP155" i="2"/>
  <c r="CO84" i="2"/>
  <c r="CP115" i="2"/>
  <c r="CE148" i="3"/>
  <c r="AZ331" i="2"/>
  <c r="AZ154" i="2"/>
  <c r="AZ161" i="2"/>
  <c r="AZ68" i="2"/>
  <c r="AZ178" i="2"/>
  <c r="AY178" i="2" s="1"/>
  <c r="AZ73" i="2"/>
  <c r="AY72" i="2"/>
  <c r="BB154" i="2" s="1"/>
  <c r="AZ4" i="3"/>
  <c r="AZ10" i="3" s="1"/>
  <c r="BC154" i="2"/>
  <c r="AX176" i="2"/>
  <c r="AZ345" i="2"/>
  <c r="L42" i="2"/>
  <c r="BH193" i="2"/>
  <c r="BI205" i="2"/>
  <c r="BE84" i="2"/>
  <c r="BI155" i="2"/>
  <c r="BF155" i="2"/>
  <c r="BF90" i="2"/>
  <c r="BF115" i="2"/>
  <c r="BF10" i="2"/>
  <c r="BF163" i="2"/>
  <c r="BZ193" i="2"/>
  <c r="CA205" i="2"/>
  <c r="BS220" i="2"/>
  <c r="BS205" i="2"/>
  <c r="BS214" i="2" s="1"/>
  <c r="BT189" i="2"/>
  <c r="BX13" i="2"/>
  <c r="BJ344" i="2"/>
  <c r="BJ162" i="2"/>
  <c r="BJ5" i="3"/>
  <c r="BJ11" i="3" s="1"/>
  <c r="AR72" i="2"/>
  <c r="AR619" i="2"/>
  <c r="AS74" i="2"/>
  <c r="AS619" i="2" s="1"/>
  <c r="BD176" i="2"/>
  <c r="BD331" i="2"/>
  <c r="BD161" i="2"/>
  <c r="BD4" i="3"/>
  <c r="BD10" i="3" s="1"/>
  <c r="BD154" i="2"/>
  <c r="BD345" i="2"/>
  <c r="BD68" i="2"/>
  <c r="BG153" i="2" s="1"/>
  <c r="BD178" i="2"/>
  <c r="BD73" i="2"/>
  <c r="BD172" i="2"/>
  <c r="BT196" i="2"/>
  <c r="BU205" i="2"/>
  <c r="CT629" i="2"/>
  <c r="AP85" i="2"/>
  <c r="AO90" i="2"/>
  <c r="AA34" i="2"/>
  <c r="Z42" i="2"/>
  <c r="CL40" i="2"/>
  <c r="CP27" i="3"/>
  <c r="CH366" i="2"/>
  <c r="CH224" i="3" s="1"/>
  <c r="CH222" i="3"/>
  <c r="CH365" i="2"/>
  <c r="BK10" i="2"/>
  <c r="BM174" i="2"/>
  <c r="BK163" i="2"/>
  <c r="BK174" i="2"/>
  <c r="EL9" i="2"/>
  <c r="EL29" i="2"/>
  <c r="EL2" i="4"/>
  <c r="EL90" i="4" s="1"/>
  <c r="EL347" i="2"/>
  <c r="EL568" i="2"/>
  <c r="EL177" i="2"/>
  <c r="EL2" i="3"/>
  <c r="EL309" i="3" s="1"/>
  <c r="EL372" i="2"/>
  <c r="EL228" i="2"/>
  <c r="EL148" i="2"/>
  <c r="EL326" i="2"/>
  <c r="EB95" i="4"/>
  <c r="EB498" i="4" s="1"/>
  <c r="EB14" i="4"/>
  <c r="EB167" i="4"/>
  <c r="EB419" i="4"/>
  <c r="EB259" i="4"/>
  <c r="EB74" i="4"/>
  <c r="EB117" i="4"/>
  <c r="EB350" i="4"/>
  <c r="EB41" i="4"/>
  <c r="EB507" i="4"/>
  <c r="BB117" i="4"/>
  <c r="BB350" i="4"/>
  <c r="BB507" i="4"/>
  <c r="BB259" i="4"/>
  <c r="BB95" i="4"/>
  <c r="BB419" i="4"/>
  <c r="BB167" i="4"/>
  <c r="BC202" i="3"/>
  <c r="BQ507" i="4"/>
  <c r="BQ41" i="4"/>
  <c r="BQ95" i="4"/>
  <c r="BQ74" i="4"/>
  <c r="BQ419" i="4"/>
  <c r="BQ350" i="4"/>
  <c r="BQ167" i="4"/>
  <c r="BQ14" i="4"/>
  <c r="BQ117" i="4"/>
  <c r="BQ259" i="4"/>
  <c r="EM350" i="4"/>
  <c r="EM117" i="4"/>
  <c r="EM74" i="4"/>
  <c r="EM507" i="4"/>
  <c r="EM14" i="4"/>
  <c r="EM41" i="4"/>
  <c r="EM419" i="4"/>
  <c r="EM259" i="4"/>
  <c r="EM95" i="4"/>
  <c r="EM498" i="4" s="1"/>
  <c r="EM167" i="4"/>
  <c r="Z187" i="2"/>
  <c r="AA187" i="2" s="1"/>
  <c r="AA184" i="2"/>
  <c r="AT305" i="2"/>
  <c r="AS305" i="2" s="1"/>
  <c r="BG854" i="4"/>
  <c r="BH854" i="4" s="1"/>
  <c r="CE267" i="4"/>
  <c r="CC270" i="4"/>
  <c r="DU64" i="2"/>
  <c r="DV64" i="2" s="1"/>
  <c r="DH62" i="2"/>
  <c r="DH462" i="2"/>
  <c r="DG64" i="2"/>
  <c r="DG462" i="2" s="1"/>
  <c r="BE170" i="4"/>
  <c r="BE169" i="4"/>
  <c r="BW231" i="4"/>
  <c r="BW229" i="4"/>
  <c r="BX229" i="4" s="1"/>
  <c r="Z5" i="3"/>
  <c r="Z11" i="3" s="1"/>
  <c r="Z202" i="3"/>
  <c r="BZ277" i="4"/>
  <c r="CC277" i="4" s="1"/>
  <c r="CF277" i="4" s="1"/>
  <c r="CI277" i="4" s="1"/>
  <c r="CL277" i="4" s="1"/>
  <c r="CO277" i="4" s="1"/>
  <c r="DY247" i="4"/>
  <c r="DZ466" i="2"/>
  <c r="DY466" i="2"/>
  <c r="CC360" i="4"/>
  <c r="AM244" i="2"/>
  <c r="BI244" i="2"/>
  <c r="BH241" i="2"/>
  <c r="BH208" i="3" s="1"/>
  <c r="BH206" i="3" s="1"/>
  <c r="BI208" i="3"/>
  <c r="BI206" i="3" s="1"/>
  <c r="AP174" i="2"/>
  <c r="AP163" i="2"/>
  <c r="AP155" i="2"/>
  <c r="AR174" i="2"/>
  <c r="AP10" i="2"/>
  <c r="BG160" i="2"/>
  <c r="BG69" i="2"/>
  <c r="CH34" i="2"/>
  <c r="CH620" i="2" s="1"/>
  <c r="EK74" i="4"/>
  <c r="EK419" i="4"/>
  <c r="EK14" i="4"/>
  <c r="EK259" i="4"/>
  <c r="EK167" i="4"/>
  <c r="EK507" i="4"/>
  <c r="EK117" i="4"/>
  <c r="EK350" i="4"/>
  <c r="EK41" i="4"/>
  <c r="EK95" i="4"/>
  <c r="EK498" i="4" s="1"/>
  <c r="AL5" i="3"/>
  <c r="AL11" i="3" s="1"/>
  <c r="AL344" i="2"/>
  <c r="AL162" i="2"/>
  <c r="AR214" i="2"/>
  <c r="AS205" i="2"/>
  <c r="I42" i="2"/>
  <c r="CA322" i="2"/>
  <c r="BZ322" i="2" s="1"/>
  <c r="CA625" i="2"/>
  <c r="CA627" i="2" s="1"/>
  <c r="BZ320" i="2"/>
  <c r="AP287" i="2"/>
  <c r="AQ305" i="2"/>
  <c r="BX834" i="4"/>
  <c r="BN625" i="2"/>
  <c r="BN627" i="2" s="1"/>
  <c r="BO5" i="3"/>
  <c r="BO11" i="3" s="1"/>
  <c r="EG299" i="2"/>
  <c r="EI299" i="2" s="1"/>
  <c r="EE299" i="2"/>
  <c r="S399" i="2"/>
  <c r="R399" i="2" s="1"/>
  <c r="Q399" i="2" s="1"/>
  <c r="BI691" i="4"/>
  <c r="AP415" i="2"/>
  <c r="BU69" i="3"/>
  <c r="BR70" i="2"/>
  <c r="BQ69" i="3"/>
  <c r="BS364" i="4"/>
  <c r="BV364" i="4" s="1"/>
  <c r="BY364" i="4" s="1"/>
  <c r="CB364" i="4" s="1"/>
  <c r="CE364" i="4" s="1"/>
  <c r="CH364" i="4" s="1"/>
  <c r="CK364" i="4" s="1"/>
  <c r="CN364" i="4" s="1"/>
  <c r="CQ364" i="4" s="1"/>
  <c r="BP365" i="4"/>
  <c r="DR62" i="2"/>
  <c r="DR27" i="3" s="1"/>
  <c r="DR462" i="2"/>
  <c r="DU2" i="4"/>
  <c r="DU90" i="4" s="1"/>
  <c r="DU177" i="2"/>
  <c r="DU568" i="2"/>
  <c r="DU228" i="2"/>
  <c r="DU347" i="2"/>
  <c r="DU9" i="2"/>
  <c r="DU453" i="2"/>
  <c r="DU372" i="2"/>
  <c r="DU148" i="2"/>
  <c r="DU2" i="3"/>
  <c r="DU309" i="3" s="1"/>
  <c r="DU29" i="2"/>
  <c r="DU326" i="2"/>
  <c r="DJ193" i="2"/>
  <c r="DS196" i="2"/>
  <c r="DS246" i="2"/>
  <c r="DS209" i="3" s="1"/>
  <c r="DU73" i="3"/>
  <c r="DV75" i="3" s="1"/>
  <c r="DQ61" i="4"/>
  <c r="BS398" i="4"/>
  <c r="BU397" i="4"/>
  <c r="BU398" i="4" s="1"/>
  <c r="CO39" i="2"/>
  <c r="S4" i="3"/>
  <c r="S10" i="3" s="1"/>
  <c r="R72" i="2"/>
  <c r="R4" i="3" s="1"/>
  <c r="R10" i="3" s="1"/>
  <c r="S180" i="2"/>
  <c r="S68" i="2"/>
  <c r="CM462" i="2"/>
  <c r="CM62" i="2"/>
  <c r="CL64" i="2"/>
  <c r="CL462" i="2" s="1"/>
  <c r="CA34" i="2"/>
  <c r="BV419" i="4"/>
  <c r="BV14" i="4"/>
  <c r="BV507" i="4"/>
  <c r="BV350" i="4"/>
  <c r="BV95" i="4"/>
  <c r="BV498" i="4" s="1"/>
  <c r="BV41" i="4"/>
  <c r="BV167" i="4"/>
  <c r="BV74" i="4"/>
  <c r="BV259" i="4"/>
  <c r="BV117" i="4"/>
  <c r="BJ507" i="4"/>
  <c r="BJ74" i="4"/>
  <c r="BJ419" i="4"/>
  <c r="BJ14" i="4"/>
  <c r="BJ259" i="4"/>
  <c r="BJ167" i="4"/>
  <c r="BJ95" i="4"/>
  <c r="BJ117" i="4"/>
  <c r="BJ350" i="4"/>
  <c r="BJ41" i="4"/>
  <c r="J27" i="3"/>
  <c r="J28" i="3" s="1"/>
  <c r="I62" i="2"/>
  <c r="I27" i="3" s="1"/>
  <c r="I28" i="3" s="1"/>
  <c r="CA208" i="3"/>
  <c r="CA206" i="3" s="1"/>
  <c r="BZ241" i="2"/>
  <c r="BZ208" i="3" s="1"/>
  <c r="BZ206" i="3" s="1"/>
  <c r="CA244" i="2"/>
  <c r="CW62" i="2"/>
  <c r="CW27" i="3" s="1"/>
  <c r="CW462" i="2"/>
  <c r="EE244" i="3"/>
  <c r="EE13" i="3"/>
  <c r="EE20" i="3" s="1"/>
  <c r="CX35" i="3"/>
  <c r="CW35" i="3"/>
  <c r="AY244" i="2"/>
  <c r="AD205" i="2"/>
  <c r="AE214" i="2"/>
  <c r="CE62" i="2"/>
  <c r="AU34" i="2"/>
  <c r="AG34" i="2"/>
  <c r="BB252" i="2"/>
  <c r="BC263" i="2"/>
  <c r="CB629" i="2"/>
  <c r="BH479" i="2"/>
  <c r="BH480" i="2" s="1"/>
  <c r="V27" i="3"/>
  <c r="V28" i="3" s="1"/>
  <c r="U62" i="2"/>
  <c r="U27" i="3" s="1"/>
  <c r="U28" i="3" s="1"/>
  <c r="BU620" i="2"/>
  <c r="R34" i="2"/>
  <c r="S42" i="2"/>
  <c r="BA27" i="3"/>
  <c r="BA28" i="3" s="1"/>
  <c r="BA179" i="2"/>
  <c r="BB179" i="2" s="1"/>
  <c r="BA60" i="2"/>
  <c r="BA456" i="2"/>
  <c r="BB62" i="2"/>
  <c r="AM85" i="2"/>
  <c r="DC362" i="2"/>
  <c r="DB361" i="2"/>
  <c r="BD174" i="2"/>
  <c r="BG170" i="4"/>
  <c r="BU322" i="2"/>
  <c r="BT322" i="2" s="1"/>
  <c r="BU625" i="2"/>
  <c r="BU627" i="2" s="1"/>
  <c r="BT320" i="2"/>
  <c r="AG287" i="2"/>
  <c r="AH305" i="2"/>
  <c r="AG305" i="2" s="1"/>
  <c r="F287" i="2"/>
  <c r="G305" i="2"/>
  <c r="F305" i="2" s="1"/>
  <c r="BT174" i="2"/>
  <c r="BT10" i="2"/>
  <c r="BV174" i="2"/>
  <c r="CA115" i="2"/>
  <c r="BZ84" i="2"/>
  <c r="CA155" i="2"/>
  <c r="CA10" i="2"/>
  <c r="BZ110" i="3"/>
  <c r="BZ17" i="3" s="1"/>
  <c r="BZ107" i="3"/>
  <c r="BJ69" i="2"/>
  <c r="BJ160" i="2"/>
  <c r="BJ153" i="2"/>
  <c r="BJ578" i="4"/>
  <c r="BK578" i="4" s="1"/>
  <c r="BO578" i="4"/>
  <c r="AE263" i="2"/>
  <c r="AD252" i="2"/>
  <c r="AA205" i="2"/>
  <c r="AB214" i="2"/>
  <c r="R115" i="2"/>
  <c r="S139" i="2"/>
  <c r="R139" i="2" s="1"/>
  <c r="U180" i="3"/>
  <c r="BP110" i="3"/>
  <c r="BP17" i="3" s="1"/>
  <c r="BP107" i="3"/>
  <c r="BY462" i="2"/>
  <c r="BY62" i="2"/>
  <c r="BZ64" i="2"/>
  <c r="BZ462" i="2" s="1"/>
  <c r="L244" i="2"/>
  <c r="X68" i="2"/>
  <c r="BS299" i="4"/>
  <c r="BS300" i="4"/>
  <c r="BL34" i="2"/>
  <c r="AG42" i="2"/>
  <c r="BK619" i="2"/>
  <c r="BG262" i="4"/>
  <c r="CN48" i="4"/>
  <c r="CN32" i="4"/>
  <c r="BO855" i="4"/>
  <c r="BM855" i="4" s="1"/>
  <c r="BN855" i="4" s="1"/>
  <c r="CM34" i="2"/>
  <c r="AZ305" i="2"/>
  <c r="AY305" i="2" s="1"/>
  <c r="F139" i="2"/>
  <c r="F143" i="2" s="1"/>
  <c r="F146" i="2" s="1"/>
  <c r="G143" i="2"/>
  <c r="G146" i="2" s="1"/>
  <c r="BM60" i="4"/>
  <c r="BJ60" i="4"/>
  <c r="BJ70" i="4"/>
  <c r="BJ51" i="4"/>
  <c r="BJ6" i="4" s="1"/>
  <c r="BI180" i="3"/>
  <c r="BH57" i="2"/>
  <c r="BI26" i="3"/>
  <c r="AS155" i="2"/>
  <c r="CR167" i="4"/>
  <c r="CR419" i="4"/>
  <c r="CR41" i="4"/>
  <c r="CR507" i="4"/>
  <c r="CR95" i="4"/>
  <c r="CR498" i="4" s="1"/>
  <c r="CR350" i="4"/>
  <c r="CR259" i="4"/>
  <c r="CR74" i="4"/>
  <c r="CR117" i="4"/>
  <c r="CR14" i="4"/>
  <c r="CJ13" i="3"/>
  <c r="CJ20" i="3" s="1"/>
  <c r="CJ244" i="3"/>
  <c r="AX760" i="4"/>
  <c r="BA749" i="4"/>
  <c r="BM7" i="4"/>
  <c r="BB692" i="4"/>
  <c r="AZ842" i="4"/>
  <c r="BC824" i="4"/>
  <c r="CF34" i="2"/>
  <c r="BR645" i="4"/>
  <c r="CD355" i="4"/>
  <c r="CZ2" i="3"/>
  <c r="CZ347" i="2"/>
  <c r="CZ228" i="2"/>
  <c r="CZ2" i="4"/>
  <c r="CZ326" i="2"/>
  <c r="CZ453" i="2"/>
  <c r="CZ177" i="2"/>
  <c r="CZ372" i="2"/>
  <c r="CZ148" i="2"/>
  <c r="CZ9" i="2"/>
  <c r="CZ493" i="2"/>
  <c r="CZ29" i="2"/>
  <c r="CZ568" i="2"/>
  <c r="DR256" i="2"/>
  <c r="DQ255" i="2"/>
  <c r="DP256" i="2"/>
  <c r="CU562" i="4"/>
  <c r="CU563" i="4" s="1"/>
  <c r="CV550" i="4"/>
  <c r="CY270" i="2"/>
  <c r="CC396" i="2"/>
  <c r="CC385" i="2"/>
  <c r="BL462" i="2"/>
  <c r="BL464" i="2" s="1"/>
  <c r="BL86" i="2"/>
  <c r="BL62" i="2"/>
  <c r="BK64" i="2"/>
  <c r="BK462" i="2" s="1"/>
  <c r="BK464" i="2" s="1"/>
  <c r="AC5" i="3"/>
  <c r="AC11" i="3" s="1"/>
  <c r="AD90" i="2"/>
  <c r="AD5" i="3" s="1"/>
  <c r="AD11" i="3" s="1"/>
  <c r="BG180" i="3"/>
  <c r="BG26" i="3"/>
  <c r="CW633" i="2"/>
  <c r="BL320" i="2"/>
  <c r="BL345" i="2" s="1"/>
  <c r="BK312" i="2"/>
  <c r="CF193" i="2"/>
  <c r="CG205" i="2"/>
  <c r="BB4" i="3"/>
  <c r="BB10" i="3" s="1"/>
  <c r="BB161" i="2"/>
  <c r="BB331" i="2"/>
  <c r="BB176" i="2"/>
  <c r="BB73" i="2"/>
  <c r="BB172" i="2"/>
  <c r="BQ193" i="2"/>
  <c r="BR205" i="2"/>
  <c r="BR155" i="2"/>
  <c r="BQ84" i="2"/>
  <c r="BR10" i="2"/>
  <c r="BR115" i="2"/>
  <c r="CJ95" i="4"/>
  <c r="CJ498" i="4" s="1"/>
  <c r="CJ167" i="4"/>
  <c r="CJ41" i="4"/>
  <c r="CJ117" i="4"/>
  <c r="CJ259" i="4"/>
  <c r="CJ74" i="4"/>
  <c r="CJ14" i="4"/>
  <c r="CJ507" i="4"/>
  <c r="CJ419" i="4"/>
  <c r="CJ350" i="4"/>
  <c r="CA41" i="4"/>
  <c r="CA95" i="4"/>
  <c r="CA498" i="4" s="1"/>
  <c r="CA74" i="4"/>
  <c r="CA117" i="4"/>
  <c r="CA14" i="4"/>
  <c r="CA350" i="4"/>
  <c r="CA259" i="4"/>
  <c r="CA167" i="4"/>
  <c r="CA507" i="4"/>
  <c r="CA419" i="4"/>
  <c r="BB309" i="3"/>
  <c r="BB13" i="3"/>
  <c r="BB20" i="3"/>
  <c r="BB244" i="3"/>
  <c r="J397" i="2"/>
  <c r="J398" i="2" s="1"/>
  <c r="I409" i="2"/>
  <c r="I397" i="2" s="1"/>
  <c r="I398" i="2" s="1"/>
  <c r="EM13" i="3"/>
  <c r="EM20" i="3" s="1"/>
  <c r="EM244" i="3"/>
  <c r="BK644" i="4"/>
  <c r="DV545" i="4"/>
  <c r="DW545" i="4" s="1"/>
  <c r="DX545" i="4"/>
  <c r="DW78" i="4"/>
  <c r="DW79" i="4" s="1"/>
  <c r="DV79" i="4"/>
  <c r="CT365" i="4"/>
  <c r="CW186" i="4"/>
  <c r="CT278" i="4"/>
  <c r="DN90" i="2"/>
  <c r="DN115" i="2"/>
  <c r="K38" i="9" s="1"/>
  <c r="DN10" i="2"/>
  <c r="DN155" i="2"/>
  <c r="DT62" i="2"/>
  <c r="DT462" i="2"/>
  <c r="DS64" i="2"/>
  <c r="DS462" i="2" s="1"/>
  <c r="CU254" i="2"/>
  <c r="DL252" i="2"/>
  <c r="DL637" i="2"/>
  <c r="CX550" i="4"/>
  <c r="CX562" i="4" s="1"/>
  <c r="CX563" i="4" s="1"/>
  <c r="DA548" i="4"/>
  <c r="DA550" i="4" s="1"/>
  <c r="DA562" i="4" s="1"/>
  <c r="DI13" i="2"/>
  <c r="DI14" i="2" s="1"/>
  <c r="CV462" i="2"/>
  <c r="CU64" i="2"/>
  <c r="CU462" i="2" s="1"/>
  <c r="CT416" i="2"/>
  <c r="DF274" i="2"/>
  <c r="DH274" i="2" s="1"/>
  <c r="Y58" i="9" s="1"/>
  <c r="DD274" i="2"/>
  <c r="CR189" i="2"/>
  <c r="CS220" i="2"/>
  <c r="CS205" i="2"/>
  <c r="BG176" i="2"/>
  <c r="BM62" i="2"/>
  <c r="BM462" i="2"/>
  <c r="BM464" i="2" s="1"/>
  <c r="BN64" i="2"/>
  <c r="BN462" i="2" s="1"/>
  <c r="BN464" i="2" s="1"/>
  <c r="EF9" i="2"/>
  <c r="EF347" i="2"/>
  <c r="EF568" i="2"/>
  <c r="EF372" i="2"/>
  <c r="EF2" i="3"/>
  <c r="EF309" i="3" s="1"/>
  <c r="EF228" i="2"/>
  <c r="EF148" i="2"/>
  <c r="EF2" i="4"/>
  <c r="EF90" i="4" s="1"/>
  <c r="EF177" i="2"/>
  <c r="EF29" i="2"/>
  <c r="EF326" i="2"/>
  <c r="BJ244" i="3"/>
  <c r="BJ13" i="3"/>
  <c r="BJ20" i="3"/>
  <c r="BJ309" i="3"/>
  <c r="AT139" i="2"/>
  <c r="AS115" i="2"/>
  <c r="AS13" i="2" s="1"/>
  <c r="AT13" i="2"/>
  <c r="AG244" i="2"/>
  <c r="BU13" i="2"/>
  <c r="BT115" i="2"/>
  <c r="BT13" i="2" s="1"/>
  <c r="BU139" i="2"/>
  <c r="CO463" i="2"/>
  <c r="CO81" i="2"/>
  <c r="CO618" i="2"/>
  <c r="CE633" i="2"/>
  <c r="BN199" i="2"/>
  <c r="BG85" i="2"/>
  <c r="BH86" i="2"/>
  <c r="AV205" i="2"/>
  <c r="AW214" i="2"/>
  <c r="BE151" i="3"/>
  <c r="BE81" i="2"/>
  <c r="BE147" i="3" s="1"/>
  <c r="BL73" i="2"/>
  <c r="BL68" i="2"/>
  <c r="BL178" i="2"/>
  <c r="BK178" i="2" s="1"/>
  <c r="BK72" i="2"/>
  <c r="BL161" i="2"/>
  <c r="BL4" i="3"/>
  <c r="BL10" i="3" s="1"/>
  <c r="BL154" i="2"/>
  <c r="BJ176" i="2"/>
  <c r="BL331" i="2"/>
  <c r="AV244" i="2"/>
  <c r="BI328" i="2"/>
  <c r="CZ220" i="2"/>
  <c r="DA189" i="2"/>
  <c r="CZ205" i="2"/>
  <c r="AA90" i="2"/>
  <c r="AA5" i="3" s="1"/>
  <c r="AA11" i="3" s="1"/>
  <c r="AB5" i="3"/>
  <c r="AB11" i="3" s="1"/>
  <c r="X42" i="2"/>
  <c r="AC60" i="2"/>
  <c r="AD68" i="2"/>
  <c r="AM339" i="2"/>
  <c r="AM340" i="2"/>
  <c r="AS244" i="2"/>
  <c r="BA515" i="2"/>
  <c r="BB514" i="2"/>
  <c r="S224" i="2"/>
  <c r="S226" i="2" s="1"/>
  <c r="O226" i="2"/>
  <c r="Q224" i="2"/>
  <c r="Q226" i="2" s="1"/>
  <c r="R224" i="2" s="1"/>
  <c r="EB244" i="3"/>
  <c r="EB13" i="3"/>
  <c r="EB20" i="3" s="1"/>
  <c r="CR13" i="3"/>
  <c r="CR20" i="3" s="1"/>
  <c r="CR244" i="3"/>
  <c r="M416" i="2"/>
  <c r="K410" i="2"/>
  <c r="K411" i="2"/>
  <c r="K409" i="2"/>
  <c r="K397" i="2" s="1"/>
  <c r="K398" i="2" s="1"/>
  <c r="AZ757" i="4"/>
  <c r="AZ765" i="4" s="1"/>
  <c r="BI649" i="4"/>
  <c r="BS324" i="4"/>
  <c r="DU562" i="4"/>
  <c r="CR365" i="4"/>
  <c r="CR278" i="4"/>
  <c r="CD266" i="4"/>
  <c r="BP175" i="4"/>
  <c r="BR176" i="4"/>
  <c r="BS362" i="4"/>
  <c r="BQ362" i="4"/>
  <c r="BP387" i="4"/>
  <c r="BP366" i="4"/>
  <c r="DY254" i="4"/>
  <c r="DQ115" i="2"/>
  <c r="DQ10" i="2"/>
  <c r="DQ155" i="2"/>
  <c r="DH90" i="2"/>
  <c r="DH115" i="2"/>
  <c r="DH10" i="2"/>
  <c r="DG84" i="2"/>
  <c r="DH155" i="2"/>
  <c r="CP374" i="2"/>
  <c r="CP385" i="2" s="1"/>
  <c r="CP154" i="3" s="1"/>
  <c r="CM566" i="2"/>
  <c r="CM384" i="2"/>
  <c r="CM154" i="3"/>
  <c r="DO84" i="2"/>
  <c r="DP84" i="2" s="1"/>
  <c r="DL568" i="2"/>
  <c r="DL372" i="2"/>
  <c r="DL2" i="4"/>
  <c r="DL90" i="4" s="1"/>
  <c r="DL326" i="2"/>
  <c r="DL148" i="2"/>
  <c r="DL177" i="2"/>
  <c r="DL493" i="2"/>
  <c r="DL453" i="2"/>
  <c r="DL9" i="2"/>
  <c r="DL2" i="3"/>
  <c r="DL309" i="3" s="1"/>
  <c r="DL228" i="2"/>
  <c r="DL29" i="2"/>
  <c r="DL347" i="2"/>
  <c r="CQ205" i="2"/>
  <c r="CQ214" i="2" s="1"/>
  <c r="CQ213" i="2" s="1"/>
  <c r="CX84" i="2"/>
  <c r="CZ174" i="2" s="1"/>
  <c r="CW562" i="4"/>
  <c r="CW563" i="4" s="1"/>
  <c r="DK90" i="2"/>
  <c r="DK115" i="2"/>
  <c r="J38" i="9" s="1"/>
  <c r="DJ84" i="2"/>
  <c r="DK10" i="2"/>
  <c r="DK155" i="2"/>
  <c r="CS50" i="4"/>
  <c r="CR61" i="4"/>
  <c r="CU61" i="4"/>
  <c r="DS298" i="2"/>
  <c r="DS239" i="3" s="1"/>
  <c r="R252" i="2"/>
  <c r="S263" i="2"/>
  <c r="AX590" i="4"/>
  <c r="AX584" i="4" s="1"/>
  <c r="AY568" i="4"/>
  <c r="AX570" i="4"/>
  <c r="DN550" i="4"/>
  <c r="DM562" i="4"/>
  <c r="N5" i="3"/>
  <c r="N11" i="3" s="1"/>
  <c r="O90" i="2"/>
  <c r="O5" i="3" s="1"/>
  <c r="O11" i="3" s="1"/>
  <c r="AJ119" i="3"/>
  <c r="AJ166" i="2"/>
  <c r="L287" i="2"/>
  <c r="M305" i="2"/>
  <c r="L305" i="2" s="1"/>
  <c r="CD620" i="2"/>
  <c r="CC34" i="2"/>
  <c r="CC620" i="2" s="1"/>
  <c r="AB60" i="2"/>
  <c r="CF241" i="2"/>
  <c r="CG244" i="2"/>
  <c r="AG166" i="3"/>
  <c r="AG338" i="2"/>
  <c r="CR40" i="2"/>
  <c r="AJ263" i="2"/>
  <c r="AK264" i="2"/>
  <c r="BO13" i="2"/>
  <c r="BO139" i="2"/>
  <c r="CD26" i="3"/>
  <c r="CG117" i="4"/>
  <c r="CG74" i="4"/>
  <c r="CG419" i="4"/>
  <c r="CG350" i="4"/>
  <c r="CG507" i="4"/>
  <c r="CG167" i="4"/>
  <c r="CG259" i="4"/>
  <c r="CG41" i="4"/>
  <c r="CG95" i="4"/>
  <c r="CG498" i="4" s="1"/>
  <c r="CG14" i="4"/>
  <c r="J184" i="2"/>
  <c r="BD205" i="2"/>
  <c r="BD214" i="2" s="1"/>
  <c r="BD213" i="2" s="1"/>
  <c r="AO214" i="2"/>
  <c r="AP205" i="2"/>
  <c r="BH17" i="3"/>
  <c r="BH107" i="3"/>
  <c r="BI462" i="2"/>
  <c r="BI464" i="2" s="1"/>
  <c r="BI62" i="2"/>
  <c r="BI456" i="2" s="1"/>
  <c r="BH64" i="2"/>
  <c r="BH462" i="2" s="1"/>
  <c r="BH464" i="2" s="1"/>
  <c r="AV339" i="2"/>
  <c r="AV340" i="2"/>
  <c r="BR300" i="2"/>
  <c r="CE35" i="3"/>
  <c r="CF35" i="3"/>
  <c r="O205" i="2"/>
  <c r="P214" i="2"/>
  <c r="K184" i="2"/>
  <c r="BQ109" i="3"/>
  <c r="BQ505" i="2"/>
  <c r="CN155" i="2"/>
  <c r="CN115" i="2"/>
  <c r="CN10" i="2"/>
  <c r="CN11" i="2" s="1"/>
  <c r="CQ155" i="2"/>
  <c r="BF68" i="2"/>
  <c r="BF178" i="2"/>
  <c r="BF161" i="2"/>
  <c r="BF4" i="3"/>
  <c r="BF10" i="3" s="1"/>
  <c r="BF331" i="2"/>
  <c r="BF154" i="2"/>
  <c r="BF345" i="2"/>
  <c r="BF73" i="2"/>
  <c r="BE72" i="2"/>
  <c r="BE479" i="2"/>
  <c r="BE480" i="2" s="1"/>
  <c r="X184" i="2"/>
  <c r="Y187" i="2"/>
  <c r="X187" i="2" s="1"/>
  <c r="BS834" i="4"/>
  <c r="BT834" i="4" s="1"/>
  <c r="AV85" i="2"/>
  <c r="AW90" i="2"/>
  <c r="AR42" i="2"/>
  <c r="AR620" i="2"/>
  <c r="AC184" i="2"/>
  <c r="AD180" i="2"/>
  <c r="BO360" i="4"/>
  <c r="BR360" i="4"/>
  <c r="CO64" i="2"/>
  <c r="CO462" i="2" s="1"/>
  <c r="AR93" i="3"/>
  <c r="AX895" i="4"/>
  <c r="BE26" i="3"/>
  <c r="CA13" i="3"/>
  <c r="CA20" i="3" s="1"/>
  <c r="CA244" i="3"/>
  <c r="AP244" i="3"/>
  <c r="AP13" i="3"/>
  <c r="AP20" i="3"/>
  <c r="AP309" i="3"/>
  <c r="S213" i="2"/>
  <c r="R214" i="2"/>
  <c r="DE213" i="2"/>
  <c r="EI568" i="2"/>
  <c r="EI372" i="2"/>
  <c r="EI2" i="3"/>
  <c r="EI309" i="3" s="1"/>
  <c r="EI228" i="2"/>
  <c r="EI177" i="2"/>
  <c r="EI29" i="2"/>
  <c r="EI2" i="4"/>
  <c r="EI90" i="4" s="1"/>
  <c r="EI326" i="2"/>
  <c r="EI347" i="2"/>
  <c r="EI9" i="2"/>
  <c r="EI148" i="2"/>
  <c r="DY291" i="2"/>
  <c r="EA291" i="2"/>
  <c r="EC291" i="2" s="1"/>
  <c r="AT344" i="2"/>
  <c r="AT5" i="3"/>
  <c r="AT11" i="3" s="1"/>
  <c r="AT156" i="2"/>
  <c r="AT162" i="2"/>
  <c r="AS90" i="2"/>
  <c r="AT202" i="3"/>
  <c r="BJ650" i="4"/>
  <c r="EP117" i="4" l="1"/>
  <c r="DZ87" i="4"/>
  <c r="DY88" i="4"/>
  <c r="DY84" i="4"/>
  <c r="CL185" i="2"/>
  <c r="AR307" i="2"/>
  <c r="AR324" i="2" s="1"/>
  <c r="EP95" i="4"/>
  <c r="EP498" i="4" s="1"/>
  <c r="EP13" i="3"/>
  <c r="EP20" i="3" s="1"/>
  <c r="BL167" i="3"/>
  <c r="Y55" i="2"/>
  <c r="X55" i="2" s="1"/>
  <c r="X53" i="2" s="1"/>
  <c r="CH107" i="3"/>
  <c r="CH109" i="3" s="1"/>
  <c r="CH110" i="3" s="1"/>
  <c r="CH17" i="3" s="1"/>
  <c r="CF109" i="3"/>
  <c r="CF110" i="3" s="1"/>
  <c r="CF17" i="3" s="1"/>
  <c r="DM84" i="2"/>
  <c r="AI162" i="2"/>
  <c r="DJ137" i="3"/>
  <c r="DJ143" i="3" s="1"/>
  <c r="DJ144" i="3"/>
  <c r="DP137" i="3"/>
  <c r="DP143" i="3" s="1"/>
  <c r="DP144" i="3"/>
  <c r="EC550" i="4"/>
  <c r="DF199" i="3"/>
  <c r="EC244" i="3"/>
  <c r="EP14" i="4"/>
  <c r="EP74" i="4"/>
  <c r="EP350" i="4"/>
  <c r="EP259" i="4"/>
  <c r="EP419" i="4"/>
  <c r="BH322" i="2"/>
  <c r="BH327" i="2" s="1"/>
  <c r="BB497" i="2"/>
  <c r="DS41" i="4"/>
  <c r="BD156" i="2"/>
  <c r="EP167" i="4"/>
  <c r="EP41" i="4"/>
  <c r="EP507" i="4"/>
  <c r="BB504" i="2"/>
  <c r="EP244" i="3"/>
  <c r="BJ148" i="3"/>
  <c r="BM334" i="2"/>
  <c r="BM168" i="2"/>
  <c r="Y264" i="2"/>
  <c r="X264" i="2" s="1"/>
  <c r="Q66" i="9"/>
  <c r="BT185" i="2"/>
  <c r="DW86" i="2"/>
  <c r="DW85" i="2" s="1"/>
  <c r="FA86" i="2"/>
  <c r="AX475" i="2"/>
  <c r="EZ364" i="4"/>
  <c r="DI122" i="4"/>
  <c r="BW185" i="2"/>
  <c r="DV562" i="4"/>
  <c r="EK176" i="3"/>
  <c r="EL176" i="3" s="1"/>
  <c r="EN176" i="3" s="1"/>
  <c r="EO176" i="3" s="1"/>
  <c r="EP176" i="3" s="1"/>
  <c r="EQ176" i="3" s="1"/>
  <c r="ER176" i="3" s="1"/>
  <c r="ES176" i="3" s="1"/>
  <c r="ET176" i="3" s="1"/>
  <c r="EU176" i="3" s="1"/>
  <c r="EV176" i="3" s="1"/>
  <c r="EW176" i="3" s="1"/>
  <c r="EX176" i="3" s="1"/>
  <c r="EY176" i="3" s="1"/>
  <c r="EZ176" i="3" s="1"/>
  <c r="FA176" i="3" s="1"/>
  <c r="DW131" i="3"/>
  <c r="DW90" i="4"/>
  <c r="DW409" i="2"/>
  <c r="DV409" i="2" s="1"/>
  <c r="BM273" i="4"/>
  <c r="DV133" i="3"/>
  <c r="DU182" i="2"/>
  <c r="DV182" i="2" s="1"/>
  <c r="DV78" i="2"/>
  <c r="DV247" i="2"/>
  <c r="DV244" i="2"/>
  <c r="DM244" i="2"/>
  <c r="DM629" i="2" s="1"/>
  <c r="DW33" i="3"/>
  <c r="DW35" i="3" s="1"/>
  <c r="BO272" i="4"/>
  <c r="BR273" i="4" s="1"/>
  <c r="AI202" i="3"/>
  <c r="AL156" i="2"/>
  <c r="X48" i="9"/>
  <c r="X47" i="9" s="1"/>
  <c r="EH14" i="4"/>
  <c r="CV167" i="4"/>
  <c r="BM335" i="2"/>
  <c r="BM150" i="2"/>
  <c r="BM31" i="2"/>
  <c r="AP339" i="2"/>
  <c r="BM163" i="2"/>
  <c r="BM179" i="3"/>
  <c r="BM339" i="2"/>
  <c r="BM33" i="2"/>
  <c r="BM42" i="2" s="1"/>
  <c r="BM475" i="2" s="1"/>
  <c r="BM340" i="2"/>
  <c r="BD202" i="3"/>
  <c r="AW617" i="2"/>
  <c r="AW622" i="2" s="1"/>
  <c r="BO630" i="2"/>
  <c r="BO631" i="2" s="1"/>
  <c r="BM336" i="2"/>
  <c r="BM165" i="2"/>
  <c r="BM333" i="2"/>
  <c r="BM342" i="2"/>
  <c r="DL344" i="2"/>
  <c r="CM224" i="2"/>
  <c r="CM226" i="2" s="1"/>
  <c r="CL226" i="2" s="1"/>
  <c r="EC13" i="3"/>
  <c r="EC20" i="3" s="1"/>
  <c r="BN185" i="2"/>
  <c r="BQ185" i="2"/>
  <c r="AL307" i="2"/>
  <c r="AL324" i="2" s="1"/>
  <c r="BM11" i="4"/>
  <c r="CV350" i="4"/>
  <c r="AO307" i="2"/>
  <c r="AO324" i="2" s="1"/>
  <c r="DA244" i="2"/>
  <c r="DA629" i="2" s="1"/>
  <c r="CV74" i="4"/>
  <c r="CV41" i="4"/>
  <c r="DD244" i="2"/>
  <c r="DD629" i="2" s="1"/>
  <c r="DN264" i="2"/>
  <c r="DN629" i="2"/>
  <c r="BD139" i="2"/>
  <c r="CV259" i="4"/>
  <c r="CV507" i="4"/>
  <c r="BR184" i="4"/>
  <c r="BI853" i="4"/>
  <c r="BL853" i="4" s="1"/>
  <c r="BW324" i="4"/>
  <c r="BZ154" i="3"/>
  <c r="BB500" i="2"/>
  <c r="BV48" i="3"/>
  <c r="BV59" i="2" s="1"/>
  <c r="DH304" i="2"/>
  <c r="DG304" i="2" s="1"/>
  <c r="AY883" i="4"/>
  <c r="AZ883" i="4" s="1"/>
  <c r="BN220" i="4"/>
  <c r="BN222" i="4" s="1"/>
  <c r="X28" i="3"/>
  <c r="CS34" i="2"/>
  <c r="CS620" i="2" s="1"/>
  <c r="EH350" i="4"/>
  <c r="DS117" i="4"/>
  <c r="DS74" i="4"/>
  <c r="DS507" i="4"/>
  <c r="DS350" i="4"/>
  <c r="DS259" i="4"/>
  <c r="BK342" i="2"/>
  <c r="DY296" i="2"/>
  <c r="DK361" i="2"/>
  <c r="DS95" i="4"/>
  <c r="DS498" i="4" s="1"/>
  <c r="DS419" i="4"/>
  <c r="DS90" i="4"/>
  <c r="AC307" i="2"/>
  <c r="AC324" i="2" s="1"/>
  <c r="BK167" i="3"/>
  <c r="DN362" i="2"/>
  <c r="BJ631" i="2"/>
  <c r="DS167" i="4"/>
  <c r="DR362" i="2"/>
  <c r="DL35" i="3"/>
  <c r="BP287" i="2"/>
  <c r="BP630" i="2" s="1"/>
  <c r="BP631" i="2" s="1"/>
  <c r="CC185" i="2"/>
  <c r="DD35" i="2"/>
  <c r="AN264" i="2"/>
  <c r="AN307" i="2" s="1"/>
  <c r="DD10" i="2"/>
  <c r="DR222" i="3"/>
  <c r="DR348" i="2" s="1"/>
  <c r="BM180" i="3"/>
  <c r="BB345" i="2"/>
  <c r="BF285" i="2"/>
  <c r="BE285" i="2" s="1"/>
  <c r="BN218" i="4"/>
  <c r="BO218" i="4" s="1"/>
  <c r="BJ167" i="3"/>
  <c r="DS244" i="3"/>
  <c r="DC35" i="3"/>
  <c r="BN57" i="2"/>
  <c r="BN26" i="3" s="1"/>
  <c r="BZ566" i="2"/>
  <c r="BD344" i="2"/>
  <c r="AW55" i="2"/>
  <c r="AW53" i="2" s="1"/>
  <c r="AW43" i="2" s="1"/>
  <c r="BO263" i="2"/>
  <c r="BN263" i="2" s="1"/>
  <c r="BJ455" i="2"/>
  <c r="DK264" i="2"/>
  <c r="BM179" i="2"/>
  <c r="DD174" i="2"/>
  <c r="AZ264" i="2"/>
  <c r="AY264" i="2" s="1"/>
  <c r="AY343" i="2" s="1"/>
  <c r="BD620" i="2"/>
  <c r="BD621" i="2" s="1"/>
  <c r="CV117" i="4"/>
  <c r="CV14" i="4"/>
  <c r="DY95" i="4"/>
  <c r="DY498" i="4" s="1"/>
  <c r="BZ185" i="2"/>
  <c r="BB339" i="2"/>
  <c r="CL20" i="2"/>
  <c r="AW61" i="2"/>
  <c r="BM513" i="2"/>
  <c r="P55" i="2"/>
  <c r="O55" i="2" s="1"/>
  <c r="O53" i="2" s="1"/>
  <c r="DN361" i="2"/>
  <c r="CX35" i="2"/>
  <c r="AH264" i="2"/>
  <c r="AH307" i="2" s="1"/>
  <c r="AI5" i="3"/>
  <c r="AI11" i="3" s="1"/>
  <c r="BB499" i="2"/>
  <c r="BM327" i="2"/>
  <c r="BK149" i="3"/>
  <c r="BK455" i="2" s="1"/>
  <c r="AW152" i="2"/>
  <c r="DS13" i="3"/>
  <c r="DS20" i="3" s="1"/>
  <c r="BM304" i="2"/>
  <c r="BM305" i="2" s="1"/>
  <c r="EH167" i="4"/>
  <c r="BF529" i="2"/>
  <c r="DB633" i="2"/>
  <c r="CV244" i="3"/>
  <c r="BN630" i="2"/>
  <c r="BN631" i="2" s="1"/>
  <c r="BU749" i="4"/>
  <c r="CK209" i="3"/>
  <c r="CM209" i="3" s="1"/>
  <c r="CL209" i="3" s="1"/>
  <c r="BK640" i="2"/>
  <c r="F202" i="3"/>
  <c r="AR328" i="2"/>
  <c r="DP244" i="2"/>
  <c r="DP629" i="2" s="1"/>
  <c r="BW205" i="2"/>
  <c r="L28" i="3"/>
  <c r="W307" i="2"/>
  <c r="W324" i="2" s="1"/>
  <c r="T54" i="9"/>
  <c r="DD413" i="2"/>
  <c r="DD522" i="2" s="1"/>
  <c r="DD530" i="2" s="1"/>
  <c r="AB14" i="9"/>
  <c r="BO327" i="2"/>
  <c r="AJ328" i="2"/>
  <c r="CI185" i="2"/>
  <c r="BK263" i="2"/>
  <c r="CI614" i="2"/>
  <c r="BK186" i="2"/>
  <c r="W49" i="9"/>
  <c r="BP64" i="3"/>
  <c r="BP66" i="3" s="1"/>
  <c r="CL168" i="3"/>
  <c r="BK185" i="2"/>
  <c r="DK362" i="2"/>
  <c r="DJ629" i="2"/>
  <c r="BU629" i="2"/>
  <c r="CF614" i="2"/>
  <c r="CI384" i="2"/>
  <c r="BS59" i="2"/>
  <c r="BS57" i="2" s="1"/>
  <c r="BS180" i="3" s="1"/>
  <c r="BM120" i="3"/>
  <c r="BM127" i="3" s="1"/>
  <c r="BM18" i="3" s="1"/>
  <c r="DD155" i="2"/>
  <c r="EH259" i="4"/>
  <c r="DN620" i="2"/>
  <c r="BC327" i="2"/>
  <c r="BJ305" i="2"/>
  <c r="BK614" i="2"/>
  <c r="EH507" i="4"/>
  <c r="DL115" i="2"/>
  <c r="X15" i="9" s="1"/>
  <c r="H307" i="2"/>
  <c r="H324" i="2" s="1"/>
  <c r="BB327" i="2"/>
  <c r="BC328" i="2"/>
  <c r="AQ328" i="2"/>
  <c r="AQ327" i="2"/>
  <c r="AP322" i="2"/>
  <c r="AF307" i="2"/>
  <c r="AF324" i="2" s="1"/>
  <c r="BO186" i="2"/>
  <c r="EQ41" i="4"/>
  <c r="CK224" i="2"/>
  <c r="CK226" i="2" s="1"/>
  <c r="CL224" i="2" s="1"/>
  <c r="BM640" i="2"/>
  <c r="BM329" i="2"/>
  <c r="BM330" i="2" s="1"/>
  <c r="DR13" i="2"/>
  <c r="DR14" i="2" s="1"/>
  <c r="AM139" i="2"/>
  <c r="Q307" i="2"/>
  <c r="Q324" i="2" s="1"/>
  <c r="BO362" i="2"/>
  <c r="BN297" i="2"/>
  <c r="BN91" i="3" s="1"/>
  <c r="BN93" i="3" s="1"/>
  <c r="DT13" i="3"/>
  <c r="DT20" i="3" s="1"/>
  <c r="AU307" i="2"/>
  <c r="AU324" i="2" s="1"/>
  <c r="BD28" i="3"/>
  <c r="DO13" i="3"/>
  <c r="DO20" i="3" s="1"/>
  <c r="AX307" i="2"/>
  <c r="AX324" i="2" s="1"/>
  <c r="BD173" i="2"/>
  <c r="CV629" i="2"/>
  <c r="EN13" i="3"/>
  <c r="EN20" i="3" s="1"/>
  <c r="BM161" i="2"/>
  <c r="BC69" i="2"/>
  <c r="DM293" i="2"/>
  <c r="BC153" i="2"/>
  <c r="DJ217" i="3"/>
  <c r="DJ215" i="3" s="1"/>
  <c r="AM41" i="2"/>
  <c r="DR344" i="2"/>
  <c r="EN41" i="4"/>
  <c r="BM154" i="2"/>
  <c r="EN244" i="3"/>
  <c r="BM178" i="2"/>
  <c r="DY272" i="2"/>
  <c r="F60" i="2"/>
  <c r="EQ419" i="4"/>
  <c r="BM621" i="2"/>
  <c r="DL155" i="2"/>
  <c r="CU244" i="2"/>
  <c r="CU629" i="2" s="1"/>
  <c r="BM337" i="2"/>
  <c r="DL620" i="2"/>
  <c r="ER244" i="3"/>
  <c r="DH362" i="2"/>
  <c r="DK35" i="3"/>
  <c r="DO244" i="3"/>
  <c r="BE34" i="2"/>
  <c r="BE620" i="2" s="1"/>
  <c r="BG72" i="4"/>
  <c r="CS93" i="3"/>
  <c r="DY117" i="4"/>
  <c r="DY41" i="4"/>
  <c r="DY350" i="4"/>
  <c r="BM4" i="3"/>
  <c r="BM10" i="3" s="1"/>
  <c r="CI115" i="2"/>
  <c r="CI13" i="2" s="1"/>
  <c r="AK61" i="2"/>
  <c r="BF42" i="2"/>
  <c r="BE42" i="2" s="1"/>
  <c r="AN620" i="2"/>
  <c r="AN621" i="2" s="1"/>
  <c r="BA307" i="2"/>
  <c r="BA324" i="2" s="1"/>
  <c r="DF413" i="2"/>
  <c r="DF529" i="2" s="1"/>
  <c r="CU95" i="4"/>
  <c r="CU498" i="4" s="1"/>
  <c r="AT264" i="2"/>
  <c r="AU343" i="2" s="1"/>
  <c r="AK213" i="2"/>
  <c r="AJ213" i="2" s="1"/>
  <c r="AJ202" i="3" s="1"/>
  <c r="BN34" i="2"/>
  <c r="BN620" i="2" s="1"/>
  <c r="AK159" i="2"/>
  <c r="AM34" i="2"/>
  <c r="BX179" i="2"/>
  <c r="DY74" i="4"/>
  <c r="DY507" i="4"/>
  <c r="DY14" i="4"/>
  <c r="BM73" i="2"/>
  <c r="AI307" i="2"/>
  <c r="AI324" i="2" s="1"/>
  <c r="DE522" i="2"/>
  <c r="DE530" i="2" s="1"/>
  <c r="BP297" i="2"/>
  <c r="BP91" i="3" s="1"/>
  <c r="AN24" i="3"/>
  <c r="AM24" i="3" s="1"/>
  <c r="DE362" i="2"/>
  <c r="DY167" i="4"/>
  <c r="DY259" i="4"/>
  <c r="DY419" i="4"/>
  <c r="BM331" i="2"/>
  <c r="DD627" i="2"/>
  <c r="E55" i="2"/>
  <c r="F55" i="2" s="1"/>
  <c r="K307" i="2"/>
  <c r="K324" i="2" s="1"/>
  <c r="BK91" i="3"/>
  <c r="BK93" i="3" s="1"/>
  <c r="BJ352" i="2"/>
  <c r="BJ24" i="2" s="1"/>
  <c r="BK226" i="3"/>
  <c r="AW264" i="2"/>
  <c r="AX343" i="2" s="1"/>
  <c r="AG202" i="3"/>
  <c r="AL159" i="2"/>
  <c r="EN95" i="4"/>
  <c r="EN498" i="4" s="1"/>
  <c r="EQ167" i="4"/>
  <c r="DO505" i="2"/>
  <c r="DO263" i="2"/>
  <c r="DO264" i="2" s="1"/>
  <c r="BJ42" i="2"/>
  <c r="BJ475" i="2" s="1"/>
  <c r="EQ259" i="4"/>
  <c r="BE91" i="3"/>
  <c r="BE93" i="3" s="1"/>
  <c r="CC641" i="2"/>
  <c r="BD162" i="2"/>
  <c r="DJ263" i="2"/>
  <c r="CL154" i="3"/>
  <c r="BO328" i="2"/>
  <c r="EQ309" i="3"/>
  <c r="EQ350" i="4"/>
  <c r="EQ117" i="4"/>
  <c r="CL384" i="2"/>
  <c r="EQ13" i="3"/>
  <c r="EQ20" i="3" s="1"/>
  <c r="Z54" i="9"/>
  <c r="DE627" i="2"/>
  <c r="EQ74" i="4"/>
  <c r="CU419" i="4"/>
  <c r="CU14" i="4"/>
  <c r="EQ95" i="4"/>
  <c r="EQ498" i="4" s="1"/>
  <c r="BL305" i="2"/>
  <c r="BK305" i="2" s="1"/>
  <c r="EQ90" i="4"/>
  <c r="BH186" i="2"/>
  <c r="BW174" i="2"/>
  <c r="BD179" i="2"/>
  <c r="DG244" i="3"/>
  <c r="DG13" i="3"/>
  <c r="DG20" i="3" s="1"/>
  <c r="BZ375" i="4"/>
  <c r="BW203" i="4"/>
  <c r="BW204" i="4" s="1"/>
  <c r="BW295" i="4"/>
  <c r="BW378" i="4"/>
  <c r="DH361" i="2"/>
  <c r="BS296" i="2"/>
  <c r="BU296" i="2" s="1"/>
  <c r="BQ296" i="2"/>
  <c r="DE419" i="4"/>
  <c r="DE259" i="4"/>
  <c r="DE14" i="4"/>
  <c r="DE117" i="4"/>
  <c r="DE95" i="4"/>
  <c r="DE498" i="4" s="1"/>
  <c r="DE167" i="4"/>
  <c r="DE74" i="4"/>
  <c r="DE507" i="4"/>
  <c r="DE350" i="4"/>
  <c r="DE41" i="4"/>
  <c r="BO72" i="2"/>
  <c r="BO345" i="2" s="1"/>
  <c r="BO619" i="2"/>
  <c r="BO621" i="2" s="1"/>
  <c r="BO479" i="2"/>
  <c r="BN74" i="2"/>
  <c r="BS299" i="2"/>
  <c r="BU299" i="2" s="1"/>
  <c r="BQ299" i="2"/>
  <c r="DL10" i="2"/>
  <c r="DL11" i="2" s="1"/>
  <c r="DE244" i="3"/>
  <c r="DE13" i="3"/>
  <c r="DE20" i="3" s="1"/>
  <c r="BR77" i="2"/>
  <c r="BP74" i="2"/>
  <c r="DL5" i="3"/>
  <c r="DL11" i="3" s="1"/>
  <c r="BM328" i="2"/>
  <c r="BM301" i="4"/>
  <c r="BO301" i="4" s="1"/>
  <c r="DB629" i="2"/>
  <c r="CY362" i="2"/>
  <c r="EN117" i="4"/>
  <c r="CU350" i="4"/>
  <c r="BF522" i="2"/>
  <c r="BF530" i="2" s="1"/>
  <c r="DO90" i="4"/>
  <c r="BU271" i="2"/>
  <c r="BS269" i="2"/>
  <c r="BS64" i="3" s="1"/>
  <c r="BS66" i="3" s="1"/>
  <c r="DG259" i="4"/>
  <c r="DG41" i="4"/>
  <c r="DG350" i="4"/>
  <c r="DG507" i="4"/>
  <c r="DG74" i="4"/>
  <c r="DG167" i="4"/>
  <c r="DG419" i="4"/>
  <c r="DG95" i="4"/>
  <c r="DG498" i="4" s="1"/>
  <c r="DG14" i="4"/>
  <c r="DG117" i="4"/>
  <c r="BT296" i="4"/>
  <c r="BT298" i="4"/>
  <c r="CJ208" i="3"/>
  <c r="CH206" i="3"/>
  <c r="DC13" i="3"/>
  <c r="DC20" i="3" s="1"/>
  <c r="CI10" i="2"/>
  <c r="BK120" i="3"/>
  <c r="BK119" i="3" s="1"/>
  <c r="N307" i="2"/>
  <c r="N324" i="2" s="1"/>
  <c r="CI174" i="2"/>
  <c r="BM186" i="2"/>
  <c r="DO507" i="4"/>
  <c r="DO95" i="4"/>
  <c r="DO498" i="4" s="1"/>
  <c r="EQ507" i="4"/>
  <c r="DJ290" i="2"/>
  <c r="BK166" i="2"/>
  <c r="BL330" i="2"/>
  <c r="AJ139" i="2"/>
  <c r="BA328" i="2"/>
  <c r="EH41" i="4"/>
  <c r="EH95" i="4"/>
  <c r="EH498" i="4" s="1"/>
  <c r="EH117" i="4"/>
  <c r="AN327" i="2"/>
  <c r="Z307" i="2"/>
  <c r="Z324" i="2" s="1"/>
  <c r="EH419" i="4"/>
  <c r="EH74" i="4"/>
  <c r="AN328" i="2"/>
  <c r="CM13" i="2"/>
  <c r="CM14" i="2" s="1"/>
  <c r="CP102" i="3"/>
  <c r="CO102" i="3" s="1"/>
  <c r="BM139" i="2"/>
  <c r="BN139" i="2" s="1"/>
  <c r="AZ621" i="2"/>
  <c r="BV13" i="2"/>
  <c r="BV14" i="2" s="1"/>
  <c r="BM13" i="2"/>
  <c r="BG13" i="2"/>
  <c r="DY558" i="4"/>
  <c r="DX560" i="4"/>
  <c r="BV214" i="2"/>
  <c r="BW214" i="2" s="1"/>
  <c r="CL155" i="2"/>
  <c r="BR19" i="4"/>
  <c r="BR67" i="4" s="1"/>
  <c r="BQ67" i="4"/>
  <c r="BV280" i="2"/>
  <c r="BX280" i="2" s="1"/>
  <c r="BT280" i="2"/>
  <c r="DE455" i="2"/>
  <c r="DF149" i="3"/>
  <c r="BV19" i="4"/>
  <c r="BV67" i="4" s="1"/>
  <c r="BS33" i="4"/>
  <c r="BT19" i="4"/>
  <c r="DE148" i="3"/>
  <c r="ED286" i="2"/>
  <c r="EF286" i="2" s="1"/>
  <c r="EE286" i="2" s="1"/>
  <c r="EB286" i="2"/>
  <c r="DK207" i="3"/>
  <c r="DJ206" i="3"/>
  <c r="EC321" i="2"/>
  <c r="AF65" i="9" s="1"/>
  <c r="CG226" i="4"/>
  <c r="CU259" i="4"/>
  <c r="DO419" i="4"/>
  <c r="DO74" i="4"/>
  <c r="DO350" i="4"/>
  <c r="F213" i="2"/>
  <c r="AY179" i="2"/>
  <c r="CU167" i="4"/>
  <c r="CU74" i="4"/>
  <c r="BE413" i="2"/>
  <c r="BE529" i="2" s="1"/>
  <c r="DO259" i="4"/>
  <c r="DO41" i="4"/>
  <c r="DO14" i="4"/>
  <c r="DO167" i="4"/>
  <c r="BF264" i="2"/>
  <c r="BE264" i="2" s="1"/>
  <c r="BE343" i="2" s="1"/>
  <c r="CU41" i="4"/>
  <c r="AX617" i="2"/>
  <c r="AX622" i="2" s="1"/>
  <c r="BX28" i="3"/>
  <c r="BV275" i="4"/>
  <c r="BV280" i="4" s="1"/>
  <c r="BV282" i="4" s="1"/>
  <c r="DH633" i="2"/>
  <c r="BH460" i="4"/>
  <c r="BW34" i="2"/>
  <c r="BW620" i="2" s="1"/>
  <c r="CF398" i="4"/>
  <c r="AY28" i="3"/>
  <c r="CI155" i="2"/>
  <c r="Y49" i="9"/>
  <c r="DC117" i="4"/>
  <c r="BI13" i="2"/>
  <c r="BH115" i="2"/>
  <c r="BH13" i="2" s="1"/>
  <c r="BG215" i="3"/>
  <c r="DW27" i="3"/>
  <c r="BB139" i="2"/>
  <c r="E307" i="2"/>
  <c r="E324" i="2" s="1"/>
  <c r="EN419" i="4"/>
  <c r="EN74" i="4"/>
  <c r="EN259" i="4"/>
  <c r="BR179" i="2"/>
  <c r="DT244" i="3"/>
  <c r="ER13" i="3"/>
  <c r="ER20" i="3" s="1"/>
  <c r="DC14" i="4"/>
  <c r="DC259" i="4"/>
  <c r="L202" i="3"/>
  <c r="DM34" i="2"/>
  <c r="BB68" i="2"/>
  <c r="BB160" i="2" s="1"/>
  <c r="BY174" i="2"/>
  <c r="BC160" i="2"/>
  <c r="BW155" i="2"/>
  <c r="BH339" i="2"/>
  <c r="BT62" i="2"/>
  <c r="BT27" i="3" s="1"/>
  <c r="DR5" i="3"/>
  <c r="DR11" i="3" s="1"/>
  <c r="BE244" i="2"/>
  <c r="DY13" i="3"/>
  <c r="DY20" i="3" s="1"/>
  <c r="EN167" i="4"/>
  <c r="EN507" i="4"/>
  <c r="DC419" i="4"/>
  <c r="DC41" i="4"/>
  <c r="BU272" i="4"/>
  <c r="BU273" i="4" s="1"/>
  <c r="BT34" i="2"/>
  <c r="BT620" i="2" s="1"/>
  <c r="DY244" i="3"/>
  <c r="EN14" i="4"/>
  <c r="EN350" i="4"/>
  <c r="BN68" i="4"/>
  <c r="BN3" i="4"/>
  <c r="BO3" i="4" s="1"/>
  <c r="BO271" i="4"/>
  <c r="BK273" i="4"/>
  <c r="DC167" i="4"/>
  <c r="DC507" i="4"/>
  <c r="DC350" i="4"/>
  <c r="DC74" i="4"/>
  <c r="T307" i="2"/>
  <c r="T324" i="2" s="1"/>
  <c r="U47" i="9"/>
  <c r="CU244" i="3"/>
  <c r="CU13" i="3"/>
  <c r="CU20" i="3" s="1"/>
  <c r="CD145" i="2"/>
  <c r="CC145" i="2" s="1"/>
  <c r="CE145" i="2"/>
  <c r="CU117" i="4"/>
  <c r="AL385" i="2"/>
  <c r="AM374" i="2" s="1"/>
  <c r="AM385" i="2" s="1"/>
  <c r="AL396" i="2"/>
  <c r="BI271" i="4"/>
  <c r="BE322" i="2"/>
  <c r="BF327" i="2"/>
  <c r="BF328" i="2"/>
  <c r="BU255" i="2"/>
  <c r="BV256" i="2"/>
  <c r="BT256" i="2"/>
  <c r="AN385" i="2"/>
  <c r="AN396" i="2"/>
  <c r="AS322" i="2"/>
  <c r="AT327" i="2"/>
  <c r="AT328" i="2"/>
  <c r="DD117" i="4"/>
  <c r="DD14" i="4"/>
  <c r="DD419" i="4"/>
  <c r="DD350" i="4"/>
  <c r="DD95" i="4"/>
  <c r="DD498" i="4" s="1"/>
  <c r="DD41" i="4"/>
  <c r="DD507" i="4"/>
  <c r="DD167" i="4"/>
  <c r="DD74" i="4"/>
  <c r="DD259" i="4"/>
  <c r="BF414" i="2"/>
  <c r="BD415" i="2"/>
  <c r="CS322" i="2"/>
  <c r="CR322" i="2" s="1"/>
  <c r="CS625" i="2"/>
  <c r="CS627" i="2" s="1"/>
  <c r="CR320" i="2"/>
  <c r="CR625" i="2" s="1"/>
  <c r="CR627" i="2" s="1"/>
  <c r="AY621" i="2"/>
  <c r="DE361" i="2"/>
  <c r="BR271" i="4"/>
  <c r="BB344" i="2"/>
  <c r="BB173" i="2"/>
  <c r="BB5" i="3"/>
  <c r="BB11" i="3" s="1"/>
  <c r="BB162" i="2"/>
  <c r="BH619" i="2"/>
  <c r="CR18" i="4"/>
  <c r="CR48" i="4" s="1"/>
  <c r="CR62" i="2"/>
  <c r="CR27" i="3" s="1"/>
  <c r="BD456" i="2"/>
  <c r="AY760" i="4"/>
  <c r="AY768" i="4" s="1"/>
  <c r="AY773" i="4" s="1"/>
  <c r="BB774" i="4" s="1"/>
  <c r="BR357" i="4"/>
  <c r="BV139" i="2"/>
  <c r="BV140" i="2" s="1"/>
  <c r="BP344" i="2"/>
  <c r="AV139" i="2"/>
  <c r="CY122" i="4"/>
  <c r="DU641" i="2"/>
  <c r="AY456" i="2"/>
  <c r="BU275" i="4"/>
  <c r="BX264" i="2"/>
  <c r="BW264" i="2" s="1"/>
  <c r="BP202" i="3"/>
  <c r="DY321" i="2"/>
  <c r="DY626" i="2" s="1"/>
  <c r="BS273" i="4"/>
  <c r="CF620" i="2"/>
  <c r="DD115" i="2"/>
  <c r="DD13" i="2" s="1"/>
  <c r="AL55" i="2"/>
  <c r="AL158" i="2" s="1"/>
  <c r="BL630" i="2"/>
  <c r="BL631" i="2" s="1"/>
  <c r="BK287" i="2"/>
  <c r="BK630" i="2" s="1"/>
  <c r="BK631" i="2" s="1"/>
  <c r="BQ309" i="4"/>
  <c r="BQ310" i="4" s="1"/>
  <c r="W39" i="9"/>
  <c r="CJ179" i="2"/>
  <c r="BB749" i="4"/>
  <c r="BW138" i="2"/>
  <c r="BY138" i="2"/>
  <c r="T39" i="9"/>
  <c r="BJ264" i="2"/>
  <c r="BK343" i="2" s="1"/>
  <c r="CJ18" i="4"/>
  <c r="EC41" i="4"/>
  <c r="EC117" i="4"/>
  <c r="EC350" i="4"/>
  <c r="EC90" i="4"/>
  <c r="EC419" i="4"/>
  <c r="EC507" i="4"/>
  <c r="EC14" i="4"/>
  <c r="EC259" i="4"/>
  <c r="EC74" i="4"/>
  <c r="EC95" i="4"/>
  <c r="EC498" i="4" s="1"/>
  <c r="EC167" i="4"/>
  <c r="BG456" i="2"/>
  <c r="AG55" i="2"/>
  <c r="AG53" i="2" s="1"/>
  <c r="DI244" i="3"/>
  <c r="DI13" i="3"/>
  <c r="DI20" i="3" s="1"/>
  <c r="BR292" i="2"/>
  <c r="BP290" i="2"/>
  <c r="BP166" i="2" s="1"/>
  <c r="BO20" i="4"/>
  <c r="BO70" i="4" s="1"/>
  <c r="BP310" i="4"/>
  <c r="DI350" i="4"/>
  <c r="DI419" i="4"/>
  <c r="DI117" i="4"/>
  <c r="DI259" i="4"/>
  <c r="DI74" i="4"/>
  <c r="DI95" i="4"/>
  <c r="DI498" i="4" s="1"/>
  <c r="DI507" i="4"/>
  <c r="DI41" i="4"/>
  <c r="DI14" i="4"/>
  <c r="DI90" i="4"/>
  <c r="DI167" i="4"/>
  <c r="BO513" i="2"/>
  <c r="BO329" i="2"/>
  <c r="BO304" i="2"/>
  <c r="BN290" i="2"/>
  <c r="BO120" i="3"/>
  <c r="BO119" i="3" s="1"/>
  <c r="BO166" i="2"/>
  <c r="BO640" i="2"/>
  <c r="CR244" i="2"/>
  <c r="CR629" i="2" s="1"/>
  <c r="CS629" i="2"/>
  <c r="ER259" i="4"/>
  <c r="ER507" i="4"/>
  <c r="ER167" i="4"/>
  <c r="ER41" i="4"/>
  <c r="ER95" i="4"/>
  <c r="ER498" i="4" s="1"/>
  <c r="ER117" i="4"/>
  <c r="ER90" i="4"/>
  <c r="ER74" i="4"/>
  <c r="ER350" i="4"/>
  <c r="ER419" i="4"/>
  <c r="ER14" i="4"/>
  <c r="AX625" i="4"/>
  <c r="AX667" i="4" s="1"/>
  <c r="BI749" i="4"/>
  <c r="DA463" i="2"/>
  <c r="DA81" i="2"/>
  <c r="DA618" i="2"/>
  <c r="BT273" i="4"/>
  <c r="L180" i="2"/>
  <c r="BI260" i="4"/>
  <c r="BI261" i="4" s="1"/>
  <c r="BI760" i="4"/>
  <c r="BI768" i="4" s="1"/>
  <c r="BI770" i="4" s="1"/>
  <c r="DF35" i="3"/>
  <c r="DE35" i="3"/>
  <c r="DH35" i="3"/>
  <c r="BK513" i="2"/>
  <c r="BL66" i="3"/>
  <c r="BM66" i="3"/>
  <c r="X49" i="9"/>
  <c r="DD247" i="2"/>
  <c r="DD633" i="2" s="1"/>
  <c r="DE633" i="2"/>
  <c r="BL271" i="4"/>
  <c r="AN345" i="2"/>
  <c r="AN73" i="2"/>
  <c r="AM72" i="2"/>
  <c r="AO172" i="2" s="1"/>
  <c r="AN161" i="2"/>
  <c r="AL176" i="2"/>
  <c r="AN331" i="2"/>
  <c r="AN180" i="2"/>
  <c r="AN68" i="2"/>
  <c r="AN154" i="2"/>
  <c r="AN4" i="3"/>
  <c r="AN10" i="3" s="1"/>
  <c r="BL451" i="4"/>
  <c r="BL462" i="4"/>
  <c r="BK169" i="4"/>
  <c r="DM263" i="2"/>
  <c r="BQ280" i="4"/>
  <c r="BQ282" i="4" s="1"/>
  <c r="BQ283" i="4" s="1"/>
  <c r="BL472" i="4"/>
  <c r="BR275" i="4"/>
  <c r="BR276" i="4" s="1"/>
  <c r="BL441" i="4"/>
  <c r="BB621" i="2"/>
  <c r="CK749" i="4"/>
  <c r="CU62" i="2"/>
  <c r="CU27" i="3" s="1"/>
  <c r="BN261" i="4"/>
  <c r="BO33" i="4"/>
  <c r="EV501" i="4"/>
  <c r="EY501" i="4" s="1"/>
  <c r="CA27" i="3"/>
  <c r="CA28" i="3" s="1"/>
  <c r="BM332" i="4"/>
  <c r="BM334" i="4" s="1"/>
  <c r="BM440" i="4" s="1"/>
  <c r="BR66" i="3"/>
  <c r="BO66" i="3"/>
  <c r="DL156" i="2"/>
  <c r="CU93" i="3"/>
  <c r="M264" i="2"/>
  <c r="L264" i="2" s="1"/>
  <c r="AM156" i="2"/>
  <c r="BJ761" i="4"/>
  <c r="BJ769" i="4" s="1"/>
  <c r="AQ331" i="2"/>
  <c r="AQ180" i="2"/>
  <c r="AQ184" i="2" s="1"/>
  <c r="AQ187" i="2" s="1"/>
  <c r="AQ345" i="2"/>
  <c r="AQ68" i="2"/>
  <c r="AQ154" i="2"/>
  <c r="AT154" i="2"/>
  <c r="AQ73" i="2"/>
  <c r="AQ161" i="2"/>
  <c r="BD285" i="2"/>
  <c r="BD283" i="2" s="1"/>
  <c r="BD287" i="2" s="1"/>
  <c r="BD305" i="2" s="1"/>
  <c r="BD307" i="2" s="1"/>
  <c r="BD324" i="2" s="1"/>
  <c r="BD215" i="3"/>
  <c r="DK620" i="2"/>
  <c r="BO53" i="4"/>
  <c r="AA55" i="9"/>
  <c r="AA54" i="9" s="1"/>
  <c r="BG307" i="2"/>
  <c r="BG324" i="2" s="1"/>
  <c r="DQ35" i="3"/>
  <c r="DR35" i="3"/>
  <c r="DI344" i="2"/>
  <c r="BN205" i="2"/>
  <c r="BN214" i="2"/>
  <c r="BG261" i="4"/>
  <c r="DI5" i="3"/>
  <c r="DI11" i="3" s="1"/>
  <c r="BM413" i="4"/>
  <c r="BM463" i="4" s="1"/>
  <c r="BQ380" i="4"/>
  <c r="CK27" i="2"/>
  <c r="BO351" i="4"/>
  <c r="BO352" i="4" s="1"/>
  <c r="AM162" i="2"/>
  <c r="BM202" i="3"/>
  <c r="DQ633" i="2"/>
  <c r="DP247" i="2"/>
  <c r="DP633" i="2" s="1"/>
  <c r="AV322" i="2"/>
  <c r="AW327" i="2"/>
  <c r="AW328" i="2"/>
  <c r="AA263" i="2"/>
  <c r="AB264" i="2"/>
  <c r="G56" i="9"/>
  <c r="J58" i="9"/>
  <c r="J56" i="9"/>
  <c r="K56" i="9"/>
  <c r="AT24" i="3"/>
  <c r="AS24" i="3" s="1"/>
  <c r="AS41" i="2"/>
  <c r="J66" i="9"/>
  <c r="K52" i="9"/>
  <c r="J54" i="9"/>
  <c r="F56" i="9"/>
  <c r="K58" i="9"/>
  <c r="K54" i="9"/>
  <c r="EH309" i="3"/>
  <c r="EH244" i="3"/>
  <c r="EH13" i="3"/>
  <c r="EH20" i="3" s="1"/>
  <c r="BN332" i="4"/>
  <c r="BN334" i="4" s="1"/>
  <c r="BN440" i="4" s="1"/>
  <c r="J52" i="9"/>
  <c r="K66" i="9"/>
  <c r="AT620" i="2"/>
  <c r="AT621" i="2" s="1"/>
  <c r="AT42" i="2"/>
  <c r="AS42" i="2" s="1"/>
  <c r="BC475" i="2"/>
  <c r="BB42" i="2"/>
  <c r="BB475" i="2" s="1"/>
  <c r="V264" i="2"/>
  <c r="U263" i="2"/>
  <c r="E56" i="9"/>
  <c r="E57" i="9" s="1"/>
  <c r="N35" i="9"/>
  <c r="H38" i="9"/>
  <c r="H35" i="9"/>
  <c r="H33" i="9"/>
  <c r="H28" i="9"/>
  <c r="H26" i="9"/>
  <c r="I38" i="9"/>
  <c r="I33" i="9"/>
  <c r="I26" i="9"/>
  <c r="I35" i="9"/>
  <c r="I28" i="9"/>
  <c r="L35" i="9"/>
  <c r="L33" i="9"/>
  <c r="L16" i="9"/>
  <c r="M35" i="9"/>
  <c r="U39" i="9"/>
  <c r="I180" i="2"/>
  <c r="BM337" i="4"/>
  <c r="BM339" i="4" s="1"/>
  <c r="EU86" i="2"/>
  <c r="EX86" i="2"/>
  <c r="BM262" i="4"/>
  <c r="BM263" i="4" s="1"/>
  <c r="DS132" i="3"/>
  <c r="DT132" i="3" s="1"/>
  <c r="AU328" i="2"/>
  <c r="AU327" i="2"/>
  <c r="X39" i="9"/>
  <c r="AP34" i="2"/>
  <c r="AP620" i="2" s="1"/>
  <c r="AP621" i="2" s="1"/>
  <c r="ET169" i="3"/>
  <c r="EU169" i="3" s="1"/>
  <c r="BY217" i="3"/>
  <c r="BX215" i="3"/>
  <c r="BM456" i="2"/>
  <c r="DB35" i="2"/>
  <c r="DB505" i="2"/>
  <c r="DA75" i="2"/>
  <c r="DA505" i="2" s="1"/>
  <c r="CO75" i="2"/>
  <c r="CO505" i="2" s="1"/>
  <c r="CP35" i="2"/>
  <c r="CP505" i="2"/>
  <c r="CO205" i="2"/>
  <c r="CT505" i="2"/>
  <c r="CU75" i="2"/>
  <c r="CU505" i="2" s="1"/>
  <c r="CT35" i="2"/>
  <c r="DD618" i="2"/>
  <c r="DD463" i="2"/>
  <c r="DD81" i="2"/>
  <c r="DD147" i="3" s="1"/>
  <c r="DE620" i="2"/>
  <c r="BD262" i="4"/>
  <c r="BG263" i="4" s="1"/>
  <c r="BD261" i="4"/>
  <c r="BP332" i="4"/>
  <c r="BP334" i="4" s="1"/>
  <c r="BP440" i="4" s="1"/>
  <c r="BI413" i="2"/>
  <c r="BG529" i="2"/>
  <c r="BG522" i="2"/>
  <c r="BG530" i="2" s="1"/>
  <c r="CT35" i="3"/>
  <c r="CU35" i="3"/>
  <c r="X22" i="9"/>
  <c r="H40" i="9"/>
  <c r="H51" i="9" s="1"/>
  <c r="H22" i="9"/>
  <c r="DB11" i="2"/>
  <c r="AG68" i="2"/>
  <c r="DP62" i="2"/>
  <c r="DP27" i="3" s="1"/>
  <c r="L40" i="9"/>
  <c r="L51" i="9" s="1"/>
  <c r="L22" i="9"/>
  <c r="AB22" i="9"/>
  <c r="AB62" i="9" s="1"/>
  <c r="EP282" i="2"/>
  <c r="EN282" i="2"/>
  <c r="ER282" i="2"/>
  <c r="DO620" i="2"/>
  <c r="DJ81" i="2"/>
  <c r="DJ463" i="2"/>
  <c r="DJ618" i="2"/>
  <c r="BN51" i="4"/>
  <c r="BN6" i="4" s="1"/>
  <c r="BO6" i="4" s="1"/>
  <c r="BG28" i="3"/>
  <c r="AO620" i="2"/>
  <c r="AO621" i="2" s="1"/>
  <c r="BG60" i="2"/>
  <c r="BG159" i="2" s="1"/>
  <c r="EC159" i="4"/>
  <c r="CF233" i="4"/>
  <c r="CX13" i="3"/>
  <c r="CX20" i="3" s="1"/>
  <c r="CX244" i="3"/>
  <c r="AQ24" i="3"/>
  <c r="AP24" i="3" s="1"/>
  <c r="AP41" i="2"/>
  <c r="DM81" i="2"/>
  <c r="DM618" i="2"/>
  <c r="DM463" i="2"/>
  <c r="AO154" i="2"/>
  <c r="AO345" i="2"/>
  <c r="AO68" i="2"/>
  <c r="AO4" i="3"/>
  <c r="AO10" i="3" s="1"/>
  <c r="AO331" i="2"/>
  <c r="AO73" i="2"/>
  <c r="AO161" i="2"/>
  <c r="AP72" i="2"/>
  <c r="AR172" i="2" s="1"/>
  <c r="AO176" i="2"/>
  <c r="AO180" i="2"/>
  <c r="CF220" i="2"/>
  <c r="CE222" i="2"/>
  <c r="DI505" i="2"/>
  <c r="DJ75" i="2"/>
  <c r="DJ505" i="2" s="1"/>
  <c r="DI35" i="2"/>
  <c r="BG179" i="2"/>
  <c r="EC50" i="4"/>
  <c r="DE122" i="4"/>
  <c r="ED159" i="4"/>
  <c r="EG159" i="4" s="1"/>
  <c r="BK26" i="3"/>
  <c r="BK180" i="3"/>
  <c r="CX95" i="4"/>
  <c r="CX498" i="4" s="1"/>
  <c r="CX41" i="4"/>
  <c r="CX167" i="4"/>
  <c r="CX419" i="4"/>
  <c r="CX350" i="4"/>
  <c r="CX74" i="4"/>
  <c r="CX259" i="4"/>
  <c r="CX117" i="4"/>
  <c r="CX14" i="4"/>
  <c r="CX507" i="4"/>
  <c r="CZ362" i="2"/>
  <c r="DB362" i="2" s="1"/>
  <c r="CY361" i="2"/>
  <c r="DH93" i="3"/>
  <c r="DK93" i="3"/>
  <c r="DI93" i="3"/>
  <c r="AQ620" i="2"/>
  <c r="AQ621" i="2" s="1"/>
  <c r="AQ42" i="2"/>
  <c r="AP42" i="2" s="1"/>
  <c r="AI42" i="2"/>
  <c r="AJ42" i="2" s="1"/>
  <c r="AJ34" i="2"/>
  <c r="AM344" i="2"/>
  <c r="BK261" i="4"/>
  <c r="DN133" i="3"/>
  <c r="DO133" i="3"/>
  <c r="AM5" i="3"/>
  <c r="AM11" i="3" s="1"/>
  <c r="AG60" i="2"/>
  <c r="BT78" i="2"/>
  <c r="BV78" i="2"/>
  <c r="BX78" i="2" s="1"/>
  <c r="E187" i="2"/>
  <c r="F187" i="2" s="1"/>
  <c r="F184" i="2"/>
  <c r="DK133" i="3"/>
  <c r="DP124" i="3"/>
  <c r="DR124" i="3" s="1"/>
  <c r="DS124" i="3" s="1"/>
  <c r="DO125" i="3"/>
  <c r="AJ41" i="2"/>
  <c r="AI24" i="3"/>
  <c r="AJ24" i="3" s="1"/>
  <c r="I22" i="9"/>
  <c r="Y22" i="9"/>
  <c r="I40" i="9"/>
  <c r="I51" i="9" s="1"/>
  <c r="DP110" i="3"/>
  <c r="DP17" i="3" s="1"/>
  <c r="DP107" i="3"/>
  <c r="K213" i="2"/>
  <c r="L214" i="2"/>
  <c r="BP139" i="2"/>
  <c r="BP13" i="2"/>
  <c r="DH505" i="2"/>
  <c r="DH35" i="2"/>
  <c r="DH34" i="2" s="1"/>
  <c r="DH620" i="2" s="1"/>
  <c r="CJ455" i="2"/>
  <c r="CK149" i="3"/>
  <c r="CJ148" i="3"/>
  <c r="BL443" i="4"/>
  <c r="BL434" i="4"/>
  <c r="AH397" i="2"/>
  <c r="AH25" i="2" s="1"/>
  <c r="AG409" i="2"/>
  <c r="AG397" i="2" s="1"/>
  <c r="AK441" i="2"/>
  <c r="AI411" i="2"/>
  <c r="AI409" i="2"/>
  <c r="AI397" i="2" s="1"/>
  <c r="AI410" i="2"/>
  <c r="AM327" i="2"/>
  <c r="AM328" i="2"/>
  <c r="AY328" i="2"/>
  <c r="AY327" i="2"/>
  <c r="BQ276" i="2"/>
  <c r="BR287" i="2"/>
  <c r="BU279" i="2"/>
  <c r="BS276" i="2"/>
  <c r="CQ264" i="2"/>
  <c r="AC22" i="9"/>
  <c r="M22" i="9"/>
  <c r="M40" i="9"/>
  <c r="M51" i="9" s="1"/>
  <c r="AD22" i="9"/>
  <c r="N40" i="9"/>
  <c r="N51" i="9" s="1"/>
  <c r="N22" i="9"/>
  <c r="ED279" i="2"/>
  <c r="EF279" i="2" s="1"/>
  <c r="EB279" i="2"/>
  <c r="EB301" i="2"/>
  <c r="ED301" i="2"/>
  <c r="EF301" i="2" s="1"/>
  <c r="DZ248" i="2"/>
  <c r="DX33" i="3"/>
  <c r="DV33" i="3"/>
  <c r="DV35" i="3" s="1"/>
  <c r="DU35" i="3"/>
  <c r="DT35" i="3"/>
  <c r="ED272" i="2"/>
  <c r="EF272" i="2" s="1"/>
  <c r="EB272" i="2"/>
  <c r="EB281" i="2"/>
  <c r="ED281" i="2"/>
  <c r="EF281" i="2" s="1"/>
  <c r="BP26" i="3"/>
  <c r="BP180" i="3"/>
  <c r="BQ57" i="2"/>
  <c r="BI620" i="2"/>
  <c r="BI621" i="2" s="1"/>
  <c r="BI42" i="2"/>
  <c r="BI475" i="2" s="1"/>
  <c r="CN174" i="2"/>
  <c r="DZ626" i="2"/>
  <c r="BN90" i="2"/>
  <c r="BN344" i="2" s="1"/>
  <c r="DE179" i="2"/>
  <c r="DE27" i="3"/>
  <c r="DE28" i="3" s="1"/>
  <c r="DD62" i="2"/>
  <c r="DD27" i="3" s="1"/>
  <c r="W25" i="9"/>
  <c r="DB179" i="2"/>
  <c r="DB27" i="3"/>
  <c r="DB28" i="3" s="1"/>
  <c r="EA321" i="2"/>
  <c r="EA626" i="2" s="1"/>
  <c r="CO62" i="2"/>
  <c r="CO27" i="3" s="1"/>
  <c r="CL10" i="2"/>
  <c r="CL11" i="2" s="1"/>
  <c r="DS262" i="2"/>
  <c r="BI344" i="2"/>
  <c r="BI162" i="2"/>
  <c r="BI5" i="3"/>
  <c r="BI11" i="3" s="1"/>
  <c r="DH179" i="2"/>
  <c r="CX205" i="2"/>
  <c r="BH34" i="2"/>
  <c r="BH620" i="2" s="1"/>
  <c r="Y39" i="9"/>
  <c r="CI62" i="2"/>
  <c r="CI27" i="3" s="1"/>
  <c r="CH27" i="3"/>
  <c r="DF109" i="3"/>
  <c r="DG107" i="3"/>
  <c r="CJ13" i="2"/>
  <c r="T56" i="9"/>
  <c r="BH163" i="2"/>
  <c r="BH10" i="2"/>
  <c r="BH174" i="2"/>
  <c r="BJ174" i="2"/>
  <c r="Z47" i="9"/>
  <c r="Z56" i="9"/>
  <c r="DS123" i="3"/>
  <c r="DT123" i="3" s="1"/>
  <c r="V47" i="9"/>
  <c r="BH5" i="4"/>
  <c r="BI5" i="4" s="1"/>
  <c r="BG760" i="4"/>
  <c r="BG768" i="4" s="1"/>
  <c r="BA817" i="4"/>
  <c r="AX631" i="4"/>
  <c r="AX679" i="4" s="1"/>
  <c r="AX721" i="4" s="1"/>
  <c r="AX924" i="4" s="1"/>
  <c r="BB811" i="4"/>
  <c r="BC811" i="4" s="1"/>
  <c r="BC817" i="4" s="1"/>
  <c r="BR376" i="4"/>
  <c r="BO379" i="4"/>
  <c r="BO380" i="4" s="1"/>
  <c r="CA271" i="4"/>
  <c r="BN315" i="4"/>
  <c r="BN328" i="4"/>
  <c r="BN431" i="4" s="1"/>
  <c r="CA357" i="4"/>
  <c r="BO282" i="4"/>
  <c r="BS283" i="4"/>
  <c r="BP283" i="4"/>
  <c r="DR375" i="4"/>
  <c r="DO203" i="4"/>
  <c r="DO204" i="4" s="1"/>
  <c r="DO295" i="4"/>
  <c r="DO296" i="4" s="1"/>
  <c r="CA152" i="4"/>
  <c r="CA494" i="4" s="1"/>
  <c r="CA497" i="4" s="1"/>
  <c r="BO300" i="4"/>
  <c r="BO302" i="4" s="1"/>
  <c r="BL760" i="4"/>
  <c r="BO312" i="4"/>
  <c r="BE759" i="4"/>
  <c r="BE767" i="4" s="1"/>
  <c r="BL758" i="4"/>
  <c r="BL766" i="4" s="1"/>
  <c r="BN70" i="4"/>
  <c r="CD749" i="4"/>
  <c r="BV299" i="4"/>
  <c r="BP261" i="4"/>
  <c r="BM402" i="4"/>
  <c r="BM433" i="4" s="1"/>
  <c r="BM434" i="4" s="1"/>
  <c r="BC823" i="4"/>
  <c r="BB823" i="4" s="1"/>
  <c r="BA823" i="4" s="1"/>
  <c r="BA841" i="4" s="1"/>
  <c r="CA749" i="4"/>
  <c r="BE758" i="4"/>
  <c r="BE766" i="4" s="1"/>
  <c r="BU271" i="4"/>
  <c r="BE760" i="4"/>
  <c r="BE762" i="4" s="1"/>
  <c r="BE769" i="4"/>
  <c r="BH470" i="4"/>
  <c r="BM579" i="4"/>
  <c r="BN579" i="4" s="1"/>
  <c r="BP273" i="4"/>
  <c r="AX61" i="2"/>
  <c r="BX271" i="4"/>
  <c r="BM409" i="4"/>
  <c r="BM452" i="4" s="1"/>
  <c r="BM352" i="4"/>
  <c r="BN344" i="4"/>
  <c r="BN342" i="4" s="1"/>
  <c r="BN461" i="4" s="1"/>
  <c r="BO260" i="4"/>
  <c r="BO261" i="4" s="1"/>
  <c r="BI181" i="4"/>
  <c r="AX55" i="2"/>
  <c r="AX158" i="2" s="1"/>
  <c r="BX267" i="4"/>
  <c r="BM405" i="4"/>
  <c r="BM442" i="4" s="1"/>
  <c r="BN422" i="4"/>
  <c r="BN423" i="4" s="1"/>
  <c r="CW185" i="4"/>
  <c r="BN246" i="4"/>
  <c r="BN248" i="4" s="1"/>
  <c r="BN448" i="4" s="1"/>
  <c r="BF771" i="4"/>
  <c r="BH261" i="4"/>
  <c r="BL464" i="4"/>
  <c r="BL474" i="4"/>
  <c r="BL445" i="4"/>
  <c r="BP262" i="4"/>
  <c r="BP422" i="4" s="1"/>
  <c r="BP451" i="4" s="1"/>
  <c r="BN337" i="4"/>
  <c r="BN339" i="4" s="1"/>
  <c r="BN450" i="4" s="1"/>
  <c r="DQ111" i="4"/>
  <c r="DR111" i="4"/>
  <c r="DU111" i="4" s="1"/>
  <c r="CN105" i="4"/>
  <c r="CN96" i="4" s="1"/>
  <c r="CN355" i="4"/>
  <c r="CN378" i="4"/>
  <c r="BR49" i="4"/>
  <c r="BR60" i="4" s="1"/>
  <c r="CA232" i="4"/>
  <c r="BH439" i="4"/>
  <c r="BI168" i="4"/>
  <c r="BH169" i="4"/>
  <c r="AX637" i="4"/>
  <c r="AX685" i="4" s="1"/>
  <c r="AX727" i="4" s="1"/>
  <c r="AX930" i="4" s="1"/>
  <c r="BI272" i="4"/>
  <c r="BI273" i="4" s="1"/>
  <c r="BG758" i="4"/>
  <c r="BG766" i="4" s="1"/>
  <c r="CP61" i="4"/>
  <c r="AX956" i="4"/>
  <c r="BD757" i="4"/>
  <c r="BD765" i="4" s="1"/>
  <c r="BW273" i="4"/>
  <c r="BJ273" i="4"/>
  <c r="EK376" i="4"/>
  <c r="EK393" i="4" s="1"/>
  <c r="BD769" i="4"/>
  <c r="BH430" i="4"/>
  <c r="BK181" i="4"/>
  <c r="BZ273" i="4"/>
  <c r="BH759" i="4"/>
  <c r="BH767" i="4" s="1"/>
  <c r="BZ386" i="4"/>
  <c r="CQ18" i="4"/>
  <c r="CQ32" i="4" s="1"/>
  <c r="DP18" i="4"/>
  <c r="DQ18" i="4" s="1"/>
  <c r="BX749" i="4"/>
  <c r="BX272" i="4"/>
  <c r="CA273" i="4" s="1"/>
  <c r="BH757" i="4"/>
  <c r="BH765" i="4" s="1"/>
  <c r="BL757" i="4"/>
  <c r="BL765" i="4" s="1"/>
  <c r="BL759" i="4"/>
  <c r="BL767" i="4" s="1"/>
  <c r="BE822" i="4"/>
  <c r="BE840" i="4" s="1"/>
  <c r="BE846" i="4" s="1"/>
  <c r="BE847" i="4" s="1"/>
  <c r="BE848" i="4" s="1"/>
  <c r="BE849" i="4" s="1"/>
  <c r="BU379" i="4"/>
  <c r="BU380" i="4" s="1"/>
  <c r="BM69" i="2"/>
  <c r="BH760" i="4"/>
  <c r="BH769" i="4"/>
  <c r="BO761" i="4"/>
  <c r="BO760" i="4" s="1"/>
  <c r="BO768" i="4" s="1"/>
  <c r="BO771" i="4" s="1"/>
  <c r="BI822" i="4"/>
  <c r="BI828" i="4" s="1"/>
  <c r="BI829" i="4" s="1"/>
  <c r="BI830" i="4" s="1"/>
  <c r="BI831" i="4" s="1"/>
  <c r="BR749" i="4"/>
  <c r="BB816" i="4"/>
  <c r="BL769" i="4"/>
  <c r="BF840" i="4"/>
  <c r="BF846" i="4" s="1"/>
  <c r="BF847" i="4" s="1"/>
  <c r="BF848" i="4" s="1"/>
  <c r="BF849" i="4" s="1"/>
  <c r="CG522" i="4"/>
  <c r="AY877" i="4"/>
  <c r="AZ877" i="4" s="1"/>
  <c r="BQ60" i="4"/>
  <c r="BD758" i="4"/>
  <c r="BD766" i="4" s="1"/>
  <c r="BN273" i="4"/>
  <c r="BL272" i="4"/>
  <c r="BD760" i="4"/>
  <c r="BO305" i="4"/>
  <c r="BO307" i="4" s="1"/>
  <c r="BF168" i="4"/>
  <c r="BF169" i="4" s="1"/>
  <c r="BG757" i="4"/>
  <c r="BG765" i="4" s="1"/>
  <c r="BB840" i="4"/>
  <c r="BB846" i="4" s="1"/>
  <c r="BB847" i="4" s="1"/>
  <c r="BB848" i="4" s="1"/>
  <c r="BB849" i="4" s="1"/>
  <c r="CC383" i="4"/>
  <c r="CC213" i="4" s="1"/>
  <c r="AY866" i="4"/>
  <c r="AZ866" i="4" s="1"/>
  <c r="BG759" i="4"/>
  <c r="BG767" i="4" s="1"/>
  <c r="CB32" i="4"/>
  <c r="EJ393" i="4"/>
  <c r="BZ213" i="4"/>
  <c r="BZ215" i="4" s="1"/>
  <c r="BH49" i="4"/>
  <c r="BH51" i="4" s="1"/>
  <c r="BH6" i="4" s="1"/>
  <c r="BI6" i="4" s="1"/>
  <c r="CC323" i="4"/>
  <c r="CD323" i="4" s="1"/>
  <c r="BZ306" i="4"/>
  <c r="BU376" i="4"/>
  <c r="BW307" i="4"/>
  <c r="BW306" i="4"/>
  <c r="DN122" i="4"/>
  <c r="BA822" i="4"/>
  <c r="BA828" i="4" s="1"/>
  <c r="BA829" i="4" s="1"/>
  <c r="CL32" i="4"/>
  <c r="BI179" i="4"/>
  <c r="DB665" i="2"/>
  <c r="CS563" i="4"/>
  <c r="DB122" i="4"/>
  <c r="AY570" i="4"/>
  <c r="CT277" i="4"/>
  <c r="AY872" i="4"/>
  <c r="AZ872" i="4" s="1"/>
  <c r="BM160" i="2"/>
  <c r="CE32" i="4"/>
  <c r="BM153" i="2"/>
  <c r="CB48" i="4"/>
  <c r="CB59" i="4" s="1"/>
  <c r="BE178" i="2"/>
  <c r="AY860" i="4"/>
  <c r="AZ860" i="4" s="1"/>
  <c r="BQ51" i="4"/>
  <c r="BQ6" i="4" s="1"/>
  <c r="BN241" i="4"/>
  <c r="BN243" i="4" s="1"/>
  <c r="BN244" i="4" s="1"/>
  <c r="BI47" i="4"/>
  <c r="BL58" i="4" s="1"/>
  <c r="BG181" i="4"/>
  <c r="DT61" i="4"/>
  <c r="BN169" i="4"/>
  <c r="BR53" i="4"/>
  <c r="BN534" i="4"/>
  <c r="BF164" i="4"/>
  <c r="CG321" i="4"/>
  <c r="AY889" i="4"/>
  <c r="DK665" i="2"/>
  <c r="DZ50" i="4"/>
  <c r="DZ61" i="4" s="1"/>
  <c r="DY61" i="4"/>
  <c r="DH292" i="4"/>
  <c r="AZ589" i="4"/>
  <c r="AZ637" i="4" s="1"/>
  <c r="CF18" i="4"/>
  <c r="CF32" i="4" s="1"/>
  <c r="CF152" i="4"/>
  <c r="CG152" i="4" s="1"/>
  <c r="CG535" i="4"/>
  <c r="BG60" i="4"/>
  <c r="BD70" i="4"/>
  <c r="BD51" i="4"/>
  <c r="BD6" i="4" s="1"/>
  <c r="BD60" i="4"/>
  <c r="BT215" i="4"/>
  <c r="BT217" i="4" s="1"/>
  <c r="BT218" i="4" s="1"/>
  <c r="BW214" i="4"/>
  <c r="BL852" i="4"/>
  <c r="BG852" i="4"/>
  <c r="BH852" i="4" s="1"/>
  <c r="BT307" i="4"/>
  <c r="BT309" i="4" s="1"/>
  <c r="BT310" i="4" s="1"/>
  <c r="BT306" i="4"/>
  <c r="DH199" i="4"/>
  <c r="DF665" i="2"/>
  <c r="DF122" i="4"/>
  <c r="DH121" i="4"/>
  <c r="BR59" i="4"/>
  <c r="BZ48" i="4"/>
  <c r="CA18" i="4"/>
  <c r="CA57" i="4"/>
  <c r="BM284" i="4"/>
  <c r="BP285" i="4" s="1"/>
  <c r="BP51" i="4"/>
  <c r="BP6" i="4" s="1"/>
  <c r="BP60" i="4"/>
  <c r="CS152" i="4"/>
  <c r="BC760" i="4"/>
  <c r="BF749" i="4"/>
  <c r="CC233" i="4"/>
  <c r="CC232" i="4"/>
  <c r="CD232" i="4" s="1"/>
  <c r="DR122" i="4"/>
  <c r="DR665" i="2"/>
  <c r="DT122" i="4"/>
  <c r="BV494" i="4"/>
  <c r="BV497" i="4" s="1"/>
  <c r="BY323" i="4"/>
  <c r="CA321" i="4"/>
  <c r="BW152" i="4"/>
  <c r="BW494" i="4" s="1"/>
  <c r="BW497" i="4" s="1"/>
  <c r="BW18" i="4"/>
  <c r="BV48" i="4"/>
  <c r="BY32" i="4"/>
  <c r="CI228" i="4"/>
  <c r="CI226" i="4"/>
  <c r="BI48" i="4"/>
  <c r="BI59" i="4" s="1"/>
  <c r="BH69" i="4"/>
  <c r="BH59" i="4"/>
  <c r="BH263" i="4"/>
  <c r="BH422" i="4"/>
  <c r="BK263" i="4"/>
  <c r="BR318" i="4"/>
  <c r="BU318" i="4"/>
  <c r="BT323" i="4"/>
  <c r="BU321" i="4"/>
  <c r="BX321" i="4"/>
  <c r="BM323" i="4"/>
  <c r="BO323" i="4" s="1"/>
  <c r="BO321" i="4"/>
  <c r="CI320" i="4"/>
  <c r="CI318" i="4"/>
  <c r="BV324" i="4"/>
  <c r="BX323" i="4"/>
  <c r="BX324" i="4" s="1"/>
  <c r="BP299" i="4"/>
  <c r="BP300" i="4"/>
  <c r="BR298" i="4"/>
  <c r="BR295" i="4" s="1"/>
  <c r="BR296" i="4" s="1"/>
  <c r="CL225" i="4"/>
  <c r="CL395" i="4"/>
  <c r="CL397" i="4" s="1"/>
  <c r="CL398" i="4" s="1"/>
  <c r="CL317" i="4"/>
  <c r="CO392" i="4"/>
  <c r="BP321" i="4"/>
  <c r="BP322" i="4"/>
  <c r="BR322" i="4" s="1"/>
  <c r="BR320" i="4"/>
  <c r="EE50" i="4"/>
  <c r="EH159" i="4"/>
  <c r="DE152" i="4"/>
  <c r="DQ665" i="2"/>
  <c r="DQ122" i="4"/>
  <c r="BA871" i="4"/>
  <c r="BU184" i="4"/>
  <c r="CH228" i="4"/>
  <c r="CH226" i="4"/>
  <c r="CJ225" i="4"/>
  <c r="CJ226" i="4" s="1"/>
  <c r="BL48" i="4"/>
  <c r="BK49" i="4"/>
  <c r="BN59" i="4"/>
  <c r="BK69" i="4"/>
  <c r="BK59" i="4"/>
  <c r="CF324" i="4"/>
  <c r="CG323" i="4"/>
  <c r="CG324" i="4" s="1"/>
  <c r="CH320" i="4"/>
  <c r="CH318" i="4"/>
  <c r="CJ317" i="4"/>
  <c r="CJ318" i="4" s="1"/>
  <c r="BK34" i="4"/>
  <c r="BN34" i="4"/>
  <c r="BK3" i="4"/>
  <c r="BL20" i="4"/>
  <c r="BK71" i="4"/>
  <c r="BK68" i="4"/>
  <c r="EH484" i="4"/>
  <c r="EJ484" i="4"/>
  <c r="BP82" i="4"/>
  <c r="BS82" i="4"/>
  <c r="BP215" i="4"/>
  <c r="BP217" i="4" s="1"/>
  <c r="BR217" i="4" s="1"/>
  <c r="BQ525" i="4"/>
  <c r="BP527" i="4"/>
  <c r="BP534" i="4" s="1"/>
  <c r="BQ534" i="4" s="1"/>
  <c r="BQ535" i="4" s="1"/>
  <c r="BR535" i="4" s="1"/>
  <c r="DI668" i="2"/>
  <c r="CH397" i="4"/>
  <c r="CJ395" i="4"/>
  <c r="CJ392" i="4" s="1"/>
  <c r="CK317" i="4"/>
  <c r="CK225" i="4"/>
  <c r="CK395" i="4"/>
  <c r="CN392" i="4"/>
  <c r="DY111" i="4"/>
  <c r="DW81" i="4"/>
  <c r="DX81" i="4" s="1"/>
  <c r="DX82" i="4" s="1"/>
  <c r="DV82" i="4"/>
  <c r="EP376" i="4"/>
  <c r="ES376" i="4" s="1"/>
  <c r="EN376" i="4"/>
  <c r="EN393" i="4" s="1"/>
  <c r="EM393" i="4"/>
  <c r="BI42" i="4"/>
  <c r="BH53" i="4"/>
  <c r="BK53" i="4"/>
  <c r="CO152" i="4"/>
  <c r="CP152" i="4" s="1"/>
  <c r="CO18" i="4"/>
  <c r="CO32" i="4" s="1"/>
  <c r="CP563" i="4"/>
  <c r="BM163" i="4"/>
  <c r="BM205" i="4"/>
  <c r="BP173" i="4"/>
  <c r="BP178" i="4" s="1"/>
  <c r="BO173" i="4"/>
  <c r="BM178" i="4"/>
  <c r="BI164" i="4"/>
  <c r="BJ168" i="4"/>
  <c r="BJ179" i="4"/>
  <c r="BL178" i="4"/>
  <c r="BL179" i="4" s="1"/>
  <c r="BJ180" i="4"/>
  <c r="BD170" i="4"/>
  <c r="BD420" i="4" s="1"/>
  <c r="BD169" i="4"/>
  <c r="BL163" i="4"/>
  <c r="BL164" i="4" s="1"/>
  <c r="BJ164" i="4"/>
  <c r="AT55" i="2"/>
  <c r="AT159" i="2"/>
  <c r="AT617" i="2"/>
  <c r="AT61" i="2"/>
  <c r="BG835" i="4"/>
  <c r="BH835" i="4" s="1"/>
  <c r="BL835" i="4"/>
  <c r="BJ835" i="4" s="1"/>
  <c r="BK835" i="4" s="1"/>
  <c r="AZ569" i="4"/>
  <c r="AY591" i="4"/>
  <c r="AY585" i="4" s="1"/>
  <c r="BM837" i="4"/>
  <c r="BN837" i="4" s="1"/>
  <c r="BR837" i="4"/>
  <c r="AZ651" i="4"/>
  <c r="BA651" i="4" s="1"/>
  <c r="AX633" i="4"/>
  <c r="AX621" i="4"/>
  <c r="AY843" i="4"/>
  <c r="AY856" i="4" s="1"/>
  <c r="AY838" i="4"/>
  <c r="AZ825" i="4"/>
  <c r="BJ837" i="4"/>
  <c r="BK837" i="4" s="1"/>
  <c r="AX627" i="4"/>
  <c r="AX669" i="4" s="1"/>
  <c r="AX639" i="4"/>
  <c r="AX687" i="4" s="1"/>
  <c r="BD835" i="4"/>
  <c r="BE835" i="4" s="1"/>
  <c r="CL354" i="4"/>
  <c r="CL747" i="4"/>
  <c r="CM747" i="4" s="1"/>
  <c r="CM105" i="4"/>
  <c r="CM106" i="4" s="1"/>
  <c r="DC48" i="4"/>
  <c r="DF32" i="4"/>
  <c r="DE18" i="4"/>
  <c r="CJ354" i="4"/>
  <c r="CI355" i="4"/>
  <c r="DY538" i="4"/>
  <c r="DX76" i="4"/>
  <c r="CW99" i="4"/>
  <c r="CT173" i="4"/>
  <c r="CT745" i="4"/>
  <c r="DG32" i="4"/>
  <c r="DD48" i="4"/>
  <c r="DD32" i="4"/>
  <c r="CK163" i="4"/>
  <c r="CK164" i="4" s="1"/>
  <c r="CK266" i="4"/>
  <c r="CK298" i="4"/>
  <c r="CK299" i="4" s="1"/>
  <c r="CQ102" i="4"/>
  <c r="CN265" i="4"/>
  <c r="CN746" i="4"/>
  <c r="CQ174" i="4"/>
  <c r="CQ205" i="4"/>
  <c r="CQ206" i="4" s="1"/>
  <c r="V385" i="2"/>
  <c r="V396" i="2"/>
  <c r="AL173" i="2"/>
  <c r="BN420" i="4"/>
  <c r="BN253" i="4"/>
  <c r="BS189" i="4"/>
  <c r="AZ13" i="2"/>
  <c r="AZ139" i="2"/>
  <c r="AY139" i="2" s="1"/>
  <c r="AY115" i="2"/>
  <c r="AY13" i="2" s="1"/>
  <c r="AY955" i="4"/>
  <c r="AZ859" i="4"/>
  <c r="M60" i="2"/>
  <c r="L68" i="2"/>
  <c r="BJ456" i="2"/>
  <c r="BJ27" i="3"/>
  <c r="BJ28" i="3" s="1"/>
  <c r="BJ179" i="2"/>
  <c r="CF97" i="4"/>
  <c r="CG96" i="4"/>
  <c r="BW275" i="4"/>
  <c r="BT280" i="4"/>
  <c r="BT282" i="4" s="1"/>
  <c r="BP174" i="2"/>
  <c r="BN174" i="2"/>
  <c r="BN10" i="2"/>
  <c r="AP139" i="2"/>
  <c r="DH629" i="2"/>
  <c r="DG244" i="2"/>
  <c r="DG629" i="2" s="1"/>
  <c r="DR419" i="4"/>
  <c r="DR14" i="4"/>
  <c r="DR350" i="4"/>
  <c r="DR167" i="4"/>
  <c r="DR117" i="4"/>
  <c r="DR259" i="4"/>
  <c r="DR95" i="4"/>
  <c r="DR498" i="4" s="1"/>
  <c r="DR507" i="4"/>
  <c r="DR41" i="4"/>
  <c r="DR74" i="4"/>
  <c r="BA773" i="4"/>
  <c r="CO263" i="2"/>
  <c r="CP264" i="2"/>
  <c r="CO264" i="2" s="1"/>
  <c r="DH95" i="4"/>
  <c r="DH498" i="4" s="1"/>
  <c r="DH259" i="4"/>
  <c r="DH74" i="4"/>
  <c r="DH419" i="4"/>
  <c r="DH350" i="4"/>
  <c r="DH117" i="4"/>
  <c r="DH167" i="4"/>
  <c r="DH507" i="4"/>
  <c r="DH41" i="4"/>
  <c r="DH14" i="4"/>
  <c r="CC494" i="4"/>
  <c r="CC497" i="4" s="1"/>
  <c r="CD152" i="4"/>
  <c r="CD494" i="4" s="1"/>
  <c r="CD497" i="4" s="1"/>
  <c r="AZ162" i="2"/>
  <c r="AZ202" i="3"/>
  <c r="AZ5" i="3"/>
  <c r="AZ11" i="3" s="1"/>
  <c r="AZ344" i="2"/>
  <c r="AY90" i="2"/>
  <c r="BC156" i="2"/>
  <c r="BM222" i="4"/>
  <c r="BM221" i="4"/>
  <c r="CV256" i="2"/>
  <c r="CT255" i="2"/>
  <c r="CT252" i="2" s="1"/>
  <c r="CT263" i="2" s="1"/>
  <c r="CT264" i="2" s="1"/>
  <c r="DR244" i="3"/>
  <c r="DR13" i="3"/>
  <c r="DR20" i="3" s="1"/>
  <c r="I214" i="2"/>
  <c r="J213" i="2"/>
  <c r="CG745" i="4"/>
  <c r="CG748" i="4" s="1"/>
  <c r="CG749" i="4" s="1"/>
  <c r="CF748" i="4"/>
  <c r="CF749" i="4" s="1"/>
  <c r="CV273" i="2"/>
  <c r="AX894" i="4"/>
  <c r="BM162" i="2"/>
  <c r="BP156" i="2"/>
  <c r="BM5" i="3"/>
  <c r="BM11" i="3" s="1"/>
  <c r="BM156" i="2"/>
  <c r="CZ27" i="3"/>
  <c r="DA62" i="2"/>
  <c r="DA27" i="3" s="1"/>
  <c r="BP456" i="2"/>
  <c r="BP179" i="2"/>
  <c r="BP27" i="3"/>
  <c r="BQ62" i="2"/>
  <c r="BQ27" i="3" s="1"/>
  <c r="CC32" i="4"/>
  <c r="CD18" i="4"/>
  <c r="CC48" i="4"/>
  <c r="AX884" i="4"/>
  <c r="AX885" i="4" s="1"/>
  <c r="AX878" i="4"/>
  <c r="AX879" i="4" s="1"/>
  <c r="AX890" i="4"/>
  <c r="AX891" i="4" s="1"/>
  <c r="DQ17" i="3"/>
  <c r="DQ75" i="2"/>
  <c r="CW91" i="3"/>
  <c r="CW93" i="3" s="1"/>
  <c r="BY183" i="4"/>
  <c r="BV188" i="4"/>
  <c r="AY163" i="2"/>
  <c r="AY155" i="2"/>
  <c r="AY10" i="2"/>
  <c r="BA174" i="2"/>
  <c r="AY174" i="2"/>
  <c r="CS252" i="2"/>
  <c r="CR255" i="2"/>
  <c r="CM18" i="4"/>
  <c r="CL48" i="4"/>
  <c r="CL59" i="4" s="1"/>
  <c r="CF163" i="4"/>
  <c r="CF266" i="4"/>
  <c r="CG265" i="4"/>
  <c r="BO179" i="2"/>
  <c r="BO456" i="2"/>
  <c r="BO27" i="3"/>
  <c r="BO28" i="3" s="1"/>
  <c r="BM580" i="4"/>
  <c r="BN580" i="4" s="1"/>
  <c r="BR580" i="4"/>
  <c r="AI68" i="2"/>
  <c r="AJ72" i="2"/>
  <c r="AI345" i="2"/>
  <c r="AI4" i="3"/>
  <c r="AI10" i="3" s="1"/>
  <c r="AI73" i="2"/>
  <c r="AL154" i="2"/>
  <c r="AI176" i="2"/>
  <c r="AI180" i="2"/>
  <c r="AI331" i="2"/>
  <c r="AI161" i="2"/>
  <c r="BO749" i="4"/>
  <c r="I68" i="2"/>
  <c r="BX61" i="4"/>
  <c r="CA61" i="4"/>
  <c r="DH244" i="3"/>
  <c r="DH13" i="3"/>
  <c r="DH20" i="3" s="1"/>
  <c r="AZ812" i="4"/>
  <c r="AZ818" i="4" s="1"/>
  <c r="AY818" i="4"/>
  <c r="CX300" i="2"/>
  <c r="CZ300" i="2"/>
  <c r="CY297" i="2"/>
  <c r="BQ189" i="4"/>
  <c r="BR188" i="4"/>
  <c r="BQ220" i="4"/>
  <c r="BF179" i="2"/>
  <c r="BF456" i="2"/>
  <c r="BF27" i="3"/>
  <c r="BF28" i="3" s="1"/>
  <c r="BE62" i="2"/>
  <c r="CO207" i="3"/>
  <c r="ED296" i="2"/>
  <c r="EF296" i="2" s="1"/>
  <c r="EB296" i="2"/>
  <c r="CL99" i="4"/>
  <c r="CJ99" i="4"/>
  <c r="CJ100" i="4" s="1"/>
  <c r="CI96" i="4"/>
  <c r="CI173" i="4"/>
  <c r="CI745" i="4"/>
  <c r="BT163" i="4"/>
  <c r="BT164" i="4" s="1"/>
  <c r="BT205" i="4"/>
  <c r="BT206" i="4" s="1"/>
  <c r="BW173" i="4"/>
  <c r="EA235" i="2"/>
  <c r="DY235" i="2"/>
  <c r="EC235" i="2"/>
  <c r="BL749" i="4"/>
  <c r="BN155" i="2"/>
  <c r="BQ218" i="4"/>
  <c r="CT214" i="2"/>
  <c r="CU205" i="2"/>
  <c r="CV93" i="3"/>
  <c r="AG180" i="2"/>
  <c r="AH184" i="2"/>
  <c r="BM629" i="2"/>
  <c r="BM631" i="2" s="1"/>
  <c r="BM264" i="2"/>
  <c r="BM343" i="2" s="1"/>
  <c r="AX819" i="4"/>
  <c r="AY813" i="4"/>
  <c r="T385" i="2"/>
  <c r="U374" i="2" s="1"/>
  <c r="T396" i="2"/>
  <c r="BK769" i="4"/>
  <c r="BK757" i="4"/>
  <c r="BK765" i="4" s="1"/>
  <c r="BK759" i="4"/>
  <c r="BK767" i="4" s="1"/>
  <c r="BK760" i="4"/>
  <c r="BK758" i="4"/>
  <c r="BK766" i="4" s="1"/>
  <c r="BH287" i="2"/>
  <c r="BI305" i="2"/>
  <c r="BH305" i="2" s="1"/>
  <c r="BW183" i="4"/>
  <c r="BX183" i="4" s="1"/>
  <c r="BX184" i="4" s="1"/>
  <c r="BT188" i="4"/>
  <c r="BU188" i="4" s="1"/>
  <c r="DG81" i="2"/>
  <c r="DG618" i="2"/>
  <c r="DG463" i="2"/>
  <c r="CL102" i="4"/>
  <c r="CI265" i="4"/>
  <c r="CI746" i="4"/>
  <c r="CJ746" i="4" s="1"/>
  <c r="CJ102" i="4"/>
  <c r="CJ103" i="4" s="1"/>
  <c r="AX213" i="2"/>
  <c r="AY214" i="2"/>
  <c r="AX620" i="4"/>
  <c r="AX632" i="4"/>
  <c r="AX586" i="4"/>
  <c r="CN13" i="2"/>
  <c r="CN14" i="2" s="1"/>
  <c r="CG629" i="2"/>
  <c r="CF244" i="2"/>
  <c r="CF629" i="2" s="1"/>
  <c r="DJ10" i="2"/>
  <c r="DJ155" i="2"/>
  <c r="DJ174" i="2"/>
  <c r="DL174" i="2"/>
  <c r="DG10" i="2"/>
  <c r="DG155" i="2"/>
  <c r="DI174" i="2"/>
  <c r="DG174" i="2"/>
  <c r="BT362" i="4"/>
  <c r="BU362" i="4" s="1"/>
  <c r="BQ387" i="4"/>
  <c r="BR387" i="4" s="1"/>
  <c r="BQ366" i="4"/>
  <c r="BR366" i="4" s="1"/>
  <c r="BB515" i="2"/>
  <c r="BC514" i="2"/>
  <c r="BE150" i="3"/>
  <c r="AV214" i="2"/>
  <c r="AW213" i="2"/>
  <c r="FB262" i="2"/>
  <c r="AQ307" i="2"/>
  <c r="AP305" i="2"/>
  <c r="BE420" i="4"/>
  <c r="BE15" i="4"/>
  <c r="BH171" i="4"/>
  <c r="CQ174" i="2"/>
  <c r="CO155" i="2"/>
  <c r="CO10" i="2"/>
  <c r="CO11" i="2" s="1"/>
  <c r="CO174" i="2"/>
  <c r="CO185" i="2"/>
  <c r="CE643" i="4"/>
  <c r="BL214" i="2"/>
  <c r="BK205" i="2"/>
  <c r="EB291" i="2"/>
  <c r="ED291" i="2"/>
  <c r="EF291" i="2" s="1"/>
  <c r="BE619" i="2"/>
  <c r="BB60" i="2"/>
  <c r="BC61" i="2"/>
  <c r="BC617" i="2"/>
  <c r="BC622" i="2" s="1"/>
  <c r="BC55" i="2"/>
  <c r="BC159" i="2"/>
  <c r="R263" i="2"/>
  <c r="S264" i="2"/>
  <c r="CW18" i="4"/>
  <c r="CY563" i="4"/>
  <c r="CW152" i="4"/>
  <c r="DL507" i="4"/>
  <c r="DL74" i="4"/>
  <c r="DL95" i="4"/>
  <c r="DL498" i="4" s="1"/>
  <c r="DL41" i="4"/>
  <c r="DL259" i="4"/>
  <c r="DL419" i="4"/>
  <c r="DL117" i="4"/>
  <c r="DL167" i="4"/>
  <c r="DL14" i="4"/>
  <c r="DL350" i="4"/>
  <c r="DR293" i="2"/>
  <c r="DT293" i="2" s="1"/>
  <c r="DP293" i="2"/>
  <c r="DH344" i="2"/>
  <c r="I45" i="9" s="1"/>
  <c r="DH5" i="3"/>
  <c r="DH11" i="3" s="1"/>
  <c r="BP351" i="4"/>
  <c r="BP367" i="4"/>
  <c r="BP389" i="4"/>
  <c r="BS175" i="4"/>
  <c r="DL215" i="3"/>
  <c r="Y53" i="2"/>
  <c r="Y43" i="2" s="1"/>
  <c r="X43" i="2" s="1"/>
  <c r="BT139" i="2"/>
  <c r="AS139" i="2"/>
  <c r="BM27" i="3"/>
  <c r="BM28" i="3" s="1"/>
  <c r="BN62" i="2"/>
  <c r="BN27" i="3" s="1"/>
  <c r="BQ10" i="2"/>
  <c r="BQ155" i="2"/>
  <c r="BQ174" i="2"/>
  <c r="BS174" i="2"/>
  <c r="BM60" i="2"/>
  <c r="CU18" i="4"/>
  <c r="CV563" i="4"/>
  <c r="CU152" i="4"/>
  <c r="CV152" i="4" s="1"/>
  <c r="CZ244" i="3"/>
  <c r="CZ13" i="3"/>
  <c r="CZ20" i="3" s="1"/>
  <c r="BC749" i="4"/>
  <c r="AZ760" i="4"/>
  <c r="AY475" i="2"/>
  <c r="CK22" i="2"/>
  <c r="CK349" i="2"/>
  <c r="BG422" i="4"/>
  <c r="BI262" i="4"/>
  <c r="BJ263" i="4"/>
  <c r="BS302" i="4"/>
  <c r="BY27" i="3"/>
  <c r="BZ62" i="2"/>
  <c r="BZ27" i="3" s="1"/>
  <c r="CA11" i="2"/>
  <c r="BT155" i="2"/>
  <c r="BB263" i="2"/>
  <c r="BC264" i="2"/>
  <c r="DU95" i="4"/>
  <c r="DU498" i="4" s="1"/>
  <c r="DU14" i="4"/>
  <c r="DU419" i="4"/>
  <c r="DU350" i="4"/>
  <c r="DU74" i="4"/>
  <c r="DU167" i="4"/>
  <c r="DU507" i="4"/>
  <c r="DU117" i="4"/>
  <c r="DU259" i="4"/>
  <c r="DU41" i="4"/>
  <c r="DQ86" i="2"/>
  <c r="CS86" i="2"/>
  <c r="CV86" i="2"/>
  <c r="DE86" i="2"/>
  <c r="CY86" i="2"/>
  <c r="DB86" i="2"/>
  <c r="EO86" i="2"/>
  <c r="CM86" i="2"/>
  <c r="BU86" i="2"/>
  <c r="EL86" i="2"/>
  <c r="BX86" i="2"/>
  <c r="CP86" i="2"/>
  <c r="BR86" i="2"/>
  <c r="EI86" i="2"/>
  <c r="EF86" i="2"/>
  <c r="EC86" i="2"/>
  <c r="BR456" i="2"/>
  <c r="BR460" i="2"/>
  <c r="BR464" i="2" s="1"/>
  <c r="DZ86" i="2"/>
  <c r="CD86" i="2"/>
  <c r="DT86" i="2"/>
  <c r="ER86" i="2"/>
  <c r="CA86" i="2"/>
  <c r="CJ86" i="2"/>
  <c r="BQ70" i="2"/>
  <c r="CG86" i="2"/>
  <c r="BN171" i="3"/>
  <c r="BM167" i="3"/>
  <c r="DU462" i="2"/>
  <c r="DU62" i="2"/>
  <c r="BA753" i="4"/>
  <c r="EL507" i="4"/>
  <c r="EL74" i="4"/>
  <c r="EL95" i="4"/>
  <c r="EL498" i="4" s="1"/>
  <c r="EL167" i="4"/>
  <c r="EL350" i="4"/>
  <c r="EL259" i="4"/>
  <c r="EL41" i="4"/>
  <c r="EL117" i="4"/>
  <c r="EL419" i="4"/>
  <c r="EL14" i="4"/>
  <c r="AS621" i="2"/>
  <c r="BF162" i="2"/>
  <c r="BE90" i="2"/>
  <c r="BF5" i="3"/>
  <c r="BF11" i="3" s="1"/>
  <c r="BF156" i="2"/>
  <c r="BF344" i="2"/>
  <c r="BI156" i="2"/>
  <c r="CD13" i="2"/>
  <c r="CC28" i="2" s="1"/>
  <c r="CC115" i="2"/>
  <c r="CC13" i="2" s="1"/>
  <c r="DC214" i="2"/>
  <c r="DD205" i="2"/>
  <c r="DL91" i="3"/>
  <c r="DL178" i="3"/>
  <c r="DK190" i="2"/>
  <c r="CR10" i="2"/>
  <c r="CT174" i="2"/>
  <c r="CR155" i="2"/>
  <c r="CR174" i="2"/>
  <c r="DS109" i="3"/>
  <c r="DT110" i="3"/>
  <c r="BT364" i="4"/>
  <c r="BW364" i="4" s="1"/>
  <c r="BZ364" i="4" s="1"/>
  <c r="CC364" i="4" s="1"/>
  <c r="CF364" i="4" s="1"/>
  <c r="CI364" i="4" s="1"/>
  <c r="CL364" i="4" s="1"/>
  <c r="CO364" i="4" s="1"/>
  <c r="CR364" i="4" s="1"/>
  <c r="CU364" i="4" s="1"/>
  <c r="BQ365" i="4"/>
  <c r="BY69" i="3"/>
  <c r="BV70" i="2"/>
  <c r="CJ48" i="4"/>
  <c r="CI69" i="4"/>
  <c r="BU57" i="4"/>
  <c r="BX57" i="4"/>
  <c r="DS241" i="2"/>
  <c r="EA247" i="4"/>
  <c r="BS306" i="4"/>
  <c r="BS307" i="4"/>
  <c r="BS309" i="4" s="1"/>
  <c r="BS312" i="4" s="1"/>
  <c r="BV27" i="3"/>
  <c r="BW62" i="2"/>
  <c r="BW27" i="3" s="1"/>
  <c r="CB380" i="4"/>
  <c r="AY888" i="4"/>
  <c r="AU160" i="2"/>
  <c r="AU69" i="2"/>
  <c r="AU60" i="2"/>
  <c r="AV68" i="2"/>
  <c r="AX153" i="2"/>
  <c r="AY631" i="4"/>
  <c r="AY619" i="4"/>
  <c r="DW641" i="2"/>
  <c r="DB550" i="4"/>
  <c r="BE174" i="2"/>
  <c r="BE155" i="2"/>
  <c r="BE10" i="2"/>
  <c r="BE163" i="2"/>
  <c r="BH155" i="2"/>
  <c r="BG174" i="2"/>
  <c r="BE154" i="2"/>
  <c r="BG172" i="2"/>
  <c r="BE4" i="3"/>
  <c r="BE10" i="3" s="1"/>
  <c r="BE176" i="2"/>
  <c r="BE172" i="2"/>
  <c r="BE161" i="2"/>
  <c r="BE331" i="2"/>
  <c r="BE73" i="2"/>
  <c r="BE345" i="2"/>
  <c r="BI27" i="3"/>
  <c r="BI28" i="3" s="1"/>
  <c r="BH62" i="2"/>
  <c r="BH27" i="3" s="1"/>
  <c r="BG7" i="4"/>
  <c r="J187" i="2"/>
  <c r="I187" i="2" s="1"/>
  <c r="I184" i="2"/>
  <c r="CS61" i="4"/>
  <c r="CV61" i="4"/>
  <c r="CX10" i="2"/>
  <c r="CX155" i="2"/>
  <c r="CX174" i="2"/>
  <c r="DQ11" i="2"/>
  <c r="BR362" i="4"/>
  <c r="BR363" i="4" s="1"/>
  <c r="DU18" i="4"/>
  <c r="BJ649" i="4"/>
  <c r="DA220" i="2"/>
  <c r="BK68" i="2"/>
  <c r="BL60" i="2"/>
  <c r="BL69" i="2"/>
  <c r="BL160" i="2"/>
  <c r="BL153" i="2"/>
  <c r="BE214" i="2"/>
  <c r="BF213" i="2"/>
  <c r="DT27" i="3"/>
  <c r="DS62" i="2"/>
  <c r="DS27" i="3" s="1"/>
  <c r="DN13" i="2"/>
  <c r="DC620" i="2"/>
  <c r="DD34" i="2"/>
  <c r="BS645" i="4"/>
  <c r="BM8" i="4"/>
  <c r="BM12" i="4"/>
  <c r="AG43" i="2"/>
  <c r="BS301" i="4"/>
  <c r="BI170" i="4"/>
  <c r="BG420" i="4"/>
  <c r="AW56" i="2"/>
  <c r="R42" i="2"/>
  <c r="R68" i="2"/>
  <c r="S60" i="2"/>
  <c r="CY550" i="4"/>
  <c r="CT364" i="4"/>
  <c r="BX69" i="3"/>
  <c r="BU70" i="2"/>
  <c r="BT69" i="3"/>
  <c r="BZ625" i="2"/>
  <c r="BZ627" i="2" s="1"/>
  <c r="CC271" i="4"/>
  <c r="CC272" i="4"/>
  <c r="CD272" i="4" s="1"/>
  <c r="CD273" i="4" s="1"/>
  <c r="AR621" i="2"/>
  <c r="AX592" i="4"/>
  <c r="AX640" i="4" s="1"/>
  <c r="DO300" i="2"/>
  <c r="DN297" i="2"/>
  <c r="DM300" i="2"/>
  <c r="CU115" i="2"/>
  <c r="CU13" i="2" s="1"/>
  <c r="CV13" i="2"/>
  <c r="DW244" i="3"/>
  <c r="DW13" i="3"/>
  <c r="DW20" i="3" s="1"/>
  <c r="CD214" i="2"/>
  <c r="CC205" i="2"/>
  <c r="BH139" i="2"/>
  <c r="BI143" i="2"/>
  <c r="BI146" i="2" s="1"/>
  <c r="BJ142" i="2" s="1"/>
  <c r="AM214" i="2"/>
  <c r="AN213" i="2"/>
  <c r="AF213" i="2"/>
  <c r="AG214" i="2"/>
  <c r="CQ614" i="2"/>
  <c r="CQ185" i="2"/>
  <c r="T28" i="9" s="1"/>
  <c r="BS215" i="4"/>
  <c r="BS217" i="4" s="1"/>
  <c r="BS214" i="4"/>
  <c r="F42" i="2"/>
  <c r="DQ292" i="2"/>
  <c r="AY876" i="4"/>
  <c r="BI160" i="2"/>
  <c r="BI153" i="2"/>
  <c r="BH68" i="2"/>
  <c r="BI60" i="2"/>
  <c r="BI69" i="2"/>
  <c r="AW344" i="2"/>
  <c r="AW156" i="2"/>
  <c r="AW5" i="3"/>
  <c r="AW11" i="3" s="1"/>
  <c r="AW162" i="2"/>
  <c r="AV90" i="2"/>
  <c r="AZ156" i="2"/>
  <c r="K187" i="2"/>
  <c r="L187" i="2" s="1"/>
  <c r="L184" i="2"/>
  <c r="BS300" i="2"/>
  <c r="BQ300" i="2"/>
  <c r="BR297" i="2"/>
  <c r="EA254" i="4"/>
  <c r="EB254" i="4"/>
  <c r="BW272" i="2"/>
  <c r="BY272" i="2"/>
  <c r="CR205" i="2"/>
  <c r="CS214" i="2"/>
  <c r="CV416" i="2"/>
  <c r="DY543" i="4"/>
  <c r="DX79" i="4"/>
  <c r="BR139" i="2"/>
  <c r="BQ115" i="2"/>
  <c r="BQ13" i="2" s="1"/>
  <c r="BR13" i="2"/>
  <c r="BL85" i="2"/>
  <c r="BK86" i="2"/>
  <c r="CC384" i="2"/>
  <c r="CC566" i="2"/>
  <c r="DR255" i="2"/>
  <c r="DR252" i="2" s="1"/>
  <c r="DT256" i="2"/>
  <c r="CZ95" i="4"/>
  <c r="CZ498" i="4" s="1"/>
  <c r="CZ259" i="4"/>
  <c r="CZ117" i="4"/>
  <c r="CZ507" i="4"/>
  <c r="CZ74" i="4"/>
  <c r="CZ350" i="4"/>
  <c r="CZ419" i="4"/>
  <c r="CZ167" i="4"/>
  <c r="CZ14" i="4"/>
  <c r="CZ41" i="4"/>
  <c r="BJ691" i="4"/>
  <c r="Z53" i="2"/>
  <c r="Z43" i="2" s="1"/>
  <c r="AA42" i="2"/>
  <c r="DN294" i="2"/>
  <c r="DL290" i="2"/>
  <c r="DR48" i="4"/>
  <c r="DT18" i="4"/>
  <c r="BS281" i="4"/>
  <c r="BS260" i="4"/>
  <c r="CC220" i="2"/>
  <c r="O305" i="2"/>
  <c r="P307" i="2"/>
  <c r="BK650" i="4"/>
  <c r="AS162" i="2"/>
  <c r="AS5" i="3"/>
  <c r="AS11" i="3" s="1"/>
  <c r="AS344" i="2"/>
  <c r="AS173" i="2"/>
  <c r="AU173" i="2"/>
  <c r="EI13" i="3"/>
  <c r="EI20" i="3" s="1"/>
  <c r="EI244" i="3"/>
  <c r="CN222" i="3"/>
  <c r="CN27" i="2"/>
  <c r="BQ107" i="3"/>
  <c r="BQ110" i="3"/>
  <c r="BQ17" i="3" s="1"/>
  <c r="AK307" i="2"/>
  <c r="AJ264" i="2"/>
  <c r="AL343" i="2"/>
  <c r="DQ13" i="2"/>
  <c r="DQ14" i="2" s="1"/>
  <c r="CP213" i="2"/>
  <c r="CO214" i="2"/>
  <c r="EK153" i="3"/>
  <c r="EM147" i="3"/>
  <c r="EN147" i="3" s="1"/>
  <c r="BE205" i="2"/>
  <c r="EF507" i="4"/>
  <c r="EF74" i="4"/>
  <c r="EF95" i="4"/>
  <c r="EF498" i="4" s="1"/>
  <c r="EF167" i="4"/>
  <c r="EF350" i="4"/>
  <c r="EF259" i="4"/>
  <c r="EF117" i="4"/>
  <c r="EF14" i="4"/>
  <c r="EF419" i="4"/>
  <c r="EF41" i="4"/>
  <c r="DM90" i="2"/>
  <c r="Y14" i="9" s="1"/>
  <c r="DN344" i="2"/>
  <c r="K45" i="9" s="1"/>
  <c r="DN5" i="3"/>
  <c r="DN11" i="3" s="1"/>
  <c r="DN156" i="2"/>
  <c r="BR214" i="2"/>
  <c r="BQ205" i="2"/>
  <c r="CF205" i="2"/>
  <c r="CG214" i="2"/>
  <c r="BL27" i="3"/>
  <c r="BL28" i="3" s="1"/>
  <c r="BK62" i="2"/>
  <c r="BL456" i="2"/>
  <c r="BL179" i="2"/>
  <c r="DQ252" i="2"/>
  <c r="DT257" i="2"/>
  <c r="DS257" i="2" s="1"/>
  <c r="DP255" i="2"/>
  <c r="BN213" i="2"/>
  <c r="BO202" i="3"/>
  <c r="BI179" i="2"/>
  <c r="AX661" i="4"/>
  <c r="AX703" i="4" s="1"/>
  <c r="AX906" i="4" s="1"/>
  <c r="AX655" i="4"/>
  <c r="AD263" i="2"/>
  <c r="AE264" i="2"/>
  <c r="BJ61" i="2"/>
  <c r="BJ55" i="2"/>
  <c r="BJ159" i="2"/>
  <c r="BJ617" i="2"/>
  <c r="BJ622" i="2" s="1"/>
  <c r="BZ10" i="2"/>
  <c r="BZ11" i="2" s="1"/>
  <c r="CB174" i="2"/>
  <c r="BZ174" i="2"/>
  <c r="BZ155" i="2"/>
  <c r="BB27" i="3"/>
  <c r="BB28" i="3" s="1"/>
  <c r="BB456" i="2"/>
  <c r="S184" i="2"/>
  <c r="R180" i="2"/>
  <c r="DU75" i="3"/>
  <c r="BM425" i="4"/>
  <c r="BM474" i="4"/>
  <c r="AR213" i="2"/>
  <c r="AS214" i="2"/>
  <c r="EB247" i="4"/>
  <c r="CH267" i="4"/>
  <c r="CE270" i="4"/>
  <c r="EL244" i="3"/>
  <c r="EL13" i="3"/>
  <c r="EL20" i="3" s="1"/>
  <c r="CW213" i="2"/>
  <c r="CX214" i="2"/>
  <c r="AR4" i="3"/>
  <c r="AR10" i="3" s="1"/>
  <c r="AR161" i="2"/>
  <c r="AR73" i="2"/>
  <c r="AR176" i="2"/>
  <c r="AR68" i="2"/>
  <c r="AU153" i="2" s="1"/>
  <c r="AR180" i="2"/>
  <c r="AR345" i="2"/>
  <c r="AR331" i="2"/>
  <c r="AR154" i="2"/>
  <c r="AR343" i="2"/>
  <c r="AS72" i="2"/>
  <c r="AV154" i="2" s="1"/>
  <c r="AY4" i="3"/>
  <c r="AY10" i="3" s="1"/>
  <c r="AY172" i="2"/>
  <c r="AY73" i="2"/>
  <c r="AY345" i="2"/>
  <c r="AY331" i="2"/>
  <c r="AY176" i="2"/>
  <c r="AY154" i="2"/>
  <c r="AY161" i="2"/>
  <c r="BA172" i="2"/>
  <c r="CO115" i="2"/>
  <c r="CO13" i="2" s="1"/>
  <c r="CO14" i="2" s="1"/>
  <c r="CP13" i="2"/>
  <c r="CP14" i="2" s="1"/>
  <c r="CJ214" i="2"/>
  <c r="CI205" i="2"/>
  <c r="CI34" i="2"/>
  <c r="CI620" i="2" s="1"/>
  <c r="CJ620" i="2"/>
  <c r="DA10" i="2"/>
  <c r="DA11" i="2" s="1"/>
  <c r="DC174" i="2"/>
  <c r="DA174" i="2"/>
  <c r="DA155" i="2"/>
  <c r="CF360" i="4"/>
  <c r="CU10" i="2"/>
  <c r="CU174" i="2"/>
  <c r="CU155" i="2"/>
  <c r="DW507" i="4"/>
  <c r="DW259" i="4"/>
  <c r="DW95" i="4"/>
  <c r="DW498" i="4" s="1"/>
  <c r="DW167" i="4"/>
  <c r="DW117" i="4"/>
  <c r="DW419" i="4"/>
  <c r="DW41" i="4"/>
  <c r="DW74" i="4"/>
  <c r="DW14" i="4"/>
  <c r="DW350" i="4"/>
  <c r="CE13" i="2"/>
  <c r="BA213" i="2"/>
  <c r="BB214" i="2"/>
  <c r="CS266" i="2"/>
  <c r="CT268" i="2"/>
  <c r="CR268" i="2"/>
  <c r="DH205" i="2"/>
  <c r="DG189" i="2"/>
  <c r="DH220" i="2"/>
  <c r="DH180" i="3"/>
  <c r="CV82" i="4"/>
  <c r="CW81" i="4"/>
  <c r="CD270" i="4"/>
  <c r="BJ693" i="4"/>
  <c r="AY858" i="4"/>
  <c r="AX954" i="4"/>
  <c r="AX861" i="4"/>
  <c r="AY864" i="4"/>
  <c r="AX867" i="4"/>
  <c r="AX172" i="2"/>
  <c r="AV73" i="2"/>
  <c r="AV4" i="3"/>
  <c r="AV10" i="3" s="1"/>
  <c r="AV161" i="2"/>
  <c r="AV331" i="2"/>
  <c r="AV345" i="2"/>
  <c r="AV172" i="2"/>
  <c r="AV176" i="2"/>
  <c r="AV12" i="4"/>
  <c r="BP620" i="2"/>
  <c r="BQ34" i="2"/>
  <c r="BQ620" i="2" s="1"/>
  <c r="AY637" i="4"/>
  <c r="AY685" i="4" s="1"/>
  <c r="AY625" i="4"/>
  <c r="AX328" i="2"/>
  <c r="AX327" i="2"/>
  <c r="DS511" i="2"/>
  <c r="DS641" i="2"/>
  <c r="AM42" i="2"/>
  <c r="AU620" i="2"/>
  <c r="AU621" i="2" s="1"/>
  <c r="AU42" i="2"/>
  <c r="AV34" i="2"/>
  <c r="AV620" i="2" s="1"/>
  <c r="AV621" i="2" s="1"/>
  <c r="CA834" i="4"/>
  <c r="BY383" i="4"/>
  <c r="BV305" i="4"/>
  <c r="BV213" i="4"/>
  <c r="BV386" i="4"/>
  <c r="CG115" i="2"/>
  <c r="DP618" i="2"/>
  <c r="DP81" i="2"/>
  <c r="DP463" i="2"/>
  <c r="CZ13" i="2"/>
  <c r="CZ147" i="2"/>
  <c r="DA115" i="2"/>
  <c r="CD356" i="4"/>
  <c r="CE356" i="4" s="1"/>
  <c r="CD360" i="4"/>
  <c r="CT469" i="2"/>
  <c r="CU469" i="2" s="1"/>
  <c r="CV469" i="2" s="1"/>
  <c r="BH752" i="4"/>
  <c r="AZ751" i="4"/>
  <c r="AY754" i="4"/>
  <c r="AY882" i="4"/>
  <c r="U214" i="2"/>
  <c r="V213" i="2"/>
  <c r="BA567" i="4"/>
  <c r="T184" i="2"/>
  <c r="U180" i="2"/>
  <c r="CY27" i="3"/>
  <c r="CX62" i="2"/>
  <c r="CX27" i="3" s="1"/>
  <c r="BC692" i="4"/>
  <c r="BL42" i="2"/>
  <c r="BL620" i="2"/>
  <c r="BL621" i="2" s="1"/>
  <c r="BK34" i="2"/>
  <c r="BK620" i="2" s="1"/>
  <c r="BK621" i="2" s="1"/>
  <c r="AK56" i="2"/>
  <c r="AK53" i="2"/>
  <c r="AK43" i="2" s="1"/>
  <c r="AK158" i="2"/>
  <c r="CA629" i="2"/>
  <c r="CA264" i="2"/>
  <c r="BZ244" i="2"/>
  <c r="BZ629" i="2" s="1"/>
  <c r="DU13" i="3"/>
  <c r="DU20" i="3" s="1"/>
  <c r="DU244" i="3"/>
  <c r="CL356" i="4"/>
  <c r="CI359" i="4"/>
  <c r="BH652" i="4"/>
  <c r="EI419" i="4"/>
  <c r="EI14" i="4"/>
  <c r="EI350" i="4"/>
  <c r="EI41" i="4"/>
  <c r="EI74" i="4"/>
  <c r="EI507" i="4"/>
  <c r="EI117" i="4"/>
  <c r="EI259" i="4"/>
  <c r="EI167" i="4"/>
  <c r="EI95" i="4"/>
  <c r="EI498" i="4" s="1"/>
  <c r="BF60" i="2"/>
  <c r="BF160" i="2"/>
  <c r="BE68" i="2"/>
  <c r="BF69" i="2"/>
  <c r="BF153" i="2"/>
  <c r="P213" i="2"/>
  <c r="O214" i="2"/>
  <c r="AP214" i="2"/>
  <c r="AO213" i="2"/>
  <c r="AZ568" i="4"/>
  <c r="AY590" i="4"/>
  <c r="DJ115" i="2"/>
  <c r="W15" i="9" s="1"/>
  <c r="DK13" i="2"/>
  <c r="DO115" i="2"/>
  <c r="Z15" i="9" s="1"/>
  <c r="DO10" i="2"/>
  <c r="DR155" i="2"/>
  <c r="DO155" i="2"/>
  <c r="DO174" i="2"/>
  <c r="BV362" i="4"/>
  <c r="BS387" i="4"/>
  <c r="BS366" i="4"/>
  <c r="M410" i="2"/>
  <c r="L410" i="2" s="1"/>
  <c r="M411" i="2"/>
  <c r="L411" i="2" s="1"/>
  <c r="M409" i="2"/>
  <c r="N416" i="2"/>
  <c r="BH328" i="2"/>
  <c r="BH85" i="2"/>
  <c r="BG90" i="2"/>
  <c r="DI274" i="2"/>
  <c r="DK274" i="2" s="1"/>
  <c r="Z58" i="9" s="1"/>
  <c r="DG274" i="2"/>
  <c r="BA762" i="4"/>
  <c r="BL322" i="2"/>
  <c r="BK320" i="2"/>
  <c r="BK345" i="2" s="1"/>
  <c r="BL625" i="2"/>
  <c r="BL627" i="2" s="1"/>
  <c r="BM345" i="2"/>
  <c r="BM344" i="2"/>
  <c r="CZ270" i="2"/>
  <c r="CX270" i="2"/>
  <c r="BJ72" i="4"/>
  <c r="BM62" i="4"/>
  <c r="BJ62" i="4"/>
  <c r="CM620" i="2"/>
  <c r="CL34" i="2"/>
  <c r="CL620" i="2" s="1"/>
  <c r="BR855" i="4"/>
  <c r="BP855" i="4" s="1"/>
  <c r="BQ855" i="4" s="1"/>
  <c r="BA159" i="2"/>
  <c r="BA617" i="2"/>
  <c r="BA622" i="2" s="1"/>
  <c r="BA55" i="2"/>
  <c r="BA61" i="2"/>
  <c r="BA152" i="2"/>
  <c r="CE27" i="3"/>
  <c r="CF62" i="2"/>
  <c r="CF27" i="3" s="1"/>
  <c r="EH299" i="2"/>
  <c r="EJ299" i="2"/>
  <c r="EL299" i="2" s="1"/>
  <c r="BO344" i="2"/>
  <c r="BV834" i="4"/>
  <c r="BW834" i="4" s="1"/>
  <c r="BI264" i="2"/>
  <c r="BH244" i="2"/>
  <c r="DH27" i="3"/>
  <c r="DH28" i="3" s="1"/>
  <c r="DG62" i="2"/>
  <c r="DG27" i="3" s="1"/>
  <c r="BT205" i="2"/>
  <c r="BU214" i="2"/>
  <c r="BT220" i="2"/>
  <c r="BA818" i="4"/>
  <c r="BA813" i="4"/>
  <c r="BB812" i="4"/>
  <c r="CC10" i="2"/>
  <c r="CC174" i="2"/>
  <c r="CC155" i="2"/>
  <c r="CO614" i="2"/>
  <c r="CW13" i="2"/>
  <c r="BN405" i="4"/>
  <c r="BN409" i="4"/>
  <c r="BN424" i="4"/>
  <c r="BO424" i="4" s="1"/>
  <c r="BN413" i="4"/>
  <c r="BN352" i="4"/>
  <c r="BO854" i="4"/>
  <c r="BM854" i="4" s="1"/>
  <c r="BN854" i="4" s="1"/>
  <c r="BR836" i="4"/>
  <c r="BK171" i="4"/>
  <c r="BN171" i="4"/>
  <c r="BK420" i="4"/>
  <c r="CD27" i="3"/>
  <c r="CD28" i="3" s="1"/>
  <c r="CC62" i="2"/>
  <c r="CC27" i="3" s="1"/>
  <c r="I60" i="2"/>
  <c r="J55" i="2"/>
  <c r="DJ64" i="2"/>
  <c r="DJ462" i="2" s="1"/>
  <c r="DK462" i="2"/>
  <c r="DK62" i="2"/>
  <c r="J28" i="9" s="1"/>
  <c r="CF155" i="2"/>
  <c r="CF174" i="2"/>
  <c r="CF10" i="2"/>
  <c r="CH174" i="2"/>
  <c r="CB273" i="4"/>
  <c r="CB301" i="4"/>
  <c r="BQ168" i="4"/>
  <c r="BQ179" i="4"/>
  <c r="BQ208" i="4"/>
  <c r="BQ180" i="4"/>
  <c r="BF150" i="3"/>
  <c r="BF152" i="3" s="1"/>
  <c r="BE152" i="3" s="1"/>
  <c r="V53" i="2"/>
  <c r="V43" i="2" s="1"/>
  <c r="U42" i="2"/>
  <c r="T60" i="2"/>
  <c r="U68" i="2"/>
  <c r="BJ172" i="2"/>
  <c r="BH161" i="2"/>
  <c r="BH73" i="2"/>
  <c r="BH4" i="3"/>
  <c r="BH10" i="3" s="1"/>
  <c r="BH172" i="2"/>
  <c r="BH331" i="2"/>
  <c r="BH345" i="2"/>
  <c r="BH154" i="2"/>
  <c r="BH176" i="2"/>
  <c r="I263" i="2"/>
  <c r="J264" i="2"/>
  <c r="H142" i="2"/>
  <c r="H143" i="2" s="1"/>
  <c r="H146" i="2" s="1"/>
  <c r="I142" i="2" s="1"/>
  <c r="I143" i="2" s="1"/>
  <c r="I146" i="2" s="1"/>
  <c r="J142" i="2"/>
  <c r="J143" i="2" s="1"/>
  <c r="J146" i="2" s="1"/>
  <c r="CN69" i="4"/>
  <c r="CN59" i="4"/>
  <c r="BM578" i="4"/>
  <c r="BN578" i="4" s="1"/>
  <c r="BR578" i="4"/>
  <c r="BZ115" i="2"/>
  <c r="BZ13" i="2" s="1"/>
  <c r="BZ14" i="2" s="1"/>
  <c r="CA13" i="2"/>
  <c r="CA14" i="2" s="1"/>
  <c r="BT625" i="2"/>
  <c r="BT627" i="2" s="1"/>
  <c r="BZ34" i="2"/>
  <c r="BZ620" i="2" s="1"/>
  <c r="CA620" i="2"/>
  <c r="S202" i="3"/>
  <c r="R213" i="2"/>
  <c r="R202" i="3"/>
  <c r="BP313" i="4"/>
  <c r="AC187" i="2"/>
  <c r="AD187" i="2" s="1"/>
  <c r="AD184" i="2"/>
  <c r="CY620" i="2"/>
  <c r="CX34" i="2"/>
  <c r="CX620" i="2" s="1"/>
  <c r="AA60" i="2"/>
  <c r="AB55" i="2"/>
  <c r="AX638" i="4"/>
  <c r="AX686" i="4" s="1"/>
  <c r="AX626" i="4"/>
  <c r="AX668" i="4" s="1"/>
  <c r="DJ90" i="2"/>
  <c r="W14" i="9" s="1"/>
  <c r="DK344" i="2"/>
  <c r="J45" i="9" s="1"/>
  <c r="DK156" i="2"/>
  <c r="DK5" i="3"/>
  <c r="DK11" i="3" s="1"/>
  <c r="DL244" i="3"/>
  <c r="DL13" i="3"/>
  <c r="DL20" i="3" s="1"/>
  <c r="CS374" i="2"/>
  <c r="CS385" i="2" s="1"/>
  <c r="CP566" i="2"/>
  <c r="CP384" i="2"/>
  <c r="DG115" i="2"/>
  <c r="U15" i="9" s="1"/>
  <c r="DH13" i="2"/>
  <c r="DP10" i="2"/>
  <c r="AA17" i="9" s="1"/>
  <c r="DP174" i="2"/>
  <c r="DP155" i="2"/>
  <c r="DR174" i="2"/>
  <c r="R226" i="2"/>
  <c r="V224" i="2"/>
  <c r="V226" i="2" s="1"/>
  <c r="T224" i="2"/>
  <c r="T226" i="2" s="1"/>
  <c r="U224" i="2" s="1"/>
  <c r="BP579" i="4"/>
  <c r="BQ579" i="4" s="1"/>
  <c r="BU579" i="4"/>
  <c r="AC55" i="2"/>
  <c r="AD60" i="2"/>
  <c r="CZ214" i="2"/>
  <c r="DA205" i="2"/>
  <c r="BK161" i="2"/>
  <c r="BK331" i="2"/>
  <c r="BM172" i="2"/>
  <c r="BK4" i="3"/>
  <c r="BK10" i="3" s="1"/>
  <c r="BK172" i="2"/>
  <c r="BK73" i="2"/>
  <c r="BK176" i="2"/>
  <c r="BK154" i="2"/>
  <c r="EF244" i="3"/>
  <c r="EF13" i="3"/>
  <c r="EF20" i="3" s="1"/>
  <c r="CR220" i="2"/>
  <c r="CX18" i="4"/>
  <c r="CX152" i="4"/>
  <c r="DL263" i="2"/>
  <c r="DL264" i="2" s="1"/>
  <c r="DM10" i="2"/>
  <c r="DM174" i="2"/>
  <c r="DM155" i="2"/>
  <c r="CW365" i="4"/>
  <c r="CX186" i="4"/>
  <c r="CZ186" i="4"/>
  <c r="CW278" i="4"/>
  <c r="BL644" i="4"/>
  <c r="AJ5" i="3"/>
  <c r="AJ11" i="3" s="1"/>
  <c r="AJ173" i="2"/>
  <c r="AJ162" i="2"/>
  <c r="AJ344" i="2"/>
  <c r="BB824" i="4"/>
  <c r="BF824" i="4"/>
  <c r="BC842" i="4"/>
  <c r="AX768" i="4"/>
  <c r="BH26" i="3"/>
  <c r="BH180" i="3"/>
  <c r="BC504" i="2"/>
  <c r="BC500" i="2"/>
  <c r="BC499" i="2"/>
  <c r="BD498" i="2"/>
  <c r="BC497" i="2"/>
  <c r="AB213" i="2"/>
  <c r="AA214" i="2"/>
  <c r="AE213" i="2"/>
  <c r="AD214" i="2"/>
  <c r="CM27" i="3"/>
  <c r="CL62" i="2"/>
  <c r="CL27" i="3" s="1"/>
  <c r="P399" i="2"/>
  <c r="O399" i="2" s="1"/>
  <c r="N399" i="2" s="1"/>
  <c r="BD475" i="2"/>
  <c r="BD810" i="4"/>
  <c r="BC816" i="4"/>
  <c r="BW232" i="4"/>
  <c r="BW233" i="4"/>
  <c r="AO162" i="2"/>
  <c r="AO344" i="2"/>
  <c r="AO156" i="2"/>
  <c r="AO5" i="3"/>
  <c r="AO11" i="3" s="1"/>
  <c r="AO173" i="2"/>
  <c r="AR156" i="2"/>
  <c r="AP90" i="2"/>
  <c r="AS156" i="2" s="1"/>
  <c r="BD160" i="2"/>
  <c r="BD60" i="2"/>
  <c r="BD69" i="2"/>
  <c r="BD153" i="2"/>
  <c r="BZ205" i="2"/>
  <c r="CA214" i="2"/>
  <c r="BZ214" i="2" s="1"/>
  <c r="BE115" i="2"/>
  <c r="BE13" i="2" s="1"/>
  <c r="BF139" i="2"/>
  <c r="BF13" i="2"/>
  <c r="BH205" i="2"/>
  <c r="BI214" i="2"/>
  <c r="AZ60" i="2"/>
  <c r="AZ160" i="2"/>
  <c r="AZ153" i="2"/>
  <c r="AZ69" i="2"/>
  <c r="AY68" i="2"/>
  <c r="CP11" i="2"/>
  <c r="DD220" i="2"/>
  <c r="DI205" i="2"/>
  <c r="DI214" i="2" s="1"/>
  <c r="DI213" i="2" s="1"/>
  <c r="DI202" i="3" s="1"/>
  <c r="DI220" i="2"/>
  <c r="CS13" i="2"/>
  <c r="CQ28" i="2" s="1"/>
  <c r="CR115" i="2"/>
  <c r="CR13" i="2" s="1"/>
  <c r="BN390" i="4"/>
  <c r="BO389" i="4"/>
  <c r="BO390" i="4" s="1"/>
  <c r="BN402" i="4"/>
  <c r="BS86" i="2"/>
  <c r="BS85" i="2" s="1"/>
  <c r="BS90" i="2" s="1"/>
  <c r="BS460" i="2"/>
  <c r="BS464" i="2" s="1"/>
  <c r="X213" i="2"/>
  <c r="X202" i="3"/>
  <c r="Y202" i="3"/>
  <c r="X305" i="2"/>
  <c r="BW175" i="4"/>
  <c r="BT178" i="4"/>
  <c r="G307" i="2"/>
  <c r="AY870" i="4"/>
  <c r="AX873" i="4"/>
  <c r="AU154" i="2"/>
  <c r="BF621" i="2"/>
  <c r="DI222" i="3"/>
  <c r="CZ18" i="4"/>
  <c r="DB563" i="4"/>
  <c r="CZ152" i="4"/>
  <c r="DB152" i="4" s="1"/>
  <c r="DY85" i="4" l="1"/>
  <c r="DZ84" i="4"/>
  <c r="DW111" i="4"/>
  <c r="DX111" i="4"/>
  <c r="DZ88" i="4"/>
  <c r="EA87" i="4"/>
  <c r="CI107" i="3"/>
  <c r="DX562" i="4"/>
  <c r="BK148" i="3"/>
  <c r="BN179" i="2"/>
  <c r="BG853" i="4"/>
  <c r="BH853" i="4" s="1"/>
  <c r="AW180" i="2"/>
  <c r="AW151" i="2"/>
  <c r="Y307" i="2"/>
  <c r="Y324" i="2" s="1"/>
  <c r="AO343" i="2"/>
  <c r="BO273" i="4"/>
  <c r="DL222" i="3"/>
  <c r="DL348" i="2" s="1"/>
  <c r="FA85" i="2"/>
  <c r="FJ101" i="4"/>
  <c r="FK101" i="4" s="1"/>
  <c r="BN186" i="2"/>
  <c r="DW18" i="4"/>
  <c r="DX409" i="2"/>
  <c r="DZ409" i="2" s="1"/>
  <c r="BF283" i="2"/>
  <c r="BE283" i="2" s="1"/>
  <c r="DY133" i="3"/>
  <c r="EB133" i="3" s="1"/>
  <c r="EE133" i="3" s="1"/>
  <c r="DV132" i="3"/>
  <c r="DU27" i="3"/>
  <c r="DV62" i="2"/>
  <c r="DV27" i="3" s="1"/>
  <c r="DM264" i="2"/>
  <c r="DW90" i="2"/>
  <c r="BW48" i="3"/>
  <c r="CP224" i="2"/>
  <c r="CP226" i="2" s="1"/>
  <c r="CQ224" i="2" s="1"/>
  <c r="CQ226" i="2" s="1"/>
  <c r="CR224" i="2" s="1"/>
  <c r="CN224" i="2"/>
  <c r="CN226" i="2" s="1"/>
  <c r="CO224" i="2" s="1"/>
  <c r="CN209" i="3"/>
  <c r="CP209" i="3" s="1"/>
  <c r="CQ209" i="3" s="1"/>
  <c r="CS209" i="3" s="1"/>
  <c r="X43" i="9"/>
  <c r="X62" i="9"/>
  <c r="Y43" i="9"/>
  <c r="Y62" i="9"/>
  <c r="CR34" i="2"/>
  <c r="CR620" i="2" s="1"/>
  <c r="DJ264" i="2"/>
  <c r="AW158" i="2"/>
  <c r="BN221" i="4"/>
  <c r="BN237" i="4" s="1"/>
  <c r="BN235" i="4" s="1"/>
  <c r="BO220" i="4"/>
  <c r="BO222" i="4" s="1"/>
  <c r="AN343" i="2"/>
  <c r="AQ343" i="2"/>
  <c r="DD529" i="2"/>
  <c r="AM264" i="2"/>
  <c r="AM343" i="2" s="1"/>
  <c r="BS456" i="2"/>
  <c r="BM119" i="3"/>
  <c r="BD171" i="2"/>
  <c r="AG264" i="2"/>
  <c r="DR22" i="2"/>
  <c r="AB18" i="9" s="1"/>
  <c r="AZ307" i="2"/>
  <c r="AZ324" i="2" s="1"/>
  <c r="BN180" i="3"/>
  <c r="DR349" i="2"/>
  <c r="DR225" i="3" s="1"/>
  <c r="BA343" i="2"/>
  <c r="AI343" i="2"/>
  <c r="BC343" i="2"/>
  <c r="AK343" i="2"/>
  <c r="BO264" i="2"/>
  <c r="BO343" i="2" s="1"/>
  <c r="BL149" i="3"/>
  <c r="BL455" i="2" s="1"/>
  <c r="CN97" i="4"/>
  <c r="BF475" i="2"/>
  <c r="DM115" i="2"/>
  <c r="Y15" i="9" s="1"/>
  <c r="BQ66" i="3"/>
  <c r="DL13" i="2"/>
  <c r="DL14" i="2" s="1"/>
  <c r="BK480" i="2"/>
  <c r="P53" i="2"/>
  <c r="P43" i="2" s="1"/>
  <c r="O43" i="2" s="1"/>
  <c r="BY275" i="4"/>
  <c r="CB275" i="4" s="1"/>
  <c r="M307" i="2"/>
  <c r="L307" i="2" s="1"/>
  <c r="L324" i="2" s="1"/>
  <c r="AT307" i="2"/>
  <c r="AT324" i="2" s="1"/>
  <c r="BL634" i="2"/>
  <c r="BL636" i="2" s="1"/>
  <c r="BL639" i="2" s="1"/>
  <c r="BL642" i="2" s="1"/>
  <c r="AK202" i="3"/>
  <c r="BW139" i="2"/>
  <c r="DL27" i="2"/>
  <c r="BE522" i="2"/>
  <c r="BE530" i="2" s="1"/>
  <c r="BB69" i="2"/>
  <c r="BS26" i="3"/>
  <c r="BS28" i="3" s="1"/>
  <c r="BS179" i="2"/>
  <c r="BG343" i="2"/>
  <c r="CG97" i="4"/>
  <c r="AP328" i="2"/>
  <c r="AP327" i="2"/>
  <c r="BI771" i="4"/>
  <c r="DS110" i="3"/>
  <c r="DS17" i="3" s="1"/>
  <c r="DS107" i="3"/>
  <c r="BU276" i="4"/>
  <c r="BT283" i="4"/>
  <c r="BQ312" i="4"/>
  <c r="BR312" i="4" s="1"/>
  <c r="DF522" i="2"/>
  <c r="DF530" i="2" s="1"/>
  <c r="E53" i="2"/>
  <c r="E43" i="2" s="1"/>
  <c r="F43" i="2" s="1"/>
  <c r="ED321" i="2"/>
  <c r="ED626" i="2" s="1"/>
  <c r="BB762" i="4"/>
  <c r="DW462" i="2"/>
  <c r="BL261" i="4"/>
  <c r="AV264" i="2"/>
  <c r="AV343" i="2" s="1"/>
  <c r="EF321" i="2"/>
  <c r="EG286" i="2"/>
  <c r="EI286" i="2" s="1"/>
  <c r="BR280" i="4"/>
  <c r="BR281" i="4" s="1"/>
  <c r="BJ758" i="4"/>
  <c r="BJ766" i="4" s="1"/>
  <c r="DH413" i="2"/>
  <c r="DG413" i="2" s="1"/>
  <c r="BV213" i="2"/>
  <c r="BW213" i="2" s="1"/>
  <c r="DV462" i="2"/>
  <c r="BP186" i="2"/>
  <c r="AW307" i="2"/>
  <c r="AV307" i="2" s="1"/>
  <c r="AV324" i="2" s="1"/>
  <c r="EC626" i="2"/>
  <c r="DV641" i="2"/>
  <c r="BQ281" i="4"/>
  <c r="BJ760" i="4"/>
  <c r="BJ762" i="4" s="1"/>
  <c r="AZ343" i="2"/>
  <c r="F53" i="2"/>
  <c r="EB321" i="2"/>
  <c r="EB626" i="2" s="1"/>
  <c r="BQ260" i="4"/>
  <c r="BQ261" i="4" s="1"/>
  <c r="BR309" i="4"/>
  <c r="AW343" i="2"/>
  <c r="BL307" i="2"/>
  <c r="BK307" i="2" s="1"/>
  <c r="CM32" i="4"/>
  <c r="AT343" i="2"/>
  <c r="BE179" i="2"/>
  <c r="BI343" i="2"/>
  <c r="AS264" i="2"/>
  <c r="AS343" i="2" s="1"/>
  <c r="BO334" i="4"/>
  <c r="BK634" i="2"/>
  <c r="BK636" i="2" s="1"/>
  <c r="BK639" i="2" s="1"/>
  <c r="BK642" i="2" s="1"/>
  <c r="BS287" i="2"/>
  <c r="BS630" i="2" s="1"/>
  <c r="BS631" i="2" s="1"/>
  <c r="BL226" i="3"/>
  <c r="BM226" i="3" s="1"/>
  <c r="BK352" i="2"/>
  <c r="BI773" i="4"/>
  <c r="BI774" i="4" s="1"/>
  <c r="AL56" i="2"/>
  <c r="CJ206" i="3"/>
  <c r="CK208" i="3"/>
  <c r="CI208" i="3"/>
  <c r="CI206" i="3" s="1"/>
  <c r="BX378" i="4"/>
  <c r="BX375" i="4" s="1"/>
  <c r="BX376" i="4" s="1"/>
  <c r="BW379" i="4"/>
  <c r="BB171" i="2"/>
  <c r="BT299" i="4"/>
  <c r="BU298" i="4"/>
  <c r="BU295" i="4" s="1"/>
  <c r="BU296" i="4" s="1"/>
  <c r="BT300" i="4"/>
  <c r="BV299" i="2"/>
  <c r="BX299" i="2" s="1"/>
  <c r="BW299" i="2" s="1"/>
  <c r="BT299" i="2"/>
  <c r="BO4" i="3"/>
  <c r="BO10" i="3" s="1"/>
  <c r="BO331" i="2"/>
  <c r="BO68" i="2"/>
  <c r="BO178" i="2"/>
  <c r="BN178" i="2" s="1"/>
  <c r="BM176" i="2"/>
  <c r="BN72" i="2"/>
  <c r="BN345" i="2" s="1"/>
  <c r="BO154" i="2"/>
  <c r="BW296" i="4"/>
  <c r="BW298" i="4"/>
  <c r="AM396" i="2"/>
  <c r="BP72" i="2"/>
  <c r="BP479" i="2"/>
  <c r="BP619" i="2"/>
  <c r="BP621" i="2" s="1"/>
  <c r="BN479" i="2"/>
  <c r="BN619" i="2"/>
  <c r="BN621" i="2" s="1"/>
  <c r="BV296" i="2"/>
  <c r="BX296" i="2" s="1"/>
  <c r="BT296" i="2"/>
  <c r="BP304" i="2"/>
  <c r="BP305" i="2" s="1"/>
  <c r="BP307" i="2" s="1"/>
  <c r="BP324" i="2" s="1"/>
  <c r="BI762" i="4"/>
  <c r="DX641" i="2"/>
  <c r="AL53" i="2"/>
  <c r="AL43" i="2" s="1"/>
  <c r="BR33" i="4"/>
  <c r="BV271" i="2"/>
  <c r="BT271" i="2"/>
  <c r="BU269" i="2"/>
  <c r="BS77" i="2"/>
  <c r="BR74" i="2"/>
  <c r="BQ77" i="2"/>
  <c r="CC375" i="4"/>
  <c r="BZ203" i="4"/>
  <c r="BZ204" i="4" s="1"/>
  <c r="BZ295" i="4"/>
  <c r="BZ378" i="4"/>
  <c r="L11" i="9"/>
  <c r="G11" i="9"/>
  <c r="EA558" i="4"/>
  <c r="DY560" i="4"/>
  <c r="DZ560" i="4" s="1"/>
  <c r="DZ78" i="4"/>
  <c r="DZ79" i="4" s="1"/>
  <c r="DY545" i="4"/>
  <c r="DZ545" i="4" s="1"/>
  <c r="DZ75" i="4"/>
  <c r="DZ76" i="4" s="1"/>
  <c r="DY540" i="4"/>
  <c r="DZ540" i="4" s="1"/>
  <c r="BY19" i="4"/>
  <c r="BW19" i="4"/>
  <c r="BW33" i="4" s="1"/>
  <c r="BV33" i="4"/>
  <c r="BY280" i="2"/>
  <c r="CA280" i="2" s="1"/>
  <c r="BW280" i="2"/>
  <c r="DG149" i="3"/>
  <c r="DF148" i="3"/>
  <c r="DF455" i="2"/>
  <c r="DK206" i="3"/>
  <c r="BT33" i="4"/>
  <c r="BU19" i="4"/>
  <c r="BU33" i="4" s="1"/>
  <c r="BR310" i="4"/>
  <c r="BH621" i="2"/>
  <c r="DM620" i="2"/>
  <c r="BQ179" i="2"/>
  <c r="AT622" i="2"/>
  <c r="BO332" i="4"/>
  <c r="BO333" i="4" s="1"/>
  <c r="BL762" i="4"/>
  <c r="BO51" i="4"/>
  <c r="BO72" i="4" s="1"/>
  <c r="DD620" i="2"/>
  <c r="BT255" i="2"/>
  <c r="BU252" i="2"/>
  <c r="CH145" i="2"/>
  <c r="CG145" i="2"/>
  <c r="CF145" i="2" s="1"/>
  <c r="AO374" i="2"/>
  <c r="AQ374" i="2"/>
  <c r="BV255" i="2"/>
  <c r="BV252" i="2" s="1"/>
  <c r="BV263" i="2" s="1"/>
  <c r="BV264" i="2" s="1"/>
  <c r="BX256" i="2"/>
  <c r="BE327" i="2"/>
  <c r="BE328" i="2"/>
  <c r="BF415" i="2"/>
  <c r="BE415" i="2" s="1"/>
  <c r="BG414" i="2"/>
  <c r="BE414" i="2"/>
  <c r="BB871" i="4"/>
  <c r="BC871" i="4" s="1"/>
  <c r="BB817" i="4"/>
  <c r="AS328" i="2"/>
  <c r="AS327" i="2"/>
  <c r="BO262" i="4"/>
  <c r="BO263" i="4" s="1"/>
  <c r="BM422" i="4"/>
  <c r="BO422" i="4" s="1"/>
  <c r="BO423" i="4" s="1"/>
  <c r="BN329" i="4"/>
  <c r="BM344" i="4"/>
  <c r="BM342" i="4" s="1"/>
  <c r="BO342" i="4" s="1"/>
  <c r="K55" i="9"/>
  <c r="CJ107" i="3"/>
  <c r="CJ109" i="3" s="1"/>
  <c r="CK107" i="3"/>
  <c r="AZ625" i="4"/>
  <c r="AZ667" i="4" s="1"/>
  <c r="AZ709" i="4" s="1"/>
  <c r="AX56" i="2"/>
  <c r="DP48" i="4"/>
  <c r="DQ48" i="4" s="1"/>
  <c r="BG617" i="2"/>
  <c r="BG622" i="2" s="1"/>
  <c r="BL768" i="4"/>
  <c r="BL771" i="4" s="1"/>
  <c r="BP335" i="4"/>
  <c r="CA138" i="2"/>
  <c r="BY139" i="2"/>
  <c r="BY140" i="2" s="1"/>
  <c r="BY141" i="2" s="1"/>
  <c r="BN173" i="2"/>
  <c r="EF159" i="4"/>
  <c r="BN761" i="4"/>
  <c r="BN758" i="4" s="1"/>
  <c r="BN766" i="4" s="1"/>
  <c r="BI49" i="4"/>
  <c r="BI70" i="4" s="1"/>
  <c r="K53" i="9"/>
  <c r="BJ634" i="2"/>
  <c r="BJ636" i="2" s="1"/>
  <c r="BJ639" i="2" s="1"/>
  <c r="BJ642" i="2" s="1"/>
  <c r="BJ644" i="2" s="1"/>
  <c r="BJ307" i="2"/>
  <c r="BJ324" i="2" s="1"/>
  <c r="AZ685" i="4"/>
  <c r="BN347" i="4"/>
  <c r="BN471" i="4" s="1"/>
  <c r="BN472" i="4" s="1"/>
  <c r="BG55" i="2"/>
  <c r="BG180" i="2" s="1"/>
  <c r="BP263" i="4"/>
  <c r="BJ757" i="4"/>
  <c r="BJ765" i="4" s="1"/>
  <c r="BJ759" i="4"/>
  <c r="BJ767" i="4" s="1"/>
  <c r="BN438" i="4"/>
  <c r="BN439" i="4" s="1"/>
  <c r="BN335" i="4"/>
  <c r="BM335" i="4"/>
  <c r="BR282" i="4"/>
  <c r="BR283" i="4" s="1"/>
  <c r="AA56" i="9"/>
  <c r="BG61" i="2"/>
  <c r="AX180" i="2"/>
  <c r="AX184" i="2" s="1"/>
  <c r="AX187" i="2" s="1"/>
  <c r="BP16" i="4"/>
  <c r="BQ16" i="4" s="1"/>
  <c r="BO413" i="4"/>
  <c r="BO414" i="4" s="1"/>
  <c r="AX957" i="4"/>
  <c r="BJ152" i="2"/>
  <c r="BH179" i="2"/>
  <c r="AX53" i="2"/>
  <c r="AX43" i="2" s="1"/>
  <c r="AX476" i="2" s="1"/>
  <c r="AX477" i="2" s="1"/>
  <c r="AX478" i="2" s="1"/>
  <c r="BP344" i="4"/>
  <c r="BP342" i="4" s="1"/>
  <c r="BN304" i="2"/>
  <c r="BO305" i="2"/>
  <c r="BN305" i="2" s="1"/>
  <c r="BS292" i="2"/>
  <c r="BQ292" i="2"/>
  <c r="BR290" i="2"/>
  <c r="BR304" i="2" s="1"/>
  <c r="BG762" i="4"/>
  <c r="BN640" i="2"/>
  <c r="BN513" i="2"/>
  <c r="BN327" i="2"/>
  <c r="BN166" i="2"/>
  <c r="BN328" i="2"/>
  <c r="BN120" i="3"/>
  <c r="BN119" i="3" s="1"/>
  <c r="BN329" i="2"/>
  <c r="BN330" i="2" s="1"/>
  <c r="BO330" i="2"/>
  <c r="BO71" i="4"/>
  <c r="BO30" i="2"/>
  <c r="BO68" i="4"/>
  <c r="BP328" i="2"/>
  <c r="BP120" i="3"/>
  <c r="BP119" i="3" s="1"/>
  <c r="BP327" i="2"/>
  <c r="BP329" i="2"/>
  <c r="BP330" i="2" s="1"/>
  <c r="BP640" i="2"/>
  <c r="BP513" i="2"/>
  <c r="AX673" i="4"/>
  <c r="AX715" i="4" s="1"/>
  <c r="K57" i="9"/>
  <c r="BN462" i="4"/>
  <c r="BN432" i="4"/>
  <c r="BN441" i="4"/>
  <c r="BN326" i="4"/>
  <c r="AQ69" i="2"/>
  <c r="AQ153" i="2"/>
  <c r="AT153" i="2"/>
  <c r="AQ160" i="2"/>
  <c r="AQ60" i="2"/>
  <c r="AN153" i="2"/>
  <c r="AN60" i="2"/>
  <c r="AN160" i="2"/>
  <c r="AM68" i="2"/>
  <c r="AO171" i="2" s="1"/>
  <c r="AN69" i="2"/>
  <c r="AN184" i="2"/>
  <c r="AM180" i="2"/>
  <c r="BO339" i="4"/>
  <c r="AM345" i="2"/>
  <c r="AM4" i="3"/>
  <c r="AM10" i="3" s="1"/>
  <c r="AM176" i="2"/>
  <c r="AM73" i="2"/>
  <c r="AM331" i="2"/>
  <c r="AM161" i="2"/>
  <c r="AM172" i="2"/>
  <c r="BN72" i="4"/>
  <c r="K59" i="9"/>
  <c r="BO409" i="4"/>
  <c r="BO410" i="4" s="1"/>
  <c r="BN202" i="3"/>
  <c r="BM450" i="4"/>
  <c r="BO450" i="4" s="1"/>
  <c r="BN5" i="3"/>
  <c r="BN11" i="3" s="1"/>
  <c r="BR761" i="4"/>
  <c r="BR759" i="4" s="1"/>
  <c r="BR767" i="4" s="1"/>
  <c r="BM761" i="4"/>
  <c r="BM757" i="4" s="1"/>
  <c r="BM765" i="4" s="1"/>
  <c r="BO405" i="4"/>
  <c r="BO406" i="4" s="1"/>
  <c r="BP173" i="2"/>
  <c r="BO762" i="4"/>
  <c r="BO769" i="4"/>
  <c r="BO759" i="4"/>
  <c r="BO767" i="4" s="1"/>
  <c r="AB307" i="2"/>
  <c r="AA264" i="2"/>
  <c r="AV327" i="2"/>
  <c r="AV328" i="2"/>
  <c r="BO758" i="4"/>
  <c r="BO766" i="4" s="1"/>
  <c r="BO757" i="4"/>
  <c r="BO765" i="4" s="1"/>
  <c r="ED50" i="4"/>
  <c r="ED61" i="4" s="1"/>
  <c r="AY895" i="4"/>
  <c r="AC43" i="9"/>
  <c r="AC65" i="9"/>
  <c r="AC33" i="9"/>
  <c r="AC37" i="9"/>
  <c r="AC50" i="9"/>
  <c r="AC26" i="9"/>
  <c r="AC63" i="9"/>
  <c r="AC44" i="9"/>
  <c r="AC41" i="9"/>
  <c r="AC32" i="9"/>
  <c r="AC30" i="9"/>
  <c r="AC53" i="9"/>
  <c r="AC38" i="9"/>
  <c r="AC36" i="9"/>
  <c r="V307" i="2"/>
  <c r="U264" i="2"/>
  <c r="AD43" i="9"/>
  <c r="AD50" i="9"/>
  <c r="AD36" i="9"/>
  <c r="AD32" i="9"/>
  <c r="AD53" i="9"/>
  <c r="AD38" i="9"/>
  <c r="AD65" i="9"/>
  <c r="AD33" i="9"/>
  <c r="AB43" i="9"/>
  <c r="AB49" i="9"/>
  <c r="AB38" i="9"/>
  <c r="AB33" i="9"/>
  <c r="AB26" i="9"/>
  <c r="AB63" i="9"/>
  <c r="AB53" i="9"/>
  <c r="AB51" i="9"/>
  <c r="AB44" i="9"/>
  <c r="AB45" i="9"/>
  <c r="AB41" i="9"/>
  <c r="AB30" i="9"/>
  <c r="AB65" i="9"/>
  <c r="AB52" i="9"/>
  <c r="AB50" i="9"/>
  <c r="AB46" i="9"/>
  <c r="AB36" i="9"/>
  <c r="AB48" i="9"/>
  <c r="AB37" i="9"/>
  <c r="AB32" i="9"/>
  <c r="BB841" i="4"/>
  <c r="G57" i="9"/>
  <c r="F57" i="9"/>
  <c r="Y25" i="9"/>
  <c r="X25" i="9"/>
  <c r="M66" i="9"/>
  <c r="M58" i="9"/>
  <c r="M56" i="9"/>
  <c r="M54" i="9"/>
  <c r="M52" i="9"/>
  <c r="L58" i="9"/>
  <c r="L59" i="9" s="1"/>
  <c r="L66" i="9"/>
  <c r="L56" i="9"/>
  <c r="L57" i="9" s="1"/>
  <c r="L52" i="9"/>
  <c r="L53" i="9" s="1"/>
  <c r="L54" i="9"/>
  <c r="L55" i="9" s="1"/>
  <c r="I66" i="9"/>
  <c r="I56" i="9"/>
  <c r="H66" i="9"/>
  <c r="H56" i="9"/>
  <c r="H57" i="9" s="1"/>
  <c r="BH822" i="4"/>
  <c r="BG822" i="4" s="1"/>
  <c r="BA840" i="4"/>
  <c r="BA846" i="4" s="1"/>
  <c r="BA847" i="4" s="1"/>
  <c r="BA848" i="4" s="1"/>
  <c r="BA849" i="4" s="1"/>
  <c r="BN451" i="4"/>
  <c r="EU282" i="2"/>
  <c r="ES282" i="2"/>
  <c r="EX85" i="2"/>
  <c r="EV376" i="4"/>
  <c r="EY376" i="4" s="1"/>
  <c r="ET376" i="4"/>
  <c r="ET393" i="4" s="1"/>
  <c r="ES393" i="4"/>
  <c r="DQ124" i="3"/>
  <c r="EU85" i="2"/>
  <c r="BN456" i="2"/>
  <c r="BP28" i="3"/>
  <c r="BY215" i="3"/>
  <c r="CA217" i="3"/>
  <c r="BH456" i="2"/>
  <c r="CO35" i="2"/>
  <c r="CP34" i="2"/>
  <c r="DA35" i="2"/>
  <c r="DB34" i="2"/>
  <c r="CU35" i="2"/>
  <c r="CT34" i="2"/>
  <c r="EQ282" i="2"/>
  <c r="BV301" i="4"/>
  <c r="BF823" i="4"/>
  <c r="BI823" i="4" s="1"/>
  <c r="BC841" i="4"/>
  <c r="BN343" i="4"/>
  <c r="BH762" i="4"/>
  <c r="BL822" i="4"/>
  <c r="BL828" i="4" s="1"/>
  <c r="BL829" i="4" s="1"/>
  <c r="BL830" i="4" s="1"/>
  <c r="BL831" i="4" s="1"/>
  <c r="BG171" i="4"/>
  <c r="BI840" i="4"/>
  <c r="BI846" i="4" s="1"/>
  <c r="BI847" i="4" s="1"/>
  <c r="BI848" i="4" s="1"/>
  <c r="BI849" i="4" s="1"/>
  <c r="BM400" i="4"/>
  <c r="BM403" i="4"/>
  <c r="BF262" i="4"/>
  <c r="BI263" i="4" s="1"/>
  <c r="BD422" i="4"/>
  <c r="BG423" i="4" s="1"/>
  <c r="BI529" i="2"/>
  <c r="BH413" i="2"/>
  <c r="BI522" i="2"/>
  <c r="BI530" i="2" s="1"/>
  <c r="BJ413" i="2"/>
  <c r="BH28" i="3"/>
  <c r="EJ159" i="4"/>
  <c r="EG50" i="4"/>
  <c r="DJ35" i="2"/>
  <c r="DI34" i="2"/>
  <c r="AP73" i="2"/>
  <c r="AP154" i="2"/>
  <c r="AP345" i="2"/>
  <c r="AP176" i="2"/>
  <c r="AP172" i="2"/>
  <c r="AP4" i="3"/>
  <c r="AP10" i="3" s="1"/>
  <c r="AP161" i="2"/>
  <c r="AP331" i="2"/>
  <c r="AP343" i="2"/>
  <c r="BR6" i="4"/>
  <c r="AO153" i="2"/>
  <c r="AP68" i="2"/>
  <c r="AR171" i="2" s="1"/>
  <c r="AO60" i="2"/>
  <c r="AO160" i="2"/>
  <c r="AO69" i="2"/>
  <c r="CB69" i="4"/>
  <c r="AO184" i="2"/>
  <c r="AP180" i="2"/>
  <c r="BW78" i="2"/>
  <c r="BY78" i="2"/>
  <c r="CA78" i="2" s="1"/>
  <c r="K202" i="3"/>
  <c r="L213" i="2"/>
  <c r="DR133" i="3"/>
  <c r="DT133" i="3" s="1"/>
  <c r="DQ133" i="3"/>
  <c r="CK455" i="2"/>
  <c r="CK148" i="3"/>
  <c r="CL149" i="3"/>
  <c r="AI25" i="2"/>
  <c r="AI400" i="2"/>
  <c r="AI398" i="2"/>
  <c r="AL441" i="2"/>
  <c r="AK410" i="2"/>
  <c r="AK409" i="2"/>
  <c r="AK411" i="2"/>
  <c r="BV279" i="2"/>
  <c r="BX279" i="2" s="1"/>
  <c r="BT279" i="2"/>
  <c r="BQ287" i="2"/>
  <c r="BQ630" i="2" s="1"/>
  <c r="BQ631" i="2" s="1"/>
  <c r="BR630" i="2"/>
  <c r="BR631" i="2" s="1"/>
  <c r="BM634" i="2"/>
  <c r="BM636" i="2" s="1"/>
  <c r="BM639" i="2" s="1"/>
  <c r="BM642" i="2" s="1"/>
  <c r="DT124" i="3"/>
  <c r="DU124" i="3"/>
  <c r="DV124" i="3" s="1"/>
  <c r="DX124" i="3" s="1"/>
  <c r="EE301" i="2"/>
  <c r="EG301" i="2"/>
  <c r="EI301" i="2" s="1"/>
  <c r="EG279" i="2"/>
  <c r="EI279" i="2" s="1"/>
  <c r="EE279" i="2"/>
  <c r="EE272" i="2"/>
  <c r="EG272" i="2"/>
  <c r="EI272" i="2" s="1"/>
  <c r="EE281" i="2"/>
  <c r="EG281" i="2"/>
  <c r="EI281" i="2" s="1"/>
  <c r="EC248" i="2"/>
  <c r="EA248" i="2"/>
  <c r="EA33" i="3" s="1"/>
  <c r="DY248" i="2"/>
  <c r="DY33" i="3" s="1"/>
  <c r="DY35" i="3" s="1"/>
  <c r="DZ33" i="3"/>
  <c r="DZ35" i="3" s="1"/>
  <c r="DX35" i="3"/>
  <c r="DF110" i="3"/>
  <c r="DG109" i="3"/>
  <c r="DG110" i="3" s="1"/>
  <c r="DG17" i="3" s="1"/>
  <c r="CL222" i="3"/>
  <c r="BQ180" i="3"/>
  <c r="BQ26" i="3"/>
  <c r="BQ28" i="3" s="1"/>
  <c r="BN28" i="3"/>
  <c r="BM307" i="2"/>
  <c r="BM324" i="2" s="1"/>
  <c r="DY125" i="3"/>
  <c r="DZ125" i="3" s="1"/>
  <c r="DZ78" i="2" s="1"/>
  <c r="BO337" i="4"/>
  <c r="BO338" i="4" s="1"/>
  <c r="BW309" i="4"/>
  <c r="BW310" i="4" s="1"/>
  <c r="BV283" i="4"/>
  <c r="BU282" i="4"/>
  <c r="BQ62" i="4"/>
  <c r="DR295" i="4"/>
  <c r="DR296" i="4" s="1"/>
  <c r="DU375" i="4"/>
  <c r="DR203" i="4"/>
  <c r="DR204" i="4" s="1"/>
  <c r="BE768" i="4"/>
  <c r="BN449" i="4"/>
  <c r="CQ105" i="4"/>
  <c r="CQ96" i="4" s="1"/>
  <c r="CN108" i="4"/>
  <c r="CN106" i="4"/>
  <c r="CN747" i="4"/>
  <c r="CN748" i="4" s="1"/>
  <c r="CN749" i="4" s="1"/>
  <c r="DT111" i="4"/>
  <c r="BR51" i="4"/>
  <c r="CR32" i="4"/>
  <c r="BF170" i="4"/>
  <c r="BI171" i="4" s="1"/>
  <c r="AZ889" i="4"/>
  <c r="BA889" i="4" s="1"/>
  <c r="BI169" i="4"/>
  <c r="EC61" i="4"/>
  <c r="CS18" i="4"/>
  <c r="D66" i="9" s="1"/>
  <c r="CC305" i="4"/>
  <c r="CC307" i="4" s="1"/>
  <c r="CF383" i="4"/>
  <c r="CF213" i="4" s="1"/>
  <c r="CT32" i="4"/>
  <c r="BI68" i="4"/>
  <c r="BE828" i="4"/>
  <c r="BE829" i="4" s="1"/>
  <c r="BE830" i="4" s="1"/>
  <c r="BE831" i="4" s="1"/>
  <c r="CQ48" i="4"/>
  <c r="CQ69" i="4" s="1"/>
  <c r="BX273" i="4"/>
  <c r="BH768" i="4"/>
  <c r="BH771" i="4" s="1"/>
  <c r="BL273" i="4"/>
  <c r="BD822" i="4"/>
  <c r="BD828" i="4" s="1"/>
  <c r="BD829" i="4" s="1"/>
  <c r="BD830" i="4" s="1"/>
  <c r="BD831" i="4" s="1"/>
  <c r="BD768" i="4"/>
  <c r="BD771" i="4" s="1"/>
  <c r="BD762" i="4"/>
  <c r="CC386" i="4"/>
  <c r="BZ214" i="4"/>
  <c r="AY956" i="4"/>
  <c r="CW277" i="4"/>
  <c r="BO440" i="4"/>
  <c r="BX275" i="4"/>
  <c r="BX276" i="4" s="1"/>
  <c r="CE59" i="4"/>
  <c r="AZ583" i="4"/>
  <c r="AZ631" i="4" s="1"/>
  <c r="BR386" i="4"/>
  <c r="BR383" i="4" s="1"/>
  <c r="BR305" i="4" s="1"/>
  <c r="AX622" i="4"/>
  <c r="AX664" i="4" s="1"/>
  <c r="CF48" i="4"/>
  <c r="CF59" i="4" s="1"/>
  <c r="CG18" i="4"/>
  <c r="CJ32" i="4" s="1"/>
  <c r="CI32" i="4"/>
  <c r="CC214" i="4"/>
  <c r="CC215" i="4"/>
  <c r="BO852" i="4"/>
  <c r="BR852" i="4" s="1"/>
  <c r="BD7" i="4"/>
  <c r="BD72" i="4"/>
  <c r="BD62" i="4"/>
  <c r="BG62" i="4"/>
  <c r="BJ852" i="4"/>
  <c r="BK852" i="4" s="1"/>
  <c r="DH665" i="2"/>
  <c r="DH122" i="4"/>
  <c r="DK122" i="4"/>
  <c r="BZ69" i="4"/>
  <c r="CA48" i="4"/>
  <c r="CA69" i="4" s="1"/>
  <c r="BP7" i="4"/>
  <c r="BP62" i="4"/>
  <c r="BF762" i="4"/>
  <c r="BO284" i="4"/>
  <c r="BM313" i="4"/>
  <c r="BC768" i="4"/>
  <c r="BX18" i="4"/>
  <c r="BW48" i="4"/>
  <c r="BX48" i="4" s="1"/>
  <c r="BZ32" i="4"/>
  <c r="BX152" i="4"/>
  <c r="BX494" i="4" s="1"/>
  <c r="BX497" i="4" s="1"/>
  <c r="BV69" i="4"/>
  <c r="BY59" i="4"/>
  <c r="CA323" i="4"/>
  <c r="CA324" i="4" s="1"/>
  <c r="BY324" i="4"/>
  <c r="DT665" i="2"/>
  <c r="EK159" i="4"/>
  <c r="EH50" i="4"/>
  <c r="EI159" i="4"/>
  <c r="BP301" i="4"/>
  <c r="BR301" i="4" s="1"/>
  <c r="BR299" i="4"/>
  <c r="CI322" i="4"/>
  <c r="CI321" i="4"/>
  <c r="CI323" i="4" s="1"/>
  <c r="CI324" i="4" s="1"/>
  <c r="BP323" i="4"/>
  <c r="BR323" i="4" s="1"/>
  <c r="BR321" i="4"/>
  <c r="CL228" i="4"/>
  <c r="CL226" i="4"/>
  <c r="BT324" i="4"/>
  <c r="BU323" i="4"/>
  <c r="BU324" i="4" s="1"/>
  <c r="BH472" i="4"/>
  <c r="BH432" i="4"/>
  <c r="BH423" i="4"/>
  <c r="BH462" i="4"/>
  <c r="BH451" i="4"/>
  <c r="BK423" i="4"/>
  <c r="BH441" i="4"/>
  <c r="EE61" i="4"/>
  <c r="CR392" i="4"/>
  <c r="CO225" i="4"/>
  <c r="CO317" i="4"/>
  <c r="CO395" i="4"/>
  <c r="CO397" i="4" s="1"/>
  <c r="CO398" i="4" s="1"/>
  <c r="CL318" i="4"/>
  <c r="CL320" i="4"/>
  <c r="BP302" i="4"/>
  <c r="BR300" i="4"/>
  <c r="BR302" i="4" s="1"/>
  <c r="CI229" i="4"/>
  <c r="CI231" i="4"/>
  <c r="CQ392" i="4"/>
  <c r="CN225" i="4"/>
  <c r="CN395" i="4"/>
  <c r="CN317" i="4"/>
  <c r="EK484" i="4"/>
  <c r="EM484" i="4"/>
  <c r="BL71" i="4"/>
  <c r="BL68" i="4"/>
  <c r="BO34" i="4"/>
  <c r="BL34" i="4"/>
  <c r="CK397" i="4"/>
  <c r="CM395" i="4"/>
  <c r="CM392" i="4" s="1"/>
  <c r="CM393" i="4" s="1"/>
  <c r="BP218" i="4"/>
  <c r="BR218" i="4" s="1"/>
  <c r="BP220" i="4"/>
  <c r="BR220" i="4" s="1"/>
  <c r="BR222" i="4" s="1"/>
  <c r="BK11" i="4"/>
  <c r="BL3" i="4"/>
  <c r="BL11" i="4" s="1"/>
  <c r="CK228" i="4"/>
  <c r="CM225" i="4"/>
  <c r="CM226" i="4" s="1"/>
  <c r="CK226" i="4"/>
  <c r="CJ393" i="4"/>
  <c r="CH322" i="4"/>
  <c r="CH321" i="4"/>
  <c r="CJ320" i="4"/>
  <c r="BK70" i="4"/>
  <c r="BN60" i="4"/>
  <c r="BK51" i="4"/>
  <c r="BK6" i="4" s="1"/>
  <c r="BL6" i="4" s="1"/>
  <c r="BL49" i="4"/>
  <c r="BK60" i="4"/>
  <c r="CJ228" i="4"/>
  <c r="CH231" i="4"/>
  <c r="CH229" i="4"/>
  <c r="CK320" i="4"/>
  <c r="CK318" i="4"/>
  <c r="CM317" i="4"/>
  <c r="CM318" i="4" s="1"/>
  <c r="CH398" i="4"/>
  <c r="CJ397" i="4"/>
  <c r="CJ398" i="4" s="1"/>
  <c r="BS525" i="4"/>
  <c r="BQ527" i="4"/>
  <c r="BL59" i="4"/>
  <c r="BL69" i="4"/>
  <c r="BO59" i="4"/>
  <c r="BI53" i="4"/>
  <c r="BL53" i="4"/>
  <c r="EQ376" i="4"/>
  <c r="EQ393" i="4" s="1"/>
  <c r="EP393" i="4"/>
  <c r="DW82" i="4"/>
  <c r="CO48" i="4"/>
  <c r="CR59" i="4" s="1"/>
  <c r="CP18" i="4"/>
  <c r="CP32" i="4" s="1"/>
  <c r="EB111" i="4"/>
  <c r="BD460" i="4"/>
  <c r="BD439" i="4"/>
  <c r="BD470" i="4"/>
  <c r="BD449" i="4"/>
  <c r="BD430" i="4"/>
  <c r="BJ170" i="4"/>
  <c r="BL168" i="4"/>
  <c r="BL169" i="4" s="1"/>
  <c r="BJ169" i="4"/>
  <c r="BP163" i="4"/>
  <c r="BP205" i="4"/>
  <c r="BP208" i="4" s="1"/>
  <c r="BR208" i="4" s="1"/>
  <c r="BS173" i="4"/>
  <c r="BS178" i="4" s="1"/>
  <c r="BR173" i="4"/>
  <c r="BJ181" i="4"/>
  <c r="BL180" i="4"/>
  <c r="BL181" i="4" s="1"/>
  <c r="BO205" i="4"/>
  <c r="BO203" i="4" s="1"/>
  <c r="BM206" i="4"/>
  <c r="BO206" i="4" s="1"/>
  <c r="BM208" i="4"/>
  <c r="BO208" i="4" s="1"/>
  <c r="BM179" i="4"/>
  <c r="BO178" i="4"/>
  <c r="BO179" i="4" s="1"/>
  <c r="BM168" i="4"/>
  <c r="BM180" i="4"/>
  <c r="BM164" i="4"/>
  <c r="BO163" i="4"/>
  <c r="BO164" i="4" s="1"/>
  <c r="AT158" i="2"/>
  <c r="AT53" i="2"/>
  <c r="AT43" i="2" s="1"/>
  <c r="AT56" i="2"/>
  <c r="BG771" i="4"/>
  <c r="AX634" i="4"/>
  <c r="AX682" i="4" s="1"/>
  <c r="BJ853" i="4"/>
  <c r="BK853" i="4" s="1"/>
  <c r="BO853" i="4"/>
  <c r="BR853" i="4" s="1"/>
  <c r="BP853" i="4" s="1"/>
  <c r="BQ853" i="4" s="1"/>
  <c r="AY633" i="4"/>
  <c r="AY621" i="4"/>
  <c r="AX711" i="4"/>
  <c r="BA830" i="4"/>
  <c r="BA831" i="4" s="1"/>
  <c r="BA865" i="4"/>
  <c r="BB865" i="4" s="1"/>
  <c r="BC865" i="4" s="1"/>
  <c r="BB651" i="4"/>
  <c r="BC651" i="4" s="1"/>
  <c r="BD651" i="4" s="1"/>
  <c r="BE651" i="4" s="1"/>
  <c r="BF651" i="4" s="1"/>
  <c r="BG651" i="4" s="1"/>
  <c r="BH651" i="4" s="1"/>
  <c r="BI651" i="4" s="1"/>
  <c r="BJ651" i="4" s="1"/>
  <c r="BK651" i="4" s="1"/>
  <c r="BO835" i="4"/>
  <c r="BM835" i="4" s="1"/>
  <c r="BN835" i="4" s="1"/>
  <c r="AX897" i="4"/>
  <c r="AX729" i="4"/>
  <c r="AX932" i="4" s="1"/>
  <c r="BC825" i="4"/>
  <c r="AZ838" i="4"/>
  <c r="AZ843" i="4"/>
  <c r="AZ856" i="4" s="1"/>
  <c r="AX657" i="4"/>
  <c r="AX699" i="4" s="1"/>
  <c r="AX663" i="4"/>
  <c r="AX705" i="4" s="1"/>
  <c r="AX908" i="4" s="1"/>
  <c r="AY627" i="4"/>
  <c r="AY669" i="4" s="1"/>
  <c r="AY711" i="4" s="1"/>
  <c r="AY639" i="4"/>
  <c r="AY687" i="4" s="1"/>
  <c r="AY729" i="4" s="1"/>
  <c r="AZ591" i="4"/>
  <c r="AZ585" i="4" s="1"/>
  <c r="AX675" i="4"/>
  <c r="AX717" i="4" s="1"/>
  <c r="AX920" i="4" s="1"/>
  <c r="AX681" i="4"/>
  <c r="AX723" i="4" s="1"/>
  <c r="AX926" i="4" s="1"/>
  <c r="BP837" i="4"/>
  <c r="BQ837" i="4" s="1"/>
  <c r="BU837" i="4"/>
  <c r="BA569" i="4"/>
  <c r="AY894" i="4"/>
  <c r="CN266" i="4"/>
  <c r="CN298" i="4"/>
  <c r="CN299" i="4" s="1"/>
  <c r="CN163" i="4"/>
  <c r="CN164" i="4" s="1"/>
  <c r="CO354" i="4"/>
  <c r="CL355" i="4"/>
  <c r="CM354" i="4"/>
  <c r="CM355" i="4" s="1"/>
  <c r="BU363" i="4"/>
  <c r="CT102" i="4"/>
  <c r="CQ265" i="4"/>
  <c r="CQ746" i="4"/>
  <c r="DD59" i="4"/>
  <c r="DG59" i="4"/>
  <c r="CT174" i="4"/>
  <c r="CT205" i="4"/>
  <c r="CT206" i="4" s="1"/>
  <c r="EA75" i="4"/>
  <c r="EA538" i="4" s="1"/>
  <c r="EA540" i="4" s="1"/>
  <c r="DY76" i="4"/>
  <c r="CZ99" i="4"/>
  <c r="CW173" i="4"/>
  <c r="CW745" i="4"/>
  <c r="CJ355" i="4"/>
  <c r="DF59" i="4"/>
  <c r="DE48" i="4"/>
  <c r="DH59" i="4" s="1"/>
  <c r="AI184" i="2"/>
  <c r="AJ180" i="2"/>
  <c r="CR252" i="2"/>
  <c r="CS263" i="2"/>
  <c r="CO99" i="4"/>
  <c r="CL173" i="4"/>
  <c r="CL745" i="4"/>
  <c r="CL96" i="4"/>
  <c r="CM99" i="4"/>
  <c r="CM100" i="4" s="1"/>
  <c r="EG296" i="2"/>
  <c r="EI296" i="2" s="1"/>
  <c r="EE296" i="2"/>
  <c r="AJ68" i="2"/>
  <c r="AI160" i="2"/>
  <c r="AI60" i="2"/>
  <c r="AI69" i="2"/>
  <c r="AL153" i="2"/>
  <c r="BI51" i="4"/>
  <c r="BI72" i="4" s="1"/>
  <c r="CU256" i="2"/>
  <c r="CW256" i="2"/>
  <c r="CV255" i="2"/>
  <c r="U52" i="9" s="1"/>
  <c r="AJ73" i="2"/>
  <c r="AJ176" i="2"/>
  <c r="AJ345" i="2"/>
  <c r="AJ172" i="2"/>
  <c r="AJ4" i="3"/>
  <c r="AJ10" i="3" s="1"/>
  <c r="AM154" i="2"/>
  <c r="AJ161" i="2"/>
  <c r="AL172" i="2"/>
  <c r="BT281" i="4"/>
  <c r="BT260" i="4"/>
  <c r="BT312" i="4"/>
  <c r="BU312" i="4" s="1"/>
  <c r="L60" i="2"/>
  <c r="M55" i="2"/>
  <c r="BU189" i="4"/>
  <c r="BU185" i="4"/>
  <c r="CT213" i="2"/>
  <c r="CU213" i="2" s="1"/>
  <c r="CU214" i="2"/>
  <c r="CP207" i="3"/>
  <c r="BQ170" i="4"/>
  <c r="AY771" i="4"/>
  <c r="CM48" i="4"/>
  <c r="CM69" i="4" s="1"/>
  <c r="CL69" i="4"/>
  <c r="DQ35" i="2"/>
  <c r="DQ505" i="2"/>
  <c r="DP75" i="2"/>
  <c r="DP505" i="2" s="1"/>
  <c r="I202" i="3"/>
  <c r="I213" i="2"/>
  <c r="J202" i="3"/>
  <c r="BZ275" i="4"/>
  <c r="BW280" i="4"/>
  <c r="BW205" i="4"/>
  <c r="BW206" i="4" s="1"/>
  <c r="BZ173" i="4"/>
  <c r="BW163" i="4"/>
  <c r="BW164" i="4" s="1"/>
  <c r="AJ343" i="2"/>
  <c r="CI266" i="4"/>
  <c r="CJ265" i="4"/>
  <c r="CJ266" i="4" s="1"/>
  <c r="BT189" i="4"/>
  <c r="BT220" i="4"/>
  <c r="AH187" i="2"/>
  <c r="AG187" i="2" s="1"/>
  <c r="AG184" i="2"/>
  <c r="EB235" i="2"/>
  <c r="ED235" i="2"/>
  <c r="EF235" i="2"/>
  <c r="CI748" i="4"/>
  <c r="CI749" i="4" s="1"/>
  <c r="CJ745" i="4"/>
  <c r="CJ748" i="4" s="1"/>
  <c r="CJ749" i="4" s="1"/>
  <c r="BQ222" i="4"/>
  <c r="BQ221" i="4"/>
  <c r="CY91" i="3"/>
  <c r="CY93" i="3" s="1"/>
  <c r="CX297" i="2"/>
  <c r="CX91" i="3" s="1"/>
  <c r="CX93" i="3" s="1"/>
  <c r="BP580" i="4"/>
  <c r="BQ580" i="4" s="1"/>
  <c r="BU580" i="4"/>
  <c r="CG266" i="4"/>
  <c r="CD48" i="4"/>
  <c r="CC59" i="4"/>
  <c r="CC69" i="4"/>
  <c r="BB156" i="2"/>
  <c r="AY344" i="2"/>
  <c r="BA173" i="2"/>
  <c r="AY5" i="3"/>
  <c r="AY11" i="3" s="1"/>
  <c r="AY162" i="2"/>
  <c r="AY173" i="2"/>
  <c r="BA859" i="4"/>
  <c r="AZ955" i="4"/>
  <c r="Y374" i="2"/>
  <c r="W374" i="2"/>
  <c r="BQ284" i="4"/>
  <c r="CO102" i="4"/>
  <c r="CL265" i="4"/>
  <c r="CL746" i="4"/>
  <c r="CM746" i="4" s="1"/>
  <c r="CM102" i="4"/>
  <c r="CM103" i="4" s="1"/>
  <c r="BZ183" i="4"/>
  <c r="CA183" i="4" s="1"/>
  <c r="CA184" i="4" s="1"/>
  <c r="BW188" i="4"/>
  <c r="BX188" i="4" s="1"/>
  <c r="BW217" i="4"/>
  <c r="BW218" i="4" s="1"/>
  <c r="U385" i="2"/>
  <c r="U396" i="2"/>
  <c r="CJ173" i="4"/>
  <c r="CI163" i="4"/>
  <c r="CI174" i="4"/>
  <c r="BE27" i="3"/>
  <c r="BE28" i="3" s="1"/>
  <c r="BE456" i="2"/>
  <c r="BR189" i="4"/>
  <c r="BR185" i="4"/>
  <c r="BR186" i="4" s="1"/>
  <c r="CZ297" i="2"/>
  <c r="DB300" i="2"/>
  <c r="BV189" i="4"/>
  <c r="AY890" i="4"/>
  <c r="AY891" i="4" s="1"/>
  <c r="CW273" i="2"/>
  <c r="CU273" i="2"/>
  <c r="BG773" i="4"/>
  <c r="AY884" i="4"/>
  <c r="AY885" i="4" s="1"/>
  <c r="BK179" i="2"/>
  <c r="BU280" i="4"/>
  <c r="BU277" i="4" s="1"/>
  <c r="AX202" i="3"/>
  <c r="AY213" i="2"/>
  <c r="AY202" i="3" s="1"/>
  <c r="BK762" i="4"/>
  <c r="BK768" i="4"/>
  <c r="AZ813" i="4"/>
  <c r="AZ819" i="4" s="1"/>
  <c r="AY819" i="4"/>
  <c r="CI97" i="4"/>
  <c r="CJ96" i="4"/>
  <c r="CB183" i="4"/>
  <c r="BY188" i="4"/>
  <c r="AX896" i="4"/>
  <c r="AY878" i="4"/>
  <c r="AY879" i="4" s="1"/>
  <c r="CD32" i="4"/>
  <c r="DZ260" i="2"/>
  <c r="DX213" i="3"/>
  <c r="BN251" i="4"/>
  <c r="BN252" i="4" s="1"/>
  <c r="BN459" i="4"/>
  <c r="BN460" i="4" s="1"/>
  <c r="BO425" i="4"/>
  <c r="BO474" i="4"/>
  <c r="BE148" i="3"/>
  <c r="BT180" i="4"/>
  <c r="BT168" i="4"/>
  <c r="BT179" i="4"/>
  <c r="BT208" i="4"/>
  <c r="BM644" i="4"/>
  <c r="CZ213" i="2"/>
  <c r="DA214" i="2"/>
  <c r="BU213" i="2"/>
  <c r="BT214" i="2"/>
  <c r="BQ7" i="4"/>
  <c r="BN403" i="4"/>
  <c r="BN433" i="4"/>
  <c r="BO402" i="4"/>
  <c r="BO403" i="4" s="1"/>
  <c r="BI213" i="2"/>
  <c r="BH214" i="2"/>
  <c r="BF842" i="4"/>
  <c r="BI824" i="4"/>
  <c r="BE824" i="4"/>
  <c r="DC186" i="4"/>
  <c r="CZ278" i="4"/>
  <c r="DA186" i="4"/>
  <c r="CZ365" i="4"/>
  <c r="AD55" i="2"/>
  <c r="AD53" i="2" s="1"/>
  <c r="AC53" i="2"/>
  <c r="AC43" i="2" s="1"/>
  <c r="AD43" i="2" s="1"/>
  <c r="DG13" i="2"/>
  <c r="AX710" i="4"/>
  <c r="BA56" i="2"/>
  <c r="BA53" i="2"/>
  <c r="BA43" i="2" s="1"/>
  <c r="BA476" i="2" s="1"/>
  <c r="BA477" i="2" s="1"/>
  <c r="BA151" i="2"/>
  <c r="BA158" i="2"/>
  <c r="BA180" i="2"/>
  <c r="DL274" i="2"/>
  <c r="DN274" i="2" s="1"/>
  <c r="AA58" i="9" s="1"/>
  <c r="DJ274" i="2"/>
  <c r="BG5" i="3"/>
  <c r="BG11" i="3" s="1"/>
  <c r="BG162" i="2"/>
  <c r="BG156" i="2"/>
  <c r="BG344" i="2"/>
  <c r="BG173" i="2"/>
  <c r="BG202" i="3"/>
  <c r="BH90" i="2"/>
  <c r="BJ156" i="2"/>
  <c r="BS367" i="4"/>
  <c r="BS389" i="4"/>
  <c r="BS351" i="4"/>
  <c r="AY626" i="4"/>
  <c r="AY668" i="4" s="1"/>
  <c r="AY710" i="4" s="1"/>
  <c r="AY638" i="4"/>
  <c r="AY686" i="4" s="1"/>
  <c r="AY728" i="4" s="1"/>
  <c r="AY931" i="4" s="1"/>
  <c r="AO202" i="3"/>
  <c r="AP213" i="2"/>
  <c r="AP202" i="3" s="1"/>
  <c r="BE69" i="2"/>
  <c r="BE160" i="2"/>
  <c r="BE171" i="2"/>
  <c r="BE153" i="2"/>
  <c r="BG171" i="2"/>
  <c r="BA589" i="4"/>
  <c r="BA583" i="4" s="1"/>
  <c r="BB567" i="4"/>
  <c r="DA13" i="2"/>
  <c r="DA14" i="2" s="1"/>
  <c r="DA147" i="2"/>
  <c r="CD834" i="4"/>
  <c r="CB834" i="4" s="1"/>
  <c r="CC834" i="4" s="1"/>
  <c r="DB18" i="4"/>
  <c r="G66" i="9" s="1"/>
  <c r="CZ48" i="4"/>
  <c r="CZ32" i="4"/>
  <c r="DC32" i="4"/>
  <c r="DI348" i="2"/>
  <c r="AY69" i="2"/>
  <c r="AY160" i="2"/>
  <c r="AY171" i="2"/>
  <c r="BA171" i="2"/>
  <c r="AY153" i="2"/>
  <c r="BD811" i="4"/>
  <c r="BE810" i="4"/>
  <c r="BD816" i="4"/>
  <c r="BE498" i="2"/>
  <c r="BD499" i="2"/>
  <c r="BD497" i="2"/>
  <c r="BD504" i="2"/>
  <c r="BD500" i="2"/>
  <c r="BA824" i="4"/>
  <c r="BA842" i="4" s="1"/>
  <c r="BB842" i="4"/>
  <c r="CX278" i="4"/>
  <c r="CX277" i="4" s="1"/>
  <c r="CX365" i="4"/>
  <c r="CX364" i="4" s="1"/>
  <c r="DM11" i="2"/>
  <c r="BX579" i="4"/>
  <c r="BS579" i="4"/>
  <c r="BT579" i="4" s="1"/>
  <c r="AX728" i="4"/>
  <c r="T55" i="2"/>
  <c r="U60" i="2"/>
  <c r="BQ241" i="4"/>
  <c r="BQ243" i="4" s="1"/>
  <c r="BQ246" i="4"/>
  <c r="BQ248" i="4" s="1"/>
  <c r="BQ169" i="4"/>
  <c r="DJ62" i="2"/>
  <c r="DJ27" i="3" s="1"/>
  <c r="DK27" i="3"/>
  <c r="I55" i="2"/>
  <c r="I53" i="2" s="1"/>
  <c r="J53" i="2"/>
  <c r="J43" i="2" s="1"/>
  <c r="I43" i="2" s="1"/>
  <c r="BN400" i="4"/>
  <c r="DO13" i="2"/>
  <c r="DO14" i="2" s="1"/>
  <c r="AY584" i="4"/>
  <c r="BZ264" i="2"/>
  <c r="CF115" i="2"/>
  <c r="CF13" i="2" s="1"/>
  <c r="CG13" i="2"/>
  <c r="AY667" i="4"/>
  <c r="AZ864" i="4"/>
  <c r="AY867" i="4"/>
  <c r="AX688" i="4"/>
  <c r="AR202" i="3"/>
  <c r="AS213" i="2"/>
  <c r="AS202" i="3" s="1"/>
  <c r="AX697" i="4"/>
  <c r="CG213" i="2"/>
  <c r="CF214" i="2"/>
  <c r="DT48" i="4"/>
  <c r="BI55" i="2"/>
  <c r="BI61" i="2"/>
  <c r="BI617" i="2"/>
  <c r="BI622" i="2" s="1"/>
  <c r="BI159" i="2"/>
  <c r="BI152" i="2"/>
  <c r="BH60" i="2"/>
  <c r="DR292" i="2"/>
  <c r="DP292" i="2"/>
  <c r="BM443" i="4"/>
  <c r="CW364" i="4"/>
  <c r="AZ956" i="4"/>
  <c r="BK649" i="4"/>
  <c r="DC213" i="2"/>
  <c r="DD214" i="2"/>
  <c r="DS86" i="2"/>
  <c r="DT85" i="2"/>
  <c r="DS85" i="2" s="1"/>
  <c r="EC85" i="2"/>
  <c r="BX85" i="2"/>
  <c r="CY85" i="2"/>
  <c r="BC307" i="2"/>
  <c r="BB264" i="2"/>
  <c r="BB343" i="2" s="1"/>
  <c r="BD343" i="2"/>
  <c r="BF343" i="2"/>
  <c r="CK366" i="2"/>
  <c r="CK224" i="3" s="1"/>
  <c r="CK365" i="2"/>
  <c r="AZ768" i="4"/>
  <c r="AZ771" i="4" s="1"/>
  <c r="BM152" i="2"/>
  <c r="BM617" i="2"/>
  <c r="BM622" i="2" s="1"/>
  <c r="BM61" i="2"/>
  <c r="BM159" i="2"/>
  <c r="BM55" i="2"/>
  <c r="BP390" i="4"/>
  <c r="BP402" i="4"/>
  <c r="BP400" i="4" s="1"/>
  <c r="DS293" i="2"/>
  <c r="DU293" i="2"/>
  <c r="DW293" i="2" s="1"/>
  <c r="BB170" i="2"/>
  <c r="BB159" i="2"/>
  <c r="BB61" i="2"/>
  <c r="BB617" i="2"/>
  <c r="BB622" i="2" s="1"/>
  <c r="BE621" i="2"/>
  <c r="CO222" i="3"/>
  <c r="CO348" i="2" s="1"/>
  <c r="CO27" i="2"/>
  <c r="BW362" i="4"/>
  <c r="BX362" i="4" s="1"/>
  <c r="BX363" i="4" s="1"/>
  <c r="BT387" i="4"/>
  <c r="BU387" i="4" s="1"/>
  <c r="BT366" i="4"/>
  <c r="BB153" i="2"/>
  <c r="K142" i="2"/>
  <c r="K143" i="2" s="1"/>
  <c r="K146" i="2" s="1"/>
  <c r="L142" i="2" s="1"/>
  <c r="L143" i="2" s="1"/>
  <c r="L146" i="2" s="1"/>
  <c r="M142" i="2"/>
  <c r="M143" i="2" s="1"/>
  <c r="M146" i="2" s="1"/>
  <c r="J307" i="2"/>
  <c r="I264" i="2"/>
  <c r="DO11" i="2"/>
  <c r="BD152" i="2"/>
  <c r="BD617" i="2"/>
  <c r="BD622" i="2" s="1"/>
  <c r="BD61" i="2"/>
  <c r="BD159" i="2"/>
  <c r="BD55" i="2"/>
  <c r="BD170" i="2"/>
  <c r="BX232" i="4"/>
  <c r="CX32" i="4"/>
  <c r="CX48" i="4"/>
  <c r="DA32" i="4"/>
  <c r="DJ5" i="3"/>
  <c r="DJ11" i="3" s="1"/>
  <c r="DJ344" i="2"/>
  <c r="DJ173" i="2"/>
  <c r="DL173" i="2"/>
  <c r="AA55" i="2"/>
  <c r="AA53" i="2" s="1"/>
  <c r="AB53" i="2"/>
  <c r="AB43" i="2" s="1"/>
  <c r="AA43" i="2" s="1"/>
  <c r="BI150" i="3"/>
  <c r="BG150" i="3"/>
  <c r="BN425" i="4"/>
  <c r="BN474" i="4"/>
  <c r="BN426" i="4"/>
  <c r="BC812" i="4"/>
  <c r="BC818" i="4" s="1"/>
  <c r="BB818" i="4"/>
  <c r="EK299" i="2"/>
  <c r="EM299" i="2"/>
  <c r="EO299" i="2" s="1"/>
  <c r="BY362" i="4"/>
  <c r="BV366" i="4"/>
  <c r="BV387" i="4"/>
  <c r="DJ13" i="2"/>
  <c r="BA568" i="4"/>
  <c r="BF152" i="2"/>
  <c r="BF159" i="2"/>
  <c r="BE60" i="2"/>
  <c r="BF55" i="2"/>
  <c r="BF617" i="2"/>
  <c r="BF622" i="2" s="1"/>
  <c r="BF61" i="2"/>
  <c r="BI652" i="4"/>
  <c r="AZ570" i="4"/>
  <c r="AV42" i="2"/>
  <c r="AY592" i="4"/>
  <c r="AY640" i="4" s="1"/>
  <c r="CX213" i="2"/>
  <c r="CE300" i="4"/>
  <c r="CE302" i="4" s="1"/>
  <c r="CE272" i="4"/>
  <c r="CE271" i="4"/>
  <c r="EE247" i="4"/>
  <c r="BJ53" i="2"/>
  <c r="BJ43" i="2" s="1"/>
  <c r="BJ476" i="2" s="1"/>
  <c r="BJ477" i="2" s="1"/>
  <c r="BJ180" i="2"/>
  <c r="BJ158" i="2"/>
  <c r="BJ56" i="2"/>
  <c r="BK456" i="2"/>
  <c r="BK27" i="3"/>
  <c r="BK28" i="3" s="1"/>
  <c r="CO213" i="2"/>
  <c r="DP115" i="2"/>
  <c r="AA15" i="9" s="1"/>
  <c r="BP93" i="3"/>
  <c r="BK691" i="4"/>
  <c r="BQ139" i="2"/>
  <c r="BH160" i="2"/>
  <c r="BH69" i="2"/>
  <c r="BH153" i="2"/>
  <c r="BH171" i="2"/>
  <c r="BJ171" i="2"/>
  <c r="AF202" i="3"/>
  <c r="AG213" i="2"/>
  <c r="BE475" i="2"/>
  <c r="BV86" i="2"/>
  <c r="BV85" i="2" s="1"/>
  <c r="BV90" i="2" s="1"/>
  <c r="BV460" i="2"/>
  <c r="BV464" i="2" s="1"/>
  <c r="DK189" i="2"/>
  <c r="Z31" i="9" s="1"/>
  <c r="Z39" i="9" s="1"/>
  <c r="DJ190" i="2"/>
  <c r="AX709" i="4"/>
  <c r="AX670" i="4"/>
  <c r="CG85" i="2"/>
  <c r="CD85" i="2"/>
  <c r="EF85" i="2"/>
  <c r="EL85" i="2"/>
  <c r="DE85" i="2"/>
  <c r="BL263" i="4"/>
  <c r="BR367" i="4"/>
  <c r="BR364" i="4"/>
  <c r="BR365" i="4" s="1"/>
  <c r="CY18" i="4"/>
  <c r="F66" i="9" s="1"/>
  <c r="CW32" i="4"/>
  <c r="CW48" i="4"/>
  <c r="CF643" i="4"/>
  <c r="BE64" i="4"/>
  <c r="BH29" i="4"/>
  <c r="BE29" i="4"/>
  <c r="AX680" i="4"/>
  <c r="AX722" i="4" s="1"/>
  <c r="AX925" i="4" s="1"/>
  <c r="AX674" i="4"/>
  <c r="AX716" i="4" s="1"/>
  <c r="AX919" i="4" s="1"/>
  <c r="BQ209" i="4"/>
  <c r="BQ181" i="4"/>
  <c r="BU836" i="4"/>
  <c r="BN442" i="4"/>
  <c r="BO442" i="4" s="1"/>
  <c r="BO443" i="4" s="1"/>
  <c r="BN136" i="4"/>
  <c r="BE139" i="2"/>
  <c r="M399" i="2"/>
  <c r="L399" i="2" s="1"/>
  <c r="K399" i="2" s="1"/>
  <c r="AD202" i="3"/>
  <c r="AD213" i="2"/>
  <c r="AE202" i="3"/>
  <c r="DP11" i="2"/>
  <c r="BR854" i="4"/>
  <c r="BP854" i="4" s="1"/>
  <c r="BQ854" i="4" s="1"/>
  <c r="BV281" i="4"/>
  <c r="BV260" i="4"/>
  <c r="BN452" i="4"/>
  <c r="BO452" i="4" s="1"/>
  <c r="BO453" i="4" s="1"/>
  <c r="BN139" i="4"/>
  <c r="BB813" i="4"/>
  <c r="BA819" i="4"/>
  <c r="BU855" i="4"/>
  <c r="DB270" i="2"/>
  <c r="BK625" i="2"/>
  <c r="BK627" i="2" s="1"/>
  <c r="N410" i="2"/>
  <c r="P416" i="2"/>
  <c r="N411" i="2"/>
  <c r="N409" i="2"/>
  <c r="N397" i="2" s="1"/>
  <c r="N398" i="2" s="1"/>
  <c r="P202" i="3"/>
  <c r="O213" i="2"/>
  <c r="O202" i="3"/>
  <c r="BL475" i="2"/>
  <c r="BK42" i="2"/>
  <c r="BD692" i="4"/>
  <c r="V202" i="3"/>
  <c r="U213" i="2"/>
  <c r="U202" i="3"/>
  <c r="BA751" i="4"/>
  <c r="AZ754" i="4"/>
  <c r="BI752" i="4"/>
  <c r="BV215" i="4"/>
  <c r="BV217" i="4" s="1"/>
  <c r="BV214" i="4"/>
  <c r="AY727" i="4"/>
  <c r="CD267" i="4"/>
  <c r="CF267" i="4" s="1"/>
  <c r="CD271" i="4"/>
  <c r="CI214" i="2"/>
  <c r="CJ213" i="2"/>
  <c r="CK267" i="4"/>
  <c r="CH270" i="4"/>
  <c r="S187" i="2"/>
  <c r="R187" i="2" s="1"/>
  <c r="R184" i="2"/>
  <c r="BZ365" i="2"/>
  <c r="BZ222" i="3"/>
  <c r="BZ366" i="2"/>
  <c r="BZ224" i="3" s="1"/>
  <c r="DM5" i="3"/>
  <c r="DM11" i="3" s="1"/>
  <c r="DM344" i="2"/>
  <c r="DM173" i="2"/>
  <c r="DM156" i="2"/>
  <c r="AJ307" i="2"/>
  <c r="AJ324" i="2" s="1"/>
  <c r="AK324" i="2"/>
  <c r="CN348" i="2"/>
  <c r="BS284" i="4"/>
  <c r="DO294" i="2"/>
  <c r="DM294" i="2"/>
  <c r="DN290" i="2"/>
  <c r="CA272" i="2"/>
  <c r="BR91" i="3"/>
  <c r="BQ297" i="2"/>
  <c r="BQ91" i="3" s="1"/>
  <c r="BQ93" i="3" s="1"/>
  <c r="BR186" i="2"/>
  <c r="AV5" i="3"/>
  <c r="AV11" i="3" s="1"/>
  <c r="AV173" i="2"/>
  <c r="AV344" i="2"/>
  <c r="AV156" i="2"/>
  <c r="AX173" i="2"/>
  <c r="AV162" i="2"/>
  <c r="AY156" i="2"/>
  <c r="AN202" i="3"/>
  <c r="AM213" i="2"/>
  <c r="AM202" i="3" s="1"/>
  <c r="CD213" i="2"/>
  <c r="CC214" i="2"/>
  <c r="S55" i="2"/>
  <c r="R60" i="2"/>
  <c r="BG439" i="4"/>
  <c r="BI420" i="4"/>
  <c r="BG430" i="4"/>
  <c r="BG449" i="4"/>
  <c r="BG470" i="4"/>
  <c r="BG421" i="4"/>
  <c r="BG460" i="4"/>
  <c r="BL152" i="2"/>
  <c r="BK60" i="2"/>
  <c r="BL617" i="2"/>
  <c r="BL622" i="2" s="1"/>
  <c r="BL159" i="2"/>
  <c r="BL61" i="2"/>
  <c r="BL55" i="2"/>
  <c r="DU48" i="4"/>
  <c r="DW48" i="4" s="1"/>
  <c r="AZ888" i="4"/>
  <c r="CB69" i="3"/>
  <c r="BY70" i="2"/>
  <c r="DM178" i="3"/>
  <c r="DN178" i="3" s="1"/>
  <c r="DL190" i="2"/>
  <c r="DL189" i="2" s="1"/>
  <c r="AX628" i="4"/>
  <c r="BO171" i="3"/>
  <c r="BO167" i="3" s="1"/>
  <c r="BN167" i="3"/>
  <c r="BQ460" i="2"/>
  <c r="BQ464" i="2" s="1"/>
  <c r="BQ456" i="2"/>
  <c r="BT86" i="2"/>
  <c r="BU85" i="2"/>
  <c r="CV85" i="2"/>
  <c r="BC762" i="4"/>
  <c r="DM215" i="3"/>
  <c r="DN215" i="3"/>
  <c r="BB55" i="2"/>
  <c r="BC56" i="2"/>
  <c r="BC180" i="2"/>
  <c r="BC158" i="2"/>
  <c r="BC53" i="2"/>
  <c r="BC43" i="2" s="1"/>
  <c r="BE439" i="4"/>
  <c r="BE430" i="4"/>
  <c r="BE460" i="4"/>
  <c r="BE470" i="4"/>
  <c r="BF420" i="4"/>
  <c r="BE449" i="4"/>
  <c r="BH421" i="4"/>
  <c r="AX662" i="4"/>
  <c r="AX704" i="4" s="1"/>
  <c r="AX907" i="4" s="1"/>
  <c r="AX656" i="4"/>
  <c r="AX698" i="4" s="1"/>
  <c r="U226" i="2"/>
  <c r="W224" i="2"/>
  <c r="W226" i="2" s="1"/>
  <c r="X224" i="2" s="1"/>
  <c r="Y224" i="2"/>
  <c r="Y226" i="2" s="1"/>
  <c r="BK322" i="2"/>
  <c r="BL328" i="2"/>
  <c r="BL327" i="2"/>
  <c r="L409" i="2"/>
  <c r="L397" i="2" s="1"/>
  <c r="L398" i="2" s="1"/>
  <c r="M397" i="2"/>
  <c r="M398" i="2" s="1"/>
  <c r="CI360" i="4"/>
  <c r="DZ278" i="2"/>
  <c r="DX73" i="3"/>
  <c r="DX75" i="3" s="1"/>
  <c r="AZ882" i="4"/>
  <c r="CH356" i="4"/>
  <c r="CE359" i="4"/>
  <c r="BV306" i="4"/>
  <c r="BV307" i="4"/>
  <c r="BV309" i="4" s="1"/>
  <c r="BK693" i="4"/>
  <c r="CX81" i="4"/>
  <c r="CW82" i="4"/>
  <c r="DG220" i="2"/>
  <c r="DA222" i="3"/>
  <c r="DA348" i="2" s="1"/>
  <c r="AE307" i="2"/>
  <c r="AD264" i="2"/>
  <c r="BQ214" i="2"/>
  <c r="BR213" i="2"/>
  <c r="BL650" i="4"/>
  <c r="CW416" i="2"/>
  <c r="ED254" i="4"/>
  <c r="EE254" i="4"/>
  <c r="DN91" i="3"/>
  <c r="DM297" i="2"/>
  <c r="DM91" i="3" s="1"/>
  <c r="DM93" i="3" s="1"/>
  <c r="CR69" i="4"/>
  <c r="BT645" i="4"/>
  <c r="BF202" i="3"/>
  <c r="BE213" i="2"/>
  <c r="BE202" i="3" s="1"/>
  <c r="BK160" i="2"/>
  <c r="BK171" i="2"/>
  <c r="BK153" i="2"/>
  <c r="BK69" i="2"/>
  <c r="BM171" i="2"/>
  <c r="CX185" i="4"/>
  <c r="AV69" i="2"/>
  <c r="AV160" i="2"/>
  <c r="AV171" i="2"/>
  <c r="AX171" i="2"/>
  <c r="BU309" i="4"/>
  <c r="BS310" i="4"/>
  <c r="BU310" i="4" s="1"/>
  <c r="CJ69" i="4"/>
  <c r="BB753" i="4"/>
  <c r="CJ85" i="2"/>
  <c r="DZ85" i="2"/>
  <c r="EI85" i="2"/>
  <c r="CM85" i="2"/>
  <c r="CS85" i="2"/>
  <c r="BG432" i="4"/>
  <c r="BG462" i="4"/>
  <c r="BG451" i="4"/>
  <c r="BG472" i="4"/>
  <c r="BI422" i="4"/>
  <c r="BJ423" i="4"/>
  <c r="BG441" i="4"/>
  <c r="CU32" i="4"/>
  <c r="CU48" i="4"/>
  <c r="CV18" i="4"/>
  <c r="E66" i="9" s="1"/>
  <c r="BP352" i="4"/>
  <c r="BP17" i="4"/>
  <c r="BP409" i="4"/>
  <c r="BP413" i="4"/>
  <c r="BP424" i="4"/>
  <c r="BP405" i="4"/>
  <c r="EE291" i="2"/>
  <c r="EG291" i="2"/>
  <c r="EI291" i="2" s="1"/>
  <c r="AP307" i="2"/>
  <c r="AP324" i="2" s="1"/>
  <c r="AQ324" i="2"/>
  <c r="F307" i="2"/>
  <c r="F324" i="2" s="1"/>
  <c r="G324" i="2"/>
  <c r="AP344" i="2"/>
  <c r="AP162" i="2"/>
  <c r="AP173" i="2"/>
  <c r="AR173" i="2"/>
  <c r="AP5" i="3"/>
  <c r="AP11" i="3" s="1"/>
  <c r="AP156" i="2"/>
  <c r="BM453" i="4"/>
  <c r="BI307" i="2"/>
  <c r="BJ343" i="2"/>
  <c r="BH264" i="2"/>
  <c r="BH343" i="2" s="1"/>
  <c r="BL343" i="2"/>
  <c r="AY873" i="4"/>
  <c r="AZ870" i="4"/>
  <c r="BZ175" i="4"/>
  <c r="BW178" i="4"/>
  <c r="BS5" i="3"/>
  <c r="BS11" i="3" s="1"/>
  <c r="BS344" i="2"/>
  <c r="BS156" i="2"/>
  <c r="CP27" i="2"/>
  <c r="AZ159" i="2"/>
  <c r="AY60" i="2"/>
  <c r="BB152" i="2" s="1"/>
  <c r="AZ617" i="2"/>
  <c r="AZ622" i="2" s="1"/>
  <c r="AZ152" i="2"/>
  <c r="AZ61" i="2"/>
  <c r="AZ55" i="2"/>
  <c r="AA202" i="3"/>
  <c r="AB202" i="3"/>
  <c r="AA213" i="2"/>
  <c r="CV374" i="2"/>
  <c r="CV385" i="2" s="1"/>
  <c r="CS566" i="2"/>
  <c r="CS384" i="2"/>
  <c r="AZ590" i="4"/>
  <c r="AZ584" i="4" s="1"/>
  <c r="BP315" i="4"/>
  <c r="BM464" i="4"/>
  <c r="BP578" i="4"/>
  <c r="BQ578" i="4" s="1"/>
  <c r="BU578" i="4"/>
  <c r="BK421" i="4"/>
  <c r="BK470" i="4"/>
  <c r="BN421" i="4"/>
  <c r="BK439" i="4"/>
  <c r="BK426" i="4"/>
  <c r="BK430" i="4"/>
  <c r="BK449" i="4"/>
  <c r="BK460" i="4"/>
  <c r="BP836" i="4"/>
  <c r="BQ836" i="4" s="1"/>
  <c r="BJ7" i="4"/>
  <c r="BA877" i="4"/>
  <c r="CO356" i="4"/>
  <c r="CL359" i="4"/>
  <c r="DR355" i="2"/>
  <c r="T187" i="2"/>
  <c r="U187" i="2" s="1"/>
  <c r="U184" i="2"/>
  <c r="CW469" i="2"/>
  <c r="CX469" i="2" s="1"/>
  <c r="CY469" i="2" s="1"/>
  <c r="CB383" i="4"/>
  <c r="BY305" i="4"/>
  <c r="BY213" i="4"/>
  <c r="BY386" i="4"/>
  <c r="BY834" i="4"/>
  <c r="BZ834" i="4" s="1"/>
  <c r="BV57" i="2"/>
  <c r="BW59" i="2"/>
  <c r="AZ858" i="4"/>
  <c r="AY861" i="4"/>
  <c r="AY954" i="4"/>
  <c r="CV268" i="2"/>
  <c r="CT266" i="2"/>
  <c r="AS331" i="2"/>
  <c r="AS345" i="2"/>
  <c r="AS176" i="2"/>
  <c r="AS172" i="2"/>
  <c r="AS154" i="2"/>
  <c r="AS161" i="2"/>
  <c r="AS73" i="2"/>
  <c r="AS4" i="3"/>
  <c r="AS10" i="3" s="1"/>
  <c r="AU172" i="2"/>
  <c r="AR184" i="2"/>
  <c r="AS180" i="2"/>
  <c r="DP252" i="2"/>
  <c r="DQ263" i="2"/>
  <c r="AB55" i="9" s="1"/>
  <c r="DT255" i="2"/>
  <c r="AC52" i="9" s="1"/>
  <c r="DU256" i="2"/>
  <c r="DW256" i="2" s="1"/>
  <c r="DX256" i="2" s="1"/>
  <c r="DX255" i="2" s="1"/>
  <c r="DX252" i="2" s="1"/>
  <c r="DX263" i="2" s="1"/>
  <c r="DX264" i="2" s="1"/>
  <c r="DS256" i="2"/>
  <c r="BK85" i="2"/>
  <c r="BL90" i="2"/>
  <c r="CR214" i="2"/>
  <c r="CS213" i="2"/>
  <c r="BU300" i="2"/>
  <c r="BS297" i="2"/>
  <c r="BU217" i="4"/>
  <c r="BS218" i="4"/>
  <c r="BU218" i="4" s="1"/>
  <c r="BS220" i="4"/>
  <c r="DQ300" i="2"/>
  <c r="DO297" i="2"/>
  <c r="CC273" i="4"/>
  <c r="BT70" i="2"/>
  <c r="BT460" i="2" s="1"/>
  <c r="BT464" i="2" s="1"/>
  <c r="BU460" i="2"/>
  <c r="BU464" i="2" s="1"/>
  <c r="AW184" i="2"/>
  <c r="BA872" i="4"/>
  <c r="BG12" i="4"/>
  <c r="BG8" i="4"/>
  <c r="AY655" i="4"/>
  <c r="AY661" i="4"/>
  <c r="AY703" i="4" s="1"/>
  <c r="AU617" i="2"/>
  <c r="AU622" i="2" s="1"/>
  <c r="AU61" i="2"/>
  <c r="AU159" i="2"/>
  <c r="AU55" i="2"/>
  <c r="AU53" i="2" s="1"/>
  <c r="AU43" i="2" s="1"/>
  <c r="AV43" i="2" s="1"/>
  <c r="AV60" i="2"/>
  <c r="AX152" i="2"/>
  <c r="DL93" i="3"/>
  <c r="AN324" i="2"/>
  <c r="AM307" i="2"/>
  <c r="AM324" i="2" s="1"/>
  <c r="CA85" i="2"/>
  <c r="BR85" i="2"/>
  <c r="BQ86" i="2"/>
  <c r="EO85" i="2"/>
  <c r="DQ85" i="2"/>
  <c r="CA366" i="2"/>
  <c r="CA224" i="3" s="1"/>
  <c r="CA365" i="2"/>
  <c r="BP180" i="4"/>
  <c r="BP170" i="4" s="1"/>
  <c r="BP179" i="4"/>
  <c r="BR178" i="4"/>
  <c r="BP168" i="4"/>
  <c r="S307" i="2"/>
  <c r="R264" i="2"/>
  <c r="BN7" i="4"/>
  <c r="BO773" i="4"/>
  <c r="BQ367" i="4"/>
  <c r="BQ389" i="4"/>
  <c r="BQ351" i="4"/>
  <c r="BR351" i="4" s="1"/>
  <c r="BR352" i="4" s="1"/>
  <c r="BP441" i="4"/>
  <c r="AX771" i="4"/>
  <c r="BN463" i="4"/>
  <c r="BO463" i="4" s="1"/>
  <c r="BO464" i="4" s="1"/>
  <c r="BN146" i="4"/>
  <c r="DG205" i="2"/>
  <c r="DH214" i="2"/>
  <c r="CS614" i="2"/>
  <c r="CR266" i="2"/>
  <c r="CS185" i="2"/>
  <c r="BA202" i="3"/>
  <c r="BB213" i="2"/>
  <c r="BB202" i="3" s="1"/>
  <c r="AR153" i="2"/>
  <c r="AR69" i="2"/>
  <c r="AR160" i="2"/>
  <c r="AR60" i="2"/>
  <c r="AU152" i="2" s="1"/>
  <c r="AS68" i="2"/>
  <c r="EO147" i="3"/>
  <c r="P324" i="2"/>
  <c r="O307" i="2"/>
  <c r="O324" i="2" s="1"/>
  <c r="BS261" i="4"/>
  <c r="BS332" i="4"/>
  <c r="BS337" i="4"/>
  <c r="AX773" i="4"/>
  <c r="BA774" i="4" s="1"/>
  <c r="DR263" i="2"/>
  <c r="DR264" i="2" s="1"/>
  <c r="DY79" i="4"/>
  <c r="EA78" i="4"/>
  <c r="AZ876" i="4"/>
  <c r="BJ143" i="2"/>
  <c r="BJ146" i="2" s="1"/>
  <c r="BK142" i="2" s="1"/>
  <c r="BK143" i="2" s="1"/>
  <c r="BK146" i="2" s="1"/>
  <c r="BL142" i="2"/>
  <c r="BL143" i="2" s="1"/>
  <c r="BL146" i="2" s="1"/>
  <c r="CA69" i="3"/>
  <c r="BW69" i="3"/>
  <c r="BX70" i="2"/>
  <c r="AH324" i="2"/>
  <c r="AG307" i="2"/>
  <c r="AG324" i="2" s="1"/>
  <c r="AY673" i="4"/>
  <c r="AY679" i="4"/>
  <c r="AY721" i="4" s="1"/>
  <c r="ED247" i="4"/>
  <c r="DT17" i="3"/>
  <c r="DT75" i="2"/>
  <c r="BE344" i="2"/>
  <c r="BE156" i="2"/>
  <c r="BE173" i="2"/>
  <c r="BE5" i="3"/>
  <c r="BE11" i="3" s="1"/>
  <c r="BE162" i="2"/>
  <c r="BG152" i="2"/>
  <c r="ER85" i="2"/>
  <c r="CP85" i="2"/>
  <c r="DB85" i="2"/>
  <c r="CK221" i="2"/>
  <c r="CK222" i="2" s="1"/>
  <c r="CK225" i="3"/>
  <c r="BV175" i="4"/>
  <c r="CY152" i="4"/>
  <c r="BC152" i="2"/>
  <c r="BK214" i="2"/>
  <c r="BL213" i="2"/>
  <c r="AW202" i="3"/>
  <c r="AV213" i="2"/>
  <c r="AV202" i="3" s="1"/>
  <c r="BC515" i="2"/>
  <c r="BD514" i="2"/>
  <c r="CZ185" i="4"/>
  <c r="DU295" i="4" l="1"/>
  <c r="DX375" i="4"/>
  <c r="EB87" i="4"/>
  <c r="EA88" i="4"/>
  <c r="EA84" i="4"/>
  <c r="DZ85" i="4"/>
  <c r="DV293" i="2"/>
  <c r="DX293" i="2"/>
  <c r="X307" i="2"/>
  <c r="X324" i="2" s="1"/>
  <c r="BN429" i="4"/>
  <c r="BN430" i="4" s="1"/>
  <c r="CO209" i="3"/>
  <c r="BN238" i="4"/>
  <c r="BO221" i="4"/>
  <c r="BN256" i="4"/>
  <c r="BN469" i="4" s="1"/>
  <c r="BN475" i="4" s="1"/>
  <c r="BN476" i="4" s="1"/>
  <c r="EE321" i="2"/>
  <c r="EE626" i="2" s="1"/>
  <c r="AG65" i="9"/>
  <c r="EY393" i="4"/>
  <c r="EZ376" i="4"/>
  <c r="EZ393" i="4" s="1"/>
  <c r="CS224" i="2"/>
  <c r="CS226" i="2" s="1"/>
  <c r="CR226" i="2" s="1"/>
  <c r="BF287" i="2"/>
  <c r="BF305" i="2" s="1"/>
  <c r="DM13" i="2"/>
  <c r="DM14" i="2" s="1"/>
  <c r="BP343" i="2"/>
  <c r="FJ102" i="4"/>
  <c r="FK104" i="4" s="1"/>
  <c r="DV256" i="2"/>
  <c r="DW255" i="2"/>
  <c r="DY409" i="2"/>
  <c r="EA409" i="2"/>
  <c r="EC409" i="2" s="1"/>
  <c r="BN264" i="2"/>
  <c r="BN343" i="2" s="1"/>
  <c r="DR366" i="2"/>
  <c r="DR224" i="3" s="1"/>
  <c r="CO226" i="2"/>
  <c r="DR365" i="2"/>
  <c r="BL148" i="3"/>
  <c r="AS307" i="2"/>
  <c r="AS324" i="2" s="1"/>
  <c r="EA543" i="4"/>
  <c r="EA545" i="4" s="1"/>
  <c r="M324" i="2"/>
  <c r="BL480" i="2"/>
  <c r="BM343" i="4"/>
  <c r="DR221" i="2"/>
  <c r="BY280" i="4"/>
  <c r="BY282" i="4" s="1"/>
  <c r="BY283" i="4" s="1"/>
  <c r="BM149" i="3"/>
  <c r="BM148" i="3" s="1"/>
  <c r="AY307" i="2"/>
  <c r="AY324" i="2" s="1"/>
  <c r="CA275" i="4"/>
  <c r="CA276" i="4" s="1"/>
  <c r="CQ97" i="4"/>
  <c r="BQ186" i="2"/>
  <c r="BO634" i="2"/>
  <c r="BO636" i="2" s="1"/>
  <c r="BO639" i="2" s="1"/>
  <c r="BO642" i="2" s="1"/>
  <c r="CJ97" i="4"/>
  <c r="AW324" i="2"/>
  <c r="BP634" i="2"/>
  <c r="BP636" i="2" s="1"/>
  <c r="BP639" i="2" s="1"/>
  <c r="BP642" i="2" s="1"/>
  <c r="BJ768" i="4"/>
  <c r="BJ770" i="4" s="1"/>
  <c r="EF626" i="2"/>
  <c r="BL324" i="2"/>
  <c r="BQ332" i="4"/>
  <c r="BQ334" i="4" s="1"/>
  <c r="DI413" i="2"/>
  <c r="DI522" i="2" s="1"/>
  <c r="DI530" i="2" s="1"/>
  <c r="DU296" i="4"/>
  <c r="BP30" i="4"/>
  <c r="BG158" i="2"/>
  <c r="BR277" i="4"/>
  <c r="BR278" i="4" s="1"/>
  <c r="EI321" i="2"/>
  <c r="EL321" i="2" s="1"/>
  <c r="BQ337" i="4"/>
  <c r="BR337" i="4" s="1"/>
  <c r="DH522" i="2"/>
  <c r="DH530" i="2" s="1"/>
  <c r="EG321" i="2"/>
  <c r="EG626" i="2" s="1"/>
  <c r="BR260" i="4"/>
  <c r="BR261" i="4" s="1"/>
  <c r="DH529" i="2"/>
  <c r="BY299" i="2"/>
  <c r="CA299" i="2" s="1"/>
  <c r="BN769" i="4"/>
  <c r="BP761" i="4"/>
  <c r="BP759" i="4" s="1"/>
  <c r="BP767" i="4" s="1"/>
  <c r="BG56" i="2"/>
  <c r="BJ151" i="2"/>
  <c r="BN759" i="4"/>
  <c r="BN767" i="4" s="1"/>
  <c r="BR769" i="4"/>
  <c r="BO307" i="2"/>
  <c r="BO324" i="2" s="1"/>
  <c r="BP12" i="4"/>
  <c r="BK24" i="2"/>
  <c r="BL352" i="2"/>
  <c r="BL24" i="2" s="1"/>
  <c r="BM352" i="2"/>
  <c r="BM24" i="2" s="1"/>
  <c r="BN226" i="3"/>
  <c r="BZ379" i="4"/>
  <c r="CA378" i="4"/>
  <c r="CA375" i="4" s="1"/>
  <c r="CA376" i="4" s="1"/>
  <c r="BU77" i="2"/>
  <c r="BS74" i="2"/>
  <c r="BY296" i="2"/>
  <c r="CA296" i="2" s="1"/>
  <c r="BW296" i="2"/>
  <c r="BO153" i="2"/>
  <c r="BN68" i="2"/>
  <c r="BO60" i="2"/>
  <c r="BO159" i="2" s="1"/>
  <c r="BZ296" i="4"/>
  <c r="BZ298" i="4"/>
  <c r="BT269" i="2"/>
  <c r="BT64" i="3" s="1"/>
  <c r="BT66" i="3" s="1"/>
  <c r="BU64" i="3"/>
  <c r="BP68" i="2"/>
  <c r="BP154" i="2"/>
  <c r="BP345" i="2"/>
  <c r="BP172" i="2"/>
  <c r="BP331" i="2"/>
  <c r="BP4" i="3"/>
  <c r="BP10" i="3" s="1"/>
  <c r="BP178" i="2"/>
  <c r="BN176" i="2"/>
  <c r="BN331" i="2"/>
  <c r="BN172" i="2"/>
  <c r="BN4" i="3"/>
  <c r="BN10" i="3" s="1"/>
  <c r="BN154" i="2"/>
  <c r="BT302" i="4"/>
  <c r="BU300" i="4"/>
  <c r="BU302" i="4" s="1"/>
  <c r="BX379" i="4"/>
  <c r="BX380" i="4" s="1"/>
  <c r="BW380" i="4"/>
  <c r="BM451" i="4"/>
  <c r="BW299" i="4"/>
  <c r="BW300" i="4"/>
  <c r="BX298" i="4"/>
  <c r="BX295" i="4" s="1"/>
  <c r="CF375" i="4"/>
  <c r="CC203" i="4"/>
  <c r="CC204" i="4" s="1"/>
  <c r="CC295" i="4"/>
  <c r="CC378" i="4"/>
  <c r="BR72" i="2"/>
  <c r="BR345" i="2" s="1"/>
  <c r="BR619" i="2"/>
  <c r="BR621" i="2" s="1"/>
  <c r="BR479" i="2"/>
  <c r="BQ74" i="2"/>
  <c r="BX271" i="2"/>
  <c r="BV269" i="2"/>
  <c r="BV64" i="3" s="1"/>
  <c r="BU299" i="4"/>
  <c r="BT301" i="4"/>
  <c r="BU301" i="4" s="1"/>
  <c r="CK206" i="3"/>
  <c r="CM208" i="3"/>
  <c r="BM759" i="4"/>
  <c r="BM767" i="4" s="1"/>
  <c r="BL773" i="4"/>
  <c r="BL774" i="4" s="1"/>
  <c r="BW67" i="4"/>
  <c r="EA560" i="4"/>
  <c r="EB558" i="4"/>
  <c r="EB560" i="4" s="1"/>
  <c r="DY562" i="4"/>
  <c r="BX19" i="4"/>
  <c r="BX33" i="4" s="1"/>
  <c r="DL206" i="3"/>
  <c r="DG455" i="2"/>
  <c r="DH149" i="3"/>
  <c r="DG148" i="3"/>
  <c r="CB280" i="2"/>
  <c r="CD280" i="2" s="1"/>
  <c r="BZ280" i="2"/>
  <c r="CB19" i="4"/>
  <c r="BY33" i="4"/>
  <c r="BZ19" i="4"/>
  <c r="CA19" i="4" s="1"/>
  <c r="BY67" i="4"/>
  <c r="AX503" i="2"/>
  <c r="BN348" i="4"/>
  <c r="BR62" i="4"/>
  <c r="BP423" i="4"/>
  <c r="BH840" i="4"/>
  <c r="BH846" i="4" s="1"/>
  <c r="BH847" i="4" s="1"/>
  <c r="BH848" i="4" s="1"/>
  <c r="BH849" i="4" s="1"/>
  <c r="BU761" i="4"/>
  <c r="BU760" i="4" s="1"/>
  <c r="BM441" i="4"/>
  <c r="BN760" i="4"/>
  <c r="BN762" i="4" s="1"/>
  <c r="BR757" i="4"/>
  <c r="BR765" i="4" s="1"/>
  <c r="BM423" i="4"/>
  <c r="BO770" i="4"/>
  <c r="BL770" i="4"/>
  <c r="BO335" i="4"/>
  <c r="BW256" i="2"/>
  <c r="BY256" i="2"/>
  <c r="BU283" i="4"/>
  <c r="CJ145" i="2"/>
  <c r="CI145" i="2" s="1"/>
  <c r="CK145" i="2"/>
  <c r="AQ396" i="2"/>
  <c r="AQ385" i="2"/>
  <c r="BT252" i="2"/>
  <c r="BU263" i="2"/>
  <c r="AO385" i="2"/>
  <c r="AP374" i="2" s="1"/>
  <c r="AO396" i="2"/>
  <c r="BI414" i="2"/>
  <c r="BG415" i="2"/>
  <c r="BL60" i="4"/>
  <c r="AX481" i="2"/>
  <c r="AX482" i="2" s="1"/>
  <c r="AX483" i="2" s="1"/>
  <c r="AX484" i="2" s="1"/>
  <c r="BM461" i="4"/>
  <c r="BM462" i="4" s="1"/>
  <c r="BM760" i="4"/>
  <c r="BM762" i="4" s="1"/>
  <c r="BL644" i="2"/>
  <c r="BR760" i="4"/>
  <c r="BR768" i="4" s="1"/>
  <c r="BQ761" i="4"/>
  <c r="BQ757" i="4" s="1"/>
  <c r="BQ765" i="4" s="1"/>
  <c r="BO344" i="4"/>
  <c r="BR758" i="4"/>
  <c r="BR766" i="4" s="1"/>
  <c r="CK109" i="3"/>
  <c r="CK110" i="3" s="1"/>
  <c r="CK17" i="3" s="1"/>
  <c r="CL107" i="3"/>
  <c r="BH828" i="4"/>
  <c r="BH829" i="4" s="1"/>
  <c r="BH830" i="4" s="1"/>
  <c r="BH831" i="4" s="1"/>
  <c r="CJ110" i="3"/>
  <c r="CJ17" i="3" s="1"/>
  <c r="CI109" i="3"/>
  <c r="CI110" i="3" s="1"/>
  <c r="CI17" i="3" s="1"/>
  <c r="BO822" i="4"/>
  <c r="BO828" i="4" s="1"/>
  <c r="BO829" i="4" s="1"/>
  <c r="BO830" i="4" s="1"/>
  <c r="BO831" i="4" s="1"/>
  <c r="BZ138" i="2"/>
  <c r="CB138" i="2"/>
  <c r="CA139" i="2"/>
  <c r="BZ139" i="2" s="1"/>
  <c r="BG151" i="2"/>
  <c r="BP65" i="4"/>
  <c r="BN757" i="4"/>
  <c r="BN765" i="4" s="1"/>
  <c r="BJ346" i="2"/>
  <c r="BO160" i="2"/>
  <c r="BO334" i="2"/>
  <c r="BO31" i="2"/>
  <c r="BO163" i="2"/>
  <c r="BO342" i="2"/>
  <c r="BO337" i="2"/>
  <c r="BO162" i="2"/>
  <c r="BN30" i="2"/>
  <c r="BO340" i="2"/>
  <c r="BO339" i="2"/>
  <c r="BO161" i="2"/>
  <c r="BO336" i="2"/>
  <c r="BO33" i="2"/>
  <c r="BO335" i="2"/>
  <c r="BO73" i="2"/>
  <c r="BO11" i="4"/>
  <c r="BO69" i="2"/>
  <c r="BO333" i="2"/>
  <c r="BO165" i="2"/>
  <c r="BO150" i="2"/>
  <c r="BO179" i="3"/>
  <c r="BM175" i="2"/>
  <c r="BO341" i="2"/>
  <c r="BU292" i="2"/>
  <c r="BS290" i="2"/>
  <c r="BS166" i="2" s="1"/>
  <c r="BO400" i="4"/>
  <c r="BR328" i="2"/>
  <c r="BR327" i="2"/>
  <c r="BR329" i="2"/>
  <c r="BR640" i="2"/>
  <c r="BR120" i="3"/>
  <c r="BR119" i="3" s="1"/>
  <c r="BQ290" i="2"/>
  <c r="BR513" i="2"/>
  <c r="BR166" i="2"/>
  <c r="BA883" i="4"/>
  <c r="BB883" i="4" s="1"/>
  <c r="BC883" i="4" s="1"/>
  <c r="AZ619" i="4"/>
  <c r="AZ655" i="4" s="1"/>
  <c r="BO441" i="4"/>
  <c r="BO451" i="4"/>
  <c r="AN187" i="2"/>
  <c r="AM187" i="2" s="1"/>
  <c r="AM184" i="2"/>
  <c r="AM160" i="2"/>
  <c r="AM171" i="2"/>
  <c r="AM69" i="2"/>
  <c r="AN152" i="2"/>
  <c r="AN159" i="2"/>
  <c r="AN617" i="2"/>
  <c r="AN622" i="2" s="1"/>
  <c r="AN61" i="2"/>
  <c r="AM60" i="2"/>
  <c r="AO170" i="2" s="1"/>
  <c r="AN55" i="2"/>
  <c r="AQ617" i="2"/>
  <c r="AQ622" i="2" s="1"/>
  <c r="AQ55" i="2"/>
  <c r="AT152" i="2"/>
  <c r="AQ61" i="2"/>
  <c r="AQ159" i="2"/>
  <c r="AQ152" i="2"/>
  <c r="AB64" i="9"/>
  <c r="AA307" i="2"/>
  <c r="AA324" i="2" s="1"/>
  <c r="AB324" i="2"/>
  <c r="BH770" i="4"/>
  <c r="BM769" i="4"/>
  <c r="BK822" i="4"/>
  <c r="BK828" i="4" s="1"/>
  <c r="BK829" i="4" s="1"/>
  <c r="BK830" i="4" s="1"/>
  <c r="BK831" i="4" s="1"/>
  <c r="BM758" i="4"/>
  <c r="BM766" i="4" s="1"/>
  <c r="BL840" i="4"/>
  <c r="BL846" i="4" s="1"/>
  <c r="BL847" i="4" s="1"/>
  <c r="BL848" i="4" s="1"/>
  <c r="BL849" i="4" s="1"/>
  <c r="EF50" i="4"/>
  <c r="EF61" i="4" s="1"/>
  <c r="EG61" i="4"/>
  <c r="AB54" i="9"/>
  <c r="AB47" i="9"/>
  <c r="BE823" i="4"/>
  <c r="BE841" i="4" s="1"/>
  <c r="BM644" i="2"/>
  <c r="BM346" i="2" s="1"/>
  <c r="BF841" i="4"/>
  <c r="V324" i="2"/>
  <c r="U307" i="2"/>
  <c r="U324" i="2" s="1"/>
  <c r="M57" i="9"/>
  <c r="M55" i="9"/>
  <c r="I57" i="9"/>
  <c r="J57" i="9"/>
  <c r="M53" i="9"/>
  <c r="M59" i="9"/>
  <c r="EW376" i="4"/>
  <c r="EW393" i="4" s="1"/>
  <c r="EV393" i="4"/>
  <c r="ET282" i="2"/>
  <c r="EX282" i="2"/>
  <c r="EV282" i="2"/>
  <c r="EW169" i="3"/>
  <c r="EX169" i="3" s="1"/>
  <c r="CA215" i="3"/>
  <c r="CB217" i="3"/>
  <c r="BZ217" i="3"/>
  <c r="BZ215" i="3" s="1"/>
  <c r="CP620" i="2"/>
  <c r="CO34" i="2"/>
  <c r="CO620" i="2" s="1"/>
  <c r="DB620" i="2"/>
  <c r="DA34" i="2"/>
  <c r="DA620" i="2" s="1"/>
  <c r="CT620" i="2"/>
  <c r="CU34" i="2"/>
  <c r="CU620" i="2" s="1"/>
  <c r="BD432" i="4"/>
  <c r="BD451" i="4"/>
  <c r="BD441" i="4"/>
  <c r="BD462" i="4"/>
  <c r="BF422" i="4"/>
  <c r="BI423" i="4" s="1"/>
  <c r="BD472" i="4"/>
  <c r="BJ529" i="2"/>
  <c r="BL413" i="2"/>
  <c r="BJ522" i="2"/>
  <c r="BJ530" i="2" s="1"/>
  <c r="BH529" i="2"/>
  <c r="BH522" i="2"/>
  <c r="BH530" i="2" s="1"/>
  <c r="AO55" i="2"/>
  <c r="AP60" i="2"/>
  <c r="AR170" i="2" s="1"/>
  <c r="AO617" i="2"/>
  <c r="AO622" i="2" s="1"/>
  <c r="AO152" i="2"/>
  <c r="AO61" i="2"/>
  <c r="AO159" i="2"/>
  <c r="DG529" i="2"/>
  <c r="DG522" i="2"/>
  <c r="DG530" i="2" s="1"/>
  <c r="DI620" i="2"/>
  <c r="DJ34" i="2"/>
  <c r="DJ620" i="2" s="1"/>
  <c r="AP153" i="2"/>
  <c r="AP69" i="2"/>
  <c r="AP171" i="2"/>
  <c r="AP160" i="2"/>
  <c r="AO187" i="2"/>
  <c r="AP187" i="2" s="1"/>
  <c r="AP184" i="2"/>
  <c r="EM159" i="4"/>
  <c r="EJ50" i="4"/>
  <c r="EJ61" i="4" s="1"/>
  <c r="CL148" i="3"/>
  <c r="CM149" i="3"/>
  <c r="CL455" i="2"/>
  <c r="CB78" i="2"/>
  <c r="CD78" i="2" s="1"/>
  <c r="BZ78" i="2"/>
  <c r="AJ411" i="2"/>
  <c r="AI20" i="2"/>
  <c r="AJ409" i="2"/>
  <c r="AJ397" i="2" s="1"/>
  <c r="AK397" i="2"/>
  <c r="AK398" i="2" s="1"/>
  <c r="AJ410" i="2"/>
  <c r="AN441" i="2"/>
  <c r="AL409" i="2"/>
  <c r="AL397" i="2" s="1"/>
  <c r="AL410" i="2"/>
  <c r="AL411" i="2"/>
  <c r="AI11" i="2"/>
  <c r="AI14" i="2"/>
  <c r="BY279" i="2"/>
  <c r="CA279" i="2" s="1"/>
  <c r="BW279" i="2"/>
  <c r="DY124" i="3"/>
  <c r="DW124" i="3"/>
  <c r="EJ279" i="2"/>
  <c r="EL279" i="2" s="1"/>
  <c r="EH279" i="2"/>
  <c r="EJ301" i="2"/>
  <c r="EL301" i="2" s="1"/>
  <c r="EH301" i="2"/>
  <c r="EJ281" i="2"/>
  <c r="EL281" i="2" s="1"/>
  <c r="EH281" i="2"/>
  <c r="EB248" i="2"/>
  <c r="EB33" i="3" s="1"/>
  <c r="EB35" i="3" s="1"/>
  <c r="EF248" i="2"/>
  <c r="EC33" i="3"/>
  <c r="EC35" i="3" s="1"/>
  <c r="ED248" i="2"/>
  <c r="ED33" i="3" s="1"/>
  <c r="EA35" i="3"/>
  <c r="EJ272" i="2"/>
  <c r="EL272" i="2" s="1"/>
  <c r="EH272" i="2"/>
  <c r="DF75" i="2"/>
  <c r="DF17" i="3"/>
  <c r="BW86" i="2"/>
  <c r="CL348" i="2"/>
  <c r="CM222" i="3"/>
  <c r="CP222" i="3"/>
  <c r="DY78" i="2"/>
  <c r="DY182" i="2" s="1"/>
  <c r="DZ182" i="2" s="1"/>
  <c r="DY131" i="3"/>
  <c r="EA125" i="3"/>
  <c r="AB56" i="9"/>
  <c r="BR384" i="4"/>
  <c r="BX280" i="4"/>
  <c r="BX281" i="4" s="1"/>
  <c r="BW282" i="4"/>
  <c r="BN435" i="4"/>
  <c r="BN436" i="4" s="1"/>
  <c r="DU203" i="4"/>
  <c r="DU204" i="4" s="1"/>
  <c r="BE771" i="4"/>
  <c r="BE770" i="4"/>
  <c r="BE773" i="4"/>
  <c r="BE774" i="4" s="1"/>
  <c r="CT105" i="4"/>
  <c r="CT96" i="4" s="1"/>
  <c r="CQ108" i="4"/>
  <c r="CQ747" i="4"/>
  <c r="CQ748" i="4" s="1"/>
  <c r="CQ749" i="4" s="1"/>
  <c r="CQ354" i="4"/>
  <c r="CQ163" i="4" s="1"/>
  <c r="CQ164" i="4" s="1"/>
  <c r="CN109" i="4"/>
  <c r="CS48" i="4"/>
  <c r="CS69" i="4" s="1"/>
  <c r="AZ895" i="4"/>
  <c r="DA185" i="4"/>
  <c r="DD185" i="4" s="1"/>
  <c r="BK770" i="4"/>
  <c r="BH773" i="4"/>
  <c r="CC306" i="4"/>
  <c r="BN130" i="4"/>
  <c r="BR213" i="4"/>
  <c r="BR215" i="4" s="1"/>
  <c r="AY957" i="4"/>
  <c r="CF305" i="4"/>
  <c r="CF306" i="4" s="1"/>
  <c r="CF386" i="4"/>
  <c r="CJ322" i="4"/>
  <c r="CI383" i="4"/>
  <c r="CI386" i="4" s="1"/>
  <c r="CT59" i="4"/>
  <c r="CQ59" i="4"/>
  <c r="BR179" i="4"/>
  <c r="BD840" i="4"/>
  <c r="BD846" i="4" s="1"/>
  <c r="BD847" i="4" s="1"/>
  <c r="BD848" i="4" s="1"/>
  <c r="BD849" i="4" s="1"/>
  <c r="BP328" i="4"/>
  <c r="BP329" i="4" s="1"/>
  <c r="CZ277" i="4"/>
  <c r="BD773" i="4"/>
  <c r="BD774" i="4" s="1"/>
  <c r="BD770" i="4"/>
  <c r="BG770" i="4"/>
  <c r="BU853" i="4"/>
  <c r="BS853" i="4" s="1"/>
  <c r="BT853" i="4" s="1"/>
  <c r="BI841" i="4"/>
  <c r="BH823" i="4"/>
  <c r="BL823" i="4"/>
  <c r="CM59" i="4"/>
  <c r="CO59" i="4"/>
  <c r="CJ229" i="4"/>
  <c r="BM852" i="4"/>
  <c r="BN852" i="4" s="1"/>
  <c r="CG32" i="4"/>
  <c r="CF69" i="4"/>
  <c r="CG48" i="4"/>
  <c r="CG59" i="4" s="1"/>
  <c r="CI59" i="4"/>
  <c r="BU281" i="4"/>
  <c r="CF214" i="4"/>
  <c r="CF215" i="4"/>
  <c r="BD12" i="4"/>
  <c r="BD8" i="4"/>
  <c r="BP852" i="4"/>
  <c r="BQ852" i="4" s="1"/>
  <c r="BU852" i="4"/>
  <c r="BA866" i="4"/>
  <c r="BB866" i="4" s="1"/>
  <c r="DC185" i="4"/>
  <c r="BC771" i="4"/>
  <c r="BF770" i="4"/>
  <c r="BC773" i="4"/>
  <c r="BF774" i="4" s="1"/>
  <c r="AY730" i="4"/>
  <c r="AY933" i="4" s="1"/>
  <c r="BM315" i="4"/>
  <c r="BO313" i="4"/>
  <c r="BO315" i="4" s="1"/>
  <c r="BM328" i="4"/>
  <c r="BX69" i="4"/>
  <c r="CA59" i="4"/>
  <c r="BZ59" i="4"/>
  <c r="BW69" i="4"/>
  <c r="CA32" i="4"/>
  <c r="CI233" i="4"/>
  <c r="CI232" i="4"/>
  <c r="CL322" i="4"/>
  <c r="CL321" i="4"/>
  <c r="CL323" i="4" s="1"/>
  <c r="CL324" i="4" s="1"/>
  <c r="CO228" i="4"/>
  <c r="CO226" i="4"/>
  <c r="CR225" i="4"/>
  <c r="CU392" i="4"/>
  <c r="CR395" i="4"/>
  <c r="CR397" i="4" s="1"/>
  <c r="CR398" i="4" s="1"/>
  <c r="CR317" i="4"/>
  <c r="CL229" i="4"/>
  <c r="CL231" i="4"/>
  <c r="EH61" i="4"/>
  <c r="EI50" i="4"/>
  <c r="CO320" i="4"/>
  <c r="CO318" i="4"/>
  <c r="EK50" i="4"/>
  <c r="EN159" i="4"/>
  <c r="EL159" i="4"/>
  <c r="AZ727" i="4"/>
  <c r="AZ739" i="4" s="1"/>
  <c r="AZ785" i="4" s="1"/>
  <c r="AY688" i="4"/>
  <c r="CS32" i="4"/>
  <c r="AX730" i="4"/>
  <c r="CK321" i="4"/>
  <c r="CK322" i="4"/>
  <c r="CM320" i="4"/>
  <c r="BP221" i="4"/>
  <c r="BR221" i="4" s="1"/>
  <c r="BP222" i="4"/>
  <c r="EP484" i="4"/>
  <c r="EN484" i="4"/>
  <c r="CN397" i="4"/>
  <c r="CP395" i="4"/>
  <c r="CP392" i="4" s="1"/>
  <c r="CP393" i="4" s="1"/>
  <c r="CK229" i="4"/>
  <c r="CK231" i="4"/>
  <c r="CM228" i="4"/>
  <c r="CN228" i="4"/>
  <c r="CN226" i="4"/>
  <c r="CP225" i="4"/>
  <c r="CP226" i="4" s="1"/>
  <c r="BL70" i="4"/>
  <c r="BO60" i="4"/>
  <c r="CQ395" i="4"/>
  <c r="CQ317" i="4"/>
  <c r="CT392" i="4"/>
  <c r="CQ225" i="4"/>
  <c r="BT525" i="4"/>
  <c r="BT527" i="4" s="1"/>
  <c r="BT534" i="4" s="1"/>
  <c r="BT535" i="4" s="1"/>
  <c r="BS527" i="4"/>
  <c r="BS534" i="4" s="1"/>
  <c r="BS535" i="4" s="1"/>
  <c r="CJ231" i="4"/>
  <c r="CJ233" i="4" s="1"/>
  <c r="CH233" i="4"/>
  <c r="CH232" i="4"/>
  <c r="BK62" i="4"/>
  <c r="BK72" i="4"/>
  <c r="BL51" i="4"/>
  <c r="BN62" i="4"/>
  <c r="CH323" i="4"/>
  <c r="CJ321" i="4"/>
  <c r="CK398" i="4"/>
  <c r="CM397" i="4"/>
  <c r="CM398" i="4" s="1"/>
  <c r="CN318" i="4"/>
  <c r="CN320" i="4"/>
  <c r="CP317" i="4"/>
  <c r="CP318" i="4" s="1"/>
  <c r="EE111" i="4"/>
  <c r="CO69" i="4"/>
  <c r="CP48" i="4"/>
  <c r="DY81" i="4"/>
  <c r="BM169" i="4"/>
  <c r="BM246" i="4"/>
  <c r="BO168" i="4"/>
  <c r="BO169" i="4" s="1"/>
  <c r="BM170" i="4"/>
  <c r="BM241" i="4"/>
  <c r="BR163" i="4"/>
  <c r="BR164" i="4" s="1"/>
  <c r="BP164" i="4"/>
  <c r="BS163" i="4"/>
  <c r="BV173" i="4"/>
  <c r="BV178" i="4" s="1"/>
  <c r="BU173" i="4"/>
  <c r="BS205" i="4"/>
  <c r="BS208" i="4" s="1"/>
  <c r="BU208" i="4" s="1"/>
  <c r="BM209" i="4"/>
  <c r="BO180" i="4"/>
  <c r="BO181" i="4" s="1"/>
  <c r="BM181" i="4"/>
  <c r="BP206" i="4"/>
  <c r="BR206" i="4" s="1"/>
  <c r="BR205" i="4"/>
  <c r="BR203" i="4" s="1"/>
  <c r="BR204" i="4" s="1"/>
  <c r="BL170" i="4"/>
  <c r="BL171" i="4" s="1"/>
  <c r="BJ420" i="4"/>
  <c r="BJ171" i="4"/>
  <c r="AY930" i="4"/>
  <c r="AZ669" i="4"/>
  <c r="AZ711" i="4" s="1"/>
  <c r="BM853" i="4"/>
  <c r="BN853" i="4" s="1"/>
  <c r="BG828" i="4"/>
  <c r="BG829" i="4" s="1"/>
  <c r="BG830" i="4" s="1"/>
  <c r="BG831" i="4" s="1"/>
  <c r="BG840" i="4"/>
  <c r="BG846" i="4" s="1"/>
  <c r="BG847" i="4" s="1"/>
  <c r="BG848" i="4" s="1"/>
  <c r="BG849" i="4" s="1"/>
  <c r="AZ729" i="4"/>
  <c r="AY628" i="4"/>
  <c r="BA591" i="4"/>
  <c r="BB569" i="4"/>
  <c r="BC838" i="4"/>
  <c r="BB825" i="4"/>
  <c r="BF825" i="4"/>
  <c r="BC843" i="4"/>
  <c r="BC856" i="4" s="1"/>
  <c r="AX741" i="4"/>
  <c r="AX787" i="4" s="1"/>
  <c r="AX914" i="4"/>
  <c r="AX950" i="4"/>
  <c r="AY741" i="4"/>
  <c r="AY787" i="4" s="1"/>
  <c r="AY950" i="4"/>
  <c r="AY914" i="4"/>
  <c r="BX837" i="4"/>
  <c r="BS837" i="4"/>
  <c r="BT837" i="4" s="1"/>
  <c r="AZ627" i="4"/>
  <c r="AZ639" i="4"/>
  <c r="AX938" i="4"/>
  <c r="AX944" i="4"/>
  <c r="AX902" i="4"/>
  <c r="AX735" i="4"/>
  <c r="AX781" i="4" s="1"/>
  <c r="BR835" i="4"/>
  <c r="BP835" i="4" s="1"/>
  <c r="BQ835" i="4" s="1"/>
  <c r="AY657" i="4"/>
  <c r="AY699" i="4" s="1"/>
  <c r="AY663" i="4"/>
  <c r="AY705" i="4" s="1"/>
  <c r="AY908" i="4" s="1"/>
  <c r="AZ621" i="4"/>
  <c r="AZ633" i="4"/>
  <c r="AZ687" i="4"/>
  <c r="AY675" i="4"/>
  <c r="AY717" i="4" s="1"/>
  <c r="AY920" i="4" s="1"/>
  <c r="AY681" i="4"/>
  <c r="AY723" i="4" s="1"/>
  <c r="AY926" i="4" s="1"/>
  <c r="AZ773" i="4"/>
  <c r="CQ266" i="4"/>
  <c r="CQ298" i="4"/>
  <c r="CQ299" i="4" s="1"/>
  <c r="AX724" i="4"/>
  <c r="AX927" i="4" s="1"/>
  <c r="CZ364" i="4"/>
  <c r="BK773" i="4"/>
  <c r="CW174" i="4"/>
  <c r="CW205" i="4"/>
  <c r="CW206" i="4" s="1"/>
  <c r="CW102" i="4"/>
  <c r="CT265" i="4"/>
  <c r="CT746" i="4"/>
  <c r="AZ668" i="4"/>
  <c r="AZ710" i="4" s="1"/>
  <c r="AZ913" i="4" s="1"/>
  <c r="BK771" i="4"/>
  <c r="DC99" i="4"/>
  <c r="CZ173" i="4"/>
  <c r="CZ745" i="4"/>
  <c r="CO105" i="4"/>
  <c r="CP354" i="4"/>
  <c r="CP355" i="4" s="1"/>
  <c r="CO355" i="4"/>
  <c r="EA76" i="4"/>
  <c r="EB75" i="4"/>
  <c r="EB538" i="4" s="1"/>
  <c r="EB540" i="4" s="1"/>
  <c r="EC540" i="4" s="1"/>
  <c r="Y396" i="2"/>
  <c r="Y385" i="2"/>
  <c r="CM265" i="4"/>
  <c r="CM266" i="4" s="1"/>
  <c r="CL266" i="4"/>
  <c r="BQ285" i="4"/>
  <c r="BQ262" i="4"/>
  <c r="BQ313" i="4"/>
  <c r="BR284" i="4"/>
  <c r="BR285" i="4" s="1"/>
  <c r="EE235" i="2"/>
  <c r="EI235" i="2"/>
  <c r="EG235" i="2"/>
  <c r="BZ205" i="4"/>
  <c r="BZ206" i="4" s="1"/>
  <c r="CC173" i="4"/>
  <c r="BZ163" i="4"/>
  <c r="BZ164" i="4" s="1"/>
  <c r="BU186" i="4"/>
  <c r="BH7" i="4"/>
  <c r="AI159" i="2"/>
  <c r="AI55" i="2"/>
  <c r="AI61" i="2"/>
  <c r="AJ60" i="2"/>
  <c r="AL152" i="2"/>
  <c r="CL97" i="4"/>
  <c r="CM96" i="4"/>
  <c r="AZ890" i="4"/>
  <c r="AZ891" i="4" s="1"/>
  <c r="AY932" i="4"/>
  <c r="DP35" i="2"/>
  <c r="DQ34" i="2"/>
  <c r="EA260" i="2"/>
  <c r="DY260" i="2"/>
  <c r="DY213" i="3" s="1"/>
  <c r="DZ213" i="3"/>
  <c r="BY189" i="4"/>
  <c r="CR102" i="4"/>
  <c r="CO265" i="4"/>
  <c r="CP102" i="4"/>
  <c r="CP103" i="4" s="1"/>
  <c r="CO746" i="4"/>
  <c r="CP746" i="4" s="1"/>
  <c r="CD59" i="4"/>
  <c r="CD69" i="4"/>
  <c r="BT284" i="4"/>
  <c r="BU284" i="4" s="1"/>
  <c r="CL748" i="4"/>
  <c r="CL749" i="4" s="1"/>
  <c r="CM745" i="4"/>
  <c r="CM748" i="4" s="1"/>
  <c r="CM749" i="4" s="1"/>
  <c r="CR263" i="2"/>
  <c r="CS264" i="2"/>
  <c r="CR264" i="2" s="1"/>
  <c r="CZ91" i="3"/>
  <c r="CZ93" i="3" s="1"/>
  <c r="BT222" i="4"/>
  <c r="BT221" i="4"/>
  <c r="BX185" i="4"/>
  <c r="BX186" i="4" s="1"/>
  <c r="BX189" i="4"/>
  <c r="BW220" i="4"/>
  <c r="BW189" i="4"/>
  <c r="BW281" i="4"/>
  <c r="BW312" i="4"/>
  <c r="BW260" i="4"/>
  <c r="BX260" i="4" s="1"/>
  <c r="L55" i="2"/>
  <c r="L53" i="2" s="1"/>
  <c r="M53" i="2"/>
  <c r="M43" i="2" s="1"/>
  <c r="L43" i="2" s="1"/>
  <c r="CV252" i="2"/>
  <c r="CU255" i="2"/>
  <c r="AJ69" i="2"/>
  <c r="AJ160" i="2"/>
  <c r="AJ171" i="2"/>
  <c r="AL171" i="2"/>
  <c r="AM153" i="2"/>
  <c r="CL174" i="4"/>
  <c r="CM173" i="4"/>
  <c r="CM174" i="4" s="1"/>
  <c r="CL163" i="4"/>
  <c r="AX676" i="4"/>
  <c r="BM170" i="2"/>
  <c r="CE183" i="4"/>
  <c r="CB188" i="4"/>
  <c r="AZ884" i="4"/>
  <c r="AZ885" i="4" s="1"/>
  <c r="CY273" i="2"/>
  <c r="CI164" i="4"/>
  <c r="CJ163" i="4"/>
  <c r="CC183" i="4"/>
  <c r="CD183" i="4" s="1"/>
  <c r="CD184" i="4" s="1"/>
  <c r="BZ188" i="4"/>
  <c r="CA188" i="4" s="1"/>
  <c r="BZ217" i="4"/>
  <c r="BZ218" i="4" s="1"/>
  <c r="BB859" i="4"/>
  <c r="BA955" i="4"/>
  <c r="CC275" i="4"/>
  <c r="CD275" i="4" s="1"/>
  <c r="BZ280" i="4"/>
  <c r="BZ309" i="4"/>
  <c r="BZ310" i="4" s="1"/>
  <c r="CY256" i="2"/>
  <c r="CW255" i="2"/>
  <c r="CW252" i="2" s="1"/>
  <c r="CW263" i="2" s="1"/>
  <c r="CW264" i="2" s="1"/>
  <c r="CR99" i="4"/>
  <c r="CO173" i="4"/>
  <c r="CO745" i="4"/>
  <c r="CP99" i="4"/>
  <c r="CP100" i="4" s="1"/>
  <c r="BT261" i="4"/>
  <c r="BT337" i="4"/>
  <c r="BT339" i="4" s="1"/>
  <c r="BT450" i="4" s="1"/>
  <c r="BT332" i="4"/>
  <c r="BT334" i="4" s="1"/>
  <c r="BU260" i="4"/>
  <c r="AZ686" i="4"/>
  <c r="AZ878" i="4"/>
  <c r="AZ879" i="4" s="1"/>
  <c r="AY896" i="4"/>
  <c r="DC300" i="2"/>
  <c r="DC297" i="2" s="1"/>
  <c r="DC91" i="3" s="1"/>
  <c r="DD93" i="3" s="1"/>
  <c r="DB297" i="2"/>
  <c r="DA300" i="2"/>
  <c r="W385" i="2"/>
  <c r="X374" i="2" s="1"/>
  <c r="W396" i="2"/>
  <c r="BS580" i="4"/>
  <c r="BT580" i="4" s="1"/>
  <c r="BX580" i="4"/>
  <c r="CQ207" i="3"/>
  <c r="EJ296" i="2"/>
  <c r="EL296" i="2" s="1"/>
  <c r="EH296" i="2"/>
  <c r="AI187" i="2"/>
  <c r="AJ187" i="2" s="1"/>
  <c r="AJ184" i="2"/>
  <c r="BU386" i="4"/>
  <c r="BU383" i="4"/>
  <c r="AZ632" i="4"/>
  <c r="AZ620" i="4"/>
  <c r="AZ586" i="4"/>
  <c r="CC175" i="4"/>
  <c r="BZ178" i="4"/>
  <c r="BM650" i="4"/>
  <c r="CE360" i="4"/>
  <c r="CG359" i="4"/>
  <c r="CE379" i="4"/>
  <c r="DY278" i="2"/>
  <c r="DY73" i="3" s="1"/>
  <c r="DY75" i="3" s="1"/>
  <c r="EA278" i="2"/>
  <c r="DZ73" i="3"/>
  <c r="BK327" i="2"/>
  <c r="BK328" i="2"/>
  <c r="BK324" i="2"/>
  <c r="BQ304" i="2"/>
  <c r="BR305" i="2"/>
  <c r="BQ305" i="2" s="1"/>
  <c r="DQ294" i="2"/>
  <c r="DO290" i="2"/>
  <c r="DO304" i="2" s="1"/>
  <c r="BX855" i="4"/>
  <c r="BV855" i="4" s="1"/>
  <c r="BW855" i="4" s="1"/>
  <c r="CG643" i="4"/>
  <c r="CW69" i="4"/>
  <c r="CW59" i="4"/>
  <c r="CY48" i="4"/>
  <c r="EH247" i="4"/>
  <c r="BQ30" i="4"/>
  <c r="BQ65" i="4"/>
  <c r="DZ293" i="2"/>
  <c r="DT292" i="2"/>
  <c r="CR209" i="3"/>
  <c r="CT209" i="3"/>
  <c r="CV209" i="3" s="1"/>
  <c r="BA631" i="4"/>
  <c r="BA619" i="4"/>
  <c r="BT169" i="4"/>
  <c r="BT241" i="4"/>
  <c r="BT243" i="4" s="1"/>
  <c r="BT246" i="4"/>
  <c r="BT248" i="4" s="1"/>
  <c r="BU178" i="4"/>
  <c r="BS180" i="4"/>
  <c r="BS168" i="4"/>
  <c r="BS179" i="4"/>
  <c r="BG503" i="2"/>
  <c r="BG184" i="2"/>
  <c r="BG187" i="2" s="1"/>
  <c r="AY697" i="4"/>
  <c r="BV300" i="2"/>
  <c r="BT300" i="2"/>
  <c r="BU297" i="2"/>
  <c r="AZ954" i="4"/>
  <c r="AZ957" i="4" s="1"/>
  <c r="AZ861" i="4"/>
  <c r="BA858" i="4"/>
  <c r="CZ469" i="2"/>
  <c r="DA469" i="2" s="1"/>
  <c r="DB469" i="2" s="1"/>
  <c r="BB877" i="4"/>
  <c r="BJ12" i="4"/>
  <c r="BJ8" i="4"/>
  <c r="BX578" i="4"/>
  <c r="BS578" i="4"/>
  <c r="BT578" i="4" s="1"/>
  <c r="AZ180" i="2"/>
  <c r="AZ56" i="2"/>
  <c r="AY55" i="2"/>
  <c r="BB151" i="2" s="1"/>
  <c r="AZ158" i="2"/>
  <c r="AZ151" i="2"/>
  <c r="AZ53" i="2"/>
  <c r="AZ43" i="2" s="1"/>
  <c r="BA870" i="4"/>
  <c r="AZ912" i="4"/>
  <c r="BI324" i="2"/>
  <c r="BH307" i="2"/>
  <c r="BH324" i="2" s="1"/>
  <c r="BP474" i="4"/>
  <c r="BP425" i="4"/>
  <c r="CV32" i="4"/>
  <c r="BU645" i="4"/>
  <c r="EH133" i="3"/>
  <c r="BL693" i="4"/>
  <c r="CK356" i="4"/>
  <c r="CH359" i="4"/>
  <c r="BB158" i="2"/>
  <c r="BB169" i="2"/>
  <c r="BB56" i="2"/>
  <c r="BB53" i="2"/>
  <c r="BT85" i="2"/>
  <c r="BU90" i="2"/>
  <c r="BU202" i="3" s="1"/>
  <c r="DO178" i="3"/>
  <c r="DN190" i="2"/>
  <c r="BA888" i="4"/>
  <c r="BL158" i="2"/>
  <c r="BL151" i="2"/>
  <c r="BL180" i="2"/>
  <c r="BL56" i="2"/>
  <c r="BK55" i="2"/>
  <c r="BM169" i="2" s="1"/>
  <c r="BR93" i="3"/>
  <c r="BO345" i="4"/>
  <c r="BO343" i="4"/>
  <c r="BB751" i="4"/>
  <c r="BA754" i="4"/>
  <c r="BD865" i="4"/>
  <c r="BN453" i="4"/>
  <c r="BN454" i="4"/>
  <c r="BN456" i="4" s="1"/>
  <c r="DP222" i="3"/>
  <c r="DP348" i="2" s="1"/>
  <c r="DP27" i="2"/>
  <c r="BQ210" i="4"/>
  <c r="BQ237" i="4"/>
  <c r="BQ235" i="4" s="1"/>
  <c r="AX712" i="4"/>
  <c r="AX948" i="4"/>
  <c r="AX739" i="4"/>
  <c r="AX785" i="4" s="1"/>
  <c r="AX912" i="4"/>
  <c r="BD871" i="4"/>
  <c r="DP13" i="2"/>
  <c r="DP14" i="2" s="1"/>
  <c r="BJ184" i="2"/>
  <c r="BJ187" i="2" s="1"/>
  <c r="BJ503" i="2"/>
  <c r="BV389" i="4"/>
  <c r="BV367" i="4"/>
  <c r="BV351" i="4"/>
  <c r="EP299" i="2"/>
  <c r="ER299" i="2" s="1"/>
  <c r="EN299" i="2"/>
  <c r="BI152" i="3"/>
  <c r="J324" i="2"/>
  <c r="I307" i="2"/>
  <c r="I324" i="2" s="1"/>
  <c r="CY90" i="2"/>
  <c r="DL22" i="2"/>
  <c r="X18" i="9" s="1"/>
  <c r="BQ448" i="4"/>
  <c r="DI22" i="2"/>
  <c r="V18" i="9" s="1"/>
  <c r="CG834" i="4"/>
  <c r="CE834" i="4" s="1"/>
  <c r="CF834" i="4" s="1"/>
  <c r="BA625" i="4"/>
  <c r="BA637" i="4"/>
  <c r="BA685" i="4" s="1"/>
  <c r="BH173" i="2"/>
  <c r="BH5" i="3"/>
  <c r="BH11" i="3" s="1"/>
  <c r="BH162" i="2"/>
  <c r="BH344" i="2"/>
  <c r="BH156" i="2"/>
  <c r="BJ173" i="2"/>
  <c r="AX949" i="4"/>
  <c r="AX913" i="4"/>
  <c r="AX740" i="4"/>
  <c r="AX786" i="4" s="1"/>
  <c r="DC365" i="4"/>
  <c r="DF186" i="4"/>
  <c r="DC278" i="4"/>
  <c r="BN434" i="4"/>
  <c r="BO433" i="4"/>
  <c r="BO434" i="4" s="1"/>
  <c r="BT209" i="4"/>
  <c r="BT181" i="4"/>
  <c r="BT118" i="4"/>
  <c r="CY374" i="2"/>
  <c r="CW374" i="2"/>
  <c r="CW385" i="2" s="1"/>
  <c r="CV566" i="2"/>
  <c r="CV384" i="2"/>
  <c r="BP442" i="4"/>
  <c r="BI451" i="4"/>
  <c r="BI432" i="4"/>
  <c r="BI472" i="4"/>
  <c r="BI441" i="4"/>
  <c r="BI462" i="4"/>
  <c r="BL423" i="4"/>
  <c r="CV90" i="2"/>
  <c r="DL205" i="2"/>
  <c r="DL214" i="2" s="1"/>
  <c r="DL213" i="2" s="1"/>
  <c r="DL202" i="3" s="1"/>
  <c r="DL220" i="2"/>
  <c r="BX836" i="4"/>
  <c r="BV836" i="4" s="1"/>
  <c r="BW836" i="4" s="1"/>
  <c r="BQ171" i="4"/>
  <c r="BQ420" i="4"/>
  <c r="BQ253" i="4"/>
  <c r="BG152" i="3"/>
  <c r="BH150" i="3" s="1"/>
  <c r="DD213" i="2"/>
  <c r="BA860" i="4"/>
  <c r="BA503" i="2"/>
  <c r="BA184" i="2"/>
  <c r="BA187" i="2" s="1"/>
  <c r="BN644" i="4"/>
  <c r="BY175" i="4"/>
  <c r="DB90" i="2"/>
  <c r="DT35" i="2"/>
  <c r="DT505" i="2"/>
  <c r="DS75" i="2"/>
  <c r="DS505" i="2" s="1"/>
  <c r="CD69" i="3"/>
  <c r="BZ69" i="3"/>
  <c r="CA70" i="2"/>
  <c r="AS171" i="2"/>
  <c r="AS153" i="2"/>
  <c r="AS69" i="2"/>
  <c r="AS160" i="2"/>
  <c r="AU171" i="2"/>
  <c r="DG214" i="2"/>
  <c r="DH213" i="2"/>
  <c r="DU133" i="3"/>
  <c r="BN12" i="4"/>
  <c r="BN8" i="4"/>
  <c r="BO7" i="4"/>
  <c r="BR168" i="4"/>
  <c r="BP246" i="4"/>
  <c r="BP241" i="4"/>
  <c r="BP169" i="4"/>
  <c r="BQ85" i="2"/>
  <c r="BR90" i="2"/>
  <c r="BR202" i="3" s="1"/>
  <c r="BL651" i="4"/>
  <c r="BB872" i="4"/>
  <c r="CT185" i="2"/>
  <c r="CT614" i="2"/>
  <c r="DS362" i="2"/>
  <c r="DT362" i="2" s="1"/>
  <c r="DR359" i="2"/>
  <c r="AZ638" i="4"/>
  <c r="AZ626" i="4"/>
  <c r="AZ592" i="4"/>
  <c r="AZ640" i="4" s="1"/>
  <c r="AZ873" i="4"/>
  <c r="EH291" i="2"/>
  <c r="EJ291" i="2"/>
  <c r="EL291" i="2" s="1"/>
  <c r="BP463" i="4"/>
  <c r="CU69" i="4"/>
  <c r="CU59" i="4"/>
  <c r="CV48" i="4"/>
  <c r="CS90" i="2"/>
  <c r="CS202" i="3" s="1"/>
  <c r="AV153" i="2"/>
  <c r="BB889" i="4"/>
  <c r="BQ213" i="2"/>
  <c r="CX82" i="4"/>
  <c r="CY81" i="4"/>
  <c r="AY924" i="4"/>
  <c r="AX943" i="4"/>
  <c r="AX734" i="4"/>
  <c r="AX780" i="4" s="1"/>
  <c r="AX901" i="4"/>
  <c r="AX937" i="4"/>
  <c r="BC476" i="2"/>
  <c r="BC477" i="2" s="1"/>
  <c r="BB43" i="2"/>
  <c r="BB476" i="2" s="1"/>
  <c r="BB477" i="2" s="1"/>
  <c r="BY460" i="2"/>
  <c r="BY464" i="2" s="1"/>
  <c r="BY86" i="2"/>
  <c r="BI430" i="4"/>
  <c r="BI470" i="4"/>
  <c r="BI460" i="4"/>
  <c r="BI439" i="4"/>
  <c r="BI421" i="4"/>
  <c r="BI449" i="4"/>
  <c r="R55" i="2"/>
  <c r="R53" i="2" s="1"/>
  <c r="S53" i="2"/>
  <c r="S43" i="2" s="1"/>
  <c r="R43" i="2" s="1"/>
  <c r="CC213" i="2"/>
  <c r="CB272" i="2"/>
  <c r="BZ272" i="2"/>
  <c r="CI213" i="2"/>
  <c r="BJ752" i="4"/>
  <c r="DC270" i="2"/>
  <c r="DA270" i="2"/>
  <c r="BV261" i="4"/>
  <c r="BV332" i="4"/>
  <c r="BV337" i="4"/>
  <c r="BU854" i="4"/>
  <c r="BS854" i="4" s="1"/>
  <c r="BT854" i="4" s="1"/>
  <c r="CY32" i="4"/>
  <c r="DE90" i="2"/>
  <c r="CD90" i="2"/>
  <c r="BV5" i="3"/>
  <c r="BV11" i="3" s="1"/>
  <c r="BV156" i="2"/>
  <c r="BV91" i="2"/>
  <c r="BV344" i="2"/>
  <c r="AX718" i="4"/>
  <c r="AX918" i="4"/>
  <c r="AX706" i="4"/>
  <c r="AX909" i="4" s="1"/>
  <c r="BJ481" i="2"/>
  <c r="BJ482" i="2" s="1"/>
  <c r="BJ478" i="2"/>
  <c r="BA590" i="4"/>
  <c r="BA584" i="4" s="1"/>
  <c r="BB568" i="4"/>
  <c r="CB362" i="4"/>
  <c r="BY366" i="4"/>
  <c r="BY387" i="4"/>
  <c r="BN427" i="4"/>
  <c r="BD56" i="2"/>
  <c r="BD180" i="2"/>
  <c r="BD158" i="2"/>
  <c r="BD169" i="2"/>
  <c r="BD151" i="2"/>
  <c r="BD53" i="2"/>
  <c r="BD43" i="2" s="1"/>
  <c r="BD476" i="2" s="1"/>
  <c r="BD477" i="2" s="1"/>
  <c r="BT351" i="4"/>
  <c r="BU351" i="4" s="1"/>
  <c r="BU352" i="4" s="1"/>
  <c r="BT367" i="4"/>
  <c r="BT389" i="4"/>
  <c r="BU389" i="4" s="1"/>
  <c r="CO22" i="2"/>
  <c r="BP433" i="4"/>
  <c r="BP403" i="4"/>
  <c r="BW85" i="2"/>
  <c r="BX90" i="2"/>
  <c r="BL649" i="4"/>
  <c r="CF213" i="2"/>
  <c r="AZ867" i="4"/>
  <c r="BA864" i="4"/>
  <c r="AZ673" i="4"/>
  <c r="AZ715" i="4" s="1"/>
  <c r="AZ918" i="4" s="1"/>
  <c r="AZ679" i="4"/>
  <c r="AZ721" i="4" s="1"/>
  <c r="AZ924" i="4" s="1"/>
  <c r="AY632" i="4"/>
  <c r="AY620" i="4"/>
  <c r="AY586" i="4"/>
  <c r="BQ438" i="4"/>
  <c r="BQ244" i="4"/>
  <c r="AZ728" i="4"/>
  <c r="AZ931" i="4" s="1"/>
  <c r="AX931" i="4"/>
  <c r="BE500" i="2"/>
  <c r="BE504" i="2"/>
  <c r="BE497" i="2"/>
  <c r="BE499" i="2"/>
  <c r="BF498" i="2"/>
  <c r="BA570" i="4"/>
  <c r="BS405" i="4"/>
  <c r="BS424" i="4"/>
  <c r="BS17" i="4"/>
  <c r="BS352" i="4"/>
  <c r="BS409" i="4"/>
  <c r="BS413" i="4"/>
  <c r="BR7" i="4"/>
  <c r="BX460" i="2"/>
  <c r="BX464" i="2" s="1"/>
  <c r="BX456" i="2"/>
  <c r="BW70" i="2"/>
  <c r="BW460" i="2" s="1"/>
  <c r="BW464" i="2" s="1"/>
  <c r="EB78" i="4"/>
  <c r="EA79" i="4"/>
  <c r="BK213" i="2"/>
  <c r="EN153" i="3"/>
  <c r="EQ147" i="3"/>
  <c r="AW187" i="2"/>
  <c r="CR213" i="2"/>
  <c r="BY215" i="4"/>
  <c r="BY217" i="4" s="1"/>
  <c r="BY214" i="4"/>
  <c r="BK436" i="4"/>
  <c r="BK466" i="4"/>
  <c r="BK456" i="4"/>
  <c r="BK476" i="4"/>
  <c r="DN93" i="3"/>
  <c r="DA22" i="2"/>
  <c r="BA882" i="4"/>
  <c r="DO215" i="3"/>
  <c r="CE69" i="3"/>
  <c r="CB70" i="2"/>
  <c r="BS313" i="4"/>
  <c r="BS328" i="4" s="1"/>
  <c r="BS262" i="4"/>
  <c r="BS285" i="4"/>
  <c r="BS124" i="4"/>
  <c r="BE692" i="4"/>
  <c r="BV284" i="4"/>
  <c r="L400" i="2"/>
  <c r="K400" i="2"/>
  <c r="J399" i="2"/>
  <c r="I399" i="2" s="1"/>
  <c r="H399" i="2" s="1"/>
  <c r="AX700" i="4"/>
  <c r="AX942" i="4"/>
  <c r="AX733" i="4"/>
  <c r="AX936" i="4"/>
  <c r="AX900" i="4"/>
  <c r="AY906" i="4"/>
  <c r="CA579" i="4"/>
  <c r="BV579" i="4"/>
  <c r="BW579" i="4" s="1"/>
  <c r="BS390" i="4"/>
  <c r="BS402" i="4"/>
  <c r="CP90" i="2"/>
  <c r="BA876" i="4"/>
  <c r="BS339" i="4"/>
  <c r="CR185" i="2"/>
  <c r="CR614" i="2"/>
  <c r="BN464" i="4"/>
  <c r="BN465" i="4"/>
  <c r="BN466" i="4" s="1"/>
  <c r="BQ390" i="4"/>
  <c r="BQ402" i="4"/>
  <c r="BR402" i="4" s="1"/>
  <c r="BR403" i="4" s="1"/>
  <c r="DQ90" i="2"/>
  <c r="CA90" i="2"/>
  <c r="AV61" i="2"/>
  <c r="AV617" i="2"/>
  <c r="AV622" i="2" s="1"/>
  <c r="AV170" i="2"/>
  <c r="AV159" i="2"/>
  <c r="AX170" i="2"/>
  <c r="DQ297" i="2"/>
  <c r="DR300" i="2"/>
  <c r="DP300" i="2"/>
  <c r="AR187" i="2"/>
  <c r="AS187" i="2" s="1"/>
  <c r="AS184" i="2"/>
  <c r="BY307" i="4"/>
  <c r="BY309" i="4" s="1"/>
  <c r="BY306" i="4"/>
  <c r="CL360" i="4"/>
  <c r="CE275" i="4"/>
  <c r="CB280" i="4"/>
  <c r="CB282" i="4" s="1"/>
  <c r="CM90" i="2"/>
  <c r="CJ90" i="2"/>
  <c r="BC753" i="4"/>
  <c r="EG254" i="4"/>
  <c r="EH254" i="4"/>
  <c r="CY416" i="2"/>
  <c r="BX309" i="4"/>
  <c r="BV310" i="4"/>
  <c r="BX310" i="4" s="1"/>
  <c r="Z224" i="2"/>
  <c r="Z226" i="2" s="1"/>
  <c r="AA224" i="2" s="1"/>
  <c r="X226" i="2"/>
  <c r="AB224" i="2"/>
  <c r="AB226" i="2" s="1"/>
  <c r="BC151" i="2"/>
  <c r="EJ286" i="2"/>
  <c r="EH286" i="2"/>
  <c r="DN304" i="2"/>
  <c r="DM304" i="2" s="1"/>
  <c r="DM290" i="2"/>
  <c r="CN349" i="2"/>
  <c r="CP348" i="2"/>
  <c r="CP352" i="2"/>
  <c r="CP24" i="2" s="1"/>
  <c r="CN22" i="2"/>
  <c r="CH271" i="4"/>
  <c r="CH300" i="4"/>
  <c r="CH302" i="4" s="1"/>
  <c r="CH272" i="4"/>
  <c r="BV218" i="4"/>
  <c r="BX218" i="4" s="1"/>
  <c r="BX217" i="4"/>
  <c r="BV220" i="4"/>
  <c r="AZ894" i="4"/>
  <c r="BK475" i="2"/>
  <c r="P411" i="2"/>
  <c r="O411" i="2" s="1"/>
  <c r="Q416" i="2"/>
  <c r="P409" i="2"/>
  <c r="P410" i="2"/>
  <c r="O410" i="2" s="1"/>
  <c r="N400" i="2"/>
  <c r="BN443" i="4"/>
  <c r="BN444" i="4"/>
  <c r="BN445" i="4" s="1"/>
  <c r="CG90" i="2"/>
  <c r="BL691" i="4"/>
  <c r="CE301" i="4"/>
  <c r="CE273" i="4"/>
  <c r="BJ652" i="4"/>
  <c r="BE61" i="2"/>
  <c r="BE152" i="2"/>
  <c r="BE617" i="2"/>
  <c r="BE622" i="2" s="1"/>
  <c r="BE159" i="2"/>
  <c r="BE170" i="2"/>
  <c r="BG170" i="2"/>
  <c r="CX69" i="4"/>
  <c r="DA59" i="4"/>
  <c r="CX59" i="4"/>
  <c r="DO222" i="3"/>
  <c r="DO27" i="2"/>
  <c r="DR27" i="2"/>
  <c r="BZ362" i="4"/>
  <c r="CA362" i="4" s="1"/>
  <c r="CA363" i="4" s="1"/>
  <c r="BW387" i="4"/>
  <c r="BX387" i="4" s="1"/>
  <c r="BW366" i="4"/>
  <c r="BR389" i="4"/>
  <c r="BR390" i="4" s="1"/>
  <c r="BM56" i="2"/>
  <c r="BM180" i="2"/>
  <c r="BM158" i="2"/>
  <c r="BM151" i="2"/>
  <c r="BM53" i="2"/>
  <c r="BM43" i="2" s="1"/>
  <c r="BM476" i="2" s="1"/>
  <c r="BM477" i="2" s="1"/>
  <c r="BI53" i="2"/>
  <c r="BI43" i="2" s="1"/>
  <c r="BI476" i="2" s="1"/>
  <c r="BI477" i="2" s="1"/>
  <c r="BI180" i="2"/>
  <c r="BI151" i="2"/>
  <c r="BH55" i="2"/>
  <c r="BI158" i="2"/>
  <c r="BI56" i="2"/>
  <c r="AX658" i="4"/>
  <c r="AY897" i="4"/>
  <c r="T53" i="2"/>
  <c r="T43" i="2" s="1"/>
  <c r="U43" i="2" s="1"/>
  <c r="U55" i="2"/>
  <c r="U53" i="2" s="1"/>
  <c r="DM222" i="3"/>
  <c r="BF810" i="4"/>
  <c r="BE816" i="4"/>
  <c r="CZ59" i="4"/>
  <c r="DB48" i="4"/>
  <c r="CZ69" i="4"/>
  <c r="DC59" i="4"/>
  <c r="BU366" i="4"/>
  <c r="DO274" i="2"/>
  <c r="DQ274" i="2" s="1"/>
  <c r="AB58" i="9" s="1"/>
  <c r="DM274" i="2"/>
  <c r="BA481" i="2"/>
  <c r="BA482" i="2" s="1"/>
  <c r="BA478" i="2"/>
  <c r="BE842" i="4"/>
  <c r="BD824" i="4"/>
  <c r="BD842" i="4" s="1"/>
  <c r="DA213" i="2"/>
  <c r="BO142" i="2"/>
  <c r="BO143" i="2" s="1"/>
  <c r="BO146" i="2" s="1"/>
  <c r="BM142" i="2"/>
  <c r="BM143" i="2" s="1"/>
  <c r="BM146" i="2" s="1"/>
  <c r="BN142" i="2" s="1"/>
  <c r="BN143" i="2" s="1"/>
  <c r="BN146" i="2" s="1"/>
  <c r="BS334" i="4"/>
  <c r="AU56" i="2"/>
  <c r="AU158" i="2"/>
  <c r="AU180" i="2"/>
  <c r="AX151" i="2"/>
  <c r="AV55" i="2"/>
  <c r="AV53" i="2" s="1"/>
  <c r="BS91" i="3"/>
  <c r="BS186" i="2"/>
  <c r="BV26" i="3"/>
  <c r="BV28" i="3" s="1"/>
  <c r="BW57" i="2"/>
  <c r="BV180" i="3"/>
  <c r="BV456" i="2"/>
  <c r="BV179" i="2"/>
  <c r="BW179" i="2" s="1"/>
  <c r="BE514" i="2"/>
  <c r="BD515" i="2"/>
  <c r="AY715" i="4"/>
  <c r="AR617" i="2"/>
  <c r="AR622" i="2" s="1"/>
  <c r="AR55" i="2"/>
  <c r="AU151" i="2" s="1"/>
  <c r="AS60" i="2"/>
  <c r="AR159" i="2"/>
  <c r="AR152" i="2"/>
  <c r="AR61" i="2"/>
  <c r="BQ405" i="4"/>
  <c r="BQ442" i="4" s="1"/>
  <c r="BQ424" i="4"/>
  <c r="BQ413" i="4"/>
  <c r="BQ463" i="4" s="1"/>
  <c r="BQ409" i="4"/>
  <c r="BQ452" i="4" s="1"/>
  <c r="BQ352" i="4"/>
  <c r="DO91" i="3"/>
  <c r="DO93" i="3" s="1"/>
  <c r="BU220" i="4"/>
  <c r="BU222" i="4" s="1"/>
  <c r="BS222" i="4"/>
  <c r="BS221" i="4"/>
  <c r="DU257" i="2"/>
  <c r="DU255" i="2" s="1"/>
  <c r="DS255" i="2"/>
  <c r="CW268" i="2"/>
  <c r="CV266" i="2"/>
  <c r="CU268" i="2"/>
  <c r="BP452" i="4"/>
  <c r="AD307" i="2"/>
  <c r="AD324" i="2" s="1"/>
  <c r="AE324" i="2"/>
  <c r="BE55" i="2"/>
  <c r="BF158" i="2"/>
  <c r="BF56" i="2"/>
  <c r="BF151" i="2"/>
  <c r="BF180" i="2"/>
  <c r="BF53" i="2"/>
  <c r="BF43" i="2" s="1"/>
  <c r="EG247" i="4"/>
  <c r="R307" i="2"/>
  <c r="R324" i="2" s="1"/>
  <c r="S324" i="2"/>
  <c r="BR180" i="4"/>
  <c r="BP181" i="4"/>
  <c r="BL156" i="2"/>
  <c r="BL162" i="2"/>
  <c r="BL344" i="2"/>
  <c r="BK90" i="2"/>
  <c r="BL5" i="3"/>
  <c r="BL11" i="3" s="1"/>
  <c r="BO156" i="2"/>
  <c r="BR307" i="4"/>
  <c r="BR306" i="4"/>
  <c r="DP263" i="2"/>
  <c r="DQ264" i="2"/>
  <c r="CE383" i="4"/>
  <c r="CB305" i="4"/>
  <c r="CB213" i="4"/>
  <c r="CB386" i="4"/>
  <c r="CR356" i="4"/>
  <c r="CO359" i="4"/>
  <c r="AY152" i="2"/>
  <c r="AY61" i="2"/>
  <c r="AY617" i="2"/>
  <c r="AY622" i="2" s="1"/>
  <c r="AY159" i="2"/>
  <c r="AY170" i="2"/>
  <c r="BA170" i="2"/>
  <c r="BW179" i="4"/>
  <c r="BW180" i="4"/>
  <c r="BW208" i="4"/>
  <c r="BW168" i="4"/>
  <c r="BQ17" i="4"/>
  <c r="BP66" i="4"/>
  <c r="BP31" i="4"/>
  <c r="BP461" i="4"/>
  <c r="BP343" i="4"/>
  <c r="BF470" i="4"/>
  <c r="BF460" i="4"/>
  <c r="BF439" i="4"/>
  <c r="BF449" i="4"/>
  <c r="BF430" i="4"/>
  <c r="BB180" i="2"/>
  <c r="BB503" i="2" s="1"/>
  <c r="BC184" i="2"/>
  <c r="BC503" i="2"/>
  <c r="BK152" i="2"/>
  <c r="BK170" i="2"/>
  <c r="BK61" i="2"/>
  <c r="BK617" i="2"/>
  <c r="BK622" i="2" s="1"/>
  <c r="BK644" i="2" s="1"/>
  <c r="BK159" i="2"/>
  <c r="CN267" i="4"/>
  <c r="CK270" i="4"/>
  <c r="CI267" i="4"/>
  <c r="CF270" i="4"/>
  <c r="BL53" i="2"/>
  <c r="BL43" i="2" s="1"/>
  <c r="BS855" i="4"/>
  <c r="BT855" i="4" s="1"/>
  <c r="BB819" i="4"/>
  <c r="BC813" i="4"/>
  <c r="BC819" i="4" s="1"/>
  <c r="BV312" i="4"/>
  <c r="BV202" i="3"/>
  <c r="BS836" i="4"/>
  <c r="BT836" i="4" s="1"/>
  <c r="DK220" i="2"/>
  <c r="DK205" i="2"/>
  <c r="DJ189" i="2"/>
  <c r="N142" i="2"/>
  <c r="N143" i="2" s="1"/>
  <c r="N146" i="2" s="1"/>
  <c r="O142" i="2" s="1"/>
  <c r="O143" i="2" s="1"/>
  <c r="O146" i="2" s="1"/>
  <c r="P142" i="2"/>
  <c r="P143" i="2" s="1"/>
  <c r="P146" i="2" s="1"/>
  <c r="BB307" i="2"/>
  <c r="BB324" i="2" s="1"/>
  <c r="BC324" i="2"/>
  <c r="BH152" i="2"/>
  <c r="BH61" i="2"/>
  <c r="BH617" i="2"/>
  <c r="BH622" i="2" s="1"/>
  <c r="BH170" i="2"/>
  <c r="BH159" i="2"/>
  <c r="BJ170" i="2"/>
  <c r="DY338" i="4"/>
  <c r="AY709" i="4"/>
  <c r="AY670" i="4"/>
  <c r="AZ670" i="4" s="1"/>
  <c r="BD817" i="4"/>
  <c r="BD812" i="4"/>
  <c r="BE811" i="4"/>
  <c r="DE32" i="4"/>
  <c r="DB32" i="4"/>
  <c r="BC567" i="4"/>
  <c r="BB589" i="4"/>
  <c r="BB583" i="4" s="1"/>
  <c r="AY740" i="4"/>
  <c r="AY786" i="4" s="1"/>
  <c r="AY949" i="4"/>
  <c r="AY913" i="4"/>
  <c r="DA278" i="4"/>
  <c r="DA277" i="4" s="1"/>
  <c r="DD277" i="4" s="1"/>
  <c r="DA365" i="4"/>
  <c r="DA364" i="4" s="1"/>
  <c r="DD364" i="4" s="1"/>
  <c r="BI842" i="4"/>
  <c r="BL824" i="4"/>
  <c r="BH824" i="4"/>
  <c r="BI202" i="3"/>
  <c r="BH213" i="2"/>
  <c r="BH202" i="3" s="1"/>
  <c r="DZ563" i="4" l="1"/>
  <c r="EB84" i="4"/>
  <c r="EA85" i="4"/>
  <c r="DW133" i="3"/>
  <c r="DX133" i="3"/>
  <c r="DX132" i="3" s="1"/>
  <c r="EB88" i="4"/>
  <c r="EC87" i="4"/>
  <c r="DX295" i="4"/>
  <c r="DX296" i="4" s="1"/>
  <c r="DX203" i="4"/>
  <c r="DX204" i="4" s="1"/>
  <c r="BE287" i="2"/>
  <c r="BN470" i="4"/>
  <c r="BN257" i="4"/>
  <c r="EC560" i="4"/>
  <c r="CT224" i="2"/>
  <c r="CT226" i="2" s="1"/>
  <c r="CU224" i="2" s="1"/>
  <c r="CV224" i="2"/>
  <c r="CV226" i="2" s="1"/>
  <c r="BN634" i="2"/>
  <c r="BN636" i="2" s="1"/>
  <c r="BN639" i="2" s="1"/>
  <c r="BN642" i="2" s="1"/>
  <c r="BY260" i="4"/>
  <c r="BY337" i="4" s="1"/>
  <c r="EW282" i="2"/>
  <c r="FA282" i="2"/>
  <c r="EZ282" i="2" s="1"/>
  <c r="EY282" i="2"/>
  <c r="FK102" i="4"/>
  <c r="EB409" i="2"/>
  <c r="ED409" i="2"/>
  <c r="EF409" i="2" s="1"/>
  <c r="DW252" i="2"/>
  <c r="DV255" i="2"/>
  <c r="EH321" i="2"/>
  <c r="EH626" i="2" s="1"/>
  <c r="N66" i="9"/>
  <c r="BM480" i="2"/>
  <c r="BM481" i="2" s="1"/>
  <c r="BM482" i="2" s="1"/>
  <c r="BM455" i="2"/>
  <c r="BN149" i="3"/>
  <c r="BO149" i="3" s="1"/>
  <c r="BY281" i="4"/>
  <c r="EB543" i="4"/>
  <c r="EB545" i="4" s="1"/>
  <c r="EB562" i="4" s="1"/>
  <c r="EB152" i="4" s="1"/>
  <c r="EA562" i="4"/>
  <c r="EA152" i="4" s="1"/>
  <c r="EI626" i="2"/>
  <c r="CD276" i="4"/>
  <c r="BP769" i="4"/>
  <c r="CT97" i="4"/>
  <c r="BT237" i="4"/>
  <c r="BJ773" i="4"/>
  <c r="BJ774" i="4" s="1"/>
  <c r="BR332" i="4"/>
  <c r="BR333" i="4" s="1"/>
  <c r="DK413" i="2"/>
  <c r="DL413" i="2" s="1"/>
  <c r="BQ339" i="4"/>
  <c r="BQ450" i="4" s="1"/>
  <c r="BQ454" i="4" s="1"/>
  <c r="BU278" i="4"/>
  <c r="DI529" i="2"/>
  <c r="BJ771" i="4"/>
  <c r="EJ321" i="2"/>
  <c r="EJ626" i="2" s="1"/>
  <c r="BO61" i="2"/>
  <c r="BU261" i="4"/>
  <c r="BP758" i="4"/>
  <c r="BP766" i="4" s="1"/>
  <c r="BP757" i="4"/>
  <c r="BP765" i="4" s="1"/>
  <c r="BR338" i="4"/>
  <c r="BN307" i="2"/>
  <c r="BN324" i="2" s="1"/>
  <c r="AZ730" i="4"/>
  <c r="AZ933" i="4" s="1"/>
  <c r="BL346" i="2"/>
  <c r="BX67" i="4"/>
  <c r="BO461" i="4"/>
  <c r="BO462" i="4" s="1"/>
  <c r="BP760" i="4"/>
  <c r="BP762" i="4" s="1"/>
  <c r="BR762" i="4"/>
  <c r="BO774" i="4"/>
  <c r="BA895" i="4"/>
  <c r="BO226" i="3"/>
  <c r="BP226" i="3" s="1"/>
  <c r="BN352" i="2"/>
  <c r="BS761" i="4"/>
  <c r="BS759" i="4" s="1"/>
  <c r="BS767" i="4" s="1"/>
  <c r="BU769" i="4"/>
  <c r="CN208" i="3"/>
  <c r="CL208" i="3"/>
  <c r="CL206" i="3" s="1"/>
  <c r="CM206" i="3"/>
  <c r="BX296" i="4"/>
  <c r="BP153" i="2"/>
  <c r="BP171" i="2"/>
  <c r="BP60" i="2"/>
  <c r="BS619" i="2"/>
  <c r="BS621" i="2" s="1"/>
  <c r="BS479" i="2"/>
  <c r="BS72" i="2"/>
  <c r="BS345" i="2" s="1"/>
  <c r="BY271" i="2"/>
  <c r="BW271" i="2"/>
  <c r="BX269" i="2"/>
  <c r="BR178" i="2"/>
  <c r="BQ178" i="2" s="1"/>
  <c r="BR4" i="3"/>
  <c r="BR10" i="3" s="1"/>
  <c r="BR331" i="2"/>
  <c r="BR154" i="2"/>
  <c r="BQ72" i="2"/>
  <c r="BQ345" i="2" s="1"/>
  <c r="BR68" i="2"/>
  <c r="CI375" i="4"/>
  <c r="CF295" i="4"/>
  <c r="CF203" i="4"/>
  <c r="CF378" i="4"/>
  <c r="BW302" i="4"/>
  <c r="BX300" i="4"/>
  <c r="BX302" i="4" s="1"/>
  <c r="BV77" i="2"/>
  <c r="BT77" i="2"/>
  <c r="BU74" i="2"/>
  <c r="BN171" i="2"/>
  <c r="BN153" i="2"/>
  <c r="BQ479" i="2"/>
  <c r="BQ619" i="2"/>
  <c r="BQ621" i="2" s="1"/>
  <c r="CC379" i="4"/>
  <c r="CD378" i="4"/>
  <c r="CD375" i="4" s="1"/>
  <c r="CD376" i="4" s="1"/>
  <c r="BW301" i="4"/>
  <c r="BX301" i="4" s="1"/>
  <c r="BX299" i="4"/>
  <c r="BP176" i="2"/>
  <c r="BU66" i="3"/>
  <c r="BV66" i="3"/>
  <c r="BZ299" i="4"/>
  <c r="BZ300" i="4"/>
  <c r="CA298" i="4"/>
  <c r="CA295" i="4" s="1"/>
  <c r="CA296" i="4" s="1"/>
  <c r="CC298" i="4"/>
  <c r="CC296" i="4"/>
  <c r="BO55" i="2"/>
  <c r="BO617" i="2"/>
  <c r="BO622" i="2" s="1"/>
  <c r="BO644" i="2" s="1"/>
  <c r="BO346" i="2" s="1"/>
  <c r="BO152" i="2"/>
  <c r="BN60" i="2"/>
  <c r="BN61" i="2" s="1"/>
  <c r="CB296" i="2"/>
  <c r="CD296" i="2" s="1"/>
  <c r="BZ296" i="2"/>
  <c r="BZ380" i="4"/>
  <c r="CA379" i="4"/>
  <c r="CA380" i="4" s="1"/>
  <c r="BU757" i="4"/>
  <c r="BU765" i="4" s="1"/>
  <c r="BU759" i="4"/>
  <c r="BU767" i="4" s="1"/>
  <c r="BQ769" i="4"/>
  <c r="BU758" i="4"/>
  <c r="BU766" i="4" s="1"/>
  <c r="BT761" i="4"/>
  <c r="BT759" i="4" s="1"/>
  <c r="BT767" i="4" s="1"/>
  <c r="BS304" i="2"/>
  <c r="BS305" i="2" s="1"/>
  <c r="BQ758" i="4"/>
  <c r="BQ766" i="4" s="1"/>
  <c r="BX761" i="4"/>
  <c r="BX769" i="4" s="1"/>
  <c r="DY152" i="4"/>
  <c r="DZ152" i="4" s="1"/>
  <c r="DY18" i="4"/>
  <c r="CA33" i="4"/>
  <c r="CA67" i="4"/>
  <c r="BZ33" i="4"/>
  <c r="BZ67" i="4"/>
  <c r="CE280" i="2"/>
  <c r="CG280" i="2" s="1"/>
  <c r="CC280" i="2"/>
  <c r="DM206" i="3"/>
  <c r="CE19" i="4"/>
  <c r="CB33" i="4"/>
  <c r="CC19" i="4"/>
  <c r="CB67" i="4"/>
  <c r="DI149" i="3"/>
  <c r="DH148" i="3"/>
  <c r="DH455" i="2"/>
  <c r="BM768" i="4"/>
  <c r="BM770" i="4" s="1"/>
  <c r="BN768" i="4"/>
  <c r="BN770" i="4" s="1"/>
  <c r="BQ760" i="4"/>
  <c r="BQ768" i="4" s="1"/>
  <c r="BQ773" i="4" s="1"/>
  <c r="BN822" i="4"/>
  <c r="BM822" i="4" s="1"/>
  <c r="AZ661" i="4"/>
  <c r="AZ703" i="4" s="1"/>
  <c r="AZ906" i="4" s="1"/>
  <c r="BQ759" i="4"/>
  <c r="BQ767" i="4" s="1"/>
  <c r="AT374" i="2"/>
  <c r="AR374" i="2"/>
  <c r="AP396" i="2"/>
  <c r="AP385" i="2"/>
  <c r="BY255" i="2"/>
  <c r="BY252" i="2" s="1"/>
  <c r="BY263" i="2" s="1"/>
  <c r="BY264" i="2" s="1"/>
  <c r="CA256" i="2"/>
  <c r="BU264" i="2"/>
  <c r="BT263" i="2"/>
  <c r="CM145" i="2"/>
  <c r="CL145" i="2" s="1"/>
  <c r="CN145" i="2"/>
  <c r="BK840" i="4"/>
  <c r="BK846" i="4" s="1"/>
  <c r="BK847" i="4" s="1"/>
  <c r="BK848" i="4" s="1"/>
  <c r="BK849" i="4" s="1"/>
  <c r="BI415" i="2"/>
  <c r="BH415" i="2" s="1"/>
  <c r="BJ414" i="2"/>
  <c r="BH414" i="2"/>
  <c r="BO840" i="4"/>
  <c r="BO846" i="4" s="1"/>
  <c r="BO847" i="4" s="1"/>
  <c r="BO848" i="4" s="1"/>
  <c r="BO849" i="4" s="1"/>
  <c r="BK774" i="4"/>
  <c r="BR822" i="4"/>
  <c r="BU822" i="4" s="1"/>
  <c r="CM107" i="3"/>
  <c r="CM109" i="3" s="1"/>
  <c r="CN107" i="3"/>
  <c r="CN109" i="3" s="1"/>
  <c r="BJ822" i="4"/>
  <c r="BJ828" i="4" s="1"/>
  <c r="BJ829" i="4" s="1"/>
  <c r="BJ830" i="4" s="1"/>
  <c r="BJ831" i="4" s="1"/>
  <c r="BD823" i="4"/>
  <c r="BD841" i="4" s="1"/>
  <c r="CD138" i="2"/>
  <c r="CB139" i="2"/>
  <c r="CB140" i="2" s="1"/>
  <c r="CB141" i="2" s="1"/>
  <c r="BS327" i="2"/>
  <c r="BS328" i="2"/>
  <c r="BS120" i="3"/>
  <c r="BS119" i="3" s="1"/>
  <c r="BS640" i="2"/>
  <c r="BS513" i="2"/>
  <c r="BS329" i="2"/>
  <c r="BS330" i="2" s="1"/>
  <c r="BO42" i="2"/>
  <c r="BN33" i="2"/>
  <c r="BV292" i="2"/>
  <c r="BU290" i="2"/>
  <c r="BU304" i="2" s="1"/>
  <c r="BT304" i="2" s="1"/>
  <c r="BT292" i="2"/>
  <c r="BN160" i="2"/>
  <c r="BN150" i="2"/>
  <c r="BN334" i="2"/>
  <c r="BN339" i="2"/>
  <c r="BN161" i="2"/>
  <c r="BN336" i="2"/>
  <c r="BN335" i="2"/>
  <c r="BN337" i="2"/>
  <c r="BN175" i="2"/>
  <c r="BN333" i="2"/>
  <c r="BN31" i="2"/>
  <c r="BN162" i="2"/>
  <c r="BN341" i="2"/>
  <c r="BN168" i="2"/>
  <c r="BN165" i="2"/>
  <c r="BN340" i="2"/>
  <c r="BN69" i="2"/>
  <c r="BN163" i="2"/>
  <c r="BN11" i="4"/>
  <c r="BN342" i="2"/>
  <c r="BN73" i="2"/>
  <c r="BQ328" i="2"/>
  <c r="BQ640" i="2"/>
  <c r="BQ513" i="2"/>
  <c r="BQ327" i="2"/>
  <c r="BQ120" i="3"/>
  <c r="BQ119" i="3" s="1"/>
  <c r="BQ166" i="2"/>
  <c r="BQ329" i="2"/>
  <c r="BQ330" i="2" s="1"/>
  <c r="BR330" i="2"/>
  <c r="AQ56" i="2"/>
  <c r="AQ53" i="2"/>
  <c r="AQ43" i="2" s="1"/>
  <c r="AQ158" i="2"/>
  <c r="AT151" i="2"/>
  <c r="AQ151" i="2"/>
  <c r="AN53" i="2"/>
  <c r="AN43" i="2" s="1"/>
  <c r="AM43" i="2" s="1"/>
  <c r="AN151" i="2"/>
  <c r="AM55" i="2"/>
  <c r="AO169" i="2" s="1"/>
  <c r="AN158" i="2"/>
  <c r="AN56" i="2"/>
  <c r="AM170" i="2"/>
  <c r="AM159" i="2"/>
  <c r="AM61" i="2"/>
  <c r="EI61" i="4"/>
  <c r="BX277" i="4"/>
  <c r="BX278" i="4" s="1"/>
  <c r="EQ299" i="2"/>
  <c r="ES299" i="2"/>
  <c r="EU299" i="2" s="1"/>
  <c r="EQ484" i="4"/>
  <c r="ES484" i="4"/>
  <c r="CB215" i="3"/>
  <c r="CD217" i="3"/>
  <c r="AZ741" i="4"/>
  <c r="AZ787" i="4" s="1"/>
  <c r="BX853" i="4"/>
  <c r="BV853" i="4" s="1"/>
  <c r="BW853" i="4" s="1"/>
  <c r="BF472" i="4"/>
  <c r="BF432" i="4"/>
  <c r="BF462" i="4"/>
  <c r="BF441" i="4"/>
  <c r="BF451" i="4"/>
  <c r="BM413" i="2"/>
  <c r="BK413" i="2"/>
  <c r="BL529" i="2"/>
  <c r="BL522" i="2"/>
  <c r="BL530" i="2" s="1"/>
  <c r="EM50" i="4"/>
  <c r="EM61" i="4" s="1"/>
  <c r="EP159" i="4"/>
  <c r="BU285" i="4"/>
  <c r="AP159" i="2"/>
  <c r="AP61" i="2"/>
  <c r="AP152" i="2"/>
  <c r="AP617" i="2"/>
  <c r="AP622" i="2" s="1"/>
  <c r="AP170" i="2"/>
  <c r="AO158" i="2"/>
  <c r="AO53" i="2"/>
  <c r="AO43" i="2" s="1"/>
  <c r="AO56" i="2"/>
  <c r="AP55" i="2"/>
  <c r="AR169" i="2" s="1"/>
  <c r="AO151" i="2"/>
  <c r="AL25" i="2"/>
  <c r="AJ25" i="2"/>
  <c r="CM455" i="2"/>
  <c r="CM148" i="3"/>
  <c r="CN149" i="3"/>
  <c r="AK25" i="2"/>
  <c r="CE78" i="2"/>
  <c r="CG78" i="2" s="1"/>
  <c r="CC78" i="2"/>
  <c r="AK11" i="2"/>
  <c r="AK14" i="2"/>
  <c r="AJ398" i="2"/>
  <c r="AJ400" i="2"/>
  <c r="AI365" i="2"/>
  <c r="AI223" i="3" s="1"/>
  <c r="AL400" i="2"/>
  <c r="AL398" i="2"/>
  <c r="AO441" i="2"/>
  <c r="AN409" i="2"/>
  <c r="AN410" i="2"/>
  <c r="AN411" i="2"/>
  <c r="CB279" i="2"/>
  <c r="BZ279" i="2"/>
  <c r="EA124" i="3"/>
  <c r="EB124" i="3" s="1"/>
  <c r="DZ124" i="3"/>
  <c r="EM301" i="2"/>
  <c r="EO301" i="2" s="1"/>
  <c r="EK301" i="2"/>
  <c r="EM279" i="2"/>
  <c r="EO279" i="2" s="1"/>
  <c r="EK279" i="2"/>
  <c r="EM272" i="2"/>
  <c r="EO272" i="2" s="1"/>
  <c r="EP272" i="2" s="1"/>
  <c r="ER272" i="2" s="1"/>
  <c r="EK272" i="2"/>
  <c r="ED35" i="3"/>
  <c r="EG248" i="2"/>
  <c r="EG33" i="3" s="1"/>
  <c r="EE248" i="2"/>
  <c r="EE33" i="3" s="1"/>
  <c r="EE35" i="3" s="1"/>
  <c r="EI248" i="2"/>
  <c r="EF33" i="3"/>
  <c r="EM281" i="2"/>
  <c r="EO281" i="2" s="1"/>
  <c r="EK281" i="2"/>
  <c r="DF35" i="2"/>
  <c r="DG75" i="2"/>
  <c r="DG505" i="2" s="1"/>
  <c r="DF505" i="2"/>
  <c r="CM352" i="2"/>
  <c r="CM24" i="2" s="1"/>
  <c r="CL22" i="2"/>
  <c r="CM348" i="2"/>
  <c r="EA78" i="2"/>
  <c r="EA182" i="2" s="1"/>
  <c r="EB125" i="3"/>
  <c r="EA131" i="3"/>
  <c r="DZ131" i="3"/>
  <c r="DY132" i="3"/>
  <c r="DY212" i="2" s="1"/>
  <c r="DZ212" i="2" s="1"/>
  <c r="BP431" i="4"/>
  <c r="BP432" i="4" s="1"/>
  <c r="CB283" i="4"/>
  <c r="BW283" i="4"/>
  <c r="BX282" i="4"/>
  <c r="BX283" i="4" s="1"/>
  <c r="CA280" i="4"/>
  <c r="CA281" i="4" s="1"/>
  <c r="BZ282" i="4"/>
  <c r="CI213" i="4"/>
  <c r="CI215" i="4" s="1"/>
  <c r="CI305" i="4"/>
  <c r="CI306" i="4" s="1"/>
  <c r="DF185" i="4"/>
  <c r="DL185" i="4" s="1"/>
  <c r="DO185" i="4" s="1"/>
  <c r="EA375" i="4"/>
  <c r="BH774" i="4"/>
  <c r="CS59" i="4"/>
  <c r="CF307" i="4"/>
  <c r="BB570" i="4"/>
  <c r="EA111" i="4"/>
  <c r="DZ111" i="4"/>
  <c r="CQ355" i="4"/>
  <c r="CQ378" i="4"/>
  <c r="BR214" i="4"/>
  <c r="DC277" i="4"/>
  <c r="CT108" i="4"/>
  <c r="CT747" i="4"/>
  <c r="CT748" i="4" s="1"/>
  <c r="CT749" i="4" s="1"/>
  <c r="CT354" i="4"/>
  <c r="CT163" i="4" s="1"/>
  <c r="CT164" i="4" s="1"/>
  <c r="CO96" i="4"/>
  <c r="CO108" i="4"/>
  <c r="CQ109" i="4"/>
  <c r="BP326" i="4"/>
  <c r="BP209" i="4"/>
  <c r="BP210" i="4" s="1"/>
  <c r="BP347" i="4"/>
  <c r="BP348" i="4" s="1"/>
  <c r="AZ634" i="4"/>
  <c r="AZ682" i="4" s="1"/>
  <c r="BD883" i="4"/>
  <c r="BG774" i="4"/>
  <c r="BR181" i="4"/>
  <c r="BU332" i="4"/>
  <c r="BU333" i="4" s="1"/>
  <c r="AZ628" i="4"/>
  <c r="BO823" i="4"/>
  <c r="BL841" i="4"/>
  <c r="BK823" i="4"/>
  <c r="BH841" i="4"/>
  <c r="BG823" i="4"/>
  <c r="BG841" i="4" s="1"/>
  <c r="BR169" i="4"/>
  <c r="BC774" i="4"/>
  <c r="BK53" i="2"/>
  <c r="AZ688" i="4"/>
  <c r="CG69" i="4"/>
  <c r="CJ59" i="4"/>
  <c r="BS852" i="4"/>
  <c r="BT852" i="4" s="1"/>
  <c r="BX852" i="4"/>
  <c r="BQ400" i="4"/>
  <c r="BR400" i="4" s="1"/>
  <c r="BX261" i="4"/>
  <c r="AZ930" i="4"/>
  <c r="CJ232" i="4"/>
  <c r="AZ948" i="4"/>
  <c r="AZ622" i="4"/>
  <c r="AZ664" i="4" s="1"/>
  <c r="CM229" i="4"/>
  <c r="CM322" i="4"/>
  <c r="BM347" i="4"/>
  <c r="BM326" i="4"/>
  <c r="BO326" i="4" s="1"/>
  <c r="BM329" i="4"/>
  <c r="BM431" i="4"/>
  <c r="BO328" i="4"/>
  <c r="BO329" i="4" s="1"/>
  <c r="CL232" i="4"/>
  <c r="CL233" i="4"/>
  <c r="CX392" i="4"/>
  <c r="CU225" i="4"/>
  <c r="CU317" i="4"/>
  <c r="CU395" i="4"/>
  <c r="CU397" i="4" s="1"/>
  <c r="CU398" i="4" s="1"/>
  <c r="CO322" i="4"/>
  <c r="CO321" i="4"/>
  <c r="CO323" i="4" s="1"/>
  <c r="CO324" i="4" s="1"/>
  <c r="CR228" i="4"/>
  <c r="CR226" i="4"/>
  <c r="EQ159" i="4"/>
  <c r="ET159" i="4" s="1"/>
  <c r="EN50" i="4"/>
  <c r="EO159" i="4"/>
  <c r="CR320" i="4"/>
  <c r="CR318" i="4"/>
  <c r="EK61" i="4"/>
  <c r="EL50" i="4"/>
  <c r="EL61" i="4" s="1"/>
  <c r="CO231" i="4"/>
  <c r="CO229" i="4"/>
  <c r="BX312" i="4"/>
  <c r="BU337" i="4"/>
  <c r="BU338" i="4" s="1"/>
  <c r="DC364" i="4"/>
  <c r="DF364" i="4" s="1"/>
  <c r="EA364" i="4" s="1"/>
  <c r="ED364" i="4" s="1"/>
  <c r="EG364" i="4" s="1"/>
  <c r="EJ364" i="4" s="1"/>
  <c r="EM364" i="4" s="1"/>
  <c r="EP364" i="4" s="1"/>
  <c r="ES364" i="4" s="1"/>
  <c r="AX933" i="4"/>
  <c r="AZ712" i="4"/>
  <c r="AZ950" i="4"/>
  <c r="AZ914" i="4"/>
  <c r="BK7" i="4"/>
  <c r="BU535" i="4"/>
  <c r="BS152" i="4"/>
  <c r="BS18" i="4"/>
  <c r="CQ320" i="4"/>
  <c r="CQ318" i="4"/>
  <c r="CS317" i="4"/>
  <c r="CS318" i="4" s="1"/>
  <c r="CN398" i="4"/>
  <c r="CP397" i="4"/>
  <c r="CP398" i="4" s="1"/>
  <c r="BT152" i="4"/>
  <c r="BT494" i="4" s="1"/>
  <c r="BT497" i="4" s="1"/>
  <c r="BT18" i="4"/>
  <c r="CQ397" i="4"/>
  <c r="CS397" i="4" s="1"/>
  <c r="CS398" i="4" s="1"/>
  <c r="CS395" i="4"/>
  <c r="CS392" i="4" s="1"/>
  <c r="CS393" i="4" s="1"/>
  <c r="CK233" i="4"/>
  <c r="CK232" i="4"/>
  <c r="CM231" i="4"/>
  <c r="CM233" i="4" s="1"/>
  <c r="CN322" i="4"/>
  <c r="CN321" i="4"/>
  <c r="CP320" i="4"/>
  <c r="BL72" i="4"/>
  <c r="BO62" i="4"/>
  <c r="BL62" i="4"/>
  <c r="CQ228" i="4"/>
  <c r="CS225" i="4"/>
  <c r="CS226" i="4" s="1"/>
  <c r="CQ226" i="4"/>
  <c r="CH324" i="4"/>
  <c r="CJ323" i="4"/>
  <c r="CJ324" i="4" s="1"/>
  <c r="CT395" i="4"/>
  <c r="CT317" i="4"/>
  <c r="CT225" i="4"/>
  <c r="CW392" i="4"/>
  <c r="CN229" i="4"/>
  <c r="CN231" i="4"/>
  <c r="CP228" i="4"/>
  <c r="CK323" i="4"/>
  <c r="CM321" i="4"/>
  <c r="AX945" i="4"/>
  <c r="DY82" i="4"/>
  <c r="DZ81" i="4"/>
  <c r="CP59" i="4"/>
  <c r="CP69" i="4"/>
  <c r="EH111" i="4"/>
  <c r="BS206" i="4"/>
  <c r="BU206" i="4" s="1"/>
  <c r="BU205" i="4"/>
  <c r="BU203" i="4" s="1"/>
  <c r="BU204" i="4" s="1"/>
  <c r="BM253" i="4"/>
  <c r="BM420" i="4"/>
  <c r="BM171" i="4"/>
  <c r="BO170" i="4"/>
  <c r="BO171" i="4" s="1"/>
  <c r="BM210" i="4"/>
  <c r="BO209" i="4"/>
  <c r="BO210" i="4" s="1"/>
  <c r="BM237" i="4"/>
  <c r="BX173" i="4"/>
  <c r="BX174" i="4" s="1"/>
  <c r="BV205" i="4"/>
  <c r="BV208" i="4" s="1"/>
  <c r="BX208" i="4" s="1"/>
  <c r="BY173" i="4"/>
  <c r="BY178" i="4" s="1"/>
  <c r="BV163" i="4"/>
  <c r="BO246" i="4"/>
  <c r="BO247" i="4" s="1"/>
  <c r="BM248" i="4"/>
  <c r="BJ449" i="4"/>
  <c r="BJ430" i="4"/>
  <c r="BJ421" i="4"/>
  <c r="BJ426" i="4"/>
  <c r="BJ470" i="4"/>
  <c r="BJ439" i="4"/>
  <c r="BJ460" i="4"/>
  <c r="BL420" i="4"/>
  <c r="BS164" i="4"/>
  <c r="BU163" i="4"/>
  <c r="BU164" i="4" s="1"/>
  <c r="BO241" i="4"/>
  <c r="BO242" i="4" s="1"/>
  <c r="BM243" i="4"/>
  <c r="BI825" i="4"/>
  <c r="BE825" i="4"/>
  <c r="BF838" i="4"/>
  <c r="BF843" i="4"/>
  <c r="BF856" i="4" s="1"/>
  <c r="BA585" i="4"/>
  <c r="BA586" i="4" s="1"/>
  <c r="BA639" i="4"/>
  <c r="BA687" i="4" s="1"/>
  <c r="BA627" i="4"/>
  <c r="BA669" i="4" s="1"/>
  <c r="AY944" i="4"/>
  <c r="AY735" i="4"/>
  <c r="AY781" i="4" s="1"/>
  <c r="AY938" i="4"/>
  <c r="AY902" i="4"/>
  <c r="BA825" i="4"/>
  <c r="BB843" i="4"/>
  <c r="BB856" i="4" s="1"/>
  <c r="BB838" i="4"/>
  <c r="AZ675" i="4"/>
  <c r="AZ717" i="4" s="1"/>
  <c r="AZ920" i="4" s="1"/>
  <c r="AZ681" i="4"/>
  <c r="AZ723" i="4" s="1"/>
  <c r="AZ926" i="4" s="1"/>
  <c r="AZ663" i="4"/>
  <c r="AZ705" i="4" s="1"/>
  <c r="AZ908" i="4" s="1"/>
  <c r="AZ657" i="4"/>
  <c r="AZ699" i="4" s="1"/>
  <c r="BU835" i="4"/>
  <c r="BX835" i="4" s="1"/>
  <c r="BV837" i="4"/>
  <c r="BW837" i="4" s="1"/>
  <c r="CA837" i="4"/>
  <c r="BC569" i="4"/>
  <c r="BB591" i="4"/>
  <c r="BC591" i="4" s="1"/>
  <c r="EC75" i="4"/>
  <c r="EC76" i="4" s="1"/>
  <c r="EB76" i="4"/>
  <c r="ED75" i="4"/>
  <c r="CZ174" i="4"/>
  <c r="CZ205" i="4"/>
  <c r="CZ206" i="4" s="1"/>
  <c r="CT266" i="4"/>
  <c r="CT298" i="4"/>
  <c r="CT299" i="4" s="1"/>
  <c r="CR105" i="4"/>
  <c r="CO747" i="4"/>
  <c r="CP747" i="4" s="1"/>
  <c r="CP105" i="4"/>
  <c r="CP106" i="4" s="1"/>
  <c r="CO106" i="4"/>
  <c r="DF99" i="4"/>
  <c r="DC173" i="4"/>
  <c r="DC745" i="4"/>
  <c r="CZ102" i="4"/>
  <c r="CW265" i="4"/>
  <c r="CW746" i="4"/>
  <c r="CA185" i="4"/>
  <c r="CA186" i="4" s="1"/>
  <c r="CA189" i="4"/>
  <c r="BV580" i="4"/>
  <c r="BW580" i="4" s="1"/>
  <c r="CA580" i="4"/>
  <c r="AZ896" i="4"/>
  <c r="BA878" i="4"/>
  <c r="BA879" i="4" s="1"/>
  <c r="BT440" i="4"/>
  <c r="CF275" i="4"/>
  <c r="CG275" i="4" s="1"/>
  <c r="CG276" i="4" s="1"/>
  <c r="CC280" i="4"/>
  <c r="CC309" i="4"/>
  <c r="CC310" i="4" s="1"/>
  <c r="BZ189" i="4"/>
  <c r="BZ220" i="4"/>
  <c r="CB189" i="4"/>
  <c r="CL164" i="4"/>
  <c r="CM163" i="4"/>
  <c r="CM164" i="4" s="1"/>
  <c r="BW222" i="4"/>
  <c r="BW221" i="4"/>
  <c r="CP265" i="4"/>
  <c r="CP266" i="4" s="1"/>
  <c r="CO266" i="4"/>
  <c r="CM97" i="4"/>
  <c r="CM505" i="4"/>
  <c r="CP505" i="4" s="1"/>
  <c r="CP504" i="4"/>
  <c r="CP501" i="4"/>
  <c r="CS501" i="4" s="1"/>
  <c r="CV501" i="4" s="1"/>
  <c r="CY501" i="4" s="1"/>
  <c r="DB501" i="4" s="1"/>
  <c r="DE501" i="4" s="1"/>
  <c r="DH501" i="4" s="1"/>
  <c r="DK501" i="4" s="1"/>
  <c r="DN501" i="4" s="1"/>
  <c r="DQ501" i="4" s="1"/>
  <c r="DT501" i="4" s="1"/>
  <c r="DW501" i="4" s="1"/>
  <c r="DZ501" i="4" s="1"/>
  <c r="EC501" i="4" s="1"/>
  <c r="EF501" i="4" s="1"/>
  <c r="EI501" i="4" s="1"/>
  <c r="EL501" i="4" s="1"/>
  <c r="EO501" i="4" s="1"/>
  <c r="ER501" i="4" s="1"/>
  <c r="EU501" i="4" s="1"/>
  <c r="EX501" i="4" s="1"/>
  <c r="FA501" i="4" s="1"/>
  <c r="AB374" i="2"/>
  <c r="Z374" i="2"/>
  <c r="X396" i="2"/>
  <c r="X385" i="2"/>
  <c r="BQ440" i="4"/>
  <c r="BQ444" i="4" s="1"/>
  <c r="BQ445" i="4" s="1"/>
  <c r="BQ335" i="4"/>
  <c r="BR334" i="4"/>
  <c r="BR771" i="4"/>
  <c r="BR770" i="4"/>
  <c r="BT124" i="4"/>
  <c r="BT25" i="4" s="1"/>
  <c r="BT38" i="4" s="1"/>
  <c r="CU99" i="4"/>
  <c r="CR745" i="4"/>
  <c r="CR173" i="4"/>
  <c r="CS99" i="4"/>
  <c r="CS100" i="4" s="1"/>
  <c r="CZ256" i="2"/>
  <c r="CY255" i="2"/>
  <c r="V52" i="9" s="1"/>
  <c r="CX256" i="2"/>
  <c r="CF183" i="4"/>
  <c r="CG183" i="4" s="1"/>
  <c r="CG184" i="4" s="1"/>
  <c r="CC188" i="4"/>
  <c r="CD188" i="4" s="1"/>
  <c r="CC217" i="4"/>
  <c r="CC218" i="4" s="1"/>
  <c r="CH183" i="4"/>
  <c r="CE188" i="4"/>
  <c r="BW332" i="4"/>
  <c r="BW334" i="4" s="1"/>
  <c r="BW440" i="4" s="1"/>
  <c r="BW261" i="4"/>
  <c r="BW337" i="4"/>
  <c r="BW339" i="4" s="1"/>
  <c r="BW450" i="4" s="1"/>
  <c r="BW170" i="4"/>
  <c r="CU102" i="4"/>
  <c r="CR265" i="4"/>
  <c r="CR746" i="4"/>
  <c r="CS746" i="4" s="1"/>
  <c r="CS102" i="4"/>
  <c r="CS103" i="4" s="1"/>
  <c r="BA890" i="4"/>
  <c r="BA891" i="4" s="1"/>
  <c r="AZ932" i="4"/>
  <c r="EL235" i="2"/>
  <c r="EH235" i="2"/>
  <c r="EJ235" i="2"/>
  <c r="BQ315" i="4"/>
  <c r="BQ328" i="4"/>
  <c r="BQ326" i="4" s="1"/>
  <c r="BR313" i="4"/>
  <c r="BR315" i="4" s="1"/>
  <c r="CO174" i="4"/>
  <c r="CP173" i="4"/>
  <c r="CP174" i="4" s="1"/>
  <c r="CO163" i="4"/>
  <c r="BZ312" i="4"/>
  <c r="BZ281" i="4"/>
  <c r="BZ260" i="4"/>
  <c r="BR409" i="4"/>
  <c r="BR410" i="4" s="1"/>
  <c r="BT170" i="4"/>
  <c r="BT171" i="4" s="1"/>
  <c r="BU768" i="4"/>
  <c r="BU770" i="4" s="1"/>
  <c r="BU762" i="4"/>
  <c r="CZ273" i="2"/>
  <c r="CX273" i="2"/>
  <c r="BW284" i="4"/>
  <c r="BX284" i="4" s="1"/>
  <c r="BX285" i="4" s="1"/>
  <c r="BH12" i="4"/>
  <c r="BI7" i="4"/>
  <c r="BI12" i="4" s="1"/>
  <c r="CC163" i="4"/>
  <c r="CF174" i="4"/>
  <c r="CC205" i="4"/>
  <c r="CC206" i="4" s="1"/>
  <c r="BQ422" i="4"/>
  <c r="BQ426" i="4" s="1"/>
  <c r="BQ427" i="4" s="1"/>
  <c r="BQ263" i="4"/>
  <c r="BQ344" i="4"/>
  <c r="BQ146" i="4" s="1"/>
  <c r="BR262" i="4"/>
  <c r="BR263" i="4" s="1"/>
  <c r="AX951" i="4"/>
  <c r="CR207" i="3"/>
  <c r="BB955" i="4"/>
  <c r="BC859" i="4"/>
  <c r="AJ61" i="2"/>
  <c r="AL170" i="2"/>
  <c r="AJ170" i="2"/>
  <c r="AJ159" i="2"/>
  <c r="AM152" i="2"/>
  <c r="BR773" i="4"/>
  <c r="BR774" i="4" s="1"/>
  <c r="AI56" i="2"/>
  <c r="AL151" i="2"/>
  <c r="AI53" i="2"/>
  <c r="AI43" i="2" s="1"/>
  <c r="AJ43" i="2" s="1"/>
  <c r="AI158" i="2"/>
  <c r="AJ55" i="2"/>
  <c r="EK296" i="2"/>
  <c r="EM296" i="2"/>
  <c r="EO296" i="2" s="1"/>
  <c r="DB91" i="3"/>
  <c r="DA297" i="2"/>
  <c r="DA91" i="3" s="1"/>
  <c r="DA93" i="3" s="1"/>
  <c r="CP745" i="4"/>
  <c r="BA884" i="4"/>
  <c r="BA885" i="4" s="1"/>
  <c r="CV263" i="2"/>
  <c r="U55" i="9" s="1"/>
  <c r="CU252" i="2"/>
  <c r="BT285" i="4"/>
  <c r="BT313" i="4"/>
  <c r="BT262" i="4"/>
  <c r="BU262" i="4" s="1"/>
  <c r="EA213" i="3"/>
  <c r="EC260" i="2"/>
  <c r="DP34" i="2"/>
  <c r="DP620" i="2" s="1"/>
  <c r="DQ620" i="2"/>
  <c r="BX386" i="4"/>
  <c r="BX383" i="4"/>
  <c r="BB631" i="4"/>
  <c r="BB619" i="4"/>
  <c r="DP264" i="2"/>
  <c r="BQ425" i="4"/>
  <c r="BQ474" i="4"/>
  <c r="AY918" i="4"/>
  <c r="CZ416" i="2"/>
  <c r="H400" i="2"/>
  <c r="G399" i="2"/>
  <c r="F399" i="2" s="1"/>
  <c r="E399" i="2" s="1"/>
  <c r="I400" i="2"/>
  <c r="BD503" i="2"/>
  <c r="BD184" i="2"/>
  <c r="BD187" i="2" s="1"/>
  <c r="BY389" i="4"/>
  <c r="BY367" i="4"/>
  <c r="BY351" i="4"/>
  <c r="CD5" i="3"/>
  <c r="CD11" i="3" s="1"/>
  <c r="CD344" i="2"/>
  <c r="CD156" i="2"/>
  <c r="BK752" i="4"/>
  <c r="CD202" i="3"/>
  <c r="BY284" i="4"/>
  <c r="BA954" i="4"/>
  <c r="BB858" i="4"/>
  <c r="BA861" i="4"/>
  <c r="EK247" i="4"/>
  <c r="EA73" i="3"/>
  <c r="EA75" i="3" s="1"/>
  <c r="EC278" i="2"/>
  <c r="CG360" i="4"/>
  <c r="CG356" i="4"/>
  <c r="BZ180" i="4"/>
  <c r="BZ168" i="4"/>
  <c r="BZ208" i="4"/>
  <c r="BZ179" i="4"/>
  <c r="BB637" i="4"/>
  <c r="BB685" i="4" s="1"/>
  <c r="BB625" i="4"/>
  <c r="BF811" i="4"/>
  <c r="BF817" i="4" s="1"/>
  <c r="BE817" i="4"/>
  <c r="AY739" i="4"/>
  <c r="AY785" i="4" s="1"/>
  <c r="AY712" i="4"/>
  <c r="AY948" i="4"/>
  <c r="AY951" i="4" s="1"/>
  <c r="AY912" i="4"/>
  <c r="S142" i="2"/>
  <c r="S143" i="2" s="1"/>
  <c r="S146" i="2" s="1"/>
  <c r="Q142" i="2"/>
  <c r="Q143" i="2" s="1"/>
  <c r="Q146" i="2" s="1"/>
  <c r="R142" i="2" s="1"/>
  <c r="R143" i="2" s="1"/>
  <c r="R146" i="2" s="1"/>
  <c r="DJ220" i="2"/>
  <c r="CL267" i="4"/>
  <c r="CI270" i="4"/>
  <c r="BW181" i="4"/>
  <c r="BW209" i="4"/>
  <c r="BW118" i="4"/>
  <c r="CH383" i="4"/>
  <c r="CE213" i="4"/>
  <c r="CE305" i="4"/>
  <c r="CE386" i="4"/>
  <c r="BE180" i="2"/>
  <c r="BE503" i="2" s="1"/>
  <c r="BF503" i="2"/>
  <c r="BF184" i="2"/>
  <c r="CV185" i="2"/>
  <c r="U28" i="9" s="1"/>
  <c r="CV614" i="2"/>
  <c r="CU266" i="2"/>
  <c r="BU221" i="4"/>
  <c r="AS617" i="2"/>
  <c r="AS622" i="2" s="1"/>
  <c r="AS152" i="2"/>
  <c r="AS61" i="2"/>
  <c r="AS159" i="2"/>
  <c r="AS170" i="2"/>
  <c r="AU170" i="2"/>
  <c r="AU184" i="2"/>
  <c r="AV180" i="2"/>
  <c r="BS440" i="4"/>
  <c r="BU334" i="4"/>
  <c r="BS335" i="4"/>
  <c r="DR274" i="2"/>
  <c r="DT274" i="2" s="1"/>
  <c r="AC58" i="9" s="1"/>
  <c r="DP274" i="2"/>
  <c r="DB69" i="4"/>
  <c r="DB59" i="4"/>
  <c r="DE59" i="4"/>
  <c r="CU226" i="2"/>
  <c r="CY224" i="2"/>
  <c r="CY226" i="2" s="1"/>
  <c r="CW224" i="2"/>
  <c r="CW226" i="2" s="1"/>
  <c r="CX224" i="2" s="1"/>
  <c r="BK652" i="4"/>
  <c r="BV222" i="4"/>
  <c r="BV221" i="4"/>
  <c r="BX220" i="4"/>
  <c r="BX222" i="4" s="1"/>
  <c r="CJ344" i="2"/>
  <c r="CJ5" i="3"/>
  <c r="CJ11" i="3" s="1"/>
  <c r="CJ156" i="2"/>
  <c r="DP297" i="2"/>
  <c r="DP91" i="3" s="1"/>
  <c r="DP93" i="3" s="1"/>
  <c r="DQ91" i="3"/>
  <c r="AV152" i="2"/>
  <c r="BS403" i="4"/>
  <c r="BS416" i="4"/>
  <c r="BS433" i="4"/>
  <c r="M400" i="2"/>
  <c r="BV285" i="4"/>
  <c r="BV124" i="4"/>
  <c r="BV262" i="4"/>
  <c r="BV313" i="4"/>
  <c r="BV328" i="4" s="1"/>
  <c r="BS400" i="4"/>
  <c r="CE362" i="4"/>
  <c r="CB366" i="4"/>
  <c r="CB387" i="4"/>
  <c r="CV59" i="4"/>
  <c r="CV69" i="4"/>
  <c r="AD52" i="9"/>
  <c r="BC872" i="4"/>
  <c r="BO12" i="4"/>
  <c r="BO8" i="4"/>
  <c r="DU132" i="3"/>
  <c r="DW132" i="3" s="1"/>
  <c r="BZ70" i="2"/>
  <c r="BZ460" i="2" s="1"/>
  <c r="BZ464" i="2" s="1"/>
  <c r="CA456" i="2"/>
  <c r="CA460" i="2"/>
  <c r="CA464" i="2" s="1"/>
  <c r="BO644" i="4"/>
  <c r="BQ421" i="4"/>
  <c r="CJ834" i="4"/>
  <c r="CH834" i="4" s="1"/>
  <c r="CI834" i="4" s="1"/>
  <c r="BU344" i="2"/>
  <c r="BT90" i="2"/>
  <c r="BU5" i="3"/>
  <c r="BU11" i="3" s="1"/>
  <c r="BU156" i="2"/>
  <c r="EK133" i="3"/>
  <c r="BV645" i="4"/>
  <c r="BR424" i="4"/>
  <c r="BX300" i="2"/>
  <c r="BV297" i="2"/>
  <c r="BU179" i="4"/>
  <c r="BU175" i="4"/>
  <c r="CH643" i="4"/>
  <c r="BN650" i="4"/>
  <c r="CF175" i="4"/>
  <c r="CC178" i="4"/>
  <c r="BU305" i="4"/>
  <c r="BU213" i="4"/>
  <c r="BU384" i="4"/>
  <c r="CF271" i="4"/>
  <c r="CF272" i="4"/>
  <c r="CG270" i="4"/>
  <c r="BR452" i="4"/>
  <c r="BP453" i="4"/>
  <c r="CA309" i="4"/>
  <c r="BY310" i="4"/>
  <c r="CA310" i="4" s="1"/>
  <c r="ED78" i="4"/>
  <c r="EB79" i="4"/>
  <c r="BD567" i="4"/>
  <c r="BK43" i="2"/>
  <c r="BK476" i="2" s="1"/>
  <c r="BK477" i="2" s="1"/>
  <c r="BL476" i="2"/>
  <c r="BL477" i="2" s="1"/>
  <c r="CK272" i="4"/>
  <c r="CK271" i="4"/>
  <c r="CK300" i="4"/>
  <c r="CK302" i="4" s="1"/>
  <c r="BK346" i="2"/>
  <c r="BP462" i="4"/>
  <c r="BK162" i="2"/>
  <c r="BK5" i="3"/>
  <c r="BK11" i="3" s="1"/>
  <c r="BK156" i="2"/>
  <c r="BK344" i="2"/>
  <c r="BK173" i="2"/>
  <c r="BM173" i="2"/>
  <c r="BN156" i="2"/>
  <c r="EJ247" i="4"/>
  <c r="CY268" i="2"/>
  <c r="CW266" i="2"/>
  <c r="BQ443" i="4"/>
  <c r="AR158" i="2"/>
  <c r="AR56" i="2"/>
  <c r="AR151" i="2"/>
  <c r="AS55" i="2"/>
  <c r="AV151" i="2" s="1"/>
  <c r="AR53" i="2"/>
  <c r="AR43" i="2" s="1"/>
  <c r="AS43" i="2" s="1"/>
  <c r="DM348" i="2"/>
  <c r="DN222" i="3"/>
  <c r="BH169" i="2"/>
  <c r="BH158" i="2"/>
  <c r="BH151" i="2"/>
  <c r="BH56" i="2"/>
  <c r="BJ169" i="2"/>
  <c r="BM478" i="2"/>
  <c r="CG5" i="3"/>
  <c r="CG11" i="3" s="1"/>
  <c r="CG156" i="2"/>
  <c r="CG344" i="2"/>
  <c r="CP22" i="2"/>
  <c r="CP349" i="2"/>
  <c r="AA226" i="2"/>
  <c r="AE224" i="2"/>
  <c r="AE226" i="2" s="1"/>
  <c r="AC224" i="2"/>
  <c r="AC226" i="2" s="1"/>
  <c r="AD224" i="2" s="1"/>
  <c r="EK254" i="4"/>
  <c r="EJ254" i="4"/>
  <c r="BD753" i="4"/>
  <c r="DQ344" i="2"/>
  <c r="L45" i="9" s="1"/>
  <c r="DQ5" i="3"/>
  <c r="DQ11" i="3" s="1"/>
  <c r="DQ156" i="2"/>
  <c r="BB876" i="4"/>
  <c r="BS25" i="4"/>
  <c r="BB882" i="4"/>
  <c r="BK202" i="3"/>
  <c r="EC78" i="4"/>
  <c r="EC79" i="4" s="1"/>
  <c r="BS425" i="4"/>
  <c r="CG202" i="3"/>
  <c r="BT390" i="4"/>
  <c r="BT402" i="4"/>
  <c r="BD478" i="2"/>
  <c r="BD481" i="2"/>
  <c r="BD482" i="2" s="1"/>
  <c r="BC568" i="4"/>
  <c r="BB590" i="4"/>
  <c r="DE344" i="2"/>
  <c r="H45" i="9" s="1"/>
  <c r="DE156" i="2"/>
  <c r="DE5" i="3"/>
  <c r="DE11" i="3" s="1"/>
  <c r="DE202" i="3"/>
  <c r="DH156" i="2"/>
  <c r="BX854" i="4"/>
  <c r="DG213" i="2"/>
  <c r="DH202" i="3"/>
  <c r="BV179" i="4"/>
  <c r="BX178" i="4"/>
  <c r="BV168" i="4"/>
  <c r="BV180" i="4"/>
  <c r="BR405" i="4"/>
  <c r="BR406" i="4" s="1"/>
  <c r="BT210" i="4"/>
  <c r="BA727" i="4"/>
  <c r="BA930" i="4" s="1"/>
  <c r="BQ449" i="4"/>
  <c r="BV409" i="4"/>
  <c r="BV413" i="4"/>
  <c r="BV352" i="4"/>
  <c r="BV424" i="4"/>
  <c r="BV405" i="4"/>
  <c r="BV17" i="4"/>
  <c r="BC751" i="4"/>
  <c r="BB754" i="4"/>
  <c r="BS93" i="3"/>
  <c r="DM190" i="2"/>
  <c r="CH360" i="4"/>
  <c r="CJ359" i="4"/>
  <c r="CH379" i="4"/>
  <c r="BM693" i="4"/>
  <c r="AY169" i="2"/>
  <c r="AY56" i="2"/>
  <c r="AY158" i="2"/>
  <c r="AY151" i="2"/>
  <c r="AY53" i="2"/>
  <c r="BA169" i="2"/>
  <c r="BA942" i="4"/>
  <c r="BA661" i="4"/>
  <c r="BA703" i="4" s="1"/>
  <c r="BA906" i="4" s="1"/>
  <c r="BA655" i="4"/>
  <c r="CW209" i="3"/>
  <c r="CY209" i="3" s="1"/>
  <c r="CU209" i="3"/>
  <c r="DS292" i="2"/>
  <c r="DU292" i="2"/>
  <c r="DW292" i="2" s="1"/>
  <c r="DX292" i="2" s="1"/>
  <c r="BF476" i="2"/>
  <c r="BF477" i="2" s="1"/>
  <c r="BE43" i="2"/>
  <c r="BE476" i="2" s="1"/>
  <c r="BE477" i="2" s="1"/>
  <c r="CH275" i="4"/>
  <c r="CE280" i="4"/>
  <c r="CE282" i="4" s="1"/>
  <c r="DT300" i="2"/>
  <c r="DR297" i="2"/>
  <c r="BS315" i="4"/>
  <c r="BS326" i="4"/>
  <c r="BS31" i="4"/>
  <c r="BQ439" i="4"/>
  <c r="AY674" i="4"/>
  <c r="AY680" i="4"/>
  <c r="AY722" i="4" s="1"/>
  <c r="AY634" i="4"/>
  <c r="AY682" i="4" s="1"/>
  <c r="BX5" i="3"/>
  <c r="BX11" i="3" s="1"/>
  <c r="BX202" i="3"/>
  <c r="BW90" i="2"/>
  <c r="BX156" i="2"/>
  <c r="BX344" i="2"/>
  <c r="BV334" i="4"/>
  <c r="DB344" i="2"/>
  <c r="G45" i="9" s="1"/>
  <c r="DB5" i="3"/>
  <c r="DB11" i="3" s="1"/>
  <c r="DB156" i="2"/>
  <c r="DB202" i="3"/>
  <c r="BB860" i="4"/>
  <c r="BA956" i="4"/>
  <c r="BE871" i="4"/>
  <c r="BQ429" i="4"/>
  <c r="BQ256" i="4"/>
  <c r="BQ238" i="4"/>
  <c r="BB888" i="4"/>
  <c r="BT438" i="4"/>
  <c r="BR142" i="2"/>
  <c r="BR143" i="2" s="1"/>
  <c r="BR146" i="2" s="1"/>
  <c r="BP142" i="2"/>
  <c r="BP143" i="2" s="1"/>
  <c r="BP146" i="2" s="1"/>
  <c r="BQ142" i="2" s="1"/>
  <c r="BQ143" i="2" s="1"/>
  <c r="BQ146" i="2" s="1"/>
  <c r="BU367" i="4"/>
  <c r="BU364" i="4"/>
  <c r="BU365" i="4" s="1"/>
  <c r="BW351" i="4"/>
  <c r="BX351" i="4" s="1"/>
  <c r="BX352" i="4" s="1"/>
  <c r="BW389" i="4"/>
  <c r="BX389" i="4" s="1"/>
  <c r="BW367" i="4"/>
  <c r="CN221" i="2"/>
  <c r="CN222" i="2" s="1"/>
  <c r="CN225" i="3"/>
  <c r="CM344" i="2"/>
  <c r="CM91" i="2"/>
  <c r="CM5" i="3"/>
  <c r="CM11" i="3" s="1"/>
  <c r="CM156" i="2"/>
  <c r="BU390" i="4"/>
  <c r="AX736" i="4"/>
  <c r="AX782" i="4" s="1"/>
  <c r="AX779" i="4"/>
  <c r="CB86" i="2"/>
  <c r="CB460" i="2"/>
  <c r="CB464" i="2" s="1"/>
  <c r="DQ215" i="3"/>
  <c r="DP215" i="3"/>
  <c r="BS463" i="4"/>
  <c r="BS442" i="4"/>
  <c r="BF499" i="2"/>
  <c r="BG498" i="2"/>
  <c r="BF500" i="2"/>
  <c r="BF497" i="2"/>
  <c r="BF504" i="2"/>
  <c r="BA632" i="4"/>
  <c r="BA620" i="4"/>
  <c r="CJ202" i="3"/>
  <c r="BB481" i="2"/>
  <c r="BB482" i="2" s="1"/>
  <c r="BB478" i="2"/>
  <c r="CZ81" i="4"/>
  <c r="CY82" i="4"/>
  <c r="BY312" i="4"/>
  <c r="BM651" i="4"/>
  <c r="CG69" i="3"/>
  <c r="CC69" i="3"/>
  <c r="CD70" i="2"/>
  <c r="CB175" i="4"/>
  <c r="CV344" i="2"/>
  <c r="E45" i="9" s="1"/>
  <c r="CV5" i="3"/>
  <c r="CV11" i="3" s="1"/>
  <c r="CV91" i="2"/>
  <c r="CV156" i="2"/>
  <c r="CV202" i="3"/>
  <c r="BP443" i="4"/>
  <c r="BR442" i="4"/>
  <c r="CX374" i="2"/>
  <c r="CW566" i="2"/>
  <c r="CW384" i="2"/>
  <c r="BC589" i="4"/>
  <c r="BK158" i="2"/>
  <c r="BK151" i="2"/>
  <c r="BK169" i="2"/>
  <c r="BK56" i="2"/>
  <c r="DP178" i="3"/>
  <c r="DQ178" i="3" s="1"/>
  <c r="DO190" i="2"/>
  <c r="CN356" i="4"/>
  <c r="CK359" i="4"/>
  <c r="BA679" i="4"/>
  <c r="BA721" i="4" s="1"/>
  <c r="BA924" i="4" s="1"/>
  <c r="BA673" i="4"/>
  <c r="CY59" i="4"/>
  <c r="CY69" i="4"/>
  <c r="CA855" i="4"/>
  <c r="DR294" i="2"/>
  <c r="DP294" i="2"/>
  <c r="DQ290" i="2"/>
  <c r="AZ656" i="4"/>
  <c r="AZ698" i="4" s="1"/>
  <c r="AZ662" i="4"/>
  <c r="AZ704" i="4" s="1"/>
  <c r="AZ907" i="4" s="1"/>
  <c r="Q411" i="2"/>
  <c r="Q410" i="2"/>
  <c r="S416" i="2"/>
  <c r="Q409" i="2"/>
  <c r="Q397" i="2" s="1"/>
  <c r="CA202" i="3"/>
  <c r="CA5" i="3"/>
  <c r="CA11" i="3" s="1"/>
  <c r="CA344" i="2"/>
  <c r="CA156" i="2"/>
  <c r="BC889" i="4"/>
  <c r="EK291" i="2"/>
  <c r="EM291" i="2"/>
  <c r="EO291" i="2" s="1"/>
  <c r="DT312" i="2"/>
  <c r="DS313" i="2"/>
  <c r="BR156" i="2"/>
  <c r="BR5" i="3"/>
  <c r="BR11" i="3" s="1"/>
  <c r="BR344" i="2"/>
  <c r="BQ90" i="2"/>
  <c r="DG186" i="4"/>
  <c r="DF278" i="4"/>
  <c r="DI365" i="2"/>
  <c r="DI366" i="2"/>
  <c r="DI224" i="3" s="1"/>
  <c r="CY344" i="2"/>
  <c r="F45" i="9" s="1"/>
  <c r="CY156" i="2"/>
  <c r="CY5" i="3"/>
  <c r="CY11" i="3" s="1"/>
  <c r="CY202" i="3"/>
  <c r="BH152" i="3"/>
  <c r="CA578" i="4"/>
  <c r="BV578" i="4"/>
  <c r="BW578" i="4" s="1"/>
  <c r="BS170" i="4"/>
  <c r="BS118" i="4"/>
  <c r="BU180" i="4"/>
  <c r="BU181" i="4" s="1"/>
  <c r="BS181" i="4"/>
  <c r="BD813" i="4"/>
  <c r="BD818" i="4"/>
  <c r="BE812" i="4"/>
  <c r="BH842" i="4"/>
  <c r="BG824" i="4"/>
  <c r="BG842" i="4" s="1"/>
  <c r="EA338" i="4"/>
  <c r="EO321" i="2"/>
  <c r="EK321" i="2"/>
  <c r="EK626" i="2" s="1"/>
  <c r="EL626" i="2"/>
  <c r="EM321" i="2"/>
  <c r="EM626" i="2" s="1"/>
  <c r="CQ267" i="4"/>
  <c r="CN270" i="4"/>
  <c r="BZ299" i="2"/>
  <c r="CB299" i="2"/>
  <c r="BW180" i="3"/>
  <c r="BW456" i="2"/>
  <c r="BW26" i="3"/>
  <c r="BW28" i="3" s="1"/>
  <c r="AV158" i="2"/>
  <c r="AV169" i="2"/>
  <c r="AV56" i="2"/>
  <c r="AX169" i="2"/>
  <c r="BO824" i="4"/>
  <c r="BK824" i="4"/>
  <c r="BL842" i="4"/>
  <c r="BC187" i="2"/>
  <c r="BB187" i="2" s="1"/>
  <c r="BB184" i="2"/>
  <c r="BQ66" i="4"/>
  <c r="BQ31" i="4"/>
  <c r="CO360" i="4"/>
  <c r="BQ453" i="4"/>
  <c r="BA483" i="2"/>
  <c r="BA484" i="2" s="1"/>
  <c r="BG810" i="4"/>
  <c r="BF816" i="4"/>
  <c r="BH180" i="2"/>
  <c r="BH503" i="2" s="1"/>
  <c r="BI503" i="2"/>
  <c r="BI184" i="2"/>
  <c r="BE305" i="2"/>
  <c r="BF307" i="2"/>
  <c r="DO348" i="2"/>
  <c r="DQ222" i="3"/>
  <c r="CH273" i="4"/>
  <c r="CH301" i="4"/>
  <c r="CH69" i="3"/>
  <c r="CE70" i="2"/>
  <c r="DA365" i="2"/>
  <c r="DA366" i="2"/>
  <c r="DA224" i="3" s="1"/>
  <c r="ER147" i="3"/>
  <c r="ES147" i="3" s="1"/>
  <c r="ET147" i="3" s="1"/>
  <c r="BS452" i="4"/>
  <c r="BQ136" i="4"/>
  <c r="BP434" i="4"/>
  <c r="BT424" i="4"/>
  <c r="BT425" i="4" s="1"/>
  <c r="BT409" i="4"/>
  <c r="BT452" i="4" s="1"/>
  <c r="BT352" i="4"/>
  <c r="BT405" i="4"/>
  <c r="BT442" i="4" s="1"/>
  <c r="BT17" i="4"/>
  <c r="BT31" i="4" s="1"/>
  <c r="BT413" i="4"/>
  <c r="BT463" i="4" s="1"/>
  <c r="BA638" i="4"/>
  <c r="BA686" i="4" s="1"/>
  <c r="BA626" i="4"/>
  <c r="BA668" i="4" s="1"/>
  <c r="BY85" i="2"/>
  <c r="BZ86" i="2"/>
  <c r="BC481" i="2"/>
  <c r="BC482" i="2" s="1"/>
  <c r="BC478" i="2"/>
  <c r="BR413" i="4"/>
  <c r="BR414" i="4" s="1"/>
  <c r="BP243" i="4"/>
  <c r="BR241" i="4"/>
  <c r="BR242" i="4" s="1"/>
  <c r="AZ740" i="4"/>
  <c r="AZ786" i="4" s="1"/>
  <c r="CA836" i="4"/>
  <c r="BY836" i="4" s="1"/>
  <c r="BZ836" i="4" s="1"/>
  <c r="CY385" i="2"/>
  <c r="CY91" i="2" s="1"/>
  <c r="CY396" i="2"/>
  <c r="BA592" i="4"/>
  <c r="BA640" i="4" s="1"/>
  <c r="BL150" i="3"/>
  <c r="BV390" i="4"/>
  <c r="BV402" i="4"/>
  <c r="BV400" i="4" s="1"/>
  <c r="AX742" i="4"/>
  <c r="AX788" i="4" s="1"/>
  <c r="AX915" i="4"/>
  <c r="DP22" i="2"/>
  <c r="AA18" i="9" s="1"/>
  <c r="BB870" i="4"/>
  <c r="BA873" i="4"/>
  <c r="AZ503" i="2"/>
  <c r="AY180" i="2"/>
  <c r="AY503" i="2" s="1"/>
  <c r="AZ184" i="2"/>
  <c r="DC469" i="2"/>
  <c r="DD469" i="2" s="1"/>
  <c r="DE469" i="2" s="1"/>
  <c r="BS246" i="4"/>
  <c r="BS169" i="4"/>
  <c r="BU168" i="4"/>
  <c r="BU169" i="4" s="1"/>
  <c r="BS241" i="4"/>
  <c r="EA293" i="2"/>
  <c r="EC293" i="2" s="1"/>
  <c r="DY293" i="2"/>
  <c r="AZ680" i="4"/>
  <c r="AZ722" i="4" s="1"/>
  <c r="AZ925" i="4" s="1"/>
  <c r="AZ674" i="4"/>
  <c r="AZ716" i="4" s="1"/>
  <c r="AZ919" i="4" s="1"/>
  <c r="CB307" i="4"/>
  <c r="CB309" i="4" s="1"/>
  <c r="CB312" i="4" s="1"/>
  <c r="CB306" i="4"/>
  <c r="CP5" i="3"/>
  <c r="CP11" i="3" s="1"/>
  <c r="CP156" i="2"/>
  <c r="CP91" i="2"/>
  <c r="CP344" i="2"/>
  <c r="CP202" i="3"/>
  <c r="DJ205" i="2"/>
  <c r="DK214" i="2"/>
  <c r="AZ897" i="4"/>
  <c r="BW169" i="4"/>
  <c r="BW241" i="4"/>
  <c r="BW243" i="4" s="1"/>
  <c r="BW246" i="4"/>
  <c r="BW248" i="4" s="1"/>
  <c r="BC866" i="4"/>
  <c r="CU356" i="4"/>
  <c r="CB214" i="4"/>
  <c r="CB215" i="4"/>
  <c r="CB217" i="4" s="1"/>
  <c r="BR170" i="4"/>
  <c r="BP420" i="4"/>
  <c r="BP15" i="4"/>
  <c r="BP253" i="4"/>
  <c r="BP171" i="4"/>
  <c r="BE158" i="2"/>
  <c r="BE151" i="2"/>
  <c r="BE56" i="2"/>
  <c r="BE169" i="2"/>
  <c r="BG169" i="2"/>
  <c r="BE53" i="2"/>
  <c r="BQ464" i="4"/>
  <c r="BE515" i="2"/>
  <c r="BF514" i="2"/>
  <c r="BI478" i="2"/>
  <c r="BI481" i="2"/>
  <c r="BI482" i="2" s="1"/>
  <c r="BM503" i="2"/>
  <c r="BM184" i="2"/>
  <c r="BM187" i="2" s="1"/>
  <c r="CC362" i="4"/>
  <c r="CD362" i="4" s="1"/>
  <c r="CD363" i="4" s="1"/>
  <c r="BZ387" i="4"/>
  <c r="CA387" i="4" s="1"/>
  <c r="BZ366" i="4"/>
  <c r="BM691" i="4"/>
  <c r="P397" i="2"/>
  <c r="P398" i="2" s="1"/>
  <c r="O409" i="2"/>
  <c r="O397" i="2" s="1"/>
  <c r="CN365" i="2"/>
  <c r="CN366" i="2"/>
  <c r="CN224" i="3" s="1"/>
  <c r="EL286" i="2"/>
  <c r="CB281" i="4"/>
  <c r="CB260" i="4"/>
  <c r="BQ403" i="4"/>
  <c r="BQ433" i="4"/>
  <c r="BQ434" i="4" s="1"/>
  <c r="BU339" i="4"/>
  <c r="BS450" i="4"/>
  <c r="CD579" i="4"/>
  <c r="BY579" i="4"/>
  <c r="BZ579" i="4" s="1"/>
  <c r="AX939" i="4"/>
  <c r="AX903" i="4"/>
  <c r="BF692" i="4"/>
  <c r="BS263" i="4"/>
  <c r="BS422" i="4"/>
  <c r="BS16" i="4"/>
  <c r="BS344" i="4"/>
  <c r="BY218" i="4"/>
  <c r="CA218" i="4" s="1"/>
  <c r="CA217" i="4"/>
  <c r="BY220" i="4"/>
  <c r="BR12" i="4"/>
  <c r="AY656" i="4"/>
  <c r="AY662" i="4"/>
  <c r="AY704" i="4" s="1"/>
  <c r="AY622" i="4"/>
  <c r="AY664" i="4" s="1"/>
  <c r="BB864" i="4"/>
  <c r="BA867" i="4"/>
  <c r="BM649" i="4"/>
  <c r="CO365" i="2"/>
  <c r="CO366" i="2"/>
  <c r="CO224" i="3" s="1"/>
  <c r="BJ483" i="2"/>
  <c r="BJ484" i="2" s="1"/>
  <c r="AX921" i="4"/>
  <c r="BV339" i="4"/>
  <c r="DE270" i="2"/>
  <c r="CS344" i="2"/>
  <c r="D45" i="9" s="1"/>
  <c r="CS5" i="3"/>
  <c r="CS11" i="3" s="1"/>
  <c r="CS156" i="2"/>
  <c r="CS91" i="2"/>
  <c r="BP464" i="4"/>
  <c r="BR463" i="4"/>
  <c r="DS361" i="2"/>
  <c r="DT361" i="2" s="1"/>
  <c r="DS310" i="2" s="1"/>
  <c r="DR233" i="3"/>
  <c r="BP248" i="4"/>
  <c r="BR246" i="4"/>
  <c r="BR247" i="4" s="1"/>
  <c r="DT34" i="2"/>
  <c r="DS34" i="2" s="1"/>
  <c r="DS35" i="2"/>
  <c r="AZ949" i="4"/>
  <c r="BQ459" i="4"/>
  <c r="BQ251" i="4"/>
  <c r="BQ252" i="4" s="1"/>
  <c r="BT23" i="4"/>
  <c r="BA667" i="4"/>
  <c r="AZ697" i="4"/>
  <c r="DL365" i="2"/>
  <c r="DL366" i="2"/>
  <c r="DL224" i="3" s="1"/>
  <c r="BJ150" i="3"/>
  <c r="BX366" i="4"/>
  <c r="BE865" i="4"/>
  <c r="BA894" i="4"/>
  <c r="BK180" i="2"/>
  <c r="BK503" i="2" s="1"/>
  <c r="BL503" i="2"/>
  <c r="BL184" i="2"/>
  <c r="AY43" i="2"/>
  <c r="AY476" i="2" s="1"/>
  <c r="AY477" i="2" s="1"/>
  <c r="AZ476" i="2"/>
  <c r="AZ477" i="2" s="1"/>
  <c r="BC877" i="4"/>
  <c r="BB895" i="4"/>
  <c r="BT297" i="2"/>
  <c r="BT91" i="3" s="1"/>
  <c r="BT93" i="3" s="1"/>
  <c r="BU91" i="3"/>
  <c r="AY733" i="4"/>
  <c r="AY942" i="4"/>
  <c r="AY936" i="4"/>
  <c r="AY900" i="4"/>
  <c r="BT448" i="4"/>
  <c r="DZ75" i="3"/>
  <c r="CE380" i="4"/>
  <c r="CA260" i="4" l="1"/>
  <c r="CA261" i="4" s="1"/>
  <c r="BY332" i="4"/>
  <c r="BY261" i="4"/>
  <c r="EC88" i="4"/>
  <c r="ED87" i="4"/>
  <c r="EC84" i="4"/>
  <c r="EB85" i="4"/>
  <c r="DY48" i="4"/>
  <c r="DZ48" i="4" s="1"/>
  <c r="EC545" i="4"/>
  <c r="BN455" i="2"/>
  <c r="BN148" i="3"/>
  <c r="BN480" i="2"/>
  <c r="FK103" i="4"/>
  <c r="FK105" i="4"/>
  <c r="DV252" i="2"/>
  <c r="DW263" i="2"/>
  <c r="EG409" i="2"/>
  <c r="EI409" i="2" s="1"/>
  <c r="EE409" i="2"/>
  <c r="DV292" i="2"/>
  <c r="BU313" i="4"/>
  <c r="BU315" i="4" s="1"/>
  <c r="BT328" i="4"/>
  <c r="BU328" i="4" s="1"/>
  <c r="BU329" i="4" s="1"/>
  <c r="EA18" i="4"/>
  <c r="ED32" i="4" s="1"/>
  <c r="EC152" i="4"/>
  <c r="BQ139" i="4"/>
  <c r="BR339" i="4"/>
  <c r="DJ413" i="2"/>
  <c r="DJ522" i="2" s="1"/>
  <c r="DJ530" i="2" s="1"/>
  <c r="DK522" i="2"/>
  <c r="DK530" i="2" s="1"/>
  <c r="DK529" i="2"/>
  <c r="CO97" i="4"/>
  <c r="BX759" i="4"/>
  <c r="BX767" i="4" s="1"/>
  <c r="BW237" i="4"/>
  <c r="BQ822" i="4"/>
  <c r="BQ828" i="4" s="1"/>
  <c r="BQ829" i="4" s="1"/>
  <c r="BQ830" i="4" s="1"/>
  <c r="BQ831" i="4" s="1"/>
  <c r="BN840" i="4"/>
  <c r="BN846" i="4" s="1"/>
  <c r="BN847" i="4" s="1"/>
  <c r="BN848" i="4" s="1"/>
  <c r="BN849" i="4" s="1"/>
  <c r="CA761" i="4"/>
  <c r="CA757" i="4" s="1"/>
  <c r="CA765" i="4" s="1"/>
  <c r="BS760" i="4"/>
  <c r="BS768" i="4" s="1"/>
  <c r="BS757" i="4"/>
  <c r="BS765" i="4" s="1"/>
  <c r="BR828" i="4"/>
  <c r="BR829" i="4" s="1"/>
  <c r="BR830" i="4" s="1"/>
  <c r="BR831" i="4" s="1"/>
  <c r="BN828" i="4"/>
  <c r="BN829" i="4" s="1"/>
  <c r="BN830" i="4" s="1"/>
  <c r="BN831" i="4" s="1"/>
  <c r="BW761" i="4"/>
  <c r="BW757" i="4" s="1"/>
  <c r="BW765" i="4" s="1"/>
  <c r="BX758" i="4"/>
  <c r="BX766" i="4" s="1"/>
  <c r="BS758" i="4"/>
  <c r="BS766" i="4" s="1"/>
  <c r="BS769" i="4"/>
  <c r="BR840" i="4"/>
  <c r="BR846" i="4" s="1"/>
  <c r="BR847" i="4" s="1"/>
  <c r="BR848" i="4" s="1"/>
  <c r="BR849" i="4" s="1"/>
  <c r="BX760" i="4"/>
  <c r="BX762" i="4" s="1"/>
  <c r="BX757" i="4"/>
  <c r="BX765" i="4" s="1"/>
  <c r="BV761" i="4"/>
  <c r="BV758" i="4" s="1"/>
  <c r="BV766" i="4" s="1"/>
  <c r="BN771" i="4"/>
  <c r="BN773" i="4"/>
  <c r="BN774" i="4" s="1"/>
  <c r="AZ742" i="4"/>
  <c r="AZ788" i="4" s="1"/>
  <c r="BM771" i="4"/>
  <c r="CA853" i="4"/>
  <c r="BY853" i="4" s="1"/>
  <c r="BZ853" i="4" s="1"/>
  <c r="BP768" i="4"/>
  <c r="BP773" i="4" s="1"/>
  <c r="CA277" i="4"/>
  <c r="CA278" i="4" s="1"/>
  <c r="BT757" i="4"/>
  <c r="BT765" i="4" s="1"/>
  <c r="CP96" i="4"/>
  <c r="BT760" i="4"/>
  <c r="BT768" i="4" s="1"/>
  <c r="BT771" i="4" s="1"/>
  <c r="BT769" i="4"/>
  <c r="BT758" i="4"/>
  <c r="BT766" i="4" s="1"/>
  <c r="BM773" i="4"/>
  <c r="BM774" i="4" s="1"/>
  <c r="BN24" i="2"/>
  <c r="BO352" i="2"/>
  <c r="BO24" i="2" s="1"/>
  <c r="BQ226" i="3"/>
  <c r="BP352" i="2"/>
  <c r="BP24" i="2" s="1"/>
  <c r="BN617" i="2"/>
  <c r="BN622" i="2" s="1"/>
  <c r="BN644" i="2" s="1"/>
  <c r="BN170" i="2"/>
  <c r="BN152" i="2"/>
  <c r="CA299" i="4"/>
  <c r="BZ301" i="4"/>
  <c r="CA301" i="4" s="1"/>
  <c r="BX77" i="2"/>
  <c r="BV74" i="2"/>
  <c r="CG378" i="4"/>
  <c r="CG375" i="4" s="1"/>
  <c r="CG376" i="4" s="1"/>
  <c r="CF379" i="4"/>
  <c r="BQ68" i="2"/>
  <c r="BR60" i="2"/>
  <c r="BR153" i="2"/>
  <c r="CA271" i="2"/>
  <c r="BY269" i="2"/>
  <c r="BY64" i="3" s="1"/>
  <c r="CC299" i="4"/>
  <c r="CD298" i="4"/>
  <c r="CD295" i="4" s="1"/>
  <c r="CD296" i="4" s="1"/>
  <c r="CC300" i="4"/>
  <c r="CF204" i="4"/>
  <c r="CF205" i="4"/>
  <c r="CF206" i="4" s="1"/>
  <c r="BQ4" i="3"/>
  <c r="BQ10" i="3" s="1"/>
  <c r="BQ172" i="2"/>
  <c r="BQ154" i="2"/>
  <c r="BQ331" i="2"/>
  <c r="BQ176" i="2"/>
  <c r="BQ12" i="4"/>
  <c r="BS4" i="3"/>
  <c r="BS10" i="3" s="1"/>
  <c r="BS331" i="2"/>
  <c r="BS178" i="2"/>
  <c r="BS68" i="2"/>
  <c r="BS172" i="2"/>
  <c r="BS154" i="2"/>
  <c r="CN206" i="3"/>
  <c r="CP208" i="3"/>
  <c r="BN159" i="2"/>
  <c r="BU72" i="2"/>
  <c r="BS176" i="2" s="1"/>
  <c r="BT74" i="2"/>
  <c r="BU619" i="2"/>
  <c r="BU621" i="2" s="1"/>
  <c r="BU479" i="2"/>
  <c r="CF296" i="4"/>
  <c r="CF298" i="4"/>
  <c r="BW269" i="2"/>
  <c r="BW64" i="3" s="1"/>
  <c r="BW66" i="3" s="1"/>
  <c r="BX64" i="3"/>
  <c r="BX66" i="3" s="1"/>
  <c r="BP617" i="2"/>
  <c r="BP622" i="2" s="1"/>
  <c r="BP644" i="2" s="1"/>
  <c r="BP170" i="2"/>
  <c r="BP152" i="2"/>
  <c r="BP55" i="2"/>
  <c r="CE296" i="2"/>
  <c r="CG296" i="2" s="1"/>
  <c r="CC296" i="2"/>
  <c r="BO56" i="2"/>
  <c r="BO158" i="2"/>
  <c r="BO180" i="2"/>
  <c r="BN55" i="2"/>
  <c r="BO151" i="2"/>
  <c r="BZ302" i="4"/>
  <c r="CA300" i="4"/>
  <c r="CA302" i="4" s="1"/>
  <c r="CD379" i="4"/>
  <c r="CD380" i="4" s="1"/>
  <c r="CC380" i="4"/>
  <c r="CL375" i="4"/>
  <c r="CI203" i="4"/>
  <c r="CI295" i="4"/>
  <c r="CI378" i="4"/>
  <c r="EB18" i="4"/>
  <c r="EE32" i="4" s="1"/>
  <c r="DZ18" i="4"/>
  <c r="EC563" i="4"/>
  <c r="CD19" i="4"/>
  <c r="CC33" i="4"/>
  <c r="CC67" i="4"/>
  <c r="DN206" i="3"/>
  <c r="DI148" i="3"/>
  <c r="DJ149" i="3"/>
  <c r="DI455" i="2"/>
  <c r="CH19" i="4"/>
  <c r="CF19" i="4"/>
  <c r="CE33" i="4"/>
  <c r="CE67" i="4"/>
  <c r="CH280" i="2"/>
  <c r="CJ280" i="2" s="1"/>
  <c r="CF280" i="2"/>
  <c r="BQ762" i="4"/>
  <c r="BT264" i="2"/>
  <c r="CQ145" i="2"/>
  <c r="CP145" i="2"/>
  <c r="CO145" i="2" s="1"/>
  <c r="CB256" i="2"/>
  <c r="BZ256" i="2"/>
  <c r="AR385" i="2"/>
  <c r="AS374" i="2" s="1"/>
  <c r="AR396" i="2"/>
  <c r="AT396" i="2"/>
  <c r="AT385" i="2"/>
  <c r="BL414" i="2"/>
  <c r="BJ415" i="2"/>
  <c r="BJ840" i="4"/>
  <c r="BJ846" i="4" s="1"/>
  <c r="BJ847" i="4" s="1"/>
  <c r="BJ848" i="4" s="1"/>
  <c r="BJ849" i="4" s="1"/>
  <c r="CL109" i="3"/>
  <c r="CL110" i="3" s="1"/>
  <c r="CL17" i="3" s="1"/>
  <c r="CM110" i="3"/>
  <c r="CM17" i="3" s="1"/>
  <c r="CO109" i="3"/>
  <c r="CO110" i="3" s="1"/>
  <c r="CO17" i="3" s="1"/>
  <c r="CN110" i="3"/>
  <c r="CN17" i="3" s="1"/>
  <c r="CC138" i="2"/>
  <c r="CE138" i="2"/>
  <c r="CD139" i="2"/>
  <c r="CC139" i="2" s="1"/>
  <c r="BT290" i="2"/>
  <c r="BU329" i="2"/>
  <c r="BU513" i="2"/>
  <c r="BU120" i="3"/>
  <c r="BU119" i="3" s="1"/>
  <c r="BU640" i="2"/>
  <c r="BU328" i="2"/>
  <c r="BU327" i="2"/>
  <c r="BU166" i="2"/>
  <c r="BX292" i="2"/>
  <c r="BV290" i="2"/>
  <c r="BV166" i="2" s="1"/>
  <c r="BO475" i="2"/>
  <c r="BN42" i="2"/>
  <c r="BO53" i="2"/>
  <c r="BO43" i="2" s="1"/>
  <c r="DF277" i="4"/>
  <c r="DL277" i="4" s="1"/>
  <c r="DO277" i="4" s="1"/>
  <c r="DR277" i="4" s="1"/>
  <c r="AP43" i="2"/>
  <c r="AM53" i="2"/>
  <c r="AM56" i="2"/>
  <c r="AM158" i="2"/>
  <c r="AM169" i="2"/>
  <c r="DS312" i="2"/>
  <c r="AC62" i="9"/>
  <c r="AC64" i="9" s="1"/>
  <c r="EV484" i="4"/>
  <c r="EY484" i="4" s="1"/>
  <c r="EZ484" i="4" s="1"/>
  <c r="ET484" i="4"/>
  <c r="EU147" i="3"/>
  <c r="EQ272" i="2"/>
  <c r="ES272" i="2"/>
  <c r="EU272" i="2" s="1"/>
  <c r="ET299" i="2"/>
  <c r="EV299" i="2"/>
  <c r="EX299" i="2" s="1"/>
  <c r="EV364" i="4"/>
  <c r="EY364" i="4" s="1"/>
  <c r="ET50" i="4"/>
  <c r="EW159" i="4"/>
  <c r="EP50" i="4"/>
  <c r="EP61" i="4" s="1"/>
  <c r="ES159" i="4"/>
  <c r="CE217" i="3"/>
  <c r="CD215" i="3"/>
  <c r="CC217" i="3"/>
  <c r="CC215" i="3" s="1"/>
  <c r="BK522" i="2"/>
  <c r="BK530" i="2" s="1"/>
  <c r="BK529" i="2"/>
  <c r="BO413" i="2"/>
  <c r="BM522" i="2"/>
  <c r="BM530" i="2" s="1"/>
  <c r="BM529" i="2"/>
  <c r="DN413" i="2"/>
  <c r="DL529" i="2"/>
  <c r="DL522" i="2"/>
  <c r="DL530" i="2" s="1"/>
  <c r="AP53" i="2"/>
  <c r="AP56" i="2"/>
  <c r="AP158" i="2"/>
  <c r="AP151" i="2"/>
  <c r="AP169" i="2"/>
  <c r="CH78" i="2"/>
  <c r="CJ78" i="2" s="1"/>
  <c r="CF78" i="2"/>
  <c r="CO149" i="3"/>
  <c r="CN148" i="3"/>
  <c r="CN455" i="2"/>
  <c r="AM409" i="2"/>
  <c r="AM397" i="2" s="1"/>
  <c r="AN397" i="2"/>
  <c r="AN398" i="2" s="1"/>
  <c r="AL14" i="2"/>
  <c r="AL11" i="2"/>
  <c r="AK365" i="2"/>
  <c r="AK223" i="3" s="1"/>
  <c r="AQ441" i="2"/>
  <c r="AO409" i="2"/>
  <c r="AO397" i="2" s="1"/>
  <c r="AO410" i="2"/>
  <c r="AO411" i="2"/>
  <c r="AL20" i="2"/>
  <c r="AJ20" i="2"/>
  <c r="AK400" i="2"/>
  <c r="AL140" i="2"/>
  <c r="AM411" i="2"/>
  <c r="AJ11" i="2"/>
  <c r="AJ14" i="2"/>
  <c r="AM410" i="2"/>
  <c r="CD279" i="2"/>
  <c r="CB276" i="2"/>
  <c r="EC124" i="3"/>
  <c r="ED124" i="3"/>
  <c r="EE124" i="3" s="1"/>
  <c r="EN279" i="2"/>
  <c r="EP279" i="2"/>
  <c r="ER279" i="2" s="1"/>
  <c r="EP301" i="2"/>
  <c r="ER301" i="2" s="1"/>
  <c r="EN301" i="2"/>
  <c r="EH248" i="2"/>
  <c r="EH33" i="3" s="1"/>
  <c r="EH35" i="3" s="1"/>
  <c r="EL248" i="2"/>
  <c r="EJ248" i="2"/>
  <c r="EJ33" i="3" s="1"/>
  <c r="EI33" i="3"/>
  <c r="EI35" i="3" s="1"/>
  <c r="EF35" i="3"/>
  <c r="EG35" i="3"/>
  <c r="EN272" i="2"/>
  <c r="EP281" i="2"/>
  <c r="ER281" i="2" s="1"/>
  <c r="EN281" i="2"/>
  <c r="CM22" i="2"/>
  <c r="CM349" i="2"/>
  <c r="CL366" i="2"/>
  <c r="CL224" i="3" s="1"/>
  <c r="CL365" i="2"/>
  <c r="DG35" i="2"/>
  <c r="DF34" i="2"/>
  <c r="EC125" i="3"/>
  <c r="EC78" i="2" s="1"/>
  <c r="ED125" i="3"/>
  <c r="EB131" i="3"/>
  <c r="U56" i="9"/>
  <c r="U54" i="9"/>
  <c r="CI214" i="4"/>
  <c r="BP237" i="4"/>
  <c r="BP235" i="4" s="1"/>
  <c r="BR235" i="4" s="1"/>
  <c r="BR209" i="4"/>
  <c r="BR210" i="4" s="1"/>
  <c r="CI307" i="4"/>
  <c r="CD280" i="4"/>
  <c r="CD277" i="4" s="1"/>
  <c r="CC282" i="4"/>
  <c r="BX337" i="4"/>
  <c r="BX338" i="4" s="1"/>
  <c r="CE283" i="4"/>
  <c r="BZ283" i="4"/>
  <c r="CA282" i="4"/>
  <c r="CA283" i="4" s="1"/>
  <c r="BQ130" i="4"/>
  <c r="BP471" i="4"/>
  <c r="BP472" i="4" s="1"/>
  <c r="ED375" i="4"/>
  <c r="EG375" i="4" s="1"/>
  <c r="EJ375" i="4" s="1"/>
  <c r="EM375" i="4" s="1"/>
  <c r="EA295" i="4"/>
  <c r="EA296" i="4" s="1"/>
  <c r="EA203" i="4"/>
  <c r="EA204" i="4" s="1"/>
  <c r="DR185" i="4"/>
  <c r="DU185" i="4" s="1"/>
  <c r="DX185" i="4" s="1"/>
  <c r="CO109" i="4"/>
  <c r="CP108" i="4"/>
  <c r="CP109" i="4" s="1"/>
  <c r="CW108" i="4"/>
  <c r="CT109" i="4"/>
  <c r="CR96" i="4"/>
  <c r="CR108" i="4"/>
  <c r="CT378" i="4"/>
  <c r="CT355" i="4"/>
  <c r="ED111" i="4"/>
  <c r="EC111" i="4"/>
  <c r="BE883" i="4"/>
  <c r="BF883" i="4" s="1"/>
  <c r="BA688" i="4"/>
  <c r="BT15" i="4"/>
  <c r="AZ951" i="4"/>
  <c r="BK841" i="4"/>
  <c r="BJ823" i="4"/>
  <c r="BJ841" i="4" s="1"/>
  <c r="BO841" i="4"/>
  <c r="BN823" i="4"/>
  <c r="BR823" i="4"/>
  <c r="BV852" i="4"/>
  <c r="BW852" i="4" s="1"/>
  <c r="CA852" i="4"/>
  <c r="CP322" i="4"/>
  <c r="CP229" i="4"/>
  <c r="BU263" i="4"/>
  <c r="AZ915" i="4"/>
  <c r="BT420" i="4"/>
  <c r="BT439" i="4" s="1"/>
  <c r="CA312" i="4"/>
  <c r="BT253" i="4"/>
  <c r="BT251" i="4" s="1"/>
  <c r="BT252" i="4" s="1"/>
  <c r="BT244" i="4"/>
  <c r="BT235" i="4"/>
  <c r="CM232" i="4"/>
  <c r="BR171" i="4"/>
  <c r="CO748" i="4"/>
  <c r="CO749" i="4" s="1"/>
  <c r="BM471" i="4"/>
  <c r="BO347" i="4"/>
  <c r="BO348" i="4" s="1"/>
  <c r="BM348" i="4"/>
  <c r="BM432" i="4"/>
  <c r="BO431" i="4"/>
  <c r="BO432" i="4" s="1"/>
  <c r="BT139" i="4"/>
  <c r="BT140" i="4" s="1"/>
  <c r="AZ706" i="4"/>
  <c r="AZ909" i="4" s="1"/>
  <c r="BR443" i="4"/>
  <c r="BR464" i="4"/>
  <c r="BW124" i="4"/>
  <c r="BW127" i="4" s="1"/>
  <c r="BS209" i="4"/>
  <c r="BB592" i="4"/>
  <c r="BB640" i="4" s="1"/>
  <c r="BA628" i="4"/>
  <c r="EN61" i="4"/>
  <c r="EO50" i="4"/>
  <c r="EO61" i="4" s="1"/>
  <c r="CU228" i="4"/>
  <c r="CU226" i="4"/>
  <c r="EQ50" i="4"/>
  <c r="ER159" i="4"/>
  <c r="CX395" i="4"/>
  <c r="CX397" i="4" s="1"/>
  <c r="CX398" i="4" s="1"/>
  <c r="DA392" i="4"/>
  <c r="CX317" i="4"/>
  <c r="CX225" i="4"/>
  <c r="CO232" i="4"/>
  <c r="CO233" i="4"/>
  <c r="CR322" i="4"/>
  <c r="CR321" i="4"/>
  <c r="CR323" i="4" s="1"/>
  <c r="CR229" i="4"/>
  <c r="CR231" i="4"/>
  <c r="CU318" i="4"/>
  <c r="CU320" i="4"/>
  <c r="BR453" i="4"/>
  <c r="CT397" i="4"/>
  <c r="CV395" i="4"/>
  <c r="CK324" i="4"/>
  <c r="CM323" i="4"/>
  <c r="CM324" i="4" s="1"/>
  <c r="CZ392" i="4"/>
  <c r="CW225" i="4"/>
  <c r="CW395" i="4"/>
  <c r="CW317" i="4"/>
  <c r="CQ321" i="4"/>
  <c r="CS320" i="4"/>
  <c r="CQ322" i="4"/>
  <c r="CT228" i="4"/>
  <c r="CT226" i="4"/>
  <c r="CV225" i="4"/>
  <c r="CV226" i="4" s="1"/>
  <c r="CS228" i="4"/>
  <c r="CQ231" i="4"/>
  <c r="CQ229" i="4"/>
  <c r="BS32" i="4"/>
  <c r="BV32" i="4"/>
  <c r="BS67" i="4"/>
  <c r="BU18" i="4"/>
  <c r="BS48" i="4"/>
  <c r="BK12" i="4"/>
  <c r="BK8" i="4"/>
  <c r="BL7" i="4"/>
  <c r="CN233" i="4"/>
  <c r="CP231" i="4"/>
  <c r="CP233" i="4" s="1"/>
  <c r="CN232" i="4"/>
  <c r="CT320" i="4"/>
  <c r="CV317" i="4"/>
  <c r="CV318" i="4" s="1"/>
  <c r="CT318" i="4"/>
  <c r="CN323" i="4"/>
  <c r="CP321" i="4"/>
  <c r="BT48" i="4"/>
  <c r="BT67" i="4"/>
  <c r="BW32" i="4"/>
  <c r="BT32" i="4"/>
  <c r="BS494" i="4"/>
  <c r="BS497" i="4" s="1"/>
  <c r="BU152" i="4"/>
  <c r="BU494" i="4" s="1"/>
  <c r="BU497" i="4" s="1"/>
  <c r="EA81" i="4"/>
  <c r="DZ82" i="4"/>
  <c r="AZ658" i="4"/>
  <c r="EK111" i="4"/>
  <c r="BM438" i="4"/>
  <c r="BO243" i="4"/>
  <c r="BO244" i="4" s="1"/>
  <c r="BM136" i="4"/>
  <c r="BO136" i="4" s="1"/>
  <c r="BM244" i="4"/>
  <c r="BL430" i="4"/>
  <c r="BL439" i="4"/>
  <c r="BL470" i="4"/>
  <c r="BL449" i="4"/>
  <c r="BL460" i="4"/>
  <c r="BL421" i="4"/>
  <c r="BJ476" i="4"/>
  <c r="BJ466" i="4"/>
  <c r="BJ436" i="4"/>
  <c r="BJ456" i="4"/>
  <c r="BL426" i="4"/>
  <c r="BM139" i="4"/>
  <c r="BM448" i="4"/>
  <c r="BO248" i="4"/>
  <c r="BO139" i="4" s="1"/>
  <c r="BY205" i="4"/>
  <c r="BY208" i="4" s="1"/>
  <c r="CA208" i="4" s="1"/>
  <c r="BY163" i="4"/>
  <c r="CB173" i="4"/>
  <c r="CB178" i="4" s="1"/>
  <c r="CA173" i="4"/>
  <c r="CA174" i="4" s="1"/>
  <c r="BO420" i="4"/>
  <c r="BO421" i="4" s="1"/>
  <c r="BM421" i="4"/>
  <c r="BM426" i="4"/>
  <c r="BV206" i="4"/>
  <c r="BX206" i="4" s="1"/>
  <c r="BX205" i="4"/>
  <c r="BX203" i="4" s="1"/>
  <c r="BX204" i="4" s="1"/>
  <c r="BM459" i="4"/>
  <c r="BM146" i="4"/>
  <c r="BO146" i="4" s="1"/>
  <c r="BM251" i="4"/>
  <c r="BO253" i="4"/>
  <c r="BX163" i="4"/>
  <c r="BX164" i="4" s="1"/>
  <c r="BV164" i="4"/>
  <c r="BM238" i="4"/>
  <c r="BM256" i="4"/>
  <c r="BM429" i="4"/>
  <c r="BO237" i="4"/>
  <c r="BO238" i="4" s="1"/>
  <c r="BM235" i="4"/>
  <c r="BB585" i="4"/>
  <c r="BB633" i="4" s="1"/>
  <c r="BU773" i="4"/>
  <c r="BU774" i="4" s="1"/>
  <c r="BU840" i="4"/>
  <c r="BU846" i="4" s="1"/>
  <c r="BU847" i="4" s="1"/>
  <c r="BU848" i="4" s="1"/>
  <c r="BU849" i="4" s="1"/>
  <c r="BT822" i="4"/>
  <c r="BX822" i="4"/>
  <c r="BU828" i="4"/>
  <c r="BU829" i="4" s="1"/>
  <c r="BU830" i="4" s="1"/>
  <c r="BU831" i="4" s="1"/>
  <c r="BM840" i="4"/>
  <c r="BM846" i="4" s="1"/>
  <c r="BM847" i="4" s="1"/>
  <c r="BM848" i="4" s="1"/>
  <c r="BM849" i="4" s="1"/>
  <c r="BM828" i="4"/>
  <c r="BM829" i="4" s="1"/>
  <c r="BM830" i="4" s="1"/>
  <c r="BM831" i="4" s="1"/>
  <c r="BB894" i="4"/>
  <c r="BD569" i="4"/>
  <c r="BC585" i="4"/>
  <c r="BV835" i="4"/>
  <c r="BW835" i="4" s="1"/>
  <c r="CA835" i="4"/>
  <c r="BC639" i="4"/>
  <c r="BC627" i="4"/>
  <c r="CD837" i="4"/>
  <c r="CG837" i="4" s="1"/>
  <c r="CJ837" i="4" s="1"/>
  <c r="BY837" i="4"/>
  <c r="BZ837" i="4" s="1"/>
  <c r="AZ938" i="4"/>
  <c r="AZ944" i="4"/>
  <c r="AZ902" i="4"/>
  <c r="AZ735" i="4"/>
  <c r="AZ781" i="4" s="1"/>
  <c r="BA711" i="4"/>
  <c r="BA729" i="4"/>
  <c r="BA932" i="4" s="1"/>
  <c r="BE843" i="4"/>
  <c r="BE856" i="4" s="1"/>
  <c r="BE838" i="4"/>
  <c r="BD825" i="4"/>
  <c r="BB627" i="4"/>
  <c r="BB669" i="4" s="1"/>
  <c r="BB711" i="4" s="1"/>
  <c r="BB639" i="4"/>
  <c r="BB687" i="4" s="1"/>
  <c r="BB729" i="4" s="1"/>
  <c r="BS835" i="4"/>
  <c r="BT835" i="4" s="1"/>
  <c r="BA838" i="4"/>
  <c r="BA843" i="4"/>
  <c r="BA856" i="4" s="1"/>
  <c r="BA633" i="4"/>
  <c r="BA621" i="4"/>
  <c r="BA622" i="4" s="1"/>
  <c r="BA664" i="4" s="1"/>
  <c r="BI843" i="4"/>
  <c r="BI856" i="4" s="1"/>
  <c r="BL825" i="4"/>
  <c r="BI838" i="4"/>
  <c r="BH825" i="4"/>
  <c r="DC174" i="4"/>
  <c r="DC205" i="4"/>
  <c r="DC206" i="4" s="1"/>
  <c r="BA896" i="4"/>
  <c r="DF173" i="4"/>
  <c r="DF745" i="4"/>
  <c r="CS105" i="4"/>
  <c r="CS106" i="4" s="1"/>
  <c r="CR747" i="4"/>
  <c r="CS747" i="4" s="1"/>
  <c r="CR354" i="4"/>
  <c r="CR163" i="4" s="1"/>
  <c r="ED76" i="4"/>
  <c r="EE75" i="4"/>
  <c r="BT127" i="4"/>
  <c r="BA957" i="4"/>
  <c r="CW266" i="4"/>
  <c r="CW298" i="4"/>
  <c r="CW299" i="4" s="1"/>
  <c r="BA897" i="4"/>
  <c r="BT464" i="4"/>
  <c r="BU124" i="4"/>
  <c r="CP748" i="4"/>
  <c r="CP749" i="4" s="1"/>
  <c r="CZ746" i="4"/>
  <c r="CZ265" i="4"/>
  <c r="DC102" i="4"/>
  <c r="CD185" i="4"/>
  <c r="CD186" i="4" s="1"/>
  <c r="CD189" i="4"/>
  <c r="BZ284" i="4"/>
  <c r="CA284" i="4" s="1"/>
  <c r="CA285" i="4" s="1"/>
  <c r="BI483" i="2"/>
  <c r="BI484" i="2" s="1"/>
  <c r="BU405" i="4"/>
  <c r="BU406" i="4" s="1"/>
  <c r="AZ724" i="4"/>
  <c r="AZ927" i="4" s="1"/>
  <c r="BT263" i="4"/>
  <c r="BT422" i="4"/>
  <c r="BU422" i="4" s="1"/>
  <c r="BT344" i="4"/>
  <c r="BU344" i="4" s="1"/>
  <c r="BT16" i="4"/>
  <c r="BT30" i="4" s="1"/>
  <c r="CV264" i="2"/>
  <c r="CU264" i="2" s="1"/>
  <c r="CU263" i="2"/>
  <c r="DB93" i="3"/>
  <c r="DC93" i="3"/>
  <c r="DE93" i="3"/>
  <c r="BQ342" i="4"/>
  <c r="BQ347" i="4" s="1"/>
  <c r="BR344" i="4"/>
  <c r="CX102" i="4"/>
  <c r="CU265" i="4"/>
  <c r="CU746" i="4"/>
  <c r="CV746" i="4" s="1"/>
  <c r="CV102" i="4"/>
  <c r="CV103" i="4" s="1"/>
  <c r="CI183" i="4"/>
  <c r="CJ183" i="4" s="1"/>
  <c r="CJ184" i="4" s="1"/>
  <c r="CF188" i="4"/>
  <c r="CG188" i="4" s="1"/>
  <c r="CF217" i="4"/>
  <c r="CF218" i="4" s="1"/>
  <c r="CS745" i="4"/>
  <c r="CS504" i="4"/>
  <c r="CS505" i="4"/>
  <c r="BT335" i="4"/>
  <c r="BC483" i="2"/>
  <c r="BC484" i="2" s="1"/>
  <c r="EC213" i="3"/>
  <c r="EB260" i="2"/>
  <c r="EB213" i="3" s="1"/>
  <c r="ED260" i="2"/>
  <c r="BT315" i="4"/>
  <c r="BB884" i="4"/>
  <c r="CC164" i="4"/>
  <c r="CF164" i="4"/>
  <c r="CE189" i="4"/>
  <c r="CX99" i="4"/>
  <c r="CU173" i="4"/>
  <c r="CU745" i="4"/>
  <c r="CV99" i="4"/>
  <c r="CV100" i="4" s="1"/>
  <c r="CC260" i="4"/>
  <c r="CD260" i="4" s="1"/>
  <c r="CD261" i="4" s="1"/>
  <c r="CC281" i="4"/>
  <c r="CC312" i="4"/>
  <c r="CD312" i="4" s="1"/>
  <c r="BB878" i="4"/>
  <c r="BB879" i="4" s="1"/>
  <c r="BQ771" i="4"/>
  <c r="BQ770" i="4"/>
  <c r="BC590" i="4"/>
  <c r="BC626" i="4" s="1"/>
  <c r="BD483" i="2"/>
  <c r="BD484" i="2" s="1"/>
  <c r="EP296" i="2"/>
  <c r="ER296" i="2" s="1"/>
  <c r="EN296" i="2"/>
  <c r="BC955" i="4"/>
  <c r="BD859" i="4"/>
  <c r="BR326" i="4"/>
  <c r="BQ423" i="4"/>
  <c r="BR422" i="4"/>
  <c r="BR423" i="4" s="1"/>
  <c r="CP163" i="4"/>
  <c r="CP164" i="4" s="1"/>
  <c r="CO164" i="4"/>
  <c r="EK235" i="2"/>
  <c r="EM235" i="2"/>
  <c r="EO235" i="2"/>
  <c r="CH188" i="4"/>
  <c r="CK183" i="4"/>
  <c r="CY252" i="2"/>
  <c r="CX255" i="2"/>
  <c r="Z385" i="2"/>
  <c r="AA374" i="2" s="1"/>
  <c r="Z396" i="2"/>
  <c r="CF309" i="4"/>
  <c r="CF310" i="4" s="1"/>
  <c r="CI275" i="4"/>
  <c r="CJ275" i="4" s="1"/>
  <c r="CJ276" i="4" s="1"/>
  <c r="CF280" i="4"/>
  <c r="CS207" i="3"/>
  <c r="CR266" i="4"/>
  <c r="CS265" i="4"/>
  <c r="CS266" i="4" s="1"/>
  <c r="CC189" i="4"/>
  <c r="CC220" i="4"/>
  <c r="BB483" i="2"/>
  <c r="BB484" i="2" s="1"/>
  <c r="BX332" i="4"/>
  <c r="BX333" i="4" s="1"/>
  <c r="BU17" i="4"/>
  <c r="BU31" i="4" s="1"/>
  <c r="DB273" i="2"/>
  <c r="BZ337" i="4"/>
  <c r="BZ339" i="4" s="1"/>
  <c r="BZ450" i="4" s="1"/>
  <c r="BZ332" i="4"/>
  <c r="BZ334" i="4" s="1"/>
  <c r="BZ261" i="4"/>
  <c r="DB256" i="2"/>
  <c r="CZ255" i="2"/>
  <c r="CZ252" i="2" s="1"/>
  <c r="CZ263" i="2" s="1"/>
  <c r="CZ264" i="2" s="1"/>
  <c r="BR335" i="4"/>
  <c r="AB396" i="2"/>
  <c r="AB385" i="2"/>
  <c r="BZ221" i="4"/>
  <c r="BZ222" i="4"/>
  <c r="CS173" i="4"/>
  <c r="CS174" i="4" s="1"/>
  <c r="CR174" i="4"/>
  <c r="BQ441" i="4"/>
  <c r="BR440" i="4"/>
  <c r="BR433" i="4"/>
  <c r="BR434" i="4" s="1"/>
  <c r="BB584" i="4"/>
  <c r="BB632" i="4" s="1"/>
  <c r="AJ56" i="2"/>
  <c r="AL169" i="2"/>
  <c r="AJ53" i="2"/>
  <c r="AM151" i="2"/>
  <c r="AJ169" i="2"/>
  <c r="AJ158" i="2"/>
  <c r="BQ451" i="4"/>
  <c r="BR450" i="4"/>
  <c r="BW285" i="4"/>
  <c r="BW262" i="4"/>
  <c r="BX262" i="4" s="1"/>
  <c r="BX263" i="4" s="1"/>
  <c r="BW313" i="4"/>
  <c r="BW328" i="4" s="1"/>
  <c r="BX328" i="4" s="1"/>
  <c r="BU771" i="4"/>
  <c r="BQ431" i="4"/>
  <c r="BQ435" i="4" s="1"/>
  <c r="BQ436" i="4" s="1"/>
  <c r="BQ329" i="4"/>
  <c r="BR328" i="4"/>
  <c r="BR329" i="4" s="1"/>
  <c r="BB890" i="4"/>
  <c r="BB891" i="4" s="1"/>
  <c r="BY580" i="4"/>
  <c r="BZ580" i="4" s="1"/>
  <c r="CD580" i="4"/>
  <c r="CA383" i="4"/>
  <c r="CA386" i="4"/>
  <c r="BK478" i="2"/>
  <c r="BK481" i="2"/>
  <c r="BK482" i="2" s="1"/>
  <c r="BP448" i="4"/>
  <c r="BP139" i="4"/>
  <c r="BR248" i="4"/>
  <c r="BY221" i="4"/>
  <c r="BY222" i="4"/>
  <c r="CA220" i="4"/>
  <c r="CA222" i="4" s="1"/>
  <c r="O398" i="2"/>
  <c r="O400" i="2"/>
  <c r="P400" i="2" s="1"/>
  <c r="BZ389" i="4"/>
  <c r="CA389" i="4" s="1"/>
  <c r="BZ367" i="4"/>
  <c r="BZ351" i="4"/>
  <c r="CA351" i="4" s="1"/>
  <c r="CA352" i="4" s="1"/>
  <c r="BY334" i="4"/>
  <c r="BF324" i="2"/>
  <c r="BE307" i="2"/>
  <c r="BE324" i="2" s="1"/>
  <c r="BU118" i="4"/>
  <c r="BS23" i="4"/>
  <c r="BS127" i="4"/>
  <c r="BC637" i="4"/>
  <c r="BC625" i="4"/>
  <c r="BW202" i="3"/>
  <c r="BW344" i="2"/>
  <c r="BW173" i="2"/>
  <c r="BW5" i="3"/>
  <c r="BW11" i="3" s="1"/>
  <c r="BW156" i="2"/>
  <c r="BX175" i="4"/>
  <c r="BX179" i="4"/>
  <c r="BT403" i="4"/>
  <c r="BT433" i="4"/>
  <c r="BT434" i="4" s="1"/>
  <c r="BT416" i="4"/>
  <c r="BU416" i="4" s="1"/>
  <c r="BU417" i="4" s="1"/>
  <c r="BC876" i="4"/>
  <c r="BV315" i="4"/>
  <c r="BV326" i="4"/>
  <c r="DQ93" i="3"/>
  <c r="CK383" i="4"/>
  <c r="CH213" i="4"/>
  <c r="CH386" i="4"/>
  <c r="CH305" i="4"/>
  <c r="CI272" i="4"/>
  <c r="CI271" i="4"/>
  <c r="CJ270" i="4"/>
  <c r="BB727" i="4"/>
  <c r="BC727" i="4" s="1"/>
  <c r="BK184" i="2"/>
  <c r="BL187" i="2"/>
  <c r="BK187" i="2" s="1"/>
  <c r="BQ15" i="4"/>
  <c r="BP20" i="4"/>
  <c r="BP64" i="4"/>
  <c r="BP29" i="4"/>
  <c r="BP21" i="4"/>
  <c r="BF812" i="4"/>
  <c r="BF818" i="4" s="1"/>
  <c r="BE818" i="4"/>
  <c r="BD877" i="4"/>
  <c r="BC895" i="4"/>
  <c r="BY339" i="4"/>
  <c r="BY90" i="2"/>
  <c r="BZ85" i="2"/>
  <c r="BA710" i="4"/>
  <c r="BD819" i="4"/>
  <c r="BE813" i="4"/>
  <c r="CD578" i="4"/>
  <c r="BY578" i="4"/>
  <c r="BZ578" i="4" s="1"/>
  <c r="DP290" i="2"/>
  <c r="DQ304" i="2"/>
  <c r="DP304" i="2" s="1"/>
  <c r="BA715" i="4"/>
  <c r="BN651" i="4"/>
  <c r="BA943" i="4"/>
  <c r="BA656" i="4"/>
  <c r="BA698" i="4" s="1"/>
  <c r="BA662" i="4"/>
  <c r="BA704" i="4" s="1"/>
  <c r="BA907" i="4" s="1"/>
  <c r="DU300" i="2"/>
  <c r="DW300" i="2" s="1"/>
  <c r="DX300" i="2" s="1"/>
  <c r="DX297" i="2" s="1"/>
  <c r="DS300" i="2"/>
  <c r="DT297" i="2"/>
  <c r="BV463" i="4"/>
  <c r="BM483" i="2"/>
  <c r="BM484" i="2" s="1"/>
  <c r="CY266" i="2"/>
  <c r="CZ268" i="2"/>
  <c r="CX268" i="2"/>
  <c r="BD589" i="4"/>
  <c r="BD583" i="4" s="1"/>
  <c r="BE567" i="4"/>
  <c r="BU214" i="4"/>
  <c r="BU215" i="4"/>
  <c r="BO650" i="4"/>
  <c r="DZ256" i="2"/>
  <c r="AU187" i="2"/>
  <c r="AV187" i="2" s="1"/>
  <c r="AV184" i="2"/>
  <c r="BE184" i="2"/>
  <c r="BF187" i="2"/>
  <c r="BE187" i="2" s="1"/>
  <c r="BA709" i="4"/>
  <c r="BA670" i="4"/>
  <c r="BS30" i="4"/>
  <c r="BN691" i="4"/>
  <c r="CX356" i="4"/>
  <c r="CB310" i="4"/>
  <c r="CD310" i="4" s="1"/>
  <c r="CD309" i="4"/>
  <c r="BU241" i="4"/>
  <c r="BU242" i="4" s="1"/>
  <c r="BS243" i="4"/>
  <c r="DF469" i="2"/>
  <c r="DG469" i="2" s="1"/>
  <c r="DH469" i="2" s="1"/>
  <c r="BC870" i="4"/>
  <c r="BB873" i="4"/>
  <c r="BX390" i="4"/>
  <c r="CD836" i="4"/>
  <c r="CB836" i="4" s="1"/>
  <c r="CC836" i="4" s="1"/>
  <c r="BU409" i="4"/>
  <c r="BU410" i="4" s="1"/>
  <c r="BR824" i="4"/>
  <c r="BN824" i="4"/>
  <c r="BO842" i="4"/>
  <c r="CD299" i="2"/>
  <c r="BQ156" i="2"/>
  <c r="BQ344" i="2"/>
  <c r="BQ5" i="3"/>
  <c r="BQ11" i="3" s="1"/>
  <c r="BQ173" i="2"/>
  <c r="BS173" i="2"/>
  <c r="BQ202" i="3"/>
  <c r="EN291" i="2"/>
  <c r="EP291" i="2"/>
  <c r="ER291" i="2" s="1"/>
  <c r="T416" i="2"/>
  <c r="S411" i="2"/>
  <c r="R411" i="2" s="1"/>
  <c r="S410" i="2"/>
  <c r="R410" i="2" s="1"/>
  <c r="S409" i="2"/>
  <c r="BA680" i="4"/>
  <c r="BA722" i="4" s="1"/>
  <c r="BA925" i="4" s="1"/>
  <c r="BA674" i="4"/>
  <c r="BA716" i="4" s="1"/>
  <c r="BA919" i="4" s="1"/>
  <c r="BG500" i="2"/>
  <c r="BH498" i="2"/>
  <c r="BG504" i="2"/>
  <c r="BG499" i="2"/>
  <c r="BG497" i="2"/>
  <c r="CB85" i="2"/>
  <c r="CC86" i="2"/>
  <c r="BT444" i="4"/>
  <c r="BT445" i="4" s="1"/>
  <c r="BB956" i="4"/>
  <c r="BC860" i="4"/>
  <c r="CE281" i="4"/>
  <c r="CE260" i="4"/>
  <c r="CX209" i="3"/>
  <c r="CZ209" i="3"/>
  <c r="DB209" i="3" s="1"/>
  <c r="BN693" i="4"/>
  <c r="BV31" i="4"/>
  <c r="BV452" i="4"/>
  <c r="BV170" i="4"/>
  <c r="BV181" i="4"/>
  <c r="BX180" i="4"/>
  <c r="BX181" i="4" s="1"/>
  <c r="BV118" i="4"/>
  <c r="BU25" i="4"/>
  <c r="BU38" i="4" s="1"/>
  <c r="BS38" i="4"/>
  <c r="DM22" i="2"/>
  <c r="Y18" i="9" s="1"/>
  <c r="DN348" i="2"/>
  <c r="DN352" i="2"/>
  <c r="DN24" i="2" s="1"/>
  <c r="BU307" i="4"/>
  <c r="BU306" i="4"/>
  <c r="CC179" i="4"/>
  <c r="CC180" i="4"/>
  <c r="CC168" i="4"/>
  <c r="CC208" i="4"/>
  <c r="BR425" i="4"/>
  <c r="BR474" i="4"/>
  <c r="DZ133" i="3"/>
  <c r="EA133" i="3"/>
  <c r="CX226" i="2"/>
  <c r="CZ224" i="2"/>
  <c r="CZ226" i="2" s="1"/>
  <c r="DA224" i="2" s="1"/>
  <c r="DB224" i="2"/>
  <c r="DB226" i="2" s="1"/>
  <c r="CU185" i="2"/>
  <c r="CE307" i="4"/>
  <c r="CE309" i="4" s="1"/>
  <c r="CE312" i="4" s="1"/>
  <c r="CE306" i="4"/>
  <c r="BW23" i="4"/>
  <c r="BW119" i="4"/>
  <c r="EC73" i="3"/>
  <c r="EB278" i="2"/>
  <c r="EB73" i="3" s="1"/>
  <c r="EB75" i="3" s="1"/>
  <c r="ED278" i="2"/>
  <c r="BY313" i="4"/>
  <c r="BY285" i="4"/>
  <c r="BY262" i="4"/>
  <c r="BY124" i="4"/>
  <c r="DB416" i="2"/>
  <c r="AY478" i="2"/>
  <c r="AY481" i="2"/>
  <c r="AY482" i="2" s="1"/>
  <c r="DF270" i="2"/>
  <c r="DD270" i="2"/>
  <c r="BC864" i="4"/>
  <c r="BB867" i="4"/>
  <c r="BG692" i="4"/>
  <c r="BD866" i="4"/>
  <c r="CE460" i="2"/>
  <c r="CE464" i="2" s="1"/>
  <c r="CE86" i="2"/>
  <c r="ER321" i="2"/>
  <c r="EO626" i="2"/>
  <c r="EN321" i="2"/>
  <c r="EN626" i="2" s="1"/>
  <c r="EP321" i="2"/>
  <c r="EP626" i="2" s="1"/>
  <c r="CQ356" i="4"/>
  <c r="CN359" i="4"/>
  <c r="DR215" i="3"/>
  <c r="AY716" i="4"/>
  <c r="AY676" i="4"/>
  <c r="AZ676" i="4" s="1"/>
  <c r="CK275" i="4"/>
  <c r="CH280" i="4"/>
  <c r="CH282" i="4" s="1"/>
  <c r="BA697" i="4"/>
  <c r="CH380" i="4"/>
  <c r="BW645" i="4"/>
  <c r="CH362" i="4"/>
  <c r="CE387" i="4"/>
  <c r="CE366" i="4"/>
  <c r="AY742" i="4"/>
  <c r="AY788" i="4" s="1"/>
  <c r="AY915" i="4"/>
  <c r="BY413" i="4"/>
  <c r="BY424" i="4"/>
  <c r="BY409" i="4"/>
  <c r="BY17" i="4"/>
  <c r="BY352" i="4"/>
  <c r="BY405" i="4"/>
  <c r="BJ152" i="3"/>
  <c r="BK150" i="3" s="1"/>
  <c r="CG579" i="4"/>
  <c r="CB579" i="4"/>
  <c r="CC579" i="4" s="1"/>
  <c r="CB220" i="4"/>
  <c r="CB218" i="4"/>
  <c r="CD218" i="4" s="1"/>
  <c r="CD217" i="4"/>
  <c r="BS248" i="4"/>
  <c r="BU246" i="4"/>
  <c r="BU247" i="4" s="1"/>
  <c r="BP438" i="4"/>
  <c r="BP244" i="4"/>
  <c r="BR243" i="4"/>
  <c r="BR244" i="4" s="1"/>
  <c r="BP136" i="4"/>
  <c r="BR136" i="4" s="1"/>
  <c r="CK69" i="3"/>
  <c r="CH70" i="2"/>
  <c r="BH810" i="4"/>
  <c r="BG811" i="4"/>
  <c r="BG816" i="4"/>
  <c r="BN649" i="4"/>
  <c r="AY698" i="4"/>
  <c r="AY658" i="4"/>
  <c r="BS461" i="4"/>
  <c r="BS342" i="4"/>
  <c r="BS347" i="4" s="1"/>
  <c r="DB374" i="2"/>
  <c r="DB385" i="2" s="1"/>
  <c r="CY384" i="2"/>
  <c r="CY566" i="2"/>
  <c r="BT443" i="4"/>
  <c r="BJ824" i="4"/>
  <c r="BJ842" i="4" s="1"/>
  <c r="BK842" i="4"/>
  <c r="EB338" i="4"/>
  <c r="Q398" i="2"/>
  <c r="Q400" i="2"/>
  <c r="CX396" i="2"/>
  <c r="CX385" i="2"/>
  <c r="CD460" i="2"/>
  <c r="CD464" i="2" s="1"/>
  <c r="CC70" i="2"/>
  <c r="CC460" i="2" s="1"/>
  <c r="CC464" i="2" s="1"/>
  <c r="CD456" i="2"/>
  <c r="BU413" i="4"/>
  <c r="BU414" i="4" s="1"/>
  <c r="BW405" i="4"/>
  <c r="BW442" i="4" s="1"/>
  <c r="BW352" i="4"/>
  <c r="BW17" i="4"/>
  <c r="BW31" i="4" s="1"/>
  <c r="BW413" i="4"/>
  <c r="BW463" i="4" s="1"/>
  <c r="BW424" i="4"/>
  <c r="BW425" i="4" s="1"/>
  <c r="BW409" i="4"/>
  <c r="BW452" i="4" s="1"/>
  <c r="BT136" i="4"/>
  <c r="BQ430" i="4"/>
  <c r="BT429" i="4"/>
  <c r="BT238" i="4"/>
  <c r="CA854" i="4"/>
  <c r="BY854" i="4" s="1"/>
  <c r="BZ854" i="4" s="1"/>
  <c r="BD568" i="4"/>
  <c r="CP365" i="2"/>
  <c r="CP366" i="2"/>
  <c r="CP224" i="3" s="1"/>
  <c r="DU274" i="2"/>
  <c r="DS274" i="2"/>
  <c r="BW420" i="4"/>
  <c r="BW171" i="4"/>
  <c r="BW253" i="4"/>
  <c r="BW15" i="4"/>
  <c r="BX213" i="4"/>
  <c r="BX305" i="4"/>
  <c r="BX384" i="4"/>
  <c r="BT454" i="4"/>
  <c r="AZ478" i="2"/>
  <c r="AZ481" i="2"/>
  <c r="AZ482" i="2" s="1"/>
  <c r="BT26" i="4"/>
  <c r="BT39" i="4" s="1"/>
  <c r="BT36" i="4"/>
  <c r="BS423" i="4"/>
  <c r="CB337" i="4"/>
  <c r="CB261" i="4"/>
  <c r="CB332" i="4"/>
  <c r="BF515" i="2"/>
  <c r="BG514" i="2"/>
  <c r="BR253" i="4"/>
  <c r="BP459" i="4"/>
  <c r="BP146" i="4"/>
  <c r="BR146" i="4" s="1"/>
  <c r="BP251" i="4"/>
  <c r="AY184" i="2"/>
  <c r="AZ187" i="2"/>
  <c r="AY187" i="2" s="1"/>
  <c r="BL152" i="3"/>
  <c r="BM150" i="3" s="1"/>
  <c r="BA728" i="4"/>
  <c r="BT453" i="4"/>
  <c r="BU452" i="4"/>
  <c r="BS453" i="4"/>
  <c r="DO22" i="2"/>
  <c r="Z18" i="9" s="1"/>
  <c r="DQ348" i="2"/>
  <c r="DQ352" i="2"/>
  <c r="DQ24" i="2" s="1"/>
  <c r="DO349" i="2"/>
  <c r="BH184" i="2"/>
  <c r="BI187" i="2"/>
  <c r="BH187" i="2" s="1"/>
  <c r="DG278" i="4"/>
  <c r="DG277" i="4" s="1"/>
  <c r="DG365" i="4"/>
  <c r="DG364" i="4" s="1"/>
  <c r="DG185" i="4"/>
  <c r="DM185" i="4" s="1"/>
  <c r="AZ734" i="4"/>
  <c r="AZ780" i="4" s="1"/>
  <c r="AZ943" i="4"/>
  <c r="AZ937" i="4"/>
  <c r="AZ901" i="4"/>
  <c r="DT294" i="2"/>
  <c r="DR290" i="2"/>
  <c r="DR304" i="2" s="1"/>
  <c r="CK360" i="4"/>
  <c r="CM359" i="4"/>
  <c r="CK379" i="4"/>
  <c r="CJ69" i="3"/>
  <c r="CF69" i="3"/>
  <c r="CG70" i="2"/>
  <c r="DA81" i="4"/>
  <c r="CZ82" i="4"/>
  <c r="BF871" i="4"/>
  <c r="BO455" i="2"/>
  <c r="BO480" i="2"/>
  <c r="BO148" i="3"/>
  <c r="BP149" i="3"/>
  <c r="AY925" i="4"/>
  <c r="AY724" i="4"/>
  <c r="AY927" i="4" s="1"/>
  <c r="BS329" i="4"/>
  <c r="BS431" i="4"/>
  <c r="BD751" i="4"/>
  <c r="BC754" i="4"/>
  <c r="BV442" i="4"/>
  <c r="BV169" i="4"/>
  <c r="BX168" i="4"/>
  <c r="BX169" i="4" s="1"/>
  <c r="BV241" i="4"/>
  <c r="BV246" i="4"/>
  <c r="AF224" i="2"/>
  <c r="AF226" i="2" s="1"/>
  <c r="AG224" i="2" s="1"/>
  <c r="AD226" i="2"/>
  <c r="AH224" i="2"/>
  <c r="AH226" i="2" s="1"/>
  <c r="CG267" i="4"/>
  <c r="CG271" i="4"/>
  <c r="CI175" i="4"/>
  <c r="CF178" i="4"/>
  <c r="CI643" i="4"/>
  <c r="CM834" i="4"/>
  <c r="CK834" i="4" s="1"/>
  <c r="CL834" i="4" s="1"/>
  <c r="BD872" i="4"/>
  <c r="CB389" i="4"/>
  <c r="CB367" i="4"/>
  <c r="CB351" i="4"/>
  <c r="BU402" i="4"/>
  <c r="BU403" i="4" s="1"/>
  <c r="BX221" i="4"/>
  <c r="BL652" i="4"/>
  <c r="CE214" i="4"/>
  <c r="CE215" i="4"/>
  <c r="CE217" i="4" s="1"/>
  <c r="BW210" i="4"/>
  <c r="BB667" i="4"/>
  <c r="BZ246" i="4"/>
  <c r="BZ248" i="4" s="1"/>
  <c r="BZ169" i="4"/>
  <c r="BZ241" i="4"/>
  <c r="BZ243" i="4" s="1"/>
  <c r="BB954" i="4"/>
  <c r="BB861" i="4"/>
  <c r="BC858" i="4"/>
  <c r="CA366" i="4"/>
  <c r="BU93" i="3"/>
  <c r="BX364" i="4"/>
  <c r="BX365" i="4" s="1"/>
  <c r="BX367" i="4"/>
  <c r="BU450" i="4"/>
  <c r="BS451" i="4"/>
  <c r="DJ214" i="2"/>
  <c r="DK213" i="2"/>
  <c r="EQ153" i="3"/>
  <c r="BD889" i="4"/>
  <c r="CD855" i="4"/>
  <c r="BU442" i="4"/>
  <c r="BS443" i="4"/>
  <c r="BC888" i="4"/>
  <c r="BV425" i="4"/>
  <c r="BS434" i="4"/>
  <c r="BU335" i="4"/>
  <c r="BZ209" i="4"/>
  <c r="BZ181" i="4"/>
  <c r="BZ118" i="4"/>
  <c r="BB655" i="4"/>
  <c r="BB942" i="4"/>
  <c r="BB661" i="4"/>
  <c r="BB703" i="4" s="1"/>
  <c r="BF865" i="4"/>
  <c r="CB284" i="4"/>
  <c r="BW448" i="4"/>
  <c r="DP365" i="2"/>
  <c r="DP366" i="2"/>
  <c r="DP224" i="3" s="1"/>
  <c r="BT400" i="4"/>
  <c r="BU400" i="4" s="1"/>
  <c r="CN272" i="4"/>
  <c r="CN300" i="4"/>
  <c r="CN302" i="4" s="1"/>
  <c r="CN271" i="4"/>
  <c r="BY855" i="4"/>
  <c r="BZ855" i="4" s="1"/>
  <c r="CA178" i="4"/>
  <c r="BY180" i="4"/>
  <c r="BY179" i="4"/>
  <c r="BY168" i="4"/>
  <c r="BV440" i="4"/>
  <c r="BX334" i="4"/>
  <c r="BV335" i="4"/>
  <c r="BE478" i="2"/>
  <c r="BE481" i="2"/>
  <c r="BE482" i="2" s="1"/>
  <c r="DZ292" i="2"/>
  <c r="BU424" i="4"/>
  <c r="BU425" i="4" s="1"/>
  <c r="BC882" i="4"/>
  <c r="BE753" i="4"/>
  <c r="EN254" i="4"/>
  <c r="EM254" i="4"/>
  <c r="EM247" i="4"/>
  <c r="CK273" i="4"/>
  <c r="CK301" i="4"/>
  <c r="BC583" i="4"/>
  <c r="ED79" i="4"/>
  <c r="EE78" i="4"/>
  <c r="EF78" i="4" s="1"/>
  <c r="EF79" i="4" s="1"/>
  <c r="BV91" i="3"/>
  <c r="BT173" i="2"/>
  <c r="BT5" i="3"/>
  <c r="BT11" i="3" s="1"/>
  <c r="BT156" i="2"/>
  <c r="BT344" i="2"/>
  <c r="BV173" i="2"/>
  <c r="BV263" i="4"/>
  <c r="BV344" i="4"/>
  <c r="BV16" i="4"/>
  <c r="BV422" i="4"/>
  <c r="BS473" i="4"/>
  <c r="BS417" i="4"/>
  <c r="BS45" i="4"/>
  <c r="BS441" i="4"/>
  <c r="BU440" i="4"/>
  <c r="CU614" i="2"/>
  <c r="CO267" i="4"/>
  <c r="CL270" i="4"/>
  <c r="T142" i="2"/>
  <c r="T143" i="2" s="1"/>
  <c r="T146" i="2" s="1"/>
  <c r="U142" i="2" s="1"/>
  <c r="U143" i="2" s="1"/>
  <c r="U146" i="2" s="1"/>
  <c r="V142" i="2"/>
  <c r="V143" i="2" s="1"/>
  <c r="V146" i="2" s="1"/>
  <c r="EN247" i="4"/>
  <c r="E400" i="2"/>
  <c r="F400" i="2"/>
  <c r="AY779" i="4"/>
  <c r="AZ700" i="4"/>
  <c r="AZ942" i="4"/>
  <c r="AZ733" i="4"/>
  <c r="AZ936" i="4"/>
  <c r="AZ900" i="4"/>
  <c r="BQ460" i="4"/>
  <c r="BX339" i="4"/>
  <c r="BV450" i="4"/>
  <c r="AY907" i="4"/>
  <c r="AY706" i="4"/>
  <c r="AY909" i="4" s="1"/>
  <c r="EK286" i="2"/>
  <c r="EM286" i="2"/>
  <c r="CF362" i="4"/>
  <c r="CG362" i="4" s="1"/>
  <c r="CG363" i="4" s="1"/>
  <c r="CC387" i="4"/>
  <c r="CD387" i="4" s="1"/>
  <c r="CC366" i="4"/>
  <c r="CD366" i="4" s="1"/>
  <c r="BR420" i="4"/>
  <c r="BP421" i="4"/>
  <c r="BP426" i="4"/>
  <c r="BW438" i="4"/>
  <c r="BW244" i="4"/>
  <c r="ED293" i="2"/>
  <c r="EF293" i="2" s="1"/>
  <c r="EB293" i="2"/>
  <c r="BV433" i="4"/>
  <c r="BV403" i="4"/>
  <c r="BV416" i="4"/>
  <c r="CT267" i="4"/>
  <c r="CQ270" i="4"/>
  <c r="BS253" i="4"/>
  <c r="BU170" i="4"/>
  <c r="BU171" i="4" s="1"/>
  <c r="BS171" i="4"/>
  <c r="BS420" i="4"/>
  <c r="BS15" i="4"/>
  <c r="DQ190" i="2"/>
  <c r="DR178" i="3"/>
  <c r="CE175" i="4"/>
  <c r="BU463" i="4"/>
  <c r="BS464" i="4"/>
  <c r="BW390" i="4"/>
  <c r="BW402" i="4"/>
  <c r="BW400" i="4" s="1"/>
  <c r="BX400" i="4" s="1"/>
  <c r="BU142" i="2"/>
  <c r="BU143" i="2" s="1"/>
  <c r="BU146" i="2" s="1"/>
  <c r="BS142" i="2"/>
  <c r="BS143" i="2" s="1"/>
  <c r="BS146" i="2" s="1"/>
  <c r="BT142" i="2" s="1"/>
  <c r="BT143" i="2" s="1"/>
  <c r="BT146" i="2" s="1"/>
  <c r="BQ469" i="4"/>
  <c r="BQ257" i="4"/>
  <c r="DR91" i="3"/>
  <c r="BF481" i="2"/>
  <c r="BF482" i="2" s="1"/>
  <c r="BF478" i="2"/>
  <c r="CJ356" i="4"/>
  <c r="CJ360" i="4"/>
  <c r="BQ456" i="4"/>
  <c r="BC685" i="4"/>
  <c r="BV854" i="4"/>
  <c r="BW854" i="4" s="1"/>
  <c r="BB626" i="4"/>
  <c r="BB668" i="4" s="1"/>
  <c r="BB710" i="4" s="1"/>
  <c r="BB638" i="4"/>
  <c r="BB686" i="4" s="1"/>
  <c r="BB728" i="4" s="1"/>
  <c r="BB931" i="4" s="1"/>
  <c r="CP225" i="3"/>
  <c r="CO349" i="2"/>
  <c r="CP221" i="2"/>
  <c r="AS56" i="2"/>
  <c r="AS158" i="2"/>
  <c r="AS151" i="2"/>
  <c r="AS169" i="2"/>
  <c r="AS53" i="2"/>
  <c r="AU169" i="2"/>
  <c r="CW614" i="2"/>
  <c r="CW185" i="2"/>
  <c r="BL481" i="2"/>
  <c r="BL482" i="2" s="1"/>
  <c r="BL478" i="2"/>
  <c r="BC570" i="4"/>
  <c r="CF273" i="4"/>
  <c r="CG272" i="4"/>
  <c r="CG273" i="4" s="1"/>
  <c r="BY300" i="2"/>
  <c r="BW300" i="2"/>
  <c r="BX297" i="2"/>
  <c r="EN133" i="3"/>
  <c r="BP644" i="4"/>
  <c r="DZ257" i="2"/>
  <c r="DY257" i="2" s="1"/>
  <c r="BV25" i="4"/>
  <c r="BV125" i="4"/>
  <c r="BL752" i="4"/>
  <c r="BY390" i="4"/>
  <c r="BY402" i="4"/>
  <c r="J400" i="2"/>
  <c r="BB679" i="4"/>
  <c r="BB721" i="4" s="1"/>
  <c r="BB924" i="4" s="1"/>
  <c r="BB673" i="4"/>
  <c r="ED84" i="4" l="1"/>
  <c r="EC85" i="4"/>
  <c r="EE87" i="4"/>
  <c r="ED88" i="4"/>
  <c r="O66" i="9"/>
  <c r="BR139" i="4"/>
  <c r="EW299" i="2"/>
  <c r="EY299" i="2"/>
  <c r="FA299" i="2" s="1"/>
  <c r="EZ299" i="2" s="1"/>
  <c r="EW50" i="4"/>
  <c r="EW61" i="4" s="1"/>
  <c r="EZ159" i="4"/>
  <c r="EZ50" i="4" s="1"/>
  <c r="DW274" i="2"/>
  <c r="DW297" i="2"/>
  <c r="DV297" i="2" s="1"/>
  <c r="DV300" i="2"/>
  <c r="EJ409" i="2"/>
  <c r="EL409" i="2" s="1"/>
  <c r="EH409" i="2"/>
  <c r="DV263" i="2"/>
  <c r="DW264" i="2"/>
  <c r="DJ529" i="2"/>
  <c r="EA48" i="4"/>
  <c r="BX768" i="4"/>
  <c r="BX770" i="4" s="1"/>
  <c r="BP822" i="4"/>
  <c r="BP840" i="4" s="1"/>
  <c r="BP846" i="4" s="1"/>
  <c r="BP847" i="4" s="1"/>
  <c r="BP848" i="4" s="1"/>
  <c r="BP849" i="4" s="1"/>
  <c r="BQ774" i="4"/>
  <c r="CS96" i="4"/>
  <c r="BS210" i="4"/>
  <c r="BS237" i="4"/>
  <c r="BQ840" i="4"/>
  <c r="BQ846" i="4" s="1"/>
  <c r="BQ847" i="4" s="1"/>
  <c r="BQ848" i="4" s="1"/>
  <c r="BQ849" i="4" s="1"/>
  <c r="BS762" i="4"/>
  <c r="BW760" i="4"/>
  <c r="BW762" i="4" s="1"/>
  <c r="BY761" i="4"/>
  <c r="BY760" i="4" s="1"/>
  <c r="CA759" i="4"/>
  <c r="CA767" i="4" s="1"/>
  <c r="CA769" i="4"/>
  <c r="CD761" i="4"/>
  <c r="CC761" i="4" s="1"/>
  <c r="BZ761" i="4"/>
  <c r="BZ757" i="4" s="1"/>
  <c r="BZ765" i="4" s="1"/>
  <c r="CA758" i="4"/>
  <c r="CA766" i="4" s="1"/>
  <c r="CA760" i="4"/>
  <c r="CA762" i="4" s="1"/>
  <c r="BP771" i="4"/>
  <c r="BV757" i="4"/>
  <c r="BV765" i="4" s="1"/>
  <c r="BV769" i="4"/>
  <c r="CP97" i="4"/>
  <c r="BW758" i="4"/>
  <c r="BW766" i="4" s="1"/>
  <c r="BV759" i="4"/>
  <c r="BV767" i="4" s="1"/>
  <c r="BW759" i="4"/>
  <c r="BW767" i="4" s="1"/>
  <c r="BW769" i="4"/>
  <c r="CD853" i="4"/>
  <c r="CB853" i="4" s="1"/>
  <c r="CC853" i="4" s="1"/>
  <c r="BV760" i="4"/>
  <c r="BV768" i="4" s="1"/>
  <c r="BU345" i="2"/>
  <c r="DU277" i="4"/>
  <c r="BT762" i="4"/>
  <c r="BS770" i="4"/>
  <c r="BP770" i="4"/>
  <c r="CD278" i="4"/>
  <c r="BP774" i="4"/>
  <c r="BQ352" i="2"/>
  <c r="BR226" i="3"/>
  <c r="BS226" i="3" s="1"/>
  <c r="CI204" i="4"/>
  <c r="CI205" i="4"/>
  <c r="BO503" i="2"/>
  <c r="BO184" i="2"/>
  <c r="BN180" i="2"/>
  <c r="BN503" i="2" s="1"/>
  <c r="CH296" i="2"/>
  <c r="CJ296" i="2" s="1"/>
  <c r="CF296" i="2"/>
  <c r="BP346" i="2"/>
  <c r="CG298" i="4"/>
  <c r="CG295" i="4" s="1"/>
  <c r="CG296" i="4" s="1"/>
  <c r="CF299" i="4"/>
  <c r="CF300" i="4"/>
  <c r="BT619" i="2"/>
  <c r="BT621" i="2" s="1"/>
  <c r="BT479" i="2"/>
  <c r="CO375" i="4"/>
  <c r="CL203" i="4"/>
  <c r="CL295" i="4"/>
  <c r="CL378" i="4"/>
  <c r="BP151" i="2"/>
  <c r="BP169" i="2"/>
  <c r="BP180" i="2"/>
  <c r="BU331" i="2"/>
  <c r="BT72" i="2"/>
  <c r="BT345" i="2" s="1"/>
  <c r="BU178" i="2"/>
  <c r="BT178" i="2" s="1"/>
  <c r="BU4" i="3"/>
  <c r="BU10" i="3" s="1"/>
  <c r="BU154" i="2"/>
  <c r="BU68" i="2"/>
  <c r="CD299" i="4"/>
  <c r="CC301" i="4"/>
  <c r="CD301" i="4" s="1"/>
  <c r="BQ60" i="2"/>
  <c r="BR55" i="2"/>
  <c r="BR152" i="2"/>
  <c r="BR617" i="2"/>
  <c r="BR622" i="2" s="1"/>
  <c r="BV619" i="2"/>
  <c r="BV621" i="2" s="1"/>
  <c r="BV479" i="2"/>
  <c r="BV72" i="2"/>
  <c r="BV345" i="2" s="1"/>
  <c r="CJ378" i="4"/>
  <c r="CJ375" i="4" s="1"/>
  <c r="CJ376" i="4" s="1"/>
  <c r="CI379" i="4"/>
  <c r="BS60" i="2"/>
  <c r="BS153" i="2"/>
  <c r="BS171" i="2"/>
  <c r="BY66" i="3"/>
  <c r="BQ171" i="2"/>
  <c r="BQ153" i="2"/>
  <c r="BY77" i="2"/>
  <c r="BX74" i="2"/>
  <c r="BW77" i="2"/>
  <c r="CI296" i="4"/>
  <c r="CI298" i="4"/>
  <c r="BN169" i="2"/>
  <c r="BN56" i="2"/>
  <c r="BN158" i="2"/>
  <c r="BN151" i="2"/>
  <c r="CP206" i="3"/>
  <c r="CO208" i="3"/>
  <c r="CO206" i="3" s="1"/>
  <c r="CQ208" i="3"/>
  <c r="CC302" i="4"/>
  <c r="CD300" i="4"/>
  <c r="CD302" i="4" s="1"/>
  <c r="CB271" i="2"/>
  <c r="BZ271" i="2"/>
  <c r="CA269" i="2"/>
  <c r="CF380" i="4"/>
  <c r="CG379" i="4"/>
  <c r="CG380" i="4" s="1"/>
  <c r="BN346" i="2"/>
  <c r="EB32" i="4"/>
  <c r="EC18" i="4"/>
  <c r="EB48" i="4"/>
  <c r="CG19" i="4"/>
  <c r="CG33" i="4" s="1"/>
  <c r="CF33" i="4"/>
  <c r="CK280" i="2"/>
  <c r="CM280" i="2" s="1"/>
  <c r="CI280" i="2"/>
  <c r="CK19" i="4"/>
  <c r="CH33" i="4"/>
  <c r="CI19" i="4"/>
  <c r="CD33" i="4"/>
  <c r="CD67" i="4"/>
  <c r="DO206" i="3"/>
  <c r="DJ455" i="2"/>
  <c r="DJ148" i="3"/>
  <c r="DK149" i="3"/>
  <c r="AS385" i="2"/>
  <c r="AS396" i="2"/>
  <c r="CS145" i="2"/>
  <c r="CR145" i="2" s="1"/>
  <c r="CT145" i="2"/>
  <c r="CB255" i="2"/>
  <c r="CB252" i="2" s="1"/>
  <c r="CB263" i="2" s="1"/>
  <c r="CB264" i="2" s="1"/>
  <c r="CD256" i="2"/>
  <c r="AW374" i="2"/>
  <c r="AU374" i="2"/>
  <c r="BM414" i="2"/>
  <c r="BK414" i="2"/>
  <c r="BL415" i="2"/>
  <c r="BK415" i="2" s="1"/>
  <c r="BP130" i="4"/>
  <c r="BP429" i="4"/>
  <c r="BR429" i="4" s="1"/>
  <c r="BR430" i="4" s="1"/>
  <c r="CG138" i="2"/>
  <c r="CE139" i="2"/>
  <c r="CE140" i="2" s="1"/>
  <c r="CE141" i="2" s="1"/>
  <c r="AN25" i="2"/>
  <c r="BV304" i="2"/>
  <c r="BV328" i="2"/>
  <c r="BV327" i="2"/>
  <c r="BV640" i="2"/>
  <c r="BV120" i="3"/>
  <c r="BV119" i="3" s="1"/>
  <c r="BV513" i="2"/>
  <c r="BV329" i="2"/>
  <c r="BV330" i="2" s="1"/>
  <c r="BN43" i="2"/>
  <c r="BN476" i="2" s="1"/>
  <c r="BO476" i="2"/>
  <c r="BO477" i="2" s="1"/>
  <c r="BO478" i="2" s="1"/>
  <c r="BY292" i="2"/>
  <c r="BW292" i="2"/>
  <c r="BX290" i="2"/>
  <c r="BX304" i="2" s="1"/>
  <c r="BW304" i="2" s="1"/>
  <c r="BU330" i="2"/>
  <c r="BT329" i="2"/>
  <c r="BT330" i="2" s="1"/>
  <c r="BN475" i="2"/>
  <c r="BN53" i="2"/>
  <c r="BT513" i="2"/>
  <c r="BT327" i="2"/>
  <c r="BT328" i="2"/>
  <c r="BT120" i="3"/>
  <c r="BT119" i="3" s="1"/>
  <c r="BT640" i="2"/>
  <c r="BT166" i="2"/>
  <c r="CR97" i="4"/>
  <c r="CD281" i="4"/>
  <c r="AM25" i="2"/>
  <c r="EU321" i="2"/>
  <c r="ES321" i="2"/>
  <c r="ES626" i="2" s="1"/>
  <c r="EQ279" i="2"/>
  <c r="ES279" i="2"/>
  <c r="EU279" i="2" s="1"/>
  <c r="EV147" i="3"/>
  <c r="EW147" i="3" s="1"/>
  <c r="EX147" i="3" s="1"/>
  <c r="EY147" i="3" s="1"/>
  <c r="EZ147" i="3" s="1"/>
  <c r="FA147" i="3" s="1"/>
  <c r="EZ153" i="3" s="1"/>
  <c r="ET153" i="3"/>
  <c r="EW484" i="4"/>
  <c r="EP235" i="2"/>
  <c r="ER235" i="2"/>
  <c r="EQ296" i="2"/>
  <c r="ES296" i="2"/>
  <c r="EU296" i="2" s="1"/>
  <c r="EQ281" i="2"/>
  <c r="ES281" i="2"/>
  <c r="EU281" i="2" s="1"/>
  <c r="ET61" i="4"/>
  <c r="EQ291" i="2"/>
  <c r="ES291" i="2"/>
  <c r="EU291" i="2" s="1"/>
  <c r="EQ301" i="2"/>
  <c r="ES301" i="2"/>
  <c r="EU301" i="2" s="1"/>
  <c r="EU159" i="4"/>
  <c r="EV159" i="4"/>
  <c r="EY159" i="4" s="1"/>
  <c r="ES50" i="4"/>
  <c r="ET272" i="2"/>
  <c r="EV272" i="2"/>
  <c r="EX272" i="2" s="1"/>
  <c r="CE215" i="3"/>
  <c r="CG217" i="3"/>
  <c r="BR237" i="4"/>
  <c r="BR238" i="4" s="1"/>
  <c r="BP256" i="4"/>
  <c r="BP257" i="4" s="1"/>
  <c r="BP238" i="4"/>
  <c r="BN413" i="2"/>
  <c r="BO522" i="2"/>
  <c r="BO530" i="2" s="1"/>
  <c r="BO529" i="2"/>
  <c r="BP413" i="2"/>
  <c r="DM413" i="2"/>
  <c r="DN522" i="2"/>
  <c r="DN530" i="2" s="1"/>
  <c r="DO413" i="2"/>
  <c r="DN529" i="2"/>
  <c r="CO148" i="3"/>
  <c r="CO455" i="2"/>
  <c r="CP149" i="3"/>
  <c r="AO25" i="2"/>
  <c r="CK78" i="2"/>
  <c r="CM78" i="2" s="1"/>
  <c r="CI78" i="2"/>
  <c r="AK20" i="2"/>
  <c r="AK140" i="2"/>
  <c r="AL366" i="2"/>
  <c r="AL224" i="3" s="1"/>
  <c r="AL27" i="2"/>
  <c r="AL365" i="2"/>
  <c r="AL223" i="3" s="1"/>
  <c r="AJ365" i="2"/>
  <c r="AJ223" i="3" s="1"/>
  <c r="AO400" i="2"/>
  <c r="AO398" i="2"/>
  <c r="AN11" i="2"/>
  <c r="AN14" i="2"/>
  <c r="AR441" i="2"/>
  <c r="AQ410" i="2"/>
  <c r="AQ409" i="2"/>
  <c r="AQ411" i="2"/>
  <c r="AM400" i="2"/>
  <c r="AM140" i="2" s="1"/>
  <c r="AM398" i="2"/>
  <c r="CE279" i="2"/>
  <c r="CG279" i="2" s="1"/>
  <c r="CC279" i="2"/>
  <c r="EG124" i="3"/>
  <c r="EH124" i="3" s="1"/>
  <c r="EF124" i="3"/>
  <c r="EJ35" i="3"/>
  <c r="EO248" i="2"/>
  <c r="EM248" i="2"/>
  <c r="EM33" i="3" s="1"/>
  <c r="EL33" i="3"/>
  <c r="EL35" i="3" s="1"/>
  <c r="EK248" i="2"/>
  <c r="EK33" i="3" s="1"/>
  <c r="EK35" i="3" s="1"/>
  <c r="CM225" i="3"/>
  <c r="CM221" i="2"/>
  <c r="CL221" i="2" s="1"/>
  <c r="CL349" i="2"/>
  <c r="CO225" i="3"/>
  <c r="CM365" i="2"/>
  <c r="CM366" i="2"/>
  <c r="CM224" i="3" s="1"/>
  <c r="DF620" i="2"/>
  <c r="DG34" i="2"/>
  <c r="DG620" i="2" s="1"/>
  <c r="EC131" i="3"/>
  <c r="EB132" i="3"/>
  <c r="EE125" i="3"/>
  <c r="EF125" i="3" s="1"/>
  <c r="EF78" i="2" s="1"/>
  <c r="ED78" i="2"/>
  <c r="ED182" i="2" s="1"/>
  <c r="ED131" i="3"/>
  <c r="EC182" i="2"/>
  <c r="EB182" i="2" s="1"/>
  <c r="EB78" i="2"/>
  <c r="ED295" i="4"/>
  <c r="ED296" i="4" s="1"/>
  <c r="ED203" i="4"/>
  <c r="ED204" i="4" s="1"/>
  <c r="CH283" i="4"/>
  <c r="CC283" i="4"/>
  <c r="CD282" i="4"/>
  <c r="CD283" i="4" s="1"/>
  <c r="CG280" i="4"/>
  <c r="CG277" i="4" s="1"/>
  <c r="CG278" i="4" s="1"/>
  <c r="CF282" i="4"/>
  <c r="BC592" i="4"/>
  <c r="BC640" i="4" s="1"/>
  <c r="BT459" i="4"/>
  <c r="BT460" i="4" s="1"/>
  <c r="DP185" i="4"/>
  <c r="EA185" i="4"/>
  <c r="ED185" i="4" s="1"/>
  <c r="EG185" i="4" s="1"/>
  <c r="EJ185" i="4" s="1"/>
  <c r="EM185" i="4" s="1"/>
  <c r="EP185" i="4" s="1"/>
  <c r="ES185" i="4" s="1"/>
  <c r="EV185" i="4" s="1"/>
  <c r="EY185" i="4" s="1"/>
  <c r="BT421" i="4"/>
  <c r="BT426" i="4"/>
  <c r="BT427" i="4" s="1"/>
  <c r="CR109" i="4"/>
  <c r="CU108" i="4"/>
  <c r="CS108" i="4"/>
  <c r="CS109" i="4" s="1"/>
  <c r="EG111" i="4"/>
  <c r="EF111" i="4"/>
  <c r="CZ108" i="4"/>
  <c r="CW105" i="4"/>
  <c r="BW125" i="4"/>
  <c r="BZ124" i="4"/>
  <c r="BZ25" i="4" s="1"/>
  <c r="BT256" i="4"/>
  <c r="BT469" i="4" s="1"/>
  <c r="BX124" i="4"/>
  <c r="BX125" i="4" s="1"/>
  <c r="BZ170" i="4"/>
  <c r="BZ15" i="4" s="1"/>
  <c r="BT449" i="4"/>
  <c r="BV209" i="4"/>
  <c r="BN841" i="4"/>
  <c r="BM823" i="4"/>
  <c r="BM841" i="4" s="1"/>
  <c r="BQ823" i="4"/>
  <c r="BR841" i="4"/>
  <c r="BU823" i="4"/>
  <c r="BR421" i="4"/>
  <c r="BC584" i="4"/>
  <c r="BC620" i="4" s="1"/>
  <c r="BD570" i="4"/>
  <c r="BY852" i="4"/>
  <c r="BZ852" i="4" s="1"/>
  <c r="CD852" i="4"/>
  <c r="BU16" i="4"/>
  <c r="BU30" i="4" s="1"/>
  <c r="BT137" i="4"/>
  <c r="BT441" i="4"/>
  <c r="BB896" i="4"/>
  <c r="CR748" i="4"/>
  <c r="CR749" i="4" s="1"/>
  <c r="BB620" i="4"/>
  <c r="BB656" i="4" s="1"/>
  <c r="BB698" i="4" s="1"/>
  <c r="BW25" i="4"/>
  <c r="BW38" i="4" s="1"/>
  <c r="CS748" i="4"/>
  <c r="CS749" i="4" s="1"/>
  <c r="CP232" i="4"/>
  <c r="CS229" i="4"/>
  <c r="BT146" i="4"/>
  <c r="BT147" i="4" s="1"/>
  <c r="BB586" i="4"/>
  <c r="BB885" i="4"/>
  <c r="BB897" i="4" s="1"/>
  <c r="CS322" i="4"/>
  <c r="BM472" i="4"/>
  <c r="BO471" i="4"/>
  <c r="BO472" i="4" s="1"/>
  <c r="BU209" i="4"/>
  <c r="CU231" i="4"/>
  <c r="CU229" i="4"/>
  <c r="CU321" i="4"/>
  <c r="CU323" i="4" s="1"/>
  <c r="CU324" i="4" s="1"/>
  <c r="CU322" i="4"/>
  <c r="CX228" i="4"/>
  <c r="CX226" i="4"/>
  <c r="CA332" i="4"/>
  <c r="CA333" i="4" s="1"/>
  <c r="BR451" i="4"/>
  <c r="BR441" i="4"/>
  <c r="CX318" i="4"/>
  <c r="CX320" i="4"/>
  <c r="EQ61" i="4"/>
  <c r="ER50" i="4"/>
  <c r="ER61" i="4" s="1"/>
  <c r="CE837" i="4"/>
  <c r="CF837" i="4" s="1"/>
  <c r="CR233" i="4"/>
  <c r="CR232" i="4"/>
  <c r="DA395" i="4"/>
  <c r="DA397" i="4" s="1"/>
  <c r="DA398" i="4" s="1"/>
  <c r="DA317" i="4"/>
  <c r="DD392" i="4"/>
  <c r="DA225" i="4"/>
  <c r="AZ945" i="4"/>
  <c r="CA337" i="4"/>
  <c r="CA338" i="4" s="1"/>
  <c r="BX424" i="4"/>
  <c r="BX425" i="4" s="1"/>
  <c r="BX405" i="4"/>
  <c r="BX406" i="4" s="1"/>
  <c r="BW453" i="4"/>
  <c r="BB621" i="4"/>
  <c r="BB663" i="4" s="1"/>
  <c r="BB705" i="4" s="1"/>
  <c r="BB908" i="4" s="1"/>
  <c r="CV320" i="4"/>
  <c r="CT321" i="4"/>
  <c r="CT322" i="4"/>
  <c r="CW318" i="4"/>
  <c r="CY317" i="4"/>
  <c r="CY318" i="4" s="1"/>
  <c r="CW320" i="4"/>
  <c r="CN324" i="4"/>
  <c r="CP323" i="4"/>
  <c r="CP324" i="4" s="1"/>
  <c r="BU48" i="4"/>
  <c r="BS69" i="4"/>
  <c r="BV59" i="4"/>
  <c r="BS59" i="4"/>
  <c r="CW397" i="4"/>
  <c r="CY395" i="4"/>
  <c r="BL12" i="4"/>
  <c r="BL8" i="4"/>
  <c r="BX32" i="4"/>
  <c r="BU32" i="4"/>
  <c r="BU67" i="4"/>
  <c r="CW226" i="4"/>
  <c r="CW228" i="4"/>
  <c r="CY225" i="4"/>
  <c r="CY226" i="4" s="1"/>
  <c r="BT59" i="4"/>
  <c r="BW59" i="4"/>
  <c r="BT69" i="4"/>
  <c r="CQ233" i="4"/>
  <c r="CQ232" i="4"/>
  <c r="CS231" i="4"/>
  <c r="CS233" i="4" s="1"/>
  <c r="CT229" i="4"/>
  <c r="CT231" i="4"/>
  <c r="CV228" i="4"/>
  <c r="CQ323" i="4"/>
  <c r="CS323" i="4" s="1"/>
  <c r="CS321" i="4"/>
  <c r="CZ395" i="4"/>
  <c r="CZ317" i="4"/>
  <c r="DC392" i="4"/>
  <c r="CZ225" i="4"/>
  <c r="CT398" i="4"/>
  <c r="CV397" i="4"/>
  <c r="CV398" i="4" s="1"/>
  <c r="EN111" i="4"/>
  <c r="BU423" i="4"/>
  <c r="EB81" i="4"/>
  <c r="EA82" i="4"/>
  <c r="BM435" i="4"/>
  <c r="BM430" i="4"/>
  <c r="BO429" i="4"/>
  <c r="BO430" i="4" s="1"/>
  <c r="BM465" i="4"/>
  <c r="BM460" i="4"/>
  <c r="BO459" i="4"/>
  <c r="BO460" i="4" s="1"/>
  <c r="BY164" i="4"/>
  <c r="CA163" i="4"/>
  <c r="CA164" i="4" s="1"/>
  <c r="BM257" i="4"/>
  <c r="BO256" i="4"/>
  <c r="BO257" i="4" s="1"/>
  <c r="BM469" i="4"/>
  <c r="CA205" i="4"/>
  <c r="CA203" i="4" s="1"/>
  <c r="CA204" i="4" s="1"/>
  <c r="BY206" i="4"/>
  <c r="CA206" i="4" s="1"/>
  <c r="BL456" i="4"/>
  <c r="BL476" i="4"/>
  <c r="BL466" i="4"/>
  <c r="BL436" i="4"/>
  <c r="BO235" i="4"/>
  <c r="BO130" i="4" s="1"/>
  <c r="BM130" i="4"/>
  <c r="BM252" i="4"/>
  <c r="BO251" i="4"/>
  <c r="BM427" i="4"/>
  <c r="BO426" i="4"/>
  <c r="CB205" i="4"/>
  <c r="CB208" i="4" s="1"/>
  <c r="CD208" i="4" s="1"/>
  <c r="CE173" i="4"/>
  <c r="CE178" i="4" s="1"/>
  <c r="CD173" i="4"/>
  <c r="CD174" i="4" s="1"/>
  <c r="CB163" i="4"/>
  <c r="BM454" i="4"/>
  <c r="BO448" i="4"/>
  <c r="BO449" i="4" s="1"/>
  <c r="BM449" i="4"/>
  <c r="BO438" i="4"/>
  <c r="BO439" i="4" s="1"/>
  <c r="BM439" i="4"/>
  <c r="BM444" i="4"/>
  <c r="BC729" i="4"/>
  <c r="BX828" i="4"/>
  <c r="BX829" i="4" s="1"/>
  <c r="BX830" i="4" s="1"/>
  <c r="BX831" i="4" s="1"/>
  <c r="CA822" i="4"/>
  <c r="BW822" i="4"/>
  <c r="BX840" i="4"/>
  <c r="BX846" i="4" s="1"/>
  <c r="BX847" i="4" s="1"/>
  <c r="BX848" i="4" s="1"/>
  <c r="BX849" i="4" s="1"/>
  <c r="BT840" i="4"/>
  <c r="BT846" i="4" s="1"/>
  <c r="BT847" i="4" s="1"/>
  <c r="BT848" i="4" s="1"/>
  <c r="BT849" i="4" s="1"/>
  <c r="BT828" i="4"/>
  <c r="BT829" i="4" s="1"/>
  <c r="BT830" i="4" s="1"/>
  <c r="BT831" i="4" s="1"/>
  <c r="BS822" i="4"/>
  <c r="BD838" i="4"/>
  <c r="BD843" i="4"/>
  <c r="BD856" i="4" s="1"/>
  <c r="BA950" i="4"/>
  <c r="BA741" i="4"/>
  <c r="BA787" i="4" s="1"/>
  <c r="BA914" i="4"/>
  <c r="BC633" i="4"/>
  <c r="BC621" i="4"/>
  <c r="BG825" i="4"/>
  <c r="BH843" i="4"/>
  <c r="BH856" i="4" s="1"/>
  <c r="BH838" i="4"/>
  <c r="BA657" i="4"/>
  <c r="BA699" i="4" s="1"/>
  <c r="BA700" i="4" s="1"/>
  <c r="BA944" i="4"/>
  <c r="BA945" i="4" s="1"/>
  <c r="BA663" i="4"/>
  <c r="BA705" i="4" s="1"/>
  <c r="BB675" i="4"/>
  <c r="BB717" i="4" s="1"/>
  <c r="BB920" i="4" s="1"/>
  <c r="BB681" i="4"/>
  <c r="BB723" i="4" s="1"/>
  <c r="BB926" i="4" s="1"/>
  <c r="BD591" i="4"/>
  <c r="BE569" i="4"/>
  <c r="BA675" i="4"/>
  <c r="BA717" i="4" s="1"/>
  <c r="BA920" i="4" s="1"/>
  <c r="BA681" i="4"/>
  <c r="BA723" i="4" s="1"/>
  <c r="BA926" i="4" s="1"/>
  <c r="BY835" i="4"/>
  <c r="BZ835" i="4" s="1"/>
  <c r="CD835" i="4"/>
  <c r="BK825" i="4"/>
  <c r="BL838" i="4"/>
  <c r="BO825" i="4"/>
  <c r="BL843" i="4"/>
  <c r="BL856" i="4" s="1"/>
  <c r="BB741" i="4"/>
  <c r="BB787" i="4" s="1"/>
  <c r="BB950" i="4"/>
  <c r="BB914" i="4"/>
  <c r="BC687" i="4"/>
  <c r="BC669" i="4"/>
  <c r="BC711" i="4" s="1"/>
  <c r="BA634" i="4"/>
  <c r="BA682" i="4" s="1"/>
  <c r="CB837" i="4"/>
  <c r="CC837" i="4" s="1"/>
  <c r="EE76" i="4"/>
  <c r="EG75" i="4"/>
  <c r="CR355" i="4"/>
  <c r="CS354" i="4"/>
  <c r="CS355" i="4" s="1"/>
  <c r="CR359" i="4"/>
  <c r="EF75" i="4"/>
  <c r="EF76" i="4" s="1"/>
  <c r="BU441" i="4"/>
  <c r="BX335" i="4"/>
  <c r="BW139" i="4"/>
  <c r="BW140" i="4" s="1"/>
  <c r="BU451" i="4"/>
  <c r="BW443" i="4"/>
  <c r="BC638" i="4"/>
  <c r="DF102" i="4"/>
  <c r="DC265" i="4"/>
  <c r="DC746" i="4"/>
  <c r="CH837" i="4"/>
  <c r="CI837" i="4" s="1"/>
  <c r="CM837" i="4"/>
  <c r="DF174" i="4"/>
  <c r="DF205" i="4"/>
  <c r="DF206" i="4" s="1"/>
  <c r="CZ266" i="4"/>
  <c r="CZ298" i="4"/>
  <c r="CZ299" i="4" s="1"/>
  <c r="BU443" i="4"/>
  <c r="BC890" i="4"/>
  <c r="BC891" i="4" s="1"/>
  <c r="BB932" i="4"/>
  <c r="AC374" i="2"/>
  <c r="AE374" i="2"/>
  <c r="CF281" i="4"/>
  <c r="CF312" i="4"/>
  <c r="CG312" i="4" s="1"/>
  <c r="CF260" i="4"/>
  <c r="CG260" i="4" s="1"/>
  <c r="CG261" i="4" s="1"/>
  <c r="BD955" i="4"/>
  <c r="BE859" i="4"/>
  <c r="CV745" i="4"/>
  <c r="CG185" i="4"/>
  <c r="CG186" i="4" s="1"/>
  <c r="CG189" i="4"/>
  <c r="DA102" i="4"/>
  <c r="CX265" i="4"/>
  <c r="CX746" i="4"/>
  <c r="CY746" i="4" s="1"/>
  <c r="CY102" i="4"/>
  <c r="CY103" i="4" s="1"/>
  <c r="BQ461" i="4"/>
  <c r="BQ343" i="4"/>
  <c r="BR342" i="4"/>
  <c r="BT342" i="4"/>
  <c r="BT343" i="4" s="1"/>
  <c r="BT461" i="4"/>
  <c r="BT462" i="4" s="1"/>
  <c r="BB628" i="4"/>
  <c r="BX409" i="4"/>
  <c r="BX410" i="4" s="1"/>
  <c r="BW315" i="4"/>
  <c r="BX329" i="4"/>
  <c r="CR164" i="4"/>
  <c r="CS163" i="4"/>
  <c r="CS164" i="4" s="1"/>
  <c r="BZ440" i="4"/>
  <c r="CI309" i="4"/>
  <c r="CI310" i="4" s="1"/>
  <c r="CL275" i="4"/>
  <c r="CM275" i="4" s="1"/>
  <c r="CM276" i="4" s="1"/>
  <c r="CI280" i="4"/>
  <c r="CV173" i="4"/>
  <c r="CV174" i="4" s="1"/>
  <c r="CU174" i="4"/>
  <c r="BC884" i="4"/>
  <c r="BC885" i="4" s="1"/>
  <c r="CF189" i="4"/>
  <c r="CF220" i="4"/>
  <c r="BT423" i="4"/>
  <c r="BT451" i="4"/>
  <c r="BZ313" i="4"/>
  <c r="CA313" i="4" s="1"/>
  <c r="CA315" i="4" s="1"/>
  <c r="BZ285" i="4"/>
  <c r="BZ262" i="4"/>
  <c r="CA262" i="4" s="1"/>
  <c r="CA263" i="4" s="1"/>
  <c r="BU464" i="4"/>
  <c r="BT20" i="4"/>
  <c r="BT71" i="4" s="1"/>
  <c r="BW263" i="4"/>
  <c r="BW16" i="4"/>
  <c r="BW30" i="4" s="1"/>
  <c r="BW344" i="4"/>
  <c r="BW146" i="4" s="1"/>
  <c r="BW147" i="4" s="1"/>
  <c r="BW422" i="4"/>
  <c r="BW426" i="4" s="1"/>
  <c r="CC222" i="4"/>
  <c r="CC221" i="4"/>
  <c r="CY263" i="2"/>
  <c r="V55" i="9" s="1"/>
  <c r="CX252" i="2"/>
  <c r="EN235" i="2"/>
  <c r="BS773" i="4"/>
  <c r="BS774" i="4" s="1"/>
  <c r="CC284" i="4"/>
  <c r="CD284" i="4" s="1"/>
  <c r="CD285" i="4" s="1"/>
  <c r="BT773" i="4"/>
  <c r="BT774" i="4" s="1"/>
  <c r="BT770" i="4"/>
  <c r="CL183" i="4"/>
  <c r="CM183" i="4" s="1"/>
  <c r="CM184" i="4" s="1"/>
  <c r="CN184" i="4" s="1"/>
  <c r="CN183" i="4" s="1"/>
  <c r="CI188" i="4"/>
  <c r="CJ188" i="4" s="1"/>
  <c r="CI217" i="4"/>
  <c r="CI218" i="4" s="1"/>
  <c r="CG580" i="4"/>
  <c r="CB580" i="4"/>
  <c r="CC580" i="4" s="1"/>
  <c r="BQ432" i="4"/>
  <c r="BR431" i="4"/>
  <c r="BR432" i="4" s="1"/>
  <c r="CH189" i="4"/>
  <c r="EF260" i="2"/>
  <c r="ED213" i="3"/>
  <c r="CV505" i="4"/>
  <c r="CV504" i="4"/>
  <c r="CU266" i="4"/>
  <c r="CV265" i="4"/>
  <c r="CV266" i="4" s="1"/>
  <c r="BU453" i="4"/>
  <c r="BB730" i="4"/>
  <c r="BB933" i="4" s="1"/>
  <c r="BT21" i="4"/>
  <c r="CT207" i="3"/>
  <c r="CS97" i="4"/>
  <c r="D53" i="9" s="1"/>
  <c r="BS771" i="4"/>
  <c r="BW335" i="4"/>
  <c r="DA99" i="4"/>
  <c r="CX173" i="4"/>
  <c r="CY99" i="4"/>
  <c r="CY100" i="4" s="1"/>
  <c r="CX745" i="4"/>
  <c r="BC878" i="4"/>
  <c r="BC879" i="4" s="1"/>
  <c r="BR130" i="4"/>
  <c r="BO150" i="3"/>
  <c r="BO152" i="3" s="1"/>
  <c r="BW464" i="4"/>
  <c r="BX313" i="4"/>
  <c r="BX315" i="4" s="1"/>
  <c r="BQ348" i="4"/>
  <c r="BQ471" i="4"/>
  <c r="BQ475" i="4" s="1"/>
  <c r="BQ476" i="4" s="1"/>
  <c r="BR347" i="4"/>
  <c r="BR348" i="4" s="1"/>
  <c r="DB255" i="2"/>
  <c r="W52" i="9" s="1"/>
  <c r="DC256" i="2"/>
  <c r="DA256" i="2"/>
  <c r="DC273" i="2"/>
  <c r="DA273" i="2"/>
  <c r="AA385" i="2"/>
  <c r="AA396" i="2"/>
  <c r="CK188" i="4"/>
  <c r="CC332" i="4"/>
  <c r="CC334" i="4" s="1"/>
  <c r="CC337" i="4"/>
  <c r="CC339" i="4" s="1"/>
  <c r="CC450" i="4" s="1"/>
  <c r="CC261" i="4"/>
  <c r="BT431" i="4"/>
  <c r="BT432" i="4" s="1"/>
  <c r="BT329" i="4"/>
  <c r="BT326" i="4"/>
  <c r="BM152" i="3"/>
  <c r="BN150" i="3" s="1"/>
  <c r="BY416" i="4"/>
  <c r="BY433" i="4"/>
  <c r="BY403" i="4"/>
  <c r="EQ133" i="3"/>
  <c r="ET133" i="3" s="1"/>
  <c r="CO221" i="2"/>
  <c r="CP222" i="2"/>
  <c r="CO222" i="2" s="1"/>
  <c r="BV434" i="4"/>
  <c r="BS66" i="4"/>
  <c r="BS56" i="4"/>
  <c r="BB680" i="4"/>
  <c r="BB722" i="4" s="1"/>
  <c r="BB925" i="4" s="1"/>
  <c r="BB674" i="4"/>
  <c r="BB716" i="4" s="1"/>
  <c r="BB919" i="4" s="1"/>
  <c r="BZ23" i="4"/>
  <c r="BZ119" i="4"/>
  <c r="CD364" i="4"/>
  <c r="CD367" i="4"/>
  <c r="CL175" i="4"/>
  <c r="CI178" i="4"/>
  <c r="BD754" i="4"/>
  <c r="BE751" i="4"/>
  <c r="BX307" i="4"/>
  <c r="BX306" i="4"/>
  <c r="BW421" i="4"/>
  <c r="BT430" i="4"/>
  <c r="BS448" i="4"/>
  <c r="BU248" i="4"/>
  <c r="BS139" i="4"/>
  <c r="CE579" i="4"/>
  <c r="CF579" i="4" s="1"/>
  <c r="CJ579" i="4"/>
  <c r="BY31" i="4"/>
  <c r="BV23" i="4"/>
  <c r="BV119" i="4"/>
  <c r="BV127" i="4"/>
  <c r="BX118" i="4"/>
  <c r="BX119" i="4" s="1"/>
  <c r="BE819" i="4"/>
  <c r="BF813" i="4"/>
  <c r="BF819" i="4" s="1"/>
  <c r="BW444" i="4"/>
  <c r="BW445" i="4" s="1"/>
  <c r="BW439" i="4"/>
  <c r="BB957" i="4"/>
  <c r="CG217" i="4"/>
  <c r="CE218" i="4"/>
  <c r="CG218" i="4" s="1"/>
  <c r="CE220" i="4"/>
  <c r="CB390" i="4"/>
  <c r="CB402" i="4"/>
  <c r="BB740" i="4"/>
  <c r="BB786" i="4" s="1"/>
  <c r="BB949" i="4"/>
  <c r="BB913" i="4"/>
  <c r="BV451" i="4"/>
  <c r="BX450" i="4"/>
  <c r="AZ903" i="4"/>
  <c r="Y142" i="2"/>
  <c r="Y143" i="2" s="1"/>
  <c r="Y146" i="2" s="1"/>
  <c r="W142" i="2"/>
  <c r="W143" i="2" s="1"/>
  <c r="W146" i="2" s="1"/>
  <c r="X142" i="2" s="1"/>
  <c r="X143" i="2" s="1"/>
  <c r="X146" i="2" s="1"/>
  <c r="BS474" i="4"/>
  <c r="BF753" i="4"/>
  <c r="BD882" i="4"/>
  <c r="CG855" i="4"/>
  <c r="CE855" i="4" s="1"/>
  <c r="CF855" i="4" s="1"/>
  <c r="BZ438" i="4"/>
  <c r="BV243" i="4"/>
  <c r="BX241" i="4"/>
  <c r="BX242" i="4" s="1"/>
  <c r="CN275" i="4"/>
  <c r="CK280" i="4"/>
  <c r="CK282" i="4" s="1"/>
  <c r="CT356" i="4"/>
  <c r="CQ359" i="4"/>
  <c r="BE866" i="4"/>
  <c r="BY422" i="4"/>
  <c r="BY344" i="4"/>
  <c r="BY263" i="4"/>
  <c r="BY16" i="4"/>
  <c r="EC133" i="3"/>
  <c r="ED133" i="3"/>
  <c r="EA132" i="3"/>
  <c r="CC209" i="4"/>
  <c r="CC118" i="4"/>
  <c r="CC181" i="4"/>
  <c r="DA356" i="4"/>
  <c r="DB268" i="2"/>
  <c r="CZ266" i="2"/>
  <c r="BX463" i="4"/>
  <c r="BV464" i="4"/>
  <c r="BA734" i="4"/>
  <c r="BA780" i="4" s="1"/>
  <c r="BA937" i="4"/>
  <c r="BA901" i="4"/>
  <c r="BA949" i="4"/>
  <c r="BA740" i="4"/>
  <c r="BA786" i="4" s="1"/>
  <c r="BA913" i="4"/>
  <c r="BQ20" i="4"/>
  <c r="BR20" i="4" s="1"/>
  <c r="BQ64" i="4"/>
  <c r="BQ21" i="4"/>
  <c r="BR21" i="4" s="1"/>
  <c r="BQ29" i="4"/>
  <c r="CH307" i="4"/>
  <c r="CH309" i="4" s="1"/>
  <c r="CH312" i="4" s="1"/>
  <c r="CH306" i="4"/>
  <c r="BQ644" i="4"/>
  <c r="BF483" i="2"/>
  <c r="BF484" i="2" s="1"/>
  <c r="BQ470" i="4"/>
  <c r="CB179" i="4"/>
  <c r="CB180" i="4"/>
  <c r="CB168" i="4"/>
  <c r="CD178" i="4"/>
  <c r="BS421" i="4"/>
  <c r="BU420" i="4"/>
  <c r="BU421" i="4" s="1"/>
  <c r="BS426" i="4"/>
  <c r="CW267" i="4"/>
  <c r="CT270" i="4"/>
  <c r="CC389" i="4"/>
  <c r="CD389" i="4" s="1"/>
  <c r="CD390" i="4" s="1"/>
  <c r="CC367" i="4"/>
  <c r="CC351" i="4"/>
  <c r="CD351" i="4" s="1"/>
  <c r="CD352" i="4" s="1"/>
  <c r="EP247" i="4"/>
  <c r="ES247" i="4" s="1"/>
  <c r="BE483" i="2"/>
  <c r="BE484" i="2" s="1"/>
  <c r="BB697" i="4"/>
  <c r="BB930" i="4"/>
  <c r="BE889" i="4"/>
  <c r="BV93" i="3"/>
  <c r="BW238" i="4"/>
  <c r="BW429" i="4"/>
  <c r="BW256" i="4"/>
  <c r="BM652" i="4"/>
  <c r="CB413" i="4"/>
  <c r="CB352" i="4"/>
  <c r="CB17" i="4"/>
  <c r="CB424" i="4"/>
  <c r="CB405" i="4"/>
  <c r="CB409" i="4"/>
  <c r="CJ643" i="4"/>
  <c r="AG226" i="2"/>
  <c r="AK224" i="2"/>
  <c r="AK226" i="2" s="1"/>
  <c r="AI224" i="2"/>
  <c r="AI226" i="2" s="1"/>
  <c r="AJ224" i="2" s="1"/>
  <c r="BG871" i="4"/>
  <c r="DQ22" i="2"/>
  <c r="L17" i="9" s="1"/>
  <c r="BC686" i="4"/>
  <c r="AY943" i="4"/>
  <c r="AY945" i="4" s="1"/>
  <c r="AY734" i="4"/>
  <c r="AY937" i="4"/>
  <c r="AY901" i="4"/>
  <c r="AY700" i="4"/>
  <c r="BI810" i="4"/>
  <c r="BH816" i="4"/>
  <c r="BP439" i="4"/>
  <c r="BR438" i="4"/>
  <c r="BR439" i="4" s="1"/>
  <c r="BP444" i="4"/>
  <c r="BY442" i="4"/>
  <c r="EC75" i="3"/>
  <c r="BO693" i="4"/>
  <c r="BD860" i="4"/>
  <c r="BC956" i="4"/>
  <c r="T410" i="2"/>
  <c r="T411" i="2"/>
  <c r="V416" i="2"/>
  <c r="T409" i="2"/>
  <c r="T397" i="2" s="1"/>
  <c r="BA739" i="4"/>
  <c r="BA785" i="4" s="1"/>
  <c r="BA948" i="4"/>
  <c r="BA712" i="4"/>
  <c r="BA912" i="4"/>
  <c r="BD625" i="4"/>
  <c r="BD637" i="4"/>
  <c r="BD685" i="4" s="1"/>
  <c r="CX266" i="2"/>
  <c r="CY614" i="2"/>
  <c r="CY185" i="2"/>
  <c r="V28" i="9" s="1"/>
  <c r="BX413" i="4"/>
  <c r="BX414" i="4" s="1"/>
  <c r="CJ271" i="4"/>
  <c r="CJ267" i="4"/>
  <c r="CJ268" i="4" s="1"/>
  <c r="CH387" i="4"/>
  <c r="BV431" i="4"/>
  <c r="BV329" i="4"/>
  <c r="BD876" i="4"/>
  <c r="BC628" i="4"/>
  <c r="BU23" i="4"/>
  <c r="BU36" i="4" s="1"/>
  <c r="BS26" i="4"/>
  <c r="BS36" i="4"/>
  <c r="BZ390" i="4"/>
  <c r="BZ402" i="4"/>
  <c r="CA402" i="4" s="1"/>
  <c r="CA403" i="4" s="1"/>
  <c r="EG293" i="2"/>
  <c r="EI293" i="2" s="1"/>
  <c r="EE293" i="2"/>
  <c r="CR267" i="4"/>
  <c r="CO270" i="4"/>
  <c r="BB670" i="4"/>
  <c r="BC670" i="4" s="1"/>
  <c r="BB709" i="4"/>
  <c r="CN69" i="3"/>
  <c r="CK70" i="2"/>
  <c r="BX645" i="4"/>
  <c r="BC867" i="4"/>
  <c r="BY315" i="4"/>
  <c r="BY328" i="4"/>
  <c r="BY326" i="4" s="1"/>
  <c r="CD383" i="4"/>
  <c r="CD386" i="4"/>
  <c r="BP650" i="4"/>
  <c r="BD619" i="4"/>
  <c r="BD631" i="4"/>
  <c r="CL383" i="4"/>
  <c r="CN383" i="4"/>
  <c r="CK386" i="4"/>
  <c r="CK213" i="4"/>
  <c r="CK305" i="4"/>
  <c r="BB715" i="4"/>
  <c r="BW297" i="2"/>
  <c r="BW91" i="3" s="1"/>
  <c r="BW93" i="3" s="1"/>
  <c r="BX91" i="3"/>
  <c r="CA179" i="4"/>
  <c r="CA175" i="4"/>
  <c r="CA176" i="4" s="1"/>
  <c r="DO221" i="2"/>
  <c r="DO225" i="3"/>
  <c r="BM752" i="4"/>
  <c r="CA300" i="2"/>
  <c r="BY297" i="2"/>
  <c r="BU15" i="4"/>
  <c r="BU29" i="4" s="1"/>
  <c r="BS29" i="4"/>
  <c r="BS20" i="4"/>
  <c r="BS21" i="4"/>
  <c r="CQ272" i="4"/>
  <c r="CQ300" i="4"/>
  <c r="CQ302" i="4" s="1"/>
  <c r="CQ271" i="4"/>
  <c r="BV417" i="4"/>
  <c r="BV45" i="4"/>
  <c r="BV473" i="4"/>
  <c r="BY246" i="4"/>
  <c r="BY241" i="4"/>
  <c r="BY169" i="4"/>
  <c r="CA168" i="4"/>
  <c r="CA169" i="4" s="1"/>
  <c r="CA364" i="4"/>
  <c r="CA365" i="4" s="1"/>
  <c r="CA367" i="4"/>
  <c r="BE872" i="4"/>
  <c r="BC894" i="4"/>
  <c r="BC728" i="4"/>
  <c r="BC931" i="4" s="1"/>
  <c r="BA931" i="4"/>
  <c r="BG515" i="2"/>
  <c r="BH514" i="2"/>
  <c r="BW459" i="4"/>
  <c r="BW251" i="4"/>
  <c r="BW252" i="4" s="1"/>
  <c r="DC374" i="2"/>
  <c r="DE374" i="2"/>
  <c r="DB384" i="2"/>
  <c r="DB154" i="3"/>
  <c r="DB566" i="2"/>
  <c r="DB91" i="2"/>
  <c r="BG812" i="4"/>
  <c r="BH811" i="4"/>
  <c r="BG817" i="4"/>
  <c r="BG883" i="4" s="1"/>
  <c r="BY463" i="4"/>
  <c r="DN22" i="2"/>
  <c r="K17" i="9" s="1"/>
  <c r="BX170" i="4"/>
  <c r="BX171" i="4" s="1"/>
  <c r="BV15" i="4"/>
  <c r="BV253" i="4"/>
  <c r="BV171" i="4"/>
  <c r="BV420" i="4"/>
  <c r="DI469" i="2"/>
  <c r="DJ469" i="2" s="1"/>
  <c r="DK469" i="2" s="1"/>
  <c r="BC667" i="4"/>
  <c r="BC709" i="4" s="1"/>
  <c r="BE589" i="4"/>
  <c r="BE583" i="4" s="1"/>
  <c r="BF567" i="4"/>
  <c r="DT91" i="3"/>
  <c r="DS297" i="2"/>
  <c r="DS91" i="3" s="1"/>
  <c r="DS93" i="3" s="1"/>
  <c r="DR93" i="3"/>
  <c r="BU127" i="4"/>
  <c r="CA390" i="4"/>
  <c r="CH175" i="4"/>
  <c r="BX402" i="4"/>
  <c r="BX403" i="4" s="1"/>
  <c r="BW136" i="4"/>
  <c r="BW137" i="4" s="1"/>
  <c r="G400" i="2"/>
  <c r="CL272" i="4"/>
  <c r="CL271" i="4"/>
  <c r="CM270" i="4"/>
  <c r="BV423" i="4"/>
  <c r="EG78" i="4"/>
  <c r="EE79" i="4"/>
  <c r="EP254" i="4"/>
  <c r="EQ254" i="4"/>
  <c r="CN301" i="4"/>
  <c r="CN273" i="4"/>
  <c r="CB285" i="4"/>
  <c r="CB313" i="4"/>
  <c r="CB124" i="4"/>
  <c r="CB262" i="4"/>
  <c r="BG865" i="4"/>
  <c r="BD888" i="4"/>
  <c r="BC930" i="4"/>
  <c r="BC954" i="4"/>
  <c r="BD858" i="4"/>
  <c r="BC861" i="4"/>
  <c r="BZ448" i="4"/>
  <c r="DU123" i="3"/>
  <c r="CF179" i="4"/>
  <c r="CF180" i="4"/>
  <c r="CF168" i="4"/>
  <c r="CF208" i="4"/>
  <c r="BS432" i="4"/>
  <c r="BP455" i="2"/>
  <c r="BQ149" i="3"/>
  <c r="BP148" i="3"/>
  <c r="BP480" i="2"/>
  <c r="DA82" i="4"/>
  <c r="DB81" i="4"/>
  <c r="CK380" i="4"/>
  <c r="DO365" i="2"/>
  <c r="DO366" i="2"/>
  <c r="DO224" i="3" s="1"/>
  <c r="BK152" i="3"/>
  <c r="BR251" i="4"/>
  <c r="BP252" i="4"/>
  <c r="CB339" i="4"/>
  <c r="BW235" i="4"/>
  <c r="CX566" i="2"/>
  <c r="CX384" i="2"/>
  <c r="CH86" i="2"/>
  <c r="CH460" i="2"/>
  <c r="CH464" i="2" s="1"/>
  <c r="CK362" i="4"/>
  <c r="CH366" i="4"/>
  <c r="AY919" i="4"/>
  <c r="AY718" i="4"/>
  <c r="BH692" i="4"/>
  <c r="DH270" i="2"/>
  <c r="BW128" i="4"/>
  <c r="DZ132" i="3"/>
  <c r="DM365" i="2"/>
  <c r="DM366" i="2"/>
  <c r="DM224" i="3" s="1"/>
  <c r="CE337" i="4"/>
  <c r="CE261" i="4"/>
  <c r="CE332" i="4"/>
  <c r="BI498" i="2"/>
  <c r="BH497" i="2"/>
  <c r="BH500" i="2"/>
  <c r="BH499" i="2"/>
  <c r="BH504" i="2"/>
  <c r="BS438" i="4"/>
  <c r="BS244" i="4"/>
  <c r="BU243" i="4"/>
  <c r="BU244" i="4" s="1"/>
  <c r="BS136" i="4"/>
  <c r="DU297" i="2"/>
  <c r="CG578" i="4"/>
  <c r="CB578" i="4"/>
  <c r="CC578" i="4" s="1"/>
  <c r="BY91" i="2"/>
  <c r="BY156" i="2"/>
  <c r="BY5" i="3"/>
  <c r="BY11" i="3" s="1"/>
  <c r="BY173" i="2"/>
  <c r="BY344" i="2"/>
  <c r="BY202" i="3"/>
  <c r="BZ90" i="2"/>
  <c r="BE877" i="4"/>
  <c r="BD895" i="4"/>
  <c r="CH214" i="4"/>
  <c r="CH215" i="4"/>
  <c r="CH217" i="4" s="1"/>
  <c r="BT45" i="4"/>
  <c r="BU45" i="4" s="1"/>
  <c r="BT417" i="4"/>
  <c r="BT473" i="4"/>
  <c r="BT474" i="4" s="1"/>
  <c r="BY440" i="4"/>
  <c r="BY335" i="4"/>
  <c r="CA334" i="4"/>
  <c r="CA221" i="4"/>
  <c r="BK483" i="2"/>
  <c r="BK484" i="2" s="1"/>
  <c r="DS178" i="3"/>
  <c r="DT178" i="3" s="1"/>
  <c r="DR190" i="2"/>
  <c r="CI362" i="4"/>
  <c r="CJ362" i="4" s="1"/>
  <c r="CJ363" i="4" s="1"/>
  <c r="CF387" i="4"/>
  <c r="CG387" i="4" s="1"/>
  <c r="CF366" i="4"/>
  <c r="CG366" i="4" s="1"/>
  <c r="BV30" i="4"/>
  <c r="EA292" i="2"/>
  <c r="EC292" i="2" s="1"/>
  <c r="DY292" i="2"/>
  <c r="CA180" i="4"/>
  <c r="CA181" i="4" s="1"/>
  <c r="BY118" i="4"/>
  <c r="BY181" i="4"/>
  <c r="BY170" i="4"/>
  <c r="BX442" i="4"/>
  <c r="BV443" i="4"/>
  <c r="BS471" i="4"/>
  <c r="BS348" i="4"/>
  <c r="BS44" i="4"/>
  <c r="CF70" i="2"/>
  <c r="CF460" i="2" s="1"/>
  <c r="CF464" i="2" s="1"/>
  <c r="CG456" i="2"/>
  <c r="CG460" i="2"/>
  <c r="CG464" i="2" s="1"/>
  <c r="CM360" i="4"/>
  <c r="CM356" i="4"/>
  <c r="DM277" i="4"/>
  <c r="CB222" i="4"/>
  <c r="CB221" i="4"/>
  <c r="CD220" i="4"/>
  <c r="CD222" i="4" s="1"/>
  <c r="BW36" i="4"/>
  <c r="BO651" i="4"/>
  <c r="BV142" i="2"/>
  <c r="BV143" i="2" s="1"/>
  <c r="BV146" i="2" s="1"/>
  <c r="BW142" i="2" s="1"/>
  <c r="BW143" i="2" s="1"/>
  <c r="BW146" i="2" s="1"/>
  <c r="BX142" i="2"/>
  <c r="BX143" i="2" s="1"/>
  <c r="BX146" i="2" s="1"/>
  <c r="DP190" i="2"/>
  <c r="AZ736" i="4"/>
  <c r="AZ782" i="4" s="1"/>
  <c r="AZ779" i="4"/>
  <c r="BV342" i="4"/>
  <c r="BV461" i="4"/>
  <c r="BV441" i="4"/>
  <c r="BX440" i="4"/>
  <c r="BP460" i="4"/>
  <c r="BP465" i="4"/>
  <c r="BR459" i="4"/>
  <c r="BR460" i="4" s="1"/>
  <c r="AZ483" i="2"/>
  <c r="AZ484" i="2" s="1"/>
  <c r="BX214" i="4"/>
  <c r="BX215" i="4"/>
  <c r="BE568" i="4"/>
  <c r="BD590" i="4"/>
  <c r="BD584" i="4" s="1"/>
  <c r="ED338" i="4"/>
  <c r="BS343" i="4"/>
  <c r="BO649" i="4"/>
  <c r="BY452" i="4"/>
  <c r="CH281" i="4"/>
  <c r="CH260" i="4"/>
  <c r="DT215" i="3"/>
  <c r="BB906" i="4"/>
  <c r="DC416" i="2"/>
  <c r="ED73" i="3"/>
  <c r="ED75" i="3" s="1"/>
  <c r="EF278" i="2"/>
  <c r="DE224" i="2"/>
  <c r="DE226" i="2" s="1"/>
  <c r="DC224" i="2"/>
  <c r="DC226" i="2" s="1"/>
  <c r="DD224" i="2" s="1"/>
  <c r="DA226" i="2"/>
  <c r="BV453" i="4"/>
  <c r="BX452" i="4"/>
  <c r="DC209" i="3"/>
  <c r="DE209" i="3" s="1"/>
  <c r="DD209" i="3" s="1"/>
  <c r="DA209" i="3"/>
  <c r="CE284" i="4"/>
  <c r="CB90" i="2"/>
  <c r="CC85" i="2"/>
  <c r="S397" i="2"/>
  <c r="S398" i="2" s="1"/>
  <c r="R409" i="2"/>
  <c r="R397" i="2" s="1"/>
  <c r="BN842" i="4"/>
  <c r="BM824" i="4"/>
  <c r="BM842" i="4" s="1"/>
  <c r="BD870" i="4"/>
  <c r="BC873" i="4"/>
  <c r="DZ255" i="2"/>
  <c r="AE52" i="9" s="1"/>
  <c r="DY256" i="2"/>
  <c r="EA256" i="2"/>
  <c r="BY450" i="4"/>
  <c r="CA339" i="4"/>
  <c r="EP375" i="4"/>
  <c r="ES375" i="4" s="1"/>
  <c r="CA305" i="4"/>
  <c r="CA384" i="4"/>
  <c r="CA213" i="4"/>
  <c r="BB634" i="4"/>
  <c r="BB682" i="4" s="1"/>
  <c r="BV38" i="4"/>
  <c r="BL483" i="2"/>
  <c r="BL484" i="2" s="1"/>
  <c r="BW403" i="4"/>
  <c r="BW433" i="4"/>
  <c r="BW434" i="4" s="1"/>
  <c r="BW416" i="4"/>
  <c r="BS251" i="4"/>
  <c r="BS459" i="4"/>
  <c r="BS146" i="4"/>
  <c r="BU253" i="4"/>
  <c r="BR426" i="4"/>
  <c r="BP427" i="4"/>
  <c r="EO286" i="2"/>
  <c r="EQ247" i="4"/>
  <c r="ET247" i="4" s="1"/>
  <c r="BC619" i="4"/>
  <c r="BC631" i="4"/>
  <c r="BA730" i="4"/>
  <c r="BW449" i="4"/>
  <c r="BW454" i="4"/>
  <c r="BZ210" i="4"/>
  <c r="BZ237" i="4"/>
  <c r="BU433" i="4"/>
  <c r="BU434" i="4" s="1"/>
  <c r="CB855" i="4"/>
  <c r="CC855" i="4" s="1"/>
  <c r="DK202" i="3"/>
  <c r="DJ213" i="2"/>
  <c r="DJ202" i="3" s="1"/>
  <c r="CP834" i="4"/>
  <c r="CN834" i="4" s="1"/>
  <c r="CO834" i="4" s="1"/>
  <c r="BV248" i="4"/>
  <c r="BX246" i="4"/>
  <c r="BX247" i="4" s="1"/>
  <c r="CM69" i="3"/>
  <c r="CJ70" i="2"/>
  <c r="CI69" i="3"/>
  <c r="DS294" i="2"/>
  <c r="DU294" i="2"/>
  <c r="DW294" i="2" s="1"/>
  <c r="DX294" i="2" s="1"/>
  <c r="DX290" i="2" s="1"/>
  <c r="DX304" i="2" s="1"/>
  <c r="CB334" i="4"/>
  <c r="BW29" i="4"/>
  <c r="CD854" i="4"/>
  <c r="BS462" i="4"/>
  <c r="BY400" i="4"/>
  <c r="BY425" i="4"/>
  <c r="CE389" i="4"/>
  <c r="CE367" i="4"/>
  <c r="CE351" i="4"/>
  <c r="BA733" i="4"/>
  <c r="BA936" i="4"/>
  <c r="BA900" i="4"/>
  <c r="CN360" i="4"/>
  <c r="CN379" i="4"/>
  <c r="CP359" i="4"/>
  <c r="ER626" i="2"/>
  <c r="EQ321" i="2"/>
  <c r="EQ626" i="2" s="1"/>
  <c r="CE85" i="2"/>
  <c r="CF86" i="2"/>
  <c r="BD864" i="4"/>
  <c r="AY483" i="2"/>
  <c r="AY484" i="2" s="1"/>
  <c r="BY125" i="4"/>
  <c r="BY25" i="4"/>
  <c r="CE310" i="4"/>
  <c r="CG310" i="4" s="1"/>
  <c r="CG309" i="4"/>
  <c r="CC246" i="4"/>
  <c r="CC248" i="4" s="1"/>
  <c r="CC169" i="4"/>
  <c r="CC241" i="4"/>
  <c r="CC243" i="4" s="1"/>
  <c r="BX17" i="4"/>
  <c r="BX31" i="4" s="1"/>
  <c r="CC299" i="2"/>
  <c r="CE299" i="2"/>
  <c r="BQ824" i="4"/>
  <c r="BU824" i="4"/>
  <c r="BR842" i="4"/>
  <c r="CG836" i="4"/>
  <c r="CE836" i="4" s="1"/>
  <c r="CF836" i="4" s="1"/>
  <c r="BO691" i="4"/>
  <c r="BA918" i="4"/>
  <c r="BC668" i="4"/>
  <c r="BC710" i="4" s="1"/>
  <c r="BP68" i="4"/>
  <c r="BP3" i="4"/>
  <c r="BP72" i="4"/>
  <c r="BP34" i="4"/>
  <c r="BP70" i="4"/>
  <c r="BP30" i="2"/>
  <c r="BP71" i="4"/>
  <c r="BB688" i="4"/>
  <c r="CI273" i="4"/>
  <c r="CJ272" i="4"/>
  <c r="CJ273" i="4" s="1"/>
  <c r="BT29" i="4"/>
  <c r="BZ352" i="4"/>
  <c r="BZ424" i="4"/>
  <c r="BZ425" i="4" s="1"/>
  <c r="BZ17" i="4"/>
  <c r="BZ31" i="4" s="1"/>
  <c r="BZ413" i="4"/>
  <c r="BZ463" i="4" s="1"/>
  <c r="BZ405" i="4"/>
  <c r="BZ442" i="4" s="1"/>
  <c r="BZ409" i="4"/>
  <c r="BZ452" i="4" s="1"/>
  <c r="BP449" i="4"/>
  <c r="BR448" i="4"/>
  <c r="BR449" i="4" s="1"/>
  <c r="BP454" i="4"/>
  <c r="BP828" i="4" l="1"/>
  <c r="BP829" i="4" s="1"/>
  <c r="BP830" i="4" s="1"/>
  <c r="BP831" i="4" s="1"/>
  <c r="DX277" i="4"/>
  <c r="EA277" i="4" s="1"/>
  <c r="ED277" i="4" s="1"/>
  <c r="EG277" i="4" s="1"/>
  <c r="EJ277" i="4" s="1"/>
  <c r="EM277" i="4" s="1"/>
  <c r="EP277" i="4" s="1"/>
  <c r="ES277" i="4" s="1"/>
  <c r="EV277" i="4" s="1"/>
  <c r="EY277" i="4" s="1"/>
  <c r="EE88" i="4"/>
  <c r="EF87" i="4"/>
  <c r="EE84" i="4"/>
  <c r="ED85" i="4"/>
  <c r="DV274" i="2"/>
  <c r="DX274" i="2"/>
  <c r="DZ274" i="2" s="1"/>
  <c r="P66" i="9"/>
  <c r="AD58" i="9"/>
  <c r="EZ61" i="4"/>
  <c r="FA159" i="4"/>
  <c r="EY50" i="4"/>
  <c r="EW272" i="2"/>
  <c r="EY272" i="2"/>
  <c r="FA272" i="2" s="1"/>
  <c r="EZ272" i="2" s="1"/>
  <c r="DV264" i="2"/>
  <c r="EM409" i="2"/>
  <c r="EO409" i="2" s="1"/>
  <c r="EK409" i="2"/>
  <c r="DV294" i="2"/>
  <c r="DW290" i="2"/>
  <c r="EC48" i="4"/>
  <c r="BX773" i="4"/>
  <c r="BX774" i="4" s="1"/>
  <c r="BX771" i="4"/>
  <c r="D52" i="9"/>
  <c r="BZ760" i="4"/>
  <c r="BZ768" i="4" s="1"/>
  <c r="BZ773" i="4" s="1"/>
  <c r="BY769" i="4"/>
  <c r="BZ769" i="4"/>
  <c r="BY757" i="4"/>
  <c r="BY765" i="4" s="1"/>
  <c r="BZ759" i="4"/>
  <c r="BZ767" i="4" s="1"/>
  <c r="BZ758" i="4"/>
  <c r="BZ766" i="4" s="1"/>
  <c r="BY758" i="4"/>
  <c r="BY766" i="4" s="1"/>
  <c r="BY759" i="4"/>
  <c r="BY767" i="4" s="1"/>
  <c r="CG853" i="4"/>
  <c r="CE853" i="4" s="1"/>
  <c r="CF853" i="4" s="1"/>
  <c r="CA768" i="4"/>
  <c r="CA770" i="4" s="1"/>
  <c r="BW768" i="4"/>
  <c r="BW770" i="4" s="1"/>
  <c r="CA124" i="4"/>
  <c r="CA125" i="4" s="1"/>
  <c r="BV210" i="4"/>
  <c r="BV237" i="4"/>
  <c r="BV256" i="4" s="1"/>
  <c r="BU210" i="4"/>
  <c r="BU237" i="4"/>
  <c r="BU238" i="4" s="1"/>
  <c r="BS235" i="4"/>
  <c r="BS130" i="4" s="1"/>
  <c r="BS133" i="4" s="1"/>
  <c r="BS149" i="4" s="1"/>
  <c r="BS429" i="4"/>
  <c r="BS435" i="4" s="1"/>
  <c r="BP333" i="2"/>
  <c r="BP56" i="2"/>
  <c r="CB761" i="4"/>
  <c r="CB757" i="4" s="1"/>
  <c r="CB765" i="4" s="1"/>
  <c r="CD757" i="4"/>
  <c r="CD765" i="4" s="1"/>
  <c r="CD760" i="4"/>
  <c r="CD768" i="4" s="1"/>
  <c r="CG761" i="4"/>
  <c r="CG760" i="4" s="1"/>
  <c r="CD759" i="4"/>
  <c r="CD767" i="4" s="1"/>
  <c r="CD769" i="4"/>
  <c r="CD758" i="4"/>
  <c r="CD766" i="4" s="1"/>
  <c r="BV762" i="4"/>
  <c r="BC632" i="4"/>
  <c r="BC680" i="4" s="1"/>
  <c r="BC722" i="4" s="1"/>
  <c r="BC925" i="4" s="1"/>
  <c r="BC586" i="4"/>
  <c r="BP430" i="4"/>
  <c r="BS352" i="2"/>
  <c r="BS24" i="2" s="1"/>
  <c r="BT226" i="3"/>
  <c r="BQ24" i="2"/>
  <c r="BR352" i="2"/>
  <c r="BR24" i="2" s="1"/>
  <c r="CD271" i="2"/>
  <c r="CB269" i="2"/>
  <c r="CJ298" i="4"/>
  <c r="CJ295" i="4" s="1"/>
  <c r="CJ296" i="4" s="1"/>
  <c r="CI299" i="4"/>
  <c r="CI300" i="4"/>
  <c r="BX479" i="2"/>
  <c r="BW74" i="2"/>
  <c r="BX72" i="2"/>
  <c r="BX619" i="2"/>
  <c r="BX621" i="2" s="1"/>
  <c r="CI380" i="4"/>
  <c r="CJ379" i="4"/>
  <c r="CJ380" i="4" s="1"/>
  <c r="BQ170" i="2"/>
  <c r="BQ617" i="2"/>
  <c r="BQ622" i="2" s="1"/>
  <c r="BQ152" i="2"/>
  <c r="CR375" i="4"/>
  <c r="CO203" i="4"/>
  <c r="CO295" i="4"/>
  <c r="CO378" i="4"/>
  <c r="CF302" i="4"/>
  <c r="CG300" i="4"/>
  <c r="CG302" i="4" s="1"/>
  <c r="BO187" i="2"/>
  <c r="BN187" i="2" s="1"/>
  <c r="BN184" i="2"/>
  <c r="CS208" i="3"/>
  <c r="CQ206" i="3"/>
  <c r="CA77" i="2"/>
  <c r="BY74" i="2"/>
  <c r="BP503" i="2"/>
  <c r="BP184" i="2"/>
  <c r="BP187" i="2" s="1"/>
  <c r="CM378" i="4"/>
  <c r="CM375" i="4" s="1"/>
  <c r="CM376" i="4" s="1"/>
  <c r="CL379" i="4"/>
  <c r="CG299" i="4"/>
  <c r="CF301" i="4"/>
  <c r="CG301" i="4" s="1"/>
  <c r="CA64" i="3"/>
  <c r="BZ269" i="2"/>
  <c r="BZ64" i="3" s="1"/>
  <c r="BZ66" i="3" s="1"/>
  <c r="BV331" i="2"/>
  <c r="BV154" i="2"/>
  <c r="BV178" i="2"/>
  <c r="BV4" i="3"/>
  <c r="BV10" i="3" s="1"/>
  <c r="BV172" i="2"/>
  <c r="BV68" i="2"/>
  <c r="BV343" i="2"/>
  <c r="CL296" i="4"/>
  <c r="CL298" i="4"/>
  <c r="CK296" i="2"/>
  <c r="CM296" i="2" s="1"/>
  <c r="CI296" i="2"/>
  <c r="CI206" i="4"/>
  <c r="CJ206" i="4" s="1"/>
  <c r="CJ205" i="4"/>
  <c r="CJ203" i="4" s="1"/>
  <c r="BS55" i="2"/>
  <c r="BS617" i="2"/>
  <c r="BS622" i="2" s="1"/>
  <c r="BS170" i="2"/>
  <c r="BS152" i="2"/>
  <c r="BR180" i="2"/>
  <c r="BR151" i="2"/>
  <c r="BQ55" i="2"/>
  <c r="BU60" i="2"/>
  <c r="BT68" i="2"/>
  <c r="BU153" i="2"/>
  <c r="BT4" i="3"/>
  <c r="BT10" i="3" s="1"/>
  <c r="BT172" i="2"/>
  <c r="BT331" i="2"/>
  <c r="BT176" i="2"/>
  <c r="BT154" i="2"/>
  <c r="CL204" i="4"/>
  <c r="CL205" i="4"/>
  <c r="EC32" i="4"/>
  <c r="EF32" i="4"/>
  <c r="CJ19" i="4"/>
  <c r="CJ33" i="4" s="1"/>
  <c r="CI33" i="4"/>
  <c r="CN280" i="2"/>
  <c r="CP280" i="2" s="1"/>
  <c r="CL280" i="2"/>
  <c r="BP469" i="4"/>
  <c r="BP470" i="4" s="1"/>
  <c r="DK148" i="3"/>
  <c r="DK455" i="2"/>
  <c r="DL149" i="3"/>
  <c r="DP206" i="3"/>
  <c r="BZ253" i="4"/>
  <c r="BZ459" i="4" s="1"/>
  <c r="CK33" i="4"/>
  <c r="CL19" i="4"/>
  <c r="CN19" i="4"/>
  <c r="BT480" i="4"/>
  <c r="BP435" i="4"/>
  <c r="BR435" i="4" s="1"/>
  <c r="BR436" i="4" s="1"/>
  <c r="AU385" i="2"/>
  <c r="AV374" i="2" s="1"/>
  <c r="AU396" i="2"/>
  <c r="CW145" i="2"/>
  <c r="CV145" i="2"/>
  <c r="CU145" i="2" s="1"/>
  <c r="AW396" i="2"/>
  <c r="AW385" i="2"/>
  <c r="CC256" i="2"/>
  <c r="CD255" i="2"/>
  <c r="CE256" i="2"/>
  <c r="BO414" i="2"/>
  <c r="BM415" i="2"/>
  <c r="BZ171" i="4"/>
  <c r="BZ420" i="4"/>
  <c r="BZ421" i="4" s="1"/>
  <c r="BZ244" i="4"/>
  <c r="BX344" i="4"/>
  <c r="CF138" i="2"/>
  <c r="CH138" i="2"/>
  <c r="CG139" i="2"/>
  <c r="CF139" i="2" s="1"/>
  <c r="BN477" i="2"/>
  <c r="BO481" i="2"/>
  <c r="BO482" i="2" s="1"/>
  <c r="BO483" i="2" s="1"/>
  <c r="BO484" i="2" s="1"/>
  <c r="CA292" i="2"/>
  <c r="BY290" i="2"/>
  <c r="BY166" i="2" s="1"/>
  <c r="BW290" i="2"/>
  <c r="BX329" i="2"/>
  <c r="BX327" i="2"/>
  <c r="BX328" i="2"/>
  <c r="BX236" i="3" s="1"/>
  <c r="BX513" i="2"/>
  <c r="BX640" i="2"/>
  <c r="BX120" i="3"/>
  <c r="BX119" i="3" s="1"/>
  <c r="BX166" i="2"/>
  <c r="BR256" i="4"/>
  <c r="BR257" i="4" s="1"/>
  <c r="BZ453" i="4"/>
  <c r="CG281" i="4"/>
  <c r="BZ125" i="4"/>
  <c r="BT456" i="4"/>
  <c r="BS238" i="4"/>
  <c r="BP150" i="3"/>
  <c r="BP152" i="3" s="1"/>
  <c r="BQ150" i="3" s="1"/>
  <c r="BI153" i="3"/>
  <c r="BH153" i="3" s="1"/>
  <c r="EW247" i="4"/>
  <c r="EZ247" i="4" s="1"/>
  <c r="EV247" i="4"/>
  <c r="EY247" i="4" s="1"/>
  <c r="EU50" i="4"/>
  <c r="ES61" i="4"/>
  <c r="EV375" i="4"/>
  <c r="EY375" i="4" s="1"/>
  <c r="ET254" i="4"/>
  <c r="ES254" i="4"/>
  <c r="EW133" i="3"/>
  <c r="EZ133" i="3" s="1"/>
  <c r="EP248" i="2"/>
  <c r="EP33" i="3" s="1"/>
  <c r="ER248" i="2"/>
  <c r="EX159" i="4"/>
  <c r="EV50" i="4"/>
  <c r="ET291" i="2"/>
  <c r="EV291" i="2"/>
  <c r="EX291" i="2" s="1"/>
  <c r="EV296" i="2"/>
  <c r="EX296" i="2" s="1"/>
  <c r="ET296" i="2"/>
  <c r="EQ235" i="2"/>
  <c r="ES235" i="2"/>
  <c r="EU235" i="2"/>
  <c r="EW153" i="3"/>
  <c r="ET321" i="2"/>
  <c r="ET626" i="2" s="1"/>
  <c r="EX321" i="2"/>
  <c r="EV321" i="2"/>
  <c r="EV626" i="2" s="1"/>
  <c r="EV279" i="2"/>
  <c r="EX279" i="2" s="1"/>
  <c r="ET279" i="2"/>
  <c r="EV301" i="2"/>
  <c r="EX301" i="2" s="1"/>
  <c r="ET301" i="2"/>
  <c r="EV281" i="2"/>
  <c r="EX281" i="2" s="1"/>
  <c r="ET281" i="2"/>
  <c r="CF217" i="3"/>
  <c r="CF215" i="3" s="1"/>
  <c r="CG215" i="3"/>
  <c r="CH217" i="3"/>
  <c r="EU626" i="2"/>
  <c r="BB657" i="4"/>
  <c r="BB699" i="4" s="1"/>
  <c r="BB735" i="4" s="1"/>
  <c r="BB781" i="4" s="1"/>
  <c r="BP529" i="2"/>
  <c r="BR413" i="2"/>
  <c r="BP522" i="2"/>
  <c r="BP530" i="2" s="1"/>
  <c r="BN522" i="2"/>
  <c r="BN530" i="2" s="1"/>
  <c r="BN529" i="2"/>
  <c r="DM529" i="2"/>
  <c r="DM522" i="2"/>
  <c r="DM530" i="2" s="1"/>
  <c r="BF153" i="3"/>
  <c r="BE153" i="3" s="1"/>
  <c r="DO529" i="2"/>
  <c r="DQ413" i="2"/>
  <c r="DO522" i="2"/>
  <c r="DO530" i="2" s="1"/>
  <c r="CQ149" i="3"/>
  <c r="CP455" i="2"/>
  <c r="CP148" i="3"/>
  <c r="CN78" i="2"/>
  <c r="CP78" i="2" s="1"/>
  <c r="CL78" i="2"/>
  <c r="AQ397" i="2"/>
  <c r="AQ398" i="2" s="1"/>
  <c r="AP409" i="2"/>
  <c r="AP397" i="2" s="1"/>
  <c r="AN365" i="2"/>
  <c r="AN223" i="3" s="1"/>
  <c r="AN366" i="2"/>
  <c r="AN224" i="3" s="1"/>
  <c r="AN27" i="2"/>
  <c r="AO20" i="2"/>
  <c r="AM11" i="2"/>
  <c r="AM14" i="2"/>
  <c r="AP410" i="2"/>
  <c r="AM20" i="2"/>
  <c r="AN400" i="2"/>
  <c r="AT441" i="2"/>
  <c r="AR410" i="2"/>
  <c r="AR411" i="2"/>
  <c r="AR409" i="2"/>
  <c r="AR397" i="2" s="1"/>
  <c r="AO140" i="2"/>
  <c r="AO141" i="2" s="1"/>
  <c r="AP411" i="2"/>
  <c r="AO11" i="2"/>
  <c r="AO14" i="2"/>
  <c r="CH279" i="2"/>
  <c r="CJ279" i="2" s="1"/>
  <c r="CF279" i="2"/>
  <c r="EJ124" i="3"/>
  <c r="EK124" i="3" s="1"/>
  <c r="EI124" i="3"/>
  <c r="EO33" i="3"/>
  <c r="EO35" i="3" s="1"/>
  <c r="EN248" i="2"/>
  <c r="EN33" i="3" s="1"/>
  <c r="EN35" i="3" s="1"/>
  <c r="EM35" i="3"/>
  <c r="CL225" i="3"/>
  <c r="EG125" i="3"/>
  <c r="EE131" i="3"/>
  <c r="EE132" i="3" s="1"/>
  <c r="EF182" i="2"/>
  <c r="EE182" i="2" s="1"/>
  <c r="EE78" i="2"/>
  <c r="BR150" i="3"/>
  <c r="BR152" i="3" s="1"/>
  <c r="V54" i="9"/>
  <c r="V56" i="9"/>
  <c r="BT487" i="4"/>
  <c r="BZ127" i="4"/>
  <c r="BZ128" i="4" s="1"/>
  <c r="BT484" i="4"/>
  <c r="CK283" i="4"/>
  <c r="CJ280" i="4"/>
  <c r="CJ281" i="4" s="1"/>
  <c r="CI282" i="4"/>
  <c r="CF283" i="4"/>
  <c r="CG282" i="4"/>
  <c r="CG283" i="4" s="1"/>
  <c r="BT43" i="4"/>
  <c r="BT54" i="4" s="1"/>
  <c r="BT257" i="4"/>
  <c r="DS185" i="4"/>
  <c r="DV185" i="4" s="1"/>
  <c r="CW354" i="4"/>
  <c r="CW747" i="4"/>
  <c r="CW748" i="4" s="1"/>
  <c r="CW749" i="4" s="1"/>
  <c r="CW106" i="4"/>
  <c r="CW96" i="4"/>
  <c r="DC108" i="4"/>
  <c r="CZ105" i="4"/>
  <c r="CX108" i="4"/>
  <c r="CV108" i="4"/>
  <c r="CV109" i="4" s="1"/>
  <c r="EJ111" i="4"/>
  <c r="EI111" i="4"/>
  <c r="BX422" i="4"/>
  <c r="BX423" i="4" s="1"/>
  <c r="BX209" i="4"/>
  <c r="BB944" i="4"/>
  <c r="BA724" i="4"/>
  <c r="BA927" i="4" s="1"/>
  <c r="BY209" i="4"/>
  <c r="BY210" i="4" s="1"/>
  <c r="BA718" i="4"/>
  <c r="BA921" i="4" s="1"/>
  <c r="BX25" i="4"/>
  <c r="BX38" i="4" s="1"/>
  <c r="BW26" i="4"/>
  <c r="BW39" i="4" s="1"/>
  <c r="BB676" i="4"/>
  <c r="BZ38" i="4"/>
  <c r="BA676" i="4"/>
  <c r="BB622" i="4"/>
  <c r="BB664" i="4" s="1"/>
  <c r="BB662" i="4"/>
  <c r="BB704" i="4" s="1"/>
  <c r="BB907" i="4" s="1"/>
  <c r="BW20" i="4"/>
  <c r="BW34" i="4" s="1"/>
  <c r="BB943" i="4"/>
  <c r="BP823" i="4"/>
  <c r="BP841" i="4" s="1"/>
  <c r="BQ841" i="4"/>
  <c r="BU841" i="4"/>
  <c r="BX823" i="4"/>
  <c r="BT823" i="4"/>
  <c r="CD337" i="4"/>
  <c r="CD338" i="4" s="1"/>
  <c r="CD332" i="4"/>
  <c r="CD333" i="4" s="1"/>
  <c r="CB852" i="4"/>
  <c r="CC852" i="4" s="1"/>
  <c r="CG852" i="4"/>
  <c r="BU431" i="4"/>
  <c r="BU432" i="4" s="1"/>
  <c r="BT465" i="4"/>
  <c r="BT466" i="4" s="1"/>
  <c r="CS232" i="4"/>
  <c r="CV322" i="4"/>
  <c r="BX453" i="4"/>
  <c r="BU342" i="4"/>
  <c r="BU343" i="4" s="1"/>
  <c r="BC896" i="4"/>
  <c r="CC170" i="4"/>
  <c r="CC15" i="4" s="1"/>
  <c r="BS256" i="4"/>
  <c r="BS43" i="4" s="1"/>
  <c r="BT347" i="4"/>
  <c r="BU347" i="4" s="1"/>
  <c r="BU348" i="4" s="1"/>
  <c r="BX443" i="4"/>
  <c r="BR427" i="4"/>
  <c r="BZ400" i="4"/>
  <c r="CA400" i="4" s="1"/>
  <c r="BC688" i="4"/>
  <c r="BX464" i="4"/>
  <c r="BW21" i="4"/>
  <c r="BX16" i="4"/>
  <c r="BX30" i="4" s="1"/>
  <c r="CA335" i="4"/>
  <c r="CV229" i="4"/>
  <c r="DA228" i="4"/>
  <c r="DA226" i="4"/>
  <c r="DD225" i="4"/>
  <c r="DG392" i="4"/>
  <c r="DD395" i="4"/>
  <c r="DD397" i="4" s="1"/>
  <c r="DD398" i="4" s="1"/>
  <c r="DD317" i="4"/>
  <c r="CX322" i="4"/>
  <c r="CX321" i="4"/>
  <c r="CX323" i="4" s="1"/>
  <c r="CX324" i="4" s="1"/>
  <c r="DA318" i="4"/>
  <c r="DA320" i="4"/>
  <c r="CX229" i="4"/>
  <c r="CX231" i="4"/>
  <c r="CU232" i="4"/>
  <c r="CU233" i="4"/>
  <c r="BZ443" i="4"/>
  <c r="CZ226" i="4"/>
  <c r="CZ228" i="4"/>
  <c r="DB225" i="4"/>
  <c r="DB226" i="4" s="1"/>
  <c r="CY228" i="4"/>
  <c r="CW231" i="4"/>
  <c r="CW229" i="4"/>
  <c r="CW398" i="4"/>
  <c r="CY397" i="4"/>
  <c r="CY398" i="4" s="1"/>
  <c r="BX59" i="4"/>
  <c r="BU59" i="4"/>
  <c r="BU69" i="4"/>
  <c r="DF392" i="4"/>
  <c r="DC317" i="4"/>
  <c r="DC225" i="4"/>
  <c r="DC395" i="4"/>
  <c r="CW321" i="4"/>
  <c r="CY320" i="4"/>
  <c r="CW322" i="4"/>
  <c r="CT323" i="4"/>
  <c r="CV321" i="4"/>
  <c r="CZ318" i="4"/>
  <c r="CZ320" i="4"/>
  <c r="DB317" i="4"/>
  <c r="DB318" i="4" s="1"/>
  <c r="CZ397" i="4"/>
  <c r="DB395" i="4"/>
  <c r="CT232" i="4"/>
  <c r="CV231" i="4"/>
  <c r="CV233" i="4" s="1"/>
  <c r="CT233" i="4"/>
  <c r="EC81" i="4"/>
  <c r="EB82" i="4"/>
  <c r="BT34" i="4"/>
  <c r="EQ111" i="4"/>
  <c r="ET111" i="4" s="1"/>
  <c r="EW111" i="4" s="1"/>
  <c r="EZ111" i="4" s="1"/>
  <c r="BU461" i="4"/>
  <c r="BU462" i="4" s="1"/>
  <c r="BW456" i="4"/>
  <c r="BT3" i="4"/>
  <c r="BU21" i="4"/>
  <c r="BM456" i="4"/>
  <c r="BO454" i="4"/>
  <c r="BO456" i="4" s="1"/>
  <c r="CD205" i="4"/>
  <c r="CD203" i="4" s="1"/>
  <c r="CD204" i="4" s="1"/>
  <c r="CB206" i="4"/>
  <c r="CD206" i="4" s="1"/>
  <c r="BM466" i="4"/>
  <c r="BO465" i="4"/>
  <c r="BO466" i="4" s="1"/>
  <c r="CB164" i="4"/>
  <c r="CD163" i="4"/>
  <c r="CD164" i="4" s="1"/>
  <c r="BO427" i="4"/>
  <c r="BM475" i="4"/>
  <c r="BM470" i="4"/>
  <c r="BO469" i="4"/>
  <c r="BO470" i="4" s="1"/>
  <c r="BO444" i="4"/>
  <c r="BO445" i="4" s="1"/>
  <c r="BM445" i="4"/>
  <c r="CE163" i="4"/>
  <c r="CE205" i="4"/>
  <c r="CE208" i="4" s="1"/>
  <c r="CG208" i="4" s="1"/>
  <c r="CG173" i="4"/>
  <c r="CH174" i="4"/>
  <c r="BO252" i="4"/>
  <c r="BO254" i="4"/>
  <c r="BM436" i="4"/>
  <c r="BO435" i="4"/>
  <c r="BO436" i="4" s="1"/>
  <c r="BS828" i="4"/>
  <c r="BS829" i="4" s="1"/>
  <c r="BS830" i="4" s="1"/>
  <c r="BS831" i="4" s="1"/>
  <c r="BS840" i="4"/>
  <c r="BS846" i="4" s="1"/>
  <c r="BS847" i="4" s="1"/>
  <c r="BS848" i="4" s="1"/>
  <c r="BS849" i="4" s="1"/>
  <c r="BW828" i="4"/>
  <c r="BW829" i="4" s="1"/>
  <c r="BW830" i="4" s="1"/>
  <c r="BW831" i="4" s="1"/>
  <c r="BV822" i="4"/>
  <c r="BW840" i="4"/>
  <c r="BW846" i="4" s="1"/>
  <c r="BW847" i="4" s="1"/>
  <c r="BW848" i="4" s="1"/>
  <c r="BW849" i="4" s="1"/>
  <c r="CA828" i="4"/>
  <c r="CA829" i="4" s="1"/>
  <c r="CA830" i="4" s="1"/>
  <c r="CA831" i="4" s="1"/>
  <c r="BZ822" i="4"/>
  <c r="CD822" i="4"/>
  <c r="CA840" i="4"/>
  <c r="CA846" i="4" s="1"/>
  <c r="CA847" i="4" s="1"/>
  <c r="CA848" i="4" s="1"/>
  <c r="CA849" i="4" s="1"/>
  <c r="CB835" i="4"/>
  <c r="CC835" i="4" s="1"/>
  <c r="CG835" i="4"/>
  <c r="CE835" i="4" s="1"/>
  <c r="CF835" i="4" s="1"/>
  <c r="BD585" i="4"/>
  <c r="BD586" i="4" s="1"/>
  <c r="BD627" i="4"/>
  <c r="BD669" i="4" s="1"/>
  <c r="BD639" i="4"/>
  <c r="BD687" i="4" s="1"/>
  <c r="BG843" i="4"/>
  <c r="BG856" i="4" s="1"/>
  <c r="BG838" i="4"/>
  <c r="BR825" i="4"/>
  <c r="BO838" i="4"/>
  <c r="BN825" i="4"/>
  <c r="BO843" i="4"/>
  <c r="BO856" i="4" s="1"/>
  <c r="BA735" i="4"/>
  <c r="BA781" i="4" s="1"/>
  <c r="BA938" i="4"/>
  <c r="BA902" i="4"/>
  <c r="BC944" i="4"/>
  <c r="BC663" i="4"/>
  <c r="BC705" i="4" s="1"/>
  <c r="BC908" i="4" s="1"/>
  <c r="BC657" i="4"/>
  <c r="BC699" i="4" s="1"/>
  <c r="BC675" i="4"/>
  <c r="BC717" i="4" s="1"/>
  <c r="BC920" i="4" s="1"/>
  <c r="BC681" i="4"/>
  <c r="BC723" i="4" s="1"/>
  <c r="BC926" i="4" s="1"/>
  <c r="BA658" i="4"/>
  <c r="BC741" i="4"/>
  <c r="BC787" i="4" s="1"/>
  <c r="BC950" i="4"/>
  <c r="BC914" i="4"/>
  <c r="BJ825" i="4"/>
  <c r="BK838" i="4"/>
  <c r="BK843" i="4"/>
  <c r="BK856" i="4" s="1"/>
  <c r="BE591" i="4"/>
  <c r="BF569" i="4"/>
  <c r="BA908" i="4"/>
  <c r="BA706" i="4"/>
  <c r="BA909" i="4" s="1"/>
  <c r="CC124" i="4"/>
  <c r="CC125" i="4" s="1"/>
  <c r="BT435" i="4"/>
  <c r="BT436" i="4" s="1"/>
  <c r="CK837" i="4"/>
  <c r="CL837" i="4" s="1"/>
  <c r="CP837" i="4"/>
  <c r="CN837" i="4" s="1"/>
  <c r="CO837" i="4" s="1"/>
  <c r="CU105" i="4"/>
  <c r="DC298" i="4"/>
  <c r="DC299" i="4" s="1"/>
  <c r="DC266" i="4"/>
  <c r="CR360" i="4"/>
  <c r="BA951" i="4"/>
  <c r="DF265" i="4"/>
  <c r="DF746" i="4"/>
  <c r="EH75" i="4"/>
  <c r="EG76" i="4"/>
  <c r="EG203" i="4"/>
  <c r="EG204" i="4" s="1"/>
  <c r="CC758" i="4"/>
  <c r="CC766" i="4" s="1"/>
  <c r="CC769" i="4"/>
  <c r="CC757" i="4"/>
  <c r="CC765" i="4" s="1"/>
  <c r="CC760" i="4"/>
  <c r="CC759" i="4"/>
  <c r="CC767" i="4" s="1"/>
  <c r="DE273" i="2"/>
  <c r="BQ472" i="4"/>
  <c r="BR471" i="4"/>
  <c r="BR472" i="4" s="1"/>
  <c r="EF213" i="3"/>
  <c r="EG260" i="2"/>
  <c r="EE260" i="2"/>
  <c r="EE213" i="3" s="1"/>
  <c r="CJ189" i="4"/>
  <c r="CJ185" i="4"/>
  <c r="CJ186" i="4" s="1"/>
  <c r="BW461" i="4"/>
  <c r="BW462" i="4" s="1"/>
  <c r="BW342" i="4"/>
  <c r="BX342" i="4" s="1"/>
  <c r="CF221" i="4"/>
  <c r="CF222" i="4"/>
  <c r="BY762" i="4"/>
  <c r="BY768" i="4"/>
  <c r="BY770" i="4" s="1"/>
  <c r="BV773" i="4"/>
  <c r="BV774" i="4" s="1"/>
  <c r="BV770" i="4"/>
  <c r="BQ462" i="4"/>
  <c r="BR461" i="4"/>
  <c r="BR462" i="4" s="1"/>
  <c r="BQ465" i="4"/>
  <c r="BQ466" i="4" s="1"/>
  <c r="CK387" i="4"/>
  <c r="CQ183" i="4"/>
  <c r="CN188" i="4"/>
  <c r="CE580" i="4"/>
  <c r="CF580" i="4" s="1"/>
  <c r="CJ580" i="4"/>
  <c r="CI189" i="4"/>
  <c r="CI220" i="4"/>
  <c r="BZ422" i="4"/>
  <c r="BZ441" i="4" s="1"/>
  <c r="BZ16" i="4"/>
  <c r="BZ30" i="4" s="1"/>
  <c r="BZ344" i="4"/>
  <c r="BZ263" i="4"/>
  <c r="BW431" i="4"/>
  <c r="BW432" i="4" s="1"/>
  <c r="BW329" i="4"/>
  <c r="BW326" i="4"/>
  <c r="BX326" i="4" s="1"/>
  <c r="CF337" i="4"/>
  <c r="CF339" i="4" s="1"/>
  <c r="CF450" i="4" s="1"/>
  <c r="CF261" i="4"/>
  <c r="CF332" i="4"/>
  <c r="CF334" i="4" s="1"/>
  <c r="AE385" i="2"/>
  <c r="AE396" i="2"/>
  <c r="BZ139" i="4"/>
  <c r="BZ140" i="4" s="1"/>
  <c r="BD592" i="4"/>
  <c r="BD640" i="4" s="1"/>
  <c r="BZ136" i="4"/>
  <c r="CA17" i="4"/>
  <c r="CA31" i="4" s="1"/>
  <c r="CN363" i="4"/>
  <c r="CN362" i="4" s="1"/>
  <c r="CO184" i="4"/>
  <c r="CO363" i="4" s="1"/>
  <c r="DE256" i="2"/>
  <c r="DC255" i="2"/>
  <c r="DC252" i="2" s="1"/>
  <c r="DC263" i="2" s="1"/>
  <c r="DC264" i="2" s="1"/>
  <c r="CX174" i="4"/>
  <c r="CY173" i="4"/>
  <c r="CY174" i="4" s="1"/>
  <c r="CL188" i="4"/>
  <c r="CM188" i="4" s="1"/>
  <c r="CC285" i="4"/>
  <c r="CC313" i="4"/>
  <c r="CD313" i="4" s="1"/>
  <c r="CD315" i="4" s="1"/>
  <c r="CC262" i="4"/>
  <c r="CC335" i="4" s="1"/>
  <c r="CY264" i="2"/>
  <c r="CX264" i="2" s="1"/>
  <c r="CX263" i="2"/>
  <c r="AC385" i="2"/>
  <c r="AD374" i="2" s="1"/>
  <c r="AC396" i="2"/>
  <c r="CK189" i="4"/>
  <c r="DA255" i="2"/>
  <c r="DB252" i="2"/>
  <c r="W51" i="9" s="1"/>
  <c r="DD99" i="4"/>
  <c r="DA173" i="4"/>
  <c r="DB99" i="4"/>
  <c r="DA745" i="4"/>
  <c r="CY505" i="4"/>
  <c r="CY504" i="4"/>
  <c r="BZ328" i="4"/>
  <c r="CA328" i="4" s="1"/>
  <c r="CA329" i="4" s="1"/>
  <c r="BZ315" i="4"/>
  <c r="BD884" i="4"/>
  <c r="BD885" i="4" s="1"/>
  <c r="BZ335" i="4"/>
  <c r="CX266" i="4"/>
  <c r="CY265" i="4"/>
  <c r="CY266" i="4" s="1"/>
  <c r="CF284" i="4"/>
  <c r="CG284" i="4" s="1"/>
  <c r="CG285" i="4" s="1"/>
  <c r="BZ464" i="4"/>
  <c r="BT130" i="4"/>
  <c r="BU326" i="4"/>
  <c r="CC440" i="4"/>
  <c r="CU207" i="3"/>
  <c r="CI281" i="4"/>
  <c r="CI312" i="4"/>
  <c r="CJ312" i="4" s="1"/>
  <c r="CI260" i="4"/>
  <c r="CJ260" i="4" s="1"/>
  <c r="CJ261" i="4" s="1"/>
  <c r="BV771" i="4"/>
  <c r="BR343" i="4"/>
  <c r="BR345" i="4"/>
  <c r="DD102" i="4"/>
  <c r="DA265" i="4"/>
  <c r="DB102" i="4"/>
  <c r="DA746" i="4"/>
  <c r="DB746" i="4" s="1"/>
  <c r="BC932" i="4"/>
  <c r="BD890" i="4"/>
  <c r="BD891" i="4" s="1"/>
  <c r="BD878" i="4"/>
  <c r="BD879" i="4" s="1"/>
  <c r="CY745" i="4"/>
  <c r="BW451" i="4"/>
  <c r="BW441" i="4"/>
  <c r="BW423" i="4"/>
  <c r="CL280" i="4"/>
  <c r="CO275" i="4"/>
  <c r="CP275" i="4" s="1"/>
  <c r="CP276" i="4" s="1"/>
  <c r="BE955" i="4"/>
  <c r="BF859" i="4"/>
  <c r="BE619" i="4"/>
  <c r="BE631" i="4"/>
  <c r="BD620" i="4"/>
  <c r="BD632" i="4"/>
  <c r="CG383" i="4"/>
  <c r="CG386" i="4"/>
  <c r="CC438" i="4"/>
  <c r="BE864" i="4"/>
  <c r="BD867" i="4"/>
  <c r="CE424" i="4"/>
  <c r="CE405" i="4"/>
  <c r="CE17" i="4"/>
  <c r="CE413" i="4"/>
  <c r="CE352" i="4"/>
  <c r="CE409" i="4"/>
  <c r="CP360" i="4"/>
  <c r="CP356" i="4"/>
  <c r="CG854" i="4"/>
  <c r="CE854" i="4" s="1"/>
  <c r="CF854" i="4" s="1"/>
  <c r="CB440" i="4"/>
  <c r="CB335" i="4"/>
  <c r="CD334" i="4"/>
  <c r="EP286" i="2"/>
  <c r="EN286" i="2"/>
  <c r="BS147" i="4"/>
  <c r="BU146" i="4"/>
  <c r="BU147" i="4" s="1"/>
  <c r="BV343" i="4"/>
  <c r="BP651" i="4"/>
  <c r="CJ217" i="4"/>
  <c r="CH220" i="4"/>
  <c r="CH218" i="4"/>
  <c r="CJ218" i="4" s="1"/>
  <c r="BC948" i="4"/>
  <c r="BC739" i="4"/>
  <c r="BC785" i="4" s="1"/>
  <c r="BC712" i="4"/>
  <c r="CQ273" i="4"/>
  <c r="CQ301" i="4"/>
  <c r="BY443" i="4"/>
  <c r="CA442" i="4"/>
  <c r="AY939" i="4"/>
  <c r="AY903" i="4"/>
  <c r="CB463" i="4"/>
  <c r="CT272" i="4"/>
  <c r="CT271" i="4"/>
  <c r="CT300" i="4"/>
  <c r="CT302" i="4" s="1"/>
  <c r="BR644" i="4"/>
  <c r="DD356" i="4"/>
  <c r="BY423" i="4"/>
  <c r="CB403" i="4"/>
  <c r="CB416" i="4"/>
  <c r="CB433" i="4"/>
  <c r="BD894" i="4"/>
  <c r="CO175" i="4"/>
  <c r="CL178" i="4"/>
  <c r="BZ26" i="4"/>
  <c r="BZ36" i="4"/>
  <c r="BU66" i="4"/>
  <c r="BU56" i="4"/>
  <c r="BY434" i="4"/>
  <c r="BR171" i="3"/>
  <c r="BR167" i="3" s="1"/>
  <c r="BP339" i="2"/>
  <c r="BP341" i="2"/>
  <c r="BP165" i="2"/>
  <c r="BP169" i="3"/>
  <c r="BP165" i="3" s="1"/>
  <c r="BQ169" i="3"/>
  <c r="BQ165" i="3" s="1"/>
  <c r="BP179" i="3"/>
  <c r="BR170" i="3"/>
  <c r="BR166" i="3" s="1"/>
  <c r="BP170" i="3"/>
  <c r="BP166" i="3" s="1"/>
  <c r="BP31" i="2"/>
  <c r="BP340" i="2"/>
  <c r="BP168" i="2"/>
  <c r="BQ170" i="3"/>
  <c r="BQ166" i="3" s="1"/>
  <c r="BP162" i="2"/>
  <c r="BQ171" i="3"/>
  <c r="BQ167" i="3" s="1"/>
  <c r="BP150" i="2"/>
  <c r="BP336" i="2"/>
  <c r="BP171" i="3"/>
  <c r="BP167" i="3" s="1"/>
  <c r="BP334" i="2"/>
  <c r="BP342" i="2"/>
  <c r="BP163" i="2"/>
  <c r="BP335" i="2"/>
  <c r="BR169" i="3"/>
  <c r="BR165" i="3" s="1"/>
  <c r="BP33" i="2"/>
  <c r="BP42" i="2" s="1"/>
  <c r="BP161" i="2"/>
  <c r="BP73" i="2"/>
  <c r="BP337" i="2"/>
  <c r="BP160" i="2"/>
  <c r="BP69" i="2"/>
  <c r="BP61" i="2"/>
  <c r="BP159" i="2"/>
  <c r="BP158" i="2"/>
  <c r="BT824" i="4"/>
  <c r="BX824" i="4"/>
  <c r="BU842" i="4"/>
  <c r="CN380" i="4"/>
  <c r="BA903" i="4"/>
  <c r="CA424" i="4"/>
  <c r="CA425" i="4" s="1"/>
  <c r="CJ460" i="2"/>
  <c r="CJ464" i="2" s="1"/>
  <c r="CI70" i="2"/>
  <c r="CI460" i="2" s="1"/>
  <c r="CI464" i="2" s="1"/>
  <c r="CJ456" i="2"/>
  <c r="BS460" i="4"/>
  <c r="BS465" i="4"/>
  <c r="BU459" i="4"/>
  <c r="BU460" i="4" s="1"/>
  <c r="EC256" i="2"/>
  <c r="DH224" i="2"/>
  <c r="DH226" i="2" s="1"/>
  <c r="DD226" i="2"/>
  <c r="DF224" i="2"/>
  <c r="DF226" i="2" s="1"/>
  <c r="DG224" i="2" s="1"/>
  <c r="DE416" i="2"/>
  <c r="BS65" i="4"/>
  <c r="BS55" i="4"/>
  <c r="CF389" i="4"/>
  <c r="CF367" i="4"/>
  <c r="CF351" i="4"/>
  <c r="CG351" i="4" s="1"/>
  <c r="CG352" i="4" s="1"/>
  <c r="BF877" i="4"/>
  <c r="BE895" i="4"/>
  <c r="CH85" i="2"/>
  <c r="CI86" i="2"/>
  <c r="CD339" i="4"/>
  <c r="CB450" i="4"/>
  <c r="BQ455" i="2"/>
  <c r="BQ148" i="3"/>
  <c r="BR149" i="3"/>
  <c r="BQ480" i="2"/>
  <c r="BE858" i="4"/>
  <c r="BD861" i="4"/>
  <c r="BD954" i="4"/>
  <c r="BZ29" i="4"/>
  <c r="BB718" i="4"/>
  <c r="BB921" i="4" s="1"/>
  <c r="BB918" i="4"/>
  <c r="CK306" i="4"/>
  <c r="CK307" i="4"/>
  <c r="CK309" i="4" s="1"/>
  <c r="CO272" i="4"/>
  <c r="CO271" i="4"/>
  <c r="CP270" i="4"/>
  <c r="BE876" i="4"/>
  <c r="BF589" i="4"/>
  <c r="BF583" i="4" s="1"/>
  <c r="BD956" i="4"/>
  <c r="BE860" i="4"/>
  <c r="DQ365" i="2"/>
  <c r="DQ366" i="2"/>
  <c r="L46" i="9" s="1"/>
  <c r="CB442" i="4"/>
  <c r="BF889" i="4"/>
  <c r="CZ267" i="4"/>
  <c r="CW270" i="4"/>
  <c r="CC210" i="4"/>
  <c r="CC237" i="4"/>
  <c r="BY30" i="4"/>
  <c r="BF866" i="4"/>
  <c r="CM579" i="4"/>
  <c r="CH579" i="4"/>
  <c r="CI579" i="4" s="1"/>
  <c r="BE754" i="4"/>
  <c r="BF751" i="4"/>
  <c r="BY473" i="4"/>
  <c r="BY417" i="4"/>
  <c r="BY45" i="4"/>
  <c r="CG299" i="2"/>
  <c r="BR454" i="4"/>
  <c r="BR456" i="4" s="1"/>
  <c r="BP456" i="4"/>
  <c r="BP11" i="4"/>
  <c r="BP8" i="4"/>
  <c r="CA25" i="4"/>
  <c r="BY38" i="4"/>
  <c r="CE390" i="4"/>
  <c r="CE402" i="4"/>
  <c r="CE400" i="4" s="1"/>
  <c r="CA307" i="4"/>
  <c r="CA306" i="4"/>
  <c r="CE313" i="4"/>
  <c r="CE285" i="4"/>
  <c r="CE124" i="4"/>
  <c r="CE262" i="4"/>
  <c r="BE590" i="4"/>
  <c r="BE584" i="4" s="1"/>
  <c r="BF568" i="4"/>
  <c r="DI270" i="2"/>
  <c r="DG270" i="2"/>
  <c r="BI692" i="4"/>
  <c r="AY921" i="4"/>
  <c r="AZ718" i="4"/>
  <c r="BJ153" i="3"/>
  <c r="BG153" i="3"/>
  <c r="CB125" i="4"/>
  <c r="CB25" i="4"/>
  <c r="DT93" i="3"/>
  <c r="BV421" i="4"/>
  <c r="BX420" i="4"/>
  <c r="BX421" i="4" s="1"/>
  <c r="BV426" i="4"/>
  <c r="BD673" i="4"/>
  <c r="BD679" i="4"/>
  <c r="BD721" i="4" s="1"/>
  <c r="BD924" i="4" s="1"/>
  <c r="V410" i="2"/>
  <c r="U410" i="2" s="1"/>
  <c r="V409" i="2"/>
  <c r="W416" i="2"/>
  <c r="V411" i="2"/>
  <c r="U411" i="2" s="1"/>
  <c r="CB452" i="4"/>
  <c r="BB733" i="4"/>
  <c r="BB936" i="4"/>
  <c r="BB900" i="4"/>
  <c r="CB169" i="4"/>
  <c r="CD168" i="4"/>
  <c r="CD169" i="4" s="1"/>
  <c r="CB246" i="4"/>
  <c r="CB241" i="4"/>
  <c r="CC119" i="4"/>
  <c r="CC23" i="4"/>
  <c r="BV438" i="4"/>
  <c r="BV136" i="4"/>
  <c r="BX243" i="4"/>
  <c r="BX244" i="4" s="1"/>
  <c r="BV244" i="4"/>
  <c r="CJ855" i="4"/>
  <c r="CH855" i="4" s="1"/>
  <c r="CI855" i="4" s="1"/>
  <c r="BC949" i="4"/>
  <c r="BC740" i="4"/>
  <c r="BC786" i="4" s="1"/>
  <c r="BC913" i="4"/>
  <c r="BQ842" i="4"/>
  <c r="BP824" i="4"/>
  <c r="BP842" i="4" s="1"/>
  <c r="BA779" i="4"/>
  <c r="CP69" i="3"/>
  <c r="CL69" i="3"/>
  <c r="CM70" i="2"/>
  <c r="CS834" i="4"/>
  <c r="CQ834" i="4" s="1"/>
  <c r="CR834" i="4" s="1"/>
  <c r="BZ429" i="4"/>
  <c r="BZ238" i="4"/>
  <c r="BU251" i="4"/>
  <c r="BS252" i="4"/>
  <c r="BW45" i="4"/>
  <c r="BX45" i="4" s="1"/>
  <c r="BW473" i="4"/>
  <c r="BW474" i="4" s="1"/>
  <c r="BW417" i="4"/>
  <c r="CB344" i="2"/>
  <c r="CB5" i="3"/>
  <c r="CB11" i="3" s="1"/>
  <c r="CB156" i="2"/>
  <c r="CB91" i="2"/>
  <c r="CB173" i="2"/>
  <c r="CB202" i="3"/>
  <c r="CC90" i="2"/>
  <c r="CH332" i="4"/>
  <c r="CH261" i="4"/>
  <c r="CH337" i="4"/>
  <c r="CA409" i="4"/>
  <c r="CA410" i="4" s="1"/>
  <c r="BD153" i="3"/>
  <c r="BP649" i="4"/>
  <c r="EE338" i="4"/>
  <c r="BP466" i="4"/>
  <c r="CD221" i="4"/>
  <c r="ED292" i="2"/>
  <c r="EF292" i="2" s="1"/>
  <c r="EB292" i="2"/>
  <c r="BU438" i="4"/>
  <c r="BU439" i="4" s="1"/>
  <c r="BS444" i="4"/>
  <c r="BS439" i="4"/>
  <c r="BI497" i="2"/>
  <c r="BI499" i="2"/>
  <c r="BI500" i="2"/>
  <c r="BJ498" i="2"/>
  <c r="BI504" i="2"/>
  <c r="CE334" i="4"/>
  <c r="CH367" i="4"/>
  <c r="CH389" i="4"/>
  <c r="CH351" i="4"/>
  <c r="DC81" i="4"/>
  <c r="DB82" i="4"/>
  <c r="BC897" i="4"/>
  <c r="BC957" i="4"/>
  <c r="CB328" i="4"/>
  <c r="CB326" i="4" s="1"/>
  <c r="CB315" i="4"/>
  <c r="BE570" i="4"/>
  <c r="CA463" i="4"/>
  <c r="BY464" i="4"/>
  <c r="BI811" i="4"/>
  <c r="BI817" i="4" s="1"/>
  <c r="BH817" i="4"/>
  <c r="BH883" i="4" s="1"/>
  <c r="BW460" i="4"/>
  <c r="CA241" i="4"/>
  <c r="CA242" i="4" s="1"/>
  <c r="BY243" i="4"/>
  <c r="BV474" i="4"/>
  <c r="BS3" i="4"/>
  <c r="BS30" i="2"/>
  <c r="BS71" i="4"/>
  <c r="BS34" i="4"/>
  <c r="BU20" i="4"/>
  <c r="BX93" i="3"/>
  <c r="CK215" i="4"/>
  <c r="CK217" i="4" s="1"/>
  <c r="CK214" i="4"/>
  <c r="BD942" i="4"/>
  <c r="BD655" i="4"/>
  <c r="BD661" i="4"/>
  <c r="BD703" i="4" s="1"/>
  <c r="BD906" i="4" s="1"/>
  <c r="CD384" i="4"/>
  <c r="CD213" i="4"/>
  <c r="CD305" i="4"/>
  <c r="BY645" i="4"/>
  <c r="BB948" i="4"/>
  <c r="BB951" i="4" s="1"/>
  <c r="BB739" i="4"/>
  <c r="BB785" i="4" s="1"/>
  <c r="BB712" i="4"/>
  <c r="BB912" i="4"/>
  <c r="CU267" i="4"/>
  <c r="CR270" i="4"/>
  <c r="BS39" i="4"/>
  <c r="BU26" i="4"/>
  <c r="BU39" i="4" s="1"/>
  <c r="BV347" i="4"/>
  <c r="BD727" i="4"/>
  <c r="BD930" i="4" s="1"/>
  <c r="BA742" i="4"/>
  <c r="BA788" i="4" s="1"/>
  <c r="BA915" i="4"/>
  <c r="CC405" i="4"/>
  <c r="CC442" i="4" s="1"/>
  <c r="CC352" i="4"/>
  <c r="CC17" i="4"/>
  <c r="CC31" i="4" s="1"/>
  <c r="CC409" i="4"/>
  <c r="CC452" i="4" s="1"/>
  <c r="CC413" i="4"/>
  <c r="CC463" i="4" s="1"/>
  <c r="CC424" i="4"/>
  <c r="CC425" i="4" s="1"/>
  <c r="BU426" i="4"/>
  <c r="BS484" i="4"/>
  <c r="BS487" i="4"/>
  <c r="BS427" i="4"/>
  <c r="BS480" i="4"/>
  <c r="CB118" i="4"/>
  <c r="CB170" i="4"/>
  <c r="CD180" i="4"/>
  <c r="CD181" i="4" s="1"/>
  <c r="CB181" i="4"/>
  <c r="BQ71" i="4"/>
  <c r="BQ34" i="4"/>
  <c r="BQ3" i="4"/>
  <c r="BR3" i="4" s="1"/>
  <c r="BQ68" i="4"/>
  <c r="BQ70" i="4"/>
  <c r="BQ72" i="4"/>
  <c r="EA212" i="2"/>
  <c r="EC132" i="3"/>
  <c r="EC212" i="2" s="1"/>
  <c r="CK281" i="4"/>
  <c r="CK260" i="4"/>
  <c r="BG753" i="4"/>
  <c r="BV128" i="4"/>
  <c r="BX127" i="4"/>
  <c r="BX128" i="4" s="1"/>
  <c r="BW427" i="4"/>
  <c r="BW484" i="4"/>
  <c r="BW487" i="4"/>
  <c r="BW480" i="4"/>
  <c r="CD365" i="4"/>
  <c r="BX433" i="4"/>
  <c r="BX434" i="4" s="1"/>
  <c r="BC679" i="4"/>
  <c r="BC721" i="4" s="1"/>
  <c r="BC673" i="4"/>
  <c r="EC257" i="2"/>
  <c r="EB257" i="2" s="1"/>
  <c r="EA257" i="2"/>
  <c r="EA255" i="2" s="1"/>
  <c r="DY255" i="2"/>
  <c r="EE278" i="2"/>
  <c r="EE73" i="3" s="1"/>
  <c r="EE75" i="3" s="1"/>
  <c r="EF73" i="3"/>
  <c r="EG278" i="2"/>
  <c r="CA452" i="4"/>
  <c r="BY453" i="4"/>
  <c r="CA142" i="2"/>
  <c r="CA143" i="2" s="1"/>
  <c r="CA146" i="2" s="1"/>
  <c r="BY142" i="2"/>
  <c r="BY143" i="2" s="1"/>
  <c r="BY146" i="2" s="1"/>
  <c r="BZ142" i="2" s="1"/>
  <c r="BZ143" i="2" s="1"/>
  <c r="BZ146" i="2" s="1"/>
  <c r="DU178" i="3"/>
  <c r="DT190" i="2"/>
  <c r="CA413" i="4"/>
  <c r="CA414" i="4" s="1"/>
  <c r="BH812" i="4"/>
  <c r="BG813" i="4"/>
  <c r="BG818" i="4"/>
  <c r="BI514" i="2"/>
  <c r="BH515" i="2"/>
  <c r="BY248" i="4"/>
  <c r="CA246" i="4"/>
  <c r="CA247" i="4" s="1"/>
  <c r="BV56" i="4"/>
  <c r="BV66" i="4"/>
  <c r="CX185" i="2"/>
  <c r="BJ810" i="4"/>
  <c r="BI816" i="4"/>
  <c r="AY780" i="4"/>
  <c r="AY736" i="4"/>
  <c r="AY782" i="4" s="1"/>
  <c r="BT470" i="4"/>
  <c r="CB425" i="4"/>
  <c r="BN652" i="4"/>
  <c r="EG133" i="3"/>
  <c r="ED132" i="3"/>
  <c r="EF133" i="3"/>
  <c r="CQ275" i="4"/>
  <c r="CN280" i="4"/>
  <c r="CN282" i="4" s="1"/>
  <c r="CE221" i="4"/>
  <c r="CG220" i="4"/>
  <c r="CG222" i="4" s="1"/>
  <c r="CE222" i="4"/>
  <c r="BS140" i="4"/>
  <c r="BU139" i="4"/>
  <c r="BU140" i="4" s="1"/>
  <c r="BR30" i="2"/>
  <c r="BR34" i="4"/>
  <c r="BR71" i="4"/>
  <c r="BR68" i="4"/>
  <c r="BR70" i="4"/>
  <c r="BR72" i="4"/>
  <c r="BP691" i="4"/>
  <c r="DZ294" i="2"/>
  <c r="BV448" i="4"/>
  <c r="BX248" i="4"/>
  <c r="BV139" i="4"/>
  <c r="BC730" i="4"/>
  <c r="BC933" i="4" s="1"/>
  <c r="BA933" i="4"/>
  <c r="CA214" i="4"/>
  <c r="CA215" i="4"/>
  <c r="BC912" i="4"/>
  <c r="DU283" i="2"/>
  <c r="DU215" i="3"/>
  <c r="BS472" i="4"/>
  <c r="DU91" i="3"/>
  <c r="CE339" i="4"/>
  <c r="CK366" i="4"/>
  <c r="CF209" i="4"/>
  <c r="CF118" i="4"/>
  <c r="CF181" i="4"/>
  <c r="BZ454" i="4"/>
  <c r="BZ235" i="4"/>
  <c r="BH865" i="4"/>
  <c r="CK175" i="4"/>
  <c r="CH178" i="4"/>
  <c r="DL469" i="2"/>
  <c r="DM469" i="2" s="1"/>
  <c r="DN469" i="2" s="1"/>
  <c r="DO469" i="2" s="1"/>
  <c r="DP469" i="2" s="1"/>
  <c r="DQ469" i="2" s="1"/>
  <c r="DR469" i="2" s="1"/>
  <c r="DS469" i="2" s="1"/>
  <c r="DT469" i="2" s="1"/>
  <c r="DU469" i="2" s="1"/>
  <c r="DV469" i="2" s="1"/>
  <c r="DW469" i="2" s="1"/>
  <c r="DX469" i="2" s="1"/>
  <c r="DY469" i="2" s="1"/>
  <c r="DZ469" i="2" s="1"/>
  <c r="BV29" i="4"/>
  <c r="BV20" i="4"/>
  <c r="BX15" i="4"/>
  <c r="BX29" i="4" s="1"/>
  <c r="BV21" i="4"/>
  <c r="DE385" i="2"/>
  <c r="DE396" i="2"/>
  <c r="DE398" i="2" s="1"/>
  <c r="BX416" i="4"/>
  <c r="BX417" i="4" s="1"/>
  <c r="BY91" i="3"/>
  <c r="BY93" i="3" s="1"/>
  <c r="BB724" i="4"/>
  <c r="BB927" i="4" s="1"/>
  <c r="CQ383" i="4"/>
  <c r="CN386" i="4"/>
  <c r="CN305" i="4"/>
  <c r="CN213" i="4"/>
  <c r="BY329" i="4"/>
  <c r="BY431" i="4"/>
  <c r="CK460" i="2"/>
  <c r="CK464" i="2" s="1"/>
  <c r="CK86" i="2"/>
  <c r="BV432" i="4"/>
  <c r="CX614" i="2"/>
  <c r="BD667" i="4"/>
  <c r="CK643" i="4"/>
  <c r="CB31" i="4"/>
  <c r="BW257" i="4"/>
  <c r="BW43" i="4"/>
  <c r="BW469" i="4"/>
  <c r="CC390" i="4"/>
  <c r="CC402" i="4"/>
  <c r="CC400" i="4" s="1"/>
  <c r="CH310" i="4"/>
  <c r="CJ310" i="4" s="1"/>
  <c r="CJ309" i="4"/>
  <c r="CZ185" i="2"/>
  <c r="CZ614" i="2"/>
  <c r="CW356" i="4"/>
  <c r="CT359" i="4"/>
  <c r="BV26" i="4"/>
  <c r="BX23" i="4"/>
  <c r="BX36" i="4" s="1"/>
  <c r="BV36" i="4"/>
  <c r="CE90" i="2"/>
  <c r="CF85" i="2"/>
  <c r="CH284" i="4"/>
  <c r="BC656" i="4"/>
  <c r="BC698" i="4" s="1"/>
  <c r="BC662" i="4"/>
  <c r="BC704" i="4" s="1"/>
  <c r="BC907" i="4" s="1"/>
  <c r="BY171" i="4"/>
  <c r="CA170" i="4"/>
  <c r="CA171" i="4" s="1"/>
  <c r="BY15" i="4"/>
  <c r="BY420" i="4"/>
  <c r="BY253" i="4"/>
  <c r="CL362" i="4"/>
  <c r="CI366" i="4"/>
  <c r="CJ366" i="4" s="1"/>
  <c r="CI387" i="4"/>
  <c r="CJ387" i="4" s="1"/>
  <c r="CJ383" i="4" s="1"/>
  <c r="BZ5" i="3"/>
  <c r="BZ11" i="3" s="1"/>
  <c r="BZ202" i="3"/>
  <c r="BZ156" i="2"/>
  <c r="BZ344" i="2"/>
  <c r="BZ173" i="2"/>
  <c r="CJ578" i="4"/>
  <c r="CE578" i="4"/>
  <c r="CF578" i="4" s="1"/>
  <c r="BR254" i="4"/>
  <c r="BR252" i="4"/>
  <c r="CF241" i="4"/>
  <c r="CF243" i="4" s="1"/>
  <c r="CF246" i="4"/>
  <c r="CF248" i="4" s="1"/>
  <c r="CF169" i="4"/>
  <c r="CL273" i="4"/>
  <c r="CM272" i="4"/>
  <c r="CM273" i="4" s="1"/>
  <c r="CG178" i="4"/>
  <c r="CE180" i="4"/>
  <c r="CE168" i="4"/>
  <c r="CE179" i="4"/>
  <c r="BG567" i="4"/>
  <c r="BX253" i="4"/>
  <c r="BV146" i="4"/>
  <c r="BV459" i="4"/>
  <c r="BV251" i="4"/>
  <c r="BN752" i="4"/>
  <c r="EH293" i="2"/>
  <c r="EJ293" i="2"/>
  <c r="EL293" i="2" s="1"/>
  <c r="CS359" i="4"/>
  <c r="CQ379" i="4"/>
  <c r="CQ360" i="4"/>
  <c r="BE882" i="4"/>
  <c r="BU473" i="4"/>
  <c r="BU474" i="4" s="1"/>
  <c r="CJ836" i="4"/>
  <c r="CH836" i="4" s="1"/>
  <c r="CI836" i="4" s="1"/>
  <c r="CC448" i="4"/>
  <c r="CG367" i="4"/>
  <c r="CG364" i="4"/>
  <c r="CG365" i="4" s="1"/>
  <c r="CB854" i="4"/>
  <c r="CC854" i="4" s="1"/>
  <c r="BC655" i="4"/>
  <c r="BC622" i="4"/>
  <c r="BC664" i="4" s="1"/>
  <c r="BC661" i="4"/>
  <c r="BC703" i="4" s="1"/>
  <c r="BC942" i="4"/>
  <c r="BY451" i="4"/>
  <c r="CA450" i="4"/>
  <c r="BE870" i="4"/>
  <c r="BD873" i="4"/>
  <c r="R398" i="2"/>
  <c r="R400" i="2"/>
  <c r="S400" i="2" s="1"/>
  <c r="DS285" i="2"/>
  <c r="DS217" i="3" s="1"/>
  <c r="DS215" i="3" s="1"/>
  <c r="DT283" i="2"/>
  <c r="BD626" i="4"/>
  <c r="BD668" i="4" s="1"/>
  <c r="BD638" i="4"/>
  <c r="BD686" i="4" s="1"/>
  <c r="BV462" i="4"/>
  <c r="DP277" i="4"/>
  <c r="CA118" i="4"/>
  <c r="CA119" i="4" s="1"/>
  <c r="BY23" i="4"/>
  <c r="BY127" i="4"/>
  <c r="BY119" i="4"/>
  <c r="BY441" i="4"/>
  <c r="CA440" i="4"/>
  <c r="BT66" i="4"/>
  <c r="BT56" i="4"/>
  <c r="BU136" i="4"/>
  <c r="BU137" i="4" s="1"/>
  <c r="BS137" i="4"/>
  <c r="BE888" i="4"/>
  <c r="CB16" i="4"/>
  <c r="CB344" i="4"/>
  <c r="CB422" i="4"/>
  <c r="CB263" i="4"/>
  <c r="BB901" i="4"/>
  <c r="EG79" i="4"/>
  <c r="EH78" i="4"/>
  <c r="EI78" i="4" s="1"/>
  <c r="EI79" i="4" s="1"/>
  <c r="EG295" i="4"/>
  <c r="CM267" i="4"/>
  <c r="CM268" i="4" s="1"/>
  <c r="CM357" i="4" s="1"/>
  <c r="CM271" i="4"/>
  <c r="BE637" i="4"/>
  <c r="BE685" i="4" s="1"/>
  <c r="BE625" i="4"/>
  <c r="DC385" i="2"/>
  <c r="DC400" i="2"/>
  <c r="DC396" i="2"/>
  <c r="DC398" i="2" s="1"/>
  <c r="BN152" i="3"/>
  <c r="BL153" i="3"/>
  <c r="BF872" i="4"/>
  <c r="CB300" i="2"/>
  <c r="BZ300" i="2"/>
  <c r="CA297" i="2"/>
  <c r="CO383" i="4"/>
  <c r="CL305" i="4"/>
  <c r="CL213" i="4"/>
  <c r="CL386" i="4"/>
  <c r="CL384" i="4"/>
  <c r="BQ650" i="4"/>
  <c r="CQ69" i="3"/>
  <c r="CN70" i="2"/>
  <c r="BZ416" i="4"/>
  <c r="BZ433" i="4"/>
  <c r="BZ434" i="4" s="1"/>
  <c r="BZ403" i="4"/>
  <c r="T398" i="2"/>
  <c r="T400" i="2"/>
  <c r="BP693" i="4"/>
  <c r="CA405" i="4"/>
  <c r="CA406" i="4" s="1"/>
  <c r="BR444" i="4"/>
  <c r="BR445" i="4" s="1"/>
  <c r="BP445" i="4"/>
  <c r="BH871" i="4"/>
  <c r="AL224" i="2"/>
  <c r="AL226" i="2" s="1"/>
  <c r="AM224" i="2" s="1"/>
  <c r="AN224" i="2"/>
  <c r="AN226" i="2" s="1"/>
  <c r="AJ226" i="2"/>
  <c r="CB400" i="4"/>
  <c r="BW430" i="4"/>
  <c r="CD179" i="4"/>
  <c r="CD175" i="4"/>
  <c r="DB266" i="2"/>
  <c r="DC268" i="2"/>
  <c r="DA268" i="2"/>
  <c r="BY342" i="4"/>
  <c r="BY347" i="4" s="1"/>
  <c r="BY461" i="4"/>
  <c r="BZ444" i="4"/>
  <c r="BZ445" i="4" s="1"/>
  <c r="AB142" i="2"/>
  <c r="AB143" i="2" s="1"/>
  <c r="AB146" i="2" s="1"/>
  <c r="Z142" i="2"/>
  <c r="Z143" i="2" s="1"/>
  <c r="Z146" i="2" s="1"/>
  <c r="AA142" i="2" s="1"/>
  <c r="AA143" i="2" s="1"/>
  <c r="AA146" i="2" s="1"/>
  <c r="BS449" i="4"/>
  <c r="BU448" i="4"/>
  <c r="BU449" i="4" s="1"/>
  <c r="BS454" i="4"/>
  <c r="CI179" i="4"/>
  <c r="CI180" i="4"/>
  <c r="CI168" i="4"/>
  <c r="CI208" i="4"/>
  <c r="AE58" i="9" l="1"/>
  <c r="EA274" i="2"/>
  <c r="EC274" i="2" s="1"/>
  <c r="AF58" i="9" s="1"/>
  <c r="DY274" i="2"/>
  <c r="EF84" i="4"/>
  <c r="EE85" i="4"/>
  <c r="EF88" i="4"/>
  <c r="EG87" i="4"/>
  <c r="CJ853" i="4"/>
  <c r="CH853" i="4" s="1"/>
  <c r="CI853" i="4" s="1"/>
  <c r="CB769" i="4"/>
  <c r="CB759" i="4"/>
  <c r="CB767" i="4" s="1"/>
  <c r="CB758" i="4"/>
  <c r="CB766" i="4" s="1"/>
  <c r="CB760" i="4"/>
  <c r="CB762" i="4" s="1"/>
  <c r="EW281" i="2"/>
  <c r="EY281" i="2"/>
  <c r="FA281" i="2" s="1"/>
  <c r="EZ281" i="2" s="1"/>
  <c r="EW296" i="2"/>
  <c r="EY296" i="2"/>
  <c r="FA296" i="2" s="1"/>
  <c r="EZ296" i="2" s="1"/>
  <c r="EW301" i="2"/>
  <c r="EY301" i="2"/>
  <c r="FA301" i="2" s="1"/>
  <c r="EZ301" i="2" s="1"/>
  <c r="EW291" i="2"/>
  <c r="EY291" i="2"/>
  <c r="EW279" i="2"/>
  <c r="EY279" i="2"/>
  <c r="FA279" i="2" s="1"/>
  <c r="EZ279" i="2" s="1"/>
  <c r="FA50" i="4"/>
  <c r="EY61" i="4"/>
  <c r="EW321" i="2"/>
  <c r="EW626" i="2" s="1"/>
  <c r="FA321" i="2"/>
  <c r="EY321" i="2"/>
  <c r="EY626" i="2" s="1"/>
  <c r="DV290" i="2"/>
  <c r="DW304" i="2"/>
  <c r="DV304" i="2" s="1"/>
  <c r="EP409" i="2"/>
  <c r="ER409" i="2" s="1"/>
  <c r="EN409" i="2"/>
  <c r="DU190" i="2"/>
  <c r="DV178" i="3"/>
  <c r="DW178" i="3" s="1"/>
  <c r="DW190" i="2" s="1"/>
  <c r="DW189" i="2" s="1"/>
  <c r="BW771" i="4"/>
  <c r="BW773" i="4"/>
  <c r="BW774" i="4" s="1"/>
  <c r="BZ762" i="4"/>
  <c r="CD762" i="4"/>
  <c r="CA771" i="4"/>
  <c r="CA773" i="4"/>
  <c r="CA774" i="4" s="1"/>
  <c r="BP475" i="4"/>
  <c r="BR475" i="4" s="1"/>
  <c r="BR476" i="4" s="1"/>
  <c r="BU235" i="4"/>
  <c r="BU130" i="4" s="1"/>
  <c r="BU131" i="4" s="1"/>
  <c r="BS492" i="4"/>
  <c r="BS134" i="4"/>
  <c r="BS131" i="4"/>
  <c r="BR469" i="4"/>
  <c r="BR470" i="4" s="1"/>
  <c r="CD770" i="4"/>
  <c r="CW97" i="4"/>
  <c r="BX21" i="4"/>
  <c r="BX210" i="4"/>
  <c r="BX237" i="4"/>
  <c r="BX238" i="4" s="1"/>
  <c r="CG758" i="4"/>
  <c r="CG766" i="4" s="1"/>
  <c r="CF761" i="4"/>
  <c r="CF759" i="4" s="1"/>
  <c r="CF767" i="4" s="1"/>
  <c r="BZ439" i="4"/>
  <c r="BC943" i="4"/>
  <c r="BC945" i="4" s="1"/>
  <c r="BZ449" i="4"/>
  <c r="CG757" i="4"/>
  <c r="CG765" i="4" s="1"/>
  <c r="CG759" i="4"/>
  <c r="CG767" i="4" s="1"/>
  <c r="BC674" i="4"/>
  <c r="BC716" i="4" s="1"/>
  <c r="BC919" i="4" s="1"/>
  <c r="CE761" i="4"/>
  <c r="CE760" i="4" s="1"/>
  <c r="CG769" i="4"/>
  <c r="BC634" i="4"/>
  <c r="BC682" i="4" s="1"/>
  <c r="CJ761" i="4"/>
  <c r="CI761" i="4" s="1"/>
  <c r="BP436" i="4"/>
  <c r="BY304" i="2"/>
  <c r="BZ256" i="4"/>
  <c r="BZ257" i="4" s="1"/>
  <c r="BT352" i="2"/>
  <c r="BU226" i="3"/>
  <c r="BV226" i="3" s="1"/>
  <c r="CO183" i="4"/>
  <c r="CP183" i="4" s="1"/>
  <c r="CP184" i="4" s="1"/>
  <c r="BZ39" i="4"/>
  <c r="BY237" i="4"/>
  <c r="BY235" i="4" s="1"/>
  <c r="CA235" i="4" s="1"/>
  <c r="BZ137" i="4"/>
  <c r="BQ151" i="2"/>
  <c r="BQ169" i="2"/>
  <c r="CM298" i="4"/>
  <c r="CM295" i="4" s="1"/>
  <c r="CM296" i="4" s="1"/>
  <c r="CL299" i="4"/>
  <c r="CL300" i="4"/>
  <c r="CO204" i="4"/>
  <c r="CO205" i="4"/>
  <c r="BX154" i="2"/>
  <c r="BX178" i="2"/>
  <c r="BW178" i="2" s="1"/>
  <c r="BX4" i="3"/>
  <c r="BX10" i="3" s="1"/>
  <c r="BW72" i="2"/>
  <c r="BX331" i="2"/>
  <c r="BX68" i="2"/>
  <c r="BX343" i="2"/>
  <c r="CJ299" i="4"/>
  <c r="CI301" i="4"/>
  <c r="CJ301" i="4" s="1"/>
  <c r="BZ146" i="4"/>
  <c r="BZ147" i="4" s="1"/>
  <c r="CR208" i="3"/>
  <c r="CR206" i="3" s="1"/>
  <c r="CT208" i="3"/>
  <c r="CS206" i="3"/>
  <c r="CU375" i="4"/>
  <c r="CR295" i="4"/>
  <c r="CR203" i="4"/>
  <c r="CR378" i="4"/>
  <c r="BW479" i="2"/>
  <c r="BW619" i="2"/>
  <c r="BW621" i="2" s="1"/>
  <c r="CB64" i="3"/>
  <c r="CB287" i="2"/>
  <c r="CB630" i="2" s="1"/>
  <c r="CB631" i="2" s="1"/>
  <c r="BZ251" i="4"/>
  <c r="BZ252" i="4" s="1"/>
  <c r="BX345" i="2"/>
  <c r="CL206" i="4"/>
  <c r="CM206" i="4" s="1"/>
  <c r="CM205" i="4"/>
  <c r="CM203" i="4" s="1"/>
  <c r="CM204" i="4" s="1"/>
  <c r="BT171" i="2"/>
  <c r="BT153" i="2"/>
  <c r="BR184" i="2"/>
  <c r="BR503" i="2"/>
  <c r="BQ180" i="2"/>
  <c r="BQ503" i="2" s="1"/>
  <c r="BS180" i="2"/>
  <c r="BS169" i="2"/>
  <c r="BS151" i="2"/>
  <c r="BV176" i="2"/>
  <c r="CL380" i="4"/>
  <c r="CM379" i="4"/>
  <c r="CM380" i="4" s="1"/>
  <c r="BY72" i="2"/>
  <c r="BY619" i="2"/>
  <c r="BY621" i="2" s="1"/>
  <c r="BY479" i="2"/>
  <c r="CP378" i="4"/>
  <c r="CP375" i="4" s="1"/>
  <c r="CP376" i="4" s="1"/>
  <c r="CO379" i="4"/>
  <c r="CE271" i="2"/>
  <c r="CC271" i="2"/>
  <c r="CD269" i="2"/>
  <c r="BU152" i="2"/>
  <c r="BT60" i="2"/>
  <c r="BU59" i="2"/>
  <c r="BU617" i="2"/>
  <c r="BU622" i="2" s="1"/>
  <c r="CN296" i="2"/>
  <c r="CP296" i="2" s="1"/>
  <c r="CL296" i="2"/>
  <c r="BV153" i="2"/>
  <c r="BV60" i="2"/>
  <c r="BV171" i="2"/>
  <c r="CA66" i="3"/>
  <c r="CB77" i="2"/>
  <c r="CA74" i="2"/>
  <c r="BZ77" i="2"/>
  <c r="CO296" i="4"/>
  <c r="CO298" i="4"/>
  <c r="CJ300" i="4"/>
  <c r="CJ302" i="4" s="1"/>
  <c r="CI302" i="4"/>
  <c r="DL148" i="3"/>
  <c r="DM149" i="3"/>
  <c r="DL455" i="2"/>
  <c r="CQ280" i="2"/>
  <c r="CS280" i="2" s="1"/>
  <c r="CO280" i="2"/>
  <c r="CQ19" i="4"/>
  <c r="CO19" i="4"/>
  <c r="CO33" i="4" s="1"/>
  <c r="CN33" i="4"/>
  <c r="CM19" i="4"/>
  <c r="CM33" i="4" s="1"/>
  <c r="CL33" i="4"/>
  <c r="DQ206" i="3"/>
  <c r="CC255" i="2"/>
  <c r="CD252" i="2"/>
  <c r="CY145" i="2"/>
  <c r="CX145" i="2" s="1"/>
  <c r="CZ145" i="2"/>
  <c r="AZ374" i="2"/>
  <c r="AX374" i="2"/>
  <c r="CE255" i="2"/>
  <c r="CE252" i="2" s="1"/>
  <c r="CE263" i="2" s="1"/>
  <c r="CE264" i="2" s="1"/>
  <c r="CG256" i="2"/>
  <c r="AV385" i="2"/>
  <c r="AV396" i="2"/>
  <c r="BO415" i="2"/>
  <c r="BN415" i="2" s="1"/>
  <c r="BP414" i="2"/>
  <c r="BN414" i="2"/>
  <c r="CH139" i="2"/>
  <c r="CH140" i="2" s="1"/>
  <c r="CH141" i="2" s="1"/>
  <c r="CJ138" i="2"/>
  <c r="BB700" i="4"/>
  <c r="BB903" i="4" s="1"/>
  <c r="BB902" i="4"/>
  <c r="BA736" i="4"/>
  <c r="BA782" i="4" s="1"/>
  <c r="BB658" i="4"/>
  <c r="BN478" i="2"/>
  <c r="BN481" i="2"/>
  <c r="BN482" i="2" s="1"/>
  <c r="BW640" i="2"/>
  <c r="BW327" i="2"/>
  <c r="BW513" i="2"/>
  <c r="BW328" i="2"/>
  <c r="BW236" i="3" s="1"/>
  <c r="BW120" i="3"/>
  <c r="BW119" i="3" s="1"/>
  <c r="BW166" i="2"/>
  <c r="BY329" i="2"/>
  <c r="BY513" i="2"/>
  <c r="BY640" i="2"/>
  <c r="BY328" i="2"/>
  <c r="BY236" i="3" s="1"/>
  <c r="BY120" i="3"/>
  <c r="BY119" i="3" s="1"/>
  <c r="BY327" i="2"/>
  <c r="BX330" i="2"/>
  <c r="BX235" i="3"/>
  <c r="BW329" i="2"/>
  <c r="CB292" i="2"/>
  <c r="CA290" i="2"/>
  <c r="CA304" i="2" s="1"/>
  <c r="BZ304" i="2" s="1"/>
  <c r="BZ292" i="2"/>
  <c r="CV232" i="4"/>
  <c r="BB938" i="4"/>
  <c r="AP25" i="2"/>
  <c r="EU248" i="2"/>
  <c r="EQ248" i="2"/>
  <c r="EQ33" i="3" s="1"/>
  <c r="EQ35" i="3" s="1"/>
  <c r="ES248" i="2"/>
  <c r="ES33" i="3" s="1"/>
  <c r="AQ25" i="2"/>
  <c r="EW254" i="4"/>
  <c r="EV254" i="4"/>
  <c r="EV61" i="4"/>
  <c r="EX50" i="4"/>
  <c r="EU61" i="4"/>
  <c r="ET235" i="2"/>
  <c r="EV235" i="2"/>
  <c r="EX235" i="2"/>
  <c r="CJ217" i="3"/>
  <c r="CH215" i="3"/>
  <c r="EX626" i="2"/>
  <c r="BR529" i="2"/>
  <c r="BR522" i="2"/>
  <c r="BR530" i="2" s="1"/>
  <c r="BQ413" i="2"/>
  <c r="BQ152" i="3"/>
  <c r="BT64" i="4"/>
  <c r="DR413" i="2"/>
  <c r="DQ529" i="2"/>
  <c r="DP413" i="2"/>
  <c r="DQ522" i="2"/>
  <c r="DQ530" i="2" s="1"/>
  <c r="CJ277" i="4"/>
  <c r="CJ278" i="4" s="1"/>
  <c r="BX441" i="4"/>
  <c r="BX451" i="4"/>
  <c r="CR149" i="3"/>
  <c r="CQ148" i="3"/>
  <c r="CQ455" i="2"/>
  <c r="CQ78" i="2"/>
  <c r="CS78" i="2" s="1"/>
  <c r="CO78" i="2"/>
  <c r="EF131" i="3"/>
  <c r="AU441" i="2"/>
  <c r="AT411" i="2"/>
  <c r="AT409" i="2"/>
  <c r="AT410" i="2"/>
  <c r="AO365" i="2"/>
  <c r="AO223" i="3" s="1"/>
  <c r="AO366" i="2"/>
  <c r="AO224" i="3" s="1"/>
  <c r="AO27" i="2"/>
  <c r="AR400" i="2"/>
  <c r="AR140" i="2" s="1"/>
  <c r="AR141" i="2" s="1"/>
  <c r="AR398" i="2"/>
  <c r="AN20" i="2"/>
  <c r="AN140" i="2"/>
  <c r="AN141" i="2" s="1"/>
  <c r="AM365" i="2"/>
  <c r="AM223" i="3" s="1"/>
  <c r="AM366" i="2"/>
  <c r="AM224" i="3" s="1"/>
  <c r="AM27" i="2"/>
  <c r="AP400" i="2"/>
  <c r="AR91" i="2" s="1"/>
  <c r="AP398" i="2"/>
  <c r="AR25" i="2"/>
  <c r="AQ14" i="2"/>
  <c r="AQ11" i="2"/>
  <c r="CK279" i="2"/>
  <c r="CM279" i="2" s="1"/>
  <c r="CI279" i="2"/>
  <c r="EM124" i="3"/>
  <c r="EN124" i="3" s="1"/>
  <c r="EL124" i="3"/>
  <c r="EP35" i="3"/>
  <c r="ER33" i="3"/>
  <c r="ER35" i="3" s="1"/>
  <c r="EB212" i="2"/>
  <c r="EH125" i="3"/>
  <c r="EG78" i="2"/>
  <c r="EG182" i="2" s="1"/>
  <c r="EG131" i="3"/>
  <c r="EG132" i="3" s="1"/>
  <c r="CG337" i="4"/>
  <c r="CG338" i="4" s="1"/>
  <c r="CN283" i="4"/>
  <c r="CM280" i="4"/>
  <c r="CM277" i="4" s="1"/>
  <c r="CL282" i="4"/>
  <c r="CI283" i="4"/>
  <c r="CJ282" i="4"/>
  <c r="CJ283" i="4" s="1"/>
  <c r="BS430" i="4"/>
  <c r="DY185" i="4"/>
  <c r="EB185" i="4" s="1"/>
  <c r="EE185" i="4" s="1"/>
  <c r="EH185" i="4" s="1"/>
  <c r="EK185" i="4" s="1"/>
  <c r="EN185" i="4" s="1"/>
  <c r="EQ185" i="4" s="1"/>
  <c r="ET185" i="4" s="1"/>
  <c r="CA344" i="4"/>
  <c r="BB706" i="4"/>
  <c r="BB909" i="4" s="1"/>
  <c r="BA939" i="4"/>
  <c r="CA209" i="4"/>
  <c r="CA210" i="4" s="1"/>
  <c r="BB734" i="4"/>
  <c r="BB780" i="4" s="1"/>
  <c r="BB937" i="4"/>
  <c r="DC105" i="4"/>
  <c r="DF108" i="4"/>
  <c r="DA108" i="4"/>
  <c r="CY108" i="4"/>
  <c r="CY109" i="4" s="1"/>
  <c r="CW378" i="4"/>
  <c r="CW355" i="4"/>
  <c r="CW163" i="4"/>
  <c r="CW164" i="4" s="1"/>
  <c r="EM111" i="4"/>
  <c r="EL111" i="4"/>
  <c r="CZ354" i="4"/>
  <c r="CZ747" i="4"/>
  <c r="CZ748" i="4" s="1"/>
  <c r="CZ749" i="4" s="1"/>
  <c r="CZ106" i="4"/>
  <c r="CZ96" i="4"/>
  <c r="BZ21" i="4"/>
  <c r="CA16" i="4"/>
  <c r="CA30" i="4" s="1"/>
  <c r="BU256" i="4"/>
  <c r="BU257" i="4" s="1"/>
  <c r="BS469" i="4"/>
  <c r="BS475" i="4" s="1"/>
  <c r="BW71" i="4"/>
  <c r="BS257" i="4"/>
  <c r="CA38" i="4"/>
  <c r="CC25" i="4"/>
  <c r="CC38" i="4" s="1"/>
  <c r="BW3" i="4"/>
  <c r="BZ20" i="4"/>
  <c r="BZ3" i="4" s="1"/>
  <c r="BT44" i="4"/>
  <c r="BT42" i="4" s="1"/>
  <c r="BV235" i="4"/>
  <c r="BV238" i="4"/>
  <c r="BV429" i="4"/>
  <c r="BB945" i="4"/>
  <c r="CD262" i="4"/>
  <c r="CD263" i="4" s="1"/>
  <c r="BD688" i="4"/>
  <c r="BU345" i="4"/>
  <c r="BU429" i="4"/>
  <c r="BU430" i="4" s="1"/>
  <c r="BT348" i="4"/>
  <c r="CF170" i="4"/>
  <c r="CF15" i="4" s="1"/>
  <c r="CC127" i="4"/>
  <c r="CC128" i="4" s="1"/>
  <c r="CG332" i="4"/>
  <c r="CG333" i="4" s="1"/>
  <c r="BT471" i="4"/>
  <c r="BT472" i="4" s="1"/>
  <c r="BX841" i="4"/>
  <c r="CA823" i="4"/>
  <c r="BW823" i="4"/>
  <c r="BT841" i="4"/>
  <c r="BS823" i="4"/>
  <c r="BS841" i="4" s="1"/>
  <c r="BZ426" i="4"/>
  <c r="BZ456" i="4" s="1"/>
  <c r="CF124" i="4"/>
  <c r="CF127" i="4" s="1"/>
  <c r="CJ852" i="4"/>
  <c r="CE852" i="4"/>
  <c r="CF852" i="4" s="1"/>
  <c r="CC235" i="4"/>
  <c r="CC420" i="4"/>
  <c r="CC449" i="4" s="1"/>
  <c r="BR465" i="4"/>
  <c r="BR466" i="4" s="1"/>
  <c r="CC171" i="4"/>
  <c r="CC253" i="4"/>
  <c r="CC251" i="4" s="1"/>
  <c r="CC252" i="4" s="1"/>
  <c r="CC244" i="4"/>
  <c r="CA422" i="4"/>
  <c r="CA423" i="4" s="1"/>
  <c r="CD17" i="4"/>
  <c r="CD31" i="4" s="1"/>
  <c r="BX461" i="4"/>
  <c r="BX462" i="4" s="1"/>
  <c r="BX431" i="4"/>
  <c r="BX432" i="4" s="1"/>
  <c r="BW435" i="4"/>
  <c r="BW436" i="4" s="1"/>
  <c r="CB209" i="4"/>
  <c r="CB210" i="4" s="1"/>
  <c r="BW465" i="4"/>
  <c r="BW466" i="4" s="1"/>
  <c r="CD124" i="4"/>
  <c r="CD125" i="4" s="1"/>
  <c r="CX233" i="4"/>
  <c r="CX232" i="4"/>
  <c r="DG395" i="4"/>
  <c r="DG397" i="4" s="1"/>
  <c r="DG398" i="4" s="1"/>
  <c r="DG225" i="4"/>
  <c r="DJ392" i="4"/>
  <c r="DG317" i="4"/>
  <c r="DD226" i="4"/>
  <c r="DD228" i="4"/>
  <c r="DA321" i="4"/>
  <c r="DA323" i="4" s="1"/>
  <c r="DA324" i="4" s="1"/>
  <c r="DA322" i="4"/>
  <c r="DD320" i="4"/>
  <c r="DD318" i="4"/>
  <c r="CY322" i="4"/>
  <c r="CY229" i="4"/>
  <c r="DA229" i="4"/>
  <c r="DA231" i="4"/>
  <c r="BW130" i="4"/>
  <c r="CL387" i="4"/>
  <c r="CM387" i="4" s="1"/>
  <c r="BE592" i="4"/>
  <c r="BE640" i="4" s="1"/>
  <c r="CT324" i="4"/>
  <c r="CV323" i="4"/>
  <c r="CV324" i="4" s="1"/>
  <c r="DC397" i="4"/>
  <c r="DE395" i="4"/>
  <c r="DB320" i="4"/>
  <c r="CZ322" i="4"/>
  <c r="CZ321" i="4"/>
  <c r="DC228" i="4"/>
  <c r="DE225" i="4"/>
  <c r="DE226" i="4" s="1"/>
  <c r="DC226" i="4"/>
  <c r="CZ231" i="4"/>
  <c r="CZ229" i="4"/>
  <c r="DB228" i="4"/>
  <c r="CZ398" i="4"/>
  <c r="DB397" i="4"/>
  <c r="DB398" i="4" s="1"/>
  <c r="DC320" i="4"/>
  <c r="DC318" i="4"/>
  <c r="DE317" i="4"/>
  <c r="DE318" i="4" s="1"/>
  <c r="CW232" i="4"/>
  <c r="CY231" i="4"/>
  <c r="CY233" i="4" s="1"/>
  <c r="CW233" i="4"/>
  <c r="CW323" i="4"/>
  <c r="CY321" i="4"/>
  <c r="DF317" i="4"/>
  <c r="DF225" i="4"/>
  <c r="DI392" i="4"/>
  <c r="DF395" i="4"/>
  <c r="ED81" i="4"/>
  <c r="EC82" i="4"/>
  <c r="BD896" i="4"/>
  <c r="CE164" i="4"/>
  <c r="CG163" i="4"/>
  <c r="CH164" i="4"/>
  <c r="BM476" i="4"/>
  <c r="BO475" i="4"/>
  <c r="BO476" i="4" s="1"/>
  <c r="CJ174" i="4"/>
  <c r="CG174" i="4"/>
  <c r="CG205" i="4"/>
  <c r="CG203" i="4" s="1"/>
  <c r="CE206" i="4"/>
  <c r="CG206" i="4" s="1"/>
  <c r="BF590" i="4"/>
  <c r="BF626" i="4" s="1"/>
  <c r="CC822" i="4"/>
  <c r="CG822" i="4"/>
  <c r="CD828" i="4"/>
  <c r="CD829" i="4" s="1"/>
  <c r="CD830" i="4" s="1"/>
  <c r="CD831" i="4" s="1"/>
  <c r="CD840" i="4"/>
  <c r="CD846" i="4" s="1"/>
  <c r="CD847" i="4" s="1"/>
  <c r="CD848" i="4" s="1"/>
  <c r="CD849" i="4" s="1"/>
  <c r="BV840" i="4"/>
  <c r="BV846" i="4" s="1"/>
  <c r="BV847" i="4" s="1"/>
  <c r="BV848" i="4" s="1"/>
  <c r="BV849" i="4" s="1"/>
  <c r="BV828" i="4"/>
  <c r="BV829" i="4" s="1"/>
  <c r="BV830" i="4" s="1"/>
  <c r="BV831" i="4" s="1"/>
  <c r="CD771" i="4"/>
  <c r="BZ840" i="4"/>
  <c r="BZ846" i="4" s="1"/>
  <c r="BZ847" i="4" s="1"/>
  <c r="BZ848" i="4" s="1"/>
  <c r="BZ849" i="4" s="1"/>
  <c r="BZ828" i="4"/>
  <c r="BZ829" i="4" s="1"/>
  <c r="BZ830" i="4" s="1"/>
  <c r="BZ831" i="4" s="1"/>
  <c r="BY822" i="4"/>
  <c r="CD773" i="4"/>
  <c r="BG569" i="4"/>
  <c r="BJ838" i="4"/>
  <c r="BJ843" i="4"/>
  <c r="BJ856" i="4" s="1"/>
  <c r="BQ825" i="4"/>
  <c r="BU825" i="4"/>
  <c r="BR843" i="4"/>
  <c r="BR856" i="4" s="1"/>
  <c r="BR838" i="4"/>
  <c r="BD711" i="4"/>
  <c r="BF591" i="4"/>
  <c r="BE639" i="4"/>
  <c r="BE687" i="4" s="1"/>
  <c r="BE729" i="4" s="1"/>
  <c r="BE627" i="4"/>
  <c r="BE669" i="4" s="1"/>
  <c r="BE711" i="4" s="1"/>
  <c r="BD621" i="4"/>
  <c r="BD633" i="4"/>
  <c r="BN838" i="4"/>
  <c r="BM825" i="4"/>
  <c r="BN843" i="4"/>
  <c r="BN856" i="4" s="1"/>
  <c r="CJ835" i="4"/>
  <c r="CM835" i="4" s="1"/>
  <c r="BY771" i="4"/>
  <c r="BE585" i="4"/>
  <c r="BE586" i="4" s="1"/>
  <c r="BC938" i="4"/>
  <c r="BC735" i="4"/>
  <c r="BC781" i="4" s="1"/>
  <c r="BC902" i="4"/>
  <c r="BD729" i="4"/>
  <c r="BD932" i="4" s="1"/>
  <c r="EI75" i="4"/>
  <c r="EI76" i="4" s="1"/>
  <c r="EH76" i="4"/>
  <c r="EJ75" i="4"/>
  <c r="DF298" i="4"/>
  <c r="DF299" i="4" s="1"/>
  <c r="DF266" i="4"/>
  <c r="CX105" i="4"/>
  <c r="CU354" i="4"/>
  <c r="CU747" i="4"/>
  <c r="CV105" i="4"/>
  <c r="CV106" i="4" s="1"/>
  <c r="CU96" i="4"/>
  <c r="CS837" i="4"/>
  <c r="CQ837" i="4" s="1"/>
  <c r="CR837" i="4" s="1"/>
  <c r="CL281" i="4"/>
  <c r="CL260" i="4"/>
  <c r="CM260" i="4" s="1"/>
  <c r="CM261" i="4" s="1"/>
  <c r="BE878" i="4"/>
  <c r="BE879" i="4" s="1"/>
  <c r="CI284" i="4"/>
  <c r="CJ284" i="4" s="1"/>
  <c r="CJ285" i="4" s="1"/>
  <c r="CG762" i="4"/>
  <c r="CG768" i="4"/>
  <c r="CG770" i="4" s="1"/>
  <c r="AD396" i="2"/>
  <c r="AD385" i="2"/>
  <c r="AH374" i="2"/>
  <c r="AH396" i="2" s="1"/>
  <c r="AH398" i="2" s="1"/>
  <c r="AF374" i="2"/>
  <c r="BZ342" i="4"/>
  <c r="CA342" i="4" s="1"/>
  <c r="BZ461" i="4"/>
  <c r="BZ462" i="4" s="1"/>
  <c r="CM580" i="4"/>
  <c r="CH580" i="4"/>
  <c r="CI580" i="4" s="1"/>
  <c r="BY773" i="4"/>
  <c r="BY774" i="4" s="1"/>
  <c r="BW343" i="4"/>
  <c r="BW347" i="4"/>
  <c r="BX347" i="4" s="1"/>
  <c r="BX348" i="4" s="1"/>
  <c r="CF313" i="4"/>
  <c r="CG313" i="4" s="1"/>
  <c r="CG315" i="4" s="1"/>
  <c r="CF262" i="4"/>
  <c r="CG262" i="4" s="1"/>
  <c r="CF285" i="4"/>
  <c r="DB745" i="4"/>
  <c r="CF440" i="4"/>
  <c r="CN189" i="4"/>
  <c r="DF273" i="2"/>
  <c r="DD273" i="2"/>
  <c r="CC453" i="4"/>
  <c r="BF955" i="4"/>
  <c r="BG859" i="4"/>
  <c r="DB103" i="4"/>
  <c r="CM761" i="4"/>
  <c r="DB100" i="4"/>
  <c r="DA252" i="2"/>
  <c r="DB263" i="2"/>
  <c r="W55" i="9" s="1"/>
  <c r="CM189" i="4"/>
  <c r="CM185" i="4"/>
  <c r="CM186" i="4" s="1"/>
  <c r="CL189" i="4"/>
  <c r="DF256" i="2"/>
  <c r="DE255" i="2"/>
  <c r="X52" i="9" s="1"/>
  <c r="DD256" i="2"/>
  <c r="BZ423" i="4"/>
  <c r="BZ451" i="4"/>
  <c r="CT183" i="4"/>
  <c r="CQ188" i="4"/>
  <c r="EG213" i="3"/>
  <c r="EI260" i="2"/>
  <c r="BE890" i="4"/>
  <c r="BE891" i="4" s="1"/>
  <c r="DA266" i="4"/>
  <c r="DB265" i="4"/>
  <c r="DB266" i="4" s="1"/>
  <c r="CV207" i="3"/>
  <c r="BT133" i="4"/>
  <c r="BT492" i="4"/>
  <c r="BT131" i="4"/>
  <c r="BE884" i="4"/>
  <c r="BE885" i="4" s="1"/>
  <c r="DB504" i="4"/>
  <c r="DB505" i="4"/>
  <c r="CI221" i="4"/>
  <c r="CI222" i="4"/>
  <c r="BC742" i="4"/>
  <c r="BC788" i="4" s="1"/>
  <c r="BZ771" i="4"/>
  <c r="BZ770" i="4"/>
  <c r="DG102" i="4"/>
  <c r="DD265" i="4"/>
  <c r="DD746" i="4"/>
  <c r="DE746" i="4" s="1"/>
  <c r="DE102" i="4"/>
  <c r="CI332" i="4"/>
  <c r="CI334" i="4" s="1"/>
  <c r="CI261" i="4"/>
  <c r="CI337" i="4"/>
  <c r="CI339" i="4" s="1"/>
  <c r="CI450" i="4" s="1"/>
  <c r="DA174" i="4"/>
  <c r="DB173" i="4"/>
  <c r="DB174" i="4" s="1"/>
  <c r="CC344" i="4"/>
  <c r="CC16" i="4"/>
  <c r="CC30" i="4" s="1"/>
  <c r="CC422" i="4"/>
  <c r="CC441" i="4" s="1"/>
  <c r="CC263" i="4"/>
  <c r="CN387" i="4"/>
  <c r="CD424" i="4"/>
  <c r="CD425" i="4" s="1"/>
  <c r="CC443" i="4"/>
  <c r="CR275" i="4"/>
  <c r="CS275" i="4" s="1"/>
  <c r="CS276" i="4" s="1"/>
  <c r="CO280" i="4"/>
  <c r="BZ329" i="4"/>
  <c r="BZ326" i="4"/>
  <c r="CA326" i="4" s="1"/>
  <c r="BZ431" i="4"/>
  <c r="BZ432" i="4" s="1"/>
  <c r="DG99" i="4"/>
  <c r="DD173" i="4"/>
  <c r="DD745" i="4"/>
  <c r="DE99" i="4"/>
  <c r="CC315" i="4"/>
  <c r="CC328" i="4"/>
  <c r="CC326" i="4" s="1"/>
  <c r="CC768" i="4"/>
  <c r="CC762" i="4"/>
  <c r="CJ386" i="4"/>
  <c r="CJ213" i="4"/>
  <c r="CJ384" i="4"/>
  <c r="CJ305" i="4"/>
  <c r="CE156" i="2"/>
  <c r="CE5" i="3"/>
  <c r="CE11" i="3" s="1"/>
  <c r="CE91" i="2"/>
  <c r="CE344" i="2"/>
  <c r="CE173" i="2"/>
  <c r="CE202" i="3"/>
  <c r="CF90" i="2"/>
  <c r="CT275" i="4"/>
  <c r="CQ280" i="4"/>
  <c r="CQ282" i="4" s="1"/>
  <c r="BH818" i="4"/>
  <c r="BI812" i="4"/>
  <c r="BI818" i="4" s="1"/>
  <c r="CB142" i="2"/>
  <c r="CB143" i="2" s="1"/>
  <c r="CB146" i="2" s="1"/>
  <c r="CC142" i="2" s="1"/>
  <c r="CC143" i="2" s="1"/>
  <c r="CC146" i="2" s="1"/>
  <c r="CD142" i="2"/>
  <c r="CD143" i="2" s="1"/>
  <c r="CD146" i="2" s="1"/>
  <c r="CK284" i="4"/>
  <c r="BD697" i="4"/>
  <c r="CE440" i="4"/>
  <c r="CG334" i="4"/>
  <c r="CE335" i="4"/>
  <c r="CE25" i="4"/>
  <c r="CE125" i="4"/>
  <c r="BR11" i="4"/>
  <c r="BR8" i="4"/>
  <c r="BG866" i="4"/>
  <c r="CF390" i="4"/>
  <c r="CF402" i="4"/>
  <c r="CG402" i="4" s="1"/>
  <c r="CG403" i="4" s="1"/>
  <c r="CB45" i="4"/>
  <c r="CB417" i="4"/>
  <c r="CB473" i="4"/>
  <c r="CD463" i="4"/>
  <c r="CB464" i="4"/>
  <c r="CH222" i="4"/>
  <c r="CH221" i="4"/>
  <c r="CJ220" i="4"/>
  <c r="CJ222" i="4" s="1"/>
  <c r="BQ693" i="4"/>
  <c r="DC20" i="2"/>
  <c r="BE667" i="4"/>
  <c r="BF667" i="4" s="1"/>
  <c r="BF709" i="4" s="1"/>
  <c r="EG296" i="4"/>
  <c r="CM836" i="4"/>
  <c r="CK836" i="4" s="1"/>
  <c r="CL836" i="4" s="1"/>
  <c r="CS360" i="4"/>
  <c r="CS356" i="4"/>
  <c r="EM293" i="2"/>
  <c r="EO293" i="2" s="1"/>
  <c r="EK293" i="2"/>
  <c r="BX146" i="4"/>
  <c r="BX147" i="4" s="1"/>
  <c r="BV147" i="4"/>
  <c r="BY421" i="4"/>
  <c r="BY426" i="4"/>
  <c r="CA420" i="4"/>
  <c r="CA421" i="4" s="1"/>
  <c r="BY44" i="4"/>
  <c r="BY471" i="4"/>
  <c r="BY348" i="4"/>
  <c r="BY448" i="4"/>
  <c r="CA248" i="4"/>
  <c r="BY139" i="4"/>
  <c r="BV44" i="4"/>
  <c r="BV471" i="4"/>
  <c r="BV348" i="4"/>
  <c r="CH334" i="4"/>
  <c r="BZ430" i="4"/>
  <c r="CS69" i="3"/>
  <c r="CO69" i="3"/>
  <c r="CP70" i="2"/>
  <c r="CD241" i="4"/>
  <c r="CD242" i="4" s="1"/>
  <c r="CB243" i="4"/>
  <c r="CB38" i="4"/>
  <c r="AZ921" i="4"/>
  <c r="AZ939" i="4"/>
  <c r="CE403" i="4"/>
  <c r="CE416" i="4"/>
  <c r="CE433" i="4"/>
  <c r="CA433" i="4"/>
  <c r="CA434" i="4" s="1"/>
  <c r="BQ651" i="4"/>
  <c r="CE463" i="4"/>
  <c r="BE873" i="4"/>
  <c r="BF870" i="4"/>
  <c r="BX459" i="4"/>
  <c r="BX460" i="4" s="1"/>
  <c r="BV460" i="4"/>
  <c r="BV465" i="4"/>
  <c r="BY459" i="4"/>
  <c r="CA253" i="4"/>
  <c r="BY251" i="4"/>
  <c r="BY146" i="4"/>
  <c r="CH285" i="4"/>
  <c r="CH313" i="4"/>
  <c r="CH124" i="4"/>
  <c r="CH262" i="4"/>
  <c r="BD628" i="4"/>
  <c r="BH753" i="4"/>
  <c r="BU480" i="4"/>
  <c r="BU484" i="4"/>
  <c r="BU487" i="4"/>
  <c r="BU427" i="4"/>
  <c r="CD307" i="4"/>
  <c r="CD306" i="4"/>
  <c r="CJ364" i="4"/>
  <c r="CJ365" i="4" s="1"/>
  <c r="CJ367" i="4"/>
  <c r="EE292" i="2"/>
  <c r="EG292" i="2"/>
  <c r="EI292" i="2" s="1"/>
  <c r="BV439" i="4"/>
  <c r="BX438" i="4"/>
  <c r="BX439" i="4" s="1"/>
  <c r="BV444" i="4"/>
  <c r="BD715" i="4"/>
  <c r="DU93" i="3"/>
  <c r="BE894" i="4"/>
  <c r="CP267" i="4"/>
  <c r="CP268" i="4" s="1"/>
  <c r="CP357" i="4" s="1"/>
  <c r="CP271" i="4"/>
  <c r="DG356" i="4"/>
  <c r="CJ854" i="4"/>
  <c r="CH854" i="4" s="1"/>
  <c r="CI854" i="4" s="1"/>
  <c r="BI883" i="4"/>
  <c r="BE942" i="4"/>
  <c r="BE655" i="4"/>
  <c r="BE661" i="4"/>
  <c r="BE703" i="4" s="1"/>
  <c r="BE906" i="4" s="1"/>
  <c r="BU454" i="4"/>
  <c r="BU456" i="4" s="1"/>
  <c r="BS456" i="4"/>
  <c r="BY462" i="4"/>
  <c r="BI871" i="4"/>
  <c r="BZ460" i="4"/>
  <c r="BY26" i="4"/>
  <c r="CA23" i="4"/>
  <c r="CA36" i="4" s="1"/>
  <c r="BY36" i="4"/>
  <c r="CE246" i="4"/>
  <c r="CG168" i="4"/>
  <c r="CG169" i="4" s="1"/>
  <c r="CE169" i="4"/>
  <c r="CE241" i="4"/>
  <c r="BC901" i="4"/>
  <c r="CW359" i="4"/>
  <c r="CZ356" i="4"/>
  <c r="CN214" i="4"/>
  <c r="CN215" i="4"/>
  <c r="CN217" i="4" s="1"/>
  <c r="DE11" i="2"/>
  <c r="DE14" i="2"/>
  <c r="BI865" i="4"/>
  <c r="CQ362" i="4"/>
  <c r="CN366" i="4"/>
  <c r="BX139" i="4"/>
  <c r="BX140" i="4" s="1"/>
  <c r="BV140" i="4"/>
  <c r="EG73" i="3"/>
  <c r="EG75" i="3" s="1"/>
  <c r="EI278" i="2"/>
  <c r="EB274" i="2"/>
  <c r="ED274" i="2"/>
  <c r="EF274" i="2" s="1"/>
  <c r="AG58" i="9" s="1"/>
  <c r="BB742" i="4"/>
  <c r="BB788" i="4" s="1"/>
  <c r="BB915" i="4"/>
  <c r="CD215" i="4"/>
  <c r="CD214" i="4"/>
  <c r="BS333" i="2"/>
  <c r="BS169" i="3"/>
  <c r="BS165" i="3" s="1"/>
  <c r="BS335" i="2"/>
  <c r="BS339" i="2"/>
  <c r="BS33" i="2"/>
  <c r="BS42" i="2" s="1"/>
  <c r="BS341" i="2"/>
  <c r="BS150" i="2"/>
  <c r="BS334" i="2"/>
  <c r="BS165" i="2"/>
  <c r="BS340" i="2"/>
  <c r="BS170" i="3"/>
  <c r="BS166" i="3" s="1"/>
  <c r="BS171" i="3"/>
  <c r="BS167" i="3" s="1"/>
  <c r="BS179" i="3"/>
  <c r="BS163" i="2"/>
  <c r="BS336" i="2"/>
  <c r="BS342" i="2"/>
  <c r="BS31" i="2"/>
  <c r="BS161" i="2"/>
  <c r="BS73" i="2"/>
  <c r="BS69" i="2"/>
  <c r="BS160" i="2"/>
  <c r="BS61" i="2"/>
  <c r="BS159" i="2"/>
  <c r="BS162" i="2"/>
  <c r="BS337" i="2"/>
  <c r="BS158" i="2"/>
  <c r="BS56" i="2"/>
  <c r="CA464" i="4"/>
  <c r="DC82" i="4"/>
  <c r="DD81" i="4"/>
  <c r="CH390" i="4"/>
  <c r="CH402" i="4"/>
  <c r="CH400" i="4" s="1"/>
  <c r="BQ649" i="4"/>
  <c r="BV487" i="4"/>
  <c r="BX426" i="4"/>
  <c r="BV484" i="4"/>
  <c r="BV427" i="4"/>
  <c r="BV480" i="4"/>
  <c r="BE620" i="4"/>
  <c r="BE632" i="4"/>
  <c r="AE142" i="2"/>
  <c r="AE143" i="2" s="1"/>
  <c r="AE146" i="2" s="1"/>
  <c r="AC142" i="2"/>
  <c r="AC143" i="2" s="1"/>
  <c r="AC146" i="2" s="1"/>
  <c r="AD142" i="2" s="1"/>
  <c r="AD143" i="2" s="1"/>
  <c r="AD146" i="2" s="1"/>
  <c r="BY343" i="4"/>
  <c r="CD400" i="4"/>
  <c r="BZ417" i="4"/>
  <c r="BZ45" i="4"/>
  <c r="CA45" i="4" s="1"/>
  <c r="BZ473" i="4"/>
  <c r="BZ474" i="4" s="1"/>
  <c r="DD374" i="2"/>
  <c r="DC384" i="2"/>
  <c r="DC566" i="2"/>
  <c r="BE727" i="4"/>
  <c r="BE930" i="4" s="1"/>
  <c r="CB461" i="4"/>
  <c r="CB342" i="4"/>
  <c r="CB347" i="4" s="1"/>
  <c r="BF888" i="4"/>
  <c r="BC697" i="4"/>
  <c r="BC658" i="4"/>
  <c r="CM578" i="4"/>
  <c r="CH578" i="4"/>
  <c r="CI578" i="4" s="1"/>
  <c r="BC915" i="4"/>
  <c r="CN306" i="4"/>
  <c r="CN307" i="4"/>
  <c r="CN309" i="4" s="1"/>
  <c r="CN312" i="4" s="1"/>
  <c r="DF374" i="2"/>
  <c r="DH374" i="2"/>
  <c r="DE384" i="2"/>
  <c r="DE154" i="3"/>
  <c r="DE566" i="2"/>
  <c r="DE91" i="2"/>
  <c r="BQ691" i="4"/>
  <c r="EF132" i="3"/>
  <c r="EF212" i="2" s="1"/>
  <c r="ED212" i="2"/>
  <c r="BO652" i="4"/>
  <c r="EF75" i="3"/>
  <c r="CK337" i="4"/>
  <c r="CK332" i="4"/>
  <c r="CK261" i="4"/>
  <c r="BQ8" i="4"/>
  <c r="CC464" i="4"/>
  <c r="BS11" i="4"/>
  <c r="BU3" i="4"/>
  <c r="BJ500" i="2"/>
  <c r="BJ497" i="2"/>
  <c r="BJ504" i="2"/>
  <c r="BJ499" i="2"/>
  <c r="BK498" i="2"/>
  <c r="BS445" i="4"/>
  <c r="BU444" i="4"/>
  <c r="BU445" i="4" s="1"/>
  <c r="BW56" i="4"/>
  <c r="BW66" i="4"/>
  <c r="CV834" i="4"/>
  <c r="CT834" i="4" s="1"/>
  <c r="CU834" i="4" s="1"/>
  <c r="CM855" i="4"/>
  <c r="CB248" i="4"/>
  <c r="CD246" i="4"/>
  <c r="CD247" i="4" s="1"/>
  <c r="BB779" i="4"/>
  <c r="W411" i="2"/>
  <c r="W410" i="2"/>
  <c r="Y416" i="2"/>
  <c r="W409" i="2"/>
  <c r="W397" i="2" s="1"/>
  <c r="BE626" i="4"/>
  <c r="BE668" i="4" s="1"/>
  <c r="BE710" i="4" s="1"/>
  <c r="BE638" i="4"/>
  <c r="BE686" i="4" s="1"/>
  <c r="BE728" i="4" s="1"/>
  <c r="BE931" i="4" s="1"/>
  <c r="CG389" i="4"/>
  <c r="CG390" i="4" s="1"/>
  <c r="BY474" i="4"/>
  <c r="BS436" i="4"/>
  <c r="BU435" i="4"/>
  <c r="BU436" i="4" s="1"/>
  <c r="CW272" i="4"/>
  <c r="CW300" i="4"/>
  <c r="CW302" i="4" s="1"/>
  <c r="CW271" i="4"/>
  <c r="BG889" i="4"/>
  <c r="DQ224" i="3"/>
  <c r="BF625" i="4"/>
  <c r="BF637" i="4"/>
  <c r="BD957" i="4"/>
  <c r="CD450" i="4"/>
  <c r="CB451" i="4"/>
  <c r="CH90" i="2"/>
  <c r="CI85" i="2"/>
  <c r="DF416" i="2"/>
  <c r="BX842" i="4"/>
  <c r="BW824" i="4"/>
  <c r="CA824" i="4"/>
  <c r="CL180" i="4"/>
  <c r="CL208" i="4"/>
  <c r="CL168" i="4"/>
  <c r="CL179" i="4"/>
  <c r="CD402" i="4"/>
  <c r="CD403" i="4" s="1"/>
  <c r="BC951" i="4"/>
  <c r="BX343" i="4"/>
  <c r="BX345" i="4"/>
  <c r="ER286" i="2"/>
  <c r="CE31" i="4"/>
  <c r="BF864" i="4"/>
  <c r="BE867" i="4"/>
  <c r="DC11" i="2"/>
  <c r="DC14" i="2"/>
  <c r="CB423" i="4"/>
  <c r="CA127" i="4"/>
  <c r="CA128" i="4" s="1"/>
  <c r="BY128" i="4"/>
  <c r="BD710" i="4"/>
  <c r="BC706" i="4"/>
  <c r="BC909" i="4" s="1"/>
  <c r="BC906" i="4"/>
  <c r="BS64" i="4"/>
  <c r="BS54" i="4"/>
  <c r="BU43" i="4"/>
  <c r="BS42" i="4"/>
  <c r="BS47" i="4"/>
  <c r="CT69" i="3"/>
  <c r="CQ70" i="2"/>
  <c r="BR650" i="4"/>
  <c r="BG872" i="4"/>
  <c r="CQ380" i="4"/>
  <c r="CT360" i="4"/>
  <c r="CT379" i="4"/>
  <c r="CK367" i="4"/>
  <c r="CK389" i="4"/>
  <c r="CK351" i="4"/>
  <c r="BJ811" i="4"/>
  <c r="BK810" i="4"/>
  <c r="BJ816" i="4"/>
  <c r="BG568" i="4"/>
  <c r="BY56" i="4"/>
  <c r="BY66" i="4"/>
  <c r="DZ300" i="2"/>
  <c r="CL643" i="4"/>
  <c r="BY432" i="4"/>
  <c r="CF119" i="4"/>
  <c r="CF23" i="4"/>
  <c r="DY294" i="2"/>
  <c r="EA294" i="2"/>
  <c r="EC294" i="2" s="1"/>
  <c r="EJ133" i="3"/>
  <c r="EI133" i="3"/>
  <c r="BJ514" i="2"/>
  <c r="BI515" i="2"/>
  <c r="DS190" i="2"/>
  <c r="CK218" i="4"/>
  <c r="CK220" i="4"/>
  <c r="CD409" i="4"/>
  <c r="CD410" i="4" s="1"/>
  <c r="U409" i="2"/>
  <c r="U397" i="2" s="1"/>
  <c r="V397" i="2"/>
  <c r="V398" i="2" s="1"/>
  <c r="CE315" i="4"/>
  <c r="CE328" i="4"/>
  <c r="CE326" i="4" s="1"/>
  <c r="CC429" i="4"/>
  <c r="CC238" i="4"/>
  <c r="DC267" i="4"/>
  <c r="CZ270" i="4"/>
  <c r="CK310" i="4"/>
  <c r="BS824" i="4"/>
  <c r="BS842" i="4" s="1"/>
  <c r="BT842" i="4"/>
  <c r="CR175" i="4"/>
  <c r="CO178" i="4"/>
  <c r="BS644" i="4"/>
  <c r="CT273" i="4"/>
  <c r="CT301" i="4"/>
  <c r="CC136" i="4"/>
  <c r="CG305" i="4"/>
  <c r="CG213" i="4"/>
  <c r="CG384" i="4"/>
  <c r="CI241" i="4"/>
  <c r="CI243" i="4" s="1"/>
  <c r="CI169" i="4"/>
  <c r="CI246" i="4"/>
  <c r="CI248" i="4" s="1"/>
  <c r="DB185" i="2"/>
  <c r="W28" i="9" s="1"/>
  <c r="DA266" i="2"/>
  <c r="DB614" i="2"/>
  <c r="AQ224" i="2"/>
  <c r="AQ226" i="2" s="1"/>
  <c r="AO224" i="2"/>
  <c r="AO226" i="2" s="1"/>
  <c r="AP224" i="2" s="1"/>
  <c r="AM226" i="2"/>
  <c r="CL307" i="4"/>
  <c r="CL309" i="4" s="1"/>
  <c r="CM309" i="4" s="1"/>
  <c r="CL306" i="4"/>
  <c r="BK153" i="3"/>
  <c r="CB30" i="4"/>
  <c r="DS277" i="4"/>
  <c r="DV277" i="4" s="1"/>
  <c r="CC139" i="4"/>
  <c r="CC140" i="4" s="1"/>
  <c r="BO752" i="4"/>
  <c r="BF570" i="4"/>
  <c r="CG175" i="4"/>
  <c r="CG179" i="4"/>
  <c r="CF448" i="4"/>
  <c r="CI367" i="4"/>
  <c r="CI389" i="4"/>
  <c r="CJ389" i="4" s="1"/>
  <c r="CJ390" i="4" s="1"/>
  <c r="CI351" i="4"/>
  <c r="CJ351" i="4" s="1"/>
  <c r="CJ352" i="4" s="1"/>
  <c r="BX26" i="4"/>
  <c r="BX39" i="4" s="1"/>
  <c r="BV39" i="4"/>
  <c r="CC29" i="4"/>
  <c r="BW470" i="4"/>
  <c r="CT383" i="4"/>
  <c r="CQ305" i="4"/>
  <c r="CQ213" i="4"/>
  <c r="CQ386" i="4"/>
  <c r="CH179" i="4"/>
  <c r="CH208" i="4"/>
  <c r="CJ208" i="4" s="1"/>
  <c r="CJ178" i="4"/>
  <c r="CH168" i="4"/>
  <c r="CH180" i="4"/>
  <c r="CE450" i="4"/>
  <c r="CG339" i="4"/>
  <c r="BX56" i="4"/>
  <c r="BX66" i="4"/>
  <c r="BC715" i="4"/>
  <c r="CB253" i="4"/>
  <c r="CB171" i="4"/>
  <c r="CB420" i="4"/>
  <c r="CD170" i="4"/>
  <c r="CD171" i="4" s="1"/>
  <c r="CB15" i="4"/>
  <c r="BF685" i="4"/>
  <c r="CR272" i="4"/>
  <c r="CR271" i="4"/>
  <c r="CS270" i="4"/>
  <c r="BU71" i="4"/>
  <c r="BU34" i="4"/>
  <c r="BU30" i="2"/>
  <c r="BS175" i="2" s="1"/>
  <c r="BX473" i="4"/>
  <c r="BX474" i="4" s="1"/>
  <c r="BY438" i="4"/>
  <c r="BY244" i="4"/>
  <c r="CA243" i="4"/>
  <c r="CA244" i="4" s="1"/>
  <c r="BY136" i="4"/>
  <c r="EG338" i="4"/>
  <c r="CC5" i="3"/>
  <c r="CC11" i="3" s="1"/>
  <c r="CC344" i="2"/>
  <c r="CC156" i="2"/>
  <c r="CC173" i="2"/>
  <c r="CC202" i="3"/>
  <c r="BU252" i="4"/>
  <c r="BU254" i="4"/>
  <c r="CD452" i="4"/>
  <c r="CB453" i="4"/>
  <c r="BU150" i="3"/>
  <c r="CH299" i="2"/>
  <c r="CF299" i="2"/>
  <c r="CD405" i="4"/>
  <c r="CD406" i="4" s="1"/>
  <c r="CO273" i="4"/>
  <c r="CP272" i="4"/>
  <c r="CP273" i="4" s="1"/>
  <c r="CF409" i="4"/>
  <c r="CF452" i="4" s="1"/>
  <c r="CF17" i="4"/>
  <c r="CF31" i="4" s="1"/>
  <c r="CF424" i="4"/>
  <c r="CF425" i="4" s="1"/>
  <c r="CF405" i="4"/>
  <c r="CF442" i="4" s="1"/>
  <c r="CF352" i="4"/>
  <c r="CF413" i="4"/>
  <c r="CF463" i="4" s="1"/>
  <c r="EB256" i="2"/>
  <c r="ED256" i="2"/>
  <c r="EC255" i="2"/>
  <c r="AF52" i="9" s="1"/>
  <c r="BS466" i="4"/>
  <c r="BU465" i="4"/>
  <c r="BU466" i="4" s="1"/>
  <c r="BP475" i="2"/>
  <c r="BP53" i="2"/>
  <c r="BP43" i="2" s="1"/>
  <c r="BP476" i="2" s="1"/>
  <c r="CE452" i="4"/>
  <c r="CE442" i="4"/>
  <c r="CC444" i="4"/>
  <c r="CC445" i="4" s="1"/>
  <c r="BD680" i="4"/>
  <c r="BD722" i="4" s="1"/>
  <c r="BD925" i="4" s="1"/>
  <c r="BD674" i="4"/>
  <c r="BD716" i="4" s="1"/>
  <c r="BD919" i="4" s="1"/>
  <c r="BE679" i="4"/>
  <c r="BE721" i="4" s="1"/>
  <c r="BE924" i="4" s="1"/>
  <c r="BE673" i="4"/>
  <c r="BS154" i="4"/>
  <c r="BS150" i="4"/>
  <c r="DE268" i="2"/>
  <c r="DC266" i="2"/>
  <c r="CM853" i="4"/>
  <c r="CL214" i="4"/>
  <c r="CL215" i="4"/>
  <c r="CL217" i="4" s="1"/>
  <c r="CM217" i="4" s="1"/>
  <c r="CA91" i="3"/>
  <c r="BZ297" i="2"/>
  <c r="EJ78" i="4"/>
  <c r="EH79" i="4"/>
  <c r="BF882" i="4"/>
  <c r="BF631" i="4"/>
  <c r="BF619" i="4"/>
  <c r="CG180" i="4"/>
  <c r="CG181" i="4" s="1"/>
  <c r="CE181" i="4"/>
  <c r="CE118" i="4"/>
  <c r="CE170" i="4"/>
  <c r="BY29" i="4"/>
  <c r="BY21" i="4"/>
  <c r="BY20" i="4"/>
  <c r="CA15" i="4"/>
  <c r="CA29" i="4" s="1"/>
  <c r="BX448" i="4"/>
  <c r="BX449" i="4" s="1"/>
  <c r="BV454" i="4"/>
  <c r="BV449" i="4"/>
  <c r="BR33" i="2"/>
  <c r="BR335" i="2"/>
  <c r="BR150" i="2"/>
  <c r="BR341" i="2"/>
  <c r="BR342" i="2"/>
  <c r="BR165" i="2"/>
  <c r="BR336" i="2"/>
  <c r="BR31" i="2"/>
  <c r="BR179" i="3"/>
  <c r="BR334" i="2"/>
  <c r="BR161" i="2"/>
  <c r="BR339" i="2"/>
  <c r="BR340" i="2"/>
  <c r="BR73" i="2"/>
  <c r="BQ30" i="2"/>
  <c r="BQ11" i="4" s="1"/>
  <c r="BR333" i="2"/>
  <c r="BR163" i="2"/>
  <c r="BR160" i="2"/>
  <c r="BR337" i="2"/>
  <c r="BR69" i="2"/>
  <c r="BR159" i="2"/>
  <c r="BR61" i="2"/>
  <c r="BR158" i="2"/>
  <c r="BR56" i="2"/>
  <c r="BR162" i="2"/>
  <c r="CG221" i="4"/>
  <c r="CI181" i="4"/>
  <c r="CI209" i="4"/>
  <c r="CI118" i="4"/>
  <c r="CN460" i="2"/>
  <c r="CN464" i="2" s="1"/>
  <c r="CN86" i="2"/>
  <c r="CR383" i="4"/>
  <c r="CO213" i="4"/>
  <c r="CO305" i="4"/>
  <c r="CO386" i="4"/>
  <c r="CD300" i="2"/>
  <c r="CB297" i="2"/>
  <c r="BD728" i="4"/>
  <c r="DS283" i="2"/>
  <c r="CC454" i="4"/>
  <c r="BV252" i="4"/>
  <c r="BX251" i="4"/>
  <c r="BG589" i="4"/>
  <c r="BG583" i="4" s="1"/>
  <c r="BH567" i="4"/>
  <c r="CF438" i="4"/>
  <c r="CO362" i="4"/>
  <c r="CL366" i="4"/>
  <c r="CM366" i="4" s="1"/>
  <c r="BD897" i="4"/>
  <c r="CC433" i="4"/>
  <c r="CC434" i="4" s="1"/>
  <c r="CC403" i="4"/>
  <c r="CC416" i="4"/>
  <c r="CD416" i="4" s="1"/>
  <c r="CD417" i="4" s="1"/>
  <c r="BW54" i="4"/>
  <c r="BW64" i="4"/>
  <c r="BD709" i="4"/>
  <c r="BD670" i="4"/>
  <c r="CK85" i="2"/>
  <c r="CL86" i="2"/>
  <c r="BV71" i="4"/>
  <c r="BV34" i="4"/>
  <c r="BX20" i="4"/>
  <c r="BV30" i="2"/>
  <c r="BV3" i="4"/>
  <c r="CN175" i="4"/>
  <c r="CK178" i="4"/>
  <c r="CF210" i="4"/>
  <c r="CF237" i="4"/>
  <c r="CM362" i="4"/>
  <c r="CM363" i="4" s="1"/>
  <c r="BV257" i="4"/>
  <c r="BV43" i="4"/>
  <c r="BX256" i="4"/>
  <c r="BX257" i="4" s="1"/>
  <c r="BV469" i="4"/>
  <c r="CN281" i="4"/>
  <c r="CN260" i="4"/>
  <c r="BH813" i="4"/>
  <c r="BG819" i="4"/>
  <c r="CA453" i="4"/>
  <c r="BC724" i="4"/>
  <c r="BC927" i="4" s="1"/>
  <c r="BC924" i="4"/>
  <c r="CK312" i="4"/>
  <c r="CB127" i="4"/>
  <c r="CB119" i="4"/>
  <c r="CB23" i="4"/>
  <c r="CD118" i="4"/>
  <c r="CD119" i="4" s="1"/>
  <c r="CX267" i="4"/>
  <c r="CU270" i="4"/>
  <c r="BZ645" i="4"/>
  <c r="CB431" i="4"/>
  <c r="CB329" i="4"/>
  <c r="CH424" i="4"/>
  <c r="CH409" i="4"/>
  <c r="CH17" i="4"/>
  <c r="CH413" i="4"/>
  <c r="CH352" i="4"/>
  <c r="CH405" i="4"/>
  <c r="CH339" i="4"/>
  <c r="CL70" i="2"/>
  <c r="CL460" i="2" s="1"/>
  <c r="CL464" i="2" s="1"/>
  <c r="CM460" i="2"/>
  <c r="CM464" i="2" s="1"/>
  <c r="BV137" i="4"/>
  <c r="BX136" i="4"/>
  <c r="BX137" i="4" s="1"/>
  <c r="CC36" i="4"/>
  <c r="BS150" i="3"/>
  <c r="BJ692" i="4"/>
  <c r="DK270" i="2"/>
  <c r="CE263" i="4"/>
  <c r="CE344" i="4"/>
  <c r="CE16" i="4"/>
  <c r="CE422" i="4"/>
  <c r="CA416" i="4"/>
  <c r="CA417" i="4" s="1"/>
  <c r="BF754" i="4"/>
  <c r="BG751" i="4"/>
  <c r="CK579" i="4"/>
  <c r="CL579" i="4" s="1"/>
  <c r="CP579" i="4"/>
  <c r="CB443" i="4"/>
  <c r="CD442" i="4"/>
  <c r="BF860" i="4"/>
  <c r="BE956" i="4"/>
  <c r="BF876" i="4"/>
  <c r="BE954" i="4"/>
  <c r="BF858" i="4"/>
  <c r="BE861" i="4"/>
  <c r="BR148" i="3"/>
  <c r="BR455" i="2"/>
  <c r="BS149" i="3"/>
  <c r="BR480" i="2"/>
  <c r="BG877" i="4"/>
  <c r="BF895" i="4"/>
  <c r="DG226" i="2"/>
  <c r="DI224" i="2"/>
  <c r="DI226" i="2" s="1"/>
  <c r="DJ224" i="2" s="1"/>
  <c r="DK224" i="2"/>
  <c r="DK226" i="2" s="1"/>
  <c r="BP175" i="2"/>
  <c r="CB434" i="4"/>
  <c r="CD413" i="4"/>
  <c r="CD414" i="4" s="1"/>
  <c r="CA443" i="4"/>
  <c r="CB441" i="4"/>
  <c r="CD440" i="4"/>
  <c r="CE425" i="4"/>
  <c r="BD943" i="4"/>
  <c r="BD656" i="4"/>
  <c r="BD698" i="4" s="1"/>
  <c r="BD662" i="4"/>
  <c r="BD704" i="4" s="1"/>
  <c r="BD907" i="4" s="1"/>
  <c r="BC676" i="4" l="1"/>
  <c r="EH87" i="4"/>
  <c r="EG88" i="4"/>
  <c r="EF85" i="4"/>
  <c r="EG84" i="4"/>
  <c r="BP476" i="4"/>
  <c r="DB322" i="4"/>
  <c r="BZ774" i="4"/>
  <c r="CB768" i="4"/>
  <c r="CB773" i="4" s="1"/>
  <c r="CB774" i="4" s="1"/>
  <c r="CA21" i="4"/>
  <c r="EZ254" i="4"/>
  <c r="EY254" i="4"/>
  <c r="FA291" i="2"/>
  <c r="FA61" i="4"/>
  <c r="EW235" i="2"/>
  <c r="FA235" i="2"/>
  <c r="EY235" i="2"/>
  <c r="FA626" i="2"/>
  <c r="EZ321" i="2"/>
  <c r="EZ626" i="2" s="1"/>
  <c r="EQ409" i="2"/>
  <c r="ES409" i="2"/>
  <c r="EU409" i="2" s="1"/>
  <c r="DW205" i="2"/>
  <c r="DW220" i="2"/>
  <c r="DV190" i="2"/>
  <c r="CJ760" i="4"/>
  <c r="CJ762" i="4" s="1"/>
  <c r="CD774" i="4"/>
  <c r="BU44" i="4"/>
  <c r="BU55" i="4" s="1"/>
  <c r="BU471" i="4"/>
  <c r="BU472" i="4" s="1"/>
  <c r="BY130" i="4"/>
  <c r="BY133" i="4" s="1"/>
  <c r="BY134" i="4" s="1"/>
  <c r="CF760" i="4"/>
  <c r="CF768" i="4" s="1"/>
  <c r="CF770" i="4" s="1"/>
  <c r="CF769" i="4"/>
  <c r="CF758" i="4"/>
  <c r="CF766" i="4" s="1"/>
  <c r="CE758" i="4"/>
  <c r="CE766" i="4" s="1"/>
  <c r="CF757" i="4"/>
  <c r="CF765" i="4" s="1"/>
  <c r="BT47" i="4"/>
  <c r="BT68" i="4" s="1"/>
  <c r="BZ469" i="4"/>
  <c r="BZ470" i="4" s="1"/>
  <c r="CE759" i="4"/>
  <c r="CE767" i="4" s="1"/>
  <c r="CE757" i="4"/>
  <c r="CE765" i="4" s="1"/>
  <c r="CE769" i="4"/>
  <c r="CH761" i="4"/>
  <c r="CH769" i="4" s="1"/>
  <c r="CJ759" i="4"/>
  <c r="CJ767" i="4" s="1"/>
  <c r="CR183" i="4"/>
  <c r="CS183" i="4" s="1"/>
  <c r="CS184" i="4" s="1"/>
  <c r="BC937" i="4"/>
  <c r="CJ758" i="4"/>
  <c r="CJ766" i="4" s="1"/>
  <c r="CJ757" i="4"/>
  <c r="CJ765" i="4" s="1"/>
  <c r="BC734" i="4"/>
  <c r="BC780" i="4" s="1"/>
  <c r="CJ769" i="4"/>
  <c r="CO188" i="4"/>
  <c r="CO168" i="4" s="1"/>
  <c r="BZ43" i="4"/>
  <c r="BZ54" i="4" s="1"/>
  <c r="CA237" i="4"/>
  <c r="CA238" i="4" s="1"/>
  <c r="BY429" i="4"/>
  <c r="BY430" i="4" s="1"/>
  <c r="BY238" i="4"/>
  <c r="BY256" i="4"/>
  <c r="BY257" i="4" s="1"/>
  <c r="BV352" i="2"/>
  <c r="BV24" i="2" s="1"/>
  <c r="BW226" i="3"/>
  <c r="BT24" i="2"/>
  <c r="BU352" i="2"/>
  <c r="BU24" i="2" s="1"/>
  <c r="CM281" i="4"/>
  <c r="CC269" i="2"/>
  <c r="CC64" i="3" s="1"/>
  <c r="CC66" i="3" s="1"/>
  <c r="CD64" i="3"/>
  <c r="BQ184" i="2"/>
  <c r="BR187" i="2"/>
  <c r="BQ187" i="2" s="1"/>
  <c r="CR204" i="4"/>
  <c r="CR205" i="4"/>
  <c r="CV208" i="3"/>
  <c r="CV206" i="3" s="1"/>
  <c r="CT206" i="3"/>
  <c r="BY172" i="2"/>
  <c r="BW154" i="2"/>
  <c r="BW176" i="2"/>
  <c r="BW331" i="2"/>
  <c r="BW4" i="3"/>
  <c r="BW10" i="3" s="1"/>
  <c r="BW172" i="2"/>
  <c r="BW343" i="2"/>
  <c r="CO206" i="4"/>
  <c r="CP206" i="4" s="1"/>
  <c r="CP205" i="4"/>
  <c r="CP203" i="4" s="1"/>
  <c r="CP204" i="4" s="1"/>
  <c r="BV152" i="2"/>
  <c r="BV617" i="2"/>
  <c r="BV622" i="2" s="1"/>
  <c r="BV55" i="2"/>
  <c r="BV56" i="2" s="1"/>
  <c r="BY331" i="2"/>
  <c r="BY178" i="2"/>
  <c r="BY154" i="2"/>
  <c r="BY4" i="3"/>
  <c r="BY10" i="3" s="1"/>
  <c r="BY68" i="2"/>
  <c r="BY343" i="2"/>
  <c r="BY345" i="2"/>
  <c r="CM299" i="4"/>
  <c r="CL301" i="4"/>
  <c r="CM301" i="4" s="1"/>
  <c r="BW345" i="2"/>
  <c r="CA479" i="2"/>
  <c r="CA72" i="2"/>
  <c r="BZ74" i="2"/>
  <c r="CA619" i="2"/>
  <c r="CA621" i="2" s="1"/>
  <c r="CB66" i="3"/>
  <c r="BT59" i="2"/>
  <c r="BU57" i="2"/>
  <c r="BS503" i="2"/>
  <c r="BS184" i="2"/>
  <c r="BS187" i="2" s="1"/>
  <c r="CR296" i="4"/>
  <c r="CR298" i="4"/>
  <c r="CO380" i="4"/>
  <c r="CP379" i="4"/>
  <c r="CP380" i="4" s="1"/>
  <c r="CS378" i="4"/>
  <c r="CS375" i="4" s="1"/>
  <c r="CS376" i="4" s="1"/>
  <c r="CR379" i="4"/>
  <c r="CC459" i="4"/>
  <c r="CC460" i="4" s="1"/>
  <c r="CO299" i="4"/>
  <c r="CP298" i="4"/>
  <c r="CP295" i="4" s="1"/>
  <c r="CP296" i="4" s="1"/>
  <c r="CO300" i="4"/>
  <c r="CD77" i="2"/>
  <c r="CB74" i="2"/>
  <c r="CQ296" i="2"/>
  <c r="CS296" i="2" s="1"/>
  <c r="CO296" i="2"/>
  <c r="BV170" i="2"/>
  <c r="BT617" i="2"/>
  <c r="BT622" i="2" s="1"/>
  <c r="BT152" i="2"/>
  <c r="BT170" i="2"/>
  <c r="CG271" i="2"/>
  <c r="CE269" i="2"/>
  <c r="CE64" i="3" s="1"/>
  <c r="CX375" i="4"/>
  <c r="CU203" i="4"/>
  <c r="CU295" i="4"/>
  <c r="BW68" i="2"/>
  <c r="BX60" i="2"/>
  <c r="BX153" i="2"/>
  <c r="CL302" i="4"/>
  <c r="CM300" i="4"/>
  <c r="CM302" i="4" s="1"/>
  <c r="H11" i="9"/>
  <c r="CP19" i="4"/>
  <c r="CP33" i="4" s="1"/>
  <c r="CR19" i="4"/>
  <c r="CR33" i="4" s="1"/>
  <c r="CQ33" i="4"/>
  <c r="CT19" i="4"/>
  <c r="DR206" i="3"/>
  <c r="CT280" i="2"/>
  <c r="CR280" i="2"/>
  <c r="CS276" i="2"/>
  <c r="DM148" i="3"/>
  <c r="DN149" i="3"/>
  <c r="DM455" i="2"/>
  <c r="CG255" i="2"/>
  <c r="CH256" i="2"/>
  <c r="CF256" i="2"/>
  <c r="DC145" i="2"/>
  <c r="DB145" i="2"/>
  <c r="DA145" i="2" s="1"/>
  <c r="AX396" i="2"/>
  <c r="AX485" i="2" s="1"/>
  <c r="AX385" i="2"/>
  <c r="CD263" i="2"/>
  <c r="CC252" i="2"/>
  <c r="AZ385" i="2"/>
  <c r="AZ396" i="2"/>
  <c r="AZ485" i="2" s="1"/>
  <c r="BR414" i="2"/>
  <c r="BP415" i="2"/>
  <c r="BB736" i="4"/>
  <c r="BB782" i="4" s="1"/>
  <c r="BN483" i="2"/>
  <c r="BN484" i="2" s="1"/>
  <c r="CK138" i="2"/>
  <c r="CJ139" i="2"/>
  <c r="CI139" i="2" s="1"/>
  <c r="CI138" i="2"/>
  <c r="BZ290" i="2"/>
  <c r="CA329" i="2"/>
  <c r="CA328" i="2"/>
  <c r="CA236" i="3" s="1"/>
  <c r="CA327" i="2"/>
  <c r="CA513" i="2"/>
  <c r="CA120" i="3"/>
  <c r="CA119" i="3" s="1"/>
  <c r="CA640" i="2"/>
  <c r="CA166" i="2"/>
  <c r="BY235" i="3"/>
  <c r="BY330" i="2"/>
  <c r="CD292" i="2"/>
  <c r="CB290" i="2"/>
  <c r="CB304" i="2" s="1"/>
  <c r="CB305" i="2" s="1"/>
  <c r="BW330" i="2"/>
  <c r="BW235" i="3"/>
  <c r="AT91" i="2"/>
  <c r="AS91" i="2" s="1"/>
  <c r="EQ286" i="2"/>
  <c r="ES286" i="2"/>
  <c r="EU286" i="2" s="1"/>
  <c r="EW185" i="4"/>
  <c r="EZ185" i="4" s="1"/>
  <c r="EX61" i="4"/>
  <c r="EV248" i="2"/>
  <c r="EV33" i="3" s="1"/>
  <c r="ET248" i="2"/>
  <c r="ET33" i="3" s="1"/>
  <c r="ET35" i="3" s="1"/>
  <c r="EX248" i="2"/>
  <c r="EU33" i="3"/>
  <c r="ES35" i="3"/>
  <c r="CI217" i="3"/>
  <c r="CI215" i="3" s="1"/>
  <c r="CK217" i="3"/>
  <c r="CJ215" i="3"/>
  <c r="CC439" i="4"/>
  <c r="CF171" i="4"/>
  <c r="CF420" i="4"/>
  <c r="CF439" i="4" s="1"/>
  <c r="CM278" i="4"/>
  <c r="BQ522" i="2"/>
  <c r="BQ530" i="2" s="1"/>
  <c r="BQ529" i="2"/>
  <c r="AP140" i="2"/>
  <c r="AP141" i="2" s="1"/>
  <c r="DP529" i="2"/>
  <c r="DP522" i="2"/>
  <c r="DP530" i="2" s="1"/>
  <c r="DR522" i="2"/>
  <c r="DR530" i="2" s="1"/>
  <c r="DR529" i="2"/>
  <c r="DT413" i="2"/>
  <c r="CS149" i="3"/>
  <c r="CR455" i="2"/>
  <c r="CR148" i="3"/>
  <c r="CT78" i="2"/>
  <c r="CV78" i="2" s="1"/>
  <c r="CR78" i="2"/>
  <c r="AR20" i="2"/>
  <c r="AW441" i="2"/>
  <c r="AU411" i="2"/>
  <c r="AU410" i="2"/>
  <c r="AU409" i="2"/>
  <c r="AU397" i="2" s="1"/>
  <c r="AQ27" i="2"/>
  <c r="AQ366" i="2"/>
  <c r="AQ224" i="3" s="1"/>
  <c r="AQ365" i="2"/>
  <c r="AQ223" i="3" s="1"/>
  <c r="AS410" i="2"/>
  <c r="AP14" i="2"/>
  <c r="AP11" i="2"/>
  <c r="AT397" i="2"/>
  <c r="AT398" i="2" s="1"/>
  <c r="AS409" i="2"/>
  <c r="AS397" i="2" s="1"/>
  <c r="AP20" i="2"/>
  <c r="AQ400" i="2"/>
  <c r="AR14" i="2"/>
  <c r="AR11" i="2"/>
  <c r="AS411" i="2"/>
  <c r="CN279" i="2"/>
  <c r="CP279" i="2" s="1"/>
  <c r="CL279" i="2"/>
  <c r="EO124" i="3"/>
  <c r="EP124" i="3"/>
  <c r="EQ124" i="3" s="1"/>
  <c r="EI125" i="3"/>
  <c r="EI78" i="2" s="1"/>
  <c r="EH131" i="3"/>
  <c r="EH132" i="3" s="1"/>
  <c r="EI132" i="3" s="1"/>
  <c r="EI212" i="2" s="1"/>
  <c r="EJ125" i="3"/>
  <c r="W54" i="9"/>
  <c r="W56" i="9"/>
  <c r="BS5" i="4"/>
  <c r="BT5" i="4"/>
  <c r="BU469" i="4"/>
  <c r="BU470" i="4" s="1"/>
  <c r="CL283" i="4"/>
  <c r="CM282" i="4"/>
  <c r="CM283" i="4" s="1"/>
  <c r="CQ283" i="4"/>
  <c r="CP280" i="4"/>
  <c r="CP281" i="4" s="1"/>
  <c r="CO282" i="4"/>
  <c r="BT53" i="4"/>
  <c r="CC421" i="4"/>
  <c r="CF253" i="4"/>
  <c r="CF256" i="4" s="1"/>
  <c r="CF244" i="4"/>
  <c r="BB939" i="4"/>
  <c r="BU492" i="4"/>
  <c r="BS470" i="4"/>
  <c r="CC26" i="4"/>
  <c r="CC39" i="4" s="1"/>
  <c r="BD730" i="4"/>
  <c r="BD933" i="4" s="1"/>
  <c r="CD25" i="4"/>
  <c r="CD38" i="4" s="1"/>
  <c r="EP111" i="4"/>
  <c r="EO111" i="4"/>
  <c r="DF105" i="4"/>
  <c r="CZ97" i="4"/>
  <c r="CZ378" i="4"/>
  <c r="CZ355" i="4"/>
  <c r="CZ163" i="4"/>
  <c r="CZ164" i="4" s="1"/>
  <c r="DD108" i="4"/>
  <c r="DE108" i="4" s="1"/>
  <c r="DB108" i="4"/>
  <c r="DB109" i="4" s="1"/>
  <c r="DC106" i="4"/>
  <c r="DC747" i="4"/>
  <c r="DC748" i="4" s="1"/>
  <c r="DC749" i="4" s="1"/>
  <c r="DC354" i="4"/>
  <c r="DC96" i="4"/>
  <c r="CF400" i="4"/>
  <c r="CG400" i="4" s="1"/>
  <c r="BE896" i="4"/>
  <c r="BF592" i="4"/>
  <c r="BF640" i="4" s="1"/>
  <c r="BF638" i="4"/>
  <c r="BG570" i="4"/>
  <c r="CI170" i="4"/>
  <c r="CI15" i="4" s="1"/>
  <c r="BF584" i="4"/>
  <c r="BF620" i="4" s="1"/>
  <c r="BZ34" i="4"/>
  <c r="CF25" i="4"/>
  <c r="CF38" i="4" s="1"/>
  <c r="BZ71" i="4"/>
  <c r="CF125" i="4"/>
  <c r="CG124" i="4"/>
  <c r="CG125" i="4" s="1"/>
  <c r="CD335" i="4"/>
  <c r="CG263" i="4"/>
  <c r="CD443" i="4"/>
  <c r="CC21" i="4"/>
  <c r="CC137" i="4"/>
  <c r="BT55" i="4"/>
  <c r="CD453" i="4"/>
  <c r="BT65" i="4"/>
  <c r="BZ427" i="4"/>
  <c r="BT475" i="4"/>
  <c r="BT476" i="4" s="1"/>
  <c r="BX429" i="4"/>
  <c r="BX430" i="4" s="1"/>
  <c r="BV435" i="4"/>
  <c r="BV430" i="4"/>
  <c r="BX235" i="4"/>
  <c r="BX130" i="4" s="1"/>
  <c r="BX131" i="4" s="1"/>
  <c r="BV130" i="4"/>
  <c r="CJ337" i="4"/>
  <c r="CJ338" i="4" s="1"/>
  <c r="CC256" i="4"/>
  <c r="CC257" i="4" s="1"/>
  <c r="BZ487" i="4"/>
  <c r="BZ484" i="4"/>
  <c r="BZ480" i="4"/>
  <c r="CC146" i="4"/>
  <c r="CC147" i="4" s="1"/>
  <c r="BV823" i="4"/>
  <c r="BV841" i="4" s="1"/>
  <c r="BW841" i="4"/>
  <c r="CD823" i="4"/>
  <c r="CA841" i="4"/>
  <c r="BZ823" i="4"/>
  <c r="CD422" i="4"/>
  <c r="CD423" i="4" s="1"/>
  <c r="CA461" i="4"/>
  <c r="CA462" i="4" s="1"/>
  <c r="CA441" i="4"/>
  <c r="BZ465" i="4"/>
  <c r="BZ466" i="4" s="1"/>
  <c r="CH852" i="4"/>
  <c r="CI852" i="4" s="1"/>
  <c r="CM852" i="4"/>
  <c r="CD464" i="4"/>
  <c r="CD209" i="4"/>
  <c r="CD210" i="4" s="1"/>
  <c r="CQ387" i="4"/>
  <c r="CA451" i="4"/>
  <c r="CD344" i="4"/>
  <c r="BF686" i="4"/>
  <c r="CI124" i="4"/>
  <c r="CI25" i="4" s="1"/>
  <c r="BF727" i="4"/>
  <c r="BF948" i="4" s="1"/>
  <c r="CC426" i="4"/>
  <c r="CC484" i="4" s="1"/>
  <c r="CB237" i="4"/>
  <c r="CB235" i="4" s="1"/>
  <c r="CD235" i="4" s="1"/>
  <c r="CY232" i="4"/>
  <c r="DB229" i="4"/>
  <c r="DA232" i="4"/>
  <c r="DA233" i="4"/>
  <c r="DD229" i="4"/>
  <c r="DD231" i="4"/>
  <c r="DG226" i="4"/>
  <c r="DG228" i="4"/>
  <c r="DD321" i="4"/>
  <c r="DD323" i="4" s="1"/>
  <c r="DD324" i="4" s="1"/>
  <c r="DD322" i="4"/>
  <c r="DG318" i="4"/>
  <c r="DG320" i="4"/>
  <c r="DJ395" i="4"/>
  <c r="DJ225" i="4"/>
  <c r="DJ317" i="4"/>
  <c r="DM392" i="4"/>
  <c r="BW133" i="4"/>
  <c r="BW131" i="4"/>
  <c r="BW492" i="4"/>
  <c r="CA130" i="4"/>
  <c r="CA131" i="4" s="1"/>
  <c r="DI317" i="4"/>
  <c r="DL392" i="4"/>
  <c r="DI395" i="4"/>
  <c r="DI225" i="4"/>
  <c r="CW324" i="4"/>
  <c r="CY323" i="4"/>
  <c r="CY324" i="4" s="1"/>
  <c r="DB231" i="4"/>
  <c r="DB233" i="4" s="1"/>
  <c r="CZ233" i="4"/>
  <c r="CZ232" i="4"/>
  <c r="CZ323" i="4"/>
  <c r="DB321" i="4"/>
  <c r="DF228" i="4"/>
  <c r="DH225" i="4"/>
  <c r="DH226" i="4" s="1"/>
  <c r="DF226" i="4"/>
  <c r="DC398" i="4"/>
  <c r="DE397" i="4"/>
  <c r="DE398" i="4" s="1"/>
  <c r="DF320" i="4"/>
  <c r="DF318" i="4"/>
  <c r="DH317" i="4"/>
  <c r="DH318" i="4" s="1"/>
  <c r="DC322" i="4"/>
  <c r="DC321" i="4"/>
  <c r="DE320" i="4"/>
  <c r="DF397" i="4"/>
  <c r="DH395" i="4"/>
  <c r="DC231" i="4"/>
  <c r="DC229" i="4"/>
  <c r="DE228" i="4"/>
  <c r="CO387" i="4"/>
  <c r="CP387" i="4" s="1"/>
  <c r="BF729" i="4"/>
  <c r="CJ332" i="4"/>
  <c r="CJ333" i="4" s="1"/>
  <c r="BF687" i="4"/>
  <c r="ED82" i="4"/>
  <c r="EE81" i="4"/>
  <c r="CD328" i="4"/>
  <c r="CD329" i="4" s="1"/>
  <c r="CC20" i="4"/>
  <c r="CC34" i="4" s="1"/>
  <c r="CE209" i="4"/>
  <c r="CE210" i="4" s="1"/>
  <c r="CD16" i="4"/>
  <c r="CD30" i="4" s="1"/>
  <c r="CA431" i="4"/>
  <c r="CA432" i="4" s="1"/>
  <c r="BZ435" i="4"/>
  <c r="BZ436" i="4" s="1"/>
  <c r="CJ164" i="4"/>
  <c r="CG164" i="4"/>
  <c r="CJ204" i="4"/>
  <c r="CG204" i="4"/>
  <c r="BF669" i="4"/>
  <c r="BF711" i="4" s="1"/>
  <c r="BF914" i="4" s="1"/>
  <c r="BY840" i="4"/>
  <c r="BY846" i="4" s="1"/>
  <c r="BY847" i="4" s="1"/>
  <c r="BY848" i="4" s="1"/>
  <c r="BY849" i="4" s="1"/>
  <c r="BY828" i="4"/>
  <c r="BY829" i="4" s="1"/>
  <c r="BY830" i="4" s="1"/>
  <c r="BY831" i="4" s="1"/>
  <c r="CG840" i="4"/>
  <c r="CG846" i="4" s="1"/>
  <c r="CG847" i="4" s="1"/>
  <c r="CG848" i="4" s="1"/>
  <c r="CG849" i="4" s="1"/>
  <c r="CF822" i="4"/>
  <c r="CG828" i="4"/>
  <c r="CG829" i="4" s="1"/>
  <c r="CG830" i="4" s="1"/>
  <c r="CG831" i="4" s="1"/>
  <c r="CJ822" i="4"/>
  <c r="CC840" i="4"/>
  <c r="CC846" i="4" s="1"/>
  <c r="CC847" i="4" s="1"/>
  <c r="CC848" i="4" s="1"/>
  <c r="CC849" i="4" s="1"/>
  <c r="CC828" i="4"/>
  <c r="CC829" i="4" s="1"/>
  <c r="CC830" i="4" s="1"/>
  <c r="CC831" i="4" s="1"/>
  <c r="CB822" i="4"/>
  <c r="BE957" i="4"/>
  <c r="CH835" i="4"/>
  <c r="CI835" i="4" s="1"/>
  <c r="CK835" i="4"/>
  <c r="CL835" i="4" s="1"/>
  <c r="CP835" i="4"/>
  <c r="BD681" i="4"/>
  <c r="BD723" i="4" s="1"/>
  <c r="BD926" i="4" s="1"/>
  <c r="BD675" i="4"/>
  <c r="BD717" i="4" s="1"/>
  <c r="BD920" i="4" s="1"/>
  <c r="BD634" i="4"/>
  <c r="BD682" i="4" s="1"/>
  <c r="BF627" i="4"/>
  <c r="BF628" i="4" s="1"/>
  <c r="BF639" i="4"/>
  <c r="BE633" i="4"/>
  <c r="BE621" i="4"/>
  <c r="BE622" i="4" s="1"/>
  <c r="BE664" i="4" s="1"/>
  <c r="BD944" i="4"/>
  <c r="BD945" i="4" s="1"/>
  <c r="BD663" i="4"/>
  <c r="BD705" i="4" s="1"/>
  <c r="BD908" i="4" s="1"/>
  <c r="BD657" i="4"/>
  <c r="BD699" i="4" s="1"/>
  <c r="BD700" i="4" s="1"/>
  <c r="BD622" i="4"/>
  <c r="BD664" i="4" s="1"/>
  <c r="BX825" i="4"/>
  <c r="BT825" i="4"/>
  <c r="BU843" i="4"/>
  <c r="BU856" i="4" s="1"/>
  <c r="BU838" i="4"/>
  <c r="BG591" i="4"/>
  <c r="BH569" i="4"/>
  <c r="BM838" i="4"/>
  <c r="BM843" i="4"/>
  <c r="BM856" i="4" s="1"/>
  <c r="BE741" i="4"/>
  <c r="BE787" i="4" s="1"/>
  <c r="BE950" i="4"/>
  <c r="BE914" i="4"/>
  <c r="BD741" i="4"/>
  <c r="BD787" i="4" s="1"/>
  <c r="BD950" i="4"/>
  <c r="BD914" i="4"/>
  <c r="BQ843" i="4"/>
  <c r="BQ856" i="4" s="1"/>
  <c r="BP825" i="4"/>
  <c r="BQ838" i="4"/>
  <c r="BF585" i="4"/>
  <c r="BE897" i="4"/>
  <c r="BF668" i="4"/>
  <c r="BF710" i="4" s="1"/>
  <c r="BF913" i="4" s="1"/>
  <c r="CV96" i="4"/>
  <c r="CU97" i="4"/>
  <c r="DA105" i="4"/>
  <c r="BF894" i="4"/>
  <c r="CA473" i="4"/>
  <c r="CA474" i="4" s="1"/>
  <c r="CV747" i="4"/>
  <c r="CV748" i="4" s="1"/>
  <c r="CV749" i="4" s="1"/>
  <c r="CU748" i="4"/>
  <c r="CU749" i="4" s="1"/>
  <c r="CX354" i="4"/>
  <c r="CY105" i="4"/>
  <c r="CY106" i="4" s="1"/>
  <c r="CX747" i="4"/>
  <c r="CX106" i="4"/>
  <c r="CX96" i="4"/>
  <c r="CV837" i="4"/>
  <c r="CY837" i="4" s="1"/>
  <c r="CV354" i="4"/>
  <c r="CV355" i="4" s="1"/>
  <c r="CU355" i="4"/>
  <c r="CU378" i="4"/>
  <c r="CV378" i="4" s="1"/>
  <c r="CU359" i="4"/>
  <c r="CU163" i="4"/>
  <c r="EJ203" i="4"/>
  <c r="EJ204" i="4" s="1"/>
  <c r="EK75" i="4"/>
  <c r="EJ76" i="4"/>
  <c r="CD326" i="4"/>
  <c r="CC130" i="4"/>
  <c r="CC133" i="4" s="1"/>
  <c r="CC134" i="4" s="1"/>
  <c r="CG409" i="4"/>
  <c r="CG410" i="4" s="1"/>
  <c r="CC773" i="4"/>
  <c r="CC774" i="4" s="1"/>
  <c r="CC770" i="4"/>
  <c r="CE762" i="4"/>
  <c r="CE768" i="4"/>
  <c r="CE773" i="4" s="1"/>
  <c r="CW207" i="3"/>
  <c r="EH260" i="2"/>
  <c r="EH213" i="3" s="1"/>
  <c r="EI213" i="3"/>
  <c r="EJ260" i="2"/>
  <c r="CQ191" i="4"/>
  <c r="CQ189" i="4"/>
  <c r="CL337" i="4"/>
  <c r="CL339" i="4" s="1"/>
  <c r="CL450" i="4" s="1"/>
  <c r="CL332" i="4"/>
  <c r="CL334" i="4" s="1"/>
  <c r="CL261" i="4"/>
  <c r="CW183" i="4"/>
  <c r="CT188" i="4"/>
  <c r="CI757" i="4"/>
  <c r="CI765" i="4" s="1"/>
  <c r="CI758" i="4"/>
  <c r="CI766" i="4" s="1"/>
  <c r="CI769" i="4"/>
  <c r="CI759" i="4"/>
  <c r="CI767" i="4" s="1"/>
  <c r="CI760" i="4"/>
  <c r="CF263" i="4"/>
  <c r="CF16" i="4"/>
  <c r="CF30" i="4" s="1"/>
  <c r="CF422" i="4"/>
  <c r="CG422" i="4" s="1"/>
  <c r="CF344" i="4"/>
  <c r="CG344" i="4" s="1"/>
  <c r="BZ343" i="4"/>
  <c r="BZ347" i="4"/>
  <c r="CC329" i="4"/>
  <c r="CC431" i="4"/>
  <c r="CC432" i="4" s="1"/>
  <c r="DE173" i="4"/>
  <c r="DE174" i="4" s="1"/>
  <c r="DD174" i="4"/>
  <c r="CC423" i="4"/>
  <c r="CC451" i="4"/>
  <c r="DE505" i="4"/>
  <c r="DE504" i="4"/>
  <c r="BT149" i="4"/>
  <c r="BT134" i="4"/>
  <c r="BU133" i="4"/>
  <c r="BU134" i="4" s="1"/>
  <c r="DD255" i="2"/>
  <c r="DE252" i="2"/>
  <c r="X51" i="9" s="1"/>
  <c r="CM769" i="4"/>
  <c r="CM760" i="4"/>
  <c r="CK761" i="4"/>
  <c r="CL761" i="4"/>
  <c r="CP761" i="4"/>
  <c r="CM758" i="4"/>
  <c r="CM766" i="4" s="1"/>
  <c r="CM759" i="4"/>
  <c r="CM767" i="4" s="1"/>
  <c r="CM757" i="4"/>
  <c r="CM765" i="4" s="1"/>
  <c r="CF315" i="4"/>
  <c r="CF328" i="4"/>
  <c r="CG328" i="4" s="1"/>
  <c r="CG329" i="4" s="1"/>
  <c r="AF400" i="2"/>
  <c r="AF396" i="2"/>
  <c r="AF398" i="2" s="1"/>
  <c r="AF385" i="2"/>
  <c r="AG374" i="2" s="1"/>
  <c r="CI313" i="4"/>
  <c r="CJ313" i="4" s="1"/>
  <c r="CJ315" i="4" s="1"/>
  <c r="CI285" i="4"/>
  <c r="CI262" i="4"/>
  <c r="CL284" i="4"/>
  <c r="CM284" i="4" s="1"/>
  <c r="CM285" i="4" s="1"/>
  <c r="DG173" i="4"/>
  <c r="DH99" i="4"/>
  <c r="DG745" i="4"/>
  <c r="CO281" i="4"/>
  <c r="CO260" i="4"/>
  <c r="CP260" i="4" s="1"/>
  <c r="CP261" i="4" s="1"/>
  <c r="DD266" i="4"/>
  <c r="DE265" i="4"/>
  <c r="DE266" i="4" s="1"/>
  <c r="DH256" i="2"/>
  <c r="DF255" i="2"/>
  <c r="DF252" i="2" s="1"/>
  <c r="DF263" i="2" s="1"/>
  <c r="DF264" i="2" s="1"/>
  <c r="BG955" i="4"/>
  <c r="BH859" i="4"/>
  <c r="CF335" i="4"/>
  <c r="CC771" i="4"/>
  <c r="DE100" i="4"/>
  <c r="CU275" i="4"/>
  <c r="CV275" i="4" s="1"/>
  <c r="CV276" i="4" s="1"/>
  <c r="CR280" i="4"/>
  <c r="CC342" i="4"/>
  <c r="CC343" i="4" s="1"/>
  <c r="CC461" i="4"/>
  <c r="CC462" i="4" s="1"/>
  <c r="CI440" i="4"/>
  <c r="DG265" i="4"/>
  <c r="DG746" i="4"/>
  <c r="DH746" i="4" s="1"/>
  <c r="DH102" i="4"/>
  <c r="BF884" i="4"/>
  <c r="DA263" i="2"/>
  <c r="DB264" i="2"/>
  <c r="DH273" i="2"/>
  <c r="CG771" i="4"/>
  <c r="BF878" i="4"/>
  <c r="DE745" i="4"/>
  <c r="DE101" i="4"/>
  <c r="DE103" i="4"/>
  <c r="BE932" i="4"/>
  <c r="BF890" i="4"/>
  <c r="BF891" i="4" s="1"/>
  <c r="BW471" i="4"/>
  <c r="BW348" i="4"/>
  <c r="BW44" i="4"/>
  <c r="BX44" i="4" s="1"/>
  <c r="CP580" i="4"/>
  <c r="CK580" i="4"/>
  <c r="CL580" i="4" s="1"/>
  <c r="CG773" i="4"/>
  <c r="CG774" i="4" s="1"/>
  <c r="BZ130" i="4"/>
  <c r="CM367" i="4"/>
  <c r="CM364" i="4"/>
  <c r="CM365" i="4" s="1"/>
  <c r="CA56" i="4"/>
  <c r="CA66" i="4"/>
  <c r="CO180" i="4"/>
  <c r="CO179" i="4"/>
  <c r="CO208" i="4"/>
  <c r="BS49" i="4"/>
  <c r="BS68" i="4"/>
  <c r="BS58" i="4"/>
  <c r="BZ824" i="4"/>
  <c r="CA842" i="4"/>
  <c r="CD824" i="4"/>
  <c r="CP855" i="4"/>
  <c r="BS476" i="4"/>
  <c r="BS491" i="4"/>
  <c r="BS493" i="4" s="1"/>
  <c r="BX487" i="4"/>
  <c r="BX480" i="4"/>
  <c r="BX484" i="4"/>
  <c r="BX427" i="4"/>
  <c r="CN367" i="4"/>
  <c r="CN389" i="4"/>
  <c r="CN351" i="4"/>
  <c r="CE464" i="4"/>
  <c r="CG463" i="4"/>
  <c r="BY480" i="4"/>
  <c r="BY484" i="4"/>
  <c r="CA426" i="4"/>
  <c r="BY487" i="4"/>
  <c r="BY427" i="4"/>
  <c r="BF956" i="4"/>
  <c r="BG860" i="4"/>
  <c r="CN284" i="4"/>
  <c r="CF238" i="4"/>
  <c r="CF429" i="4"/>
  <c r="BV165" i="2"/>
  <c r="BV170" i="3"/>
  <c r="BV166" i="3" s="1"/>
  <c r="BV163" i="2"/>
  <c r="BV73" i="2"/>
  <c r="BV33" i="2"/>
  <c r="BV42" i="2" s="1"/>
  <c r="BV333" i="2"/>
  <c r="BV171" i="3"/>
  <c r="BV167" i="3" s="1"/>
  <c r="BV339" i="2"/>
  <c r="BV334" i="2"/>
  <c r="BV179" i="3"/>
  <c r="BV335" i="2"/>
  <c r="BV169" i="3"/>
  <c r="BV165" i="3" s="1"/>
  <c r="BV161" i="2"/>
  <c r="BV150" i="2"/>
  <c r="BV31" i="2"/>
  <c r="BV342" i="2"/>
  <c r="BV341" i="2"/>
  <c r="BV340" i="2"/>
  <c r="BV282" i="2"/>
  <c r="BV276" i="2" s="1"/>
  <c r="BV162" i="2"/>
  <c r="BV160" i="2"/>
  <c r="BV69" i="2"/>
  <c r="BV159" i="2"/>
  <c r="BV61" i="2"/>
  <c r="BV337" i="2"/>
  <c r="CK90" i="2"/>
  <c r="CL85" i="2"/>
  <c r="BX254" i="4"/>
  <c r="BX252" i="4"/>
  <c r="BF728" i="4"/>
  <c r="BF931" i="4" s="1"/>
  <c r="BD931" i="4"/>
  <c r="CO307" i="4"/>
  <c r="CO309" i="4" s="1"/>
  <c r="CP309" i="4" s="1"/>
  <c r="CO306" i="4"/>
  <c r="BX454" i="4"/>
  <c r="BX456" i="4" s="1"/>
  <c r="BV456" i="4"/>
  <c r="CP853" i="4"/>
  <c r="BE715" i="4"/>
  <c r="BU152" i="3"/>
  <c r="BY137" i="4"/>
  <c r="CA136" i="4"/>
  <c r="CA137" i="4" s="1"/>
  <c r="CB251" i="4"/>
  <c r="CB459" i="4"/>
  <c r="CD253" i="4"/>
  <c r="CB146" i="4"/>
  <c r="CE451" i="4"/>
  <c r="CG450" i="4"/>
  <c r="CH170" i="4"/>
  <c r="CJ180" i="4"/>
  <c r="CJ181" i="4" s="1"/>
  <c r="CH209" i="4"/>
  <c r="CH210" i="4" s="1"/>
  <c r="CH181" i="4"/>
  <c r="CH118" i="4"/>
  <c r="DY277" i="4"/>
  <c r="EB277" i="4" s="1"/>
  <c r="EE277" i="4" s="1"/>
  <c r="EH277" i="4" s="1"/>
  <c r="EK277" i="4" s="1"/>
  <c r="EN277" i="4" s="1"/>
  <c r="EQ277" i="4" s="1"/>
  <c r="ET277" i="4" s="1"/>
  <c r="DA185" i="2"/>
  <c r="CU175" i="4"/>
  <c r="CR178" i="4"/>
  <c r="U398" i="2"/>
  <c r="U400" i="2"/>
  <c r="V400" i="2" s="1"/>
  <c r="CT380" i="4"/>
  <c r="CQ460" i="2"/>
  <c r="CQ464" i="2" s="1"/>
  <c r="CQ86" i="2"/>
  <c r="BS53" i="4"/>
  <c r="BU42" i="4"/>
  <c r="BU53" i="4" s="1"/>
  <c r="BD740" i="4"/>
  <c r="BD786" i="4" s="1"/>
  <c r="BD949" i="4"/>
  <c r="BD913" i="4"/>
  <c r="BV824" i="4"/>
  <c r="BV842" i="4" s="1"/>
  <c r="BW842" i="4"/>
  <c r="CH344" i="2"/>
  <c r="CH156" i="2"/>
  <c r="CH5" i="3"/>
  <c r="CH11" i="3" s="1"/>
  <c r="CH91" i="2"/>
  <c r="CH173" i="2"/>
  <c r="CH202" i="3"/>
  <c r="CI90" i="2"/>
  <c r="W398" i="2"/>
  <c r="W400" i="2"/>
  <c r="CK855" i="4"/>
  <c r="CL855" i="4" s="1"/>
  <c r="BG888" i="4"/>
  <c r="CT362" i="4"/>
  <c r="CQ366" i="4"/>
  <c r="CE248" i="4"/>
  <c r="CG246" i="4"/>
  <c r="CG247" i="4" s="1"/>
  <c r="BD918" i="4"/>
  <c r="BV445" i="4"/>
  <c r="BX444" i="4"/>
  <c r="BX445" i="4" s="1"/>
  <c r="CH263" i="4"/>
  <c r="CH422" i="4"/>
  <c r="CH16" i="4"/>
  <c r="CH344" i="4"/>
  <c r="CA251" i="4"/>
  <c r="BY252" i="4"/>
  <c r="CE434" i="4"/>
  <c r="CA139" i="4"/>
  <c r="CA140" i="4" s="1"/>
  <c r="BY140" i="4"/>
  <c r="BE628" i="4"/>
  <c r="CJ306" i="4"/>
  <c r="CJ307" i="4"/>
  <c r="DC222" i="3"/>
  <c r="BG864" i="4"/>
  <c r="CN218" i="4"/>
  <c r="CN220" i="4"/>
  <c r="CA146" i="4"/>
  <c r="CA147" i="4" s="1"/>
  <c r="BY147" i="4"/>
  <c r="BV65" i="4"/>
  <c r="BV55" i="4"/>
  <c r="EP293" i="2"/>
  <c r="ER293" i="2" s="1"/>
  <c r="EN293" i="2"/>
  <c r="CM383" i="4"/>
  <c r="CH450" i="4"/>
  <c r="CJ339" i="4"/>
  <c r="BX469" i="4"/>
  <c r="BX470" i="4" s="1"/>
  <c r="BV470" i="4"/>
  <c r="BV475" i="4"/>
  <c r="BX34" i="4"/>
  <c r="BX71" i="4"/>
  <c r="BX30" i="2"/>
  <c r="BV175" i="2" s="1"/>
  <c r="CA93" i="3"/>
  <c r="CK853" i="4"/>
  <c r="CL853" i="4" s="1"/>
  <c r="CG442" i="4"/>
  <c r="CE443" i="4"/>
  <c r="CF464" i="4"/>
  <c r="CF453" i="4"/>
  <c r="CB29" i="4"/>
  <c r="CB21" i="4"/>
  <c r="CD15" i="4"/>
  <c r="CD29" i="4" s="1"/>
  <c r="CB20" i="4"/>
  <c r="DX178" i="3"/>
  <c r="DX190" i="2" s="1"/>
  <c r="CH169" i="4"/>
  <c r="CH246" i="4"/>
  <c r="CH241" i="4"/>
  <c r="CJ168" i="4"/>
  <c r="CJ169" i="4" s="1"/>
  <c r="CI413" i="4"/>
  <c r="CI463" i="4" s="1"/>
  <c r="CI405" i="4"/>
  <c r="CI442" i="4" s="1"/>
  <c r="CI409" i="4"/>
  <c r="CI452" i="4" s="1"/>
  <c r="CI352" i="4"/>
  <c r="CI17" i="4"/>
  <c r="CI31" i="4" s="1"/>
  <c r="CI424" i="4"/>
  <c r="CI425" i="4" s="1"/>
  <c r="AT224" i="2"/>
  <c r="AT226" i="2" s="1"/>
  <c r="AP226" i="2"/>
  <c r="AR224" i="2"/>
  <c r="AR226" i="2" s="1"/>
  <c r="AS224" i="2" s="1"/>
  <c r="DA614" i="2"/>
  <c r="CG214" i="4"/>
  <c r="CG215" i="4"/>
  <c r="CK222" i="4"/>
  <c r="CK221" i="4"/>
  <c r="EG212" i="2"/>
  <c r="CK390" i="4"/>
  <c r="CK402" i="4"/>
  <c r="CK400" i="4" s="1"/>
  <c r="BH872" i="4"/>
  <c r="CW69" i="3"/>
  <c r="CT70" i="2"/>
  <c r="BU54" i="4"/>
  <c r="BU64" i="4"/>
  <c r="CG17" i="4"/>
  <c r="CG31" i="4" s="1"/>
  <c r="CL209" i="4"/>
  <c r="CL181" i="4"/>
  <c r="CL118" i="4"/>
  <c r="DH416" i="2"/>
  <c r="CW273" i="4"/>
  <c r="CW301" i="4"/>
  <c r="BE949" i="4"/>
  <c r="BE740" i="4"/>
  <c r="BE786" i="4" s="1"/>
  <c r="BE913" i="4"/>
  <c r="Y409" i="2"/>
  <c r="Y411" i="2"/>
  <c r="X411" i="2" s="1"/>
  <c r="Y410" i="2"/>
  <c r="X410" i="2" s="1"/>
  <c r="Z416" i="2"/>
  <c r="CD248" i="4"/>
  <c r="CB448" i="4"/>
  <c r="CB139" i="4"/>
  <c r="BU11" i="4"/>
  <c r="BR691" i="4"/>
  <c r="BE688" i="4"/>
  <c r="AF142" i="2"/>
  <c r="AF143" i="2" s="1"/>
  <c r="AF146" i="2" s="1"/>
  <c r="AG142" i="2" s="1"/>
  <c r="AG143" i="2" s="1"/>
  <c r="AG146" i="2" s="1"/>
  <c r="AH142" i="2"/>
  <c r="AH143" i="2" s="1"/>
  <c r="AH146" i="2" s="1"/>
  <c r="DD82" i="4"/>
  <c r="DE81" i="4"/>
  <c r="DC356" i="4"/>
  <c r="CZ359" i="4"/>
  <c r="BI753" i="4"/>
  <c r="CH25" i="4"/>
  <c r="CH125" i="4"/>
  <c r="CE473" i="4"/>
  <c r="CE45" i="4"/>
  <c r="CE417" i="4"/>
  <c r="CO70" i="2"/>
  <c r="CO460" i="2" s="1"/>
  <c r="CO464" i="2" s="1"/>
  <c r="CP460" i="2"/>
  <c r="CP464" i="2" s="1"/>
  <c r="BE709" i="4"/>
  <c r="BE670" i="4"/>
  <c r="BF670" i="4" s="1"/>
  <c r="CF403" i="4"/>
  <c r="CF433" i="4"/>
  <c r="CF434" i="4" s="1"/>
  <c r="CF416" i="4"/>
  <c r="CG335" i="4"/>
  <c r="BD733" i="4"/>
  <c r="BD936" i="4"/>
  <c r="BD900" i="4"/>
  <c r="BS160" i="4"/>
  <c r="BS155" i="4"/>
  <c r="BU339" i="2"/>
  <c r="BU165" i="2"/>
  <c r="BU333" i="2"/>
  <c r="BU342" i="2"/>
  <c r="BU169" i="3"/>
  <c r="BU165" i="3" s="1"/>
  <c r="BU340" i="2"/>
  <c r="BU33" i="2"/>
  <c r="BU150" i="2"/>
  <c r="BU163" i="2"/>
  <c r="BU73" i="2"/>
  <c r="BU334" i="2"/>
  <c r="BU282" i="2"/>
  <c r="BU335" i="2"/>
  <c r="BU341" i="2"/>
  <c r="BU171" i="3"/>
  <c r="BU167" i="3" s="1"/>
  <c r="BU179" i="3"/>
  <c r="BU31" i="2"/>
  <c r="BT30" i="2"/>
  <c r="BV168" i="2" s="1"/>
  <c r="BU161" i="2"/>
  <c r="BU69" i="2"/>
  <c r="BU160" i="2"/>
  <c r="BU159" i="2"/>
  <c r="BU61" i="2"/>
  <c r="BU162" i="2"/>
  <c r="BU337" i="2"/>
  <c r="CG424" i="4"/>
  <c r="CG425" i="4" s="1"/>
  <c r="CB348" i="4"/>
  <c r="CB44" i="4"/>
  <c r="CB471" i="4"/>
  <c r="DJ226" i="2"/>
  <c r="DL224" i="2"/>
  <c r="DL226" i="2" s="1"/>
  <c r="DM224" i="2" s="1"/>
  <c r="DN224" i="2"/>
  <c r="DN226" i="2" s="1"/>
  <c r="BH877" i="4"/>
  <c r="BG895" i="4"/>
  <c r="CS579" i="4"/>
  <c r="CN579" i="4"/>
  <c r="CO579" i="4" s="1"/>
  <c r="CB128" i="4"/>
  <c r="CD127" i="4"/>
  <c r="CD128" i="4" s="1"/>
  <c r="BI813" i="4"/>
  <c r="BI819" i="4" s="1"/>
  <c r="BH819" i="4"/>
  <c r="CL367" i="4"/>
  <c r="CL389" i="4"/>
  <c r="CM389" i="4" s="1"/>
  <c r="CM390" i="4" s="1"/>
  <c r="CL351" i="4"/>
  <c r="CM351" i="4" s="1"/>
  <c r="CM352" i="4" s="1"/>
  <c r="CO215" i="4"/>
  <c r="CO217" i="4" s="1"/>
  <c r="CO214" i="4"/>
  <c r="CE420" i="4"/>
  <c r="CE171" i="4"/>
  <c r="CG170" i="4"/>
  <c r="CG171" i="4" s="1"/>
  <c r="CE15" i="4"/>
  <c r="CE253" i="4"/>
  <c r="BF942" i="4"/>
  <c r="BF655" i="4"/>
  <c r="BF661" i="4"/>
  <c r="BF703" i="4" s="1"/>
  <c r="CH463" i="4"/>
  <c r="CA645" i="4"/>
  <c r="CN261" i="4"/>
  <c r="CN337" i="4"/>
  <c r="CN332" i="4"/>
  <c r="CC473" i="4"/>
  <c r="CC474" i="4" s="1"/>
  <c r="CC45" i="4"/>
  <c r="CD45" i="4" s="1"/>
  <c r="CC417" i="4"/>
  <c r="CR362" i="4"/>
  <c r="CS362" i="4" s="1"/>
  <c r="CO366" i="4"/>
  <c r="CP366" i="4" s="1"/>
  <c r="BI567" i="4"/>
  <c r="BH589" i="4"/>
  <c r="BH583" i="4" s="1"/>
  <c r="CU383" i="4"/>
  <c r="CR386" i="4"/>
  <c r="CR213" i="4"/>
  <c r="CR305" i="4"/>
  <c r="BQ150" i="2"/>
  <c r="BQ333" i="2"/>
  <c r="BQ168" i="2"/>
  <c r="BQ336" i="2"/>
  <c r="BQ31" i="2"/>
  <c r="BQ339" i="2"/>
  <c r="BQ341" i="2"/>
  <c r="BQ165" i="2"/>
  <c r="BQ334" i="2"/>
  <c r="BQ175" i="2"/>
  <c r="BQ340" i="2"/>
  <c r="BQ335" i="2"/>
  <c r="BQ342" i="2"/>
  <c r="BQ163" i="2"/>
  <c r="BQ73" i="2"/>
  <c r="BQ161" i="2"/>
  <c r="BQ337" i="2"/>
  <c r="BQ69" i="2"/>
  <c r="BQ160" i="2"/>
  <c r="BQ159" i="2"/>
  <c r="BQ61" i="2"/>
  <c r="BQ56" i="2"/>
  <c r="BQ162" i="2"/>
  <c r="BQ158" i="2"/>
  <c r="CE119" i="4"/>
  <c r="CE23" i="4"/>
  <c r="CG118" i="4"/>
  <c r="CG119" i="4" s="1"/>
  <c r="CE127" i="4"/>
  <c r="BF673" i="4"/>
  <c r="BF679" i="4"/>
  <c r="BF721" i="4" s="1"/>
  <c r="BZ91" i="3"/>
  <c r="BZ93" i="3" s="1"/>
  <c r="DC185" i="2"/>
  <c r="DC614" i="2"/>
  <c r="CG405" i="4"/>
  <c r="CG406" i="4" s="1"/>
  <c r="BP477" i="2"/>
  <c r="EF257" i="2"/>
  <c r="EE257" i="2" s="1"/>
  <c r="EB255" i="2"/>
  <c r="ED257" i="2"/>
  <c r="ED255" i="2" s="1"/>
  <c r="CJ299" i="2"/>
  <c r="CF235" i="4"/>
  <c r="CJ175" i="4"/>
  <c r="CJ179" i="4"/>
  <c r="CQ215" i="4"/>
  <c r="CQ217" i="4" s="1"/>
  <c r="CQ214" i="4"/>
  <c r="CI390" i="4"/>
  <c r="CI402" i="4"/>
  <c r="CI400" i="4" s="1"/>
  <c r="CJ400" i="4" s="1"/>
  <c r="CG306" i="4"/>
  <c r="CG307" i="4"/>
  <c r="CC430" i="4"/>
  <c r="EL133" i="3"/>
  <c r="EM133" i="3"/>
  <c r="CF36" i="4"/>
  <c r="CM643" i="4"/>
  <c r="BK816" i="4"/>
  <c r="BL810" i="4"/>
  <c r="BH889" i="4"/>
  <c r="BK499" i="2"/>
  <c r="BK497" i="2"/>
  <c r="BK500" i="2"/>
  <c r="BL498" i="2"/>
  <c r="BK504" i="2"/>
  <c r="CK334" i="4"/>
  <c r="BP652" i="4"/>
  <c r="EE212" i="2"/>
  <c r="DF385" i="2"/>
  <c r="DF396" i="2"/>
  <c r="DF398" i="2" s="1"/>
  <c r="DF400" i="2"/>
  <c r="CK578" i="4"/>
  <c r="CL578" i="4" s="1"/>
  <c r="CP578" i="4"/>
  <c r="CB343" i="4"/>
  <c r="BE730" i="4"/>
  <c r="BE674" i="4"/>
  <c r="BE716" i="4" s="1"/>
  <c r="BE919" i="4" s="1"/>
  <c r="BE680" i="4"/>
  <c r="BE722" i="4" s="1"/>
  <c r="BE925" i="4" s="1"/>
  <c r="BS168" i="2"/>
  <c r="EJ278" i="2"/>
  <c r="EI73" i="3"/>
  <c r="EH278" i="2"/>
  <c r="EH73" i="3" s="1"/>
  <c r="EH75" i="3" s="1"/>
  <c r="BJ865" i="4"/>
  <c r="CW379" i="4"/>
  <c r="CW360" i="4"/>
  <c r="BJ871" i="4"/>
  <c r="BY460" i="4"/>
  <c r="CA459" i="4"/>
  <c r="CA460" i="4" s="1"/>
  <c r="BY465" i="4"/>
  <c r="BF873" i="4"/>
  <c r="BG870" i="4"/>
  <c r="BF912" i="4"/>
  <c r="CA448" i="4"/>
  <c r="CA449" i="4" s="1"/>
  <c r="BY449" i="4"/>
  <c r="BY454" i="4"/>
  <c r="BY472" i="4"/>
  <c r="CB474" i="4"/>
  <c r="CE38" i="4"/>
  <c r="CG440" i="4"/>
  <c r="CE441" i="4"/>
  <c r="CF344" i="2"/>
  <c r="CF156" i="2"/>
  <c r="CF173" i="2"/>
  <c r="CF5" i="3"/>
  <c r="CF11" i="3" s="1"/>
  <c r="CF202" i="3"/>
  <c r="CJ214" i="4"/>
  <c r="CJ215" i="4"/>
  <c r="BS148" i="3"/>
  <c r="BS455" i="2"/>
  <c r="BT149" i="3"/>
  <c r="BS480" i="2"/>
  <c r="CE461" i="4"/>
  <c r="CE342" i="4"/>
  <c r="CE347" i="4" s="1"/>
  <c r="DL270" i="2"/>
  <c r="DJ270" i="2"/>
  <c r="CH425" i="4"/>
  <c r="DA267" i="4"/>
  <c r="CX270" i="4"/>
  <c r="CB36" i="4"/>
  <c r="CB26" i="4"/>
  <c r="CD23" i="4"/>
  <c r="CD36" i="4" s="1"/>
  <c r="BV11" i="4"/>
  <c r="BX3" i="4"/>
  <c r="CS267" i="4"/>
  <c r="CS268" i="4" s="1"/>
  <c r="CS357" i="4" s="1"/>
  <c r="CS271" i="4"/>
  <c r="CF454" i="4"/>
  <c r="CI438" i="4"/>
  <c r="DF267" i="4"/>
  <c r="DC270" i="4"/>
  <c r="BK514" i="2"/>
  <c r="BJ515" i="2"/>
  <c r="CK17" i="4"/>
  <c r="CK413" i="4"/>
  <c r="CK409" i="4"/>
  <c r="CK405" i="4"/>
  <c r="CK352" i="4"/>
  <c r="CK424" i="4"/>
  <c r="BS650" i="4"/>
  <c r="CL169" i="4"/>
  <c r="CL246" i="4"/>
  <c r="CL248" i="4" s="1"/>
  <c r="CL241" i="4"/>
  <c r="CL243" i="4" s="1"/>
  <c r="DD400" i="2"/>
  <c r="DD396" i="2"/>
  <c r="DD398" i="2" s="1"/>
  <c r="DD385" i="2"/>
  <c r="CA345" i="4"/>
  <c r="CA343" i="4"/>
  <c r="BR649" i="4"/>
  <c r="CE142" i="2"/>
  <c r="CE143" i="2" s="1"/>
  <c r="CE146" i="2" s="1"/>
  <c r="CF142" i="2" s="1"/>
  <c r="CF143" i="2" s="1"/>
  <c r="CF146" i="2" s="1"/>
  <c r="CG142" i="2"/>
  <c r="CG143" i="2" s="1"/>
  <c r="CG146" i="2" s="1"/>
  <c r="CW275" i="4"/>
  <c r="CT280" i="4"/>
  <c r="CT282" i="4" s="1"/>
  <c r="CT309" i="4"/>
  <c r="BD734" i="4"/>
  <c r="BD780" i="4" s="1"/>
  <c r="BD937" i="4"/>
  <c r="BD901" i="4"/>
  <c r="CD433" i="4"/>
  <c r="CD434" i="4" s="1"/>
  <c r="BF954" i="4"/>
  <c r="BG858" i="4"/>
  <c r="BF861" i="4"/>
  <c r="BG876" i="4"/>
  <c r="CE423" i="4"/>
  <c r="BK692" i="4"/>
  <c r="CH31" i="4"/>
  <c r="CB432" i="4"/>
  <c r="BV54" i="4"/>
  <c r="BX43" i="4"/>
  <c r="BV64" i="4"/>
  <c r="BV42" i="4"/>
  <c r="BV47" i="4"/>
  <c r="CK180" i="4"/>
  <c r="CK168" i="4"/>
  <c r="CK179" i="4"/>
  <c r="CK208" i="4"/>
  <c r="CM208" i="4" s="1"/>
  <c r="CM178" i="4"/>
  <c r="BD739" i="4"/>
  <c r="BD785" i="4" s="1"/>
  <c r="BD948" i="4"/>
  <c r="BD712" i="4"/>
  <c r="BD912" i="4"/>
  <c r="BG637" i="4"/>
  <c r="BG685" i="4" s="1"/>
  <c r="BG625" i="4"/>
  <c r="CB91" i="3"/>
  <c r="EJ79" i="4"/>
  <c r="EK78" i="4"/>
  <c r="EJ295" i="4"/>
  <c r="CL218" i="4"/>
  <c r="CM218" i="4" s="1"/>
  <c r="CL220" i="4"/>
  <c r="CM220" i="4" s="1"/>
  <c r="CM222" i="4" s="1"/>
  <c r="DF268" i="2"/>
  <c r="DE266" i="2"/>
  <c r="DD268" i="2"/>
  <c r="EF256" i="2"/>
  <c r="CF443" i="4"/>
  <c r="BY439" i="4"/>
  <c r="CA438" i="4"/>
  <c r="CA439" i="4" s="1"/>
  <c r="BY444" i="4"/>
  <c r="CR273" i="4"/>
  <c r="CS272" i="4"/>
  <c r="CS273" i="4" s="1"/>
  <c r="CF29" i="4"/>
  <c r="CQ307" i="4"/>
  <c r="CQ309" i="4" s="1"/>
  <c r="CQ312" i="4" s="1"/>
  <c r="CQ306" i="4"/>
  <c r="CT306" i="4"/>
  <c r="BP752" i="4"/>
  <c r="CL310" i="4"/>
  <c r="CM310" i="4" s="1"/>
  <c r="CL312" i="4"/>
  <c r="CM312" i="4" s="1"/>
  <c r="CI448" i="4"/>
  <c r="BT644" i="4"/>
  <c r="ED294" i="2"/>
  <c r="EF294" i="2" s="1"/>
  <c r="EB294" i="2"/>
  <c r="CF128" i="4"/>
  <c r="DY300" i="2"/>
  <c r="EA300" i="2"/>
  <c r="BJ812" i="4"/>
  <c r="BK811" i="4"/>
  <c r="BJ817" i="4"/>
  <c r="BJ883" i="4" s="1"/>
  <c r="BF867" i="4"/>
  <c r="CK339" i="4"/>
  <c r="CN310" i="4"/>
  <c r="BC700" i="4"/>
  <c r="BC733" i="4"/>
  <c r="BC936" i="4"/>
  <c r="BC900" i="4"/>
  <c r="CB462" i="4"/>
  <c r="BE662" i="4"/>
  <c r="BE704" i="4" s="1"/>
  <c r="BE907" i="4" s="1"/>
  <c r="BE656" i="4"/>
  <c r="BE698" i="4" s="1"/>
  <c r="BE943" i="4"/>
  <c r="BS53" i="2"/>
  <c r="BS43" i="2" s="1"/>
  <c r="BS476" i="2" s="1"/>
  <c r="BS475" i="2"/>
  <c r="CE243" i="4"/>
  <c r="CG241" i="4"/>
  <c r="CG242" i="4" s="1"/>
  <c r="BY39" i="4"/>
  <c r="CA26" i="4"/>
  <c r="CA39" i="4" s="1"/>
  <c r="CM854" i="4"/>
  <c r="CK854" i="4" s="1"/>
  <c r="CL854" i="4" s="1"/>
  <c r="EJ292" i="2"/>
  <c r="EL292" i="2" s="1"/>
  <c r="EH292" i="2"/>
  <c r="CH315" i="4"/>
  <c r="CH328" i="4"/>
  <c r="CH326" i="4" s="1"/>
  <c r="BV466" i="4"/>
  <c r="BX465" i="4"/>
  <c r="BX466" i="4" s="1"/>
  <c r="BR651" i="4"/>
  <c r="CD243" i="4"/>
  <c r="CD244" i="4" s="1"/>
  <c r="CB438" i="4"/>
  <c r="CB244" i="4"/>
  <c r="CB136" i="4"/>
  <c r="CV69" i="3"/>
  <c r="CR69" i="3"/>
  <c r="CS70" i="2"/>
  <c r="CJ334" i="4"/>
  <c r="CH440" i="4"/>
  <c r="CH335" i="4"/>
  <c r="BR693" i="4"/>
  <c r="BH866" i="4"/>
  <c r="BS152" i="3"/>
  <c r="BT150" i="3" s="1"/>
  <c r="BG619" i="4"/>
  <c r="BG631" i="4"/>
  <c r="CI210" i="4"/>
  <c r="CI237" i="4"/>
  <c r="EH338" i="4"/>
  <c r="BG754" i="4"/>
  <c r="BH751" i="4"/>
  <c r="CE30" i="4"/>
  <c r="CH442" i="4"/>
  <c r="CH452" i="4"/>
  <c r="CU272" i="4"/>
  <c r="CU271" i="4"/>
  <c r="CV270" i="4"/>
  <c r="CQ175" i="4"/>
  <c r="CN178" i="4"/>
  <c r="CF444" i="4"/>
  <c r="CF445" i="4" s="1"/>
  <c r="CC300" i="2"/>
  <c r="CE300" i="2"/>
  <c r="CD297" i="2"/>
  <c r="CN85" i="2"/>
  <c r="CO86" i="2"/>
  <c r="CI119" i="4"/>
  <c r="CI23" i="4"/>
  <c r="BQ33" i="2"/>
  <c r="BR42" i="2"/>
  <c r="BY34" i="4"/>
  <c r="CA20" i="4"/>
  <c r="BY30" i="2"/>
  <c r="BY71" i="4"/>
  <c r="BY3" i="4"/>
  <c r="BG882" i="4"/>
  <c r="CE453" i="4"/>
  <c r="CG452" i="4"/>
  <c r="CB421" i="4"/>
  <c r="CB426" i="4"/>
  <c r="CD420" i="4"/>
  <c r="CD421" i="4" s="1"/>
  <c r="BC718" i="4"/>
  <c r="BC921" i="4" s="1"/>
  <c r="BC918" i="4"/>
  <c r="CW383" i="4"/>
  <c r="CT213" i="4"/>
  <c r="CT386" i="4"/>
  <c r="CZ272" i="4"/>
  <c r="CZ300" i="4"/>
  <c r="CZ302" i="4" s="1"/>
  <c r="CZ271" i="4"/>
  <c r="CE431" i="4"/>
  <c r="CE329" i="4"/>
  <c r="BH568" i="4"/>
  <c r="BG590" i="4"/>
  <c r="BG584" i="4" s="1"/>
  <c r="CY834" i="4"/>
  <c r="BZ56" i="4"/>
  <c r="BZ66" i="4"/>
  <c r="CH416" i="4"/>
  <c r="CH433" i="4"/>
  <c r="CH403" i="4"/>
  <c r="EG274" i="2"/>
  <c r="EI274" i="2" s="1"/>
  <c r="EE274" i="2"/>
  <c r="CP362" i="4"/>
  <c r="CP363" i="4" s="1"/>
  <c r="DE27" i="2"/>
  <c r="BE697" i="4"/>
  <c r="CG413" i="4"/>
  <c r="CG414" i="4" s="1"/>
  <c r="BV472" i="4"/>
  <c r="BY65" i="4"/>
  <c r="BY55" i="4"/>
  <c r="CP836" i="4"/>
  <c r="CJ221" i="4"/>
  <c r="CB66" i="4"/>
  <c r="CB56" i="4"/>
  <c r="CK313" i="4"/>
  <c r="CK285" i="4"/>
  <c r="CK124" i="4"/>
  <c r="CK262" i="4"/>
  <c r="CQ281" i="4"/>
  <c r="CQ260" i="4"/>
  <c r="EG85" i="4" l="1"/>
  <c r="EH84" i="4"/>
  <c r="EI87" i="4"/>
  <c r="EH88" i="4"/>
  <c r="BU65" i="4"/>
  <c r="CB770" i="4"/>
  <c r="CB771" i="4"/>
  <c r="BY492" i="4"/>
  <c r="BY149" i="4"/>
  <c r="BY150" i="4" s="1"/>
  <c r="CH758" i="4"/>
  <c r="CH766" i="4" s="1"/>
  <c r="EZ291" i="2"/>
  <c r="EW248" i="2"/>
  <c r="EW33" i="3" s="1"/>
  <c r="EW35" i="3" s="1"/>
  <c r="FA248" i="2"/>
  <c r="EY248" i="2"/>
  <c r="EZ235" i="2"/>
  <c r="CJ768" i="4"/>
  <c r="CJ773" i="4" s="1"/>
  <c r="CJ774" i="4" s="1"/>
  <c r="EV409" i="2"/>
  <c r="EX409" i="2" s="1"/>
  <c r="ET409" i="2"/>
  <c r="BZ64" i="4"/>
  <c r="CP188" i="4"/>
  <c r="CP185" i="4" s="1"/>
  <c r="CP186" i="4" s="1"/>
  <c r="CF762" i="4"/>
  <c r="CO189" i="4"/>
  <c r="BU47" i="4"/>
  <c r="BT49" i="4"/>
  <c r="BT60" i="4" s="1"/>
  <c r="CG25" i="4"/>
  <c r="CG38" i="4" s="1"/>
  <c r="BT58" i="4"/>
  <c r="CH759" i="4"/>
  <c r="CH767" i="4" s="1"/>
  <c r="CH757" i="4"/>
  <c r="CH765" i="4" s="1"/>
  <c r="CH760" i="4"/>
  <c r="CH762" i="4" s="1"/>
  <c r="BY131" i="4"/>
  <c r="CD21" i="4"/>
  <c r="BU475" i="4"/>
  <c r="BU476" i="4" s="1"/>
  <c r="BU5" i="4"/>
  <c r="BV158" i="2"/>
  <c r="CR188" i="4"/>
  <c r="CS188" i="4" s="1"/>
  <c r="CS185" i="4" s="1"/>
  <c r="CU183" i="4"/>
  <c r="CV183" i="4" s="1"/>
  <c r="CV184" i="4" s="1"/>
  <c r="CA429" i="4"/>
  <c r="CA430" i="4" s="1"/>
  <c r="BY435" i="4"/>
  <c r="BY469" i="4"/>
  <c r="CA469" i="4" s="1"/>
  <c r="CA470" i="4" s="1"/>
  <c r="CA256" i="4"/>
  <c r="CA257" i="4" s="1"/>
  <c r="BY43" i="4"/>
  <c r="BY64" i="4" s="1"/>
  <c r="E52" i="9"/>
  <c r="E53" i="9" s="1"/>
  <c r="CF459" i="4"/>
  <c r="CF460" i="4" s="1"/>
  <c r="BX226" i="3"/>
  <c r="BY226" i="3" s="1"/>
  <c r="BW352" i="2"/>
  <c r="CF421" i="4"/>
  <c r="CU204" i="4"/>
  <c r="CU205" i="4"/>
  <c r="CP300" i="4"/>
  <c r="CP302" i="4" s="1"/>
  <c r="CO302" i="4"/>
  <c r="CT296" i="2"/>
  <c r="CV296" i="2" s="1"/>
  <c r="CR296" i="2"/>
  <c r="CR206" i="4"/>
  <c r="CS206" i="4" s="1"/>
  <c r="CS205" i="4"/>
  <c r="CS203" i="4" s="1"/>
  <c r="CS204" i="4" s="1"/>
  <c r="BX617" i="2"/>
  <c r="BX622" i="2" s="1"/>
  <c r="BX55" i="2"/>
  <c r="BX152" i="2"/>
  <c r="BW60" i="2"/>
  <c r="DA375" i="4"/>
  <c r="CX203" i="4"/>
  <c r="CX295" i="4"/>
  <c r="BY171" i="2"/>
  <c r="BW171" i="2"/>
  <c r="BW153" i="2"/>
  <c r="CB72" i="2"/>
  <c r="CB345" i="2" s="1"/>
  <c r="CB146" i="3"/>
  <c r="CB619" i="2"/>
  <c r="CB621" i="2" s="1"/>
  <c r="CB479" i="2"/>
  <c r="CB480" i="2" s="1"/>
  <c r="CP299" i="4"/>
  <c r="CO301" i="4"/>
  <c r="CP301" i="4" s="1"/>
  <c r="BV151" i="2"/>
  <c r="BV180" i="2"/>
  <c r="CA154" i="2"/>
  <c r="CA331" i="2"/>
  <c r="CA4" i="3"/>
  <c r="CA10" i="3" s="1"/>
  <c r="BZ72" i="2"/>
  <c r="BZ345" i="2" s="1"/>
  <c r="CA178" i="2"/>
  <c r="BZ178" i="2" s="1"/>
  <c r="CA343" i="2"/>
  <c r="CA68" i="2"/>
  <c r="CA345" i="2"/>
  <c r="CE66" i="3"/>
  <c r="CD66" i="3"/>
  <c r="CF449" i="4"/>
  <c r="CU296" i="4"/>
  <c r="CU298" i="4"/>
  <c r="CH271" i="2"/>
  <c r="CF271" i="2"/>
  <c r="CG269" i="2"/>
  <c r="CE77" i="2"/>
  <c r="CC77" i="2"/>
  <c r="CD74" i="2"/>
  <c r="CR380" i="4"/>
  <c r="CS379" i="4"/>
  <c r="CS380" i="4" s="1"/>
  <c r="CR299" i="4"/>
  <c r="CS298" i="4"/>
  <c r="CS295" i="4" s="1"/>
  <c r="CS296" i="4" s="1"/>
  <c r="CR300" i="4"/>
  <c r="BU179" i="2"/>
  <c r="BT179" i="2" s="1"/>
  <c r="BT57" i="2"/>
  <c r="BU180" i="3"/>
  <c r="BU456" i="2"/>
  <c r="BU26" i="3"/>
  <c r="BU28" i="3" s="1"/>
  <c r="BU55" i="2"/>
  <c r="BZ619" i="2"/>
  <c r="BZ621" i="2" s="1"/>
  <c r="BZ479" i="2"/>
  <c r="BY153" i="2"/>
  <c r="BY60" i="2"/>
  <c r="BY159" i="2" s="1"/>
  <c r="BY176" i="2"/>
  <c r="CW208" i="3"/>
  <c r="CY208" i="3" s="1"/>
  <c r="CU208" i="3"/>
  <c r="CU206" i="3" s="1"/>
  <c r="H13" i="9"/>
  <c r="DA264" i="2"/>
  <c r="CS19" i="4"/>
  <c r="CS33" i="4" s="1"/>
  <c r="DN148" i="3"/>
  <c r="DO149" i="3"/>
  <c r="DN455" i="2"/>
  <c r="CV280" i="2"/>
  <c r="CT276" i="2"/>
  <c r="CW19" i="4"/>
  <c r="CT33" i="4"/>
  <c r="CU19" i="4"/>
  <c r="CU33" i="4" s="1"/>
  <c r="CR276" i="2"/>
  <c r="DS206" i="3"/>
  <c r="CP277" i="4"/>
  <c r="CP278" i="4" s="1"/>
  <c r="BF632" i="4"/>
  <c r="BF674" i="4" s="1"/>
  <c r="BF716" i="4" s="1"/>
  <c r="BF919" i="4" s="1"/>
  <c r="BF730" i="4"/>
  <c r="BF933" i="4" s="1"/>
  <c r="CD264" i="2"/>
  <c r="CC263" i="2"/>
  <c r="DE145" i="2"/>
  <c r="DD145" i="2" s="1"/>
  <c r="DF145" i="2"/>
  <c r="AX91" i="2"/>
  <c r="AX140" i="2"/>
  <c r="AX566" i="2"/>
  <c r="AY374" i="2"/>
  <c r="AX384" i="2"/>
  <c r="BC374" i="2"/>
  <c r="AZ140" i="2"/>
  <c r="BA374" i="2"/>
  <c r="AZ384" i="2"/>
  <c r="AZ91" i="2"/>
  <c r="AZ566" i="2"/>
  <c r="CJ256" i="2"/>
  <c r="CH255" i="2"/>
  <c r="CH252" i="2" s="1"/>
  <c r="CH263" i="2" s="1"/>
  <c r="CH264" i="2" s="1"/>
  <c r="CF255" i="2"/>
  <c r="CG252" i="2"/>
  <c r="BQ414" i="2"/>
  <c r="BS414" i="2"/>
  <c r="BR415" i="2"/>
  <c r="BQ415" i="2" s="1"/>
  <c r="BF739" i="4"/>
  <c r="BF785" i="4" s="1"/>
  <c r="BF930" i="4"/>
  <c r="DC359" i="4"/>
  <c r="DC360" i="4" s="1"/>
  <c r="BD658" i="4"/>
  <c r="CM138" i="2"/>
  <c r="CK139" i="2"/>
  <c r="CK140" i="2" s="1"/>
  <c r="CK141" i="2" s="1"/>
  <c r="CE292" i="2"/>
  <c r="CC292" i="2"/>
  <c r="CD290" i="2"/>
  <c r="CD304" i="2" s="1"/>
  <c r="CC304" i="2" s="1"/>
  <c r="CB166" i="2"/>
  <c r="CA330" i="2"/>
  <c r="CA235" i="3"/>
  <c r="BZ329" i="2"/>
  <c r="CB329" i="2"/>
  <c r="CB513" i="2"/>
  <c r="CB120" i="3"/>
  <c r="CB327" i="2"/>
  <c r="CB328" i="2"/>
  <c r="CB236" i="3" s="1"/>
  <c r="CB640" i="2"/>
  <c r="BZ327" i="2"/>
  <c r="BZ328" i="2"/>
  <c r="BZ236" i="3" s="1"/>
  <c r="BZ120" i="3"/>
  <c r="BZ119" i="3" s="1"/>
  <c r="BZ640" i="2"/>
  <c r="BZ513" i="2"/>
  <c r="BZ166" i="2"/>
  <c r="CF251" i="4"/>
  <c r="CF252" i="4" s="1"/>
  <c r="BD676" i="4"/>
  <c r="BD718" i="4"/>
  <c r="BD921" i="4" s="1"/>
  <c r="CI38" i="4"/>
  <c r="EQ293" i="2"/>
  <c r="ES293" i="2"/>
  <c r="EU293" i="2" s="1"/>
  <c r="EW277" i="4"/>
  <c r="EZ277" i="4" s="1"/>
  <c r="ER111" i="4"/>
  <c r="ES111" i="4"/>
  <c r="ER124" i="3"/>
  <c r="ES124" i="3"/>
  <c r="ET124" i="3" s="1"/>
  <c r="ET286" i="2"/>
  <c r="EV286" i="2"/>
  <c r="EX286" i="2" s="1"/>
  <c r="EX33" i="3"/>
  <c r="EU35" i="3"/>
  <c r="EV35" i="3"/>
  <c r="CK215" i="3"/>
  <c r="CM217" i="3"/>
  <c r="DT529" i="2"/>
  <c r="DS413" i="2"/>
  <c r="DT522" i="2"/>
  <c r="DT530" i="2" s="1"/>
  <c r="DU413" i="2"/>
  <c r="DW413" i="2" s="1"/>
  <c r="AT25" i="2"/>
  <c r="CU78" i="2"/>
  <c r="CW78" i="2"/>
  <c r="CY78" i="2" s="1"/>
  <c r="AS25" i="2"/>
  <c r="CT149" i="3"/>
  <c r="CS455" i="2"/>
  <c r="CS148" i="3"/>
  <c r="AT11" i="2"/>
  <c r="AT14" i="2"/>
  <c r="AX441" i="2"/>
  <c r="AW410" i="2"/>
  <c r="AW409" i="2"/>
  <c r="AW411" i="2"/>
  <c r="AR365" i="2"/>
  <c r="AR223" i="3" s="1"/>
  <c r="AR366" i="2"/>
  <c r="AR224" i="3" s="1"/>
  <c r="AR27" i="2"/>
  <c r="AU400" i="2"/>
  <c r="AU140" i="2" s="1"/>
  <c r="AU398" i="2"/>
  <c r="AU25" i="2"/>
  <c r="AQ20" i="2"/>
  <c r="AQ140" i="2"/>
  <c r="AQ141" i="2" s="1"/>
  <c r="AS400" i="2"/>
  <c r="AS398" i="2"/>
  <c r="AP366" i="2"/>
  <c r="AP224" i="3" s="1"/>
  <c r="AP365" i="2"/>
  <c r="AP223" i="3" s="1"/>
  <c r="AP27" i="2"/>
  <c r="CQ279" i="2"/>
  <c r="CO279" i="2"/>
  <c r="EH212" i="2"/>
  <c r="EJ131" i="3"/>
  <c r="EK125" i="3"/>
  <c r="EL125" i="3" s="1"/>
  <c r="EL78" i="2" s="1"/>
  <c r="EJ78" i="2"/>
  <c r="EJ182" i="2" s="1"/>
  <c r="EH78" i="2"/>
  <c r="EI182" i="2"/>
  <c r="EH182" i="2" s="1"/>
  <c r="EI131" i="3"/>
  <c r="BT152" i="3"/>
  <c r="BV5" i="4"/>
  <c r="CE237" i="4"/>
  <c r="CE429" i="4" s="1"/>
  <c r="CG209" i="4"/>
  <c r="CG210" i="4" s="1"/>
  <c r="CF26" i="4"/>
  <c r="CF39" i="4" s="1"/>
  <c r="CT283" i="4"/>
  <c r="CO283" i="4"/>
  <c r="CP282" i="4"/>
  <c r="CP283" i="4" s="1"/>
  <c r="CS280" i="4"/>
  <c r="CS281" i="4" s="1"/>
  <c r="CR282" i="4"/>
  <c r="CB238" i="4"/>
  <c r="CB256" i="4"/>
  <c r="CD256" i="4" s="1"/>
  <c r="CD257" i="4" s="1"/>
  <c r="CI171" i="4"/>
  <c r="CD130" i="4"/>
  <c r="CD131" i="4" s="1"/>
  <c r="CB429" i="4"/>
  <c r="CD429" i="4" s="1"/>
  <c r="CD430" i="4" s="1"/>
  <c r="CI244" i="4"/>
  <c r="CI420" i="4"/>
  <c r="CI439" i="4" s="1"/>
  <c r="CD237" i="4"/>
  <c r="CD238" i="4" s="1"/>
  <c r="CB130" i="4"/>
  <c r="CB131" i="4" s="1"/>
  <c r="CI253" i="4"/>
  <c r="CI459" i="4" s="1"/>
  <c r="DE109" i="4"/>
  <c r="DC378" i="4"/>
  <c r="DC355" i="4"/>
  <c r="DC163" i="4"/>
  <c r="DC164" i="4" s="1"/>
  <c r="DF747" i="4"/>
  <c r="DF748" i="4" s="1"/>
  <c r="DF749" i="4" s="1"/>
  <c r="DF106" i="4"/>
  <c r="DF354" i="4"/>
  <c r="DF96" i="4"/>
  <c r="DC668" i="2"/>
  <c r="DC97" i="4"/>
  <c r="BD951" i="4"/>
  <c r="CC43" i="4"/>
  <c r="CC54" i="4" s="1"/>
  <c r="CM337" i="4"/>
  <c r="CM338" i="4" s="1"/>
  <c r="CI127" i="4"/>
  <c r="CI128" i="4" s="1"/>
  <c r="CT387" i="4"/>
  <c r="CC469" i="4"/>
  <c r="CC470" i="4" s="1"/>
  <c r="CC456" i="4"/>
  <c r="CI125" i="4"/>
  <c r="CC487" i="4"/>
  <c r="CD451" i="4"/>
  <c r="CJ124" i="4"/>
  <c r="CJ125" i="4" s="1"/>
  <c r="BX492" i="4"/>
  <c r="CC480" i="4"/>
  <c r="BT491" i="4"/>
  <c r="BT493" i="4" s="1"/>
  <c r="BU493" i="4" s="1"/>
  <c r="CC427" i="4"/>
  <c r="BV436" i="4"/>
  <c r="BX435" i="4"/>
  <c r="BX436" i="4" s="1"/>
  <c r="BV492" i="4"/>
  <c r="BV131" i="4"/>
  <c r="BV133" i="4"/>
  <c r="CG423" i="4"/>
  <c r="CD431" i="4"/>
  <c r="CD432" i="4" s="1"/>
  <c r="CC435" i="4"/>
  <c r="CC436" i="4" s="1"/>
  <c r="CC465" i="4"/>
  <c r="CC466" i="4" s="1"/>
  <c r="BF688" i="4"/>
  <c r="CD441" i="4"/>
  <c r="CG823" i="4"/>
  <c r="CC823" i="4"/>
  <c r="CD841" i="4"/>
  <c r="BY823" i="4"/>
  <c r="BY841" i="4" s="1"/>
  <c r="BZ841" i="4"/>
  <c r="BF957" i="4"/>
  <c r="CJ209" i="4"/>
  <c r="CJ210" i="4" s="1"/>
  <c r="CP852" i="4"/>
  <c r="CK852" i="4"/>
  <c r="CL852" i="4" s="1"/>
  <c r="BF950" i="4"/>
  <c r="CD473" i="4"/>
  <c r="CD474" i="4" s="1"/>
  <c r="CJ17" i="4"/>
  <c r="CJ31" i="4" s="1"/>
  <c r="CL170" i="4"/>
  <c r="CL15" i="4" s="1"/>
  <c r="CC3" i="4"/>
  <c r="CH237" i="4"/>
  <c r="CH238" i="4" s="1"/>
  <c r="CM332" i="4"/>
  <c r="CM333" i="4" s="1"/>
  <c r="BF712" i="4"/>
  <c r="BF915" i="4" s="1"/>
  <c r="CC71" i="4"/>
  <c r="BD724" i="4"/>
  <c r="BD927" i="4" s="1"/>
  <c r="BD706" i="4"/>
  <c r="BD909" i="4" s="1"/>
  <c r="DE229" i="4"/>
  <c r="CD461" i="4"/>
  <c r="CD462" i="4" s="1"/>
  <c r="DB232" i="4"/>
  <c r="DE322" i="4"/>
  <c r="DM225" i="4"/>
  <c r="DP392" i="4"/>
  <c r="DM317" i="4"/>
  <c r="DM395" i="4"/>
  <c r="DG321" i="4"/>
  <c r="DG323" i="4" s="1"/>
  <c r="DG324" i="4" s="1"/>
  <c r="DG322" i="4"/>
  <c r="DG229" i="4"/>
  <c r="DG231" i="4"/>
  <c r="DJ318" i="4"/>
  <c r="DJ320" i="4"/>
  <c r="DJ228" i="4"/>
  <c r="DJ226" i="4"/>
  <c r="DD233" i="4"/>
  <c r="DD232" i="4"/>
  <c r="CF441" i="4"/>
  <c r="BW134" i="4"/>
  <c r="BW149" i="4"/>
  <c r="BI589" i="4"/>
  <c r="BI637" i="4" s="1"/>
  <c r="DE231" i="4"/>
  <c r="DE233" i="4" s="1"/>
  <c r="DC233" i="4"/>
  <c r="DC232" i="4"/>
  <c r="DI226" i="4"/>
  <c r="DI228" i="4"/>
  <c r="DK225" i="4"/>
  <c r="DK226" i="4" s="1"/>
  <c r="DC323" i="4"/>
  <c r="DE321" i="4"/>
  <c r="DF322" i="4"/>
  <c r="DH320" i="4"/>
  <c r="DF321" i="4"/>
  <c r="DK395" i="4"/>
  <c r="DF398" i="4"/>
  <c r="DH397" i="4"/>
  <c r="DH398" i="4" s="1"/>
  <c r="CZ324" i="4"/>
  <c r="DB323" i="4"/>
  <c r="DB324" i="4" s="1"/>
  <c r="DL317" i="4"/>
  <c r="DO392" i="4"/>
  <c r="DL225" i="4"/>
  <c r="DL395" i="4"/>
  <c r="DH228" i="4"/>
  <c r="DF229" i="4"/>
  <c r="DF231" i="4"/>
  <c r="DK317" i="4"/>
  <c r="DK318" i="4" s="1"/>
  <c r="DI320" i="4"/>
  <c r="DI318" i="4"/>
  <c r="CJ402" i="4"/>
  <c r="CJ403" i="4" s="1"/>
  <c r="CL124" i="4"/>
  <c r="CL125" i="4" s="1"/>
  <c r="EF81" i="4"/>
  <c r="EE82" i="4"/>
  <c r="BF740" i="4"/>
  <c r="BF786" i="4" s="1"/>
  <c r="BF741" i="4"/>
  <c r="BF787" i="4" s="1"/>
  <c r="CC149" i="4"/>
  <c r="CC150" i="4" s="1"/>
  <c r="CL313" i="4"/>
  <c r="CL328" i="4" s="1"/>
  <c r="CC131" i="4"/>
  <c r="CC492" i="4"/>
  <c r="BE933" i="4"/>
  <c r="CT837" i="4"/>
  <c r="CU837" i="4" s="1"/>
  <c r="CJ840" i="4"/>
  <c r="CJ846" i="4" s="1"/>
  <c r="CJ847" i="4" s="1"/>
  <c r="CJ848" i="4" s="1"/>
  <c r="CJ849" i="4" s="1"/>
  <c r="CM822" i="4"/>
  <c r="CI822" i="4"/>
  <c r="CJ828" i="4"/>
  <c r="CJ829" i="4" s="1"/>
  <c r="CJ830" i="4" s="1"/>
  <c r="CJ831" i="4" s="1"/>
  <c r="CE774" i="4"/>
  <c r="CB828" i="4"/>
  <c r="CB829" i="4" s="1"/>
  <c r="CB830" i="4" s="1"/>
  <c r="CB831" i="4" s="1"/>
  <c r="CB840" i="4"/>
  <c r="CB846" i="4" s="1"/>
  <c r="CB847" i="4" s="1"/>
  <c r="CB848" i="4" s="1"/>
  <c r="CB849" i="4" s="1"/>
  <c r="CF828" i="4"/>
  <c r="CF829" i="4" s="1"/>
  <c r="CF830" i="4" s="1"/>
  <c r="CF831" i="4" s="1"/>
  <c r="CE822" i="4"/>
  <c r="CF840" i="4"/>
  <c r="CF846" i="4" s="1"/>
  <c r="CF847" i="4" s="1"/>
  <c r="CF848" i="4" s="1"/>
  <c r="CF849" i="4" s="1"/>
  <c r="BP838" i="4"/>
  <c r="BP843" i="4"/>
  <c r="BP856" i="4" s="1"/>
  <c r="BG585" i="4"/>
  <c r="BG586" i="4" s="1"/>
  <c r="BG627" i="4"/>
  <c r="BG669" i="4" s="1"/>
  <c r="BG639" i="4"/>
  <c r="BG687" i="4" s="1"/>
  <c r="BX843" i="4"/>
  <c r="BX856" i="4" s="1"/>
  <c r="BX838" i="4"/>
  <c r="CA825" i="4"/>
  <c r="BW825" i="4"/>
  <c r="BD735" i="4"/>
  <c r="BD781" i="4" s="1"/>
  <c r="BD938" i="4"/>
  <c r="BD902" i="4"/>
  <c r="BE681" i="4"/>
  <c r="BE723" i="4" s="1"/>
  <c r="BE926" i="4" s="1"/>
  <c r="BE675" i="4"/>
  <c r="BE717" i="4" s="1"/>
  <c r="BE920" i="4" s="1"/>
  <c r="BE634" i="4"/>
  <c r="BE682" i="4" s="1"/>
  <c r="BF633" i="4"/>
  <c r="BF621" i="4"/>
  <c r="BF622" i="4" s="1"/>
  <c r="BF664" i="4" s="1"/>
  <c r="BF586" i="4"/>
  <c r="BH591" i="4"/>
  <c r="BH585" i="4" s="1"/>
  <c r="BI569" i="4"/>
  <c r="BT838" i="4"/>
  <c r="BS825" i="4"/>
  <c r="BT843" i="4"/>
  <c r="BT856" i="4" s="1"/>
  <c r="BE944" i="4"/>
  <c r="BE945" i="4" s="1"/>
  <c r="BE663" i="4"/>
  <c r="BE705" i="4" s="1"/>
  <c r="BE657" i="4"/>
  <c r="CN835" i="4"/>
  <c r="CO835" i="4" s="1"/>
  <c r="CS835" i="4"/>
  <c r="CF773" i="4"/>
  <c r="CF774" i="4" s="1"/>
  <c r="EL75" i="4"/>
  <c r="EL76" i="4" s="1"/>
  <c r="EM75" i="4"/>
  <c r="EK76" i="4"/>
  <c r="CV375" i="4"/>
  <c r="CV376" i="4" s="1"/>
  <c r="CW837" i="4"/>
  <c r="CX837" i="4" s="1"/>
  <c r="DB837" i="4"/>
  <c r="CJ424" i="4"/>
  <c r="CJ425" i="4" s="1"/>
  <c r="CF771" i="4"/>
  <c r="CX97" i="4"/>
  <c r="CY96" i="4"/>
  <c r="CX378" i="4"/>
  <c r="CY378" i="4" s="1"/>
  <c r="CY354" i="4"/>
  <c r="CY355" i="4" s="1"/>
  <c r="CX355" i="4"/>
  <c r="CX359" i="4"/>
  <c r="CX163" i="4"/>
  <c r="DD105" i="4"/>
  <c r="CI453" i="4"/>
  <c r="CV163" i="4"/>
  <c r="CV164" i="4" s="1"/>
  <c r="CU164" i="4"/>
  <c r="DA354" i="4"/>
  <c r="DA747" i="4"/>
  <c r="DB105" i="4"/>
  <c r="DB106" i="4" s="1"/>
  <c r="DA106" i="4"/>
  <c r="DA96" i="4"/>
  <c r="CV97" i="4"/>
  <c r="CI443" i="4"/>
  <c r="CU360" i="4"/>
  <c r="CU379" i="4"/>
  <c r="CV359" i="4"/>
  <c r="CY747" i="4"/>
  <c r="CY748" i="4" s="1"/>
  <c r="CY749" i="4" s="1"/>
  <c r="CX748" i="4"/>
  <c r="CX749" i="4" s="1"/>
  <c r="BG878" i="4"/>
  <c r="BG879" i="4" s="1"/>
  <c r="BG884" i="4"/>
  <c r="BG885" i="4" s="1"/>
  <c r="CI344" i="4"/>
  <c r="CJ344" i="4" s="1"/>
  <c r="CI422" i="4"/>
  <c r="CI441" i="4" s="1"/>
  <c r="CI263" i="4"/>
  <c r="CI16" i="4"/>
  <c r="CI30" i="4" s="1"/>
  <c r="BT150" i="4"/>
  <c r="BT154" i="4"/>
  <c r="BU149" i="4"/>
  <c r="BU150" i="4" s="1"/>
  <c r="BZ348" i="4"/>
  <c r="BZ44" i="4"/>
  <c r="CA347" i="4"/>
  <c r="CA348" i="4" s="1"/>
  <c r="BZ471" i="4"/>
  <c r="CJ405" i="4"/>
  <c r="CJ406" i="4" s="1"/>
  <c r="CK757" i="4"/>
  <c r="CK765" i="4" s="1"/>
  <c r="CK760" i="4"/>
  <c r="CK758" i="4"/>
  <c r="CK766" i="4" s="1"/>
  <c r="CK759" i="4"/>
  <c r="CK767" i="4" s="1"/>
  <c r="CK769" i="4"/>
  <c r="CI762" i="4"/>
  <c r="CI768" i="4"/>
  <c r="CI773" i="4" s="1"/>
  <c r="CT189" i="4"/>
  <c r="CT191" i="4"/>
  <c r="CT192" i="4" s="1"/>
  <c r="BF885" i="4"/>
  <c r="BX11" i="4"/>
  <c r="CG441" i="4"/>
  <c r="CJ413" i="4"/>
  <c r="CJ414" i="4" s="1"/>
  <c r="BF896" i="4"/>
  <c r="DI273" i="2"/>
  <c r="DG273" i="2"/>
  <c r="CR281" i="4"/>
  <c r="CR260" i="4"/>
  <c r="CS260" i="4" s="1"/>
  <c r="CS261" i="4" s="1"/>
  <c r="DH100" i="4"/>
  <c r="CI315" i="4"/>
  <c r="CI328" i="4"/>
  <c r="CJ328" i="4" s="1"/>
  <c r="CM762" i="4"/>
  <c r="CM768" i="4"/>
  <c r="DH504" i="4"/>
  <c r="DH505" i="4"/>
  <c r="CC347" i="4"/>
  <c r="CZ183" i="4"/>
  <c r="CW188" i="4"/>
  <c r="CX207" i="3"/>
  <c r="BZ131" i="4"/>
  <c r="BZ133" i="4"/>
  <c r="BZ492" i="4"/>
  <c r="CO284" i="4"/>
  <c r="CO313" i="4" s="1"/>
  <c r="DH745" i="4"/>
  <c r="CF21" i="4"/>
  <c r="BF879" i="4"/>
  <c r="CN580" i="4"/>
  <c r="CO580" i="4" s="1"/>
  <c r="CS580" i="4"/>
  <c r="DG266" i="4"/>
  <c r="DH265" i="4"/>
  <c r="DH266" i="4" s="1"/>
  <c r="CX275" i="4"/>
  <c r="CY275" i="4" s="1"/>
  <c r="CY276" i="4" s="1"/>
  <c r="CU280" i="4"/>
  <c r="CL440" i="4"/>
  <c r="CE771" i="4"/>
  <c r="CE770" i="4"/>
  <c r="BW472" i="4"/>
  <c r="BW475" i="4"/>
  <c r="CL759" i="4"/>
  <c r="CL767" i="4" s="1"/>
  <c r="CL760" i="4"/>
  <c r="CL758" i="4"/>
  <c r="CL766" i="4" s="1"/>
  <c r="CL757" i="4"/>
  <c r="CL765" i="4" s="1"/>
  <c r="CL769" i="4"/>
  <c r="CF423" i="4"/>
  <c r="CF451" i="4"/>
  <c r="DH255" i="2"/>
  <c r="Y52" i="9" s="1"/>
  <c r="DI256" i="2"/>
  <c r="DI255" i="2" s="1"/>
  <c r="DI252" i="2" s="1"/>
  <c r="DI263" i="2" s="1"/>
  <c r="DI264" i="2" s="1"/>
  <c r="DG256" i="2"/>
  <c r="CG16" i="4"/>
  <c r="CG30" i="4" s="1"/>
  <c r="CF20" i="4"/>
  <c r="CF3" i="4" s="1"/>
  <c r="BW65" i="4"/>
  <c r="BW42" i="4"/>
  <c r="BX42" i="4" s="1"/>
  <c r="BX53" i="4" s="1"/>
  <c r="BW55" i="4"/>
  <c r="BW47" i="4"/>
  <c r="BX47" i="4" s="1"/>
  <c r="BI859" i="4"/>
  <c r="BH955" i="4"/>
  <c r="AG385" i="2"/>
  <c r="AG396" i="2"/>
  <c r="AG398" i="2" s="1"/>
  <c r="AG400" i="2"/>
  <c r="AH400" i="2" s="1"/>
  <c r="CF329" i="4"/>
  <c r="CF431" i="4"/>
  <c r="CF432" i="4" s="1"/>
  <c r="DD252" i="2"/>
  <c r="DE263" i="2"/>
  <c r="X55" i="9" s="1"/>
  <c r="CF326" i="4"/>
  <c r="CG326" i="4" s="1"/>
  <c r="EL260" i="2"/>
  <c r="EJ213" i="3"/>
  <c r="BX471" i="4"/>
  <c r="BX472" i="4" s="1"/>
  <c r="CJ262" i="4"/>
  <c r="CJ263" i="4" s="1"/>
  <c r="CF426" i="4"/>
  <c r="CF456" i="4" s="1"/>
  <c r="CD342" i="4"/>
  <c r="CD345" i="4" s="1"/>
  <c r="CR387" i="4"/>
  <c r="CS387" i="4" s="1"/>
  <c r="CS383" i="4" s="1"/>
  <c r="CS305" i="4" s="1"/>
  <c r="BG890" i="4"/>
  <c r="BG891" i="4" s="1"/>
  <c r="BF932" i="4"/>
  <c r="DH103" i="4"/>
  <c r="CI335" i="4"/>
  <c r="CO261" i="4"/>
  <c r="CO332" i="4"/>
  <c r="CO334" i="4" s="1"/>
  <c r="CO337" i="4"/>
  <c r="CO339" i="4" s="1"/>
  <c r="CO450" i="4" s="1"/>
  <c r="DG174" i="4"/>
  <c r="DH173" i="4"/>
  <c r="CL285" i="4"/>
  <c r="CL262" i="4"/>
  <c r="CM262" i="4" s="1"/>
  <c r="CP758" i="4"/>
  <c r="CP766" i="4" s="1"/>
  <c r="CN761" i="4"/>
  <c r="CP769" i="4"/>
  <c r="CP757" i="4"/>
  <c r="CP765" i="4" s="1"/>
  <c r="CP760" i="4"/>
  <c r="CS761" i="4"/>
  <c r="CP759" i="4"/>
  <c r="CP767" i="4" s="1"/>
  <c r="CO761" i="4"/>
  <c r="CF461" i="4"/>
  <c r="CF462" i="4" s="1"/>
  <c r="CF342" i="4"/>
  <c r="CF343" i="4" s="1"/>
  <c r="BG632" i="4"/>
  <c r="BG620" i="4"/>
  <c r="CQ284" i="4"/>
  <c r="CS836" i="4"/>
  <c r="CQ836" i="4" s="1"/>
  <c r="CR836" i="4" s="1"/>
  <c r="BR53" i="2"/>
  <c r="BR43" i="2" s="1"/>
  <c r="BQ42" i="2"/>
  <c r="BR475" i="2"/>
  <c r="CN90" i="2"/>
  <c r="CO85" i="2"/>
  <c r="EJ338" i="4"/>
  <c r="BG655" i="4"/>
  <c r="BG942" i="4"/>
  <c r="BG661" i="4"/>
  <c r="BG703" i="4" s="1"/>
  <c r="BG906" i="4" s="1"/>
  <c r="BD742" i="4"/>
  <c r="BD788" i="4" s="1"/>
  <c r="BD915" i="4"/>
  <c r="BG861" i="4"/>
  <c r="BG954" i="4"/>
  <c r="BH858" i="4"/>
  <c r="CT310" i="4"/>
  <c r="DD267" i="4"/>
  <c r="DA270" i="4"/>
  <c r="CA465" i="4"/>
  <c r="CA466" i="4" s="1"/>
  <c r="BY466" i="4"/>
  <c r="BM810" i="4"/>
  <c r="BL816" i="4"/>
  <c r="BJ567" i="4"/>
  <c r="CH464" i="4"/>
  <c r="CJ463" i="4"/>
  <c r="BF697" i="4"/>
  <c r="BU42" i="2"/>
  <c r="BT33" i="2"/>
  <c r="BV476" i="4"/>
  <c r="BV491" i="4"/>
  <c r="CS363" i="4"/>
  <c r="BE918" i="4"/>
  <c r="CK5" i="3"/>
  <c r="CK11" i="3" s="1"/>
  <c r="CK344" i="2"/>
  <c r="CK91" i="2"/>
  <c r="CL91" i="2" s="1"/>
  <c r="CK173" i="2"/>
  <c r="CK156" i="2"/>
  <c r="CK202" i="3"/>
  <c r="CL90" i="2"/>
  <c r="CF430" i="4"/>
  <c r="CN17" i="4"/>
  <c r="CN413" i="4"/>
  <c r="CN409" i="4"/>
  <c r="CN352" i="4"/>
  <c r="CN424" i="4"/>
  <c r="CN405" i="4"/>
  <c r="CK16" i="4"/>
  <c r="CK263" i="4"/>
  <c r="CK422" i="4"/>
  <c r="CK344" i="4"/>
  <c r="CH434" i="4"/>
  <c r="BH882" i="4"/>
  <c r="CC297" i="2"/>
  <c r="CC91" i="3" s="1"/>
  <c r="CC93" i="3" s="1"/>
  <c r="CD91" i="3"/>
  <c r="CJ442" i="4"/>
  <c r="CH443" i="4"/>
  <c r="BG894" i="4"/>
  <c r="CI429" i="4"/>
  <c r="CI238" i="4"/>
  <c r="BI866" i="4"/>
  <c r="BS693" i="4"/>
  <c r="CH441" i="4"/>
  <c r="CJ440" i="4"/>
  <c r="CH329" i="4"/>
  <c r="CH431" i="4"/>
  <c r="CG243" i="4"/>
  <c r="CG244" i="4" s="1"/>
  <c r="CE244" i="4"/>
  <c r="CE438" i="4"/>
  <c r="CE136" i="4"/>
  <c r="BL811" i="4"/>
  <c r="BL817" i="4" s="1"/>
  <c r="BK817" i="4"/>
  <c r="BK883" i="4" s="1"/>
  <c r="BU644" i="4"/>
  <c r="DD266" i="2"/>
  <c r="DE614" i="2"/>
  <c r="DE185" i="2"/>
  <c r="X28" i="9" s="1"/>
  <c r="EJ296" i="4"/>
  <c r="CK170" i="4"/>
  <c r="CK209" i="4"/>
  <c r="CK210" i="4" s="1"/>
  <c r="CM180" i="4"/>
  <c r="CM181" i="4" s="1"/>
  <c r="CK118" i="4"/>
  <c r="CK181" i="4"/>
  <c r="CT281" i="4"/>
  <c r="CT312" i="4"/>
  <c r="CT260" i="4"/>
  <c r="CL438" i="4"/>
  <c r="BF656" i="4"/>
  <c r="BF698" i="4" s="1"/>
  <c r="BF662" i="4"/>
  <c r="BF704" i="4" s="1"/>
  <c r="BF907" i="4" s="1"/>
  <c r="CE343" i="4"/>
  <c r="BK871" i="4"/>
  <c r="CN578" i="4"/>
  <c r="CO578" i="4" s="1"/>
  <c r="CS578" i="4"/>
  <c r="BI889" i="4"/>
  <c r="BP481" i="2"/>
  <c r="BP482" i="2" s="1"/>
  <c r="BP478" i="2"/>
  <c r="CX383" i="4"/>
  <c r="CU213" i="4"/>
  <c r="CU386" i="4"/>
  <c r="CU305" i="4"/>
  <c r="CO389" i="4"/>
  <c r="CP389" i="4" s="1"/>
  <c r="CP390" i="4" s="1"/>
  <c r="CO367" i="4"/>
  <c r="CO351" i="4"/>
  <c r="CN334" i="4"/>
  <c r="CE421" i="4"/>
  <c r="CG420" i="4"/>
  <c r="CG421" i="4" s="1"/>
  <c r="CE426" i="4"/>
  <c r="CL17" i="4"/>
  <c r="CL31" i="4" s="1"/>
  <c r="CL424" i="4"/>
  <c r="CL425" i="4" s="1"/>
  <c r="CL405" i="4"/>
  <c r="CL442" i="4" s="1"/>
  <c r="CL409" i="4"/>
  <c r="CL452" i="4" s="1"/>
  <c r="CL352" i="4"/>
  <c r="CL413" i="4"/>
  <c r="CL463" i="4" s="1"/>
  <c r="BT339" i="2"/>
  <c r="BT341" i="2"/>
  <c r="BT334" i="2"/>
  <c r="BT150" i="2"/>
  <c r="BT31" i="2"/>
  <c r="BT169" i="3"/>
  <c r="BT165" i="3" s="1"/>
  <c r="BT165" i="2"/>
  <c r="BT340" i="2"/>
  <c r="BT168" i="2"/>
  <c r="BT333" i="2"/>
  <c r="BT170" i="3"/>
  <c r="BT166" i="3" s="1"/>
  <c r="BT175" i="2"/>
  <c r="BT342" i="2"/>
  <c r="BT163" i="2"/>
  <c r="BT73" i="2"/>
  <c r="BT335" i="2"/>
  <c r="BT161" i="2"/>
  <c r="BT171" i="3"/>
  <c r="BT167" i="3" s="1"/>
  <c r="BT69" i="2"/>
  <c r="BT160" i="2"/>
  <c r="BT162" i="2"/>
  <c r="BT159" i="2"/>
  <c r="BT61" i="2"/>
  <c r="BT337" i="2"/>
  <c r="BT11" i="4"/>
  <c r="BT282" i="2"/>
  <c r="BU276" i="2"/>
  <c r="BU186" i="2" s="1"/>
  <c r="CF417" i="4"/>
  <c r="CF473" i="4"/>
  <c r="CF474" i="4" s="1"/>
  <c r="CF45" i="4"/>
  <c r="CE66" i="4"/>
  <c r="CE56" i="4"/>
  <c r="BJ753" i="4"/>
  <c r="CZ360" i="4"/>
  <c r="CZ379" i="4"/>
  <c r="CD139" i="4"/>
  <c r="CD140" i="4" s="1"/>
  <c r="CB140" i="4"/>
  <c r="Y397" i="2"/>
  <c r="Y398" i="2" s="1"/>
  <c r="X409" i="2"/>
  <c r="X397" i="2" s="1"/>
  <c r="BF949" i="4"/>
  <c r="CH423" i="4"/>
  <c r="CQ367" i="4"/>
  <c r="CQ389" i="4"/>
  <c r="CQ351" i="4"/>
  <c r="CR179" i="4"/>
  <c r="CR208" i="4"/>
  <c r="CR180" i="4"/>
  <c r="CS853" i="4"/>
  <c r="BV53" i="2"/>
  <c r="BV43" i="2" s="1"/>
  <c r="BV476" i="2" s="1"/>
  <c r="BV475" i="2"/>
  <c r="CF257" i="4"/>
  <c r="CF43" i="4"/>
  <c r="CF469" i="4"/>
  <c r="CN390" i="4"/>
  <c r="CN402" i="4"/>
  <c r="BY824" i="4"/>
  <c r="BY842" i="4" s="1"/>
  <c r="BZ842" i="4"/>
  <c r="CO170" i="4"/>
  <c r="CO118" i="4"/>
  <c r="CO209" i="4"/>
  <c r="CO181" i="4"/>
  <c r="CP383" i="4"/>
  <c r="CD66" i="4"/>
  <c r="CD56" i="4"/>
  <c r="CE432" i="4"/>
  <c r="CZ383" i="4"/>
  <c r="CW305" i="4"/>
  <c r="CW386" i="4"/>
  <c r="CW213" i="4"/>
  <c r="CT175" i="4"/>
  <c r="CQ178" i="4"/>
  <c r="CD136" i="4"/>
  <c r="CD137" i="4" s="1"/>
  <c r="CB137" i="4"/>
  <c r="CK169" i="4"/>
  <c r="CM168" i="4"/>
  <c r="CM169" i="4" s="1"/>
  <c r="CK241" i="4"/>
  <c r="CK246" i="4"/>
  <c r="BT148" i="3"/>
  <c r="BU149" i="3"/>
  <c r="BT455" i="2"/>
  <c r="BT480" i="2"/>
  <c r="BK865" i="4"/>
  <c r="DG374" i="2"/>
  <c r="DF566" i="2"/>
  <c r="DF384" i="2"/>
  <c r="CN643" i="4"/>
  <c r="CQ218" i="4"/>
  <c r="CQ220" i="4"/>
  <c r="DE82" i="4"/>
  <c r="DF81" i="4"/>
  <c r="CL210" i="4"/>
  <c r="BI872" i="4"/>
  <c r="CB3" i="4"/>
  <c r="CD20" i="4"/>
  <c r="CB30" i="2"/>
  <c r="CB71" i="4"/>
  <c r="CB34" i="4"/>
  <c r="CH119" i="4"/>
  <c r="CH23" i="4"/>
  <c r="CJ118" i="4"/>
  <c r="CJ119" i="4" s="1"/>
  <c r="CH127" i="4"/>
  <c r="CQ332" i="4"/>
  <c r="CQ261" i="4"/>
  <c r="CQ337" i="4"/>
  <c r="CK125" i="4"/>
  <c r="CK25" i="4"/>
  <c r="CH473" i="4"/>
  <c r="CH45" i="4"/>
  <c r="CH417" i="4"/>
  <c r="BG626" i="4"/>
  <c r="BG668" i="4" s="1"/>
  <c r="BG638" i="4"/>
  <c r="BG686" i="4" s="1"/>
  <c r="BY11" i="4"/>
  <c r="CA3" i="4"/>
  <c r="CI36" i="4"/>
  <c r="CI26" i="4"/>
  <c r="CG300" i="2"/>
  <c r="CE297" i="2"/>
  <c r="CB439" i="4"/>
  <c r="CD438" i="4"/>
  <c r="CD439" i="4" s="1"/>
  <c r="CB444" i="4"/>
  <c r="CP854" i="4"/>
  <c r="CN854" i="4" s="1"/>
  <c r="CO854" i="4" s="1"/>
  <c r="BS477" i="2"/>
  <c r="CM339" i="4"/>
  <c r="CK450" i="4"/>
  <c r="BJ813" i="4"/>
  <c r="BK812" i="4"/>
  <c r="BJ818" i="4"/>
  <c r="EE294" i="2"/>
  <c r="EG294" i="2"/>
  <c r="EI294" i="2" s="1"/>
  <c r="DH268" i="2"/>
  <c r="DF266" i="2"/>
  <c r="BG667" i="4"/>
  <c r="BV49" i="4"/>
  <c r="BV58" i="4"/>
  <c r="BV68" i="4"/>
  <c r="BV52" i="4"/>
  <c r="CZ275" i="4"/>
  <c r="CW280" i="4"/>
  <c r="CW282" i="4" s="1"/>
  <c r="CL448" i="4"/>
  <c r="CK442" i="4"/>
  <c r="CI444" i="4"/>
  <c r="CI445" i="4" s="1"/>
  <c r="EI75" i="3"/>
  <c r="CK335" i="4"/>
  <c r="CK440" i="4"/>
  <c r="CM334" i="4"/>
  <c r="CI416" i="4"/>
  <c r="CJ416" i="4" s="1"/>
  <c r="CJ417" i="4" s="1"/>
  <c r="CI403" i="4"/>
  <c r="CI433" i="4"/>
  <c r="CI434" i="4" s="1"/>
  <c r="CK299" i="2"/>
  <c r="CI299" i="2"/>
  <c r="BF715" i="4"/>
  <c r="CU362" i="4"/>
  <c r="CR366" i="4"/>
  <c r="CS366" i="4" s="1"/>
  <c r="CN339" i="4"/>
  <c r="CL390" i="4"/>
  <c r="CL402" i="4"/>
  <c r="CM402" i="4" s="1"/>
  <c r="CM403" i="4" s="1"/>
  <c r="CV579" i="4"/>
  <c r="CQ579" i="4"/>
  <c r="CR579" i="4" s="1"/>
  <c r="CB472" i="4"/>
  <c r="BD903" i="4"/>
  <c r="CG416" i="4"/>
  <c r="CG417" i="4" s="1"/>
  <c r="CH38" i="4"/>
  <c r="CJ25" i="4"/>
  <c r="BS691" i="4"/>
  <c r="CD448" i="4"/>
  <c r="CD449" i="4" s="1"/>
  <c r="CB449" i="4"/>
  <c r="CB454" i="4"/>
  <c r="CI235" i="4"/>
  <c r="CA254" i="4"/>
  <c r="CA252" i="4"/>
  <c r="CW362" i="4"/>
  <c r="CT366" i="4"/>
  <c r="CX175" i="4"/>
  <c r="CU178" i="4"/>
  <c r="CB147" i="4"/>
  <c r="CD146" i="4"/>
  <c r="CD147" i="4" s="1"/>
  <c r="CN853" i="4"/>
  <c r="CO853" i="4" s="1"/>
  <c r="CU273" i="4"/>
  <c r="CV272" i="4"/>
  <c r="CV273" i="4" s="1"/>
  <c r="CS460" i="2"/>
  <c r="CS464" i="2" s="1"/>
  <c r="CR70" i="2"/>
  <c r="CR460" i="2" s="1"/>
  <c r="CR464" i="2" s="1"/>
  <c r="EM78" i="4"/>
  <c r="EK79" i="4"/>
  <c r="BG727" i="4"/>
  <c r="BG930" i="4" s="1"/>
  <c r="CM175" i="4"/>
  <c r="CM176" i="4" s="1"/>
  <c r="CM179" i="4"/>
  <c r="CK452" i="4"/>
  <c r="BL514" i="2"/>
  <c r="BK515" i="2"/>
  <c r="CB39" i="4"/>
  <c r="CD26" i="4"/>
  <c r="CD39" i="4" s="1"/>
  <c r="CE462" i="4"/>
  <c r="CW380" i="4"/>
  <c r="EL278" i="2"/>
  <c r="EJ73" i="3"/>
  <c r="EJ75" i="3" s="1"/>
  <c r="EO133" i="3"/>
  <c r="EP133" i="3"/>
  <c r="ES133" i="3" s="1"/>
  <c r="BH619" i="4"/>
  <c r="BH631" i="4"/>
  <c r="CE459" i="4"/>
  <c r="CG253" i="4"/>
  <c r="CE251" i="4"/>
  <c r="CE146" i="4"/>
  <c r="BD779" i="4"/>
  <c r="BE948" i="4"/>
  <c r="BE951" i="4" s="1"/>
  <c r="BE712" i="4"/>
  <c r="BE739" i="4"/>
  <c r="BE785" i="4" s="1"/>
  <c r="BE912" i="4"/>
  <c r="DI416" i="2"/>
  <c r="BY436" i="4"/>
  <c r="CA435" i="4"/>
  <c r="CA436" i="4" s="1"/>
  <c r="CI29" i="4"/>
  <c r="DC348" i="2"/>
  <c r="CI156" i="2"/>
  <c r="CI344" i="2"/>
  <c r="CI173" i="2"/>
  <c r="CI5" i="3"/>
  <c r="CI11" i="3" s="1"/>
  <c r="CI202" i="3"/>
  <c r="BV336" i="2"/>
  <c r="BV287" i="2"/>
  <c r="CP364" i="4"/>
  <c r="CP365" i="4" s="1"/>
  <c r="CP367" i="4"/>
  <c r="CS855" i="4"/>
  <c r="CQ855" i="4" s="1"/>
  <c r="CR855" i="4" s="1"/>
  <c r="DB834" i="4"/>
  <c r="CZ834" i="4" s="1"/>
  <c r="DA834" i="4" s="1"/>
  <c r="CB484" i="4"/>
  <c r="CB480" i="4"/>
  <c r="CB427" i="4"/>
  <c r="CD426" i="4"/>
  <c r="CB487" i="4"/>
  <c r="BY31" i="2"/>
  <c r="BY341" i="2"/>
  <c r="BY340" i="2"/>
  <c r="BY282" i="2"/>
  <c r="BY276" i="2" s="1"/>
  <c r="BY161" i="2"/>
  <c r="BY170" i="3"/>
  <c r="BY166" i="3" s="1"/>
  <c r="BY179" i="3"/>
  <c r="BY165" i="2"/>
  <c r="BY163" i="2"/>
  <c r="BY342" i="2"/>
  <c r="BY33" i="2"/>
  <c r="BY42" i="2" s="1"/>
  <c r="BY475" i="2" s="1"/>
  <c r="BY333" i="2"/>
  <c r="BY339" i="2"/>
  <c r="BY335" i="2"/>
  <c r="BY150" i="2"/>
  <c r="BY169" i="3"/>
  <c r="BY165" i="3" s="1"/>
  <c r="BY73" i="2"/>
  <c r="BY171" i="3"/>
  <c r="BY167" i="3" s="1"/>
  <c r="BY334" i="2"/>
  <c r="BY69" i="2"/>
  <c r="BY160" i="2"/>
  <c r="BY162" i="2"/>
  <c r="BY337" i="2"/>
  <c r="CJ452" i="4"/>
  <c r="CH453" i="4"/>
  <c r="BG673" i="4"/>
  <c r="BG679" i="4"/>
  <c r="BG721" i="4" s="1"/>
  <c r="BG924" i="4" s="1"/>
  <c r="BE734" i="4"/>
  <c r="BE780" i="4" s="1"/>
  <c r="BE937" i="4"/>
  <c r="BE901" i="4"/>
  <c r="BC736" i="4"/>
  <c r="BC782" i="4" s="1"/>
  <c r="BC779" i="4"/>
  <c r="CI454" i="4"/>
  <c r="BQ752" i="4"/>
  <c r="CQ310" i="4"/>
  <c r="CL221" i="4"/>
  <c r="CL237" i="4" s="1"/>
  <c r="CL222" i="4"/>
  <c r="CB307" i="2"/>
  <c r="CB324" i="2" s="1"/>
  <c r="CB634" i="2"/>
  <c r="CB636" i="2" s="1"/>
  <c r="CB639" i="2" s="1"/>
  <c r="BH876" i="4"/>
  <c r="DD11" i="2"/>
  <c r="DD14" i="2"/>
  <c r="CK425" i="4"/>
  <c r="CK463" i="4"/>
  <c r="DC272" i="4"/>
  <c r="DC271" i="4"/>
  <c r="DC300" i="4"/>
  <c r="DC302" i="4" s="1"/>
  <c r="CA454" i="4"/>
  <c r="CA456" i="4" s="1"/>
  <c r="BY456" i="4"/>
  <c r="BH870" i="4"/>
  <c r="BG873" i="4"/>
  <c r="DF20" i="2"/>
  <c r="CR306" i="4"/>
  <c r="CR307" i="4"/>
  <c r="CR309" i="4" s="1"/>
  <c r="BH625" i="4"/>
  <c r="BH637" i="4"/>
  <c r="BH685" i="4" s="1"/>
  <c r="CE29" i="4"/>
  <c r="CG15" i="4"/>
  <c r="CG29" i="4" s="1"/>
  <c r="CE20" i="4"/>
  <c r="CE21" i="4"/>
  <c r="CB55" i="4"/>
  <c r="CB65" i="4"/>
  <c r="Z409" i="2"/>
  <c r="Z397" i="2" s="1"/>
  <c r="Z411" i="2"/>
  <c r="Z410" i="2"/>
  <c r="AB416" i="2"/>
  <c r="CL23" i="4"/>
  <c r="CL119" i="4"/>
  <c r="CT86" i="2"/>
  <c r="CT460" i="2"/>
  <c r="CT464" i="2" s="1"/>
  <c r="CH243" i="4"/>
  <c r="CJ241" i="4"/>
  <c r="CJ242" i="4" s="1"/>
  <c r="CN222" i="4"/>
  <c r="CN221" i="4"/>
  <c r="BH864" i="4"/>
  <c r="BG867" i="4"/>
  <c r="CH30" i="4"/>
  <c r="BH888" i="4"/>
  <c r="CQ85" i="2"/>
  <c r="CR86" i="2"/>
  <c r="CH253" i="4"/>
  <c r="CH15" i="4"/>
  <c r="CH420" i="4"/>
  <c r="CJ170" i="4"/>
  <c r="CJ171" i="4" s="1"/>
  <c r="CH171" i="4"/>
  <c r="CB460" i="4"/>
  <c r="CD459" i="4"/>
  <c r="CD460" i="4" s="1"/>
  <c r="CB465" i="4"/>
  <c r="BV150" i="3"/>
  <c r="BH860" i="4"/>
  <c r="BG956" i="4"/>
  <c r="CG464" i="4"/>
  <c r="CN855" i="4"/>
  <c r="CO855" i="4" s="1"/>
  <c r="BU58" i="4"/>
  <c r="BU68" i="4"/>
  <c r="BI568" i="4"/>
  <c r="BH590" i="4"/>
  <c r="BI590" i="4" s="1"/>
  <c r="EM292" i="2"/>
  <c r="EO292" i="2" s="1"/>
  <c r="EK292" i="2"/>
  <c r="EC300" i="2"/>
  <c r="CA444" i="4"/>
  <c r="CA445" i="4" s="1"/>
  <c r="BY445" i="4"/>
  <c r="BV53" i="4"/>
  <c r="BL692" i="4"/>
  <c r="CH142" i="2"/>
  <c r="CH143" i="2" s="1"/>
  <c r="CH146" i="2" s="1"/>
  <c r="CI142" i="2" s="1"/>
  <c r="CI143" i="2" s="1"/>
  <c r="CI146" i="2" s="1"/>
  <c r="CJ142" i="2"/>
  <c r="CJ143" i="2" s="1"/>
  <c r="CJ146" i="2" s="1"/>
  <c r="DD154" i="3"/>
  <c r="DD566" i="2"/>
  <c r="DD384" i="2"/>
  <c r="BT650" i="4"/>
  <c r="BQ652" i="4"/>
  <c r="CE128" i="4"/>
  <c r="CG127" i="4"/>
  <c r="CG128" i="4" s="1"/>
  <c r="CC66" i="4"/>
  <c r="CC56" i="4"/>
  <c r="CB645" i="4"/>
  <c r="BI877" i="4"/>
  <c r="BH895" i="4"/>
  <c r="BS161" i="4"/>
  <c r="CE474" i="4"/>
  <c r="AK142" i="2"/>
  <c r="AK143" i="2" s="1"/>
  <c r="AK146" i="2" s="1"/>
  <c r="AI142" i="2"/>
  <c r="AI143" i="2" s="1"/>
  <c r="AI146" i="2" s="1"/>
  <c r="AJ142" i="2" s="1"/>
  <c r="AJ143" i="2" s="1"/>
  <c r="AJ146" i="2" s="1"/>
  <c r="AS226" i="2"/>
  <c r="AW224" i="2"/>
  <c r="AW226" i="2" s="1"/>
  <c r="AU224" i="2"/>
  <c r="AU226" i="2" s="1"/>
  <c r="AV224" i="2" s="1"/>
  <c r="CG443" i="4"/>
  <c r="CB93" i="3"/>
  <c r="BX33" i="2"/>
  <c r="BX335" i="2"/>
  <c r="BX150" i="2"/>
  <c r="BX333" i="2"/>
  <c r="BX161" i="2"/>
  <c r="BX171" i="3"/>
  <c r="BX167" i="3" s="1"/>
  <c r="BX165" i="2"/>
  <c r="BX170" i="3"/>
  <c r="BX166" i="3" s="1"/>
  <c r="BX342" i="2"/>
  <c r="BX339" i="2"/>
  <c r="BX340" i="2"/>
  <c r="BX169" i="3"/>
  <c r="BX165" i="3" s="1"/>
  <c r="BX163" i="2"/>
  <c r="BX282" i="2"/>
  <c r="BX341" i="2"/>
  <c r="BX31" i="2"/>
  <c r="BX334" i="2"/>
  <c r="BX73" i="2"/>
  <c r="BX179" i="3"/>
  <c r="BW30" i="2"/>
  <c r="BX69" i="2"/>
  <c r="BX162" i="2"/>
  <c r="BX160" i="2"/>
  <c r="BX61" i="2"/>
  <c r="BX159" i="2"/>
  <c r="BX337" i="2"/>
  <c r="CH451" i="4"/>
  <c r="CJ450" i="4"/>
  <c r="CH461" i="4"/>
  <c r="CH342" i="4"/>
  <c r="BE733" i="4"/>
  <c r="BE936" i="4"/>
  <c r="BE900" i="4"/>
  <c r="CK315" i="4"/>
  <c r="CK328" i="4"/>
  <c r="CK326" i="4" s="1"/>
  <c r="CN836" i="4"/>
  <c r="CO836" i="4" s="1"/>
  <c r="EH274" i="2"/>
  <c r="EJ274" i="2"/>
  <c r="EL274" i="2" s="1"/>
  <c r="CW834" i="4"/>
  <c r="CX834" i="4" s="1"/>
  <c r="CE348" i="4"/>
  <c r="CE44" i="4"/>
  <c r="CE471" i="4"/>
  <c r="CZ301" i="4"/>
  <c r="CZ273" i="4"/>
  <c r="CT215" i="4"/>
  <c r="CT217" i="4" s="1"/>
  <c r="CT214" i="4"/>
  <c r="CG453" i="4"/>
  <c r="BF924" i="4"/>
  <c r="CA71" i="4"/>
  <c r="CA34" i="4"/>
  <c r="CA30" i="2"/>
  <c r="BY175" i="2" s="1"/>
  <c r="CN180" i="4"/>
  <c r="CN208" i="4"/>
  <c r="CP208" i="4" s="1"/>
  <c r="CP178" i="4"/>
  <c r="CN168" i="4"/>
  <c r="CN179" i="4"/>
  <c r="CV271" i="4"/>
  <c r="CV267" i="4"/>
  <c r="CV268" i="4" s="1"/>
  <c r="CJ409" i="4"/>
  <c r="CJ410" i="4" s="1"/>
  <c r="BH754" i="4"/>
  <c r="BI751" i="4"/>
  <c r="CA492" i="4"/>
  <c r="CY69" i="3"/>
  <c r="CU69" i="3"/>
  <c r="CV70" i="2"/>
  <c r="BS651" i="4"/>
  <c r="BC939" i="4"/>
  <c r="BC903" i="4"/>
  <c r="EF255" i="2"/>
  <c r="AG52" i="9" s="1"/>
  <c r="EE256" i="2"/>
  <c r="EG256" i="2"/>
  <c r="EL78" i="4"/>
  <c r="EL79" i="4" s="1"/>
  <c r="BG592" i="4"/>
  <c r="BG640" i="4" s="1"/>
  <c r="BX64" i="4"/>
  <c r="BX54" i="4"/>
  <c r="BS649" i="4"/>
  <c r="DD20" i="2"/>
  <c r="DE400" i="2"/>
  <c r="CK31" i="4"/>
  <c r="DF270" i="4"/>
  <c r="CX272" i="4"/>
  <c r="CX271" i="4"/>
  <c r="CY270" i="4"/>
  <c r="DN270" i="2"/>
  <c r="DF11" i="2"/>
  <c r="DF14" i="2"/>
  <c r="BL499" i="2"/>
  <c r="BM498" i="2"/>
  <c r="BL497" i="2"/>
  <c r="BL504" i="2"/>
  <c r="BL500" i="2"/>
  <c r="CG23" i="4"/>
  <c r="CG36" i="4" s="1"/>
  <c r="CE26" i="4"/>
  <c r="CE36" i="4"/>
  <c r="CR215" i="4"/>
  <c r="CR217" i="4" s="1"/>
  <c r="CS217" i="4" s="1"/>
  <c r="CR214" i="4"/>
  <c r="BH570" i="4"/>
  <c r="CO218" i="4"/>
  <c r="CP218" i="4" s="1"/>
  <c r="CO220" i="4"/>
  <c r="CP220" i="4" s="1"/>
  <c r="DO224" i="2"/>
  <c r="DO226" i="2" s="1"/>
  <c r="DP224" i="2" s="1"/>
  <c r="DM226" i="2"/>
  <c r="DQ224" i="2"/>
  <c r="DQ226" i="2" s="1"/>
  <c r="CZ69" i="3"/>
  <c r="CW70" i="2"/>
  <c r="CK416" i="4"/>
  <c r="CK433" i="4"/>
  <c r="CK403" i="4"/>
  <c r="CI464" i="4"/>
  <c r="CJ246" i="4"/>
  <c r="CJ247" i="4" s="1"/>
  <c r="CH248" i="4"/>
  <c r="DY178" i="3"/>
  <c r="DZ178" i="3" s="1"/>
  <c r="CM305" i="4"/>
  <c r="CM213" i="4"/>
  <c r="CM386" i="4"/>
  <c r="CM384" i="4"/>
  <c r="BX55" i="4"/>
  <c r="BX65" i="4"/>
  <c r="CP217" i="4"/>
  <c r="BF906" i="4"/>
  <c r="CG433" i="4"/>
  <c r="CG434" i="4" s="1"/>
  <c r="CE448" i="4"/>
  <c r="CG248" i="4"/>
  <c r="CE139" i="4"/>
  <c r="CG451" i="4"/>
  <c r="CB252" i="4"/>
  <c r="CD251" i="4"/>
  <c r="BX150" i="3"/>
  <c r="CO310" i="4"/>
  <c r="CP310" i="4" s="1"/>
  <c r="CO312" i="4"/>
  <c r="CP312" i="4" s="1"/>
  <c r="CN285" i="4"/>
  <c r="CN313" i="4"/>
  <c r="CN124" i="4"/>
  <c r="CN262" i="4"/>
  <c r="CA427" i="4"/>
  <c r="CA480" i="4"/>
  <c r="CA487" i="4"/>
  <c r="CA484" i="4"/>
  <c r="CD842" i="4"/>
  <c r="CC824" i="4"/>
  <c r="CG824" i="4"/>
  <c r="BS60" i="4"/>
  <c r="BS70" i="4"/>
  <c r="BS51" i="4"/>
  <c r="BS6" i="4" s="1"/>
  <c r="CO169" i="4"/>
  <c r="CO246" i="4"/>
  <c r="CO248" i="4" s="1"/>
  <c r="CO241" i="4"/>
  <c r="CO243" i="4" s="1"/>
  <c r="EJ87" i="4" l="1"/>
  <c r="EI88" i="4"/>
  <c r="EH85" i="4"/>
  <c r="EI84" i="4"/>
  <c r="BY154" i="4"/>
  <c r="CJ38" i="4"/>
  <c r="CH768" i="4"/>
  <c r="CH770" i="4" s="1"/>
  <c r="CP189" i="4"/>
  <c r="CJ770" i="4"/>
  <c r="CJ771" i="4"/>
  <c r="CP222" i="4"/>
  <c r="BY470" i="4"/>
  <c r="CM770" i="4"/>
  <c r="EW409" i="2"/>
  <c r="EY409" i="2"/>
  <c r="FA409" i="2" s="1"/>
  <c r="EZ409" i="2" s="1"/>
  <c r="EW286" i="2"/>
  <c r="EY286" i="2"/>
  <c r="FA286" i="2" s="1"/>
  <c r="EZ286" i="2" s="1"/>
  <c r="EX35" i="3"/>
  <c r="EY33" i="3"/>
  <c r="EY35" i="3" s="1"/>
  <c r="EZ248" i="2"/>
  <c r="EZ33" i="3" s="1"/>
  <c r="FA33" i="3"/>
  <c r="FA35" i="3" s="1"/>
  <c r="BU491" i="4"/>
  <c r="BT51" i="4"/>
  <c r="BT6" i="4" s="1"/>
  <c r="BU6" i="4" s="1"/>
  <c r="BU49" i="4"/>
  <c r="BT70" i="4"/>
  <c r="BY475" i="4"/>
  <c r="BY476" i="4" s="1"/>
  <c r="CR191" i="4"/>
  <c r="CS191" i="4" s="1"/>
  <c r="CU188" i="4"/>
  <c r="CU189" i="4" s="1"/>
  <c r="CS189" i="4"/>
  <c r="CR168" i="4"/>
  <c r="CR169" i="4" s="1"/>
  <c r="CR189" i="4"/>
  <c r="CX183" i="4"/>
  <c r="CY183" i="4" s="1"/>
  <c r="CY184" i="4" s="1"/>
  <c r="BY42" i="4"/>
  <c r="BY5" i="4" s="1"/>
  <c r="BF680" i="4"/>
  <c r="BF722" i="4" s="1"/>
  <c r="BF925" i="4" s="1"/>
  <c r="BY54" i="4"/>
  <c r="BF943" i="4"/>
  <c r="BY47" i="4"/>
  <c r="BY49" i="4" s="1"/>
  <c r="CA43" i="4"/>
  <c r="CA64" i="4" s="1"/>
  <c r="CG237" i="4"/>
  <c r="CG238" i="4" s="1"/>
  <c r="F52" i="9"/>
  <c r="F53" i="9" s="1"/>
  <c r="CS277" i="4"/>
  <c r="CS278" i="4" s="1"/>
  <c r="BW24" i="2"/>
  <c r="BX352" i="2"/>
  <c r="BX24" i="2" s="1"/>
  <c r="BZ226" i="3"/>
  <c r="BY352" i="2"/>
  <c r="BY24" i="2" s="1"/>
  <c r="CE235" i="4"/>
  <c r="CG235" i="4" s="1"/>
  <c r="CG130" i="4" s="1"/>
  <c r="CB430" i="4"/>
  <c r="BY61" i="2"/>
  <c r="CI251" i="4"/>
  <c r="CI252" i="4" s="1"/>
  <c r="CI256" i="4"/>
  <c r="CI469" i="4" s="1"/>
  <c r="CE238" i="4"/>
  <c r="CZ208" i="3"/>
  <c r="DB208" i="3" s="1"/>
  <c r="CX208" i="3"/>
  <c r="CX206" i="3" s="1"/>
  <c r="CR302" i="4"/>
  <c r="CS300" i="4"/>
  <c r="CS302" i="4" s="1"/>
  <c r="CJ271" i="2"/>
  <c r="CH269" i="2"/>
  <c r="CH64" i="3" s="1"/>
  <c r="CA153" i="2"/>
  <c r="CA60" i="2"/>
  <c r="CA61" i="2" s="1"/>
  <c r="BZ68" i="2"/>
  <c r="BV184" i="2"/>
  <c r="BV503" i="2"/>
  <c r="CX296" i="4"/>
  <c r="CX298" i="4"/>
  <c r="CG77" i="2"/>
  <c r="CE74" i="2"/>
  <c r="CV298" i="4"/>
  <c r="CV295" i="4" s="1"/>
  <c r="CV296" i="4" s="1"/>
  <c r="CU299" i="4"/>
  <c r="CU300" i="4"/>
  <c r="CX204" i="4"/>
  <c r="CX205" i="4"/>
  <c r="BX180" i="2"/>
  <c r="BW55" i="2"/>
  <c r="BW169" i="2" s="1"/>
  <c r="BX158" i="2"/>
  <c r="CE256" i="4"/>
  <c r="CE43" i="4" s="1"/>
  <c r="CB435" i="4"/>
  <c r="CB436" i="4" s="1"/>
  <c r="BY617" i="2"/>
  <c r="BY622" i="2" s="1"/>
  <c r="BY152" i="2"/>
  <c r="BY170" i="2"/>
  <c r="BX151" i="2"/>
  <c r="BT55" i="2"/>
  <c r="BU180" i="2"/>
  <c r="BU151" i="2"/>
  <c r="BU56" i="2"/>
  <c r="BU158" i="2"/>
  <c r="BT456" i="2"/>
  <c r="BT180" i="3"/>
  <c r="BT26" i="3"/>
  <c r="BT28" i="3" s="1"/>
  <c r="CS299" i="4"/>
  <c r="CR301" i="4"/>
  <c r="CS301" i="4" s="1"/>
  <c r="CF269" i="2"/>
  <c r="CF64" i="3" s="1"/>
  <c r="CF66" i="3" s="1"/>
  <c r="CG64" i="3"/>
  <c r="DD375" i="4"/>
  <c r="DA295" i="4"/>
  <c r="DA203" i="4"/>
  <c r="CU206" i="4"/>
  <c r="CV206" i="4" s="1"/>
  <c r="CV205" i="4"/>
  <c r="CV203" i="4" s="1"/>
  <c r="CV204" i="4" s="1"/>
  <c r="CI421" i="4"/>
  <c r="BX56" i="2"/>
  <c r="CI449" i="4"/>
  <c r="CW206" i="3"/>
  <c r="BF634" i="4"/>
  <c r="BF682" i="4" s="1"/>
  <c r="CD72" i="2"/>
  <c r="CD619" i="2"/>
  <c r="CD621" i="2" s="1"/>
  <c r="CD479" i="2"/>
  <c r="CD480" i="2" s="1"/>
  <c r="CC74" i="2"/>
  <c r="BZ176" i="2"/>
  <c r="BZ331" i="2"/>
  <c r="BZ172" i="2"/>
  <c r="BZ154" i="2"/>
  <c r="BZ4" i="3"/>
  <c r="BZ10" i="3" s="1"/>
  <c r="BZ343" i="2"/>
  <c r="CB331" i="2"/>
  <c r="CB4" i="3"/>
  <c r="CB10" i="3" s="1"/>
  <c r="CB178" i="2"/>
  <c r="CB172" i="2"/>
  <c r="CB68" i="2"/>
  <c r="CB160" i="2" s="1"/>
  <c r="CB343" i="2"/>
  <c r="CB154" i="2"/>
  <c r="BW617" i="2"/>
  <c r="BW622" i="2" s="1"/>
  <c r="BW170" i="2"/>
  <c r="BW152" i="2"/>
  <c r="CW296" i="2"/>
  <c r="CY296" i="2" s="1"/>
  <c r="CU296" i="2"/>
  <c r="CV19" i="4"/>
  <c r="CV33" i="4" s="1"/>
  <c r="DC379" i="4"/>
  <c r="DC380" i="4" s="1"/>
  <c r="DT206" i="3"/>
  <c r="CU280" i="2"/>
  <c r="CV276" i="2"/>
  <c r="CW280" i="2"/>
  <c r="CT186" i="2"/>
  <c r="CZ19" i="4"/>
  <c r="CX19" i="4"/>
  <c r="CX33" i="4" s="1"/>
  <c r="CW33" i="4"/>
  <c r="DP149" i="3"/>
  <c r="DO148" i="3"/>
  <c r="DO455" i="2"/>
  <c r="CB43" i="4"/>
  <c r="CB42" i="4" s="1"/>
  <c r="CB642" i="2"/>
  <c r="CB257" i="4"/>
  <c r="CL235" i="4"/>
  <c r="CL171" i="4"/>
  <c r="AY91" i="2"/>
  <c r="AY140" i="2"/>
  <c r="CI256" i="2"/>
  <c r="CJ255" i="2"/>
  <c r="CK256" i="2"/>
  <c r="BA396" i="2"/>
  <c r="BA485" i="2" s="1"/>
  <c r="BA385" i="2"/>
  <c r="AY396" i="2"/>
  <c r="AY485" i="2" s="1"/>
  <c r="AY385" i="2"/>
  <c r="DI145" i="2"/>
  <c r="DH145" i="2"/>
  <c r="DG145" i="2" s="1"/>
  <c r="CG263" i="2"/>
  <c r="CF252" i="2"/>
  <c r="BC396" i="2"/>
  <c r="BC485" i="2" s="1"/>
  <c r="BC385" i="2"/>
  <c r="CC264" i="2"/>
  <c r="BU414" i="2"/>
  <c r="BU415" i="2" s="1"/>
  <c r="BS415" i="2"/>
  <c r="BF951" i="4"/>
  <c r="CL138" i="2"/>
  <c r="CN138" i="2"/>
  <c r="CM139" i="2"/>
  <c r="BZ235" i="3"/>
  <c r="BZ330" i="2"/>
  <c r="CC290" i="2"/>
  <c r="CD328" i="2"/>
  <c r="CD236" i="3" s="1"/>
  <c r="CD327" i="2"/>
  <c r="CD513" i="2"/>
  <c r="CD329" i="2"/>
  <c r="CD640" i="2"/>
  <c r="CD120" i="3"/>
  <c r="CD166" i="2"/>
  <c r="CB235" i="3"/>
  <c r="CB330" i="2"/>
  <c r="CG292" i="2"/>
  <c r="CE290" i="2"/>
  <c r="CI39" i="4"/>
  <c r="CH429" i="4"/>
  <c r="CJ429" i="4" s="1"/>
  <c r="EV133" i="3"/>
  <c r="EY133" i="3" s="1"/>
  <c r="EU133" i="3"/>
  <c r="EU124" i="3"/>
  <c r="EV124" i="3"/>
  <c r="EW124" i="3" s="1"/>
  <c r="EV293" i="2"/>
  <c r="EX293" i="2" s="1"/>
  <c r="ET293" i="2"/>
  <c r="EU111" i="4"/>
  <c r="EV111" i="4"/>
  <c r="CL217" i="3"/>
  <c r="CL215" i="3" s="1"/>
  <c r="CM215" i="3"/>
  <c r="CN217" i="3"/>
  <c r="AW91" i="2"/>
  <c r="DS522" i="2"/>
  <c r="DS530" i="2" s="1"/>
  <c r="DS529" i="2"/>
  <c r="DX413" i="2"/>
  <c r="DZ413" i="2" s="1"/>
  <c r="DV413" i="2"/>
  <c r="CX78" i="2"/>
  <c r="CZ78" i="2"/>
  <c r="DB78" i="2" s="1"/>
  <c r="CU149" i="3"/>
  <c r="CT455" i="2"/>
  <c r="CT148" i="3"/>
  <c r="AS11" i="2"/>
  <c r="AS14" i="2"/>
  <c r="AV411" i="2"/>
  <c r="AS20" i="2"/>
  <c r="AT400" i="2"/>
  <c r="AU11" i="2"/>
  <c r="AU14" i="2"/>
  <c r="AV409" i="2"/>
  <c r="AV397" i="2" s="1"/>
  <c r="AW397" i="2"/>
  <c r="AW398" i="2" s="1"/>
  <c r="AT366" i="2"/>
  <c r="AT224" i="3" s="1"/>
  <c r="AT27" i="2"/>
  <c r="AT365" i="2"/>
  <c r="AT223" i="3" s="1"/>
  <c r="AU20" i="2"/>
  <c r="AV410" i="2"/>
  <c r="AU91" i="2"/>
  <c r="AU141" i="2"/>
  <c r="AX141" i="2"/>
  <c r="AZ441" i="2"/>
  <c r="AX410" i="2"/>
  <c r="AX409" i="2"/>
  <c r="AX397" i="2" s="1"/>
  <c r="AX411" i="2"/>
  <c r="AS140" i="2"/>
  <c r="AS141" i="2" s="1"/>
  <c r="EK78" i="2"/>
  <c r="EL182" i="2"/>
  <c r="EK182" i="2" s="1"/>
  <c r="EK131" i="3"/>
  <c r="EK132" i="3" s="1"/>
  <c r="EM125" i="3"/>
  <c r="EJ132" i="3"/>
  <c r="X54" i="9"/>
  <c r="X56" i="9"/>
  <c r="BW5" i="4"/>
  <c r="BX5" i="4" s="1"/>
  <c r="CB133" i="4"/>
  <c r="CB149" i="4" s="1"/>
  <c r="CB469" i="4"/>
  <c r="CB475" i="4" s="1"/>
  <c r="CF427" i="4"/>
  <c r="CL315" i="4"/>
  <c r="CW283" i="4"/>
  <c r="CV280" i="4"/>
  <c r="CV281" i="4" s="1"/>
  <c r="CU282" i="4"/>
  <c r="CR283" i="4"/>
  <c r="CS282" i="4"/>
  <c r="CS283" i="4" s="1"/>
  <c r="CB492" i="4"/>
  <c r="BE718" i="4"/>
  <c r="BE921" i="4" s="1"/>
  <c r="CC64" i="4"/>
  <c r="CL464" i="4"/>
  <c r="BD939" i="4"/>
  <c r="BE724" i="4"/>
  <c r="BE927" i="4" s="1"/>
  <c r="DF378" i="4"/>
  <c r="DF355" i="4"/>
  <c r="DF163" i="4"/>
  <c r="DF164" i="4" s="1"/>
  <c r="DC664" i="2"/>
  <c r="DF668" i="2"/>
  <c r="DG96" i="4"/>
  <c r="DI97" i="4"/>
  <c r="DF97" i="4"/>
  <c r="CF483" i="4"/>
  <c r="CG483" i="4" s="1"/>
  <c r="BV493" i="4"/>
  <c r="CM313" i="4"/>
  <c r="CM315" i="4" s="1"/>
  <c r="BV149" i="4"/>
  <c r="BV134" i="4"/>
  <c r="BX133" i="4"/>
  <c r="BX134" i="4" s="1"/>
  <c r="BG688" i="4"/>
  <c r="CJ422" i="4"/>
  <c r="CJ423" i="4" s="1"/>
  <c r="CI774" i="4"/>
  <c r="CB823" i="4"/>
  <c r="CB841" i="4" s="1"/>
  <c r="CC841" i="4"/>
  <c r="CM263" i="4"/>
  <c r="CJ823" i="4"/>
  <c r="CF823" i="4"/>
  <c r="CG841" i="4"/>
  <c r="CJ464" i="4"/>
  <c r="BE676" i="4"/>
  <c r="CM17" i="4"/>
  <c r="CM31" i="4" s="1"/>
  <c r="CL127" i="4"/>
  <c r="CL128" i="4" s="1"/>
  <c r="CJ453" i="4"/>
  <c r="CM124" i="4"/>
  <c r="CM125" i="4" s="1"/>
  <c r="CL253" i="4"/>
  <c r="CL459" i="4" s="1"/>
  <c r="BF742" i="4"/>
  <c r="BF788" i="4" s="1"/>
  <c r="CL244" i="4"/>
  <c r="CJ443" i="4"/>
  <c r="CL25" i="4"/>
  <c r="CL38" i="4" s="1"/>
  <c r="CG461" i="4"/>
  <c r="CG462" i="4" s="1"/>
  <c r="CL420" i="4"/>
  <c r="CL439" i="4" s="1"/>
  <c r="BD736" i="4"/>
  <c r="BD782" i="4" s="1"/>
  <c r="CM409" i="4"/>
  <c r="CM410" i="4" s="1"/>
  <c r="CC154" i="4"/>
  <c r="CC160" i="4" s="1"/>
  <c r="CC161" i="4" s="1"/>
  <c r="CG431" i="4"/>
  <c r="CG432" i="4" s="1"/>
  <c r="CM424" i="4"/>
  <c r="CM425" i="4" s="1"/>
  <c r="CG473" i="4"/>
  <c r="CG474" i="4" s="1"/>
  <c r="CN852" i="4"/>
  <c r="CO852" i="4" s="1"/>
  <c r="CS852" i="4"/>
  <c r="BI625" i="4"/>
  <c r="BI583" i="4"/>
  <c r="BI631" i="4" s="1"/>
  <c r="CI426" i="4"/>
  <c r="CI456" i="4" s="1"/>
  <c r="CD343" i="4"/>
  <c r="CH235" i="4"/>
  <c r="CJ235" i="4" s="1"/>
  <c r="CJ237" i="4"/>
  <c r="CJ238" i="4" s="1"/>
  <c r="DH229" i="4"/>
  <c r="CP332" i="4"/>
  <c r="CP333" i="4" s="1"/>
  <c r="DH322" i="4"/>
  <c r="DJ229" i="4"/>
  <c r="DM320" i="4"/>
  <c r="DM318" i="4"/>
  <c r="DJ321" i="4"/>
  <c r="DP225" i="4"/>
  <c r="DS392" i="4"/>
  <c r="DV392" i="4" s="1"/>
  <c r="DP317" i="4"/>
  <c r="DP395" i="4"/>
  <c r="DE232" i="4"/>
  <c r="DM226" i="4"/>
  <c r="DM228" i="4"/>
  <c r="CF435" i="4"/>
  <c r="CF436" i="4" s="1"/>
  <c r="DG232" i="4"/>
  <c r="DG233" i="4"/>
  <c r="BW150" i="4"/>
  <c r="BW154" i="4"/>
  <c r="CG342" i="4"/>
  <c r="CG343" i="4" s="1"/>
  <c r="CF71" i="4"/>
  <c r="DF232" i="4"/>
  <c r="DH231" i="4"/>
  <c r="DH233" i="4" s="1"/>
  <c r="DF233" i="4"/>
  <c r="DN395" i="4"/>
  <c r="CM405" i="4"/>
  <c r="CM406" i="4" s="1"/>
  <c r="CF34" i="4"/>
  <c r="CS386" i="4"/>
  <c r="DL226" i="4"/>
  <c r="DL228" i="4"/>
  <c r="DN225" i="4"/>
  <c r="DN226" i="4" s="1"/>
  <c r="DI229" i="4"/>
  <c r="DK228" i="4"/>
  <c r="DK320" i="4"/>
  <c r="DI321" i="4"/>
  <c r="DO225" i="4"/>
  <c r="DO317" i="4"/>
  <c r="DO395" i="4"/>
  <c r="DR392" i="4"/>
  <c r="DN317" i="4"/>
  <c r="DN318" i="4" s="1"/>
  <c r="DL318" i="4"/>
  <c r="DL320" i="4"/>
  <c r="DF323" i="4"/>
  <c r="DH321" i="4"/>
  <c r="DC324" i="4"/>
  <c r="DE323" i="4"/>
  <c r="DE324" i="4" s="1"/>
  <c r="CS213" i="4"/>
  <c r="CS215" i="4" s="1"/>
  <c r="CY375" i="4"/>
  <c r="CY376" i="4" s="1"/>
  <c r="EG81" i="4"/>
  <c r="EF82" i="4"/>
  <c r="CF130" i="4"/>
  <c r="CF131" i="4" s="1"/>
  <c r="BF897" i="4"/>
  <c r="CH822" i="4"/>
  <c r="CI828" i="4"/>
  <c r="CI829" i="4" s="1"/>
  <c r="CI830" i="4" s="1"/>
  <c r="CI831" i="4" s="1"/>
  <c r="CI840" i="4"/>
  <c r="CI846" i="4" s="1"/>
  <c r="CI847" i="4" s="1"/>
  <c r="CI848" i="4" s="1"/>
  <c r="CI849" i="4" s="1"/>
  <c r="CM773" i="4"/>
  <c r="CM774" i="4" s="1"/>
  <c r="CM828" i="4"/>
  <c r="CM829" i="4" s="1"/>
  <c r="CM830" i="4" s="1"/>
  <c r="CM831" i="4" s="1"/>
  <c r="CP822" i="4"/>
  <c r="CM840" i="4"/>
  <c r="CM846" i="4" s="1"/>
  <c r="CM847" i="4" s="1"/>
  <c r="CM848" i="4" s="1"/>
  <c r="CM849" i="4" s="1"/>
  <c r="CL822" i="4"/>
  <c r="CH773" i="4"/>
  <c r="CH774" i="4" s="1"/>
  <c r="CM771" i="4"/>
  <c r="CE828" i="4"/>
  <c r="CE829" i="4" s="1"/>
  <c r="CE830" i="4" s="1"/>
  <c r="CE831" i="4" s="1"/>
  <c r="CE840" i="4"/>
  <c r="CE846" i="4" s="1"/>
  <c r="CE847" i="4" s="1"/>
  <c r="CE848" i="4" s="1"/>
  <c r="CE849" i="4" s="1"/>
  <c r="BE908" i="4"/>
  <c r="BE706" i="4"/>
  <c r="BE909" i="4" s="1"/>
  <c r="CQ835" i="4"/>
  <c r="CR835" i="4" s="1"/>
  <c r="CV835" i="4"/>
  <c r="BH621" i="4"/>
  <c r="BH633" i="4"/>
  <c r="BF657" i="4"/>
  <c r="BF699" i="4" s="1"/>
  <c r="BF700" i="4" s="1"/>
  <c r="BF944" i="4"/>
  <c r="BF663" i="4"/>
  <c r="BF705" i="4" s="1"/>
  <c r="BW838" i="4"/>
  <c r="BW843" i="4"/>
  <c r="BW856" i="4" s="1"/>
  <c r="BV825" i="4"/>
  <c r="BG729" i="4"/>
  <c r="BG932" i="4" s="1"/>
  <c r="BJ569" i="4"/>
  <c r="BF681" i="4"/>
  <c r="BF723" i="4" s="1"/>
  <c r="BF675" i="4"/>
  <c r="BF717" i="4" s="1"/>
  <c r="BF920" i="4" s="1"/>
  <c r="BZ825" i="4"/>
  <c r="CA843" i="4"/>
  <c r="CA856" i="4" s="1"/>
  <c r="CD825" i="4"/>
  <c r="CA838" i="4"/>
  <c r="BG711" i="4"/>
  <c r="CH771" i="4"/>
  <c r="BE699" i="4"/>
  <c r="BE658" i="4"/>
  <c r="BS838" i="4"/>
  <c r="BS843" i="4"/>
  <c r="BS856" i="4" s="1"/>
  <c r="BI591" i="4"/>
  <c r="BI592" i="4" s="1"/>
  <c r="BI640" i="4" s="1"/>
  <c r="BH639" i="4"/>
  <c r="BH687" i="4" s="1"/>
  <c r="BH729" i="4" s="1"/>
  <c r="BH627" i="4"/>
  <c r="BH669" i="4" s="1"/>
  <c r="BH711" i="4" s="1"/>
  <c r="BG621" i="4"/>
  <c r="BG622" i="4" s="1"/>
  <c r="BG664" i="4" s="1"/>
  <c r="BG633" i="4"/>
  <c r="CJ335" i="4"/>
  <c r="CV356" i="4"/>
  <c r="CV357" i="4" s="1"/>
  <c r="CV360" i="4"/>
  <c r="EM203" i="4"/>
  <c r="EM204" i="4" s="1"/>
  <c r="EM76" i="4"/>
  <c r="EN75" i="4"/>
  <c r="CM221" i="4"/>
  <c r="CU380" i="4"/>
  <c r="CV379" i="4"/>
  <c r="CV380" i="4" s="1"/>
  <c r="DB96" i="4"/>
  <c r="DA97" i="4"/>
  <c r="DB747" i="4"/>
  <c r="DB748" i="4" s="1"/>
  <c r="DB749" i="4" s="1"/>
  <c r="DA748" i="4"/>
  <c r="DA749" i="4" s="1"/>
  <c r="DA378" i="4"/>
  <c r="DB378" i="4" s="1"/>
  <c r="DB354" i="4"/>
  <c r="DB355" i="4" s="1"/>
  <c r="DA355" i="4"/>
  <c r="DA359" i="4"/>
  <c r="DA163" i="4"/>
  <c r="DD354" i="4"/>
  <c r="DE105" i="4"/>
  <c r="DE106" i="4" s="1"/>
  <c r="DD747" i="4"/>
  <c r="DD106" i="4"/>
  <c r="DD96" i="4"/>
  <c r="CX164" i="4"/>
  <c r="CY163" i="4"/>
  <c r="CY164" i="4" s="1"/>
  <c r="CZ837" i="4"/>
  <c r="DA837" i="4" s="1"/>
  <c r="DE837" i="4"/>
  <c r="BH894" i="4"/>
  <c r="CX360" i="4"/>
  <c r="CX379" i="4"/>
  <c r="CY359" i="4"/>
  <c r="CY97" i="4"/>
  <c r="CP768" i="4"/>
  <c r="CP773" i="4" s="1"/>
  <c r="CP762" i="4"/>
  <c r="CA44" i="4"/>
  <c r="BZ42" i="4"/>
  <c r="BZ65" i="4"/>
  <c r="BZ47" i="4"/>
  <c r="BZ55" i="4"/>
  <c r="CI20" i="4"/>
  <c r="CI3" i="4" s="1"/>
  <c r="CU281" i="4"/>
  <c r="CU260" i="4"/>
  <c r="CV260" i="4" s="1"/>
  <c r="CV261" i="4" s="1"/>
  <c r="CO285" i="4"/>
  <c r="CO262" i="4"/>
  <c r="CO335" i="4" s="1"/>
  <c r="DK505" i="4"/>
  <c r="DK504" i="4"/>
  <c r="CK762" i="4"/>
  <c r="CK768" i="4"/>
  <c r="CK773" i="4" s="1"/>
  <c r="CF486" i="4"/>
  <c r="CG21" i="4"/>
  <c r="CI21" i="4"/>
  <c r="CP337" i="4"/>
  <c r="CP338" i="4" s="1"/>
  <c r="CL453" i="4"/>
  <c r="CL263" i="4"/>
  <c r="CL344" i="4"/>
  <c r="CM344" i="4" s="1"/>
  <c r="CL422" i="4"/>
  <c r="CM422" i="4" s="1"/>
  <c r="CL16" i="4"/>
  <c r="CL30" i="4" s="1"/>
  <c r="CO440" i="4"/>
  <c r="DE264" i="2"/>
  <c r="DD263" i="2"/>
  <c r="CF347" i="4"/>
  <c r="BW53" i="4"/>
  <c r="DA275" i="4"/>
  <c r="CX280" i="4"/>
  <c r="CY207" i="3"/>
  <c r="CW189" i="4"/>
  <c r="CW191" i="4"/>
  <c r="DA183" i="4"/>
  <c r="DB183" i="4" s="1"/>
  <c r="DB184" i="4" s="1"/>
  <c r="CI771" i="4"/>
  <c r="CI770" i="4"/>
  <c r="CI423" i="4"/>
  <c r="CI451" i="4"/>
  <c r="BH884" i="4"/>
  <c r="BH885" i="4" s="1"/>
  <c r="BW52" i="4"/>
  <c r="BW68" i="4"/>
  <c r="BW49" i="4"/>
  <c r="BW58" i="4"/>
  <c r="BW476" i="4"/>
  <c r="BW491" i="4"/>
  <c r="BW493" i="4" s="1"/>
  <c r="CU191" i="4"/>
  <c r="CJ16" i="4"/>
  <c r="CJ30" i="4" s="1"/>
  <c r="CF465" i="4"/>
  <c r="CF466" i="4" s="1"/>
  <c r="CL443" i="4"/>
  <c r="CO124" i="4"/>
  <c r="CJ329" i="4"/>
  <c r="CO759" i="4"/>
  <c r="CO767" i="4" s="1"/>
  <c r="CO760" i="4"/>
  <c r="CO758" i="4"/>
  <c r="CO766" i="4" s="1"/>
  <c r="CO757" i="4"/>
  <c r="CO765" i="4" s="1"/>
  <c r="CO769" i="4"/>
  <c r="CN760" i="4"/>
  <c r="CN757" i="4"/>
  <c r="CN765" i="4" s="1"/>
  <c r="CN759" i="4"/>
  <c r="CN767" i="4" s="1"/>
  <c r="CN758" i="4"/>
  <c r="CN766" i="4" s="1"/>
  <c r="CN769" i="4"/>
  <c r="CL335" i="4"/>
  <c r="CV580" i="4"/>
  <c r="CQ580" i="4"/>
  <c r="CR580" i="4" s="1"/>
  <c r="CA133" i="4"/>
  <c r="CA134" i="4" s="1"/>
  <c r="BZ149" i="4"/>
  <c r="BZ134" i="4"/>
  <c r="DC183" i="4"/>
  <c r="CZ188" i="4"/>
  <c r="CR284" i="4"/>
  <c r="CS284" i="4" s="1"/>
  <c r="DK273" i="2"/>
  <c r="BT155" i="4"/>
  <c r="BT160" i="4"/>
  <c r="BU154" i="4"/>
  <c r="BU155" i="4" s="1"/>
  <c r="CI342" i="4"/>
  <c r="CI343" i="4" s="1"/>
  <c r="CI461" i="4"/>
  <c r="CI462" i="4" s="1"/>
  <c r="DH174" i="4"/>
  <c r="CM413" i="4"/>
  <c r="CM414" i="4" s="1"/>
  <c r="BX475" i="4"/>
  <c r="BX476" i="4" s="1"/>
  <c r="CL762" i="4"/>
  <c r="CL768" i="4"/>
  <c r="CL770" i="4" s="1"/>
  <c r="CI431" i="4"/>
  <c r="CI432" i="4" s="1"/>
  <c r="CI329" i="4"/>
  <c r="BZ472" i="4"/>
  <c r="CA471" i="4"/>
  <c r="CA472" i="4" s="1"/>
  <c r="BZ475" i="4"/>
  <c r="BH878" i="4"/>
  <c r="BJ859" i="4"/>
  <c r="BI955" i="4"/>
  <c r="CC348" i="4"/>
  <c r="CC471" i="4"/>
  <c r="CC44" i="4"/>
  <c r="CD347" i="4"/>
  <c r="CD348" i="4" s="1"/>
  <c r="BH890" i="4"/>
  <c r="DH252" i="2"/>
  <c r="Y51" i="9" s="1"/>
  <c r="DG255" i="2"/>
  <c r="CR261" i="4"/>
  <c r="CR332" i="4"/>
  <c r="CR334" i="4" s="1"/>
  <c r="CR337" i="4"/>
  <c r="CR339" i="4" s="1"/>
  <c r="CR450" i="4" s="1"/>
  <c r="CP284" i="4"/>
  <c r="CP285" i="4" s="1"/>
  <c r="CF479" i="4"/>
  <c r="CF136" i="4" s="1"/>
  <c r="CF137" i="4" s="1"/>
  <c r="BG896" i="4"/>
  <c r="CM335" i="4"/>
  <c r="CM209" i="4"/>
  <c r="CM210" i="4" s="1"/>
  <c r="CK237" i="4"/>
  <c r="CK429" i="4" s="1"/>
  <c r="CR761" i="4"/>
  <c r="CS757" i="4"/>
  <c r="CS765" i="4" s="1"/>
  <c r="CQ761" i="4"/>
  <c r="CS758" i="4"/>
  <c r="CS766" i="4" s="1"/>
  <c r="CV761" i="4"/>
  <c r="CS759" i="4"/>
  <c r="CS767" i="4" s="1"/>
  <c r="CS769" i="4"/>
  <c r="CS760" i="4"/>
  <c r="EL213" i="3"/>
  <c r="EM260" i="2"/>
  <c r="EK260" i="2"/>
  <c r="EK213" i="3" s="1"/>
  <c r="CS186" i="4"/>
  <c r="CI326" i="4"/>
  <c r="CJ326" i="4" s="1"/>
  <c r="BI626" i="4"/>
  <c r="BI638" i="4"/>
  <c r="CS367" i="4"/>
  <c r="CS364" i="4"/>
  <c r="CS365" i="4" s="1"/>
  <c r="CB466" i="4"/>
  <c r="CD465" i="4"/>
  <c r="CD466" i="4" s="1"/>
  <c r="CH244" i="4"/>
  <c r="CJ243" i="4"/>
  <c r="CJ244" i="4" s="1"/>
  <c r="CH438" i="4"/>
  <c r="CT85" i="2"/>
  <c r="CU86" i="2"/>
  <c r="BH727" i="4"/>
  <c r="BH930" i="4" s="1"/>
  <c r="EM79" i="4"/>
  <c r="EN78" i="4"/>
  <c r="EO78" i="4" s="1"/>
  <c r="EO79" i="4" s="1"/>
  <c r="EM295" i="4"/>
  <c r="CT367" i="4"/>
  <c r="CT389" i="4"/>
  <c r="CT351" i="4"/>
  <c r="CD454" i="4"/>
  <c r="CD456" i="4" s="1"/>
  <c r="CB456" i="4"/>
  <c r="CX362" i="4"/>
  <c r="CU366" i="4"/>
  <c r="BG709" i="4"/>
  <c r="BG670" i="4"/>
  <c r="DF185" i="2"/>
  <c r="DF614" i="2"/>
  <c r="EJ294" i="2"/>
  <c r="EL294" i="2" s="1"/>
  <c r="EH294" i="2"/>
  <c r="BS481" i="2"/>
  <c r="BS482" i="2" s="1"/>
  <c r="BS478" i="2"/>
  <c r="CD3" i="4"/>
  <c r="CB11" i="4"/>
  <c r="CQ221" i="4"/>
  <c r="CQ222" i="4"/>
  <c r="BU455" i="2"/>
  <c r="BU148" i="3"/>
  <c r="BV149" i="3"/>
  <c r="BU480" i="2"/>
  <c r="CQ180" i="4"/>
  <c r="CQ208" i="4"/>
  <c r="CS208" i="4" s="1"/>
  <c r="CQ168" i="4"/>
  <c r="CS178" i="4"/>
  <c r="CQ179" i="4"/>
  <c r="CW214" i="4"/>
  <c r="CW215" i="4"/>
  <c r="CW217" i="4" s="1"/>
  <c r="CP384" i="4"/>
  <c r="CP386" i="4"/>
  <c r="CP305" i="4"/>
  <c r="CS306" i="4" s="1"/>
  <c r="CP213" i="4"/>
  <c r="CV853" i="4"/>
  <c r="CQ17" i="4"/>
  <c r="CQ405" i="4"/>
  <c r="CQ409" i="4"/>
  <c r="CQ424" i="4"/>
  <c r="CQ352" i="4"/>
  <c r="CQ413" i="4"/>
  <c r="CL29" i="4"/>
  <c r="CZ380" i="4"/>
  <c r="CV578" i="4"/>
  <c r="CQ578" i="4"/>
  <c r="CR578" i="4" s="1"/>
  <c r="CK127" i="4"/>
  <c r="CK23" i="4"/>
  <c r="CM118" i="4"/>
  <c r="CK119" i="4"/>
  <c r="CK461" i="4"/>
  <c r="CK342" i="4"/>
  <c r="BG897" i="4"/>
  <c r="BL883" i="4"/>
  <c r="CO244" i="4"/>
  <c r="CO438" i="4"/>
  <c r="BU70" i="4"/>
  <c r="BU60" i="4"/>
  <c r="CN25" i="4"/>
  <c r="CN125" i="4"/>
  <c r="CE140" i="4"/>
  <c r="DC69" i="3"/>
  <c r="CZ70" i="2"/>
  <c r="CO222" i="4"/>
  <c r="CO221" i="4"/>
  <c r="CO237" i="4" s="1"/>
  <c r="CO235" i="4" s="1"/>
  <c r="CD492" i="4"/>
  <c r="DF222" i="3"/>
  <c r="DF27" i="2"/>
  <c r="DI27" i="2"/>
  <c r="EI256" i="2"/>
  <c r="BE779" i="4"/>
  <c r="CH343" i="4"/>
  <c r="BW165" i="2"/>
  <c r="BW334" i="2"/>
  <c r="BW342" i="2"/>
  <c r="BW168" i="2"/>
  <c r="BW175" i="2"/>
  <c r="BW340" i="2"/>
  <c r="BW150" i="2"/>
  <c r="BW169" i="3"/>
  <c r="BW165" i="3" s="1"/>
  <c r="BW31" i="2"/>
  <c r="BW333" i="2"/>
  <c r="BW170" i="3"/>
  <c r="BW166" i="3" s="1"/>
  <c r="BW339" i="2"/>
  <c r="BW341" i="2"/>
  <c r="BW171" i="3"/>
  <c r="BW167" i="3" s="1"/>
  <c r="BW335" i="2"/>
  <c r="BW163" i="2"/>
  <c r="BW73" i="2"/>
  <c r="BW161" i="2"/>
  <c r="BW162" i="2"/>
  <c r="BW69" i="2"/>
  <c r="BW160" i="2"/>
  <c r="BW159" i="2"/>
  <c r="BW61" i="2"/>
  <c r="BW337" i="2"/>
  <c r="BW11" i="4"/>
  <c r="BX276" i="2"/>
  <c r="BY186" i="2" s="1"/>
  <c r="BW282" i="2"/>
  <c r="BM692" i="4"/>
  <c r="CH29" i="4"/>
  <c r="CJ15" i="4"/>
  <c r="CJ29" i="4" s="1"/>
  <c r="CH21" i="4"/>
  <c r="CH20" i="4"/>
  <c r="Z400" i="2"/>
  <c r="Z398" i="2"/>
  <c r="BH592" i="4"/>
  <c r="BH640" i="4" s="1"/>
  <c r="CL429" i="4"/>
  <c r="CL238" i="4"/>
  <c r="BR752" i="4"/>
  <c r="BY491" i="4"/>
  <c r="BY493" i="4" s="1"/>
  <c r="BY336" i="2"/>
  <c r="BY287" i="2"/>
  <c r="DE834" i="4"/>
  <c r="ER133" i="3"/>
  <c r="BL515" i="2"/>
  <c r="BM514" i="2"/>
  <c r="CU180" i="4"/>
  <c r="CU208" i="4"/>
  <c r="CU179" i="4"/>
  <c r="CZ362" i="4"/>
  <c r="CW366" i="4"/>
  <c r="CY579" i="4"/>
  <c r="CT579" i="4"/>
  <c r="CU579" i="4" s="1"/>
  <c r="CM299" i="2"/>
  <c r="DI268" i="2"/>
  <c r="DH266" i="2"/>
  <c r="DG268" i="2"/>
  <c r="CA11" i="4"/>
  <c r="CI460" i="4"/>
  <c r="DG377" i="2"/>
  <c r="DG400" i="2" s="1"/>
  <c r="U17" i="9" s="1"/>
  <c r="DG384" i="2"/>
  <c r="CW175" i="4"/>
  <c r="CT178" i="4"/>
  <c r="CW387" i="4"/>
  <c r="CN403" i="4"/>
  <c r="CN416" i="4"/>
  <c r="CN433" i="4"/>
  <c r="BV477" i="2"/>
  <c r="CQ853" i="4"/>
  <c r="CR853" i="4" s="1"/>
  <c r="CR209" i="4"/>
  <c r="CR181" i="4"/>
  <c r="CQ390" i="4"/>
  <c r="CQ402" i="4"/>
  <c r="CQ400" i="4" s="1"/>
  <c r="BK753" i="4"/>
  <c r="CE427" i="4"/>
  <c r="CE487" i="4"/>
  <c r="CE480" i="4"/>
  <c r="CE484" i="4"/>
  <c r="CG426" i="4"/>
  <c r="CG427" i="4" s="1"/>
  <c r="CO390" i="4"/>
  <c r="CO402" i="4"/>
  <c r="CO400" i="4" s="1"/>
  <c r="BV644" i="4"/>
  <c r="CH432" i="4"/>
  <c r="BJ866" i="4"/>
  <c r="CK423" i="4"/>
  <c r="CN452" i="4"/>
  <c r="EK338" i="4"/>
  <c r="CP175" i="4"/>
  <c r="CP179" i="4"/>
  <c r="CQ90" i="2"/>
  <c r="CR85" i="2"/>
  <c r="BI870" i="4"/>
  <c r="BH873" i="4"/>
  <c r="CF56" i="4"/>
  <c r="CF66" i="4"/>
  <c r="BF901" i="4"/>
  <c r="BT693" i="4"/>
  <c r="CL5" i="3"/>
  <c r="CL11" i="3" s="1"/>
  <c r="CL156" i="2"/>
  <c r="CL173" i="2"/>
  <c r="CL344" i="2"/>
  <c r="DG267" i="4"/>
  <c r="DD270" i="4"/>
  <c r="BG697" i="4"/>
  <c r="CN91" i="2"/>
  <c r="CO91" i="2" s="1"/>
  <c r="CN5" i="3"/>
  <c r="CN11" i="3" s="1"/>
  <c r="CN344" i="2"/>
  <c r="CN173" i="2"/>
  <c r="CN156" i="2"/>
  <c r="CN202" i="3"/>
  <c r="CO90" i="2"/>
  <c r="CO448" i="4"/>
  <c r="CG842" i="4"/>
  <c r="CJ824" i="4"/>
  <c r="CF824" i="4"/>
  <c r="CN315" i="4"/>
  <c r="CP313" i="4"/>
  <c r="CN328" i="4"/>
  <c r="CE39" i="4"/>
  <c r="CG26" i="4"/>
  <c r="CG39" i="4" s="1"/>
  <c r="DE20" i="2"/>
  <c r="H16" i="9" s="1"/>
  <c r="CV460" i="2"/>
  <c r="CV464" i="2" s="1"/>
  <c r="CU70" i="2"/>
  <c r="CU460" i="2" s="1"/>
  <c r="CU464" i="2" s="1"/>
  <c r="BJ751" i="4"/>
  <c r="BI754" i="4"/>
  <c r="CN118" i="4"/>
  <c r="CN170" i="4"/>
  <c r="CN209" i="4"/>
  <c r="CN210" i="4" s="1"/>
  <c r="CP180" i="4"/>
  <c r="CP181" i="4" s="1"/>
  <c r="CN181" i="4"/>
  <c r="CH462" i="4"/>
  <c r="BX42" i="2"/>
  <c r="BW33" i="2"/>
  <c r="BU650" i="4"/>
  <c r="BH584" i="4"/>
  <c r="CJ253" i="4"/>
  <c r="CH251" i="4"/>
  <c r="CH459" i="4"/>
  <c r="CL36" i="4"/>
  <c r="BH667" i="4"/>
  <c r="DC273" i="4"/>
  <c r="DC301" i="4"/>
  <c r="DK416" i="2"/>
  <c r="CE147" i="4"/>
  <c r="CM452" i="4"/>
  <c r="CK453" i="4"/>
  <c r="DA175" i="4"/>
  <c r="CX178" i="4"/>
  <c r="CL433" i="4"/>
  <c r="CL434" i="4" s="1"/>
  <c r="CL416" i="4"/>
  <c r="CM416" i="4" s="1"/>
  <c r="CM417" i="4" s="1"/>
  <c r="CL403" i="4"/>
  <c r="CM442" i="4"/>
  <c r="CK443" i="4"/>
  <c r="BL812" i="4"/>
  <c r="BL818" i="4" s="1"/>
  <c r="BK818" i="4"/>
  <c r="CS854" i="4"/>
  <c r="CQ854" i="4" s="1"/>
  <c r="CR854" i="4" s="1"/>
  <c r="CH66" i="4"/>
  <c r="CH56" i="4"/>
  <c r="CJ127" i="4"/>
  <c r="CJ128" i="4" s="1"/>
  <c r="CH128" i="4"/>
  <c r="BL865" i="4"/>
  <c r="CW306" i="4"/>
  <c r="CW307" i="4"/>
  <c r="CW309" i="4" s="1"/>
  <c r="CW312" i="4" s="1"/>
  <c r="CO210" i="4"/>
  <c r="X398" i="2"/>
  <c r="X400" i="2"/>
  <c r="Y400" i="2" s="1"/>
  <c r="CL400" i="4"/>
  <c r="CM400" i="4" s="1"/>
  <c r="CP334" i="4"/>
  <c r="CN440" i="4"/>
  <c r="CN335" i="4"/>
  <c r="CU306" i="4"/>
  <c r="CU307" i="4"/>
  <c r="CU309" i="4" s="1"/>
  <c r="BP483" i="2"/>
  <c r="DD185" i="2"/>
  <c r="CD93" i="3"/>
  <c r="BI882" i="4"/>
  <c r="CJ433" i="4"/>
  <c r="CJ434" i="4" s="1"/>
  <c r="CN400" i="4"/>
  <c r="CN463" i="4"/>
  <c r="BM816" i="4"/>
  <c r="BN810" i="4"/>
  <c r="BM811" i="4"/>
  <c r="BQ475" i="2"/>
  <c r="BQ53" i="2"/>
  <c r="CQ313" i="4"/>
  <c r="CQ285" i="4"/>
  <c r="CQ124" i="4"/>
  <c r="CQ262" i="4"/>
  <c r="CS307" i="4"/>
  <c r="AV226" i="2"/>
  <c r="AZ224" i="2"/>
  <c r="AZ226" i="2" s="1"/>
  <c r="AX224" i="2"/>
  <c r="AX226" i="2" s="1"/>
  <c r="AY224" i="2" s="1"/>
  <c r="CM142" i="2"/>
  <c r="CK142" i="2"/>
  <c r="CK143" i="2" s="1"/>
  <c r="CK146" i="2" s="1"/>
  <c r="CL142" i="2" s="1"/>
  <c r="EN292" i="2"/>
  <c r="EP292" i="2"/>
  <c r="ER292" i="2" s="1"/>
  <c r="CX273" i="4"/>
  <c r="CY272" i="4"/>
  <c r="CY273" i="4" s="1"/>
  <c r="EE255" i="2"/>
  <c r="EI257" i="2"/>
  <c r="EH257" i="2" s="1"/>
  <c r="EG257" i="2"/>
  <c r="EG255" i="2" s="1"/>
  <c r="CT218" i="4"/>
  <c r="CT220" i="4"/>
  <c r="AL142" i="2"/>
  <c r="AL143" i="2" s="1"/>
  <c r="AL146" i="2" s="1"/>
  <c r="AM142" i="2" s="1"/>
  <c r="AM143" i="2" s="1"/>
  <c r="AM146" i="2" s="1"/>
  <c r="AN142" i="2"/>
  <c r="AN143" i="2" s="1"/>
  <c r="AN146" i="2" s="1"/>
  <c r="ED300" i="2"/>
  <c r="EB300" i="2"/>
  <c r="BH626" i="4"/>
  <c r="BH668" i="4" s="1"/>
  <c r="BH710" i="4" s="1"/>
  <c r="BH638" i="4"/>
  <c r="BH686" i="4" s="1"/>
  <c r="BH728" i="4" s="1"/>
  <c r="BH931" i="4" s="1"/>
  <c r="CV855" i="4"/>
  <c r="CT855" i="4" s="1"/>
  <c r="CU855" i="4" s="1"/>
  <c r="EL73" i="3"/>
  <c r="EM278" i="2"/>
  <c r="EK278" i="2"/>
  <c r="EK73" i="3" s="1"/>
  <c r="EK75" i="3" s="1"/>
  <c r="BI685" i="4"/>
  <c r="CE91" i="3"/>
  <c r="CE93" i="3" s="1"/>
  <c r="BG728" i="4"/>
  <c r="CO119" i="4"/>
  <c r="CO23" i="4"/>
  <c r="CR119" i="4"/>
  <c r="CG45" i="4"/>
  <c r="BT276" i="2"/>
  <c r="BT336" i="2" s="1"/>
  <c r="BU336" i="2"/>
  <c r="BU287" i="2"/>
  <c r="CU387" i="4"/>
  <c r="CV387" i="4" s="1"/>
  <c r="CE430" i="4"/>
  <c r="CG429" i="4"/>
  <c r="CG430" i="4" s="1"/>
  <c r="CE435" i="4"/>
  <c r="CL444" i="4"/>
  <c r="CL445" i="4" s="1"/>
  <c r="CK15" i="4"/>
  <c r="CK171" i="4"/>
  <c r="CK420" i="4"/>
  <c r="CM170" i="4"/>
  <c r="CM171" i="4" s="1"/>
  <c r="CK253" i="4"/>
  <c r="CE137" i="4"/>
  <c r="CN442" i="4"/>
  <c r="BF733" i="4"/>
  <c r="BF936" i="4"/>
  <c r="BF900" i="4"/>
  <c r="BI858" i="4"/>
  <c r="BH861" i="4"/>
  <c r="BH954" i="4"/>
  <c r="BR476" i="2"/>
  <c r="BR477" i="2" s="1"/>
  <c r="BQ43" i="2"/>
  <c r="BQ476" i="2" s="1"/>
  <c r="CH256" i="4"/>
  <c r="BS62" i="4"/>
  <c r="BS72" i="4"/>
  <c r="BU51" i="4"/>
  <c r="CM306" i="4"/>
  <c r="CM307" i="4"/>
  <c r="DZ190" i="2"/>
  <c r="EA178" i="3"/>
  <c r="CK434" i="4"/>
  <c r="BN498" i="2"/>
  <c r="BM497" i="2"/>
  <c r="BM500" i="2"/>
  <c r="BM504" i="2"/>
  <c r="BM499" i="2"/>
  <c r="DO270" i="2"/>
  <c r="DM270" i="2"/>
  <c r="DF272" i="4"/>
  <c r="DF271" i="4"/>
  <c r="DF300" i="4"/>
  <c r="DF302" i="4" s="1"/>
  <c r="DB69" i="3"/>
  <c r="CY70" i="2"/>
  <c r="CX69" i="3"/>
  <c r="CE55" i="4"/>
  <c r="CE65" i="4"/>
  <c r="EK274" i="2"/>
  <c r="EM274" i="2"/>
  <c r="EO274" i="2" s="1"/>
  <c r="EP274" i="2" s="1"/>
  <c r="ER274" i="2" s="1"/>
  <c r="CC645" i="4"/>
  <c r="BJ568" i="4"/>
  <c r="BI584" i="4"/>
  <c r="BH867" i="4"/>
  <c r="BI864" i="4"/>
  <c r="AB410" i="2"/>
  <c r="AA410" i="2" s="1"/>
  <c r="AC416" i="2"/>
  <c r="AB411" i="2"/>
  <c r="AA411" i="2" s="1"/>
  <c r="AB409" i="2"/>
  <c r="CE71" i="4"/>
  <c r="CE3" i="4"/>
  <c r="CG20" i="4"/>
  <c r="CE34" i="4"/>
  <c r="CE30" i="2"/>
  <c r="CE337" i="2" s="1"/>
  <c r="CK464" i="4"/>
  <c r="CM463" i="4"/>
  <c r="BG715" i="4"/>
  <c r="CD484" i="4"/>
  <c r="CD487" i="4"/>
  <c r="CD480" i="4"/>
  <c r="CD427" i="4"/>
  <c r="BV186" i="2"/>
  <c r="DC349" i="2"/>
  <c r="DC22" i="2"/>
  <c r="BE742" i="4"/>
  <c r="BE788" i="4" s="1"/>
  <c r="BE915" i="4"/>
  <c r="BH673" i="4"/>
  <c r="BH679" i="4"/>
  <c r="BH721" i="4" s="1"/>
  <c r="BH924" i="4" s="1"/>
  <c r="BY155" i="4"/>
  <c r="BY160" i="4"/>
  <c r="CN450" i="4"/>
  <c r="CP339" i="4"/>
  <c r="CI473" i="4"/>
  <c r="CI474" i="4" s="1"/>
  <c r="CI417" i="4"/>
  <c r="CI45" i="4"/>
  <c r="CJ45" i="4" s="1"/>
  <c r="DC275" i="4"/>
  <c r="CZ280" i="4"/>
  <c r="CZ282" i="4" s="1"/>
  <c r="BX68" i="4"/>
  <c r="BX58" i="4"/>
  <c r="CM450" i="4"/>
  <c r="CK451" i="4"/>
  <c r="CH300" i="2"/>
  <c r="CF300" i="2"/>
  <c r="CG297" i="2"/>
  <c r="BG710" i="4"/>
  <c r="CH474" i="4"/>
  <c r="CH36" i="4"/>
  <c r="CH26" i="4"/>
  <c r="CJ23" i="4"/>
  <c r="CJ36" i="4" s="1"/>
  <c r="CB33" i="2"/>
  <c r="CB42" i="2" s="1"/>
  <c r="CB475" i="2" s="1"/>
  <c r="CB169" i="3"/>
  <c r="CB165" i="3" s="1"/>
  <c r="CB179" i="3"/>
  <c r="CB163" i="2"/>
  <c r="CB73" i="2"/>
  <c r="CB339" i="2"/>
  <c r="CB334" i="2"/>
  <c r="CB31" i="2"/>
  <c r="CB336" i="2"/>
  <c r="CB171" i="3"/>
  <c r="CB167" i="3" s="1"/>
  <c r="CB341" i="2"/>
  <c r="CB161" i="2"/>
  <c r="CB150" i="2"/>
  <c r="CB333" i="2"/>
  <c r="CB340" i="2"/>
  <c r="CB165" i="2"/>
  <c r="CB335" i="2"/>
  <c r="CB342" i="2"/>
  <c r="CB162" i="2"/>
  <c r="CB337" i="2"/>
  <c r="CO643" i="4"/>
  <c r="CK248" i="4"/>
  <c r="CM246" i="4"/>
  <c r="CM247" i="4" s="1"/>
  <c r="CO15" i="4"/>
  <c r="CO420" i="4"/>
  <c r="CO171" i="4"/>
  <c r="CR171" i="4"/>
  <c r="CO253" i="4"/>
  <c r="CF470" i="4"/>
  <c r="CU214" i="4"/>
  <c r="CU215" i="4"/>
  <c r="CU217" i="4" s="1"/>
  <c r="CV217" i="4" s="1"/>
  <c r="BJ889" i="4"/>
  <c r="BL871" i="4"/>
  <c r="CL329" i="4"/>
  <c r="CL431" i="4"/>
  <c r="CL326" i="4"/>
  <c r="CG438" i="4"/>
  <c r="CG439" i="4" s="1"/>
  <c r="CE444" i="4"/>
  <c r="CE439" i="4"/>
  <c r="CH347" i="4"/>
  <c r="CN425" i="4"/>
  <c r="BJ589" i="4"/>
  <c r="BK567" i="4"/>
  <c r="BG680" i="4"/>
  <c r="BG722" i="4" s="1"/>
  <c r="BG925" i="4" s="1"/>
  <c r="BG674" i="4"/>
  <c r="BG716" i="4" s="1"/>
  <c r="BG919" i="4" s="1"/>
  <c r="CN16" i="4"/>
  <c r="CN263" i="4"/>
  <c r="CN344" i="4"/>
  <c r="CN422" i="4"/>
  <c r="CD252" i="4"/>
  <c r="CD254" i="4"/>
  <c r="CW460" i="2"/>
  <c r="CW464" i="2" s="1"/>
  <c r="CW86" i="2"/>
  <c r="CR218" i="4"/>
  <c r="CS218" i="4" s="1"/>
  <c r="CR220" i="4"/>
  <c r="BT649" i="4"/>
  <c r="CC842" i="4"/>
  <c r="CB824" i="4"/>
  <c r="CB842" i="4" s="1"/>
  <c r="CE449" i="4"/>
  <c r="CG448" i="4"/>
  <c r="CG449" i="4" s="1"/>
  <c r="CE454" i="4"/>
  <c r="CM214" i="4"/>
  <c r="CM215" i="4"/>
  <c r="DR224" i="2"/>
  <c r="DR226" i="2" s="1"/>
  <c r="DS224" i="2" s="1"/>
  <c r="DP226" i="2"/>
  <c r="DT224" i="2"/>
  <c r="DT226" i="2" s="1"/>
  <c r="DW224" i="2" s="1"/>
  <c r="DW226" i="2" s="1"/>
  <c r="DX224" i="2" s="1"/>
  <c r="DX226" i="2" s="1"/>
  <c r="CA171" i="3"/>
  <c r="CA167" i="3" s="1"/>
  <c r="CA282" i="2"/>
  <c r="CA341" i="2"/>
  <c r="CA165" i="2"/>
  <c r="CA333" i="2"/>
  <c r="CA169" i="3"/>
  <c r="CA165" i="3" s="1"/>
  <c r="CA31" i="2"/>
  <c r="CA170" i="3"/>
  <c r="CA179" i="3"/>
  <c r="CA334" i="2"/>
  <c r="CA339" i="2"/>
  <c r="CA340" i="2"/>
  <c r="CA33" i="2"/>
  <c r="CA342" i="2"/>
  <c r="BZ30" i="2"/>
  <c r="CB168" i="2" s="1"/>
  <c r="CA335" i="2"/>
  <c r="CA150" i="2"/>
  <c r="CA161" i="2"/>
  <c r="CA163" i="2"/>
  <c r="CA73" i="2"/>
  <c r="CA162" i="2"/>
  <c r="CA160" i="2"/>
  <c r="CA69" i="2"/>
  <c r="CA337" i="2"/>
  <c r="CE472" i="4"/>
  <c r="CK329" i="4"/>
  <c r="CK347" i="4"/>
  <c r="CM328" i="4"/>
  <c r="CM329" i="4" s="1"/>
  <c r="CK431" i="4"/>
  <c r="BJ877" i="4"/>
  <c r="BI895" i="4"/>
  <c r="BI860" i="4"/>
  <c r="BH956" i="4"/>
  <c r="BI888" i="4"/>
  <c r="CR310" i="4"/>
  <c r="CS310" i="4" s="1"/>
  <c r="CR312" i="4"/>
  <c r="CS312" i="4" s="1"/>
  <c r="DD222" i="3"/>
  <c r="DD27" i="2"/>
  <c r="BI876" i="4"/>
  <c r="CS309" i="4"/>
  <c r="BV630" i="2"/>
  <c r="BV631" i="2" s="1"/>
  <c r="BV305" i="2"/>
  <c r="CE252" i="4"/>
  <c r="CG251" i="4"/>
  <c r="BF918" i="4"/>
  <c r="CW281" i="4"/>
  <c r="CW260" i="4"/>
  <c r="BV51" i="4"/>
  <c r="BV6" i="4" s="1"/>
  <c r="BV70" i="4"/>
  <c r="BV60" i="4"/>
  <c r="BJ819" i="4"/>
  <c r="BK813" i="4"/>
  <c r="CB445" i="4"/>
  <c r="CD444" i="4"/>
  <c r="CD445" i="4" s="1"/>
  <c r="CQ339" i="4"/>
  <c r="BJ872" i="4"/>
  <c r="DC383" i="4"/>
  <c r="CZ386" i="4"/>
  <c r="CZ305" i="4"/>
  <c r="CZ213" i="4"/>
  <c r="CT284" i="4"/>
  <c r="DD614" i="2"/>
  <c r="CK30" i="4"/>
  <c r="CN31" i="4"/>
  <c r="BG943" i="4"/>
  <c r="BG662" i="4"/>
  <c r="BG704" i="4" s="1"/>
  <c r="BG907" i="4" s="1"/>
  <c r="BG656" i="4"/>
  <c r="BG698" i="4" s="1"/>
  <c r="CO315" i="4"/>
  <c r="CO328" i="4"/>
  <c r="BX152" i="3"/>
  <c r="CA150" i="3" s="1"/>
  <c r="CJ248" i="4"/>
  <c r="CH448" i="4"/>
  <c r="CK45" i="4"/>
  <c r="CK473" i="4"/>
  <c r="CK417" i="4"/>
  <c r="CY271" i="4"/>
  <c r="CY267" i="4"/>
  <c r="CY268" i="4" s="1"/>
  <c r="BT651" i="4"/>
  <c r="CP168" i="4"/>
  <c r="CP169" i="4" s="1"/>
  <c r="CN241" i="4"/>
  <c r="CN169" i="4"/>
  <c r="CN246" i="4"/>
  <c r="BR652" i="4"/>
  <c r="BV152" i="3"/>
  <c r="BW150" i="3" s="1"/>
  <c r="CJ420" i="4"/>
  <c r="CJ421" i="4" s="1"/>
  <c r="CH426" i="4"/>
  <c r="CH421" i="4"/>
  <c r="BY168" i="2"/>
  <c r="CE465" i="4"/>
  <c r="CE460" i="4"/>
  <c r="CG459" i="4"/>
  <c r="CG460" i="4" s="1"/>
  <c r="BH942" i="4"/>
  <c r="BH655" i="4"/>
  <c r="BH661" i="4"/>
  <c r="BH703" i="4" s="1"/>
  <c r="BH906" i="4" s="1"/>
  <c r="CV362" i="4"/>
  <c r="CV363" i="4" s="1"/>
  <c r="BT691" i="4"/>
  <c r="CR367" i="4"/>
  <c r="CR389" i="4"/>
  <c r="CS389" i="4" s="1"/>
  <c r="CS390" i="4" s="1"/>
  <c r="CR351" i="4"/>
  <c r="CM440" i="4"/>
  <c r="CK441" i="4"/>
  <c r="CL454" i="4"/>
  <c r="BG628" i="4"/>
  <c r="CK38" i="4"/>
  <c r="CQ334" i="4"/>
  <c r="CD30" i="2"/>
  <c r="CB175" i="2" s="1"/>
  <c r="CD71" i="4"/>
  <c r="CD34" i="4"/>
  <c r="DF82" i="4"/>
  <c r="DG81" i="4"/>
  <c r="CM241" i="4"/>
  <c r="CM242" i="4" s="1"/>
  <c r="CK243" i="4"/>
  <c r="CF64" i="4"/>
  <c r="CF54" i="4"/>
  <c r="CO17" i="4"/>
  <c r="CO31" i="4" s="1"/>
  <c r="CO413" i="4"/>
  <c r="CO463" i="4" s="1"/>
  <c r="CO424" i="4"/>
  <c r="CO425" i="4" s="1"/>
  <c r="CO352" i="4"/>
  <c r="CO405" i="4"/>
  <c r="CO442" i="4" s="1"/>
  <c r="CO409" i="4"/>
  <c r="CO452" i="4" s="1"/>
  <c r="DA383" i="4"/>
  <c r="CX305" i="4"/>
  <c r="CX213" i="4"/>
  <c r="CX386" i="4"/>
  <c r="CT332" i="4"/>
  <c r="CT337" i="4"/>
  <c r="CT261" i="4"/>
  <c r="CI430" i="4"/>
  <c r="CP351" i="4"/>
  <c r="CP352" i="4" s="1"/>
  <c r="BU475" i="2"/>
  <c r="BT42" i="2"/>
  <c r="BU53" i="2"/>
  <c r="BU43" i="2" s="1"/>
  <c r="BI570" i="4"/>
  <c r="DA272" i="4"/>
  <c r="DA271" i="4"/>
  <c r="DB270" i="4"/>
  <c r="BG957" i="4"/>
  <c r="CV836" i="4"/>
  <c r="CT836" i="4" s="1"/>
  <c r="CU836" i="4" s="1"/>
  <c r="CS384" i="4"/>
  <c r="EJ84" i="4" l="1"/>
  <c r="EI85" i="4"/>
  <c r="EK87" i="4"/>
  <c r="EJ88" i="4"/>
  <c r="DV226" i="2"/>
  <c r="CR246" i="4"/>
  <c r="CR248" i="4" s="1"/>
  <c r="CR252" i="4"/>
  <c r="CR241" i="4"/>
  <c r="CR243" i="4" s="1"/>
  <c r="CR244" i="4" s="1"/>
  <c r="CA475" i="4"/>
  <c r="CI257" i="4"/>
  <c r="BT72" i="4"/>
  <c r="BT62" i="4"/>
  <c r="BT7" i="4"/>
  <c r="BT12" i="4" s="1"/>
  <c r="EZ35" i="3"/>
  <c r="CP124" i="4"/>
  <c r="EW293" i="2"/>
  <c r="EY293" i="2"/>
  <c r="FA293" i="2" s="1"/>
  <c r="EZ293" i="2" s="1"/>
  <c r="FA133" i="3"/>
  <c r="EX111" i="4"/>
  <c r="EY111" i="4"/>
  <c r="FA111" i="4" s="1"/>
  <c r="EX124" i="3"/>
  <c r="EY124" i="3"/>
  <c r="EZ124" i="3" s="1"/>
  <c r="FA124" i="3" s="1"/>
  <c r="DI664" i="2"/>
  <c r="DV395" i="4"/>
  <c r="DV225" i="4"/>
  <c r="DV317" i="4"/>
  <c r="CV188" i="4"/>
  <c r="CU168" i="4"/>
  <c r="CU169" i="4" s="1"/>
  <c r="CX188" i="4"/>
  <c r="CY188" i="4" s="1"/>
  <c r="CY185" i="4" s="1"/>
  <c r="BF937" i="4"/>
  <c r="CA54" i="4"/>
  <c r="BF734" i="4"/>
  <c r="BF780" i="4" s="1"/>
  <c r="BY68" i="4"/>
  <c r="DH96" i="4"/>
  <c r="BP484" i="2"/>
  <c r="BF945" i="4"/>
  <c r="BY53" i="4"/>
  <c r="CI43" i="4"/>
  <c r="CI64" i="4" s="1"/>
  <c r="CE130" i="4"/>
  <c r="CE133" i="4" s="1"/>
  <c r="CE469" i="4"/>
  <c r="CE470" i="4" s="1"/>
  <c r="CA159" i="2"/>
  <c r="CG256" i="4"/>
  <c r="CG257" i="4" s="1"/>
  <c r="BY58" i="4"/>
  <c r="BY52" i="4"/>
  <c r="CA47" i="4"/>
  <c r="CA58" i="4" s="1"/>
  <c r="CV277" i="4"/>
  <c r="CV278" i="4" s="1"/>
  <c r="BV187" i="2"/>
  <c r="CB54" i="4"/>
  <c r="G52" i="9"/>
  <c r="G53" i="9" s="1"/>
  <c r="CD469" i="4"/>
  <c r="CD470" i="4" s="1"/>
  <c r="CM119" i="4"/>
  <c r="CE257" i="4"/>
  <c r="CD435" i="4"/>
  <c r="CD436" i="4" s="1"/>
  <c r="CH435" i="4"/>
  <c r="CH436" i="4" s="1"/>
  <c r="CA226" i="3"/>
  <c r="CB226" i="3" s="1"/>
  <c r="BZ352" i="2"/>
  <c r="CD4" i="3"/>
  <c r="CD10" i="3" s="1"/>
  <c r="CD178" i="2"/>
  <c r="CC178" i="2" s="1"/>
  <c r="CD154" i="2"/>
  <c r="CD331" i="2"/>
  <c r="CC72" i="2"/>
  <c r="CC343" i="2" s="1"/>
  <c r="CD68" i="2"/>
  <c r="CD160" i="2" s="1"/>
  <c r="BU503" i="2"/>
  <c r="BU184" i="2"/>
  <c r="BT184" i="2" s="1"/>
  <c r="BT180" i="2"/>
  <c r="BT503" i="2" s="1"/>
  <c r="CE479" i="2"/>
  <c r="CE480" i="2" s="1"/>
  <c r="CE72" i="2"/>
  <c r="CE345" i="2" s="1"/>
  <c r="CE619" i="2"/>
  <c r="CE621" i="2" s="1"/>
  <c r="CB64" i="4"/>
  <c r="CD345" i="2"/>
  <c r="CC479" i="2"/>
  <c r="CC480" i="2" s="1"/>
  <c r="CC619" i="2"/>
  <c r="CC621" i="2" s="1"/>
  <c r="CC146" i="3"/>
  <c r="DA296" i="4"/>
  <c r="DA298" i="4"/>
  <c r="BW151" i="2"/>
  <c r="BT169" i="2"/>
  <c r="BT151" i="2"/>
  <c r="BV169" i="2"/>
  <c r="BT56" i="2"/>
  <c r="BT158" i="2"/>
  <c r="CV300" i="4"/>
  <c r="CV302" i="4" s="1"/>
  <c r="CU302" i="4"/>
  <c r="CH77" i="2"/>
  <c r="CF77" i="2"/>
  <c r="CG74" i="2"/>
  <c r="BI619" i="4"/>
  <c r="BI655" i="4" s="1"/>
  <c r="CB47" i="4"/>
  <c r="CB58" i="4" s="1"/>
  <c r="BW158" i="2"/>
  <c r="CB470" i="4"/>
  <c r="CD343" i="2"/>
  <c r="DG375" i="4"/>
  <c r="DD295" i="4"/>
  <c r="DD203" i="4"/>
  <c r="BX184" i="2"/>
  <c r="BW184" i="2" s="1"/>
  <c r="BW180" i="2"/>
  <c r="BW503" i="2" s="1"/>
  <c r="BX503" i="2"/>
  <c r="CV299" i="4"/>
  <c r="CU301" i="4"/>
  <c r="CV301" i="4" s="1"/>
  <c r="CX299" i="4"/>
  <c r="CY298" i="4"/>
  <c r="CY295" i="4" s="1"/>
  <c r="CY296" i="4" s="1"/>
  <c r="CX300" i="4"/>
  <c r="BZ171" i="2"/>
  <c r="BZ153" i="2"/>
  <c r="CK271" i="2"/>
  <c r="CI271" i="2"/>
  <c r="CJ269" i="2"/>
  <c r="DA208" i="3"/>
  <c r="DC208" i="3"/>
  <c r="DE208" i="3" s="1"/>
  <c r="DD208" i="3" s="1"/>
  <c r="DA204" i="4"/>
  <c r="DA205" i="4"/>
  <c r="CD43" i="4"/>
  <c r="CD64" i="4" s="1"/>
  <c r="CB60" i="2"/>
  <c r="CB153" i="2"/>
  <c r="CB171" i="2"/>
  <c r="CB69" i="2"/>
  <c r="BW56" i="2"/>
  <c r="CZ296" i="2"/>
  <c r="DB296" i="2" s="1"/>
  <c r="CX296" i="2"/>
  <c r="CB176" i="2"/>
  <c r="CH66" i="3"/>
  <c r="CG66" i="3"/>
  <c r="CY205" i="4"/>
  <c r="CY203" i="4" s="1"/>
  <c r="CY204" i="4" s="1"/>
  <c r="CX206" i="4"/>
  <c r="CY206" i="4" s="1"/>
  <c r="CA617" i="2"/>
  <c r="CA622" i="2" s="1"/>
  <c r="BZ60" i="2"/>
  <c r="BZ61" i="2" s="1"/>
  <c r="CA55" i="2"/>
  <c r="CA152" i="2"/>
  <c r="CD133" i="4"/>
  <c r="CD134" i="4" s="1"/>
  <c r="DP455" i="2"/>
  <c r="DP148" i="3"/>
  <c r="DQ149" i="3"/>
  <c r="DC19" i="4"/>
  <c r="DA19" i="4"/>
  <c r="DA33" i="4" s="1"/>
  <c r="CZ33" i="4"/>
  <c r="DU241" i="2"/>
  <c r="DU206" i="3"/>
  <c r="U59" i="9"/>
  <c r="CV186" i="2"/>
  <c r="CU186" i="2" s="1"/>
  <c r="CU276" i="2"/>
  <c r="CE304" i="2"/>
  <c r="CB134" i="4"/>
  <c r="CY19" i="4"/>
  <c r="CY33" i="4" s="1"/>
  <c r="CY280" i="2"/>
  <c r="CW276" i="2"/>
  <c r="CH430" i="4"/>
  <c r="BG730" i="4"/>
  <c r="BG933" i="4" s="1"/>
  <c r="CL449" i="4"/>
  <c r="CM423" i="4"/>
  <c r="DL145" i="2"/>
  <c r="DK145" i="2"/>
  <c r="DJ145" i="2" s="1"/>
  <c r="AY384" i="2"/>
  <c r="AY566" i="2"/>
  <c r="CK255" i="2"/>
  <c r="CK252" i="2" s="1"/>
  <c r="CK263" i="2" s="1"/>
  <c r="CK264" i="2" s="1"/>
  <c r="CM256" i="2"/>
  <c r="CF263" i="2"/>
  <c r="CG264" i="2"/>
  <c r="CI255" i="2"/>
  <c r="CJ252" i="2"/>
  <c r="BC384" i="2"/>
  <c r="BD374" i="2"/>
  <c r="BC566" i="2"/>
  <c r="BF374" i="2"/>
  <c r="BC91" i="2"/>
  <c r="BC140" i="2"/>
  <c r="BA140" i="2"/>
  <c r="BA141" i="2" s="1"/>
  <c r="BB374" i="2"/>
  <c r="BA384" i="2"/>
  <c r="BA566" i="2"/>
  <c r="BA91" i="2"/>
  <c r="BV414" i="2"/>
  <c r="BX414" i="2" s="1"/>
  <c r="BT414" i="2"/>
  <c r="CM143" i="2"/>
  <c r="CM146" i="2" s="1"/>
  <c r="CP142" i="2" s="1"/>
  <c r="CM140" i="2"/>
  <c r="CL140" i="2" s="1"/>
  <c r="CL139" i="2"/>
  <c r="CL143" i="2" s="1"/>
  <c r="CL146" i="2" s="1"/>
  <c r="CP138" i="2"/>
  <c r="CN139" i="2"/>
  <c r="CN140" i="2" s="1"/>
  <c r="CN141" i="2" s="1"/>
  <c r="CC513" i="2"/>
  <c r="CC640" i="2"/>
  <c r="CC328" i="2"/>
  <c r="CC236" i="3" s="1"/>
  <c r="CC327" i="2"/>
  <c r="CC120" i="3"/>
  <c r="CC166" i="2"/>
  <c r="CE328" i="2"/>
  <c r="CE236" i="3" s="1"/>
  <c r="CE327" i="2"/>
  <c r="CE120" i="3"/>
  <c r="CE513" i="2"/>
  <c r="CE329" i="2"/>
  <c r="CE640" i="2"/>
  <c r="CH292" i="2"/>
  <c r="CG290" i="2"/>
  <c r="CG304" i="2" s="1"/>
  <c r="CF304" i="2" s="1"/>
  <c r="CF292" i="2"/>
  <c r="CD330" i="2"/>
  <c r="CC329" i="2"/>
  <c r="CD235" i="3"/>
  <c r="CE166" i="2"/>
  <c r="CS332" i="4"/>
  <c r="CS333" i="4" s="1"/>
  <c r="CF139" i="4"/>
  <c r="CF140" i="4" s="1"/>
  <c r="AV91" i="2"/>
  <c r="EQ274" i="2"/>
  <c r="ES274" i="2"/>
  <c r="EU274" i="2" s="1"/>
  <c r="EQ292" i="2"/>
  <c r="ES292" i="2"/>
  <c r="EU292" i="2" s="1"/>
  <c r="EX133" i="3"/>
  <c r="CP217" i="3"/>
  <c r="CN215" i="3"/>
  <c r="AV25" i="2"/>
  <c r="DG396" i="2"/>
  <c r="DG398" i="2" s="1"/>
  <c r="DG11" i="2" s="1"/>
  <c r="CK774" i="4"/>
  <c r="AW25" i="2"/>
  <c r="DY413" i="2"/>
  <c r="EA413" i="2"/>
  <c r="EC413" i="2" s="1"/>
  <c r="AX25" i="2"/>
  <c r="CU148" i="3"/>
  <c r="CV149" i="3"/>
  <c r="CU455" i="2"/>
  <c r="DA78" i="2"/>
  <c r="DC78" i="2"/>
  <c r="DE78" i="2" s="1"/>
  <c r="DD78" i="2" s="1"/>
  <c r="AX400" i="2"/>
  <c r="AX398" i="2"/>
  <c r="AU365" i="2"/>
  <c r="AU223" i="3" s="1"/>
  <c r="AU366" i="2"/>
  <c r="AU224" i="3" s="1"/>
  <c r="AU27" i="2"/>
  <c r="AW14" i="2"/>
  <c r="AW11" i="2"/>
  <c r="AT20" i="2"/>
  <c r="AT140" i="2"/>
  <c r="AT141" i="2" s="1"/>
  <c r="AS27" i="2"/>
  <c r="AS366" i="2"/>
  <c r="AS224" i="3" s="1"/>
  <c r="AS365" i="2"/>
  <c r="AS223" i="3" s="1"/>
  <c r="BA441" i="2"/>
  <c r="AZ410" i="2"/>
  <c r="AZ409" i="2"/>
  <c r="AZ411" i="2"/>
  <c r="AV400" i="2"/>
  <c r="AV140" i="2" s="1"/>
  <c r="AV398" i="2"/>
  <c r="EN125" i="3"/>
  <c r="EO125" i="3" s="1"/>
  <c r="EO78" i="2" s="1"/>
  <c r="EM78" i="2"/>
  <c r="EM182" i="2" s="1"/>
  <c r="EM131" i="3"/>
  <c r="EL132" i="3"/>
  <c r="EL212" i="2" s="1"/>
  <c r="EJ212" i="2"/>
  <c r="EL131" i="3"/>
  <c r="CB5" i="4"/>
  <c r="BZ5" i="4"/>
  <c r="CA5" i="4" s="1"/>
  <c r="CI435" i="4"/>
  <c r="CI436" i="4" s="1"/>
  <c r="BT8" i="4"/>
  <c r="CU283" i="4"/>
  <c r="CV282" i="4"/>
  <c r="CV283" i="4" s="1"/>
  <c r="CZ283" i="4"/>
  <c r="CY280" i="4"/>
  <c r="CY281" i="4" s="1"/>
  <c r="CX282" i="4"/>
  <c r="BF676" i="4"/>
  <c r="BF718" i="4"/>
  <c r="BF921" i="4" s="1"/>
  <c r="CC155" i="4"/>
  <c r="CP774" i="4"/>
  <c r="CH130" i="4"/>
  <c r="CH133" i="4" s="1"/>
  <c r="CH134" i="4" s="1"/>
  <c r="DF664" i="2"/>
  <c r="DG108" i="4"/>
  <c r="DG668" i="2"/>
  <c r="CI71" i="4"/>
  <c r="CI483" i="4"/>
  <c r="CI139" i="4" s="1"/>
  <c r="CI140" i="4" s="1"/>
  <c r="CL421" i="4"/>
  <c r="BX493" i="4"/>
  <c r="CL256" i="4"/>
  <c r="CL469" i="4" s="1"/>
  <c r="CL251" i="4"/>
  <c r="CL252" i="4" s="1"/>
  <c r="CG345" i="4"/>
  <c r="CL26" i="4"/>
  <c r="CL39" i="4" s="1"/>
  <c r="CF133" i="4"/>
  <c r="CF134" i="4" s="1"/>
  <c r="CM25" i="4"/>
  <c r="CM38" i="4" s="1"/>
  <c r="CS214" i="4"/>
  <c r="CI479" i="4"/>
  <c r="CI427" i="4"/>
  <c r="CJ441" i="4"/>
  <c r="CI486" i="4"/>
  <c r="CI146" i="4" s="1"/>
  <c r="CI147" i="4" s="1"/>
  <c r="BX149" i="4"/>
  <c r="BX150" i="4" s="1"/>
  <c r="BV150" i="4"/>
  <c r="BV154" i="4"/>
  <c r="BX491" i="4"/>
  <c r="CJ451" i="4"/>
  <c r="CJ841" i="4"/>
  <c r="CM823" i="4"/>
  <c r="CI823" i="4"/>
  <c r="CF841" i="4"/>
  <c r="CE823" i="4"/>
  <c r="CE841" i="4" s="1"/>
  <c r="CM443" i="4"/>
  <c r="CM464" i="4"/>
  <c r="CM453" i="4"/>
  <c r="CZ387" i="4"/>
  <c r="CJ431" i="4"/>
  <c r="CJ432" i="4" s="1"/>
  <c r="CQ852" i="4"/>
  <c r="CR852" i="4" s="1"/>
  <c r="CV852" i="4"/>
  <c r="CJ342" i="4"/>
  <c r="CJ343" i="4" s="1"/>
  <c r="CO125" i="4"/>
  <c r="CG479" i="4"/>
  <c r="CG480" i="4" s="1"/>
  <c r="CJ21" i="4"/>
  <c r="CL426" i="4"/>
  <c r="CL486" i="4" s="1"/>
  <c r="CL146" i="4" s="1"/>
  <c r="CL147" i="4" s="1"/>
  <c r="CI34" i="4"/>
  <c r="CO25" i="4"/>
  <c r="CO38" i="4" s="1"/>
  <c r="DH232" i="4"/>
  <c r="CK235" i="4"/>
  <c r="CK130" i="4" s="1"/>
  <c r="CK133" i="4" s="1"/>
  <c r="CK238" i="4"/>
  <c r="CI465" i="4"/>
  <c r="CI466" i="4" s="1"/>
  <c r="DK229" i="4"/>
  <c r="DM229" i="4"/>
  <c r="DP320" i="4"/>
  <c r="DP318" i="4"/>
  <c r="DS317" i="4"/>
  <c r="DS395" i="4"/>
  <c r="DS225" i="4"/>
  <c r="DP228" i="4"/>
  <c r="DP226" i="4"/>
  <c r="DM321" i="4"/>
  <c r="CP221" i="4"/>
  <c r="BI686" i="4"/>
  <c r="DB375" i="4"/>
  <c r="DB376" i="4" s="1"/>
  <c r="BW160" i="4"/>
  <c r="BW161" i="4" s="1"/>
  <c r="BW155" i="4"/>
  <c r="CO127" i="4"/>
  <c r="CO128" i="4" s="1"/>
  <c r="CM237" i="4"/>
  <c r="CM238" i="4" s="1"/>
  <c r="DQ395" i="4"/>
  <c r="DF324" i="4"/>
  <c r="DH323" i="4"/>
  <c r="DH324" i="4" s="1"/>
  <c r="DO320" i="4"/>
  <c r="DO318" i="4"/>
  <c r="DQ317" i="4"/>
  <c r="DQ318" i="4" s="1"/>
  <c r="CJ461" i="4"/>
  <c r="CJ462" i="4" s="1"/>
  <c r="DL321" i="4"/>
  <c r="DN320" i="4"/>
  <c r="DO228" i="4"/>
  <c r="DO226" i="4"/>
  <c r="DQ225" i="4"/>
  <c r="DQ226" i="4" s="1"/>
  <c r="DR225" i="4"/>
  <c r="DR395" i="4"/>
  <c r="DR317" i="4"/>
  <c r="DU392" i="4"/>
  <c r="DK321" i="4"/>
  <c r="DL229" i="4"/>
  <c r="DN228" i="4"/>
  <c r="CM433" i="4"/>
  <c r="CM434" i="4" s="1"/>
  <c r="CP209" i="4"/>
  <c r="CP210" i="4" s="1"/>
  <c r="CF489" i="4"/>
  <c r="CF157" i="4" s="1"/>
  <c r="CG157" i="4" s="1"/>
  <c r="EH81" i="4"/>
  <c r="EG82" i="4"/>
  <c r="CR124" i="4"/>
  <c r="CR313" i="4"/>
  <c r="CR315" i="4" s="1"/>
  <c r="CF146" i="4"/>
  <c r="CL21" i="4"/>
  <c r="CG486" i="4"/>
  <c r="CG487" i="4" s="1"/>
  <c r="CM16" i="4"/>
  <c r="CM30" i="4" s="1"/>
  <c r="CL20" i="4"/>
  <c r="CL71" i="4" s="1"/>
  <c r="CJ130" i="4"/>
  <c r="CJ131" i="4" s="1"/>
  <c r="BJ570" i="4"/>
  <c r="BF658" i="4"/>
  <c r="CL840" i="4"/>
  <c r="CL846" i="4" s="1"/>
  <c r="CL847" i="4" s="1"/>
  <c r="CL848" i="4" s="1"/>
  <c r="CL849" i="4" s="1"/>
  <c r="CK822" i="4"/>
  <c r="CL828" i="4"/>
  <c r="CL829" i="4" s="1"/>
  <c r="CL830" i="4" s="1"/>
  <c r="CL831" i="4" s="1"/>
  <c r="CS822" i="4"/>
  <c r="CP840" i="4"/>
  <c r="CP846" i="4" s="1"/>
  <c r="CP847" i="4" s="1"/>
  <c r="CP848" i="4" s="1"/>
  <c r="CP849" i="4" s="1"/>
  <c r="CO822" i="4"/>
  <c r="CP828" i="4"/>
  <c r="CP829" i="4" s="1"/>
  <c r="CP830" i="4" s="1"/>
  <c r="CP831" i="4" s="1"/>
  <c r="CH840" i="4"/>
  <c r="CH846" i="4" s="1"/>
  <c r="CH847" i="4" s="1"/>
  <c r="CH848" i="4" s="1"/>
  <c r="CH849" i="4" s="1"/>
  <c r="CH828" i="4"/>
  <c r="CH829" i="4" s="1"/>
  <c r="CH830" i="4" s="1"/>
  <c r="CH831" i="4" s="1"/>
  <c r="BG741" i="4"/>
  <c r="BG787" i="4" s="1"/>
  <c r="BG950" i="4"/>
  <c r="BG914" i="4"/>
  <c r="BY825" i="4"/>
  <c r="BZ838" i="4"/>
  <c r="BZ843" i="4"/>
  <c r="BZ856" i="4" s="1"/>
  <c r="BJ591" i="4"/>
  <c r="BK569" i="4"/>
  <c r="BV838" i="4"/>
  <c r="BV843" i="4"/>
  <c r="BV856" i="4" s="1"/>
  <c r="CY835" i="4"/>
  <c r="CT835" i="4"/>
  <c r="CU835" i="4" s="1"/>
  <c r="BG675" i="4"/>
  <c r="BG717" i="4" s="1"/>
  <c r="BG920" i="4" s="1"/>
  <c r="BG681" i="4"/>
  <c r="BG723" i="4" s="1"/>
  <c r="BG634" i="4"/>
  <c r="BG682" i="4" s="1"/>
  <c r="BI639" i="4"/>
  <c r="BI627" i="4"/>
  <c r="BI628" i="4" s="1"/>
  <c r="BE735" i="4"/>
  <c r="BE938" i="4"/>
  <c r="BE902" i="4"/>
  <c r="BE700" i="4"/>
  <c r="BF735" i="4"/>
  <c r="BF781" i="4" s="1"/>
  <c r="BF938" i="4"/>
  <c r="BF902" i="4"/>
  <c r="BG663" i="4"/>
  <c r="BG705" i="4" s="1"/>
  <c r="BG908" i="4" s="1"/>
  <c r="BG944" i="4"/>
  <c r="BG945" i="4" s="1"/>
  <c r="BG657" i="4"/>
  <c r="BG699" i="4" s="1"/>
  <c r="BG700" i="4" s="1"/>
  <c r="CD838" i="4"/>
  <c r="CG825" i="4"/>
  <c r="CD843" i="4"/>
  <c r="CD856" i="4" s="1"/>
  <c r="CC825" i="4"/>
  <c r="BF724" i="4"/>
  <c r="BF927" i="4" s="1"/>
  <c r="BF926" i="4"/>
  <c r="BI687" i="4"/>
  <c r="BH675" i="4"/>
  <c r="BH717" i="4" s="1"/>
  <c r="BH920" i="4" s="1"/>
  <c r="BH681" i="4"/>
  <c r="BH723" i="4" s="1"/>
  <c r="BH926" i="4" s="1"/>
  <c r="BH950" i="4"/>
  <c r="BH741" i="4"/>
  <c r="BH787" i="4" s="1"/>
  <c r="BH914" i="4"/>
  <c r="BI669" i="4"/>
  <c r="BI711" i="4" s="1"/>
  <c r="BI585" i="4"/>
  <c r="BI586" i="4" s="1"/>
  <c r="BI729" i="4"/>
  <c r="BF908" i="4"/>
  <c r="BF706" i="4"/>
  <c r="BF909" i="4" s="1"/>
  <c r="BH657" i="4"/>
  <c r="BH699" i="4" s="1"/>
  <c r="BH663" i="4"/>
  <c r="BH705" i="4" s="1"/>
  <c r="BH908" i="4" s="1"/>
  <c r="BH944" i="4"/>
  <c r="BI668" i="4"/>
  <c r="BI710" i="4" s="1"/>
  <c r="BI913" i="4" s="1"/>
  <c r="DD97" i="4"/>
  <c r="DD668" i="2"/>
  <c r="DE96" i="4"/>
  <c r="DG97" i="4"/>
  <c r="DE354" i="4"/>
  <c r="DE355" i="4" s="1"/>
  <c r="DD355" i="4"/>
  <c r="DD378" i="4"/>
  <c r="DE378" i="4" s="1"/>
  <c r="DD359" i="4"/>
  <c r="DD163" i="4"/>
  <c r="DA164" i="4"/>
  <c r="DB163" i="4"/>
  <c r="DB164" i="4" s="1"/>
  <c r="CK256" i="4"/>
  <c r="CK43" i="4" s="1"/>
  <c r="CL130" i="4"/>
  <c r="CL131" i="4" s="1"/>
  <c r="CY360" i="4"/>
  <c r="CY356" i="4"/>
  <c r="CY357" i="4" s="1"/>
  <c r="DA360" i="4"/>
  <c r="DA379" i="4"/>
  <c r="DB359" i="4"/>
  <c r="CL773" i="4"/>
  <c r="CL774" i="4" s="1"/>
  <c r="CX380" i="4"/>
  <c r="CY379" i="4"/>
  <c r="CY380" i="4" s="1"/>
  <c r="DC837" i="4"/>
  <c r="DD837" i="4" s="1"/>
  <c r="DH837" i="4"/>
  <c r="DE747" i="4"/>
  <c r="DE748" i="4" s="1"/>
  <c r="DE749" i="4" s="1"/>
  <c r="DD748" i="4"/>
  <c r="DD749" i="4" s="1"/>
  <c r="DB97" i="4"/>
  <c r="DB668" i="2"/>
  <c r="EO75" i="4"/>
  <c r="EO76" i="4" s="1"/>
  <c r="EP75" i="4"/>
  <c r="EN76" i="4"/>
  <c r="CD11" i="4"/>
  <c r="BI890" i="4"/>
  <c r="BI891" i="4" s="1"/>
  <c r="BH932" i="4"/>
  <c r="DL273" i="2"/>
  <c r="DJ273" i="2"/>
  <c r="BW51" i="4"/>
  <c r="BW6" i="4" s="1"/>
  <c r="BX6" i="4" s="1"/>
  <c r="BW70" i="4"/>
  <c r="BW60" i="4"/>
  <c r="CF471" i="4"/>
  <c r="CF44" i="4"/>
  <c r="CF348" i="4"/>
  <c r="CG347" i="4"/>
  <c r="CG348" i="4" s="1"/>
  <c r="DN504" i="4"/>
  <c r="DN505" i="4"/>
  <c r="CM451" i="4"/>
  <c r="CM326" i="4"/>
  <c r="CA65" i="4"/>
  <c r="CA55" i="4"/>
  <c r="CL432" i="4"/>
  <c r="CJ473" i="4"/>
  <c r="CJ474" i="4" s="1"/>
  <c r="BI727" i="4"/>
  <c r="BI930" i="4" s="1"/>
  <c r="CR760" i="4"/>
  <c r="CR759" i="4"/>
  <c r="CR767" i="4" s="1"/>
  <c r="CR757" i="4"/>
  <c r="CR765" i="4" s="1"/>
  <c r="CR769" i="4"/>
  <c r="CR758" i="4"/>
  <c r="CR766" i="4" s="1"/>
  <c r="CR440" i="4"/>
  <c r="CV185" i="4"/>
  <c r="CV186" i="4" s="1"/>
  <c r="CV189" i="4"/>
  <c r="CL771" i="4"/>
  <c r="BT161" i="4"/>
  <c r="BU160" i="4"/>
  <c r="BU161" i="4" s="1"/>
  <c r="CR262" i="4"/>
  <c r="CR285" i="4"/>
  <c r="CN762" i="4"/>
  <c r="CN768" i="4"/>
  <c r="CN771" i="4" s="1"/>
  <c r="BI884" i="4"/>
  <c r="BI885" i="4" s="1"/>
  <c r="DD264" i="2"/>
  <c r="CM441" i="4"/>
  <c r="CQ757" i="4"/>
  <c r="CQ765" i="4" s="1"/>
  <c r="CQ769" i="4"/>
  <c r="CQ760" i="4"/>
  <c r="CQ759" i="4"/>
  <c r="CQ767" i="4" s="1"/>
  <c r="CQ758" i="4"/>
  <c r="CQ766" i="4" s="1"/>
  <c r="BI878" i="4"/>
  <c r="BI879" i="4" s="1"/>
  <c r="CW192" i="4"/>
  <c r="BZ53" i="4"/>
  <c r="EM213" i="3"/>
  <c r="EO260" i="2"/>
  <c r="EP260" i="2" s="1"/>
  <c r="DD275" i="4"/>
  <c r="DE275" i="4" s="1"/>
  <c r="DA280" i="4"/>
  <c r="DA282" i="4" s="1"/>
  <c r="CL461" i="4"/>
  <c r="CL462" i="4" s="1"/>
  <c r="CL342" i="4"/>
  <c r="CL343" i="4" s="1"/>
  <c r="CI130" i="4"/>
  <c r="BK859" i="4"/>
  <c r="BJ955" i="4"/>
  <c r="BZ491" i="4"/>
  <c r="BZ493" i="4" s="1"/>
  <c r="CA493" i="4" s="1"/>
  <c r="BZ476" i="4"/>
  <c r="CK771" i="4"/>
  <c r="CK770" i="4"/>
  <c r="CU261" i="4"/>
  <c r="CU337" i="4"/>
  <c r="CU339" i="4" s="1"/>
  <c r="CU450" i="4" s="1"/>
  <c r="CU332" i="4"/>
  <c r="CU334" i="4" s="1"/>
  <c r="CC472" i="4"/>
  <c r="CD471" i="4"/>
  <c r="CD472" i="4" s="1"/>
  <c r="CC475" i="4"/>
  <c r="CD475" i="4" s="1"/>
  <c r="BY150" i="3"/>
  <c r="BY152" i="3" s="1"/>
  <c r="BZ150" i="3" s="1"/>
  <c r="BX49" i="4"/>
  <c r="BX60" i="4" s="1"/>
  <c r="CP409" i="4"/>
  <c r="CP410" i="4" s="1"/>
  <c r="CA149" i="4"/>
  <c r="CA150" i="4" s="1"/>
  <c r="BZ154" i="4"/>
  <c r="BZ150" i="4"/>
  <c r="CO344" i="4"/>
  <c r="CO347" i="4" s="1"/>
  <c r="CO422" i="4"/>
  <c r="CO441" i="4" s="1"/>
  <c r="CO263" i="4"/>
  <c r="CO16" i="4"/>
  <c r="CO30" i="4" s="1"/>
  <c r="BH879" i="4"/>
  <c r="CP262" i="4"/>
  <c r="CP263" i="4" s="1"/>
  <c r="CL347" i="4"/>
  <c r="CL44" i="4" s="1"/>
  <c r="DB275" i="4"/>
  <c r="DB276" i="4" s="1"/>
  <c r="BH957" i="4"/>
  <c r="CP405" i="4"/>
  <c r="CP406" i="4" s="1"/>
  <c r="CN237" i="4"/>
  <c r="CN235" i="4" s="1"/>
  <c r="CV759" i="4"/>
  <c r="CV767" i="4" s="1"/>
  <c r="CU761" i="4"/>
  <c r="CV757" i="4"/>
  <c r="CV765" i="4" s="1"/>
  <c r="CY761" i="4"/>
  <c r="CV758" i="4"/>
  <c r="CV766" i="4" s="1"/>
  <c r="CV760" i="4"/>
  <c r="CV769" i="4"/>
  <c r="CT761" i="4"/>
  <c r="DG252" i="2"/>
  <c r="DH263" i="2"/>
  <c r="Y55" i="9" s="1"/>
  <c r="CZ191" i="4"/>
  <c r="CZ189" i="4"/>
  <c r="CV191" i="4"/>
  <c r="CV192" i="4" s="1"/>
  <c r="CU192" i="4"/>
  <c r="CU284" i="4"/>
  <c r="CU124" i="4" s="1"/>
  <c r="BZ68" i="4"/>
  <c r="BZ58" i="4"/>
  <c r="BZ49" i="4"/>
  <c r="CA49" i="4" s="1"/>
  <c r="BZ52" i="4"/>
  <c r="CO768" i="4"/>
  <c r="CO771" i="4" s="1"/>
  <c r="CO762" i="4"/>
  <c r="CX281" i="4"/>
  <c r="CX260" i="4"/>
  <c r="CY260" i="4" s="1"/>
  <c r="CY261" i="4" s="1"/>
  <c r="CL423" i="4"/>
  <c r="CL451" i="4"/>
  <c r="CP771" i="4"/>
  <c r="CP770" i="4"/>
  <c r="BH896" i="4"/>
  <c r="CS285" i="4"/>
  <c r="CS762" i="4"/>
  <c r="CS768" i="4"/>
  <c r="CS773" i="4" s="1"/>
  <c r="CS774" i="4" s="1"/>
  <c r="CS337" i="4"/>
  <c r="CS338" i="4" s="1"/>
  <c r="BH891" i="4"/>
  <c r="CP315" i="4"/>
  <c r="CA42" i="4"/>
  <c r="CA53" i="4" s="1"/>
  <c r="CC65" i="4"/>
  <c r="CC55" i="4"/>
  <c r="CC42" i="4"/>
  <c r="CC47" i="4"/>
  <c r="CD44" i="4"/>
  <c r="CI347" i="4"/>
  <c r="CJ347" i="4" s="1"/>
  <c r="CJ348" i="4" s="1"/>
  <c r="CL441" i="4"/>
  <c r="DC188" i="4"/>
  <c r="DF183" i="4"/>
  <c r="CT580" i="4"/>
  <c r="CU580" i="4" s="1"/>
  <c r="CY580" i="4"/>
  <c r="DD183" i="4"/>
  <c r="DA188" i="4"/>
  <c r="DB188" i="4" s="1"/>
  <c r="CY206" i="3"/>
  <c r="CZ207" i="3"/>
  <c r="BR481" i="2"/>
  <c r="BR482" i="2" s="1"/>
  <c r="BR478" i="2"/>
  <c r="BU476" i="2"/>
  <c r="BU477" i="2" s="1"/>
  <c r="BT43" i="2"/>
  <c r="BT476" i="2" s="1"/>
  <c r="CT334" i="4"/>
  <c r="BJ876" i="4"/>
  <c r="CA42" i="2"/>
  <c r="BZ33" i="2"/>
  <c r="CN30" i="4"/>
  <c r="BN811" i="4"/>
  <c r="BM817" i="4"/>
  <c r="BM883" i="4" s="1"/>
  <c r="BM812" i="4"/>
  <c r="CP400" i="4"/>
  <c r="DL416" i="2"/>
  <c r="BH670" i="4"/>
  <c r="BI670" i="4" s="1"/>
  <c r="BH709" i="4"/>
  <c r="CN15" i="4"/>
  <c r="CN253" i="4"/>
  <c r="CN420" i="4"/>
  <c r="CP170" i="4"/>
  <c r="CP171" i="4" s="1"/>
  <c r="CN171" i="4"/>
  <c r="BG733" i="4"/>
  <c r="BG936" i="4"/>
  <c r="BG900" i="4"/>
  <c r="CJ430" i="4"/>
  <c r="DC362" i="4"/>
  <c r="CZ366" i="4"/>
  <c r="BY630" i="2"/>
  <c r="BY631" i="2" s="1"/>
  <c r="BY305" i="2"/>
  <c r="CL430" i="4"/>
  <c r="CL435" i="4"/>
  <c r="CY853" i="4"/>
  <c r="CW853" i="4" s="1"/>
  <c r="CX853" i="4" s="1"/>
  <c r="CQ169" i="4"/>
  <c r="CQ246" i="4"/>
  <c r="CQ241" i="4"/>
  <c r="CS168" i="4"/>
  <c r="CS169" i="4" s="1"/>
  <c r="DA362" i="4"/>
  <c r="DB362" i="4" s="1"/>
  <c r="CX366" i="4"/>
  <c r="CY366" i="4" s="1"/>
  <c r="CT90" i="2"/>
  <c r="CU85" i="2"/>
  <c r="BT475" i="2"/>
  <c r="BT53" i="2"/>
  <c r="CX306" i="4"/>
  <c r="CX307" i="4"/>
  <c r="CX309" i="4" s="1"/>
  <c r="CY309" i="4" s="1"/>
  <c r="CQ440" i="4"/>
  <c r="CS334" i="4"/>
  <c r="CQ335" i="4"/>
  <c r="BS652" i="4"/>
  <c r="CK474" i="4"/>
  <c r="CA152" i="3"/>
  <c r="CB150" i="3" s="1"/>
  <c r="CT313" i="4"/>
  <c r="CT285" i="4"/>
  <c r="CT124" i="4"/>
  <c r="CT262" i="4"/>
  <c r="CZ215" i="4"/>
  <c r="CZ217" i="4" s="1"/>
  <c r="CZ214" i="4"/>
  <c r="CR222" i="4"/>
  <c r="CR221" i="4"/>
  <c r="CR237" i="4" s="1"/>
  <c r="BK889" i="4"/>
  <c r="CR448" i="4"/>
  <c r="CP643" i="4"/>
  <c r="CJ300" i="2"/>
  <c r="CH297" i="2"/>
  <c r="CP450" i="4"/>
  <c r="CN451" i="4"/>
  <c r="DC365" i="2"/>
  <c r="DC366" i="2"/>
  <c r="DC224" i="3" s="1"/>
  <c r="BJ864" i="4"/>
  <c r="BI632" i="4"/>
  <c r="BI620" i="4"/>
  <c r="CD645" i="4"/>
  <c r="EN274" i="2"/>
  <c r="BF903" i="4"/>
  <c r="CR36" i="4"/>
  <c r="CO36" i="4"/>
  <c r="BN816" i="4"/>
  <c r="BO810" i="4"/>
  <c r="CU310" i="4"/>
  <c r="CV310" i="4" s="1"/>
  <c r="CU312" i="4"/>
  <c r="CV312" i="4" s="1"/>
  <c r="CV309" i="4"/>
  <c r="CX180" i="4"/>
  <c r="CX208" i="4"/>
  <c r="CX179" i="4"/>
  <c r="BH628" i="4"/>
  <c r="CN119" i="4"/>
  <c r="CN23" i="4"/>
  <c r="CQ119" i="4"/>
  <c r="CN127" i="4"/>
  <c r="CO449" i="4"/>
  <c r="CO454" i="4"/>
  <c r="BI673" i="4"/>
  <c r="BI679" i="4"/>
  <c r="BI721" i="4" s="1"/>
  <c r="BI924" i="4" s="1"/>
  <c r="BU693" i="4"/>
  <c r="CQ403" i="4"/>
  <c r="CQ433" i="4"/>
  <c r="CQ416" i="4"/>
  <c r="BV478" i="2"/>
  <c r="CT180" i="4"/>
  <c r="CT208" i="4"/>
  <c r="CV208" i="4" s="1"/>
  <c r="CT179" i="4"/>
  <c r="CT168" i="4"/>
  <c r="CV178" i="4"/>
  <c r="CL299" i="2"/>
  <c r="CN299" i="2"/>
  <c r="CH3" i="4"/>
  <c r="CH34" i="4"/>
  <c r="CH30" i="2"/>
  <c r="CJ20" i="4"/>
  <c r="CH71" i="4"/>
  <c r="CB53" i="4"/>
  <c r="CN38" i="4"/>
  <c r="CM23" i="4"/>
  <c r="CM36" i="4" s="1"/>
  <c r="CK36" i="4"/>
  <c r="CK26" i="4"/>
  <c r="CT853" i="4"/>
  <c r="CU853" i="4" s="1"/>
  <c r="BI667" i="4"/>
  <c r="BI709" i="4" s="1"/>
  <c r="BI912" i="4" s="1"/>
  <c r="EM296" i="4"/>
  <c r="BH730" i="4"/>
  <c r="CB476" i="4"/>
  <c r="CB491" i="4"/>
  <c r="CB493" i="4" s="1"/>
  <c r="DH81" i="4"/>
  <c r="DG82" i="4"/>
  <c r="BU691" i="4"/>
  <c r="CE466" i="4"/>
  <c r="CG465" i="4"/>
  <c r="CG466" i="4" s="1"/>
  <c r="BG734" i="4"/>
  <c r="BG780" i="4" s="1"/>
  <c r="BG937" i="4"/>
  <c r="BG901" i="4"/>
  <c r="CG252" i="4"/>
  <c r="CG254" i="4"/>
  <c r="BU649" i="4"/>
  <c r="BJ625" i="4"/>
  <c r="BJ637" i="4"/>
  <c r="BJ685" i="4" s="1"/>
  <c r="CH44" i="4"/>
  <c r="CH471" i="4"/>
  <c r="CH348" i="4"/>
  <c r="BY161" i="4"/>
  <c r="DF301" i="4"/>
  <c r="DF273" i="4"/>
  <c r="BT287" i="2"/>
  <c r="BT630" i="2" s="1"/>
  <c r="BT631" i="2" s="1"/>
  <c r="BU630" i="2"/>
  <c r="BU631" i="2" s="1"/>
  <c r="BU305" i="2"/>
  <c r="BJ882" i="4"/>
  <c r="BV650" i="4"/>
  <c r="BK751" i="4"/>
  <c r="BJ754" i="4"/>
  <c r="BY70" i="4"/>
  <c r="BY60" i="4"/>
  <c r="BY51" i="4"/>
  <c r="BY6" i="4" s="1"/>
  <c r="CN347" i="4"/>
  <c r="CN431" i="4"/>
  <c r="CN329" i="4"/>
  <c r="CP328" i="4"/>
  <c r="DG270" i="4"/>
  <c r="CD149" i="4"/>
  <c r="CD150" i="4" s="1"/>
  <c r="CB150" i="4"/>
  <c r="CB154" i="4"/>
  <c r="CO439" i="4"/>
  <c r="CO444" i="4"/>
  <c r="CO445" i="4" s="1"/>
  <c r="DD383" i="4"/>
  <c r="DA305" i="4"/>
  <c r="DA213" i="4"/>
  <c r="DA386" i="4"/>
  <c r="CO464" i="4"/>
  <c r="CR17" i="4"/>
  <c r="CS17" i="4" s="1"/>
  <c r="CR424" i="4"/>
  <c r="CS424" i="4" s="1"/>
  <c r="CR409" i="4"/>
  <c r="CR452" i="4" s="1"/>
  <c r="CR352" i="4"/>
  <c r="CR405" i="4"/>
  <c r="CR442" i="4" s="1"/>
  <c r="CR413" i="4"/>
  <c r="CS413" i="4" s="1"/>
  <c r="BH697" i="4"/>
  <c r="CK56" i="4"/>
  <c r="CK66" i="4"/>
  <c r="BW152" i="3"/>
  <c r="CZ306" i="4"/>
  <c r="CZ307" i="4"/>
  <c r="CZ309" i="4" s="1"/>
  <c r="CZ312" i="4" s="1"/>
  <c r="BV634" i="2"/>
  <c r="BV636" i="2" s="1"/>
  <c r="BV639" i="2" s="1"/>
  <c r="BV642" i="2" s="1"/>
  <c r="BV644" i="2" s="1"/>
  <c r="BV346" i="2" s="1"/>
  <c r="BV307" i="2"/>
  <c r="BV324" i="2" s="1"/>
  <c r="CE456" i="4"/>
  <c r="CG454" i="4"/>
  <c r="CG456" i="4" s="1"/>
  <c r="CN423" i="4"/>
  <c r="CE445" i="4"/>
  <c r="CG444" i="4"/>
  <c r="CG445" i="4" s="1"/>
  <c r="CU218" i="4"/>
  <c r="CV218" i="4" s="1"/>
  <c r="CU220" i="4"/>
  <c r="CV220" i="4" s="1"/>
  <c r="CV222" i="4" s="1"/>
  <c r="CO421" i="4"/>
  <c r="CR421" i="4"/>
  <c r="CI66" i="4"/>
  <c r="CI56" i="4"/>
  <c r="BG918" i="4"/>
  <c r="CE33" i="2"/>
  <c r="CE42" i="2" s="1"/>
  <c r="CE475" i="2" s="1"/>
  <c r="CE340" i="2"/>
  <c r="CE342" i="2"/>
  <c r="CE339" i="2"/>
  <c r="CE333" i="2"/>
  <c r="CE282" i="2"/>
  <c r="CE276" i="2" s="1"/>
  <c r="CE169" i="3"/>
  <c r="CE165" i="3" s="1"/>
  <c r="CE179" i="3"/>
  <c r="CE165" i="2"/>
  <c r="CE170" i="3"/>
  <c r="CE166" i="3" s="1"/>
  <c r="CE171" i="3"/>
  <c r="CE167" i="3" s="1"/>
  <c r="CE341" i="2"/>
  <c r="CE31" i="2"/>
  <c r="CE335" i="2"/>
  <c r="CE150" i="2"/>
  <c r="CE334" i="2"/>
  <c r="CE163" i="2"/>
  <c r="CE162" i="2"/>
  <c r="AB397" i="2"/>
  <c r="AB398" i="2" s="1"/>
  <c r="AA409" i="2"/>
  <c r="AA397" i="2" s="1"/>
  <c r="BI867" i="4"/>
  <c r="BK568" i="4"/>
  <c r="BJ590" i="4"/>
  <c r="BN504" i="2"/>
  <c r="BN499" i="2"/>
  <c r="BN497" i="2"/>
  <c r="BO498" i="2"/>
  <c r="BN500" i="2"/>
  <c r="BJ858" i="4"/>
  <c r="BI861" i="4"/>
  <c r="BI954" i="4"/>
  <c r="BF779" i="4"/>
  <c r="CG136" i="4"/>
  <c r="CG137" i="4" s="1"/>
  <c r="CK421" i="4"/>
  <c r="CM420" i="4"/>
  <c r="CM421" i="4" s="1"/>
  <c r="CK426" i="4"/>
  <c r="CE436" i="4"/>
  <c r="CG435" i="4"/>
  <c r="CG436" i="4" s="1"/>
  <c r="CY855" i="4"/>
  <c r="CW855" i="4" s="1"/>
  <c r="CX855" i="4" s="1"/>
  <c r="BH740" i="4"/>
  <c r="BH786" i="4" s="1"/>
  <c r="BH949" i="4"/>
  <c r="BH913" i="4"/>
  <c r="AO142" i="2"/>
  <c r="AO143" i="2" s="1"/>
  <c r="AO146" i="2" s="1"/>
  <c r="AP142" i="2" s="1"/>
  <c r="AP143" i="2" s="1"/>
  <c r="AP146" i="2" s="1"/>
  <c r="AQ142" i="2"/>
  <c r="AQ143" i="2" s="1"/>
  <c r="AQ146" i="2" s="1"/>
  <c r="CQ315" i="4"/>
  <c r="CQ328" i="4"/>
  <c r="CQ326" i="4" s="1"/>
  <c r="CW310" i="4"/>
  <c r="DA178" i="4"/>
  <c r="DD175" i="4"/>
  <c r="CH465" i="4"/>
  <c r="CJ459" i="4"/>
  <c r="CJ460" i="4" s="1"/>
  <c r="CH460" i="4"/>
  <c r="CN434" i="4"/>
  <c r="CZ175" i="4"/>
  <c r="CW178" i="4"/>
  <c r="BS752" i="4"/>
  <c r="BX336" i="2"/>
  <c r="BW276" i="2"/>
  <c r="BW336" i="2" s="1"/>
  <c r="BX186" i="2"/>
  <c r="BX287" i="2"/>
  <c r="CZ86" i="2"/>
  <c r="CZ460" i="2"/>
  <c r="CZ464" i="2" s="1"/>
  <c r="CK128" i="4"/>
  <c r="CM127" i="4"/>
  <c r="CM128" i="4" s="1"/>
  <c r="CQ425" i="4"/>
  <c r="CP215" i="4"/>
  <c r="CP214" i="4"/>
  <c r="CW218" i="4"/>
  <c r="CW220" i="4"/>
  <c r="CQ170" i="4"/>
  <c r="CQ181" i="4"/>
  <c r="CS180" i="4"/>
  <c r="CS181" i="4" s="1"/>
  <c r="CQ209" i="4"/>
  <c r="CQ210" i="4" s="1"/>
  <c r="CS220" i="4"/>
  <c r="CS222" i="4" s="1"/>
  <c r="BS483" i="2"/>
  <c r="BS484" i="2" s="1"/>
  <c r="CG131" i="4"/>
  <c r="CG377" i="4"/>
  <c r="CT17" i="4"/>
  <c r="CT409" i="4"/>
  <c r="CT352" i="4"/>
  <c r="CT405" i="4"/>
  <c r="CT413" i="4"/>
  <c r="CT424" i="4"/>
  <c r="BH688" i="4"/>
  <c r="CH439" i="4"/>
  <c r="CJ438" i="4"/>
  <c r="CJ439" i="4" s="1"/>
  <c r="CH444" i="4"/>
  <c r="DB271" i="4"/>
  <c r="DB267" i="4"/>
  <c r="DB268" i="4" s="1"/>
  <c r="CY836" i="4"/>
  <c r="CW836" i="4" s="1"/>
  <c r="CX836" i="4" s="1"/>
  <c r="CR390" i="4"/>
  <c r="CR402" i="4"/>
  <c r="CR400" i="4" s="1"/>
  <c r="CS400" i="4" s="1"/>
  <c r="CQ450" i="4"/>
  <c r="CS339" i="4"/>
  <c r="BJ860" i="4"/>
  <c r="BI956" i="4"/>
  <c r="CK432" i="4"/>
  <c r="CM431" i="4"/>
  <c r="CM432" i="4" s="1"/>
  <c r="CW85" i="2"/>
  <c r="CX86" i="2"/>
  <c r="EM73" i="3"/>
  <c r="EM75" i="3" s="1"/>
  <c r="EO278" i="2"/>
  <c r="EP278" i="2" s="1"/>
  <c r="CJ66" i="4"/>
  <c r="CJ56" i="4"/>
  <c r="CH252" i="4"/>
  <c r="CJ251" i="4"/>
  <c r="CF842" i="4"/>
  <c r="CE824" i="4"/>
  <c r="CE842" i="4" s="1"/>
  <c r="EM338" i="4"/>
  <c r="BK866" i="4"/>
  <c r="CO416" i="4"/>
  <c r="CO433" i="4"/>
  <c r="CO434" i="4" s="1"/>
  <c r="CO403" i="4"/>
  <c r="DF348" i="2"/>
  <c r="CQ452" i="4"/>
  <c r="BG739" i="4"/>
  <c r="BG785" i="4" s="1"/>
  <c r="BG948" i="4"/>
  <c r="BG712" i="4"/>
  <c r="BG912" i="4"/>
  <c r="CT390" i="4"/>
  <c r="CT402" i="4"/>
  <c r="CT400" i="4" s="1"/>
  <c r="EP78" i="4"/>
  <c r="EN79" i="4"/>
  <c r="CO453" i="4"/>
  <c r="CH449" i="4"/>
  <c r="CJ448" i="4"/>
  <c r="CJ449" i="4" s="1"/>
  <c r="CH454" i="4"/>
  <c r="CO431" i="4"/>
  <c r="CO329" i="4"/>
  <c r="CO326" i="4"/>
  <c r="CO130" i="4" s="1"/>
  <c r="DF383" i="4"/>
  <c r="DC213" i="4"/>
  <c r="DC386" i="4"/>
  <c r="DC305" i="4"/>
  <c r="BK872" i="4"/>
  <c r="DD348" i="2"/>
  <c r="DE222" i="3"/>
  <c r="BZ339" i="2"/>
  <c r="BZ341" i="2"/>
  <c r="BZ165" i="2"/>
  <c r="BZ340" i="2"/>
  <c r="BZ342" i="2"/>
  <c r="BZ175" i="2"/>
  <c r="BZ168" i="2"/>
  <c r="BZ170" i="3"/>
  <c r="BZ166" i="3" s="1"/>
  <c r="BZ31" i="2"/>
  <c r="BZ334" i="2"/>
  <c r="BZ169" i="3"/>
  <c r="BZ165" i="3" s="1"/>
  <c r="BZ150" i="2"/>
  <c r="BZ335" i="2"/>
  <c r="BZ333" i="2"/>
  <c r="BZ171" i="3"/>
  <c r="BZ167" i="3" s="1"/>
  <c r="BZ163" i="2"/>
  <c r="BZ161" i="2"/>
  <c r="BZ73" i="2"/>
  <c r="BZ160" i="2"/>
  <c r="BZ69" i="2"/>
  <c r="BZ162" i="2"/>
  <c r="BZ337" i="2"/>
  <c r="BZ11" i="4"/>
  <c r="CN326" i="4"/>
  <c r="BL567" i="4"/>
  <c r="BK589" i="4"/>
  <c r="BM871" i="4"/>
  <c r="CO251" i="4"/>
  <c r="CO252" i="4" s="1"/>
  <c r="CO459" i="4"/>
  <c r="CK448" i="4"/>
  <c r="CM248" i="4"/>
  <c r="CZ281" i="4"/>
  <c r="CZ260" i="4"/>
  <c r="BH715" i="4"/>
  <c r="DC225" i="3"/>
  <c r="DC221" i="2"/>
  <c r="DC222" i="2" s="1"/>
  <c r="CG30" i="2"/>
  <c r="CG337" i="2" s="1"/>
  <c r="CG71" i="4"/>
  <c r="CG34" i="4"/>
  <c r="AC411" i="2"/>
  <c r="AE416" i="2"/>
  <c r="AC410" i="2"/>
  <c r="AC409" i="2"/>
  <c r="AC397" i="2" s="1"/>
  <c r="CX70" i="2"/>
  <c r="CX460" i="2" s="1"/>
  <c r="CX464" i="2" s="1"/>
  <c r="CY460" i="2"/>
  <c r="CY464" i="2" s="1"/>
  <c r="DY190" i="2"/>
  <c r="BS7" i="4"/>
  <c r="CH257" i="4"/>
  <c r="CH43" i="4"/>
  <c r="CH469" i="4"/>
  <c r="CJ256" i="4"/>
  <c r="CJ257" i="4" s="1"/>
  <c r="CK20" i="4"/>
  <c r="CM15" i="4"/>
  <c r="CM29" i="4" s="1"/>
  <c r="CK29" i="4"/>
  <c r="CK21" i="4"/>
  <c r="CG66" i="4"/>
  <c r="CG56" i="4"/>
  <c r="CT221" i="4"/>
  <c r="CT222" i="4"/>
  <c r="CQ16" i="4"/>
  <c r="CQ344" i="4"/>
  <c r="CQ263" i="4"/>
  <c r="CQ422" i="4"/>
  <c r="BQ477" i="2"/>
  <c r="CP413" i="4"/>
  <c r="CP414" i="4" s="1"/>
  <c r="CP440" i="4"/>
  <c r="CN441" i="4"/>
  <c r="CV854" i="4"/>
  <c r="CT854" i="4" s="1"/>
  <c r="CU854" i="4" s="1"/>
  <c r="CL45" i="4"/>
  <c r="CM45" i="4" s="1"/>
  <c r="CL473" i="4"/>
  <c r="CL474" i="4" s="1"/>
  <c r="CL417" i="4"/>
  <c r="BX475" i="2"/>
  <c r="BW42" i="2"/>
  <c r="BX53" i="2"/>
  <c r="BX43" i="2" s="1"/>
  <c r="CJ842" i="4"/>
  <c r="CM824" i="4"/>
  <c r="CI824" i="4"/>
  <c r="CO5" i="3"/>
  <c r="CO11" i="3" s="1"/>
  <c r="CO156" i="2"/>
  <c r="CO173" i="2"/>
  <c r="CO344" i="2"/>
  <c r="CO202" i="3"/>
  <c r="BJ870" i="4"/>
  <c r="BI873" i="4"/>
  <c r="CN453" i="4"/>
  <c r="CP452" i="4"/>
  <c r="BL753" i="4"/>
  <c r="CP402" i="4"/>
  <c r="CP403" i="4" s="1"/>
  <c r="DG20" i="2"/>
  <c r="DH400" i="2"/>
  <c r="DH20" i="2" s="1"/>
  <c r="I16" i="9" s="1"/>
  <c r="DH185" i="2"/>
  <c r="Y28" i="9" s="1"/>
  <c r="DG266" i="2"/>
  <c r="DH614" i="2"/>
  <c r="CY362" i="4"/>
  <c r="CY363" i="4" s="1"/>
  <c r="CU170" i="4"/>
  <c r="CU118" i="4"/>
  <c r="CU209" i="4"/>
  <c r="CU181" i="4"/>
  <c r="BM515" i="2"/>
  <c r="BN514" i="2"/>
  <c r="DH834" i="4"/>
  <c r="EI255" i="2"/>
  <c r="EH256" i="2"/>
  <c r="EJ256" i="2"/>
  <c r="CK343" i="4"/>
  <c r="CT578" i="4"/>
  <c r="CU578" i="4" s="1"/>
  <c r="CY578" i="4"/>
  <c r="CQ463" i="4"/>
  <c r="CQ442" i="4"/>
  <c r="BW149" i="3"/>
  <c r="BV148" i="3"/>
  <c r="BV455" i="2"/>
  <c r="BV480" i="2"/>
  <c r="BV481" i="2" s="1"/>
  <c r="CG484" i="4"/>
  <c r="CX215" i="4"/>
  <c r="CX217" i="4" s="1"/>
  <c r="CY217" i="4" s="1"/>
  <c r="CX214" i="4"/>
  <c r="CK438" i="4"/>
  <c r="CM243" i="4"/>
  <c r="CM244" i="4" s="1"/>
  <c r="CK244" i="4"/>
  <c r="CP246" i="4"/>
  <c r="CP247" i="4" s="1"/>
  <c r="CN248" i="4"/>
  <c r="BU651" i="4"/>
  <c r="CI470" i="4"/>
  <c r="BV72" i="4"/>
  <c r="BV62" i="4"/>
  <c r="CW284" i="4"/>
  <c r="DU224" i="2"/>
  <c r="DS226" i="2"/>
  <c r="CN342" i="4"/>
  <c r="CN461" i="4"/>
  <c r="CO29" i="4"/>
  <c r="CR29" i="4"/>
  <c r="CH39" i="4"/>
  <c r="CJ26" i="4"/>
  <c r="CJ39" i="4" s="1"/>
  <c r="DQ270" i="2"/>
  <c r="EB178" i="3"/>
  <c r="EC178" i="3" s="1"/>
  <c r="EA190" i="2"/>
  <c r="BT186" i="2"/>
  <c r="CE47" i="4"/>
  <c r="CG43" i="4"/>
  <c r="CE64" i="4"/>
  <c r="CE42" i="4"/>
  <c r="CE54" i="4"/>
  <c r="CM429" i="4"/>
  <c r="CK430" i="4"/>
  <c r="CK435" i="4"/>
  <c r="BM865" i="4"/>
  <c r="CQ5" i="3"/>
  <c r="CQ11" i="3" s="1"/>
  <c r="CQ156" i="2"/>
  <c r="CQ173" i="2"/>
  <c r="CQ344" i="2"/>
  <c r="CQ91" i="2"/>
  <c r="CR91" i="2" s="1"/>
  <c r="CQ202" i="3"/>
  <c r="CR90" i="2"/>
  <c r="CN45" i="4"/>
  <c r="CN417" i="4"/>
  <c r="CN473" i="4"/>
  <c r="DF69" i="3"/>
  <c r="DC70" i="2"/>
  <c r="CP307" i="4"/>
  <c r="CP306" i="4"/>
  <c r="DA273" i="4"/>
  <c r="DB272" i="4"/>
  <c r="DB273" i="4" s="1"/>
  <c r="CL460" i="4"/>
  <c r="CD282" i="2"/>
  <c r="CD33" i="2"/>
  <c r="CD334" i="2"/>
  <c r="CD342" i="2"/>
  <c r="CD169" i="3"/>
  <c r="CD165" i="3" s="1"/>
  <c r="CD340" i="2"/>
  <c r="CD165" i="2"/>
  <c r="CD341" i="2"/>
  <c r="CD171" i="3"/>
  <c r="CD167" i="3" s="1"/>
  <c r="CC30" i="2"/>
  <c r="CE168" i="2" s="1"/>
  <c r="CD179" i="3"/>
  <c r="CD339" i="2"/>
  <c r="CD335" i="2"/>
  <c r="CD150" i="2"/>
  <c r="CD31" i="2"/>
  <c r="CD333" i="2"/>
  <c r="CD73" i="2"/>
  <c r="CD161" i="2"/>
  <c r="CD163" i="2"/>
  <c r="CD162" i="2"/>
  <c r="CD337" i="2"/>
  <c r="CT339" i="4"/>
  <c r="CX387" i="4"/>
  <c r="CY387" i="4" s="1"/>
  <c r="CO443" i="4"/>
  <c r="CH486" i="4"/>
  <c r="CH479" i="4"/>
  <c r="CH483" i="4"/>
  <c r="CH427" i="4"/>
  <c r="CJ426" i="4"/>
  <c r="CJ427" i="4" s="1"/>
  <c r="CP241" i="4"/>
  <c r="CP242" i="4" s="1"/>
  <c r="CN243" i="4"/>
  <c r="CP17" i="4"/>
  <c r="BK819" i="4"/>
  <c r="BL813" i="4"/>
  <c r="BL819" i="4" s="1"/>
  <c r="CW332" i="4"/>
  <c r="CW337" i="4"/>
  <c r="CW261" i="4"/>
  <c r="BJ888" i="4"/>
  <c r="BK877" i="4"/>
  <c r="BJ895" i="4"/>
  <c r="CK348" i="4"/>
  <c r="CK471" i="4"/>
  <c r="CK44" i="4"/>
  <c r="CA166" i="3"/>
  <c r="CB170" i="3"/>
  <c r="BZ282" i="2"/>
  <c r="CA276" i="2"/>
  <c r="BJ583" i="4"/>
  <c r="CP424" i="4"/>
  <c r="CP425" i="4" s="1"/>
  <c r="BG949" i="4"/>
  <c r="BG740" i="4"/>
  <c r="BG786" i="4" s="1"/>
  <c r="BG913" i="4"/>
  <c r="CG91" i="3"/>
  <c r="CF297" i="2"/>
  <c r="DF275" i="4"/>
  <c r="DC280" i="4"/>
  <c r="DC282" i="4" s="1"/>
  <c r="CG3" i="4"/>
  <c r="CE11" i="4"/>
  <c r="DE69" i="3"/>
  <c r="DB70" i="2"/>
  <c r="DA69" i="3"/>
  <c r="BU62" i="4"/>
  <c r="BU72" i="4"/>
  <c r="CN443" i="4"/>
  <c r="CP442" i="4"/>
  <c r="CK459" i="4"/>
  <c r="CM253" i="4"/>
  <c r="CK251" i="4"/>
  <c r="CV383" i="4"/>
  <c r="BI728" i="4"/>
  <c r="BI931" i="4" s="1"/>
  <c r="BG931" i="4"/>
  <c r="EL75" i="3"/>
  <c r="EF300" i="2"/>
  <c r="BA224" i="2"/>
  <c r="BA226" i="2" s="1"/>
  <c r="BB224" i="2" s="1"/>
  <c r="BC224" i="2"/>
  <c r="BC226" i="2" s="1"/>
  <c r="AY226" i="2"/>
  <c r="CQ125" i="4"/>
  <c r="CQ25" i="4"/>
  <c r="CQ190" i="4"/>
  <c r="CQ127" i="4"/>
  <c r="CN464" i="4"/>
  <c r="CP463" i="4"/>
  <c r="BH632" i="4"/>
  <c r="BH620" i="4"/>
  <c r="BH586" i="4"/>
  <c r="BI894" i="4"/>
  <c r="DD272" i="4"/>
  <c r="DD271" i="4"/>
  <c r="DE270" i="4"/>
  <c r="BW644" i="4"/>
  <c r="CR210" i="4"/>
  <c r="DH377" i="2"/>
  <c r="DH385" i="2" s="1"/>
  <c r="DH396" i="2"/>
  <c r="DH398" i="2" s="1"/>
  <c r="DK268" i="2"/>
  <c r="DI266" i="2"/>
  <c r="CW579" i="4"/>
  <c r="CX579" i="4" s="1"/>
  <c r="DB579" i="4"/>
  <c r="CW389" i="4"/>
  <c r="CW367" i="4"/>
  <c r="CW351" i="4"/>
  <c r="DC834" i="4"/>
  <c r="DD834" i="4" s="1"/>
  <c r="CA476" i="4"/>
  <c r="CA491" i="4"/>
  <c r="BN692" i="4"/>
  <c r="CO238" i="4"/>
  <c r="CO429" i="4"/>
  <c r="CO256" i="4"/>
  <c r="CK462" i="4"/>
  <c r="CS351" i="4"/>
  <c r="CS352" i="4" s="1"/>
  <c r="CQ31" i="4"/>
  <c r="CS175" i="4"/>
  <c r="CS179" i="4"/>
  <c r="BT415" i="2"/>
  <c r="EK294" i="2"/>
  <c r="EM294" i="2"/>
  <c r="EO294" i="2" s="1"/>
  <c r="CU389" i="4"/>
  <c r="CU367" i="4"/>
  <c r="CU351" i="4"/>
  <c r="CV351" i="4" s="1"/>
  <c r="CV366" i="4"/>
  <c r="CR438" i="4" l="1"/>
  <c r="EL87" i="4"/>
  <c r="EK88" i="4"/>
  <c r="DU317" i="4"/>
  <c r="DX392" i="4"/>
  <c r="EK84" i="4"/>
  <c r="EJ85" i="4"/>
  <c r="CP125" i="4"/>
  <c r="DW317" i="4"/>
  <c r="CU246" i="4"/>
  <c r="CU248" i="4" s="1"/>
  <c r="CU448" i="4" s="1"/>
  <c r="CI54" i="4"/>
  <c r="CU241" i="4"/>
  <c r="CU243" i="4" s="1"/>
  <c r="CU244" i="4" s="1"/>
  <c r="CR127" i="4"/>
  <c r="CR128" i="4" s="1"/>
  <c r="DV320" i="4"/>
  <c r="DV321" i="4" s="1"/>
  <c r="DV318" i="4"/>
  <c r="DV226" i="4"/>
  <c r="DV228" i="4"/>
  <c r="DV229" i="4" s="1"/>
  <c r="CG469" i="4"/>
  <c r="CG470" i="4" s="1"/>
  <c r="CX189" i="4"/>
  <c r="CY189" i="4"/>
  <c r="CX168" i="4"/>
  <c r="CX169" i="4" s="1"/>
  <c r="CX191" i="4"/>
  <c r="CX192" i="4" s="1"/>
  <c r="DH668" i="2"/>
  <c r="I52" i="9"/>
  <c r="J53" i="9" s="1"/>
  <c r="CE475" i="4"/>
  <c r="CE476" i="4" s="1"/>
  <c r="CM21" i="4"/>
  <c r="CP31" i="4"/>
  <c r="D64" i="9"/>
  <c r="CA68" i="4"/>
  <c r="CE131" i="4"/>
  <c r="CE492" i="4"/>
  <c r="CD69" i="2"/>
  <c r="CD54" i="4"/>
  <c r="CC345" i="2"/>
  <c r="H52" i="9"/>
  <c r="H53" i="9" s="1"/>
  <c r="DU320" i="4"/>
  <c r="DU318" i="4"/>
  <c r="BI942" i="4"/>
  <c r="CE161" i="2"/>
  <c r="BI661" i="4"/>
  <c r="BI703" i="4" s="1"/>
  <c r="BI906" i="4" s="1"/>
  <c r="CE73" i="2"/>
  <c r="BV415" i="2"/>
  <c r="BZ24" i="2"/>
  <c r="CA352" i="2"/>
  <c r="CA24" i="2" s="1"/>
  <c r="CB352" i="2"/>
  <c r="CB24" i="2" s="1"/>
  <c r="CC226" i="3"/>
  <c r="BJ592" i="4"/>
  <c r="BJ640" i="4" s="1"/>
  <c r="CB68" i="4"/>
  <c r="CX302" i="4"/>
  <c r="CY300" i="4"/>
  <c r="CY302" i="4" s="1"/>
  <c r="DJ375" i="4"/>
  <c r="DG203" i="4"/>
  <c r="DG295" i="4"/>
  <c r="CJ77" i="2"/>
  <c r="CH74" i="2"/>
  <c r="CB49" i="4"/>
  <c r="CB51" i="4" s="1"/>
  <c r="CB6" i="4" s="1"/>
  <c r="DC296" i="2"/>
  <c r="DA296" i="2"/>
  <c r="CM271" i="2"/>
  <c r="CK269" i="2"/>
  <c r="CK64" i="3" s="1"/>
  <c r="DA299" i="4"/>
  <c r="DB298" i="4"/>
  <c r="DB295" i="4" s="1"/>
  <c r="DB296" i="4" s="1"/>
  <c r="DA300" i="4"/>
  <c r="CE4" i="3"/>
  <c r="CE10" i="3" s="1"/>
  <c r="CE178" i="2"/>
  <c r="CE331" i="2"/>
  <c r="CE154" i="2"/>
  <c r="CE172" i="2"/>
  <c r="CE68" i="2"/>
  <c r="CE343" i="2"/>
  <c r="BZ617" i="2"/>
  <c r="BZ622" i="2" s="1"/>
  <c r="BZ152" i="2"/>
  <c r="BZ170" i="2"/>
  <c r="BU187" i="2"/>
  <c r="BT187" i="2" s="1"/>
  <c r="BZ159" i="2"/>
  <c r="DA206" i="4"/>
  <c r="DB206" i="4" s="1"/>
  <c r="DB205" i="4"/>
  <c r="DB203" i="4" s="1"/>
  <c r="DB204" i="4" s="1"/>
  <c r="CY299" i="4"/>
  <c r="CX301" i="4"/>
  <c r="CY301" i="4" s="1"/>
  <c r="DD204" i="4"/>
  <c r="DD205" i="4"/>
  <c r="CG479" i="2"/>
  <c r="CG480" i="2" s="1"/>
  <c r="CG72" i="2"/>
  <c r="CG161" i="2" s="1"/>
  <c r="CF74" i="2"/>
  <c r="CG619" i="2"/>
  <c r="CG621" i="2" s="1"/>
  <c r="CD60" i="2"/>
  <c r="CD153" i="2"/>
  <c r="CC68" i="2"/>
  <c r="CC160" i="2" s="1"/>
  <c r="CA151" i="2"/>
  <c r="CA180" i="2"/>
  <c r="CA158" i="2"/>
  <c r="CA56" i="2"/>
  <c r="CB617" i="2"/>
  <c r="CB622" i="2" s="1"/>
  <c r="CB644" i="2" s="1"/>
  <c r="CB346" i="2" s="1"/>
  <c r="CB152" i="2"/>
  <c r="CB170" i="2"/>
  <c r="CB159" i="2"/>
  <c r="CB61" i="2"/>
  <c r="CJ64" i="3"/>
  <c r="CI269" i="2"/>
  <c r="CI64" i="3" s="1"/>
  <c r="CI66" i="3" s="1"/>
  <c r="DD296" i="4"/>
  <c r="DD298" i="4"/>
  <c r="CC331" i="2"/>
  <c r="CC176" i="2"/>
  <c r="CC172" i="2"/>
  <c r="CC4" i="3"/>
  <c r="CC10" i="3" s="1"/>
  <c r="CC154" i="2"/>
  <c r="CW186" i="2"/>
  <c r="DB19" i="4"/>
  <c r="DB33" i="4" s="1"/>
  <c r="DQ455" i="2"/>
  <c r="DQ148" i="3"/>
  <c r="DR149" i="3"/>
  <c r="CX280" i="2"/>
  <c r="CZ280" i="2"/>
  <c r="CY276" i="2"/>
  <c r="DC33" i="4"/>
  <c r="DF19" i="4"/>
  <c r="DD19" i="4"/>
  <c r="DD33" i="4" s="1"/>
  <c r="CM342" i="4"/>
  <c r="CM345" i="4" s="1"/>
  <c r="CN142" i="2"/>
  <c r="CN143" i="2" s="1"/>
  <c r="CN146" i="2" s="1"/>
  <c r="CO142" i="2" s="1"/>
  <c r="DG14" i="2"/>
  <c r="BI730" i="4"/>
  <c r="BI933" i="4" s="1"/>
  <c r="CG139" i="4"/>
  <c r="CG140" i="4" s="1"/>
  <c r="CL43" i="4"/>
  <c r="CL64" i="4" s="1"/>
  <c r="DB280" i="4"/>
  <c r="DB281" i="4" s="1"/>
  <c r="CL436" i="4"/>
  <c r="BB91" i="2"/>
  <c r="BB140" i="2"/>
  <c r="BB141" i="2" s="1"/>
  <c r="BC141" i="2"/>
  <c r="BD385" i="2"/>
  <c r="BD396" i="2"/>
  <c r="BD485" i="2" s="1"/>
  <c r="CF264" i="2"/>
  <c r="BB396" i="2"/>
  <c r="BB485" i="2" s="1"/>
  <c r="BB385" i="2"/>
  <c r="BF396" i="2"/>
  <c r="BF485" i="2" s="1"/>
  <c r="BF385" i="2"/>
  <c r="CJ263" i="2"/>
  <c r="CI252" i="2"/>
  <c r="CN256" i="2"/>
  <c r="CN255" i="2" s="1"/>
  <c r="CN252" i="2" s="1"/>
  <c r="CN263" i="2" s="1"/>
  <c r="CN264" i="2" s="1"/>
  <c r="CL256" i="2"/>
  <c r="CM255" i="2"/>
  <c r="DO145" i="2"/>
  <c r="DN145" i="2"/>
  <c r="DM145" i="2" s="1"/>
  <c r="BY414" i="2"/>
  <c r="CA414" i="2" s="1"/>
  <c r="BW414" i="2"/>
  <c r="DE276" i="4"/>
  <c r="CY277" i="4"/>
  <c r="CY278" i="4" s="1"/>
  <c r="CS313" i="4"/>
  <c r="CS315" i="4" s="1"/>
  <c r="CR328" i="4"/>
  <c r="CR329" i="4" s="1"/>
  <c r="CO21" i="4"/>
  <c r="CJ435" i="4"/>
  <c r="CJ436" i="4" s="1"/>
  <c r="DA283" i="4"/>
  <c r="CO138" i="2"/>
  <c r="CP139" i="2"/>
  <c r="CQ138" i="2"/>
  <c r="CC330" i="2"/>
  <c r="CC235" i="3"/>
  <c r="CJ292" i="2"/>
  <c r="CH290" i="2"/>
  <c r="CH304" i="2" s="1"/>
  <c r="CE235" i="3"/>
  <c r="CE330" i="2"/>
  <c r="CF290" i="2"/>
  <c r="CG513" i="2"/>
  <c r="CG120" i="3"/>
  <c r="CG328" i="2"/>
  <c r="CG236" i="3" s="1"/>
  <c r="CG329" i="2"/>
  <c r="CG327" i="2"/>
  <c r="CG640" i="2"/>
  <c r="CG166" i="2"/>
  <c r="BG658" i="4"/>
  <c r="CG489" i="4"/>
  <c r="ER260" i="2"/>
  <c r="EV292" i="2"/>
  <c r="EX292" i="2" s="1"/>
  <c r="ET292" i="2"/>
  <c r="ER278" i="2"/>
  <c r="ET274" i="2"/>
  <c r="EV274" i="2"/>
  <c r="EX274" i="2" s="1"/>
  <c r="CO217" i="3"/>
  <c r="CO215" i="3" s="1"/>
  <c r="CP215" i="3"/>
  <c r="CQ217" i="3"/>
  <c r="ED413" i="2"/>
  <c r="EF413" i="2" s="1"/>
  <c r="EB413" i="2"/>
  <c r="CW149" i="3"/>
  <c r="CV455" i="2"/>
  <c r="CV148" i="3"/>
  <c r="AV141" i="2"/>
  <c r="AY141" i="2"/>
  <c r="AV11" i="2"/>
  <c r="AV14" i="2"/>
  <c r="AY411" i="2"/>
  <c r="AV20" i="2"/>
  <c r="AW400" i="2"/>
  <c r="AZ397" i="2"/>
  <c r="AZ398" i="2" s="1"/>
  <c r="AY409" i="2"/>
  <c r="AY397" i="2" s="1"/>
  <c r="AY410" i="2"/>
  <c r="AX11" i="2"/>
  <c r="AX14" i="2"/>
  <c r="BC441" i="2"/>
  <c r="BA409" i="2"/>
  <c r="BA397" i="2" s="1"/>
  <c r="BA411" i="2"/>
  <c r="BA410" i="2"/>
  <c r="AW366" i="2"/>
  <c r="AW224" i="3" s="1"/>
  <c r="AW27" i="2"/>
  <c r="AW365" i="2"/>
  <c r="AW223" i="3" s="1"/>
  <c r="AX20" i="2"/>
  <c r="AX472" i="2"/>
  <c r="EN78" i="2"/>
  <c r="EO182" i="2"/>
  <c r="EN182" i="2" s="1"/>
  <c r="EM132" i="3"/>
  <c r="EK212" i="2"/>
  <c r="EN131" i="3"/>
  <c r="EN132" i="3" s="1"/>
  <c r="EP125" i="3"/>
  <c r="Y56" i="9"/>
  <c r="Y54" i="9"/>
  <c r="CE5" i="4"/>
  <c r="CC5" i="4"/>
  <c r="CD5" i="4" s="1"/>
  <c r="CH377" i="4"/>
  <c r="CH131" i="4"/>
  <c r="CO20" i="4"/>
  <c r="CO34" i="4" s="1"/>
  <c r="BX70" i="4"/>
  <c r="CX283" i="4"/>
  <c r="CY282" i="4"/>
  <c r="CY283" i="4" s="1"/>
  <c r="DC283" i="4"/>
  <c r="DB282" i="4"/>
  <c r="CD42" i="4"/>
  <c r="CD53" i="4" s="1"/>
  <c r="BX51" i="4"/>
  <c r="BX72" i="4" s="1"/>
  <c r="BW7" i="4"/>
  <c r="CL257" i="4"/>
  <c r="CL133" i="4"/>
  <c r="CL134" i="4" s="1"/>
  <c r="BF939" i="4"/>
  <c r="DN229" i="4"/>
  <c r="CF149" i="4"/>
  <c r="CF154" i="4" s="1"/>
  <c r="CP237" i="4"/>
  <c r="CP238" i="4" s="1"/>
  <c r="CM235" i="4"/>
  <c r="CM130" i="4" s="1"/>
  <c r="CM131" i="4" s="1"/>
  <c r="DH108" i="4"/>
  <c r="DG109" i="4"/>
  <c r="DG105" i="4"/>
  <c r="BG676" i="4"/>
  <c r="CL348" i="4"/>
  <c r="CR25" i="4"/>
  <c r="CS25" i="4" s="1"/>
  <c r="CN238" i="4"/>
  <c r="CN429" i="4"/>
  <c r="CP429" i="4" s="1"/>
  <c r="CP25" i="4"/>
  <c r="CP38" i="4" s="1"/>
  <c r="DC387" i="4"/>
  <c r="CI489" i="4"/>
  <c r="CI157" i="4" s="1"/>
  <c r="CJ157" i="4" s="1"/>
  <c r="CR125" i="4"/>
  <c r="CS124" i="4"/>
  <c r="CL471" i="4"/>
  <c r="CL472" i="4" s="1"/>
  <c r="CI136" i="4"/>
  <c r="CI137" i="4" s="1"/>
  <c r="CO26" i="4"/>
  <c r="CO39" i="4" s="1"/>
  <c r="CM347" i="4"/>
  <c r="CM348" i="4" s="1"/>
  <c r="CO432" i="4"/>
  <c r="BV160" i="4"/>
  <c r="BV161" i="4" s="1"/>
  <c r="BV155" i="4"/>
  <c r="BX154" i="4"/>
  <c r="BX155" i="4" s="1"/>
  <c r="CL483" i="4"/>
  <c r="CL139" i="4" s="1"/>
  <c r="CL140" i="4" s="1"/>
  <c r="CP344" i="4"/>
  <c r="CP345" i="4" s="1"/>
  <c r="CH823" i="4"/>
  <c r="CH841" i="4" s="1"/>
  <c r="CI841" i="4"/>
  <c r="CM841" i="4"/>
  <c r="CL823" i="4"/>
  <c r="CP823" i="4"/>
  <c r="CO426" i="4"/>
  <c r="CO456" i="4" s="1"/>
  <c r="CP422" i="4"/>
  <c r="CP423" i="4" s="1"/>
  <c r="CL427" i="4"/>
  <c r="CL3" i="4"/>
  <c r="CL456" i="4"/>
  <c r="CJ345" i="4"/>
  <c r="CL479" i="4"/>
  <c r="CT852" i="4"/>
  <c r="CU852" i="4" s="1"/>
  <c r="CY852" i="4"/>
  <c r="CS405" i="4"/>
  <c r="CS406" i="4" s="1"/>
  <c r="BG718" i="4"/>
  <c r="BG921" i="4" s="1"/>
  <c r="CF46" i="4"/>
  <c r="CG46" i="4" s="1"/>
  <c r="BI688" i="4"/>
  <c r="DP229" i="4"/>
  <c r="DS320" i="4"/>
  <c r="DS318" i="4"/>
  <c r="DP321" i="4"/>
  <c r="DS228" i="4"/>
  <c r="DS226" i="4"/>
  <c r="DY392" i="4"/>
  <c r="BF736" i="4"/>
  <c r="BF782" i="4" s="1"/>
  <c r="CV337" i="4"/>
  <c r="CV338" i="4" s="1"/>
  <c r="CM256" i="4"/>
  <c r="CM257" i="4" s="1"/>
  <c r="DR320" i="4"/>
  <c r="DT317" i="4"/>
  <c r="DT318" i="4" s="1"/>
  <c r="DR318" i="4"/>
  <c r="DN321" i="4"/>
  <c r="DT395" i="4"/>
  <c r="DO229" i="4"/>
  <c r="DQ228" i="4"/>
  <c r="DR228" i="4"/>
  <c r="DT225" i="4"/>
  <c r="DT226" i="4" s="1"/>
  <c r="DR226" i="4"/>
  <c r="BI896" i="4"/>
  <c r="DU225" i="4"/>
  <c r="DW225" i="4" s="1"/>
  <c r="DU395" i="4"/>
  <c r="DW395" i="4" s="1"/>
  <c r="DO321" i="4"/>
  <c r="DQ320" i="4"/>
  <c r="CR453" i="4"/>
  <c r="EH82" i="4"/>
  <c r="EI81" i="4"/>
  <c r="CK257" i="4"/>
  <c r="CF147" i="4"/>
  <c r="CG146" i="4"/>
  <c r="CG147" i="4" s="1"/>
  <c r="CM461" i="4"/>
  <c r="CM462" i="4" s="1"/>
  <c r="CL465" i="4"/>
  <c r="CL466" i="4" s="1"/>
  <c r="CL34" i="4"/>
  <c r="CK469" i="4"/>
  <c r="CK470" i="4" s="1"/>
  <c r="CP335" i="4"/>
  <c r="CN256" i="4"/>
  <c r="CP256" i="4" s="1"/>
  <c r="CP257" i="4" s="1"/>
  <c r="CP329" i="4"/>
  <c r="BT477" i="2"/>
  <c r="BT478" i="2" s="1"/>
  <c r="CP16" i="4"/>
  <c r="CQ237" i="4"/>
  <c r="CQ238" i="4" s="1"/>
  <c r="CS828" i="4"/>
  <c r="CS829" i="4" s="1"/>
  <c r="CS830" i="4" s="1"/>
  <c r="CS831" i="4" s="1"/>
  <c r="CV822" i="4"/>
  <c r="CS840" i="4"/>
  <c r="CS846" i="4" s="1"/>
  <c r="CS847" i="4" s="1"/>
  <c r="CS848" i="4" s="1"/>
  <c r="CS849" i="4" s="1"/>
  <c r="CR822" i="4"/>
  <c r="CN822" i="4"/>
  <c r="CO840" i="4"/>
  <c r="CO846" i="4" s="1"/>
  <c r="CO847" i="4" s="1"/>
  <c r="CO848" i="4" s="1"/>
  <c r="CO849" i="4" s="1"/>
  <c r="CO828" i="4"/>
  <c r="CO829" i="4" s="1"/>
  <c r="CO830" i="4" s="1"/>
  <c r="CO831" i="4" s="1"/>
  <c r="CK828" i="4"/>
  <c r="CK829" i="4" s="1"/>
  <c r="CK830" i="4" s="1"/>
  <c r="CK831" i="4" s="1"/>
  <c r="CK840" i="4"/>
  <c r="CK846" i="4" s="1"/>
  <c r="CK847" i="4" s="1"/>
  <c r="CK848" i="4" s="1"/>
  <c r="CK849" i="4" s="1"/>
  <c r="CB825" i="4"/>
  <c r="CC838" i="4"/>
  <c r="CC843" i="4"/>
  <c r="CC856" i="4" s="1"/>
  <c r="BG735" i="4"/>
  <c r="BG781" i="4" s="1"/>
  <c r="BG938" i="4"/>
  <c r="BG902" i="4"/>
  <c r="CW835" i="4"/>
  <c r="CX835" i="4" s="1"/>
  <c r="DB835" i="4"/>
  <c r="BJ585" i="4"/>
  <c r="BJ627" i="4"/>
  <c r="BJ669" i="4" s="1"/>
  <c r="BJ639" i="4"/>
  <c r="BJ687" i="4" s="1"/>
  <c r="BH735" i="4"/>
  <c r="BH781" i="4" s="1"/>
  <c r="BH938" i="4"/>
  <c r="BH902" i="4"/>
  <c r="BI621" i="4"/>
  <c r="BI633" i="4"/>
  <c r="BI634" i="4" s="1"/>
  <c r="BI682" i="4" s="1"/>
  <c r="BE781" i="4"/>
  <c r="BE736" i="4"/>
  <c r="BE782" i="4" s="1"/>
  <c r="BG724" i="4"/>
  <c r="BG927" i="4" s="1"/>
  <c r="BG926" i="4"/>
  <c r="BI741" i="4"/>
  <c r="BI787" i="4" s="1"/>
  <c r="BI950" i="4"/>
  <c r="BI914" i="4"/>
  <c r="CJ825" i="4"/>
  <c r="CG838" i="4"/>
  <c r="CF825" i="4"/>
  <c r="CG843" i="4"/>
  <c r="CG856" i="4" s="1"/>
  <c r="BE903" i="4"/>
  <c r="BE939" i="4"/>
  <c r="BG706" i="4"/>
  <c r="BG909" i="4" s="1"/>
  <c r="BK591" i="4"/>
  <c r="BL591" i="4" s="1"/>
  <c r="BL569" i="4"/>
  <c r="BY843" i="4"/>
  <c r="BY856" i="4" s="1"/>
  <c r="BY838" i="4"/>
  <c r="CP443" i="4"/>
  <c r="BJ894" i="4"/>
  <c r="BI897" i="4"/>
  <c r="DA380" i="4"/>
  <c r="DB379" i="4"/>
  <c r="DB380" i="4" s="1"/>
  <c r="DE163" i="4"/>
  <c r="DE164" i="4" s="1"/>
  <c r="DD164" i="4"/>
  <c r="DF837" i="4"/>
  <c r="DG837" i="4" s="1"/>
  <c r="DK837" i="4"/>
  <c r="DD379" i="4"/>
  <c r="DD360" i="4"/>
  <c r="DE359" i="4"/>
  <c r="DG664" i="2"/>
  <c r="DD664" i="2"/>
  <c r="BR483" i="2"/>
  <c r="BR484" i="2" s="1"/>
  <c r="BH897" i="4"/>
  <c r="EP203" i="4"/>
  <c r="EP204" i="4" s="1"/>
  <c r="EQ75" i="4"/>
  <c r="EP76" i="4"/>
  <c r="DE375" i="4"/>
  <c r="DE376" i="4" s="1"/>
  <c r="DB664" i="2"/>
  <c r="DB356" i="4"/>
  <c r="DB357" i="4" s="1"/>
  <c r="DB360" i="4"/>
  <c r="DE668" i="2"/>
  <c r="DE97" i="4"/>
  <c r="DH97" i="4"/>
  <c r="DB189" i="4"/>
  <c r="DB185" i="4"/>
  <c r="DB186" i="4" s="1"/>
  <c r="DA207" i="3"/>
  <c r="CZ206" i="3"/>
  <c r="CC53" i="4"/>
  <c r="CO773" i="4"/>
  <c r="CO774" i="4" s="1"/>
  <c r="CO770" i="4"/>
  <c r="DG263" i="2"/>
  <c r="DH264" i="2"/>
  <c r="CU440" i="4"/>
  <c r="DA387" i="4"/>
  <c r="DB387" i="4" s="1"/>
  <c r="DB383" i="4" s="1"/>
  <c r="CD150" i="3"/>
  <c r="CD152" i="3" s="1"/>
  <c r="DB580" i="4"/>
  <c r="CW580" i="4"/>
  <c r="CX580" i="4" s="1"/>
  <c r="CY758" i="4"/>
  <c r="CY766" i="4" s="1"/>
  <c r="DB761" i="4"/>
  <c r="CY757" i="4"/>
  <c r="CY765" i="4" s="1"/>
  <c r="CY760" i="4"/>
  <c r="CX761" i="4"/>
  <c r="CY759" i="4"/>
  <c r="CY767" i="4" s="1"/>
  <c r="CW761" i="4"/>
  <c r="CY769" i="4"/>
  <c r="BK955" i="4"/>
  <c r="BL859" i="4"/>
  <c r="CQ762" i="4"/>
  <c r="CQ768" i="4"/>
  <c r="CQ770" i="4" s="1"/>
  <c r="BJ884" i="4"/>
  <c r="BJ885" i="4" s="1"/>
  <c r="CF472" i="4"/>
  <c r="CG471" i="4"/>
  <c r="CG472" i="4" s="1"/>
  <c r="CF475" i="4"/>
  <c r="CF476" i="4" s="1"/>
  <c r="CY186" i="4"/>
  <c r="CV762" i="4"/>
  <c r="CV768" i="4"/>
  <c r="CV773" i="4" s="1"/>
  <c r="CV774" i="4" s="1"/>
  <c r="CF55" i="4"/>
  <c r="CF65" i="4"/>
  <c r="CF42" i="4"/>
  <c r="CG44" i="4"/>
  <c r="CU313" i="4"/>
  <c r="CV313" i="4" s="1"/>
  <c r="CV332" i="4"/>
  <c r="CV333" i="4" s="1"/>
  <c r="DA191" i="4"/>
  <c r="DA189" i="4"/>
  <c r="CX261" i="4"/>
  <c r="CX337" i="4"/>
  <c r="CX339" i="4" s="1"/>
  <c r="CX450" i="4" s="1"/>
  <c r="CX332" i="4"/>
  <c r="CX334" i="4" s="1"/>
  <c r="DQ505" i="4"/>
  <c r="DQ504" i="4"/>
  <c r="DN273" i="2"/>
  <c r="BJ890" i="4"/>
  <c r="BJ891" i="4" s="1"/>
  <c r="BI932" i="4"/>
  <c r="DC191" i="4"/>
  <c r="DC189" i="4"/>
  <c r="CC49" i="4"/>
  <c r="CC68" i="4"/>
  <c r="CC58" i="4"/>
  <c r="CR762" i="4"/>
  <c r="CR768" i="4"/>
  <c r="CR770" i="4" s="1"/>
  <c r="CR443" i="4"/>
  <c r="DG183" i="4"/>
  <c r="DH183" i="4" s="1"/>
  <c r="DD188" i="4"/>
  <c r="DE183" i="4"/>
  <c r="DE184" i="4" s="1"/>
  <c r="CI471" i="4"/>
  <c r="CJ471" i="4" s="1"/>
  <c r="CJ472" i="4" s="1"/>
  <c r="CI348" i="4"/>
  <c r="CI44" i="4"/>
  <c r="CL55" i="4" s="1"/>
  <c r="CX284" i="4"/>
  <c r="BZ70" i="4"/>
  <c r="BZ51" i="4"/>
  <c r="BZ6" i="4" s="1"/>
  <c r="CA6" i="4" s="1"/>
  <c r="BZ60" i="4"/>
  <c r="CT759" i="4"/>
  <c r="CT767" i="4" s="1"/>
  <c r="CT758" i="4"/>
  <c r="CT766" i="4" s="1"/>
  <c r="CT769" i="4"/>
  <c r="CT757" i="4"/>
  <c r="CT765" i="4" s="1"/>
  <c r="CT760" i="4"/>
  <c r="CU759" i="4"/>
  <c r="CU767" i="4" s="1"/>
  <c r="CU757" i="4"/>
  <c r="CU765" i="4" s="1"/>
  <c r="CU758" i="4"/>
  <c r="CU766" i="4" s="1"/>
  <c r="CU760" i="4"/>
  <c r="CU769" i="4"/>
  <c r="CO423" i="4"/>
  <c r="CO451" i="4"/>
  <c r="DA281" i="4"/>
  <c r="DA260" i="4"/>
  <c r="DB260" i="4" s="1"/>
  <c r="DB261" i="4" s="1"/>
  <c r="DI76" i="2"/>
  <c r="DI18" i="3"/>
  <c r="CR16" i="4"/>
  <c r="CR30" i="4" s="1"/>
  <c r="CR344" i="4"/>
  <c r="CR263" i="4"/>
  <c r="CR422" i="4"/>
  <c r="CR426" i="4" s="1"/>
  <c r="CS262" i="4"/>
  <c r="CS263" i="4" s="1"/>
  <c r="CS771" i="4"/>
  <c r="CS770" i="4"/>
  <c r="CU285" i="4"/>
  <c r="CU262" i="4"/>
  <c r="BZ160" i="4"/>
  <c r="CA154" i="4"/>
  <c r="CA155" i="4" s="1"/>
  <c r="BZ155" i="4"/>
  <c r="CC476" i="4"/>
  <c r="CC491" i="4"/>
  <c r="CC493" i="4" s="1"/>
  <c r="CD493" i="4" s="1"/>
  <c r="EO213" i="3"/>
  <c r="EN260" i="2"/>
  <c r="EN213" i="3" s="1"/>
  <c r="CR335" i="4"/>
  <c r="CV352" i="4"/>
  <c r="CV284" i="4"/>
  <c r="CV285" i="4" s="1"/>
  <c r="CD47" i="4"/>
  <c r="CD68" i="4" s="1"/>
  <c r="DF188" i="4"/>
  <c r="CD65" i="4"/>
  <c r="CD55" i="4"/>
  <c r="CZ192" i="4"/>
  <c r="CO461" i="4"/>
  <c r="CO462" i="4" s="1"/>
  <c r="CO342" i="4"/>
  <c r="CO343" i="4" s="1"/>
  <c r="CI133" i="4"/>
  <c r="CI131" i="4"/>
  <c r="CI377" i="4"/>
  <c r="DG275" i="4"/>
  <c r="DH275" i="4" s="1"/>
  <c r="DH276" i="4" s="1"/>
  <c r="DD280" i="4"/>
  <c r="BJ878" i="4"/>
  <c r="BJ879" i="4" s="1"/>
  <c r="CN773" i="4"/>
  <c r="CN774" i="4" s="1"/>
  <c r="CN770" i="4"/>
  <c r="BW72" i="4"/>
  <c r="BW62" i="4"/>
  <c r="CO131" i="4"/>
  <c r="CO133" i="4"/>
  <c r="CU125" i="4"/>
  <c r="CU25" i="4"/>
  <c r="CW390" i="4"/>
  <c r="CW402" i="4"/>
  <c r="CW400" i="4" s="1"/>
  <c r="CJ479" i="4"/>
  <c r="CJ480" i="4" s="1"/>
  <c r="CH489" i="4"/>
  <c r="CH136" i="4"/>
  <c r="CU390" i="4"/>
  <c r="CU402" i="4"/>
  <c r="EP294" i="2"/>
  <c r="ER294" i="2" s="1"/>
  <c r="EN294" i="2"/>
  <c r="CW17" i="4"/>
  <c r="CW405" i="4"/>
  <c r="CW409" i="4"/>
  <c r="CW424" i="4"/>
  <c r="CW352" i="4"/>
  <c r="CW413" i="4"/>
  <c r="CM251" i="4"/>
  <c r="CK252" i="4"/>
  <c r="DC281" i="4"/>
  <c r="DC260" i="4"/>
  <c r="CF91" i="3"/>
  <c r="CF93" i="3" s="1"/>
  <c r="DC86" i="2"/>
  <c r="DC460" i="2"/>
  <c r="DC464" i="2" s="1"/>
  <c r="CN474" i="4"/>
  <c r="BV7" i="4"/>
  <c r="CQ443" i="4"/>
  <c r="CS442" i="4"/>
  <c r="CS443" i="4" s="1"/>
  <c r="BN515" i="2"/>
  <c r="BO514" i="2"/>
  <c r="BM753" i="4"/>
  <c r="CV389" i="4"/>
  <c r="CV390" i="4" s="1"/>
  <c r="CQ15" i="4"/>
  <c r="CQ253" i="4"/>
  <c r="CS170" i="4"/>
  <c r="CS171" i="4" s="1"/>
  <c r="CQ420" i="4"/>
  <c r="CQ171" i="4"/>
  <c r="BL568" i="4"/>
  <c r="BK590" i="4"/>
  <c r="BK584" i="4" s="1"/>
  <c r="CL65" i="4"/>
  <c r="DA307" i="4"/>
  <c r="DA309" i="4" s="1"/>
  <c r="DB309" i="4" s="1"/>
  <c r="DA306" i="4"/>
  <c r="CD476" i="4"/>
  <c r="CD491" i="4"/>
  <c r="CK39" i="4"/>
  <c r="CM26" i="4"/>
  <c r="CM39" i="4" s="1"/>
  <c r="CR256" i="4"/>
  <c r="CR235" i="4"/>
  <c r="CR238" i="4"/>
  <c r="CR429" i="4"/>
  <c r="CB152" i="3"/>
  <c r="CC150" i="3" s="1"/>
  <c r="CT5" i="3"/>
  <c r="CT11" i="3" s="1"/>
  <c r="CT344" i="2"/>
  <c r="CT156" i="2"/>
  <c r="CT173" i="2"/>
  <c r="CT91" i="2"/>
  <c r="CU91" i="2" s="1"/>
  <c r="CT202" i="3"/>
  <c r="CU90" i="2"/>
  <c r="CP15" i="4"/>
  <c r="CN29" i="4"/>
  <c r="CN21" i="4"/>
  <c r="CN20" i="4"/>
  <c r="CO43" i="4"/>
  <c r="CO257" i="4"/>
  <c r="CO469" i="4"/>
  <c r="CY364" i="4"/>
  <c r="CY367" i="4"/>
  <c r="BX644" i="4"/>
  <c r="BH943" i="4"/>
  <c r="BH945" i="4" s="1"/>
  <c r="BH656" i="4"/>
  <c r="BH662" i="4"/>
  <c r="BH704" i="4" s="1"/>
  <c r="BH622" i="4"/>
  <c r="BH664" i="4" s="1"/>
  <c r="DF280" i="4"/>
  <c r="DF282" i="4" s="1"/>
  <c r="BJ631" i="4"/>
  <c r="BJ619" i="4"/>
  <c r="CC170" i="3"/>
  <c r="CB166" i="3"/>
  <c r="CW339" i="4"/>
  <c r="CN244" i="4"/>
  <c r="CN438" i="4"/>
  <c r="CP243" i="4"/>
  <c r="CP244" i="4" s="1"/>
  <c r="CC282" i="2"/>
  <c r="CD276" i="2"/>
  <c r="CE186" i="2" s="1"/>
  <c r="DI69" i="3"/>
  <c r="DF70" i="2"/>
  <c r="BN865" i="4"/>
  <c r="CE53" i="4"/>
  <c r="CN462" i="4"/>
  <c r="EL257" i="2"/>
  <c r="EK257" i="2" s="1"/>
  <c r="EJ257" i="2"/>
  <c r="EJ255" i="2" s="1"/>
  <c r="EH255" i="2"/>
  <c r="BK870" i="4"/>
  <c r="BJ873" i="4"/>
  <c r="CL66" i="4"/>
  <c r="CL56" i="4"/>
  <c r="CM20" i="4"/>
  <c r="CK71" i="4"/>
  <c r="CK3" i="4"/>
  <c r="CK30" i="2"/>
  <c r="CK34" i="4"/>
  <c r="CZ332" i="4"/>
  <c r="CZ261" i="4"/>
  <c r="CZ337" i="4"/>
  <c r="BM567" i="4"/>
  <c r="DC306" i="4"/>
  <c r="DC307" i="4"/>
  <c r="DC309" i="4" s="1"/>
  <c r="DC312" i="4" s="1"/>
  <c r="CJ454" i="4"/>
  <c r="CJ456" i="4" s="1"/>
  <c r="CH456" i="4"/>
  <c r="BG951" i="4"/>
  <c r="DH348" i="2"/>
  <c r="DF349" i="2"/>
  <c r="DF22" i="2"/>
  <c r="DH352" i="2"/>
  <c r="DH24" i="2" s="1"/>
  <c r="BL866" i="4"/>
  <c r="CH445" i="4"/>
  <c r="CJ444" i="4"/>
  <c r="CJ445" i="4" s="1"/>
  <c r="CT452" i="4"/>
  <c r="CW222" i="4"/>
  <c r="CW221" i="4"/>
  <c r="DB855" i="4"/>
  <c r="CZ855" i="4" s="1"/>
  <c r="DA855" i="4" s="1"/>
  <c r="BO504" i="2"/>
  <c r="BO500" i="2"/>
  <c r="BO497" i="2"/>
  <c r="BO499" i="2"/>
  <c r="BP498" i="2"/>
  <c r="BJ584" i="4"/>
  <c r="CR425" i="4"/>
  <c r="DG383" i="4"/>
  <c r="DD213" i="4"/>
  <c r="DD305" i="4"/>
  <c r="DD386" i="4"/>
  <c r="CN432" i="4"/>
  <c r="CP431" i="4"/>
  <c r="BT305" i="2"/>
  <c r="BT634" i="2" s="1"/>
  <c r="BT636" i="2" s="1"/>
  <c r="BT639" i="2" s="1"/>
  <c r="BT642" i="2" s="1"/>
  <c r="BT644" i="2" s="1"/>
  <c r="BT346" i="2" s="1"/>
  <c r="BU307" i="2"/>
  <c r="BU634" i="2"/>
  <c r="BU636" i="2" s="1"/>
  <c r="BU639" i="2" s="1"/>
  <c r="BU642" i="2" s="1"/>
  <c r="BU644" i="2" s="1"/>
  <c r="BU346" i="2" s="1"/>
  <c r="CH65" i="4"/>
  <c r="CH55" i="4"/>
  <c r="DI81" i="4"/>
  <c r="DH82" i="4"/>
  <c r="CJ3" i="4"/>
  <c r="CH11" i="4"/>
  <c r="CV179" i="4"/>
  <c r="CV175" i="4"/>
  <c r="CS119" i="4"/>
  <c r="D55" i="9" s="1"/>
  <c r="CP119" i="4"/>
  <c r="BL889" i="4"/>
  <c r="CV124" i="4"/>
  <c r="CT25" i="4"/>
  <c r="CT182" i="4"/>
  <c r="CT125" i="4"/>
  <c r="BZ152" i="3"/>
  <c r="CX367" i="4"/>
  <c r="CX389" i="4"/>
  <c r="CX351" i="4"/>
  <c r="BY634" i="2"/>
  <c r="BY636" i="2" s="1"/>
  <c r="BY639" i="2" s="1"/>
  <c r="BY642" i="2" s="1"/>
  <c r="BY307" i="2"/>
  <c r="BY324" i="2" s="1"/>
  <c r="BH739" i="4"/>
  <c r="BH785" i="4" s="1"/>
  <c r="BH712" i="4"/>
  <c r="BH948" i="4"/>
  <c r="BH951" i="4" s="1"/>
  <c r="BH912" i="4"/>
  <c r="BM813" i="4"/>
  <c r="BN812" i="4"/>
  <c r="BM818" i="4"/>
  <c r="DI614" i="2"/>
  <c r="DI185" i="2"/>
  <c r="DE271" i="4"/>
  <c r="DE267" i="4"/>
  <c r="DE268" i="4" s="1"/>
  <c r="CQ128" i="4"/>
  <c r="DH69" i="3"/>
  <c r="DE70" i="2"/>
  <c r="DD69" i="3"/>
  <c r="CT450" i="4"/>
  <c r="CV339" i="4"/>
  <c r="CD42" i="2"/>
  <c r="CC33" i="2"/>
  <c r="DG185" i="2"/>
  <c r="BK625" i="4"/>
  <c r="BK637" i="4"/>
  <c r="BK685" i="4" s="1"/>
  <c r="BL685" i="4" s="1"/>
  <c r="BG742" i="4"/>
  <c r="BG788" i="4" s="1"/>
  <c r="BG915" i="4"/>
  <c r="CO45" i="4"/>
  <c r="CP45" i="4" s="1"/>
  <c r="CO473" i="4"/>
  <c r="CO474" i="4" s="1"/>
  <c r="CO417" i="4"/>
  <c r="CQ451" i="4"/>
  <c r="CS450" i="4"/>
  <c r="CS425" i="4"/>
  <c r="CM56" i="4"/>
  <c r="CM66" i="4"/>
  <c r="CB155" i="4"/>
  <c r="CB160" i="4"/>
  <c r="CD154" i="4"/>
  <c r="CD155" i="4" s="1"/>
  <c r="CA70" i="4"/>
  <c r="CA60" i="4"/>
  <c r="CG133" i="4"/>
  <c r="CG134" i="4" s="1"/>
  <c r="CE149" i="4"/>
  <c r="CE134" i="4"/>
  <c r="BI674" i="4"/>
  <c r="BI716" i="4" s="1"/>
  <c r="BI919" i="4" s="1"/>
  <c r="BI680" i="4"/>
  <c r="BI722" i="4" s="1"/>
  <c r="BI925" i="4" s="1"/>
  <c r="CT16" i="4"/>
  <c r="CT422" i="4"/>
  <c r="CU274" i="4"/>
  <c r="CT263" i="4"/>
  <c r="CT344" i="4"/>
  <c r="BZ42" i="2"/>
  <c r="BZ475" i="2" s="1"/>
  <c r="CA475" i="2"/>
  <c r="CA53" i="2"/>
  <c r="CA43" i="2" s="1"/>
  <c r="CA476" i="2" s="1"/>
  <c r="CT335" i="4"/>
  <c r="CT440" i="4"/>
  <c r="CV334" i="4"/>
  <c r="CK54" i="4"/>
  <c r="CK64" i="4"/>
  <c r="CK42" i="4"/>
  <c r="CV364" i="4"/>
  <c r="CV365" i="4" s="1"/>
  <c r="CV367" i="4"/>
  <c r="CS31" i="4"/>
  <c r="D65" i="9" s="1"/>
  <c r="CO430" i="4"/>
  <c r="CO435" i="4"/>
  <c r="CS209" i="4"/>
  <c r="CS210" i="4" s="1"/>
  <c r="BH674" i="4"/>
  <c r="BH680" i="4"/>
  <c r="BH722" i="4" s="1"/>
  <c r="BH634" i="4"/>
  <c r="BH682" i="4" s="1"/>
  <c r="CQ38" i="4"/>
  <c r="CQ26" i="4"/>
  <c r="BF224" i="2"/>
  <c r="BF226" i="2" s="1"/>
  <c r="BD224" i="2"/>
  <c r="BD226" i="2" s="1"/>
  <c r="BE224" i="2" s="1"/>
  <c r="BB226" i="2"/>
  <c r="EG300" i="2"/>
  <c r="EE300" i="2"/>
  <c r="CM459" i="4"/>
  <c r="CM460" i="4" s="1"/>
  <c r="CK465" i="4"/>
  <c r="CK460" i="4"/>
  <c r="BK888" i="4"/>
  <c r="CW334" i="4"/>
  <c r="CJ483" i="4"/>
  <c r="CJ484" i="4" s="1"/>
  <c r="CH139" i="4"/>
  <c r="CN56" i="4"/>
  <c r="CN66" i="4"/>
  <c r="ED178" i="3"/>
  <c r="EC190" i="2"/>
  <c r="CQ464" i="4"/>
  <c r="CP453" i="4"/>
  <c r="CH824" i="4"/>
  <c r="CH842" i="4" s="1"/>
  <c r="CI842" i="4"/>
  <c r="CJ469" i="4"/>
  <c r="CJ470" i="4" s="1"/>
  <c r="CH475" i="4"/>
  <c r="CH470" i="4"/>
  <c r="AC398" i="2"/>
  <c r="AC400" i="2"/>
  <c r="CR439" i="4"/>
  <c r="CR444" i="4"/>
  <c r="CR445" i="4" s="1"/>
  <c r="CP326" i="4"/>
  <c r="BH933" i="4"/>
  <c r="CT425" i="4"/>
  <c r="BX305" i="2"/>
  <c r="BX630" i="2"/>
  <c r="BX631" i="2" s="1"/>
  <c r="BW287" i="2"/>
  <c r="BW630" i="2" s="1"/>
  <c r="BW631" i="2" s="1"/>
  <c r="BT752" i="4"/>
  <c r="CW180" i="4"/>
  <c r="CW208" i="4"/>
  <c r="CY208" i="4" s="1"/>
  <c r="CW179" i="4"/>
  <c r="CY178" i="4"/>
  <c r="CW168" i="4"/>
  <c r="DG175" i="4"/>
  <c r="DD178" i="4"/>
  <c r="CK479" i="4"/>
  <c r="CK427" i="4"/>
  <c r="CM426" i="4"/>
  <c r="CM427" i="4" s="1"/>
  <c r="CK483" i="4"/>
  <c r="CK486" i="4"/>
  <c r="BI957" i="4"/>
  <c r="CE336" i="2"/>
  <c r="CE287" i="2"/>
  <c r="CR31" i="4"/>
  <c r="CN348" i="4"/>
  <c r="CN471" i="4"/>
  <c r="CP347" i="4"/>
  <c r="CP348" i="4" s="1"/>
  <c r="CN44" i="4"/>
  <c r="BW650" i="4"/>
  <c r="BK882" i="4"/>
  <c r="BJ727" i="4"/>
  <c r="BV649" i="4"/>
  <c r="CT241" i="4"/>
  <c r="CT246" i="4"/>
  <c r="CV168" i="4"/>
  <c r="CV169" i="4" s="1"/>
  <c r="CT169" i="4"/>
  <c r="CQ45" i="4"/>
  <c r="CQ473" i="4"/>
  <c r="CQ417" i="4"/>
  <c r="BV693" i="4"/>
  <c r="CE645" i="4"/>
  <c r="BK864" i="4"/>
  <c r="BJ867" i="4"/>
  <c r="CH91" i="3"/>
  <c r="CH337" i="2"/>
  <c r="DD362" i="4"/>
  <c r="DE362" i="4" s="1"/>
  <c r="DE363" i="4" s="1"/>
  <c r="DA366" i="4"/>
  <c r="DB366" i="4" s="1"/>
  <c r="DB853" i="4"/>
  <c r="BL877" i="4"/>
  <c r="BK895" i="4"/>
  <c r="BV651" i="4"/>
  <c r="BW480" i="2"/>
  <c r="BX149" i="3"/>
  <c r="BW148" i="3"/>
  <c r="BW455" i="2"/>
  <c r="CL470" i="4"/>
  <c r="CU210" i="4"/>
  <c r="CP824" i="4"/>
  <c r="CL824" i="4"/>
  <c r="CM842" i="4"/>
  <c r="CY854" i="4"/>
  <c r="CW854" i="4" s="1"/>
  <c r="CX854" i="4" s="1"/>
  <c r="CQ342" i="4"/>
  <c r="CQ461" i="4"/>
  <c r="CH54" i="4"/>
  <c r="CJ43" i="4"/>
  <c r="CH42" i="4"/>
  <c r="CH64" i="4"/>
  <c r="CG31" i="2"/>
  <c r="CG333" i="2"/>
  <c r="CG339" i="2"/>
  <c r="CG335" i="2"/>
  <c r="CG282" i="2"/>
  <c r="CG334" i="2"/>
  <c r="CG340" i="2"/>
  <c r="CG165" i="2"/>
  <c r="CG170" i="3"/>
  <c r="CG166" i="3" s="1"/>
  <c r="CG171" i="3"/>
  <c r="CG167" i="3" s="1"/>
  <c r="CG33" i="2"/>
  <c r="CG169" i="3"/>
  <c r="CG165" i="3" s="1"/>
  <c r="CG150" i="2"/>
  <c r="CF30" i="2"/>
  <c r="CH168" i="2" s="1"/>
  <c r="CG341" i="2"/>
  <c r="CG342" i="2"/>
  <c r="CG179" i="3"/>
  <c r="CG163" i="2"/>
  <c r="CG162" i="2"/>
  <c r="BH918" i="4"/>
  <c r="CK449" i="4"/>
  <c r="CM448" i="4"/>
  <c r="CM449" i="4" s="1"/>
  <c r="CK454" i="4"/>
  <c r="DC215" i="4"/>
  <c r="DC217" i="4" s="1"/>
  <c r="DC214" i="4"/>
  <c r="EO73" i="3"/>
  <c r="EN278" i="2"/>
  <c r="EN73" i="3" s="1"/>
  <c r="EN75" i="3" s="1"/>
  <c r="BW186" i="2"/>
  <c r="BX187" i="2"/>
  <c r="BW187" i="2" s="1"/>
  <c r="DC175" i="4"/>
  <c r="CZ178" i="4"/>
  <c r="DA180" i="4"/>
  <c r="DA208" i="4"/>
  <c r="DA179" i="4"/>
  <c r="DA168" i="4"/>
  <c r="CR463" i="4"/>
  <c r="CS463" i="4" s="1"/>
  <c r="CS464" i="4" s="1"/>
  <c r="CY383" i="4"/>
  <c r="BY72" i="4"/>
  <c r="BY62" i="4"/>
  <c r="BL589" i="4"/>
  <c r="CP127" i="4"/>
  <c r="CP128" i="4" s="1"/>
  <c r="CN128" i="4"/>
  <c r="CI300" i="2"/>
  <c r="CK300" i="2"/>
  <c r="CJ297" i="2"/>
  <c r="CM473" i="4"/>
  <c r="CM474" i="4" s="1"/>
  <c r="CU17" i="4"/>
  <c r="CU31" i="4" s="1"/>
  <c r="CU352" i="4"/>
  <c r="CU424" i="4"/>
  <c r="CU425" i="4" s="1"/>
  <c r="CU413" i="4"/>
  <c r="CU463" i="4" s="1"/>
  <c r="CU405" i="4"/>
  <c r="CU442" i="4" s="1"/>
  <c r="CU409" i="4"/>
  <c r="CU452" i="4" s="1"/>
  <c r="CZ579" i="4"/>
  <c r="DA579" i="4" s="1"/>
  <c r="DE579" i="4"/>
  <c r="DL268" i="2"/>
  <c r="DK266" i="2"/>
  <c r="DJ268" i="2"/>
  <c r="DH11" i="2"/>
  <c r="DH14" i="2"/>
  <c r="DD273" i="4"/>
  <c r="DE272" i="4"/>
  <c r="DE273" i="4" s="1"/>
  <c r="CP464" i="4"/>
  <c r="CV386" i="4"/>
  <c r="CV305" i="4"/>
  <c r="CV213" i="4"/>
  <c r="CV384" i="4"/>
  <c r="CG11" i="4"/>
  <c r="CG93" i="3"/>
  <c r="CK55" i="4"/>
  <c r="CK65" i="4"/>
  <c r="CM44" i="4"/>
  <c r="CJ486" i="4"/>
  <c r="CJ487" i="4" s="1"/>
  <c r="CH146" i="4"/>
  <c r="CC31" i="2"/>
  <c r="CC333" i="2"/>
  <c r="CC165" i="2"/>
  <c r="CC169" i="3"/>
  <c r="CC165" i="3" s="1"/>
  <c r="CC171" i="3"/>
  <c r="CC167" i="3" s="1"/>
  <c r="CC339" i="2"/>
  <c r="CC335" i="2"/>
  <c r="CC334" i="2"/>
  <c r="CC150" i="2"/>
  <c r="CC341" i="2"/>
  <c r="CC168" i="2"/>
  <c r="CC175" i="2"/>
  <c r="CC342" i="2"/>
  <c r="CC340" i="2"/>
  <c r="CC73" i="2"/>
  <c r="CC161" i="2"/>
  <c r="CC163" i="2"/>
  <c r="CC162" i="2"/>
  <c r="CC11" i="4"/>
  <c r="CC337" i="2"/>
  <c r="CR173" i="2"/>
  <c r="CR344" i="2"/>
  <c r="CR156" i="2"/>
  <c r="CR5" i="3"/>
  <c r="CR11" i="3" s="1"/>
  <c r="CR202" i="3"/>
  <c r="CE49" i="4"/>
  <c r="CE58" i="4"/>
  <c r="CE68" i="4"/>
  <c r="DR270" i="2"/>
  <c r="DP270" i="2"/>
  <c r="CP248" i="4"/>
  <c r="CN448" i="4"/>
  <c r="CS221" i="4"/>
  <c r="CW578" i="4"/>
  <c r="CX578" i="4" s="1"/>
  <c r="DB578" i="4"/>
  <c r="DK834" i="4"/>
  <c r="DI834" i="4" s="1"/>
  <c r="DJ834" i="4" s="1"/>
  <c r="CU23" i="4"/>
  <c r="CU127" i="4"/>
  <c r="CU119" i="4"/>
  <c r="BX476" i="2"/>
  <c r="BX477" i="2" s="1"/>
  <c r="BW43" i="2"/>
  <c r="BW476" i="2" s="1"/>
  <c r="BQ481" i="2"/>
  <c r="BQ482" i="2" s="1"/>
  <c r="BQ478" i="2"/>
  <c r="CQ30" i="4"/>
  <c r="AE409" i="2"/>
  <c r="AE411" i="2"/>
  <c r="AD411" i="2" s="1"/>
  <c r="AE410" i="2"/>
  <c r="AD410" i="2" s="1"/>
  <c r="BK570" i="4"/>
  <c r="DD22" i="2"/>
  <c r="DE348" i="2"/>
  <c r="DE352" i="2"/>
  <c r="DE24" i="2" s="1"/>
  <c r="DI383" i="4"/>
  <c r="DF386" i="4"/>
  <c r="DF305" i="4"/>
  <c r="DF213" i="4"/>
  <c r="CO348" i="4"/>
  <c r="CO44" i="4"/>
  <c r="CO471" i="4"/>
  <c r="CO472" i="4" s="1"/>
  <c r="CT416" i="4"/>
  <c r="CT433" i="4"/>
  <c r="CT403" i="4"/>
  <c r="CS409" i="4"/>
  <c r="CS410" i="4" s="1"/>
  <c r="EN338" i="4"/>
  <c r="BI697" i="4"/>
  <c r="CW90" i="2"/>
  <c r="CX85" i="2"/>
  <c r="BK860" i="4"/>
  <c r="BJ956" i="4"/>
  <c r="DB836" i="4"/>
  <c r="CZ836" i="4" s="1"/>
  <c r="DA836" i="4" s="1"/>
  <c r="CT442" i="4"/>
  <c r="DG222" i="3"/>
  <c r="DH222" i="3" s="1"/>
  <c r="DG27" i="2"/>
  <c r="DG365" i="2"/>
  <c r="CP433" i="4"/>
  <c r="CP434" i="4" s="1"/>
  <c r="CQ329" i="4"/>
  <c r="CQ431" i="4"/>
  <c r="CQ347" i="4"/>
  <c r="AR142" i="2"/>
  <c r="AR143" i="2" s="1"/>
  <c r="AR146" i="2" s="1"/>
  <c r="AS142" i="2" s="1"/>
  <c r="AS143" i="2" s="1"/>
  <c r="AS146" i="2" s="1"/>
  <c r="AT142" i="2"/>
  <c r="AT143" i="2" s="1"/>
  <c r="AT146" i="2" s="1"/>
  <c r="AA400" i="2"/>
  <c r="AB400" i="2" s="1"/>
  <c r="AA398" i="2"/>
  <c r="BI740" i="4"/>
  <c r="BI786" i="4" s="1"/>
  <c r="BV691" i="4"/>
  <c r="BI948" i="4"/>
  <c r="BI739" i="4"/>
  <c r="BI785" i="4" s="1"/>
  <c r="BI712" i="4"/>
  <c r="CJ71" i="4"/>
  <c r="CJ34" i="4"/>
  <c r="CJ30" i="2"/>
  <c r="CQ643" i="4"/>
  <c r="CT315" i="4"/>
  <c r="CT328" i="4"/>
  <c r="BT652" i="4"/>
  <c r="CX310" i="4"/>
  <c r="CY310" i="4" s="1"/>
  <c r="CX312" i="4"/>
  <c r="CY312" i="4" s="1"/>
  <c r="CQ243" i="4"/>
  <c r="CS241" i="4"/>
  <c r="CS242" i="4" s="1"/>
  <c r="CZ389" i="4"/>
  <c r="CZ367" i="4"/>
  <c r="CZ351" i="4"/>
  <c r="BG903" i="4"/>
  <c r="CN421" i="4"/>
  <c r="CP420" i="4"/>
  <c r="CP421" i="4" s="1"/>
  <c r="CN426" i="4"/>
  <c r="CK436" i="4"/>
  <c r="CM435" i="4"/>
  <c r="CG64" i="4"/>
  <c r="CG54" i="4"/>
  <c r="CN343" i="4"/>
  <c r="CK439" i="4"/>
  <c r="CM438" i="4"/>
  <c r="CM439" i="4" s="1"/>
  <c r="CK444" i="4"/>
  <c r="CS414" i="4"/>
  <c r="EQ78" i="4"/>
  <c r="ES78" i="4" s="1"/>
  <c r="EP79" i="4"/>
  <c r="EP295" i="4"/>
  <c r="CJ254" i="4"/>
  <c r="CJ252" i="4"/>
  <c r="CT463" i="4"/>
  <c r="CT31" i="4"/>
  <c r="CK134" i="4"/>
  <c r="CZ85" i="2"/>
  <c r="DA86" i="2"/>
  <c r="CU221" i="4"/>
  <c r="CU237" i="4" s="1"/>
  <c r="CU235" i="4" s="1"/>
  <c r="CU222" i="4"/>
  <c r="BU478" i="2"/>
  <c r="BU481" i="2"/>
  <c r="BU482" i="2" s="1"/>
  <c r="DG272" i="4"/>
  <c r="DG271" i="4"/>
  <c r="DH270" i="4"/>
  <c r="CQ434" i="4"/>
  <c r="BO816" i="4"/>
  <c r="BP810" i="4"/>
  <c r="CQ441" i="4"/>
  <c r="CS440" i="4"/>
  <c r="DB363" i="4"/>
  <c r="CN130" i="4"/>
  <c r="CN131" i="4" s="1"/>
  <c r="CP235" i="4"/>
  <c r="BO811" i="4"/>
  <c r="BO817" i="4" s="1"/>
  <c r="BN817" i="4"/>
  <c r="BN883" i="4" s="1"/>
  <c r="BO692" i="4"/>
  <c r="DK374" i="2"/>
  <c r="DI374" i="2"/>
  <c r="DH384" i="2"/>
  <c r="DH154" i="3"/>
  <c r="DH566" i="2"/>
  <c r="DH91" i="2"/>
  <c r="DB456" i="2"/>
  <c r="DA70" i="2"/>
  <c r="DA460" i="2" s="1"/>
  <c r="DA464" i="2" s="1"/>
  <c r="DB460" i="2"/>
  <c r="DB464" i="2" s="1"/>
  <c r="BZ276" i="2"/>
  <c r="BZ336" i="2" s="1"/>
  <c r="CA336" i="2"/>
  <c r="CA186" i="2"/>
  <c r="CB186" i="2"/>
  <c r="CA287" i="2"/>
  <c r="CK472" i="4"/>
  <c r="CP416" i="4"/>
  <c r="CP417" i="4" s="1"/>
  <c r="CM430" i="4"/>
  <c r="CW313" i="4"/>
  <c r="CW285" i="4"/>
  <c r="CW124" i="4"/>
  <c r="CW262" i="4"/>
  <c r="CX218" i="4"/>
  <c r="CY218" i="4" s="1"/>
  <c r="CX220" i="4"/>
  <c r="BV482" i="2"/>
  <c r="BV483" i="2" s="1"/>
  <c r="BV484" i="2" s="1"/>
  <c r="BV485" i="2" s="1"/>
  <c r="EL256" i="2"/>
  <c r="DF834" i="4"/>
  <c r="DG834" i="4" s="1"/>
  <c r="CU15" i="4"/>
  <c r="CU171" i="4"/>
  <c r="CU253" i="4"/>
  <c r="CU420" i="4"/>
  <c r="DG614" i="2"/>
  <c r="BW475" i="2"/>
  <c r="BW53" i="2"/>
  <c r="CQ423" i="4"/>
  <c r="BS12" i="4"/>
  <c r="BS8" i="4"/>
  <c r="BU7" i="4"/>
  <c r="CZ284" i="4"/>
  <c r="CO460" i="4"/>
  <c r="BN871" i="4"/>
  <c r="BK583" i="4"/>
  <c r="BL872" i="4"/>
  <c r="CS452" i="4"/>
  <c r="CS453" i="4" s="1"/>
  <c r="CQ453" i="4"/>
  <c r="CR403" i="4"/>
  <c r="CR433" i="4"/>
  <c r="CR434" i="4" s="1"/>
  <c r="CR416" i="4"/>
  <c r="CH466" i="4"/>
  <c r="CJ465" i="4"/>
  <c r="CJ466" i="4" s="1"/>
  <c r="BJ954" i="4"/>
  <c r="BK858" i="4"/>
  <c r="BJ861" i="4"/>
  <c r="BJ638" i="4"/>
  <c r="BJ686" i="4" s="1"/>
  <c r="BJ626" i="4"/>
  <c r="BJ668" i="4" s="1"/>
  <c r="CE175" i="2"/>
  <c r="CZ310" i="4"/>
  <c r="BH733" i="4"/>
  <c r="BH936" i="4"/>
  <c r="BH900" i="4"/>
  <c r="DA215" i="4"/>
  <c r="DA217" i="4" s="1"/>
  <c r="DA214" i="4"/>
  <c r="BL751" i="4"/>
  <c r="BK754" i="4"/>
  <c r="CK131" i="4"/>
  <c r="CK377" i="4"/>
  <c r="BI949" i="4"/>
  <c r="CH472" i="4"/>
  <c r="BJ667" i="4"/>
  <c r="CH282" i="2"/>
  <c r="CH276" i="2" s="1"/>
  <c r="CH169" i="3"/>
  <c r="CH165" i="3" s="1"/>
  <c r="CH341" i="2"/>
  <c r="CH163" i="2"/>
  <c r="CH335" i="2"/>
  <c r="CH150" i="2"/>
  <c r="CH333" i="2"/>
  <c r="CH340" i="2"/>
  <c r="CH31" i="2"/>
  <c r="CH179" i="3"/>
  <c r="CH342" i="2"/>
  <c r="CH170" i="3"/>
  <c r="CH166" i="3" s="1"/>
  <c r="CH334" i="2"/>
  <c r="CH339" i="2"/>
  <c r="CH165" i="2"/>
  <c r="CH171" i="3"/>
  <c r="CH167" i="3" s="1"/>
  <c r="CH162" i="2"/>
  <c r="CT118" i="4"/>
  <c r="CT170" i="4"/>
  <c r="CV180" i="4"/>
  <c r="CV181" i="4" s="1"/>
  <c r="CT181" i="4"/>
  <c r="CT209" i="4"/>
  <c r="CT210" i="4" s="1"/>
  <c r="CS402" i="4"/>
  <c r="CS403" i="4" s="1"/>
  <c r="BI715" i="4"/>
  <c r="CN36" i="4"/>
  <c r="CN26" i="4"/>
  <c r="CQ36" i="4"/>
  <c r="CP23" i="4"/>
  <c r="CX118" i="4"/>
  <c r="CX181" i="4"/>
  <c r="CX209" i="4"/>
  <c r="BI656" i="4"/>
  <c r="BI698" i="4" s="1"/>
  <c r="BI943" i="4"/>
  <c r="BI662" i="4"/>
  <c r="BI704" i="4" s="1"/>
  <c r="BI907" i="4" s="1"/>
  <c r="CR449" i="4"/>
  <c r="CR454" i="4"/>
  <c r="CZ218" i="4"/>
  <c r="CZ220" i="4"/>
  <c r="CQ248" i="4"/>
  <c r="CS246" i="4"/>
  <c r="CS247" i="4" s="1"/>
  <c r="DF362" i="4"/>
  <c r="DC366" i="4"/>
  <c r="BG779" i="4"/>
  <c r="CN459" i="4"/>
  <c r="CP253" i="4"/>
  <c r="CN251" i="4"/>
  <c r="DN416" i="2"/>
  <c r="BK876" i="4"/>
  <c r="CU438" i="4" l="1"/>
  <c r="EL84" i="4"/>
  <c r="EK85" i="4"/>
  <c r="DX395" i="4"/>
  <c r="DX317" i="4"/>
  <c r="DX225" i="4"/>
  <c r="EL88" i="4"/>
  <c r="EM87" i="4"/>
  <c r="CS127" i="4"/>
  <c r="EW274" i="2"/>
  <c r="EY274" i="2"/>
  <c r="FA274" i="2" s="1"/>
  <c r="EZ274" i="2" s="1"/>
  <c r="EW292" i="2"/>
  <c r="EY292" i="2"/>
  <c r="DU321" i="4"/>
  <c r="DW321" i="4" s="1"/>
  <c r="DW320" i="4"/>
  <c r="DW226" i="4"/>
  <c r="DW318" i="4"/>
  <c r="CB60" i="4"/>
  <c r="CX246" i="4"/>
  <c r="CX248" i="4" s="1"/>
  <c r="CM469" i="4"/>
  <c r="CM470" i="4" s="1"/>
  <c r="CE491" i="4"/>
  <c r="CE493" i="4" s="1"/>
  <c r="CD49" i="4"/>
  <c r="CD70" i="4" s="1"/>
  <c r="CX170" i="4"/>
  <c r="CX420" i="4" s="1"/>
  <c r="CY191" i="4"/>
  <c r="CY192" i="4" s="1"/>
  <c r="CX241" i="4"/>
  <c r="CX243" i="4" s="1"/>
  <c r="CX438" i="4" s="1"/>
  <c r="DA192" i="4"/>
  <c r="CL54" i="4"/>
  <c r="CX124" i="4"/>
  <c r="CP29" i="4"/>
  <c r="CP30" i="4"/>
  <c r="CM133" i="4"/>
  <c r="CM134" i="4" s="1"/>
  <c r="CM43" i="4"/>
  <c r="CM64" i="4" s="1"/>
  <c r="CO71" i="4"/>
  <c r="CG73" i="2"/>
  <c r="CP21" i="4"/>
  <c r="CB70" i="4"/>
  <c r="CF150" i="4"/>
  <c r="CM471" i="4"/>
  <c r="CM472" i="4" s="1"/>
  <c r="CL42" i="4"/>
  <c r="CL5" i="4" s="1"/>
  <c r="I53" i="9"/>
  <c r="DB277" i="4"/>
  <c r="DB278" i="4" s="1"/>
  <c r="CR431" i="4"/>
  <c r="CS431" i="4" s="1"/>
  <c r="BI742" i="4"/>
  <c r="BI788" i="4" s="1"/>
  <c r="CO486" i="4"/>
  <c r="CO146" i="4" s="1"/>
  <c r="CO147" i="4" s="1"/>
  <c r="CC352" i="2"/>
  <c r="CC24" i="2" s="1"/>
  <c r="CD226" i="3"/>
  <c r="CE171" i="2"/>
  <c r="CC171" i="2"/>
  <c r="CC153" i="2"/>
  <c r="CF479" i="2"/>
  <c r="CF480" i="2" s="1"/>
  <c r="CF619" i="2"/>
  <c r="CF621" i="2" s="1"/>
  <c r="DB299" i="4"/>
  <c r="DA301" i="4"/>
  <c r="DB301" i="4" s="1"/>
  <c r="DG296" i="4"/>
  <c r="DG298" i="4"/>
  <c r="CR347" i="4"/>
  <c r="CS347" i="4" s="1"/>
  <c r="CS348" i="4" s="1"/>
  <c r="CG4" i="3"/>
  <c r="CG10" i="3" s="1"/>
  <c r="CF72" i="2"/>
  <c r="CF345" i="2" s="1"/>
  <c r="CG178" i="2"/>
  <c r="CF178" i="2" s="1"/>
  <c r="CG331" i="2"/>
  <c r="CG154" i="2"/>
  <c r="CG68" i="2"/>
  <c r="CE176" i="2"/>
  <c r="DG204" i="4"/>
  <c r="DG205" i="4"/>
  <c r="CK475" i="4"/>
  <c r="CK476" i="4" s="1"/>
  <c r="CO3" i="4"/>
  <c r="CR326" i="4"/>
  <c r="CS326" i="4" s="1"/>
  <c r="CM343" i="4"/>
  <c r="CG345" i="2"/>
  <c r="CK66" i="3"/>
  <c r="CJ66" i="3"/>
  <c r="CA503" i="2"/>
  <c r="CA184" i="2"/>
  <c r="CA187" i="2" s="1"/>
  <c r="CD152" i="2"/>
  <c r="CD617" i="2"/>
  <c r="CD622" i="2" s="1"/>
  <c r="CD55" i="2"/>
  <c r="CD53" i="2" s="1"/>
  <c r="CD43" i="2" s="1"/>
  <c r="CD476" i="2" s="1"/>
  <c r="CC60" i="2"/>
  <c r="CD159" i="2"/>
  <c r="CD61" i="2"/>
  <c r="DB300" i="4"/>
  <c r="DB302" i="4" s="1"/>
  <c r="DA302" i="4"/>
  <c r="CN271" i="2"/>
  <c r="CL271" i="2"/>
  <c r="CM269" i="2"/>
  <c r="CH479" i="2"/>
  <c r="CH480" i="2" s="1"/>
  <c r="CH619" i="2"/>
  <c r="CH621" i="2" s="1"/>
  <c r="CH72" i="2"/>
  <c r="DM375" i="4"/>
  <c r="DJ295" i="4"/>
  <c r="DJ296" i="4" s="1"/>
  <c r="DJ203" i="4"/>
  <c r="DJ204" i="4" s="1"/>
  <c r="CS328" i="4"/>
  <c r="CS329" i="4" s="1"/>
  <c r="CC69" i="2"/>
  <c r="CG343" i="2"/>
  <c r="DD299" i="4"/>
  <c r="DE298" i="4"/>
  <c r="DE295" i="4" s="1"/>
  <c r="DE296" i="4" s="1"/>
  <c r="DD300" i="4"/>
  <c r="DD206" i="4"/>
  <c r="DE206" i="4" s="1"/>
  <c r="DE205" i="4"/>
  <c r="DE203" i="4" s="1"/>
  <c r="DE204" i="4" s="1"/>
  <c r="CE153" i="2"/>
  <c r="CE60" i="2"/>
  <c r="CE69" i="2"/>
  <c r="CE160" i="2"/>
  <c r="CK77" i="2"/>
  <c r="CI77" i="2"/>
  <c r="CJ74" i="2"/>
  <c r="DG264" i="2"/>
  <c r="E58" i="9"/>
  <c r="I11" i="9"/>
  <c r="I13" i="9" s="1"/>
  <c r="D58" i="9"/>
  <c r="CZ276" i="2"/>
  <c r="DB280" i="2"/>
  <c r="DG19" i="4"/>
  <c r="DG33" i="4" s="1"/>
  <c r="DF33" i="4"/>
  <c r="DI19" i="4"/>
  <c r="DR455" i="2"/>
  <c r="DR148" i="3"/>
  <c r="DS149" i="3"/>
  <c r="DE19" i="4"/>
  <c r="DE33" i="4" s="1"/>
  <c r="V59" i="9"/>
  <c r="CY186" i="2"/>
  <c r="CX186" i="2" s="1"/>
  <c r="CX276" i="2"/>
  <c r="BG736" i="4"/>
  <c r="BG782" i="4" s="1"/>
  <c r="CL255" i="2"/>
  <c r="CM252" i="2"/>
  <c r="CJ264" i="2"/>
  <c r="CI263" i="2"/>
  <c r="BF384" i="2"/>
  <c r="BI374" i="2"/>
  <c r="BF140" i="2"/>
  <c r="BG374" i="2"/>
  <c r="BF566" i="2"/>
  <c r="BF349" i="2"/>
  <c r="BF91" i="2"/>
  <c r="BD349" i="2"/>
  <c r="BD140" i="2"/>
  <c r="BD141" i="2" s="1"/>
  <c r="BD91" i="2"/>
  <c r="BD566" i="2"/>
  <c r="BE374" i="2"/>
  <c r="BD384" i="2"/>
  <c r="DQ145" i="2"/>
  <c r="DP145" i="2" s="1"/>
  <c r="DR145" i="2"/>
  <c r="BB566" i="2"/>
  <c r="BB384" i="2"/>
  <c r="BZ414" i="2"/>
  <c r="CB414" i="2"/>
  <c r="CI46" i="4"/>
  <c r="CI67" i="4" s="1"/>
  <c r="CS138" i="2"/>
  <c r="CQ139" i="2"/>
  <c r="CQ140" i="2" s="1"/>
  <c r="CQ141" i="2" s="1"/>
  <c r="CP140" i="2"/>
  <c r="CO139" i="2"/>
  <c r="CO143" i="2" s="1"/>
  <c r="CO146" i="2" s="1"/>
  <c r="CP143" i="2"/>
  <c r="CP146" i="2" s="1"/>
  <c r="CH120" i="3"/>
  <c r="CH327" i="2"/>
  <c r="CH328" i="2"/>
  <c r="CH236" i="3" s="1"/>
  <c r="CH640" i="2"/>
  <c r="CH329" i="2"/>
  <c r="CH513" i="2"/>
  <c r="CF120" i="3"/>
  <c r="CF513" i="2"/>
  <c r="CF640" i="2"/>
  <c r="CF328" i="2"/>
  <c r="CF236" i="3" s="1"/>
  <c r="CF327" i="2"/>
  <c r="CF166" i="2"/>
  <c r="CK292" i="2"/>
  <c r="CI292" i="2"/>
  <c r="CJ290" i="2"/>
  <c r="CJ304" i="2" s="1"/>
  <c r="CI304" i="2" s="1"/>
  <c r="CF329" i="2"/>
  <c r="CG235" i="3"/>
  <c r="CG330" i="2"/>
  <c r="CH166" i="2"/>
  <c r="EQ294" i="2"/>
  <c r="ES294" i="2"/>
  <c r="EU294" i="2" s="1"/>
  <c r="ES79" i="4"/>
  <c r="ET78" i="4"/>
  <c r="EU78" i="4" s="1"/>
  <c r="ES295" i="4"/>
  <c r="ER75" i="4"/>
  <c r="ER76" i="4" s="1"/>
  <c r="ES75" i="4"/>
  <c r="ES278" i="2"/>
  <c r="EQ278" i="2"/>
  <c r="EQ260" i="2"/>
  <c r="ES260" i="2"/>
  <c r="ES213" i="3" s="1"/>
  <c r="CQ215" i="3"/>
  <c r="CS217" i="3"/>
  <c r="AY25" i="2"/>
  <c r="CC152" i="3"/>
  <c r="EG413" i="2"/>
  <c r="EI413" i="2" s="1"/>
  <c r="EE413" i="2"/>
  <c r="BA25" i="2"/>
  <c r="AZ25" i="2"/>
  <c r="CX149" i="3"/>
  <c r="CW148" i="3"/>
  <c r="CW455" i="2"/>
  <c r="BD441" i="2"/>
  <c r="BC411" i="2"/>
  <c r="BC409" i="2"/>
  <c r="BC410" i="2"/>
  <c r="AX365" i="2"/>
  <c r="AX223" i="3" s="1"/>
  <c r="AX366" i="2"/>
  <c r="AX224" i="3" s="1"/>
  <c r="AX27" i="2"/>
  <c r="AY400" i="2"/>
  <c r="AY472" i="2" s="1"/>
  <c r="AY398" i="2"/>
  <c r="AV27" i="2"/>
  <c r="AV366" i="2"/>
  <c r="AV224" i="3" s="1"/>
  <c r="AV365" i="2"/>
  <c r="AV223" i="3" s="1"/>
  <c r="AZ14" i="2"/>
  <c r="AZ11" i="2"/>
  <c r="AW20" i="2"/>
  <c r="AW140" i="2"/>
  <c r="BA400" i="2"/>
  <c r="BA398" i="2"/>
  <c r="EO131" i="3"/>
  <c r="EQ125" i="3"/>
  <c r="EP78" i="2"/>
  <c r="EP182" i="2" s="1"/>
  <c r="EP131" i="3"/>
  <c r="EM212" i="2"/>
  <c r="EO132" i="3"/>
  <c r="EO212" i="2" s="1"/>
  <c r="CK5" i="4"/>
  <c r="CF5" i="4"/>
  <c r="CG5" i="4" s="1"/>
  <c r="CH5" i="4"/>
  <c r="BX62" i="4"/>
  <c r="CN430" i="4"/>
  <c r="CU38" i="4"/>
  <c r="CF57" i="4"/>
  <c r="CL475" i="4"/>
  <c r="CL476" i="4" s="1"/>
  <c r="CR26" i="4"/>
  <c r="CR39" i="4" s="1"/>
  <c r="CR38" i="4"/>
  <c r="DF283" i="4"/>
  <c r="DE280" i="4"/>
  <c r="DE281" i="4" s="1"/>
  <c r="DD282" i="4"/>
  <c r="DB283" i="4"/>
  <c r="CG42" i="4"/>
  <c r="CG53" i="4" s="1"/>
  <c r="CN435" i="4"/>
  <c r="CP435" i="4" s="1"/>
  <c r="CS125" i="4"/>
  <c r="D57" i="9" s="1"/>
  <c r="CL489" i="4"/>
  <c r="CL46" i="4" s="1"/>
  <c r="DG106" i="4"/>
  <c r="DG747" i="4"/>
  <c r="DH105" i="4"/>
  <c r="DH106" i="4" s="1"/>
  <c r="DG354" i="4"/>
  <c r="DH109" i="4"/>
  <c r="CN257" i="4"/>
  <c r="BG939" i="4"/>
  <c r="CO465" i="4"/>
  <c r="CO466" i="4" s="1"/>
  <c r="CP451" i="4"/>
  <c r="CP432" i="4"/>
  <c r="CP441" i="4"/>
  <c r="CO436" i="4"/>
  <c r="CO483" i="4"/>
  <c r="CO139" i="4" s="1"/>
  <c r="CO140" i="4" s="1"/>
  <c r="CF47" i="4"/>
  <c r="CG47" i="4" s="1"/>
  <c r="CG58" i="4" s="1"/>
  <c r="CO427" i="4"/>
  <c r="CF67" i="4"/>
  <c r="CO479" i="4"/>
  <c r="CI149" i="4"/>
  <c r="CI150" i="4" s="1"/>
  <c r="BX160" i="4"/>
  <c r="BX161" i="4" s="1"/>
  <c r="CN469" i="4"/>
  <c r="CN470" i="4" s="1"/>
  <c r="CP130" i="4"/>
  <c r="CP131" i="4" s="1"/>
  <c r="CS344" i="4"/>
  <c r="CS345" i="4" s="1"/>
  <c r="CU328" i="4"/>
  <c r="CU431" i="4" s="1"/>
  <c r="CL841" i="4"/>
  <c r="CK823" i="4"/>
  <c r="CK841" i="4" s="1"/>
  <c r="CP841" i="4"/>
  <c r="CO823" i="4"/>
  <c r="CS823" i="4"/>
  <c r="CL136" i="4"/>
  <c r="CL137" i="4" s="1"/>
  <c r="CQ235" i="4"/>
  <c r="CQ130" i="4" s="1"/>
  <c r="BJ896" i="4"/>
  <c r="CQ429" i="4"/>
  <c r="CS429" i="4" s="1"/>
  <c r="BJ688" i="4"/>
  <c r="CM377" i="4"/>
  <c r="CS237" i="4"/>
  <c r="CS238" i="4" s="1"/>
  <c r="CN43" i="4"/>
  <c r="CN54" i="4" s="1"/>
  <c r="CG475" i="4"/>
  <c r="CG476" i="4" s="1"/>
  <c r="CX313" i="4"/>
  <c r="CX315" i="4" s="1"/>
  <c r="CY284" i="4"/>
  <c r="CY285" i="4" s="1"/>
  <c r="CY337" i="4"/>
  <c r="CY338" i="4" s="1"/>
  <c r="CW852" i="4"/>
  <c r="CX852" i="4" s="1"/>
  <c r="DB852" i="4"/>
  <c r="CU443" i="4"/>
  <c r="CM436" i="4"/>
  <c r="CP342" i="4"/>
  <c r="CP343" i="4" s="1"/>
  <c r="CR20" i="4"/>
  <c r="CR34" i="4" s="1"/>
  <c r="DQ229" i="4"/>
  <c r="CJ44" i="4"/>
  <c r="CM55" i="4" s="1"/>
  <c r="EB392" i="4"/>
  <c r="DY225" i="4"/>
  <c r="DY317" i="4"/>
  <c r="DY395" i="4"/>
  <c r="DS229" i="4"/>
  <c r="DS321" i="4"/>
  <c r="CU315" i="4"/>
  <c r="CV405" i="4"/>
  <c r="CV406" i="4" s="1"/>
  <c r="BL570" i="4"/>
  <c r="BL590" i="4"/>
  <c r="BL584" i="4" s="1"/>
  <c r="CS335" i="4"/>
  <c r="CS16" i="4"/>
  <c r="CR21" i="4"/>
  <c r="BK592" i="4"/>
  <c r="BK640" i="4" s="1"/>
  <c r="CD58" i="4"/>
  <c r="CV413" i="4"/>
  <c r="CV414" i="4" s="1"/>
  <c r="DR321" i="4"/>
  <c r="DT320" i="4"/>
  <c r="DQ321" i="4"/>
  <c r="EA392" i="4"/>
  <c r="BW477" i="2"/>
  <c r="BW481" i="2" s="1"/>
  <c r="BW482" i="2" s="1"/>
  <c r="DU228" i="4"/>
  <c r="DW228" i="4" s="1"/>
  <c r="DU226" i="4"/>
  <c r="DR229" i="4"/>
  <c r="DT228" i="4"/>
  <c r="EI82" i="4"/>
  <c r="EJ81" i="4"/>
  <c r="BT481" i="2"/>
  <c r="BT482" i="2" s="1"/>
  <c r="BT483" i="2" s="1"/>
  <c r="BT484" i="2" s="1"/>
  <c r="CS422" i="4"/>
  <c r="CS423" i="4" s="1"/>
  <c r="CV315" i="4"/>
  <c r="CP461" i="4"/>
  <c r="CP462" i="4" s="1"/>
  <c r="CR456" i="4"/>
  <c r="CR828" i="4"/>
  <c r="CR829" i="4" s="1"/>
  <c r="CR830" i="4" s="1"/>
  <c r="CR831" i="4" s="1"/>
  <c r="CR840" i="4"/>
  <c r="CR846" i="4" s="1"/>
  <c r="CR847" i="4" s="1"/>
  <c r="CR848" i="4" s="1"/>
  <c r="CR849" i="4" s="1"/>
  <c r="CQ822" i="4"/>
  <c r="CU822" i="4"/>
  <c r="CY822" i="4"/>
  <c r="CV840" i="4"/>
  <c r="CV846" i="4" s="1"/>
  <c r="CV847" i="4" s="1"/>
  <c r="CV848" i="4" s="1"/>
  <c r="CV849" i="4" s="1"/>
  <c r="CV828" i="4"/>
  <c r="CV829" i="4" s="1"/>
  <c r="CV830" i="4" s="1"/>
  <c r="CV831" i="4" s="1"/>
  <c r="CN828" i="4"/>
  <c r="CN829" i="4" s="1"/>
  <c r="CN830" i="4" s="1"/>
  <c r="CN831" i="4" s="1"/>
  <c r="CN840" i="4"/>
  <c r="CN846" i="4" s="1"/>
  <c r="CN847" i="4" s="1"/>
  <c r="CN848" i="4" s="1"/>
  <c r="CN849" i="4" s="1"/>
  <c r="BI944" i="4"/>
  <c r="BI945" i="4" s="1"/>
  <c r="BI663" i="4"/>
  <c r="BI705" i="4" s="1"/>
  <c r="BI908" i="4" s="1"/>
  <c r="BI657" i="4"/>
  <c r="BI699" i="4" s="1"/>
  <c r="BI700" i="4" s="1"/>
  <c r="BI622" i="4"/>
  <c r="BI664" i="4" s="1"/>
  <c r="BJ729" i="4"/>
  <c r="BJ932" i="4" s="1"/>
  <c r="CZ835" i="4"/>
  <c r="DA835" i="4" s="1"/>
  <c r="DE835" i="4"/>
  <c r="CF838" i="4"/>
  <c r="CE825" i="4"/>
  <c r="CF843" i="4"/>
  <c r="CF856" i="4" s="1"/>
  <c r="BJ711" i="4"/>
  <c r="CQ773" i="4"/>
  <c r="CQ774" i="4" s="1"/>
  <c r="BL585" i="4"/>
  <c r="BM569" i="4"/>
  <c r="BL639" i="4"/>
  <c r="BL627" i="4"/>
  <c r="BK585" i="4"/>
  <c r="BK586" i="4" s="1"/>
  <c r="BK639" i="4"/>
  <c r="BK687" i="4" s="1"/>
  <c r="BK729" i="4" s="1"/>
  <c r="BK627" i="4"/>
  <c r="BK669" i="4" s="1"/>
  <c r="BK711" i="4" s="1"/>
  <c r="CI825" i="4"/>
  <c r="CJ838" i="4"/>
  <c r="CM825" i="4"/>
  <c r="CJ843" i="4"/>
  <c r="CJ856" i="4" s="1"/>
  <c r="BI675" i="4"/>
  <c r="BI717" i="4" s="1"/>
  <c r="BI920" i="4" s="1"/>
  <c r="BI681" i="4"/>
  <c r="BI723" i="4" s="1"/>
  <c r="BI926" i="4" s="1"/>
  <c r="BJ633" i="4"/>
  <c r="BJ621" i="4"/>
  <c r="CB843" i="4"/>
  <c r="CB856" i="4" s="1"/>
  <c r="CB838" i="4"/>
  <c r="BQ483" i="2"/>
  <c r="BQ484" i="2" s="1"/>
  <c r="DE664" i="2"/>
  <c r="DD380" i="4"/>
  <c r="DE379" i="4"/>
  <c r="DE380" i="4" s="1"/>
  <c r="DI837" i="4"/>
  <c r="DJ837" i="4" s="1"/>
  <c r="DN837" i="4"/>
  <c r="CV221" i="4"/>
  <c r="CQ771" i="4"/>
  <c r="BJ957" i="4"/>
  <c r="CU453" i="4"/>
  <c r="CR773" i="4"/>
  <c r="CR774" i="4" s="1"/>
  <c r="DE360" i="4"/>
  <c r="DE356" i="4"/>
  <c r="DE357" i="4" s="1"/>
  <c r="DH664" i="2"/>
  <c r="EQ76" i="4"/>
  <c r="BW12" i="4"/>
  <c r="BW8" i="4"/>
  <c r="DT505" i="4"/>
  <c r="DT504" i="4"/>
  <c r="CQ256" i="4"/>
  <c r="CQ43" i="4" s="1"/>
  <c r="DD387" i="4"/>
  <c r="DE387" i="4" s="1"/>
  <c r="DE383" i="4" s="1"/>
  <c r="DE386" i="4" s="1"/>
  <c r="EP213" i="3"/>
  <c r="CR461" i="4"/>
  <c r="CR462" i="4" s="1"/>
  <c r="CR342" i="4"/>
  <c r="CR343" i="4" s="1"/>
  <c r="DI181" i="2"/>
  <c r="DE188" i="4"/>
  <c r="DD189" i="4"/>
  <c r="DD191" i="4"/>
  <c r="DD192" i="4" s="1"/>
  <c r="CV771" i="4"/>
  <c r="CV770" i="4"/>
  <c r="CY762" i="4"/>
  <c r="CY768" i="4"/>
  <c r="CY770" i="4" s="1"/>
  <c r="CU16" i="4"/>
  <c r="CU30" i="4" s="1"/>
  <c r="CU263" i="4"/>
  <c r="CU344" i="4"/>
  <c r="CU422" i="4"/>
  <c r="CU441" i="4" s="1"/>
  <c r="CX440" i="4"/>
  <c r="BL955" i="4"/>
  <c r="BM859" i="4"/>
  <c r="CV262" i="4"/>
  <c r="CV263" i="4" s="1"/>
  <c r="DD281" i="4"/>
  <c r="DD260" i="4"/>
  <c r="DE260" i="4" s="1"/>
  <c r="DE261" i="4" s="1"/>
  <c r="CI134" i="4"/>
  <c r="CJ133" i="4"/>
  <c r="CJ134" i="4" s="1"/>
  <c r="CX285" i="4"/>
  <c r="CX262" i="4"/>
  <c r="CX335" i="4" s="1"/>
  <c r="DG188" i="4"/>
  <c r="DH188" i="4" s="1"/>
  <c r="BK890" i="4"/>
  <c r="BK891" i="4" s="1"/>
  <c r="BK884" i="4"/>
  <c r="BK885" i="4" s="1"/>
  <c r="DB207" i="3"/>
  <c r="DA206" i="3"/>
  <c r="DF189" i="4"/>
  <c r="DF191" i="4"/>
  <c r="DA284" i="4"/>
  <c r="DA124" i="4" s="1"/>
  <c r="BZ62" i="4"/>
  <c r="BZ7" i="4"/>
  <c r="BZ72" i="4"/>
  <c r="CA477" i="2"/>
  <c r="DG280" i="4"/>
  <c r="CI65" i="4"/>
  <c r="CI55" i="4"/>
  <c r="CI42" i="4"/>
  <c r="CC51" i="4"/>
  <c r="CC6" i="4" s="1"/>
  <c r="CD6" i="4" s="1"/>
  <c r="CC70" i="4"/>
  <c r="CC60" i="4"/>
  <c r="CG65" i="4"/>
  <c r="CG55" i="4"/>
  <c r="DA761" i="4"/>
  <c r="CZ761" i="4"/>
  <c r="DB757" i="4"/>
  <c r="DB765" i="4" s="1"/>
  <c r="DE761" i="4"/>
  <c r="DB769" i="4"/>
  <c r="DB758" i="4"/>
  <c r="DB766" i="4" s="1"/>
  <c r="DB760" i="4"/>
  <c r="DB759" i="4"/>
  <c r="DB767" i="4" s="1"/>
  <c r="DE580" i="4"/>
  <c r="CZ580" i="4"/>
  <c r="DA580" i="4" s="1"/>
  <c r="BK878" i="4"/>
  <c r="BK879" i="4" s="1"/>
  <c r="CX759" i="4"/>
  <c r="CX767" i="4" s="1"/>
  <c r="CX758" i="4"/>
  <c r="CX766" i="4" s="1"/>
  <c r="CX769" i="4"/>
  <c r="CX757" i="4"/>
  <c r="CX765" i="4" s="1"/>
  <c r="CX760" i="4"/>
  <c r="CY332" i="4"/>
  <c r="CY333" i="4" s="1"/>
  <c r="DB191" i="4"/>
  <c r="CT762" i="4"/>
  <c r="CT768" i="4"/>
  <c r="CT770" i="4" s="1"/>
  <c r="DO273" i="2"/>
  <c r="DM273" i="2"/>
  <c r="CF53" i="4"/>
  <c r="CW758" i="4"/>
  <c r="CW766" i="4" s="1"/>
  <c r="CW757" i="4"/>
  <c r="CW765" i="4" s="1"/>
  <c r="CW769" i="4"/>
  <c r="CW760" i="4"/>
  <c r="CW759" i="4"/>
  <c r="CW767" i="4" s="1"/>
  <c r="CU762" i="4"/>
  <c r="CU768" i="4"/>
  <c r="CU770" i="4" s="1"/>
  <c r="DC192" i="4"/>
  <c r="CU335" i="4"/>
  <c r="CV17" i="4"/>
  <c r="CP430" i="4"/>
  <c r="CA51" i="4"/>
  <c r="CA62" i="4" s="1"/>
  <c r="DH184" i="4"/>
  <c r="BZ161" i="4"/>
  <c r="CA160" i="4"/>
  <c r="CA161" i="4" s="1"/>
  <c r="CR423" i="4"/>
  <c r="CR451" i="4"/>
  <c r="DA332" i="4"/>
  <c r="DA334" i="4" s="1"/>
  <c r="DA261" i="4"/>
  <c r="DA337" i="4"/>
  <c r="DA339" i="4" s="1"/>
  <c r="DA450" i="4" s="1"/>
  <c r="CI472" i="4"/>
  <c r="CI475" i="4"/>
  <c r="CI476" i="4" s="1"/>
  <c r="CR771" i="4"/>
  <c r="CR441" i="4"/>
  <c r="BX478" i="2"/>
  <c r="BO883" i="4"/>
  <c r="CQ448" i="4"/>
  <c r="CS248" i="4"/>
  <c r="CP36" i="4"/>
  <c r="CS36" i="4"/>
  <c r="BJ710" i="4"/>
  <c r="CR417" i="4"/>
  <c r="CR473" i="4"/>
  <c r="CR474" i="4" s="1"/>
  <c r="CR45" i="4"/>
  <c r="CS45" i="4" s="1"/>
  <c r="AE397" i="2"/>
  <c r="AE398" i="2" s="1"/>
  <c r="AD409" i="2"/>
  <c r="AD397" i="2" s="1"/>
  <c r="CM65" i="4"/>
  <c r="DN268" i="2"/>
  <c r="DL266" i="2"/>
  <c r="CM300" i="2"/>
  <c r="CK297" i="2"/>
  <c r="BW651" i="4"/>
  <c r="CF155" i="4"/>
  <c r="CF160" i="4"/>
  <c r="CF161" i="4" s="1"/>
  <c r="BX650" i="4"/>
  <c r="BU752" i="4"/>
  <c r="CW335" i="4"/>
  <c r="CW440" i="4"/>
  <c r="CY334" i="4"/>
  <c r="CK466" i="4"/>
  <c r="CM465" i="4"/>
  <c r="CM466" i="4" s="1"/>
  <c r="BH925" i="4"/>
  <c r="BH724" i="4"/>
  <c r="BH927" i="4" s="1"/>
  <c r="CC42" i="2"/>
  <c r="CC475" i="2" s="1"/>
  <c r="CD475" i="2"/>
  <c r="BO812" i="4"/>
  <c r="BO818" i="4" s="1"/>
  <c r="BN818" i="4"/>
  <c r="CX390" i="4"/>
  <c r="CX402" i="4"/>
  <c r="CY402" i="4" s="1"/>
  <c r="DH22" i="2"/>
  <c r="I17" i="9" s="1"/>
  <c r="DH349" i="2"/>
  <c r="DL69" i="3"/>
  <c r="DI70" i="2"/>
  <c r="DI460" i="2" s="1"/>
  <c r="DI464" i="2" s="1"/>
  <c r="BK632" i="4"/>
  <c r="BK620" i="4"/>
  <c r="CU439" i="4"/>
  <c r="CU444" i="4"/>
  <c r="CU445" i="4" s="1"/>
  <c r="CU416" i="4"/>
  <c r="CU403" i="4"/>
  <c r="CU433" i="4"/>
  <c r="CU434" i="4" s="1"/>
  <c r="CP251" i="4"/>
  <c r="CN252" i="4"/>
  <c r="BM751" i="4"/>
  <c r="BL754" i="4"/>
  <c r="BM872" i="4"/>
  <c r="CU251" i="4"/>
  <c r="CU252" i="4" s="1"/>
  <c r="CU459" i="4"/>
  <c r="CW125" i="4"/>
  <c r="CW25" i="4"/>
  <c r="CW182" i="4"/>
  <c r="DI385" i="2"/>
  <c r="DI400" i="2"/>
  <c r="V17" i="9" s="1"/>
  <c r="CS433" i="4"/>
  <c r="CS434" i="4" s="1"/>
  <c r="CK445" i="4"/>
  <c r="CM444" i="4"/>
  <c r="CM445" i="4" s="1"/>
  <c r="DB364" i="4"/>
  <c r="DB365" i="4" s="1"/>
  <c r="DB367" i="4"/>
  <c r="CN460" i="4"/>
  <c r="CP459" i="4"/>
  <c r="CP460" i="4" s="1"/>
  <c r="CN465" i="4"/>
  <c r="DC389" i="4"/>
  <c r="DC367" i="4"/>
  <c r="DC351" i="4"/>
  <c r="BJ670" i="4"/>
  <c r="BJ709" i="4"/>
  <c r="BH779" i="4"/>
  <c r="CU29" i="4"/>
  <c r="BP816" i="4"/>
  <c r="BP811" i="4"/>
  <c r="BQ810" i="4"/>
  <c r="EQ79" i="4"/>
  <c r="BW691" i="4"/>
  <c r="CQ432" i="4"/>
  <c r="CT45" i="4"/>
  <c r="CT473" i="4"/>
  <c r="CT417" i="4"/>
  <c r="DD365" i="2"/>
  <c r="DD366" i="2"/>
  <c r="DD224" i="3" s="1"/>
  <c r="DB213" i="4"/>
  <c r="DB305" i="4"/>
  <c r="DB384" i="4"/>
  <c r="DB386" i="4"/>
  <c r="CV215" i="4"/>
  <c r="CV214" i="4"/>
  <c r="DC218" i="4"/>
  <c r="DC220" i="4"/>
  <c r="CF339" i="2"/>
  <c r="CF341" i="2"/>
  <c r="CF175" i="2"/>
  <c r="CF340" i="2"/>
  <c r="CF342" i="2"/>
  <c r="CF31" i="2"/>
  <c r="CF333" i="2"/>
  <c r="CF169" i="3"/>
  <c r="CF165" i="3" s="1"/>
  <c r="CF335" i="2"/>
  <c r="CF165" i="2"/>
  <c r="CF334" i="2"/>
  <c r="CF168" i="2"/>
  <c r="CF150" i="2"/>
  <c r="CF170" i="3"/>
  <c r="CF166" i="3" s="1"/>
  <c r="CF171" i="3"/>
  <c r="CF167" i="3" s="1"/>
  <c r="CF163" i="2"/>
  <c r="CF162" i="2"/>
  <c r="CF11" i="4"/>
  <c r="CJ54" i="4"/>
  <c r="CJ64" i="4"/>
  <c r="CS416" i="4"/>
  <c r="CS417" i="4" s="1"/>
  <c r="CN472" i="4"/>
  <c r="CP471" i="4"/>
  <c r="CP472" i="4" s="1"/>
  <c r="DG178" i="4"/>
  <c r="BX307" i="2"/>
  <c r="BX634" i="2"/>
  <c r="BX636" i="2" s="1"/>
  <c r="BX639" i="2" s="1"/>
  <c r="BX642" i="2" s="1"/>
  <c r="BX644" i="2" s="1"/>
  <c r="BX346" i="2" s="1"/>
  <c r="BW305" i="2"/>
  <c r="BW634" i="2" s="1"/>
  <c r="BW636" i="2" s="1"/>
  <c r="BW639" i="2" s="1"/>
  <c r="BW642" i="2" s="1"/>
  <c r="BW644" i="2" s="1"/>
  <c r="BW346" i="2" s="1"/>
  <c r="EB190" i="2"/>
  <c r="CQ39" i="4"/>
  <c r="CV125" i="4"/>
  <c r="CJ11" i="4"/>
  <c r="BJ632" i="4"/>
  <c r="BJ620" i="4"/>
  <c r="CV409" i="4"/>
  <c r="CV410" i="4" s="1"/>
  <c r="DF365" i="2"/>
  <c r="DF366" i="2"/>
  <c r="DF224" i="3" s="1"/>
  <c r="DF281" i="4"/>
  <c r="DF260" i="4"/>
  <c r="BY644" i="4"/>
  <c r="DA310" i="4"/>
  <c r="DB310" i="4" s="1"/>
  <c r="DA312" i="4"/>
  <c r="DB312" i="4" s="1"/>
  <c r="DF366" i="4"/>
  <c r="CE150" i="3"/>
  <c r="CX23" i="4"/>
  <c r="CX119" i="4"/>
  <c r="BI918" i="4"/>
  <c r="CT15" i="4"/>
  <c r="CV170" i="4"/>
  <c r="CV171" i="4" s="1"/>
  <c r="CT420" i="4"/>
  <c r="CT171" i="4"/>
  <c r="CT253" i="4"/>
  <c r="BK861" i="4"/>
  <c r="BL858" i="4"/>
  <c r="BK954" i="4"/>
  <c r="BI915" i="4"/>
  <c r="CW315" i="4"/>
  <c r="CW328" i="4"/>
  <c r="CV463" i="4"/>
  <c r="CT464" i="4"/>
  <c r="CB72" i="4"/>
  <c r="CB62" i="4"/>
  <c r="BU652" i="4"/>
  <c r="CR643" i="4"/>
  <c r="DE836" i="4"/>
  <c r="DC836" i="4" s="1"/>
  <c r="DD836" i="4" s="1"/>
  <c r="EP338" i="4"/>
  <c r="DF307" i="4"/>
  <c r="DF309" i="4" s="1"/>
  <c r="DF312" i="4" s="1"/>
  <c r="DF306" i="4"/>
  <c r="CU128" i="4"/>
  <c r="CE70" i="4"/>
  <c r="CE51" i="4"/>
  <c r="CE6" i="4" s="1"/>
  <c r="CE60" i="4"/>
  <c r="CV307" i="4"/>
  <c r="CV306" i="4"/>
  <c r="DA118" i="4"/>
  <c r="DA170" i="4"/>
  <c r="DA209" i="4"/>
  <c r="DA181" i="4"/>
  <c r="EO75" i="3"/>
  <c r="CK456" i="4"/>
  <c r="CM454" i="4"/>
  <c r="CM456" i="4" s="1"/>
  <c r="DB854" i="4"/>
  <c r="CK824" i="4"/>
  <c r="CK842" i="4" s="1"/>
  <c r="CL842" i="4"/>
  <c r="BM877" i="4"/>
  <c r="BL895" i="4"/>
  <c r="DG362" i="4"/>
  <c r="DD366" i="4"/>
  <c r="CF645" i="4"/>
  <c r="CE630" i="2"/>
  <c r="CE631" i="2" s="1"/>
  <c r="CE305" i="2"/>
  <c r="CK489" i="4"/>
  <c r="CM479" i="4"/>
  <c r="CM480" i="4" s="1"/>
  <c r="CK136" i="4"/>
  <c r="CW169" i="4"/>
  <c r="CW246" i="4"/>
  <c r="CY168" i="4"/>
  <c r="CY169" i="4" s="1"/>
  <c r="CW241" i="4"/>
  <c r="EE178" i="3"/>
  <c r="EF178" i="3" s="1"/>
  <c r="ED190" i="2"/>
  <c r="EI300" i="2"/>
  <c r="CK53" i="4"/>
  <c r="CT423" i="4"/>
  <c r="DK69" i="3"/>
  <c r="DH70" i="2"/>
  <c r="DG69" i="3"/>
  <c r="BH742" i="4"/>
  <c r="BH788" i="4" s="1"/>
  <c r="BH915" i="4"/>
  <c r="BM889" i="4"/>
  <c r="DJ383" i="4"/>
  <c r="DG305" i="4"/>
  <c r="DG386" i="4"/>
  <c r="DG213" i="4"/>
  <c r="CT453" i="4"/>
  <c r="CV452" i="4"/>
  <c r="DC310" i="4"/>
  <c r="CZ334" i="4"/>
  <c r="CK179" i="3"/>
  <c r="CK31" i="2"/>
  <c r="CK334" i="2"/>
  <c r="CK339" i="2"/>
  <c r="CK169" i="3"/>
  <c r="CK165" i="3" s="1"/>
  <c r="CK335" i="2"/>
  <c r="CK150" i="2"/>
  <c r="CK340" i="2"/>
  <c r="CK341" i="2"/>
  <c r="CK282" i="2"/>
  <c r="CK276" i="2" s="1"/>
  <c r="CK163" i="2"/>
  <c r="CK333" i="2"/>
  <c r="CK170" i="3"/>
  <c r="CK166" i="3" s="1"/>
  <c r="CK171" i="3"/>
  <c r="CK167" i="3" s="1"/>
  <c r="CK165" i="2"/>
  <c r="CK342" i="2"/>
  <c r="CK162" i="2"/>
  <c r="CD186" i="2"/>
  <c r="CD287" i="2"/>
  <c r="CD336" i="2"/>
  <c r="CC276" i="2"/>
  <c r="CC336" i="2" s="1"/>
  <c r="BJ673" i="4"/>
  <c r="BJ679" i="4"/>
  <c r="BJ721" i="4" s="1"/>
  <c r="CU5" i="3"/>
  <c r="CU11" i="3" s="1"/>
  <c r="CU156" i="2"/>
  <c r="CU202" i="3"/>
  <c r="CU173" i="2"/>
  <c r="CU344" i="2"/>
  <c r="DC284" i="4"/>
  <c r="CW452" i="4"/>
  <c r="CX222" i="4"/>
  <c r="CX221" i="4"/>
  <c r="CX237" i="4" s="1"/>
  <c r="CZ90" i="2"/>
  <c r="T14" i="9" s="1"/>
  <c r="DA85" i="2"/>
  <c r="CZ390" i="4"/>
  <c r="CZ402" i="4"/>
  <c r="CQ244" i="4"/>
  <c r="CS243" i="4"/>
  <c r="CS244" i="4" s="1"/>
  <c r="CQ438" i="4"/>
  <c r="DF215" i="4"/>
  <c r="DF217" i="4" s="1"/>
  <c r="DF214" i="4"/>
  <c r="DA389" i="4"/>
  <c r="DA367" i="4"/>
  <c r="DA351" i="4"/>
  <c r="BW649" i="4"/>
  <c r="CH140" i="4"/>
  <c r="CJ139" i="4"/>
  <c r="CJ140" i="4" s="1"/>
  <c r="DD70" i="2"/>
  <c r="DD460" i="2" s="1"/>
  <c r="DD464" i="2" s="1"/>
  <c r="DE456" i="2"/>
  <c r="DE460" i="2"/>
  <c r="DE464" i="2" s="1"/>
  <c r="DD214" i="4"/>
  <c r="DD215" i="4"/>
  <c r="DD217" i="4" s="1"/>
  <c r="DE217" i="4" s="1"/>
  <c r="BP500" i="2"/>
  <c r="BP499" i="2"/>
  <c r="BP497" i="2"/>
  <c r="BP504" i="2"/>
  <c r="BQ498" i="2"/>
  <c r="BM589" i="4"/>
  <c r="BM583" i="4" s="1"/>
  <c r="BN567" i="4"/>
  <c r="BJ942" i="4"/>
  <c r="BJ655" i="4"/>
  <c r="BJ661" i="4"/>
  <c r="BJ703" i="4" s="1"/>
  <c r="BH698" i="4"/>
  <c r="BH658" i="4"/>
  <c r="CQ20" i="4"/>
  <c r="CS15" i="4"/>
  <c r="CQ29" i="4"/>
  <c r="CQ21" i="4"/>
  <c r="CH46" i="4"/>
  <c r="CJ489" i="4"/>
  <c r="DO416" i="2"/>
  <c r="CG150" i="3"/>
  <c r="BI734" i="4"/>
  <c r="BI780" i="4" s="1"/>
  <c r="BI937" i="4"/>
  <c r="BI901" i="4"/>
  <c r="CV118" i="4"/>
  <c r="CT23" i="4"/>
  <c r="CT127" i="4"/>
  <c r="CT119" i="4"/>
  <c r="CH336" i="2"/>
  <c r="CH287" i="2"/>
  <c r="DA218" i="4"/>
  <c r="DB218" i="4" s="1"/>
  <c r="DA220" i="4"/>
  <c r="CU421" i="4"/>
  <c r="CA305" i="2"/>
  <c r="BZ287" i="2"/>
  <c r="BZ630" i="2" s="1"/>
  <c r="BZ631" i="2" s="1"/>
  <c r="CA630" i="2"/>
  <c r="CA631" i="2" s="1"/>
  <c r="CU238" i="4"/>
  <c r="CU429" i="4"/>
  <c r="CU256" i="4"/>
  <c r="EP296" i="4"/>
  <c r="CT329" i="4"/>
  <c r="CT431" i="4"/>
  <c r="CT347" i="4"/>
  <c r="BI951" i="4"/>
  <c r="AU142" i="2"/>
  <c r="AU143" i="2" s="1"/>
  <c r="AU146" i="2" s="1"/>
  <c r="AV142" i="2" s="1"/>
  <c r="AV143" i="2" s="1"/>
  <c r="AV146" i="2" s="1"/>
  <c r="AW142" i="2"/>
  <c r="AW143" i="2" s="1"/>
  <c r="AW146" i="2" s="1"/>
  <c r="BL860" i="4"/>
  <c r="BK956" i="4"/>
  <c r="DF387" i="4"/>
  <c r="CU26" i="4"/>
  <c r="CU36" i="4"/>
  <c r="CH93" i="3"/>
  <c r="DK185" i="2"/>
  <c r="Z28" i="9" s="1"/>
  <c r="DJ266" i="2"/>
  <c r="DK614" i="2"/>
  <c r="CU400" i="4"/>
  <c r="CV400" i="4" s="1"/>
  <c r="CI297" i="2"/>
  <c r="CI91" i="3" s="1"/>
  <c r="CI93" i="3" s="1"/>
  <c r="CJ91" i="3"/>
  <c r="CJ337" i="2"/>
  <c r="CN133" i="4"/>
  <c r="BL625" i="4"/>
  <c r="BL637" i="4"/>
  <c r="CY213" i="4"/>
  <c r="CY384" i="4"/>
  <c r="CY386" i="4"/>
  <c r="CY305" i="4"/>
  <c r="CR464" i="4"/>
  <c r="CZ180" i="4"/>
  <c r="CZ179" i="4"/>
  <c r="CZ168" i="4"/>
  <c r="CZ208" i="4"/>
  <c r="DB208" i="4" s="1"/>
  <c r="DB178" i="4"/>
  <c r="CS824" i="4"/>
  <c r="CP842" i="4"/>
  <c r="CO824" i="4"/>
  <c r="CY179" i="4"/>
  <c r="CY175" i="4"/>
  <c r="CV424" i="4"/>
  <c r="CV425" i="4" s="1"/>
  <c r="CT326" i="4"/>
  <c r="CT30" i="4"/>
  <c r="CX17" i="4"/>
  <c r="CX31" i="4" s="1"/>
  <c r="CX424" i="4"/>
  <c r="CX425" i="4" s="1"/>
  <c r="CX409" i="4"/>
  <c r="CX452" i="4" s="1"/>
  <c r="CX352" i="4"/>
  <c r="CX405" i="4"/>
  <c r="CX442" i="4" s="1"/>
  <c r="CX413" i="4"/>
  <c r="CX463" i="4" s="1"/>
  <c r="DI82" i="4"/>
  <c r="DJ81" i="4"/>
  <c r="DL82" i="4"/>
  <c r="CY220" i="4"/>
  <c r="CY222" i="4" s="1"/>
  <c r="DF221" i="2"/>
  <c r="DF222" i="2" s="1"/>
  <c r="DF225" i="3"/>
  <c r="BL583" i="4"/>
  <c r="CM3" i="4"/>
  <c r="CK11" i="4"/>
  <c r="DF86" i="2"/>
  <c r="DF460" i="2"/>
  <c r="DF464" i="2" s="1"/>
  <c r="CW450" i="4"/>
  <c r="CY339" i="4"/>
  <c r="BJ586" i="4"/>
  <c r="CY365" i="4"/>
  <c r="CN34" i="4"/>
  <c r="CN30" i="2"/>
  <c r="CN3" i="4"/>
  <c r="CN71" i="4"/>
  <c r="CP20" i="4"/>
  <c r="CR43" i="4"/>
  <c r="CR469" i="4"/>
  <c r="CR257" i="4"/>
  <c r="CQ421" i="4"/>
  <c r="CS420" i="4"/>
  <c r="CS421" i="4" s="1"/>
  <c r="CQ426" i="4"/>
  <c r="BV12" i="4"/>
  <c r="BX7" i="4"/>
  <c r="BV8" i="4"/>
  <c r="CY351" i="4"/>
  <c r="CY352" i="4" s="1"/>
  <c r="CW442" i="4"/>
  <c r="CW433" i="4"/>
  <c r="CW403" i="4"/>
  <c r="CW416" i="4"/>
  <c r="DG273" i="4"/>
  <c r="DH272" i="4"/>
  <c r="CZ222" i="4"/>
  <c r="CZ221" i="4"/>
  <c r="BK631" i="4"/>
  <c r="BK619" i="4"/>
  <c r="BU12" i="4"/>
  <c r="BU8" i="4"/>
  <c r="EM256" i="2"/>
  <c r="EL255" i="2"/>
  <c r="EK256" i="2"/>
  <c r="CW16" i="4"/>
  <c r="CW344" i="4"/>
  <c r="CW422" i="4"/>
  <c r="CW263" i="4"/>
  <c r="BP692" i="4"/>
  <c r="CZ17" i="4"/>
  <c r="CZ405" i="4"/>
  <c r="CZ409" i="4"/>
  <c r="CZ413" i="4"/>
  <c r="CZ424" i="4"/>
  <c r="CZ352" i="4"/>
  <c r="CI30" i="2"/>
  <c r="CK168" i="2" s="1"/>
  <c r="CJ333" i="2"/>
  <c r="CJ342" i="2"/>
  <c r="CJ150" i="2"/>
  <c r="CJ340" i="2"/>
  <c r="CJ165" i="2"/>
  <c r="CJ179" i="3"/>
  <c r="CJ31" i="2"/>
  <c r="CJ282" i="2"/>
  <c r="CJ341" i="2"/>
  <c r="CJ334" i="2"/>
  <c r="CJ335" i="2"/>
  <c r="CJ163" i="2"/>
  <c r="CJ171" i="3"/>
  <c r="CJ167" i="3" s="1"/>
  <c r="CJ33" i="2"/>
  <c r="CJ170" i="3"/>
  <c r="CJ166" i="3" s="1"/>
  <c r="CJ169" i="3"/>
  <c r="CJ165" i="3" s="1"/>
  <c r="CJ339" i="2"/>
  <c r="CJ162" i="2"/>
  <c r="DL383" i="4"/>
  <c r="DI305" i="4"/>
  <c r="DI386" i="4"/>
  <c r="DI213" i="4"/>
  <c r="DT270" i="2"/>
  <c r="DF175" i="4"/>
  <c r="DC178" i="4"/>
  <c r="BY646" i="2"/>
  <c r="BY644" i="2"/>
  <c r="BY346" i="2" s="1"/>
  <c r="BW693" i="4"/>
  <c r="CV246" i="4"/>
  <c r="CV247" i="4" s="1"/>
  <c r="CT248" i="4"/>
  <c r="CM486" i="4"/>
  <c r="CM487" i="4" s="1"/>
  <c r="CK146" i="4"/>
  <c r="CH476" i="4"/>
  <c r="CB161" i="4"/>
  <c r="CD160" i="4"/>
  <c r="CD161" i="4" s="1"/>
  <c r="BU324" i="2"/>
  <c r="BT307" i="2"/>
  <c r="BT324" i="2" s="1"/>
  <c r="BM866" i="4"/>
  <c r="BO865" i="4"/>
  <c r="CO470" i="4"/>
  <c r="CO475" i="4"/>
  <c r="CO476" i="4" s="1"/>
  <c r="BO515" i="2"/>
  <c r="BP514" i="2"/>
  <c r="DC261" i="4"/>
  <c r="DC337" i="4"/>
  <c r="DC332" i="4"/>
  <c r="CW463" i="4"/>
  <c r="CW31" i="4"/>
  <c r="CY389" i="4"/>
  <c r="CY390" i="4" s="1"/>
  <c r="CO134" i="4"/>
  <c r="CT237" i="4"/>
  <c r="BZ186" i="2"/>
  <c r="BJ897" i="4"/>
  <c r="CQ44" i="4"/>
  <c r="CQ471" i="4"/>
  <c r="CQ348" i="4"/>
  <c r="CV402" i="4"/>
  <c r="CV403" i="4" s="1"/>
  <c r="CO65" i="4"/>
  <c r="CO55" i="4"/>
  <c r="DN834" i="4"/>
  <c r="DL834" i="4" s="1"/>
  <c r="DM834" i="4" s="1"/>
  <c r="CN449" i="4"/>
  <c r="CN454" i="4"/>
  <c r="CP448" i="4"/>
  <c r="CP449" i="4" s="1"/>
  <c r="DC579" i="4"/>
  <c r="DD579" i="4" s="1"/>
  <c r="DH579" i="4"/>
  <c r="BY7" i="4"/>
  <c r="DA246" i="4"/>
  <c r="DA248" i="4" s="1"/>
  <c r="DA241" i="4"/>
  <c r="DA243" i="4" s="1"/>
  <c r="DA169" i="4"/>
  <c r="EP73" i="3"/>
  <c r="CG42" i="2"/>
  <c r="CF33" i="2"/>
  <c r="CF282" i="2"/>
  <c r="CG276" i="2"/>
  <c r="CQ462" i="4"/>
  <c r="CV209" i="4"/>
  <c r="CV210" i="4" s="1"/>
  <c r="BX455" i="2"/>
  <c r="BY149" i="3"/>
  <c r="BX148" i="3"/>
  <c r="BX415" i="2"/>
  <c r="BX480" i="2"/>
  <c r="DE853" i="4"/>
  <c r="DC853" i="4" s="1"/>
  <c r="DD853" i="4" s="1"/>
  <c r="CX448" i="4"/>
  <c r="CQ474" i="4"/>
  <c r="CT243" i="4"/>
  <c r="CV241" i="4"/>
  <c r="CV242" i="4" s="1"/>
  <c r="BL882" i="4"/>
  <c r="CN55" i="4"/>
  <c r="CN65" i="4"/>
  <c r="CP44" i="4"/>
  <c r="CM483" i="4"/>
  <c r="CM484" i="4" s="1"/>
  <c r="CK139" i="4"/>
  <c r="CP56" i="4"/>
  <c r="CP66" i="4"/>
  <c r="BL888" i="4"/>
  <c r="BG224" i="2"/>
  <c r="BG226" i="2" s="1"/>
  <c r="BH224" i="2" s="1"/>
  <c r="BE226" i="2"/>
  <c r="BI224" i="2"/>
  <c r="BI226" i="2" s="1"/>
  <c r="BH716" i="4"/>
  <c r="BH676" i="4"/>
  <c r="CT342" i="4"/>
  <c r="CT461" i="4"/>
  <c r="CE154" i="4"/>
  <c r="CE150" i="4"/>
  <c r="CG149" i="4"/>
  <c r="CG150" i="4" s="1"/>
  <c r="BK727" i="4"/>
  <c r="CS128" i="4"/>
  <c r="BN813" i="4"/>
  <c r="BM819" i="4"/>
  <c r="CR427" i="4"/>
  <c r="CR486" i="4"/>
  <c r="CR146" i="4" s="1"/>
  <c r="CR479" i="4"/>
  <c r="CR483" i="4"/>
  <c r="CR139" i="4" s="1"/>
  <c r="CU449" i="4"/>
  <c r="CU454" i="4"/>
  <c r="CG67" i="4"/>
  <c r="CG57" i="4"/>
  <c r="CM30" i="2"/>
  <c r="CM34" i="4"/>
  <c r="CM71" i="4"/>
  <c r="BL870" i="4"/>
  <c r="BK873" i="4"/>
  <c r="BK626" i="4"/>
  <c r="BK668" i="4" s="1"/>
  <c r="BK710" i="4" s="1"/>
  <c r="BK638" i="4"/>
  <c r="BK686" i="4" s="1"/>
  <c r="BK728" i="4" s="1"/>
  <c r="BK931" i="4" s="1"/>
  <c r="CP473" i="4"/>
  <c r="CP474" i="4" s="1"/>
  <c r="DC85" i="2"/>
  <c r="DD86" i="2"/>
  <c r="CF337" i="2"/>
  <c r="BL876" i="4"/>
  <c r="DB217" i="4"/>
  <c r="CX210" i="4"/>
  <c r="CN39" i="4"/>
  <c r="CP26" i="4"/>
  <c r="CP39" i="4" s="1"/>
  <c r="CH175" i="2"/>
  <c r="BJ628" i="4"/>
  <c r="BK894" i="4"/>
  <c r="BJ728" i="4"/>
  <c r="BO871" i="4"/>
  <c r="CZ313" i="4"/>
  <c r="CZ285" i="4"/>
  <c r="CZ124" i="4"/>
  <c r="CZ262" i="4"/>
  <c r="DH271" i="4"/>
  <c r="DH267" i="4"/>
  <c r="DH268" i="4" s="1"/>
  <c r="BU483" i="2"/>
  <c r="BU484" i="2" s="1"/>
  <c r="ER78" i="4"/>
  <c r="ER79" i="4" s="1"/>
  <c r="CN483" i="4"/>
  <c r="CN427" i="4"/>
  <c r="CN486" i="4"/>
  <c r="CN479" i="4"/>
  <c r="CP426" i="4"/>
  <c r="CP427" i="4" s="1"/>
  <c r="CV442" i="4"/>
  <c r="CT443" i="4"/>
  <c r="CW5" i="3"/>
  <c r="CW11" i="3" s="1"/>
  <c r="CW344" i="2"/>
  <c r="CW156" i="2"/>
  <c r="CW173" i="2"/>
  <c r="CW91" i="2"/>
  <c r="CX91" i="2" s="1"/>
  <c r="CW202" i="3"/>
  <c r="CX90" i="2"/>
  <c r="BI733" i="4"/>
  <c r="BI936" i="4"/>
  <c r="BI900" i="4"/>
  <c r="CT434" i="4"/>
  <c r="DE22" i="2"/>
  <c r="H17" i="9" s="1"/>
  <c r="DE349" i="2"/>
  <c r="DE578" i="4"/>
  <c r="CZ578" i="4"/>
  <c r="DA578" i="4" s="1"/>
  <c r="CJ146" i="4"/>
  <c r="CJ147" i="4" s="1"/>
  <c r="CH147" i="4"/>
  <c r="DH27" i="2"/>
  <c r="CU464" i="4"/>
  <c r="CH53" i="4"/>
  <c r="CQ343" i="4"/>
  <c r="CZ853" i="4"/>
  <c r="DA853" i="4" s="1"/>
  <c r="BL864" i="4"/>
  <c r="BK867" i="4"/>
  <c r="CQ56" i="4"/>
  <c r="CQ66" i="4"/>
  <c r="DD180" i="4"/>
  <c r="DD179" i="4"/>
  <c r="DD208" i="4"/>
  <c r="DD168" i="4"/>
  <c r="CW170" i="4"/>
  <c r="CW118" i="4"/>
  <c r="CW209" i="4"/>
  <c r="CW210" i="4" s="1"/>
  <c r="CW181" i="4"/>
  <c r="CY180" i="4"/>
  <c r="CY181" i="4" s="1"/>
  <c r="BJ930" i="4"/>
  <c r="CS38" i="4"/>
  <c r="CT441" i="4"/>
  <c r="CV440" i="4"/>
  <c r="CO66" i="4"/>
  <c r="CO56" i="4"/>
  <c r="BK667" i="4"/>
  <c r="BL667" i="4" s="1"/>
  <c r="BL709" i="4" s="1"/>
  <c r="CT451" i="4"/>
  <c r="CV450" i="4"/>
  <c r="CT38" i="4"/>
  <c r="CV25" i="4"/>
  <c r="DD306" i="4"/>
  <c r="DD307" i="4"/>
  <c r="DD309" i="4" s="1"/>
  <c r="DE309" i="4" s="1"/>
  <c r="DE855" i="4"/>
  <c r="DC855" i="4" s="1"/>
  <c r="DD855" i="4" s="1"/>
  <c r="CZ339" i="4"/>
  <c r="CN439" i="4"/>
  <c r="CN444" i="4"/>
  <c r="CP438" i="4"/>
  <c r="CP439" i="4" s="1"/>
  <c r="CC166" i="3"/>
  <c r="CD170" i="3"/>
  <c r="CD166" i="3" s="1"/>
  <c r="BH907" i="4"/>
  <c r="BH706" i="4"/>
  <c r="BH909" i="4" s="1"/>
  <c r="CO54" i="4"/>
  <c r="CO42" i="4"/>
  <c r="CO64" i="4"/>
  <c r="CR430" i="4"/>
  <c r="BM568" i="4"/>
  <c r="CQ459" i="4"/>
  <c r="CQ251" i="4"/>
  <c r="CS253" i="4"/>
  <c r="BN753" i="4"/>
  <c r="CM252" i="4"/>
  <c r="CM254" i="4"/>
  <c r="CW425" i="4"/>
  <c r="CH137" i="4"/>
  <c r="CJ136" i="4"/>
  <c r="CJ137" i="4" s="1"/>
  <c r="CH149" i="4"/>
  <c r="EN87" i="4" l="1"/>
  <c r="EM88" i="4"/>
  <c r="DX228" i="4"/>
  <c r="DX229" i="4" s="1"/>
  <c r="DX226" i="4"/>
  <c r="DX318" i="4"/>
  <c r="DX320" i="4"/>
  <c r="DX321" i="4" s="1"/>
  <c r="EM84" i="4"/>
  <c r="EL85" i="4"/>
  <c r="CD60" i="4"/>
  <c r="CX253" i="4"/>
  <c r="CR147" i="4"/>
  <c r="CR140" i="4"/>
  <c r="CI47" i="4"/>
  <c r="CI49" i="4" s="1"/>
  <c r="CX15" i="4"/>
  <c r="CX125" i="4"/>
  <c r="CX25" i="4"/>
  <c r="CX38" i="4" s="1"/>
  <c r="CX127" i="4"/>
  <c r="CX128" i="4" s="1"/>
  <c r="CY124" i="4"/>
  <c r="F58" i="9" s="1"/>
  <c r="F59" i="9" s="1"/>
  <c r="DB192" i="4"/>
  <c r="DA113" i="4"/>
  <c r="DA115" i="4" s="1"/>
  <c r="FA292" i="2"/>
  <c r="CX171" i="4"/>
  <c r="CX244" i="4"/>
  <c r="CM42" i="4"/>
  <c r="CM5" i="4"/>
  <c r="CM54" i="4"/>
  <c r="CP43" i="4"/>
  <c r="CP54" i="4" s="1"/>
  <c r="D60" i="9"/>
  <c r="E64" i="9"/>
  <c r="E65" i="9" s="1"/>
  <c r="D62" i="9"/>
  <c r="CI154" i="4"/>
  <c r="CI155" i="4" s="1"/>
  <c r="CJ475" i="4"/>
  <c r="CJ476" i="4" s="1"/>
  <c r="CR435" i="4"/>
  <c r="CR436" i="4" s="1"/>
  <c r="CI57" i="4"/>
  <c r="CR432" i="4"/>
  <c r="CO489" i="4"/>
  <c r="CO157" i="4" s="1"/>
  <c r="CP157" i="4" s="1"/>
  <c r="CF161" i="2"/>
  <c r="CR471" i="4"/>
  <c r="CR472" i="4" s="1"/>
  <c r="E59" i="9"/>
  <c r="CR3" i="4"/>
  <c r="CR44" i="4"/>
  <c r="CR55" i="4" s="1"/>
  <c r="CR348" i="4"/>
  <c r="CR130" i="4"/>
  <c r="CH178" i="2"/>
  <c r="CH331" i="2"/>
  <c r="CH154" i="2"/>
  <c r="CH4" i="3"/>
  <c r="CH10" i="3" s="1"/>
  <c r="CH172" i="2"/>
  <c r="CH68" i="2"/>
  <c r="CH161" i="2"/>
  <c r="CH345" i="2"/>
  <c r="CH73" i="2"/>
  <c r="CH343" i="2"/>
  <c r="CG60" i="2"/>
  <c r="CG153" i="2"/>
  <c r="CF68" i="2"/>
  <c r="CG160" i="2"/>
  <c r="CG69" i="2"/>
  <c r="CJ72" i="2"/>
  <c r="CJ345" i="2" s="1"/>
  <c r="CJ619" i="2"/>
  <c r="CJ621" i="2" s="1"/>
  <c r="CJ479" i="2"/>
  <c r="CJ480" i="2" s="1"/>
  <c r="CI74" i="2"/>
  <c r="DE299" i="4"/>
  <c r="DD301" i="4"/>
  <c r="DE301" i="4" s="1"/>
  <c r="CP271" i="2"/>
  <c r="CN269" i="2"/>
  <c r="CN64" i="3" s="1"/>
  <c r="DG206" i="4"/>
  <c r="DH206" i="4" s="1"/>
  <c r="DH205" i="4"/>
  <c r="DH203" i="4" s="1"/>
  <c r="DH204" i="4" s="1"/>
  <c r="CM475" i="4"/>
  <c r="CM476" i="4" s="1"/>
  <c r="BL626" i="4"/>
  <c r="BL628" i="4" s="1"/>
  <c r="CE170" i="2"/>
  <c r="CC152" i="2"/>
  <c r="CC617" i="2"/>
  <c r="CC622" i="2" s="1"/>
  <c r="CC170" i="2"/>
  <c r="CC159" i="2"/>
  <c r="CC61" i="2"/>
  <c r="CF4" i="3"/>
  <c r="CF10" i="3" s="1"/>
  <c r="CF176" i="2"/>
  <c r="CF331" i="2"/>
  <c r="CF172" i="2"/>
  <c r="CF154" i="2"/>
  <c r="CF73" i="2"/>
  <c r="CM77" i="2"/>
  <c r="CK74" i="2"/>
  <c r="CE152" i="2"/>
  <c r="CE617" i="2"/>
  <c r="CE622" i="2" s="1"/>
  <c r="CE159" i="2"/>
  <c r="CE61" i="2"/>
  <c r="DE300" i="4"/>
  <c r="DE302" i="4" s="1"/>
  <c r="DD302" i="4"/>
  <c r="DP375" i="4"/>
  <c r="DM295" i="4"/>
  <c r="DM296" i="4" s="1"/>
  <c r="DM203" i="4"/>
  <c r="DM204" i="4" s="1"/>
  <c r="CM64" i="3"/>
  <c r="CL269" i="2"/>
  <c r="CL64" i="3" s="1"/>
  <c r="CL66" i="3" s="1"/>
  <c r="CD151" i="2"/>
  <c r="CD180" i="2"/>
  <c r="CD158" i="2"/>
  <c r="CD56" i="2"/>
  <c r="CF343" i="2"/>
  <c r="DG299" i="4"/>
  <c r="DH298" i="4"/>
  <c r="DH295" i="4" s="1"/>
  <c r="DH296" i="4" s="1"/>
  <c r="DG300" i="4"/>
  <c r="E54" i="9"/>
  <c r="E55" i="9" s="1"/>
  <c r="DT149" i="3"/>
  <c r="DS455" i="2"/>
  <c r="DJ19" i="4"/>
  <c r="DJ33" i="4" s="1"/>
  <c r="DI33" i="4"/>
  <c r="DL19" i="4"/>
  <c r="CZ186" i="2"/>
  <c r="DH19" i="4"/>
  <c r="DH33" i="4" s="1"/>
  <c r="DB276" i="2"/>
  <c r="DA280" i="2"/>
  <c r="DC280" i="2"/>
  <c r="CS235" i="4"/>
  <c r="CS130" i="4" s="1"/>
  <c r="CS131" i="4" s="1"/>
  <c r="CL157" i="4"/>
  <c r="CM157" i="4" s="1"/>
  <c r="DU145" i="2"/>
  <c r="DT145" i="2"/>
  <c r="DS145" i="2" s="1"/>
  <c r="BE91" i="2"/>
  <c r="BF141" i="2"/>
  <c r="BE140" i="2"/>
  <c r="BE141" i="2" s="1"/>
  <c r="CI264" i="2"/>
  <c r="BF221" i="2"/>
  <c r="BF144" i="2"/>
  <c r="BF225" i="3"/>
  <c r="BE349" i="2"/>
  <c r="BI396" i="2"/>
  <c r="BI485" i="2" s="1"/>
  <c r="BI385" i="2"/>
  <c r="CL252" i="2"/>
  <c r="CM263" i="2"/>
  <c r="BE385" i="2"/>
  <c r="BE396" i="2"/>
  <c r="BE485" i="2" s="1"/>
  <c r="BD221" i="2"/>
  <c r="BD222" i="2" s="1"/>
  <c r="BD225" i="3"/>
  <c r="BD144" i="2"/>
  <c r="BG385" i="2"/>
  <c r="BG396" i="2"/>
  <c r="CB415" i="2"/>
  <c r="CD414" i="2"/>
  <c r="CO140" i="2"/>
  <c r="CO141" i="2" s="1"/>
  <c r="CP141" i="2"/>
  <c r="CQ142" i="2"/>
  <c r="CQ143" i="2" s="1"/>
  <c r="CQ146" i="2" s="1"/>
  <c r="CR142" i="2" s="1"/>
  <c r="CS142" i="2"/>
  <c r="CS139" i="2"/>
  <c r="CR138" i="2"/>
  <c r="CT138" i="2"/>
  <c r="DH366" i="2"/>
  <c r="I46" i="9" s="1"/>
  <c r="DE277" i="4"/>
  <c r="DE278" i="4" s="1"/>
  <c r="BL592" i="4"/>
  <c r="BL640" i="4" s="1"/>
  <c r="CN436" i="4"/>
  <c r="CF235" i="3"/>
  <c r="CF330" i="2"/>
  <c r="CI290" i="2"/>
  <c r="CJ120" i="3"/>
  <c r="CJ329" i="2"/>
  <c r="CJ640" i="2"/>
  <c r="CJ513" i="2"/>
  <c r="CJ327" i="2"/>
  <c r="CJ328" i="2"/>
  <c r="CJ236" i="3" s="1"/>
  <c r="CJ166" i="2"/>
  <c r="CH330" i="2"/>
  <c r="CH235" i="3"/>
  <c r="CM292" i="2"/>
  <c r="CK290" i="2"/>
  <c r="BI676" i="4"/>
  <c r="CS26" i="4"/>
  <c r="CS39" i="4" s="1"/>
  <c r="BI718" i="4"/>
  <c r="BI921" i="4" s="1"/>
  <c r="ET75" i="4"/>
  <c r="EU75" i="4" s="1"/>
  <c r="EU76" i="4" s="1"/>
  <c r="ES76" i="4"/>
  <c r="ES203" i="4"/>
  <c r="EU79" i="4"/>
  <c r="EQ131" i="3"/>
  <c r="EQ132" i="3" s="1"/>
  <c r="ES125" i="3"/>
  <c r="ES296" i="4"/>
  <c r="EV294" i="2"/>
  <c r="EX294" i="2" s="1"/>
  <c r="ET294" i="2"/>
  <c r="EU260" i="2"/>
  <c r="EU278" i="2"/>
  <c r="ES73" i="3"/>
  <c r="EV78" i="4"/>
  <c r="ET79" i="4"/>
  <c r="CT217" i="3"/>
  <c r="CR217" i="3"/>
  <c r="CR215" i="3" s="1"/>
  <c r="CS215" i="3"/>
  <c r="EJ413" i="2"/>
  <c r="EL413" i="2" s="1"/>
  <c r="EH413" i="2"/>
  <c r="CX455" i="2"/>
  <c r="CX148" i="3"/>
  <c r="CY149" i="3"/>
  <c r="CF68" i="4"/>
  <c r="BB410" i="2"/>
  <c r="BA11" i="2"/>
  <c r="BA14" i="2"/>
  <c r="AW141" i="2"/>
  <c r="AZ141" i="2"/>
  <c r="BB409" i="2"/>
  <c r="BB397" i="2" s="1"/>
  <c r="BC397" i="2"/>
  <c r="BC398" i="2" s="1"/>
  <c r="BA20" i="2"/>
  <c r="BA472" i="2"/>
  <c r="AY11" i="2"/>
  <c r="AY14" i="2"/>
  <c r="BB411" i="2"/>
  <c r="AZ365" i="2"/>
  <c r="AZ223" i="3" s="1"/>
  <c r="AZ27" i="2"/>
  <c r="AZ366" i="2"/>
  <c r="AZ224" i="3" s="1"/>
  <c r="AY20" i="2"/>
  <c r="AZ400" i="2"/>
  <c r="BF441" i="2"/>
  <c r="BD410" i="2"/>
  <c r="BD409" i="2"/>
  <c r="BD397" i="2" s="1"/>
  <c r="BD411" i="2"/>
  <c r="EN212" i="2"/>
  <c r="EP132" i="3"/>
  <c r="ER125" i="3"/>
  <c r="ER78" i="2" s="1"/>
  <c r="CO5" i="4"/>
  <c r="CI5" i="4"/>
  <c r="CJ5" i="4" s="1"/>
  <c r="CF58" i="4"/>
  <c r="CG68" i="4"/>
  <c r="CF49" i="4"/>
  <c r="CG49" i="4" s="1"/>
  <c r="CG70" i="4" s="1"/>
  <c r="CU39" i="4"/>
  <c r="DD283" i="4"/>
  <c r="DE282" i="4"/>
  <c r="DE283" i="4" s="1"/>
  <c r="DH280" i="4"/>
  <c r="DH277" i="4" s="1"/>
  <c r="DG282" i="4"/>
  <c r="CD51" i="4"/>
  <c r="CD62" i="4" s="1"/>
  <c r="CC7" i="4"/>
  <c r="CL53" i="4"/>
  <c r="CS461" i="4"/>
  <c r="CS462" i="4" s="1"/>
  <c r="CJ65" i="4"/>
  <c r="BL638" i="4"/>
  <c r="DG748" i="4"/>
  <c r="DG749" i="4" s="1"/>
  <c r="DH747" i="4"/>
  <c r="DH748" i="4" s="1"/>
  <c r="DH749" i="4" s="1"/>
  <c r="DG355" i="4"/>
  <c r="DG163" i="4"/>
  <c r="DG378" i="4"/>
  <c r="DH378" i="4" s="1"/>
  <c r="DH354" i="4"/>
  <c r="DH355" i="4" s="1"/>
  <c r="DG359" i="4"/>
  <c r="CN475" i="4"/>
  <c r="CN476" i="4" s="1"/>
  <c r="CV328" i="4"/>
  <c r="CV329" i="4" s="1"/>
  <c r="CO136" i="4"/>
  <c r="CO137" i="4" s="1"/>
  <c r="DA313" i="4"/>
  <c r="DB313" i="4" s="1"/>
  <c r="CU326" i="4"/>
  <c r="CU130" i="4" s="1"/>
  <c r="CP469" i="4"/>
  <c r="CP470" i="4" s="1"/>
  <c r="CU329" i="4"/>
  <c r="CN42" i="4"/>
  <c r="CJ42" i="4"/>
  <c r="CJ53" i="4" s="1"/>
  <c r="DB284" i="4"/>
  <c r="DB285" i="4" s="1"/>
  <c r="DE213" i="4"/>
  <c r="DE215" i="4" s="1"/>
  <c r="BJ634" i="4"/>
  <c r="BJ682" i="4" s="1"/>
  <c r="CU347" i="4"/>
  <c r="CU44" i="4" s="1"/>
  <c r="CR465" i="4"/>
  <c r="CR466" i="4" s="1"/>
  <c r="CL149" i="4"/>
  <c r="CL150" i="4" s="1"/>
  <c r="CY313" i="4"/>
  <c r="CY315" i="4" s="1"/>
  <c r="CX328" i="4"/>
  <c r="CX329" i="4" s="1"/>
  <c r="CS21" i="4"/>
  <c r="CS342" i="4"/>
  <c r="CS343" i="4" s="1"/>
  <c r="CY262" i="4"/>
  <c r="CY263" i="4" s="1"/>
  <c r="CQ435" i="4"/>
  <c r="CV344" i="4"/>
  <c r="CV345" i="4" s="1"/>
  <c r="CR71" i="4"/>
  <c r="BI724" i="4"/>
  <c r="BI927" i="4" s="1"/>
  <c r="CQ430" i="4"/>
  <c r="DT229" i="4"/>
  <c r="CN823" i="4"/>
  <c r="CN841" i="4" s="1"/>
  <c r="CO841" i="4"/>
  <c r="CR823" i="4"/>
  <c r="CV823" i="4"/>
  <c r="CS841" i="4"/>
  <c r="CX400" i="4"/>
  <c r="CY400" i="4" s="1"/>
  <c r="BK896" i="4"/>
  <c r="DE384" i="4"/>
  <c r="CN64" i="4"/>
  <c r="BI706" i="4"/>
  <c r="BI909" i="4" s="1"/>
  <c r="CU426" i="4"/>
  <c r="CU479" i="4" s="1"/>
  <c r="CJ55" i="4"/>
  <c r="CS30" i="4"/>
  <c r="D63" i="9" s="1"/>
  <c r="DB337" i="4"/>
  <c r="DB338" i="4" s="1"/>
  <c r="CV31" i="4"/>
  <c r="CV335" i="4"/>
  <c r="BW478" i="2"/>
  <c r="BW483" i="2" s="1"/>
  <c r="BW484" i="2" s="1"/>
  <c r="BW485" i="2" s="1"/>
  <c r="DE852" i="4"/>
  <c r="CZ852" i="4"/>
  <c r="DA852" i="4" s="1"/>
  <c r="CY424" i="4"/>
  <c r="CY425" i="4" s="1"/>
  <c r="CU21" i="4"/>
  <c r="CV433" i="4"/>
  <c r="CV434" i="4" s="1"/>
  <c r="DE305" i="4"/>
  <c r="DE306" i="4" s="1"/>
  <c r="CS473" i="4"/>
  <c r="CS474" i="4" s="1"/>
  <c r="CV422" i="4"/>
  <c r="CV423" i="4" s="1"/>
  <c r="CA72" i="4"/>
  <c r="CS432" i="4"/>
  <c r="CS441" i="4"/>
  <c r="BJ622" i="4"/>
  <c r="BJ664" i="4" s="1"/>
  <c r="CU432" i="4"/>
  <c r="CY413" i="4"/>
  <c r="CY414" i="4" s="1"/>
  <c r="CS451" i="4"/>
  <c r="DG387" i="4"/>
  <c r="DH387" i="4" s="1"/>
  <c r="BI658" i="4"/>
  <c r="DY228" i="4"/>
  <c r="DY226" i="4"/>
  <c r="EB395" i="4"/>
  <c r="EB317" i="4"/>
  <c r="EB225" i="4"/>
  <c r="EE392" i="4"/>
  <c r="DY320" i="4"/>
  <c r="DY318" i="4"/>
  <c r="DB332" i="4"/>
  <c r="DB333" i="4" s="1"/>
  <c r="CS256" i="4"/>
  <c r="CS257" i="4" s="1"/>
  <c r="CQ257" i="4"/>
  <c r="CQ469" i="4"/>
  <c r="CS469" i="4" s="1"/>
  <c r="CS470" i="4" s="1"/>
  <c r="CT771" i="4"/>
  <c r="DZ225" i="4"/>
  <c r="DZ226" i="4" s="1"/>
  <c r="DT321" i="4"/>
  <c r="EA225" i="4"/>
  <c r="EA317" i="4"/>
  <c r="ED392" i="4"/>
  <c r="EA395" i="4"/>
  <c r="DZ317" i="4"/>
  <c r="DZ318" i="4" s="1"/>
  <c r="DU229" i="4"/>
  <c r="DW229" i="4" s="1"/>
  <c r="DZ395" i="4"/>
  <c r="EJ82" i="4"/>
  <c r="EK81" i="4"/>
  <c r="DE191" i="4"/>
  <c r="DE192" i="4" s="1"/>
  <c r="CU20" i="4"/>
  <c r="CU3" i="4" s="1"/>
  <c r="CV16" i="4"/>
  <c r="BL687" i="4"/>
  <c r="CU840" i="4"/>
  <c r="CU846" i="4" s="1"/>
  <c r="CU847" i="4" s="1"/>
  <c r="CU848" i="4" s="1"/>
  <c r="CU849" i="4" s="1"/>
  <c r="CT822" i="4"/>
  <c r="CU828" i="4"/>
  <c r="CU829" i="4" s="1"/>
  <c r="CU830" i="4" s="1"/>
  <c r="CU831" i="4" s="1"/>
  <c r="BK730" i="4"/>
  <c r="BK933" i="4" s="1"/>
  <c r="CQ840" i="4"/>
  <c r="CQ846" i="4" s="1"/>
  <c r="CQ847" i="4" s="1"/>
  <c r="CQ848" i="4" s="1"/>
  <c r="CQ849" i="4" s="1"/>
  <c r="CQ828" i="4"/>
  <c r="CQ829" i="4" s="1"/>
  <c r="CQ830" i="4" s="1"/>
  <c r="CQ831" i="4" s="1"/>
  <c r="BK688" i="4"/>
  <c r="BL729" i="4"/>
  <c r="CY840" i="4"/>
  <c r="CY846" i="4" s="1"/>
  <c r="CY847" i="4" s="1"/>
  <c r="CY848" i="4" s="1"/>
  <c r="CY849" i="4" s="1"/>
  <c r="CX822" i="4"/>
  <c r="DB822" i="4"/>
  <c r="CY828" i="4"/>
  <c r="CY829" i="4" s="1"/>
  <c r="CY830" i="4" s="1"/>
  <c r="CY831" i="4" s="1"/>
  <c r="BK633" i="4"/>
  <c r="BK634" i="4" s="1"/>
  <c r="BK682" i="4" s="1"/>
  <c r="BK621" i="4"/>
  <c r="BK622" i="4" s="1"/>
  <c r="BK664" i="4" s="1"/>
  <c r="BL621" i="4"/>
  <c r="BL633" i="4"/>
  <c r="BI735" i="4"/>
  <c r="BI781" i="4" s="1"/>
  <c r="BI938" i="4"/>
  <c r="BI902" i="4"/>
  <c r="CI843" i="4"/>
  <c r="CI856" i="4" s="1"/>
  <c r="CH825" i="4"/>
  <c r="CI838" i="4"/>
  <c r="CE843" i="4"/>
  <c r="CE856" i="4" s="1"/>
  <c r="CE838" i="4"/>
  <c r="BJ657" i="4"/>
  <c r="BJ699" i="4" s="1"/>
  <c r="BJ944" i="4"/>
  <c r="BJ663" i="4"/>
  <c r="BJ705" i="4" s="1"/>
  <c r="BJ908" i="4" s="1"/>
  <c r="BK741" i="4"/>
  <c r="BK787" i="4" s="1"/>
  <c r="BK950" i="4"/>
  <c r="BK914" i="4"/>
  <c r="BL669" i="4"/>
  <c r="BL711" i="4" s="1"/>
  <c r="BJ675" i="4"/>
  <c r="BJ717" i="4" s="1"/>
  <c r="BJ920" i="4" s="1"/>
  <c r="BJ681" i="4"/>
  <c r="BJ723" i="4" s="1"/>
  <c r="BJ926" i="4" s="1"/>
  <c r="CL825" i="4"/>
  <c r="CM838" i="4"/>
  <c r="CM843" i="4"/>
  <c r="CM856" i="4" s="1"/>
  <c r="CP825" i="4"/>
  <c r="BN569" i="4"/>
  <c r="BM591" i="4"/>
  <c r="BM585" i="4" s="1"/>
  <c r="BJ741" i="4"/>
  <c r="BJ787" i="4" s="1"/>
  <c r="BJ950" i="4"/>
  <c r="BJ914" i="4"/>
  <c r="DC835" i="4"/>
  <c r="DD835" i="4" s="1"/>
  <c r="DH835" i="4"/>
  <c r="DK835" i="4" s="1"/>
  <c r="DN835" i="4" s="1"/>
  <c r="DL835" i="4" s="1"/>
  <c r="DM835" i="4" s="1"/>
  <c r="DQ837" i="4"/>
  <c r="DL837" i="4"/>
  <c r="DM837" i="4" s="1"/>
  <c r="CY209" i="4"/>
  <c r="CY210" i="4" s="1"/>
  <c r="CY405" i="4"/>
  <c r="CY406" i="4" s="1"/>
  <c r="CX453" i="4"/>
  <c r="CV453" i="4"/>
  <c r="CY771" i="4"/>
  <c r="BK628" i="4"/>
  <c r="CY17" i="4"/>
  <c r="CM11" i="4"/>
  <c r="CU771" i="4"/>
  <c r="CU773" i="4"/>
  <c r="CU774" i="4" s="1"/>
  <c r="CT773" i="4"/>
  <c r="CT774" i="4" s="1"/>
  <c r="CY773" i="4"/>
  <c r="CY774" i="4" s="1"/>
  <c r="DA440" i="4"/>
  <c r="CW762" i="4"/>
  <c r="CW768" i="4"/>
  <c r="CW770" i="4" s="1"/>
  <c r="DQ273" i="2"/>
  <c r="CX768" i="4"/>
  <c r="CX770" i="4" s="1"/>
  <c r="CX762" i="4"/>
  <c r="BL878" i="4"/>
  <c r="BL879" i="4" s="1"/>
  <c r="DC580" i="4"/>
  <c r="DD580" i="4" s="1"/>
  <c r="DH580" i="4"/>
  <c r="DB762" i="4"/>
  <c r="DB768" i="4"/>
  <c r="DB773" i="4" s="1"/>
  <c r="DH761" i="4"/>
  <c r="DE760" i="4"/>
  <c r="DE757" i="4"/>
  <c r="DE765" i="4" s="1"/>
  <c r="DD761" i="4"/>
  <c r="DE759" i="4"/>
  <c r="DE767" i="4" s="1"/>
  <c r="DE769" i="4"/>
  <c r="DE758" i="4"/>
  <c r="DE766" i="4" s="1"/>
  <c r="DC761" i="4"/>
  <c r="CZ759" i="4"/>
  <c r="CZ767" i="4" s="1"/>
  <c r="CZ757" i="4"/>
  <c r="CZ765" i="4" s="1"/>
  <c r="CZ760" i="4"/>
  <c r="CZ769" i="4"/>
  <c r="CZ758" i="4"/>
  <c r="CZ766" i="4" s="1"/>
  <c r="DA757" i="4"/>
  <c r="DA765" i="4" s="1"/>
  <c r="DA769" i="4"/>
  <c r="DA759" i="4"/>
  <c r="DA767" i="4" s="1"/>
  <c r="DA760" i="4"/>
  <c r="DA758" i="4"/>
  <c r="DA766" i="4" s="1"/>
  <c r="CC62" i="4"/>
  <c r="CC72" i="4"/>
  <c r="CI53" i="4"/>
  <c r="DG281" i="4"/>
  <c r="DG260" i="4"/>
  <c r="DH260" i="4" s="1"/>
  <c r="DH261" i="4" s="1"/>
  <c r="BZ12" i="4"/>
  <c r="BZ8" i="4"/>
  <c r="DA262" i="4"/>
  <c r="DA335" i="4" s="1"/>
  <c r="DA285" i="4"/>
  <c r="DF192" i="4"/>
  <c r="DH185" i="4"/>
  <c r="DH189" i="4"/>
  <c r="DB206" i="3"/>
  <c r="DC207" i="3"/>
  <c r="BL884" i="4"/>
  <c r="BL885" i="4" s="1"/>
  <c r="BK932" i="4"/>
  <c r="BL890" i="4"/>
  <c r="BL891" i="4" s="1"/>
  <c r="DG191" i="4"/>
  <c r="DG192" i="4" s="1"/>
  <c r="DG189" i="4"/>
  <c r="CX16" i="4"/>
  <c r="CX30" i="4" s="1"/>
  <c r="CX422" i="4"/>
  <c r="CY422" i="4" s="1"/>
  <c r="CX263" i="4"/>
  <c r="CX344" i="4"/>
  <c r="CY344" i="4" s="1"/>
  <c r="DD332" i="4"/>
  <c r="DD334" i="4" s="1"/>
  <c r="DD337" i="4"/>
  <c r="DD339" i="4" s="1"/>
  <c r="DD450" i="4" s="1"/>
  <c r="DD261" i="4"/>
  <c r="DD284" i="4"/>
  <c r="DE284" i="4" s="1"/>
  <c r="BM955" i="4"/>
  <c r="BN859" i="4"/>
  <c r="CU423" i="4"/>
  <c r="CU451" i="4"/>
  <c r="CU342" i="4"/>
  <c r="CU343" i="4" s="1"/>
  <c r="CU461" i="4"/>
  <c r="CU462" i="4" s="1"/>
  <c r="DE189" i="4"/>
  <c r="DE185" i="4"/>
  <c r="DE186" i="4" s="1"/>
  <c r="ER213" i="3"/>
  <c r="EQ213" i="3"/>
  <c r="DW504" i="4"/>
  <c r="DW505" i="4"/>
  <c r="CS56" i="4"/>
  <c r="CS66" i="4"/>
  <c r="CY118" i="4"/>
  <c r="CW127" i="4"/>
  <c r="CW119" i="4"/>
  <c r="CW23" i="4"/>
  <c r="DE365" i="2"/>
  <c r="DE366" i="2"/>
  <c r="H46" i="9" s="1"/>
  <c r="CE155" i="4"/>
  <c r="CE160" i="4"/>
  <c r="CG154" i="4"/>
  <c r="CG155" i="4" s="1"/>
  <c r="DA448" i="4"/>
  <c r="CV248" i="4"/>
  <c r="CT448" i="4"/>
  <c r="CR64" i="4"/>
  <c r="CR54" i="4"/>
  <c r="CH305" i="2"/>
  <c r="CH630" i="2"/>
  <c r="CH631" i="2" s="1"/>
  <c r="CX29" i="4"/>
  <c r="CZ403" i="4"/>
  <c r="CZ416" i="4"/>
  <c r="CZ433" i="4"/>
  <c r="CX429" i="4"/>
  <c r="CX256" i="4"/>
  <c r="CX238" i="4"/>
  <c r="DN69" i="3"/>
  <c r="DK70" i="2"/>
  <c r="DJ69" i="3"/>
  <c r="EG178" i="3"/>
  <c r="EF190" i="2"/>
  <c r="CW243" i="4"/>
  <c r="CY241" i="4"/>
  <c r="CY242" i="4" s="1"/>
  <c r="CB7" i="4"/>
  <c r="BL632" i="4"/>
  <c r="BL620" i="4"/>
  <c r="CV38" i="4"/>
  <c r="BL867" i="4"/>
  <c r="CP483" i="4"/>
  <c r="CP484" i="4" s="1"/>
  <c r="CN139" i="4"/>
  <c r="BO813" i="4"/>
  <c r="BO819" i="4" s="1"/>
  <c r="BN819" i="4"/>
  <c r="DF178" i="4"/>
  <c r="DS270" i="2"/>
  <c r="DU270" i="2"/>
  <c r="DW270" i="2" s="1"/>
  <c r="DX270" i="2" s="1"/>
  <c r="CZ442" i="4"/>
  <c r="CW423" i="4"/>
  <c r="DH273" i="4"/>
  <c r="CS842" i="4"/>
  <c r="CR824" i="4"/>
  <c r="CV824" i="4"/>
  <c r="CN134" i="4"/>
  <c r="CP133" i="4"/>
  <c r="DJ614" i="2"/>
  <c r="BL956" i="4"/>
  <c r="BM860" i="4"/>
  <c r="CE307" i="2"/>
  <c r="CE324" i="2" s="1"/>
  <c r="CE634" i="2"/>
  <c r="CE636" i="2" s="1"/>
  <c r="CE639" i="2" s="1"/>
  <c r="CE642" i="2" s="1"/>
  <c r="DF261" i="4"/>
  <c r="DF337" i="4"/>
  <c r="DF332" i="4"/>
  <c r="BX651" i="4"/>
  <c r="DL185" i="2"/>
  <c r="DL614" i="2"/>
  <c r="BJ740" i="4"/>
  <c r="BJ786" i="4" s="1"/>
  <c r="BJ949" i="4"/>
  <c r="BJ913" i="4"/>
  <c r="BM864" i="4"/>
  <c r="CX344" i="2"/>
  <c r="CX5" i="3"/>
  <c r="CX11" i="3" s="1"/>
  <c r="CX173" i="2"/>
  <c r="CX156" i="2"/>
  <c r="CX202" i="3"/>
  <c r="BP871" i="4"/>
  <c r="CT462" i="4"/>
  <c r="DI306" i="4"/>
  <c r="DI307" i="4"/>
  <c r="CJ42" i="2"/>
  <c r="CZ425" i="4"/>
  <c r="CZ31" i="4"/>
  <c r="CW461" i="4"/>
  <c r="CW342" i="4"/>
  <c r="BK655" i="4"/>
  <c r="BK942" i="4"/>
  <c r="BK661" i="4"/>
  <c r="BK703" i="4" s="1"/>
  <c r="CZ170" i="4"/>
  <c r="CZ118" i="4"/>
  <c r="CZ209" i="4"/>
  <c r="CZ210" i="4" s="1"/>
  <c r="DB180" i="4"/>
  <c r="DB181" i="4" s="1"/>
  <c r="CZ181" i="4"/>
  <c r="BH734" i="4"/>
  <c r="BH937" i="4"/>
  <c r="BH901" i="4"/>
  <c r="BH700" i="4"/>
  <c r="DA390" i="4"/>
  <c r="DA402" i="4"/>
  <c r="DB402" i="4" s="1"/>
  <c r="DB389" i="4"/>
  <c r="DB390" i="4" s="1"/>
  <c r="EP75" i="3"/>
  <c r="CX36" i="4"/>
  <c r="CT66" i="4"/>
  <c r="CT56" i="4"/>
  <c r="CU417" i="4"/>
  <c r="CU473" i="4"/>
  <c r="CU474" i="4" s="1"/>
  <c r="CU45" i="4"/>
  <c r="CV45" i="4" s="1"/>
  <c r="DH365" i="2"/>
  <c r="DN266" i="2"/>
  <c r="DO268" i="2"/>
  <c r="DM268" i="2"/>
  <c r="CQ454" i="4"/>
  <c r="CQ449" i="4"/>
  <c r="CS448" i="4"/>
  <c r="CS449" i="4" s="1"/>
  <c r="CI68" i="4"/>
  <c r="BL728" i="4"/>
  <c r="BL931" i="4" s="1"/>
  <c r="BJ931" i="4"/>
  <c r="DC90" i="2"/>
  <c r="DD85" i="2"/>
  <c r="BL912" i="4"/>
  <c r="BL873" i="4"/>
  <c r="BM870" i="4"/>
  <c r="BL224" i="2"/>
  <c r="BL226" i="2" s="1"/>
  <c r="BH226" i="2"/>
  <c r="BJ224" i="2"/>
  <c r="BJ226" i="2" s="1"/>
  <c r="BK224" i="2" s="1"/>
  <c r="CK140" i="4"/>
  <c r="CM139" i="4"/>
  <c r="CM140" i="4" s="1"/>
  <c r="BM882" i="4"/>
  <c r="CX449" i="4"/>
  <c r="CX454" i="4"/>
  <c r="EQ73" i="3"/>
  <c r="EQ75" i="3" s="1"/>
  <c r="ER73" i="3"/>
  <c r="DF579" i="4"/>
  <c r="DG579" i="4" s="1"/>
  <c r="DK579" i="4"/>
  <c r="DQ834" i="4"/>
  <c r="DO834" i="4" s="1"/>
  <c r="DP834" i="4" s="1"/>
  <c r="DC334" i="4"/>
  <c r="BN866" i="4"/>
  <c r="DO383" i="4"/>
  <c r="DL305" i="4"/>
  <c r="DL213" i="4"/>
  <c r="DL386" i="4"/>
  <c r="BJ906" i="4"/>
  <c r="CQ439" i="4"/>
  <c r="CS438" i="4"/>
  <c r="CS439" i="4" s="1"/>
  <c r="CQ444" i="4"/>
  <c r="CZ344" i="2"/>
  <c r="CZ91" i="2"/>
  <c r="DA91" i="2" s="1"/>
  <c r="CZ156" i="2"/>
  <c r="CZ5" i="3"/>
  <c r="CZ11" i="3" s="1"/>
  <c r="CZ173" i="2"/>
  <c r="CZ202" i="3"/>
  <c r="DA90" i="2"/>
  <c r="CL57" i="4"/>
  <c r="CL67" i="4"/>
  <c r="CL47" i="4"/>
  <c r="DD389" i="4"/>
  <c r="DE389" i="4" s="1"/>
  <c r="DD367" i="4"/>
  <c r="DD351" i="4"/>
  <c r="DE351" i="4" s="1"/>
  <c r="DH836" i="4"/>
  <c r="DF836" i="4" s="1"/>
  <c r="DG836" i="4" s="1"/>
  <c r="BV652" i="4"/>
  <c r="BR810" i="4"/>
  <c r="BQ816" i="4"/>
  <c r="CQ252" i="4"/>
  <c r="CS251" i="4"/>
  <c r="DE225" i="3"/>
  <c r="DD349" i="2"/>
  <c r="DE221" i="2"/>
  <c r="CN489" i="4"/>
  <c r="CP479" i="4"/>
  <c r="CP480" i="4" s="1"/>
  <c r="CN136" i="4"/>
  <c r="BL686" i="4"/>
  <c r="BK949" i="4"/>
  <c r="BK740" i="4"/>
  <c r="BK786" i="4" s="1"/>
  <c r="BK913" i="4"/>
  <c r="CP55" i="4"/>
  <c r="CP65" i="4"/>
  <c r="BW415" i="2"/>
  <c r="BY8" i="4"/>
  <c r="CA7" i="4"/>
  <c r="BY12" i="4"/>
  <c r="CQ65" i="4"/>
  <c r="CQ55" i="4"/>
  <c r="CW237" i="4"/>
  <c r="CW235" i="4" s="1"/>
  <c r="CZ463" i="4"/>
  <c r="CW30" i="4"/>
  <c r="CN170" i="3"/>
  <c r="CN166" i="3" s="1"/>
  <c r="CN165" i="2"/>
  <c r="CN169" i="3"/>
  <c r="CN165" i="3" s="1"/>
  <c r="CN31" i="2"/>
  <c r="CN340" i="2"/>
  <c r="CN339" i="2"/>
  <c r="CN171" i="3"/>
  <c r="CN167" i="3" s="1"/>
  <c r="CN282" i="2"/>
  <c r="CN276" i="2" s="1"/>
  <c r="CN334" i="2"/>
  <c r="CN341" i="2"/>
  <c r="CN333" i="2"/>
  <c r="CN150" i="2"/>
  <c r="CN342" i="2"/>
  <c r="CN176" i="3"/>
  <c r="CN179" i="3" s="1"/>
  <c r="CN335" i="2"/>
  <c r="CN163" i="2"/>
  <c r="CN162" i="2"/>
  <c r="DF85" i="2"/>
  <c r="DG86" i="2"/>
  <c r="CX464" i="4"/>
  <c r="DB179" i="4"/>
  <c r="DB175" i="4"/>
  <c r="DB176" i="4" s="1"/>
  <c r="CI337" i="2"/>
  <c r="CT128" i="4"/>
  <c r="CV127" i="4"/>
  <c r="CV128" i="4" s="1"/>
  <c r="CX235" i="4"/>
  <c r="DQ416" i="2"/>
  <c r="CH67" i="4"/>
  <c r="CH57" i="4"/>
  <c r="CJ46" i="4"/>
  <c r="CH47" i="4"/>
  <c r="CS29" i="4"/>
  <c r="D59" i="9" s="1"/>
  <c r="BJ697" i="4"/>
  <c r="BM619" i="4"/>
  <c r="BM631" i="4"/>
  <c r="DD218" i="4"/>
  <c r="DE218" i="4" s="1"/>
  <c r="DD220" i="4"/>
  <c r="DE220" i="4" s="1"/>
  <c r="DE222" i="4" s="1"/>
  <c r="CW453" i="4"/>
  <c r="CY452" i="4"/>
  <c r="DC313" i="4"/>
  <c r="DC285" i="4"/>
  <c r="DC124" i="4"/>
  <c r="DC262" i="4"/>
  <c r="BJ715" i="4"/>
  <c r="CC186" i="2"/>
  <c r="CK137" i="4"/>
  <c r="CM136" i="4"/>
  <c r="CM137" i="4" s="1"/>
  <c r="CK149" i="4"/>
  <c r="DG366" i="4"/>
  <c r="DH366" i="4" s="1"/>
  <c r="DA210" i="4"/>
  <c r="BL954" i="4"/>
  <c r="BM858" i="4"/>
  <c r="BL861" i="4"/>
  <c r="DH362" i="4"/>
  <c r="DH363" i="4" s="1"/>
  <c r="BQ811" i="4"/>
  <c r="BP817" i="4"/>
  <c r="BP883" i="4" s="1"/>
  <c r="BP812" i="4"/>
  <c r="BN872" i="4"/>
  <c r="CD477" i="2"/>
  <c r="BN568" i="4"/>
  <c r="BM590" i="4"/>
  <c r="BM584" i="4" s="1"/>
  <c r="CO53" i="4"/>
  <c r="BI903" i="4"/>
  <c r="BK930" i="4"/>
  <c r="BY455" i="2"/>
  <c r="BY480" i="2"/>
  <c r="BY415" i="2"/>
  <c r="BZ149" i="3"/>
  <c r="BY148" i="3"/>
  <c r="CN456" i="4"/>
  <c r="CP454" i="4"/>
  <c r="CP456" i="4" s="1"/>
  <c r="CT429" i="4"/>
  <c r="CT256" i="4"/>
  <c r="CV237" i="4"/>
  <c r="CV238" i="4" s="1"/>
  <c r="CT238" i="4"/>
  <c r="BX693" i="4"/>
  <c r="DC180" i="4"/>
  <c r="DC208" i="4"/>
  <c r="DE208" i="4" s="1"/>
  <c r="DE178" i="4"/>
  <c r="DC168" i="4"/>
  <c r="DC179" i="4"/>
  <c r="DI214" i="4"/>
  <c r="DI215" i="4"/>
  <c r="CZ452" i="4"/>
  <c r="EO257" i="2"/>
  <c r="EN257" i="2" s="1"/>
  <c r="EK255" i="2"/>
  <c r="EM257" i="2"/>
  <c r="EM255" i="2" s="1"/>
  <c r="CW473" i="4"/>
  <c r="CW45" i="4"/>
  <c r="CW417" i="4"/>
  <c r="CZ169" i="4"/>
  <c r="CZ241" i="4"/>
  <c r="CZ246" i="4"/>
  <c r="DB168" i="4"/>
  <c r="DB169" i="4" s="1"/>
  <c r="CY306" i="4"/>
  <c r="CY307" i="4"/>
  <c r="BZ305" i="2"/>
  <c r="BZ634" i="2" s="1"/>
  <c r="BZ636" i="2" s="1"/>
  <c r="BZ639" i="2" s="1"/>
  <c r="BZ642" i="2" s="1"/>
  <c r="CA634" i="2"/>
  <c r="CA636" i="2" s="1"/>
  <c r="CA639" i="2" s="1"/>
  <c r="CA642" i="2" s="1"/>
  <c r="CA644" i="2" s="1"/>
  <c r="CA346" i="2" s="1"/>
  <c r="CA307" i="2"/>
  <c r="CV119" i="4"/>
  <c r="BM570" i="4"/>
  <c r="BX649" i="4"/>
  <c r="DA17" i="4"/>
  <c r="DA31" i="4" s="1"/>
  <c r="DA424" i="4"/>
  <c r="DA425" i="4" s="1"/>
  <c r="DA409" i="4"/>
  <c r="DA452" i="4" s="1"/>
  <c r="DA405" i="4"/>
  <c r="DA442" i="4" s="1"/>
  <c r="DA352" i="4"/>
  <c r="DA413" i="4"/>
  <c r="DA463" i="4" s="1"/>
  <c r="EJ300" i="2"/>
  <c r="EH300" i="2"/>
  <c r="CK46" i="4"/>
  <c r="CM489" i="4"/>
  <c r="BL727" i="4"/>
  <c r="BL739" i="4" s="1"/>
  <c r="BL785" i="4" s="1"/>
  <c r="DE854" i="4"/>
  <c r="DC854" i="4" s="1"/>
  <c r="DD854" i="4" s="1"/>
  <c r="DA119" i="4"/>
  <c r="DA23" i="4"/>
  <c r="DA127" i="4"/>
  <c r="CN445" i="4"/>
  <c r="CP444" i="4"/>
  <c r="CP445" i="4" s="1"/>
  <c r="DH855" i="4"/>
  <c r="DF855" i="4" s="1"/>
  <c r="DG855" i="4" s="1"/>
  <c r="CW15" i="4"/>
  <c r="CW171" i="4"/>
  <c r="CW420" i="4"/>
  <c r="CY170" i="4"/>
  <c r="CY171" i="4" s="1"/>
  <c r="CW253" i="4"/>
  <c r="DC578" i="4"/>
  <c r="DD578" i="4" s="1"/>
  <c r="DH578" i="4"/>
  <c r="BI779" i="4"/>
  <c r="BQ514" i="2"/>
  <c r="BP515" i="2"/>
  <c r="EO256" i="2"/>
  <c r="EP256" i="2" s="1"/>
  <c r="CY403" i="4"/>
  <c r="BX12" i="4"/>
  <c r="BX8" i="4"/>
  <c r="CP30" i="2"/>
  <c r="CN175" i="2" s="1"/>
  <c r="CP71" i="4"/>
  <c r="CP34" i="4"/>
  <c r="DJ185" i="2"/>
  <c r="CG152" i="3"/>
  <c r="CJ150" i="3" s="1"/>
  <c r="DG306" i="4"/>
  <c r="DG307" i="4"/>
  <c r="DG309" i="4" s="1"/>
  <c r="DH309" i="4" s="1"/>
  <c r="CG645" i="4"/>
  <c r="CZ854" i="4"/>
  <c r="DA854" i="4" s="1"/>
  <c r="EQ338" i="4"/>
  <c r="ES338" i="4" s="1"/>
  <c r="DG180" i="4"/>
  <c r="DG168" i="4"/>
  <c r="DG208" i="4"/>
  <c r="DG179" i="4"/>
  <c r="DB307" i="4"/>
  <c r="DB306" i="4"/>
  <c r="CT474" i="4"/>
  <c r="BJ948" i="4"/>
  <c r="BJ739" i="4"/>
  <c r="BJ785" i="4" s="1"/>
  <c r="BJ712" i="4"/>
  <c r="BJ912" i="4"/>
  <c r="CN466" i="4"/>
  <c r="CP465" i="4"/>
  <c r="CP466" i="4" s="1"/>
  <c r="CW38" i="4"/>
  <c r="BK943" i="4"/>
  <c r="BK656" i="4"/>
  <c r="BK698" i="4" s="1"/>
  <c r="BK662" i="4"/>
  <c r="BK704" i="4" s="1"/>
  <c r="BK907" i="4" s="1"/>
  <c r="AD400" i="2"/>
  <c r="AE400" i="2" s="1"/>
  <c r="AD398" i="2"/>
  <c r="DD310" i="4"/>
  <c r="DE310" i="4" s="1"/>
  <c r="DD312" i="4"/>
  <c r="DE312" i="4" s="1"/>
  <c r="DD241" i="4"/>
  <c r="DD243" i="4" s="1"/>
  <c r="DD169" i="4"/>
  <c r="DD246" i="4"/>
  <c r="DD248" i="4" s="1"/>
  <c r="CX444" i="4"/>
  <c r="CX445" i="4" s="1"/>
  <c r="CX439" i="4"/>
  <c r="CZ16" i="4"/>
  <c r="CZ422" i="4"/>
  <c r="CZ344" i="4"/>
  <c r="CZ263" i="4"/>
  <c r="BM876" i="4"/>
  <c r="CM179" i="3"/>
  <c r="CM191" i="2" s="1"/>
  <c r="CM165" i="2"/>
  <c r="CM333" i="2"/>
  <c r="CM339" i="2"/>
  <c r="CL30" i="2"/>
  <c r="CN168" i="2" s="1"/>
  <c r="CM169" i="3"/>
  <c r="CM165" i="3" s="1"/>
  <c r="CM171" i="3"/>
  <c r="CM167" i="3" s="1"/>
  <c r="CM150" i="2"/>
  <c r="CM334" i="2"/>
  <c r="CM342" i="2"/>
  <c r="CM31" i="2"/>
  <c r="CM341" i="2"/>
  <c r="CM340" i="2"/>
  <c r="CM33" i="2"/>
  <c r="CM335" i="2"/>
  <c r="CM170" i="3"/>
  <c r="CM166" i="3" s="1"/>
  <c r="CM163" i="2"/>
  <c r="CM282" i="2"/>
  <c r="CM162" i="2"/>
  <c r="BH919" i="4"/>
  <c r="BH718" i="4"/>
  <c r="BH921" i="4" s="1"/>
  <c r="DH853" i="4"/>
  <c r="DF853" i="4" s="1"/>
  <c r="DG853" i="4" s="1"/>
  <c r="CF276" i="2"/>
  <c r="CF336" i="2" s="1"/>
  <c r="CG186" i="2"/>
  <c r="CG287" i="2"/>
  <c r="CG336" i="2"/>
  <c r="CW464" i="4"/>
  <c r="CY463" i="4"/>
  <c r="CI282" i="2"/>
  <c r="CJ276" i="2"/>
  <c r="CK186" i="2" s="1"/>
  <c r="BQ692" i="4"/>
  <c r="DM82" i="4"/>
  <c r="DK81" i="4"/>
  <c r="DJ82" i="4"/>
  <c r="CU43" i="4"/>
  <c r="CU469" i="4"/>
  <c r="CU257" i="4"/>
  <c r="CX459" i="4"/>
  <c r="CX251" i="4"/>
  <c r="CX252" i="4" s="1"/>
  <c r="CK287" i="2"/>
  <c r="CK336" i="2"/>
  <c r="DM383" i="4"/>
  <c r="DJ213" i="4"/>
  <c r="DJ305" i="4"/>
  <c r="DJ386" i="4"/>
  <c r="CW248" i="4"/>
  <c r="CY246" i="4"/>
  <c r="CY247" i="4" s="1"/>
  <c r="CS643" i="4"/>
  <c r="CW431" i="4"/>
  <c r="CW329" i="4"/>
  <c r="CW347" i="4"/>
  <c r="CT20" i="4"/>
  <c r="CV15" i="4"/>
  <c r="CT29" i="4"/>
  <c r="CT21" i="4"/>
  <c r="DB214" i="4"/>
  <c r="DB215" i="4"/>
  <c r="DI20" i="2"/>
  <c r="BN751" i="4"/>
  <c r="BM754" i="4"/>
  <c r="BK674" i="4"/>
  <c r="BK716" i="4" s="1"/>
  <c r="BK919" i="4" s="1"/>
  <c r="BK680" i="4"/>
  <c r="BK722" i="4" s="1"/>
  <c r="BK925" i="4" s="1"/>
  <c r="CH154" i="4"/>
  <c r="CH150" i="4"/>
  <c r="CJ149" i="4"/>
  <c r="CJ150" i="4" s="1"/>
  <c r="DB124" i="4"/>
  <c r="CZ125" i="4"/>
  <c r="CZ25" i="4"/>
  <c r="CT343" i="4"/>
  <c r="CQ472" i="4"/>
  <c r="BP865" i="4"/>
  <c r="CP436" i="4"/>
  <c r="DB351" i="4"/>
  <c r="DB352" i="4" s="1"/>
  <c r="CW326" i="4"/>
  <c r="BK673" i="4"/>
  <c r="BK679" i="4"/>
  <c r="BK721" i="4" s="1"/>
  <c r="CW434" i="4"/>
  <c r="CN11" i="4"/>
  <c r="CP3" i="4"/>
  <c r="CW451" i="4"/>
  <c r="CY450" i="4"/>
  <c r="CY215" i="4"/>
  <c r="CY214" i="4"/>
  <c r="CJ93" i="3"/>
  <c r="AZ142" i="2"/>
  <c r="AZ143" i="2" s="1"/>
  <c r="AZ146" i="2" s="1"/>
  <c r="AX142" i="2"/>
  <c r="AX143" i="2" s="1"/>
  <c r="AX146" i="2" s="1"/>
  <c r="AY142" i="2" s="1"/>
  <c r="AY143" i="2" s="1"/>
  <c r="AY146" i="2" s="1"/>
  <c r="CU430" i="4"/>
  <c r="CU435" i="4"/>
  <c r="DA222" i="4"/>
  <c r="DA221" i="4"/>
  <c r="DA237" i="4" s="1"/>
  <c r="DA235" i="4" s="1"/>
  <c r="BN589" i="4"/>
  <c r="BO589" i="4" s="1"/>
  <c r="BO567" i="4"/>
  <c r="DF218" i="4"/>
  <c r="DF220" i="4"/>
  <c r="BJ924" i="4"/>
  <c r="CD630" i="2"/>
  <c r="CD631" i="2" s="1"/>
  <c r="CD305" i="2"/>
  <c r="CC287" i="2"/>
  <c r="CC630" i="2" s="1"/>
  <c r="CC631" i="2" s="1"/>
  <c r="CZ440" i="4"/>
  <c r="CZ335" i="4"/>
  <c r="DB334" i="4"/>
  <c r="BN877" i="4"/>
  <c r="BM895" i="4"/>
  <c r="BK957" i="4"/>
  <c r="CT459" i="4"/>
  <c r="CV253" i="4"/>
  <c r="CT251" i="4"/>
  <c r="CE152" i="3"/>
  <c r="CF150" i="3" s="1"/>
  <c r="DC17" i="4"/>
  <c r="DC409" i="4"/>
  <c r="DC413" i="4"/>
  <c r="DC405" i="4"/>
  <c r="DC424" i="4"/>
  <c r="DC352" i="4"/>
  <c r="DJ374" i="2"/>
  <c r="DI566" i="2"/>
  <c r="DI384" i="2"/>
  <c r="DI91" i="2"/>
  <c r="DI349" i="2"/>
  <c r="BL894" i="4"/>
  <c r="CR66" i="4"/>
  <c r="CR56" i="4"/>
  <c r="BO753" i="4"/>
  <c r="CQ460" i="4"/>
  <c r="CQ465" i="4"/>
  <c r="CS459" i="4"/>
  <c r="CS460" i="4" s="1"/>
  <c r="CZ450" i="4"/>
  <c r="DB339" i="4"/>
  <c r="BK670" i="4"/>
  <c r="BL670" i="4" s="1"/>
  <c r="BK709" i="4"/>
  <c r="DD170" i="4"/>
  <c r="DD118" i="4"/>
  <c r="DD181" i="4"/>
  <c r="DD209" i="4"/>
  <c r="CV443" i="4"/>
  <c r="CP486" i="4"/>
  <c r="CP487" i="4" s="1"/>
  <c r="CN146" i="4"/>
  <c r="CZ315" i="4"/>
  <c r="CZ328" i="4"/>
  <c r="CZ326" i="4" s="1"/>
  <c r="CQ131" i="4"/>
  <c r="CQ133" i="4"/>
  <c r="CR489" i="4"/>
  <c r="CR136" i="4"/>
  <c r="BM888" i="4"/>
  <c r="CT438" i="4"/>
  <c r="CV243" i="4"/>
  <c r="CV244" i="4" s="1"/>
  <c r="CT244" i="4"/>
  <c r="CF42" i="2"/>
  <c r="CF475" i="2" s="1"/>
  <c r="CG475" i="2"/>
  <c r="DA438" i="4"/>
  <c r="DA244" i="4"/>
  <c r="DC339" i="4"/>
  <c r="CY221" i="4"/>
  <c r="CK147" i="4"/>
  <c r="CM146" i="4"/>
  <c r="CM147" i="4" s="1"/>
  <c r="CI165" i="2"/>
  <c r="CI168" i="2"/>
  <c r="CI333" i="2"/>
  <c r="CI171" i="3"/>
  <c r="CI167" i="3" s="1"/>
  <c r="CI175" i="2"/>
  <c r="CI334" i="2"/>
  <c r="CI169" i="3"/>
  <c r="CI165" i="3" s="1"/>
  <c r="CI150" i="2"/>
  <c r="CI341" i="2"/>
  <c r="CI342" i="2"/>
  <c r="CI340" i="2"/>
  <c r="CI339" i="2"/>
  <c r="CI335" i="2"/>
  <c r="CI31" i="2"/>
  <c r="CI170" i="3"/>
  <c r="CI166" i="3" s="1"/>
  <c r="CI163" i="2"/>
  <c r="CI162" i="2"/>
  <c r="CI11" i="4"/>
  <c r="CZ400" i="4"/>
  <c r="DB220" i="4"/>
  <c r="DB222" i="4" s="1"/>
  <c r="CY442" i="4"/>
  <c r="CW443" i="4"/>
  <c r="CQ486" i="4"/>
  <c r="CQ479" i="4"/>
  <c r="CS426" i="4"/>
  <c r="CS427" i="4" s="1"/>
  <c r="CQ427" i="4"/>
  <c r="CQ483" i="4"/>
  <c r="CR470" i="4"/>
  <c r="BL631" i="4"/>
  <c r="BL586" i="4"/>
  <c r="BL619" i="4"/>
  <c r="CX443" i="4"/>
  <c r="CO842" i="4"/>
  <c r="CN824" i="4"/>
  <c r="CN842" i="4" s="1"/>
  <c r="CT471" i="4"/>
  <c r="CT348" i="4"/>
  <c r="CT44" i="4"/>
  <c r="CH186" i="2"/>
  <c r="CT26" i="4"/>
  <c r="CT36" i="4"/>
  <c r="CV23" i="4"/>
  <c r="CX421" i="4"/>
  <c r="CS20" i="4"/>
  <c r="CQ30" i="2"/>
  <c r="CQ3" i="4"/>
  <c r="CQ34" i="4"/>
  <c r="CQ71" i="4"/>
  <c r="BM625" i="4"/>
  <c r="BM637" i="4"/>
  <c r="BM685" i="4" s="1"/>
  <c r="BQ497" i="2"/>
  <c r="BR498" i="2"/>
  <c r="BQ504" i="2"/>
  <c r="BQ500" i="2"/>
  <c r="BQ499" i="2"/>
  <c r="DA125" i="4"/>
  <c r="DA25" i="4"/>
  <c r="CS430" i="4"/>
  <c r="CY409" i="4"/>
  <c r="CY410" i="4" s="1"/>
  <c r="CK175" i="2"/>
  <c r="DG214" i="4"/>
  <c r="DG215" i="4"/>
  <c r="DG217" i="4" s="1"/>
  <c r="DH217" i="4" s="1"/>
  <c r="BN889" i="4"/>
  <c r="DH460" i="2"/>
  <c r="DH464" i="2" s="1"/>
  <c r="DG70" i="2"/>
  <c r="DG460" i="2" s="1"/>
  <c r="DG464" i="2" s="1"/>
  <c r="DH456" i="2"/>
  <c r="BJ730" i="4"/>
  <c r="DA15" i="4"/>
  <c r="DA253" i="4"/>
  <c r="DA171" i="4"/>
  <c r="DA420" i="4"/>
  <c r="CE62" i="4"/>
  <c r="CE72" i="4"/>
  <c r="DF310" i="4"/>
  <c r="CV464" i="4"/>
  <c r="CT235" i="4"/>
  <c r="DF284" i="4"/>
  <c r="BJ656" i="4"/>
  <c r="BJ698" i="4" s="1"/>
  <c r="BJ943" i="4"/>
  <c r="BJ662" i="4"/>
  <c r="BJ704" i="4" s="1"/>
  <c r="BJ907" i="4" s="1"/>
  <c r="BW307" i="2"/>
  <c r="BW324" i="2" s="1"/>
  <c r="BX324" i="2"/>
  <c r="DC222" i="4"/>
  <c r="DC221" i="4"/>
  <c r="DC390" i="4"/>
  <c r="DC402" i="4"/>
  <c r="DC400" i="4" s="1"/>
  <c r="CU460" i="4"/>
  <c r="CP254" i="4"/>
  <c r="CP252" i="4"/>
  <c r="DL70" i="2"/>
  <c r="DO69" i="3"/>
  <c r="CX433" i="4"/>
  <c r="CX434" i="4" s="1"/>
  <c r="CX416" i="4"/>
  <c r="CY416" i="4" s="1"/>
  <c r="CY417" i="4" s="1"/>
  <c r="CX403" i="4"/>
  <c r="CW441" i="4"/>
  <c r="CY440" i="4"/>
  <c r="BY650" i="4"/>
  <c r="CK91" i="3"/>
  <c r="CK93" i="3" s="1"/>
  <c r="CK337" i="2"/>
  <c r="BX481" i="2"/>
  <c r="BX482" i="2" s="1"/>
  <c r="BX483" i="2" s="1"/>
  <c r="BX484" i="2" s="1"/>
  <c r="BX485" i="2" s="1"/>
  <c r="CQ64" i="4"/>
  <c r="CS43" i="4"/>
  <c r="CQ42" i="4"/>
  <c r="CQ54" i="4"/>
  <c r="CT432" i="4"/>
  <c r="CV431" i="4"/>
  <c r="BK897" i="4"/>
  <c r="CV420" i="4"/>
  <c r="CV421" i="4" s="1"/>
  <c r="CT426" i="4"/>
  <c r="CT421" i="4"/>
  <c r="DF389" i="4"/>
  <c r="DF367" i="4"/>
  <c r="BZ644" i="4"/>
  <c r="BJ674" i="4"/>
  <c r="BJ716" i="4" s="1"/>
  <c r="BJ919" i="4" s="1"/>
  <c r="BJ680" i="4"/>
  <c r="BJ722" i="4" s="1"/>
  <c r="BJ925" i="4" s="1"/>
  <c r="CV416" i="4"/>
  <c r="CV417" i="4" s="1"/>
  <c r="BX691" i="4"/>
  <c r="DE366" i="4"/>
  <c r="DG349" i="2"/>
  <c r="DH225" i="3"/>
  <c r="DH221" i="2"/>
  <c r="BV752" i="4"/>
  <c r="CL300" i="2"/>
  <c r="CN300" i="2"/>
  <c r="CN297" i="2" s="1"/>
  <c r="CM297" i="2"/>
  <c r="BL668" i="4"/>
  <c r="BL710" i="4" s="1"/>
  <c r="EN84" i="4" l="1"/>
  <c r="EM85" i="4"/>
  <c r="EN88" i="4"/>
  <c r="EO87" i="4"/>
  <c r="DW145" i="2"/>
  <c r="DV145" i="2" s="1"/>
  <c r="DX145" i="2"/>
  <c r="CY125" i="4"/>
  <c r="CI58" i="4"/>
  <c r="CU133" i="4"/>
  <c r="CU134" i="4" s="1"/>
  <c r="CR137" i="4"/>
  <c r="CR133" i="4"/>
  <c r="CX26" i="4"/>
  <c r="CX39" i="4" s="1"/>
  <c r="CY25" i="4"/>
  <c r="DA38" i="4"/>
  <c r="DD113" i="4"/>
  <c r="DD115" i="4" s="1"/>
  <c r="EW294" i="2"/>
  <c r="EY294" i="2"/>
  <c r="CZ113" i="4"/>
  <c r="EZ292" i="2"/>
  <c r="DV270" i="2"/>
  <c r="CP64" i="4"/>
  <c r="CF51" i="4"/>
  <c r="CF6" i="4" s="1"/>
  <c r="CG6" i="4" s="1"/>
  <c r="CO46" i="4"/>
  <c r="CO57" i="4" s="1"/>
  <c r="CR475" i="4"/>
  <c r="CR476" i="4" s="1"/>
  <c r="CS471" i="4"/>
  <c r="CS472" i="4" s="1"/>
  <c r="CI160" i="4"/>
  <c r="CI161" i="4" s="1"/>
  <c r="E60" i="9"/>
  <c r="E61" i="9" s="1"/>
  <c r="E62" i="9"/>
  <c r="E63" i="9" s="1"/>
  <c r="F64" i="9"/>
  <c r="F65" i="9" s="1"/>
  <c r="CR131" i="4"/>
  <c r="CS435" i="4"/>
  <c r="CS436" i="4" s="1"/>
  <c r="CS44" i="4"/>
  <c r="CS65" i="4" s="1"/>
  <c r="CR42" i="4"/>
  <c r="CS42" i="4" s="1"/>
  <c r="CR65" i="4"/>
  <c r="CN66" i="3"/>
  <c r="CM66" i="3"/>
  <c r="CI479" i="2"/>
  <c r="CI480" i="2" s="1"/>
  <c r="CI619" i="2"/>
  <c r="CI621" i="2" s="1"/>
  <c r="CG152" i="2"/>
  <c r="CF60" i="2"/>
  <c r="CG617" i="2"/>
  <c r="CG622" i="2" s="1"/>
  <c r="CG55" i="2"/>
  <c r="CG61" i="2"/>
  <c r="CG159" i="2"/>
  <c r="CE644" i="2"/>
  <c r="CE346" i="2" s="1"/>
  <c r="DH299" i="4"/>
  <c r="DG301" i="4"/>
  <c r="DH301" i="4" s="1"/>
  <c r="CD503" i="2"/>
  <c r="CD184" i="2"/>
  <c r="CD187" i="2" s="1"/>
  <c r="CQ271" i="2"/>
  <c r="CO271" i="2"/>
  <c r="CP269" i="2"/>
  <c r="CH60" i="2"/>
  <c r="CH153" i="2"/>
  <c r="CH69" i="2"/>
  <c r="CH160" i="2"/>
  <c r="DH300" i="4"/>
  <c r="DH302" i="4" s="1"/>
  <c r="DG302" i="4"/>
  <c r="DS375" i="4"/>
  <c r="DV375" i="4" s="1"/>
  <c r="DP295" i="4"/>
  <c r="DP296" i="4" s="1"/>
  <c r="DP203" i="4"/>
  <c r="DP204" i="4" s="1"/>
  <c r="CN77" i="2"/>
  <c r="CL77" i="2"/>
  <c r="CM74" i="2"/>
  <c r="CJ4" i="3"/>
  <c r="CJ10" i="3" s="1"/>
  <c r="CI72" i="2"/>
  <c r="CI345" i="2" s="1"/>
  <c r="CJ178" i="2"/>
  <c r="CI178" i="2" s="1"/>
  <c r="CJ331" i="2"/>
  <c r="CJ154" i="2"/>
  <c r="CJ68" i="2"/>
  <c r="CJ161" i="2"/>
  <c r="CJ73" i="2"/>
  <c r="CH176" i="2"/>
  <c r="CK304" i="2"/>
  <c r="CK305" i="2" s="1"/>
  <c r="CJ343" i="2"/>
  <c r="CK72" i="2"/>
  <c r="CK619" i="2"/>
  <c r="CK621" i="2" s="1"/>
  <c r="CK479" i="2"/>
  <c r="CK480" i="2" s="1"/>
  <c r="CH171" i="2"/>
  <c r="CF171" i="2"/>
  <c r="CF153" i="2"/>
  <c r="CF160" i="2"/>
  <c r="CF69" i="2"/>
  <c r="DE214" i="4"/>
  <c r="CO149" i="4"/>
  <c r="CO150" i="4" s="1"/>
  <c r="G58" i="9"/>
  <c r="G59" i="9" s="1"/>
  <c r="F54" i="9"/>
  <c r="F55" i="9" s="1"/>
  <c r="CP134" i="4"/>
  <c r="DK19" i="4"/>
  <c r="DK33" i="4" s="1"/>
  <c r="DB186" i="2"/>
  <c r="DA186" i="2" s="1"/>
  <c r="W59" i="9"/>
  <c r="DA276" i="2"/>
  <c r="DC276" i="2"/>
  <c r="DE280" i="2"/>
  <c r="DO19" i="4"/>
  <c r="DM19" i="4"/>
  <c r="DM33" i="4" s="1"/>
  <c r="DL33" i="4"/>
  <c r="DT455" i="2"/>
  <c r="DU149" i="3"/>
  <c r="DV149" i="3" s="1"/>
  <c r="DW149" i="3" s="1"/>
  <c r="CY335" i="4"/>
  <c r="CF70" i="4"/>
  <c r="DH281" i="4"/>
  <c r="CX426" i="4"/>
  <c r="CX486" i="4" s="1"/>
  <c r="CX146" i="4" s="1"/>
  <c r="CF60" i="4"/>
  <c r="BE144" i="2"/>
  <c r="CM264" i="2"/>
  <c r="CL263" i="2"/>
  <c r="BE225" i="3"/>
  <c r="BG349" i="2"/>
  <c r="BH374" i="2"/>
  <c r="BG566" i="2"/>
  <c r="BG91" i="2"/>
  <c r="BG140" i="2"/>
  <c r="BG141" i="2" s="1"/>
  <c r="BG384" i="2"/>
  <c r="BI566" i="2"/>
  <c r="BI140" i="2"/>
  <c r="BI91" i="2"/>
  <c r="BJ374" i="2"/>
  <c r="BL374" i="2"/>
  <c r="BI384" i="2"/>
  <c r="BE566" i="2"/>
  <c r="BE384" i="2"/>
  <c r="BE221" i="2"/>
  <c r="BF222" i="2"/>
  <c r="BE222" i="2" s="1"/>
  <c r="CD415" i="2"/>
  <c r="CC415" i="2" s="1"/>
  <c r="CC414" i="2"/>
  <c r="CE414" i="2"/>
  <c r="DH278" i="4"/>
  <c r="CG60" i="4"/>
  <c r="DH224" i="3"/>
  <c r="CS143" i="2"/>
  <c r="CS146" i="2" s="1"/>
  <c r="CV138" i="2"/>
  <c r="CT139" i="2"/>
  <c r="CT140" i="2" s="1"/>
  <c r="CT141" i="2" s="1"/>
  <c r="CS140" i="2"/>
  <c r="CR139" i="2"/>
  <c r="CR143" i="2" s="1"/>
  <c r="CR146" i="2" s="1"/>
  <c r="CU486" i="4"/>
  <c r="CU146" i="4" s="1"/>
  <c r="ER131" i="3"/>
  <c r="CK328" i="2"/>
  <c r="CK236" i="3" s="1"/>
  <c r="CK329" i="2"/>
  <c r="CK513" i="2"/>
  <c r="CK327" i="2"/>
  <c r="CK120" i="3"/>
  <c r="CK640" i="2"/>
  <c r="CI120" i="3"/>
  <c r="CI640" i="2"/>
  <c r="CI513" i="2"/>
  <c r="CI327" i="2"/>
  <c r="CI328" i="2"/>
  <c r="CI236" i="3" s="1"/>
  <c r="CI166" i="2"/>
  <c r="CN292" i="2"/>
  <c r="CL292" i="2"/>
  <c r="CM290" i="2"/>
  <c r="CM304" i="2" s="1"/>
  <c r="CL304" i="2" s="1"/>
  <c r="CK166" i="2"/>
  <c r="CI329" i="2"/>
  <c r="CJ235" i="3"/>
  <c r="CJ330" i="2"/>
  <c r="DB774" i="4"/>
  <c r="ES204" i="4"/>
  <c r="ET338" i="4"/>
  <c r="EV79" i="4"/>
  <c r="EW78" i="4"/>
  <c r="EV295" i="4"/>
  <c r="ET260" i="2"/>
  <c r="ET213" i="3" s="1"/>
  <c r="EV260" i="2"/>
  <c r="EV213" i="3" s="1"/>
  <c r="ER256" i="2"/>
  <c r="EU213" i="3"/>
  <c r="ET278" i="2"/>
  <c r="ET73" i="3" s="1"/>
  <c r="ET75" i="3" s="1"/>
  <c r="EV278" i="2"/>
  <c r="EU73" i="3"/>
  <c r="EU75" i="3" s="1"/>
  <c r="ES131" i="3"/>
  <c r="ES78" i="2"/>
  <c r="ES182" i="2" s="1"/>
  <c r="ET125" i="3"/>
  <c r="EU125" i="3" s="1"/>
  <c r="EU78" i="2" s="1"/>
  <c r="ET76" i="4"/>
  <c r="EV75" i="4"/>
  <c r="ER75" i="3"/>
  <c r="ES75" i="3"/>
  <c r="CV217" i="3"/>
  <c r="CT215" i="3"/>
  <c r="EM413" i="2"/>
  <c r="EO413" i="2" s="1"/>
  <c r="EK413" i="2"/>
  <c r="BD25" i="2"/>
  <c r="CY455" i="2"/>
  <c r="CZ149" i="3"/>
  <c r="CY148" i="3"/>
  <c r="BD400" i="2"/>
  <c r="BD472" i="2" s="1"/>
  <c r="BD154" i="3"/>
  <c r="BD398" i="2"/>
  <c r="BA365" i="2"/>
  <c r="BA223" i="3" s="1"/>
  <c r="BA366" i="2"/>
  <c r="BA224" i="3" s="1"/>
  <c r="BA27" i="2"/>
  <c r="BG441" i="2"/>
  <c r="BF410" i="2"/>
  <c r="BF409" i="2"/>
  <c r="BF411" i="2"/>
  <c r="AY365" i="2"/>
  <c r="AY223" i="3" s="1"/>
  <c r="AY27" i="2"/>
  <c r="AY366" i="2"/>
  <c r="AY224" i="3" s="1"/>
  <c r="BC11" i="2"/>
  <c r="BC14" i="2"/>
  <c r="BC25" i="2"/>
  <c r="AZ20" i="2"/>
  <c r="AZ472" i="2"/>
  <c r="BB400" i="2"/>
  <c r="BB398" i="2"/>
  <c r="BB25" i="2"/>
  <c r="EQ78" i="2"/>
  <c r="ER182" i="2"/>
  <c r="EQ182" i="2" s="1"/>
  <c r="ER132" i="3"/>
  <c r="ER212" i="2" s="1"/>
  <c r="EP212" i="2"/>
  <c r="DG225" i="3"/>
  <c r="CH150" i="3"/>
  <c r="CH152" i="3" s="1"/>
  <c r="CI150" i="3" s="1"/>
  <c r="CQ5" i="4"/>
  <c r="CN5" i="4"/>
  <c r="CP5" i="4" s="1"/>
  <c r="CD72" i="4"/>
  <c r="CX326" i="4"/>
  <c r="CX130" i="4" s="1"/>
  <c r="CP475" i="4"/>
  <c r="CP476" i="4" s="1"/>
  <c r="CM53" i="4"/>
  <c r="CV326" i="4"/>
  <c r="CU471" i="4"/>
  <c r="CU472" i="4" s="1"/>
  <c r="CY345" i="4"/>
  <c r="DG283" i="4"/>
  <c r="DH282" i="4"/>
  <c r="DH283" i="4" s="1"/>
  <c r="CN53" i="4"/>
  <c r="BJ945" i="4"/>
  <c r="DA315" i="4"/>
  <c r="CQ475" i="4"/>
  <c r="CQ476" i="4" s="1"/>
  <c r="CL154" i="4"/>
  <c r="CL155" i="4" s="1"/>
  <c r="BN570" i="4"/>
  <c r="DG379" i="4"/>
  <c r="DG380" i="4" s="1"/>
  <c r="DG360" i="4"/>
  <c r="DH375" i="4"/>
  <c r="DH376" i="4" s="1"/>
  <c r="DH163" i="4"/>
  <c r="DH164" i="4" s="1"/>
  <c r="DG164" i="4"/>
  <c r="CP42" i="4"/>
  <c r="CP53" i="4" s="1"/>
  <c r="CU348" i="4"/>
  <c r="CV347" i="4"/>
  <c r="CV348" i="4" s="1"/>
  <c r="CY328" i="4"/>
  <c r="CY329" i="4" s="1"/>
  <c r="DE285" i="4"/>
  <c r="DB315" i="4"/>
  <c r="DA328" i="4"/>
  <c r="DB328" i="4" s="1"/>
  <c r="CV21" i="4"/>
  <c r="CV441" i="4"/>
  <c r="BI939" i="4"/>
  <c r="CU131" i="4"/>
  <c r="CX431" i="4"/>
  <c r="CX432" i="4" s="1"/>
  <c r="CU456" i="4"/>
  <c r="CU483" i="4"/>
  <c r="CU139" i="4" s="1"/>
  <c r="CV451" i="4"/>
  <c r="CV30" i="4"/>
  <c r="CU427" i="4"/>
  <c r="CQ436" i="4"/>
  <c r="CU436" i="4"/>
  <c r="CV432" i="4"/>
  <c r="CY423" i="4"/>
  <c r="CY443" i="4"/>
  <c r="DE307" i="4"/>
  <c r="CY453" i="4"/>
  <c r="CY464" i="4"/>
  <c r="CY16" i="4"/>
  <c r="CU823" i="4"/>
  <c r="CY823" i="4"/>
  <c r="CV841" i="4"/>
  <c r="CQ823" i="4"/>
  <c r="CQ841" i="4" s="1"/>
  <c r="CR841" i="4"/>
  <c r="CY31" i="4"/>
  <c r="BL712" i="4"/>
  <c r="BL915" i="4" s="1"/>
  <c r="DE332" i="4"/>
  <c r="DE333" i="4" s="1"/>
  <c r="CU465" i="4"/>
  <c r="CU466" i="4" s="1"/>
  <c r="DE337" i="4"/>
  <c r="DE338" i="4" s="1"/>
  <c r="BL688" i="4"/>
  <c r="DI835" i="4"/>
  <c r="DJ835" i="4" s="1"/>
  <c r="BM592" i="4"/>
  <c r="BM640" i="4" s="1"/>
  <c r="DC852" i="4"/>
  <c r="DD852" i="4" s="1"/>
  <c r="DH852" i="4"/>
  <c r="CU71" i="4"/>
  <c r="CU34" i="4"/>
  <c r="BI736" i="4"/>
  <c r="BI782" i="4" s="1"/>
  <c r="CQ470" i="4"/>
  <c r="DD124" i="4"/>
  <c r="DD313" i="4"/>
  <c r="DD315" i="4" s="1"/>
  <c r="CX347" i="4"/>
  <c r="CX348" i="4" s="1"/>
  <c r="EB318" i="4"/>
  <c r="EB320" i="4"/>
  <c r="DY229" i="4"/>
  <c r="EE317" i="4"/>
  <c r="EH392" i="4"/>
  <c r="EE395" i="4"/>
  <c r="EE225" i="4"/>
  <c r="DY321" i="4"/>
  <c r="EB226" i="4"/>
  <c r="EB228" i="4"/>
  <c r="CP11" i="4"/>
  <c r="BL930" i="4"/>
  <c r="DE352" i="4"/>
  <c r="CX21" i="4"/>
  <c r="BL896" i="4"/>
  <c r="EA318" i="4"/>
  <c r="EA320" i="4"/>
  <c r="EC317" i="4"/>
  <c r="EC318" i="4" s="1"/>
  <c r="DZ320" i="4"/>
  <c r="EA226" i="4"/>
  <c r="EA228" i="4"/>
  <c r="EC225" i="4"/>
  <c r="EC226" i="4" s="1"/>
  <c r="DZ228" i="4"/>
  <c r="BL948" i="4"/>
  <c r="BL957" i="4"/>
  <c r="CV461" i="4"/>
  <c r="CV462" i="4" s="1"/>
  <c r="CX20" i="4"/>
  <c r="CX71" i="4" s="1"/>
  <c r="EC395" i="4"/>
  <c r="EG392" i="4"/>
  <c r="ED317" i="4"/>
  <c r="ED225" i="4"/>
  <c r="ED395" i="4"/>
  <c r="DA400" i="4"/>
  <c r="DB400" i="4" s="1"/>
  <c r="EK82" i="4"/>
  <c r="EL81" i="4"/>
  <c r="DB209" i="4"/>
  <c r="DB210" i="4" s="1"/>
  <c r="DB262" i="4"/>
  <c r="DB263" i="4" s="1"/>
  <c r="CY441" i="4"/>
  <c r="CY451" i="4"/>
  <c r="CV342" i="4"/>
  <c r="CV343" i="4" s="1"/>
  <c r="CZ237" i="4"/>
  <c r="DB237" i="4" s="1"/>
  <c r="DB828" i="4"/>
  <c r="DB829" i="4" s="1"/>
  <c r="DB830" i="4" s="1"/>
  <c r="DB831" i="4" s="1"/>
  <c r="DA822" i="4"/>
  <c r="DB840" i="4"/>
  <c r="DB846" i="4" s="1"/>
  <c r="DB847" i="4" s="1"/>
  <c r="DB848" i="4" s="1"/>
  <c r="DB849" i="4" s="1"/>
  <c r="DE822" i="4"/>
  <c r="CW822" i="4"/>
  <c r="CX828" i="4"/>
  <c r="CX829" i="4" s="1"/>
  <c r="CX830" i="4" s="1"/>
  <c r="CX831" i="4" s="1"/>
  <c r="CX840" i="4"/>
  <c r="CX846" i="4" s="1"/>
  <c r="CX847" i="4" s="1"/>
  <c r="CX848" i="4" s="1"/>
  <c r="CX849" i="4" s="1"/>
  <c r="CT840" i="4"/>
  <c r="CT846" i="4" s="1"/>
  <c r="CT847" i="4" s="1"/>
  <c r="CT848" i="4" s="1"/>
  <c r="CT849" i="4" s="1"/>
  <c r="CT828" i="4"/>
  <c r="CT829" i="4" s="1"/>
  <c r="CT830" i="4" s="1"/>
  <c r="CT831" i="4" s="1"/>
  <c r="DF835" i="4"/>
  <c r="DG835" i="4" s="1"/>
  <c r="BM633" i="4"/>
  <c r="BM621" i="4"/>
  <c r="BL675" i="4"/>
  <c r="BL717" i="4" s="1"/>
  <c r="BL920" i="4" s="1"/>
  <c r="BL681" i="4"/>
  <c r="BL723" i="4" s="1"/>
  <c r="BL926" i="4" s="1"/>
  <c r="BM627" i="4"/>
  <c r="BM669" i="4" s="1"/>
  <c r="BM639" i="4"/>
  <c r="BM687" i="4" s="1"/>
  <c r="BL950" i="4"/>
  <c r="BL741" i="4"/>
  <c r="BL787" i="4" s="1"/>
  <c r="BL914" i="4"/>
  <c r="BL944" i="4"/>
  <c r="BL657" i="4"/>
  <c r="BL699" i="4" s="1"/>
  <c r="BL663" i="4"/>
  <c r="BL705" i="4" s="1"/>
  <c r="BL908" i="4" s="1"/>
  <c r="BO569" i="4"/>
  <c r="BN591" i="4"/>
  <c r="CL838" i="4"/>
  <c r="CL843" i="4"/>
  <c r="CL856" i="4" s="1"/>
  <c r="CK825" i="4"/>
  <c r="BK944" i="4"/>
  <c r="BK945" i="4" s="1"/>
  <c r="BK657" i="4"/>
  <c r="BK699" i="4" s="1"/>
  <c r="BK663" i="4"/>
  <c r="BK705" i="4" s="1"/>
  <c r="BK908" i="4" s="1"/>
  <c r="CS825" i="4"/>
  <c r="CP838" i="4"/>
  <c r="CO825" i="4"/>
  <c r="CP843" i="4"/>
  <c r="CP856" i="4" s="1"/>
  <c r="BJ735" i="4"/>
  <c r="BJ781" i="4" s="1"/>
  <c r="BJ938" i="4"/>
  <c r="BJ902" i="4"/>
  <c r="CH838" i="4"/>
  <c r="CH843" i="4"/>
  <c r="CH856" i="4" s="1"/>
  <c r="BK675" i="4"/>
  <c r="BK717" i="4" s="1"/>
  <c r="BK920" i="4" s="1"/>
  <c r="BK681" i="4"/>
  <c r="BK723" i="4" s="1"/>
  <c r="BK926" i="4" s="1"/>
  <c r="CX771" i="4"/>
  <c r="DO837" i="4"/>
  <c r="DP837" i="4" s="1"/>
  <c r="DT837" i="4"/>
  <c r="DH191" i="4"/>
  <c r="DH192" i="4" s="1"/>
  <c r="BJ724" i="4"/>
  <c r="BJ927" i="4" s="1"/>
  <c r="BJ706" i="4"/>
  <c r="BJ909" i="4" s="1"/>
  <c r="BM884" i="4"/>
  <c r="CW771" i="4"/>
  <c r="BJ676" i="4"/>
  <c r="DB413" i="4"/>
  <c r="DB414" i="4" s="1"/>
  <c r="DD225" i="3"/>
  <c r="CX423" i="4"/>
  <c r="CX451" i="4"/>
  <c r="DD207" i="3"/>
  <c r="DC206" i="3"/>
  <c r="DG333" i="4"/>
  <c r="DG261" i="4"/>
  <c r="DG337" i="4"/>
  <c r="DG339" i="4" s="1"/>
  <c r="DG450" i="4" s="1"/>
  <c r="DK580" i="4"/>
  <c r="DF580" i="4"/>
  <c r="DG580" i="4" s="1"/>
  <c r="CX441" i="4"/>
  <c r="CN149" i="4"/>
  <c r="CN150" i="4" s="1"/>
  <c r="DB409" i="4"/>
  <c r="DB410" i="4" s="1"/>
  <c r="BL932" i="4"/>
  <c r="BM890" i="4"/>
  <c r="BM891" i="4" s="1"/>
  <c r="BO859" i="4"/>
  <c r="BN955" i="4"/>
  <c r="DD440" i="4"/>
  <c r="DH186" i="4"/>
  <c r="CC12" i="4"/>
  <c r="CC8" i="4"/>
  <c r="BM878" i="4"/>
  <c r="BM879" i="4" s="1"/>
  <c r="CX773" i="4"/>
  <c r="CX774" i="4" s="1"/>
  <c r="CW773" i="4"/>
  <c r="CW774" i="4" s="1"/>
  <c r="DZ504" i="4"/>
  <c r="DZ505" i="4"/>
  <c r="DD262" i="4"/>
  <c r="DE262" i="4" s="1"/>
  <c r="DD285" i="4"/>
  <c r="CX461" i="4"/>
  <c r="CX462" i="4" s="1"/>
  <c r="CX342" i="4"/>
  <c r="CX343" i="4" s="1"/>
  <c r="DA263" i="4"/>
  <c r="DA344" i="4"/>
  <c r="DA422" i="4"/>
  <c r="DB422" i="4" s="1"/>
  <c r="DB423" i="4" s="1"/>
  <c r="DA16" i="4"/>
  <c r="DA30" i="4" s="1"/>
  <c r="DG284" i="4"/>
  <c r="DH284" i="4" s="1"/>
  <c r="DH285" i="4" s="1"/>
  <c r="DA768" i="4"/>
  <c r="DA770" i="4" s="1"/>
  <c r="DA762" i="4"/>
  <c r="CZ768" i="4"/>
  <c r="CZ771" i="4" s="1"/>
  <c r="CZ762" i="4"/>
  <c r="DC760" i="4"/>
  <c r="DC769" i="4"/>
  <c r="DC758" i="4"/>
  <c r="DC766" i="4" s="1"/>
  <c r="DC757" i="4"/>
  <c r="DC765" i="4" s="1"/>
  <c r="DC759" i="4"/>
  <c r="DC767" i="4" s="1"/>
  <c r="DD758" i="4"/>
  <c r="DD766" i="4" s="1"/>
  <c r="DD759" i="4"/>
  <c r="DD767" i="4" s="1"/>
  <c r="DD757" i="4"/>
  <c r="DD765" i="4" s="1"/>
  <c r="DD760" i="4"/>
  <c r="DD769" i="4"/>
  <c r="DE768" i="4"/>
  <c r="DE773" i="4" s="1"/>
  <c r="DE774" i="4" s="1"/>
  <c r="DE762" i="4"/>
  <c r="DH757" i="4"/>
  <c r="DH765" i="4" s="1"/>
  <c r="DG761" i="4"/>
  <c r="DH758" i="4"/>
  <c r="DH766" i="4" s="1"/>
  <c r="DF761" i="4"/>
  <c r="DH759" i="4"/>
  <c r="DH767" i="4" s="1"/>
  <c r="DH769" i="4"/>
  <c r="DH760" i="4"/>
  <c r="DK761" i="4"/>
  <c r="DB771" i="4"/>
  <c r="DB770" i="4"/>
  <c r="DR273" i="2"/>
  <c r="DP273" i="2"/>
  <c r="BM632" i="4"/>
  <c r="BM620" i="4"/>
  <c r="BM586" i="4"/>
  <c r="CV56" i="4"/>
  <c r="CV66" i="4"/>
  <c r="CJ152" i="3"/>
  <c r="CM150" i="3" s="1"/>
  <c r="BZ646" i="2"/>
  <c r="BZ644" i="2"/>
  <c r="BZ346" i="2" s="1"/>
  <c r="CZ431" i="4"/>
  <c r="CZ329" i="4"/>
  <c r="CZ347" i="4"/>
  <c r="CZ451" i="4"/>
  <c r="DB450" i="4"/>
  <c r="DC452" i="4"/>
  <c r="CC305" i="2"/>
  <c r="CC634" i="2" s="1"/>
  <c r="CC636" i="2" s="1"/>
  <c r="CC639" i="2" s="1"/>
  <c r="CC642" i="2" s="1"/>
  <c r="CC644" i="2" s="1"/>
  <c r="CC346" i="2" s="1"/>
  <c r="CD634" i="2"/>
  <c r="CD636" i="2" s="1"/>
  <c r="CD639" i="2" s="1"/>
  <c r="CD642" i="2" s="1"/>
  <c r="CD644" i="2" s="1"/>
  <c r="CD346" i="2" s="1"/>
  <c r="CD307" i="2"/>
  <c r="CY433" i="4"/>
  <c r="CY434" i="4" s="1"/>
  <c r="BQ865" i="4"/>
  <c r="CH160" i="4"/>
  <c r="CH155" i="4"/>
  <c r="CJ154" i="4"/>
  <c r="CJ155" i="4" s="1"/>
  <c r="CV29" i="4"/>
  <c r="CT643" i="4"/>
  <c r="CW448" i="4"/>
  <c r="CY248" i="4"/>
  <c r="DJ215" i="4"/>
  <c r="DJ214" i="4"/>
  <c r="CF186" i="2"/>
  <c r="DD438" i="4"/>
  <c r="DD244" i="4"/>
  <c r="CV473" i="4"/>
  <c r="CV474" i="4" s="1"/>
  <c r="DG310" i="4"/>
  <c r="DH310" i="4" s="1"/>
  <c r="DG312" i="4"/>
  <c r="DH312" i="4" s="1"/>
  <c r="CY235" i="4"/>
  <c r="CW130" i="4"/>
  <c r="CZ248" i="4"/>
  <c r="DB246" i="4"/>
  <c r="DB247" i="4" s="1"/>
  <c r="DE175" i="4"/>
  <c r="DE176" i="4" s="1"/>
  <c r="DE179" i="4"/>
  <c r="CV429" i="4"/>
  <c r="CV430" i="4" s="1"/>
  <c r="CT430" i="4"/>
  <c r="CT435" i="4"/>
  <c r="BM954" i="4"/>
  <c r="BM861" i="4"/>
  <c r="BN858" i="4"/>
  <c r="DC25" i="4"/>
  <c r="DC125" i="4"/>
  <c r="DC667" i="2"/>
  <c r="BJ733" i="4"/>
  <c r="BJ700" i="4"/>
  <c r="BJ936" i="4"/>
  <c r="BJ900" i="4"/>
  <c r="CH68" i="4"/>
  <c r="CJ47" i="4"/>
  <c r="CH58" i="4"/>
  <c r="CH49" i="4"/>
  <c r="CS252" i="4"/>
  <c r="CS254" i="4"/>
  <c r="DC335" i="4"/>
  <c r="DC440" i="4"/>
  <c r="DE334" i="4"/>
  <c r="BN870" i="4"/>
  <c r="BM873" i="4"/>
  <c r="CQ456" i="4"/>
  <c r="CS454" i="4"/>
  <c r="CS456" i="4" s="1"/>
  <c r="BH780" i="4"/>
  <c r="BH736" i="4"/>
  <c r="BH782" i="4" s="1"/>
  <c r="DB118" i="4"/>
  <c r="CZ119" i="4"/>
  <c r="CZ23" i="4"/>
  <c r="CZ127" i="4"/>
  <c r="DB424" i="4"/>
  <c r="DB425" i="4" s="1"/>
  <c r="BM867" i="4"/>
  <c r="BN864" i="4"/>
  <c r="BY651" i="4"/>
  <c r="BM956" i="4"/>
  <c r="BN860" i="4"/>
  <c r="DB442" i="4"/>
  <c r="CZ443" i="4"/>
  <c r="CW438" i="4"/>
  <c r="CW244" i="4"/>
  <c r="CY243" i="4"/>
  <c r="CY244" i="4" s="1"/>
  <c r="DJ70" i="2"/>
  <c r="DJ460" i="2" s="1"/>
  <c r="DJ464" i="2" s="1"/>
  <c r="DK460" i="2"/>
  <c r="DK464" i="2" s="1"/>
  <c r="CX430" i="4"/>
  <c r="CY127" i="4"/>
  <c r="CY128" i="4" s="1"/>
  <c r="CW128" i="4"/>
  <c r="CL282" i="2"/>
  <c r="CM276" i="2"/>
  <c r="CN186" i="2" s="1"/>
  <c r="CZ30" i="4"/>
  <c r="BM673" i="4"/>
  <c r="BM679" i="4"/>
  <c r="BM721" i="4" s="1"/>
  <c r="BM924" i="4" s="1"/>
  <c r="CE161" i="4"/>
  <c r="CG160" i="4"/>
  <c r="CG161" i="4" s="1"/>
  <c r="CV36" i="4"/>
  <c r="DA439" i="4"/>
  <c r="DA444" i="4"/>
  <c r="DA445" i="4" s="1"/>
  <c r="DC442" i="4"/>
  <c r="CK630" i="2"/>
  <c r="CK631" i="2" s="1"/>
  <c r="DH383" i="4"/>
  <c r="CK154" i="4"/>
  <c r="CK150" i="4"/>
  <c r="CM149" i="4"/>
  <c r="CM150" i="4" s="1"/>
  <c r="CM91" i="3"/>
  <c r="CL297" i="2"/>
  <c r="CL337" i="2" s="1"/>
  <c r="CM337" i="2"/>
  <c r="DH367" i="4"/>
  <c r="DH364" i="4"/>
  <c r="CQ53" i="4"/>
  <c r="BZ650" i="4"/>
  <c r="DF313" i="4"/>
  <c r="DF285" i="4"/>
  <c r="DF124" i="4"/>
  <c r="DF262" i="4"/>
  <c r="CE7" i="4"/>
  <c r="BM667" i="4"/>
  <c r="BL622" i="4"/>
  <c r="BL664" i="4" s="1"/>
  <c r="BL942" i="4"/>
  <c r="BL655" i="4"/>
  <c r="BL661" i="4"/>
  <c r="BL703" i="4" s="1"/>
  <c r="DE339" i="4"/>
  <c r="DC450" i="4"/>
  <c r="DD23" i="4"/>
  <c r="DD666" i="2"/>
  <c r="DD119" i="4"/>
  <c r="CN337" i="2"/>
  <c r="CN91" i="3"/>
  <c r="CO93" i="3" s="1"/>
  <c r="DG221" i="2"/>
  <c r="DH222" i="2"/>
  <c r="DG222" i="2" s="1"/>
  <c r="DE367" i="4"/>
  <c r="DE364" i="4"/>
  <c r="DE365" i="4" s="1"/>
  <c r="CA644" i="4"/>
  <c r="CS64" i="4"/>
  <c r="CS54" i="4"/>
  <c r="DR69" i="3"/>
  <c r="DO70" i="2"/>
  <c r="DA459" i="4"/>
  <c r="DA251" i="4"/>
  <c r="DA252" i="4" s="1"/>
  <c r="BO889" i="4"/>
  <c r="CR134" i="4"/>
  <c r="CR149" i="4"/>
  <c r="BR497" i="2"/>
  <c r="BR499" i="2"/>
  <c r="BS498" i="2"/>
  <c r="BR504" i="2"/>
  <c r="BR500" i="2"/>
  <c r="CS30" i="2"/>
  <c r="CS34" i="4"/>
  <c r="CS71" i="4"/>
  <c r="CT55" i="4"/>
  <c r="CT65" i="4"/>
  <c r="CV44" i="4"/>
  <c r="CS483" i="4"/>
  <c r="CS484" i="4" s="1"/>
  <c r="CQ139" i="4"/>
  <c r="CR157" i="4"/>
  <c r="CR46" i="4"/>
  <c r="CQ134" i="4"/>
  <c r="CS133" i="4"/>
  <c r="CP146" i="4"/>
  <c r="CP147" i="4" s="1"/>
  <c r="CN147" i="4"/>
  <c r="DD15" i="4"/>
  <c r="DD171" i="4"/>
  <c r="DD420" i="4"/>
  <c r="DD253" i="4"/>
  <c r="DI225" i="3"/>
  <c r="DI221" i="2"/>
  <c r="DI222" i="2" s="1"/>
  <c r="DC31" i="4"/>
  <c r="DF222" i="4"/>
  <c r="DF221" i="4"/>
  <c r="BN625" i="4"/>
  <c r="BN637" i="4"/>
  <c r="BN685" i="4" s="1"/>
  <c r="BO685" i="4" s="1"/>
  <c r="BC142" i="2"/>
  <c r="BC143" i="2" s="1"/>
  <c r="BC146" i="2" s="1"/>
  <c r="BA142" i="2"/>
  <c r="BA143" i="2" s="1"/>
  <c r="BA146" i="2" s="1"/>
  <c r="BB142" i="2" s="1"/>
  <c r="BB143" i="2" s="1"/>
  <c r="BB146" i="2" s="1"/>
  <c r="CV20" i="4"/>
  <c r="CT71" i="4"/>
  <c r="CT30" i="2"/>
  <c r="CT3" i="4"/>
  <c r="CT34" i="4"/>
  <c r="DP383" i="4"/>
  <c r="DM305" i="4"/>
  <c r="DM386" i="4"/>
  <c r="DM213" i="4"/>
  <c r="DN82" i="4"/>
  <c r="DK82" i="4"/>
  <c r="CM42" i="2"/>
  <c r="BN876" i="4"/>
  <c r="CZ342" i="4"/>
  <c r="CZ461" i="4"/>
  <c r="DK578" i="4"/>
  <c r="DF578" i="4"/>
  <c r="DG578" i="4" s="1"/>
  <c r="DK855" i="4"/>
  <c r="DH854" i="4"/>
  <c r="DF854" i="4" s="1"/>
  <c r="DG854" i="4" s="1"/>
  <c r="CK67" i="4"/>
  <c r="CM46" i="4"/>
  <c r="CK57" i="4"/>
  <c r="CK47" i="4"/>
  <c r="DA443" i="4"/>
  <c r="BZ307" i="2"/>
  <c r="BZ324" i="2" s="1"/>
  <c r="CA324" i="2"/>
  <c r="DB241" i="4"/>
  <c r="DB242" i="4" s="1"/>
  <c r="CZ243" i="4"/>
  <c r="CZ453" i="4"/>
  <c r="DB452" i="4"/>
  <c r="BY693" i="4"/>
  <c r="BZ455" i="2"/>
  <c r="CA149" i="3"/>
  <c r="BZ148" i="3"/>
  <c r="BZ480" i="2"/>
  <c r="BO872" i="4"/>
  <c r="DD222" i="4"/>
  <c r="DD221" i="4"/>
  <c r="DD237" i="4" s="1"/>
  <c r="BJ658" i="4"/>
  <c r="CJ57" i="4"/>
  <c r="CJ67" i="4"/>
  <c r="CU65" i="4"/>
  <c r="CU55" i="4"/>
  <c r="DD390" i="4"/>
  <c r="DD402" i="4"/>
  <c r="DE402" i="4" s="1"/>
  <c r="DE403" i="4" s="1"/>
  <c r="DL215" i="4"/>
  <c r="DL214" i="4"/>
  <c r="BN882" i="4"/>
  <c r="CZ15" i="4"/>
  <c r="CZ171" i="4"/>
  <c r="DB170" i="4"/>
  <c r="DB171" i="4" s="1"/>
  <c r="CZ420" i="4"/>
  <c r="CZ253" i="4"/>
  <c r="BK697" i="4"/>
  <c r="DB405" i="4"/>
  <c r="DB406" i="4" s="1"/>
  <c r="BL656" i="4"/>
  <c r="BL698" i="4" s="1"/>
  <c r="BL943" i="4"/>
  <c r="BL662" i="4"/>
  <c r="BL704" i="4" s="1"/>
  <c r="BL907" i="4" s="1"/>
  <c r="EE190" i="2"/>
  <c r="DQ69" i="3"/>
  <c r="DM69" i="3"/>
  <c r="DN70" i="2"/>
  <c r="CZ434" i="4"/>
  <c r="DA449" i="4"/>
  <c r="DA454" i="4"/>
  <c r="DE224" i="3"/>
  <c r="BW752" i="4"/>
  <c r="DC433" i="4"/>
  <c r="DC416" i="4"/>
  <c r="DC403" i="4"/>
  <c r="BJ734" i="4"/>
  <c r="BJ780" i="4" s="1"/>
  <c r="BJ937" i="4"/>
  <c r="BJ901" i="4"/>
  <c r="DG218" i="4"/>
  <c r="DH218" i="4" s="1"/>
  <c r="DG220" i="4"/>
  <c r="CV438" i="4"/>
  <c r="CV439" i="4" s="1"/>
  <c r="CT439" i="4"/>
  <c r="CT444" i="4"/>
  <c r="BK924" i="4"/>
  <c r="CZ38" i="4"/>
  <c r="DB25" i="4"/>
  <c r="CU54" i="4"/>
  <c r="CU64" i="4"/>
  <c r="CU42" i="4"/>
  <c r="CW474" i="4"/>
  <c r="BJ718" i="4"/>
  <c r="BJ921" i="4" s="1"/>
  <c r="BJ918" i="4"/>
  <c r="DR383" i="4"/>
  <c r="DO305" i="4"/>
  <c r="DO386" i="4"/>
  <c r="DO213" i="4"/>
  <c r="DQ268" i="2"/>
  <c r="DO266" i="2"/>
  <c r="BH939" i="4"/>
  <c r="BH903" i="4"/>
  <c r="DF339" i="4"/>
  <c r="DB403" i="4"/>
  <c r="CL165" i="2"/>
  <c r="CL340" i="2"/>
  <c r="CL169" i="3"/>
  <c r="CL165" i="3" s="1"/>
  <c r="CL335" i="2"/>
  <c r="CL168" i="2"/>
  <c r="CL333" i="2"/>
  <c r="CL342" i="2"/>
  <c r="CL31" i="2"/>
  <c r="CL150" i="2"/>
  <c r="CL163" i="2"/>
  <c r="CL171" i="3"/>
  <c r="CL167" i="3" s="1"/>
  <c r="CL170" i="3"/>
  <c r="CL166" i="3" s="1"/>
  <c r="CL334" i="2"/>
  <c r="CL339" i="2"/>
  <c r="CL175" i="2"/>
  <c r="CL341" i="2"/>
  <c r="CL162" i="2"/>
  <c r="CL11" i="4"/>
  <c r="EL300" i="2"/>
  <c r="CD481" i="2"/>
  <c r="CD482" i="2" s="1"/>
  <c r="CD478" i="2"/>
  <c r="BR811" i="4"/>
  <c r="BR817" i="4" s="1"/>
  <c r="BQ817" i="4"/>
  <c r="BQ883" i="4" s="1"/>
  <c r="CN336" i="2"/>
  <c r="CN287" i="2"/>
  <c r="DI579" i="4"/>
  <c r="DJ579" i="4" s="1"/>
  <c r="DN579" i="4"/>
  <c r="DC344" i="2"/>
  <c r="DC156" i="2"/>
  <c r="DC173" i="2"/>
  <c r="DC5" i="3"/>
  <c r="DC11" i="3" s="1"/>
  <c r="DC91" i="2"/>
  <c r="DD91" i="2" s="1"/>
  <c r="DC202" i="3"/>
  <c r="DD90" i="2"/>
  <c r="CI70" i="4"/>
  <c r="CI51" i="4"/>
  <c r="CI6" i="4" s="1"/>
  <c r="CI60" i="4"/>
  <c r="DM266" i="2"/>
  <c r="DN614" i="2"/>
  <c r="DN185" i="2"/>
  <c r="AA28" i="9" s="1"/>
  <c r="DQ835" i="4"/>
  <c r="DO835" i="4" s="1"/>
  <c r="DP835" i="4" s="1"/>
  <c r="DA416" i="4"/>
  <c r="DA433" i="4"/>
  <c r="DA434" i="4" s="1"/>
  <c r="DA403" i="4"/>
  <c r="BK906" i="4"/>
  <c r="CT130" i="4"/>
  <c r="CV235" i="4"/>
  <c r="CQ282" i="2"/>
  <c r="CQ276" i="2" s="1"/>
  <c r="T59" i="9" s="1"/>
  <c r="CQ339" i="2"/>
  <c r="CQ340" i="2"/>
  <c r="CQ31" i="2"/>
  <c r="CQ176" i="3"/>
  <c r="CQ179" i="3" s="1"/>
  <c r="CQ334" i="2"/>
  <c r="CQ150" i="2"/>
  <c r="CQ341" i="2"/>
  <c r="CQ165" i="2"/>
  <c r="CQ169" i="3"/>
  <c r="CQ165" i="3" s="1"/>
  <c r="CQ337" i="2"/>
  <c r="CQ333" i="2"/>
  <c r="CQ163" i="2"/>
  <c r="CQ170" i="3"/>
  <c r="CQ166" i="3" s="1"/>
  <c r="CQ342" i="2"/>
  <c r="CQ171" i="3"/>
  <c r="CQ167" i="3" s="1"/>
  <c r="CQ335" i="2"/>
  <c r="CQ162" i="2"/>
  <c r="CT39" i="4"/>
  <c r="CV26" i="4"/>
  <c r="CV39" i="4" s="1"/>
  <c r="BY691" i="4"/>
  <c r="DF390" i="4"/>
  <c r="DL460" i="2"/>
  <c r="DA29" i="4"/>
  <c r="CU136" i="4"/>
  <c r="BL673" i="4"/>
  <c r="BL634" i="4"/>
  <c r="BL682" i="4" s="1"/>
  <c r="BL679" i="4"/>
  <c r="BL721" i="4" s="1"/>
  <c r="BN888" i="4"/>
  <c r="BK948" i="4"/>
  <c r="BK951" i="4" s="1"/>
  <c r="BK739" i="4"/>
  <c r="BK785" i="4" s="1"/>
  <c r="BK712" i="4"/>
  <c r="BK912" i="4"/>
  <c r="CS465" i="4"/>
  <c r="CS466" i="4" s="1"/>
  <c r="CQ466" i="4"/>
  <c r="DC425" i="4"/>
  <c r="CV251" i="4"/>
  <c r="CT252" i="4"/>
  <c r="DA429" i="4"/>
  <c r="DA238" i="4"/>
  <c r="DA256" i="4"/>
  <c r="CW471" i="4"/>
  <c r="CW44" i="4"/>
  <c r="CW348" i="4"/>
  <c r="CX460" i="4"/>
  <c r="CU470" i="4"/>
  <c r="BR692" i="4"/>
  <c r="DK853" i="4"/>
  <c r="CL191" i="2"/>
  <c r="CL179" i="3" s="1"/>
  <c r="CM189" i="2"/>
  <c r="CZ423" i="4"/>
  <c r="BK734" i="4"/>
  <c r="BK780" i="4" s="1"/>
  <c r="BK937" i="4"/>
  <c r="BK901" i="4"/>
  <c r="DG246" i="4"/>
  <c r="DG248" i="4" s="1"/>
  <c r="DG242" i="4"/>
  <c r="DG169" i="4"/>
  <c r="CF152" i="3"/>
  <c r="CW20" i="4"/>
  <c r="CY15" i="4"/>
  <c r="CW29" i="4"/>
  <c r="CW21" i="4"/>
  <c r="DA453" i="4"/>
  <c r="CW66" i="4"/>
  <c r="CW56" i="4"/>
  <c r="DC170" i="4"/>
  <c r="DC118" i="4"/>
  <c r="DC181" i="4"/>
  <c r="DC209" i="4"/>
  <c r="DC210" i="4" s="1"/>
  <c r="DE180" i="4"/>
  <c r="DE181" i="4" s="1"/>
  <c r="BQ812" i="4"/>
  <c r="BP818" i="4"/>
  <c r="BP813" i="4"/>
  <c r="DG367" i="4"/>
  <c r="DG389" i="4"/>
  <c r="DG351" i="4"/>
  <c r="DG85" i="2"/>
  <c r="DF90" i="2"/>
  <c r="DD221" i="2"/>
  <c r="DE222" i="2"/>
  <c r="DD222" i="2" s="1"/>
  <c r="DK836" i="4"/>
  <c r="DI836" i="4" s="1"/>
  <c r="DJ836" i="4" s="1"/>
  <c r="DA156" i="2"/>
  <c r="DA344" i="2"/>
  <c r="DA173" i="2"/>
  <c r="DA5" i="3"/>
  <c r="DA11" i="3" s="1"/>
  <c r="DA202" i="3"/>
  <c r="DL307" i="4"/>
  <c r="DL306" i="4"/>
  <c r="BO866" i="4"/>
  <c r="CW343" i="4"/>
  <c r="DF334" i="4"/>
  <c r="DH332" i="4"/>
  <c r="DH333" i="4" s="1"/>
  <c r="CU824" i="4"/>
  <c r="CY824" i="4"/>
  <c r="CV842" i="4"/>
  <c r="CP139" i="4"/>
  <c r="CP140" i="4" s="1"/>
  <c r="CN140" i="4"/>
  <c r="BL674" i="4"/>
  <c r="BL716" i="4" s="1"/>
  <c r="BL919" i="4" s="1"/>
  <c r="BL680" i="4"/>
  <c r="BL722" i="4" s="1"/>
  <c r="BL925" i="4" s="1"/>
  <c r="CD7" i="4"/>
  <c r="CB12" i="4"/>
  <c r="CB8" i="4"/>
  <c r="EH178" i="3"/>
  <c r="EI178" i="3" s="1"/>
  <c r="EG190" i="2"/>
  <c r="CZ473" i="4"/>
  <c r="CZ417" i="4"/>
  <c r="CZ45" i="4"/>
  <c r="CH307" i="2"/>
  <c r="CH324" i="2" s="1"/>
  <c r="CH634" i="2"/>
  <c r="CH636" i="2" s="1"/>
  <c r="CH639" i="2" s="1"/>
  <c r="CH642" i="2" s="1"/>
  <c r="CY119" i="4"/>
  <c r="CT472" i="4"/>
  <c r="BN754" i="4"/>
  <c r="BO751" i="4"/>
  <c r="BJ742" i="4"/>
  <c r="BJ788" i="4" s="1"/>
  <c r="BJ915" i="4"/>
  <c r="BQ515" i="2"/>
  <c r="BR514" i="2"/>
  <c r="CW459" i="4"/>
  <c r="CY253" i="4"/>
  <c r="CW251" i="4"/>
  <c r="DA128" i="4"/>
  <c r="DC328" i="4"/>
  <c r="DC326" i="4" s="1"/>
  <c r="DC315" i="4"/>
  <c r="CP136" i="4"/>
  <c r="CP137" i="4" s="1"/>
  <c r="CN137" i="4"/>
  <c r="BS810" i="4"/>
  <c r="BR816" i="4"/>
  <c r="CL49" i="4"/>
  <c r="CL58" i="4"/>
  <c r="CL68" i="4"/>
  <c r="DT834" i="4"/>
  <c r="DR834" i="4" s="1"/>
  <c r="DS834" i="4" s="1"/>
  <c r="BK226" i="2"/>
  <c r="BO224" i="2"/>
  <c r="BO226" i="2" s="1"/>
  <c r="CU56" i="4"/>
  <c r="CU66" i="4"/>
  <c r="CW462" i="4"/>
  <c r="CJ475" i="2"/>
  <c r="CR842" i="4"/>
  <c r="CQ824" i="4"/>
  <c r="CQ842" i="4" s="1"/>
  <c r="DF180" i="4"/>
  <c r="DF168" i="4"/>
  <c r="DF208" i="4"/>
  <c r="DH208" i="4" s="1"/>
  <c r="DF179" i="4"/>
  <c r="DH178" i="4"/>
  <c r="CT486" i="4"/>
  <c r="CT427" i="4"/>
  <c r="CV426" i="4"/>
  <c r="CV427" i="4" s="1"/>
  <c r="CT479" i="4"/>
  <c r="CT483" i="4"/>
  <c r="DA421" i="4"/>
  <c r="BO625" i="4"/>
  <c r="BO637" i="4"/>
  <c r="CQ489" i="4"/>
  <c r="CS479" i="4"/>
  <c r="CS480" i="4" s="1"/>
  <c r="CQ136" i="4"/>
  <c r="DD210" i="4"/>
  <c r="CZ441" i="4"/>
  <c r="DB440" i="4"/>
  <c r="BP567" i="4"/>
  <c r="BO583" i="4"/>
  <c r="DD448" i="4"/>
  <c r="CY38" i="4"/>
  <c r="DG170" i="4"/>
  <c r="DG118" i="4"/>
  <c r="DG181" i="4"/>
  <c r="DG209" i="4"/>
  <c r="CP282" i="2"/>
  <c r="CP33" i="2"/>
  <c r="CP337" i="2"/>
  <c r="CP339" i="2"/>
  <c r="CP176" i="3"/>
  <c r="CP179" i="3" s="1"/>
  <c r="CP340" i="2"/>
  <c r="CP165" i="2"/>
  <c r="CP341" i="2"/>
  <c r="CO30" i="2"/>
  <c r="CP333" i="2"/>
  <c r="CP31" i="2"/>
  <c r="CP150" i="2"/>
  <c r="CP334" i="2"/>
  <c r="CP342" i="2"/>
  <c r="CP335" i="2"/>
  <c r="CP163" i="2"/>
  <c r="CP162" i="2"/>
  <c r="BM638" i="4"/>
  <c r="BM686" i="4" s="1"/>
  <c r="BM626" i="4"/>
  <c r="BM668" i="4" s="1"/>
  <c r="CA12" i="4"/>
  <c r="CA8" i="4"/>
  <c r="BQ871" i="4"/>
  <c r="CT449" i="4"/>
  <c r="CV448" i="4"/>
  <c r="CV449" i="4" s="1"/>
  <c r="CT454" i="4"/>
  <c r="CW26" i="4"/>
  <c r="CW36" i="4"/>
  <c r="CY23" i="4"/>
  <c r="BL949" i="4"/>
  <c r="BL740" i="4"/>
  <c r="BL786" i="4" s="1"/>
  <c r="BL913" i="4"/>
  <c r="CX45" i="4"/>
  <c r="CY45" i="4" s="1"/>
  <c r="CX417" i="4"/>
  <c r="CX473" i="4"/>
  <c r="CX474" i="4" s="1"/>
  <c r="DE390" i="4"/>
  <c r="BL730" i="4"/>
  <c r="BL933" i="4" s="1"/>
  <c r="BJ933" i="4"/>
  <c r="BM727" i="4"/>
  <c r="BM930" i="4" s="1"/>
  <c r="CQ11" i="4"/>
  <c r="CS3" i="4"/>
  <c r="CS486" i="4"/>
  <c r="CS487" i="4" s="1"/>
  <c r="CQ146" i="4"/>
  <c r="BP753" i="4"/>
  <c r="DJ383" i="2"/>
  <c r="DJ400" i="2" s="1"/>
  <c r="W17" i="9" s="1"/>
  <c r="DC463" i="4"/>
  <c r="CT460" i="4"/>
  <c r="CV459" i="4"/>
  <c r="CV460" i="4" s="1"/>
  <c r="CT465" i="4"/>
  <c r="BO877" i="4"/>
  <c r="BN895" i="4"/>
  <c r="BN583" i="4"/>
  <c r="BK715" i="4"/>
  <c r="DB125" i="4"/>
  <c r="DB667" i="2"/>
  <c r="BM894" i="4"/>
  <c r="CW432" i="4"/>
  <c r="DJ306" i="4"/>
  <c r="DJ307" i="4"/>
  <c r="CI276" i="2"/>
  <c r="CI336" i="2" s="1"/>
  <c r="CJ287" i="2"/>
  <c r="CJ336" i="2"/>
  <c r="CJ186" i="2"/>
  <c r="CG305" i="2"/>
  <c r="CG630" i="2"/>
  <c r="CG631" i="2" s="1"/>
  <c r="CF287" i="2"/>
  <c r="CF630" i="2" s="1"/>
  <c r="CF631" i="2" s="1"/>
  <c r="BJ951" i="4"/>
  <c r="CH645" i="4"/>
  <c r="EO255" i="2"/>
  <c r="EN256" i="2"/>
  <c r="CY420" i="4"/>
  <c r="CY421" i="4" s="1"/>
  <c r="CW426" i="4"/>
  <c r="CW421" i="4"/>
  <c r="DA26" i="4"/>
  <c r="DA36" i="4"/>
  <c r="DA464" i="4"/>
  <c r="BY649" i="4"/>
  <c r="DB221" i="4"/>
  <c r="DE168" i="4"/>
  <c r="DE169" i="4" s="1"/>
  <c r="DC241" i="4"/>
  <c r="DC169" i="4"/>
  <c r="DC246" i="4"/>
  <c r="CT469" i="4"/>
  <c r="CV256" i="4"/>
  <c r="CV257" i="4" s="1"/>
  <c r="CT257" i="4"/>
  <c r="CT43" i="4"/>
  <c r="BN590" i="4"/>
  <c r="BO590" i="4" s="1"/>
  <c r="BO568" i="4"/>
  <c r="DC16" i="4"/>
  <c r="DC422" i="4"/>
  <c r="DC263" i="4"/>
  <c r="DC344" i="4"/>
  <c r="BM655" i="4"/>
  <c r="BM942" i="4"/>
  <c r="BM661" i="4"/>
  <c r="BM703" i="4" s="1"/>
  <c r="BM906" i="4" s="1"/>
  <c r="DR416" i="2"/>
  <c r="DB463" i="4"/>
  <c r="CZ464" i="4"/>
  <c r="CW238" i="4"/>
  <c r="CY237" i="4"/>
  <c r="CY238" i="4" s="1"/>
  <c r="CW256" i="4"/>
  <c r="CW429" i="4"/>
  <c r="CN46" i="4"/>
  <c r="CP489" i="4"/>
  <c r="BW652" i="4"/>
  <c r="DD17" i="4"/>
  <c r="DD31" i="4" s="1"/>
  <c r="DD409" i="4"/>
  <c r="DD452" i="4" s="1"/>
  <c r="DD405" i="4"/>
  <c r="DD442" i="4" s="1"/>
  <c r="DD352" i="4"/>
  <c r="DD424" i="4"/>
  <c r="DD425" i="4" s="1"/>
  <c r="DD413" i="4"/>
  <c r="DD463" i="4" s="1"/>
  <c r="CS444" i="4"/>
  <c r="CS445" i="4" s="1"/>
  <c r="CQ445" i="4"/>
  <c r="DB17" i="4"/>
  <c r="BL897" i="4"/>
  <c r="CX257" i="4"/>
  <c r="CX43" i="4"/>
  <c r="CX469" i="4"/>
  <c r="EO88" i="4" l="1"/>
  <c r="EP87" i="4"/>
  <c r="EN85" i="4"/>
  <c r="EO84" i="4"/>
  <c r="CO47" i="4"/>
  <c r="CF7" i="4"/>
  <c r="DA39" i="4"/>
  <c r="CU147" i="4"/>
  <c r="CU137" i="4"/>
  <c r="CU140" i="4"/>
  <c r="CX131" i="4"/>
  <c r="CW133" i="4"/>
  <c r="CW134" i="4" s="1"/>
  <c r="CX147" i="4"/>
  <c r="CF62" i="4"/>
  <c r="CG51" i="4"/>
  <c r="CG72" i="4" s="1"/>
  <c r="CF72" i="4"/>
  <c r="DJ119" i="4"/>
  <c r="DG113" i="4"/>
  <c r="DG115" i="4" s="1"/>
  <c r="DD667" i="2"/>
  <c r="FA294" i="2"/>
  <c r="EX78" i="4"/>
  <c r="EX79" i="4" s="1"/>
  <c r="EY78" i="4"/>
  <c r="DC113" i="4"/>
  <c r="DB113" i="4"/>
  <c r="DB115" i="4" s="1"/>
  <c r="CZ115" i="4"/>
  <c r="DV203" i="4"/>
  <c r="DV295" i="4"/>
  <c r="CO67" i="4"/>
  <c r="CR5" i="4"/>
  <c r="CS5" i="4" s="1"/>
  <c r="CR53" i="4"/>
  <c r="CS475" i="4"/>
  <c r="CS476" i="4" s="1"/>
  <c r="F62" i="9"/>
  <c r="F63" i="9" s="1"/>
  <c r="G64" i="9"/>
  <c r="G65" i="9" s="1"/>
  <c r="F60" i="9"/>
  <c r="F61" i="9" s="1"/>
  <c r="CS55" i="4"/>
  <c r="CO154" i="4"/>
  <c r="CO160" i="4" s="1"/>
  <c r="CH152" i="2"/>
  <c r="CH617" i="2"/>
  <c r="CH622" i="2" s="1"/>
  <c r="CH644" i="2" s="1"/>
  <c r="CH346" i="2" s="1"/>
  <c r="CH61" i="2"/>
  <c r="CH159" i="2"/>
  <c r="CK172" i="2"/>
  <c r="CI172" i="2"/>
  <c r="CI154" i="2"/>
  <c r="CI176" i="2"/>
  <c r="CI4" i="3"/>
  <c r="CI10" i="3" s="1"/>
  <c r="CI331" i="2"/>
  <c r="CI73" i="2"/>
  <c r="CI161" i="2"/>
  <c r="CX427" i="4"/>
  <c r="CK178" i="2"/>
  <c r="CK4" i="3"/>
  <c r="CK10" i="3" s="1"/>
  <c r="CK331" i="2"/>
  <c r="CK154" i="2"/>
  <c r="CK68" i="2"/>
  <c r="CK73" i="2"/>
  <c r="CK161" i="2"/>
  <c r="CK343" i="2"/>
  <c r="CM181" i="2"/>
  <c r="CL181" i="2" s="1"/>
  <c r="CM619" i="2"/>
  <c r="CM621" i="2" s="1"/>
  <c r="CM72" i="2"/>
  <c r="CM343" i="2" s="1"/>
  <c r="CM479" i="2"/>
  <c r="CM480" i="2" s="1"/>
  <c r="CL74" i="2"/>
  <c r="CO269" i="2"/>
  <c r="CO64" i="3" s="1"/>
  <c r="CO66" i="3" s="1"/>
  <c r="CP64" i="3"/>
  <c r="CH170" i="2"/>
  <c r="CF152" i="2"/>
  <c r="CF170" i="2"/>
  <c r="CF617" i="2"/>
  <c r="CF622" i="2" s="1"/>
  <c r="CF159" i="2"/>
  <c r="CF61" i="2"/>
  <c r="CI343" i="2"/>
  <c r="CJ60" i="2"/>
  <c r="CJ153" i="2"/>
  <c r="CI68" i="2"/>
  <c r="CJ160" i="2"/>
  <c r="CJ69" i="2"/>
  <c r="CP77" i="2"/>
  <c r="CN74" i="2"/>
  <c r="CS271" i="2"/>
  <c r="CQ269" i="2"/>
  <c r="CQ64" i="3" s="1"/>
  <c r="CG180" i="2"/>
  <c r="CG151" i="2"/>
  <c r="CG56" i="2"/>
  <c r="CG158" i="2"/>
  <c r="CG53" i="2"/>
  <c r="CG43" i="2" s="1"/>
  <c r="CG476" i="2" s="1"/>
  <c r="CG477" i="2" s="1"/>
  <c r="CG478" i="2" s="1"/>
  <c r="CV471" i="4"/>
  <c r="CV472" i="4" s="1"/>
  <c r="CU475" i="4"/>
  <c r="CU476" i="4" s="1"/>
  <c r="CX483" i="4"/>
  <c r="CX139" i="4" s="1"/>
  <c r="DS203" i="4"/>
  <c r="DS204" i="4" s="1"/>
  <c r="DS295" i="4"/>
  <c r="DS296" i="4" s="1"/>
  <c r="CK345" i="2"/>
  <c r="G54" i="9"/>
  <c r="G55" i="9" s="1"/>
  <c r="DR19" i="4"/>
  <c r="DP19" i="4"/>
  <c r="DP33" i="4" s="1"/>
  <c r="DO33" i="4"/>
  <c r="DN19" i="4"/>
  <c r="DN33" i="4" s="1"/>
  <c r="DE276" i="2"/>
  <c r="DF280" i="2"/>
  <c r="DD280" i="2"/>
  <c r="DC186" i="2"/>
  <c r="DU455" i="2"/>
  <c r="CY431" i="4"/>
  <c r="CY432" i="4" s="1"/>
  <c r="CY347" i="4"/>
  <c r="CY348" i="4" s="1"/>
  <c r="CX435" i="4"/>
  <c r="CX436" i="4" s="1"/>
  <c r="DA426" i="4"/>
  <c r="DA479" i="4" s="1"/>
  <c r="CX456" i="4"/>
  <c r="CX479" i="4"/>
  <c r="CX136" i="4" s="1"/>
  <c r="BH91" i="2"/>
  <c r="BG144" i="2"/>
  <c r="BH144" i="2" s="1"/>
  <c r="BH349" i="2"/>
  <c r="BH225" i="3" s="1"/>
  <c r="BG221" i="2"/>
  <c r="BG225" i="3"/>
  <c r="BH140" i="2"/>
  <c r="BH141" i="2" s="1"/>
  <c r="BI141" i="2"/>
  <c r="BL396" i="2"/>
  <c r="BL485" i="2" s="1"/>
  <c r="BL385" i="2"/>
  <c r="DZ145" i="2"/>
  <c r="DY145" i="2" s="1"/>
  <c r="EA145" i="2"/>
  <c r="BJ396" i="2"/>
  <c r="BJ485" i="2" s="1"/>
  <c r="BJ385" i="2"/>
  <c r="BH385" i="2"/>
  <c r="BH396" i="2"/>
  <c r="CL264" i="2"/>
  <c r="CG414" i="2"/>
  <c r="CE415" i="2"/>
  <c r="DA431" i="4"/>
  <c r="DA432" i="4" s="1"/>
  <c r="CU138" i="2"/>
  <c r="CW138" i="2"/>
  <c r="CV139" i="2"/>
  <c r="CS141" i="2"/>
  <c r="CR140" i="2"/>
  <c r="CR141" i="2" s="1"/>
  <c r="CV142" i="2"/>
  <c r="CT142" i="2"/>
  <c r="CT143" i="2" s="1"/>
  <c r="CT146" i="2" s="1"/>
  <c r="CU142" i="2" s="1"/>
  <c r="CI330" i="2"/>
  <c r="CI235" i="3"/>
  <c r="CP292" i="2"/>
  <c r="CN290" i="2"/>
  <c r="CL290" i="2"/>
  <c r="CM513" i="2"/>
  <c r="CM120" i="3"/>
  <c r="CM329" i="2"/>
  <c r="CM327" i="2"/>
  <c r="CM328" i="2"/>
  <c r="CM236" i="3" s="1"/>
  <c r="CM640" i="2"/>
  <c r="CM166" i="2"/>
  <c r="CK330" i="2"/>
  <c r="CK235" i="3"/>
  <c r="CY30" i="4"/>
  <c r="CV130" i="4"/>
  <c r="CV131" i="4" s="1"/>
  <c r="CY342" i="4"/>
  <c r="CY343" i="4" s="1"/>
  <c r="CY326" i="4"/>
  <c r="CY130" i="4" s="1"/>
  <c r="CY131" i="4" s="1"/>
  <c r="CS53" i="4"/>
  <c r="CS134" i="4"/>
  <c r="CS377" i="4" s="1"/>
  <c r="D25" i="9"/>
  <c r="EV296" i="4"/>
  <c r="ER257" i="2"/>
  <c r="EQ257" i="2" s="1"/>
  <c r="EP257" i="2"/>
  <c r="EP255" i="2" s="1"/>
  <c r="ES132" i="3"/>
  <c r="EX278" i="2"/>
  <c r="EY278" i="2" s="1"/>
  <c r="EV73" i="3"/>
  <c r="EV75" i="3" s="1"/>
  <c r="EV76" i="4"/>
  <c r="EW75" i="4"/>
  <c r="EV203" i="4"/>
  <c r="ET78" i="2"/>
  <c r="EU182" i="2"/>
  <c r="ET182" i="2" s="1"/>
  <c r="ES256" i="2"/>
  <c r="EU256" i="2" s="1"/>
  <c r="EQ256" i="2"/>
  <c r="EW79" i="4"/>
  <c r="ET131" i="3"/>
  <c r="ET132" i="3" s="1"/>
  <c r="EV125" i="3"/>
  <c r="EX260" i="2"/>
  <c r="EY260" i="2" s="1"/>
  <c r="EV338" i="4"/>
  <c r="CW217" i="3"/>
  <c r="CU217" i="3"/>
  <c r="CU215" i="3" s="1"/>
  <c r="CV215" i="3"/>
  <c r="DJ385" i="2"/>
  <c r="DJ154" i="3" s="1"/>
  <c r="DJ396" i="2"/>
  <c r="DJ398" i="2" s="1"/>
  <c r="EN413" i="2"/>
  <c r="EP413" i="2"/>
  <c r="ER413" i="2" s="1"/>
  <c r="CZ455" i="2"/>
  <c r="CZ148" i="3"/>
  <c r="DA149" i="3"/>
  <c r="BE410" i="2"/>
  <c r="BF397" i="2"/>
  <c r="BE409" i="2"/>
  <c r="BE397" i="2" s="1"/>
  <c r="BC27" i="2"/>
  <c r="BC365" i="2"/>
  <c r="BC223" i="3" s="1"/>
  <c r="BC366" i="2"/>
  <c r="BC224" i="3" s="1"/>
  <c r="BI441" i="2"/>
  <c r="BG410" i="2"/>
  <c r="BG409" i="2"/>
  <c r="BG397" i="2" s="1"/>
  <c r="BG411" i="2"/>
  <c r="BD20" i="2"/>
  <c r="BB20" i="2"/>
  <c r="BC400" i="2"/>
  <c r="BD14" i="2"/>
  <c r="BD11" i="2"/>
  <c r="BB14" i="2"/>
  <c r="BB11" i="2"/>
  <c r="BE411" i="2"/>
  <c r="BB472" i="2"/>
  <c r="EQ212" i="2"/>
  <c r="CU5" i="4"/>
  <c r="DA326" i="4"/>
  <c r="DB326" i="4" s="1"/>
  <c r="DA347" i="4"/>
  <c r="DA471" i="4" s="1"/>
  <c r="DA472" i="4" s="1"/>
  <c r="DA329" i="4"/>
  <c r="CL160" i="4"/>
  <c r="CL161" i="4" s="1"/>
  <c r="DG124" i="4"/>
  <c r="BK658" i="4"/>
  <c r="CX3" i="4"/>
  <c r="CU489" i="4"/>
  <c r="CU46" i="4" s="1"/>
  <c r="DD127" i="4"/>
  <c r="DD128" i="4" s="1"/>
  <c r="DE124" i="4"/>
  <c r="CX465" i="4"/>
  <c r="CX466" i="4" s="1"/>
  <c r="DD125" i="4"/>
  <c r="BM622" i="4"/>
  <c r="BM664" i="4" s="1"/>
  <c r="DD25" i="4"/>
  <c r="DD38" i="4" s="1"/>
  <c r="CX471" i="4"/>
  <c r="CX472" i="4" s="1"/>
  <c r="CX44" i="4"/>
  <c r="CY44" i="4" s="1"/>
  <c r="DB16" i="4"/>
  <c r="BM634" i="4"/>
  <c r="BM682" i="4" s="1"/>
  <c r="CX823" i="4"/>
  <c r="DB823" i="4"/>
  <c r="CY841" i="4"/>
  <c r="CT823" i="4"/>
  <c r="CT841" i="4" s="1"/>
  <c r="CU841" i="4"/>
  <c r="DG313" i="4"/>
  <c r="DH313" i="4" s="1"/>
  <c r="DH315" i="4" s="1"/>
  <c r="BK706" i="4"/>
  <c r="BK909" i="4" s="1"/>
  <c r="DA21" i="4"/>
  <c r="CN154" i="4"/>
  <c r="CN155" i="4" s="1"/>
  <c r="DF852" i="4"/>
  <c r="DG852" i="4" s="1"/>
  <c r="DK852" i="4"/>
  <c r="CX133" i="4"/>
  <c r="CZ429" i="4"/>
  <c r="CZ430" i="4" s="1"/>
  <c r="CY21" i="4"/>
  <c r="DD328" i="4"/>
  <c r="DD329" i="4" s="1"/>
  <c r="DE313" i="4"/>
  <c r="DE315" i="4" s="1"/>
  <c r="BK676" i="4"/>
  <c r="BK724" i="4"/>
  <c r="BK927" i="4" s="1"/>
  <c r="CX34" i="4"/>
  <c r="DZ229" i="4"/>
  <c r="BL951" i="4"/>
  <c r="BM688" i="4"/>
  <c r="CZ235" i="4"/>
  <c r="CZ130" i="4" s="1"/>
  <c r="DA20" i="4"/>
  <c r="DA71" i="4" s="1"/>
  <c r="DE263" i="4"/>
  <c r="DB335" i="4"/>
  <c r="CZ238" i="4"/>
  <c r="DB464" i="4"/>
  <c r="DB329" i="4"/>
  <c r="EE320" i="4"/>
  <c r="EE318" i="4"/>
  <c r="EB229" i="4"/>
  <c r="EE228" i="4"/>
  <c r="EE226" i="4"/>
  <c r="EH395" i="4"/>
  <c r="EH225" i="4"/>
  <c r="EK392" i="4"/>
  <c r="EH317" i="4"/>
  <c r="EB321" i="4"/>
  <c r="DE209" i="4"/>
  <c r="DE210" i="4" s="1"/>
  <c r="ED318" i="4"/>
  <c r="EF317" i="4"/>
  <c r="EF318" i="4" s="1"/>
  <c r="ED320" i="4"/>
  <c r="EA229" i="4"/>
  <c r="EC228" i="4"/>
  <c r="DZ321" i="4"/>
  <c r="EG395" i="4"/>
  <c r="EJ392" i="4"/>
  <c r="EG225" i="4"/>
  <c r="EG317" i="4"/>
  <c r="EF395" i="4"/>
  <c r="EA321" i="4"/>
  <c r="EC320" i="4"/>
  <c r="ED228" i="4"/>
  <c r="ED226" i="4"/>
  <c r="EF225" i="4"/>
  <c r="EF226" i="4" s="1"/>
  <c r="DB441" i="4"/>
  <c r="EM81" i="4"/>
  <c r="EL82" i="4"/>
  <c r="CY473" i="4"/>
  <c r="CY474" i="4" s="1"/>
  <c r="BM896" i="4"/>
  <c r="CY461" i="4"/>
  <c r="CY462" i="4" s="1"/>
  <c r="DB344" i="4"/>
  <c r="DB345" i="4" s="1"/>
  <c r="BM885" i="4"/>
  <c r="BM897" i="4" s="1"/>
  <c r="CP149" i="4"/>
  <c r="CP150" i="4" s="1"/>
  <c r="DD822" i="4"/>
  <c r="DE840" i="4"/>
  <c r="DE846" i="4" s="1"/>
  <c r="DE847" i="4" s="1"/>
  <c r="DE848" i="4" s="1"/>
  <c r="DE849" i="4" s="1"/>
  <c r="DH822" i="4"/>
  <c r="DE828" i="4"/>
  <c r="DE829" i="4" s="1"/>
  <c r="DE830" i="4" s="1"/>
  <c r="DE831" i="4" s="1"/>
  <c r="CZ822" i="4"/>
  <c r="DA840" i="4"/>
  <c r="DA846" i="4" s="1"/>
  <c r="DA847" i="4" s="1"/>
  <c r="DA848" i="4" s="1"/>
  <c r="DA849" i="4" s="1"/>
  <c r="DA828" i="4"/>
  <c r="DA829" i="4" s="1"/>
  <c r="DA830" i="4" s="1"/>
  <c r="DA831" i="4" s="1"/>
  <c r="CW828" i="4"/>
  <c r="CW829" i="4" s="1"/>
  <c r="CW830" i="4" s="1"/>
  <c r="CW831" i="4" s="1"/>
  <c r="CW840" i="4"/>
  <c r="CW846" i="4" s="1"/>
  <c r="CW847" i="4" s="1"/>
  <c r="CW848" i="4" s="1"/>
  <c r="CW849" i="4" s="1"/>
  <c r="CN825" i="4"/>
  <c r="CO838" i="4"/>
  <c r="CO843" i="4"/>
  <c r="CO856" i="4" s="1"/>
  <c r="BK735" i="4"/>
  <c r="BK781" i="4" s="1"/>
  <c r="BK938" i="4"/>
  <c r="BK902" i="4"/>
  <c r="BL735" i="4"/>
  <c r="BL781" i="4" s="1"/>
  <c r="BL938" i="4"/>
  <c r="BL902" i="4"/>
  <c r="BN894" i="4"/>
  <c r="BN585" i="4"/>
  <c r="BN627" i="4"/>
  <c r="BN669" i="4" s="1"/>
  <c r="BN711" i="4" s="1"/>
  <c r="BN639" i="4"/>
  <c r="BN687" i="4" s="1"/>
  <c r="BN729" i="4" s="1"/>
  <c r="BM729" i="4"/>
  <c r="BM932" i="4" s="1"/>
  <c r="DA771" i="4"/>
  <c r="CS838" i="4"/>
  <c r="CS843" i="4"/>
  <c r="CS856" i="4" s="1"/>
  <c r="CR825" i="4"/>
  <c r="CV825" i="4"/>
  <c r="CK843" i="4"/>
  <c r="CK856" i="4" s="1"/>
  <c r="CK838" i="4"/>
  <c r="BP569" i="4"/>
  <c r="BO591" i="4"/>
  <c r="BO585" i="4" s="1"/>
  <c r="BM663" i="4"/>
  <c r="BM705" i="4" s="1"/>
  <c r="BM908" i="4" s="1"/>
  <c r="BM657" i="4"/>
  <c r="BM699" i="4" s="1"/>
  <c r="BM944" i="4"/>
  <c r="BM711" i="4"/>
  <c r="BM675" i="4"/>
  <c r="BM717" i="4" s="1"/>
  <c r="BM920" i="4" s="1"/>
  <c r="BM681" i="4"/>
  <c r="BM723" i="4" s="1"/>
  <c r="BM926" i="4" s="1"/>
  <c r="BN584" i="4"/>
  <c r="BN620" i="4" s="1"/>
  <c r="DB238" i="4"/>
  <c r="DE17" i="4"/>
  <c r="DD443" i="4"/>
  <c r="DD453" i="4"/>
  <c r="DH365" i="4"/>
  <c r="DW837" i="4"/>
  <c r="DR837" i="4"/>
  <c r="DS837" i="4" s="1"/>
  <c r="DD400" i="4"/>
  <c r="DE400" i="4" s="1"/>
  <c r="CK150" i="3"/>
  <c r="CK152" i="3" s="1"/>
  <c r="CL150" i="3" s="1"/>
  <c r="DT273" i="2"/>
  <c r="DD762" i="4"/>
  <c r="DD768" i="4"/>
  <c r="DD771" i="4" s="1"/>
  <c r="BP859" i="4"/>
  <c r="BO955" i="4"/>
  <c r="CU149" i="4"/>
  <c r="CU154" i="4" s="1"/>
  <c r="BL945" i="4"/>
  <c r="DI761" i="4"/>
  <c r="DJ761" i="4"/>
  <c r="DN761" i="4"/>
  <c r="DK769" i="4"/>
  <c r="DG758" i="4"/>
  <c r="DG766" i="4" s="1"/>
  <c r="DG769" i="4"/>
  <c r="DG759" i="4"/>
  <c r="DG767" i="4" s="1"/>
  <c r="DG760" i="4"/>
  <c r="DG757" i="4"/>
  <c r="DG765" i="4" s="1"/>
  <c r="DA773" i="4"/>
  <c r="DA774" i="4" s="1"/>
  <c r="DG285" i="4"/>
  <c r="DG262" i="4"/>
  <c r="DH262" i="4" s="1"/>
  <c r="DD16" i="4"/>
  <c r="DD30" i="4" s="1"/>
  <c r="DD263" i="4"/>
  <c r="DD344" i="4"/>
  <c r="DD422" i="4"/>
  <c r="DD441" i="4" s="1"/>
  <c r="DN580" i="4"/>
  <c r="DI580" i="4"/>
  <c r="DJ580" i="4" s="1"/>
  <c r="BN884" i="4"/>
  <c r="BN885" i="4" s="1"/>
  <c r="BL742" i="4"/>
  <c r="BL788" i="4" s="1"/>
  <c r="DH762" i="4"/>
  <c r="DH768" i="4"/>
  <c r="DH770" i="4" s="1"/>
  <c r="DC762" i="4"/>
  <c r="DC768" i="4"/>
  <c r="DC773" i="4" s="1"/>
  <c r="DF757" i="4"/>
  <c r="DF765" i="4" s="1"/>
  <c r="DF769" i="4"/>
  <c r="DF758" i="4"/>
  <c r="DF766" i="4" s="1"/>
  <c r="DF759" i="4"/>
  <c r="DF767" i="4" s="1"/>
  <c r="DF760" i="4"/>
  <c r="DH337" i="4"/>
  <c r="DH338" i="4" s="1"/>
  <c r="DA423" i="4"/>
  <c r="DA451" i="4"/>
  <c r="DA441" i="4"/>
  <c r="CD483" i="2"/>
  <c r="CD484" i="2" s="1"/>
  <c r="DE771" i="4"/>
  <c r="DE770" i="4"/>
  <c r="DE797" i="4"/>
  <c r="CZ773" i="4"/>
  <c r="CZ774" i="4" s="1"/>
  <c r="CZ770" i="4"/>
  <c r="DA342" i="4"/>
  <c r="DA343" i="4" s="1"/>
  <c r="DA461" i="4"/>
  <c r="DA462" i="4" s="1"/>
  <c r="BN878" i="4"/>
  <c r="BN879" i="4" s="1"/>
  <c r="DD335" i="4"/>
  <c r="BN890" i="4"/>
  <c r="BN891" i="4" s="1"/>
  <c r="DE207" i="3"/>
  <c r="DE206" i="3" s="1"/>
  <c r="DD206" i="3"/>
  <c r="DI420" i="4"/>
  <c r="DI253" i="4"/>
  <c r="DI15" i="4"/>
  <c r="EC505" i="4"/>
  <c r="EC504" i="4"/>
  <c r="DJ20" i="2"/>
  <c r="DK400" i="2"/>
  <c r="DK20" i="2" s="1"/>
  <c r="J16" i="9" s="1"/>
  <c r="BX652" i="4"/>
  <c r="DC30" i="4"/>
  <c r="BQ753" i="4"/>
  <c r="BO626" i="4"/>
  <c r="BO638" i="4"/>
  <c r="CS136" i="4"/>
  <c r="CS137" i="4" s="1"/>
  <c r="CQ137" i="4"/>
  <c r="CV486" i="4"/>
  <c r="CV487" i="4" s="1"/>
  <c r="CT146" i="4"/>
  <c r="CY459" i="4"/>
  <c r="CY460" i="4" s="1"/>
  <c r="CW460" i="4"/>
  <c r="CW465" i="4"/>
  <c r="CZ474" i="4"/>
  <c r="CD12" i="4"/>
  <c r="CD8" i="4"/>
  <c r="CY56" i="4"/>
  <c r="CY66" i="4"/>
  <c r="DN853" i="4"/>
  <c r="DL853" i="4" s="1"/>
  <c r="DM853" i="4" s="1"/>
  <c r="CQ336" i="2"/>
  <c r="DD429" i="4"/>
  <c r="DD238" i="4"/>
  <c r="DD256" i="4"/>
  <c r="BZ693" i="4"/>
  <c r="DN855" i="4"/>
  <c r="DL855" i="4" s="1"/>
  <c r="DM855" i="4" s="1"/>
  <c r="BL697" i="4"/>
  <c r="BL658" i="4"/>
  <c r="DE452" i="4"/>
  <c r="DC453" i="4"/>
  <c r="BO584" i="4"/>
  <c r="BP568" i="4"/>
  <c r="BL676" i="4"/>
  <c r="BL715" i="4"/>
  <c r="CN630" i="2"/>
  <c r="CN631" i="2" s="1"/>
  <c r="DG222" i="4"/>
  <c r="DG221" i="4"/>
  <c r="DG237" i="4" s="1"/>
  <c r="DG235" i="4" s="1"/>
  <c r="CZ459" i="4"/>
  <c r="DB253" i="4"/>
  <c r="CZ251" i="4"/>
  <c r="DI855" i="4"/>
  <c r="DJ855" i="4" s="1"/>
  <c r="DM214" i="4"/>
  <c r="DM215" i="4"/>
  <c r="CR67" i="4"/>
  <c r="CR57" i="4"/>
  <c r="CR47" i="4"/>
  <c r="CR150" i="4"/>
  <c r="CR154" i="4"/>
  <c r="CL91" i="3"/>
  <c r="CL93" i="3" s="1"/>
  <c r="BZ651" i="4"/>
  <c r="DC38" i="4"/>
  <c r="CZ348" i="4"/>
  <c r="CZ44" i="4"/>
  <c r="CZ471" i="4"/>
  <c r="CX470" i="4"/>
  <c r="DT416" i="2"/>
  <c r="BN638" i="4"/>
  <c r="BN686" i="4" s="1"/>
  <c r="BN728" i="4" s="1"/>
  <c r="BN931" i="4" s="1"/>
  <c r="BN626" i="4"/>
  <c r="BN668" i="4" s="1"/>
  <c r="BN710" i="4" s="1"/>
  <c r="BZ649" i="4"/>
  <c r="CI186" i="2"/>
  <c r="BK718" i="4"/>
  <c r="BK921" i="4" s="1"/>
  <c r="BK918" i="4"/>
  <c r="CO339" i="2"/>
  <c r="CO334" i="2"/>
  <c r="CO176" i="3"/>
  <c r="CO175" i="2"/>
  <c r="CO341" i="2"/>
  <c r="CO165" i="2"/>
  <c r="CO333" i="2"/>
  <c r="CO31" i="2"/>
  <c r="CO340" i="2"/>
  <c r="CO150" i="2"/>
  <c r="CO170" i="3"/>
  <c r="CO169" i="3"/>
  <c r="CO168" i="2"/>
  <c r="CO337" i="2"/>
  <c r="CO163" i="2"/>
  <c r="CO342" i="2"/>
  <c r="CO335" i="2"/>
  <c r="CO171" i="3"/>
  <c r="CO162" i="2"/>
  <c r="CO11" i="4"/>
  <c r="DG210" i="4"/>
  <c r="CQ46" i="4"/>
  <c r="CS489" i="4"/>
  <c r="CQ157" i="4"/>
  <c r="CS157" i="4" s="1"/>
  <c r="DF241" i="4"/>
  <c r="DH168" i="4"/>
  <c r="DF246" i="4"/>
  <c r="DF169" i="4"/>
  <c r="DB824" i="4"/>
  <c r="CY842" i="4"/>
  <c r="CX824" i="4"/>
  <c r="BO888" i="4"/>
  <c r="DA417" i="4"/>
  <c r="DA473" i="4"/>
  <c r="DA474" i="4" s="1"/>
  <c r="DA45" i="4"/>
  <c r="DB45" i="4" s="1"/>
  <c r="DB420" i="4"/>
  <c r="DB421" i="4" s="1"/>
  <c r="CZ421" i="4"/>
  <c r="CZ426" i="4"/>
  <c r="CM57" i="4"/>
  <c r="CM67" i="4"/>
  <c r="BO876" i="4"/>
  <c r="CW469" i="4"/>
  <c r="CW43" i="4"/>
  <c r="CY256" i="4"/>
  <c r="CY257" i="4" s="1"/>
  <c r="CW257" i="4"/>
  <c r="DC342" i="4"/>
  <c r="DC461" i="4"/>
  <c r="DC248" i="4"/>
  <c r="DE246" i="4"/>
  <c r="DE247" i="4" s="1"/>
  <c r="BP877" i="4"/>
  <c r="BO895" i="4"/>
  <c r="CS11" i="4"/>
  <c r="CP42" i="2"/>
  <c r="CT489" i="4"/>
  <c r="CV479" i="4"/>
  <c r="CV480" i="4" s="1"/>
  <c r="CT136" i="4"/>
  <c r="DF170" i="4"/>
  <c r="DF209" i="4"/>
  <c r="DF210" i="4" s="1"/>
  <c r="DH180" i="4"/>
  <c r="DF181" i="4"/>
  <c r="DF359" i="4"/>
  <c r="BO754" i="4"/>
  <c r="BP751" i="4"/>
  <c r="DB416" i="4"/>
  <c r="DB417" i="4" s="1"/>
  <c r="EJ178" i="3"/>
  <c r="EI190" i="2"/>
  <c r="CU842" i="4"/>
  <c r="CT824" i="4"/>
  <c r="CT842" i="4" s="1"/>
  <c r="DF5" i="3"/>
  <c r="DF11" i="3" s="1"/>
  <c r="DF344" i="2"/>
  <c r="DF156" i="2"/>
  <c r="DF173" i="2"/>
  <c r="DF91" i="2"/>
  <c r="DG91" i="2" s="1"/>
  <c r="DI156" i="2"/>
  <c r="DF202" i="3"/>
  <c r="DG90" i="2"/>
  <c r="U14" i="9" s="1"/>
  <c r="DG390" i="4"/>
  <c r="DG402" i="4"/>
  <c r="DG400" i="4" s="1"/>
  <c r="BQ813" i="4"/>
  <c r="BP819" i="4"/>
  <c r="DH389" i="4"/>
  <c r="DH390" i="4" s="1"/>
  <c r="CQ168" i="2"/>
  <c r="CT131" i="4"/>
  <c r="CT133" i="4"/>
  <c r="DM614" i="2"/>
  <c r="DD344" i="2"/>
  <c r="DD156" i="2"/>
  <c r="DD173" i="2"/>
  <c r="DD5" i="3"/>
  <c r="DD11" i="3" s="1"/>
  <c r="DD202" i="3"/>
  <c r="EK300" i="2"/>
  <c r="EM300" i="2"/>
  <c r="DO214" i="4"/>
  <c r="DO215" i="4"/>
  <c r="CU53" i="4"/>
  <c r="CV444" i="4"/>
  <c r="CV445" i="4" s="1"/>
  <c r="CT445" i="4"/>
  <c r="DC434" i="4"/>
  <c r="BK733" i="4"/>
  <c r="BK700" i="4"/>
  <c r="BK936" i="4"/>
  <c r="BK900" i="4"/>
  <c r="DN578" i="4"/>
  <c r="DI578" i="4"/>
  <c r="DJ578" i="4" s="1"/>
  <c r="CM475" i="2"/>
  <c r="DM307" i="4"/>
  <c r="DM306" i="4"/>
  <c r="BN727" i="4"/>
  <c r="DD235" i="4"/>
  <c r="DE221" i="4"/>
  <c r="DE450" i="4"/>
  <c r="DC451" i="4"/>
  <c r="BM628" i="4"/>
  <c r="DC443" i="4"/>
  <c r="DE442" i="4"/>
  <c r="CO49" i="4"/>
  <c r="CO68" i="4"/>
  <c r="CO58" i="4"/>
  <c r="DE335" i="4"/>
  <c r="BJ736" i="4"/>
  <c r="BJ782" i="4" s="1"/>
  <c r="BJ779" i="4"/>
  <c r="CJ160" i="4"/>
  <c r="CJ161" i="4" s="1"/>
  <c r="CH161" i="4"/>
  <c r="DB451" i="4"/>
  <c r="CM152" i="3"/>
  <c r="CP150" i="3" s="1"/>
  <c r="BM656" i="4"/>
  <c r="BM698" i="4" s="1"/>
  <c r="BM943" i="4"/>
  <c r="BM662" i="4"/>
  <c r="BM704" i="4" s="1"/>
  <c r="BM907" i="4" s="1"/>
  <c r="DU383" i="4"/>
  <c r="DR386" i="4"/>
  <c r="DR213" i="4"/>
  <c r="DR305" i="4"/>
  <c r="DT69" i="3"/>
  <c r="DW69" i="3" s="1"/>
  <c r="DQ70" i="2"/>
  <c r="DP69" i="3"/>
  <c r="DD29" i="4"/>
  <c r="CQ149" i="4"/>
  <c r="DH384" i="4"/>
  <c r="DH386" i="4"/>
  <c r="DH213" i="4"/>
  <c r="DH305" i="4"/>
  <c r="BM715" i="4"/>
  <c r="BR883" i="4"/>
  <c r="CW486" i="4"/>
  <c r="CY426" i="4"/>
  <c r="CY427" i="4" s="1"/>
  <c r="CW479" i="4"/>
  <c r="CW483" i="4"/>
  <c r="CW427" i="4"/>
  <c r="DW834" i="4"/>
  <c r="DU834" i="4" s="1"/>
  <c r="DV834" i="4" s="1"/>
  <c r="DE118" i="4"/>
  <c r="DC119" i="4"/>
  <c r="DC666" i="2"/>
  <c r="DC127" i="4"/>
  <c r="DC23" i="4"/>
  <c r="BK742" i="4"/>
  <c r="BK788" i="4" s="1"/>
  <c r="BK915" i="4"/>
  <c r="DM185" i="2"/>
  <c r="CT11" i="4"/>
  <c r="CV3" i="4"/>
  <c r="DH220" i="4"/>
  <c r="DH222" i="4" s="1"/>
  <c r="CS33" i="2"/>
  <c r="CS150" i="2"/>
  <c r="CS169" i="3"/>
  <c r="CS165" i="3" s="1"/>
  <c r="CS340" i="2"/>
  <c r="CR30" i="2"/>
  <c r="CT168" i="2" s="1"/>
  <c r="CS334" i="2"/>
  <c r="CS165" i="2"/>
  <c r="CS336" i="2"/>
  <c r="CS337" i="2"/>
  <c r="CS170" i="3"/>
  <c r="CS166" i="3" s="1"/>
  <c r="CS31" i="2"/>
  <c r="CS333" i="2"/>
  <c r="CS339" i="2"/>
  <c r="CS341" i="2"/>
  <c r="CS163" i="2"/>
  <c r="CS335" i="2"/>
  <c r="CS171" i="3"/>
  <c r="CS167" i="3" s="1"/>
  <c r="CS342" i="2"/>
  <c r="CS162" i="2"/>
  <c r="DA460" i="4"/>
  <c r="DU69" i="3"/>
  <c r="DR70" i="2"/>
  <c r="DR460" i="2" s="1"/>
  <c r="DR464" i="2" s="1"/>
  <c r="DD449" i="4"/>
  <c r="DD454" i="4"/>
  <c r="CY29" i="4"/>
  <c r="CP48" i="3"/>
  <c r="CM59" i="2"/>
  <c r="CM57" i="2" s="1"/>
  <c r="CM180" i="3" s="1"/>
  <c r="CW65" i="4"/>
  <c r="CW55" i="4"/>
  <c r="CV252" i="4"/>
  <c r="CV254" i="4"/>
  <c r="CQ175" i="2"/>
  <c r="DT835" i="4"/>
  <c r="DR835" i="4" s="1"/>
  <c r="DS835" i="4" s="1"/>
  <c r="DO185" i="2"/>
  <c r="DO614" i="2"/>
  <c r="BX752" i="4"/>
  <c r="DM70" i="2"/>
  <c r="DN460" i="2"/>
  <c r="DD403" i="4"/>
  <c r="DD416" i="4"/>
  <c r="DE416" i="4" s="1"/>
  <c r="DE417" i="4" s="1"/>
  <c r="DD433" i="4"/>
  <c r="DD434" i="4" s="1"/>
  <c r="BP872" i="4"/>
  <c r="CZ244" i="4"/>
  <c r="DB243" i="4"/>
  <c r="DB244" i="4" s="1"/>
  <c r="CZ438" i="4"/>
  <c r="CZ462" i="4"/>
  <c r="DS383" i="4"/>
  <c r="DV383" i="4" s="1"/>
  <c r="DP386" i="4"/>
  <c r="DP213" i="4"/>
  <c r="DP305" i="4"/>
  <c r="CV30" i="2"/>
  <c r="CT175" i="2" s="1"/>
  <c r="CV34" i="4"/>
  <c r="CV71" i="4"/>
  <c r="BN592" i="4"/>
  <c r="BN640" i="4" s="1"/>
  <c r="DD421" i="4"/>
  <c r="BS504" i="2"/>
  <c r="BT498" i="2"/>
  <c r="BS497" i="2"/>
  <c r="BS500" i="2"/>
  <c r="BS499" i="2"/>
  <c r="BP889" i="4"/>
  <c r="CB644" i="4"/>
  <c r="BM670" i="4"/>
  <c r="BM709" i="4"/>
  <c r="CK160" i="4"/>
  <c r="CM154" i="4"/>
  <c r="CM155" i="4" s="1"/>
  <c r="CK155" i="4"/>
  <c r="DE405" i="4"/>
  <c r="DE406" i="4" s="1"/>
  <c r="CM336" i="2"/>
  <c r="CM287" i="2"/>
  <c r="CL276" i="2"/>
  <c r="CL336" i="2" s="1"/>
  <c r="CM186" i="2"/>
  <c r="CL186" i="2" s="1"/>
  <c r="CY438" i="4"/>
  <c r="CY439" i="4" s="1"/>
  <c r="CW439" i="4"/>
  <c r="CW444" i="4"/>
  <c r="BO864" i="4"/>
  <c r="BN867" i="4"/>
  <c r="CZ26" i="4"/>
  <c r="DB23" i="4"/>
  <c r="CZ36" i="4"/>
  <c r="DE440" i="4"/>
  <c r="DC441" i="4"/>
  <c r="CJ58" i="4"/>
  <c r="CJ68" i="4"/>
  <c r="DD439" i="4"/>
  <c r="DD444" i="4"/>
  <c r="DD445" i="4" s="1"/>
  <c r="CU643" i="4"/>
  <c r="CZ432" i="4"/>
  <c r="CI152" i="3"/>
  <c r="BM674" i="4"/>
  <c r="BM716" i="4" s="1"/>
  <c r="BM919" i="4" s="1"/>
  <c r="BM680" i="4"/>
  <c r="BM722" i="4" s="1"/>
  <c r="BM925" i="4" s="1"/>
  <c r="CF12" i="4"/>
  <c r="CF8" i="4"/>
  <c r="CY26" i="4"/>
  <c r="CY39" i="4" s="1"/>
  <c r="CW39" i="4"/>
  <c r="DG15" i="4"/>
  <c r="DG253" i="4"/>
  <c r="DG171" i="4"/>
  <c r="DG420" i="4"/>
  <c r="DG244" i="4"/>
  <c r="BQ567" i="4"/>
  <c r="BP589" i="4"/>
  <c r="BP583" i="4" s="1"/>
  <c r="BZ691" i="4"/>
  <c r="CZ20" i="4"/>
  <c r="DB15" i="4"/>
  <c r="CZ29" i="4"/>
  <c r="CZ21" i="4"/>
  <c r="CA148" i="3"/>
  <c r="CA455" i="2"/>
  <c r="CA480" i="2"/>
  <c r="CA481" i="2" s="1"/>
  <c r="CA415" i="2"/>
  <c r="CA478" i="2"/>
  <c r="CK58" i="4"/>
  <c r="CK68" i="4"/>
  <c r="CM47" i="4"/>
  <c r="CK49" i="4"/>
  <c r="DO86" i="2"/>
  <c r="DO460" i="2"/>
  <c r="DO464" i="2" s="1"/>
  <c r="DD36" i="4"/>
  <c r="DB119" i="4"/>
  <c r="DB666" i="2"/>
  <c r="CZ448" i="4"/>
  <c r="DB248" i="4"/>
  <c r="CD324" i="2"/>
  <c r="CC307" i="2"/>
  <c r="CC324" i="2" s="1"/>
  <c r="CF305" i="2"/>
  <c r="CF634" i="2" s="1"/>
  <c r="CF636" i="2" s="1"/>
  <c r="CF639" i="2" s="1"/>
  <c r="CF642" i="2" s="1"/>
  <c r="CG634" i="2"/>
  <c r="CG636" i="2" s="1"/>
  <c r="CG639" i="2" s="1"/>
  <c r="CG642" i="2" s="1"/>
  <c r="CG644" i="2" s="1"/>
  <c r="CG346" i="2" s="1"/>
  <c r="CG307" i="2"/>
  <c r="BR515" i="2"/>
  <c r="BS514" i="2"/>
  <c r="DF440" i="4"/>
  <c r="DF335" i="4"/>
  <c r="DH334" i="4"/>
  <c r="CM205" i="2"/>
  <c r="CM220" i="2"/>
  <c r="CL189" i="2"/>
  <c r="DA430" i="4"/>
  <c r="BO882" i="4"/>
  <c r="CV55" i="4"/>
  <c r="CV65" i="4"/>
  <c r="DF16" i="4"/>
  <c r="DF422" i="4"/>
  <c r="DF344" i="4"/>
  <c r="DF263" i="4"/>
  <c r="CW430" i="4"/>
  <c r="CY429" i="4"/>
  <c r="CY430" i="4" s="1"/>
  <c r="CW435" i="4"/>
  <c r="CV43" i="4"/>
  <c r="CT54" i="4"/>
  <c r="CT42" i="4"/>
  <c r="CT64" i="4"/>
  <c r="EN255" i="2"/>
  <c r="DK383" i="2"/>
  <c r="DK385" i="2" s="1"/>
  <c r="DK396" i="2"/>
  <c r="CQ147" i="4"/>
  <c r="CS146" i="4"/>
  <c r="CS147" i="4" s="1"/>
  <c r="CV483" i="4"/>
  <c r="CV484" i="4" s="1"/>
  <c r="CT139" i="4"/>
  <c r="CL51" i="4"/>
  <c r="CL6" i="4" s="1"/>
  <c r="CL70" i="4"/>
  <c r="CL60" i="4"/>
  <c r="DG17" i="4"/>
  <c r="DG31" i="4" s="1"/>
  <c r="DG406" i="4"/>
  <c r="DG413" i="4"/>
  <c r="DG463" i="4" s="1"/>
  <c r="DG424" i="4"/>
  <c r="DG409" i="4"/>
  <c r="DG452" i="4" s="1"/>
  <c r="DG352" i="4"/>
  <c r="DC15" i="4"/>
  <c r="DC171" i="4"/>
  <c r="DC420" i="4"/>
  <c r="DE170" i="4"/>
  <c r="DE171" i="4" s="1"/>
  <c r="DC253" i="4"/>
  <c r="CI62" i="4"/>
  <c r="CI72" i="4"/>
  <c r="CI7" i="4"/>
  <c r="DC417" i="4"/>
  <c r="DC473" i="4"/>
  <c r="DC45" i="4"/>
  <c r="DB433" i="4"/>
  <c r="DB434" i="4" s="1"/>
  <c r="DB453" i="4"/>
  <c r="CX64" i="4"/>
  <c r="CX54" i="4"/>
  <c r="DB31" i="4"/>
  <c r="DD464" i="4"/>
  <c r="CP46" i="4"/>
  <c r="CN57" i="4"/>
  <c r="CN67" i="4"/>
  <c r="CN47" i="4"/>
  <c r="CI645" i="4"/>
  <c r="CJ305" i="2"/>
  <c r="CI287" i="2"/>
  <c r="CI630" i="2" s="1"/>
  <c r="CI631" i="2" s="1"/>
  <c r="CJ630" i="2"/>
  <c r="CJ631" i="2" s="1"/>
  <c r="CT466" i="4"/>
  <c r="CV465" i="4"/>
  <c r="CV466" i="4" s="1"/>
  <c r="DC464" i="4"/>
  <c r="DE463" i="4"/>
  <c r="CY36" i="4"/>
  <c r="BR871" i="4"/>
  <c r="BM710" i="4"/>
  <c r="CZ256" i="4"/>
  <c r="CO282" i="2"/>
  <c r="CP276" i="2"/>
  <c r="CQ186" i="2" s="1"/>
  <c r="BO570" i="4"/>
  <c r="BR224" i="2"/>
  <c r="BR226" i="2" s="1"/>
  <c r="BN226" i="2"/>
  <c r="BS816" i="4"/>
  <c r="BS811" i="4"/>
  <c r="BT810" i="4"/>
  <c r="CY251" i="4"/>
  <c r="CW252" i="4"/>
  <c r="CZ66" i="4"/>
  <c r="CZ56" i="4"/>
  <c r="DN836" i="4"/>
  <c r="DL836" i="4" s="1"/>
  <c r="DM836" i="4" s="1"/>
  <c r="BM697" i="4"/>
  <c r="DC423" i="4"/>
  <c r="CT470" i="4"/>
  <c r="CT475" i="4"/>
  <c r="CV469" i="4"/>
  <c r="CV470" i="4" s="1"/>
  <c r="DE241" i="4"/>
  <c r="DE242" i="4" s="1"/>
  <c r="DC243" i="4"/>
  <c r="BN631" i="4"/>
  <c r="BN619" i="4"/>
  <c r="DE413" i="4"/>
  <c r="DE414" i="4" s="1"/>
  <c r="CX66" i="4"/>
  <c r="CX56" i="4"/>
  <c r="CT456" i="4"/>
  <c r="CV454" i="4"/>
  <c r="CV456" i="4" s="1"/>
  <c r="BM728" i="4"/>
  <c r="DG119" i="4"/>
  <c r="DG23" i="4"/>
  <c r="DG666" i="2"/>
  <c r="BO631" i="4"/>
  <c r="BO619" i="4"/>
  <c r="DH175" i="4"/>
  <c r="DH179" i="4"/>
  <c r="DC347" i="4"/>
  <c r="DC431" i="4"/>
  <c r="DC329" i="4"/>
  <c r="BP866" i="4"/>
  <c r="BQ818" i="4"/>
  <c r="BR812" i="4"/>
  <c r="BR818" i="4" s="1"/>
  <c r="CY20" i="4"/>
  <c r="CW34" i="4"/>
  <c r="CW30" i="2"/>
  <c r="CW3" i="4"/>
  <c r="CW71" i="4"/>
  <c r="DG448" i="4"/>
  <c r="DI853" i="4"/>
  <c r="DJ853" i="4" s="1"/>
  <c r="BS692" i="4"/>
  <c r="CW472" i="4"/>
  <c r="DA469" i="4"/>
  <c r="DA257" i="4"/>
  <c r="DA43" i="4"/>
  <c r="DE424" i="4"/>
  <c r="DE425" i="4" s="1"/>
  <c r="BL724" i="4"/>
  <c r="BL927" i="4" s="1"/>
  <c r="BL924" i="4"/>
  <c r="DL579" i="4"/>
  <c r="DM579" i="4" s="1"/>
  <c r="DQ579" i="4"/>
  <c r="DH339" i="4"/>
  <c r="DF450" i="4"/>
  <c r="DR268" i="2"/>
  <c r="DQ266" i="2"/>
  <c r="DP268" i="2"/>
  <c r="DO306" i="4"/>
  <c r="DO307" i="4"/>
  <c r="DB38" i="4"/>
  <c r="BL734" i="4"/>
  <c r="BL780" i="4" s="1"/>
  <c r="BL937" i="4"/>
  <c r="BL901" i="4"/>
  <c r="DK854" i="4"/>
  <c r="DI854" i="4" s="1"/>
  <c r="DJ854" i="4" s="1"/>
  <c r="CZ343" i="4"/>
  <c r="BF142" i="2"/>
  <c r="BF143" i="2" s="1"/>
  <c r="BF146" i="2" s="1"/>
  <c r="BG142" i="2" s="1"/>
  <c r="BG143" i="2" s="1"/>
  <c r="BD142" i="2"/>
  <c r="BD143" i="2" s="1"/>
  <c r="BD146" i="2" s="1"/>
  <c r="BE142" i="2" s="1"/>
  <c r="BE143" i="2" s="1"/>
  <c r="BE146" i="2" s="1"/>
  <c r="BN667" i="4"/>
  <c r="BO667" i="4" s="1"/>
  <c r="BO709" i="4" s="1"/>
  <c r="CQ140" i="4"/>
  <c r="CS139" i="4"/>
  <c r="CS140" i="4" s="1"/>
  <c r="BL706" i="4"/>
  <c r="BL909" i="4" s="1"/>
  <c r="BL906" i="4"/>
  <c r="CE12" i="4"/>
  <c r="CE8" i="4"/>
  <c r="CG7" i="4"/>
  <c r="DF315" i="4"/>
  <c r="DF328" i="4"/>
  <c r="DF326" i="4" s="1"/>
  <c r="BO870" i="4"/>
  <c r="BN873" i="4"/>
  <c r="BM957" i="4"/>
  <c r="CT436" i="4"/>
  <c r="CV435" i="4"/>
  <c r="CV436" i="4" s="1"/>
  <c r="DE409" i="4"/>
  <c r="DE410" i="4" s="1"/>
  <c r="CT339" i="2"/>
  <c r="CT176" i="3"/>
  <c r="CT179" i="3" s="1"/>
  <c r="CT150" i="2"/>
  <c r="CT341" i="2"/>
  <c r="CT31" i="2"/>
  <c r="CT333" i="2"/>
  <c r="CT337" i="2"/>
  <c r="CT334" i="2"/>
  <c r="CT163" i="2"/>
  <c r="CT340" i="2"/>
  <c r="CT170" i="3"/>
  <c r="CT169" i="3"/>
  <c r="CT165" i="2"/>
  <c r="CT336" i="2"/>
  <c r="CT342" i="2"/>
  <c r="CT335" i="2"/>
  <c r="CT171" i="3"/>
  <c r="CT162" i="2"/>
  <c r="DD459" i="4"/>
  <c r="DD251" i="4"/>
  <c r="DD252" i="4" s="1"/>
  <c r="DC237" i="4"/>
  <c r="DF667" i="2"/>
  <c r="DF125" i="4"/>
  <c r="DF25" i="4"/>
  <c r="CA650" i="4"/>
  <c r="CN93" i="3"/>
  <c r="CP93" i="3"/>
  <c r="CM93" i="3"/>
  <c r="CK634" i="2"/>
  <c r="CK636" i="2" s="1"/>
  <c r="CK639" i="2" s="1"/>
  <c r="CK642" i="2" s="1"/>
  <c r="CK307" i="2"/>
  <c r="CK324" i="2" s="1"/>
  <c r="DB443" i="4"/>
  <c r="BN956" i="4"/>
  <c r="BO860" i="4"/>
  <c r="CZ128" i="4"/>
  <c r="DB127" i="4"/>
  <c r="DB128" i="4" s="1"/>
  <c r="CH60" i="4"/>
  <c r="CH51" i="4"/>
  <c r="CH6" i="4" s="1"/>
  <c r="CJ6" i="4" s="1"/>
  <c r="CJ49" i="4"/>
  <c r="CH70" i="4"/>
  <c r="BJ939" i="4"/>
  <c r="BJ903" i="4"/>
  <c r="BN861" i="4"/>
  <c r="BN954" i="4"/>
  <c r="BO858" i="4"/>
  <c r="CW377" i="4"/>
  <c r="CW131" i="4"/>
  <c r="CW449" i="4"/>
  <c r="CW454" i="4"/>
  <c r="CY448" i="4"/>
  <c r="CY449" i="4" s="1"/>
  <c r="BR865" i="4"/>
  <c r="DU305" i="4" l="1"/>
  <c r="DX383" i="4"/>
  <c r="EP84" i="4"/>
  <c r="EO85" i="4"/>
  <c r="EQ87" i="4"/>
  <c r="EP88" i="4"/>
  <c r="BO669" i="4"/>
  <c r="BO711" i="4" s="1"/>
  <c r="BO914" i="4" s="1"/>
  <c r="CG62" i="4"/>
  <c r="CZ131" i="4"/>
  <c r="DH124" i="4"/>
  <c r="CX140" i="4"/>
  <c r="DE113" i="4"/>
  <c r="DE115" i="4" s="1"/>
  <c r="DC115" i="4"/>
  <c r="DJ125" i="4"/>
  <c r="FA260" i="2"/>
  <c r="EY213" i="3"/>
  <c r="EY73" i="3"/>
  <c r="FA278" i="2"/>
  <c r="EZ294" i="2"/>
  <c r="EX75" i="4"/>
  <c r="EX76" i="4" s="1"/>
  <c r="EY75" i="4"/>
  <c r="CO161" i="4"/>
  <c r="EY79" i="4"/>
  <c r="EZ78" i="4"/>
  <c r="EZ79" i="4" s="1"/>
  <c r="EY295" i="4"/>
  <c r="CX134" i="4"/>
  <c r="CX377" i="4" s="1"/>
  <c r="DV386" i="4"/>
  <c r="DV213" i="4"/>
  <c r="DV305" i="4"/>
  <c r="DV296" i="4"/>
  <c r="DV204" i="4"/>
  <c r="DV69" i="3"/>
  <c r="DW70" i="2"/>
  <c r="CO155" i="4"/>
  <c r="G62" i="9"/>
  <c r="G63" i="9" s="1"/>
  <c r="H64" i="9"/>
  <c r="H65" i="9" s="1"/>
  <c r="G60" i="9"/>
  <c r="G61" i="9" s="1"/>
  <c r="DB431" i="4"/>
  <c r="DB432" i="4" s="1"/>
  <c r="DG127" i="4"/>
  <c r="DG25" i="4"/>
  <c r="DH25" i="4" s="1"/>
  <c r="DU307" i="4"/>
  <c r="DU306" i="4"/>
  <c r="DG125" i="4"/>
  <c r="DG667" i="2"/>
  <c r="CF644" i="2"/>
  <c r="CF346" i="2" s="1"/>
  <c r="CX489" i="4"/>
  <c r="CX157" i="4" s="1"/>
  <c r="DA483" i="4"/>
  <c r="DA139" i="4" s="1"/>
  <c r="DA456" i="4"/>
  <c r="CG481" i="2"/>
  <c r="CG482" i="2" s="1"/>
  <c r="CG483" i="2" s="1"/>
  <c r="CG484" i="2" s="1"/>
  <c r="CG485" i="2" s="1"/>
  <c r="DJ384" i="2"/>
  <c r="DE25" i="4"/>
  <c r="DE38" i="4" s="1"/>
  <c r="CQ287" i="2"/>
  <c r="CQ630" i="2" s="1"/>
  <c r="CQ631" i="2" s="1"/>
  <c r="CP66" i="3"/>
  <c r="CN479" i="2"/>
  <c r="CN480" i="2" s="1"/>
  <c r="CN72" i="2"/>
  <c r="CN345" i="2" s="1"/>
  <c r="CN619" i="2"/>
  <c r="CN621" i="2" s="1"/>
  <c r="CK171" i="2"/>
  <c r="CI171" i="2"/>
  <c r="CI153" i="2"/>
  <c r="CI69" i="2"/>
  <c r="CI160" i="2"/>
  <c r="CG184" i="2"/>
  <c r="CG187" i="2" s="1"/>
  <c r="CG503" i="2"/>
  <c r="CQ77" i="2"/>
  <c r="CS77" i="2" s="1"/>
  <c r="CO77" i="2"/>
  <c r="CL479" i="2"/>
  <c r="CL480" i="2" s="1"/>
  <c r="CL619" i="2"/>
  <c r="CL621" i="2" s="1"/>
  <c r="CK153" i="2"/>
  <c r="CK60" i="2"/>
  <c r="CK160" i="2"/>
  <c r="CK69" i="2"/>
  <c r="DY375" i="4"/>
  <c r="CT271" i="2"/>
  <c r="CR271" i="2"/>
  <c r="CS269" i="2"/>
  <c r="CM331" i="2"/>
  <c r="CM154" i="2"/>
  <c r="CM178" i="2"/>
  <c r="CL178" i="2" s="1"/>
  <c r="CM4" i="3"/>
  <c r="CM10" i="3" s="1"/>
  <c r="CL72" i="2"/>
  <c r="CM68" i="2"/>
  <c r="CM73" i="2"/>
  <c r="CM161" i="2"/>
  <c r="CK176" i="2"/>
  <c r="DE422" i="4"/>
  <c r="DE423" i="4" s="1"/>
  <c r="DA435" i="4"/>
  <c r="DA436" i="4" s="1"/>
  <c r="CM345" i="2"/>
  <c r="CQ66" i="3"/>
  <c r="CJ152" i="2"/>
  <c r="CI60" i="2"/>
  <c r="CJ617" i="2"/>
  <c r="CJ622" i="2" s="1"/>
  <c r="CJ55" i="2"/>
  <c r="CJ61" i="2"/>
  <c r="CJ159" i="2"/>
  <c r="DD26" i="4"/>
  <c r="DD39" i="4" s="1"/>
  <c r="H58" i="9"/>
  <c r="H59" i="9" s="1"/>
  <c r="H54" i="9"/>
  <c r="H55" i="9" s="1"/>
  <c r="DQ19" i="4"/>
  <c r="DQ33" i="4" s="1"/>
  <c r="DH280" i="2"/>
  <c r="DF276" i="2"/>
  <c r="DV455" i="2"/>
  <c r="X59" i="9"/>
  <c r="DD276" i="2"/>
  <c r="DE186" i="2"/>
  <c r="DD186" i="2" s="1"/>
  <c r="DS19" i="4"/>
  <c r="DS33" i="4" s="1"/>
  <c r="DU19" i="4"/>
  <c r="DR33" i="4"/>
  <c r="BG146" i="2"/>
  <c r="BH142" i="2" s="1"/>
  <c r="BH143" i="2" s="1"/>
  <c r="BH146" i="2" s="1"/>
  <c r="DA486" i="4"/>
  <c r="DA146" i="4" s="1"/>
  <c r="DJ566" i="2"/>
  <c r="DA427" i="4"/>
  <c r="BO592" i="4"/>
  <c r="BO640" i="4" s="1"/>
  <c r="DB347" i="4"/>
  <c r="DB348" i="4" s="1"/>
  <c r="BG222" i="2"/>
  <c r="BH222" i="2" s="1"/>
  <c r="BH221" i="2"/>
  <c r="EC145" i="2"/>
  <c r="EB145" i="2" s="1"/>
  <c r="ED145" i="2"/>
  <c r="BH566" i="2"/>
  <c r="BH384" i="2"/>
  <c r="BJ384" i="2"/>
  <c r="BJ566" i="2"/>
  <c r="BJ91" i="2"/>
  <c r="BJ140" i="2"/>
  <c r="BJ141" i="2" s="1"/>
  <c r="BK374" i="2"/>
  <c r="BJ351" i="2"/>
  <c r="BL384" i="2"/>
  <c r="BL349" i="2"/>
  <c r="BL566" i="2"/>
  <c r="BL91" i="2"/>
  <c r="BO374" i="2"/>
  <c r="BL140" i="2"/>
  <c r="BM374" i="2"/>
  <c r="CH414" i="2"/>
  <c r="CF414" i="2"/>
  <c r="CG415" i="2"/>
  <c r="CF415" i="2" s="1"/>
  <c r="CV143" i="2"/>
  <c r="CV146" i="2" s="1"/>
  <c r="CY138" i="2"/>
  <c r="CW139" i="2"/>
  <c r="CW140" i="2" s="1"/>
  <c r="CW141" i="2" s="1"/>
  <c r="CN166" i="2"/>
  <c r="CV140" i="2"/>
  <c r="CU139" i="2"/>
  <c r="CU143" i="2" s="1"/>
  <c r="CU146" i="2" s="1"/>
  <c r="BN586" i="4"/>
  <c r="CN120" i="3"/>
  <c r="CN329" i="2"/>
  <c r="CN513" i="2"/>
  <c r="CN640" i="2"/>
  <c r="CN327" i="2"/>
  <c r="CN328" i="2"/>
  <c r="CN236" i="3" s="1"/>
  <c r="CN304" i="2"/>
  <c r="CN305" i="2" s="1"/>
  <c r="CN634" i="2" s="1"/>
  <c r="CN636" i="2" s="1"/>
  <c r="CN639" i="2" s="1"/>
  <c r="CQ292" i="2"/>
  <c r="CP290" i="2"/>
  <c r="CO292" i="2"/>
  <c r="CM235" i="3"/>
  <c r="CL329" i="2"/>
  <c r="CM330" i="2"/>
  <c r="CL640" i="2"/>
  <c r="CL513" i="2"/>
  <c r="CL120" i="3"/>
  <c r="CL327" i="2"/>
  <c r="CL328" i="2"/>
  <c r="CL236" i="3" s="1"/>
  <c r="CL166" i="2"/>
  <c r="DA348" i="4"/>
  <c r="DA44" i="4"/>
  <c r="DA65" i="4" s="1"/>
  <c r="DA3" i="4"/>
  <c r="ER255" i="2"/>
  <c r="EU257" i="2" s="1"/>
  <c r="ET257" i="2" s="1"/>
  <c r="DG328" i="4"/>
  <c r="DG329" i="4" s="1"/>
  <c r="EW260" i="2"/>
  <c r="EW213" i="3" s="1"/>
  <c r="EV256" i="2"/>
  <c r="EX256" i="2" s="1"/>
  <c r="EY256" i="2" s="1"/>
  <c r="FA256" i="2" s="1"/>
  <c r="EZ256" i="2" s="1"/>
  <c r="ET256" i="2"/>
  <c r="EV204" i="4"/>
  <c r="EV131" i="3"/>
  <c r="EV78" i="2"/>
  <c r="EV182" i="2" s="1"/>
  <c r="EW125" i="3"/>
  <c r="EW278" i="2"/>
  <c r="EW73" i="3" s="1"/>
  <c r="EW75" i="3" s="1"/>
  <c r="EX73" i="3"/>
  <c r="EW338" i="4"/>
  <c r="EY338" i="4" s="1"/>
  <c r="EZ338" i="4" s="1"/>
  <c r="EW76" i="4"/>
  <c r="ES212" i="2"/>
  <c r="EU132" i="3"/>
  <c r="EU212" i="2" s="1"/>
  <c r="EQ413" i="2"/>
  <c r="ES413" i="2"/>
  <c r="EU413" i="2" s="1"/>
  <c r="EX213" i="3"/>
  <c r="EU131" i="3"/>
  <c r="CW215" i="3"/>
  <c r="CY217" i="3"/>
  <c r="DA130" i="4"/>
  <c r="DA148" i="3"/>
  <c r="DA455" i="2"/>
  <c r="BJ441" i="2"/>
  <c r="BI410" i="2"/>
  <c r="BI409" i="2"/>
  <c r="BI411" i="2"/>
  <c r="BB365" i="2"/>
  <c r="BB223" i="3" s="1"/>
  <c r="BB366" i="2"/>
  <c r="BB224" i="3" s="1"/>
  <c r="BB27" i="2"/>
  <c r="BC20" i="2"/>
  <c r="BC472" i="2"/>
  <c r="BE400" i="2"/>
  <c r="BE472" i="2" s="1"/>
  <c r="BE398" i="2"/>
  <c r="BE154" i="3"/>
  <c r="BG400" i="2"/>
  <c r="BG398" i="2"/>
  <c r="BG154" i="3"/>
  <c r="BF398" i="2"/>
  <c r="BF154" i="3"/>
  <c r="BF25" i="2"/>
  <c r="BD27" i="2"/>
  <c r="BD366" i="2"/>
  <c r="BD224" i="3" s="1"/>
  <c r="BD365" i="2"/>
  <c r="BD223" i="3" s="1"/>
  <c r="BG25" i="2"/>
  <c r="BE25" i="2"/>
  <c r="CT5" i="4"/>
  <c r="CV5" i="4" s="1"/>
  <c r="CX42" i="4"/>
  <c r="CX53" i="4" s="1"/>
  <c r="DB429" i="4"/>
  <c r="DB430" i="4" s="1"/>
  <c r="CU157" i="4"/>
  <c r="DE667" i="2"/>
  <c r="DG315" i="4"/>
  <c r="DE125" i="4"/>
  <c r="BN632" i="4"/>
  <c r="BN674" i="4" s="1"/>
  <c r="BN716" i="4" s="1"/>
  <c r="BN919" i="4" s="1"/>
  <c r="DB30" i="4"/>
  <c r="CY381" i="4"/>
  <c r="CY471" i="4"/>
  <c r="CY472" i="4" s="1"/>
  <c r="CX475" i="4"/>
  <c r="CX476" i="4" s="1"/>
  <c r="CX65" i="4"/>
  <c r="BP570" i="4"/>
  <c r="CP154" i="4"/>
  <c r="CP155" i="4" s="1"/>
  <c r="CN160" i="4"/>
  <c r="BM945" i="4"/>
  <c r="CX55" i="4"/>
  <c r="DD326" i="4"/>
  <c r="DE326" i="4" s="1"/>
  <c r="DE328" i="4"/>
  <c r="DE329" i="4" s="1"/>
  <c r="DD431" i="4"/>
  <c r="DD432" i="4" s="1"/>
  <c r="DB21" i="4"/>
  <c r="DB841" i="4"/>
  <c r="DA823" i="4"/>
  <c r="DE823" i="4"/>
  <c r="CX841" i="4"/>
  <c r="CW823" i="4"/>
  <c r="CW841" i="4" s="1"/>
  <c r="DB235" i="4"/>
  <c r="DB130" i="4" s="1"/>
  <c r="DB131" i="4" s="1"/>
  <c r="CZ435" i="4"/>
  <c r="BO668" i="4"/>
  <c r="BO710" i="4" s="1"/>
  <c r="BO913" i="4" s="1"/>
  <c r="CY133" i="4"/>
  <c r="BO686" i="4"/>
  <c r="DE31" i="4"/>
  <c r="DI852" i="4"/>
  <c r="DJ852" i="4" s="1"/>
  <c r="DN852" i="4"/>
  <c r="DA34" i="4"/>
  <c r="DB342" i="4"/>
  <c r="DB343" i="4" s="1"/>
  <c r="DJ171" i="4"/>
  <c r="BN628" i="4"/>
  <c r="CU150" i="4"/>
  <c r="EK225" i="4"/>
  <c r="EK395" i="4"/>
  <c r="EN392" i="4"/>
  <c r="EK317" i="4"/>
  <c r="EH226" i="4"/>
  <c r="EH228" i="4"/>
  <c r="EC229" i="4"/>
  <c r="EH320" i="4"/>
  <c r="EH318" i="4"/>
  <c r="EE229" i="4"/>
  <c r="EE321" i="4"/>
  <c r="BN957" i="4"/>
  <c r="EG226" i="4"/>
  <c r="EG228" i="4"/>
  <c r="EI225" i="4"/>
  <c r="EI226" i="4" s="1"/>
  <c r="ED321" i="4"/>
  <c r="EF320" i="4"/>
  <c r="EM392" i="4"/>
  <c r="EJ395" i="4"/>
  <c r="EJ225" i="4"/>
  <c r="EJ317" i="4"/>
  <c r="EC321" i="4"/>
  <c r="EI395" i="4"/>
  <c r="ED229" i="4"/>
  <c r="EF228" i="4"/>
  <c r="EG318" i="4"/>
  <c r="EG320" i="4"/>
  <c r="EI317" i="4"/>
  <c r="EI318" i="4" s="1"/>
  <c r="BN730" i="4"/>
  <c r="BN933" i="4" s="1"/>
  <c r="BO687" i="4"/>
  <c r="BO729" i="4"/>
  <c r="EM82" i="4"/>
  <c r="EN81" i="4"/>
  <c r="DD21" i="4"/>
  <c r="CZ133" i="4"/>
  <c r="DB461" i="4"/>
  <c r="DB462" i="4" s="1"/>
  <c r="DA465" i="4"/>
  <c r="DA466" i="4" s="1"/>
  <c r="DD20" i="4"/>
  <c r="DD34" i="4" s="1"/>
  <c r="DE16" i="4"/>
  <c r="DD426" i="4"/>
  <c r="DD479" i="4" s="1"/>
  <c r="BO586" i="4"/>
  <c r="DH840" i="4"/>
  <c r="DH846" i="4" s="1"/>
  <c r="DH847" i="4" s="1"/>
  <c r="DH848" i="4" s="1"/>
  <c r="DH849" i="4" s="1"/>
  <c r="DH828" i="4"/>
  <c r="DH829" i="4" s="1"/>
  <c r="DH830" i="4" s="1"/>
  <c r="DH831" i="4" s="1"/>
  <c r="DK822" i="4"/>
  <c r="DG822" i="4"/>
  <c r="CZ828" i="4"/>
  <c r="CZ829" i="4" s="1"/>
  <c r="CZ830" i="4" s="1"/>
  <c r="CZ831" i="4" s="1"/>
  <c r="CZ840" i="4"/>
  <c r="CZ846" i="4" s="1"/>
  <c r="CZ847" i="4" s="1"/>
  <c r="CZ848" i="4" s="1"/>
  <c r="CZ849" i="4" s="1"/>
  <c r="DD840" i="4"/>
  <c r="DD846" i="4" s="1"/>
  <c r="DD847" i="4" s="1"/>
  <c r="DD848" i="4" s="1"/>
  <c r="DD849" i="4" s="1"/>
  <c r="DC822" i="4"/>
  <c r="DD828" i="4"/>
  <c r="DD829" i="4" s="1"/>
  <c r="DD830" i="4" s="1"/>
  <c r="DD831" i="4" s="1"/>
  <c r="BQ569" i="4"/>
  <c r="BP591" i="4"/>
  <c r="CV838" i="4"/>
  <c r="CV843" i="4"/>
  <c r="CV856" i="4" s="1"/>
  <c r="CU825" i="4"/>
  <c r="CY825" i="4"/>
  <c r="BN950" i="4"/>
  <c r="BN741" i="4"/>
  <c r="BN787" i="4" s="1"/>
  <c r="BN914" i="4"/>
  <c r="BM724" i="4"/>
  <c r="BM927" i="4" s="1"/>
  <c r="BM735" i="4"/>
  <c r="BM781" i="4" s="1"/>
  <c r="BM938" i="4"/>
  <c r="BM902" i="4"/>
  <c r="BO633" i="4"/>
  <c r="BO621" i="4"/>
  <c r="CR838" i="4"/>
  <c r="CR843" i="4"/>
  <c r="CR856" i="4" s="1"/>
  <c r="CQ825" i="4"/>
  <c r="BN621" i="4"/>
  <c r="BN622" i="4" s="1"/>
  <c r="BN664" i="4" s="1"/>
  <c r="BN633" i="4"/>
  <c r="DC774" i="4"/>
  <c r="BM950" i="4"/>
  <c r="BM741" i="4"/>
  <c r="BM787" i="4" s="1"/>
  <c r="BM914" i="4"/>
  <c r="BO639" i="4"/>
  <c r="BO627" i="4"/>
  <c r="BO628" i="4" s="1"/>
  <c r="CN843" i="4"/>
  <c r="CN856" i="4" s="1"/>
  <c r="CN838" i="4"/>
  <c r="BN688" i="4"/>
  <c r="DZ837" i="4"/>
  <c r="DU837" i="4"/>
  <c r="DV837" i="4" s="1"/>
  <c r="BO727" i="4"/>
  <c r="BO930" i="4" s="1"/>
  <c r="DE443" i="4"/>
  <c r="BN896" i="4"/>
  <c r="DD461" i="4"/>
  <c r="DD462" i="4" s="1"/>
  <c r="DD342" i="4"/>
  <c r="DD343" i="4" s="1"/>
  <c r="DE344" i="4"/>
  <c r="DE345" i="4" s="1"/>
  <c r="DS273" i="2"/>
  <c r="CV11" i="4"/>
  <c r="DU273" i="2"/>
  <c r="DW273" i="2" s="1"/>
  <c r="BO884" i="4"/>
  <c r="DD347" i="4"/>
  <c r="DD471" i="4" s="1"/>
  <c r="DD472" i="4" s="1"/>
  <c r="DH221" i="4"/>
  <c r="BO878" i="4"/>
  <c r="BO879" i="4" s="1"/>
  <c r="DH771" i="4"/>
  <c r="DG335" i="4"/>
  <c r="DG422" i="4"/>
  <c r="DH422" i="4" s="1"/>
  <c r="DG16" i="4"/>
  <c r="DG30" i="4" s="1"/>
  <c r="DG344" i="4"/>
  <c r="DH344" i="4" s="1"/>
  <c r="DH345" i="4" s="1"/>
  <c r="DG263" i="4"/>
  <c r="DG768" i="4"/>
  <c r="DG770" i="4" s="1"/>
  <c r="DG762" i="4"/>
  <c r="DN769" i="4"/>
  <c r="DM761" i="4"/>
  <c r="DL761" i="4"/>
  <c r="DD773" i="4"/>
  <c r="DD774" i="4" s="1"/>
  <c r="DD770" i="4"/>
  <c r="DD797" i="4"/>
  <c r="DG797" i="4" s="1"/>
  <c r="BN897" i="4"/>
  <c r="DL580" i="4"/>
  <c r="DM580" i="4" s="1"/>
  <c r="DQ580" i="4"/>
  <c r="DJ769" i="4"/>
  <c r="BN932" i="4"/>
  <c r="BO890" i="4"/>
  <c r="BO891" i="4" s="1"/>
  <c r="BP955" i="4"/>
  <c r="BQ859" i="4"/>
  <c r="DF762" i="4"/>
  <c r="DF768" i="4"/>
  <c r="DC771" i="4"/>
  <c r="DC797" i="4"/>
  <c r="DC770" i="4"/>
  <c r="DH773" i="4"/>
  <c r="DH774" i="4" s="1"/>
  <c r="DD423" i="4"/>
  <c r="DD451" i="4"/>
  <c r="DI769" i="4"/>
  <c r="EF504" i="4"/>
  <c r="EF505" i="4"/>
  <c r="DL15" i="4"/>
  <c r="DL253" i="4"/>
  <c r="DL420" i="4"/>
  <c r="DL171" i="4"/>
  <c r="DI251" i="4"/>
  <c r="DI459" i="4"/>
  <c r="DI460" i="4" s="1"/>
  <c r="DJ15" i="4"/>
  <c r="DK15" i="4" s="1"/>
  <c r="DJ253" i="4"/>
  <c r="DJ420" i="4"/>
  <c r="BP631" i="4"/>
  <c r="BP619" i="4"/>
  <c r="CP152" i="3"/>
  <c r="CS150" i="3" s="1"/>
  <c r="BS865" i="4"/>
  <c r="BP858" i="4"/>
  <c r="BO954" i="4"/>
  <c r="BO861" i="4"/>
  <c r="DF38" i="4"/>
  <c r="CG8" i="4"/>
  <c r="CG12" i="4"/>
  <c r="DC251" i="4"/>
  <c r="DE253" i="4"/>
  <c r="DC459" i="4"/>
  <c r="BT514" i="2"/>
  <c r="BS515" i="2"/>
  <c r="BP864" i="4"/>
  <c r="DM460" i="2"/>
  <c r="DJ11" i="2"/>
  <c r="DJ14" i="2"/>
  <c r="CA693" i="4"/>
  <c r="CV146" i="4"/>
  <c r="CV147" i="4" s="1"/>
  <c r="CT147" i="4"/>
  <c r="CU160" i="4"/>
  <c r="CU155" i="4"/>
  <c r="DF15" i="4"/>
  <c r="DF171" i="4"/>
  <c r="DF420" i="4"/>
  <c r="DH170" i="4"/>
  <c r="DF253" i="4"/>
  <c r="DI171" i="4"/>
  <c r="DD460" i="4"/>
  <c r="DF329" i="4"/>
  <c r="DF347" i="4"/>
  <c r="DF431" i="4"/>
  <c r="DH450" i="4"/>
  <c r="DF451" i="4"/>
  <c r="DT579" i="4"/>
  <c r="DO579" i="4"/>
  <c r="DP579" i="4" s="1"/>
  <c r="DA54" i="4"/>
  <c r="DA64" i="4"/>
  <c r="BT692" i="4"/>
  <c r="CW339" i="2"/>
  <c r="CW150" i="2"/>
  <c r="CW176" i="3"/>
  <c r="CW179" i="3" s="1"/>
  <c r="CW334" i="2"/>
  <c r="CW337" i="2"/>
  <c r="CW31" i="2"/>
  <c r="CW341" i="2"/>
  <c r="CW333" i="2"/>
  <c r="CW169" i="3"/>
  <c r="CW165" i="3" s="1"/>
  <c r="CW340" i="2"/>
  <c r="CW170" i="3"/>
  <c r="CW166" i="3" s="1"/>
  <c r="CW165" i="2"/>
  <c r="CW163" i="2"/>
  <c r="CW336" i="2"/>
  <c r="CW342" i="2"/>
  <c r="CW335" i="2"/>
  <c r="CW171" i="3"/>
  <c r="CW167" i="3" s="1"/>
  <c r="CW162" i="2"/>
  <c r="BO673" i="4"/>
  <c r="BO679" i="4"/>
  <c r="BO721" i="4" s="1"/>
  <c r="BO924" i="4" s="1"/>
  <c r="BM658" i="4"/>
  <c r="BQ226" i="2"/>
  <c r="BS224" i="2"/>
  <c r="BS226" i="2" s="1"/>
  <c r="BT224" i="2" s="1"/>
  <c r="CZ257" i="4"/>
  <c r="CZ43" i="4"/>
  <c r="CZ469" i="4"/>
  <c r="DB256" i="4"/>
  <c r="DB257" i="4" s="1"/>
  <c r="DE464" i="4"/>
  <c r="CI305" i="2"/>
  <c r="CI634" i="2" s="1"/>
  <c r="CI636" i="2" s="1"/>
  <c r="CI639" i="2" s="1"/>
  <c r="CI642" i="2" s="1"/>
  <c r="CJ634" i="2"/>
  <c r="CJ636" i="2" s="1"/>
  <c r="CJ639" i="2" s="1"/>
  <c r="CJ642" i="2" s="1"/>
  <c r="CJ307" i="2"/>
  <c r="DC421" i="4"/>
  <c r="DE420" i="4"/>
  <c r="DE421" i="4" s="1"/>
  <c r="DC426" i="4"/>
  <c r="DK398" i="2"/>
  <c r="DF423" i="4"/>
  <c r="CL205" i="2"/>
  <c r="CM214" i="2"/>
  <c r="DH335" i="4"/>
  <c r="CZ449" i="4"/>
  <c r="DB448" i="4"/>
  <c r="DB449" i="4" s="1"/>
  <c r="CZ454" i="4"/>
  <c r="DB29" i="4"/>
  <c r="BQ589" i="4"/>
  <c r="BR589" i="4" s="1"/>
  <c r="BR567" i="4"/>
  <c r="CZ39" i="4"/>
  <c r="DB26" i="4"/>
  <c r="DB39" i="4" s="1"/>
  <c r="CC644" i="4"/>
  <c r="DP214" i="4"/>
  <c r="DP215" i="4"/>
  <c r="BQ872" i="4"/>
  <c r="CY483" i="4"/>
  <c r="CY484" i="4" s="1"/>
  <c r="CW139" i="4"/>
  <c r="DI16" i="4"/>
  <c r="DI422" i="4"/>
  <c r="DI263" i="4"/>
  <c r="DH214" i="4"/>
  <c r="DH215" i="4"/>
  <c r="CN150" i="3"/>
  <c r="BK736" i="4"/>
  <c r="BK782" i="4" s="1"/>
  <c r="BK779" i="4"/>
  <c r="CU67" i="4"/>
  <c r="CU57" i="4"/>
  <c r="CU47" i="4"/>
  <c r="DG5" i="3"/>
  <c r="DG11" i="3" s="1"/>
  <c r="DG344" i="2"/>
  <c r="DG156" i="2"/>
  <c r="DG173" i="2"/>
  <c r="DI173" i="2"/>
  <c r="DJ156" i="2"/>
  <c r="DG202" i="3"/>
  <c r="DH181" i="4"/>
  <c r="CT137" i="4"/>
  <c r="CV136" i="4"/>
  <c r="CV137" i="4" s="1"/>
  <c r="CW470" i="4"/>
  <c r="CY469" i="4"/>
  <c r="CY470" i="4" s="1"/>
  <c r="CW475" i="4"/>
  <c r="BP888" i="4"/>
  <c r="DF248" i="4"/>
  <c r="DH246" i="4"/>
  <c r="DH247" i="4" s="1"/>
  <c r="CA649" i="4"/>
  <c r="DB459" i="4"/>
  <c r="DB460" i="4" s="1"/>
  <c r="CZ460" i="4"/>
  <c r="CZ465" i="4"/>
  <c r="DD430" i="4"/>
  <c r="CY465" i="4"/>
  <c r="CY466" i="4" s="1"/>
  <c r="CW466" i="4"/>
  <c r="BR753" i="4"/>
  <c r="BY652" i="4"/>
  <c r="DC432" i="4"/>
  <c r="BN942" i="4"/>
  <c r="BN655" i="4"/>
  <c r="BN661" i="4"/>
  <c r="BN703" i="4" s="1"/>
  <c r="DC438" i="4"/>
  <c r="DE243" i="4"/>
  <c r="DE244" i="4" s="1"/>
  <c r="DC244" i="4"/>
  <c r="CO276" i="2"/>
  <c r="CO336" i="2" s="1"/>
  <c r="CS186" i="2"/>
  <c r="CR186" i="2" s="1"/>
  <c r="CP186" i="2"/>
  <c r="CO186" i="2" s="1"/>
  <c r="CP336" i="2"/>
  <c r="CP287" i="2"/>
  <c r="CY454" i="4"/>
  <c r="CY456" i="4" s="1"/>
  <c r="CW456" i="4"/>
  <c r="DZ270" i="2"/>
  <c r="CW11" i="4"/>
  <c r="CY3" i="4"/>
  <c r="BQ866" i="4"/>
  <c r="BO942" i="4"/>
  <c r="BO655" i="4"/>
  <c r="BO661" i="4"/>
  <c r="BO703" i="4" s="1"/>
  <c r="BO906" i="4" s="1"/>
  <c r="BN673" i="4"/>
  <c r="BN679" i="4"/>
  <c r="BN721" i="4" s="1"/>
  <c r="BM733" i="4"/>
  <c r="BM700" i="4"/>
  <c r="BM936" i="4"/>
  <c r="BM900" i="4"/>
  <c r="CY252" i="4"/>
  <c r="CY254" i="4"/>
  <c r="DC474" i="4"/>
  <c r="CI8" i="4"/>
  <c r="CI12" i="4"/>
  <c r="DG425" i="4"/>
  <c r="DG445" i="4"/>
  <c r="DG443" i="4"/>
  <c r="CJ70" i="4"/>
  <c r="CJ60" i="4"/>
  <c r="CB650" i="4"/>
  <c r="CU169" i="3"/>
  <c r="CT165" i="3"/>
  <c r="BO728" i="4"/>
  <c r="BO931" i="4" s="1"/>
  <c r="BM931" i="4"/>
  <c r="BM730" i="4"/>
  <c r="CV475" i="4"/>
  <c r="CV476" i="4" s="1"/>
  <c r="CT476" i="4"/>
  <c r="CJ645" i="4"/>
  <c r="CP67" i="4"/>
  <c r="CP57" i="4"/>
  <c r="DG464" i="4"/>
  <c r="DL374" i="2"/>
  <c r="DN374" i="2"/>
  <c r="DK154" i="3"/>
  <c r="DK566" i="2"/>
  <c r="DK384" i="2"/>
  <c r="DK91" i="2"/>
  <c r="DJ91" i="2" s="1"/>
  <c r="DF30" i="4"/>
  <c r="BP882" i="4"/>
  <c r="DO85" i="2"/>
  <c r="DP86" i="2"/>
  <c r="CZ30" i="2"/>
  <c r="DB20" i="4"/>
  <c r="CZ34" i="4"/>
  <c r="CZ71" i="4"/>
  <c r="CZ3" i="4"/>
  <c r="BO867" i="4"/>
  <c r="DB438" i="4"/>
  <c r="DB439" i="4" s="1"/>
  <c r="CZ439" i="4"/>
  <c r="CZ444" i="4"/>
  <c r="BY752" i="4"/>
  <c r="CY479" i="4"/>
  <c r="CY480" i="4" s="1"/>
  <c r="CW489" i="4"/>
  <c r="CW136" i="4"/>
  <c r="DI125" i="4"/>
  <c r="DI25" i="4"/>
  <c r="DI667" i="2"/>
  <c r="BM718" i="4"/>
  <c r="BM921" i="4" s="1"/>
  <c r="BM918" i="4"/>
  <c r="CS149" i="4"/>
  <c r="CS150" i="4" s="1"/>
  <c r="CQ154" i="4"/>
  <c r="CQ150" i="4"/>
  <c r="DU213" i="4"/>
  <c r="DU386" i="4"/>
  <c r="CO51" i="4"/>
  <c r="CO6" i="4" s="1"/>
  <c r="CO70" i="4"/>
  <c r="CO60" i="4"/>
  <c r="DE433" i="4"/>
  <c r="DE434" i="4" s="1"/>
  <c r="CV133" i="4"/>
  <c r="CT134" i="4"/>
  <c r="CT149" i="4"/>
  <c r="BO894" i="4"/>
  <c r="DC343" i="4"/>
  <c r="DA56" i="4"/>
  <c r="DA66" i="4"/>
  <c r="DH169" i="4"/>
  <c r="CS46" i="4"/>
  <c r="CQ57" i="4"/>
  <c r="CQ67" i="4"/>
  <c r="CQ47" i="4"/>
  <c r="CP171" i="3"/>
  <c r="CP167" i="3" s="1"/>
  <c r="CO167" i="3"/>
  <c r="CO165" i="3"/>
  <c r="CP169" i="3"/>
  <c r="CP165" i="3" s="1"/>
  <c r="BN740" i="4"/>
  <c r="BN786" i="4" s="1"/>
  <c r="BN949" i="4"/>
  <c r="BN913" i="4"/>
  <c r="CZ65" i="4"/>
  <c r="CZ55" i="4"/>
  <c r="DG256" i="4"/>
  <c r="DG429" i="4"/>
  <c r="DG238" i="4"/>
  <c r="DQ853" i="4"/>
  <c r="BS812" i="4"/>
  <c r="BS817" i="4"/>
  <c r="BS883" i="4" s="1"/>
  <c r="BT811" i="4"/>
  <c r="DC56" i="4"/>
  <c r="DC66" i="4"/>
  <c r="BM948" i="4"/>
  <c r="BM712" i="4"/>
  <c r="BM739" i="4"/>
  <c r="BM785" i="4" s="1"/>
  <c r="BM912" i="4"/>
  <c r="CS42" i="2"/>
  <c r="D23" i="9" s="1"/>
  <c r="DE119" i="4"/>
  <c r="DE666" i="2"/>
  <c r="BQ819" i="4"/>
  <c r="BR813" i="4"/>
  <c r="BR819" i="4" s="1"/>
  <c r="BP876" i="4"/>
  <c r="DU416" i="2"/>
  <c r="CH62" i="4"/>
  <c r="CH72" i="4"/>
  <c r="CJ51" i="4"/>
  <c r="CU171" i="3"/>
  <c r="CT167" i="3"/>
  <c r="CU170" i="3"/>
  <c r="CT166" i="3"/>
  <c r="DA470" i="4"/>
  <c r="DA475" i="4"/>
  <c r="DA476" i="4" s="1"/>
  <c r="CY30" i="2"/>
  <c r="CW175" i="2" s="1"/>
  <c r="CY34" i="4"/>
  <c r="CY71" i="4"/>
  <c r="DQ836" i="4"/>
  <c r="BT816" i="4"/>
  <c r="BU810" i="4"/>
  <c r="BM740" i="4"/>
  <c r="BM786" i="4" s="1"/>
  <c r="BM949" i="4"/>
  <c r="BM913" i="4"/>
  <c r="DC20" i="4"/>
  <c r="DE15" i="4"/>
  <c r="DC29" i="4"/>
  <c r="DC21" i="4"/>
  <c r="CT53" i="4"/>
  <c r="CV42" i="4"/>
  <c r="CV53" i="4" s="1"/>
  <c r="CY435" i="4"/>
  <c r="CY436" i="4" s="1"/>
  <c r="CW436" i="4"/>
  <c r="DH263" i="4"/>
  <c r="DH440" i="4"/>
  <c r="DF441" i="4"/>
  <c r="CA691" i="4"/>
  <c r="CV643" i="4"/>
  <c r="CK161" i="4"/>
  <c r="CM160" i="4"/>
  <c r="CM161" i="4" s="1"/>
  <c r="DS386" i="4"/>
  <c r="DS305" i="4"/>
  <c r="DS213" i="4"/>
  <c r="DD45" i="4"/>
  <c r="DE45" i="4" s="1"/>
  <c r="DD417" i="4"/>
  <c r="DD473" i="4"/>
  <c r="DD474" i="4" s="1"/>
  <c r="BM676" i="4"/>
  <c r="DP70" i="2"/>
  <c r="DP460" i="2" s="1"/>
  <c r="DP464" i="2" s="1"/>
  <c r="DQ460" i="2"/>
  <c r="DQ464" i="2" s="1"/>
  <c r="CL152" i="3"/>
  <c r="DL578" i="4"/>
  <c r="DM578" i="4" s="1"/>
  <c r="DQ578" i="4"/>
  <c r="BQ751" i="4"/>
  <c r="BP754" i="4"/>
  <c r="CV489" i="4"/>
  <c r="CT157" i="4"/>
  <c r="CT46" i="4"/>
  <c r="BM706" i="4"/>
  <c r="BM909" i="4" s="1"/>
  <c r="DF243" i="4"/>
  <c r="DH241" i="4"/>
  <c r="DH242" i="4" s="1"/>
  <c r="CO166" i="3"/>
  <c r="CP170" i="3"/>
  <c r="CP166" i="3" s="1"/>
  <c r="CR155" i="4"/>
  <c r="CR160" i="4"/>
  <c r="BL700" i="4"/>
  <c r="BL733" i="4"/>
  <c r="BL936" i="4"/>
  <c r="BL900" i="4"/>
  <c r="DQ855" i="4"/>
  <c r="DO855" i="4" s="1"/>
  <c r="DP855" i="4" s="1"/>
  <c r="DC256" i="4"/>
  <c r="DC429" i="4"/>
  <c r="DE237" i="4"/>
  <c r="DE238" i="4" s="1"/>
  <c r="DC238" i="4"/>
  <c r="DG449" i="4"/>
  <c r="DG454" i="4"/>
  <c r="BS871" i="4"/>
  <c r="DG251" i="4"/>
  <c r="DG252" i="4" s="1"/>
  <c r="DG459" i="4"/>
  <c r="CM630" i="2"/>
  <c r="CM631" i="2" s="1"/>
  <c r="CL287" i="2"/>
  <c r="CL630" i="2" s="1"/>
  <c r="CL631" i="2" s="1"/>
  <c r="CM305" i="2"/>
  <c r="BT500" i="2"/>
  <c r="BT499" i="2"/>
  <c r="BT497" i="2"/>
  <c r="BT504" i="2"/>
  <c r="BU498" i="2"/>
  <c r="CY486" i="4"/>
  <c r="CY487" i="4" s="1"/>
  <c r="CW146" i="4"/>
  <c r="DT70" i="2"/>
  <c r="DS69" i="3"/>
  <c r="CW824" i="4"/>
  <c r="CW842" i="4" s="1"/>
  <c r="CX842" i="4"/>
  <c r="DH209" i="4"/>
  <c r="DH210" i="4" s="1"/>
  <c r="DB66" i="4"/>
  <c r="DB56" i="4"/>
  <c r="CN68" i="4"/>
  <c r="CN49" i="4"/>
  <c r="CP47" i="4"/>
  <c r="CN58" i="4"/>
  <c r="DC235" i="4"/>
  <c r="DG453" i="4"/>
  <c r="CL62" i="4"/>
  <c r="CL72" i="4"/>
  <c r="CL7" i="4"/>
  <c r="CV64" i="4"/>
  <c r="CV54" i="4"/>
  <c r="DF342" i="4"/>
  <c r="DF461" i="4"/>
  <c r="CX137" i="4"/>
  <c r="CX481" i="4" s="1"/>
  <c r="CX149" i="4"/>
  <c r="CM222" i="2"/>
  <c r="CL222" i="2" s="1"/>
  <c r="CL220" i="2"/>
  <c r="CK70" i="4"/>
  <c r="CM49" i="4"/>
  <c r="CK60" i="4"/>
  <c r="CK51" i="4"/>
  <c r="CK6" i="4" s="1"/>
  <c r="CM6" i="4" s="1"/>
  <c r="BZ415" i="2"/>
  <c r="DA136" i="4"/>
  <c r="DG29" i="4"/>
  <c r="BN656" i="4"/>
  <c r="BN698" i="4" s="1"/>
  <c r="BN662" i="4"/>
  <c r="BN704" i="4" s="1"/>
  <c r="BN907" i="4" s="1"/>
  <c r="CW445" i="4"/>
  <c r="CY444" i="4"/>
  <c r="CY445" i="4" s="1"/>
  <c r="BQ889" i="4"/>
  <c r="CV33" i="2"/>
  <c r="CV31" i="2"/>
  <c r="CV337" i="2"/>
  <c r="CV341" i="2"/>
  <c r="CV150" i="2"/>
  <c r="CV333" i="2"/>
  <c r="CV165" i="2"/>
  <c r="CV339" i="2"/>
  <c r="CV334" i="2"/>
  <c r="CV340" i="2"/>
  <c r="CU30" i="2"/>
  <c r="CV336" i="2"/>
  <c r="CV163" i="2"/>
  <c r="CV342" i="2"/>
  <c r="CV335" i="2"/>
  <c r="CV162" i="2"/>
  <c r="CM456" i="2"/>
  <c r="CM26" i="3"/>
  <c r="CM28" i="3" s="1"/>
  <c r="CM179" i="2"/>
  <c r="DE23" i="4"/>
  <c r="DC26" i="4"/>
  <c r="DC36" i="4"/>
  <c r="DZ834" i="4"/>
  <c r="DX834" i="4" s="1"/>
  <c r="DY834" i="4" s="1"/>
  <c r="DR307" i="4"/>
  <c r="DR306" i="4"/>
  <c r="DG416" i="4"/>
  <c r="DG433" i="4"/>
  <c r="DG434" i="4" s="1"/>
  <c r="DG403" i="4"/>
  <c r="EH190" i="2"/>
  <c r="DF356" i="4"/>
  <c r="DF351" i="4"/>
  <c r="DF379" i="4"/>
  <c r="DF360" i="4"/>
  <c r="DH359" i="4"/>
  <c r="DF118" i="4"/>
  <c r="CP475" i="2"/>
  <c r="BN930" i="4"/>
  <c r="CA651" i="4"/>
  <c r="CR58" i="4"/>
  <c r="CR68" i="4"/>
  <c r="CR49" i="4"/>
  <c r="CZ252" i="4"/>
  <c r="DB251" i="4"/>
  <c r="BL718" i="4"/>
  <c r="BL921" i="4" s="1"/>
  <c r="BL918" i="4"/>
  <c r="BP590" i="4"/>
  <c r="BP584" i="4" s="1"/>
  <c r="BQ568" i="4"/>
  <c r="DE453" i="4"/>
  <c r="DD469" i="4"/>
  <c r="DD257" i="4"/>
  <c r="DD43" i="4"/>
  <c r="BO956" i="4"/>
  <c r="BP860" i="4"/>
  <c r="BN670" i="4"/>
  <c r="BO670" i="4" s="1"/>
  <c r="BN709" i="4"/>
  <c r="DQ614" i="2"/>
  <c r="DP266" i="2"/>
  <c r="DQ185" i="2"/>
  <c r="AB28" i="9" s="1"/>
  <c r="BO912" i="4"/>
  <c r="BP870" i="4"/>
  <c r="BO873" i="4"/>
  <c r="DN854" i="4"/>
  <c r="DT268" i="2"/>
  <c r="DR266" i="2"/>
  <c r="DR185" i="2" s="1"/>
  <c r="DC471" i="4"/>
  <c r="DC348" i="4"/>
  <c r="DC44" i="4"/>
  <c r="DG36" i="4"/>
  <c r="CT140" i="4"/>
  <c r="CV139" i="4"/>
  <c r="CV140" i="4" s="1"/>
  <c r="CF307" i="2"/>
  <c r="CF324" i="2" s="1"/>
  <c r="CG324" i="2"/>
  <c r="CM68" i="4"/>
  <c r="CM58" i="4"/>
  <c r="CA482" i="2"/>
  <c r="CA483" i="2" s="1"/>
  <c r="CA484" i="2" s="1"/>
  <c r="CA485" i="2" s="1"/>
  <c r="BP637" i="4"/>
  <c r="BP685" i="4" s="1"/>
  <c r="BP625" i="4"/>
  <c r="DG421" i="4"/>
  <c r="DG439" i="4"/>
  <c r="DB36" i="4"/>
  <c r="DP307" i="4"/>
  <c r="DP306" i="4"/>
  <c r="DJ667" i="2"/>
  <c r="DJ25" i="4"/>
  <c r="DW835" i="4"/>
  <c r="DU835" i="4" s="1"/>
  <c r="DV835" i="4" s="1"/>
  <c r="CY55" i="4"/>
  <c r="CY65" i="4"/>
  <c r="CS48" i="3"/>
  <c r="CP59" i="2"/>
  <c r="CP57" i="2" s="1"/>
  <c r="DU70" i="2"/>
  <c r="DX69" i="3"/>
  <c r="DX70" i="2" s="1"/>
  <c r="DX86" i="2" s="1"/>
  <c r="DX85" i="2" s="1"/>
  <c r="DX90" i="2" s="1"/>
  <c r="CR31" i="2"/>
  <c r="CR170" i="3"/>
  <c r="CR166" i="3" s="1"/>
  <c r="CR150" i="2"/>
  <c r="CR339" i="2"/>
  <c r="CR341" i="2"/>
  <c r="CR169" i="3"/>
  <c r="CR165" i="3" s="1"/>
  <c r="CR340" i="2"/>
  <c r="CR175" i="2"/>
  <c r="CR333" i="2"/>
  <c r="CR334" i="2"/>
  <c r="CR168" i="2"/>
  <c r="CR165" i="2"/>
  <c r="CR337" i="2"/>
  <c r="CR336" i="2"/>
  <c r="CR163" i="2"/>
  <c r="CR176" i="3"/>
  <c r="CS176" i="3" s="1"/>
  <c r="CS179" i="3" s="1"/>
  <c r="CR171" i="3"/>
  <c r="CR167" i="3" s="1"/>
  <c r="CR335" i="2"/>
  <c r="CR342" i="2"/>
  <c r="CR162" i="2"/>
  <c r="CR11" i="4"/>
  <c r="DE127" i="4"/>
  <c r="DE128" i="4" s="1"/>
  <c r="DC128" i="4"/>
  <c r="DH306" i="4"/>
  <c r="DH307" i="4"/>
  <c r="DR215" i="4"/>
  <c r="DR214" i="4"/>
  <c r="BM734" i="4"/>
  <c r="BM780" i="4" s="1"/>
  <c r="BM937" i="4"/>
  <c r="BM901" i="4"/>
  <c r="BK939" i="4"/>
  <c r="BK903" i="4"/>
  <c r="EO300" i="2"/>
  <c r="EK178" i="3"/>
  <c r="EL178" i="3" s="1"/>
  <c r="EJ190" i="2"/>
  <c r="BQ877" i="4"/>
  <c r="BP895" i="4"/>
  <c r="DC448" i="4"/>
  <c r="DE248" i="4"/>
  <c r="DC139" i="4"/>
  <c r="DC462" i="4"/>
  <c r="CW54" i="4"/>
  <c r="CY43" i="4"/>
  <c r="CW64" i="4"/>
  <c r="CW42" i="4"/>
  <c r="CZ486" i="4"/>
  <c r="CZ479" i="4"/>
  <c r="CZ427" i="4"/>
  <c r="DB426" i="4"/>
  <c r="DB427" i="4" s="1"/>
  <c r="CZ483" i="4"/>
  <c r="DB842" i="4"/>
  <c r="DA824" i="4"/>
  <c r="DE824" i="4"/>
  <c r="CZ472" i="4"/>
  <c r="DB471" i="4"/>
  <c r="DB472" i="4" s="1"/>
  <c r="BO632" i="4"/>
  <c r="BO620" i="4"/>
  <c r="DF237" i="4"/>
  <c r="DF235" i="4" s="1"/>
  <c r="DB473" i="4"/>
  <c r="DB474" i="4" s="1"/>
  <c r="BO950" i="4" l="1"/>
  <c r="ER87" i="4"/>
  <c r="EQ88" i="4"/>
  <c r="DV19" i="4"/>
  <c r="DX19" i="4"/>
  <c r="DX33" i="4" s="1"/>
  <c r="DH667" i="2"/>
  <c r="EQ84" i="4"/>
  <c r="EP85" i="4"/>
  <c r="DX213" i="4"/>
  <c r="DX305" i="4"/>
  <c r="DX386" i="4"/>
  <c r="DH125" i="4"/>
  <c r="DV273" i="2"/>
  <c r="DX273" i="2"/>
  <c r="I58" i="9"/>
  <c r="I59" i="9" s="1"/>
  <c r="DA147" i="4"/>
  <c r="DA131" i="4"/>
  <c r="DA140" i="4"/>
  <c r="DA137" i="4"/>
  <c r="DA481" i="4" s="1"/>
  <c r="DV70" i="2"/>
  <c r="FA78" i="4"/>
  <c r="FA79" i="4" s="1"/>
  <c r="EW131" i="3"/>
  <c r="EW132" i="3" s="1"/>
  <c r="EY125" i="3"/>
  <c r="EY76" i="4"/>
  <c r="EZ75" i="4"/>
  <c r="EZ76" i="4" s="1"/>
  <c r="EY203" i="4"/>
  <c r="DF113" i="4"/>
  <c r="CR161" i="4"/>
  <c r="CN161" i="4"/>
  <c r="FA73" i="3"/>
  <c r="FA75" i="3" s="1"/>
  <c r="EZ278" i="2"/>
  <c r="EZ73" i="3" s="1"/>
  <c r="EZ75" i="3" s="1"/>
  <c r="EZ260" i="2"/>
  <c r="EZ213" i="3" s="1"/>
  <c r="FA213" i="3"/>
  <c r="EX75" i="3"/>
  <c r="EY75" i="3"/>
  <c r="EY296" i="4"/>
  <c r="CZ134" i="4"/>
  <c r="CU161" i="4"/>
  <c r="DW19" i="4"/>
  <c r="DV33" i="4"/>
  <c r="DV307" i="4"/>
  <c r="DV306" i="4"/>
  <c r="DV214" i="4"/>
  <c r="DV215" i="4"/>
  <c r="DG128" i="4"/>
  <c r="CX46" i="4"/>
  <c r="CX67" i="4" s="1"/>
  <c r="J60" i="9"/>
  <c r="H60" i="9"/>
  <c r="H61" i="9" s="1"/>
  <c r="H62" i="9"/>
  <c r="H63" i="9" s="1"/>
  <c r="DG26" i="4"/>
  <c r="DG39" i="4" s="1"/>
  <c r="DG38" i="4"/>
  <c r="DB435" i="4"/>
  <c r="DB436" i="4" s="1"/>
  <c r="DH423" i="4"/>
  <c r="DE451" i="4"/>
  <c r="CN307" i="2"/>
  <c r="CN324" i="2" s="1"/>
  <c r="DE441" i="4"/>
  <c r="CK170" i="2"/>
  <c r="CI617" i="2"/>
  <c r="CI622" i="2" s="1"/>
  <c r="CI644" i="2" s="1"/>
  <c r="CI346" i="2" s="1"/>
  <c r="CI170" i="2"/>
  <c r="CI152" i="2"/>
  <c r="CI159" i="2"/>
  <c r="CI61" i="2"/>
  <c r="CS64" i="3"/>
  <c r="CR269" i="2"/>
  <c r="CR64" i="3" s="1"/>
  <c r="CR66" i="3" s="1"/>
  <c r="CS287" i="2"/>
  <c r="CT77" i="2"/>
  <c r="CV77" i="2" s="1"/>
  <c r="CR77" i="2"/>
  <c r="CN172" i="2"/>
  <c r="CL154" i="2"/>
  <c r="CL331" i="2"/>
  <c r="CL4" i="3"/>
  <c r="CL10" i="3" s="1"/>
  <c r="CL176" i="2"/>
  <c r="CL172" i="2"/>
  <c r="CL73" i="2"/>
  <c r="CL161" i="2"/>
  <c r="EB375" i="4"/>
  <c r="DY203" i="4"/>
  <c r="DY204" i="4" s="1"/>
  <c r="DY295" i="4"/>
  <c r="DY296" i="4" s="1"/>
  <c r="CK152" i="2"/>
  <c r="CK617" i="2"/>
  <c r="CK622" i="2" s="1"/>
  <c r="CK644" i="2" s="1"/>
  <c r="CK346" i="2" s="1"/>
  <c r="CK61" i="2"/>
  <c r="CK159" i="2"/>
  <c r="CN331" i="2"/>
  <c r="CN178" i="2"/>
  <c r="CN154" i="2"/>
  <c r="CN4" i="3"/>
  <c r="CN10" i="3" s="1"/>
  <c r="CN68" i="2"/>
  <c r="CN161" i="2"/>
  <c r="CN73" i="2"/>
  <c r="CN343" i="2"/>
  <c r="CJ644" i="2"/>
  <c r="CJ346" i="2" s="1"/>
  <c r="DA489" i="4"/>
  <c r="DA157" i="4" s="1"/>
  <c r="CL345" i="2"/>
  <c r="CJ151" i="2"/>
  <c r="CJ180" i="2"/>
  <c r="CJ56" i="2"/>
  <c r="CJ158" i="2"/>
  <c r="CJ53" i="2"/>
  <c r="CJ43" i="2" s="1"/>
  <c r="CJ476" i="2" s="1"/>
  <c r="CJ477" i="2" s="1"/>
  <c r="CM60" i="2"/>
  <c r="CL68" i="2"/>
  <c r="CM153" i="2"/>
  <c r="CM160" i="2"/>
  <c r="CM69" i="2"/>
  <c r="CV271" i="2"/>
  <c r="CT269" i="2"/>
  <c r="CL343" i="2"/>
  <c r="DA42" i="4"/>
  <c r="DA53" i="4" s="1"/>
  <c r="DU33" i="4"/>
  <c r="DH276" i="2"/>
  <c r="DI280" i="2"/>
  <c r="DG280" i="2"/>
  <c r="DT19" i="4"/>
  <c r="DT33" i="4" s="1"/>
  <c r="DX149" i="3"/>
  <c r="DW455" i="2"/>
  <c r="DF186" i="2"/>
  <c r="DH328" i="4"/>
  <c r="DH329" i="4" s="1"/>
  <c r="DG426" i="4"/>
  <c r="DG427" i="4" s="1"/>
  <c r="BK91" i="2"/>
  <c r="EF145" i="2"/>
  <c r="EE145" i="2" s="1"/>
  <c r="EG145" i="2"/>
  <c r="BM396" i="2"/>
  <c r="BM485" i="2" s="1"/>
  <c r="BM385" i="2"/>
  <c r="BK396" i="2"/>
  <c r="BK485" i="2" s="1"/>
  <c r="BK385" i="2"/>
  <c r="BK140" i="2"/>
  <c r="BK141" i="2" s="1"/>
  <c r="BL141" i="2"/>
  <c r="BL221" i="2"/>
  <c r="BK349" i="2"/>
  <c r="BL225" i="3"/>
  <c r="BO396" i="2"/>
  <c r="BO485" i="2" s="1"/>
  <c r="BO385" i="2"/>
  <c r="CJ414" i="2"/>
  <c r="CH415" i="2"/>
  <c r="DA55" i="4"/>
  <c r="CV157" i="4"/>
  <c r="DB44" i="4"/>
  <c r="DB65" i="4" s="1"/>
  <c r="CN642" i="2"/>
  <c r="DA133" i="4"/>
  <c r="CY139" i="2"/>
  <c r="CX138" i="2"/>
  <c r="CZ138" i="2"/>
  <c r="CV141" i="2"/>
  <c r="CU140" i="2"/>
  <c r="CU141" i="2" s="1"/>
  <c r="CW142" i="2"/>
  <c r="CW143" i="2" s="1"/>
  <c r="CW146" i="2" s="1"/>
  <c r="CX142" i="2" s="1"/>
  <c r="CY142" i="2"/>
  <c r="ES257" i="2"/>
  <c r="ES255" i="2" s="1"/>
  <c r="EQ255" i="2"/>
  <c r="CP120" i="3"/>
  <c r="CO290" i="2"/>
  <c r="CP513" i="2"/>
  <c r="CP329" i="2"/>
  <c r="CP640" i="2"/>
  <c r="CP304" i="2"/>
  <c r="CO304" i="2" s="1"/>
  <c r="CP327" i="2"/>
  <c r="CP328" i="2"/>
  <c r="CP236" i="3" s="1"/>
  <c r="CL330" i="2"/>
  <c r="CL235" i="3"/>
  <c r="CS292" i="2"/>
  <c r="CQ290" i="2"/>
  <c r="CN330" i="2"/>
  <c r="CN235" i="3"/>
  <c r="DG326" i="4"/>
  <c r="DG130" i="4" s="1"/>
  <c r="DG431" i="4"/>
  <c r="DG432" i="4" s="1"/>
  <c r="BO712" i="4"/>
  <c r="BO915" i="4" s="1"/>
  <c r="EX125" i="3"/>
  <c r="EX78" i="2" s="1"/>
  <c r="EW78" i="2" s="1"/>
  <c r="CV134" i="4"/>
  <c r="CV377" i="4" s="1"/>
  <c r="E25" i="9"/>
  <c r="CY134" i="4"/>
  <c r="CY377" i="4" s="1"/>
  <c r="F25" i="9"/>
  <c r="ET413" i="2"/>
  <c r="EV413" i="2"/>
  <c r="EX413" i="2" s="1"/>
  <c r="EV132" i="3"/>
  <c r="EW256" i="2"/>
  <c r="ET212" i="2"/>
  <c r="EU255" i="2"/>
  <c r="CZ217" i="3"/>
  <c r="CY215" i="3"/>
  <c r="CX217" i="3"/>
  <c r="CX215" i="3" s="1"/>
  <c r="BH411" i="2"/>
  <c r="BG20" i="2"/>
  <c r="BG472" i="2"/>
  <c r="BI397" i="2"/>
  <c r="BI25" i="2" s="1"/>
  <c r="BH409" i="2"/>
  <c r="BH397" i="2" s="1"/>
  <c r="BG11" i="2"/>
  <c r="BG14" i="2"/>
  <c r="BF11" i="2"/>
  <c r="BF14" i="2"/>
  <c r="BH410" i="2"/>
  <c r="BE20" i="2"/>
  <c r="BF400" i="2"/>
  <c r="BE11" i="2"/>
  <c r="BE14" i="2"/>
  <c r="BL441" i="2"/>
  <c r="BJ410" i="2"/>
  <c r="BJ409" i="2"/>
  <c r="BJ397" i="2" s="1"/>
  <c r="BJ411" i="2"/>
  <c r="CW5" i="4"/>
  <c r="CX5" i="4"/>
  <c r="DE342" i="4"/>
  <c r="DE343" i="4" s="1"/>
  <c r="DK420" i="4"/>
  <c r="BN680" i="4"/>
  <c r="BN722" i="4" s="1"/>
  <c r="BN925" i="4" s="1"/>
  <c r="BN943" i="4"/>
  <c r="DG347" i="4"/>
  <c r="DG348" i="4" s="1"/>
  <c r="BN634" i="4"/>
  <c r="BN682" i="4" s="1"/>
  <c r="DE431" i="4"/>
  <c r="DE432" i="4" s="1"/>
  <c r="DD435" i="4"/>
  <c r="DD436" i="4" s="1"/>
  <c r="CP160" i="4"/>
  <c r="BQ570" i="4"/>
  <c r="CZ436" i="4"/>
  <c r="DD130" i="4"/>
  <c r="DJ421" i="4"/>
  <c r="DE347" i="4"/>
  <c r="DE348" i="4" s="1"/>
  <c r="DD44" i="4"/>
  <c r="DD42" i="4" s="1"/>
  <c r="DD348" i="4"/>
  <c r="DG20" i="4"/>
  <c r="DG34" i="4" s="1"/>
  <c r="DH16" i="4"/>
  <c r="DG21" i="4"/>
  <c r="CZ377" i="4"/>
  <c r="DH823" i="4"/>
  <c r="DE841" i="4"/>
  <c r="DD823" i="4"/>
  <c r="CZ823" i="4"/>
  <c r="CZ841" i="4" s="1"/>
  <c r="DA841" i="4"/>
  <c r="DD456" i="4"/>
  <c r="DD427" i="4"/>
  <c r="DE21" i="4"/>
  <c r="DJ29" i="4"/>
  <c r="BO688" i="4"/>
  <c r="DH441" i="4"/>
  <c r="DL852" i="4"/>
  <c r="DM852" i="4" s="1"/>
  <c r="DQ852" i="4"/>
  <c r="DE30" i="4"/>
  <c r="BO622" i="4"/>
  <c r="BO664" i="4" s="1"/>
  <c r="EH229" i="4"/>
  <c r="EK320" i="4"/>
  <c r="EK318" i="4"/>
  <c r="EN395" i="4"/>
  <c r="EN225" i="4"/>
  <c r="EQ392" i="4"/>
  <c r="ET392" i="4" s="1"/>
  <c r="EN317" i="4"/>
  <c r="EF229" i="4"/>
  <c r="EH321" i="4"/>
  <c r="EK228" i="4"/>
  <c r="EK226" i="4"/>
  <c r="EJ320" i="4"/>
  <c r="EL317" i="4"/>
  <c r="EL318" i="4" s="1"/>
  <c r="EJ318" i="4"/>
  <c r="EF321" i="4"/>
  <c r="EG229" i="4"/>
  <c r="EI228" i="4"/>
  <c r="EI320" i="4"/>
  <c r="EG321" i="4"/>
  <c r="EJ226" i="4"/>
  <c r="EJ228" i="4"/>
  <c r="EL225" i="4"/>
  <c r="EL226" i="4" s="1"/>
  <c r="EL395" i="4"/>
  <c r="BO741" i="4"/>
  <c r="BO787" i="4" s="1"/>
  <c r="EP392" i="4"/>
  <c r="ES392" i="4" s="1"/>
  <c r="EM395" i="4"/>
  <c r="EM317" i="4"/>
  <c r="EM225" i="4"/>
  <c r="DD483" i="4"/>
  <c r="DD139" i="4" s="1"/>
  <c r="DD3" i="4"/>
  <c r="BO948" i="4"/>
  <c r="BO739" i="4"/>
  <c r="BO785" i="4" s="1"/>
  <c r="EN82" i="4"/>
  <c r="EO81" i="4"/>
  <c r="DD486" i="4"/>
  <c r="DD146" i="4" s="1"/>
  <c r="DD71" i="4"/>
  <c r="DE461" i="4"/>
  <c r="DE462" i="4" s="1"/>
  <c r="DD465" i="4"/>
  <c r="DD466" i="4" s="1"/>
  <c r="DC828" i="4"/>
  <c r="DC829" i="4" s="1"/>
  <c r="DC830" i="4" s="1"/>
  <c r="DC831" i="4" s="1"/>
  <c r="DC840" i="4"/>
  <c r="DC846" i="4" s="1"/>
  <c r="DC847" i="4" s="1"/>
  <c r="DC848" i="4" s="1"/>
  <c r="DC849" i="4" s="1"/>
  <c r="DF822" i="4"/>
  <c r="DG840" i="4"/>
  <c r="DG846" i="4" s="1"/>
  <c r="DG847" i="4" s="1"/>
  <c r="DG848" i="4" s="1"/>
  <c r="DG849" i="4" s="1"/>
  <c r="DG828" i="4"/>
  <c r="DG829" i="4" s="1"/>
  <c r="DG830" i="4" s="1"/>
  <c r="DG831" i="4" s="1"/>
  <c r="DK840" i="4"/>
  <c r="DK846" i="4" s="1"/>
  <c r="DK847" i="4" s="1"/>
  <c r="DK848" i="4" s="1"/>
  <c r="DK849" i="4" s="1"/>
  <c r="DN822" i="4"/>
  <c r="DK828" i="4"/>
  <c r="DK829" i="4" s="1"/>
  <c r="DK830" i="4" s="1"/>
  <c r="DK831" i="4" s="1"/>
  <c r="DJ822" i="4"/>
  <c r="BN675" i="4"/>
  <c r="BN717" i="4" s="1"/>
  <c r="BN920" i="4" s="1"/>
  <c r="BN681" i="4"/>
  <c r="BN723" i="4" s="1"/>
  <c r="BN926" i="4" s="1"/>
  <c r="BN657" i="4"/>
  <c r="BN699" i="4" s="1"/>
  <c r="BN944" i="4"/>
  <c r="BN663" i="4"/>
  <c r="BN705" i="4" s="1"/>
  <c r="BN908" i="4" s="1"/>
  <c r="BO944" i="4"/>
  <c r="BO663" i="4"/>
  <c r="BO705" i="4" s="1"/>
  <c r="BO908" i="4" s="1"/>
  <c r="BO657" i="4"/>
  <c r="BO699" i="4" s="1"/>
  <c r="CQ838" i="4"/>
  <c r="CQ843" i="4"/>
  <c r="CQ856" i="4" s="1"/>
  <c r="BO675" i="4"/>
  <c r="BO717" i="4" s="1"/>
  <c r="BO920" i="4" s="1"/>
  <c r="BO681" i="4"/>
  <c r="BO723" i="4" s="1"/>
  <c r="BO926" i="4" s="1"/>
  <c r="CX825" i="4"/>
  <c r="CY843" i="4"/>
  <c r="CY856" i="4" s="1"/>
  <c r="DB825" i="4"/>
  <c r="CY838" i="4"/>
  <c r="BP585" i="4"/>
  <c r="BP639" i="4"/>
  <c r="BP687" i="4" s="1"/>
  <c r="BP627" i="4"/>
  <c r="BP669" i="4" s="1"/>
  <c r="CT825" i="4"/>
  <c r="CU838" i="4"/>
  <c r="CU843" i="4"/>
  <c r="CU856" i="4" s="1"/>
  <c r="BQ591" i="4"/>
  <c r="BQ585" i="4" s="1"/>
  <c r="BR569" i="4"/>
  <c r="BO949" i="4"/>
  <c r="DG771" i="4"/>
  <c r="EC837" i="4"/>
  <c r="DX837" i="4"/>
  <c r="DY837" i="4" s="1"/>
  <c r="DG773" i="4"/>
  <c r="DG774" i="4" s="1"/>
  <c r="DH451" i="4"/>
  <c r="BO896" i="4"/>
  <c r="DT580" i="4"/>
  <c r="DO580" i="4"/>
  <c r="DP580" i="4" s="1"/>
  <c r="DG461" i="4"/>
  <c r="DG462" i="4" s="1"/>
  <c r="DG342" i="4"/>
  <c r="DG343" i="4" s="1"/>
  <c r="BP884" i="4"/>
  <c r="BP885" i="4" s="1"/>
  <c r="CY11" i="4"/>
  <c r="CQ150" i="3"/>
  <c r="CQ152" i="3" s="1"/>
  <c r="CR150" i="3" s="1"/>
  <c r="DM15" i="4"/>
  <c r="DN15" i="4" s="1"/>
  <c r="DM171" i="4"/>
  <c r="DM253" i="4"/>
  <c r="DN253" i="4" s="1"/>
  <c r="DM420" i="4"/>
  <c r="DR76" i="2"/>
  <c r="DR18" i="3"/>
  <c r="DF797" i="4"/>
  <c r="DF770" i="4"/>
  <c r="BO932" i="4"/>
  <c r="BP890" i="4"/>
  <c r="BP891" i="4" s="1"/>
  <c r="DM16" i="4"/>
  <c r="DM422" i="4"/>
  <c r="DM344" i="4"/>
  <c r="DJ459" i="4"/>
  <c r="DJ251" i="4"/>
  <c r="DF771" i="4"/>
  <c r="DN171" i="4"/>
  <c r="DJ797" i="4"/>
  <c r="DG800" i="4"/>
  <c r="DG423" i="4"/>
  <c r="DG441" i="4"/>
  <c r="DG451" i="4"/>
  <c r="BP878" i="4"/>
  <c r="BP879" i="4" s="1"/>
  <c r="BO885" i="4"/>
  <c r="BO897" i="4" s="1"/>
  <c r="DO171" i="4"/>
  <c r="DO420" i="4"/>
  <c r="DO253" i="4"/>
  <c r="DO15" i="4"/>
  <c r="DL421" i="4"/>
  <c r="DF773" i="4"/>
  <c r="DF774" i="4" s="1"/>
  <c r="BR859" i="4"/>
  <c r="BQ955" i="4"/>
  <c r="DL769" i="4"/>
  <c r="DL29" i="4"/>
  <c r="DL459" i="4"/>
  <c r="DL251" i="4"/>
  <c r="DM769" i="4"/>
  <c r="DK253" i="4"/>
  <c r="EI504" i="4"/>
  <c r="EI505" i="4"/>
  <c r="DL667" i="2"/>
  <c r="DL25" i="4"/>
  <c r="DL125" i="4"/>
  <c r="DQ854" i="4"/>
  <c r="DO854" i="4" s="1"/>
  <c r="DP854" i="4" s="1"/>
  <c r="DF462" i="4"/>
  <c r="BM742" i="4"/>
  <c r="BM788" i="4" s="1"/>
  <c r="BM915" i="4"/>
  <c r="CB649" i="4"/>
  <c r="CN152" i="3"/>
  <c r="CO150" i="3" s="1"/>
  <c r="CD644" i="4"/>
  <c r="CI307" i="2"/>
  <c r="CI324" i="2" s="1"/>
  <c r="CJ324" i="2"/>
  <c r="DH420" i="4"/>
  <c r="DF421" i="4"/>
  <c r="DI421" i="4"/>
  <c r="CZ489" i="4"/>
  <c r="DB479" i="4"/>
  <c r="DB480" i="4" s="1"/>
  <c r="CZ136" i="4"/>
  <c r="DR614" i="2"/>
  <c r="BP638" i="4"/>
  <c r="BP686" i="4" s="1"/>
  <c r="BP626" i="4"/>
  <c r="BP668" i="4" s="1"/>
  <c r="DB252" i="4"/>
  <c r="DB254" i="4"/>
  <c r="DE26" i="4"/>
  <c r="DE39" i="4" s="1"/>
  <c r="DC39" i="4"/>
  <c r="CM70" i="4"/>
  <c r="CM60" i="4"/>
  <c r="CZ824" i="4"/>
  <c r="CZ842" i="4" s="1"/>
  <c r="DA842" i="4"/>
  <c r="BR877" i="4"/>
  <c r="BQ895" i="4"/>
  <c r="CP26" i="3"/>
  <c r="CP28" i="3" s="1"/>
  <c r="CP456" i="2"/>
  <c r="CP179" i="2"/>
  <c r="CP180" i="3"/>
  <c r="BP873" i="4"/>
  <c r="BQ870" i="4"/>
  <c r="CR70" i="4"/>
  <c r="CR60" i="4"/>
  <c r="CR51" i="4"/>
  <c r="CR6" i="4" s="1"/>
  <c r="DF357" i="4"/>
  <c r="BR889" i="4"/>
  <c r="CP58" i="4"/>
  <c r="CP68" i="4"/>
  <c r="CL305" i="2"/>
  <c r="CL634" i="2" s="1"/>
  <c r="CL636" i="2" s="1"/>
  <c r="CL639" i="2" s="1"/>
  <c r="CL642" i="2" s="1"/>
  <c r="CM307" i="2"/>
  <c r="CM634" i="2"/>
  <c r="CM636" i="2" s="1"/>
  <c r="CM639" i="2" s="1"/>
  <c r="CM642" i="2" s="1"/>
  <c r="DC469" i="4"/>
  <c r="DC43" i="4"/>
  <c r="DE256" i="4"/>
  <c r="DE257" i="4" s="1"/>
  <c r="DC257" i="4"/>
  <c r="DY383" i="4"/>
  <c r="DW416" i="2"/>
  <c r="BM736" i="4"/>
  <c r="BM782" i="4" s="1"/>
  <c r="BM779" i="4"/>
  <c r="BN697" i="4"/>
  <c r="DI423" i="4"/>
  <c r="DF238" i="4"/>
  <c r="DH237" i="4"/>
  <c r="DH238" i="4" s="1"/>
  <c r="DF256" i="4"/>
  <c r="DF429" i="4"/>
  <c r="CV48" i="3"/>
  <c r="CS59" i="2"/>
  <c r="CS57" i="2" s="1"/>
  <c r="DD136" i="4"/>
  <c r="BP727" i="4"/>
  <c r="BP930" i="4" s="1"/>
  <c r="DP185" i="2"/>
  <c r="DH118" i="4"/>
  <c r="DF119" i="4"/>
  <c r="DF23" i="4"/>
  <c r="DF127" i="4"/>
  <c r="DF666" i="2"/>
  <c r="CN70" i="4"/>
  <c r="CN60" i="4"/>
  <c r="CP49" i="4"/>
  <c r="CN51" i="4"/>
  <c r="CN6" i="4" s="1"/>
  <c r="CP6" i="4" s="1"/>
  <c r="BU500" i="2"/>
  <c r="BU497" i="2"/>
  <c r="BU504" i="2"/>
  <c r="BU499" i="2"/>
  <c r="BV498" i="2"/>
  <c r="BT871" i="4"/>
  <c r="BL939" i="4"/>
  <c r="BL903" i="4"/>
  <c r="CV46" i="4"/>
  <c r="CT67" i="4"/>
  <c r="CT57" i="4"/>
  <c r="CT47" i="4"/>
  <c r="DT836" i="4"/>
  <c r="DR836" i="4" s="1"/>
  <c r="DS836" i="4" s="1"/>
  <c r="BU811" i="4"/>
  <c r="BU817" i="4" s="1"/>
  <c r="BT817" i="4"/>
  <c r="BT883" i="4" s="1"/>
  <c r="CQ58" i="4"/>
  <c r="CS47" i="4"/>
  <c r="CQ49" i="4"/>
  <c r="CQ68" i="4"/>
  <c r="CT154" i="4"/>
  <c r="CT150" i="4"/>
  <c r="CV149" i="4"/>
  <c r="CV150" i="4" s="1"/>
  <c r="CY136" i="4"/>
  <c r="CY137" i="4" s="1"/>
  <c r="CY481" i="4" s="1"/>
  <c r="CW137" i="4"/>
  <c r="CW481" i="4" s="1"/>
  <c r="CW149" i="4"/>
  <c r="CZ11" i="4"/>
  <c r="DB3" i="4"/>
  <c r="DO90" i="2"/>
  <c r="Z14" i="9" s="1"/>
  <c r="DP85" i="2"/>
  <c r="DL385" i="2"/>
  <c r="DL400" i="2"/>
  <c r="X17" i="9" s="1"/>
  <c r="BN924" i="4"/>
  <c r="CO287" i="2"/>
  <c r="CO630" i="2" s="1"/>
  <c r="CO631" i="2" s="1"/>
  <c r="CP630" i="2"/>
  <c r="CP631" i="2" s="1"/>
  <c r="BS753" i="4"/>
  <c r="BQ888" i="4"/>
  <c r="CU58" i="4"/>
  <c r="CU68" i="4"/>
  <c r="CU49" i="4"/>
  <c r="DI30" i="4"/>
  <c r="BS567" i="4"/>
  <c r="BR583" i="4"/>
  <c r="BU692" i="4"/>
  <c r="DR579" i="4"/>
  <c r="DS579" i="4" s="1"/>
  <c r="DW579" i="4"/>
  <c r="DH253" i="4"/>
  <c r="DF459" i="4"/>
  <c r="DF251" i="4"/>
  <c r="BO957" i="4"/>
  <c r="CS152" i="3"/>
  <c r="CU175" i="2"/>
  <c r="CU176" i="3"/>
  <c r="CV176" i="3" s="1"/>
  <c r="CV179" i="3" s="1"/>
  <c r="CU31" i="2"/>
  <c r="CU150" i="2"/>
  <c r="CU333" i="2"/>
  <c r="CU168" i="2"/>
  <c r="CU340" i="2"/>
  <c r="CU337" i="2"/>
  <c r="CU165" i="2"/>
  <c r="CU334" i="2"/>
  <c r="CU341" i="2"/>
  <c r="CU339" i="2"/>
  <c r="CU336" i="2"/>
  <c r="CU163" i="2"/>
  <c r="CU335" i="2"/>
  <c r="CU342" i="2"/>
  <c r="CU162" i="2"/>
  <c r="CU11" i="4"/>
  <c r="CX154" i="4"/>
  <c r="CX150" i="4"/>
  <c r="BS818" i="4"/>
  <c r="BS813" i="4"/>
  <c r="BT812" i="4"/>
  <c r="DT853" i="4"/>
  <c r="DR853" i="4" s="1"/>
  <c r="DS853" i="4" s="1"/>
  <c r="DI38" i="4"/>
  <c r="DK25" i="4"/>
  <c r="DC439" i="4"/>
  <c r="DE438" i="4"/>
  <c r="DE439" i="4" s="1"/>
  <c r="DC444" i="4"/>
  <c r="DE426" i="4"/>
  <c r="DE427" i="4" s="1"/>
  <c r="DC484" i="4"/>
  <c r="DC427" i="4"/>
  <c r="BO674" i="4"/>
  <c r="BO716" i="4" s="1"/>
  <c r="BO919" i="4" s="1"/>
  <c r="BO680" i="4"/>
  <c r="BO722" i="4" s="1"/>
  <c r="BO925" i="4" s="1"/>
  <c r="CY64" i="4"/>
  <c r="CY54" i="4"/>
  <c r="CB651" i="4"/>
  <c r="DF402" i="4"/>
  <c r="DF380" i="4"/>
  <c r="DH379" i="4"/>
  <c r="DH380" i="4" s="1"/>
  <c r="DE235" i="4"/>
  <c r="DE130" i="4" s="1"/>
  <c r="DC130" i="4"/>
  <c r="DZ69" i="3"/>
  <c r="DS307" i="4"/>
  <c r="DS306" i="4"/>
  <c r="BP667" i="4"/>
  <c r="BN712" i="4"/>
  <c r="BN739" i="4"/>
  <c r="BN785" i="4" s="1"/>
  <c r="BN948" i="4"/>
  <c r="BN951" i="4" s="1"/>
  <c r="BN912" i="4"/>
  <c r="BL736" i="4"/>
  <c r="BL782" i="4" s="1"/>
  <c r="BL779" i="4"/>
  <c r="BP894" i="4"/>
  <c r="CY33" i="2"/>
  <c r="CX30" i="2"/>
  <c r="CZ168" i="2" s="1"/>
  <c r="CY165" i="2"/>
  <c r="CY334" i="2"/>
  <c r="CY339" i="2"/>
  <c r="CY163" i="2"/>
  <c r="CY150" i="2"/>
  <c r="CY333" i="2"/>
  <c r="CY340" i="2"/>
  <c r="CY31" i="2"/>
  <c r="CY169" i="3"/>
  <c r="CY165" i="3" s="1"/>
  <c r="CY341" i="2"/>
  <c r="CY170" i="3"/>
  <c r="CY166" i="3" s="1"/>
  <c r="CY337" i="2"/>
  <c r="CY336" i="2"/>
  <c r="CY162" i="2"/>
  <c r="CY335" i="2"/>
  <c r="CY171" i="3"/>
  <c r="CY167" i="3" s="1"/>
  <c r="CY342" i="2"/>
  <c r="CU166" i="3"/>
  <c r="CV170" i="3"/>
  <c r="CV166" i="3" s="1"/>
  <c r="CJ62" i="4"/>
  <c r="CJ72" i="4"/>
  <c r="DK125" i="4"/>
  <c r="DK667" i="2"/>
  <c r="BZ752" i="4"/>
  <c r="CK645" i="4"/>
  <c r="DH235" i="4"/>
  <c r="DB483" i="4"/>
  <c r="DB484" i="4" s="1"/>
  <c r="CZ139" i="4"/>
  <c r="EP300" i="2"/>
  <c r="EN300" i="2"/>
  <c r="DL16" i="4"/>
  <c r="DL422" i="4"/>
  <c r="DL344" i="4"/>
  <c r="DL263" i="4"/>
  <c r="CW53" i="4"/>
  <c r="CY42" i="4"/>
  <c r="CY53" i="4" s="1"/>
  <c r="DC140" i="4"/>
  <c r="BP592" i="4"/>
  <c r="BP640" i="4" s="1"/>
  <c r="DC65" i="4"/>
  <c r="DC55" i="4"/>
  <c r="DP614" i="2"/>
  <c r="BQ860" i="4"/>
  <c r="BP956" i="4"/>
  <c r="DD64" i="4"/>
  <c r="DD54" i="4"/>
  <c r="BQ590" i="4"/>
  <c r="BR590" i="4" s="1"/>
  <c r="BR568" i="4"/>
  <c r="DH356" i="4"/>
  <c r="DH357" i="4" s="1"/>
  <c r="DH360" i="4"/>
  <c r="EC834" i="4"/>
  <c r="EA834" i="4" s="1"/>
  <c r="EB834" i="4" s="1"/>
  <c r="CV42" i="2"/>
  <c r="E23" i="9" s="1"/>
  <c r="E24" i="9" s="1"/>
  <c r="CM51" i="4"/>
  <c r="CK72" i="4"/>
  <c r="CK62" i="4"/>
  <c r="CL12" i="4"/>
  <c r="CL8" i="4"/>
  <c r="DT855" i="4"/>
  <c r="DR855" i="4" s="1"/>
  <c r="DS855" i="4" s="1"/>
  <c r="DH243" i="4"/>
  <c r="DH244" i="4" s="1"/>
  <c r="DF438" i="4"/>
  <c r="DF244" i="4"/>
  <c r="BQ754" i="4"/>
  <c r="BR751" i="4"/>
  <c r="DD56" i="4"/>
  <c r="DD66" i="4"/>
  <c r="DO836" i="4"/>
  <c r="DP836" i="4" s="1"/>
  <c r="CV171" i="3"/>
  <c r="CV167" i="3" s="1"/>
  <c r="CU167" i="3"/>
  <c r="BQ876" i="4"/>
  <c r="DO853" i="4"/>
  <c r="DP853" i="4" s="1"/>
  <c r="DU215" i="4"/>
  <c r="DU214" i="4"/>
  <c r="CY489" i="4"/>
  <c r="CW46" i="4"/>
  <c r="CW157" i="4"/>
  <c r="CY157" i="4" s="1"/>
  <c r="CZ445" i="4"/>
  <c r="DB444" i="4"/>
  <c r="DB445" i="4" s="1"/>
  <c r="BO740" i="4"/>
  <c r="BO786" i="4" s="1"/>
  <c r="BO730" i="4"/>
  <c r="BM933" i="4"/>
  <c r="CV169" i="3"/>
  <c r="CV165" i="3" s="1"/>
  <c r="CU165" i="3"/>
  <c r="BN715" i="4"/>
  <c r="BO697" i="4"/>
  <c r="BR866" i="4"/>
  <c r="EA270" i="2"/>
  <c r="DY270" i="2"/>
  <c r="BZ652" i="4"/>
  <c r="DI342" i="4"/>
  <c r="DI461" i="4"/>
  <c r="CW140" i="4"/>
  <c r="CY139" i="4"/>
  <c r="CY140" i="4" s="1"/>
  <c r="BQ637" i="4"/>
  <c r="BQ685" i="4" s="1"/>
  <c r="BQ625" i="4"/>
  <c r="DB454" i="4"/>
  <c r="DB456" i="4" s="1"/>
  <c r="CZ456" i="4"/>
  <c r="CL214" i="2"/>
  <c r="CM213" i="2"/>
  <c r="BO634" i="4"/>
  <c r="BO682" i="4" s="1"/>
  <c r="DH171" i="4"/>
  <c r="DK171" i="4"/>
  <c r="CB693" i="4"/>
  <c r="BP867" i="4"/>
  <c r="BQ864" i="4"/>
  <c r="BP954" i="4"/>
  <c r="BP861" i="4"/>
  <c r="BQ858" i="4"/>
  <c r="BO943" i="4"/>
  <c r="BO656" i="4"/>
  <c r="BO698" i="4" s="1"/>
  <c r="BO662" i="4"/>
  <c r="BO704" i="4" s="1"/>
  <c r="BO907" i="4" s="1"/>
  <c r="EA69" i="3"/>
  <c r="DZ835" i="4"/>
  <c r="DX835" i="4" s="1"/>
  <c r="DY835" i="4" s="1"/>
  <c r="BP620" i="4"/>
  <c r="BP632" i="4"/>
  <c r="DT253" i="2"/>
  <c r="DT460" i="2"/>
  <c r="DS70" i="2"/>
  <c r="DS460" i="2" s="1"/>
  <c r="DS215" i="4"/>
  <c r="DS214" i="4"/>
  <c r="CC650" i="4"/>
  <c r="BO715" i="4"/>
  <c r="CW168" i="2"/>
  <c r="DE459" i="4"/>
  <c r="DE460" i="4" s="1"/>
  <c r="DC460" i="4"/>
  <c r="DC465" i="4"/>
  <c r="DC449" i="4"/>
  <c r="DE448" i="4"/>
  <c r="DE449" i="4" s="1"/>
  <c r="DC454" i="4"/>
  <c r="DU86" i="2"/>
  <c r="DV86" i="2" s="1"/>
  <c r="DU460" i="2"/>
  <c r="DE471" i="4"/>
  <c r="DE472" i="4" s="1"/>
  <c r="DC472" i="4"/>
  <c r="DL854" i="4"/>
  <c r="DM854" i="4" s="1"/>
  <c r="DD475" i="4"/>
  <c r="DD476" i="4" s="1"/>
  <c r="DD470" i="4"/>
  <c r="DF343" i="4"/>
  <c r="DG460" i="4"/>
  <c r="DE29" i="4"/>
  <c r="BM951" i="4"/>
  <c r="DE66" i="4"/>
  <c r="DE56" i="4"/>
  <c r="DG430" i="4"/>
  <c r="CS67" i="4"/>
  <c r="CS57" i="4"/>
  <c r="CO72" i="4"/>
  <c r="CO62" i="4"/>
  <c r="CO7" i="4"/>
  <c r="CO8" i="4" s="1"/>
  <c r="CQ155" i="4"/>
  <c r="CS154" i="4"/>
  <c r="CS155" i="4" s="1"/>
  <c r="CQ160" i="4"/>
  <c r="DB30" i="2"/>
  <c r="DB34" i="4"/>
  <c r="DB71" i="4"/>
  <c r="BQ882" i="4"/>
  <c r="BN906" i="4"/>
  <c r="CW476" i="4"/>
  <c r="CY475" i="4"/>
  <c r="CY476" i="4" s="1"/>
  <c r="DB469" i="4"/>
  <c r="DB470" i="4" s="1"/>
  <c r="CZ470" i="4"/>
  <c r="CZ475" i="4"/>
  <c r="DF432" i="4"/>
  <c r="DJ222" i="3"/>
  <c r="DJ27" i="2"/>
  <c r="DM27" i="2"/>
  <c r="BT515" i="2"/>
  <c r="BU514" i="2"/>
  <c r="DH38" i="4"/>
  <c r="BT865" i="4"/>
  <c r="BP655" i="4"/>
  <c r="BP942" i="4"/>
  <c r="BP661" i="4"/>
  <c r="BP703" i="4" s="1"/>
  <c r="BP906" i="4" s="1"/>
  <c r="DH824" i="4"/>
  <c r="DE842" i="4"/>
  <c r="DD824" i="4"/>
  <c r="DB486" i="4"/>
  <c r="DB487" i="4" s="1"/>
  <c r="CZ146" i="4"/>
  <c r="EM178" i="3"/>
  <c r="EL190" i="2"/>
  <c r="DJ38" i="4"/>
  <c r="BR625" i="4"/>
  <c r="BR637" i="4"/>
  <c r="DU268" i="2"/>
  <c r="DW268" i="2" s="1"/>
  <c r="DX268" i="2" s="1"/>
  <c r="DX266" i="2" s="1"/>
  <c r="DS268" i="2"/>
  <c r="DF17" i="4"/>
  <c r="DF21" i="4" s="1"/>
  <c r="DF424" i="4"/>
  <c r="DF352" i="4"/>
  <c r="DF413" i="4"/>
  <c r="DH351" i="4"/>
  <c r="DH352" i="4" s="1"/>
  <c r="DF405" i="4"/>
  <c r="DF409" i="4"/>
  <c r="DG45" i="4"/>
  <c r="DG473" i="4"/>
  <c r="DG474" i="4" s="1"/>
  <c r="DG417" i="4"/>
  <c r="DE36" i="4"/>
  <c r="BN901" i="4"/>
  <c r="CW147" i="4"/>
  <c r="CY146" i="4"/>
  <c r="CY147" i="4" s="1"/>
  <c r="DE429" i="4"/>
  <c r="DE430" i="4" s="1"/>
  <c r="DC430" i="4"/>
  <c r="DC435" i="4"/>
  <c r="DM667" i="2"/>
  <c r="DM25" i="4"/>
  <c r="DT578" i="4"/>
  <c r="DO578" i="4"/>
  <c r="DP578" i="4" s="1"/>
  <c r="CW643" i="4"/>
  <c r="CB691" i="4"/>
  <c r="DE20" i="4"/>
  <c r="DC3" i="4"/>
  <c r="DC34" i="4"/>
  <c r="DC71" i="4"/>
  <c r="DC30" i="2"/>
  <c r="BU816" i="4"/>
  <c r="BV810" i="4"/>
  <c r="CH7" i="4"/>
  <c r="CS475" i="2"/>
  <c r="DG469" i="4"/>
  <c r="DG257" i="4"/>
  <c r="DG43" i="4"/>
  <c r="EA383" i="4"/>
  <c r="CZ150" i="2"/>
  <c r="CZ340" i="2"/>
  <c r="CZ165" i="2"/>
  <c r="CZ341" i="2"/>
  <c r="CZ333" i="2"/>
  <c r="CZ334" i="2"/>
  <c r="CZ169" i="3"/>
  <c r="CZ165" i="3" s="1"/>
  <c r="CZ170" i="3"/>
  <c r="CZ166" i="3" s="1"/>
  <c r="CZ339" i="2"/>
  <c r="CZ31" i="2"/>
  <c r="CZ176" i="3"/>
  <c r="CZ179" i="3" s="1"/>
  <c r="CZ163" i="2"/>
  <c r="CZ337" i="2"/>
  <c r="CZ336" i="2"/>
  <c r="CZ342" i="2"/>
  <c r="CZ171" i="3"/>
  <c r="CZ167" i="3" s="1"/>
  <c r="CZ335" i="2"/>
  <c r="CZ162" i="2"/>
  <c r="DE473" i="4"/>
  <c r="DE474" i="4" s="1"/>
  <c r="BM939" i="4"/>
  <c r="BM903" i="4"/>
  <c r="CZ466" i="4"/>
  <c r="DB465" i="4"/>
  <c r="DB466" i="4" s="1"/>
  <c r="DF448" i="4"/>
  <c r="DH248" i="4"/>
  <c r="BR872" i="4"/>
  <c r="BQ583" i="4"/>
  <c r="DK11" i="2"/>
  <c r="DK14" i="2"/>
  <c r="CZ64" i="4"/>
  <c r="CZ54" i="4"/>
  <c r="CZ42" i="4"/>
  <c r="DB43" i="4"/>
  <c r="DF471" i="4"/>
  <c r="DF348" i="4"/>
  <c r="DF44" i="4"/>
  <c r="DH15" i="4"/>
  <c r="DF29" i="4"/>
  <c r="DI29" i="4"/>
  <c r="DE251" i="4"/>
  <c r="DC252" i="4"/>
  <c r="BP673" i="4"/>
  <c r="BP679" i="4"/>
  <c r="BP721" i="4" s="1"/>
  <c r="BP924" i="4" s="1"/>
  <c r="EQ85" i="4" l="1"/>
  <c r="ER84" i="4"/>
  <c r="J59" i="9"/>
  <c r="DX307" i="4"/>
  <c r="DX306" i="4"/>
  <c r="DX215" i="4"/>
  <c r="DX214" i="4"/>
  <c r="ER88" i="4"/>
  <c r="ES87" i="4"/>
  <c r="EX131" i="3"/>
  <c r="DD137" i="4"/>
  <c r="DD481" i="4" s="1"/>
  <c r="DD147" i="4"/>
  <c r="DD131" i="4"/>
  <c r="DG131" i="4"/>
  <c r="DD140" i="4"/>
  <c r="CX57" i="4"/>
  <c r="CX47" i="4"/>
  <c r="CX49" i="4" s="1"/>
  <c r="DA5" i="4"/>
  <c r="EW413" i="2"/>
  <c r="EY413" i="2"/>
  <c r="FA413" i="2" s="1"/>
  <c r="EZ413" i="2" s="1"/>
  <c r="DH113" i="4"/>
  <c r="DH115" i="4" s="1"/>
  <c r="DF115" i="4"/>
  <c r="EY204" i="4"/>
  <c r="EZ125" i="3"/>
  <c r="EZ131" i="3" s="1"/>
  <c r="EZ132" i="3" s="1"/>
  <c r="EY131" i="3"/>
  <c r="EY78" i="2"/>
  <c r="EY182" i="2" s="1"/>
  <c r="FA75" i="4"/>
  <c r="FA76" i="4" s="1"/>
  <c r="DA149" i="4"/>
  <c r="DA154" i="4" s="1"/>
  <c r="DA160" i="4" s="1"/>
  <c r="DV268" i="2"/>
  <c r="DW266" i="2"/>
  <c r="DX185" i="2" s="1"/>
  <c r="DW33" i="4"/>
  <c r="DH431" i="4"/>
  <c r="DH432" i="4" s="1"/>
  <c r="DG435" i="4"/>
  <c r="DG436" i="4" s="1"/>
  <c r="DB55" i="4"/>
  <c r="I60" i="9"/>
  <c r="I61" i="9" s="1"/>
  <c r="I62" i="9"/>
  <c r="I63" i="9" s="1"/>
  <c r="K60" i="9"/>
  <c r="K61" i="9" s="1"/>
  <c r="DA46" i="4"/>
  <c r="DA57" i="4" s="1"/>
  <c r="BN734" i="4"/>
  <c r="BN780" i="4" s="1"/>
  <c r="DG456" i="4"/>
  <c r="DA134" i="4"/>
  <c r="DB133" i="4"/>
  <c r="CT64" i="3"/>
  <c r="CT66" i="3" s="1"/>
  <c r="CT287" i="2"/>
  <c r="CT630" i="2" s="1"/>
  <c r="CT631" i="2" s="1"/>
  <c r="CW271" i="2"/>
  <c r="CU271" i="2"/>
  <c r="CV269" i="2"/>
  <c r="CL171" i="2"/>
  <c r="CL153" i="2"/>
  <c r="CL69" i="2"/>
  <c r="CL160" i="2"/>
  <c r="CR287" i="2"/>
  <c r="CR630" i="2" s="1"/>
  <c r="CR631" i="2" s="1"/>
  <c r="CS630" i="2"/>
  <c r="CS631" i="2" s="1"/>
  <c r="CW77" i="2"/>
  <c r="CY77" i="2" s="1"/>
  <c r="CU77" i="2"/>
  <c r="CM617" i="2"/>
  <c r="CM622" i="2" s="1"/>
  <c r="CM644" i="2" s="1"/>
  <c r="CM346" i="2" s="1"/>
  <c r="CM152" i="2"/>
  <c r="CL60" i="2"/>
  <c r="CM159" i="2"/>
  <c r="CM61" i="2"/>
  <c r="CM55" i="2"/>
  <c r="CJ503" i="2"/>
  <c r="CJ184" i="2"/>
  <c r="CJ187" i="2" s="1"/>
  <c r="EE375" i="4"/>
  <c r="EB295" i="4"/>
  <c r="EB296" i="4" s="1"/>
  <c r="EB203" i="4"/>
  <c r="EB204" i="4" s="1"/>
  <c r="CS66" i="3"/>
  <c r="CP305" i="2"/>
  <c r="CP307" i="2" s="1"/>
  <c r="CJ478" i="2"/>
  <c r="CJ481" i="2"/>
  <c r="CJ482" i="2" s="1"/>
  <c r="CN60" i="2"/>
  <c r="CN153" i="2"/>
  <c r="CN171" i="2"/>
  <c r="CN69" i="2"/>
  <c r="CN160" i="2"/>
  <c r="DH347" i="4"/>
  <c r="DH348" i="4" s="1"/>
  <c r="J11" i="9"/>
  <c r="CZ175" i="2"/>
  <c r="CP161" i="4"/>
  <c r="I54" i="9"/>
  <c r="I55" i="9" s="1"/>
  <c r="DK280" i="2"/>
  <c r="DI276" i="2"/>
  <c r="Y59" i="9"/>
  <c r="DG276" i="2"/>
  <c r="DH186" i="2"/>
  <c r="DG186" i="2" s="1"/>
  <c r="DY19" i="4"/>
  <c r="DY33" i="4" s="1"/>
  <c r="EA19" i="4"/>
  <c r="DY149" i="3"/>
  <c r="DX455" i="2"/>
  <c r="DG133" i="4"/>
  <c r="DH326" i="4"/>
  <c r="BK225" i="3"/>
  <c r="BM349" i="2"/>
  <c r="BN374" i="2"/>
  <c r="BM91" i="2"/>
  <c r="BM140" i="2"/>
  <c r="BM141" i="2" s="1"/>
  <c r="BM384" i="2"/>
  <c r="BM566" i="2"/>
  <c r="BK384" i="2"/>
  <c r="BK566" i="2"/>
  <c r="EJ145" i="2"/>
  <c r="EI145" i="2"/>
  <c r="EH145" i="2" s="1"/>
  <c r="BO349" i="2"/>
  <c r="BO91" i="2"/>
  <c r="BO566" i="2"/>
  <c r="BP374" i="2"/>
  <c r="BO384" i="2"/>
  <c r="BO140" i="2"/>
  <c r="BR374" i="2"/>
  <c r="BL222" i="2"/>
  <c r="BK222" i="2" s="1"/>
  <c r="BK221" i="2"/>
  <c r="CI414" i="2"/>
  <c r="CJ415" i="2"/>
  <c r="CI415" i="2" s="1"/>
  <c r="CK414" i="2"/>
  <c r="BN937" i="4"/>
  <c r="EX182" i="2"/>
  <c r="EW182" i="2" s="1"/>
  <c r="CY143" i="2"/>
  <c r="CY146" i="2" s="1"/>
  <c r="DB138" i="2"/>
  <c r="CZ139" i="2"/>
  <c r="CZ140" i="2" s="1"/>
  <c r="CZ141" i="2" s="1"/>
  <c r="CY140" i="2"/>
  <c r="CX139" i="2"/>
  <c r="CX143" i="2" s="1"/>
  <c r="CX146" i="2" s="1"/>
  <c r="BN945" i="4"/>
  <c r="BO742" i="4"/>
  <c r="BO788" i="4" s="1"/>
  <c r="CO513" i="2"/>
  <c r="CO120" i="3"/>
  <c r="CO640" i="2"/>
  <c r="CO327" i="2"/>
  <c r="CO328" i="2"/>
  <c r="CO236" i="3" s="1"/>
  <c r="T57" i="9"/>
  <c r="CQ304" i="2"/>
  <c r="CQ305" i="2" s="1"/>
  <c r="CQ640" i="2"/>
  <c r="CQ329" i="2"/>
  <c r="CQ513" i="2"/>
  <c r="CQ328" i="2"/>
  <c r="CQ236" i="3" s="1"/>
  <c r="CQ120" i="3"/>
  <c r="CQ327" i="2"/>
  <c r="CP330" i="2"/>
  <c r="CO329" i="2"/>
  <c r="CP235" i="3"/>
  <c r="CT292" i="2"/>
  <c r="CR292" i="2"/>
  <c r="CS290" i="2"/>
  <c r="DG471" i="4"/>
  <c r="DG472" i="4" s="1"/>
  <c r="D26" i="9"/>
  <c r="T25" i="9" s="1"/>
  <c r="ET225" i="4"/>
  <c r="ET395" i="4"/>
  <c r="ET317" i="4"/>
  <c r="EW392" i="4"/>
  <c r="EZ392" i="4" s="1"/>
  <c r="EV212" i="2"/>
  <c r="EX132" i="3"/>
  <c r="EX212" i="2" s="1"/>
  <c r="ES395" i="4"/>
  <c r="ES317" i="4"/>
  <c r="ES225" i="4"/>
  <c r="EV392" i="4"/>
  <c r="EY392" i="4" s="1"/>
  <c r="EV257" i="2"/>
  <c r="EV255" i="2" s="1"/>
  <c r="ET255" i="2"/>
  <c r="EX257" i="2"/>
  <c r="CZ215" i="3"/>
  <c r="DB217" i="3"/>
  <c r="DE131" i="4"/>
  <c r="BJ25" i="2"/>
  <c r="DD65" i="4"/>
  <c r="DG44" i="4"/>
  <c r="DH44" i="4" s="1"/>
  <c r="DD133" i="4"/>
  <c r="CO152" i="3"/>
  <c r="CR152" i="3"/>
  <c r="BH25" i="2"/>
  <c r="CY5" i="4"/>
  <c r="BM441" i="2"/>
  <c r="BL410" i="2"/>
  <c r="BL409" i="2"/>
  <c r="BL411" i="2"/>
  <c r="BF20" i="2"/>
  <c r="BF472" i="2"/>
  <c r="BG27" i="2"/>
  <c r="BG366" i="2"/>
  <c r="BG224" i="3" s="1"/>
  <c r="BG365" i="2"/>
  <c r="BG223" i="3" s="1"/>
  <c r="BI398" i="2"/>
  <c r="BI154" i="3"/>
  <c r="BJ400" i="2"/>
  <c r="BJ398" i="2"/>
  <c r="BJ154" i="3"/>
  <c r="BE366" i="2"/>
  <c r="BE224" i="3" s="1"/>
  <c r="BE27" i="2"/>
  <c r="BE365" i="2"/>
  <c r="BE223" i="3" s="1"/>
  <c r="BF365" i="2"/>
  <c r="BF223" i="3" s="1"/>
  <c r="BF27" i="2"/>
  <c r="BF366" i="2"/>
  <c r="BF224" i="3" s="1"/>
  <c r="BH400" i="2"/>
  <c r="BH472" i="2" s="1"/>
  <c r="BH398" i="2"/>
  <c r="BH154" i="3"/>
  <c r="CZ5" i="4"/>
  <c r="DD5" i="4"/>
  <c r="DM421" i="4"/>
  <c r="DH30" i="4"/>
  <c r="DE483" i="4"/>
  <c r="DE484" i="4" s="1"/>
  <c r="DD55" i="4"/>
  <c r="DE44" i="4"/>
  <c r="DE55" i="4" s="1"/>
  <c r="DH21" i="4"/>
  <c r="DH4" i="4" s="1"/>
  <c r="BN706" i="4"/>
  <c r="BN909" i="4" s="1"/>
  <c r="DG71" i="4"/>
  <c r="DG3" i="4"/>
  <c r="DG465" i="4"/>
  <c r="DG466" i="4" s="1"/>
  <c r="BP688" i="4"/>
  <c r="DD841" i="4"/>
  <c r="DC823" i="4"/>
  <c r="DC841" i="4" s="1"/>
  <c r="DK823" i="4"/>
  <c r="DH841" i="4"/>
  <c r="DG823" i="4"/>
  <c r="BN676" i="4"/>
  <c r="BO945" i="4"/>
  <c r="BN724" i="4"/>
  <c r="BN927" i="4" s="1"/>
  <c r="BO951" i="4"/>
  <c r="BR570" i="4"/>
  <c r="DH342" i="4"/>
  <c r="DH343" i="4" s="1"/>
  <c r="DD489" i="4"/>
  <c r="DD46" i="4" s="1"/>
  <c r="DO852" i="4"/>
  <c r="DP852" i="4" s="1"/>
  <c r="DT852" i="4"/>
  <c r="DF20" i="4"/>
  <c r="DF3" i="4" s="1"/>
  <c r="EI229" i="4"/>
  <c r="EN318" i="4"/>
  <c r="EN320" i="4"/>
  <c r="EK229" i="4"/>
  <c r="EQ225" i="4"/>
  <c r="EQ317" i="4"/>
  <c r="EQ395" i="4"/>
  <c r="EK321" i="4"/>
  <c r="EN226" i="4"/>
  <c r="EN228" i="4"/>
  <c r="EP395" i="4"/>
  <c r="EP225" i="4"/>
  <c r="EP317" i="4"/>
  <c r="EM226" i="4"/>
  <c r="EO225" i="4"/>
  <c r="EO226" i="4" s="1"/>
  <c r="EM228" i="4"/>
  <c r="EL228" i="4"/>
  <c r="EJ229" i="4"/>
  <c r="EI321" i="4"/>
  <c r="EM320" i="4"/>
  <c r="EO317" i="4"/>
  <c r="EO318" i="4" s="1"/>
  <c r="EM318" i="4"/>
  <c r="DO16" i="4"/>
  <c r="EO395" i="4"/>
  <c r="EJ321" i="4"/>
  <c r="EL320" i="4"/>
  <c r="BO676" i="4"/>
  <c r="BP628" i="4"/>
  <c r="BN658" i="4"/>
  <c r="EO82" i="4"/>
  <c r="EP81" i="4"/>
  <c r="DH461" i="4"/>
  <c r="DH462" i="4" s="1"/>
  <c r="DN420" i="4"/>
  <c r="DQ822" i="4"/>
  <c r="DM822" i="4"/>
  <c r="DN828" i="4"/>
  <c r="DN829" i="4" s="1"/>
  <c r="DN830" i="4" s="1"/>
  <c r="DN831" i="4" s="1"/>
  <c r="DN840" i="4"/>
  <c r="DN846" i="4" s="1"/>
  <c r="DN847" i="4" s="1"/>
  <c r="DN848" i="4" s="1"/>
  <c r="DN849" i="4" s="1"/>
  <c r="DF840" i="4"/>
  <c r="DF846" i="4" s="1"/>
  <c r="DF847" i="4" s="1"/>
  <c r="DF848" i="4" s="1"/>
  <c r="DF849" i="4" s="1"/>
  <c r="DF828" i="4"/>
  <c r="DF829" i="4" s="1"/>
  <c r="DF830" i="4" s="1"/>
  <c r="DF831" i="4" s="1"/>
  <c r="BQ592" i="4"/>
  <c r="BQ640" i="4" s="1"/>
  <c r="DI822" i="4"/>
  <c r="DJ840" i="4"/>
  <c r="DJ846" i="4" s="1"/>
  <c r="DJ847" i="4" s="1"/>
  <c r="DJ848" i="4" s="1"/>
  <c r="DJ849" i="4" s="1"/>
  <c r="DJ828" i="4"/>
  <c r="DJ829" i="4" s="1"/>
  <c r="DJ830" i="4" s="1"/>
  <c r="DJ831" i="4" s="1"/>
  <c r="BP711" i="4"/>
  <c r="DE825" i="4"/>
  <c r="DA825" i="4"/>
  <c r="DB838" i="4"/>
  <c r="DB843" i="4"/>
  <c r="DB856" i="4" s="1"/>
  <c r="BN735" i="4"/>
  <c r="BN781" i="4" s="1"/>
  <c r="BN938" i="4"/>
  <c r="BN902" i="4"/>
  <c r="BQ633" i="4"/>
  <c r="BQ621" i="4"/>
  <c r="BP729" i="4"/>
  <c r="BP932" i="4" s="1"/>
  <c r="BS569" i="4"/>
  <c r="CT843" i="4"/>
  <c r="CT856" i="4" s="1"/>
  <c r="CT838" i="4"/>
  <c r="BP633" i="4"/>
  <c r="BP621" i="4"/>
  <c r="CW825" i="4"/>
  <c r="CX838" i="4"/>
  <c r="CX843" i="4"/>
  <c r="CX856" i="4" s="1"/>
  <c r="BQ639" i="4"/>
  <c r="BQ687" i="4" s="1"/>
  <c r="BQ729" i="4" s="1"/>
  <c r="BQ627" i="4"/>
  <c r="BQ669" i="4" s="1"/>
  <c r="BQ711" i="4" s="1"/>
  <c r="BR591" i="4"/>
  <c r="BR592" i="4" s="1"/>
  <c r="BR640" i="4" s="1"/>
  <c r="BO735" i="4"/>
  <c r="BO781" i="4" s="1"/>
  <c r="BO938" i="4"/>
  <c r="BO902" i="4"/>
  <c r="BP586" i="4"/>
  <c r="BQ584" i="4"/>
  <c r="BQ632" i="4" s="1"/>
  <c r="EA837" i="4"/>
  <c r="EB837" i="4" s="1"/>
  <c r="EF837" i="4"/>
  <c r="EI837" i="4" s="1"/>
  <c r="EL837" i="4" s="1"/>
  <c r="DN29" i="4"/>
  <c r="DR181" i="2"/>
  <c r="DK251" i="4"/>
  <c r="DP263" i="4"/>
  <c r="DP16" i="4"/>
  <c r="DP344" i="4"/>
  <c r="DP422" i="4"/>
  <c r="DR580" i="4"/>
  <c r="DS580" i="4" s="1"/>
  <c r="DW580" i="4"/>
  <c r="DM342" i="4"/>
  <c r="DM461" i="4"/>
  <c r="DM462" i="4" s="1"/>
  <c r="BP896" i="4"/>
  <c r="DE139" i="4"/>
  <c r="DO29" i="4"/>
  <c r="DQ171" i="4"/>
  <c r="DP15" i="4"/>
  <c r="DP253" i="4"/>
  <c r="DP420" i="4"/>
  <c r="DP171" i="4"/>
  <c r="BQ890" i="4"/>
  <c r="BQ891" i="4" s="1"/>
  <c r="BQ884" i="4"/>
  <c r="BQ885" i="4" s="1"/>
  <c r="BQ894" i="4"/>
  <c r="DL460" i="4"/>
  <c r="BR955" i="4"/>
  <c r="BS859" i="4"/>
  <c r="DO251" i="4"/>
  <c r="DO459" i="4"/>
  <c r="DO460" i="4" s="1"/>
  <c r="DK459" i="4"/>
  <c r="DK460" i="4" s="1"/>
  <c r="DJ460" i="4"/>
  <c r="DM251" i="4"/>
  <c r="DM459" i="4"/>
  <c r="DM460" i="4" s="1"/>
  <c r="BQ878" i="4"/>
  <c r="BQ879" i="4" s="1"/>
  <c r="DM29" i="4"/>
  <c r="DR253" i="4"/>
  <c r="DR15" i="4"/>
  <c r="DR420" i="4"/>
  <c r="DR171" i="4"/>
  <c r="DO421" i="4"/>
  <c r="DJ344" i="4"/>
  <c r="DJ263" i="4"/>
  <c r="DJ16" i="4"/>
  <c r="DM30" i="4" s="1"/>
  <c r="DJ422" i="4"/>
  <c r="DN263" i="4"/>
  <c r="DM263" i="4"/>
  <c r="DI797" i="4"/>
  <c r="DH797" i="4"/>
  <c r="EL505" i="4"/>
  <c r="EL504" i="4"/>
  <c r="DF472" i="4"/>
  <c r="CX643" i="4"/>
  <c r="DK824" i="4"/>
  <c r="DH842" i="4"/>
  <c r="DG824" i="4"/>
  <c r="DB33" i="2"/>
  <c r="DB31" i="2"/>
  <c r="DB170" i="3"/>
  <c r="DB166" i="3" s="1"/>
  <c r="DB333" i="2"/>
  <c r="DB150" i="2"/>
  <c r="DB340" i="2"/>
  <c r="DB165" i="2"/>
  <c r="DB334" i="2"/>
  <c r="DA30" i="2"/>
  <c r="DB169" i="3"/>
  <c r="DB165" i="3" s="1"/>
  <c r="DB163" i="2"/>
  <c r="DB339" i="2"/>
  <c r="DB341" i="2"/>
  <c r="DB337" i="2"/>
  <c r="DB162" i="2"/>
  <c r="DB336" i="2"/>
  <c r="DB171" i="3"/>
  <c r="DB167" i="3" s="1"/>
  <c r="DB342" i="2"/>
  <c r="DB335" i="2"/>
  <c r="DC456" i="4"/>
  <c r="DE454" i="4"/>
  <c r="DE456" i="4" s="1"/>
  <c r="ED69" i="3"/>
  <c r="EA70" i="2"/>
  <c r="EA86" i="2" s="1"/>
  <c r="BQ727" i="4"/>
  <c r="CL645" i="4"/>
  <c r="BW810" i="4"/>
  <c r="BV816" i="4"/>
  <c r="BV811" i="4"/>
  <c r="DF65" i="4"/>
  <c r="DF55" i="4"/>
  <c r="DC31" i="2"/>
  <c r="DC341" i="2"/>
  <c r="DC163" i="2"/>
  <c r="DC339" i="2"/>
  <c r="DC169" i="3"/>
  <c r="DC165" i="3" s="1"/>
  <c r="DC150" i="2"/>
  <c r="DC333" i="2"/>
  <c r="DC334" i="2"/>
  <c r="DC340" i="2"/>
  <c r="DC165" i="2"/>
  <c r="DC170" i="3"/>
  <c r="DC166" i="3" s="1"/>
  <c r="DC176" i="3"/>
  <c r="DC179" i="3" s="1"/>
  <c r="DC337" i="2"/>
  <c r="DC336" i="2"/>
  <c r="DC342" i="2"/>
  <c r="DC171" i="3"/>
  <c r="DC167" i="3" s="1"/>
  <c r="DC335" i="2"/>
  <c r="DC162" i="2"/>
  <c r="DW578" i="4"/>
  <c r="DR578" i="4"/>
  <c r="DS578" i="4" s="1"/>
  <c r="DC436" i="4"/>
  <c r="DE435" i="4"/>
  <c r="DE436" i="4" s="1"/>
  <c r="EK190" i="2"/>
  <c r="DC466" i="4"/>
  <c r="DC486" i="4"/>
  <c r="DE465" i="4"/>
  <c r="DE466" i="4" s="1"/>
  <c r="BQ867" i="4"/>
  <c r="BR864" i="4"/>
  <c r="CA652" i="4"/>
  <c r="DW460" i="2"/>
  <c r="DV460" i="2"/>
  <c r="BR888" i="4"/>
  <c r="CQ70" i="4"/>
  <c r="CQ60" i="4"/>
  <c r="CQ51" i="4"/>
  <c r="CQ6" i="4" s="1"/>
  <c r="CS6" i="4" s="1"/>
  <c r="CS49" i="4"/>
  <c r="DF128" i="4"/>
  <c r="DH127" i="4"/>
  <c r="DH128" i="4" s="1"/>
  <c r="BS877" i="4"/>
  <c r="BR895" i="4"/>
  <c r="DB64" i="4"/>
  <c r="DB54" i="4"/>
  <c r="DK27" i="2"/>
  <c r="DH405" i="4"/>
  <c r="DH406" i="4" s="1"/>
  <c r="DF442" i="4"/>
  <c r="DF444" i="4" s="1"/>
  <c r="DH17" i="4"/>
  <c r="DF31" i="4"/>
  <c r="EN178" i="3"/>
  <c r="EO178" i="3" s="1"/>
  <c r="EM190" i="2"/>
  <c r="DD842" i="4"/>
  <c r="DC824" i="4"/>
  <c r="DC842" i="4" s="1"/>
  <c r="BV514" i="2"/>
  <c r="BU515" i="2"/>
  <c r="BO718" i="4"/>
  <c r="BO921" i="4" s="1"/>
  <c r="BO918" i="4"/>
  <c r="BQ667" i="4"/>
  <c r="BR667" i="4" s="1"/>
  <c r="BR709" i="4" s="1"/>
  <c r="DI462" i="4"/>
  <c r="BO933" i="4"/>
  <c r="BN718" i="4"/>
  <c r="BN921" i="4" s="1"/>
  <c r="BN918" i="4"/>
  <c r="DF439" i="4"/>
  <c r="DH438" i="4"/>
  <c r="DH439" i="4" s="1"/>
  <c r="BR584" i="4"/>
  <c r="BS568" i="4"/>
  <c r="DN422" i="4"/>
  <c r="DL423" i="4"/>
  <c r="ER300" i="2"/>
  <c r="ES300" i="2" s="1"/>
  <c r="BN742" i="4"/>
  <c r="BN788" i="4" s="1"/>
  <c r="BN915" i="4"/>
  <c r="DZ70" i="2"/>
  <c r="EC69" i="3"/>
  <c r="DY69" i="3"/>
  <c r="DK38" i="4"/>
  <c r="BU812" i="4"/>
  <c r="BU818" i="4" s="1"/>
  <c r="BT818" i="4"/>
  <c r="CV150" i="3"/>
  <c r="DL20" i="2"/>
  <c r="DB11" i="4"/>
  <c r="CS68" i="4"/>
  <c r="CS58" i="4"/>
  <c r="DW836" i="4"/>
  <c r="DF36" i="4"/>
  <c r="DF26" i="4"/>
  <c r="DH23" i="4"/>
  <c r="BR685" i="4"/>
  <c r="CS179" i="2"/>
  <c r="CS26" i="3"/>
  <c r="CS28" i="3" s="1"/>
  <c r="CS456" i="2"/>
  <c r="CS180" i="3"/>
  <c r="BN700" i="4"/>
  <c r="BN733" i="4"/>
  <c r="BN936" i="4"/>
  <c r="BN900" i="4"/>
  <c r="CM324" i="2"/>
  <c r="CL307" i="2"/>
  <c r="CL324" i="2" s="1"/>
  <c r="BS889" i="4"/>
  <c r="BP710" i="4"/>
  <c r="DB136" i="4"/>
  <c r="DB137" i="4" s="1"/>
  <c r="DB481" i="4" s="1"/>
  <c r="CZ137" i="4"/>
  <c r="CZ481" i="4" s="1"/>
  <c r="CZ149" i="4"/>
  <c r="DC11" i="4"/>
  <c r="DE3" i="4"/>
  <c r="DH413" i="4"/>
  <c r="DH414" i="4" s="1"/>
  <c r="DF463" i="4"/>
  <c r="DF465" i="4" s="1"/>
  <c r="CL213" i="2"/>
  <c r="CL202" i="3" s="1"/>
  <c r="CM202" i="3"/>
  <c r="BR754" i="4"/>
  <c r="BS751" i="4"/>
  <c r="DC479" i="4"/>
  <c r="DC445" i="4"/>
  <c r="DE444" i="4"/>
  <c r="DE445" i="4" s="1"/>
  <c r="BT753" i="4"/>
  <c r="BQ873" i="4"/>
  <c r="BR870" i="4"/>
  <c r="CZ46" i="4"/>
  <c r="DB489" i="4"/>
  <c r="CZ157" i="4"/>
  <c r="DB157" i="4" s="1"/>
  <c r="BP715" i="4"/>
  <c r="DH29" i="4"/>
  <c r="DK29" i="4"/>
  <c r="EA213" i="4"/>
  <c r="EA386" i="4"/>
  <c r="ED383" i="4"/>
  <c r="EA305" i="4"/>
  <c r="DE30" i="2"/>
  <c r="DE34" i="4"/>
  <c r="DE71" i="4"/>
  <c r="BS872" i="4"/>
  <c r="DG64" i="4"/>
  <c r="DG54" i="4"/>
  <c r="CJ7" i="4"/>
  <c r="CH8" i="4"/>
  <c r="CH12" i="4"/>
  <c r="DH409" i="4"/>
  <c r="DH410" i="4" s="1"/>
  <c r="DF452" i="4"/>
  <c r="DF425" i="4"/>
  <c r="DH424" i="4"/>
  <c r="CS160" i="4"/>
  <c r="CQ161" i="4"/>
  <c r="DP25" i="4"/>
  <c r="DP667" i="2"/>
  <c r="EC835" i="4"/>
  <c r="EA835" i="4" s="1"/>
  <c r="EB835" i="4" s="1"/>
  <c r="BO733" i="4"/>
  <c r="BO700" i="4"/>
  <c r="BO936" i="4"/>
  <c r="BO900" i="4"/>
  <c r="CW57" i="4"/>
  <c r="CW67" i="4"/>
  <c r="CY46" i="4"/>
  <c r="CW47" i="4"/>
  <c r="DJ469" i="4"/>
  <c r="DJ257" i="4"/>
  <c r="DJ43" i="4"/>
  <c r="BP670" i="4"/>
  <c r="BP709" i="4"/>
  <c r="DO5" i="3"/>
  <c r="DO11" i="3" s="1"/>
  <c r="DO91" i="2"/>
  <c r="DO173" i="2"/>
  <c r="DO344" i="2"/>
  <c r="DO156" i="2"/>
  <c r="DR156" i="2"/>
  <c r="DP90" i="2"/>
  <c r="AA14" i="9" s="1"/>
  <c r="DF43" i="4"/>
  <c r="DH256" i="4"/>
  <c r="DH257" i="4" s="1"/>
  <c r="DF469" i="4"/>
  <c r="DF257" i="4"/>
  <c r="CR72" i="4"/>
  <c r="CR62" i="4"/>
  <c r="CR7" i="4"/>
  <c r="CR8" i="4" s="1"/>
  <c r="BR638" i="4"/>
  <c r="BR626" i="4"/>
  <c r="DH421" i="4"/>
  <c r="DK421" i="4"/>
  <c r="DE254" i="4"/>
  <c r="DE252" i="4"/>
  <c r="DI469" i="4"/>
  <c r="DI257" i="4"/>
  <c r="DI43" i="4"/>
  <c r="DK257" i="4"/>
  <c r="DH448" i="4"/>
  <c r="DH449" i="4" s="1"/>
  <c r="DF449" i="4"/>
  <c r="DG470" i="4"/>
  <c r="CC691" i="4"/>
  <c r="DM38" i="4"/>
  <c r="CZ147" i="4"/>
  <c r="DB146" i="4"/>
  <c r="DB147" i="4" s="1"/>
  <c r="BP697" i="4"/>
  <c r="DI44" i="4"/>
  <c r="DI471" i="4"/>
  <c r="DU85" i="2"/>
  <c r="DV85" i="2" s="1"/>
  <c r="CD650" i="4"/>
  <c r="DT252" i="2"/>
  <c r="AC51" i="9" s="1"/>
  <c r="DS253" i="2"/>
  <c r="DS637" i="2" s="1"/>
  <c r="DT637" i="2"/>
  <c r="DU253" i="2"/>
  <c r="BP674" i="4"/>
  <c r="BP716" i="4" s="1"/>
  <c r="BP919" i="4" s="1"/>
  <c r="BP680" i="4"/>
  <c r="BP722" i="4" s="1"/>
  <c r="BP925" i="4" s="1"/>
  <c r="DX460" i="2"/>
  <c r="DW855" i="4"/>
  <c r="DU855" i="4" s="1"/>
  <c r="DV855" i="4" s="1"/>
  <c r="CM62" i="4"/>
  <c r="CM72" i="4"/>
  <c r="BQ638" i="4"/>
  <c r="BQ686" i="4" s="1"/>
  <c r="BQ728" i="4" s="1"/>
  <c r="BQ931" i="4" s="1"/>
  <c r="BQ626" i="4"/>
  <c r="BQ668" i="4" s="1"/>
  <c r="BQ710" i="4" s="1"/>
  <c r="DN16" i="4"/>
  <c r="DL30" i="4"/>
  <c r="DB139" i="4"/>
  <c r="DB140" i="4" s="1"/>
  <c r="CZ140" i="4"/>
  <c r="BO706" i="4"/>
  <c r="BO909" i="4" s="1"/>
  <c r="CA752" i="4"/>
  <c r="DC131" i="4"/>
  <c r="DC133" i="4"/>
  <c r="BS819" i="4"/>
  <c r="BT813" i="4"/>
  <c r="CT150" i="3"/>
  <c r="CU70" i="4"/>
  <c r="CU60" i="4"/>
  <c r="CU51" i="4"/>
  <c r="CU6" i="4" s="1"/>
  <c r="DM374" i="2"/>
  <c r="DL566" i="2"/>
  <c r="DL384" i="2"/>
  <c r="DL91" i="2"/>
  <c r="DL349" i="2"/>
  <c r="CT160" i="4"/>
  <c r="CT155" i="4"/>
  <c r="CV154" i="4"/>
  <c r="CV155" i="4" s="1"/>
  <c r="CV57" i="4"/>
  <c r="CV67" i="4"/>
  <c r="CV59" i="2"/>
  <c r="CV57" i="2" s="1"/>
  <c r="CY48" i="3"/>
  <c r="CY59" i="2" s="1"/>
  <c r="CY57" i="2" s="1"/>
  <c r="DC64" i="4"/>
  <c r="DE43" i="4"/>
  <c r="DC42" i="4"/>
  <c r="DC54" i="4"/>
  <c r="BP728" i="4"/>
  <c r="DN25" i="4"/>
  <c r="DL38" i="4"/>
  <c r="DB42" i="4"/>
  <c r="DB53" i="4" s="1"/>
  <c r="CZ53" i="4"/>
  <c r="DJ348" i="2"/>
  <c r="DK222" i="3"/>
  <c r="BP943" i="4"/>
  <c r="BP656" i="4"/>
  <c r="BP698" i="4" s="1"/>
  <c r="BP662" i="4"/>
  <c r="BP704" i="4" s="1"/>
  <c r="BP907" i="4" s="1"/>
  <c r="BR858" i="4"/>
  <c r="BQ861" i="4"/>
  <c r="BQ954" i="4"/>
  <c r="CV475" i="2"/>
  <c r="BR619" i="4"/>
  <c r="BR631" i="4"/>
  <c r="DX416" i="2"/>
  <c r="DC470" i="4"/>
  <c r="DE469" i="4"/>
  <c r="DE470" i="4" s="1"/>
  <c r="DC475" i="4"/>
  <c r="DT854" i="4"/>
  <c r="DR854" i="4" s="1"/>
  <c r="DS854" i="4" s="1"/>
  <c r="BU865" i="4"/>
  <c r="DB475" i="4"/>
  <c r="DB476" i="4" s="1"/>
  <c r="CZ476" i="4"/>
  <c r="BS866" i="4"/>
  <c r="BR876" i="4"/>
  <c r="DD53" i="4"/>
  <c r="BR860" i="4"/>
  <c r="BQ956" i="4"/>
  <c r="CX31" i="2"/>
  <c r="CX339" i="2"/>
  <c r="CX341" i="2"/>
  <c r="CX168" i="2"/>
  <c r="CX169" i="3"/>
  <c r="CX165" i="3" s="1"/>
  <c r="CX333" i="2"/>
  <c r="CX175" i="2"/>
  <c r="CX170" i="3"/>
  <c r="CX166" i="3" s="1"/>
  <c r="CX176" i="3"/>
  <c r="CY176" i="3" s="1"/>
  <c r="CY179" i="3" s="1"/>
  <c r="CX340" i="2"/>
  <c r="CX165" i="2"/>
  <c r="CX150" i="2"/>
  <c r="CX334" i="2"/>
  <c r="CX337" i="2"/>
  <c r="CX163" i="2"/>
  <c r="CX336" i="2"/>
  <c r="CX335" i="2"/>
  <c r="CX171" i="3"/>
  <c r="CX167" i="3" s="1"/>
  <c r="CX342" i="2"/>
  <c r="CX162" i="2"/>
  <c r="CX11" i="4"/>
  <c r="DF416" i="4"/>
  <c r="DF433" i="4"/>
  <c r="DF435" i="4" s="1"/>
  <c r="DH402" i="4"/>
  <c r="DH403" i="4" s="1"/>
  <c r="DF403" i="4"/>
  <c r="BU883" i="4"/>
  <c r="DH251" i="4"/>
  <c r="DF252" i="4"/>
  <c r="DU579" i="4"/>
  <c r="DV579" i="4" s="1"/>
  <c r="DZ579" i="4"/>
  <c r="BV692" i="4"/>
  <c r="BP897" i="4"/>
  <c r="BV497" i="2"/>
  <c r="BV500" i="2"/>
  <c r="BV499" i="2"/>
  <c r="BW498" i="2"/>
  <c r="BV504" i="2"/>
  <c r="CN72" i="4"/>
  <c r="CP51" i="4"/>
  <c r="CN62" i="4"/>
  <c r="DH119" i="4"/>
  <c r="DH666" i="2"/>
  <c r="DO344" i="4"/>
  <c r="DF426" i="4"/>
  <c r="DN125" i="4"/>
  <c r="DN667" i="2"/>
  <c r="BQ631" i="4"/>
  <c r="BQ619" i="4"/>
  <c r="DG56" i="4"/>
  <c r="DG66" i="4"/>
  <c r="DF400" i="4"/>
  <c r="DZ268" i="2"/>
  <c r="BR882" i="4"/>
  <c r="BO734" i="4"/>
  <c r="BO780" i="4" s="1"/>
  <c r="BO937" i="4"/>
  <c r="BO901" i="4"/>
  <c r="BP957" i="4"/>
  <c r="CC693" i="4"/>
  <c r="EC270" i="2"/>
  <c r="BO658" i="4"/>
  <c r="CK7" i="4"/>
  <c r="EF834" i="4"/>
  <c r="ED834" i="4" s="1"/>
  <c r="EE834" i="4" s="1"/>
  <c r="DN344" i="4"/>
  <c r="DN345" i="4" s="1"/>
  <c r="DL342" i="4"/>
  <c r="DL461" i="4"/>
  <c r="CY42" i="2"/>
  <c r="F23" i="9" s="1"/>
  <c r="F24" i="9" s="1"/>
  <c r="CC651" i="4"/>
  <c r="DW853" i="4"/>
  <c r="DU853" i="4" s="1"/>
  <c r="DV853" i="4" s="1"/>
  <c r="CX155" i="4"/>
  <c r="CX160" i="4"/>
  <c r="DF460" i="4"/>
  <c r="DH459" i="4"/>
  <c r="DH460" i="4" s="1"/>
  <c r="BO724" i="4"/>
  <c r="BO927" i="4" s="1"/>
  <c r="BS589" i="4"/>
  <c r="BT567" i="4"/>
  <c r="CW154" i="4"/>
  <c r="CW150" i="4"/>
  <c r="CY149" i="4"/>
  <c r="CY150" i="4" s="1"/>
  <c r="CT68" i="4"/>
  <c r="CT49" i="4"/>
  <c r="CV47" i="4"/>
  <c r="CT58" i="4"/>
  <c r="BU871" i="4"/>
  <c r="CP70" i="4"/>
  <c r="CP60" i="4"/>
  <c r="DF430" i="4"/>
  <c r="DH429" i="4"/>
  <c r="DH430" i="4" s="1"/>
  <c r="DY305" i="4"/>
  <c r="DY386" i="4"/>
  <c r="DY213" i="4"/>
  <c r="EB383" i="4"/>
  <c r="DO25" i="4"/>
  <c r="DO667" i="2"/>
  <c r="DO125" i="4"/>
  <c r="CE644" i="4"/>
  <c r="CC649" i="4"/>
  <c r="ES84" i="4" l="1"/>
  <c r="ER85" i="4"/>
  <c r="ES88" i="4"/>
  <c r="ET87" i="4"/>
  <c r="CX58" i="4"/>
  <c r="CX68" i="4"/>
  <c r="DA155" i="4"/>
  <c r="DA150" i="4"/>
  <c r="DA67" i="4"/>
  <c r="DB5" i="4"/>
  <c r="EZ225" i="4"/>
  <c r="EZ317" i="4"/>
  <c r="EZ395" i="4"/>
  <c r="EY317" i="4"/>
  <c r="EY225" i="4"/>
  <c r="EY395" i="4"/>
  <c r="FA125" i="3"/>
  <c r="FA78" i="2" s="1"/>
  <c r="FA131" i="3"/>
  <c r="EY132" i="3"/>
  <c r="DG134" i="4"/>
  <c r="CX161" i="4"/>
  <c r="DA161" i="4"/>
  <c r="DD134" i="4"/>
  <c r="DV266" i="2"/>
  <c r="CO305" i="2"/>
  <c r="CO634" i="2" s="1"/>
  <c r="CO636" i="2" s="1"/>
  <c r="CO639" i="2" s="1"/>
  <c r="CO642" i="2" s="1"/>
  <c r="DG65" i="4"/>
  <c r="DB134" i="4"/>
  <c r="CP634" i="2"/>
  <c r="CP636" i="2" s="1"/>
  <c r="CP639" i="2" s="1"/>
  <c r="CP642" i="2" s="1"/>
  <c r="J61" i="9"/>
  <c r="G25" i="9"/>
  <c r="DA47" i="4"/>
  <c r="DA68" i="4" s="1"/>
  <c r="I64" i="9"/>
  <c r="I65" i="9" s="1"/>
  <c r="K62" i="9"/>
  <c r="J55" i="9"/>
  <c r="DG55" i="4"/>
  <c r="DG42" i="4"/>
  <c r="DG53" i="4" s="1"/>
  <c r="CZ77" i="2"/>
  <c r="DB77" i="2" s="1"/>
  <c r="CX77" i="2"/>
  <c r="CN152" i="2"/>
  <c r="CN617" i="2"/>
  <c r="CN622" i="2" s="1"/>
  <c r="CN644" i="2" s="1"/>
  <c r="CN346" i="2" s="1"/>
  <c r="CN170" i="2"/>
  <c r="CN159" i="2"/>
  <c r="CN61" i="2"/>
  <c r="CM158" i="2"/>
  <c r="CM53" i="2"/>
  <c r="CM43" i="2" s="1"/>
  <c r="CM476" i="2" s="1"/>
  <c r="CM477" i="2" s="1"/>
  <c r="CM151" i="2"/>
  <c r="CM180" i="2"/>
  <c r="CM56" i="2"/>
  <c r="CU269" i="2"/>
  <c r="CU64" i="3" s="1"/>
  <c r="CU66" i="3" s="1"/>
  <c r="CV64" i="3"/>
  <c r="CV287" i="2"/>
  <c r="EH375" i="4"/>
  <c r="EE203" i="4"/>
  <c r="EE204" i="4" s="1"/>
  <c r="EE295" i="4"/>
  <c r="EE296" i="4" s="1"/>
  <c r="CL170" i="2"/>
  <c r="CL152" i="2"/>
  <c r="CL617" i="2"/>
  <c r="CL622" i="2" s="1"/>
  <c r="CL644" i="2" s="1"/>
  <c r="CL346" i="2" s="1"/>
  <c r="CL159" i="2"/>
  <c r="CL61" i="2"/>
  <c r="CJ483" i="2"/>
  <c r="CJ484" i="2" s="1"/>
  <c r="CY271" i="2"/>
  <c r="CW269" i="2"/>
  <c r="J13" i="9"/>
  <c r="DC175" i="2"/>
  <c r="CS161" i="4"/>
  <c r="DZ19" i="4"/>
  <c r="DZ33" i="4" s="1"/>
  <c r="DI186" i="2"/>
  <c r="EA33" i="4"/>
  <c r="EB19" i="4"/>
  <c r="EB33" i="4" s="1"/>
  <c r="ED19" i="4"/>
  <c r="DL280" i="2"/>
  <c r="DJ280" i="2"/>
  <c r="DK276" i="2"/>
  <c r="DZ149" i="3"/>
  <c r="DY455" i="2"/>
  <c r="DG475" i="4"/>
  <c r="DG476" i="4" s="1"/>
  <c r="DH471" i="4"/>
  <c r="DH472" i="4" s="1"/>
  <c r="BN140" i="2"/>
  <c r="BN141" i="2" s="1"/>
  <c r="BO141" i="2"/>
  <c r="BN91" i="2"/>
  <c r="BO221" i="2"/>
  <c r="BN349" i="2"/>
  <c r="BO225" i="3"/>
  <c r="BP385" i="2"/>
  <c r="BP396" i="2"/>
  <c r="BP485" i="2" s="1"/>
  <c r="BN385" i="2"/>
  <c r="BN396" i="2"/>
  <c r="BN485" i="2" s="1"/>
  <c r="BR396" i="2"/>
  <c r="BR485" i="2" s="1"/>
  <c r="BR385" i="2"/>
  <c r="EM145" i="2"/>
  <c r="EL145" i="2"/>
  <c r="EK145" i="2" s="1"/>
  <c r="BM225" i="3"/>
  <c r="BM221" i="2"/>
  <c r="BM222" i="2" s="1"/>
  <c r="CM414" i="2"/>
  <c r="CK415" i="2"/>
  <c r="EU395" i="4"/>
  <c r="DA138" i="2"/>
  <c r="DB139" i="2"/>
  <c r="DC138" i="2"/>
  <c r="CX140" i="2"/>
  <c r="CX141" i="2" s="1"/>
  <c r="CY141" i="2"/>
  <c r="CZ142" i="2"/>
  <c r="CZ143" i="2" s="1"/>
  <c r="CZ146" i="2" s="1"/>
  <c r="DA142" i="2" s="1"/>
  <c r="DB142" i="2"/>
  <c r="CV292" i="2"/>
  <c r="CT290" i="2"/>
  <c r="CQ330" i="2"/>
  <c r="CQ235" i="3"/>
  <c r="CS328" i="2"/>
  <c r="CS120" i="3"/>
  <c r="CR290" i="2"/>
  <c r="CS327" i="2"/>
  <c r="CS513" i="2"/>
  <c r="CS304" i="2"/>
  <c r="CS329" i="2"/>
  <c r="CS640" i="2"/>
  <c r="CO330" i="2"/>
  <c r="CO235" i="3"/>
  <c r="T61" i="9"/>
  <c r="T60" i="9" s="1"/>
  <c r="CQ307" i="2"/>
  <c r="CQ324" i="2" s="1"/>
  <c r="CQ634" i="2"/>
  <c r="CQ636" i="2" s="1"/>
  <c r="CQ639" i="2" s="1"/>
  <c r="CQ642" i="2" s="1"/>
  <c r="DD149" i="4"/>
  <c r="DD150" i="4" s="1"/>
  <c r="E26" i="9"/>
  <c r="U25" i="9" s="1"/>
  <c r="F26" i="9"/>
  <c r="V25" i="9" s="1"/>
  <c r="EU317" i="4"/>
  <c r="ES318" i="4"/>
  <c r="ES320" i="4"/>
  <c r="ES321" i="4" s="1"/>
  <c r="EW317" i="4"/>
  <c r="EW225" i="4"/>
  <c r="EW395" i="4"/>
  <c r="EW257" i="2"/>
  <c r="EX255" i="2"/>
  <c r="ET318" i="4"/>
  <c r="ET320" i="4"/>
  <c r="EU300" i="2"/>
  <c r="EV225" i="4"/>
  <c r="EV395" i="4"/>
  <c r="EV317" i="4"/>
  <c r="EU225" i="4"/>
  <c r="ES226" i="4"/>
  <c r="ES228" i="4"/>
  <c r="EW212" i="2"/>
  <c r="ET228" i="4"/>
  <c r="ET229" i="4" s="1"/>
  <c r="ET226" i="4"/>
  <c r="DB215" i="3"/>
  <c r="DA217" i="3"/>
  <c r="DA215" i="3" s="1"/>
  <c r="DC217" i="3"/>
  <c r="DE140" i="4"/>
  <c r="BJ14" i="2"/>
  <c r="BJ11" i="2"/>
  <c r="BK411" i="2"/>
  <c r="BH14" i="2"/>
  <c r="BH11" i="2"/>
  <c r="BJ20" i="2"/>
  <c r="BK409" i="2"/>
  <c r="BK397" i="2" s="1"/>
  <c r="BL397" i="2"/>
  <c r="BL25" i="2" s="1"/>
  <c r="BH20" i="2"/>
  <c r="BI400" i="2"/>
  <c r="BK410" i="2"/>
  <c r="BI14" i="2"/>
  <c r="BI11" i="2"/>
  <c r="BJ472" i="2"/>
  <c r="BO441" i="2"/>
  <c r="BM410" i="2"/>
  <c r="BM409" i="2"/>
  <c r="BM397" i="2" s="1"/>
  <c r="BM411" i="2"/>
  <c r="DC5" i="4"/>
  <c r="DE5" i="4" s="1"/>
  <c r="DE65" i="4"/>
  <c r="DM423" i="4"/>
  <c r="DP421" i="4"/>
  <c r="DP423" i="4"/>
  <c r="DN421" i="4"/>
  <c r="DH425" i="4"/>
  <c r="BQ620" i="4"/>
  <c r="BQ622" i="4" s="1"/>
  <c r="BQ664" i="4" s="1"/>
  <c r="DO422" i="4"/>
  <c r="DQ422" i="4" s="1"/>
  <c r="DO263" i="4"/>
  <c r="BQ586" i="4"/>
  <c r="DQ263" i="4"/>
  <c r="BS570" i="4"/>
  <c r="DN823" i="4"/>
  <c r="DJ823" i="4"/>
  <c r="DK841" i="4"/>
  <c r="DF823" i="4"/>
  <c r="DF841" i="4" s="1"/>
  <c r="DG841" i="4"/>
  <c r="DF71" i="4"/>
  <c r="BP730" i="4"/>
  <c r="BP933" i="4" s="1"/>
  <c r="DF30" i="2"/>
  <c r="EG837" i="4"/>
  <c r="EH837" i="4" s="1"/>
  <c r="DF34" i="4"/>
  <c r="DH20" i="4"/>
  <c r="DH34" i="4" s="1"/>
  <c r="DD157" i="4"/>
  <c r="DW852" i="4"/>
  <c r="DR852" i="4"/>
  <c r="DS852" i="4" s="1"/>
  <c r="EL229" i="4"/>
  <c r="EQ320" i="4"/>
  <c r="EQ318" i="4"/>
  <c r="EQ228" i="4"/>
  <c r="EQ226" i="4"/>
  <c r="EN321" i="4"/>
  <c r="EN229" i="4"/>
  <c r="ER395" i="4"/>
  <c r="EM229" i="4"/>
  <c r="EO228" i="4"/>
  <c r="EL321" i="4"/>
  <c r="EO320" i="4"/>
  <c r="EM321" i="4"/>
  <c r="EP320" i="4"/>
  <c r="ER317" i="4"/>
  <c r="ER318" i="4" s="1"/>
  <c r="EP318" i="4"/>
  <c r="EP228" i="4"/>
  <c r="ER225" i="4"/>
  <c r="ER226" i="4" s="1"/>
  <c r="EP226" i="4"/>
  <c r="BR686" i="4"/>
  <c r="EP82" i="4"/>
  <c r="EQ81" i="4"/>
  <c r="DN459" i="4"/>
  <c r="DN460" i="4" s="1"/>
  <c r="DQ420" i="4"/>
  <c r="DM828" i="4"/>
  <c r="DM829" i="4" s="1"/>
  <c r="DM830" i="4" s="1"/>
  <c r="DM831" i="4" s="1"/>
  <c r="DM840" i="4"/>
  <c r="DM846" i="4" s="1"/>
  <c r="DM847" i="4" s="1"/>
  <c r="DM848" i="4" s="1"/>
  <c r="DM849" i="4" s="1"/>
  <c r="DL822" i="4"/>
  <c r="DQ840" i="4"/>
  <c r="DQ846" i="4" s="1"/>
  <c r="DQ847" i="4" s="1"/>
  <c r="DQ848" i="4" s="1"/>
  <c r="DQ849" i="4" s="1"/>
  <c r="DT822" i="4"/>
  <c r="DP822" i="4"/>
  <c r="DQ828" i="4"/>
  <c r="DQ829" i="4" s="1"/>
  <c r="DQ830" i="4" s="1"/>
  <c r="DQ831" i="4" s="1"/>
  <c r="ED837" i="4"/>
  <c r="EE837" i="4" s="1"/>
  <c r="DI840" i="4"/>
  <c r="DI846" i="4" s="1"/>
  <c r="DI847" i="4" s="1"/>
  <c r="DI848" i="4" s="1"/>
  <c r="DI849" i="4" s="1"/>
  <c r="DI828" i="4"/>
  <c r="DI829" i="4" s="1"/>
  <c r="DI830" i="4" s="1"/>
  <c r="DI831" i="4" s="1"/>
  <c r="BQ741" i="4"/>
  <c r="BQ787" i="4" s="1"/>
  <c r="BQ950" i="4"/>
  <c r="BQ914" i="4"/>
  <c r="BR729" i="4"/>
  <c r="DA838" i="4"/>
  <c r="CZ825" i="4"/>
  <c r="DA843" i="4"/>
  <c r="DA856" i="4" s="1"/>
  <c r="CW843" i="4"/>
  <c r="CW856" i="4" s="1"/>
  <c r="CW838" i="4"/>
  <c r="BQ944" i="4"/>
  <c r="BQ657" i="4"/>
  <c r="BQ699" i="4" s="1"/>
  <c r="BQ663" i="4"/>
  <c r="BQ705" i="4" s="1"/>
  <c r="BQ908" i="4" s="1"/>
  <c r="DE843" i="4"/>
  <c r="DE856" i="4" s="1"/>
  <c r="DH825" i="4"/>
  <c r="DE838" i="4"/>
  <c r="DD825" i="4"/>
  <c r="BP944" i="4"/>
  <c r="BP945" i="4" s="1"/>
  <c r="BP657" i="4"/>
  <c r="BP699" i="4" s="1"/>
  <c r="BP700" i="4" s="1"/>
  <c r="BP663" i="4"/>
  <c r="BP705" i="4" s="1"/>
  <c r="BS591" i="4"/>
  <c r="BS585" i="4" s="1"/>
  <c r="BT569" i="4"/>
  <c r="BP622" i="4"/>
  <c r="BP664" i="4" s="1"/>
  <c r="BQ675" i="4"/>
  <c r="BQ717" i="4" s="1"/>
  <c r="BQ920" i="4" s="1"/>
  <c r="BQ681" i="4"/>
  <c r="BQ723" i="4" s="1"/>
  <c r="BQ926" i="4" s="1"/>
  <c r="BR669" i="4"/>
  <c r="BR711" i="4" s="1"/>
  <c r="BR627" i="4"/>
  <c r="BR628" i="4" s="1"/>
  <c r="BR639" i="4"/>
  <c r="BP675" i="4"/>
  <c r="BP717" i="4" s="1"/>
  <c r="BP920" i="4" s="1"/>
  <c r="BP681" i="4"/>
  <c r="BP723" i="4" s="1"/>
  <c r="BP926" i="4" s="1"/>
  <c r="BP634" i="4"/>
  <c r="BP682" i="4" s="1"/>
  <c r="BR585" i="4"/>
  <c r="BR687" i="4"/>
  <c r="BP950" i="4"/>
  <c r="BP741" i="4"/>
  <c r="BP787" i="4" s="1"/>
  <c r="BP914" i="4"/>
  <c r="DT171" i="4"/>
  <c r="DM668" i="2"/>
  <c r="DO97" i="4"/>
  <c r="DO668" i="2"/>
  <c r="DL97" i="4"/>
  <c r="DL668" i="2"/>
  <c r="DK797" i="4"/>
  <c r="DS16" i="4"/>
  <c r="DS422" i="4"/>
  <c r="DS344" i="4"/>
  <c r="DS263" i="4"/>
  <c r="DL44" i="4"/>
  <c r="BQ730" i="4"/>
  <c r="BQ933" i="4" s="1"/>
  <c r="DJ30" i="4"/>
  <c r="DK16" i="4"/>
  <c r="DR421" i="4"/>
  <c r="BR878" i="4"/>
  <c r="BR879" i="4" s="1"/>
  <c r="DP29" i="4"/>
  <c r="DP30" i="4"/>
  <c r="DR29" i="4"/>
  <c r="DS15" i="4"/>
  <c r="DT15" i="4" s="1"/>
  <c r="DS420" i="4"/>
  <c r="DS171" i="4"/>
  <c r="DS253" i="4"/>
  <c r="DT253" i="4" s="1"/>
  <c r="DQ253" i="4"/>
  <c r="DP459" i="4"/>
  <c r="DP251" i="4"/>
  <c r="DP461" i="4"/>
  <c r="DP462" i="4" s="1"/>
  <c r="DP342" i="4"/>
  <c r="DR251" i="4"/>
  <c r="DR459" i="4"/>
  <c r="DZ273" i="2"/>
  <c r="BS955" i="4"/>
  <c r="BT859" i="4"/>
  <c r="DJ423" i="4"/>
  <c r="DK422" i="4"/>
  <c r="BQ932" i="4"/>
  <c r="BR890" i="4"/>
  <c r="BR891" i="4" s="1"/>
  <c r="BQ896" i="4"/>
  <c r="EO504" i="4"/>
  <c r="EO505" i="4"/>
  <c r="DJ342" i="4"/>
  <c r="DJ461" i="4"/>
  <c r="DK344" i="4"/>
  <c r="DK345" i="4" s="1"/>
  <c r="DQ15" i="4"/>
  <c r="DN251" i="4"/>
  <c r="DH798" i="4"/>
  <c r="DH800" i="4"/>
  <c r="DK263" i="4"/>
  <c r="BR884" i="4"/>
  <c r="BR885" i="4" s="1"/>
  <c r="DZ580" i="4"/>
  <c r="DU580" i="4"/>
  <c r="DV580" i="4" s="1"/>
  <c r="DH444" i="4"/>
  <c r="DH445" i="4" s="1"/>
  <c r="DF479" i="4"/>
  <c r="DF445" i="4"/>
  <c r="CN7" i="4"/>
  <c r="BS876" i="4"/>
  <c r="BR954" i="4"/>
  <c r="BR861" i="4"/>
  <c r="BS858" i="4"/>
  <c r="DC53" i="4"/>
  <c r="DE42" i="4"/>
  <c r="DE53" i="4" s="1"/>
  <c r="CU62" i="4"/>
  <c r="CU72" i="4"/>
  <c r="CU7" i="4"/>
  <c r="CU8" i="4" s="1"/>
  <c r="DI54" i="4"/>
  <c r="DI64" i="4"/>
  <c r="DK43" i="4"/>
  <c r="DF824" i="4"/>
  <c r="DF842" i="4" s="1"/>
  <c r="DG842" i="4"/>
  <c r="CF644" i="4"/>
  <c r="EO837" i="4"/>
  <c r="EM837" i="4" s="1"/>
  <c r="EN837" i="4" s="1"/>
  <c r="DZ416" i="2"/>
  <c r="DJ22" i="2"/>
  <c r="W18" i="9" s="1"/>
  <c r="DK348" i="2"/>
  <c r="DK352" i="2"/>
  <c r="DK24" i="2" s="1"/>
  <c r="DC134" i="4"/>
  <c r="DE133" i="4"/>
  <c r="BQ949" i="4"/>
  <c r="BQ740" i="4"/>
  <c r="BQ786" i="4" s="1"/>
  <c r="BQ913" i="4"/>
  <c r="DZ460" i="2"/>
  <c r="DY70" i="2"/>
  <c r="DY460" i="2" s="1"/>
  <c r="BT877" i="4"/>
  <c r="BS895" i="4"/>
  <c r="DH65" i="4"/>
  <c r="DH55" i="4"/>
  <c r="DA339" i="2"/>
  <c r="DA170" i="3"/>
  <c r="DA166" i="3" s="1"/>
  <c r="DA340" i="2"/>
  <c r="DA175" i="2"/>
  <c r="DA341" i="2"/>
  <c r="DA165" i="2"/>
  <c r="DA169" i="3"/>
  <c r="DA165" i="3" s="1"/>
  <c r="DA31" i="2"/>
  <c r="DA150" i="2"/>
  <c r="DA334" i="2"/>
  <c r="DA333" i="2"/>
  <c r="DA168" i="2"/>
  <c r="DA176" i="3"/>
  <c r="DB176" i="3" s="1"/>
  <c r="DB179" i="3" s="1"/>
  <c r="DA163" i="2"/>
  <c r="DA337" i="2"/>
  <c r="DA336" i="2"/>
  <c r="DA171" i="3"/>
  <c r="DA167" i="3" s="1"/>
  <c r="DA342" i="2"/>
  <c r="DA335" i="2"/>
  <c r="DA162" i="2"/>
  <c r="DA11" i="4"/>
  <c r="DH435" i="4"/>
  <c r="DF436" i="4"/>
  <c r="DH465" i="4"/>
  <c r="DF486" i="4"/>
  <c r="DF466" i="4"/>
  <c r="DZ853" i="4"/>
  <c r="DX853" i="4" s="1"/>
  <c r="DY853" i="4" s="1"/>
  <c r="CY475" i="2"/>
  <c r="DL462" i="4"/>
  <c r="DN461" i="4"/>
  <c r="DN462" i="4" s="1"/>
  <c r="BS882" i="4"/>
  <c r="DH400" i="4"/>
  <c r="DH130" i="4" s="1"/>
  <c r="DF130" i="4"/>
  <c r="BW692" i="4"/>
  <c r="BT866" i="4"/>
  <c r="BV865" i="4"/>
  <c r="BR942" i="4"/>
  <c r="BR655" i="4"/>
  <c r="BR661" i="4"/>
  <c r="BR703" i="4" s="1"/>
  <c r="BR906" i="4" s="1"/>
  <c r="DR16" i="4"/>
  <c r="DR422" i="4"/>
  <c r="DR344" i="4"/>
  <c r="DR263" i="4"/>
  <c r="DT263" i="4"/>
  <c r="BQ957" i="4"/>
  <c r="CY456" i="2"/>
  <c r="CY179" i="2"/>
  <c r="CY26" i="3"/>
  <c r="CY28" i="3" s="1"/>
  <c r="CY180" i="3"/>
  <c r="DL221" i="2"/>
  <c r="DL222" i="2" s="1"/>
  <c r="DL225" i="3"/>
  <c r="CB752" i="4"/>
  <c r="DY85" i="2"/>
  <c r="DY86" i="2"/>
  <c r="DS252" i="2"/>
  <c r="BP712" i="4"/>
  <c r="BP739" i="4"/>
  <c r="BP785" i="4" s="1"/>
  <c r="BP948" i="4"/>
  <c r="BP912" i="4"/>
  <c r="DJ470" i="4"/>
  <c r="CY57" i="4"/>
  <c r="CY67" i="4"/>
  <c r="BO939" i="4"/>
  <c r="BO903" i="4"/>
  <c r="ED386" i="4"/>
  <c r="ED213" i="4"/>
  <c r="EG383" i="4"/>
  <c r="ED305" i="4"/>
  <c r="BP918" i="4"/>
  <c r="CZ67" i="4"/>
  <c r="CZ57" i="4"/>
  <c r="DB46" i="4"/>
  <c r="CZ47" i="4"/>
  <c r="CX51" i="4"/>
  <c r="CX6" i="4" s="1"/>
  <c r="CX70" i="4"/>
  <c r="CX60" i="4"/>
  <c r="DE11" i="4"/>
  <c r="DB149" i="4"/>
  <c r="DB150" i="4" s="1"/>
  <c r="CZ150" i="4"/>
  <c r="CZ154" i="4"/>
  <c r="BP949" i="4"/>
  <c r="BP740" i="4"/>
  <c r="BP786" i="4" s="1"/>
  <c r="BP913" i="4"/>
  <c r="BN736" i="4"/>
  <c r="BN782" i="4" s="1"/>
  <c r="BN779" i="4"/>
  <c r="EQ300" i="2"/>
  <c r="BQ628" i="4"/>
  <c r="CS70" i="4"/>
  <c r="CS60" i="4"/>
  <c r="BQ930" i="4"/>
  <c r="BX810" i="4"/>
  <c r="BW816" i="4"/>
  <c r="BQ688" i="4"/>
  <c r="DQ25" i="4"/>
  <c r="DQ38" i="4" s="1"/>
  <c r="DO38" i="4"/>
  <c r="CT60" i="4"/>
  <c r="CT51" i="4"/>
  <c r="CT6" i="4" s="1"/>
  <c r="CV6" i="4" s="1"/>
  <c r="CV49" i="4"/>
  <c r="CT70" i="4"/>
  <c r="BS637" i="4"/>
  <c r="BS685" i="4" s="1"/>
  <c r="BS625" i="4"/>
  <c r="BQ942" i="4"/>
  <c r="BQ655" i="4"/>
  <c r="BQ661" i="4"/>
  <c r="BQ703" i="4" s="1"/>
  <c r="DM469" i="4"/>
  <c r="DM257" i="4"/>
  <c r="DM43" i="4"/>
  <c r="DY215" i="4"/>
  <c r="DY214" i="4"/>
  <c r="ED270" i="2"/>
  <c r="EB270" i="2"/>
  <c r="BQ897" i="4"/>
  <c r="BR673" i="4"/>
  <c r="BR679" i="4"/>
  <c r="BR721" i="4" s="1"/>
  <c r="BR924" i="4" s="1"/>
  <c r="DZ253" i="2"/>
  <c r="AD51" i="9"/>
  <c r="DW637" i="2"/>
  <c r="DV637" i="2"/>
  <c r="CE650" i="4"/>
  <c r="CW58" i="4"/>
  <c r="CW68" i="4"/>
  <c r="CY47" i="4"/>
  <c r="CW49" i="4"/>
  <c r="EF835" i="4"/>
  <c r="ED835" i="4" s="1"/>
  <c r="EE835" i="4" s="1"/>
  <c r="EA307" i="4"/>
  <c r="EA306" i="4"/>
  <c r="BR668" i="4"/>
  <c r="BR710" i="4" s="1"/>
  <c r="DZ836" i="4"/>
  <c r="DX836" i="4" s="1"/>
  <c r="DY836" i="4" s="1"/>
  <c r="EP178" i="3"/>
  <c r="EO190" i="2"/>
  <c r="BS864" i="4"/>
  <c r="DY307" i="4"/>
  <c r="DY306" i="4"/>
  <c r="CV58" i="4"/>
  <c r="CV68" i="4"/>
  <c r="BU567" i="4"/>
  <c r="BT589" i="4"/>
  <c r="BU589" i="4" s="1"/>
  <c r="DN342" i="4"/>
  <c r="EI834" i="4"/>
  <c r="CD693" i="4"/>
  <c r="BW500" i="2"/>
  <c r="BX498" i="2"/>
  <c r="BW504" i="2"/>
  <c r="BW499" i="2"/>
  <c r="BW497" i="2"/>
  <c r="DX579" i="4"/>
  <c r="DY579" i="4" s="1"/>
  <c r="EC579" i="4"/>
  <c r="DH433" i="4"/>
  <c r="DH434" i="4" s="1"/>
  <c r="DF434" i="4"/>
  <c r="DW854" i="4"/>
  <c r="DU854" i="4" s="1"/>
  <c r="DV854" i="4" s="1"/>
  <c r="DC476" i="4"/>
  <c r="DE475" i="4"/>
  <c r="DE476" i="4" s="1"/>
  <c r="DR125" i="4"/>
  <c r="DR25" i="4"/>
  <c r="DR667" i="2"/>
  <c r="BR728" i="4"/>
  <c r="BR931" i="4" s="1"/>
  <c r="BP931" i="4"/>
  <c r="CV179" i="2"/>
  <c r="CV180" i="3"/>
  <c r="CV26" i="3"/>
  <c r="CV28" i="3" s="1"/>
  <c r="CV456" i="2"/>
  <c r="CT152" i="3"/>
  <c r="CU150" i="3" s="1"/>
  <c r="CD691" i="4"/>
  <c r="DH469" i="4"/>
  <c r="DH470" i="4" s="1"/>
  <c r="DF470" i="4"/>
  <c r="BO736" i="4"/>
  <c r="BO782" i="4" s="1"/>
  <c r="BO779" i="4"/>
  <c r="CJ12" i="4"/>
  <c r="CJ8" i="4"/>
  <c r="BT872" i="4"/>
  <c r="BT751" i="4"/>
  <c r="BS754" i="4"/>
  <c r="BN939" i="4"/>
  <c r="BN903" i="4"/>
  <c r="DH36" i="4"/>
  <c r="DM471" i="4"/>
  <c r="DM472" i="4" s="1"/>
  <c r="DM44" i="4"/>
  <c r="BQ709" i="4"/>
  <c r="BQ670" i="4"/>
  <c r="BR670" i="4" s="1"/>
  <c r="BV515" i="2"/>
  <c r="BW514" i="2"/>
  <c r="CQ62" i="4"/>
  <c r="CQ72" i="4"/>
  <c r="CS51" i="4"/>
  <c r="BR867" i="4"/>
  <c r="DE486" i="4"/>
  <c r="DE487" i="4" s="1"/>
  <c r="DC487" i="4"/>
  <c r="DC146" i="4"/>
  <c r="DC168" i="2"/>
  <c r="CM645" i="4"/>
  <c r="EA85" i="2"/>
  <c r="EB85" i="2" s="1"/>
  <c r="EB86" i="2"/>
  <c r="CW155" i="4"/>
  <c r="CW160" i="4"/>
  <c r="CY154" i="4"/>
  <c r="CY155" i="4" s="1"/>
  <c r="CK8" i="4"/>
  <c r="CM7" i="4"/>
  <c r="CK12" i="4"/>
  <c r="DF473" i="4"/>
  <c r="DF475" i="4" s="1"/>
  <c r="DF417" i="4"/>
  <c r="DF45" i="4"/>
  <c r="DF42" i="4" s="1"/>
  <c r="DH416" i="4"/>
  <c r="DH417" i="4" s="1"/>
  <c r="DD57" i="4"/>
  <c r="DD47" i="4"/>
  <c r="BS870" i="4"/>
  <c r="BR873" i="4"/>
  <c r="BR912" i="4"/>
  <c r="BU753" i="4"/>
  <c r="DQ125" i="4"/>
  <c r="DQ667" i="2"/>
  <c r="CT161" i="4"/>
  <c r="CV160" i="4"/>
  <c r="DI472" i="4"/>
  <c r="DH43" i="4"/>
  <c r="DF64" i="4"/>
  <c r="DF54" i="4"/>
  <c r="DB42" i="2"/>
  <c r="G23" i="9" s="1"/>
  <c r="DU252" i="2"/>
  <c r="DU637" i="2"/>
  <c r="BP733" i="4"/>
  <c r="BP936" i="4"/>
  <c r="BP900" i="4"/>
  <c r="DP344" i="2"/>
  <c r="DP173" i="2"/>
  <c r="DP156" i="2"/>
  <c r="DP5" i="3"/>
  <c r="DP11" i="3" s="1"/>
  <c r="DR173" i="2"/>
  <c r="DE33" i="2"/>
  <c r="DE150" i="2"/>
  <c r="DE341" i="2"/>
  <c r="DE340" i="2"/>
  <c r="DE31" i="2"/>
  <c r="DE334" i="2"/>
  <c r="DD30" i="2"/>
  <c r="DE163" i="2"/>
  <c r="DE169" i="3"/>
  <c r="DE165" i="3" s="1"/>
  <c r="DE333" i="2"/>
  <c r="DE337" i="2"/>
  <c r="DE165" i="2"/>
  <c r="DE339" i="2"/>
  <c r="DE170" i="3"/>
  <c r="DE166" i="3" s="1"/>
  <c r="DE162" i="2"/>
  <c r="DE147" i="2"/>
  <c r="DE336" i="2"/>
  <c r="DE335" i="2"/>
  <c r="DE171" i="3"/>
  <c r="DE167" i="3" s="1"/>
  <c r="DE342" i="2"/>
  <c r="EA215" i="4"/>
  <c r="EA214" i="4"/>
  <c r="DS25" i="4"/>
  <c r="DV38" i="4" s="1"/>
  <c r="DS125" i="4"/>
  <c r="DS667" i="2"/>
  <c r="DF39" i="4"/>
  <c r="DH26" i="4"/>
  <c r="DH39" i="4" s="1"/>
  <c r="CV152" i="3"/>
  <c r="BT568" i="4"/>
  <c r="BS590" i="4"/>
  <c r="DH31" i="4"/>
  <c r="EG69" i="3"/>
  <c r="ED70" i="2"/>
  <c r="ED86" i="2" s="1"/>
  <c r="CD649" i="4"/>
  <c r="BS583" i="4"/>
  <c r="CD651" i="4"/>
  <c r="BQ673" i="4"/>
  <c r="BQ634" i="4"/>
  <c r="BQ682" i="4" s="1"/>
  <c r="BQ679" i="4"/>
  <c r="BQ721" i="4" s="1"/>
  <c r="DQ344" i="4"/>
  <c r="DQ345" i="4" s="1"/>
  <c r="DO461" i="4"/>
  <c r="DO342" i="4"/>
  <c r="DE54" i="4"/>
  <c r="DE64" i="4"/>
  <c r="BT819" i="4"/>
  <c r="BU813" i="4"/>
  <c r="BU819" i="4" s="1"/>
  <c r="DP38" i="4"/>
  <c r="DF453" i="4"/>
  <c r="DH452" i="4"/>
  <c r="DH453" i="4" s="1"/>
  <c r="DC489" i="4"/>
  <c r="DE479" i="4"/>
  <c r="DE480" i="4" s="1"/>
  <c r="DC480" i="4"/>
  <c r="DC136" i="4"/>
  <c r="BR894" i="4"/>
  <c r="BR632" i="4"/>
  <c r="BR620" i="4"/>
  <c r="DF443" i="4"/>
  <c r="DH442" i="4"/>
  <c r="DH443" i="4" s="1"/>
  <c r="CB652" i="4"/>
  <c r="EB386" i="4"/>
  <c r="EB213" i="4"/>
  <c r="EB305" i="4"/>
  <c r="EE383" i="4"/>
  <c r="BR727" i="4"/>
  <c r="BR948" i="4" s="1"/>
  <c r="BV871" i="4"/>
  <c r="EA268" i="2"/>
  <c r="EC268" i="2" s="1"/>
  <c r="DY268" i="2"/>
  <c r="DH3" i="4"/>
  <c r="DH426" i="4"/>
  <c r="DF427" i="4"/>
  <c r="DQ16" i="4"/>
  <c r="DO30" i="4"/>
  <c r="CP62" i="4"/>
  <c r="CP72" i="4"/>
  <c r="DH252" i="4"/>
  <c r="DH254" i="4"/>
  <c r="EJ837" i="4"/>
  <c r="EK837" i="4" s="1"/>
  <c r="BS860" i="4"/>
  <c r="BR956" i="4"/>
  <c r="BP734" i="4"/>
  <c r="BP780" i="4" s="1"/>
  <c r="BP937" i="4"/>
  <c r="BP901" i="4"/>
  <c r="DN38" i="4"/>
  <c r="DM383" i="2"/>
  <c r="DM400" i="2" s="1"/>
  <c r="Y17" i="9" s="1"/>
  <c r="DZ855" i="4"/>
  <c r="DX855" i="4" s="1"/>
  <c r="DY855" i="4" s="1"/>
  <c r="DI55" i="4"/>
  <c r="DI65" i="4"/>
  <c r="DF454" i="4"/>
  <c r="DK469" i="4"/>
  <c r="DK470" i="4" s="1"/>
  <c r="DI470" i="4"/>
  <c r="DJ64" i="4"/>
  <c r="DJ54" i="4"/>
  <c r="BQ674" i="4"/>
  <c r="BQ716" i="4" s="1"/>
  <c r="BQ919" i="4" s="1"/>
  <c r="BQ680" i="4"/>
  <c r="BQ722" i="4" s="1"/>
  <c r="BQ925" i="4" s="1"/>
  <c r="DH463" i="4"/>
  <c r="DH464" i="4" s="1"/>
  <c r="DF464" i="4"/>
  <c r="BT889" i="4"/>
  <c r="DU836" i="4"/>
  <c r="DV836" i="4" s="1"/>
  <c r="CP324" i="2"/>
  <c r="CO307" i="2"/>
  <c r="CO324" i="2" s="1"/>
  <c r="EF69" i="3"/>
  <c r="EC70" i="2"/>
  <c r="EB70" i="2" s="1"/>
  <c r="EB69" i="3"/>
  <c r="DN257" i="4"/>
  <c r="DL43" i="4"/>
  <c r="DL469" i="4"/>
  <c r="DL257" i="4"/>
  <c r="BS888" i="4"/>
  <c r="DZ578" i="4"/>
  <c r="DU578" i="4"/>
  <c r="DV578" i="4" s="1"/>
  <c r="BV817" i="4"/>
  <c r="BV883" i="4" s="1"/>
  <c r="BV812" i="4"/>
  <c r="BW811" i="4"/>
  <c r="DK842" i="4"/>
  <c r="DN824" i="4"/>
  <c r="DJ824" i="4"/>
  <c r="CY643" i="4"/>
  <c r="ET88" i="4" l="1"/>
  <c r="EU87" i="4"/>
  <c r="ES85" i="4"/>
  <c r="ET84" i="4"/>
  <c r="DG5" i="4"/>
  <c r="G24" i="9"/>
  <c r="FA395" i="4"/>
  <c r="EY212" i="2"/>
  <c r="FA132" i="3"/>
  <c r="FA212" i="2" s="1"/>
  <c r="FA225" i="4"/>
  <c r="EY228" i="4"/>
  <c r="EY226" i="4"/>
  <c r="DB377" i="4"/>
  <c r="EY320" i="4"/>
  <c r="FA317" i="4"/>
  <c r="EY318" i="4"/>
  <c r="DL664" i="2"/>
  <c r="FA182" i="2"/>
  <c r="EZ182" i="2" s="1"/>
  <c r="EZ78" i="2"/>
  <c r="EZ318" i="4"/>
  <c r="EZ320" i="4"/>
  <c r="EZ321" i="4" s="1"/>
  <c r="EZ228" i="4"/>
  <c r="EZ229" i="4" s="1"/>
  <c r="EZ226" i="4"/>
  <c r="EW255" i="2"/>
  <c r="FA257" i="2"/>
  <c r="EY257" i="2"/>
  <c r="EY255" i="2" s="1"/>
  <c r="DA58" i="4"/>
  <c r="DA49" i="4"/>
  <c r="DA51" i="4" s="1"/>
  <c r="DA6" i="4" s="1"/>
  <c r="M60" i="9"/>
  <c r="L60" i="9"/>
  <c r="L61" i="9" s="1"/>
  <c r="L62" i="9"/>
  <c r="L63" i="9" s="1"/>
  <c r="J62" i="9"/>
  <c r="J63" i="9" s="1"/>
  <c r="EX395" i="4"/>
  <c r="BQ656" i="4"/>
  <c r="BQ698" i="4" s="1"/>
  <c r="BQ901" i="4" s="1"/>
  <c r="DD154" i="4"/>
  <c r="DD155" i="4" s="1"/>
  <c r="BT570" i="4"/>
  <c r="CU287" i="2"/>
  <c r="CU630" i="2" s="1"/>
  <c r="CU631" i="2" s="1"/>
  <c r="CV630" i="2"/>
  <c r="CV631" i="2" s="1"/>
  <c r="CM184" i="2"/>
  <c r="CM187" i="2" s="1"/>
  <c r="CM503" i="2"/>
  <c r="CW64" i="3"/>
  <c r="CW66" i="3" s="1"/>
  <c r="CW287" i="2"/>
  <c r="CW630" i="2" s="1"/>
  <c r="CW631" i="2" s="1"/>
  <c r="CV66" i="3"/>
  <c r="CZ271" i="2"/>
  <c r="CX271" i="2"/>
  <c r="CY269" i="2"/>
  <c r="EK375" i="4"/>
  <c r="EH203" i="4"/>
  <c r="EH204" i="4" s="1"/>
  <c r="EH295" i="4"/>
  <c r="EH296" i="4" s="1"/>
  <c r="CM478" i="2"/>
  <c r="CM481" i="2"/>
  <c r="CM482" i="2" s="1"/>
  <c r="DC77" i="2"/>
  <c r="DE77" i="2" s="1"/>
  <c r="DA77" i="2"/>
  <c r="DF337" i="2"/>
  <c r="DF11" i="4"/>
  <c r="CV161" i="4"/>
  <c r="Z59" i="9"/>
  <c r="DJ276" i="2"/>
  <c r="DK186" i="2"/>
  <c r="DJ186" i="2" s="1"/>
  <c r="EG19" i="4"/>
  <c r="EE19" i="4"/>
  <c r="EE33" i="4" s="1"/>
  <c r="ED33" i="4"/>
  <c r="EA149" i="3"/>
  <c r="EB149" i="3" s="1"/>
  <c r="EC149" i="3" s="1"/>
  <c r="DZ455" i="2"/>
  <c r="DN280" i="2"/>
  <c r="DL276" i="2"/>
  <c r="EC19" i="4"/>
  <c r="EC33" i="4" s="1"/>
  <c r="DF336" i="2"/>
  <c r="DF334" i="2"/>
  <c r="BU374" i="2"/>
  <c r="BR140" i="2"/>
  <c r="BR384" i="2"/>
  <c r="BR566" i="2"/>
  <c r="BS374" i="2"/>
  <c r="BR91" i="2"/>
  <c r="BR349" i="2"/>
  <c r="BO222" i="2"/>
  <c r="BN222" i="2" s="1"/>
  <c r="BN221" i="2"/>
  <c r="BP91" i="2"/>
  <c r="BP566" i="2"/>
  <c r="BP140" i="2"/>
  <c r="BP141" i="2" s="1"/>
  <c r="BP349" i="2"/>
  <c r="BQ374" i="2"/>
  <c r="BP384" i="2"/>
  <c r="EO145" i="2"/>
  <c r="EN145" i="2" s="1"/>
  <c r="EP145" i="2"/>
  <c r="BN566" i="2"/>
  <c r="BN384" i="2"/>
  <c r="BN225" i="3"/>
  <c r="CN414" i="2"/>
  <c r="CL414" i="2"/>
  <c r="CM415" i="2"/>
  <c r="CL415" i="2" s="1"/>
  <c r="BQ943" i="4"/>
  <c r="BQ945" i="4" s="1"/>
  <c r="BQ662" i="4"/>
  <c r="BQ704" i="4" s="1"/>
  <c r="BQ907" i="4" s="1"/>
  <c r="DB143" i="2"/>
  <c r="DB146" i="2" s="1"/>
  <c r="DC142" i="2" s="1"/>
  <c r="DC139" i="2"/>
  <c r="DC140" i="2" s="1"/>
  <c r="DC141" i="2" s="1"/>
  <c r="DE138" i="2"/>
  <c r="DA139" i="2"/>
  <c r="DA143" i="2" s="1"/>
  <c r="DA146" i="2" s="1"/>
  <c r="DB140" i="2"/>
  <c r="D47" i="9"/>
  <c r="CR329" i="2"/>
  <c r="CS330" i="2"/>
  <c r="CS235" i="3"/>
  <c r="CR327" i="2"/>
  <c r="CR640" i="2"/>
  <c r="CR513" i="2"/>
  <c r="CR120" i="3"/>
  <c r="CR328" i="2"/>
  <c r="CR236" i="3" s="1"/>
  <c r="CR304" i="2"/>
  <c r="CS305" i="2"/>
  <c r="CT304" i="2"/>
  <c r="CT305" i="2" s="1"/>
  <c r="CT513" i="2"/>
  <c r="CT640" i="2"/>
  <c r="CT329" i="2"/>
  <c r="CT120" i="3"/>
  <c r="CT328" i="2"/>
  <c r="CT236" i="3" s="1"/>
  <c r="CT327" i="2"/>
  <c r="D49" i="9"/>
  <c r="CS236" i="3"/>
  <c r="CW292" i="2"/>
  <c r="CU292" i="2"/>
  <c r="CV290" i="2"/>
  <c r="BK25" i="2"/>
  <c r="DO423" i="4"/>
  <c r="CU152" i="3"/>
  <c r="DE134" i="4"/>
  <c r="H25" i="9"/>
  <c r="EU320" i="4"/>
  <c r="ET321" i="4"/>
  <c r="EU321" i="4" s="1"/>
  <c r="EU226" i="4"/>
  <c r="EV226" i="4"/>
  <c r="EV228" i="4"/>
  <c r="EX225" i="4"/>
  <c r="EX226" i="4" s="1"/>
  <c r="EW228" i="4"/>
  <c r="EW229" i="4" s="1"/>
  <c r="EW226" i="4"/>
  <c r="EU318" i="4"/>
  <c r="EW318" i="4"/>
  <c r="EW320" i="4"/>
  <c r="ES229" i="4"/>
  <c r="EU229" i="4" s="1"/>
  <c r="EU228" i="4"/>
  <c r="EX317" i="4"/>
  <c r="EX318" i="4" s="1"/>
  <c r="EV320" i="4"/>
  <c r="EV321" i="4" s="1"/>
  <c r="EV318" i="4"/>
  <c r="EV300" i="2"/>
  <c r="ET300" i="2"/>
  <c r="DC215" i="3"/>
  <c r="DE217" i="3"/>
  <c r="DF147" i="2"/>
  <c r="DF163" i="2"/>
  <c r="DF162" i="2"/>
  <c r="DF335" i="2"/>
  <c r="DF340" i="2"/>
  <c r="DF333" i="2"/>
  <c r="DF168" i="2"/>
  <c r="DF342" i="2"/>
  <c r="DF169" i="3"/>
  <c r="DF165" i="3" s="1"/>
  <c r="DF150" i="2"/>
  <c r="BM25" i="2"/>
  <c r="BK400" i="2"/>
  <c r="BK154" i="3"/>
  <c r="BK398" i="2"/>
  <c r="BM400" i="2"/>
  <c r="BM398" i="2"/>
  <c r="BI27" i="2"/>
  <c r="BI366" i="2"/>
  <c r="BI224" i="3" s="1"/>
  <c r="BI365" i="2"/>
  <c r="BI223" i="3" s="1"/>
  <c r="BL154" i="3"/>
  <c r="BL398" i="2"/>
  <c r="BH365" i="2"/>
  <c r="BH223" i="3" s="1"/>
  <c r="BH366" i="2"/>
  <c r="BH224" i="3" s="1"/>
  <c r="BH27" i="2"/>
  <c r="BP441" i="2"/>
  <c r="BO410" i="2"/>
  <c r="BO409" i="2"/>
  <c r="BO411" i="2"/>
  <c r="BI20" i="2"/>
  <c r="BI472" i="2"/>
  <c r="BJ27" i="2"/>
  <c r="BJ366" i="2"/>
  <c r="BJ224" i="3" s="1"/>
  <c r="BJ365" i="2"/>
  <c r="BJ223" i="3" s="1"/>
  <c r="CY150" i="3"/>
  <c r="CY152" i="3" s="1"/>
  <c r="CW150" i="3"/>
  <c r="CW152" i="3" s="1"/>
  <c r="CX150" i="3" s="1"/>
  <c r="DF5" i="4"/>
  <c r="DH5" i="4" s="1"/>
  <c r="DK423" i="4"/>
  <c r="DQ423" i="4"/>
  <c r="DS421" i="4"/>
  <c r="DQ421" i="4"/>
  <c r="DH427" i="4"/>
  <c r="DH92" i="4"/>
  <c r="DH91" i="4"/>
  <c r="DH93" i="4"/>
  <c r="BP724" i="4"/>
  <c r="BP927" i="4" s="1"/>
  <c r="DF171" i="3"/>
  <c r="DF167" i="3" s="1"/>
  <c r="DF31" i="2"/>
  <c r="DF170" i="3"/>
  <c r="DF166" i="3" s="1"/>
  <c r="DF341" i="2"/>
  <c r="DF339" i="2"/>
  <c r="DF165" i="2"/>
  <c r="BP658" i="4"/>
  <c r="DJ841" i="4"/>
  <c r="DI823" i="4"/>
  <c r="DI841" i="4" s="1"/>
  <c r="DQ823" i="4"/>
  <c r="DN841" i="4"/>
  <c r="DM823" i="4"/>
  <c r="DH30" i="2"/>
  <c r="BR688" i="4"/>
  <c r="BS592" i="4"/>
  <c r="BS640" i="4" s="1"/>
  <c r="BP676" i="4"/>
  <c r="DH71" i="4"/>
  <c r="BP718" i="4"/>
  <c r="BP921" i="4" s="1"/>
  <c r="BR730" i="4"/>
  <c r="BR933" i="4" s="1"/>
  <c r="DN30" i="4"/>
  <c r="DZ852" i="4"/>
  <c r="DU852" i="4"/>
  <c r="DV852" i="4" s="1"/>
  <c r="EO229" i="4"/>
  <c r="EQ229" i="4"/>
  <c r="EQ321" i="4"/>
  <c r="ER228" i="4"/>
  <c r="EP229" i="4"/>
  <c r="ER320" i="4"/>
  <c r="EP321" i="4"/>
  <c r="EO321" i="4"/>
  <c r="BR930" i="4"/>
  <c r="ER81" i="4"/>
  <c r="EQ82" i="4"/>
  <c r="BR896" i="4"/>
  <c r="DC149" i="4"/>
  <c r="DE149" i="4" s="1"/>
  <c r="DE150" i="4" s="1"/>
  <c r="DL840" i="4"/>
  <c r="DL846" i="4" s="1"/>
  <c r="DL847" i="4" s="1"/>
  <c r="DL848" i="4" s="1"/>
  <c r="DL849" i="4" s="1"/>
  <c r="DL828" i="4"/>
  <c r="DL829" i="4" s="1"/>
  <c r="DL830" i="4" s="1"/>
  <c r="DL831" i="4" s="1"/>
  <c r="DP840" i="4"/>
  <c r="DP846" i="4" s="1"/>
  <c r="DP847" i="4" s="1"/>
  <c r="DP848" i="4" s="1"/>
  <c r="DP849" i="4" s="1"/>
  <c r="DP828" i="4"/>
  <c r="DP829" i="4" s="1"/>
  <c r="DP830" i="4" s="1"/>
  <c r="DP831" i="4" s="1"/>
  <c r="DO822" i="4"/>
  <c r="DT840" i="4"/>
  <c r="DT846" i="4" s="1"/>
  <c r="DT847" i="4" s="1"/>
  <c r="DT848" i="4" s="1"/>
  <c r="DT849" i="4" s="1"/>
  <c r="DW822" i="4"/>
  <c r="DS822" i="4"/>
  <c r="DT828" i="4"/>
  <c r="DT829" i="4" s="1"/>
  <c r="DT830" i="4" s="1"/>
  <c r="DT831" i="4" s="1"/>
  <c r="BP908" i="4"/>
  <c r="BP706" i="4"/>
  <c r="BP909" i="4" s="1"/>
  <c r="BQ735" i="4"/>
  <c r="BQ781" i="4" s="1"/>
  <c r="BQ938" i="4"/>
  <c r="BQ902" i="4"/>
  <c r="BR633" i="4"/>
  <c r="BR634" i="4" s="1"/>
  <c r="BR682" i="4" s="1"/>
  <c r="BR621" i="4"/>
  <c r="BR950" i="4"/>
  <c r="BR741" i="4"/>
  <c r="BR787" i="4" s="1"/>
  <c r="BR914" i="4"/>
  <c r="BU569" i="4"/>
  <c r="BT591" i="4"/>
  <c r="BU591" i="4" s="1"/>
  <c r="BP735" i="4"/>
  <c r="BP781" i="4" s="1"/>
  <c r="BP938" i="4"/>
  <c r="BP902" i="4"/>
  <c r="DH843" i="4"/>
  <c r="DH856" i="4" s="1"/>
  <c r="DG825" i="4"/>
  <c r="DK825" i="4"/>
  <c r="DH838" i="4"/>
  <c r="BS633" i="4"/>
  <c r="BS621" i="4"/>
  <c r="CZ843" i="4"/>
  <c r="CZ856" i="4" s="1"/>
  <c r="CZ838" i="4"/>
  <c r="BR586" i="4"/>
  <c r="BS627" i="4"/>
  <c r="BS669" i="4" s="1"/>
  <c r="BS639" i="4"/>
  <c r="BS687" i="4" s="1"/>
  <c r="DD843" i="4"/>
  <c r="DD856" i="4" s="1"/>
  <c r="DC825" i="4"/>
  <c r="DD838" i="4"/>
  <c r="DP668" i="2"/>
  <c r="DP97" i="4"/>
  <c r="DN668" i="2"/>
  <c r="DO664" i="2"/>
  <c r="DJ97" i="4"/>
  <c r="DM97" i="4"/>
  <c r="DJ668" i="2"/>
  <c r="DT29" i="4"/>
  <c r="DS251" i="4"/>
  <c r="DS459" i="4"/>
  <c r="DS460" i="4" s="1"/>
  <c r="DL471" i="4"/>
  <c r="DN471" i="4" s="1"/>
  <c r="DN472" i="4" s="1"/>
  <c r="DH466" i="4"/>
  <c r="DQ29" i="4"/>
  <c r="BU859" i="4"/>
  <c r="BT955" i="4"/>
  <c r="DR460" i="4"/>
  <c r="BS878" i="4"/>
  <c r="BS879" i="4" s="1"/>
  <c r="DK798" i="4"/>
  <c r="DL798" i="4" s="1"/>
  <c r="BR739" i="4"/>
  <c r="BR785" i="4" s="1"/>
  <c r="DK30" i="4"/>
  <c r="EC580" i="4"/>
  <c r="DX580" i="4"/>
  <c r="DY580" i="4" s="1"/>
  <c r="BS884" i="4"/>
  <c r="DS29" i="4"/>
  <c r="DS342" i="4"/>
  <c r="DS461" i="4"/>
  <c r="DS462" i="4" s="1"/>
  <c r="DJ44" i="4"/>
  <c r="DM55" i="4" s="1"/>
  <c r="DJ471" i="4"/>
  <c r="DJ462" i="4"/>
  <c r="DK461" i="4"/>
  <c r="DK462" i="4" s="1"/>
  <c r="ER505" i="4"/>
  <c r="ER504" i="4"/>
  <c r="DQ459" i="4"/>
  <c r="DQ460" i="4" s="1"/>
  <c r="DP460" i="4"/>
  <c r="DQ251" i="4"/>
  <c r="DT420" i="4"/>
  <c r="DS423" i="4"/>
  <c r="DM385" i="2"/>
  <c r="DM154" i="3" s="1"/>
  <c r="DK342" i="4"/>
  <c r="BS890" i="4"/>
  <c r="BS891" i="4" s="1"/>
  <c r="BR932" i="4"/>
  <c r="EA273" i="2"/>
  <c r="DY273" i="2"/>
  <c r="DN423" i="4"/>
  <c r="DS30" i="4"/>
  <c r="DF476" i="4"/>
  <c r="DH475" i="4"/>
  <c r="DH476" i="4" s="1"/>
  <c r="DN842" i="4"/>
  <c r="DQ824" i="4"/>
  <c r="DM824" i="4"/>
  <c r="BW812" i="4"/>
  <c r="BV818" i="4"/>
  <c r="BV813" i="4"/>
  <c r="BU889" i="4"/>
  <c r="DQ342" i="4"/>
  <c r="CE649" i="4"/>
  <c r="DH54" i="4"/>
  <c r="DH64" i="4"/>
  <c r="BT870" i="4"/>
  <c r="BS873" i="4"/>
  <c r="CE691" i="4"/>
  <c r="DT125" i="4"/>
  <c r="DT667" i="2"/>
  <c r="CW51" i="4"/>
  <c r="CW6" i="4" s="1"/>
  <c r="CY6" i="4" s="1"/>
  <c r="CY49" i="4"/>
  <c r="CW70" i="4"/>
  <c r="CW60" i="4"/>
  <c r="CF650" i="4"/>
  <c r="DZ637" i="2"/>
  <c r="DY253" i="2"/>
  <c r="DY637" i="2" s="1"/>
  <c r="EA253" i="2"/>
  <c r="EC253" i="2"/>
  <c r="CZ160" i="4"/>
  <c r="DB154" i="4"/>
  <c r="DB155" i="4" s="1"/>
  <c r="CZ155" i="4"/>
  <c r="CX62" i="4"/>
  <c r="CX72" i="4"/>
  <c r="CX7" i="4"/>
  <c r="CX8" i="4" s="1"/>
  <c r="DB57" i="4"/>
  <c r="DB67" i="4"/>
  <c r="EJ383" i="4"/>
  <c r="EG305" i="4"/>
  <c r="EG213" i="4"/>
  <c r="EG386" i="4"/>
  <c r="EA416" i="2"/>
  <c r="BT858" i="4"/>
  <c r="BS954" i="4"/>
  <c r="BS861" i="4"/>
  <c r="CN12" i="4"/>
  <c r="CN8" i="4"/>
  <c r="CP7" i="4"/>
  <c r="CP8" i="4" s="1"/>
  <c r="DJ842" i="4"/>
  <c r="DI824" i="4"/>
  <c r="DI842" i="4" s="1"/>
  <c r="BQ697" i="4"/>
  <c r="BT876" i="4"/>
  <c r="BT888" i="4"/>
  <c r="EC855" i="4"/>
  <c r="EH383" i="4"/>
  <c r="EE305" i="4"/>
  <c r="EE386" i="4"/>
  <c r="EE213" i="4"/>
  <c r="CC652" i="4"/>
  <c r="DC46" i="4"/>
  <c r="DC157" i="4"/>
  <c r="DE157" i="4" s="1"/>
  <c r="DE489" i="4"/>
  <c r="DQ461" i="4"/>
  <c r="DQ462" i="4" s="1"/>
  <c r="DO462" i="4"/>
  <c r="BQ676" i="4"/>
  <c r="BQ715" i="4"/>
  <c r="DF66" i="4"/>
  <c r="DF56" i="4"/>
  <c r="DH45" i="4"/>
  <c r="BU872" i="4"/>
  <c r="BX499" i="2"/>
  <c r="BY498" i="2"/>
  <c r="BX504" i="2"/>
  <c r="BX500" i="2"/>
  <c r="BX497" i="2"/>
  <c r="CE693" i="4"/>
  <c r="BR740" i="4"/>
  <c r="BR786" i="4" s="1"/>
  <c r="BR949" i="4"/>
  <c r="BR913" i="4"/>
  <c r="CY68" i="4"/>
  <c r="CY58" i="4"/>
  <c r="EF270" i="2"/>
  <c r="DM470" i="4"/>
  <c r="BS667" i="4"/>
  <c r="ED214" i="4"/>
  <c r="ED215" i="4"/>
  <c r="DT344" i="4"/>
  <c r="DT345" i="4" s="1"/>
  <c r="DR342" i="4"/>
  <c r="DR461" i="4"/>
  <c r="BX692" i="4"/>
  <c r="DF131" i="4"/>
  <c r="DF133" i="4"/>
  <c r="DH436" i="4"/>
  <c r="BW817" i="4"/>
  <c r="BW883" i="4" s="1"/>
  <c r="BX811" i="4"/>
  <c r="BX817" i="4" s="1"/>
  <c r="DL64" i="4"/>
  <c r="DL54" i="4"/>
  <c r="DN43" i="4"/>
  <c r="DQ30" i="4"/>
  <c r="ED268" i="2"/>
  <c r="EF268" i="2" s="1"/>
  <c r="EB268" i="2"/>
  <c r="BW871" i="4"/>
  <c r="BR674" i="4"/>
  <c r="BR716" i="4" s="1"/>
  <c r="BR919" i="4" s="1"/>
  <c r="BR680" i="4"/>
  <c r="BR722" i="4" s="1"/>
  <c r="BR925" i="4" s="1"/>
  <c r="DQ257" i="4"/>
  <c r="DO469" i="4"/>
  <c r="DO257" i="4"/>
  <c r="DO43" i="4"/>
  <c r="BQ724" i="4"/>
  <c r="BQ927" i="4" s="1"/>
  <c r="BQ924" i="4"/>
  <c r="DP469" i="4"/>
  <c r="DP257" i="4"/>
  <c r="DP43" i="4"/>
  <c r="BT590" i="4"/>
  <c r="BT584" i="4" s="1"/>
  <c r="BU568" i="4"/>
  <c r="DE42" i="2"/>
  <c r="H23" i="9" s="1"/>
  <c r="H24" i="9" s="1"/>
  <c r="DF53" i="4"/>
  <c r="DH42" i="4"/>
  <c r="DH53" i="4" s="1"/>
  <c r="CM8" i="4"/>
  <c r="CM12" i="4"/>
  <c r="EQ178" i="3"/>
  <c r="ER178" i="3" s="1"/>
  <c r="EP190" i="2"/>
  <c r="EC836" i="4"/>
  <c r="EA836" i="4" s="1"/>
  <c r="EB836" i="4" s="1"/>
  <c r="DM64" i="4"/>
  <c r="DM54" i="4"/>
  <c r="BU625" i="4"/>
  <c r="BU637" i="4"/>
  <c r="CT72" i="4"/>
  <c r="CV51" i="4"/>
  <c r="CT62" i="4"/>
  <c r="CZ49" i="4"/>
  <c r="CZ58" i="4"/>
  <c r="DB47" i="4"/>
  <c r="CZ68" i="4"/>
  <c r="ED307" i="4"/>
  <c r="ED306" i="4"/>
  <c r="BP742" i="4"/>
  <c r="BP788" i="4" s="1"/>
  <c r="BP915" i="4"/>
  <c r="BR697" i="4"/>
  <c r="DJ365" i="2"/>
  <c r="DJ366" i="2"/>
  <c r="DJ224" i="3" s="1"/>
  <c r="DH454" i="4"/>
  <c r="DH456" i="4" s="1"/>
  <c r="DF483" i="4"/>
  <c r="DG483" i="4" s="1"/>
  <c r="DF456" i="4"/>
  <c r="EB306" i="4"/>
  <c r="EB307" i="4"/>
  <c r="CE651" i="4"/>
  <c r="DS38" i="4"/>
  <c r="BP903" i="4"/>
  <c r="CW161" i="4"/>
  <c r="CY160" i="4"/>
  <c r="CQ7" i="4"/>
  <c r="DZ854" i="4"/>
  <c r="EF579" i="4"/>
  <c r="EA579" i="4"/>
  <c r="EB579" i="4" s="1"/>
  <c r="BR897" i="4"/>
  <c r="CC752" i="4"/>
  <c r="DR423" i="4"/>
  <c r="DT422" i="4"/>
  <c r="DH131" i="4"/>
  <c r="EC853" i="4"/>
  <c r="EA853" i="4" s="1"/>
  <c r="EB853" i="4" s="1"/>
  <c r="CG644" i="4"/>
  <c r="DX578" i="4"/>
  <c r="DY578" i="4" s="1"/>
  <c r="EC578" i="4"/>
  <c r="DN44" i="4"/>
  <c r="DL65" i="4"/>
  <c r="DL55" i="4"/>
  <c r="DM20" i="2"/>
  <c r="DN400" i="2"/>
  <c r="EB214" i="4"/>
  <c r="EB215" i="4"/>
  <c r="BS631" i="4"/>
  <c r="BS619" i="4"/>
  <c r="EJ69" i="3"/>
  <c r="EG70" i="2"/>
  <c r="EG86" i="2" s="1"/>
  <c r="BS626" i="4"/>
  <c r="BS668" i="4" s="1"/>
  <c r="BS638" i="4"/>
  <c r="BS686" i="4" s="1"/>
  <c r="BP779" i="4"/>
  <c r="BV753" i="4"/>
  <c r="DF474" i="4"/>
  <c r="DH473" i="4"/>
  <c r="DH474" i="4" s="1"/>
  <c r="DC147" i="4"/>
  <c r="DE146" i="4"/>
  <c r="CS62" i="4"/>
  <c r="CS72" i="4"/>
  <c r="DM65" i="4"/>
  <c r="BU751" i="4"/>
  <c r="BT754" i="4"/>
  <c r="EL834" i="4"/>
  <c r="EJ834" i="4" s="1"/>
  <c r="EK834" i="4" s="1"/>
  <c r="BU583" i="4"/>
  <c r="BV567" i="4"/>
  <c r="EI835" i="4"/>
  <c r="EG835" i="4" s="1"/>
  <c r="EH835" i="4" s="1"/>
  <c r="BQ906" i="4"/>
  <c r="BY810" i="4"/>
  <c r="BX816" i="4"/>
  <c r="BP951" i="4"/>
  <c r="DT16" i="4"/>
  <c r="DR30" i="4"/>
  <c r="BW865" i="4"/>
  <c r="BT882" i="4"/>
  <c r="DK22" i="2"/>
  <c r="J17" i="9" s="1"/>
  <c r="DK349" i="2"/>
  <c r="BR957" i="4"/>
  <c r="EI69" i="3"/>
  <c r="EE69" i="3"/>
  <c r="EF70" i="2"/>
  <c r="EE70" i="2" s="1"/>
  <c r="ED85" i="2"/>
  <c r="EE85" i="2" s="1"/>
  <c r="EE86" i="2"/>
  <c r="CN645" i="4"/>
  <c r="BW515" i="2"/>
  <c r="BX514" i="2"/>
  <c r="BS894" i="4"/>
  <c r="BT625" i="4"/>
  <c r="BT637" i="4"/>
  <c r="BT685" i="4" s="1"/>
  <c r="BU685" i="4" s="1"/>
  <c r="BT864" i="4"/>
  <c r="BS867" i="4"/>
  <c r="BR715" i="4"/>
  <c r="DI17" i="4"/>
  <c r="DI424" i="4"/>
  <c r="DI352" i="4"/>
  <c r="DI413" i="4"/>
  <c r="BS727" i="4"/>
  <c r="BS930" i="4" s="1"/>
  <c r="DF480" i="4"/>
  <c r="DG479" i="4"/>
  <c r="DH479" i="4" s="1"/>
  <c r="DH480" i="4" s="1"/>
  <c r="DF136" i="4"/>
  <c r="CZ643" i="4"/>
  <c r="DN469" i="4"/>
  <c r="DN470" i="4" s="1"/>
  <c r="DL470" i="4"/>
  <c r="DN383" i="2"/>
  <c r="DN385" i="2" s="1"/>
  <c r="DN396" i="2"/>
  <c r="BT860" i="4"/>
  <c r="BS956" i="4"/>
  <c r="BR943" i="4"/>
  <c r="BR656" i="4"/>
  <c r="BR698" i="4" s="1"/>
  <c r="BR662" i="4"/>
  <c r="BR704" i="4" s="1"/>
  <c r="BR907" i="4" s="1"/>
  <c r="DE136" i="4"/>
  <c r="DC137" i="4"/>
  <c r="DC481" i="4" s="1"/>
  <c r="BS584" i="4"/>
  <c r="DP471" i="4"/>
  <c r="DP472" i="4" s="1"/>
  <c r="DP44" i="4"/>
  <c r="DD150" i="2"/>
  <c r="DD31" i="2"/>
  <c r="DD340" i="2"/>
  <c r="DD165" i="2"/>
  <c r="DD169" i="3"/>
  <c r="DD165" i="3" s="1"/>
  <c r="DD334" i="2"/>
  <c r="DD168" i="2"/>
  <c r="DD333" i="2"/>
  <c r="DD170" i="3"/>
  <c r="DD166" i="3" s="1"/>
  <c r="DD337" i="2"/>
  <c r="DD339" i="2"/>
  <c r="DD175" i="2"/>
  <c r="DD341" i="2"/>
  <c r="DD163" i="2"/>
  <c r="DD176" i="3"/>
  <c r="DE176" i="3" s="1"/>
  <c r="DE179" i="3" s="1"/>
  <c r="DD336" i="2"/>
  <c r="DD171" i="3"/>
  <c r="DD167" i="3" s="1"/>
  <c r="DD335" i="2"/>
  <c r="DD342" i="2"/>
  <c r="DD162" i="2"/>
  <c r="DD11" i="4"/>
  <c r="DB475" i="2"/>
  <c r="DD68" i="4"/>
  <c r="DD49" i="4"/>
  <c r="DD58" i="4"/>
  <c r="BQ948" i="4"/>
  <c r="BQ951" i="4" s="1"/>
  <c r="BQ739" i="4"/>
  <c r="BQ785" i="4" s="1"/>
  <c r="BQ712" i="4"/>
  <c r="BQ912" i="4"/>
  <c r="DR38" i="4"/>
  <c r="DT25" i="4"/>
  <c r="DT38" i="4" s="1"/>
  <c r="EG834" i="4"/>
  <c r="EH834" i="4" s="1"/>
  <c r="BT583" i="4"/>
  <c r="EN190" i="2"/>
  <c r="BR712" i="4"/>
  <c r="DX637" i="2"/>
  <c r="DI23" i="4"/>
  <c r="DI666" i="2"/>
  <c r="DI127" i="4"/>
  <c r="DI143" i="4" s="1"/>
  <c r="DI119" i="4"/>
  <c r="CV70" i="4"/>
  <c r="CV60" i="4"/>
  <c r="BU866" i="4"/>
  <c r="DF487" i="4"/>
  <c r="DF146" i="4"/>
  <c r="DG486" i="4"/>
  <c r="BU877" i="4"/>
  <c r="BT895" i="4"/>
  <c r="ER837" i="4"/>
  <c r="DK54" i="4"/>
  <c r="DK64" i="4"/>
  <c r="ET85" i="4" l="1"/>
  <c r="EU84" i="4"/>
  <c r="EU88" i="4"/>
  <c r="EV87" i="4"/>
  <c r="DA60" i="4"/>
  <c r="DA70" i="4"/>
  <c r="EZ212" i="2"/>
  <c r="DJ664" i="2"/>
  <c r="FA226" i="4"/>
  <c r="FA318" i="4"/>
  <c r="EY321" i="4"/>
  <c r="FA321" i="4" s="1"/>
  <c r="FA320" i="4"/>
  <c r="FA228" i="4"/>
  <c r="EY229" i="4"/>
  <c r="FA229" i="4" s="1"/>
  <c r="EZ257" i="2"/>
  <c r="FA255" i="2"/>
  <c r="EZ255" i="2" s="1"/>
  <c r="K63" i="9"/>
  <c r="BQ734" i="4"/>
  <c r="BQ780" i="4" s="1"/>
  <c r="DD160" i="4"/>
  <c r="BQ658" i="4"/>
  <c r="M61" i="9"/>
  <c r="M62" i="9"/>
  <c r="M63" i="9" s="1"/>
  <c r="CM483" i="2"/>
  <c r="CM484" i="2" s="1"/>
  <c r="CM485" i="2" s="1"/>
  <c r="DF77" i="2"/>
  <c r="DD77" i="2"/>
  <c r="DB271" i="2"/>
  <c r="CZ269" i="2"/>
  <c r="EN375" i="4"/>
  <c r="EK295" i="4"/>
  <c r="EK296" i="4" s="1"/>
  <c r="EK203" i="4"/>
  <c r="EK204" i="4" s="1"/>
  <c r="CY64" i="3"/>
  <c r="CX269" i="2"/>
  <c r="CX64" i="3" s="1"/>
  <c r="CX66" i="3" s="1"/>
  <c r="CY287" i="2"/>
  <c r="DF175" i="2"/>
  <c r="DO280" i="2"/>
  <c r="DM280" i="2"/>
  <c r="DN276" i="2"/>
  <c r="EF19" i="4"/>
  <c r="EF33" i="4" s="1"/>
  <c r="EC455" i="2"/>
  <c r="ED149" i="3"/>
  <c r="EE149" i="3" s="1"/>
  <c r="EF149" i="3" s="1"/>
  <c r="DL186" i="2"/>
  <c r="EH19" i="4"/>
  <c r="EH33" i="4" s="1"/>
  <c r="EJ19" i="4"/>
  <c r="EG33" i="4"/>
  <c r="BQ706" i="4"/>
  <c r="BQ909" i="4" s="1"/>
  <c r="BQ937" i="4"/>
  <c r="BR221" i="2"/>
  <c r="BR225" i="3"/>
  <c r="BQ349" i="2"/>
  <c r="BQ385" i="2"/>
  <c r="BQ396" i="2"/>
  <c r="BQ485" i="2" s="1"/>
  <c r="BQ91" i="2"/>
  <c r="BR141" i="2"/>
  <c r="BQ140" i="2"/>
  <c r="BQ141" i="2" s="1"/>
  <c r="ER145" i="2"/>
  <c r="EQ145" i="2" s="1"/>
  <c r="ES145" i="2"/>
  <c r="BP221" i="2"/>
  <c r="BP222" i="2" s="1"/>
  <c r="BP225" i="3"/>
  <c r="BS396" i="2"/>
  <c r="BS485" i="2" s="1"/>
  <c r="BS385" i="2"/>
  <c r="BU385" i="2"/>
  <c r="BU396" i="2"/>
  <c r="BU485" i="2" s="1"/>
  <c r="CP414" i="2"/>
  <c r="CN415" i="2"/>
  <c r="DE142" i="2"/>
  <c r="DF138" i="2"/>
  <c r="DE139" i="2"/>
  <c r="DD138" i="2"/>
  <c r="DB141" i="2"/>
  <c r="DA140" i="2"/>
  <c r="DA141" i="2" s="1"/>
  <c r="DC143" i="2"/>
  <c r="DC146" i="2" s="1"/>
  <c r="DD142" i="2" s="1"/>
  <c r="CT634" i="2"/>
  <c r="CT636" i="2" s="1"/>
  <c r="CT639" i="2" s="1"/>
  <c r="CT642" i="2" s="1"/>
  <c r="CT307" i="2"/>
  <c r="CT324" i="2" s="1"/>
  <c r="CY292" i="2"/>
  <c r="CW290" i="2"/>
  <c r="CT235" i="3"/>
  <c r="CT330" i="2"/>
  <c r="CS307" i="2"/>
  <c r="CS634" i="2"/>
  <c r="CS636" i="2" s="1"/>
  <c r="CS639" i="2" s="1"/>
  <c r="CS642" i="2" s="1"/>
  <c r="CR305" i="2"/>
  <c r="CR634" i="2" s="1"/>
  <c r="CR636" i="2" s="1"/>
  <c r="CR639" i="2" s="1"/>
  <c r="CR642" i="2" s="1"/>
  <c r="CR330" i="2"/>
  <c r="CR235" i="3"/>
  <c r="CV204" i="3"/>
  <c r="CV304" i="2"/>
  <c r="CU290" i="2"/>
  <c r="U57" i="9"/>
  <c r="CV640" i="2"/>
  <c r="CV328" i="2"/>
  <c r="CV120" i="3"/>
  <c r="CV513" i="2"/>
  <c r="CV329" i="2"/>
  <c r="CV327" i="2"/>
  <c r="EP837" i="4"/>
  <c r="EQ837" i="4" s="1"/>
  <c r="EU837" i="4"/>
  <c r="EX300" i="2"/>
  <c r="EY300" i="2" s="1"/>
  <c r="FA300" i="2" s="1"/>
  <c r="EZ300" i="2" s="1"/>
  <c r="ER190" i="2"/>
  <c r="EQ190" i="2" s="1"/>
  <c r="ES178" i="3"/>
  <c r="ER82" i="4"/>
  <c r="ES81" i="4"/>
  <c r="EV229" i="4"/>
  <c r="EX229" i="4" s="1"/>
  <c r="EX228" i="4"/>
  <c r="EU504" i="4"/>
  <c r="EU505" i="4"/>
  <c r="EX320" i="4"/>
  <c r="EW321" i="4"/>
  <c r="EX321" i="4" s="1"/>
  <c r="DE215" i="3"/>
  <c r="DD217" i="3"/>
  <c r="DD215" i="3" s="1"/>
  <c r="DE137" i="4"/>
  <c r="DE481" i="4" s="1"/>
  <c r="DE147" i="4"/>
  <c r="BR951" i="4"/>
  <c r="BO397" i="2"/>
  <c r="BO25" i="2" s="1"/>
  <c r="BN409" i="2"/>
  <c r="BN397" i="2" s="1"/>
  <c r="BK14" i="2"/>
  <c r="BK11" i="2"/>
  <c r="BN410" i="2"/>
  <c r="BM11" i="2"/>
  <c r="BM14" i="2"/>
  <c r="BR441" i="2"/>
  <c r="BP410" i="2"/>
  <c r="BP409" i="2"/>
  <c r="BP397" i="2" s="1"/>
  <c r="BP411" i="2"/>
  <c r="BM20" i="2"/>
  <c r="BK20" i="2"/>
  <c r="BL400" i="2"/>
  <c r="BM472" i="2"/>
  <c r="BN411" i="2"/>
  <c r="BL11" i="2"/>
  <c r="BL14" i="2"/>
  <c r="BK472" i="2"/>
  <c r="DT423" i="4"/>
  <c r="DT421" i="4"/>
  <c r="DH335" i="2"/>
  <c r="DO471" i="4"/>
  <c r="DO472" i="4" s="1"/>
  <c r="DO44" i="4"/>
  <c r="DO65" i="4" s="1"/>
  <c r="DG30" i="2"/>
  <c r="DG175" i="2" s="1"/>
  <c r="DH147" i="2"/>
  <c r="DH339" i="2"/>
  <c r="DH333" i="2"/>
  <c r="DH31" i="2"/>
  <c r="DH171" i="3"/>
  <c r="DH167" i="3" s="1"/>
  <c r="DH163" i="2"/>
  <c r="DH165" i="2"/>
  <c r="DH150" i="2"/>
  <c r="DH33" i="2"/>
  <c r="DH336" i="2"/>
  <c r="DH179" i="3"/>
  <c r="DH341" i="2"/>
  <c r="DH169" i="3"/>
  <c r="DH165" i="3" s="1"/>
  <c r="DH342" i="2"/>
  <c r="DH162" i="2"/>
  <c r="DH334" i="2"/>
  <c r="DH340" i="2"/>
  <c r="DH337" i="2"/>
  <c r="DH170" i="3"/>
  <c r="DH166" i="3" s="1"/>
  <c r="DC154" i="4"/>
  <c r="DC160" i="4" s="1"/>
  <c r="DP823" i="4"/>
  <c r="DT823" i="4"/>
  <c r="DQ841" i="4"/>
  <c r="DM841" i="4"/>
  <c r="DL823" i="4"/>
  <c r="DL841" i="4" s="1"/>
  <c r="DH11" i="4"/>
  <c r="BR742" i="4"/>
  <c r="BR788" i="4" s="1"/>
  <c r="DC150" i="4"/>
  <c r="BP736" i="4"/>
  <c r="BP782" i="4" s="1"/>
  <c r="BP939" i="4"/>
  <c r="DF489" i="4"/>
  <c r="DF157" i="4" s="1"/>
  <c r="DL472" i="4"/>
  <c r="EC852" i="4"/>
  <c r="DX852" i="4"/>
  <c r="DY852" i="4" s="1"/>
  <c r="ER229" i="4"/>
  <c r="DT459" i="4"/>
  <c r="DT460" i="4" s="1"/>
  <c r="BT592" i="4"/>
  <c r="BT640" i="4" s="1"/>
  <c r="BU590" i="4"/>
  <c r="BU584" i="4" s="1"/>
  <c r="ER321" i="4"/>
  <c r="DT251" i="4"/>
  <c r="BS896" i="4"/>
  <c r="BS885" i="4"/>
  <c r="BS897" i="4" s="1"/>
  <c r="DR822" i="4"/>
  <c r="DS840" i="4"/>
  <c r="DS846" i="4" s="1"/>
  <c r="DS847" i="4" s="1"/>
  <c r="DS848" i="4" s="1"/>
  <c r="DS849" i="4" s="1"/>
  <c r="DS828" i="4"/>
  <c r="DS829" i="4" s="1"/>
  <c r="DS830" i="4" s="1"/>
  <c r="DS831" i="4" s="1"/>
  <c r="DW840" i="4"/>
  <c r="DW846" i="4" s="1"/>
  <c r="DW847" i="4" s="1"/>
  <c r="DW848" i="4" s="1"/>
  <c r="DW849" i="4" s="1"/>
  <c r="DV822" i="4"/>
  <c r="DZ822" i="4"/>
  <c r="DW828" i="4"/>
  <c r="DW829" i="4" s="1"/>
  <c r="DW830" i="4" s="1"/>
  <c r="DW831" i="4" s="1"/>
  <c r="DO828" i="4"/>
  <c r="DO829" i="4" s="1"/>
  <c r="DO830" i="4" s="1"/>
  <c r="DO831" i="4" s="1"/>
  <c r="DO840" i="4"/>
  <c r="DO846" i="4" s="1"/>
  <c r="DO847" i="4" s="1"/>
  <c r="DO848" i="4" s="1"/>
  <c r="DO849" i="4" s="1"/>
  <c r="DC843" i="4"/>
  <c r="DC856" i="4" s="1"/>
  <c r="DC838" i="4"/>
  <c r="BU627" i="4"/>
  <c r="BU639" i="4"/>
  <c r="BT585" i="4"/>
  <c r="BT586" i="4" s="1"/>
  <c r="BT639" i="4"/>
  <c r="BT687" i="4" s="1"/>
  <c r="BT729" i="4" s="1"/>
  <c r="BT627" i="4"/>
  <c r="BT669" i="4" s="1"/>
  <c r="BT711" i="4" s="1"/>
  <c r="BS944" i="4"/>
  <c r="BS663" i="4"/>
  <c r="BS705" i="4" s="1"/>
  <c r="BS908" i="4" s="1"/>
  <c r="BS657" i="4"/>
  <c r="BS699" i="4" s="1"/>
  <c r="BU585" i="4"/>
  <c r="BV569" i="4"/>
  <c r="BR657" i="4"/>
  <c r="BR699" i="4" s="1"/>
  <c r="BR700" i="4" s="1"/>
  <c r="BR944" i="4"/>
  <c r="BR945" i="4" s="1"/>
  <c r="BR663" i="4"/>
  <c r="BR705" i="4" s="1"/>
  <c r="BR908" i="4" s="1"/>
  <c r="BS729" i="4"/>
  <c r="BS932" i="4" s="1"/>
  <c r="BR622" i="4"/>
  <c r="BR664" i="4" s="1"/>
  <c r="BS681" i="4"/>
  <c r="BS723" i="4" s="1"/>
  <c r="BS926" i="4" s="1"/>
  <c r="BS675" i="4"/>
  <c r="BS717" i="4" s="1"/>
  <c r="BS920" i="4" s="1"/>
  <c r="DJ825" i="4"/>
  <c r="DK843" i="4"/>
  <c r="DK856" i="4" s="1"/>
  <c r="DK838" i="4"/>
  <c r="DN825" i="4"/>
  <c r="BR675" i="4"/>
  <c r="BR717" i="4" s="1"/>
  <c r="BR920" i="4" s="1"/>
  <c r="BR681" i="4"/>
  <c r="BR723" i="4" s="1"/>
  <c r="BR926" i="4" s="1"/>
  <c r="BS711" i="4"/>
  <c r="DG838" i="4"/>
  <c r="DF825" i="4"/>
  <c r="DG843" i="4"/>
  <c r="DG856" i="4" s="1"/>
  <c r="DM664" i="2"/>
  <c r="DS97" i="4"/>
  <c r="DS668" i="2"/>
  <c r="DR97" i="4"/>
  <c r="DR668" i="2"/>
  <c r="DP664" i="2"/>
  <c r="DK97" i="4"/>
  <c r="DK668" i="2"/>
  <c r="DN97" i="4"/>
  <c r="DM23" i="4"/>
  <c r="DM26" i="4" s="1"/>
  <c r="DM666" i="2"/>
  <c r="DM127" i="4"/>
  <c r="DQ97" i="4"/>
  <c r="DQ668" i="2"/>
  <c r="DM424" i="4"/>
  <c r="DM409" i="4"/>
  <c r="DM452" i="4" s="1"/>
  <c r="DM17" i="4"/>
  <c r="DM413" i="4"/>
  <c r="DM463" i="4" s="1"/>
  <c r="DJ472" i="4"/>
  <c r="DK471" i="4"/>
  <c r="DK472" i="4" s="1"/>
  <c r="BT890" i="4"/>
  <c r="BT891" i="4" s="1"/>
  <c r="DK44" i="4"/>
  <c r="DN55" i="4" s="1"/>
  <c r="DJ55" i="4"/>
  <c r="DJ65" i="4"/>
  <c r="EF580" i="4"/>
  <c r="EA580" i="4"/>
  <c r="EB580" i="4" s="1"/>
  <c r="BU955" i="4"/>
  <c r="BV859" i="4"/>
  <c r="DM384" i="2"/>
  <c r="DM798" i="4"/>
  <c r="DL797" i="4"/>
  <c r="DM566" i="2"/>
  <c r="BS628" i="4"/>
  <c r="EA363" i="4"/>
  <c r="EC273" i="2"/>
  <c r="CX152" i="3"/>
  <c r="BT884" i="4"/>
  <c r="BT885" i="4" s="1"/>
  <c r="BT878" i="4"/>
  <c r="BT879" i="4" s="1"/>
  <c r="BX883" i="4"/>
  <c r="DG484" i="4"/>
  <c r="DG139" i="4"/>
  <c r="DI425" i="4"/>
  <c r="DI426" i="4"/>
  <c r="DI93" i="4" s="1"/>
  <c r="DS44" i="4"/>
  <c r="DS471" i="4"/>
  <c r="DS472" i="4" s="1"/>
  <c r="DA72" i="4"/>
  <c r="DA62" i="4"/>
  <c r="DA7" i="4"/>
  <c r="DK225" i="3"/>
  <c r="DJ349" i="2"/>
  <c r="DK221" i="2"/>
  <c r="BS728" i="4"/>
  <c r="BS673" i="4"/>
  <c r="BS679" i="4"/>
  <c r="BS721" i="4" s="1"/>
  <c r="EF578" i="4"/>
  <c r="EA578" i="4"/>
  <c r="EB578" i="4" s="1"/>
  <c r="CH644" i="4"/>
  <c r="EC854" i="4"/>
  <c r="EA854" i="4" s="1"/>
  <c r="EB854" i="4" s="1"/>
  <c r="CQ8" i="4"/>
  <c r="CS7" i="4"/>
  <c r="CS8" i="4" s="1"/>
  <c r="CV72" i="4"/>
  <c r="CV62" i="4"/>
  <c r="DP64" i="4"/>
  <c r="DP54" i="4"/>
  <c r="DH133" i="4"/>
  <c r="DF134" i="4"/>
  <c r="DH56" i="4"/>
  <c r="DH66" i="4"/>
  <c r="DE46" i="4"/>
  <c r="DE57" i="4" s="1"/>
  <c r="DC57" i="4"/>
  <c r="DC47" i="4"/>
  <c r="CD652" i="4"/>
  <c r="BQ733" i="4"/>
  <c r="BQ700" i="4"/>
  <c r="BQ936" i="4"/>
  <c r="BQ900" i="4"/>
  <c r="EM383" i="4"/>
  <c r="EJ305" i="4"/>
  <c r="EJ386" i="4"/>
  <c r="EJ213" i="4"/>
  <c r="EA637" i="2"/>
  <c r="CG650" i="4"/>
  <c r="BV877" i="4"/>
  <c r="BU895" i="4"/>
  <c r="DP55" i="4"/>
  <c r="DP65" i="4"/>
  <c r="BR734" i="4"/>
  <c r="BR780" i="4" s="1"/>
  <c r="BR937" i="4"/>
  <c r="BR901" i="4"/>
  <c r="BT727" i="4"/>
  <c r="BT930" i="4" s="1"/>
  <c r="EH69" i="3"/>
  <c r="EL69" i="3"/>
  <c r="EI70" i="2"/>
  <c r="EH70" i="2" s="1"/>
  <c r="DK365" i="2"/>
  <c r="DK366" i="2"/>
  <c r="J46" i="9" s="1"/>
  <c r="BX865" i="4"/>
  <c r="EO834" i="4"/>
  <c r="EM834" i="4" s="1"/>
  <c r="EN834" i="4" s="1"/>
  <c r="BS710" i="4"/>
  <c r="DN20" i="2"/>
  <c r="K16" i="9" s="1"/>
  <c r="DN65" i="4"/>
  <c r="DX854" i="4"/>
  <c r="DY854" i="4" s="1"/>
  <c r="CZ70" i="4"/>
  <c r="CZ60" i="4"/>
  <c r="DB49" i="4"/>
  <c r="CZ51" i="4"/>
  <c r="CZ6" i="4" s="1"/>
  <c r="DB6" i="4" s="1"/>
  <c r="DO470" i="4"/>
  <c r="DQ469" i="4"/>
  <c r="DQ470" i="4" s="1"/>
  <c r="EE268" i="2"/>
  <c r="EG268" i="2"/>
  <c r="EI268" i="2" s="1"/>
  <c r="DB150" i="3"/>
  <c r="EE214" i="4"/>
  <c r="EE215" i="4"/>
  <c r="EC416" i="2"/>
  <c r="DS43" i="4"/>
  <c r="DS469" i="4"/>
  <c r="DS257" i="4"/>
  <c r="DL17" i="4"/>
  <c r="DL424" i="4"/>
  <c r="DL409" i="4"/>
  <c r="DL413" i="4"/>
  <c r="DL352" i="4"/>
  <c r="BW818" i="4"/>
  <c r="BX812" i="4"/>
  <c r="BX818" i="4" s="1"/>
  <c r="DI26" i="4"/>
  <c r="DI36" i="4"/>
  <c r="BU860" i="4"/>
  <c r="BT956" i="4"/>
  <c r="DG480" i="4"/>
  <c r="DG136" i="4"/>
  <c r="DG489" i="4"/>
  <c r="BS688" i="4"/>
  <c r="DI452" i="4"/>
  <c r="BT667" i="4"/>
  <c r="BU667" i="4" s="1"/>
  <c r="BU709" i="4" s="1"/>
  <c r="BX515" i="2"/>
  <c r="BY514" i="2"/>
  <c r="DT30" i="4"/>
  <c r="EL835" i="4"/>
  <c r="BU754" i="4"/>
  <c r="BV751" i="4"/>
  <c r="EG85" i="2"/>
  <c r="EH85" i="2" s="1"/>
  <c r="EH86" i="2"/>
  <c r="DP470" i="4"/>
  <c r="BY692" i="4"/>
  <c r="DT461" i="4"/>
  <c r="DT462" i="4" s="1"/>
  <c r="DR462" i="4"/>
  <c r="CZ150" i="3"/>
  <c r="BU888" i="4"/>
  <c r="CZ161" i="4"/>
  <c r="DB160" i="4"/>
  <c r="CF691" i="4"/>
  <c r="BU870" i="4"/>
  <c r="BT873" i="4"/>
  <c r="DM842" i="4"/>
  <c r="DL824" i="4"/>
  <c r="DL842" i="4" s="1"/>
  <c r="DG487" i="4"/>
  <c r="DG146" i="4"/>
  <c r="BV866" i="4"/>
  <c r="BT619" i="4"/>
  <c r="BT631" i="4"/>
  <c r="DI463" i="4"/>
  <c r="DI31" i="4"/>
  <c r="DI20" i="4"/>
  <c r="DI3" i="4" s="1"/>
  <c r="DI21" i="4"/>
  <c r="DI4" i="4" s="1"/>
  <c r="BW567" i="4"/>
  <c r="BV589" i="4"/>
  <c r="BV583" i="4" s="1"/>
  <c r="EM69" i="3"/>
  <c r="EJ70" i="2"/>
  <c r="EJ86" i="2" s="1"/>
  <c r="CD752" i="4"/>
  <c r="DF484" i="4"/>
  <c r="DH483" i="4"/>
  <c r="DH484" i="4" s="1"/>
  <c r="DF139" i="4"/>
  <c r="BR733" i="4"/>
  <c r="BR936" i="4"/>
  <c r="BR900" i="4"/>
  <c r="BV568" i="4"/>
  <c r="DT342" i="4"/>
  <c r="DR43" i="4"/>
  <c r="DR257" i="4"/>
  <c r="DR469" i="4"/>
  <c r="DT257" i="4"/>
  <c r="BY499" i="2"/>
  <c r="BZ498" i="2"/>
  <c r="BY504" i="2"/>
  <c r="BY500" i="2"/>
  <c r="BY497" i="2"/>
  <c r="EE307" i="4"/>
  <c r="EE306" i="4"/>
  <c r="EF855" i="4"/>
  <c r="ED855" i="4" s="1"/>
  <c r="EE855" i="4" s="1"/>
  <c r="CY70" i="4"/>
  <c r="CY60" i="4"/>
  <c r="CF649" i="4"/>
  <c r="DL127" i="4"/>
  <c r="DL119" i="4"/>
  <c r="DL666" i="2"/>
  <c r="DL23" i="4"/>
  <c r="DP824" i="4"/>
  <c r="DT824" i="4"/>
  <c r="DQ842" i="4"/>
  <c r="DF147" i="4"/>
  <c r="BQ742" i="4"/>
  <c r="BQ788" i="4" s="1"/>
  <c r="BQ915" i="4"/>
  <c r="BS620" i="4"/>
  <c r="BS632" i="4"/>
  <c r="DN398" i="2"/>
  <c r="DA643" i="4"/>
  <c r="BR918" i="4"/>
  <c r="BT867" i="4"/>
  <c r="BU864" i="4"/>
  <c r="CO645" i="4"/>
  <c r="BY816" i="4"/>
  <c r="BZ810" i="4"/>
  <c r="BY811" i="4"/>
  <c r="BU570" i="4"/>
  <c r="BT894" i="4"/>
  <c r="BW753" i="4"/>
  <c r="BS586" i="4"/>
  <c r="CT7" i="4"/>
  <c r="EF836" i="4"/>
  <c r="ED836" i="4" s="1"/>
  <c r="EE836" i="4" s="1"/>
  <c r="DE475" i="2"/>
  <c r="BT620" i="4"/>
  <c r="BT632" i="4"/>
  <c r="BS709" i="4"/>
  <c r="BS670" i="4"/>
  <c r="EG270" i="2"/>
  <c r="EE270" i="2"/>
  <c r="BV872" i="4"/>
  <c r="BQ718" i="4"/>
  <c r="BQ921" i="4" s="1"/>
  <c r="BQ918" i="4"/>
  <c r="EH386" i="4"/>
  <c r="EK383" i="4"/>
  <c r="EH305" i="4"/>
  <c r="EH213" i="4"/>
  <c r="EA855" i="4"/>
  <c r="EB855" i="4" s="1"/>
  <c r="BU876" i="4"/>
  <c r="BS957" i="4"/>
  <c r="EG215" i="4"/>
  <c r="EG214" i="4"/>
  <c r="CY51" i="4"/>
  <c r="CW62" i="4"/>
  <c r="CW72" i="4"/>
  <c r="BV889" i="4"/>
  <c r="DH486" i="4"/>
  <c r="DH487" i="4" s="1"/>
  <c r="DI128" i="4"/>
  <c r="DD51" i="4"/>
  <c r="DD6" i="4" s="1"/>
  <c r="DD70" i="4"/>
  <c r="DD60" i="4"/>
  <c r="DQ374" i="2"/>
  <c r="DO374" i="2"/>
  <c r="DN566" i="2"/>
  <c r="DN384" i="2"/>
  <c r="DN154" i="3"/>
  <c r="DN91" i="2"/>
  <c r="DM91" i="2" s="1"/>
  <c r="DN349" i="2"/>
  <c r="DF137" i="4"/>
  <c r="DF481" i="4" s="1"/>
  <c r="BU882" i="4"/>
  <c r="BU631" i="4"/>
  <c r="BU619" i="4"/>
  <c r="BS655" i="4"/>
  <c r="BS942" i="4"/>
  <c r="BS661" i="4"/>
  <c r="BS703" i="4" s="1"/>
  <c r="EF853" i="4"/>
  <c r="ED853" i="4" s="1"/>
  <c r="EE853" i="4" s="1"/>
  <c r="EI579" i="4"/>
  <c r="ED579" i="4"/>
  <c r="EE579" i="4" s="1"/>
  <c r="CY161" i="4"/>
  <c r="CY488" i="4"/>
  <c r="CF651" i="4"/>
  <c r="DR44" i="4"/>
  <c r="DR471" i="4"/>
  <c r="DB58" i="4"/>
  <c r="DB68" i="4"/>
  <c r="BR915" i="4"/>
  <c r="BT626" i="4"/>
  <c r="BT668" i="4" s="1"/>
  <c r="BT710" i="4" s="1"/>
  <c r="BT638" i="4"/>
  <c r="BT686" i="4" s="1"/>
  <c r="BT728" i="4" s="1"/>
  <c r="BT931" i="4" s="1"/>
  <c r="DQ43" i="4"/>
  <c r="DO64" i="4"/>
  <c r="DO54" i="4"/>
  <c r="BX871" i="4"/>
  <c r="DN54" i="4"/>
  <c r="DN64" i="4"/>
  <c r="CF693" i="4"/>
  <c r="BT861" i="4"/>
  <c r="BU858" i="4"/>
  <c r="BT954" i="4"/>
  <c r="EG306" i="4"/>
  <c r="EG307" i="4"/>
  <c r="EC637" i="2"/>
  <c r="EF253" i="2"/>
  <c r="ED253" i="2"/>
  <c r="EB253" i="2"/>
  <c r="EB637" i="2" s="1"/>
  <c r="BW813" i="4"/>
  <c r="BV819" i="4"/>
  <c r="EV88" i="4" l="1"/>
  <c r="EW87" i="4"/>
  <c r="EU85" i="4"/>
  <c r="EV84" i="4"/>
  <c r="DG147" i="4"/>
  <c r="DH136" i="4"/>
  <c r="DH137" i="4" s="1"/>
  <c r="DH481" i="4" s="1"/>
  <c r="DG140" i="4"/>
  <c r="DD161" i="4"/>
  <c r="DL143" i="4"/>
  <c r="DL140" i="4"/>
  <c r="DM143" i="4"/>
  <c r="DM140" i="4"/>
  <c r="CX287" i="2"/>
  <c r="CX630" i="2" s="1"/>
  <c r="CX631" i="2" s="1"/>
  <c r="CY630" i="2"/>
  <c r="CY631" i="2" s="1"/>
  <c r="CZ64" i="3"/>
  <c r="CZ66" i="3" s="1"/>
  <c r="CZ287" i="2"/>
  <c r="CZ630" i="2" s="1"/>
  <c r="CZ631" i="2" s="1"/>
  <c r="DC271" i="2"/>
  <c r="DA271" i="2"/>
  <c r="DB269" i="2"/>
  <c r="CY66" i="3"/>
  <c r="EQ375" i="4"/>
  <c r="EN203" i="4"/>
  <c r="EN204" i="4" s="1"/>
  <c r="EN295" i="4"/>
  <c r="EN296" i="4" s="1"/>
  <c r="DH77" i="2"/>
  <c r="DF74" i="2"/>
  <c r="DB161" i="4"/>
  <c r="AA59" i="9"/>
  <c r="DM276" i="2"/>
  <c r="DN186" i="2"/>
  <c r="DM186" i="2" s="1"/>
  <c r="EI19" i="4"/>
  <c r="EI33" i="4" s="1"/>
  <c r="EF455" i="2"/>
  <c r="EG149" i="3"/>
  <c r="EH149" i="3" s="1"/>
  <c r="EI149" i="3" s="1"/>
  <c r="EJ149" i="3" s="1"/>
  <c r="DQ280" i="2"/>
  <c r="DO276" i="2"/>
  <c r="EK19" i="4"/>
  <c r="EK33" i="4" s="1"/>
  <c r="EJ33" i="4"/>
  <c r="EM19" i="4"/>
  <c r="BQ384" i="2"/>
  <c r="BQ566" i="2"/>
  <c r="BU566" i="2"/>
  <c r="BV374" i="2"/>
  <c r="BU349" i="2"/>
  <c r="BU91" i="2"/>
  <c r="BU140" i="2"/>
  <c r="BX374" i="2"/>
  <c r="BU384" i="2"/>
  <c r="BQ225" i="3"/>
  <c r="BS140" i="2"/>
  <c r="BS91" i="2"/>
  <c r="BT374" i="2"/>
  <c r="BS566" i="2"/>
  <c r="BS349" i="2"/>
  <c r="BS384" i="2"/>
  <c r="EU145" i="2"/>
  <c r="ET145" i="2" s="1"/>
  <c r="EV145" i="2"/>
  <c r="BQ221" i="2"/>
  <c r="BR222" i="2"/>
  <c r="BQ222" i="2" s="1"/>
  <c r="DE143" i="2"/>
  <c r="DE146" i="2" s="1"/>
  <c r="DF142" i="2" s="1"/>
  <c r="CQ414" i="2"/>
  <c r="CO414" i="2"/>
  <c r="CP415" i="2"/>
  <c r="CO415" i="2" s="1"/>
  <c r="DE140" i="2"/>
  <c r="DD139" i="2"/>
  <c r="DD143" i="2" s="1"/>
  <c r="DD146" i="2" s="1"/>
  <c r="DF139" i="2"/>
  <c r="DF140" i="2" s="1"/>
  <c r="DF141" i="2" s="1"/>
  <c r="DH138" i="2"/>
  <c r="CW204" i="3"/>
  <c r="CW304" i="2"/>
  <c r="CW305" i="2" s="1"/>
  <c r="CW120" i="3"/>
  <c r="CW328" i="2"/>
  <c r="CW236" i="3" s="1"/>
  <c r="CW640" i="2"/>
  <c r="CW513" i="2"/>
  <c r="CW329" i="2"/>
  <c r="CW327" i="2"/>
  <c r="CR307" i="2"/>
  <c r="CR324" i="2" s="1"/>
  <c r="CS324" i="2"/>
  <c r="CX292" i="2"/>
  <c r="CZ292" i="2"/>
  <c r="CY290" i="2"/>
  <c r="E49" i="9"/>
  <c r="CV236" i="3"/>
  <c r="CU640" i="2"/>
  <c r="CU120" i="3"/>
  <c r="CU327" i="2"/>
  <c r="CU328" i="2"/>
  <c r="CU236" i="3" s="1"/>
  <c r="CU513" i="2"/>
  <c r="E47" i="9"/>
  <c r="CV235" i="3"/>
  <c r="CV330" i="2"/>
  <c r="CU329" i="2"/>
  <c r="CU304" i="2"/>
  <c r="CV305" i="2"/>
  <c r="DQ44" i="4"/>
  <c r="DQ55" i="4" s="1"/>
  <c r="DH134" i="4"/>
  <c r="I25" i="9"/>
  <c r="EX504" i="4"/>
  <c r="EX505" i="4"/>
  <c r="ES190" i="2"/>
  <c r="ET178" i="3"/>
  <c r="EU178" i="3" s="1"/>
  <c r="EW300" i="2"/>
  <c r="ES837" i="4"/>
  <c r="ET837" i="4" s="1"/>
  <c r="EX837" i="4"/>
  <c r="ES82" i="4"/>
  <c r="ET81" i="4"/>
  <c r="BP25" i="2"/>
  <c r="BL365" i="2"/>
  <c r="BL223" i="3" s="1"/>
  <c r="BL27" i="2"/>
  <c r="BL366" i="2"/>
  <c r="BL224" i="3" s="1"/>
  <c r="BN400" i="2"/>
  <c r="BN472" i="2" s="1"/>
  <c r="BN398" i="2"/>
  <c r="BN154" i="3"/>
  <c r="BS441" i="2"/>
  <c r="BR410" i="2"/>
  <c r="BR409" i="2"/>
  <c r="BR411" i="2"/>
  <c r="BN25" i="2"/>
  <c r="BO398" i="2"/>
  <c r="BO154" i="3"/>
  <c r="BL20" i="2"/>
  <c r="BL472" i="2"/>
  <c r="BK366" i="2"/>
  <c r="BK224" i="3" s="1"/>
  <c r="BK365" i="2"/>
  <c r="BK223" i="3" s="1"/>
  <c r="BK27" i="2"/>
  <c r="BP400" i="2"/>
  <c r="BP398" i="2"/>
  <c r="BM366" i="2"/>
  <c r="BM224" i="3" s="1"/>
  <c r="BM27" i="2"/>
  <c r="BM365" i="2"/>
  <c r="BM223" i="3" s="1"/>
  <c r="DI108" i="4"/>
  <c r="DI109" i="4" s="1"/>
  <c r="DI371" i="4"/>
  <c r="DI366" i="4"/>
  <c r="DI400" i="4"/>
  <c r="DI359" i="4"/>
  <c r="DG340" i="2"/>
  <c r="DO55" i="4"/>
  <c r="DG342" i="2"/>
  <c r="DG170" i="3"/>
  <c r="DG166" i="3" s="1"/>
  <c r="DG163" i="2"/>
  <c r="DG150" i="2"/>
  <c r="DE154" i="4"/>
  <c r="DE155" i="4" s="1"/>
  <c r="DQ471" i="4"/>
  <c r="BU592" i="4"/>
  <c r="BU640" i="4" s="1"/>
  <c r="DM426" i="4"/>
  <c r="DM93" i="4" s="1"/>
  <c r="DI91" i="4"/>
  <c r="DI235" i="4" s="1"/>
  <c r="DI237" i="4" s="1"/>
  <c r="DI243" i="4" s="1"/>
  <c r="DI241" i="4" s="1"/>
  <c r="DI92" i="4"/>
  <c r="BU638" i="4"/>
  <c r="DC155" i="4"/>
  <c r="DF46" i="4"/>
  <c r="DF47" i="4" s="1"/>
  <c r="DH489" i="4"/>
  <c r="DH42" i="2"/>
  <c r="DH475" i="2" s="1"/>
  <c r="DG147" i="2"/>
  <c r="DG335" i="2"/>
  <c r="DG339" i="2"/>
  <c r="DG333" i="2"/>
  <c r="DG165" i="2"/>
  <c r="DG168" i="2"/>
  <c r="BR676" i="4"/>
  <c r="BR718" i="4"/>
  <c r="BR921" i="4" s="1"/>
  <c r="DG11" i="4"/>
  <c r="DG162" i="2"/>
  <c r="DG336" i="2"/>
  <c r="DG341" i="2"/>
  <c r="DG31" i="2"/>
  <c r="DG337" i="2"/>
  <c r="DG171" i="3"/>
  <c r="DG167" i="3" s="1"/>
  <c r="DG334" i="2"/>
  <c r="DG169" i="3"/>
  <c r="DG165" i="3" s="1"/>
  <c r="DM147" i="4"/>
  <c r="DM137" i="4"/>
  <c r="BR706" i="4"/>
  <c r="BR909" i="4" s="1"/>
  <c r="DS823" i="4"/>
  <c r="DT841" i="4"/>
  <c r="DW823" i="4"/>
  <c r="DO823" i="4"/>
  <c r="DO841" i="4" s="1"/>
  <c r="DP841" i="4"/>
  <c r="BV570" i="4"/>
  <c r="BR658" i="4"/>
  <c r="BR724" i="4"/>
  <c r="BR927" i="4" s="1"/>
  <c r="EA852" i="4"/>
  <c r="EB852" i="4" s="1"/>
  <c r="EF852" i="4"/>
  <c r="BU586" i="4"/>
  <c r="BU626" i="4"/>
  <c r="BU628" i="4" s="1"/>
  <c r="BT957" i="4"/>
  <c r="DZ840" i="4"/>
  <c r="DZ846" i="4" s="1"/>
  <c r="DZ847" i="4" s="1"/>
  <c r="DZ848" i="4" s="1"/>
  <c r="DZ849" i="4" s="1"/>
  <c r="DY822" i="4"/>
  <c r="EC822" i="4"/>
  <c r="DZ828" i="4"/>
  <c r="DZ829" i="4" s="1"/>
  <c r="DZ830" i="4" s="1"/>
  <c r="DZ831" i="4" s="1"/>
  <c r="DV840" i="4"/>
  <c r="DV846" i="4" s="1"/>
  <c r="DV847" i="4" s="1"/>
  <c r="DV848" i="4" s="1"/>
  <c r="DV849" i="4" s="1"/>
  <c r="DU822" i="4"/>
  <c r="DV828" i="4"/>
  <c r="DV829" i="4" s="1"/>
  <c r="DV830" i="4" s="1"/>
  <c r="DV831" i="4" s="1"/>
  <c r="DR828" i="4"/>
  <c r="DR829" i="4" s="1"/>
  <c r="DR830" i="4" s="1"/>
  <c r="DR831" i="4" s="1"/>
  <c r="DR840" i="4"/>
  <c r="DR846" i="4" s="1"/>
  <c r="DR847" i="4" s="1"/>
  <c r="DR848" i="4" s="1"/>
  <c r="DR849" i="4" s="1"/>
  <c r="BS950" i="4"/>
  <c r="BS741" i="4"/>
  <c r="BS787" i="4" s="1"/>
  <c r="BS914" i="4"/>
  <c r="BU621" i="4"/>
  <c r="BU633" i="4"/>
  <c r="BT950" i="4"/>
  <c r="BT741" i="4"/>
  <c r="BT787" i="4" s="1"/>
  <c r="BT914" i="4"/>
  <c r="DF843" i="4"/>
  <c r="DF856" i="4" s="1"/>
  <c r="DF838" i="4"/>
  <c r="BS735" i="4"/>
  <c r="BS781" i="4" s="1"/>
  <c r="BS938" i="4"/>
  <c r="BS902" i="4"/>
  <c r="DJ843" i="4"/>
  <c r="DJ856" i="4" s="1"/>
  <c r="DI825" i="4"/>
  <c r="DJ838" i="4"/>
  <c r="BU687" i="4"/>
  <c r="BR735" i="4"/>
  <c r="BR781" i="4" s="1"/>
  <c r="BR938" i="4"/>
  <c r="BR902" i="4"/>
  <c r="BT621" i="4"/>
  <c r="BT622" i="4" s="1"/>
  <c r="BT664" i="4" s="1"/>
  <c r="BT633" i="4"/>
  <c r="BT634" i="4" s="1"/>
  <c r="BT682" i="4" s="1"/>
  <c r="BU669" i="4"/>
  <c r="BU711" i="4" s="1"/>
  <c r="DN843" i="4"/>
  <c r="DN856" i="4" s="1"/>
  <c r="DN838" i="4"/>
  <c r="DM825" i="4"/>
  <c r="DQ825" i="4"/>
  <c r="BU729" i="4"/>
  <c r="BW569" i="4"/>
  <c r="BV591" i="4"/>
  <c r="BV585" i="4" s="1"/>
  <c r="DM465" i="4"/>
  <c r="DM464" i="4"/>
  <c r="DJ666" i="2"/>
  <c r="DJ127" i="4"/>
  <c r="DJ143" i="4" s="1"/>
  <c r="DJ23" i="4"/>
  <c r="DN119" i="4"/>
  <c r="DQ664" i="2"/>
  <c r="DM133" i="4"/>
  <c r="DP352" i="4"/>
  <c r="DP424" i="4"/>
  <c r="DP413" i="4"/>
  <c r="DP463" i="4" s="1"/>
  <c r="DP409" i="4"/>
  <c r="DP452" i="4" s="1"/>
  <c r="DP17" i="4"/>
  <c r="DN664" i="2"/>
  <c r="DT97" i="4"/>
  <c r="DT668" i="2"/>
  <c r="BT897" i="4"/>
  <c r="DM20" i="4"/>
  <c r="DM3" i="4" s="1"/>
  <c r="DM21" i="4"/>
  <c r="DM4" i="4" s="1"/>
  <c r="DP23" i="4"/>
  <c r="DP666" i="2"/>
  <c r="DP127" i="4"/>
  <c r="DS664" i="2"/>
  <c r="BT896" i="4"/>
  <c r="DJ17" i="4"/>
  <c r="DM352" i="4"/>
  <c r="DJ424" i="4"/>
  <c r="DJ352" i="4"/>
  <c r="DJ413" i="4"/>
  <c r="DM131" i="4"/>
  <c r="DM453" i="4"/>
  <c r="DK664" i="2"/>
  <c r="DR664" i="2"/>
  <c r="DJ225" i="3"/>
  <c r="BU884" i="4"/>
  <c r="BU885" i="4" s="1"/>
  <c r="BU727" i="4"/>
  <c r="BU948" i="4" s="1"/>
  <c r="ED273" i="2"/>
  <c r="EB273" i="2"/>
  <c r="DN798" i="4"/>
  <c r="DM797" i="4"/>
  <c r="DK65" i="4"/>
  <c r="DK55" i="4"/>
  <c r="EB363" i="4"/>
  <c r="BU890" i="4"/>
  <c r="BU891" i="4" s="1"/>
  <c r="BT932" i="4"/>
  <c r="BT628" i="4"/>
  <c r="BU878" i="4"/>
  <c r="BU879" i="4" s="1"/>
  <c r="BW859" i="4"/>
  <c r="BV955" i="4"/>
  <c r="ED580" i="4"/>
  <c r="EE580" i="4" s="1"/>
  <c r="EI580" i="4"/>
  <c r="CY62" i="4"/>
  <c r="CY72" i="4"/>
  <c r="BS924" i="4"/>
  <c r="BT943" i="4"/>
  <c r="BT656" i="4"/>
  <c r="BT698" i="4" s="1"/>
  <c r="BT662" i="4"/>
  <c r="BT704" i="4" s="1"/>
  <c r="BT907" i="4" s="1"/>
  <c r="BT949" i="4"/>
  <c r="BT740" i="4"/>
  <c r="BT786" i="4" s="1"/>
  <c r="BT913" i="4"/>
  <c r="CG651" i="4"/>
  <c r="DH146" i="4"/>
  <c r="DF140" i="4"/>
  <c r="DH139" i="4"/>
  <c r="BT942" i="4"/>
  <c r="BT655" i="4"/>
  <c r="BT661" i="4"/>
  <c r="BT703" i="4" s="1"/>
  <c r="BZ514" i="2"/>
  <c r="BY515" i="2"/>
  <c r="DB152" i="3"/>
  <c r="DC150" i="3" s="1"/>
  <c r="EH268" i="2"/>
  <c r="EJ268" i="2"/>
  <c r="EL268" i="2" s="1"/>
  <c r="BU668" i="4"/>
  <c r="BU710" i="4" s="1"/>
  <c r="BQ939" i="4"/>
  <c r="BQ903" i="4"/>
  <c r="EI578" i="4"/>
  <c r="ED578" i="4"/>
  <c r="EE578" i="4" s="1"/>
  <c r="BU728" i="4"/>
  <c r="BU931" i="4" s="1"/>
  <c r="BS931" i="4"/>
  <c r="BW889" i="4"/>
  <c r="BW872" i="4"/>
  <c r="BT674" i="4"/>
  <c r="BT716" i="4" s="1"/>
  <c r="BT919" i="4" s="1"/>
  <c r="BT680" i="4"/>
  <c r="BT722" i="4" s="1"/>
  <c r="BT925" i="4" s="1"/>
  <c r="CP645" i="4"/>
  <c r="EO69" i="3"/>
  <c r="EL70" i="2"/>
  <c r="EK70" i="2" s="1"/>
  <c r="EK69" i="3"/>
  <c r="BV858" i="4"/>
  <c r="BU954" i="4"/>
  <c r="BU861" i="4"/>
  <c r="DQ64" i="4"/>
  <c r="DQ54" i="4"/>
  <c r="BV876" i="4"/>
  <c r="BX753" i="4"/>
  <c r="DI30" i="2"/>
  <c r="DI34" i="4"/>
  <c r="DI71" i="4"/>
  <c r="EL579" i="4"/>
  <c r="EG579" i="4"/>
  <c r="EH579" i="4" s="1"/>
  <c r="DL128" i="4"/>
  <c r="DN127" i="4"/>
  <c r="BR903" i="4"/>
  <c r="BX567" i="4"/>
  <c r="BW589" i="4"/>
  <c r="BX589" i="4" s="1"/>
  <c r="DO666" i="2"/>
  <c r="DO127" i="4"/>
  <c r="DO119" i="4"/>
  <c r="DO23" i="4"/>
  <c r="DR55" i="4"/>
  <c r="DT44" i="4"/>
  <c r="DR65" i="4"/>
  <c r="EI270" i="2"/>
  <c r="DP842" i="4"/>
  <c r="DO824" i="4"/>
  <c r="DO842" i="4" s="1"/>
  <c r="BR779" i="4"/>
  <c r="BW751" i="4"/>
  <c r="BV754" i="4"/>
  <c r="DG157" i="4"/>
  <c r="DH157" i="4" s="1"/>
  <c r="DG46" i="4"/>
  <c r="DI39" i="4"/>
  <c r="DL463" i="4"/>
  <c r="DN413" i="4"/>
  <c r="DN414" i="4" s="1"/>
  <c r="DS470" i="4"/>
  <c r="DB51" i="4"/>
  <c r="CZ72" i="4"/>
  <c r="CZ62" i="4"/>
  <c r="BT730" i="4"/>
  <c r="BT933" i="4" s="1"/>
  <c r="EJ214" i="4"/>
  <c r="EJ215" i="4"/>
  <c r="BQ736" i="4"/>
  <c r="BQ782" i="4" s="1"/>
  <c r="BQ779" i="4"/>
  <c r="DI473" i="4"/>
  <c r="DI417" i="4"/>
  <c r="DI45" i="4"/>
  <c r="DF149" i="4"/>
  <c r="BU686" i="4"/>
  <c r="EE253" i="2"/>
  <c r="EE637" i="2" s="1"/>
  <c r="EG253" i="2"/>
  <c r="EI253" i="2"/>
  <c r="EF637" i="2"/>
  <c r="BS697" i="4"/>
  <c r="DL36" i="4"/>
  <c r="DN23" i="4"/>
  <c r="DL26" i="4"/>
  <c r="EP69" i="3"/>
  <c r="EM70" i="2"/>
  <c r="EM86" i="2" s="1"/>
  <c r="DI464" i="4"/>
  <c r="DI465" i="4"/>
  <c r="BW866" i="4"/>
  <c r="DN424" i="4"/>
  <c r="DL425" i="4"/>
  <c r="DL426" i="4"/>
  <c r="BY865" i="4"/>
  <c r="EJ307" i="4"/>
  <c r="EJ306" i="4"/>
  <c r="BS906" i="4"/>
  <c r="CW7" i="4"/>
  <c r="BU867" i="4"/>
  <c r="BS943" i="4"/>
  <c r="BS945" i="4" s="1"/>
  <c r="BS656" i="4"/>
  <c r="BS698" i="4" s="1"/>
  <c r="BS662" i="4"/>
  <c r="BS704" i="4" s="1"/>
  <c r="BS907" i="4" s="1"/>
  <c r="DT842" i="4"/>
  <c r="DS824" i="4"/>
  <c r="DW824" i="4"/>
  <c r="EO835" i="4"/>
  <c r="EM835" i="4" s="1"/>
  <c r="EN835" i="4" s="1"/>
  <c r="BU673" i="4"/>
  <c r="BU679" i="4"/>
  <c r="BU721" i="4" s="1"/>
  <c r="DO383" i="2"/>
  <c r="DQ383" i="2" s="1"/>
  <c r="DO384" i="2"/>
  <c r="EH215" i="4"/>
  <c r="EH214" i="4"/>
  <c r="DN666" i="2"/>
  <c r="BW819" i="4"/>
  <c r="BX813" i="4"/>
  <c r="BX819" i="4" s="1"/>
  <c r="ED637" i="2"/>
  <c r="CG693" i="4"/>
  <c r="BY871" i="4"/>
  <c r="EI853" i="4"/>
  <c r="EG853" i="4" s="1"/>
  <c r="EH853" i="4" s="1"/>
  <c r="BS622" i="4"/>
  <c r="BS664" i="4" s="1"/>
  <c r="DN221" i="2"/>
  <c r="DM221" i="2" s="1"/>
  <c r="DN225" i="3"/>
  <c r="DM349" i="2"/>
  <c r="DD72" i="4"/>
  <c r="DD62" i="4"/>
  <c r="DD7" i="4"/>
  <c r="EH307" i="4"/>
  <c r="EH306" i="4"/>
  <c r="EI836" i="4"/>
  <c r="EG836" i="4" s="1"/>
  <c r="EH836" i="4" s="1"/>
  <c r="DN11" i="2"/>
  <c r="DN14" i="2"/>
  <c r="CG649" i="4"/>
  <c r="DR470" i="4"/>
  <c r="DT469" i="4"/>
  <c r="DT470" i="4" s="1"/>
  <c r="CE752" i="4"/>
  <c r="EJ85" i="2"/>
  <c r="EK85" i="2" s="1"/>
  <c r="EK86" i="2"/>
  <c r="BU912" i="4"/>
  <c r="BU873" i="4"/>
  <c r="BV870" i="4"/>
  <c r="CG691" i="4"/>
  <c r="BT670" i="4"/>
  <c r="BU670" i="4" s="1"/>
  <c r="BT709" i="4"/>
  <c r="DG137" i="4"/>
  <c r="DG481" i="4" s="1"/>
  <c r="DG149" i="4"/>
  <c r="DN409" i="4"/>
  <c r="DN410" i="4" s="1"/>
  <c r="DL452" i="4"/>
  <c r="DS54" i="4"/>
  <c r="DS64" i="4"/>
  <c r="ED416" i="2"/>
  <c r="DB70" i="4"/>
  <c r="DB60" i="4"/>
  <c r="BT688" i="4"/>
  <c r="CE652" i="4"/>
  <c r="EF854" i="4"/>
  <c r="ED854" i="4" s="1"/>
  <c r="EE854" i="4" s="1"/>
  <c r="DJ221" i="2"/>
  <c r="DK222" i="2"/>
  <c r="DJ222" i="2" s="1"/>
  <c r="EN383" i="4"/>
  <c r="EK305" i="4"/>
  <c r="EK386" i="4"/>
  <c r="EK213" i="4"/>
  <c r="BS712" i="4"/>
  <c r="BS739" i="4"/>
  <c r="BS785" i="4" s="1"/>
  <c r="BS948" i="4"/>
  <c r="BS912" i="4"/>
  <c r="EI855" i="4"/>
  <c r="EG855" i="4" s="1"/>
  <c r="EH855" i="4" s="1"/>
  <c r="DC68" i="4"/>
  <c r="DE47" i="4"/>
  <c r="DC49" i="4"/>
  <c r="DC58" i="4"/>
  <c r="DS55" i="4"/>
  <c r="DS65" i="4"/>
  <c r="BZ811" i="4"/>
  <c r="BY817" i="4"/>
  <c r="BY883" i="4" s="1"/>
  <c r="BY812" i="4"/>
  <c r="DR54" i="4"/>
  <c r="DT43" i="4"/>
  <c r="DR64" i="4"/>
  <c r="BU632" i="4"/>
  <c r="BU620" i="4"/>
  <c r="BV631" i="4"/>
  <c r="BV619" i="4"/>
  <c r="BT673" i="4"/>
  <c r="BT679" i="4"/>
  <c r="BT721" i="4" s="1"/>
  <c r="CZ152" i="3"/>
  <c r="DA150" i="3" s="1"/>
  <c r="BU894" i="4"/>
  <c r="DL131" i="4"/>
  <c r="DN17" i="4"/>
  <c r="DL31" i="4"/>
  <c r="DL20" i="4"/>
  <c r="DL3" i="4" s="1"/>
  <c r="DL21" i="4"/>
  <c r="DL4" i="4" s="1"/>
  <c r="ER834" i="4"/>
  <c r="DK224" i="3"/>
  <c r="CH650" i="4"/>
  <c r="EP383" i="4"/>
  <c r="ES383" i="4" s="1"/>
  <c r="EM305" i="4"/>
  <c r="EM213" i="4"/>
  <c r="EM386" i="4"/>
  <c r="CI644" i="4"/>
  <c r="BS715" i="4"/>
  <c r="DI427" i="4"/>
  <c r="DO17" i="4"/>
  <c r="DO424" i="4"/>
  <c r="DO352" i="4"/>
  <c r="DO409" i="4"/>
  <c r="DO413" i="4"/>
  <c r="DQ352" i="4"/>
  <c r="DR472" i="4"/>
  <c r="DT471" i="4"/>
  <c r="DT472" i="4" s="1"/>
  <c r="BU942" i="4"/>
  <c r="BU655" i="4"/>
  <c r="BU661" i="4"/>
  <c r="BU703" i="4" s="1"/>
  <c r="BU906" i="4" s="1"/>
  <c r="BV882" i="4"/>
  <c r="CT8" i="4"/>
  <c r="CV7" i="4"/>
  <c r="CV8" i="4" s="1"/>
  <c r="BZ816" i="4"/>
  <c r="CA810" i="4"/>
  <c r="BV864" i="4"/>
  <c r="DB643" i="4"/>
  <c r="BS674" i="4"/>
  <c r="BS716" i="4" s="1"/>
  <c r="BS919" i="4" s="1"/>
  <c r="BS680" i="4"/>
  <c r="BS722" i="4" s="1"/>
  <c r="BS925" i="4" s="1"/>
  <c r="BZ500" i="2"/>
  <c r="BZ499" i="2"/>
  <c r="BZ497" i="2"/>
  <c r="CA498" i="2"/>
  <c r="BZ504" i="2"/>
  <c r="BV590" i="4"/>
  <c r="BV584" i="4" s="1"/>
  <c r="BW568" i="4"/>
  <c r="BV625" i="4"/>
  <c r="BV637" i="4"/>
  <c r="BV685" i="4" s="1"/>
  <c r="BV888" i="4"/>
  <c r="BZ692" i="4"/>
  <c r="EJ835" i="4"/>
  <c r="EK835" i="4" s="1"/>
  <c r="DI453" i="4"/>
  <c r="BU956" i="4"/>
  <c r="BV860" i="4"/>
  <c r="DC161" i="4"/>
  <c r="DE160" i="4"/>
  <c r="BS949" i="4"/>
  <c r="BS740" i="4"/>
  <c r="BS786" i="4" s="1"/>
  <c r="BS913" i="4"/>
  <c r="BS730" i="4"/>
  <c r="BW877" i="4"/>
  <c r="BV895" i="4"/>
  <c r="BS634" i="4"/>
  <c r="BS682" i="4" s="1"/>
  <c r="DA8" i="4"/>
  <c r="EV85" i="4" l="1"/>
  <c r="EW84" i="4"/>
  <c r="EW88" i="4"/>
  <c r="EX87" i="4"/>
  <c r="I23" i="9"/>
  <c r="I24" i="9" s="1"/>
  <c r="EV837" i="4"/>
  <c r="EW837" i="4" s="1"/>
  <c r="FA837" i="4"/>
  <c r="EY837" i="4" s="1"/>
  <c r="EZ837" i="4" s="1"/>
  <c r="EX145" i="2"/>
  <c r="EW145" i="2" s="1"/>
  <c r="EY145" i="2"/>
  <c r="FA145" i="2" s="1"/>
  <c r="EZ145" i="2" s="1"/>
  <c r="FA505" i="4"/>
  <c r="FA504" i="4"/>
  <c r="DO143" i="4"/>
  <c r="DO140" i="4"/>
  <c r="DP143" i="4"/>
  <c r="DP140" i="4"/>
  <c r="DN143" i="4"/>
  <c r="DN140" i="4"/>
  <c r="K64" i="9"/>
  <c r="DH142" i="2"/>
  <c r="DF619" i="2"/>
  <c r="DF621" i="2" s="1"/>
  <c r="DF479" i="2"/>
  <c r="DF480" i="2" s="1"/>
  <c r="DF72" i="2"/>
  <c r="ET375" i="4"/>
  <c r="EQ203" i="4"/>
  <c r="EQ204" i="4" s="1"/>
  <c r="EQ295" i="4"/>
  <c r="EQ296" i="4" s="1"/>
  <c r="DA269" i="2"/>
  <c r="DA64" i="3" s="1"/>
  <c r="DA66" i="3" s="1"/>
  <c r="DB64" i="3"/>
  <c r="DB287" i="2"/>
  <c r="DI77" i="2"/>
  <c r="DG77" i="2"/>
  <c r="DE271" i="2"/>
  <c r="DC269" i="2"/>
  <c r="DE161" i="4"/>
  <c r="K11" i="9"/>
  <c r="EL19" i="4"/>
  <c r="EL33" i="4" s="1"/>
  <c r="DO186" i="2"/>
  <c r="EN19" i="4"/>
  <c r="EN33" i="4" s="1"/>
  <c r="EP19" i="4"/>
  <c r="EM33" i="4"/>
  <c r="DP280" i="2"/>
  <c r="DQ276" i="2"/>
  <c r="DR280" i="2"/>
  <c r="DQ65" i="4"/>
  <c r="DN3" i="4"/>
  <c r="BS221" i="2"/>
  <c r="BS222" i="2" s="1"/>
  <c r="BS225" i="3"/>
  <c r="BS141" i="2"/>
  <c r="BV141" i="2"/>
  <c r="BV384" i="2"/>
  <c r="BV380" i="2"/>
  <c r="BX380" i="2" s="1"/>
  <c r="BX385" i="2" s="1"/>
  <c r="BU141" i="2"/>
  <c r="BT140" i="2"/>
  <c r="BT141" i="2" s="1"/>
  <c r="BT91" i="2"/>
  <c r="BT385" i="2"/>
  <c r="BT396" i="2"/>
  <c r="BT485" i="2" s="1"/>
  <c r="BT349" i="2"/>
  <c r="BU225" i="3"/>
  <c r="BU221" i="2"/>
  <c r="CS414" i="2"/>
  <c r="CQ415" i="2"/>
  <c r="DG138" i="2"/>
  <c r="DI138" i="2"/>
  <c r="DH139" i="2"/>
  <c r="DE141" i="2"/>
  <c r="DD140" i="2"/>
  <c r="DD141" i="2" s="1"/>
  <c r="DF143" i="2"/>
  <c r="DF146" i="2" s="1"/>
  <c r="DG142" i="2" s="1"/>
  <c r="DM486" i="4"/>
  <c r="CY204" i="3"/>
  <c r="CX290" i="2"/>
  <c r="CY304" i="2"/>
  <c r="V57" i="9"/>
  <c r="CY328" i="2"/>
  <c r="CY513" i="2"/>
  <c r="CY640" i="2"/>
  <c r="CY120" i="3"/>
  <c r="CY327" i="2"/>
  <c r="CY329" i="2"/>
  <c r="CW235" i="3"/>
  <c r="CW330" i="2"/>
  <c r="CU235" i="3"/>
  <c r="CU330" i="2"/>
  <c r="DB292" i="2"/>
  <c r="CZ290" i="2"/>
  <c r="CW307" i="2"/>
  <c r="CW324" i="2" s="1"/>
  <c r="CW634" i="2"/>
  <c r="CW636" i="2" s="1"/>
  <c r="CW639" i="2" s="1"/>
  <c r="CW642" i="2" s="1"/>
  <c r="U61" i="9"/>
  <c r="U60" i="9" s="1"/>
  <c r="CU305" i="2"/>
  <c r="CU634" i="2" s="1"/>
  <c r="CU636" i="2" s="1"/>
  <c r="CU639" i="2" s="1"/>
  <c r="CU642" i="2" s="1"/>
  <c r="CV634" i="2"/>
  <c r="CV636" i="2" s="1"/>
  <c r="CV639" i="2" s="1"/>
  <c r="CV642" i="2" s="1"/>
  <c r="CV307" i="2"/>
  <c r="DF57" i="4"/>
  <c r="DH46" i="4"/>
  <c r="DH57" i="4" s="1"/>
  <c r="DN4" i="4"/>
  <c r="DI105" i="4"/>
  <c r="DI354" i="4" s="1"/>
  <c r="DI356" i="4" s="1"/>
  <c r="EP834" i="4"/>
  <c r="EQ834" i="4" s="1"/>
  <c r="EU834" i="4"/>
  <c r="ES213" i="4"/>
  <c r="EV383" i="4"/>
  <c r="EY383" i="4" s="1"/>
  <c r="ES305" i="4"/>
  <c r="ES386" i="4"/>
  <c r="EU81" i="4"/>
  <c r="ET82" i="4"/>
  <c r="EU190" i="2"/>
  <c r="ET190" i="2" s="1"/>
  <c r="EV178" i="3"/>
  <c r="EP70" i="2"/>
  <c r="EP86" i="2" s="1"/>
  <c r="EQ86" i="2" s="1"/>
  <c r="ES69" i="3"/>
  <c r="BP11" i="2"/>
  <c r="BP14" i="2"/>
  <c r="BU441" i="2"/>
  <c r="BS410" i="2"/>
  <c r="BS409" i="2"/>
  <c r="BS397" i="2" s="1"/>
  <c r="BS411" i="2"/>
  <c r="BP20" i="2"/>
  <c r="BQ411" i="2"/>
  <c r="BN14" i="2"/>
  <c r="BN11" i="2"/>
  <c r="BP472" i="2"/>
  <c r="BR397" i="2"/>
  <c r="BR25" i="2" s="1"/>
  <c r="BQ409" i="2"/>
  <c r="BQ397" i="2" s="1"/>
  <c r="BN20" i="2"/>
  <c r="BO400" i="2"/>
  <c r="BO14" i="2"/>
  <c r="BO11" i="2"/>
  <c r="BQ410" i="2"/>
  <c r="DM225" i="3"/>
  <c r="DI362" i="4"/>
  <c r="DI291" i="4"/>
  <c r="DI284" i="4"/>
  <c r="DI326" i="4"/>
  <c r="DI328" i="4" s="1"/>
  <c r="DI334" i="4" s="1"/>
  <c r="DI332" i="4" s="1"/>
  <c r="DI372" i="4"/>
  <c r="DI397" i="4"/>
  <c r="DM108" i="4"/>
  <c r="DM105" i="4" s="1"/>
  <c r="DM354" i="4" s="1"/>
  <c r="DM366" i="4"/>
  <c r="DM400" i="4"/>
  <c r="DM371" i="4"/>
  <c r="DM359" i="4"/>
  <c r="DI102" i="4"/>
  <c r="DI746" i="4" s="1"/>
  <c r="DI272" i="4"/>
  <c r="DI270" i="4" s="1"/>
  <c r="DI198" i="4"/>
  <c r="DI191" i="4"/>
  <c r="DI99" i="4"/>
  <c r="DI180" i="4"/>
  <c r="DQ472" i="4"/>
  <c r="DM483" i="4"/>
  <c r="DM466" i="4"/>
  <c r="DM479" i="4"/>
  <c r="DM91" i="4"/>
  <c r="DM235" i="4" s="1"/>
  <c r="DM237" i="4" s="1"/>
  <c r="DM92" i="4"/>
  <c r="DL91" i="4"/>
  <c r="DL235" i="4" s="1"/>
  <c r="DL92" i="4"/>
  <c r="DL93" i="4"/>
  <c r="DP147" i="4"/>
  <c r="DP137" i="4"/>
  <c r="DM128" i="4"/>
  <c r="DJ147" i="4"/>
  <c r="DJ140" i="4"/>
  <c r="DJ137" i="4"/>
  <c r="BU712" i="4"/>
  <c r="BU915" i="4" s="1"/>
  <c r="DZ823" i="4"/>
  <c r="DV823" i="4"/>
  <c r="DW841" i="4"/>
  <c r="DR823" i="4"/>
  <c r="DR841" i="4" s="1"/>
  <c r="DS841" i="4"/>
  <c r="BR939" i="4"/>
  <c r="BR736" i="4"/>
  <c r="BR782" i="4" s="1"/>
  <c r="BU622" i="4"/>
  <c r="BU664" i="4" s="1"/>
  <c r="DN21" i="4"/>
  <c r="BW570" i="4"/>
  <c r="BU739" i="4"/>
  <c r="BU785" i="4" s="1"/>
  <c r="ED852" i="4"/>
  <c r="EE852" i="4" s="1"/>
  <c r="EI852" i="4"/>
  <c r="BU688" i="4"/>
  <c r="BU896" i="4"/>
  <c r="EF822" i="4"/>
  <c r="EB822" i="4"/>
  <c r="EC840" i="4"/>
  <c r="EC846" i="4" s="1"/>
  <c r="EC847" i="4" s="1"/>
  <c r="EC848" i="4" s="1"/>
  <c r="EC849" i="4" s="1"/>
  <c r="EC828" i="4"/>
  <c r="EC829" i="4" s="1"/>
  <c r="EC830" i="4" s="1"/>
  <c r="EC831" i="4" s="1"/>
  <c r="DU828" i="4"/>
  <c r="DU829" i="4" s="1"/>
  <c r="DU830" i="4" s="1"/>
  <c r="DU831" i="4" s="1"/>
  <c r="DU840" i="4"/>
  <c r="DU846" i="4" s="1"/>
  <c r="DU847" i="4" s="1"/>
  <c r="DU848" i="4" s="1"/>
  <c r="DU849" i="4" s="1"/>
  <c r="DY828" i="4"/>
  <c r="DY829" i="4" s="1"/>
  <c r="DY830" i="4" s="1"/>
  <c r="DY831" i="4" s="1"/>
  <c r="DY840" i="4"/>
  <c r="DY846" i="4" s="1"/>
  <c r="DY847" i="4" s="1"/>
  <c r="DY848" i="4" s="1"/>
  <c r="DY849" i="4" s="1"/>
  <c r="DX822" i="4"/>
  <c r="BV633" i="4"/>
  <c r="BV621" i="4"/>
  <c r="BT681" i="4"/>
  <c r="BT723" i="4" s="1"/>
  <c r="BT926" i="4" s="1"/>
  <c r="BT675" i="4"/>
  <c r="BT717" i="4" s="1"/>
  <c r="BT920" i="4" s="1"/>
  <c r="BT944" i="4"/>
  <c r="BT945" i="4" s="1"/>
  <c r="BT663" i="4"/>
  <c r="BT705" i="4" s="1"/>
  <c r="BT908" i="4" s="1"/>
  <c r="BT657" i="4"/>
  <c r="BT699" i="4" s="1"/>
  <c r="BV639" i="4"/>
  <c r="BV687" i="4" s="1"/>
  <c r="BV627" i="4"/>
  <c r="BV669" i="4" s="1"/>
  <c r="DQ838" i="4"/>
  <c r="DQ843" i="4"/>
  <c r="DQ856" i="4" s="1"/>
  <c r="DT825" i="4"/>
  <c r="DP825" i="4"/>
  <c r="BU741" i="4"/>
  <c r="BU787" i="4" s="1"/>
  <c r="BU950" i="4"/>
  <c r="BU914" i="4"/>
  <c r="BU681" i="4"/>
  <c r="BU723" i="4" s="1"/>
  <c r="BU926" i="4" s="1"/>
  <c r="BU675" i="4"/>
  <c r="BU717" i="4" s="1"/>
  <c r="BU920" i="4" s="1"/>
  <c r="BX569" i="4"/>
  <c r="BW591" i="4"/>
  <c r="BW585" i="4" s="1"/>
  <c r="DM838" i="4"/>
  <c r="DM843" i="4"/>
  <c r="DM856" i="4" s="1"/>
  <c r="DL825" i="4"/>
  <c r="DI838" i="4"/>
  <c r="DI843" i="4"/>
  <c r="DI856" i="4" s="1"/>
  <c r="BU663" i="4"/>
  <c r="BU705" i="4" s="1"/>
  <c r="BU908" i="4" s="1"/>
  <c r="BU657" i="4"/>
  <c r="BU699" i="4" s="1"/>
  <c r="BU944" i="4"/>
  <c r="DJ463" i="4"/>
  <c r="DK413" i="4"/>
  <c r="DK414" i="4" s="1"/>
  <c r="DK352" i="4"/>
  <c r="DJ21" i="4"/>
  <c r="DJ4" i="4" s="1"/>
  <c r="DK17" i="4"/>
  <c r="DJ20" i="4"/>
  <c r="DJ3" i="4" s="1"/>
  <c r="DJ31" i="4"/>
  <c r="DM31" i="4"/>
  <c r="DS409" i="4"/>
  <c r="DS452" i="4" s="1"/>
  <c r="DS352" i="4"/>
  <c r="DS17" i="4"/>
  <c r="DS413" i="4"/>
  <c r="DS463" i="4" s="1"/>
  <c r="DS424" i="4"/>
  <c r="DP425" i="4"/>
  <c r="DP426" i="4"/>
  <c r="DP93" i="4" s="1"/>
  <c r="BU897" i="4"/>
  <c r="DM417" i="4"/>
  <c r="DM45" i="4"/>
  <c r="DM473" i="4"/>
  <c r="DJ426" i="4"/>
  <c r="DJ425" i="4"/>
  <c r="DK424" i="4"/>
  <c r="DM425" i="4"/>
  <c r="DN352" i="4"/>
  <c r="DP36" i="4"/>
  <c r="DP26" i="4"/>
  <c r="DP39" i="4" s="1"/>
  <c r="DS119" i="4"/>
  <c r="DS127" i="4"/>
  <c r="DV128" i="4" s="1"/>
  <c r="DS666" i="2"/>
  <c r="DS23" i="4"/>
  <c r="DT664" i="2"/>
  <c r="DP21" i="4"/>
  <c r="DP4" i="4" s="1"/>
  <c r="DP31" i="4"/>
  <c r="DP20" i="4"/>
  <c r="DP3" i="4" s="1"/>
  <c r="DJ36" i="4"/>
  <c r="DK23" i="4"/>
  <c r="DJ26" i="4"/>
  <c r="DM36" i="4"/>
  <c r="BU930" i="4"/>
  <c r="DJ452" i="4"/>
  <c r="DK409" i="4"/>
  <c r="DK410" i="4" s="1"/>
  <c r="DP128" i="4"/>
  <c r="DP453" i="4"/>
  <c r="DM134" i="4"/>
  <c r="DM71" i="4"/>
  <c r="DP465" i="4"/>
  <c r="DP464" i="4"/>
  <c r="DK666" i="2"/>
  <c r="DK119" i="4"/>
  <c r="DJ128" i="4"/>
  <c r="DK127" i="4"/>
  <c r="EE363" i="4"/>
  <c r="ED363" i="4"/>
  <c r="BV890" i="4"/>
  <c r="BV891" i="4" s="1"/>
  <c r="BU932" i="4"/>
  <c r="EG580" i="4"/>
  <c r="EH580" i="4" s="1"/>
  <c r="EL580" i="4"/>
  <c r="DO798" i="4"/>
  <c r="DN797" i="4"/>
  <c r="EF273" i="2"/>
  <c r="DE150" i="3"/>
  <c r="DE152" i="3" s="1"/>
  <c r="DF150" i="3" s="1"/>
  <c r="BS724" i="4"/>
  <c r="BS927" i="4" s="1"/>
  <c r="BV884" i="4"/>
  <c r="BV885" i="4" s="1"/>
  <c r="BV894" i="4"/>
  <c r="BV878" i="4"/>
  <c r="BV879" i="4" s="1"/>
  <c r="BW955" i="4"/>
  <c r="BX859" i="4"/>
  <c r="DR374" i="2"/>
  <c r="DQ566" i="2"/>
  <c r="DT374" i="2"/>
  <c r="DQ154" i="3"/>
  <c r="DQ384" i="2"/>
  <c r="DQ91" i="2"/>
  <c r="DP91" i="2" s="1"/>
  <c r="DQ349" i="2"/>
  <c r="BV632" i="4"/>
  <c r="BV620" i="4"/>
  <c r="BV586" i="4"/>
  <c r="DC643" i="4"/>
  <c r="BW882" i="4"/>
  <c r="DQ409" i="4"/>
  <c r="DQ410" i="4" s="1"/>
  <c r="DO452" i="4"/>
  <c r="EP386" i="4"/>
  <c r="EP305" i="4"/>
  <c r="EP213" i="4"/>
  <c r="DF68" i="4"/>
  <c r="DF58" i="4"/>
  <c r="DF49" i="4"/>
  <c r="EF416" i="2"/>
  <c r="DZ824" i="4"/>
  <c r="DW842" i="4"/>
  <c r="DV824" i="4"/>
  <c r="BZ865" i="4"/>
  <c r="BS658" i="4"/>
  <c r="DG57" i="4"/>
  <c r="DG47" i="4"/>
  <c r="DH47" i="4" s="1"/>
  <c r="DO26" i="4"/>
  <c r="DQ23" i="4"/>
  <c r="DQ36" i="4" s="1"/>
  <c r="DO36" i="4"/>
  <c r="BY753" i="4"/>
  <c r="BU957" i="4"/>
  <c r="CA514" i="2"/>
  <c r="BZ515" i="2"/>
  <c r="BW888" i="4"/>
  <c r="DR17" i="4"/>
  <c r="DT352" i="4"/>
  <c r="DR424" i="4"/>
  <c r="DR409" i="4"/>
  <c r="DR352" i="4"/>
  <c r="DR413" i="4"/>
  <c r="BY818" i="4"/>
  <c r="BY813" i="4"/>
  <c r="BZ812" i="4"/>
  <c r="DI131" i="4"/>
  <c r="DI133" i="4"/>
  <c r="DF150" i="4"/>
  <c r="DF154" i="4"/>
  <c r="DH149" i="4"/>
  <c r="DH150" i="4" s="1"/>
  <c r="DR127" i="4"/>
  <c r="DR119" i="4"/>
  <c r="DR666" i="2"/>
  <c r="DR23" i="4"/>
  <c r="BU674" i="4"/>
  <c r="BU716" i="4" s="1"/>
  <c r="BU919" i="4" s="1"/>
  <c r="BU680" i="4"/>
  <c r="BU722" i="4" s="1"/>
  <c r="BU925" i="4" s="1"/>
  <c r="CA811" i="4"/>
  <c r="CA817" i="4" s="1"/>
  <c r="BZ817" i="4"/>
  <c r="BZ883" i="4" s="1"/>
  <c r="DC70" i="4"/>
  <c r="DC60" i="4"/>
  <c r="DE49" i="4"/>
  <c r="DC51" i="4"/>
  <c r="DC6" i="4" s="1"/>
  <c r="DE6" i="4" s="1"/>
  <c r="DL453" i="4"/>
  <c r="DN452" i="4"/>
  <c r="DN453" i="4" s="1"/>
  <c r="BX877" i="4"/>
  <c r="BW895" i="4"/>
  <c r="BW860" i="4"/>
  <c r="BV956" i="4"/>
  <c r="BX625" i="4"/>
  <c r="BX637" i="4"/>
  <c r="BV867" i="4"/>
  <c r="BW864" i="4"/>
  <c r="BU924" i="4"/>
  <c r="BS676" i="4"/>
  <c r="DN20" i="4"/>
  <c r="DL30" i="2"/>
  <c r="DL34" i="4"/>
  <c r="DL71" i="4"/>
  <c r="BV673" i="4"/>
  <c r="BV679" i="4"/>
  <c r="BV721" i="4" s="1"/>
  <c r="DE68" i="4"/>
  <c r="DE58" i="4"/>
  <c r="EL855" i="4"/>
  <c r="EJ855" i="4" s="1"/>
  <c r="EK855" i="4" s="1"/>
  <c r="BS742" i="4"/>
  <c r="BS788" i="4" s="1"/>
  <c r="BS915" i="4"/>
  <c r="BT712" i="4"/>
  <c r="BT948" i="4"/>
  <c r="BT951" i="4" s="1"/>
  <c r="BT739" i="4"/>
  <c r="BT785" i="4" s="1"/>
  <c r="BT912" i="4"/>
  <c r="EL836" i="4"/>
  <c r="EJ836" i="4" s="1"/>
  <c r="EK836" i="4" s="1"/>
  <c r="BU634" i="4"/>
  <c r="BU682" i="4" s="1"/>
  <c r="ER835" i="4"/>
  <c r="DS842" i="4"/>
  <c r="DR824" i="4"/>
  <c r="DR842" i="4" s="1"/>
  <c r="EM85" i="2"/>
  <c r="EN85" i="2" s="1"/>
  <c r="EN86" i="2"/>
  <c r="DL39" i="4"/>
  <c r="DN26" i="4"/>
  <c r="BS733" i="4"/>
  <c r="BS700" i="4"/>
  <c r="BS936" i="4"/>
  <c r="BS900" i="4"/>
  <c r="EH253" i="2"/>
  <c r="EH637" i="2" s="1"/>
  <c r="EI637" i="2"/>
  <c r="EJ253" i="2"/>
  <c r="EL253" i="2"/>
  <c r="BX751" i="4"/>
  <c r="BW754" i="4"/>
  <c r="BW858" i="4"/>
  <c r="BV861" i="4"/>
  <c r="BV954" i="4"/>
  <c r="DA152" i="3"/>
  <c r="DH147" i="4"/>
  <c r="BV727" i="4"/>
  <c r="DO133" i="4"/>
  <c r="BS706" i="4"/>
  <c r="BS909" i="4" s="1"/>
  <c r="EJ270" i="2"/>
  <c r="EH270" i="2"/>
  <c r="BY567" i="4"/>
  <c r="BX583" i="4"/>
  <c r="BX872" i="4"/>
  <c r="DH140" i="4"/>
  <c r="CH651" i="4"/>
  <c r="BV667" i="4"/>
  <c r="DQ17" i="4"/>
  <c r="DO31" i="4"/>
  <c r="DO20" i="4"/>
  <c r="DO3" i="4" s="1"/>
  <c r="DO21" i="4"/>
  <c r="DO4" i="4" s="1"/>
  <c r="CH691" i="4"/>
  <c r="CH693" i="4"/>
  <c r="BS734" i="4"/>
  <c r="BS780" i="4" s="1"/>
  <c r="BS937" i="4"/>
  <c r="BS901" i="4"/>
  <c r="BU730" i="4"/>
  <c r="BU933" i="4" s="1"/>
  <c r="BS933" i="4"/>
  <c r="CB498" i="2"/>
  <c r="CA497" i="2"/>
  <c r="CA500" i="2"/>
  <c r="CA499" i="2"/>
  <c r="CA504" i="2"/>
  <c r="DL417" i="4"/>
  <c r="DL473" i="4"/>
  <c r="DN417" i="4"/>
  <c r="DL45" i="4"/>
  <c r="BS718" i="4"/>
  <c r="BS921" i="4" s="1"/>
  <c r="BS918" i="4"/>
  <c r="BV592" i="4"/>
  <c r="BV640" i="4" s="1"/>
  <c r="DO425" i="4"/>
  <c r="DQ424" i="4"/>
  <c r="DO426" i="4"/>
  <c r="CI650" i="4"/>
  <c r="BT924" i="4"/>
  <c r="DT64" i="4"/>
  <c r="DT54" i="4"/>
  <c r="EK215" i="4"/>
  <c r="EK214" i="4"/>
  <c r="CF652" i="4"/>
  <c r="CF752" i="4"/>
  <c r="CH649" i="4"/>
  <c r="BU715" i="4"/>
  <c r="DN426" i="4"/>
  <c r="DL486" i="4"/>
  <c r="DL479" i="4"/>
  <c r="DL427" i="4"/>
  <c r="DL483" i="4"/>
  <c r="BX866" i="4"/>
  <c r="EG637" i="2"/>
  <c r="DI474" i="4"/>
  <c r="DI475" i="4"/>
  <c r="CZ7" i="4"/>
  <c r="DL464" i="4"/>
  <c r="DN463" i="4"/>
  <c r="DN464" i="4" s="1"/>
  <c r="DL465" i="4"/>
  <c r="BW637" i="4"/>
  <c r="BW685" i="4" s="1"/>
  <c r="BX685" i="4" s="1"/>
  <c r="BW625" i="4"/>
  <c r="DI168" i="2"/>
  <c r="DI170" i="3"/>
  <c r="DI166" i="3" s="1"/>
  <c r="DI340" i="2"/>
  <c r="DI150" i="2"/>
  <c r="DI163" i="2"/>
  <c r="DI31" i="2"/>
  <c r="DI334" i="2"/>
  <c r="DI169" i="3"/>
  <c r="DI165" i="3" s="1"/>
  <c r="DI333" i="2"/>
  <c r="DI341" i="2"/>
  <c r="DI339" i="2"/>
  <c r="DI165" i="2"/>
  <c r="DI337" i="2"/>
  <c r="DI147" i="2"/>
  <c r="DI162" i="2"/>
  <c r="DI336" i="2"/>
  <c r="DI171" i="3"/>
  <c r="DI167" i="3" s="1"/>
  <c r="DI335" i="2"/>
  <c r="DI342" i="2"/>
  <c r="EN69" i="3"/>
  <c r="EO70" i="2"/>
  <c r="EN70" i="2" s="1"/>
  <c r="ER69" i="3"/>
  <c r="EU69" i="3" s="1"/>
  <c r="CQ645" i="4"/>
  <c r="EL578" i="4"/>
  <c r="EG578" i="4"/>
  <c r="EH578" i="4" s="1"/>
  <c r="BU740" i="4"/>
  <c r="BU786" i="4" s="1"/>
  <c r="BU949" i="4"/>
  <c r="BU913" i="4"/>
  <c r="BT906" i="4"/>
  <c r="CA692" i="4"/>
  <c r="BW590" i="4"/>
  <c r="BW584" i="4" s="1"/>
  <c r="BX568" i="4"/>
  <c r="CJ644" i="4"/>
  <c r="DN366" i="2"/>
  <c r="K46" i="9" s="1"/>
  <c r="DN27" i="2"/>
  <c r="DQ27" i="2"/>
  <c r="DN223" i="3"/>
  <c r="DN365" i="2"/>
  <c r="EL853" i="4"/>
  <c r="EJ853" i="4" s="1"/>
  <c r="EK853" i="4" s="1"/>
  <c r="DO128" i="4"/>
  <c r="DQ127" i="4"/>
  <c r="DC152" i="3"/>
  <c r="DD150" i="3" s="1"/>
  <c r="BT697" i="4"/>
  <c r="EK149" i="3"/>
  <c r="EL149" i="3" s="1"/>
  <c r="BV638" i="4"/>
  <c r="BV686" i="4" s="1"/>
  <c r="BV626" i="4"/>
  <c r="BV668" i="4" s="1"/>
  <c r="CB810" i="4"/>
  <c r="CA816" i="4"/>
  <c r="BU697" i="4"/>
  <c r="EM214" i="4"/>
  <c r="EM215" i="4"/>
  <c r="BT715" i="4"/>
  <c r="EK306" i="4"/>
  <c r="EK307" i="4"/>
  <c r="CY7" i="4"/>
  <c r="CY8" i="4" s="1"/>
  <c r="CW8" i="4"/>
  <c r="DI486" i="4"/>
  <c r="DI466" i="4"/>
  <c r="DT65" i="4"/>
  <c r="DT55" i="4"/>
  <c r="DL133" i="4"/>
  <c r="DI11" i="4"/>
  <c r="BW876" i="4"/>
  <c r="DQ413" i="4"/>
  <c r="DQ414" i="4" s="1"/>
  <c r="DO463" i="4"/>
  <c r="EM307" i="4"/>
  <c r="EM306" i="4"/>
  <c r="DN131" i="4"/>
  <c r="BV942" i="4"/>
  <c r="BV655" i="4"/>
  <c r="BV661" i="4"/>
  <c r="BV703" i="4" s="1"/>
  <c r="BV906" i="4" s="1"/>
  <c r="BU943" i="4"/>
  <c r="BU656" i="4"/>
  <c r="BU698" i="4" s="1"/>
  <c r="BU662" i="4"/>
  <c r="BU704" i="4" s="1"/>
  <c r="BU907" i="4" s="1"/>
  <c r="BS951" i="4"/>
  <c r="EN213" i="4"/>
  <c r="EN305" i="4"/>
  <c r="EN386" i="4"/>
  <c r="EQ383" i="4"/>
  <c r="ET383" i="4" s="1"/>
  <c r="EI854" i="4"/>
  <c r="EG854" i="4" s="1"/>
  <c r="EH854" i="4" s="1"/>
  <c r="DG150" i="4"/>
  <c r="DG154" i="4"/>
  <c r="BV873" i="4"/>
  <c r="BW870" i="4"/>
  <c r="DD8" i="4"/>
  <c r="BZ871" i="4"/>
  <c r="DI56" i="4"/>
  <c r="DI66" i="4"/>
  <c r="DI42" i="4"/>
  <c r="DB72" i="4"/>
  <c r="DB62" i="4"/>
  <c r="DQ119" i="4"/>
  <c r="DQ666" i="2"/>
  <c r="BW583" i="4"/>
  <c r="EO579" i="4"/>
  <c r="EJ579" i="4"/>
  <c r="EK579" i="4" s="1"/>
  <c r="BX889" i="4"/>
  <c r="EK268" i="2"/>
  <c r="EM268" i="2"/>
  <c r="EO268" i="2" s="1"/>
  <c r="EP268" i="2" s="1"/>
  <c r="ER268" i="2" s="1"/>
  <c r="BT734" i="4"/>
  <c r="BT780" i="4" s="1"/>
  <c r="BT937" i="4"/>
  <c r="BT901" i="4"/>
  <c r="EX88" i="4" l="1"/>
  <c r="EY87" i="4"/>
  <c r="EW85" i="4"/>
  <c r="EX84" i="4"/>
  <c r="EY386" i="4"/>
  <c r="EY213" i="4"/>
  <c r="EY305" i="4"/>
  <c r="DL176" i="3"/>
  <c r="DL52" i="3"/>
  <c r="DR143" i="4"/>
  <c r="DR140" i="4"/>
  <c r="DS143" i="4"/>
  <c r="DS140" i="4"/>
  <c r="DQ143" i="4"/>
  <c r="DQ140" i="4"/>
  <c r="DH143" i="2"/>
  <c r="DH146" i="2" s="1"/>
  <c r="DK142" i="2" s="1"/>
  <c r="L64" i="9"/>
  <c r="L65" i="9" s="1"/>
  <c r="J64" i="9"/>
  <c r="J65" i="9" s="1"/>
  <c r="DK128" i="4"/>
  <c r="DK143" i="4"/>
  <c r="DK77" i="2"/>
  <c r="DI74" i="2"/>
  <c r="DA287" i="2"/>
  <c r="DA630" i="2" s="1"/>
  <c r="DA631" i="2" s="1"/>
  <c r="DB630" i="2"/>
  <c r="DB631" i="2" s="1"/>
  <c r="DF4" i="3"/>
  <c r="DF10" i="3" s="1"/>
  <c r="DF178" i="2"/>
  <c r="DF331" i="2"/>
  <c r="DF343" i="2"/>
  <c r="DF68" i="2"/>
  <c r="DF161" i="2"/>
  <c r="DF73" i="2"/>
  <c r="DC64" i="3"/>
  <c r="DC66" i="3" s="1"/>
  <c r="DC287" i="2"/>
  <c r="DC630" i="2" s="1"/>
  <c r="DC631" i="2" s="1"/>
  <c r="DF271" i="2"/>
  <c r="DD271" i="2"/>
  <c r="DE269" i="2"/>
  <c r="DB66" i="3"/>
  <c r="EW375" i="4"/>
  <c r="EZ375" i="4" s="1"/>
  <c r="ET295" i="4"/>
  <c r="ET296" i="4" s="1"/>
  <c r="ET203" i="4"/>
  <c r="ET204" i="4" s="1"/>
  <c r="L13" i="9"/>
  <c r="K13" i="9"/>
  <c r="EO19" i="4"/>
  <c r="EO33" i="4" s="1"/>
  <c r="DR276" i="2"/>
  <c r="DT280" i="2"/>
  <c r="AB59" i="9"/>
  <c r="DP276" i="2"/>
  <c r="DQ186" i="2"/>
  <c r="DP186" i="2" s="1"/>
  <c r="ES19" i="4"/>
  <c r="EP33" i="4"/>
  <c r="EQ19" i="4"/>
  <c r="EQ33" i="4" s="1"/>
  <c r="BU222" i="2"/>
  <c r="BT222" i="2" s="1"/>
  <c r="BT221" i="2"/>
  <c r="BT384" i="2"/>
  <c r="BT566" i="2"/>
  <c r="BX566" i="2"/>
  <c r="CA374" i="2"/>
  <c r="CA385" i="2" s="1"/>
  <c r="BX384" i="2"/>
  <c r="BX91" i="2"/>
  <c r="BW91" i="2" s="1"/>
  <c r="BX140" i="2"/>
  <c r="BX349" i="2"/>
  <c r="BT225" i="3"/>
  <c r="CS415" i="2"/>
  <c r="CR415" i="2" s="1"/>
  <c r="CT414" i="2"/>
  <c r="CR414" i="2"/>
  <c r="EP85" i="2"/>
  <c r="EQ85" i="2" s="1"/>
  <c r="DH140" i="2"/>
  <c r="DG139" i="2"/>
  <c r="DG143" i="2" s="1"/>
  <c r="DG146" i="2" s="1"/>
  <c r="DK138" i="2"/>
  <c r="DI139" i="2"/>
  <c r="DI140" i="2" s="1"/>
  <c r="DI141" i="2" s="1"/>
  <c r="BV634" i="4"/>
  <c r="BV682" i="4" s="1"/>
  <c r="DI106" i="4"/>
  <c r="F47" i="9"/>
  <c r="CX329" i="2"/>
  <c r="CY235" i="3"/>
  <c r="CY330" i="2"/>
  <c r="CX304" i="2"/>
  <c r="CY305" i="2"/>
  <c r="F49" i="9"/>
  <c r="CY236" i="3"/>
  <c r="CX640" i="2"/>
  <c r="CX327" i="2"/>
  <c r="CX120" i="3"/>
  <c r="CX328" i="2"/>
  <c r="CX236" i="3" s="1"/>
  <c r="CX513" i="2"/>
  <c r="CZ204" i="3"/>
  <c r="CZ304" i="2"/>
  <c r="CZ305" i="2" s="1"/>
  <c r="CZ120" i="3"/>
  <c r="CZ127" i="3" s="1"/>
  <c r="CZ513" i="2"/>
  <c r="CZ328" i="2"/>
  <c r="CZ236" i="3" s="1"/>
  <c r="CZ329" i="2"/>
  <c r="CZ327" i="2"/>
  <c r="CZ640" i="2"/>
  <c r="CU307" i="2"/>
  <c r="CU324" i="2" s="1"/>
  <c r="CV324" i="2"/>
  <c r="DA292" i="2"/>
  <c r="DB290" i="2"/>
  <c r="DC292" i="2"/>
  <c r="DI747" i="4"/>
  <c r="DI759" i="4" s="1"/>
  <c r="DI767" i="4" s="1"/>
  <c r="EW178" i="3"/>
  <c r="EX178" i="3" s="1"/>
  <c r="EV190" i="2"/>
  <c r="ES215" i="4"/>
  <c r="ES214" i="4"/>
  <c r="ET305" i="4"/>
  <c r="ET213" i="4"/>
  <c r="ET386" i="4"/>
  <c r="EW383" i="4"/>
  <c r="EZ383" i="4" s="1"/>
  <c r="ET69" i="3"/>
  <c r="EU70" i="2"/>
  <c r="EX69" i="3"/>
  <c r="FA69" i="3" s="1"/>
  <c r="ES268" i="2"/>
  <c r="EU268" i="2" s="1"/>
  <c r="EQ268" i="2"/>
  <c r="ES70" i="2"/>
  <c r="ES86" i="2" s="1"/>
  <c r="EV69" i="3"/>
  <c r="EU82" i="4"/>
  <c r="EV81" i="4"/>
  <c r="ES306" i="4"/>
  <c r="ES307" i="4"/>
  <c r="ES834" i="4"/>
  <c r="ET834" i="4" s="1"/>
  <c r="EX834" i="4"/>
  <c r="EP835" i="4"/>
  <c r="EQ835" i="4" s="1"/>
  <c r="EU835" i="4"/>
  <c r="ES835" i="4" s="1"/>
  <c r="ET835" i="4" s="1"/>
  <c r="EV213" i="4"/>
  <c r="EV386" i="4"/>
  <c r="EV305" i="4"/>
  <c r="DQ4" i="4"/>
  <c r="DQ3" i="4"/>
  <c r="BS25" i="2"/>
  <c r="DI265" i="4"/>
  <c r="DI266" i="4" s="1"/>
  <c r="BQ25" i="2"/>
  <c r="DI173" i="4"/>
  <c r="DI205" i="4" s="1"/>
  <c r="BR154" i="3"/>
  <c r="BR398" i="2"/>
  <c r="BO20" i="2"/>
  <c r="BO472" i="2"/>
  <c r="BV441" i="2"/>
  <c r="BU409" i="2"/>
  <c r="BU410" i="2"/>
  <c r="BU411" i="2"/>
  <c r="BN365" i="2"/>
  <c r="BN223" i="3" s="1"/>
  <c r="BN27" i="2"/>
  <c r="BN366" i="2"/>
  <c r="BN224" i="3" s="1"/>
  <c r="BO365" i="2"/>
  <c r="BO223" i="3" s="1"/>
  <c r="BO27" i="2"/>
  <c r="BO366" i="2"/>
  <c r="BO224" i="3" s="1"/>
  <c r="BQ400" i="2"/>
  <c r="BQ154" i="3"/>
  <c r="BQ398" i="2"/>
  <c r="BS400" i="2"/>
  <c r="BS472" i="2" s="1"/>
  <c r="BS398" i="2"/>
  <c r="BP366" i="2"/>
  <c r="BP224" i="3" s="1"/>
  <c r="BP27" i="2"/>
  <c r="BP365" i="2"/>
  <c r="BP223" i="3" s="1"/>
  <c r="DI5" i="4"/>
  <c r="DK21" i="4"/>
  <c r="DK4" i="4"/>
  <c r="BX570" i="4"/>
  <c r="DM489" i="4"/>
  <c r="DM46" i="4" s="1"/>
  <c r="DM47" i="4" s="1"/>
  <c r="DP108" i="4"/>
  <c r="DP109" i="4" s="1"/>
  <c r="DP359" i="4"/>
  <c r="DP400" i="4"/>
  <c r="DP371" i="4"/>
  <c r="DP366" i="4"/>
  <c r="DL326" i="4"/>
  <c r="DL328" i="4" s="1"/>
  <c r="DL291" i="4"/>
  <c r="DL284" i="4"/>
  <c r="DM362" i="4"/>
  <c r="DM356" i="4"/>
  <c r="DI398" i="4"/>
  <c r="DI280" i="4"/>
  <c r="DI387" i="4"/>
  <c r="DI389" i="4" s="1"/>
  <c r="DI390" i="4" s="1"/>
  <c r="DL108" i="4"/>
  <c r="DL105" i="4" s="1"/>
  <c r="DL354" i="4" s="1"/>
  <c r="DL400" i="4"/>
  <c r="DN400" i="4" s="1"/>
  <c r="DL359" i="4"/>
  <c r="DN359" i="4" s="1"/>
  <c r="DL371" i="4"/>
  <c r="DL366" i="4"/>
  <c r="DM284" i="4"/>
  <c r="DM326" i="4"/>
  <c r="DM291" i="4"/>
  <c r="DM397" i="4"/>
  <c r="DM398" i="4" s="1"/>
  <c r="DI289" i="4"/>
  <c r="DI292" i="4"/>
  <c r="DI323" i="4"/>
  <c r="DI103" i="4"/>
  <c r="DM102" i="4"/>
  <c r="DM265" i="4" s="1"/>
  <c r="DM272" i="4"/>
  <c r="DM238" i="4"/>
  <c r="DM243" i="4"/>
  <c r="DL102" i="4"/>
  <c r="DL265" i="4" s="1"/>
  <c r="DL272" i="4"/>
  <c r="DL270" i="4" s="1"/>
  <c r="DN235" i="4"/>
  <c r="DL237" i="4"/>
  <c r="DL243" i="4" s="1"/>
  <c r="DI100" i="4"/>
  <c r="DI745" i="4"/>
  <c r="DI757" i="4" s="1"/>
  <c r="DI765" i="4" s="1"/>
  <c r="DM191" i="4"/>
  <c r="DM198" i="4"/>
  <c r="DL198" i="4"/>
  <c r="DL191" i="4"/>
  <c r="DI188" i="4"/>
  <c r="DI196" i="4"/>
  <c r="DI165" i="4"/>
  <c r="DI199" i="4"/>
  <c r="DL99" i="4"/>
  <c r="DL173" i="4" s="1"/>
  <c r="DL180" i="4"/>
  <c r="DL178" i="4" s="1"/>
  <c r="DM99" i="4"/>
  <c r="DM180" i="4"/>
  <c r="DM178" i="4" s="1"/>
  <c r="DI178" i="4"/>
  <c r="DI181" i="4"/>
  <c r="DO91" i="4"/>
  <c r="DO235" i="4" s="1"/>
  <c r="DO92" i="4"/>
  <c r="DO93" i="4"/>
  <c r="DN92" i="4"/>
  <c r="DN91" i="4"/>
  <c r="DQ425" i="4"/>
  <c r="DJ91" i="4"/>
  <c r="DJ235" i="4" s="1"/>
  <c r="DJ237" i="4" s="1"/>
  <c r="DJ92" i="4"/>
  <c r="DI378" i="4"/>
  <c r="DI355" i="4"/>
  <c r="DN93" i="4"/>
  <c r="DP92" i="4"/>
  <c r="DP91" i="4"/>
  <c r="DP235" i="4" s="1"/>
  <c r="DP237" i="4" s="1"/>
  <c r="DJ93" i="4"/>
  <c r="DI758" i="4"/>
  <c r="DI766" i="4" s="1"/>
  <c r="DM747" i="4"/>
  <c r="DM759" i="4" s="1"/>
  <c r="DM767" i="4" s="1"/>
  <c r="DK425" i="4"/>
  <c r="DV841" i="4"/>
  <c r="DU823" i="4"/>
  <c r="DU841" i="4" s="1"/>
  <c r="EC823" i="4"/>
  <c r="DY823" i="4"/>
  <c r="DZ841" i="4"/>
  <c r="BV688" i="4"/>
  <c r="BT658" i="4"/>
  <c r="BU951" i="4"/>
  <c r="BT724" i="4"/>
  <c r="BT927" i="4" s="1"/>
  <c r="BT676" i="4"/>
  <c r="EL852" i="4"/>
  <c r="EG852" i="4"/>
  <c r="EH852" i="4" s="1"/>
  <c r="BV622" i="4"/>
  <c r="BV664" i="4" s="1"/>
  <c r="BU945" i="4"/>
  <c r="DP466" i="4"/>
  <c r="BT706" i="4"/>
  <c r="BT909" i="4" s="1"/>
  <c r="BU676" i="4"/>
  <c r="BV896" i="4"/>
  <c r="DQ21" i="4"/>
  <c r="EB840" i="4"/>
  <c r="EB846" i="4" s="1"/>
  <c r="EB847" i="4" s="1"/>
  <c r="EB848" i="4" s="1"/>
  <c r="EB849" i="4" s="1"/>
  <c r="EB828" i="4"/>
  <c r="EB829" i="4" s="1"/>
  <c r="EB830" i="4" s="1"/>
  <c r="EB831" i="4" s="1"/>
  <c r="EA822" i="4"/>
  <c r="DX840" i="4"/>
  <c r="DX846" i="4" s="1"/>
  <c r="DX847" i="4" s="1"/>
  <c r="DX848" i="4" s="1"/>
  <c r="DX849" i="4" s="1"/>
  <c r="DX828" i="4"/>
  <c r="DX829" i="4" s="1"/>
  <c r="DX830" i="4" s="1"/>
  <c r="DX831" i="4" s="1"/>
  <c r="EE822" i="4"/>
  <c r="EI822" i="4"/>
  <c r="EF828" i="4"/>
  <c r="EF829" i="4" s="1"/>
  <c r="EF830" i="4" s="1"/>
  <c r="EF831" i="4" s="1"/>
  <c r="EF840" i="4"/>
  <c r="EF846" i="4" s="1"/>
  <c r="EF847" i="4" s="1"/>
  <c r="EF848" i="4" s="1"/>
  <c r="EF849" i="4" s="1"/>
  <c r="BU706" i="4"/>
  <c r="BU909" i="4" s="1"/>
  <c r="BW592" i="4"/>
  <c r="BW640" i="4" s="1"/>
  <c r="DW825" i="4"/>
  <c r="DS825" i="4"/>
  <c r="DT838" i="4"/>
  <c r="DT843" i="4"/>
  <c r="DT856" i="4" s="1"/>
  <c r="BV729" i="4"/>
  <c r="BW621" i="4"/>
  <c r="BW633" i="4"/>
  <c r="BT735" i="4"/>
  <c r="BT781" i="4" s="1"/>
  <c r="BT938" i="4"/>
  <c r="BT902" i="4"/>
  <c r="BU735" i="4"/>
  <c r="BU781" i="4" s="1"/>
  <c r="BU938" i="4"/>
  <c r="BU902" i="4"/>
  <c r="DL843" i="4"/>
  <c r="DL856" i="4" s="1"/>
  <c r="DL838" i="4"/>
  <c r="BX591" i="4"/>
  <c r="BW627" i="4"/>
  <c r="BW669" i="4" s="1"/>
  <c r="BW711" i="4" s="1"/>
  <c r="BW639" i="4"/>
  <c r="BW687" i="4" s="1"/>
  <c r="BW729" i="4" s="1"/>
  <c r="BV663" i="4"/>
  <c r="BV705" i="4" s="1"/>
  <c r="BV908" i="4" s="1"/>
  <c r="BV657" i="4"/>
  <c r="BV699" i="4" s="1"/>
  <c r="BV944" i="4"/>
  <c r="BY569" i="4"/>
  <c r="DP838" i="4"/>
  <c r="DP843" i="4"/>
  <c r="DP856" i="4" s="1"/>
  <c r="DO825" i="4"/>
  <c r="BV711" i="4"/>
  <c r="BV681" i="4"/>
  <c r="BV723" i="4" s="1"/>
  <c r="BV926" i="4" s="1"/>
  <c r="BV675" i="4"/>
  <c r="BV717" i="4" s="1"/>
  <c r="BV920" i="4" s="1"/>
  <c r="DJ453" i="4"/>
  <c r="DK452" i="4"/>
  <c r="DK453" i="4" s="1"/>
  <c r="DS453" i="4"/>
  <c r="DN128" i="4"/>
  <c r="DP131" i="4"/>
  <c r="DM474" i="4"/>
  <c r="DM475" i="4"/>
  <c r="DN425" i="4"/>
  <c r="DS20" i="4"/>
  <c r="DS3" i="4" s="1"/>
  <c r="DS21" i="4"/>
  <c r="DS4" i="4" s="1"/>
  <c r="DS31" i="4"/>
  <c r="DJ465" i="4"/>
  <c r="DJ464" i="4"/>
  <c r="DK463" i="4"/>
  <c r="DK464" i="4" s="1"/>
  <c r="DK36" i="4"/>
  <c r="DS36" i="4"/>
  <c r="DS26" i="4"/>
  <c r="DS39" i="4" s="1"/>
  <c r="DS464" i="4"/>
  <c r="DS465" i="4"/>
  <c r="DK31" i="4"/>
  <c r="BX590" i="4"/>
  <c r="BX638" i="4" s="1"/>
  <c r="DN36" i="4"/>
  <c r="DM149" i="4"/>
  <c r="DP71" i="4"/>
  <c r="DP34" i="4"/>
  <c r="DS128" i="4"/>
  <c r="DM42" i="4"/>
  <c r="DM66" i="4"/>
  <c r="DP427" i="4"/>
  <c r="DP479" i="4"/>
  <c r="DP486" i="4"/>
  <c r="DP483" i="4"/>
  <c r="DN31" i="4"/>
  <c r="DK26" i="4"/>
  <c r="DK39" i="4" s="1"/>
  <c r="DM39" i="4"/>
  <c r="DJ39" i="4"/>
  <c r="DK417" i="4"/>
  <c r="DJ473" i="4"/>
  <c r="DJ417" i="4"/>
  <c r="DJ45" i="4"/>
  <c r="DJ427" i="4"/>
  <c r="DK426" i="4"/>
  <c r="DM427" i="4"/>
  <c r="DP473" i="4"/>
  <c r="DP45" i="4"/>
  <c r="DP417" i="4"/>
  <c r="DS425" i="4"/>
  <c r="DS426" i="4"/>
  <c r="DK3" i="4"/>
  <c r="DJ71" i="4"/>
  <c r="DM34" i="4"/>
  <c r="DJ34" i="4"/>
  <c r="DK20" i="4"/>
  <c r="DN34" i="4" s="1"/>
  <c r="EG273" i="2"/>
  <c r="EE273" i="2"/>
  <c r="EJ580" i="4"/>
  <c r="EK580" i="4" s="1"/>
  <c r="EO580" i="4"/>
  <c r="DP798" i="4"/>
  <c r="DO797" i="4"/>
  <c r="BV897" i="4"/>
  <c r="BU742" i="4"/>
  <c r="BU788" i="4" s="1"/>
  <c r="BW890" i="4"/>
  <c r="BW891" i="4" s="1"/>
  <c r="BW884" i="4"/>
  <c r="BW885" i="4" s="1"/>
  <c r="BY859" i="4"/>
  <c r="BX955" i="4"/>
  <c r="BW878" i="4"/>
  <c r="BW879" i="4" s="1"/>
  <c r="DR133" i="4"/>
  <c r="CA883" i="4"/>
  <c r="CI693" i="4"/>
  <c r="BY589" i="4"/>
  <c r="BY583" i="4" s="1"/>
  <c r="BZ567" i="4"/>
  <c r="DQ131" i="4"/>
  <c r="EK253" i="2"/>
  <c r="EK637" i="2" s="1"/>
  <c r="EL637" i="2"/>
  <c r="EM253" i="2"/>
  <c r="EO253" i="2"/>
  <c r="BW867" i="4"/>
  <c r="BX864" i="4"/>
  <c r="DR463" i="4"/>
  <c r="DT413" i="4"/>
  <c r="DT414" i="4" s="1"/>
  <c r="DT17" i="4"/>
  <c r="DR31" i="4"/>
  <c r="DR20" i="4"/>
  <c r="DR3" i="4" s="1"/>
  <c r="DR21" i="4"/>
  <c r="DR4" i="4" s="1"/>
  <c r="CB514" i="2"/>
  <c r="CA515" i="2"/>
  <c r="DV842" i="4"/>
  <c r="DU824" i="4"/>
  <c r="DU842" i="4" s="1"/>
  <c r="BU724" i="4"/>
  <c r="BU927" i="4" s="1"/>
  <c r="DH68" i="4"/>
  <c r="DH58" i="4"/>
  <c r="DG160" i="4"/>
  <c r="DG155" i="4"/>
  <c r="EL854" i="4"/>
  <c r="EJ854" i="4" s="1"/>
  <c r="EK854" i="4" s="1"/>
  <c r="EN214" i="4"/>
  <c r="EN215" i="4"/>
  <c r="DN133" i="4"/>
  <c r="DL134" i="4"/>
  <c r="BU733" i="4"/>
  <c r="BU700" i="4"/>
  <c r="BU936" i="4"/>
  <c r="BU900" i="4"/>
  <c r="BV710" i="4"/>
  <c r="CK644" i="4"/>
  <c r="EQ69" i="3"/>
  <c r="ER70" i="2"/>
  <c r="EQ70" i="2" s="1"/>
  <c r="DI476" i="4"/>
  <c r="DN473" i="4"/>
  <c r="DN474" i="4" s="1"/>
  <c r="DL474" i="4"/>
  <c r="DL475" i="4"/>
  <c r="DQ31" i="4"/>
  <c r="CI651" i="4"/>
  <c r="BW861" i="4"/>
  <c r="BW954" i="4"/>
  <c r="BX858" i="4"/>
  <c r="BX754" i="4"/>
  <c r="BY751" i="4"/>
  <c r="EJ637" i="2"/>
  <c r="BS939" i="4"/>
  <c r="BS903" i="4"/>
  <c r="EO855" i="4"/>
  <c r="EM855" i="4" s="1"/>
  <c r="EN855" i="4" s="1"/>
  <c r="DQ452" i="4"/>
  <c r="DQ453" i="4" s="1"/>
  <c r="DO453" i="4"/>
  <c r="DD643" i="4"/>
  <c r="BV697" i="4"/>
  <c r="DI487" i="4"/>
  <c r="BT733" i="4"/>
  <c r="BT700" i="4"/>
  <c r="BT936" i="4"/>
  <c r="BT900" i="4"/>
  <c r="DN465" i="4"/>
  <c r="DL466" i="4"/>
  <c r="BY866" i="4"/>
  <c r="EN268" i="2"/>
  <c r="DO397" i="2"/>
  <c r="BU734" i="4"/>
  <c r="BU780" i="4" s="1"/>
  <c r="BU937" i="4"/>
  <c r="BU901" i="4"/>
  <c r="BU658" i="4"/>
  <c r="BV728" i="4"/>
  <c r="DO134" i="4"/>
  <c r="DN224" i="3"/>
  <c r="BY568" i="4"/>
  <c r="CB692" i="4"/>
  <c r="DD152" i="3"/>
  <c r="CR645" i="4"/>
  <c r="DN483" i="4"/>
  <c r="DN484" i="4" s="1"/>
  <c r="BU718" i="4"/>
  <c r="BU921" i="4" s="1"/>
  <c r="BU918" i="4"/>
  <c r="CG752" i="4"/>
  <c r="CJ650" i="4"/>
  <c r="CB504" i="2"/>
  <c r="CB500" i="2"/>
  <c r="CC498" i="2"/>
  <c r="CB497" i="2"/>
  <c r="CB499" i="2"/>
  <c r="CI691" i="4"/>
  <c r="BV628" i="4"/>
  <c r="BS736" i="4"/>
  <c r="BS782" i="4" s="1"/>
  <c r="BS779" i="4"/>
  <c r="EO836" i="4"/>
  <c r="EM836" i="4" s="1"/>
  <c r="EN836" i="4" s="1"/>
  <c r="BV715" i="4"/>
  <c r="DL339" i="2"/>
  <c r="DL334" i="2"/>
  <c r="DL163" i="2"/>
  <c r="DL150" i="2"/>
  <c r="DL333" i="2"/>
  <c r="DL340" i="2"/>
  <c r="DL165" i="2"/>
  <c r="DL31" i="2"/>
  <c r="DL169" i="3"/>
  <c r="DL165" i="3" s="1"/>
  <c r="DL341" i="2"/>
  <c r="DL170" i="3"/>
  <c r="DL166" i="3" s="1"/>
  <c r="DL162" i="2"/>
  <c r="DL147" i="2"/>
  <c r="DL337" i="2"/>
  <c r="DL336" i="2"/>
  <c r="DL342" i="2"/>
  <c r="DL335" i="2"/>
  <c r="DL171" i="3"/>
  <c r="DL167" i="3" s="1"/>
  <c r="DF160" i="4"/>
  <c r="DF155" i="4"/>
  <c r="DH154" i="4"/>
  <c r="DH155" i="4" s="1"/>
  <c r="DO39" i="4"/>
  <c r="DQ26" i="4"/>
  <c r="DQ39" i="4" s="1"/>
  <c r="EC824" i="4"/>
  <c r="DZ842" i="4"/>
  <c r="DY824" i="4"/>
  <c r="DP349" i="2"/>
  <c r="DQ221" i="2"/>
  <c r="DP221" i="2" s="1"/>
  <c r="DQ225" i="3"/>
  <c r="DR383" i="2"/>
  <c r="DT383" i="2" s="1"/>
  <c r="DR384" i="2"/>
  <c r="EN307" i="4"/>
  <c r="EN306" i="4"/>
  <c r="EM579" i="4"/>
  <c r="EN579" i="4" s="1"/>
  <c r="ER579" i="4"/>
  <c r="CA871" i="4"/>
  <c r="BX876" i="4"/>
  <c r="DQ128" i="4"/>
  <c r="BW620" i="4"/>
  <c r="BW632" i="4"/>
  <c r="DF152" i="3"/>
  <c r="DG150" i="3" s="1"/>
  <c r="BW894" i="4"/>
  <c r="BT742" i="4"/>
  <c r="BT788" i="4" s="1"/>
  <c r="BT915" i="4"/>
  <c r="DN30" i="2"/>
  <c r="DN71" i="4"/>
  <c r="DC72" i="4"/>
  <c r="DE51" i="4"/>
  <c r="DC62" i="4"/>
  <c r="DI134" i="4"/>
  <c r="CA812" i="4"/>
  <c r="CA818" i="4" s="1"/>
  <c r="BZ818" i="4"/>
  <c r="DR452" i="4"/>
  <c r="DT409" i="4"/>
  <c r="DT410" i="4" s="1"/>
  <c r="CA865" i="4"/>
  <c r="EP215" i="4"/>
  <c r="EP214" i="4"/>
  <c r="BX882" i="4"/>
  <c r="BY889" i="4"/>
  <c r="DO45" i="4"/>
  <c r="DQ417" i="4"/>
  <c r="DO473" i="4"/>
  <c r="DO417" i="4"/>
  <c r="BW873" i="4"/>
  <c r="BX870" i="4"/>
  <c r="EQ386" i="4"/>
  <c r="EQ305" i="4"/>
  <c r="EQ213" i="4"/>
  <c r="DO464" i="4"/>
  <c r="DQ463" i="4"/>
  <c r="DQ464" i="4" s="1"/>
  <c r="DO465" i="4"/>
  <c r="CB811" i="4"/>
  <c r="CC810" i="4"/>
  <c r="CB816" i="4"/>
  <c r="EO853" i="4"/>
  <c r="EM853" i="4" s="1"/>
  <c r="EN853" i="4" s="1"/>
  <c r="BW638" i="4"/>
  <c r="BW686" i="4" s="1"/>
  <c r="BW728" i="4" s="1"/>
  <c r="BW931" i="4" s="1"/>
  <c r="BW626" i="4"/>
  <c r="BW668" i="4" s="1"/>
  <c r="BW710" i="4" s="1"/>
  <c r="DH150" i="3"/>
  <c r="BW667" i="4"/>
  <c r="BX667" i="4" s="1"/>
  <c r="BX709" i="4" s="1"/>
  <c r="DN479" i="4"/>
  <c r="DN480" i="4" s="1"/>
  <c r="DL489" i="4"/>
  <c r="CI649" i="4"/>
  <c r="CG652" i="4"/>
  <c r="DO427" i="4"/>
  <c r="DO479" i="4"/>
  <c r="DO486" i="4"/>
  <c r="DQ426" i="4"/>
  <c r="DO483" i="4"/>
  <c r="BY872" i="4"/>
  <c r="EL270" i="2"/>
  <c r="BV957" i="4"/>
  <c r="BX860" i="4"/>
  <c r="BW956" i="4"/>
  <c r="DE70" i="4"/>
  <c r="DE60" i="4"/>
  <c r="DT127" i="4"/>
  <c r="DR128" i="4"/>
  <c r="BY819" i="4"/>
  <c r="BZ813" i="4"/>
  <c r="DT424" i="4"/>
  <c r="DR425" i="4"/>
  <c r="DR426" i="4"/>
  <c r="DR93" i="4" s="1"/>
  <c r="BV930" i="4"/>
  <c r="EG416" i="2"/>
  <c r="EP306" i="4"/>
  <c r="EP307" i="4"/>
  <c r="BV924" i="4"/>
  <c r="BV656" i="4"/>
  <c r="BV698" i="4" s="1"/>
  <c r="BV943" i="4"/>
  <c r="BV662" i="4"/>
  <c r="BV704" i="4" s="1"/>
  <c r="BV907" i="4" s="1"/>
  <c r="BV709" i="4"/>
  <c r="BV670" i="4"/>
  <c r="BW619" i="4"/>
  <c r="BW586" i="4"/>
  <c r="BW631" i="4"/>
  <c r="DI53" i="4"/>
  <c r="BT718" i="4"/>
  <c r="BT921" i="4" s="1"/>
  <c r="BT918" i="4"/>
  <c r="EM149" i="3"/>
  <c r="EJ578" i="4"/>
  <c r="EK578" i="4" s="1"/>
  <c r="EO578" i="4"/>
  <c r="BW727" i="4"/>
  <c r="BX727" i="4" s="1"/>
  <c r="CZ8" i="4"/>
  <c r="DB7" i="4"/>
  <c r="DN486" i="4"/>
  <c r="DN487" i="4" s="1"/>
  <c r="DL66" i="4"/>
  <c r="DL56" i="4"/>
  <c r="DN45" i="4"/>
  <c r="DL42" i="4"/>
  <c r="DQ20" i="4"/>
  <c r="DO30" i="2"/>
  <c r="DO71" i="4"/>
  <c r="DO34" i="4"/>
  <c r="BX631" i="4"/>
  <c r="BX619" i="4"/>
  <c r="DO131" i="4"/>
  <c r="DL11" i="4"/>
  <c r="BY877" i="4"/>
  <c r="BX895" i="4"/>
  <c r="DR36" i="4"/>
  <c r="DT23" i="4"/>
  <c r="DT36" i="4" s="1"/>
  <c r="DR26" i="4"/>
  <c r="DT119" i="4"/>
  <c r="DT666" i="2"/>
  <c r="BX888" i="4"/>
  <c r="BZ753" i="4"/>
  <c r="DG58" i="4"/>
  <c r="DG68" i="4"/>
  <c r="DG49" i="4"/>
  <c r="DH49" i="4" s="1"/>
  <c r="DF60" i="4"/>
  <c r="DF51" i="4"/>
  <c r="DF6" i="4" s="1"/>
  <c r="DF70" i="4"/>
  <c r="BV674" i="4"/>
  <c r="BV716" i="4" s="1"/>
  <c r="BV919" i="4" s="1"/>
  <c r="BV680" i="4"/>
  <c r="BV722" i="4" s="1"/>
  <c r="BV925" i="4" s="1"/>
  <c r="EX85" i="4" l="1"/>
  <c r="EY84" i="4"/>
  <c r="EY88" i="4"/>
  <c r="EZ87" i="4"/>
  <c r="EV834" i="4"/>
  <c r="EW834" i="4" s="1"/>
  <c r="FA834" i="4"/>
  <c r="EY834" i="4" s="1"/>
  <c r="EZ834" i="4" s="1"/>
  <c r="EX190" i="2"/>
  <c r="EW190" i="2" s="1"/>
  <c r="EY178" i="3"/>
  <c r="EY307" i="4"/>
  <c r="EY306" i="4"/>
  <c r="EZ213" i="4"/>
  <c r="EZ305" i="4"/>
  <c r="EY214" i="4"/>
  <c r="EV70" i="2"/>
  <c r="EV86" i="2" s="1"/>
  <c r="EW86" i="2" s="1"/>
  <c r="EY69" i="3"/>
  <c r="EY70" i="2" s="1"/>
  <c r="EY86" i="2" s="1"/>
  <c r="FA70" i="2"/>
  <c r="EZ295" i="4"/>
  <c r="EZ203" i="4"/>
  <c r="DG161" i="4"/>
  <c r="DO176" i="3"/>
  <c r="DO52" i="3"/>
  <c r="DN52" i="3"/>
  <c r="DN54" i="3" s="1"/>
  <c r="DI142" i="2"/>
  <c r="DI143" i="2" s="1"/>
  <c r="DI146" i="2" s="1"/>
  <c r="DJ142" i="2" s="1"/>
  <c r="DT143" i="4"/>
  <c r="DT140" i="4"/>
  <c r="K65" i="9"/>
  <c r="M64" i="9"/>
  <c r="M65" i="9" s="1"/>
  <c r="DE64" i="3"/>
  <c r="DE66" i="3" s="1"/>
  <c r="DD269" i="2"/>
  <c r="DD64" i="3" s="1"/>
  <c r="DD66" i="3" s="1"/>
  <c r="DE287" i="2"/>
  <c r="DF60" i="2"/>
  <c r="DF160" i="2"/>
  <c r="DF69" i="2"/>
  <c r="DI479" i="2"/>
  <c r="DI480" i="2" s="1"/>
  <c r="DI72" i="2"/>
  <c r="DI619" i="2"/>
  <c r="DI621" i="2" s="1"/>
  <c r="DH271" i="2"/>
  <c r="DF269" i="2"/>
  <c r="EW295" i="4"/>
  <c r="EW296" i="4" s="1"/>
  <c r="EW203" i="4"/>
  <c r="EW204" i="4" s="1"/>
  <c r="DL77" i="2"/>
  <c r="DN77" i="2" s="1"/>
  <c r="DJ77" i="2"/>
  <c r="ER19" i="4"/>
  <c r="ER33" i="4" s="1"/>
  <c r="DR186" i="2"/>
  <c r="EV19" i="4"/>
  <c r="EY19" i="4" s="1"/>
  <c r="ES33" i="4"/>
  <c r="ET19" i="4"/>
  <c r="DU280" i="2"/>
  <c r="DW280" i="2" s="1"/>
  <c r="DX280" i="2" s="1"/>
  <c r="DX276" i="2" s="1"/>
  <c r="DS280" i="2"/>
  <c r="DT276" i="2"/>
  <c r="DI174" i="4"/>
  <c r="BW349" i="2"/>
  <c r="BX225" i="3"/>
  <c r="BX221" i="2"/>
  <c r="CA91" i="2"/>
  <c r="BZ91" i="2" s="1"/>
  <c r="CD374" i="2"/>
  <c r="CA384" i="2"/>
  <c r="CA140" i="2"/>
  <c r="CA349" i="2"/>
  <c r="CA566" i="2"/>
  <c r="CA154" i="3"/>
  <c r="BX141" i="2"/>
  <c r="BW140" i="2"/>
  <c r="BW141" i="2" s="1"/>
  <c r="CV414" i="2"/>
  <c r="CT415" i="2"/>
  <c r="DI267" i="4"/>
  <c r="DI268" i="4" s="1"/>
  <c r="DG140" i="2"/>
  <c r="DG141" i="2" s="1"/>
  <c r="DH141" i="2"/>
  <c r="DP105" i="4"/>
  <c r="DP354" i="4" s="1"/>
  <c r="DP355" i="4" s="1"/>
  <c r="DL138" i="2"/>
  <c r="DJ138" i="2"/>
  <c r="DK139" i="2"/>
  <c r="DK143" i="2" s="1"/>
  <c r="DK146" i="2" s="1"/>
  <c r="CZ76" i="2"/>
  <c r="CZ18" i="3"/>
  <c r="CZ330" i="2"/>
  <c r="CZ235" i="3"/>
  <c r="CZ634" i="2"/>
  <c r="CZ636" i="2" s="1"/>
  <c r="CZ639" i="2" s="1"/>
  <c r="CZ642" i="2" s="1"/>
  <c r="CZ307" i="2"/>
  <c r="CZ324" i="2" s="1"/>
  <c r="DC290" i="2"/>
  <c r="DE292" i="2"/>
  <c r="V61" i="9"/>
  <c r="V60" i="9" s="1"/>
  <c r="CY634" i="2"/>
  <c r="CY636" i="2" s="1"/>
  <c r="CY639" i="2" s="1"/>
  <c r="CY642" i="2" s="1"/>
  <c r="CX305" i="2"/>
  <c r="CX634" i="2" s="1"/>
  <c r="CX636" i="2" s="1"/>
  <c r="CX639" i="2" s="1"/>
  <c r="CX642" i="2" s="1"/>
  <c r="CY307" i="2"/>
  <c r="CX330" i="2"/>
  <c r="CX235" i="3"/>
  <c r="DA290" i="2"/>
  <c r="DB304" i="2"/>
  <c r="DB328" i="2"/>
  <c r="DB120" i="3"/>
  <c r="DA127" i="3" s="1"/>
  <c r="DB513" i="2"/>
  <c r="W57" i="9"/>
  <c r="DB327" i="2"/>
  <c r="DB329" i="2"/>
  <c r="DB640" i="2"/>
  <c r="DN102" i="4"/>
  <c r="DM745" i="4"/>
  <c r="DM757" i="4" s="1"/>
  <c r="DM765" i="4" s="1"/>
  <c r="DI163" i="4"/>
  <c r="DI164" i="4" s="1"/>
  <c r="DI298" i="4"/>
  <c r="DI299" i="4" s="1"/>
  <c r="DL109" i="4"/>
  <c r="DM173" i="4"/>
  <c r="DN173" i="4" s="1"/>
  <c r="DM746" i="4"/>
  <c r="DM758" i="4" s="1"/>
  <c r="DM766" i="4" s="1"/>
  <c r="DT4" i="4"/>
  <c r="DN108" i="4"/>
  <c r="DN134" i="4"/>
  <c r="K25" i="9"/>
  <c r="DM157" i="4"/>
  <c r="DL746" i="4"/>
  <c r="DL758" i="4" s="1"/>
  <c r="DL766" i="4" s="1"/>
  <c r="DL103" i="4"/>
  <c r="EP579" i="4"/>
  <c r="EQ579" i="4" s="1"/>
  <c r="EU579" i="4"/>
  <c r="EV306" i="4"/>
  <c r="EV307" i="4"/>
  <c r="ET268" i="2"/>
  <c r="EV268" i="2"/>
  <c r="EX268" i="2" s="1"/>
  <c r="ET70" i="2"/>
  <c r="ET214" i="4"/>
  <c r="ET215" i="4"/>
  <c r="EX835" i="4"/>
  <c r="EV85" i="2"/>
  <c r="EW85" i="2" s="1"/>
  <c r="ET307" i="4"/>
  <c r="ET306" i="4"/>
  <c r="ER253" i="2"/>
  <c r="EP253" i="2"/>
  <c r="EV215" i="4"/>
  <c r="EV214" i="4"/>
  <c r="ES85" i="2"/>
  <c r="ET85" i="2" s="1"/>
  <c r="ET86" i="2"/>
  <c r="EW213" i="4"/>
  <c r="EW305" i="4"/>
  <c r="EW386" i="4"/>
  <c r="EW81" i="4"/>
  <c r="EV82" i="4"/>
  <c r="EW69" i="3"/>
  <c r="EX70" i="2"/>
  <c r="DT3" i="4"/>
  <c r="DL175" i="2"/>
  <c r="DN176" i="3"/>
  <c r="BQ14" i="2"/>
  <c r="BQ11" i="2"/>
  <c r="BX441" i="2"/>
  <c r="BV409" i="2"/>
  <c r="BV410" i="2"/>
  <c r="BV25" i="2" s="1"/>
  <c r="BV411" i="2"/>
  <c r="BV472" i="2" s="1"/>
  <c r="BS14" i="2"/>
  <c r="BS11" i="2"/>
  <c r="BT411" i="2"/>
  <c r="BS20" i="2"/>
  <c r="BQ20" i="2"/>
  <c r="BR400" i="2"/>
  <c r="BT410" i="2"/>
  <c r="BQ472" i="2"/>
  <c r="BT409" i="2"/>
  <c r="BT397" i="2" s="1"/>
  <c r="BU397" i="2"/>
  <c r="BU25" i="2" s="1"/>
  <c r="BR14" i="2"/>
  <c r="BR11" i="2"/>
  <c r="DM5" i="4"/>
  <c r="DL5" i="4"/>
  <c r="DL745" i="4"/>
  <c r="DI748" i="4"/>
  <c r="DI749" i="4" s="1"/>
  <c r="DL100" i="4"/>
  <c r="DL355" i="4"/>
  <c r="DN354" i="4"/>
  <c r="DN356" i="4" s="1"/>
  <c r="DN284" i="4"/>
  <c r="DM280" i="4"/>
  <c r="DL280" i="4"/>
  <c r="DL285" i="4"/>
  <c r="DP372" i="4"/>
  <c r="DP397" i="4"/>
  <c r="DP398" i="4" s="1"/>
  <c r="DR108" i="4"/>
  <c r="DR105" i="4" s="1"/>
  <c r="DR354" i="4" s="1"/>
  <c r="DR359" i="4"/>
  <c r="DR400" i="4"/>
  <c r="DR371" i="4"/>
  <c r="DR366" i="4"/>
  <c r="DJ108" i="4"/>
  <c r="DJ105" i="4" s="1"/>
  <c r="DJ371" i="4"/>
  <c r="DJ366" i="4"/>
  <c r="DJ359" i="4"/>
  <c r="DJ400" i="4"/>
  <c r="DJ291" i="4"/>
  <c r="DM292" i="4" s="1"/>
  <c r="DJ284" i="4"/>
  <c r="DM285" i="4" s="1"/>
  <c r="DJ326" i="4"/>
  <c r="DJ328" i="4" s="1"/>
  <c r="DJ334" i="4" s="1"/>
  <c r="DJ332" i="4" s="1"/>
  <c r="DN366" i="4"/>
  <c r="DL362" i="4"/>
  <c r="DL387" i="4" s="1"/>
  <c r="DL389" i="4" s="1"/>
  <c r="DL367" i="4"/>
  <c r="DL292" i="4"/>
  <c r="DN291" i="4"/>
  <c r="DL289" i="4"/>
  <c r="DL323" i="4"/>
  <c r="DO108" i="4"/>
  <c r="DO109" i="4" s="1"/>
  <c r="DO371" i="4"/>
  <c r="DO366" i="4"/>
  <c r="DO359" i="4"/>
  <c r="DO400" i="4"/>
  <c r="DQ400" i="4" s="1"/>
  <c r="DO284" i="4"/>
  <c r="DO291" i="4"/>
  <c r="DO326" i="4"/>
  <c r="DM289" i="4"/>
  <c r="DM323" i="4"/>
  <c r="DM324" i="4" s="1"/>
  <c r="DN371" i="4"/>
  <c r="DL372" i="4"/>
  <c r="DL397" i="4"/>
  <c r="DI275" i="4"/>
  <c r="DI282" i="4"/>
  <c r="DL329" i="4"/>
  <c r="DL334" i="4"/>
  <c r="DL332" i="4" s="1"/>
  <c r="DP284" i="4"/>
  <c r="DP326" i="4"/>
  <c r="DP328" i="4" s="1"/>
  <c r="DP291" i="4"/>
  <c r="DI324" i="4"/>
  <c r="DI290" i="4"/>
  <c r="DI322" i="4"/>
  <c r="DN326" i="4"/>
  <c r="DM328" i="4"/>
  <c r="DL356" i="4"/>
  <c r="DL357" i="4" s="1"/>
  <c r="DM387" i="4"/>
  <c r="DP362" i="4"/>
  <c r="DP367" i="4"/>
  <c r="DK237" i="4"/>
  <c r="DJ243" i="4"/>
  <c r="DJ241" i="4" s="1"/>
  <c r="DO102" i="4"/>
  <c r="DO265" i="4" s="1"/>
  <c r="DO272" i="4"/>
  <c r="DL267" i="4"/>
  <c r="DM244" i="4"/>
  <c r="DM241" i="4"/>
  <c r="DL266" i="4"/>
  <c r="DN265" i="4"/>
  <c r="DP238" i="4"/>
  <c r="DP243" i="4"/>
  <c r="DN99" i="4"/>
  <c r="DL241" i="4"/>
  <c r="DL244" i="4"/>
  <c r="DN243" i="4"/>
  <c r="DN244" i="4" s="1"/>
  <c r="DN272" i="4"/>
  <c r="DM270" i="4"/>
  <c r="DN270" i="4" s="1"/>
  <c r="DP102" i="4"/>
  <c r="DP265" i="4" s="1"/>
  <c r="DP272" i="4"/>
  <c r="DP270" i="4" s="1"/>
  <c r="DJ102" i="4"/>
  <c r="DM103" i="4" s="1"/>
  <c r="DJ272" i="4"/>
  <c r="DJ270" i="4" s="1"/>
  <c r="DQ235" i="4"/>
  <c r="DO237" i="4"/>
  <c r="DO243" i="4" s="1"/>
  <c r="DL238" i="4"/>
  <c r="DN237" i="4"/>
  <c r="DN238" i="4" s="1"/>
  <c r="DP198" i="4"/>
  <c r="DP191" i="4"/>
  <c r="DI183" i="4"/>
  <c r="DN198" i="4"/>
  <c r="DM196" i="4"/>
  <c r="DM165" i="4"/>
  <c r="DO198" i="4"/>
  <c r="DO191" i="4"/>
  <c r="DI197" i="4"/>
  <c r="DI231" i="4"/>
  <c r="DN191" i="4"/>
  <c r="DL188" i="4"/>
  <c r="DL192" i="4"/>
  <c r="DM188" i="4"/>
  <c r="DL196" i="4"/>
  <c r="DL199" i="4"/>
  <c r="DL165" i="4"/>
  <c r="DJ191" i="4"/>
  <c r="DM192" i="4" s="1"/>
  <c r="DJ198" i="4"/>
  <c r="DJ99" i="4"/>
  <c r="DM100" i="4" s="1"/>
  <c r="DJ180" i="4"/>
  <c r="DP99" i="4"/>
  <c r="DP180" i="4"/>
  <c r="DP178" i="4" s="1"/>
  <c r="DI175" i="4"/>
  <c r="DI176" i="4" s="1"/>
  <c r="DI168" i="4"/>
  <c r="DI242" i="4" s="1"/>
  <c r="DI179" i="4"/>
  <c r="DN178" i="4"/>
  <c r="DL175" i="4"/>
  <c r="DO99" i="4"/>
  <c r="DO100" i="4" s="1"/>
  <c r="DO180" i="4"/>
  <c r="DO178" i="4" s="1"/>
  <c r="DN466" i="4"/>
  <c r="DM476" i="4"/>
  <c r="DT425" i="4"/>
  <c r="DQ427" i="4"/>
  <c r="DQ91" i="4"/>
  <c r="DQ92" i="4"/>
  <c r="DQ93" i="4"/>
  <c r="DM298" i="4"/>
  <c r="DM299" i="4" s="1"/>
  <c r="DL106" i="4"/>
  <c r="DN105" i="4"/>
  <c r="DL747" i="4"/>
  <c r="DL163" i="4"/>
  <c r="DS91" i="4"/>
  <c r="DS235" i="4" s="1"/>
  <c r="DS237" i="4" s="1"/>
  <c r="DS92" i="4"/>
  <c r="DK427" i="4"/>
  <c r="DK91" i="4"/>
  <c r="DK92" i="4"/>
  <c r="DR91" i="4"/>
  <c r="DR235" i="4" s="1"/>
  <c r="DR92" i="4"/>
  <c r="DI271" i="4"/>
  <c r="DI260" i="4"/>
  <c r="DI333" i="4" s="1"/>
  <c r="DL298" i="4"/>
  <c r="DK93" i="4"/>
  <c r="DM378" i="4"/>
  <c r="DI208" i="4"/>
  <c r="DI206" i="4"/>
  <c r="DS93" i="4"/>
  <c r="DI379" i="4"/>
  <c r="DI360" i="4"/>
  <c r="DL205" i="4"/>
  <c r="DL174" i="4"/>
  <c r="DY841" i="4"/>
  <c r="DX823" i="4"/>
  <c r="DX841" i="4" s="1"/>
  <c r="EF823" i="4"/>
  <c r="EC841" i="4"/>
  <c r="EB823" i="4"/>
  <c r="BV945" i="4"/>
  <c r="DT21" i="4"/>
  <c r="EJ852" i="4"/>
  <c r="EK852" i="4" s="1"/>
  <c r="EO852" i="4"/>
  <c r="DM481" i="4"/>
  <c r="BX669" i="4"/>
  <c r="BX711" i="4" s="1"/>
  <c r="BX914" i="4" s="1"/>
  <c r="BX626" i="4"/>
  <c r="BX584" i="4"/>
  <c r="BX632" i="4" s="1"/>
  <c r="DN39" i="4"/>
  <c r="BX729" i="4"/>
  <c r="EH822" i="4"/>
  <c r="EI840" i="4"/>
  <c r="EI846" i="4" s="1"/>
  <c r="EI847" i="4" s="1"/>
  <c r="EI848" i="4" s="1"/>
  <c r="EI849" i="4" s="1"/>
  <c r="EL822" i="4"/>
  <c r="EI828" i="4"/>
  <c r="EI829" i="4" s="1"/>
  <c r="EI830" i="4" s="1"/>
  <c r="EI831" i="4" s="1"/>
  <c r="EA840" i="4"/>
  <c r="EA846" i="4" s="1"/>
  <c r="EA847" i="4" s="1"/>
  <c r="EA848" i="4" s="1"/>
  <c r="EA849" i="4" s="1"/>
  <c r="EA828" i="4"/>
  <c r="EA829" i="4" s="1"/>
  <c r="EA830" i="4" s="1"/>
  <c r="EA831" i="4" s="1"/>
  <c r="ED822" i="4"/>
  <c r="EE840" i="4"/>
  <c r="EE846" i="4" s="1"/>
  <c r="EE847" i="4" s="1"/>
  <c r="EE848" i="4" s="1"/>
  <c r="EE849" i="4" s="1"/>
  <c r="EE828" i="4"/>
  <c r="EE829" i="4" s="1"/>
  <c r="EE830" i="4" s="1"/>
  <c r="EE831" i="4" s="1"/>
  <c r="BX687" i="4"/>
  <c r="BV735" i="4"/>
  <c r="BV781" i="4" s="1"/>
  <c r="BV938" i="4"/>
  <c r="BV902" i="4"/>
  <c r="BX639" i="4"/>
  <c r="BX627" i="4"/>
  <c r="DR825" i="4"/>
  <c r="DS843" i="4"/>
  <c r="DS856" i="4" s="1"/>
  <c r="DS838" i="4"/>
  <c r="BV950" i="4"/>
  <c r="BV741" i="4"/>
  <c r="BV787" i="4" s="1"/>
  <c r="BV914" i="4"/>
  <c r="BY591" i="4"/>
  <c r="BZ569" i="4"/>
  <c r="DW838" i="4"/>
  <c r="DZ825" i="4"/>
  <c r="DV825" i="4"/>
  <c r="DW843" i="4"/>
  <c r="DW856" i="4" s="1"/>
  <c r="BV932" i="4"/>
  <c r="DO838" i="4"/>
  <c r="DO843" i="4"/>
  <c r="DO856" i="4" s="1"/>
  <c r="BX585" i="4"/>
  <c r="BW675" i="4"/>
  <c r="BW717" i="4" s="1"/>
  <c r="BW920" i="4" s="1"/>
  <c r="BW681" i="4"/>
  <c r="BW723" i="4" s="1"/>
  <c r="BW926" i="4" s="1"/>
  <c r="BX592" i="4"/>
  <c r="BX640" i="4" s="1"/>
  <c r="BW741" i="4"/>
  <c r="BW787" i="4" s="1"/>
  <c r="BW950" i="4"/>
  <c r="BW914" i="4"/>
  <c r="BW944" i="4"/>
  <c r="BW657" i="4"/>
  <c r="BW699" i="4" s="1"/>
  <c r="BW663" i="4"/>
  <c r="BW705" i="4" s="1"/>
  <c r="BW908" i="4" s="1"/>
  <c r="DJ475" i="4"/>
  <c r="DK473" i="4"/>
  <c r="DK474" i="4" s="1"/>
  <c r="DJ474" i="4"/>
  <c r="DS473" i="4"/>
  <c r="DS417" i="4"/>
  <c r="DS45" i="4"/>
  <c r="DN11" i="4"/>
  <c r="BW896" i="4"/>
  <c r="DP66" i="4"/>
  <c r="DP42" i="4"/>
  <c r="DP56" i="4"/>
  <c r="DP489" i="4"/>
  <c r="DM49" i="4"/>
  <c r="DM68" i="4"/>
  <c r="DJ466" i="4"/>
  <c r="DK465" i="4"/>
  <c r="DK131" i="4"/>
  <c r="DN427" i="4"/>
  <c r="BX894" i="4"/>
  <c r="BW930" i="4"/>
  <c r="DK71" i="4"/>
  <c r="DK34" i="4"/>
  <c r="DK30" i="2"/>
  <c r="DP474" i="4"/>
  <c r="DP475" i="4"/>
  <c r="DJ66" i="4"/>
  <c r="DM56" i="4"/>
  <c r="DJ56" i="4"/>
  <c r="DJ42" i="4"/>
  <c r="DK45" i="4"/>
  <c r="DN56" i="4" s="1"/>
  <c r="DS131" i="4"/>
  <c r="DS71" i="4"/>
  <c r="DS34" i="4"/>
  <c r="DJ131" i="4"/>
  <c r="DJ133" i="4"/>
  <c r="DS486" i="4"/>
  <c r="DS483" i="4"/>
  <c r="DS427" i="4"/>
  <c r="DS479" i="4"/>
  <c r="DM150" i="4"/>
  <c r="DM154" i="4"/>
  <c r="DS466" i="4"/>
  <c r="BY955" i="4"/>
  <c r="BZ859" i="4"/>
  <c r="DL149" i="4"/>
  <c r="BW932" i="4"/>
  <c r="BX890" i="4"/>
  <c r="BX891" i="4" s="1"/>
  <c r="EI273" i="2"/>
  <c r="DI149" i="4"/>
  <c r="BX878" i="4"/>
  <c r="BX879" i="4" s="1"/>
  <c r="BX884" i="4"/>
  <c r="DQ798" i="4"/>
  <c r="DP797" i="4"/>
  <c r="EG363" i="4"/>
  <c r="EM580" i="4"/>
  <c r="EN580" i="4" s="1"/>
  <c r="ER580" i="4"/>
  <c r="DT384" i="2"/>
  <c r="DT566" i="2"/>
  <c r="DU374" i="2"/>
  <c r="DO474" i="4"/>
  <c r="DQ473" i="4"/>
  <c r="DQ474" i="4" s="1"/>
  <c r="DO475" i="4"/>
  <c r="BY876" i="4"/>
  <c r="CB871" i="4"/>
  <c r="BV718" i="4"/>
  <c r="BV921" i="4" s="1"/>
  <c r="BV918" i="4"/>
  <c r="BY590" i="4"/>
  <c r="BY584" i="4" s="1"/>
  <c r="BZ568" i="4"/>
  <c r="BT939" i="4"/>
  <c r="BT903" i="4"/>
  <c r="DI147" i="4"/>
  <c r="BV724" i="4"/>
  <c r="BV927" i="4" s="1"/>
  <c r="BU736" i="4"/>
  <c r="BU782" i="4" s="1"/>
  <c r="BU779" i="4"/>
  <c r="DT463" i="4"/>
  <c r="DT464" i="4" s="1"/>
  <c r="DR464" i="4"/>
  <c r="DR465" i="4"/>
  <c r="EM637" i="2"/>
  <c r="BY637" i="4"/>
  <c r="BY685" i="4" s="1"/>
  <c r="BY625" i="4"/>
  <c r="DR131" i="4"/>
  <c r="CS645" i="4"/>
  <c r="BZ866" i="4"/>
  <c r="DN66" i="4"/>
  <c r="BZ872" i="4"/>
  <c r="DQ486" i="4"/>
  <c r="DQ487" i="4" s="1"/>
  <c r="DN489" i="4"/>
  <c r="DL157" i="4"/>
  <c r="DL46" i="4"/>
  <c r="DF62" i="4"/>
  <c r="DF72" i="4"/>
  <c r="DG60" i="4"/>
  <c r="DG51" i="4"/>
  <c r="DG6" i="4" s="1"/>
  <c r="DH6" i="4" s="1"/>
  <c r="DG70" i="4"/>
  <c r="DQ30" i="2"/>
  <c r="DQ34" i="4"/>
  <c r="DQ71" i="4"/>
  <c r="DB8" i="4"/>
  <c r="BV712" i="4"/>
  <c r="BV948" i="4"/>
  <c r="BV739" i="4"/>
  <c r="BV785" i="4" s="1"/>
  <c r="BV912" i="4"/>
  <c r="DO489" i="4"/>
  <c r="DQ479" i="4"/>
  <c r="DQ480" i="4" s="1"/>
  <c r="CC816" i="4"/>
  <c r="CD810" i="4"/>
  <c r="DO466" i="4"/>
  <c r="DQ465" i="4"/>
  <c r="CB865" i="4"/>
  <c r="DC7" i="4"/>
  <c r="BV676" i="4"/>
  <c r="CC499" i="2"/>
  <c r="CD498" i="2"/>
  <c r="CC497" i="2"/>
  <c r="CC500" i="2"/>
  <c r="CC504" i="2"/>
  <c r="CH752" i="4"/>
  <c r="DO400" i="2"/>
  <c r="Z17" i="9" s="1"/>
  <c r="BT736" i="4"/>
  <c r="BT782" i="4" s="1"/>
  <c r="BT779" i="4"/>
  <c r="BV658" i="4"/>
  <c r="BY754" i="4"/>
  <c r="BZ751" i="4"/>
  <c r="BV740" i="4"/>
  <c r="BV786" i="4" s="1"/>
  <c r="BV949" i="4"/>
  <c r="BV913" i="4"/>
  <c r="DT20" i="4"/>
  <c r="DR30" i="2"/>
  <c r="DR52" i="3" s="1"/>
  <c r="DR34" i="4"/>
  <c r="DR71" i="4"/>
  <c r="DO66" i="4"/>
  <c r="DO56" i="4"/>
  <c r="DQ45" i="4"/>
  <c r="DO42" i="4"/>
  <c r="DY842" i="4"/>
  <c r="DX824" i="4"/>
  <c r="DX842" i="4" s="1"/>
  <c r="BX728" i="4"/>
  <c r="BX931" i="4" s="1"/>
  <c r="BV931" i="4"/>
  <c r="BV733" i="4"/>
  <c r="BV700" i="4"/>
  <c r="BV936" i="4"/>
  <c r="BV900" i="4"/>
  <c r="ER855" i="4"/>
  <c r="CJ651" i="4"/>
  <c r="CL644" i="4"/>
  <c r="BX668" i="4"/>
  <c r="BX710" i="4" s="1"/>
  <c r="CJ693" i="4"/>
  <c r="DO11" i="4"/>
  <c r="DL147" i="4"/>
  <c r="BW688" i="4"/>
  <c r="EN149" i="3"/>
  <c r="EO149" i="3" s="1"/>
  <c r="BW942" i="4"/>
  <c r="BW655" i="4"/>
  <c r="BW622" i="4"/>
  <c r="BW664" i="4" s="1"/>
  <c r="BW661" i="4"/>
  <c r="BW703" i="4" s="1"/>
  <c r="BV734" i="4"/>
  <c r="BV780" i="4" s="1"/>
  <c r="BV937" i="4"/>
  <c r="BV901" i="4"/>
  <c r="DR479" i="4"/>
  <c r="DR483" i="4"/>
  <c r="DR486" i="4"/>
  <c r="DR427" i="4"/>
  <c r="DT426" i="4"/>
  <c r="DL137" i="4"/>
  <c r="DL481" i="4" s="1"/>
  <c r="EQ306" i="4"/>
  <c r="EQ307" i="4"/>
  <c r="EN253" i="2"/>
  <c r="EN637" i="2" s="1"/>
  <c r="EO637" i="2"/>
  <c r="BX673" i="4"/>
  <c r="BX679" i="4"/>
  <c r="BX721" i="4" s="1"/>
  <c r="BX924" i="4" s="1"/>
  <c r="DO191" i="2"/>
  <c r="DO339" i="2"/>
  <c r="DO169" i="3"/>
  <c r="DO165" i="3" s="1"/>
  <c r="DO333" i="2"/>
  <c r="DO341" i="2"/>
  <c r="DO150" i="2"/>
  <c r="DO165" i="2"/>
  <c r="DO334" i="2"/>
  <c r="DO31" i="2"/>
  <c r="DO170" i="3"/>
  <c r="DO166" i="3" s="1"/>
  <c r="DO340" i="2"/>
  <c r="DO163" i="2"/>
  <c r="DO337" i="2"/>
  <c r="DO336" i="2"/>
  <c r="DO342" i="2"/>
  <c r="DO335" i="2"/>
  <c r="DO171" i="3"/>
  <c r="DO167" i="3" s="1"/>
  <c r="DO162" i="2"/>
  <c r="DO147" i="2"/>
  <c r="DI140" i="4"/>
  <c r="DR45" i="4"/>
  <c r="DR473" i="4"/>
  <c r="DR417" i="4"/>
  <c r="DT417" i="4"/>
  <c r="BX948" i="4"/>
  <c r="BX739" i="4"/>
  <c r="BX785" i="4" s="1"/>
  <c r="CA813" i="4"/>
  <c r="CA819" i="4" s="1"/>
  <c r="BZ819" i="4"/>
  <c r="BW709" i="4"/>
  <c r="BW670" i="4"/>
  <c r="BX670" i="4" s="1"/>
  <c r="ER853" i="4"/>
  <c r="BX873" i="4"/>
  <c r="BY870" i="4"/>
  <c r="BX912" i="4"/>
  <c r="DI137" i="4"/>
  <c r="DI481" i="4" s="1"/>
  <c r="BX930" i="4"/>
  <c r="BY888" i="4"/>
  <c r="BZ877" i="4"/>
  <c r="BY895" i="4"/>
  <c r="EM578" i="4"/>
  <c r="EN578" i="4" s="1"/>
  <c r="ER578" i="4"/>
  <c r="BW673" i="4"/>
  <c r="BW634" i="4"/>
  <c r="BW682" i="4" s="1"/>
  <c r="BW679" i="4"/>
  <c r="BW721" i="4" s="1"/>
  <c r="EI416" i="2"/>
  <c r="CH652" i="4"/>
  <c r="CJ649" i="4"/>
  <c r="BW628" i="4"/>
  <c r="BV706" i="4"/>
  <c r="BV909" i="4" s="1"/>
  <c r="BZ889" i="4"/>
  <c r="DR453" i="4"/>
  <c r="DT452" i="4"/>
  <c r="DT453" i="4" s="1"/>
  <c r="DE72" i="4"/>
  <c r="DE62" i="4"/>
  <c r="DN33" i="2"/>
  <c r="DN191" i="2"/>
  <c r="DN334" i="2"/>
  <c r="DN165" i="2"/>
  <c r="DN169" i="3"/>
  <c r="DN165" i="3" s="1"/>
  <c r="DN170" i="3"/>
  <c r="DN166" i="3" s="1"/>
  <c r="DN341" i="2"/>
  <c r="DM30" i="2"/>
  <c r="DM52" i="3" s="1"/>
  <c r="DN333" i="2"/>
  <c r="DN340" i="2"/>
  <c r="DN339" i="2"/>
  <c r="DN163" i="2"/>
  <c r="DN147" i="2"/>
  <c r="DN162" i="2"/>
  <c r="DN337" i="2"/>
  <c r="DN336" i="2"/>
  <c r="DN171" i="3"/>
  <c r="DN167" i="3" s="1"/>
  <c r="DN342" i="2"/>
  <c r="DN335" i="2"/>
  <c r="BW674" i="4"/>
  <c r="BW716" i="4" s="1"/>
  <c r="BW919" i="4" s="1"/>
  <c r="BW680" i="4"/>
  <c r="BW722" i="4" s="1"/>
  <c r="BW925" i="4" s="1"/>
  <c r="CK650" i="4"/>
  <c r="BX686" i="4"/>
  <c r="DE643" i="4"/>
  <c r="BX954" i="4"/>
  <c r="BX861" i="4"/>
  <c r="BY858" i="4"/>
  <c r="BV730" i="4"/>
  <c r="DL476" i="4"/>
  <c r="DN475" i="4"/>
  <c r="CC514" i="2"/>
  <c r="CB515" i="2"/>
  <c r="DT31" i="4"/>
  <c r="BY864" i="4"/>
  <c r="BZ589" i="4"/>
  <c r="CA589" i="4" s="1"/>
  <c r="CA567" i="4"/>
  <c r="DH60" i="4"/>
  <c r="DH70" i="4"/>
  <c r="CA753" i="4"/>
  <c r="DR39" i="4"/>
  <c r="DT26" i="4"/>
  <c r="DT39" i="4" s="1"/>
  <c r="DR134" i="4"/>
  <c r="BY860" i="4"/>
  <c r="BX956" i="4"/>
  <c r="BW949" i="4"/>
  <c r="BW740" i="4"/>
  <c r="BW786" i="4" s="1"/>
  <c r="BW913" i="4"/>
  <c r="CJ691" i="4"/>
  <c r="BU939" i="4"/>
  <c r="BU903" i="4"/>
  <c r="EO854" i="4"/>
  <c r="BX867" i="4"/>
  <c r="BY619" i="4"/>
  <c r="BY631" i="4"/>
  <c r="CB817" i="4"/>
  <c r="CB883" i="4" s="1"/>
  <c r="CB812" i="4"/>
  <c r="CC811" i="4"/>
  <c r="BW897" i="4"/>
  <c r="BX655" i="4"/>
  <c r="BX942" i="4"/>
  <c r="BX661" i="4"/>
  <c r="BX703" i="4" s="1"/>
  <c r="BX906" i="4" s="1"/>
  <c r="DN42" i="4"/>
  <c r="DL53" i="4"/>
  <c r="BW730" i="4"/>
  <c r="BW933" i="4" s="1"/>
  <c r="DT128" i="4"/>
  <c r="EM270" i="2"/>
  <c r="EK270" i="2"/>
  <c r="DQ483" i="4"/>
  <c r="DQ484" i="4" s="1"/>
  <c r="DH152" i="3"/>
  <c r="DG152" i="3" s="1"/>
  <c r="EQ215" i="4"/>
  <c r="EQ214" i="4"/>
  <c r="BY882" i="4"/>
  <c r="BW943" i="4"/>
  <c r="BW656" i="4"/>
  <c r="BW698" i="4" s="1"/>
  <c r="BW662" i="4"/>
  <c r="BW704" i="4" s="1"/>
  <c r="BW907" i="4" s="1"/>
  <c r="DP225" i="3"/>
  <c r="EB824" i="4"/>
  <c r="EC842" i="4"/>
  <c r="EF824" i="4"/>
  <c r="DH160" i="4"/>
  <c r="DF161" i="4"/>
  <c r="ER836" i="4"/>
  <c r="CC692" i="4"/>
  <c r="BW957" i="4"/>
  <c r="BY570" i="4"/>
  <c r="EZ88" i="4" l="1"/>
  <c r="FA87" i="4"/>
  <c r="FA88" i="4" s="1"/>
  <c r="EY85" i="4"/>
  <c r="EZ84" i="4"/>
  <c r="EZ386" i="4"/>
  <c r="EW70" i="2"/>
  <c r="EZ70" i="2"/>
  <c r="EZ69" i="3"/>
  <c r="EZ204" i="4"/>
  <c r="EY85" i="2"/>
  <c r="EZ85" i="2" s="1"/>
  <c r="EZ86" i="2"/>
  <c r="EZ214" i="4"/>
  <c r="EY33" i="4"/>
  <c r="EZ19" i="4"/>
  <c r="EZ296" i="4"/>
  <c r="EV835" i="4"/>
  <c r="EW835" i="4" s="1"/>
  <c r="FA835" i="4"/>
  <c r="EY835" i="4" s="1"/>
  <c r="EZ835" i="4" s="1"/>
  <c r="EW268" i="2"/>
  <c r="EY268" i="2"/>
  <c r="FA268" i="2" s="1"/>
  <c r="EZ268" i="2" s="1"/>
  <c r="EZ306" i="4"/>
  <c r="EZ307" i="4"/>
  <c r="EZ178" i="3"/>
  <c r="FA178" i="3" s="1"/>
  <c r="FA190" i="2" s="1"/>
  <c r="EY190" i="2"/>
  <c r="DR54" i="3"/>
  <c r="DR53" i="3"/>
  <c r="DO54" i="3"/>
  <c r="DO53" i="3"/>
  <c r="DQ52" i="3"/>
  <c r="DQ54" i="3" s="1"/>
  <c r="DV280" i="2"/>
  <c r="DW276" i="2"/>
  <c r="DV276" i="2" s="1"/>
  <c r="DF617" i="2"/>
  <c r="DF622" i="2" s="1"/>
  <c r="DF159" i="2"/>
  <c r="DF61" i="2"/>
  <c r="DO77" i="2"/>
  <c r="DQ77" i="2" s="1"/>
  <c r="DM77" i="2"/>
  <c r="DF330" i="2"/>
  <c r="DF64" i="3"/>
  <c r="DF66" i="3" s="1"/>
  <c r="DF513" i="2"/>
  <c r="DF329" i="2"/>
  <c r="DF328" i="2"/>
  <c r="DF640" i="2"/>
  <c r="DF327" i="2"/>
  <c r="DF287" i="2"/>
  <c r="DE630" i="2"/>
  <c r="DE631" i="2" s="1"/>
  <c r="DD287" i="2"/>
  <c r="DD630" i="2" s="1"/>
  <c r="DD631" i="2" s="1"/>
  <c r="V13" i="9"/>
  <c r="DI4" i="3"/>
  <c r="DI10" i="3" s="1"/>
  <c r="DI343" i="2"/>
  <c r="DI331" i="2"/>
  <c r="DI178" i="2"/>
  <c r="DI68" i="2"/>
  <c r="DI154" i="2"/>
  <c r="DI73" i="2"/>
  <c r="DI161" i="2"/>
  <c r="DI271" i="2"/>
  <c r="DG271" i="2"/>
  <c r="DH269" i="2"/>
  <c r="DK11" i="4"/>
  <c r="DH161" i="4"/>
  <c r="EU19" i="4"/>
  <c r="EU33" i="4" s="1"/>
  <c r="ET33" i="4"/>
  <c r="AC59" i="9"/>
  <c r="DT186" i="2"/>
  <c r="DS186" i="2" s="1"/>
  <c r="DS276" i="2"/>
  <c r="EV33" i="4"/>
  <c r="EW19" i="4"/>
  <c r="EW33" i="4" s="1"/>
  <c r="DU276" i="2"/>
  <c r="DU186" i="2" s="1"/>
  <c r="DL268" i="4"/>
  <c r="DP747" i="4"/>
  <c r="DP759" i="4" s="1"/>
  <c r="DS759" i="4" s="1"/>
  <c r="BZ140" i="2"/>
  <c r="BZ141" i="2" s="1"/>
  <c r="CA141" i="2"/>
  <c r="BX222" i="2"/>
  <c r="BW222" i="2" s="1"/>
  <c r="BW221" i="2"/>
  <c r="DP106" i="4"/>
  <c r="DM205" i="4"/>
  <c r="DM206" i="4" s="1"/>
  <c r="BZ349" i="2"/>
  <c r="CA225" i="3"/>
  <c r="CA221" i="2"/>
  <c r="DP356" i="4"/>
  <c r="DP357" i="4" s="1"/>
  <c r="CD396" i="2"/>
  <c r="CD485" i="2" s="1"/>
  <c r="CD385" i="2"/>
  <c r="BW225" i="3"/>
  <c r="CW414" i="2"/>
  <c r="CU414" i="2"/>
  <c r="CV415" i="2"/>
  <c r="CU415" i="2" s="1"/>
  <c r="DN746" i="4"/>
  <c r="DN758" i="4" s="1"/>
  <c r="DN766" i="4" s="1"/>
  <c r="DK140" i="2"/>
  <c r="DJ139" i="2"/>
  <c r="DJ143" i="2" s="1"/>
  <c r="DJ146" i="2" s="1"/>
  <c r="DN138" i="2"/>
  <c r="DL139" i="2"/>
  <c r="DL140" i="2" s="1"/>
  <c r="DL141" i="2" s="1"/>
  <c r="DN142" i="2"/>
  <c r="DL142" i="2"/>
  <c r="DN157" i="4"/>
  <c r="DM748" i="4"/>
  <c r="DM760" i="4" s="1"/>
  <c r="DM175" i="4"/>
  <c r="DM163" i="4"/>
  <c r="DN163" i="4" s="1"/>
  <c r="DN745" i="4"/>
  <c r="DN757" i="4" s="1"/>
  <c r="DN765" i="4" s="1"/>
  <c r="DA304" i="2"/>
  <c r="DB305" i="2"/>
  <c r="CY324" i="2"/>
  <c r="CX307" i="2"/>
  <c r="CX324" i="2" s="1"/>
  <c r="DE290" i="2"/>
  <c r="DD292" i="2"/>
  <c r="G47" i="9"/>
  <c r="DB330" i="2"/>
  <c r="G48" i="9" s="1"/>
  <c r="DB235" i="3"/>
  <c r="DA329" i="2"/>
  <c r="DB127" i="3"/>
  <c r="DA18" i="3"/>
  <c r="DA328" i="2"/>
  <c r="DA236" i="3" s="1"/>
  <c r="DA120" i="3"/>
  <c r="DA513" i="2"/>
  <c r="DA640" i="2"/>
  <c r="DA327" i="2"/>
  <c r="DC304" i="2"/>
  <c r="DC305" i="2" s="1"/>
  <c r="DC120" i="3"/>
  <c r="DC121" i="3" s="1"/>
  <c r="DC640" i="2"/>
  <c r="DC329" i="2"/>
  <c r="DC513" i="2"/>
  <c r="DC328" i="2"/>
  <c r="DC236" i="3" s="1"/>
  <c r="DC327" i="2"/>
  <c r="G49" i="9"/>
  <c r="DB236" i="3"/>
  <c r="CZ74" i="2"/>
  <c r="CZ166" i="2"/>
  <c r="DI300" i="4"/>
  <c r="DI302" i="4" s="1"/>
  <c r="DL757" i="4"/>
  <c r="DL765" i="4" s="1"/>
  <c r="DQ108" i="4"/>
  <c r="DQ109" i="4" s="1"/>
  <c r="DL748" i="4"/>
  <c r="DL749" i="4" s="1"/>
  <c r="DJ746" i="4"/>
  <c r="DJ758" i="4" s="1"/>
  <c r="DJ766" i="4" s="1"/>
  <c r="DJ103" i="4"/>
  <c r="DM109" i="4"/>
  <c r="DJ109" i="4"/>
  <c r="DI760" i="4"/>
  <c r="DI768" i="4" s="1"/>
  <c r="DI800" i="4" s="1"/>
  <c r="DK108" i="4"/>
  <c r="DK109" i="4" s="1"/>
  <c r="DL176" i="4"/>
  <c r="DR109" i="4"/>
  <c r="DK99" i="4"/>
  <c r="DK100" i="4" s="1"/>
  <c r="DP173" i="4"/>
  <c r="DP205" i="4" s="1"/>
  <c r="DP206" i="4" s="1"/>
  <c r="DJ173" i="4"/>
  <c r="DM174" i="4" s="1"/>
  <c r="DO103" i="4"/>
  <c r="DO746" i="4"/>
  <c r="DO758" i="4" s="1"/>
  <c r="DR758" i="4" s="1"/>
  <c r="EP836" i="4"/>
  <c r="EQ836" i="4" s="1"/>
  <c r="EU836" i="4"/>
  <c r="ES836" i="4" s="1"/>
  <c r="ET836" i="4" s="1"/>
  <c r="EW306" i="4"/>
  <c r="EW307" i="4"/>
  <c r="EP853" i="4"/>
  <c r="EQ853" i="4" s="1"/>
  <c r="EU853" i="4"/>
  <c r="ES853" i="4" s="1"/>
  <c r="ET853" i="4" s="1"/>
  <c r="EP580" i="4"/>
  <c r="EQ580" i="4" s="1"/>
  <c r="EU580" i="4"/>
  <c r="EW214" i="4"/>
  <c r="EW215" i="4"/>
  <c r="EP578" i="4"/>
  <c r="EQ578" i="4" s="1"/>
  <c r="EU578" i="4"/>
  <c r="EP855" i="4"/>
  <c r="EQ855" i="4" s="1"/>
  <c r="EU855" i="4"/>
  <c r="ES579" i="4"/>
  <c r="ET579" i="4" s="1"/>
  <c r="EX579" i="4"/>
  <c r="EX81" i="4"/>
  <c r="EW82" i="4"/>
  <c r="EQ253" i="2"/>
  <c r="EQ637" i="2" s="1"/>
  <c r="ES253" i="2"/>
  <c r="EU253" i="2"/>
  <c r="DP100" i="4"/>
  <c r="DJ100" i="4"/>
  <c r="DP745" i="4"/>
  <c r="DP757" i="4" s="1"/>
  <c r="DS757" i="4" s="1"/>
  <c r="DJ745" i="4"/>
  <c r="DK745" i="4" s="1"/>
  <c r="BT25" i="2"/>
  <c r="DN5" i="4"/>
  <c r="DO168" i="2"/>
  <c r="DO175" i="2"/>
  <c r="DQ176" i="3"/>
  <c r="DR169" i="3"/>
  <c r="DR170" i="3"/>
  <c r="DR176" i="3"/>
  <c r="DU176" i="3" s="1"/>
  <c r="DR171" i="3"/>
  <c r="BT400" i="2"/>
  <c r="BT472" i="2" s="1"/>
  <c r="BT154" i="3"/>
  <c r="BT398" i="2"/>
  <c r="CF27" i="4"/>
  <c r="CD27" i="4"/>
  <c r="CB27" i="4"/>
  <c r="BV27" i="4"/>
  <c r="CA27" i="4"/>
  <c r="CG27" i="4"/>
  <c r="BR20" i="2"/>
  <c r="BO27" i="4"/>
  <c r="BW27" i="4"/>
  <c r="BU27" i="4"/>
  <c r="BX27" i="4"/>
  <c r="BY27" i="4"/>
  <c r="CE27" i="4"/>
  <c r="BS27" i="4"/>
  <c r="BZ27" i="4"/>
  <c r="BR27" i="4"/>
  <c r="CC27" i="4"/>
  <c r="BT27" i="4"/>
  <c r="BR472" i="2"/>
  <c r="BS365" i="2"/>
  <c r="BS223" i="3" s="1"/>
  <c r="BS366" i="2"/>
  <c r="BS224" i="3" s="1"/>
  <c r="BS27" i="2"/>
  <c r="BV27" i="2"/>
  <c r="BR366" i="2"/>
  <c r="BR224" i="3" s="1"/>
  <c r="BR27" i="2"/>
  <c r="BR365" i="2"/>
  <c r="BR223" i="3" s="1"/>
  <c r="BY441" i="2"/>
  <c r="BX409" i="2"/>
  <c r="BX410" i="2"/>
  <c r="BX411" i="2"/>
  <c r="BQ366" i="2"/>
  <c r="BQ224" i="3" s="1"/>
  <c r="BQ27" i="2"/>
  <c r="BQ365" i="2"/>
  <c r="BQ223" i="3" s="1"/>
  <c r="BU398" i="2"/>
  <c r="BU154" i="3"/>
  <c r="DP5" i="4"/>
  <c r="DO5" i="4"/>
  <c r="DJ5" i="4"/>
  <c r="DK5" i="4" s="1"/>
  <c r="DO173" i="4"/>
  <c r="DO175" i="4" s="1"/>
  <c r="DO176" i="4" s="1"/>
  <c r="DQ102" i="4"/>
  <c r="DQ103" i="4" s="1"/>
  <c r="DP103" i="4"/>
  <c r="DI150" i="4"/>
  <c r="DN149" i="4"/>
  <c r="DN150" i="4" s="1"/>
  <c r="DP746" i="4"/>
  <c r="DP758" i="4" s="1"/>
  <c r="DS758" i="4" s="1"/>
  <c r="DV758" i="4" s="1"/>
  <c r="DY758" i="4" s="1"/>
  <c r="EB758" i="4" s="1"/>
  <c r="EE758" i="4" s="1"/>
  <c r="EH758" i="4" s="1"/>
  <c r="EK758" i="4" s="1"/>
  <c r="EN758" i="4" s="1"/>
  <c r="EQ758" i="4" s="1"/>
  <c r="ET758" i="4" s="1"/>
  <c r="EW758" i="4" s="1"/>
  <c r="EZ758" i="4" s="1"/>
  <c r="DJ265" i="4"/>
  <c r="DM266" i="4" s="1"/>
  <c r="DO105" i="4"/>
  <c r="DO354" i="4" s="1"/>
  <c r="DO355" i="4" s="1"/>
  <c r="DK102" i="4"/>
  <c r="DN103" i="4" s="1"/>
  <c r="DN362" i="4"/>
  <c r="DN364" i="4" s="1"/>
  <c r="DP292" i="4"/>
  <c r="DP289" i="4"/>
  <c r="DP323" i="4"/>
  <c r="DP324" i="4" s="1"/>
  <c r="DJ289" i="4"/>
  <c r="DM290" i="4" s="1"/>
  <c r="DJ292" i="4"/>
  <c r="DJ323" i="4"/>
  <c r="DK291" i="4"/>
  <c r="DN292" i="4" s="1"/>
  <c r="DJ372" i="4"/>
  <c r="DJ397" i="4"/>
  <c r="DK371" i="4"/>
  <c r="DK372" i="4" s="1"/>
  <c r="DM372" i="4"/>
  <c r="DS108" i="4"/>
  <c r="DT108" i="4" s="1"/>
  <c r="DS359" i="4"/>
  <c r="DT359" i="4" s="1"/>
  <c r="DS371" i="4"/>
  <c r="DT371" i="4" s="1"/>
  <c r="DS366" i="4"/>
  <c r="DT366" i="4" s="1"/>
  <c r="DS400" i="4"/>
  <c r="DT400" i="4" s="1"/>
  <c r="DS291" i="4"/>
  <c r="DS284" i="4"/>
  <c r="DS326" i="4"/>
  <c r="DS328" i="4" s="1"/>
  <c r="DP387" i="4"/>
  <c r="DM329" i="4"/>
  <c r="DM334" i="4"/>
  <c r="DP329" i="4"/>
  <c r="DP334" i="4"/>
  <c r="DP332" i="4" s="1"/>
  <c r="DN328" i="4"/>
  <c r="DN329" i="4" s="1"/>
  <c r="DI283" i="4"/>
  <c r="DO328" i="4"/>
  <c r="DQ326" i="4"/>
  <c r="DQ359" i="4"/>
  <c r="DL324" i="4"/>
  <c r="DN323" i="4"/>
  <c r="DN324" i="4" s="1"/>
  <c r="DR356" i="4"/>
  <c r="DR326" i="4"/>
  <c r="DR291" i="4"/>
  <c r="DR284" i="4"/>
  <c r="DN387" i="4"/>
  <c r="DM389" i="4"/>
  <c r="DM390" i="4" s="1"/>
  <c r="DP280" i="4"/>
  <c r="DP285" i="4"/>
  <c r="DI309" i="4"/>
  <c r="DO289" i="4"/>
  <c r="DQ291" i="4"/>
  <c r="DQ292" i="4" s="1"/>
  <c r="DO292" i="4"/>
  <c r="DO323" i="4"/>
  <c r="DQ366" i="4"/>
  <c r="DO362" i="4"/>
  <c r="DO387" i="4" s="1"/>
  <c r="DO389" i="4" s="1"/>
  <c r="DO390" i="4" s="1"/>
  <c r="DO367" i="4"/>
  <c r="DL290" i="4"/>
  <c r="DN289" i="4"/>
  <c r="DL322" i="4"/>
  <c r="DL390" i="4"/>
  <c r="DR362" i="4"/>
  <c r="DR367" i="4"/>
  <c r="DN280" i="4"/>
  <c r="DM275" i="4"/>
  <c r="DM282" i="4"/>
  <c r="DM267" i="4"/>
  <c r="DL398" i="4"/>
  <c r="DN397" i="4"/>
  <c r="DN398" i="4" s="1"/>
  <c r="DM322" i="4"/>
  <c r="DQ284" i="4"/>
  <c r="DQ285" i="4" s="1"/>
  <c r="DO280" i="4"/>
  <c r="DO285" i="4"/>
  <c r="DQ371" i="4"/>
  <c r="DQ372" i="4" s="1"/>
  <c r="DO372" i="4"/>
  <c r="DO397" i="4"/>
  <c r="DJ280" i="4"/>
  <c r="DK284" i="4"/>
  <c r="DN285" i="4" s="1"/>
  <c r="DJ362" i="4"/>
  <c r="DK366" i="4"/>
  <c r="DM367" i="4"/>
  <c r="DR372" i="4"/>
  <c r="DR397" i="4"/>
  <c r="DL275" i="4"/>
  <c r="DL282" i="4"/>
  <c r="DL281" i="4"/>
  <c r="DN267" i="4"/>
  <c r="DR102" i="4"/>
  <c r="DR265" i="4" s="1"/>
  <c r="DR272" i="4"/>
  <c r="DS238" i="4"/>
  <c r="DS243" i="4"/>
  <c r="DO270" i="4"/>
  <c r="DQ272" i="4"/>
  <c r="DH51" i="4"/>
  <c r="DH62" i="4" s="1"/>
  <c r="DQ243" i="4"/>
  <c r="DQ244" i="4" s="1"/>
  <c r="DO241" i="4"/>
  <c r="DO244" i="4"/>
  <c r="DP244" i="4"/>
  <c r="DP241" i="4"/>
  <c r="DO266" i="4"/>
  <c r="DQ265" i="4"/>
  <c r="DQ266" i="4" s="1"/>
  <c r="DP267" i="4"/>
  <c r="DP266" i="4"/>
  <c r="DS102" i="4"/>
  <c r="DS265" i="4" s="1"/>
  <c r="DS272" i="4"/>
  <c r="DS270" i="4" s="1"/>
  <c r="DN241" i="4"/>
  <c r="DN165" i="4"/>
  <c r="DQ237" i="4"/>
  <c r="DQ238" i="4" s="1"/>
  <c r="DO238" i="4"/>
  <c r="DR237" i="4"/>
  <c r="DR243" i="4" s="1"/>
  <c r="DT235" i="4"/>
  <c r="DO745" i="4"/>
  <c r="DO757" i="4" s="1"/>
  <c r="DR757" i="4" s="1"/>
  <c r="DQ99" i="4"/>
  <c r="DQ100" i="4" s="1"/>
  <c r="DS191" i="4"/>
  <c r="DS198" i="4"/>
  <c r="DQ191" i="4"/>
  <c r="DQ192" i="4" s="1"/>
  <c r="DO188" i="4"/>
  <c r="DO192" i="4"/>
  <c r="DM231" i="4"/>
  <c r="DI217" i="4"/>
  <c r="DI218" i="4" s="1"/>
  <c r="DM183" i="4"/>
  <c r="DI233" i="4"/>
  <c r="DI232" i="4"/>
  <c r="DO196" i="4"/>
  <c r="DQ198" i="4"/>
  <c r="DQ199" i="4" s="1"/>
  <c r="DO199" i="4"/>
  <c r="DO165" i="4"/>
  <c r="DR198" i="4"/>
  <c r="DR191" i="4"/>
  <c r="DJ196" i="4"/>
  <c r="DM197" i="4" s="1"/>
  <c r="DJ199" i="4"/>
  <c r="DJ165" i="4"/>
  <c r="DK165" i="4" s="1"/>
  <c r="DK198" i="4"/>
  <c r="DN196" i="4"/>
  <c r="DL197" i="4"/>
  <c r="DL231" i="4"/>
  <c r="DP188" i="4"/>
  <c r="DP192" i="4"/>
  <c r="DJ188" i="4"/>
  <c r="DM189" i="4" s="1"/>
  <c r="DK191" i="4"/>
  <c r="DN192" i="4" s="1"/>
  <c r="DN188" i="4"/>
  <c r="DL183" i="4"/>
  <c r="DL217" i="4" s="1"/>
  <c r="DL218" i="4" s="1"/>
  <c r="DL189" i="4"/>
  <c r="DM199" i="4"/>
  <c r="DP196" i="4"/>
  <c r="DP199" i="4"/>
  <c r="DP165" i="4"/>
  <c r="DN175" i="4"/>
  <c r="DS99" i="4"/>
  <c r="DS100" i="4" s="1"/>
  <c r="DS180" i="4"/>
  <c r="DS178" i="4" s="1"/>
  <c r="DQ178" i="4"/>
  <c r="DJ178" i="4"/>
  <c r="DJ181" i="4"/>
  <c r="DK180" i="4"/>
  <c r="DI246" i="4"/>
  <c r="DI169" i="4"/>
  <c r="DI252" i="4"/>
  <c r="DR99" i="4"/>
  <c r="DR100" i="4" s="1"/>
  <c r="DR180" i="4"/>
  <c r="DR178" i="4" s="1"/>
  <c r="DN476" i="4"/>
  <c r="DQ466" i="4"/>
  <c r="DP476" i="4"/>
  <c r="DT427" i="4"/>
  <c r="DT92" i="4"/>
  <c r="DT91" i="4"/>
  <c r="DI273" i="4"/>
  <c r="DI301" i="4"/>
  <c r="DL206" i="4"/>
  <c r="DP378" i="4"/>
  <c r="DL260" i="4"/>
  <c r="DL333" i="4" s="1"/>
  <c r="DL300" i="4"/>
  <c r="DL302" i="4" s="1"/>
  <c r="DL271" i="4"/>
  <c r="DO298" i="4"/>
  <c r="DL378" i="4"/>
  <c r="DN378" i="4" s="1"/>
  <c r="DP298" i="4"/>
  <c r="DP299" i="4" s="1"/>
  <c r="DL164" i="4"/>
  <c r="DI380" i="4"/>
  <c r="DI402" i="4"/>
  <c r="DI405" i="4" s="1"/>
  <c r="DM379" i="4"/>
  <c r="DI261" i="4"/>
  <c r="DI337" i="4"/>
  <c r="DI343" i="4"/>
  <c r="DI348" i="4"/>
  <c r="DN747" i="4"/>
  <c r="DN759" i="4" s="1"/>
  <c r="DN767" i="4" s="1"/>
  <c r="DL759" i="4"/>
  <c r="DL767" i="4" s="1"/>
  <c r="DM301" i="4"/>
  <c r="DM260" i="4"/>
  <c r="DM300" i="4"/>
  <c r="DJ106" i="4"/>
  <c r="DJ747" i="4"/>
  <c r="DJ354" i="4"/>
  <c r="DM355" i="4" s="1"/>
  <c r="DK105" i="4"/>
  <c r="DK106" i="4" s="1"/>
  <c r="DM106" i="4"/>
  <c r="DT93" i="4"/>
  <c r="DI209" i="4"/>
  <c r="DL299" i="4"/>
  <c r="DN299" i="4" s="1"/>
  <c r="DN298" i="4"/>
  <c r="DN295" i="4" s="1"/>
  <c r="DR747" i="4"/>
  <c r="DN31" i="2"/>
  <c r="DN150" i="2"/>
  <c r="BX688" i="4"/>
  <c r="EE823" i="4"/>
  <c r="EI823" i="4"/>
  <c r="EF841" i="4"/>
  <c r="EA823" i="4"/>
  <c r="EA841" i="4" s="1"/>
  <c r="EB841" i="4"/>
  <c r="BX620" i="4"/>
  <c r="BX662" i="4" s="1"/>
  <c r="BX704" i="4" s="1"/>
  <c r="BX907" i="4" s="1"/>
  <c r="BX628" i="4"/>
  <c r="EM852" i="4"/>
  <c r="EN852" i="4" s="1"/>
  <c r="ER852" i="4"/>
  <c r="DQ11" i="4"/>
  <c r="BZ570" i="4"/>
  <c r="BX896" i="4"/>
  <c r="BX950" i="4"/>
  <c r="BX885" i="4"/>
  <c r="BX897" i="4" s="1"/>
  <c r="BX712" i="4"/>
  <c r="BX915" i="4" s="1"/>
  <c r="BX741" i="4"/>
  <c r="BX787" i="4" s="1"/>
  <c r="DL150" i="4"/>
  <c r="DI154" i="4"/>
  <c r="DI155" i="4" s="1"/>
  <c r="ED828" i="4"/>
  <c r="ED829" i="4" s="1"/>
  <c r="ED830" i="4" s="1"/>
  <c r="ED831" i="4" s="1"/>
  <c r="ED840" i="4"/>
  <c r="ED846" i="4" s="1"/>
  <c r="ED847" i="4" s="1"/>
  <c r="ED848" i="4" s="1"/>
  <c r="ED849" i="4" s="1"/>
  <c r="EL840" i="4"/>
  <c r="EL846" i="4" s="1"/>
  <c r="EL847" i="4" s="1"/>
  <c r="EL848" i="4" s="1"/>
  <c r="EL849" i="4" s="1"/>
  <c r="EO822" i="4"/>
  <c r="EK822" i="4"/>
  <c r="EL828" i="4"/>
  <c r="EL829" i="4" s="1"/>
  <c r="EL830" i="4" s="1"/>
  <c r="EL831" i="4" s="1"/>
  <c r="EH840" i="4"/>
  <c r="EH846" i="4" s="1"/>
  <c r="EH847" i="4" s="1"/>
  <c r="EH848" i="4" s="1"/>
  <c r="EH849" i="4" s="1"/>
  <c r="EH828" i="4"/>
  <c r="EH829" i="4" s="1"/>
  <c r="EH830" i="4" s="1"/>
  <c r="EH831" i="4" s="1"/>
  <c r="EG822" i="4"/>
  <c r="DV843" i="4"/>
  <c r="DV856" i="4" s="1"/>
  <c r="DV838" i="4"/>
  <c r="DU825" i="4"/>
  <c r="BY585" i="4"/>
  <c r="BY586" i="4" s="1"/>
  <c r="BY639" i="4"/>
  <c r="BY687" i="4" s="1"/>
  <c r="BY627" i="4"/>
  <c r="BY669" i="4" s="1"/>
  <c r="BW735" i="4"/>
  <c r="BW781" i="4" s="1"/>
  <c r="BW938" i="4"/>
  <c r="BW902" i="4"/>
  <c r="DZ838" i="4"/>
  <c r="DZ843" i="4"/>
  <c r="DZ856" i="4" s="1"/>
  <c r="DY825" i="4"/>
  <c r="EC825" i="4"/>
  <c r="BX621" i="4"/>
  <c r="BX633" i="4"/>
  <c r="BX634" i="4" s="1"/>
  <c r="BX682" i="4" s="1"/>
  <c r="DR838" i="4"/>
  <c r="DR843" i="4"/>
  <c r="DR856" i="4" s="1"/>
  <c r="CA569" i="4"/>
  <c r="BZ591" i="4"/>
  <c r="BX586" i="4"/>
  <c r="DM160" i="4"/>
  <c r="DM155" i="4"/>
  <c r="DK466" i="4"/>
  <c r="DJ486" i="4"/>
  <c r="DP157" i="4"/>
  <c r="DP46" i="4"/>
  <c r="DJ476" i="4"/>
  <c r="DK475" i="4"/>
  <c r="DK476" i="4" s="1"/>
  <c r="BY592" i="4"/>
  <c r="BY640" i="4" s="1"/>
  <c r="DL154" i="4"/>
  <c r="DL155" i="4" s="1"/>
  <c r="DS474" i="4"/>
  <c r="DS475" i="4"/>
  <c r="DS147" i="4"/>
  <c r="DJ134" i="4"/>
  <c r="DK133" i="4"/>
  <c r="DK56" i="4"/>
  <c r="DK66" i="4"/>
  <c r="DI175" i="2"/>
  <c r="DK340" i="2"/>
  <c r="DK150" i="2"/>
  <c r="DK341" i="2"/>
  <c r="DK147" i="2"/>
  <c r="DK171" i="3"/>
  <c r="DK167" i="3" s="1"/>
  <c r="DK165" i="2"/>
  <c r="DK337" i="2"/>
  <c r="DK169" i="3"/>
  <c r="DK165" i="3" s="1"/>
  <c r="DK162" i="2"/>
  <c r="DK342" i="2"/>
  <c r="DK333" i="2"/>
  <c r="DK170" i="3"/>
  <c r="DK166" i="3" s="1"/>
  <c r="DK335" i="2"/>
  <c r="DK339" i="2"/>
  <c r="DK31" i="2"/>
  <c r="DJ30" i="2"/>
  <c r="DM150" i="2" s="1"/>
  <c r="DK163" i="2"/>
  <c r="DK336" i="2"/>
  <c r="DK33" i="2"/>
  <c r="DK334" i="2"/>
  <c r="DM70" i="4"/>
  <c r="DM51" i="4"/>
  <c r="DM6" i="4" s="1"/>
  <c r="DP53" i="4"/>
  <c r="DS489" i="4"/>
  <c r="DJ53" i="4"/>
  <c r="DK42" i="4"/>
  <c r="DK53" i="4" s="1"/>
  <c r="DM53" i="4"/>
  <c r="DS42" i="4"/>
  <c r="DS66" i="4"/>
  <c r="DS56" i="4"/>
  <c r="EH273" i="2"/>
  <c r="EJ273" i="2"/>
  <c r="BY894" i="4"/>
  <c r="BY884" i="4"/>
  <c r="BY885" i="4" s="1"/>
  <c r="EH363" i="4"/>
  <c r="BX932" i="4"/>
  <c r="BY890" i="4"/>
  <c r="BV951" i="4"/>
  <c r="CA859" i="4"/>
  <c r="BZ955" i="4"/>
  <c r="DR798" i="4"/>
  <c r="DQ797" i="4"/>
  <c r="BY878" i="4"/>
  <c r="BY879" i="4" s="1"/>
  <c r="BY632" i="4"/>
  <c r="BY620" i="4"/>
  <c r="CA637" i="4"/>
  <c r="CA625" i="4"/>
  <c r="BY673" i="4"/>
  <c r="BY679" i="4"/>
  <c r="BY721" i="4" s="1"/>
  <c r="BY924" i="4" s="1"/>
  <c r="DM191" i="2"/>
  <c r="DM179" i="3" s="1"/>
  <c r="DM176" i="3" s="1"/>
  <c r="DN189" i="2"/>
  <c r="AA31" i="9" s="1"/>
  <c r="AA39" i="9" s="1"/>
  <c r="CI652" i="4"/>
  <c r="DO189" i="2"/>
  <c r="DT486" i="4"/>
  <c r="DT487" i="4" s="1"/>
  <c r="CK693" i="4"/>
  <c r="DQ489" i="4"/>
  <c r="DO157" i="4"/>
  <c r="DO46" i="4"/>
  <c r="DO147" i="4"/>
  <c r="CD692" i="4"/>
  <c r="BZ882" i="4"/>
  <c r="BX697" i="4"/>
  <c r="BY942" i="4"/>
  <c r="BY655" i="4"/>
  <c r="BY661" i="4"/>
  <c r="BY703" i="4" s="1"/>
  <c r="BY906" i="4" s="1"/>
  <c r="BX674" i="4"/>
  <c r="BX716" i="4" s="1"/>
  <c r="BX919" i="4" s="1"/>
  <c r="BX680" i="4"/>
  <c r="BX722" i="4" s="1"/>
  <c r="BX925" i="4" s="1"/>
  <c r="BX730" i="4"/>
  <c r="BX933" i="4" s="1"/>
  <c r="BV933" i="4"/>
  <c r="DN42" i="2"/>
  <c r="K23" i="9" s="1"/>
  <c r="CA889" i="4"/>
  <c r="BZ888" i="4"/>
  <c r="ER637" i="2"/>
  <c r="DT483" i="4"/>
  <c r="DT484" i="4" s="1"/>
  <c r="BW945" i="4"/>
  <c r="DN147" i="4"/>
  <c r="BX949" i="4"/>
  <c r="BX740" i="4"/>
  <c r="BX786" i="4" s="1"/>
  <c r="BX913" i="4"/>
  <c r="DO53" i="4"/>
  <c r="DQ42" i="4"/>
  <c r="DR11" i="4"/>
  <c r="BV742" i="4"/>
  <c r="BV788" i="4" s="1"/>
  <c r="BV915" i="4"/>
  <c r="DG72" i="4"/>
  <c r="DG62" i="4"/>
  <c r="DG7" i="4"/>
  <c r="DN46" i="4"/>
  <c r="DL47" i="4"/>
  <c r="CT645" i="4"/>
  <c r="BW734" i="4"/>
  <c r="BW780" i="4" s="1"/>
  <c r="BW937" i="4"/>
  <c r="BW901" i="4"/>
  <c r="CC812" i="4"/>
  <c r="CB818" i="4"/>
  <c r="CB813" i="4"/>
  <c r="ER854" i="4"/>
  <c r="BW697" i="4"/>
  <c r="BW658" i="4"/>
  <c r="CE498" i="2"/>
  <c r="CD497" i="2"/>
  <c r="CD504" i="2"/>
  <c r="CD500" i="2"/>
  <c r="CD499" i="2"/>
  <c r="CB753" i="4"/>
  <c r="DR474" i="4"/>
  <c r="DT473" i="4"/>
  <c r="DT474" i="4" s="1"/>
  <c r="DR475" i="4"/>
  <c r="DR489" i="4"/>
  <c r="DT479" i="4"/>
  <c r="DT480" i="4" s="1"/>
  <c r="CM644" i="4"/>
  <c r="CA751" i="4"/>
  <c r="BZ754" i="4"/>
  <c r="CE810" i="4"/>
  <c r="CD816" i="4"/>
  <c r="CA872" i="4"/>
  <c r="BY667" i="4"/>
  <c r="BZ876" i="4"/>
  <c r="EF842" i="4"/>
  <c r="EI824" i="4"/>
  <c r="EE824" i="4"/>
  <c r="CK691" i="4"/>
  <c r="CB567" i="4"/>
  <c r="CA583" i="4"/>
  <c r="BY954" i="4"/>
  <c r="BY861" i="4"/>
  <c r="BZ858" i="4"/>
  <c r="DF643" i="4"/>
  <c r="CA877" i="4"/>
  <c r="BZ895" i="4"/>
  <c r="DR56" i="4"/>
  <c r="DT45" i="4"/>
  <c r="DR66" i="4"/>
  <c r="DR42" i="4"/>
  <c r="EP637" i="2"/>
  <c r="DN137" i="4"/>
  <c r="DE7" i="4"/>
  <c r="DC8" i="4"/>
  <c r="CA568" i="4"/>
  <c r="BZ590" i="4"/>
  <c r="DU385" i="2"/>
  <c r="DV374" i="2" s="1"/>
  <c r="DK150" i="3"/>
  <c r="BZ583" i="4"/>
  <c r="CC515" i="2"/>
  <c r="CD514" i="2"/>
  <c r="DM170" i="3"/>
  <c r="DM166" i="3" s="1"/>
  <c r="DM169" i="3"/>
  <c r="DM165" i="3" s="1"/>
  <c r="DM168" i="2"/>
  <c r="DM339" i="2"/>
  <c r="DM341" i="2"/>
  <c r="DM175" i="2"/>
  <c r="DM340" i="2"/>
  <c r="DM334" i="2"/>
  <c r="DM333" i="2"/>
  <c r="DM165" i="2"/>
  <c r="DM163" i="2"/>
  <c r="DM147" i="2"/>
  <c r="DM162" i="2"/>
  <c r="DM337" i="2"/>
  <c r="DM336" i="2"/>
  <c r="DM335" i="2"/>
  <c r="DM342" i="2"/>
  <c r="DM171" i="3"/>
  <c r="DM167" i="3" s="1"/>
  <c r="DM11" i="4"/>
  <c r="BW712" i="4"/>
  <c r="BW948" i="4"/>
  <c r="BW951" i="4" s="1"/>
  <c r="BW739" i="4"/>
  <c r="BW785" i="4" s="1"/>
  <c r="BW912" i="4"/>
  <c r="BW706" i="4"/>
  <c r="BW909" i="4" s="1"/>
  <c r="BW906" i="4"/>
  <c r="CK651" i="4"/>
  <c r="BV939" i="4"/>
  <c r="BV903" i="4"/>
  <c r="DR191" i="2"/>
  <c r="DR341" i="2"/>
  <c r="DR334" i="2"/>
  <c r="DR339" i="2"/>
  <c r="DR163" i="2"/>
  <c r="DR165" i="2"/>
  <c r="DR31" i="2"/>
  <c r="DR150" i="2"/>
  <c r="DR333" i="2"/>
  <c r="DR340" i="2"/>
  <c r="DR162" i="2"/>
  <c r="DR147" i="2"/>
  <c r="DR337" i="2"/>
  <c r="DR336" i="2"/>
  <c r="DR342" i="2"/>
  <c r="DR335" i="2"/>
  <c r="DO20" i="2"/>
  <c r="DO137" i="4"/>
  <c r="DO149" i="4"/>
  <c r="CA866" i="4"/>
  <c r="DO476" i="4"/>
  <c r="DQ475" i="4"/>
  <c r="BW724" i="4"/>
  <c r="BW927" i="4" s="1"/>
  <c r="BW924" i="4"/>
  <c r="BX715" i="4"/>
  <c r="DQ66" i="4"/>
  <c r="DQ56" i="4"/>
  <c r="DF7" i="4"/>
  <c r="EB842" i="4"/>
  <c r="EA824" i="4"/>
  <c r="EA842" i="4" s="1"/>
  <c r="DI150" i="3"/>
  <c r="EO270" i="2"/>
  <c r="EP270" i="2" s="1"/>
  <c r="CC817" i="4"/>
  <c r="CC883" i="4" s="1"/>
  <c r="CD811" i="4"/>
  <c r="CD817" i="4" s="1"/>
  <c r="EM854" i="4"/>
  <c r="EN854" i="4" s="1"/>
  <c r="BZ860" i="4"/>
  <c r="BY956" i="4"/>
  <c r="BZ625" i="4"/>
  <c r="BZ637" i="4"/>
  <c r="BZ685" i="4" s="1"/>
  <c r="CA685" i="4" s="1"/>
  <c r="BY867" i="4"/>
  <c r="BZ864" i="4"/>
  <c r="BX957" i="4"/>
  <c r="CL650" i="4"/>
  <c r="CK649" i="4"/>
  <c r="EJ416" i="2"/>
  <c r="BW676" i="4"/>
  <c r="BW715" i="4"/>
  <c r="BY873" i="4"/>
  <c r="BZ870" i="4"/>
  <c r="EP149" i="3"/>
  <c r="BV736" i="4"/>
  <c r="BV782" i="4" s="1"/>
  <c r="BV779" i="4"/>
  <c r="DT30" i="2"/>
  <c r="DT34" i="4"/>
  <c r="DT71" i="4"/>
  <c r="CI752" i="4"/>
  <c r="CC865" i="4"/>
  <c r="DQ191" i="2"/>
  <c r="DQ33" i="2"/>
  <c r="DP30" i="2"/>
  <c r="DQ169" i="3"/>
  <c r="DQ165" i="3" s="1"/>
  <c r="DQ165" i="2"/>
  <c r="DQ333" i="2"/>
  <c r="DQ31" i="2"/>
  <c r="DQ341" i="2"/>
  <c r="DQ339" i="2"/>
  <c r="DQ170" i="3"/>
  <c r="DQ166" i="3" s="1"/>
  <c r="DQ340" i="2"/>
  <c r="DQ150" i="2"/>
  <c r="DQ334" i="2"/>
  <c r="DQ163" i="2"/>
  <c r="DQ337" i="2"/>
  <c r="DQ147" i="2"/>
  <c r="DQ162" i="2"/>
  <c r="DQ336" i="2"/>
  <c r="DQ342" i="2"/>
  <c r="DQ171" i="3"/>
  <c r="DQ167" i="3" s="1"/>
  <c r="DQ335" i="2"/>
  <c r="BY727" i="4"/>
  <c r="BY930" i="4" s="1"/>
  <c r="DT465" i="4"/>
  <c r="DR466" i="4"/>
  <c r="BY626" i="4"/>
  <c r="BY668" i="4" s="1"/>
  <c r="BY638" i="4"/>
  <c r="BY686" i="4" s="1"/>
  <c r="CC871" i="4"/>
  <c r="FA84" i="4" l="1"/>
  <c r="FA85" i="4" s="1"/>
  <c r="EZ85" i="4"/>
  <c r="DX186" i="2"/>
  <c r="DZ186" i="2" s="1"/>
  <c r="EZ33" i="4"/>
  <c r="EX82" i="4"/>
  <c r="EY81" i="4"/>
  <c r="EV579" i="4"/>
  <c r="EW579" i="4" s="1"/>
  <c r="FA579" i="4"/>
  <c r="EY579" i="4" s="1"/>
  <c r="EZ579" i="4" s="1"/>
  <c r="EZ190" i="2"/>
  <c r="FA19" i="4"/>
  <c r="DR168" i="2"/>
  <c r="DP52" i="3"/>
  <c r="DP54" i="3" s="1"/>
  <c r="DT52" i="3"/>
  <c r="DT54" i="3" s="1"/>
  <c r="DV396" i="2"/>
  <c r="DV385" i="2"/>
  <c r="DV384" i="2" s="1"/>
  <c r="DL760" i="4"/>
  <c r="DL768" i="4" s="1"/>
  <c r="DR106" i="4"/>
  <c r="DI762" i="4"/>
  <c r="DI770" i="4"/>
  <c r="DP175" i="4"/>
  <c r="DP176" i="4" s="1"/>
  <c r="DK271" i="2"/>
  <c r="DI269" i="2"/>
  <c r="DI345" i="2" s="1"/>
  <c r="DR77" i="2"/>
  <c r="DP77" i="2"/>
  <c r="Y57" i="9"/>
  <c r="DH640" i="2"/>
  <c r="DH64" i="3"/>
  <c r="DH328" i="2"/>
  <c r="I49" i="9" s="1"/>
  <c r="DG269" i="2"/>
  <c r="DH329" i="2"/>
  <c r="DH327" i="2"/>
  <c r="DH513" i="2"/>
  <c r="DH330" i="2"/>
  <c r="DH287" i="2"/>
  <c r="DI60" i="2"/>
  <c r="DI153" i="2"/>
  <c r="DI69" i="2"/>
  <c r="DI160" i="2"/>
  <c r="DN206" i="4"/>
  <c r="DF630" i="2"/>
  <c r="DF631" i="2" s="1"/>
  <c r="DF305" i="2"/>
  <c r="DO205" i="4"/>
  <c r="DQ205" i="4" s="1"/>
  <c r="DK746" i="4"/>
  <c r="DK758" i="4" s="1"/>
  <c r="DK766" i="4" s="1"/>
  <c r="DN205" i="4"/>
  <c r="DN203" i="4" s="1"/>
  <c r="EX19" i="4"/>
  <c r="EX33" i="4" s="1"/>
  <c r="DQ105" i="4"/>
  <c r="DQ106" i="4" s="1"/>
  <c r="DQ173" i="4"/>
  <c r="DQ174" i="4" s="1"/>
  <c r="DO174" i="4"/>
  <c r="BZ225" i="3"/>
  <c r="DK173" i="4"/>
  <c r="DN174" i="4" s="1"/>
  <c r="DJ205" i="4"/>
  <c r="DJ208" i="4" s="1"/>
  <c r="DK208" i="4" s="1"/>
  <c r="CA222" i="2"/>
  <c r="BZ222" i="2" s="1"/>
  <c r="BZ221" i="2"/>
  <c r="DO747" i="4"/>
  <c r="DQ747" i="4" s="1"/>
  <c r="DQ759" i="4" s="1"/>
  <c r="DQ767" i="4" s="1"/>
  <c r="DJ174" i="4"/>
  <c r="DI773" i="4"/>
  <c r="DI774" i="4" s="1"/>
  <c r="DT109" i="4"/>
  <c r="DN100" i="4"/>
  <c r="CD91" i="2"/>
  <c r="CC91" i="2" s="1"/>
  <c r="CD384" i="2"/>
  <c r="CG374" i="2"/>
  <c r="CG385" i="2" s="1"/>
  <c r="CD140" i="2"/>
  <c r="CD566" i="2"/>
  <c r="CY414" i="2"/>
  <c r="CW415" i="2"/>
  <c r="DP163" i="4"/>
  <c r="DP164" i="4" s="1"/>
  <c r="DK103" i="4"/>
  <c r="DP174" i="4"/>
  <c r="DS105" i="4"/>
  <c r="DS354" i="4" s="1"/>
  <c r="DS355" i="4" s="1"/>
  <c r="DN109" i="4"/>
  <c r="DK265" i="4"/>
  <c r="DK266" i="4" s="1"/>
  <c r="DQ746" i="4"/>
  <c r="DQ758" i="4" s="1"/>
  <c r="DQ766" i="4" s="1"/>
  <c r="DL143" i="2"/>
  <c r="DL146" i="2" s="1"/>
  <c r="DM142" i="2" s="1"/>
  <c r="DJ140" i="2"/>
  <c r="DJ141" i="2" s="1"/>
  <c r="DK141" i="2"/>
  <c r="DO138" i="2"/>
  <c r="DM138" i="2"/>
  <c r="DN139" i="2"/>
  <c r="DN143" i="2" s="1"/>
  <c r="DN146" i="2" s="1"/>
  <c r="DR745" i="4"/>
  <c r="DR103" i="4"/>
  <c r="DR746" i="4"/>
  <c r="DC127" i="3"/>
  <c r="DB76" i="2"/>
  <c r="DB18" i="3"/>
  <c r="DC307" i="2"/>
  <c r="DC324" i="2" s="1"/>
  <c r="DC634" i="2"/>
  <c r="DC636" i="2" s="1"/>
  <c r="DC639" i="2" s="1"/>
  <c r="DC642" i="2" s="1"/>
  <c r="CZ619" i="2"/>
  <c r="CZ621" i="2" s="1"/>
  <c r="CZ479" i="2"/>
  <c r="CZ480" i="2" s="1"/>
  <c r="CZ72" i="2"/>
  <c r="DC235" i="3"/>
  <c r="DC330" i="2"/>
  <c r="DA235" i="3"/>
  <c r="DA330" i="2"/>
  <c r="W61" i="9"/>
  <c r="W60" i="9" s="1"/>
  <c r="DB634" i="2"/>
  <c r="DB636" i="2" s="1"/>
  <c r="DB639" i="2" s="1"/>
  <c r="DB642" i="2" s="1"/>
  <c r="DB307" i="2"/>
  <c r="DA305" i="2"/>
  <c r="DA634" i="2" s="1"/>
  <c r="DA636" i="2" s="1"/>
  <c r="DA639" i="2" s="1"/>
  <c r="DA642" i="2" s="1"/>
  <c r="DE304" i="2"/>
  <c r="DD290" i="2"/>
  <c r="DE329" i="2"/>
  <c r="DE327" i="2"/>
  <c r="DE328" i="2"/>
  <c r="DE513" i="2"/>
  <c r="X57" i="9"/>
  <c r="DE120" i="3"/>
  <c r="DE640" i="2"/>
  <c r="DF120" i="3"/>
  <c r="DF119" i="3" s="1"/>
  <c r="DF345" i="2"/>
  <c r="DF166" i="2"/>
  <c r="DH120" i="3"/>
  <c r="DI771" i="4"/>
  <c r="DS109" i="4"/>
  <c r="DP748" i="4"/>
  <c r="DP749" i="4" s="1"/>
  <c r="DJ757" i="4"/>
  <c r="DJ765" i="4" s="1"/>
  <c r="DL160" i="4"/>
  <c r="DS173" i="4"/>
  <c r="DS175" i="4" s="1"/>
  <c r="DS103" i="4"/>
  <c r="DJ267" i="4"/>
  <c r="DJ268" i="4" s="1"/>
  <c r="DO106" i="4"/>
  <c r="DP268" i="4"/>
  <c r="DJ266" i="4"/>
  <c r="DJ298" i="4"/>
  <c r="DJ299" i="4" s="1"/>
  <c r="DK299" i="4" s="1"/>
  <c r="DK134" i="4"/>
  <c r="J25" i="9"/>
  <c r="DS745" i="4"/>
  <c r="DN383" i="4"/>
  <c r="DN213" i="4" s="1"/>
  <c r="DO356" i="4"/>
  <c r="DO357" i="4" s="1"/>
  <c r="DT99" i="4"/>
  <c r="DT100" i="4" s="1"/>
  <c r="DQ354" i="4"/>
  <c r="DQ355" i="4" s="1"/>
  <c r="DR173" i="4"/>
  <c r="DR163" i="4" s="1"/>
  <c r="DR355" i="4"/>
  <c r="EP852" i="4"/>
  <c r="EQ852" i="4" s="1"/>
  <c r="EU852" i="4"/>
  <c r="ES852" i="4" s="1"/>
  <c r="ET852" i="4" s="1"/>
  <c r="ET253" i="2"/>
  <c r="ET637" i="2" s="1"/>
  <c r="EX253" i="2"/>
  <c r="EV253" i="2"/>
  <c r="EX578" i="4"/>
  <c r="ES578" i="4"/>
  <c r="ET578" i="4" s="1"/>
  <c r="ES580" i="4"/>
  <c r="ET580" i="4" s="1"/>
  <c r="EX580" i="4"/>
  <c r="EP854" i="4"/>
  <c r="EQ854" i="4" s="1"/>
  <c r="EU854" i="4"/>
  <c r="ER270" i="2"/>
  <c r="ES855" i="4"/>
  <c r="ET855" i="4" s="1"/>
  <c r="EX855" i="4"/>
  <c r="EX836" i="4"/>
  <c r="EX853" i="4"/>
  <c r="EU637" i="2"/>
  <c r="ES637" i="2"/>
  <c r="DQ5" i="4"/>
  <c r="DT176" i="3"/>
  <c r="BU11" i="2"/>
  <c r="BU14" i="2"/>
  <c r="BX397" i="2"/>
  <c r="BW409" i="2"/>
  <c r="BW397" i="2" s="1"/>
  <c r="BT20" i="2"/>
  <c r="BU400" i="2"/>
  <c r="CA441" i="2"/>
  <c r="BY409" i="2"/>
  <c r="BY397" i="2" s="1"/>
  <c r="BY410" i="2"/>
  <c r="BY411" i="2"/>
  <c r="BW411" i="2"/>
  <c r="BT11" i="2"/>
  <c r="BT14" i="2"/>
  <c r="BW410" i="2"/>
  <c r="DS5" i="4"/>
  <c r="DR5" i="4"/>
  <c r="DM161" i="4"/>
  <c r="DM7" i="4"/>
  <c r="DM8" i="4" s="1"/>
  <c r="DN372" i="4"/>
  <c r="DH72" i="4"/>
  <c r="DS746" i="4"/>
  <c r="DT102" i="4"/>
  <c r="DT103" i="4" s="1"/>
  <c r="DQ745" i="4"/>
  <c r="DQ757" i="4" s="1"/>
  <c r="DQ765" i="4" s="1"/>
  <c r="DT372" i="4"/>
  <c r="DN389" i="4"/>
  <c r="DN390" i="4" s="1"/>
  <c r="DN275" i="4"/>
  <c r="DN277" i="4" s="1"/>
  <c r="DL276" i="4"/>
  <c r="DL309" i="4"/>
  <c r="DJ387" i="4"/>
  <c r="DK362" i="4"/>
  <c r="DK364" i="4" s="1"/>
  <c r="DN365" i="4" s="1"/>
  <c r="DQ362" i="4"/>
  <c r="DQ363" i="4" s="1"/>
  <c r="DS372" i="4"/>
  <c r="DS397" i="4"/>
  <c r="DS398" i="4" s="1"/>
  <c r="DJ398" i="4"/>
  <c r="DK397" i="4"/>
  <c r="DK398" i="4" s="1"/>
  <c r="DI406" i="4"/>
  <c r="DI442" i="4"/>
  <c r="DR398" i="4"/>
  <c r="DQ397" i="4"/>
  <c r="DQ398" i="4" s="1"/>
  <c r="DO398" i="4"/>
  <c r="DM309" i="4"/>
  <c r="DR387" i="4"/>
  <c r="DR389" i="4" s="1"/>
  <c r="DR390" i="4" s="1"/>
  <c r="DQ367" i="4"/>
  <c r="DO290" i="4"/>
  <c r="DQ289" i="4"/>
  <c r="DQ290" i="4" s="1"/>
  <c r="DO322" i="4"/>
  <c r="DT284" i="4"/>
  <c r="DT285" i="4" s="1"/>
  <c r="DR280" i="4"/>
  <c r="DR285" i="4"/>
  <c r="DN334" i="4"/>
  <c r="DM332" i="4"/>
  <c r="DS329" i="4"/>
  <c r="DS334" i="4"/>
  <c r="DS332" i="4" s="1"/>
  <c r="DQ280" i="4"/>
  <c r="DO275" i="4"/>
  <c r="DO282" i="4"/>
  <c r="DO281" i="4"/>
  <c r="DT367" i="4"/>
  <c r="DO324" i="4"/>
  <c r="DQ323" i="4"/>
  <c r="DQ324" i="4" s="1"/>
  <c r="DI312" i="4"/>
  <c r="DI310" i="4"/>
  <c r="DI313" i="4"/>
  <c r="DP275" i="4"/>
  <c r="DP282" i="4"/>
  <c r="DP283" i="4" s="1"/>
  <c r="DP281" i="4"/>
  <c r="DT291" i="4"/>
  <c r="DT292" i="4" s="1"/>
  <c r="DR289" i="4"/>
  <c r="DR292" i="4"/>
  <c r="DR323" i="4"/>
  <c r="DQ328" i="4"/>
  <c r="DQ329" i="4" s="1"/>
  <c r="DO334" i="4"/>
  <c r="DO329" i="4"/>
  <c r="DS280" i="4"/>
  <c r="DS285" i="4"/>
  <c r="DK292" i="4"/>
  <c r="DJ290" i="4"/>
  <c r="DJ322" i="4"/>
  <c r="DK322" i="4" s="1"/>
  <c r="DK289" i="4"/>
  <c r="DK290" i="4" s="1"/>
  <c r="DP290" i="4"/>
  <c r="DP322" i="4"/>
  <c r="DL283" i="4"/>
  <c r="DN282" i="4"/>
  <c r="DJ275" i="4"/>
  <c r="DJ282" i="4"/>
  <c r="DK280" i="4"/>
  <c r="DM281" i="4"/>
  <c r="DJ356" i="4"/>
  <c r="DM357" i="4" s="1"/>
  <c r="DN322" i="4"/>
  <c r="DT326" i="4"/>
  <c r="DR328" i="4"/>
  <c r="DN367" i="4"/>
  <c r="DQ387" i="4"/>
  <c r="DP389" i="4"/>
  <c r="DS292" i="4"/>
  <c r="DS289" i="4"/>
  <c r="DS323" i="4"/>
  <c r="DS324" i="4" s="1"/>
  <c r="DS362" i="4"/>
  <c r="DT362" i="4" s="1"/>
  <c r="DS367" i="4"/>
  <c r="DJ324" i="4"/>
  <c r="DK323" i="4"/>
  <c r="DK324" i="4" s="1"/>
  <c r="DQ241" i="4"/>
  <c r="DT272" i="4"/>
  <c r="DR270" i="4"/>
  <c r="DR244" i="4"/>
  <c r="DT243" i="4"/>
  <c r="DT244" i="4" s="1"/>
  <c r="DR241" i="4"/>
  <c r="DQ270" i="4"/>
  <c r="DQ267" i="4" s="1"/>
  <c r="DQ268" i="4" s="1"/>
  <c r="DO267" i="4"/>
  <c r="DO268" i="4" s="1"/>
  <c r="DR266" i="4"/>
  <c r="DT265" i="4"/>
  <c r="DT266" i="4" s="1"/>
  <c r="DS244" i="4"/>
  <c r="DS241" i="4"/>
  <c r="DS267" i="4"/>
  <c r="DS268" i="4" s="1"/>
  <c r="DS266" i="4"/>
  <c r="DT237" i="4"/>
  <c r="DT238" i="4" s="1"/>
  <c r="DR238" i="4"/>
  <c r="DL220" i="4"/>
  <c r="DL222" i="4" s="1"/>
  <c r="DN106" i="4"/>
  <c r="DP183" i="4"/>
  <c r="DP189" i="4"/>
  <c r="DK199" i="4"/>
  <c r="DJ197" i="4"/>
  <c r="DJ231" i="4"/>
  <c r="DK196" i="4"/>
  <c r="DK197" i="4" s="1"/>
  <c r="DQ165" i="4"/>
  <c r="DM232" i="4"/>
  <c r="DM233" i="4"/>
  <c r="DN231" i="4"/>
  <c r="DN233" i="4" s="1"/>
  <c r="DL233" i="4"/>
  <c r="DL232" i="4"/>
  <c r="DT191" i="4"/>
  <c r="DT192" i="4" s="1"/>
  <c r="DR188" i="4"/>
  <c r="DR192" i="4"/>
  <c r="DN183" i="4"/>
  <c r="DM217" i="4"/>
  <c r="DJ183" i="4"/>
  <c r="DK188" i="4"/>
  <c r="DT198" i="4"/>
  <c r="DT199" i="4" s="1"/>
  <c r="DR196" i="4"/>
  <c r="DR199" i="4"/>
  <c r="DR165" i="4"/>
  <c r="DI220" i="4"/>
  <c r="DS196" i="4"/>
  <c r="DS199" i="4"/>
  <c r="DS165" i="4"/>
  <c r="DP197" i="4"/>
  <c r="DP231" i="4"/>
  <c r="DN199" i="4"/>
  <c r="DQ196" i="4"/>
  <c r="DQ197" i="4" s="1"/>
  <c r="DO197" i="4"/>
  <c r="DO231" i="4"/>
  <c r="DQ188" i="4"/>
  <c r="DO183" i="4"/>
  <c r="DO217" i="4" s="1"/>
  <c r="DO218" i="4" s="1"/>
  <c r="DO189" i="4"/>
  <c r="DS188" i="4"/>
  <c r="DS192" i="4"/>
  <c r="DI248" i="4"/>
  <c r="DJ175" i="4"/>
  <c r="DJ179" i="4"/>
  <c r="DJ168" i="4"/>
  <c r="DJ242" i="4" s="1"/>
  <c r="DK178" i="4"/>
  <c r="DK181" i="4"/>
  <c r="DT178" i="4"/>
  <c r="DT466" i="4"/>
  <c r="DQ476" i="4"/>
  <c r="DS476" i="4"/>
  <c r="DP766" i="4"/>
  <c r="DS766" i="4" s="1"/>
  <c r="DV766" i="4" s="1"/>
  <c r="DY766" i="4" s="1"/>
  <c r="EB766" i="4" s="1"/>
  <c r="EE766" i="4" s="1"/>
  <c r="EH766" i="4" s="1"/>
  <c r="EK766" i="4" s="1"/>
  <c r="EN766" i="4" s="1"/>
  <c r="EQ766" i="4" s="1"/>
  <c r="ET766" i="4" s="1"/>
  <c r="EW766" i="4" s="1"/>
  <c r="EZ766" i="4" s="1"/>
  <c r="DO766" i="4"/>
  <c r="DR766" i="4" s="1"/>
  <c r="DU766" i="4" s="1"/>
  <c r="DN375" i="4"/>
  <c r="DP767" i="4"/>
  <c r="DS767" i="4" s="1"/>
  <c r="DV767" i="4" s="1"/>
  <c r="DY767" i="4" s="1"/>
  <c r="DR378" i="4"/>
  <c r="DI210" i="4"/>
  <c r="DJ378" i="4"/>
  <c r="DK378" i="4" s="1"/>
  <c r="DJ355" i="4"/>
  <c r="DK354" i="4"/>
  <c r="DM337" i="4"/>
  <c r="DM339" i="4" s="1"/>
  <c r="DM450" i="4" s="1"/>
  <c r="DM451" i="4" s="1"/>
  <c r="DM348" i="4"/>
  <c r="DM343" i="4"/>
  <c r="DJ163" i="4"/>
  <c r="DL301" i="4"/>
  <c r="DL273" i="4"/>
  <c r="DM271" i="4"/>
  <c r="DJ260" i="4"/>
  <c r="DJ271" i="4"/>
  <c r="DK270" i="4"/>
  <c r="DO765" i="4"/>
  <c r="DR765" i="4" s="1"/>
  <c r="DV757" i="4"/>
  <c r="DS760" i="4"/>
  <c r="DJ759" i="4"/>
  <c r="DJ767" i="4" s="1"/>
  <c r="DK747" i="4"/>
  <c r="DK759" i="4" s="1"/>
  <c r="DK767" i="4" s="1"/>
  <c r="DM431" i="4"/>
  <c r="DM432" i="4" s="1"/>
  <c r="DO378" i="4"/>
  <c r="DQ378" i="4" s="1"/>
  <c r="DI403" i="4"/>
  <c r="DI433" i="4"/>
  <c r="DO299" i="4"/>
  <c r="DQ299" i="4" s="1"/>
  <c r="DQ298" i="4"/>
  <c r="DQ295" i="4" s="1"/>
  <c r="DQ296" i="4" s="1"/>
  <c r="DS298" i="4"/>
  <c r="DS299" i="4" s="1"/>
  <c r="DO163" i="4"/>
  <c r="DN748" i="4"/>
  <c r="DU757" i="4"/>
  <c r="DT757" i="4"/>
  <c r="DJ748" i="4"/>
  <c r="DR298" i="4"/>
  <c r="DI339" i="4"/>
  <c r="DV759" i="4"/>
  <c r="DY759" i="4" s="1"/>
  <c r="DL379" i="4"/>
  <c r="DL360" i="4"/>
  <c r="DN300" i="4"/>
  <c r="DN302" i="4" s="1"/>
  <c r="DM302" i="4"/>
  <c r="DM402" i="4"/>
  <c r="DM405" i="4" s="1"/>
  <c r="DM380" i="4"/>
  <c r="DO300" i="4"/>
  <c r="DO302" i="4" s="1"/>
  <c r="DO260" i="4"/>
  <c r="DO271" i="4"/>
  <c r="DL337" i="4"/>
  <c r="DN260" i="4"/>
  <c r="DL261" i="4"/>
  <c r="DL343" i="4"/>
  <c r="DL348" i="4"/>
  <c r="DM768" i="4"/>
  <c r="DM773" i="4" s="1"/>
  <c r="DT758" i="4"/>
  <c r="DU758" i="4"/>
  <c r="DI329" i="4"/>
  <c r="DI431" i="4"/>
  <c r="DP765" i="4"/>
  <c r="DS765" i="4" s="1"/>
  <c r="DK757" i="4"/>
  <c r="DK765" i="4" s="1"/>
  <c r="BZ592" i="4"/>
  <c r="BZ640" i="4" s="1"/>
  <c r="EL823" i="4"/>
  <c r="EI841" i="4"/>
  <c r="EH823" i="4"/>
  <c r="ED823" i="4"/>
  <c r="ED841" i="4" s="1"/>
  <c r="EE841" i="4"/>
  <c r="BX943" i="4"/>
  <c r="BX622" i="4"/>
  <c r="BX664" i="4" s="1"/>
  <c r="BX656" i="4"/>
  <c r="BX698" i="4" s="1"/>
  <c r="BX937" i="4" s="1"/>
  <c r="BY688" i="4"/>
  <c r="BX951" i="4"/>
  <c r="DI160" i="4"/>
  <c r="DM31" i="2"/>
  <c r="DN154" i="4"/>
  <c r="DO481" i="4"/>
  <c r="DN481" i="4"/>
  <c r="DP481" i="4"/>
  <c r="DQ53" i="4"/>
  <c r="CA570" i="4"/>
  <c r="DQ157" i="4"/>
  <c r="EO828" i="4"/>
  <c r="EO829" i="4" s="1"/>
  <c r="EO830" i="4" s="1"/>
  <c r="EO831" i="4" s="1"/>
  <c r="EN822" i="4"/>
  <c r="EO840" i="4"/>
  <c r="EO846" i="4" s="1"/>
  <c r="EO847" i="4" s="1"/>
  <c r="EO848" i="4" s="1"/>
  <c r="EO849" i="4" s="1"/>
  <c r="ER822" i="4"/>
  <c r="EU822" i="4" s="1"/>
  <c r="EG840" i="4"/>
  <c r="EG846" i="4" s="1"/>
  <c r="EG847" i="4" s="1"/>
  <c r="EG848" i="4" s="1"/>
  <c r="EG849" i="4" s="1"/>
  <c r="EG828" i="4"/>
  <c r="EG829" i="4" s="1"/>
  <c r="EG830" i="4" s="1"/>
  <c r="EG831" i="4" s="1"/>
  <c r="EJ822" i="4"/>
  <c r="EK828" i="4"/>
  <c r="EK829" i="4" s="1"/>
  <c r="EK830" i="4" s="1"/>
  <c r="EK831" i="4" s="1"/>
  <c r="EK840" i="4"/>
  <c r="EK846" i="4" s="1"/>
  <c r="EK847" i="4" s="1"/>
  <c r="EK848" i="4" s="1"/>
  <c r="EK849" i="4" s="1"/>
  <c r="EC838" i="4"/>
  <c r="EC843" i="4"/>
  <c r="EC856" i="4" s="1"/>
  <c r="EB825" i="4"/>
  <c r="EF825" i="4"/>
  <c r="BY711" i="4"/>
  <c r="DU843" i="4"/>
  <c r="DU856" i="4" s="1"/>
  <c r="DU838" i="4"/>
  <c r="BZ585" i="4"/>
  <c r="BZ639" i="4"/>
  <c r="BZ687" i="4" s="1"/>
  <c r="BZ729" i="4" s="1"/>
  <c r="BZ627" i="4"/>
  <c r="BZ669" i="4" s="1"/>
  <c r="BZ711" i="4" s="1"/>
  <c r="DY838" i="4"/>
  <c r="DY843" i="4"/>
  <c r="DY856" i="4" s="1"/>
  <c r="DX825" i="4"/>
  <c r="CA591" i="4"/>
  <c r="CA585" i="4" s="1"/>
  <c r="BX663" i="4"/>
  <c r="BX705" i="4" s="1"/>
  <c r="BX657" i="4"/>
  <c r="BX699" i="4" s="1"/>
  <c r="BX944" i="4"/>
  <c r="BY621" i="4"/>
  <c r="BY633" i="4"/>
  <c r="CB569" i="4"/>
  <c r="BX681" i="4"/>
  <c r="BX723" i="4" s="1"/>
  <c r="BX675" i="4"/>
  <c r="BX717" i="4" s="1"/>
  <c r="BX920" i="4" s="1"/>
  <c r="BY729" i="4"/>
  <c r="BY932" i="4" s="1"/>
  <c r="DS53" i="4"/>
  <c r="DS137" i="4"/>
  <c r="DK42" i="2"/>
  <c r="J23" i="9" s="1"/>
  <c r="DK486" i="4"/>
  <c r="DK487" i="4" s="1"/>
  <c r="DJ487" i="4"/>
  <c r="DS46" i="4"/>
  <c r="DS157" i="4"/>
  <c r="DM72" i="4"/>
  <c r="DN53" i="4"/>
  <c r="DP57" i="4"/>
  <c r="DP47" i="4"/>
  <c r="DL168" i="2"/>
  <c r="DJ334" i="2"/>
  <c r="DJ339" i="2"/>
  <c r="DJ337" i="2"/>
  <c r="DJ171" i="3"/>
  <c r="DJ167" i="3" s="1"/>
  <c r="DJ31" i="2"/>
  <c r="DJ169" i="3"/>
  <c r="DJ165" i="3" s="1"/>
  <c r="DJ340" i="2"/>
  <c r="DJ333" i="2"/>
  <c r="DJ336" i="2"/>
  <c r="DJ165" i="2"/>
  <c r="DJ147" i="2"/>
  <c r="DJ335" i="2"/>
  <c r="DJ341" i="2"/>
  <c r="DJ163" i="2"/>
  <c r="DJ11" i="4"/>
  <c r="DJ175" i="2"/>
  <c r="DJ168" i="2"/>
  <c r="DJ170" i="3"/>
  <c r="DJ166" i="3" s="1"/>
  <c r="DJ150" i="2"/>
  <c r="DJ162" i="2"/>
  <c r="DJ342" i="2"/>
  <c r="BZ890" i="4"/>
  <c r="BZ891" i="4" s="1"/>
  <c r="EL273" i="2"/>
  <c r="BZ878" i="4"/>
  <c r="BZ879" i="4" s="1"/>
  <c r="BY891" i="4"/>
  <c r="BY897" i="4" s="1"/>
  <c r="DR797" i="4"/>
  <c r="DS798" i="4"/>
  <c r="CB859" i="4"/>
  <c r="CA955" i="4"/>
  <c r="BZ884" i="4"/>
  <c r="BY896" i="4"/>
  <c r="CD883" i="4"/>
  <c r="DR165" i="3"/>
  <c r="CF810" i="4"/>
  <c r="CE816" i="4"/>
  <c r="CE811" i="4"/>
  <c r="BY697" i="4"/>
  <c r="DX374" i="2"/>
  <c r="DZ374" i="2"/>
  <c r="DN205" i="2"/>
  <c r="DM189" i="2"/>
  <c r="DN220" i="2"/>
  <c r="BY710" i="4"/>
  <c r="DQ42" i="2"/>
  <c r="L23" i="9" s="1"/>
  <c r="DS397" i="2"/>
  <c r="DR400" i="2"/>
  <c r="CJ752" i="4"/>
  <c r="BZ667" i="4"/>
  <c r="CA667" i="4" s="1"/>
  <c r="CA709" i="4" s="1"/>
  <c r="EN270" i="2"/>
  <c r="BX918" i="4"/>
  <c r="CE514" i="2"/>
  <c r="CD515" i="2"/>
  <c r="DE8" i="4"/>
  <c r="BZ954" i="4"/>
  <c r="CA858" i="4"/>
  <c r="BZ861" i="4"/>
  <c r="EI842" i="4"/>
  <c r="EH824" i="4"/>
  <c r="EL824" i="4"/>
  <c r="CB872" i="4"/>
  <c r="DR476" i="4"/>
  <c r="DT475" i="4"/>
  <c r="CC753" i="4"/>
  <c r="CE499" i="2"/>
  <c r="CF498" i="2"/>
  <c r="CE504" i="2"/>
  <c r="CE500" i="2"/>
  <c r="CE497" i="2"/>
  <c r="CC818" i="4"/>
  <c r="CD812" i="4"/>
  <c r="CD818" i="4" s="1"/>
  <c r="CU645" i="4"/>
  <c r="BX733" i="4"/>
  <c r="BX936" i="4"/>
  <c r="BX900" i="4"/>
  <c r="DO57" i="4"/>
  <c r="DQ46" i="4"/>
  <c r="DQ57" i="4" s="1"/>
  <c r="DO47" i="4"/>
  <c r="DO220" i="2"/>
  <c r="DO222" i="2" s="1"/>
  <c r="DO205" i="2"/>
  <c r="DO214" i="2" s="1"/>
  <c r="DO213" i="2" s="1"/>
  <c r="DO202" i="3" s="1"/>
  <c r="CJ652" i="4"/>
  <c r="BY715" i="4"/>
  <c r="CL649" i="4"/>
  <c r="BW742" i="4"/>
  <c r="BW788" i="4" s="1"/>
  <c r="BW915" i="4"/>
  <c r="CA882" i="4"/>
  <c r="CL693" i="4"/>
  <c r="CA590" i="4"/>
  <c r="CA584" i="4" s="1"/>
  <c r="DP191" i="2"/>
  <c r="DQ189" i="2"/>
  <c r="AB31" i="9" s="1"/>
  <c r="CD865" i="4"/>
  <c r="DI152" i="3"/>
  <c r="DJ150" i="3" s="1"/>
  <c r="DK152" i="3"/>
  <c r="DT56" i="4"/>
  <c r="DT66" i="4"/>
  <c r="CA631" i="4"/>
  <c r="CA619" i="4"/>
  <c r="CL691" i="4"/>
  <c r="CA876" i="4"/>
  <c r="DR137" i="4"/>
  <c r="DR149" i="4"/>
  <c r="DG8" i="4"/>
  <c r="CA888" i="4"/>
  <c r="CE692" i="4"/>
  <c r="DR147" i="4"/>
  <c r="DO59" i="2"/>
  <c r="DO57" i="2" s="1"/>
  <c r="BY943" i="4"/>
  <c r="BY656" i="4"/>
  <c r="BY698" i="4" s="1"/>
  <c r="BY662" i="4"/>
  <c r="BY704" i="4" s="1"/>
  <c r="BY907" i="4" s="1"/>
  <c r="EQ149" i="3"/>
  <c r="ER149" i="3" s="1"/>
  <c r="ES149" i="3" s="1"/>
  <c r="ET149" i="3" s="1"/>
  <c r="EU149" i="3" s="1"/>
  <c r="EV149" i="3" s="1"/>
  <c r="EW149" i="3" s="1"/>
  <c r="EX149" i="3" s="1"/>
  <c r="EY149" i="3" s="1"/>
  <c r="EZ149" i="3" s="1"/>
  <c r="FA149" i="3" s="1"/>
  <c r="DT33" i="2"/>
  <c r="DS30" i="2"/>
  <c r="DS52" i="3" s="1"/>
  <c r="DS54" i="3" s="1"/>
  <c r="DT31" i="2"/>
  <c r="DT150" i="2"/>
  <c r="DT165" i="2"/>
  <c r="DT191" i="2"/>
  <c r="DT337" i="2"/>
  <c r="DT336" i="2"/>
  <c r="CM650" i="4"/>
  <c r="BZ867" i="4"/>
  <c r="CA864" i="4"/>
  <c r="DO150" i="4"/>
  <c r="DO154" i="4"/>
  <c r="DR167" i="3"/>
  <c r="DR166" i="3"/>
  <c r="BZ619" i="4"/>
  <c r="BZ631" i="4"/>
  <c r="BY957" i="4"/>
  <c r="BY674" i="4"/>
  <c r="BY716" i="4" s="1"/>
  <c r="BY919" i="4" s="1"/>
  <c r="BY680" i="4"/>
  <c r="BY722" i="4" s="1"/>
  <c r="BY925" i="4" s="1"/>
  <c r="BZ638" i="4"/>
  <c r="BZ686" i="4" s="1"/>
  <c r="BZ728" i="4" s="1"/>
  <c r="BZ931" i="4" s="1"/>
  <c r="BZ626" i="4"/>
  <c r="BZ668" i="4" s="1"/>
  <c r="BZ710" i="4" s="1"/>
  <c r="BX742" i="4"/>
  <c r="BX788" i="4" s="1"/>
  <c r="BW718" i="4"/>
  <c r="BW921" i="4" s="1"/>
  <c r="BW918" i="4"/>
  <c r="BZ956" i="4"/>
  <c r="CA860" i="4"/>
  <c r="CB866" i="4"/>
  <c r="DQ137" i="4"/>
  <c r="CL651" i="4"/>
  <c r="DU384" i="2"/>
  <c r="CB568" i="4"/>
  <c r="CB877" i="4"/>
  <c r="CA895" i="4"/>
  <c r="BY628" i="4"/>
  <c r="BZ894" i="4"/>
  <c r="CB819" i="4"/>
  <c r="CC813" i="4"/>
  <c r="DN47" i="4"/>
  <c r="DL68" i="4"/>
  <c r="DL49" i="4"/>
  <c r="CB889" i="4"/>
  <c r="DQ147" i="4"/>
  <c r="CD871" i="4"/>
  <c r="CC567" i="4"/>
  <c r="CB589" i="4"/>
  <c r="CB583" i="4" s="1"/>
  <c r="DR46" i="4"/>
  <c r="DR157" i="4"/>
  <c r="DT489" i="4"/>
  <c r="BY728" i="4"/>
  <c r="DP165" i="2"/>
  <c r="DP340" i="2"/>
  <c r="DP168" i="2"/>
  <c r="DP334" i="2"/>
  <c r="DP150" i="2"/>
  <c r="DP170" i="3"/>
  <c r="DP166" i="3" s="1"/>
  <c r="DP31" i="2"/>
  <c r="DP339" i="2"/>
  <c r="DP175" i="2"/>
  <c r="DP341" i="2"/>
  <c r="DP333" i="2"/>
  <c r="DP169" i="3"/>
  <c r="DP165" i="3" s="1"/>
  <c r="DP163" i="2"/>
  <c r="DP337" i="2"/>
  <c r="DP336" i="2"/>
  <c r="DP342" i="2"/>
  <c r="DP171" i="3"/>
  <c r="DP167" i="3" s="1"/>
  <c r="DP335" i="2"/>
  <c r="DP162" i="2"/>
  <c r="DP147" i="2"/>
  <c r="DP11" i="4"/>
  <c r="BZ873" i="4"/>
  <c r="CA870" i="4"/>
  <c r="EL416" i="2"/>
  <c r="BZ727" i="4"/>
  <c r="DF12" i="4"/>
  <c r="DF8" i="4"/>
  <c r="DH7" i="4"/>
  <c r="DR175" i="2"/>
  <c r="DR189" i="2"/>
  <c r="BZ584" i="4"/>
  <c r="DR53" i="4"/>
  <c r="DT42" i="4"/>
  <c r="DG643" i="4"/>
  <c r="EE842" i="4"/>
  <c r="ED824" i="4"/>
  <c r="ED842" i="4" s="1"/>
  <c r="BY670" i="4"/>
  <c r="BY709" i="4"/>
  <c r="CA754" i="4"/>
  <c r="CB751" i="4"/>
  <c r="CN644" i="4"/>
  <c r="BW733" i="4"/>
  <c r="BW700" i="4"/>
  <c r="BW936" i="4"/>
  <c r="BW900" i="4"/>
  <c r="DT11" i="4"/>
  <c r="DN475" i="2"/>
  <c r="EV853" i="4" l="1"/>
  <c r="EW853" i="4" s="1"/>
  <c r="FA853" i="4"/>
  <c r="EY853" i="4" s="1"/>
  <c r="EZ853" i="4" s="1"/>
  <c r="EZ81" i="4"/>
  <c r="EY82" i="4"/>
  <c r="EY215" i="4"/>
  <c r="EV836" i="4"/>
  <c r="EW836" i="4" s="1"/>
  <c r="FA836" i="4"/>
  <c r="EY836" i="4" s="1"/>
  <c r="EZ836" i="4" s="1"/>
  <c r="EV855" i="4"/>
  <c r="EW855" i="4" s="1"/>
  <c r="FA855" i="4"/>
  <c r="EY855" i="4" s="1"/>
  <c r="EZ855" i="4" s="1"/>
  <c r="EV578" i="4"/>
  <c r="EW578" i="4" s="1"/>
  <c r="FA578" i="4"/>
  <c r="EY578" i="4" s="1"/>
  <c r="EZ578" i="4" s="1"/>
  <c r="DL7" i="4"/>
  <c r="DL8" i="4" s="1"/>
  <c r="EV580" i="4"/>
  <c r="EW580" i="4" s="1"/>
  <c r="FA580" i="4"/>
  <c r="EY580" i="4" s="1"/>
  <c r="FA33" i="4"/>
  <c r="FA253" i="2"/>
  <c r="EY253" i="2"/>
  <c r="DL762" i="4"/>
  <c r="DN160" i="4"/>
  <c r="DN7" i="4" s="1"/>
  <c r="DN8" i="4" s="1"/>
  <c r="DQ175" i="4"/>
  <c r="DQ176" i="4" s="1"/>
  <c r="DN266" i="4"/>
  <c r="DS176" i="4"/>
  <c r="DI166" i="2"/>
  <c r="DO206" i="4"/>
  <c r="DQ206" i="4" s="1"/>
  <c r="DR748" i="4"/>
  <c r="DP760" i="4"/>
  <c r="DS762" i="4" s="1"/>
  <c r="DS205" i="4"/>
  <c r="DS206" i="4" s="1"/>
  <c r="DL221" i="4"/>
  <c r="DS174" i="4"/>
  <c r="DT746" i="4"/>
  <c r="DQ203" i="4"/>
  <c r="DQ204" i="4" s="1"/>
  <c r="DH66" i="3"/>
  <c r="DT77" i="2"/>
  <c r="DR74" i="2"/>
  <c r="DH305" i="2"/>
  <c r="DG287" i="2"/>
  <c r="DG630" i="2" s="1"/>
  <c r="DG631" i="2" s="1"/>
  <c r="DH630" i="2"/>
  <c r="DH631" i="2" s="1"/>
  <c r="DF307" i="2"/>
  <c r="DF324" i="2" s="1"/>
  <c r="DF634" i="2"/>
  <c r="DF636" i="2" s="1"/>
  <c r="DF639" i="2" s="1"/>
  <c r="DF642" i="2" s="1"/>
  <c r="DF644" i="2" s="1"/>
  <c r="DF346" i="2" s="1"/>
  <c r="DG329" i="2"/>
  <c r="I47" i="9"/>
  <c r="DI327" i="2"/>
  <c r="DI64" i="3"/>
  <c r="DI66" i="3" s="1"/>
  <c r="DI513" i="2"/>
  <c r="DI330" i="2"/>
  <c r="DI328" i="2"/>
  <c r="DI640" i="2"/>
  <c r="DI120" i="3"/>
  <c r="DI119" i="3" s="1"/>
  <c r="DI329" i="2"/>
  <c r="DI287" i="2"/>
  <c r="DI617" i="2"/>
  <c r="DI622" i="2" s="1"/>
  <c r="DI152" i="2"/>
  <c r="DI61" i="2"/>
  <c r="DI159" i="2"/>
  <c r="DL161" i="4"/>
  <c r="DK205" i="4"/>
  <c r="DK203" i="4" s="1"/>
  <c r="DK204" i="4" s="1"/>
  <c r="I48" i="9"/>
  <c r="DG64" i="3"/>
  <c r="DG66" i="3" s="1"/>
  <c r="DG330" i="2"/>
  <c r="DG327" i="2"/>
  <c r="DG640" i="2"/>
  <c r="DG328" i="2"/>
  <c r="DG513" i="2"/>
  <c r="DG120" i="3"/>
  <c r="DG121" i="3" s="1"/>
  <c r="DL271" i="2"/>
  <c r="DJ271" i="2"/>
  <c r="DK269" i="2"/>
  <c r="DS747" i="4"/>
  <c r="DS748" i="4" s="1"/>
  <c r="DS749" i="4" s="1"/>
  <c r="DJ206" i="4"/>
  <c r="DJ209" i="4" s="1"/>
  <c r="DS106" i="4"/>
  <c r="DR205" i="4"/>
  <c r="DR206" i="4" s="1"/>
  <c r="DO748" i="4"/>
  <c r="DO749" i="4" s="1"/>
  <c r="DR174" i="4"/>
  <c r="DK174" i="4"/>
  <c r="DO759" i="4"/>
  <c r="DR759" i="4" s="1"/>
  <c r="DU759" i="4" s="1"/>
  <c r="DX759" i="4" s="1"/>
  <c r="EA759" i="4" s="1"/>
  <c r="ED759" i="4" s="1"/>
  <c r="EG759" i="4" s="1"/>
  <c r="DT173" i="4"/>
  <c r="DT174" i="4" s="1"/>
  <c r="DR175" i="4"/>
  <c r="DR176" i="4" s="1"/>
  <c r="DZ280" i="2"/>
  <c r="DT745" i="4"/>
  <c r="DT354" i="4"/>
  <c r="DT356" i="4" s="1"/>
  <c r="DT105" i="4"/>
  <c r="DT106" i="4" s="1"/>
  <c r="DS356" i="4"/>
  <c r="DS357" i="4" s="1"/>
  <c r="DN305" i="4"/>
  <c r="DN307" i="4" s="1"/>
  <c r="DN386" i="4"/>
  <c r="CC140" i="2"/>
  <c r="CC141" i="2" s="1"/>
  <c r="CD141" i="2"/>
  <c r="CG384" i="2"/>
  <c r="CG91" i="2"/>
  <c r="CF91" i="2" s="1"/>
  <c r="CG140" i="2"/>
  <c r="CG566" i="2"/>
  <c r="CJ374" i="2"/>
  <c r="CZ414" i="2"/>
  <c r="CX414" i="2"/>
  <c r="CY415" i="2"/>
  <c r="CX415" i="2" s="1"/>
  <c r="DO139" i="2"/>
  <c r="DO140" i="2" s="1"/>
  <c r="DO141" i="2" s="1"/>
  <c r="DQ138" i="2"/>
  <c r="DO142" i="2"/>
  <c r="DQ142" i="2"/>
  <c r="DN140" i="2"/>
  <c r="DM139" i="2"/>
  <c r="DM143" i="2" s="1"/>
  <c r="DM146" i="2" s="1"/>
  <c r="DB324" i="2"/>
  <c r="DA307" i="2"/>
  <c r="DA324" i="2" s="1"/>
  <c r="H49" i="9"/>
  <c r="DE236" i="3"/>
  <c r="DD513" i="2"/>
  <c r="DD328" i="2"/>
  <c r="DD236" i="3" s="1"/>
  <c r="DD640" i="2"/>
  <c r="DD120" i="3"/>
  <c r="DD121" i="3" s="1"/>
  <c r="DD327" i="2"/>
  <c r="DB74" i="2"/>
  <c r="DA76" i="2"/>
  <c r="DA166" i="2" s="1"/>
  <c r="DB166" i="2"/>
  <c r="DJ152" i="3"/>
  <c r="DD304" i="2"/>
  <c r="DE305" i="2"/>
  <c r="H47" i="9"/>
  <c r="DE330" i="2"/>
  <c r="H48" i="9" s="1"/>
  <c r="DE235" i="3"/>
  <c r="DD329" i="2"/>
  <c r="T13" i="9"/>
  <c r="CZ4" i="3"/>
  <c r="CZ10" i="3" s="1"/>
  <c r="CZ343" i="2"/>
  <c r="CZ345" i="2"/>
  <c r="CZ178" i="2"/>
  <c r="CZ331" i="2"/>
  <c r="CZ68" i="2"/>
  <c r="CZ161" i="2"/>
  <c r="CZ73" i="2"/>
  <c r="CZ12" i="4"/>
  <c r="DC76" i="2"/>
  <c r="DC18" i="3"/>
  <c r="DJ300" i="4"/>
  <c r="DJ302" i="4" s="1"/>
  <c r="DR357" i="4"/>
  <c r="DK298" i="4"/>
  <c r="DK295" i="4" s="1"/>
  <c r="DK296" i="4" s="1"/>
  <c r="DM268" i="4"/>
  <c r="DQ383" i="4"/>
  <c r="DQ213" i="4" s="1"/>
  <c r="BX658" i="4"/>
  <c r="DQ356" i="4"/>
  <c r="DQ357" i="4" s="1"/>
  <c r="L24" i="9"/>
  <c r="EQ270" i="2"/>
  <c r="ES270" i="2"/>
  <c r="EX822" i="4"/>
  <c r="FA822" i="4" s="1"/>
  <c r="ET822" i="4"/>
  <c r="EU840" i="4"/>
  <c r="EU846" i="4" s="1"/>
  <c r="EU847" i="4" s="1"/>
  <c r="EU848" i="4" s="1"/>
  <c r="EU849" i="4" s="1"/>
  <c r="EU828" i="4"/>
  <c r="EU829" i="4" s="1"/>
  <c r="EU830" i="4" s="1"/>
  <c r="EU831" i="4" s="1"/>
  <c r="ES854" i="4"/>
  <c r="ET854" i="4" s="1"/>
  <c r="EX854" i="4"/>
  <c r="EW253" i="2"/>
  <c r="EW637" i="2" s="1"/>
  <c r="EX852" i="4"/>
  <c r="EX637" i="2"/>
  <c r="EV637" i="2"/>
  <c r="DU97" i="4"/>
  <c r="BY25" i="2"/>
  <c r="DT5" i="4"/>
  <c r="DP179" i="3"/>
  <c r="DP176" i="3" s="1"/>
  <c r="BY400" i="2"/>
  <c r="BY20" i="2" s="1"/>
  <c r="BY398" i="2"/>
  <c r="BW25" i="2"/>
  <c r="BW398" i="2"/>
  <c r="BW154" i="3"/>
  <c r="BW400" i="2"/>
  <c r="BW20" i="2" s="1"/>
  <c r="CB441" i="2"/>
  <c r="CA410" i="2"/>
  <c r="CA411" i="2"/>
  <c r="BX398" i="2"/>
  <c r="BX154" i="3"/>
  <c r="BX25" i="2"/>
  <c r="BU20" i="2"/>
  <c r="BU472" i="2"/>
  <c r="BT366" i="2"/>
  <c r="BT224" i="3" s="1"/>
  <c r="BT365" i="2"/>
  <c r="BT223" i="3" s="1"/>
  <c r="BT27" i="2"/>
  <c r="BU27" i="2"/>
  <c r="BU366" i="2"/>
  <c r="BU224" i="3" s="1"/>
  <c r="BU365" i="2"/>
  <c r="BU223" i="3" s="1"/>
  <c r="DQ205" i="2"/>
  <c r="AB35" i="9" s="1"/>
  <c r="DI161" i="4"/>
  <c r="DI7" i="4"/>
  <c r="DI8" i="4" s="1"/>
  <c r="DQ364" i="4"/>
  <c r="DQ365" i="4" s="1"/>
  <c r="BX734" i="4"/>
  <c r="BX780" i="4" s="1"/>
  <c r="DM442" i="4"/>
  <c r="DM443" i="4" s="1"/>
  <c r="DT397" i="4"/>
  <c r="DT398" i="4" s="1"/>
  <c r="DQ322" i="4"/>
  <c r="DT363" i="4"/>
  <c r="DT364" i="4"/>
  <c r="DM261" i="4"/>
  <c r="DJ333" i="4"/>
  <c r="DJ283" i="4"/>
  <c r="DK282" i="4"/>
  <c r="DK283" i="4" s="1"/>
  <c r="DR290" i="4"/>
  <c r="DT289" i="4"/>
  <c r="DT290" i="4" s="1"/>
  <c r="DR322" i="4"/>
  <c r="DI443" i="4"/>
  <c r="DN215" i="4"/>
  <c r="DK363" i="4"/>
  <c r="DN363" i="4"/>
  <c r="DK355" i="4"/>
  <c r="DN355" i="4"/>
  <c r="DS387" i="4"/>
  <c r="DQ389" i="4"/>
  <c r="DQ390" i="4" s="1"/>
  <c r="DP390" i="4"/>
  <c r="DT328" i="4"/>
  <c r="DT329" i="4" s="1"/>
  <c r="DR334" i="4"/>
  <c r="DR329" i="4"/>
  <c r="DJ309" i="4"/>
  <c r="DK275" i="4"/>
  <c r="DK277" i="4" s="1"/>
  <c r="DN278" i="4" s="1"/>
  <c r="DS275" i="4"/>
  <c r="DS282" i="4"/>
  <c r="DS283" i="4" s="1"/>
  <c r="DS281" i="4"/>
  <c r="DP276" i="4"/>
  <c r="DP309" i="4"/>
  <c r="DQ282" i="4"/>
  <c r="DQ283" i="4" s="1"/>
  <c r="DO283" i="4"/>
  <c r="DM333" i="4"/>
  <c r="DN332" i="4"/>
  <c r="DN333" i="4" s="1"/>
  <c r="DM310" i="4"/>
  <c r="DM313" i="4"/>
  <c r="DM315" i="4" s="1"/>
  <c r="DM312" i="4"/>
  <c r="DN290" i="4"/>
  <c r="DK387" i="4"/>
  <c r="DK383" i="4" s="1"/>
  <c r="DJ389" i="4"/>
  <c r="DL312" i="4"/>
  <c r="DL310" i="4"/>
  <c r="DN309" i="4"/>
  <c r="DL313" i="4"/>
  <c r="DR324" i="4"/>
  <c r="DT323" i="4"/>
  <c r="DT324" i="4" s="1"/>
  <c r="DI315" i="4"/>
  <c r="DN281" i="4"/>
  <c r="DQ275" i="4"/>
  <c r="DQ276" i="4" s="1"/>
  <c r="DO276" i="4"/>
  <c r="DO309" i="4"/>
  <c r="DM276" i="4"/>
  <c r="DM283" i="4"/>
  <c r="DS290" i="4"/>
  <c r="DS322" i="4"/>
  <c r="DO332" i="4"/>
  <c r="DQ334" i="4"/>
  <c r="DQ281" i="4"/>
  <c r="DT280" i="4"/>
  <c r="DR275" i="4"/>
  <c r="DR282" i="4"/>
  <c r="DR281" i="4"/>
  <c r="DT241" i="4"/>
  <c r="DN271" i="4"/>
  <c r="DK267" i="4"/>
  <c r="DT270" i="4"/>
  <c r="DT267" i="4" s="1"/>
  <c r="DT268" i="4" s="1"/>
  <c r="DR267" i="4"/>
  <c r="DR268" i="4" s="1"/>
  <c r="DN232" i="4"/>
  <c r="DT766" i="4"/>
  <c r="DI222" i="4"/>
  <c r="DI221" i="4"/>
  <c r="DT196" i="4"/>
  <c r="DT197" i="4" s="1"/>
  <c r="DR197" i="4"/>
  <c r="DR231" i="4"/>
  <c r="DQ183" i="4"/>
  <c r="DQ184" i="4" s="1"/>
  <c r="DP217" i="4"/>
  <c r="DS183" i="4"/>
  <c r="DS189" i="4"/>
  <c r="DQ189" i="4"/>
  <c r="DN185" i="4"/>
  <c r="DO220" i="4"/>
  <c r="DO232" i="4"/>
  <c r="DO233" i="4"/>
  <c r="DQ231" i="4"/>
  <c r="DQ233" i="4" s="1"/>
  <c r="DN197" i="4"/>
  <c r="DT165" i="4"/>
  <c r="DJ217" i="4"/>
  <c r="DK183" i="4"/>
  <c r="DN184" i="4" s="1"/>
  <c r="DJ233" i="4"/>
  <c r="DJ232" i="4"/>
  <c r="DK232" i="4" s="1"/>
  <c r="DK231" i="4"/>
  <c r="DK233" i="4" s="1"/>
  <c r="DN189" i="4"/>
  <c r="DP233" i="4"/>
  <c r="DP232" i="4"/>
  <c r="DS197" i="4"/>
  <c r="DS231" i="4"/>
  <c r="DN217" i="4"/>
  <c r="DM218" i="4"/>
  <c r="DN218" i="4" s="1"/>
  <c r="DM220" i="4"/>
  <c r="DT188" i="4"/>
  <c r="DR183" i="4"/>
  <c r="DR189" i="4"/>
  <c r="DJ176" i="4"/>
  <c r="DM176" i="4"/>
  <c r="DK175" i="4"/>
  <c r="DK179" i="4"/>
  <c r="DJ169" i="4"/>
  <c r="DJ246" i="4"/>
  <c r="DJ252" i="4"/>
  <c r="DK168" i="4"/>
  <c r="DI438" i="4"/>
  <c r="DI244" i="4"/>
  <c r="DI448" i="4"/>
  <c r="DT476" i="4"/>
  <c r="DQ375" i="4"/>
  <c r="DQ376" i="4" s="1"/>
  <c r="DK375" i="4"/>
  <c r="DK748" i="4"/>
  <c r="DI432" i="4"/>
  <c r="DS163" i="4"/>
  <c r="DS164" i="4" s="1"/>
  <c r="DS378" i="4"/>
  <c r="DT378" i="4" s="1"/>
  <c r="DO261" i="4"/>
  <c r="DO337" i="4"/>
  <c r="DO348" i="4"/>
  <c r="DO343" i="4"/>
  <c r="DM403" i="4"/>
  <c r="DM433" i="4"/>
  <c r="DM434" i="4" s="1"/>
  <c r="DL380" i="4"/>
  <c r="DN379" i="4"/>
  <c r="DN380" i="4" s="1"/>
  <c r="DL402" i="4"/>
  <c r="DL405" i="4" s="1"/>
  <c r="EB759" i="4"/>
  <c r="DJ749" i="4"/>
  <c r="DJ760" i="4"/>
  <c r="DM749" i="4"/>
  <c r="DO164" i="4"/>
  <c r="DQ163" i="4"/>
  <c r="DQ164" i="4" s="1"/>
  <c r="DK271" i="4"/>
  <c r="DJ261" i="4"/>
  <c r="DJ337" i="4"/>
  <c r="DJ343" i="4"/>
  <c r="DJ348" i="4"/>
  <c r="DK260" i="4"/>
  <c r="DN261" i="4" s="1"/>
  <c r="DN301" i="4"/>
  <c r="DX758" i="4"/>
  <c r="DW758" i="4"/>
  <c r="DN343" i="4"/>
  <c r="DN348" i="4"/>
  <c r="DR300" i="4"/>
  <c r="DR302" i="4" s="1"/>
  <c r="DR299" i="4"/>
  <c r="DT299" i="4" s="1"/>
  <c r="DT298" i="4"/>
  <c r="DT295" i="4" s="1"/>
  <c r="DT296" i="4" s="1"/>
  <c r="DX757" i="4"/>
  <c r="DW757" i="4"/>
  <c r="DN760" i="4"/>
  <c r="DI434" i="4"/>
  <c r="DO379" i="4"/>
  <c r="DO360" i="4"/>
  <c r="DL770" i="4"/>
  <c r="DL800" i="4"/>
  <c r="DR164" i="4"/>
  <c r="DR360" i="4"/>
  <c r="DR379" i="4"/>
  <c r="DV765" i="4"/>
  <c r="DS768" i="4"/>
  <c r="DL339" i="4"/>
  <c r="DN337" i="4"/>
  <c r="DN338" i="4" s="1"/>
  <c r="DO273" i="4"/>
  <c r="DO301" i="4"/>
  <c r="DI335" i="4"/>
  <c r="DI440" i="4"/>
  <c r="DL771" i="4"/>
  <c r="DX766" i="4"/>
  <c r="DW766" i="4"/>
  <c r="DY757" i="4"/>
  <c r="DV760" i="4"/>
  <c r="DV762" i="4" s="1"/>
  <c r="DM273" i="4"/>
  <c r="DJ301" i="4"/>
  <c r="DJ273" i="4"/>
  <c r="DK272" i="4"/>
  <c r="DN273" i="4" s="1"/>
  <c r="DJ164" i="4"/>
  <c r="DK163" i="4"/>
  <c r="DM164" i="4"/>
  <c r="DJ379" i="4"/>
  <c r="DJ360" i="4"/>
  <c r="DK359" i="4"/>
  <c r="DM360" i="4"/>
  <c r="DQ748" i="4"/>
  <c r="DM800" i="4"/>
  <c r="DM771" i="4"/>
  <c r="DI450" i="4"/>
  <c r="DR273" i="4"/>
  <c r="DR260" i="4"/>
  <c r="DR271" i="4"/>
  <c r="EB767" i="4"/>
  <c r="DL773" i="4"/>
  <c r="DL774" i="4" s="1"/>
  <c r="DL209" i="4"/>
  <c r="DL181" i="4"/>
  <c r="DU765" i="4"/>
  <c r="DT765" i="4"/>
  <c r="DM335" i="4"/>
  <c r="DM440" i="4"/>
  <c r="BX945" i="4"/>
  <c r="BX901" i="4"/>
  <c r="BX700" i="4"/>
  <c r="BX903" i="4" s="1"/>
  <c r="EH841" i="4"/>
  <c r="EG823" i="4"/>
  <c r="EG841" i="4" s="1"/>
  <c r="EO823" i="4"/>
  <c r="EL841" i="4"/>
  <c r="EK823" i="4"/>
  <c r="BY730" i="4"/>
  <c r="BY933" i="4" s="1"/>
  <c r="DN155" i="4"/>
  <c r="BX718" i="4"/>
  <c r="BX921" i="4" s="1"/>
  <c r="BX676" i="4"/>
  <c r="CA687" i="4"/>
  <c r="DR481" i="4"/>
  <c r="DT157" i="4"/>
  <c r="DQ481" i="4"/>
  <c r="CA669" i="4"/>
  <c r="CA711" i="4" s="1"/>
  <c r="CA914" i="4" s="1"/>
  <c r="DS481" i="4"/>
  <c r="DT53" i="4"/>
  <c r="CB570" i="4"/>
  <c r="EQ822" i="4"/>
  <c r="ER828" i="4"/>
  <c r="ER829" i="4" s="1"/>
  <c r="ER830" i="4" s="1"/>
  <c r="ER831" i="4" s="1"/>
  <c r="ER840" i="4"/>
  <c r="ER846" i="4" s="1"/>
  <c r="ER847" i="4" s="1"/>
  <c r="ER848" i="4" s="1"/>
  <c r="ER849" i="4" s="1"/>
  <c r="EJ840" i="4"/>
  <c r="EJ846" i="4" s="1"/>
  <c r="EJ847" i="4" s="1"/>
  <c r="EJ848" i="4" s="1"/>
  <c r="EJ849" i="4" s="1"/>
  <c r="EJ828" i="4"/>
  <c r="EJ829" i="4" s="1"/>
  <c r="EJ830" i="4" s="1"/>
  <c r="EJ831" i="4" s="1"/>
  <c r="EN840" i="4"/>
  <c r="EN846" i="4" s="1"/>
  <c r="EN847" i="4" s="1"/>
  <c r="EN848" i="4" s="1"/>
  <c r="EN849" i="4" s="1"/>
  <c r="EM822" i="4"/>
  <c r="EN828" i="4"/>
  <c r="EN829" i="4" s="1"/>
  <c r="EN830" i="4" s="1"/>
  <c r="EN831" i="4" s="1"/>
  <c r="CA621" i="4"/>
  <c r="CA633" i="4"/>
  <c r="DX843" i="4"/>
  <c r="DX856" i="4" s="1"/>
  <c r="DX838" i="4"/>
  <c r="EE825" i="4"/>
  <c r="EF843" i="4"/>
  <c r="EF856" i="4" s="1"/>
  <c r="EF838" i="4"/>
  <c r="EI825" i="4"/>
  <c r="CA729" i="4"/>
  <c r="CC569" i="4"/>
  <c r="CB591" i="4"/>
  <c r="BX735" i="4"/>
  <c r="BX781" i="4" s="1"/>
  <c r="BX938" i="4"/>
  <c r="BX902" i="4"/>
  <c r="BZ621" i="4"/>
  <c r="BZ633" i="4"/>
  <c r="EA825" i="4"/>
  <c r="EB838" i="4"/>
  <c r="EB843" i="4"/>
  <c r="EB856" i="4" s="1"/>
  <c r="BY681" i="4"/>
  <c r="BY723" i="4" s="1"/>
  <c r="BY675" i="4"/>
  <c r="BY717" i="4" s="1"/>
  <c r="BY920" i="4" s="1"/>
  <c r="BY634" i="4"/>
  <c r="BY682" i="4" s="1"/>
  <c r="BX908" i="4"/>
  <c r="BX706" i="4"/>
  <c r="BX909" i="4" s="1"/>
  <c r="BZ730" i="4"/>
  <c r="BX724" i="4"/>
  <c r="BX927" i="4" s="1"/>
  <c r="BX926" i="4"/>
  <c r="BY663" i="4"/>
  <c r="BY705" i="4" s="1"/>
  <c r="BY908" i="4" s="1"/>
  <c r="BY657" i="4"/>
  <c r="BY699" i="4" s="1"/>
  <c r="BY700" i="4" s="1"/>
  <c r="BY944" i="4"/>
  <c r="BY945" i="4" s="1"/>
  <c r="CA639" i="4"/>
  <c r="CA627" i="4"/>
  <c r="BZ950" i="4"/>
  <c r="BZ741" i="4"/>
  <c r="BZ787" i="4" s="1"/>
  <c r="BZ914" i="4"/>
  <c r="BY622" i="4"/>
  <c r="BY664" i="4" s="1"/>
  <c r="BY950" i="4"/>
  <c r="BY741" i="4"/>
  <c r="BY787" i="4" s="1"/>
  <c r="BY914" i="4"/>
  <c r="J24" i="9"/>
  <c r="K24" i="9"/>
  <c r="DS57" i="4"/>
  <c r="DS47" i="4"/>
  <c r="DJ149" i="4"/>
  <c r="DJ481" i="4"/>
  <c r="DP58" i="4"/>
  <c r="DP49" i="4"/>
  <c r="DP68" i="4"/>
  <c r="DK475" i="2"/>
  <c r="CA884" i="4"/>
  <c r="CA885" i="4" s="1"/>
  <c r="BZ688" i="4"/>
  <c r="DN150" i="3"/>
  <c r="DN152" i="3" s="1"/>
  <c r="DQ150" i="3" s="1"/>
  <c r="EM273" i="2"/>
  <c r="EK273" i="2"/>
  <c r="BZ896" i="4"/>
  <c r="CA878" i="4"/>
  <c r="CA879" i="4" s="1"/>
  <c r="BZ885" i="4"/>
  <c r="BZ897" i="4" s="1"/>
  <c r="CB955" i="4"/>
  <c r="CC859" i="4"/>
  <c r="EJ363" i="4"/>
  <c r="BZ932" i="4"/>
  <c r="CA890" i="4"/>
  <c r="CA891" i="4" s="1"/>
  <c r="CA686" i="4"/>
  <c r="DL150" i="3"/>
  <c r="DL152" i="3" s="1"/>
  <c r="DM150" i="3" s="1"/>
  <c r="DT798" i="4"/>
  <c r="DS797" i="4"/>
  <c r="CB876" i="4"/>
  <c r="CK652" i="4"/>
  <c r="CG498" i="2"/>
  <c r="CF499" i="2"/>
  <c r="CF504" i="2"/>
  <c r="CF497" i="2"/>
  <c r="CF500" i="2"/>
  <c r="CF811" i="4"/>
  <c r="CE817" i="4"/>
  <c r="CE883" i="4" s="1"/>
  <c r="CE812" i="4"/>
  <c r="CC751" i="4"/>
  <c r="CB754" i="4"/>
  <c r="CO644" i="4"/>
  <c r="CA894" i="4"/>
  <c r="DH643" i="4"/>
  <c r="DT46" i="4"/>
  <c r="DT57" i="4" s="1"/>
  <c r="DR57" i="4"/>
  <c r="DR47" i="4"/>
  <c r="CE871" i="4"/>
  <c r="CA632" i="4"/>
  <c r="CA620" i="4"/>
  <c r="CA956" i="4"/>
  <c r="CB860" i="4"/>
  <c r="CA867" i="4"/>
  <c r="DT147" i="4"/>
  <c r="DT137" i="4"/>
  <c r="CA673" i="4"/>
  <c r="CA679" i="4"/>
  <c r="CA721" i="4" s="1"/>
  <c r="CA924" i="4" s="1"/>
  <c r="CE865" i="4"/>
  <c r="CE515" i="2"/>
  <c r="CF514" i="2"/>
  <c r="DQ475" i="2"/>
  <c r="DM220" i="2"/>
  <c r="DN222" i="2"/>
  <c r="DM222" i="2" s="1"/>
  <c r="DZ385" i="2"/>
  <c r="DZ396" i="2"/>
  <c r="BZ949" i="4"/>
  <c r="BZ740" i="4"/>
  <c r="BZ786" i="4" s="1"/>
  <c r="BZ913" i="4"/>
  <c r="DR20" i="2"/>
  <c r="EM416" i="2"/>
  <c r="CC889" i="4"/>
  <c r="DN68" i="4"/>
  <c r="CC568" i="4"/>
  <c r="CB590" i="4"/>
  <c r="BZ673" i="4"/>
  <c r="BZ679" i="4"/>
  <c r="BZ721" i="4" s="1"/>
  <c r="CF692" i="4"/>
  <c r="CA727" i="4"/>
  <c r="CA739" i="4" s="1"/>
  <c r="CA785" i="4" s="1"/>
  <c r="CM693" i="4"/>
  <c r="CB882" i="4"/>
  <c r="CM649" i="4"/>
  <c r="DO58" i="4"/>
  <c r="DO68" i="4"/>
  <c r="DO49" i="4"/>
  <c r="DQ47" i="4"/>
  <c r="EL842" i="4"/>
  <c r="EK824" i="4"/>
  <c r="EO824" i="4"/>
  <c r="BZ957" i="4"/>
  <c r="BW736" i="4"/>
  <c r="BW782" i="4" s="1"/>
  <c r="BW779" i="4"/>
  <c r="CB619" i="4"/>
  <c r="CB631" i="4"/>
  <c r="BW939" i="4"/>
  <c r="BW903" i="4"/>
  <c r="BZ620" i="4"/>
  <c r="BZ632" i="4"/>
  <c r="DR220" i="2"/>
  <c r="DR222" i="2" s="1"/>
  <c r="DR205" i="2"/>
  <c r="DR214" i="2" s="1"/>
  <c r="DR213" i="2" s="1"/>
  <c r="CM651" i="4"/>
  <c r="BZ586" i="4"/>
  <c r="BY734" i="4"/>
  <c r="BY780" i="4" s="1"/>
  <c r="BY937" i="4"/>
  <c r="BY901" i="4"/>
  <c r="DP189" i="2"/>
  <c r="DQ220" i="2"/>
  <c r="CA638" i="4"/>
  <c r="CA626" i="4"/>
  <c r="CA592" i="4"/>
  <c r="CA640" i="4" s="1"/>
  <c r="EG824" i="4"/>
  <c r="EG842" i="4" s="1"/>
  <c r="EH842" i="4"/>
  <c r="DN214" i="2"/>
  <c r="DM205" i="2"/>
  <c r="DX385" i="2"/>
  <c r="BY918" i="4"/>
  <c r="BZ628" i="4"/>
  <c r="CA668" i="4"/>
  <c r="CA710" i="4" s="1"/>
  <c r="BY733" i="4"/>
  <c r="BY936" i="4"/>
  <c r="BY900" i="4"/>
  <c r="BY739" i="4"/>
  <c r="BY785" i="4" s="1"/>
  <c r="BY712" i="4"/>
  <c r="BY948" i="4"/>
  <c r="BY912" i="4"/>
  <c r="CB637" i="4"/>
  <c r="CB685" i="4" s="1"/>
  <c r="CB625" i="4"/>
  <c r="DO155" i="4"/>
  <c r="DO160" i="4"/>
  <c r="CN650" i="4"/>
  <c r="DS165" i="2"/>
  <c r="DS168" i="2"/>
  <c r="DS175" i="2"/>
  <c r="DS150" i="2"/>
  <c r="DS31" i="2"/>
  <c r="DS337" i="2"/>
  <c r="DS336" i="2"/>
  <c r="DS11" i="4"/>
  <c r="BZ930" i="4"/>
  <c r="DR150" i="4"/>
  <c r="DR154" i="4"/>
  <c r="CA942" i="4"/>
  <c r="CA655" i="4"/>
  <c r="CA661" i="4"/>
  <c r="CA703" i="4" s="1"/>
  <c r="CA906" i="4" s="1"/>
  <c r="BX779" i="4"/>
  <c r="BZ670" i="4"/>
  <c r="CA670" i="4" s="1"/>
  <c r="BZ709" i="4"/>
  <c r="BY949" i="4"/>
  <c r="BY740" i="4"/>
  <c r="BY786" i="4" s="1"/>
  <c r="BY913" i="4"/>
  <c r="DR59" i="2"/>
  <c r="DR57" i="2" s="1"/>
  <c r="BZ655" i="4"/>
  <c r="BZ942" i="4"/>
  <c r="BZ661" i="4"/>
  <c r="BZ703" i="4" s="1"/>
  <c r="CC872" i="4"/>
  <c r="DH8" i="4"/>
  <c r="CB870" i="4"/>
  <c r="CA873" i="4"/>
  <c r="CA912" i="4"/>
  <c r="CA728" i="4"/>
  <c r="CA931" i="4" s="1"/>
  <c r="BY931" i="4"/>
  <c r="CD567" i="4"/>
  <c r="CC589" i="4"/>
  <c r="CC583" i="4" s="1"/>
  <c r="DL51" i="4"/>
  <c r="DL6" i="4" s="1"/>
  <c r="DN6" i="4" s="1"/>
  <c r="DL70" i="4"/>
  <c r="DN49" i="4"/>
  <c r="CC819" i="4"/>
  <c r="CD813" i="4"/>
  <c r="CD819" i="4" s="1"/>
  <c r="CC877" i="4"/>
  <c r="CB895" i="4"/>
  <c r="CC866" i="4"/>
  <c r="CB864" i="4"/>
  <c r="DS191" i="2"/>
  <c r="DS179" i="3" s="1"/>
  <c r="DS176" i="3" s="1"/>
  <c r="DT189" i="2"/>
  <c r="AC31" i="9" s="1"/>
  <c r="DT42" i="2"/>
  <c r="DO456" i="2"/>
  <c r="DO26" i="3"/>
  <c r="DO28" i="3" s="1"/>
  <c r="DO179" i="2"/>
  <c r="CB888" i="4"/>
  <c r="CM691" i="4"/>
  <c r="CA586" i="4"/>
  <c r="DO180" i="3"/>
  <c r="CV645" i="4"/>
  <c r="CD753" i="4"/>
  <c r="CB858" i="4"/>
  <c r="CA861" i="4"/>
  <c r="CA954" i="4"/>
  <c r="CK752" i="4"/>
  <c r="DS154" i="3"/>
  <c r="DS400" i="2"/>
  <c r="DT400" i="2" s="1"/>
  <c r="DS398" i="2"/>
  <c r="CG810" i="4"/>
  <c r="CF816" i="4"/>
  <c r="DO7" i="4" l="1"/>
  <c r="DO8" i="4" s="1"/>
  <c r="EZ580" i="4"/>
  <c r="EV854" i="4"/>
  <c r="EW854" i="4" s="1"/>
  <c r="FA854" i="4"/>
  <c r="EY854" i="4" s="1"/>
  <c r="EZ854" i="4" s="1"/>
  <c r="EZ82" i="4"/>
  <c r="FA81" i="4"/>
  <c r="FA82" i="4" s="1"/>
  <c r="EZ215" i="4"/>
  <c r="EV852" i="4"/>
  <c r="EW852" i="4" s="1"/>
  <c r="FA852" i="4"/>
  <c r="EY852" i="4" s="1"/>
  <c r="EZ852" i="4" s="1"/>
  <c r="FA840" i="4"/>
  <c r="FA828" i="4"/>
  <c r="FA829" i="4" s="1"/>
  <c r="FA830" i="4" s="1"/>
  <c r="FA831" i="4" s="1"/>
  <c r="EZ822" i="4"/>
  <c r="DU664" i="2"/>
  <c r="EY637" i="2"/>
  <c r="EZ253" i="2"/>
  <c r="EZ637" i="2" s="1"/>
  <c r="FA637" i="2"/>
  <c r="DP762" i="4"/>
  <c r="DO767" i="4"/>
  <c r="DR767" i="4" s="1"/>
  <c r="DR768" i="4" s="1"/>
  <c r="DR800" i="4" s="1"/>
  <c r="DV664" i="2"/>
  <c r="DO760" i="4"/>
  <c r="DO768" i="4" s="1"/>
  <c r="DO770" i="4" s="1"/>
  <c r="DK206" i="4"/>
  <c r="DN161" i="4"/>
  <c r="DT747" i="4"/>
  <c r="DT748" i="4" s="1"/>
  <c r="DT749" i="4" s="1"/>
  <c r="DP768" i="4"/>
  <c r="DP773" i="4" s="1"/>
  <c r="DP774" i="4" s="1"/>
  <c r="DR749" i="4"/>
  <c r="DT175" i="4"/>
  <c r="DT176" i="4" s="1"/>
  <c r="DR760" i="4"/>
  <c r="DT206" i="4"/>
  <c r="DT205" i="4"/>
  <c r="DT203" i="4" s="1"/>
  <c r="DT204" i="4" s="1"/>
  <c r="DN204" i="4"/>
  <c r="DW759" i="4"/>
  <c r="DT355" i="4"/>
  <c r="DG305" i="2"/>
  <c r="DG634" i="2" s="1"/>
  <c r="DG636" i="2" s="1"/>
  <c r="DG639" i="2" s="1"/>
  <c r="DG642" i="2" s="1"/>
  <c r="Y61" i="9"/>
  <c r="Y60" i="9" s="1"/>
  <c r="DH307" i="2"/>
  <c r="DH634" i="2"/>
  <c r="DH636" i="2" s="1"/>
  <c r="DH639" i="2" s="1"/>
  <c r="DH642" i="2" s="1"/>
  <c r="Z57" i="9"/>
  <c r="DK64" i="3"/>
  <c r="DK329" i="2"/>
  <c r="DJ269" i="2"/>
  <c r="DJ64" i="3" s="1"/>
  <c r="DJ66" i="3" s="1"/>
  <c r="DK120" i="3"/>
  <c r="DK327" i="2"/>
  <c r="DK328" i="2"/>
  <c r="J49" i="9" s="1"/>
  <c r="DK640" i="2"/>
  <c r="DK513" i="2"/>
  <c r="DK330" i="2"/>
  <c r="DK287" i="2"/>
  <c r="DI630" i="2"/>
  <c r="DI631" i="2" s="1"/>
  <c r="DI305" i="2"/>
  <c r="DU77" i="2"/>
  <c r="DW77" i="2" s="1"/>
  <c r="DS77" i="2"/>
  <c r="DU760" i="4"/>
  <c r="DW760" i="4" s="1"/>
  <c r="DT759" i="4"/>
  <c r="DN271" i="2"/>
  <c r="DL269" i="2"/>
  <c r="DH121" i="3"/>
  <c r="DH119" i="3" s="1"/>
  <c r="DG127" i="3"/>
  <c r="DR72" i="2"/>
  <c r="DR619" i="2"/>
  <c r="DR621" i="2" s="1"/>
  <c r="DR479" i="2"/>
  <c r="DR480" i="2" s="1"/>
  <c r="DY280" i="2"/>
  <c r="EA280" i="2"/>
  <c r="DZ276" i="2"/>
  <c r="DU668" i="2"/>
  <c r="DQ305" i="4"/>
  <c r="DQ306" i="4" s="1"/>
  <c r="CA712" i="4"/>
  <c r="CA915" i="4" s="1"/>
  <c r="CJ385" i="2"/>
  <c r="CJ396" i="2"/>
  <c r="CJ485" i="2" s="1"/>
  <c r="CG141" i="2"/>
  <c r="CF140" i="2"/>
  <c r="CF141" i="2" s="1"/>
  <c r="DB414" i="2"/>
  <c r="CZ415" i="2"/>
  <c r="DO143" i="2"/>
  <c r="DO146" i="2" s="1"/>
  <c r="DP142" i="2" s="1"/>
  <c r="DQ386" i="4"/>
  <c r="DK300" i="4"/>
  <c r="DK302" i="4" s="1"/>
  <c r="DQ384" i="4"/>
  <c r="DQ139" i="2"/>
  <c r="DP138" i="2"/>
  <c r="DR138" i="2"/>
  <c r="DN141" i="2"/>
  <c r="DM140" i="2"/>
  <c r="DM141" i="2" s="1"/>
  <c r="DN276" i="4"/>
  <c r="DD330" i="2"/>
  <c r="DD235" i="3"/>
  <c r="X61" i="9"/>
  <c r="X60" i="9" s="1"/>
  <c r="DD305" i="2"/>
  <c r="DD634" i="2" s="1"/>
  <c r="DD636" i="2" s="1"/>
  <c r="DD639" i="2" s="1"/>
  <c r="DD642" i="2" s="1"/>
  <c r="DE634" i="2"/>
  <c r="DE636" i="2" s="1"/>
  <c r="DE639" i="2" s="1"/>
  <c r="DE642" i="2" s="1"/>
  <c r="DE307" i="2"/>
  <c r="DD127" i="3"/>
  <c r="DE121" i="3"/>
  <c r="G31" i="9"/>
  <c r="DB619" i="2"/>
  <c r="DB621" i="2" s="1"/>
  <c r="DB72" i="2"/>
  <c r="DB479" i="2"/>
  <c r="DB480" i="2" s="1"/>
  <c r="DA74" i="2"/>
  <c r="DC166" i="2"/>
  <c r="DC74" i="2"/>
  <c r="CZ60" i="2"/>
  <c r="CZ69" i="2"/>
  <c r="CZ160" i="2"/>
  <c r="DN296" i="4"/>
  <c r="DQ185" i="4"/>
  <c r="DQ186" i="4" s="1"/>
  <c r="DV668" i="2"/>
  <c r="M24" i="9"/>
  <c r="BY472" i="2"/>
  <c r="ES822" i="4"/>
  <c r="ET840" i="4"/>
  <c r="ET846" i="4" s="1"/>
  <c r="ET847" i="4" s="1"/>
  <c r="ET848" i="4" s="1"/>
  <c r="ET849" i="4" s="1"/>
  <c r="ET828" i="4"/>
  <c r="ET829" i="4" s="1"/>
  <c r="ET830" i="4" s="1"/>
  <c r="ET831" i="4" s="1"/>
  <c r="EX828" i="4"/>
  <c r="EX829" i="4" s="1"/>
  <c r="EX830" i="4" s="1"/>
  <c r="EX831" i="4" s="1"/>
  <c r="EW822" i="4"/>
  <c r="EX840" i="4"/>
  <c r="EX846" i="4" s="1"/>
  <c r="EX847" i="4" s="1"/>
  <c r="EX848" i="4" s="1"/>
  <c r="EX849" i="4" s="1"/>
  <c r="EU270" i="2"/>
  <c r="DT365" i="4"/>
  <c r="BZ411" i="2"/>
  <c r="BZ472" i="2" s="1"/>
  <c r="CA472" i="2"/>
  <c r="BX400" i="2"/>
  <c r="BX11" i="2"/>
  <c r="BX14" i="2"/>
  <c r="BY11" i="2"/>
  <c r="BY14" i="2"/>
  <c r="BZ410" i="2"/>
  <c r="BZ25" i="2" s="1"/>
  <c r="CA25" i="2"/>
  <c r="BW11" i="2"/>
  <c r="BW14" i="2"/>
  <c r="BW472" i="2"/>
  <c r="CD441" i="2"/>
  <c r="CB410" i="2"/>
  <c r="CB409" i="2"/>
  <c r="CB397" i="2" s="1"/>
  <c r="CB411" i="2"/>
  <c r="CB472" i="2" s="1"/>
  <c r="DO150" i="3"/>
  <c r="DO152" i="3" s="1"/>
  <c r="DP150" i="3" s="1"/>
  <c r="DN283" i="4"/>
  <c r="DL406" i="4"/>
  <c r="DL442" i="4"/>
  <c r="DN405" i="4"/>
  <c r="DN406" i="4" s="1"/>
  <c r="DN310" i="4"/>
  <c r="DQ277" i="4"/>
  <c r="DQ278" i="4" s="1"/>
  <c r="DR283" i="4"/>
  <c r="DT282" i="4"/>
  <c r="DT283" i="4" s="1"/>
  <c r="DN312" i="4"/>
  <c r="DQ309" i="4"/>
  <c r="DP310" i="4"/>
  <c r="DP313" i="4"/>
  <c r="DP315" i="4" s="1"/>
  <c r="DP312" i="4"/>
  <c r="DT275" i="4"/>
  <c r="DT276" i="4" s="1"/>
  <c r="DR276" i="4"/>
  <c r="DR309" i="4"/>
  <c r="DQ215" i="4"/>
  <c r="DQ214" i="4"/>
  <c r="DN313" i="4"/>
  <c r="DN315" i="4" s="1"/>
  <c r="DL315" i="4"/>
  <c r="DK389" i="4"/>
  <c r="DK390" i="4" s="1"/>
  <c r="DJ390" i="4"/>
  <c r="DS276" i="4"/>
  <c r="DS309" i="4"/>
  <c r="DT334" i="4"/>
  <c r="DR332" i="4"/>
  <c r="DT281" i="4"/>
  <c r="DK213" i="4"/>
  <c r="DK386" i="4"/>
  <c r="DK384" i="4"/>
  <c r="DK305" i="4"/>
  <c r="DN384" i="4"/>
  <c r="DT387" i="4"/>
  <c r="DT383" i="4" s="1"/>
  <c r="DS389" i="4"/>
  <c r="DT322" i="4"/>
  <c r="DQ332" i="4"/>
  <c r="DO333" i="4"/>
  <c r="DO310" i="4"/>
  <c r="DO313" i="4"/>
  <c r="DO312" i="4"/>
  <c r="DK309" i="4"/>
  <c r="DJ310" i="4"/>
  <c r="DK310" i="4" s="1"/>
  <c r="DJ313" i="4"/>
  <c r="DJ312" i="4"/>
  <c r="DK312" i="4" s="1"/>
  <c r="DK268" i="4"/>
  <c r="DN268" i="4"/>
  <c r="DK185" i="4"/>
  <c r="DN186" i="4" s="1"/>
  <c r="DN220" i="4"/>
  <c r="DN222" i="4" s="1"/>
  <c r="DM221" i="4"/>
  <c r="DN221" i="4" s="1"/>
  <c r="DM222" i="4"/>
  <c r="DK217" i="4"/>
  <c r="DJ218" i="4"/>
  <c r="DK218" i="4" s="1"/>
  <c r="DJ220" i="4"/>
  <c r="DT183" i="4"/>
  <c r="DT184" i="4" s="1"/>
  <c r="DS217" i="4"/>
  <c r="DR217" i="4"/>
  <c r="DQ232" i="4"/>
  <c r="DQ217" i="4"/>
  <c r="DP218" i="4"/>
  <c r="DQ218" i="4" s="1"/>
  <c r="DP220" i="4"/>
  <c r="DR232" i="4"/>
  <c r="DT231" i="4"/>
  <c r="DT233" i="4" s="1"/>
  <c r="DR233" i="4"/>
  <c r="DT189" i="4"/>
  <c r="DS232" i="4"/>
  <c r="DS233" i="4"/>
  <c r="DO221" i="4"/>
  <c r="DO222" i="4"/>
  <c r="DI449" i="4"/>
  <c r="DJ248" i="4"/>
  <c r="DK246" i="4"/>
  <c r="DK247" i="4" s="1"/>
  <c r="DK176" i="4"/>
  <c r="DN176" i="4"/>
  <c r="DI439" i="4"/>
  <c r="DK241" i="4"/>
  <c r="DK242" i="4" s="1"/>
  <c r="DK169" i="4"/>
  <c r="DK254" i="4"/>
  <c r="DK252" i="4"/>
  <c r="DT163" i="4"/>
  <c r="DT164" i="4" s="1"/>
  <c r="DM441" i="4"/>
  <c r="DT375" i="4"/>
  <c r="DT376" i="4" s="1"/>
  <c r="DZ759" i="4"/>
  <c r="DK376" i="4"/>
  <c r="DN376" i="4"/>
  <c r="DI451" i="4"/>
  <c r="DI454" i="4"/>
  <c r="DL335" i="4"/>
  <c r="DN335" i="4"/>
  <c r="DL440" i="4"/>
  <c r="DN360" i="4"/>
  <c r="DK356" i="4"/>
  <c r="DN357" i="4" s="1"/>
  <c r="DK360" i="4"/>
  <c r="DX765" i="4"/>
  <c r="DW765" i="4"/>
  <c r="EE767" i="4"/>
  <c r="DR337" i="4"/>
  <c r="DR343" i="4"/>
  <c r="DR348" i="4"/>
  <c r="EB757" i="4"/>
  <c r="DY760" i="4"/>
  <c r="DI441" i="4"/>
  <c r="DI444" i="4"/>
  <c r="DY765" i="4"/>
  <c r="DV768" i="4"/>
  <c r="EA757" i="4"/>
  <c r="DZ757" i="4"/>
  <c r="DX760" i="4"/>
  <c r="DO209" i="4"/>
  <c r="DO181" i="4"/>
  <c r="EJ759" i="4"/>
  <c r="EM759" i="4" s="1"/>
  <c r="DJ339" i="4"/>
  <c r="DK337" i="4"/>
  <c r="DK338" i="4" s="1"/>
  <c r="DN402" i="4"/>
  <c r="DN403" i="4" s="1"/>
  <c r="DL433" i="4"/>
  <c r="DL403" i="4"/>
  <c r="DN749" i="4"/>
  <c r="DK760" i="4"/>
  <c r="DK749" i="4"/>
  <c r="DQ749" i="4"/>
  <c r="DQ760" i="4"/>
  <c r="DL431" i="4"/>
  <c r="DR301" i="4"/>
  <c r="DJ380" i="4"/>
  <c r="DJ402" i="4"/>
  <c r="DJ405" i="4" s="1"/>
  <c r="DK379" i="4"/>
  <c r="DK380" i="4" s="1"/>
  <c r="DK301" i="4"/>
  <c r="DK209" i="4"/>
  <c r="DK210" i="4" s="1"/>
  <c r="DJ210" i="4"/>
  <c r="DZ766" i="4"/>
  <c r="EA766" i="4"/>
  <c r="DN339" i="4"/>
  <c r="DL450" i="4"/>
  <c r="DS773" i="4"/>
  <c r="DO380" i="4"/>
  <c r="DO402" i="4"/>
  <c r="DO405" i="4" s="1"/>
  <c r="DN768" i="4"/>
  <c r="DZ758" i="4"/>
  <c r="EA758" i="4"/>
  <c r="DK261" i="4"/>
  <c r="DK348" i="4"/>
  <c r="DK343" i="4"/>
  <c r="DR261" i="4"/>
  <c r="DL210" i="4"/>
  <c r="DS800" i="4"/>
  <c r="DK164" i="4"/>
  <c r="DN164" i="4"/>
  <c r="DK273" i="4"/>
  <c r="DR380" i="4"/>
  <c r="DR402" i="4"/>
  <c r="DR405" i="4" s="1"/>
  <c r="DK332" i="4"/>
  <c r="DK333" i="4" s="1"/>
  <c r="DJ768" i="4"/>
  <c r="DJ773" i="4" s="1"/>
  <c r="DJ762" i="4"/>
  <c r="DM762" i="4"/>
  <c r="EC759" i="4"/>
  <c r="EE759" i="4"/>
  <c r="DO339" i="4"/>
  <c r="CA730" i="4"/>
  <c r="BY718" i="4"/>
  <c r="BY921" i="4" s="1"/>
  <c r="BY658" i="4"/>
  <c r="BX736" i="4"/>
  <c r="BX782" i="4" s="1"/>
  <c r="CA628" i="4"/>
  <c r="CC570" i="4"/>
  <c r="EO841" i="4"/>
  <c r="EN823" i="4"/>
  <c r="ER823" i="4"/>
  <c r="EU823" i="4" s="1"/>
  <c r="EK841" i="4"/>
  <c r="EJ823" i="4"/>
  <c r="EJ841" i="4" s="1"/>
  <c r="BX939" i="4"/>
  <c r="CB592" i="4"/>
  <c r="CB640" i="4" s="1"/>
  <c r="BY676" i="4"/>
  <c r="BZ933" i="4"/>
  <c r="CA622" i="4"/>
  <c r="CA664" i="4" s="1"/>
  <c r="CA688" i="4"/>
  <c r="CA930" i="4"/>
  <c r="DT481" i="4"/>
  <c r="CA950" i="4"/>
  <c r="CA741" i="4"/>
  <c r="CA787" i="4" s="1"/>
  <c r="CA957" i="4"/>
  <c r="BZ622" i="4"/>
  <c r="BZ664" i="4" s="1"/>
  <c r="BY706" i="4"/>
  <c r="BY909" i="4" s="1"/>
  <c r="EM828" i="4"/>
  <c r="EM829" i="4" s="1"/>
  <c r="EM830" i="4" s="1"/>
  <c r="EM831" i="4" s="1"/>
  <c r="EM840" i="4"/>
  <c r="EM846" i="4" s="1"/>
  <c r="EM847" i="4" s="1"/>
  <c r="EM848" i="4" s="1"/>
  <c r="EM849" i="4" s="1"/>
  <c r="CA948" i="4"/>
  <c r="CA896" i="4"/>
  <c r="EQ828" i="4"/>
  <c r="EQ829" i="4" s="1"/>
  <c r="EQ830" i="4" s="1"/>
  <c r="EQ831" i="4" s="1"/>
  <c r="EP822" i="4"/>
  <c r="EQ840" i="4"/>
  <c r="EQ846" i="4" s="1"/>
  <c r="EQ847" i="4" s="1"/>
  <c r="EQ848" i="4" s="1"/>
  <c r="EQ849" i="4" s="1"/>
  <c r="CB627" i="4"/>
  <c r="CB669" i="4" s="1"/>
  <c r="CB639" i="4"/>
  <c r="CB687" i="4" s="1"/>
  <c r="EA843" i="4"/>
  <c r="EA856" i="4" s="1"/>
  <c r="EA838" i="4"/>
  <c r="CD569" i="4"/>
  <c r="CC591" i="4"/>
  <c r="CA675" i="4"/>
  <c r="CA717" i="4" s="1"/>
  <c r="CA920" i="4" s="1"/>
  <c r="CA681" i="4"/>
  <c r="CA723" i="4" s="1"/>
  <c r="CA926" i="4" s="1"/>
  <c r="BY926" i="4"/>
  <c r="BY724" i="4"/>
  <c r="BY927" i="4" s="1"/>
  <c r="BZ681" i="4"/>
  <c r="BZ723" i="4" s="1"/>
  <c r="BZ926" i="4" s="1"/>
  <c r="BZ675" i="4"/>
  <c r="BZ717" i="4" s="1"/>
  <c r="BZ920" i="4" s="1"/>
  <c r="ED825" i="4"/>
  <c r="EE843" i="4"/>
  <c r="EE856" i="4" s="1"/>
  <c r="EE838" i="4"/>
  <c r="CA944" i="4"/>
  <c r="CA657" i="4"/>
  <c r="CA699" i="4" s="1"/>
  <c r="CA663" i="4"/>
  <c r="CA705" i="4" s="1"/>
  <c r="CA908" i="4" s="1"/>
  <c r="CB894" i="4"/>
  <c r="BY735" i="4"/>
  <c r="BY781" i="4" s="1"/>
  <c r="BY938" i="4"/>
  <c r="BY902" i="4"/>
  <c r="BZ944" i="4"/>
  <c r="BZ657" i="4"/>
  <c r="BZ699" i="4" s="1"/>
  <c r="BZ663" i="4"/>
  <c r="BZ705" i="4" s="1"/>
  <c r="BZ908" i="4" s="1"/>
  <c r="CB585" i="4"/>
  <c r="EI843" i="4"/>
  <c r="EI856" i="4" s="1"/>
  <c r="EI838" i="4"/>
  <c r="EH825" i="4"/>
  <c r="EL825" i="4"/>
  <c r="DP70" i="4"/>
  <c r="DP60" i="4"/>
  <c r="DP51" i="4"/>
  <c r="DP6" i="4" s="1"/>
  <c r="DK140" i="4"/>
  <c r="DS49" i="4"/>
  <c r="DS58" i="4"/>
  <c r="DS68" i="4"/>
  <c r="DK147" i="4"/>
  <c r="DJ150" i="4"/>
  <c r="DJ154" i="4"/>
  <c r="DK149" i="4"/>
  <c r="DK150" i="4" s="1"/>
  <c r="DK137" i="4"/>
  <c r="DK481" i="4" s="1"/>
  <c r="CB878" i="4"/>
  <c r="CA932" i="4"/>
  <c r="CB890" i="4"/>
  <c r="CB891" i="4" s="1"/>
  <c r="EK363" i="4"/>
  <c r="EO273" i="2"/>
  <c r="EP273" i="2" s="1"/>
  <c r="CB884" i="4"/>
  <c r="CB885" i="4" s="1"/>
  <c r="DT797" i="4"/>
  <c r="DU798" i="4"/>
  <c r="CD859" i="4"/>
  <c r="CC955" i="4"/>
  <c r="DT220" i="2"/>
  <c r="DS220" i="2" s="1"/>
  <c r="DS189" i="2"/>
  <c r="DT205" i="2"/>
  <c r="DR202" i="3"/>
  <c r="CA674" i="4"/>
  <c r="CA716" i="4" s="1"/>
  <c r="CA919" i="4" s="1"/>
  <c r="CA680" i="4"/>
  <c r="CA722" i="4" s="1"/>
  <c r="CA925" i="4" s="1"/>
  <c r="CG500" i="2"/>
  <c r="CG499" i="2"/>
  <c r="CH498" i="2"/>
  <c r="CG497" i="2"/>
  <c r="CG504" i="2"/>
  <c r="CC888" i="4"/>
  <c r="DT475" i="2"/>
  <c r="CD866" i="4"/>
  <c r="CD877" i="4"/>
  <c r="CC895" i="4"/>
  <c r="BZ906" i="4"/>
  <c r="CO650" i="4"/>
  <c r="DO161" i="4"/>
  <c r="CB727" i="4"/>
  <c r="CB930" i="4" s="1"/>
  <c r="BY779" i="4"/>
  <c r="CN651" i="4"/>
  <c r="BZ674" i="4"/>
  <c r="BZ716" i="4" s="1"/>
  <c r="BZ919" i="4" s="1"/>
  <c r="BZ680" i="4"/>
  <c r="BZ722" i="4" s="1"/>
  <c r="BZ925" i="4" s="1"/>
  <c r="DO51" i="4"/>
  <c r="DO6" i="4" s="1"/>
  <c r="DQ49" i="4"/>
  <c r="DO60" i="4"/>
  <c r="DO70" i="4"/>
  <c r="CG692" i="4"/>
  <c r="BZ715" i="4"/>
  <c r="DZ384" i="2"/>
  <c r="EA374" i="2"/>
  <c r="EC374" i="2"/>
  <c r="CA715" i="4"/>
  <c r="CC860" i="4"/>
  <c r="CB956" i="4"/>
  <c r="CF871" i="4"/>
  <c r="CW645" i="4"/>
  <c r="CN691" i="4"/>
  <c r="DL72" i="4"/>
  <c r="DN51" i="4"/>
  <c r="CD889" i="4"/>
  <c r="CL752" i="4"/>
  <c r="CE753" i="4"/>
  <c r="DN70" i="4"/>
  <c r="CC625" i="4"/>
  <c r="CC637" i="4"/>
  <c r="CC685" i="4" s="1"/>
  <c r="CD872" i="4"/>
  <c r="BY903" i="4"/>
  <c r="DQ214" i="2"/>
  <c r="AB40" i="9" s="1"/>
  <c r="AB39" i="9" s="1"/>
  <c r="DP205" i="2"/>
  <c r="BZ943" i="4"/>
  <c r="BZ656" i="4"/>
  <c r="BZ698" i="4" s="1"/>
  <c r="BZ662" i="4"/>
  <c r="BZ704" i="4" s="1"/>
  <c r="BZ907" i="4" s="1"/>
  <c r="CB655" i="4"/>
  <c r="CB942" i="4"/>
  <c r="CB661" i="4"/>
  <c r="CB703" i="4" s="1"/>
  <c r="CB906" i="4" s="1"/>
  <c r="ER824" i="4"/>
  <c r="EU824" i="4" s="1"/>
  <c r="EO842" i="4"/>
  <c r="EN824" i="4"/>
  <c r="BZ634" i="4"/>
  <c r="BZ682" i="4" s="1"/>
  <c r="DT266" i="2"/>
  <c r="DS267" i="2"/>
  <c r="CF515" i="2"/>
  <c r="CG514" i="2"/>
  <c r="CA634" i="4"/>
  <c r="CA682" i="4" s="1"/>
  <c r="CL652" i="4"/>
  <c r="CH810" i="4"/>
  <c r="CG816" i="4"/>
  <c r="CC864" i="4"/>
  <c r="CB867" i="4"/>
  <c r="CE567" i="4"/>
  <c r="DR456" i="2"/>
  <c r="DR26" i="3"/>
  <c r="DR28" i="3" s="1"/>
  <c r="DR179" i="2"/>
  <c r="CA697" i="4"/>
  <c r="CD589" i="4"/>
  <c r="CA949" i="4"/>
  <c r="CA740" i="4"/>
  <c r="CA786" i="4" s="1"/>
  <c r="CA913" i="4"/>
  <c r="DN213" i="2"/>
  <c r="DM214" i="2"/>
  <c r="EJ824" i="4"/>
  <c r="EJ842" i="4" s="1"/>
  <c r="EK842" i="4"/>
  <c r="CA943" i="4"/>
  <c r="CA656" i="4"/>
  <c r="CA698" i="4" s="1"/>
  <c r="CA662" i="4"/>
  <c r="CA704" i="4" s="1"/>
  <c r="CA907" i="4" s="1"/>
  <c r="CP644" i="4"/>
  <c r="CD751" i="4"/>
  <c r="CC754" i="4"/>
  <c r="CE818" i="4"/>
  <c r="CE813" i="4"/>
  <c r="CF812" i="4"/>
  <c r="BZ697" i="4"/>
  <c r="DT231" i="2"/>
  <c r="DS232" i="2"/>
  <c r="CN693" i="4"/>
  <c r="DQ152" i="3"/>
  <c r="CB873" i="4"/>
  <c r="CC870" i="4"/>
  <c r="BY951" i="4"/>
  <c r="CC882" i="4"/>
  <c r="DT236" i="2"/>
  <c r="DS240" i="2"/>
  <c r="CC590" i="4"/>
  <c r="CD568" i="4"/>
  <c r="CA897" i="4"/>
  <c r="CF865" i="4"/>
  <c r="DI643" i="4"/>
  <c r="CG811" i="4"/>
  <c r="CG817" i="4" s="1"/>
  <c r="CF817" i="4"/>
  <c r="CF883" i="4" s="1"/>
  <c r="DM152" i="3"/>
  <c r="DU397" i="2"/>
  <c r="DV397" i="2" s="1"/>
  <c r="DT154" i="3"/>
  <c r="DQ222" i="2"/>
  <c r="DP222" i="2" s="1"/>
  <c r="DP220" i="2"/>
  <c r="CB626" i="4"/>
  <c r="CB668" i="4" s="1"/>
  <c r="CB638" i="4"/>
  <c r="CB686" i="4" s="1"/>
  <c r="CB861" i="4"/>
  <c r="CB954" i="4"/>
  <c r="CC858" i="4"/>
  <c r="CC631" i="4"/>
  <c r="CC619" i="4"/>
  <c r="BZ712" i="4"/>
  <c r="BZ739" i="4"/>
  <c r="BZ785" i="4" s="1"/>
  <c r="BZ948" i="4"/>
  <c r="BZ951" i="4" s="1"/>
  <c r="BZ912" i="4"/>
  <c r="DR160" i="4"/>
  <c r="DR155" i="4"/>
  <c r="CB667" i="4"/>
  <c r="BY742" i="4"/>
  <c r="BY788" i="4" s="1"/>
  <c r="BY915" i="4"/>
  <c r="DY374" i="2"/>
  <c r="DX384" i="2"/>
  <c r="DR180" i="3"/>
  <c r="CB673" i="4"/>
  <c r="CB679" i="4"/>
  <c r="CB721" i="4" s="1"/>
  <c r="DQ58" i="4"/>
  <c r="DQ68" i="4"/>
  <c r="CN649" i="4"/>
  <c r="BZ924" i="4"/>
  <c r="CB584" i="4"/>
  <c r="EO416" i="2"/>
  <c r="DR49" i="4"/>
  <c r="DR68" i="4"/>
  <c r="DR58" i="4"/>
  <c r="DT47" i="4"/>
  <c r="CC876" i="4"/>
  <c r="DT767" i="4" l="1"/>
  <c r="DV77" i="2"/>
  <c r="DX77" i="2"/>
  <c r="DZ77" i="2" s="1"/>
  <c r="DU767" i="4"/>
  <c r="DU768" i="4" s="1"/>
  <c r="DT768" i="4"/>
  <c r="DT800" i="4" s="1"/>
  <c r="DS770" i="4"/>
  <c r="DP800" i="4"/>
  <c r="DT801" i="4" s="1"/>
  <c r="DP770" i="4"/>
  <c r="DP771" i="4"/>
  <c r="DR7" i="4"/>
  <c r="DR8" i="4" s="1"/>
  <c r="EY822" i="4"/>
  <c r="EZ828" i="4"/>
  <c r="EZ829" i="4" s="1"/>
  <c r="EZ830" i="4" s="1"/>
  <c r="EZ831" i="4" s="1"/>
  <c r="EZ840" i="4"/>
  <c r="EZ846" i="4" s="1"/>
  <c r="EZ847" i="4" s="1"/>
  <c r="EZ848" i="4" s="1"/>
  <c r="EZ849" i="4" s="1"/>
  <c r="FA846" i="4"/>
  <c r="FA847" i="4" s="1"/>
  <c r="FA848" i="4" s="1"/>
  <c r="FA849" i="4" s="1"/>
  <c r="DV400" i="2"/>
  <c r="DV398" i="2"/>
  <c r="DV154" i="3"/>
  <c r="DO771" i="4"/>
  <c r="DO800" i="4"/>
  <c r="DR770" i="4"/>
  <c r="DO773" i="4"/>
  <c r="DO774" i="4" s="1"/>
  <c r="DO762" i="4"/>
  <c r="DQ307" i="4"/>
  <c r="DT277" i="4"/>
  <c r="DT278" i="4" s="1"/>
  <c r="DR762" i="4"/>
  <c r="DR773" i="4"/>
  <c r="DR769" i="4" s="1"/>
  <c r="DR761" i="4" s="1"/>
  <c r="DT760" i="4"/>
  <c r="DW791" i="4" s="1"/>
  <c r="CA742" i="4"/>
  <c r="CA788" i="4" s="1"/>
  <c r="DU762" i="4"/>
  <c r="AC46" i="9"/>
  <c r="DT171" i="3"/>
  <c r="DT167" i="3" s="1"/>
  <c r="N52" i="9"/>
  <c r="N53" i="9" s="1"/>
  <c r="DH127" i="3"/>
  <c r="DG18" i="3"/>
  <c r="J47" i="9"/>
  <c r="DJ329" i="2"/>
  <c r="DL64" i="3"/>
  <c r="DL66" i="3" s="1"/>
  <c r="DL328" i="2"/>
  <c r="DL329" i="2"/>
  <c r="DL327" i="2"/>
  <c r="DL120" i="3"/>
  <c r="DL513" i="2"/>
  <c r="DL640" i="2"/>
  <c r="DL287" i="2"/>
  <c r="DL630" i="2" s="1"/>
  <c r="DL631" i="2" s="1"/>
  <c r="DI634" i="2"/>
  <c r="DI636" i="2" s="1"/>
  <c r="DI639" i="2" s="1"/>
  <c r="DI642" i="2" s="1"/>
  <c r="DI644" i="2" s="1"/>
  <c r="DI346" i="2" s="1"/>
  <c r="DI307" i="2"/>
  <c r="DI324" i="2" s="1"/>
  <c r="J48" i="9"/>
  <c r="DJ330" i="2"/>
  <c r="DK66" i="3"/>
  <c r="DH324" i="2"/>
  <c r="DG307" i="2"/>
  <c r="DG324" i="2" s="1"/>
  <c r="AB13" i="9"/>
  <c r="DR331" i="2"/>
  <c r="DR343" i="2"/>
  <c r="DR68" i="2"/>
  <c r="DR178" i="2"/>
  <c r="DR4" i="3"/>
  <c r="DR10" i="3" s="1"/>
  <c r="DR161" i="2"/>
  <c r="DR73" i="2"/>
  <c r="DO271" i="2"/>
  <c r="DM271" i="2"/>
  <c r="DN269" i="2"/>
  <c r="DJ287" i="2"/>
  <c r="DJ630" i="2" s="1"/>
  <c r="DJ631" i="2" s="1"/>
  <c r="DK305" i="2"/>
  <c r="DK630" i="2"/>
  <c r="DK631" i="2" s="1"/>
  <c r="DJ120" i="3"/>
  <c r="DJ327" i="2"/>
  <c r="DJ513" i="2"/>
  <c r="DJ640" i="2"/>
  <c r="DJ328" i="2"/>
  <c r="DY276" i="2"/>
  <c r="EC280" i="2"/>
  <c r="EA276" i="2"/>
  <c r="CJ384" i="2"/>
  <c r="CJ91" i="2"/>
  <c r="CI91" i="2" s="1"/>
  <c r="CJ566" i="2"/>
  <c r="CJ140" i="2"/>
  <c r="DC414" i="2"/>
  <c r="DB415" i="2"/>
  <c r="DA415" i="2" s="1"/>
  <c r="DA414" i="2"/>
  <c r="DQ140" i="2"/>
  <c r="DP139" i="2"/>
  <c r="DP143" i="2" s="1"/>
  <c r="DP146" i="2" s="1"/>
  <c r="DT138" i="2"/>
  <c r="DR139" i="2"/>
  <c r="DR140" i="2" s="1"/>
  <c r="DR141" i="2" s="1"/>
  <c r="DQ143" i="2"/>
  <c r="DQ146" i="2" s="1"/>
  <c r="DA479" i="2"/>
  <c r="DA480" i="2" s="1"/>
  <c r="DA619" i="2"/>
  <c r="DA621" i="2" s="1"/>
  <c r="DE127" i="3"/>
  <c r="DD18" i="3"/>
  <c r="CZ617" i="2"/>
  <c r="CZ622" i="2" s="1"/>
  <c r="CZ644" i="2" s="1"/>
  <c r="CZ346" i="2" s="1"/>
  <c r="CZ61" i="2"/>
  <c r="CZ159" i="2"/>
  <c r="DD307" i="2"/>
  <c r="DD324" i="2" s="1"/>
  <c r="DE324" i="2"/>
  <c r="DC72" i="2"/>
  <c r="DC619" i="2"/>
  <c r="DC621" i="2" s="1"/>
  <c r="DC479" i="2"/>
  <c r="DC480" i="2" s="1"/>
  <c r="G29" i="9"/>
  <c r="DB343" i="2"/>
  <c r="G44" i="9" s="1"/>
  <c r="DB331" i="2"/>
  <c r="DA72" i="2"/>
  <c r="DB345" i="2"/>
  <c r="DB4" i="3"/>
  <c r="DB10" i="3" s="1"/>
  <c r="DB178" i="2"/>
  <c r="DA178" i="2" s="1"/>
  <c r="DB68" i="2"/>
  <c r="DB161" i="2"/>
  <c r="DB73" i="2"/>
  <c r="DB12" i="4"/>
  <c r="CZ176" i="2"/>
  <c r="DW668" i="2"/>
  <c r="DT169" i="3"/>
  <c r="AC45" i="9"/>
  <c r="DS205" i="2"/>
  <c r="AC35" i="9"/>
  <c r="ER273" i="2"/>
  <c r="EW828" i="4"/>
  <c r="EW829" i="4" s="1"/>
  <c r="EW830" i="4" s="1"/>
  <c r="EW831" i="4" s="1"/>
  <c r="EW840" i="4"/>
  <c r="EW846" i="4" s="1"/>
  <c r="EW847" i="4" s="1"/>
  <c r="EW848" i="4" s="1"/>
  <c r="EW849" i="4" s="1"/>
  <c r="EV822" i="4"/>
  <c r="ES840" i="4"/>
  <c r="ES846" i="4" s="1"/>
  <c r="ES847" i="4" s="1"/>
  <c r="ES848" i="4" s="1"/>
  <c r="ES849" i="4" s="1"/>
  <c r="ES828" i="4"/>
  <c r="ES829" i="4" s="1"/>
  <c r="ES830" i="4" s="1"/>
  <c r="ES831" i="4" s="1"/>
  <c r="EX824" i="4"/>
  <c r="FA824" i="4" s="1"/>
  <c r="ET824" i="4"/>
  <c r="EU842" i="4"/>
  <c r="EX823" i="4"/>
  <c r="FA823" i="4" s="1"/>
  <c r="ET823" i="4"/>
  <c r="EU841" i="4"/>
  <c r="EV270" i="2"/>
  <c r="ET270" i="2"/>
  <c r="DQ6" i="4"/>
  <c r="CB25" i="2"/>
  <c r="DT170" i="3"/>
  <c r="BZ27" i="2"/>
  <c r="BW365" i="2"/>
  <c r="BW223" i="3" s="1"/>
  <c r="BW366" i="2"/>
  <c r="BW224" i="3" s="1"/>
  <c r="BW27" i="2"/>
  <c r="BY27" i="2"/>
  <c r="BY366" i="2"/>
  <c r="BY224" i="3" s="1"/>
  <c r="BY222" i="3"/>
  <c r="CA222" i="3" s="1"/>
  <c r="BY365" i="2"/>
  <c r="CE441" i="2"/>
  <c r="CD410" i="2"/>
  <c r="CD409" i="2"/>
  <c r="CD411" i="2"/>
  <c r="BX366" i="2"/>
  <c r="BX224" i="3" s="1"/>
  <c r="BX365" i="2"/>
  <c r="BX223" i="3" s="1"/>
  <c r="CA27" i="2"/>
  <c r="BX27" i="2"/>
  <c r="CB400" i="2"/>
  <c r="CB398" i="2"/>
  <c r="BX20" i="2"/>
  <c r="BX472" i="2"/>
  <c r="DT185" i="2"/>
  <c r="AC28" i="9" s="1"/>
  <c r="DP152" i="3"/>
  <c r="DL443" i="4"/>
  <c r="DN442" i="4"/>
  <c r="DN443" i="4" s="1"/>
  <c r="DR406" i="4"/>
  <c r="DR442" i="4"/>
  <c r="DO406" i="4"/>
  <c r="DO442" i="4"/>
  <c r="DJ442" i="4"/>
  <c r="DK405" i="4"/>
  <c r="DK406" i="4" s="1"/>
  <c r="DK307" i="4"/>
  <c r="DK306" i="4"/>
  <c r="DN306" i="4"/>
  <c r="DT332" i="4"/>
  <c r="DR333" i="4"/>
  <c r="DT389" i="4"/>
  <c r="DT390" i="4" s="1"/>
  <c r="DS390" i="4"/>
  <c r="DR310" i="4"/>
  <c r="DR313" i="4"/>
  <c r="DR312" i="4"/>
  <c r="DQ310" i="4"/>
  <c r="DT384" i="4"/>
  <c r="DT305" i="4"/>
  <c r="DT386" i="4"/>
  <c r="DT213" i="4"/>
  <c r="DT309" i="4"/>
  <c r="DS310" i="4"/>
  <c r="DS313" i="4"/>
  <c r="DS315" i="4" s="1"/>
  <c r="DS312" i="4"/>
  <c r="DJ315" i="4"/>
  <c r="DK313" i="4"/>
  <c r="DK315" i="4" s="1"/>
  <c r="DO315" i="4"/>
  <c r="DQ313" i="4"/>
  <c r="DQ315" i="4" s="1"/>
  <c r="DK215" i="4"/>
  <c r="DK214" i="4"/>
  <c r="DN214" i="4"/>
  <c r="DQ312" i="4"/>
  <c r="DT185" i="4"/>
  <c r="DT186" i="4" s="1"/>
  <c r="DI429" i="4"/>
  <c r="DI238" i="4"/>
  <c r="DT232" i="4"/>
  <c r="DT217" i="4"/>
  <c r="DS218" i="4"/>
  <c r="DS220" i="4"/>
  <c r="DQ220" i="4"/>
  <c r="DQ222" i="4" s="1"/>
  <c r="DP221" i="4"/>
  <c r="DQ221" i="4" s="1"/>
  <c r="DP222" i="4"/>
  <c r="DR218" i="4"/>
  <c r="DR220" i="4"/>
  <c r="DK220" i="4"/>
  <c r="DK222" i="4" s="1"/>
  <c r="DJ221" i="4"/>
  <c r="DJ222" i="4"/>
  <c r="DU24" i="4"/>
  <c r="DW24" i="4" s="1"/>
  <c r="DW37" i="4" s="1"/>
  <c r="DJ448" i="4"/>
  <c r="DK248" i="4"/>
  <c r="DJ438" i="4"/>
  <c r="DJ244" i="4"/>
  <c r="DK243" i="4"/>
  <c r="DK244" i="4" s="1"/>
  <c r="CA933" i="4"/>
  <c r="BZ945" i="4"/>
  <c r="DS769" i="4"/>
  <c r="DS761" i="4" s="1"/>
  <c r="DS774" i="4"/>
  <c r="DS795" i="4" s="1"/>
  <c r="ED766" i="4"/>
  <c r="EC766" i="4"/>
  <c r="DJ431" i="4"/>
  <c r="DJ329" i="4"/>
  <c r="DK326" i="4"/>
  <c r="DK328" i="4"/>
  <c r="DK329" i="4" s="1"/>
  <c r="DO335" i="4"/>
  <c r="DO440" i="4"/>
  <c r="DI483" i="4"/>
  <c r="DI456" i="4"/>
  <c r="EF759" i="4"/>
  <c r="EH759" i="4"/>
  <c r="DJ770" i="4"/>
  <c r="DJ800" i="4"/>
  <c r="DM770" i="4"/>
  <c r="DJ771" i="4"/>
  <c r="DJ440" i="4"/>
  <c r="DJ335" i="4"/>
  <c r="DK334" i="4"/>
  <c r="DK335" i="4" s="1"/>
  <c r="DL429" i="4"/>
  <c r="DO433" i="4"/>
  <c r="DO403" i="4"/>
  <c r="DR431" i="4"/>
  <c r="DL432" i="4"/>
  <c r="DN431" i="4"/>
  <c r="DN432" i="4" s="1"/>
  <c r="DL434" i="4"/>
  <c r="DN433" i="4"/>
  <c r="DN434" i="4" s="1"/>
  <c r="DI479" i="4"/>
  <c r="DI445" i="4"/>
  <c r="EH767" i="4"/>
  <c r="DL441" i="4"/>
  <c r="DN440" i="4"/>
  <c r="DO450" i="4"/>
  <c r="DJ774" i="4"/>
  <c r="DM774" i="4"/>
  <c r="DN800" i="4"/>
  <c r="DQ762" i="4"/>
  <c r="DN762" i="4"/>
  <c r="DK762" i="4"/>
  <c r="EP759" i="4"/>
  <c r="ES759" i="4" s="1"/>
  <c r="DX762" i="4"/>
  <c r="EB765" i="4"/>
  <c r="DY768" i="4"/>
  <c r="DY773" i="4" s="1"/>
  <c r="DM209" i="4"/>
  <c r="DM181" i="4"/>
  <c r="DN180" i="4"/>
  <c r="DN181" i="4" s="1"/>
  <c r="EE757" i="4"/>
  <c r="EB760" i="4"/>
  <c r="DR209" i="4"/>
  <c r="DR181" i="4"/>
  <c r="DO431" i="4"/>
  <c r="DK768" i="4"/>
  <c r="DK773" i="4" s="1"/>
  <c r="DK774" i="4" s="1"/>
  <c r="ED757" i="4"/>
  <c r="EC757" i="4"/>
  <c r="EA760" i="4"/>
  <c r="DR339" i="4"/>
  <c r="DR403" i="4"/>
  <c r="DR433" i="4"/>
  <c r="DN450" i="4"/>
  <c r="DN451" i="4" s="1"/>
  <c r="DL451" i="4"/>
  <c r="EC758" i="4"/>
  <c r="ED758" i="4"/>
  <c r="DN773" i="4"/>
  <c r="DJ403" i="4"/>
  <c r="DK400" i="4"/>
  <c r="DJ433" i="4"/>
  <c r="DK402" i="4"/>
  <c r="DK403" i="4" s="1"/>
  <c r="DQ768" i="4"/>
  <c r="DJ450" i="4"/>
  <c r="DK339" i="4"/>
  <c r="DO210" i="4"/>
  <c r="DV773" i="4"/>
  <c r="DV770" i="4"/>
  <c r="DZ760" i="4"/>
  <c r="DY762" i="4"/>
  <c r="EA765" i="4"/>
  <c r="DZ765" i="4"/>
  <c r="DN771" i="4"/>
  <c r="CA951" i="4"/>
  <c r="CC592" i="4"/>
  <c r="CC640" i="4" s="1"/>
  <c r="EQ823" i="4"/>
  <c r="ER841" i="4"/>
  <c r="EN841" i="4"/>
  <c r="EM823" i="4"/>
  <c r="EM841" i="4" s="1"/>
  <c r="BY939" i="4"/>
  <c r="CA945" i="4"/>
  <c r="BY736" i="4"/>
  <c r="BY782" i="4" s="1"/>
  <c r="CB957" i="4"/>
  <c r="BZ658" i="4"/>
  <c r="EP828" i="4"/>
  <c r="EP829" i="4" s="1"/>
  <c r="EP830" i="4" s="1"/>
  <c r="EP831" i="4" s="1"/>
  <c r="EP840" i="4"/>
  <c r="EP846" i="4" s="1"/>
  <c r="EP847" i="4" s="1"/>
  <c r="EP848" i="4" s="1"/>
  <c r="EP849" i="4" s="1"/>
  <c r="EL838" i="4"/>
  <c r="EL843" i="4"/>
  <c r="EL856" i="4" s="1"/>
  <c r="EK825" i="4"/>
  <c r="EO825" i="4"/>
  <c r="CB621" i="4"/>
  <c r="CB633" i="4"/>
  <c r="CC585" i="4"/>
  <c r="CC627" i="4"/>
  <c r="CC669" i="4" s="1"/>
  <c r="CC711" i="4" s="1"/>
  <c r="CC639" i="4"/>
  <c r="CC687" i="4" s="1"/>
  <c r="CC729" i="4" s="1"/>
  <c r="CD591" i="4"/>
  <c r="CA676" i="4"/>
  <c r="EH838" i="4"/>
  <c r="EH843" i="4"/>
  <c r="EH856" i="4" s="1"/>
  <c r="EG825" i="4"/>
  <c r="CA735" i="4"/>
  <c r="CA781" i="4" s="1"/>
  <c r="CA938" i="4"/>
  <c r="CA902" i="4"/>
  <c r="ED843" i="4"/>
  <c r="ED856" i="4" s="1"/>
  <c r="ED838" i="4"/>
  <c r="CE569" i="4"/>
  <c r="CB729" i="4"/>
  <c r="CB932" i="4" s="1"/>
  <c r="BZ735" i="4"/>
  <c r="BZ781" i="4" s="1"/>
  <c r="BZ938" i="4"/>
  <c r="BZ902" i="4"/>
  <c r="CB711" i="4"/>
  <c r="DS70" i="4"/>
  <c r="DS51" i="4"/>
  <c r="DS6" i="4" s="1"/>
  <c r="DS60" i="4"/>
  <c r="DP72" i="4"/>
  <c r="DP62" i="4"/>
  <c r="BZ676" i="4"/>
  <c r="DJ160" i="4"/>
  <c r="DK154" i="4"/>
  <c r="DK155" i="4" s="1"/>
  <c r="DJ155" i="4"/>
  <c r="CB628" i="4"/>
  <c r="CC894" i="4"/>
  <c r="CC884" i="4"/>
  <c r="CC885" i="4" s="1"/>
  <c r="EN273" i="2"/>
  <c r="CC878" i="4"/>
  <c r="CC879" i="4" s="1"/>
  <c r="CB896" i="4"/>
  <c r="CE859" i="4"/>
  <c r="CD955" i="4"/>
  <c r="DV798" i="4"/>
  <c r="DU797" i="4"/>
  <c r="CC890" i="4"/>
  <c r="CC891" i="4" s="1"/>
  <c r="CB879" i="4"/>
  <c r="CB897" i="4" s="1"/>
  <c r="CG883" i="4"/>
  <c r="CD876" i="4"/>
  <c r="CB632" i="4"/>
  <c r="CB620" i="4"/>
  <c r="CB586" i="4"/>
  <c r="CO649" i="4"/>
  <c r="CB710" i="4"/>
  <c r="CE568" i="4"/>
  <c r="CD882" i="4"/>
  <c r="DR150" i="3"/>
  <c r="CG812" i="4"/>
  <c r="CG818" i="4" s="1"/>
  <c r="CF818" i="4"/>
  <c r="CD625" i="4"/>
  <c r="CD637" i="4"/>
  <c r="CA733" i="4"/>
  <c r="CA700" i="4"/>
  <c r="CA936" i="4"/>
  <c r="CA900" i="4"/>
  <c r="CE589" i="4"/>
  <c r="CE583" i="4" s="1"/>
  <c r="CF567" i="4"/>
  <c r="DS266" i="2"/>
  <c r="DS171" i="3" s="1"/>
  <c r="DT335" i="2"/>
  <c r="DT342" i="2"/>
  <c r="ER842" i="4"/>
  <c r="EQ824" i="4"/>
  <c r="CC667" i="4"/>
  <c r="CD667" i="4" s="1"/>
  <c r="CD709" i="4" s="1"/>
  <c r="CI498" i="2"/>
  <c r="CH504" i="2"/>
  <c r="CH500" i="2"/>
  <c r="CH497" i="2"/>
  <c r="CH499" i="2"/>
  <c r="CC655" i="4"/>
  <c r="CC942" i="4"/>
  <c r="CC661" i="4"/>
  <c r="CC703" i="4" s="1"/>
  <c r="CC906" i="4" s="1"/>
  <c r="CM652" i="4"/>
  <c r="CH514" i="2"/>
  <c r="CG515" i="2"/>
  <c r="CA724" i="4"/>
  <c r="CA927" i="4" s="1"/>
  <c r="DT58" i="4"/>
  <c r="DT68" i="4"/>
  <c r="DY385" i="2"/>
  <c r="DY396" i="2"/>
  <c r="DU400" i="2"/>
  <c r="CC584" i="4"/>
  <c r="DT150" i="3"/>
  <c r="CE819" i="4"/>
  <c r="CF813" i="4"/>
  <c r="CE751" i="4"/>
  <c r="CD754" i="4"/>
  <c r="CA734" i="4"/>
  <c r="CA780" i="4" s="1"/>
  <c r="CA937" i="4"/>
  <c r="CA901" i="4"/>
  <c r="CA658" i="4"/>
  <c r="CD570" i="4"/>
  <c r="CC867" i="4"/>
  <c r="CD864" i="4"/>
  <c r="BZ734" i="4"/>
  <c r="BZ780" i="4" s="1"/>
  <c r="BZ937" i="4"/>
  <c r="BZ901" i="4"/>
  <c r="CF753" i="4"/>
  <c r="CD860" i="4"/>
  <c r="CC956" i="4"/>
  <c r="DQ60" i="4"/>
  <c r="DQ70" i="4"/>
  <c r="BZ706" i="4"/>
  <c r="BZ909" i="4" s="1"/>
  <c r="CB709" i="4"/>
  <c r="CB670" i="4"/>
  <c r="CG865" i="4"/>
  <c r="CC638" i="4"/>
  <c r="CC686" i="4" s="1"/>
  <c r="CC728" i="4" s="1"/>
  <c r="CC931" i="4" s="1"/>
  <c r="CC626" i="4"/>
  <c r="CC668" i="4" s="1"/>
  <c r="CC710" i="4" s="1"/>
  <c r="DS231" i="2"/>
  <c r="DS169" i="3" s="1"/>
  <c r="DT341" i="2"/>
  <c r="DT614" i="2"/>
  <c r="DT333" i="2"/>
  <c r="DT244" i="2"/>
  <c r="AC48" i="9" s="1"/>
  <c r="DN202" i="3"/>
  <c r="DM213" i="2"/>
  <c r="DM202" i="3" s="1"/>
  <c r="CE889" i="4"/>
  <c r="DN72" i="4"/>
  <c r="CO691" i="4"/>
  <c r="CG871" i="4"/>
  <c r="DO62" i="4"/>
  <c r="DO72" i="4"/>
  <c r="DQ51" i="4"/>
  <c r="CO651" i="4"/>
  <c r="CP650" i="4"/>
  <c r="DR51" i="4"/>
  <c r="DR6" i="4" s="1"/>
  <c r="DR70" i="4"/>
  <c r="DR60" i="4"/>
  <c r="DT49" i="4"/>
  <c r="EP416" i="2"/>
  <c r="BZ724" i="4"/>
  <c r="BZ927" i="4" s="1"/>
  <c r="CB715" i="4"/>
  <c r="DR161" i="4"/>
  <c r="CC673" i="4"/>
  <c r="CC679" i="4"/>
  <c r="CC721" i="4" s="1"/>
  <c r="CB728" i="4"/>
  <c r="DT334" i="2"/>
  <c r="DS236" i="2"/>
  <c r="DS170" i="3" s="1"/>
  <c r="DT338" i="2"/>
  <c r="CC873" i="4"/>
  <c r="CD870" i="4"/>
  <c r="BZ700" i="4"/>
  <c r="BZ733" i="4"/>
  <c r="BZ936" i="4"/>
  <c r="BZ900" i="4"/>
  <c r="EM824" i="4"/>
  <c r="EM842" i="4" s="1"/>
  <c r="EN842" i="4"/>
  <c r="DP214" i="2"/>
  <c r="DQ213" i="2"/>
  <c r="CE872" i="4"/>
  <c r="CM752" i="4"/>
  <c r="CX645" i="4"/>
  <c r="CA718" i="4"/>
  <c r="CA921" i="4" s="1"/>
  <c r="CA918" i="4"/>
  <c r="EC396" i="2"/>
  <c r="EC385" i="2"/>
  <c r="CB688" i="4"/>
  <c r="CE877" i="4"/>
  <c r="CD895" i="4"/>
  <c r="BZ742" i="4"/>
  <c r="BZ788" i="4" s="1"/>
  <c r="BZ915" i="4"/>
  <c r="CC861" i="4"/>
  <c r="CC954" i="4"/>
  <c r="CD858" i="4"/>
  <c r="CD590" i="4"/>
  <c r="DJ643" i="4"/>
  <c r="CB924" i="4"/>
  <c r="CO693" i="4"/>
  <c r="CQ644" i="4"/>
  <c r="CD583" i="4"/>
  <c r="CH811" i="4"/>
  <c r="CI810" i="4"/>
  <c r="CH816" i="4"/>
  <c r="CB697" i="4"/>
  <c r="CA706" i="4"/>
  <c r="CA909" i="4" s="1"/>
  <c r="CC727" i="4"/>
  <c r="EA396" i="2"/>
  <c r="EA385" i="2"/>
  <c r="BZ718" i="4"/>
  <c r="BZ921" i="4" s="1"/>
  <c r="BZ918" i="4"/>
  <c r="CH692" i="4"/>
  <c r="CD685" i="4"/>
  <c r="CE866" i="4"/>
  <c r="CD888" i="4"/>
  <c r="DW767" i="4" l="1"/>
  <c r="DX767" i="4"/>
  <c r="DX768" i="4" s="1"/>
  <c r="DW400" i="2"/>
  <c r="DT773" i="4"/>
  <c r="DT769" i="4" s="1"/>
  <c r="DT761" i="4" s="1"/>
  <c r="DT762" i="4"/>
  <c r="DW762" i="4"/>
  <c r="DT791" i="4"/>
  <c r="DJ7" i="4"/>
  <c r="DJ8" i="4" s="1"/>
  <c r="EY828" i="4"/>
  <c r="EY829" i="4" s="1"/>
  <c r="EY830" i="4" s="1"/>
  <c r="EY831" i="4" s="1"/>
  <c r="EY840" i="4"/>
  <c r="EY846" i="4" s="1"/>
  <c r="EY847" i="4" s="1"/>
  <c r="EY848" i="4" s="1"/>
  <c r="EY849" i="4" s="1"/>
  <c r="FA842" i="4"/>
  <c r="EZ824" i="4"/>
  <c r="FA841" i="4"/>
  <c r="EZ823" i="4"/>
  <c r="DW154" i="3"/>
  <c r="DR774" i="4"/>
  <c r="DR795" i="4" s="1"/>
  <c r="DT165" i="3"/>
  <c r="EA77" i="2"/>
  <c r="EC77" i="2" s="1"/>
  <c r="DY77" i="2"/>
  <c r="DK634" i="2"/>
  <c r="DK636" i="2" s="1"/>
  <c r="DK639" i="2" s="1"/>
  <c r="DK642" i="2" s="1"/>
  <c r="DK307" i="2"/>
  <c r="Z61" i="9"/>
  <c r="Z60" i="9" s="1"/>
  <c r="DJ305" i="2"/>
  <c r="DJ634" i="2" s="1"/>
  <c r="DJ636" i="2" s="1"/>
  <c r="DJ639" i="2" s="1"/>
  <c r="DJ642" i="2" s="1"/>
  <c r="DQ271" i="2"/>
  <c r="DO269" i="2"/>
  <c r="AA57" i="9"/>
  <c r="DN327" i="2"/>
  <c r="DN328" i="2"/>
  <c r="K49" i="9" s="1"/>
  <c r="DN330" i="2"/>
  <c r="DN120" i="3"/>
  <c r="DN640" i="2"/>
  <c r="DN329" i="2"/>
  <c r="DN513" i="2"/>
  <c r="DN64" i="3"/>
  <c r="DM269" i="2"/>
  <c r="DN287" i="2"/>
  <c r="DR60" i="2"/>
  <c r="DR160" i="2"/>
  <c r="DR69" i="2"/>
  <c r="DH76" i="2"/>
  <c r="DH18" i="3"/>
  <c r="DW664" i="2"/>
  <c r="ED280" i="2"/>
  <c r="EB280" i="2"/>
  <c r="EC276" i="2"/>
  <c r="CJ141" i="2"/>
  <c r="CM141" i="2"/>
  <c r="CI140" i="2"/>
  <c r="DE414" i="2"/>
  <c r="DC415" i="2"/>
  <c r="DS138" i="2"/>
  <c r="DU138" i="2"/>
  <c r="DW138" i="2" s="1"/>
  <c r="DX138" i="2" s="1"/>
  <c r="DX139" i="2" s="1"/>
  <c r="DX140" i="2" s="1"/>
  <c r="DR142" i="2"/>
  <c r="DR143" i="2" s="1"/>
  <c r="DR146" i="2" s="1"/>
  <c r="DS142" i="2" s="1"/>
  <c r="DT142" i="2"/>
  <c r="DP140" i="2"/>
  <c r="DP141" i="2" s="1"/>
  <c r="DQ141" i="2"/>
  <c r="DA68" i="2"/>
  <c r="DB60" i="2"/>
  <c r="DB69" i="2"/>
  <c r="DB160" i="2"/>
  <c r="DA345" i="2"/>
  <c r="DA176" i="2"/>
  <c r="DA172" i="2"/>
  <c r="DA331" i="2"/>
  <c r="DA4" i="3"/>
  <c r="DA10" i="3" s="1"/>
  <c r="DA343" i="2"/>
  <c r="DA73" i="2"/>
  <c r="DA161" i="2"/>
  <c r="DA12" i="4"/>
  <c r="DE76" i="2"/>
  <c r="DE119" i="3"/>
  <c r="DE18" i="3"/>
  <c r="DF154" i="2"/>
  <c r="DC178" i="2"/>
  <c r="DC4" i="3"/>
  <c r="DC10" i="3" s="1"/>
  <c r="DC331" i="2"/>
  <c r="DC343" i="2"/>
  <c r="DC345" i="2"/>
  <c r="DC154" i="2"/>
  <c r="DC68" i="2"/>
  <c r="DC172" i="2"/>
  <c r="DC161" i="2"/>
  <c r="DC73" i="2"/>
  <c r="DC12" i="4"/>
  <c r="W23" i="9"/>
  <c r="W27" i="9" s="1"/>
  <c r="W29" i="9" s="1"/>
  <c r="G32" i="9"/>
  <c r="G42" i="9"/>
  <c r="T20" i="9"/>
  <c r="DU800" i="4"/>
  <c r="AC47" i="9"/>
  <c r="EX270" i="2"/>
  <c r="EY270" i="2" s="1"/>
  <c r="FA270" i="2" s="1"/>
  <c r="EZ270" i="2" s="1"/>
  <c r="EX841" i="4"/>
  <c r="EW823" i="4"/>
  <c r="EV759" i="4"/>
  <c r="EY759" i="4" s="1"/>
  <c r="ET842" i="4"/>
  <c r="ES824" i="4"/>
  <c r="ES842" i="4" s="1"/>
  <c r="EV840" i="4"/>
  <c r="EV846" i="4" s="1"/>
  <c r="EV847" i="4" s="1"/>
  <c r="EV848" i="4" s="1"/>
  <c r="EV849" i="4" s="1"/>
  <c r="EV828" i="4"/>
  <c r="EV829" i="4" s="1"/>
  <c r="EV830" i="4" s="1"/>
  <c r="EV831" i="4" s="1"/>
  <c r="ES273" i="2"/>
  <c r="EQ273" i="2"/>
  <c r="ES823" i="4"/>
  <c r="ES841" i="4" s="1"/>
  <c r="ET841" i="4"/>
  <c r="EX842" i="4"/>
  <c r="EW824" i="4"/>
  <c r="DT166" i="3"/>
  <c r="DU37" i="4"/>
  <c r="CC410" i="2"/>
  <c r="CG441" i="2"/>
  <c r="CE410" i="2"/>
  <c r="CE409" i="2"/>
  <c r="CE397" i="2" s="1"/>
  <c r="CE411" i="2"/>
  <c r="CE472" i="2" s="1"/>
  <c r="CB11" i="2"/>
  <c r="CB14" i="2"/>
  <c r="CC411" i="2"/>
  <c r="CC472" i="2" s="1"/>
  <c r="CD472" i="2"/>
  <c r="CB20" i="2"/>
  <c r="CD397" i="2"/>
  <c r="CD25" i="2" s="1"/>
  <c r="CC409" i="2"/>
  <c r="CC397" i="2" s="1"/>
  <c r="DS185" i="2"/>
  <c r="DT6" i="4"/>
  <c r="DT312" i="4"/>
  <c r="DO443" i="4"/>
  <c r="DJ443" i="4"/>
  <c r="DK442" i="4"/>
  <c r="DK443" i="4" s="1"/>
  <c r="DT310" i="4"/>
  <c r="DR443" i="4"/>
  <c r="DT306" i="4"/>
  <c r="DT307" i="4"/>
  <c r="DR315" i="4"/>
  <c r="DT313" i="4"/>
  <c r="DT315" i="4" s="1"/>
  <c r="DT214" i="4"/>
  <c r="DT215" i="4"/>
  <c r="CD687" i="4"/>
  <c r="DT220" i="4"/>
  <c r="DT222" i="4" s="1"/>
  <c r="DS221" i="4"/>
  <c r="DS222" i="4"/>
  <c r="DK221" i="4"/>
  <c r="DT218" i="4"/>
  <c r="DU665" i="2"/>
  <c r="DU122" i="4"/>
  <c r="DV665" i="2"/>
  <c r="DR222" i="4"/>
  <c r="DR221" i="4"/>
  <c r="DI430" i="4"/>
  <c r="DI435" i="4"/>
  <c r="DI436" i="4" s="1"/>
  <c r="DJ439" i="4"/>
  <c r="DK438" i="4"/>
  <c r="DK439" i="4" s="1"/>
  <c r="DJ449" i="4"/>
  <c r="DK448" i="4"/>
  <c r="DK449" i="4" s="1"/>
  <c r="DN441" i="4"/>
  <c r="DQ770" i="4"/>
  <c r="DQ800" i="4"/>
  <c r="DN774" i="4"/>
  <c r="DT793" i="4"/>
  <c r="DR450" i="4"/>
  <c r="DL430" i="4"/>
  <c r="DL435" i="4"/>
  <c r="DJ451" i="4"/>
  <c r="DJ454" i="4"/>
  <c r="DK450" i="4"/>
  <c r="DK451" i="4" s="1"/>
  <c r="EG758" i="4"/>
  <c r="EF758" i="4"/>
  <c r="DT770" i="4"/>
  <c r="EA762" i="4"/>
  <c r="EC760" i="4"/>
  <c r="DQ771" i="4"/>
  <c r="DO432" i="4"/>
  <c r="DR210" i="4"/>
  <c r="EB762" i="4"/>
  <c r="DN209" i="4"/>
  <c r="DN210" i="4" s="1"/>
  <c r="DM210" i="4"/>
  <c r="DO451" i="4"/>
  <c r="DO434" i="4"/>
  <c r="DJ441" i="4"/>
  <c r="DJ444" i="4"/>
  <c r="DK440" i="4"/>
  <c r="DK441" i="4" s="1"/>
  <c r="DO441" i="4"/>
  <c r="DJ432" i="4"/>
  <c r="DK431" i="4"/>
  <c r="DK432" i="4" s="1"/>
  <c r="DZ762" i="4"/>
  <c r="DZ791" i="4"/>
  <c r="DK771" i="4"/>
  <c r="DK800" i="4"/>
  <c r="DO801" i="4" s="1"/>
  <c r="DW801" i="4" s="1"/>
  <c r="DK770" i="4"/>
  <c r="EE765" i="4"/>
  <c r="EB768" i="4"/>
  <c r="EB773" i="4" s="1"/>
  <c r="EB774" i="4" s="1"/>
  <c r="EB795" i="4" s="1"/>
  <c r="DQ773" i="4"/>
  <c r="DQ774" i="4" s="1"/>
  <c r="EK767" i="4"/>
  <c r="EN767" i="4" s="1"/>
  <c r="DR440" i="4"/>
  <c r="DR335" i="4"/>
  <c r="DX770" i="4"/>
  <c r="DY769" i="4"/>
  <c r="DY761" i="4" s="1"/>
  <c r="DY774" i="4"/>
  <c r="DY795" i="4" s="1"/>
  <c r="DO429" i="4"/>
  <c r="DR434" i="4"/>
  <c r="EH757" i="4"/>
  <c r="EE760" i="4"/>
  <c r="DX773" i="4"/>
  <c r="DR432" i="4"/>
  <c r="EK759" i="4"/>
  <c r="EI759" i="4"/>
  <c r="ED765" i="4"/>
  <c r="EC765" i="4"/>
  <c r="DV769" i="4"/>
  <c r="DV761" i="4" s="1"/>
  <c r="DV774" i="4"/>
  <c r="DV795" i="4" s="1"/>
  <c r="DJ434" i="4"/>
  <c r="DK433" i="4"/>
  <c r="DK434" i="4" s="1"/>
  <c r="EG757" i="4"/>
  <c r="EF757" i="4"/>
  <c r="ED760" i="4"/>
  <c r="DP209" i="4"/>
  <c r="DP181" i="4"/>
  <c r="DQ180" i="4"/>
  <c r="DQ181" i="4" s="1"/>
  <c r="DZ768" i="4"/>
  <c r="DZ773" i="4" s="1"/>
  <c r="DY770" i="4"/>
  <c r="DN770" i="4"/>
  <c r="DU770" i="4"/>
  <c r="DW768" i="4"/>
  <c r="DU773" i="4"/>
  <c r="DU774" i="4" s="1"/>
  <c r="DU795" i="4" s="1"/>
  <c r="DI480" i="4"/>
  <c r="DI489" i="4"/>
  <c r="DI157" i="4" s="1"/>
  <c r="DI484" i="4"/>
  <c r="EG766" i="4"/>
  <c r="EF766" i="4"/>
  <c r="EA767" i="4"/>
  <c r="EA768" i="4" s="1"/>
  <c r="DZ767" i="4"/>
  <c r="EQ841" i="4"/>
  <c r="EP823" i="4"/>
  <c r="EP841" i="4" s="1"/>
  <c r="CC896" i="4"/>
  <c r="CC688" i="4"/>
  <c r="CE570" i="4"/>
  <c r="CC730" i="4"/>
  <c r="CC933" i="4" s="1"/>
  <c r="CD686" i="4"/>
  <c r="CD729" i="4"/>
  <c r="CD669" i="4"/>
  <c r="CD711" i="4" s="1"/>
  <c r="CD914" i="4" s="1"/>
  <c r="CC957" i="4"/>
  <c r="CE591" i="4"/>
  <c r="CE585" i="4" s="1"/>
  <c r="CF569" i="4"/>
  <c r="CC741" i="4"/>
  <c r="CC787" i="4" s="1"/>
  <c r="CC950" i="4"/>
  <c r="CC914" i="4"/>
  <c r="EO843" i="4"/>
  <c r="EO856" i="4" s="1"/>
  <c r="EO838" i="4"/>
  <c r="ER825" i="4"/>
  <c r="EU825" i="4" s="1"/>
  <c r="EN825" i="4"/>
  <c r="CB741" i="4"/>
  <c r="CB787" i="4" s="1"/>
  <c r="CB950" i="4"/>
  <c r="CB914" i="4"/>
  <c r="CC633" i="4"/>
  <c r="CC621" i="4"/>
  <c r="EK838" i="4"/>
  <c r="EK843" i="4"/>
  <c r="EK856" i="4" s="1"/>
  <c r="EJ825" i="4"/>
  <c r="EG838" i="4"/>
  <c r="EG843" i="4"/>
  <c r="EG856" i="4" s="1"/>
  <c r="CD639" i="4"/>
  <c r="CD627" i="4"/>
  <c r="CB675" i="4"/>
  <c r="CB717" i="4" s="1"/>
  <c r="CB920" i="4" s="1"/>
  <c r="CB681" i="4"/>
  <c r="CB723" i="4" s="1"/>
  <c r="CB926" i="4" s="1"/>
  <c r="CD585" i="4"/>
  <c r="CB663" i="4"/>
  <c r="CB705" i="4" s="1"/>
  <c r="CB908" i="4" s="1"/>
  <c r="CB944" i="4"/>
  <c r="CB657" i="4"/>
  <c r="CB699" i="4" s="1"/>
  <c r="DJ161" i="4"/>
  <c r="DK160" i="4"/>
  <c r="DS62" i="4"/>
  <c r="DS72" i="4"/>
  <c r="CE955" i="4"/>
  <c r="CF859" i="4"/>
  <c r="CD878" i="4"/>
  <c r="CD879" i="4" s="1"/>
  <c r="CC897" i="4"/>
  <c r="EM363" i="4"/>
  <c r="CD884" i="4"/>
  <c r="CD885" i="4" s="1"/>
  <c r="CD890" i="4"/>
  <c r="CD891" i="4" s="1"/>
  <c r="CC932" i="4"/>
  <c r="DW798" i="4"/>
  <c r="DV797" i="4"/>
  <c r="DV800" i="4" s="1"/>
  <c r="CE619" i="4"/>
  <c r="CE631" i="4"/>
  <c r="CD626" i="4"/>
  <c r="CD638" i="4"/>
  <c r="DQ202" i="3"/>
  <c r="DP213" i="2"/>
  <c r="DP202" i="3" s="1"/>
  <c r="CB739" i="4"/>
  <c r="CB785" i="4" s="1"/>
  <c r="CB712" i="4"/>
  <c r="CB948" i="4"/>
  <c r="CB912" i="4"/>
  <c r="CE888" i="4"/>
  <c r="CJ810" i="4"/>
  <c r="CI816" i="4"/>
  <c r="CR644" i="4"/>
  <c r="ED374" i="2"/>
  <c r="EF374" i="2"/>
  <c r="EC384" i="2"/>
  <c r="DS166" i="3"/>
  <c r="DS338" i="2"/>
  <c r="DS334" i="2"/>
  <c r="CH871" i="4"/>
  <c r="CC949" i="4"/>
  <c r="CC740" i="4"/>
  <c r="CC786" i="4" s="1"/>
  <c r="CC913" i="4"/>
  <c r="CF751" i="4"/>
  <c r="CE754" i="4"/>
  <c r="DS335" i="2"/>
  <c r="DS342" i="2"/>
  <c r="DS167" i="3"/>
  <c r="CA736" i="4"/>
  <c r="CA782" i="4" s="1"/>
  <c r="CA779" i="4"/>
  <c r="CP649" i="4"/>
  <c r="BZ939" i="4"/>
  <c r="BZ903" i="4"/>
  <c r="CF866" i="4"/>
  <c r="CH812" i="4"/>
  <c r="CI811" i="4"/>
  <c r="CH817" i="4"/>
  <c r="CH883" i="4" s="1"/>
  <c r="CD728" i="4"/>
  <c r="CD931" i="4" s="1"/>
  <c r="CB931" i="4"/>
  <c r="ER416" i="2"/>
  <c r="ES416" i="2" s="1"/>
  <c r="CG753" i="4"/>
  <c r="CF819" i="4"/>
  <c r="CG813" i="4"/>
  <c r="CG819" i="4" s="1"/>
  <c r="DY384" i="2"/>
  <c r="CI499" i="2"/>
  <c r="CJ498" i="2"/>
  <c r="CI497" i="2"/>
  <c r="CI504" i="2"/>
  <c r="CI500" i="2"/>
  <c r="CC628" i="4"/>
  <c r="CF589" i="4"/>
  <c r="CF583" i="4" s="1"/>
  <c r="CG567" i="4"/>
  <c r="CD592" i="4"/>
  <c r="CD640" i="4" s="1"/>
  <c r="CC924" i="4"/>
  <c r="CE876" i="4"/>
  <c r="CD956" i="4"/>
  <c r="CE860" i="4"/>
  <c r="EA384" i="2"/>
  <c r="EB374" i="2"/>
  <c r="CB733" i="4"/>
  <c r="CB936" i="4"/>
  <c r="CB900" i="4"/>
  <c r="CP693" i="4"/>
  <c r="BZ736" i="4"/>
  <c r="BZ782" i="4" s="1"/>
  <c r="BZ779" i="4"/>
  <c r="CB918" i="4"/>
  <c r="DT60" i="4"/>
  <c r="DT70" i="4"/>
  <c r="CP651" i="4"/>
  <c r="CF889" i="4"/>
  <c r="DS244" i="2"/>
  <c r="DS629" i="2" s="1"/>
  <c r="DT629" i="2"/>
  <c r="CH865" i="4"/>
  <c r="CC632" i="4"/>
  <c r="CC620" i="4"/>
  <c r="CC586" i="4"/>
  <c r="CC709" i="4"/>
  <c r="CC670" i="4"/>
  <c r="CD670" i="4" s="1"/>
  <c r="EQ842" i="4"/>
  <c r="EP824" i="4"/>
  <c r="EP842" i="4" s="1"/>
  <c r="CD631" i="4"/>
  <c r="CD619" i="4"/>
  <c r="DK643" i="4"/>
  <c r="CC697" i="4"/>
  <c r="CE637" i="4"/>
  <c r="CE685" i="4" s="1"/>
  <c r="CE625" i="4"/>
  <c r="CE882" i="4"/>
  <c r="CB943" i="4"/>
  <c r="CB656" i="4"/>
  <c r="CB662" i="4"/>
  <c r="CB704" i="4" s="1"/>
  <c r="CB622" i="4"/>
  <c r="CB664" i="4" s="1"/>
  <c r="CY645" i="4"/>
  <c r="CN752" i="4"/>
  <c r="CF872" i="4"/>
  <c r="DT340" i="2"/>
  <c r="DT339" i="2"/>
  <c r="CC715" i="4"/>
  <c r="CD727" i="4"/>
  <c r="CD930" i="4" s="1"/>
  <c r="DQ62" i="4"/>
  <c r="DQ72" i="4"/>
  <c r="CE864" i="4"/>
  <c r="CH515" i="2"/>
  <c r="CI514" i="2"/>
  <c r="DT247" i="2"/>
  <c r="AC49" i="9" s="1"/>
  <c r="DT42" i="3"/>
  <c r="DW44" i="3" s="1"/>
  <c r="DS249" i="2"/>
  <c r="DS42" i="3" s="1"/>
  <c r="DS44" i="3" s="1"/>
  <c r="DR152" i="3"/>
  <c r="DS150" i="3" s="1"/>
  <c r="CE590" i="4"/>
  <c r="CE584" i="4" s="1"/>
  <c r="CF568" i="4"/>
  <c r="CD668" i="4"/>
  <c r="CD710" i="4" s="1"/>
  <c r="CB674" i="4"/>
  <c r="CB680" i="4"/>
  <c r="CB722" i="4" s="1"/>
  <c r="CB634" i="4"/>
  <c r="CB682" i="4" s="1"/>
  <c r="CQ650" i="4"/>
  <c r="CC930" i="4"/>
  <c r="CI692" i="4"/>
  <c r="CD861" i="4"/>
  <c r="CD954" i="4"/>
  <c r="CE858" i="4"/>
  <c r="CF877" i="4"/>
  <c r="CE895" i="4"/>
  <c r="CE870" i="4"/>
  <c r="CD912" i="4"/>
  <c r="CD873" i="4"/>
  <c r="DT51" i="4"/>
  <c r="DR62" i="4"/>
  <c r="DR72" i="4"/>
  <c r="CB730" i="4"/>
  <c r="CP691" i="4"/>
  <c r="DS614" i="2"/>
  <c r="DS333" i="2"/>
  <c r="DS341" i="2"/>
  <c r="DS165" i="3"/>
  <c r="CD867" i="4"/>
  <c r="CD894" i="4"/>
  <c r="CN652" i="4"/>
  <c r="CA939" i="4"/>
  <c r="CA903" i="4"/>
  <c r="CD584" i="4"/>
  <c r="CB949" i="4"/>
  <c r="CB740" i="4"/>
  <c r="CB786" i="4" s="1"/>
  <c r="CB913" i="4"/>
  <c r="EY824" i="4" l="1"/>
  <c r="EY842" i="4" s="1"/>
  <c r="EZ842" i="4"/>
  <c r="EZ841" i="4"/>
  <c r="EY823" i="4"/>
  <c r="EY841" i="4" s="1"/>
  <c r="DV138" i="2"/>
  <c r="DW139" i="2"/>
  <c r="DW140" i="2" s="1"/>
  <c r="DN630" i="2"/>
  <c r="DN631" i="2" s="1"/>
  <c r="DN305" i="2"/>
  <c r="DM287" i="2"/>
  <c r="DM630" i="2" s="1"/>
  <c r="DM631" i="2" s="1"/>
  <c r="K47" i="9"/>
  <c r="DM329" i="2"/>
  <c r="DM64" i="3"/>
  <c r="DM66" i="3" s="1"/>
  <c r="DM327" i="2"/>
  <c r="DM328" i="2"/>
  <c r="DM640" i="2"/>
  <c r="DM120" i="3"/>
  <c r="DM513" i="2"/>
  <c r="EB77" i="2"/>
  <c r="ED77" i="2"/>
  <c r="EF77" i="2" s="1"/>
  <c r="DR271" i="2"/>
  <c r="DP271" i="2"/>
  <c r="DQ269" i="2"/>
  <c r="DN66" i="3"/>
  <c r="DH74" i="2"/>
  <c r="DG76" i="2"/>
  <c r="DG166" i="2" s="1"/>
  <c r="DH166" i="2"/>
  <c r="DR617" i="2"/>
  <c r="DR622" i="2" s="1"/>
  <c r="DR61" i="2"/>
  <c r="DR159" i="2"/>
  <c r="DR55" i="2"/>
  <c r="K48" i="9"/>
  <c r="DM330" i="2"/>
  <c r="DO640" i="2"/>
  <c r="DO120" i="3"/>
  <c r="DO64" i="3"/>
  <c r="DO66" i="3" s="1"/>
  <c r="DO327" i="2"/>
  <c r="DO330" i="2"/>
  <c r="DO513" i="2"/>
  <c r="DO329" i="2"/>
  <c r="DO328" i="2"/>
  <c r="DO287" i="2"/>
  <c r="DK324" i="2"/>
  <c r="DJ307" i="2"/>
  <c r="DJ324" i="2" s="1"/>
  <c r="ED276" i="2"/>
  <c r="EF280" i="2"/>
  <c r="EB276" i="2"/>
  <c r="CI141" i="2"/>
  <c r="CL141" i="2"/>
  <c r="DF414" i="2"/>
  <c r="DE415" i="2"/>
  <c r="DD415" i="2" s="1"/>
  <c r="DD414" i="2"/>
  <c r="DZ138" i="2"/>
  <c r="CF570" i="4"/>
  <c r="DC153" i="2"/>
  <c r="DC60" i="2"/>
  <c r="DC171" i="2"/>
  <c r="DF153" i="2"/>
  <c r="DC69" i="2"/>
  <c r="DC160" i="2"/>
  <c r="G36" i="9"/>
  <c r="G37" i="9" s="1"/>
  <c r="G34" i="9"/>
  <c r="DE166" i="2"/>
  <c r="DE74" i="2"/>
  <c r="DD76" i="2"/>
  <c r="DD166" i="2" s="1"/>
  <c r="DB55" i="2"/>
  <c r="DB617" i="2"/>
  <c r="DB622" i="2" s="1"/>
  <c r="DB644" i="2" s="1"/>
  <c r="DB346" i="2" s="1"/>
  <c r="DA60" i="2"/>
  <c r="DB159" i="2"/>
  <c r="DB61" i="2"/>
  <c r="DA171" i="2"/>
  <c r="DA160" i="2"/>
  <c r="DA69" i="2"/>
  <c r="CB945" i="4"/>
  <c r="N56" i="9"/>
  <c r="N57" i="9" s="1"/>
  <c r="EW842" i="4"/>
  <c r="EV824" i="4"/>
  <c r="EV842" i="4" s="1"/>
  <c r="EW270" i="2"/>
  <c r="EU416" i="2"/>
  <c r="EX825" i="4"/>
  <c r="FA825" i="4" s="1"/>
  <c r="EU843" i="4"/>
  <c r="EU856" i="4" s="1"/>
  <c r="ET825" i="4"/>
  <c r="EU838" i="4"/>
  <c r="EU273" i="2"/>
  <c r="EV823" i="4"/>
  <c r="EV841" i="4" s="1"/>
  <c r="EW841" i="4"/>
  <c r="CC25" i="2"/>
  <c r="CC400" i="2"/>
  <c r="CC398" i="2"/>
  <c r="CC154" i="3"/>
  <c r="CD154" i="3"/>
  <c r="CD398" i="2"/>
  <c r="CE400" i="2"/>
  <c r="CE20" i="2" s="1"/>
  <c r="CE398" i="2"/>
  <c r="CE25" i="2"/>
  <c r="CB27" i="2"/>
  <c r="CB222" i="3"/>
  <c r="CH441" i="2"/>
  <c r="CG410" i="2"/>
  <c r="CG409" i="2"/>
  <c r="CG411" i="2"/>
  <c r="DK161" i="4"/>
  <c r="DK7" i="4"/>
  <c r="CD688" i="4"/>
  <c r="DT774" i="4"/>
  <c r="DT795" i="4" s="1"/>
  <c r="DT221" i="4"/>
  <c r="DW665" i="2"/>
  <c r="DJ238" i="4"/>
  <c r="DK235" i="4"/>
  <c r="DK238" i="4"/>
  <c r="DJ429" i="4"/>
  <c r="DU769" i="4"/>
  <c r="DU761" i="4" s="1"/>
  <c r="DX774" i="4"/>
  <c r="DX795" i="4" s="1"/>
  <c r="EA770" i="4"/>
  <c r="EA773" i="4"/>
  <c r="EA774" i="4" s="1"/>
  <c r="EA795" i="4" s="1"/>
  <c r="EG765" i="4"/>
  <c r="EF765" i="4"/>
  <c r="EJ766" i="4"/>
  <c r="EI766" i="4"/>
  <c r="DI46" i="4"/>
  <c r="EL759" i="4"/>
  <c r="EN759" i="4"/>
  <c r="EF760" i="4"/>
  <c r="EE762" i="4"/>
  <c r="DS181" i="4"/>
  <c r="DS209" i="4"/>
  <c r="DT180" i="4"/>
  <c r="DT181" i="4" s="1"/>
  <c r="DM429" i="4"/>
  <c r="EI758" i="4"/>
  <c r="EJ758" i="4"/>
  <c r="DR451" i="4"/>
  <c r="ED762" i="4"/>
  <c r="EH765" i="4"/>
  <c r="EE768" i="4"/>
  <c r="EE773" i="4" s="1"/>
  <c r="EE774" i="4" s="1"/>
  <c r="EE795" i="4" s="1"/>
  <c r="DZ793" i="4"/>
  <c r="DZ769" i="4"/>
  <c r="DZ761" i="4" s="1"/>
  <c r="DP210" i="4"/>
  <c r="DQ209" i="4"/>
  <c r="DQ210" i="4" s="1"/>
  <c r="EJ757" i="4"/>
  <c r="EI757" i="4"/>
  <c r="EG760" i="4"/>
  <c r="EK757" i="4"/>
  <c r="EH760" i="4"/>
  <c r="DO430" i="4"/>
  <c r="DO435" i="4"/>
  <c r="DJ445" i="4"/>
  <c r="DK444" i="4"/>
  <c r="DR429" i="4"/>
  <c r="DR441" i="4"/>
  <c r="ED767" i="4"/>
  <c r="ED768" i="4" s="1"/>
  <c r="EC767" i="4"/>
  <c r="DZ770" i="4"/>
  <c r="DW793" i="4"/>
  <c r="DW770" i="4"/>
  <c r="DW773" i="4"/>
  <c r="DW774" i="4" s="1"/>
  <c r="DW795" i="4" s="1"/>
  <c r="DX769" i="4"/>
  <c r="DX761" i="4" s="1"/>
  <c r="EQ767" i="4"/>
  <c r="ET767" i="4" s="1"/>
  <c r="EW767" i="4" s="1"/>
  <c r="EZ767" i="4" s="1"/>
  <c r="EC768" i="4"/>
  <c r="EB770" i="4"/>
  <c r="EB769" i="4"/>
  <c r="EB761" i="4" s="1"/>
  <c r="EC762" i="4"/>
  <c r="EC791" i="4"/>
  <c r="DJ456" i="4"/>
  <c r="DK454" i="4"/>
  <c r="DL436" i="4"/>
  <c r="CD628" i="4"/>
  <c r="CD896" i="4"/>
  <c r="CD957" i="4"/>
  <c r="CD741" i="4"/>
  <c r="CD787" i="4" s="1"/>
  <c r="CE586" i="4"/>
  <c r="CD950" i="4"/>
  <c r="CD633" i="4"/>
  <c r="CD621" i="4"/>
  <c r="ER843" i="4"/>
  <c r="ER856" i="4" s="1"/>
  <c r="ER838" i="4"/>
  <c r="EQ825" i="4"/>
  <c r="CE621" i="4"/>
  <c r="CE633" i="4"/>
  <c r="CB735" i="4"/>
  <c r="CB781" i="4" s="1"/>
  <c r="CB938" i="4"/>
  <c r="CB902" i="4"/>
  <c r="CC663" i="4"/>
  <c r="CC705" i="4" s="1"/>
  <c r="CC908" i="4" s="1"/>
  <c r="CC657" i="4"/>
  <c r="CC699" i="4" s="1"/>
  <c r="CC944" i="4"/>
  <c r="CF591" i="4"/>
  <c r="CG591" i="4" s="1"/>
  <c r="CG569" i="4"/>
  <c r="EJ843" i="4"/>
  <c r="EJ856" i="4" s="1"/>
  <c r="EJ838" i="4"/>
  <c r="CC681" i="4"/>
  <c r="CC723" i="4" s="1"/>
  <c r="CC926" i="4" s="1"/>
  <c r="CC675" i="4"/>
  <c r="CC717" i="4" s="1"/>
  <c r="CC920" i="4" s="1"/>
  <c r="EM825" i="4"/>
  <c r="EN843" i="4"/>
  <c r="EN856" i="4" s="1"/>
  <c r="EN838" i="4"/>
  <c r="CE627" i="4"/>
  <c r="CE669" i="4" s="1"/>
  <c r="CE639" i="4"/>
  <c r="CE687" i="4" s="1"/>
  <c r="CD897" i="4"/>
  <c r="DX798" i="4"/>
  <c r="DW797" i="4"/>
  <c r="DW800" i="4" s="1"/>
  <c r="CF955" i="4"/>
  <c r="CG859" i="4"/>
  <c r="CE884" i="4"/>
  <c r="CE885" i="4" s="1"/>
  <c r="CD932" i="4"/>
  <c r="CE890" i="4"/>
  <c r="CE891" i="4" s="1"/>
  <c r="CE878" i="4"/>
  <c r="CE879" i="4" s="1"/>
  <c r="EN363" i="4"/>
  <c r="CF631" i="4"/>
  <c r="CF619" i="4"/>
  <c r="CF870" i="4"/>
  <c r="CE873" i="4"/>
  <c r="CQ691" i="4"/>
  <c r="CF876" i="4"/>
  <c r="CH567" i="4"/>
  <c r="CH813" i="4"/>
  <c r="CH818" i="4"/>
  <c r="CI812" i="4"/>
  <c r="CK810" i="4"/>
  <c r="CJ816" i="4"/>
  <c r="CB742" i="4"/>
  <c r="CB788" i="4" s="1"/>
  <c r="CB915" i="4"/>
  <c r="CD730" i="4"/>
  <c r="CD933" i="4" s="1"/>
  <c r="CB933" i="4"/>
  <c r="CB716" i="4"/>
  <c r="CB676" i="4"/>
  <c r="CE620" i="4"/>
  <c r="CE632" i="4"/>
  <c r="CG589" i="4"/>
  <c r="CG583" i="4" s="1"/>
  <c r="CD942" i="4"/>
  <c r="CD655" i="4"/>
  <c r="CD661" i="4"/>
  <c r="CD703" i="4" s="1"/>
  <c r="CC739" i="4"/>
  <c r="CC785" i="4" s="1"/>
  <c r="CC948" i="4"/>
  <c r="CC951" i="4" s="1"/>
  <c r="CC712" i="4"/>
  <c r="CC912" i="4"/>
  <c r="EB385" i="2"/>
  <c r="EB396" i="2"/>
  <c r="CD620" i="4"/>
  <c r="CD632" i="4"/>
  <c r="CD949" i="4"/>
  <c r="CD740" i="4"/>
  <c r="CD786" i="4" s="1"/>
  <c r="CD913" i="4"/>
  <c r="CE626" i="4"/>
  <c r="CE668" i="4" s="1"/>
  <c r="CE638" i="4"/>
  <c r="CE686" i="4" s="1"/>
  <c r="DT633" i="2"/>
  <c r="DS247" i="2"/>
  <c r="DS633" i="2" s="1"/>
  <c r="DT263" i="2"/>
  <c r="AC55" i="9" s="1"/>
  <c r="AC54" i="9" s="1"/>
  <c r="CG872" i="4"/>
  <c r="CE592" i="4"/>
  <c r="CE640" i="4" s="1"/>
  <c r="CD673" i="4"/>
  <c r="CD679" i="4"/>
  <c r="CD721" i="4" s="1"/>
  <c r="CC943" i="4"/>
  <c r="CC656" i="4"/>
  <c r="CC662" i="4"/>
  <c r="CC704" i="4" s="1"/>
  <c r="CC622" i="4"/>
  <c r="CC664" i="4" s="1"/>
  <c r="CG889" i="4"/>
  <c r="CB779" i="4"/>
  <c r="CD712" i="4"/>
  <c r="CO652" i="4"/>
  <c r="CJ514" i="2"/>
  <c r="CI515" i="2"/>
  <c r="CZ645" i="4"/>
  <c r="CE667" i="4"/>
  <c r="CC674" i="4"/>
  <c r="CC680" i="4"/>
  <c r="CC722" i="4" s="1"/>
  <c r="CC634" i="4"/>
  <c r="CC682" i="4" s="1"/>
  <c r="CD948" i="4"/>
  <c r="CG866" i="4"/>
  <c r="CG751" i="4"/>
  <c r="CF754" i="4"/>
  <c r="EF396" i="2"/>
  <c r="EF385" i="2"/>
  <c r="CE727" i="4"/>
  <c r="CE930" i="4" s="1"/>
  <c r="CF625" i="4"/>
  <c r="CF637" i="4"/>
  <c r="CF685" i="4" s="1"/>
  <c r="CJ499" i="2"/>
  <c r="CK498" i="2"/>
  <c r="CJ504" i="2"/>
  <c r="CJ500" i="2"/>
  <c r="CJ497" i="2"/>
  <c r="CD739" i="4"/>
  <c r="CD785" i="4" s="1"/>
  <c r="ED385" i="2"/>
  <c r="ED396" i="2"/>
  <c r="CS644" i="4"/>
  <c r="CG877" i="4"/>
  <c r="CF895" i="4"/>
  <c r="CF864" i="4"/>
  <c r="CE867" i="4"/>
  <c r="DT62" i="4"/>
  <c r="DT72" i="4"/>
  <c r="CJ692" i="4"/>
  <c r="CR650" i="4"/>
  <c r="DT44" i="3"/>
  <c r="CC918" i="4"/>
  <c r="CO752" i="4"/>
  <c r="CB907" i="4"/>
  <c r="CB706" i="4"/>
  <c r="CB909" i="4" s="1"/>
  <c r="DL643" i="4"/>
  <c r="CQ651" i="4"/>
  <c r="CE956" i="4"/>
  <c r="CF860" i="4"/>
  <c r="CH753" i="4"/>
  <c r="CI871" i="4"/>
  <c r="DS340" i="2"/>
  <c r="DS339" i="2"/>
  <c r="CF888" i="4"/>
  <c r="CE673" i="4"/>
  <c r="CE679" i="4"/>
  <c r="CE721" i="4" s="1"/>
  <c r="CE924" i="4" s="1"/>
  <c r="CF882" i="4"/>
  <c r="CE861" i="4"/>
  <c r="CE954" i="4"/>
  <c r="CF858" i="4"/>
  <c r="CB925" i="4"/>
  <c r="CB724" i="4"/>
  <c r="CB927" i="4" s="1"/>
  <c r="CG568" i="4"/>
  <c r="CF590" i="4"/>
  <c r="CF584" i="4" s="1"/>
  <c r="CB698" i="4"/>
  <c r="CB658" i="4"/>
  <c r="CC733" i="4"/>
  <c r="CC936" i="4"/>
  <c r="CC900" i="4"/>
  <c r="CD586" i="4"/>
  <c r="CI865" i="4"/>
  <c r="CQ693" i="4"/>
  <c r="CJ811" i="4"/>
  <c r="CJ817" i="4" s="1"/>
  <c r="CI817" i="4"/>
  <c r="CI883" i="4" s="1"/>
  <c r="CQ649" i="4"/>
  <c r="CE894" i="4"/>
  <c r="CB951" i="4"/>
  <c r="CE655" i="4"/>
  <c r="CE942" i="4"/>
  <c r="CE661" i="4"/>
  <c r="CE703" i="4" s="1"/>
  <c r="CE906" i="4" s="1"/>
  <c r="EZ825" i="4" l="1"/>
  <c r="FA843" i="4"/>
  <c r="FA856" i="4" s="1"/>
  <c r="FA838" i="4"/>
  <c r="DW91" i="2"/>
  <c r="DO305" i="2"/>
  <c r="DO630" i="2"/>
  <c r="DO631" i="2" s="1"/>
  <c r="AB12" i="9"/>
  <c r="DR180" i="2"/>
  <c r="DR158" i="2"/>
  <c r="DR56" i="2"/>
  <c r="DT271" i="2"/>
  <c r="DR269" i="2"/>
  <c r="DR166" i="2" s="1"/>
  <c r="EG77" i="2"/>
  <c r="EI77" i="2" s="1"/>
  <c r="EE77" i="2"/>
  <c r="DM305" i="2"/>
  <c r="DM634" i="2" s="1"/>
  <c r="DM636" i="2" s="1"/>
  <c r="DM639" i="2" s="1"/>
  <c r="DM642" i="2" s="1"/>
  <c r="DN634" i="2"/>
  <c r="DN636" i="2" s="1"/>
  <c r="DN639" i="2" s="1"/>
  <c r="DN642" i="2" s="1"/>
  <c r="AA61" i="9"/>
  <c r="AA60" i="9" s="1"/>
  <c r="DN307" i="2"/>
  <c r="I31" i="9"/>
  <c r="DH619" i="2"/>
  <c r="DH621" i="2" s="1"/>
  <c r="DH479" i="2"/>
  <c r="DH480" i="2" s="1"/>
  <c r="DG74" i="2"/>
  <c r="DH72" i="2"/>
  <c r="AB57" i="9"/>
  <c r="DQ329" i="2"/>
  <c r="DQ330" i="2"/>
  <c r="DQ328" i="2"/>
  <c r="L49" i="9" s="1"/>
  <c r="DQ120" i="3"/>
  <c r="DQ64" i="3"/>
  <c r="DQ513" i="2"/>
  <c r="DQ640" i="2"/>
  <c r="DQ327" i="2"/>
  <c r="DP269" i="2"/>
  <c r="DQ287" i="2"/>
  <c r="EE280" i="2"/>
  <c r="EF276" i="2"/>
  <c r="EG280" i="2"/>
  <c r="DH414" i="2"/>
  <c r="DF415" i="2"/>
  <c r="DY138" i="2"/>
  <c r="EA138" i="2"/>
  <c r="EC138" i="2" s="1"/>
  <c r="DC170" i="2"/>
  <c r="DA617" i="2"/>
  <c r="DA622" i="2" s="1"/>
  <c r="DA644" i="2" s="1"/>
  <c r="DA346" i="2" s="1"/>
  <c r="DA170" i="2"/>
  <c r="DA61" i="2"/>
  <c r="DA159" i="2"/>
  <c r="H31" i="9"/>
  <c r="DD74" i="2"/>
  <c r="DE479" i="2"/>
  <c r="DE480" i="2" s="1"/>
  <c r="DE619" i="2"/>
  <c r="DE621" i="2" s="1"/>
  <c r="DE72" i="2"/>
  <c r="G27" i="9"/>
  <c r="DB180" i="2"/>
  <c r="DB158" i="2"/>
  <c r="DB56" i="2"/>
  <c r="DB53" i="2"/>
  <c r="DB332" i="2"/>
  <c r="DC617" i="2"/>
  <c r="DC622" i="2" s="1"/>
  <c r="DC644" i="2" s="1"/>
  <c r="DC346" i="2" s="1"/>
  <c r="DC152" i="2"/>
  <c r="DF152" i="2"/>
  <c r="DC159" i="2"/>
  <c r="DC61" i="2"/>
  <c r="ET273" i="2"/>
  <c r="EV273" i="2"/>
  <c r="EW825" i="4"/>
  <c r="EX843" i="4"/>
  <c r="EX856" i="4" s="1"/>
  <c r="EX838" i="4"/>
  <c r="EV416" i="2"/>
  <c r="ET838" i="4"/>
  <c r="ET843" i="4"/>
  <c r="ET856" i="4" s="1"/>
  <c r="ES825" i="4"/>
  <c r="CJ441" i="2"/>
  <c r="CH410" i="2"/>
  <c r="CH25" i="2" s="1"/>
  <c r="CH409" i="2"/>
  <c r="CH411" i="2"/>
  <c r="CC11" i="2"/>
  <c r="CC14" i="2"/>
  <c r="CF411" i="2"/>
  <c r="CF472" i="2" s="1"/>
  <c r="CG472" i="2"/>
  <c r="CD11" i="2"/>
  <c r="CD14" i="2"/>
  <c r="CC20" i="2"/>
  <c r="CD400" i="2"/>
  <c r="CD20" i="2" s="1"/>
  <c r="CG397" i="2"/>
  <c r="CG25" i="2" s="1"/>
  <c r="CF409" i="2"/>
  <c r="CF397" i="2" s="1"/>
  <c r="CB348" i="2"/>
  <c r="CF410" i="2"/>
  <c r="CE11" i="2"/>
  <c r="CE14" i="2"/>
  <c r="DV667" i="2"/>
  <c r="DU667" i="2"/>
  <c r="DU125" i="4"/>
  <c r="DU25" i="4"/>
  <c r="DW25" i="4" s="1"/>
  <c r="DW38" i="4" s="1"/>
  <c r="DJ430" i="4"/>
  <c r="DJ435" i="4"/>
  <c r="DK429" i="4"/>
  <c r="DK430" i="4" s="1"/>
  <c r="CD634" i="4"/>
  <c r="CD682" i="4" s="1"/>
  <c r="DW769" i="4"/>
  <c r="DW761" i="4" s="1"/>
  <c r="CD622" i="4"/>
  <c r="CD664" i="4" s="1"/>
  <c r="ED770" i="4"/>
  <c r="ED773" i="4"/>
  <c r="ED774" i="4" s="1"/>
  <c r="ED795" i="4" s="1"/>
  <c r="DK456" i="4"/>
  <c r="DJ483" i="4"/>
  <c r="EI760" i="4"/>
  <c r="EH762" i="4"/>
  <c r="EK765" i="4"/>
  <c r="EH768" i="4"/>
  <c r="EM758" i="4"/>
  <c r="EL758" i="4"/>
  <c r="DI57" i="4"/>
  <c r="DL57" i="4"/>
  <c r="DI47" i="4"/>
  <c r="DK445" i="4"/>
  <c r="DJ479" i="4"/>
  <c r="EN757" i="4"/>
  <c r="EK760" i="4"/>
  <c r="EM757" i="4"/>
  <c r="EL757" i="4"/>
  <c r="EJ760" i="4"/>
  <c r="EA769" i="4"/>
  <c r="EA761" i="4" s="1"/>
  <c r="EC793" i="4"/>
  <c r="EC770" i="4"/>
  <c r="DP429" i="4"/>
  <c r="DM430" i="4"/>
  <c r="DM435" i="4"/>
  <c r="DN429" i="4"/>
  <c r="DN430" i="4" s="1"/>
  <c r="EF791" i="4"/>
  <c r="EF762" i="4"/>
  <c r="EL766" i="4"/>
  <c r="EM766" i="4"/>
  <c r="DZ774" i="4"/>
  <c r="DZ795" i="4" s="1"/>
  <c r="EC773" i="4"/>
  <c r="EC774" i="4" s="1"/>
  <c r="EC795" i="4" s="1"/>
  <c r="EG767" i="4"/>
  <c r="EG768" i="4" s="1"/>
  <c r="EF767" i="4"/>
  <c r="DR430" i="4"/>
  <c r="DR435" i="4"/>
  <c r="DO436" i="4"/>
  <c r="EG762" i="4"/>
  <c r="EF768" i="4"/>
  <c r="EF773" i="4" s="1"/>
  <c r="EE770" i="4"/>
  <c r="EE769" i="4"/>
  <c r="EE761" i="4" s="1"/>
  <c r="DT209" i="4"/>
  <c r="DT210" i="4" s="1"/>
  <c r="DS210" i="4"/>
  <c r="EQ759" i="4"/>
  <c r="ET759" i="4" s="1"/>
  <c r="EO759" i="4"/>
  <c r="EJ765" i="4"/>
  <c r="EI765" i="4"/>
  <c r="CE622" i="4"/>
  <c r="CE664" i="4" s="1"/>
  <c r="CE634" i="4"/>
  <c r="CE682" i="4" s="1"/>
  <c r="CC945" i="4"/>
  <c r="CE896" i="4"/>
  <c r="CE688" i="4"/>
  <c r="CD951" i="4"/>
  <c r="CD742" i="4"/>
  <c r="CD788" i="4" s="1"/>
  <c r="CE711" i="4"/>
  <c r="EM838" i="4"/>
  <c r="EM843" i="4"/>
  <c r="EM856" i="4" s="1"/>
  <c r="CC735" i="4"/>
  <c r="CC781" i="4" s="1"/>
  <c r="CC938" i="4"/>
  <c r="CC902" i="4"/>
  <c r="CG627" i="4"/>
  <c r="CG639" i="4"/>
  <c r="CG585" i="4"/>
  <c r="CH569" i="4"/>
  <c r="CE681" i="4"/>
  <c r="CE723" i="4" s="1"/>
  <c r="CE926" i="4" s="1"/>
  <c r="CE675" i="4"/>
  <c r="CE717" i="4" s="1"/>
  <c r="CE920" i="4" s="1"/>
  <c r="CE628" i="4"/>
  <c r="CF585" i="4"/>
  <c r="CF586" i="4" s="1"/>
  <c r="CF627" i="4"/>
  <c r="CF669" i="4" s="1"/>
  <c r="CF711" i="4" s="1"/>
  <c r="CF639" i="4"/>
  <c r="CF687" i="4" s="1"/>
  <c r="CF729" i="4" s="1"/>
  <c r="CE657" i="4"/>
  <c r="CE699" i="4" s="1"/>
  <c r="CE944" i="4"/>
  <c r="CE663" i="4"/>
  <c r="CE705" i="4" s="1"/>
  <c r="CE908" i="4" s="1"/>
  <c r="CD663" i="4"/>
  <c r="CD705" i="4" s="1"/>
  <c r="CD908" i="4" s="1"/>
  <c r="CD944" i="4"/>
  <c r="CD657" i="4"/>
  <c r="CD699" i="4" s="1"/>
  <c r="CE729" i="4"/>
  <c r="EQ838" i="4"/>
  <c r="EQ843" i="4"/>
  <c r="EQ856" i="4" s="1"/>
  <c r="EP825" i="4"/>
  <c r="CD675" i="4"/>
  <c r="CD717" i="4" s="1"/>
  <c r="CD920" i="4" s="1"/>
  <c r="CD681" i="4"/>
  <c r="CD723" i="4" s="1"/>
  <c r="CD926" i="4" s="1"/>
  <c r="AC56" i="9"/>
  <c r="CE897" i="4"/>
  <c r="CH859" i="4"/>
  <c r="CG955" i="4"/>
  <c r="CD915" i="4"/>
  <c r="CF884" i="4"/>
  <c r="CF885" i="4" s="1"/>
  <c r="CF878" i="4"/>
  <c r="DY798" i="4"/>
  <c r="DX797" i="4"/>
  <c r="DX800" i="4" s="1"/>
  <c r="CF890" i="4"/>
  <c r="CF891" i="4" s="1"/>
  <c r="CG631" i="4"/>
  <c r="CG619" i="4"/>
  <c r="CJ883" i="4"/>
  <c r="CF632" i="4"/>
  <c r="CF620" i="4"/>
  <c r="CR693" i="4"/>
  <c r="CE697" i="4"/>
  <c r="EE374" i="2"/>
  <c r="ED384" i="2"/>
  <c r="CK504" i="2"/>
  <c r="CK500" i="2"/>
  <c r="CK499" i="2"/>
  <c r="CL498" i="2"/>
  <c r="CK497" i="2"/>
  <c r="CC925" i="4"/>
  <c r="CC724" i="4"/>
  <c r="CC927" i="4" s="1"/>
  <c r="CE670" i="4"/>
  <c r="CE709" i="4"/>
  <c r="CP652" i="4"/>
  <c r="CH889" i="4"/>
  <c r="CD715" i="4"/>
  <c r="CH872" i="4"/>
  <c r="CG590" i="4"/>
  <c r="EB384" i="2"/>
  <c r="CE943" i="4"/>
  <c r="CE656" i="4"/>
  <c r="CE698" i="4" s="1"/>
  <c r="CE662" i="4"/>
  <c r="CE704" i="4" s="1"/>
  <c r="CE907" i="4" s="1"/>
  <c r="CH819" i="4"/>
  <c r="CI813" i="4"/>
  <c r="CF873" i="4"/>
  <c r="CG870" i="4"/>
  <c r="CH568" i="4"/>
  <c r="CG888" i="4"/>
  <c r="CR651" i="4"/>
  <c r="CB734" i="4"/>
  <c r="CB937" i="4"/>
  <c r="CB901" i="4"/>
  <c r="CB700" i="4"/>
  <c r="CI753" i="4"/>
  <c r="EG374" i="2"/>
  <c r="EI374" i="2"/>
  <c r="EF384" i="2"/>
  <c r="CG754" i="4"/>
  <c r="CH751" i="4"/>
  <c r="CH866" i="4"/>
  <c r="CC716" i="4"/>
  <c r="CC676" i="4"/>
  <c r="CE710" i="4"/>
  <c r="CC742" i="4"/>
  <c r="CC788" i="4" s="1"/>
  <c r="CC915" i="4"/>
  <c r="CD906" i="4"/>
  <c r="CG876" i="4"/>
  <c r="CR691" i="4"/>
  <c r="CF655" i="4"/>
  <c r="CF942" i="4"/>
  <c r="CF661" i="4"/>
  <c r="CF703" i="4" s="1"/>
  <c r="CF906" i="4" s="1"/>
  <c r="CJ865" i="4"/>
  <c r="CC779" i="4"/>
  <c r="CF638" i="4"/>
  <c r="CF686" i="4" s="1"/>
  <c r="CF728" i="4" s="1"/>
  <c r="CF931" i="4" s="1"/>
  <c r="CF626" i="4"/>
  <c r="CF668" i="4" s="1"/>
  <c r="CF710" i="4" s="1"/>
  <c r="CJ871" i="4"/>
  <c r="CP752" i="4"/>
  <c r="CT644" i="4"/>
  <c r="CG882" i="4"/>
  <c r="CR649" i="4"/>
  <c r="CF861" i="4"/>
  <c r="CF954" i="4"/>
  <c r="CG858" i="4"/>
  <c r="DM643" i="4"/>
  <c r="CG864" i="4"/>
  <c r="CF867" i="4"/>
  <c r="CF592" i="4"/>
  <c r="CF640" i="4" s="1"/>
  <c r="CJ515" i="2"/>
  <c r="CK514" i="2"/>
  <c r="CB919" i="4"/>
  <c r="CB718" i="4"/>
  <c r="CB921" i="4" s="1"/>
  <c r="CI567" i="4"/>
  <c r="CH589" i="4"/>
  <c r="CH583" i="4" s="1"/>
  <c r="CF673" i="4"/>
  <c r="CF679" i="4"/>
  <c r="CF721" i="4" s="1"/>
  <c r="CF924" i="4" s="1"/>
  <c r="CD697" i="4"/>
  <c r="CK816" i="4"/>
  <c r="CK811" i="4"/>
  <c r="CL810" i="4"/>
  <c r="CG570" i="4"/>
  <c r="CK692" i="4"/>
  <c r="CF727" i="4"/>
  <c r="CD674" i="4"/>
  <c r="CD716" i="4" s="1"/>
  <c r="CD919" i="4" s="1"/>
  <c r="CD680" i="4"/>
  <c r="CD722" i="4" s="1"/>
  <c r="CD925" i="4" s="1"/>
  <c r="DY397" i="2"/>
  <c r="CE957" i="4"/>
  <c r="CE715" i="4"/>
  <c r="CF956" i="4"/>
  <c r="CG860" i="4"/>
  <c r="CS650" i="4"/>
  <c r="CH877" i="4"/>
  <c r="CG895" i="4"/>
  <c r="CF667" i="4"/>
  <c r="DA645" i="4"/>
  <c r="CC907" i="4"/>
  <c r="CC706" i="4"/>
  <c r="CC909" i="4" s="1"/>
  <c r="DR12" i="4"/>
  <c r="CD943" i="4"/>
  <c r="CD656" i="4"/>
  <c r="CD698" i="4" s="1"/>
  <c r="CD662" i="4"/>
  <c r="CD704" i="4" s="1"/>
  <c r="CD907" i="4" s="1"/>
  <c r="CJ812" i="4"/>
  <c r="CJ818" i="4" s="1"/>
  <c r="CI818" i="4"/>
  <c r="CG685" i="4"/>
  <c r="CF894" i="4"/>
  <c r="CC698" i="4"/>
  <c r="CC658" i="4"/>
  <c r="CD924" i="4"/>
  <c r="DS263" i="2"/>
  <c r="DT264" i="2"/>
  <c r="CE728" i="4"/>
  <c r="CG637" i="4"/>
  <c r="CG625" i="4"/>
  <c r="CE674" i="4"/>
  <c r="CE716" i="4" s="1"/>
  <c r="CE919" i="4" s="1"/>
  <c r="CE680" i="4"/>
  <c r="CE722" i="4" s="1"/>
  <c r="CE925" i="4" s="1"/>
  <c r="DX91" i="2" l="1"/>
  <c r="EY825" i="4"/>
  <c r="EZ843" i="4"/>
  <c r="EZ856" i="4" s="1"/>
  <c r="EZ838" i="4"/>
  <c r="DR345" i="2"/>
  <c r="L48" i="9"/>
  <c r="DP330" i="2"/>
  <c r="DU271" i="2"/>
  <c r="DW271" i="2" s="1"/>
  <c r="DX271" i="2" s="1"/>
  <c r="DX269" i="2" s="1"/>
  <c r="DS271" i="2"/>
  <c r="DT269" i="2"/>
  <c r="DP64" i="3"/>
  <c r="DP66" i="3" s="1"/>
  <c r="DP640" i="2"/>
  <c r="DP120" i="3"/>
  <c r="DP513" i="2"/>
  <c r="DP327" i="2"/>
  <c r="DP328" i="2"/>
  <c r="DQ66" i="3"/>
  <c r="DP329" i="2"/>
  <c r="L47" i="9"/>
  <c r="I29" i="9"/>
  <c r="DH343" i="2"/>
  <c r="I44" i="9" s="1"/>
  <c r="DH331" i="2"/>
  <c r="DH178" i="2"/>
  <c r="DG178" i="2" s="1"/>
  <c r="DH68" i="2"/>
  <c r="DG72" i="2"/>
  <c r="DH4" i="3"/>
  <c r="DH10" i="3" s="1"/>
  <c r="DH161" i="2"/>
  <c r="DH73" i="2"/>
  <c r="DF176" i="2"/>
  <c r="DH345" i="2"/>
  <c r="DH12" i="4"/>
  <c r="DG479" i="2"/>
  <c r="DG480" i="2" s="1"/>
  <c r="DG619" i="2"/>
  <c r="DG621" i="2" s="1"/>
  <c r="EH77" i="2"/>
  <c r="EJ77" i="2"/>
  <c r="EL77" i="2" s="1"/>
  <c r="DQ630" i="2"/>
  <c r="DQ631" i="2" s="1"/>
  <c r="DP287" i="2"/>
  <c r="DP630" i="2" s="1"/>
  <c r="DP631" i="2" s="1"/>
  <c r="DQ305" i="2"/>
  <c r="DM307" i="2"/>
  <c r="DM324" i="2" s="1"/>
  <c r="DN324" i="2"/>
  <c r="DR513" i="2"/>
  <c r="DR328" i="2"/>
  <c r="DR120" i="3"/>
  <c r="DR640" i="2"/>
  <c r="DR327" i="2"/>
  <c r="DR329" i="2"/>
  <c r="DR330" i="2"/>
  <c r="DR64" i="3"/>
  <c r="DR287" i="2"/>
  <c r="DR184" i="2"/>
  <c r="DR187" i="2" s="1"/>
  <c r="DR503" i="2"/>
  <c r="DO634" i="2"/>
  <c r="DO636" i="2" s="1"/>
  <c r="DO639" i="2" s="1"/>
  <c r="DO642" i="2" s="1"/>
  <c r="DO307" i="2"/>
  <c r="DO324" i="2" s="1"/>
  <c r="DS264" i="2"/>
  <c r="EI280" i="2"/>
  <c r="EG276" i="2"/>
  <c r="EE276" i="2"/>
  <c r="DG414" i="2"/>
  <c r="DH415" i="2"/>
  <c r="DG415" i="2" s="1"/>
  <c r="DI414" i="2"/>
  <c r="EB138" i="2"/>
  <c r="ED138" i="2"/>
  <c r="EF138" i="2" s="1"/>
  <c r="H29" i="9"/>
  <c r="DE178" i="2"/>
  <c r="DD178" i="2" s="1"/>
  <c r="DE154" i="2"/>
  <c r="DE68" i="2"/>
  <c r="DD72" i="2"/>
  <c r="DE331" i="2"/>
  <c r="DE4" i="3"/>
  <c r="DE10" i="3" s="1"/>
  <c r="DE343" i="2"/>
  <c r="H44" i="9" s="1"/>
  <c r="DE345" i="2"/>
  <c r="DH154" i="2"/>
  <c r="DE73" i="2"/>
  <c r="DE161" i="2"/>
  <c r="DE12" i="4"/>
  <c r="DC176" i="2"/>
  <c r="DD619" i="2"/>
  <c r="DD621" i="2" s="1"/>
  <c r="DD479" i="2"/>
  <c r="DD480" i="2" s="1"/>
  <c r="DB184" i="2"/>
  <c r="DB187" i="2" s="1"/>
  <c r="DB503" i="2"/>
  <c r="DB43" i="2"/>
  <c r="DB476" i="2" s="1"/>
  <c r="DB477" i="2" s="1"/>
  <c r="N58" i="9"/>
  <c r="N59" i="9" s="1"/>
  <c r="EX273" i="2"/>
  <c r="EY273" i="2" s="1"/>
  <c r="FA273" i="2" s="1"/>
  <c r="EZ273" i="2" s="1"/>
  <c r="EX416" i="2"/>
  <c r="EY416" i="2" s="1"/>
  <c r="EW838" i="4"/>
  <c r="EV825" i="4"/>
  <c r="EW843" i="4"/>
  <c r="EW856" i="4" s="1"/>
  <c r="EW759" i="4"/>
  <c r="EZ759" i="4" s="1"/>
  <c r="FA759" i="4" s="1"/>
  <c r="EU759" i="4"/>
  <c r="ES843" i="4"/>
  <c r="ES856" i="4" s="1"/>
  <c r="ES838" i="4"/>
  <c r="CE27" i="2"/>
  <c r="CE365" i="2"/>
  <c r="CH27" i="2"/>
  <c r="CE222" i="3"/>
  <c r="CE366" i="2"/>
  <c r="CE224" i="3" s="1"/>
  <c r="CB22" i="2"/>
  <c r="CB349" i="2"/>
  <c r="CD27" i="2"/>
  <c r="CC27" i="2"/>
  <c r="CC222" i="3"/>
  <c r="CK441" i="2"/>
  <c r="CJ409" i="2"/>
  <c r="CJ410" i="2"/>
  <c r="CJ411" i="2"/>
  <c r="CJ472" i="2" s="1"/>
  <c r="CF400" i="2"/>
  <c r="CF20" i="2" s="1"/>
  <c r="CF398" i="2"/>
  <c r="CF154" i="3"/>
  <c r="CH472" i="2"/>
  <c r="CF25" i="2"/>
  <c r="CG398" i="2"/>
  <c r="CG154" i="3"/>
  <c r="DJ436" i="4"/>
  <c r="DK435" i="4"/>
  <c r="DK436" i="4" s="1"/>
  <c r="DU38" i="4"/>
  <c r="DW667" i="2"/>
  <c r="EG770" i="4"/>
  <c r="EI768" i="4"/>
  <c r="EG773" i="4"/>
  <c r="EG774" i="4" s="1"/>
  <c r="EG795" i="4" s="1"/>
  <c r="EF769" i="4"/>
  <c r="EF761" i="4" s="1"/>
  <c r="EF774" i="4"/>
  <c r="EF795" i="4" s="1"/>
  <c r="EP766" i="4"/>
  <c r="EO766" i="4"/>
  <c r="DJ480" i="4"/>
  <c r="DJ489" i="4"/>
  <c r="DK479" i="4"/>
  <c r="DK480" i="4" s="1"/>
  <c r="ER759" i="4"/>
  <c r="DM436" i="4"/>
  <c r="DN435" i="4"/>
  <c r="DN436" i="4" s="1"/>
  <c r="EP757" i="4"/>
  <c r="ES757" i="4" s="1"/>
  <c r="EO757" i="4"/>
  <c r="EM760" i="4"/>
  <c r="EO758" i="4"/>
  <c r="EP758" i="4"/>
  <c r="EH770" i="4"/>
  <c r="EH773" i="4"/>
  <c r="EH774" i="4" s="1"/>
  <c r="EH795" i="4" s="1"/>
  <c r="EM765" i="4"/>
  <c r="EL765" i="4"/>
  <c r="DS429" i="4"/>
  <c r="EF770" i="4"/>
  <c r="EF793" i="4"/>
  <c r="DR436" i="4"/>
  <c r="EJ767" i="4"/>
  <c r="EJ768" i="4" s="1"/>
  <c r="EJ773" i="4" s="1"/>
  <c r="EI767" i="4"/>
  <c r="EK762" i="4"/>
  <c r="DL58" i="4"/>
  <c r="DI58" i="4"/>
  <c r="DI68" i="4"/>
  <c r="DI49" i="4"/>
  <c r="EN765" i="4"/>
  <c r="EK768" i="4"/>
  <c r="EI791" i="4"/>
  <c r="EI762" i="4"/>
  <c r="DP430" i="4"/>
  <c r="DQ429" i="4"/>
  <c r="DQ430" i="4" s="1"/>
  <c r="EC769" i="4"/>
  <c r="EC761" i="4" s="1"/>
  <c r="EJ762" i="4"/>
  <c r="EL760" i="4"/>
  <c r="EQ757" i="4"/>
  <c r="EN760" i="4"/>
  <c r="DJ484" i="4"/>
  <c r="DK483" i="4"/>
  <c r="DK484" i="4" s="1"/>
  <c r="ED769" i="4"/>
  <c r="ED761" i="4" s="1"/>
  <c r="CH570" i="4"/>
  <c r="CD945" i="4"/>
  <c r="CE945" i="4"/>
  <c r="CF730" i="4"/>
  <c r="CF933" i="4" s="1"/>
  <c r="CG686" i="4"/>
  <c r="CF896" i="4"/>
  <c r="CF628" i="4"/>
  <c r="CG729" i="4"/>
  <c r="CG687" i="4"/>
  <c r="CE706" i="4"/>
  <c r="CE909" i="4" s="1"/>
  <c r="CE932" i="4"/>
  <c r="CF688" i="4"/>
  <c r="EP843" i="4"/>
  <c r="EP856" i="4" s="1"/>
  <c r="EP838" i="4"/>
  <c r="CF950" i="4"/>
  <c r="CF741" i="4"/>
  <c r="CF787" i="4" s="1"/>
  <c r="CF914" i="4"/>
  <c r="CD735" i="4"/>
  <c r="CD781" i="4" s="1"/>
  <c r="CD938" i="4"/>
  <c r="CD902" i="4"/>
  <c r="CF621" i="4"/>
  <c r="CF633" i="4"/>
  <c r="CF634" i="4" s="1"/>
  <c r="CF682" i="4" s="1"/>
  <c r="CI569" i="4"/>
  <c r="CH591" i="4"/>
  <c r="CE735" i="4"/>
  <c r="CE781" i="4" s="1"/>
  <c r="CE938" i="4"/>
  <c r="CE902" i="4"/>
  <c r="CG633" i="4"/>
  <c r="CG621" i="4"/>
  <c r="CG669" i="4"/>
  <c r="CG711" i="4" s="1"/>
  <c r="CE950" i="4"/>
  <c r="CE741" i="4"/>
  <c r="CE787" i="4" s="1"/>
  <c r="CE914" i="4"/>
  <c r="CG878" i="4"/>
  <c r="EP363" i="4"/>
  <c r="DZ798" i="4"/>
  <c r="DZ797" i="4" s="1"/>
  <c r="DZ800" i="4" s="1"/>
  <c r="DY797" i="4"/>
  <c r="DY800" i="4" s="1"/>
  <c r="CI859" i="4"/>
  <c r="CH955" i="4"/>
  <c r="CF879" i="4"/>
  <c r="CF897" i="4" s="1"/>
  <c r="CG668" i="4"/>
  <c r="CG710" i="4" s="1"/>
  <c r="CG913" i="4" s="1"/>
  <c r="CG890" i="4"/>
  <c r="CG891" i="4" s="1"/>
  <c r="CF932" i="4"/>
  <c r="CE676" i="4"/>
  <c r="CD658" i="4"/>
  <c r="CD676" i="4"/>
  <c r="CG884" i="4"/>
  <c r="CG885" i="4" s="1"/>
  <c r="CI877" i="4"/>
  <c r="CH895" i="4"/>
  <c r="CL811" i="4"/>
  <c r="CK817" i="4"/>
  <c r="CK883" i="4" s="1"/>
  <c r="CK812" i="4"/>
  <c r="CH631" i="4"/>
  <c r="CH619" i="4"/>
  <c r="CK515" i="2"/>
  <c r="CL514" i="2"/>
  <c r="CG867" i="4"/>
  <c r="CH876" i="4"/>
  <c r="CE740" i="4"/>
  <c r="CE786" i="4" s="1"/>
  <c r="CE949" i="4"/>
  <c r="CE913" i="4"/>
  <c r="CC919" i="4"/>
  <c r="CC718" i="4"/>
  <c r="CC921" i="4" s="1"/>
  <c r="EI385" i="2"/>
  <c r="EI396" i="2"/>
  <c r="CJ753" i="4"/>
  <c r="CS693" i="4"/>
  <c r="CG942" i="4"/>
  <c r="CG655" i="4"/>
  <c r="CG661" i="4"/>
  <c r="CG703" i="4" s="1"/>
  <c r="CG906" i="4" s="1"/>
  <c r="CD733" i="4"/>
  <c r="CD700" i="4"/>
  <c r="CD936" i="4"/>
  <c r="CD900" i="4"/>
  <c r="CH625" i="4"/>
  <c r="CH637" i="4"/>
  <c r="CH685" i="4" s="1"/>
  <c r="CH864" i="4"/>
  <c r="CH754" i="4"/>
  <c r="CI751" i="4"/>
  <c r="CB939" i="4"/>
  <c r="CB903" i="4"/>
  <c r="CH888" i="4"/>
  <c r="CI819" i="4"/>
  <c r="CJ813" i="4"/>
  <c r="CJ819" i="4" s="1"/>
  <c r="CI889" i="4"/>
  <c r="CQ652" i="4"/>
  <c r="CG728" i="4"/>
  <c r="CG931" i="4" s="1"/>
  <c r="CE931" i="4"/>
  <c r="CD724" i="4"/>
  <c r="CD927" i="4" s="1"/>
  <c r="CD734" i="4"/>
  <c r="CD780" i="4" s="1"/>
  <c r="CD937" i="4"/>
  <c r="CD901" i="4"/>
  <c r="CF709" i="4"/>
  <c r="CF670" i="4"/>
  <c r="CG670" i="4" s="1"/>
  <c r="DZ397" i="2"/>
  <c r="DY400" i="2"/>
  <c r="DZ400" i="2" s="1"/>
  <c r="DY398" i="2"/>
  <c r="DY154" i="3"/>
  <c r="CE724" i="4"/>
  <c r="CE927" i="4" s="1"/>
  <c r="CJ567" i="4"/>
  <c r="CI589" i="4"/>
  <c r="CJ589" i="4" s="1"/>
  <c r="DN643" i="4"/>
  <c r="CS649" i="4"/>
  <c r="CK871" i="4"/>
  <c r="CF697" i="4"/>
  <c r="EG396" i="2"/>
  <c r="EG385" i="2"/>
  <c r="CF930" i="4"/>
  <c r="CG638" i="4"/>
  <c r="CG626" i="4"/>
  <c r="CG628" i="4" s="1"/>
  <c r="CE739" i="4"/>
  <c r="CE785" i="4" s="1"/>
  <c r="CE948" i="4"/>
  <c r="CE712" i="4"/>
  <c r="CE912" i="4"/>
  <c r="CL497" i="2"/>
  <c r="CL504" i="2"/>
  <c r="CM498" i="2"/>
  <c r="CL500" i="2"/>
  <c r="CL499" i="2"/>
  <c r="CF656" i="4"/>
  <c r="CF698" i="4" s="1"/>
  <c r="CF943" i="4"/>
  <c r="CF662" i="4"/>
  <c r="CF704" i="4" s="1"/>
  <c r="CF907" i="4" s="1"/>
  <c r="CG673" i="4"/>
  <c r="CG679" i="4"/>
  <c r="CG721" i="4" s="1"/>
  <c r="CT650" i="4"/>
  <c r="CU644" i="4"/>
  <c r="CK865" i="4"/>
  <c r="CS691" i="4"/>
  <c r="CD706" i="4"/>
  <c r="CD909" i="4" s="1"/>
  <c r="EE396" i="2"/>
  <c r="EE385" i="2"/>
  <c r="CF674" i="4"/>
  <c r="CF716" i="4" s="1"/>
  <c r="CF919" i="4" s="1"/>
  <c r="CF680" i="4"/>
  <c r="CF722" i="4" s="1"/>
  <c r="CF925" i="4" s="1"/>
  <c r="CG592" i="4"/>
  <c r="CG640" i="4" s="1"/>
  <c r="CC734" i="4"/>
  <c r="CC937" i="4"/>
  <c r="CC901" i="4"/>
  <c r="CC700" i="4"/>
  <c r="DB645" i="4"/>
  <c r="CE730" i="4"/>
  <c r="CL692" i="4"/>
  <c r="CF715" i="4"/>
  <c r="CG861" i="4"/>
  <c r="CG954" i="4"/>
  <c r="CH858" i="4"/>
  <c r="CH882" i="4"/>
  <c r="CQ752" i="4"/>
  <c r="CF740" i="4"/>
  <c r="CF786" i="4" s="1"/>
  <c r="CF949" i="4"/>
  <c r="CF913" i="4"/>
  <c r="CG894" i="4"/>
  <c r="CB780" i="4"/>
  <c r="CB736" i="4"/>
  <c r="CB782" i="4" s="1"/>
  <c r="CS651" i="4"/>
  <c r="CG584" i="4"/>
  <c r="CH870" i="4"/>
  <c r="CG873" i="4"/>
  <c r="CI872" i="4"/>
  <c r="CG667" i="4"/>
  <c r="CG709" i="4" s="1"/>
  <c r="CE733" i="4"/>
  <c r="CE700" i="4"/>
  <c r="CE936" i="4"/>
  <c r="CE900" i="4"/>
  <c r="CG956" i="4"/>
  <c r="CH860" i="4"/>
  <c r="CE718" i="4"/>
  <c r="CE921" i="4" s="1"/>
  <c r="CE918" i="4"/>
  <c r="CG727" i="4"/>
  <c r="CG930" i="4" s="1"/>
  <c r="CM810" i="4"/>
  <c r="CL816" i="4"/>
  <c r="CF957" i="4"/>
  <c r="CI866" i="4"/>
  <c r="CH590" i="4"/>
  <c r="CI568" i="4"/>
  <c r="CE734" i="4"/>
  <c r="CE780" i="4" s="1"/>
  <c r="CE937" i="4"/>
  <c r="CE901" i="4"/>
  <c r="CD718" i="4"/>
  <c r="CD921" i="4" s="1"/>
  <c r="CD918" i="4"/>
  <c r="CE658" i="4"/>
  <c r="DX287" i="2" l="1"/>
  <c r="DX305" i="2" s="1"/>
  <c r="DX307" i="2" s="1"/>
  <c r="DX324" i="2" s="1"/>
  <c r="FA416" i="2"/>
  <c r="EY843" i="4"/>
  <c r="EY856" i="4" s="1"/>
  <c r="EY838" i="4"/>
  <c r="DV271" i="2"/>
  <c r="DW269" i="2"/>
  <c r="DX120" i="3" s="1"/>
  <c r="DR66" i="3"/>
  <c r="I32" i="9"/>
  <c r="Y23" i="9"/>
  <c r="Y27" i="9" s="1"/>
  <c r="Y29" i="9" s="1"/>
  <c r="I42" i="9"/>
  <c r="DU269" i="2"/>
  <c r="DU64" i="3" s="1"/>
  <c r="EM77" i="2"/>
  <c r="EO77" i="2" s="1"/>
  <c r="EK77" i="2"/>
  <c r="AB61" i="9"/>
  <c r="AB60" i="9" s="1"/>
  <c r="AB66" i="9" s="1"/>
  <c r="DQ307" i="2"/>
  <c r="DQ634" i="2"/>
  <c r="DQ636" i="2" s="1"/>
  <c r="DQ639" i="2" s="1"/>
  <c r="DQ642" i="2" s="1"/>
  <c r="DP305" i="2"/>
  <c r="DP634" i="2" s="1"/>
  <c r="DP636" i="2" s="1"/>
  <c r="DP639" i="2" s="1"/>
  <c r="DP642" i="2" s="1"/>
  <c r="DS269" i="2"/>
  <c r="DS64" i="3" s="1"/>
  <c r="DS66" i="3" s="1"/>
  <c r="DT64" i="3"/>
  <c r="DT287" i="2"/>
  <c r="DG68" i="2"/>
  <c r="DH60" i="2"/>
  <c r="DH69" i="2"/>
  <c r="DH160" i="2"/>
  <c r="DR305" i="2"/>
  <c r="DR630" i="2"/>
  <c r="DR631" i="2" s="1"/>
  <c r="U13" i="9"/>
  <c r="DG331" i="2"/>
  <c r="DG4" i="3"/>
  <c r="DG10" i="3" s="1"/>
  <c r="DG343" i="2"/>
  <c r="DG345" i="2"/>
  <c r="DG172" i="2"/>
  <c r="DG176" i="2"/>
  <c r="DG73" i="2"/>
  <c r="DG161" i="2"/>
  <c r="DI172" i="2"/>
  <c r="DG12" i="4"/>
  <c r="EI276" i="2"/>
  <c r="EH280" i="2"/>
  <c r="EJ280" i="2"/>
  <c r="DK414" i="2"/>
  <c r="DI415" i="2"/>
  <c r="EE138" i="2"/>
  <c r="EG138" i="2"/>
  <c r="EI138" i="2" s="1"/>
  <c r="DD331" i="2"/>
  <c r="DD172" i="2"/>
  <c r="DD343" i="2"/>
  <c r="DD176" i="2"/>
  <c r="DD154" i="2"/>
  <c r="DF172" i="2"/>
  <c r="DD4" i="3"/>
  <c r="DD10" i="3" s="1"/>
  <c r="DD345" i="2"/>
  <c r="DG154" i="2"/>
  <c r="DD161" i="2"/>
  <c r="DD73" i="2"/>
  <c r="DD12" i="4"/>
  <c r="X23" i="9"/>
  <c r="X27" i="9" s="1"/>
  <c r="X29" i="9" s="1"/>
  <c r="H30" i="9"/>
  <c r="H32" i="9"/>
  <c r="H42" i="9"/>
  <c r="I30" i="9"/>
  <c r="DE153" i="2"/>
  <c r="DD68" i="2"/>
  <c r="DE60" i="2"/>
  <c r="DH153" i="2"/>
  <c r="DE69" i="2"/>
  <c r="DE160" i="2"/>
  <c r="DB481" i="2"/>
  <c r="DB482" i="2" s="1"/>
  <c r="DB478" i="2"/>
  <c r="CI411" i="2"/>
  <c r="CI472" i="2" s="1"/>
  <c r="EX759" i="4"/>
  <c r="EW273" i="2"/>
  <c r="EQ760" i="4"/>
  <c r="EQ762" i="4" s="1"/>
  <c r="ET757" i="4"/>
  <c r="EU757" i="4" s="1"/>
  <c r="EV843" i="4"/>
  <c r="EV856" i="4" s="1"/>
  <c r="EV838" i="4"/>
  <c r="ER758" i="4"/>
  <c r="ES758" i="4"/>
  <c r="ES760" i="4" s="1"/>
  <c r="EV757" i="4"/>
  <c r="EY757" i="4" s="1"/>
  <c r="ER766" i="4"/>
  <c r="ES766" i="4"/>
  <c r="CM441" i="2"/>
  <c r="CK410" i="2"/>
  <c r="CK25" i="2" s="1"/>
  <c r="CK409" i="2"/>
  <c r="CK411" i="2"/>
  <c r="CK472" i="2" s="1"/>
  <c r="CB365" i="2"/>
  <c r="CB366" i="2"/>
  <c r="CB224" i="3" s="1"/>
  <c r="CG11" i="2"/>
  <c r="CG14" i="2"/>
  <c r="CF11" i="2"/>
  <c r="CF14" i="2"/>
  <c r="CI410" i="2"/>
  <c r="CC348" i="2"/>
  <c r="CD222" i="3"/>
  <c r="CJ397" i="2"/>
  <c r="CJ25" i="2" s="1"/>
  <c r="CI409" i="2"/>
  <c r="CI397" i="2" s="1"/>
  <c r="CB225" i="3"/>
  <c r="CB221" i="2"/>
  <c r="CB222" i="2" s="1"/>
  <c r="EJ774" i="4"/>
  <c r="EJ795" i="4" s="1"/>
  <c r="EN762" i="4"/>
  <c r="EM762" i="4"/>
  <c r="EO760" i="4"/>
  <c r="EG769" i="4"/>
  <c r="EG761" i="4" s="1"/>
  <c r="EK770" i="4"/>
  <c r="EJ770" i="4"/>
  <c r="EJ769" i="4"/>
  <c r="EJ761" i="4" s="1"/>
  <c r="EL768" i="4"/>
  <c r="EL773" i="4" s="1"/>
  <c r="EL762" i="4"/>
  <c r="EL791" i="4"/>
  <c r="EQ765" i="4"/>
  <c r="EN768" i="4"/>
  <c r="EK773" i="4"/>
  <c r="EK774" i="4" s="1"/>
  <c r="EK795" i="4" s="1"/>
  <c r="EH769" i="4"/>
  <c r="EH761" i="4" s="1"/>
  <c r="ER757" i="4"/>
  <c r="EP760" i="4"/>
  <c r="DJ46" i="4"/>
  <c r="DJ157" i="4"/>
  <c r="DK157" i="4" s="1"/>
  <c r="DK489" i="4"/>
  <c r="DI70" i="4"/>
  <c r="DI60" i="4"/>
  <c r="DL60" i="4"/>
  <c r="DI51" i="4"/>
  <c r="DI6" i="4" s="1"/>
  <c r="EM767" i="4"/>
  <c r="EM768" i="4" s="1"/>
  <c r="EM773" i="4" s="1"/>
  <c r="EM774" i="4" s="1"/>
  <c r="EM795" i="4" s="1"/>
  <c r="EL767" i="4"/>
  <c r="DS430" i="4"/>
  <c r="DT429" i="4"/>
  <c r="DT430" i="4" s="1"/>
  <c r="EP765" i="4"/>
  <c r="ES765" i="4" s="1"/>
  <c r="EO765" i="4"/>
  <c r="EI773" i="4"/>
  <c r="EI774" i="4" s="1"/>
  <c r="EI795" i="4" s="1"/>
  <c r="EI770" i="4"/>
  <c r="EI793" i="4"/>
  <c r="CG688" i="4"/>
  <c r="CG896" i="4"/>
  <c r="CG879" i="4"/>
  <c r="CG897" i="4" s="1"/>
  <c r="CE951" i="4"/>
  <c r="CG681" i="4"/>
  <c r="CG723" i="4" s="1"/>
  <c r="CG926" i="4" s="1"/>
  <c r="CG675" i="4"/>
  <c r="CG717" i="4" s="1"/>
  <c r="CG920" i="4" s="1"/>
  <c r="CH585" i="4"/>
  <c r="CH639" i="4"/>
  <c r="CH687" i="4" s="1"/>
  <c r="CH627" i="4"/>
  <c r="CH669" i="4" s="1"/>
  <c r="CI591" i="4"/>
  <c r="CI585" i="4" s="1"/>
  <c r="CJ569" i="4"/>
  <c r="CG950" i="4"/>
  <c r="CG741" i="4"/>
  <c r="CG787" i="4" s="1"/>
  <c r="CG914" i="4"/>
  <c r="CF675" i="4"/>
  <c r="CF717" i="4" s="1"/>
  <c r="CF920" i="4" s="1"/>
  <c r="CF681" i="4"/>
  <c r="CF723" i="4" s="1"/>
  <c r="CF926" i="4" s="1"/>
  <c r="CG657" i="4"/>
  <c r="CG699" i="4" s="1"/>
  <c r="CG663" i="4"/>
  <c r="CG705" i="4" s="1"/>
  <c r="CG908" i="4" s="1"/>
  <c r="CG944" i="4"/>
  <c r="CF663" i="4"/>
  <c r="CF705" i="4" s="1"/>
  <c r="CF908" i="4" s="1"/>
  <c r="CF944" i="4"/>
  <c r="CF945" i="4" s="1"/>
  <c r="CF657" i="4"/>
  <c r="CF699" i="4" s="1"/>
  <c r="CF700" i="4" s="1"/>
  <c r="CF622" i="4"/>
  <c r="CF664" i="4" s="1"/>
  <c r="CG949" i="4"/>
  <c r="CJ859" i="4"/>
  <c r="CI955" i="4"/>
  <c r="CH878" i="4"/>
  <c r="CH879" i="4" s="1"/>
  <c r="EQ363" i="4"/>
  <c r="CH894" i="4"/>
  <c r="CH884" i="4"/>
  <c r="CH885" i="4" s="1"/>
  <c r="CH890" i="4"/>
  <c r="CH891" i="4" s="1"/>
  <c r="CG932" i="4"/>
  <c r="CG740" i="4"/>
  <c r="CG786" i="4" s="1"/>
  <c r="CH638" i="4"/>
  <c r="CH686" i="4" s="1"/>
  <c r="CH626" i="4"/>
  <c r="CH668" i="4" s="1"/>
  <c r="CI882" i="4"/>
  <c r="CV644" i="4"/>
  <c r="CM816" i="4"/>
  <c r="CN810" i="4"/>
  <c r="CR652" i="4"/>
  <c r="CI888" i="4"/>
  <c r="CH727" i="4"/>
  <c r="CH930" i="4" s="1"/>
  <c r="CG739" i="4"/>
  <c r="CG785" i="4" s="1"/>
  <c r="CG948" i="4"/>
  <c r="CG712" i="4"/>
  <c r="CG915" i="4" s="1"/>
  <c r="CR752" i="4"/>
  <c r="CG957" i="4"/>
  <c r="CC939" i="4"/>
  <c r="CC903" i="4"/>
  <c r="CT649" i="4"/>
  <c r="CI637" i="4"/>
  <c r="CI685" i="4" s="1"/>
  <c r="CJ685" i="4" s="1"/>
  <c r="CI625" i="4"/>
  <c r="CJ889" i="4"/>
  <c r="CH667" i="4"/>
  <c r="CD939" i="4"/>
  <c r="CD903" i="4"/>
  <c r="CI876" i="4"/>
  <c r="CL812" i="4"/>
  <c r="CK818" i="4"/>
  <c r="CK813" i="4"/>
  <c r="CJ568" i="4"/>
  <c r="CI590" i="4"/>
  <c r="CJ590" i="4" s="1"/>
  <c r="CJ866" i="4"/>
  <c r="CE939" i="4"/>
  <c r="CE903" i="4"/>
  <c r="CT651" i="4"/>
  <c r="CG924" i="4"/>
  <c r="CG715" i="4"/>
  <c r="CI570" i="4"/>
  <c r="CJ751" i="4"/>
  <c r="CI754" i="4"/>
  <c r="CI864" i="4"/>
  <c r="CH867" i="4"/>
  <c r="CH592" i="4"/>
  <c r="CH640" i="4" s="1"/>
  <c r="CD736" i="4"/>
  <c r="CD782" i="4" s="1"/>
  <c r="CD779" i="4"/>
  <c r="CK753" i="4"/>
  <c r="CH873" i="4"/>
  <c r="CI870" i="4"/>
  <c r="CG730" i="4"/>
  <c r="CG933" i="4" s="1"/>
  <c r="CE933" i="4"/>
  <c r="DC645" i="4"/>
  <c r="CC780" i="4"/>
  <c r="CC736" i="4"/>
  <c r="CC782" i="4" s="1"/>
  <c r="CE742" i="4"/>
  <c r="CE788" i="4" s="1"/>
  <c r="CE915" i="4"/>
  <c r="EG384" i="2"/>
  <c r="EH374" i="2"/>
  <c r="CJ583" i="4"/>
  <c r="CK567" i="4"/>
  <c r="EA397" i="2"/>
  <c r="DZ398" i="2"/>
  <c r="DZ154" i="3"/>
  <c r="CH956" i="4"/>
  <c r="CI860" i="4"/>
  <c r="CJ872" i="4"/>
  <c r="CG632" i="4"/>
  <c r="CG620" i="4"/>
  <c r="CG586" i="4"/>
  <c r="CT691" i="4"/>
  <c r="CU650" i="4"/>
  <c r="CL871" i="4"/>
  <c r="CJ625" i="4"/>
  <c r="CJ637" i="4"/>
  <c r="CG697" i="4"/>
  <c r="EL374" i="2"/>
  <c r="EJ374" i="2"/>
  <c r="EI384" i="2"/>
  <c r="CH942" i="4"/>
  <c r="CH655" i="4"/>
  <c r="CH661" i="4"/>
  <c r="CH703" i="4" s="1"/>
  <c r="CH906" i="4" s="1"/>
  <c r="CJ877" i="4"/>
  <c r="CI895" i="4"/>
  <c r="CI858" i="4"/>
  <c r="CH861" i="4"/>
  <c r="CH954" i="4"/>
  <c r="CF734" i="4"/>
  <c r="CF780" i="4" s="1"/>
  <c r="CF937" i="4"/>
  <c r="CF901" i="4"/>
  <c r="CN498" i="2"/>
  <c r="CM497" i="2"/>
  <c r="CM500" i="2"/>
  <c r="CM499" i="2"/>
  <c r="CM504" i="2"/>
  <c r="CF739" i="4"/>
  <c r="CF785" i="4" s="1"/>
  <c r="CF712" i="4"/>
  <c r="CF948" i="4"/>
  <c r="CF951" i="4" s="1"/>
  <c r="CF912" i="4"/>
  <c r="CT693" i="4"/>
  <c r="CH673" i="4"/>
  <c r="CH679" i="4"/>
  <c r="CH721" i="4" s="1"/>
  <c r="CH924" i="4" s="1"/>
  <c r="CH584" i="4"/>
  <c r="CE736" i="4"/>
  <c r="CE782" i="4" s="1"/>
  <c r="CE779" i="4"/>
  <c r="CG912" i="4"/>
  <c r="CF918" i="4"/>
  <c r="CM692" i="4"/>
  <c r="EE384" i="2"/>
  <c r="CL865" i="4"/>
  <c r="CF733" i="4"/>
  <c r="CF936" i="4"/>
  <c r="CF900" i="4"/>
  <c r="DO643" i="4"/>
  <c r="CI583" i="4"/>
  <c r="CL515" i="2"/>
  <c r="CM514" i="2"/>
  <c r="CL817" i="4"/>
  <c r="CL883" i="4" s="1"/>
  <c r="CM811" i="4"/>
  <c r="CM817" i="4" s="1"/>
  <c r="G15" i="9" l="1"/>
  <c r="DV269" i="2"/>
  <c r="DV64" i="3" s="1"/>
  <c r="DV66" i="3" s="1"/>
  <c r="DW64" i="3"/>
  <c r="DW66" i="3" s="1"/>
  <c r="DW287" i="2"/>
  <c r="U20" i="9"/>
  <c r="DT66" i="3"/>
  <c r="DP307" i="2"/>
  <c r="DP324" i="2" s="1"/>
  <c r="DQ324" i="2"/>
  <c r="DH617" i="2"/>
  <c r="DH622" i="2" s="1"/>
  <c r="DH644" i="2" s="1"/>
  <c r="DH346" i="2" s="1"/>
  <c r="DG60" i="2"/>
  <c r="DH55" i="2"/>
  <c r="DH61" i="2"/>
  <c r="DH159" i="2"/>
  <c r="DU66" i="3"/>
  <c r="I34" i="9"/>
  <c r="I36" i="9"/>
  <c r="I37" i="9" s="1"/>
  <c r="DR307" i="2"/>
  <c r="DR324" i="2" s="1"/>
  <c r="DR634" i="2"/>
  <c r="DR636" i="2" s="1"/>
  <c r="DR639" i="2" s="1"/>
  <c r="DR642" i="2" s="1"/>
  <c r="DR644" i="2" s="1"/>
  <c r="DR346" i="2" s="1"/>
  <c r="DG171" i="2"/>
  <c r="DG160" i="2"/>
  <c r="DG69" i="2"/>
  <c r="DI171" i="2"/>
  <c r="EN77" i="2"/>
  <c r="EP77" i="2"/>
  <c r="ER77" i="2" s="1"/>
  <c r="DS287" i="2"/>
  <c r="DS630" i="2" s="1"/>
  <c r="DS631" i="2" s="1"/>
  <c r="DT630" i="2"/>
  <c r="DT631" i="2" s="1"/>
  <c r="EL280" i="2"/>
  <c r="EJ276" i="2"/>
  <c r="EH276" i="2"/>
  <c r="DK415" i="2"/>
  <c r="DJ415" i="2" s="1"/>
  <c r="DL414" i="2"/>
  <c r="DJ414" i="2"/>
  <c r="EH138" i="2"/>
  <c r="EJ138" i="2"/>
  <c r="EL138" i="2" s="1"/>
  <c r="DB483" i="2"/>
  <c r="H36" i="9"/>
  <c r="H37" i="9" s="1"/>
  <c r="H34" i="9"/>
  <c r="DE152" i="2"/>
  <c r="DD60" i="2"/>
  <c r="DE617" i="2"/>
  <c r="DE622" i="2" s="1"/>
  <c r="DE644" i="2" s="1"/>
  <c r="DE346" i="2" s="1"/>
  <c r="DE55" i="2"/>
  <c r="DH152" i="2"/>
  <c r="DE61" i="2"/>
  <c r="DE159" i="2"/>
  <c r="DD153" i="2"/>
  <c r="DF171" i="2"/>
  <c r="DD171" i="2"/>
  <c r="DG153" i="2"/>
  <c r="DD69" i="2"/>
  <c r="DD160" i="2"/>
  <c r="EV765" i="4"/>
  <c r="EY765" i="4" s="1"/>
  <c r="EQ768" i="4"/>
  <c r="EQ773" i="4" s="1"/>
  <c r="ET765" i="4"/>
  <c r="EV766" i="4"/>
  <c r="EU766" i="4"/>
  <c r="EV758" i="4"/>
  <c r="EU758" i="4"/>
  <c r="ES762" i="4"/>
  <c r="ET760" i="4"/>
  <c r="EW757" i="4"/>
  <c r="CI25" i="2"/>
  <c r="CJ398" i="2"/>
  <c r="CJ154" i="3"/>
  <c r="CC22" i="2"/>
  <c r="CD348" i="2"/>
  <c r="CD352" i="2"/>
  <c r="CD24" i="2" s="1"/>
  <c r="CF222" i="3"/>
  <c r="CF27" i="2"/>
  <c r="CG27" i="2"/>
  <c r="CI398" i="2"/>
  <c r="CI154" i="3"/>
  <c r="CI400" i="2"/>
  <c r="CN441" i="2"/>
  <c r="CM409" i="2"/>
  <c r="CL409" i="2" s="1"/>
  <c r="CM410" i="2"/>
  <c r="CM411" i="2"/>
  <c r="CJ570" i="4"/>
  <c r="CF724" i="4"/>
  <c r="CF927" i="4" s="1"/>
  <c r="EI769" i="4"/>
  <c r="EI761" i="4" s="1"/>
  <c r="CF676" i="4"/>
  <c r="EL774" i="4"/>
  <c r="EL795" i="4" s="1"/>
  <c r="CF658" i="4"/>
  <c r="DL62" i="4"/>
  <c r="DI62" i="4"/>
  <c r="DI72" i="4"/>
  <c r="EN770" i="4"/>
  <c r="EO762" i="4"/>
  <c r="EO791" i="4"/>
  <c r="EN773" i="4"/>
  <c r="EN774" i="4" s="1"/>
  <c r="EN795" i="4" s="1"/>
  <c r="ER765" i="4"/>
  <c r="EL793" i="4"/>
  <c r="EL770" i="4"/>
  <c r="EL769" i="4"/>
  <c r="EL761" i="4" s="1"/>
  <c r="DJ57" i="4"/>
  <c r="DM57" i="4"/>
  <c r="DJ47" i="4"/>
  <c r="DK46" i="4"/>
  <c r="EK769" i="4"/>
  <c r="EK761" i="4" s="1"/>
  <c r="EM770" i="4"/>
  <c r="EM769" i="4"/>
  <c r="EM761" i="4" s="1"/>
  <c r="EO768" i="4"/>
  <c r="EO773" i="4" s="1"/>
  <c r="EO774" i="4" s="1"/>
  <c r="EO795" i="4" s="1"/>
  <c r="EP767" i="4"/>
  <c r="EO767" i="4"/>
  <c r="ER760" i="4"/>
  <c r="EP762" i="4"/>
  <c r="CH896" i="4"/>
  <c r="CF706" i="4"/>
  <c r="CF909" i="4" s="1"/>
  <c r="CG951" i="4"/>
  <c r="CH688" i="4"/>
  <c r="CF718" i="4"/>
  <c r="CF921" i="4" s="1"/>
  <c r="CH957" i="4"/>
  <c r="CG735" i="4"/>
  <c r="CG781" i="4" s="1"/>
  <c r="CG938" i="4"/>
  <c r="CG902" i="4"/>
  <c r="CI627" i="4"/>
  <c r="CI669" i="4" s="1"/>
  <c r="CI711" i="4" s="1"/>
  <c r="CI639" i="4"/>
  <c r="CI687" i="4" s="1"/>
  <c r="CI729" i="4" s="1"/>
  <c r="CH729" i="4"/>
  <c r="CH932" i="4" s="1"/>
  <c r="CH621" i="4"/>
  <c r="CH633" i="4"/>
  <c r="CI621" i="4"/>
  <c r="CI633" i="4"/>
  <c r="CJ591" i="4"/>
  <c r="CJ585" i="4" s="1"/>
  <c r="CF735" i="4"/>
  <c r="CF781" i="4" s="1"/>
  <c r="CF938" i="4"/>
  <c r="CF902" i="4"/>
  <c r="CK569" i="4"/>
  <c r="CH711" i="4"/>
  <c r="CI584" i="4"/>
  <c r="CI586" i="4" s="1"/>
  <c r="CH628" i="4"/>
  <c r="CI878" i="4"/>
  <c r="CI879" i="4" s="1"/>
  <c r="CJ955" i="4"/>
  <c r="CK859" i="4"/>
  <c r="CI890" i="4"/>
  <c r="CI891" i="4" s="1"/>
  <c r="CI884" i="4"/>
  <c r="CI885" i="4" s="1"/>
  <c r="CJ638" i="4"/>
  <c r="CJ626" i="4"/>
  <c r="CM883" i="4"/>
  <c r="CJ631" i="4"/>
  <c r="CJ619" i="4"/>
  <c r="CL818" i="4"/>
  <c r="CM812" i="4"/>
  <c r="CM818" i="4" s="1"/>
  <c r="CU691" i="4"/>
  <c r="CM515" i="2"/>
  <c r="CN514" i="2"/>
  <c r="CI631" i="4"/>
  <c r="CI619" i="4"/>
  <c r="CN692" i="4"/>
  <c r="EJ385" i="2"/>
  <c r="EJ396" i="2"/>
  <c r="CK872" i="4"/>
  <c r="CJ860" i="4"/>
  <c r="CI956" i="4"/>
  <c r="DD645" i="4"/>
  <c r="CK866" i="4"/>
  <c r="CL813" i="4"/>
  <c r="CK819" i="4"/>
  <c r="CW644" i="4"/>
  <c r="CV650" i="4"/>
  <c r="CU651" i="4"/>
  <c r="CH728" i="4"/>
  <c r="CU693" i="4"/>
  <c r="CJ870" i="4"/>
  <c r="CI873" i="4"/>
  <c r="CG918" i="4"/>
  <c r="CI626" i="4"/>
  <c r="CI668" i="4" s="1"/>
  <c r="CI710" i="4" s="1"/>
  <c r="CI638" i="4"/>
  <c r="CI686" i="4" s="1"/>
  <c r="CI728" i="4" s="1"/>
  <c r="CI931" i="4" s="1"/>
  <c r="CK889" i="4"/>
  <c r="CF779" i="4"/>
  <c r="CM865" i="4"/>
  <c r="CH632" i="4"/>
  <c r="CH620" i="4"/>
  <c r="CH586" i="4"/>
  <c r="CF742" i="4"/>
  <c r="CF788" i="4" s="1"/>
  <c r="CF915" i="4"/>
  <c r="CM871" i="4"/>
  <c r="CG674" i="4"/>
  <c r="CG680" i="4"/>
  <c r="CG722" i="4" s="1"/>
  <c r="CG634" i="4"/>
  <c r="CG682" i="4" s="1"/>
  <c r="EB397" i="2"/>
  <c r="EA400" i="2"/>
  <c r="EA398" i="2"/>
  <c r="EH385" i="2"/>
  <c r="EH396" i="2"/>
  <c r="CK751" i="4"/>
  <c r="CJ754" i="4"/>
  <c r="CG742" i="4"/>
  <c r="CG788" i="4" s="1"/>
  <c r="CJ888" i="4"/>
  <c r="DP643" i="4"/>
  <c r="CH715" i="4"/>
  <c r="CN500" i="2"/>
  <c r="CN499" i="2"/>
  <c r="CN497" i="2"/>
  <c r="CN504" i="2"/>
  <c r="CO498" i="2"/>
  <c r="EL385" i="2"/>
  <c r="EL396" i="2"/>
  <c r="CL567" i="4"/>
  <c r="CK589" i="4"/>
  <c r="CK583" i="4" s="1"/>
  <c r="CI867" i="4"/>
  <c r="CJ864" i="4"/>
  <c r="CJ876" i="4"/>
  <c r="CH709" i="4"/>
  <c r="CH670" i="4"/>
  <c r="CS652" i="4"/>
  <c r="CO810" i="4"/>
  <c r="CN816" i="4"/>
  <c r="CN811" i="4"/>
  <c r="CH710" i="4"/>
  <c r="CH697" i="4"/>
  <c r="CG733" i="4"/>
  <c r="CG936" i="4"/>
  <c r="CG900" i="4"/>
  <c r="CI667" i="4"/>
  <c r="CJ667" i="4" s="1"/>
  <c r="CJ709" i="4" s="1"/>
  <c r="CI727" i="4"/>
  <c r="CJ727" i="4" s="1"/>
  <c r="CH897" i="4"/>
  <c r="CF903" i="4"/>
  <c r="CI954" i="4"/>
  <c r="CI861" i="4"/>
  <c r="CJ858" i="4"/>
  <c r="CK877" i="4"/>
  <c r="CJ895" i="4"/>
  <c r="CG656" i="4"/>
  <c r="CG943" i="4"/>
  <c r="CG945" i="4" s="1"/>
  <c r="CG662" i="4"/>
  <c r="CG704" i="4" s="1"/>
  <c r="CG622" i="4"/>
  <c r="CG664" i="4" s="1"/>
  <c r="CL753" i="4"/>
  <c r="CI894" i="4"/>
  <c r="CJ584" i="4"/>
  <c r="CK568" i="4"/>
  <c r="CI592" i="4"/>
  <c r="CI640" i="4" s="1"/>
  <c r="CU649" i="4"/>
  <c r="CS752" i="4"/>
  <c r="CJ882" i="4"/>
  <c r="EW760" i="4" l="1"/>
  <c r="EZ757" i="4"/>
  <c r="EX758" i="4"/>
  <c r="EY758" i="4"/>
  <c r="EX766" i="4"/>
  <c r="EY766" i="4"/>
  <c r="FA766" i="4" s="1"/>
  <c r="DV287" i="2"/>
  <c r="DW305" i="2"/>
  <c r="EQ770" i="4"/>
  <c r="DG170" i="2"/>
  <c r="DG617" i="2"/>
  <c r="DG622" i="2" s="1"/>
  <c r="DG644" i="2" s="1"/>
  <c r="DG346" i="2" s="1"/>
  <c r="DG159" i="2"/>
  <c r="DG61" i="2"/>
  <c r="DI170" i="2"/>
  <c r="ES77" i="2"/>
  <c r="EU77" i="2" s="1"/>
  <c r="EQ77" i="2"/>
  <c r="DZ271" i="2"/>
  <c r="DX64" i="3"/>
  <c r="I27" i="9"/>
  <c r="DH180" i="2"/>
  <c r="DH158" i="2"/>
  <c r="DH56" i="2"/>
  <c r="DH53" i="2"/>
  <c r="DH332" i="2"/>
  <c r="I15" i="9"/>
  <c r="EM280" i="2"/>
  <c r="EL276" i="2"/>
  <c r="EK280" i="2"/>
  <c r="DL415" i="2"/>
  <c r="DN414" i="2"/>
  <c r="EM138" i="2"/>
  <c r="EO138" i="2" s="1"/>
  <c r="EK138" i="2"/>
  <c r="H27" i="9"/>
  <c r="DE180" i="2"/>
  <c r="DE151" i="2"/>
  <c r="DE158" i="2"/>
  <c r="DE56" i="2"/>
  <c r="DH151" i="2"/>
  <c r="DE53" i="2"/>
  <c r="DE332" i="2"/>
  <c r="DD170" i="2"/>
  <c r="DD617" i="2"/>
  <c r="DD622" i="2" s="1"/>
  <c r="DD644" i="2" s="1"/>
  <c r="DD346" i="2" s="1"/>
  <c r="DD152" i="2"/>
  <c r="DF170" i="2"/>
  <c r="DG152" i="2"/>
  <c r="DD61" i="2"/>
  <c r="DD159" i="2"/>
  <c r="DB484" i="2"/>
  <c r="DB485" i="2" s="1"/>
  <c r="ET762" i="4"/>
  <c r="EV760" i="4"/>
  <c r="EX757" i="4"/>
  <c r="EW765" i="4"/>
  <c r="ET768" i="4"/>
  <c r="ET773" i="4" s="1"/>
  <c r="ET774" i="4" s="1"/>
  <c r="ET795" i="4" s="1"/>
  <c r="ER767" i="4"/>
  <c r="ES767" i="4"/>
  <c r="EU760" i="4"/>
  <c r="EW762" i="4"/>
  <c r="EU765" i="4"/>
  <c r="CL411" i="2"/>
  <c r="CL472" i="2" s="1"/>
  <c r="CM472" i="2"/>
  <c r="CJ400" i="2"/>
  <c r="CJ20" i="2" s="1"/>
  <c r="CI20" i="2"/>
  <c r="CC365" i="2"/>
  <c r="CC366" i="2"/>
  <c r="CC224" i="3" s="1"/>
  <c r="CL410" i="2"/>
  <c r="CL25" i="2" s="1"/>
  <c r="CM25" i="2"/>
  <c r="CF348" i="2"/>
  <c r="CG222" i="3"/>
  <c r="CI14" i="2"/>
  <c r="CI11" i="2"/>
  <c r="CP441" i="2"/>
  <c r="CN410" i="2"/>
  <c r="CN25" i="2" s="1"/>
  <c r="CN409" i="2"/>
  <c r="CN411" i="2"/>
  <c r="CN472" i="2" s="1"/>
  <c r="CD22" i="2"/>
  <c r="CD349" i="2"/>
  <c r="CJ14" i="2"/>
  <c r="CJ11" i="2"/>
  <c r="EP768" i="4"/>
  <c r="EP773" i="4" s="1"/>
  <c r="EP774" i="4" s="1"/>
  <c r="EP795" i="4" s="1"/>
  <c r="EN769" i="4"/>
  <c r="EN761" i="4" s="1"/>
  <c r="ER762" i="4"/>
  <c r="ER791" i="4"/>
  <c r="EQ769" i="4"/>
  <c r="EQ761" i="4" s="1"/>
  <c r="EQ774" i="4"/>
  <c r="EQ795" i="4" s="1"/>
  <c r="EO793" i="4"/>
  <c r="EO770" i="4"/>
  <c r="EO769" i="4"/>
  <c r="EO761" i="4" s="1"/>
  <c r="DM58" i="4"/>
  <c r="DJ68" i="4"/>
  <c r="DJ58" i="4"/>
  <c r="DJ49" i="4"/>
  <c r="DK47" i="4"/>
  <c r="DN57" i="4"/>
  <c r="DK57" i="4"/>
  <c r="CI620" i="4"/>
  <c r="CI656" i="4" s="1"/>
  <c r="CI698" i="4" s="1"/>
  <c r="CF736" i="4"/>
  <c r="CF782" i="4" s="1"/>
  <c r="CI632" i="4"/>
  <c r="CI680" i="4" s="1"/>
  <c r="CI722" i="4" s="1"/>
  <c r="CI925" i="4" s="1"/>
  <c r="CF939" i="4"/>
  <c r="CJ668" i="4"/>
  <c r="CJ710" i="4" s="1"/>
  <c r="CI628" i="4"/>
  <c r="CJ669" i="4"/>
  <c r="CJ711" i="4" s="1"/>
  <c r="CJ914" i="4" s="1"/>
  <c r="CI688" i="4"/>
  <c r="CH730" i="4"/>
  <c r="CH933" i="4" s="1"/>
  <c r="CI957" i="4"/>
  <c r="CJ586" i="4"/>
  <c r="CJ729" i="4"/>
  <c r="CI897" i="4"/>
  <c r="CJ687" i="4"/>
  <c r="CJ633" i="4"/>
  <c r="CJ621" i="4"/>
  <c r="CJ639" i="4"/>
  <c r="CJ627" i="4"/>
  <c r="CJ628" i="4" s="1"/>
  <c r="CH944" i="4"/>
  <c r="CH657" i="4"/>
  <c r="CH699" i="4" s="1"/>
  <c r="CH663" i="4"/>
  <c r="CH705" i="4" s="1"/>
  <c r="CH908" i="4" s="1"/>
  <c r="CI741" i="4"/>
  <c r="CI787" i="4" s="1"/>
  <c r="CI950" i="4"/>
  <c r="CI914" i="4"/>
  <c r="CI681" i="4"/>
  <c r="CI723" i="4" s="1"/>
  <c r="CI926" i="4" s="1"/>
  <c r="CI675" i="4"/>
  <c r="CI717" i="4" s="1"/>
  <c r="CI920" i="4" s="1"/>
  <c r="CI896" i="4"/>
  <c r="CH741" i="4"/>
  <c r="CH787" i="4" s="1"/>
  <c r="CH950" i="4"/>
  <c r="CH914" i="4"/>
  <c r="CI944" i="4"/>
  <c r="CI657" i="4"/>
  <c r="CI699" i="4" s="1"/>
  <c r="CI663" i="4"/>
  <c r="CI705" i="4" s="1"/>
  <c r="CI908" i="4" s="1"/>
  <c r="CJ592" i="4"/>
  <c r="CJ640" i="4" s="1"/>
  <c r="CK591" i="4"/>
  <c r="CK585" i="4" s="1"/>
  <c r="CL569" i="4"/>
  <c r="CH681" i="4"/>
  <c r="CH723" i="4" s="1"/>
  <c r="CH926" i="4" s="1"/>
  <c r="CH675" i="4"/>
  <c r="CH717" i="4" s="1"/>
  <c r="CH920" i="4" s="1"/>
  <c r="CJ884" i="4"/>
  <c r="CI932" i="4"/>
  <c r="CJ890" i="4"/>
  <c r="CJ891" i="4" s="1"/>
  <c r="CL859" i="4"/>
  <c r="CK955" i="4"/>
  <c r="CJ878" i="4"/>
  <c r="CJ879" i="4" s="1"/>
  <c r="CJ686" i="4"/>
  <c r="CL568" i="4"/>
  <c r="CK590" i="4"/>
  <c r="CL877" i="4"/>
  <c r="CK895" i="4"/>
  <c r="CG779" i="4"/>
  <c r="CP810" i="4"/>
  <c r="CO816" i="4"/>
  <c r="CG907" i="4"/>
  <c r="CG706" i="4"/>
  <c r="CG909" i="4" s="1"/>
  <c r="CI670" i="4"/>
  <c r="CJ670" i="4" s="1"/>
  <c r="CI709" i="4"/>
  <c r="CH733" i="4"/>
  <c r="CH936" i="4"/>
  <c r="CH900" i="4"/>
  <c r="CJ867" i="4"/>
  <c r="CI942" i="4"/>
  <c r="CI655" i="4"/>
  <c r="CI661" i="4"/>
  <c r="CI703" i="4" s="1"/>
  <c r="CK637" i="4"/>
  <c r="CK685" i="4" s="1"/>
  <c r="CK625" i="4"/>
  <c r="CK888" i="4"/>
  <c r="CJ930" i="4"/>
  <c r="EC397" i="2"/>
  <c r="EB400" i="2"/>
  <c r="EC400" i="2" s="1"/>
  <c r="EB398" i="2"/>
  <c r="EB154" i="3"/>
  <c r="CH674" i="4"/>
  <c r="CH680" i="4"/>
  <c r="CH722" i="4" s="1"/>
  <c r="CH634" i="4"/>
  <c r="CH682" i="4" s="1"/>
  <c r="CK870" i="4"/>
  <c r="CJ873" i="4"/>
  <c r="CJ912" i="4"/>
  <c r="CV651" i="4"/>
  <c r="EJ384" i="2"/>
  <c r="EK374" i="2"/>
  <c r="CO692" i="4"/>
  <c r="CI673" i="4"/>
  <c r="CI679" i="4"/>
  <c r="CI721" i="4" s="1"/>
  <c r="CV691" i="4"/>
  <c r="CM753" i="4"/>
  <c r="CH740" i="4"/>
  <c r="CH786" i="4" s="1"/>
  <c r="CH949" i="4"/>
  <c r="CH913" i="4"/>
  <c r="CJ739" i="4"/>
  <c r="CJ785" i="4" s="1"/>
  <c r="CJ948" i="4"/>
  <c r="CK631" i="4"/>
  <c r="CK619" i="4"/>
  <c r="EH384" i="2"/>
  <c r="CG716" i="4"/>
  <c r="CG676" i="4"/>
  <c r="CK570" i="4"/>
  <c r="DQ643" i="4"/>
  <c r="CH656" i="4"/>
  <c r="CH943" i="4"/>
  <c r="CH662" i="4"/>
  <c r="CH704" i="4" s="1"/>
  <c r="CH622" i="4"/>
  <c r="CH664" i="4" s="1"/>
  <c r="CW650" i="4"/>
  <c r="CM813" i="4"/>
  <c r="CM819" i="4" s="1"/>
  <c r="CL819" i="4"/>
  <c r="CJ954" i="4"/>
  <c r="CJ861" i="4"/>
  <c r="CK858" i="4"/>
  <c r="CG698" i="4"/>
  <c r="CG658" i="4"/>
  <c r="CN817" i="4"/>
  <c r="CN883" i="4" s="1"/>
  <c r="CO811" i="4"/>
  <c r="CN812" i="4"/>
  <c r="CT652" i="4"/>
  <c r="CK876" i="4"/>
  <c r="CM567" i="4"/>
  <c r="CL589" i="4"/>
  <c r="CM589" i="4" s="1"/>
  <c r="EL384" i="2"/>
  <c r="EM374" i="2"/>
  <c r="EO374" i="2"/>
  <c r="CH918" i="4"/>
  <c r="CJ894" i="4"/>
  <c r="CG925" i="4"/>
  <c r="CG724" i="4"/>
  <c r="CG927" i="4" s="1"/>
  <c r="CL889" i="4"/>
  <c r="CJ728" i="4"/>
  <c r="CJ931" i="4" s="1"/>
  <c r="CH931" i="4"/>
  <c r="CL866" i="4"/>
  <c r="DE645" i="4"/>
  <c r="CK860" i="4"/>
  <c r="CJ956" i="4"/>
  <c r="CN515" i="2"/>
  <c r="CO514" i="2"/>
  <c r="CV649" i="4"/>
  <c r="CO500" i="2"/>
  <c r="CP498" i="2"/>
  <c r="CO499" i="2"/>
  <c r="CV693" i="4"/>
  <c r="CL872" i="4"/>
  <c r="CJ655" i="4"/>
  <c r="CJ942" i="4"/>
  <c r="CJ661" i="4"/>
  <c r="CJ703" i="4" s="1"/>
  <c r="CJ906" i="4" s="1"/>
  <c r="CK882" i="4"/>
  <c r="CT752" i="4"/>
  <c r="CJ632" i="4"/>
  <c r="CJ620" i="4"/>
  <c r="CI730" i="4"/>
  <c r="CI933" i="4" s="1"/>
  <c r="CH739" i="4"/>
  <c r="CH785" i="4" s="1"/>
  <c r="CH712" i="4"/>
  <c r="CH948" i="4"/>
  <c r="CH912" i="4"/>
  <c r="CK864" i="4"/>
  <c r="CI930" i="4"/>
  <c r="CL751" i="4"/>
  <c r="CK754" i="4"/>
  <c r="CN871" i="4"/>
  <c r="CN865" i="4"/>
  <c r="CI949" i="4"/>
  <c r="CI740" i="4"/>
  <c r="CI786" i="4" s="1"/>
  <c r="CI913" i="4"/>
  <c r="CX644" i="4"/>
  <c r="CJ673" i="4"/>
  <c r="CJ679" i="4"/>
  <c r="CJ721" i="4" s="1"/>
  <c r="CJ924" i="4" s="1"/>
  <c r="EZ760" i="4" l="1"/>
  <c r="FA757" i="4"/>
  <c r="EW768" i="4"/>
  <c r="EW773" i="4" s="1"/>
  <c r="EW774" i="4" s="1"/>
  <c r="EW795" i="4" s="1"/>
  <c r="EZ765" i="4"/>
  <c r="FA758" i="4"/>
  <c r="EY760" i="4"/>
  <c r="DV305" i="2"/>
  <c r="DW307" i="2"/>
  <c r="EV77" i="2"/>
  <c r="EX77" i="2" s="1"/>
  <c r="ET77" i="2"/>
  <c r="DX66" i="3"/>
  <c r="EA271" i="2"/>
  <c r="DY271" i="2"/>
  <c r="DZ269" i="2"/>
  <c r="DH43" i="2"/>
  <c r="DH476" i="2" s="1"/>
  <c r="DH477" i="2" s="1"/>
  <c r="DH184" i="2"/>
  <c r="DH187" i="2" s="1"/>
  <c r="DH503" i="2"/>
  <c r="EK276" i="2"/>
  <c r="EM276" i="2"/>
  <c r="EO280" i="2"/>
  <c r="DO414" i="2"/>
  <c r="DM414" i="2"/>
  <c r="DN415" i="2"/>
  <c r="DM415" i="2" s="1"/>
  <c r="EP138" i="2"/>
  <c r="ER138" i="2" s="1"/>
  <c r="EN138" i="2"/>
  <c r="H15" i="9"/>
  <c r="DE184" i="2"/>
  <c r="DE187" i="2" s="1"/>
  <c r="DE503" i="2"/>
  <c r="G14" i="9"/>
  <c r="DE43" i="2"/>
  <c r="DE476" i="2" s="1"/>
  <c r="DE477" i="2" s="1"/>
  <c r="EU791" i="4"/>
  <c r="EU762" i="4"/>
  <c r="EW770" i="4"/>
  <c r="EV767" i="4"/>
  <c r="EY767" i="4" s="1"/>
  <c r="EU767" i="4"/>
  <c r="ES768" i="4"/>
  <c r="EX765" i="4"/>
  <c r="EV762" i="4"/>
  <c r="EX760" i="4"/>
  <c r="ET769" i="4"/>
  <c r="ET761" i="4" s="1"/>
  <c r="ET770" i="4"/>
  <c r="CD365" i="2"/>
  <c r="CD366" i="2"/>
  <c r="CD224" i="3" s="1"/>
  <c r="CG348" i="2"/>
  <c r="CF22" i="2"/>
  <c r="CG352" i="2"/>
  <c r="CG24" i="2" s="1"/>
  <c r="CJ27" i="2"/>
  <c r="CM27" i="2"/>
  <c r="CQ441" i="2"/>
  <c r="CP410" i="2"/>
  <c r="CP411" i="2"/>
  <c r="CL27" i="2"/>
  <c r="CI222" i="3"/>
  <c r="CI27" i="2"/>
  <c r="CD225" i="3"/>
  <c r="CD221" i="2"/>
  <c r="CC349" i="2"/>
  <c r="CI662" i="4"/>
  <c r="CI704" i="4" s="1"/>
  <c r="CI907" i="4" s="1"/>
  <c r="CI622" i="4"/>
  <c r="CI664" i="4" s="1"/>
  <c r="EP769" i="4"/>
  <c r="EP761" i="4" s="1"/>
  <c r="EP770" i="4"/>
  <c r="ER768" i="4"/>
  <c r="ER773" i="4" s="1"/>
  <c r="ER774" i="4" s="1"/>
  <c r="ER795" i="4" s="1"/>
  <c r="CJ688" i="4"/>
  <c r="DN58" i="4"/>
  <c r="DK58" i="4"/>
  <c r="DK68" i="4"/>
  <c r="CI674" i="4"/>
  <c r="CI716" i="4" s="1"/>
  <c r="CI919" i="4" s="1"/>
  <c r="DI12" i="4"/>
  <c r="DJ70" i="4"/>
  <c r="DJ51" i="4"/>
  <c r="DJ6" i="4" s="1"/>
  <c r="DK6" i="4" s="1"/>
  <c r="DM60" i="4"/>
  <c r="DJ60" i="4"/>
  <c r="DK49" i="4"/>
  <c r="CL570" i="4"/>
  <c r="CJ712" i="4"/>
  <c r="CJ915" i="4" s="1"/>
  <c r="CI634" i="4"/>
  <c r="CI682" i="4" s="1"/>
  <c r="CI943" i="4"/>
  <c r="CI945" i="4" s="1"/>
  <c r="CJ913" i="4"/>
  <c r="CJ634" i="4"/>
  <c r="CJ682" i="4" s="1"/>
  <c r="CH945" i="4"/>
  <c r="CH951" i="4"/>
  <c r="CJ950" i="4"/>
  <c r="CK592" i="4"/>
  <c r="CK640" i="4" s="1"/>
  <c r="CJ741" i="4"/>
  <c r="CJ787" i="4" s="1"/>
  <c r="CK639" i="4"/>
  <c r="CK687" i="4" s="1"/>
  <c r="CK627" i="4"/>
  <c r="CK669" i="4" s="1"/>
  <c r="CH735" i="4"/>
  <c r="CH781" i="4" s="1"/>
  <c r="CH938" i="4"/>
  <c r="CH902" i="4"/>
  <c r="CJ663" i="4"/>
  <c r="CJ705" i="4" s="1"/>
  <c r="CJ908" i="4" s="1"/>
  <c r="CJ657" i="4"/>
  <c r="CJ699" i="4" s="1"/>
  <c r="CJ944" i="4"/>
  <c r="CK633" i="4"/>
  <c r="CK621" i="4"/>
  <c r="CJ675" i="4"/>
  <c r="CJ717" i="4" s="1"/>
  <c r="CJ920" i="4" s="1"/>
  <c r="CJ681" i="4"/>
  <c r="CJ723" i="4" s="1"/>
  <c r="CJ926" i="4" s="1"/>
  <c r="CL591" i="4"/>
  <c r="CL585" i="4" s="1"/>
  <c r="CM569" i="4"/>
  <c r="CI735" i="4"/>
  <c r="CI781" i="4" s="1"/>
  <c r="CI938" i="4"/>
  <c r="CI902" i="4"/>
  <c r="CJ896" i="4"/>
  <c r="CL583" i="4"/>
  <c r="CL619" i="4" s="1"/>
  <c r="CJ885" i="4"/>
  <c r="CJ897" i="4" s="1"/>
  <c r="CJ932" i="4"/>
  <c r="CK890" i="4"/>
  <c r="CK891" i="4" s="1"/>
  <c r="CK884" i="4"/>
  <c r="CK885" i="4" s="1"/>
  <c r="CJ957" i="4"/>
  <c r="CK584" i="4"/>
  <c r="CK586" i="4" s="1"/>
  <c r="CK878" i="4"/>
  <c r="CK879" i="4" s="1"/>
  <c r="CL955" i="4"/>
  <c r="CM859" i="4"/>
  <c r="CM637" i="4"/>
  <c r="CM625" i="4"/>
  <c r="CU752" i="4"/>
  <c r="CW693" i="4"/>
  <c r="CU652" i="4"/>
  <c r="CH716" i="4"/>
  <c r="CH676" i="4"/>
  <c r="CK867" i="4"/>
  <c r="CL864" i="4"/>
  <c r="DF645" i="4"/>
  <c r="CI715" i="4"/>
  <c r="CL870" i="4"/>
  <c r="CK873" i="4"/>
  <c r="CO871" i="4"/>
  <c r="EO385" i="2"/>
  <c r="EO396" i="2"/>
  <c r="CH907" i="4"/>
  <c r="CH706" i="4"/>
  <c r="CH909" i="4" s="1"/>
  <c r="CK655" i="4"/>
  <c r="CK942" i="4"/>
  <c r="CK661" i="4"/>
  <c r="CK703" i="4" s="1"/>
  <c r="EK396" i="2"/>
  <c r="EK385" i="2"/>
  <c r="CI906" i="4"/>
  <c r="CG734" i="4"/>
  <c r="CG937" i="4"/>
  <c r="CG901" i="4"/>
  <c r="CG700" i="4"/>
  <c r="CX650" i="4"/>
  <c r="CL754" i="4"/>
  <c r="CM751" i="4"/>
  <c r="CW649" i="4"/>
  <c r="CM889" i="4"/>
  <c r="CO812" i="4"/>
  <c r="CN818" i="4"/>
  <c r="CN813" i="4"/>
  <c r="CJ943" i="4"/>
  <c r="CJ656" i="4"/>
  <c r="CJ698" i="4" s="1"/>
  <c r="CJ662" i="4"/>
  <c r="CJ704" i="4" s="1"/>
  <c r="CJ907" i="4" s="1"/>
  <c r="CM583" i="4"/>
  <c r="CN567" i="4"/>
  <c r="CK954" i="4"/>
  <c r="CL858" i="4"/>
  <c r="CK861" i="4"/>
  <c r="CG919" i="4"/>
  <c r="CG718" i="4"/>
  <c r="CG921" i="4" s="1"/>
  <c r="CP692" i="4"/>
  <c r="CK667" i="4"/>
  <c r="CM877" i="4"/>
  <c r="CL895" i="4"/>
  <c r="CJ730" i="4"/>
  <c r="CK894" i="4"/>
  <c r="CH742" i="4"/>
  <c r="CH788" i="4" s="1"/>
  <c r="CH915" i="4"/>
  <c r="CJ674" i="4"/>
  <c r="CJ716" i="4" s="1"/>
  <c r="CJ919" i="4" s="1"/>
  <c r="CJ680" i="4"/>
  <c r="CJ722" i="4" s="1"/>
  <c r="CJ925" i="4" s="1"/>
  <c r="CJ715" i="4"/>
  <c r="CL882" i="4"/>
  <c r="CJ622" i="4"/>
  <c r="CJ664" i="4" s="1"/>
  <c r="CM872" i="4"/>
  <c r="CP499" i="2"/>
  <c r="CQ498" i="2"/>
  <c r="CP500" i="2"/>
  <c r="CK956" i="4"/>
  <c r="CL860" i="4"/>
  <c r="EM396" i="2"/>
  <c r="EM385" i="2"/>
  <c r="CJ949" i="4"/>
  <c r="CK673" i="4"/>
  <c r="CK679" i="4"/>
  <c r="CK721" i="4" s="1"/>
  <c r="CN753" i="4"/>
  <c r="CW691" i="4"/>
  <c r="CW651" i="4"/>
  <c r="CH925" i="4"/>
  <c r="CH724" i="4"/>
  <c r="CH927" i="4" s="1"/>
  <c r="ED397" i="2"/>
  <c r="EC398" i="2"/>
  <c r="EC154" i="3"/>
  <c r="CL888" i="4"/>
  <c r="CK727" i="4"/>
  <c r="CK930" i="4" s="1"/>
  <c r="CI658" i="4"/>
  <c r="CI697" i="4"/>
  <c r="CH779" i="4"/>
  <c r="CQ810" i="4"/>
  <c r="CP816" i="4"/>
  <c r="CK638" i="4"/>
  <c r="CK686" i="4" s="1"/>
  <c r="CK626" i="4"/>
  <c r="CK668" i="4" s="1"/>
  <c r="CY644" i="4"/>
  <c r="CJ697" i="4"/>
  <c r="CO515" i="2"/>
  <c r="CP514" i="2"/>
  <c r="CJ740" i="4"/>
  <c r="CJ786" i="4" s="1"/>
  <c r="CH698" i="4"/>
  <c r="CH658" i="4"/>
  <c r="CL590" i="4"/>
  <c r="CM590" i="4" s="1"/>
  <c r="CM568" i="4"/>
  <c r="CL876" i="4"/>
  <c r="CI712" i="4"/>
  <c r="CI948" i="4"/>
  <c r="CI951" i="4" s="1"/>
  <c r="CI739" i="4"/>
  <c r="CI785" i="4" s="1"/>
  <c r="CI912" i="4"/>
  <c r="CO865" i="4"/>
  <c r="CM866" i="4"/>
  <c r="CL625" i="4"/>
  <c r="CL637" i="4"/>
  <c r="CL685" i="4" s="1"/>
  <c r="CM685" i="4" s="1"/>
  <c r="CO817" i="4"/>
  <c r="CO883" i="4" s="1"/>
  <c r="CP811" i="4"/>
  <c r="CP817" i="4" s="1"/>
  <c r="DR643" i="4"/>
  <c r="CI724" i="4"/>
  <c r="CI927" i="4" s="1"/>
  <c r="CI924" i="4"/>
  <c r="CI901" i="4"/>
  <c r="EW769" i="4" l="1"/>
  <c r="EW761" i="4" s="1"/>
  <c r="EZ768" i="4"/>
  <c r="EZ773" i="4" s="1"/>
  <c r="EZ774" i="4" s="1"/>
  <c r="EZ795" i="4" s="1"/>
  <c r="FA765" i="4"/>
  <c r="FA767" i="4"/>
  <c r="EY768" i="4"/>
  <c r="EY773" i="4" s="1"/>
  <c r="EW77" i="2"/>
  <c r="EY77" i="2"/>
  <c r="FA77" i="2" s="1"/>
  <c r="EZ77" i="2" s="1"/>
  <c r="EY762" i="4"/>
  <c r="FA760" i="4"/>
  <c r="EZ762" i="4"/>
  <c r="DW324" i="2"/>
  <c r="DV307" i="2"/>
  <c r="DV324" i="2" s="1"/>
  <c r="DH478" i="2"/>
  <c r="DH481" i="2"/>
  <c r="DH482" i="2" s="1"/>
  <c r="EC271" i="2"/>
  <c r="EA269" i="2"/>
  <c r="EA64" i="3" s="1"/>
  <c r="DZ64" i="3"/>
  <c r="DY269" i="2"/>
  <c r="DY64" i="3" s="1"/>
  <c r="DY66" i="3" s="1"/>
  <c r="EN280" i="2"/>
  <c r="EP280" i="2"/>
  <c r="EO276" i="2"/>
  <c r="DQ414" i="2"/>
  <c r="DO415" i="2"/>
  <c r="EQ138" i="2"/>
  <c r="ES138" i="2"/>
  <c r="EU138" i="2" s="1"/>
  <c r="DE481" i="2"/>
  <c r="DE482" i="2" s="1"/>
  <c r="DE478" i="2"/>
  <c r="ER770" i="4"/>
  <c r="CI706" i="4"/>
  <c r="CI909" i="4" s="1"/>
  <c r="EU768" i="4"/>
  <c r="ES770" i="4"/>
  <c r="ES773" i="4"/>
  <c r="ES774" i="4" s="1"/>
  <c r="ES795" i="4" s="1"/>
  <c r="EX791" i="4"/>
  <c r="EX762" i="4"/>
  <c r="EX767" i="4"/>
  <c r="EV768" i="4"/>
  <c r="CC225" i="3"/>
  <c r="CO411" i="2"/>
  <c r="CO472" i="2" s="1"/>
  <c r="CP472" i="2"/>
  <c r="CC221" i="2"/>
  <c r="CD222" i="2"/>
  <c r="CC222" i="2" s="1"/>
  <c r="CI348" i="2"/>
  <c r="CJ222" i="3"/>
  <c r="CO410" i="2"/>
  <c r="CO25" i="2" s="1"/>
  <c r="CP25" i="2"/>
  <c r="CS441" i="2"/>
  <c r="CQ410" i="2"/>
  <c r="CQ409" i="2"/>
  <c r="CQ397" i="2" s="1"/>
  <c r="CQ411" i="2"/>
  <c r="CQ472" i="2" s="1"/>
  <c r="CF365" i="2"/>
  <c r="CF366" i="2"/>
  <c r="CF224" i="3" s="1"/>
  <c r="CG22" i="2"/>
  <c r="CG349" i="2"/>
  <c r="CI937" i="4"/>
  <c r="ER769" i="4"/>
  <c r="ER761" i="4" s="1"/>
  <c r="ER793" i="4"/>
  <c r="CI734" i="4"/>
  <c r="CI780" i="4" s="1"/>
  <c r="CI676" i="4"/>
  <c r="CJ742" i="4"/>
  <c r="CJ788" i="4" s="1"/>
  <c r="DJ72" i="4"/>
  <c r="DJ62" i="4"/>
  <c r="DM62" i="4"/>
  <c r="DK51" i="4"/>
  <c r="DN60" i="4"/>
  <c r="DK70" i="4"/>
  <c r="DK60" i="4"/>
  <c r="CJ951" i="4"/>
  <c r="CJ945" i="4"/>
  <c r="CK688" i="4"/>
  <c r="CK632" i="4"/>
  <c r="CK674" i="4" s="1"/>
  <c r="CK716" i="4" s="1"/>
  <c r="CK919" i="4" s="1"/>
  <c r="CL631" i="4"/>
  <c r="CL673" i="4" s="1"/>
  <c r="CJ658" i="4"/>
  <c r="CK896" i="4"/>
  <c r="CL633" i="4"/>
  <c r="CL621" i="4"/>
  <c r="CJ735" i="4"/>
  <c r="CJ781" i="4" s="1"/>
  <c r="CJ938" i="4"/>
  <c r="CJ902" i="4"/>
  <c r="CN569" i="4"/>
  <c r="CK944" i="4"/>
  <c r="CK657" i="4"/>
  <c r="CK699" i="4" s="1"/>
  <c r="CK663" i="4"/>
  <c r="CK705" i="4" s="1"/>
  <c r="CK908" i="4" s="1"/>
  <c r="CK711" i="4"/>
  <c r="CM591" i="4"/>
  <c r="CM585" i="4" s="1"/>
  <c r="CL639" i="4"/>
  <c r="CL687" i="4" s="1"/>
  <c r="CL729" i="4" s="1"/>
  <c r="CL627" i="4"/>
  <c r="CL669" i="4" s="1"/>
  <c r="CL711" i="4" s="1"/>
  <c r="CK675" i="4"/>
  <c r="CK717" i="4" s="1"/>
  <c r="CK920" i="4" s="1"/>
  <c r="CK681" i="4"/>
  <c r="CK723" i="4" s="1"/>
  <c r="CK926" i="4" s="1"/>
  <c r="CK729" i="4"/>
  <c r="CK932" i="4" s="1"/>
  <c r="CL894" i="4"/>
  <c r="CL592" i="4"/>
  <c r="CL640" i="4" s="1"/>
  <c r="CJ676" i="4"/>
  <c r="CK620" i="4"/>
  <c r="CK622" i="4" s="1"/>
  <c r="CK664" i="4" s="1"/>
  <c r="CL584" i="4"/>
  <c r="CL632" i="4" s="1"/>
  <c r="CK957" i="4"/>
  <c r="CL890" i="4"/>
  <c r="CL891" i="4" s="1"/>
  <c r="CN859" i="4"/>
  <c r="CM955" i="4"/>
  <c r="CL878" i="4"/>
  <c r="CL884" i="4"/>
  <c r="CL885" i="4" s="1"/>
  <c r="CJ706" i="4"/>
  <c r="CJ909" i="4" s="1"/>
  <c r="CM638" i="4"/>
  <c r="CM626" i="4"/>
  <c r="CP865" i="4"/>
  <c r="CK710" i="4"/>
  <c r="EE397" i="2"/>
  <c r="ED400" i="2"/>
  <c r="ED398" i="2"/>
  <c r="CK709" i="4"/>
  <c r="CK670" i="4"/>
  <c r="CY650" i="4"/>
  <c r="CJ933" i="4"/>
  <c r="CP515" i="2"/>
  <c r="CQ514" i="2"/>
  <c r="CN866" i="4"/>
  <c r="CQ811" i="4"/>
  <c r="CR810" i="4"/>
  <c r="CQ816" i="4"/>
  <c r="CM860" i="4"/>
  <c r="CL956" i="4"/>
  <c r="DG645" i="4"/>
  <c r="DS643" i="4"/>
  <c r="CI742" i="4"/>
  <c r="CI788" i="4" s="1"/>
  <c r="CI915" i="4"/>
  <c r="CQ499" i="2"/>
  <c r="CR498" i="2"/>
  <c r="CQ500" i="2"/>
  <c r="CJ718" i="4"/>
  <c r="CJ921" i="4" s="1"/>
  <c r="CJ918" i="4"/>
  <c r="CN877" i="4"/>
  <c r="CM895" i="4"/>
  <c r="CL954" i="4"/>
  <c r="CM858" i="4"/>
  <c r="CL861" i="4"/>
  <c r="CO813" i="4"/>
  <c r="CN819" i="4"/>
  <c r="CN889" i="4"/>
  <c r="ER374" i="2"/>
  <c r="EO384" i="2"/>
  <c r="EP374" i="2"/>
  <c r="CH919" i="4"/>
  <c r="CH718" i="4"/>
  <c r="CH921" i="4" s="1"/>
  <c r="CV652" i="4"/>
  <c r="CX693" i="4"/>
  <c r="CM584" i="4"/>
  <c r="CN568" i="4"/>
  <c r="CI700" i="4"/>
  <c r="CI733" i="4"/>
  <c r="CI936" i="4"/>
  <c r="CI900" i="4"/>
  <c r="CX691" i="4"/>
  <c r="CN872" i="4"/>
  <c r="CM619" i="4"/>
  <c r="CM631" i="4"/>
  <c r="CO818" i="4"/>
  <c r="CP812" i="4"/>
  <c r="CP818" i="4" s="1"/>
  <c r="CG780" i="4"/>
  <c r="CG736" i="4"/>
  <c r="CG782" i="4" s="1"/>
  <c r="EM384" i="2"/>
  <c r="EN374" i="2"/>
  <c r="CM882" i="4"/>
  <c r="CG939" i="4"/>
  <c r="CG903" i="4"/>
  <c r="CP871" i="4"/>
  <c r="CL727" i="4"/>
  <c r="CM727" i="4" s="1"/>
  <c r="CM876" i="4"/>
  <c r="CH734" i="4"/>
  <c r="CH937" i="4"/>
  <c r="CH901" i="4"/>
  <c r="CH700" i="4"/>
  <c r="CJ733" i="4"/>
  <c r="CJ700" i="4"/>
  <c r="CJ936" i="4"/>
  <c r="CJ900" i="4"/>
  <c r="CX651" i="4"/>
  <c r="CK715" i="4"/>
  <c r="CK924" i="4"/>
  <c r="CK628" i="4"/>
  <c r="CO567" i="4"/>
  <c r="CN589" i="4"/>
  <c r="CN583" i="4" s="1"/>
  <c r="CJ734" i="4"/>
  <c r="CJ780" i="4" s="1"/>
  <c r="CJ937" i="4"/>
  <c r="CJ901" i="4"/>
  <c r="CN751" i="4"/>
  <c r="CM754" i="4"/>
  <c r="CJ724" i="4"/>
  <c r="CJ927" i="4" s="1"/>
  <c r="CL667" i="4"/>
  <c r="CI718" i="4"/>
  <c r="CI921" i="4" s="1"/>
  <c r="CI918" i="4"/>
  <c r="CM864" i="4"/>
  <c r="CL867" i="4"/>
  <c r="CK728" i="4"/>
  <c r="CO753" i="4"/>
  <c r="CM570" i="4"/>
  <c r="EK384" i="2"/>
  <c r="CL873" i="4"/>
  <c r="CM870" i="4"/>
  <c r="CP883" i="4"/>
  <c r="CL638" i="4"/>
  <c r="CL686" i="4" s="1"/>
  <c r="CL728" i="4" s="1"/>
  <c r="CL931" i="4" s="1"/>
  <c r="CL626" i="4"/>
  <c r="CL668" i="4" s="1"/>
  <c r="CL710" i="4" s="1"/>
  <c r="CZ644" i="4"/>
  <c r="CM888" i="4"/>
  <c r="CQ692" i="4"/>
  <c r="CK897" i="4"/>
  <c r="CL655" i="4"/>
  <c r="CL661" i="4"/>
  <c r="CL703" i="4" s="1"/>
  <c r="CL906" i="4" s="1"/>
  <c r="CX649" i="4"/>
  <c r="CK697" i="4"/>
  <c r="CK906" i="4"/>
  <c r="CV752" i="4"/>
  <c r="FA768" i="4" l="1"/>
  <c r="EY770" i="4"/>
  <c r="EY769" i="4"/>
  <c r="EY761" i="4" s="1"/>
  <c r="FA791" i="4"/>
  <c r="FA773" i="4"/>
  <c r="FA762" i="4"/>
  <c r="EZ770" i="4"/>
  <c r="EZ769" i="4"/>
  <c r="EZ761" i="4" s="1"/>
  <c r="DH483" i="2"/>
  <c r="DH484" i="2" s="1"/>
  <c r="DH485" i="2" s="1"/>
  <c r="EB271" i="2"/>
  <c r="ED271" i="2"/>
  <c r="EC269" i="2"/>
  <c r="EA66" i="3"/>
  <c r="DZ66" i="3"/>
  <c r="EN276" i="2"/>
  <c r="EP276" i="2"/>
  <c r="ER280" i="2"/>
  <c r="DR414" i="2"/>
  <c r="DP414" i="2"/>
  <c r="DQ415" i="2"/>
  <c r="DP415" i="2" s="1"/>
  <c r="ET138" i="2"/>
  <c r="EV138" i="2"/>
  <c r="EX138" i="2" s="1"/>
  <c r="DE483" i="2"/>
  <c r="ES769" i="4"/>
  <c r="ES761" i="4" s="1"/>
  <c r="EU793" i="4"/>
  <c r="EU770" i="4"/>
  <c r="EU773" i="4"/>
  <c r="EU774" i="4" s="1"/>
  <c r="EU795" i="4" s="1"/>
  <c r="CQ25" i="2"/>
  <c r="EV770" i="4"/>
  <c r="EX768" i="4"/>
  <c r="EV773" i="4"/>
  <c r="EV774" i="4" s="1"/>
  <c r="EV795" i="4" s="1"/>
  <c r="CF349" i="2"/>
  <c r="CG221" i="2"/>
  <c r="CG225" i="3"/>
  <c r="CG365" i="2"/>
  <c r="CG366" i="2"/>
  <c r="CG224" i="3" s="1"/>
  <c r="CT441" i="2"/>
  <c r="CS409" i="2"/>
  <c r="CS410" i="2"/>
  <c r="CS411" i="2"/>
  <c r="CQ398" i="2"/>
  <c r="CQ400" i="2"/>
  <c r="CJ348" i="2"/>
  <c r="CJ352" i="2"/>
  <c r="CJ24" i="2" s="1"/>
  <c r="CI22" i="2"/>
  <c r="CK634" i="4"/>
  <c r="CK682" i="4" s="1"/>
  <c r="CK680" i="4"/>
  <c r="CK722" i="4" s="1"/>
  <c r="CK925" i="4" s="1"/>
  <c r="DK72" i="4"/>
  <c r="DK62" i="4"/>
  <c r="DN62" i="4"/>
  <c r="CL942" i="4"/>
  <c r="CL930" i="4"/>
  <c r="CK662" i="4"/>
  <c r="CK704" i="4" s="1"/>
  <c r="CK907" i="4" s="1"/>
  <c r="CL679" i="4"/>
  <c r="CL721" i="4" s="1"/>
  <c r="CL924" i="4" s="1"/>
  <c r="CM687" i="4"/>
  <c r="CK656" i="4"/>
  <c r="CK698" i="4" s="1"/>
  <c r="CK700" i="4" s="1"/>
  <c r="CK943" i="4"/>
  <c r="CK945" i="4" s="1"/>
  <c r="CL634" i="4"/>
  <c r="CL682" i="4" s="1"/>
  <c r="CM592" i="4"/>
  <c r="CM640" i="4" s="1"/>
  <c r="CL586" i="4"/>
  <c r="CL620" i="4"/>
  <c r="CL622" i="4" s="1"/>
  <c r="CL664" i="4" s="1"/>
  <c r="CK730" i="4"/>
  <c r="CK933" i="4" s="1"/>
  <c r="CM586" i="4"/>
  <c r="CM729" i="4"/>
  <c r="CL950" i="4"/>
  <c r="CL741" i="4"/>
  <c r="CL787" i="4" s="1"/>
  <c r="CL914" i="4"/>
  <c r="CK741" i="4"/>
  <c r="CK787" i="4" s="1"/>
  <c r="CK950" i="4"/>
  <c r="CK914" i="4"/>
  <c r="CO569" i="4"/>
  <c r="CN591" i="4"/>
  <c r="CN585" i="4" s="1"/>
  <c r="CM633" i="4"/>
  <c r="CM621" i="4"/>
  <c r="CL663" i="4"/>
  <c r="CL705" i="4" s="1"/>
  <c r="CL908" i="4" s="1"/>
  <c r="CL944" i="4"/>
  <c r="CL657" i="4"/>
  <c r="CL699" i="4" s="1"/>
  <c r="CM639" i="4"/>
  <c r="CM627" i="4"/>
  <c r="CM628" i="4" s="1"/>
  <c r="CK735" i="4"/>
  <c r="CK781" i="4" s="1"/>
  <c r="CK938" i="4"/>
  <c r="CK902" i="4"/>
  <c r="CL675" i="4"/>
  <c r="CL717" i="4" s="1"/>
  <c r="CL920" i="4" s="1"/>
  <c r="CL681" i="4"/>
  <c r="CL723" i="4" s="1"/>
  <c r="CL926" i="4" s="1"/>
  <c r="CM669" i="4"/>
  <c r="CM711" i="4" s="1"/>
  <c r="CL896" i="4"/>
  <c r="CL879" i="4"/>
  <c r="CL897" i="4" s="1"/>
  <c r="CL688" i="4"/>
  <c r="CM668" i="4"/>
  <c r="CM710" i="4" s="1"/>
  <c r="CM884" i="4"/>
  <c r="CM885" i="4" s="1"/>
  <c r="CN955" i="4"/>
  <c r="CO859" i="4"/>
  <c r="CM890" i="4"/>
  <c r="CM891" i="4" s="1"/>
  <c r="CL932" i="4"/>
  <c r="CL628" i="4"/>
  <c r="CL957" i="4"/>
  <c r="CM878" i="4"/>
  <c r="CN619" i="4"/>
  <c r="CN631" i="4"/>
  <c r="CJ939" i="4"/>
  <c r="CJ903" i="4"/>
  <c r="CM673" i="4"/>
  <c r="CM679" i="4"/>
  <c r="CM721" i="4" s="1"/>
  <c r="CM924" i="4" s="1"/>
  <c r="CL709" i="4"/>
  <c r="CL670" i="4"/>
  <c r="CM670" i="4" s="1"/>
  <c r="CW752" i="4"/>
  <c r="CM873" i="4"/>
  <c r="CN870" i="4"/>
  <c r="CM867" i="4"/>
  <c r="CP567" i="4"/>
  <c r="CO589" i="4"/>
  <c r="CO583" i="4" s="1"/>
  <c r="CK676" i="4"/>
  <c r="EN385" i="2"/>
  <c r="EN396" i="2"/>
  <c r="CY691" i="4"/>
  <c r="CM632" i="4"/>
  <c r="CM620" i="4"/>
  <c r="CO877" i="4"/>
  <c r="CN895" i="4"/>
  <c r="CL674" i="4"/>
  <c r="CL716" i="4" s="1"/>
  <c r="CL919" i="4" s="1"/>
  <c r="CL680" i="4"/>
  <c r="CL722" i="4" s="1"/>
  <c r="CL925" i="4" s="1"/>
  <c r="CM667" i="4"/>
  <c r="CM709" i="4" s="1"/>
  <c r="CM912" i="4" s="1"/>
  <c r="CO889" i="4"/>
  <c r="CM954" i="4"/>
  <c r="CM861" i="4"/>
  <c r="CN858" i="4"/>
  <c r="CM956" i="4"/>
  <c r="CN860" i="4"/>
  <c r="CQ812" i="4"/>
  <c r="CQ817" i="4"/>
  <c r="CQ883" i="4" s="1"/>
  <c r="CR811" i="4"/>
  <c r="CL949" i="4"/>
  <c r="CL740" i="4"/>
  <c r="CL786" i="4" s="1"/>
  <c r="CL913" i="4"/>
  <c r="CM728" i="4"/>
  <c r="CM931" i="4" s="1"/>
  <c r="CK931" i="4"/>
  <c r="CO751" i="4"/>
  <c r="CN754" i="4"/>
  <c r="CN625" i="4"/>
  <c r="CN637" i="4"/>
  <c r="CN685" i="4" s="1"/>
  <c r="CK718" i="4"/>
  <c r="CK921" i="4" s="1"/>
  <c r="CK918" i="4"/>
  <c r="CO872" i="4"/>
  <c r="CN590" i="4"/>
  <c r="CO568" i="4"/>
  <c r="CY693" i="4"/>
  <c r="CW652" i="4"/>
  <c r="CO819" i="4"/>
  <c r="CP813" i="4"/>
  <c r="CP819" i="4" s="1"/>
  <c r="CR499" i="2"/>
  <c r="CS498" i="2"/>
  <c r="CR500" i="2"/>
  <c r="DT643" i="4"/>
  <c r="CY649" i="4"/>
  <c r="CK733" i="4"/>
  <c r="CK936" i="4"/>
  <c r="CK900" i="4"/>
  <c r="CR692" i="4"/>
  <c r="DA644" i="4"/>
  <c r="CP753" i="4"/>
  <c r="CN864" i="4"/>
  <c r="CM894" i="4"/>
  <c r="CN570" i="4"/>
  <c r="CH780" i="4"/>
  <c r="CH736" i="4"/>
  <c r="CH782" i="4" s="1"/>
  <c r="CL715" i="4"/>
  <c r="EP385" i="2"/>
  <c r="EP396" i="2"/>
  <c r="DH645" i="4"/>
  <c r="CR816" i="4"/>
  <c r="CS810" i="4"/>
  <c r="CO866" i="4"/>
  <c r="EF397" i="2"/>
  <c r="EE400" i="2"/>
  <c r="EF400" i="2" s="1"/>
  <c r="EE154" i="3"/>
  <c r="EE398" i="2"/>
  <c r="CQ865" i="4"/>
  <c r="CL697" i="4"/>
  <c r="CY651" i="4"/>
  <c r="CK739" i="4"/>
  <c r="CK785" i="4" s="1"/>
  <c r="CK712" i="4"/>
  <c r="CK948" i="4"/>
  <c r="CK912" i="4"/>
  <c r="CJ736" i="4"/>
  <c r="CJ782" i="4" s="1"/>
  <c r="CJ779" i="4"/>
  <c r="CI736" i="4"/>
  <c r="CI782" i="4" s="1"/>
  <c r="CI779" i="4"/>
  <c r="ER396" i="2"/>
  <c r="ER385" i="2"/>
  <c r="CZ650" i="4"/>
  <c r="CK740" i="4"/>
  <c r="CK786" i="4" s="1"/>
  <c r="CK949" i="4"/>
  <c r="CK913" i="4"/>
  <c r="CM930" i="4"/>
  <c r="CN888" i="4"/>
  <c r="CM686" i="4"/>
  <c r="CH939" i="4"/>
  <c r="CH903" i="4"/>
  <c r="CN876" i="4"/>
  <c r="CL730" i="4"/>
  <c r="CL933" i="4" s="1"/>
  <c r="CQ871" i="4"/>
  <c r="CN882" i="4"/>
  <c r="CM942" i="4"/>
  <c r="CM655" i="4"/>
  <c r="CM661" i="4"/>
  <c r="CM703" i="4" s="1"/>
  <c r="CM906" i="4" s="1"/>
  <c r="CI939" i="4"/>
  <c r="CI903" i="4"/>
  <c r="CR514" i="2"/>
  <c r="CQ515" i="2"/>
  <c r="EY774" i="4" l="1"/>
  <c r="EY795" i="4" s="1"/>
  <c r="EW138" i="2"/>
  <c r="EY138" i="2"/>
  <c r="FA138" i="2" s="1"/>
  <c r="EZ138" i="2" s="1"/>
  <c r="FA770" i="4"/>
  <c r="FA793" i="4"/>
  <c r="FA769" i="4"/>
  <c r="FA761" i="4" s="1"/>
  <c r="I14" i="9"/>
  <c r="EB269" i="2"/>
  <c r="EB64" i="3" s="1"/>
  <c r="EB66" i="3" s="1"/>
  <c r="EC64" i="3"/>
  <c r="EF271" i="2"/>
  <c r="ED269" i="2"/>
  <c r="ED64" i="3" s="1"/>
  <c r="ES280" i="2"/>
  <c r="EQ280" i="2"/>
  <c r="ER276" i="2"/>
  <c r="DR415" i="2"/>
  <c r="DT414" i="2"/>
  <c r="DE484" i="2"/>
  <c r="DE485" i="2" s="1"/>
  <c r="EU769" i="4"/>
  <c r="EU761" i="4" s="1"/>
  <c r="EU374" i="2"/>
  <c r="ES374" i="2"/>
  <c r="EX793" i="4"/>
  <c r="EX770" i="4"/>
  <c r="EX773" i="4"/>
  <c r="EX774" i="4" s="1"/>
  <c r="EX795" i="4" s="1"/>
  <c r="EV769" i="4"/>
  <c r="EV761" i="4" s="1"/>
  <c r="CF225" i="3"/>
  <c r="CI365" i="2"/>
  <c r="CI366" i="2"/>
  <c r="CI224" i="3" s="1"/>
  <c r="CQ20" i="2"/>
  <c r="CR410" i="2"/>
  <c r="CG222" i="2"/>
  <c r="CF222" i="2" s="1"/>
  <c r="CF221" i="2"/>
  <c r="CQ14" i="2"/>
  <c r="CQ11" i="2"/>
  <c r="CR409" i="2"/>
  <c r="CR397" i="2" s="1"/>
  <c r="CS397" i="2"/>
  <c r="CJ22" i="2"/>
  <c r="CJ349" i="2"/>
  <c r="CV441" i="2"/>
  <c r="CT409" i="2"/>
  <c r="CT397" i="2" s="1"/>
  <c r="CT410" i="2"/>
  <c r="CT411" i="2"/>
  <c r="CT472" i="2" s="1"/>
  <c r="CR411" i="2"/>
  <c r="CR472" i="2" s="1"/>
  <c r="CS472" i="2"/>
  <c r="CK724" i="4"/>
  <c r="CK927" i="4" s="1"/>
  <c r="DK8" i="4"/>
  <c r="CK734" i="4"/>
  <c r="CK780" i="4" s="1"/>
  <c r="CL662" i="4"/>
  <c r="CL704" i="4" s="1"/>
  <c r="CL907" i="4" s="1"/>
  <c r="CL943" i="4"/>
  <c r="CL945" i="4" s="1"/>
  <c r="CL656" i="4"/>
  <c r="CL698" i="4" s="1"/>
  <c r="CL700" i="4" s="1"/>
  <c r="CM688" i="4"/>
  <c r="CO570" i="4"/>
  <c r="CK706" i="4"/>
  <c r="CK909" i="4" s="1"/>
  <c r="CK937" i="4"/>
  <c r="CK901" i="4"/>
  <c r="CK658" i="4"/>
  <c r="CL676" i="4"/>
  <c r="CM949" i="4"/>
  <c r="CM622" i="4"/>
  <c r="CM664" i="4" s="1"/>
  <c r="CM913" i="4"/>
  <c r="CM896" i="4"/>
  <c r="CM879" i="4"/>
  <c r="CM897" i="4" s="1"/>
  <c r="CN592" i="4"/>
  <c r="CN640" i="4" s="1"/>
  <c r="CM740" i="4"/>
  <c r="CM786" i="4" s="1"/>
  <c r="CM957" i="4"/>
  <c r="CM944" i="4"/>
  <c r="CM663" i="4"/>
  <c r="CM705" i="4" s="1"/>
  <c r="CM908" i="4" s="1"/>
  <c r="CM657" i="4"/>
  <c r="CM699" i="4" s="1"/>
  <c r="CN621" i="4"/>
  <c r="CN633" i="4"/>
  <c r="CM950" i="4"/>
  <c r="CM741" i="4"/>
  <c r="CM787" i="4" s="1"/>
  <c r="CM914" i="4"/>
  <c r="CL735" i="4"/>
  <c r="CL781" i="4" s="1"/>
  <c r="CL938" i="4"/>
  <c r="CL902" i="4"/>
  <c r="CM675" i="4"/>
  <c r="CM717" i="4" s="1"/>
  <c r="CM920" i="4" s="1"/>
  <c r="CM681" i="4"/>
  <c r="CM723" i="4" s="1"/>
  <c r="CM926" i="4" s="1"/>
  <c r="CN639" i="4"/>
  <c r="CN687" i="4" s="1"/>
  <c r="CN627" i="4"/>
  <c r="CN669" i="4" s="1"/>
  <c r="CP569" i="4"/>
  <c r="CQ569" i="4" s="1"/>
  <c r="CO591" i="4"/>
  <c r="CP591" i="4" s="1"/>
  <c r="CN894" i="4"/>
  <c r="CN884" i="4"/>
  <c r="CN885" i="4" s="1"/>
  <c r="CP589" i="4"/>
  <c r="CP625" i="4" s="1"/>
  <c r="CN878" i="4"/>
  <c r="CN879" i="4" s="1"/>
  <c r="CM932" i="4"/>
  <c r="CN890" i="4"/>
  <c r="CP859" i="4"/>
  <c r="CO955" i="4"/>
  <c r="CR515" i="2"/>
  <c r="CS514" i="2"/>
  <c r="EG397" i="2"/>
  <c r="EF398" i="2"/>
  <c r="EF154" i="3"/>
  <c r="CL718" i="4"/>
  <c r="CL921" i="4" s="1"/>
  <c r="CL918" i="4"/>
  <c r="CZ649" i="4"/>
  <c r="CO860" i="4"/>
  <c r="CN956" i="4"/>
  <c r="CM674" i="4"/>
  <c r="CM716" i="4" s="1"/>
  <c r="CM919" i="4" s="1"/>
  <c r="CM680" i="4"/>
  <c r="CM722" i="4" s="1"/>
  <c r="CM925" i="4" s="1"/>
  <c r="CK951" i="4"/>
  <c r="DB644" i="4"/>
  <c r="CP889" i="4"/>
  <c r="CL724" i="4"/>
  <c r="CL927" i="4" s="1"/>
  <c r="CQ567" i="4"/>
  <c r="CM715" i="4"/>
  <c r="CM697" i="4"/>
  <c r="CO882" i="4"/>
  <c r="ER384" i="2"/>
  <c r="CK742" i="4"/>
  <c r="CK788" i="4" s="1"/>
  <c r="CK915" i="4"/>
  <c r="CZ651" i="4"/>
  <c r="DI645" i="4"/>
  <c r="EP384" i="2"/>
  <c r="EQ374" i="2"/>
  <c r="CO590" i="4"/>
  <c r="CO584" i="4" s="1"/>
  <c r="CP568" i="4"/>
  <c r="CN667" i="4"/>
  <c r="CO754" i="4"/>
  <c r="CP751" i="4"/>
  <c r="CQ813" i="4"/>
  <c r="CR812" i="4"/>
  <c r="CQ818" i="4"/>
  <c r="CN954" i="4"/>
  <c r="CN861" i="4"/>
  <c r="CO858" i="4"/>
  <c r="CP877" i="4"/>
  <c r="CO895" i="4"/>
  <c r="CO631" i="4"/>
  <c r="CO619" i="4"/>
  <c r="CL712" i="4"/>
  <c r="CL948" i="4"/>
  <c r="CL951" i="4" s="1"/>
  <c r="CL739" i="4"/>
  <c r="CL785" i="4" s="1"/>
  <c r="CL912" i="4"/>
  <c r="CM634" i="4"/>
  <c r="CM682" i="4" s="1"/>
  <c r="CN626" i="4"/>
  <c r="CN668" i="4" s="1"/>
  <c r="CN638" i="4"/>
  <c r="CN686" i="4" s="1"/>
  <c r="DU643" i="4"/>
  <c r="CS500" i="2"/>
  <c r="CS499" i="2"/>
  <c r="CT498" i="2"/>
  <c r="CZ693" i="4"/>
  <c r="CM730" i="4"/>
  <c r="CM933" i="4" s="1"/>
  <c r="CO876" i="4"/>
  <c r="CO888" i="4"/>
  <c r="CL733" i="4"/>
  <c r="CL936" i="4"/>
  <c r="CL900" i="4"/>
  <c r="CP866" i="4"/>
  <c r="CN867" i="4"/>
  <c r="CO864" i="4"/>
  <c r="CN584" i="4"/>
  <c r="CM739" i="4"/>
  <c r="CM785" i="4" s="1"/>
  <c r="CM948" i="4"/>
  <c r="CM712" i="4"/>
  <c r="CM943" i="4"/>
  <c r="CM656" i="4"/>
  <c r="CM698" i="4" s="1"/>
  <c r="CM662" i="4"/>
  <c r="CM704" i="4" s="1"/>
  <c r="CM907" i="4" s="1"/>
  <c r="CZ691" i="4"/>
  <c r="CN873" i="4"/>
  <c r="CO870" i="4"/>
  <c r="CR871" i="4"/>
  <c r="CS692" i="4"/>
  <c r="DA650" i="4"/>
  <c r="CR865" i="4"/>
  <c r="CT810" i="4"/>
  <c r="CS816" i="4"/>
  <c r="CQ753" i="4"/>
  <c r="CK903" i="4"/>
  <c r="CP872" i="4"/>
  <c r="EN384" i="2"/>
  <c r="CN673" i="4"/>
  <c r="CN679" i="4"/>
  <c r="CN721" i="4" s="1"/>
  <c r="CN924" i="4" s="1"/>
  <c r="CK779" i="4"/>
  <c r="CX652" i="4"/>
  <c r="CN727" i="4"/>
  <c r="CN930" i="4" s="1"/>
  <c r="CR817" i="4"/>
  <c r="CR883" i="4" s="1"/>
  <c r="CS811" i="4"/>
  <c r="CS817" i="4" s="1"/>
  <c r="CO625" i="4"/>
  <c r="CO637" i="4"/>
  <c r="CO685" i="4" s="1"/>
  <c r="CX752" i="4"/>
  <c r="CN942" i="4"/>
  <c r="CN655" i="4"/>
  <c r="CN661" i="4"/>
  <c r="CN703" i="4" s="1"/>
  <c r="CN906" i="4" s="1"/>
  <c r="FA774" i="4" l="1"/>
  <c r="FA795" i="4" s="1"/>
  <c r="EE271" i="2"/>
  <c r="EG271" i="2"/>
  <c r="EF269" i="2"/>
  <c r="ED66" i="3"/>
  <c r="EC66" i="3"/>
  <c r="EQ276" i="2"/>
  <c r="EU280" i="2"/>
  <c r="ES276" i="2"/>
  <c r="DU414" i="2"/>
  <c r="DS414" i="2"/>
  <c r="DT415" i="2"/>
  <c r="DS415" i="2" s="1"/>
  <c r="H14" i="9"/>
  <c r="ES385" i="2"/>
  <c r="ES396" i="2"/>
  <c r="EX769" i="4"/>
  <c r="EX761" i="4" s="1"/>
  <c r="EU385" i="2"/>
  <c r="EU396" i="2"/>
  <c r="CR154" i="3"/>
  <c r="CR400" i="2"/>
  <c r="CR398" i="2"/>
  <c r="CW441" i="2"/>
  <c r="CV409" i="2"/>
  <c r="CV410" i="2"/>
  <c r="CV411" i="2"/>
  <c r="CS398" i="2"/>
  <c r="CS154" i="3"/>
  <c r="CT25" i="2"/>
  <c r="CJ365" i="2"/>
  <c r="CJ366" i="2"/>
  <c r="CJ224" i="3" s="1"/>
  <c r="CQ222" i="3"/>
  <c r="CQ27" i="2"/>
  <c r="CS25" i="2"/>
  <c r="D19" i="9" s="1"/>
  <c r="CJ225" i="3"/>
  <c r="CI349" i="2"/>
  <c r="CJ221" i="2"/>
  <c r="CT400" i="2"/>
  <c r="CT398" i="2"/>
  <c r="CR25" i="2"/>
  <c r="CK939" i="4"/>
  <c r="CL706" i="4"/>
  <c r="CL909" i="4" s="1"/>
  <c r="CK736" i="4"/>
  <c r="CK782" i="4" s="1"/>
  <c r="CL734" i="4"/>
  <c r="CL780" i="4" s="1"/>
  <c r="CL901" i="4"/>
  <c r="CL937" i="4"/>
  <c r="CP637" i="4"/>
  <c r="CL658" i="4"/>
  <c r="CN688" i="4"/>
  <c r="CM951" i="4"/>
  <c r="CM724" i="4"/>
  <c r="CM927" i="4" s="1"/>
  <c r="CM945" i="4"/>
  <c r="CN957" i="4"/>
  <c r="CM676" i="4"/>
  <c r="CP590" i="4"/>
  <c r="CP592" i="4" s="1"/>
  <c r="CP640" i="4" s="1"/>
  <c r="CP583" i="4"/>
  <c r="CP631" i="4" s="1"/>
  <c r="CO592" i="4"/>
  <c r="CO640" i="4" s="1"/>
  <c r="CO585" i="4"/>
  <c r="CO586" i="4" s="1"/>
  <c r="CR569" i="4"/>
  <c r="CQ591" i="4"/>
  <c r="CP585" i="4"/>
  <c r="CP627" i="4"/>
  <c r="CP639" i="4"/>
  <c r="CN675" i="4"/>
  <c r="CN717" i="4" s="1"/>
  <c r="CN920" i="4" s="1"/>
  <c r="CN681" i="4"/>
  <c r="CN723" i="4" s="1"/>
  <c r="CN926" i="4" s="1"/>
  <c r="CN711" i="4"/>
  <c r="CN944" i="4"/>
  <c r="CN657" i="4"/>
  <c r="CN699" i="4" s="1"/>
  <c r="CN663" i="4"/>
  <c r="CN705" i="4" s="1"/>
  <c r="CN908" i="4" s="1"/>
  <c r="CO639" i="4"/>
  <c r="CO687" i="4" s="1"/>
  <c r="CO729" i="4" s="1"/>
  <c r="CO627" i="4"/>
  <c r="CO669" i="4" s="1"/>
  <c r="CO711" i="4" s="1"/>
  <c r="CN729" i="4"/>
  <c r="CN932" i="4" s="1"/>
  <c r="CM735" i="4"/>
  <c r="CM781" i="4" s="1"/>
  <c r="CM938" i="4"/>
  <c r="CM902" i="4"/>
  <c r="CN628" i="4"/>
  <c r="CO884" i="4"/>
  <c r="CO885" i="4" s="1"/>
  <c r="CO890" i="4"/>
  <c r="CO891" i="4" s="1"/>
  <c r="CM742" i="4"/>
  <c r="CM788" i="4" s="1"/>
  <c r="CO894" i="4"/>
  <c r="CM658" i="4"/>
  <c r="CN891" i="4"/>
  <c r="CN897" i="4" s="1"/>
  <c r="CN896" i="4"/>
  <c r="CP955" i="4"/>
  <c r="CQ859" i="4"/>
  <c r="CO878" i="4"/>
  <c r="CO879" i="4" s="1"/>
  <c r="CS883" i="4"/>
  <c r="CR753" i="4"/>
  <c r="CN632" i="4"/>
  <c r="CN620" i="4"/>
  <c r="CN586" i="4"/>
  <c r="CQ866" i="4"/>
  <c r="CR818" i="4"/>
  <c r="CS812" i="4"/>
  <c r="CS818" i="4" s="1"/>
  <c r="DA649" i="4"/>
  <c r="CN697" i="4"/>
  <c r="CP864" i="4"/>
  <c r="CO867" i="4"/>
  <c r="CL742" i="4"/>
  <c r="CL788" i="4" s="1"/>
  <c r="CL915" i="4"/>
  <c r="CY752" i="4"/>
  <c r="CS865" i="4"/>
  <c r="CS871" i="4"/>
  <c r="CM734" i="4"/>
  <c r="CM780" i="4" s="1"/>
  <c r="CM937" i="4"/>
  <c r="CM901" i="4"/>
  <c r="CL903" i="4"/>
  <c r="CP876" i="4"/>
  <c r="DA693" i="4"/>
  <c r="CO632" i="4"/>
  <c r="CO620" i="4"/>
  <c r="EQ396" i="2"/>
  <c r="EQ385" i="2"/>
  <c r="EH397" i="2"/>
  <c r="EG400" i="2"/>
  <c r="EG398" i="2"/>
  <c r="CO942" i="4"/>
  <c r="CO655" i="4"/>
  <c r="CO661" i="4"/>
  <c r="CO703" i="4" s="1"/>
  <c r="CQ568" i="4"/>
  <c r="CQ570" i="4" s="1"/>
  <c r="CP882" i="4"/>
  <c r="CO727" i="4"/>
  <c r="CO930" i="4" s="1"/>
  <c r="DB650" i="4"/>
  <c r="CT692" i="4"/>
  <c r="CL779" i="4"/>
  <c r="CP888" i="4"/>
  <c r="CT500" i="2"/>
  <c r="CT499" i="2"/>
  <c r="CU498" i="2"/>
  <c r="CQ877" i="4"/>
  <c r="CP895" i="4"/>
  <c r="CQ751" i="4"/>
  <c r="CP754" i="4"/>
  <c r="CO626" i="4"/>
  <c r="CO668" i="4" s="1"/>
  <c r="CO710" i="4" s="1"/>
  <c r="CO638" i="4"/>
  <c r="CO686" i="4" s="1"/>
  <c r="CO728" i="4" s="1"/>
  <c r="CO931" i="4" s="1"/>
  <c r="DA651" i="4"/>
  <c r="CM718" i="4"/>
  <c r="CM921" i="4" s="1"/>
  <c r="CM918" i="4"/>
  <c r="CT514" i="2"/>
  <c r="CS515" i="2"/>
  <c r="DJ645" i="4"/>
  <c r="CN728" i="4"/>
  <c r="CP858" i="4"/>
  <c r="CO861" i="4"/>
  <c r="CO954" i="4"/>
  <c r="CR813" i="4"/>
  <c r="CQ819" i="4"/>
  <c r="CM733" i="4"/>
  <c r="CM700" i="4"/>
  <c r="CM936" i="4"/>
  <c r="CM900" i="4"/>
  <c r="CQ889" i="4"/>
  <c r="DC644" i="4"/>
  <c r="CY652" i="4"/>
  <c r="CN715" i="4"/>
  <c r="CR567" i="4"/>
  <c r="CQ589" i="4"/>
  <c r="CP860" i="4"/>
  <c r="CO956" i="4"/>
  <c r="CO667" i="4"/>
  <c r="CP667" i="4" s="1"/>
  <c r="CP709" i="4" s="1"/>
  <c r="CQ872" i="4"/>
  <c r="CM915" i="4"/>
  <c r="CP685" i="4"/>
  <c r="CM706" i="4"/>
  <c r="CM909" i="4" s="1"/>
  <c r="CT811" i="4"/>
  <c r="CT816" i="4"/>
  <c r="CU810" i="4"/>
  <c r="CP870" i="4"/>
  <c r="CO873" i="4"/>
  <c r="DA691" i="4"/>
  <c r="DV643" i="4"/>
  <c r="CN710" i="4"/>
  <c r="CO673" i="4"/>
  <c r="CO679" i="4"/>
  <c r="CO721" i="4" s="1"/>
  <c r="CO924" i="4" s="1"/>
  <c r="CN709" i="4"/>
  <c r="CN670" i="4"/>
  <c r="CP570" i="4"/>
  <c r="EE269" i="2" l="1"/>
  <c r="EE64" i="3" s="1"/>
  <c r="EE66" i="3" s="1"/>
  <c r="EF64" i="3"/>
  <c r="EI271" i="2"/>
  <c r="EG269" i="2"/>
  <c r="EG64" i="3" s="1"/>
  <c r="EU276" i="2"/>
  <c r="EV280" i="2"/>
  <c r="ET280" i="2"/>
  <c r="DW414" i="2"/>
  <c r="DU415" i="2"/>
  <c r="CL939" i="4"/>
  <c r="ET374" i="2"/>
  <c r="ES384" i="2"/>
  <c r="EX374" i="2"/>
  <c r="EV374" i="2"/>
  <c r="EU384" i="2"/>
  <c r="CI225" i="3"/>
  <c r="CI221" i="2"/>
  <c r="CJ222" i="2"/>
  <c r="CI222" i="2" s="1"/>
  <c r="CT20" i="2"/>
  <c r="D20" i="9"/>
  <c r="CQ348" i="2"/>
  <c r="CS11" i="2"/>
  <c r="CS14" i="2"/>
  <c r="CY441" i="2"/>
  <c r="CW409" i="2"/>
  <c r="CW397" i="2" s="1"/>
  <c r="CW398" i="2" s="1"/>
  <c r="CW410" i="2"/>
  <c r="CW411" i="2"/>
  <c r="CW472" i="2" s="1"/>
  <c r="CV472" i="2"/>
  <c r="CU411" i="2"/>
  <c r="CU472" i="2" s="1"/>
  <c r="CR14" i="2"/>
  <c r="CR11" i="2"/>
  <c r="CU410" i="2"/>
  <c r="CR20" i="2"/>
  <c r="CS400" i="2"/>
  <c r="CS20" i="2" s="1"/>
  <c r="D16" i="9" s="1"/>
  <c r="CT14" i="2"/>
  <c r="CT11" i="2"/>
  <c r="CV397" i="2"/>
  <c r="CU409" i="2"/>
  <c r="CU397" i="2" s="1"/>
  <c r="CL736" i="4"/>
  <c r="CL782" i="4" s="1"/>
  <c r="CP626" i="4"/>
  <c r="CP628" i="4" s="1"/>
  <c r="CO621" i="4"/>
  <c r="CO663" i="4" s="1"/>
  <c r="CO705" i="4" s="1"/>
  <c r="CO908" i="4" s="1"/>
  <c r="CP619" i="4"/>
  <c r="CP661" i="4" s="1"/>
  <c r="CP703" i="4" s="1"/>
  <c r="CP906" i="4" s="1"/>
  <c r="CO896" i="4"/>
  <c r="CP638" i="4"/>
  <c r="CP584" i="4"/>
  <c r="CP586" i="4" s="1"/>
  <c r="CN730" i="4"/>
  <c r="CN933" i="4" s="1"/>
  <c r="CO633" i="4"/>
  <c r="CO681" i="4" s="1"/>
  <c r="CO723" i="4" s="1"/>
  <c r="CO926" i="4" s="1"/>
  <c r="CP668" i="4"/>
  <c r="CP710" i="4" s="1"/>
  <c r="CP913" i="4" s="1"/>
  <c r="CO628" i="4"/>
  <c r="CP727" i="4"/>
  <c r="CP948" i="4" s="1"/>
  <c r="CO950" i="4"/>
  <c r="CO741" i="4"/>
  <c r="CO787" i="4" s="1"/>
  <c r="CO914" i="4"/>
  <c r="CN950" i="4"/>
  <c r="CN741" i="4"/>
  <c r="CN787" i="4" s="1"/>
  <c r="CN914" i="4"/>
  <c r="CP633" i="4"/>
  <c r="CP621" i="4"/>
  <c r="CP687" i="4"/>
  <c r="CP669" i="4"/>
  <c r="CP711" i="4" s="1"/>
  <c r="CQ585" i="4"/>
  <c r="CQ639" i="4"/>
  <c r="CQ687" i="4" s="1"/>
  <c r="CQ627" i="4"/>
  <c r="CQ669" i="4" s="1"/>
  <c r="CP729" i="4"/>
  <c r="CN735" i="4"/>
  <c r="CN781" i="4" s="1"/>
  <c r="CN938" i="4"/>
  <c r="CN902" i="4"/>
  <c r="CS569" i="4"/>
  <c r="CR591" i="4"/>
  <c r="CR585" i="4" s="1"/>
  <c r="CO957" i="4"/>
  <c r="CP894" i="4"/>
  <c r="CQ955" i="4"/>
  <c r="CR859" i="4"/>
  <c r="CP890" i="4"/>
  <c r="CO932" i="4"/>
  <c r="CP884" i="4"/>
  <c r="CP885" i="4" s="1"/>
  <c r="CP878" i="4"/>
  <c r="CP879" i="4" s="1"/>
  <c r="CQ754" i="4"/>
  <c r="CR751" i="4"/>
  <c r="EI397" i="2"/>
  <c r="EH400" i="2"/>
  <c r="EI400" i="2" s="1"/>
  <c r="EH398" i="2"/>
  <c r="EH154" i="3"/>
  <c r="DB693" i="4"/>
  <c r="CN656" i="4"/>
  <c r="CN943" i="4"/>
  <c r="CN945" i="4" s="1"/>
  <c r="CN662" i="4"/>
  <c r="CN704" i="4" s="1"/>
  <c r="CN622" i="4"/>
  <c r="CN664" i="4" s="1"/>
  <c r="DW643" i="4"/>
  <c r="CQ870" i="4"/>
  <c r="CP912" i="4"/>
  <c r="CP873" i="4"/>
  <c r="CR589" i="4"/>
  <c r="CR583" i="4" s="1"/>
  <c r="CS567" i="4"/>
  <c r="CZ652" i="4"/>
  <c r="CO740" i="4"/>
  <c r="CO786" i="4" s="1"/>
  <c r="CO949" i="4"/>
  <c r="CO913" i="4"/>
  <c r="CO674" i="4"/>
  <c r="CO716" i="4" s="1"/>
  <c r="CO919" i="4" s="1"/>
  <c r="CO680" i="4"/>
  <c r="CO722" i="4" s="1"/>
  <c r="CO925" i="4" s="1"/>
  <c r="CN674" i="4"/>
  <c r="CN680" i="4"/>
  <c r="CN722" i="4" s="1"/>
  <c r="CN634" i="4"/>
  <c r="CN682" i="4" s="1"/>
  <c r="CN948" i="4"/>
  <c r="CN712" i="4"/>
  <c r="CN739" i="4"/>
  <c r="CN785" i="4" s="1"/>
  <c r="CN912" i="4"/>
  <c r="CN949" i="4"/>
  <c r="CN740" i="4"/>
  <c r="CN786" i="4" s="1"/>
  <c r="CN913" i="4"/>
  <c r="CO709" i="4"/>
  <c r="CO670" i="4"/>
  <c r="CP670" i="4" s="1"/>
  <c r="CQ625" i="4"/>
  <c r="CQ637" i="4"/>
  <c r="CQ685" i="4" s="1"/>
  <c r="CO897" i="4"/>
  <c r="CM736" i="4"/>
  <c r="CM782" i="4" s="1"/>
  <c r="CM779" i="4"/>
  <c r="CT515" i="2"/>
  <c r="CU514" i="2"/>
  <c r="CO656" i="4"/>
  <c r="CO698" i="4" s="1"/>
  <c r="CO943" i="4"/>
  <c r="CO662" i="4"/>
  <c r="CO704" i="4" s="1"/>
  <c r="CO907" i="4" s="1"/>
  <c r="CV810" i="4"/>
  <c r="CU816" i="4"/>
  <c r="CR872" i="4"/>
  <c r="CQ583" i="4"/>
  <c r="CP673" i="4"/>
  <c r="CP679" i="4"/>
  <c r="CP721" i="4" s="1"/>
  <c r="CP924" i="4" s="1"/>
  <c r="CR877" i="4"/>
  <c r="CQ895" i="4"/>
  <c r="CQ590" i="4"/>
  <c r="CR568" i="4"/>
  <c r="CR570" i="4" s="1"/>
  <c r="CO697" i="4"/>
  <c r="CQ876" i="4"/>
  <c r="CZ752" i="4"/>
  <c r="DD644" i="4"/>
  <c r="CP867" i="4"/>
  <c r="CN733" i="4"/>
  <c r="CN936" i="4"/>
  <c r="CN900" i="4"/>
  <c r="DB691" i="4"/>
  <c r="CT812" i="4"/>
  <c r="CU811" i="4"/>
  <c r="CT817" i="4"/>
  <c r="CT883" i="4" s="1"/>
  <c r="CR889" i="4"/>
  <c r="CP728" i="4"/>
  <c r="CP931" i="4" s="1"/>
  <c r="CN931" i="4"/>
  <c r="DK645" i="4"/>
  <c r="CQ888" i="4"/>
  <c r="CU692" i="4"/>
  <c r="CO730" i="4"/>
  <c r="EQ384" i="2"/>
  <c r="CT865" i="4"/>
  <c r="CO906" i="4"/>
  <c r="DB649" i="4"/>
  <c r="CR866" i="4"/>
  <c r="CO715" i="4"/>
  <c r="CN918" i="4"/>
  <c r="CQ858" i="4"/>
  <c r="CP954" i="4"/>
  <c r="CP861" i="4"/>
  <c r="DC650" i="4"/>
  <c r="CT871" i="4"/>
  <c r="CP956" i="4"/>
  <c r="CQ860" i="4"/>
  <c r="CM939" i="4"/>
  <c r="CM903" i="4"/>
  <c r="CR819" i="4"/>
  <c r="CS813" i="4"/>
  <c r="CS819" i="4" s="1"/>
  <c r="CP686" i="4"/>
  <c r="DB651" i="4"/>
  <c r="CU499" i="2"/>
  <c r="CV498" i="2"/>
  <c r="CU500" i="2"/>
  <c r="CO688" i="4"/>
  <c r="CQ882" i="4"/>
  <c r="CQ864" i="4"/>
  <c r="CS753" i="4"/>
  <c r="EH271" i="2" l="1"/>
  <c r="EJ271" i="2"/>
  <c r="EI269" i="2"/>
  <c r="EG66" i="3"/>
  <c r="EF66" i="3"/>
  <c r="D11" i="9"/>
  <c r="D13" i="9" s="1"/>
  <c r="EV276" i="2"/>
  <c r="EX280" i="2"/>
  <c r="EY280" i="2" s="1"/>
  <c r="ET276" i="2"/>
  <c r="DV414" i="2"/>
  <c r="DX414" i="2"/>
  <c r="DW415" i="2"/>
  <c r="EV396" i="2"/>
  <c r="EV385" i="2"/>
  <c r="EX385" i="2"/>
  <c r="EX396" i="2"/>
  <c r="ET385" i="2"/>
  <c r="ET396" i="2"/>
  <c r="CV398" i="2"/>
  <c r="CV154" i="3"/>
  <c r="CV25" i="2"/>
  <c r="E19" i="9" s="1"/>
  <c r="CU154" i="3"/>
  <c r="CU400" i="2"/>
  <c r="CU398" i="2"/>
  <c r="CW25" i="2"/>
  <c r="CS27" i="2"/>
  <c r="CT222" i="3"/>
  <c r="CT27" i="2"/>
  <c r="CW400" i="2"/>
  <c r="CW11" i="2"/>
  <c r="CW14" i="2"/>
  <c r="CU25" i="2"/>
  <c r="CZ441" i="2"/>
  <c r="CY409" i="2"/>
  <c r="CY410" i="2"/>
  <c r="CY411" i="2"/>
  <c r="CQ349" i="2"/>
  <c r="CQ22" i="2"/>
  <c r="CR222" i="3"/>
  <c r="CR27" i="2"/>
  <c r="CP739" i="4"/>
  <c r="CP785" i="4" s="1"/>
  <c r="CP930" i="4"/>
  <c r="CO657" i="4"/>
  <c r="CO699" i="4" s="1"/>
  <c r="CO902" i="4" s="1"/>
  <c r="CO622" i="4"/>
  <c r="CO664" i="4" s="1"/>
  <c r="CP942" i="4"/>
  <c r="CP655" i="4"/>
  <c r="CP697" i="4" s="1"/>
  <c r="CP620" i="4"/>
  <c r="CP656" i="4" s="1"/>
  <c r="CP698" i="4" s="1"/>
  <c r="CP632" i="4"/>
  <c r="CP634" i="4" s="1"/>
  <c r="CP682" i="4" s="1"/>
  <c r="CP712" i="4"/>
  <c r="CP915" i="4" s="1"/>
  <c r="CO634" i="4"/>
  <c r="CO682" i="4" s="1"/>
  <c r="CO944" i="4"/>
  <c r="CO945" i="4" s="1"/>
  <c r="CP730" i="4"/>
  <c r="CO675" i="4"/>
  <c r="CO717" i="4" s="1"/>
  <c r="CO920" i="4" s="1"/>
  <c r="CP688" i="4"/>
  <c r="CO724" i="4"/>
  <c r="CO927" i="4" s="1"/>
  <c r="CT569" i="4"/>
  <c r="CQ729" i="4"/>
  <c r="CP663" i="4"/>
  <c r="CP705" i="4" s="1"/>
  <c r="CP908" i="4" s="1"/>
  <c r="CP944" i="4"/>
  <c r="CP657" i="4"/>
  <c r="CP699" i="4" s="1"/>
  <c r="CQ621" i="4"/>
  <c r="CQ633" i="4"/>
  <c r="CP681" i="4"/>
  <c r="CP723" i="4" s="1"/>
  <c r="CP926" i="4" s="1"/>
  <c r="CP675" i="4"/>
  <c r="CP717" i="4" s="1"/>
  <c r="CP920" i="4" s="1"/>
  <c r="CO933" i="4"/>
  <c r="CR633" i="4"/>
  <c r="CR621" i="4"/>
  <c r="CP950" i="4"/>
  <c r="CP741" i="4"/>
  <c r="CP787" i="4" s="1"/>
  <c r="CP914" i="4"/>
  <c r="CS591" i="4"/>
  <c r="CR627" i="4"/>
  <c r="CR669" i="4" s="1"/>
  <c r="CR711" i="4" s="1"/>
  <c r="CR914" i="4" s="1"/>
  <c r="CR639" i="4"/>
  <c r="CR687" i="4" s="1"/>
  <c r="CR729" i="4" s="1"/>
  <c r="CQ711" i="4"/>
  <c r="CS589" i="4"/>
  <c r="CS637" i="4" s="1"/>
  <c r="CQ878" i="4"/>
  <c r="CP932" i="4"/>
  <c r="CQ890" i="4"/>
  <c r="CQ891" i="4" s="1"/>
  <c r="CP891" i="4"/>
  <c r="CR955" i="4"/>
  <c r="CS859" i="4"/>
  <c r="CQ884" i="4"/>
  <c r="CQ885" i="4" s="1"/>
  <c r="CP896" i="4"/>
  <c r="CP957" i="4"/>
  <c r="CR631" i="4"/>
  <c r="CR619" i="4"/>
  <c r="CN925" i="4"/>
  <c r="CN724" i="4"/>
  <c r="CN927" i="4" s="1"/>
  <c r="DA652" i="4"/>
  <c r="CR864" i="4"/>
  <c r="CQ867" i="4"/>
  <c r="CU865" i="4"/>
  <c r="DC693" i="4"/>
  <c r="CV499" i="2"/>
  <c r="CW498" i="2"/>
  <c r="CV500" i="2"/>
  <c r="CR888" i="4"/>
  <c r="CR876" i="4"/>
  <c r="CQ631" i="4"/>
  <c r="CQ619" i="4"/>
  <c r="CN716" i="4"/>
  <c r="CN676" i="4"/>
  <c r="CT567" i="4"/>
  <c r="CR870" i="4"/>
  <c r="CQ873" i="4"/>
  <c r="CN698" i="4"/>
  <c r="CN658" i="4"/>
  <c r="EJ397" i="2"/>
  <c r="EI398" i="2"/>
  <c r="EI154" i="3"/>
  <c r="CS866" i="4"/>
  <c r="CU812" i="4"/>
  <c r="CT818" i="4"/>
  <c r="CT813" i="4"/>
  <c r="DE644" i="4"/>
  <c r="CQ626" i="4"/>
  <c r="CQ668" i="4" s="1"/>
  <c r="CQ638" i="4"/>
  <c r="CQ686" i="4" s="1"/>
  <c r="CQ688" i="4" s="1"/>
  <c r="DC651" i="4"/>
  <c r="CP949" i="4"/>
  <c r="CO918" i="4"/>
  <c r="DC649" i="4"/>
  <c r="CS889" i="4"/>
  <c r="CN779" i="4"/>
  <c r="CO734" i="4"/>
  <c r="CO780" i="4" s="1"/>
  <c r="CO937" i="4"/>
  <c r="CO901" i="4"/>
  <c r="CO948" i="4"/>
  <c r="CO951" i="4" s="1"/>
  <c r="CO712" i="4"/>
  <c r="CO739" i="4"/>
  <c r="CO785" i="4" s="1"/>
  <c r="CO912" i="4"/>
  <c r="DX643" i="4"/>
  <c r="CP740" i="4"/>
  <c r="CP786" i="4" s="1"/>
  <c r="DC691" i="4"/>
  <c r="CO733" i="4"/>
  <c r="CO936" i="4"/>
  <c r="CO900" i="4"/>
  <c r="CS877" i="4"/>
  <c r="CR895" i="4"/>
  <c r="CS872" i="4"/>
  <c r="CO706" i="4"/>
  <c r="CO909" i="4" s="1"/>
  <c r="CQ727" i="4"/>
  <c r="CQ930" i="4" s="1"/>
  <c r="CN742" i="4"/>
  <c r="CN788" i="4" s="1"/>
  <c r="CN915" i="4"/>
  <c r="CR625" i="4"/>
  <c r="CR637" i="4"/>
  <c r="CR685" i="4" s="1"/>
  <c r="CS685" i="4" s="1"/>
  <c r="CR754" i="4"/>
  <c r="CS751" i="4"/>
  <c r="CR882" i="4"/>
  <c r="CR860" i="4"/>
  <c r="CQ956" i="4"/>
  <c r="DD650" i="4"/>
  <c r="DL645" i="4"/>
  <c r="DA752" i="4"/>
  <c r="CQ584" i="4"/>
  <c r="CQ586" i="4" s="1"/>
  <c r="CU515" i="2"/>
  <c r="CV514" i="2"/>
  <c r="CQ667" i="4"/>
  <c r="CN951" i="4"/>
  <c r="CT753" i="4"/>
  <c r="CU871" i="4"/>
  <c r="CR858" i="4"/>
  <c r="CQ861" i="4"/>
  <c r="CQ954" i="4"/>
  <c r="CV692" i="4"/>
  <c r="CU817" i="4"/>
  <c r="CU883" i="4" s="1"/>
  <c r="CV811" i="4"/>
  <c r="CV817" i="4" s="1"/>
  <c r="CR590" i="4"/>
  <c r="CR592" i="4" s="1"/>
  <c r="CR640" i="4" s="1"/>
  <c r="CS568" i="4"/>
  <c r="CS570" i="4" s="1"/>
  <c r="CP715" i="4"/>
  <c r="CV816" i="4"/>
  <c r="CW810" i="4"/>
  <c r="CQ592" i="4"/>
  <c r="CQ640" i="4" s="1"/>
  <c r="CN907" i="4"/>
  <c r="CN706" i="4"/>
  <c r="CN909" i="4" s="1"/>
  <c r="CQ894" i="4"/>
  <c r="FA280" i="2" l="1"/>
  <c r="EY276" i="2"/>
  <c r="FA374" i="2"/>
  <c r="EY374" i="2"/>
  <c r="DV415" i="2"/>
  <c r="EI64" i="3"/>
  <c r="EH269" i="2"/>
  <c r="EH64" i="3" s="1"/>
  <c r="EH66" i="3" s="1"/>
  <c r="EL271" i="2"/>
  <c r="EJ269" i="2"/>
  <c r="EJ64" i="3" s="1"/>
  <c r="EW280" i="2"/>
  <c r="EX276" i="2"/>
  <c r="DZ414" i="2"/>
  <c r="DX415" i="2"/>
  <c r="EX384" i="2"/>
  <c r="EV384" i="2"/>
  <c r="EW374" i="2"/>
  <c r="ET384" i="2"/>
  <c r="CR348" i="2"/>
  <c r="CS222" i="3"/>
  <c r="CQ365" i="2"/>
  <c r="CQ366" i="2"/>
  <c r="CQ224" i="3" s="1"/>
  <c r="CX409" i="2"/>
  <c r="CX397" i="2" s="1"/>
  <c r="CY397" i="2"/>
  <c r="CW222" i="3"/>
  <c r="CW27" i="2"/>
  <c r="DB441" i="2"/>
  <c r="CZ410" i="2"/>
  <c r="CZ409" i="2"/>
  <c r="CZ397" i="2" s="1"/>
  <c r="CZ411" i="2"/>
  <c r="CZ472" i="2" s="1"/>
  <c r="CW20" i="2"/>
  <c r="CT348" i="2"/>
  <c r="E20" i="9"/>
  <c r="CX411" i="2"/>
  <c r="CX472" i="2" s="1"/>
  <c r="CY472" i="2"/>
  <c r="CU11" i="2"/>
  <c r="CU14" i="2"/>
  <c r="CQ225" i="3"/>
  <c r="CQ221" i="2"/>
  <c r="CQ222" i="2" s="1"/>
  <c r="CX410" i="2"/>
  <c r="CU20" i="2"/>
  <c r="CV400" i="2"/>
  <c r="CV20" i="2" s="1"/>
  <c r="E16" i="9" s="1"/>
  <c r="CV11" i="2"/>
  <c r="CV14" i="2"/>
  <c r="CP662" i="4"/>
  <c r="CP704" i="4" s="1"/>
  <c r="CP907" i="4" s="1"/>
  <c r="CP622" i="4"/>
  <c r="CP664" i="4" s="1"/>
  <c r="CO700" i="4"/>
  <c r="CO903" i="4" s="1"/>
  <c r="CO676" i="4"/>
  <c r="CO718" i="4"/>
  <c r="CO921" i="4" s="1"/>
  <c r="CO658" i="4"/>
  <c r="CP674" i="4"/>
  <c r="CP716" i="4" s="1"/>
  <c r="CP919" i="4" s="1"/>
  <c r="CP943" i="4"/>
  <c r="CP945" i="4" s="1"/>
  <c r="CP680" i="4"/>
  <c r="CP722" i="4" s="1"/>
  <c r="CP925" i="4" s="1"/>
  <c r="CP742" i="4"/>
  <c r="CP788" i="4" s="1"/>
  <c r="CP658" i="4"/>
  <c r="CS583" i="4"/>
  <c r="CS619" i="4" s="1"/>
  <c r="CS625" i="4"/>
  <c r="CP933" i="4"/>
  <c r="CO735" i="4"/>
  <c r="CO781" i="4" s="1"/>
  <c r="CP897" i="4"/>
  <c r="CO938" i="4"/>
  <c r="CQ896" i="4"/>
  <c r="CP951" i="4"/>
  <c r="CQ879" i="4"/>
  <c r="CQ897" i="4" s="1"/>
  <c r="CS729" i="4"/>
  <c r="CQ657" i="4"/>
  <c r="CQ699" i="4" s="1"/>
  <c r="CQ944" i="4"/>
  <c r="CQ663" i="4"/>
  <c r="CQ705" i="4" s="1"/>
  <c r="CQ908" i="4" s="1"/>
  <c r="CS687" i="4"/>
  <c r="CR950" i="4"/>
  <c r="CR741" i="4"/>
  <c r="CR787" i="4" s="1"/>
  <c r="CR657" i="4"/>
  <c r="CR699" i="4" s="1"/>
  <c r="CR902" i="4" s="1"/>
  <c r="CR944" i="4"/>
  <c r="CR663" i="4"/>
  <c r="CR705" i="4" s="1"/>
  <c r="CR908" i="4" s="1"/>
  <c r="CP735" i="4"/>
  <c r="CP781" i="4" s="1"/>
  <c r="CP938" i="4"/>
  <c r="CP902" i="4"/>
  <c r="CR584" i="4"/>
  <c r="CR632" i="4" s="1"/>
  <c r="CQ950" i="4"/>
  <c r="CQ741" i="4"/>
  <c r="CQ787" i="4" s="1"/>
  <c r="CQ914" i="4"/>
  <c r="CS627" i="4"/>
  <c r="CS639" i="4"/>
  <c r="CR675" i="4"/>
  <c r="CR717" i="4" s="1"/>
  <c r="CR681" i="4"/>
  <c r="CR723" i="4" s="1"/>
  <c r="CT591" i="4"/>
  <c r="CU569" i="4"/>
  <c r="CS669" i="4"/>
  <c r="CS711" i="4" s="1"/>
  <c r="CS914" i="4" s="1"/>
  <c r="CQ675" i="4"/>
  <c r="CQ717" i="4" s="1"/>
  <c r="CQ920" i="4" s="1"/>
  <c r="CQ681" i="4"/>
  <c r="CQ723" i="4" s="1"/>
  <c r="CQ926" i="4" s="1"/>
  <c r="CS585" i="4"/>
  <c r="CR894" i="4"/>
  <c r="CS590" i="4"/>
  <c r="CS584" i="4" s="1"/>
  <c r="CR884" i="4"/>
  <c r="CT859" i="4"/>
  <c r="CS955" i="4"/>
  <c r="CR890" i="4"/>
  <c r="CR891" i="4" s="1"/>
  <c r="CQ932" i="4"/>
  <c r="CR878" i="4"/>
  <c r="CR879" i="4" s="1"/>
  <c r="CV883" i="4"/>
  <c r="CR667" i="4"/>
  <c r="CS667" i="4" s="1"/>
  <c r="CS709" i="4" s="1"/>
  <c r="DD691" i="4"/>
  <c r="DY643" i="4"/>
  <c r="CQ710" i="4"/>
  <c r="EK397" i="2"/>
  <c r="EJ400" i="2"/>
  <c r="EJ398" i="2"/>
  <c r="CN919" i="4"/>
  <c r="CN718" i="4"/>
  <c r="CN921" i="4" s="1"/>
  <c r="CP700" i="4"/>
  <c r="CP733" i="4"/>
  <c r="CP936" i="4"/>
  <c r="CP900" i="4"/>
  <c r="CW816" i="4"/>
  <c r="CW811" i="4"/>
  <c r="CX810" i="4"/>
  <c r="CT568" i="4"/>
  <c r="CU753" i="4"/>
  <c r="CQ628" i="4"/>
  <c r="DB752" i="4"/>
  <c r="CS882" i="4"/>
  <c r="DF644" i="4"/>
  <c r="CN734" i="4"/>
  <c r="CN937" i="4"/>
  <c r="CN901" i="4"/>
  <c r="CN700" i="4"/>
  <c r="CT589" i="4"/>
  <c r="CT583" i="4" s="1"/>
  <c r="CU567" i="4"/>
  <c r="CX498" i="2"/>
  <c r="CW500" i="2"/>
  <c r="CW499" i="2"/>
  <c r="DB652" i="4"/>
  <c r="CV812" i="4"/>
  <c r="CV818" i="4" s="1"/>
  <c r="CU818" i="4"/>
  <c r="CT872" i="4"/>
  <c r="CO742" i="4"/>
  <c r="CO788" i="4" s="1"/>
  <c r="CO915" i="4"/>
  <c r="CT819" i="4"/>
  <c r="CU813" i="4"/>
  <c r="CT866" i="4"/>
  <c r="CR867" i="4"/>
  <c r="CS864" i="4"/>
  <c r="CR655" i="4"/>
  <c r="CR942" i="4"/>
  <c r="CR661" i="4"/>
  <c r="CR703" i="4" s="1"/>
  <c r="CW692" i="4"/>
  <c r="CS870" i="4"/>
  <c r="CR873" i="4"/>
  <c r="CS876" i="4"/>
  <c r="CR673" i="4"/>
  <c r="CR679" i="4"/>
  <c r="CR721" i="4" s="1"/>
  <c r="CR924" i="4" s="1"/>
  <c r="CR954" i="4"/>
  <c r="CS858" i="4"/>
  <c r="CR861" i="4"/>
  <c r="CT877" i="4"/>
  <c r="CS895" i="4"/>
  <c r="CQ655" i="4"/>
  <c r="CQ942" i="4"/>
  <c r="CQ661" i="4"/>
  <c r="CQ703" i="4" s="1"/>
  <c r="DD693" i="4"/>
  <c r="CV871" i="4"/>
  <c r="CQ709" i="4"/>
  <c r="CQ670" i="4"/>
  <c r="DM645" i="4"/>
  <c r="CP918" i="4"/>
  <c r="CR638" i="4"/>
  <c r="CR686" i="4" s="1"/>
  <c r="CR728" i="4" s="1"/>
  <c r="CR931" i="4" s="1"/>
  <c r="CR626" i="4"/>
  <c r="CR668" i="4" s="1"/>
  <c r="CR710" i="4" s="1"/>
  <c r="CQ957" i="4"/>
  <c r="CV515" i="2"/>
  <c r="CW514" i="2"/>
  <c r="CS860" i="4"/>
  <c r="CR956" i="4"/>
  <c r="CS754" i="4"/>
  <c r="CT751" i="4"/>
  <c r="CR727" i="4"/>
  <c r="CR930" i="4" s="1"/>
  <c r="CT889" i="4"/>
  <c r="CQ728" i="4"/>
  <c r="CQ730" i="4" s="1"/>
  <c r="CS888" i="4"/>
  <c r="CO779" i="4"/>
  <c r="CQ620" i="4"/>
  <c r="CQ622" i="4" s="1"/>
  <c r="CQ664" i="4" s="1"/>
  <c r="CQ632" i="4"/>
  <c r="DE650" i="4"/>
  <c r="DD649" i="4"/>
  <c r="DD651" i="4"/>
  <c r="CQ673" i="4"/>
  <c r="CQ679" i="4"/>
  <c r="CQ721" i="4" s="1"/>
  <c r="CV865" i="4"/>
  <c r="CP901" i="4"/>
  <c r="EZ280" i="2" l="1"/>
  <c r="FA276" i="2"/>
  <c r="EZ276" i="2" s="1"/>
  <c r="EY396" i="2"/>
  <c r="EY385" i="2"/>
  <c r="FA396" i="2"/>
  <c r="FA385" i="2"/>
  <c r="EK271" i="2"/>
  <c r="EM271" i="2"/>
  <c r="EL269" i="2"/>
  <c r="EJ66" i="3"/>
  <c r="EI66" i="3"/>
  <c r="E11" i="9"/>
  <c r="EW276" i="2"/>
  <c r="DZ415" i="2"/>
  <c r="DY415" i="2" s="1"/>
  <c r="EA414" i="2"/>
  <c r="DY414" i="2"/>
  <c r="CP706" i="4"/>
  <c r="CP909" i="4" s="1"/>
  <c r="CX25" i="2"/>
  <c r="EW385" i="2"/>
  <c r="EW396" i="2"/>
  <c r="CU222" i="3"/>
  <c r="CU27" i="2"/>
  <c r="DC441" i="2"/>
  <c r="DB409" i="2"/>
  <c r="DA409" i="2" s="1"/>
  <c r="DA397" i="2" s="1"/>
  <c r="DB410" i="2"/>
  <c r="DB411" i="2"/>
  <c r="CW348" i="2"/>
  <c r="CY398" i="2"/>
  <c r="CY154" i="3"/>
  <c r="CT22" i="2"/>
  <c r="CT349" i="2"/>
  <c r="CZ398" i="2"/>
  <c r="CZ400" i="2"/>
  <c r="CX400" i="2"/>
  <c r="CX154" i="3"/>
  <c r="CX398" i="2"/>
  <c r="CV27" i="2"/>
  <c r="CY25" i="2"/>
  <c r="F19" i="9" s="1"/>
  <c r="CZ25" i="2"/>
  <c r="CR22" i="2"/>
  <c r="CS348" i="2"/>
  <c r="CS352" i="2"/>
  <c r="CS24" i="2" s="1"/>
  <c r="CO939" i="4"/>
  <c r="CP676" i="4"/>
  <c r="CP718" i="4"/>
  <c r="CP921" i="4" s="1"/>
  <c r="CP937" i="4"/>
  <c r="CP734" i="4"/>
  <c r="CP780" i="4" s="1"/>
  <c r="CP724" i="4"/>
  <c r="CP927" i="4" s="1"/>
  <c r="CS592" i="4"/>
  <c r="CS640" i="4" s="1"/>
  <c r="CS631" i="4"/>
  <c r="CS673" i="4" s="1"/>
  <c r="CO736" i="4"/>
  <c r="CO782" i="4" s="1"/>
  <c r="CR586" i="4"/>
  <c r="CR896" i="4"/>
  <c r="CR885" i="4"/>
  <c r="CR897" i="4" s="1"/>
  <c r="CS638" i="4"/>
  <c r="CS626" i="4"/>
  <c r="CS628" i="4" s="1"/>
  <c r="CS950" i="4"/>
  <c r="CS686" i="4"/>
  <c r="CS688" i="4" s="1"/>
  <c r="CR620" i="4"/>
  <c r="CR662" i="4" s="1"/>
  <c r="CR704" i="4" s="1"/>
  <c r="CR907" i="4" s="1"/>
  <c r="CR688" i="4"/>
  <c r="CS586" i="4"/>
  <c r="CS633" i="4"/>
  <c r="CS621" i="4"/>
  <c r="CU591" i="4"/>
  <c r="CV591" i="4" s="1"/>
  <c r="CV569" i="4"/>
  <c r="CR735" i="4"/>
  <c r="CR781" i="4" s="1"/>
  <c r="CR938" i="4"/>
  <c r="CT585" i="4"/>
  <c r="CT639" i="4"/>
  <c r="CT687" i="4" s="1"/>
  <c r="CT627" i="4"/>
  <c r="CT669" i="4" s="1"/>
  <c r="CS741" i="4"/>
  <c r="CS787" i="4" s="1"/>
  <c r="CQ735" i="4"/>
  <c r="CQ781" i="4" s="1"/>
  <c r="CQ938" i="4"/>
  <c r="CQ902" i="4"/>
  <c r="CR920" i="4"/>
  <c r="CS878" i="4"/>
  <c r="CS879" i="4" s="1"/>
  <c r="CR957" i="4"/>
  <c r="CS727" i="4"/>
  <c r="CS930" i="4" s="1"/>
  <c r="CR932" i="4"/>
  <c r="CS890" i="4"/>
  <c r="CT955" i="4"/>
  <c r="CU859" i="4"/>
  <c r="CR926" i="4"/>
  <c r="CS884" i="4"/>
  <c r="CS885" i="4" s="1"/>
  <c r="CW865" i="4"/>
  <c r="CQ715" i="4"/>
  <c r="DE649" i="4"/>
  <c r="CQ674" i="4"/>
  <c r="CQ716" i="4" s="1"/>
  <c r="CQ919" i="4" s="1"/>
  <c r="CQ680" i="4"/>
  <c r="CQ722" i="4" s="1"/>
  <c r="CQ925" i="4" s="1"/>
  <c r="CT888" i="4"/>
  <c r="DN645" i="4"/>
  <c r="CQ634" i="4"/>
  <c r="CQ682" i="4" s="1"/>
  <c r="CQ943" i="4"/>
  <c r="CQ945" i="4" s="1"/>
  <c r="CQ656" i="4"/>
  <c r="CQ698" i="4" s="1"/>
  <c r="CQ662" i="4"/>
  <c r="CQ704" i="4" s="1"/>
  <c r="CQ907" i="4" s="1"/>
  <c r="CR949" i="4"/>
  <c r="CR740" i="4"/>
  <c r="CR786" i="4" s="1"/>
  <c r="CR913" i="4"/>
  <c r="CR674" i="4"/>
  <c r="CR716" i="4" s="1"/>
  <c r="CR919" i="4" s="1"/>
  <c r="CR680" i="4"/>
  <c r="CR722" i="4" s="1"/>
  <c r="CR925" i="4" s="1"/>
  <c r="CT870" i="4"/>
  <c r="CS873" i="4"/>
  <c r="CS912" i="4"/>
  <c r="CT864" i="4"/>
  <c r="CP779" i="4"/>
  <c r="CS956" i="4"/>
  <c r="CT860" i="4"/>
  <c r="CX816" i="4"/>
  <c r="CY810" i="4"/>
  <c r="CP903" i="4"/>
  <c r="DE691" i="4"/>
  <c r="CS655" i="4"/>
  <c r="CS661" i="4"/>
  <c r="CS703" i="4" s="1"/>
  <c r="CS906" i="4" s="1"/>
  <c r="CQ697" i="4"/>
  <c r="CR634" i="4"/>
  <c r="CR682" i="4" s="1"/>
  <c r="DC652" i="4"/>
  <c r="CN939" i="4"/>
  <c r="CN903" i="4"/>
  <c r="CU568" i="4"/>
  <c r="CU570" i="4" s="1"/>
  <c r="CT590" i="4"/>
  <c r="EL397" i="2"/>
  <c r="EK400" i="2"/>
  <c r="EL400" i="2" s="1"/>
  <c r="EK154" i="3"/>
  <c r="EK398" i="2"/>
  <c r="CT754" i="4"/>
  <c r="CU751" i="4"/>
  <c r="CS954" i="4"/>
  <c r="CS861" i="4"/>
  <c r="CT858" i="4"/>
  <c r="CX692" i="4"/>
  <c r="CS867" i="4"/>
  <c r="CQ949" i="4"/>
  <c r="CQ740" i="4"/>
  <c r="CQ786" i="4" s="1"/>
  <c r="CQ913" i="4"/>
  <c r="DE651" i="4"/>
  <c r="DF650" i="4"/>
  <c r="CS728" i="4"/>
  <c r="CS931" i="4" s="1"/>
  <c r="CQ931" i="4"/>
  <c r="CR730" i="4"/>
  <c r="CR933" i="4" s="1"/>
  <c r="CS894" i="4"/>
  <c r="CQ712" i="4"/>
  <c r="CQ739" i="4"/>
  <c r="CQ785" i="4" s="1"/>
  <c r="CQ948" i="4"/>
  <c r="CQ912" i="4"/>
  <c r="DE693" i="4"/>
  <c r="CU877" i="4"/>
  <c r="CT895" i="4"/>
  <c r="CR906" i="4"/>
  <c r="CU866" i="4"/>
  <c r="CT631" i="4"/>
  <c r="CT619" i="4"/>
  <c r="DC752" i="4"/>
  <c r="CV753" i="4"/>
  <c r="CW817" i="4"/>
  <c r="CW883" i="4" s="1"/>
  <c r="CW812" i="4"/>
  <c r="CX811" i="4"/>
  <c r="CS668" i="4"/>
  <c r="CS710" i="4" s="1"/>
  <c r="CS712" i="4" s="1"/>
  <c r="CQ933" i="4"/>
  <c r="CR670" i="4"/>
  <c r="CS670" i="4" s="1"/>
  <c r="CR709" i="4"/>
  <c r="CW515" i="2"/>
  <c r="CX514" i="2"/>
  <c r="CQ906" i="4"/>
  <c r="CT876" i="4"/>
  <c r="CU589" i="4"/>
  <c r="CV589" i="4" s="1"/>
  <c r="CV567" i="4"/>
  <c r="CN780" i="4"/>
  <c r="CN736" i="4"/>
  <c r="CN782" i="4" s="1"/>
  <c r="CT882" i="4"/>
  <c r="DZ643" i="4"/>
  <c r="CR628" i="4"/>
  <c r="CQ924" i="4"/>
  <c r="CW871" i="4"/>
  <c r="CV813" i="4"/>
  <c r="CV819" i="4" s="1"/>
  <c r="CU819" i="4"/>
  <c r="CT570" i="4"/>
  <c r="CU889" i="4"/>
  <c r="CR715" i="4"/>
  <c r="CR697" i="4"/>
  <c r="CU872" i="4"/>
  <c r="CX500" i="2"/>
  <c r="CX499" i="2"/>
  <c r="CY498" i="2"/>
  <c r="CT637" i="4"/>
  <c r="CT685" i="4" s="1"/>
  <c r="CT625" i="4"/>
  <c r="DG644" i="4"/>
  <c r="CS632" i="4"/>
  <c r="CS620" i="4"/>
  <c r="EZ374" i="2" l="1"/>
  <c r="EY384" i="2"/>
  <c r="FA384" i="2"/>
  <c r="EL64" i="3"/>
  <c r="EK269" i="2"/>
  <c r="EK64" i="3" s="1"/>
  <c r="EK66" i="3" s="1"/>
  <c r="EO271" i="2"/>
  <c r="EM269" i="2"/>
  <c r="EM64" i="3" s="1"/>
  <c r="E13" i="9"/>
  <c r="EC414" i="2"/>
  <c r="EA415" i="2"/>
  <c r="CP736" i="4"/>
  <c r="CP782" i="4" s="1"/>
  <c r="EW384" i="2"/>
  <c r="CX20" i="2"/>
  <c r="CY400" i="2"/>
  <c r="CY20" i="2" s="1"/>
  <c r="F16" i="9" s="1"/>
  <c r="F20" i="9"/>
  <c r="T17" i="9"/>
  <c r="CZ20" i="2"/>
  <c r="CY11" i="2"/>
  <c r="CY14" i="2"/>
  <c r="DA410" i="2"/>
  <c r="DA25" i="2" s="1"/>
  <c r="DB25" i="2"/>
  <c r="G19" i="9" s="1"/>
  <c r="CS349" i="2"/>
  <c r="CS22" i="2"/>
  <c r="D17" i="9" s="1"/>
  <c r="CX14" i="2"/>
  <c r="CX11" i="2"/>
  <c r="CZ11" i="2"/>
  <c r="CZ14" i="2"/>
  <c r="CT225" i="3"/>
  <c r="CT221" i="2"/>
  <c r="CT222" i="2" s="1"/>
  <c r="DA154" i="3"/>
  <c r="DA400" i="2"/>
  <c r="DA20" i="2" s="1"/>
  <c r="DB472" i="2"/>
  <c r="DA411" i="2"/>
  <c r="DA472" i="2" s="1"/>
  <c r="CR365" i="2"/>
  <c r="CR366" i="2"/>
  <c r="CR224" i="3" s="1"/>
  <c r="CT365" i="2"/>
  <c r="CT366" i="2"/>
  <c r="CT224" i="3" s="1"/>
  <c r="CW349" i="2"/>
  <c r="CW22" i="2"/>
  <c r="DE441" i="2"/>
  <c r="DC410" i="2"/>
  <c r="DC25" i="2" s="1"/>
  <c r="DC409" i="2"/>
  <c r="DC411" i="2"/>
  <c r="DC472" i="2" s="1"/>
  <c r="CU348" i="2"/>
  <c r="CV222" i="3"/>
  <c r="CP939" i="4"/>
  <c r="CS942" i="4"/>
  <c r="CS679" i="4"/>
  <c r="CS721" i="4" s="1"/>
  <c r="CS924" i="4" s="1"/>
  <c r="CR943" i="4"/>
  <c r="CR945" i="4" s="1"/>
  <c r="CR622" i="4"/>
  <c r="CR664" i="4" s="1"/>
  <c r="CS634" i="4"/>
  <c r="CS682" i="4" s="1"/>
  <c r="CS739" i="4"/>
  <c r="CS785" i="4" s="1"/>
  <c r="CR656" i="4"/>
  <c r="CR698" i="4" s="1"/>
  <c r="CR700" i="4" s="1"/>
  <c r="CR676" i="4"/>
  <c r="CS896" i="4"/>
  <c r="CR724" i="4"/>
  <c r="CR927" i="4" s="1"/>
  <c r="CS957" i="4"/>
  <c r="CS948" i="4"/>
  <c r="CQ951" i="4"/>
  <c r="CT621" i="4"/>
  <c r="CT633" i="4"/>
  <c r="CW569" i="4"/>
  <c r="CV585" i="4"/>
  <c r="CV627" i="4"/>
  <c r="CV639" i="4"/>
  <c r="CU627" i="4"/>
  <c r="CU669" i="4" s="1"/>
  <c r="CU711" i="4" s="1"/>
  <c r="CU914" i="4" s="1"/>
  <c r="CU639" i="4"/>
  <c r="CU687" i="4" s="1"/>
  <c r="CU729" i="4" s="1"/>
  <c r="CT711" i="4"/>
  <c r="CS944" i="4"/>
  <c r="CS657" i="4"/>
  <c r="CS699" i="4" s="1"/>
  <c r="CS663" i="4"/>
  <c r="CS705" i="4" s="1"/>
  <c r="CS908" i="4" s="1"/>
  <c r="CT729" i="4"/>
  <c r="CU585" i="4"/>
  <c r="CS675" i="4"/>
  <c r="CS717" i="4" s="1"/>
  <c r="CS920" i="4" s="1"/>
  <c r="CS681" i="4"/>
  <c r="CS723" i="4" s="1"/>
  <c r="CS926" i="4" s="1"/>
  <c r="CS730" i="4"/>
  <c r="CS742" i="4" s="1"/>
  <c r="CS788" i="4" s="1"/>
  <c r="CQ706" i="4"/>
  <c r="CQ909" i="4" s="1"/>
  <c r="CS932" i="4"/>
  <c r="CT890" i="4"/>
  <c r="CT891" i="4" s="1"/>
  <c r="CQ676" i="4"/>
  <c r="CT878" i="4"/>
  <c r="CT879" i="4" s="1"/>
  <c r="CQ724" i="4"/>
  <c r="CQ927" i="4" s="1"/>
  <c r="CQ658" i="4"/>
  <c r="CS891" i="4"/>
  <c r="CS897" i="4" s="1"/>
  <c r="CT884" i="4"/>
  <c r="CT885" i="4" s="1"/>
  <c r="CU955" i="4"/>
  <c r="CV859" i="4"/>
  <c r="CV637" i="4"/>
  <c r="CV625" i="4"/>
  <c r="CQ718" i="4"/>
  <c r="CQ921" i="4" s="1"/>
  <c r="CQ918" i="4"/>
  <c r="CR739" i="4"/>
  <c r="CR785" i="4" s="1"/>
  <c r="CR712" i="4"/>
  <c r="CR948" i="4"/>
  <c r="CR951" i="4" s="1"/>
  <c r="CR912" i="4"/>
  <c r="DF651" i="4"/>
  <c r="DH644" i="4"/>
  <c r="CY692" i="4"/>
  <c r="CU754" i="4"/>
  <c r="CV751" i="4"/>
  <c r="DO645" i="4"/>
  <c r="DF649" i="4"/>
  <c r="CU637" i="4"/>
  <c r="CU685" i="4" s="1"/>
  <c r="CV685" i="4" s="1"/>
  <c r="CU625" i="4"/>
  <c r="CR706" i="4"/>
  <c r="CR909" i="4" s="1"/>
  <c r="CU888" i="4"/>
  <c r="CV872" i="4"/>
  <c r="CX812" i="4"/>
  <c r="CW818" i="4"/>
  <c r="CW813" i="4"/>
  <c r="CT956" i="4"/>
  <c r="CU860" i="4"/>
  <c r="CU870" i="4"/>
  <c r="CT873" i="4"/>
  <c r="CT727" i="4"/>
  <c r="CT930" i="4" s="1"/>
  <c r="CV583" i="4"/>
  <c r="CW567" i="4"/>
  <c r="CX515" i="2"/>
  <c r="CY514" i="2"/>
  <c r="CY499" i="2"/>
  <c r="CZ498" i="2"/>
  <c r="CY500" i="2"/>
  <c r="CR733" i="4"/>
  <c r="CR936" i="4"/>
  <c r="CR900" i="4"/>
  <c r="DD752" i="4"/>
  <c r="CV877" i="4"/>
  <c r="CU895" i="4"/>
  <c r="CS697" i="4"/>
  <c r="CS715" i="4"/>
  <c r="CS943" i="4"/>
  <c r="CS656" i="4"/>
  <c r="CS698" i="4" s="1"/>
  <c r="CS662" i="4"/>
  <c r="CS704" i="4" s="1"/>
  <c r="CS907" i="4" s="1"/>
  <c r="CS949" i="4"/>
  <c r="CS740" i="4"/>
  <c r="CS786" i="4" s="1"/>
  <c r="CS913" i="4"/>
  <c r="CT942" i="4"/>
  <c r="CT655" i="4"/>
  <c r="CT661" i="4"/>
  <c r="CT703" i="4" s="1"/>
  <c r="CT906" i="4" s="1"/>
  <c r="CS674" i="4"/>
  <c r="CS716" i="4" s="1"/>
  <c r="CS919" i="4" s="1"/>
  <c r="CS680" i="4"/>
  <c r="CS722" i="4" s="1"/>
  <c r="CS925" i="4" s="1"/>
  <c r="CT667" i="4"/>
  <c r="CR718" i="4"/>
  <c r="CR921" i="4" s="1"/>
  <c r="CR918" i="4"/>
  <c r="CX871" i="4"/>
  <c r="CY811" i="4"/>
  <c r="CY817" i="4" s="1"/>
  <c r="CX817" i="4"/>
  <c r="CX883" i="4" s="1"/>
  <c r="CW753" i="4"/>
  <c r="CT673" i="4"/>
  <c r="CT679" i="4"/>
  <c r="CT721" i="4" s="1"/>
  <c r="CT924" i="4" s="1"/>
  <c r="EM397" i="2"/>
  <c r="EL398" i="2"/>
  <c r="EL154" i="3"/>
  <c r="CQ733" i="4"/>
  <c r="CQ700" i="4"/>
  <c r="CQ936" i="4"/>
  <c r="CQ900" i="4"/>
  <c r="CS622" i="4"/>
  <c r="CS664" i="4" s="1"/>
  <c r="CS915" i="4"/>
  <c r="EA643" i="4"/>
  <c r="CT626" i="4"/>
  <c r="CT668" i="4" s="1"/>
  <c r="CT638" i="4"/>
  <c r="CT686" i="4" s="1"/>
  <c r="DD652" i="4"/>
  <c r="CV866" i="4"/>
  <c r="CU590" i="4"/>
  <c r="CV590" i="4" s="1"/>
  <c r="CV568" i="4"/>
  <c r="CV570" i="4" s="1"/>
  <c r="CY816" i="4"/>
  <c r="CZ810" i="4"/>
  <c r="CX865" i="4"/>
  <c r="CT592" i="4"/>
  <c r="CT640" i="4" s="1"/>
  <c r="CV889" i="4"/>
  <c r="CU882" i="4"/>
  <c r="CU583" i="4"/>
  <c r="CU876" i="4"/>
  <c r="DF693" i="4"/>
  <c r="CQ742" i="4"/>
  <c r="CQ788" i="4" s="1"/>
  <c r="CQ915" i="4"/>
  <c r="DG650" i="4"/>
  <c r="CU858" i="4"/>
  <c r="CT861" i="4"/>
  <c r="CT954" i="4"/>
  <c r="CT894" i="4"/>
  <c r="CT584" i="4"/>
  <c r="DF691" i="4"/>
  <c r="CU864" i="4"/>
  <c r="CT867" i="4"/>
  <c r="CQ734" i="4"/>
  <c r="CQ780" i="4" s="1"/>
  <c r="CQ937" i="4"/>
  <c r="CQ901" i="4"/>
  <c r="EZ385" i="2" l="1"/>
  <c r="EZ396" i="2"/>
  <c r="EP271" i="2"/>
  <c r="EN271" i="2"/>
  <c r="EO269" i="2"/>
  <c r="EM66" i="3"/>
  <c r="EL66" i="3"/>
  <c r="F11" i="9"/>
  <c r="G13" i="9" s="1"/>
  <c r="EC415" i="2"/>
  <c r="EB415" i="2" s="1"/>
  <c r="ED414" i="2"/>
  <c r="EB414" i="2"/>
  <c r="CW365" i="2"/>
  <c r="CW366" i="2"/>
  <c r="CW224" i="3" s="1"/>
  <c r="CX27" i="2"/>
  <c r="DA27" i="2"/>
  <c r="CX222" i="3"/>
  <c r="CR349" i="2"/>
  <c r="CS221" i="2"/>
  <c r="CS225" i="3"/>
  <c r="G20" i="9"/>
  <c r="DB400" i="2"/>
  <c r="DB20" i="2" s="1"/>
  <c r="G16" i="9" s="1"/>
  <c r="CW225" i="3"/>
  <c r="CW221" i="2"/>
  <c r="CW222" i="2" s="1"/>
  <c r="CU22" i="2"/>
  <c r="CV352" i="2"/>
  <c r="CV24" i="2" s="1"/>
  <c r="CV348" i="2"/>
  <c r="DF441" i="2"/>
  <c r="DE410" i="2"/>
  <c r="DE411" i="2"/>
  <c r="CS365" i="2"/>
  <c r="CS366" i="2"/>
  <c r="CZ27" i="2"/>
  <c r="CZ222" i="3"/>
  <c r="DC27" i="2"/>
  <c r="CY27" i="2"/>
  <c r="DB27" i="2"/>
  <c r="CR734" i="4"/>
  <c r="CR780" i="4" s="1"/>
  <c r="CR901" i="4"/>
  <c r="CR937" i="4"/>
  <c r="CR658" i="4"/>
  <c r="CS706" i="4"/>
  <c r="CS909" i="4" s="1"/>
  <c r="CS945" i="4"/>
  <c r="CV669" i="4"/>
  <c r="CV711" i="4" s="1"/>
  <c r="CV914" i="4" s="1"/>
  <c r="CS951" i="4"/>
  <c r="CS933" i="4"/>
  <c r="CT896" i="4"/>
  <c r="CV729" i="4"/>
  <c r="CV687" i="4"/>
  <c r="CU950" i="4"/>
  <c r="CU741" i="4"/>
  <c r="CU787" i="4" s="1"/>
  <c r="CX569" i="4"/>
  <c r="CW591" i="4"/>
  <c r="CT675" i="4"/>
  <c r="CT717" i="4" s="1"/>
  <c r="CT920" i="4" s="1"/>
  <c r="CT681" i="4"/>
  <c r="CT723" i="4" s="1"/>
  <c r="CT926" i="4" s="1"/>
  <c r="CT950" i="4"/>
  <c r="CT741" i="4"/>
  <c r="CT787" i="4" s="1"/>
  <c r="CT914" i="4"/>
  <c r="CT944" i="4"/>
  <c r="CT663" i="4"/>
  <c r="CT705" i="4" s="1"/>
  <c r="CT908" i="4" s="1"/>
  <c r="CT657" i="4"/>
  <c r="CT699" i="4" s="1"/>
  <c r="CU621" i="4"/>
  <c r="CU633" i="4"/>
  <c r="CS735" i="4"/>
  <c r="CS781" i="4" s="1"/>
  <c r="CS938" i="4"/>
  <c r="CS902" i="4"/>
  <c r="CV621" i="4"/>
  <c r="CV633" i="4"/>
  <c r="CT897" i="4"/>
  <c r="CU884" i="4"/>
  <c r="CU885" i="4" s="1"/>
  <c r="CV955" i="4"/>
  <c r="CW859" i="4"/>
  <c r="CU890" i="4"/>
  <c r="CU891" i="4" s="1"/>
  <c r="CT932" i="4"/>
  <c r="CU878" i="4"/>
  <c r="CT957" i="4"/>
  <c r="CU584" i="4"/>
  <c r="CU632" i="4" s="1"/>
  <c r="CS676" i="4"/>
  <c r="CV626" i="4"/>
  <c r="CV628" i="4" s="1"/>
  <c r="CV638" i="4"/>
  <c r="CV592" i="4"/>
  <c r="CV640" i="4" s="1"/>
  <c r="CY883" i="4"/>
  <c r="CV858" i="4"/>
  <c r="CU861" i="4"/>
  <c r="CU954" i="4"/>
  <c r="DA810" i="4"/>
  <c r="CZ816" i="4"/>
  <c r="CZ811" i="4"/>
  <c r="CT728" i="4"/>
  <c r="CT730" i="4" s="1"/>
  <c r="CT933" i="4" s="1"/>
  <c r="CS734" i="4"/>
  <c r="CS780" i="4" s="1"/>
  <c r="CS937" i="4"/>
  <c r="CS901" i="4"/>
  <c r="CW751" i="4"/>
  <c r="CV754" i="4"/>
  <c r="DG693" i="4"/>
  <c r="CW866" i="4"/>
  <c r="CZ514" i="2"/>
  <c r="CY515" i="2"/>
  <c r="CV870" i="4"/>
  <c r="CU873" i="4"/>
  <c r="CU592" i="4"/>
  <c r="CU640" i="4" s="1"/>
  <c r="CS724" i="4"/>
  <c r="CS927" i="4" s="1"/>
  <c r="CV882" i="4"/>
  <c r="DE652" i="4"/>
  <c r="EN397" i="2"/>
  <c r="EM400" i="2"/>
  <c r="EM398" i="2"/>
  <c r="CX753" i="4"/>
  <c r="CT697" i="4"/>
  <c r="CS700" i="4"/>
  <c r="CS733" i="4"/>
  <c r="CS936" i="4"/>
  <c r="CS900" i="4"/>
  <c r="CX818" i="4"/>
  <c r="CY812" i="4"/>
  <c r="CY818" i="4" s="1"/>
  <c r="CV888" i="4"/>
  <c r="DG649" i="4"/>
  <c r="CZ692" i="4"/>
  <c r="DG691" i="4"/>
  <c r="CV876" i="4"/>
  <c r="CQ736" i="4"/>
  <c r="CQ782" i="4" s="1"/>
  <c r="CQ779" i="4"/>
  <c r="CV864" i="4"/>
  <c r="CU867" i="4"/>
  <c r="DH650" i="4"/>
  <c r="EB643" i="4"/>
  <c r="CR779" i="4"/>
  <c r="CW889" i="4"/>
  <c r="CY865" i="4"/>
  <c r="CV584" i="4"/>
  <c r="CV586" i="4" s="1"/>
  <c r="CW568" i="4"/>
  <c r="CW570" i="4" s="1"/>
  <c r="CT715" i="4"/>
  <c r="CT628" i="4"/>
  <c r="CS658" i="4"/>
  <c r="CW877" i="4"/>
  <c r="CV895" i="4"/>
  <c r="CZ500" i="2"/>
  <c r="CZ499" i="2"/>
  <c r="DA498" i="2"/>
  <c r="CZ504" i="2"/>
  <c r="CZ497" i="2"/>
  <c r="CW589" i="4"/>
  <c r="CW583" i="4" s="1"/>
  <c r="CX567" i="4"/>
  <c r="CV860" i="4"/>
  <c r="CU956" i="4"/>
  <c r="CW872" i="4"/>
  <c r="CU894" i="4"/>
  <c r="DG651" i="4"/>
  <c r="CT709" i="4"/>
  <c r="CT670" i="4"/>
  <c r="CT688" i="4"/>
  <c r="CT620" i="4"/>
  <c r="CT632" i="4"/>
  <c r="CT586" i="4"/>
  <c r="CU631" i="4"/>
  <c r="CU619" i="4"/>
  <c r="CU638" i="4"/>
  <c r="CU686" i="4" s="1"/>
  <c r="CU728" i="4" s="1"/>
  <c r="CU931" i="4" s="1"/>
  <c r="CU626" i="4"/>
  <c r="CU668" i="4" s="1"/>
  <c r="CU710" i="4" s="1"/>
  <c r="CT710" i="4"/>
  <c r="CQ939" i="4"/>
  <c r="CQ903" i="4"/>
  <c r="CY871" i="4"/>
  <c r="CV619" i="4"/>
  <c r="CV631" i="4"/>
  <c r="CU667" i="4"/>
  <c r="CV667" i="4" s="1"/>
  <c r="CV709" i="4" s="1"/>
  <c r="CS718" i="4"/>
  <c r="CS921" i="4" s="1"/>
  <c r="CS918" i="4"/>
  <c r="DE752" i="4"/>
  <c r="CR939" i="4"/>
  <c r="CR903" i="4"/>
  <c r="CX813" i="4"/>
  <c r="CW819" i="4"/>
  <c r="CU727" i="4"/>
  <c r="DP645" i="4"/>
  <c r="DI644" i="4"/>
  <c r="CR742" i="4"/>
  <c r="CR788" i="4" s="1"/>
  <c r="CR915" i="4"/>
  <c r="EZ384" i="2" l="1"/>
  <c r="EN269" i="2"/>
  <c r="EN64" i="3" s="1"/>
  <c r="EN66" i="3" s="1"/>
  <c r="EO64" i="3"/>
  <c r="ER271" i="2"/>
  <c r="EP269" i="2"/>
  <c r="EP64" i="3" s="1"/>
  <c r="F13" i="9"/>
  <c r="ED415" i="2"/>
  <c r="EF414" i="2"/>
  <c r="CR736" i="4"/>
  <c r="CR782" i="4" s="1"/>
  <c r="CR225" i="3"/>
  <c r="DD411" i="2"/>
  <c r="DD472" i="2" s="1"/>
  <c r="DE472" i="2"/>
  <c r="CV22" i="2"/>
  <c r="E17" i="9" s="1"/>
  <c r="CV349" i="2"/>
  <c r="CX348" i="2"/>
  <c r="CY222" i="3"/>
  <c r="D46" i="9"/>
  <c r="CS224" i="3"/>
  <c r="CR221" i="2"/>
  <c r="CS222" i="2"/>
  <c r="CR222" i="2" s="1"/>
  <c r="DD410" i="2"/>
  <c r="DD25" i="2" s="1"/>
  <c r="DE25" i="2"/>
  <c r="H19" i="9" s="1"/>
  <c r="CU365" i="2"/>
  <c r="CU366" i="2"/>
  <c r="CU224" i="3" s="1"/>
  <c r="DB222" i="3"/>
  <c r="DB223" i="3" s="1"/>
  <c r="CZ348" i="2"/>
  <c r="DH441" i="2"/>
  <c r="DF410" i="2"/>
  <c r="DF25" i="2" s="1"/>
  <c r="DF411" i="2"/>
  <c r="DF472" i="2" s="1"/>
  <c r="CU586" i="4"/>
  <c r="CU620" i="4"/>
  <c r="CU656" i="4" s="1"/>
  <c r="CU698" i="4" s="1"/>
  <c r="CV741" i="4"/>
  <c r="CV787" i="4" s="1"/>
  <c r="CV950" i="4"/>
  <c r="CU628" i="4"/>
  <c r="CV944" i="4"/>
  <c r="CV657" i="4"/>
  <c r="CV699" i="4" s="1"/>
  <c r="CV902" i="4" s="1"/>
  <c r="CV663" i="4"/>
  <c r="CV705" i="4" s="1"/>
  <c r="CV908" i="4" s="1"/>
  <c r="CU681" i="4"/>
  <c r="CU723" i="4" s="1"/>
  <c r="CU926" i="4" s="1"/>
  <c r="CU675" i="4"/>
  <c r="CU717" i="4" s="1"/>
  <c r="CU920" i="4" s="1"/>
  <c r="CW585" i="4"/>
  <c r="CW627" i="4"/>
  <c r="CW669" i="4" s="1"/>
  <c r="CW639" i="4"/>
  <c r="CW687" i="4" s="1"/>
  <c r="CU657" i="4"/>
  <c r="CU699" i="4" s="1"/>
  <c r="CU944" i="4"/>
  <c r="CU663" i="4"/>
  <c r="CU705" i="4" s="1"/>
  <c r="CU908" i="4" s="1"/>
  <c r="CY569" i="4"/>
  <c r="CX591" i="4"/>
  <c r="CX585" i="4" s="1"/>
  <c r="CT735" i="4"/>
  <c r="CT781" i="4" s="1"/>
  <c r="CT938" i="4"/>
  <c r="CT902" i="4"/>
  <c r="CV675" i="4"/>
  <c r="CV717" i="4" s="1"/>
  <c r="CV681" i="4"/>
  <c r="CV723" i="4" s="1"/>
  <c r="CV878" i="4"/>
  <c r="CV879" i="4" s="1"/>
  <c r="CU932" i="4"/>
  <c r="CV890" i="4"/>
  <c r="CV891" i="4" s="1"/>
  <c r="CU879" i="4"/>
  <c r="CU897" i="4" s="1"/>
  <c r="CV884" i="4"/>
  <c r="CV885" i="4" s="1"/>
  <c r="CU896" i="4"/>
  <c r="CV668" i="4"/>
  <c r="CV710" i="4" s="1"/>
  <c r="CV913" i="4" s="1"/>
  <c r="CW955" i="4"/>
  <c r="CX859" i="4"/>
  <c r="CW631" i="4"/>
  <c r="CW619" i="4"/>
  <c r="CX889" i="4"/>
  <c r="DA692" i="4"/>
  <c r="DF652" i="4"/>
  <c r="DH693" i="4"/>
  <c r="DQ645" i="4"/>
  <c r="CU730" i="4"/>
  <c r="CV730" i="4" s="1"/>
  <c r="DH651" i="4"/>
  <c r="DA500" i="2"/>
  <c r="DA499" i="2"/>
  <c r="DB498" i="2"/>
  <c r="DA504" i="2"/>
  <c r="DA497" i="2"/>
  <c r="CZ865" i="4"/>
  <c r="DI650" i="4"/>
  <c r="CW876" i="4"/>
  <c r="CW870" i="4"/>
  <c r="CV912" i="4"/>
  <c r="CV873" i="4"/>
  <c r="CW754" i="4"/>
  <c r="CX751" i="4"/>
  <c r="CZ817" i="4"/>
  <c r="CZ883" i="4" s="1"/>
  <c r="CZ812" i="4"/>
  <c r="DA811" i="4"/>
  <c r="CV954" i="4"/>
  <c r="CW858" i="4"/>
  <c r="CV861" i="4"/>
  <c r="CU688" i="4"/>
  <c r="CU709" i="4"/>
  <c r="CU670" i="4"/>
  <c r="CV670" i="4" s="1"/>
  <c r="CV942" i="4"/>
  <c r="CV655" i="4"/>
  <c r="CV661" i="4"/>
  <c r="CV703" i="4" s="1"/>
  <c r="CU655" i="4"/>
  <c r="CU942" i="4"/>
  <c r="CU661" i="4"/>
  <c r="CU703" i="4" s="1"/>
  <c r="CW637" i="4"/>
  <c r="CW685" i="4" s="1"/>
  <c r="CW625" i="4"/>
  <c r="CU930" i="4"/>
  <c r="CV727" i="4"/>
  <c r="CV948" i="4" s="1"/>
  <c r="CT733" i="4"/>
  <c r="CT936" i="4"/>
  <c r="CT900" i="4"/>
  <c r="CT918" i="4"/>
  <c r="CV867" i="4"/>
  <c r="CX589" i="4"/>
  <c r="CX583" i="4" s="1"/>
  <c r="CY567" i="4"/>
  <c r="CU949" i="4"/>
  <c r="CU740" i="4"/>
  <c r="CU786" i="4" s="1"/>
  <c r="CU913" i="4"/>
  <c r="CU634" i="4"/>
  <c r="CU682" i="4" s="1"/>
  <c r="CU673" i="4"/>
  <c r="CU679" i="4"/>
  <c r="CU721" i="4" s="1"/>
  <c r="CU674" i="4"/>
  <c r="CU716" i="4" s="1"/>
  <c r="CU919" i="4" s="1"/>
  <c r="CU680" i="4"/>
  <c r="CU722" i="4" s="1"/>
  <c r="CU925" i="4" s="1"/>
  <c r="EC643" i="4"/>
  <c r="CY753" i="4"/>
  <c r="DA514" i="2"/>
  <c r="CZ515" i="2"/>
  <c r="DB810" i="4"/>
  <c r="DA816" i="4"/>
  <c r="DJ644" i="4"/>
  <c r="CX568" i="4"/>
  <c r="CW590" i="4"/>
  <c r="CW592" i="4" s="1"/>
  <c r="CW640" i="4" s="1"/>
  <c r="CW888" i="4"/>
  <c r="EO397" i="2"/>
  <c r="EN400" i="2"/>
  <c r="EO400" i="2" s="1"/>
  <c r="EN154" i="3"/>
  <c r="EN398" i="2"/>
  <c r="CU957" i="4"/>
  <c r="CT674" i="4"/>
  <c r="CT680" i="4"/>
  <c r="CT722" i="4" s="1"/>
  <c r="CT634" i="4"/>
  <c r="CT682" i="4" s="1"/>
  <c r="CT712" i="4"/>
  <c r="CT948" i="4"/>
  <c r="CT739" i="4"/>
  <c r="CT785" i="4" s="1"/>
  <c r="CT912" i="4"/>
  <c r="CV956" i="4"/>
  <c r="CW860" i="4"/>
  <c r="CX877" i="4"/>
  <c r="CW895" i="4"/>
  <c r="CV632" i="4"/>
  <c r="CV634" i="4" s="1"/>
  <c r="CV682" i="4" s="1"/>
  <c r="CV620" i="4"/>
  <c r="CW864" i="4"/>
  <c r="CS736" i="4"/>
  <c r="CS782" i="4" s="1"/>
  <c r="CS779" i="4"/>
  <c r="CV894" i="4"/>
  <c r="CV728" i="4"/>
  <c r="CV931" i="4" s="1"/>
  <c r="CT931" i="4"/>
  <c r="CX819" i="4"/>
  <c r="CY813" i="4"/>
  <c r="CY819" i="4" s="1"/>
  <c r="DF752" i="4"/>
  <c r="CV673" i="4"/>
  <c r="CV679" i="4"/>
  <c r="CV721" i="4" s="1"/>
  <c r="CV924" i="4" s="1"/>
  <c r="CZ871" i="4"/>
  <c r="CT740" i="4"/>
  <c r="CT786" i="4" s="1"/>
  <c r="CT949" i="4"/>
  <c r="CT913" i="4"/>
  <c r="CT943" i="4"/>
  <c r="CT945" i="4" s="1"/>
  <c r="CT656" i="4"/>
  <c r="CT662" i="4"/>
  <c r="CT704" i="4" s="1"/>
  <c r="CT622" i="4"/>
  <c r="CT664" i="4" s="1"/>
  <c r="CX872" i="4"/>
  <c r="DH691" i="4"/>
  <c r="DH649" i="4"/>
  <c r="CS939" i="4"/>
  <c r="CS903" i="4"/>
  <c r="CW882" i="4"/>
  <c r="CX866" i="4"/>
  <c r="CV686" i="4"/>
  <c r="CV688" i="4" s="1"/>
  <c r="ES271" i="2" l="1"/>
  <c r="EQ271" i="2"/>
  <c r="ER269" i="2"/>
  <c r="EP66" i="3"/>
  <c r="EO66" i="3"/>
  <c r="EE414" i="2"/>
  <c r="EG414" i="2"/>
  <c r="EF415" i="2"/>
  <c r="EE415" i="2" s="1"/>
  <c r="CV365" i="2"/>
  <c r="CV366" i="2"/>
  <c r="DI441" i="2"/>
  <c r="DH410" i="2"/>
  <c r="DH411" i="2"/>
  <c r="DB348" i="2"/>
  <c r="CZ349" i="2"/>
  <c r="CZ22" i="2"/>
  <c r="DB352" i="2"/>
  <c r="DB24" i="2" s="1"/>
  <c r="CX22" i="2"/>
  <c r="CY352" i="2"/>
  <c r="CY24" i="2" s="1"/>
  <c r="CY348" i="2"/>
  <c r="H20" i="9"/>
  <c r="CU349" i="2"/>
  <c r="CV221" i="2"/>
  <c r="CV225" i="3"/>
  <c r="CU943" i="4"/>
  <c r="CU945" i="4" s="1"/>
  <c r="CU622" i="4"/>
  <c r="CU664" i="4" s="1"/>
  <c r="CU662" i="4"/>
  <c r="CU704" i="4" s="1"/>
  <c r="CU907" i="4" s="1"/>
  <c r="CV712" i="4"/>
  <c r="CV915" i="4" s="1"/>
  <c r="CV896" i="4"/>
  <c r="CZ569" i="4"/>
  <c r="CW729" i="4"/>
  <c r="CW711" i="4"/>
  <c r="CX633" i="4"/>
  <c r="CX621" i="4"/>
  <c r="CW633" i="4"/>
  <c r="CW621" i="4"/>
  <c r="CV735" i="4"/>
  <c r="CV781" i="4" s="1"/>
  <c r="CV938" i="4"/>
  <c r="CY591" i="4"/>
  <c r="CY585" i="4" s="1"/>
  <c r="CX639" i="4"/>
  <c r="CX687" i="4" s="1"/>
  <c r="CX729" i="4" s="1"/>
  <c r="CX627" i="4"/>
  <c r="CX669" i="4" s="1"/>
  <c r="CX711" i="4" s="1"/>
  <c r="CX914" i="4" s="1"/>
  <c r="CU735" i="4"/>
  <c r="CU781" i="4" s="1"/>
  <c r="CU938" i="4"/>
  <c r="CU902" i="4"/>
  <c r="CV739" i="4"/>
  <c r="CV785" i="4" s="1"/>
  <c r="CV930" i="4"/>
  <c r="CW584" i="4"/>
  <c r="CW620" i="4" s="1"/>
  <c r="CV926" i="4"/>
  <c r="CW884" i="4"/>
  <c r="CW890" i="4"/>
  <c r="CV932" i="4"/>
  <c r="CX955" i="4"/>
  <c r="CY859" i="4"/>
  <c r="CV920" i="4"/>
  <c r="CW878" i="4"/>
  <c r="CX631" i="4"/>
  <c r="CX619" i="4"/>
  <c r="DI649" i="4"/>
  <c r="CV933" i="4"/>
  <c r="DJ650" i="4"/>
  <c r="DB692" i="4"/>
  <c r="DB514" i="2"/>
  <c r="DA515" i="2"/>
  <c r="CU933" i="4"/>
  <c r="CW727" i="4"/>
  <c r="CW930" i="4" s="1"/>
  <c r="CW954" i="4"/>
  <c r="CW861" i="4"/>
  <c r="CX858" i="4"/>
  <c r="CV897" i="4"/>
  <c r="CY877" i="4"/>
  <c r="CX895" i="4"/>
  <c r="CT925" i="4"/>
  <c r="CT724" i="4"/>
  <c r="CT927" i="4" s="1"/>
  <c r="CV949" i="4"/>
  <c r="CV951" i="4" s="1"/>
  <c r="CU724" i="4"/>
  <c r="CU927" i="4" s="1"/>
  <c r="CU924" i="4"/>
  <c r="CT779" i="4"/>
  <c r="CU697" i="4"/>
  <c r="CU658" i="4"/>
  <c r="CV957" i="4"/>
  <c r="CW894" i="4"/>
  <c r="CX876" i="4"/>
  <c r="CY889" i="4"/>
  <c r="CV943" i="4"/>
  <c r="CV945" i="4" s="1"/>
  <c r="CV656" i="4"/>
  <c r="CV698" i="4" s="1"/>
  <c r="CV662" i="4"/>
  <c r="CV704" i="4" s="1"/>
  <c r="CV907" i="4" s="1"/>
  <c r="CX590" i="4"/>
  <c r="CY568" i="4"/>
  <c r="CY570" i="4" s="1"/>
  <c r="CX570" i="4"/>
  <c r="CU901" i="4"/>
  <c r="DC498" i="2"/>
  <c r="DB500" i="2"/>
  <c r="DB499" i="2"/>
  <c r="DB504" i="2"/>
  <c r="DB497" i="2"/>
  <c r="CY866" i="4"/>
  <c r="DI691" i="4"/>
  <c r="CV906" i="4"/>
  <c r="CY872" i="4"/>
  <c r="DG752" i="4"/>
  <c r="CX882" i="4"/>
  <c r="CV715" i="4"/>
  <c r="CT716" i="4"/>
  <c r="CT676" i="4"/>
  <c r="CV740" i="4"/>
  <c r="CV786" i="4" s="1"/>
  <c r="EP397" i="2"/>
  <c r="EO398" i="2"/>
  <c r="EO154" i="3"/>
  <c r="CW626" i="4"/>
  <c r="CW668" i="4" s="1"/>
  <c r="CW638" i="4"/>
  <c r="CW686" i="4" s="1"/>
  <c r="CW688" i="4" s="1"/>
  <c r="CZ753" i="4"/>
  <c r="ED643" i="4"/>
  <c r="CU676" i="4"/>
  <c r="CU715" i="4"/>
  <c r="CZ567" i="4"/>
  <c r="CU948" i="4"/>
  <c r="CU951" i="4" s="1"/>
  <c r="CU712" i="4"/>
  <c r="CU739" i="4"/>
  <c r="CU785" i="4" s="1"/>
  <c r="CU912" i="4"/>
  <c r="DB811" i="4"/>
  <c r="DB817" i="4" s="1"/>
  <c r="DA817" i="4"/>
  <c r="DA883" i="4" s="1"/>
  <c r="CX754" i="4"/>
  <c r="CY751" i="4"/>
  <c r="CW873" i="4"/>
  <c r="CX870" i="4"/>
  <c r="DI651" i="4"/>
  <c r="CT907" i="4"/>
  <c r="CT706" i="4"/>
  <c r="CT909" i="4" s="1"/>
  <c r="CZ813" i="4"/>
  <c r="DA812" i="4"/>
  <c r="CZ818" i="4"/>
  <c r="CW655" i="4"/>
  <c r="CW942" i="4"/>
  <c r="CW661" i="4"/>
  <c r="CW703" i="4" s="1"/>
  <c r="CW906" i="4" s="1"/>
  <c r="CT698" i="4"/>
  <c r="CT658" i="4"/>
  <c r="CV674" i="4"/>
  <c r="CV716" i="4" s="1"/>
  <c r="CV919" i="4" s="1"/>
  <c r="CV680" i="4"/>
  <c r="CV722" i="4" s="1"/>
  <c r="CV925" i="4" s="1"/>
  <c r="CX860" i="4"/>
  <c r="CW956" i="4"/>
  <c r="CT951" i="4"/>
  <c r="DB816" i="4"/>
  <c r="DC810" i="4"/>
  <c r="CX637" i="4"/>
  <c r="CX685" i="4" s="1"/>
  <c r="CX625" i="4"/>
  <c r="CY589" i="4"/>
  <c r="CY583" i="4" s="1"/>
  <c r="CU906" i="4"/>
  <c r="CV622" i="4"/>
  <c r="CV664" i="4" s="1"/>
  <c r="DR645" i="4"/>
  <c r="DI693" i="4"/>
  <c r="CW673" i="4"/>
  <c r="CW679" i="4"/>
  <c r="CW721" i="4" s="1"/>
  <c r="CW924" i="4" s="1"/>
  <c r="DA871" i="4"/>
  <c r="CX864" i="4"/>
  <c r="CW867" i="4"/>
  <c r="CT742" i="4"/>
  <c r="CT788" i="4" s="1"/>
  <c r="CT915" i="4"/>
  <c r="CX888" i="4"/>
  <c r="DK644" i="4"/>
  <c r="CW667" i="4"/>
  <c r="CV697" i="4"/>
  <c r="DA865" i="4"/>
  <c r="DG652" i="4"/>
  <c r="CU706" i="4" l="1"/>
  <c r="CU909" i="4" s="1"/>
  <c r="EQ269" i="2"/>
  <c r="EQ64" i="3" s="1"/>
  <c r="EQ66" i="3" s="1"/>
  <c r="ER64" i="3"/>
  <c r="ER66" i="3" s="1"/>
  <c r="EU271" i="2"/>
  <c r="ES269" i="2"/>
  <c r="EI414" i="2"/>
  <c r="EG415" i="2"/>
  <c r="CU937" i="4"/>
  <c r="T18" i="9"/>
  <c r="CZ365" i="2"/>
  <c r="CZ366" i="2"/>
  <c r="CZ224" i="3" s="1"/>
  <c r="DG411" i="2"/>
  <c r="DG472" i="2" s="1"/>
  <c r="DH472" i="2"/>
  <c r="DG410" i="2"/>
  <c r="DG25" i="2" s="1"/>
  <c r="DH25" i="2"/>
  <c r="I19" i="9" s="1"/>
  <c r="CZ221" i="2"/>
  <c r="CZ222" i="2" s="1"/>
  <c r="CZ225" i="3"/>
  <c r="CV222" i="2"/>
  <c r="CU222" i="2" s="1"/>
  <c r="CU221" i="2"/>
  <c r="CX365" i="2"/>
  <c r="CX366" i="2"/>
  <c r="CX224" i="3" s="1"/>
  <c r="DK441" i="2"/>
  <c r="DI410" i="2"/>
  <c r="DI25" i="2" s="1"/>
  <c r="DI411" i="2"/>
  <c r="DI472" i="2" s="1"/>
  <c r="CU225" i="3"/>
  <c r="CY22" i="2"/>
  <c r="F17" i="9" s="1"/>
  <c r="CY349" i="2"/>
  <c r="DB22" i="2"/>
  <c r="G17" i="9" s="1"/>
  <c r="DB349" i="2"/>
  <c r="E46" i="9"/>
  <c r="CV224" i="3"/>
  <c r="CW632" i="4"/>
  <c r="CW634" i="4" s="1"/>
  <c r="CW682" i="4" s="1"/>
  <c r="CU734" i="4"/>
  <c r="CU780" i="4" s="1"/>
  <c r="CV742" i="4"/>
  <c r="CV788" i="4" s="1"/>
  <c r="CV658" i="4"/>
  <c r="CW586" i="4"/>
  <c r="CW896" i="4"/>
  <c r="CW622" i="4"/>
  <c r="CW664" i="4" s="1"/>
  <c r="CY729" i="4"/>
  <c r="CX663" i="4"/>
  <c r="CX705" i="4" s="1"/>
  <c r="CX908" i="4" s="1"/>
  <c r="CX657" i="4"/>
  <c r="CX699" i="4" s="1"/>
  <c r="CX902" i="4" s="1"/>
  <c r="CX944" i="4"/>
  <c r="CY687" i="4"/>
  <c r="CX741" i="4"/>
  <c r="CX787" i="4" s="1"/>
  <c r="CX950" i="4"/>
  <c r="CX675" i="4"/>
  <c r="CX717" i="4" s="1"/>
  <c r="CX681" i="4"/>
  <c r="CX723" i="4" s="1"/>
  <c r="CW944" i="4"/>
  <c r="CW657" i="4"/>
  <c r="CW699" i="4" s="1"/>
  <c r="CW663" i="4"/>
  <c r="CW705" i="4" s="1"/>
  <c r="CW908" i="4" s="1"/>
  <c r="CY669" i="4"/>
  <c r="CY711" i="4" s="1"/>
  <c r="CY914" i="4" s="1"/>
  <c r="CY633" i="4"/>
  <c r="CY621" i="4"/>
  <c r="CY639" i="4"/>
  <c r="CY627" i="4"/>
  <c r="CW675" i="4"/>
  <c r="CW717" i="4" s="1"/>
  <c r="CW920" i="4" s="1"/>
  <c r="CW681" i="4"/>
  <c r="CW723" i="4" s="1"/>
  <c r="CW926" i="4" s="1"/>
  <c r="CW950" i="4"/>
  <c r="CW741" i="4"/>
  <c r="CW787" i="4" s="1"/>
  <c r="CW914" i="4"/>
  <c r="DA569" i="4"/>
  <c r="CZ591" i="4"/>
  <c r="CZ585" i="4" s="1"/>
  <c r="CV724" i="4"/>
  <c r="CV927" i="4" s="1"/>
  <c r="CX894" i="4"/>
  <c r="CX878" i="4"/>
  <c r="CX879" i="4" s="1"/>
  <c r="CV706" i="4"/>
  <c r="CV909" i="4" s="1"/>
  <c r="CX884" i="4"/>
  <c r="CY955" i="4"/>
  <c r="CZ859" i="4"/>
  <c r="CX890" i="4"/>
  <c r="CX891" i="4" s="1"/>
  <c r="CW932" i="4"/>
  <c r="CW891" i="4"/>
  <c r="CW879" i="4"/>
  <c r="CW885" i="4"/>
  <c r="CY619" i="4"/>
  <c r="CY631" i="4"/>
  <c r="DB883" i="4"/>
  <c r="DA753" i="4"/>
  <c r="CU742" i="4"/>
  <c r="CU788" i="4" s="1"/>
  <c r="CU915" i="4"/>
  <c r="CW710" i="4"/>
  <c r="CT919" i="4"/>
  <c r="CT718" i="4"/>
  <c r="CT921" i="4" s="1"/>
  <c r="CV718" i="4"/>
  <c r="CV921" i="4" s="1"/>
  <c r="CV918" i="4"/>
  <c r="CZ866" i="4"/>
  <c r="CX638" i="4"/>
  <c r="CX686" i="4" s="1"/>
  <c r="CX728" i="4" s="1"/>
  <c r="CX931" i="4" s="1"/>
  <c r="CX626" i="4"/>
  <c r="CX668" i="4" s="1"/>
  <c r="CX710" i="4" s="1"/>
  <c r="DK650" i="4"/>
  <c r="DJ693" i="4"/>
  <c r="CX592" i="4"/>
  <c r="CX640" i="4" s="1"/>
  <c r="CW656" i="4"/>
  <c r="CW698" i="4" s="1"/>
  <c r="CW662" i="4"/>
  <c r="CW704" i="4" s="1"/>
  <c r="CW907" i="4" s="1"/>
  <c r="DA813" i="4"/>
  <c r="CZ819" i="4"/>
  <c r="CZ589" i="4"/>
  <c r="CZ583" i="4" s="1"/>
  <c r="DA567" i="4"/>
  <c r="CV676" i="4"/>
  <c r="CU733" i="4"/>
  <c r="CU700" i="4"/>
  <c r="CU936" i="4"/>
  <c r="CU900" i="4"/>
  <c r="DL644" i="4"/>
  <c r="CX727" i="4"/>
  <c r="CX930" i="4" s="1"/>
  <c r="EQ397" i="2"/>
  <c r="EP400" i="2"/>
  <c r="EP398" i="2"/>
  <c r="CY625" i="4"/>
  <c r="CY637" i="4"/>
  <c r="DA818" i="4"/>
  <c r="DB812" i="4"/>
  <c r="DB818" i="4" s="1"/>
  <c r="CX873" i="4"/>
  <c r="CY870" i="4"/>
  <c r="DC514" i="2"/>
  <c r="DB515" i="2"/>
  <c r="DJ649" i="4"/>
  <c r="DB865" i="4"/>
  <c r="CV733" i="4"/>
  <c r="CV700" i="4"/>
  <c r="CV936" i="4"/>
  <c r="CV900" i="4"/>
  <c r="CX867" i="4"/>
  <c r="CY864" i="4"/>
  <c r="CX667" i="4"/>
  <c r="CY667" i="4" s="1"/>
  <c r="CY709" i="4" s="1"/>
  <c r="CU718" i="4"/>
  <c r="CU921" i="4" s="1"/>
  <c r="CU918" i="4"/>
  <c r="DJ691" i="4"/>
  <c r="CV734" i="4"/>
  <c r="CV780" i="4" s="1"/>
  <c r="CV937" i="4"/>
  <c r="CV901" i="4"/>
  <c r="CX861" i="4"/>
  <c r="CY858" i="4"/>
  <c r="CX954" i="4"/>
  <c r="CY685" i="4"/>
  <c r="CY876" i="4"/>
  <c r="CW709" i="4"/>
  <c r="CW670" i="4"/>
  <c r="DB871" i="4"/>
  <c r="CW715" i="4"/>
  <c r="DD810" i="4"/>
  <c r="DC816" i="4"/>
  <c r="DC811" i="4"/>
  <c r="CT734" i="4"/>
  <c r="CT937" i="4"/>
  <c r="CT901" i="4"/>
  <c r="CT700" i="4"/>
  <c r="CW697" i="4"/>
  <c r="CY590" i="4"/>
  <c r="CY592" i="4" s="1"/>
  <c r="CY640" i="4" s="1"/>
  <c r="CY882" i="4"/>
  <c r="CZ872" i="4"/>
  <c r="CX584" i="4"/>
  <c r="CW957" i="4"/>
  <c r="CX942" i="4"/>
  <c r="CX655" i="4"/>
  <c r="CX661" i="4"/>
  <c r="CX703" i="4" s="1"/>
  <c r="DH652" i="4"/>
  <c r="CW628" i="4"/>
  <c r="CY888" i="4"/>
  <c r="DS645" i="4"/>
  <c r="CX956" i="4"/>
  <c r="CY860" i="4"/>
  <c r="DJ651" i="4"/>
  <c r="CY754" i="4"/>
  <c r="CZ751" i="4"/>
  <c r="EE643" i="4"/>
  <c r="CW728" i="4"/>
  <c r="CW730" i="4" s="1"/>
  <c r="DH752" i="4"/>
  <c r="DC500" i="2"/>
  <c r="DC499" i="2"/>
  <c r="DD498" i="2"/>
  <c r="DC497" i="2"/>
  <c r="DC504" i="2"/>
  <c r="CZ568" i="4"/>
  <c r="CZ570" i="4" s="1"/>
  <c r="CZ889" i="4"/>
  <c r="CZ877" i="4"/>
  <c r="CY895" i="4"/>
  <c r="DC692" i="4"/>
  <c r="CX673" i="4"/>
  <c r="CX679" i="4"/>
  <c r="CX721" i="4" s="1"/>
  <c r="CX924" i="4" s="1"/>
  <c r="ET271" i="2" l="1"/>
  <c r="EV271" i="2"/>
  <c r="EU269" i="2"/>
  <c r="ET269" i="2" s="1"/>
  <c r="EJ414" i="2"/>
  <c r="EI415" i="2"/>
  <c r="EH415" i="2" s="1"/>
  <c r="EH414" i="2"/>
  <c r="CW680" i="4"/>
  <c r="CW722" i="4" s="1"/>
  <c r="CW925" i="4" s="1"/>
  <c r="CW943" i="4"/>
  <c r="CW945" i="4" s="1"/>
  <c r="CW674" i="4"/>
  <c r="CW716" i="4" s="1"/>
  <c r="CW919" i="4" s="1"/>
  <c r="DL441" i="2"/>
  <c r="DK410" i="2"/>
  <c r="DK411" i="2"/>
  <c r="I20" i="9"/>
  <c r="DA349" i="2"/>
  <c r="DB221" i="2"/>
  <c r="DB225" i="3"/>
  <c r="CX349" i="2"/>
  <c r="CY221" i="2"/>
  <c r="CY225" i="3"/>
  <c r="DB365" i="2"/>
  <c r="DB366" i="2"/>
  <c r="CY365" i="2"/>
  <c r="CY366" i="2"/>
  <c r="CW933" i="4"/>
  <c r="CW658" i="4"/>
  <c r="CW897" i="4"/>
  <c r="CY584" i="4"/>
  <c r="CY620" i="4" s="1"/>
  <c r="CY686" i="4"/>
  <c r="CY688" i="4" s="1"/>
  <c r="CX896" i="4"/>
  <c r="CZ621" i="4"/>
  <c r="CZ633" i="4"/>
  <c r="CY741" i="4"/>
  <c r="CY787" i="4" s="1"/>
  <c r="CY950" i="4"/>
  <c r="CW706" i="4"/>
  <c r="CW909" i="4" s="1"/>
  <c r="CZ639" i="4"/>
  <c r="CZ687" i="4" s="1"/>
  <c r="CZ627" i="4"/>
  <c r="CZ669" i="4" s="1"/>
  <c r="DA591" i="4"/>
  <c r="DA585" i="4" s="1"/>
  <c r="DB569" i="4"/>
  <c r="CY944" i="4"/>
  <c r="CY657" i="4"/>
  <c r="CY699" i="4" s="1"/>
  <c r="CY902" i="4" s="1"/>
  <c r="CY663" i="4"/>
  <c r="CY705" i="4" s="1"/>
  <c r="CY908" i="4" s="1"/>
  <c r="CW735" i="4"/>
  <c r="CW781" i="4" s="1"/>
  <c r="CW938" i="4"/>
  <c r="CW902" i="4"/>
  <c r="CX735" i="4"/>
  <c r="CX781" i="4" s="1"/>
  <c r="CX938" i="4"/>
  <c r="CY675" i="4"/>
  <c r="CY717" i="4" s="1"/>
  <c r="CY681" i="4"/>
  <c r="CY723" i="4" s="1"/>
  <c r="CY894" i="4"/>
  <c r="CX957" i="4"/>
  <c r="CX926" i="4"/>
  <c r="CY884" i="4"/>
  <c r="CY885" i="4" s="1"/>
  <c r="CX885" i="4"/>
  <c r="CX897" i="4" s="1"/>
  <c r="CX688" i="4"/>
  <c r="CY878" i="4"/>
  <c r="CX920" i="4"/>
  <c r="CZ955" i="4"/>
  <c r="DA859" i="4"/>
  <c r="CX932" i="4"/>
  <c r="CY890" i="4"/>
  <c r="CY891" i="4" s="1"/>
  <c r="CZ882" i="4"/>
  <c r="CX949" i="4"/>
  <c r="CX740" i="4"/>
  <c r="CX786" i="4" s="1"/>
  <c r="CX913" i="4"/>
  <c r="CY673" i="4"/>
  <c r="CY679" i="4"/>
  <c r="CY721" i="4" s="1"/>
  <c r="CY924" i="4" s="1"/>
  <c r="DT645" i="4"/>
  <c r="CW700" i="4"/>
  <c r="CW733" i="4"/>
  <c r="CW936" i="4"/>
  <c r="CW900" i="4"/>
  <c r="CY867" i="4"/>
  <c r="CV736" i="4"/>
  <c r="CV782" i="4" s="1"/>
  <c r="CV779" i="4"/>
  <c r="DK693" i="4"/>
  <c r="CZ590" i="4"/>
  <c r="CZ584" i="4" s="1"/>
  <c r="DA568" i="4"/>
  <c r="DA570" i="4" s="1"/>
  <c r="DI752" i="4"/>
  <c r="DI652" i="4"/>
  <c r="DK691" i="4"/>
  <c r="CX628" i="4"/>
  <c r="DC865" i="4"/>
  <c r="DD514" i="2"/>
  <c r="DC515" i="2"/>
  <c r="CZ619" i="4"/>
  <c r="CZ631" i="4"/>
  <c r="CW901" i="4"/>
  <c r="DL650" i="4"/>
  <c r="DD692" i="4"/>
  <c r="CW918" i="4"/>
  <c r="CZ870" i="4"/>
  <c r="CY912" i="4"/>
  <c r="CY873" i="4"/>
  <c r="DB813" i="4"/>
  <c r="DB819" i="4" s="1"/>
  <c r="DA819" i="4"/>
  <c r="CX715" i="4"/>
  <c r="DA872" i="4"/>
  <c r="DC812" i="4"/>
  <c r="DD811" i="4"/>
  <c r="DC817" i="4"/>
  <c r="DC883" i="4" s="1"/>
  <c r="CX709" i="4"/>
  <c r="CX670" i="4"/>
  <c r="CY670" i="4" s="1"/>
  <c r="CW949" i="4"/>
  <c r="CW740" i="4"/>
  <c r="CW786" i="4" s="1"/>
  <c r="CW913" i="4"/>
  <c r="DA877" i="4"/>
  <c r="CZ895" i="4"/>
  <c r="EF643" i="4"/>
  <c r="CT939" i="4"/>
  <c r="CT903" i="4"/>
  <c r="DE810" i="4"/>
  <c r="DD816" i="4"/>
  <c r="CW948" i="4"/>
  <c r="CW712" i="4"/>
  <c r="CW739" i="4"/>
  <c r="CW785" i="4" s="1"/>
  <c r="CW912" i="4"/>
  <c r="DM644" i="4"/>
  <c r="CZ860" i="4"/>
  <c r="CY956" i="4"/>
  <c r="CX632" i="4"/>
  <c r="CX620" i="4"/>
  <c r="CX586" i="4"/>
  <c r="CU939" i="4"/>
  <c r="CU903" i="4"/>
  <c r="DA889" i="4"/>
  <c r="DE498" i="2"/>
  <c r="DD499" i="2"/>
  <c r="DD500" i="2"/>
  <c r="DD504" i="2"/>
  <c r="DD497" i="2"/>
  <c r="DK651" i="4"/>
  <c r="CZ888" i="4"/>
  <c r="CZ876" i="4"/>
  <c r="CZ858" i="4"/>
  <c r="CY861" i="4"/>
  <c r="CY954" i="4"/>
  <c r="CX906" i="4"/>
  <c r="ER397" i="2"/>
  <c r="ES397" i="2" s="1"/>
  <c r="EQ400" i="2"/>
  <c r="ER400" i="2" s="1"/>
  <c r="EQ398" i="2"/>
  <c r="EQ154" i="3"/>
  <c r="CU736" i="4"/>
  <c r="CU782" i="4" s="1"/>
  <c r="CU779" i="4"/>
  <c r="DB567" i="4"/>
  <c r="DA589" i="4"/>
  <c r="DB589" i="4" s="1"/>
  <c r="DB753" i="4"/>
  <c r="CY728" i="4"/>
  <c r="CY931" i="4" s="1"/>
  <c r="CW931" i="4"/>
  <c r="CZ754" i="4"/>
  <c r="DA751" i="4"/>
  <c r="CX697" i="4"/>
  <c r="CY638" i="4"/>
  <c r="CY626" i="4"/>
  <c r="CY628" i="4" s="1"/>
  <c r="CT780" i="4"/>
  <c r="CT736" i="4"/>
  <c r="CT782" i="4" s="1"/>
  <c r="DC871" i="4"/>
  <c r="CZ864" i="4"/>
  <c r="CV939" i="4"/>
  <c r="CV903" i="4"/>
  <c r="DK649" i="4"/>
  <c r="CX730" i="4"/>
  <c r="CX933" i="4" s="1"/>
  <c r="CY727" i="4"/>
  <c r="CY739" i="4" s="1"/>
  <c r="CY785" i="4" s="1"/>
  <c r="CZ625" i="4"/>
  <c r="CZ637" i="4"/>
  <c r="CZ685" i="4" s="1"/>
  <c r="DA866" i="4"/>
  <c r="CY668" i="4"/>
  <c r="CY710" i="4" s="1"/>
  <c r="CY942" i="4"/>
  <c r="CY655" i="4"/>
  <c r="CY661" i="4"/>
  <c r="CY703" i="4" s="1"/>
  <c r="CY906" i="4" s="1"/>
  <c r="EX271" i="2" l="1"/>
  <c r="EY271" i="2" s="1"/>
  <c r="EV269" i="2"/>
  <c r="CW734" i="4"/>
  <c r="CW780" i="4" s="1"/>
  <c r="CW676" i="4"/>
  <c r="CW718" i="4"/>
  <c r="CW921" i="4" s="1"/>
  <c r="CW937" i="4"/>
  <c r="EL414" i="2"/>
  <c r="EJ415" i="2"/>
  <c r="CW724" i="4"/>
  <c r="CW927" i="4" s="1"/>
  <c r="CY586" i="4"/>
  <c r="ET397" i="2"/>
  <c r="ES400" i="2"/>
  <c r="ES398" i="2"/>
  <c r="CX225" i="3"/>
  <c r="G46" i="9"/>
  <c r="DB224" i="3"/>
  <c r="CY222" i="2"/>
  <c r="CX222" i="2" s="1"/>
  <c r="CX221" i="2"/>
  <c r="DA225" i="3"/>
  <c r="DJ411" i="2"/>
  <c r="DJ472" i="2" s="1"/>
  <c r="DK472" i="2"/>
  <c r="DJ410" i="2"/>
  <c r="DJ25" i="2" s="1"/>
  <c r="DK25" i="2"/>
  <c r="J19" i="9" s="1"/>
  <c r="DN441" i="2"/>
  <c r="DL410" i="2"/>
  <c r="DL25" i="2" s="1"/>
  <c r="DL411" i="2"/>
  <c r="DL472" i="2" s="1"/>
  <c r="F46" i="9"/>
  <c r="CY224" i="3"/>
  <c r="DA221" i="2"/>
  <c r="DB222" i="2"/>
  <c r="DA222" i="2" s="1"/>
  <c r="CY632" i="4"/>
  <c r="CY634" i="4" s="1"/>
  <c r="CY682" i="4" s="1"/>
  <c r="CY896" i="4"/>
  <c r="CY879" i="4"/>
  <c r="CY897" i="4" s="1"/>
  <c r="CZ592" i="4"/>
  <c r="CZ640" i="4" s="1"/>
  <c r="CY735" i="4"/>
  <c r="CY781" i="4" s="1"/>
  <c r="CY938" i="4"/>
  <c r="DB591" i="4"/>
  <c r="DB585" i="4" s="1"/>
  <c r="DA639" i="4"/>
  <c r="DA687" i="4" s="1"/>
  <c r="DA729" i="4" s="1"/>
  <c r="DA627" i="4"/>
  <c r="DA669" i="4" s="1"/>
  <c r="DA711" i="4" s="1"/>
  <c r="DA914" i="4" s="1"/>
  <c r="CZ711" i="4"/>
  <c r="CY957" i="4"/>
  <c r="DA633" i="4"/>
  <c r="DA621" i="4"/>
  <c r="CZ729" i="4"/>
  <c r="CZ675" i="4"/>
  <c r="CZ717" i="4" s="1"/>
  <c r="CZ681" i="4"/>
  <c r="CZ723" i="4" s="1"/>
  <c r="DC569" i="4"/>
  <c r="CZ657" i="4"/>
  <c r="CZ699" i="4" s="1"/>
  <c r="CZ902" i="4" s="1"/>
  <c r="CZ944" i="4"/>
  <c r="CZ663" i="4"/>
  <c r="CZ705" i="4" s="1"/>
  <c r="CZ908" i="4" s="1"/>
  <c r="DB859" i="4"/>
  <c r="DA955" i="4"/>
  <c r="CY932" i="4"/>
  <c r="CZ890" i="4"/>
  <c r="CZ891" i="4" s="1"/>
  <c r="CY926" i="4"/>
  <c r="CZ884" i="4"/>
  <c r="CY948" i="4"/>
  <c r="CY730" i="4"/>
  <c r="CY933" i="4" s="1"/>
  <c r="CY920" i="4"/>
  <c r="CZ878" i="4"/>
  <c r="DJ652" i="4"/>
  <c r="CY697" i="4"/>
  <c r="DA888" i="4"/>
  <c r="DA860" i="4"/>
  <c r="CZ956" i="4"/>
  <c r="CY656" i="4"/>
  <c r="CY698" i="4" s="1"/>
  <c r="CY662" i="4"/>
  <c r="CY704" i="4" s="1"/>
  <c r="CY907" i="4" s="1"/>
  <c r="CZ620" i="4"/>
  <c r="CZ622" i="4" s="1"/>
  <c r="CZ664" i="4" s="1"/>
  <c r="CZ632" i="4"/>
  <c r="CZ634" i="4" s="1"/>
  <c r="CZ682" i="4" s="1"/>
  <c r="DU645" i="4"/>
  <c r="DB625" i="4"/>
  <c r="DB637" i="4"/>
  <c r="DA754" i="4"/>
  <c r="DB751" i="4"/>
  <c r="DA637" i="4"/>
  <c r="DA685" i="4" s="1"/>
  <c r="DB685" i="4" s="1"/>
  <c r="DA625" i="4"/>
  <c r="DA876" i="4"/>
  <c r="CX943" i="4"/>
  <c r="CX945" i="4" s="1"/>
  <c r="CX656" i="4"/>
  <c r="CX662" i="4"/>
  <c r="CX704" i="4" s="1"/>
  <c r="CX622" i="4"/>
  <c r="CX664" i="4" s="1"/>
  <c r="DN644" i="4"/>
  <c r="CW742" i="4"/>
  <c r="CW788" i="4" s="1"/>
  <c r="CW915" i="4"/>
  <c r="CZ873" i="4"/>
  <c r="DA870" i="4"/>
  <c r="DE692" i="4"/>
  <c r="DM650" i="4"/>
  <c r="CZ673" i="4"/>
  <c r="CZ679" i="4"/>
  <c r="CZ721" i="4" s="1"/>
  <c r="CZ924" i="4" s="1"/>
  <c r="DD865" i="4"/>
  <c r="DB568" i="4"/>
  <c r="DB570" i="4" s="1"/>
  <c r="DA590" i="4"/>
  <c r="CY740" i="4"/>
  <c r="CY786" i="4" s="1"/>
  <c r="CY949" i="4"/>
  <c r="CY913" i="4"/>
  <c r="DE500" i="2"/>
  <c r="DE499" i="2"/>
  <c r="DF498" i="2"/>
  <c r="DE504" i="2"/>
  <c r="DE497" i="2"/>
  <c r="EG643" i="4"/>
  <c r="DC813" i="4"/>
  <c r="DD812" i="4"/>
  <c r="DC818" i="4"/>
  <c r="CY715" i="4"/>
  <c r="CZ727" i="4"/>
  <c r="CZ930" i="4" s="1"/>
  <c r="CY622" i="4"/>
  <c r="CY664" i="4" s="1"/>
  <c r="CZ667" i="4"/>
  <c r="DL649" i="4"/>
  <c r="CZ867" i="4"/>
  <c r="DA864" i="4"/>
  <c r="DC567" i="4"/>
  <c r="DB583" i="4"/>
  <c r="ER154" i="3"/>
  <c r="ER398" i="2"/>
  <c r="CX674" i="4"/>
  <c r="CX680" i="4"/>
  <c r="CX722" i="4" s="1"/>
  <c r="CX634" i="4"/>
  <c r="CX682" i="4" s="1"/>
  <c r="CW951" i="4"/>
  <c r="DE811" i="4"/>
  <c r="DE817" i="4" s="1"/>
  <c r="DD817" i="4"/>
  <c r="DD883" i="4" s="1"/>
  <c r="CX918" i="4"/>
  <c r="CZ586" i="4"/>
  <c r="CZ638" i="4"/>
  <c r="CZ686" i="4" s="1"/>
  <c r="CZ688" i="4" s="1"/>
  <c r="CZ626" i="4"/>
  <c r="CZ668" i="4" s="1"/>
  <c r="CZ942" i="4"/>
  <c r="CZ655" i="4"/>
  <c r="CZ661" i="4"/>
  <c r="CZ703" i="4" s="1"/>
  <c r="CZ906" i="4" s="1"/>
  <c r="DB866" i="4"/>
  <c r="DD871" i="4"/>
  <c r="CX733" i="4"/>
  <c r="CX936" i="4"/>
  <c r="CX900" i="4"/>
  <c r="CZ954" i="4"/>
  <c r="DA858" i="4"/>
  <c r="CZ861" i="4"/>
  <c r="DL651" i="4"/>
  <c r="DB889" i="4"/>
  <c r="CY712" i="4"/>
  <c r="DE816" i="4"/>
  <c r="DF810" i="4"/>
  <c r="DL693" i="4"/>
  <c r="CW779" i="4"/>
  <c r="CZ894" i="4"/>
  <c r="DC753" i="4"/>
  <c r="DA583" i="4"/>
  <c r="CY930" i="4"/>
  <c r="DB877" i="4"/>
  <c r="DA895" i="4"/>
  <c r="CX948" i="4"/>
  <c r="CX951" i="4" s="1"/>
  <c r="CX739" i="4"/>
  <c r="CX785" i="4" s="1"/>
  <c r="CX712" i="4"/>
  <c r="CX912" i="4"/>
  <c r="DB872" i="4"/>
  <c r="DD515" i="2"/>
  <c r="DE514" i="2"/>
  <c r="DL691" i="4"/>
  <c r="DJ752" i="4"/>
  <c r="CW903" i="4"/>
  <c r="DA882" i="4"/>
  <c r="FA271" i="2" l="1"/>
  <c r="EY269" i="2"/>
  <c r="CY943" i="4"/>
  <c r="CY945" i="4" s="1"/>
  <c r="CW939" i="4"/>
  <c r="CW736" i="4"/>
  <c r="CW782" i="4" s="1"/>
  <c r="EW271" i="2"/>
  <c r="EX269" i="2"/>
  <c r="EW269" i="2" s="1"/>
  <c r="EL415" i="2"/>
  <c r="EK415" i="2" s="1"/>
  <c r="EM414" i="2"/>
  <c r="EK414" i="2"/>
  <c r="CY680" i="4"/>
  <c r="CY722" i="4" s="1"/>
  <c r="CY925" i="4" s="1"/>
  <c r="EU397" i="2"/>
  <c r="ET400" i="2"/>
  <c r="EU400" i="2" s="1"/>
  <c r="ET398" i="2"/>
  <c r="ET154" i="3"/>
  <c r="DO441" i="2"/>
  <c r="DN410" i="2"/>
  <c r="DN411" i="2"/>
  <c r="CY674" i="4"/>
  <c r="CY716" i="4" s="1"/>
  <c r="CY919" i="4" s="1"/>
  <c r="DB669" i="4"/>
  <c r="DB711" i="4" s="1"/>
  <c r="DB914" i="4" s="1"/>
  <c r="DB687" i="4"/>
  <c r="DB729" i="4"/>
  <c r="CY742" i="4"/>
  <c r="CY788" i="4" s="1"/>
  <c r="CZ957" i="4"/>
  <c r="CY951" i="4"/>
  <c r="DC591" i="4"/>
  <c r="DC585" i="4" s="1"/>
  <c r="DD569" i="4"/>
  <c r="DB621" i="4"/>
  <c r="DB633" i="4"/>
  <c r="DB627" i="4"/>
  <c r="DB639" i="4"/>
  <c r="DA657" i="4"/>
  <c r="DA699" i="4" s="1"/>
  <c r="DA902" i="4" s="1"/>
  <c r="DA944" i="4"/>
  <c r="DA663" i="4"/>
  <c r="DA705" i="4" s="1"/>
  <c r="DA908" i="4" s="1"/>
  <c r="CZ741" i="4"/>
  <c r="CZ787" i="4" s="1"/>
  <c r="CZ950" i="4"/>
  <c r="CZ914" i="4"/>
  <c r="CZ735" i="4"/>
  <c r="CZ781" i="4" s="1"/>
  <c r="CZ938" i="4"/>
  <c r="DA675" i="4"/>
  <c r="DA717" i="4" s="1"/>
  <c r="DA681" i="4"/>
  <c r="DA723" i="4" s="1"/>
  <c r="DA950" i="4"/>
  <c r="DA741" i="4"/>
  <c r="DA787" i="4" s="1"/>
  <c r="CZ896" i="4"/>
  <c r="CZ885" i="4"/>
  <c r="CZ920" i="4"/>
  <c r="DA878" i="4"/>
  <c r="DA879" i="4" s="1"/>
  <c r="DA890" i="4"/>
  <c r="CZ932" i="4"/>
  <c r="CZ926" i="4"/>
  <c r="DA884" i="4"/>
  <c r="CY706" i="4"/>
  <c r="CY909" i="4" s="1"/>
  <c r="CZ879" i="4"/>
  <c r="DB955" i="4"/>
  <c r="DC859" i="4"/>
  <c r="DB882" i="4"/>
  <c r="DG498" i="2"/>
  <c r="DF500" i="2"/>
  <c r="DF499" i="2"/>
  <c r="DF497" i="2"/>
  <c r="DF504" i="2"/>
  <c r="CZ715" i="4"/>
  <c r="CZ943" i="4"/>
  <c r="CZ945" i="4" s="1"/>
  <c r="CZ656" i="4"/>
  <c r="CZ698" i="4" s="1"/>
  <c r="CZ662" i="4"/>
  <c r="CZ704" i="4" s="1"/>
  <c r="CZ907" i="4" s="1"/>
  <c r="CY901" i="4"/>
  <c r="CX742" i="4"/>
  <c r="CX788" i="4" s="1"/>
  <c r="CX915" i="4"/>
  <c r="EH643" i="4"/>
  <c r="DN650" i="4"/>
  <c r="CX698" i="4"/>
  <c r="CX658" i="4"/>
  <c r="DV645" i="4"/>
  <c r="DB860" i="4"/>
  <c r="DA956" i="4"/>
  <c r="DM691" i="4"/>
  <c r="DE883" i="4"/>
  <c r="CX779" i="4"/>
  <c r="DB870" i="4"/>
  <c r="DA873" i="4"/>
  <c r="DA667" i="4"/>
  <c r="DB667" i="4" s="1"/>
  <c r="DB709" i="4" s="1"/>
  <c r="DE871" i="4"/>
  <c r="CZ710" i="4"/>
  <c r="DB631" i="4"/>
  <c r="DB619" i="4"/>
  <c r="CZ628" i="4"/>
  <c r="DE812" i="4"/>
  <c r="DE818" i="4" s="1"/>
  <c r="DD818" i="4"/>
  <c r="DA638" i="4"/>
  <c r="DA686" i="4" s="1"/>
  <c r="DA728" i="4" s="1"/>
  <c r="DA931" i="4" s="1"/>
  <c r="DA626" i="4"/>
  <c r="DA668" i="4" s="1"/>
  <c r="DA710" i="4" s="1"/>
  <c r="DF692" i="4"/>
  <c r="DE865" i="4"/>
  <c r="DA592" i="4"/>
  <c r="DA640" i="4" s="1"/>
  <c r="CY733" i="4"/>
  <c r="CY700" i="4"/>
  <c r="CY936" i="4"/>
  <c r="CY900" i="4"/>
  <c r="CY915" i="4"/>
  <c r="DA619" i="4"/>
  <c r="DA631" i="4"/>
  <c r="DC889" i="4"/>
  <c r="DA954" i="4"/>
  <c r="DB858" i="4"/>
  <c r="DA861" i="4"/>
  <c r="CZ697" i="4"/>
  <c r="DM649" i="4"/>
  <c r="DO644" i="4"/>
  <c r="DA727" i="4"/>
  <c r="DB727" i="4" s="1"/>
  <c r="CZ674" i="4"/>
  <c r="CZ716" i="4" s="1"/>
  <c r="CZ919" i="4" s="1"/>
  <c r="CZ680" i="4"/>
  <c r="CZ722" i="4" s="1"/>
  <c r="CZ925" i="4" s="1"/>
  <c r="DK652" i="4"/>
  <c r="DC872" i="4"/>
  <c r="CX925" i="4"/>
  <c r="CX724" i="4"/>
  <c r="CX927" i="4" s="1"/>
  <c r="DF514" i="2"/>
  <c r="DE515" i="2"/>
  <c r="DC877" i="4"/>
  <c r="DB895" i="4"/>
  <c r="DM693" i="4"/>
  <c r="DF811" i="4"/>
  <c r="DF816" i="4"/>
  <c r="DG810" i="4"/>
  <c r="DB590" i="4"/>
  <c r="DB584" i="4" s="1"/>
  <c r="DB586" i="4" s="1"/>
  <c r="CX716" i="4"/>
  <c r="CX676" i="4"/>
  <c r="DB864" i="4"/>
  <c r="DA867" i="4"/>
  <c r="CZ709" i="4"/>
  <c r="CZ670" i="4"/>
  <c r="CY918" i="4"/>
  <c r="DC819" i="4"/>
  <c r="DD813" i="4"/>
  <c r="DC568" i="4"/>
  <c r="DC570" i="4" s="1"/>
  <c r="DC751" i="4"/>
  <c r="DB754" i="4"/>
  <c r="DB888" i="4"/>
  <c r="DK752" i="4"/>
  <c r="DD753" i="4"/>
  <c r="DM651" i="4"/>
  <c r="DC866" i="4"/>
  <c r="CZ728" i="4"/>
  <c r="DC589" i="4"/>
  <c r="DC583" i="4" s="1"/>
  <c r="DD567" i="4"/>
  <c r="DA584" i="4"/>
  <c r="CX907" i="4"/>
  <c r="CX706" i="4"/>
  <c r="CX909" i="4" s="1"/>
  <c r="DB876" i="4"/>
  <c r="DA894" i="4"/>
  <c r="CY658" i="4"/>
  <c r="EY64" i="3" l="1"/>
  <c r="EZ271" i="2"/>
  <c r="FA269" i="2"/>
  <c r="CY724" i="4"/>
  <c r="CY927" i="4" s="1"/>
  <c r="EO414" i="2"/>
  <c r="EM415" i="2"/>
  <c r="CY734" i="4"/>
  <c r="CY780" i="4" s="1"/>
  <c r="CY676" i="4"/>
  <c r="CZ897" i="4"/>
  <c r="CY718" i="4"/>
  <c r="CY921" i="4" s="1"/>
  <c r="CY937" i="4"/>
  <c r="J20" i="9"/>
  <c r="EV397" i="2"/>
  <c r="EU398" i="2"/>
  <c r="EU154" i="3"/>
  <c r="DA957" i="4"/>
  <c r="DM411" i="2"/>
  <c r="DM472" i="2" s="1"/>
  <c r="DN472" i="2"/>
  <c r="DM410" i="2"/>
  <c r="DM25" i="2" s="1"/>
  <c r="DN25" i="2"/>
  <c r="K19" i="9" s="1"/>
  <c r="DQ441" i="2"/>
  <c r="DO410" i="2"/>
  <c r="DO25" i="2" s="1"/>
  <c r="DO411" i="2"/>
  <c r="DO472" i="2" s="1"/>
  <c r="CZ658" i="4"/>
  <c r="DB741" i="4"/>
  <c r="DB787" i="4" s="1"/>
  <c r="DB950" i="4"/>
  <c r="DA930" i="4"/>
  <c r="DB663" i="4"/>
  <c r="DB705" i="4" s="1"/>
  <c r="DB908" i="4" s="1"/>
  <c r="DB944" i="4"/>
  <c r="DB657" i="4"/>
  <c r="DB699" i="4" s="1"/>
  <c r="DB902" i="4" s="1"/>
  <c r="DC633" i="4"/>
  <c r="DC621" i="4"/>
  <c r="DA735" i="4"/>
  <c r="DA781" i="4" s="1"/>
  <c r="DA938" i="4"/>
  <c r="DD591" i="4"/>
  <c r="DE569" i="4"/>
  <c r="DB681" i="4"/>
  <c r="DB723" i="4" s="1"/>
  <c r="DB675" i="4"/>
  <c r="DB717" i="4" s="1"/>
  <c r="DC639" i="4"/>
  <c r="DC687" i="4" s="1"/>
  <c r="DC627" i="4"/>
  <c r="DC669" i="4" s="1"/>
  <c r="DA896" i="4"/>
  <c r="DB686" i="4"/>
  <c r="DB688" i="4" s="1"/>
  <c r="DA920" i="4"/>
  <c r="DB878" i="4"/>
  <c r="DB879" i="4" s="1"/>
  <c r="DD859" i="4"/>
  <c r="DC955" i="4"/>
  <c r="DA926" i="4"/>
  <c r="DB884" i="4"/>
  <c r="DB885" i="4" s="1"/>
  <c r="DA688" i="4"/>
  <c r="DB890" i="4"/>
  <c r="DB891" i="4" s="1"/>
  <c r="DA932" i="4"/>
  <c r="DA891" i="4"/>
  <c r="DA885" i="4"/>
  <c r="DB739" i="4"/>
  <c r="DB785" i="4" s="1"/>
  <c r="DB948" i="4"/>
  <c r="DF812" i="4"/>
  <c r="DG811" i="4"/>
  <c r="DF817" i="4"/>
  <c r="DF883" i="4" s="1"/>
  <c r="DB673" i="4"/>
  <c r="DB679" i="4"/>
  <c r="DB721" i="4" s="1"/>
  <c r="DB924" i="4" s="1"/>
  <c r="DA632" i="4"/>
  <c r="DA634" i="4" s="1"/>
  <c r="DA682" i="4" s="1"/>
  <c r="DA620" i="4"/>
  <c r="DC754" i="4"/>
  <c r="DD751" i="4"/>
  <c r="DA586" i="4"/>
  <c r="DG692" i="4"/>
  <c r="CZ949" i="4"/>
  <c r="CZ740" i="4"/>
  <c r="CZ786" i="4" s="1"/>
  <c r="CZ913" i="4"/>
  <c r="CX734" i="4"/>
  <c r="CX937" i="4"/>
  <c r="CX901" i="4"/>
  <c r="CX700" i="4"/>
  <c r="CZ718" i="4"/>
  <c r="CZ921" i="4" s="1"/>
  <c r="CZ918" i="4"/>
  <c r="DG499" i="2"/>
  <c r="DH498" i="2"/>
  <c r="DG500" i="2"/>
  <c r="DG497" i="2"/>
  <c r="DG504" i="2"/>
  <c r="DE813" i="4"/>
  <c r="DE819" i="4" s="1"/>
  <c r="DD819" i="4"/>
  <c r="DB867" i="4"/>
  <c r="DH810" i="4"/>
  <c r="DG816" i="4"/>
  <c r="DF515" i="2"/>
  <c r="DG514" i="2"/>
  <c r="CZ724" i="4"/>
  <c r="CZ927" i="4" s="1"/>
  <c r="DA655" i="4"/>
  <c r="DA942" i="4"/>
  <c r="DA661" i="4"/>
  <c r="DA703" i="4" s="1"/>
  <c r="DF871" i="4"/>
  <c r="DO650" i="4"/>
  <c r="CZ676" i="4"/>
  <c r="DC876" i="4"/>
  <c r="DN651" i="4"/>
  <c r="DB930" i="4"/>
  <c r="DC888" i="4"/>
  <c r="CZ700" i="4"/>
  <c r="CZ733" i="4"/>
  <c r="CZ936" i="4"/>
  <c r="CZ900" i="4"/>
  <c r="DA740" i="4"/>
  <c r="DA786" i="4" s="1"/>
  <c r="DA949" i="4"/>
  <c r="DA913" i="4"/>
  <c r="DE753" i="4"/>
  <c r="DD568" i="4"/>
  <c r="DD570" i="4" s="1"/>
  <c r="DC590" i="4"/>
  <c r="DC584" i="4" s="1"/>
  <c r="DC586" i="4" s="1"/>
  <c r="DD872" i="4"/>
  <c r="DC858" i="4"/>
  <c r="DB861" i="4"/>
  <c r="DB954" i="4"/>
  <c r="CY779" i="4"/>
  <c r="DD589" i="4"/>
  <c r="DE589" i="4" s="1"/>
  <c r="DE567" i="4"/>
  <c r="DB728" i="4"/>
  <c r="DB931" i="4" s="1"/>
  <c r="CZ931" i="4"/>
  <c r="DB894" i="4"/>
  <c r="DC864" i="4"/>
  <c r="DN693" i="4"/>
  <c r="DA730" i="4"/>
  <c r="DB942" i="4"/>
  <c r="DB655" i="4"/>
  <c r="DB661" i="4"/>
  <c r="DB703" i="4" s="1"/>
  <c r="DB906" i="4" s="1"/>
  <c r="DA628" i="4"/>
  <c r="DC860" i="4"/>
  <c r="DB956" i="4"/>
  <c r="DC882" i="4"/>
  <c r="DA670" i="4"/>
  <c r="DB670" i="4" s="1"/>
  <c r="DA709" i="4"/>
  <c r="DN691" i="4"/>
  <c r="DC631" i="4"/>
  <c r="DC619" i="4"/>
  <c r="CX919" i="4"/>
  <c r="CX718" i="4"/>
  <c r="CX921" i="4" s="1"/>
  <c r="DD877" i="4"/>
  <c r="DC895" i="4"/>
  <c r="DL652" i="4"/>
  <c r="DD889" i="4"/>
  <c r="DF865" i="4"/>
  <c r="CZ730" i="4"/>
  <c r="DW645" i="4"/>
  <c r="EI643" i="4"/>
  <c r="CZ734" i="4"/>
  <c r="CZ780" i="4" s="1"/>
  <c r="CZ937" i="4"/>
  <c r="CZ901" i="4"/>
  <c r="DC637" i="4"/>
  <c r="DC685" i="4" s="1"/>
  <c r="DC625" i="4"/>
  <c r="DD866" i="4"/>
  <c r="DL752" i="4"/>
  <c r="DB632" i="4"/>
  <c r="DB634" i="4" s="1"/>
  <c r="DB682" i="4" s="1"/>
  <c r="DB620" i="4"/>
  <c r="CZ739" i="4"/>
  <c r="CZ785" i="4" s="1"/>
  <c r="CZ712" i="4"/>
  <c r="CZ948" i="4"/>
  <c r="CZ912" i="4"/>
  <c r="DB638" i="4"/>
  <c r="DB626" i="4"/>
  <c r="DB628" i="4" s="1"/>
  <c r="DB592" i="4"/>
  <c r="DB640" i="4" s="1"/>
  <c r="DP644" i="4"/>
  <c r="DN649" i="4"/>
  <c r="DA673" i="4"/>
  <c r="DA679" i="4"/>
  <c r="DA721" i="4" s="1"/>
  <c r="CY903" i="4"/>
  <c r="DB668" i="4"/>
  <c r="DB710" i="4" s="1"/>
  <c r="DC870" i="4"/>
  <c r="DB912" i="4"/>
  <c r="DB873" i="4"/>
  <c r="CZ706" i="4"/>
  <c r="CZ909" i="4" s="1"/>
  <c r="FA64" i="3" l="1"/>
  <c r="EZ269" i="2"/>
  <c r="CY939" i="4"/>
  <c r="CY736" i="4"/>
  <c r="CY782" i="4" s="1"/>
  <c r="EP414" i="2"/>
  <c r="EN414" i="2"/>
  <c r="EO415" i="2"/>
  <c r="EN415" i="2" s="1"/>
  <c r="EW397" i="2"/>
  <c r="EV400" i="2"/>
  <c r="EV398" i="2"/>
  <c r="DR441" i="2"/>
  <c r="DQ410" i="2"/>
  <c r="DQ411" i="2"/>
  <c r="CZ951" i="4"/>
  <c r="DA933" i="4"/>
  <c r="DB896" i="4"/>
  <c r="DC592" i="4"/>
  <c r="DC640" i="4" s="1"/>
  <c r="DC729" i="4"/>
  <c r="DD585" i="4"/>
  <c r="DD639" i="4"/>
  <c r="DD687" i="4" s="1"/>
  <c r="DD729" i="4" s="1"/>
  <c r="DD627" i="4"/>
  <c r="DD669" i="4" s="1"/>
  <c r="DD711" i="4" s="1"/>
  <c r="DD914" i="4" s="1"/>
  <c r="DC675" i="4"/>
  <c r="DC717" i="4" s="1"/>
  <c r="DC681" i="4"/>
  <c r="DC723" i="4" s="1"/>
  <c r="DB735" i="4"/>
  <c r="DB781" i="4" s="1"/>
  <c r="DB938" i="4"/>
  <c r="DE591" i="4"/>
  <c r="DE585" i="4" s="1"/>
  <c r="DA897" i="4"/>
  <c r="DC711" i="4"/>
  <c r="DF569" i="4"/>
  <c r="DC663" i="4"/>
  <c r="DC705" i="4" s="1"/>
  <c r="DC908" i="4" s="1"/>
  <c r="DC944" i="4"/>
  <c r="DC657" i="4"/>
  <c r="DC699" i="4" s="1"/>
  <c r="DB920" i="4"/>
  <c r="DC878" i="4"/>
  <c r="DC879" i="4" s="1"/>
  <c r="DB926" i="4"/>
  <c r="DC884" i="4"/>
  <c r="DC885" i="4" s="1"/>
  <c r="DC890" i="4"/>
  <c r="DC891" i="4" s="1"/>
  <c r="DB932" i="4"/>
  <c r="DB957" i="4"/>
  <c r="DE859" i="4"/>
  <c r="DD955" i="4"/>
  <c r="DD860" i="4"/>
  <c r="DC956" i="4"/>
  <c r="DA656" i="4"/>
  <c r="DA698" i="4" s="1"/>
  <c r="DA943" i="4"/>
  <c r="DA945" i="4" s="1"/>
  <c r="DA662" i="4"/>
  <c r="DA704" i="4" s="1"/>
  <c r="DA907" i="4" s="1"/>
  <c r="DA715" i="4"/>
  <c r="DE625" i="4"/>
  <c r="DE637" i="4"/>
  <c r="EJ643" i="4"/>
  <c r="DM652" i="4"/>
  <c r="DO693" i="4"/>
  <c r="CZ736" i="4"/>
  <c r="CZ782" i="4" s="1"/>
  <c r="CZ779" i="4"/>
  <c r="DG871" i="4"/>
  <c r="DD754" i="4"/>
  <c r="DE751" i="4"/>
  <c r="DD870" i="4"/>
  <c r="DC873" i="4"/>
  <c r="CZ742" i="4"/>
  <c r="CZ788" i="4" s="1"/>
  <c r="CZ915" i="4"/>
  <c r="DB897" i="4"/>
  <c r="DE866" i="4"/>
  <c r="DB697" i="4"/>
  <c r="DD625" i="4"/>
  <c r="DD637" i="4"/>
  <c r="DD685" i="4" s="1"/>
  <c r="DC861" i="4"/>
  <c r="DD858" i="4"/>
  <c r="DC954" i="4"/>
  <c r="CZ939" i="4"/>
  <c r="CZ903" i="4"/>
  <c r="DO651" i="4"/>
  <c r="DG515" i="2"/>
  <c r="DH514" i="2"/>
  <c r="DH499" i="2"/>
  <c r="DI498" i="2"/>
  <c r="DH500" i="2"/>
  <c r="DH497" i="2"/>
  <c r="DH504" i="2"/>
  <c r="DH811" i="4"/>
  <c r="DH817" i="4" s="1"/>
  <c r="DG817" i="4"/>
  <c r="DG883" i="4" s="1"/>
  <c r="DB943" i="4"/>
  <c r="DB945" i="4" s="1"/>
  <c r="DB656" i="4"/>
  <c r="DB698" i="4" s="1"/>
  <c r="DB662" i="4"/>
  <c r="DB704" i="4" s="1"/>
  <c r="DB907" i="4" s="1"/>
  <c r="DX645" i="4"/>
  <c r="DF753" i="4"/>
  <c r="DP650" i="4"/>
  <c r="DQ644" i="4"/>
  <c r="DB622" i="4"/>
  <c r="DB664" i="4" s="1"/>
  <c r="DD590" i="4"/>
  <c r="DE568" i="4"/>
  <c r="DE570" i="4" s="1"/>
  <c r="DB949" i="4"/>
  <c r="DB951" i="4" s="1"/>
  <c r="DB740" i="4"/>
  <c r="DB786" i="4" s="1"/>
  <c r="DB913" i="4"/>
  <c r="DM752" i="4"/>
  <c r="DG865" i="4"/>
  <c r="DA739" i="4"/>
  <c r="DA785" i="4" s="1"/>
  <c r="DA712" i="4"/>
  <c r="DA948" i="4"/>
  <c r="DA951" i="4" s="1"/>
  <c r="DA912" i="4"/>
  <c r="DD882" i="4"/>
  <c r="DE872" i="4"/>
  <c r="DD888" i="4"/>
  <c r="DA906" i="4"/>
  <c r="CX780" i="4"/>
  <c r="CX736" i="4"/>
  <c r="CX782" i="4" s="1"/>
  <c r="DB715" i="4"/>
  <c r="DF818" i="4"/>
  <c r="DF813" i="4"/>
  <c r="DG812" i="4"/>
  <c r="DC667" i="4"/>
  <c r="DO649" i="4"/>
  <c r="DB674" i="4"/>
  <c r="DB716" i="4" s="1"/>
  <c r="DB919" i="4" s="1"/>
  <c r="DB680" i="4"/>
  <c r="DB722" i="4" s="1"/>
  <c r="DB925" i="4" s="1"/>
  <c r="DB730" i="4"/>
  <c r="DB933" i="4" s="1"/>
  <c r="CZ933" i="4"/>
  <c r="DE877" i="4"/>
  <c r="DD895" i="4"/>
  <c r="DC655" i="4"/>
  <c r="DC942" i="4"/>
  <c r="DC661" i="4"/>
  <c r="DC703" i="4" s="1"/>
  <c r="DC906" i="4" s="1"/>
  <c r="DE583" i="4"/>
  <c r="DF567" i="4"/>
  <c r="DC632" i="4"/>
  <c r="DC634" i="4" s="1"/>
  <c r="DC682" i="4" s="1"/>
  <c r="DC620" i="4"/>
  <c r="DC622" i="4" s="1"/>
  <c r="DC664" i="4" s="1"/>
  <c r="DD876" i="4"/>
  <c r="DA622" i="4"/>
  <c r="DA664" i="4" s="1"/>
  <c r="DI810" i="4"/>
  <c r="DH816" i="4"/>
  <c r="DH692" i="4"/>
  <c r="DA674" i="4"/>
  <c r="DA716" i="4" s="1"/>
  <c r="DA919" i="4" s="1"/>
  <c r="DA680" i="4"/>
  <c r="DA722" i="4" s="1"/>
  <c r="DA925" i="4" s="1"/>
  <c r="DA924" i="4"/>
  <c r="DC727" i="4"/>
  <c r="DC930" i="4" s="1"/>
  <c r="DE889" i="4"/>
  <c r="DC673" i="4"/>
  <c r="DC679" i="4"/>
  <c r="DC721" i="4" s="1"/>
  <c r="DO691" i="4"/>
  <c r="DC867" i="4"/>
  <c r="DD864" i="4"/>
  <c r="DD583" i="4"/>
  <c r="DC638" i="4"/>
  <c r="DC686" i="4" s="1"/>
  <c r="DC626" i="4"/>
  <c r="DC668" i="4" s="1"/>
  <c r="DA697" i="4"/>
  <c r="CX939" i="4"/>
  <c r="CX903" i="4"/>
  <c r="DC894" i="4"/>
  <c r="DB712" i="4"/>
  <c r="DA658" i="4" l="1"/>
  <c r="EZ64" i="3"/>
  <c r="EZ66" i="3" s="1"/>
  <c r="ER414" i="2"/>
  <c r="EP415" i="2"/>
  <c r="K20" i="9"/>
  <c r="EX397" i="2"/>
  <c r="EY397" i="2" s="1"/>
  <c r="EW400" i="2"/>
  <c r="EX400" i="2" s="1"/>
  <c r="EW398" i="2"/>
  <c r="EW154" i="3"/>
  <c r="DP410" i="2"/>
  <c r="DP25" i="2" s="1"/>
  <c r="DQ25" i="2"/>
  <c r="L19" i="9" s="1"/>
  <c r="DT441" i="2"/>
  <c r="DR410" i="2"/>
  <c r="DR25" i="2" s="1"/>
  <c r="DR411" i="2"/>
  <c r="DR472" i="2" s="1"/>
  <c r="DP411" i="2"/>
  <c r="DP472" i="2" s="1"/>
  <c r="DQ472" i="2"/>
  <c r="DE669" i="4"/>
  <c r="DE711" i="4" s="1"/>
  <c r="DE914" i="4" s="1"/>
  <c r="DB706" i="4"/>
  <c r="DB909" i="4" s="1"/>
  <c r="DC950" i="4"/>
  <c r="DC741" i="4"/>
  <c r="DC787" i="4" s="1"/>
  <c r="DC914" i="4"/>
  <c r="DF591" i="4"/>
  <c r="DG569" i="4"/>
  <c r="DD633" i="4"/>
  <c r="DD621" i="4"/>
  <c r="DC735" i="4"/>
  <c r="DC781" i="4" s="1"/>
  <c r="DC938" i="4"/>
  <c r="DE633" i="4"/>
  <c r="DE621" i="4"/>
  <c r="DE639" i="4"/>
  <c r="DE627" i="4"/>
  <c r="DE687" i="4"/>
  <c r="DC902" i="4"/>
  <c r="DD950" i="4"/>
  <c r="DD741" i="4"/>
  <c r="DD787" i="4" s="1"/>
  <c r="DE729" i="4"/>
  <c r="DC628" i="4"/>
  <c r="DB676" i="4"/>
  <c r="DC932" i="4"/>
  <c r="DD890" i="4"/>
  <c r="DD891" i="4" s="1"/>
  <c r="DC897" i="4"/>
  <c r="DC926" i="4"/>
  <c r="DD884" i="4"/>
  <c r="DD885" i="4" s="1"/>
  <c r="DB724" i="4"/>
  <c r="DB927" i="4" s="1"/>
  <c r="DC896" i="4"/>
  <c r="DE955" i="4"/>
  <c r="DF859" i="4"/>
  <c r="DC920" i="4"/>
  <c r="DD878" i="4"/>
  <c r="DA706" i="4"/>
  <c r="DA909" i="4" s="1"/>
  <c r="DP649" i="4"/>
  <c r="DB718" i="4"/>
  <c r="DB921" i="4" s="1"/>
  <c r="DB918" i="4"/>
  <c r="DD626" i="4"/>
  <c r="DD668" i="4" s="1"/>
  <c r="DD710" i="4" s="1"/>
  <c r="DD638" i="4"/>
  <c r="DD686" i="4" s="1"/>
  <c r="DD728" i="4" s="1"/>
  <c r="DD931" i="4" s="1"/>
  <c r="DD727" i="4"/>
  <c r="DD930" i="4" s="1"/>
  <c r="DE870" i="4"/>
  <c r="DD873" i="4"/>
  <c r="DA718" i="4"/>
  <c r="DA921" i="4" s="1"/>
  <c r="DA918" i="4"/>
  <c r="DB742" i="4"/>
  <c r="DB788" i="4" s="1"/>
  <c r="DE590" i="4"/>
  <c r="DE584" i="4" s="1"/>
  <c r="DE586" i="4" s="1"/>
  <c r="DF889" i="4"/>
  <c r="DA724" i="4"/>
  <c r="DA927" i="4" s="1"/>
  <c r="DG567" i="4"/>
  <c r="DF589" i="4"/>
  <c r="DF583" i="4" s="1"/>
  <c r="DF877" i="4"/>
  <c r="DE895" i="4"/>
  <c r="DY645" i="4"/>
  <c r="DD592" i="4"/>
  <c r="DD640" i="4" s="1"/>
  <c r="DF866" i="4"/>
  <c r="DH871" i="4"/>
  <c r="DP693" i="4"/>
  <c r="DA676" i="4"/>
  <c r="DC710" i="4"/>
  <c r="DB915" i="4"/>
  <c r="DE631" i="4"/>
  <c r="DE619" i="4"/>
  <c r="DC709" i="4"/>
  <c r="DC670" i="4"/>
  <c r="DF872" i="4"/>
  <c r="DN752" i="4"/>
  <c r="DR644" i="4"/>
  <c r="DC957" i="4"/>
  <c r="DD667" i="4"/>
  <c r="DE667" i="4" s="1"/>
  <c r="DE709" i="4" s="1"/>
  <c r="DF751" i="4"/>
  <c r="DE754" i="4"/>
  <c r="EK643" i="4"/>
  <c r="DE860" i="4"/>
  <c r="DD956" i="4"/>
  <c r="DA733" i="4"/>
  <c r="DA700" i="4"/>
  <c r="DA936" i="4"/>
  <c r="DA900" i="4"/>
  <c r="DC728" i="4"/>
  <c r="DC730" i="4" s="1"/>
  <c r="DP691" i="4"/>
  <c r="DE876" i="4"/>
  <c r="DH812" i="4"/>
  <c r="DH818" i="4" s="1"/>
  <c r="DG818" i="4"/>
  <c r="DA742" i="4"/>
  <c r="DA788" i="4" s="1"/>
  <c r="DA915" i="4"/>
  <c r="DB734" i="4"/>
  <c r="DB780" i="4" s="1"/>
  <c r="DB937" i="4"/>
  <c r="DB901" i="4"/>
  <c r="DJ498" i="2"/>
  <c r="DI500" i="2"/>
  <c r="DI499" i="2"/>
  <c r="DI497" i="2"/>
  <c r="DI504" i="2"/>
  <c r="DE858" i="4"/>
  <c r="DD861" i="4"/>
  <c r="DD954" i="4"/>
  <c r="DB733" i="4"/>
  <c r="DB700" i="4"/>
  <c r="DB936" i="4"/>
  <c r="DB900" i="4"/>
  <c r="DD631" i="4"/>
  <c r="DD619" i="4"/>
  <c r="DE685" i="4"/>
  <c r="DC943" i="4"/>
  <c r="DC945" i="4" s="1"/>
  <c r="DC656" i="4"/>
  <c r="DC698" i="4" s="1"/>
  <c r="DC662" i="4"/>
  <c r="DC704" i="4" s="1"/>
  <c r="DC907" i="4" s="1"/>
  <c r="DC697" i="4"/>
  <c r="DF819" i="4"/>
  <c r="DG813" i="4"/>
  <c r="DE888" i="4"/>
  <c r="DE882" i="4"/>
  <c r="DF568" i="4"/>
  <c r="DG753" i="4"/>
  <c r="DB658" i="4"/>
  <c r="DD894" i="4"/>
  <c r="DA734" i="4"/>
  <c r="DA780" i="4" s="1"/>
  <c r="DA937" i="4"/>
  <c r="DA901" i="4"/>
  <c r="DH883" i="4"/>
  <c r="DD867" i="4"/>
  <c r="DE864" i="4"/>
  <c r="DC715" i="4"/>
  <c r="DC688" i="4"/>
  <c r="DI692" i="4"/>
  <c r="DI811" i="4"/>
  <c r="DJ810" i="4"/>
  <c r="DI816" i="4"/>
  <c r="DC674" i="4"/>
  <c r="DC716" i="4" s="1"/>
  <c r="DC919" i="4" s="1"/>
  <c r="DC680" i="4"/>
  <c r="DC722" i="4" s="1"/>
  <c r="DC925" i="4" s="1"/>
  <c r="DC924" i="4"/>
  <c r="DH865" i="4"/>
  <c r="DD584" i="4"/>
  <c r="DD586" i="4" s="1"/>
  <c r="DQ650" i="4"/>
  <c r="DH515" i="2"/>
  <c r="DI514" i="2"/>
  <c r="DP651" i="4"/>
  <c r="DN652" i="4"/>
  <c r="EZ397" i="2" l="1"/>
  <c r="EY400" i="2"/>
  <c r="EY398" i="2"/>
  <c r="ES414" i="2"/>
  <c r="EQ414" i="2"/>
  <c r="ER415" i="2"/>
  <c r="EQ415" i="2" s="1"/>
  <c r="EX154" i="3"/>
  <c r="EX398" i="2"/>
  <c r="DU441" i="2"/>
  <c r="DT410" i="2"/>
  <c r="DS410" i="2" s="1"/>
  <c r="DT411" i="2"/>
  <c r="DS411" i="2" s="1"/>
  <c r="DE950" i="4"/>
  <c r="DE686" i="4"/>
  <c r="DE688" i="4" s="1"/>
  <c r="DD896" i="4"/>
  <c r="DD879" i="4"/>
  <c r="DD897" i="4" s="1"/>
  <c r="DE657" i="4"/>
  <c r="DE699" i="4" s="1"/>
  <c r="DE902" i="4" s="1"/>
  <c r="DE944" i="4"/>
  <c r="DE663" i="4"/>
  <c r="DE705" i="4" s="1"/>
  <c r="DE908" i="4" s="1"/>
  <c r="DD657" i="4"/>
  <c r="DD699" i="4" s="1"/>
  <c r="DD944" i="4"/>
  <c r="DD663" i="4"/>
  <c r="DD705" i="4" s="1"/>
  <c r="DD908" i="4" s="1"/>
  <c r="DF627" i="4"/>
  <c r="DF669" i="4" s="1"/>
  <c r="DF639" i="4"/>
  <c r="DF687" i="4" s="1"/>
  <c r="DE681" i="4"/>
  <c r="DE723" i="4" s="1"/>
  <c r="DE675" i="4"/>
  <c r="DE717" i="4" s="1"/>
  <c r="DD675" i="4"/>
  <c r="DD717" i="4" s="1"/>
  <c r="DD920" i="4" s="1"/>
  <c r="DD681" i="4"/>
  <c r="DD723" i="4" s="1"/>
  <c r="DD926" i="4" s="1"/>
  <c r="DH569" i="4"/>
  <c r="DI569" i="4" s="1"/>
  <c r="DG591" i="4"/>
  <c r="DD730" i="4"/>
  <c r="DE730" i="4" s="1"/>
  <c r="DE741" i="4"/>
  <c r="DE787" i="4" s="1"/>
  <c r="DF585" i="4"/>
  <c r="DD688" i="4"/>
  <c r="DE894" i="4"/>
  <c r="DC706" i="4"/>
  <c r="DC909" i="4" s="1"/>
  <c r="DG859" i="4"/>
  <c r="DF955" i="4"/>
  <c r="DE890" i="4"/>
  <c r="DE891" i="4" s="1"/>
  <c r="DD932" i="4"/>
  <c r="DC724" i="4"/>
  <c r="DC927" i="4" s="1"/>
  <c r="DE878" i="4"/>
  <c r="DE879" i="4" s="1"/>
  <c r="DE884" i="4"/>
  <c r="DF619" i="4"/>
  <c r="DF631" i="4"/>
  <c r="DC933" i="4"/>
  <c r="DE867" i="4"/>
  <c r="DO652" i="4"/>
  <c r="DB939" i="4"/>
  <c r="DB903" i="4"/>
  <c r="DQ691" i="4"/>
  <c r="DS644" i="4"/>
  <c r="DC718" i="4"/>
  <c r="DC921" i="4" s="1"/>
  <c r="DC918" i="4"/>
  <c r="DJ692" i="4"/>
  <c r="DG819" i="4"/>
  <c r="DH813" i="4"/>
  <c r="DH819" i="4" s="1"/>
  <c r="DE668" i="4"/>
  <c r="DE710" i="4" s="1"/>
  <c r="DG877" i="4"/>
  <c r="DF895" i="4"/>
  <c r="DB736" i="4"/>
  <c r="DB782" i="4" s="1"/>
  <c r="DB779" i="4"/>
  <c r="DE727" i="4"/>
  <c r="DE739" i="4" s="1"/>
  <c r="DE785" i="4" s="1"/>
  <c r="DA939" i="4"/>
  <c r="DA903" i="4"/>
  <c r="DE942" i="4"/>
  <c r="DE655" i="4"/>
  <c r="DE661" i="4"/>
  <c r="DE703" i="4" s="1"/>
  <c r="DI871" i="4"/>
  <c r="DK810" i="4"/>
  <c r="DJ816" i="4"/>
  <c r="DF864" i="4"/>
  <c r="DF882" i="4"/>
  <c r="DD957" i="4"/>
  <c r="DA736" i="4"/>
  <c r="DA782" i="4" s="1"/>
  <c r="DA779" i="4"/>
  <c r="DE956" i="4"/>
  <c r="DF860" i="4"/>
  <c r="DG872" i="4"/>
  <c r="DG889" i="4"/>
  <c r="DQ651" i="4"/>
  <c r="DR650" i="4"/>
  <c r="DI812" i="4"/>
  <c r="DI817" i="4"/>
  <c r="DI883" i="4" s="1"/>
  <c r="DJ811" i="4"/>
  <c r="DH753" i="4"/>
  <c r="DC734" i="4"/>
  <c r="DC780" i="4" s="1"/>
  <c r="DC937" i="4"/>
  <c r="DC901" i="4"/>
  <c r="DE728" i="4"/>
  <c r="DE931" i="4" s="1"/>
  <c r="DC931" i="4"/>
  <c r="EL643" i="4"/>
  <c r="DF754" i="4"/>
  <c r="DG751" i="4"/>
  <c r="DE673" i="4"/>
  <c r="DE679" i="4"/>
  <c r="DE721" i="4" s="1"/>
  <c r="DQ693" i="4"/>
  <c r="DZ645" i="4"/>
  <c r="DF637" i="4"/>
  <c r="DF685" i="4" s="1"/>
  <c r="DF625" i="4"/>
  <c r="DD740" i="4"/>
  <c r="DD786" i="4" s="1"/>
  <c r="DD949" i="4"/>
  <c r="DD913" i="4"/>
  <c r="DQ649" i="4"/>
  <c r="DD620" i="4"/>
  <c r="DD622" i="4" s="1"/>
  <c r="DD664" i="4" s="1"/>
  <c r="DD632" i="4"/>
  <c r="DD634" i="4" s="1"/>
  <c r="DD682" i="4" s="1"/>
  <c r="DC676" i="4"/>
  <c r="DF590" i="4"/>
  <c r="DF584" i="4" s="1"/>
  <c r="DG568" i="4"/>
  <c r="DG570" i="4" s="1"/>
  <c r="DC700" i="4"/>
  <c r="DC733" i="4"/>
  <c r="DC936" i="4"/>
  <c r="DC900" i="4"/>
  <c r="DD942" i="4"/>
  <c r="DD655" i="4"/>
  <c r="DD661" i="4"/>
  <c r="DD703" i="4" s="1"/>
  <c r="DJ500" i="2"/>
  <c r="DJ499" i="2"/>
  <c r="DK498" i="2"/>
  <c r="DD628" i="4"/>
  <c r="DG866" i="4"/>
  <c r="DH567" i="4"/>
  <c r="DG589" i="4"/>
  <c r="DH589" i="4" s="1"/>
  <c r="DI515" i="2"/>
  <c r="DJ514" i="2"/>
  <c r="DI865" i="4"/>
  <c r="DE632" i="4"/>
  <c r="DE634" i="4" s="1"/>
  <c r="DE682" i="4" s="1"/>
  <c r="DE620" i="4"/>
  <c r="DE622" i="4" s="1"/>
  <c r="DE664" i="4" s="1"/>
  <c r="DF888" i="4"/>
  <c r="DC658" i="4"/>
  <c r="DD673" i="4"/>
  <c r="DD679" i="4"/>
  <c r="DD721" i="4" s="1"/>
  <c r="DE861" i="4"/>
  <c r="DE954" i="4"/>
  <c r="DF858" i="4"/>
  <c r="DF876" i="4"/>
  <c r="DD670" i="4"/>
  <c r="DE670" i="4" s="1"/>
  <c r="DD709" i="4"/>
  <c r="DO752" i="4"/>
  <c r="DC739" i="4"/>
  <c r="DC785" i="4" s="1"/>
  <c r="DC712" i="4"/>
  <c r="DC948" i="4"/>
  <c r="DC912" i="4"/>
  <c r="DC949" i="4"/>
  <c r="DC740" i="4"/>
  <c r="DC786" i="4" s="1"/>
  <c r="DC913" i="4"/>
  <c r="DF570" i="4"/>
  <c r="DE626" i="4"/>
  <c r="DE628" i="4" s="1"/>
  <c r="DE638" i="4"/>
  <c r="DE592" i="4"/>
  <c r="DE640" i="4" s="1"/>
  <c r="DF870" i="4"/>
  <c r="DE912" i="4"/>
  <c r="DE873" i="4"/>
  <c r="FA397" i="2" l="1"/>
  <c r="EZ400" i="2"/>
  <c r="FA400" i="2" s="1"/>
  <c r="EZ398" i="2"/>
  <c r="EZ154" i="3"/>
  <c r="EU414" i="2"/>
  <c r="ES415" i="2"/>
  <c r="L20" i="9"/>
  <c r="DW441" i="2"/>
  <c r="DU410" i="2"/>
  <c r="DU411" i="2"/>
  <c r="DD933" i="4"/>
  <c r="DE930" i="4"/>
  <c r="DE948" i="4"/>
  <c r="DE957" i="4"/>
  <c r="DE896" i="4"/>
  <c r="DF729" i="4"/>
  <c r="DD735" i="4"/>
  <c r="DD781" i="4" s="1"/>
  <c r="DD938" i="4"/>
  <c r="DD902" i="4"/>
  <c r="DG585" i="4"/>
  <c r="DG627" i="4"/>
  <c r="DG669" i="4" s="1"/>
  <c r="DG711" i="4" s="1"/>
  <c r="DG914" i="4" s="1"/>
  <c r="DG639" i="4"/>
  <c r="DG687" i="4" s="1"/>
  <c r="DG729" i="4" s="1"/>
  <c r="DF711" i="4"/>
  <c r="DE933" i="4"/>
  <c r="DF633" i="4"/>
  <c r="DF621" i="4"/>
  <c r="DI591" i="4"/>
  <c r="DJ569" i="4"/>
  <c r="DH591" i="4"/>
  <c r="DE735" i="4"/>
  <c r="DE781" i="4" s="1"/>
  <c r="DE938" i="4"/>
  <c r="DG583" i="4"/>
  <c r="DG619" i="4" s="1"/>
  <c r="DE926" i="4"/>
  <c r="DF884" i="4"/>
  <c r="DF885" i="4" s="1"/>
  <c r="DE932" i="4"/>
  <c r="DF890" i="4"/>
  <c r="DF891" i="4" s="1"/>
  <c r="DF878" i="4"/>
  <c r="DF879" i="4" s="1"/>
  <c r="DE920" i="4"/>
  <c r="DH859" i="4"/>
  <c r="DG955" i="4"/>
  <c r="DC951" i="4"/>
  <c r="DE885" i="4"/>
  <c r="DE897" i="4" s="1"/>
  <c r="DH637" i="4"/>
  <c r="DH625" i="4"/>
  <c r="DG876" i="4"/>
  <c r="DG882" i="4"/>
  <c r="DE949" i="4"/>
  <c r="DE740" i="4"/>
  <c r="DE786" i="4" s="1"/>
  <c r="DE913" i="4"/>
  <c r="DF673" i="4"/>
  <c r="DF679" i="4"/>
  <c r="DF721" i="4" s="1"/>
  <c r="DF924" i="4" s="1"/>
  <c r="DF632" i="4"/>
  <c r="DF620" i="4"/>
  <c r="EA645" i="4"/>
  <c r="DG754" i="4"/>
  <c r="DH751" i="4"/>
  <c r="DK692" i="4"/>
  <c r="DP752" i="4"/>
  <c r="DG888" i="4"/>
  <c r="DH583" i="4"/>
  <c r="DI567" i="4"/>
  <c r="DF638" i="4"/>
  <c r="DF686" i="4" s="1"/>
  <c r="DF688" i="4" s="1"/>
  <c r="DF626" i="4"/>
  <c r="DF668" i="4" s="1"/>
  <c r="DR649" i="4"/>
  <c r="DE715" i="4"/>
  <c r="DS650" i="4"/>
  <c r="DH872" i="4"/>
  <c r="DK816" i="4"/>
  <c r="DL810" i="4"/>
  <c r="DE697" i="4"/>
  <c r="DH877" i="4"/>
  <c r="DG895" i="4"/>
  <c r="DJ865" i="4"/>
  <c r="DC939" i="4"/>
  <c r="DC903" i="4"/>
  <c r="DF667" i="4"/>
  <c r="DT644" i="4"/>
  <c r="DD656" i="4"/>
  <c r="DD698" i="4" s="1"/>
  <c r="DD943" i="4"/>
  <c r="DD945" i="4" s="1"/>
  <c r="DD662" i="4"/>
  <c r="DD704" i="4" s="1"/>
  <c r="DD907" i="4" s="1"/>
  <c r="EM643" i="4"/>
  <c r="DI753" i="4"/>
  <c r="DC742" i="4"/>
  <c r="DC788" i="4" s="1"/>
  <c r="DC915" i="4"/>
  <c r="DD739" i="4"/>
  <c r="DD785" i="4" s="1"/>
  <c r="DD948" i="4"/>
  <c r="DD951" i="4" s="1"/>
  <c r="DD712" i="4"/>
  <c r="DD912" i="4"/>
  <c r="DD924" i="4"/>
  <c r="DH866" i="4"/>
  <c r="DD906" i="4"/>
  <c r="DC736" i="4"/>
  <c r="DC782" i="4" s="1"/>
  <c r="DC779" i="4"/>
  <c r="DF592" i="4"/>
  <c r="DF640" i="4" s="1"/>
  <c r="DK811" i="4"/>
  <c r="DK817" i="4" s="1"/>
  <c r="DJ817" i="4"/>
  <c r="DJ883" i="4" s="1"/>
  <c r="DE924" i="4"/>
  <c r="DD715" i="4"/>
  <c r="DR691" i="4"/>
  <c r="DG870" i="4"/>
  <c r="DF873" i="4"/>
  <c r="DE656" i="4"/>
  <c r="DE698" i="4" s="1"/>
  <c r="DE943" i="4"/>
  <c r="DE945" i="4" s="1"/>
  <c r="DE662" i="4"/>
  <c r="DE704" i="4" s="1"/>
  <c r="DE907" i="4" s="1"/>
  <c r="DG637" i="4"/>
  <c r="DG685" i="4" s="1"/>
  <c r="DH685" i="4" s="1"/>
  <c r="DG625" i="4"/>
  <c r="DL498" i="2"/>
  <c r="DK500" i="2"/>
  <c r="DK499" i="2"/>
  <c r="DD697" i="4"/>
  <c r="DF727" i="4"/>
  <c r="DF894" i="4"/>
  <c r="DI818" i="4"/>
  <c r="DI813" i="4"/>
  <c r="DJ812" i="4"/>
  <c r="DR651" i="4"/>
  <c r="DG864" i="4"/>
  <c r="DF867" i="4"/>
  <c r="DJ871" i="4"/>
  <c r="DP652" i="4"/>
  <c r="DF586" i="4"/>
  <c r="DF954" i="4"/>
  <c r="DG858" i="4"/>
  <c r="DF861" i="4"/>
  <c r="DE674" i="4"/>
  <c r="DE716" i="4" s="1"/>
  <c r="DE919" i="4" s="1"/>
  <c r="DE680" i="4"/>
  <c r="DE722" i="4" s="1"/>
  <c r="DE925" i="4" s="1"/>
  <c r="DJ515" i="2"/>
  <c r="DK514" i="2"/>
  <c r="DH568" i="4"/>
  <c r="DH570" i="4" s="1"/>
  <c r="DG590" i="4"/>
  <c r="DG592" i="4" s="1"/>
  <c r="DG640" i="4" s="1"/>
  <c r="DD674" i="4"/>
  <c r="DD716" i="4" s="1"/>
  <c r="DD919" i="4" s="1"/>
  <c r="DD680" i="4"/>
  <c r="DD722" i="4" s="1"/>
  <c r="DD925" i="4" s="1"/>
  <c r="DR693" i="4"/>
  <c r="DE712" i="4"/>
  <c r="DE742" i="4" s="1"/>
  <c r="DE788" i="4" s="1"/>
  <c r="DH889" i="4"/>
  <c r="DF956" i="4"/>
  <c r="DG860" i="4"/>
  <c r="DE906" i="4"/>
  <c r="DF942" i="4"/>
  <c r="DF655" i="4"/>
  <c r="DF661" i="4"/>
  <c r="DF703" i="4" s="1"/>
  <c r="DF906" i="4" s="1"/>
  <c r="FA398" i="2" l="1"/>
  <c r="FA154" i="3"/>
  <c r="DW410" i="2"/>
  <c r="DV410" i="2" s="1"/>
  <c r="DW411" i="2"/>
  <c r="DV411" i="2" s="1"/>
  <c r="ET414" i="2"/>
  <c r="EU415" i="2"/>
  <c r="ET415" i="2" s="1"/>
  <c r="EV414" i="2"/>
  <c r="DF622" i="4"/>
  <c r="DF664" i="4" s="1"/>
  <c r="DX441" i="2"/>
  <c r="DE951" i="4"/>
  <c r="DG631" i="4"/>
  <c r="DG673" i="4" s="1"/>
  <c r="DH585" i="4"/>
  <c r="DH627" i="4"/>
  <c r="DH639" i="4"/>
  <c r="DF675" i="4"/>
  <c r="DF717" i="4" s="1"/>
  <c r="DF920" i="4" s="1"/>
  <c r="DF681" i="4"/>
  <c r="DF723" i="4" s="1"/>
  <c r="DF926" i="4" s="1"/>
  <c r="DK569" i="4"/>
  <c r="DJ591" i="4"/>
  <c r="DG950" i="4"/>
  <c r="DG741" i="4"/>
  <c r="DG787" i="4" s="1"/>
  <c r="DI585" i="4"/>
  <c r="DI627" i="4"/>
  <c r="DI669" i="4" s="1"/>
  <c r="DI639" i="4"/>
  <c r="DI687" i="4" s="1"/>
  <c r="DH669" i="4"/>
  <c r="DH711" i="4" s="1"/>
  <c r="DH914" i="4" s="1"/>
  <c r="DG621" i="4"/>
  <c r="DG633" i="4"/>
  <c r="DH687" i="4"/>
  <c r="DF663" i="4"/>
  <c r="DF705" i="4" s="1"/>
  <c r="DF908" i="4" s="1"/>
  <c r="DF944" i="4"/>
  <c r="DF657" i="4"/>
  <c r="DF699" i="4" s="1"/>
  <c r="DF950" i="4"/>
  <c r="DF741" i="4"/>
  <c r="DF787" i="4" s="1"/>
  <c r="DF914" i="4"/>
  <c r="DH729" i="4"/>
  <c r="DG584" i="4"/>
  <c r="DG586" i="4" s="1"/>
  <c r="DF932" i="4"/>
  <c r="DG890" i="4"/>
  <c r="DG891" i="4" s="1"/>
  <c r="DF896" i="4"/>
  <c r="DG884" i="4"/>
  <c r="DG885" i="4" s="1"/>
  <c r="DF897" i="4"/>
  <c r="DE915" i="4"/>
  <c r="DI859" i="4"/>
  <c r="DH955" i="4"/>
  <c r="DG878" i="4"/>
  <c r="DG879" i="4" s="1"/>
  <c r="DD658" i="4"/>
  <c r="DE706" i="4"/>
  <c r="DE909" i="4" s="1"/>
  <c r="DF628" i="4"/>
  <c r="DK883" i="4"/>
  <c r="DG956" i="4"/>
  <c r="DH860" i="4"/>
  <c r="DJ818" i="4"/>
  <c r="DK812" i="4"/>
  <c r="DK818" i="4" s="1"/>
  <c r="EN643" i="4"/>
  <c r="DF710" i="4"/>
  <c r="DH888" i="4"/>
  <c r="EB645" i="4"/>
  <c r="DF697" i="4"/>
  <c r="DG626" i="4"/>
  <c r="DG668" i="4" s="1"/>
  <c r="DG710" i="4" s="1"/>
  <c r="DG638" i="4"/>
  <c r="DG686" i="4" s="1"/>
  <c r="DG728" i="4" s="1"/>
  <c r="DG931" i="4" s="1"/>
  <c r="DQ652" i="4"/>
  <c r="DI819" i="4"/>
  <c r="DJ813" i="4"/>
  <c r="DL500" i="2"/>
  <c r="DL499" i="2"/>
  <c r="DM498" i="2"/>
  <c r="DE734" i="4"/>
  <c r="DE780" i="4" s="1"/>
  <c r="DE937" i="4"/>
  <c r="DE901" i="4"/>
  <c r="DD742" i="4"/>
  <c r="DD788" i="4" s="1"/>
  <c r="DD915" i="4"/>
  <c r="DE718" i="4"/>
  <c r="DE921" i="4" s="1"/>
  <c r="DE918" i="4"/>
  <c r="DH590" i="4"/>
  <c r="DH882" i="4"/>
  <c r="DG861" i="4"/>
  <c r="DH858" i="4"/>
  <c r="DG954" i="4"/>
  <c r="DK865" i="4"/>
  <c r="DF674" i="4"/>
  <c r="DF716" i="4" s="1"/>
  <c r="DF919" i="4" s="1"/>
  <c r="DF680" i="4"/>
  <c r="DF722" i="4" s="1"/>
  <c r="DF925" i="4" s="1"/>
  <c r="DI889" i="4"/>
  <c r="DI877" i="4"/>
  <c r="DH895" i="4"/>
  <c r="DI589" i="4"/>
  <c r="DI583" i="4" s="1"/>
  <c r="DJ567" i="4"/>
  <c r="DQ752" i="4"/>
  <c r="DS693" i="4"/>
  <c r="DI568" i="4"/>
  <c r="DH864" i="4"/>
  <c r="DG867" i="4"/>
  <c r="DG667" i="4"/>
  <c r="DH667" i="4" s="1"/>
  <c r="DH709" i="4" s="1"/>
  <c r="DD706" i="4"/>
  <c r="DD909" i="4" s="1"/>
  <c r="DE724" i="4"/>
  <c r="DE927" i="4" s="1"/>
  <c r="DE658" i="4"/>
  <c r="DI872" i="4"/>
  <c r="DE676" i="4"/>
  <c r="DF728" i="4"/>
  <c r="DF730" i="4" s="1"/>
  <c r="DH631" i="4"/>
  <c r="DH619" i="4"/>
  <c r="DL692" i="4"/>
  <c r="DH754" i="4"/>
  <c r="DI751" i="4"/>
  <c r="DF656" i="4"/>
  <c r="DF698" i="4" s="1"/>
  <c r="DF943" i="4"/>
  <c r="DF662" i="4"/>
  <c r="DF704" i="4" s="1"/>
  <c r="DF907" i="4" s="1"/>
  <c r="DF715" i="4"/>
  <c r="DH870" i="4"/>
  <c r="DG873" i="4"/>
  <c r="DJ753" i="4"/>
  <c r="DE700" i="4"/>
  <c r="DE733" i="4"/>
  <c r="DE936" i="4"/>
  <c r="DE900" i="4"/>
  <c r="DT650" i="4"/>
  <c r="DS649" i="4"/>
  <c r="DF634" i="4"/>
  <c r="DF682" i="4" s="1"/>
  <c r="DL514" i="2"/>
  <c r="DK515" i="2"/>
  <c r="DD733" i="4"/>
  <c r="DD700" i="4"/>
  <c r="DD936" i="4"/>
  <c r="DD900" i="4"/>
  <c r="DG727" i="4"/>
  <c r="DD718" i="4"/>
  <c r="DD921" i="4" s="1"/>
  <c r="DD918" i="4"/>
  <c r="DI866" i="4"/>
  <c r="DU644" i="4"/>
  <c r="DM810" i="4"/>
  <c r="DL816" i="4"/>
  <c r="DL811" i="4"/>
  <c r="DG894" i="4"/>
  <c r="DG655" i="4"/>
  <c r="DG661" i="4"/>
  <c r="DG703" i="4" s="1"/>
  <c r="DF957" i="4"/>
  <c r="DK871" i="4"/>
  <c r="DS651" i="4"/>
  <c r="DS691" i="4"/>
  <c r="DD676" i="4"/>
  <c r="DD724" i="4"/>
  <c r="DD927" i="4" s="1"/>
  <c r="DD734" i="4"/>
  <c r="DD780" i="4" s="1"/>
  <c r="DD937" i="4"/>
  <c r="DD901" i="4"/>
  <c r="DF709" i="4"/>
  <c r="DF670" i="4"/>
  <c r="DF930" i="4"/>
  <c r="DH876" i="4"/>
  <c r="DG942" i="4" l="1"/>
  <c r="EV415" i="2"/>
  <c r="EX414" i="2"/>
  <c r="EY414" i="2" s="1"/>
  <c r="DG679" i="4"/>
  <c r="DG721" i="4" s="1"/>
  <c r="DG924" i="4" s="1"/>
  <c r="DZ441" i="2"/>
  <c r="DX410" i="2"/>
  <c r="DX411" i="2"/>
  <c r="DG730" i="4"/>
  <c r="DG933" i="4" s="1"/>
  <c r="DF945" i="4"/>
  <c r="DG620" i="4"/>
  <c r="DG656" i="4" s="1"/>
  <c r="DG698" i="4" s="1"/>
  <c r="DH686" i="4"/>
  <c r="DH688" i="4" s="1"/>
  <c r="DG688" i="4"/>
  <c r="DG632" i="4"/>
  <c r="DG634" i="4" s="1"/>
  <c r="DG682" i="4" s="1"/>
  <c r="DF735" i="4"/>
  <c r="DF781" i="4" s="1"/>
  <c r="DF938" i="4"/>
  <c r="DF902" i="4"/>
  <c r="DG681" i="4"/>
  <c r="DG723" i="4" s="1"/>
  <c r="DG926" i="4" s="1"/>
  <c r="DG675" i="4"/>
  <c r="DG717" i="4" s="1"/>
  <c r="DG920" i="4" s="1"/>
  <c r="DI729" i="4"/>
  <c r="DG657" i="4"/>
  <c r="DG699" i="4" s="1"/>
  <c r="DG944" i="4"/>
  <c r="DG663" i="4"/>
  <c r="DG705" i="4" s="1"/>
  <c r="DG908" i="4" s="1"/>
  <c r="DI711" i="4"/>
  <c r="DI914" i="4" s="1"/>
  <c r="DJ585" i="4"/>
  <c r="DJ639" i="4"/>
  <c r="DJ687" i="4" s="1"/>
  <c r="DJ729" i="4" s="1"/>
  <c r="DJ627" i="4"/>
  <c r="DJ669" i="4" s="1"/>
  <c r="DJ711" i="4" s="1"/>
  <c r="DH741" i="4"/>
  <c r="DH787" i="4" s="1"/>
  <c r="DH950" i="4"/>
  <c r="DI633" i="4"/>
  <c r="DI621" i="4"/>
  <c r="DL569" i="4"/>
  <c r="DK591" i="4"/>
  <c r="DK585" i="4" s="1"/>
  <c r="DH633" i="4"/>
  <c r="DH621" i="4"/>
  <c r="DH894" i="4"/>
  <c r="DH878" i="4"/>
  <c r="DH879" i="4" s="1"/>
  <c r="DF676" i="4"/>
  <c r="DH884" i="4"/>
  <c r="DH885" i="4" s="1"/>
  <c r="DG896" i="4"/>
  <c r="DG957" i="4"/>
  <c r="DH668" i="4"/>
  <c r="DH710" i="4" s="1"/>
  <c r="DH913" i="4" s="1"/>
  <c r="DI955" i="4"/>
  <c r="DJ859" i="4"/>
  <c r="DH890" i="4"/>
  <c r="DG932" i="4"/>
  <c r="DF706" i="4"/>
  <c r="DF909" i="4" s="1"/>
  <c r="DM816" i="4"/>
  <c r="DN810" i="4"/>
  <c r="DD736" i="4"/>
  <c r="DD782" i="4" s="1"/>
  <c r="DD779" i="4"/>
  <c r="DE736" i="4"/>
  <c r="DE782" i="4" s="1"/>
  <c r="DE779" i="4"/>
  <c r="DH638" i="4"/>
  <c r="DH626" i="4"/>
  <c r="DH628" i="4" s="1"/>
  <c r="DH592" i="4"/>
  <c r="DH640" i="4" s="1"/>
  <c r="DM500" i="2"/>
  <c r="DM499" i="2"/>
  <c r="DN498" i="2"/>
  <c r="EC645" i="4"/>
  <c r="DG715" i="4"/>
  <c r="DV644" i="4"/>
  <c r="DE939" i="4"/>
  <c r="DE903" i="4"/>
  <c r="DJ751" i="4"/>
  <c r="DI754" i="4"/>
  <c r="DM692" i="4"/>
  <c r="DG906" i="4"/>
  <c r="DI637" i="4"/>
  <c r="DI685" i="4" s="1"/>
  <c r="DI625" i="4"/>
  <c r="DJ889" i="4"/>
  <c r="DI882" i="4"/>
  <c r="DR652" i="4"/>
  <c r="DL871" i="4"/>
  <c r="DG697" i="4"/>
  <c r="DL515" i="2"/>
  <c r="DM514" i="2"/>
  <c r="DH655" i="4"/>
  <c r="DH942" i="4"/>
  <c r="DH661" i="4"/>
  <c r="DH703" i="4" s="1"/>
  <c r="DH906" i="4" s="1"/>
  <c r="DI864" i="4"/>
  <c r="DL865" i="4"/>
  <c r="EO643" i="4"/>
  <c r="DT651" i="4"/>
  <c r="DF718" i="4"/>
  <c r="DF921" i="4" s="1"/>
  <c r="DF918" i="4"/>
  <c r="DH867" i="4"/>
  <c r="DI619" i="4"/>
  <c r="DI631" i="4"/>
  <c r="DT691" i="4"/>
  <c r="DU650" i="4"/>
  <c r="DH673" i="4"/>
  <c r="DH679" i="4"/>
  <c r="DH721" i="4" s="1"/>
  <c r="DJ872" i="4"/>
  <c r="DT693" i="4"/>
  <c r="DR752" i="4"/>
  <c r="DJ877" i="4"/>
  <c r="DI895" i="4"/>
  <c r="DJ819" i="4"/>
  <c r="DK813" i="4"/>
  <c r="DK819" i="4" s="1"/>
  <c r="DG949" i="4"/>
  <c r="DG740" i="4"/>
  <c r="DG786" i="4" s="1"/>
  <c r="DG913" i="4"/>
  <c r="DI888" i="4"/>
  <c r="DH727" i="4"/>
  <c r="DH930" i="4" s="1"/>
  <c r="DI860" i="4"/>
  <c r="DH956" i="4"/>
  <c r="DF739" i="4"/>
  <c r="DF785" i="4" s="1"/>
  <c r="DF712" i="4"/>
  <c r="DF948" i="4"/>
  <c r="DF912" i="4"/>
  <c r="DL817" i="4"/>
  <c r="DL883" i="4" s="1"/>
  <c r="DL812" i="4"/>
  <c r="DM811" i="4"/>
  <c r="DJ866" i="4"/>
  <c r="DH912" i="4"/>
  <c r="DI870" i="4"/>
  <c r="DH873" i="4"/>
  <c r="DF734" i="4"/>
  <c r="DF780" i="4" s="1"/>
  <c r="DF937" i="4"/>
  <c r="DF901" i="4"/>
  <c r="DG628" i="4"/>
  <c r="DJ568" i="4"/>
  <c r="DJ570" i="4" s="1"/>
  <c r="DI590" i="4"/>
  <c r="DI592" i="4" s="1"/>
  <c r="DI640" i="4" s="1"/>
  <c r="DK567" i="4"/>
  <c r="DJ589" i="4"/>
  <c r="DJ583" i="4" s="1"/>
  <c r="DH954" i="4"/>
  <c r="DH861" i="4"/>
  <c r="DI858" i="4"/>
  <c r="DF724" i="4"/>
  <c r="DF927" i="4" s="1"/>
  <c r="DF733" i="4"/>
  <c r="DF700" i="4"/>
  <c r="DF936" i="4"/>
  <c r="DF900" i="4"/>
  <c r="DG930" i="4"/>
  <c r="DI876" i="4"/>
  <c r="DG897" i="4"/>
  <c r="DD939" i="4"/>
  <c r="DD903" i="4"/>
  <c r="DT649" i="4"/>
  <c r="DK753" i="4"/>
  <c r="DH728" i="4"/>
  <c r="DH931" i="4" s="1"/>
  <c r="DF931" i="4"/>
  <c r="DG709" i="4"/>
  <c r="DG670" i="4"/>
  <c r="DH670" i="4" s="1"/>
  <c r="DH584" i="4"/>
  <c r="DI570" i="4"/>
  <c r="DF933" i="4"/>
  <c r="DF658" i="4"/>
  <c r="DF949" i="4"/>
  <c r="DF740" i="4"/>
  <c r="DF786" i="4" s="1"/>
  <c r="DF913" i="4"/>
  <c r="FA414" i="2" l="1"/>
  <c r="EY415" i="2"/>
  <c r="DH730" i="4"/>
  <c r="DG680" i="4"/>
  <c r="DG722" i="4" s="1"/>
  <c r="DG925" i="4" s="1"/>
  <c r="EX415" i="2"/>
  <c r="EW415" i="2" s="1"/>
  <c r="EW414" i="2"/>
  <c r="DG674" i="4"/>
  <c r="DG716" i="4" s="1"/>
  <c r="DG919" i="4" s="1"/>
  <c r="EA441" i="2"/>
  <c r="DZ410" i="2"/>
  <c r="DY410" i="2" s="1"/>
  <c r="DZ411" i="2"/>
  <c r="DY411" i="2" s="1"/>
  <c r="DH712" i="4"/>
  <c r="DG662" i="4"/>
  <c r="DG704" i="4" s="1"/>
  <c r="DG907" i="4" s="1"/>
  <c r="DG622" i="4"/>
  <c r="DG664" i="4" s="1"/>
  <c r="DG943" i="4"/>
  <c r="DG945" i="4" s="1"/>
  <c r="DH896" i="4"/>
  <c r="DK687" i="4"/>
  <c r="DK621" i="4"/>
  <c r="DK633" i="4"/>
  <c r="DH657" i="4"/>
  <c r="DH699" i="4" s="1"/>
  <c r="DH944" i="4"/>
  <c r="DH663" i="4"/>
  <c r="DH705" i="4" s="1"/>
  <c r="DH908" i="4" s="1"/>
  <c r="DK669" i="4"/>
  <c r="DK711" i="4" s="1"/>
  <c r="DG735" i="4"/>
  <c r="DG781" i="4" s="1"/>
  <c r="DG938" i="4"/>
  <c r="DG902" i="4"/>
  <c r="DH675" i="4"/>
  <c r="DH717" i="4" s="1"/>
  <c r="DH920" i="4" s="1"/>
  <c r="DH681" i="4"/>
  <c r="DH723" i="4" s="1"/>
  <c r="DH926" i="4" s="1"/>
  <c r="DI657" i="4"/>
  <c r="DI699" i="4" s="1"/>
  <c r="DI902" i="4" s="1"/>
  <c r="DI663" i="4"/>
  <c r="DI705" i="4" s="1"/>
  <c r="DI908" i="4" s="1"/>
  <c r="DI944" i="4"/>
  <c r="DJ950" i="4"/>
  <c r="DJ741" i="4"/>
  <c r="DJ787" i="4" s="1"/>
  <c r="DI741" i="4"/>
  <c r="DI787" i="4" s="1"/>
  <c r="DI950" i="4"/>
  <c r="DK639" i="4"/>
  <c r="DK627" i="4"/>
  <c r="DI675" i="4"/>
  <c r="DI717" i="4" s="1"/>
  <c r="DI681" i="4"/>
  <c r="DI723" i="4" s="1"/>
  <c r="DK729" i="4"/>
  <c r="DL591" i="4"/>
  <c r="DM569" i="4"/>
  <c r="DJ621" i="4"/>
  <c r="DJ633" i="4"/>
  <c r="DK589" i="4"/>
  <c r="DK637" i="4" s="1"/>
  <c r="DJ955" i="4"/>
  <c r="DK859" i="4"/>
  <c r="DI884" i="4"/>
  <c r="DI885" i="4" s="1"/>
  <c r="DF951" i="4"/>
  <c r="DG658" i="4"/>
  <c r="DH740" i="4"/>
  <c r="DH786" i="4" s="1"/>
  <c r="DI878" i="4"/>
  <c r="DI879" i="4" s="1"/>
  <c r="DI890" i="4"/>
  <c r="DI891" i="4" s="1"/>
  <c r="DH932" i="4"/>
  <c r="DH891" i="4"/>
  <c r="DH897" i="4" s="1"/>
  <c r="DJ876" i="4"/>
  <c r="DJ631" i="4"/>
  <c r="DJ619" i="4"/>
  <c r="DI956" i="4"/>
  <c r="DJ860" i="4"/>
  <c r="DS752" i="4"/>
  <c r="DJ914" i="4"/>
  <c r="DK872" i="4"/>
  <c r="DU651" i="4"/>
  <c r="DI867" i="4"/>
  <c r="DJ864" i="4"/>
  <c r="DK751" i="4"/>
  <c r="DJ754" i="4"/>
  <c r="DG918" i="4"/>
  <c r="DH739" i="4"/>
  <c r="DH785" i="4" s="1"/>
  <c r="DH957" i="4"/>
  <c r="DI626" i="4"/>
  <c r="DI668" i="4" s="1"/>
  <c r="DI638" i="4"/>
  <c r="DI686" i="4" s="1"/>
  <c r="DN811" i="4"/>
  <c r="DN817" i="4" s="1"/>
  <c r="DM817" i="4"/>
  <c r="DM883" i="4" s="1"/>
  <c r="DF742" i="4"/>
  <c r="DF788" i="4" s="1"/>
  <c r="DF915" i="4"/>
  <c r="DK889" i="4"/>
  <c r="DI727" i="4"/>
  <c r="DH949" i="4"/>
  <c r="DG901" i="4"/>
  <c r="DG739" i="4"/>
  <c r="DG785" i="4" s="1"/>
  <c r="DG948" i="4"/>
  <c r="DG951" i="4" s="1"/>
  <c r="DG712" i="4"/>
  <c r="DG912" i="4"/>
  <c r="DK866" i="4"/>
  <c r="DJ888" i="4"/>
  <c r="DH697" i="4"/>
  <c r="DN500" i="2"/>
  <c r="DN499" i="2"/>
  <c r="DO498" i="2"/>
  <c r="DK568" i="4"/>
  <c r="DK570" i="4" s="1"/>
  <c r="DJ590" i="4"/>
  <c r="DK877" i="4"/>
  <c r="DJ895" i="4"/>
  <c r="DV650" i="4"/>
  <c r="DH632" i="4"/>
  <c r="DH620" i="4"/>
  <c r="DH586" i="4"/>
  <c r="DH948" i="4"/>
  <c r="DF736" i="4"/>
  <c r="DF782" i="4" s="1"/>
  <c r="DF779" i="4"/>
  <c r="DJ625" i="4"/>
  <c r="DJ637" i="4"/>
  <c r="DJ685" i="4" s="1"/>
  <c r="DI584" i="4"/>
  <c r="DI873" i="4"/>
  <c r="DJ870" i="4"/>
  <c r="DH715" i="4"/>
  <c r="DI673" i="4"/>
  <c r="DI679" i="4"/>
  <c r="DI721" i="4" s="1"/>
  <c r="DM865" i="4"/>
  <c r="DM515" i="2"/>
  <c r="DN514" i="2"/>
  <c r="DG733" i="4"/>
  <c r="DG700" i="4"/>
  <c r="DG936" i="4"/>
  <c r="DG900" i="4"/>
  <c r="DJ882" i="4"/>
  <c r="DN692" i="4"/>
  <c r="ED645" i="4"/>
  <c r="DO810" i="4"/>
  <c r="DN816" i="4"/>
  <c r="DL753" i="4"/>
  <c r="DI954" i="4"/>
  <c r="DI861" i="4"/>
  <c r="DJ858" i="4"/>
  <c r="DU693" i="4"/>
  <c r="DI894" i="4"/>
  <c r="DW644" i="4"/>
  <c r="DU649" i="4"/>
  <c r="DF939" i="4"/>
  <c r="DF903" i="4"/>
  <c r="DL818" i="4"/>
  <c r="DL813" i="4"/>
  <c r="DM812" i="4"/>
  <c r="DS652" i="4"/>
  <c r="DL567" i="4"/>
  <c r="DU691" i="4"/>
  <c r="DI655" i="4"/>
  <c r="DI942" i="4"/>
  <c r="DI661" i="4"/>
  <c r="DI703" i="4" s="1"/>
  <c r="DI906" i="4" s="1"/>
  <c r="EP643" i="4"/>
  <c r="DM871" i="4"/>
  <c r="DH924" i="4"/>
  <c r="DI667" i="4"/>
  <c r="DH742" i="4" l="1"/>
  <c r="DH788" i="4" s="1"/>
  <c r="EZ414" i="2"/>
  <c r="FA415" i="2"/>
  <c r="EZ415" i="2" s="1"/>
  <c r="DG724" i="4"/>
  <c r="DG927" i="4" s="1"/>
  <c r="DG676" i="4"/>
  <c r="DG718" i="4"/>
  <c r="DG921" i="4" s="1"/>
  <c r="DH915" i="4"/>
  <c r="EC441" i="2"/>
  <c r="EA410" i="2"/>
  <c r="EA411" i="2"/>
  <c r="DG734" i="4"/>
  <c r="DG780" i="4" s="1"/>
  <c r="DG706" i="4"/>
  <c r="DG909" i="4" s="1"/>
  <c r="DG937" i="4"/>
  <c r="DI957" i="4"/>
  <c r="DH933" i="4"/>
  <c r="DK625" i="4"/>
  <c r="DK583" i="4"/>
  <c r="DK631" i="4" s="1"/>
  <c r="DI628" i="4"/>
  <c r="DI896" i="4"/>
  <c r="DJ675" i="4"/>
  <c r="DJ717" i="4" s="1"/>
  <c r="DJ681" i="4"/>
  <c r="DJ723" i="4" s="1"/>
  <c r="DL627" i="4"/>
  <c r="DL669" i="4" s="1"/>
  <c r="DL639" i="4"/>
  <c r="DL687" i="4" s="1"/>
  <c r="DI735" i="4"/>
  <c r="DI781" i="4" s="1"/>
  <c r="DI938" i="4"/>
  <c r="DJ663" i="4"/>
  <c r="DJ705" i="4" s="1"/>
  <c r="DJ908" i="4" s="1"/>
  <c r="DJ944" i="4"/>
  <c r="DJ657" i="4"/>
  <c r="DJ699" i="4" s="1"/>
  <c r="DJ902" i="4" s="1"/>
  <c r="DH735" i="4"/>
  <c r="DH781" i="4" s="1"/>
  <c r="DH938" i="4"/>
  <c r="DH902" i="4"/>
  <c r="DL585" i="4"/>
  <c r="DK741" i="4"/>
  <c r="DK787" i="4" s="1"/>
  <c r="DK950" i="4"/>
  <c r="DK681" i="4"/>
  <c r="DK723" i="4" s="1"/>
  <c r="DK675" i="4"/>
  <c r="DK717" i="4" s="1"/>
  <c r="DH951" i="4"/>
  <c r="DN569" i="4"/>
  <c r="DM591" i="4"/>
  <c r="DM585" i="4" s="1"/>
  <c r="DK663" i="4"/>
  <c r="DK705" i="4" s="1"/>
  <c r="DK908" i="4" s="1"/>
  <c r="DK944" i="4"/>
  <c r="DK657" i="4"/>
  <c r="DK699" i="4" s="1"/>
  <c r="DJ890" i="4"/>
  <c r="DJ891" i="4" s="1"/>
  <c r="DI932" i="4"/>
  <c r="DJ878" i="4"/>
  <c r="DJ879" i="4" s="1"/>
  <c r="DI920" i="4"/>
  <c r="DI926" i="4"/>
  <c r="DJ884" i="4"/>
  <c r="DJ885" i="4" s="1"/>
  <c r="DL859" i="4"/>
  <c r="DK955" i="4"/>
  <c r="DN883" i="4"/>
  <c r="DI709" i="4"/>
  <c r="DI670" i="4"/>
  <c r="DM813" i="4"/>
  <c r="DL819" i="4"/>
  <c r="DO811" i="4"/>
  <c r="DP810" i="4"/>
  <c r="DO816" i="4"/>
  <c r="DG779" i="4"/>
  <c r="DJ727" i="4"/>
  <c r="DK727" i="4" s="1"/>
  <c r="DJ638" i="4"/>
  <c r="DJ686" i="4" s="1"/>
  <c r="DJ728" i="4" s="1"/>
  <c r="DJ931" i="4" s="1"/>
  <c r="DJ626" i="4"/>
  <c r="DJ668" i="4" s="1"/>
  <c r="DJ710" i="4" s="1"/>
  <c r="DK860" i="4"/>
  <c r="DJ956" i="4"/>
  <c r="EQ643" i="4"/>
  <c r="DI697" i="4"/>
  <c r="DV649" i="4"/>
  <c r="EE645" i="4"/>
  <c r="DK882" i="4"/>
  <c r="DN515" i="2"/>
  <c r="DO514" i="2"/>
  <c r="DI715" i="4"/>
  <c r="DJ667" i="4"/>
  <c r="DL568" i="4"/>
  <c r="DL570" i="4" s="1"/>
  <c r="DL889" i="4"/>
  <c r="DT752" i="4"/>
  <c r="DT652" i="4"/>
  <c r="DV693" i="4"/>
  <c r="DI924" i="4"/>
  <c r="DK870" i="4"/>
  <c r="DJ873" i="4"/>
  <c r="DH943" i="4"/>
  <c r="DH945" i="4" s="1"/>
  <c r="DH656" i="4"/>
  <c r="DH662" i="4"/>
  <c r="DH704" i="4" s="1"/>
  <c r="DH622" i="4"/>
  <c r="DH664" i="4" s="1"/>
  <c r="DO499" i="2"/>
  <c r="DP498" i="2"/>
  <c r="DO500" i="2"/>
  <c r="DH733" i="4"/>
  <c r="DH936" i="4"/>
  <c r="DH900" i="4"/>
  <c r="DL866" i="4"/>
  <c r="DL751" i="4"/>
  <c r="DK754" i="4"/>
  <c r="DK876" i="4"/>
  <c r="DL877" i="4"/>
  <c r="DK895" i="4"/>
  <c r="DV651" i="4"/>
  <c r="DN871" i="4"/>
  <c r="DX644" i="4"/>
  <c r="DJ954" i="4"/>
  <c r="DJ861" i="4"/>
  <c r="DK858" i="4"/>
  <c r="DH674" i="4"/>
  <c r="DH680" i="4"/>
  <c r="DH722" i="4" s="1"/>
  <c r="DH634" i="4"/>
  <c r="DH682" i="4" s="1"/>
  <c r="DI728" i="4"/>
  <c r="DI730" i="4" s="1"/>
  <c r="DL589" i="4"/>
  <c r="DL583" i="4" s="1"/>
  <c r="DM567" i="4"/>
  <c r="DM753" i="4"/>
  <c r="DI897" i="4"/>
  <c r="DN865" i="4"/>
  <c r="DI632" i="4"/>
  <c r="DI620" i="4"/>
  <c r="DI586" i="4"/>
  <c r="DK888" i="4"/>
  <c r="DK685" i="4"/>
  <c r="DK590" i="4"/>
  <c r="DK584" i="4" s="1"/>
  <c r="DJ894" i="4"/>
  <c r="DJ867" i="4"/>
  <c r="DK864" i="4"/>
  <c r="DJ655" i="4"/>
  <c r="DJ942" i="4"/>
  <c r="DJ661" i="4"/>
  <c r="DJ703" i="4" s="1"/>
  <c r="DV691" i="4"/>
  <c r="DN812" i="4"/>
  <c r="DN818" i="4" s="1"/>
  <c r="DM818" i="4"/>
  <c r="DO692" i="4"/>
  <c r="DG903" i="4"/>
  <c r="DH918" i="4"/>
  <c r="DJ592" i="4"/>
  <c r="DJ640" i="4" s="1"/>
  <c r="DW650" i="4"/>
  <c r="DJ584" i="4"/>
  <c r="DI930" i="4"/>
  <c r="DG742" i="4"/>
  <c r="DG788" i="4" s="1"/>
  <c r="DG915" i="4"/>
  <c r="DI688" i="4"/>
  <c r="DI710" i="4"/>
  <c r="DL872" i="4"/>
  <c r="DK914" i="4"/>
  <c r="DJ673" i="4"/>
  <c r="DJ679" i="4"/>
  <c r="DJ721" i="4" s="1"/>
  <c r="DJ924" i="4" s="1"/>
  <c r="DG736" i="4" l="1"/>
  <c r="DG782" i="4" s="1"/>
  <c r="DG939" i="4"/>
  <c r="ED441" i="2"/>
  <c r="EC410" i="2"/>
  <c r="EB410" i="2" s="1"/>
  <c r="EC411" i="2"/>
  <c r="EB411" i="2" s="1"/>
  <c r="DK619" i="4"/>
  <c r="DK655" i="4" s="1"/>
  <c r="DK586" i="4"/>
  <c r="DJ957" i="4"/>
  <c r="DJ896" i="4"/>
  <c r="DJ628" i="4"/>
  <c r="DL711" i="4"/>
  <c r="DL914" i="4" s="1"/>
  <c r="DM621" i="4"/>
  <c r="DM633" i="4"/>
  <c r="DL633" i="4"/>
  <c r="DL621" i="4"/>
  <c r="DJ735" i="4"/>
  <c r="DJ781" i="4" s="1"/>
  <c r="DJ938" i="4"/>
  <c r="DK735" i="4"/>
  <c r="DK781" i="4" s="1"/>
  <c r="DK938" i="4"/>
  <c r="DM639" i="4"/>
  <c r="DM687" i="4" s="1"/>
  <c r="DM729" i="4" s="1"/>
  <c r="DM627" i="4"/>
  <c r="DM669" i="4" s="1"/>
  <c r="DM711" i="4" s="1"/>
  <c r="DN591" i="4"/>
  <c r="DN585" i="4" s="1"/>
  <c r="DO569" i="4"/>
  <c r="DL729" i="4"/>
  <c r="DI933" i="4"/>
  <c r="DK686" i="4"/>
  <c r="DK688" i="4" s="1"/>
  <c r="DJ730" i="4"/>
  <c r="DK730" i="4" s="1"/>
  <c r="DJ920" i="4"/>
  <c r="DK878" i="4"/>
  <c r="DK879" i="4" s="1"/>
  <c r="DK884" i="4"/>
  <c r="DK885" i="4" s="1"/>
  <c r="DJ926" i="4"/>
  <c r="DL955" i="4"/>
  <c r="DM859" i="4"/>
  <c r="DJ932" i="4"/>
  <c r="DK890" i="4"/>
  <c r="DK891" i="4" s="1"/>
  <c r="DL631" i="4"/>
  <c r="DL619" i="4"/>
  <c r="DY644" i="4"/>
  <c r="DW651" i="4"/>
  <c r="DK632" i="4"/>
  <c r="DK634" i="4" s="1"/>
  <c r="DK682" i="4" s="1"/>
  <c r="DK620" i="4"/>
  <c r="DK626" i="4"/>
  <c r="DK628" i="4" s="1"/>
  <c r="DK638" i="4"/>
  <c r="DK592" i="4"/>
  <c r="DK640" i="4" s="1"/>
  <c r="DL625" i="4"/>
  <c r="DL637" i="4"/>
  <c r="DL685" i="4" s="1"/>
  <c r="DK954" i="4"/>
  <c r="DK861" i="4"/>
  <c r="DL858" i="4"/>
  <c r="DL754" i="4"/>
  <c r="DM751" i="4"/>
  <c r="DP500" i="2"/>
  <c r="DP499" i="2"/>
  <c r="DQ498" i="2"/>
  <c r="DW693" i="4"/>
  <c r="DJ949" i="4"/>
  <c r="DJ740" i="4"/>
  <c r="DJ786" i="4" s="1"/>
  <c r="DJ913" i="4"/>
  <c r="DI948" i="4"/>
  <c r="DI712" i="4"/>
  <c r="DI739" i="4"/>
  <c r="DI785" i="4" s="1"/>
  <c r="DI912" i="4"/>
  <c r="DM866" i="4"/>
  <c r="DU652" i="4"/>
  <c r="DM872" i="4"/>
  <c r="DK673" i="4"/>
  <c r="DK679" i="4"/>
  <c r="DK721" i="4" s="1"/>
  <c r="DK924" i="4" s="1"/>
  <c r="DJ697" i="4"/>
  <c r="DL876" i="4"/>
  <c r="DJ897" i="4"/>
  <c r="DJ709" i="4"/>
  <c r="DJ670" i="4"/>
  <c r="DK670" i="4" s="1"/>
  <c r="DL882" i="4"/>
  <c r="DW649" i="4"/>
  <c r="DM819" i="4"/>
  <c r="DN813" i="4"/>
  <c r="DN819" i="4" s="1"/>
  <c r="DL888" i="4"/>
  <c r="DK930" i="4"/>
  <c r="DO865" i="4"/>
  <c r="DK894" i="4"/>
  <c r="DW691" i="4"/>
  <c r="DL864" i="4"/>
  <c r="DI656" i="4"/>
  <c r="DI943" i="4"/>
  <c r="DI945" i="4" s="1"/>
  <c r="DI662" i="4"/>
  <c r="DI704" i="4" s="1"/>
  <c r="DI622" i="4"/>
  <c r="DI664" i="4" s="1"/>
  <c r="DH925" i="4"/>
  <c r="DH724" i="4"/>
  <c r="DH927" i="4" s="1"/>
  <c r="DO871" i="4"/>
  <c r="DK873" i="4"/>
  <c r="DL870" i="4"/>
  <c r="DM889" i="4"/>
  <c r="DI918" i="4"/>
  <c r="DK668" i="4"/>
  <c r="DK710" i="4" s="1"/>
  <c r="DJ632" i="4"/>
  <c r="DJ620" i="4"/>
  <c r="DJ586" i="4"/>
  <c r="DP692" i="4"/>
  <c r="DK867" i="4"/>
  <c r="DI674" i="4"/>
  <c r="DI680" i="4"/>
  <c r="DI722" i="4" s="1"/>
  <c r="DI634" i="4"/>
  <c r="DI682" i="4" s="1"/>
  <c r="DK728" i="4"/>
  <c r="DK931" i="4" s="1"/>
  <c r="DI931" i="4"/>
  <c r="DH716" i="4"/>
  <c r="DH676" i="4"/>
  <c r="DH907" i="4"/>
  <c r="DH706" i="4"/>
  <c r="DH909" i="4" s="1"/>
  <c r="DK956" i="4"/>
  <c r="DK902" i="4"/>
  <c r="DL860" i="4"/>
  <c r="DJ688" i="4"/>
  <c r="DQ810" i="4"/>
  <c r="DP816" i="4"/>
  <c r="ER643" i="4"/>
  <c r="ES643" i="4" s="1"/>
  <c r="DJ715" i="4"/>
  <c r="DI949" i="4"/>
  <c r="DI740" i="4"/>
  <c r="DI786" i="4" s="1"/>
  <c r="DI913" i="4"/>
  <c r="DX650" i="4"/>
  <c r="DJ906" i="4"/>
  <c r="DJ930" i="4"/>
  <c r="DN753" i="4"/>
  <c r="DN567" i="4"/>
  <c r="DM589" i="4"/>
  <c r="DN589" i="4" s="1"/>
  <c r="DM877" i="4"/>
  <c r="DL895" i="4"/>
  <c r="DH779" i="4"/>
  <c r="DH698" i="4"/>
  <c r="DH658" i="4"/>
  <c r="DL590" i="4"/>
  <c r="DM568" i="4"/>
  <c r="DM570" i="4" s="1"/>
  <c r="DO515" i="2"/>
  <c r="DP514" i="2"/>
  <c r="EF645" i="4"/>
  <c r="DI733" i="4"/>
  <c r="DI936" i="4"/>
  <c r="DI900" i="4"/>
  <c r="DO817" i="4"/>
  <c r="DO883" i="4" s="1"/>
  <c r="DO812" i="4"/>
  <c r="DP811" i="4"/>
  <c r="DK667" i="4"/>
  <c r="DK709" i="4" s="1"/>
  <c r="DK912" i="4" s="1"/>
  <c r="DK942" i="4" l="1"/>
  <c r="ET643" i="4"/>
  <c r="DK661" i="4"/>
  <c r="DK703" i="4" s="1"/>
  <c r="DK906" i="4" s="1"/>
  <c r="EF441" i="2"/>
  <c r="ED410" i="2"/>
  <c r="ED411" i="2"/>
  <c r="DK896" i="4"/>
  <c r="DM583" i="4"/>
  <c r="DM631" i="4" s="1"/>
  <c r="DN729" i="4"/>
  <c r="DM950" i="4"/>
  <c r="DM741" i="4"/>
  <c r="DM787" i="4" s="1"/>
  <c r="DM681" i="4"/>
  <c r="DM723" i="4" s="1"/>
  <c r="DM675" i="4"/>
  <c r="DM717" i="4" s="1"/>
  <c r="DP569" i="4"/>
  <c r="DO591" i="4"/>
  <c r="DM663" i="4"/>
  <c r="DM705" i="4" s="1"/>
  <c r="DM908" i="4" s="1"/>
  <c r="DM657" i="4"/>
  <c r="DM699" i="4" s="1"/>
  <c r="DM944" i="4"/>
  <c r="DN621" i="4"/>
  <c r="DN633" i="4"/>
  <c r="DL663" i="4"/>
  <c r="DL705" i="4" s="1"/>
  <c r="DL908" i="4" s="1"/>
  <c r="DL944" i="4"/>
  <c r="DL657" i="4"/>
  <c r="DL699" i="4" s="1"/>
  <c r="DL902" i="4" s="1"/>
  <c r="DN669" i="4"/>
  <c r="DN711" i="4" s="1"/>
  <c r="DN687" i="4"/>
  <c r="DN627" i="4"/>
  <c r="DN639" i="4"/>
  <c r="DL675" i="4"/>
  <c r="DL717" i="4" s="1"/>
  <c r="DL681" i="4"/>
  <c r="DL723" i="4" s="1"/>
  <c r="DL950" i="4"/>
  <c r="DL741" i="4"/>
  <c r="DL787" i="4" s="1"/>
  <c r="DJ933" i="4"/>
  <c r="DN859" i="4"/>
  <c r="DM955" i="4"/>
  <c r="DK933" i="4"/>
  <c r="DL890" i="4"/>
  <c r="DL891" i="4" s="1"/>
  <c r="DK932" i="4"/>
  <c r="DK926" i="4"/>
  <c r="DL884" i="4"/>
  <c r="DL885" i="4" s="1"/>
  <c r="DL894" i="4"/>
  <c r="DK920" i="4"/>
  <c r="DL878" i="4"/>
  <c r="DL879" i="4" s="1"/>
  <c r="DN637" i="4"/>
  <c r="DN625" i="4"/>
  <c r="DI779" i="4"/>
  <c r="DI925" i="4"/>
  <c r="DI724" i="4"/>
  <c r="DI927" i="4" s="1"/>
  <c r="DP871" i="4"/>
  <c r="DP865" i="4"/>
  <c r="DM882" i="4"/>
  <c r="DO813" i="4"/>
  <c r="DP812" i="4"/>
  <c r="DO818" i="4"/>
  <c r="DL626" i="4"/>
  <c r="DL668" i="4" s="1"/>
  <c r="DL638" i="4"/>
  <c r="DL686" i="4" s="1"/>
  <c r="DL688" i="4" s="1"/>
  <c r="DY650" i="4"/>
  <c r="DM860" i="4"/>
  <c r="DL956" i="4"/>
  <c r="DI716" i="4"/>
  <c r="DI676" i="4"/>
  <c r="DK949" i="4"/>
  <c r="DK740" i="4"/>
  <c r="DK786" i="4" s="1"/>
  <c r="DK913" i="4"/>
  <c r="DI698" i="4"/>
  <c r="DI658" i="4"/>
  <c r="DI742" i="4"/>
  <c r="DI788" i="4" s="1"/>
  <c r="DI915" i="4"/>
  <c r="DK943" i="4"/>
  <c r="DK656" i="4"/>
  <c r="DK698" i="4" s="1"/>
  <c r="DK662" i="4"/>
  <c r="DK704" i="4" s="1"/>
  <c r="DK907" i="4" s="1"/>
  <c r="DP817" i="4"/>
  <c r="DP883" i="4" s="1"/>
  <c r="DQ811" i="4"/>
  <c r="DQ817" i="4" s="1"/>
  <c r="DJ674" i="4"/>
  <c r="DJ680" i="4"/>
  <c r="DJ722" i="4" s="1"/>
  <c r="DJ634" i="4"/>
  <c r="DJ682" i="4" s="1"/>
  <c r="DK697" i="4"/>
  <c r="EG645" i="4"/>
  <c r="DM637" i="4"/>
  <c r="DM685" i="4" s="1"/>
  <c r="DN685" i="4" s="1"/>
  <c r="DM625" i="4"/>
  <c r="DH919" i="4"/>
  <c r="DH718" i="4"/>
  <c r="DH921" i="4" s="1"/>
  <c r="DM870" i="4"/>
  <c r="DL873" i="4"/>
  <c r="DM876" i="4"/>
  <c r="DK715" i="4"/>
  <c r="DI951" i="4"/>
  <c r="DL727" i="4"/>
  <c r="DL930" i="4" s="1"/>
  <c r="DK674" i="4"/>
  <c r="DK716" i="4" s="1"/>
  <c r="DK919" i="4" s="1"/>
  <c r="DK680" i="4"/>
  <c r="DK722" i="4" s="1"/>
  <c r="DK925" i="4" s="1"/>
  <c r="DZ644" i="4"/>
  <c r="DN568" i="4"/>
  <c r="DN570" i="4" s="1"/>
  <c r="DM590" i="4"/>
  <c r="DM592" i="4" s="1"/>
  <c r="DM640" i="4" s="1"/>
  <c r="DV652" i="4"/>
  <c r="DX651" i="4"/>
  <c r="DP515" i="2"/>
  <c r="DQ514" i="2"/>
  <c r="DH734" i="4"/>
  <c r="DH937" i="4"/>
  <c r="DH901" i="4"/>
  <c r="DH700" i="4"/>
  <c r="DN583" i="4"/>
  <c r="DO567" i="4"/>
  <c r="DQ692" i="4"/>
  <c r="DN889" i="4"/>
  <c r="DX691" i="4"/>
  <c r="DX649" i="4"/>
  <c r="DJ948" i="4"/>
  <c r="DJ951" i="4" s="1"/>
  <c r="DJ739" i="4"/>
  <c r="DJ785" i="4" s="1"/>
  <c r="DJ712" i="4"/>
  <c r="DJ912" i="4"/>
  <c r="DN866" i="4"/>
  <c r="DX693" i="4"/>
  <c r="DL954" i="4"/>
  <c r="DM858" i="4"/>
  <c r="DL861" i="4"/>
  <c r="DL592" i="4"/>
  <c r="DL640" i="4" s="1"/>
  <c r="DL655" i="4"/>
  <c r="DL942" i="4"/>
  <c r="DL661" i="4"/>
  <c r="DL703" i="4" s="1"/>
  <c r="DL906" i="4" s="1"/>
  <c r="DN877" i="4"/>
  <c r="DM895" i="4"/>
  <c r="DR810" i="4"/>
  <c r="DQ816" i="4"/>
  <c r="DK897" i="4"/>
  <c r="DM888" i="4"/>
  <c r="DM754" i="4"/>
  <c r="DN751" i="4"/>
  <c r="DL667" i="4"/>
  <c r="DL673" i="4"/>
  <c r="DL679" i="4"/>
  <c r="DL721" i="4" s="1"/>
  <c r="DL924" i="4" s="1"/>
  <c r="DK739" i="4"/>
  <c r="DK785" i="4" s="1"/>
  <c r="DK948" i="4"/>
  <c r="DK712" i="4"/>
  <c r="DK742" i="4" s="1"/>
  <c r="DK788" i="4" s="1"/>
  <c r="DL584" i="4"/>
  <c r="DO753" i="4"/>
  <c r="DJ918" i="4"/>
  <c r="DJ656" i="4"/>
  <c r="DJ943" i="4"/>
  <c r="DJ945" i="4" s="1"/>
  <c r="DJ662" i="4"/>
  <c r="DJ704" i="4" s="1"/>
  <c r="DJ622" i="4"/>
  <c r="DJ664" i="4" s="1"/>
  <c r="DI907" i="4"/>
  <c r="DI706" i="4"/>
  <c r="DI909" i="4" s="1"/>
  <c r="DL867" i="4"/>
  <c r="DM864" i="4"/>
  <c r="DJ733" i="4"/>
  <c r="DJ936" i="4"/>
  <c r="DJ900" i="4"/>
  <c r="DN872" i="4"/>
  <c r="DM914" i="4"/>
  <c r="DR498" i="2"/>
  <c r="DQ500" i="2"/>
  <c r="DQ499" i="2"/>
  <c r="DK957" i="4"/>
  <c r="DK622" i="4"/>
  <c r="DK664" i="4" s="1"/>
  <c r="DK945" i="4" l="1"/>
  <c r="EU643" i="4"/>
  <c r="EG441" i="2"/>
  <c r="EF410" i="2"/>
  <c r="EE410" i="2" s="1"/>
  <c r="EF411" i="2"/>
  <c r="EE411" i="2" s="1"/>
  <c r="DM619" i="4"/>
  <c r="DM655" i="4" s="1"/>
  <c r="DK706" i="4"/>
  <c r="DK909" i="4" s="1"/>
  <c r="DL957" i="4"/>
  <c r="DK951" i="4"/>
  <c r="DL628" i="4"/>
  <c r="DL896" i="4"/>
  <c r="DN950" i="4"/>
  <c r="DN741" i="4"/>
  <c r="DN787" i="4" s="1"/>
  <c r="DN675" i="4"/>
  <c r="DN717" i="4" s="1"/>
  <c r="DN681" i="4"/>
  <c r="DN723" i="4" s="1"/>
  <c r="DL735" i="4"/>
  <c r="DL781" i="4" s="1"/>
  <c r="DL938" i="4"/>
  <c r="DN944" i="4"/>
  <c r="DN657" i="4"/>
  <c r="DN699" i="4" s="1"/>
  <c r="DN663" i="4"/>
  <c r="DN705" i="4" s="1"/>
  <c r="DN908" i="4" s="1"/>
  <c r="DO585" i="4"/>
  <c r="DO639" i="4"/>
  <c r="DO687" i="4" s="1"/>
  <c r="DO627" i="4"/>
  <c r="DO669" i="4" s="1"/>
  <c r="DP591" i="4"/>
  <c r="DP585" i="4" s="1"/>
  <c r="DQ569" i="4"/>
  <c r="DM735" i="4"/>
  <c r="DM781" i="4" s="1"/>
  <c r="DM938" i="4"/>
  <c r="DL920" i="4"/>
  <c r="DM878" i="4"/>
  <c r="DM879" i="4" s="1"/>
  <c r="DL932" i="4"/>
  <c r="DM890" i="4"/>
  <c r="DM891" i="4" s="1"/>
  <c r="DM584" i="4"/>
  <c r="DM632" i="4" s="1"/>
  <c r="DM634" i="4" s="1"/>
  <c r="DM682" i="4" s="1"/>
  <c r="DL926" i="4"/>
  <c r="DM884" i="4"/>
  <c r="DM885" i="4" s="1"/>
  <c r="DO859" i="4"/>
  <c r="DN955" i="4"/>
  <c r="DR500" i="2"/>
  <c r="DS498" i="2"/>
  <c r="DR499" i="2"/>
  <c r="DR504" i="2"/>
  <c r="DR497" i="2"/>
  <c r="DR514" i="2"/>
  <c r="DQ515" i="2"/>
  <c r="DI919" i="4"/>
  <c r="DI718" i="4"/>
  <c r="DI921" i="4" s="1"/>
  <c r="DN631" i="4"/>
  <c r="DN619" i="4"/>
  <c r="EA644" i="4"/>
  <c r="DK658" i="4"/>
  <c r="DQ812" i="4"/>
  <c r="DQ818" i="4" s="1"/>
  <c r="DP818" i="4"/>
  <c r="DN914" i="4"/>
  <c r="DO872" i="4"/>
  <c r="DN864" i="4"/>
  <c r="DM867" i="4"/>
  <c r="DO889" i="4"/>
  <c r="DH939" i="4"/>
  <c r="DH903" i="4"/>
  <c r="DQ883" i="4"/>
  <c r="DJ716" i="4"/>
  <c r="DJ676" i="4"/>
  <c r="DZ650" i="4"/>
  <c r="DP813" i="4"/>
  <c r="DO819" i="4"/>
  <c r="DL697" i="4"/>
  <c r="DK734" i="4"/>
  <c r="DK780" i="4" s="1"/>
  <c r="DK937" i="4"/>
  <c r="DK901" i="4"/>
  <c r="DM667" i="4"/>
  <c r="DN667" i="4" s="1"/>
  <c r="DN709" i="4" s="1"/>
  <c r="DJ907" i="4"/>
  <c r="DJ706" i="4"/>
  <c r="DJ909" i="4" s="1"/>
  <c r="DP753" i="4"/>
  <c r="DM894" i="4"/>
  <c r="DN888" i="4"/>
  <c r="DS810" i="4"/>
  <c r="DR816" i="4"/>
  <c r="DR811" i="4"/>
  <c r="DY691" i="4"/>
  <c r="DW652" i="4"/>
  <c r="DK718" i="4"/>
  <c r="DK921" i="4" s="1"/>
  <c r="DK918" i="4"/>
  <c r="DM727" i="4"/>
  <c r="DN727" i="4" s="1"/>
  <c r="DM902" i="4"/>
  <c r="DN860" i="4"/>
  <c r="DM956" i="4"/>
  <c r="DL728" i="4"/>
  <c r="DL730" i="4" s="1"/>
  <c r="DL933" i="4" s="1"/>
  <c r="DQ865" i="4"/>
  <c r="DM673" i="4"/>
  <c r="DM679" i="4"/>
  <c r="DM721" i="4" s="1"/>
  <c r="DM924" i="4" s="1"/>
  <c r="DN882" i="4"/>
  <c r="DY693" i="4"/>
  <c r="DJ925" i="4"/>
  <c r="DJ724" i="4"/>
  <c r="DJ927" i="4" s="1"/>
  <c r="DN858" i="4"/>
  <c r="DM954" i="4"/>
  <c r="DM861" i="4"/>
  <c r="DO866" i="4"/>
  <c r="DY649" i="4"/>
  <c r="DR692" i="4"/>
  <c r="DM638" i="4"/>
  <c r="DM686" i="4" s="1"/>
  <c r="DM728" i="4" s="1"/>
  <c r="DM931" i="4" s="1"/>
  <c r="DM626" i="4"/>
  <c r="DM668" i="4" s="1"/>
  <c r="DM710" i="4" s="1"/>
  <c r="DK676" i="4"/>
  <c r="DM873" i="4"/>
  <c r="DN870" i="4"/>
  <c r="DI734" i="4"/>
  <c r="DI937" i="4"/>
  <c r="DI901" i="4"/>
  <c r="DI700" i="4"/>
  <c r="DN590" i="4"/>
  <c r="DN584" i="4" s="1"/>
  <c r="DN586" i="4" s="1"/>
  <c r="DL632" i="4"/>
  <c r="DL620" i="4"/>
  <c r="DL586" i="4"/>
  <c r="DL670" i="4"/>
  <c r="DL709" i="4"/>
  <c r="DK733" i="4"/>
  <c r="DK700" i="4"/>
  <c r="DK936" i="4"/>
  <c r="DK900" i="4"/>
  <c r="DJ742" i="4"/>
  <c r="DJ788" i="4" s="1"/>
  <c r="DJ915" i="4"/>
  <c r="DK915" i="4"/>
  <c r="DJ779" i="4"/>
  <c r="DJ698" i="4"/>
  <c r="DJ658" i="4"/>
  <c r="DL715" i="4"/>
  <c r="DN754" i="4"/>
  <c r="DO751" i="4"/>
  <c r="DO877" i="4"/>
  <c r="DN895" i="4"/>
  <c r="DP567" i="4"/>
  <c r="DO589" i="4"/>
  <c r="DH780" i="4"/>
  <c r="DH736" i="4"/>
  <c r="DH782" i="4" s="1"/>
  <c r="DY651" i="4"/>
  <c r="DO568" i="4"/>
  <c r="DO570" i="4" s="1"/>
  <c r="DN876" i="4"/>
  <c r="EH645" i="4"/>
  <c r="DK724" i="4"/>
  <c r="DK927" i="4" s="1"/>
  <c r="DL710" i="4"/>
  <c r="DL897" i="4"/>
  <c r="DQ871" i="4"/>
  <c r="DM942" i="4" l="1"/>
  <c r="EV643" i="4"/>
  <c r="EI441" i="2"/>
  <c r="EG410" i="2"/>
  <c r="EG411" i="2"/>
  <c r="DM661" i="4"/>
  <c r="DM703" i="4" s="1"/>
  <c r="DM906" i="4" s="1"/>
  <c r="DM586" i="4"/>
  <c r="DM896" i="4"/>
  <c r="DO711" i="4"/>
  <c r="DO914" i="4" s="1"/>
  <c r="DN735" i="4"/>
  <c r="DN781" i="4" s="1"/>
  <c r="DN938" i="4"/>
  <c r="DR569" i="4"/>
  <c r="DO729" i="4"/>
  <c r="DP633" i="4"/>
  <c r="DP621" i="4"/>
  <c r="DO621" i="4"/>
  <c r="DO633" i="4"/>
  <c r="DN668" i="4"/>
  <c r="DN710" i="4" s="1"/>
  <c r="DN712" i="4" s="1"/>
  <c r="DQ591" i="4"/>
  <c r="DP627" i="4"/>
  <c r="DP669" i="4" s="1"/>
  <c r="DP711" i="4" s="1"/>
  <c r="DP639" i="4"/>
  <c r="DP687" i="4" s="1"/>
  <c r="DP729" i="4" s="1"/>
  <c r="DM688" i="4"/>
  <c r="DN686" i="4"/>
  <c r="DN688" i="4" s="1"/>
  <c r="DN894" i="4"/>
  <c r="DN890" i="4"/>
  <c r="DN891" i="4" s="1"/>
  <c r="DM932" i="4"/>
  <c r="DM930" i="4"/>
  <c r="DM620" i="4"/>
  <c r="DM656" i="4" s="1"/>
  <c r="DM698" i="4" s="1"/>
  <c r="DO955" i="4"/>
  <c r="DP859" i="4"/>
  <c r="DM920" i="4"/>
  <c r="DN878" i="4"/>
  <c r="DN879" i="4" s="1"/>
  <c r="DM957" i="4"/>
  <c r="DM926" i="4"/>
  <c r="DN884" i="4"/>
  <c r="DN885" i="4" s="1"/>
  <c r="DM697" i="4"/>
  <c r="DO637" i="4"/>
  <c r="DO685" i="4" s="1"/>
  <c r="DO625" i="4"/>
  <c r="DL656" i="4"/>
  <c r="DL943" i="4"/>
  <c r="DL945" i="4" s="1"/>
  <c r="DL662" i="4"/>
  <c r="DL704" i="4" s="1"/>
  <c r="DL622" i="4"/>
  <c r="DL664" i="4" s="1"/>
  <c r="DX652" i="4"/>
  <c r="DZ651" i="4"/>
  <c r="DP877" i="4"/>
  <c r="DO895" i="4"/>
  <c r="DL674" i="4"/>
  <c r="DL680" i="4"/>
  <c r="DL722" i="4" s="1"/>
  <c r="DL634" i="4"/>
  <c r="DL682" i="4" s="1"/>
  <c r="DS692" i="4"/>
  <c r="DP866" i="4"/>
  <c r="DM897" i="4"/>
  <c r="DZ691" i="4"/>
  <c r="DJ919" i="4"/>
  <c r="DJ718" i="4"/>
  <c r="DJ921" i="4" s="1"/>
  <c r="DN867" i="4"/>
  <c r="EB644" i="4"/>
  <c r="DO876" i="4"/>
  <c r="DQ567" i="4"/>
  <c r="DP589" i="4"/>
  <c r="DP583" i="4" s="1"/>
  <c r="DL918" i="4"/>
  <c r="DL739" i="4"/>
  <c r="DL785" i="4" s="1"/>
  <c r="DL712" i="4"/>
  <c r="DL948" i="4"/>
  <c r="DL912" i="4"/>
  <c r="DI780" i="4"/>
  <c r="DI736" i="4"/>
  <c r="DI782" i="4" s="1"/>
  <c r="DZ693" i="4"/>
  <c r="DO882" i="4"/>
  <c r="DN728" i="4"/>
  <c r="DN931" i="4" s="1"/>
  <c r="DL931" i="4"/>
  <c r="DM730" i="4"/>
  <c r="DM933" i="4" s="1"/>
  <c r="DQ753" i="4"/>
  <c r="DM628" i="4"/>
  <c r="DP819" i="4"/>
  <c r="DQ813" i="4"/>
  <c r="DQ819" i="4" s="1"/>
  <c r="DP889" i="4"/>
  <c r="DM674" i="4"/>
  <c r="DM716" i="4" s="1"/>
  <c r="DM919" i="4" s="1"/>
  <c r="DM680" i="4"/>
  <c r="DM722" i="4" s="1"/>
  <c r="DM925" i="4" s="1"/>
  <c r="DS500" i="2"/>
  <c r="DT498" i="2"/>
  <c r="DT500" i="2" s="1"/>
  <c r="DN632" i="4"/>
  <c r="DN634" i="4" s="1"/>
  <c r="DN682" i="4" s="1"/>
  <c r="DN620" i="4"/>
  <c r="DN622" i="4" s="1"/>
  <c r="DN664" i="4" s="1"/>
  <c r="DR865" i="4"/>
  <c r="DZ649" i="4"/>
  <c r="DO888" i="4"/>
  <c r="DN930" i="4"/>
  <c r="DM670" i="4"/>
  <c r="DN670" i="4" s="1"/>
  <c r="DM709" i="4"/>
  <c r="DO864" i="4"/>
  <c r="DN942" i="4"/>
  <c r="DN655" i="4"/>
  <c r="DN661" i="4"/>
  <c r="DN703" i="4" s="1"/>
  <c r="DN906" i="4" s="1"/>
  <c r="DL949" i="4"/>
  <c r="DL740" i="4"/>
  <c r="DL786" i="4" s="1"/>
  <c r="DL913" i="4"/>
  <c r="DP751" i="4"/>
  <c r="DO754" i="4"/>
  <c r="DN638" i="4"/>
  <c r="DN626" i="4"/>
  <c r="DN628" i="4" s="1"/>
  <c r="DN592" i="4"/>
  <c r="DN640" i="4" s="1"/>
  <c r="DM715" i="4"/>
  <c r="DR812" i="4"/>
  <c r="DS811" i="4"/>
  <c r="DR817" i="4"/>
  <c r="DR883" i="4" s="1"/>
  <c r="DL733" i="4"/>
  <c r="DL936" i="4"/>
  <c r="DL900" i="4"/>
  <c r="DP872" i="4"/>
  <c r="DN673" i="4"/>
  <c r="DN679" i="4"/>
  <c r="DN721" i="4" s="1"/>
  <c r="DN924" i="4" s="1"/>
  <c r="DS514" i="2"/>
  <c r="DR515" i="2"/>
  <c r="DK736" i="4"/>
  <c r="DK782" i="4" s="1"/>
  <c r="DK779" i="4"/>
  <c r="DN902" i="4"/>
  <c r="DO860" i="4"/>
  <c r="DN956" i="4"/>
  <c r="DT810" i="4"/>
  <c r="DS816" i="4"/>
  <c r="DR871" i="4"/>
  <c r="DO583" i="4"/>
  <c r="DN739" i="4"/>
  <c r="DN785" i="4" s="1"/>
  <c r="DN948" i="4"/>
  <c r="DM949" i="4"/>
  <c r="DM740" i="4"/>
  <c r="DM786" i="4" s="1"/>
  <c r="DM913" i="4"/>
  <c r="EI645" i="4"/>
  <c r="DP568" i="4"/>
  <c r="DO590" i="4"/>
  <c r="DO584" i="4" s="1"/>
  <c r="DJ734" i="4"/>
  <c r="DJ937" i="4"/>
  <c r="DJ901" i="4"/>
  <c r="DJ700" i="4"/>
  <c r="DK939" i="4"/>
  <c r="DK903" i="4"/>
  <c r="DI939" i="4"/>
  <c r="DI903" i="4"/>
  <c r="DN912" i="4"/>
  <c r="DO870" i="4"/>
  <c r="DN873" i="4"/>
  <c r="DN861" i="4"/>
  <c r="DN954" i="4"/>
  <c r="DO858" i="4"/>
  <c r="EA650" i="4"/>
  <c r="DN913" i="4" l="1"/>
  <c r="EW643" i="4"/>
  <c r="EJ441" i="2"/>
  <c r="EI410" i="2"/>
  <c r="EH410" i="2" s="1"/>
  <c r="EI411" i="2"/>
  <c r="EH411" i="2" s="1"/>
  <c r="DM622" i="4"/>
  <c r="DM664" i="4" s="1"/>
  <c r="DM662" i="4"/>
  <c r="DM704" i="4" s="1"/>
  <c r="DM937" i="4" s="1"/>
  <c r="DQ729" i="4"/>
  <c r="DO675" i="4"/>
  <c r="DO717" i="4" s="1"/>
  <c r="DO681" i="4"/>
  <c r="DO723" i="4" s="1"/>
  <c r="DQ687" i="4"/>
  <c r="DP950" i="4"/>
  <c r="DP741" i="4"/>
  <c r="DP787" i="4" s="1"/>
  <c r="DO657" i="4"/>
  <c r="DO699" i="4" s="1"/>
  <c r="DO902" i="4" s="1"/>
  <c r="DO944" i="4"/>
  <c r="DO663" i="4"/>
  <c r="DO705" i="4" s="1"/>
  <c r="DO908" i="4" s="1"/>
  <c r="DQ627" i="4"/>
  <c r="DQ639" i="4"/>
  <c r="DP944" i="4"/>
  <c r="DP657" i="4"/>
  <c r="DP699" i="4" s="1"/>
  <c r="DP663" i="4"/>
  <c r="DP705" i="4" s="1"/>
  <c r="DP908" i="4" s="1"/>
  <c r="DQ585" i="4"/>
  <c r="DQ669" i="4"/>
  <c r="DQ711" i="4" s="1"/>
  <c r="DN730" i="4"/>
  <c r="DN742" i="4" s="1"/>
  <c r="DN788" i="4" s="1"/>
  <c r="DP675" i="4"/>
  <c r="DP717" i="4" s="1"/>
  <c r="DP681" i="4"/>
  <c r="DP723" i="4" s="1"/>
  <c r="DR591" i="4"/>
  <c r="DR585" i="4" s="1"/>
  <c r="DS569" i="4"/>
  <c r="DO950" i="4"/>
  <c r="DO741" i="4"/>
  <c r="DO787" i="4" s="1"/>
  <c r="DM943" i="4"/>
  <c r="DM945" i="4" s="1"/>
  <c r="DN896" i="4"/>
  <c r="DN897" i="4"/>
  <c r="DN926" i="4"/>
  <c r="DO884" i="4"/>
  <c r="DO885" i="4" s="1"/>
  <c r="DN949" i="4"/>
  <c r="DN951" i="4" s="1"/>
  <c r="DO878" i="4"/>
  <c r="DO879" i="4" s="1"/>
  <c r="DN920" i="4"/>
  <c r="DP955" i="4"/>
  <c r="DQ859" i="4"/>
  <c r="DM724" i="4"/>
  <c r="DM927" i="4" s="1"/>
  <c r="DN915" i="4"/>
  <c r="DO894" i="4"/>
  <c r="DM676" i="4"/>
  <c r="DN932" i="4"/>
  <c r="DO890" i="4"/>
  <c r="DP619" i="4"/>
  <c r="DP631" i="4"/>
  <c r="DP590" i="4"/>
  <c r="DP584" i="4" s="1"/>
  <c r="DQ568" i="4"/>
  <c r="DQ570" i="4" s="1"/>
  <c r="DP888" i="4"/>
  <c r="DQ889" i="4"/>
  <c r="DQ866" i="4"/>
  <c r="DO667" i="4"/>
  <c r="DO873" i="4"/>
  <c r="DP870" i="4"/>
  <c r="DO620" i="4"/>
  <c r="DO632" i="4"/>
  <c r="DO956" i="4"/>
  <c r="DP860" i="4"/>
  <c r="DP864" i="4"/>
  <c r="DO867" i="4"/>
  <c r="DN740" i="4"/>
  <c r="DN786" i="4" s="1"/>
  <c r="DL951" i="4"/>
  <c r="DQ877" i="4"/>
  <c r="DP895" i="4"/>
  <c r="DL698" i="4"/>
  <c r="DL658" i="4"/>
  <c r="DQ589" i="4"/>
  <c r="DQ583" i="4" s="1"/>
  <c r="DJ939" i="4"/>
  <c r="DJ903" i="4"/>
  <c r="EJ645" i="4"/>
  <c r="DS871" i="4"/>
  <c r="EA693" i="4"/>
  <c r="DL742" i="4"/>
  <c r="DL788" i="4" s="1"/>
  <c r="DL915" i="4"/>
  <c r="DP876" i="4"/>
  <c r="EC644" i="4"/>
  <c r="DL925" i="4"/>
  <c r="DL724" i="4"/>
  <c r="DL927" i="4" s="1"/>
  <c r="DY652" i="4"/>
  <c r="DO727" i="4"/>
  <c r="DO930" i="4" s="1"/>
  <c r="DT514" i="2"/>
  <c r="DT515" i="2" s="1"/>
  <c r="DS515" i="2"/>
  <c r="DQ872" i="4"/>
  <c r="DP914" i="4"/>
  <c r="DM739" i="4"/>
  <c r="DM785" i="4" s="1"/>
  <c r="DM948" i="4"/>
  <c r="DM951" i="4" s="1"/>
  <c r="DM712" i="4"/>
  <c r="DM912" i="4"/>
  <c r="DS865" i="4"/>
  <c r="DP882" i="4"/>
  <c r="DP637" i="4"/>
  <c r="DP685" i="4" s="1"/>
  <c r="DP625" i="4"/>
  <c r="DL716" i="4"/>
  <c r="DL676" i="4"/>
  <c r="DN957" i="4"/>
  <c r="DU810" i="4"/>
  <c r="DT816" i="4"/>
  <c r="DL779" i="4"/>
  <c r="DS812" i="4"/>
  <c r="DR818" i="4"/>
  <c r="DR813" i="4"/>
  <c r="DP754" i="4"/>
  <c r="DQ751" i="4"/>
  <c r="DN943" i="4"/>
  <c r="DN945" i="4" s="1"/>
  <c r="DN656" i="4"/>
  <c r="DN698" i="4" s="1"/>
  <c r="DN662" i="4"/>
  <c r="DN704" i="4" s="1"/>
  <c r="DN907" i="4" s="1"/>
  <c r="DR567" i="4"/>
  <c r="EA651" i="4"/>
  <c r="DM658" i="4"/>
  <c r="DO861" i="4"/>
  <c r="DP858" i="4"/>
  <c r="DO954" i="4"/>
  <c r="DT811" i="4"/>
  <c r="DT817" i="4" s="1"/>
  <c r="DS817" i="4"/>
  <c r="DS883" i="4" s="1"/>
  <c r="EA649" i="4"/>
  <c r="DT692" i="4"/>
  <c r="EB650" i="4"/>
  <c r="DJ780" i="4"/>
  <c r="DJ736" i="4"/>
  <c r="DJ782" i="4" s="1"/>
  <c r="DO626" i="4"/>
  <c r="DO668" i="4" s="1"/>
  <c r="DO638" i="4"/>
  <c r="DO686" i="4" s="1"/>
  <c r="DO688" i="4" s="1"/>
  <c r="DO631" i="4"/>
  <c r="DO586" i="4"/>
  <c r="DO619" i="4"/>
  <c r="DN715" i="4"/>
  <c r="DM718" i="4"/>
  <c r="DM921" i="4" s="1"/>
  <c r="DM918" i="4"/>
  <c r="DN697" i="4"/>
  <c r="DN674" i="4"/>
  <c r="DN716" i="4" s="1"/>
  <c r="DN919" i="4" s="1"/>
  <c r="DN680" i="4"/>
  <c r="DN722" i="4" s="1"/>
  <c r="DN925" i="4" s="1"/>
  <c r="DR753" i="4"/>
  <c r="DP570" i="4"/>
  <c r="DM901" i="4"/>
  <c r="EA691" i="4"/>
  <c r="DL907" i="4"/>
  <c r="DL706" i="4"/>
  <c r="DL909" i="4" s="1"/>
  <c r="DO592" i="4"/>
  <c r="DO640" i="4" s="1"/>
  <c r="DM733" i="4"/>
  <c r="DM700" i="4"/>
  <c r="DM936" i="4"/>
  <c r="DM900" i="4"/>
  <c r="EX643" i="4" l="1"/>
  <c r="EY643" i="4" s="1"/>
  <c r="EL441" i="2"/>
  <c r="EJ410" i="2"/>
  <c r="EJ411" i="2"/>
  <c r="DM734" i="4"/>
  <c r="DM780" i="4" s="1"/>
  <c r="DN933" i="4"/>
  <c r="DQ590" i="4"/>
  <c r="DQ638" i="4" s="1"/>
  <c r="DO957" i="4"/>
  <c r="DP592" i="4"/>
  <c r="DP640" i="4" s="1"/>
  <c r="DO896" i="4"/>
  <c r="DM907" i="4"/>
  <c r="DM706" i="4"/>
  <c r="DM909" i="4" s="1"/>
  <c r="DP894" i="4"/>
  <c r="DR621" i="4"/>
  <c r="DR633" i="4"/>
  <c r="DP735" i="4"/>
  <c r="DP781" i="4" s="1"/>
  <c r="DP938" i="4"/>
  <c r="DR639" i="4"/>
  <c r="DR687" i="4" s="1"/>
  <c r="DR627" i="4"/>
  <c r="DR669" i="4" s="1"/>
  <c r="DQ950" i="4"/>
  <c r="DQ741" i="4"/>
  <c r="DQ787" i="4" s="1"/>
  <c r="DQ621" i="4"/>
  <c r="DQ633" i="4"/>
  <c r="DO735" i="4"/>
  <c r="DO781" i="4" s="1"/>
  <c r="DO938" i="4"/>
  <c r="DT569" i="4"/>
  <c r="DS591" i="4"/>
  <c r="DP884" i="4"/>
  <c r="DP885" i="4" s="1"/>
  <c r="DO926" i="4"/>
  <c r="DP890" i="4"/>
  <c r="DP891" i="4" s="1"/>
  <c r="DO932" i="4"/>
  <c r="DR859" i="4"/>
  <c r="DQ955" i="4"/>
  <c r="DN706" i="4"/>
  <c r="DN909" i="4" s="1"/>
  <c r="DN658" i="4"/>
  <c r="DN724" i="4"/>
  <c r="DN927" i="4" s="1"/>
  <c r="DO628" i="4"/>
  <c r="DO891" i="4"/>
  <c r="DO897" i="4" s="1"/>
  <c r="DP878" i="4"/>
  <c r="DP879" i="4" s="1"/>
  <c r="DO920" i="4"/>
  <c r="DP632" i="4"/>
  <c r="DP634" i="4" s="1"/>
  <c r="DP682" i="4" s="1"/>
  <c r="DP620" i="4"/>
  <c r="DP622" i="4" s="1"/>
  <c r="DP664" i="4" s="1"/>
  <c r="DP586" i="4"/>
  <c r="DM903" i="4"/>
  <c r="DN676" i="4"/>
  <c r="DP727" i="4"/>
  <c r="DQ727" i="4" s="1"/>
  <c r="DR872" i="4"/>
  <c r="DQ914" i="4"/>
  <c r="DZ652" i="4"/>
  <c r="DQ870" i="4"/>
  <c r="DP873" i="4"/>
  <c r="DR889" i="4"/>
  <c r="DR568" i="4"/>
  <c r="DR570" i="4" s="1"/>
  <c r="DM779" i="4"/>
  <c r="EB691" i="4"/>
  <c r="DS753" i="4"/>
  <c r="DN700" i="4"/>
  <c r="DN733" i="4"/>
  <c r="DN936" i="4"/>
  <c r="DN900" i="4"/>
  <c r="DO942" i="4"/>
  <c r="DO655" i="4"/>
  <c r="DO622" i="4"/>
  <c r="DO664" i="4" s="1"/>
  <c r="DO661" i="4"/>
  <c r="DO703" i="4" s="1"/>
  <c r="DN734" i="4"/>
  <c r="DN780" i="4" s="1"/>
  <c r="DN937" i="4"/>
  <c r="DN901" i="4"/>
  <c r="DQ685" i="4"/>
  <c r="DR877" i="4"/>
  <c r="DQ895" i="4"/>
  <c r="DO674" i="4"/>
  <c r="DO716" i="4" s="1"/>
  <c r="DO919" i="4" s="1"/>
  <c r="DO680" i="4"/>
  <c r="DO722" i="4" s="1"/>
  <c r="DO925" i="4" s="1"/>
  <c r="DU692" i="4"/>
  <c r="DQ631" i="4"/>
  <c r="DQ619" i="4"/>
  <c r="DR819" i="4"/>
  <c r="DS813" i="4"/>
  <c r="DM742" i="4"/>
  <c r="DM788" i="4" s="1"/>
  <c r="DM915" i="4"/>
  <c r="DT871" i="4"/>
  <c r="DQ625" i="4"/>
  <c r="DQ637" i="4"/>
  <c r="DO943" i="4"/>
  <c r="DO656" i="4"/>
  <c r="DO698" i="4" s="1"/>
  <c r="DO662" i="4"/>
  <c r="DO704" i="4" s="1"/>
  <c r="DO907" i="4" s="1"/>
  <c r="DO670" i="4"/>
  <c r="DO709" i="4"/>
  <c r="DP626" i="4"/>
  <c r="DP668" i="4" s="1"/>
  <c r="DP710" i="4" s="1"/>
  <c r="DP638" i="4"/>
  <c r="DP686" i="4" s="1"/>
  <c r="DP728" i="4" s="1"/>
  <c r="DP931" i="4" s="1"/>
  <c r="DO634" i="4"/>
  <c r="DO682" i="4" s="1"/>
  <c r="DO673" i="4"/>
  <c r="DO679" i="4"/>
  <c r="DO721" i="4" s="1"/>
  <c r="DU816" i="4"/>
  <c r="DU811" i="4"/>
  <c r="DV810" i="4"/>
  <c r="DL919" i="4"/>
  <c r="DL718" i="4"/>
  <c r="DL921" i="4" s="1"/>
  <c r="DQ882" i="4"/>
  <c r="DT883" i="4"/>
  <c r="ED644" i="4"/>
  <c r="EB693" i="4"/>
  <c r="DQ888" i="4"/>
  <c r="DP673" i="4"/>
  <c r="DP679" i="4"/>
  <c r="DP721" i="4" s="1"/>
  <c r="DP924" i="4" s="1"/>
  <c r="DO728" i="4"/>
  <c r="DO730" i="4" s="1"/>
  <c r="EC650" i="4"/>
  <c r="DR589" i="4"/>
  <c r="DS567" i="4"/>
  <c r="DS818" i="4"/>
  <c r="DT812" i="4"/>
  <c r="DT818" i="4" s="1"/>
  <c r="DQ876" i="4"/>
  <c r="DL734" i="4"/>
  <c r="DL937" i="4"/>
  <c r="DL901" i="4"/>
  <c r="DL700" i="4"/>
  <c r="DQ864" i="4"/>
  <c r="DP867" i="4"/>
  <c r="DR866" i="4"/>
  <c r="DN718" i="4"/>
  <c r="DN921" i="4" s="1"/>
  <c r="DN918" i="4"/>
  <c r="DO710" i="4"/>
  <c r="EB649" i="4"/>
  <c r="DP954" i="4"/>
  <c r="DP861" i="4"/>
  <c r="DQ858" i="4"/>
  <c r="EB651" i="4"/>
  <c r="DR751" i="4"/>
  <c r="DQ754" i="4"/>
  <c r="DP667" i="4"/>
  <c r="DT865" i="4"/>
  <c r="EK645" i="4"/>
  <c r="DP902" i="4"/>
  <c r="DQ860" i="4"/>
  <c r="DP956" i="4"/>
  <c r="DP942" i="4"/>
  <c r="DP655" i="4"/>
  <c r="DP661" i="4"/>
  <c r="DP703" i="4" s="1"/>
  <c r="EZ643" i="4" l="1"/>
  <c r="DM736" i="4"/>
  <c r="DM782" i="4" s="1"/>
  <c r="DQ626" i="4"/>
  <c r="DQ628" i="4" s="1"/>
  <c r="DM939" i="4"/>
  <c r="DQ584" i="4"/>
  <c r="DQ586" i="4" s="1"/>
  <c r="EM441" i="2"/>
  <c r="EL410" i="2"/>
  <c r="EK410" i="2" s="1"/>
  <c r="EL411" i="2"/>
  <c r="EK411" i="2" s="1"/>
  <c r="DQ592" i="4"/>
  <c r="DQ640" i="4" s="1"/>
  <c r="DQ668" i="4"/>
  <c r="DQ710" i="4" s="1"/>
  <c r="DQ913" i="4" s="1"/>
  <c r="DQ686" i="4"/>
  <c r="DQ688" i="4" s="1"/>
  <c r="DS585" i="4"/>
  <c r="DS627" i="4"/>
  <c r="DS669" i="4" s="1"/>
  <c r="DS711" i="4" s="1"/>
  <c r="DS639" i="4"/>
  <c r="DS687" i="4" s="1"/>
  <c r="DS729" i="4" s="1"/>
  <c r="DQ675" i="4"/>
  <c r="DQ717" i="4" s="1"/>
  <c r="DQ681" i="4"/>
  <c r="DQ723" i="4" s="1"/>
  <c r="DT591" i="4"/>
  <c r="DT585" i="4" s="1"/>
  <c r="DU569" i="4"/>
  <c r="DQ944" i="4"/>
  <c r="DQ657" i="4"/>
  <c r="DQ699" i="4" s="1"/>
  <c r="DQ902" i="4" s="1"/>
  <c r="DQ663" i="4"/>
  <c r="DQ705" i="4" s="1"/>
  <c r="DQ908" i="4" s="1"/>
  <c r="DR711" i="4"/>
  <c r="DR914" i="4" s="1"/>
  <c r="DR681" i="4"/>
  <c r="DR723" i="4" s="1"/>
  <c r="DR675" i="4"/>
  <c r="DR717" i="4" s="1"/>
  <c r="DR729" i="4"/>
  <c r="DR657" i="4"/>
  <c r="DR699" i="4" s="1"/>
  <c r="DR663" i="4"/>
  <c r="DR705" i="4" s="1"/>
  <c r="DR908" i="4" s="1"/>
  <c r="DR944" i="4"/>
  <c r="DP930" i="4"/>
  <c r="DR955" i="4"/>
  <c r="DS859" i="4"/>
  <c r="DQ878" i="4"/>
  <c r="DQ879" i="4" s="1"/>
  <c r="DP920" i="4"/>
  <c r="DP896" i="4"/>
  <c r="DQ890" i="4"/>
  <c r="DQ891" i="4" s="1"/>
  <c r="DP932" i="4"/>
  <c r="DQ884" i="4"/>
  <c r="DQ885" i="4" s="1"/>
  <c r="DP926" i="4"/>
  <c r="DP697" i="4"/>
  <c r="DR864" i="4"/>
  <c r="DR876" i="4"/>
  <c r="DV816" i="4"/>
  <c r="DW810" i="4"/>
  <c r="DP949" i="4"/>
  <c r="DP740" i="4"/>
  <c r="DP786" i="4" s="1"/>
  <c r="DP913" i="4"/>
  <c r="DO945" i="4"/>
  <c r="DT753" i="4"/>
  <c r="DR870" i="4"/>
  <c r="DQ873" i="4"/>
  <c r="DS872" i="4"/>
  <c r="DP897" i="4"/>
  <c r="DP628" i="4"/>
  <c r="DQ894" i="4"/>
  <c r="DP957" i="4"/>
  <c r="DO949" i="4"/>
  <c r="DO740" i="4"/>
  <c r="DO786" i="4" s="1"/>
  <c r="DO913" i="4"/>
  <c r="DL939" i="4"/>
  <c r="DL903" i="4"/>
  <c r="DT567" i="4"/>
  <c r="DS589" i="4"/>
  <c r="DS583" i="4" s="1"/>
  <c r="DU812" i="4"/>
  <c r="DV811" i="4"/>
  <c r="DU817" i="4"/>
  <c r="DO712" i="4"/>
  <c r="DO739" i="4"/>
  <c r="DO785" i="4" s="1"/>
  <c r="DO948" i="4"/>
  <c r="DO912" i="4"/>
  <c r="DQ942" i="4"/>
  <c r="DQ655" i="4"/>
  <c r="DQ661" i="4"/>
  <c r="DQ703" i="4" s="1"/>
  <c r="EC691" i="4"/>
  <c r="DP730" i="4"/>
  <c r="DP933" i="4" s="1"/>
  <c r="EL645" i="4"/>
  <c r="DP670" i="4"/>
  <c r="DQ670" i="4" s="1"/>
  <c r="DP709" i="4"/>
  <c r="DR625" i="4"/>
  <c r="DR637" i="4"/>
  <c r="DR685" i="4" s="1"/>
  <c r="DP715" i="4"/>
  <c r="EE644" i="4"/>
  <c r="DO724" i="4"/>
  <c r="DO927" i="4" s="1"/>
  <c r="DO924" i="4"/>
  <c r="DQ667" i="4"/>
  <c r="DQ709" i="4" s="1"/>
  <c r="DQ912" i="4" s="1"/>
  <c r="DQ673" i="4"/>
  <c r="DQ679" i="4"/>
  <c r="DQ721" i="4" s="1"/>
  <c r="DV692" i="4"/>
  <c r="DS889" i="4"/>
  <c r="DP688" i="4"/>
  <c r="ED650" i="4"/>
  <c r="DR882" i="4"/>
  <c r="DO676" i="4"/>
  <c r="DO715" i="4"/>
  <c r="DS877" i="4"/>
  <c r="DR895" i="4"/>
  <c r="DO706" i="4"/>
  <c r="DO909" i="4" s="1"/>
  <c r="DO906" i="4"/>
  <c r="DN736" i="4"/>
  <c r="DN782" i="4" s="1"/>
  <c r="DN779" i="4"/>
  <c r="EA652" i="4"/>
  <c r="DQ956" i="4"/>
  <c r="DR860" i="4"/>
  <c r="EC651" i="4"/>
  <c r="EC649" i="4"/>
  <c r="DO933" i="4"/>
  <c r="DP906" i="4"/>
  <c r="DL780" i="4"/>
  <c r="DL736" i="4"/>
  <c r="DL782" i="4" s="1"/>
  <c r="DR583" i="4"/>
  <c r="DQ728" i="4"/>
  <c r="DQ931" i="4" s="1"/>
  <c r="DO931" i="4"/>
  <c r="DR888" i="4"/>
  <c r="DQ930" i="4"/>
  <c r="EC693" i="4"/>
  <c r="DT813" i="4"/>
  <c r="DT819" i="4" s="1"/>
  <c r="DS819" i="4"/>
  <c r="DN939" i="4"/>
  <c r="DN903" i="4"/>
  <c r="DP943" i="4"/>
  <c r="DP945" i="4" s="1"/>
  <c r="DP656" i="4"/>
  <c r="DP698" i="4" s="1"/>
  <c r="DP662" i="4"/>
  <c r="DP704" i="4" s="1"/>
  <c r="DP907" i="4" s="1"/>
  <c r="DR754" i="4"/>
  <c r="DS751" i="4"/>
  <c r="DR858" i="4"/>
  <c r="DQ954" i="4"/>
  <c r="DQ861" i="4"/>
  <c r="DS866" i="4"/>
  <c r="DQ867" i="4"/>
  <c r="DO734" i="4"/>
  <c r="DO780" i="4" s="1"/>
  <c r="DO937" i="4"/>
  <c r="DO901" i="4"/>
  <c r="DO697" i="4"/>
  <c r="DO658" i="4"/>
  <c r="DS568" i="4"/>
  <c r="DS570" i="4" s="1"/>
  <c r="DR590" i="4"/>
  <c r="DR592" i="4" s="1"/>
  <c r="DR640" i="4" s="1"/>
  <c r="DP674" i="4"/>
  <c r="DP716" i="4" s="1"/>
  <c r="DP919" i="4" s="1"/>
  <c r="DP680" i="4"/>
  <c r="DP722" i="4" s="1"/>
  <c r="DP925" i="4" s="1"/>
  <c r="FA643" i="4" l="1"/>
  <c r="DQ632" i="4"/>
  <c r="DQ634" i="4" s="1"/>
  <c r="DQ682" i="4" s="1"/>
  <c r="DQ620" i="4"/>
  <c r="DQ656" i="4" s="1"/>
  <c r="DQ698" i="4" s="1"/>
  <c r="EO441" i="2"/>
  <c r="EM410" i="2"/>
  <c r="EM411" i="2"/>
  <c r="DT589" i="4"/>
  <c r="DT637" i="4" s="1"/>
  <c r="DQ730" i="4"/>
  <c r="DQ933" i="4" s="1"/>
  <c r="DQ896" i="4"/>
  <c r="DT729" i="4"/>
  <c r="DR950" i="4"/>
  <c r="DR741" i="4"/>
  <c r="DR787" i="4" s="1"/>
  <c r="DT633" i="4"/>
  <c r="DT621" i="4"/>
  <c r="DU591" i="4"/>
  <c r="DV569" i="4"/>
  <c r="DR735" i="4"/>
  <c r="DR781" i="4" s="1"/>
  <c r="DR938" i="4"/>
  <c r="DQ735" i="4"/>
  <c r="DQ781" i="4" s="1"/>
  <c r="DQ938" i="4"/>
  <c r="DT639" i="4"/>
  <c r="DT627" i="4"/>
  <c r="DS741" i="4"/>
  <c r="DS787" i="4" s="1"/>
  <c r="DS950" i="4"/>
  <c r="DT687" i="4"/>
  <c r="DT669" i="4"/>
  <c r="DT711" i="4" s="1"/>
  <c r="DS633" i="4"/>
  <c r="DS621" i="4"/>
  <c r="DQ897" i="4"/>
  <c r="DO951" i="4"/>
  <c r="DQ957" i="4"/>
  <c r="DR884" i="4"/>
  <c r="DR885" i="4" s="1"/>
  <c r="DQ926" i="4"/>
  <c r="DQ920" i="4"/>
  <c r="DR878" i="4"/>
  <c r="DP676" i="4"/>
  <c r="DT859" i="4"/>
  <c r="DS955" i="4"/>
  <c r="DR894" i="4"/>
  <c r="DR584" i="4"/>
  <c r="DR632" i="4" s="1"/>
  <c r="DQ932" i="4"/>
  <c r="DR890" i="4"/>
  <c r="DS870" i="4"/>
  <c r="DR873" i="4"/>
  <c r="DV812" i="4"/>
  <c r="DU818" i="4"/>
  <c r="DU813" i="4"/>
  <c r="DU567" i="4"/>
  <c r="DS876" i="4"/>
  <c r="DQ949" i="4"/>
  <c r="DS888" i="4"/>
  <c r="DT877" i="4"/>
  <c r="DS895" i="4"/>
  <c r="DQ924" i="4"/>
  <c r="DQ715" i="4"/>
  <c r="EF644" i="4"/>
  <c r="DO733" i="4"/>
  <c r="DO700" i="4"/>
  <c r="DO936" i="4"/>
  <c r="DO900" i="4"/>
  <c r="ED651" i="4"/>
  <c r="DP706" i="4"/>
  <c r="DP909" i="4" s="1"/>
  <c r="EE650" i="4"/>
  <c r="DP718" i="4"/>
  <c r="DP921" i="4" s="1"/>
  <c r="DP918" i="4"/>
  <c r="DP739" i="4"/>
  <c r="DP785" i="4" s="1"/>
  <c r="DP948" i="4"/>
  <c r="DP951" i="4" s="1"/>
  <c r="DP712" i="4"/>
  <c r="DP912" i="4"/>
  <c r="DQ697" i="4"/>
  <c r="DP724" i="4"/>
  <c r="DP927" i="4" s="1"/>
  <c r="DQ906" i="4"/>
  <c r="ED693" i="4"/>
  <c r="DQ739" i="4"/>
  <c r="DQ785" i="4" s="1"/>
  <c r="DQ948" i="4"/>
  <c r="DQ712" i="4"/>
  <c r="DO742" i="4"/>
  <c r="DO788" i="4" s="1"/>
  <c r="DO915" i="4"/>
  <c r="DR867" i="4"/>
  <c r="DS864" i="4"/>
  <c r="DR638" i="4"/>
  <c r="DR686" i="4" s="1"/>
  <c r="DR626" i="4"/>
  <c r="DR668" i="4" s="1"/>
  <c r="DT866" i="4"/>
  <c r="DT751" i="4"/>
  <c r="DS754" i="4"/>
  <c r="DP734" i="4"/>
  <c r="DP780" i="4" s="1"/>
  <c r="DP937" i="4"/>
  <c r="DP901" i="4"/>
  <c r="DR619" i="4"/>
  <c r="DR631" i="4"/>
  <c r="ED649" i="4"/>
  <c r="DR727" i="4"/>
  <c r="DR930" i="4" s="1"/>
  <c r="ED691" i="4"/>
  <c r="DS631" i="4"/>
  <c r="DS619" i="4"/>
  <c r="DP658" i="4"/>
  <c r="DS858" i="4"/>
  <c r="DR861" i="4"/>
  <c r="DR954" i="4"/>
  <c r="DS882" i="4"/>
  <c r="DT568" i="4"/>
  <c r="DS590" i="4"/>
  <c r="DR902" i="4"/>
  <c r="DS860" i="4"/>
  <c r="DR956" i="4"/>
  <c r="EB652" i="4"/>
  <c r="DO718" i="4"/>
  <c r="DO921" i="4" s="1"/>
  <c r="DO918" i="4"/>
  <c r="DT889" i="4"/>
  <c r="DW692" i="4"/>
  <c r="DR667" i="4"/>
  <c r="EM645" i="4"/>
  <c r="DW811" i="4"/>
  <c r="DW817" i="4" s="1"/>
  <c r="DV817" i="4"/>
  <c r="DS625" i="4"/>
  <c r="DS637" i="4"/>
  <c r="DS685" i="4" s="1"/>
  <c r="DT685" i="4" s="1"/>
  <c r="DT872" i="4"/>
  <c r="DS914" i="4"/>
  <c r="DW816" i="4"/>
  <c r="DX810" i="4"/>
  <c r="DQ740" i="4"/>
  <c r="DQ786" i="4" s="1"/>
  <c r="DP700" i="4"/>
  <c r="DP733" i="4"/>
  <c r="DP936" i="4"/>
  <c r="DP900" i="4"/>
  <c r="DT741" i="4" l="1"/>
  <c r="DT787" i="4" s="1"/>
  <c r="DQ680" i="4"/>
  <c r="DQ722" i="4" s="1"/>
  <c r="DQ925" i="4" s="1"/>
  <c r="DQ943" i="4"/>
  <c r="DQ945" i="4" s="1"/>
  <c r="DQ674" i="4"/>
  <c r="DQ716" i="4" s="1"/>
  <c r="DQ919" i="4" s="1"/>
  <c r="DQ662" i="4"/>
  <c r="DQ704" i="4" s="1"/>
  <c r="DQ907" i="4" s="1"/>
  <c r="DQ742" i="4"/>
  <c r="DQ788" i="4" s="1"/>
  <c r="DQ622" i="4"/>
  <c r="DQ664" i="4" s="1"/>
  <c r="DT583" i="4"/>
  <c r="DT631" i="4" s="1"/>
  <c r="EP441" i="2"/>
  <c r="EO410" i="2"/>
  <c r="EN410" i="2" s="1"/>
  <c r="EO411" i="2"/>
  <c r="EN411" i="2" s="1"/>
  <c r="DT625" i="4"/>
  <c r="DR586" i="4"/>
  <c r="DQ951" i="4"/>
  <c r="DQ915" i="4"/>
  <c r="DT681" i="4"/>
  <c r="DT723" i="4" s="1"/>
  <c r="DT675" i="4"/>
  <c r="DT717" i="4" s="1"/>
  <c r="DS944" i="4"/>
  <c r="DS657" i="4"/>
  <c r="DS699" i="4" s="1"/>
  <c r="DS902" i="4" s="1"/>
  <c r="DS663" i="4"/>
  <c r="DS705" i="4" s="1"/>
  <c r="DS908" i="4" s="1"/>
  <c r="DW569" i="4"/>
  <c r="DV591" i="4"/>
  <c r="DS681" i="4"/>
  <c r="DS723" i="4" s="1"/>
  <c r="DS675" i="4"/>
  <c r="DS717" i="4" s="1"/>
  <c r="DU585" i="4"/>
  <c r="DU627" i="4"/>
  <c r="DU669" i="4" s="1"/>
  <c r="DU639" i="4"/>
  <c r="DU687" i="4" s="1"/>
  <c r="DQ676" i="4"/>
  <c r="DT657" i="4"/>
  <c r="DT699" i="4" s="1"/>
  <c r="DT944" i="4"/>
  <c r="DT663" i="4"/>
  <c r="DT705" i="4" s="1"/>
  <c r="DT908" i="4" s="1"/>
  <c r="DT950" i="4"/>
  <c r="DR620" i="4"/>
  <c r="DR662" i="4" s="1"/>
  <c r="DR704" i="4" s="1"/>
  <c r="DR907" i="4" s="1"/>
  <c r="DR920" i="4"/>
  <c r="DS878" i="4"/>
  <c r="DS879" i="4" s="1"/>
  <c r="DR932" i="4"/>
  <c r="DS890" i="4"/>
  <c r="DS891" i="4" s="1"/>
  <c r="DR957" i="4"/>
  <c r="DR891" i="4"/>
  <c r="DS894" i="4"/>
  <c r="DR926" i="4"/>
  <c r="DS884" i="4"/>
  <c r="DS885" i="4" s="1"/>
  <c r="DR896" i="4"/>
  <c r="DR879" i="4"/>
  <c r="DT955" i="4"/>
  <c r="DX692" i="4"/>
  <c r="DS626" i="4"/>
  <c r="DS668" i="4" s="1"/>
  <c r="DS710" i="4" s="1"/>
  <c r="DS638" i="4"/>
  <c r="DS686" i="4" s="1"/>
  <c r="DS728" i="4" s="1"/>
  <c r="DS931" i="4" s="1"/>
  <c r="EE691" i="4"/>
  <c r="DR942" i="4"/>
  <c r="DR655" i="4"/>
  <c r="DR661" i="4"/>
  <c r="DR703" i="4" s="1"/>
  <c r="DR710" i="4"/>
  <c r="EG644" i="4"/>
  <c r="DT895" i="4"/>
  <c r="DV813" i="4"/>
  <c r="DU819" i="4"/>
  <c r="DR674" i="4"/>
  <c r="DR716" i="4" s="1"/>
  <c r="DR919" i="4" s="1"/>
  <c r="DR680" i="4"/>
  <c r="DR722" i="4" s="1"/>
  <c r="DR925" i="4" s="1"/>
  <c r="DP736" i="4"/>
  <c r="DP782" i="4" s="1"/>
  <c r="DP779" i="4"/>
  <c r="DR628" i="4"/>
  <c r="EC652" i="4"/>
  <c r="DU568" i="4"/>
  <c r="DU570" i="4" s="1"/>
  <c r="DS655" i="4"/>
  <c r="DS942" i="4"/>
  <c r="DS661" i="4"/>
  <c r="DS703" i="4" s="1"/>
  <c r="DS906" i="4" s="1"/>
  <c r="DT590" i="4"/>
  <c r="DT584" i="4" s="1"/>
  <c r="EF650" i="4"/>
  <c r="DP939" i="4"/>
  <c r="DP903" i="4"/>
  <c r="DR709" i="4"/>
  <c r="DR670" i="4"/>
  <c r="DS673" i="4"/>
  <c r="DS679" i="4"/>
  <c r="DS721" i="4" s="1"/>
  <c r="DS924" i="4" s="1"/>
  <c r="DR728" i="4"/>
  <c r="DQ658" i="4"/>
  <c r="DQ718" i="4"/>
  <c r="DQ921" i="4" s="1"/>
  <c r="DQ918" i="4"/>
  <c r="DV818" i="4"/>
  <c r="DW812" i="4"/>
  <c r="DW818" i="4" s="1"/>
  <c r="DS861" i="4"/>
  <c r="DS954" i="4"/>
  <c r="DT858" i="4"/>
  <c r="DQ700" i="4"/>
  <c r="DQ733" i="4"/>
  <c r="DQ936" i="4"/>
  <c r="DQ900" i="4"/>
  <c r="DT888" i="4"/>
  <c r="DS873" i="4"/>
  <c r="DT870" i="4"/>
  <c r="DX811" i="4"/>
  <c r="DX816" i="4"/>
  <c r="DY810" i="4"/>
  <c r="DT914" i="4"/>
  <c r="DS667" i="4"/>
  <c r="DT667" i="4" s="1"/>
  <c r="DT709" i="4" s="1"/>
  <c r="DR634" i="4"/>
  <c r="DR682" i="4" s="1"/>
  <c r="DR673" i="4"/>
  <c r="DR679" i="4"/>
  <c r="DR721" i="4" s="1"/>
  <c r="EE651" i="4"/>
  <c r="DO939" i="4"/>
  <c r="DO903" i="4"/>
  <c r="DT570" i="4"/>
  <c r="DS727" i="4"/>
  <c r="DS930" i="4" s="1"/>
  <c r="DT882" i="4"/>
  <c r="EE649" i="4"/>
  <c r="DT754" i="4"/>
  <c r="DS867" i="4"/>
  <c r="DT864" i="4"/>
  <c r="EE693" i="4"/>
  <c r="DT876" i="4"/>
  <c r="DQ901" i="4"/>
  <c r="DS592" i="4"/>
  <c r="DS640" i="4" s="1"/>
  <c r="EN645" i="4"/>
  <c r="DT860" i="4"/>
  <c r="DS956" i="4"/>
  <c r="DS584" i="4"/>
  <c r="DR688" i="4"/>
  <c r="DP742" i="4"/>
  <c r="DP788" i="4" s="1"/>
  <c r="DP915" i="4"/>
  <c r="DO736" i="4"/>
  <c r="DO782" i="4" s="1"/>
  <c r="DO779" i="4"/>
  <c r="DU589" i="4"/>
  <c r="DV567" i="4"/>
  <c r="DQ724" i="4" l="1"/>
  <c r="DQ927" i="4" s="1"/>
  <c r="DQ706" i="4"/>
  <c r="DQ909" i="4" s="1"/>
  <c r="DQ937" i="4"/>
  <c r="DQ734" i="4"/>
  <c r="DQ780" i="4" s="1"/>
  <c r="DT619" i="4"/>
  <c r="DT655" i="4" s="1"/>
  <c r="DR656" i="4"/>
  <c r="DR698" i="4" s="1"/>
  <c r="DR901" i="4" s="1"/>
  <c r="DS628" i="4"/>
  <c r="DR622" i="4"/>
  <c r="DR664" i="4" s="1"/>
  <c r="ER441" i="2"/>
  <c r="ES441" i="2" s="1"/>
  <c r="EP410" i="2"/>
  <c r="EP411" i="2"/>
  <c r="DR943" i="4"/>
  <c r="DR945" i="4" s="1"/>
  <c r="DT686" i="4"/>
  <c r="DT688" i="4" s="1"/>
  <c r="DR897" i="4"/>
  <c r="DT735" i="4"/>
  <c r="DT781" i="4" s="1"/>
  <c r="DT938" i="4"/>
  <c r="DU711" i="4"/>
  <c r="DV627" i="4"/>
  <c r="DV669" i="4" s="1"/>
  <c r="DV711" i="4" s="1"/>
  <c r="DV639" i="4"/>
  <c r="DV687" i="4" s="1"/>
  <c r="DV729" i="4" s="1"/>
  <c r="DS735" i="4"/>
  <c r="DS781" i="4" s="1"/>
  <c r="DS938" i="4"/>
  <c r="DU621" i="4"/>
  <c r="DU633" i="4"/>
  <c r="DX569" i="4"/>
  <c r="DU729" i="4"/>
  <c r="DV585" i="4"/>
  <c r="DW591" i="4"/>
  <c r="DW585" i="4" s="1"/>
  <c r="DT727" i="4"/>
  <c r="DT739" i="4" s="1"/>
  <c r="DT785" i="4" s="1"/>
  <c r="DS897" i="4"/>
  <c r="DS932" i="4"/>
  <c r="DT890" i="4"/>
  <c r="DT891" i="4" s="1"/>
  <c r="DT884" i="4"/>
  <c r="DT885" i="4" s="1"/>
  <c r="DS926" i="4"/>
  <c r="DT668" i="4"/>
  <c r="DT710" i="4" s="1"/>
  <c r="DT712" i="4" s="1"/>
  <c r="DT878" i="4"/>
  <c r="DT879" i="4" s="1"/>
  <c r="DS920" i="4"/>
  <c r="DS730" i="4"/>
  <c r="DS933" i="4" s="1"/>
  <c r="DS688" i="4"/>
  <c r="DT894" i="4"/>
  <c r="DS896" i="4"/>
  <c r="DT632" i="4"/>
  <c r="DT634" i="4" s="1"/>
  <c r="DT682" i="4" s="1"/>
  <c r="DT620" i="4"/>
  <c r="DT586" i="4"/>
  <c r="DS632" i="4"/>
  <c r="DS620" i="4"/>
  <c r="DS586" i="4"/>
  <c r="EO645" i="4"/>
  <c r="DR724" i="4"/>
  <c r="DR927" i="4" s="1"/>
  <c r="DR924" i="4"/>
  <c r="ED652" i="4"/>
  <c r="DU637" i="4"/>
  <c r="DU685" i="4" s="1"/>
  <c r="DU625" i="4"/>
  <c r="DT902" i="4"/>
  <c r="DT956" i="4"/>
  <c r="DU583" i="4"/>
  <c r="DR676" i="4"/>
  <c r="DR715" i="4"/>
  <c r="DQ779" i="4"/>
  <c r="DS697" i="4"/>
  <c r="DR697" i="4"/>
  <c r="DY692" i="4"/>
  <c r="DV589" i="4"/>
  <c r="DW589" i="4" s="1"/>
  <c r="DW567" i="4"/>
  <c r="DZ810" i="4"/>
  <c r="DY816" i="4"/>
  <c r="DQ939" i="4"/>
  <c r="DQ903" i="4"/>
  <c r="DT728" i="4"/>
  <c r="DT931" i="4" s="1"/>
  <c r="DR931" i="4"/>
  <c r="EG650" i="4"/>
  <c r="DV568" i="4"/>
  <c r="DV570" i="4" s="1"/>
  <c r="DU590" i="4"/>
  <c r="DT638" i="4"/>
  <c r="DT626" i="4"/>
  <c r="DT628" i="4" s="1"/>
  <c r="DT592" i="4"/>
  <c r="DT640" i="4" s="1"/>
  <c r="DV819" i="4"/>
  <c r="DW813" i="4"/>
  <c r="DW819" i="4" s="1"/>
  <c r="EF693" i="4"/>
  <c r="EF651" i="4"/>
  <c r="DR730" i="4"/>
  <c r="DX817" i="4"/>
  <c r="DY811" i="4"/>
  <c r="DX812" i="4"/>
  <c r="DT861" i="4"/>
  <c r="DT954" i="4"/>
  <c r="DR712" i="4"/>
  <c r="DR948" i="4"/>
  <c r="DR739" i="4"/>
  <c r="DR785" i="4" s="1"/>
  <c r="DR912" i="4"/>
  <c r="EH644" i="4"/>
  <c r="DR740" i="4"/>
  <c r="DR786" i="4" s="1"/>
  <c r="DR949" i="4"/>
  <c r="DR913" i="4"/>
  <c r="DT867" i="4"/>
  <c r="DT673" i="4"/>
  <c r="DT679" i="4"/>
  <c r="DT721" i="4" s="1"/>
  <c r="EF649" i="4"/>
  <c r="DS709" i="4"/>
  <c r="DS670" i="4"/>
  <c r="DT670" i="4" s="1"/>
  <c r="DT873" i="4"/>
  <c r="DT912" i="4"/>
  <c r="DS957" i="4"/>
  <c r="DS715" i="4"/>
  <c r="DR706" i="4"/>
  <c r="DR909" i="4" s="1"/>
  <c r="DR906" i="4"/>
  <c r="EF691" i="4"/>
  <c r="DS740" i="4"/>
  <c r="DS786" i="4" s="1"/>
  <c r="DS949" i="4"/>
  <c r="DS913" i="4"/>
  <c r="DQ736" i="4" l="1"/>
  <c r="DQ782" i="4" s="1"/>
  <c r="DR658" i="4"/>
  <c r="DT661" i="4"/>
  <c r="DT703" i="4" s="1"/>
  <c r="DT906" i="4" s="1"/>
  <c r="DR734" i="4"/>
  <c r="DR780" i="4" s="1"/>
  <c r="DR937" i="4"/>
  <c r="DT622" i="4"/>
  <c r="DT664" i="4" s="1"/>
  <c r="DT942" i="4"/>
  <c r="DT913" i="4"/>
  <c r="EU441" i="2"/>
  <c r="ES410" i="2"/>
  <c r="ES411" i="2"/>
  <c r="ER410" i="2"/>
  <c r="EQ410" i="2" s="1"/>
  <c r="ER411" i="2"/>
  <c r="EQ411" i="2" s="1"/>
  <c r="DT948" i="4"/>
  <c r="DT930" i="4"/>
  <c r="DW687" i="4"/>
  <c r="DT896" i="4"/>
  <c r="DW669" i="4"/>
  <c r="DW711" i="4" s="1"/>
  <c r="DW627" i="4"/>
  <c r="DW639" i="4"/>
  <c r="DY569" i="4"/>
  <c r="DX591" i="4"/>
  <c r="DV633" i="4"/>
  <c r="DV621" i="4"/>
  <c r="DW621" i="4"/>
  <c r="DW633" i="4"/>
  <c r="DU950" i="4"/>
  <c r="DU741" i="4"/>
  <c r="DU787" i="4" s="1"/>
  <c r="DU681" i="4"/>
  <c r="DU723" i="4" s="1"/>
  <c r="DU675" i="4"/>
  <c r="DU717" i="4" s="1"/>
  <c r="DW729" i="4"/>
  <c r="DU663" i="4"/>
  <c r="DU705" i="4" s="1"/>
  <c r="DU657" i="4"/>
  <c r="DU699" i="4" s="1"/>
  <c r="DU944" i="4"/>
  <c r="DV950" i="4"/>
  <c r="DV741" i="4"/>
  <c r="DV787" i="4" s="1"/>
  <c r="DT915" i="4"/>
  <c r="DT926" i="4"/>
  <c r="DT920" i="4"/>
  <c r="DT932" i="4"/>
  <c r="DW637" i="4"/>
  <c r="DW625" i="4"/>
  <c r="DS674" i="4"/>
  <c r="DS680" i="4"/>
  <c r="DS722" i="4" s="1"/>
  <c r="DS634" i="4"/>
  <c r="DS682" i="4" s="1"/>
  <c r="DT715" i="4"/>
  <c r="DR718" i="4"/>
  <c r="DR921" i="4" s="1"/>
  <c r="DR918" i="4"/>
  <c r="DU619" i="4"/>
  <c r="DU631" i="4"/>
  <c r="DR742" i="4"/>
  <c r="DR788" i="4" s="1"/>
  <c r="DR915" i="4"/>
  <c r="DT697" i="4"/>
  <c r="DU638" i="4"/>
  <c r="DU686" i="4" s="1"/>
  <c r="DU688" i="4" s="1"/>
  <c r="DU626" i="4"/>
  <c r="DU668" i="4" s="1"/>
  <c r="DZ692" i="4"/>
  <c r="DU667" i="4"/>
  <c r="EP645" i="4"/>
  <c r="DT924" i="4"/>
  <c r="DS918" i="4"/>
  <c r="DY812" i="4"/>
  <c r="DX818" i="4"/>
  <c r="DX813" i="4"/>
  <c r="EG693" i="4"/>
  <c r="DV590" i="4"/>
  <c r="DV592" i="4" s="1"/>
  <c r="DV640" i="4" s="1"/>
  <c r="DW568" i="4"/>
  <c r="DW570" i="4" s="1"/>
  <c r="DS733" i="4"/>
  <c r="DS936" i="4"/>
  <c r="DS900" i="4"/>
  <c r="DU592" i="4"/>
  <c r="DU640" i="4" s="1"/>
  <c r="DT740" i="4"/>
  <c r="DT786" i="4" s="1"/>
  <c r="DT730" i="4"/>
  <c r="DT742" i="4" s="1"/>
  <c r="DT788" i="4" s="1"/>
  <c r="DR933" i="4"/>
  <c r="DS739" i="4"/>
  <c r="DS785" i="4" s="1"/>
  <c r="DS712" i="4"/>
  <c r="DS948" i="4"/>
  <c r="DS951" i="4" s="1"/>
  <c r="DS912" i="4"/>
  <c r="EI644" i="4"/>
  <c r="DT957" i="4"/>
  <c r="DZ811" i="4"/>
  <c r="DZ817" i="4" s="1"/>
  <c r="DY817" i="4"/>
  <c r="DU584" i="4"/>
  <c r="DZ816" i="4"/>
  <c r="EA810" i="4"/>
  <c r="DW583" i="4"/>
  <c r="DX567" i="4"/>
  <c r="DU727" i="4"/>
  <c r="DS943" i="4"/>
  <c r="DS945" i="4" s="1"/>
  <c r="DS656" i="4"/>
  <c r="DS662" i="4"/>
  <c r="DS704" i="4" s="1"/>
  <c r="DS622" i="4"/>
  <c r="DS664" i="4" s="1"/>
  <c r="DT949" i="4"/>
  <c r="DV625" i="4"/>
  <c r="DV637" i="4"/>
  <c r="DV685" i="4" s="1"/>
  <c r="DW685" i="4" s="1"/>
  <c r="DR733" i="4"/>
  <c r="DR700" i="4"/>
  <c r="DR936" i="4"/>
  <c r="DR900" i="4"/>
  <c r="EE652" i="4"/>
  <c r="EG649" i="4"/>
  <c r="DT897" i="4"/>
  <c r="DT943" i="4"/>
  <c r="DT656" i="4"/>
  <c r="DT698" i="4" s="1"/>
  <c r="DT662" i="4"/>
  <c r="DT704" i="4" s="1"/>
  <c r="DT907" i="4" s="1"/>
  <c r="EG691" i="4"/>
  <c r="DR951" i="4"/>
  <c r="EG651" i="4"/>
  <c r="EH650" i="4"/>
  <c r="DV583" i="4"/>
  <c r="DT674" i="4"/>
  <c r="DT716" i="4" s="1"/>
  <c r="DT919" i="4" s="1"/>
  <c r="DT680" i="4"/>
  <c r="DT722" i="4" s="1"/>
  <c r="DT925" i="4" s="1"/>
  <c r="DT945" i="4" l="1"/>
  <c r="EV441" i="2"/>
  <c r="EU410" i="2"/>
  <c r="ET410" i="2" s="1"/>
  <c r="EU411" i="2"/>
  <c r="ET411" i="2" s="1"/>
  <c r="DT951" i="4"/>
  <c r="DW741" i="4"/>
  <c r="DW787" i="4" s="1"/>
  <c r="DU735" i="4"/>
  <c r="DW944" i="4"/>
  <c r="DW657" i="4"/>
  <c r="DW699" i="4" s="1"/>
  <c r="DW663" i="4"/>
  <c r="DW705" i="4" s="1"/>
  <c r="DX585" i="4"/>
  <c r="DX627" i="4"/>
  <c r="DX669" i="4" s="1"/>
  <c r="DX639" i="4"/>
  <c r="DX687" i="4" s="1"/>
  <c r="DV657" i="4"/>
  <c r="DV699" i="4" s="1"/>
  <c r="DV663" i="4"/>
  <c r="DV705" i="4" s="1"/>
  <c r="DV944" i="4"/>
  <c r="DZ569" i="4"/>
  <c r="DY591" i="4"/>
  <c r="DY585" i="4" s="1"/>
  <c r="DV681" i="4"/>
  <c r="DV723" i="4" s="1"/>
  <c r="DV675" i="4"/>
  <c r="DV717" i="4" s="1"/>
  <c r="DW675" i="4"/>
  <c r="DW717" i="4" s="1"/>
  <c r="DW681" i="4"/>
  <c r="DW723" i="4" s="1"/>
  <c r="DW950" i="4"/>
  <c r="DT706" i="4"/>
  <c r="DT909" i="4" s="1"/>
  <c r="DU628" i="4"/>
  <c r="DT933" i="4"/>
  <c r="DR736" i="4"/>
  <c r="DR782" i="4" s="1"/>
  <c r="DR779" i="4"/>
  <c r="DX568" i="4"/>
  <c r="DX570" i="4" s="1"/>
  <c r="DU728" i="4"/>
  <c r="DU730" i="4" s="1"/>
  <c r="DU673" i="4"/>
  <c r="DU679" i="4"/>
  <c r="DU721" i="4" s="1"/>
  <c r="DT676" i="4"/>
  <c r="EH649" i="4"/>
  <c r="DV727" i="4"/>
  <c r="DU620" i="4"/>
  <c r="DU622" i="4" s="1"/>
  <c r="DU664" i="4" s="1"/>
  <c r="DU632" i="4"/>
  <c r="DU634" i="4" s="1"/>
  <c r="DU682" i="4" s="1"/>
  <c r="DV626" i="4"/>
  <c r="DV668" i="4" s="1"/>
  <c r="DV710" i="4" s="1"/>
  <c r="DV638" i="4"/>
  <c r="DV686" i="4" s="1"/>
  <c r="DV728" i="4" s="1"/>
  <c r="DZ812" i="4"/>
  <c r="DZ818" i="4" s="1"/>
  <c r="DY818" i="4"/>
  <c r="DT724" i="4"/>
  <c r="DT927" i="4" s="1"/>
  <c r="DW590" i="4"/>
  <c r="DU586" i="4"/>
  <c r="EF652" i="4"/>
  <c r="DV667" i="4"/>
  <c r="DW667" i="4" s="1"/>
  <c r="DW709" i="4" s="1"/>
  <c r="DS907" i="4"/>
  <c r="DS706" i="4"/>
  <c r="DS909" i="4" s="1"/>
  <c r="DS742" i="4"/>
  <c r="DS788" i="4" s="1"/>
  <c r="DS915" i="4"/>
  <c r="EH693" i="4"/>
  <c r="EA692" i="4"/>
  <c r="DT733" i="4"/>
  <c r="DT700" i="4"/>
  <c r="DT936" i="4"/>
  <c r="DT900" i="4"/>
  <c r="DU942" i="4"/>
  <c r="DU655" i="4"/>
  <c r="DU661" i="4"/>
  <c r="DU703" i="4" s="1"/>
  <c r="DS925" i="4"/>
  <c r="DS724" i="4"/>
  <c r="DS927" i="4" s="1"/>
  <c r="DV619" i="4"/>
  <c r="DV631" i="4"/>
  <c r="DT734" i="4"/>
  <c r="DT780" i="4" s="1"/>
  <c r="DT937" i="4"/>
  <c r="DT901" i="4"/>
  <c r="DS698" i="4"/>
  <c r="DS658" i="4"/>
  <c r="DX589" i="4"/>
  <c r="DX583" i="4" s="1"/>
  <c r="DY567" i="4"/>
  <c r="EQ645" i="4"/>
  <c r="DT658" i="4"/>
  <c r="DS716" i="4"/>
  <c r="DS676" i="4"/>
  <c r="EI650" i="4"/>
  <c r="EH651" i="4"/>
  <c r="DW631" i="4"/>
  <c r="DW619" i="4"/>
  <c r="EH691" i="4"/>
  <c r="DR939" i="4"/>
  <c r="DR903" i="4"/>
  <c r="EA811" i="4"/>
  <c r="EB810" i="4"/>
  <c r="EA816" i="4"/>
  <c r="EJ644" i="4"/>
  <c r="DS779" i="4"/>
  <c r="DV584" i="4"/>
  <c r="DX819" i="4"/>
  <c r="DY813" i="4"/>
  <c r="DU709" i="4"/>
  <c r="DU670" i="4"/>
  <c r="DU710" i="4"/>
  <c r="DT718" i="4"/>
  <c r="DT921" i="4" s="1"/>
  <c r="DT918" i="4"/>
  <c r="EX441" i="2" l="1"/>
  <c r="EY441" i="2" s="1"/>
  <c r="EV410" i="2"/>
  <c r="EV411" i="2"/>
  <c r="EA569" i="4"/>
  <c r="DX729" i="4"/>
  <c r="DW735" i="4"/>
  <c r="DX711" i="4"/>
  <c r="DY621" i="4"/>
  <c r="DY633" i="4"/>
  <c r="DX633" i="4"/>
  <c r="DX621" i="4"/>
  <c r="DZ591" i="4"/>
  <c r="DY639" i="4"/>
  <c r="DY687" i="4" s="1"/>
  <c r="DY729" i="4" s="1"/>
  <c r="DY627" i="4"/>
  <c r="DY669" i="4" s="1"/>
  <c r="DY711" i="4" s="1"/>
  <c r="DV735" i="4"/>
  <c r="DV730" i="4"/>
  <c r="DW730" i="4" s="1"/>
  <c r="DV688" i="4"/>
  <c r="DW686" i="4"/>
  <c r="DW688" i="4" s="1"/>
  <c r="DW727" i="4"/>
  <c r="DW948" i="4" s="1"/>
  <c r="EI651" i="4"/>
  <c r="DV673" i="4"/>
  <c r="DV679" i="4"/>
  <c r="DV721" i="4" s="1"/>
  <c r="DW638" i="4"/>
  <c r="DW626" i="4"/>
  <c r="DW628" i="4" s="1"/>
  <c r="DW592" i="4"/>
  <c r="DW640" i="4" s="1"/>
  <c r="DW728" i="4"/>
  <c r="DZ813" i="4"/>
  <c r="DZ819" i="4" s="1"/>
  <c r="DY819" i="4"/>
  <c r="DW673" i="4"/>
  <c r="DW679" i="4"/>
  <c r="DW721" i="4" s="1"/>
  <c r="EJ650" i="4"/>
  <c r="EI649" i="4"/>
  <c r="DU948" i="4"/>
  <c r="DU739" i="4"/>
  <c r="DU785" i="4" s="1"/>
  <c r="DU712" i="4"/>
  <c r="DV949" i="4"/>
  <c r="DV740" i="4"/>
  <c r="DV786" i="4" s="1"/>
  <c r="EC810" i="4"/>
  <c r="EB816" i="4"/>
  <c r="DU715" i="4"/>
  <c r="DT939" i="4"/>
  <c r="DT903" i="4"/>
  <c r="DV632" i="4"/>
  <c r="DV620" i="4"/>
  <c r="DV622" i="4" s="1"/>
  <c r="DV664" i="4" s="1"/>
  <c r="EA812" i="4"/>
  <c r="EA817" i="4"/>
  <c r="EB811" i="4"/>
  <c r="EI691" i="4"/>
  <c r="ER645" i="4"/>
  <c r="ES645" i="4" s="1"/>
  <c r="EG652" i="4"/>
  <c r="DW584" i="4"/>
  <c r="DS919" i="4"/>
  <c r="DS718" i="4"/>
  <c r="DS921" i="4" s="1"/>
  <c r="DU697" i="4"/>
  <c r="DW668" i="4"/>
  <c r="DW710" i="4" s="1"/>
  <c r="DZ567" i="4"/>
  <c r="DY589" i="4"/>
  <c r="DV655" i="4"/>
  <c r="DV942" i="4"/>
  <c r="DV661" i="4"/>
  <c r="DV703" i="4" s="1"/>
  <c r="DT736" i="4"/>
  <c r="DT782" i="4" s="1"/>
  <c r="DT779" i="4"/>
  <c r="EI693" i="4"/>
  <c r="DV709" i="4"/>
  <c r="DV670" i="4"/>
  <c r="DW670" i="4" s="1"/>
  <c r="DU674" i="4"/>
  <c r="DU716" i="4" s="1"/>
  <c r="DU680" i="4"/>
  <c r="DU722" i="4" s="1"/>
  <c r="DX631" i="4"/>
  <c r="DX619" i="4"/>
  <c r="DY568" i="4"/>
  <c r="DX590" i="4"/>
  <c r="DX584" i="4" s="1"/>
  <c r="DX586" i="4" s="1"/>
  <c r="EK644" i="4"/>
  <c r="DU949" i="4"/>
  <c r="DU740" i="4"/>
  <c r="DU786" i="4" s="1"/>
  <c r="DW655" i="4"/>
  <c r="DW942" i="4"/>
  <c r="DW661" i="4"/>
  <c r="DW703" i="4" s="1"/>
  <c r="DX625" i="4"/>
  <c r="DX637" i="4"/>
  <c r="DX685" i="4" s="1"/>
  <c r="DS734" i="4"/>
  <c r="DS937" i="4"/>
  <c r="DS901" i="4"/>
  <c r="DS700" i="4"/>
  <c r="DV586" i="4"/>
  <c r="EB692" i="4"/>
  <c r="DV628" i="4"/>
  <c r="DU943" i="4"/>
  <c r="DU945" i="4" s="1"/>
  <c r="DU656" i="4"/>
  <c r="DU698" i="4" s="1"/>
  <c r="DU662" i="4"/>
  <c r="DU704" i="4" s="1"/>
  <c r="FA441" i="2" l="1"/>
  <c r="EY411" i="2"/>
  <c r="EY410" i="2"/>
  <c r="ET645" i="4"/>
  <c r="EX411" i="2"/>
  <c r="EW411" i="2" s="1"/>
  <c r="EX410" i="2"/>
  <c r="EW410" i="2" s="1"/>
  <c r="DX592" i="4"/>
  <c r="DX640" i="4" s="1"/>
  <c r="DZ687" i="4"/>
  <c r="DX657" i="4"/>
  <c r="DX699" i="4" s="1"/>
  <c r="DX663" i="4"/>
  <c r="DX705" i="4" s="1"/>
  <c r="DX944" i="4"/>
  <c r="DX950" i="4"/>
  <c r="DX741" i="4"/>
  <c r="DX787" i="4" s="1"/>
  <c r="DZ729" i="4"/>
  <c r="DY950" i="4"/>
  <c r="DY741" i="4"/>
  <c r="DY787" i="4" s="1"/>
  <c r="DX675" i="4"/>
  <c r="DX717" i="4" s="1"/>
  <c r="DX681" i="4"/>
  <c r="DX723" i="4" s="1"/>
  <c r="DZ669" i="4"/>
  <c r="DZ711" i="4" s="1"/>
  <c r="DY675" i="4"/>
  <c r="DY717" i="4" s="1"/>
  <c r="DY681" i="4"/>
  <c r="DY723" i="4" s="1"/>
  <c r="EA591" i="4"/>
  <c r="EA585" i="4" s="1"/>
  <c r="EB569" i="4"/>
  <c r="DZ627" i="4"/>
  <c r="DZ639" i="4"/>
  <c r="DY944" i="4"/>
  <c r="DY657" i="4"/>
  <c r="DY699" i="4" s="1"/>
  <c r="DY663" i="4"/>
  <c r="DY705" i="4" s="1"/>
  <c r="DZ585" i="4"/>
  <c r="DU706" i="4"/>
  <c r="DW739" i="4"/>
  <c r="DW785" i="4" s="1"/>
  <c r="DU951" i="4"/>
  <c r="DU676" i="4"/>
  <c r="DX673" i="4"/>
  <c r="DX679" i="4"/>
  <c r="DX721" i="4" s="1"/>
  <c r="DY625" i="4"/>
  <c r="DY637" i="4"/>
  <c r="DY685" i="4" s="1"/>
  <c r="DZ685" i="4" s="1"/>
  <c r="DW715" i="4"/>
  <c r="EA567" i="4"/>
  <c r="DZ568" i="4"/>
  <c r="DZ570" i="4" s="1"/>
  <c r="DY590" i="4"/>
  <c r="DZ590" i="4" s="1"/>
  <c r="DV697" i="4"/>
  <c r="DW740" i="4"/>
  <c r="DW786" i="4" s="1"/>
  <c r="DW949" i="4"/>
  <c r="DW951" i="4" s="1"/>
  <c r="DU658" i="4"/>
  <c r="EH652" i="4"/>
  <c r="DV674" i="4"/>
  <c r="DV716" i="4" s="1"/>
  <c r="DV680" i="4"/>
  <c r="DV722" i="4" s="1"/>
  <c r="EC816" i="4"/>
  <c r="ED810" i="4"/>
  <c r="EJ649" i="4"/>
  <c r="DS780" i="4"/>
  <c r="DS736" i="4"/>
  <c r="DS782" i="4" s="1"/>
  <c r="EJ693" i="4"/>
  <c r="DW632" i="4"/>
  <c r="DW620" i="4"/>
  <c r="DW586" i="4"/>
  <c r="EA818" i="4"/>
  <c r="EA813" i="4"/>
  <c r="EB812" i="4"/>
  <c r="DU734" i="4"/>
  <c r="EC692" i="4"/>
  <c r="DS939" i="4"/>
  <c r="DS903" i="4"/>
  <c r="DZ589" i="4"/>
  <c r="DZ583" i="4" s="1"/>
  <c r="DW697" i="4"/>
  <c r="DX620" i="4"/>
  <c r="DX622" i="4" s="1"/>
  <c r="DX664" i="4" s="1"/>
  <c r="DX632" i="4"/>
  <c r="DX634" i="4" s="1"/>
  <c r="DX682" i="4" s="1"/>
  <c r="DY570" i="4"/>
  <c r="EJ691" i="4"/>
  <c r="DV715" i="4"/>
  <c r="EL644" i="4"/>
  <c r="DV739" i="4"/>
  <c r="DV785" i="4" s="1"/>
  <c r="DV948" i="4"/>
  <c r="DV951" i="4" s="1"/>
  <c r="DV712" i="4"/>
  <c r="DX667" i="4"/>
  <c r="DX942" i="4"/>
  <c r="DX655" i="4"/>
  <c r="DX661" i="4"/>
  <c r="DX703" i="4" s="1"/>
  <c r="DY583" i="4"/>
  <c r="EB817" i="4"/>
  <c r="EC811" i="4"/>
  <c r="EC817" i="4" s="1"/>
  <c r="DU742" i="4"/>
  <c r="DU788" i="4" s="1"/>
  <c r="DV634" i="4"/>
  <c r="DV682" i="4" s="1"/>
  <c r="DU718" i="4"/>
  <c r="EK650" i="4"/>
  <c r="EJ651" i="4"/>
  <c r="DU724" i="4"/>
  <c r="DX727" i="4"/>
  <c r="DX638" i="4"/>
  <c r="DX686" i="4" s="1"/>
  <c r="DX626" i="4"/>
  <c r="DX668" i="4" s="1"/>
  <c r="DU733" i="4"/>
  <c r="DU700" i="4"/>
  <c r="DV943" i="4"/>
  <c r="DV945" i="4" s="1"/>
  <c r="DV656" i="4"/>
  <c r="DV698" i="4" s="1"/>
  <c r="DV662" i="4"/>
  <c r="DV704" i="4" s="1"/>
  <c r="DW712" i="4"/>
  <c r="DW742" i="4" s="1"/>
  <c r="DW788" i="4" s="1"/>
  <c r="FA411" i="2" l="1"/>
  <c r="EZ411" i="2" s="1"/>
  <c r="FA410" i="2"/>
  <c r="EZ410" i="2" s="1"/>
  <c r="EU645" i="4"/>
  <c r="DY735" i="4"/>
  <c r="EA633" i="4"/>
  <c r="EA621" i="4"/>
  <c r="EB591" i="4"/>
  <c r="EB585" i="4" s="1"/>
  <c r="EC569" i="4"/>
  <c r="DZ741" i="4"/>
  <c r="DZ787" i="4" s="1"/>
  <c r="DZ950" i="4"/>
  <c r="DZ621" i="4"/>
  <c r="DZ633" i="4"/>
  <c r="EA627" i="4"/>
  <c r="EA669" i="4" s="1"/>
  <c r="EA639" i="4"/>
  <c r="EA687" i="4" s="1"/>
  <c r="DX735" i="4"/>
  <c r="DY592" i="4"/>
  <c r="DY640" i="4" s="1"/>
  <c r="DX628" i="4"/>
  <c r="DV658" i="4"/>
  <c r="DV676" i="4"/>
  <c r="DZ626" i="4"/>
  <c r="DZ638" i="4"/>
  <c r="DX728" i="4"/>
  <c r="DX730" i="4" s="1"/>
  <c r="DZ631" i="4"/>
  <c r="DZ619" i="4"/>
  <c r="DV734" i="4"/>
  <c r="DV718" i="4"/>
  <c r="EK691" i="4"/>
  <c r="DV724" i="4"/>
  <c r="DU736" i="4"/>
  <c r="DX943" i="4"/>
  <c r="DX945" i="4" s="1"/>
  <c r="DX656" i="4"/>
  <c r="DX698" i="4" s="1"/>
  <c r="DX662" i="4"/>
  <c r="DX704" i="4" s="1"/>
  <c r="ED811" i="4"/>
  <c r="EE810" i="4"/>
  <c r="ED816" i="4"/>
  <c r="EK651" i="4"/>
  <c r="DX697" i="4"/>
  <c r="EM644" i="4"/>
  <c r="DW943" i="4"/>
  <c r="DW945" i="4" s="1"/>
  <c r="DW656" i="4"/>
  <c r="DW662" i="4"/>
  <c r="DW704" i="4" s="1"/>
  <c r="DW622" i="4"/>
  <c r="DW664" i="4" s="1"/>
  <c r="DY584" i="4"/>
  <c r="DY586" i="4" s="1"/>
  <c r="DX715" i="4"/>
  <c r="DW674" i="4"/>
  <c r="DW680" i="4"/>
  <c r="DW722" i="4" s="1"/>
  <c r="DW634" i="4"/>
  <c r="DW682" i="4" s="1"/>
  <c r="DX688" i="4"/>
  <c r="EL650" i="4"/>
  <c r="DV706" i="4"/>
  <c r="DX709" i="4"/>
  <c r="DX670" i="4"/>
  <c r="DW733" i="4"/>
  <c r="ED692" i="4"/>
  <c r="EC812" i="4"/>
  <c r="EC818" i="4" s="1"/>
  <c r="EB818" i="4"/>
  <c r="EK649" i="4"/>
  <c r="EA568" i="4"/>
  <c r="DZ584" i="4"/>
  <c r="DZ586" i="4" s="1"/>
  <c r="DY727" i="4"/>
  <c r="EK693" i="4"/>
  <c r="DY626" i="4"/>
  <c r="DY668" i="4" s="1"/>
  <c r="DY710" i="4" s="1"/>
  <c r="DY638" i="4"/>
  <c r="DY686" i="4" s="1"/>
  <c r="DY728" i="4" s="1"/>
  <c r="DX710" i="4"/>
  <c r="DY631" i="4"/>
  <c r="DY619" i="4"/>
  <c r="DV742" i="4"/>
  <c r="DV788" i="4" s="1"/>
  <c r="DX674" i="4"/>
  <c r="DX716" i="4" s="1"/>
  <c r="DX680" i="4"/>
  <c r="DX722" i="4" s="1"/>
  <c r="DZ637" i="4"/>
  <c r="DZ592" i="4"/>
  <c r="DZ640" i="4" s="1"/>
  <c r="DZ625" i="4"/>
  <c r="EB813" i="4"/>
  <c r="EA819" i="4"/>
  <c r="EI652" i="4"/>
  <c r="DV733" i="4"/>
  <c r="DV700" i="4"/>
  <c r="EA589" i="4"/>
  <c r="EB567" i="4"/>
  <c r="DY667" i="4"/>
  <c r="EC591" i="4" l="1"/>
  <c r="EC627" i="4" s="1"/>
  <c r="EV645" i="4"/>
  <c r="EA711" i="4"/>
  <c r="EA944" i="4"/>
  <c r="EA663" i="4"/>
  <c r="EA705" i="4" s="1"/>
  <c r="EA657" i="4"/>
  <c r="EA699" i="4" s="1"/>
  <c r="DZ675" i="4"/>
  <c r="DZ717" i="4" s="1"/>
  <c r="DZ681" i="4"/>
  <c r="DZ723" i="4" s="1"/>
  <c r="EB621" i="4"/>
  <c r="EB633" i="4"/>
  <c r="EA675" i="4"/>
  <c r="EA717" i="4" s="1"/>
  <c r="EA681" i="4"/>
  <c r="EA723" i="4" s="1"/>
  <c r="EC639" i="4"/>
  <c r="DZ944" i="4"/>
  <c r="DZ657" i="4"/>
  <c r="DZ699" i="4" s="1"/>
  <c r="DZ663" i="4"/>
  <c r="DZ705" i="4" s="1"/>
  <c r="ED569" i="4"/>
  <c r="EA729" i="4"/>
  <c r="EB627" i="4"/>
  <c r="EB669" i="4" s="1"/>
  <c r="EB711" i="4" s="1"/>
  <c r="EB639" i="4"/>
  <c r="EB687" i="4" s="1"/>
  <c r="EB729" i="4" s="1"/>
  <c r="DX676" i="4"/>
  <c r="DX724" i="4"/>
  <c r="EB568" i="4"/>
  <c r="EB570" i="4" s="1"/>
  <c r="EA590" i="4"/>
  <c r="ED812" i="4"/>
  <c r="EE811" i="4"/>
  <c r="ED817" i="4"/>
  <c r="DZ728" i="4"/>
  <c r="EA625" i="4"/>
  <c r="EA637" i="4"/>
  <c r="EA685" i="4" s="1"/>
  <c r="DY949" i="4"/>
  <c r="DY740" i="4"/>
  <c r="DY786" i="4" s="1"/>
  <c r="EL693" i="4"/>
  <c r="DX739" i="4"/>
  <c r="DX785" i="4" s="1"/>
  <c r="DX712" i="4"/>
  <c r="DX948" i="4"/>
  <c r="DZ686" i="4"/>
  <c r="DZ688" i="4" s="1"/>
  <c r="EB589" i="4"/>
  <c r="EC567" i="4"/>
  <c r="DX949" i="4"/>
  <c r="DX740" i="4"/>
  <c r="DX786" i="4" s="1"/>
  <c r="EM650" i="4"/>
  <c r="DZ673" i="4"/>
  <c r="DZ679" i="4"/>
  <c r="DZ721" i="4" s="1"/>
  <c r="EA570" i="4"/>
  <c r="DV736" i="4"/>
  <c r="EL649" i="4"/>
  <c r="DW724" i="4"/>
  <c r="EN644" i="4"/>
  <c r="DX734" i="4"/>
  <c r="EL691" i="4"/>
  <c r="DY730" i="4"/>
  <c r="DZ730" i="4" s="1"/>
  <c r="DY628" i="4"/>
  <c r="EJ652" i="4"/>
  <c r="EB819" i="4"/>
  <c r="EC813" i="4"/>
  <c r="EC819" i="4" s="1"/>
  <c r="DY673" i="4"/>
  <c r="DY679" i="4"/>
  <c r="DY721" i="4" s="1"/>
  <c r="DY688" i="4"/>
  <c r="DY620" i="4"/>
  <c r="DY622" i="4" s="1"/>
  <c r="DY664" i="4" s="1"/>
  <c r="DY632" i="4"/>
  <c r="DW706" i="4"/>
  <c r="DX658" i="4"/>
  <c r="DY655" i="4"/>
  <c r="DY942" i="4"/>
  <c r="DY661" i="4"/>
  <c r="DY703" i="4" s="1"/>
  <c r="DW716" i="4"/>
  <c r="DW676" i="4"/>
  <c r="EL651" i="4"/>
  <c r="DY709" i="4"/>
  <c r="DY670" i="4"/>
  <c r="DZ670" i="4" s="1"/>
  <c r="EA583" i="4"/>
  <c r="DZ628" i="4"/>
  <c r="DZ668" i="4"/>
  <c r="DZ710" i="4" s="1"/>
  <c r="DZ632" i="4"/>
  <c r="DZ634" i="4" s="1"/>
  <c r="DZ682" i="4" s="1"/>
  <c r="DZ620" i="4"/>
  <c r="EE692" i="4"/>
  <c r="DZ667" i="4"/>
  <c r="DZ709" i="4" s="1"/>
  <c r="DX718" i="4"/>
  <c r="DW698" i="4"/>
  <c r="DW658" i="4"/>
  <c r="DX733" i="4"/>
  <c r="DX700" i="4"/>
  <c r="DZ727" i="4"/>
  <c r="EF810" i="4"/>
  <c r="EE816" i="4"/>
  <c r="DZ942" i="4"/>
  <c r="DZ655" i="4"/>
  <c r="DZ661" i="4"/>
  <c r="DZ703" i="4" s="1"/>
  <c r="DX706" i="4"/>
  <c r="EC585" i="4" l="1"/>
  <c r="EC621" i="4" s="1"/>
  <c r="EW645" i="4"/>
  <c r="EC729" i="4"/>
  <c r="EC687" i="4"/>
  <c r="EB657" i="4"/>
  <c r="EB699" i="4" s="1"/>
  <c r="EB663" i="4"/>
  <c r="EB705" i="4" s="1"/>
  <c r="EB944" i="4"/>
  <c r="DZ735" i="4"/>
  <c r="EC633" i="4"/>
  <c r="EC669" i="4"/>
  <c r="EC711" i="4" s="1"/>
  <c r="EB950" i="4"/>
  <c r="EB741" i="4"/>
  <c r="EB787" i="4" s="1"/>
  <c r="EE569" i="4"/>
  <c r="ED591" i="4"/>
  <c r="EB681" i="4"/>
  <c r="EB723" i="4" s="1"/>
  <c r="EB675" i="4"/>
  <c r="EB717" i="4" s="1"/>
  <c r="EA735" i="4"/>
  <c r="EA950" i="4"/>
  <c r="EA741" i="4"/>
  <c r="EA787" i="4" s="1"/>
  <c r="DX736" i="4"/>
  <c r="DY697" i="4"/>
  <c r="ED567" i="4"/>
  <c r="EF811" i="4"/>
  <c r="EF817" i="4" s="1"/>
  <c r="EE817" i="4"/>
  <c r="EG810" i="4"/>
  <c r="EF816" i="4"/>
  <c r="EF692" i="4"/>
  <c r="DZ656" i="4"/>
  <c r="DZ698" i="4" s="1"/>
  <c r="DZ943" i="4"/>
  <c r="DZ945" i="4" s="1"/>
  <c r="DZ662" i="4"/>
  <c r="DZ704" i="4" s="1"/>
  <c r="EA631" i="4"/>
  <c r="EA619" i="4"/>
  <c r="DY674" i="4"/>
  <c r="DY716" i="4" s="1"/>
  <c r="DY680" i="4"/>
  <c r="DY722" i="4" s="1"/>
  <c r="EK652" i="4"/>
  <c r="EB625" i="4"/>
  <c r="EB637" i="4"/>
  <c r="EB685" i="4" s="1"/>
  <c r="EC589" i="4"/>
  <c r="EC583" i="4" s="1"/>
  <c r="ED813" i="4"/>
  <c r="EE812" i="4"/>
  <c r="ED818" i="4"/>
  <c r="DZ697" i="4"/>
  <c r="DW734" i="4"/>
  <c r="DW700" i="4"/>
  <c r="DZ674" i="4"/>
  <c r="DZ716" i="4" s="1"/>
  <c r="DZ680" i="4"/>
  <c r="DZ722" i="4" s="1"/>
  <c r="DW718" i="4"/>
  <c r="DY943" i="4"/>
  <c r="DY945" i="4" s="1"/>
  <c r="DY656" i="4"/>
  <c r="DY698" i="4" s="1"/>
  <c r="DY662" i="4"/>
  <c r="DY704" i="4" s="1"/>
  <c r="DY715" i="4"/>
  <c r="EM691" i="4"/>
  <c r="EO644" i="4"/>
  <c r="EM649" i="4"/>
  <c r="EA727" i="4"/>
  <c r="EA638" i="4"/>
  <c r="EA686" i="4" s="1"/>
  <c r="EA626" i="4"/>
  <c r="EA668" i="4" s="1"/>
  <c r="DZ949" i="4"/>
  <c r="DZ740" i="4"/>
  <c r="DZ786" i="4" s="1"/>
  <c r="EN650" i="4"/>
  <c r="DY712" i="4"/>
  <c r="DY739" i="4"/>
  <c r="DY785" i="4" s="1"/>
  <c r="DY948" i="4"/>
  <c r="DY951" i="4" s="1"/>
  <c r="DY634" i="4"/>
  <c r="DY682" i="4" s="1"/>
  <c r="DX951" i="4"/>
  <c r="EA667" i="4"/>
  <c r="EB590" i="4"/>
  <c r="EB584" i="4" s="1"/>
  <c r="EC568" i="4"/>
  <c r="DZ712" i="4"/>
  <c r="DZ742" i="4" s="1"/>
  <c r="DZ788" i="4" s="1"/>
  <c r="DZ739" i="4"/>
  <c r="DZ785" i="4" s="1"/>
  <c r="DZ948" i="4"/>
  <c r="DZ715" i="4"/>
  <c r="EM693" i="4"/>
  <c r="DZ622" i="4"/>
  <c r="DZ664" i="4" s="1"/>
  <c r="EM651" i="4"/>
  <c r="EB583" i="4"/>
  <c r="DX742" i="4"/>
  <c r="DX788" i="4" s="1"/>
  <c r="EA592" i="4"/>
  <c r="EA640" i="4" s="1"/>
  <c r="EA584" i="4"/>
  <c r="DY676" i="4" l="1"/>
  <c r="EX645" i="4"/>
  <c r="EY645" i="4" s="1"/>
  <c r="DY724" i="4"/>
  <c r="DZ676" i="4"/>
  <c r="EA628" i="4"/>
  <c r="EE591" i="4"/>
  <c r="EF591" i="4" s="1"/>
  <c r="EF569" i="4"/>
  <c r="EC663" i="4"/>
  <c r="EC705" i="4" s="1"/>
  <c r="EC657" i="4"/>
  <c r="EC699" i="4" s="1"/>
  <c r="EC944" i="4"/>
  <c r="EC675" i="4"/>
  <c r="EC717" i="4" s="1"/>
  <c r="EC681" i="4"/>
  <c r="EC723" i="4" s="1"/>
  <c r="EB735" i="4"/>
  <c r="ED585" i="4"/>
  <c r="ED627" i="4"/>
  <c r="ED669" i="4" s="1"/>
  <c r="ED639" i="4"/>
  <c r="ED687" i="4" s="1"/>
  <c r="EC950" i="4"/>
  <c r="EC741" i="4"/>
  <c r="EC787" i="4" s="1"/>
  <c r="DZ706" i="4"/>
  <c r="DZ951" i="4"/>
  <c r="DY706" i="4"/>
  <c r="DY658" i="4"/>
  <c r="EA620" i="4"/>
  <c r="EA632" i="4"/>
  <c r="EA634" i="4" s="1"/>
  <c r="EA682" i="4" s="1"/>
  <c r="EB632" i="4"/>
  <c r="EB620" i="4"/>
  <c r="EO650" i="4"/>
  <c r="EP644" i="4"/>
  <c r="EB727" i="4"/>
  <c r="EC727" i="4" s="1"/>
  <c r="EN651" i="4"/>
  <c r="EN693" i="4"/>
  <c r="DZ718" i="4"/>
  <c r="ED568" i="4"/>
  <c r="ED570" i="4" s="1"/>
  <c r="DZ658" i="4"/>
  <c r="EB667" i="4"/>
  <c r="EC667" i="4" s="1"/>
  <c r="EC709" i="4" s="1"/>
  <c r="EA942" i="4"/>
  <c r="EA655" i="4"/>
  <c r="EA661" i="4"/>
  <c r="EA703" i="4" s="1"/>
  <c r="EG816" i="4"/>
  <c r="EG811" i="4"/>
  <c r="EH810" i="4"/>
  <c r="DY733" i="4"/>
  <c r="DY700" i="4"/>
  <c r="DZ700" i="4"/>
  <c r="DZ733" i="4"/>
  <c r="EB631" i="4"/>
  <c r="EB619" i="4"/>
  <c r="EB586" i="4"/>
  <c r="EB638" i="4"/>
  <c r="EB686" i="4" s="1"/>
  <c r="EB728" i="4" s="1"/>
  <c r="EB626" i="4"/>
  <c r="EB668" i="4" s="1"/>
  <c r="EB710" i="4" s="1"/>
  <c r="DY734" i="4"/>
  <c r="EB592" i="4"/>
  <c r="EB640" i="4" s="1"/>
  <c r="EL652" i="4"/>
  <c r="EA586" i="4"/>
  <c r="EA710" i="4"/>
  <c r="EC685" i="4"/>
  <c r="EE818" i="4"/>
  <c r="EF812" i="4"/>
  <c r="EF818" i="4" s="1"/>
  <c r="EA673" i="4"/>
  <c r="EA679" i="4"/>
  <c r="EA721" i="4" s="1"/>
  <c r="EG692" i="4"/>
  <c r="DZ734" i="4"/>
  <c r="EC619" i="4"/>
  <c r="EC631" i="4"/>
  <c r="EA709" i="4"/>
  <c r="EA670" i="4"/>
  <c r="DY742" i="4"/>
  <c r="DY788" i="4" s="1"/>
  <c r="EA728" i="4"/>
  <c r="EA730" i="4" s="1"/>
  <c r="EA688" i="4"/>
  <c r="EN649" i="4"/>
  <c r="EN691" i="4"/>
  <c r="EE813" i="4"/>
  <c r="ED819" i="4"/>
  <c r="EC570" i="4"/>
  <c r="DZ724" i="4"/>
  <c r="EC590" i="4"/>
  <c r="EC592" i="4" s="1"/>
  <c r="EC640" i="4" s="1"/>
  <c r="DY718" i="4"/>
  <c r="DW736" i="4"/>
  <c r="EC625" i="4"/>
  <c r="EC637" i="4"/>
  <c r="EE567" i="4"/>
  <c r="ED589" i="4"/>
  <c r="ED583" i="4" s="1"/>
  <c r="EZ645" i="4" l="1"/>
  <c r="EC668" i="4"/>
  <c r="EC710" i="4" s="1"/>
  <c r="EC712" i="4" s="1"/>
  <c r="EC686" i="4"/>
  <c r="EC688" i="4" s="1"/>
  <c r="EB688" i="4"/>
  <c r="ED729" i="4"/>
  <c r="EC735" i="4"/>
  <c r="ED711" i="4"/>
  <c r="ED621" i="4"/>
  <c r="ED633" i="4"/>
  <c r="EG569" i="4"/>
  <c r="EF585" i="4"/>
  <c r="EF639" i="4"/>
  <c r="EF627" i="4"/>
  <c r="EE585" i="4"/>
  <c r="EE639" i="4"/>
  <c r="EE687" i="4" s="1"/>
  <c r="EE729" i="4" s="1"/>
  <c r="EE627" i="4"/>
  <c r="EE669" i="4" s="1"/>
  <c r="EE711" i="4" s="1"/>
  <c r="EA697" i="4"/>
  <c r="EA715" i="4"/>
  <c r="EG812" i="4"/>
  <c r="EH811" i="4"/>
  <c r="EG817" i="4"/>
  <c r="EB628" i="4"/>
  <c r="EO651" i="4"/>
  <c r="EQ644" i="4"/>
  <c r="EA674" i="4"/>
  <c r="EA716" i="4" s="1"/>
  <c r="EA680" i="4"/>
  <c r="EA722" i="4" s="1"/>
  <c r="EB740" i="4"/>
  <c r="EB786" i="4" s="1"/>
  <c r="EB949" i="4"/>
  <c r="EB674" i="4"/>
  <c r="EB716" i="4" s="1"/>
  <c r="EB680" i="4"/>
  <c r="EB722" i="4" s="1"/>
  <c r="EE819" i="4"/>
  <c r="EF813" i="4"/>
  <c r="EF819" i="4" s="1"/>
  <c r="EC948" i="4"/>
  <c r="EC739" i="4"/>
  <c r="EC785" i="4" s="1"/>
  <c r="EH692" i="4"/>
  <c r="DY736" i="4"/>
  <c r="EB709" i="4"/>
  <c r="EB670" i="4"/>
  <c r="EC670" i="4" s="1"/>
  <c r="EO693" i="4"/>
  <c r="EA943" i="4"/>
  <c r="EA945" i="4" s="1"/>
  <c r="EA656" i="4"/>
  <c r="EA698" i="4" s="1"/>
  <c r="EA662" i="4"/>
  <c r="EA704" i="4" s="1"/>
  <c r="EF567" i="4"/>
  <c r="EE589" i="4"/>
  <c r="EF589" i="4" s="1"/>
  <c r="EB656" i="4"/>
  <c r="EB698" i="4" s="1"/>
  <c r="EB943" i="4"/>
  <c r="EB662" i="4"/>
  <c r="EB704" i="4" s="1"/>
  <c r="EC728" i="4"/>
  <c r="EC655" i="4"/>
  <c r="EC942" i="4"/>
  <c r="EC661" i="4"/>
  <c r="EC703" i="4" s="1"/>
  <c r="EI810" i="4"/>
  <c r="EH816" i="4"/>
  <c r="ED631" i="4"/>
  <c r="ED619" i="4"/>
  <c r="EA739" i="4"/>
  <c r="EA785" i="4" s="1"/>
  <c r="EA712" i="4"/>
  <c r="EA948" i="4"/>
  <c r="EM652" i="4"/>
  <c r="EB942" i="4"/>
  <c r="EB655" i="4"/>
  <c r="EB622" i="4"/>
  <c r="EB664" i="4" s="1"/>
  <c r="EB661" i="4"/>
  <c r="EB703" i="4" s="1"/>
  <c r="DZ736" i="4"/>
  <c r="ED590" i="4"/>
  <c r="EE568" i="4"/>
  <c r="EE570" i="4" s="1"/>
  <c r="EP650" i="4"/>
  <c r="ED625" i="4"/>
  <c r="ED637" i="4"/>
  <c r="ED685" i="4" s="1"/>
  <c r="EC638" i="4"/>
  <c r="EC626" i="4"/>
  <c r="EC628" i="4" s="1"/>
  <c r="EO691" i="4"/>
  <c r="EO649" i="4"/>
  <c r="EC673" i="4"/>
  <c r="EC679" i="4"/>
  <c r="EC721" i="4" s="1"/>
  <c r="EA740" i="4"/>
  <c r="EA786" i="4" s="1"/>
  <c r="EA949" i="4"/>
  <c r="EB634" i="4"/>
  <c r="EB682" i="4" s="1"/>
  <c r="EB673" i="4"/>
  <c r="EB679" i="4"/>
  <c r="EB721" i="4" s="1"/>
  <c r="EA622" i="4"/>
  <c r="EA664" i="4" s="1"/>
  <c r="EC584" i="4"/>
  <c r="EB730" i="4"/>
  <c r="EC730" i="4" s="1"/>
  <c r="FA645" i="4" l="1"/>
  <c r="EA724" i="4"/>
  <c r="ED675" i="4"/>
  <c r="ED717" i="4" s="1"/>
  <c r="ED681" i="4"/>
  <c r="ED723" i="4" s="1"/>
  <c r="EE950" i="4"/>
  <c r="EE741" i="4"/>
  <c r="EE787" i="4" s="1"/>
  <c r="ED663" i="4"/>
  <c r="ED705" i="4" s="1"/>
  <c r="ED944" i="4"/>
  <c r="ED657" i="4"/>
  <c r="ED699" i="4" s="1"/>
  <c r="EF633" i="4"/>
  <c r="EF621" i="4"/>
  <c r="EF669" i="4"/>
  <c r="EF711" i="4" s="1"/>
  <c r="EF687" i="4"/>
  <c r="EE633" i="4"/>
  <c r="EE621" i="4"/>
  <c r="EH569" i="4"/>
  <c r="EG591" i="4"/>
  <c r="EG585" i="4" s="1"/>
  <c r="ED741" i="4"/>
  <c r="ED787" i="4" s="1"/>
  <c r="ED950" i="4"/>
  <c r="EF729" i="4"/>
  <c r="EC740" i="4"/>
  <c r="EC786" i="4" s="1"/>
  <c r="EC949" i="4"/>
  <c r="EC951" i="4" s="1"/>
  <c r="EA951" i="4"/>
  <c r="EA706" i="4"/>
  <c r="EB945" i="4"/>
  <c r="EF625" i="4"/>
  <c r="EF637" i="4"/>
  <c r="ED727" i="4"/>
  <c r="ED638" i="4"/>
  <c r="ED686" i="4" s="1"/>
  <c r="ED626" i="4"/>
  <c r="ED668" i="4" s="1"/>
  <c r="EC697" i="4"/>
  <c r="EP649" i="4"/>
  <c r="EQ650" i="4"/>
  <c r="EB706" i="4"/>
  <c r="ER644" i="4"/>
  <c r="ES644" i="4" s="1"/>
  <c r="ED667" i="4"/>
  <c r="EP693" i="4"/>
  <c r="EI692" i="4"/>
  <c r="EA718" i="4"/>
  <c r="EC620" i="4"/>
  <c r="EC632" i="4"/>
  <c r="EC586" i="4"/>
  <c r="EC715" i="4"/>
  <c r="ED592" i="4"/>
  <c r="ED640" i="4" s="1"/>
  <c r="EB697" i="4"/>
  <c r="EB658" i="4"/>
  <c r="EC742" i="4"/>
  <c r="EC788" i="4" s="1"/>
  <c r="EA676" i="4"/>
  <c r="EA742" i="4"/>
  <c r="EA788" i="4" s="1"/>
  <c r="EB724" i="4"/>
  <c r="EE590" i="4"/>
  <c r="EF568" i="4"/>
  <c r="EF570" i="4" s="1"/>
  <c r="ED942" i="4"/>
  <c r="ED655" i="4"/>
  <c r="ED661" i="4"/>
  <c r="ED703" i="4" s="1"/>
  <c r="EA734" i="4"/>
  <c r="EB739" i="4"/>
  <c r="EB785" i="4" s="1"/>
  <c r="EB712" i="4"/>
  <c r="EB948" i="4"/>
  <c r="EB951" i="4" s="1"/>
  <c r="EP651" i="4"/>
  <c r="EI811" i="4"/>
  <c r="EI817" i="4" s="1"/>
  <c r="EH817" i="4"/>
  <c r="EA658" i="4"/>
  <c r="EB734" i="4"/>
  <c r="EE625" i="4"/>
  <c r="EE637" i="4"/>
  <c r="EE685" i="4" s="1"/>
  <c r="EF685" i="4" s="1"/>
  <c r="EN652" i="4"/>
  <c r="EF583" i="4"/>
  <c r="EG567" i="4"/>
  <c r="EB676" i="4"/>
  <c r="EB715" i="4"/>
  <c r="EP691" i="4"/>
  <c r="ED584" i="4"/>
  <c r="ED673" i="4"/>
  <c r="ED679" i="4"/>
  <c r="ED721" i="4" s="1"/>
  <c r="EI816" i="4"/>
  <c r="EJ810" i="4"/>
  <c r="EE583" i="4"/>
  <c r="EG813" i="4"/>
  <c r="EH812" i="4"/>
  <c r="EG818" i="4"/>
  <c r="EA733" i="4"/>
  <c r="EA700" i="4"/>
  <c r="ET644" i="4" l="1"/>
  <c r="EG633" i="4"/>
  <c r="EG621" i="4"/>
  <c r="EE675" i="4"/>
  <c r="EE717" i="4" s="1"/>
  <c r="EE681" i="4"/>
  <c r="EE723" i="4" s="1"/>
  <c r="EF675" i="4"/>
  <c r="EF717" i="4" s="1"/>
  <c r="EF681" i="4"/>
  <c r="EF723" i="4" s="1"/>
  <c r="EG627" i="4"/>
  <c r="EG669" i="4" s="1"/>
  <c r="EG639" i="4"/>
  <c r="EG687" i="4" s="1"/>
  <c r="ED735" i="4"/>
  <c r="EH591" i="4"/>
  <c r="EI569" i="4"/>
  <c r="EF741" i="4"/>
  <c r="EF787" i="4" s="1"/>
  <c r="EF950" i="4"/>
  <c r="EE663" i="4"/>
  <c r="EE705" i="4" s="1"/>
  <c r="EE944" i="4"/>
  <c r="EE657" i="4"/>
  <c r="EE699" i="4" s="1"/>
  <c r="EF944" i="4"/>
  <c r="EF657" i="4"/>
  <c r="EF699" i="4" s="1"/>
  <c r="EF663" i="4"/>
  <c r="EF705" i="4" s="1"/>
  <c r="ED628" i="4"/>
  <c r="EE638" i="4"/>
  <c r="EE686" i="4" s="1"/>
  <c r="EE728" i="4" s="1"/>
  <c r="EE626" i="4"/>
  <c r="EE668" i="4" s="1"/>
  <c r="EE710" i="4" s="1"/>
  <c r="EH567" i="4"/>
  <c r="EG589" i="4"/>
  <c r="EG583" i="4" s="1"/>
  <c r="ED709" i="4"/>
  <c r="ED670" i="4"/>
  <c r="ED728" i="4"/>
  <c r="ED730" i="4" s="1"/>
  <c r="EC656" i="4"/>
  <c r="EC943" i="4"/>
  <c r="EC945" i="4" s="1"/>
  <c r="EC662" i="4"/>
  <c r="EC704" i="4" s="1"/>
  <c r="EC622" i="4"/>
  <c r="EC664" i="4" s="1"/>
  <c r="ER650" i="4"/>
  <c r="ES650" i="4" s="1"/>
  <c r="EH813" i="4"/>
  <c r="EG819" i="4"/>
  <c r="EB718" i="4"/>
  <c r="EE592" i="4"/>
  <c r="EE640" i="4" s="1"/>
  <c r="EQ651" i="4"/>
  <c r="EQ693" i="4"/>
  <c r="EC733" i="4"/>
  <c r="EE631" i="4"/>
  <c r="EE619" i="4"/>
  <c r="EC674" i="4"/>
  <c r="EC680" i="4"/>
  <c r="EC722" i="4" s="1"/>
  <c r="EC634" i="4"/>
  <c r="EC682" i="4" s="1"/>
  <c r="EF631" i="4"/>
  <c r="EF619" i="4"/>
  <c r="EA736" i="4"/>
  <c r="ED632" i="4"/>
  <c r="ED620" i="4"/>
  <c r="ED586" i="4"/>
  <c r="EE727" i="4"/>
  <c r="EE584" i="4"/>
  <c r="EE586" i="4" s="1"/>
  <c r="EF590" i="4"/>
  <c r="EF584" i="4" s="1"/>
  <c r="EF586" i="4" s="1"/>
  <c r="ED715" i="4"/>
  <c r="EQ691" i="4"/>
  <c r="EO652" i="4"/>
  <c r="EE667" i="4"/>
  <c r="EF667" i="4" s="1"/>
  <c r="EF709" i="4" s="1"/>
  <c r="ED697" i="4"/>
  <c r="EG568" i="4"/>
  <c r="EB733" i="4"/>
  <c r="EB700" i="4"/>
  <c r="ED710" i="4"/>
  <c r="EH818" i="4"/>
  <c r="EI812" i="4"/>
  <c r="EI818" i="4" s="1"/>
  <c r="EJ811" i="4"/>
  <c r="EJ816" i="4"/>
  <c r="EK810" i="4"/>
  <c r="EB742" i="4"/>
  <c r="EB788" i="4" s="1"/>
  <c r="EJ692" i="4"/>
  <c r="EQ649" i="4"/>
  <c r="ED688" i="4"/>
  <c r="ET650" i="4" l="1"/>
  <c r="EU644" i="4"/>
  <c r="EE730" i="4"/>
  <c r="EF730" i="4" s="1"/>
  <c r="EE688" i="4"/>
  <c r="EF668" i="4"/>
  <c r="EF710" i="4" s="1"/>
  <c r="EF712" i="4" s="1"/>
  <c r="EE628" i="4"/>
  <c r="EE735" i="4"/>
  <c r="EH639" i="4"/>
  <c r="EH687" i="4" s="1"/>
  <c r="EH729" i="4" s="1"/>
  <c r="EH627" i="4"/>
  <c r="EH669" i="4" s="1"/>
  <c r="EH711" i="4" s="1"/>
  <c r="EG729" i="4"/>
  <c r="EG711" i="4"/>
  <c r="EF735" i="4"/>
  <c r="EH585" i="4"/>
  <c r="EG657" i="4"/>
  <c r="EG699" i="4" s="1"/>
  <c r="EG944" i="4"/>
  <c r="EG663" i="4"/>
  <c r="EG705" i="4" s="1"/>
  <c r="EJ569" i="4"/>
  <c r="EI591" i="4"/>
  <c r="EG675" i="4"/>
  <c r="EG717" i="4" s="1"/>
  <c r="EG681" i="4"/>
  <c r="EG723" i="4" s="1"/>
  <c r="EF727" i="4"/>
  <c r="EF739" i="4" s="1"/>
  <c r="EF785" i="4" s="1"/>
  <c r="EF686" i="4"/>
  <c r="EF688" i="4" s="1"/>
  <c r="ED733" i="4"/>
  <c r="EP652" i="4"/>
  <c r="ED943" i="4"/>
  <c r="ED945" i="4" s="1"/>
  <c r="ED656" i="4"/>
  <c r="ED662" i="4"/>
  <c r="ED704" i="4" s="1"/>
  <c r="ED622" i="4"/>
  <c r="ED664" i="4" s="1"/>
  <c r="ER693" i="4"/>
  <c r="ES693" i="4" s="1"/>
  <c r="EI813" i="4"/>
  <c r="EI819" i="4" s="1"/>
  <c r="EH819" i="4"/>
  <c r="EC706" i="4"/>
  <c r="EL810" i="4"/>
  <c r="EK816" i="4"/>
  <c r="ED949" i="4"/>
  <c r="ED740" i="4"/>
  <c r="ED786" i="4" s="1"/>
  <c r="EB736" i="4"/>
  <c r="ED674" i="4"/>
  <c r="ED680" i="4"/>
  <c r="ED722" i="4" s="1"/>
  <c r="ED634" i="4"/>
  <c r="ED682" i="4" s="1"/>
  <c r="EC724" i="4"/>
  <c r="EE655" i="4"/>
  <c r="EE942" i="4"/>
  <c r="EE661" i="4"/>
  <c r="EE703" i="4" s="1"/>
  <c r="ER651" i="4"/>
  <c r="ES651" i="4" s="1"/>
  <c r="EF728" i="4"/>
  <c r="EG637" i="4"/>
  <c r="EG685" i="4" s="1"/>
  <c r="EG625" i="4"/>
  <c r="ER649" i="4"/>
  <c r="ES649" i="4" s="1"/>
  <c r="EC716" i="4"/>
  <c r="EC676" i="4"/>
  <c r="EC698" i="4"/>
  <c r="EC658" i="4"/>
  <c r="EH589" i="4"/>
  <c r="EH583" i="4" s="1"/>
  <c r="EI567" i="4"/>
  <c r="EK692" i="4"/>
  <c r="EK811" i="4"/>
  <c r="EJ817" i="4"/>
  <c r="EJ812" i="4"/>
  <c r="EG590" i="4"/>
  <c r="EG584" i="4" s="1"/>
  <c r="EG586" i="4" s="1"/>
  <c r="EH568" i="4"/>
  <c r="EE709" i="4"/>
  <c r="EE670" i="4"/>
  <c r="EF670" i="4" s="1"/>
  <c r="EF942" i="4"/>
  <c r="EF655" i="4"/>
  <c r="EF661" i="4"/>
  <c r="EF703" i="4" s="1"/>
  <c r="EE673" i="4"/>
  <c r="EE679" i="4"/>
  <c r="EE721" i="4" s="1"/>
  <c r="EG631" i="4"/>
  <c r="EG619" i="4"/>
  <c r="EE740" i="4"/>
  <c r="EE786" i="4" s="1"/>
  <c r="EE949" i="4"/>
  <c r="EF632" i="4"/>
  <c r="EF634" i="4" s="1"/>
  <c r="EF682" i="4" s="1"/>
  <c r="EF620" i="4"/>
  <c r="ER691" i="4"/>
  <c r="ES691" i="4" s="1"/>
  <c r="EF626" i="4"/>
  <c r="EF628" i="4" s="1"/>
  <c r="EF638" i="4"/>
  <c r="EF592" i="4"/>
  <c r="EF640" i="4" s="1"/>
  <c r="EE632" i="4"/>
  <c r="EE620" i="4"/>
  <c r="EE622" i="4" s="1"/>
  <c r="EE664" i="4" s="1"/>
  <c r="EF673" i="4"/>
  <c r="EF679" i="4"/>
  <c r="EF721" i="4" s="1"/>
  <c r="ED948" i="4"/>
  <c r="ED712" i="4"/>
  <c r="ED739" i="4"/>
  <c r="ED785" i="4" s="1"/>
  <c r="EG570" i="4"/>
  <c r="EV644" i="4" l="1"/>
  <c r="ET649" i="4"/>
  <c r="ET651" i="4"/>
  <c r="ET691" i="4"/>
  <c r="ET693" i="4"/>
  <c r="EU693" i="4" s="1"/>
  <c r="EV693" i="4" s="1"/>
  <c r="EU650" i="4"/>
  <c r="EI669" i="4"/>
  <c r="EI711" i="4" s="1"/>
  <c r="EI687" i="4"/>
  <c r="EI729" i="4"/>
  <c r="EJ591" i="4"/>
  <c r="EK569" i="4"/>
  <c r="EH950" i="4"/>
  <c r="EH741" i="4"/>
  <c r="EH787" i="4" s="1"/>
  <c r="EH633" i="4"/>
  <c r="EH621" i="4"/>
  <c r="EG950" i="4"/>
  <c r="EG741" i="4"/>
  <c r="EG787" i="4" s="1"/>
  <c r="EG735" i="4"/>
  <c r="EI639" i="4"/>
  <c r="EI627" i="4"/>
  <c r="EI585" i="4"/>
  <c r="EF742" i="4"/>
  <c r="EF788" i="4" s="1"/>
  <c r="EF948" i="4"/>
  <c r="EF740" i="4"/>
  <c r="EF786" i="4" s="1"/>
  <c r="EF949" i="4"/>
  <c r="EI589" i="4"/>
  <c r="EI625" i="4" s="1"/>
  <c r="EH631" i="4"/>
  <c r="EH619" i="4"/>
  <c r="EF715" i="4"/>
  <c r="EE674" i="4"/>
  <c r="EE716" i="4" s="1"/>
  <c r="EE680" i="4"/>
  <c r="EE722" i="4" s="1"/>
  <c r="EE634" i="4"/>
  <c r="EE682" i="4" s="1"/>
  <c r="EG626" i="4"/>
  <c r="EG668" i="4" s="1"/>
  <c r="EG638" i="4"/>
  <c r="EG686" i="4" s="1"/>
  <c r="EG688" i="4" s="1"/>
  <c r="EL811" i="4"/>
  <c r="EL817" i="4" s="1"/>
  <c r="EK817" i="4"/>
  <c r="EG727" i="4"/>
  <c r="EL816" i="4"/>
  <c r="EM810" i="4"/>
  <c r="EQ652" i="4"/>
  <c r="EL692" i="4"/>
  <c r="EE697" i="4"/>
  <c r="EF697" i="4"/>
  <c r="EF943" i="4"/>
  <c r="EF945" i="4" s="1"/>
  <c r="EF656" i="4"/>
  <c r="EF698" i="4" s="1"/>
  <c r="EF662" i="4"/>
  <c r="EF704" i="4" s="1"/>
  <c r="EE948" i="4"/>
  <c r="EE951" i="4" s="1"/>
  <c r="EE739" i="4"/>
  <c r="EE785" i="4" s="1"/>
  <c r="EE712" i="4"/>
  <c r="EJ567" i="4"/>
  <c r="ED742" i="4"/>
  <c r="ED788" i="4" s="1"/>
  <c r="EF674" i="4"/>
  <c r="EF716" i="4" s="1"/>
  <c r="EF680" i="4"/>
  <c r="EF722" i="4" s="1"/>
  <c r="EG655" i="4"/>
  <c r="EG942" i="4"/>
  <c r="EG661" i="4"/>
  <c r="EG703" i="4" s="1"/>
  <c r="EF622" i="4"/>
  <c r="EF664" i="4" s="1"/>
  <c r="EG632" i="4"/>
  <c r="EG634" i="4" s="1"/>
  <c r="EG682" i="4" s="1"/>
  <c r="EG620" i="4"/>
  <c r="EJ818" i="4"/>
  <c r="EJ813" i="4"/>
  <c r="EK812" i="4"/>
  <c r="EH637" i="4"/>
  <c r="EH685" i="4" s="1"/>
  <c r="EI685" i="4" s="1"/>
  <c r="EH625" i="4"/>
  <c r="EG592" i="4"/>
  <c r="EG640" i="4" s="1"/>
  <c r="ED724" i="4"/>
  <c r="ED706" i="4"/>
  <c r="ED951" i="4"/>
  <c r="EE656" i="4"/>
  <c r="EE698" i="4" s="1"/>
  <c r="EE943" i="4"/>
  <c r="EE945" i="4" s="1"/>
  <c r="EE662" i="4"/>
  <c r="EE704" i="4" s="1"/>
  <c r="EG673" i="4"/>
  <c r="EG679" i="4"/>
  <c r="EG721" i="4" s="1"/>
  <c r="EE715" i="4"/>
  <c r="EI568" i="4"/>
  <c r="EI570" i="4" s="1"/>
  <c r="EH590" i="4"/>
  <c r="EH570" i="4"/>
  <c r="EC734" i="4"/>
  <c r="EC700" i="4"/>
  <c r="EC718" i="4"/>
  <c r="EG667" i="4"/>
  <c r="ED716" i="4"/>
  <c r="ED676" i="4"/>
  <c r="ED698" i="4"/>
  <c r="ED658" i="4"/>
  <c r="EW693" i="4" l="1"/>
  <c r="EX693" i="4" s="1"/>
  <c r="EY693" i="4" s="1"/>
  <c r="EU649" i="4"/>
  <c r="EV650" i="4"/>
  <c r="EU651" i="4"/>
  <c r="EU691" i="4"/>
  <c r="EW644" i="4"/>
  <c r="EG628" i="4"/>
  <c r="EE676" i="4"/>
  <c r="EF951" i="4"/>
  <c r="EI637" i="4"/>
  <c r="EI950" i="4"/>
  <c r="EI741" i="4"/>
  <c r="EI787" i="4" s="1"/>
  <c r="EI583" i="4"/>
  <c r="EI619" i="4" s="1"/>
  <c r="EH944" i="4"/>
  <c r="EH657" i="4"/>
  <c r="EH699" i="4" s="1"/>
  <c r="EH663" i="4"/>
  <c r="EH705" i="4" s="1"/>
  <c r="EI633" i="4"/>
  <c r="EI621" i="4"/>
  <c r="EH675" i="4"/>
  <c r="EH717" i="4" s="1"/>
  <c r="EH681" i="4"/>
  <c r="EH723" i="4" s="1"/>
  <c r="EK591" i="4"/>
  <c r="EL591" i="4" s="1"/>
  <c r="EL569" i="4"/>
  <c r="EJ585" i="4"/>
  <c r="EJ639" i="4"/>
  <c r="EJ687" i="4" s="1"/>
  <c r="EJ627" i="4"/>
  <c r="EJ669" i="4" s="1"/>
  <c r="EF706" i="4"/>
  <c r="EF724" i="4"/>
  <c r="EE658" i="4"/>
  <c r="EE706" i="4"/>
  <c r="EE724" i="4"/>
  <c r="EH638" i="4"/>
  <c r="EH686" i="4" s="1"/>
  <c r="EH728" i="4" s="1"/>
  <c r="EH626" i="4"/>
  <c r="EH668" i="4" s="1"/>
  <c r="EH710" i="4" s="1"/>
  <c r="EH592" i="4"/>
  <c r="EH640" i="4" s="1"/>
  <c r="ED718" i="4"/>
  <c r="EK818" i="4"/>
  <c r="EL812" i="4"/>
  <c r="EL818" i="4" s="1"/>
  <c r="ER652" i="4"/>
  <c r="ES652" i="4" s="1"/>
  <c r="ET652" i="4" s="1"/>
  <c r="EU652" i="4" s="1"/>
  <c r="EV652" i="4" s="1"/>
  <c r="EW652" i="4" s="1"/>
  <c r="EX652" i="4" s="1"/>
  <c r="EY652" i="4" s="1"/>
  <c r="EZ652" i="4" s="1"/>
  <c r="FA652" i="4" s="1"/>
  <c r="ED734" i="4"/>
  <c r="ED700" i="4"/>
  <c r="EE718" i="4"/>
  <c r="EJ819" i="4"/>
  <c r="EK813" i="4"/>
  <c r="EE742" i="4"/>
  <c r="EE788" i="4" s="1"/>
  <c r="EF676" i="4"/>
  <c r="EG697" i="4"/>
  <c r="EM811" i="4"/>
  <c r="EN810" i="4"/>
  <c r="EM816" i="4"/>
  <c r="EJ568" i="4"/>
  <c r="EJ570" i="4" s="1"/>
  <c r="EF718" i="4"/>
  <c r="EG709" i="4"/>
  <c r="EG670" i="4"/>
  <c r="EC736" i="4"/>
  <c r="EF733" i="4"/>
  <c r="EF700" i="4"/>
  <c r="EE733" i="4"/>
  <c r="EE700" i="4"/>
  <c r="EM692" i="4"/>
  <c r="EI590" i="4"/>
  <c r="EI584" i="4" s="1"/>
  <c r="EH667" i="4"/>
  <c r="EG943" i="4"/>
  <c r="EG945" i="4" s="1"/>
  <c r="EG656" i="4"/>
  <c r="EG698" i="4" s="1"/>
  <c r="EG662" i="4"/>
  <c r="EG704" i="4" s="1"/>
  <c r="EK567" i="4"/>
  <c r="EJ589" i="4"/>
  <c r="EJ583" i="4" s="1"/>
  <c r="EF734" i="4"/>
  <c r="EF658" i="4"/>
  <c r="EG728" i="4"/>
  <c r="EG730" i="4" s="1"/>
  <c r="EH655" i="4"/>
  <c r="EH942" i="4"/>
  <c r="EH661" i="4"/>
  <c r="EH703" i="4" s="1"/>
  <c r="EH584" i="4"/>
  <c r="EG715" i="4"/>
  <c r="EE734" i="4"/>
  <c r="EH727" i="4"/>
  <c r="EG674" i="4"/>
  <c r="EG716" i="4" s="1"/>
  <c r="EG680" i="4"/>
  <c r="EG722" i="4" s="1"/>
  <c r="EG622" i="4"/>
  <c r="EG664" i="4" s="1"/>
  <c r="EG710" i="4"/>
  <c r="EH673" i="4"/>
  <c r="EH679" i="4"/>
  <c r="EH721" i="4" s="1"/>
  <c r="EZ693" i="4" l="1"/>
  <c r="FA693" i="4" s="1"/>
  <c r="EV691" i="4"/>
  <c r="EX644" i="4"/>
  <c r="EY644" i="4" s="1"/>
  <c r="EV649" i="4"/>
  <c r="EW650" i="4"/>
  <c r="EV651" i="4"/>
  <c r="EH730" i="4"/>
  <c r="EI631" i="4"/>
  <c r="EI942" i="4" s="1"/>
  <c r="EH628" i="4"/>
  <c r="EH688" i="4"/>
  <c r="EL639" i="4"/>
  <c r="EL627" i="4"/>
  <c r="EK585" i="4"/>
  <c r="EK639" i="4"/>
  <c r="EK687" i="4" s="1"/>
  <c r="EK729" i="4" s="1"/>
  <c r="EK627" i="4"/>
  <c r="EK669" i="4" s="1"/>
  <c r="EK711" i="4" s="1"/>
  <c r="EI675" i="4"/>
  <c r="EI717" i="4" s="1"/>
  <c r="EI681" i="4"/>
  <c r="EI723" i="4" s="1"/>
  <c r="EJ729" i="4"/>
  <c r="EJ633" i="4"/>
  <c r="EJ621" i="4"/>
  <c r="EH735" i="4"/>
  <c r="EJ711" i="4"/>
  <c r="EM569" i="4"/>
  <c r="EL585" i="4"/>
  <c r="EI663" i="4"/>
  <c r="EI705" i="4" s="1"/>
  <c r="EI944" i="4"/>
  <c r="EI657" i="4"/>
  <c r="EI699" i="4" s="1"/>
  <c r="EG676" i="4"/>
  <c r="EG724" i="4"/>
  <c r="EG706" i="4"/>
  <c r="EG658" i="4"/>
  <c r="EI620" i="4"/>
  <c r="EI622" i="4" s="1"/>
  <c r="EI664" i="4" s="1"/>
  <c r="EI632" i="4"/>
  <c r="EI586" i="4"/>
  <c r="EG948" i="4"/>
  <c r="EG739" i="4"/>
  <c r="EG785" i="4" s="1"/>
  <c r="EG712" i="4"/>
  <c r="EH632" i="4"/>
  <c r="EH620" i="4"/>
  <c r="EH586" i="4"/>
  <c r="EE736" i="4"/>
  <c r="EG733" i="4"/>
  <c r="EG700" i="4"/>
  <c r="EH697" i="4"/>
  <c r="EN692" i="4"/>
  <c r="ED736" i="4"/>
  <c r="EN811" i="4"/>
  <c r="EM817" i="4"/>
  <c r="EM812" i="4"/>
  <c r="EH740" i="4"/>
  <c r="EH786" i="4" s="1"/>
  <c r="EH949" i="4"/>
  <c r="EH670" i="4"/>
  <c r="EI670" i="4" s="1"/>
  <c r="EH709" i="4"/>
  <c r="EH715" i="4"/>
  <c r="EG740" i="4"/>
  <c r="EG786" i="4" s="1"/>
  <c r="EG949" i="4"/>
  <c r="EI655" i="4"/>
  <c r="EI661" i="4"/>
  <c r="EI703" i="4" s="1"/>
  <c r="EI728" i="4"/>
  <c r="EJ625" i="4"/>
  <c r="EJ637" i="4"/>
  <c r="EJ685" i="4" s="1"/>
  <c r="EG734" i="4"/>
  <c r="EI667" i="4"/>
  <c r="EI709" i="4" s="1"/>
  <c r="EI727" i="4"/>
  <c r="EJ631" i="4"/>
  <c r="EJ619" i="4"/>
  <c r="EI626" i="4"/>
  <c r="EI628" i="4" s="1"/>
  <c r="EI638" i="4"/>
  <c r="EI592" i="4"/>
  <c r="EI640" i="4" s="1"/>
  <c r="EI668" i="4"/>
  <c r="EI710" i="4" s="1"/>
  <c r="EG718" i="4"/>
  <c r="EI686" i="4"/>
  <c r="EI688" i="4" s="1"/>
  <c r="EL567" i="4"/>
  <c r="EK589" i="4"/>
  <c r="EK583" i="4" s="1"/>
  <c r="EF736" i="4"/>
  <c r="EJ590" i="4"/>
  <c r="EJ592" i="4" s="1"/>
  <c r="EJ640" i="4" s="1"/>
  <c r="EK568" i="4"/>
  <c r="EK570" i="4" s="1"/>
  <c r="EO810" i="4"/>
  <c r="EN816" i="4"/>
  <c r="EL813" i="4"/>
  <c r="EL819" i="4" s="1"/>
  <c r="EK819" i="4"/>
  <c r="EZ644" i="4" l="1"/>
  <c r="EI679" i="4"/>
  <c r="EI721" i="4" s="1"/>
  <c r="EI673" i="4"/>
  <c r="EI715" i="4" s="1"/>
  <c r="EL729" i="4"/>
  <c r="EI730" i="4"/>
  <c r="EW649" i="4"/>
  <c r="EX650" i="4"/>
  <c r="EY650" i="4" s="1"/>
  <c r="EW651" i="4"/>
  <c r="EW691" i="4"/>
  <c r="EI634" i="4"/>
  <c r="EI682" i="4" s="1"/>
  <c r="EL669" i="4"/>
  <c r="EL711" i="4" s="1"/>
  <c r="EI735" i="4"/>
  <c r="EM591" i="4"/>
  <c r="EM585" i="4" s="1"/>
  <c r="EN569" i="4"/>
  <c r="EJ657" i="4"/>
  <c r="EJ699" i="4" s="1"/>
  <c r="EJ663" i="4"/>
  <c r="EJ705" i="4" s="1"/>
  <c r="EJ944" i="4"/>
  <c r="EK621" i="4"/>
  <c r="EK633" i="4"/>
  <c r="EJ950" i="4"/>
  <c r="EJ741" i="4"/>
  <c r="EJ787" i="4" s="1"/>
  <c r="EJ681" i="4"/>
  <c r="EJ723" i="4" s="1"/>
  <c r="EJ675" i="4"/>
  <c r="EJ717" i="4" s="1"/>
  <c r="EJ584" i="4"/>
  <c r="EJ586" i="4" s="1"/>
  <c r="EL621" i="4"/>
  <c r="EL633" i="4"/>
  <c r="EL687" i="4"/>
  <c r="EK741" i="4"/>
  <c r="EK787" i="4" s="1"/>
  <c r="EK950" i="4"/>
  <c r="EG951" i="4"/>
  <c r="EL589" i="4"/>
  <c r="EL625" i="4" s="1"/>
  <c r="EI740" i="4"/>
  <c r="EI786" i="4" s="1"/>
  <c r="EI949" i="4"/>
  <c r="EN817" i="4"/>
  <c r="EO811" i="4"/>
  <c r="EO817" i="4" s="1"/>
  <c r="EJ626" i="4"/>
  <c r="EJ668" i="4" s="1"/>
  <c r="EJ638" i="4"/>
  <c r="EJ686" i="4" s="1"/>
  <c r="EJ688" i="4" s="1"/>
  <c r="EG742" i="4"/>
  <c r="EG788" i="4" s="1"/>
  <c r="EK625" i="4"/>
  <c r="EK637" i="4"/>
  <c r="EK685" i="4" s="1"/>
  <c r="EH739" i="4"/>
  <c r="EH785" i="4" s="1"/>
  <c r="EH712" i="4"/>
  <c r="EH948" i="4"/>
  <c r="EH951" i="4" s="1"/>
  <c r="EH733" i="4"/>
  <c r="EG736" i="4"/>
  <c r="EH943" i="4"/>
  <c r="EH945" i="4" s="1"/>
  <c r="EH656" i="4"/>
  <c r="EH662" i="4"/>
  <c r="EH704" i="4" s="1"/>
  <c r="EH622" i="4"/>
  <c r="EH664" i="4" s="1"/>
  <c r="EI739" i="4"/>
  <c r="EI785" i="4" s="1"/>
  <c r="EI948" i="4"/>
  <c r="EI712" i="4"/>
  <c r="EO816" i="4"/>
  <c r="EP810" i="4"/>
  <c r="EM567" i="4"/>
  <c r="EJ655" i="4"/>
  <c r="EJ942" i="4"/>
  <c r="EJ661" i="4"/>
  <c r="EJ703" i="4" s="1"/>
  <c r="EJ727" i="4"/>
  <c r="EM813" i="4"/>
  <c r="EN812" i="4"/>
  <c r="EM818" i="4"/>
  <c r="EO692" i="4"/>
  <c r="EI674" i="4"/>
  <c r="EI716" i="4" s="1"/>
  <c r="EI680" i="4"/>
  <c r="EI722" i="4" s="1"/>
  <c r="EK619" i="4"/>
  <c r="EK631" i="4"/>
  <c r="EH674" i="4"/>
  <c r="EH680" i="4"/>
  <c r="EH722" i="4" s="1"/>
  <c r="EH634" i="4"/>
  <c r="EH682" i="4" s="1"/>
  <c r="EL568" i="4"/>
  <c r="EL570" i="4" s="1"/>
  <c r="EK590" i="4"/>
  <c r="EK592" i="4" s="1"/>
  <c r="EK640" i="4" s="1"/>
  <c r="EJ673" i="4"/>
  <c r="EJ679" i="4"/>
  <c r="EJ721" i="4" s="1"/>
  <c r="EJ667" i="4"/>
  <c r="EI697" i="4"/>
  <c r="EI943" i="4"/>
  <c r="EI945" i="4" s="1"/>
  <c r="EI656" i="4"/>
  <c r="EI698" i="4" s="1"/>
  <c r="EI662" i="4"/>
  <c r="EI704" i="4" s="1"/>
  <c r="EZ650" i="4" l="1"/>
  <c r="FA644" i="4"/>
  <c r="EJ620" i="4"/>
  <c r="EJ622" i="4" s="1"/>
  <c r="EJ664" i="4" s="1"/>
  <c r="EL950" i="4"/>
  <c r="EI742" i="4"/>
  <c r="EI788" i="4" s="1"/>
  <c r="EX691" i="4"/>
  <c r="EY691" i="4" s="1"/>
  <c r="EX651" i="4"/>
  <c r="EY651" i="4" s="1"/>
  <c r="EX649" i="4"/>
  <c r="EY649" i="4" s="1"/>
  <c r="EJ632" i="4"/>
  <c r="EJ634" i="4" s="1"/>
  <c r="EJ682" i="4" s="1"/>
  <c r="EJ628" i="4"/>
  <c r="EL583" i="4"/>
  <c r="EL631" i="4" s="1"/>
  <c r="EL637" i="4"/>
  <c r="EL741" i="4"/>
  <c r="EL787" i="4" s="1"/>
  <c r="EL681" i="4"/>
  <c r="EL723" i="4" s="1"/>
  <c r="EL675" i="4"/>
  <c r="EL717" i="4" s="1"/>
  <c r="EK675" i="4"/>
  <c r="EK717" i="4" s="1"/>
  <c r="EK681" i="4"/>
  <c r="EK723" i="4" s="1"/>
  <c r="EJ735" i="4"/>
  <c r="EO569" i="4"/>
  <c r="EN591" i="4"/>
  <c r="EN585" i="4" s="1"/>
  <c r="EL657" i="4"/>
  <c r="EL699" i="4" s="1"/>
  <c r="EL944" i="4"/>
  <c r="EL663" i="4"/>
  <c r="EL705" i="4" s="1"/>
  <c r="EK944" i="4"/>
  <c r="EK663" i="4"/>
  <c r="EK705" i="4" s="1"/>
  <c r="EK657" i="4"/>
  <c r="EK699" i="4" s="1"/>
  <c r="EM627" i="4"/>
  <c r="EM669" i="4" s="1"/>
  <c r="EM639" i="4"/>
  <c r="EM687" i="4" s="1"/>
  <c r="EM633" i="4"/>
  <c r="EM621" i="4"/>
  <c r="EL590" i="4"/>
  <c r="EL592" i="4" s="1"/>
  <c r="EL640" i="4" s="1"/>
  <c r="EK584" i="4"/>
  <c r="EK632" i="4" s="1"/>
  <c r="EI676" i="4"/>
  <c r="EI718" i="4"/>
  <c r="EI734" i="4"/>
  <c r="EI658" i="4"/>
  <c r="EK673" i="4"/>
  <c r="EK679" i="4"/>
  <c r="EK721" i="4" s="1"/>
  <c r="EP692" i="4"/>
  <c r="EH698" i="4"/>
  <c r="EH658" i="4"/>
  <c r="EI733" i="4"/>
  <c r="EI700" i="4"/>
  <c r="EN818" i="4"/>
  <c r="EO812" i="4"/>
  <c r="EO818" i="4" s="1"/>
  <c r="EI951" i="4"/>
  <c r="EJ728" i="4"/>
  <c r="EJ730" i="4" s="1"/>
  <c r="EH724" i="4"/>
  <c r="EN567" i="4"/>
  <c r="EM589" i="4"/>
  <c r="EM583" i="4" s="1"/>
  <c r="EK727" i="4"/>
  <c r="EH716" i="4"/>
  <c r="EH676" i="4"/>
  <c r="EJ697" i="4"/>
  <c r="EI724" i="4"/>
  <c r="EK667" i="4"/>
  <c r="EJ710" i="4"/>
  <c r="EM568" i="4"/>
  <c r="EM570" i="4" s="1"/>
  <c r="EH706" i="4"/>
  <c r="EJ709" i="4"/>
  <c r="EJ670" i="4"/>
  <c r="EJ715" i="4"/>
  <c r="EK942" i="4"/>
  <c r="EK655" i="4"/>
  <c r="EK661" i="4"/>
  <c r="EK703" i="4" s="1"/>
  <c r="EN813" i="4"/>
  <c r="EM819" i="4"/>
  <c r="EK626" i="4"/>
  <c r="EK668" i="4" s="1"/>
  <c r="EK710" i="4" s="1"/>
  <c r="EK638" i="4"/>
  <c r="EK686" i="4" s="1"/>
  <c r="EK728" i="4" s="1"/>
  <c r="EI706" i="4"/>
  <c r="EJ656" i="4"/>
  <c r="EJ698" i="4" s="1"/>
  <c r="EL685" i="4"/>
  <c r="EP811" i="4"/>
  <c r="EQ810" i="4"/>
  <c r="EP816" i="4"/>
  <c r="EH742" i="4"/>
  <c r="EH788" i="4" s="1"/>
  <c r="EJ662" i="4" l="1"/>
  <c r="EJ704" i="4" s="1"/>
  <c r="EZ649" i="4"/>
  <c r="EZ651" i="4"/>
  <c r="EZ691" i="4"/>
  <c r="FA650" i="4"/>
  <c r="EJ674" i="4"/>
  <c r="EJ716" i="4" s="1"/>
  <c r="EJ718" i="4" s="1"/>
  <c r="EJ943" i="4"/>
  <c r="EJ945" i="4" s="1"/>
  <c r="EJ680" i="4"/>
  <c r="EJ722" i="4" s="1"/>
  <c r="EL619" i="4"/>
  <c r="EL661" i="4" s="1"/>
  <c r="EL703" i="4" s="1"/>
  <c r="EL626" i="4"/>
  <c r="EL628" i="4" s="1"/>
  <c r="EO591" i="4"/>
  <c r="EO585" i="4" s="1"/>
  <c r="EK586" i="4"/>
  <c r="EL638" i="4"/>
  <c r="EM675" i="4"/>
  <c r="EM717" i="4" s="1"/>
  <c r="EM681" i="4"/>
  <c r="EM723" i="4" s="1"/>
  <c r="EK735" i="4"/>
  <c r="EN633" i="4"/>
  <c r="EN621" i="4"/>
  <c r="EM944" i="4"/>
  <c r="EM663" i="4"/>
  <c r="EM705" i="4" s="1"/>
  <c r="EM657" i="4"/>
  <c r="EM699" i="4" s="1"/>
  <c r="EM711" i="4"/>
  <c r="EP569" i="4"/>
  <c r="EL584" i="4"/>
  <c r="EL586" i="4" s="1"/>
  <c r="EL735" i="4"/>
  <c r="EK620" i="4"/>
  <c r="EK943" i="4" s="1"/>
  <c r="EK945" i="4" s="1"/>
  <c r="EM729" i="4"/>
  <c r="EN639" i="4"/>
  <c r="EN687" i="4" s="1"/>
  <c r="EN729" i="4" s="1"/>
  <c r="EN627" i="4"/>
  <c r="EN669" i="4" s="1"/>
  <c r="EN711" i="4" s="1"/>
  <c r="EJ658" i="4"/>
  <c r="EK709" i="4"/>
  <c r="EK670" i="4"/>
  <c r="EL670" i="4" s="1"/>
  <c r="EH718" i="4"/>
  <c r="EL728" i="4"/>
  <c r="EP812" i="4"/>
  <c r="EQ811" i="4"/>
  <c r="EP817" i="4"/>
  <c r="EK949" i="4"/>
  <c r="EK740" i="4"/>
  <c r="EK786" i="4" s="1"/>
  <c r="EL667" i="4"/>
  <c r="EL709" i="4" s="1"/>
  <c r="EK628" i="4"/>
  <c r="EJ733" i="4"/>
  <c r="EJ700" i="4"/>
  <c r="EM637" i="4"/>
  <c r="EM685" i="4" s="1"/>
  <c r="EM625" i="4"/>
  <c r="EL686" i="4"/>
  <c r="EL688" i="4" s="1"/>
  <c r="EJ706" i="4"/>
  <c r="EQ692" i="4"/>
  <c r="EK674" i="4"/>
  <c r="EK716" i="4" s="1"/>
  <c r="EK680" i="4"/>
  <c r="EK722" i="4" s="1"/>
  <c r="EK697" i="4"/>
  <c r="EK730" i="4"/>
  <c r="EL730" i="4" s="1"/>
  <c r="EO567" i="4"/>
  <c r="EN589" i="4"/>
  <c r="EQ816" i="4"/>
  <c r="ER810" i="4"/>
  <c r="EN819" i="4"/>
  <c r="EO813" i="4"/>
  <c r="EO819" i="4" s="1"/>
  <c r="EJ948" i="4"/>
  <c r="EJ739" i="4"/>
  <c r="EJ785" i="4" s="1"/>
  <c r="EJ712" i="4"/>
  <c r="EK688" i="4"/>
  <c r="EL668" i="4"/>
  <c r="EL710" i="4" s="1"/>
  <c r="EL673" i="4"/>
  <c r="EL679" i="4"/>
  <c r="EL721" i="4" s="1"/>
  <c r="EH734" i="4"/>
  <c r="EH700" i="4"/>
  <c r="EK715" i="4"/>
  <c r="EM631" i="4"/>
  <c r="EM619" i="4"/>
  <c r="EI736" i="4"/>
  <c r="EN568" i="4"/>
  <c r="EM590" i="4"/>
  <c r="EM584" i="4" s="1"/>
  <c r="EJ740" i="4"/>
  <c r="EJ786" i="4" s="1"/>
  <c r="EJ949" i="4"/>
  <c r="EL727" i="4"/>
  <c r="EK634" i="4"/>
  <c r="EK682" i="4" s="1"/>
  <c r="FA691" i="4" l="1"/>
  <c r="FA649" i="4"/>
  <c r="FA651" i="4"/>
  <c r="EL655" i="4"/>
  <c r="EL697" i="4" s="1"/>
  <c r="EL942" i="4"/>
  <c r="EJ724" i="4"/>
  <c r="EJ676" i="4"/>
  <c r="EJ734" i="4"/>
  <c r="ER816" i="4"/>
  <c r="ES810" i="4"/>
  <c r="EK622" i="4"/>
  <c r="EK664" i="4" s="1"/>
  <c r="EK662" i="4"/>
  <c r="EK704" i="4" s="1"/>
  <c r="EO639" i="4"/>
  <c r="EO627" i="4"/>
  <c r="EL620" i="4"/>
  <c r="EL622" i="4" s="1"/>
  <c r="EL664" i="4" s="1"/>
  <c r="EL632" i="4"/>
  <c r="EL634" i="4" s="1"/>
  <c r="EL682" i="4" s="1"/>
  <c r="EK724" i="4"/>
  <c r="EO687" i="4"/>
  <c r="EO729" i="4"/>
  <c r="EN950" i="4"/>
  <c r="EN741" i="4"/>
  <c r="EN787" i="4" s="1"/>
  <c r="EO669" i="4"/>
  <c r="EO711" i="4" s="1"/>
  <c r="EK656" i="4"/>
  <c r="EK698" i="4" s="1"/>
  <c r="EK700" i="4" s="1"/>
  <c r="EM950" i="4"/>
  <c r="EM741" i="4"/>
  <c r="EM787" i="4" s="1"/>
  <c r="EN657" i="4"/>
  <c r="EN699" i="4" s="1"/>
  <c r="EN663" i="4"/>
  <c r="EN705" i="4" s="1"/>
  <c r="EN944" i="4"/>
  <c r="EO633" i="4"/>
  <c r="EO621" i="4"/>
  <c r="EM735" i="4"/>
  <c r="EN675" i="4"/>
  <c r="EN717" i="4" s="1"/>
  <c r="EN681" i="4"/>
  <c r="EN723" i="4" s="1"/>
  <c r="EQ569" i="4"/>
  <c r="EP591" i="4"/>
  <c r="EM592" i="4"/>
  <c r="EM640" i="4" s="1"/>
  <c r="EK676" i="4"/>
  <c r="EO568" i="4"/>
  <c r="EO570" i="4" s="1"/>
  <c r="EN590" i="4"/>
  <c r="EN584" i="4" s="1"/>
  <c r="EM673" i="4"/>
  <c r="EM679" i="4"/>
  <c r="EM721" i="4" s="1"/>
  <c r="EH736" i="4"/>
  <c r="EN625" i="4"/>
  <c r="EN637" i="4"/>
  <c r="EN685" i="4" s="1"/>
  <c r="EO685" i="4" s="1"/>
  <c r="EK733" i="4"/>
  <c r="EM667" i="4"/>
  <c r="EQ817" i="4"/>
  <c r="ER811" i="4"/>
  <c r="ER817" i="4" s="1"/>
  <c r="EM620" i="4"/>
  <c r="EM632" i="4"/>
  <c r="EM586" i="4"/>
  <c r="EK718" i="4"/>
  <c r="EP567" i="4"/>
  <c r="EM727" i="4"/>
  <c r="EP813" i="4"/>
  <c r="EQ812" i="4"/>
  <c r="EP818" i="4"/>
  <c r="EL949" i="4"/>
  <c r="EL740" i="4"/>
  <c r="EL786" i="4" s="1"/>
  <c r="EJ742" i="4"/>
  <c r="EJ788" i="4" s="1"/>
  <c r="EN583" i="4"/>
  <c r="EO589" i="4"/>
  <c r="EL712" i="4"/>
  <c r="EL742" i="4" s="1"/>
  <c r="EL788" i="4" s="1"/>
  <c r="EL739" i="4"/>
  <c r="EL785" i="4" s="1"/>
  <c r="EL948" i="4"/>
  <c r="EL715" i="4"/>
  <c r="EJ951" i="4"/>
  <c r="ER692" i="4"/>
  <c r="ES692" i="4" s="1"/>
  <c r="EM626" i="4"/>
  <c r="EM668" i="4" s="1"/>
  <c r="EM638" i="4"/>
  <c r="EM686" i="4" s="1"/>
  <c r="EM942" i="4"/>
  <c r="EM655" i="4"/>
  <c r="EM661" i="4"/>
  <c r="EM703" i="4" s="1"/>
  <c r="EN570" i="4"/>
  <c r="EK739" i="4"/>
  <c r="EK785" i="4" s="1"/>
  <c r="EK948" i="4"/>
  <c r="EK951" i="4" s="1"/>
  <c r="EK712" i="4"/>
  <c r="EJ736" i="4" l="1"/>
  <c r="EL680" i="4"/>
  <c r="EL722" i="4" s="1"/>
  <c r="EL724" i="4" s="1"/>
  <c r="EL656" i="4"/>
  <c r="EL698" i="4" s="1"/>
  <c r="EL700" i="4" s="1"/>
  <c r="EL662" i="4"/>
  <c r="EL704" i="4" s="1"/>
  <c r="ES816" i="4"/>
  <c r="ES811" i="4"/>
  <c r="ET810" i="4"/>
  <c r="ET692" i="4"/>
  <c r="EU692" i="4" s="1"/>
  <c r="EV692" i="4" s="1"/>
  <c r="EK658" i="4"/>
  <c r="EN592" i="4"/>
  <c r="EN640" i="4" s="1"/>
  <c r="EL943" i="4"/>
  <c r="EL945" i="4" s="1"/>
  <c r="EL674" i="4"/>
  <c r="EL716" i="4" s="1"/>
  <c r="EK706" i="4"/>
  <c r="EO950" i="4"/>
  <c r="EO590" i="4"/>
  <c r="EO638" i="4" s="1"/>
  <c r="EK734" i="4"/>
  <c r="EO741" i="4"/>
  <c r="EO787" i="4" s="1"/>
  <c r="EP639" i="4"/>
  <c r="EP687" i="4" s="1"/>
  <c r="EP627" i="4"/>
  <c r="EP669" i="4" s="1"/>
  <c r="EO681" i="4"/>
  <c r="EO723" i="4" s="1"/>
  <c r="EO675" i="4"/>
  <c r="EO717" i="4" s="1"/>
  <c r="EN735" i="4"/>
  <c r="ER569" i="4"/>
  <c r="ES569" i="4" s="1"/>
  <c r="EQ591" i="4"/>
  <c r="EP585" i="4"/>
  <c r="EO657" i="4"/>
  <c r="EO699" i="4" s="1"/>
  <c r="EO944" i="4"/>
  <c r="EO663" i="4"/>
  <c r="EO705" i="4" s="1"/>
  <c r="EL951" i="4"/>
  <c r="EM674" i="4"/>
  <c r="EM716" i="4" s="1"/>
  <c r="EM680" i="4"/>
  <c r="EM722" i="4" s="1"/>
  <c r="EO637" i="4"/>
  <c r="EO625" i="4"/>
  <c r="ER812" i="4"/>
  <c r="ER818" i="4" s="1"/>
  <c r="EQ818" i="4"/>
  <c r="EM710" i="4"/>
  <c r="EP819" i="4"/>
  <c r="EQ813" i="4"/>
  <c r="EM943" i="4"/>
  <c r="EM945" i="4" s="1"/>
  <c r="EM656" i="4"/>
  <c r="EM698" i="4" s="1"/>
  <c r="EM662" i="4"/>
  <c r="EM704" i="4" s="1"/>
  <c r="EM628" i="4"/>
  <c r="EM715" i="4"/>
  <c r="EM697" i="4"/>
  <c r="EO583" i="4"/>
  <c r="EM709" i="4"/>
  <c r="EM670" i="4"/>
  <c r="EN727" i="4"/>
  <c r="EM634" i="4"/>
  <c r="EM682" i="4" s="1"/>
  <c r="EN620" i="4"/>
  <c r="EN632" i="4"/>
  <c r="EM622" i="4"/>
  <c r="EM664" i="4" s="1"/>
  <c r="EN631" i="4"/>
  <c r="EN619" i="4"/>
  <c r="EN586" i="4"/>
  <c r="EP589" i="4"/>
  <c r="EQ567" i="4"/>
  <c r="EN638" i="4"/>
  <c r="EN686" i="4" s="1"/>
  <c r="EN728" i="4" s="1"/>
  <c r="EN626" i="4"/>
  <c r="EN668" i="4" s="1"/>
  <c r="EN710" i="4" s="1"/>
  <c r="EN667" i="4"/>
  <c r="EO667" i="4" s="1"/>
  <c r="EO709" i="4" s="1"/>
  <c r="EK742" i="4"/>
  <c r="EK788" i="4" s="1"/>
  <c r="EM728" i="4"/>
  <c r="EL733" i="4"/>
  <c r="EM688" i="4"/>
  <c r="EP568" i="4"/>
  <c r="EP570" i="4" s="1"/>
  <c r="EL658" i="4" l="1"/>
  <c r="EL706" i="4"/>
  <c r="EO584" i="4"/>
  <c r="EO632" i="4" s="1"/>
  <c r="EW692" i="4"/>
  <c r="EX692" i="4" s="1"/>
  <c r="EY692" i="4" s="1"/>
  <c r="ET569" i="4"/>
  <c r="ES591" i="4"/>
  <c r="EU810" i="4"/>
  <c r="ET816" i="4"/>
  <c r="ES812" i="4"/>
  <c r="ES817" i="4"/>
  <c r="ET811" i="4"/>
  <c r="EL734" i="4"/>
  <c r="EL718" i="4"/>
  <c r="EL676" i="4"/>
  <c r="EM658" i="4"/>
  <c r="EK736" i="4"/>
  <c r="EO592" i="4"/>
  <c r="EO640" i="4" s="1"/>
  <c r="EO626" i="4"/>
  <c r="EO628" i="4" s="1"/>
  <c r="EP621" i="4"/>
  <c r="EP633" i="4"/>
  <c r="EP711" i="4"/>
  <c r="EP729" i="4"/>
  <c r="EO735" i="4"/>
  <c r="EQ585" i="4"/>
  <c r="EQ639" i="4"/>
  <c r="EQ687" i="4" s="1"/>
  <c r="EQ729" i="4" s="1"/>
  <c r="EQ627" i="4"/>
  <c r="EQ669" i="4" s="1"/>
  <c r="EQ711" i="4" s="1"/>
  <c r="ER591" i="4"/>
  <c r="ER585" i="4" s="1"/>
  <c r="EM676" i="4"/>
  <c r="EO686" i="4"/>
  <c r="EO688" i="4" s="1"/>
  <c r="EN730" i="4"/>
  <c r="EN688" i="4"/>
  <c r="EP637" i="4"/>
  <c r="EP685" i="4" s="1"/>
  <c r="EP625" i="4"/>
  <c r="EN942" i="4"/>
  <c r="EN622" i="4"/>
  <c r="EN664" i="4" s="1"/>
  <c r="EN655" i="4"/>
  <c r="EN661" i="4"/>
  <c r="EN703" i="4" s="1"/>
  <c r="EO668" i="4"/>
  <c r="EO710" i="4" s="1"/>
  <c r="EO712" i="4" s="1"/>
  <c r="EN634" i="4"/>
  <c r="EN682" i="4" s="1"/>
  <c r="EN673" i="4"/>
  <c r="EN679" i="4"/>
  <c r="EN721" i="4" s="1"/>
  <c r="EM733" i="4"/>
  <c r="EM700" i="4"/>
  <c r="EM949" i="4"/>
  <c r="EM740" i="4"/>
  <c r="EM786" i="4" s="1"/>
  <c r="EP590" i="4"/>
  <c r="EP592" i="4" s="1"/>
  <c r="EP640" i="4" s="1"/>
  <c r="EQ568" i="4"/>
  <c r="EN740" i="4"/>
  <c r="EN786" i="4" s="1"/>
  <c r="EN949" i="4"/>
  <c r="EP583" i="4"/>
  <c r="EM718" i="4"/>
  <c r="EM734" i="4"/>
  <c r="EM706" i="4"/>
  <c r="ER567" i="4"/>
  <c r="ES567" i="4" s="1"/>
  <c r="EQ589" i="4"/>
  <c r="EQ583" i="4" s="1"/>
  <c r="EN628" i="4"/>
  <c r="EO727" i="4"/>
  <c r="EN674" i="4"/>
  <c r="EN716" i="4" s="1"/>
  <c r="EN680" i="4"/>
  <c r="EN722" i="4" s="1"/>
  <c r="EM712" i="4"/>
  <c r="EM739" i="4"/>
  <c r="EM785" i="4" s="1"/>
  <c r="EM948" i="4"/>
  <c r="EO728" i="4"/>
  <c r="EN709" i="4"/>
  <c r="EN670" i="4"/>
  <c r="EO670" i="4" s="1"/>
  <c r="EM730" i="4"/>
  <c r="EN943" i="4"/>
  <c r="EN656" i="4"/>
  <c r="EN698" i="4" s="1"/>
  <c r="EN662" i="4"/>
  <c r="EN704" i="4" s="1"/>
  <c r="EO631" i="4"/>
  <c r="EO619" i="4"/>
  <c r="EQ819" i="4"/>
  <c r="ER813" i="4"/>
  <c r="ER819" i="4" s="1"/>
  <c r="EM724" i="4"/>
  <c r="EZ692" i="4" l="1"/>
  <c r="FA692" i="4" s="1"/>
  <c r="EO586" i="4"/>
  <c r="EO620" i="4"/>
  <c r="EO622" i="4" s="1"/>
  <c r="EO664" i="4" s="1"/>
  <c r="EL736" i="4"/>
  <c r="ET567" i="4"/>
  <c r="ES589" i="4"/>
  <c r="ES583" i="4" s="1"/>
  <c r="EU811" i="4"/>
  <c r="EU817" i="4" s="1"/>
  <c r="ET817" i="4"/>
  <c r="EV810" i="4"/>
  <c r="EU816" i="4"/>
  <c r="ES639" i="4"/>
  <c r="ES687" i="4" s="1"/>
  <c r="ES627" i="4"/>
  <c r="ES669" i="4" s="1"/>
  <c r="ES818" i="4"/>
  <c r="ES813" i="4"/>
  <c r="ET812" i="4"/>
  <c r="ES585" i="4"/>
  <c r="ET591" i="4"/>
  <c r="EU591" i="4" s="1"/>
  <c r="EU569" i="4"/>
  <c r="ER729" i="4"/>
  <c r="ER621" i="4"/>
  <c r="ER633" i="4"/>
  <c r="EQ741" i="4"/>
  <c r="EQ787" i="4" s="1"/>
  <c r="EQ950" i="4"/>
  <c r="EP950" i="4"/>
  <c r="EP741" i="4"/>
  <c r="EP787" i="4" s="1"/>
  <c r="EP584" i="4"/>
  <c r="EP620" i="4" s="1"/>
  <c r="ER687" i="4"/>
  <c r="EQ633" i="4"/>
  <c r="EQ621" i="4"/>
  <c r="EP675" i="4"/>
  <c r="EP717" i="4" s="1"/>
  <c r="EP681" i="4"/>
  <c r="EP723" i="4" s="1"/>
  <c r="ER627" i="4"/>
  <c r="ER639" i="4"/>
  <c r="ER669" i="4"/>
  <c r="ER711" i="4" s="1"/>
  <c r="EP657" i="4"/>
  <c r="EP699" i="4" s="1"/>
  <c r="EP663" i="4"/>
  <c r="EP705" i="4" s="1"/>
  <c r="EP944" i="4"/>
  <c r="EO739" i="4"/>
  <c r="EO785" i="4" s="1"/>
  <c r="EM951" i="4"/>
  <c r="ER589" i="4"/>
  <c r="ER625" i="4" s="1"/>
  <c r="EQ619" i="4"/>
  <c r="EQ631" i="4"/>
  <c r="EN706" i="4"/>
  <c r="EM736" i="4"/>
  <c r="EM742" i="4"/>
  <c r="EM788" i="4" s="1"/>
  <c r="EP631" i="4"/>
  <c r="EP619" i="4"/>
  <c r="EP638" i="4"/>
  <c r="EP686" i="4" s="1"/>
  <c r="EP688" i="4" s="1"/>
  <c r="EP626" i="4"/>
  <c r="EP668" i="4" s="1"/>
  <c r="EN697" i="4"/>
  <c r="EN658" i="4"/>
  <c r="EP727" i="4"/>
  <c r="EN739" i="4"/>
  <c r="EN785" i="4" s="1"/>
  <c r="EN948" i="4"/>
  <c r="EN951" i="4" s="1"/>
  <c r="EN712" i="4"/>
  <c r="EQ590" i="4"/>
  <c r="ER590" i="4" s="1"/>
  <c r="ER568" i="4"/>
  <c r="ES568" i="4" s="1"/>
  <c r="EO730" i="4"/>
  <c r="EO948" i="4"/>
  <c r="EN724" i="4"/>
  <c r="EO949" i="4"/>
  <c r="EO740" i="4"/>
  <c r="EO786" i="4" s="1"/>
  <c r="EO655" i="4"/>
  <c r="EO942" i="4"/>
  <c r="EO661" i="4"/>
  <c r="EO703" i="4" s="1"/>
  <c r="EO634" i="4"/>
  <c r="EO682" i="4" s="1"/>
  <c r="EO673" i="4"/>
  <c r="EO679" i="4"/>
  <c r="EO721" i="4" s="1"/>
  <c r="EQ570" i="4"/>
  <c r="EO674" i="4"/>
  <c r="EO716" i="4" s="1"/>
  <c r="EO680" i="4"/>
  <c r="EO722" i="4" s="1"/>
  <c r="EN676" i="4"/>
  <c r="EN715" i="4"/>
  <c r="EN945" i="4"/>
  <c r="EN734" i="4"/>
  <c r="EQ625" i="4"/>
  <c r="EQ637" i="4"/>
  <c r="EQ685" i="4" s="1"/>
  <c r="EP667" i="4"/>
  <c r="EO656" i="4" l="1"/>
  <c r="EO698" i="4" s="1"/>
  <c r="EO662" i="4"/>
  <c r="EO704" i="4" s="1"/>
  <c r="EO706" i="4" s="1"/>
  <c r="EO943" i="4"/>
  <c r="EO945" i="4" s="1"/>
  <c r="ET585" i="4"/>
  <c r="ET621" i="4" s="1"/>
  <c r="EU627" i="4"/>
  <c r="EU639" i="4"/>
  <c r="ES590" i="4"/>
  <c r="ES592" i="4" s="1"/>
  <c r="ES640" i="4" s="1"/>
  <c r="ET568" i="4"/>
  <c r="ES621" i="4"/>
  <c r="ES633" i="4"/>
  <c r="EU567" i="4"/>
  <c r="ET589" i="4"/>
  <c r="EU589" i="4" s="1"/>
  <c r="EU585" i="4"/>
  <c r="EV569" i="4"/>
  <c r="EU812" i="4"/>
  <c r="EU818" i="4" s="1"/>
  <c r="ET818" i="4"/>
  <c r="ES711" i="4"/>
  <c r="ES570" i="4"/>
  <c r="ET639" i="4"/>
  <c r="ET687" i="4" s="1"/>
  <c r="ET729" i="4" s="1"/>
  <c r="ET627" i="4"/>
  <c r="ET669" i="4" s="1"/>
  <c r="ET711" i="4" s="1"/>
  <c r="ES819" i="4"/>
  <c r="ET813" i="4"/>
  <c r="ES729" i="4"/>
  <c r="ES619" i="4"/>
  <c r="ES631" i="4"/>
  <c r="EW810" i="4"/>
  <c r="EV811" i="4"/>
  <c r="EV816" i="4"/>
  <c r="ES637" i="4"/>
  <c r="ES685" i="4" s="1"/>
  <c r="ES625" i="4"/>
  <c r="ER950" i="4"/>
  <c r="ER741" i="4"/>
  <c r="ER787" i="4" s="1"/>
  <c r="EP586" i="4"/>
  <c r="EP632" i="4"/>
  <c r="EP674" i="4" s="1"/>
  <c r="EP716" i="4" s="1"/>
  <c r="EQ944" i="4"/>
  <c r="EQ657" i="4"/>
  <c r="EQ699" i="4" s="1"/>
  <c r="EQ663" i="4"/>
  <c r="EQ705" i="4" s="1"/>
  <c r="EQ675" i="4"/>
  <c r="EQ717" i="4" s="1"/>
  <c r="EQ681" i="4"/>
  <c r="EQ723" i="4" s="1"/>
  <c r="ER681" i="4"/>
  <c r="ER723" i="4" s="1"/>
  <c r="ER675" i="4"/>
  <c r="ER717" i="4" s="1"/>
  <c r="EP735" i="4"/>
  <c r="ER663" i="4"/>
  <c r="ER705" i="4" s="1"/>
  <c r="ER657" i="4"/>
  <c r="ER699" i="4" s="1"/>
  <c r="ER944" i="4"/>
  <c r="ER637" i="4"/>
  <c r="EQ592" i="4"/>
  <c r="EQ640" i="4" s="1"/>
  <c r="ER583" i="4"/>
  <c r="ER631" i="4" s="1"/>
  <c r="ER626" i="4"/>
  <c r="ER628" i="4" s="1"/>
  <c r="ER638" i="4"/>
  <c r="ER592" i="4"/>
  <c r="ER640" i="4" s="1"/>
  <c r="EQ727" i="4"/>
  <c r="ER727" i="4" s="1"/>
  <c r="EN742" i="4"/>
  <c r="EN788" i="4" s="1"/>
  <c r="EP728" i="4"/>
  <c r="EP730" i="4" s="1"/>
  <c r="EO676" i="4"/>
  <c r="EO715" i="4"/>
  <c r="EQ667" i="4"/>
  <c r="ER667" i="4" s="1"/>
  <c r="ER709" i="4" s="1"/>
  <c r="EO951" i="4"/>
  <c r="EN700" i="4"/>
  <c r="EN733" i="4"/>
  <c r="EO742" i="4"/>
  <c r="EO788" i="4" s="1"/>
  <c r="ER584" i="4"/>
  <c r="ER570" i="4"/>
  <c r="EP656" i="4"/>
  <c r="EP698" i="4" s="1"/>
  <c r="EP662" i="4"/>
  <c r="EP704" i="4" s="1"/>
  <c r="EQ673" i="4"/>
  <c r="EQ679" i="4"/>
  <c r="EQ721" i="4" s="1"/>
  <c r="EP710" i="4"/>
  <c r="EP670" i="4"/>
  <c r="EP709" i="4"/>
  <c r="EN718" i="4"/>
  <c r="EQ626" i="4"/>
  <c r="EQ668" i="4" s="1"/>
  <c r="EQ710" i="4" s="1"/>
  <c r="EQ638" i="4"/>
  <c r="EQ686" i="4" s="1"/>
  <c r="EQ728" i="4" s="1"/>
  <c r="EP622" i="4"/>
  <c r="EP664" i="4" s="1"/>
  <c r="EP942" i="4"/>
  <c r="EP655" i="4"/>
  <c r="EP661" i="4"/>
  <c r="EP703" i="4" s="1"/>
  <c r="EP628" i="4"/>
  <c r="EO724" i="4"/>
  <c r="EO697" i="4"/>
  <c r="EO658" i="4"/>
  <c r="EQ584" i="4"/>
  <c r="ER685" i="4"/>
  <c r="EP673" i="4"/>
  <c r="EP679" i="4"/>
  <c r="EP721" i="4" s="1"/>
  <c r="EQ942" i="4"/>
  <c r="EQ655" i="4"/>
  <c r="EQ661" i="4"/>
  <c r="EQ703" i="4" s="1"/>
  <c r="EO734" i="4" l="1"/>
  <c r="EU687" i="4"/>
  <c r="ET633" i="4"/>
  <c r="ET681" i="4" s="1"/>
  <c r="ET723" i="4" s="1"/>
  <c r="EU729" i="4"/>
  <c r="ES741" i="4"/>
  <c r="ES787" i="4" s="1"/>
  <c r="ES950" i="4"/>
  <c r="EU633" i="4"/>
  <c r="EU621" i="4"/>
  <c r="EV567" i="4"/>
  <c r="EU583" i="4"/>
  <c r="ET590" i="4"/>
  <c r="ET592" i="4" s="1"/>
  <c r="ET640" i="4" s="1"/>
  <c r="EU568" i="4"/>
  <c r="ES667" i="4"/>
  <c r="ET950" i="4"/>
  <c r="ET741" i="4"/>
  <c r="ET787" i="4" s="1"/>
  <c r="ET625" i="4"/>
  <c r="ET637" i="4"/>
  <c r="ET685" i="4" s="1"/>
  <c r="EU685" i="4" s="1"/>
  <c r="ES675" i="4"/>
  <c r="ES717" i="4" s="1"/>
  <c r="ES681" i="4"/>
  <c r="ES723" i="4" s="1"/>
  <c r="ES638" i="4"/>
  <c r="ES686" i="4" s="1"/>
  <c r="ES626" i="4"/>
  <c r="ES668" i="4" s="1"/>
  <c r="ES727" i="4"/>
  <c r="EW811" i="4"/>
  <c r="EV812" i="4"/>
  <c r="EV817" i="4"/>
  <c r="ES673" i="4"/>
  <c r="ES679" i="4"/>
  <c r="ES721" i="4" s="1"/>
  <c r="ET583" i="4"/>
  <c r="ES944" i="4"/>
  <c r="ES657" i="4"/>
  <c r="ES699" i="4" s="1"/>
  <c r="ES663" i="4"/>
  <c r="ES705" i="4" s="1"/>
  <c r="EU637" i="4"/>
  <c r="EU625" i="4"/>
  <c r="EW816" i="4"/>
  <c r="EX810" i="4"/>
  <c r="ES655" i="4"/>
  <c r="ES942" i="4"/>
  <c r="ES661" i="4"/>
  <c r="ES703" i="4" s="1"/>
  <c r="ET819" i="4"/>
  <c r="EU813" i="4"/>
  <c r="EU819" i="4" s="1"/>
  <c r="EU669" i="4"/>
  <c r="EU711" i="4" s="1"/>
  <c r="EW569" i="4"/>
  <c r="EV591" i="4"/>
  <c r="EV585" i="4" s="1"/>
  <c r="ET570" i="4"/>
  <c r="ET657" i="4"/>
  <c r="ET699" i="4" s="1"/>
  <c r="ET663" i="4"/>
  <c r="ET705" i="4" s="1"/>
  <c r="ES584" i="4"/>
  <c r="EP634" i="4"/>
  <c r="EP682" i="4" s="1"/>
  <c r="EP943" i="4"/>
  <c r="EP945" i="4" s="1"/>
  <c r="EQ735" i="4"/>
  <c r="EP680" i="4"/>
  <c r="EP722" i="4" s="1"/>
  <c r="ER735" i="4"/>
  <c r="ER619" i="4"/>
  <c r="ER655" i="4" s="1"/>
  <c r="EQ628" i="4"/>
  <c r="ER686" i="4"/>
  <c r="ER688" i="4" s="1"/>
  <c r="EQ730" i="4"/>
  <c r="ER730" i="4" s="1"/>
  <c r="EQ697" i="4"/>
  <c r="EP706" i="4"/>
  <c r="ER673" i="4"/>
  <c r="ER679" i="4"/>
  <c r="ER721" i="4" s="1"/>
  <c r="EN736" i="4"/>
  <c r="EO718" i="4"/>
  <c r="ER728" i="4"/>
  <c r="EQ688" i="4"/>
  <c r="ER948" i="4"/>
  <c r="ER739" i="4"/>
  <c r="ER785" i="4" s="1"/>
  <c r="EQ715" i="4"/>
  <c r="EQ632" i="4"/>
  <c r="EQ620" i="4"/>
  <c r="EQ586" i="4"/>
  <c r="EP712" i="4"/>
  <c r="EP739" i="4"/>
  <c r="EP785" i="4" s="1"/>
  <c r="EP948" i="4"/>
  <c r="ER632" i="4"/>
  <c r="ER634" i="4" s="1"/>
  <c r="ER682" i="4" s="1"/>
  <c r="ER620" i="4"/>
  <c r="EQ709" i="4"/>
  <c r="EQ670" i="4"/>
  <c r="ER670" i="4" s="1"/>
  <c r="EO733" i="4"/>
  <c r="EO700" i="4"/>
  <c r="EP658" i="4"/>
  <c r="EP697" i="4"/>
  <c r="EQ949" i="4"/>
  <c r="EQ740" i="4"/>
  <c r="EQ786" i="4" s="1"/>
  <c r="ER668" i="4"/>
  <c r="ER710" i="4" s="1"/>
  <c r="EP676" i="4"/>
  <c r="EP715" i="4"/>
  <c r="EP949" i="4"/>
  <c r="EP740" i="4"/>
  <c r="EP786" i="4" s="1"/>
  <c r="ER586" i="4"/>
  <c r="EX816" i="4" l="1"/>
  <c r="EY810" i="4"/>
  <c r="ET675" i="4"/>
  <c r="ET717" i="4" s="1"/>
  <c r="ET735" i="4" s="1"/>
  <c r="ET944" i="4"/>
  <c r="EU950" i="4"/>
  <c r="EV633" i="4"/>
  <c r="EV621" i="4"/>
  <c r="ES697" i="4"/>
  <c r="EX811" i="4"/>
  <c r="EX817" i="4" s="1"/>
  <c r="EW817" i="4"/>
  <c r="ES670" i="4"/>
  <c r="ES709" i="4"/>
  <c r="EU631" i="4"/>
  <c r="EU619" i="4"/>
  <c r="EV627" i="4"/>
  <c r="EV669" i="4" s="1"/>
  <c r="EV639" i="4"/>
  <c r="EV687" i="4" s="1"/>
  <c r="ES735" i="4"/>
  <c r="ES710" i="4"/>
  <c r="ES628" i="4"/>
  <c r="EV568" i="4"/>
  <c r="EV589" i="4"/>
  <c r="EV583" i="4" s="1"/>
  <c r="EW567" i="4"/>
  <c r="EU657" i="4"/>
  <c r="EU699" i="4" s="1"/>
  <c r="EU944" i="4"/>
  <c r="EU663" i="4"/>
  <c r="EU705" i="4" s="1"/>
  <c r="ES632" i="4"/>
  <c r="ES620" i="4"/>
  <c r="ES586" i="4"/>
  <c r="EX569" i="4"/>
  <c r="EY569" i="4" s="1"/>
  <c r="EW591" i="4"/>
  <c r="EX591" i="4" s="1"/>
  <c r="ES715" i="4"/>
  <c r="ES728" i="4"/>
  <c r="ET727" i="4"/>
  <c r="EU741" i="4"/>
  <c r="EU787" i="4" s="1"/>
  <c r="EU590" i="4"/>
  <c r="ET626" i="4"/>
  <c r="ET668" i="4" s="1"/>
  <c r="ET710" i="4" s="1"/>
  <c r="ET638" i="4"/>
  <c r="ET686" i="4" s="1"/>
  <c r="ET728" i="4" s="1"/>
  <c r="EU675" i="4"/>
  <c r="EU717" i="4" s="1"/>
  <c r="EU681" i="4"/>
  <c r="EU723" i="4" s="1"/>
  <c r="ET631" i="4"/>
  <c r="ET619" i="4"/>
  <c r="EV813" i="4"/>
  <c r="EW812" i="4"/>
  <c r="EV818" i="4"/>
  <c r="ES688" i="4"/>
  <c r="ET667" i="4"/>
  <c r="ET584" i="4"/>
  <c r="EU570" i="4"/>
  <c r="EP734" i="4"/>
  <c r="EP724" i="4"/>
  <c r="ER661" i="4"/>
  <c r="ER703" i="4" s="1"/>
  <c r="ER942" i="4"/>
  <c r="ER622" i="4"/>
  <c r="ER664" i="4" s="1"/>
  <c r="ER949" i="4"/>
  <c r="ER951" i="4" s="1"/>
  <c r="ER740" i="4"/>
  <c r="ER786" i="4" s="1"/>
  <c r="EQ712" i="4"/>
  <c r="EQ948" i="4"/>
  <c r="EQ951" i="4" s="1"/>
  <c r="EQ739" i="4"/>
  <c r="EQ785" i="4" s="1"/>
  <c r="EP742" i="4"/>
  <c r="EP788" i="4" s="1"/>
  <c r="ER715" i="4"/>
  <c r="ER656" i="4"/>
  <c r="ER698" i="4" s="1"/>
  <c r="ER943" i="4"/>
  <c r="ER662" i="4"/>
  <c r="ER704" i="4" s="1"/>
  <c r="ER712" i="4"/>
  <c r="ER742" i="4" s="1"/>
  <c r="ER788" i="4" s="1"/>
  <c r="EP718" i="4"/>
  <c r="ER674" i="4"/>
  <c r="ER716" i="4" s="1"/>
  <c r="ER680" i="4"/>
  <c r="ER722" i="4" s="1"/>
  <c r="EQ943" i="4"/>
  <c r="EQ945" i="4" s="1"/>
  <c r="EQ656" i="4"/>
  <c r="EQ662" i="4"/>
  <c r="EQ704" i="4" s="1"/>
  <c r="EQ622" i="4"/>
  <c r="EQ664" i="4" s="1"/>
  <c r="ER697" i="4"/>
  <c r="EO736" i="4"/>
  <c r="EQ674" i="4"/>
  <c r="EQ680" i="4"/>
  <c r="EQ722" i="4" s="1"/>
  <c r="EQ634" i="4"/>
  <c r="EQ682" i="4" s="1"/>
  <c r="EP733" i="4"/>
  <c r="EP700" i="4"/>
  <c r="EP951" i="4"/>
  <c r="EQ733" i="4"/>
  <c r="EZ810" i="4" l="1"/>
  <c r="EY816" i="4"/>
  <c r="EY811" i="4"/>
  <c r="EY591" i="4"/>
  <c r="EZ569" i="4"/>
  <c r="ER945" i="4"/>
  <c r="ET628" i="4"/>
  <c r="EX639" i="4"/>
  <c r="EX627" i="4"/>
  <c r="ET620" i="4"/>
  <c r="ET622" i="4" s="1"/>
  <c r="ET664" i="4" s="1"/>
  <c r="ET632" i="4"/>
  <c r="EW818" i="4"/>
  <c r="EX812" i="4"/>
  <c r="EX818" i="4" s="1"/>
  <c r="ET673" i="4"/>
  <c r="ET679" i="4"/>
  <c r="ET721" i="4" s="1"/>
  <c r="EU638" i="4"/>
  <c r="EU626" i="4"/>
  <c r="EU628" i="4" s="1"/>
  <c r="EU592" i="4"/>
  <c r="EU640" i="4" s="1"/>
  <c r="EU728" i="4"/>
  <c r="EW589" i="4"/>
  <c r="EW583" i="4" s="1"/>
  <c r="EX567" i="4"/>
  <c r="EY567" i="4" s="1"/>
  <c r="EU584" i="4"/>
  <c r="ES949" i="4"/>
  <c r="ES740" i="4"/>
  <c r="ES786" i="4" s="1"/>
  <c r="EV819" i="4"/>
  <c r="EW813" i="4"/>
  <c r="EU686" i="4"/>
  <c r="EU688" i="4" s="1"/>
  <c r="ES656" i="4"/>
  <c r="ES943" i="4"/>
  <c r="ES945" i="4" s="1"/>
  <c r="ES662" i="4"/>
  <c r="ES704" i="4" s="1"/>
  <c r="ES622" i="4"/>
  <c r="ES664" i="4" s="1"/>
  <c r="EV631" i="4"/>
  <c r="EV619" i="4"/>
  <c r="EV590" i="4"/>
  <c r="EV584" i="4" s="1"/>
  <c r="EW568" i="4"/>
  <c r="EW570" i="4" s="1"/>
  <c r="EV711" i="4"/>
  <c r="ET586" i="4"/>
  <c r="ET730" i="4"/>
  <c r="EW585" i="4"/>
  <c r="EW639" i="4"/>
  <c r="EW687" i="4" s="1"/>
  <c r="EW729" i="4" s="1"/>
  <c r="EW627" i="4"/>
  <c r="EW669" i="4" s="1"/>
  <c r="EW711" i="4" s="1"/>
  <c r="ES674" i="4"/>
  <c r="ES680" i="4"/>
  <c r="ES722" i="4" s="1"/>
  <c r="ES634" i="4"/>
  <c r="ES682" i="4" s="1"/>
  <c r="EU735" i="4"/>
  <c r="EV625" i="4"/>
  <c r="EV637" i="4"/>
  <c r="EV685" i="4" s="1"/>
  <c r="EU727" i="4"/>
  <c r="EU655" i="4"/>
  <c r="EU942" i="4"/>
  <c r="EU661" i="4"/>
  <c r="EU703" i="4" s="1"/>
  <c r="EV944" i="4"/>
  <c r="EV657" i="4"/>
  <c r="EV699" i="4" s="1"/>
  <c r="EV663" i="4"/>
  <c r="EV705" i="4" s="1"/>
  <c r="EU667" i="4"/>
  <c r="EU709" i="4" s="1"/>
  <c r="ET670" i="4"/>
  <c r="EU670" i="4" s="1"/>
  <c r="ET709" i="4"/>
  <c r="ET942" i="4"/>
  <c r="ET655" i="4"/>
  <c r="ET661" i="4"/>
  <c r="ET703" i="4" s="1"/>
  <c r="ET949" i="4"/>
  <c r="ET740" i="4"/>
  <c r="ET786" i="4" s="1"/>
  <c r="ET688" i="4"/>
  <c r="EX585" i="4"/>
  <c r="EV570" i="4"/>
  <c r="EU668" i="4"/>
  <c r="EU710" i="4" s="1"/>
  <c r="ES730" i="4"/>
  <c r="EV729" i="4"/>
  <c r="EU673" i="4"/>
  <c r="EU679" i="4"/>
  <c r="EU721" i="4" s="1"/>
  <c r="ES739" i="4"/>
  <c r="ES785" i="4" s="1"/>
  <c r="ES712" i="4"/>
  <c r="ES948" i="4"/>
  <c r="ES733" i="4"/>
  <c r="EV675" i="4"/>
  <c r="EV717" i="4" s="1"/>
  <c r="EV681" i="4"/>
  <c r="EV723" i="4" s="1"/>
  <c r="ER658" i="4"/>
  <c r="ER676" i="4"/>
  <c r="EQ698" i="4"/>
  <c r="EQ658" i="4"/>
  <c r="EQ706" i="4"/>
  <c r="EQ742" i="4"/>
  <c r="EQ788" i="4" s="1"/>
  <c r="ER733" i="4"/>
  <c r="ER700" i="4"/>
  <c r="EQ724" i="4"/>
  <c r="ER734" i="4"/>
  <c r="EQ716" i="4"/>
  <c r="EQ676" i="4"/>
  <c r="ER724" i="4"/>
  <c r="ER706" i="4"/>
  <c r="EP736" i="4"/>
  <c r="ER718" i="4"/>
  <c r="EY639" i="4" l="1"/>
  <c r="EY687" i="4" s="1"/>
  <c r="EY627" i="4"/>
  <c r="EY669" i="4" s="1"/>
  <c r="EZ811" i="4"/>
  <c r="EY817" i="4"/>
  <c r="EY812" i="4"/>
  <c r="EY589" i="4"/>
  <c r="EZ567" i="4"/>
  <c r="EY585" i="4"/>
  <c r="FA569" i="4"/>
  <c r="EZ591" i="4"/>
  <c r="EZ585" i="4" s="1"/>
  <c r="EZ816" i="4"/>
  <c r="FA810" i="4"/>
  <c r="FA816" i="4" s="1"/>
  <c r="EX589" i="4"/>
  <c r="EX637" i="4" s="1"/>
  <c r="EX669" i="4"/>
  <c r="EX711" i="4" s="1"/>
  <c r="EX687" i="4"/>
  <c r="EU730" i="4"/>
  <c r="EV592" i="4"/>
  <c r="EV640" i="4" s="1"/>
  <c r="EX729" i="4"/>
  <c r="ES951" i="4"/>
  <c r="EU715" i="4"/>
  <c r="EX633" i="4"/>
  <c r="EX621" i="4"/>
  <c r="EU712" i="4"/>
  <c r="EU739" i="4"/>
  <c r="EU785" i="4" s="1"/>
  <c r="EU948" i="4"/>
  <c r="EV727" i="4"/>
  <c r="EV626" i="4"/>
  <c r="EV668" i="4" s="1"/>
  <c r="EV638" i="4"/>
  <c r="EV686" i="4" s="1"/>
  <c r="EV688" i="4" s="1"/>
  <c r="EV673" i="4"/>
  <c r="EV679" i="4"/>
  <c r="EV721" i="4" s="1"/>
  <c r="EW631" i="4"/>
  <c r="EW619" i="4"/>
  <c r="ET674" i="4"/>
  <c r="ET716" i="4" s="1"/>
  <c r="ET680" i="4"/>
  <c r="ET722" i="4" s="1"/>
  <c r="ES742" i="4"/>
  <c r="ES788" i="4" s="1"/>
  <c r="EU740" i="4"/>
  <c r="EU786" i="4" s="1"/>
  <c r="ES724" i="4"/>
  <c r="EW621" i="4"/>
  <c r="EW633" i="4"/>
  <c r="EV741" i="4"/>
  <c r="EV787" i="4" s="1"/>
  <c r="EV950" i="4"/>
  <c r="EV620" i="4"/>
  <c r="EV622" i="4" s="1"/>
  <c r="EV664" i="4" s="1"/>
  <c r="EV632" i="4"/>
  <c r="EV634" i="4" s="1"/>
  <c r="EV682" i="4" s="1"/>
  <c r="ES706" i="4"/>
  <c r="ET715" i="4"/>
  <c r="ET943" i="4"/>
  <c r="ET945" i="4" s="1"/>
  <c r="ET656" i="4"/>
  <c r="ET698" i="4" s="1"/>
  <c r="ET662" i="4"/>
  <c r="ET704" i="4" s="1"/>
  <c r="ET739" i="4"/>
  <c r="ET785" i="4" s="1"/>
  <c r="ET948" i="4"/>
  <c r="ET951" i="4" s="1"/>
  <c r="ET712" i="4"/>
  <c r="EV735" i="4"/>
  <c r="EU697" i="4"/>
  <c r="ES716" i="4"/>
  <c r="ES676" i="4"/>
  <c r="EV586" i="4"/>
  <c r="EW819" i="4"/>
  <c r="EX813" i="4"/>
  <c r="EX819" i="4" s="1"/>
  <c r="ET697" i="4"/>
  <c r="EV667" i="4"/>
  <c r="EW950" i="4"/>
  <c r="EW741" i="4"/>
  <c r="EW787" i="4" s="1"/>
  <c r="EW590" i="4"/>
  <c r="EW592" i="4" s="1"/>
  <c r="EW640" i="4" s="1"/>
  <c r="EX568" i="4"/>
  <c r="EY568" i="4" s="1"/>
  <c r="EV942" i="4"/>
  <c r="EV655" i="4"/>
  <c r="EV661" i="4"/>
  <c r="EV703" i="4" s="1"/>
  <c r="ES698" i="4"/>
  <c r="ES658" i="4"/>
  <c r="EU620" i="4"/>
  <c r="EU632" i="4"/>
  <c r="EU586" i="4"/>
  <c r="EW637" i="4"/>
  <c r="EW685" i="4" s="1"/>
  <c r="EX685" i="4" s="1"/>
  <c r="EW625" i="4"/>
  <c r="EU949" i="4"/>
  <c r="ET634" i="4"/>
  <c r="ET682" i="4" s="1"/>
  <c r="EQ718" i="4"/>
  <c r="ER736" i="4"/>
  <c r="EQ734" i="4"/>
  <c r="EQ700" i="4"/>
  <c r="EZ621" i="4" l="1"/>
  <c r="EZ633" i="4"/>
  <c r="FA567" i="4"/>
  <c r="EZ589" i="4"/>
  <c r="FA589" i="4" s="1"/>
  <c r="EY590" i="4"/>
  <c r="EY592" i="4" s="1"/>
  <c r="EY640" i="4" s="1"/>
  <c r="EZ568" i="4"/>
  <c r="EZ570" i="4" s="1"/>
  <c r="EY637" i="4"/>
  <c r="EY685" i="4" s="1"/>
  <c r="EY625" i="4"/>
  <c r="FA811" i="4"/>
  <c r="FA817" i="4" s="1"/>
  <c r="EZ817" i="4"/>
  <c r="EY621" i="4"/>
  <c r="EY633" i="4"/>
  <c r="EY583" i="4"/>
  <c r="EY711" i="4"/>
  <c r="FA591" i="4"/>
  <c r="EZ627" i="4"/>
  <c r="EZ669" i="4" s="1"/>
  <c r="EZ711" i="4" s="1"/>
  <c r="EZ639" i="4"/>
  <c r="EZ687" i="4" s="1"/>
  <c r="EZ729" i="4" s="1"/>
  <c r="EY570" i="4"/>
  <c r="EZ812" i="4"/>
  <c r="EY813" i="4"/>
  <c r="EY818" i="4"/>
  <c r="EY729" i="4"/>
  <c r="EU742" i="4"/>
  <c r="EU788" i="4" s="1"/>
  <c r="EV628" i="4"/>
  <c r="EX741" i="4"/>
  <c r="EX787" i="4" s="1"/>
  <c r="EX950" i="4"/>
  <c r="EX625" i="4"/>
  <c r="EX583" i="4"/>
  <c r="EX631" i="4" s="1"/>
  <c r="ET676" i="4"/>
  <c r="ET658" i="4"/>
  <c r="ET706" i="4"/>
  <c r="EU674" i="4"/>
  <c r="EU680" i="4"/>
  <c r="EU722" i="4" s="1"/>
  <c r="EU634" i="4"/>
  <c r="EU682" i="4" s="1"/>
  <c r="EV697" i="4"/>
  <c r="ET700" i="4"/>
  <c r="ET733" i="4"/>
  <c r="ET718" i="4"/>
  <c r="EV943" i="4"/>
  <c r="EV945" i="4" s="1"/>
  <c r="EV656" i="4"/>
  <c r="EV698" i="4" s="1"/>
  <c r="EV662" i="4"/>
  <c r="EV704" i="4" s="1"/>
  <c r="EV715" i="4"/>
  <c r="EV710" i="4"/>
  <c r="EU951" i="4"/>
  <c r="EX675" i="4"/>
  <c r="EX717" i="4" s="1"/>
  <c r="EX681" i="4"/>
  <c r="EX723" i="4" s="1"/>
  <c r="EW667" i="4"/>
  <c r="EX667" i="4" s="1"/>
  <c r="EX709" i="4" s="1"/>
  <c r="EU656" i="4"/>
  <c r="EU943" i="4"/>
  <c r="EU945" i="4" s="1"/>
  <c r="EU662" i="4"/>
  <c r="EU704" i="4" s="1"/>
  <c r="EU622" i="4"/>
  <c r="EU664" i="4" s="1"/>
  <c r="EW626" i="4"/>
  <c r="EW668" i="4" s="1"/>
  <c r="EW710" i="4" s="1"/>
  <c r="EW638" i="4"/>
  <c r="EW686" i="4" s="1"/>
  <c r="EW728" i="4" s="1"/>
  <c r="EV709" i="4"/>
  <c r="EV670" i="4"/>
  <c r="EX570" i="4"/>
  <c r="ES718" i="4"/>
  <c r="EW675" i="4"/>
  <c r="EW717" i="4" s="1"/>
  <c r="EW681" i="4"/>
  <c r="EW723" i="4" s="1"/>
  <c r="EW942" i="4"/>
  <c r="EW655" i="4"/>
  <c r="EW661" i="4"/>
  <c r="EW703" i="4" s="1"/>
  <c r="EW727" i="4"/>
  <c r="EX727" i="4" s="1"/>
  <c r="ET742" i="4"/>
  <c r="ET788" i="4" s="1"/>
  <c r="ET734" i="4"/>
  <c r="EW944" i="4"/>
  <c r="EW657" i="4"/>
  <c r="EW699" i="4" s="1"/>
  <c r="EW663" i="4"/>
  <c r="EW705" i="4" s="1"/>
  <c r="EW673" i="4"/>
  <c r="EW679" i="4"/>
  <c r="EW721" i="4" s="1"/>
  <c r="EX590" i="4"/>
  <c r="EX584" i="4" s="1"/>
  <c r="ES734" i="4"/>
  <c r="ES700" i="4"/>
  <c r="EW584" i="4"/>
  <c r="EU733" i="4"/>
  <c r="EV674" i="4"/>
  <c r="EV716" i="4" s="1"/>
  <c r="EV680" i="4"/>
  <c r="EV722" i="4" s="1"/>
  <c r="ET724" i="4"/>
  <c r="EV728" i="4"/>
  <c r="EV730" i="4" s="1"/>
  <c r="EX944" i="4"/>
  <c r="EX657" i="4"/>
  <c r="EX699" i="4" s="1"/>
  <c r="EX663" i="4"/>
  <c r="EX705" i="4" s="1"/>
  <c r="EQ736" i="4"/>
  <c r="FA729" i="4" l="1"/>
  <c r="EY950" i="4"/>
  <c r="EY741" i="4"/>
  <c r="EY787" i="4" s="1"/>
  <c r="FA568" i="4"/>
  <c r="FA570" i="4" s="1"/>
  <c r="EZ590" i="4"/>
  <c r="EZ592" i="4" s="1"/>
  <c r="EZ640" i="4" s="1"/>
  <c r="EZ637" i="4"/>
  <c r="EZ685" i="4" s="1"/>
  <c r="FA685" i="4" s="1"/>
  <c r="EZ625" i="4"/>
  <c r="EZ813" i="4"/>
  <c r="EY819" i="4"/>
  <c r="EZ950" i="4"/>
  <c r="EZ741" i="4"/>
  <c r="EZ787" i="4" s="1"/>
  <c r="EY619" i="4"/>
  <c r="EY631" i="4"/>
  <c r="FA637" i="4"/>
  <c r="FA625" i="4"/>
  <c r="EY626" i="4"/>
  <c r="EY668" i="4" s="1"/>
  <c r="EY638" i="4"/>
  <c r="EY686" i="4" s="1"/>
  <c r="EY688" i="4" s="1"/>
  <c r="FA583" i="4"/>
  <c r="FA812" i="4"/>
  <c r="FA818" i="4" s="1"/>
  <c r="EZ818" i="4"/>
  <c r="FA627" i="4"/>
  <c r="FA639" i="4"/>
  <c r="EY675" i="4"/>
  <c r="EY717" i="4" s="1"/>
  <c r="EY681" i="4"/>
  <c r="EY723" i="4" s="1"/>
  <c r="EY667" i="4"/>
  <c r="FA585" i="4"/>
  <c r="EZ681" i="4"/>
  <c r="EZ723" i="4" s="1"/>
  <c r="EZ675" i="4"/>
  <c r="EZ717" i="4" s="1"/>
  <c r="FA687" i="4"/>
  <c r="FA669" i="4"/>
  <c r="FA711" i="4" s="1"/>
  <c r="EY657" i="4"/>
  <c r="EY699" i="4" s="1"/>
  <c r="EY944" i="4"/>
  <c r="EY663" i="4"/>
  <c r="EY705" i="4" s="1"/>
  <c r="EY727" i="4"/>
  <c r="EY584" i="4"/>
  <c r="EZ583" i="4"/>
  <c r="EZ657" i="4"/>
  <c r="EZ699" i="4" s="1"/>
  <c r="EZ944" i="4"/>
  <c r="EZ663" i="4"/>
  <c r="EZ705" i="4" s="1"/>
  <c r="EX619" i="4"/>
  <c r="EX942" i="4" s="1"/>
  <c r="EV706" i="4"/>
  <c r="EX686" i="4"/>
  <c r="EX688" i="4" s="1"/>
  <c r="EV724" i="4"/>
  <c r="EW688" i="4"/>
  <c r="EX632" i="4"/>
  <c r="EX634" i="4" s="1"/>
  <c r="EX682" i="4" s="1"/>
  <c r="EX620" i="4"/>
  <c r="EX586" i="4"/>
  <c r="EW735" i="4"/>
  <c r="EV739" i="4"/>
  <c r="EV785" i="4" s="1"/>
  <c r="EV948" i="4"/>
  <c r="EV712" i="4"/>
  <c r="EU706" i="4"/>
  <c r="EW709" i="4"/>
  <c r="EW670" i="4"/>
  <c r="EX670" i="4" s="1"/>
  <c r="EX668" i="4"/>
  <c r="EX710" i="4" s="1"/>
  <c r="EX712" i="4" s="1"/>
  <c r="EW632" i="4"/>
  <c r="EW620" i="4"/>
  <c r="EW586" i="4"/>
  <c r="EW715" i="4"/>
  <c r="EV949" i="4"/>
  <c r="EV740" i="4"/>
  <c r="EV786" i="4" s="1"/>
  <c r="EV658" i="4"/>
  <c r="EU724" i="4"/>
  <c r="ES736" i="4"/>
  <c r="EX638" i="4"/>
  <c r="EX626" i="4"/>
  <c r="EX628" i="4" s="1"/>
  <c r="EX592" i="4"/>
  <c r="EX640" i="4" s="1"/>
  <c r="EX739" i="4"/>
  <c r="EX785" i="4" s="1"/>
  <c r="EX948" i="4"/>
  <c r="EW740" i="4"/>
  <c r="EW786" i="4" s="1"/>
  <c r="EW949" i="4"/>
  <c r="EU698" i="4"/>
  <c r="EU658" i="4"/>
  <c r="EV718" i="4"/>
  <c r="EV734" i="4"/>
  <c r="EV733" i="4"/>
  <c r="EV700" i="4"/>
  <c r="EU716" i="4"/>
  <c r="EU676" i="4"/>
  <c r="EX735" i="4"/>
  <c r="EX728" i="4"/>
  <c r="EW730" i="4"/>
  <c r="EW697" i="4"/>
  <c r="EW628" i="4"/>
  <c r="EV676" i="4"/>
  <c r="EX673" i="4"/>
  <c r="EX679" i="4"/>
  <c r="EX721" i="4" s="1"/>
  <c r="ET736" i="4"/>
  <c r="DT131" i="4"/>
  <c r="DS133" i="4"/>
  <c r="DP133" i="4"/>
  <c r="DL179" i="4"/>
  <c r="DM168" i="4"/>
  <c r="DM242" i="4" s="1"/>
  <c r="DP179" i="4"/>
  <c r="DM179" i="4"/>
  <c r="DM208" i="4"/>
  <c r="EZ735" i="4" l="1"/>
  <c r="EX655" i="4"/>
  <c r="EX697" i="4" s="1"/>
  <c r="EY735" i="4"/>
  <c r="EY728" i="4"/>
  <c r="EY730" i="4" s="1"/>
  <c r="EZ667" i="4"/>
  <c r="FA667" i="4" s="1"/>
  <c r="FA709" i="4" s="1"/>
  <c r="FA590" i="4"/>
  <c r="FA584" i="4" s="1"/>
  <c r="EZ638" i="4"/>
  <c r="EZ686" i="4" s="1"/>
  <c r="EZ728" i="4" s="1"/>
  <c r="EZ626" i="4"/>
  <c r="EZ668" i="4" s="1"/>
  <c r="EZ710" i="4" s="1"/>
  <c r="EZ631" i="4"/>
  <c r="EZ619" i="4"/>
  <c r="FA741" i="4"/>
  <c r="FA787" i="4" s="1"/>
  <c r="FA950" i="4"/>
  <c r="FA633" i="4"/>
  <c r="FA621" i="4"/>
  <c r="EY710" i="4"/>
  <c r="EY673" i="4"/>
  <c r="EY679" i="4"/>
  <c r="EY721" i="4" s="1"/>
  <c r="EZ727" i="4"/>
  <c r="FA727" i="4" s="1"/>
  <c r="EY620" i="4"/>
  <c r="EY622" i="4" s="1"/>
  <c r="EY664" i="4" s="1"/>
  <c r="EY632" i="4"/>
  <c r="EY634" i="4" s="1"/>
  <c r="EY682" i="4" s="1"/>
  <c r="EY709" i="4"/>
  <c r="EY670" i="4"/>
  <c r="EY586" i="4"/>
  <c r="EY628" i="4"/>
  <c r="FA619" i="4"/>
  <c r="FA631" i="4"/>
  <c r="EY942" i="4"/>
  <c r="EY655" i="4"/>
  <c r="EY661" i="4"/>
  <c r="EY703" i="4" s="1"/>
  <c r="FA813" i="4"/>
  <c r="FA819" i="4" s="1"/>
  <c r="EZ819" i="4"/>
  <c r="EZ584" i="4"/>
  <c r="EZ586" i="4" s="1"/>
  <c r="EX661" i="4"/>
  <c r="EX703" i="4" s="1"/>
  <c r="EX622" i="4"/>
  <c r="EX664" i="4" s="1"/>
  <c r="EW674" i="4"/>
  <c r="EW680" i="4"/>
  <c r="EW722" i="4" s="1"/>
  <c r="EW634" i="4"/>
  <c r="EW682" i="4" s="1"/>
  <c r="EX949" i="4"/>
  <c r="EX951" i="4" s="1"/>
  <c r="EV742" i="4"/>
  <c r="EV788" i="4" s="1"/>
  <c r="EX740" i="4"/>
  <c r="EX786" i="4" s="1"/>
  <c r="EV951" i="4"/>
  <c r="EX715" i="4"/>
  <c r="EX730" i="4"/>
  <c r="EX742" i="4" s="1"/>
  <c r="EX788" i="4" s="1"/>
  <c r="EU718" i="4"/>
  <c r="EV736" i="4"/>
  <c r="EU734" i="4"/>
  <c r="EU700" i="4"/>
  <c r="EW712" i="4"/>
  <c r="EW739" i="4"/>
  <c r="EW785" i="4" s="1"/>
  <c r="EW948" i="4"/>
  <c r="EW951" i="4" s="1"/>
  <c r="EX943" i="4"/>
  <c r="EX945" i="4" s="1"/>
  <c r="EX656" i="4"/>
  <c r="EX698" i="4" s="1"/>
  <c r="EX662" i="4"/>
  <c r="EX704" i="4" s="1"/>
  <c r="EW733" i="4"/>
  <c r="EW656" i="4"/>
  <c r="EW943" i="4"/>
  <c r="EW945" i="4" s="1"/>
  <c r="EW662" i="4"/>
  <c r="EW704" i="4" s="1"/>
  <c r="EW622" i="4"/>
  <c r="EW664" i="4" s="1"/>
  <c r="EX674" i="4"/>
  <c r="EX716" i="4" s="1"/>
  <c r="EX680" i="4"/>
  <c r="EX722" i="4" s="1"/>
  <c r="DP134" i="4"/>
  <c r="DQ133" i="4"/>
  <c r="DP149" i="4"/>
  <c r="DS149" i="4"/>
  <c r="DS134" i="4"/>
  <c r="DT133" i="4"/>
  <c r="DM169" i="4"/>
  <c r="DM252" i="4"/>
  <c r="DM246" i="4"/>
  <c r="DM248" i="4" s="1"/>
  <c r="DM448" i="4" s="1"/>
  <c r="DP168" i="4"/>
  <c r="DP242" i="4" s="1"/>
  <c r="DL168" i="4"/>
  <c r="DL242" i="4" s="1"/>
  <c r="DP208" i="4"/>
  <c r="DL208" i="4"/>
  <c r="DN208" i="4" s="1"/>
  <c r="EZ688" i="4" l="1"/>
  <c r="FA686" i="4"/>
  <c r="FA688" i="4" s="1"/>
  <c r="EZ730" i="4"/>
  <c r="FA730" i="4" s="1"/>
  <c r="FA620" i="4"/>
  <c r="FA622" i="4" s="1"/>
  <c r="FA664" i="4" s="1"/>
  <c r="FA632" i="4"/>
  <c r="FA634" i="4" s="1"/>
  <c r="FA682" i="4" s="1"/>
  <c r="FA586" i="4"/>
  <c r="EY697" i="4"/>
  <c r="EY739" i="4"/>
  <c r="EY785" i="4" s="1"/>
  <c r="EY948" i="4"/>
  <c r="EY712" i="4"/>
  <c r="EY742" i="4" s="1"/>
  <c r="EY788" i="4" s="1"/>
  <c r="FA655" i="4"/>
  <c r="FA942" i="4"/>
  <c r="FA661" i="4"/>
  <c r="FA703" i="4" s="1"/>
  <c r="EY674" i="4"/>
  <c r="EY716" i="4" s="1"/>
  <c r="EY680" i="4"/>
  <c r="EY722" i="4" s="1"/>
  <c r="EY715" i="4"/>
  <c r="FA944" i="4"/>
  <c r="FA657" i="4"/>
  <c r="FA699" i="4" s="1"/>
  <c r="FA663" i="4"/>
  <c r="FA705" i="4" s="1"/>
  <c r="FA728" i="4"/>
  <c r="FA739" i="4"/>
  <c r="FA785" i="4" s="1"/>
  <c r="FA948" i="4"/>
  <c r="EY943" i="4"/>
  <c r="EY945" i="4" s="1"/>
  <c r="EY656" i="4"/>
  <c r="EY698" i="4" s="1"/>
  <c r="EY662" i="4"/>
  <c r="EY704" i="4" s="1"/>
  <c r="EY706" i="4" s="1"/>
  <c r="FA681" i="4"/>
  <c r="FA723" i="4" s="1"/>
  <c r="FA675" i="4"/>
  <c r="FA717" i="4" s="1"/>
  <c r="EZ942" i="4"/>
  <c r="EZ655" i="4"/>
  <c r="EZ661" i="4"/>
  <c r="EZ703" i="4" s="1"/>
  <c r="FA626" i="4"/>
  <c r="FA628" i="4" s="1"/>
  <c r="FA638" i="4"/>
  <c r="FA592" i="4"/>
  <c r="FA640" i="4" s="1"/>
  <c r="EZ632" i="4"/>
  <c r="EZ620" i="4"/>
  <c r="FA673" i="4"/>
  <c r="FA679" i="4"/>
  <c r="FA721" i="4" s="1"/>
  <c r="FA668" i="4"/>
  <c r="FA710" i="4" s="1"/>
  <c r="EZ673" i="4"/>
  <c r="EZ679" i="4"/>
  <c r="EZ721" i="4" s="1"/>
  <c r="EZ628" i="4"/>
  <c r="EY949" i="4"/>
  <c r="EY740" i="4"/>
  <c r="EY786" i="4" s="1"/>
  <c r="EZ740" i="4"/>
  <c r="EZ786" i="4" s="1"/>
  <c r="EZ949" i="4"/>
  <c r="EZ709" i="4"/>
  <c r="EZ670" i="4"/>
  <c r="FA670" i="4" s="1"/>
  <c r="EX706" i="4"/>
  <c r="DT134" i="4"/>
  <c r="M25" i="9"/>
  <c r="DQ134" i="4"/>
  <c r="L25" i="9"/>
  <c r="L41" i="9" s="1"/>
  <c r="EX734" i="4"/>
  <c r="EU736" i="4"/>
  <c r="EX718" i="4"/>
  <c r="EW724" i="4"/>
  <c r="EW706" i="4"/>
  <c r="EX658" i="4"/>
  <c r="EX676" i="4"/>
  <c r="EW716" i="4"/>
  <c r="EW676" i="4"/>
  <c r="EW742" i="4"/>
  <c r="EW788" i="4" s="1"/>
  <c r="EX733" i="4"/>
  <c r="EX700" i="4"/>
  <c r="EX724" i="4"/>
  <c r="EW698" i="4"/>
  <c r="EW658" i="4"/>
  <c r="DS154" i="4"/>
  <c r="DT149" i="4"/>
  <c r="DT150" i="4" s="1"/>
  <c r="DS150" i="4"/>
  <c r="DP154" i="4"/>
  <c r="DP150" i="4"/>
  <c r="DQ149" i="4"/>
  <c r="DQ150" i="4" s="1"/>
  <c r="DO208" i="4"/>
  <c r="DQ208" i="4" s="1"/>
  <c r="DO168" i="4"/>
  <c r="DO242" i="4" s="1"/>
  <c r="DO179" i="4"/>
  <c r="DN168" i="4"/>
  <c r="DN242" i="4" s="1"/>
  <c r="DL246" i="4"/>
  <c r="DL169" i="4"/>
  <c r="DL252" i="4"/>
  <c r="DR168" i="4"/>
  <c r="DR242" i="4" s="1"/>
  <c r="DR179" i="4"/>
  <c r="DR208" i="4"/>
  <c r="DP246" i="4"/>
  <c r="DP248" i="4" s="1"/>
  <c r="DP448" i="4" s="1"/>
  <c r="DP169" i="4"/>
  <c r="DP252" i="4"/>
  <c r="DN179" i="4"/>
  <c r="DM449" i="4"/>
  <c r="DM454" i="4"/>
  <c r="DM456" i="4" s="1"/>
  <c r="DS208" i="4"/>
  <c r="DS168" i="4"/>
  <c r="DS242" i="4" s="1"/>
  <c r="DS179" i="4"/>
  <c r="DM438" i="4"/>
  <c r="DP271" i="4"/>
  <c r="DP300" i="4"/>
  <c r="DP260" i="4"/>
  <c r="DP333" i="4" s="1"/>
  <c r="EY734" i="4" l="1"/>
  <c r="FA740" i="4"/>
  <c r="FA786" i="4" s="1"/>
  <c r="FA949" i="4"/>
  <c r="FA951" i="4" s="1"/>
  <c r="EZ656" i="4"/>
  <c r="EZ698" i="4" s="1"/>
  <c r="EZ943" i="4"/>
  <c r="EZ945" i="4" s="1"/>
  <c r="EZ662" i="4"/>
  <c r="EZ704" i="4" s="1"/>
  <c r="EZ706" i="4" s="1"/>
  <c r="EZ622" i="4"/>
  <c r="EZ664" i="4" s="1"/>
  <c r="FA735" i="4"/>
  <c r="EY658" i="4"/>
  <c r="EZ674" i="4"/>
  <c r="EZ716" i="4" s="1"/>
  <c r="EZ680" i="4"/>
  <c r="EZ722" i="4" s="1"/>
  <c r="EZ724" i="4" s="1"/>
  <c r="FA697" i="4"/>
  <c r="EY951" i="4"/>
  <c r="EZ948" i="4"/>
  <c r="EZ951" i="4" s="1"/>
  <c r="EZ739" i="4"/>
  <c r="EZ785" i="4" s="1"/>
  <c r="EZ712" i="4"/>
  <c r="EZ742" i="4" s="1"/>
  <c r="EZ788" i="4" s="1"/>
  <c r="EZ715" i="4"/>
  <c r="FA715" i="4"/>
  <c r="EZ697" i="4"/>
  <c r="EY718" i="4"/>
  <c r="FA674" i="4"/>
  <c r="FA716" i="4" s="1"/>
  <c r="FA680" i="4"/>
  <c r="FA722" i="4" s="1"/>
  <c r="FA724" i="4" s="1"/>
  <c r="EY724" i="4"/>
  <c r="EZ634" i="4"/>
  <c r="EZ682" i="4" s="1"/>
  <c r="FA712" i="4"/>
  <c r="FA742" i="4" s="1"/>
  <c r="FA788" i="4" s="1"/>
  <c r="EY676" i="4"/>
  <c r="EY733" i="4"/>
  <c r="EY736" i="4" s="1"/>
  <c r="EY700" i="4"/>
  <c r="FA656" i="4"/>
  <c r="FA698" i="4" s="1"/>
  <c r="FA943" i="4"/>
  <c r="FA945" i="4" s="1"/>
  <c r="FA662" i="4"/>
  <c r="FA704" i="4" s="1"/>
  <c r="FA706" i="4" s="1"/>
  <c r="M26" i="9"/>
  <c r="M41" i="9"/>
  <c r="EW734" i="4"/>
  <c r="EW700" i="4"/>
  <c r="EX736" i="4"/>
  <c r="EW718" i="4"/>
  <c r="DS160" i="4"/>
  <c r="DS155" i="4"/>
  <c r="DT154" i="4"/>
  <c r="DT155" i="4" s="1"/>
  <c r="DP160" i="4"/>
  <c r="DQ154" i="4"/>
  <c r="DQ155" i="4" s="1"/>
  <c r="DP155" i="4"/>
  <c r="DT208" i="4"/>
  <c r="DP302" i="4"/>
  <c r="DQ300" i="4"/>
  <c r="DQ302" i="4" s="1"/>
  <c r="DQ260" i="4"/>
  <c r="DQ333" i="4" s="1"/>
  <c r="DP337" i="4"/>
  <c r="DP348" i="4"/>
  <c r="DP261" i="4"/>
  <c r="DP343" i="4"/>
  <c r="DQ271" i="4"/>
  <c r="DT179" i="4"/>
  <c r="DM439" i="4"/>
  <c r="DM444" i="4"/>
  <c r="DM445" i="4" s="1"/>
  <c r="DO246" i="4"/>
  <c r="DO169" i="4"/>
  <c r="DO252" i="4"/>
  <c r="DQ168" i="4"/>
  <c r="DQ242" i="4" s="1"/>
  <c r="DP449" i="4"/>
  <c r="DN246" i="4"/>
  <c r="DN247" i="4" s="1"/>
  <c r="DL248" i="4"/>
  <c r="DP273" i="4"/>
  <c r="DP301" i="4"/>
  <c r="DQ273" i="4"/>
  <c r="DS260" i="4"/>
  <c r="DS333" i="4" s="1"/>
  <c r="DS271" i="4"/>
  <c r="DS300" i="4"/>
  <c r="DP438" i="4"/>
  <c r="DR246" i="4"/>
  <c r="DR169" i="4"/>
  <c r="DR252" i="4"/>
  <c r="DT168" i="4"/>
  <c r="DT242" i="4" s="1"/>
  <c r="DS246" i="4"/>
  <c r="DS248" i="4" s="1"/>
  <c r="DS448" i="4" s="1"/>
  <c r="DS169" i="4"/>
  <c r="DS252" i="4"/>
  <c r="DN254" i="4"/>
  <c r="DN169" i="4"/>
  <c r="DN252" i="4"/>
  <c r="DQ179" i="4"/>
  <c r="EZ658" i="4" l="1"/>
  <c r="EZ676" i="4"/>
  <c r="FA718" i="4"/>
  <c r="EZ733" i="4"/>
  <c r="EZ700" i="4"/>
  <c r="EZ718" i="4"/>
  <c r="DS7" i="4"/>
  <c r="DS8" i="4" s="1"/>
  <c r="EZ734" i="4"/>
  <c r="DP7" i="4"/>
  <c r="DP8" i="4" s="1"/>
  <c r="FA658" i="4"/>
  <c r="FA734" i="4"/>
  <c r="FA676" i="4"/>
  <c r="FA700" i="4"/>
  <c r="FA733" i="4"/>
  <c r="EW736" i="4"/>
  <c r="DP161" i="4"/>
  <c r="DQ160" i="4"/>
  <c r="DS161" i="4"/>
  <c r="DT160" i="4"/>
  <c r="DS438" i="4"/>
  <c r="DS449" i="4"/>
  <c r="DS302" i="4"/>
  <c r="DT300" i="4"/>
  <c r="DT302" i="4" s="1"/>
  <c r="DQ301" i="4"/>
  <c r="DN248" i="4"/>
  <c r="DL448" i="4"/>
  <c r="DQ337" i="4"/>
  <c r="DQ338" i="4" s="1"/>
  <c r="DP339" i="4"/>
  <c r="DS273" i="4"/>
  <c r="DS301" i="4"/>
  <c r="DT273" i="4"/>
  <c r="DO248" i="4"/>
  <c r="DQ246" i="4"/>
  <c r="DQ247" i="4" s="1"/>
  <c r="DR248" i="4"/>
  <c r="DT246" i="4"/>
  <c r="DT247" i="4" s="1"/>
  <c r="DL438" i="4"/>
  <c r="DT254" i="4"/>
  <c r="DT169" i="4"/>
  <c r="DT252" i="4"/>
  <c r="DP439" i="4"/>
  <c r="DT271" i="4"/>
  <c r="DS348" i="4"/>
  <c r="DS261" i="4"/>
  <c r="DS343" i="4"/>
  <c r="DT260" i="4"/>
  <c r="DT333" i="4" s="1"/>
  <c r="DS337" i="4"/>
  <c r="DQ169" i="4"/>
  <c r="DQ252" i="4"/>
  <c r="DQ254" i="4"/>
  <c r="DQ261" i="4"/>
  <c r="DQ343" i="4"/>
  <c r="DQ348" i="4"/>
  <c r="EZ736" i="4" l="1"/>
  <c r="FA736" i="4"/>
  <c r="DT7" i="4"/>
  <c r="DT8" i="4" s="1"/>
  <c r="DQ161" i="4"/>
  <c r="DQ7" i="4"/>
  <c r="DQ8" i="4" s="1"/>
  <c r="DT161" i="4"/>
  <c r="DO438" i="4"/>
  <c r="DL439" i="4"/>
  <c r="DL444" i="4"/>
  <c r="DN438" i="4"/>
  <c r="DN439" i="4" s="1"/>
  <c r="DR448" i="4"/>
  <c r="DT248" i="4"/>
  <c r="DO448" i="4"/>
  <c r="DQ248" i="4"/>
  <c r="DP431" i="4"/>
  <c r="DT337" i="4"/>
  <c r="DT338" i="4" s="1"/>
  <c r="DS339" i="4"/>
  <c r="DL449" i="4"/>
  <c r="DN448" i="4"/>
  <c r="DN449" i="4" s="1"/>
  <c r="DL454" i="4"/>
  <c r="DQ335" i="4"/>
  <c r="DP440" i="4"/>
  <c r="DP335" i="4"/>
  <c r="DS439" i="4"/>
  <c r="DT301" i="4"/>
  <c r="DT348" i="4"/>
  <c r="DT261" i="4"/>
  <c r="DT343" i="4"/>
  <c r="DR438" i="4"/>
  <c r="DQ339" i="4"/>
  <c r="DP450" i="4"/>
  <c r="DS431" i="4" l="1"/>
  <c r="DS335" i="4"/>
  <c r="DT335" i="4"/>
  <c r="DS440" i="4"/>
  <c r="DN454" i="4"/>
  <c r="DN456" i="4" s="1"/>
  <c r="DL456" i="4"/>
  <c r="DT339" i="4"/>
  <c r="DS450" i="4"/>
  <c r="DN444" i="4"/>
  <c r="DN445" i="4" s="1"/>
  <c r="DL445" i="4"/>
  <c r="DP432" i="4"/>
  <c r="DQ431" i="4"/>
  <c r="DQ432" i="4" s="1"/>
  <c r="DQ448" i="4"/>
  <c r="DQ449" i="4" s="1"/>
  <c r="DO454" i="4"/>
  <c r="DO449" i="4"/>
  <c r="DQ438" i="4"/>
  <c r="DQ439" i="4" s="1"/>
  <c r="DO444" i="4"/>
  <c r="DO439" i="4"/>
  <c r="DP451" i="4"/>
  <c r="DQ450" i="4"/>
  <c r="DQ451" i="4" s="1"/>
  <c r="DP454" i="4"/>
  <c r="DP456" i="4" s="1"/>
  <c r="DR439" i="4"/>
  <c r="DR444" i="4"/>
  <c r="DT438" i="4"/>
  <c r="DT439" i="4" s="1"/>
  <c r="DR454" i="4"/>
  <c r="DR449" i="4"/>
  <c r="DT448" i="4"/>
  <c r="DT449" i="4" s="1"/>
  <c r="DP441" i="4"/>
  <c r="DQ440" i="4"/>
  <c r="DQ441" i="4" s="1"/>
  <c r="DR456" i="4" l="1"/>
  <c r="DT440" i="4"/>
  <c r="DT441" i="4" s="1"/>
  <c r="DS441" i="4"/>
  <c r="DR445" i="4"/>
  <c r="DQ454" i="4"/>
  <c r="DQ456" i="4" s="1"/>
  <c r="DO456" i="4"/>
  <c r="DT450" i="4"/>
  <c r="DT451" i="4" s="1"/>
  <c r="DS451" i="4"/>
  <c r="DS454" i="4"/>
  <c r="DS456" i="4" s="1"/>
  <c r="DS432" i="4"/>
  <c r="DT431" i="4"/>
  <c r="DT432" i="4" s="1"/>
  <c r="DO445" i="4"/>
  <c r="DT454" i="4" l="1"/>
  <c r="DT456" i="4" s="1"/>
  <c r="DP360" i="4" l="1"/>
  <c r="DP379" i="4"/>
  <c r="DP380" i="4" l="1"/>
  <c r="DP402" i="4"/>
  <c r="DP405" i="4" s="1"/>
  <c r="DQ379" i="4"/>
  <c r="DQ380" i="4" s="1"/>
  <c r="DS360" i="4"/>
  <c r="DS379" i="4"/>
  <c r="DQ360" i="4"/>
  <c r="DQ405" i="4" l="1"/>
  <c r="DQ406" i="4" s="1"/>
  <c r="DP442" i="4"/>
  <c r="DS380" i="4"/>
  <c r="DS402" i="4"/>
  <c r="DS405" i="4" s="1"/>
  <c r="DT379" i="4"/>
  <c r="DT380" i="4" s="1"/>
  <c r="DP403" i="4"/>
  <c r="DQ402" i="4"/>
  <c r="DQ403" i="4" s="1"/>
  <c r="DP433" i="4"/>
  <c r="DT360" i="4"/>
  <c r="DT357" i="4"/>
  <c r="DS442" i="4" l="1"/>
  <c r="DT405" i="4"/>
  <c r="DT406" i="4" s="1"/>
  <c r="DU406" i="4" s="1"/>
  <c r="DP443" i="4"/>
  <c r="DQ442" i="4"/>
  <c r="DQ443" i="4" s="1"/>
  <c r="DP444" i="4"/>
  <c r="DQ433" i="4"/>
  <c r="DQ434" i="4" s="1"/>
  <c r="DP434" i="4"/>
  <c r="DP435" i="4"/>
  <c r="DS403" i="4"/>
  <c r="DT402" i="4"/>
  <c r="DT403" i="4" s="1"/>
  <c r="DS433" i="4"/>
  <c r="DP445" i="4" l="1"/>
  <c r="DQ444" i="4"/>
  <c r="DQ445" i="4" s="1"/>
  <c r="DS443" i="4"/>
  <c r="DT442" i="4"/>
  <c r="DT443" i="4" s="1"/>
  <c r="DS444" i="4"/>
  <c r="DT433" i="4"/>
  <c r="DT434" i="4" s="1"/>
  <c r="DS434" i="4"/>
  <c r="DS435" i="4"/>
  <c r="DQ435" i="4"/>
  <c r="DQ436" i="4" s="1"/>
  <c r="DP436" i="4"/>
  <c r="DS445" i="4" l="1"/>
  <c r="DT444" i="4"/>
  <c r="DT445" i="4" s="1"/>
  <c r="DS436" i="4"/>
  <c r="DT435" i="4"/>
  <c r="DT436" i="4" s="1"/>
  <c r="DS18" i="3" l="1"/>
  <c r="DT18" i="3" l="1"/>
  <c r="DT76" i="2"/>
  <c r="DT74" i="2" l="1"/>
  <c r="DS76" i="2"/>
  <c r="DT181" i="2"/>
  <c r="AC24" i="9" s="1"/>
  <c r="DT497" i="2"/>
  <c r="DT504" i="2"/>
  <c r="M31" i="9" l="1"/>
  <c r="DT72" i="2"/>
  <c r="DS181" i="2"/>
  <c r="DS504" i="2"/>
  <c r="DS497" i="2"/>
  <c r="DS74" i="2"/>
  <c r="DT479" i="2"/>
  <c r="M29" i="9" l="1"/>
  <c r="M42" i="9" s="1"/>
  <c r="DT12" i="4"/>
  <c r="DT178" i="2"/>
  <c r="DS178" i="2" s="1"/>
  <c r="DT73" i="2"/>
  <c r="DT161" i="2"/>
  <c r="DT331" i="2"/>
  <c r="DR176" i="2"/>
  <c r="DT4" i="3"/>
  <c r="DT10" i="3" s="1"/>
  <c r="DS72" i="2"/>
  <c r="AC13" i="9" s="1"/>
  <c r="DT343" i="2"/>
  <c r="M44" i="9" s="1"/>
  <c r="DT68" i="2"/>
  <c r="DT160" i="2" s="1"/>
  <c r="DS479" i="2"/>
  <c r="DT480" i="2"/>
  <c r="DT151" i="3"/>
  <c r="DS151" i="3"/>
  <c r="DS148" i="3" s="1"/>
  <c r="M33" i="9" l="1"/>
  <c r="DS343" i="2"/>
  <c r="DS12" i="4"/>
  <c r="DS172" i="2"/>
  <c r="DS73" i="2"/>
  <c r="DS176" i="2"/>
  <c r="DS331" i="2"/>
  <c r="DT69" i="2"/>
  <c r="DS68" i="2"/>
  <c r="DS69" i="2" s="1"/>
  <c r="DS161" i="2"/>
  <c r="DS4" i="3"/>
  <c r="DS10" i="3" s="1"/>
  <c r="DT60" i="2"/>
  <c r="DT617" i="2" s="1"/>
  <c r="DT84" i="2"/>
  <c r="DT81" i="2"/>
  <c r="DT463" i="2"/>
  <c r="DT618" i="2"/>
  <c r="DT499" i="2"/>
  <c r="DS480" i="2"/>
  <c r="DT148" i="3"/>
  <c r="DT152" i="3"/>
  <c r="DW150" i="3" s="1"/>
  <c r="DS84" i="2" l="1"/>
  <c r="DT61" i="2"/>
  <c r="DS60" i="2"/>
  <c r="DS159" i="2" s="1"/>
  <c r="DT159" i="2"/>
  <c r="DS171" i="2"/>
  <c r="DS160" i="2"/>
  <c r="DT90" i="2"/>
  <c r="DT5" i="3" s="1"/>
  <c r="DT11" i="3" s="1"/>
  <c r="DT155" i="2"/>
  <c r="DT10" i="2"/>
  <c r="DT11" i="2" s="1"/>
  <c r="DT115" i="2"/>
  <c r="DT163" i="2"/>
  <c r="DU150" i="3"/>
  <c r="DS152" i="3"/>
  <c r="DS183" i="2"/>
  <c r="DS463" i="2" s="1"/>
  <c r="DT620" i="2"/>
  <c r="DT619" i="2"/>
  <c r="DS81" i="2"/>
  <c r="DS499" i="2"/>
  <c r="DS618" i="2"/>
  <c r="DS155" i="2" l="1"/>
  <c r="DS163" i="2"/>
  <c r="DS174" i="2"/>
  <c r="DS61" i="2"/>
  <c r="DS10" i="2"/>
  <c r="DS11" i="2" s="1"/>
  <c r="M11" i="9"/>
  <c r="M13" i="9" s="1"/>
  <c r="DS170" i="2"/>
  <c r="DT13" i="2"/>
  <c r="DT14" i="2" s="1"/>
  <c r="DT139" i="2"/>
  <c r="DT472" i="2" s="1"/>
  <c r="DS617" i="2"/>
  <c r="DS115" i="2"/>
  <c r="DS13" i="2" s="1"/>
  <c r="DS14" i="2" s="1"/>
  <c r="DT344" i="2"/>
  <c r="M45" i="9" s="1"/>
  <c r="DT162" i="2"/>
  <c r="DT156" i="2"/>
  <c r="DS90" i="2"/>
  <c r="DS5" i="3" s="1"/>
  <c r="DS11" i="3" s="1"/>
  <c r="DT147" i="2"/>
  <c r="DT91" i="2"/>
  <c r="DS91" i="2" s="1"/>
  <c r="DT621" i="2"/>
  <c r="DT622" i="2" s="1"/>
  <c r="DS620" i="2"/>
  <c r="DS619" i="2"/>
  <c r="DT144" i="2"/>
  <c r="DS209" i="2"/>
  <c r="DT27" i="2"/>
  <c r="AC17" i="9" l="1"/>
  <c r="AC14" i="9"/>
  <c r="AC15" i="9"/>
  <c r="DS139" i="2"/>
  <c r="DS143" i="2" s="1"/>
  <c r="DT140" i="2"/>
  <c r="DT143" i="2"/>
  <c r="DT146" i="2" s="1"/>
  <c r="DW142" i="2" s="1"/>
  <c r="DW143" i="2" s="1"/>
  <c r="DS222" i="3"/>
  <c r="DT222" i="3" s="1"/>
  <c r="DS162" i="2"/>
  <c r="DS344" i="2"/>
  <c r="DS156" i="2"/>
  <c r="DS173" i="2"/>
  <c r="DS147" i="2"/>
  <c r="DS27" i="2"/>
  <c r="DS621" i="2"/>
  <c r="DS622" i="2" s="1"/>
  <c r="DS144" i="2"/>
  <c r="DT20" i="2"/>
  <c r="M16" i="9" s="1"/>
  <c r="DS188" i="2"/>
  <c r="DT219" i="2"/>
  <c r="DT464" i="2"/>
  <c r="DT141" i="2" l="1"/>
  <c r="DW141" i="2"/>
  <c r="DS472" i="2"/>
  <c r="DS140" i="2"/>
  <c r="DS141" i="2" s="1"/>
  <c r="DS348" i="2"/>
  <c r="DS22" i="2" s="1"/>
  <c r="AC18" i="9" s="1"/>
  <c r="DU142" i="2"/>
  <c r="DS20" i="2"/>
  <c r="DS464" i="2"/>
  <c r="DS319" i="2"/>
  <c r="DT320" i="2"/>
  <c r="DS219" i="2"/>
  <c r="DT201" i="3"/>
  <c r="DT199" i="3" s="1"/>
  <c r="DS211" i="2"/>
  <c r="DS201" i="3" s="1"/>
  <c r="DS199" i="3" s="1"/>
  <c r="DT295" i="2"/>
  <c r="DT214" i="2"/>
  <c r="AC40" i="9" s="1"/>
  <c r="AC39" i="9" s="1"/>
  <c r="DS146" i="2"/>
  <c r="DT352" i="2" l="1"/>
  <c r="DT24" i="2" s="1"/>
  <c r="DT348" i="2"/>
  <c r="DT22" i="2" s="1"/>
  <c r="M17" i="9" s="1"/>
  <c r="DS214" i="2"/>
  <c r="DT213" i="2"/>
  <c r="DT290" i="2"/>
  <c r="AC57" i="9" s="1"/>
  <c r="DS295" i="2"/>
  <c r="DS365" i="2"/>
  <c r="DS366" i="2"/>
  <c r="DS224" i="3" s="1"/>
  <c r="DT25" i="2"/>
  <c r="M19" i="9" s="1"/>
  <c r="DT322" i="2"/>
  <c r="DS320" i="2"/>
  <c r="DT625" i="2"/>
  <c r="DT627" i="2" s="1"/>
  <c r="DS322" i="2" l="1"/>
  <c r="DT349" i="2"/>
  <c r="DS349" i="2" s="1"/>
  <c r="DS213" i="2"/>
  <c r="DS202" i="3" s="1"/>
  <c r="DT202" i="3"/>
  <c r="DT120" i="3"/>
  <c r="DT304" i="2"/>
  <c r="DT327" i="2"/>
  <c r="DT329" i="2"/>
  <c r="DS290" i="2"/>
  <c r="DS345" i="2" s="1"/>
  <c r="DT328" i="2"/>
  <c r="M49" i="9" s="1"/>
  <c r="DT330" i="2"/>
  <c r="DT513" i="2"/>
  <c r="DT640" i="2"/>
  <c r="DT345" i="2"/>
  <c r="DS25" i="2"/>
  <c r="DS625" i="2"/>
  <c r="DS627" i="2" s="1"/>
  <c r="DT365" i="2"/>
  <c r="DT366" i="2"/>
  <c r="DT225" i="3" l="1"/>
  <c r="DS225" i="3" s="1"/>
  <c r="DT221" i="2"/>
  <c r="DS221" i="2" s="1"/>
  <c r="DY119" i="3"/>
  <c r="DZ119" i="3" s="1"/>
  <c r="EA119" i="3" s="1"/>
  <c r="EB119" i="3" s="1"/>
  <c r="EC119" i="3" s="1"/>
  <c r="ED119" i="3" s="1"/>
  <c r="EE119" i="3" s="1"/>
  <c r="EF119" i="3" s="1"/>
  <c r="EG119" i="3" s="1"/>
  <c r="EH119" i="3" s="1"/>
  <c r="EI119" i="3" s="1"/>
  <c r="EJ119" i="3" s="1"/>
  <c r="EK119" i="3" s="1"/>
  <c r="EL119" i="3" s="1"/>
  <c r="EM119" i="3" s="1"/>
  <c r="EN119" i="3" s="1"/>
  <c r="EO119" i="3" s="1"/>
  <c r="EP119" i="3" s="1"/>
  <c r="EQ119" i="3" s="1"/>
  <c r="ER119" i="3" s="1"/>
  <c r="ES119" i="3" s="1"/>
  <c r="ET119" i="3" s="1"/>
  <c r="EU119" i="3" s="1"/>
  <c r="EV119" i="3" s="1"/>
  <c r="EW119" i="3" s="1"/>
  <c r="EX119" i="3" s="1"/>
  <c r="EY119" i="3" s="1"/>
  <c r="EZ119" i="3" s="1"/>
  <c r="FA119" i="3" s="1"/>
  <c r="M47" i="9"/>
  <c r="DT224" i="3"/>
  <c r="M46" i="9"/>
  <c r="M20" i="9"/>
  <c r="DS330" i="2"/>
  <c r="M48" i="9"/>
  <c r="DT305" i="2"/>
  <c r="AC61" i="9" s="1"/>
  <c r="DS304" i="2"/>
  <c r="DS355" i="2"/>
  <c r="DS120" i="3"/>
  <c r="DS328" i="2"/>
  <c r="DS327" i="2"/>
  <c r="DS640" i="2"/>
  <c r="DS513" i="2"/>
  <c r="DS329" i="2"/>
  <c r="DT222" i="2" l="1"/>
  <c r="DS222" i="2" s="1"/>
  <c r="DU121" i="3"/>
  <c r="DT355" i="2"/>
  <c r="DS359" i="2"/>
  <c r="DU362" i="2"/>
  <c r="DS305" i="2"/>
  <c r="DS634" i="2" s="1"/>
  <c r="DS636" i="2" s="1"/>
  <c r="DS639" i="2" s="1"/>
  <c r="DS642" i="2" s="1"/>
  <c r="DS644" i="2" s="1"/>
  <c r="DS346" i="2" s="1"/>
  <c r="DT307" i="2"/>
  <c r="DT634" i="2"/>
  <c r="DT636" i="2" s="1"/>
  <c r="DT639" i="2" s="1"/>
  <c r="DT642" i="2" s="1"/>
  <c r="DT644" i="2" s="1"/>
  <c r="DT346" i="2" s="1"/>
  <c r="DU312" i="2" l="1"/>
  <c r="DS233" i="3"/>
  <c r="DT233" i="3" s="1"/>
  <c r="DU361" i="2"/>
  <c r="DS307" i="2"/>
  <c r="DS324" i="2" s="1"/>
  <c r="DT324" i="2"/>
  <c r="AZ487" i="2" l="1"/>
  <c r="BC487" i="2" s="1"/>
  <c r="BF487" i="2" s="1"/>
  <c r="BI487" i="2" s="1"/>
  <c r="BL487" i="2" s="1"/>
  <c r="BO487" i="2" s="1"/>
  <c r="BR487" i="2" s="1"/>
  <c r="BU487" i="2" s="1"/>
  <c r="BX487" i="2" s="1"/>
  <c r="CA487" i="2" s="1"/>
  <c r="CD487" i="2" s="1"/>
  <c r="CG487" i="2" s="1"/>
  <c r="CJ487" i="2" s="1"/>
  <c r="CM487" i="2" s="1"/>
  <c r="CP487" i="2" s="1"/>
  <c r="CS487" i="2" s="1"/>
  <c r="CV487" i="2" s="1"/>
  <c r="CY487" i="2" s="1"/>
  <c r="DB487" i="2" s="1"/>
  <c r="DE487" i="2" s="1"/>
  <c r="DH487" i="2" s="1"/>
  <c r="DK487" i="2" s="1"/>
  <c r="DN487" i="2" s="1"/>
  <c r="DQ487" i="2" s="1"/>
  <c r="DT487" i="2" s="1"/>
  <c r="DW487" i="2" s="1"/>
  <c r="DZ487" i="2" s="1"/>
  <c r="DU18" i="3" l="1"/>
  <c r="DU76" i="2" l="1"/>
  <c r="AC60" i="9"/>
  <c r="AC66" i="9" s="1"/>
  <c r="DU295" i="2" l="1"/>
  <c r="DU201" i="3" l="1"/>
  <c r="DU199" i="3" s="1"/>
  <c r="DU290" i="2"/>
  <c r="DU304" i="2" l="1"/>
  <c r="DU120" i="3"/>
  <c r="DL50" i="3" l="1"/>
  <c r="DN65" i="2"/>
  <c r="DM50" i="3" l="1"/>
  <c r="DM54" i="3" s="1"/>
  <c r="DL54" i="3"/>
  <c r="DL65" i="2"/>
  <c r="DL64" i="2" s="1"/>
  <c r="DL62" i="2" s="1"/>
  <c r="DL27" i="3" s="1"/>
  <c r="DN64" i="2"/>
  <c r="DP48" i="3"/>
  <c r="DP49" i="3" s="1"/>
  <c r="DQ49" i="3" l="1"/>
  <c r="DQ53" i="3" s="1"/>
  <c r="DP53" i="3"/>
  <c r="DL462" i="2"/>
  <c r="DL464" i="2" s="1"/>
  <c r="DM64" i="2"/>
  <c r="DM462" i="2" s="1"/>
  <c r="DM464" i="2" s="1"/>
  <c r="DM65" i="2"/>
  <c r="DN62" i="2"/>
  <c r="K28" i="9" s="1"/>
  <c r="DN462" i="2"/>
  <c r="DN464" i="2" s="1"/>
  <c r="DS48" i="3"/>
  <c r="DS49" i="3" s="1"/>
  <c r="DQ59" i="2" l="1"/>
  <c r="DP59" i="2" s="1"/>
  <c r="DT49" i="3"/>
  <c r="DS53" i="3"/>
  <c r="DM62" i="2"/>
  <c r="DM27" i="3" s="1"/>
  <c r="DN27" i="3"/>
  <c r="DQ57" i="2" l="1"/>
  <c r="DQ26" i="3" s="1"/>
  <c r="DQ28" i="3" s="1"/>
  <c r="DT59" i="2"/>
  <c r="DT53" i="3"/>
  <c r="DP57" i="2" l="1"/>
  <c r="DP456" i="2" s="1"/>
  <c r="DQ180" i="3"/>
  <c r="DQ456" i="2"/>
  <c r="DQ179" i="2"/>
  <c r="DP179" i="2" s="1"/>
  <c r="DT57" i="2"/>
  <c r="DS59" i="2"/>
  <c r="DP180" i="3" l="1"/>
  <c r="DP26" i="3"/>
  <c r="DP28" i="3" s="1"/>
  <c r="AB25" i="9"/>
  <c r="DT55" i="2"/>
  <c r="DS57" i="2"/>
  <c r="DT26" i="3"/>
  <c r="DT28" i="3" s="1"/>
  <c r="DT179" i="2"/>
  <c r="DT180" i="3"/>
  <c r="DT456" i="2"/>
  <c r="DS179" i="2" l="1"/>
  <c r="AC25" i="9"/>
  <c r="DS26" i="3"/>
  <c r="DS28" i="3" s="1"/>
  <c r="DS180" i="3"/>
  <c r="DS456" i="2"/>
  <c r="DT53" i="2"/>
  <c r="DT43" i="2" s="1"/>
  <c r="DT180" i="2"/>
  <c r="DS55" i="2"/>
  <c r="M27" i="9"/>
  <c r="M15" i="9"/>
  <c r="DT158" i="2"/>
  <c r="DT56" i="2"/>
  <c r="AC12" i="9" l="1"/>
  <c r="DS169" i="2"/>
  <c r="DS158" i="2"/>
  <c r="DS56" i="2"/>
  <c r="DT503" i="2"/>
  <c r="DS180" i="2"/>
  <c r="DS503" i="2" s="1"/>
  <c r="DT184" i="2"/>
  <c r="DT476" i="2"/>
  <c r="DT477" i="2" s="1"/>
  <c r="M28" i="9"/>
  <c r="DT187" i="2" l="1"/>
  <c r="DS187" i="2" s="1"/>
  <c r="DS184" i="2"/>
  <c r="DT481" i="2"/>
  <c r="DT482" i="2" s="1"/>
  <c r="DT478" i="2"/>
  <c r="DT483" i="2" l="1"/>
  <c r="M14" i="9" s="1"/>
  <c r="AD57" i="9"/>
  <c r="DW120" i="3"/>
  <c r="DV120" i="3"/>
  <c r="DX121" i="3" s="1"/>
  <c r="DX76" i="2" s="1"/>
  <c r="DX181" i="2" s="1"/>
  <c r="DX74" i="2" l="1"/>
  <c r="DX72" i="2" s="1"/>
  <c r="DT484" i="2"/>
  <c r="DT485" i="2" s="1"/>
  <c r="DX178" i="2" l="1"/>
  <c r="DX68" i="2"/>
  <c r="DX18" i="3"/>
  <c r="DX60" i="2" l="1"/>
  <c r="DJ123" i="3"/>
  <c r="DK123" i="3" s="1"/>
  <c r="DX55" i="2" l="1"/>
  <c r="DJ125" i="3"/>
  <c r="DJ131" i="3" s="1"/>
  <c r="DK131" i="3" s="1"/>
  <c r="DX180" i="2" l="1"/>
  <c r="DX184" i="2" s="1"/>
  <c r="DX187" i="2" s="1"/>
  <c r="DZ187" i="2" s="1"/>
  <c r="DJ121" i="3"/>
  <c r="DJ18" i="3" s="1"/>
  <c r="DK125" i="3"/>
  <c r="DK78" i="2" s="1"/>
  <c r="DK182" i="2" s="1"/>
  <c r="DJ182" i="2" s="1"/>
  <c r="DJ132" i="3"/>
  <c r="DK132" i="3" s="1"/>
  <c r="DJ119" i="3" l="1"/>
  <c r="DK121" i="3"/>
  <c r="DK18" i="3" s="1"/>
  <c r="DJ78" i="2"/>
  <c r="DK76" i="2" l="1"/>
  <c r="DK181" i="2" s="1"/>
  <c r="DK119" i="3"/>
  <c r="DK497" i="2" l="1"/>
  <c r="DK504" i="2"/>
  <c r="DK166" i="2"/>
  <c r="DJ76" i="2"/>
  <c r="DJ504" i="2" s="1"/>
  <c r="DK74" i="2"/>
  <c r="DJ181" i="2"/>
  <c r="Z24" i="9"/>
  <c r="DK72" i="2" l="1"/>
  <c r="DJ166" i="2"/>
  <c r="J29" i="9"/>
  <c r="DJ497" i="2"/>
  <c r="DK619" i="2"/>
  <c r="DK621" i="2" s="1"/>
  <c r="DJ74" i="2"/>
  <c r="DJ479" i="2" s="1"/>
  <c r="DJ480" i="2" s="1"/>
  <c r="J31" i="9"/>
  <c r="DK479" i="2"/>
  <c r="DK480" i="2" s="1"/>
  <c r="DK4" i="3"/>
  <c r="DK10" i="3" s="1"/>
  <c r="DJ72" i="2"/>
  <c r="DK154" i="2"/>
  <c r="DK343" i="2"/>
  <c r="J44" i="9" s="1"/>
  <c r="DK68" i="2"/>
  <c r="DK178" i="2"/>
  <c r="DJ178" i="2" s="1"/>
  <c r="DK161" i="2"/>
  <c r="DK73" i="2"/>
  <c r="DI176" i="2"/>
  <c r="DK331" i="2"/>
  <c r="DK345" i="2"/>
  <c r="DK12" i="4"/>
  <c r="DJ619" i="2" l="1"/>
  <c r="DJ621" i="2" s="1"/>
  <c r="DJ4" i="3"/>
  <c r="DJ10" i="3" s="1"/>
  <c r="DJ176" i="2"/>
  <c r="DJ161" i="2"/>
  <c r="DJ172" i="2"/>
  <c r="DJ73" i="2"/>
  <c r="DJ331" i="2"/>
  <c r="DJ154" i="2"/>
  <c r="DJ345" i="2"/>
  <c r="DJ343" i="2"/>
  <c r="DJ12" i="4"/>
  <c r="W13" i="9"/>
  <c r="DK60" i="2"/>
  <c r="DJ68" i="2"/>
  <c r="DK153" i="2"/>
  <c r="DK160" i="2"/>
  <c r="DK69" i="2"/>
  <c r="DJ60" i="2" l="1"/>
  <c r="DK152" i="2"/>
  <c r="DK61" i="2"/>
  <c r="DK159" i="2"/>
  <c r="DK617" i="2"/>
  <c r="DK622" i="2" s="1"/>
  <c r="DK644" i="2" s="1"/>
  <c r="DK346" i="2" s="1"/>
  <c r="DJ69" i="2"/>
  <c r="DJ153" i="2"/>
  <c r="DJ160" i="2"/>
  <c r="DJ171" i="2"/>
  <c r="DJ61" i="2" l="1"/>
  <c r="DJ159" i="2"/>
  <c r="DJ170" i="2"/>
  <c r="DJ152" i="2"/>
  <c r="DJ617" i="2"/>
  <c r="DJ622" i="2" s="1"/>
  <c r="DJ644" i="2" s="1"/>
  <c r="DJ346" i="2" s="1"/>
  <c r="DL123" i="3"/>
  <c r="DL125" i="3" s="1"/>
  <c r="DL121" i="3" s="1"/>
  <c r="DL76" i="2" s="1"/>
  <c r="DL166" i="2" s="1"/>
  <c r="DL304" i="2"/>
  <c r="DL305" i="2" s="1"/>
  <c r="DL330" i="2"/>
  <c r="DL634" i="2" l="1"/>
  <c r="DL636" i="2" s="1"/>
  <c r="DL639" i="2" s="1"/>
  <c r="DL642" i="2" s="1"/>
  <c r="DL307" i="2"/>
  <c r="DL324" i="2" s="1"/>
  <c r="DL78" i="2"/>
  <c r="DL182" i="2" s="1"/>
  <c r="DL131" i="3"/>
  <c r="DL132" i="3" s="1"/>
  <c r="DL504" i="2"/>
  <c r="DL181" i="2"/>
  <c r="DL497" i="2"/>
  <c r="DL119" i="3"/>
  <c r="DL18" i="3"/>
  <c r="DL74" i="2" l="1"/>
  <c r="DL479" i="2" s="1"/>
  <c r="DL480" i="2" s="1"/>
  <c r="DL72" i="2" l="1"/>
  <c r="DL343" i="2" s="1"/>
  <c r="DL619" i="2"/>
  <c r="DL621" i="2" s="1"/>
  <c r="DM123" i="3"/>
  <c r="DN123" i="3" s="1"/>
  <c r="DO78" i="2"/>
  <c r="DO182" i="2" s="1"/>
  <c r="X13" i="9" l="1"/>
  <c r="DL154" i="2"/>
  <c r="DL73" i="2"/>
  <c r="DL161" i="2"/>
  <c r="DL178" i="2"/>
  <c r="DL4" i="3"/>
  <c r="DL10" i="3" s="1"/>
  <c r="DL68" i="2"/>
  <c r="DL153" i="2" s="1"/>
  <c r="DL12" i="4"/>
  <c r="DL331" i="2"/>
  <c r="DL172" i="2"/>
  <c r="DL345" i="2"/>
  <c r="DM125" i="3"/>
  <c r="DN125" i="3" s="1"/>
  <c r="DN78" i="2" s="1"/>
  <c r="DM78" i="2" s="1"/>
  <c r="DO131" i="3"/>
  <c r="DO121" i="3"/>
  <c r="DL171" i="2" l="1"/>
  <c r="DL160" i="2"/>
  <c r="DL69" i="2"/>
  <c r="DL60" i="2"/>
  <c r="DL159" i="2" s="1"/>
  <c r="DM131" i="3"/>
  <c r="DM132" i="3" s="1"/>
  <c r="DN132" i="3" s="1"/>
  <c r="DM121" i="3"/>
  <c r="DN121" i="3" s="1"/>
  <c r="DN182" i="2"/>
  <c r="DM182" i="2" s="1"/>
  <c r="DO18" i="3"/>
  <c r="DO119" i="3"/>
  <c r="DO76" i="2"/>
  <c r="DO132" i="3"/>
  <c r="DL61" i="2" l="1"/>
  <c r="DL170" i="2"/>
  <c r="DL152" i="2"/>
  <c r="DL617" i="2"/>
  <c r="DL622" i="2" s="1"/>
  <c r="DL644" i="2" s="1"/>
  <c r="DL346" i="2" s="1"/>
  <c r="DN131" i="3"/>
  <c r="DM119" i="3"/>
  <c r="DM18" i="3"/>
  <c r="DN18" i="3"/>
  <c r="DN119" i="3"/>
  <c r="DN76" i="2"/>
  <c r="DO74" i="2"/>
  <c r="DO166" i="2"/>
  <c r="DO504" i="2"/>
  <c r="DO181" i="2"/>
  <c r="DO497" i="2"/>
  <c r="DP123" i="3"/>
  <c r="DQ123" i="3" l="1"/>
  <c r="DP125" i="3"/>
  <c r="DO72" i="2"/>
  <c r="DO619" i="2"/>
  <c r="DO621" i="2" s="1"/>
  <c r="DO479" i="2"/>
  <c r="DO480" i="2" s="1"/>
  <c r="DN74" i="2"/>
  <c r="DN166" i="2"/>
  <c r="DM76" i="2"/>
  <c r="DN181" i="2"/>
  <c r="DN497" i="2"/>
  <c r="DN504" i="2"/>
  <c r="K31" i="9" l="1"/>
  <c r="DQ125" i="3"/>
  <c r="DQ78" i="2" s="1"/>
  <c r="DP121" i="3"/>
  <c r="DP131" i="3"/>
  <c r="DN72" i="2"/>
  <c r="DM74" i="2"/>
  <c r="DN479" i="2"/>
  <c r="DN480" i="2" s="1"/>
  <c r="DN619" i="2"/>
  <c r="DN621" i="2" s="1"/>
  <c r="DM181" i="2"/>
  <c r="AA24" i="9"/>
  <c r="DM166" i="2"/>
  <c r="DM497" i="2"/>
  <c r="DM504" i="2"/>
  <c r="DO4" i="3"/>
  <c r="DO10" i="3" s="1"/>
  <c r="DO68" i="2"/>
  <c r="DO73" i="2"/>
  <c r="DR154" i="2"/>
  <c r="DO154" i="2"/>
  <c r="DO161" i="2"/>
  <c r="DO331" i="2"/>
  <c r="DO343" i="2"/>
  <c r="DO345" i="2"/>
  <c r="DO178" i="2"/>
  <c r="DO12" i="4"/>
  <c r="Z13" i="9"/>
  <c r="K29" i="9" l="1"/>
  <c r="DP132" i="3"/>
  <c r="DQ132" i="3" s="1"/>
  <c r="DQ131" i="3"/>
  <c r="DQ121" i="3"/>
  <c r="DP18" i="3"/>
  <c r="DP119" i="3"/>
  <c r="DQ182" i="2"/>
  <c r="DP182" i="2" s="1"/>
  <c r="DP78" i="2"/>
  <c r="DO153" i="2"/>
  <c r="DO60" i="2"/>
  <c r="DO69" i="2"/>
  <c r="DO160" i="2"/>
  <c r="DR153" i="2"/>
  <c r="DN4" i="3"/>
  <c r="DN10" i="3" s="1"/>
  <c r="DN68" i="2"/>
  <c r="DN73" i="2"/>
  <c r="DL176" i="2"/>
  <c r="DN154" i="2"/>
  <c r="DN161" i="2"/>
  <c r="DM72" i="2"/>
  <c r="DN178" i="2"/>
  <c r="DM178" i="2" s="1"/>
  <c r="DN343" i="2"/>
  <c r="K44" i="9" s="1"/>
  <c r="DN345" i="2"/>
  <c r="DN331" i="2"/>
  <c r="DN12" i="4"/>
  <c r="DM479" i="2"/>
  <c r="DM480" i="2" s="1"/>
  <c r="DM619" i="2"/>
  <c r="DM621" i="2" s="1"/>
  <c r="DQ119" i="3" l="1"/>
  <c r="DQ76" i="2"/>
  <c r="DQ18" i="3"/>
  <c r="DO55" i="2"/>
  <c r="DO61" i="2"/>
  <c r="DR152" i="2"/>
  <c r="DO152" i="2"/>
  <c r="DO159" i="2"/>
  <c r="DO617" i="2"/>
  <c r="DO622" i="2" s="1"/>
  <c r="DO644" i="2" s="1"/>
  <c r="DO346" i="2" s="1"/>
  <c r="DM4" i="3"/>
  <c r="DM10" i="3" s="1"/>
  <c r="DM154" i="2"/>
  <c r="DM161" i="2"/>
  <c r="DM172" i="2"/>
  <c r="DM176" i="2"/>
  <c r="DM73" i="2"/>
  <c r="DM331" i="2"/>
  <c r="DM343" i="2"/>
  <c r="DM345" i="2"/>
  <c r="DM12" i="4"/>
  <c r="Y13" i="9"/>
  <c r="DO172" i="2"/>
  <c r="DN60" i="2"/>
  <c r="DN69" i="2"/>
  <c r="DN160" i="2"/>
  <c r="DM68" i="2"/>
  <c r="DN153" i="2"/>
  <c r="DP76" i="2" l="1"/>
  <c r="DQ497" i="2"/>
  <c r="DQ74" i="2"/>
  <c r="DQ181" i="2"/>
  <c r="AB24" i="9" s="1"/>
  <c r="DQ166" i="2"/>
  <c r="DQ504" i="2"/>
  <c r="DM160" i="2"/>
  <c r="DM171" i="2"/>
  <c r="DM153" i="2"/>
  <c r="DM69" i="2"/>
  <c r="DO171" i="2"/>
  <c r="DN61" i="2"/>
  <c r="DN152" i="2"/>
  <c r="DN159" i="2"/>
  <c r="DM60" i="2"/>
  <c r="DN617" i="2"/>
  <c r="DN622" i="2" s="1"/>
  <c r="DN644" i="2" s="1"/>
  <c r="DN346" i="2" s="1"/>
  <c r="DO56" i="2"/>
  <c r="DO158" i="2"/>
  <c r="DR151" i="2"/>
  <c r="DO180" i="2"/>
  <c r="Z12" i="9"/>
  <c r="L31" i="9" l="1"/>
  <c r="DP74" i="2"/>
  <c r="DQ72" i="2"/>
  <c r="DQ479" i="2"/>
  <c r="DQ480" i="2" s="1"/>
  <c r="DQ619" i="2"/>
  <c r="DQ621" i="2" s="1"/>
  <c r="DP181" i="2"/>
  <c r="DP166" i="2"/>
  <c r="DP504" i="2"/>
  <c r="DP497" i="2"/>
  <c r="DO184" i="2"/>
  <c r="DO187" i="2" s="1"/>
  <c r="DO503" i="2"/>
  <c r="DM152" i="2"/>
  <c r="DM159" i="2"/>
  <c r="DM170" i="2"/>
  <c r="DM61" i="2"/>
  <c r="DM617" i="2"/>
  <c r="DM622" i="2" s="1"/>
  <c r="DM644" i="2" s="1"/>
  <c r="DM346" i="2" s="1"/>
  <c r="DO170" i="2"/>
  <c r="L29" i="9" l="1"/>
  <c r="DQ154" i="2"/>
  <c r="DQ73" i="2"/>
  <c r="DQ343" i="2"/>
  <c r="L44" i="9" s="1"/>
  <c r="DQ68" i="2"/>
  <c r="DQ161" i="2"/>
  <c r="DT154" i="2"/>
  <c r="DQ345" i="2"/>
  <c r="DQ4" i="3"/>
  <c r="DQ10" i="3" s="1"/>
  <c r="DO176" i="2"/>
  <c r="DP72" i="2"/>
  <c r="DQ331" i="2"/>
  <c r="DQ12" i="4"/>
  <c r="DQ178" i="2"/>
  <c r="DP178" i="2" s="1"/>
  <c r="DP479" i="2"/>
  <c r="DP480" i="2" s="1"/>
  <c r="DP619" i="2"/>
  <c r="DP621" i="2" s="1"/>
  <c r="DP73" i="2" l="1"/>
  <c r="DP343" i="2"/>
  <c r="DP161" i="2"/>
  <c r="DP154" i="2"/>
  <c r="DP176" i="2"/>
  <c r="DP12" i="4"/>
  <c r="DS154" i="2"/>
  <c r="DP345" i="2"/>
  <c r="DP331" i="2"/>
  <c r="DP4" i="3"/>
  <c r="DP10" i="3" s="1"/>
  <c r="DP172" i="2"/>
  <c r="DR172" i="2"/>
  <c r="AA13" i="9"/>
  <c r="DQ160" i="2"/>
  <c r="DQ60" i="2"/>
  <c r="DQ69" i="2"/>
  <c r="DP68" i="2"/>
  <c r="DQ153" i="2"/>
  <c r="DT153" i="2"/>
  <c r="DQ159" i="2" l="1"/>
  <c r="DP60" i="2"/>
  <c r="DQ55" i="2"/>
  <c r="DQ61" i="2"/>
  <c r="DQ152" i="2"/>
  <c r="DT152" i="2"/>
  <c r="DQ617" i="2"/>
  <c r="DQ622" i="2" s="1"/>
  <c r="DQ644" i="2" s="1"/>
  <c r="DQ346" i="2" s="1"/>
  <c r="DP69" i="2"/>
  <c r="DP171" i="2"/>
  <c r="DS153" i="2"/>
  <c r="DR171" i="2"/>
  <c r="DP153" i="2"/>
  <c r="DP160" i="2"/>
  <c r="L27" i="9" l="1"/>
  <c r="DQ53" i="2"/>
  <c r="DQ43" i="2" s="1"/>
  <c r="DQ56" i="2"/>
  <c r="DP55" i="2"/>
  <c r="DQ158" i="2"/>
  <c r="DT151" i="2"/>
  <c r="DQ180" i="2"/>
  <c r="DS152" i="2"/>
  <c r="DP159" i="2"/>
  <c r="DP170" i="2"/>
  <c r="DP61" i="2"/>
  <c r="DR170" i="2"/>
  <c r="DP617" i="2"/>
  <c r="DP622" i="2" s="1"/>
  <c r="DP644" i="2" s="1"/>
  <c r="DP346" i="2" s="1"/>
  <c r="DP152" i="2"/>
  <c r="L15" i="9" l="1"/>
  <c r="DR169" i="2"/>
  <c r="DS151" i="2"/>
  <c r="AA12" i="9"/>
  <c r="DP169" i="2"/>
  <c r="DP56" i="2"/>
  <c r="DP158" i="2"/>
  <c r="DQ503" i="2"/>
  <c r="DP180" i="2"/>
  <c r="DP503" i="2" s="1"/>
  <c r="DQ184" i="2"/>
  <c r="DQ476" i="2"/>
  <c r="DQ477" i="2" s="1"/>
  <c r="DQ481" i="2" l="1"/>
  <c r="DQ482" i="2" s="1"/>
  <c r="DQ478" i="2"/>
  <c r="DP184" i="2"/>
  <c r="DQ187" i="2"/>
  <c r="DP187" i="2" s="1"/>
  <c r="DQ483" i="2" l="1"/>
  <c r="DQ484" i="2" s="1"/>
  <c r="DQ485" i="2" s="1"/>
  <c r="L14" i="9" l="1"/>
  <c r="BA351" i="4"/>
  <c r="BA424" i="4" s="1"/>
  <c r="BA356" i="4" l="1"/>
  <c r="BB356" i="4" s="1"/>
  <c r="BA443" i="4"/>
  <c r="BA434" i="4"/>
  <c r="BA445" i="4"/>
  <c r="BA453" i="4"/>
  <c r="BA464" i="4"/>
  <c r="BA474" i="4"/>
  <c r="BB351" i="4"/>
  <c r="BB424" i="4" l="1"/>
  <c r="BC351" i="4"/>
  <c r="BC356" i="4" s="1"/>
  <c r="BB443" i="4" l="1"/>
  <c r="BB453" i="4"/>
  <c r="BB474" i="4"/>
  <c r="BB434" i="4"/>
  <c r="BB464" i="4"/>
  <c r="BB445" i="4"/>
  <c r="BC424" i="4"/>
  <c r="BC443" i="4" l="1"/>
  <c r="BC464" i="4"/>
  <c r="BC445" i="4"/>
  <c r="BC474" i="4"/>
  <c r="BC434" i="4"/>
  <c r="BC453" i="4"/>
  <c r="DJ48" i="3"/>
  <c r="DJ49" i="3" s="1"/>
  <c r="DI49" i="3"/>
  <c r="DK49" i="3" l="1"/>
  <c r="DK59" i="2" s="1"/>
  <c r="DI59" i="2"/>
  <c r="DI57" i="2" s="1"/>
  <c r="DI179" i="2" l="1"/>
  <c r="DI55" i="2"/>
  <c r="DI456" i="2"/>
  <c r="DI180" i="3"/>
  <c r="DI26" i="3"/>
  <c r="DI28" i="3" s="1"/>
  <c r="DK57" i="2"/>
  <c r="J26" i="9" s="1"/>
  <c r="DJ59" i="2"/>
  <c r="V12" i="9" l="1"/>
  <c r="DI158" i="2"/>
  <c r="DI56" i="2"/>
  <c r="DI180" i="2"/>
  <c r="DK179" i="2"/>
  <c r="DJ179" i="2" s="1"/>
  <c r="DK26" i="3"/>
  <c r="DK28" i="3" s="1"/>
  <c r="Z25" i="9"/>
  <c r="DK456" i="2"/>
  <c r="DJ57" i="2"/>
  <c r="DK180" i="3"/>
  <c r="DK55" i="2"/>
  <c r="J27" i="9" l="1"/>
  <c r="DJ26" i="3"/>
  <c r="DJ28" i="3" s="1"/>
  <c r="DJ456" i="2"/>
  <c r="DJ180" i="3"/>
  <c r="DK180" i="2"/>
  <c r="DK53" i="2"/>
  <c r="DJ55" i="2"/>
  <c r="DK56" i="2"/>
  <c r="DK158" i="2"/>
  <c r="DK332" i="2"/>
  <c r="DK151" i="2"/>
  <c r="DI503" i="2"/>
  <c r="DI184" i="2"/>
  <c r="DI187" i="2" s="1"/>
  <c r="J15" i="9" l="1"/>
  <c r="W12" i="9"/>
  <c r="DJ169" i="2"/>
  <c r="DJ158" i="2"/>
  <c r="DJ56" i="2"/>
  <c r="DK43" i="2"/>
  <c r="DJ180" i="2"/>
  <c r="DJ503" i="2" s="1"/>
  <c r="DK503" i="2"/>
  <c r="DK184" i="2"/>
  <c r="DK476" i="2" l="1"/>
  <c r="DK477" i="2" s="1"/>
  <c r="DK187" i="2"/>
  <c r="DJ187" i="2" s="1"/>
  <c r="DJ184" i="2"/>
  <c r="J42" i="9" l="1"/>
  <c r="J30" i="9"/>
  <c r="J32" i="9"/>
  <c r="V20" i="9"/>
  <c r="W20" i="9" s="1"/>
  <c r="Z23" i="9"/>
  <c r="Z27" i="9" s="1"/>
  <c r="Z29" i="9" s="1"/>
  <c r="DK481" i="2"/>
  <c r="DK482" i="2" s="1"/>
  <c r="DK478" i="2"/>
  <c r="DK483" i="2" l="1"/>
  <c r="DK484" i="2" s="1"/>
  <c r="DK485" i="2" s="1"/>
  <c r="J36" i="9"/>
  <c r="J37" i="9" s="1"/>
  <c r="J34" i="9"/>
  <c r="J14" i="9" l="1"/>
  <c r="BZ59" i="2" l="1"/>
  <c r="BZ48" i="3" s="1"/>
  <c r="BY48" i="3"/>
  <c r="CB48" i="3" s="1"/>
  <c r="BY57" i="2"/>
  <c r="BY180" i="3" s="1"/>
  <c r="CC48" i="3" l="1"/>
  <c r="CB59" i="2"/>
  <c r="BZ57" i="2"/>
  <c r="BY179" i="2"/>
  <c r="BZ179" i="2" s="1"/>
  <c r="BY456" i="2"/>
  <c r="BY55" i="2"/>
  <c r="BY26" i="3"/>
  <c r="BY28" i="3" s="1"/>
  <c r="CE48" i="3"/>
  <c r="BZ456" i="2" l="1"/>
  <c r="BZ180" i="3"/>
  <c r="BZ26" i="3"/>
  <c r="BZ28" i="3" s="1"/>
  <c r="CF48" i="3"/>
  <c r="CE59" i="2"/>
  <c r="CH48" i="3"/>
  <c r="CK48" i="3" s="1"/>
  <c r="CL48" i="3" s="1"/>
  <c r="BY56" i="2"/>
  <c r="BY151" i="2"/>
  <c r="BY158" i="2"/>
  <c r="BZ55" i="2"/>
  <c r="BY169" i="2"/>
  <c r="BY180" i="2"/>
  <c r="BY53" i="2"/>
  <c r="BY43" i="2" s="1"/>
  <c r="CC59" i="2"/>
  <c r="CB57" i="2"/>
  <c r="BZ180" i="2" l="1"/>
  <c r="BZ503" i="2" s="1"/>
  <c r="BY503" i="2"/>
  <c r="BY184" i="2"/>
  <c r="CC57" i="2"/>
  <c r="CB26" i="3"/>
  <c r="CB28" i="3" s="1"/>
  <c r="CB55" i="2"/>
  <c r="CB179" i="2"/>
  <c r="CC179" i="2" s="1"/>
  <c r="CB180" i="3"/>
  <c r="CB456" i="2"/>
  <c r="BZ53" i="2"/>
  <c r="BZ158" i="2"/>
  <c r="BZ151" i="2"/>
  <c r="BZ56" i="2"/>
  <c r="BZ169" i="2"/>
  <c r="BZ43" i="2"/>
  <c r="BZ476" i="2" s="1"/>
  <c r="BZ477" i="2" s="1"/>
  <c r="BY476" i="2"/>
  <c r="BY477" i="2" s="1"/>
  <c r="CI48" i="3"/>
  <c r="CH59" i="2"/>
  <c r="CF59" i="2"/>
  <c r="CE57" i="2"/>
  <c r="CC180" i="3" l="1"/>
  <c r="CC456" i="2"/>
  <c r="CC26" i="3"/>
  <c r="CC28" i="3" s="1"/>
  <c r="BZ184" i="2"/>
  <c r="BY187" i="2"/>
  <c r="BZ187" i="2" s="1"/>
  <c r="CI59" i="2"/>
  <c r="CH57" i="2"/>
  <c r="CN48" i="3"/>
  <c r="CK59" i="2"/>
  <c r="CF57" i="2"/>
  <c r="CE179" i="2"/>
  <c r="CF179" i="2" s="1"/>
  <c r="CE26" i="3"/>
  <c r="CE28" i="3" s="1"/>
  <c r="CE456" i="2"/>
  <c r="CE180" i="3"/>
  <c r="CE55" i="2"/>
  <c r="CB56" i="2"/>
  <c r="CC55" i="2"/>
  <c r="CB151" i="2"/>
  <c r="CB158" i="2"/>
  <c r="CB169" i="2"/>
  <c r="CB53" i="2"/>
  <c r="CB43" i="2" s="1"/>
  <c r="CB180" i="2"/>
  <c r="BZ481" i="2"/>
  <c r="BZ482" i="2" s="1"/>
  <c r="BZ478" i="2"/>
  <c r="BY481" i="2"/>
  <c r="BY482" i="2" s="1"/>
  <c r="BY478" i="2"/>
  <c r="BY483" i="2" l="1"/>
  <c r="CB184" i="2"/>
  <c r="CB503" i="2"/>
  <c r="CC180" i="2"/>
  <c r="CC503" i="2" s="1"/>
  <c r="CF55" i="2"/>
  <c r="CE151" i="2"/>
  <c r="CE169" i="2"/>
  <c r="CE158" i="2"/>
  <c r="CE56" i="2"/>
  <c r="CE180" i="2"/>
  <c r="CE53" i="2"/>
  <c r="CE43" i="2" s="1"/>
  <c r="CC43" i="2"/>
  <c r="CC476" i="2" s="1"/>
  <c r="CC477" i="2" s="1"/>
  <c r="CB476" i="2"/>
  <c r="CB477" i="2" s="1"/>
  <c r="CF456" i="2"/>
  <c r="CF26" i="3"/>
  <c r="CF28" i="3" s="1"/>
  <c r="CF180" i="3"/>
  <c r="CH26" i="3"/>
  <c r="CH28" i="3" s="1"/>
  <c r="CI57" i="2"/>
  <c r="CH180" i="3"/>
  <c r="CH456" i="2"/>
  <c r="CH179" i="2"/>
  <c r="CI179" i="2" s="1"/>
  <c r="CH55" i="2"/>
  <c r="BZ483" i="2"/>
  <c r="CC53" i="2"/>
  <c r="CC158" i="2"/>
  <c r="CC169" i="2"/>
  <c r="CC151" i="2"/>
  <c r="CC56" i="2"/>
  <c r="CL59" i="2"/>
  <c r="CK57" i="2"/>
  <c r="CO48" i="3"/>
  <c r="CN59" i="2"/>
  <c r="CQ48" i="3"/>
  <c r="CF43" i="2" l="1"/>
  <c r="CF476" i="2" s="1"/>
  <c r="CF477" i="2" s="1"/>
  <c r="CE476" i="2"/>
  <c r="CE477" i="2" s="1"/>
  <c r="CI55" i="2"/>
  <c r="CH158" i="2"/>
  <c r="CH169" i="2"/>
  <c r="CH56" i="2"/>
  <c r="CH180" i="2"/>
  <c r="CH151" i="2"/>
  <c r="CI456" i="2"/>
  <c r="CI180" i="3"/>
  <c r="CI26" i="3"/>
  <c r="CI28" i="3" s="1"/>
  <c r="CE184" i="2"/>
  <c r="CF180" i="2"/>
  <c r="CF503" i="2" s="1"/>
  <c r="CE503" i="2"/>
  <c r="CL57" i="2"/>
  <c r="CK26" i="3"/>
  <c r="CK28" i="3" s="1"/>
  <c r="CK456" i="2"/>
  <c r="CK179" i="2"/>
  <c r="CL179" i="2" s="1"/>
  <c r="CK180" i="3"/>
  <c r="CK55" i="2"/>
  <c r="BZ484" i="2"/>
  <c r="BZ485" i="2" s="1"/>
  <c r="CR48" i="3"/>
  <c r="CQ59" i="2"/>
  <c r="CT48" i="3"/>
  <c r="CO59" i="2"/>
  <c r="CN57" i="2"/>
  <c r="CB481" i="2"/>
  <c r="CB482" i="2" s="1"/>
  <c r="CB478" i="2"/>
  <c r="CB187" i="2"/>
  <c r="CC187" i="2" s="1"/>
  <c r="CC184" i="2"/>
  <c r="CC478" i="2"/>
  <c r="CC481" i="2"/>
  <c r="CC482" i="2" s="1"/>
  <c r="CF151" i="2"/>
  <c r="CF169" i="2"/>
  <c r="CF158" i="2"/>
  <c r="CF53" i="2"/>
  <c r="CF56" i="2"/>
  <c r="BY484" i="2"/>
  <c r="BY485" i="2" s="1"/>
  <c r="CB483" i="2" l="1"/>
  <c r="CU48" i="3"/>
  <c r="CW48" i="3"/>
  <c r="CT59" i="2"/>
  <c r="CC483" i="2"/>
  <c r="CR59" i="2"/>
  <c r="CQ57" i="2"/>
  <c r="CI158" i="2"/>
  <c r="CI151" i="2"/>
  <c r="CI56" i="2"/>
  <c r="CI169" i="2"/>
  <c r="CN26" i="3"/>
  <c r="CN28" i="3" s="1"/>
  <c r="CN179" i="2"/>
  <c r="CO179" i="2" s="1"/>
  <c r="CN456" i="2"/>
  <c r="CO57" i="2"/>
  <c r="CN180" i="3"/>
  <c r="CN55" i="2"/>
  <c r="CK169" i="2"/>
  <c r="CK151" i="2"/>
  <c r="CK158" i="2"/>
  <c r="CK56" i="2"/>
  <c r="CK180" i="2"/>
  <c r="CL55" i="2"/>
  <c r="CE187" i="2"/>
  <c r="CF187" i="2" s="1"/>
  <c r="CF184" i="2"/>
  <c r="CE481" i="2"/>
  <c r="CE482" i="2" s="1"/>
  <c r="CE478" i="2"/>
  <c r="CL180" i="3"/>
  <c r="CL456" i="2"/>
  <c r="CL26" i="3"/>
  <c r="CL28" i="3" s="1"/>
  <c r="CI180" i="2"/>
  <c r="CI503" i="2" s="1"/>
  <c r="CH503" i="2"/>
  <c r="CH184" i="2"/>
  <c r="CF481" i="2"/>
  <c r="CF482" i="2" s="1"/>
  <c r="CF478" i="2"/>
  <c r="CB484" i="2" l="1"/>
  <c r="CB485" i="2" s="1"/>
  <c r="CF483" i="2"/>
  <c r="CF484" i="2" s="1"/>
  <c r="CF485" i="2" s="1"/>
  <c r="CE483" i="2"/>
  <c r="CE484" i="2" s="1"/>
  <c r="CE485" i="2" s="1"/>
  <c r="CR57" i="2"/>
  <c r="CQ26" i="3"/>
  <c r="CQ28" i="3" s="1"/>
  <c r="CQ180" i="3"/>
  <c r="CQ179" i="2"/>
  <c r="CR179" i="2" s="1"/>
  <c r="CQ456" i="2"/>
  <c r="CI184" i="2"/>
  <c r="CH187" i="2"/>
  <c r="CI187" i="2" s="1"/>
  <c r="CN180" i="2"/>
  <c r="CN158" i="2"/>
  <c r="CN169" i="2"/>
  <c r="CN56" i="2"/>
  <c r="CN151" i="2"/>
  <c r="CL56" i="2"/>
  <c r="CL169" i="2"/>
  <c r="CL158" i="2"/>
  <c r="CL151" i="2"/>
  <c r="CU59" i="2"/>
  <c r="CT57" i="2"/>
  <c r="CL180" i="2"/>
  <c r="CL503" i="2" s="1"/>
  <c r="CK503" i="2"/>
  <c r="CK184" i="2"/>
  <c r="CO456" i="2"/>
  <c r="CO180" i="3"/>
  <c r="CO26" i="3"/>
  <c r="CO28" i="3" s="1"/>
  <c r="CC484" i="2"/>
  <c r="CC485" i="2" s="1"/>
  <c r="CX48" i="3"/>
  <c r="CW59" i="2"/>
  <c r="CZ48" i="3"/>
  <c r="CU57" i="2" l="1"/>
  <c r="CT26" i="3"/>
  <c r="CT28" i="3" s="1"/>
  <c r="CT179" i="2"/>
  <c r="CU179" i="2" s="1"/>
  <c r="CT456" i="2"/>
  <c r="CT180" i="3"/>
  <c r="DA48" i="3"/>
  <c r="DC48" i="3"/>
  <c r="CZ59" i="2"/>
  <c r="CR180" i="3"/>
  <c r="CR456" i="2"/>
  <c r="CR26" i="3"/>
  <c r="CR28" i="3" s="1"/>
  <c r="CX59" i="2"/>
  <c r="CW57" i="2"/>
  <c r="CL184" i="2"/>
  <c r="CK187" i="2"/>
  <c r="CL187" i="2" s="1"/>
  <c r="CN184" i="2"/>
  <c r="CN187" i="2" s="1"/>
  <c r="CN503" i="2"/>
  <c r="DD48" i="3" l="1"/>
  <c r="DF49" i="3"/>
  <c r="DC59" i="2"/>
  <c r="DA59" i="2"/>
  <c r="CZ57" i="2"/>
  <c r="CX57" i="2"/>
  <c r="CW26" i="3"/>
  <c r="CW28" i="3" s="1"/>
  <c r="CW179" i="2"/>
  <c r="CX179" i="2" s="1"/>
  <c r="CW456" i="2"/>
  <c r="CW180" i="3"/>
  <c r="CU456" i="2"/>
  <c r="CU180" i="3"/>
  <c r="CU26" i="3"/>
  <c r="CU28" i="3" s="1"/>
  <c r="DD59" i="2" l="1"/>
  <c r="DC57" i="2"/>
  <c r="CX456" i="2"/>
  <c r="CX26" i="3"/>
  <c r="CX28" i="3" s="1"/>
  <c r="CX180" i="3"/>
  <c r="DA57" i="2"/>
  <c r="CZ26" i="3"/>
  <c r="CZ28" i="3" s="1"/>
  <c r="CZ456" i="2"/>
  <c r="CZ179" i="2"/>
  <c r="DA179" i="2" s="1"/>
  <c r="CZ180" i="3"/>
  <c r="CZ55" i="2"/>
  <c r="DF48" i="3"/>
  <c r="DG48" i="3" s="1"/>
  <c r="DG49" i="3"/>
  <c r="DF59" i="2"/>
  <c r="DG59" i="2" l="1"/>
  <c r="DF57" i="2"/>
  <c r="DA55" i="2"/>
  <c r="CZ56" i="2"/>
  <c r="T12" i="9"/>
  <c r="CZ158" i="2"/>
  <c r="CZ180" i="2"/>
  <c r="DD57" i="2"/>
  <c r="DC26" i="3"/>
  <c r="DC28" i="3" s="1"/>
  <c r="DC456" i="2"/>
  <c r="DC55" i="2"/>
  <c r="DC179" i="2"/>
  <c r="DD179" i="2" s="1"/>
  <c r="DC180" i="3"/>
  <c r="DA26" i="3"/>
  <c r="DA28" i="3" s="1"/>
  <c r="DA180" i="3"/>
  <c r="DA456" i="2"/>
  <c r="DD26" i="3" l="1"/>
  <c r="DD28" i="3" s="1"/>
  <c r="DD456" i="2"/>
  <c r="DD180" i="3"/>
  <c r="DC151" i="2"/>
  <c r="DD55" i="2"/>
  <c r="DC169" i="2"/>
  <c r="DC56" i="2"/>
  <c r="DC158" i="2"/>
  <c r="DC180" i="2"/>
  <c r="DA56" i="2"/>
  <c r="DA169" i="2"/>
  <c r="DA158" i="2"/>
  <c r="DA180" i="2"/>
  <c r="DA503" i="2" s="1"/>
  <c r="CZ184" i="2"/>
  <c r="CZ503" i="2"/>
  <c r="DG57" i="2"/>
  <c r="DF26" i="3"/>
  <c r="DF28" i="3" s="1"/>
  <c r="DF180" i="3"/>
  <c r="DF179" i="2"/>
  <c r="DG179" i="2" s="1"/>
  <c r="DF456" i="2"/>
  <c r="DF55" i="2"/>
  <c r="DG55" i="2" l="1"/>
  <c r="DF158" i="2"/>
  <c r="DF151" i="2"/>
  <c r="DF169" i="2"/>
  <c r="DF56" i="2"/>
  <c r="DI151" i="2"/>
  <c r="DF180" i="2"/>
  <c r="DG456" i="2"/>
  <c r="DG180" i="3"/>
  <c r="DG26" i="3"/>
  <c r="DG28" i="3" s="1"/>
  <c r="DD180" i="2"/>
  <c r="DD503" i="2" s="1"/>
  <c r="DC184" i="2"/>
  <c r="DC503" i="2"/>
  <c r="DA184" i="2"/>
  <c r="CZ187" i="2"/>
  <c r="DA187" i="2" s="1"/>
  <c r="DD56" i="2"/>
  <c r="DD169" i="2"/>
  <c r="DD158" i="2"/>
  <c r="DD151" i="2"/>
  <c r="DG180" i="2" l="1"/>
  <c r="DG503" i="2" s="1"/>
  <c r="DF503" i="2"/>
  <c r="DF184" i="2"/>
  <c r="DD184" i="2"/>
  <c r="DC187" i="2"/>
  <c r="DD187" i="2" s="1"/>
  <c r="DJ151" i="2"/>
  <c r="DG151" i="2"/>
  <c r="DI169" i="2"/>
  <c r="DG158" i="2"/>
  <c r="U12" i="9"/>
  <c r="DG56" i="2"/>
  <c r="DG169" i="2"/>
  <c r="DF187" i="2" l="1"/>
  <c r="DG187" i="2" s="1"/>
  <c r="DG184" i="2"/>
  <c r="DM48" i="3" l="1"/>
  <c r="DM49" i="3" s="1"/>
  <c r="DM53" i="3" s="1"/>
  <c r="DL49" i="3"/>
  <c r="DL59" i="2" l="1"/>
  <c r="DL57" i="2" s="1"/>
  <c r="DL55" i="2" s="1"/>
  <c r="DL53" i="3"/>
  <c r="DN49" i="3"/>
  <c r="DN53" i="3" s="1"/>
  <c r="DL179" i="2" l="1"/>
  <c r="DL456" i="2"/>
  <c r="DL26" i="3"/>
  <c r="DL28" i="3" s="1"/>
  <c r="DL180" i="3"/>
  <c r="DL169" i="2"/>
  <c r="X12" i="9"/>
  <c r="DL56" i="2"/>
  <c r="DL158" i="2"/>
  <c r="DL151" i="2"/>
  <c r="DO151" i="2"/>
  <c r="DL180" i="2"/>
  <c r="DN59" i="2"/>
  <c r="DL503" i="2" l="1"/>
  <c r="DL184" i="2"/>
  <c r="DL187" i="2" s="1"/>
  <c r="DM59" i="2"/>
  <c r="DN57" i="2"/>
  <c r="K26" i="9" s="1"/>
  <c r="DN26" i="3" l="1"/>
  <c r="DN28" i="3" s="1"/>
  <c r="DN179" i="2"/>
  <c r="DM179" i="2" s="1"/>
  <c r="DM57" i="2"/>
  <c r="DN180" i="3"/>
  <c r="DN456" i="2"/>
  <c r="AA25" i="9"/>
  <c r="DN55" i="2"/>
  <c r="L26" i="9" l="1"/>
  <c r="K27" i="9"/>
  <c r="DM456" i="2"/>
  <c r="DM180" i="3"/>
  <c r="DM26" i="3"/>
  <c r="DM28" i="3" s="1"/>
  <c r="DM55" i="2"/>
  <c r="DN151" i="2"/>
  <c r="DN56" i="2"/>
  <c r="DN158" i="2"/>
  <c r="DN332" i="2"/>
  <c r="DQ151" i="2"/>
  <c r="DN53" i="2"/>
  <c r="DN43" i="2" s="1"/>
  <c r="DN180" i="2"/>
  <c r="K15" i="9" l="1"/>
  <c r="DN476" i="2"/>
  <c r="DN477" i="2" s="1"/>
  <c r="DM56" i="2"/>
  <c r="DP151" i="2"/>
  <c r="DM158" i="2"/>
  <c r="DM151" i="2"/>
  <c r="DM169" i="2"/>
  <c r="DO169" i="2"/>
  <c r="Y12" i="9"/>
  <c r="DN184" i="2"/>
  <c r="DN503" i="2"/>
  <c r="DM180" i="2"/>
  <c r="DM503" i="2" s="1"/>
  <c r="DN187" i="2" l="1"/>
  <c r="DM187" i="2" s="1"/>
  <c r="DM184" i="2"/>
  <c r="DN481" i="2"/>
  <c r="DN482" i="2" s="1"/>
  <c r="DN478" i="2"/>
  <c r="DN483" i="2" l="1"/>
  <c r="X20" i="9"/>
  <c r="Y20" i="9" s="1"/>
  <c r="AA23" i="9"/>
  <c r="AA27" i="9" s="1"/>
  <c r="AA29" i="9" s="1"/>
  <c r="K32" i="9"/>
  <c r="K42" i="9"/>
  <c r="K30" i="9"/>
  <c r="K14" i="9" l="1"/>
  <c r="DN484" i="2"/>
  <c r="DN485" i="2" s="1"/>
  <c r="K34" i="9"/>
  <c r="K36" i="9"/>
  <c r="K37" i="9" s="1"/>
  <c r="CR127" i="3"/>
  <c r="CR18" i="3" s="1"/>
  <c r="CX127" i="3"/>
  <c r="CX18" i="3" s="1"/>
  <c r="CO127" i="3"/>
  <c r="CO18" i="3" s="1"/>
  <c r="CW127" i="3"/>
  <c r="CW18" i="3" s="1"/>
  <c r="CQ127" i="3"/>
  <c r="CQ18" i="3" s="1"/>
  <c r="CT127" i="3"/>
  <c r="CT18" i="3" s="1"/>
  <c r="CU127" i="3"/>
  <c r="CU18" i="3" s="1"/>
  <c r="CP127" i="3"/>
  <c r="CP76" i="2" s="1"/>
  <c r="CY127" i="3"/>
  <c r="CY18" i="3" s="1"/>
  <c r="CS127" i="3"/>
  <c r="CS18" i="3" s="1"/>
  <c r="CV127" i="3"/>
  <c r="CV18" i="3" s="1"/>
  <c r="CV76" i="2" l="1"/>
  <c r="CT76" i="2"/>
  <c r="CT497" i="2" s="1"/>
  <c r="CY76" i="2"/>
  <c r="CY74" i="2" s="1"/>
  <c r="CQ76" i="2"/>
  <c r="CQ74" i="2" s="1"/>
  <c r="CQ72" i="2" s="1"/>
  <c r="CW76" i="2"/>
  <c r="CW504" i="2" s="1"/>
  <c r="CS76" i="2"/>
  <c r="CS74" i="2" s="1"/>
  <c r="CP166" i="2"/>
  <c r="CP504" i="2"/>
  <c r="CP497" i="2"/>
  <c r="CO76" i="2"/>
  <c r="CP74" i="2"/>
  <c r="CP18" i="3"/>
  <c r="CQ504" i="2" l="1"/>
  <c r="CS166" i="2"/>
  <c r="CQ619" i="2"/>
  <c r="CQ621" i="2" s="1"/>
  <c r="CV497" i="2"/>
  <c r="CT166" i="2"/>
  <c r="CV74" i="2"/>
  <c r="E31" i="9" s="1"/>
  <c r="CT74" i="2"/>
  <c r="CT72" i="2" s="1"/>
  <c r="CT68" i="2" s="1"/>
  <c r="CT160" i="2" s="1"/>
  <c r="CV166" i="2"/>
  <c r="CV504" i="2"/>
  <c r="CT504" i="2"/>
  <c r="CY504" i="2"/>
  <c r="CY166" i="2"/>
  <c r="CU76" i="2"/>
  <c r="CU504" i="2" s="1"/>
  <c r="CQ479" i="2"/>
  <c r="CQ480" i="2" s="1"/>
  <c r="CS479" i="2"/>
  <c r="CS480" i="2" s="1"/>
  <c r="D31" i="9"/>
  <c r="CY479" i="2"/>
  <c r="CY480" i="2" s="1"/>
  <c r="F31" i="9"/>
  <c r="CY497" i="2"/>
  <c r="CW497" i="2"/>
  <c r="CS497" i="2"/>
  <c r="CS504" i="2"/>
  <c r="CW74" i="2"/>
  <c r="CX74" i="2" s="1"/>
  <c r="CX619" i="2" s="1"/>
  <c r="CX621" i="2" s="1"/>
  <c r="CY619" i="2"/>
  <c r="CY621" i="2" s="1"/>
  <c r="CR76" i="2"/>
  <c r="CR504" i="2" s="1"/>
  <c r="CW166" i="2"/>
  <c r="CY72" i="2"/>
  <c r="CY331" i="2" s="1"/>
  <c r="CQ166" i="2"/>
  <c r="CX76" i="2"/>
  <c r="CQ497" i="2"/>
  <c r="CR74" i="2"/>
  <c r="CR619" i="2" s="1"/>
  <c r="CR621" i="2" s="1"/>
  <c r="CS619" i="2"/>
  <c r="CS621" i="2" s="1"/>
  <c r="CS72" i="2"/>
  <c r="CS343" i="2" s="1"/>
  <c r="D44" i="9" s="1"/>
  <c r="CQ343" i="2"/>
  <c r="CQ331" i="2"/>
  <c r="CQ178" i="2"/>
  <c r="CQ12" i="4"/>
  <c r="CQ68" i="2"/>
  <c r="CQ161" i="2"/>
  <c r="CQ4" i="3"/>
  <c r="CQ10" i="3" s="1"/>
  <c r="CQ345" i="2"/>
  <c r="CQ154" i="2"/>
  <c r="CQ73" i="2"/>
  <c r="CO74" i="2"/>
  <c r="CP619" i="2"/>
  <c r="CP621" i="2" s="1"/>
  <c r="CP479" i="2"/>
  <c r="CP480" i="2" s="1"/>
  <c r="CP72" i="2"/>
  <c r="CO166" i="2"/>
  <c r="CO504" i="2"/>
  <c r="CO497" i="2"/>
  <c r="CR166" i="2" l="1"/>
  <c r="CV72" i="2"/>
  <c r="E29" i="9" s="1"/>
  <c r="CV619" i="2"/>
  <c r="CV621" i="2" s="1"/>
  <c r="CU497" i="2"/>
  <c r="CT60" i="2"/>
  <c r="CT159" i="2" s="1"/>
  <c r="CU166" i="2"/>
  <c r="CV479" i="2"/>
  <c r="CV480" i="2" s="1"/>
  <c r="CT69" i="2"/>
  <c r="CU74" i="2"/>
  <c r="CU479" i="2" s="1"/>
  <c r="CU480" i="2" s="1"/>
  <c r="CT178" i="2"/>
  <c r="CT154" i="2"/>
  <c r="CT343" i="2"/>
  <c r="CR497" i="2"/>
  <c r="CT153" i="2"/>
  <c r="CW479" i="2"/>
  <c r="CW480" i="2" s="1"/>
  <c r="CW72" i="2"/>
  <c r="CX72" i="2" s="1"/>
  <c r="CX73" i="2" s="1"/>
  <c r="CW619" i="2"/>
  <c r="CW621" i="2" s="1"/>
  <c r="CS12" i="4"/>
  <c r="CT479" i="2"/>
  <c r="CT480" i="2" s="1"/>
  <c r="CS154" i="2"/>
  <c r="CS68" i="2"/>
  <c r="CS60" i="2" s="1"/>
  <c r="CS178" i="2"/>
  <c r="CR178" i="2" s="1"/>
  <c r="CT73" i="2"/>
  <c r="CT12" i="4"/>
  <c r="CT619" i="2"/>
  <c r="CT621" i="2" s="1"/>
  <c r="CS345" i="2"/>
  <c r="CT345" i="2"/>
  <c r="CX479" i="2"/>
  <c r="CX480" i="2" s="1"/>
  <c r="CT331" i="2"/>
  <c r="CT4" i="3"/>
  <c r="CT10" i="3" s="1"/>
  <c r="CY68" i="2"/>
  <c r="CY60" i="2" s="1"/>
  <c r="CY12" i="4"/>
  <c r="CT161" i="2"/>
  <c r="CQ176" i="2"/>
  <c r="D29" i="9"/>
  <c r="CY178" i="2"/>
  <c r="F29" i="9"/>
  <c r="CY4" i="3"/>
  <c r="CY10" i="3" s="1"/>
  <c r="CR479" i="2"/>
  <c r="CR480" i="2" s="1"/>
  <c r="CY343" i="2"/>
  <c r="F44" i="9" s="1"/>
  <c r="DB154" i="2"/>
  <c r="CY345" i="2"/>
  <c r="CY73" i="2"/>
  <c r="CY161" i="2"/>
  <c r="CS161" i="2"/>
  <c r="CS73" i="2"/>
  <c r="CR72" i="2"/>
  <c r="CR172" i="2" s="1"/>
  <c r="CS331" i="2"/>
  <c r="CS4" i="3"/>
  <c r="CS10" i="3" s="1"/>
  <c r="CX497" i="2"/>
  <c r="CX166" i="2"/>
  <c r="CX504" i="2"/>
  <c r="CO479" i="2"/>
  <c r="CO480" i="2" s="1"/>
  <c r="CO619" i="2"/>
  <c r="CO621" i="2" s="1"/>
  <c r="CV73" i="2"/>
  <c r="CP178" i="2"/>
  <c r="CO178" i="2" s="1"/>
  <c r="CP345" i="2"/>
  <c r="CP154" i="2"/>
  <c r="CP68" i="2"/>
  <c r="CP161" i="2"/>
  <c r="CP73" i="2"/>
  <c r="CP12" i="4"/>
  <c r="CN176" i="2"/>
  <c r="CP4" i="3"/>
  <c r="CP10" i="3" s="1"/>
  <c r="CP343" i="2"/>
  <c r="CP331" i="2"/>
  <c r="CO72" i="2"/>
  <c r="CQ69" i="2"/>
  <c r="CQ60" i="2"/>
  <c r="CQ153" i="2"/>
  <c r="CQ160" i="2"/>
  <c r="CV331" i="2" l="1"/>
  <c r="CV4" i="3"/>
  <c r="CV10" i="3" s="1"/>
  <c r="CT176" i="2"/>
  <c r="CV178" i="2"/>
  <c r="CU178" i="2" s="1"/>
  <c r="CV161" i="2"/>
  <c r="CV12" i="4"/>
  <c r="CU72" i="2"/>
  <c r="CU154" i="2" s="1"/>
  <c r="CV68" i="2"/>
  <c r="CV153" i="2" s="1"/>
  <c r="CY154" i="2"/>
  <c r="CV154" i="2"/>
  <c r="CV345" i="2"/>
  <c r="CV343" i="2"/>
  <c r="E44" i="9" s="1"/>
  <c r="CS153" i="2"/>
  <c r="CT61" i="2"/>
  <c r="CT617" i="2"/>
  <c r="CT622" i="2" s="1"/>
  <c r="CT644" i="2" s="1"/>
  <c r="CT346" i="2" s="1"/>
  <c r="CU619" i="2"/>
  <c r="CU621" i="2" s="1"/>
  <c r="CT55" i="2"/>
  <c r="CT56" i="2" s="1"/>
  <c r="CS160" i="2"/>
  <c r="CR68" i="2"/>
  <c r="CR160" i="2" s="1"/>
  <c r="CW154" i="2"/>
  <c r="CY160" i="2"/>
  <c r="CW345" i="2"/>
  <c r="CW343" i="2"/>
  <c r="CW178" i="2"/>
  <c r="CX178" i="2" s="1"/>
  <c r="CZ154" i="2"/>
  <c r="CW331" i="2"/>
  <c r="CW12" i="4"/>
  <c r="CW176" i="2"/>
  <c r="CW73" i="2"/>
  <c r="CW68" i="2"/>
  <c r="CW60" i="2" s="1"/>
  <c r="CX60" i="2" s="1"/>
  <c r="CW4" i="3"/>
  <c r="CW10" i="3" s="1"/>
  <c r="CW161" i="2"/>
  <c r="CT172" i="2"/>
  <c r="CR176" i="2"/>
  <c r="CR73" i="2"/>
  <c r="CS69" i="2"/>
  <c r="CR154" i="2"/>
  <c r="CR161" i="2"/>
  <c r="DB153" i="2"/>
  <c r="CY69" i="2"/>
  <c r="CR4" i="3"/>
  <c r="CR10" i="3" s="1"/>
  <c r="CX12" i="4"/>
  <c r="CX176" i="2"/>
  <c r="DA154" i="2"/>
  <c r="CX343" i="2"/>
  <c r="CX4" i="3"/>
  <c r="CX10" i="3" s="1"/>
  <c r="CX331" i="2"/>
  <c r="CX161" i="2"/>
  <c r="CX345" i="2"/>
  <c r="CX172" i="2"/>
  <c r="CZ172" i="2"/>
  <c r="CR343" i="2"/>
  <c r="CR345" i="2"/>
  <c r="CR331" i="2"/>
  <c r="CR12" i="4"/>
  <c r="CQ55" i="2"/>
  <c r="CQ61" i="2"/>
  <c r="CQ617" i="2"/>
  <c r="CQ622" i="2" s="1"/>
  <c r="CQ644" i="2" s="1"/>
  <c r="CQ346" i="2" s="1"/>
  <c r="CQ152" i="2"/>
  <c r="CQ159" i="2"/>
  <c r="CY617" i="2"/>
  <c r="CY622" i="2" s="1"/>
  <c r="CY644" i="2" s="1"/>
  <c r="CY346" i="2" s="1"/>
  <c r="CY159" i="2"/>
  <c r="DB152" i="2"/>
  <c r="CY61" i="2"/>
  <c r="CY55" i="2"/>
  <c r="F27" i="9" s="1"/>
  <c r="CO345" i="2"/>
  <c r="CO161" i="2"/>
  <c r="CO12" i="4"/>
  <c r="CO331" i="2"/>
  <c r="CO176" i="2"/>
  <c r="CO154" i="2"/>
  <c r="CO343" i="2"/>
  <c r="CO4" i="3"/>
  <c r="CO10" i="3" s="1"/>
  <c r="CO73" i="2"/>
  <c r="CO172" i="2"/>
  <c r="CQ172" i="2"/>
  <c r="CP153" i="2"/>
  <c r="CP160" i="2"/>
  <c r="CO68" i="2"/>
  <c r="CP60" i="2"/>
  <c r="CS152" i="2" s="1"/>
  <c r="CP69" i="2"/>
  <c r="CT152" i="2"/>
  <c r="CR60" i="2"/>
  <c r="CS159" i="2"/>
  <c r="CS55" i="2"/>
  <c r="D27" i="9" s="1"/>
  <c r="CS617" i="2"/>
  <c r="CS622" i="2" s="1"/>
  <c r="CS644" i="2" s="1"/>
  <c r="CS346" i="2" s="1"/>
  <c r="CS61" i="2"/>
  <c r="CU4" i="3" l="1"/>
  <c r="CU10" i="3" s="1"/>
  <c r="CU68" i="2"/>
  <c r="CU160" i="2" s="1"/>
  <c r="CV160" i="2"/>
  <c r="CV60" i="2"/>
  <c r="CY152" i="2" s="1"/>
  <c r="CY153" i="2"/>
  <c r="CU176" i="2"/>
  <c r="CU343" i="2"/>
  <c r="CV69" i="2"/>
  <c r="CU73" i="2"/>
  <c r="CU172" i="2"/>
  <c r="CX154" i="2"/>
  <c r="CU12" i="4"/>
  <c r="CU331" i="2"/>
  <c r="CW172" i="2"/>
  <c r="CU345" i="2"/>
  <c r="CU161" i="2"/>
  <c r="CT171" i="2"/>
  <c r="CR153" i="2"/>
  <c r="CR171" i="2"/>
  <c r="CR69" i="2"/>
  <c r="CW153" i="2"/>
  <c r="CT180" i="2"/>
  <c r="CT184" i="2" s="1"/>
  <c r="CT187" i="2" s="1"/>
  <c r="CT158" i="2"/>
  <c r="CT151" i="2"/>
  <c r="CW160" i="2"/>
  <c r="CW69" i="2"/>
  <c r="CX68" i="2"/>
  <c r="CX153" i="2" s="1"/>
  <c r="CZ153" i="2"/>
  <c r="CS180" i="2"/>
  <c r="CS53" i="2"/>
  <c r="CS56" i="2"/>
  <c r="CS158" i="2"/>
  <c r="CR55" i="2"/>
  <c r="CO171" i="2"/>
  <c r="CO69" i="2"/>
  <c r="CO153" i="2"/>
  <c r="CO160" i="2"/>
  <c r="CQ171" i="2"/>
  <c r="CR617" i="2"/>
  <c r="CR622" i="2" s="1"/>
  <c r="CR644" i="2" s="1"/>
  <c r="CR346" i="2" s="1"/>
  <c r="CR170" i="2"/>
  <c r="CR61" i="2"/>
  <c r="CR159" i="2"/>
  <c r="CT170" i="2"/>
  <c r="CW152" i="2"/>
  <c r="CW159" i="2"/>
  <c r="CZ152" i="2"/>
  <c r="CW61" i="2"/>
  <c r="CW55" i="2"/>
  <c r="CX55" i="2" s="1"/>
  <c r="CW617" i="2"/>
  <c r="CW622" i="2" s="1"/>
  <c r="CW644" i="2" s="1"/>
  <c r="CW346" i="2" s="1"/>
  <c r="CP617" i="2"/>
  <c r="CP622" i="2" s="1"/>
  <c r="CP644" i="2" s="1"/>
  <c r="CP346" i="2" s="1"/>
  <c r="CP152" i="2"/>
  <c r="CO60" i="2"/>
  <c r="CP55" i="2"/>
  <c r="CP61" i="2"/>
  <c r="CP159" i="2"/>
  <c r="CZ170" i="2"/>
  <c r="CX170" i="2"/>
  <c r="CX61" i="2"/>
  <c r="CX617" i="2"/>
  <c r="CX622" i="2" s="1"/>
  <c r="CX644" i="2" s="1"/>
  <c r="CX346" i="2" s="1"/>
  <c r="CX159" i="2"/>
  <c r="DA152" i="2"/>
  <c r="CQ56" i="2"/>
  <c r="CQ180" i="2"/>
  <c r="CQ151" i="2"/>
  <c r="CQ158" i="2"/>
  <c r="CY53" i="2"/>
  <c r="CY56" i="2"/>
  <c r="CY180" i="2"/>
  <c r="DB151" i="2"/>
  <c r="CY158" i="2"/>
  <c r="CU69" i="2" l="1"/>
  <c r="CU171" i="2"/>
  <c r="CU153" i="2"/>
  <c r="CW171" i="2"/>
  <c r="CV159" i="2"/>
  <c r="CU60" i="2"/>
  <c r="CX152" i="2" s="1"/>
  <c r="CV61" i="2"/>
  <c r="CV617" i="2"/>
  <c r="CV622" i="2" s="1"/>
  <c r="CV644" i="2" s="1"/>
  <c r="CV346" i="2" s="1"/>
  <c r="CV55" i="2"/>
  <c r="E27" i="9" s="1"/>
  <c r="CV152" i="2"/>
  <c r="CT503" i="2"/>
  <c r="CX69" i="2"/>
  <c r="CX171" i="2"/>
  <c r="DA153" i="2"/>
  <c r="CX160" i="2"/>
  <c r="CZ171" i="2"/>
  <c r="D15" i="9"/>
  <c r="F15" i="9"/>
  <c r="CX158" i="2"/>
  <c r="CX169" i="2"/>
  <c r="CX56" i="2"/>
  <c r="DA151" i="2"/>
  <c r="CZ169" i="2"/>
  <c r="CY43" i="2"/>
  <c r="CO617" i="2"/>
  <c r="CO622" i="2" s="1"/>
  <c r="CO644" i="2" s="1"/>
  <c r="CO346" i="2" s="1"/>
  <c r="CO61" i="2"/>
  <c r="CO170" i="2"/>
  <c r="CO159" i="2"/>
  <c r="CO152" i="2"/>
  <c r="CQ170" i="2"/>
  <c r="CR152" i="2"/>
  <c r="CR158" i="2"/>
  <c r="CR56" i="2"/>
  <c r="CR169" i="2"/>
  <c r="CT169" i="2"/>
  <c r="CS43" i="2"/>
  <c r="CW151" i="2"/>
  <c r="CW56" i="2"/>
  <c r="CW158" i="2"/>
  <c r="CZ151" i="2"/>
  <c r="CW180" i="2"/>
  <c r="CX180" i="2" s="1"/>
  <c r="CX503" i="2" s="1"/>
  <c r="CY503" i="2"/>
  <c r="CY184" i="2"/>
  <c r="CQ184" i="2"/>
  <c r="CQ187" i="2" s="1"/>
  <c r="CQ503" i="2"/>
  <c r="CP180" i="2"/>
  <c r="CP158" i="2"/>
  <c r="CP151" i="2"/>
  <c r="CO55" i="2"/>
  <c r="CP53" i="2"/>
  <c r="CP56" i="2"/>
  <c r="CS151" i="2"/>
  <c r="CS184" i="2"/>
  <c r="CR180" i="2"/>
  <c r="CR503" i="2" s="1"/>
  <c r="CS503" i="2"/>
  <c r="CY151" i="2" l="1"/>
  <c r="CU152" i="2"/>
  <c r="CU170" i="2"/>
  <c r="CU61" i="2"/>
  <c r="CU159" i="2"/>
  <c r="CU617" i="2"/>
  <c r="CU622" i="2" s="1"/>
  <c r="CU644" i="2" s="1"/>
  <c r="CU346" i="2" s="1"/>
  <c r="CW170" i="2"/>
  <c r="CU55" i="2"/>
  <c r="CW169" i="2" s="1"/>
  <c r="CV151" i="2"/>
  <c r="CV56" i="2"/>
  <c r="E15" i="9"/>
  <c r="CV180" i="2"/>
  <c r="CV503" i="2" s="1"/>
  <c r="CV53" i="2"/>
  <c r="CV158" i="2"/>
  <c r="CP43" i="2"/>
  <c r="CS187" i="2"/>
  <c r="CR187" i="2" s="1"/>
  <c r="CR184" i="2"/>
  <c r="CO56" i="2"/>
  <c r="CO158" i="2"/>
  <c r="CO151" i="2"/>
  <c r="CO169" i="2"/>
  <c r="CQ169" i="2"/>
  <c r="CP503" i="2"/>
  <c r="CO180" i="2"/>
  <c r="CO503" i="2" s="1"/>
  <c r="CP184" i="2"/>
  <c r="CS476" i="2"/>
  <c r="CS477" i="2" s="1"/>
  <c r="CR151" i="2"/>
  <c r="CY187" i="2"/>
  <c r="CW184" i="2"/>
  <c r="CW187" i="2" s="1"/>
  <c r="CW503" i="2"/>
  <c r="CY476" i="2"/>
  <c r="CY477" i="2" s="1"/>
  <c r="CV184" i="2" l="1"/>
  <c r="CU180" i="2"/>
  <c r="CU503" i="2" s="1"/>
  <c r="CX151" i="2"/>
  <c r="CU169" i="2"/>
  <c r="CU56" i="2"/>
  <c r="CV43" i="2"/>
  <c r="CV476" i="2" s="1"/>
  <c r="CV477" i="2" s="1"/>
  <c r="CU151" i="2"/>
  <c r="CU158" i="2"/>
  <c r="CX184" i="2"/>
  <c r="CX187" i="2"/>
  <c r="CU184" i="2"/>
  <c r="CV187" i="2"/>
  <c r="CU187" i="2" s="1"/>
  <c r="CY481" i="2"/>
  <c r="CY482" i="2" s="1"/>
  <c r="CY478" i="2"/>
  <c r="CP476" i="2"/>
  <c r="CP477" i="2" s="1"/>
  <c r="CS478" i="2"/>
  <c r="CS481" i="2"/>
  <c r="CS482" i="2" s="1"/>
  <c r="T23" i="9"/>
  <c r="T27" i="9" s="1"/>
  <c r="T29" i="9" s="1"/>
  <c r="D42" i="9"/>
  <c r="D32" i="9"/>
  <c r="F32" i="9"/>
  <c r="V23" i="9"/>
  <c r="V27" i="9" s="1"/>
  <c r="V29" i="9" s="1"/>
  <c r="G30" i="9"/>
  <c r="F42" i="9"/>
  <c r="CP187" i="2"/>
  <c r="CO187" i="2" s="1"/>
  <c r="CO184" i="2"/>
  <c r="F30" i="9"/>
  <c r="CY483" i="2" l="1"/>
  <c r="CY484" i="2" s="1"/>
  <c r="CY485" i="2" s="1"/>
  <c r="CS483" i="2"/>
  <c r="F34" i="9"/>
  <c r="F36" i="9"/>
  <c r="F37" i="9" s="1"/>
  <c r="CP481" i="2"/>
  <c r="CP482" i="2" s="1"/>
  <c r="CP478" i="2"/>
  <c r="D34" i="9"/>
  <c r="D36" i="9"/>
  <c r="D37" i="9" s="1"/>
  <c r="U23" i="9"/>
  <c r="U27" i="9" s="1"/>
  <c r="U29" i="9" s="1"/>
  <c r="E30" i="9"/>
  <c r="E42" i="9"/>
  <c r="E32" i="9"/>
  <c r="CV478" i="2"/>
  <c r="CV481" i="2"/>
  <c r="CV482" i="2" s="1"/>
  <c r="F14" i="9" l="1"/>
  <c r="CS484" i="2"/>
  <c r="CS485" i="2" s="1"/>
  <c r="D14" i="9"/>
  <c r="CV483" i="2"/>
  <c r="E36" i="9"/>
  <c r="E37" i="9" s="1"/>
  <c r="E34" i="9"/>
  <c r="CP483" i="2"/>
  <c r="CV484" i="2" l="1"/>
  <c r="CV485" i="2" s="1"/>
  <c r="E14" i="9"/>
  <c r="CP484" i="2"/>
  <c r="CP485" i="2" s="1"/>
  <c r="BS209" i="3" l="1"/>
  <c r="BS263" i="2"/>
  <c r="BS264" i="2" s="1"/>
  <c r="BT343" i="2" l="1"/>
  <c r="BS634" i="2"/>
  <c r="BS636" i="2" s="1"/>
  <c r="BS639" i="2" s="1"/>
  <c r="BS642" i="2" s="1"/>
  <c r="BS307" i="2"/>
  <c r="BS324" i="2" s="1"/>
  <c r="BS644" i="2" l="1"/>
  <c r="BS346" i="2" s="1"/>
  <c r="BI58" i="4" l="1"/>
  <c r="BF58" i="4"/>
  <c r="BE47" i="4"/>
  <c r="BE49" i="4" l="1"/>
  <c r="BH58" i="4"/>
  <c r="BE58" i="4"/>
  <c r="BE60" i="4" l="1"/>
  <c r="BE51" i="4"/>
  <c r="BH60" i="4"/>
  <c r="BF49" i="4"/>
  <c r="BF60" i="4" l="1"/>
  <c r="BI60" i="4"/>
  <c r="BE62" i="4"/>
  <c r="BF51" i="4"/>
  <c r="BH62" i="4"/>
  <c r="BE6" i="4"/>
  <c r="BE7" i="4" l="1"/>
  <c r="BF6" i="4"/>
  <c r="BF62" i="4"/>
  <c r="BI62" i="4"/>
  <c r="BF7" i="4" l="1"/>
  <c r="BE12" i="4"/>
  <c r="BF12" i="4" l="1"/>
  <c r="BE360" i="4"/>
  <c r="BE351" i="4"/>
  <c r="BE352" i="4" s="1"/>
  <c r="BF360" i="4"/>
  <c r="BD351" i="4"/>
  <c r="BD360" i="4"/>
  <c r="BF351" i="4" l="1"/>
  <c r="BF352" i="4" s="1"/>
  <c r="BD356" i="4"/>
  <c r="BE17" i="4"/>
  <c r="BE424" i="4"/>
  <c r="BD424" i="4"/>
  <c r="BD352" i="4"/>
  <c r="BF356" i="4" l="1"/>
  <c r="BF357" i="4" s="1"/>
  <c r="BE21" i="4"/>
  <c r="BF21" i="4" s="1"/>
  <c r="BH31" i="4"/>
  <c r="BE66" i="4"/>
  <c r="BE31" i="4"/>
  <c r="BE20" i="4"/>
  <c r="BD357" i="4"/>
  <c r="BE356" i="4"/>
  <c r="BE357" i="4" s="1"/>
  <c r="BD464" i="4"/>
  <c r="BD434" i="4"/>
  <c r="BD453" i="4"/>
  <c r="BD443" i="4"/>
  <c r="BD474" i="4"/>
  <c r="BD426" i="4"/>
  <c r="BF424" i="4"/>
  <c r="BD445" i="4"/>
  <c r="BD425" i="4"/>
  <c r="BE445" i="4"/>
  <c r="BE474" i="4"/>
  <c r="BE434" i="4"/>
  <c r="BE453" i="4"/>
  <c r="BE425" i="4"/>
  <c r="BE426" i="4"/>
  <c r="BE464" i="4"/>
  <c r="BE443" i="4"/>
  <c r="BE436" i="4" l="1"/>
  <c r="BE476" i="4"/>
  <c r="BE456" i="4"/>
  <c r="BE466" i="4"/>
  <c r="BF453" i="4"/>
  <c r="BF434" i="4"/>
  <c r="BF474" i="4"/>
  <c r="BF443" i="4"/>
  <c r="BF445" i="4"/>
  <c r="BF425" i="4"/>
  <c r="BF464" i="4"/>
  <c r="BD466" i="4"/>
  <c r="BD436" i="4"/>
  <c r="BF426" i="4"/>
  <c r="BD476" i="4"/>
  <c r="BD456" i="4"/>
  <c r="BH34" i="4"/>
  <c r="BE71" i="4"/>
  <c r="BF20" i="4"/>
  <c r="BE72" i="4"/>
  <c r="BE70" i="4"/>
  <c r="BE34" i="4"/>
  <c r="BE68" i="4"/>
  <c r="BE3" i="4"/>
  <c r="BE8" i="4" l="1"/>
  <c r="BF3" i="4"/>
  <c r="BE11" i="4"/>
  <c r="BI34" i="4"/>
  <c r="BF34" i="4"/>
  <c r="BF68" i="4"/>
  <c r="BF71" i="4"/>
  <c r="BF70" i="4"/>
  <c r="BF72" i="4"/>
  <c r="BF476" i="4"/>
  <c r="BF466" i="4"/>
  <c r="BF456" i="4"/>
  <c r="BF436" i="4"/>
  <c r="BF8" i="4" l="1"/>
  <c r="BF11" i="4"/>
  <c r="BT211" i="2"/>
  <c r="BT201" i="3" s="1"/>
  <c r="BT199" i="3" s="1"/>
  <c r="BS201" i="3"/>
  <c r="BS199" i="3" s="1"/>
  <c r="BS213" i="2"/>
  <c r="BT213" i="2" s="1"/>
  <c r="BT202" i="3" s="1"/>
  <c r="BS202" i="3" l="1"/>
  <c r="BR263" i="2"/>
  <c r="BQ263" i="2" s="1"/>
  <c r="BR209" i="3"/>
  <c r="BQ246" i="2"/>
  <c r="BQ209" i="3" s="1"/>
  <c r="BR264" i="2" l="1"/>
  <c r="BU343" i="2" l="1"/>
  <c r="BR634" i="2"/>
  <c r="BR636" i="2" s="1"/>
  <c r="BR639" i="2" s="1"/>
  <c r="BR642" i="2" s="1"/>
  <c r="BS343" i="2"/>
  <c r="BR307" i="2"/>
  <c r="BR343" i="2"/>
  <c r="BQ264" i="2"/>
  <c r="BQ343" i="2" l="1"/>
  <c r="BQ634" i="2"/>
  <c r="BQ636" i="2" s="1"/>
  <c r="BQ639" i="2" s="1"/>
  <c r="BQ642" i="2" s="1"/>
  <c r="BQ307" i="2"/>
  <c r="BQ324" i="2" s="1"/>
  <c r="BR324" i="2"/>
  <c r="BR644" i="2"/>
  <c r="BR346" i="2" s="1"/>
  <c r="BQ644" i="2" l="1"/>
  <c r="BQ346" i="2" s="1"/>
  <c r="BH360" i="4"/>
  <c r="BK360" i="4"/>
  <c r="BH351" i="4"/>
  <c r="BH352" i="4" s="1"/>
  <c r="BI360" i="4"/>
  <c r="BL360" i="4"/>
  <c r="BG360" i="4"/>
  <c r="BJ360" i="4"/>
  <c r="BG351" i="4"/>
  <c r="BG352" i="4" s="1"/>
  <c r="BI351" i="4" l="1"/>
  <c r="BL352" i="4" s="1"/>
  <c r="BG424" i="4"/>
  <c r="BJ352" i="4"/>
  <c r="BK352" i="4"/>
  <c r="BG356" i="4"/>
  <c r="BH424" i="4"/>
  <c r="BI352" i="4" l="1"/>
  <c r="BI356" i="4"/>
  <c r="BI357" i="4" s="1"/>
  <c r="BH443" i="4"/>
  <c r="BH445" i="4"/>
  <c r="BK425" i="4"/>
  <c r="BH434" i="4"/>
  <c r="BH426" i="4"/>
  <c r="BH425" i="4"/>
  <c r="BH453" i="4"/>
  <c r="BH464" i="4"/>
  <c r="BH474" i="4"/>
  <c r="BG434" i="4"/>
  <c r="BG445" i="4"/>
  <c r="BG464" i="4"/>
  <c r="BG426" i="4"/>
  <c r="BG425" i="4"/>
  <c r="BG443" i="4"/>
  <c r="BI424" i="4"/>
  <c r="BJ425" i="4"/>
  <c r="BG453" i="4"/>
  <c r="BG474" i="4"/>
  <c r="BG357" i="4"/>
  <c r="BH356" i="4"/>
  <c r="BH357" i="4" s="1"/>
  <c r="BI443" i="4" l="1"/>
  <c r="BI425" i="4"/>
  <c r="BI453" i="4"/>
  <c r="BI434" i="4"/>
  <c r="BI474" i="4"/>
  <c r="BI464" i="4"/>
  <c r="BI445" i="4"/>
  <c r="BL425" i="4"/>
  <c r="BG427" i="4"/>
  <c r="BJ427" i="4"/>
  <c r="BG466" i="4"/>
  <c r="BI426" i="4"/>
  <c r="BG436" i="4"/>
  <c r="BG456" i="4"/>
  <c r="BG476" i="4"/>
  <c r="BH466" i="4"/>
  <c r="BK427" i="4"/>
  <c r="BH456" i="4"/>
  <c r="BH436" i="4"/>
  <c r="BH476" i="4"/>
  <c r="BH427" i="4"/>
  <c r="BI476" i="4" l="1"/>
  <c r="BI466" i="4"/>
  <c r="BI456" i="4"/>
  <c r="BI436" i="4"/>
  <c r="BI427" i="4"/>
  <c r="BL427" i="4"/>
  <c r="BI242" i="3"/>
  <c r="BL179" i="3"/>
  <c r="ES64" i="3" l="1"/>
  <c r="EU64" i="3"/>
  <c r="ES66" i="3" l="1"/>
  <c r="EU66" i="3"/>
  <c r="ET64" i="3"/>
  <c r="ET66" i="3" s="1"/>
  <c r="EV64" i="3"/>
  <c r="EX64" i="3" l="1"/>
  <c r="EV66" i="3"/>
  <c r="EX66" i="3" l="1"/>
  <c r="EY66" i="3"/>
  <c r="FA66" i="3"/>
  <c r="EW64" i="3"/>
  <c r="EW66" i="3" s="1"/>
  <c r="DX201" i="3"/>
  <c r="DX199" i="3" s="1"/>
  <c r="DY121" i="3" l="1"/>
  <c r="DZ121" i="3" l="1"/>
  <c r="DY127" i="3"/>
  <c r="DY18" i="3" l="1"/>
  <c r="DZ127" i="3"/>
  <c r="DZ18" i="3" l="1"/>
  <c r="DZ76" i="2"/>
  <c r="DY76" i="2" l="1"/>
  <c r="DY201" i="3"/>
  <c r="DY199" i="3" s="1"/>
  <c r="DZ201" i="3"/>
  <c r="DZ199" i="3" s="1"/>
  <c r="EA201" i="3"/>
  <c r="EA199" i="3" s="1"/>
  <c r="EB201" i="3"/>
  <c r="EB199" i="3" s="1"/>
  <c r="EC201" i="3"/>
  <c r="EC199" i="3" s="1"/>
  <c r="ED201" i="3"/>
  <c r="ED199" i="3" s="1"/>
  <c r="EE201" i="3"/>
  <c r="EE199" i="3" s="1"/>
  <c r="EF201" i="3"/>
  <c r="EF199" i="3" s="1"/>
  <c r="EG201" i="3"/>
  <c r="EG199" i="3" s="1"/>
  <c r="EH201" i="3"/>
  <c r="EH199" i="3" s="1"/>
  <c r="EI201" i="3"/>
  <c r="EI199" i="3" s="1"/>
  <c r="EJ201" i="3"/>
  <c r="EJ199" i="3" s="1"/>
  <c r="EK201" i="3"/>
  <c r="EK199" i="3" s="1"/>
  <c r="EL201" i="3"/>
  <c r="EL199" i="3" s="1"/>
  <c r="EM201" i="3"/>
  <c r="EM199" i="3" s="1"/>
  <c r="EN201" i="3"/>
  <c r="EN199" i="3" s="1"/>
  <c r="EO201" i="3"/>
  <c r="EO199" i="3" s="1"/>
  <c r="EP201" i="3"/>
  <c r="EP199" i="3" s="1"/>
  <c r="EQ201" i="3"/>
  <c r="EQ199" i="3" s="1"/>
  <c r="ER201" i="3"/>
  <c r="ER199" i="3" s="1"/>
  <c r="ES201" i="3"/>
  <c r="ES199" i="3" s="1"/>
  <c r="ET201" i="3"/>
  <c r="ET199" i="3" s="1"/>
  <c r="EU201" i="3"/>
  <c r="EU199" i="3" s="1"/>
  <c r="EV201" i="3"/>
  <c r="EV199" i="3" s="1"/>
  <c r="EW201" i="3"/>
  <c r="EW199" i="3" s="1"/>
  <c r="EX201" i="3"/>
  <c r="EX199" i="3" s="1"/>
  <c r="DZ295" i="2"/>
  <c r="DZ290" i="2" s="1"/>
  <c r="AE57" i="9" s="1"/>
  <c r="DZ120" i="3" l="1"/>
  <c r="DY290" i="2"/>
  <c r="EA295" i="2"/>
  <c r="EA290" i="2" s="1"/>
  <c r="EC295" i="2"/>
  <c r="DY295" i="2"/>
  <c r="EA120" i="3" l="1"/>
  <c r="EB121" i="3" s="1"/>
  <c r="EB127" i="3" s="1"/>
  <c r="DY120" i="3"/>
  <c r="EA121" i="3" s="1"/>
  <c r="EC290" i="2"/>
  <c r="AF57" i="9" s="1"/>
  <c r="EB295" i="2"/>
  <c r="EA127" i="3" l="1"/>
  <c r="EC127" i="3" s="1"/>
  <c r="EC121" i="3"/>
  <c r="EC120" i="3"/>
  <c r="EF295" i="2"/>
  <c r="EB290" i="2"/>
  <c r="ED295" i="2"/>
  <c r="ED290" i="2" s="1"/>
  <c r="EB18" i="3"/>
  <c r="EC18" i="3" l="1"/>
  <c r="EC76" i="2"/>
  <c r="EB120" i="3"/>
  <c r="ED121" i="3" s="1"/>
  <c r="EE295" i="2"/>
  <c r="EF290" i="2"/>
  <c r="AG57" i="9" s="1"/>
  <c r="ED120" i="3"/>
  <c r="EE121" i="3" s="1"/>
  <c r="EE127" i="3" s="1"/>
  <c r="EA18" i="3"/>
  <c r="EA76" i="2"/>
  <c r="EF120" i="3" l="1"/>
  <c r="EI295" i="2"/>
  <c r="EE290" i="2"/>
  <c r="EG295" i="2"/>
  <c r="EG290" i="2" s="1"/>
  <c r="EF121" i="3"/>
  <c r="ED127" i="3"/>
  <c r="EE18" i="3"/>
  <c r="EB76" i="2"/>
  <c r="EG120" i="3" l="1"/>
  <c r="EH121" i="3" s="1"/>
  <c r="EH127" i="3" s="1"/>
  <c r="ED18" i="3"/>
  <c r="ED76" i="2"/>
  <c r="EE120" i="3"/>
  <c r="EG121" i="3" s="1"/>
  <c r="EI290" i="2"/>
  <c r="EH295" i="2"/>
  <c r="EF127" i="3"/>
  <c r="EI120" i="3" l="1"/>
  <c r="EH290" i="2"/>
  <c r="EJ295" i="2"/>
  <c r="EJ290" i="2" s="1"/>
  <c r="EL295" i="2"/>
  <c r="EF18" i="3"/>
  <c r="EF76" i="2"/>
  <c r="EG127" i="3"/>
  <c r="EI121" i="3"/>
  <c r="EH18" i="3"/>
  <c r="EH120" i="3" l="1"/>
  <c r="EJ121" i="3" s="1"/>
  <c r="EJ120" i="3"/>
  <c r="EK121" i="3" s="1"/>
  <c r="EK127" i="3" s="1"/>
  <c r="EG18" i="3"/>
  <c r="EG76" i="2"/>
  <c r="EI127" i="3"/>
  <c r="EE76" i="2"/>
  <c r="EL290" i="2"/>
  <c r="EK295" i="2"/>
  <c r="EL121" i="3" l="1"/>
  <c r="EJ127" i="3"/>
  <c r="EL127" i="3" s="1"/>
  <c r="EK18" i="3"/>
  <c r="EL120" i="3"/>
  <c r="EK290" i="2"/>
  <c r="EM295" i="2"/>
  <c r="EM290" i="2" s="1"/>
  <c r="EO295" i="2"/>
  <c r="EI18" i="3"/>
  <c r="EI76" i="2"/>
  <c r="EH76" i="2" l="1"/>
  <c r="EL18" i="3"/>
  <c r="EL76" i="2"/>
  <c r="EM120" i="3"/>
  <c r="EN121" i="3" s="1"/>
  <c r="EN127" i="3" s="1"/>
  <c r="EK120" i="3"/>
  <c r="EM121" i="3" s="1"/>
  <c r="EJ18" i="3"/>
  <c r="EJ76" i="2"/>
  <c r="EO290" i="2"/>
  <c r="EN295" i="2"/>
  <c r="EN18" i="3" l="1"/>
  <c r="EO120" i="3"/>
  <c r="ER295" i="2"/>
  <c r="EN290" i="2"/>
  <c r="EP295" i="2"/>
  <c r="EP290" i="2" s="1"/>
  <c r="EK76" i="2"/>
  <c r="EO121" i="3"/>
  <c r="EM127" i="3"/>
  <c r="EO127" i="3" s="1"/>
  <c r="EO18" i="3" l="1"/>
  <c r="EO76" i="2"/>
  <c r="EN120" i="3"/>
  <c r="EP121" i="3" s="1"/>
  <c r="EP120" i="3"/>
  <c r="EQ121" i="3" s="1"/>
  <c r="EQ127" i="3" s="1"/>
  <c r="EM18" i="3"/>
  <c r="EM76" i="2"/>
  <c r="EQ295" i="2"/>
  <c r="ER290" i="2"/>
  <c r="EQ18" i="3" l="1"/>
  <c r="EN76" i="2"/>
  <c r="ER120" i="3"/>
  <c r="EU295" i="2"/>
  <c r="EQ290" i="2"/>
  <c r="ES295" i="2"/>
  <c r="ES290" i="2" s="1"/>
  <c r="ER121" i="3"/>
  <c r="EP127" i="3"/>
  <c r="ES120" i="3" l="1"/>
  <c r="ET121" i="3" s="1"/>
  <c r="ET127" i="3" s="1"/>
  <c r="EP18" i="3"/>
  <c r="EP76" i="2"/>
  <c r="EQ120" i="3"/>
  <c r="ES121" i="3" s="1"/>
  <c r="ER127" i="3"/>
  <c r="EU290" i="2"/>
  <c r="ET295" i="2"/>
  <c r="EU120" i="3" l="1"/>
  <c r="ET290" i="2"/>
  <c r="EV295" i="2"/>
  <c r="EV290" i="2" s="1"/>
  <c r="EX295" i="2"/>
  <c r="EU121" i="3"/>
  <c r="ES127" i="3"/>
  <c r="EU127" i="3" s="1"/>
  <c r="ET18" i="3"/>
  <c r="ER18" i="3"/>
  <c r="ER76" i="2"/>
  <c r="EQ76" i="2" l="1"/>
  <c r="ES18" i="3"/>
  <c r="ES76" i="2"/>
  <c r="EV120" i="3"/>
  <c r="EW121" i="3" s="1"/>
  <c r="EW127" i="3" s="1"/>
  <c r="ET120" i="3"/>
  <c r="EV121" i="3" s="1"/>
  <c r="EU18" i="3"/>
  <c r="EU76" i="2"/>
  <c r="EX290" i="2"/>
  <c r="EW295" i="2"/>
  <c r="EY295" i="2" l="1"/>
  <c r="EY290" i="2" s="1"/>
  <c r="EY120" i="3" s="1"/>
  <c r="EZ121" i="3" s="1"/>
  <c r="EZ127" i="3" s="1"/>
  <c r="EZ18" i="3" s="1"/>
  <c r="FA295" i="2"/>
  <c r="EW18" i="3"/>
  <c r="EX120" i="3"/>
  <c r="EW290" i="2"/>
  <c r="ET76" i="2"/>
  <c r="EV127" i="3"/>
  <c r="EX121" i="3"/>
  <c r="EZ295" i="2" l="1"/>
  <c r="FA290" i="2"/>
  <c r="EW120" i="3"/>
  <c r="EY121" i="3" s="1"/>
  <c r="EV18" i="3"/>
  <c r="EV76" i="2"/>
  <c r="EX127" i="3"/>
  <c r="EZ290" i="2" l="1"/>
  <c r="EZ120" i="3" s="1"/>
  <c r="FA120" i="3"/>
  <c r="EY127" i="3"/>
  <c r="FA121" i="3"/>
  <c r="EX18" i="3"/>
  <c r="EX76" i="2"/>
  <c r="EY76" i="2" l="1"/>
  <c r="EY18" i="3"/>
  <c r="FA127" i="3"/>
  <c r="EW76" i="2"/>
  <c r="FA76" i="2" l="1"/>
  <c r="EZ76" i="2" s="1"/>
  <c r="FA18" i="3"/>
  <c r="AB20" i="9"/>
  <c r="M32" i="9"/>
  <c r="M34" i="9" s="1"/>
  <c r="M36" i="9" l="1"/>
  <c r="AC23" i="9"/>
  <c r="AC27" i="9" s="1"/>
  <c r="AC29" i="9" s="1"/>
  <c r="AC20" i="9"/>
  <c r="Z20" i="9"/>
  <c r="AA20" i="9"/>
  <c r="AB23" i="9"/>
  <c r="AB27" i="9" s="1"/>
  <c r="AB29" i="9" s="1"/>
  <c r="L28" i="9"/>
  <c r="L30" i="9"/>
  <c r="M30" i="9"/>
  <c r="L32" i="9"/>
  <c r="L36" i="9" s="1"/>
  <c r="L37" i="9" s="1"/>
  <c r="L42" i="9"/>
  <c r="M37" i="9" l="1"/>
  <c r="M43" i="9"/>
  <c r="L34" i="9"/>
  <c r="DU666" i="2" l="1"/>
  <c r="DU23" i="4"/>
  <c r="DU26" i="4" s="1"/>
  <c r="DU113" i="4"/>
  <c r="DU115" i="4" s="1"/>
  <c r="DX116" i="4" s="1"/>
  <c r="DU119" i="4"/>
  <c r="DU127" i="4"/>
  <c r="DX128" i="4" s="1"/>
  <c r="DU116" i="4" l="1"/>
  <c r="DU140" i="4"/>
  <c r="DW127" i="4"/>
  <c r="DU143" i="4"/>
  <c r="DU36" i="4"/>
  <c r="DU128" i="4"/>
  <c r="DU147" i="4"/>
  <c r="DU133" i="4"/>
  <c r="DU137" i="4"/>
  <c r="DU39" i="4"/>
  <c r="DW133" i="4" l="1"/>
  <c r="DW140" i="4"/>
  <c r="DW131" i="4"/>
  <c r="DW137" i="4"/>
  <c r="DW143" i="4"/>
  <c r="DW128" i="4"/>
  <c r="DW147" i="4"/>
  <c r="DU481" i="4"/>
  <c r="DU134" i="4"/>
  <c r="EB134" i="4" s="1"/>
  <c r="EE134" i="4" s="1"/>
  <c r="EH134" i="4" s="1"/>
  <c r="DU149" i="4"/>
  <c r="DW149" i="4" s="1"/>
  <c r="DW150" i="4" s="1"/>
  <c r="DW134" i="4" l="1"/>
  <c r="EJ134" i="4"/>
  <c r="EK134" i="4" s="1"/>
  <c r="EM134" i="4" s="1"/>
  <c r="EN134" i="4" s="1"/>
  <c r="DU150" i="4"/>
  <c r="DU154" i="4"/>
  <c r="DV481" i="4"/>
  <c r="DU131" i="4"/>
  <c r="DU155" i="4" l="1"/>
  <c r="DW154" i="4"/>
  <c r="DW155" i="4" s="1"/>
  <c r="DX481" i="4"/>
  <c r="DU160" i="4"/>
  <c r="DW160" i="4" l="1"/>
  <c r="DY481" i="4"/>
  <c r="DU7" i="4"/>
  <c r="DU161" i="4"/>
  <c r="DW161" i="4" l="1"/>
  <c r="EB137" i="4"/>
  <c r="EA481" i="4"/>
  <c r="EB481" i="4" l="1"/>
  <c r="DU15" i="4"/>
  <c r="DU29" i="4" s="1"/>
  <c r="DU171" i="4"/>
  <c r="DU253" i="4"/>
  <c r="DU420" i="4"/>
  <c r="DU421" i="4" s="1"/>
  <c r="DU251" i="4" l="1"/>
  <c r="DW251" i="4" s="1"/>
  <c r="DW253" i="4"/>
  <c r="DU459" i="4"/>
  <c r="DU460" i="4" s="1"/>
  <c r="EG176" i="4" l="1"/>
  <c r="EH176" i="4" s="1"/>
  <c r="EJ176" i="4" s="1"/>
  <c r="EK176" i="4" s="1"/>
  <c r="EM176" i="4" s="1"/>
  <c r="EN176" i="4" s="1"/>
  <c r="EP176" i="4" s="1"/>
  <c r="EQ176" i="4" s="1"/>
  <c r="ES176" i="4" s="1"/>
  <c r="ET176" i="4" s="1"/>
  <c r="EV176" i="4" s="1"/>
  <c r="EW176" i="4" s="1"/>
  <c r="EY176" i="4" s="1"/>
  <c r="EZ176" i="4" s="1"/>
  <c r="DU16" i="4"/>
  <c r="DU422" i="4"/>
  <c r="DU423" i="4" s="1"/>
  <c r="DU461" i="4"/>
  <c r="DU30" i="4" l="1"/>
  <c r="DU462" i="4"/>
  <c r="DU44" i="4"/>
  <c r="DU55" i="4" s="1"/>
  <c r="DU471" i="4"/>
  <c r="DU472" i="4" s="1"/>
  <c r="DU17" i="4"/>
  <c r="DU21" i="4" s="1"/>
  <c r="DU4" i="4" s="1"/>
  <c r="DU405" i="4"/>
  <c r="DU409" i="4"/>
  <c r="DW409" i="4" s="1"/>
  <c r="DW410" i="4" s="1"/>
  <c r="DU424" i="4"/>
  <c r="DU20" i="4" l="1"/>
  <c r="DU30" i="2" s="1"/>
  <c r="DU31" i="4"/>
  <c r="DU426" i="4"/>
  <c r="DU483" i="4" s="1"/>
  <c r="DU425" i="4"/>
  <c r="DU452" i="4"/>
  <c r="DU65" i="4"/>
  <c r="DU463" i="4"/>
  <c r="DU442" i="4"/>
  <c r="DU8" i="4"/>
  <c r="DU231" i="2"/>
  <c r="DU236" i="2"/>
  <c r="DU266" i="2"/>
  <c r="DU150" i="2" l="1"/>
  <c r="DU52" i="3"/>
  <c r="DU34" i="4"/>
  <c r="DU71" i="4"/>
  <c r="DU31" i="2"/>
  <c r="DU336" i="2"/>
  <c r="DU337" i="2"/>
  <c r="DU168" i="2"/>
  <c r="DU169" i="3"/>
  <c r="DU165" i="3" s="1"/>
  <c r="DU185" i="2"/>
  <c r="DU165" i="2"/>
  <c r="DU3" i="4"/>
  <c r="DU11" i="4" s="1"/>
  <c r="DU92" i="4"/>
  <c r="DU93" i="4"/>
  <c r="DU359" i="4" s="1"/>
  <c r="DU486" i="4"/>
  <c r="DU91" i="4"/>
  <c r="DU198" i="4" s="1"/>
  <c r="DU443" i="4"/>
  <c r="DU427" i="4"/>
  <c r="DU170" i="3"/>
  <c r="DU166" i="3" s="1"/>
  <c r="DU171" i="3"/>
  <c r="DU167" i="3" s="1"/>
  <c r="DU479" i="4"/>
  <c r="DU465" i="4"/>
  <c r="DU464" i="4"/>
  <c r="DU453" i="4"/>
  <c r="DU334" i="2"/>
  <c r="DU338" i="2"/>
  <c r="DU189" i="2"/>
  <c r="DV189" i="2" s="1"/>
  <c r="DU335" i="2"/>
  <c r="DU287" i="2"/>
  <c r="DU342" i="2"/>
  <c r="DU333" i="2"/>
  <c r="DU341" i="2"/>
  <c r="DU614" i="2"/>
  <c r="DU272" i="4" l="1"/>
  <c r="DU326" i="4"/>
  <c r="DU54" i="3"/>
  <c r="DU53" i="3"/>
  <c r="DU284" i="4"/>
  <c r="DU328" i="4"/>
  <c r="DU102" i="4"/>
  <c r="DU103" i="4" s="1"/>
  <c r="DU108" i="4"/>
  <c r="DU371" i="4"/>
  <c r="DU372" i="4" s="1"/>
  <c r="DU400" i="4"/>
  <c r="DU291" i="4"/>
  <c r="DU323" i="4" s="1"/>
  <c r="DU180" i="4"/>
  <c r="DU191" i="4"/>
  <c r="DU235" i="4"/>
  <c r="DU99" i="4"/>
  <c r="DU366" i="4"/>
  <c r="DU367" i="4" s="1"/>
  <c r="DU489" i="4"/>
  <c r="DU466" i="4"/>
  <c r="DU360" i="4"/>
  <c r="DU220" i="2"/>
  <c r="DV220" i="2" s="1"/>
  <c r="DU205" i="2"/>
  <c r="DV205" i="2" s="1"/>
  <c r="DU305" i="2"/>
  <c r="DU630" i="2"/>
  <c r="DU270" i="4"/>
  <c r="DU273" i="4"/>
  <c r="DU59" i="2"/>
  <c r="DV59" i="2" s="1"/>
  <c r="DU196" i="4"/>
  <c r="DU199" i="4"/>
  <c r="DU340" i="2"/>
  <c r="DU339" i="2"/>
  <c r="DU285" i="4" l="1"/>
  <c r="DU280" i="4"/>
  <c r="DU157" i="4"/>
  <c r="DU192" i="4"/>
  <c r="DU46" i="4"/>
  <c r="DU57" i="4" s="1"/>
  <c r="DU188" i="4"/>
  <c r="DU183" i="4" s="1"/>
  <c r="DU362" i="4"/>
  <c r="DU265" i="4"/>
  <c r="DU267" i="4" s="1"/>
  <c r="DU269" i="4" s="1"/>
  <c r="DU746" i="4"/>
  <c r="DU871" i="4" s="1"/>
  <c r="DU105" i="4"/>
  <c r="DU354" i="4" s="1"/>
  <c r="DU355" i="4" s="1"/>
  <c r="DU109" i="4"/>
  <c r="DU292" i="4"/>
  <c r="DU181" i="4"/>
  <c r="DU178" i="4"/>
  <c r="DU745" i="4"/>
  <c r="DU858" i="4" s="1"/>
  <c r="DU289" i="4"/>
  <c r="DU173" i="4"/>
  <c r="DU237" i="4"/>
  <c r="DU100" i="4"/>
  <c r="DU271" i="4"/>
  <c r="DU324" i="4"/>
  <c r="DU329" i="4"/>
  <c r="DU334" i="4"/>
  <c r="DU431" i="4"/>
  <c r="DU197" i="4"/>
  <c r="DU231" i="4"/>
  <c r="DU57" i="2"/>
  <c r="DU179" i="2" l="1"/>
  <c r="DV179" i="2" s="1"/>
  <c r="DV57" i="2"/>
  <c r="DU266" i="4"/>
  <c r="DU106" i="4"/>
  <c r="DU275" i="4"/>
  <c r="DU260" i="4"/>
  <c r="DU337" i="4" s="1"/>
  <c r="DU883" i="4"/>
  <c r="DU925" i="4" s="1"/>
  <c r="DU387" i="4"/>
  <c r="DU389" i="4" s="1"/>
  <c r="DU282" i="4"/>
  <c r="DU283" i="4" s="1"/>
  <c r="DU189" i="4"/>
  <c r="DU281" i="4"/>
  <c r="DU865" i="4"/>
  <c r="DU752" i="4"/>
  <c r="DU780" i="4" s="1"/>
  <c r="DU298" i="4"/>
  <c r="DU429" i="4"/>
  <c r="DU430" i="4" s="1"/>
  <c r="DU870" i="4"/>
  <c r="DU179" i="4"/>
  <c r="DU877" i="4"/>
  <c r="DU919" i="4" s="1"/>
  <c r="DU889" i="4"/>
  <c r="DU931" i="4" s="1"/>
  <c r="DU859" i="4"/>
  <c r="DU864" i="4"/>
  <c r="DU888" i="4"/>
  <c r="DU930" i="4" s="1"/>
  <c r="DU751" i="4"/>
  <c r="DU779" i="4" s="1"/>
  <c r="DU356" i="4"/>
  <c r="DU876" i="4"/>
  <c r="DU322" i="4"/>
  <c r="DU747" i="4"/>
  <c r="DU866" i="4" s="1"/>
  <c r="DU168" i="4"/>
  <c r="DU169" i="4" s="1"/>
  <c r="DU882" i="4"/>
  <c r="DU238" i="4"/>
  <c r="DU290" i="4"/>
  <c r="DU175" i="4"/>
  <c r="DU174" i="4"/>
  <c r="DU205" i="4"/>
  <c r="DU208" i="4" s="1"/>
  <c r="DU163" i="4"/>
  <c r="DU397" i="4"/>
  <c r="DU165" i="4"/>
  <c r="DU332" i="4"/>
  <c r="DU335" i="4"/>
  <c r="DU440" i="4"/>
  <c r="DU268" i="4"/>
  <c r="DU232" i="4"/>
  <c r="DU233" i="4"/>
  <c r="DU900" i="4"/>
  <c r="DU42" i="3"/>
  <c r="DV44" i="3" s="1"/>
  <c r="DU247" i="2"/>
  <c r="DU913" i="4"/>
  <c r="DU432" i="4"/>
  <c r="DU378" i="4"/>
  <c r="DU26" i="3"/>
  <c r="DU28" i="3" s="1"/>
  <c r="DU456" i="2"/>
  <c r="DU180" i="3"/>
  <c r="DU217" i="4"/>
  <c r="DU348" i="4" l="1"/>
  <c r="DU177" i="4"/>
  <c r="DU358" i="4"/>
  <c r="DU907" i="4"/>
  <c r="DU261" i="4"/>
  <c r="DU343" i="4"/>
  <c r="DU252" i="4"/>
  <c r="DU860" i="4"/>
  <c r="DU861" i="4" s="1"/>
  <c r="DU903" i="4" s="1"/>
  <c r="DU309" i="4"/>
  <c r="DU312" i="4" s="1"/>
  <c r="DU276" i="4"/>
  <c r="DU748" i="4"/>
  <c r="DU749" i="4" s="1"/>
  <c r="DU753" i="4"/>
  <c r="DU754" i="4" s="1"/>
  <c r="DU939" i="4" s="1"/>
  <c r="DU878" i="4"/>
  <c r="DU920" i="4" s="1"/>
  <c r="DU936" i="4"/>
  <c r="DU300" i="4"/>
  <c r="DU302" i="4" s="1"/>
  <c r="DU299" i="4"/>
  <c r="DU301" i="4" s="1"/>
  <c r="DU937" i="4"/>
  <c r="DU906" i="4"/>
  <c r="DU901" i="4"/>
  <c r="DU918" i="4"/>
  <c r="DU955" i="4"/>
  <c r="DU357" i="4"/>
  <c r="DU884" i="4"/>
  <c r="DU954" i="4"/>
  <c r="DU912" i="4"/>
  <c r="DU176" i="4"/>
  <c r="DU895" i="4"/>
  <c r="DU164" i="4"/>
  <c r="DU894" i="4"/>
  <c r="DU924" i="4"/>
  <c r="DU246" i="4"/>
  <c r="DU872" i="4"/>
  <c r="DU873" i="4" s="1"/>
  <c r="DU915" i="4" s="1"/>
  <c r="DU890" i="4"/>
  <c r="DU206" i="4"/>
  <c r="DU390" i="4"/>
  <c r="AD49" i="9"/>
  <c r="DV633" i="2"/>
  <c r="DW633" i="2"/>
  <c r="DU218" i="4"/>
  <c r="DU220" i="4"/>
  <c r="DU379" i="4"/>
  <c r="DU263" i="2"/>
  <c r="DU633" i="2"/>
  <c r="DU44" i="3"/>
  <c r="DU333" i="4"/>
  <c r="DU339" i="4"/>
  <c r="DU441" i="4"/>
  <c r="DU908" i="4"/>
  <c r="DX668" i="2"/>
  <c r="DX664" i="2"/>
  <c r="DU867" i="4"/>
  <c r="DU909" i="4" s="1"/>
  <c r="DU398" i="4"/>
  <c r="DU313" i="4" l="1"/>
  <c r="DU315" i="4" s="1"/>
  <c r="DU310" i="4"/>
  <c r="DX24" i="4"/>
  <c r="DX37" i="4" s="1"/>
  <c r="DU956" i="4"/>
  <c r="DU957" i="4" s="1"/>
  <c r="DU902" i="4"/>
  <c r="DU879" i="4"/>
  <c r="DU921" i="4" s="1"/>
  <c r="DU938" i="4"/>
  <c r="DU781" i="4"/>
  <c r="DU782" i="4"/>
  <c r="DU891" i="4"/>
  <c r="DU933" i="4" s="1"/>
  <c r="DU885" i="4"/>
  <c r="DU927" i="4" s="1"/>
  <c r="DU896" i="4"/>
  <c r="DU926" i="4"/>
  <c r="DU248" i="4"/>
  <c r="DU448" i="4" s="1"/>
  <c r="DU209" i="4"/>
  <c r="DU932" i="4"/>
  <c r="DU914" i="4"/>
  <c r="DU380" i="4"/>
  <c r="DU402" i="4"/>
  <c r="DU450" i="4"/>
  <c r="DU221" i="4"/>
  <c r="DU222" i="4"/>
  <c r="DU210" i="4" l="1"/>
  <c r="DU897" i="4"/>
  <c r="DX665" i="2"/>
  <c r="DU449" i="4"/>
  <c r="DU454" i="4"/>
  <c r="DU451" i="4"/>
  <c r="DV416" i="4"/>
  <c r="DV417" i="4" s="1"/>
  <c r="DU433" i="4"/>
  <c r="DU403" i="4"/>
  <c r="DX23" i="4" l="1"/>
  <c r="DX25" i="4"/>
  <c r="DX38" i="4" s="1"/>
  <c r="DU456" i="4"/>
  <c r="DU45" i="4"/>
  <c r="DU417" i="4"/>
  <c r="DU473" i="4"/>
  <c r="DU434" i="4"/>
  <c r="DU435" i="4"/>
  <c r="DX666" i="2"/>
  <c r="DX26" i="4" l="1"/>
  <c r="DX39" i="4" s="1"/>
  <c r="DX36" i="4"/>
  <c r="DX667" i="2"/>
  <c r="DU436" i="4"/>
  <c r="DU66" i="4"/>
  <c r="DU56" i="4"/>
  <c r="DU474" i="4"/>
  <c r="DX7" i="4" l="1"/>
  <c r="DU110" i="3" l="1"/>
  <c r="DU17" i="3" s="1"/>
  <c r="DU75" i="2" l="1"/>
  <c r="DV75" i="2" s="1"/>
  <c r="DU35" i="2" l="1"/>
  <c r="DU181" i="2"/>
  <c r="DU74" i="2"/>
  <c r="DU34" i="2" l="1"/>
  <c r="DV35" i="2"/>
  <c r="DU479" i="2"/>
  <c r="DU480" i="2" s="1"/>
  <c r="DV34" i="2" l="1"/>
  <c r="DU20" i="2" l="1"/>
  <c r="DU219" i="2"/>
  <c r="DV219" i="2" s="1"/>
  <c r="DU464" i="2"/>
  <c r="DU144" i="2" l="1"/>
  <c r="DU320" i="2" s="1"/>
  <c r="DU226" i="2" l="1"/>
  <c r="DV224" i="2" s="1"/>
  <c r="DU25" i="2"/>
  <c r="DU322" i="2"/>
  <c r="DU327" i="2" s="1"/>
  <c r="DU625" i="2"/>
  <c r="DU627" i="2" s="1"/>
  <c r="DU108" i="3" l="1"/>
  <c r="DU107" i="3" s="1"/>
  <c r="DU244" i="2"/>
  <c r="DU329" i="2"/>
  <c r="DU328" i="2"/>
  <c r="DU330" i="2"/>
  <c r="DU640" i="2"/>
  <c r="DU264" i="2" l="1"/>
  <c r="DU629" i="2"/>
  <c r="DU631" i="2" s="1"/>
  <c r="DU307" i="2" l="1"/>
  <c r="DU324" i="2" s="1"/>
  <c r="DU634" i="2"/>
  <c r="DU636" i="2" s="1"/>
  <c r="DU639" i="2" s="1"/>
  <c r="DU642" i="2" s="1"/>
  <c r="DV17" i="3" l="1"/>
  <c r="DW17" i="3"/>
  <c r="DU214" i="2" l="1"/>
  <c r="FB302" i="2" l="1"/>
  <c r="DX123" i="3"/>
  <c r="DV123" i="3"/>
  <c r="DW123" i="3" s="1"/>
  <c r="DY302" i="2" l="1"/>
  <c r="DZ302" i="2" l="1"/>
  <c r="DY123" i="3"/>
  <c r="DZ123" i="3" s="1"/>
  <c r="EA302" i="2" l="1"/>
  <c r="EA123" i="3" l="1"/>
  <c r="EB302" i="2"/>
  <c r="EB123" i="3" l="1"/>
  <c r="EC123" i="3" s="1"/>
  <c r="EC302" i="2"/>
  <c r="ED302" i="2" l="1"/>
  <c r="ED123" i="3" l="1"/>
  <c r="EE302" i="2"/>
  <c r="EE123" i="3" l="1"/>
  <c r="EF123" i="3" s="1"/>
  <c r="EF302" i="2"/>
  <c r="EG302" i="2" l="1"/>
  <c r="EH302" i="2" l="1"/>
  <c r="EG123" i="3"/>
  <c r="EI302" i="2" l="1"/>
  <c r="EH123" i="3"/>
  <c r="EI123" i="3" s="1"/>
  <c r="EJ302" i="2" l="1"/>
  <c r="EK302" i="2" l="1"/>
  <c r="EJ123" i="3"/>
  <c r="EL302" i="2" l="1"/>
  <c r="EK123" i="3"/>
  <c r="EL123" i="3" s="1"/>
  <c r="EM302" i="2" l="1"/>
  <c r="EN302" i="2" l="1"/>
  <c r="EM123" i="3"/>
  <c r="EN123" i="3" l="1"/>
  <c r="EO123" i="3" s="1"/>
  <c r="EO302" i="2"/>
  <c r="EP302" i="2" l="1"/>
  <c r="EP123" i="3" l="1"/>
  <c r="EQ302" i="2"/>
  <c r="ER302" i="2" l="1"/>
  <c r="EQ123" i="3"/>
  <c r="ER123" i="3" s="1"/>
  <c r="ES302" i="2" l="1"/>
  <c r="ET302" i="2" l="1"/>
  <c r="ES123" i="3"/>
  <c r="EU302" i="2" l="1"/>
  <c r="ET123" i="3"/>
  <c r="EU123" i="3" s="1"/>
  <c r="EV302" i="2" l="1"/>
  <c r="EW302" i="2" l="1"/>
  <c r="EV123" i="3"/>
  <c r="EX302" i="2" l="1"/>
  <c r="EY302" i="2" s="1"/>
  <c r="EW123" i="3"/>
  <c r="EX123" i="3" s="1"/>
  <c r="EY123" i="3" l="1"/>
  <c r="EZ302" i="2"/>
  <c r="DU151" i="3"/>
  <c r="DU152" i="3" s="1"/>
  <c r="DV150" i="3" s="1"/>
  <c r="DU72" i="2"/>
  <c r="DV81" i="2" l="1"/>
  <c r="FA302" i="2"/>
  <c r="EZ123" i="3"/>
  <c r="FA123" i="3" s="1"/>
  <c r="AD13" i="9"/>
  <c r="DU178" i="2"/>
  <c r="DU84" i="2"/>
  <c r="DU148" i="3"/>
  <c r="DU161" i="2"/>
  <c r="DU68" i="2"/>
  <c r="DU343" i="2"/>
  <c r="DU12" i="4"/>
  <c r="DU73" i="2"/>
  <c r="DU345" i="2"/>
  <c r="DU618" i="2"/>
  <c r="DU4" i="3"/>
  <c r="DU10" i="3" s="1"/>
  <c r="DU154" i="2"/>
  <c r="DU81" i="2"/>
  <c r="DU331" i="2"/>
  <c r="DU172" i="2"/>
  <c r="DU463" i="2"/>
  <c r="DV84" i="2" l="1"/>
  <c r="DU90" i="2"/>
  <c r="DU174" i="2"/>
  <c r="DU115" i="2"/>
  <c r="DU155" i="2"/>
  <c r="DU163" i="2"/>
  <c r="DU10" i="2"/>
  <c r="DU11" i="2" s="1"/>
  <c r="DU69" i="2"/>
  <c r="DU153" i="2"/>
  <c r="DU160" i="2"/>
  <c r="DU171" i="2"/>
  <c r="DU60" i="2"/>
  <c r="DU619" i="2"/>
  <c r="DU620" i="2"/>
  <c r="DU173" i="2" l="1"/>
  <c r="DV90" i="2"/>
  <c r="DU13" i="2"/>
  <c r="DU14" i="2" s="1"/>
  <c r="DV115" i="2"/>
  <c r="DU55" i="2"/>
  <c r="DU162" i="2"/>
  <c r="DU139" i="2"/>
  <c r="AD15" i="9"/>
  <c r="DU5" i="3"/>
  <c r="DU11" i="3" s="1"/>
  <c r="DU91" i="2"/>
  <c r="DV91" i="2" s="1"/>
  <c r="DU156" i="2"/>
  <c r="DU202" i="3"/>
  <c r="DU147" i="2"/>
  <c r="DU344" i="2"/>
  <c r="AD14" i="9"/>
  <c r="DU61" i="2"/>
  <c r="DU170" i="2"/>
  <c r="DU152" i="2"/>
  <c r="DU159" i="2"/>
  <c r="DU617" i="2"/>
  <c r="DU621" i="2"/>
  <c r="DU27" i="2"/>
  <c r="DU222" i="3"/>
  <c r="AD17" i="9"/>
  <c r="DU158" i="2" l="1"/>
  <c r="DU169" i="2"/>
  <c r="AD12" i="9"/>
  <c r="DU151" i="2"/>
  <c r="DU56" i="2"/>
  <c r="DU140" i="2"/>
  <c r="DV139" i="2"/>
  <c r="DU180" i="2"/>
  <c r="DU143" i="2"/>
  <c r="DU146" i="2" s="1"/>
  <c r="DV142" i="2" s="1"/>
  <c r="DU472" i="2"/>
  <c r="DU622" i="2"/>
  <c r="DU644" i="2" s="1"/>
  <c r="DU346" i="2" s="1"/>
  <c r="DU348" i="2"/>
  <c r="DV140" i="2" l="1"/>
  <c r="DV141" i="2" s="1"/>
  <c r="DX141" i="2"/>
  <c r="DU141" i="2"/>
  <c r="DV143" i="2"/>
  <c r="DU184" i="2"/>
  <c r="DU187" i="2" s="1"/>
  <c r="DU22" i="2"/>
  <c r="DU349" i="2"/>
  <c r="AD18" i="9" l="1"/>
  <c r="DU365" i="2"/>
  <c r="DU366" i="2"/>
  <c r="DU224" i="3" s="1"/>
  <c r="DU221" i="2"/>
  <c r="DU222" i="2" s="1"/>
  <c r="DU225" i="3"/>
  <c r="DU355" i="2"/>
  <c r="DV362" i="2" l="1"/>
  <c r="DW362" i="2" s="1"/>
  <c r="DU359" i="2"/>
  <c r="DU233" i="3" l="1"/>
  <c r="DV361" i="2"/>
  <c r="DW361" i="2" s="1"/>
  <c r="FB312" i="2" l="1"/>
  <c r="AD62" i="9"/>
  <c r="FB310" i="2"/>
  <c r="T66" i="9" l="1"/>
  <c r="W64" i="9"/>
  <c r="W66" i="9" s="1"/>
  <c r="U64" i="9"/>
  <c r="U66" i="9" s="1"/>
  <c r="AA64" i="9"/>
  <c r="AA66" i="9" s="1"/>
  <c r="Y64" i="9"/>
  <c r="Y66" i="9" s="1"/>
  <c r="Z64" i="9"/>
  <c r="Z66" i="9" s="1"/>
  <c r="X64" i="9"/>
  <c r="X66" i="9" s="1"/>
  <c r="V64" i="9"/>
  <c r="V66" i="9" s="1"/>
  <c r="N25" i="9" l="1"/>
  <c r="N26" i="9" s="1"/>
  <c r="N54" i="9"/>
  <c r="N55" i="9" s="1"/>
  <c r="DV666" i="2"/>
  <c r="DW666" i="2"/>
  <c r="DV7" i="4" l="1"/>
  <c r="DW7" i="4"/>
  <c r="DV23" i="4"/>
  <c r="DW23" i="4" s="1"/>
  <c r="DW36" i="4" s="1"/>
  <c r="DV113" i="4"/>
  <c r="DW113" i="4" s="1"/>
  <c r="DW115" i="4" s="1"/>
  <c r="DW481" i="4"/>
  <c r="DW116" i="4" l="1"/>
  <c r="DV36" i="4"/>
  <c r="DV115" i="4"/>
  <c r="DV26" i="4"/>
  <c r="DV116" i="4" l="1"/>
  <c r="DV39" i="4"/>
  <c r="DW26" i="4"/>
  <c r="DW39" i="4" s="1"/>
  <c r="DV15" i="4" l="1"/>
  <c r="DV29" i="4" s="1"/>
  <c r="DV420" i="4"/>
  <c r="DW420" i="4" s="1"/>
  <c r="DV459" i="4"/>
  <c r="DV460" i="4" l="1"/>
  <c r="DW459" i="4"/>
  <c r="DW421" i="4"/>
  <c r="DV421" i="4"/>
  <c r="DW15" i="4"/>
  <c r="N60" i="9" l="1"/>
  <c r="N61" i="9" s="1"/>
  <c r="DW29" i="4"/>
  <c r="DW460" i="4"/>
  <c r="DW257" i="4"/>
  <c r="DV16" i="4"/>
  <c r="DW16" i="4" s="1"/>
  <c r="DW30" i="4" s="1"/>
  <c r="DV44" i="4"/>
  <c r="DW44" i="4" s="1"/>
  <c r="DW55" i="4" s="1"/>
  <c r="DV422" i="4"/>
  <c r="DV423" i="4" s="1"/>
  <c r="DV461" i="4"/>
  <c r="DW461" i="4" s="1"/>
  <c r="DV471" i="4"/>
  <c r="DW471" i="4" s="1"/>
  <c r="DV55" i="4" l="1"/>
  <c r="DV30" i="4"/>
  <c r="DV462" i="4"/>
  <c r="DW65" i="4"/>
  <c r="DV472" i="4"/>
  <c r="DV65" i="4"/>
  <c r="DW422" i="4"/>
  <c r="N62" i="9"/>
  <c r="N63" i="9" s="1"/>
  <c r="DW423" i="4" l="1"/>
  <c r="DW472" i="4"/>
  <c r="DW462" i="4"/>
  <c r="DV17" i="4" l="1"/>
  <c r="DV20" i="4" s="1"/>
  <c r="DV45" i="4"/>
  <c r="DV56" i="4" s="1"/>
  <c r="DV424" i="4"/>
  <c r="DV452" i="4"/>
  <c r="DW452" i="4" s="1"/>
  <c r="DV463" i="4"/>
  <c r="DW463" i="4" s="1"/>
  <c r="DV473" i="4"/>
  <c r="DW473" i="4" s="1"/>
  <c r="DW17" i="4" l="1"/>
  <c r="DV464" i="4"/>
  <c r="DW45" i="4"/>
  <c r="DW56" i="4" s="1"/>
  <c r="DV3" i="4"/>
  <c r="DW3" i="4" s="1"/>
  <c r="DW20" i="4"/>
  <c r="DW30" i="2" s="1"/>
  <c r="DW52" i="3" s="1"/>
  <c r="DV71" i="4"/>
  <c r="DV34" i="4"/>
  <c r="DV474" i="4"/>
  <c r="DW31" i="4"/>
  <c r="DV31" i="4"/>
  <c r="DV66" i="4"/>
  <c r="DV21" i="4"/>
  <c r="DV465" i="4"/>
  <c r="DV425" i="4"/>
  <c r="DV453" i="4"/>
  <c r="DV426" i="4"/>
  <c r="DW424" i="4"/>
  <c r="DW453" i="4" s="1"/>
  <c r="N64" i="9"/>
  <c r="N65" i="9" s="1"/>
  <c r="DW66" i="4" l="1"/>
  <c r="DW54" i="3"/>
  <c r="DW53" i="3"/>
  <c r="DW33" i="2"/>
  <c r="DV30" i="2"/>
  <c r="DV52" i="3" s="1"/>
  <c r="DW176" i="3"/>
  <c r="DW31" i="2"/>
  <c r="DW147" i="2"/>
  <c r="DW474" i="4"/>
  <c r="DW71" i="4"/>
  <c r="DW34" i="4"/>
  <c r="DW11" i="4"/>
  <c r="DV4" i="4"/>
  <c r="DW21" i="4"/>
  <c r="DW465" i="4"/>
  <c r="DV466" i="4"/>
  <c r="DV92" i="4"/>
  <c r="DV91" i="4"/>
  <c r="DV427" i="4"/>
  <c r="DW426" i="4"/>
  <c r="DV479" i="4"/>
  <c r="DV486" i="4"/>
  <c r="DW486" i="4" s="1"/>
  <c r="DV483" i="4"/>
  <c r="DW483" i="4" s="1"/>
  <c r="DV93" i="4"/>
  <c r="DW425" i="4"/>
  <c r="DW464" i="4"/>
  <c r="DV54" i="3" l="1"/>
  <c r="DV53" i="3"/>
  <c r="DV31" i="2"/>
  <c r="DV147" i="2"/>
  <c r="DW42" i="2"/>
  <c r="DV8" i="4"/>
  <c r="DW4" i="4"/>
  <c r="DW8" i="4" s="1"/>
  <c r="DW336" i="2"/>
  <c r="DU175" i="2"/>
  <c r="DW150" i="2"/>
  <c r="DW165" i="2"/>
  <c r="DW487" i="4"/>
  <c r="DW484" i="4"/>
  <c r="DW91" i="4"/>
  <c r="DW92" i="4"/>
  <c r="DW427" i="4"/>
  <c r="DW466" i="4"/>
  <c r="DV366" i="4"/>
  <c r="DV371" i="4"/>
  <c r="DV359" i="4"/>
  <c r="DV400" i="4"/>
  <c r="DW400" i="4" s="1"/>
  <c r="DV108" i="4"/>
  <c r="DV99" i="4"/>
  <c r="DV198" i="4"/>
  <c r="DV235" i="4"/>
  <c r="DV191" i="4"/>
  <c r="DV180" i="4"/>
  <c r="DW479" i="4"/>
  <c r="DW480" i="4" s="1"/>
  <c r="DV489" i="4"/>
  <c r="DW93" i="4"/>
  <c r="DV102" i="4"/>
  <c r="DV291" i="4"/>
  <c r="DV326" i="4"/>
  <c r="DV284" i="4"/>
  <c r="DV272" i="4"/>
  <c r="DW180" i="3" l="1"/>
  <c r="DV179" i="3"/>
  <c r="DV176" i="3" s="1"/>
  <c r="DV150" i="2"/>
  <c r="DV336" i="2"/>
  <c r="DV11" i="4"/>
  <c r="DV168" i="2"/>
  <c r="DV175" i="2"/>
  <c r="DV165" i="2"/>
  <c r="DW108" i="4"/>
  <c r="DW109" i="4" s="1"/>
  <c r="DY108" i="4"/>
  <c r="DV109" i="4"/>
  <c r="DV105" i="4"/>
  <c r="DW272" i="4"/>
  <c r="DW273" i="4" s="1"/>
  <c r="DV273" i="4"/>
  <c r="DV270" i="4"/>
  <c r="DW235" i="4"/>
  <c r="DV237" i="4"/>
  <c r="DW366" i="4"/>
  <c r="DV367" i="4"/>
  <c r="DV362" i="4"/>
  <c r="DV103" i="4"/>
  <c r="DW102" i="4"/>
  <c r="DW103" i="4" s="1"/>
  <c r="DY102" i="4"/>
  <c r="DV265" i="4"/>
  <c r="DV746" i="4"/>
  <c r="DV46" i="4"/>
  <c r="DV157" i="4"/>
  <c r="DW157" i="4" s="1"/>
  <c r="DW489" i="4"/>
  <c r="DV192" i="4"/>
  <c r="DV188" i="4"/>
  <c r="DW191" i="4"/>
  <c r="DW192" i="4" s="1"/>
  <c r="DV280" i="4"/>
  <c r="DW284" i="4"/>
  <c r="DW285" i="4" s="1"/>
  <c r="DV285" i="4"/>
  <c r="DV181" i="4"/>
  <c r="DV178" i="4"/>
  <c r="DW180" i="4"/>
  <c r="DW181" i="4" s="1"/>
  <c r="DV360" i="4"/>
  <c r="DW359" i="4"/>
  <c r="DV372" i="4"/>
  <c r="DW371" i="4"/>
  <c r="DW372" i="4" s="1"/>
  <c r="DV397" i="4"/>
  <c r="DY371" i="4"/>
  <c r="DV165" i="4"/>
  <c r="DW165" i="4" s="1"/>
  <c r="DW198" i="4"/>
  <c r="DW199" i="4" s="1"/>
  <c r="DV199" i="4"/>
  <c r="DV196" i="4"/>
  <c r="DW326" i="4"/>
  <c r="DV328" i="4"/>
  <c r="DY99" i="4"/>
  <c r="DY173" i="4" s="1"/>
  <c r="DW99" i="4"/>
  <c r="DW100" i="4" s="1"/>
  <c r="DV100" i="4"/>
  <c r="DV173" i="4"/>
  <c r="DV745" i="4"/>
  <c r="DV323" i="4"/>
  <c r="DV289" i="4"/>
  <c r="DW291" i="4"/>
  <c r="DW292" i="4" s="1"/>
  <c r="DV292" i="4"/>
  <c r="N24" i="9" l="1"/>
  <c r="N41" i="9"/>
  <c r="AD31" i="9"/>
  <c r="DV180" i="3"/>
  <c r="DW475" i="2"/>
  <c r="DV354" i="4"/>
  <c r="DV163" i="4" s="1"/>
  <c r="DW105" i="4"/>
  <c r="DW106" i="4" s="1"/>
  <c r="DV106" i="4"/>
  <c r="DV747" i="4"/>
  <c r="DV398" i="4"/>
  <c r="DW397" i="4"/>
  <c r="DW398" i="4" s="1"/>
  <c r="DV179" i="4"/>
  <c r="DV168" i="4"/>
  <c r="DV175" i="4"/>
  <c r="DV177" i="4" s="1"/>
  <c r="DW178" i="4"/>
  <c r="DV329" i="4"/>
  <c r="DV334" i="4"/>
  <c r="DW328" i="4"/>
  <c r="DW329" i="4" s="1"/>
  <c r="DV431" i="4"/>
  <c r="EB371" i="4"/>
  <c r="DY397" i="4"/>
  <c r="DW360" i="4"/>
  <c r="DW46" i="4"/>
  <c r="DW57" i="4" s="1"/>
  <c r="DV57" i="4"/>
  <c r="DV267" i="4"/>
  <c r="DV269" i="4" s="1"/>
  <c r="DW270" i="4"/>
  <c r="DV271" i="4"/>
  <c r="DV260" i="4"/>
  <c r="DV282" i="4"/>
  <c r="DW280" i="4"/>
  <c r="DV275" i="4"/>
  <c r="DV281" i="4"/>
  <c r="EB108" i="4"/>
  <c r="DY105" i="4"/>
  <c r="DY96" i="4" s="1"/>
  <c r="DW362" i="4"/>
  <c r="DW363" i="4" s="1"/>
  <c r="DV387" i="4"/>
  <c r="DY362" i="4"/>
  <c r="DW323" i="4"/>
  <c r="DW324" i="4" s="1"/>
  <c r="DV324" i="4"/>
  <c r="DV197" i="4"/>
  <c r="DY196" i="4"/>
  <c r="DV231" i="4"/>
  <c r="DW196" i="4"/>
  <c r="DW197" i="4" s="1"/>
  <c r="DV189" i="4"/>
  <c r="DW188" i="4"/>
  <c r="DV183" i="4"/>
  <c r="DV751" i="4"/>
  <c r="DW745" i="4"/>
  <c r="DV864" i="4"/>
  <c r="DV882" i="4"/>
  <c r="DV858" i="4"/>
  <c r="DV876" i="4"/>
  <c r="DV870" i="4"/>
  <c r="DV888" i="4"/>
  <c r="DW265" i="4"/>
  <c r="DW266" i="4" s="1"/>
  <c r="DV266" i="4"/>
  <c r="DV298" i="4"/>
  <c r="EB99" i="4"/>
  <c r="DY745" i="4"/>
  <c r="DW289" i="4"/>
  <c r="DW290" i="4" s="1"/>
  <c r="DY289" i="4"/>
  <c r="DV290" i="4"/>
  <c r="DV322" i="4"/>
  <c r="DW322" i="4" s="1"/>
  <c r="DW746" i="4"/>
  <c r="DV752" i="4"/>
  <c r="DV865" i="4"/>
  <c r="DV883" i="4"/>
  <c r="DV859" i="4"/>
  <c r="DV877" i="4"/>
  <c r="DV871" i="4"/>
  <c r="DV889" i="4"/>
  <c r="DV174" i="4"/>
  <c r="DV205" i="4"/>
  <c r="DW173" i="4"/>
  <c r="DW174" i="4" s="1"/>
  <c r="DW367" i="4"/>
  <c r="EB102" i="4"/>
  <c r="DY265" i="4"/>
  <c r="DY746" i="4"/>
  <c r="DV238" i="4"/>
  <c r="DW237" i="4"/>
  <c r="DW238" i="4" s="1"/>
  <c r="DV429" i="4"/>
  <c r="DW26" i="3" l="1"/>
  <c r="DW28" i="3" s="1"/>
  <c r="AD35" i="9"/>
  <c r="DY668" i="2"/>
  <c r="DZ96" i="4"/>
  <c r="DY97" i="4"/>
  <c r="DY664" i="2" s="1"/>
  <c r="DW282" i="4"/>
  <c r="DW283" i="4" s="1"/>
  <c r="DV283" i="4"/>
  <c r="DV866" i="4"/>
  <c r="DV867" i="4" s="1"/>
  <c r="DV878" i="4"/>
  <c r="DV890" i="4"/>
  <c r="DV891" i="4" s="1"/>
  <c r="DV933" i="4" s="1"/>
  <c r="DW747" i="4"/>
  <c r="DW748" i="4" s="1"/>
  <c r="DW749" i="4" s="1"/>
  <c r="DV872" i="4"/>
  <c r="DV873" i="4" s="1"/>
  <c r="DV915" i="4" s="1"/>
  <c r="DV884" i="4"/>
  <c r="DV885" i="4" s="1"/>
  <c r="DV927" i="4" s="1"/>
  <c r="DV753" i="4"/>
  <c r="DV754" i="4" s="1"/>
  <c r="DV860" i="4"/>
  <c r="DV861" i="4" s="1"/>
  <c r="DV355" i="4"/>
  <c r="DW354" i="4"/>
  <c r="DV378" i="4"/>
  <c r="DV356" i="4"/>
  <c r="DV358" i="4" s="1"/>
  <c r="DW883" i="4"/>
  <c r="DV925" i="4"/>
  <c r="DY266" i="4"/>
  <c r="DY298" i="4"/>
  <c r="DY291" i="4"/>
  <c r="EB289" i="4"/>
  <c r="DY322" i="4"/>
  <c r="DV232" i="4"/>
  <c r="DW232" i="4" s="1"/>
  <c r="DV233" i="4"/>
  <c r="DW231" i="4"/>
  <c r="DW233" i="4" s="1"/>
  <c r="DV430" i="4"/>
  <c r="DW429" i="4"/>
  <c r="DW430" i="4" s="1"/>
  <c r="DW751" i="4"/>
  <c r="DV779" i="4"/>
  <c r="DV936" i="4"/>
  <c r="DW888" i="4"/>
  <c r="DV930" i="4"/>
  <c r="DW168" i="4"/>
  <c r="DV169" i="4"/>
  <c r="DV252" i="4"/>
  <c r="DV246" i="4"/>
  <c r="DW387" i="4"/>
  <c r="DW383" i="4" s="1"/>
  <c r="DV389" i="4"/>
  <c r="DW865" i="4"/>
  <c r="DV907" i="4"/>
  <c r="DV299" i="4"/>
  <c r="DW298" i="4"/>
  <c r="DW295" i="4" s="1"/>
  <c r="DW296" i="4" s="1"/>
  <c r="DW179" i="4"/>
  <c r="DW175" i="4"/>
  <c r="DW176" i="4" s="1"/>
  <c r="DV300" i="4"/>
  <c r="EE108" i="4"/>
  <c r="EB105" i="4"/>
  <c r="EB96" i="4" s="1"/>
  <c r="EE371" i="4"/>
  <c r="EB397" i="4"/>
  <c r="DY174" i="4"/>
  <c r="DY205" i="4"/>
  <c r="DV432" i="4"/>
  <c r="DW431" i="4"/>
  <c r="DW432" i="4" s="1"/>
  <c r="DW882" i="4"/>
  <c r="DV924" i="4"/>
  <c r="DW205" i="4"/>
  <c r="DW203" i="4" s="1"/>
  <c r="DW204" i="4" s="1"/>
  <c r="DV206" i="4"/>
  <c r="DW864" i="4"/>
  <c r="DV906" i="4"/>
  <c r="DW752" i="4"/>
  <c r="DV780" i="4"/>
  <c r="DV937" i="4"/>
  <c r="DY354" i="4"/>
  <c r="DY747" i="4"/>
  <c r="DV176" i="4"/>
  <c r="DY175" i="4"/>
  <c r="DY177" i="4" s="1"/>
  <c r="EE102" i="4"/>
  <c r="EB265" i="4"/>
  <c r="EB746" i="4"/>
  <c r="EB196" i="4"/>
  <c r="DY231" i="4"/>
  <c r="DY198" i="4"/>
  <c r="DV208" i="4"/>
  <c r="DW208" i="4" s="1"/>
  <c r="DW364" i="4"/>
  <c r="DW365" i="4" s="1"/>
  <c r="DV748" i="4"/>
  <c r="DV749" i="4" s="1"/>
  <c r="DW871" i="4"/>
  <c r="DV913" i="4"/>
  <c r="EB173" i="4"/>
  <c r="EE99" i="4"/>
  <c r="EB745" i="4"/>
  <c r="DW275" i="4"/>
  <c r="DW276" i="4" s="1"/>
  <c r="DV309" i="4"/>
  <c r="DY275" i="4"/>
  <c r="DV276" i="4"/>
  <c r="DY267" i="4"/>
  <c r="DY269" i="4" s="1"/>
  <c r="DV268" i="4"/>
  <c r="DV164" i="4"/>
  <c r="DW163" i="4"/>
  <c r="DW164" i="4" s="1"/>
  <c r="DY398" i="4"/>
  <c r="DV261" i="4"/>
  <c r="DV337" i="4"/>
  <c r="DW260" i="4"/>
  <c r="DV343" i="4"/>
  <c r="DV348" i="4"/>
  <c r="DW889" i="4"/>
  <c r="DV931" i="4"/>
  <c r="DV912" i="4"/>
  <c r="DW870" i="4"/>
  <c r="DW183" i="4"/>
  <c r="DW184" i="4" s="1"/>
  <c r="DV217" i="4"/>
  <c r="DY183" i="4"/>
  <c r="DW267" i="4"/>
  <c r="DW268" i="4" s="1"/>
  <c r="DW271" i="4"/>
  <c r="DV919" i="4"/>
  <c r="DW877" i="4"/>
  <c r="DW876" i="4"/>
  <c r="DV918" i="4"/>
  <c r="DW189" i="4"/>
  <c r="DW859" i="4"/>
  <c r="DV901" i="4"/>
  <c r="DV895" i="4"/>
  <c r="DV955" i="4"/>
  <c r="DW858" i="4"/>
  <c r="DV894" i="4"/>
  <c r="DV900" i="4"/>
  <c r="DV954" i="4"/>
  <c r="DY366" i="4"/>
  <c r="DY387" i="4"/>
  <c r="EB362" i="4"/>
  <c r="DW281" i="4"/>
  <c r="DV440" i="4"/>
  <c r="DW334" i="4"/>
  <c r="DW335" i="4" s="1"/>
  <c r="DV335" i="4"/>
  <c r="DV332" i="4"/>
  <c r="DY121" i="4" l="1"/>
  <c r="DV26" i="3"/>
  <c r="DV28" i="3" s="1"/>
  <c r="DW456" i="2"/>
  <c r="DW185" i="4"/>
  <c r="DW186" i="4" s="1"/>
  <c r="DV920" i="4"/>
  <c r="DW878" i="4"/>
  <c r="DW879" i="4" s="1"/>
  <c r="DW921" i="4" s="1"/>
  <c r="DW925" i="4"/>
  <c r="DV908" i="4"/>
  <c r="DW866" i="4"/>
  <c r="DW206" i="4"/>
  <c r="DV209" i="4"/>
  <c r="DV782" i="4"/>
  <c r="DV939" i="4"/>
  <c r="EB322" i="4"/>
  <c r="EB291" i="4"/>
  <c r="EE289" i="4"/>
  <c r="DV357" i="4"/>
  <c r="DY356" i="4"/>
  <c r="DY358" i="4" s="1"/>
  <c r="DV956" i="4"/>
  <c r="DV957" i="4" s="1"/>
  <c r="DV902" i="4"/>
  <c r="DW860" i="4"/>
  <c r="DW861" i="4" s="1"/>
  <c r="DV896" i="4"/>
  <c r="DW378" i="4"/>
  <c r="DW375" i="4" s="1"/>
  <c r="DW376" i="4" s="1"/>
  <c r="DV379" i="4"/>
  <c r="DV781" i="4"/>
  <c r="DW753" i="4"/>
  <c r="DW754" i="4" s="1"/>
  <c r="DV938" i="4"/>
  <c r="DW913" i="4"/>
  <c r="DV903" i="4"/>
  <c r="EB183" i="4"/>
  <c r="DY188" i="4"/>
  <c r="DY217" i="4"/>
  <c r="DY292" i="4"/>
  <c r="DY323" i="4"/>
  <c r="DW355" i="4"/>
  <c r="DW356" i="4"/>
  <c r="DW357" i="4" s="1"/>
  <c r="DW884" i="4"/>
  <c r="DV926" i="4"/>
  <c r="EB275" i="4"/>
  <c r="DY280" i="4"/>
  <c r="DY309" i="4"/>
  <c r="DW867" i="4"/>
  <c r="DW909" i="4" s="1"/>
  <c r="DV909" i="4"/>
  <c r="DW309" i="4"/>
  <c r="DV310" i="4"/>
  <c r="DW310" i="4" s="1"/>
  <c r="DV313" i="4"/>
  <c r="DV312" i="4"/>
  <c r="DW312" i="4" s="1"/>
  <c r="DY233" i="4"/>
  <c r="DY232" i="4"/>
  <c r="DW906" i="4"/>
  <c r="DW779" i="4"/>
  <c r="DW936" i="4"/>
  <c r="DW440" i="4"/>
  <c r="DW441" i="4" s="1"/>
  <c r="DV441" i="4"/>
  <c r="DW931" i="4"/>
  <c r="EB231" i="4"/>
  <c r="EE196" i="4"/>
  <c r="EB198" i="4"/>
  <c r="DY355" i="4"/>
  <c r="DY378" i="4"/>
  <c r="DW299" i="4"/>
  <c r="DV301" i="4"/>
  <c r="DW301" i="4" s="1"/>
  <c r="DW277" i="4"/>
  <c r="DW278" i="4" s="1"/>
  <c r="DW217" i="4"/>
  <c r="DV218" i="4"/>
  <c r="DW218" i="4" s="1"/>
  <c r="DV220" i="4"/>
  <c r="DV879" i="4"/>
  <c r="DV921" i="4" s="1"/>
  <c r="EE173" i="4"/>
  <c r="EE745" i="4"/>
  <c r="EE265" i="4"/>
  <c r="EE746" i="4"/>
  <c r="DY206" i="4"/>
  <c r="EB354" i="4"/>
  <c r="EB163" i="4" s="1"/>
  <c r="EB747" i="4"/>
  <c r="DW907" i="4"/>
  <c r="DW930" i="4"/>
  <c r="DY299" i="4"/>
  <c r="DW872" i="4"/>
  <c r="DW873" i="4" s="1"/>
  <c r="DW915" i="4" s="1"/>
  <c r="DV914" i="4"/>
  <c r="O52" i="9"/>
  <c r="O53" i="9" s="1"/>
  <c r="DZ668" i="2"/>
  <c r="DZ97" i="4"/>
  <c r="DY748" i="4"/>
  <c r="DY749" i="4" s="1"/>
  <c r="DW169" i="4"/>
  <c r="DW254" i="4"/>
  <c r="DW252" i="4"/>
  <c r="DW337" i="4"/>
  <c r="DW338" i="4" s="1"/>
  <c r="DV339" i="4"/>
  <c r="DW937" i="4"/>
  <c r="DW780" i="4"/>
  <c r="DW924" i="4"/>
  <c r="DY163" i="4"/>
  <c r="EE105" i="4"/>
  <c r="EE96" i="4" s="1"/>
  <c r="DW389" i="4"/>
  <c r="DW390" i="4" s="1"/>
  <c r="DV390" i="4"/>
  <c r="DY389" i="4"/>
  <c r="DY367" i="4"/>
  <c r="DV248" i="4"/>
  <c r="DW246" i="4"/>
  <c r="DW247" i="4" s="1"/>
  <c r="DW895" i="4"/>
  <c r="DW901" i="4"/>
  <c r="DW955" i="4"/>
  <c r="EB398" i="4"/>
  <c r="EH371" i="4"/>
  <c r="EE397" i="4"/>
  <c r="EB668" i="2"/>
  <c r="EB97" i="4"/>
  <c r="EB664" i="2" s="1"/>
  <c r="EB266" i="4"/>
  <c r="EB298" i="4"/>
  <c r="DW954" i="4"/>
  <c r="DW894" i="4"/>
  <c r="DW900" i="4"/>
  <c r="DW261" i="4"/>
  <c r="DW343" i="4"/>
  <c r="DW348" i="4"/>
  <c r="EB387" i="4"/>
  <c r="EB366" i="4"/>
  <c r="EE362" i="4"/>
  <c r="DW918" i="4"/>
  <c r="DW912" i="4"/>
  <c r="DY270" i="4"/>
  <c r="EB267" i="4"/>
  <c r="EB269" i="4" s="1"/>
  <c r="DW332" i="4"/>
  <c r="DW333" i="4" s="1"/>
  <c r="DV333" i="4"/>
  <c r="DW919" i="4"/>
  <c r="EB205" i="4"/>
  <c r="EB174" i="4"/>
  <c r="DY165" i="4"/>
  <c r="DY199" i="4"/>
  <c r="EB175" i="4"/>
  <c r="EB177" i="4" s="1"/>
  <c r="DY178" i="4"/>
  <c r="DW300" i="4"/>
  <c r="DW302" i="4" s="1"/>
  <c r="DV302" i="4"/>
  <c r="DW386" i="4"/>
  <c r="DW384" i="4"/>
  <c r="DW305" i="4"/>
  <c r="DW213" i="4"/>
  <c r="DW890" i="4"/>
  <c r="DW891" i="4" s="1"/>
  <c r="DW933" i="4" s="1"/>
  <c r="DV932" i="4"/>
  <c r="EB748" i="4" l="1"/>
  <c r="EB749" i="4" s="1"/>
  <c r="DV897" i="4"/>
  <c r="DV456" i="2"/>
  <c r="AD25" i="9"/>
  <c r="EB165" i="4"/>
  <c r="EB121" i="4"/>
  <c r="EB199" i="4"/>
  <c r="DY282" i="4"/>
  <c r="DY281" i="4"/>
  <c r="DY312" i="4"/>
  <c r="EB188" i="4"/>
  <c r="EE183" i="4"/>
  <c r="EB217" i="4"/>
  <c r="EE231" i="4"/>
  <c r="EH196" i="4"/>
  <c r="EE198" i="4"/>
  <c r="EB309" i="4"/>
  <c r="EE275" i="4"/>
  <c r="EB280" i="4"/>
  <c r="DW379" i="4"/>
  <c r="DW380" i="4" s="1"/>
  <c r="DV402" i="4"/>
  <c r="DV380" i="4"/>
  <c r="EH289" i="4"/>
  <c r="EE322" i="4"/>
  <c r="EE291" i="4"/>
  <c r="DW908" i="4"/>
  <c r="EE205" i="4"/>
  <c r="EE174" i="4"/>
  <c r="EB233" i="4"/>
  <c r="EB232" i="4"/>
  <c r="DV315" i="4"/>
  <c r="DW313" i="4"/>
  <c r="DW315" i="4" s="1"/>
  <c r="EB178" i="4"/>
  <c r="EE175" i="4"/>
  <c r="EE177" i="4" s="1"/>
  <c r="DW215" i="4"/>
  <c r="DW214" i="4"/>
  <c r="DW782" i="4"/>
  <c r="DW939" i="4"/>
  <c r="EB292" i="4"/>
  <c r="EB323" i="4"/>
  <c r="EB389" i="4"/>
  <c r="EB367" i="4"/>
  <c r="EE266" i="4"/>
  <c r="EE298" i="4"/>
  <c r="DW926" i="4"/>
  <c r="DW956" i="4"/>
  <c r="DW957" i="4" s="1"/>
  <c r="DW902" i="4"/>
  <c r="DW896" i="4"/>
  <c r="EB299" i="4"/>
  <c r="EE668" i="2"/>
  <c r="EE97" i="4"/>
  <c r="EE664" i="2" s="1"/>
  <c r="DY665" i="2"/>
  <c r="DY24" i="4"/>
  <c r="DZ121" i="4"/>
  <c r="DY122" i="4"/>
  <c r="DW903" i="4"/>
  <c r="EE354" i="4"/>
  <c r="EE163" i="4" s="1"/>
  <c r="EE747" i="4"/>
  <c r="DW339" i="4"/>
  <c r="DV450" i="4"/>
  <c r="DW220" i="4"/>
  <c r="DW222" i="4" s="1"/>
  <c r="DV221" i="4"/>
  <c r="DW221" i="4" s="1"/>
  <c r="DV222" i="4"/>
  <c r="DY218" i="4"/>
  <c r="DW920" i="4"/>
  <c r="DW306" i="4"/>
  <c r="DW307" i="4"/>
  <c r="EE398" i="4"/>
  <c r="EK371" i="4"/>
  <c r="EH397" i="4"/>
  <c r="EB270" i="4"/>
  <c r="EE267" i="4"/>
  <c r="EE269" i="4" s="1"/>
  <c r="DY390" i="4"/>
  <c r="DY164" i="4"/>
  <c r="DW914" i="4"/>
  <c r="DW932" i="4"/>
  <c r="EB164" i="4"/>
  <c r="DW248" i="4"/>
  <c r="DV448" i="4"/>
  <c r="EB206" i="4"/>
  <c r="DY179" i="4"/>
  <c r="DY168" i="4"/>
  <c r="DY208" i="4"/>
  <c r="DY180" i="4"/>
  <c r="DY272" i="4"/>
  <c r="DY260" i="4"/>
  <c r="DY271" i="4"/>
  <c r="DY300" i="4"/>
  <c r="EE366" i="4"/>
  <c r="EE387" i="4"/>
  <c r="EH362" i="4"/>
  <c r="DW885" i="4"/>
  <c r="DW927" i="4" s="1"/>
  <c r="DZ664" i="2"/>
  <c r="EB378" i="4"/>
  <c r="EB355" i="4"/>
  <c r="DY310" i="4"/>
  <c r="DY324" i="4"/>
  <c r="DY220" i="4"/>
  <c r="DY189" i="4"/>
  <c r="DY191" i="4"/>
  <c r="DW781" i="4"/>
  <c r="DW938" i="4"/>
  <c r="EB356" i="4"/>
  <c r="EB358" i="4" s="1"/>
  <c r="DY359" i="4"/>
  <c r="DW209" i="4"/>
  <c r="DW210" i="4" s="1"/>
  <c r="DV210" i="4"/>
  <c r="DY118" i="4" l="1"/>
  <c r="DY170" i="4"/>
  <c r="DY181" i="4"/>
  <c r="DY209" i="4"/>
  <c r="EE206" i="4"/>
  <c r="EB191" i="4"/>
  <c r="EB220" i="4"/>
  <c r="EB189" i="4"/>
  <c r="EB281" i="4"/>
  <c r="EB282" i="4"/>
  <c r="EB312" i="4"/>
  <c r="EE121" i="4"/>
  <c r="EE165" i="4"/>
  <c r="EE199" i="4"/>
  <c r="EE164" i="4"/>
  <c r="EE323" i="4"/>
  <c r="EE292" i="4"/>
  <c r="EE280" i="4"/>
  <c r="EE309" i="4"/>
  <c r="EH275" i="4"/>
  <c r="EH198" i="4"/>
  <c r="EH231" i="4"/>
  <c r="EK196" i="4"/>
  <c r="EB324" i="4"/>
  <c r="EE232" i="4"/>
  <c r="EE233" i="4"/>
  <c r="O56" i="9"/>
  <c r="O57" i="9" s="1"/>
  <c r="DZ665" i="2"/>
  <c r="DZ122" i="4"/>
  <c r="EE748" i="4"/>
  <c r="EE749" i="4" s="1"/>
  <c r="EE378" i="4"/>
  <c r="EE355" i="4"/>
  <c r="DZ24" i="4"/>
  <c r="DZ37" i="4" s="1"/>
  <c r="DY37" i="4"/>
  <c r="EE299" i="4"/>
  <c r="EH291" i="4"/>
  <c r="EK289" i="4"/>
  <c r="EH322" i="4"/>
  <c r="EB310" i="4"/>
  <c r="DY284" i="4"/>
  <c r="DY262" i="4" s="1"/>
  <c r="DY283" i="4"/>
  <c r="DY169" i="4"/>
  <c r="DY246" i="4"/>
  <c r="EH398" i="4"/>
  <c r="EB218" i="4"/>
  <c r="EH366" i="4"/>
  <c r="EH387" i="4"/>
  <c r="EK362" i="4"/>
  <c r="DW448" i="4"/>
  <c r="DW449" i="4" s="1"/>
  <c r="DV449" i="4"/>
  <c r="DV454" i="4"/>
  <c r="EE367" i="4"/>
  <c r="EE389" i="4"/>
  <c r="DY192" i="4"/>
  <c r="DY302" i="4"/>
  <c r="DY261" i="4"/>
  <c r="DY337" i="4"/>
  <c r="DY360" i="4"/>
  <c r="DY379" i="4"/>
  <c r="DY351" i="4"/>
  <c r="DY221" i="4"/>
  <c r="DY222" i="4"/>
  <c r="EH267" i="4"/>
  <c r="EE270" i="4"/>
  <c r="EN371" i="4"/>
  <c r="EK397" i="4"/>
  <c r="EE178" i="4"/>
  <c r="EH175" i="4"/>
  <c r="EE217" i="4"/>
  <c r="EH183" i="4"/>
  <c r="EE188" i="4"/>
  <c r="EB665" i="2"/>
  <c r="EB24" i="4"/>
  <c r="EB122" i="4"/>
  <c r="DW450" i="4"/>
  <c r="DW451" i="4" s="1"/>
  <c r="DV451" i="4"/>
  <c r="EB359" i="4"/>
  <c r="EE356" i="4"/>
  <c r="EE358" i="4" s="1"/>
  <c r="DY301" i="4"/>
  <c r="DY273" i="4"/>
  <c r="EB260" i="4"/>
  <c r="EB300" i="4"/>
  <c r="EB272" i="4"/>
  <c r="EB271" i="4"/>
  <c r="DW897" i="4"/>
  <c r="EB390" i="4"/>
  <c r="EB180" i="4"/>
  <c r="EB208" i="4"/>
  <c r="EB179" i="4"/>
  <c r="EB168" i="4"/>
  <c r="DW402" i="4"/>
  <c r="DW403" i="4" s="1"/>
  <c r="DV405" i="4"/>
  <c r="DV403" i="4"/>
  <c r="DV433" i="4"/>
  <c r="EE390" i="4" l="1"/>
  <c r="EB118" i="4"/>
  <c r="EB170" i="4"/>
  <c r="EB181" i="4"/>
  <c r="EB209" i="4"/>
  <c r="EB261" i="4"/>
  <c r="EB337" i="4"/>
  <c r="EB37" i="4"/>
  <c r="DY339" i="4"/>
  <c r="DY285" i="4"/>
  <c r="DY313" i="4"/>
  <c r="EH121" i="4"/>
  <c r="EH165" i="4"/>
  <c r="EH199" i="4"/>
  <c r="DW405" i="4"/>
  <c r="DW406" i="4" s="1"/>
  <c r="DX406" i="4" s="1"/>
  <c r="DX405" i="4" s="1"/>
  <c r="DV442" i="4"/>
  <c r="EE271" i="4"/>
  <c r="EE260" i="4"/>
  <c r="EE300" i="4"/>
  <c r="EE272" i="4"/>
  <c r="EH389" i="4"/>
  <c r="EH367" i="4"/>
  <c r="EH309" i="4"/>
  <c r="EK275" i="4"/>
  <c r="EH280" i="4"/>
  <c r="EE310" i="4"/>
  <c r="EE665" i="2"/>
  <c r="EE24" i="4"/>
  <c r="EE122" i="4"/>
  <c r="DY210" i="4"/>
  <c r="DY16" i="4"/>
  <c r="DY344" i="4"/>
  <c r="DY422" i="4"/>
  <c r="DY263" i="4"/>
  <c r="EH217" i="4"/>
  <c r="EK183" i="4"/>
  <c r="EH188" i="4"/>
  <c r="EB169" i="4"/>
  <c r="EB246" i="4"/>
  <c r="EH356" i="4"/>
  <c r="EE359" i="4"/>
  <c r="EE218" i="4"/>
  <c r="EE180" i="4"/>
  <c r="EE168" i="4"/>
  <c r="EE208" i="4"/>
  <c r="EE179" i="4"/>
  <c r="DY124" i="4"/>
  <c r="EK291" i="4"/>
  <c r="EK322" i="4"/>
  <c r="EN289" i="4"/>
  <c r="EE281" i="4"/>
  <c r="EE282" i="4"/>
  <c r="EE312" i="4"/>
  <c r="EB221" i="4"/>
  <c r="EB222" i="4"/>
  <c r="EE191" i="4"/>
  <c r="EE220" i="4"/>
  <c r="EE189" i="4"/>
  <c r="EK267" i="4"/>
  <c r="DW454" i="4"/>
  <c r="DW456" i="4" s="1"/>
  <c r="DV456" i="4"/>
  <c r="DY17" i="4"/>
  <c r="DY409" i="4"/>
  <c r="DY352" i="4"/>
  <c r="DY424" i="4"/>
  <c r="DY413" i="4"/>
  <c r="EN196" i="4"/>
  <c r="EK231" i="4"/>
  <c r="EK198" i="4"/>
  <c r="EK175" i="4"/>
  <c r="DY248" i="4"/>
  <c r="EH323" i="4"/>
  <c r="EH292" i="4"/>
  <c r="EH232" i="4"/>
  <c r="EH233" i="4"/>
  <c r="EB283" i="4"/>
  <c r="EB284" i="4"/>
  <c r="EB262" i="4" s="1"/>
  <c r="EB192" i="4"/>
  <c r="DY15" i="4"/>
  <c r="DY171" i="4"/>
  <c r="DY253" i="4"/>
  <c r="DY420" i="4"/>
  <c r="EB360" i="4"/>
  <c r="EB379" i="4"/>
  <c r="EB351" i="4"/>
  <c r="EB273" i="4"/>
  <c r="EB301" i="4"/>
  <c r="EK398" i="4"/>
  <c r="DY380" i="4"/>
  <c r="DY402" i="4"/>
  <c r="DV434" i="4"/>
  <c r="DW433" i="4"/>
  <c r="DW434" i="4" s="1"/>
  <c r="DV435" i="4"/>
  <c r="EB302" i="4"/>
  <c r="EQ371" i="4"/>
  <c r="EN397" i="4"/>
  <c r="EN362" i="4"/>
  <c r="EK387" i="4"/>
  <c r="EK366" i="4"/>
  <c r="EE324" i="4"/>
  <c r="DY666" i="2"/>
  <c r="DY23" i="4"/>
  <c r="DZ118" i="4"/>
  <c r="DY119" i="4"/>
  <c r="DY113" i="4"/>
  <c r="DY127" i="4" l="1"/>
  <c r="EB124" i="4"/>
  <c r="ET371" i="4"/>
  <c r="EQ397" i="4"/>
  <c r="EB380" i="4"/>
  <c r="EB402" i="4"/>
  <c r="EH324" i="4"/>
  <c r="EE192" i="4"/>
  <c r="EE283" i="4"/>
  <c r="EE284" i="4"/>
  <c r="EE118" i="4"/>
  <c r="EE170" i="4"/>
  <c r="EE181" i="4"/>
  <c r="EE209" i="4"/>
  <c r="EH218" i="4"/>
  <c r="DY342" i="4"/>
  <c r="DY461" i="4"/>
  <c r="DY448" i="4"/>
  <c r="EN175" i="4"/>
  <c r="EK121" i="4"/>
  <c r="EK165" i="4"/>
  <c r="EK199" i="4"/>
  <c r="DY452" i="4"/>
  <c r="DY667" i="2"/>
  <c r="DY25" i="4"/>
  <c r="DY26" i="4" s="1"/>
  <c r="DZ124" i="4"/>
  <c r="DY125" i="4"/>
  <c r="EE37" i="4"/>
  <c r="EB210" i="4"/>
  <c r="DY30" i="4"/>
  <c r="DW442" i="4"/>
  <c r="DW443" i="4" s="1"/>
  <c r="DV443" i="4"/>
  <c r="EN322" i="4"/>
  <c r="EQ289" i="4"/>
  <c r="EN291" i="4"/>
  <c r="EB248" i="4"/>
  <c r="EE273" i="4"/>
  <c r="EE301" i="4"/>
  <c r="DY406" i="4"/>
  <c r="DY405" i="4" s="1"/>
  <c r="DY442" i="4" s="1"/>
  <c r="DY443" i="4" s="1"/>
  <c r="EB15" i="4"/>
  <c r="EB171" i="4"/>
  <c r="EB253" i="4"/>
  <c r="EB420" i="4"/>
  <c r="DZ113" i="4"/>
  <c r="DZ115" i="4" s="1"/>
  <c r="DY115" i="4"/>
  <c r="DY421" i="4"/>
  <c r="DY426" i="4"/>
  <c r="DY93" i="4" s="1"/>
  <c r="DY433" i="4"/>
  <c r="DY403" i="4"/>
  <c r="EB313" i="4"/>
  <c r="EB285" i="4"/>
  <c r="EQ196" i="4"/>
  <c r="EN231" i="4"/>
  <c r="EN198" i="4"/>
  <c r="EN267" i="4"/>
  <c r="EK356" i="4"/>
  <c r="EH312" i="4"/>
  <c r="EH282" i="4"/>
  <c r="EH281" i="4"/>
  <c r="EE302" i="4"/>
  <c r="EH665" i="2"/>
  <c r="EH24" i="4"/>
  <c r="EH122" i="4"/>
  <c r="EB666" i="2"/>
  <c r="EB23" i="4"/>
  <c r="EB119" i="4"/>
  <c r="EB113" i="4"/>
  <c r="EK233" i="4"/>
  <c r="EK232" i="4"/>
  <c r="DY31" i="4"/>
  <c r="DY463" i="4"/>
  <c r="EN275" i="4"/>
  <c r="EK280" i="4"/>
  <c r="EK309" i="4"/>
  <c r="EH390" i="4"/>
  <c r="DY315" i="4"/>
  <c r="EH189" i="4"/>
  <c r="EH191" i="4"/>
  <c r="EH220" i="4"/>
  <c r="EH310" i="4"/>
  <c r="EE337" i="4"/>
  <c r="EE261" i="4"/>
  <c r="EB339" i="4"/>
  <c r="EB16" i="4"/>
  <c r="EB263" i="4"/>
  <c r="EB344" i="4"/>
  <c r="EB422" i="4"/>
  <c r="DY251" i="4"/>
  <c r="DY459" i="4"/>
  <c r="EE360" i="4"/>
  <c r="EE351" i="4"/>
  <c r="EE379" i="4"/>
  <c r="O54" i="9"/>
  <c r="O55" i="9" s="1"/>
  <c r="DZ666" i="2"/>
  <c r="DZ119" i="4"/>
  <c r="EK389" i="4"/>
  <c r="EK367" i="4"/>
  <c r="DY36" i="4"/>
  <c r="DZ23" i="4"/>
  <c r="DZ36" i="4" s="1"/>
  <c r="EN366" i="4"/>
  <c r="EN387" i="4"/>
  <c r="EQ362" i="4"/>
  <c r="DY425" i="4"/>
  <c r="EK292" i="4"/>
  <c r="EK323" i="4"/>
  <c r="EE169" i="4"/>
  <c r="EE246" i="4"/>
  <c r="EN398" i="4"/>
  <c r="DV436" i="4"/>
  <c r="DW435" i="4"/>
  <c r="DW436" i="4" s="1"/>
  <c r="EB17" i="4"/>
  <c r="EB424" i="4"/>
  <c r="EB405" i="4"/>
  <c r="EB352" i="4"/>
  <c r="EB413" i="4"/>
  <c r="EB409" i="4"/>
  <c r="DY20" i="4"/>
  <c r="DY21" i="4"/>
  <c r="DY29" i="4"/>
  <c r="EE222" i="4"/>
  <c r="EE221" i="4"/>
  <c r="EN183" i="4"/>
  <c r="EK188" i="4"/>
  <c r="EK217" i="4"/>
  <c r="DY423" i="4"/>
  <c r="DY450" i="4"/>
  <c r="DY142" i="4" l="1"/>
  <c r="DZ142" i="4" s="1"/>
  <c r="DY136" i="4"/>
  <c r="DY146" i="4"/>
  <c r="EB25" i="4"/>
  <c r="EB26" i="4" s="1"/>
  <c r="DY128" i="4"/>
  <c r="DZ127" i="4"/>
  <c r="DY133" i="4"/>
  <c r="DY130" i="4" s="1"/>
  <c r="EB125" i="4"/>
  <c r="EB667" i="2"/>
  <c r="EB127" i="4"/>
  <c r="EB142" i="4" s="1"/>
  <c r="DY416" i="4"/>
  <c r="DY473" i="4" s="1"/>
  <c r="DY474" i="4" s="1"/>
  <c r="EN188" i="4"/>
  <c r="EQ183" i="4"/>
  <c r="EN217" i="4"/>
  <c r="EB442" i="4"/>
  <c r="EE248" i="4"/>
  <c r="DY39" i="4"/>
  <c r="DZ26" i="4"/>
  <c r="DZ39" i="4" s="1"/>
  <c r="EB450" i="4"/>
  <c r="EH37" i="4"/>
  <c r="ET289" i="4"/>
  <c r="EQ322" i="4"/>
  <c r="EQ291" i="4"/>
  <c r="EW371" i="4"/>
  <c r="EZ371" i="4" s="1"/>
  <c r="ET397" i="4"/>
  <c r="DY460" i="4"/>
  <c r="DY465" i="4"/>
  <c r="EB30" i="4"/>
  <c r="EB115" i="4"/>
  <c r="O58" i="9"/>
  <c r="O59" i="9" s="1"/>
  <c r="DZ667" i="2"/>
  <c r="DZ125" i="4"/>
  <c r="EH284" i="4"/>
  <c r="EH124" i="4" s="1"/>
  <c r="EH283" i="4"/>
  <c r="EN356" i="4"/>
  <c r="DY434" i="4"/>
  <c r="DY427" i="4"/>
  <c r="DY483" i="4"/>
  <c r="DY479" i="4"/>
  <c r="DY486" i="4"/>
  <c r="EB251" i="4"/>
  <c r="EB459" i="4"/>
  <c r="DZ25" i="4"/>
  <c r="DZ38" i="4" s="1"/>
  <c r="DY38" i="4"/>
  <c r="EE285" i="4"/>
  <c r="EE313" i="4"/>
  <c r="EE210" i="4"/>
  <c r="EB31" i="4"/>
  <c r="DY34" i="4"/>
  <c r="DY3" i="4"/>
  <c r="DY71" i="4"/>
  <c r="EH221" i="4"/>
  <c r="EH222" i="4"/>
  <c r="EQ267" i="4"/>
  <c r="EK390" i="4"/>
  <c r="EH192" i="4"/>
  <c r="DY464" i="4"/>
  <c r="EB36" i="4"/>
  <c r="DY91" i="4"/>
  <c r="EB29" i="4"/>
  <c r="EB20" i="4"/>
  <c r="EB21" i="4"/>
  <c r="EE262" i="4"/>
  <c r="EK665" i="2"/>
  <c r="EK24" i="4"/>
  <c r="EK122" i="4"/>
  <c r="EB433" i="4"/>
  <c r="EB416" i="4"/>
  <c r="EB403" i="4"/>
  <c r="EK324" i="4"/>
  <c r="DY252" i="4"/>
  <c r="EE339" i="4"/>
  <c r="DY92" i="4"/>
  <c r="EE380" i="4"/>
  <c r="EE402" i="4"/>
  <c r="EB423" i="4"/>
  <c r="EK310" i="4"/>
  <c r="EN165" i="4"/>
  <c r="EN121" i="4"/>
  <c r="EN199" i="4"/>
  <c r="EB448" i="4"/>
  <c r="DY453" i="4"/>
  <c r="EE15" i="4"/>
  <c r="EE171" i="4"/>
  <c r="EE253" i="4"/>
  <c r="EE420" i="4"/>
  <c r="EN233" i="4"/>
  <c r="EN232" i="4"/>
  <c r="EQ175" i="4"/>
  <c r="DZ139" i="4"/>
  <c r="DY462" i="4"/>
  <c r="EE666" i="2"/>
  <c r="EE23" i="4"/>
  <c r="EE113" i="4"/>
  <c r="EE119" i="4"/>
  <c r="EB425" i="4"/>
  <c r="DY4" i="4"/>
  <c r="EB452" i="4"/>
  <c r="EK218" i="4"/>
  <c r="EB463" i="4"/>
  <c r="EQ387" i="4"/>
  <c r="EQ366" i="4"/>
  <c r="ET362" i="4"/>
  <c r="DY451" i="4"/>
  <c r="EE17" i="4"/>
  <c r="EE352" i="4"/>
  <c r="EE413" i="4"/>
  <c r="EE424" i="4"/>
  <c r="EE409" i="4"/>
  <c r="EB342" i="4"/>
  <c r="EB461" i="4"/>
  <c r="EK282" i="4"/>
  <c r="EK312" i="4"/>
  <c r="EK281" i="4"/>
  <c r="EK220" i="4"/>
  <c r="EK189" i="4"/>
  <c r="EK191" i="4"/>
  <c r="EN389" i="4"/>
  <c r="EN367" i="4"/>
  <c r="EN280" i="4"/>
  <c r="EQ275" i="4"/>
  <c r="EN309" i="4"/>
  <c r="ET196" i="4"/>
  <c r="EQ231" i="4"/>
  <c r="EQ198" i="4"/>
  <c r="EB315" i="4"/>
  <c r="EB421" i="4"/>
  <c r="EB426" i="4"/>
  <c r="EN292" i="4"/>
  <c r="EN323" i="4"/>
  <c r="DY454" i="4"/>
  <c r="DY449" i="4"/>
  <c r="DY343" i="4"/>
  <c r="EE124" i="4"/>
  <c r="EQ398" i="4"/>
  <c r="EB38" i="4" l="1"/>
  <c r="DZ136" i="4"/>
  <c r="DZ146" i="4"/>
  <c r="DZ133" i="4"/>
  <c r="DZ143" i="4"/>
  <c r="DZ128" i="4"/>
  <c r="DZ137" i="4"/>
  <c r="DZ481" i="4" s="1"/>
  <c r="EB128" i="4"/>
  <c r="EB133" i="4"/>
  <c r="EB136" i="4"/>
  <c r="EE127" i="4"/>
  <c r="EE128" i="4" s="1"/>
  <c r="EZ397" i="4"/>
  <c r="DY417" i="4"/>
  <c r="DY45" i="4"/>
  <c r="DY56" i="4" s="1"/>
  <c r="EB454" i="4"/>
  <c r="EB449" i="4"/>
  <c r="EE403" i="4"/>
  <c r="EE433" i="4"/>
  <c r="EE450" i="4"/>
  <c r="ET267" i="4"/>
  <c r="EB252" i="4"/>
  <c r="ET291" i="4"/>
  <c r="EW289" i="4"/>
  <c r="EZ289" i="4" s="1"/>
  <c r="ET322" i="4"/>
  <c r="EN310" i="4"/>
  <c r="ET275" i="4"/>
  <c r="EQ309" i="4"/>
  <c r="EQ280" i="4"/>
  <c r="EE452" i="4"/>
  <c r="EW362" i="4"/>
  <c r="EZ362" i="4" s="1"/>
  <c r="ET387" i="4"/>
  <c r="ET366" i="4"/>
  <c r="EB453" i="4"/>
  <c r="EE421" i="4"/>
  <c r="EH667" i="2"/>
  <c r="EH25" i="4"/>
  <c r="EH125" i="4"/>
  <c r="EQ356" i="4"/>
  <c r="DY466" i="4"/>
  <c r="DY489" i="4"/>
  <c r="EN218" i="4"/>
  <c r="EN390" i="4"/>
  <c r="EB464" i="4"/>
  <c r="EE251" i="4"/>
  <c r="EE459" i="4"/>
  <c r="EE16" i="4"/>
  <c r="EE20" i="4" s="1"/>
  <c r="EE263" i="4"/>
  <c r="EE344" i="4"/>
  <c r="EE422" i="4"/>
  <c r="EE426" i="4" s="1"/>
  <c r="ET398" i="4"/>
  <c r="EE448" i="4"/>
  <c r="EQ217" i="4"/>
  <c r="ET183" i="4"/>
  <c r="EQ188" i="4"/>
  <c r="EQ121" i="4"/>
  <c r="EQ165" i="4"/>
  <c r="EQ199" i="4"/>
  <c r="EE425" i="4"/>
  <c r="EQ389" i="4"/>
  <c r="EQ367" i="4"/>
  <c r="EE463" i="4"/>
  <c r="EB45" i="4"/>
  <c r="EB417" i="4"/>
  <c r="EB473" i="4"/>
  <c r="EK37" i="4"/>
  <c r="EB4" i="4"/>
  <c r="EE315" i="4"/>
  <c r="EH313" i="4"/>
  <c r="EH285" i="4"/>
  <c r="EW397" i="4"/>
  <c r="EB451" i="4"/>
  <c r="EB443" i="4"/>
  <c r="EN191" i="4"/>
  <c r="EN220" i="4"/>
  <c r="EN189" i="4"/>
  <c r="DZ130" i="4"/>
  <c r="DY131" i="4"/>
  <c r="DY235" i="4"/>
  <c r="DY400" i="4"/>
  <c r="DY326" i="4"/>
  <c r="EN281" i="4"/>
  <c r="EN312" i="4"/>
  <c r="EN282" i="4"/>
  <c r="EK192" i="4"/>
  <c r="EE667" i="2"/>
  <c r="EE25" i="4"/>
  <c r="EE125" i="4"/>
  <c r="EB486" i="4"/>
  <c r="EB483" i="4"/>
  <c r="EB427" i="4"/>
  <c r="EB479" i="4"/>
  <c r="EB434" i="4"/>
  <c r="EB34" i="4"/>
  <c r="EB3" i="4"/>
  <c r="EB71" i="4"/>
  <c r="EB39" i="4"/>
  <c r="EQ323" i="4"/>
  <c r="EQ292" i="4"/>
  <c r="EQ232" i="4"/>
  <c r="EQ233" i="4"/>
  <c r="EW196" i="4"/>
  <c r="EZ196" i="4" s="1"/>
  <c r="ET231" i="4"/>
  <c r="ET198" i="4"/>
  <c r="DY456" i="4"/>
  <c r="EK284" i="4"/>
  <c r="EK283" i="4"/>
  <c r="EE115" i="4"/>
  <c r="DY139" i="4"/>
  <c r="DZ140" i="4"/>
  <c r="EB462" i="4"/>
  <c r="EE31" i="4"/>
  <c r="EE36" i="4"/>
  <c r="ET175" i="4"/>
  <c r="EE29" i="4"/>
  <c r="EN324" i="4"/>
  <c r="EB91" i="4"/>
  <c r="EK221" i="4"/>
  <c r="EK222" i="4"/>
  <c r="EB343" i="4"/>
  <c r="EB93" i="4"/>
  <c r="EN665" i="2"/>
  <c r="EN24" i="4"/>
  <c r="EN122" i="4"/>
  <c r="EB92" i="4"/>
  <c r="EB465" i="4"/>
  <c r="EB460" i="4"/>
  <c r="DZ147" i="4" l="1"/>
  <c r="EA147" i="4" s="1"/>
  <c r="EB147" i="4" s="1"/>
  <c r="EB146" i="4" s="1"/>
  <c r="DZ134" i="4"/>
  <c r="O25" i="9"/>
  <c r="O26" i="9" s="1"/>
  <c r="EB130" i="4"/>
  <c r="EE133" i="4"/>
  <c r="EZ366" i="4"/>
  <c r="EZ387" i="4"/>
  <c r="EZ291" i="4"/>
  <c r="EZ322" i="4"/>
  <c r="EZ231" i="4"/>
  <c r="EZ198" i="4"/>
  <c r="EZ398" i="4"/>
  <c r="EE21" i="4"/>
  <c r="EK124" i="4"/>
  <c r="EK667" i="2" s="1"/>
  <c r="DY66" i="4"/>
  <c r="EE486" i="4"/>
  <c r="EE483" i="4"/>
  <c r="EE427" i="4"/>
  <c r="EE479" i="4"/>
  <c r="EE91" i="4"/>
  <c r="EE93" i="4"/>
  <c r="EW175" i="4"/>
  <c r="DZ131" i="4"/>
  <c r="ET217" i="4"/>
  <c r="EW183" i="4"/>
  <c r="EZ183" i="4" s="1"/>
  <c r="ET188" i="4"/>
  <c r="EE460" i="4"/>
  <c r="ET309" i="4"/>
  <c r="EW275" i="4"/>
  <c r="EZ275" i="4" s="1"/>
  <c r="ET280" i="4"/>
  <c r="EW267" i="4"/>
  <c r="EE451" i="4"/>
  <c r="EE38" i="4"/>
  <c r="EB474" i="4"/>
  <c r="EQ218" i="4"/>
  <c r="EE252" i="4"/>
  <c r="ET367" i="4"/>
  <c r="ET389" i="4"/>
  <c r="EE453" i="4"/>
  <c r="ET121" i="4"/>
  <c r="ET199" i="4"/>
  <c r="ET165" i="4"/>
  <c r="EE92" i="4"/>
  <c r="EE423" i="4"/>
  <c r="DY46" i="4"/>
  <c r="DY157" i="4"/>
  <c r="ET356" i="4"/>
  <c r="EE434" i="4"/>
  <c r="EE449" i="4"/>
  <c r="EE454" i="4"/>
  <c r="EW387" i="4"/>
  <c r="EW366" i="4"/>
  <c r="EN221" i="4"/>
  <c r="EN222" i="4"/>
  <c r="EN37" i="4"/>
  <c r="EE26" i="4"/>
  <c r="EW231" i="4"/>
  <c r="EW198" i="4"/>
  <c r="EQ324" i="4"/>
  <c r="DY328" i="4"/>
  <c r="EN192" i="4"/>
  <c r="EH315" i="4"/>
  <c r="EB66" i="4"/>
  <c r="EB56" i="4"/>
  <c r="EE464" i="4"/>
  <c r="EQ665" i="2"/>
  <c r="EQ24" i="4"/>
  <c r="EQ122" i="4"/>
  <c r="EE342" i="4"/>
  <c r="EE461" i="4"/>
  <c r="EE465" i="4" s="1"/>
  <c r="EH38" i="4"/>
  <c r="DY140" i="4"/>
  <c r="DY149" i="4"/>
  <c r="EB489" i="4"/>
  <c r="EN283" i="4"/>
  <c r="EN284" i="4"/>
  <c r="EQ390" i="4"/>
  <c r="EW291" i="4"/>
  <c r="EW322" i="4"/>
  <c r="ET232" i="4"/>
  <c r="ET233" i="4"/>
  <c r="EW398" i="4"/>
  <c r="DY237" i="4"/>
  <c r="EQ281" i="4"/>
  <c r="EQ282" i="4"/>
  <c r="EQ312" i="4"/>
  <c r="EB466" i="4"/>
  <c r="EE71" i="4"/>
  <c r="EE34" i="4"/>
  <c r="EE3" i="4"/>
  <c r="EK313" i="4"/>
  <c r="EK285" i="4"/>
  <c r="EQ220" i="4"/>
  <c r="EQ189" i="4"/>
  <c r="EQ191" i="4"/>
  <c r="EE30" i="4"/>
  <c r="EQ310" i="4"/>
  <c r="ET323" i="4"/>
  <c r="ET292" i="4"/>
  <c r="EB456" i="4"/>
  <c r="EK125" i="4" l="1"/>
  <c r="EB326" i="4"/>
  <c r="EB400" i="4"/>
  <c r="EB235" i="4"/>
  <c r="EB131" i="4"/>
  <c r="EE130" i="4"/>
  <c r="EE4" i="4"/>
  <c r="EZ280" i="4"/>
  <c r="EZ309" i="4"/>
  <c r="EZ267" i="4"/>
  <c r="EZ188" i="4"/>
  <c r="EZ217" i="4"/>
  <c r="EZ175" i="4"/>
  <c r="EZ367" i="4"/>
  <c r="EZ389" i="4"/>
  <c r="EZ165" i="4"/>
  <c r="EZ121" i="4"/>
  <c r="EZ199" i="4"/>
  <c r="EZ233" i="4"/>
  <c r="EZ232" i="4"/>
  <c r="EZ292" i="4"/>
  <c r="EZ323" i="4"/>
  <c r="EK25" i="4"/>
  <c r="EK38" i="4" s="1"/>
  <c r="EE466" i="4"/>
  <c r="EQ37" i="4"/>
  <c r="EE39" i="4"/>
  <c r="ET390" i="4"/>
  <c r="EQ283" i="4"/>
  <c r="EQ284" i="4"/>
  <c r="EQ124" i="4" s="1"/>
  <c r="DY238" i="4"/>
  <c r="DY429" i="4"/>
  <c r="EE456" i="4"/>
  <c r="DY57" i="4"/>
  <c r="ET24" i="4"/>
  <c r="ET122" i="4"/>
  <c r="EE489" i="4"/>
  <c r="EW367" i="4"/>
  <c r="EW389" i="4"/>
  <c r="ET312" i="4"/>
  <c r="ET282" i="4"/>
  <c r="ET281" i="4"/>
  <c r="EN313" i="4"/>
  <c r="EN285" i="4"/>
  <c r="EB46" i="4"/>
  <c r="EB157" i="4"/>
  <c r="EE462" i="4"/>
  <c r="EN124" i="4"/>
  <c r="EW280" i="4"/>
  <c r="EW309" i="4"/>
  <c r="ET324" i="4"/>
  <c r="DZ149" i="4"/>
  <c r="DZ150" i="4" s="1"/>
  <c r="DY150" i="4"/>
  <c r="DY154" i="4"/>
  <c r="EE343" i="4"/>
  <c r="DY329" i="4"/>
  <c r="DY431" i="4"/>
  <c r="EW356" i="4"/>
  <c r="ET310" i="4"/>
  <c r="ET189" i="4"/>
  <c r="ET191" i="4"/>
  <c r="ET220" i="4"/>
  <c r="EQ222" i="4"/>
  <c r="EQ221" i="4"/>
  <c r="EW188" i="4"/>
  <c r="EW217" i="4"/>
  <c r="EW292" i="4"/>
  <c r="EW323" i="4"/>
  <c r="EW121" i="4"/>
  <c r="EW165" i="4"/>
  <c r="EW199" i="4"/>
  <c r="ET218" i="4"/>
  <c r="EK315" i="4"/>
  <c r="EQ192" i="4"/>
  <c r="EW233" i="4"/>
  <c r="EW232" i="4"/>
  <c r="EB328" i="4" l="1"/>
  <c r="EB431" i="4" s="1"/>
  <c r="EB237" i="4"/>
  <c r="EB238" i="4" s="1"/>
  <c r="EE400" i="4"/>
  <c r="EE235" i="4"/>
  <c r="EE131" i="4"/>
  <c r="EE326" i="4"/>
  <c r="EZ310" i="4"/>
  <c r="EZ356" i="4"/>
  <c r="EZ390" i="4"/>
  <c r="EZ218" i="4"/>
  <c r="EZ312" i="4"/>
  <c r="EZ282" i="4"/>
  <c r="EZ281" i="4"/>
  <c r="EZ191" i="4"/>
  <c r="EZ220" i="4"/>
  <c r="EZ189" i="4"/>
  <c r="EZ324" i="4"/>
  <c r="EZ24" i="4"/>
  <c r="EZ122" i="4"/>
  <c r="DY432" i="4"/>
  <c r="EW24" i="4"/>
  <c r="EW122" i="4"/>
  <c r="ET37" i="4"/>
  <c r="EB57" i="4"/>
  <c r="O24" i="9"/>
  <c r="O41" i="9"/>
  <c r="EN667" i="2"/>
  <c r="EN25" i="4"/>
  <c r="EN125" i="4"/>
  <c r="EQ285" i="4"/>
  <c r="EQ313" i="4"/>
  <c r="ET221" i="4"/>
  <c r="ET222" i="4"/>
  <c r="EW324" i="4"/>
  <c r="EW218" i="4"/>
  <c r="ET192" i="4"/>
  <c r="EW310" i="4"/>
  <c r="EW390" i="4"/>
  <c r="DY430" i="4"/>
  <c r="DY435" i="4"/>
  <c r="EW282" i="4"/>
  <c r="EW281" i="4"/>
  <c r="EW312" i="4"/>
  <c r="EN315" i="4"/>
  <c r="ET284" i="4"/>
  <c r="ET283" i="4"/>
  <c r="EQ667" i="2"/>
  <c r="EQ25" i="4"/>
  <c r="EQ125" i="4"/>
  <c r="EW220" i="4"/>
  <c r="EW189" i="4"/>
  <c r="EW191" i="4"/>
  <c r="DZ154" i="4"/>
  <c r="DZ155" i="4" s="1"/>
  <c r="DY155" i="4"/>
  <c r="DY160" i="4"/>
  <c r="EE46" i="4"/>
  <c r="EE157" i="4"/>
  <c r="EB429" i="4" l="1"/>
  <c r="EB329" i="4"/>
  <c r="EE237" i="4"/>
  <c r="EE328" i="4"/>
  <c r="EZ221" i="4"/>
  <c r="EZ222" i="4"/>
  <c r="EZ192" i="4"/>
  <c r="EZ284" i="4"/>
  <c r="EZ283" i="4"/>
  <c r="EZ37" i="4"/>
  <c r="ET124" i="4"/>
  <c r="ET125" i="4" s="1"/>
  <c r="EE57" i="4"/>
  <c r="DY7" i="4"/>
  <c r="DZ160" i="4"/>
  <c r="DY161" i="4"/>
  <c r="EQ38" i="4"/>
  <c r="EQ315" i="4"/>
  <c r="EW37" i="4"/>
  <c r="DY436" i="4"/>
  <c r="EB435" i="4"/>
  <c r="EB430" i="4"/>
  <c r="EW192" i="4"/>
  <c r="EB432" i="4"/>
  <c r="EW221" i="4"/>
  <c r="EW222" i="4"/>
  <c r="ET285" i="4"/>
  <c r="ET313" i="4"/>
  <c r="EW284" i="4"/>
  <c r="EW124" i="4" s="1"/>
  <c r="EW283" i="4"/>
  <c r="EN38" i="4"/>
  <c r="EE429" i="4" l="1"/>
  <c r="EE238" i="4"/>
  <c r="EE329" i="4"/>
  <c r="EE431" i="4"/>
  <c r="ET25" i="4"/>
  <c r="EZ313" i="4"/>
  <c r="EZ285" i="4"/>
  <c r="EZ124" i="4"/>
  <c r="EW25" i="4"/>
  <c r="EW125" i="4"/>
  <c r="ET315" i="4"/>
  <c r="EB436" i="4"/>
  <c r="EW285" i="4"/>
  <c r="EW313" i="4"/>
  <c r="DZ7" i="4"/>
  <c r="DZ161" i="4"/>
  <c r="DY8" i="4"/>
  <c r="EE430" i="4" l="1"/>
  <c r="EE432" i="4"/>
  <c r="EE435" i="4"/>
  <c r="ET38" i="4"/>
  <c r="EZ315" i="4"/>
  <c r="EZ125" i="4"/>
  <c r="EZ25" i="4"/>
  <c r="EW38" i="4"/>
  <c r="EW315" i="4"/>
  <c r="DZ72" i="2"/>
  <c r="EE436" i="4" l="1"/>
  <c r="EZ38" i="4"/>
  <c r="DZ12" i="4"/>
  <c r="DZ4" i="3"/>
  <c r="DZ10" i="3" s="1"/>
  <c r="O29" i="9"/>
  <c r="DZ68" i="2"/>
  <c r="O42" i="9" l="1"/>
  <c r="AE23" i="9"/>
  <c r="DV5" i="3" l="1"/>
  <c r="DV11" i="3" s="1"/>
  <c r="DW5" i="3"/>
  <c r="DW11" i="3" s="1"/>
  <c r="DV151" i="3"/>
  <c r="DV148" i="3" s="1"/>
  <c r="DW151" i="3"/>
  <c r="DW148" i="3" s="1"/>
  <c r="AE15" i="9"/>
  <c r="N33" i="9"/>
  <c r="DV10" i="2"/>
  <c r="DW10" i="2"/>
  <c r="DW11" i="2" s="1"/>
  <c r="DW27" i="2" s="1"/>
  <c r="DV13" i="2"/>
  <c r="DV14" i="2" s="1"/>
  <c r="DW13" i="2"/>
  <c r="DW14" i="2" s="1"/>
  <c r="DV155" i="2"/>
  <c r="DW155" i="2"/>
  <c r="DV156" i="2"/>
  <c r="DW156" i="2"/>
  <c r="DV162" i="2"/>
  <c r="DW162" i="2"/>
  <c r="DV163" i="2"/>
  <c r="DW163" i="2"/>
  <c r="DV173" i="2"/>
  <c r="DV174" i="2"/>
  <c r="DV463" i="2"/>
  <c r="AD26" i="9"/>
  <c r="DV344" i="2"/>
  <c r="DW344" i="2"/>
  <c r="N45" i="9" s="1"/>
  <c r="DV472" i="2"/>
  <c r="DW472" i="2"/>
  <c r="DV618" i="2"/>
  <c r="DW618" i="2"/>
  <c r="DV620" i="2"/>
  <c r="DW620" i="2"/>
  <c r="DW152" i="3" l="1"/>
  <c r="DZ150" i="3" s="1"/>
  <c r="FB319" i="2"/>
  <c r="DW463" i="2"/>
  <c r="DW144" i="2"/>
  <c r="AD37" i="9"/>
  <c r="N11" i="9"/>
  <c r="AE14" i="9"/>
  <c r="DV11" i="2"/>
  <c r="DX150" i="3" l="1"/>
  <c r="DV152" i="3"/>
  <c r="AD63" i="9"/>
  <c r="AD64" i="9" s="1"/>
  <c r="N13" i="9"/>
  <c r="DV144" i="2"/>
  <c r="DV146" i="2" s="1"/>
  <c r="DW146" i="2"/>
  <c r="DX142" i="2" s="1"/>
  <c r="DX143" i="2" s="1"/>
  <c r="DV222" i="3"/>
  <c r="AE17" i="9"/>
  <c r="DV27" i="2"/>
  <c r="DW25" i="2" l="1"/>
  <c r="DW625" i="2"/>
  <c r="DW627" i="2" s="1"/>
  <c r="DW222" i="3"/>
  <c r="DV348" i="2"/>
  <c r="DZ142" i="2"/>
  <c r="DV25" i="2" l="1"/>
  <c r="DV625" i="2"/>
  <c r="DV627" i="2" s="1"/>
  <c r="DW327" i="2"/>
  <c r="DV327" i="2"/>
  <c r="N19" i="9"/>
  <c r="N20" i="9"/>
  <c r="DV22" i="2"/>
  <c r="DW348" i="2"/>
  <c r="DW352" i="2"/>
  <c r="DW24" i="2" s="1"/>
  <c r="DW22" i="2" l="1"/>
  <c r="DW349" i="2"/>
  <c r="DW221" i="2" s="1"/>
  <c r="AE18" i="9"/>
  <c r="DV365" i="2"/>
  <c r="DV366" i="2"/>
  <c r="DV224" i="3" s="1"/>
  <c r="DV221" i="2" l="1"/>
  <c r="DW222" i="2"/>
  <c r="DV222" i="2" s="1"/>
  <c r="DW225" i="3"/>
  <c r="DV349" i="2"/>
  <c r="N17" i="9"/>
  <c r="DW365" i="2"/>
  <c r="DW366" i="2"/>
  <c r="DW224" i="3" l="1"/>
  <c r="N46" i="9"/>
  <c r="DV225" i="3"/>
  <c r="DV355" i="2"/>
  <c r="DX362" i="2" l="1"/>
  <c r="DW355" i="2"/>
  <c r="DV359" i="2"/>
  <c r="DV233" i="3" l="1"/>
  <c r="DW233" i="3" s="1"/>
  <c r="DX361" i="2"/>
  <c r="AD30" i="9" l="1"/>
  <c r="AD41" i="9"/>
  <c r="DV20" i="2"/>
  <c r="DW20" i="2"/>
  <c r="N16" i="9" s="1"/>
  <c r="DZ224" i="2"/>
  <c r="DW328" i="2"/>
  <c r="N49" i="9" s="1"/>
  <c r="DV464" i="2"/>
  <c r="DW464" i="2"/>
  <c r="DW640" i="2" l="1"/>
  <c r="DW329" i="2"/>
  <c r="DW330" i="2"/>
  <c r="DV330" i="2" s="1"/>
  <c r="DV108" i="3"/>
  <c r="DV107" i="3" s="1"/>
  <c r="DW108" i="3"/>
  <c r="AD44" i="9"/>
  <c r="N48" i="9"/>
  <c r="N47" i="9" l="1"/>
  <c r="DV329" i="2"/>
  <c r="FB230" i="2"/>
  <c r="DV328" i="2"/>
  <c r="DV640" i="2"/>
  <c r="DW107" i="3"/>
  <c r="DX17" i="3" l="1"/>
  <c r="DX479" i="2" l="1"/>
  <c r="DX480" i="2" s="1"/>
  <c r="DX12" i="4" l="1"/>
  <c r="AF13" i="9"/>
  <c r="AF20" i="9" s="1"/>
  <c r="DX4" i="3"/>
  <c r="DX10" i="3" s="1"/>
  <c r="DX154" i="2"/>
  <c r="DX176" i="2"/>
  <c r="DY72" i="2"/>
  <c r="DY178" i="2" s="1"/>
  <c r="DZ178" i="2" s="1"/>
  <c r="DX331" i="2"/>
  <c r="DX151" i="3" l="1"/>
  <c r="AG13" i="9"/>
  <c r="DY176" i="2"/>
  <c r="DY4" i="3"/>
  <c r="DY10" i="3" s="1"/>
  <c r="DY172" i="2"/>
  <c r="DY12" i="4"/>
  <c r="DX153" i="2"/>
  <c r="DY68" i="2"/>
  <c r="DX148" i="3" l="1"/>
  <c r="DX152" i="3"/>
  <c r="DY150" i="3" s="1"/>
  <c r="DX618" i="2"/>
  <c r="DX463" i="2"/>
  <c r="DY171" i="2"/>
  <c r="DX620" i="2" l="1"/>
  <c r="DX619" i="2"/>
  <c r="DX10" i="2"/>
  <c r="DX155" i="2"/>
  <c r="DX174" i="2"/>
  <c r="DX621" i="2" l="1"/>
  <c r="DX156" i="2"/>
  <c r="DX173" i="2"/>
  <c r="DX344" i="2"/>
  <c r="DX5" i="3"/>
  <c r="DX11" i="3" s="1"/>
  <c r="AF15" i="9"/>
  <c r="DX13" i="2"/>
  <c r="DX14" i="2" s="1"/>
  <c r="DX11" i="2"/>
  <c r="AF14" i="9"/>
  <c r="DX144" i="2" l="1"/>
  <c r="DX472" i="2"/>
  <c r="DX27" i="2"/>
  <c r="DX222" i="3"/>
  <c r="AF17" i="9"/>
  <c r="DX146" i="2" l="1"/>
  <c r="DY142" i="2" s="1"/>
  <c r="DX348" i="2"/>
  <c r="DX25" i="2" l="1"/>
  <c r="DX327" i="2"/>
  <c r="DX625" i="2"/>
  <c r="DX627" i="2" s="1"/>
  <c r="DX22" i="2"/>
  <c r="DX349" i="2"/>
  <c r="DX221" i="2" l="1"/>
  <c r="DY209" i="2"/>
  <c r="DX225" i="3"/>
  <c r="DX355" i="2"/>
  <c r="DX365" i="2"/>
  <c r="DX366" i="2"/>
  <c r="DX224" i="3" s="1"/>
  <c r="AF18" i="9"/>
  <c r="DZ209" i="2" l="1"/>
  <c r="DY319" i="2"/>
  <c r="DY362" i="2"/>
  <c r="DX359" i="2"/>
  <c r="DZ362" i="2" l="1"/>
  <c r="DZ313" i="2"/>
  <c r="DY313" i="2"/>
  <c r="DZ312" i="2"/>
  <c r="DY312" i="2" s="1"/>
  <c r="DX233" i="3"/>
  <c r="DY361" i="2"/>
  <c r="DZ361" i="2" l="1"/>
  <c r="DZ310" i="2"/>
  <c r="DY310" i="2"/>
  <c r="AE62" i="9"/>
  <c r="DV91" i="3" l="1"/>
  <c r="DV93" i="3" s="1"/>
  <c r="DW91" i="3"/>
  <c r="DW93" i="3" s="1"/>
  <c r="DV169" i="3"/>
  <c r="DV165" i="3" s="1"/>
  <c r="DW169" i="3"/>
  <c r="DW165" i="3" s="1"/>
  <c r="DV170" i="3"/>
  <c r="DV166" i="3" s="1"/>
  <c r="DW170" i="3"/>
  <c r="DW166" i="3" s="1"/>
  <c r="DV171" i="3"/>
  <c r="DV167" i="3" s="1"/>
  <c r="DW171" i="3"/>
  <c r="DW167" i="3" s="1"/>
  <c r="DV207" i="3"/>
  <c r="DW207" i="3"/>
  <c r="DV208" i="3"/>
  <c r="DW208" i="3"/>
  <c r="DZ208" i="3" s="1"/>
  <c r="DV209" i="3"/>
  <c r="DW209" i="3"/>
  <c r="DV214" i="3"/>
  <c r="DV211" i="3" s="1"/>
  <c r="DW214" i="3"/>
  <c r="DW211" i="3" s="1"/>
  <c r="DV217" i="3"/>
  <c r="DV215" i="3" s="1"/>
  <c r="DW217" i="3"/>
  <c r="DW215" i="3" s="1"/>
  <c r="DV219" i="3"/>
  <c r="DW219" i="3"/>
  <c r="DV239" i="3"/>
  <c r="DW239" i="3"/>
  <c r="AD45" i="9"/>
  <c r="AD46" i="9"/>
  <c r="AD48" i="9"/>
  <c r="AD55" i="9"/>
  <c r="AD54" i="9" s="1"/>
  <c r="AD59" i="9"/>
  <c r="AD61" i="9"/>
  <c r="DW185" i="2"/>
  <c r="AD28" i="9" s="1"/>
  <c r="DW186" i="2"/>
  <c r="DV186" i="2" s="1"/>
  <c r="FB267" i="2"/>
  <c r="FB303" i="2"/>
  <c r="DV333" i="2"/>
  <c r="DW333" i="2"/>
  <c r="DV334" i="2"/>
  <c r="DW334" i="2"/>
  <c r="DV335" i="2"/>
  <c r="DW335" i="2"/>
  <c r="DV337" i="2"/>
  <c r="DW337" i="2"/>
  <c r="DV338" i="2"/>
  <c r="DV339" i="2" s="1"/>
  <c r="DW338" i="2"/>
  <c r="DW339" i="2" s="1"/>
  <c r="DV341" i="2"/>
  <c r="DW341" i="2"/>
  <c r="DV342" i="2"/>
  <c r="DW342" i="2"/>
  <c r="DV614" i="2"/>
  <c r="DW614" i="2"/>
  <c r="DV629" i="2"/>
  <c r="DW629" i="2"/>
  <c r="DV630" i="2"/>
  <c r="DW630" i="2"/>
  <c r="DV634" i="2"/>
  <c r="DW634" i="2"/>
  <c r="DZ219" i="3" l="1"/>
  <c r="EA219" i="3" s="1"/>
  <c r="DZ209" i="3"/>
  <c r="EA209" i="3" s="1"/>
  <c r="DW340" i="2"/>
  <c r="DV340" i="2"/>
  <c r="DY239" i="3"/>
  <c r="DZ239" i="3" s="1"/>
  <c r="DW631" i="2"/>
  <c r="DW636" i="2" s="1"/>
  <c r="DW639" i="2" s="1"/>
  <c r="DW642" i="2" s="1"/>
  <c r="DV631" i="2"/>
  <c r="DV636" i="2" s="1"/>
  <c r="DV639" i="2" s="1"/>
  <c r="DV642" i="2" s="1"/>
  <c r="DV206" i="3"/>
  <c r="EA208" i="3"/>
  <c r="DZ243" i="2"/>
  <c r="DY243" i="2" s="1"/>
  <c r="AD60" i="9"/>
  <c r="AD66" i="9" s="1"/>
  <c r="AD47" i="9"/>
  <c r="DV185" i="2"/>
  <c r="DW214" i="2"/>
  <c r="DW213" i="2" s="1"/>
  <c r="DV213" i="2" s="1"/>
  <c r="DV202" i="3" s="1"/>
  <c r="AD56" i="9"/>
  <c r="DY208" i="3"/>
  <c r="DW206" i="3"/>
  <c r="DX211" i="3" l="1"/>
  <c r="DZ214" i="3"/>
  <c r="DY209" i="3"/>
  <c r="DZ246" i="2"/>
  <c r="DY246" i="2" s="1"/>
  <c r="DY219" i="3"/>
  <c r="DZ303" i="2"/>
  <c r="DY303" i="2" s="1"/>
  <c r="EA246" i="2"/>
  <c r="EC209" i="3"/>
  <c r="DX91" i="3"/>
  <c r="DX93" i="3" s="1"/>
  <c r="DW202" i="3"/>
  <c r="EA239" i="3"/>
  <c r="DZ298" i="2"/>
  <c r="EC208" i="3"/>
  <c r="EA243" i="2"/>
  <c r="DZ217" i="3"/>
  <c r="DX215" i="3"/>
  <c r="DY207" i="3"/>
  <c r="DX206" i="3"/>
  <c r="EC219" i="3"/>
  <c r="EA303" i="2"/>
  <c r="AD40" i="9"/>
  <c r="AD39" i="9" s="1"/>
  <c r="DV214" i="2"/>
  <c r="DZ211" i="3" l="1"/>
  <c r="EA214" i="3"/>
  <c r="DY214" i="3"/>
  <c r="DY211" i="3" s="1"/>
  <c r="ED209" i="3"/>
  <c r="EC246" i="2"/>
  <c r="EB246" i="2" s="1"/>
  <c r="EB209" i="3"/>
  <c r="DZ297" i="2"/>
  <c r="DY298" i="2"/>
  <c r="EB239" i="3"/>
  <c r="EC239" i="3" s="1"/>
  <c r="EA298" i="2"/>
  <c r="EA297" i="2" s="1"/>
  <c r="EC243" i="2"/>
  <c r="EB243" i="2" s="1"/>
  <c r="EB208" i="3"/>
  <c r="ED208" i="3"/>
  <c r="DZ207" i="3"/>
  <c r="DY206" i="3"/>
  <c r="EB219" i="3"/>
  <c r="ED219" i="3"/>
  <c r="EC303" i="2"/>
  <c r="EA217" i="3"/>
  <c r="DZ215" i="3"/>
  <c r="DY217" i="3"/>
  <c r="DY215" i="3" s="1"/>
  <c r="DZ285" i="2"/>
  <c r="DZ258" i="2" l="1"/>
  <c r="EA261" i="2"/>
  <c r="EA258" i="2" s="1"/>
  <c r="EC214" i="3"/>
  <c r="EA211" i="3"/>
  <c r="EF209" i="3"/>
  <c r="ED246" i="2"/>
  <c r="ED239" i="3"/>
  <c r="EC298" i="2"/>
  <c r="EA91" i="3"/>
  <c r="EA186" i="2"/>
  <c r="DY297" i="2"/>
  <c r="AE59" i="9"/>
  <c r="DZ304" i="2"/>
  <c r="DY304" i="2" s="1"/>
  <c r="DZ91" i="3"/>
  <c r="EA304" i="2"/>
  <c r="EF208" i="3"/>
  <c r="ED243" i="2"/>
  <c r="DY285" i="2"/>
  <c r="DZ283" i="2"/>
  <c r="EC217" i="3"/>
  <c r="EA215" i="3"/>
  <c r="EA285" i="2"/>
  <c r="EA283" i="2" s="1"/>
  <c r="EB303" i="2"/>
  <c r="EA207" i="3"/>
  <c r="DZ206" i="3"/>
  <c r="DZ242" i="2"/>
  <c r="EF219" i="3"/>
  <c r="ED303" i="2"/>
  <c r="EB214" i="3" l="1"/>
  <c r="EB211" i="3" s="1"/>
  <c r="EC261" i="2"/>
  <c r="ED214" i="3"/>
  <c r="EC211" i="3"/>
  <c r="DY258" i="2"/>
  <c r="EF246" i="2"/>
  <c r="EE246" i="2" s="1"/>
  <c r="EG209" i="3"/>
  <c r="EE209" i="3"/>
  <c r="DY91" i="3"/>
  <c r="DY93" i="3" s="1"/>
  <c r="EA93" i="3"/>
  <c r="DZ93" i="3"/>
  <c r="EC297" i="2"/>
  <c r="EB298" i="2"/>
  <c r="EE239" i="3"/>
  <c r="EF239" i="3" s="1"/>
  <c r="ED298" i="2"/>
  <c r="ED297" i="2" s="1"/>
  <c r="EG208" i="3"/>
  <c r="EF243" i="2"/>
  <c r="EE243" i="2" s="1"/>
  <c r="EE208" i="3"/>
  <c r="EE219" i="3"/>
  <c r="EG219" i="3"/>
  <c r="EF303" i="2"/>
  <c r="EB217" i="3"/>
  <c r="EB215" i="3" s="1"/>
  <c r="ED217" i="3"/>
  <c r="EC215" i="3"/>
  <c r="EC285" i="2"/>
  <c r="DY242" i="2"/>
  <c r="DZ241" i="2"/>
  <c r="DY283" i="2"/>
  <c r="EB207" i="3"/>
  <c r="EA206" i="3"/>
  <c r="EA242" i="2"/>
  <c r="EA241" i="2" s="1"/>
  <c r="EC258" i="2" l="1"/>
  <c r="EB261" i="2"/>
  <c r="ED211" i="3"/>
  <c r="EF214" i="3"/>
  <c r="ED261" i="2"/>
  <c r="ED258" i="2" s="1"/>
  <c r="EG246" i="2"/>
  <c r="EI209" i="3"/>
  <c r="ED91" i="3"/>
  <c r="ED186" i="2"/>
  <c r="EG239" i="3"/>
  <c r="EF298" i="2"/>
  <c r="EC91" i="3"/>
  <c r="AF59" i="9"/>
  <c r="EB297" i="2"/>
  <c r="EC186" i="2"/>
  <c r="EB186" i="2" s="1"/>
  <c r="EC304" i="2"/>
  <c r="EB304" i="2" s="1"/>
  <c r="ED304" i="2"/>
  <c r="EI208" i="3"/>
  <c r="EG243" i="2"/>
  <c r="EE303" i="2"/>
  <c r="DY241" i="2"/>
  <c r="EI219" i="3"/>
  <c r="EG303" i="2"/>
  <c r="EB285" i="2"/>
  <c r="EC283" i="2"/>
  <c r="EA213" i="2"/>
  <c r="EF217" i="3"/>
  <c r="ED215" i="3"/>
  <c r="ED285" i="2"/>
  <c r="ED283" i="2" s="1"/>
  <c r="EC207" i="3"/>
  <c r="EB206" i="3"/>
  <c r="EE214" i="3" l="1"/>
  <c r="EE211" i="3" s="1"/>
  <c r="EG214" i="3"/>
  <c r="EF261" i="2"/>
  <c r="EF211" i="3"/>
  <c r="EB258" i="2"/>
  <c r="EH209" i="3"/>
  <c r="EI246" i="2"/>
  <c r="EH246" i="2" s="1"/>
  <c r="EJ209" i="3"/>
  <c r="EH239" i="3"/>
  <c r="EI239" i="3" s="1"/>
  <c r="EG298" i="2"/>
  <c r="EG297" i="2" s="1"/>
  <c r="ED93" i="3"/>
  <c r="EC93" i="3"/>
  <c r="EF297" i="2"/>
  <c r="AG59" i="9" s="1"/>
  <c r="EE298" i="2"/>
  <c r="EB91" i="3"/>
  <c r="EB93" i="3" s="1"/>
  <c r="EH208" i="3"/>
  <c r="EI243" i="2"/>
  <c r="EH243" i="2" s="1"/>
  <c r="EJ208" i="3"/>
  <c r="EC206" i="3"/>
  <c r="ED207" i="3"/>
  <c r="EC242" i="2"/>
  <c r="EH219" i="3"/>
  <c r="EJ219" i="3"/>
  <c r="EI303" i="2"/>
  <c r="EB283" i="2"/>
  <c r="EF215" i="3"/>
  <c r="EE217" i="3"/>
  <c r="EE215" i="3" s="1"/>
  <c r="EG217" i="3"/>
  <c r="EF285" i="2"/>
  <c r="EF258" i="2" l="1"/>
  <c r="EE261" i="2"/>
  <c r="EG211" i="3"/>
  <c r="EI214" i="3"/>
  <c r="EG261" i="2"/>
  <c r="EG258" i="2" s="1"/>
  <c r="EL209" i="3"/>
  <c r="EJ246" i="2"/>
  <c r="EJ239" i="3"/>
  <c r="EI298" i="2"/>
  <c r="EG91" i="3"/>
  <c r="EG186" i="2"/>
  <c r="EE297" i="2"/>
  <c r="EF91" i="3"/>
  <c r="EF186" i="2"/>
  <c r="EE186" i="2" s="1"/>
  <c r="EF304" i="2"/>
  <c r="EE304" i="2" s="1"/>
  <c r="EG304" i="2"/>
  <c r="EL208" i="3"/>
  <c r="EJ243" i="2"/>
  <c r="EH303" i="2"/>
  <c r="EL219" i="3"/>
  <c r="EJ303" i="2"/>
  <c r="EF283" i="2"/>
  <c r="EE285" i="2"/>
  <c r="EB242" i="2"/>
  <c r="EC241" i="2"/>
  <c r="EI217" i="3"/>
  <c r="EG215" i="3"/>
  <c r="EG285" i="2"/>
  <c r="EG283" i="2" s="1"/>
  <c r="ED206" i="3"/>
  <c r="EE207" i="3"/>
  <c r="ED242" i="2"/>
  <c r="ED241" i="2" s="1"/>
  <c r="EJ214" i="3" l="1"/>
  <c r="EI211" i="3"/>
  <c r="EH214" i="3"/>
  <c r="EH211" i="3" s="1"/>
  <c r="EI261" i="2"/>
  <c r="EE258" i="2"/>
  <c r="EE91" i="3"/>
  <c r="EE93" i="3" s="1"/>
  <c r="EK209" i="3"/>
  <c r="EL246" i="2"/>
  <c r="EK246" i="2" s="1"/>
  <c r="EM209" i="3"/>
  <c r="EH298" i="2"/>
  <c r="EI297" i="2"/>
  <c r="EG93" i="3"/>
  <c r="EF93" i="3"/>
  <c r="EK239" i="3"/>
  <c r="EL239" i="3" s="1"/>
  <c r="EJ298" i="2"/>
  <c r="EJ297" i="2" s="1"/>
  <c r="EJ304" i="2" s="1"/>
  <c r="ED213" i="2"/>
  <c r="EK208" i="3"/>
  <c r="EL243" i="2"/>
  <c r="EK243" i="2" s="1"/>
  <c r="EM208" i="3"/>
  <c r="EE283" i="2"/>
  <c r="EK219" i="3"/>
  <c r="EM219" i="3"/>
  <c r="EL303" i="2"/>
  <c r="EH217" i="3"/>
  <c r="EH215" i="3" s="1"/>
  <c r="EI215" i="3"/>
  <c r="EJ217" i="3"/>
  <c r="EI285" i="2"/>
  <c r="EF207" i="3"/>
  <c r="EE206" i="3"/>
  <c r="EC213" i="2"/>
  <c r="EB241" i="2"/>
  <c r="EI258" i="2" l="1"/>
  <c r="EH261" i="2"/>
  <c r="EJ261" i="2"/>
  <c r="EJ258" i="2" s="1"/>
  <c r="EL214" i="3"/>
  <c r="EJ211" i="3"/>
  <c r="EO209" i="3"/>
  <c r="EM246" i="2"/>
  <c r="EM239" i="3"/>
  <c r="EL298" i="2"/>
  <c r="EH297" i="2"/>
  <c r="EI91" i="3"/>
  <c r="EI186" i="2"/>
  <c r="EH186" i="2" s="1"/>
  <c r="EI304" i="2"/>
  <c r="EH304" i="2" s="1"/>
  <c r="EJ91" i="3"/>
  <c r="EJ186" i="2"/>
  <c r="EM243" i="2"/>
  <c r="EO208" i="3"/>
  <c r="EB213" i="2"/>
  <c r="EG207" i="3"/>
  <c r="EF206" i="3"/>
  <c r="EF242" i="2"/>
  <c r="EK303" i="2"/>
  <c r="EO219" i="3"/>
  <c r="EM303" i="2"/>
  <c r="EH285" i="2"/>
  <c r="EI283" i="2"/>
  <c r="EJ215" i="3"/>
  <c r="EL217" i="3"/>
  <c r="EJ285" i="2"/>
  <c r="EJ283" i="2" s="1"/>
  <c r="EM214" i="3" l="1"/>
  <c r="EK214" i="3"/>
  <c r="EK211" i="3" s="1"/>
  <c r="EL261" i="2"/>
  <c r="EL211" i="3"/>
  <c r="EH258" i="2"/>
  <c r="EH91" i="3"/>
  <c r="EH93" i="3" s="1"/>
  <c r="EN209" i="3"/>
  <c r="EP209" i="3"/>
  <c r="EO246" i="2"/>
  <c r="EN246" i="2" s="1"/>
  <c r="EJ93" i="3"/>
  <c r="EI93" i="3"/>
  <c r="EL297" i="2"/>
  <c r="EK298" i="2"/>
  <c r="EN239" i="3"/>
  <c r="EO239" i="3" s="1"/>
  <c r="EM298" i="2"/>
  <c r="EM297" i="2" s="1"/>
  <c r="EN208" i="3"/>
  <c r="EP208" i="3"/>
  <c r="EO243" i="2"/>
  <c r="EN243" i="2" s="1"/>
  <c r="EH207" i="3"/>
  <c r="EG206" i="3"/>
  <c r="EG242" i="2"/>
  <c r="EG241" i="2" s="1"/>
  <c r="EL215" i="3"/>
  <c r="EM217" i="3"/>
  <c r="EK217" i="3"/>
  <c r="EK215" i="3" s="1"/>
  <c r="EL285" i="2"/>
  <c r="EN219" i="3"/>
  <c r="EP219" i="3"/>
  <c r="EO303" i="2"/>
  <c r="EH283" i="2"/>
  <c r="EE242" i="2"/>
  <c r="EF241" i="2"/>
  <c r="EK261" i="2" l="1"/>
  <c r="EL258" i="2"/>
  <c r="EO214" i="3"/>
  <c r="EM261" i="2"/>
  <c r="EM258" i="2" s="1"/>
  <c r="EM211" i="3"/>
  <c r="EP246" i="2"/>
  <c r="ER209" i="3"/>
  <c r="EL91" i="3"/>
  <c r="EL186" i="2"/>
  <c r="EK186" i="2" s="1"/>
  <c r="EK297" i="2"/>
  <c r="EL304" i="2"/>
  <c r="EK304" i="2" s="1"/>
  <c r="EM91" i="3"/>
  <c r="EM186" i="2"/>
  <c r="EP239" i="3"/>
  <c r="EO298" i="2"/>
  <c r="EM304" i="2"/>
  <c r="ER208" i="3"/>
  <c r="EP243" i="2"/>
  <c r="EM215" i="3"/>
  <c r="EO217" i="3"/>
  <c r="EM285" i="2"/>
  <c r="EM283" i="2" s="1"/>
  <c r="EG213" i="2"/>
  <c r="ER219" i="3"/>
  <c r="EP303" i="2"/>
  <c r="EL283" i="2"/>
  <c r="EK285" i="2"/>
  <c r="EN303" i="2"/>
  <c r="EE241" i="2"/>
  <c r="EF213" i="2"/>
  <c r="EI207" i="3"/>
  <c r="EH206" i="3"/>
  <c r="EK91" i="3" l="1"/>
  <c r="EK93" i="3" s="1"/>
  <c r="EP214" i="3"/>
  <c r="EO261" i="2"/>
  <c r="EO211" i="3"/>
  <c r="EN214" i="3"/>
  <c r="EN211" i="3" s="1"/>
  <c r="EK258" i="2"/>
  <c r="EQ209" i="3"/>
  <c r="ES209" i="3"/>
  <c r="ER246" i="2"/>
  <c r="EQ246" i="2" s="1"/>
  <c r="EN298" i="2"/>
  <c r="EO297" i="2"/>
  <c r="EQ239" i="3"/>
  <c r="ER239" i="3" s="1"/>
  <c r="EP298" i="2"/>
  <c r="EP297" i="2" s="1"/>
  <c r="EP304" i="2" s="1"/>
  <c r="EM93" i="3"/>
  <c r="EL93" i="3"/>
  <c r="ES208" i="3"/>
  <c r="ER243" i="2"/>
  <c r="EQ243" i="2" s="1"/>
  <c r="EQ208" i="3"/>
  <c r="EI206" i="3"/>
  <c r="EJ207" i="3"/>
  <c r="EI242" i="2"/>
  <c r="EK283" i="2"/>
  <c r="EP217" i="3"/>
  <c r="EO215" i="3"/>
  <c r="EN217" i="3"/>
  <c r="EN215" i="3" s="1"/>
  <c r="EO285" i="2"/>
  <c r="EE213" i="2"/>
  <c r="ES219" i="3"/>
  <c r="EQ219" i="3"/>
  <c r="ER303" i="2"/>
  <c r="EN261" i="2" l="1"/>
  <c r="EO258" i="2"/>
  <c r="ER214" i="3"/>
  <c r="EP261" i="2"/>
  <c r="EP258" i="2" s="1"/>
  <c r="EP211" i="3"/>
  <c r="EU209" i="3"/>
  <c r="ES246" i="2"/>
  <c r="EP186" i="2"/>
  <c r="EP91" i="3"/>
  <c r="EO91" i="3"/>
  <c r="EN297" i="2"/>
  <c r="EO186" i="2"/>
  <c r="EN186" i="2" s="1"/>
  <c r="EO304" i="2"/>
  <c r="EN304" i="2" s="1"/>
  <c r="ES239" i="3"/>
  <c r="ER298" i="2"/>
  <c r="ES243" i="2"/>
  <c r="EU208" i="3"/>
  <c r="EO283" i="2"/>
  <c r="EN285" i="2"/>
  <c r="EU219" i="3"/>
  <c r="ES303" i="2"/>
  <c r="EP215" i="3"/>
  <c r="ER217" i="3"/>
  <c r="EP285" i="2"/>
  <c r="EP283" i="2" s="1"/>
  <c r="EI241" i="2"/>
  <c r="EH242" i="2"/>
  <c r="EQ303" i="2"/>
  <c r="EK207" i="3"/>
  <c r="EJ206" i="3"/>
  <c r="EJ242" i="2"/>
  <c r="EJ241" i="2" s="1"/>
  <c r="ER261" i="2" l="1"/>
  <c r="ER211" i="3"/>
  <c r="ES214" i="3"/>
  <c r="EQ214" i="3"/>
  <c r="EQ211" i="3" s="1"/>
  <c r="EN258" i="2"/>
  <c r="EV209" i="3"/>
  <c r="EU246" i="2"/>
  <c r="ET246" i="2" s="1"/>
  <c r="ET209" i="3"/>
  <c r="EN91" i="3"/>
  <c r="EN93" i="3" s="1"/>
  <c r="EP93" i="3"/>
  <c r="EO93" i="3"/>
  <c r="ET239" i="3"/>
  <c r="EU239" i="3" s="1"/>
  <c r="ES298" i="2"/>
  <c r="ES297" i="2" s="1"/>
  <c r="EQ298" i="2"/>
  <c r="ER297" i="2"/>
  <c r="EU243" i="2"/>
  <c r="ET243" i="2" s="1"/>
  <c r="EV208" i="3"/>
  <c r="ET208" i="3"/>
  <c r="EK206" i="3"/>
  <c r="EL207" i="3"/>
  <c r="EV219" i="3"/>
  <c r="ET219" i="3"/>
  <c r="EU303" i="2"/>
  <c r="EH241" i="2"/>
  <c r="EI213" i="2"/>
  <c r="ER215" i="3"/>
  <c r="EQ217" i="3"/>
  <c r="EQ215" i="3" s="1"/>
  <c r="ES217" i="3"/>
  <c r="ER285" i="2"/>
  <c r="EJ213" i="2"/>
  <c r="EN283" i="2"/>
  <c r="ES261" i="2" l="1"/>
  <c r="ES258" i="2" s="1"/>
  <c r="EU214" i="3"/>
  <c r="ES211" i="3"/>
  <c r="ER258" i="2"/>
  <c r="EQ261" i="2"/>
  <c r="EV246" i="2"/>
  <c r="EX209" i="3"/>
  <c r="EY209" i="3" s="1"/>
  <c r="ES186" i="2"/>
  <c r="ES91" i="3"/>
  <c r="EV239" i="3"/>
  <c r="EU298" i="2"/>
  <c r="ES304" i="2"/>
  <c r="EQ297" i="2"/>
  <c r="ER91" i="3"/>
  <c r="ER186" i="2"/>
  <c r="EQ186" i="2" s="1"/>
  <c r="ER304" i="2"/>
  <c r="EQ304" i="2" s="1"/>
  <c r="EV243" i="2"/>
  <c r="EX208" i="3"/>
  <c r="EY208" i="3" s="1"/>
  <c r="EH213" i="2"/>
  <c r="EX219" i="3"/>
  <c r="EY219" i="3" s="1"/>
  <c r="EV303" i="2"/>
  <c r="EQ285" i="2"/>
  <c r="ER283" i="2"/>
  <c r="ES215" i="3"/>
  <c r="EU217" i="3"/>
  <c r="ES285" i="2"/>
  <c r="ES283" i="2" s="1"/>
  <c r="ET303" i="2"/>
  <c r="EL206" i="3"/>
  <c r="EM207" i="3"/>
  <c r="EL242" i="2"/>
  <c r="FA219" i="3" l="1"/>
  <c r="EY303" i="2"/>
  <c r="FA208" i="3"/>
  <c r="EY243" i="2"/>
  <c r="FA209" i="3"/>
  <c r="EY246" i="2"/>
  <c r="EQ258" i="2"/>
  <c r="EV214" i="3"/>
  <c r="EU261" i="2"/>
  <c r="EU211" i="3"/>
  <c r="ET214" i="3"/>
  <c r="ET211" i="3" s="1"/>
  <c r="EW209" i="3"/>
  <c r="EX246" i="2"/>
  <c r="EW246" i="2" s="1"/>
  <c r="ES93" i="3"/>
  <c r="ER93" i="3"/>
  <c r="EU297" i="2"/>
  <c r="ET298" i="2"/>
  <c r="EW239" i="3"/>
  <c r="EX239" i="3" s="1"/>
  <c r="EV298" i="2"/>
  <c r="EV297" i="2" s="1"/>
  <c r="EQ91" i="3"/>
  <c r="EQ93" i="3" s="1"/>
  <c r="EW208" i="3"/>
  <c r="EX243" i="2"/>
  <c r="EW243" i="2" s="1"/>
  <c r="EW219" i="3"/>
  <c r="EX303" i="2"/>
  <c r="EK242" i="2"/>
  <c r="EL241" i="2"/>
  <c r="EQ283" i="2"/>
  <c r="EN207" i="3"/>
  <c r="EM206" i="3"/>
  <c r="EM242" i="2"/>
  <c r="EM241" i="2" s="1"/>
  <c r="EU215" i="3"/>
  <c r="EV217" i="3"/>
  <c r="ET217" i="3"/>
  <c r="ET215" i="3" s="1"/>
  <c r="EU285" i="2"/>
  <c r="EM213" i="2" l="1"/>
  <c r="EX298" i="2"/>
  <c r="EX297" i="2" s="1"/>
  <c r="EY239" i="3"/>
  <c r="EZ208" i="3"/>
  <c r="FA243" i="2"/>
  <c r="EZ243" i="2" s="1"/>
  <c r="EZ209" i="3"/>
  <c r="FA246" i="2"/>
  <c r="EZ219" i="3"/>
  <c r="FA303" i="2"/>
  <c r="EZ303" i="2" s="1"/>
  <c r="ET261" i="2"/>
  <c r="EU258" i="2"/>
  <c r="EV211" i="3"/>
  <c r="EV261" i="2"/>
  <c r="EV258" i="2" s="1"/>
  <c r="EX214" i="3"/>
  <c r="EY214" i="3" s="1"/>
  <c r="EU91" i="3"/>
  <c r="ET297" i="2"/>
  <c r="EU186" i="2"/>
  <c r="ET186" i="2" s="1"/>
  <c r="EU304" i="2"/>
  <c r="ET304" i="2" s="1"/>
  <c r="EV186" i="2"/>
  <c r="EV91" i="3"/>
  <c r="EV304" i="2"/>
  <c r="EX217" i="3"/>
  <c r="EY217" i="3" s="1"/>
  <c r="EV215" i="3"/>
  <c r="EV285" i="2"/>
  <c r="EV283" i="2" s="1"/>
  <c r="EW303" i="2"/>
  <c r="EO207" i="3"/>
  <c r="EN206" i="3"/>
  <c r="EK241" i="2"/>
  <c r="EL213" i="2"/>
  <c r="EU283" i="2"/>
  <c r="ET285" i="2"/>
  <c r="EW298" i="2" l="1"/>
  <c r="ET91" i="3"/>
  <c r="ET93" i="3" s="1"/>
  <c r="EZ246" i="2"/>
  <c r="EZ239" i="3"/>
  <c r="FA239" i="3" s="1"/>
  <c r="FA298" i="2" s="1"/>
  <c r="EY298" i="2"/>
  <c r="EY297" i="2" s="1"/>
  <c r="EY186" i="2" s="1"/>
  <c r="EY215" i="3"/>
  <c r="FA217" i="3"/>
  <c r="EY285" i="2"/>
  <c r="EY283" i="2" s="1"/>
  <c r="FA214" i="3"/>
  <c r="EY261" i="2"/>
  <c r="EY258" i="2" s="1"/>
  <c r="EY211" i="3"/>
  <c r="EX304" i="2"/>
  <c r="EW304" i="2" s="1"/>
  <c r="EX211" i="3"/>
  <c r="EW214" i="3"/>
  <c r="EW211" i="3" s="1"/>
  <c r="EX261" i="2"/>
  <c r="ET258" i="2"/>
  <c r="EV93" i="3"/>
  <c r="EU93" i="3"/>
  <c r="EX91" i="3"/>
  <c r="EX186" i="2"/>
  <c r="EW186" i="2" s="1"/>
  <c r="EW297" i="2"/>
  <c r="EX215" i="3"/>
  <c r="EW217" i="3"/>
  <c r="EW215" i="3" s="1"/>
  <c r="EX285" i="2"/>
  <c r="ET283" i="2"/>
  <c r="EK213" i="2"/>
  <c r="EP207" i="3"/>
  <c r="EO206" i="3"/>
  <c r="EO242" i="2"/>
  <c r="FA261" i="2" l="1"/>
  <c r="EZ214" i="3"/>
  <c r="EZ211" i="3" s="1"/>
  <c r="FA211" i="3"/>
  <c r="EY91" i="3"/>
  <c r="EY93" i="3" s="1"/>
  <c r="EY304" i="2"/>
  <c r="EZ298" i="2"/>
  <c r="FA297" i="2"/>
  <c r="FA215" i="3"/>
  <c r="EZ217" i="3"/>
  <c r="EZ215" i="3" s="1"/>
  <c r="FA285" i="2"/>
  <c r="EX93" i="3"/>
  <c r="EW261" i="2"/>
  <c r="EX258" i="2"/>
  <c r="EW91" i="3"/>
  <c r="EW93" i="3" s="1"/>
  <c r="EQ207" i="3"/>
  <c r="EP206" i="3"/>
  <c r="EP242" i="2"/>
  <c r="EP241" i="2" s="1"/>
  <c r="EX283" i="2"/>
  <c r="EW285" i="2"/>
  <c r="EN242" i="2"/>
  <c r="EO241" i="2"/>
  <c r="FA91" i="3" l="1"/>
  <c r="FA93" i="3" s="1"/>
  <c r="EZ297" i="2"/>
  <c r="FA304" i="2"/>
  <c r="EZ304" i="2" s="1"/>
  <c r="FA186" i="2"/>
  <c r="EZ186" i="2" s="1"/>
  <c r="FA283" i="2"/>
  <c r="EZ283" i="2" s="1"/>
  <c r="EZ285" i="2"/>
  <c r="EZ261" i="2"/>
  <c r="FA258" i="2"/>
  <c r="EW258" i="2"/>
  <c r="ER207" i="3"/>
  <c r="EQ206" i="3"/>
  <c r="EN241" i="2"/>
  <c r="EO213" i="2"/>
  <c r="EW283" i="2"/>
  <c r="EP213" i="2"/>
  <c r="EZ91" i="3" l="1"/>
  <c r="EZ93" i="3" s="1"/>
  <c r="EZ258" i="2"/>
  <c r="ES207" i="3"/>
  <c r="ER206" i="3"/>
  <c r="ER242" i="2"/>
  <c r="EN213" i="2"/>
  <c r="EQ242" i="2" l="1"/>
  <c r="ER241" i="2"/>
  <c r="ES206" i="3"/>
  <c r="ET207" i="3"/>
  <c r="ES242" i="2"/>
  <c r="ES241" i="2" s="1"/>
  <c r="ES213" i="2" l="1"/>
  <c r="ET206" i="3"/>
  <c r="EU207" i="3"/>
  <c r="EQ241" i="2"/>
  <c r="ER213" i="2"/>
  <c r="EQ213" i="2" l="1"/>
  <c r="EV207" i="3"/>
  <c r="EU206" i="3"/>
  <c r="EU242" i="2"/>
  <c r="ET242" i="2" l="1"/>
  <c r="EU241" i="2"/>
  <c r="EW207" i="3"/>
  <c r="EV206" i="3"/>
  <c r="EV242" i="2"/>
  <c r="EV241" i="2" s="1"/>
  <c r="EV213" i="2" l="1"/>
  <c r="EX207" i="3"/>
  <c r="EY207" i="3" s="1"/>
  <c r="EW206" i="3"/>
  <c r="ET241" i="2"/>
  <c r="EU213" i="2"/>
  <c r="EY206" i="3" l="1"/>
  <c r="EZ207" i="3"/>
  <c r="EY242" i="2"/>
  <c r="EY241" i="2" s="1"/>
  <c r="EX206" i="3"/>
  <c r="EX242" i="2"/>
  <c r="ET213" i="2"/>
  <c r="FA207" i="3" l="1"/>
  <c r="EZ206" i="3"/>
  <c r="EX241" i="2"/>
  <c r="EW242" i="2"/>
  <c r="FA242" i="2" l="1"/>
  <c r="FA206" i="3"/>
  <c r="EY213" i="2"/>
  <c r="EX213" i="2"/>
  <c r="EW241" i="2"/>
  <c r="FA241" i="2" l="1"/>
  <c r="EZ242" i="2"/>
  <c r="EW213" i="2"/>
  <c r="EZ241" i="2" l="1"/>
  <c r="FA213" i="2"/>
  <c r="EZ213" i="2" s="1"/>
  <c r="DU469" i="4" l="1"/>
  <c r="DU257" i="4"/>
  <c r="DU470" i="4" l="1"/>
  <c r="DU475" i="4"/>
  <c r="DU43" i="4"/>
  <c r="DU42" i="4" s="1"/>
  <c r="DU243" i="4"/>
  <c r="DU241" i="4" s="1"/>
  <c r="DU242" i="4" s="1"/>
  <c r="DU53" i="4" l="1"/>
  <c r="DU5" i="4"/>
  <c r="DU438" i="4"/>
  <c r="DU244" i="4"/>
  <c r="DU476" i="4"/>
  <c r="DU47" i="4"/>
  <c r="DU54" i="4"/>
  <c r="DU64" i="4"/>
  <c r="DU49" i="4" l="1"/>
  <c r="DU58" i="4"/>
  <c r="DU68" i="4"/>
  <c r="DU444" i="4"/>
  <c r="DU439" i="4"/>
  <c r="DU445" i="4" l="1"/>
  <c r="DU51" i="4"/>
  <c r="DU60" i="4"/>
  <c r="DU70" i="4"/>
  <c r="DU62" i="4" l="1"/>
  <c r="DU72" i="4"/>
  <c r="DU6" i="4"/>
  <c r="DV257" i="4"/>
  <c r="DV469" i="4"/>
  <c r="DV475" i="4" s="1"/>
  <c r="DV470" i="4" l="1"/>
  <c r="DW469" i="4"/>
  <c r="DW470" i="4" s="1"/>
  <c r="DV476" i="4"/>
  <c r="DW475" i="4"/>
  <c r="DW476" i="4" s="1"/>
  <c r="DV243" i="4"/>
  <c r="DV43" i="4"/>
  <c r="DV47" i="4" s="1"/>
  <c r="DV49" i="4" s="1"/>
  <c r="DV58" i="4" l="1"/>
  <c r="DV68" i="4"/>
  <c r="DW47" i="4"/>
  <c r="DV60" i="4"/>
  <c r="DV70" i="4"/>
  <c r="DW49" i="4"/>
  <c r="DV64" i="4"/>
  <c r="DV42" i="4"/>
  <c r="DV54" i="4"/>
  <c r="DW43" i="4"/>
  <c r="DV51" i="4"/>
  <c r="DW243" i="4"/>
  <c r="DW244" i="4" s="1"/>
  <c r="DV244" i="4"/>
  <c r="DV438" i="4"/>
  <c r="DV241" i="4"/>
  <c r="DV6" i="4" l="1"/>
  <c r="DW6" i="4" s="1"/>
  <c r="DV5" i="4"/>
  <c r="DW5" i="4" s="1"/>
  <c r="DV53" i="4"/>
  <c r="DW42" i="4"/>
  <c r="DW53" i="4" s="1"/>
  <c r="DV72" i="4"/>
  <c r="DV62" i="4"/>
  <c r="DW51" i="4"/>
  <c r="DV242" i="4"/>
  <c r="DW241" i="4"/>
  <c r="DW242" i="4" s="1"/>
  <c r="DW58" i="4"/>
  <c r="DW68" i="4"/>
  <c r="DW438" i="4"/>
  <c r="DW439" i="4" s="1"/>
  <c r="DV439" i="4"/>
  <c r="DV444" i="4"/>
  <c r="DW54" i="4"/>
  <c r="DW64" i="4"/>
  <c r="DW60" i="4"/>
  <c r="DW70" i="4"/>
  <c r="DW72" i="4" l="1"/>
  <c r="DW62" i="4"/>
  <c r="DV445" i="4"/>
  <c r="DW444" i="4"/>
  <c r="DW445" i="4" s="1"/>
  <c r="DW121" i="3" l="1"/>
  <c r="DV18" i="3" l="1"/>
  <c r="DW76" i="2"/>
  <c r="DW18" i="3"/>
  <c r="DW181" i="2" l="1"/>
  <c r="DV76" i="2"/>
  <c r="DW74" i="2"/>
  <c r="DW72" i="2" l="1"/>
  <c r="N31" i="9"/>
  <c r="DW619" i="2"/>
  <c r="DW621" i="2" s="1"/>
  <c r="DW479" i="2"/>
  <c r="DW480" i="2" s="1"/>
  <c r="DV74" i="2"/>
  <c r="DV181" i="2"/>
  <c r="AD24" i="9"/>
  <c r="DW161" i="2" l="1"/>
  <c r="DW345" i="2"/>
  <c r="DW343" i="2"/>
  <c r="N44" i="9" s="1"/>
  <c r="DW4" i="3"/>
  <c r="DW10" i="3" s="1"/>
  <c r="N29" i="9"/>
  <c r="DW12" i="4"/>
  <c r="DW68" i="2"/>
  <c r="DW154" i="2"/>
  <c r="DZ154" i="2"/>
  <c r="DW178" i="2"/>
  <c r="DV178" i="2" s="1"/>
  <c r="DV72" i="2"/>
  <c r="DW331" i="2"/>
  <c r="DW73" i="2"/>
  <c r="DV479" i="2"/>
  <c r="DV480" i="2" s="1"/>
  <c r="DV619" i="2"/>
  <c r="DV621" i="2" s="1"/>
  <c r="DV154" i="2" l="1"/>
  <c r="DV331" i="2"/>
  <c r="DY154" i="2"/>
  <c r="DV345" i="2"/>
  <c r="DV12" i="4"/>
  <c r="DV161" i="2"/>
  <c r="DV4" i="3"/>
  <c r="DV10" i="3" s="1"/>
  <c r="DV73" i="2"/>
  <c r="DX172" i="2"/>
  <c r="DV172" i="2"/>
  <c r="AE13" i="9"/>
  <c r="DV343" i="2"/>
  <c r="DV68" i="2"/>
  <c r="DW69" i="2"/>
  <c r="DZ153" i="2"/>
  <c r="DW153" i="2"/>
  <c r="DW160" i="2"/>
  <c r="DW60" i="2"/>
  <c r="N30" i="9"/>
  <c r="AD20" i="9"/>
  <c r="O30" i="9"/>
  <c r="N32" i="9"/>
  <c r="AD23" i="9"/>
  <c r="AD27" i="9" s="1"/>
  <c r="AD29" i="9" s="1"/>
  <c r="N42" i="9"/>
  <c r="DY153" i="2" l="1"/>
  <c r="DV171" i="2"/>
  <c r="DV153" i="2"/>
  <c r="DV160" i="2"/>
  <c r="DV69" i="2"/>
  <c r="DX171" i="2"/>
  <c r="N36" i="9"/>
  <c r="N43" i="9" s="1"/>
  <c r="N34" i="9"/>
  <c r="AE20" i="9"/>
  <c r="DW617" i="2"/>
  <c r="DW622" i="2" s="1"/>
  <c r="DW644" i="2" s="1"/>
  <c r="DW346" i="2" s="1"/>
  <c r="DW159" i="2"/>
  <c r="DV60" i="2"/>
  <c r="DW61" i="2"/>
  <c r="DW55" i="2"/>
  <c r="DW152" i="2"/>
  <c r="N37" i="9" l="1"/>
  <c r="DV152" i="2"/>
  <c r="DV170" i="2"/>
  <c r="DV61" i="2"/>
  <c r="DV159" i="2"/>
  <c r="DV617" i="2"/>
  <c r="DV622" i="2" s="1"/>
  <c r="DV644" i="2" s="1"/>
  <c r="DV346" i="2" s="1"/>
  <c r="DW56" i="2"/>
  <c r="DW53" i="2"/>
  <c r="DW43" i="2" s="1"/>
  <c r="DW151" i="2"/>
  <c r="N27" i="9"/>
  <c r="DV55" i="2"/>
  <c r="DW158" i="2"/>
  <c r="DW180" i="2"/>
  <c r="N15" i="9"/>
  <c r="DV180" i="2" l="1"/>
  <c r="DW184" i="2"/>
  <c r="DW476" i="2"/>
  <c r="DW477" i="2" s="1"/>
  <c r="AE12" i="9"/>
  <c r="DV56" i="2"/>
  <c r="DV158" i="2"/>
  <c r="DV151" i="2"/>
  <c r="DV169" i="2"/>
  <c r="N28" i="9"/>
  <c r="DW478" i="2" l="1"/>
  <c r="DW481" i="2"/>
  <c r="DW482" i="2" s="1"/>
  <c r="DV184" i="2"/>
  <c r="DW187" i="2"/>
  <c r="DV187" i="2" s="1"/>
  <c r="DW483" i="2" l="1"/>
  <c r="N14" i="9" s="1"/>
  <c r="DW484" i="2" l="1"/>
  <c r="DW485" i="2" s="1"/>
  <c r="CQ33" i="2" l="1"/>
  <c r="CR33" i="2" s="1"/>
  <c r="CT33" i="2"/>
  <c r="CT42" i="2" s="1"/>
  <c r="CW33" i="2"/>
  <c r="CW42" i="2" s="1"/>
  <c r="CX42" i="2" s="1"/>
  <c r="CX53" i="2" s="1"/>
  <c r="CZ33" i="2"/>
  <c r="T11" i="9" s="1"/>
  <c r="DC33" i="2"/>
  <c r="DD33" i="2" s="1"/>
  <c r="DF33" i="2"/>
  <c r="DF42" i="2" s="1"/>
  <c r="DI33" i="2"/>
  <c r="DI42" i="2" s="1"/>
  <c r="DJ42" i="2" s="1"/>
  <c r="DJ475" i="2" s="1"/>
  <c r="DL33" i="2"/>
  <c r="X11" i="9" s="1"/>
  <c r="X19" i="9" s="1"/>
  <c r="Y19" i="9" s="1"/>
  <c r="DO33" i="2"/>
  <c r="DP33" i="2" s="1"/>
  <c r="AA11" i="9" s="1"/>
  <c r="DR33" i="2"/>
  <c r="DR42" i="2" s="1"/>
  <c r="AB11" i="9" s="1"/>
  <c r="AB16" i="9" s="1"/>
  <c r="DU33" i="2"/>
  <c r="DU42" i="2" s="1"/>
  <c r="DV42" i="2" s="1"/>
  <c r="DV475" i="2" s="1"/>
  <c r="DA33" i="2" l="1"/>
  <c r="CU33" i="2"/>
  <c r="DS33" i="2"/>
  <c r="DG33" i="2"/>
  <c r="U11" i="9" s="1"/>
  <c r="U16" i="9" s="1"/>
  <c r="AE11" i="9"/>
  <c r="AE19" i="9" s="1"/>
  <c r="CZ42" i="2"/>
  <c r="CZ53" i="2" s="1"/>
  <c r="CZ43" i="2" s="1"/>
  <c r="DA43" i="2" s="1"/>
  <c r="DA476" i="2" s="1"/>
  <c r="DL42" i="2"/>
  <c r="DL475" i="2" s="1"/>
  <c r="Z11" i="9"/>
  <c r="Z19" i="9" s="1"/>
  <c r="CX475" i="2"/>
  <c r="CW475" i="2"/>
  <c r="CW53" i="2"/>
  <c r="CW43" i="2" s="1"/>
  <c r="CW476" i="2" s="1"/>
  <c r="CW477" i="2" s="1"/>
  <c r="DM33" i="2"/>
  <c r="Y11" i="9" s="1"/>
  <c r="Y16" i="9" s="1"/>
  <c r="CX33" i="2"/>
  <c r="DC42" i="2"/>
  <c r="DD42" i="2" s="1"/>
  <c r="DD53" i="2" s="1"/>
  <c r="AA16" i="9"/>
  <c r="AA19" i="9"/>
  <c r="T19" i="9"/>
  <c r="T16" i="9"/>
  <c r="V11" i="9"/>
  <c r="DJ53" i="2"/>
  <c r="DI53" i="2"/>
  <c r="DI43" i="2" s="1"/>
  <c r="DJ43" i="2" s="1"/>
  <c r="DJ476" i="2" s="1"/>
  <c r="DJ477" i="2" s="1"/>
  <c r="AD11" i="9"/>
  <c r="AD16" i="9" s="1"/>
  <c r="DI475" i="2"/>
  <c r="CQ42" i="2"/>
  <c r="CR42" i="2" s="1"/>
  <c r="CR475" i="2" s="1"/>
  <c r="DO42" i="2"/>
  <c r="DP42" i="2" s="1"/>
  <c r="DP53" i="2" s="1"/>
  <c r="DJ33" i="2"/>
  <c r="W11" i="9" s="1"/>
  <c r="W16" i="9" s="1"/>
  <c r="AB19" i="9"/>
  <c r="X16" i="9"/>
  <c r="DG42" i="2"/>
  <c r="DF475" i="2"/>
  <c r="DV53" i="2"/>
  <c r="CU42" i="2"/>
  <c r="CT475" i="2"/>
  <c r="DF53" i="2"/>
  <c r="DF43" i="2" s="1"/>
  <c r="DU53" i="2"/>
  <c r="DU43" i="2" s="1"/>
  <c r="DS42" i="2"/>
  <c r="AC11" i="9" s="1"/>
  <c r="AC16" i="9" s="1"/>
  <c r="DR475" i="2"/>
  <c r="DU475" i="2"/>
  <c r="DR53" i="2"/>
  <c r="DR43" i="2" s="1"/>
  <c r="CT53" i="2"/>
  <c r="CT43" i="2" s="1"/>
  <c r="DV33" i="2"/>
  <c r="U19" i="9" l="1"/>
  <c r="DC475" i="2"/>
  <c r="DA42" i="2"/>
  <c r="DA53" i="2" s="1"/>
  <c r="CZ475" i="2"/>
  <c r="AE16" i="9"/>
  <c r="CZ476" i="2"/>
  <c r="CZ477" i="2" s="1"/>
  <c r="CX43" i="2"/>
  <c r="CX476" i="2" s="1"/>
  <c r="CX477" i="2" s="1"/>
  <c r="CX481" i="2" s="1"/>
  <c r="CX482" i="2" s="1"/>
  <c r="Z16" i="9"/>
  <c r="DD475" i="2"/>
  <c r="DC53" i="2"/>
  <c r="DC43" i="2" s="1"/>
  <c r="DD43" i="2" s="1"/>
  <c r="DD476" i="2" s="1"/>
  <c r="DL53" i="2"/>
  <c r="DL43" i="2" s="1"/>
  <c r="DM42" i="2"/>
  <c r="DI476" i="2"/>
  <c r="DI477" i="2" s="1"/>
  <c r="DP475" i="2"/>
  <c r="CR53" i="2"/>
  <c r="AC19" i="9"/>
  <c r="CQ53" i="2"/>
  <c r="CQ43" i="2" s="1"/>
  <c r="CQ476" i="2" s="1"/>
  <c r="V16" i="9"/>
  <c r="V19" i="9"/>
  <c r="W19" i="9" s="1"/>
  <c r="CQ475" i="2"/>
  <c r="DO53" i="2"/>
  <c r="DO43" i="2" s="1"/>
  <c r="DO476" i="2" s="1"/>
  <c r="AD19" i="9"/>
  <c r="DO475" i="2"/>
  <c r="DJ481" i="2"/>
  <c r="DJ482" i="2" s="1"/>
  <c r="DJ478" i="2"/>
  <c r="DS475" i="2"/>
  <c r="DS53" i="2"/>
  <c r="DV43" i="2"/>
  <c r="DV476" i="2" s="1"/>
  <c r="DV477" i="2" s="1"/>
  <c r="DU476" i="2"/>
  <c r="DU477" i="2" s="1"/>
  <c r="CW481" i="2"/>
  <c r="CW482" i="2" s="1"/>
  <c r="CW478" i="2"/>
  <c r="DR476" i="2"/>
  <c r="DR477" i="2" s="1"/>
  <c r="DS43" i="2"/>
  <c r="DS476" i="2" s="1"/>
  <c r="CU475" i="2"/>
  <c r="CU53" i="2"/>
  <c r="CT476" i="2"/>
  <c r="CT477" i="2" s="1"/>
  <c r="CU43" i="2"/>
  <c r="CU476" i="2" s="1"/>
  <c r="DF476" i="2"/>
  <c r="DF477" i="2" s="1"/>
  <c r="DG43" i="2"/>
  <c r="DG476" i="2" s="1"/>
  <c r="DG475" i="2"/>
  <c r="DG53" i="2"/>
  <c r="DA475" i="2" l="1"/>
  <c r="DA477" i="2" s="1"/>
  <c r="DD477" i="2"/>
  <c r="CX478" i="2"/>
  <c r="DC476" i="2"/>
  <c r="DC477" i="2" s="1"/>
  <c r="DC478" i="2" s="1"/>
  <c r="DM43" i="2"/>
  <c r="DM476" i="2" s="1"/>
  <c r="DL476" i="2"/>
  <c r="DL477" i="2" s="1"/>
  <c r="DM53" i="2"/>
  <c r="DM475" i="2"/>
  <c r="DM477" i="2" s="1"/>
  <c r="DI481" i="2"/>
  <c r="DI482" i="2" s="1"/>
  <c r="DI478" i="2"/>
  <c r="DP43" i="2"/>
  <c r="DP476" i="2" s="1"/>
  <c r="DP477" i="2" s="1"/>
  <c r="DP481" i="2" s="1"/>
  <c r="DP482" i="2" s="1"/>
  <c r="CX483" i="2"/>
  <c r="CQ477" i="2"/>
  <c r="CQ478" i="2" s="1"/>
  <c r="DO477" i="2"/>
  <c r="DO481" i="2" s="1"/>
  <c r="DO482" i="2" s="1"/>
  <c r="DJ483" i="2"/>
  <c r="DJ484" i="2" s="1"/>
  <c r="DJ485" i="2" s="1"/>
  <c r="CR43" i="2"/>
  <c r="CR476" i="2" s="1"/>
  <c r="CR477" i="2" s="1"/>
  <c r="CR481" i="2" s="1"/>
  <c r="CR482" i="2" s="1"/>
  <c r="CU477" i="2"/>
  <c r="CU481" i="2" s="1"/>
  <c r="CU482" i="2" s="1"/>
  <c r="CW483" i="2"/>
  <c r="DR481" i="2"/>
  <c r="DR482" i="2" s="1"/>
  <c r="DR478" i="2"/>
  <c r="DF481" i="2"/>
  <c r="DF482" i="2" s="1"/>
  <c r="DF478" i="2"/>
  <c r="DD481" i="2"/>
  <c r="DD482" i="2" s="1"/>
  <c r="DD478" i="2"/>
  <c r="DU478" i="2"/>
  <c r="DU481" i="2"/>
  <c r="DU482" i="2" s="1"/>
  <c r="CT481" i="2"/>
  <c r="CT482" i="2" s="1"/>
  <c r="CT478" i="2"/>
  <c r="CZ478" i="2"/>
  <c r="CZ481" i="2"/>
  <c r="CZ482" i="2" s="1"/>
  <c r="DV481" i="2"/>
  <c r="DV482" i="2" s="1"/>
  <c r="DV478" i="2"/>
  <c r="DG477" i="2"/>
  <c r="DA478" i="2"/>
  <c r="DA481" i="2"/>
  <c r="DA482" i="2" s="1"/>
  <c r="DS477" i="2"/>
  <c r="DP478" i="2" l="1"/>
  <c r="DP483" i="2" s="1"/>
  <c r="CX484" i="2"/>
  <c r="CX485" i="2" s="1"/>
  <c r="DC481" i="2"/>
  <c r="DC482" i="2" s="1"/>
  <c r="DI483" i="2"/>
  <c r="DM478" i="2"/>
  <c r="DM481" i="2"/>
  <c r="DM482" i="2" s="1"/>
  <c r="DL481" i="2"/>
  <c r="DL482" i="2" s="1"/>
  <c r="DL478" i="2"/>
  <c r="CQ481" i="2"/>
  <c r="CQ482" i="2" s="1"/>
  <c r="CQ483" i="2" s="1"/>
  <c r="DR483" i="2"/>
  <c r="DR484" i="2" s="1"/>
  <c r="DR485" i="2" s="1"/>
  <c r="DV483" i="2"/>
  <c r="DV484" i="2" s="1"/>
  <c r="DV485" i="2" s="1"/>
  <c r="CW484" i="2"/>
  <c r="CW485" i="2" s="1"/>
  <c r="DO478" i="2"/>
  <c r="DO483" i="2" s="1"/>
  <c r="DO484" i="2" s="1"/>
  <c r="DO485" i="2" s="1"/>
  <c r="CR478" i="2"/>
  <c r="CR483" i="2" s="1"/>
  <c r="CT483" i="2"/>
  <c r="DD483" i="2"/>
  <c r="DF483" i="2"/>
  <c r="CU478" i="2"/>
  <c r="CU483" i="2" s="1"/>
  <c r="CZ483" i="2"/>
  <c r="CZ484" i="2" s="1"/>
  <c r="CZ485" i="2" s="1"/>
  <c r="DC483" i="2"/>
  <c r="DS481" i="2"/>
  <c r="DS482" i="2" s="1"/>
  <c r="DS478" i="2"/>
  <c r="DG481" i="2"/>
  <c r="DG482" i="2" s="1"/>
  <c r="DG478" i="2"/>
  <c r="DA483" i="2"/>
  <c r="DU483" i="2"/>
  <c r="DL483" i="2" l="1"/>
  <c r="DG483" i="2"/>
  <c r="DI484" i="2"/>
  <c r="DI485" i="2" s="1"/>
  <c r="DL484" i="2"/>
  <c r="DL485" i="2" s="1"/>
  <c r="DS483" i="2"/>
  <c r="CQ484" i="2"/>
  <c r="CQ485" i="2" s="1"/>
  <c r="DM483" i="2"/>
  <c r="CR484" i="2"/>
  <c r="CR485" i="2" s="1"/>
  <c r="DF484" i="2"/>
  <c r="DF485" i="2" s="1"/>
  <c r="DD484" i="2"/>
  <c r="DD485" i="2" s="1"/>
  <c r="CT484" i="2"/>
  <c r="CT485" i="2" s="1"/>
  <c r="CU484" i="2"/>
  <c r="CU485" i="2" s="1"/>
  <c r="DC484" i="2"/>
  <c r="DC485" i="2" s="1"/>
  <c r="DS484" i="2"/>
  <c r="DS485" i="2" s="1"/>
  <c r="DU484" i="2"/>
  <c r="DU485" i="2" s="1"/>
  <c r="DG484" i="2"/>
  <c r="DG485" i="2" s="1"/>
  <c r="DA484" i="2"/>
  <c r="DA485" i="2" s="1"/>
  <c r="DP484" i="2"/>
  <c r="DP485" i="2" s="1"/>
  <c r="DM484" i="2" l="1"/>
  <c r="DM485" i="2" s="1"/>
  <c r="CN33" i="2" l="1"/>
  <c r="CO33" i="2" s="1"/>
  <c r="CN42" i="2"/>
  <c r="CO42" i="2" s="1"/>
  <c r="CK33" i="2"/>
  <c r="CK42" i="2" s="1"/>
  <c r="CK475" i="2" l="1"/>
  <c r="CK53" i="2"/>
  <c r="CK43" i="2" s="1"/>
  <c r="CL42" i="2"/>
  <c r="CO53" i="2"/>
  <c r="CO475" i="2"/>
  <c r="CL33" i="2"/>
  <c r="CN53" i="2"/>
  <c r="CN43" i="2" s="1"/>
  <c r="CN475" i="2"/>
  <c r="CO43" i="2" l="1"/>
  <c r="CO476" i="2" s="1"/>
  <c r="CN476" i="2"/>
  <c r="CN477" i="2" s="1"/>
  <c r="CO477" i="2"/>
  <c r="CL475" i="2"/>
  <c r="CL53" i="2"/>
  <c r="CL43" i="2"/>
  <c r="CL476" i="2" s="1"/>
  <c r="CK476" i="2"/>
  <c r="CK477" i="2"/>
  <c r="CN478" i="2" l="1"/>
  <c r="CN481" i="2"/>
  <c r="CN482" i="2" s="1"/>
  <c r="CK478" i="2"/>
  <c r="CK481" i="2"/>
  <c r="CK482" i="2" s="1"/>
  <c r="CL477" i="2"/>
  <c r="CO481" i="2"/>
  <c r="CO482" i="2" s="1"/>
  <c r="CO478" i="2"/>
  <c r="CO483" i="2" s="1"/>
  <c r="CO484" i="2" l="1"/>
  <c r="CO485" i="2" s="1"/>
  <c r="CL481" i="2"/>
  <c r="CL482" i="2" s="1"/>
  <c r="CL478" i="2"/>
  <c r="CL483" i="2" s="1"/>
  <c r="CK483" i="2"/>
  <c r="CN483" i="2"/>
  <c r="CN484" i="2" l="1"/>
  <c r="CN485" i="2" s="1"/>
  <c r="CK484" i="2"/>
  <c r="CK485" i="2" s="1"/>
  <c r="CL484" i="2"/>
  <c r="CL485" i="2" s="1"/>
  <c r="CH33" i="2"/>
  <c r="CI33" i="2" s="1"/>
  <c r="CH42" i="2" l="1"/>
  <c r="CI42" i="2" l="1"/>
  <c r="CH53" i="2"/>
  <c r="CH43" i="2" s="1"/>
  <c r="CH475" i="2"/>
  <c r="CI43" i="2" l="1"/>
  <c r="CI476" i="2" s="1"/>
  <c r="CH476" i="2"/>
  <c r="CH477" i="2" s="1"/>
  <c r="CI475" i="2"/>
  <c r="CI477" i="2" s="1"/>
  <c r="CI53" i="2"/>
  <c r="CH481" i="2" l="1"/>
  <c r="CH482" i="2" s="1"/>
  <c r="CH478" i="2"/>
  <c r="CH483" i="2" s="1"/>
  <c r="CI478" i="2"/>
  <c r="CI481" i="2"/>
  <c r="CI482" i="2" s="1"/>
  <c r="CI483" i="2" l="1"/>
  <c r="CH484" i="2"/>
  <c r="CH485" i="2" s="1"/>
  <c r="CI484" i="2" l="1"/>
  <c r="CI485" i="2" s="1"/>
  <c r="DX202" i="3" l="1"/>
  <c r="DZ170" i="4"/>
  <c r="DZ171" i="4" s="1"/>
  <c r="DZ251" i="4"/>
  <c r="DZ253" i="4"/>
  <c r="DX459" i="4"/>
  <c r="DZ459" i="4" l="1"/>
  <c r="DX469" i="4"/>
  <c r="DX43" i="4" l="1"/>
  <c r="DX54" i="4" l="1"/>
  <c r="DX420" i="4"/>
  <c r="DX15" i="4"/>
  <c r="DX29" i="4" l="1"/>
  <c r="DZ15" i="4"/>
  <c r="DZ420" i="4"/>
  <c r="DX421" i="4"/>
  <c r="DX460" i="4"/>
  <c r="DX470" i="4"/>
  <c r="DX64" i="4"/>
  <c r="DZ421" i="4" l="1"/>
  <c r="DZ460" i="4"/>
  <c r="O60" i="9"/>
  <c r="O61" i="9" s="1"/>
  <c r="DZ29" i="4"/>
  <c r="DZ416" i="4"/>
  <c r="DX44" i="4"/>
  <c r="DX55" i="4" s="1"/>
  <c r="DZ409" i="4"/>
  <c r="DX45" i="4"/>
  <c r="DZ45" i="4" s="1"/>
  <c r="DX471" i="4"/>
  <c r="DZ342" i="4"/>
  <c r="DX452" i="4"/>
  <c r="DZ452" i="4" s="1"/>
  <c r="DX442" i="4"/>
  <c r="DZ442" i="4" s="1"/>
  <c r="DX461" i="4"/>
  <c r="DX465" i="4" s="1"/>
  <c r="DZ461" i="4"/>
  <c r="DZ405" i="4"/>
  <c r="DX463" i="4"/>
  <c r="DZ463" i="4" s="1"/>
  <c r="DZ344" i="4"/>
  <c r="DZ351" i="4"/>
  <c r="DX17" i="4"/>
  <c r="DX16" i="4"/>
  <c r="DX30" i="4" s="1"/>
  <c r="DX473" i="4"/>
  <c r="DZ473" i="4" s="1"/>
  <c r="DZ413" i="4"/>
  <c r="DZ262" i="4"/>
  <c r="DZ263" i="4" s="1"/>
  <c r="DX424" i="4"/>
  <c r="DX422" i="4"/>
  <c r="DX426" i="4" s="1"/>
  <c r="DZ16" i="4" l="1"/>
  <c r="DZ30" i="4" s="1"/>
  <c r="DX474" i="4"/>
  <c r="DX20" i="4"/>
  <c r="DX30" i="2" s="1"/>
  <c r="DX147" i="2" s="1"/>
  <c r="DX170" i="3"/>
  <c r="DY170" i="3" s="1"/>
  <c r="DZ170" i="3" s="1"/>
  <c r="EB170" i="3" s="1"/>
  <c r="EC170" i="3" s="1"/>
  <c r="DX169" i="3"/>
  <c r="DY169" i="3" s="1"/>
  <c r="DZ169" i="3" s="1"/>
  <c r="EB169" i="3" s="1"/>
  <c r="EC169" i="3" s="1"/>
  <c r="EE169" i="3" s="1"/>
  <c r="EF169" i="3" s="1"/>
  <c r="EH169" i="3" s="1"/>
  <c r="EI169" i="3" s="1"/>
  <c r="EK169" i="3" s="1"/>
  <c r="EL169" i="3" s="1"/>
  <c r="EN169" i="3" s="1"/>
  <c r="EO169" i="3" s="1"/>
  <c r="DX171" i="3"/>
  <c r="DZ171" i="3" s="1"/>
  <c r="EA171" i="3" s="1"/>
  <c r="EB171" i="3" s="1"/>
  <c r="EC171" i="3" s="1"/>
  <c r="ED171" i="3" s="1"/>
  <c r="EE171" i="3" s="1"/>
  <c r="EF171" i="3" s="1"/>
  <c r="EG171" i="3" s="1"/>
  <c r="EH171" i="3" s="1"/>
  <c r="EI171" i="3" s="1"/>
  <c r="EJ171" i="3" s="1"/>
  <c r="EK171" i="3" s="1"/>
  <c r="EL171" i="3" s="1"/>
  <c r="EM171" i="3" s="1"/>
  <c r="EN171" i="3" s="1"/>
  <c r="EO171" i="3" s="1"/>
  <c r="EP171" i="3" s="1"/>
  <c r="EQ171" i="3" s="1"/>
  <c r="ER171" i="3" s="1"/>
  <c r="ES171" i="3" s="1"/>
  <c r="ET171" i="3" s="1"/>
  <c r="EU171" i="3" s="1"/>
  <c r="EV171" i="3" s="1"/>
  <c r="EW171" i="3" s="1"/>
  <c r="EX171" i="3" s="1"/>
  <c r="DX33" i="2"/>
  <c r="DX42" i="2" s="1"/>
  <c r="DX53" i="2" s="1"/>
  <c r="DX43" i="2" s="1"/>
  <c r="DX176" i="3"/>
  <c r="DZ176" i="3" s="1"/>
  <c r="EB176" i="3" s="1"/>
  <c r="EC176" i="3" s="1"/>
  <c r="EE176" i="3" s="1"/>
  <c r="EF176" i="3" s="1"/>
  <c r="DZ410" i="4"/>
  <c r="DZ352" i="4"/>
  <c r="DZ414" i="4"/>
  <c r="DZ406" i="4"/>
  <c r="DX483" i="4"/>
  <c r="DZ483" i="4" s="1"/>
  <c r="DZ426" i="4"/>
  <c r="DX427" i="4"/>
  <c r="DX486" i="4"/>
  <c r="DZ486" i="4" s="1"/>
  <c r="DX479" i="4"/>
  <c r="DX92" i="4"/>
  <c r="DX425" i="4"/>
  <c r="DZ424" i="4"/>
  <c r="DZ443" i="4" s="1"/>
  <c r="DX93" i="4"/>
  <c r="DX464" i="4"/>
  <c r="DX443" i="4"/>
  <c r="DX191" i="2"/>
  <c r="DX189" i="2" s="1"/>
  <c r="DX162" i="2"/>
  <c r="DX165" i="2"/>
  <c r="DX336" i="2"/>
  <c r="DX52" i="3"/>
  <c r="DX3" i="4"/>
  <c r="DX66" i="4"/>
  <c r="DX31" i="4"/>
  <c r="DZ17" i="4"/>
  <c r="DZ345" i="4"/>
  <c r="DZ422" i="4"/>
  <c r="DX423" i="4"/>
  <c r="DX472" i="4"/>
  <c r="DX462" i="4"/>
  <c r="DZ465" i="4"/>
  <c r="DX466" i="4"/>
  <c r="DX65" i="4"/>
  <c r="DX21" i="4"/>
  <c r="DX453" i="4"/>
  <c r="DZ56" i="4"/>
  <c r="DX475" i="4"/>
  <c r="DX42" i="4"/>
  <c r="DX56" i="4"/>
  <c r="DZ417" i="4"/>
  <c r="DX341" i="2" l="1"/>
  <c r="DX160" i="2"/>
  <c r="DX31" i="2"/>
  <c r="DX163" i="2"/>
  <c r="DX56" i="2"/>
  <c r="DZ20" i="4"/>
  <c r="DZ34" i="4" s="1"/>
  <c r="DX150" i="2"/>
  <c r="DX61" i="2"/>
  <c r="DX71" i="4"/>
  <c r="DX168" i="2"/>
  <c r="DX69" i="2"/>
  <c r="DX337" i="2"/>
  <c r="DX333" i="2"/>
  <c r="DX73" i="2"/>
  <c r="DX34" i="4"/>
  <c r="DX161" i="2"/>
  <c r="DX165" i="3"/>
  <c r="O62" i="9"/>
  <c r="O63" i="9" s="1"/>
  <c r="DZ466" i="4"/>
  <c r="DZ487" i="4"/>
  <c r="DX220" i="2"/>
  <c r="DX222" i="2" s="1"/>
  <c r="DX205" i="2"/>
  <c r="DX54" i="3"/>
  <c r="DX53" i="3"/>
  <c r="DY53" i="3" s="1"/>
  <c r="DX338" i="2"/>
  <c r="DX166" i="3"/>
  <c r="DX334" i="2"/>
  <c r="DX371" i="4"/>
  <c r="DX366" i="4"/>
  <c r="DX400" i="4"/>
  <c r="DZ400" i="4" s="1"/>
  <c r="DX359" i="4"/>
  <c r="DX108" i="4"/>
  <c r="DZ453" i="4"/>
  <c r="DX476" i="4"/>
  <c r="DZ31" i="4"/>
  <c r="O64" i="9"/>
  <c r="O65" i="9" s="1"/>
  <c r="DX5" i="4"/>
  <c r="DX53" i="4"/>
  <c r="AF11" i="9"/>
  <c r="DX475" i="2"/>
  <c r="DX614" i="2"/>
  <c r="DX198" i="4"/>
  <c r="DX99" i="4"/>
  <c r="DX235" i="4"/>
  <c r="DX191" i="4"/>
  <c r="DX489" i="4"/>
  <c r="DZ479" i="4"/>
  <c r="DZ480" i="4" s="1"/>
  <c r="DZ3" i="4"/>
  <c r="DX11" i="4"/>
  <c r="DZ92" i="4"/>
  <c r="DZ423" i="4"/>
  <c r="DZ462" i="4"/>
  <c r="DZ484" i="4"/>
  <c r="DZ21" i="4"/>
  <c r="DX4" i="4"/>
  <c r="DX335" i="2"/>
  <c r="DX167" i="3"/>
  <c r="DX342" i="2"/>
  <c r="DZ425" i="4"/>
  <c r="DZ93" i="4"/>
  <c r="DX326" i="4"/>
  <c r="DX291" i="4"/>
  <c r="DX272" i="4"/>
  <c r="DX284" i="4"/>
  <c r="DX102" i="4"/>
  <c r="DZ66" i="4"/>
  <c r="DZ91" i="4"/>
  <c r="DZ427" i="4"/>
  <c r="DZ464" i="4"/>
  <c r="DZ474" i="4"/>
  <c r="DZ30" i="2" l="1"/>
  <c r="DZ71" i="4"/>
  <c r="DZ11" i="4"/>
  <c r="DZ53" i="3"/>
  <c r="EA53" i="3"/>
  <c r="EB53" i="3" s="1"/>
  <c r="EE53" i="3" s="1"/>
  <c r="EG53" i="3" s="1"/>
  <c r="EH53" i="3" s="1"/>
  <c r="EJ53" i="3" s="1"/>
  <c r="EK53" i="3" s="1"/>
  <c r="EM53" i="3" s="1"/>
  <c r="EN53" i="3" s="1"/>
  <c r="EP53" i="3" s="1"/>
  <c r="EQ53" i="3" s="1"/>
  <c r="ES53" i="3" s="1"/>
  <c r="ET53" i="3" s="1"/>
  <c r="EV53" i="3" s="1"/>
  <c r="EW53" i="3" s="1"/>
  <c r="EY53" i="3" s="1"/>
  <c r="EZ53" i="3" s="1"/>
  <c r="DZ54" i="3"/>
  <c r="EA54" i="3"/>
  <c r="EB54" i="3" s="1"/>
  <c r="ED54" i="3" s="1"/>
  <c r="EE54" i="3" s="1"/>
  <c r="EG54" i="3" s="1"/>
  <c r="EH54" i="3" s="1"/>
  <c r="EJ54" i="3" s="1"/>
  <c r="EK54" i="3" s="1"/>
  <c r="EM54" i="3" s="1"/>
  <c r="EN54" i="3" s="1"/>
  <c r="EP54" i="3" s="1"/>
  <c r="EQ54" i="3" s="1"/>
  <c r="ES54" i="3" s="1"/>
  <c r="ET54" i="3" s="1"/>
  <c r="EV54" i="3" s="1"/>
  <c r="EW54" i="3" s="1"/>
  <c r="EY54" i="3" s="1"/>
  <c r="EZ54" i="3" s="1"/>
  <c r="DX372" i="4"/>
  <c r="DX397" i="4"/>
  <c r="EA371" i="4"/>
  <c r="DZ371" i="4"/>
  <c r="DZ372" i="4" s="1"/>
  <c r="DZ489" i="4"/>
  <c r="DX46" i="4"/>
  <c r="DX157" i="4"/>
  <c r="DZ157" i="4" s="1"/>
  <c r="DX280" i="4"/>
  <c r="DX285" i="4"/>
  <c r="DZ284" i="4"/>
  <c r="DZ285" i="4" s="1"/>
  <c r="DZ180" i="4"/>
  <c r="DZ181" i="4" s="1"/>
  <c r="DX178" i="4"/>
  <c r="DX181" i="4"/>
  <c r="DX289" i="4"/>
  <c r="DX292" i="4"/>
  <c r="DX323" i="4"/>
  <c r="DZ291" i="4"/>
  <c r="DZ292" i="4" s="1"/>
  <c r="DZ198" i="4"/>
  <c r="DZ199" i="4" s="1"/>
  <c r="DX196" i="4"/>
  <c r="DX199" i="4"/>
  <c r="DX165" i="4"/>
  <c r="DZ165" i="4" s="1"/>
  <c r="DX265" i="4"/>
  <c r="DZ102" i="4"/>
  <c r="DZ103" i="4" s="1"/>
  <c r="DX746" i="4"/>
  <c r="DX103" i="4"/>
  <c r="EA102" i="4"/>
  <c r="DX188" i="4"/>
  <c r="DX192" i="4"/>
  <c r="DZ191" i="4"/>
  <c r="DZ192" i="4" s="1"/>
  <c r="DX360" i="4"/>
  <c r="DZ359" i="4"/>
  <c r="DX328" i="4"/>
  <c r="DZ326" i="4"/>
  <c r="DZ99" i="4"/>
  <c r="DZ100" i="4" s="1"/>
  <c r="DX745" i="4"/>
  <c r="DX100" i="4"/>
  <c r="EA99" i="4"/>
  <c r="DX173" i="4"/>
  <c r="DZ4" i="4"/>
  <c r="DZ8" i="4" s="1"/>
  <c r="DX8" i="4"/>
  <c r="DX273" i="4"/>
  <c r="DX270" i="4"/>
  <c r="DZ272" i="4"/>
  <c r="DZ273" i="4" s="1"/>
  <c r="DZ108" i="4"/>
  <c r="DZ109" i="4" s="1"/>
  <c r="EA108" i="4"/>
  <c r="DX109" i="4"/>
  <c r="DX105" i="4"/>
  <c r="DX237" i="4"/>
  <c r="DZ235" i="4"/>
  <c r="DX362" i="4"/>
  <c r="DX367" i="4"/>
  <c r="DZ366" i="4"/>
  <c r="AF16" i="9"/>
  <c r="AF19" i="9"/>
  <c r="DX630" i="2"/>
  <c r="DZ33" i="2"/>
  <c r="DZ267" i="2"/>
  <c r="DZ52" i="3"/>
  <c r="DZ336" i="2"/>
  <c r="DZ69" i="2"/>
  <c r="DZ73" i="2"/>
  <c r="DZ160" i="2"/>
  <c r="DZ165" i="2"/>
  <c r="DZ161" i="2"/>
  <c r="DZ150" i="2"/>
  <c r="DZ31" i="2"/>
  <c r="DZ337" i="2"/>
  <c r="DZ179" i="3"/>
  <c r="DZ232" i="2"/>
  <c r="DY30" i="2"/>
  <c r="DY179" i="3" s="1"/>
  <c r="DZ240" i="2"/>
  <c r="DX175" i="2"/>
  <c r="DX340" i="2"/>
  <c r="DX339" i="2"/>
  <c r="DX205" i="4" l="1"/>
  <c r="DZ173" i="4"/>
  <c r="DZ174" i="4" s="1"/>
  <c r="DX174" i="4"/>
  <c r="DZ46" i="4"/>
  <c r="DZ57" i="4" s="1"/>
  <c r="DX57" i="4"/>
  <c r="DX47" i="4"/>
  <c r="DZ367" i="4"/>
  <c r="DZ364" i="4"/>
  <c r="DZ365" i="4" s="1"/>
  <c r="DZ188" i="4"/>
  <c r="DX189" i="4"/>
  <c r="DX183" i="4"/>
  <c r="DX387" i="4"/>
  <c r="EA362" i="4"/>
  <c r="DZ362" i="4"/>
  <c r="DZ363" i="4" s="1"/>
  <c r="DX324" i="4"/>
  <c r="DZ323" i="4"/>
  <c r="DZ324" i="4" s="1"/>
  <c r="DX300" i="4"/>
  <c r="DX260" i="4"/>
  <c r="DX267" i="4"/>
  <c r="DX271" i="4"/>
  <c r="DZ270" i="4"/>
  <c r="EC108" i="4"/>
  <c r="EC109" i="4" s="1"/>
  <c r="EA105" i="4"/>
  <c r="EA173" i="4"/>
  <c r="EA96" i="4"/>
  <c r="EC99" i="4"/>
  <c r="EC100" i="4" s="1"/>
  <c r="EA745" i="4"/>
  <c r="EA746" i="4"/>
  <c r="EC746" i="4" s="1"/>
  <c r="EC102" i="4"/>
  <c r="EC103" i="4" s="1"/>
  <c r="EA265" i="4"/>
  <c r="DY31" i="2"/>
  <c r="DY52" i="3"/>
  <c r="DY165" i="2"/>
  <c r="DY73" i="2"/>
  <c r="DY161" i="2"/>
  <c r="DY11" i="4"/>
  <c r="DY336" i="2"/>
  <c r="DY175" i="2"/>
  <c r="DY337" i="2"/>
  <c r="DY168" i="2"/>
  <c r="DY150" i="2"/>
  <c r="DY69" i="2"/>
  <c r="DY160" i="2"/>
  <c r="DX266" i="4"/>
  <c r="DX298" i="4"/>
  <c r="DZ265" i="4"/>
  <c r="DZ266" i="4" s="1"/>
  <c r="DX398" i="4"/>
  <c r="DZ397" i="4"/>
  <c r="DZ398" i="4" s="1"/>
  <c r="DZ360" i="4"/>
  <c r="DY267" i="2"/>
  <c r="DZ266" i="2"/>
  <c r="DZ237" i="4"/>
  <c r="DZ238" i="4" s="1"/>
  <c r="DX429" i="4"/>
  <c r="DX243" i="4"/>
  <c r="DX238" i="4"/>
  <c r="DX282" i="4"/>
  <c r="DX281" i="4"/>
  <c r="DX275" i="4"/>
  <c r="DZ280" i="4"/>
  <c r="DY240" i="2"/>
  <c r="DZ236" i="2"/>
  <c r="DX290" i="4"/>
  <c r="DX322" i="4"/>
  <c r="DZ322" i="4" s="1"/>
  <c r="EA289" i="4"/>
  <c r="DZ289" i="4"/>
  <c r="DZ290" i="4" s="1"/>
  <c r="DX864" i="4"/>
  <c r="DX870" i="4"/>
  <c r="DX876" i="4"/>
  <c r="DZ745" i="4"/>
  <c r="DX751" i="4"/>
  <c r="DX882" i="4"/>
  <c r="DX748" i="4"/>
  <c r="DX749" i="4" s="1"/>
  <c r="DX858" i="4"/>
  <c r="DX888" i="4"/>
  <c r="DY232" i="2"/>
  <c r="DZ231" i="2"/>
  <c r="DZ746" i="4"/>
  <c r="DX889" i="4"/>
  <c r="DX883" i="4"/>
  <c r="DX877" i="4"/>
  <c r="DX859" i="4"/>
  <c r="DX752" i="4"/>
  <c r="DX871" i="4"/>
  <c r="DX865" i="4"/>
  <c r="DZ178" i="4"/>
  <c r="DX208" i="4"/>
  <c r="DZ208" i="4" s="1"/>
  <c r="DX168" i="4"/>
  <c r="DX179" i="4"/>
  <c r="DX175" i="4"/>
  <c r="EC371" i="4"/>
  <c r="EC372" i="4" s="1"/>
  <c r="ED371" i="4"/>
  <c r="EA397" i="4"/>
  <c r="DX334" i="4"/>
  <c r="DX329" i="4"/>
  <c r="DX431" i="4"/>
  <c r="DZ328" i="4"/>
  <c r="DZ329" i="4" s="1"/>
  <c r="DY33" i="2"/>
  <c r="DX354" i="4"/>
  <c r="DZ105" i="4"/>
  <c r="DZ106" i="4" s="1"/>
  <c r="DX747" i="4"/>
  <c r="DX106" i="4"/>
  <c r="DX197" i="4"/>
  <c r="DZ196" i="4"/>
  <c r="DZ197" i="4" s="1"/>
  <c r="DX231" i="4"/>
  <c r="EA196" i="4"/>
  <c r="DX177" i="4" l="1"/>
  <c r="EA175" i="4"/>
  <c r="DX176" i="4"/>
  <c r="DX355" i="4"/>
  <c r="DX378" i="4"/>
  <c r="DZ354" i="4"/>
  <c r="DX356" i="4"/>
  <c r="DX283" i="4"/>
  <c r="DZ282" i="4"/>
  <c r="DZ283" i="4" s="1"/>
  <c r="DX302" i="4"/>
  <c r="DZ300" i="4"/>
  <c r="DZ302" i="4" s="1"/>
  <c r="DX912" i="4"/>
  <c r="DY870" i="4"/>
  <c r="DX26" i="3"/>
  <c r="DX180" i="3"/>
  <c r="DX919" i="4"/>
  <c r="DY877" i="4"/>
  <c r="DY864" i="4"/>
  <c r="DX906" i="4"/>
  <c r="DZ189" i="4"/>
  <c r="DX925" i="4"/>
  <c r="DY883" i="4"/>
  <c r="DX246" i="4"/>
  <c r="DX252" i="4"/>
  <c r="DX169" i="4"/>
  <c r="DZ168" i="4"/>
  <c r="EA231" i="4"/>
  <c r="ED196" i="4"/>
  <c r="EA198" i="4"/>
  <c r="EC196" i="4"/>
  <c r="EC197" i="4" s="1"/>
  <c r="DZ614" i="2"/>
  <c r="AE45" i="9"/>
  <c r="DY231" i="2"/>
  <c r="DZ341" i="2"/>
  <c r="DZ165" i="3"/>
  <c r="DZ333" i="2"/>
  <c r="DZ231" i="4"/>
  <c r="DZ233" i="4" s="1"/>
  <c r="DX233" i="4"/>
  <c r="DX232" i="4"/>
  <c r="DZ232" i="4" s="1"/>
  <c r="DY889" i="4"/>
  <c r="DX931" i="4"/>
  <c r="DX299" i="4"/>
  <c r="DZ298" i="4"/>
  <c r="DZ295" i="4" s="1"/>
  <c r="DZ296" i="4" s="1"/>
  <c r="DZ175" i="4"/>
  <c r="DZ176" i="4" s="1"/>
  <c r="DZ179" i="4"/>
  <c r="DX438" i="4"/>
  <c r="DX241" i="4"/>
  <c r="DX244" i="4"/>
  <c r="EA97" i="4"/>
  <c r="EA664" i="2" s="1"/>
  <c r="EC96" i="4"/>
  <c r="EA668" i="2"/>
  <c r="DX432" i="4"/>
  <c r="DZ431" i="4"/>
  <c r="DZ432" i="4" s="1"/>
  <c r="DX930" i="4"/>
  <c r="DY888" i="4"/>
  <c r="DZ429" i="4"/>
  <c r="DZ430" i="4" s="1"/>
  <c r="DX430" i="4"/>
  <c r="EA205" i="4"/>
  <c r="EC173" i="4"/>
  <c r="EC174" i="4" s="1"/>
  <c r="EA174" i="4"/>
  <c r="DX954" i="4"/>
  <c r="DX900" i="4"/>
  <c r="DX894" i="4"/>
  <c r="DY858" i="4"/>
  <c r="DZ338" i="2"/>
  <c r="DY236" i="2"/>
  <c r="DZ334" i="2"/>
  <c r="DZ166" i="3"/>
  <c r="AE46" i="9"/>
  <c r="DX462" i="2"/>
  <c r="DX907" i="4"/>
  <c r="DY865" i="4"/>
  <c r="DZ335" i="2"/>
  <c r="DZ287" i="2"/>
  <c r="DZ167" i="3"/>
  <c r="DZ342" i="2"/>
  <c r="DY266" i="2"/>
  <c r="EA398" i="4"/>
  <c r="EC397" i="4"/>
  <c r="EC398" i="4" s="1"/>
  <c r="DX924" i="4"/>
  <c r="DY882" i="4"/>
  <c r="DY752" i="4"/>
  <c r="DX937" i="4"/>
  <c r="DX780" i="4"/>
  <c r="DZ267" i="4"/>
  <c r="DZ268" i="4" s="1"/>
  <c r="DZ271" i="4"/>
  <c r="DZ387" i="4"/>
  <c r="DZ383" i="4" s="1"/>
  <c r="DX389" i="4"/>
  <c r="DX918" i="4"/>
  <c r="DY876" i="4"/>
  <c r="DX269" i="4"/>
  <c r="DX268" i="4"/>
  <c r="EA267" i="4"/>
  <c r="DX261" i="4"/>
  <c r="DX348" i="4"/>
  <c r="DX337" i="4"/>
  <c r="DX343" i="4"/>
  <c r="DZ260" i="4"/>
  <c r="DX42" i="3"/>
  <c r="EC745" i="4"/>
  <c r="EA291" i="4"/>
  <c r="EA322" i="4"/>
  <c r="EC322" i="4" s="1"/>
  <c r="EC289" i="4"/>
  <c r="EC290" i="4" s="1"/>
  <c r="ED289" i="4"/>
  <c r="DX49" i="4"/>
  <c r="DX68" i="4"/>
  <c r="DX58" i="4"/>
  <c r="DY50" i="3"/>
  <c r="DZ50" i="3" s="1"/>
  <c r="DY49" i="3"/>
  <c r="DZ49" i="3" s="1"/>
  <c r="EA747" i="4"/>
  <c r="EC747" i="4" s="1"/>
  <c r="EC105" i="4"/>
  <c r="EC106" i="4" s="1"/>
  <c r="EA354" i="4"/>
  <c r="DX335" i="4"/>
  <c r="DX332" i="4"/>
  <c r="DX440" i="4"/>
  <c r="DX913" i="4"/>
  <c r="DY871" i="4"/>
  <c r="DZ281" i="4"/>
  <c r="ED362" i="4"/>
  <c r="EA366" i="4"/>
  <c r="EA387" i="4"/>
  <c r="EC387" i="4" s="1"/>
  <c r="EC362" i="4"/>
  <c r="EC363" i="4" s="1"/>
  <c r="DX163" i="4"/>
  <c r="EG371" i="4"/>
  <c r="EF371" i="4"/>
  <c r="EF372" i="4" s="1"/>
  <c r="ED397" i="4"/>
  <c r="DY751" i="4"/>
  <c r="DX779" i="4"/>
  <c r="DX936" i="4"/>
  <c r="DX890" i="4"/>
  <c r="DX891" i="4" s="1"/>
  <c r="DX933" i="4" s="1"/>
  <c r="DX872" i="4"/>
  <c r="DZ747" i="4"/>
  <c r="DZ748" i="4" s="1"/>
  <c r="DZ749" i="4" s="1"/>
  <c r="DX878" i="4"/>
  <c r="DX866" i="4"/>
  <c r="DX867" i="4" s="1"/>
  <c r="DX909" i="4" s="1"/>
  <c r="DX753" i="4"/>
  <c r="DX754" i="4" s="1"/>
  <c r="DX860" i="4"/>
  <c r="DX861" i="4" s="1"/>
  <c r="DX884" i="4"/>
  <c r="DX885" i="4" s="1"/>
  <c r="DX927" i="4" s="1"/>
  <c r="DY859" i="4"/>
  <c r="DX895" i="4"/>
  <c r="DX901" i="4"/>
  <c r="DX955" i="4"/>
  <c r="DX276" i="4"/>
  <c r="DX309" i="4"/>
  <c r="EA275" i="4"/>
  <c r="DZ275" i="4"/>
  <c r="DZ276" i="4" s="1"/>
  <c r="EA266" i="4"/>
  <c r="EC265" i="4"/>
  <c r="EC266" i="4" s="1"/>
  <c r="EA298" i="4"/>
  <c r="EA183" i="4"/>
  <c r="DZ183" i="4"/>
  <c r="DZ185" i="4" s="1"/>
  <c r="DX217" i="4"/>
  <c r="DX206" i="4"/>
  <c r="DZ205" i="4"/>
  <c r="DZ203" i="4" s="1"/>
  <c r="DZ204" i="4" s="1"/>
  <c r="EC383" i="4" l="1"/>
  <c r="DZ277" i="4"/>
  <c r="DY185" i="2"/>
  <c r="DZ185" i="2" s="1"/>
  <c r="EC291" i="4"/>
  <c r="EC292" i="4" s="1"/>
  <c r="EA323" i="4"/>
  <c r="EA292" i="4"/>
  <c r="DX914" i="4"/>
  <c r="DY872" i="4"/>
  <c r="DY873" i="4" s="1"/>
  <c r="DY915" i="4" s="1"/>
  <c r="EA389" i="4"/>
  <c r="EA367" i="4"/>
  <c r="EC366" i="4"/>
  <c r="EA309" i="4"/>
  <c r="ED275" i="4"/>
  <c r="EA280" i="4"/>
  <c r="EC275" i="4"/>
  <c r="EC276" i="4" s="1"/>
  <c r="DX920" i="4"/>
  <c r="DY878" i="4"/>
  <c r="EC354" i="4"/>
  <c r="EC355" i="4" s="1"/>
  <c r="EA378" i="4"/>
  <c r="EC378" i="4" s="1"/>
  <c r="EC375" i="4" s="1"/>
  <c r="EA355" i="4"/>
  <c r="DY954" i="4"/>
  <c r="DY894" i="4"/>
  <c r="DY900" i="4"/>
  <c r="DZ858" i="4"/>
  <c r="DY930" i="4"/>
  <c r="DZ888" i="4"/>
  <c r="DX444" i="4"/>
  <c r="DX439" i="4"/>
  <c r="DZ889" i="4"/>
  <c r="DY931" i="4"/>
  <c r="DY906" i="4"/>
  <c r="DZ864" i="4"/>
  <c r="DX873" i="4"/>
  <c r="DX915" i="4" s="1"/>
  <c r="DX27" i="3"/>
  <c r="DX28" i="3" s="1"/>
  <c r="DY333" i="2"/>
  <c r="DY614" i="2"/>
  <c r="DY341" i="2"/>
  <c r="DY165" i="3"/>
  <c r="DZ877" i="4"/>
  <c r="DY919" i="4"/>
  <c r="DZ254" i="4"/>
  <c r="DZ169" i="4"/>
  <c r="DZ252" i="4"/>
  <c r="DY335" i="2"/>
  <c r="DY167" i="3"/>
  <c r="DY342" i="2"/>
  <c r="DX456" i="2"/>
  <c r="EA269" i="4"/>
  <c r="ED267" i="4"/>
  <c r="EA270" i="4"/>
  <c r="EG362" i="4"/>
  <c r="ED366" i="4"/>
  <c r="ED387" i="4"/>
  <c r="EF387" i="4" s="1"/>
  <c r="EF362" i="4"/>
  <c r="EF363" i="4" s="1"/>
  <c r="DZ206" i="4"/>
  <c r="DX209" i="4"/>
  <c r="EA748" i="4"/>
  <c r="EA749" i="4" s="1"/>
  <c r="DX218" i="4"/>
  <c r="DZ218" i="4" s="1"/>
  <c r="DZ217" i="4"/>
  <c r="DX220" i="4"/>
  <c r="DZ246" i="4"/>
  <c r="DZ247" i="4" s="1"/>
  <c r="DX248" i="4"/>
  <c r="DX357" i="4"/>
  <c r="DX358" i="4"/>
  <c r="EA356" i="4"/>
  <c r="EA165" i="4"/>
  <c r="EC165" i="4" s="1"/>
  <c r="EC198" i="4"/>
  <c r="EC199" i="4" s="1"/>
  <c r="EA121" i="4"/>
  <c r="EA199" i="4"/>
  <c r="DY925" i="4"/>
  <c r="DZ883" i="4"/>
  <c r="DZ355" i="4"/>
  <c r="DZ356" i="4"/>
  <c r="DZ357" i="4" s="1"/>
  <c r="DX310" i="4"/>
  <c r="DZ310" i="4" s="1"/>
  <c r="DZ309" i="4"/>
  <c r="DX313" i="4"/>
  <c r="DX312" i="4"/>
  <c r="DZ312" i="4" s="1"/>
  <c r="DZ59" i="2"/>
  <c r="DZ48" i="3"/>
  <c r="DY48" i="3" s="1"/>
  <c r="DZ65" i="2"/>
  <c r="EF196" i="4"/>
  <c r="EF197" i="4" s="1"/>
  <c r="ED231" i="4"/>
  <c r="ED198" i="4"/>
  <c r="EG196" i="4"/>
  <c r="DZ378" i="4"/>
  <c r="DZ375" i="4" s="1"/>
  <c r="DZ376" i="4" s="1"/>
  <c r="DX379" i="4"/>
  <c r="EC305" i="4"/>
  <c r="EC386" i="4"/>
  <c r="EC384" i="4"/>
  <c r="EC213" i="4"/>
  <c r="DX879" i="4"/>
  <c r="DX921" i="4" s="1"/>
  <c r="DZ752" i="4"/>
  <c r="DY937" i="4"/>
  <c r="DY780" i="4"/>
  <c r="DX44" i="3"/>
  <c r="DZ882" i="4"/>
  <c r="DY924" i="4"/>
  <c r="EC97" i="4"/>
  <c r="P52" i="9"/>
  <c r="P53" i="9" s="1"/>
  <c r="EC668" i="2"/>
  <c r="DY895" i="4"/>
  <c r="DY955" i="4"/>
  <c r="DY901" i="4"/>
  <c r="DZ859" i="4"/>
  <c r="DX390" i="4"/>
  <c r="DZ389" i="4"/>
  <c r="DZ390" i="4" s="1"/>
  <c r="DY884" i="4"/>
  <c r="DY885" i="4" s="1"/>
  <c r="DY927" i="4" s="1"/>
  <c r="DX926" i="4"/>
  <c r="DZ261" i="4"/>
  <c r="DZ343" i="4"/>
  <c r="DY334" i="2"/>
  <c r="DY338" i="2"/>
  <c r="DY166" i="3"/>
  <c r="EC205" i="4"/>
  <c r="EC203" i="4" s="1"/>
  <c r="EC204" i="4" s="1"/>
  <c r="EA206" i="4"/>
  <c r="EC206" i="4" s="1"/>
  <c r="EC231" i="4"/>
  <c r="EC233" i="4" s="1"/>
  <c r="EA233" i="4"/>
  <c r="EA232" i="4"/>
  <c r="EC232" i="4" s="1"/>
  <c r="AE28" i="9"/>
  <c r="EC748" i="4"/>
  <c r="EC749" i="4" s="1"/>
  <c r="DX782" i="4"/>
  <c r="DX939" i="4"/>
  <c r="EA163" i="4"/>
  <c r="DX633" i="2"/>
  <c r="DY287" i="2"/>
  <c r="DY630" i="2" s="1"/>
  <c r="DZ305" i="2"/>
  <c r="DZ630" i="2"/>
  <c r="DY890" i="4"/>
  <c r="DY891" i="4" s="1"/>
  <c r="DY933" i="4" s="1"/>
  <c r="DX932" i="4"/>
  <c r="DX903" i="4"/>
  <c r="DY879" i="4"/>
  <c r="DY921" i="4" s="1"/>
  <c r="DY918" i="4"/>
  <c r="DZ876" i="4"/>
  <c r="DY936" i="4"/>
  <c r="DY779" i="4"/>
  <c r="DZ751" i="4"/>
  <c r="EI371" i="4"/>
  <c r="EI372" i="4" s="1"/>
  <c r="EG397" i="4"/>
  <c r="EJ371" i="4"/>
  <c r="DX242" i="4"/>
  <c r="DY242" i="4" s="1"/>
  <c r="DZ299" i="4"/>
  <c r="DX301" i="4"/>
  <c r="DZ301" i="4" s="1"/>
  <c r="DY912" i="4"/>
  <c r="DZ870" i="4"/>
  <c r="EA178" i="4"/>
  <c r="ED175" i="4"/>
  <c r="EA177" i="4"/>
  <c r="DY913" i="4"/>
  <c r="DZ871" i="4"/>
  <c r="ED183" i="4"/>
  <c r="EA188" i="4"/>
  <c r="EC183" i="4"/>
  <c r="EA217" i="4"/>
  <c r="EA299" i="4"/>
  <c r="EC299" i="4" s="1"/>
  <c r="EC298" i="4"/>
  <c r="EC295" i="4" s="1"/>
  <c r="EC296" i="4" s="1"/>
  <c r="EF397" i="4"/>
  <c r="EF398" i="4" s="1"/>
  <c r="ED398" i="4"/>
  <c r="DX441" i="4"/>
  <c r="DZ386" i="4"/>
  <c r="DZ213" i="4"/>
  <c r="DZ305" i="4"/>
  <c r="DZ384" i="4"/>
  <c r="DY860" i="4"/>
  <c r="DX956" i="4"/>
  <c r="DX957" i="4" s="1"/>
  <c r="DX896" i="4"/>
  <c r="DX902" i="4"/>
  <c r="DX51" i="4"/>
  <c r="DX70" i="4"/>
  <c r="DX60" i="4"/>
  <c r="DY753" i="4"/>
  <c r="DX781" i="4"/>
  <c r="DX938" i="4"/>
  <c r="DX333" i="4"/>
  <c r="DY333" i="4" s="1"/>
  <c r="EF289" i="4"/>
  <c r="EF290" i="4" s="1"/>
  <c r="ED291" i="4"/>
  <c r="EG289" i="4"/>
  <c r="ED322" i="4"/>
  <c r="EF322" i="4" s="1"/>
  <c r="DX339" i="4"/>
  <c r="DZ337" i="4"/>
  <c r="DZ338" i="4" s="1"/>
  <c r="DY866" i="4"/>
  <c r="DY867" i="4" s="1"/>
  <c r="DX908" i="4"/>
  <c r="DZ163" i="4"/>
  <c r="DZ164" i="4" s="1"/>
  <c r="DX164" i="4"/>
  <c r="DY907" i="4"/>
  <c r="DZ865" i="4"/>
  <c r="DZ340" i="2"/>
  <c r="DZ339" i="2"/>
  <c r="DX897" i="4" l="1"/>
  <c r="DY909" i="4"/>
  <c r="DZ867" i="4"/>
  <c r="DZ909" i="4" s="1"/>
  <c r="EA889" i="4"/>
  <c r="DZ931" i="4"/>
  <c r="EA312" i="4"/>
  <c r="EC312" i="4" s="1"/>
  <c r="EA281" i="4"/>
  <c r="EA282" i="4"/>
  <c r="EC280" i="4"/>
  <c r="ED309" i="4"/>
  <c r="EG275" i="4"/>
  <c r="ED280" i="4"/>
  <c r="EF275" i="4"/>
  <c r="EF276" i="4" s="1"/>
  <c r="EA333" i="4"/>
  <c r="DY332" i="4"/>
  <c r="DX445" i="4"/>
  <c r="EA310" i="4"/>
  <c r="EC310" i="4" s="1"/>
  <c r="EC309" i="4"/>
  <c r="EC307" i="4"/>
  <c r="EC306" i="4"/>
  <c r="EC364" i="4"/>
  <c r="EC365" i="4" s="1"/>
  <c r="EC367" i="4"/>
  <c r="DY956" i="4"/>
  <c r="DY957" i="4" s="1"/>
  <c r="DY896" i="4"/>
  <c r="DZ860" i="4"/>
  <c r="DZ861" i="4" s="1"/>
  <c r="DY902" i="4"/>
  <c r="EF183" i="4"/>
  <c r="ED217" i="4"/>
  <c r="EG183" i="4"/>
  <c r="ED188" i="4"/>
  <c r="EC163" i="4"/>
  <c r="EC164" i="4" s="1"/>
  <c r="EA164" i="4"/>
  <c r="DZ209" i="4"/>
  <c r="DZ210" i="4" s="1"/>
  <c r="DX210" i="4"/>
  <c r="DZ913" i="4"/>
  <c r="EA871" i="4"/>
  <c r="DZ907" i="4"/>
  <c r="EA865" i="4"/>
  <c r="DY340" i="2"/>
  <c r="DY339" i="2"/>
  <c r="EF383" i="4"/>
  <c r="EA864" i="4"/>
  <c r="DZ906" i="4"/>
  <c r="EA888" i="4"/>
  <c r="DZ930" i="4"/>
  <c r="EA859" i="4"/>
  <c r="DZ895" i="4"/>
  <c r="DZ955" i="4"/>
  <c r="DZ901" i="4"/>
  <c r="EC121" i="4"/>
  <c r="EA665" i="2"/>
  <c r="EA24" i="4"/>
  <c r="EA122" i="4"/>
  <c r="DZ307" i="4"/>
  <c r="DZ306" i="4"/>
  <c r="EA242" i="4"/>
  <c r="DY241" i="4"/>
  <c r="EG231" i="4"/>
  <c r="EI196" i="4"/>
  <c r="EI197" i="4" s="1"/>
  <c r="EG198" i="4"/>
  <c r="EJ196" i="4"/>
  <c r="ED389" i="4"/>
  <c r="ED367" i="4"/>
  <c r="EF366" i="4"/>
  <c r="EA390" i="4"/>
  <c r="EC389" i="4"/>
  <c r="EC390" i="4" s="1"/>
  <c r="EC188" i="4"/>
  <c r="EA191" i="4"/>
  <c r="EA189" i="4"/>
  <c r="EA220" i="4"/>
  <c r="DZ918" i="4"/>
  <c r="EA876" i="4"/>
  <c r="DX402" i="4"/>
  <c r="DX380" i="4"/>
  <c r="DZ379" i="4"/>
  <c r="DZ380" i="4" s="1"/>
  <c r="EA358" i="4"/>
  <c r="ED356" i="4"/>
  <c r="EA359" i="4"/>
  <c r="EF198" i="4"/>
  <c r="EF199" i="4" s="1"/>
  <c r="ED199" i="4"/>
  <c r="ED121" i="4"/>
  <c r="ED165" i="4"/>
  <c r="EF165" i="4" s="1"/>
  <c r="EG387" i="4"/>
  <c r="EI387" i="4" s="1"/>
  <c r="EG366" i="4"/>
  <c r="EJ362" i="4"/>
  <c r="EI362" i="4"/>
  <c r="EI363" i="4" s="1"/>
  <c r="DY914" i="4"/>
  <c r="DZ872" i="4"/>
  <c r="DX152" i="2"/>
  <c r="DX617" i="2"/>
  <c r="DX622" i="2" s="1"/>
  <c r="DX170" i="2"/>
  <c r="DX159" i="2"/>
  <c r="DZ215" i="4"/>
  <c r="DZ214" i="4"/>
  <c r="ED232" i="4"/>
  <c r="EF232" i="4" s="1"/>
  <c r="EF231" i="4"/>
  <c r="EF233" i="4" s="1"/>
  <c r="ED233" i="4"/>
  <c r="DZ248" i="4"/>
  <c r="DX448" i="4"/>
  <c r="EA271" i="4"/>
  <c r="EC270" i="4"/>
  <c r="EA272" i="4"/>
  <c r="EA300" i="4"/>
  <c r="EA260" i="4"/>
  <c r="DZ954" i="4"/>
  <c r="DZ894" i="4"/>
  <c r="DZ900" i="4"/>
  <c r="EA858" i="4"/>
  <c r="EC376" i="4"/>
  <c r="DX450" i="4"/>
  <c r="DZ339" i="4"/>
  <c r="EG175" i="4"/>
  <c r="ED177" i="4"/>
  <c r="EA179" i="4"/>
  <c r="EA208" i="4"/>
  <c r="EC208" i="4" s="1"/>
  <c r="EC178" i="4"/>
  <c r="EA180" i="4"/>
  <c r="EA168" i="4"/>
  <c r="DZ890" i="4"/>
  <c r="DZ891" i="4" s="1"/>
  <c r="DZ933" i="4" s="1"/>
  <c r="DY932" i="4"/>
  <c r="DZ912" i="4"/>
  <c r="EA870" i="4"/>
  <c r="EA752" i="4"/>
  <c r="DZ780" i="4"/>
  <c r="DZ937" i="4"/>
  <c r="ED269" i="4"/>
  <c r="EG267" i="4"/>
  <c r="EA877" i="4"/>
  <c r="DZ919" i="4"/>
  <c r="DZ924" i="4"/>
  <c r="EA882" i="4"/>
  <c r="DY781" i="4"/>
  <c r="DZ753" i="4"/>
  <c r="DY938" i="4"/>
  <c r="DX315" i="4"/>
  <c r="DZ313" i="4"/>
  <c r="DZ315" i="4" s="1"/>
  <c r="EM371" i="4"/>
  <c r="EL371" i="4"/>
  <c r="EL372" i="4" s="1"/>
  <c r="EJ397" i="4"/>
  <c r="EI397" i="4"/>
  <c r="EI398" i="4" s="1"/>
  <c r="EG398" i="4"/>
  <c r="DX72" i="4"/>
  <c r="DX62" i="4"/>
  <c r="DX6" i="4"/>
  <c r="EG291" i="4"/>
  <c r="EJ289" i="4"/>
  <c r="EG322" i="4"/>
  <c r="EI322" i="4" s="1"/>
  <c r="EI289" i="4"/>
  <c r="EI290" i="4" s="1"/>
  <c r="DZ936" i="4"/>
  <c r="DZ779" i="4"/>
  <c r="EA751" i="4"/>
  <c r="EF291" i="4"/>
  <c r="EF292" i="4" s="1"/>
  <c r="ED292" i="4"/>
  <c r="ED323" i="4"/>
  <c r="AE61" i="9"/>
  <c r="AE60" i="9" s="1"/>
  <c r="DY305" i="2"/>
  <c r="DZ884" i="4"/>
  <c r="DY926" i="4"/>
  <c r="EC664" i="2"/>
  <c r="DY65" i="2"/>
  <c r="DZ262" i="2" s="1"/>
  <c r="DZ64" i="2"/>
  <c r="EA883" i="4"/>
  <c r="DZ925" i="4"/>
  <c r="DX222" i="4"/>
  <c r="DX221" i="4"/>
  <c r="DZ221" i="4" s="1"/>
  <c r="DZ220" i="4"/>
  <c r="DZ222" i="4" s="1"/>
  <c r="DY920" i="4"/>
  <c r="DZ878" i="4"/>
  <c r="DZ879" i="4" s="1"/>
  <c r="DZ921" i="4" s="1"/>
  <c r="EC323" i="4"/>
  <c r="EC324" i="4" s="1"/>
  <c r="EA324" i="4"/>
  <c r="DY59" i="2"/>
  <c r="DZ57" i="2"/>
  <c r="DZ866" i="4"/>
  <c r="DY908" i="4"/>
  <c r="EA218" i="4"/>
  <c r="EC218" i="4" s="1"/>
  <c r="EC217" i="4"/>
  <c r="DY754" i="4"/>
  <c r="EC214" i="4"/>
  <c r="EC215" i="4"/>
  <c r="DY861" i="4"/>
  <c r="DZ903" i="4" l="1"/>
  <c r="DZ938" i="4"/>
  <c r="DZ781" i="4"/>
  <c r="EA753" i="4"/>
  <c r="EB858" i="4"/>
  <c r="EA900" i="4"/>
  <c r="EA954" i="4"/>
  <c r="EA894" i="4"/>
  <c r="EF213" i="4"/>
  <c r="EF386" i="4"/>
  <c r="EF384" i="4"/>
  <c r="EF305" i="4"/>
  <c r="DX403" i="4"/>
  <c r="DZ402" i="4"/>
  <c r="DZ403" i="4" s="1"/>
  <c r="DX433" i="4"/>
  <c r="EA283" i="4"/>
  <c r="EA284" i="4"/>
  <c r="EC282" i="4"/>
  <c r="EC283" i="4" s="1"/>
  <c r="EA866" i="4"/>
  <c r="DZ908" i="4"/>
  <c r="ED390" i="4"/>
  <c r="EF389" i="4"/>
  <c r="EF390" i="4" s="1"/>
  <c r="EA937" i="4"/>
  <c r="EB752" i="4"/>
  <c r="EA780" i="4"/>
  <c r="EB871" i="4"/>
  <c r="EA913" i="4"/>
  <c r="EF323" i="4"/>
  <c r="EF324" i="4" s="1"/>
  <c r="ED324" i="4"/>
  <c r="EC189" i="4"/>
  <c r="EC185" i="4"/>
  <c r="EG292" i="4"/>
  <c r="EI291" i="4"/>
  <c r="EI292" i="4" s="1"/>
  <c r="EG323" i="4"/>
  <c r="DX454" i="4"/>
  <c r="DZ448" i="4"/>
  <c r="DZ449" i="4" s="1"/>
  <c r="DX449" i="4"/>
  <c r="EJ366" i="4"/>
  <c r="EM362" i="4"/>
  <c r="EJ387" i="4"/>
  <c r="EL387" i="4" s="1"/>
  <c r="EL362" i="4"/>
  <c r="EL363" i="4" s="1"/>
  <c r="EB883" i="4"/>
  <c r="EA925" i="4"/>
  <c r="EB889" i="4"/>
  <c r="EA931" i="4"/>
  <c r="EC175" i="4"/>
  <c r="EC176" i="4" s="1"/>
  <c r="EC179" i="4"/>
  <c r="EA221" i="4"/>
  <c r="EC221" i="4" s="1"/>
  <c r="EC220" i="4"/>
  <c r="EC222" i="4" s="1"/>
  <c r="EA222" i="4"/>
  <c r="EB333" i="4"/>
  <c r="EB332" i="4" s="1"/>
  <c r="EB334" i="4" s="1"/>
  <c r="EA332" i="4"/>
  <c r="EJ291" i="4"/>
  <c r="EJ322" i="4"/>
  <c r="EL322" i="4" s="1"/>
  <c r="EM289" i="4"/>
  <c r="EL289" i="4"/>
  <c r="EL290" i="4" s="1"/>
  <c r="EL397" i="4"/>
  <c r="EL398" i="4" s="1"/>
  <c r="EJ398" i="4"/>
  <c r="EF121" i="4"/>
  <c r="ED122" i="4"/>
  <c r="ED665" i="2"/>
  <c r="ED24" i="4"/>
  <c r="ED282" i="4"/>
  <c r="ED312" i="4"/>
  <c r="EF312" i="4" s="1"/>
  <c r="ED281" i="4"/>
  <c r="EF280" i="4"/>
  <c r="EA379" i="4"/>
  <c r="EA360" i="4"/>
  <c r="EA351" i="4"/>
  <c r="EC359" i="4"/>
  <c r="EG356" i="4"/>
  <c r="ED358" i="4"/>
  <c r="EJ231" i="4"/>
  <c r="EJ198" i="4"/>
  <c r="EL196" i="4"/>
  <c r="EL197" i="4" s="1"/>
  <c r="EM196" i="4"/>
  <c r="DZ26" i="3"/>
  <c r="DY57" i="2"/>
  <c r="EI383" i="4"/>
  <c r="DY243" i="4"/>
  <c r="DZ241" i="4"/>
  <c r="DZ242" i="4" s="1"/>
  <c r="DX451" i="4"/>
  <c r="DZ450" i="4"/>
  <c r="DZ451" i="4" s="1"/>
  <c r="EA301" i="4"/>
  <c r="EC301" i="4" s="1"/>
  <c r="EA262" i="4"/>
  <c r="EA273" i="4"/>
  <c r="EC272" i="4"/>
  <c r="EC273" i="4" s="1"/>
  <c r="EB865" i="4"/>
  <c r="EA907" i="4"/>
  <c r="ED189" i="4"/>
  <c r="ED191" i="4"/>
  <c r="EF188" i="4"/>
  <c r="ED220" i="4"/>
  <c r="EJ275" i="4"/>
  <c r="EG309" i="4"/>
  <c r="EG280" i="4"/>
  <c r="EI275" i="4"/>
  <c r="EI276" i="4" s="1"/>
  <c r="DZ926" i="4"/>
  <c r="EA884" i="4"/>
  <c r="EA170" i="4"/>
  <c r="EA209" i="4"/>
  <c r="EC180" i="4"/>
  <c r="EC181" i="4" s="1"/>
  <c r="EA118" i="4"/>
  <c r="EA181" i="4"/>
  <c r="DZ914" i="4"/>
  <c r="EA872" i="4"/>
  <c r="EA873" i="4" s="1"/>
  <c r="EA915" i="4" s="1"/>
  <c r="EA906" i="4"/>
  <c r="EB864" i="4"/>
  <c r="DZ956" i="4"/>
  <c r="DZ957" i="4" s="1"/>
  <c r="EA860" i="4"/>
  <c r="EA861" i="4" s="1"/>
  <c r="DZ902" i="4"/>
  <c r="DZ896" i="4"/>
  <c r="EC191" i="4"/>
  <c r="EC192" i="4" s="1"/>
  <c r="EA192" i="4"/>
  <c r="EA124" i="4"/>
  <c r="DY897" i="4"/>
  <c r="DY903" i="4"/>
  <c r="EA924" i="4"/>
  <c r="EB882" i="4"/>
  <c r="EG389" i="4"/>
  <c r="EG367" i="4"/>
  <c r="EI366" i="4"/>
  <c r="EI231" i="4"/>
  <c r="EI233" i="4" s="1"/>
  <c r="EG233" i="4"/>
  <c r="EG232" i="4"/>
  <c r="EI232" i="4" s="1"/>
  <c r="DZ62" i="2"/>
  <c r="DZ462" i="2"/>
  <c r="DY64" i="2"/>
  <c r="DY462" i="2" s="1"/>
  <c r="DZ885" i="4"/>
  <c r="DZ927" i="4" s="1"/>
  <c r="EJ175" i="4"/>
  <c r="EA918" i="4"/>
  <c r="EB876" i="4"/>
  <c r="EA241" i="4"/>
  <c r="EB242" i="4"/>
  <c r="DY262" i="2"/>
  <c r="AE53" i="9"/>
  <c r="EC271" i="4"/>
  <c r="EC267" i="4"/>
  <c r="EC268" i="4" s="1"/>
  <c r="EG188" i="4"/>
  <c r="EJ183" i="4"/>
  <c r="EI183" i="4"/>
  <c r="EG217" i="4"/>
  <c r="ED310" i="4"/>
  <c r="EF310" i="4" s="1"/>
  <c r="EF309" i="4"/>
  <c r="P56" i="9"/>
  <c r="P57" i="9" s="1"/>
  <c r="EC665" i="2"/>
  <c r="EC122" i="4"/>
  <c r="DY334" i="4"/>
  <c r="DZ332" i="4"/>
  <c r="DZ333" i="4" s="1"/>
  <c r="EG165" i="4"/>
  <c r="EI165" i="4" s="1"/>
  <c r="EI198" i="4"/>
  <c r="EI199" i="4" s="1"/>
  <c r="EG121" i="4"/>
  <c r="EG199" i="4"/>
  <c r="EA912" i="4"/>
  <c r="EB870" i="4"/>
  <c r="EA955" i="4"/>
  <c r="EA895" i="4"/>
  <c r="EB859" i="4"/>
  <c r="EA901" i="4"/>
  <c r="EC260" i="4"/>
  <c r="EC261" i="4" s="1"/>
  <c r="EA337" i="4"/>
  <c r="EA261" i="4"/>
  <c r="DX169" i="2"/>
  <c r="AF12" i="9"/>
  <c r="DX151" i="2"/>
  <c r="DX158" i="2"/>
  <c r="DX476" i="2"/>
  <c r="DX477" i="2" s="1"/>
  <c r="DZ873" i="4"/>
  <c r="DZ915" i="4" s="1"/>
  <c r="EC300" i="4"/>
  <c r="EC302" i="4" s="1"/>
  <c r="EA302" i="4"/>
  <c r="DY782" i="4"/>
  <c r="DY939" i="4"/>
  <c r="EA878" i="4"/>
  <c r="EA879" i="4" s="1"/>
  <c r="EA921" i="4" s="1"/>
  <c r="DZ920" i="4"/>
  <c r="EB877" i="4"/>
  <c r="EA919" i="4"/>
  <c r="EA754" i="4"/>
  <c r="EA936" i="4"/>
  <c r="EA779" i="4"/>
  <c r="EB751" i="4"/>
  <c r="EO371" i="4"/>
  <c r="EO372" i="4" s="1"/>
  <c r="EM397" i="4"/>
  <c r="EP371" i="4"/>
  <c r="DZ932" i="4"/>
  <c r="EA890" i="4"/>
  <c r="EA891" i="4" s="1"/>
  <c r="EA933" i="4" s="1"/>
  <c r="DZ754" i="4"/>
  <c r="EJ267" i="4"/>
  <c r="EA169" i="4"/>
  <c r="EC168" i="4"/>
  <c r="EC169" i="4" s="1"/>
  <c r="EA246" i="4"/>
  <c r="EF364" i="4"/>
  <c r="EF365" i="4" s="1"/>
  <c r="EF367" i="4"/>
  <c r="EA37" i="4"/>
  <c r="EC24" i="4"/>
  <c r="EC37" i="4" s="1"/>
  <c r="EA930" i="4"/>
  <c r="EB888" i="4"/>
  <c r="EF217" i="4"/>
  <c r="ED218" i="4"/>
  <c r="EF218" i="4" s="1"/>
  <c r="EC277" i="4"/>
  <c r="EC281" i="4"/>
  <c r="EC888" i="4" l="1"/>
  <c r="EB930" i="4"/>
  <c r="ED221" i="4"/>
  <c r="EF221" i="4" s="1"/>
  <c r="EF220" i="4"/>
  <c r="EF222" i="4" s="1"/>
  <c r="ED222" i="4"/>
  <c r="EJ356" i="4"/>
  <c r="EC332" i="4"/>
  <c r="EC333" i="4" s="1"/>
  <c r="ED333" i="4" s="1"/>
  <c r="EA334" i="4"/>
  <c r="EA903" i="4"/>
  <c r="EF215" i="4"/>
  <c r="EF214" i="4"/>
  <c r="EG220" i="4"/>
  <c r="EG189" i="4"/>
  <c r="EG191" i="4"/>
  <c r="EI188" i="4"/>
  <c r="EJ232" i="4"/>
  <c r="EL232" i="4" s="1"/>
  <c r="EJ233" i="4"/>
  <c r="EL231" i="4"/>
  <c r="EL233" i="4" s="1"/>
  <c r="EB440" i="4"/>
  <c r="EB441" i="4" s="1"/>
  <c r="EB335" i="4"/>
  <c r="EB347" i="4"/>
  <c r="EB925" i="4"/>
  <c r="EC883" i="4"/>
  <c r="EA908" i="4"/>
  <c r="EB866" i="4"/>
  <c r="ES371" i="4"/>
  <c r="EP397" i="4"/>
  <c r="ER371" i="4"/>
  <c r="ER372" i="4" s="1"/>
  <c r="EO397" i="4"/>
  <c r="EO398" i="4" s="1"/>
  <c r="EM398" i="4"/>
  <c r="EA243" i="4"/>
  <c r="EC379" i="4"/>
  <c r="EC380" i="4" s="1"/>
  <c r="EA402" i="4"/>
  <c r="EA380" i="4"/>
  <c r="DX456" i="4"/>
  <c r="DZ454" i="4"/>
  <c r="DZ456" i="4" s="1"/>
  <c r="EP196" i="4"/>
  <c r="EM231" i="4"/>
  <c r="EM198" i="4"/>
  <c r="EO196" i="4"/>
  <c r="EO197" i="4" s="1"/>
  <c r="DX478" i="2"/>
  <c r="DX481" i="2"/>
  <c r="DX482" i="2" s="1"/>
  <c r="EB907" i="4"/>
  <c r="EC865" i="4"/>
  <c r="EF277" i="4"/>
  <c r="EF281" i="4"/>
  <c r="EL383" i="4"/>
  <c r="EA313" i="4"/>
  <c r="EA285" i="4"/>
  <c r="EC284" i="4"/>
  <c r="EC285" i="4" s="1"/>
  <c r="EI217" i="4"/>
  <c r="EG218" i="4"/>
  <c r="EI218" i="4" s="1"/>
  <c r="EA667" i="2"/>
  <c r="EA125" i="4"/>
  <c r="EC124" i="4"/>
  <c r="EA25" i="4"/>
  <c r="EA424" i="4"/>
  <c r="EA405" i="4"/>
  <c r="EA17" i="4"/>
  <c r="EA352" i="4"/>
  <c r="EC351" i="4"/>
  <c r="EC352" i="4" s="1"/>
  <c r="EA413" i="4"/>
  <c r="EA409" i="4"/>
  <c r="EB936" i="4"/>
  <c r="EC751" i="4"/>
  <c r="EB779" i="4"/>
  <c r="EA956" i="4"/>
  <c r="EA957" i="4" s="1"/>
  <c r="EA902" i="4"/>
  <c r="EA896" i="4"/>
  <c r="EB860" i="4"/>
  <c r="EA926" i="4"/>
  <c r="EB884" i="4"/>
  <c r="EB885" i="4" s="1"/>
  <c r="EB927" i="4" s="1"/>
  <c r="EM387" i="4"/>
  <c r="EO387" i="4" s="1"/>
  <c r="EP362" i="4"/>
  <c r="EM366" i="4"/>
  <c r="EO362" i="4"/>
  <c r="EO363" i="4" s="1"/>
  <c r="EB954" i="4"/>
  <c r="EB900" i="4"/>
  <c r="EB894" i="4"/>
  <c r="EC858" i="4"/>
  <c r="EC337" i="4"/>
  <c r="EC338" i="4" s="1"/>
  <c r="EA339" i="4"/>
  <c r="DY335" i="4"/>
  <c r="DY440" i="4"/>
  <c r="DY347" i="4"/>
  <c r="DZ334" i="4"/>
  <c r="DZ335" i="4" s="1"/>
  <c r="EJ121" i="4"/>
  <c r="EL198" i="4"/>
  <c r="EL199" i="4" s="1"/>
  <c r="EJ199" i="4"/>
  <c r="EJ165" i="4"/>
  <c r="EL165" i="4" s="1"/>
  <c r="EA422" i="4"/>
  <c r="EA263" i="4"/>
  <c r="EA16" i="4"/>
  <c r="EC262" i="4"/>
  <c r="EC263" i="4" s="1"/>
  <c r="EA344" i="4"/>
  <c r="EG390" i="4"/>
  <c r="EI389" i="4"/>
  <c r="EI390" i="4" s="1"/>
  <c r="DY26" i="3"/>
  <c r="EJ367" i="4"/>
  <c r="EJ389" i="4"/>
  <c r="EL366" i="4"/>
  <c r="DX434" i="4"/>
  <c r="DZ433" i="4"/>
  <c r="DZ434" i="4" s="1"/>
  <c r="DX435" i="4"/>
  <c r="EB753" i="4"/>
  <c r="EB754" i="4" s="1"/>
  <c r="EA938" i="4"/>
  <c r="EA781" i="4"/>
  <c r="ED124" i="4"/>
  <c r="EF191" i="4"/>
  <c r="EF192" i="4" s="1"/>
  <c r="ED192" i="4"/>
  <c r="EA210" i="4"/>
  <c r="EC209" i="4"/>
  <c r="EC210" i="4" s="1"/>
  <c r="EI367" i="4"/>
  <c r="EI364" i="4"/>
  <c r="EI365" i="4" s="1"/>
  <c r="EC882" i="4"/>
  <c r="EB924" i="4"/>
  <c r="EB867" i="4"/>
  <c r="EB906" i="4"/>
  <c r="EC864" i="4"/>
  <c r="ED284" i="4"/>
  <c r="ED283" i="4"/>
  <c r="EF282" i="4"/>
  <c r="EF283" i="4" s="1"/>
  <c r="EB913" i="4"/>
  <c r="EC871" i="4"/>
  <c r="DZ60" i="2"/>
  <c r="DZ27" i="3"/>
  <c r="DZ28" i="3" s="1"/>
  <c r="DY62" i="2"/>
  <c r="DY27" i="3" s="1"/>
  <c r="EF185" i="4"/>
  <c r="EF189" i="4"/>
  <c r="EC356" i="4"/>
  <c r="EC357" i="4" s="1"/>
  <c r="EC360" i="4"/>
  <c r="EC246" i="4"/>
  <c r="EC247" i="4" s="1"/>
  <c r="EA248" i="4"/>
  <c r="EF122" i="4"/>
  <c r="EF665" i="2"/>
  <c r="Q56" i="9"/>
  <c r="Q57" i="9" s="1"/>
  <c r="EB241" i="4"/>
  <c r="EB243" i="4" s="1"/>
  <c r="ED242" i="4"/>
  <c r="EC876" i="4"/>
  <c r="EB918" i="4"/>
  <c r="DX464" i="2"/>
  <c r="DX20" i="2"/>
  <c r="EB955" i="4"/>
  <c r="EB901" i="4"/>
  <c r="EB895" i="4"/>
  <c r="EC859" i="4"/>
  <c r="DZ782" i="4"/>
  <c r="DZ939" i="4"/>
  <c r="EM175" i="4"/>
  <c r="EA867" i="4"/>
  <c r="EA909" i="4" s="1"/>
  <c r="EG312" i="4"/>
  <c r="EI312" i="4" s="1"/>
  <c r="EG282" i="4"/>
  <c r="EG281" i="4"/>
  <c r="EI280" i="4"/>
  <c r="DY438" i="4"/>
  <c r="DY244" i="4"/>
  <c r="DY256" i="4"/>
  <c r="DZ243" i="4"/>
  <c r="DZ244" i="4" s="1"/>
  <c r="DZ456" i="2"/>
  <c r="EG324" i="4"/>
  <c r="EI323" i="4"/>
  <c r="EI324" i="4" s="1"/>
  <c r="EC118" i="4"/>
  <c r="EA23" i="4"/>
  <c r="EA666" i="2"/>
  <c r="EA119" i="4"/>
  <c r="EA113" i="4"/>
  <c r="EA127" i="4"/>
  <c r="EM267" i="4"/>
  <c r="EI121" i="4"/>
  <c r="EG665" i="2"/>
  <c r="EG122" i="4"/>
  <c r="EG24" i="4"/>
  <c r="EB912" i="4"/>
  <c r="EC870" i="4"/>
  <c r="EA885" i="4"/>
  <c r="EA927" i="4" s="1"/>
  <c r="EG310" i="4"/>
  <c r="EI310" i="4" s="1"/>
  <c r="EI309" i="4"/>
  <c r="EI213" i="4"/>
  <c r="EI384" i="4"/>
  <c r="EI305" i="4"/>
  <c r="EI386" i="4"/>
  <c r="ED37" i="4"/>
  <c r="EF24" i="4"/>
  <c r="EF37" i="4" s="1"/>
  <c r="EB780" i="4"/>
  <c r="EB937" i="4"/>
  <c r="EC752" i="4"/>
  <c r="EF307" i="4"/>
  <c r="EF306" i="4"/>
  <c r="EC889" i="4"/>
  <c r="EB931" i="4"/>
  <c r="EL291" i="4"/>
  <c r="EL292" i="4" s="1"/>
  <c r="EJ292" i="4"/>
  <c r="EJ323" i="4"/>
  <c r="EL183" i="4"/>
  <c r="EJ217" i="4"/>
  <c r="EJ188" i="4"/>
  <c r="EM183" i="4"/>
  <c r="EC170" i="4"/>
  <c r="EC171" i="4" s="1"/>
  <c r="EA15" i="4"/>
  <c r="EA253" i="4"/>
  <c r="EA171" i="4"/>
  <c r="EA420" i="4"/>
  <c r="EA782" i="4"/>
  <c r="EA939" i="4"/>
  <c r="EB919" i="4"/>
  <c r="EC877" i="4"/>
  <c r="EB890" i="4"/>
  <c r="EA932" i="4"/>
  <c r="EA920" i="4"/>
  <c r="EB878" i="4"/>
  <c r="EB879" i="4" s="1"/>
  <c r="EB921" i="4" s="1"/>
  <c r="EA914" i="4"/>
  <c r="EB872" i="4"/>
  <c r="EM275" i="4"/>
  <c r="EJ309" i="4"/>
  <c r="EJ280" i="4"/>
  <c r="EL275" i="4"/>
  <c r="EL276" i="4" s="1"/>
  <c r="EM291" i="4"/>
  <c r="EO289" i="4"/>
  <c r="EO290" i="4" s="1"/>
  <c r="EP289" i="4"/>
  <c r="EM322" i="4"/>
  <c r="EO322" i="4" s="1"/>
  <c r="DZ897" i="4"/>
  <c r="EC241" i="4" l="1"/>
  <c r="EC242" i="4" s="1"/>
  <c r="DY179" i="2"/>
  <c r="DZ179" i="2" s="1"/>
  <c r="AE25" i="9" s="1"/>
  <c r="EJ665" i="2"/>
  <c r="EL121" i="4"/>
  <c r="EJ122" i="4"/>
  <c r="EJ24" i="4"/>
  <c r="EI185" i="4"/>
  <c r="EI189" i="4"/>
  <c r="EA146" i="4"/>
  <c r="EC146" i="4" s="1"/>
  <c r="EA136" i="4"/>
  <c r="EC136" i="4" s="1"/>
  <c r="EC127" i="4"/>
  <c r="EC128" i="4" s="1"/>
  <c r="EA142" i="4"/>
  <c r="EA128" i="4"/>
  <c r="EA133" i="4"/>
  <c r="EC895" i="4"/>
  <c r="EC955" i="4"/>
  <c r="EC901" i="4"/>
  <c r="EA115" i="4"/>
  <c r="EC113" i="4"/>
  <c r="EC115" i="4" s="1"/>
  <c r="EA448" i="4"/>
  <c r="EC248" i="4"/>
  <c r="EC913" i="4"/>
  <c r="EM389" i="4"/>
  <c r="EM367" i="4"/>
  <c r="EO366" i="4"/>
  <c r="EC860" i="4"/>
  <c r="EC861" i="4" s="1"/>
  <c r="EB902" i="4"/>
  <c r="EB896" i="4"/>
  <c r="EB956" i="4"/>
  <c r="EB957" i="4" s="1"/>
  <c r="EC17" i="4"/>
  <c r="EA31" i="4"/>
  <c r="EO198" i="4"/>
  <c r="EO199" i="4" s="1"/>
  <c r="EM199" i="4"/>
  <c r="EM121" i="4"/>
  <c r="EM165" i="4"/>
  <c r="EO165" i="4" s="1"/>
  <c r="EC925" i="4"/>
  <c r="EI191" i="4"/>
  <c r="EI192" i="4" s="1"/>
  <c r="EG192" i="4"/>
  <c r="DY44" i="4"/>
  <c r="DY348" i="4"/>
  <c r="DY471" i="4"/>
  <c r="DZ347" i="4"/>
  <c r="DZ348" i="4" s="1"/>
  <c r="ES362" i="4"/>
  <c r="EP387" i="4"/>
  <c r="ER387" i="4" s="1"/>
  <c r="EP366" i="4"/>
  <c r="ER362" i="4"/>
  <c r="ER363" i="4" s="1"/>
  <c r="EC405" i="4"/>
  <c r="EC406" i="4" s="1"/>
  <c r="ED406" i="4" s="1"/>
  <c r="EA442" i="4"/>
  <c r="EM232" i="4"/>
  <c r="EO232" i="4" s="1"/>
  <c r="EO231" i="4"/>
  <c r="EO233" i="4" s="1"/>
  <c r="EM233" i="4"/>
  <c r="EC243" i="4"/>
  <c r="EC244" i="4" s="1"/>
  <c r="EA244" i="4"/>
  <c r="EA438" i="4"/>
  <c r="EA440" i="4"/>
  <c r="EA335" i="4"/>
  <c r="EC334" i="4"/>
  <c r="EC335" i="4" s="1"/>
  <c r="EC924" i="4"/>
  <c r="EC912" i="4"/>
  <c r="DZ256" i="4"/>
  <c r="DZ257" i="4" s="1"/>
  <c r="DY43" i="4"/>
  <c r="DY469" i="4"/>
  <c r="DY257" i="4"/>
  <c r="EF124" i="4"/>
  <c r="ED125" i="4"/>
  <c r="ED667" i="2"/>
  <c r="ED25" i="4"/>
  <c r="EC344" i="4"/>
  <c r="EC345" i="4" s="1"/>
  <c r="EA342" i="4"/>
  <c r="EA461" i="4"/>
  <c r="DY441" i="4"/>
  <c r="DZ440" i="4"/>
  <c r="DZ441" i="4" s="1"/>
  <c r="EO383" i="4"/>
  <c r="EC424" i="4"/>
  <c r="EA425" i="4"/>
  <c r="EP198" i="4"/>
  <c r="EP231" i="4"/>
  <c r="ER196" i="4"/>
  <c r="ER197" i="4" s="1"/>
  <c r="ES196" i="4"/>
  <c r="EB471" i="4"/>
  <c r="EB472" i="4" s="1"/>
  <c r="EB44" i="4"/>
  <c r="EB348" i="4"/>
  <c r="EG221" i="4"/>
  <c r="EI221" i="4" s="1"/>
  <c r="EG222" i="4"/>
  <c r="EI220" i="4"/>
  <c r="EI222" i="4" s="1"/>
  <c r="EE333" i="4"/>
  <c r="EE332" i="4" s="1"/>
  <c r="EE334" i="4" s="1"/>
  <c r="EJ191" i="4"/>
  <c r="EJ220" i="4"/>
  <c r="EL188" i="4"/>
  <c r="EJ189" i="4"/>
  <c r="EB920" i="4"/>
  <c r="EC878" i="4"/>
  <c r="EC919" i="4"/>
  <c r="EC23" i="4"/>
  <c r="EC36" i="4" s="1"/>
  <c r="EA26" i="4"/>
  <c r="EA36" i="4"/>
  <c r="EC872" i="4"/>
  <c r="EB914" i="4"/>
  <c r="EM323" i="4"/>
  <c r="EO291" i="4"/>
  <c r="EO292" i="4" s="1"/>
  <c r="EM292" i="4"/>
  <c r="EJ324" i="4"/>
  <c r="EL323" i="4"/>
  <c r="EL324" i="4" s="1"/>
  <c r="EA450" i="4"/>
  <c r="EC339" i="4"/>
  <c r="EB782" i="4"/>
  <c r="EB939" i="4"/>
  <c r="EM356" i="4"/>
  <c r="EM280" i="4"/>
  <c r="EP275" i="4"/>
  <c r="EM309" i="4"/>
  <c r="EO275" i="4"/>
  <c r="EO276" i="4" s="1"/>
  <c r="EJ390" i="4"/>
  <c r="EL389" i="4"/>
  <c r="EL390" i="4" s="1"/>
  <c r="EM217" i="4"/>
  <c r="EM188" i="4"/>
  <c r="EP183" i="4"/>
  <c r="EO183" i="4"/>
  <c r="EP291" i="4"/>
  <c r="ES289" i="4"/>
  <c r="ER289" i="4"/>
  <c r="ER290" i="4" s="1"/>
  <c r="EP322" i="4"/>
  <c r="ER322" i="4" s="1"/>
  <c r="EL217" i="4"/>
  <c r="EJ218" i="4"/>
  <c r="EL218" i="4" s="1"/>
  <c r="DY28" i="3"/>
  <c r="EA30" i="4"/>
  <c r="EC16" i="4"/>
  <c r="EC420" i="4"/>
  <c r="EA421" i="4"/>
  <c r="EA426" i="4"/>
  <c r="EA93" i="4" s="1"/>
  <c r="EI307" i="4"/>
  <c r="EI306" i="4"/>
  <c r="EB438" i="4"/>
  <c r="EB256" i="4"/>
  <c r="EB244" i="4"/>
  <c r="EC906" i="4"/>
  <c r="EB938" i="4"/>
  <c r="EB781" i="4"/>
  <c r="EC753" i="4"/>
  <c r="EC754" i="4" s="1"/>
  <c r="DY456" i="2"/>
  <c r="EC894" i="4"/>
  <c r="EC900" i="4"/>
  <c r="EC954" i="4"/>
  <c r="EC779" i="4"/>
  <c r="EC936" i="4"/>
  <c r="EA315" i="4"/>
  <c r="EC313" i="4"/>
  <c r="EC315" i="4" s="1"/>
  <c r="EB873" i="4"/>
  <c r="EB915" i="4" s="1"/>
  <c r="EI24" i="4"/>
  <c r="EI37" i="4" s="1"/>
  <c r="EG37" i="4"/>
  <c r="EG284" i="4"/>
  <c r="EG124" i="4" s="1"/>
  <c r="EG283" i="4"/>
  <c r="EI282" i="4"/>
  <c r="EI283" i="4" s="1"/>
  <c r="DY224" i="2"/>
  <c r="DX108" i="3"/>
  <c r="DY107" i="3" s="1"/>
  <c r="DX436" i="4"/>
  <c r="DZ435" i="4"/>
  <c r="DZ436" i="4" s="1"/>
  <c r="EC422" i="4"/>
  <c r="EA423" i="4"/>
  <c r="EC907" i="4"/>
  <c r="EC402" i="4"/>
  <c r="EC403" i="4" s="1"/>
  <c r="EA403" i="4"/>
  <c r="EA433" i="4"/>
  <c r="EA416" i="4"/>
  <c r="DY439" i="4"/>
  <c r="DY444" i="4"/>
  <c r="DZ438" i="4"/>
  <c r="DZ439" i="4" s="1"/>
  <c r="ED285" i="4"/>
  <c r="ED313" i="4"/>
  <c r="EF284" i="4"/>
  <c r="EF285" i="4" s="1"/>
  <c r="EE242" i="4"/>
  <c r="EI214" i="4"/>
  <c r="EI215" i="4"/>
  <c r="EI122" i="4"/>
  <c r="EI665" i="2"/>
  <c r="DZ617" i="2"/>
  <c r="DZ159" i="2"/>
  <c r="DZ152" i="2"/>
  <c r="DY60" i="2"/>
  <c r="DZ61" i="2"/>
  <c r="DZ55" i="2"/>
  <c r="EB909" i="4"/>
  <c r="EC867" i="4"/>
  <c r="EC909" i="4" s="1"/>
  <c r="EB861" i="4"/>
  <c r="EA452" i="4"/>
  <c r="EC409" i="4"/>
  <c r="EC410" i="4" s="1"/>
  <c r="EC25" i="4"/>
  <c r="EC38" i="4" s="1"/>
  <c r="EA38" i="4"/>
  <c r="EP398" i="4"/>
  <c r="ER397" i="4"/>
  <c r="ER398" i="4" s="1"/>
  <c r="P54" i="9"/>
  <c r="P55" i="9" s="1"/>
  <c r="EC666" i="2"/>
  <c r="EC119" i="4"/>
  <c r="EI277" i="4"/>
  <c r="EI281" i="4"/>
  <c r="EC890" i="4"/>
  <c r="EC891" i="4" s="1"/>
  <c r="EC933" i="4" s="1"/>
  <c r="EB932" i="4"/>
  <c r="EJ281" i="4"/>
  <c r="EJ282" i="4"/>
  <c r="EJ312" i="4"/>
  <c r="EL312" i="4" s="1"/>
  <c r="EL280" i="4"/>
  <c r="EC253" i="4"/>
  <c r="EA251" i="4"/>
  <c r="EA459" i="4"/>
  <c r="EC413" i="4"/>
  <c r="EC414" i="4" s="1"/>
  <c r="EA463" i="4"/>
  <c r="EC125" i="4"/>
  <c r="EC667" i="2"/>
  <c r="P58" i="9"/>
  <c r="P59" i="9" s="1"/>
  <c r="EL386" i="4"/>
  <c r="EL213" i="4"/>
  <c r="EL384" i="4"/>
  <c r="EL305" i="4"/>
  <c r="EU371" i="4"/>
  <c r="EU372" i="4" s="1"/>
  <c r="ES397" i="4"/>
  <c r="EV371" i="4"/>
  <c r="EC930" i="4"/>
  <c r="EC937" i="4"/>
  <c r="EC780" i="4"/>
  <c r="EJ310" i="4"/>
  <c r="EL310" i="4" s="1"/>
  <c r="EL309" i="4"/>
  <c r="EA29" i="4"/>
  <c r="EC15" i="4"/>
  <c r="EA21" i="4"/>
  <c r="EA20" i="4"/>
  <c r="EC931" i="4"/>
  <c r="EP267" i="4"/>
  <c r="EP175" i="4"/>
  <c r="EC918" i="4"/>
  <c r="EL364" i="4"/>
  <c r="EL365" i="4" s="1"/>
  <c r="EL367" i="4"/>
  <c r="EC884" i="4"/>
  <c r="EC885" i="4" s="1"/>
  <c r="EC927" i="4" s="1"/>
  <c r="EB926" i="4"/>
  <c r="DX483" i="2"/>
  <c r="DX484" i="2" s="1"/>
  <c r="DX485" i="2" s="1"/>
  <c r="EB908" i="4"/>
  <c r="EC866" i="4"/>
  <c r="EA897" i="4"/>
  <c r="EB891" i="4"/>
  <c r="EB933" i="4" s="1"/>
  <c r="EC147" i="4" l="1"/>
  <c r="ED147" i="4" s="1"/>
  <c r="EE147" i="4" s="1"/>
  <c r="EE146" i="4" s="1"/>
  <c r="EA92" i="4"/>
  <c r="DZ107" i="3"/>
  <c r="DZ109" i="3" s="1"/>
  <c r="EA107" i="3"/>
  <c r="EB107" i="3" s="1"/>
  <c r="EG667" i="2"/>
  <c r="EG125" i="4"/>
  <c r="EG25" i="4"/>
  <c r="EI124" i="4"/>
  <c r="ES183" i="4"/>
  <c r="ER183" i="4"/>
  <c r="EP188" i="4"/>
  <c r="EP217" i="4"/>
  <c r="EC920" i="4"/>
  <c r="EB469" i="4"/>
  <c r="EB43" i="4"/>
  <c r="EB257" i="4"/>
  <c r="EC30" i="4"/>
  <c r="P62" i="9"/>
  <c r="P63" i="9" s="1"/>
  <c r="EO217" i="4"/>
  <c r="EM218" i="4"/>
  <c r="EO218" i="4" s="1"/>
  <c r="EO384" i="4"/>
  <c r="EO213" i="4"/>
  <c r="EO305" i="4"/>
  <c r="EO386" i="4"/>
  <c r="EF125" i="4"/>
  <c r="Q58" i="9"/>
  <c r="Q59" i="9" s="1"/>
  <c r="EF667" i="2"/>
  <c r="ER383" i="4"/>
  <c r="P64" i="9"/>
  <c r="P65" i="9" s="1"/>
  <c r="EC31" i="4"/>
  <c r="EL24" i="4"/>
  <c r="EL37" i="4" s="1"/>
  <c r="EJ37" i="4"/>
  <c r="EE406" i="4"/>
  <c r="EE405" i="4" s="1"/>
  <c r="EC908" i="4"/>
  <c r="EL185" i="4"/>
  <c r="EL189" i="4"/>
  <c r="EA441" i="4"/>
  <c r="EC440" i="4"/>
  <c r="EC441" i="4" s="1"/>
  <c r="EV362" i="4"/>
  <c r="ES387" i="4"/>
  <c r="EU387" i="4" s="1"/>
  <c r="ES366" i="4"/>
  <c r="EU362" i="4"/>
  <c r="EU363" i="4" s="1"/>
  <c r="EL307" i="4"/>
  <c r="EL306" i="4"/>
  <c r="EO188" i="4"/>
  <c r="EM220" i="4"/>
  <c r="EM189" i="4"/>
  <c r="EM191" i="4"/>
  <c r="EM324" i="4"/>
  <c r="EO323" i="4"/>
  <c r="EO324" i="4" s="1"/>
  <c r="EL281" i="4"/>
  <c r="EL277" i="4"/>
  <c r="EL220" i="4"/>
  <c r="EL222" i="4" s="1"/>
  <c r="EJ222" i="4"/>
  <c r="EJ221" i="4"/>
  <c r="EL221" i="4" s="1"/>
  <c r="EC438" i="4"/>
  <c r="EC439" i="4" s="1"/>
  <c r="EA439" i="4"/>
  <c r="EA444" i="4"/>
  <c r="EL665" i="2"/>
  <c r="EL122" i="4"/>
  <c r="EJ192" i="4"/>
  <c r="EL191" i="4"/>
  <c r="EL192" i="4" s="1"/>
  <c r="EB55" i="4"/>
  <c r="EB65" i="4"/>
  <c r="EA462" i="4"/>
  <c r="EC461" i="4"/>
  <c r="EC462" i="4" s="1"/>
  <c r="DY472" i="4"/>
  <c r="DZ471" i="4"/>
  <c r="DZ472" i="4" s="1"/>
  <c r="EC133" i="4"/>
  <c r="EE347" i="4"/>
  <c r="EE440" i="4"/>
  <c r="EE441" i="4" s="1"/>
  <c r="EE335" i="4"/>
  <c r="EP389" i="4"/>
  <c r="EP367" i="4"/>
  <c r="ER366" i="4"/>
  <c r="EL215" i="4"/>
  <c r="EL214" i="4"/>
  <c r="EC903" i="4"/>
  <c r="EA486" i="4"/>
  <c r="EC486" i="4" s="1"/>
  <c r="EA483" i="4"/>
  <c r="EC483" i="4" s="1"/>
  <c r="EC426" i="4"/>
  <c r="EC427" i="4" s="1"/>
  <c r="EA427" i="4"/>
  <c r="EA479" i="4"/>
  <c r="EM310" i="4"/>
  <c r="EO310" i="4" s="1"/>
  <c r="EO309" i="4"/>
  <c r="EC342" i="4"/>
  <c r="EC343" i="4" s="1"/>
  <c r="EA343" i="4"/>
  <c r="EC956" i="4"/>
  <c r="EC957" i="4" s="1"/>
  <c r="EC902" i="4"/>
  <c r="EC896" i="4"/>
  <c r="EA454" i="4"/>
  <c r="EC448" i="4"/>
  <c r="EC449" i="4" s="1"/>
  <c r="EA449" i="4"/>
  <c r="EA3" i="4"/>
  <c r="EA34" i="4"/>
  <c r="EA71" i="4"/>
  <c r="EC20" i="4"/>
  <c r="EA30" i="2"/>
  <c r="EA252" i="4"/>
  <c r="EC251" i="4"/>
  <c r="EG285" i="4"/>
  <c r="EG313" i="4"/>
  <c r="EI284" i="4"/>
  <c r="EI285" i="4" s="1"/>
  <c r="EC29" i="4"/>
  <c r="P60" i="9"/>
  <c r="P61" i="9" s="1"/>
  <c r="EC425" i="4"/>
  <c r="EJ283" i="4"/>
  <c r="EJ284" i="4"/>
  <c r="EJ124" i="4" s="1"/>
  <c r="EL282" i="4"/>
  <c r="EL283" i="4" s="1"/>
  <c r="ES175" i="4"/>
  <c r="DY61" i="2"/>
  <c r="DY617" i="2"/>
  <c r="DY152" i="2"/>
  <c r="DY170" i="2"/>
  <c r="DY159" i="2"/>
  <c r="EG242" i="4"/>
  <c r="EE241" i="4"/>
  <c r="EE243" i="4" s="1"/>
  <c r="EP309" i="4"/>
  <c r="EP280" i="4"/>
  <c r="ES275" i="4"/>
  <c r="ER275" i="4"/>
  <c r="ER276" i="4" s="1"/>
  <c r="EC914" i="4"/>
  <c r="EU196" i="4"/>
  <c r="EU197" i="4" s="1"/>
  <c r="ES231" i="4"/>
  <c r="EV196" i="4"/>
  <c r="ES198" i="4"/>
  <c r="DZ469" i="4"/>
  <c r="DZ470" i="4" s="1"/>
  <c r="DY470" i="4"/>
  <c r="DY475" i="4"/>
  <c r="DY65" i="4"/>
  <c r="DY55" i="4"/>
  <c r="DZ44" i="4"/>
  <c r="EO367" i="4"/>
  <c r="EO364" i="4"/>
  <c r="EO365" i="4" s="1"/>
  <c r="EC142" i="4"/>
  <c r="EA139" i="4"/>
  <c r="EA140" i="4" s="1"/>
  <c r="EA460" i="4"/>
  <c r="EA465" i="4"/>
  <c r="EC459" i="4"/>
  <c r="EC460" i="4" s="1"/>
  <c r="EC452" i="4"/>
  <c r="EC453" i="4" s="1"/>
  <c r="EA453" i="4"/>
  <c r="EB439" i="4"/>
  <c r="EB444" i="4"/>
  <c r="EB445" i="4" s="1"/>
  <c r="EC879" i="4"/>
  <c r="EC921" i="4" s="1"/>
  <c r="EC423" i="4"/>
  <c r="EY371" i="4"/>
  <c r="EX371" i="4"/>
  <c r="EX372" i="4" s="1"/>
  <c r="EV397" i="4"/>
  <c r="EU397" i="4"/>
  <c r="EU398" i="4" s="1"/>
  <c r="ES398" i="4"/>
  <c r="EC932" i="4"/>
  <c r="DX640" i="2"/>
  <c r="DX330" i="2"/>
  <c r="DX345" i="2"/>
  <c r="DX328" i="2"/>
  <c r="DX329" i="2"/>
  <c r="EC938" i="4"/>
  <c r="EC781" i="4"/>
  <c r="EA91" i="4"/>
  <c r="EM312" i="4"/>
  <c r="EO312" i="4" s="1"/>
  <c r="EM281" i="4"/>
  <c r="EM282" i="4"/>
  <c r="EO280" i="4"/>
  <c r="EC450" i="4"/>
  <c r="EC451" i="4" s="1"/>
  <c r="EA451" i="4"/>
  <c r="DZ43" i="4"/>
  <c r="DY42" i="4"/>
  <c r="DY64" i="4"/>
  <c r="DY47" i="4"/>
  <c r="DY54" i="4"/>
  <c r="EC21" i="4"/>
  <c r="EA4" i="4"/>
  <c r="EC4" i="4" s="1"/>
  <c r="EC926" i="4"/>
  <c r="ES267" i="4"/>
  <c r="EA45" i="4"/>
  <c r="EA417" i="4"/>
  <c r="EC416" i="4"/>
  <c r="EC417" i="4" s="1"/>
  <c r="EA473" i="4"/>
  <c r="EC939" i="4"/>
  <c r="EC782" i="4"/>
  <c r="EC421" i="4"/>
  <c r="ES322" i="4"/>
  <c r="EU322" i="4" s="1"/>
  <c r="EV289" i="4"/>
  <c r="EU289" i="4"/>
  <c r="EU290" i="4" s="1"/>
  <c r="ES291" i="4"/>
  <c r="ER231" i="4"/>
  <c r="ER233" i="4" s="1"/>
  <c r="EP233" i="4"/>
  <c r="EP232" i="4"/>
  <c r="ER232" i="4" s="1"/>
  <c r="EM390" i="4"/>
  <c r="EO389" i="4"/>
  <c r="EO390" i="4" s="1"/>
  <c r="EA130" i="4"/>
  <c r="DY445" i="4"/>
  <c r="DZ444" i="4"/>
  <c r="DZ445" i="4" s="1"/>
  <c r="EB903" i="4"/>
  <c r="EB897" i="4"/>
  <c r="DY55" i="2"/>
  <c r="DZ56" i="2"/>
  <c r="O27" i="9"/>
  <c r="O28" i="9" s="1"/>
  <c r="DZ158" i="2"/>
  <c r="DZ151" i="2"/>
  <c r="DZ180" i="2"/>
  <c r="EC26" i="4"/>
  <c r="EC39" i="4" s="1"/>
  <c r="EA39" i="4"/>
  <c r="EC463" i="4"/>
  <c r="EC464" i="4" s="1"/>
  <c r="EA464" i="4"/>
  <c r="ED315" i="4"/>
  <c r="EF313" i="4"/>
  <c r="EF315" i="4" s="1"/>
  <c r="EA434" i="4"/>
  <c r="EC433" i="4"/>
  <c r="EC434" i="4" s="1"/>
  <c r="EP323" i="4"/>
  <c r="ER291" i="4"/>
  <c r="ER292" i="4" s="1"/>
  <c r="EP292" i="4"/>
  <c r="EP356" i="4"/>
  <c r="ER198" i="4"/>
  <c r="ER199" i="4" s="1"/>
  <c r="EP121" i="4"/>
  <c r="EP199" i="4"/>
  <c r="EP165" i="4"/>
  <c r="ER165" i="4" s="1"/>
  <c r="EF25" i="4"/>
  <c r="EF38" i="4" s="1"/>
  <c r="ED38" i="4"/>
  <c r="EC873" i="4"/>
  <c r="EC915" i="4" s="1"/>
  <c r="EA443" i="4"/>
  <c r="EC442" i="4"/>
  <c r="EC443" i="4" s="1"/>
  <c r="EM122" i="4"/>
  <c r="EM24" i="4"/>
  <c r="EM665" i="2"/>
  <c r="EO121" i="4"/>
  <c r="EC137" i="4"/>
  <c r="EC93" i="4" l="1"/>
  <c r="EC91" i="4"/>
  <c r="EC897" i="4"/>
  <c r="EC92" i="4"/>
  <c r="EC107" i="3"/>
  <c r="ED107" i="3"/>
  <c r="EE107" i="3" s="1"/>
  <c r="DZ110" i="3"/>
  <c r="DY109" i="3"/>
  <c r="DY110" i="3" s="1"/>
  <c r="DY17" i="3" s="1"/>
  <c r="EB470" i="4"/>
  <c r="EB475" i="4"/>
  <c r="EB476" i="4" s="1"/>
  <c r="DY180" i="2"/>
  <c r="EE244" i="4"/>
  <c r="EE256" i="4"/>
  <c r="EE438" i="4"/>
  <c r="EE442" i="4"/>
  <c r="EE443" i="4" s="1"/>
  <c r="EE416" i="4"/>
  <c r="DY476" i="4"/>
  <c r="DZ475" i="4"/>
  <c r="DZ476" i="4" s="1"/>
  <c r="EH242" i="4"/>
  <c r="ER217" i="4"/>
  <c r="EP218" i="4"/>
  <c r="ER218" i="4" s="1"/>
  <c r="EE44" i="4"/>
  <c r="EE471" i="4"/>
  <c r="EE472" i="4" s="1"/>
  <c r="EE348" i="4"/>
  <c r="EJ667" i="2"/>
  <c r="EJ25" i="4"/>
  <c r="EL124" i="4"/>
  <c r="EJ125" i="4"/>
  <c r="EA445" i="4"/>
  <c r="EC444" i="4"/>
  <c r="EC445" i="4" s="1"/>
  <c r="ES367" i="4"/>
  <c r="ES389" i="4"/>
  <c r="EU366" i="4"/>
  <c r="EO307" i="4"/>
  <c r="EO306" i="4"/>
  <c r="EP189" i="4"/>
  <c r="ER188" i="4"/>
  <c r="EP191" i="4"/>
  <c r="EP220" i="4"/>
  <c r="EB54" i="4"/>
  <c r="EB64" i="4"/>
  <c r="EB42" i="4"/>
  <c r="EB47" i="4"/>
  <c r="EU383" i="4"/>
  <c r="EO215" i="4"/>
  <c r="EO214" i="4"/>
  <c r="EC481" i="4"/>
  <c r="EA474" i="4"/>
  <c r="EC473" i="4"/>
  <c r="EC474" i="4" s="1"/>
  <c r="DY151" i="2"/>
  <c r="DY56" i="2"/>
  <c r="DY169" i="2"/>
  <c r="AG12" i="9"/>
  <c r="DY158" i="2"/>
  <c r="EC143" i="4"/>
  <c r="EC139" i="4"/>
  <c r="ES165" i="4"/>
  <c r="EU165" i="4" s="1"/>
  <c r="EU198" i="4"/>
  <c r="EU199" i="4" s="1"/>
  <c r="ES121" i="4"/>
  <c r="ES199" i="4"/>
  <c r="EC454" i="4"/>
  <c r="EC456" i="4" s="1"/>
  <c r="EA456" i="4"/>
  <c r="EC479" i="4"/>
  <c r="EC480" i="4" s="1"/>
  <c r="EA489" i="4"/>
  <c r="ER364" i="4"/>
  <c r="ER365" i="4" s="1"/>
  <c r="ER367" i="4"/>
  <c r="EA149" i="4"/>
  <c r="EM192" i="4"/>
  <c r="EO191" i="4"/>
  <c r="EO192" i="4" s="1"/>
  <c r="EY362" i="4"/>
  <c r="EV366" i="4"/>
  <c r="EV387" i="4"/>
  <c r="EX387" i="4" s="1"/>
  <c r="EX362" i="4"/>
  <c r="EX363" i="4" s="1"/>
  <c r="EV183" i="4"/>
  <c r="ES188" i="4"/>
  <c r="EU183" i="4"/>
  <c r="ES217" i="4"/>
  <c r="ES356" i="4"/>
  <c r="ER323" i="4"/>
  <c r="ER324" i="4" s="1"/>
  <c r="EP324" i="4"/>
  <c r="EU291" i="4"/>
  <c r="EU292" i="4" s="1"/>
  <c r="ES323" i="4"/>
  <c r="ES292" i="4"/>
  <c r="DY68" i="4"/>
  <c r="DY49" i="4"/>
  <c r="DY58" i="4"/>
  <c r="DZ47" i="4"/>
  <c r="EV398" i="4"/>
  <c r="EX397" i="4"/>
  <c r="EX398" i="4" s="1"/>
  <c r="EV198" i="4"/>
  <c r="EY196" i="4"/>
  <c r="EV231" i="4"/>
  <c r="EX196" i="4"/>
  <c r="EX197" i="4" s="1"/>
  <c r="ES309" i="4"/>
  <c r="ES280" i="4"/>
  <c r="EV275" i="4"/>
  <c r="EU275" i="4"/>
  <c r="EU276" i="4" s="1"/>
  <c r="EV175" i="4"/>
  <c r="EG315" i="4"/>
  <c r="EI313" i="4"/>
  <c r="EI315" i="4" s="1"/>
  <c r="EC134" i="4"/>
  <c r="P25" i="9"/>
  <c r="ER386" i="4"/>
  <c r="ER384" i="4"/>
  <c r="ER305" i="4"/>
  <c r="ER213" i="4"/>
  <c r="EI667" i="2"/>
  <c r="EI125" i="4"/>
  <c r="EV267" i="4"/>
  <c r="EA66" i="4"/>
  <c r="EA56" i="4"/>
  <c r="EC45" i="4"/>
  <c r="EU231" i="4"/>
  <c r="EU233" i="4" s="1"/>
  <c r="ES232" i="4"/>
  <c r="EU232" i="4" s="1"/>
  <c r="ES233" i="4"/>
  <c r="EP312" i="4"/>
  <c r="ER312" i="4" s="1"/>
  <c r="EP282" i="4"/>
  <c r="EP281" i="4"/>
  <c r="ER280" i="4"/>
  <c r="EA33" i="2"/>
  <c r="EA267" i="2"/>
  <c r="EA266" i="2" s="1"/>
  <c r="EA240" i="2"/>
  <c r="EA236" i="2" s="1"/>
  <c r="EA165" i="2"/>
  <c r="EA337" i="2"/>
  <c r="EA52" i="3"/>
  <c r="EA168" i="2"/>
  <c r="EA31" i="2"/>
  <c r="EA336" i="2"/>
  <c r="EA232" i="2"/>
  <c r="EA231" i="2" s="1"/>
  <c r="EA150" i="2"/>
  <c r="EA179" i="3"/>
  <c r="EA191" i="2" s="1"/>
  <c r="EA189" i="2" s="1"/>
  <c r="EP390" i="4"/>
  <c r="ER389" i="4"/>
  <c r="ER390" i="4" s="1"/>
  <c r="EM221" i="4"/>
  <c r="EO221" i="4" s="1"/>
  <c r="EO220" i="4"/>
  <c r="EO222" i="4" s="1"/>
  <c r="EM222" i="4"/>
  <c r="EI25" i="4"/>
  <c r="EI38" i="4" s="1"/>
  <c r="EG38" i="4"/>
  <c r="EC3" i="4"/>
  <c r="EA11" i="4"/>
  <c r="EX289" i="4"/>
  <c r="EX290" i="4" s="1"/>
  <c r="EV291" i="4"/>
  <c r="EV322" i="4"/>
  <c r="EX322" i="4" s="1"/>
  <c r="EY289" i="4"/>
  <c r="DY53" i="4"/>
  <c r="DY5" i="4"/>
  <c r="DZ5" i="4" s="1"/>
  <c r="DZ42" i="4"/>
  <c r="DZ53" i="4" s="1"/>
  <c r="EO281" i="4"/>
  <c r="EO277" i="4"/>
  <c r="DX629" i="2"/>
  <c r="DX631" i="2" s="1"/>
  <c r="FA371" i="4"/>
  <c r="FA372" i="4" s="1"/>
  <c r="EY397" i="4"/>
  <c r="DZ55" i="4"/>
  <c r="DZ65" i="4"/>
  <c r="EP310" i="4"/>
  <c r="ER310" i="4" s="1"/>
  <c r="ER309" i="4"/>
  <c r="EC252" i="4"/>
  <c r="EC254" i="4"/>
  <c r="EC34" i="4"/>
  <c r="EC71" i="4"/>
  <c r="EC30" i="2"/>
  <c r="EA175" i="2" s="1"/>
  <c r="EC484" i="4"/>
  <c r="EO189" i="4"/>
  <c r="EO185" i="4"/>
  <c r="EO122" i="4"/>
  <c r="EO665" i="2"/>
  <c r="EC130" i="4"/>
  <c r="EA326" i="4"/>
  <c r="EA131" i="4"/>
  <c r="EA235" i="4"/>
  <c r="EA400" i="4"/>
  <c r="EC400" i="4" s="1"/>
  <c r="EO24" i="4"/>
  <c r="EO37" i="4" s="1"/>
  <c r="EM37" i="4"/>
  <c r="EP122" i="4"/>
  <c r="EP665" i="2"/>
  <c r="ER121" i="4"/>
  <c r="EP24" i="4"/>
  <c r="DZ64" i="4"/>
  <c r="DZ54" i="4"/>
  <c r="EM283" i="4"/>
  <c r="EM284" i="4"/>
  <c r="EO282" i="4"/>
  <c r="EO283" i="4" s="1"/>
  <c r="EC465" i="4"/>
  <c r="EC466" i="4" s="1"/>
  <c r="EA466" i="4"/>
  <c r="EJ313" i="4"/>
  <c r="EJ285" i="4"/>
  <c r="EL284" i="4"/>
  <c r="EL285" i="4" s="1"/>
  <c r="EC487" i="4"/>
  <c r="EE143" i="4" l="1"/>
  <c r="EE142" i="4" s="1"/>
  <c r="EC11" i="4"/>
  <c r="DZ17" i="3"/>
  <c r="DZ75" i="2"/>
  <c r="EF107" i="3"/>
  <c r="EG107" i="3"/>
  <c r="EH107" i="3" s="1"/>
  <c r="ES310" i="4"/>
  <c r="EU310" i="4" s="1"/>
  <c r="EU309" i="4"/>
  <c r="EE65" i="4"/>
  <c r="EE55" i="4"/>
  <c r="ER122" i="4"/>
  <c r="ER665" i="2"/>
  <c r="EV233" i="4"/>
  <c r="EV232" i="4"/>
  <c r="EX232" i="4" s="1"/>
  <c r="EX231" i="4"/>
  <c r="EX233" i="4" s="1"/>
  <c r="ED481" i="4"/>
  <c r="EE137" i="4"/>
  <c r="EG137" i="4" s="1"/>
  <c r="EH137" i="4" s="1"/>
  <c r="EJ137" i="4" s="1"/>
  <c r="EK137" i="4" s="1"/>
  <c r="EM137" i="4" s="1"/>
  <c r="EN137" i="4" s="1"/>
  <c r="EP137" i="4" s="1"/>
  <c r="EQ137" i="4" s="1"/>
  <c r="ES137" i="4" s="1"/>
  <c r="ET137" i="4" s="1"/>
  <c r="EV137" i="4" s="1"/>
  <c r="EW137" i="4" s="1"/>
  <c r="EY137" i="4" s="1"/>
  <c r="EZ137" i="4" s="1"/>
  <c r="EU384" i="4"/>
  <c r="EU213" i="4"/>
  <c r="EU305" i="4"/>
  <c r="EU386" i="4"/>
  <c r="EU364" i="4"/>
  <c r="EU365" i="4" s="1"/>
  <c r="EU367" i="4"/>
  <c r="EJ242" i="4"/>
  <c r="EC131" i="4"/>
  <c r="EY198" i="4"/>
  <c r="EY231" i="4"/>
  <c r="FA196" i="4"/>
  <c r="FA197" i="4" s="1"/>
  <c r="ES390" i="4"/>
  <c r="EU389" i="4"/>
  <c r="EU390" i="4" s="1"/>
  <c r="EC326" i="4"/>
  <c r="EA328" i="4"/>
  <c r="ER306" i="4"/>
  <c r="ER307" i="4"/>
  <c r="EP37" i="4"/>
  <c r="ER24" i="4"/>
  <c r="ER37" i="4" s="1"/>
  <c r="EC267" i="2"/>
  <c r="EC33" i="2"/>
  <c r="EC336" i="2"/>
  <c r="EC52" i="3"/>
  <c r="EC337" i="2"/>
  <c r="EC31" i="2"/>
  <c r="EC165" i="2"/>
  <c r="EC240" i="2"/>
  <c r="EB30" i="2"/>
  <c r="EC150" i="2"/>
  <c r="EC232" i="2"/>
  <c r="EC179" i="3"/>
  <c r="EC191" i="2" s="1"/>
  <c r="EY398" i="4"/>
  <c r="FA397" i="4"/>
  <c r="FA398" i="4" s="1"/>
  <c r="EA205" i="2"/>
  <c r="EA220" i="2"/>
  <c r="EA287" i="2"/>
  <c r="EA335" i="2"/>
  <c r="EA342" i="2"/>
  <c r="EA167" i="3"/>
  <c r="EC66" i="4"/>
  <c r="EC56" i="4"/>
  <c r="EV121" i="4"/>
  <c r="EX198" i="4"/>
  <c r="EX199" i="4" s="1"/>
  <c r="EV199" i="4"/>
  <c r="EV165" i="4"/>
  <c r="EX165" i="4" s="1"/>
  <c r="EB58" i="4"/>
  <c r="EB49" i="4"/>
  <c r="EB68" i="4"/>
  <c r="EV356" i="4"/>
  <c r="EA150" i="4"/>
  <c r="EA154" i="4"/>
  <c r="EB53" i="4"/>
  <c r="EB5" i="4"/>
  <c r="EA333" i="2"/>
  <c r="EA614" i="2"/>
  <c r="EA185" i="2"/>
  <c r="EA165" i="3"/>
  <c r="EA341" i="2"/>
  <c r="EX383" i="4"/>
  <c r="EU323" i="4"/>
  <c r="EU324" i="4" s="1"/>
  <c r="ES324" i="4"/>
  <c r="EJ315" i="4"/>
  <c r="EL313" i="4"/>
  <c r="EL315" i="4" s="1"/>
  <c r="DX343" i="2"/>
  <c r="DX634" i="2"/>
  <c r="DX636" i="2" s="1"/>
  <c r="DX639" i="2" s="1"/>
  <c r="DX642" i="2" s="1"/>
  <c r="DX644" i="2" s="1"/>
  <c r="DX346" i="2" s="1"/>
  <c r="EY291" i="4"/>
  <c r="FA289" i="4"/>
  <c r="FA290" i="4" s="1"/>
  <c r="EY322" i="4"/>
  <c r="FA322" i="4" s="1"/>
  <c r="P24" i="9"/>
  <c r="EY175" i="4"/>
  <c r="DZ68" i="4"/>
  <c r="DZ58" i="4"/>
  <c r="ES218" i="4"/>
  <c r="EU218" i="4" s="1"/>
  <c r="EU217" i="4"/>
  <c r="EV389" i="4"/>
  <c r="EV367" i="4"/>
  <c r="EX366" i="4"/>
  <c r="ES24" i="4"/>
  <c r="EU121" i="4"/>
  <c r="ES122" i="4"/>
  <c r="EE444" i="4"/>
  <c r="EE445" i="4" s="1"/>
  <c r="EE439" i="4"/>
  <c r="EE473" i="4"/>
  <c r="EE474" i="4" s="1"/>
  <c r="EE45" i="4"/>
  <c r="EE417" i="4"/>
  <c r="EY267" i="4"/>
  <c r="EY387" i="4"/>
  <c r="FA387" i="4" s="1"/>
  <c r="EY366" i="4"/>
  <c r="FA362" i="4"/>
  <c r="FA363" i="4" s="1"/>
  <c r="EA157" i="4"/>
  <c r="EC157" i="4" s="1"/>
  <c r="EC489" i="4"/>
  <c r="EA46" i="4"/>
  <c r="ER220" i="4"/>
  <c r="ER222" i="4" s="1"/>
  <c r="EP221" i="4"/>
  <c r="ER221" i="4" s="1"/>
  <c r="EP222" i="4"/>
  <c r="EL125" i="4"/>
  <c r="EL667" i="2"/>
  <c r="EE43" i="4"/>
  <c r="EE469" i="4"/>
  <c r="EE257" i="4"/>
  <c r="EM313" i="4"/>
  <c r="EM285" i="4"/>
  <c r="EO284" i="4"/>
  <c r="EO285" i="4" s="1"/>
  <c r="EX291" i="4"/>
  <c r="EX292" i="4" s="1"/>
  <c r="EV292" i="4"/>
  <c r="EV323" i="4"/>
  <c r="DY51" i="4"/>
  <c r="DY60" i="4"/>
  <c r="DY70" i="4"/>
  <c r="DZ49" i="4"/>
  <c r="ES220" i="4"/>
  <c r="ES189" i="4"/>
  <c r="EU188" i="4"/>
  <c r="ES191" i="4"/>
  <c r="ER191" i="4"/>
  <c r="ER192" i="4" s="1"/>
  <c r="EP192" i="4"/>
  <c r="EL25" i="4"/>
  <c r="EL38" i="4" s="1"/>
  <c r="EJ38" i="4"/>
  <c r="EP284" i="4"/>
  <c r="EP283" i="4"/>
  <c r="ER282" i="4"/>
  <c r="ER283" i="4" s="1"/>
  <c r="EA334" i="2"/>
  <c r="EA166" i="3"/>
  <c r="EA338" i="2"/>
  <c r="EA50" i="3"/>
  <c r="EA49" i="3"/>
  <c r="P41" i="9"/>
  <c r="P26" i="9"/>
  <c r="EY275" i="4"/>
  <c r="EV309" i="4"/>
  <c r="EV280" i="4"/>
  <c r="EX275" i="4"/>
  <c r="EX276" i="4" s="1"/>
  <c r="EV217" i="4"/>
  <c r="EX183" i="4"/>
  <c r="EY183" i="4"/>
  <c r="EV188" i="4"/>
  <c r="EM124" i="4"/>
  <c r="EC140" i="4"/>
  <c r="EB139" i="4"/>
  <c r="ER185" i="4"/>
  <c r="ER189" i="4"/>
  <c r="EC235" i="4"/>
  <c r="EA237" i="4"/>
  <c r="ER277" i="4"/>
  <c r="ER281" i="4"/>
  <c r="ER214" i="4"/>
  <c r="ER215" i="4"/>
  <c r="ES312" i="4"/>
  <c r="EU312" i="4" s="1"/>
  <c r="ES281" i="4"/>
  <c r="ES282" i="4"/>
  <c r="EU280" i="4"/>
  <c r="EI107" i="3" l="1"/>
  <c r="EJ107" i="3"/>
  <c r="EK107" i="3" s="1"/>
  <c r="DZ35" i="2"/>
  <c r="DY75" i="2"/>
  <c r="DY181" i="2" s="1"/>
  <c r="DZ181" i="2" s="1"/>
  <c r="DZ74" i="2"/>
  <c r="EE47" i="4"/>
  <c r="EE42" i="4"/>
  <c r="EE64" i="4"/>
  <c r="EE54" i="4"/>
  <c r="FA291" i="4"/>
  <c r="FA292" i="4" s="1"/>
  <c r="EY292" i="4"/>
  <c r="EY323" i="4"/>
  <c r="EE56" i="4"/>
  <c r="EE66" i="4"/>
  <c r="EB51" i="4"/>
  <c r="EB70" i="4"/>
  <c r="EB60" i="4"/>
  <c r="EB52" i="3"/>
  <c r="EB168" i="2"/>
  <c r="EB165" i="2"/>
  <c r="EB150" i="2"/>
  <c r="EB337" i="2"/>
  <c r="EB336" i="2"/>
  <c r="EB175" i="2"/>
  <c r="EB31" i="2"/>
  <c r="EB11" i="4"/>
  <c r="EA48" i="3"/>
  <c r="EA65" i="2"/>
  <c r="EU185" i="4"/>
  <c r="EU189" i="4"/>
  <c r="EX323" i="4"/>
  <c r="EX324" i="4" s="1"/>
  <c r="EV324" i="4"/>
  <c r="EV122" i="4"/>
  <c r="EX121" i="4"/>
  <c r="EV24" i="4"/>
  <c r="EB240" i="2"/>
  <c r="EC236" i="2"/>
  <c r="EV310" i="4"/>
  <c r="EX310" i="4" s="1"/>
  <c r="EX309" i="4"/>
  <c r="EP285" i="4"/>
  <c r="EP313" i="4"/>
  <c r="ER284" i="4"/>
  <c r="ER285" i="4" s="1"/>
  <c r="EA305" i="2"/>
  <c r="EA630" i="2"/>
  <c r="EY309" i="4"/>
  <c r="EY280" i="4"/>
  <c r="FA275" i="4"/>
  <c r="FA276" i="4" s="1"/>
  <c r="EU220" i="4"/>
  <c r="EU222" i="4" s="1"/>
  <c r="ES221" i="4"/>
  <c r="EU221" i="4" s="1"/>
  <c r="ES222" i="4"/>
  <c r="EU122" i="4"/>
  <c r="EU306" i="4"/>
  <c r="EU307" i="4"/>
  <c r="EA57" i="4"/>
  <c r="EC46" i="4"/>
  <c r="EC57" i="4" s="1"/>
  <c r="ES37" i="4"/>
  <c r="EU24" i="4"/>
  <c r="EU37" i="4" s="1"/>
  <c r="EU214" i="4"/>
  <c r="EU215" i="4"/>
  <c r="EB149" i="4"/>
  <c r="EB140" i="4"/>
  <c r="EX367" i="4"/>
  <c r="EX364" i="4"/>
  <c r="EX365" i="4" s="1"/>
  <c r="EA160" i="4"/>
  <c r="EA155" i="4"/>
  <c r="EY232" i="4"/>
  <c r="FA232" i="4" s="1"/>
  <c r="FA231" i="4"/>
  <c r="FA233" i="4" s="1"/>
  <c r="EY233" i="4"/>
  <c r="EX188" i="4"/>
  <c r="EV220" i="4"/>
  <c r="EV191" i="4"/>
  <c r="EV189" i="4"/>
  <c r="DZ60" i="4"/>
  <c r="DZ70" i="4"/>
  <c r="EC328" i="4"/>
  <c r="EC329" i="4" s="1"/>
  <c r="EA347" i="4"/>
  <c r="EA431" i="4"/>
  <c r="EA329" i="4"/>
  <c r="FA198" i="4"/>
  <c r="FA199" i="4" s="1"/>
  <c r="EY121" i="4"/>
  <c r="EY199" i="4"/>
  <c r="EY165" i="4"/>
  <c r="FA165" i="4" s="1"/>
  <c r="EA59" i="2"/>
  <c r="EU191" i="4"/>
  <c r="EU192" i="4" s="1"/>
  <c r="ES192" i="4"/>
  <c r="EU277" i="4"/>
  <c r="EU281" i="4"/>
  <c r="EV312" i="4"/>
  <c r="EX312" i="4" s="1"/>
  <c r="EV281" i="4"/>
  <c r="EV282" i="4"/>
  <c r="EX280" i="4"/>
  <c r="EA340" i="2"/>
  <c r="EA339" i="2"/>
  <c r="EA256" i="4"/>
  <c r="EA429" i="4"/>
  <c r="EA238" i="4"/>
  <c r="EC237" i="4"/>
  <c r="EC238" i="4" s="1"/>
  <c r="EV390" i="4"/>
  <c r="EX389" i="4"/>
  <c r="EX390" i="4" s="1"/>
  <c r="EK242" i="4"/>
  <c r="EE481" i="4"/>
  <c r="EE136" i="4"/>
  <c r="EY389" i="4"/>
  <c r="EY367" i="4"/>
  <c r="FA366" i="4"/>
  <c r="EX305" i="4"/>
  <c r="EX386" i="4"/>
  <c r="EX384" i="4"/>
  <c r="EX213" i="4"/>
  <c r="EB33" i="2"/>
  <c r="ES283" i="4"/>
  <c r="ES284" i="4"/>
  <c r="EU282" i="4"/>
  <c r="EU283" i="4" s="1"/>
  <c r="EM315" i="4"/>
  <c r="EO313" i="4"/>
  <c r="EO315" i="4" s="1"/>
  <c r="EP124" i="4"/>
  <c r="DY72" i="4"/>
  <c r="DY62" i="4"/>
  <c r="DZ51" i="4"/>
  <c r="DY6" i="4"/>
  <c r="DZ6" i="4" s="1"/>
  <c r="FA383" i="4"/>
  <c r="EY356" i="4"/>
  <c r="EB191" i="2"/>
  <c r="EB179" i="3" s="1"/>
  <c r="EC189" i="2"/>
  <c r="EC266" i="2"/>
  <c r="EB267" i="2"/>
  <c r="EM25" i="4"/>
  <c r="EO124" i="4"/>
  <c r="EM667" i="2"/>
  <c r="EM125" i="4"/>
  <c r="EY188" i="4"/>
  <c r="FA183" i="4"/>
  <c r="EY217" i="4"/>
  <c r="EV218" i="4"/>
  <c r="EX218" i="4" s="1"/>
  <c r="EX217" i="4"/>
  <c r="EE475" i="4"/>
  <c r="EE476" i="4" s="1"/>
  <c r="EE470" i="4"/>
  <c r="EC231" i="2"/>
  <c r="EB232" i="2"/>
  <c r="AE24" i="9" l="1"/>
  <c r="DZ79" i="2"/>
  <c r="DY74" i="2"/>
  <c r="DZ331" i="2"/>
  <c r="DZ479" i="2"/>
  <c r="DZ480" i="2" s="1"/>
  <c r="O31" i="9"/>
  <c r="O32" i="9" s="1"/>
  <c r="DY35" i="2"/>
  <c r="DZ34" i="2"/>
  <c r="EM107" i="3"/>
  <c r="EN107" i="3" s="1"/>
  <c r="EL107" i="3"/>
  <c r="EY310" i="4"/>
  <c r="FA310" i="4" s="1"/>
  <c r="FA309" i="4"/>
  <c r="EP315" i="4"/>
  <c r="ER313" i="4"/>
  <c r="ER315" i="4" s="1"/>
  <c r="AF46" i="9"/>
  <c r="EB236" i="2"/>
  <c r="EC334" i="2"/>
  <c r="EC338" i="2"/>
  <c r="EC166" i="3"/>
  <c r="EE5" i="4"/>
  <c r="EE53" i="4"/>
  <c r="EM38" i="4"/>
  <c r="EO25" i="4"/>
  <c r="EO38" i="4" s="1"/>
  <c r="EC256" i="4"/>
  <c r="EC257" i="4" s="1"/>
  <c r="EA257" i="4"/>
  <c r="EA43" i="4"/>
  <c r="EA469" i="4"/>
  <c r="EV37" i="4"/>
  <c r="EX24" i="4"/>
  <c r="EX37" i="4" s="1"/>
  <c r="EA64" i="2"/>
  <c r="EA62" i="2" s="1"/>
  <c r="EA27" i="3" s="1"/>
  <c r="EA262" i="2"/>
  <c r="EE49" i="4"/>
  <c r="EE58" i="4"/>
  <c r="EE68" i="4"/>
  <c r="EC429" i="4"/>
  <c r="EC430" i="4" s="1"/>
  <c r="EA430" i="4"/>
  <c r="EA435" i="4"/>
  <c r="EX122" i="4"/>
  <c r="FA384" i="4"/>
  <c r="FA213" i="4"/>
  <c r="FA386" i="4"/>
  <c r="FA305" i="4"/>
  <c r="EV192" i="4"/>
  <c r="EX191" i="4"/>
  <c r="EX192" i="4" s="1"/>
  <c r="EO125" i="4"/>
  <c r="EO667" i="2"/>
  <c r="EV221" i="4"/>
  <c r="EX221" i="4" s="1"/>
  <c r="EX220" i="4"/>
  <c r="EX222" i="4" s="1"/>
  <c r="EV222" i="4"/>
  <c r="EA161" i="4"/>
  <c r="EA7" i="4"/>
  <c r="EB49" i="3"/>
  <c r="EC49" i="3" s="1"/>
  <c r="EB50" i="3"/>
  <c r="EC50" i="3" s="1"/>
  <c r="EY390" i="4"/>
  <c r="FA389" i="4"/>
  <c r="FA390" i="4" s="1"/>
  <c r="EP25" i="4"/>
  <c r="ER124" i="4"/>
  <c r="EP667" i="2"/>
  <c r="EP125" i="4"/>
  <c r="EA432" i="4"/>
  <c r="EC431" i="4"/>
  <c r="EC432" i="4" s="1"/>
  <c r="EX185" i="4"/>
  <c r="EX189" i="4"/>
  <c r="ES313" i="4"/>
  <c r="ES285" i="4"/>
  <c r="EU284" i="4"/>
  <c r="EU285" i="4" s="1"/>
  <c r="EA44" i="4"/>
  <c r="EA348" i="4"/>
  <c r="EA471" i="4"/>
  <c r="EC347" i="4"/>
  <c r="EC348" i="4" s="1"/>
  <c r="EX307" i="4"/>
  <c r="EX306" i="4"/>
  <c r="DZ72" i="4"/>
  <c r="DZ62" i="4"/>
  <c r="EM242" i="4"/>
  <c r="FA121" i="4"/>
  <c r="EY122" i="4"/>
  <c r="EY24" i="4"/>
  <c r="EB266" i="2"/>
  <c r="EC335" i="2"/>
  <c r="EC287" i="2"/>
  <c r="EC167" i="3"/>
  <c r="EC342" i="2"/>
  <c r="EB189" i="2"/>
  <c r="EC205" i="2"/>
  <c r="EC220" i="2"/>
  <c r="EB220" i="2" s="1"/>
  <c r="AF31" i="9"/>
  <c r="ES124" i="4"/>
  <c r="EB154" i="4"/>
  <c r="EB150" i="4"/>
  <c r="EC149" i="4"/>
  <c r="EC150" i="4" s="1"/>
  <c r="EB72" i="4"/>
  <c r="EB62" i="4"/>
  <c r="EB6" i="4"/>
  <c r="FA323" i="4"/>
  <c r="FA324" i="4" s="1"/>
  <c r="EY324" i="4"/>
  <c r="EY218" i="4"/>
  <c r="FA218" i="4" s="1"/>
  <c r="FA217" i="4"/>
  <c r="EX215" i="4"/>
  <c r="EX214" i="4"/>
  <c r="EX281" i="4"/>
  <c r="EX277" i="4"/>
  <c r="EA57" i="2"/>
  <c r="EC185" i="2"/>
  <c r="EC333" i="2"/>
  <c r="EC614" i="2"/>
  <c r="AF45" i="9"/>
  <c r="EB231" i="2"/>
  <c r="EC341" i="2"/>
  <c r="EC165" i="3"/>
  <c r="EV283" i="4"/>
  <c r="EV284" i="4"/>
  <c r="EX282" i="4"/>
  <c r="EX283" i="4" s="1"/>
  <c r="FA188" i="4"/>
  <c r="EY220" i="4"/>
  <c r="EY189" i="4"/>
  <c r="EY191" i="4"/>
  <c r="FA367" i="4"/>
  <c r="FA364" i="4"/>
  <c r="FA365" i="4" s="1"/>
  <c r="EY281" i="4"/>
  <c r="EY282" i="4"/>
  <c r="EY312" i="4"/>
  <c r="FA312" i="4" s="1"/>
  <c r="FA280" i="4"/>
  <c r="DY479" i="2" l="1"/>
  <c r="DY480" i="2" s="1"/>
  <c r="DY331" i="2"/>
  <c r="DZ135" i="3"/>
  <c r="DZ137" i="3" s="1"/>
  <c r="DY79" i="2"/>
  <c r="DZ151" i="3"/>
  <c r="DZ80" i="2"/>
  <c r="DZ84" i="2" s="1"/>
  <c r="EP107" i="3"/>
  <c r="EQ107" i="3" s="1"/>
  <c r="EO107" i="3"/>
  <c r="DY34" i="2"/>
  <c r="DZ42" i="2"/>
  <c r="EA179" i="2"/>
  <c r="EA26" i="3"/>
  <c r="EA28" i="3" s="1"/>
  <c r="EA180" i="3"/>
  <c r="EB160" i="4"/>
  <c r="EB155" i="4"/>
  <c r="EC154" i="4"/>
  <c r="EC155" i="4" s="1"/>
  <c r="EY37" i="4"/>
  <c r="FA24" i="4"/>
  <c r="FA37" i="4" s="1"/>
  <c r="EV124" i="4"/>
  <c r="EE51" i="4"/>
  <c r="EE70" i="4"/>
  <c r="EE60" i="4"/>
  <c r="EB334" i="2"/>
  <c r="EB166" i="3"/>
  <c r="EB338" i="2"/>
  <c r="EY283" i="4"/>
  <c r="EY284" i="4"/>
  <c r="EY124" i="4" s="1"/>
  <c r="FA282" i="4"/>
  <c r="FA283" i="4" s="1"/>
  <c r="EB614" i="2"/>
  <c r="EB333" i="2"/>
  <c r="EB165" i="3"/>
  <c r="EB341" i="2"/>
  <c r="FA122" i="4"/>
  <c r="EA8" i="4"/>
  <c r="EA72" i="2"/>
  <c r="FA191" i="4"/>
  <c r="FA192" i="4" s="1"/>
  <c r="EY192" i="4"/>
  <c r="EU124" i="4"/>
  <c r="ES125" i="4"/>
  <c r="ES25" i="4"/>
  <c r="FA306" i="4"/>
  <c r="FA307" i="4"/>
  <c r="ES315" i="4"/>
  <c r="EU313" i="4"/>
  <c r="EU315" i="4" s="1"/>
  <c r="ER667" i="2"/>
  <c r="ER125" i="4"/>
  <c r="FA215" i="4"/>
  <c r="FA214" i="4"/>
  <c r="EA436" i="4"/>
  <c r="EC435" i="4"/>
  <c r="EC436" i="4" s="1"/>
  <c r="EC469" i="4"/>
  <c r="EC470" i="4" s="1"/>
  <c r="EA470" i="4"/>
  <c r="EA475" i="4"/>
  <c r="EB287" i="2"/>
  <c r="EB630" i="2" s="1"/>
  <c r="EC305" i="2"/>
  <c r="EC630" i="2"/>
  <c r="EB185" i="2"/>
  <c r="AF28" i="9"/>
  <c r="EB205" i="2"/>
  <c r="AF35" i="9"/>
  <c r="EP38" i="4"/>
  <c r="ER25" i="4"/>
  <c r="ER38" i="4" s="1"/>
  <c r="EC43" i="4"/>
  <c r="EA54" i="4"/>
  <c r="EA64" i="4"/>
  <c r="EA42" i="4"/>
  <c r="EA47" i="4"/>
  <c r="EA472" i="4"/>
  <c r="EC471" i="4"/>
  <c r="EC472" i="4" s="1"/>
  <c r="EC54" i="3"/>
  <c r="EC65" i="2"/>
  <c r="EC340" i="2"/>
  <c r="EC339" i="2"/>
  <c r="FA189" i="4"/>
  <c r="FA185" i="4"/>
  <c r="EN242" i="4"/>
  <c r="EC59" i="2"/>
  <c r="EC53" i="3"/>
  <c r="EC48" i="3"/>
  <c r="EB48" i="3" s="1"/>
  <c r="EC44" i="4"/>
  <c r="EA65" i="4"/>
  <c r="EA55" i="4"/>
  <c r="EY221" i="4"/>
  <c r="FA221" i="4" s="1"/>
  <c r="FA220" i="4"/>
  <c r="FA222" i="4" s="1"/>
  <c r="EY222" i="4"/>
  <c r="FA281" i="4"/>
  <c r="FA277" i="4"/>
  <c r="EV313" i="4"/>
  <c r="EV285" i="4"/>
  <c r="EX284" i="4"/>
  <c r="EX285" i="4" s="1"/>
  <c r="EB335" i="2"/>
  <c r="EB167" i="3"/>
  <c r="EB342" i="2"/>
  <c r="DY42" i="2" l="1"/>
  <c r="DZ475" i="2"/>
  <c r="DZ53" i="2"/>
  <c r="DZ43" i="2" s="1"/>
  <c r="DZ155" i="2"/>
  <c r="DZ90" i="2"/>
  <c r="DZ115" i="2"/>
  <c r="DZ10" i="2"/>
  <c r="DZ11" i="2" s="1"/>
  <c r="DY84" i="2"/>
  <c r="DZ319" i="2" s="1"/>
  <c r="DZ163" i="2"/>
  <c r="O33" i="9"/>
  <c r="DY80" i="2"/>
  <c r="DY183" i="2" s="1"/>
  <c r="DZ618" i="2"/>
  <c r="DZ81" i="2"/>
  <c r="DZ148" i="3"/>
  <c r="DZ152" i="3"/>
  <c r="ER107" i="3"/>
  <c r="ES107" i="3"/>
  <c r="ET107" i="3" s="1"/>
  <c r="DY151" i="3"/>
  <c r="DY148" i="3" s="1"/>
  <c r="DY135" i="3"/>
  <c r="DY137" i="3" s="1"/>
  <c r="EC55" i="4"/>
  <c r="EC65" i="4"/>
  <c r="EB59" i="2"/>
  <c r="EC57" i="2"/>
  <c r="EB65" i="2"/>
  <c r="EC64" i="2"/>
  <c r="EC262" i="2"/>
  <c r="EU25" i="4"/>
  <c r="EU38" i="4" s="1"/>
  <c r="ES38" i="4"/>
  <c r="EB161" i="4"/>
  <c r="EB7" i="4"/>
  <c r="EC160" i="4"/>
  <c r="EP242" i="4"/>
  <c r="EB305" i="2"/>
  <c r="AF61" i="9"/>
  <c r="AF60" i="9" s="1"/>
  <c r="EE72" i="4"/>
  <c r="EE62" i="4"/>
  <c r="EE6" i="4"/>
  <c r="EA58" i="4"/>
  <c r="EA68" i="4"/>
  <c r="EC47" i="4"/>
  <c r="EA49" i="4"/>
  <c r="EU125" i="4"/>
  <c r="EV125" i="4"/>
  <c r="EV25" i="4"/>
  <c r="EX124" i="4"/>
  <c r="EA5" i="4"/>
  <c r="EC5" i="4" s="1"/>
  <c r="EA53" i="4"/>
  <c r="EC42" i="4"/>
  <c r="EC53" i="4" s="1"/>
  <c r="EY125" i="4"/>
  <c r="FA124" i="4"/>
  <c r="EY25" i="4"/>
  <c r="EB340" i="2"/>
  <c r="EB339" i="2"/>
  <c r="EC475" i="4"/>
  <c r="EC476" i="4" s="1"/>
  <c r="EA476" i="4"/>
  <c r="EC64" i="4"/>
  <c r="EC54" i="4"/>
  <c r="EA68" i="2"/>
  <c r="EA178" i="2"/>
  <c r="EA172" i="2"/>
  <c r="EA154" i="2"/>
  <c r="EA161" i="2"/>
  <c r="EA73" i="2"/>
  <c r="EA4" i="3"/>
  <c r="EA10" i="3" s="1"/>
  <c r="EV315" i="4"/>
  <c r="EX313" i="4"/>
  <c r="EX315" i="4" s="1"/>
  <c r="EA12" i="4"/>
  <c r="EY285" i="4"/>
  <c r="EY313" i="4"/>
  <c r="FA284" i="4"/>
  <c r="FA285" i="4" s="1"/>
  <c r="DZ183" i="2" l="1"/>
  <c r="DZ463" i="2" s="1"/>
  <c r="DY184" i="2"/>
  <c r="DZ188" i="2" s="1"/>
  <c r="DY475" i="2"/>
  <c r="AG11" i="9"/>
  <c r="DY53" i="2"/>
  <c r="DZ619" i="2"/>
  <c r="DZ620" i="2"/>
  <c r="DY155" i="2"/>
  <c r="DY174" i="2"/>
  <c r="DY10" i="2"/>
  <c r="DY163" i="2"/>
  <c r="DY618" i="2"/>
  <c r="DY81" i="2"/>
  <c r="DZ27" i="2"/>
  <c r="O11" i="9"/>
  <c r="O34" i="9"/>
  <c r="O36" i="9"/>
  <c r="O43" i="9" s="1"/>
  <c r="DZ13" i="2"/>
  <c r="DZ14" i="2" s="1"/>
  <c r="DZ139" i="2"/>
  <c r="DY115" i="2"/>
  <c r="DY463" i="2"/>
  <c r="DZ156" i="2"/>
  <c r="DZ5" i="3"/>
  <c r="DZ11" i="3" s="1"/>
  <c r="DZ91" i="2"/>
  <c r="DY91" i="2" s="1"/>
  <c r="DZ344" i="2"/>
  <c r="O45" i="9" s="1"/>
  <c r="DY90" i="2"/>
  <c r="DZ202" i="3"/>
  <c r="DZ147" i="2"/>
  <c r="DZ162" i="2"/>
  <c r="EV107" i="3"/>
  <c r="EW107" i="3" s="1"/>
  <c r="EU107" i="3"/>
  <c r="DY152" i="3"/>
  <c r="EA150" i="3"/>
  <c r="EC150" i="3"/>
  <c r="DY43" i="2"/>
  <c r="DY476" i="2" s="1"/>
  <c r="DZ476" i="2"/>
  <c r="DZ477" i="2" s="1"/>
  <c r="EB262" i="2"/>
  <c r="AF53" i="9"/>
  <c r="EB64" i="2"/>
  <c r="EC62" i="2"/>
  <c r="EG481" i="4"/>
  <c r="EQ242" i="4"/>
  <c r="EY315" i="4"/>
  <c r="FA313" i="4"/>
  <c r="FA315" i="4" s="1"/>
  <c r="EX125" i="4"/>
  <c r="FA25" i="4"/>
  <c r="EY38" i="4"/>
  <c r="EX25" i="4"/>
  <c r="EX38" i="4" s="1"/>
  <c r="EV38" i="4"/>
  <c r="FA125" i="4"/>
  <c r="EC49" i="4"/>
  <c r="EA51" i="4"/>
  <c r="EA70" i="4"/>
  <c r="EA60" i="4"/>
  <c r="EA153" i="2"/>
  <c r="EA171" i="2"/>
  <c r="EA69" i="2"/>
  <c r="EA160" i="2"/>
  <c r="EA60" i="2"/>
  <c r="EC68" i="4"/>
  <c r="EC58" i="4"/>
  <c r="EC161" i="4"/>
  <c r="EC7" i="4"/>
  <c r="EB57" i="2"/>
  <c r="EC26" i="3"/>
  <c r="EC180" i="3"/>
  <c r="EB8" i="4"/>
  <c r="DZ621" i="2" l="1"/>
  <c r="DZ622" i="2" s="1"/>
  <c r="DZ184" i="2"/>
  <c r="DY477" i="2"/>
  <c r="DY478" i="2" s="1"/>
  <c r="AE26" i="9"/>
  <c r="AE27" i="9" s="1"/>
  <c r="DZ478" i="2"/>
  <c r="DZ481" i="2"/>
  <c r="DZ482" i="2" s="1"/>
  <c r="O13" i="9"/>
  <c r="EX107" i="3"/>
  <c r="EY107" i="3"/>
  <c r="EZ107" i="3" s="1"/>
  <c r="FA107" i="3" s="1"/>
  <c r="DY11" i="2"/>
  <c r="AG14" i="9"/>
  <c r="DY13" i="2"/>
  <c r="DY14" i="2" s="1"/>
  <c r="AG15" i="9"/>
  <c r="DZ140" i="2"/>
  <c r="DZ472" i="2"/>
  <c r="DZ143" i="2"/>
  <c r="DY139" i="2"/>
  <c r="DY214" i="2"/>
  <c r="AE37" i="9"/>
  <c r="DZ144" i="2"/>
  <c r="DZ214" i="2"/>
  <c r="AE40" i="9" s="1"/>
  <c r="DY619" i="2"/>
  <c r="DY620" i="2"/>
  <c r="AG16" i="9"/>
  <c r="AG19" i="9"/>
  <c r="DY173" i="2"/>
  <c r="DY5" i="3"/>
  <c r="DY11" i="3" s="1"/>
  <c r="DY156" i="2"/>
  <c r="DY344" i="2"/>
  <c r="DY202" i="3"/>
  <c r="DY162" i="2"/>
  <c r="DY147" i="2"/>
  <c r="EH481" i="4"/>
  <c r="EB62" i="2"/>
  <c r="EB27" i="3" s="1"/>
  <c r="EC27" i="3"/>
  <c r="EC28" i="3" s="1"/>
  <c r="EA617" i="2"/>
  <c r="EA159" i="2"/>
  <c r="EA170" i="2"/>
  <c r="EA152" i="2"/>
  <c r="EA61" i="2"/>
  <c r="EA55" i="2"/>
  <c r="EB26" i="3"/>
  <c r="EB180" i="3"/>
  <c r="EA62" i="4"/>
  <c r="EC51" i="4"/>
  <c r="EA72" i="4"/>
  <c r="EA6" i="4"/>
  <c r="EC6" i="4" s="1"/>
  <c r="FA38" i="4"/>
  <c r="EC179" i="2"/>
  <c r="EC70" i="4"/>
  <c r="EC60" i="4"/>
  <c r="ES242" i="4"/>
  <c r="EC8" i="4"/>
  <c r="EC72" i="2"/>
  <c r="EC12" i="4" s="1"/>
  <c r="DY481" i="2" l="1"/>
  <c r="DY482" i="2" s="1"/>
  <c r="DY483" i="2" s="1"/>
  <c r="DY484" i="2" s="1"/>
  <c r="DY485" i="2" s="1"/>
  <c r="DY621" i="2"/>
  <c r="DY622" i="2" s="1"/>
  <c r="O37" i="9"/>
  <c r="DY144" i="2"/>
  <c r="DY472" i="2"/>
  <c r="DY143" i="2"/>
  <c r="DZ146" i="2"/>
  <c r="DZ141" i="2"/>
  <c r="DY140" i="2"/>
  <c r="DY141" i="2" s="1"/>
  <c r="DY219" i="2"/>
  <c r="DZ464" i="2"/>
  <c r="AE30" i="9"/>
  <c r="AE29" i="9" s="1"/>
  <c r="DZ20" i="2"/>
  <c r="DY222" i="3"/>
  <c r="DY27" i="2"/>
  <c r="AG17" i="9"/>
  <c r="AE39" i="9"/>
  <c r="DZ483" i="2"/>
  <c r="DZ484" i="2" s="1"/>
  <c r="DZ485" i="2" s="1"/>
  <c r="EB28" i="3"/>
  <c r="EC62" i="4"/>
  <c r="EC72" i="4"/>
  <c r="P29" i="9"/>
  <c r="EC178" i="2"/>
  <c r="EB178" i="2" s="1"/>
  <c r="EC68" i="2"/>
  <c r="EC4" i="3"/>
  <c r="EC10" i="3" s="1"/>
  <c r="EB72" i="2"/>
  <c r="EC154" i="2"/>
  <c r="EC73" i="2"/>
  <c r="EC161" i="2"/>
  <c r="EA176" i="2"/>
  <c r="ET242" i="4"/>
  <c r="AF25" i="9"/>
  <c r="EB179" i="2"/>
  <c r="EA169" i="2"/>
  <c r="EA56" i="2"/>
  <c r="EA158" i="2"/>
  <c r="EA180" i="2"/>
  <c r="EA151" i="2"/>
  <c r="DZ219" i="2" l="1"/>
  <c r="DY348" i="2"/>
  <c r="DZ222" i="3"/>
  <c r="O16" i="9"/>
  <c r="EA142" i="2"/>
  <c r="EC142" i="2"/>
  <c r="DY20" i="2"/>
  <c r="DY464" i="2"/>
  <c r="DZ320" i="2"/>
  <c r="AE63" i="9"/>
  <c r="AE64" i="9" s="1"/>
  <c r="AE66" i="9" s="1"/>
  <c r="DY146" i="2"/>
  <c r="EV242" i="4"/>
  <c r="EC69" i="2"/>
  <c r="EC153" i="2"/>
  <c r="EC160" i="2"/>
  <c r="EB68" i="2"/>
  <c r="EC60" i="2"/>
  <c r="P42" i="9"/>
  <c r="AG20" i="9"/>
  <c r="AF23" i="9"/>
  <c r="P30" i="9"/>
  <c r="EB172" i="2"/>
  <c r="EB154" i="2"/>
  <c r="EB176" i="2"/>
  <c r="EB161" i="2"/>
  <c r="EB4" i="3"/>
  <c r="EB10" i="3" s="1"/>
  <c r="EB73" i="2"/>
  <c r="EB12" i="4"/>
  <c r="DZ625" i="2" l="1"/>
  <c r="DZ627" i="2" s="1"/>
  <c r="DY320" i="2"/>
  <c r="DZ322" i="2"/>
  <c r="DY22" i="2"/>
  <c r="DZ352" i="2"/>
  <c r="DZ24" i="2" s="1"/>
  <c r="DZ348" i="2"/>
  <c r="EB69" i="2"/>
  <c r="EB153" i="2"/>
  <c r="EB171" i="2"/>
  <c r="EB160" i="2"/>
  <c r="EW242" i="4"/>
  <c r="EC152" i="2"/>
  <c r="EC617" i="2"/>
  <c r="EB60" i="2"/>
  <c r="EC61" i="2"/>
  <c r="EC159" i="2"/>
  <c r="EC55" i="2"/>
  <c r="DY625" i="2" l="1"/>
  <c r="DY627" i="2" s="1"/>
  <c r="AG18" i="9"/>
  <c r="DY365" i="2"/>
  <c r="DY366" i="2"/>
  <c r="DY224" i="3" s="1"/>
  <c r="DZ22" i="2"/>
  <c r="DZ349" i="2"/>
  <c r="DY322" i="2"/>
  <c r="DY327" i="2" s="1"/>
  <c r="DZ327" i="2"/>
  <c r="EY242" i="4"/>
  <c r="EC180" i="2"/>
  <c r="P27" i="9"/>
  <c r="P28" i="9" s="1"/>
  <c r="EC56" i="2"/>
  <c r="EC158" i="2"/>
  <c r="EC151" i="2"/>
  <c r="EB55" i="2"/>
  <c r="EJ481" i="4"/>
  <c r="EB617" i="2"/>
  <c r="EB159" i="2"/>
  <c r="EB152" i="2"/>
  <c r="EB170" i="2"/>
  <c r="EB61" i="2"/>
  <c r="O17" i="9" l="1"/>
  <c r="DZ365" i="2"/>
  <c r="DZ366" i="2"/>
  <c r="DY349" i="2"/>
  <c r="DY221" i="2" s="1"/>
  <c r="DZ221" i="2" s="1"/>
  <c r="DZ225" i="3"/>
  <c r="EB151" i="2"/>
  <c r="EB56" i="2"/>
  <c r="EB158" i="2"/>
  <c r="EB169" i="2"/>
  <c r="EZ242" i="4"/>
  <c r="EK481" i="4"/>
  <c r="EB180" i="2"/>
  <c r="DY355" i="2" l="1"/>
  <c r="DY225" i="3"/>
  <c r="DZ224" i="3"/>
  <c r="O46" i="9"/>
  <c r="EA362" i="2" l="1"/>
  <c r="EA313" i="2" s="1"/>
  <c r="EA312" i="2" s="1"/>
  <c r="DY359" i="2"/>
  <c r="DZ355" i="2"/>
  <c r="EA361" i="2" l="1"/>
  <c r="EA310" i="2" s="1"/>
  <c r="DY233" i="3"/>
  <c r="DZ233" i="3" s="1"/>
  <c r="EM481" i="4"/>
  <c r="EN481" i="4" l="1"/>
  <c r="EP481" i="4" l="1"/>
  <c r="EQ481" i="4" l="1"/>
  <c r="ES481" i="4" l="1"/>
  <c r="ET481" i="4" l="1"/>
  <c r="EV481" i="4" l="1"/>
  <c r="EW481" i="4" l="1"/>
  <c r="EY481" i="4" l="1"/>
  <c r="EZ481" i="4" l="1"/>
  <c r="DY191" i="2" l="1"/>
  <c r="DZ191" i="2" l="1"/>
  <c r="DY189" i="2"/>
  <c r="DZ189" i="2" l="1"/>
  <c r="DY205" i="2"/>
  <c r="DY220" i="2"/>
  <c r="DZ249" i="2"/>
  <c r="DY180" i="3"/>
  <c r="DZ247" i="2" l="1"/>
  <c r="DY249" i="2"/>
  <c r="DY42" i="3" s="1"/>
  <c r="DY44" i="3" s="1"/>
  <c r="DZ42" i="3"/>
  <c r="EA249" i="2"/>
  <c r="EC249" i="2"/>
  <c r="DZ220" i="2"/>
  <c r="DY222" i="2"/>
  <c r="DZ222" i="2" s="1"/>
  <c r="DZ205" i="2"/>
  <c r="DY216" i="2"/>
  <c r="DZ230" i="2" s="1"/>
  <c r="AE31" i="9"/>
  <c r="DZ180" i="3"/>
  <c r="AE44" i="9" l="1"/>
  <c r="DZ345" i="2"/>
  <c r="DY108" i="3"/>
  <c r="DZ108" i="3"/>
  <c r="DZ329" i="2"/>
  <c r="DZ330" i="2"/>
  <c r="DZ640" i="2"/>
  <c r="DZ244" i="2"/>
  <c r="DY230" i="2"/>
  <c r="DZ328" i="2"/>
  <c r="O49" i="9" s="1"/>
  <c r="AE35" i="9"/>
  <c r="DZ216" i="2"/>
  <c r="DZ44" i="3"/>
  <c r="D18" i="488"/>
  <c r="D20" i="488" s="1"/>
  <c r="EC42" i="3"/>
  <c r="EC44" i="3" s="1"/>
  <c r="EC247" i="2"/>
  <c r="EB249" i="2"/>
  <c r="EB42" i="3" s="1"/>
  <c r="EA42" i="3"/>
  <c r="EA44" i="3" s="1"/>
  <c r="EA247" i="2"/>
  <c r="DZ633" i="2"/>
  <c r="DY247" i="2"/>
  <c r="DY633" i="2" s="1"/>
  <c r="AE49" i="9"/>
  <c r="DZ629" i="2" l="1"/>
  <c r="DZ631" i="2" s="1"/>
  <c r="DY244" i="2"/>
  <c r="DY629" i="2" s="1"/>
  <c r="DY631" i="2" s="1"/>
  <c r="AE48" i="9"/>
  <c r="DY345" i="2"/>
  <c r="DY640" i="2"/>
  <c r="DY328" i="2"/>
  <c r="EA633" i="2"/>
  <c r="AE41" i="9"/>
  <c r="DZ226" i="2"/>
  <c r="O48" i="9"/>
  <c r="DY330" i="2"/>
  <c r="O14" i="9"/>
  <c r="DY329" i="2"/>
  <c r="O47" i="9"/>
  <c r="O15" i="9"/>
  <c r="EC109" i="3"/>
  <c r="EA109" i="3"/>
  <c r="EA110" i="3" s="1"/>
  <c r="EB44" i="3"/>
  <c r="AF49" i="9"/>
  <c r="EC633" i="2"/>
  <c r="EB247" i="2"/>
  <c r="EB633" i="2" s="1"/>
  <c r="AE47" i="9" l="1"/>
  <c r="EB109" i="3"/>
  <c r="EB110" i="3" s="1"/>
  <c r="EB17" i="3" s="1"/>
  <c r="EC110" i="3"/>
  <c r="EA75" i="2"/>
  <c r="EA17" i="3"/>
  <c r="EA224" i="2"/>
  <c r="EC224" i="2"/>
  <c r="DY226" i="2"/>
  <c r="EA181" i="2" l="1"/>
  <c r="EA35" i="2"/>
  <c r="EA34" i="2" s="1"/>
  <c r="EA74" i="2"/>
  <c r="EC17" i="3"/>
  <c r="EC75" i="2"/>
  <c r="EC181" i="2" l="1"/>
  <c r="EC35" i="2"/>
  <c r="EC74" i="2"/>
  <c r="EB75" i="2"/>
  <c r="EA331" i="2"/>
  <c r="EA79" i="2"/>
  <c r="EA42" i="2"/>
  <c r="EA53" i="2" s="1"/>
  <c r="EA43" i="2" s="1"/>
  <c r="EA135" i="3" l="1"/>
  <c r="EA137" i="3" s="1"/>
  <c r="EA80" i="2"/>
  <c r="EA84" i="2" s="1"/>
  <c r="EA151" i="3"/>
  <c r="EC79" i="2"/>
  <c r="EC331" i="2"/>
  <c r="P31" i="9"/>
  <c r="P32" i="9" s="1"/>
  <c r="EB74" i="2"/>
  <c r="EC34" i="2"/>
  <c r="EB35" i="2"/>
  <c r="AF24" i="9"/>
  <c r="EB181" i="2"/>
  <c r="EA174" i="2" l="1"/>
  <c r="EA115" i="2"/>
  <c r="EA90" i="2"/>
  <c r="EA10" i="2"/>
  <c r="EA11" i="2" s="1"/>
  <c r="EA155" i="2"/>
  <c r="EA163" i="2"/>
  <c r="EA152" i="3"/>
  <c r="EB150" i="3" s="1"/>
  <c r="EA148" i="3"/>
  <c r="EB331" i="2"/>
  <c r="EA618" i="2"/>
  <c r="EA81" i="2"/>
  <c r="EA183" i="2"/>
  <c r="EA184" i="2" s="1"/>
  <c r="EA188" i="2" s="1"/>
  <c r="EC80" i="2"/>
  <c r="EC151" i="3"/>
  <c r="EC135" i="3"/>
  <c r="EC137" i="3" s="1"/>
  <c r="EB79" i="2"/>
  <c r="EC42" i="2"/>
  <c r="EB34" i="2"/>
  <c r="EB42" i="2" l="1"/>
  <c r="EB53" i="2" s="1"/>
  <c r="EC53" i="2"/>
  <c r="EC43" i="2" s="1"/>
  <c r="EB43" i="2" s="1"/>
  <c r="EC84" i="2"/>
  <c r="EC81" i="2"/>
  <c r="P33" i="9"/>
  <c r="EC618" i="2"/>
  <c r="EC183" i="2"/>
  <c r="EB80" i="2"/>
  <c r="EA344" i="2"/>
  <c r="EA173" i="2"/>
  <c r="EA209" i="2"/>
  <c r="EA91" i="2"/>
  <c r="EA202" i="3"/>
  <c r="EA162" i="2"/>
  <c r="EA147" i="2"/>
  <c r="EA5" i="3"/>
  <c r="EA11" i="3" s="1"/>
  <c r="EA156" i="2"/>
  <c r="EA139" i="2"/>
  <c r="EA13" i="2"/>
  <c r="EA14" i="2" s="1"/>
  <c r="EA187" i="2"/>
  <c r="EA219" i="2"/>
  <c r="EA20" i="2"/>
  <c r="EA619" i="2"/>
  <c r="EA620" i="2"/>
  <c r="EC152" i="3"/>
  <c r="EC148" i="3"/>
  <c r="EA27" i="2"/>
  <c r="EA222" i="3"/>
  <c r="EB135" i="3"/>
  <c r="EB137" i="3" s="1"/>
  <c r="EB151" i="3"/>
  <c r="EB148" i="3" s="1"/>
  <c r="EA621" i="2" l="1"/>
  <c r="EA622" i="2" s="1"/>
  <c r="EA348" i="2"/>
  <c r="EC619" i="2"/>
  <c r="EC620" i="2"/>
  <c r="EA140" i="2"/>
  <c r="EA141" i="2" s="1"/>
  <c r="EA143" i="2"/>
  <c r="EC10" i="2"/>
  <c r="EC11" i="2" s="1"/>
  <c r="EC163" i="2"/>
  <c r="EC155" i="2"/>
  <c r="EC90" i="2"/>
  <c r="EC115" i="2"/>
  <c r="EB84" i="2"/>
  <c r="EB81" i="2"/>
  <c r="EB618" i="2"/>
  <c r="AF26" i="9"/>
  <c r="AF27" i="9" s="1"/>
  <c r="EB183" i="2"/>
  <c r="EC184" i="2"/>
  <c r="P34" i="9"/>
  <c r="P36" i="9"/>
  <c r="P43" i="9" s="1"/>
  <c r="EA144" i="2"/>
  <c r="EA319" i="2" s="1"/>
  <c r="EA320" i="2" s="1"/>
  <c r="EA214" i="2"/>
  <c r="EA216" i="2" s="1"/>
  <c r="ED150" i="3"/>
  <c r="EF150" i="3"/>
  <c r="EB152" i="3"/>
  <c r="EC621" i="2" l="1"/>
  <c r="EC622" i="2" s="1"/>
  <c r="EB115" i="2"/>
  <c r="EB13" i="2" s="1"/>
  <c r="EB14" i="2" s="1"/>
  <c r="EC139" i="2"/>
  <c r="EC13" i="2"/>
  <c r="EC14" i="2" s="1"/>
  <c r="EA625" i="2"/>
  <c r="EA627" i="2" s="1"/>
  <c r="EA322" i="2"/>
  <c r="EA327" i="2" s="1"/>
  <c r="EA146" i="2"/>
  <c r="EB142" i="2" s="1"/>
  <c r="EA349" i="2"/>
  <c r="EA22" i="2"/>
  <c r="EB619" i="2"/>
  <c r="EB620" i="2"/>
  <c r="EC162" i="2"/>
  <c r="EC147" i="2"/>
  <c r="EC344" i="2"/>
  <c r="P45" i="9" s="1"/>
  <c r="EB90" i="2"/>
  <c r="EC5" i="3"/>
  <c r="EC11" i="3" s="1"/>
  <c r="EC156" i="2"/>
  <c r="EC202" i="3"/>
  <c r="EC91" i="2"/>
  <c r="EB91" i="2" s="1"/>
  <c r="EA230" i="2"/>
  <c r="EA345" i="2" s="1"/>
  <c r="EA226" i="2"/>
  <c r="EB224" i="2" s="1"/>
  <c r="EC27" i="2"/>
  <c r="P11" i="9"/>
  <c r="EC188" i="2"/>
  <c r="EB184" i="2"/>
  <c r="E18" i="488"/>
  <c r="E20" i="488" s="1"/>
  <c r="EB155" i="2"/>
  <c r="EB163" i="2"/>
  <c r="EB174" i="2"/>
  <c r="EB10" i="2"/>
  <c r="EB11" i="2" s="1"/>
  <c r="EB621" i="2" l="1"/>
  <c r="EB622" i="2" s="1"/>
  <c r="P13" i="9"/>
  <c r="P37" i="9"/>
  <c r="EA365" i="2"/>
  <c r="EA366" i="2"/>
  <c r="EA224" i="3" s="1"/>
  <c r="EC143" i="2"/>
  <c r="EC140" i="2"/>
  <c r="EB139" i="2"/>
  <c r="EB143" i="2" s="1"/>
  <c r="EB222" i="3"/>
  <c r="EB27" i="2"/>
  <c r="EA221" i="2"/>
  <c r="EA222" i="2" s="1"/>
  <c r="EA225" i="3"/>
  <c r="EA355" i="2"/>
  <c r="EC20" i="2"/>
  <c r="EC219" i="2"/>
  <c r="EC187" i="2"/>
  <c r="EB187" i="2" s="1"/>
  <c r="EB188" i="2"/>
  <c r="AF30" i="9"/>
  <c r="AF29" i="9" s="1"/>
  <c r="EA329" i="2"/>
  <c r="EA330" i="2"/>
  <c r="EA328" i="2"/>
  <c r="EA244" i="2"/>
  <c r="EA640" i="2"/>
  <c r="EA108" i="3"/>
  <c r="EB173" i="2"/>
  <c r="EB162" i="2"/>
  <c r="EB156" i="2"/>
  <c r="EB147" i="2"/>
  <c r="EB202" i="3"/>
  <c r="EB5" i="3"/>
  <c r="EB11" i="3" s="1"/>
  <c r="EB344" i="2"/>
  <c r="P16" i="9" l="1"/>
  <c r="EA629" i="2"/>
  <c r="EA631" i="2" s="1"/>
  <c r="EB140" i="2"/>
  <c r="EB141" i="2" s="1"/>
  <c r="EC141" i="2"/>
  <c r="EB219" i="2"/>
  <c r="EB348" i="2"/>
  <c r="EC222" i="3"/>
  <c r="EC209" i="2"/>
  <c r="EB362" i="2"/>
  <c r="EC362" i="2" s="1"/>
  <c r="EC313" i="2" s="1"/>
  <c r="EA359" i="2"/>
  <c r="EB20" i="2"/>
  <c r="EB361" i="2" l="1"/>
  <c r="EC361" i="2" s="1"/>
  <c r="EC310" i="2" s="1"/>
  <c r="EA233" i="3"/>
  <c r="EC312" i="2"/>
  <c r="EB312" i="2" s="1"/>
  <c r="EB313" i="2"/>
  <c r="AF37" i="9"/>
  <c r="EB209" i="2"/>
  <c r="EB214" i="2" s="1"/>
  <c r="EB216" i="2" s="1"/>
  <c r="EC214" i="2"/>
  <c r="EC144" i="2"/>
  <c r="EB22" i="2"/>
  <c r="EC352" i="2"/>
  <c r="EC24" i="2" s="1"/>
  <c r="EC348" i="2"/>
  <c r="EB144" i="2" l="1"/>
  <c r="EB146" i="2" s="1"/>
  <c r="EC319" i="2"/>
  <c r="EC320" i="2" s="1"/>
  <c r="EC146" i="2"/>
  <c r="AF40" i="9"/>
  <c r="AF39" i="9" s="1"/>
  <c r="EC216" i="2"/>
  <c r="EC22" i="2"/>
  <c r="EC349" i="2"/>
  <c r="EB365" i="2"/>
  <c r="EB366" i="2"/>
  <c r="EB224" i="3" s="1"/>
  <c r="EB310" i="2"/>
  <c r="AF62" i="9"/>
  <c r="AF41" i="9" l="1"/>
  <c r="EC230" i="2"/>
  <c r="EC345" i="2" s="1"/>
  <c r="EC226" i="2"/>
  <c r="ED142" i="2"/>
  <c r="EF142" i="2"/>
  <c r="EB319" i="2"/>
  <c r="AF63" i="9"/>
  <c r="AF64" i="9" s="1"/>
  <c r="AF66" i="9" s="1"/>
  <c r="EC625" i="2"/>
  <c r="EC627" i="2" s="1"/>
  <c r="EB320" i="2"/>
  <c r="EC322" i="2"/>
  <c r="EC221" i="2"/>
  <c r="EB349" i="2"/>
  <c r="EC225" i="3"/>
  <c r="EC365" i="2"/>
  <c r="P17" i="9"/>
  <c r="EC366" i="2"/>
  <c r="EC328" i="2" l="1"/>
  <c r="P49" i="9" s="1"/>
  <c r="EB322" i="2"/>
  <c r="EB327" i="2" s="1"/>
  <c r="EC327" i="2"/>
  <c r="EC224" i="3"/>
  <c r="P46" i="9"/>
  <c r="EB221" i="2"/>
  <c r="EC222" i="2"/>
  <c r="EB222" i="2" s="1"/>
  <c r="EB226" i="2"/>
  <c r="ED224" i="2"/>
  <c r="EF224" i="2"/>
  <c r="EB230" i="2"/>
  <c r="EB345" i="2" s="1"/>
  <c r="EC330" i="2"/>
  <c r="AF44" i="9"/>
  <c r="EC329" i="2"/>
  <c r="EC640" i="2"/>
  <c r="EC244" i="2"/>
  <c r="EC108" i="3"/>
  <c r="EB108" i="3"/>
  <c r="EB625" i="2"/>
  <c r="EB627" i="2" s="1"/>
  <c r="EB225" i="3"/>
  <c r="EB355" i="2"/>
  <c r="ED109" i="3" l="1"/>
  <c r="ED110" i="3" s="1"/>
  <c r="EF109" i="3"/>
  <c r="EB359" i="2"/>
  <c r="ED362" i="2"/>
  <c r="ED313" i="2" s="1"/>
  <c r="ED312" i="2" s="1"/>
  <c r="EC355" i="2"/>
  <c r="EC629" i="2"/>
  <c r="EC631" i="2" s="1"/>
  <c r="AF48" i="9"/>
  <c r="EB244" i="2"/>
  <c r="EB629" i="2" s="1"/>
  <c r="EB631" i="2" s="1"/>
  <c r="EB329" i="2"/>
  <c r="P14" i="9"/>
  <c r="P47" i="9"/>
  <c r="P15" i="9"/>
  <c r="EB330" i="2"/>
  <c r="P48" i="9"/>
  <c r="EB640" i="2"/>
  <c r="EB328" i="2"/>
  <c r="EE109" i="3" l="1"/>
  <c r="EE110" i="3" s="1"/>
  <c r="EE17" i="3" s="1"/>
  <c r="EF110" i="3"/>
  <c r="AF47" i="9"/>
  <c r="EB233" i="3"/>
  <c r="EC233" i="3" s="1"/>
  <c r="ED361" i="2"/>
  <c r="ED310" i="2" s="1"/>
  <c r="ED75" i="2"/>
  <c r="ED17" i="3"/>
  <c r="EF17" i="3" l="1"/>
  <c r="EF75" i="2"/>
  <c r="ED35" i="2"/>
  <c r="ED34" i="2" s="1"/>
  <c r="ED74" i="2"/>
  <c r="ED181" i="2"/>
  <c r="EE75" i="2" l="1"/>
  <c r="EF181" i="2"/>
  <c r="EF74" i="2"/>
  <c r="EF35" i="2"/>
  <c r="EF34" i="2" l="1"/>
  <c r="EE35" i="2"/>
  <c r="EE74" i="2"/>
  <c r="Q31" i="9"/>
  <c r="EE181" i="2"/>
  <c r="AG24" i="9"/>
  <c r="EE34" i="2" l="1"/>
  <c r="EA250" i="2" l="1"/>
  <c r="EC250" i="2"/>
  <c r="EC641" i="2" s="1"/>
  <c r="DZ641" i="2"/>
  <c r="AE50" i="9"/>
  <c r="DY641" i="2"/>
  <c r="EF250" i="2" l="1"/>
  <c r="AF50" i="9"/>
  <c r="EA641" i="2"/>
  <c r="ED250" i="2"/>
  <c r="EB250" i="2"/>
  <c r="EB641" i="2" s="1"/>
  <c r="ED641" i="2" l="1"/>
  <c r="EI250" i="2"/>
  <c r="EE250" i="2"/>
  <c r="EE641" i="2" s="1"/>
  <c r="AG50" i="9"/>
  <c r="EF641" i="2"/>
  <c r="EG250" i="2"/>
  <c r="EG641" i="2" l="1"/>
  <c r="EJ250" i="2"/>
  <c r="EH250" i="2"/>
  <c r="EH641" i="2" s="1"/>
  <c r="EI641" i="2"/>
  <c r="EL250" i="2"/>
  <c r="EO250" i="2" l="1"/>
  <c r="EK250" i="2"/>
  <c r="EK641" i="2" s="1"/>
  <c r="EM250" i="2"/>
  <c r="EL641" i="2"/>
  <c r="EJ641" i="2"/>
  <c r="EM641" i="2" l="1"/>
  <c r="EN250" i="2"/>
  <c r="EN641" i="2" s="1"/>
  <c r="EP250" i="2"/>
  <c r="EO641" i="2"/>
  <c r="ER250" i="2"/>
  <c r="EP641" i="2" l="1"/>
  <c r="EU250" i="2"/>
  <c r="ES250" i="2"/>
  <c r="ER641" i="2"/>
  <c r="EQ250" i="2"/>
  <c r="EQ641" i="2" s="1"/>
  <c r="ES641" i="2" l="1"/>
  <c r="EV250" i="2"/>
  <c r="ET250" i="2"/>
  <c r="ET641" i="2" s="1"/>
  <c r="EX250" i="2"/>
  <c r="EU641" i="2"/>
  <c r="FA250" i="2" l="1"/>
  <c r="EW250" i="2"/>
  <c r="EW641" i="2" s="1"/>
  <c r="EX641" i="2"/>
  <c r="EY250" i="2"/>
  <c r="EV641" i="2"/>
  <c r="EY641" i="2" l="1"/>
  <c r="EZ250" i="2"/>
  <c r="EZ641" i="2" s="1"/>
  <c r="FA641" i="2"/>
  <c r="AE51" i="9" l="1"/>
  <c r="DZ252" i="2"/>
  <c r="EA254" i="2"/>
  <c r="EA252" i="2" s="1"/>
  <c r="EC254" i="2"/>
  <c r="EC252" i="2" s="1"/>
  <c r="EC25" i="2" l="1"/>
  <c r="EC263" i="2"/>
  <c r="AF51" i="9"/>
  <c r="EB252" i="2"/>
  <c r="EB25" i="2" s="1"/>
  <c r="EA25" i="2"/>
  <c r="EA263" i="2"/>
  <c r="EA264" i="2" s="1"/>
  <c r="DZ25" i="2"/>
  <c r="O20" i="9" s="1"/>
  <c r="DZ263" i="2"/>
  <c r="EF254" i="2"/>
  <c r="DY252" i="2"/>
  <c r="DY25" i="2" s="1"/>
  <c r="EB254" i="2"/>
  <c r="ED254" i="2"/>
  <c r="ED252" i="2" s="1"/>
  <c r="P20" i="9"/>
  <c r="P19" i="9"/>
  <c r="DZ264" i="2" l="1"/>
  <c r="AE55" i="9"/>
  <c r="DY263" i="2"/>
  <c r="EA634" i="2"/>
  <c r="EA636" i="2" s="1"/>
  <c r="EA639" i="2" s="1"/>
  <c r="EA642" i="2" s="1"/>
  <c r="EA644" i="2" s="1"/>
  <c r="EA346" i="2" s="1"/>
  <c r="EA307" i="2"/>
  <c r="EA324" i="2" s="1"/>
  <c r="O19" i="9"/>
  <c r="EB263" i="2"/>
  <c r="AF55" i="9"/>
  <c r="EC264" i="2"/>
  <c r="EI254" i="2"/>
  <c r="EG254" i="2"/>
  <c r="EG252" i="2" s="1"/>
  <c r="EE254" i="2"/>
  <c r="EF252" i="2"/>
  <c r="AE56" i="9" l="1"/>
  <c r="AE54" i="9"/>
  <c r="EE252" i="2"/>
  <c r="AG51" i="9"/>
  <c r="EI252" i="2"/>
  <c r="EL254" i="2"/>
  <c r="EH254" i="2"/>
  <c r="EJ254" i="2"/>
  <c r="EJ252" i="2" s="1"/>
  <c r="EC307" i="2"/>
  <c r="EB264" i="2"/>
  <c r="EC634" i="2"/>
  <c r="EC636" i="2" s="1"/>
  <c r="EC639" i="2" s="1"/>
  <c r="EC642" i="2" s="1"/>
  <c r="EC644" i="2" s="1"/>
  <c r="EC346" i="2" s="1"/>
  <c r="AF56" i="9"/>
  <c r="AF54" i="9"/>
  <c r="EA343" i="2"/>
  <c r="DZ307" i="2"/>
  <c r="DY264" i="2"/>
  <c r="DZ343" i="2"/>
  <c r="O44" i="9" s="1"/>
  <c r="DZ634" i="2"/>
  <c r="DZ636" i="2" s="1"/>
  <c r="DZ639" i="2" s="1"/>
  <c r="DZ642" i="2" s="1"/>
  <c r="DZ644" i="2" s="1"/>
  <c r="DZ346" i="2" s="1"/>
  <c r="EC343" i="2"/>
  <c r="P44" i="9" s="1"/>
  <c r="EB634" i="2" l="1"/>
  <c r="EB636" i="2" s="1"/>
  <c r="EB639" i="2" s="1"/>
  <c r="EB642" i="2" s="1"/>
  <c r="EB644" i="2" s="1"/>
  <c r="EB346" i="2" s="1"/>
  <c r="EB343" i="2"/>
  <c r="DY634" i="2"/>
  <c r="DY636" i="2" s="1"/>
  <c r="DY639" i="2" s="1"/>
  <c r="DY642" i="2" s="1"/>
  <c r="DY644" i="2" s="1"/>
  <c r="DY346" i="2" s="1"/>
  <c r="DY343" i="2"/>
  <c r="EK254" i="2"/>
  <c r="EO254" i="2"/>
  <c r="EM254" i="2"/>
  <c r="EM252" i="2" s="1"/>
  <c r="EL252" i="2"/>
  <c r="EH252" i="2"/>
  <c r="DZ324" i="2"/>
  <c r="DY307" i="2"/>
  <c r="DY324" i="2" s="1"/>
  <c r="EB307" i="2"/>
  <c r="EB324" i="2" s="1"/>
  <c r="EC324" i="2"/>
  <c r="EK252" i="2" l="1"/>
  <c r="EN254" i="2"/>
  <c r="EO252" i="2"/>
  <c r="ER254" i="2"/>
  <c r="EP254" i="2"/>
  <c r="EP252" i="2" s="1"/>
  <c r="EN252" i="2" l="1"/>
  <c r="ER252" i="2"/>
  <c r="ES254" i="2"/>
  <c r="ES252" i="2" s="1"/>
  <c r="EU254" i="2"/>
  <c r="EQ254" i="2"/>
  <c r="EV254" i="2" l="1"/>
  <c r="EV252" i="2" s="1"/>
  <c r="EX254" i="2"/>
  <c r="ET254" i="2"/>
  <c r="EU252" i="2"/>
  <c r="EQ252" i="2"/>
  <c r="ET252" i="2" l="1"/>
  <c r="FA254" i="2"/>
  <c r="EY254" i="2"/>
  <c r="EY252" i="2" s="1"/>
  <c r="EW254" i="2"/>
  <c r="EX252" i="2"/>
  <c r="EW252" i="2" l="1"/>
  <c r="EZ254" i="2"/>
  <c r="FA252" i="2"/>
  <c r="EZ252" i="2" l="1"/>
  <c r="EJ100" i="4"/>
  <c r="EM100" i="4" s="1"/>
  <c r="EP100" i="4" s="1"/>
  <c r="EJ106" i="4" l="1"/>
  <c r="EJ103" i="4"/>
  <c r="EG100" i="4"/>
  <c r="EQ100" i="4"/>
  <c r="EQ109" i="4" s="1"/>
  <c r="EP106" i="4"/>
  <c r="EQ103" i="4"/>
  <c r="EQ106" i="4"/>
  <c r="ES100" i="4"/>
  <c r="EM109" i="4"/>
  <c r="EM103" i="4"/>
  <c r="EM106" i="4"/>
  <c r="EP109" i="4"/>
  <c r="ED100" i="4"/>
  <c r="EH100" i="4"/>
  <c r="EN100" i="4"/>
  <c r="EP103" i="4"/>
  <c r="EJ109" i="4"/>
  <c r="EK100" i="4"/>
  <c r="EG109" i="4" l="1"/>
  <c r="EG103" i="4"/>
  <c r="EG106" i="4"/>
  <c r="EK103" i="4"/>
  <c r="EK106" i="4"/>
  <c r="EK109" i="4"/>
  <c r="EN109" i="4"/>
  <c r="EN106" i="4"/>
  <c r="EN103" i="4"/>
  <c r="EV100" i="4"/>
  <c r="ET100" i="4"/>
  <c r="ES103" i="4"/>
  <c r="ES106" i="4"/>
  <c r="ES109" i="4"/>
  <c r="EH99" i="4"/>
  <c r="EH109" i="4"/>
  <c r="EH108" i="4" s="1"/>
  <c r="EH103" i="4"/>
  <c r="EH102" i="4" s="1"/>
  <c r="EH106" i="4"/>
  <c r="ED99" i="4"/>
  <c r="ED106" i="4"/>
  <c r="ED103" i="4"/>
  <c r="ED102" i="4" s="1"/>
  <c r="ED109" i="4"/>
  <c r="ED108" i="4" s="1"/>
  <c r="EF99" i="4" l="1"/>
  <c r="EF100" i="4" s="1"/>
  <c r="ED745" i="4"/>
  <c r="ED173" i="4"/>
  <c r="EG99" i="4"/>
  <c r="ED96" i="4"/>
  <c r="ET103" i="4"/>
  <c r="ET106" i="4"/>
  <c r="ET109" i="4"/>
  <c r="EW100" i="4"/>
  <c r="EY100" i="4"/>
  <c r="EV106" i="4"/>
  <c r="EV109" i="4"/>
  <c r="EV103" i="4"/>
  <c r="EH265" i="4"/>
  <c r="EK102" i="4"/>
  <c r="EH746" i="4"/>
  <c r="EH105" i="4"/>
  <c r="EK108" i="4"/>
  <c r="EK99" i="4"/>
  <c r="EH745" i="4"/>
  <c r="EH96" i="4"/>
  <c r="EH173" i="4"/>
  <c r="EG108" i="4"/>
  <c r="EF108" i="4"/>
  <c r="EF109" i="4" s="1"/>
  <c r="ED105" i="4"/>
  <c r="ED746" i="4"/>
  <c r="EG102" i="4"/>
  <c r="ED265" i="4"/>
  <c r="EF102" i="4"/>
  <c r="EF103" i="4" s="1"/>
  <c r="EG105" i="4" l="1"/>
  <c r="EI108" i="4"/>
  <c r="EI109" i="4" s="1"/>
  <c r="EJ108" i="4"/>
  <c r="EH205" i="4"/>
  <c r="EH206" i="4" s="1"/>
  <c r="EH178" i="4"/>
  <c r="EH174" i="4"/>
  <c r="EH97" i="4"/>
  <c r="EH664" i="2" s="1"/>
  <c r="EH668" i="2"/>
  <c r="EN102" i="4"/>
  <c r="EK265" i="4"/>
  <c r="EK746" i="4"/>
  <c r="EH298" i="4"/>
  <c r="EH299" i="4" s="1"/>
  <c r="EH266" i="4"/>
  <c r="EH270" i="4"/>
  <c r="ED97" i="4"/>
  <c r="ED664" i="2" s="1"/>
  <c r="EF96" i="4"/>
  <c r="ED668" i="2"/>
  <c r="EF265" i="4"/>
  <c r="EF266" i="4" s="1"/>
  <c r="ED270" i="4"/>
  <c r="ED266" i="4"/>
  <c r="ED298" i="4"/>
  <c r="EG96" i="4"/>
  <c r="EG745" i="4"/>
  <c r="EG173" i="4"/>
  <c r="EJ99" i="4"/>
  <c r="EI99" i="4"/>
  <c r="EI100" i="4" s="1"/>
  <c r="EG746" i="4"/>
  <c r="EI746" i="4" s="1"/>
  <c r="EG265" i="4"/>
  <c r="EJ102" i="4"/>
  <c r="EI102" i="4"/>
  <c r="EI103" i="4" s="1"/>
  <c r="EK173" i="4"/>
  <c r="EN99" i="4"/>
  <c r="EK745" i="4"/>
  <c r="ED205" i="4"/>
  <c r="ED178" i="4"/>
  <c r="ED174" i="4"/>
  <c r="EF173" i="4"/>
  <c r="EF174" i="4" s="1"/>
  <c r="ED877" i="4"/>
  <c r="ED889" i="4"/>
  <c r="ED883" i="4"/>
  <c r="EF746" i="4"/>
  <c r="ED871" i="4"/>
  <c r="ED752" i="4"/>
  <c r="ED865" i="4"/>
  <c r="ED859" i="4"/>
  <c r="EN108" i="4"/>
  <c r="EK105" i="4"/>
  <c r="EY103" i="4"/>
  <c r="EY106" i="4"/>
  <c r="EY109" i="4"/>
  <c r="EZ100" i="4"/>
  <c r="ED864" i="4"/>
  <c r="ED882" i="4"/>
  <c r="ED870" i="4"/>
  <c r="ED751" i="4"/>
  <c r="EF745" i="4"/>
  <c r="ED876" i="4"/>
  <c r="ED888" i="4"/>
  <c r="ED858" i="4"/>
  <c r="ED747" i="4"/>
  <c r="ED748" i="4" s="1"/>
  <c r="ED749" i="4" s="1"/>
  <c r="EF105" i="4"/>
  <c r="EF106" i="4" s="1"/>
  <c r="ED354" i="4"/>
  <c r="EH747" i="4"/>
  <c r="EH748" i="4" s="1"/>
  <c r="EH749" i="4" s="1"/>
  <c r="EH354" i="4"/>
  <c r="EW109" i="4"/>
  <c r="EW103" i="4"/>
  <c r="EW106" i="4"/>
  <c r="EL108" i="4" l="1"/>
  <c r="EL109" i="4" s="1"/>
  <c r="EJ105" i="4"/>
  <c r="EJ96" i="4" s="1"/>
  <c r="EM108" i="4"/>
  <c r="EE752" i="4"/>
  <c r="ED780" i="4"/>
  <c r="ED937" i="4"/>
  <c r="EL102" i="4"/>
  <c r="EL103" i="4" s="1"/>
  <c r="EM102" i="4"/>
  <c r="EJ746" i="4"/>
  <c r="EL746" i="4" s="1"/>
  <c r="EJ265" i="4"/>
  <c r="ED918" i="4"/>
  <c r="EE876" i="4"/>
  <c r="ED208" i="4"/>
  <c r="EF208" i="4" s="1"/>
  <c r="ED168" i="4"/>
  <c r="ED179" i="4"/>
  <c r="EF178" i="4"/>
  <c r="ED180" i="4"/>
  <c r="EG270" i="4"/>
  <c r="EG266" i="4"/>
  <c r="EG298" i="4"/>
  <c r="EI265" i="4"/>
  <c r="EI266" i="4" s="1"/>
  <c r="EH271" i="4"/>
  <c r="EH260" i="4"/>
  <c r="EH300" i="4"/>
  <c r="EH272" i="4"/>
  <c r="EH378" i="4"/>
  <c r="EH359" i="4"/>
  <c r="EH355" i="4"/>
  <c r="ED206" i="4"/>
  <c r="EF206" i="4" s="1"/>
  <c r="EF205" i="4"/>
  <c r="EF203" i="4" s="1"/>
  <c r="EF204" i="4" s="1"/>
  <c r="EF354" i="4"/>
  <c r="EF355" i="4" s="1"/>
  <c r="ED359" i="4"/>
  <c r="ED355" i="4"/>
  <c r="ED378" i="4"/>
  <c r="EF378" i="4" s="1"/>
  <c r="EE889" i="4"/>
  <c r="ED931" i="4"/>
  <c r="EE870" i="4"/>
  <c r="ED912" i="4"/>
  <c r="EN105" i="4"/>
  <c r="EN96" i="4" s="1"/>
  <c r="EQ108" i="4"/>
  <c r="ED924" i="4"/>
  <c r="EE882" i="4"/>
  <c r="ED901" i="4"/>
  <c r="ED895" i="4"/>
  <c r="EE859" i="4"/>
  <c r="ED955" i="4"/>
  <c r="EK174" i="4"/>
  <c r="EK205" i="4"/>
  <c r="EK206" i="4" s="1"/>
  <c r="EK178" i="4"/>
  <c r="EI745" i="4"/>
  <c r="EQ102" i="4"/>
  <c r="EN746" i="4"/>
  <c r="EN265" i="4"/>
  <c r="EE888" i="4"/>
  <c r="ED930" i="4"/>
  <c r="EZ109" i="4"/>
  <c r="EZ103" i="4"/>
  <c r="EZ106" i="4"/>
  <c r="EE871" i="4"/>
  <c r="ED913" i="4"/>
  <c r="ED299" i="4"/>
  <c r="EF299" i="4" s="1"/>
  <c r="EF298" i="4"/>
  <c r="EF295" i="4" s="1"/>
  <c r="EF296" i="4" s="1"/>
  <c r="EH163" i="4"/>
  <c r="EH164" i="4" s="1"/>
  <c r="EE883" i="4"/>
  <c r="ED925" i="4"/>
  <c r="ED260" i="4"/>
  <c r="ED272" i="4"/>
  <c r="ED271" i="4"/>
  <c r="ED300" i="4"/>
  <c r="EF270" i="4"/>
  <c r="EH208" i="4"/>
  <c r="EH180" i="4"/>
  <c r="EH168" i="4"/>
  <c r="EH179" i="4"/>
  <c r="EE751" i="4"/>
  <c r="ED779" i="4"/>
  <c r="ED936" i="4"/>
  <c r="EK747" i="4"/>
  <c r="EK748" i="4" s="1"/>
  <c r="EK749" i="4" s="1"/>
  <c r="EK354" i="4"/>
  <c r="EK96" i="4"/>
  <c r="EL99" i="4"/>
  <c r="EL100" i="4" s="1"/>
  <c r="EJ745" i="4"/>
  <c r="EM99" i="4"/>
  <c r="EJ173" i="4"/>
  <c r="EE877" i="4"/>
  <c r="ED919" i="4"/>
  <c r="EQ99" i="4"/>
  <c r="EN745" i="4"/>
  <c r="EN173" i="4"/>
  <c r="EI173" i="4"/>
  <c r="EI174" i="4" s="1"/>
  <c r="EG178" i="4"/>
  <c r="EG174" i="4"/>
  <c r="EG205" i="4"/>
  <c r="EK270" i="4"/>
  <c r="EK298" i="4"/>
  <c r="EK299" i="4" s="1"/>
  <c r="EK266" i="4"/>
  <c r="ED872" i="4"/>
  <c r="ED873" i="4" s="1"/>
  <c r="ED915" i="4" s="1"/>
  <c r="ED866" i="4"/>
  <c r="ED890" i="4"/>
  <c r="ED891" i="4" s="1"/>
  <c r="ED933" i="4" s="1"/>
  <c r="ED884" i="4"/>
  <c r="ED885" i="4" s="1"/>
  <c r="ED927" i="4" s="1"/>
  <c r="EF747" i="4"/>
  <c r="EF748" i="4" s="1"/>
  <c r="EF749" i="4" s="1"/>
  <c r="ED878" i="4"/>
  <c r="ED879" i="4" s="1"/>
  <c r="ED921" i="4" s="1"/>
  <c r="ED753" i="4"/>
  <c r="ED754" i="4" s="1"/>
  <c r="ED860" i="4"/>
  <c r="ED861" i="4"/>
  <c r="ED900" i="4"/>
  <c r="EE858" i="4"/>
  <c r="ED954" i="4"/>
  <c r="ED894" i="4"/>
  <c r="ED906" i="4"/>
  <c r="EE864" i="4"/>
  <c r="EE865" i="4"/>
  <c r="ED907" i="4"/>
  <c r="ED163" i="4"/>
  <c r="EI96" i="4"/>
  <c r="EG668" i="2"/>
  <c r="EG97" i="4"/>
  <c r="EG664" i="2" s="1"/>
  <c r="EF668" i="2"/>
  <c r="EF97" i="4"/>
  <c r="Q52" i="9"/>
  <c r="Q53" i="9" s="1"/>
  <c r="EI105" i="4"/>
  <c r="EI106" i="4" s="1"/>
  <c r="EG747" i="4"/>
  <c r="EI747" i="4" s="1"/>
  <c r="EG354" i="4"/>
  <c r="EG163" i="4" s="1"/>
  <c r="EF375" i="4" l="1"/>
  <c r="EF376" i="4" s="1"/>
  <c r="EI748" i="4"/>
  <c r="EI749" i="4" s="1"/>
  <c r="EG748" i="4"/>
  <c r="EG749" i="4" s="1"/>
  <c r="EH261" i="4"/>
  <c r="EH337" i="4"/>
  <c r="EH339" i="4" s="1"/>
  <c r="EH450" i="4" s="1"/>
  <c r="EM746" i="4"/>
  <c r="EO746" i="4" s="1"/>
  <c r="EO102" i="4"/>
  <c r="EO103" i="4" s="1"/>
  <c r="EM265" i="4"/>
  <c r="EP102" i="4"/>
  <c r="EI163" i="4"/>
  <c r="EG164" i="4"/>
  <c r="EE907" i="4"/>
  <c r="EF865" i="4"/>
  <c r="EI97" i="4"/>
  <c r="EI664" i="2" s="1"/>
  <c r="EI668" i="2"/>
  <c r="EK378" i="4"/>
  <c r="EK355" i="4"/>
  <c r="EK359" i="4"/>
  <c r="EK179" i="4"/>
  <c r="EK208" i="4"/>
  <c r="EK168" i="4"/>
  <c r="EK180" i="4"/>
  <c r="ED903" i="4"/>
  <c r="ED302" i="4"/>
  <c r="EF300" i="4"/>
  <c r="EF302" i="4" s="1"/>
  <c r="EF888" i="4"/>
  <c r="EE930" i="4"/>
  <c r="EF889" i="4"/>
  <c r="EE931" i="4"/>
  <c r="EF876" i="4"/>
  <c r="EE918" i="4"/>
  <c r="EE860" i="4"/>
  <c r="EE861" i="4" s="1"/>
  <c r="ED896" i="4"/>
  <c r="ED902" i="4"/>
  <c r="ED956" i="4"/>
  <c r="ED957" i="4" s="1"/>
  <c r="ED782" i="4"/>
  <c r="ED939" i="4"/>
  <c r="EF752" i="4"/>
  <c r="EE937" i="4"/>
  <c r="EE780" i="4"/>
  <c r="EF864" i="4"/>
  <c r="EE906" i="4"/>
  <c r="EE753" i="4"/>
  <c r="EE754" i="4" s="1"/>
  <c r="ED938" i="4"/>
  <c r="ED781" i="4"/>
  <c r="EN174" i="4"/>
  <c r="EN205" i="4"/>
  <c r="EN206" i="4" s="1"/>
  <c r="EN178" i="4"/>
  <c r="EE779" i="4"/>
  <c r="EF751" i="4"/>
  <c r="EE936" i="4"/>
  <c r="ED301" i="4"/>
  <c r="EF301" i="4" s="1"/>
  <c r="EF272" i="4"/>
  <c r="EF273" i="4" s="1"/>
  <c r="ED273" i="4"/>
  <c r="ED262" i="4"/>
  <c r="EN298" i="4"/>
  <c r="EN299" i="4" s="1"/>
  <c r="EN266" i="4"/>
  <c r="EN270" i="4"/>
  <c r="EQ105" i="4"/>
  <c r="EQ96" i="4" s="1"/>
  <c r="ET108" i="4"/>
  <c r="EG272" i="4"/>
  <c r="EG271" i="4"/>
  <c r="EG300" i="4"/>
  <c r="EG302" i="4" s="1"/>
  <c r="EI270" i="4"/>
  <c r="EG260" i="4"/>
  <c r="EM105" i="4"/>
  <c r="EO108" i="4"/>
  <c r="EO109" i="4" s="1"/>
  <c r="EP108" i="4"/>
  <c r="EE894" i="4"/>
  <c r="EE954" i="4"/>
  <c r="EF858" i="4"/>
  <c r="EE900" i="4"/>
  <c r="EG168" i="4"/>
  <c r="EG208" i="4"/>
  <c r="EI208" i="4" s="1"/>
  <c r="EI178" i="4"/>
  <c r="EG180" i="4"/>
  <c r="EG179" i="4"/>
  <c r="EF168" i="4"/>
  <c r="EF169" i="4" s="1"/>
  <c r="ED241" i="4"/>
  <c r="ED246" i="4"/>
  <c r="ED169" i="4"/>
  <c r="EE866" i="4"/>
  <c r="EE867" i="4" s="1"/>
  <c r="ED908" i="4"/>
  <c r="EJ178" i="4"/>
  <c r="EJ174" i="4"/>
  <c r="EJ205" i="4"/>
  <c r="EL173" i="4"/>
  <c r="EL174" i="4" s="1"/>
  <c r="EF664" i="2"/>
  <c r="ED914" i="4"/>
  <c r="EE872" i="4"/>
  <c r="EM173" i="4"/>
  <c r="EP99" i="4"/>
  <c r="EO99" i="4"/>
  <c r="EO100" i="4" s="1"/>
  <c r="EM745" i="4"/>
  <c r="EK163" i="4"/>
  <c r="EK164" i="4" s="1"/>
  <c r="EG299" i="4"/>
  <c r="EI299" i="4" s="1"/>
  <c r="EI298" i="4"/>
  <c r="EI295" i="4" s="1"/>
  <c r="EI296" i="4" s="1"/>
  <c r="ED867" i="4"/>
  <c r="ED909" i="4" s="1"/>
  <c r="EL745" i="4"/>
  <c r="EH379" i="4"/>
  <c r="EH351" i="4"/>
  <c r="EH360" i="4"/>
  <c r="EE878" i="4"/>
  <c r="EE879" i="4" s="1"/>
  <c r="EE921" i="4" s="1"/>
  <c r="ED920" i="4"/>
  <c r="EK260" i="4"/>
  <c r="EK271" i="4"/>
  <c r="EK272" i="4"/>
  <c r="EK300" i="4"/>
  <c r="EJ668" i="2"/>
  <c r="EJ97" i="4"/>
  <c r="EJ664" i="2" s="1"/>
  <c r="EL96" i="4"/>
  <c r="ED337" i="4"/>
  <c r="EF260" i="4"/>
  <c r="EF261" i="4" s="1"/>
  <c r="ED261" i="4"/>
  <c r="ED332" i="4"/>
  <c r="EF871" i="4"/>
  <c r="EE913" i="4"/>
  <c r="EN747" i="4"/>
  <c r="EN748" i="4" s="1"/>
  <c r="EN749" i="4" s="1"/>
  <c r="EN354" i="4"/>
  <c r="ED351" i="4"/>
  <c r="ED360" i="4"/>
  <c r="ED379" i="4"/>
  <c r="EF359" i="4"/>
  <c r="EH301" i="4"/>
  <c r="EH262" i="4"/>
  <c r="EH273" i="4"/>
  <c r="ED209" i="4"/>
  <c r="ED170" i="4"/>
  <c r="ED118" i="4"/>
  <c r="EF180" i="4"/>
  <c r="EF181" i="4" s="1"/>
  <c r="ED181" i="4"/>
  <c r="EL265" i="4"/>
  <c r="EL266" i="4" s="1"/>
  <c r="EJ266" i="4"/>
  <c r="EJ298" i="4"/>
  <c r="EJ270" i="4"/>
  <c r="EL105" i="4"/>
  <c r="EL106" i="4" s="1"/>
  <c r="EJ354" i="4"/>
  <c r="EJ163" i="4" s="1"/>
  <c r="EJ747" i="4"/>
  <c r="EL747" i="4" s="1"/>
  <c r="EE884" i="4"/>
  <c r="EE885" i="4" s="1"/>
  <c r="EE927" i="4" s="1"/>
  <c r="ED926" i="4"/>
  <c r="EH118" i="4"/>
  <c r="EH170" i="4"/>
  <c r="EH181" i="4"/>
  <c r="EH209" i="4"/>
  <c r="EE925" i="4"/>
  <c r="EF883" i="4"/>
  <c r="EF163" i="4"/>
  <c r="EF164" i="4" s="1"/>
  <c r="ED164" i="4"/>
  <c r="ED932" i="4"/>
  <c r="EE890" i="4"/>
  <c r="EE919" i="4"/>
  <c r="EF877" i="4"/>
  <c r="EE912" i="4"/>
  <c r="EF870" i="4"/>
  <c r="EF267" i="4"/>
  <c r="EF268" i="4" s="1"/>
  <c r="EF271" i="4"/>
  <c r="EF882" i="4"/>
  <c r="EE924" i="4"/>
  <c r="EI354" i="4"/>
  <c r="EI355" i="4" s="1"/>
  <c r="EG359" i="4"/>
  <c r="EG378" i="4"/>
  <c r="EI378" i="4" s="1"/>
  <c r="EG355" i="4"/>
  <c r="EN97" i="4"/>
  <c r="EN664" i="2" s="1"/>
  <c r="EN668" i="2"/>
  <c r="EG206" i="4"/>
  <c r="EI206" i="4" s="1"/>
  <c r="EI205" i="4"/>
  <c r="EI203" i="4" s="1"/>
  <c r="EI204" i="4" s="1"/>
  <c r="ET99" i="4"/>
  <c r="EQ173" i="4"/>
  <c r="EQ745" i="4"/>
  <c r="EK97" i="4"/>
  <c r="EK664" i="2" s="1"/>
  <c r="EK668" i="2"/>
  <c r="EH241" i="4"/>
  <c r="EH243" i="4" s="1"/>
  <c r="EH169" i="4"/>
  <c r="EH246" i="4"/>
  <c r="EH248" i="4" s="1"/>
  <c r="EH448" i="4" s="1"/>
  <c r="EQ265" i="4"/>
  <c r="EQ746" i="4"/>
  <c r="ET102" i="4"/>
  <c r="EF859" i="4"/>
  <c r="EE901" i="4"/>
  <c r="EE955" i="4"/>
  <c r="EE895" i="4"/>
  <c r="EH302" i="4"/>
  <c r="EF179" i="4"/>
  <c r="EF175" i="4"/>
  <c r="EF176" i="4" s="1"/>
  <c r="EI375" i="4" l="1"/>
  <c r="EI376" i="4" s="1"/>
  <c r="EI164" i="4"/>
  <c r="EG889" i="4"/>
  <c r="EF931" i="4"/>
  <c r="EK170" i="4"/>
  <c r="EK181" i="4"/>
  <c r="EK209" i="4"/>
  <c r="EK118" i="4"/>
  <c r="EP746" i="4"/>
  <c r="ER746" i="4" s="1"/>
  <c r="EP265" i="4"/>
  <c r="ER102" i="4"/>
  <c r="ER103" i="4" s="1"/>
  <c r="ES102" i="4"/>
  <c r="EM270" i="4"/>
  <c r="EM266" i="4"/>
  <c r="EM298" i="4"/>
  <c r="EO265" i="4"/>
  <c r="EO266" i="4" s="1"/>
  <c r="EL270" i="4"/>
  <c r="EJ271" i="4"/>
  <c r="EJ300" i="4"/>
  <c r="EJ302" i="4" s="1"/>
  <c r="EJ272" i="4"/>
  <c r="EJ260" i="4"/>
  <c r="EN359" i="4"/>
  <c r="EN378" i="4"/>
  <c r="EN355" i="4"/>
  <c r="EL178" i="4"/>
  <c r="EJ208" i="4"/>
  <c r="EL208" i="4" s="1"/>
  <c r="EJ168" i="4"/>
  <c r="EJ179" i="4"/>
  <c r="EJ180" i="4"/>
  <c r="EF890" i="4"/>
  <c r="EE932" i="4"/>
  <c r="ED344" i="4"/>
  <c r="ED263" i="4"/>
  <c r="ED422" i="4"/>
  <c r="ED16" i="4"/>
  <c r="EF262" i="4"/>
  <c r="EF263" i="4" s="1"/>
  <c r="EF867" i="4"/>
  <c r="EF909" i="4" s="1"/>
  <c r="EE909" i="4"/>
  <c r="EK241" i="4"/>
  <c r="EK243" i="4" s="1"/>
  <c r="EK246" i="4"/>
  <c r="EK248" i="4" s="1"/>
  <c r="EK448" i="4" s="1"/>
  <c r="EK169" i="4"/>
  <c r="ET745" i="4"/>
  <c r="EW99" i="4"/>
  <c r="ET173" i="4"/>
  <c r="EH666" i="2"/>
  <c r="EH127" i="4"/>
  <c r="EH119" i="4"/>
  <c r="EH23" i="4"/>
  <c r="EH113" i="4"/>
  <c r="EH115" i="4" s="1"/>
  <c r="EH344" i="4"/>
  <c r="EH422" i="4"/>
  <c r="EH451" i="4" s="1"/>
  <c r="EH16" i="4"/>
  <c r="EH30" i="4" s="1"/>
  <c r="EH263" i="4"/>
  <c r="EE908" i="4"/>
  <c r="EF866" i="4"/>
  <c r="EH438" i="4"/>
  <c r="EH244" i="4"/>
  <c r="EF360" i="4"/>
  <c r="EF356" i="4"/>
  <c r="EF357" i="4" s="1"/>
  <c r="EH402" i="4"/>
  <c r="EH380" i="4"/>
  <c r="ED248" i="4"/>
  <c r="EF246" i="4"/>
  <c r="EF247" i="4" s="1"/>
  <c r="EP105" i="4"/>
  <c r="EP96" i="4" s="1"/>
  <c r="ES108" i="4"/>
  <c r="ER108" i="4"/>
  <c r="ER109" i="4" s="1"/>
  <c r="EK301" i="4"/>
  <c r="EK262" i="4"/>
  <c r="EK273" i="4"/>
  <c r="EJ748" i="4"/>
  <c r="EJ749" i="4" s="1"/>
  <c r="EP745" i="4"/>
  <c r="ES99" i="4"/>
  <c r="EP173" i="4"/>
  <c r="ER99" i="4"/>
  <c r="ER100" i="4" s="1"/>
  <c r="EF241" i="4"/>
  <c r="EF242" i="4" s="1"/>
  <c r="ED243" i="4"/>
  <c r="EQ747" i="4"/>
  <c r="EQ748" i="4" s="1"/>
  <c r="EQ749" i="4" s="1"/>
  <c r="EQ354" i="4"/>
  <c r="EF937" i="4"/>
  <c r="EG752" i="4"/>
  <c r="EF780" i="4"/>
  <c r="EF209" i="4"/>
  <c r="EF210" i="4" s="1"/>
  <c r="ED210" i="4"/>
  <c r="EL668" i="2"/>
  <c r="EL97" i="4"/>
  <c r="EL664" i="2" s="1"/>
  <c r="EF872" i="4"/>
  <c r="EF873" i="4" s="1"/>
  <c r="EF915" i="4" s="1"/>
  <c r="EE914" i="4"/>
  <c r="EE903" i="4"/>
  <c r="EQ298" i="4"/>
  <c r="EQ299" i="4" s="1"/>
  <c r="EQ266" i="4"/>
  <c r="EQ270" i="4"/>
  <c r="EQ174" i="4"/>
  <c r="EQ205" i="4"/>
  <c r="EQ206" i="4" s="1"/>
  <c r="EQ178" i="4"/>
  <c r="EG882" i="4"/>
  <c r="EF924" i="4"/>
  <c r="EH420" i="4"/>
  <c r="EH449" i="4" s="1"/>
  <c r="EH171" i="4"/>
  <c r="EH253" i="4"/>
  <c r="EH15" i="4"/>
  <c r="EG170" i="4"/>
  <c r="EG209" i="4"/>
  <c r="EG210" i="4" s="1"/>
  <c r="EI180" i="4"/>
  <c r="EI181" i="4" s="1"/>
  <c r="EG118" i="4"/>
  <c r="EG181" i="4"/>
  <c r="EN180" i="4"/>
  <c r="EN168" i="4"/>
  <c r="EN208" i="4"/>
  <c r="EN179" i="4"/>
  <c r="EI300" i="4"/>
  <c r="EI302" i="4" s="1"/>
  <c r="EF906" i="4"/>
  <c r="EG864" i="4"/>
  <c r="EG888" i="4"/>
  <c r="EF930" i="4"/>
  <c r="EH409" i="4"/>
  <c r="EH452" i="4" s="1"/>
  <c r="EH17" i="4"/>
  <c r="EH31" i="4" s="1"/>
  <c r="EH413" i="4"/>
  <c r="EH463" i="4" s="1"/>
  <c r="EH424" i="4"/>
  <c r="EH352" i="4"/>
  <c r="EO745" i="4"/>
  <c r="EG301" i="4"/>
  <c r="EI301" i="4" s="1"/>
  <c r="EG273" i="4"/>
  <c r="EI272" i="4"/>
  <c r="EI273" i="4" s="1"/>
  <c r="EG262" i="4"/>
  <c r="EE896" i="4"/>
  <c r="EF860" i="4"/>
  <c r="EF861" i="4" s="1"/>
  <c r="EE956" i="4"/>
  <c r="EE957" i="4" s="1"/>
  <c r="EE902" i="4"/>
  <c r="EF884" i="4"/>
  <c r="EF885" i="4" s="1"/>
  <c r="EF927" i="4" s="1"/>
  <c r="EE926" i="4"/>
  <c r="EF332" i="4"/>
  <c r="EF333" i="4" s="1"/>
  <c r="EG333" i="4" s="1"/>
  <c r="ED334" i="4"/>
  <c r="EG246" i="4"/>
  <c r="EI168" i="4"/>
  <c r="EI169" i="4" s="1"/>
  <c r="EG241" i="4"/>
  <c r="EG169" i="4"/>
  <c r="EW108" i="4"/>
  <c r="ET105" i="4"/>
  <c r="ET96" i="4" s="1"/>
  <c r="ET97" i="4" s="1"/>
  <c r="EN163" i="4"/>
  <c r="EN164" i="4" s="1"/>
  <c r="EG379" i="4"/>
  <c r="EG351" i="4"/>
  <c r="EI359" i="4"/>
  <c r="EG360" i="4"/>
  <c r="EG883" i="4"/>
  <c r="EF925" i="4"/>
  <c r="ED402" i="4"/>
  <c r="EF379" i="4"/>
  <c r="EF380" i="4" s="1"/>
  <c r="ED380" i="4"/>
  <c r="EF901" i="4"/>
  <c r="EG859" i="4"/>
  <c r="EF955" i="4"/>
  <c r="EF895" i="4"/>
  <c r="EE873" i="4"/>
  <c r="EE915" i="4" s="1"/>
  <c r="EJ359" i="4"/>
  <c r="EJ378" i="4"/>
  <c r="EL378" i="4" s="1"/>
  <c r="EJ355" i="4"/>
  <c r="EL354" i="4"/>
  <c r="EL355" i="4" s="1"/>
  <c r="ED23" i="4"/>
  <c r="ED119" i="4"/>
  <c r="EF118" i="4"/>
  <c r="ED666" i="2"/>
  <c r="ED127" i="4"/>
  <c r="ED113" i="4"/>
  <c r="EL748" i="4"/>
  <c r="EL749" i="4" s="1"/>
  <c r="EM205" i="4"/>
  <c r="EM174" i="4"/>
  <c r="EO173" i="4"/>
  <c r="EO174" i="4" s="1"/>
  <c r="EM178" i="4"/>
  <c r="EJ206" i="4"/>
  <c r="EL206" i="4" s="1"/>
  <c r="EL205" i="4"/>
  <c r="EL203" i="4" s="1"/>
  <c r="EL204" i="4" s="1"/>
  <c r="EF954" i="4"/>
  <c r="EG858" i="4"/>
  <c r="EF900" i="4"/>
  <c r="EF894" i="4"/>
  <c r="EO105" i="4"/>
  <c r="EO106" i="4" s="1"/>
  <c r="EM354" i="4"/>
  <c r="EM163" i="4" s="1"/>
  <c r="EM747" i="4"/>
  <c r="EO747" i="4" s="1"/>
  <c r="EN272" i="4"/>
  <c r="EN271" i="4"/>
  <c r="EN260" i="4"/>
  <c r="EN300" i="4"/>
  <c r="EE939" i="4"/>
  <c r="EE782" i="4"/>
  <c r="EF918" i="4"/>
  <c r="EG876" i="4"/>
  <c r="EG865" i="4"/>
  <c r="EF907" i="4"/>
  <c r="EI271" i="4"/>
  <c r="EI267" i="4"/>
  <c r="EI268" i="4" s="1"/>
  <c r="EL298" i="4"/>
  <c r="EL295" i="4" s="1"/>
  <c r="EL296" i="4" s="1"/>
  <c r="EJ299" i="4"/>
  <c r="EL299" i="4" s="1"/>
  <c r="EE920" i="4"/>
  <c r="EF878" i="4"/>
  <c r="EI179" i="4"/>
  <c r="EI175" i="4"/>
  <c r="EI176" i="4" s="1"/>
  <c r="EG871" i="4"/>
  <c r="EF913" i="4"/>
  <c r="EE891" i="4"/>
  <c r="EE933" i="4" s="1"/>
  <c r="EG870" i="4"/>
  <c r="EF912" i="4"/>
  <c r="EK302" i="4"/>
  <c r="EL163" i="4"/>
  <c r="EL164" i="4" s="1"/>
  <c r="EJ164" i="4"/>
  <c r="EK360" i="4"/>
  <c r="EK351" i="4"/>
  <c r="EK379" i="4"/>
  <c r="ET746" i="4"/>
  <c r="EW102" i="4"/>
  <c r="ET265" i="4"/>
  <c r="EQ668" i="2"/>
  <c r="EQ97" i="4"/>
  <c r="EQ664" i="2" s="1"/>
  <c r="EG877" i="4"/>
  <c r="EF919" i="4"/>
  <c r="EH210" i="4"/>
  <c r="ED253" i="4"/>
  <c r="ED420" i="4"/>
  <c r="EF170" i="4"/>
  <c r="EF171" i="4" s="1"/>
  <c r="ED15" i="4"/>
  <c r="ED171" i="4"/>
  <c r="ED413" i="4"/>
  <c r="ED424" i="4"/>
  <c r="ED409" i="4"/>
  <c r="ED405" i="4"/>
  <c r="EF351" i="4"/>
  <c r="EF352" i="4" s="1"/>
  <c r="ED352" i="4"/>
  <c r="ED17" i="4"/>
  <c r="EF337" i="4"/>
  <c r="EF338" i="4" s="1"/>
  <c r="ED339" i="4"/>
  <c r="EK261" i="4"/>
  <c r="EK337" i="4"/>
  <c r="EK339" i="4" s="1"/>
  <c r="EK450" i="4" s="1"/>
  <c r="EM96" i="4"/>
  <c r="EG337" i="4"/>
  <c r="EG261" i="4"/>
  <c r="EI260" i="4"/>
  <c r="EI261" i="4" s="1"/>
  <c r="EF936" i="4"/>
  <c r="EG751" i="4"/>
  <c r="EF779" i="4"/>
  <c r="EE781" i="4"/>
  <c r="EF753" i="4"/>
  <c r="EE938" i="4"/>
  <c r="ED897" i="4"/>
  <c r="EH464" i="4" l="1"/>
  <c r="EH453" i="4"/>
  <c r="EL375" i="4"/>
  <c r="EL376" i="4" s="1"/>
  <c r="EL300" i="4"/>
  <c r="EL302" i="4" s="1"/>
  <c r="EO163" i="4"/>
  <c r="EO164" i="4" s="1"/>
  <c r="EM164" i="4"/>
  <c r="ER745" i="4"/>
  <c r="ER105" i="4"/>
  <c r="ER106" i="4" s="1"/>
  <c r="EP354" i="4"/>
  <c r="EP747" i="4"/>
  <c r="ER747" i="4" s="1"/>
  <c r="EH439" i="4"/>
  <c r="EH342" i="4"/>
  <c r="EH343" i="4" s="1"/>
  <c r="EH461" i="4"/>
  <c r="EH462" i="4" s="1"/>
  <c r="EG890" i="4"/>
  <c r="EF932" i="4"/>
  <c r="EN379" i="4"/>
  <c r="EN360" i="4"/>
  <c r="EN351" i="4"/>
  <c r="EJ181" i="4"/>
  <c r="EJ170" i="4"/>
  <c r="EJ118" i="4"/>
  <c r="EJ209" i="4"/>
  <c r="EJ210" i="4" s="1"/>
  <c r="EL180" i="4"/>
  <c r="EL181" i="4" s="1"/>
  <c r="EJ337" i="4"/>
  <c r="EJ261" i="4"/>
  <c r="EL260" i="4"/>
  <c r="EL261" i="4" s="1"/>
  <c r="EM272" i="4"/>
  <c r="EO270" i="4"/>
  <c r="EM300" i="4"/>
  <c r="EM302" i="4" s="1"/>
  <c r="EM260" i="4"/>
  <c r="EM271" i="4"/>
  <c r="EF248" i="4"/>
  <c r="ED448" i="4"/>
  <c r="EG866" i="4"/>
  <c r="EG867" i="4" s="1"/>
  <c r="EG909" i="4" s="1"/>
  <c r="EF908" i="4"/>
  <c r="EH36" i="4"/>
  <c r="EH26" i="4"/>
  <c r="EH39" i="4" s="1"/>
  <c r="EH454" i="4"/>
  <c r="ED30" i="4"/>
  <c r="EF16" i="4"/>
  <c r="EJ262" i="4"/>
  <c r="EJ273" i="4"/>
  <c r="EL272" i="4"/>
  <c r="EL273" i="4" s="1"/>
  <c r="EJ301" i="4"/>
  <c r="EL301" i="4" s="1"/>
  <c r="EK113" i="4"/>
  <c r="EK115" i="4" s="1"/>
  <c r="EK666" i="2"/>
  <c r="EK119" i="4"/>
  <c r="EK23" i="4"/>
  <c r="EK127" i="4"/>
  <c r="ED438" i="4"/>
  <c r="ED244" i="4"/>
  <c r="EF243" i="4"/>
  <c r="EF244" i="4" s="1"/>
  <c r="EF422" i="4"/>
  <c r="ED423" i="4"/>
  <c r="EJ246" i="4"/>
  <c r="EJ241" i="4"/>
  <c r="EJ169" i="4"/>
  <c r="EL168" i="4"/>
  <c r="EL169" i="4" s="1"/>
  <c r="EK210" i="4"/>
  <c r="EK263" i="4"/>
  <c r="EK16" i="4"/>
  <c r="EK30" i="4" s="1"/>
  <c r="EK344" i="4"/>
  <c r="EK422" i="4"/>
  <c r="EK451" i="4" s="1"/>
  <c r="ES265" i="4"/>
  <c r="ES746" i="4"/>
  <c r="EU746" i="4" s="1"/>
  <c r="EV102" i="4"/>
  <c r="EU102" i="4"/>
  <c r="EU103" i="4" s="1"/>
  <c r="EF15" i="4"/>
  <c r="ED20" i="4"/>
  <c r="ED29" i="4"/>
  <c r="ED21" i="4"/>
  <c r="EG380" i="4"/>
  <c r="EG402" i="4"/>
  <c r="EI379" i="4"/>
  <c r="EI380" i="4" s="1"/>
  <c r="EQ359" i="4"/>
  <c r="EQ378" i="4"/>
  <c r="EQ355" i="4"/>
  <c r="EJ351" i="4"/>
  <c r="EL359" i="4"/>
  <c r="EJ379" i="4"/>
  <c r="EJ360" i="4"/>
  <c r="EG420" i="4"/>
  <c r="EI170" i="4"/>
  <c r="EI171" i="4" s="1"/>
  <c r="EG15" i="4"/>
  <c r="EG171" i="4"/>
  <c r="EG253" i="4"/>
  <c r="EE897" i="4"/>
  <c r="EF405" i="4"/>
  <c r="EF406" i="4" s="1"/>
  <c r="EG406" i="4" s="1"/>
  <c r="ED442" i="4"/>
  <c r="EG884" i="4"/>
  <c r="EF926" i="4"/>
  <c r="EH29" i="4"/>
  <c r="EH21" i="4"/>
  <c r="EH4" i="4" s="1"/>
  <c r="EH20" i="4"/>
  <c r="EH751" i="4"/>
  <c r="EG779" i="4"/>
  <c r="EG936" i="4"/>
  <c r="ED459" i="4"/>
  <c r="EF253" i="4"/>
  <c r="ED251" i="4"/>
  <c r="EH883" i="4"/>
  <c r="EG925" i="4"/>
  <c r="EM748" i="4"/>
  <c r="EM749" i="4" s="1"/>
  <c r="EG243" i="4"/>
  <c r="EI241" i="4"/>
  <c r="EI242" i="4" s="1"/>
  <c r="EO748" i="4"/>
  <c r="EO749" i="4" s="1"/>
  <c r="EF891" i="4"/>
  <c r="EF933" i="4" s="1"/>
  <c r="EN181" i="4"/>
  <c r="EN209" i="4"/>
  <c r="EN118" i="4"/>
  <c r="EN170" i="4"/>
  <c r="EG872" i="4"/>
  <c r="EF914" i="4"/>
  <c r="EL179" i="4"/>
  <c r="EL175" i="4"/>
  <c r="EL176" i="4" s="1"/>
  <c r="EL267" i="4"/>
  <c r="EL268" i="4" s="1"/>
  <c r="EL271" i="4"/>
  <c r="EK15" i="4"/>
  <c r="EK171" i="4"/>
  <c r="EK253" i="4"/>
  <c r="EK420" i="4"/>
  <c r="EK449" i="4" s="1"/>
  <c r="EF17" i="4"/>
  <c r="ED31" i="4"/>
  <c r="EG753" i="4"/>
  <c r="EG754" i="4" s="1"/>
  <c r="EF781" i="4"/>
  <c r="EF938" i="4"/>
  <c r="EG339" i="4"/>
  <c r="EI337" i="4"/>
  <c r="EI338" i="4" s="1"/>
  <c r="EM378" i="4"/>
  <c r="EO378" i="4" s="1"/>
  <c r="EM359" i="4"/>
  <c r="EO354" i="4"/>
  <c r="EO355" i="4" s="1"/>
  <c r="EM355" i="4"/>
  <c r="ED115" i="4"/>
  <c r="EF113" i="4"/>
  <c r="EF115" i="4" s="1"/>
  <c r="EG332" i="4"/>
  <c r="EH333" i="4"/>
  <c r="EH332" i="4" s="1"/>
  <c r="EH334" i="4" s="1"/>
  <c r="EP97" i="4"/>
  <c r="EP664" i="2" s="1"/>
  <c r="EP668" i="2"/>
  <c r="ER96" i="4"/>
  <c r="ED426" i="4"/>
  <c r="ED93" i="4" s="1"/>
  <c r="ED421" i="4"/>
  <c r="EF420" i="4"/>
  <c r="EH871" i="4"/>
  <c r="EG913" i="4"/>
  <c r="ED136" i="4"/>
  <c r="EF136" i="4" s="1"/>
  <c r="ED142" i="4"/>
  <c r="ED146" i="4"/>
  <c r="EF146" i="4" s="1"/>
  <c r="EF127" i="4"/>
  <c r="EF128" i="4" s="1"/>
  <c r="ED128" i="4"/>
  <c r="ED133" i="4"/>
  <c r="ED130" i="4" s="1"/>
  <c r="ED452" i="4"/>
  <c r="EF409" i="4"/>
  <c r="EF410" i="4" s="1"/>
  <c r="EN302" i="4"/>
  <c r="EF666" i="2"/>
  <c r="EF119" i="4"/>
  <c r="Q54" i="9"/>
  <c r="Q55" i="9" s="1"/>
  <c r="EN241" i="4"/>
  <c r="EN243" i="4" s="1"/>
  <c r="EN246" i="4"/>
  <c r="EN248" i="4" s="1"/>
  <c r="EN448" i="4" s="1"/>
  <c r="EN169" i="4"/>
  <c r="EH459" i="4"/>
  <c r="EH251" i="4"/>
  <c r="EH252" i="4" s="1"/>
  <c r="EH403" i="4"/>
  <c r="EH433" i="4"/>
  <c r="EH434" i="4" s="1"/>
  <c r="ED425" i="4"/>
  <c r="EF424" i="4"/>
  <c r="EG878" i="4"/>
  <c r="EG879" i="4" s="1"/>
  <c r="EG921" i="4" s="1"/>
  <c r="EF920" i="4"/>
  <c r="EN261" i="4"/>
  <c r="EN337" i="4"/>
  <c r="EN339" i="4" s="1"/>
  <c r="EN450" i="4" s="1"/>
  <c r="EF754" i="4"/>
  <c r="ED450" i="4"/>
  <c r="EF339" i="4"/>
  <c r="EF413" i="4"/>
  <c r="EF414" i="4" s="1"/>
  <c r="ED463" i="4"/>
  <c r="EK402" i="4"/>
  <c r="EK380" i="4"/>
  <c r="EH865" i="4"/>
  <c r="EG907" i="4"/>
  <c r="EH858" i="4"/>
  <c r="EG894" i="4"/>
  <c r="EG954" i="4"/>
  <c r="EG900" i="4"/>
  <c r="EM206" i="4"/>
  <c r="EO206" i="4" s="1"/>
  <c r="EO205" i="4"/>
  <c r="EO203" i="4" s="1"/>
  <c r="EO204" i="4" s="1"/>
  <c r="EF23" i="4"/>
  <c r="EF36" i="4" s="1"/>
  <c r="ED26" i="4"/>
  <c r="ED36" i="4"/>
  <c r="EG955" i="4"/>
  <c r="EG895" i="4"/>
  <c r="EG901" i="4"/>
  <c r="EH859" i="4"/>
  <c r="EI356" i="4"/>
  <c r="EI357" i="4" s="1"/>
  <c r="EI360" i="4"/>
  <c r="EG860" i="4"/>
  <c r="EG861" i="4" s="1"/>
  <c r="EF956" i="4"/>
  <c r="EF957" i="4" s="1"/>
  <c r="EF902" i="4"/>
  <c r="EF896" i="4"/>
  <c r="EH888" i="4"/>
  <c r="EG930" i="4"/>
  <c r="EH421" i="4"/>
  <c r="EH426" i="4"/>
  <c r="EQ163" i="4"/>
  <c r="EQ164" i="4" s="1"/>
  <c r="ER173" i="4"/>
  <c r="ER174" i="4" s="1"/>
  <c r="EP178" i="4"/>
  <c r="EP205" i="4"/>
  <c r="EP163" i="4"/>
  <c r="EP174" i="4"/>
  <c r="EH423" i="4"/>
  <c r="EH92" i="4"/>
  <c r="ET174" i="4"/>
  <c r="ET178" i="4"/>
  <c r="ET205" i="4"/>
  <c r="ET206" i="4" s="1"/>
  <c r="EK438" i="4"/>
  <c r="EK244" i="4"/>
  <c r="ED342" i="4"/>
  <c r="EF344" i="4"/>
  <c r="EF345" i="4" s="1"/>
  <c r="ED461" i="4"/>
  <c r="ER265" i="4"/>
  <c r="ER266" i="4" s="1"/>
  <c r="EP270" i="4"/>
  <c r="EP298" i="4"/>
  <c r="EP266" i="4"/>
  <c r="EH877" i="4"/>
  <c r="EG919" i="4"/>
  <c r="EG918" i="4"/>
  <c r="EH876" i="4"/>
  <c r="ED335" i="4"/>
  <c r="ED440" i="4"/>
  <c r="EF334" i="4"/>
  <c r="EF335" i="4" s="1"/>
  <c r="EG344" i="4"/>
  <c r="EG16" i="4"/>
  <c r="EG422" i="4"/>
  <c r="EG263" i="4"/>
  <c r="EI262" i="4"/>
  <c r="EI263" i="4" s="1"/>
  <c r="EF402" i="4"/>
  <c r="EF403" i="4" s="1"/>
  <c r="ED416" i="4"/>
  <c r="ED403" i="4"/>
  <c r="ED433" i="4"/>
  <c r="ET354" i="4"/>
  <c r="ET163" i="4" s="1"/>
  <c r="ET164" i="4" s="1"/>
  <c r="ET747" i="4"/>
  <c r="ET748" i="4" s="1"/>
  <c r="ET749" i="4" s="1"/>
  <c r="EG924" i="4"/>
  <c r="EH882" i="4"/>
  <c r="EM668" i="2"/>
  <c r="EM97" i="4"/>
  <c r="EM664" i="2" s="1"/>
  <c r="EO96" i="4"/>
  <c r="ET270" i="4"/>
  <c r="ET298" i="4"/>
  <c r="ET299" i="4" s="1"/>
  <c r="ET266" i="4"/>
  <c r="EO178" i="4"/>
  <c r="EM168" i="4"/>
  <c r="EM180" i="4"/>
  <c r="EM208" i="4"/>
  <c r="EO208" i="4" s="1"/>
  <c r="EM179" i="4"/>
  <c r="EW105" i="4"/>
  <c r="EZ108" i="4"/>
  <c r="EZ105" i="4" s="1"/>
  <c r="EQ208" i="4"/>
  <c r="EQ168" i="4"/>
  <c r="EQ180" i="4"/>
  <c r="EQ179" i="4"/>
  <c r="EW746" i="4"/>
  <c r="EW265" i="4"/>
  <c r="EZ102" i="4"/>
  <c r="EF903" i="4"/>
  <c r="EH133" i="4"/>
  <c r="EH130" i="4" s="1"/>
  <c r="EH136" i="4"/>
  <c r="EH128" i="4"/>
  <c r="EI209" i="4"/>
  <c r="EI210" i="4" s="1"/>
  <c r="EK413" i="4"/>
  <c r="EK463" i="4" s="1"/>
  <c r="EK409" i="4"/>
  <c r="EK452" i="4" s="1"/>
  <c r="EK454" i="4" s="1"/>
  <c r="EK424" i="4"/>
  <c r="EK352" i="4"/>
  <c r="EK17" i="4"/>
  <c r="EK31" i="4" s="1"/>
  <c r="EH870" i="4"/>
  <c r="EG912" i="4"/>
  <c r="EF879" i="4"/>
  <c r="EF921" i="4" s="1"/>
  <c r="EN273" i="4"/>
  <c r="EN301" i="4"/>
  <c r="EN262" i="4"/>
  <c r="EG17" i="4"/>
  <c r="EG413" i="4"/>
  <c r="EI351" i="4"/>
  <c r="EI352" i="4" s="1"/>
  <c r="EG424" i="4"/>
  <c r="EG409" i="4"/>
  <c r="EG352" i="4"/>
  <c r="EG248" i="4"/>
  <c r="EI246" i="4"/>
  <c r="EI247" i="4" s="1"/>
  <c r="EH425" i="4"/>
  <c r="EG906" i="4"/>
  <c r="EH864" i="4"/>
  <c r="EG127" i="4"/>
  <c r="EG113" i="4"/>
  <c r="EG666" i="2"/>
  <c r="EI118" i="4"/>
  <c r="EG23" i="4"/>
  <c r="EG119" i="4"/>
  <c r="EQ272" i="4"/>
  <c r="EQ300" i="4"/>
  <c r="EQ260" i="4"/>
  <c r="EQ271" i="4"/>
  <c r="EH752" i="4"/>
  <c r="EG780" i="4"/>
  <c r="EG937" i="4"/>
  <c r="ES745" i="4"/>
  <c r="ES173" i="4"/>
  <c r="EV99" i="4"/>
  <c r="EU99" i="4"/>
  <c r="EU100" i="4" s="1"/>
  <c r="EU108" i="4"/>
  <c r="EU109" i="4" s="1"/>
  <c r="EV108" i="4"/>
  <c r="ES105" i="4"/>
  <c r="ES96" i="4" s="1"/>
  <c r="EZ99" i="4"/>
  <c r="EW745" i="4"/>
  <c r="EW173" i="4"/>
  <c r="EO298" i="4"/>
  <c r="EO295" i="4" s="1"/>
  <c r="EO296" i="4" s="1"/>
  <c r="EM299" i="4"/>
  <c r="EO299" i="4" s="1"/>
  <c r="EG931" i="4"/>
  <c r="EH889" i="4"/>
  <c r="EL209" i="4" l="1"/>
  <c r="EO300" i="4"/>
  <c r="EO302" i="4" s="1"/>
  <c r="EL210" i="4"/>
  <c r="EG782" i="4"/>
  <c r="EG939" i="4"/>
  <c r="EI870" i="4"/>
  <c r="EH912" i="4"/>
  <c r="EI858" i="4"/>
  <c r="EH900" i="4"/>
  <c r="EH954" i="4"/>
  <c r="EH894" i="4"/>
  <c r="EG926" i="4"/>
  <c r="EH884" i="4"/>
  <c r="EG421" i="4"/>
  <c r="EI420" i="4"/>
  <c r="EG426" i="4"/>
  <c r="EG93" i="4" s="1"/>
  <c r="EQ360" i="4"/>
  <c r="EQ351" i="4"/>
  <c r="EQ379" i="4"/>
  <c r="EF423" i="4"/>
  <c r="EN409" i="4"/>
  <c r="EN452" i="4" s="1"/>
  <c r="EN424" i="4"/>
  <c r="EN17" i="4"/>
  <c r="EN31" i="4" s="1"/>
  <c r="EN352" i="4"/>
  <c r="EN413" i="4"/>
  <c r="EN463" i="4" s="1"/>
  <c r="EG903" i="4"/>
  <c r="EN438" i="4"/>
  <c r="EN244" i="4"/>
  <c r="EF147" i="4"/>
  <c r="EG147" i="4" s="1"/>
  <c r="EH147" i="4" s="1"/>
  <c r="EH146" i="4" s="1"/>
  <c r="EF426" i="4"/>
  <c r="EF427" i="4" s="1"/>
  <c r="ED483" i="4"/>
  <c r="EF483" i="4" s="1"/>
  <c r="ED486" i="4"/>
  <c r="EF486" i="4" s="1"/>
  <c r="ED427" i="4"/>
  <c r="ED479" i="4"/>
  <c r="EG938" i="4"/>
  <c r="EH753" i="4"/>
  <c r="EG781" i="4"/>
  <c r="EH872" i="4"/>
  <c r="EH873" i="4" s="1"/>
  <c r="EH915" i="4" s="1"/>
  <c r="EG914" i="4"/>
  <c r="EG438" i="4"/>
  <c r="EI243" i="4"/>
  <c r="EI244" i="4" s="1"/>
  <c r="EG244" i="4"/>
  <c r="ED443" i="4"/>
  <c r="EF442" i="4"/>
  <c r="EF443" i="4" s="1"/>
  <c r="EY102" i="4"/>
  <c r="EV265" i="4"/>
  <c r="EX102" i="4"/>
  <c r="EX103" i="4" s="1"/>
  <c r="EV746" i="4"/>
  <c r="EX746" i="4" s="1"/>
  <c r="ED92" i="4"/>
  <c r="ED326" i="4" s="1"/>
  <c r="EH456" i="4"/>
  <c r="EJ339" i="4"/>
  <c r="EL337" i="4"/>
  <c r="EL338" i="4" s="1"/>
  <c r="EH919" i="4"/>
  <c r="EI877" i="4"/>
  <c r="ER668" i="2"/>
  <c r="ER97" i="4"/>
  <c r="ER664" i="2" s="1"/>
  <c r="EN253" i="4"/>
  <c r="EN15" i="4"/>
  <c r="EN171" i="4"/>
  <c r="EN420" i="4"/>
  <c r="EN449" i="4" s="1"/>
  <c r="EH406" i="4"/>
  <c r="EH405" i="4" s="1"/>
  <c r="EG405" i="4"/>
  <c r="EG403" i="4"/>
  <c r="EG433" i="4"/>
  <c r="EI402" i="4"/>
  <c r="EI403" i="4" s="1"/>
  <c r="EN380" i="4"/>
  <c r="EN402" i="4"/>
  <c r="EP359" i="4"/>
  <c r="ER354" i="4"/>
  <c r="ER355" i="4" s="1"/>
  <c r="EP378" i="4"/>
  <c r="ER378" i="4" s="1"/>
  <c r="EP355" i="4"/>
  <c r="EM351" i="4"/>
  <c r="EM379" i="4"/>
  <c r="EM360" i="4"/>
  <c r="EO359" i="4"/>
  <c r="EF31" i="4"/>
  <c r="Q64" i="9"/>
  <c r="Q65" i="9" s="1"/>
  <c r="EN23" i="4"/>
  <c r="EN127" i="4"/>
  <c r="EN113" i="4"/>
  <c r="EN115" i="4" s="1"/>
  <c r="EN666" i="2"/>
  <c r="EN119" i="4"/>
  <c r="EH779" i="4"/>
  <c r="EI751" i="4"/>
  <c r="EH754" i="4"/>
  <c r="EH936" i="4"/>
  <c r="EJ380" i="4"/>
  <c r="EJ402" i="4"/>
  <c r="EL379" i="4"/>
  <c r="EL380" i="4" s="1"/>
  <c r="EU265" i="4"/>
  <c r="EU266" i="4" s="1"/>
  <c r="ES266" i="4"/>
  <c r="ES270" i="4"/>
  <c r="ES298" i="4"/>
  <c r="EM337" i="4"/>
  <c r="EM261" i="4"/>
  <c r="EO260" i="4"/>
  <c r="EO261" i="4" s="1"/>
  <c r="ED131" i="4"/>
  <c r="EF130" i="4"/>
  <c r="ED400" i="4"/>
  <c r="EF400" i="4" s="1"/>
  <c r="EL356" i="4"/>
  <c r="EL357" i="4" s="1"/>
  <c r="EL360" i="4"/>
  <c r="EF438" i="4"/>
  <c r="EF439" i="4" s="1"/>
  <c r="ED444" i="4"/>
  <c r="ED439" i="4"/>
  <c r="EJ113" i="4"/>
  <c r="EJ23" i="4"/>
  <c r="EJ127" i="4"/>
  <c r="EJ666" i="2"/>
  <c r="EJ119" i="4"/>
  <c r="EL118" i="4"/>
  <c r="EH890" i="4"/>
  <c r="EH891" i="4" s="1"/>
  <c r="EH933" i="4" s="1"/>
  <c r="EG932" i="4"/>
  <c r="ER748" i="4"/>
  <c r="ER749" i="4" s="1"/>
  <c r="EI119" i="4"/>
  <c r="EI666" i="2"/>
  <c r="EH131" i="4"/>
  <c r="EH326" i="4"/>
  <c r="EH328" i="4" s="1"/>
  <c r="ET271" i="4"/>
  <c r="ET260" i="4"/>
  <c r="ET272" i="4"/>
  <c r="ET300" i="4"/>
  <c r="EI16" i="4"/>
  <c r="EI30" i="4" s="1"/>
  <c r="EG30" i="4"/>
  <c r="EW174" i="4"/>
  <c r="EW178" i="4"/>
  <c r="EW205" i="4"/>
  <c r="EW206" i="4" s="1"/>
  <c r="EO97" i="4"/>
  <c r="EO664" i="2" s="1"/>
  <c r="EO668" i="2"/>
  <c r="EF342" i="4"/>
  <c r="EF343" i="4" s="1"/>
  <c r="ED343" i="4"/>
  <c r="ED39" i="4"/>
  <c r="EF26" i="4"/>
  <c r="EF39" i="4" s="1"/>
  <c r="EF450" i="4"/>
  <c r="EF451" i="4" s="1"/>
  <c r="ED451" i="4"/>
  <c r="EV745" i="4"/>
  <c r="EY99" i="4"/>
  <c r="EV173" i="4"/>
  <c r="EX99" i="4"/>
  <c r="EX100" i="4" s="1"/>
  <c r="EN344" i="4"/>
  <c r="EN422" i="4"/>
  <c r="EN451" i="4" s="1"/>
  <c r="EN16" i="4"/>
  <c r="EN30" i="4" s="1"/>
  <c r="EN263" i="4"/>
  <c r="EF939" i="4"/>
  <c r="EF782" i="4"/>
  <c r="EQ337" i="4"/>
  <c r="EQ339" i="4" s="1"/>
  <c r="EQ450" i="4" s="1"/>
  <c r="EQ261" i="4"/>
  <c r="EK425" i="4"/>
  <c r="ER163" i="4"/>
  <c r="ER164" i="4" s="1"/>
  <c r="EP164" i="4"/>
  <c r="EU745" i="4"/>
  <c r="EQ302" i="4"/>
  <c r="EI409" i="4"/>
  <c r="EI410" i="4" s="1"/>
  <c r="EG452" i="4"/>
  <c r="EM241" i="4"/>
  <c r="EM246" i="4"/>
  <c r="EO168" i="4"/>
  <c r="EO169" i="4" s="1"/>
  <c r="EM169" i="4"/>
  <c r="EF440" i="4"/>
  <c r="EF441" i="4" s="1"/>
  <c r="ED441" i="4"/>
  <c r="ER298" i="4"/>
  <c r="ER295" i="4" s="1"/>
  <c r="ER296" i="4" s="1"/>
  <c r="EP299" i="4"/>
  <c r="ER299" i="4" s="1"/>
  <c r="EP206" i="4"/>
  <c r="ER206" i="4" s="1"/>
  <c r="ER205" i="4"/>
  <c r="ER203" i="4" s="1"/>
  <c r="ER204" i="4" s="1"/>
  <c r="EI888" i="4"/>
  <c r="EH930" i="4"/>
  <c r="ED453" i="4"/>
  <c r="EF452" i="4"/>
  <c r="EF453" i="4" s="1"/>
  <c r="EO375" i="4"/>
  <c r="EO376" i="4" s="1"/>
  <c r="EI883" i="4"/>
  <c r="EH925" i="4"/>
  <c r="EH3" i="4"/>
  <c r="EH71" i="4"/>
  <c r="EH34" i="4"/>
  <c r="EG251" i="4"/>
  <c r="EG459" i="4"/>
  <c r="EI253" i="4"/>
  <c r="EF21" i="4"/>
  <c r="ED4" i="4"/>
  <c r="EF4" i="4" s="1"/>
  <c r="EK423" i="4"/>
  <c r="ES747" i="4"/>
  <c r="EU747" i="4" s="1"/>
  <c r="ES354" i="4"/>
  <c r="ES163" i="4" s="1"/>
  <c r="EU105" i="4"/>
  <c r="EU106" i="4" s="1"/>
  <c r="EQ301" i="4"/>
  <c r="EQ262" i="4"/>
  <c r="EQ273" i="4"/>
  <c r="EI864" i="4"/>
  <c r="EH906" i="4"/>
  <c r="EI424" i="4"/>
  <c r="EG425" i="4"/>
  <c r="EK464" i="4"/>
  <c r="EF897" i="4"/>
  <c r="EQ241" i="4"/>
  <c r="EQ243" i="4" s="1"/>
  <c r="EQ246" i="4"/>
  <c r="EQ248" i="4" s="1"/>
  <c r="EQ448" i="4" s="1"/>
  <c r="EQ169" i="4"/>
  <c r="EO179" i="4"/>
  <c r="EO175" i="4"/>
  <c r="EO176" i="4" s="1"/>
  <c r="ER270" i="4"/>
  <c r="EP272" i="4"/>
  <c r="EP260" i="4"/>
  <c r="EP271" i="4"/>
  <c r="EP300" i="4"/>
  <c r="EP302" i="4" s="1"/>
  <c r="EP168" i="4"/>
  <c r="ER178" i="4"/>
  <c r="EP208" i="4"/>
  <c r="EP179" i="4"/>
  <c r="EP180" i="4"/>
  <c r="EG891" i="4"/>
  <c r="EG933" i="4" s="1"/>
  <c r="EK403" i="4"/>
  <c r="EK433" i="4"/>
  <c r="EK434" i="4" s="1"/>
  <c r="EF133" i="4"/>
  <c r="EI871" i="4"/>
  <c r="EH913" i="4"/>
  <c r="EH335" i="4"/>
  <c r="EH440" i="4"/>
  <c r="EK459" i="4"/>
  <c r="EK251" i="4"/>
  <c r="EK252" i="4" s="1"/>
  <c r="EF251" i="4"/>
  <c r="ED252" i="4"/>
  <c r="EL351" i="4"/>
  <c r="EL352" i="4" s="1"/>
  <c r="EJ424" i="4"/>
  <c r="EJ413" i="4"/>
  <c r="EJ409" i="4"/>
  <c r="EJ17" i="4"/>
  <c r="EJ352" i="4"/>
  <c r="EK342" i="4"/>
  <c r="EK343" i="4" s="1"/>
  <c r="EK461" i="4"/>
  <c r="EK462" i="4" s="1"/>
  <c r="EJ243" i="4"/>
  <c r="EL241" i="4"/>
  <c r="EL242" i="4" s="1"/>
  <c r="EH866" i="4"/>
  <c r="EH867" i="4" s="1"/>
  <c r="EG908" i="4"/>
  <c r="EO271" i="4"/>
  <c r="EO267" i="4"/>
  <c r="EO268" i="4" s="1"/>
  <c r="EJ253" i="4"/>
  <c r="EL170" i="4"/>
  <c r="EL171" i="4" s="1"/>
  <c r="EJ171" i="4"/>
  <c r="EJ420" i="4"/>
  <c r="EJ15" i="4"/>
  <c r="EP748" i="4"/>
  <c r="EP749" i="4" s="1"/>
  <c r="EI17" i="4"/>
  <c r="EI31" i="4" s="1"/>
  <c r="EG31" i="4"/>
  <c r="EW298" i="4"/>
  <c r="EW299" i="4" s="1"/>
  <c r="EW270" i="4"/>
  <c r="EW266" i="4"/>
  <c r="ET378" i="4"/>
  <c r="ET355" i="4"/>
  <c r="ET359" i="4"/>
  <c r="EH479" i="4"/>
  <c r="EH427" i="4"/>
  <c r="EH483" i="4"/>
  <c r="EU96" i="4"/>
  <c r="ES97" i="4"/>
  <c r="EG461" i="4"/>
  <c r="EG342" i="4"/>
  <c r="EI344" i="4"/>
  <c r="EI345" i="4" s="1"/>
  <c r="EH860" i="4"/>
  <c r="EH861" i="4" s="1"/>
  <c r="EG902" i="4"/>
  <c r="EG956" i="4"/>
  <c r="EG957" i="4" s="1"/>
  <c r="EG896" i="4"/>
  <c r="EI113" i="4"/>
  <c r="EI115" i="4" s="1"/>
  <c r="EG115" i="4"/>
  <c r="EG448" i="4"/>
  <c r="EI248" i="4"/>
  <c r="EH91" i="4"/>
  <c r="EH235" i="4" s="1"/>
  <c r="EH237" i="4" s="1"/>
  <c r="EF142" i="4"/>
  <c r="ED139" i="4"/>
  <c r="ED140" i="4" s="1"/>
  <c r="ES205" i="4"/>
  <c r="ES174" i="4"/>
  <c r="ES178" i="4"/>
  <c r="EU173" i="4"/>
  <c r="EU174" i="4" s="1"/>
  <c r="EG136" i="4"/>
  <c r="EI136" i="4" s="1"/>
  <c r="EG146" i="4"/>
  <c r="EI146" i="4" s="1"/>
  <c r="EG133" i="4"/>
  <c r="EG130" i="4" s="1"/>
  <c r="EI127" i="4"/>
  <c r="EI128" i="4" s="1"/>
  <c r="EG128" i="4"/>
  <c r="EM209" i="4"/>
  <c r="EM210" i="4" s="1"/>
  <c r="EM118" i="4"/>
  <c r="EM170" i="4"/>
  <c r="EO180" i="4"/>
  <c r="EO181" i="4" s="1"/>
  <c r="EM181" i="4"/>
  <c r="ED417" i="4"/>
  <c r="ED473" i="4"/>
  <c r="ED45" i="4"/>
  <c r="EF416" i="4"/>
  <c r="EF417" i="4" s="1"/>
  <c r="EK439" i="4"/>
  <c r="EH907" i="4"/>
  <c r="EI865" i="4"/>
  <c r="EK426" i="4"/>
  <c r="EK92" i="4" s="1"/>
  <c r="EK421" i="4"/>
  <c r="EI889" i="4"/>
  <c r="EH931" i="4"/>
  <c r="EV105" i="4"/>
  <c r="EY108" i="4"/>
  <c r="EX108" i="4"/>
  <c r="EX109" i="4" s="1"/>
  <c r="EG873" i="4"/>
  <c r="EG915" i="4" s="1"/>
  <c r="ER208" i="4"/>
  <c r="EG885" i="4"/>
  <c r="EG927" i="4" s="1"/>
  <c r="ET208" i="4"/>
  <c r="ET168" i="4"/>
  <c r="ET179" i="4"/>
  <c r="ET180" i="4"/>
  <c r="EF463" i="4"/>
  <c r="EF464" i="4" s="1"/>
  <c r="ED464" i="4"/>
  <c r="EH878" i="4"/>
  <c r="EG920" i="4"/>
  <c r="EH465" i="4"/>
  <c r="EH466" i="4" s="1"/>
  <c r="EH460" i="4"/>
  <c r="ED91" i="4"/>
  <c r="ED235" i="4" s="1"/>
  <c r="EI332" i="4"/>
  <c r="EI333" i="4" s="1"/>
  <c r="EJ333" i="4" s="1"/>
  <c r="EG334" i="4"/>
  <c r="EI339" i="4"/>
  <c r="EG450" i="4"/>
  <c r="EI15" i="4"/>
  <c r="EI29" i="4" s="1"/>
  <c r="EG20" i="4"/>
  <c r="EG21" i="4"/>
  <c r="EG29" i="4"/>
  <c r="ED71" i="4"/>
  <c r="EF20" i="4"/>
  <c r="ED34" i="4"/>
  <c r="ED3" i="4"/>
  <c r="ED30" i="2"/>
  <c r="EL246" i="4"/>
  <c r="EL247" i="4" s="1"/>
  <c r="EJ248" i="4"/>
  <c r="EK133" i="4"/>
  <c r="EK130" i="4" s="1"/>
  <c r="EK128" i="4"/>
  <c r="EK136" i="4"/>
  <c r="EJ344" i="4"/>
  <c r="EJ422" i="4"/>
  <c r="EL262" i="4"/>
  <c r="EL263" i="4" s="1"/>
  <c r="EJ16" i="4"/>
  <c r="EJ263" i="4"/>
  <c r="ED454" i="4"/>
  <c r="EF448" i="4"/>
  <c r="EF449" i="4" s="1"/>
  <c r="ED449" i="4"/>
  <c r="EO272" i="4"/>
  <c r="EO273" i="4" s="1"/>
  <c r="EM301" i="4"/>
  <c r="EO301" i="4" s="1"/>
  <c r="EM262" i="4"/>
  <c r="EM273" i="4"/>
  <c r="EW354" i="4"/>
  <c r="EW163" i="4" s="1"/>
  <c r="EW164" i="4" s="1"/>
  <c r="EW747" i="4"/>
  <c r="EW748" i="4" s="1"/>
  <c r="EW749" i="4" s="1"/>
  <c r="EN454" i="4"/>
  <c r="ED434" i="4"/>
  <c r="EF433" i="4"/>
  <c r="EF434" i="4" s="1"/>
  <c r="EW96" i="4"/>
  <c r="EW97" i="4" s="1"/>
  <c r="EF137" i="4"/>
  <c r="EF481" i="4" s="1"/>
  <c r="EZ96" i="4"/>
  <c r="EZ745" i="4"/>
  <c r="EZ173" i="4"/>
  <c r="EK453" i="4"/>
  <c r="EQ209" i="4"/>
  <c r="EQ170" i="4"/>
  <c r="EQ181" i="4"/>
  <c r="EQ118" i="4"/>
  <c r="EH885" i="4"/>
  <c r="EH927" i="4" s="1"/>
  <c r="EI882" i="4"/>
  <c r="EH924" i="4"/>
  <c r="EI859" i="4"/>
  <c r="EH895" i="4"/>
  <c r="EH955" i="4"/>
  <c r="EH901" i="4"/>
  <c r="EN210" i="4"/>
  <c r="EI752" i="4"/>
  <c r="EH937" i="4"/>
  <c r="EH780" i="4"/>
  <c r="EG26" i="4"/>
  <c r="EG36" i="4"/>
  <c r="EI23" i="4"/>
  <c r="EI36" i="4" s="1"/>
  <c r="EH93" i="4"/>
  <c r="EH400" i="4" s="1"/>
  <c r="EG463" i="4"/>
  <c r="EI413" i="4"/>
  <c r="EI414" i="4" s="1"/>
  <c r="EZ746" i="4"/>
  <c r="EZ265" i="4"/>
  <c r="EZ354" i="4"/>
  <c r="EZ747" i="4"/>
  <c r="EI422" i="4"/>
  <c r="EG423" i="4"/>
  <c r="EI876" i="4"/>
  <c r="EH918" i="4"/>
  <c r="EF461" i="4"/>
  <c r="EF462" i="4" s="1"/>
  <c r="ED462" i="4"/>
  <c r="EF425" i="4"/>
  <c r="EF421" i="4"/>
  <c r="EK21" i="4"/>
  <c r="EK4" i="4" s="1"/>
  <c r="EK29" i="4"/>
  <c r="EK20" i="4"/>
  <c r="EF459" i="4"/>
  <c r="EF460" i="4" s="1"/>
  <c r="ED465" i="4"/>
  <c r="ED460" i="4"/>
  <c r="EF29" i="4"/>
  <c r="Q60" i="9"/>
  <c r="Q61" i="9" s="1"/>
  <c r="EK26" i="4"/>
  <c r="EK39" i="4" s="1"/>
  <c r="EK36" i="4"/>
  <c r="Q62" i="9"/>
  <c r="Q63" i="9" s="1"/>
  <c r="EF30" i="4"/>
  <c r="EG92" i="4" l="1"/>
  <c r="EK91" i="4"/>
  <c r="ES748" i="4"/>
  <c r="ES749" i="4" s="1"/>
  <c r="EG91" i="4"/>
  <c r="EO209" i="4"/>
  <c r="EO210" i="4" s="1"/>
  <c r="EF92" i="4"/>
  <c r="EF91" i="4"/>
  <c r="EF487" i="4"/>
  <c r="EG487" i="4" s="1"/>
  <c r="EG486" i="4" s="1"/>
  <c r="EZ97" i="4"/>
  <c r="EF93" i="4"/>
  <c r="EU748" i="4"/>
  <c r="EU749" i="4" s="1"/>
  <c r="EF484" i="4"/>
  <c r="EH903" i="4"/>
  <c r="EI867" i="4"/>
  <c r="EI909" i="4" s="1"/>
  <c r="EH909" i="4"/>
  <c r="EF326" i="4"/>
  <c r="ED328" i="4"/>
  <c r="EH256" i="4"/>
  <c r="EH238" i="4"/>
  <c r="EH429" i="4"/>
  <c r="EK326" i="4"/>
  <c r="EK328" i="4" s="1"/>
  <c r="EK131" i="4"/>
  <c r="EK235" i="4"/>
  <c r="EK237" i="4" s="1"/>
  <c r="EF235" i="4"/>
  <c r="ED237" i="4"/>
  <c r="EJ448" i="4"/>
  <c r="EL248" i="4"/>
  <c r="EF473" i="4"/>
  <c r="EF474" i="4" s="1"/>
  <c r="ED474" i="4"/>
  <c r="ES179" i="4"/>
  <c r="EU178" i="4"/>
  <c r="ES168" i="4"/>
  <c r="ES208" i="4"/>
  <c r="EU208" i="4" s="1"/>
  <c r="ES180" i="4"/>
  <c r="EI448" i="4"/>
  <c r="EI449" i="4" s="1"/>
  <c r="EG449" i="4"/>
  <c r="EG454" i="4"/>
  <c r="EI342" i="4"/>
  <c r="EI343" i="4" s="1"/>
  <c r="EG343" i="4"/>
  <c r="EL15" i="4"/>
  <c r="EL29" i="4" s="1"/>
  <c r="EJ20" i="4"/>
  <c r="EJ21" i="4"/>
  <c r="EJ29" i="4"/>
  <c r="EJ452" i="4"/>
  <c r="EL409" i="4"/>
  <c r="EL410" i="4" s="1"/>
  <c r="EH441" i="4"/>
  <c r="EI930" i="4"/>
  <c r="EJ888" i="4"/>
  <c r="ER300" i="4"/>
  <c r="ER302" i="4" s="1"/>
  <c r="ET302" i="4"/>
  <c r="EL666" i="2"/>
  <c r="EL119" i="4"/>
  <c r="EL402" i="4"/>
  <c r="EL403" i="4" s="1"/>
  <c r="EJ433" i="4"/>
  <c r="EJ403" i="4"/>
  <c r="EM17" i="4"/>
  <c r="EM424" i="4"/>
  <c r="EM409" i="4"/>
  <c r="EM413" i="4"/>
  <c r="EO351" i="4"/>
  <c r="EO352" i="4" s="1"/>
  <c r="EM352" i="4"/>
  <c r="EG442" i="4"/>
  <c r="EI405" i="4"/>
  <c r="EI406" i="4" s="1"/>
  <c r="EJ406" i="4" s="1"/>
  <c r="EJ450" i="4"/>
  <c r="EL339" i="4"/>
  <c r="EN425" i="4"/>
  <c r="EI421" i="4"/>
  <c r="EI954" i="4"/>
  <c r="EI894" i="4"/>
  <c r="EI900" i="4"/>
  <c r="EJ858" i="4"/>
  <c r="EI423" i="4"/>
  <c r="EI461" i="4"/>
  <c r="EI462" i="4" s="1"/>
  <c r="EG462" i="4"/>
  <c r="EI866" i="4"/>
  <c r="EH908" i="4"/>
  <c r="EL413" i="4"/>
  <c r="EL414" i="4" s="1"/>
  <c r="EJ463" i="4"/>
  <c r="EQ244" i="4"/>
  <c r="EQ438" i="4"/>
  <c r="EJ864" i="4"/>
  <c r="EI906" i="4"/>
  <c r="ET301" i="4"/>
  <c r="ET262" i="4"/>
  <c r="ET273" i="4"/>
  <c r="EN133" i="4"/>
  <c r="EN136" i="4"/>
  <c r="EN128" i="4"/>
  <c r="EP379" i="4"/>
  <c r="EP351" i="4"/>
  <c r="EP360" i="4"/>
  <c r="ER359" i="4"/>
  <c r="EH442" i="4"/>
  <c r="EH443" i="4" s="1"/>
  <c r="EH416" i="4"/>
  <c r="ED489" i="4"/>
  <c r="EF479" i="4"/>
  <c r="EF480" i="4" s="1"/>
  <c r="EN453" i="4"/>
  <c r="EU205" i="4"/>
  <c r="EU203" i="4" s="1"/>
  <c r="EU204" i="4" s="1"/>
  <c r="ES206" i="4"/>
  <c r="EU206" i="4" s="1"/>
  <c r="EP337" i="4"/>
  <c r="EP261" i="4"/>
  <c r="ER260" i="4"/>
  <c r="ER261" i="4" s="1"/>
  <c r="EV174" i="4"/>
  <c r="EV205" i="4"/>
  <c r="EV178" i="4"/>
  <c r="EX173" i="4"/>
  <c r="EX174" i="4" s="1"/>
  <c r="ET337" i="4"/>
  <c r="ET339" i="4" s="1"/>
  <c r="ET450" i="4" s="1"/>
  <c r="ET261" i="4"/>
  <c r="EO337" i="4"/>
  <c r="EO338" i="4" s="1"/>
  <c r="EM339" i="4"/>
  <c r="EN36" i="4"/>
  <c r="EN26" i="4"/>
  <c r="EN39" i="4" s="1"/>
  <c r="EN433" i="4"/>
  <c r="EN434" i="4" s="1"/>
  <c r="EN403" i="4"/>
  <c r="EN421" i="4"/>
  <c r="EN426" i="4"/>
  <c r="EN92" i="4" s="1"/>
  <c r="EN439" i="4"/>
  <c r="EV747" i="4"/>
  <c r="EX747" i="4" s="1"/>
  <c r="EV354" i="4"/>
  <c r="EV163" i="4" s="1"/>
  <c r="EX105" i="4"/>
  <c r="EX106" i="4" s="1"/>
  <c r="EI147" i="4"/>
  <c r="EJ147" i="4" s="1"/>
  <c r="EK147" i="4" s="1"/>
  <c r="EW260" i="4"/>
  <c r="EW272" i="4"/>
  <c r="EW271" i="4"/>
  <c r="EW300" i="4"/>
  <c r="EJ438" i="4"/>
  <c r="EL243" i="4"/>
  <c r="EL244" i="4" s="1"/>
  <c r="EJ244" i="4"/>
  <c r="EI913" i="4"/>
  <c r="EJ871" i="4"/>
  <c r="EP170" i="4"/>
  <c r="EP118" i="4"/>
  <c r="ER180" i="4"/>
  <c r="ER181" i="4" s="1"/>
  <c r="EP209" i="4"/>
  <c r="EP210" i="4" s="1"/>
  <c r="EP181" i="4"/>
  <c r="ER272" i="4"/>
  <c r="ER273" i="4" s="1"/>
  <c r="EP262" i="4"/>
  <c r="EP301" i="4"/>
  <c r="ER301" i="4" s="1"/>
  <c r="EP273" i="4"/>
  <c r="EQ16" i="4"/>
  <c r="EQ30" i="4" s="1"/>
  <c r="EQ263" i="4"/>
  <c r="EQ344" i="4"/>
  <c r="EQ422" i="4"/>
  <c r="EJ883" i="4"/>
  <c r="EI925" i="4"/>
  <c r="EO241" i="4"/>
  <c r="EO242" i="4" s="1"/>
  <c r="EM243" i="4"/>
  <c r="EV96" i="4"/>
  <c r="EW208" i="4"/>
  <c r="EW180" i="4"/>
  <c r="EW168" i="4"/>
  <c r="EW179" i="4"/>
  <c r="EJ136" i="4"/>
  <c r="EL136" i="4" s="1"/>
  <c r="EL127" i="4"/>
  <c r="EL128" i="4" s="1"/>
  <c r="EJ133" i="4"/>
  <c r="EJ130" i="4" s="1"/>
  <c r="EJ128" i="4"/>
  <c r="ES299" i="4"/>
  <c r="EU299" i="4" s="1"/>
  <c r="EU298" i="4"/>
  <c r="EU295" i="4" s="1"/>
  <c r="EU296" i="4" s="1"/>
  <c r="EH782" i="4"/>
  <c r="EH939" i="4"/>
  <c r="EI438" i="4"/>
  <c r="EI439" i="4" s="1"/>
  <c r="EG439" i="4"/>
  <c r="EI884" i="4"/>
  <c r="EI885" i="4" s="1"/>
  <c r="EI927" i="4" s="1"/>
  <c r="EH926" i="4"/>
  <c r="EJ870" i="4"/>
  <c r="EI912" i="4"/>
  <c r="EQ23" i="4"/>
  <c r="EQ113" i="4"/>
  <c r="EQ115" i="4" s="1"/>
  <c r="EQ666" i="2"/>
  <c r="EQ119" i="4"/>
  <c r="EQ127" i="4"/>
  <c r="FA99" i="4"/>
  <c r="FA100" i="4" s="1"/>
  <c r="EY745" i="4"/>
  <c r="EY173" i="4"/>
  <c r="EH347" i="4"/>
  <c r="EH431" i="4"/>
  <c r="EH432" i="4" s="1"/>
  <c r="EH329" i="4"/>
  <c r="EJ36" i="4"/>
  <c r="EJ26" i="4"/>
  <c r="EL23" i="4"/>
  <c r="EL36" i="4" s="1"/>
  <c r="EF131" i="4"/>
  <c r="ES272" i="4"/>
  <c r="ES271" i="4"/>
  <c r="ES260" i="4"/>
  <c r="EU270" i="4"/>
  <c r="ES300" i="4"/>
  <c r="ES302" i="4" s="1"/>
  <c r="EI779" i="4"/>
  <c r="EJ751" i="4"/>
  <c r="EI936" i="4"/>
  <c r="Q24" i="9"/>
  <c r="EN21" i="4"/>
  <c r="EN4" i="4" s="1"/>
  <c r="EN20" i="4"/>
  <c r="EN29" i="4"/>
  <c r="EG897" i="4"/>
  <c r="EQ402" i="4"/>
  <c r="EQ380" i="4"/>
  <c r="ET241" i="4"/>
  <c r="ET243" i="4" s="1"/>
  <c r="ET246" i="4"/>
  <c r="ET248" i="4" s="1"/>
  <c r="ET448" i="4" s="1"/>
  <c r="ET169" i="4"/>
  <c r="EG131" i="4"/>
  <c r="EG326" i="4"/>
  <c r="EI130" i="4"/>
  <c r="EG235" i="4"/>
  <c r="EG400" i="4"/>
  <c r="EI400" i="4" s="1"/>
  <c r="EL420" i="4"/>
  <c r="EJ426" i="4"/>
  <c r="EJ93" i="4" s="1"/>
  <c r="EJ421" i="4"/>
  <c r="ED466" i="4"/>
  <c r="EF465" i="4"/>
  <c r="EF466" i="4" s="1"/>
  <c r="EJ865" i="4"/>
  <c r="EI907" i="4"/>
  <c r="EL424" i="4"/>
  <c r="EJ425" i="4"/>
  <c r="EM248" i="4"/>
  <c r="EO246" i="4"/>
  <c r="EO247" i="4" s="1"/>
  <c r="EQ253" i="4"/>
  <c r="EQ171" i="4"/>
  <c r="EQ420" i="4"/>
  <c r="EQ449" i="4" s="1"/>
  <c r="EQ15" i="4"/>
  <c r="EI450" i="4"/>
  <c r="EI451" i="4" s="1"/>
  <c r="EG451" i="4"/>
  <c r="EK3" i="4"/>
  <c r="EK71" i="4"/>
  <c r="EK34" i="4"/>
  <c r="EG39" i="4"/>
  <c r="EI26" i="4"/>
  <c r="EI39" i="4" s="1"/>
  <c r="ER209" i="4"/>
  <c r="EQ210" i="4"/>
  <c r="EW359" i="4"/>
  <c r="EW355" i="4"/>
  <c r="EW378" i="4"/>
  <c r="ER267" i="4"/>
  <c r="ER268" i="4" s="1"/>
  <c r="ER271" i="4"/>
  <c r="EZ270" i="4"/>
  <c r="EZ266" i="4"/>
  <c r="EZ298" i="4"/>
  <c r="EZ299" i="4" s="1"/>
  <c r="EI895" i="4"/>
  <c r="EI901" i="4"/>
  <c r="EJ859" i="4"/>
  <c r="EI955" i="4"/>
  <c r="EL16" i="4"/>
  <c r="EL30" i="4" s="1"/>
  <c r="EJ30" i="4"/>
  <c r="EF71" i="4"/>
  <c r="EF34" i="4"/>
  <c r="EF30" i="2"/>
  <c r="EG440" i="4"/>
  <c r="EG444" i="4" s="1"/>
  <c r="EI334" i="4"/>
  <c r="EI335" i="4" s="1"/>
  <c r="EG335" i="4"/>
  <c r="EK479" i="4"/>
  <c r="EK483" i="4"/>
  <c r="EK427" i="4"/>
  <c r="EM127" i="4"/>
  <c r="EM23" i="4"/>
  <c r="EM113" i="4"/>
  <c r="EM119" i="4"/>
  <c r="EO118" i="4"/>
  <c r="EM666" i="2"/>
  <c r="EI137" i="4"/>
  <c r="EI481" i="4" s="1"/>
  <c r="EF143" i="4"/>
  <c r="EG143" i="4" s="1"/>
  <c r="EF139" i="4"/>
  <c r="EF252" i="4"/>
  <c r="EF254" i="4"/>
  <c r="EF134" i="4"/>
  <c r="Q25" i="9"/>
  <c r="EG460" i="4"/>
  <c r="EG465" i="4"/>
  <c r="EI459" i="4"/>
  <c r="EI460" i="4" s="1"/>
  <c r="EG453" i="4"/>
  <c r="EI452" i="4"/>
  <c r="EI453" i="4" s="1"/>
  <c r="EK93" i="4"/>
  <c r="EK400" i="4" s="1"/>
  <c r="EX745" i="4"/>
  <c r="EL113" i="4"/>
  <c r="EL115" i="4" s="1"/>
  <c r="EJ115" i="4"/>
  <c r="EO356" i="4"/>
  <c r="EO357" i="4" s="1"/>
  <c r="EO360" i="4"/>
  <c r="EG416" i="4"/>
  <c r="EN251" i="4"/>
  <c r="EN252" i="4" s="1"/>
  <c r="EN459" i="4"/>
  <c r="EJ877" i="4"/>
  <c r="EI919" i="4"/>
  <c r="EV270" i="4"/>
  <c r="EV298" i="4"/>
  <c r="EX265" i="4"/>
  <c r="EX266" i="4" s="1"/>
  <c r="EV266" i="4"/>
  <c r="EH914" i="4"/>
  <c r="EI872" i="4"/>
  <c r="EI873" i="4" s="1"/>
  <c r="EI915" i="4" s="1"/>
  <c r="EN464" i="4"/>
  <c r="EQ413" i="4"/>
  <c r="EQ463" i="4" s="1"/>
  <c r="EQ17" i="4"/>
  <c r="EQ31" i="4" s="1"/>
  <c r="EQ424" i="4"/>
  <c r="EQ409" i="4"/>
  <c r="EQ452" i="4" s="1"/>
  <c r="EQ352" i="4"/>
  <c r="EJ461" i="4"/>
  <c r="EJ342" i="4"/>
  <c r="EL344" i="4"/>
  <c r="EL345" i="4" s="1"/>
  <c r="EI21" i="4"/>
  <c r="EG4" i="4"/>
  <c r="EI4" i="4" s="1"/>
  <c r="ED33" i="2"/>
  <c r="ED42" i="2" s="1"/>
  <c r="ED52" i="3"/>
  <c r="ED232" i="2"/>
  <c r="ED231" i="2" s="1"/>
  <c r="ED165" i="2"/>
  <c r="ED179" i="3"/>
  <c r="ED191" i="2" s="1"/>
  <c r="ED189" i="2" s="1"/>
  <c r="ED150" i="2"/>
  <c r="ED240" i="2"/>
  <c r="ED236" i="2" s="1"/>
  <c r="ED336" i="2"/>
  <c r="ED31" i="2"/>
  <c r="ED168" i="2"/>
  <c r="ED267" i="2"/>
  <c r="ED266" i="2" s="1"/>
  <c r="ED337" i="2"/>
  <c r="EJ889" i="4"/>
  <c r="EI931" i="4"/>
  <c r="EI133" i="4"/>
  <c r="EI134" i="4" s="1"/>
  <c r="EZ378" i="4"/>
  <c r="EZ355" i="4"/>
  <c r="EZ359" i="4"/>
  <c r="EM15" i="4"/>
  <c r="EM253" i="4"/>
  <c r="EM420" i="4"/>
  <c r="EO170" i="4"/>
  <c r="EO171" i="4" s="1"/>
  <c r="EM171" i="4"/>
  <c r="EL253" i="4"/>
  <c r="EJ459" i="4"/>
  <c r="EJ251" i="4"/>
  <c r="EJ876" i="4"/>
  <c r="EI918" i="4"/>
  <c r="EZ205" i="4"/>
  <c r="EZ206" i="4" s="1"/>
  <c r="EZ163" i="4"/>
  <c r="EZ164" i="4" s="1"/>
  <c r="EZ174" i="4"/>
  <c r="EZ178" i="4"/>
  <c r="EM263" i="4"/>
  <c r="EM344" i="4"/>
  <c r="EM16" i="4"/>
  <c r="EM422" i="4"/>
  <c r="EO262" i="4"/>
  <c r="EO263" i="4" s="1"/>
  <c r="EJ332" i="4"/>
  <c r="EK333" i="4"/>
  <c r="EK332" i="4" s="1"/>
  <c r="EK334" i="4" s="1"/>
  <c r="ES164" i="4"/>
  <c r="EU163" i="4"/>
  <c r="EU164" i="4" s="1"/>
  <c r="EH956" i="4"/>
  <c r="EH957" i="4" s="1"/>
  <c r="EI860" i="4"/>
  <c r="EI861" i="4" s="1"/>
  <c r="EH896" i="4"/>
  <c r="EH902" i="4"/>
  <c r="ED149" i="4"/>
  <c r="ER175" i="4"/>
  <c r="ER176" i="4" s="1"/>
  <c r="ER179" i="4"/>
  <c r="EI425" i="4"/>
  <c r="EU354" i="4"/>
  <c r="EU355" i="4" s="1"/>
  <c r="ES359" i="4"/>
  <c r="ES378" i="4"/>
  <c r="EU378" i="4" s="1"/>
  <c r="ES355" i="4"/>
  <c r="EG252" i="4"/>
  <c r="EI251" i="4"/>
  <c r="EN423" i="4"/>
  <c r="EI433" i="4"/>
  <c r="EI434" i="4" s="1"/>
  <c r="EG434" i="4"/>
  <c r="FA102" i="4"/>
  <c r="FA103" i="4" s="1"/>
  <c r="EY265" i="4"/>
  <c r="EY746" i="4"/>
  <c r="FA746" i="4" s="1"/>
  <c r="EI463" i="4"/>
  <c r="EI464" i="4" s="1"/>
  <c r="EG464" i="4"/>
  <c r="EI20" i="4"/>
  <c r="EG34" i="4"/>
  <c r="EG3" i="4"/>
  <c r="EG71" i="4"/>
  <c r="EG30" i="2"/>
  <c r="ED456" i="4"/>
  <c r="EF454" i="4"/>
  <c r="EF456" i="4" s="1"/>
  <c r="EF3" i="4"/>
  <c r="ED11" i="4"/>
  <c r="EI878" i="4"/>
  <c r="EI879" i="4" s="1"/>
  <c r="EI921" i="4" s="1"/>
  <c r="EH920" i="4"/>
  <c r="EU97" i="4"/>
  <c r="EH879" i="4"/>
  <c r="EH921" i="4" s="1"/>
  <c r="EJ752" i="4"/>
  <c r="EI780" i="4"/>
  <c r="EI937" i="4"/>
  <c r="EI924" i="4"/>
  <c r="EJ882" i="4"/>
  <c r="EZ748" i="4"/>
  <c r="EZ749" i="4" s="1"/>
  <c r="EL422" i="4"/>
  <c r="EJ423" i="4"/>
  <c r="ET209" i="4"/>
  <c r="ET170" i="4"/>
  <c r="ET118" i="4"/>
  <c r="ET181" i="4"/>
  <c r="FA108" i="4"/>
  <c r="FA109" i="4" s="1"/>
  <c r="EY105" i="4"/>
  <c r="EY96" i="4" s="1"/>
  <c r="EF45" i="4"/>
  <c r="ED66" i="4"/>
  <c r="ED56" i="4"/>
  <c r="ET379" i="4"/>
  <c r="ET351" i="4"/>
  <c r="ET360" i="4"/>
  <c r="EL17" i="4"/>
  <c r="EL31" i="4" s="1"/>
  <c r="EJ31" i="4"/>
  <c r="EK460" i="4"/>
  <c r="EK465" i="4"/>
  <c r="EK466" i="4" s="1"/>
  <c r="EP241" i="4"/>
  <c r="EP246" i="4"/>
  <c r="EP169" i="4"/>
  <c r="ER168" i="4"/>
  <c r="ER169" i="4" s="1"/>
  <c r="EN461" i="4"/>
  <c r="EN462" i="4" s="1"/>
  <c r="EN342" i="4"/>
  <c r="EN343" i="4" s="1"/>
  <c r="EI890" i="4"/>
  <c r="EI891" i="4" s="1"/>
  <c r="EI933" i="4" s="1"/>
  <c r="EH932" i="4"/>
  <c r="ED445" i="4"/>
  <c r="EF444" i="4"/>
  <c r="EF445" i="4" s="1"/>
  <c r="EM402" i="4"/>
  <c r="EO379" i="4"/>
  <c r="EO380" i="4" s="1"/>
  <c r="EM380" i="4"/>
  <c r="ER375" i="4"/>
  <c r="ER376" i="4" s="1"/>
  <c r="EH938" i="4"/>
  <c r="EH781" i="4"/>
  <c r="EI753" i="4"/>
  <c r="EG427" i="4"/>
  <c r="EG479" i="4"/>
  <c r="EG483" i="4"/>
  <c r="EI483" i="4" s="1"/>
  <c r="EI426" i="4"/>
  <c r="EI427" i="4" s="1"/>
  <c r="EK456" i="4"/>
  <c r="ER210" i="4" l="1"/>
  <c r="EN456" i="4"/>
  <c r="EH487" i="4"/>
  <c r="EH486" i="4" s="1"/>
  <c r="EH489" i="4" s="1"/>
  <c r="EJ92" i="4"/>
  <c r="EQ464" i="4"/>
  <c r="EV748" i="4"/>
  <c r="EV749" i="4" s="1"/>
  <c r="EJ146" i="4"/>
  <c r="EX748" i="4"/>
  <c r="EX749" i="4" s="1"/>
  <c r="EQ453" i="4"/>
  <c r="EX163" i="4"/>
  <c r="EX164" i="4" s="1"/>
  <c r="EV164" i="4"/>
  <c r="ES170" i="4"/>
  <c r="ES181" i="4"/>
  <c r="ES209" i="4"/>
  <c r="ES210" i="4" s="1"/>
  <c r="EU180" i="4"/>
  <c r="EU181" i="4" s="1"/>
  <c r="ES118" i="4"/>
  <c r="EG33" i="2"/>
  <c r="EG240" i="2"/>
  <c r="EG236" i="2" s="1"/>
  <c r="EG267" i="2"/>
  <c r="EG266" i="2" s="1"/>
  <c r="EG179" i="3"/>
  <c r="EG191" i="2" s="1"/>
  <c r="EG189" i="2" s="1"/>
  <c r="EG52" i="3"/>
  <c r="EG150" i="2"/>
  <c r="EG232" i="2"/>
  <c r="EG231" i="2" s="1"/>
  <c r="EG165" i="2"/>
  <c r="EG31" i="2"/>
  <c r="EG336" i="2"/>
  <c r="EG337" i="2"/>
  <c r="FA96" i="4"/>
  <c r="EY97" i="4"/>
  <c r="EK883" i="4"/>
  <c r="EJ925" i="4"/>
  <c r="EI903" i="4"/>
  <c r="EJ3" i="4"/>
  <c r="EL20" i="4"/>
  <c r="EJ34" i="4"/>
  <c r="EJ30" i="2"/>
  <c r="EJ71" i="4"/>
  <c r="ED429" i="4"/>
  <c r="ED256" i="4"/>
  <c r="ED238" i="4"/>
  <c r="EF237" i="4"/>
  <c r="EF238" i="4" s="1"/>
  <c r="EH43" i="4"/>
  <c r="EH469" i="4"/>
  <c r="EH257" i="4"/>
  <c r="EG489" i="4"/>
  <c r="EI479" i="4"/>
  <c r="EI480" i="4" s="1"/>
  <c r="ET409" i="4"/>
  <c r="ET452" i="4" s="1"/>
  <c r="ET413" i="4"/>
  <c r="ET463" i="4" s="1"/>
  <c r="ET17" i="4"/>
  <c r="ET31" i="4" s="1"/>
  <c r="ET424" i="4"/>
  <c r="ET352" i="4"/>
  <c r="ET127" i="4"/>
  <c r="ET113" i="4"/>
  <c r="ET115" i="4" s="1"/>
  <c r="ET23" i="4"/>
  <c r="ET119" i="4"/>
  <c r="EI956" i="4"/>
  <c r="EI957" i="4" s="1"/>
  <c r="EI896" i="4"/>
  <c r="EJ860" i="4"/>
  <c r="EJ861" i="4" s="1"/>
  <c r="EI902" i="4"/>
  <c r="EK440" i="4"/>
  <c r="EK335" i="4"/>
  <c r="EZ208" i="4"/>
  <c r="EZ179" i="4"/>
  <c r="EZ168" i="4"/>
  <c r="EZ180" i="4"/>
  <c r="EJ465" i="4"/>
  <c r="EL459" i="4"/>
  <c r="EL460" i="4" s="1"/>
  <c r="EJ460" i="4"/>
  <c r="EZ379" i="4"/>
  <c r="EZ360" i="4"/>
  <c r="EZ351" i="4"/>
  <c r="ED287" i="2"/>
  <c r="ED167" i="3"/>
  <c r="ED335" i="2"/>
  <c r="ED342" i="2"/>
  <c r="ED205" i="2"/>
  <c r="ED220" i="2"/>
  <c r="EJ343" i="4"/>
  <c r="EL342" i="4"/>
  <c r="EL343" i="4" s="1"/>
  <c r="EJ872" i="4"/>
  <c r="EI914" i="4"/>
  <c r="EN460" i="4"/>
  <c r="EN465" i="4"/>
  <c r="EN466" i="4" s="1"/>
  <c r="EQ21" i="4"/>
  <c r="EQ4" i="4" s="1"/>
  <c r="EQ29" i="4"/>
  <c r="EQ20" i="4"/>
  <c r="EL425" i="4"/>
  <c r="EJ479" i="4"/>
  <c r="EL426" i="4"/>
  <c r="EL427" i="4" s="1"/>
  <c r="EJ483" i="4"/>
  <c r="EL483" i="4" s="1"/>
  <c r="EJ427" i="4"/>
  <c r="EQ433" i="4"/>
  <c r="EQ434" i="4" s="1"/>
  <c r="EQ403" i="4"/>
  <c r="EU260" i="4"/>
  <c r="EU261" i="4" s="1"/>
  <c r="ES337" i="4"/>
  <c r="ES261" i="4"/>
  <c r="EK870" i="4"/>
  <c r="EJ912" i="4"/>
  <c r="EJ326" i="4"/>
  <c r="EJ131" i="4"/>
  <c r="EL130" i="4"/>
  <c r="EJ400" i="4"/>
  <c r="EL400" i="4" s="1"/>
  <c r="EW241" i="4"/>
  <c r="EW243" i="4" s="1"/>
  <c r="EW169" i="4"/>
  <c r="EW246" i="4"/>
  <c r="EW248" i="4" s="1"/>
  <c r="EW448" i="4" s="1"/>
  <c r="EQ423" i="4"/>
  <c r="ER337" i="4"/>
  <c r="ER338" i="4" s="1"/>
  <c r="EP339" i="4"/>
  <c r="ER356" i="4"/>
  <c r="ER357" i="4" s="1"/>
  <c r="ER360" i="4"/>
  <c r="EJ906" i="4"/>
  <c r="EK864" i="4"/>
  <c r="EI91" i="4"/>
  <c r="EQ454" i="4"/>
  <c r="ES241" i="4"/>
  <c r="EU168" i="4"/>
  <c r="EU169" i="4" s="1"/>
  <c r="ES246" i="4"/>
  <c r="ES169" i="4"/>
  <c r="ED347" i="4"/>
  <c r="ED431" i="4"/>
  <c r="EF328" i="4"/>
  <c r="EF329" i="4" s="1"/>
  <c r="ED329" i="4"/>
  <c r="EO15" i="4"/>
  <c r="EO29" i="4" s="1"/>
  <c r="EM20" i="4"/>
  <c r="EM21" i="4"/>
  <c r="EM29" i="4"/>
  <c r="EF232" i="2"/>
  <c r="EF179" i="3"/>
  <c r="EF191" i="2" s="1"/>
  <c r="EF33" i="2"/>
  <c r="EF240" i="2"/>
  <c r="EF337" i="2"/>
  <c r="EF267" i="2"/>
  <c r="EF31" i="2"/>
  <c r="EF165" i="2"/>
  <c r="EF336" i="2"/>
  <c r="EF150" i="2"/>
  <c r="EE30" i="2"/>
  <c r="EG168" i="2" s="1"/>
  <c r="EF52" i="3"/>
  <c r="EM448" i="4"/>
  <c r="EO248" i="4"/>
  <c r="EH45" i="4"/>
  <c r="EH473" i="4"/>
  <c r="EH474" i="4" s="1"/>
  <c r="EH417" i="4"/>
  <c r="EJ405" i="4"/>
  <c r="EK406" i="4"/>
  <c r="EK405" i="4" s="1"/>
  <c r="EL21" i="4"/>
  <c r="EJ4" i="4"/>
  <c r="EL4" i="4" s="1"/>
  <c r="EI484" i="4"/>
  <c r="EJ252" i="4"/>
  <c r="EL251" i="4"/>
  <c r="Q41" i="9"/>
  <c r="Q26" i="9"/>
  <c r="EQ133" i="4"/>
  <c r="EQ130" i="4" s="1"/>
  <c r="EQ136" i="4"/>
  <c r="EQ128" i="4"/>
  <c r="EQ461" i="4"/>
  <c r="EQ462" i="4" s="1"/>
  <c r="EQ342" i="4"/>
  <c r="EQ343" i="4" s="1"/>
  <c r="EN479" i="4"/>
  <c r="EN427" i="4"/>
  <c r="EN483" i="4"/>
  <c r="EM450" i="4"/>
  <c r="EO339" i="4"/>
  <c r="EQ439" i="4"/>
  <c r="EI92" i="4"/>
  <c r="EU300" i="4"/>
  <c r="EU302" i="4" s="1"/>
  <c r="EH444" i="4"/>
  <c r="EH445" i="4" s="1"/>
  <c r="EU179" i="4"/>
  <c r="EU175" i="4"/>
  <c r="EU176" i="4" s="1"/>
  <c r="ES351" i="4"/>
  <c r="ES360" i="4"/>
  <c r="EU359" i="4"/>
  <c r="ES379" i="4"/>
  <c r="EH143" i="4"/>
  <c r="EH142" i="4" s="1"/>
  <c r="EG142" i="4"/>
  <c r="EL421" i="4"/>
  <c r="EP243" i="4"/>
  <c r="ER241" i="4"/>
  <c r="ER242" i="4" s="1"/>
  <c r="EI254" i="4"/>
  <c r="EI252" i="4"/>
  <c r="ED175" i="2"/>
  <c r="ED341" i="2"/>
  <c r="ED165" i="3"/>
  <c r="ED333" i="2"/>
  <c r="ED614" i="2"/>
  <c r="ED185" i="2"/>
  <c r="EG45" i="4"/>
  <c r="EG473" i="4"/>
  <c r="EG417" i="4"/>
  <c r="EI416" i="4"/>
  <c r="EI417" i="4" s="1"/>
  <c r="EJ91" i="4"/>
  <c r="EJ235" i="4" s="1"/>
  <c r="ET244" i="4"/>
  <c r="ET438" i="4"/>
  <c r="ES262" i="4"/>
  <c r="ES301" i="4"/>
  <c r="EU301" i="4" s="1"/>
  <c r="ES273" i="4"/>
  <c r="EU272" i="4"/>
  <c r="EU273" i="4" s="1"/>
  <c r="EI926" i="4"/>
  <c r="EJ884" i="4"/>
  <c r="EL137" i="4"/>
  <c r="EL481" i="4" s="1"/>
  <c r="EL438" i="4"/>
  <c r="EL439" i="4" s="1"/>
  <c r="EJ439" i="4"/>
  <c r="EN91" i="4"/>
  <c r="EP413" i="4"/>
  <c r="EP424" i="4"/>
  <c r="EP409" i="4"/>
  <c r="EP352" i="4"/>
  <c r="ER351" i="4"/>
  <c r="ER352" i="4" s="1"/>
  <c r="EP17" i="4"/>
  <c r="EM463" i="4"/>
  <c r="EO413" i="4"/>
  <c r="EO414" i="4" s="1"/>
  <c r="EK256" i="4"/>
  <c r="EK429" i="4"/>
  <c r="EK238" i="4"/>
  <c r="EG445" i="4"/>
  <c r="EJ913" i="4"/>
  <c r="EK871" i="4"/>
  <c r="EJ866" i="4"/>
  <c r="EI908" i="4"/>
  <c r="EG466" i="4"/>
  <c r="EI465" i="4"/>
  <c r="EI466" i="4" s="1"/>
  <c r="EK882" i="4"/>
  <c r="EJ924" i="4"/>
  <c r="EQ426" i="4"/>
  <c r="EQ93" i="4" s="1"/>
  <c r="EQ421" i="4"/>
  <c r="EW170" i="4"/>
  <c r="EW209" i="4"/>
  <c r="EW181" i="4"/>
  <c r="EW118" i="4"/>
  <c r="ED50" i="3"/>
  <c r="ED49" i="3"/>
  <c r="EO119" i="4"/>
  <c r="EO666" i="2"/>
  <c r="EQ459" i="4"/>
  <c r="EQ251" i="4"/>
  <c r="EQ252" i="4" s="1"/>
  <c r="EJ907" i="4"/>
  <c r="EK865" i="4"/>
  <c r="EN3" i="4"/>
  <c r="EN71" i="4"/>
  <c r="EN34" i="4"/>
  <c r="EK751" i="4"/>
  <c r="EJ936" i="4"/>
  <c r="EJ779" i="4"/>
  <c r="EH44" i="4"/>
  <c r="EH471" i="4"/>
  <c r="EH472" i="4" s="1"/>
  <c r="EH348" i="4"/>
  <c r="EX96" i="4"/>
  <c r="EV97" i="4"/>
  <c r="EW302" i="4"/>
  <c r="EV359" i="4"/>
  <c r="EV378" i="4"/>
  <c r="EX378" i="4" s="1"/>
  <c r="EX354" i="4"/>
  <c r="EX355" i="4" s="1"/>
  <c r="EV355" i="4"/>
  <c r="EV168" i="4"/>
  <c r="EV208" i="4"/>
  <c r="EX208" i="4" s="1"/>
  <c r="EX178" i="4"/>
  <c r="EV180" i="4"/>
  <c r="EV179" i="4"/>
  <c r="EP402" i="4"/>
  <c r="ER379" i="4"/>
  <c r="ER380" i="4" s="1"/>
  <c r="EP380" i="4"/>
  <c r="ET344" i="4"/>
  <c r="ET422" i="4"/>
  <c r="ET263" i="4"/>
  <c r="ET16" i="4"/>
  <c r="ET30" i="4" s="1"/>
  <c r="EJ464" i="4"/>
  <c r="EL463" i="4"/>
  <c r="EL464" i="4" s="1"/>
  <c r="EK858" i="4"/>
  <c r="EJ954" i="4"/>
  <c r="EJ900" i="4"/>
  <c r="EJ894" i="4"/>
  <c r="EN93" i="4"/>
  <c r="EO409" i="4"/>
  <c r="EO410" i="4" s="1"/>
  <c r="EM452" i="4"/>
  <c r="EI454" i="4"/>
  <c r="EI456" i="4" s="1"/>
  <c r="EG456" i="4"/>
  <c r="EJ753" i="4"/>
  <c r="EI781" i="4"/>
  <c r="EI938" i="4"/>
  <c r="EK876" i="4"/>
  <c r="EJ918" i="4"/>
  <c r="EM26" i="4"/>
  <c r="EM36" i="4"/>
  <c r="EO23" i="4"/>
  <c r="EO36" i="4" s="1"/>
  <c r="EJ454" i="4"/>
  <c r="EL448" i="4"/>
  <c r="EL449" i="4" s="1"/>
  <c r="EJ449" i="4"/>
  <c r="EK877" i="4"/>
  <c r="EJ919" i="4"/>
  <c r="EM136" i="4"/>
  <c r="EO136" i="4" s="1"/>
  <c r="EM133" i="4"/>
  <c r="EM130" i="4" s="1"/>
  <c r="EM128" i="4"/>
  <c r="EO127" i="4"/>
  <c r="EO128" i="4" s="1"/>
  <c r="EL26" i="4"/>
  <c r="EL39" i="4" s="1"/>
  <c r="EJ39" i="4"/>
  <c r="EP422" i="4"/>
  <c r="EP263" i="4"/>
  <c r="EP16" i="4"/>
  <c r="ER262" i="4"/>
  <c r="ER263" i="4" s="1"/>
  <c r="EP344" i="4"/>
  <c r="EJ434" i="4"/>
  <c r="EL433" i="4"/>
  <c r="EL434" i="4" s="1"/>
  <c r="ER246" i="4"/>
  <c r="ER247" i="4" s="1"/>
  <c r="EP248" i="4"/>
  <c r="ET253" i="4"/>
  <c r="ET15" i="4"/>
  <c r="ET420" i="4"/>
  <c r="ET449" i="4" s="1"/>
  <c r="ET171" i="4"/>
  <c r="EI93" i="4"/>
  <c r="EL332" i="4"/>
  <c r="EL333" i="4" s="1"/>
  <c r="EM333" i="4" s="1"/>
  <c r="EJ334" i="4"/>
  <c r="EL461" i="4"/>
  <c r="EL462" i="4" s="1"/>
  <c r="EJ462" i="4"/>
  <c r="EZ272" i="4"/>
  <c r="EZ300" i="4"/>
  <c r="EZ260" i="4"/>
  <c r="EZ271" i="4"/>
  <c r="EF56" i="4"/>
  <c r="EF66" i="4"/>
  <c r="EY298" i="4"/>
  <c r="FA265" i="4"/>
  <c r="FA266" i="4" s="1"/>
  <c r="EY270" i="4"/>
  <c r="EY266" i="4"/>
  <c r="ED150" i="4"/>
  <c r="ED154" i="4"/>
  <c r="EM30" i="4"/>
  <c r="EO16" i="4"/>
  <c r="EO30" i="4" s="1"/>
  <c r="EO420" i="4"/>
  <c r="EM426" i="4"/>
  <c r="EM91" i="4" s="1"/>
  <c r="EM421" i="4"/>
  <c r="EQ425" i="4"/>
  <c r="EX298" i="4"/>
  <c r="EX295" i="4" s="1"/>
  <c r="EX296" i="4" s="1"/>
  <c r="EV299" i="4"/>
  <c r="EX299" i="4" s="1"/>
  <c r="EK859" i="4"/>
  <c r="EJ955" i="4"/>
  <c r="EJ895" i="4"/>
  <c r="EJ901" i="4"/>
  <c r="EI235" i="4"/>
  <c r="EG237" i="4"/>
  <c r="EY174" i="4"/>
  <c r="EY178" i="4"/>
  <c r="EY205" i="4"/>
  <c r="FA173" i="4"/>
  <c r="FA174" i="4" s="1"/>
  <c r="EI486" i="4"/>
  <c r="EI487" i="4" s="1"/>
  <c r="EJ487" i="4" s="1"/>
  <c r="EM244" i="4"/>
  <c r="EM438" i="4"/>
  <c r="EO243" i="4"/>
  <c r="EO244" i="4" s="1"/>
  <c r="EP113" i="4"/>
  <c r="EP119" i="4"/>
  <c r="EP127" i="4"/>
  <c r="ER118" i="4"/>
  <c r="EP23" i="4"/>
  <c r="EP666" i="2"/>
  <c r="EV206" i="4"/>
  <c r="EX206" i="4" s="1"/>
  <c r="EX205" i="4"/>
  <c r="EX203" i="4" s="1"/>
  <c r="EX204" i="4" s="1"/>
  <c r="EM425" i="4"/>
  <c r="EO424" i="4"/>
  <c r="EJ453" i="4"/>
  <c r="EL452" i="4"/>
  <c r="EL453" i="4" s="1"/>
  <c r="EK347" i="4"/>
  <c r="EK329" i="4"/>
  <c r="EK431" i="4"/>
  <c r="EK432" i="4" s="1"/>
  <c r="EM433" i="4"/>
  <c r="EO402" i="4"/>
  <c r="EO403" i="4" s="1"/>
  <c r="EM403" i="4"/>
  <c r="EK889" i="4"/>
  <c r="EJ931" i="4"/>
  <c r="EW360" i="4"/>
  <c r="EW351" i="4"/>
  <c r="EW379" i="4"/>
  <c r="EI326" i="4"/>
  <c r="EG328" i="4"/>
  <c r="EW261" i="4"/>
  <c r="EW337" i="4"/>
  <c r="EW339" i="4" s="1"/>
  <c r="EW450" i="4" s="1"/>
  <c r="EF11" i="4"/>
  <c r="EU267" i="4"/>
  <c r="EU268" i="4" s="1"/>
  <c r="EU271" i="4"/>
  <c r="EM147" i="4"/>
  <c r="EN147" i="4" s="1"/>
  <c r="EK146" i="4"/>
  <c r="EI442" i="4"/>
  <c r="EI443" i="4" s="1"/>
  <c r="EG443" i="4"/>
  <c r="ET402" i="4"/>
  <c r="ET380" i="4"/>
  <c r="EI3" i="4"/>
  <c r="EG11" i="4"/>
  <c r="EI932" i="4"/>
  <c r="EJ890" i="4"/>
  <c r="EJ891" i="4" s="1"/>
  <c r="EJ933" i="4" s="1"/>
  <c r="ET210" i="4"/>
  <c r="EI71" i="4"/>
  <c r="EI34" i="4"/>
  <c r="EI30" i="2"/>
  <c r="EG175" i="2" s="1"/>
  <c r="EO422" i="4"/>
  <c r="EM423" i="4"/>
  <c r="EY354" i="4"/>
  <c r="EY163" i="4" s="1"/>
  <c r="EY747" i="4"/>
  <c r="FA747" i="4" s="1"/>
  <c r="FA105" i="4"/>
  <c r="FA106" i="4" s="1"/>
  <c r="EL92" i="4"/>
  <c r="EL423" i="4"/>
  <c r="EK752" i="4"/>
  <c r="EJ937" i="4"/>
  <c r="EJ780" i="4"/>
  <c r="EJ878" i="4"/>
  <c r="EI920" i="4"/>
  <c r="EU375" i="4"/>
  <c r="EU376" i="4" s="1"/>
  <c r="EH46" i="4"/>
  <c r="EH57" i="4" s="1"/>
  <c r="EH157" i="4"/>
  <c r="EM461" i="4"/>
  <c r="EO344" i="4"/>
  <c r="EO345" i="4" s="1"/>
  <c r="EM342" i="4"/>
  <c r="EM251" i="4"/>
  <c r="EM459" i="4"/>
  <c r="EO253" i="4"/>
  <c r="ED338" i="2"/>
  <c r="ED166" i="3"/>
  <c r="ED334" i="2"/>
  <c r="EV300" i="4"/>
  <c r="EV302" i="4" s="1"/>
  <c r="EV260" i="4"/>
  <c r="EX270" i="4"/>
  <c r="EV271" i="4"/>
  <c r="EV272" i="4"/>
  <c r="EE139" i="4"/>
  <c r="EF140" i="4"/>
  <c r="EM115" i="4"/>
  <c r="EO113" i="4"/>
  <c r="EO115" i="4" s="1"/>
  <c r="EI440" i="4"/>
  <c r="EI441" i="4" s="1"/>
  <c r="EG441" i="4"/>
  <c r="EI131" i="4"/>
  <c r="EI754" i="4"/>
  <c r="EI897" i="4" s="1"/>
  <c r="FA745" i="4"/>
  <c r="EQ36" i="4"/>
  <c r="EQ26" i="4"/>
  <c r="EQ39" i="4" s="1"/>
  <c r="EL133" i="4"/>
  <c r="EL134" i="4" s="1"/>
  <c r="EP15" i="4"/>
  <c r="EP420" i="4"/>
  <c r="EP253" i="4"/>
  <c r="EP171" i="4"/>
  <c r="ER170" i="4"/>
  <c r="ER171" i="4" s="1"/>
  <c r="EW301" i="4"/>
  <c r="EW273" i="4"/>
  <c r="EW262" i="4"/>
  <c r="ED46" i="4"/>
  <c r="EF489" i="4"/>
  <c r="ED157" i="4"/>
  <c r="EF157" i="4" s="1"/>
  <c r="EN130" i="4"/>
  <c r="EQ451" i="4"/>
  <c r="EL450" i="4"/>
  <c r="EL451" i="4" s="1"/>
  <c r="EJ451" i="4"/>
  <c r="EO17" i="4"/>
  <c r="EO31" i="4" s="1"/>
  <c r="EM31" i="4"/>
  <c r="EJ930" i="4"/>
  <c r="EK888" i="4"/>
  <c r="EH435" i="4"/>
  <c r="EH436" i="4" s="1"/>
  <c r="EH430" i="4"/>
  <c r="EH897" i="4"/>
  <c r="EL146" i="4" l="1"/>
  <c r="EU209" i="4"/>
  <c r="EU210" i="4" s="1"/>
  <c r="EX300" i="4"/>
  <c r="EQ91" i="4"/>
  <c r="EX375" i="4"/>
  <c r="EX376" i="4" s="1"/>
  <c r="EL484" i="4"/>
  <c r="ET464" i="4"/>
  <c r="EI11" i="4"/>
  <c r="ET453" i="4"/>
  <c r="EL235" i="4"/>
  <c r="EJ237" i="4"/>
  <c r="EM131" i="4"/>
  <c r="EO130" i="4"/>
  <c r="EM235" i="4"/>
  <c r="EK866" i="4"/>
  <c r="EJ908" i="4"/>
  <c r="EH66" i="4"/>
  <c r="EH56" i="4"/>
  <c r="EL882" i="4"/>
  <c r="EK924" i="4"/>
  <c r="EP31" i="4"/>
  <c r="ER17" i="4"/>
  <c r="ER31" i="4" s="1"/>
  <c r="ES402" i="4"/>
  <c r="ES380" i="4"/>
  <c r="EU379" i="4"/>
  <c r="EU380" i="4" s="1"/>
  <c r="EL131" i="4"/>
  <c r="ES339" i="4"/>
  <c r="EU337" i="4"/>
  <c r="EU338" i="4" s="1"/>
  <c r="EL479" i="4"/>
  <c r="EL480" i="4" s="1"/>
  <c r="EK441" i="4"/>
  <c r="ET36" i="4"/>
  <c r="ET26" i="4"/>
  <c r="ET39" i="4" s="1"/>
  <c r="ED435" i="4"/>
  <c r="ED430" i="4"/>
  <c r="EF429" i="4"/>
  <c r="EF430" i="4" s="1"/>
  <c r="ED340" i="2"/>
  <c r="ED339" i="2"/>
  <c r="EP403" i="4"/>
  <c r="EP433" i="4"/>
  <c r="ER402" i="4"/>
  <c r="ER403" i="4" s="1"/>
  <c r="ED160" i="4"/>
  <c r="ED155" i="4"/>
  <c r="EK907" i="4"/>
  <c r="EL865" i="4"/>
  <c r="EP438" i="4"/>
  <c r="ER243" i="4"/>
  <c r="ER244" i="4" s="1"/>
  <c r="EP244" i="4"/>
  <c r="EU356" i="4"/>
  <c r="EU357" i="4" s="1"/>
  <c r="EU360" i="4"/>
  <c r="EM454" i="4"/>
  <c r="EO448" i="4"/>
  <c r="EO449" i="4" s="1"/>
  <c r="EM449" i="4"/>
  <c r="EF266" i="2"/>
  <c r="EE267" i="2"/>
  <c r="EM4" i="4"/>
  <c r="EO4" i="4" s="1"/>
  <c r="EO21" i="4"/>
  <c r="ES248" i="4"/>
  <c r="EU246" i="4"/>
  <c r="EU247" i="4" s="1"/>
  <c r="EK872" i="4"/>
  <c r="EK873" i="4" s="1"/>
  <c r="EK915" i="4" s="1"/>
  <c r="EJ914" i="4"/>
  <c r="EG157" i="4"/>
  <c r="EI157" i="4" s="1"/>
  <c r="EG46" i="4"/>
  <c r="EI489" i="4"/>
  <c r="EL883" i="4"/>
  <c r="EK925" i="4"/>
  <c r="ED57" i="4"/>
  <c r="EF46" i="4"/>
  <c r="EF57" i="4" s="1"/>
  <c r="EL454" i="4"/>
  <c r="EL456" i="4" s="1"/>
  <c r="EJ456" i="4"/>
  <c r="EW210" i="4"/>
  <c r="EL252" i="4"/>
  <c r="EL254" i="4"/>
  <c r="ED432" i="4"/>
  <c r="EF431" i="4"/>
  <c r="EF432" i="4" s="1"/>
  <c r="ED59" i="2"/>
  <c r="EQ479" i="4"/>
  <c r="EQ427" i="4"/>
  <c r="EQ483" i="4"/>
  <c r="EL147" i="4"/>
  <c r="EI444" i="4"/>
  <c r="EI445" i="4" s="1"/>
  <c r="ET454" i="4"/>
  <c r="EM3" i="4"/>
  <c r="EO20" i="4"/>
  <c r="EM71" i="4"/>
  <c r="EM34" i="4"/>
  <c r="EM30" i="2"/>
  <c r="EL326" i="4"/>
  <c r="EJ328" i="4"/>
  <c r="EL93" i="4"/>
  <c r="EJ466" i="4"/>
  <c r="EL465" i="4"/>
  <c r="EL466" i="4" s="1"/>
  <c r="EJ902" i="4"/>
  <c r="EK860" i="4"/>
  <c r="EK861" i="4" s="1"/>
  <c r="EJ956" i="4"/>
  <c r="EJ957" i="4" s="1"/>
  <c r="EJ896" i="4"/>
  <c r="ET133" i="4"/>
  <c r="ET128" i="4"/>
  <c r="ET136" i="4"/>
  <c r="EJ33" i="2"/>
  <c r="EJ240" i="2"/>
  <c r="EJ236" i="2" s="1"/>
  <c r="EJ179" i="3"/>
  <c r="EJ191" i="2" s="1"/>
  <c r="EJ189" i="2" s="1"/>
  <c r="EJ267" i="2"/>
  <c r="EJ266" i="2" s="1"/>
  <c r="EJ232" i="2"/>
  <c r="EJ231" i="2" s="1"/>
  <c r="EJ52" i="3"/>
  <c r="EJ165" i="2"/>
  <c r="EJ337" i="2"/>
  <c r="EJ150" i="2"/>
  <c r="EJ31" i="2"/>
  <c r="EJ336" i="2"/>
  <c r="EG49" i="3"/>
  <c r="EG50" i="3"/>
  <c r="EY164" i="4"/>
  <c r="FA163" i="4"/>
  <c r="FA164" i="4" s="1"/>
  <c r="FA298" i="4"/>
  <c r="FA295" i="4" s="1"/>
  <c r="FA296" i="4" s="1"/>
  <c r="EY299" i="4"/>
  <c r="FA299" i="4" s="1"/>
  <c r="EO133" i="4"/>
  <c r="EO134" i="4" s="1"/>
  <c r="EH65" i="4"/>
  <c r="EH55" i="4"/>
  <c r="EJ926" i="4"/>
  <c r="EK884" i="4"/>
  <c r="EL870" i="4"/>
  <c r="EK912" i="4"/>
  <c r="EL888" i="4"/>
  <c r="EK930" i="4"/>
  <c r="EK44" i="4"/>
  <c r="EK471" i="4"/>
  <c r="EK472" i="4" s="1"/>
  <c r="EK348" i="4"/>
  <c r="EG429" i="4"/>
  <c r="EG256" i="4"/>
  <c r="EI237" i="4"/>
  <c r="EI238" i="4" s="1"/>
  <c r="EG238" i="4"/>
  <c r="EJ440" i="4"/>
  <c r="EL334" i="4"/>
  <c r="EL335" i="4" s="1"/>
  <c r="EJ335" i="4"/>
  <c r="ER422" i="4"/>
  <c r="EP423" i="4"/>
  <c r="EW15" i="4"/>
  <c r="EW171" i="4"/>
  <c r="EW420" i="4"/>
  <c r="EW253" i="4"/>
  <c r="EO463" i="4"/>
  <c r="EO464" i="4" s="1"/>
  <c r="EM464" i="4"/>
  <c r="EQ235" i="4"/>
  <c r="EQ237" i="4" s="1"/>
  <c r="EQ131" i="4"/>
  <c r="EQ400" i="4"/>
  <c r="ED471" i="4"/>
  <c r="ED44" i="4"/>
  <c r="ED348" i="4"/>
  <c r="EF347" i="4"/>
  <c r="EF348" i="4" s="1"/>
  <c r="ED469" i="4"/>
  <c r="ED43" i="4"/>
  <c r="EF256" i="4"/>
  <c r="EF257" i="4" s="1"/>
  <c r="ED257" i="4"/>
  <c r="EX271" i="4"/>
  <c r="EX267" i="4"/>
  <c r="EX268" i="4" s="1"/>
  <c r="EM332" i="4"/>
  <c r="EN333" i="4"/>
  <c r="EN332" i="4" s="1"/>
  <c r="EN334" i="4" s="1"/>
  <c r="EI939" i="4"/>
  <c r="EI782" i="4"/>
  <c r="EJ486" i="4"/>
  <c r="EK487" i="4"/>
  <c r="EK486" i="4" s="1"/>
  <c r="EK489" i="4" s="1"/>
  <c r="EM252" i="4"/>
  <c r="EO251" i="4"/>
  <c r="EZ337" i="4"/>
  <c r="EZ339" i="4" s="1"/>
  <c r="EZ450" i="4" s="1"/>
  <c r="EZ261" i="4"/>
  <c r="EO433" i="4"/>
  <c r="EO434" i="4" s="1"/>
  <c r="EM434" i="4"/>
  <c r="EV241" i="4"/>
  <c r="EV246" i="4"/>
  <c r="EV169" i="4"/>
  <c r="EX168" i="4"/>
  <c r="EX169" i="4" s="1"/>
  <c r="ES344" i="4"/>
  <c r="ES16" i="4"/>
  <c r="ES422" i="4"/>
  <c r="EU262" i="4"/>
  <c r="EU263" i="4" s="1"/>
  <c r="ES263" i="4"/>
  <c r="EL91" i="4"/>
  <c r="ES409" i="4"/>
  <c r="EU351" i="4"/>
  <c r="EU352" i="4" s="1"/>
  <c r="ES17" i="4"/>
  <c r="ES352" i="4"/>
  <c r="ES413" i="4"/>
  <c r="ES424" i="4"/>
  <c r="EK442" i="4"/>
  <c r="EK443" i="4" s="1"/>
  <c r="EK416" i="4"/>
  <c r="EE337" i="2"/>
  <c r="EE31" i="2"/>
  <c r="EE11" i="4"/>
  <c r="EE52" i="3"/>
  <c r="EE336" i="2"/>
  <c r="EE165" i="2"/>
  <c r="EE150" i="2"/>
  <c r="EE168" i="2"/>
  <c r="EE175" i="2"/>
  <c r="ES243" i="4"/>
  <c r="EU241" i="4"/>
  <c r="EU242" i="4" s="1"/>
  <c r="EP450" i="4"/>
  <c r="ER339" i="4"/>
  <c r="EQ92" i="4"/>
  <c r="EQ326" i="4" s="1"/>
  <c r="EQ328" i="4" s="1"/>
  <c r="EQ3" i="4"/>
  <c r="EQ34" i="4"/>
  <c r="EQ71" i="4"/>
  <c r="EZ209" i="4"/>
  <c r="EZ118" i="4"/>
  <c r="EZ181" i="4"/>
  <c r="EZ170" i="4"/>
  <c r="EH470" i="4"/>
  <c r="EH475" i="4"/>
  <c r="EH476" i="4" s="1"/>
  <c r="FA97" i="4"/>
  <c r="EG220" i="2"/>
  <c r="EG205" i="2"/>
  <c r="ES15" i="4"/>
  <c r="ES420" i="4"/>
  <c r="ES253" i="4"/>
  <c r="EU170" i="4"/>
  <c r="EU171" i="4" s="1"/>
  <c r="ES171" i="4"/>
  <c r="EX272" i="4"/>
  <c r="EX273" i="4" s="1"/>
  <c r="EV273" i="4"/>
  <c r="EV262" i="4"/>
  <c r="EV301" i="4"/>
  <c r="EX301" i="4" s="1"/>
  <c r="EI240" i="2"/>
  <c r="EI179" i="3"/>
  <c r="EI191" i="2" s="1"/>
  <c r="EI165" i="2"/>
  <c r="EI336" i="2"/>
  <c r="EI232" i="2"/>
  <c r="EI150" i="2"/>
  <c r="EI52" i="3"/>
  <c r="EI33" i="2"/>
  <c r="EI267" i="2"/>
  <c r="EI31" i="2"/>
  <c r="EI337" i="2"/>
  <c r="EH30" i="2"/>
  <c r="ET251" i="4"/>
  <c r="ET252" i="4" s="1"/>
  <c r="ET459" i="4"/>
  <c r="EG139" i="4"/>
  <c r="EI142" i="4"/>
  <c r="EF189" i="2"/>
  <c r="EE191" i="2"/>
  <c r="EE179" i="3" s="1"/>
  <c r="EJ867" i="4"/>
  <c r="EJ909" i="4" s="1"/>
  <c r="EW244" i="4"/>
  <c r="EW438" i="4"/>
  <c r="EL864" i="4"/>
  <c r="EK867" i="4"/>
  <c r="EK906" i="4"/>
  <c r="EL889" i="4"/>
  <c r="EK931" i="4"/>
  <c r="ER420" i="4"/>
  <c r="EP426" i="4"/>
  <c r="EP93" i="4" s="1"/>
  <c r="EP421" i="4"/>
  <c r="EV337" i="4"/>
  <c r="EX260" i="4"/>
  <c r="EX261" i="4" s="1"/>
  <c r="EV261" i="4"/>
  <c r="EP26" i="4"/>
  <c r="ER23" i="4"/>
  <c r="ER36" i="4" s="1"/>
  <c r="EP36" i="4"/>
  <c r="EO137" i="4"/>
  <c r="EO481" i="4" s="1"/>
  <c r="EX179" i="4"/>
  <c r="EX175" i="4"/>
  <c r="EX176" i="4" s="1"/>
  <c r="EX302" i="4"/>
  <c r="ER15" i="4"/>
  <c r="ER29" i="4" s="1"/>
  <c r="EP20" i="4"/>
  <c r="EP21" i="4"/>
  <c r="EP29" i="4"/>
  <c r="ER119" i="4"/>
  <c r="ER666" i="2"/>
  <c r="EM39" i="4"/>
  <c r="EO26" i="4"/>
  <c r="EO39" i="4" s="1"/>
  <c r="ET423" i="4"/>
  <c r="EN326" i="4"/>
  <c r="EN328" i="4" s="1"/>
  <c r="EN400" i="4"/>
  <c r="EN131" i="4"/>
  <c r="EN235" i="4"/>
  <c r="EN237" i="4" s="1"/>
  <c r="EW16" i="4"/>
  <c r="EW30" i="4" s="1"/>
  <c r="EW344" i="4"/>
  <c r="EW422" i="4"/>
  <c r="EW451" i="4" s="1"/>
  <c r="EW263" i="4"/>
  <c r="EO342" i="4"/>
  <c r="EO343" i="4" s="1"/>
  <c r="EM343" i="4"/>
  <c r="EK890" i="4"/>
  <c r="EK891" i="4" s="1"/>
  <c r="EK933" i="4" s="1"/>
  <c r="EJ932" i="4"/>
  <c r="EP136" i="4"/>
  <c r="ER136" i="4" s="1"/>
  <c r="EP133" i="4"/>
  <c r="EP130" i="4" s="1"/>
  <c r="ER127" i="4"/>
  <c r="ER128" i="4" s="1"/>
  <c r="EP128" i="4"/>
  <c r="ET426" i="4"/>
  <c r="ET92" i="4" s="1"/>
  <c r="ET421" i="4"/>
  <c r="ET461" i="4"/>
  <c r="ET462" i="4" s="1"/>
  <c r="ET342" i="4"/>
  <c r="ET343" i="4" s="1"/>
  <c r="EY748" i="4"/>
  <c r="EY749" i="4" s="1"/>
  <c r="EP147" i="4"/>
  <c r="EQ147" i="4" s="1"/>
  <c r="EN146" i="4"/>
  <c r="EM93" i="4"/>
  <c r="EM400" i="4" s="1"/>
  <c r="EZ301" i="4"/>
  <c r="EZ262" i="4"/>
  <c r="EZ273" i="4"/>
  <c r="EL876" i="4"/>
  <c r="EK918" i="4"/>
  <c r="EK900" i="4"/>
  <c r="EK954" i="4"/>
  <c r="EL858" i="4"/>
  <c r="EK894" i="4"/>
  <c r="EK779" i="4"/>
  <c r="EK936" i="4"/>
  <c r="EL751" i="4"/>
  <c r="EQ465" i="4"/>
  <c r="EQ466" i="4" s="1"/>
  <c r="EQ460" i="4"/>
  <c r="EW113" i="4"/>
  <c r="EW115" i="4" s="1"/>
  <c r="EW127" i="4"/>
  <c r="EW23" i="4"/>
  <c r="EW119" i="4"/>
  <c r="EK430" i="4"/>
  <c r="EK435" i="4"/>
  <c r="EK436" i="4" s="1"/>
  <c r="ER424" i="4"/>
  <c r="EP425" i="4"/>
  <c r="ET439" i="4"/>
  <c r="EI473" i="4"/>
  <c r="EI474" i="4" s="1"/>
  <c r="EG474" i="4"/>
  <c r="EJ442" i="4"/>
  <c r="EL405" i="4"/>
  <c r="EL406" i="4" s="1"/>
  <c r="EM406" i="4" s="1"/>
  <c r="EJ416" i="4"/>
  <c r="EE240" i="2"/>
  <c r="EF236" i="2"/>
  <c r="EQ456" i="4"/>
  <c r="EW449" i="4"/>
  <c r="EJ873" i="4"/>
  <c r="EJ915" i="4" s="1"/>
  <c r="ED305" i="2"/>
  <c r="ED630" i="2"/>
  <c r="EZ241" i="4"/>
  <c r="EZ243" i="4" s="1"/>
  <c r="EZ246" i="4"/>
  <c r="EZ248" i="4" s="1"/>
  <c r="EZ448" i="4" s="1"/>
  <c r="EZ169" i="4"/>
  <c r="ET425" i="4"/>
  <c r="EH64" i="4"/>
  <c r="EH47" i="4"/>
  <c r="EH54" i="4"/>
  <c r="EH42" i="4"/>
  <c r="EL30" i="2"/>
  <c r="EJ175" i="2" s="1"/>
  <c r="EL34" i="4"/>
  <c r="EL71" i="4"/>
  <c r="EG287" i="2"/>
  <c r="EG335" i="2"/>
  <c r="EO438" i="4"/>
  <c r="EO439" i="4" s="1"/>
  <c r="EM439" i="4"/>
  <c r="EP448" i="4"/>
  <c r="ER248" i="4"/>
  <c r="EV360" i="4"/>
  <c r="EV379" i="4"/>
  <c r="EV351" i="4"/>
  <c r="EX359" i="4"/>
  <c r="EL871" i="4"/>
  <c r="EK913" i="4"/>
  <c r="EF231" i="2"/>
  <c r="EE232" i="2"/>
  <c r="EZ380" i="4"/>
  <c r="EZ402" i="4"/>
  <c r="ES127" i="4"/>
  <c r="ES113" i="4"/>
  <c r="EU118" i="4"/>
  <c r="ES23" i="4"/>
  <c r="ES119" i="4"/>
  <c r="EP459" i="4"/>
  <c r="EP251" i="4"/>
  <c r="ER253" i="4"/>
  <c r="ET403" i="4"/>
  <c r="ET433" i="4"/>
  <c r="ET434" i="4" s="1"/>
  <c r="EK753" i="4"/>
  <c r="EK754" i="4" s="1"/>
  <c r="EJ938" i="4"/>
  <c r="EJ781" i="4"/>
  <c r="EV209" i="4"/>
  <c r="EV210" i="4" s="1"/>
  <c r="EV118" i="4"/>
  <c r="EV170" i="4"/>
  <c r="EV181" i="4"/>
  <c r="EX180" i="4"/>
  <c r="EX181" i="4" s="1"/>
  <c r="EM465" i="4"/>
  <c r="EO459" i="4"/>
  <c r="EO460" i="4" s="1"/>
  <c r="EM460" i="4"/>
  <c r="EJ885" i="4"/>
  <c r="EJ927" i="4" s="1"/>
  <c r="EK878" i="4"/>
  <c r="EJ920" i="4"/>
  <c r="EY378" i="4"/>
  <c r="FA378" i="4" s="1"/>
  <c r="EY359" i="4"/>
  <c r="FA354" i="4"/>
  <c r="FA355" i="4" s="1"/>
  <c r="EY355" i="4"/>
  <c r="EG431" i="4"/>
  <c r="EI328" i="4"/>
  <c r="EI329" i="4" s="1"/>
  <c r="EG347" i="4"/>
  <c r="EG329" i="4"/>
  <c r="EO425" i="4"/>
  <c r="EY206" i="4"/>
  <c r="FA206" i="4" s="1"/>
  <c r="FA205" i="4"/>
  <c r="FA203" i="4" s="1"/>
  <c r="FA204" i="4" s="1"/>
  <c r="EM483" i="4"/>
  <c r="EO483" i="4" s="1"/>
  <c r="EM479" i="4"/>
  <c r="EO426" i="4"/>
  <c r="EO427" i="4" s="1"/>
  <c r="EM427" i="4"/>
  <c r="EZ302" i="4"/>
  <c r="ER344" i="4"/>
  <c r="ER345" i="4" s="1"/>
  <c r="EP342" i="4"/>
  <c r="EP461" i="4"/>
  <c r="EL877" i="4"/>
  <c r="EK919" i="4"/>
  <c r="EJ903" i="4"/>
  <c r="EX97" i="4"/>
  <c r="FC96" i="4"/>
  <c r="ET668" i="2" s="1"/>
  <c r="ED48" i="3"/>
  <c r="ED65" i="2"/>
  <c r="EP452" i="4"/>
  <c r="ER409" i="4"/>
  <c r="ER410" i="4" s="1"/>
  <c r="EM92" i="4"/>
  <c r="EM326" i="4" s="1"/>
  <c r="EW380" i="4"/>
  <c r="EW402" i="4"/>
  <c r="EY180" i="4"/>
  <c r="FA178" i="4"/>
  <c r="EY168" i="4"/>
  <c r="EY179" i="4"/>
  <c r="EY208" i="4"/>
  <c r="FA208" i="4" s="1"/>
  <c r="EL859" i="4"/>
  <c r="EK955" i="4"/>
  <c r="EK901" i="4"/>
  <c r="EK895" i="4"/>
  <c r="EY300" i="4"/>
  <c r="EY302" i="4" s="1"/>
  <c r="FA270" i="4"/>
  <c r="EY260" i="4"/>
  <c r="EY271" i="4"/>
  <c r="EY272" i="4"/>
  <c r="FA748" i="4"/>
  <c r="FA749" i="4" s="1"/>
  <c r="EE140" i="4"/>
  <c r="EE149" i="4"/>
  <c r="EO461" i="4"/>
  <c r="EO462" i="4" s="1"/>
  <c r="EM462" i="4"/>
  <c r="EK937" i="4"/>
  <c r="EL752" i="4"/>
  <c r="EK780" i="4"/>
  <c r="EO423" i="4"/>
  <c r="EW413" i="4"/>
  <c r="EW463" i="4" s="1"/>
  <c r="EW424" i="4"/>
  <c r="EW409" i="4"/>
  <c r="EW452" i="4" s="1"/>
  <c r="EW454" i="4" s="1"/>
  <c r="EW17" i="4"/>
  <c r="EW31" i="4" s="1"/>
  <c r="EW352" i="4"/>
  <c r="EP115" i="4"/>
  <c r="ER113" i="4"/>
  <c r="ER115" i="4" s="1"/>
  <c r="EO421" i="4"/>
  <c r="ET29" i="4"/>
  <c r="ET20" i="4"/>
  <c r="ET21" i="4"/>
  <c r="ET4" i="4" s="1"/>
  <c r="EP30" i="4"/>
  <c r="ER16" i="4"/>
  <c r="ER30" i="4" s="1"/>
  <c r="EM146" i="4"/>
  <c r="EJ879" i="4"/>
  <c r="EJ921" i="4" s="1"/>
  <c r="EO452" i="4"/>
  <c r="EO453" i="4" s="1"/>
  <c r="EM453" i="4"/>
  <c r="EJ754" i="4"/>
  <c r="EK43" i="4"/>
  <c r="EK469" i="4"/>
  <c r="EK257" i="4"/>
  <c r="EP463" i="4"/>
  <c r="ER413" i="4"/>
  <c r="ER414" i="4" s="1"/>
  <c r="EI45" i="4"/>
  <c r="EG66" i="4"/>
  <c r="EG56" i="4"/>
  <c r="EO450" i="4"/>
  <c r="EO451" i="4" s="1"/>
  <c r="EM451" i="4"/>
  <c r="EF42" i="2"/>
  <c r="EE33" i="2"/>
  <c r="ET451" i="4"/>
  <c r="EZ424" i="4"/>
  <c r="EZ17" i="4"/>
  <c r="EZ409" i="4"/>
  <c r="EZ452" i="4" s="1"/>
  <c r="EZ413" i="4"/>
  <c r="EZ463" i="4" s="1"/>
  <c r="EZ352" i="4"/>
  <c r="EL3" i="4"/>
  <c r="EJ11" i="4"/>
  <c r="EG333" i="2"/>
  <c r="EG614" i="2"/>
  <c r="EG334" i="2"/>
  <c r="EO146" i="4" l="1"/>
  <c r="EL486" i="4"/>
  <c r="EL487" i="4" s="1"/>
  <c r="EM487" i="4" s="1"/>
  <c r="EZ31" i="4"/>
  <c r="EP92" i="4"/>
  <c r="EP326" i="4" s="1"/>
  <c r="EZ464" i="4"/>
  <c r="EL11" i="4"/>
  <c r="EZ453" i="4"/>
  <c r="EJ897" i="4"/>
  <c r="EQ431" i="4"/>
  <c r="EQ432" i="4" s="1"/>
  <c r="EQ329" i="4"/>
  <c r="EO326" i="4"/>
  <c r="EM328" i="4"/>
  <c r="EP131" i="4"/>
  <c r="ER130" i="4"/>
  <c r="EP400" i="4"/>
  <c r="ER400" i="4" s="1"/>
  <c r="EW425" i="4"/>
  <c r="EI431" i="4"/>
  <c r="EI432" i="4" s="1"/>
  <c r="EG432" i="4"/>
  <c r="EZ422" i="4"/>
  <c r="EZ263" i="4"/>
  <c r="EZ16" i="4"/>
  <c r="EZ30" i="4" s="1"/>
  <c r="EZ344" i="4"/>
  <c r="EU17" i="4"/>
  <c r="EU31" i="4" s="1"/>
  <c r="ES31" i="4"/>
  <c r="EN335" i="4"/>
  <c r="EN440" i="4"/>
  <c r="ER463" i="4"/>
  <c r="ER464" i="4" s="1"/>
  <c r="EP464" i="4"/>
  <c r="EE236" i="2"/>
  <c r="EG338" i="2"/>
  <c r="EG166" i="3"/>
  <c r="EF166" i="3"/>
  <c r="EF334" i="2"/>
  <c r="AG46" i="9"/>
  <c r="EF338" i="2"/>
  <c r="ER425" i="4"/>
  <c r="EN347" i="4"/>
  <c r="EN329" i="4"/>
  <c r="EN431" i="4"/>
  <c r="EN432" i="4" s="1"/>
  <c r="EL931" i="4"/>
  <c r="EM889" i="4"/>
  <c r="EH52" i="3"/>
  <c r="EH31" i="2"/>
  <c r="EH175" i="2"/>
  <c r="EH165" i="2"/>
  <c r="EH337" i="2"/>
  <c r="EH168" i="2"/>
  <c r="EH336" i="2"/>
  <c r="EH150" i="2"/>
  <c r="EH11" i="4"/>
  <c r="ES452" i="4"/>
  <c r="EU409" i="4"/>
  <c r="EU410" i="4" s="1"/>
  <c r="EU422" i="4"/>
  <c r="ES423" i="4"/>
  <c r="EO252" i="4"/>
  <c r="EO254" i="4"/>
  <c r="EJ168" i="2"/>
  <c r="EM33" i="2"/>
  <c r="EM52" i="3"/>
  <c r="EM267" i="2"/>
  <c r="EM266" i="2" s="1"/>
  <c r="EM337" i="2"/>
  <c r="EM232" i="2"/>
  <c r="EM231" i="2" s="1"/>
  <c r="EM336" i="2"/>
  <c r="EM240" i="2"/>
  <c r="EM236" i="2" s="1"/>
  <c r="EM179" i="3"/>
  <c r="EM191" i="2" s="1"/>
  <c r="EM189" i="2" s="1"/>
  <c r="EM31" i="2"/>
  <c r="EM165" i="2"/>
  <c r="EM150" i="2"/>
  <c r="EO454" i="4"/>
  <c r="EO456" i="4" s="1"/>
  <c r="EM456" i="4"/>
  <c r="ER438" i="4"/>
  <c r="ER439" i="4" s="1"/>
  <c r="EP439" i="4"/>
  <c r="EF435" i="4"/>
  <c r="EF436" i="4" s="1"/>
  <c r="ED436" i="4"/>
  <c r="ES450" i="4"/>
  <c r="EU339" i="4"/>
  <c r="EO235" i="4"/>
  <c r="EM237" i="4"/>
  <c r="ES115" i="4"/>
  <c r="EU113" i="4"/>
  <c r="EU115" i="4" s="1"/>
  <c r="EL954" i="4"/>
  <c r="EM858" i="4"/>
  <c r="EL894" i="4"/>
  <c r="EL900" i="4"/>
  <c r="EM486" i="4"/>
  <c r="EM489" i="4" s="1"/>
  <c r="EN487" i="4"/>
  <c r="EN486" i="4" s="1"/>
  <c r="EN489" i="4" s="1"/>
  <c r="EJ205" i="2"/>
  <c r="EJ220" i="2"/>
  <c r="EL328" i="4"/>
  <c r="EL329" i="4" s="1"/>
  <c r="EJ347" i="4"/>
  <c r="EJ431" i="4"/>
  <c r="EJ329" i="4"/>
  <c r="FA272" i="4"/>
  <c r="FA273" i="4" s="1"/>
  <c r="EY301" i="4"/>
  <c r="FA301" i="4" s="1"/>
  <c r="EY262" i="4"/>
  <c r="EY273" i="4"/>
  <c r="EW423" i="4"/>
  <c r="EE189" i="2"/>
  <c r="EF220" i="2"/>
  <c r="EE220" i="2" s="1"/>
  <c r="AG31" i="9"/>
  <c r="EF205" i="2"/>
  <c r="EZ253" i="4"/>
  <c r="EZ420" i="4"/>
  <c r="EZ171" i="4"/>
  <c r="EZ15" i="4"/>
  <c r="EK473" i="4"/>
  <c r="EK474" i="4" s="1"/>
  <c r="EK45" i="4"/>
  <c r="EK42" i="4" s="1"/>
  <c r="EK417" i="4"/>
  <c r="ES30" i="4"/>
  <c r="EU16" i="4"/>
  <c r="EU30" i="4" s="1"/>
  <c r="EF44" i="4"/>
  <c r="ED55" i="4"/>
  <c r="ED65" i="4"/>
  <c r="EW251" i="4"/>
  <c r="EW252" i="4" s="1"/>
  <c r="EW459" i="4"/>
  <c r="EG48" i="3"/>
  <c r="EG65" i="2"/>
  <c r="EG64" i="2" s="1"/>
  <c r="EG62" i="2" s="1"/>
  <c r="EG27" i="3" s="1"/>
  <c r="EL860" i="4"/>
  <c r="EL861" i="4" s="1"/>
  <c r="EK902" i="4"/>
  <c r="EK956" i="4"/>
  <c r="EK957" i="4" s="1"/>
  <c r="EK896" i="4"/>
  <c r="EU248" i="4"/>
  <c r="ES448" i="4"/>
  <c r="EP434" i="4"/>
  <c r="ER433" i="4"/>
  <c r="ER434" i="4" s="1"/>
  <c r="EL866" i="4"/>
  <c r="EK908" i="4"/>
  <c r="ER421" i="4"/>
  <c r="FA267" i="4"/>
  <c r="FA268" i="4" s="1"/>
  <c r="FA271" i="4"/>
  <c r="EK909" i="4"/>
  <c r="EL867" i="4"/>
  <c r="EL909" i="4" s="1"/>
  <c r="EI189" i="2"/>
  <c r="EH191" i="2"/>
  <c r="EH179" i="3" s="1"/>
  <c r="ES459" i="4"/>
  <c r="ES251" i="4"/>
  <c r="EU253" i="4"/>
  <c r="ER450" i="4"/>
  <c r="ER451" i="4" s="1"/>
  <c r="EP451" i="4"/>
  <c r="ES342" i="4"/>
  <c r="ES461" i="4"/>
  <c r="EU344" i="4"/>
  <c r="EU345" i="4" s="1"/>
  <c r="EV248" i="4"/>
  <c r="EX246" i="4"/>
  <c r="EX247" i="4" s="1"/>
  <c r="EF471" i="4"/>
  <c r="EF472" i="4" s="1"/>
  <c r="ED472" i="4"/>
  <c r="EK55" i="4"/>
  <c r="EK65" i="4"/>
  <c r="EM888" i="4"/>
  <c r="EL930" i="4"/>
  <c r="EG59" i="2"/>
  <c r="EG57" i="2" s="1"/>
  <c r="EM883" i="4"/>
  <c r="EL925" i="4"/>
  <c r="EM865" i="4"/>
  <c r="EL907" i="4"/>
  <c r="EO131" i="4"/>
  <c r="EX360" i="4"/>
  <c r="EX356" i="4"/>
  <c r="EX357" i="4" s="1"/>
  <c r="ED475" i="4"/>
  <c r="EF469" i="4"/>
  <c r="EF470" i="4" s="1"/>
  <c r="ED470" i="4"/>
  <c r="EW464" i="4"/>
  <c r="EM859" i="4"/>
  <c r="EL895" i="4"/>
  <c r="EL955" i="4"/>
  <c r="EL901" i="4"/>
  <c r="EV171" i="4"/>
  <c r="EV15" i="4"/>
  <c r="EV420" i="4"/>
  <c r="EV253" i="4"/>
  <c r="EX170" i="4"/>
  <c r="EX171" i="4" s="1"/>
  <c r="EV17" i="4"/>
  <c r="EV413" i="4"/>
  <c r="EV424" i="4"/>
  <c r="EV409" i="4"/>
  <c r="EX351" i="4"/>
  <c r="EX352" i="4" s="1"/>
  <c r="EV352" i="4"/>
  <c r="ER26" i="4"/>
  <c r="ER39" i="4" s="1"/>
  <c r="EP39" i="4"/>
  <c r="ER423" i="4"/>
  <c r="EL884" i="4"/>
  <c r="EL885" i="4" s="1"/>
  <c r="EL927" i="4" s="1"/>
  <c r="EK926" i="4"/>
  <c r="EL872" i="4"/>
  <c r="EL873" i="4" s="1"/>
  <c r="EL915" i="4" s="1"/>
  <c r="EK914" i="4"/>
  <c r="EE42" i="2"/>
  <c r="EO91" i="4"/>
  <c r="EV23" i="4"/>
  <c r="EV113" i="4"/>
  <c r="EV119" i="4"/>
  <c r="EV127" i="4"/>
  <c r="EX118" i="4"/>
  <c r="EZ433" i="4"/>
  <c r="EZ434" i="4" s="1"/>
  <c r="EZ403" i="4"/>
  <c r="EZ454" i="4"/>
  <c r="EK475" i="4"/>
  <c r="EK476" i="4" s="1"/>
  <c r="EK470" i="4"/>
  <c r="ER251" i="4"/>
  <c r="EP252" i="4"/>
  <c r="EH5" i="4"/>
  <c r="EH53" i="4"/>
  <c r="EP462" i="4"/>
  <c r="ER461" i="4"/>
  <c r="ER462" i="4" s="1"/>
  <c r="EO93" i="4"/>
  <c r="EJ473" i="4"/>
  <c r="EJ45" i="4"/>
  <c r="EL416" i="4"/>
  <c r="EL417" i="4" s="1"/>
  <c r="EJ417" i="4"/>
  <c r="EM751" i="4"/>
  <c r="EL936" i="4"/>
  <c r="EL779" i="4"/>
  <c r="EX337" i="4"/>
  <c r="EX338" i="4" s="1"/>
  <c r="EV339" i="4"/>
  <c r="EL937" i="4"/>
  <c r="EM752" i="4"/>
  <c r="EL780" i="4"/>
  <c r="FA179" i="4"/>
  <c r="FA175" i="4"/>
  <c r="FA176" i="4" s="1"/>
  <c r="ER342" i="4"/>
  <c r="ER343" i="4" s="1"/>
  <c r="EP343" i="4"/>
  <c r="EF185" i="2"/>
  <c r="EG341" i="2"/>
  <c r="EF614" i="2"/>
  <c r="EE231" i="2"/>
  <c r="EF333" i="2"/>
  <c r="AG45" i="9"/>
  <c r="EG165" i="3"/>
  <c r="EF341" i="2"/>
  <c r="EF165" i="3"/>
  <c r="ER448" i="4"/>
  <c r="ER449" i="4" s="1"/>
  <c r="EP454" i="4"/>
  <c r="EP449" i="4"/>
  <c r="EH49" i="4"/>
  <c r="EH58" i="4"/>
  <c r="EH68" i="4"/>
  <c r="EM405" i="4"/>
  <c r="EN406" i="4"/>
  <c r="EN405" i="4" s="1"/>
  <c r="EM876" i="4"/>
  <c r="EL918" i="4"/>
  <c r="ET479" i="4"/>
  <c r="ET427" i="4"/>
  <c r="ET483" i="4"/>
  <c r="ER137" i="4"/>
  <c r="ER481" i="4" s="1"/>
  <c r="EL906" i="4"/>
  <c r="EM864" i="4"/>
  <c r="EI143" i="4"/>
  <c r="EJ143" i="4" s="1"/>
  <c r="EI139" i="4"/>
  <c r="EI266" i="2"/>
  <c r="EI342" i="2" s="1"/>
  <c r="EH267" i="2"/>
  <c r="EI236" i="2"/>
  <c r="EI338" i="2" s="1"/>
  <c r="EH240" i="2"/>
  <c r="EU420" i="4"/>
  <c r="ES426" i="4"/>
  <c r="ES92" i="4" s="1"/>
  <c r="ES421" i="4"/>
  <c r="EZ113" i="4"/>
  <c r="EZ115" i="4" s="1"/>
  <c r="EZ119" i="4"/>
  <c r="EZ127" i="4"/>
  <c r="EZ23" i="4"/>
  <c r="EU424" i="4"/>
  <c r="ES425" i="4"/>
  <c r="EV243" i="4"/>
  <c r="EX241" i="4"/>
  <c r="EX242" i="4" s="1"/>
  <c r="EW426" i="4"/>
  <c r="EW456" i="4" s="1"/>
  <c r="EW421" i="4"/>
  <c r="EL440" i="4"/>
  <c r="EL441" i="4" s="1"/>
  <c r="EJ441" i="4"/>
  <c r="EJ444" i="4"/>
  <c r="EJ49" i="3"/>
  <c r="EJ50" i="3"/>
  <c r="EO71" i="4"/>
  <c r="EO30" i="2"/>
  <c r="EO34" i="4"/>
  <c r="EX209" i="4"/>
  <c r="EX210" i="4" s="1"/>
  <c r="EK444" i="4"/>
  <c r="EK445" i="4" s="1"/>
  <c r="EM882" i="4"/>
  <c r="EL924" i="4"/>
  <c r="EG469" i="4"/>
  <c r="EI256" i="4"/>
  <c r="EI257" i="4" s="1"/>
  <c r="EG43" i="4"/>
  <c r="EG257" i="4"/>
  <c r="EE154" i="4"/>
  <c r="EE150" i="4"/>
  <c r="EF149" i="4"/>
  <c r="EF150" i="4" s="1"/>
  <c r="ES136" i="4"/>
  <c r="EU136" i="4" s="1"/>
  <c r="ES133" i="4"/>
  <c r="ES130" i="4" s="1"/>
  <c r="EU127" i="4"/>
  <c r="EU128" i="4" s="1"/>
  <c r="ES128" i="4"/>
  <c r="EH232" i="2"/>
  <c r="EI231" i="2"/>
  <c r="EI341" i="2" s="1"/>
  <c r="EJ334" i="2"/>
  <c r="ES433" i="4"/>
  <c r="ES403" i="4"/>
  <c r="EU402" i="4"/>
  <c r="EU403" i="4" s="1"/>
  <c r="EV380" i="4"/>
  <c r="EX379" i="4"/>
  <c r="EX380" i="4" s="1"/>
  <c r="EV402" i="4"/>
  <c r="EL33" i="2"/>
  <c r="EL232" i="2"/>
  <c r="EL179" i="3"/>
  <c r="EL191" i="2" s="1"/>
  <c r="EL336" i="2"/>
  <c r="EL150" i="2"/>
  <c r="EL240" i="2"/>
  <c r="EL337" i="2"/>
  <c r="EL267" i="2"/>
  <c r="EK30" i="2"/>
  <c r="EL165" i="2"/>
  <c r="EL31" i="2"/>
  <c r="EL52" i="3"/>
  <c r="EO147" i="4"/>
  <c r="EO92" i="4"/>
  <c r="FA260" i="4"/>
  <c r="FA261" i="4" s="1"/>
  <c r="EY337" i="4"/>
  <c r="EY261" i="4"/>
  <c r="EM877" i="4"/>
  <c r="EL919" i="4"/>
  <c r="FA359" i="4"/>
  <c r="EY379" i="4"/>
  <c r="EY351" i="4"/>
  <c r="EY360" i="4"/>
  <c r="EG305" i="2"/>
  <c r="EG630" i="2"/>
  <c r="EK782" i="4"/>
  <c r="EK939" i="4"/>
  <c r="EK903" i="4"/>
  <c r="FA375" i="4"/>
  <c r="FA376" i="4" s="1"/>
  <c r="ES147" i="4"/>
  <c r="ET147" i="4" s="1"/>
  <c r="EQ146" i="4"/>
  <c r="EW342" i="4"/>
  <c r="EW343" i="4" s="1"/>
  <c r="EW461" i="4"/>
  <c r="EW462" i="4" s="1"/>
  <c r="EY209" i="4"/>
  <c r="EY210" i="4" s="1"/>
  <c r="EY170" i="4"/>
  <c r="EY181" i="4"/>
  <c r="FA180" i="4"/>
  <c r="FA181" i="4" s="1"/>
  <c r="EY118" i="4"/>
  <c r="EP453" i="4"/>
  <c r="ER452" i="4"/>
  <c r="ER453" i="4" s="1"/>
  <c r="EG44" i="4"/>
  <c r="EG471" i="4"/>
  <c r="EG348" i="4"/>
  <c r="EI347" i="4"/>
  <c r="EI348" i="4" s="1"/>
  <c r="EL878" i="4"/>
  <c r="EK920" i="4"/>
  <c r="EO465" i="4"/>
  <c r="EO466" i="4" s="1"/>
  <c r="EM466" i="4"/>
  <c r="EL753" i="4"/>
  <c r="EK781" i="4"/>
  <c r="EK938" i="4"/>
  <c r="ES26" i="4"/>
  <c r="EU23" i="4"/>
  <c r="EU36" i="4" s="1"/>
  <c r="ES36" i="4"/>
  <c r="EL442" i="4"/>
  <c r="EL443" i="4" s="1"/>
  <c r="EJ443" i="4"/>
  <c r="EW26" i="4"/>
  <c r="EW39" i="4" s="1"/>
  <c r="EW36" i="4"/>
  <c r="EK879" i="4"/>
  <c r="EK921" i="4" s="1"/>
  <c r="ET91" i="4"/>
  <c r="ER21" i="4"/>
  <c r="EP4" i="4"/>
  <c r="ER4" i="4" s="1"/>
  <c r="EP483" i="4"/>
  <c r="ER483" i="4" s="1"/>
  <c r="EP479" i="4"/>
  <c r="ER426" i="4"/>
  <c r="ER427" i="4" s="1"/>
  <c r="EP427" i="4"/>
  <c r="EG140" i="4"/>
  <c r="EG149" i="4"/>
  <c r="EH33" i="2"/>
  <c r="EU15" i="4"/>
  <c r="EU29" i="4" s="1"/>
  <c r="ES21" i="4"/>
  <c r="ES20" i="4"/>
  <c r="ES29" i="4"/>
  <c r="EZ210" i="4"/>
  <c r="EU243" i="4"/>
  <c r="EU244" i="4" s="1"/>
  <c r="ES438" i="4"/>
  <c r="ES244" i="4"/>
  <c r="ES463" i="4"/>
  <c r="EU413" i="4"/>
  <c r="EU414" i="4" s="1"/>
  <c r="EJ614" i="2"/>
  <c r="EJ333" i="2"/>
  <c r="ET130" i="4"/>
  <c r="EO3" i="4"/>
  <c r="EM11" i="4"/>
  <c r="EG57" i="4"/>
  <c r="EI46" i="4"/>
  <c r="EI57" i="4" s="1"/>
  <c r="EK885" i="4"/>
  <c r="EK927" i="4" s="1"/>
  <c r="EJ256" i="4"/>
  <c r="EJ429" i="4"/>
  <c r="EL237" i="4"/>
  <c r="EL238" i="4" s="1"/>
  <c r="EJ238" i="4"/>
  <c r="EQ256" i="4"/>
  <c r="EQ429" i="4"/>
  <c r="EQ238" i="4"/>
  <c r="EZ451" i="4"/>
  <c r="EO332" i="4"/>
  <c r="EO333" i="4" s="1"/>
  <c r="EP333" i="4" s="1"/>
  <c r="EM334" i="4"/>
  <c r="EG430" i="4"/>
  <c r="EG435" i="4"/>
  <c r="EI429" i="4"/>
  <c r="EI430" i="4" s="1"/>
  <c r="EO400" i="4"/>
  <c r="EO479" i="4"/>
  <c r="EO480" i="4" s="1"/>
  <c r="EZ244" i="4"/>
  <c r="EZ438" i="4"/>
  <c r="ER133" i="4"/>
  <c r="ER134" i="4" s="1"/>
  <c r="EK54" i="4"/>
  <c r="EK64" i="4"/>
  <c r="EY241" i="4"/>
  <c r="EY246" i="4"/>
  <c r="FA168" i="4"/>
  <c r="FA169" i="4" s="1"/>
  <c r="EY169" i="4"/>
  <c r="EO484" i="4"/>
  <c r="EP460" i="4"/>
  <c r="EP465" i="4"/>
  <c r="ER459" i="4"/>
  <c r="ER460" i="4" s="1"/>
  <c r="EG185" i="2"/>
  <c r="EZ425" i="4"/>
  <c r="EI56" i="4"/>
  <c r="EI66" i="4"/>
  <c r="EJ939" i="4"/>
  <c r="EJ782" i="4"/>
  <c r="ET3" i="4"/>
  <c r="ET71" i="4"/>
  <c r="ET34" i="4"/>
  <c r="EW453" i="4"/>
  <c r="EW433" i="4"/>
  <c r="EW434" i="4" s="1"/>
  <c r="EW403" i="4"/>
  <c r="ED262" i="2"/>
  <c r="ED64" i="2"/>
  <c r="ED62" i="2" s="1"/>
  <c r="ED27" i="3" s="1"/>
  <c r="FA300" i="4"/>
  <c r="FA302" i="4" s="1"/>
  <c r="EU119" i="4"/>
  <c r="EM871" i="4"/>
  <c r="EL913" i="4"/>
  <c r="ET93" i="4"/>
  <c r="EW133" i="4"/>
  <c r="EW130" i="4" s="1"/>
  <c r="EW136" i="4"/>
  <c r="EW128" i="4"/>
  <c r="EP146" i="4"/>
  <c r="EL890" i="4"/>
  <c r="EK932" i="4"/>
  <c r="EN256" i="4"/>
  <c r="EN429" i="4"/>
  <c r="EN238" i="4"/>
  <c r="EP3" i="4"/>
  <c r="EP71" i="4"/>
  <c r="EP30" i="2"/>
  <c r="EP34" i="4"/>
  <c r="ER20" i="4"/>
  <c r="EP91" i="4"/>
  <c r="EP235" i="4" s="1"/>
  <c r="EW439" i="4"/>
  <c r="ET460" i="4"/>
  <c r="ET465" i="4"/>
  <c r="ET466" i="4" s="1"/>
  <c r="EV422" i="4"/>
  <c r="EV263" i="4"/>
  <c r="EV344" i="4"/>
  <c r="EV16" i="4"/>
  <c r="EX262" i="4"/>
  <c r="EX263" i="4" s="1"/>
  <c r="EE49" i="3"/>
  <c r="EF49" i="3" s="1"/>
  <c r="EE50" i="3"/>
  <c r="EF50" i="3" s="1"/>
  <c r="EK157" i="4"/>
  <c r="EK46" i="4"/>
  <c r="EK57" i="4" s="1"/>
  <c r="ED42" i="4"/>
  <c r="ED47" i="4"/>
  <c r="ED54" i="4"/>
  <c r="EF43" i="4"/>
  <c r="ED64" i="4"/>
  <c r="EW20" i="4"/>
  <c r="EW29" i="4"/>
  <c r="EW21" i="4"/>
  <c r="EW4" i="4" s="1"/>
  <c r="EM870" i="4"/>
  <c r="EL912" i="4"/>
  <c r="EJ335" i="2"/>
  <c r="EJ287" i="2"/>
  <c r="ET456" i="4"/>
  <c r="ED249" i="2"/>
  <c r="ED57" i="2"/>
  <c r="EE266" i="2"/>
  <c r="EF287" i="2"/>
  <c r="EF342" i="2"/>
  <c r="EF167" i="3"/>
  <c r="EG167" i="3"/>
  <c r="EG342" i="2"/>
  <c r="EF335" i="2"/>
  <c r="ED7" i="4"/>
  <c r="ED161" i="4"/>
  <c r="EJ489" i="4"/>
  <c r="ER146" i="4" l="1"/>
  <c r="EO11" i="4"/>
  <c r="EJ185" i="2"/>
  <c r="ES146" i="4"/>
  <c r="ER484" i="4"/>
  <c r="EI167" i="3"/>
  <c r="EK47" i="4"/>
  <c r="EK49" i="4" s="1"/>
  <c r="EW91" i="4"/>
  <c r="EW235" i="4" s="1"/>
  <c r="EW237" i="4" s="1"/>
  <c r="EI340" i="2"/>
  <c r="EI339" i="2"/>
  <c r="ER235" i="4"/>
  <c r="EP237" i="4"/>
  <c r="EK53" i="4"/>
  <c r="EK5" i="4"/>
  <c r="EJ305" i="2"/>
  <c r="EJ630" i="2"/>
  <c r="ED42" i="3"/>
  <c r="ED247" i="2"/>
  <c r="EN870" i="4"/>
  <c r="EM912" i="4"/>
  <c r="EF42" i="4"/>
  <c r="EF53" i="4" s="1"/>
  <c r="ED53" i="4"/>
  <c r="ED5" i="4"/>
  <c r="EF5" i="4" s="1"/>
  <c r="ER34" i="4"/>
  <c r="ER30" i="2"/>
  <c r="EP175" i="2" s="1"/>
  <c r="ER71" i="4"/>
  <c r="FA241" i="4"/>
  <c r="FA242" i="4" s="1"/>
  <c r="EY243" i="4"/>
  <c r="EY413" i="4"/>
  <c r="EY352" i="4"/>
  <c r="EY409" i="4"/>
  <c r="EY17" i="4"/>
  <c r="EY424" i="4"/>
  <c r="FA351" i="4"/>
  <c r="FA352" i="4" s="1"/>
  <c r="EK52" i="3"/>
  <c r="EK31" i="2"/>
  <c r="EK168" i="2"/>
  <c r="EK336" i="2"/>
  <c r="EK165" i="2"/>
  <c r="EK150" i="2"/>
  <c r="EK337" i="2"/>
  <c r="EK175" i="2"/>
  <c r="EK11" i="4"/>
  <c r="EK33" i="2"/>
  <c r="EU130" i="4"/>
  <c r="ES326" i="4"/>
  <c r="ES131" i="4"/>
  <c r="EU425" i="4"/>
  <c r="ES483" i="4"/>
  <c r="EU483" i="4" s="1"/>
  <c r="ES479" i="4"/>
  <c r="ES427" i="4"/>
  <c r="EU426" i="4"/>
  <c r="EU427" i="4" s="1"/>
  <c r="EK143" i="4"/>
  <c r="EJ142" i="4"/>
  <c r="EN442" i="4"/>
  <c r="EN443" i="4" s="1"/>
  <c r="EN416" i="4"/>
  <c r="EI165" i="3"/>
  <c r="EM780" i="4"/>
  <c r="EN752" i="4"/>
  <c r="EM937" i="4"/>
  <c r="ER92" i="4"/>
  <c r="EV29" i="4"/>
  <c r="EV21" i="4"/>
  <c r="EX15" i="4"/>
  <c r="EX29" i="4" s="1"/>
  <c r="EV20" i="4"/>
  <c r="EN865" i="4"/>
  <c r="EM907" i="4"/>
  <c r="EU342" i="4"/>
  <c r="EU343" i="4" s="1"/>
  <c r="ES343" i="4"/>
  <c r="EH189" i="2"/>
  <c r="EI220" i="2"/>
  <c r="EH220" i="2" s="1"/>
  <c r="EI205" i="2"/>
  <c r="EH205" i="2" s="1"/>
  <c r="EL903" i="4"/>
  <c r="EM333" i="2"/>
  <c r="EM614" i="2"/>
  <c r="ER93" i="4"/>
  <c r="EE334" i="2"/>
  <c r="EE166" i="3"/>
  <c r="EE338" i="2"/>
  <c r="ER326" i="4"/>
  <c r="EP328" i="4"/>
  <c r="EF54" i="3"/>
  <c r="EF65" i="2"/>
  <c r="EV463" i="4"/>
  <c r="EX413" i="4"/>
  <c r="EX414" i="4" s="1"/>
  <c r="EJ46" i="4"/>
  <c r="EJ157" i="4"/>
  <c r="EL157" i="4" s="1"/>
  <c r="EL489" i="4"/>
  <c r="EX422" i="4"/>
  <c r="EV423" i="4"/>
  <c r="EM890" i="4"/>
  <c r="EM891" i="4" s="1"/>
  <c r="EM933" i="4" s="1"/>
  <c r="EL932" i="4"/>
  <c r="EM440" i="4"/>
  <c r="EM335" i="4"/>
  <c r="EO334" i="4"/>
  <c r="EO335" i="4" s="1"/>
  <c r="EJ430" i="4"/>
  <c r="EJ435" i="4"/>
  <c r="EL429" i="4"/>
  <c r="EL430" i="4" s="1"/>
  <c r="ET400" i="4"/>
  <c r="ET235" i="4"/>
  <c r="ET237" i="4" s="1"/>
  <c r="ET326" i="4"/>
  <c r="ET328" i="4" s="1"/>
  <c r="ET131" i="4"/>
  <c r="ES464" i="4"/>
  <c r="EU463" i="4"/>
  <c r="EU464" i="4" s="1"/>
  <c r="EG472" i="4"/>
  <c r="EI471" i="4"/>
  <c r="EI472" i="4" s="1"/>
  <c r="EK897" i="4"/>
  <c r="EY402" i="4"/>
  <c r="FA379" i="4"/>
  <c r="FA380" i="4" s="1"/>
  <c r="EY380" i="4"/>
  <c r="EL266" i="2"/>
  <c r="EL167" i="3" s="1"/>
  <c r="EK267" i="2"/>
  <c r="EV403" i="4"/>
  <c r="EV433" i="4"/>
  <c r="EX402" i="4"/>
  <c r="EX403" i="4" s="1"/>
  <c r="EG42" i="4"/>
  <c r="EG47" i="4"/>
  <c r="EI43" i="4"/>
  <c r="EG64" i="4"/>
  <c r="EG54" i="4"/>
  <c r="EZ26" i="4"/>
  <c r="EZ39" i="4" s="1"/>
  <c r="EZ36" i="4"/>
  <c r="EU421" i="4"/>
  <c r="EN864" i="4"/>
  <c r="EM906" i="4"/>
  <c r="EO405" i="4"/>
  <c r="EO406" i="4" s="1"/>
  <c r="EP406" i="4" s="1"/>
  <c r="EM442" i="4"/>
  <c r="EM416" i="4"/>
  <c r="EV452" i="4"/>
  <c r="EX409" i="4"/>
  <c r="EX410" i="4" s="1"/>
  <c r="EZ421" i="4"/>
  <c r="EZ426" i="4"/>
  <c r="EZ92" i="4" s="1"/>
  <c r="EY422" i="4"/>
  <c r="EY344" i="4"/>
  <c r="EY16" i="4"/>
  <c r="FA262" i="4"/>
  <c r="FA263" i="4" s="1"/>
  <c r="EY263" i="4"/>
  <c r="EM954" i="4"/>
  <c r="EN858" i="4"/>
  <c r="EM894" i="4"/>
  <c r="EM900" i="4"/>
  <c r="EH49" i="3"/>
  <c r="EI49" i="3" s="1"/>
  <c r="EH50" i="3"/>
  <c r="EI50" i="3" s="1"/>
  <c r="EI166" i="3"/>
  <c r="EN441" i="4"/>
  <c r="EZ423" i="4"/>
  <c r="ES4" i="4"/>
  <c r="EU4" i="4" s="1"/>
  <c r="EU21" i="4"/>
  <c r="EP33" i="2"/>
  <c r="EP179" i="3"/>
  <c r="EP191" i="2" s="1"/>
  <c r="EP189" i="2" s="1"/>
  <c r="EP52" i="3"/>
  <c r="EP240" i="2"/>
  <c r="EP236" i="2" s="1"/>
  <c r="EP165" i="2"/>
  <c r="EP232" i="2"/>
  <c r="EP231" i="2" s="1"/>
  <c r="EP150" i="2"/>
  <c r="EP336" i="2"/>
  <c r="EP31" i="2"/>
  <c r="EP337" i="2"/>
  <c r="EP267" i="2"/>
  <c r="EP266" i="2" s="1"/>
  <c r="ER147" i="4"/>
  <c r="ER465" i="4"/>
  <c r="ER466" i="4" s="1"/>
  <c r="EP466" i="4"/>
  <c r="EM157" i="4"/>
  <c r="EM46" i="4"/>
  <c r="EO489" i="4"/>
  <c r="EQ333" i="4"/>
  <c r="EQ332" i="4" s="1"/>
  <c r="EQ334" i="4" s="1"/>
  <c r="EP332" i="4"/>
  <c r="EL256" i="4"/>
  <c r="EL257" i="4" s="1"/>
  <c r="EJ469" i="4"/>
  <c r="EJ43" i="4"/>
  <c r="EJ257" i="4"/>
  <c r="ES30" i="2"/>
  <c r="EU20" i="4"/>
  <c r="ES3" i="4"/>
  <c r="ES71" i="4"/>
  <c r="ES34" i="4"/>
  <c r="EM753" i="4"/>
  <c r="EL781" i="4"/>
  <c r="EL938" i="4"/>
  <c r="EI44" i="4"/>
  <c r="EG55" i="4"/>
  <c r="EG65" i="4"/>
  <c r="FA170" i="4"/>
  <c r="FA171" i="4" s="1"/>
  <c r="EY15" i="4"/>
  <c r="EY171" i="4"/>
  <c r="EY420" i="4"/>
  <c r="EY253" i="4"/>
  <c r="FA356" i="4"/>
  <c r="FA357" i="4" s="1"/>
  <c r="FA360" i="4"/>
  <c r="EU133" i="4"/>
  <c r="EU134" i="4" s="1"/>
  <c r="EO240" i="2"/>
  <c r="EO33" i="2"/>
  <c r="EO267" i="2"/>
  <c r="EO52" i="3"/>
  <c r="EO150" i="2"/>
  <c r="EO336" i="2"/>
  <c r="EO232" i="2"/>
  <c r="EO31" i="2"/>
  <c r="EO179" i="3"/>
  <c r="EO191" i="2" s="1"/>
  <c r="EN30" i="2"/>
  <c r="EO165" i="2"/>
  <c r="EO337" i="2"/>
  <c r="EW479" i="4"/>
  <c r="EW427" i="4"/>
  <c r="EW483" i="4"/>
  <c r="EZ133" i="4"/>
  <c r="EZ136" i="4"/>
  <c r="EZ128" i="4"/>
  <c r="ES91" i="4"/>
  <c r="ES235" i="4" s="1"/>
  <c r="AG28" i="9"/>
  <c r="EE185" i="2"/>
  <c r="EX339" i="4"/>
  <c r="EV450" i="4"/>
  <c r="EL45" i="4"/>
  <c r="EJ56" i="4"/>
  <c r="EJ66" i="4"/>
  <c r="EX424" i="4"/>
  <c r="EV425" i="4"/>
  <c r="EN883" i="4"/>
  <c r="EM925" i="4"/>
  <c r="EW465" i="4"/>
  <c r="EW466" i="4" s="1"/>
  <c r="EW460" i="4"/>
  <c r="EO237" i="4"/>
  <c r="EO238" i="4" s="1"/>
  <c r="EM429" i="4"/>
  <c r="EM256" i="4"/>
  <c r="EM238" i="4"/>
  <c r="EM287" i="2"/>
  <c r="EM335" i="2"/>
  <c r="EF340" i="2"/>
  <c r="EF339" i="2"/>
  <c r="EG179" i="2"/>
  <c r="EG26" i="3"/>
  <c r="EG28" i="3" s="1"/>
  <c r="EG180" i="3"/>
  <c r="EZ459" i="4"/>
  <c r="EZ251" i="4"/>
  <c r="EZ252" i="4" s="1"/>
  <c r="EN46" i="4"/>
  <c r="EN57" i="4" s="1"/>
  <c r="EN157" i="4"/>
  <c r="EM431" i="4"/>
  <c r="EO328" i="4"/>
  <c r="EO329" i="4" s="1"/>
  <c r="EM347" i="4"/>
  <c r="EM329" i="4"/>
  <c r="EU438" i="4"/>
  <c r="EU439" i="4" s="1"/>
  <c r="ES439" i="4"/>
  <c r="EJ474" i="4"/>
  <c r="EL473" i="4"/>
  <c r="EL474" i="4" s="1"/>
  <c r="ER252" i="4"/>
  <c r="ER254" i="4"/>
  <c r="EP11" i="4"/>
  <c r="ER3" i="4"/>
  <c r="EM919" i="4"/>
  <c r="EN877" i="4"/>
  <c r="EH231" i="2"/>
  <c r="EJ165" i="3"/>
  <c r="EI185" i="2"/>
  <c r="EI333" i="2"/>
  <c r="EI614" i="2"/>
  <c r="EJ341" i="2"/>
  <c r="EJ338" i="2"/>
  <c r="EI334" i="2"/>
  <c r="EH236" i="2"/>
  <c r="EJ166" i="3"/>
  <c r="EH70" i="4"/>
  <c r="EH51" i="4"/>
  <c r="EH60" i="4"/>
  <c r="EV136" i="4"/>
  <c r="EX136" i="4" s="1"/>
  <c r="EX127" i="4"/>
  <c r="EX128" i="4" s="1"/>
  <c r="EV133" i="4"/>
  <c r="EV130" i="4" s="1"/>
  <c r="EV128" i="4"/>
  <c r="EM872" i="4"/>
  <c r="EM873" i="4" s="1"/>
  <c r="EM915" i="4" s="1"/>
  <c r="EL914" i="4"/>
  <c r="EX17" i="4"/>
  <c r="EX31" i="4" s="1"/>
  <c r="EV31" i="4"/>
  <c r="EU251" i="4"/>
  <c r="ES252" i="4"/>
  <c r="EO486" i="4"/>
  <c r="EO487" i="4" s="1"/>
  <c r="EP487" i="4" s="1"/>
  <c r="EM220" i="2"/>
  <c r="EM205" i="2"/>
  <c r="EM175" i="2"/>
  <c r="EW3" i="4"/>
  <c r="EW34" i="4"/>
  <c r="EW71" i="4"/>
  <c r="EU137" i="4"/>
  <c r="EU481" i="4" s="1"/>
  <c r="EF53" i="3"/>
  <c r="EF59" i="2"/>
  <c r="EF48" i="3"/>
  <c r="EE48" i="3" s="1"/>
  <c r="EW131" i="4"/>
  <c r="EQ435" i="4"/>
  <c r="EQ436" i="4" s="1"/>
  <c r="EQ430" i="4"/>
  <c r="FA209" i="4"/>
  <c r="FA210" i="4" s="1"/>
  <c r="EJ59" i="2"/>
  <c r="EJ57" i="2" s="1"/>
  <c r="EV438" i="4"/>
  <c r="EX243" i="4"/>
  <c r="EX244" i="4" s="1"/>
  <c r="EV244" i="4"/>
  <c r="EV448" i="4"/>
  <c r="EX248" i="4"/>
  <c r="ES465" i="4"/>
  <c r="EU459" i="4"/>
  <c r="EU460" i="4" s="1"/>
  <c r="ES460" i="4"/>
  <c r="ES454" i="4"/>
  <c r="EU448" i="4"/>
  <c r="EU449" i="4" s="1"/>
  <c r="ES449" i="4"/>
  <c r="EK66" i="4"/>
  <c r="EK56" i="4"/>
  <c r="EL431" i="4"/>
  <c r="EL432" i="4" s="1"/>
  <c r="EJ432" i="4"/>
  <c r="EU450" i="4"/>
  <c r="EU451" i="4" s="1"/>
  <c r="ES451" i="4"/>
  <c r="EM168" i="2"/>
  <c r="EM49" i="3"/>
  <c r="EM50" i="3"/>
  <c r="EU423" i="4"/>
  <c r="EW93" i="4"/>
  <c r="EW400" i="4" s="1"/>
  <c r="EM913" i="4"/>
  <c r="EN871" i="4"/>
  <c r="EL236" i="2"/>
  <c r="EL166" i="3" s="1"/>
  <c r="EK240" i="2"/>
  <c r="EX119" i="4"/>
  <c r="ED72" i="2"/>
  <c r="ED12" i="4" s="1"/>
  <c r="ED8" i="4"/>
  <c r="EE287" i="2"/>
  <c r="EE630" i="2" s="1"/>
  <c r="EF305" i="2"/>
  <c r="EF630" i="2"/>
  <c r="EF64" i="4"/>
  <c r="EF54" i="4"/>
  <c r="EX16" i="4"/>
  <c r="EX30" i="4" s="1"/>
  <c r="EV30" i="4"/>
  <c r="EN430" i="4"/>
  <c r="EN435" i="4"/>
  <c r="EN436" i="4" s="1"/>
  <c r="EQ43" i="4"/>
  <c r="EQ469" i="4"/>
  <c r="EQ257" i="4"/>
  <c r="EM878" i="4"/>
  <c r="EL920" i="4"/>
  <c r="EY339" i="4"/>
  <c r="FA337" i="4"/>
  <c r="FA338" i="4" s="1"/>
  <c r="EL189" i="2"/>
  <c r="EK191" i="2"/>
  <c r="EK179" i="3" s="1"/>
  <c r="EU433" i="4"/>
  <c r="EU434" i="4" s="1"/>
  <c r="ES434" i="4"/>
  <c r="EN882" i="4"/>
  <c r="EM924" i="4"/>
  <c r="EL444" i="4"/>
  <c r="EL445" i="4" s="1"/>
  <c r="EJ445" i="4"/>
  <c r="ES93" i="4"/>
  <c r="ES400" i="4" s="1"/>
  <c r="EH266" i="2"/>
  <c r="EI287" i="2"/>
  <c r="EJ342" i="2"/>
  <c r="EI335" i="2"/>
  <c r="EL342" i="2"/>
  <c r="EJ167" i="3"/>
  <c r="EL879" i="4"/>
  <c r="EL921" i="4" s="1"/>
  <c r="EP456" i="4"/>
  <c r="ER454" i="4"/>
  <c r="ER456" i="4" s="1"/>
  <c r="EE333" i="2"/>
  <c r="EE614" i="2"/>
  <c r="EE341" i="2"/>
  <c r="EE165" i="3"/>
  <c r="EL754" i="4"/>
  <c r="EZ449" i="4"/>
  <c r="EV115" i="4"/>
  <c r="EX113" i="4"/>
  <c r="EX115" i="4" s="1"/>
  <c r="EM884" i="4"/>
  <c r="EM885" i="4" s="1"/>
  <c r="EM927" i="4" s="1"/>
  <c r="EL926" i="4"/>
  <c r="EV251" i="4"/>
  <c r="EV459" i="4"/>
  <c r="EX253" i="4"/>
  <c r="EM895" i="4"/>
  <c r="EM901" i="4"/>
  <c r="EN859" i="4"/>
  <c r="EM955" i="4"/>
  <c r="EF475" i="4"/>
  <c r="EF476" i="4" s="1"/>
  <c r="ED476" i="4"/>
  <c r="EL891" i="4"/>
  <c r="EL933" i="4" s="1"/>
  <c r="EL956" i="4"/>
  <c r="EL957" i="4" s="1"/>
  <c r="EM860" i="4"/>
  <c r="EM861" i="4" s="1"/>
  <c r="EL896" i="4"/>
  <c r="EL902" i="4"/>
  <c r="EF65" i="4"/>
  <c r="EF55" i="4"/>
  <c r="AG35" i="9"/>
  <c r="EE205" i="2"/>
  <c r="EJ348" i="4"/>
  <c r="EJ44" i="4"/>
  <c r="EL347" i="4"/>
  <c r="EL348" i="4" s="1"/>
  <c r="EJ471" i="4"/>
  <c r="EM334" i="2"/>
  <c r="EM931" i="4"/>
  <c r="EN889" i="4"/>
  <c r="EN44" i="4"/>
  <c r="EN348" i="4"/>
  <c r="EN471" i="4"/>
  <c r="EN472" i="4" s="1"/>
  <c r="EZ461" i="4"/>
  <c r="EZ462" i="4" s="1"/>
  <c r="EZ342" i="4"/>
  <c r="EZ343" i="4" s="1"/>
  <c r="EG475" i="4"/>
  <c r="EI469" i="4"/>
  <c r="EI470" i="4" s="1"/>
  <c r="EG470" i="4"/>
  <c r="EJ48" i="3"/>
  <c r="EJ65" i="2"/>
  <c r="EJ64" i="2" s="1"/>
  <c r="EJ62" i="2" s="1"/>
  <c r="EJ27" i="3" s="1"/>
  <c r="EE335" i="2"/>
  <c r="EE342" i="2"/>
  <c r="EE167" i="3"/>
  <c r="ED179" i="2"/>
  <c r="ED26" i="3"/>
  <c r="ED28" i="3" s="1"/>
  <c r="ED180" i="3"/>
  <c r="EF47" i="4"/>
  <c r="ED58" i="4"/>
  <c r="ED49" i="4"/>
  <c r="ED68" i="4"/>
  <c r="EV461" i="4"/>
  <c r="EX344" i="4"/>
  <c r="EX345" i="4" s="1"/>
  <c r="EV342" i="4"/>
  <c r="EN43" i="4"/>
  <c r="EN469" i="4"/>
  <c r="EN257" i="4"/>
  <c r="EY248" i="4"/>
  <c r="FA246" i="4"/>
  <c r="FA247" i="4" s="1"/>
  <c r="EZ439" i="4"/>
  <c r="EI435" i="4"/>
  <c r="EI436" i="4" s="1"/>
  <c r="EG436" i="4"/>
  <c r="EG154" i="4"/>
  <c r="EG150" i="4"/>
  <c r="ER479" i="4"/>
  <c r="ER480" i="4" s="1"/>
  <c r="EU26" i="4"/>
  <c r="EU39" i="4" s="1"/>
  <c r="ES39" i="4"/>
  <c r="EY113" i="4"/>
  <c r="EY127" i="4"/>
  <c r="FA118" i="4"/>
  <c r="EY23" i="4"/>
  <c r="EY119" i="4"/>
  <c r="EV147" i="4"/>
  <c r="EW147" i="4" s="1"/>
  <c r="ET146" i="4"/>
  <c r="EU146" i="4" s="1"/>
  <c r="EL231" i="2"/>
  <c r="EL341" i="2" s="1"/>
  <c r="EK232" i="2"/>
  <c r="EE160" i="4"/>
  <c r="EE155" i="4"/>
  <c r="EF154" i="4"/>
  <c r="EF155" i="4" s="1"/>
  <c r="EI140" i="4"/>
  <c r="EH139" i="4"/>
  <c r="EN876" i="4"/>
  <c r="EM879" i="4"/>
  <c r="EM921" i="4" s="1"/>
  <c r="EM918" i="4"/>
  <c r="EM754" i="4"/>
  <c r="EM936" i="4"/>
  <c r="EM779" i="4"/>
  <c r="EN751" i="4"/>
  <c r="EZ456" i="4"/>
  <c r="EX23" i="4"/>
  <c r="EX36" i="4" s="1"/>
  <c r="EV26" i="4"/>
  <c r="EV36" i="4"/>
  <c r="EV426" i="4"/>
  <c r="EX420" i="4"/>
  <c r="EV421" i="4"/>
  <c r="EN888" i="4"/>
  <c r="EM930" i="4"/>
  <c r="ES462" i="4"/>
  <c r="EU461" i="4"/>
  <c r="EU462" i="4" s="1"/>
  <c r="ER91" i="4"/>
  <c r="EM866" i="4"/>
  <c r="EM867" i="4" s="1"/>
  <c r="EM909" i="4" s="1"/>
  <c r="EL908" i="4"/>
  <c r="EZ21" i="4"/>
  <c r="EZ4" i="4" s="1"/>
  <c r="EZ20" i="4"/>
  <c r="EZ29" i="4"/>
  <c r="EW92" i="4"/>
  <c r="EW326" i="4" s="1"/>
  <c r="EW328" i="4" s="1"/>
  <c r="EU452" i="4"/>
  <c r="EU453" i="4" s="1"/>
  <c r="ES453" i="4"/>
  <c r="EG340" i="2"/>
  <c r="EG339" i="2"/>
  <c r="ER131" i="4"/>
  <c r="EK68" i="4" l="1"/>
  <c r="EK58" i="4"/>
  <c r="EU400" i="4"/>
  <c r="EN444" i="4"/>
  <c r="EN445" i="4" s="1"/>
  <c r="ER11" i="4"/>
  <c r="EU147" i="4"/>
  <c r="EM897" i="4"/>
  <c r="EM903" i="4"/>
  <c r="EX130" i="4"/>
  <c r="EV131" i="4"/>
  <c r="EU235" i="4"/>
  <c r="ES237" i="4"/>
  <c r="EW329" i="4"/>
  <c r="EW431" i="4"/>
  <c r="EW432" i="4" s="1"/>
  <c r="EY115" i="4"/>
  <c r="FA113" i="4"/>
  <c r="FA115" i="4" s="1"/>
  <c r="EN470" i="4"/>
  <c r="EM926" i="4"/>
  <c r="EN884" i="4"/>
  <c r="EM782" i="4"/>
  <c r="EM939" i="4"/>
  <c r="FA23" i="4"/>
  <c r="FA36" i="4" s="1"/>
  <c r="EY26" i="4"/>
  <c r="EY36" i="4"/>
  <c r="EX459" i="4"/>
  <c r="EX460" i="4" s="1"/>
  <c r="EV465" i="4"/>
  <c r="EV460" i="4"/>
  <c r="EK189" i="2"/>
  <c r="EL220" i="2"/>
  <c r="EK220" i="2" s="1"/>
  <c r="EL205" i="2"/>
  <c r="EK205" i="2" s="1"/>
  <c r="EM59" i="2"/>
  <c r="EM57" i="2" s="1"/>
  <c r="EJ179" i="2"/>
  <c r="EJ26" i="3"/>
  <c r="EJ28" i="3" s="1"/>
  <c r="EJ180" i="3"/>
  <c r="EW256" i="4"/>
  <c r="EW238" i="4"/>
  <c r="EW429" i="4"/>
  <c r="EU254" i="4"/>
  <c r="EU252" i="4"/>
  <c r="EV146" i="4"/>
  <c r="EZ465" i="4"/>
  <c r="EZ466" i="4" s="1"/>
  <c r="EZ460" i="4"/>
  <c r="EN175" i="2"/>
  <c r="EN337" i="2"/>
  <c r="EN150" i="2"/>
  <c r="EN52" i="3"/>
  <c r="EN31" i="2"/>
  <c r="EN168" i="2"/>
  <c r="EN165" i="2"/>
  <c r="EN336" i="2"/>
  <c r="EN11" i="4"/>
  <c r="EN267" i="2"/>
  <c r="EO266" i="2"/>
  <c r="EO342" i="2" s="1"/>
  <c r="ER332" i="4"/>
  <c r="ER333" i="4" s="1"/>
  <c r="ES333" i="4" s="1"/>
  <c r="EP334" i="4"/>
  <c r="EP347" i="4" s="1"/>
  <c r="EI48" i="3"/>
  <c r="EH48" i="3" s="1"/>
  <c r="EI59" i="2"/>
  <c r="EI53" i="3"/>
  <c r="EY30" i="4"/>
  <c r="FA16" i="4"/>
  <c r="FA30" i="4" s="1"/>
  <c r="EX433" i="4"/>
  <c r="EX434" i="4" s="1"/>
  <c r="EV434" i="4"/>
  <c r="EO752" i="4"/>
  <c r="EN937" i="4"/>
  <c r="EN780" i="4"/>
  <c r="EU93" i="4"/>
  <c r="EY244" i="4"/>
  <c r="EY438" i="4"/>
  <c r="FA243" i="4"/>
  <c r="FA244" i="4" s="1"/>
  <c r="EH287" i="2"/>
  <c r="EH630" i="2" s="1"/>
  <c r="EI305" i="2"/>
  <c r="EH305" i="2" s="1"/>
  <c r="EI630" i="2"/>
  <c r="FA119" i="4"/>
  <c r="EG155" i="4"/>
  <c r="EG160" i="4"/>
  <c r="ED51" i="4"/>
  <c r="EF49" i="4"/>
  <c r="ED60" i="4"/>
  <c r="ED70" i="4"/>
  <c r="EI475" i="4"/>
  <c r="EI476" i="4" s="1"/>
  <c r="EG476" i="4"/>
  <c r="EV252" i="4"/>
  <c r="EX251" i="4"/>
  <c r="EM166" i="3"/>
  <c r="EM338" i="2"/>
  <c r="EL334" i="2"/>
  <c r="EK236" i="2"/>
  <c r="EL338" i="2"/>
  <c r="EN191" i="2"/>
  <c r="EN179" i="3" s="1"/>
  <c r="EO189" i="2"/>
  <c r="EN33" i="2"/>
  <c r="EU3" i="4"/>
  <c r="ES11" i="4"/>
  <c r="EQ440" i="4"/>
  <c r="EQ335" i="4"/>
  <c r="EQ347" i="4"/>
  <c r="EP614" i="2"/>
  <c r="EP333" i="2"/>
  <c r="EY461" i="4"/>
  <c r="EY342" i="4"/>
  <c r="FA344" i="4"/>
  <c r="FA345" i="4" s="1"/>
  <c r="EV453" i="4"/>
  <c r="EX452" i="4"/>
  <c r="EX453" i="4" s="1"/>
  <c r="EM932" i="4"/>
  <c r="EN890" i="4"/>
  <c r="EN891" i="4" s="1"/>
  <c r="EN933" i="4" s="1"/>
  <c r="EX463" i="4"/>
  <c r="EX464" i="4" s="1"/>
  <c r="EV464" i="4"/>
  <c r="EO865" i="4"/>
  <c r="EN907" i="4"/>
  <c r="EJ139" i="4"/>
  <c r="EK50" i="3"/>
  <c r="EL50" i="3" s="1"/>
  <c r="EK49" i="3"/>
  <c r="EL49" i="3" s="1"/>
  <c r="EF58" i="4"/>
  <c r="EF68" i="4"/>
  <c r="EV479" i="4"/>
  <c r="EV483" i="4"/>
  <c r="EX483" i="4" s="1"/>
  <c r="EV427" i="4"/>
  <c r="EX426" i="4"/>
  <c r="EX427" i="4" s="1"/>
  <c r="EX26" i="4"/>
  <c r="EX39" i="4" s="1"/>
  <c r="EV39" i="4"/>
  <c r="EE7" i="4"/>
  <c r="EE161" i="4"/>
  <c r="EF160" i="4"/>
  <c r="EY136" i="4"/>
  <c r="FA136" i="4" s="1"/>
  <c r="FA127" i="4"/>
  <c r="FA128" i="4" s="1"/>
  <c r="EY133" i="4"/>
  <c r="EY128" i="4"/>
  <c r="EN55" i="4"/>
  <c r="EN65" i="4"/>
  <c r="EO882" i="4"/>
  <c r="EN924" i="4"/>
  <c r="EY450" i="4"/>
  <c r="FA339" i="4"/>
  <c r="EO871" i="4"/>
  <c r="EN913" i="4"/>
  <c r="ES456" i="4"/>
  <c r="EU454" i="4"/>
  <c r="EU456" i="4" s="1"/>
  <c r="EU465" i="4"/>
  <c r="EU466" i="4" s="1"/>
  <c r="ES466" i="4"/>
  <c r="EF249" i="2"/>
  <c r="EF57" i="2"/>
  <c r="EE59" i="2"/>
  <c r="EH185" i="2"/>
  <c r="EM44" i="4"/>
  <c r="EM471" i="4"/>
  <c r="EO347" i="4"/>
  <c r="EO348" i="4" s="1"/>
  <c r="EM348" i="4"/>
  <c r="EV93" i="4"/>
  <c r="EV400" i="4" s="1"/>
  <c r="EX400" i="4" s="1"/>
  <c r="EN240" i="2"/>
  <c r="EO236" i="2"/>
  <c r="EO166" i="3" s="1"/>
  <c r="EU30" i="2"/>
  <c r="EU34" i="4"/>
  <c r="EU71" i="4"/>
  <c r="FA422" i="4"/>
  <c r="EY423" i="4"/>
  <c r="EJ436" i="4"/>
  <c r="EL435" i="4"/>
  <c r="EL436" i="4" s="1"/>
  <c r="EF262" i="2"/>
  <c r="EF64" i="2"/>
  <c r="EE65" i="2"/>
  <c r="EV3" i="4"/>
  <c r="EV34" i="4"/>
  <c r="EX20" i="4"/>
  <c r="EV30" i="2"/>
  <c r="EV71" i="4"/>
  <c r="EM143" i="4"/>
  <c r="EK142" i="4"/>
  <c r="EL142" i="4" s="1"/>
  <c r="EU326" i="4"/>
  <c r="ES328" i="4"/>
  <c r="EO231" i="2"/>
  <c r="EO341" i="2" s="1"/>
  <c r="EN232" i="2"/>
  <c r="ES33" i="2"/>
  <c r="ES240" i="2"/>
  <c r="ES236" i="2" s="1"/>
  <c r="ES52" i="3"/>
  <c r="ES232" i="2"/>
  <c r="ES231" i="2" s="1"/>
  <c r="ES165" i="2"/>
  <c r="ES267" i="2"/>
  <c r="ES266" i="2" s="1"/>
  <c r="ES337" i="2"/>
  <c r="ES179" i="3"/>
  <c r="ES191" i="2" s="1"/>
  <c r="ES189" i="2" s="1"/>
  <c r="ES31" i="2"/>
  <c r="ES150" i="2"/>
  <c r="ES336" i="2"/>
  <c r="EP287" i="2"/>
  <c r="EP335" i="2"/>
  <c r="EP334" i="2"/>
  <c r="EO858" i="4"/>
  <c r="EN954" i="4"/>
  <c r="EN894" i="4"/>
  <c r="EN900" i="4"/>
  <c r="EM473" i="4"/>
  <c r="EM45" i="4"/>
  <c r="EO416" i="4"/>
  <c r="EO417" i="4" s="1"/>
  <c r="EM417" i="4"/>
  <c r="EO864" i="4"/>
  <c r="EN906" i="4"/>
  <c r="EI54" i="4"/>
  <c r="EI64" i="4"/>
  <c r="EN45" i="4"/>
  <c r="EN42" i="4" s="1"/>
  <c r="EN473" i="4"/>
  <c r="EN474" i="4" s="1"/>
  <c r="EN417" i="4"/>
  <c r="EU131" i="4"/>
  <c r="FA424" i="4"/>
  <c r="EY425" i="4"/>
  <c r="EN918" i="4"/>
  <c r="EO876" i="4"/>
  <c r="ED79" i="2"/>
  <c r="ED68" i="2"/>
  <c r="ED331" i="2"/>
  <c r="ED4" i="3"/>
  <c r="ED10" i="3" s="1"/>
  <c r="ED172" i="2"/>
  <c r="ED161" i="2"/>
  <c r="ED154" i="2"/>
  <c r="ED73" i="2"/>
  <c r="ED178" i="2"/>
  <c r="EX137" i="4"/>
  <c r="EX481" i="4" s="1"/>
  <c r="EH334" i="2"/>
  <c r="EH338" i="2"/>
  <c r="EH166" i="3"/>
  <c r="EX425" i="4"/>
  <c r="EY459" i="4"/>
  <c r="EY251" i="4"/>
  <c r="FA253" i="4"/>
  <c r="EI65" i="4"/>
  <c r="EI55" i="4"/>
  <c r="EM57" i="4"/>
  <c r="EO46" i="4"/>
  <c r="EX423" i="4"/>
  <c r="EO888" i="4"/>
  <c r="EN930" i="4"/>
  <c r="EH140" i="4"/>
  <c r="EH149" i="4"/>
  <c r="EK231" i="2"/>
  <c r="EL333" i="2"/>
  <c r="EL185" i="2"/>
  <c r="EL614" i="2"/>
  <c r="EM341" i="2"/>
  <c r="EM165" i="3"/>
  <c r="EN64" i="4"/>
  <c r="EN54" i="4"/>
  <c r="EJ472" i="4"/>
  <c r="EL471" i="4"/>
  <c r="EL472" i="4" s="1"/>
  <c r="EN955" i="4"/>
  <c r="EN895" i="4"/>
  <c r="EN901" i="4"/>
  <c r="EO859" i="4"/>
  <c r="EH335" i="2"/>
  <c r="EH342" i="2"/>
  <c r="EH167" i="3"/>
  <c r="EN878" i="4"/>
  <c r="EN879" i="4" s="1"/>
  <c r="EN921" i="4" s="1"/>
  <c r="EM920" i="4"/>
  <c r="EX448" i="4"/>
  <c r="EX449" i="4" s="1"/>
  <c r="EV449" i="4"/>
  <c r="EV454" i="4"/>
  <c r="EK70" i="4"/>
  <c r="EK60" i="4"/>
  <c r="EK51" i="4"/>
  <c r="EN872" i="4"/>
  <c r="EM914" i="4"/>
  <c r="EL165" i="3"/>
  <c r="EO431" i="4"/>
  <c r="EO432" i="4" s="1"/>
  <c r="EM432" i="4"/>
  <c r="EM305" i="2"/>
  <c r="EM630" i="2"/>
  <c r="EY426" i="4"/>
  <c r="EY93" i="4" s="1"/>
  <c r="FA420" i="4"/>
  <c r="EY421" i="4"/>
  <c r="EO157" i="4"/>
  <c r="EP168" i="2"/>
  <c r="EM443" i="4"/>
  <c r="EO442" i="4"/>
  <c r="EO443" i="4" s="1"/>
  <c r="EI47" i="4"/>
  <c r="EG58" i="4"/>
  <c r="EG68" i="4"/>
  <c r="EG49" i="4"/>
  <c r="EM167" i="3"/>
  <c r="EL287" i="2"/>
  <c r="EK266" i="2"/>
  <c r="EL335" i="2"/>
  <c r="EO167" i="3"/>
  <c r="EM342" i="2"/>
  <c r="EV92" i="4"/>
  <c r="EV326" i="4" s="1"/>
  <c r="EP329" i="4"/>
  <c r="ER328" i="4"/>
  <c r="ER329" i="4" s="1"/>
  <c r="EP431" i="4"/>
  <c r="EM185" i="2"/>
  <c r="EX21" i="4"/>
  <c r="EV4" i="4"/>
  <c r="EX4" i="4" s="1"/>
  <c r="FA17" i="4"/>
  <c r="FA31" i="4" s="1"/>
  <c r="EY31" i="4"/>
  <c r="ER267" i="2"/>
  <c r="ER179" i="3"/>
  <c r="ER191" i="2" s="1"/>
  <c r="ER165" i="2"/>
  <c r="ER336" i="2"/>
  <c r="ER33" i="2"/>
  <c r="ER31" i="2"/>
  <c r="ER232" i="2"/>
  <c r="EQ30" i="2"/>
  <c r="ER240" i="2"/>
  <c r="ER150" i="2"/>
  <c r="ER52" i="3"/>
  <c r="ER337" i="2"/>
  <c r="EO870" i="4"/>
  <c r="EN912" i="4"/>
  <c r="EP256" i="4"/>
  <c r="EP238" i="4"/>
  <c r="EP429" i="4"/>
  <c r="ER237" i="4"/>
  <c r="ER238" i="4" s="1"/>
  <c r="EZ3" i="4"/>
  <c r="EZ71" i="4"/>
  <c r="EZ34" i="4"/>
  <c r="EO889" i="4"/>
  <c r="EN931" i="4"/>
  <c r="EO751" i="4"/>
  <c r="EN779" i="4"/>
  <c r="EN936" i="4"/>
  <c r="EY448" i="4"/>
  <c r="FA248" i="4"/>
  <c r="EV343" i="4"/>
  <c r="EX342" i="4"/>
  <c r="EX343" i="4" s="1"/>
  <c r="EU92" i="4"/>
  <c r="EH62" i="4"/>
  <c r="EH72" i="4"/>
  <c r="EH6" i="4"/>
  <c r="EJ340" i="2"/>
  <c r="EJ339" i="2"/>
  <c r="EH333" i="2"/>
  <c r="EH614" i="2"/>
  <c r="EH165" i="3"/>
  <c r="EH341" i="2"/>
  <c r="EO883" i="4"/>
  <c r="EN925" i="4"/>
  <c r="EJ42" i="4"/>
  <c r="EL43" i="4"/>
  <c r="EJ54" i="4"/>
  <c r="EJ47" i="4"/>
  <c r="EJ64" i="4"/>
  <c r="EP49" i="3"/>
  <c r="EP50" i="3"/>
  <c r="EZ479" i="4"/>
  <c r="EZ483" i="4"/>
  <c r="EZ427" i="4"/>
  <c r="EZ93" i="4"/>
  <c r="EP405" i="4"/>
  <c r="EQ406" i="4"/>
  <c r="EQ405" i="4" s="1"/>
  <c r="EG5" i="4"/>
  <c r="EI5" i="4" s="1"/>
  <c r="EI42" i="4"/>
  <c r="EI53" i="4" s="1"/>
  <c r="EG53" i="4"/>
  <c r="EU479" i="4"/>
  <c r="EU480" i="4" s="1"/>
  <c r="EY452" i="4"/>
  <c r="FA409" i="4"/>
  <c r="FA410" i="4" s="1"/>
  <c r="ED633" i="2"/>
  <c r="ED263" i="2"/>
  <c r="EN866" i="4"/>
  <c r="EN867" i="4" s="1"/>
  <c r="EM908" i="4"/>
  <c r="EV91" i="4"/>
  <c r="EV235" i="4" s="1"/>
  <c r="EY147" i="4"/>
  <c r="EZ147" i="4" s="1"/>
  <c r="EZ146" i="4" s="1"/>
  <c r="EW146" i="4"/>
  <c r="EJ55" i="4"/>
  <c r="EJ65" i="4"/>
  <c r="EL44" i="4"/>
  <c r="EM956" i="4"/>
  <c r="EM957" i="4" s="1"/>
  <c r="EN860" i="4"/>
  <c r="EM896" i="4"/>
  <c r="EM902" i="4"/>
  <c r="EQ470" i="4"/>
  <c r="EP486" i="4"/>
  <c r="EQ487" i="4"/>
  <c r="EQ486" i="4" s="1"/>
  <c r="EQ489" i="4" s="1"/>
  <c r="EO877" i="4"/>
  <c r="EN919" i="4"/>
  <c r="EM469" i="4"/>
  <c r="EM43" i="4"/>
  <c r="EO256" i="4"/>
  <c r="EO257" i="4" s="1"/>
  <c r="EM257" i="4"/>
  <c r="EL66" i="4"/>
  <c r="EL56" i="4"/>
  <c r="EY20" i="4"/>
  <c r="EY21" i="4"/>
  <c r="EY29" i="4"/>
  <c r="FA15" i="4"/>
  <c r="FA29" i="4" s="1"/>
  <c r="EN753" i="4"/>
  <c r="EM938" i="4"/>
  <c r="EM781" i="4"/>
  <c r="EL469" i="4"/>
  <c r="EL470" i="4" s="1"/>
  <c r="EJ470" i="4"/>
  <c r="EJ475" i="4"/>
  <c r="EP205" i="2"/>
  <c r="EP220" i="2"/>
  <c r="EU91" i="4"/>
  <c r="ET431" i="4"/>
  <c r="ET432" i="4" s="1"/>
  <c r="ET329" i="4"/>
  <c r="EM441" i="4"/>
  <c r="EO440" i="4"/>
  <c r="EO441" i="4" s="1"/>
  <c r="EM444" i="4"/>
  <c r="EE340" i="2"/>
  <c r="EE339" i="2"/>
  <c r="EU484" i="4"/>
  <c r="ED44" i="3"/>
  <c r="EX421" i="4"/>
  <c r="EX461" i="4"/>
  <c r="EX462" i="4" s="1"/>
  <c r="EV462" i="4"/>
  <c r="EL782" i="4"/>
  <c r="EL939" i="4"/>
  <c r="EQ54" i="4"/>
  <c r="EQ64" i="4"/>
  <c r="AG61" i="9"/>
  <c r="AG60" i="9" s="1"/>
  <c r="EE305" i="2"/>
  <c r="EM65" i="2"/>
  <c r="EM64" i="2" s="1"/>
  <c r="EM62" i="2" s="1"/>
  <c r="EM27" i="3" s="1"/>
  <c r="EM48" i="3"/>
  <c r="EX438" i="4"/>
  <c r="EX439" i="4" s="1"/>
  <c r="EV439" i="4"/>
  <c r="EX133" i="4"/>
  <c r="EX134" i="4" s="1"/>
  <c r="EM435" i="4"/>
  <c r="EM430" i="4"/>
  <c r="EO429" i="4"/>
  <c r="EO430" i="4" s="1"/>
  <c r="EX450" i="4"/>
  <c r="EX451" i="4" s="1"/>
  <c r="EV451" i="4"/>
  <c r="EZ130" i="4"/>
  <c r="EI65" i="2"/>
  <c r="EI54" i="3"/>
  <c r="EZ91" i="4"/>
  <c r="EY433" i="4"/>
  <c r="EY403" i="4"/>
  <c r="FA402" i="4"/>
  <c r="FA403" i="4" s="1"/>
  <c r="ET256" i="4"/>
  <c r="ET429" i="4"/>
  <c r="ET238" i="4"/>
  <c r="EL46" i="4"/>
  <c r="EL57" i="4" s="1"/>
  <c r="EJ57" i="4"/>
  <c r="EL897" i="4"/>
  <c r="EY463" i="4"/>
  <c r="FA413" i="4"/>
  <c r="FA414" i="4" s="1"/>
  <c r="EX91" i="4" l="1"/>
  <c r="EO165" i="3"/>
  <c r="EN47" i="4"/>
  <c r="EP185" i="2"/>
  <c r="EX93" i="4"/>
  <c r="EX235" i="4"/>
  <c r="EV237" i="4"/>
  <c r="EN909" i="4"/>
  <c r="EO867" i="4"/>
  <c r="EO909" i="4" s="1"/>
  <c r="EX326" i="4"/>
  <c r="EV328" i="4"/>
  <c r="EQ33" i="2"/>
  <c r="FA421" i="4"/>
  <c r="EO872" i="4"/>
  <c r="EN914" i="4"/>
  <c r="EV456" i="4"/>
  <c r="EX454" i="4"/>
  <c r="EX456" i="4" s="1"/>
  <c r="EO955" i="4"/>
  <c r="EO901" i="4"/>
  <c r="EP859" i="4"/>
  <c r="EO895" i="4"/>
  <c r="EP858" i="4"/>
  <c r="EO894" i="4"/>
  <c r="EO900" i="4"/>
  <c r="EO954" i="4"/>
  <c r="ES287" i="2"/>
  <c r="ES335" i="2"/>
  <c r="EU328" i="4"/>
  <c r="EU329" i="4" s="1"/>
  <c r="ES431" i="4"/>
  <c r="ES329" i="4"/>
  <c r="EX3" i="4"/>
  <c r="EV11" i="4"/>
  <c r="FA423" i="4"/>
  <c r="FA450" i="4"/>
  <c r="FA451" i="4" s="1"/>
  <c r="EY451" i="4"/>
  <c r="EE8" i="4"/>
  <c r="EN189" i="2"/>
  <c r="EO220" i="2"/>
  <c r="EN220" i="2" s="1"/>
  <c r="EO205" i="2"/>
  <c r="EN205" i="2" s="1"/>
  <c r="EX254" i="4"/>
  <c r="EX252" i="4"/>
  <c r="EG161" i="4"/>
  <c r="EG7" i="4"/>
  <c r="EY434" i="4"/>
  <c r="FA433" i="4"/>
  <c r="FA434" i="4" s="1"/>
  <c r="EO444" i="4"/>
  <c r="EO445" i="4" s="1"/>
  <c r="EM445" i="4"/>
  <c r="EO43" i="4"/>
  <c r="EM47" i="4"/>
  <c r="EM64" i="4"/>
  <c r="EM42" i="4"/>
  <c r="EM54" i="4"/>
  <c r="EP48" i="3"/>
  <c r="EP65" i="2"/>
  <c r="EP64" i="2" s="1"/>
  <c r="EP62" i="2" s="1"/>
  <c r="EP27" i="3" s="1"/>
  <c r="EI58" i="4"/>
  <c r="EI68" i="4"/>
  <c r="EY483" i="4"/>
  <c r="FA483" i="4" s="1"/>
  <c r="EY479" i="4"/>
  <c r="FA426" i="4"/>
  <c r="FA427" i="4" s="1"/>
  <c r="EY427" i="4"/>
  <c r="EN53" i="4"/>
  <c r="EN5" i="4"/>
  <c r="EK614" i="2"/>
  <c r="EK333" i="2"/>
  <c r="EK165" i="3"/>
  <c r="EK341" i="2"/>
  <c r="FA251" i="4"/>
  <c r="EY252" i="4"/>
  <c r="EL53" i="3"/>
  <c r="EL59" i="2"/>
  <c r="EL48" i="3"/>
  <c r="EK48" i="3" s="1"/>
  <c r="EN932" i="4"/>
  <c r="EO890" i="4"/>
  <c r="EQ348" i="4"/>
  <c r="EQ44" i="4"/>
  <c r="EQ471" i="4"/>
  <c r="EW257" i="4"/>
  <c r="EW469" i="4"/>
  <c r="EW43" i="4"/>
  <c r="EM179" i="2"/>
  <c r="EM26" i="3"/>
  <c r="EM28" i="3" s="1"/>
  <c r="EM180" i="3"/>
  <c r="EV466" i="4"/>
  <c r="EX465" i="4"/>
  <c r="EX466" i="4" s="1"/>
  <c r="EN938" i="4"/>
  <c r="EN781" i="4"/>
  <c r="EO753" i="4"/>
  <c r="ER486" i="4"/>
  <c r="ER487" i="4" s="1"/>
  <c r="ES487" i="4" s="1"/>
  <c r="EP489" i="4"/>
  <c r="EN896" i="4"/>
  <c r="EN902" i="4"/>
  <c r="EO860" i="4"/>
  <c r="EO861" i="4" s="1"/>
  <c r="EN956" i="4"/>
  <c r="EN957" i="4" s="1"/>
  <c r="EI249" i="2"/>
  <c r="EG249" i="2"/>
  <c r="EE249" i="2"/>
  <c r="EE42" i="3" s="1"/>
  <c r="EE44" i="3" s="1"/>
  <c r="EF247" i="2"/>
  <c r="EF42" i="3"/>
  <c r="FA133" i="4"/>
  <c r="FA134" i="4" s="1"/>
  <c r="EO780" i="4"/>
  <c r="EP752" i="4"/>
  <c r="EO937" i="4"/>
  <c r="EO884" i="4"/>
  <c r="EO885" i="4" s="1"/>
  <c r="EO927" i="4" s="1"/>
  <c r="EN926" i="4"/>
  <c r="EO469" i="4"/>
  <c r="EO470" i="4" s="1"/>
  <c r="EM470" i="4"/>
  <c r="EM475" i="4"/>
  <c r="EL65" i="4"/>
  <c r="EL55" i="4"/>
  <c r="FA452" i="4"/>
  <c r="FA453" i="4" s="1"/>
  <c r="EY453" i="4"/>
  <c r="EQ442" i="4"/>
  <c r="EQ443" i="4" s="1"/>
  <c r="EQ416" i="4"/>
  <c r="EP59" i="2"/>
  <c r="EP57" i="2" s="1"/>
  <c r="EO925" i="4"/>
  <c r="EP883" i="4"/>
  <c r="EO779" i="4"/>
  <c r="EP751" i="4"/>
  <c r="EO936" i="4"/>
  <c r="EP430" i="4"/>
  <c r="EP435" i="4"/>
  <c r="ER429" i="4"/>
  <c r="ER430" i="4" s="1"/>
  <c r="ER431" i="4"/>
  <c r="ER432" i="4" s="1"/>
  <c r="EP432" i="4"/>
  <c r="EH150" i="4"/>
  <c r="EH154" i="4"/>
  <c r="EI149" i="4"/>
  <c r="EI150" i="4" s="1"/>
  <c r="EX92" i="4"/>
  <c r="EY465" i="4"/>
  <c r="FA459" i="4"/>
  <c r="FA460" i="4" s="1"/>
  <c r="EY460" i="4"/>
  <c r="EN56" i="4"/>
  <c r="EN66" i="4"/>
  <c r="EO45" i="4"/>
  <c r="EM66" i="4"/>
  <c r="EM56" i="4"/>
  <c r="ES333" i="2"/>
  <c r="ES614" i="2"/>
  <c r="EF62" i="2"/>
  <c r="EF179" i="2" s="1"/>
  <c r="EE64" i="2"/>
  <c r="EM472" i="4"/>
  <c r="EO471" i="4"/>
  <c r="EO472" i="4" s="1"/>
  <c r="EN885" i="4"/>
  <c r="EN927" i="4" s="1"/>
  <c r="EY146" i="4"/>
  <c r="FA146" i="4" s="1"/>
  <c r="EL65" i="2"/>
  <c r="EL54" i="3"/>
  <c r="EX131" i="4"/>
  <c r="EM474" i="4"/>
  <c r="EO473" i="4"/>
  <c r="EO474" i="4" s="1"/>
  <c r="ES49" i="3"/>
  <c r="ES50" i="3"/>
  <c r="EN143" i="4"/>
  <c r="EM142" i="4"/>
  <c r="EI262" i="2"/>
  <c r="AG53" i="9"/>
  <c r="EG262" i="2"/>
  <c r="EE262" i="2"/>
  <c r="EU240" i="2"/>
  <c r="EU232" i="2"/>
  <c r="EU267" i="2"/>
  <c r="EU52" i="3"/>
  <c r="EU33" i="2"/>
  <c r="EU31" i="2"/>
  <c r="EU336" i="2"/>
  <c r="EU179" i="3"/>
  <c r="EU191" i="2" s="1"/>
  <c r="EU165" i="2"/>
  <c r="EU150" i="2"/>
  <c r="ET30" i="2"/>
  <c r="EV168" i="2" s="1"/>
  <c r="EU337" i="2"/>
  <c r="EO44" i="4"/>
  <c r="EM65" i="4"/>
  <c r="EM55" i="4"/>
  <c r="EP882" i="4"/>
  <c r="EO924" i="4"/>
  <c r="EJ140" i="4"/>
  <c r="EJ149" i="4"/>
  <c r="EQ441" i="4"/>
  <c r="EL340" i="2"/>
  <c r="EL339" i="2"/>
  <c r="EK334" i="2"/>
  <c r="EK338" i="2"/>
  <c r="EK166" i="3"/>
  <c r="FA438" i="4"/>
  <c r="FA439" i="4" s="1"/>
  <c r="EY439" i="4"/>
  <c r="EN475" i="4"/>
  <c r="EN476" i="4" s="1"/>
  <c r="EY464" i="4"/>
  <c r="FA463" i="4"/>
  <c r="FA464" i="4" s="1"/>
  <c r="EN754" i="4"/>
  <c r="EK335" i="2"/>
  <c r="EK167" i="3"/>
  <c r="EK342" i="2"/>
  <c r="EY3" i="4"/>
  <c r="EY30" i="2"/>
  <c r="EY71" i="4"/>
  <c r="EY34" i="4"/>
  <c r="FA20" i="4"/>
  <c r="EJ58" i="4"/>
  <c r="EL47" i="4"/>
  <c r="EJ68" i="4"/>
  <c r="EJ49" i="4"/>
  <c r="EY454" i="4"/>
  <c r="FA448" i="4"/>
  <c r="FA449" i="4" s="1"/>
  <c r="EY449" i="4"/>
  <c r="EP469" i="4"/>
  <c r="EP257" i="4"/>
  <c r="EP43" i="4"/>
  <c r="ER256" i="4"/>
  <c r="ER257" i="4" s="1"/>
  <c r="ER266" i="2"/>
  <c r="ER342" i="2" s="1"/>
  <c r="EQ267" i="2"/>
  <c r="EK287" i="2"/>
  <c r="EK630" i="2" s="1"/>
  <c r="EL630" i="2"/>
  <c r="EL305" i="2"/>
  <c r="EK305" i="2" s="1"/>
  <c r="EN920" i="4"/>
  <c r="EO878" i="4"/>
  <c r="EO879" i="4" s="1"/>
  <c r="EO921" i="4" s="1"/>
  <c r="EO57" i="4"/>
  <c r="FA425" i="4"/>
  <c r="FA93" i="4"/>
  <c r="EN861" i="4"/>
  <c r="ES205" i="2"/>
  <c r="ES220" i="2"/>
  <c r="ES334" i="2"/>
  <c r="EP338" i="2"/>
  <c r="EN236" i="2"/>
  <c r="EP166" i="3"/>
  <c r="EO334" i="2"/>
  <c r="FA137" i="4"/>
  <c r="FA481" i="4" s="1"/>
  <c r="EL139" i="4"/>
  <c r="EL143" i="4"/>
  <c r="EO338" i="2"/>
  <c r="EP335" i="4"/>
  <c r="EP440" i="4"/>
  <c r="ER334" i="4"/>
  <c r="ER335" i="4" s="1"/>
  <c r="EX146" i="4"/>
  <c r="FA26" i="4"/>
  <c r="FA39" i="4" s="1"/>
  <c r="EY39" i="4"/>
  <c r="ES256" i="4"/>
  <c r="ES429" i="4"/>
  <c r="EU237" i="4"/>
  <c r="EU238" i="4" s="1"/>
  <c r="ES238" i="4"/>
  <c r="ER236" i="2"/>
  <c r="EQ240" i="2"/>
  <c r="EP889" i="4"/>
  <c r="EO931" i="4"/>
  <c r="EQ31" i="2"/>
  <c r="EQ165" i="2"/>
  <c r="EQ150" i="2"/>
  <c r="EQ168" i="2"/>
  <c r="EQ337" i="2"/>
  <c r="EQ52" i="3"/>
  <c r="EQ175" i="2"/>
  <c r="EQ336" i="2"/>
  <c r="EQ11" i="4"/>
  <c r="EP348" i="4"/>
  <c r="EP44" i="4"/>
  <c r="EP471" i="4"/>
  <c r="ER347" i="4"/>
  <c r="ER348" i="4" s="1"/>
  <c r="EK62" i="4"/>
  <c r="EK72" i="4"/>
  <c r="EK6" i="4"/>
  <c r="ED160" i="2"/>
  <c r="ED60" i="2"/>
  <c r="ED171" i="2"/>
  <c r="ED69" i="2"/>
  <c r="ED153" i="2"/>
  <c r="EP630" i="2"/>
  <c r="EP305" i="2"/>
  <c r="ES168" i="2"/>
  <c r="EV33" i="2"/>
  <c r="EV52" i="3"/>
  <c r="EV179" i="3"/>
  <c r="EV191" i="2" s="1"/>
  <c r="EV189" i="2" s="1"/>
  <c r="EV267" i="2"/>
  <c r="EV266" i="2" s="1"/>
  <c r="EV240" i="2"/>
  <c r="EV236" i="2" s="1"/>
  <c r="EV336" i="2"/>
  <c r="EV31" i="2"/>
  <c r="EV337" i="2"/>
  <c r="EV165" i="2"/>
  <c r="EV232" i="2"/>
  <c r="EV231" i="2" s="1"/>
  <c r="EV150" i="2"/>
  <c r="EF7" i="4"/>
  <c r="EF161" i="4"/>
  <c r="EX484" i="4"/>
  <c r="EU11" i="4"/>
  <c r="ET333" i="4"/>
  <c r="ET332" i="4" s="1"/>
  <c r="ET334" i="4" s="1"/>
  <c r="ES332" i="4"/>
  <c r="EQ191" i="2"/>
  <c r="EQ179" i="3" s="1"/>
  <c r="ER189" i="2"/>
  <c r="EG51" i="4"/>
  <c r="EI49" i="4"/>
  <c r="EG70" i="4"/>
  <c r="EG60" i="4"/>
  <c r="EN58" i="4"/>
  <c r="EN49" i="4"/>
  <c r="EN68" i="4"/>
  <c r="EP888" i="4"/>
  <c r="EO930" i="4"/>
  <c r="EO891" i="4"/>
  <c r="EO933" i="4" s="1"/>
  <c r="EH340" i="2"/>
  <c r="EH339" i="2"/>
  <c r="ED151" i="3"/>
  <c r="ED80" i="2"/>
  <c r="ED84" i="2" s="1"/>
  <c r="ED135" i="3"/>
  <c r="ED137" i="3" s="1"/>
  <c r="EX30" i="2"/>
  <c r="EX34" i="4"/>
  <c r="EX71" i="4"/>
  <c r="EO913" i="4"/>
  <c r="EP871" i="4"/>
  <c r="EX479" i="4"/>
  <c r="EX480" i="4" s="1"/>
  <c r="EP865" i="4"/>
  <c r="EO907" i="4"/>
  <c r="FA342" i="4"/>
  <c r="FA343" i="4" s="1"/>
  <c r="EY343" i="4"/>
  <c r="EM340" i="2"/>
  <c r="EM339" i="2"/>
  <c r="EF60" i="4"/>
  <c r="EF70" i="4"/>
  <c r="EH59" i="2"/>
  <c r="EI57" i="2"/>
  <c r="EO287" i="2"/>
  <c r="EN266" i="2"/>
  <c r="EP167" i="3"/>
  <c r="EP342" i="2"/>
  <c r="EO335" i="2"/>
  <c r="EN50" i="3"/>
  <c r="EO50" i="3" s="1"/>
  <c r="EN49" i="3"/>
  <c r="EO49" i="3" s="1"/>
  <c r="EJ476" i="4"/>
  <c r="EL475" i="4"/>
  <c r="EL476" i="4" s="1"/>
  <c r="FA21" i="4"/>
  <c r="EY4" i="4"/>
  <c r="FA4" i="4" s="1"/>
  <c r="ER405" i="4"/>
  <c r="ER406" i="4" s="1"/>
  <c r="ES406" i="4" s="1"/>
  <c r="EP442" i="4"/>
  <c r="EP416" i="4"/>
  <c r="EO435" i="4"/>
  <c r="EO436" i="4" s="1"/>
  <c r="EM436" i="4"/>
  <c r="ET430" i="4"/>
  <c r="ET435" i="4"/>
  <c r="ET436" i="4" s="1"/>
  <c r="EH65" i="2"/>
  <c r="EI64" i="2"/>
  <c r="ET257" i="4"/>
  <c r="ET469" i="4"/>
  <c r="ET43" i="4"/>
  <c r="EP877" i="4"/>
  <c r="EO919" i="4"/>
  <c r="EN908" i="4"/>
  <c r="EO866" i="4"/>
  <c r="EL64" i="4"/>
  <c r="EL54" i="4"/>
  <c r="EN873" i="4"/>
  <c r="EN915" i="4" s="1"/>
  <c r="ER231" i="2"/>
  <c r="ER165" i="3" s="1"/>
  <c r="EQ232" i="2"/>
  <c r="EZ326" i="4"/>
  <c r="EZ328" i="4" s="1"/>
  <c r="EZ235" i="4"/>
  <c r="EZ237" i="4" s="1"/>
  <c r="EZ400" i="4"/>
  <c r="EZ131" i="4"/>
  <c r="EQ157" i="4"/>
  <c r="EQ46" i="4"/>
  <c r="EQ57" i="4" s="1"/>
  <c r="EJ5" i="4"/>
  <c r="EL5" i="4" s="1"/>
  <c r="EL42" i="4"/>
  <c r="EL53" i="4" s="1"/>
  <c r="EJ53" i="4"/>
  <c r="EO873" i="4"/>
  <c r="EO915" i="4" s="1"/>
  <c r="EP870" i="4"/>
  <c r="EO912" i="4"/>
  <c r="EY91" i="4"/>
  <c r="EK185" i="2"/>
  <c r="EP876" i="4"/>
  <c r="EO918" i="4"/>
  <c r="EP864" i="4"/>
  <c r="EO906" i="4"/>
  <c r="ES175" i="2"/>
  <c r="EO185" i="2"/>
  <c r="EN231" i="2"/>
  <c r="EO614" i="2"/>
  <c r="EO333" i="2"/>
  <c r="EP341" i="2"/>
  <c r="EP165" i="3"/>
  <c r="EY92" i="4"/>
  <c r="EF26" i="3"/>
  <c r="EE57" i="2"/>
  <c r="EF180" i="3"/>
  <c r="EY130" i="4"/>
  <c r="FA461" i="4"/>
  <c r="FA462" i="4" s="1"/>
  <c r="EY462" i="4"/>
  <c r="EF51" i="4"/>
  <c r="ED62" i="4"/>
  <c r="ED72" i="4"/>
  <c r="ED6" i="4"/>
  <c r="EF6" i="4" s="1"/>
  <c r="EW435" i="4"/>
  <c r="EW436" i="4" s="1"/>
  <c r="EW430" i="4"/>
  <c r="FA92" i="4" l="1"/>
  <c r="ER167" i="3"/>
  <c r="ER341" i="2"/>
  <c r="EQ444" i="4"/>
  <c r="EQ445" i="4" s="1"/>
  <c r="ES59" i="2"/>
  <c r="ES57" i="2" s="1"/>
  <c r="EQ883" i="4"/>
  <c r="EP925" i="4"/>
  <c r="EG42" i="3"/>
  <c r="EG44" i="3" s="1"/>
  <c r="EG247" i="2"/>
  <c r="EE179" i="2"/>
  <c r="AG25" i="9"/>
  <c r="EP919" i="4"/>
  <c r="EQ877" i="4"/>
  <c r="EV49" i="3"/>
  <c r="EV50" i="3"/>
  <c r="EQ889" i="4"/>
  <c r="EP931" i="4"/>
  <c r="ER440" i="4"/>
  <c r="ER441" i="4" s="1"/>
  <c r="EP441" i="4"/>
  <c r="EP444" i="4"/>
  <c r="EO920" i="4"/>
  <c r="EP878" i="4"/>
  <c r="EP879" i="4" s="1"/>
  <c r="EP921" i="4" s="1"/>
  <c r="ER43" i="4"/>
  <c r="EP54" i="4"/>
  <c r="EP64" i="4"/>
  <c r="EL58" i="4"/>
  <c r="EL68" i="4"/>
  <c r="EI42" i="3"/>
  <c r="EI44" i="3" s="1"/>
  <c r="EH249" i="2"/>
  <c r="EH42" i="3" s="1"/>
  <c r="EI247" i="2"/>
  <c r="EL249" i="2"/>
  <c r="EJ249" i="2"/>
  <c r="EE26" i="3"/>
  <c r="EE180" i="3"/>
  <c r="EQ864" i="4"/>
  <c r="EP906" i="4"/>
  <c r="EQ236" i="2"/>
  <c r="ES166" i="3"/>
  <c r="ES338" i="2"/>
  <c r="ER334" i="2"/>
  <c r="ET240" i="2"/>
  <c r="EU236" i="2"/>
  <c r="EU338" i="2" s="1"/>
  <c r="FA147" i="4"/>
  <c r="EP780" i="4"/>
  <c r="EQ752" i="4"/>
  <c r="EP937" i="4"/>
  <c r="ES432" i="4"/>
  <c r="EU431" i="4"/>
  <c r="EU432" i="4" s="1"/>
  <c r="ET54" i="4"/>
  <c r="ET64" i="4"/>
  <c r="EQ50" i="3"/>
  <c r="ER50" i="3" s="1"/>
  <c r="EQ49" i="3"/>
  <c r="ER49" i="3" s="1"/>
  <c r="EY466" i="4"/>
  <c r="FA465" i="4"/>
  <c r="FA466" i="4" s="1"/>
  <c r="EP436" i="4"/>
  <c r="ER435" i="4"/>
  <c r="ER436" i="4" s="1"/>
  <c r="EO475" i="4"/>
  <c r="EO476" i="4" s="1"/>
  <c r="EM476" i="4"/>
  <c r="EP46" i="4"/>
  <c r="ER489" i="4"/>
  <c r="EP157" i="4"/>
  <c r="ER157" i="4" s="1"/>
  <c r="EP890" i="4"/>
  <c r="EP891" i="4" s="1"/>
  <c r="EP933" i="4" s="1"/>
  <c r="EO932" i="4"/>
  <c r="EM53" i="4"/>
  <c r="EM5" i="4"/>
  <c r="EO5" i="4" s="1"/>
  <c r="EO42" i="4"/>
  <c r="EO53" i="4" s="1"/>
  <c r="EO903" i="4"/>
  <c r="EV431" i="4"/>
  <c r="EX328" i="4"/>
  <c r="EX329" i="4" s="1"/>
  <c r="EV329" i="4"/>
  <c r="EV205" i="2"/>
  <c r="EV220" i="2"/>
  <c r="EO65" i="4"/>
  <c r="EO55" i="4"/>
  <c r="ET33" i="2"/>
  <c r="EP179" i="2"/>
  <c r="EP26" i="3"/>
  <c r="EP28" i="3" s="1"/>
  <c r="EP180" i="3"/>
  <c r="ET487" i="4"/>
  <c r="ET486" i="4" s="1"/>
  <c r="ET489" i="4" s="1"/>
  <c r="ES486" i="4"/>
  <c r="EG72" i="2"/>
  <c r="EG12" i="4" s="1"/>
  <c r="EG8" i="4"/>
  <c r="EP954" i="4"/>
  <c r="EP894" i="4"/>
  <c r="EQ858" i="4"/>
  <c r="EP900" i="4"/>
  <c r="EP872" i="4"/>
  <c r="EP873" i="4" s="1"/>
  <c r="EP915" i="4" s="1"/>
  <c r="EO914" i="4"/>
  <c r="FA71" i="4"/>
  <c r="FA30" i="2"/>
  <c r="EY175" i="2" s="1"/>
  <c r="FA34" i="4"/>
  <c r="EU189" i="2"/>
  <c r="ET191" i="2"/>
  <c r="ET179" i="3" s="1"/>
  <c r="EQ55" i="4"/>
  <c r="EQ65" i="4"/>
  <c r="EF62" i="4"/>
  <c r="EF72" i="4"/>
  <c r="EN614" i="2"/>
  <c r="EN333" i="2"/>
  <c r="EN165" i="3"/>
  <c r="EN341" i="2"/>
  <c r="ER442" i="4"/>
  <c r="ER443" i="4" s="1"/>
  <c r="EP443" i="4"/>
  <c r="ER44" i="4"/>
  <c r="EP55" i="4"/>
  <c r="EP65" i="4"/>
  <c r="ES43" i="4"/>
  <c r="ES257" i="4"/>
  <c r="ES469" i="4"/>
  <c r="EU256" i="4"/>
  <c r="EU257" i="4" s="1"/>
  <c r="EN334" i="2"/>
  <c r="EN166" i="3"/>
  <c r="EN338" i="2"/>
  <c r="FA3" i="4"/>
  <c r="EY11" i="4"/>
  <c r="EJ154" i="4"/>
  <c r="EJ150" i="4"/>
  <c r="EL262" i="2"/>
  <c r="EH262" i="2"/>
  <c r="EJ262" i="2"/>
  <c r="EQ45" i="4"/>
  <c r="EQ47" i="4" s="1"/>
  <c r="EQ473" i="4"/>
  <c r="EQ474" i="4" s="1"/>
  <c r="EQ417" i="4"/>
  <c r="EF44" i="3"/>
  <c r="EO781" i="4"/>
  <c r="EP753" i="4"/>
  <c r="EP754" i="4" s="1"/>
  <c r="EO938" i="4"/>
  <c r="EW64" i="4"/>
  <c r="EW54" i="4"/>
  <c r="FA252" i="4"/>
  <c r="FA254" i="4"/>
  <c r="EM49" i="4"/>
  <c r="EO47" i="4"/>
  <c r="EM68" i="4"/>
  <c r="EM58" i="4"/>
  <c r="FA91" i="4"/>
  <c r="EY33" i="2"/>
  <c r="EY52" i="3"/>
  <c r="EY179" i="3"/>
  <c r="EY191" i="2" s="1"/>
  <c r="EY189" i="2" s="1"/>
  <c r="EY337" i="2"/>
  <c r="EY31" i="2"/>
  <c r="EY150" i="2"/>
  <c r="EY267" i="2"/>
  <c r="EY266" i="2" s="1"/>
  <c r="EY240" i="2"/>
  <c r="EY236" i="2" s="1"/>
  <c r="EY336" i="2"/>
  <c r="EY232" i="2"/>
  <c r="EY231" i="2" s="1"/>
  <c r="EY165" i="2"/>
  <c r="EZ431" i="4"/>
  <c r="EZ432" i="4" s="1"/>
  <c r="EZ329" i="4"/>
  <c r="EU332" i="4"/>
  <c r="EU333" i="4" s="1"/>
  <c r="EV333" i="4" s="1"/>
  <c r="ES334" i="4"/>
  <c r="ED617" i="2"/>
  <c r="ED170" i="2"/>
  <c r="ED152" i="2"/>
  <c r="ED159" i="2"/>
  <c r="ED55" i="2"/>
  <c r="ED61" i="2"/>
  <c r="EK139" i="4"/>
  <c r="EL140" i="4"/>
  <c r="EP340" i="2"/>
  <c r="EP339" i="2"/>
  <c r="EN903" i="4"/>
  <c r="EN897" i="4"/>
  <c r="EN939" i="4"/>
  <c r="EN782" i="4"/>
  <c r="ET165" i="2"/>
  <c r="ET336" i="2"/>
  <c r="ET52" i="3"/>
  <c r="ET337" i="2"/>
  <c r="ET150" i="2"/>
  <c r="ET31" i="2"/>
  <c r="ET175" i="2"/>
  <c r="ET168" i="2"/>
  <c r="ET11" i="4"/>
  <c r="EU266" i="2"/>
  <c r="EU342" i="2" s="1"/>
  <c r="ET267" i="2"/>
  <c r="EM139" i="4"/>
  <c r="EF27" i="3"/>
  <c r="EF28" i="3" s="1"/>
  <c r="EE62" i="2"/>
  <c r="EE27" i="3" s="1"/>
  <c r="EO66" i="4"/>
  <c r="EO56" i="4"/>
  <c r="EH160" i="4"/>
  <c r="EH155" i="4"/>
  <c r="EI154" i="4"/>
  <c r="EI155" i="4" s="1"/>
  <c r="EO754" i="4"/>
  <c r="EO897" i="4" s="1"/>
  <c r="EF263" i="2"/>
  <c r="EF633" i="2"/>
  <c r="EE247" i="2"/>
  <c r="EE633" i="2" s="1"/>
  <c r="AG49" i="9"/>
  <c r="EW470" i="4"/>
  <c r="EK59" i="2"/>
  <c r="EL57" i="2"/>
  <c r="EO54" i="4"/>
  <c r="EO64" i="4"/>
  <c r="EP955" i="4"/>
  <c r="EQ859" i="4"/>
  <c r="EP895" i="4"/>
  <c r="EP901" i="4"/>
  <c r="ED152" i="3"/>
  <c r="EE150" i="3" s="1"/>
  <c r="ED148" i="3"/>
  <c r="EZ256" i="4"/>
  <c r="EZ429" i="4"/>
  <c r="EZ238" i="4"/>
  <c r="ET470" i="4"/>
  <c r="EW30" i="2"/>
  <c r="EY168" i="2" s="1"/>
  <c r="EX337" i="2"/>
  <c r="EX240" i="2"/>
  <c r="EX179" i="3"/>
  <c r="EX191" i="2" s="1"/>
  <c r="EX52" i="3"/>
  <c r="EX232" i="2"/>
  <c r="EX31" i="2"/>
  <c r="EX150" i="2"/>
  <c r="EX267" i="2"/>
  <c r="EX33" i="2"/>
  <c r="EX336" i="2"/>
  <c r="EX165" i="2"/>
  <c r="EP472" i="4"/>
  <c r="ER471" i="4"/>
  <c r="ER472" i="4" s="1"/>
  <c r="EO340" i="2"/>
  <c r="EO339" i="2"/>
  <c r="EP470" i="4"/>
  <c r="ER469" i="4"/>
  <c r="ER470" i="4" s="1"/>
  <c r="ED174" i="2"/>
  <c r="ED163" i="2"/>
  <c r="ED155" i="2"/>
  <c r="ED115" i="2"/>
  <c r="ED10" i="2"/>
  <c r="ED11" i="2" s="1"/>
  <c r="ED90" i="2"/>
  <c r="EF8" i="4"/>
  <c r="EF72" i="2"/>
  <c r="EF12" i="4" s="1"/>
  <c r="EI62" i="2"/>
  <c r="EH64" i="2"/>
  <c r="ET406" i="4"/>
  <c r="ET405" i="4" s="1"/>
  <c r="ES405" i="4"/>
  <c r="EQ876" i="4"/>
  <c r="EP918" i="4"/>
  <c r="ES165" i="3"/>
  <c r="ER185" i="2"/>
  <c r="EQ231" i="2"/>
  <c r="ES341" i="2"/>
  <c r="ER614" i="2"/>
  <c r="ER333" i="2"/>
  <c r="EO908" i="4"/>
  <c r="EP866" i="4"/>
  <c r="EP867" i="4" s="1"/>
  <c r="EP909" i="4" s="1"/>
  <c r="EO53" i="3"/>
  <c r="EO59" i="2"/>
  <c r="EO48" i="3"/>
  <c r="EN48" i="3" s="1"/>
  <c r="EN287" i="2"/>
  <c r="EN630" i="2" s="1"/>
  <c r="EO630" i="2"/>
  <c r="EO305" i="2"/>
  <c r="EN305" i="2" s="1"/>
  <c r="EQ189" i="2"/>
  <c r="ER220" i="2"/>
  <c r="EQ220" i="2" s="1"/>
  <c r="ER205" i="2"/>
  <c r="EQ205" i="2" s="1"/>
  <c r="ET335" i="4"/>
  <c r="ET440" i="4"/>
  <c r="ET347" i="4"/>
  <c r="EV175" i="2"/>
  <c r="EV334" i="2"/>
  <c r="ER338" i="2"/>
  <c r="FA454" i="4"/>
  <c r="FA456" i="4" s="1"/>
  <c r="EY456" i="4"/>
  <c r="EK340" i="2"/>
  <c r="EK339" i="2"/>
  <c r="EU231" i="2"/>
  <c r="EU165" i="3" s="1"/>
  <c r="ET232" i="2"/>
  <c r="EP143" i="4"/>
  <c r="EN142" i="4"/>
  <c r="EO142" i="4" s="1"/>
  <c r="EQ751" i="4"/>
  <c r="EP779" i="4"/>
  <c r="EP936" i="4"/>
  <c r="EP884" i="4"/>
  <c r="EP885" i="4" s="1"/>
  <c r="EP927" i="4" s="1"/>
  <c r="EO926" i="4"/>
  <c r="FA479" i="4"/>
  <c r="FA480" i="4" s="1"/>
  <c r="EX11" i="4"/>
  <c r="ES630" i="2"/>
  <c r="ES305" i="2"/>
  <c r="EV256" i="4"/>
  <c r="EX237" i="4"/>
  <c r="EX238" i="4" s="1"/>
  <c r="EV429" i="4"/>
  <c r="EV238" i="4"/>
  <c r="EQ870" i="4"/>
  <c r="EP912" i="4"/>
  <c r="EP417" i="4"/>
  <c r="EP473" i="4"/>
  <c r="EP45" i="4"/>
  <c r="ER416" i="4"/>
  <c r="ER417" i="4" s="1"/>
  <c r="EI70" i="4"/>
  <c r="EI60" i="4"/>
  <c r="ES430" i="4"/>
  <c r="EU429" i="4"/>
  <c r="EU430" i="4" s="1"/>
  <c r="ES435" i="4"/>
  <c r="ER166" i="3"/>
  <c r="EN185" i="2"/>
  <c r="EQ865" i="4"/>
  <c r="EP907" i="4"/>
  <c r="EI51" i="4"/>
  <c r="EG62" i="4"/>
  <c r="EG72" i="4"/>
  <c r="EG6" i="4"/>
  <c r="EI6" i="4" s="1"/>
  <c r="EN335" i="2"/>
  <c r="EN167" i="3"/>
  <c r="EN342" i="2"/>
  <c r="EQ888" i="4"/>
  <c r="EP930" i="4"/>
  <c r="EY235" i="4"/>
  <c r="EY326" i="4"/>
  <c r="FA130" i="4"/>
  <c r="EY131" i="4"/>
  <c r="EY400" i="4"/>
  <c r="FA400" i="4" s="1"/>
  <c r="EO54" i="3"/>
  <c r="EO65" i="2"/>
  <c r="EI26" i="3"/>
  <c r="EH57" i="2"/>
  <c r="EI180" i="3"/>
  <c r="EP913" i="4"/>
  <c r="EQ871" i="4"/>
  <c r="ED81" i="2"/>
  <c r="ED183" i="2"/>
  <c r="ED618" i="2"/>
  <c r="EN51" i="4"/>
  <c r="EN70" i="4"/>
  <c r="EN60" i="4"/>
  <c r="EV333" i="2"/>
  <c r="EV614" i="2"/>
  <c r="EV287" i="2"/>
  <c r="EV335" i="2"/>
  <c r="EX147" i="4"/>
  <c r="EQ266" i="2"/>
  <c r="ER287" i="2"/>
  <c r="ES342" i="2"/>
  <c r="ES167" i="3"/>
  <c r="ER335" i="2"/>
  <c r="EL49" i="4"/>
  <c r="EJ51" i="4"/>
  <c r="EJ70" i="4"/>
  <c r="EJ60" i="4"/>
  <c r="EP924" i="4"/>
  <c r="EQ882" i="4"/>
  <c r="ES65" i="2"/>
  <c r="ES64" i="2" s="1"/>
  <c r="ES62" i="2" s="1"/>
  <c r="ES27" i="3" s="1"/>
  <c r="ES48" i="3"/>
  <c r="EK65" i="2"/>
  <c r="EL64" i="2"/>
  <c r="ES185" i="2"/>
  <c r="EP860" i="4"/>
  <c r="EO902" i="4"/>
  <c r="EO896" i="4"/>
  <c r="EO956" i="4"/>
  <c r="EO957" i="4" s="1"/>
  <c r="EQ472" i="4"/>
  <c r="FA484" i="4"/>
  <c r="FA11" i="4" l="1"/>
  <c r="EV185" i="2"/>
  <c r="EU166" i="3"/>
  <c r="EI179" i="2"/>
  <c r="EH179" i="2" s="1"/>
  <c r="EU167" i="3"/>
  <c r="EQ475" i="4"/>
  <c r="EQ476" i="4" s="1"/>
  <c r="EQ68" i="4"/>
  <c r="EQ49" i="4"/>
  <c r="EQ58" i="4"/>
  <c r="EO143" i="4"/>
  <c r="EO139" i="4"/>
  <c r="EP939" i="4"/>
  <c r="EP782" i="4"/>
  <c r="EP956" i="4"/>
  <c r="EP957" i="4" s="1"/>
  <c r="EQ860" i="4"/>
  <c r="EQ861" i="4" s="1"/>
  <c r="EP902" i="4"/>
  <c r="EP896" i="4"/>
  <c r="EL60" i="4"/>
  <c r="EL70" i="4"/>
  <c r="EH7" i="4"/>
  <c r="EH161" i="4"/>
  <c r="EI160" i="4"/>
  <c r="EM60" i="4"/>
  <c r="EM51" i="4"/>
  <c r="EM70" i="4"/>
  <c r="EO49" i="4"/>
  <c r="EZ435" i="4"/>
  <c r="EZ436" i="4" s="1"/>
  <c r="EZ430" i="4"/>
  <c r="EU335" i="2"/>
  <c r="EV342" i="2"/>
  <c r="ET266" i="2"/>
  <c r="EU287" i="2"/>
  <c r="EV167" i="3"/>
  <c r="ET49" i="3"/>
  <c r="EU49" i="3" s="1"/>
  <c r="ET50" i="3"/>
  <c r="EU50" i="3" s="1"/>
  <c r="ES470" i="4"/>
  <c r="EU469" i="4"/>
  <c r="EU470" i="4" s="1"/>
  <c r="EU340" i="2"/>
  <c r="EU339" i="2"/>
  <c r="EJ247" i="2"/>
  <c r="EJ42" i="3"/>
  <c r="EO57" i="2"/>
  <c r="EN59" i="2"/>
  <c r="EN65" i="2"/>
  <c r="EO64" i="2"/>
  <c r="EI62" i="4"/>
  <c r="EI72" i="4"/>
  <c r="EQ143" i="4"/>
  <c r="EP142" i="4"/>
  <c r="ET471" i="4"/>
  <c r="ET44" i="4"/>
  <c r="ET348" i="4"/>
  <c r="EH26" i="3"/>
  <c r="EH180" i="3"/>
  <c r="FA131" i="4"/>
  <c r="ER45" i="4"/>
  <c r="EP66" i="4"/>
  <c r="EP56" i="4"/>
  <c r="ET441" i="4"/>
  <c r="ER876" i="4"/>
  <c r="EQ918" i="4"/>
  <c r="EX189" i="2"/>
  <c r="EW191" i="2"/>
  <c r="EW179" i="3" s="1"/>
  <c r="EZ257" i="4"/>
  <c r="EZ469" i="4"/>
  <c r="EZ43" i="4"/>
  <c r="AG55" i="9"/>
  <c r="AG54" i="9" s="1"/>
  <c r="EE263" i="2"/>
  <c r="ED180" i="2"/>
  <c r="ED184" i="2" s="1"/>
  <c r="ED188" i="2" s="1"/>
  <c r="ED158" i="2"/>
  <c r="ED169" i="2"/>
  <c r="ED56" i="2"/>
  <c r="ED151" i="2"/>
  <c r="ED53" i="2"/>
  <c r="ED43" i="2" s="1"/>
  <c r="EY335" i="2"/>
  <c r="EY287" i="2"/>
  <c r="EV432" i="4"/>
  <c r="EX431" i="4"/>
  <c r="EX432" i="4" s="1"/>
  <c r="EQ334" i="2"/>
  <c r="EQ338" i="2"/>
  <c r="EQ166" i="3"/>
  <c r="EL42" i="3"/>
  <c r="EO249" i="2"/>
  <c r="EK249" i="2"/>
  <c r="EK42" i="3" s="1"/>
  <c r="EM249" i="2"/>
  <c r="EL247" i="2"/>
  <c r="EP42" i="4"/>
  <c r="EQ925" i="4"/>
  <c r="ER883" i="4"/>
  <c r="ER305" i="2"/>
  <c r="EQ305" i="2" s="1"/>
  <c r="EQ287" i="2"/>
  <c r="EQ630" i="2" s="1"/>
  <c r="ER630" i="2"/>
  <c r="EV305" i="2"/>
  <c r="EV630" i="2"/>
  <c r="EN62" i="4"/>
  <c r="EN72" i="4"/>
  <c r="EN6" i="4"/>
  <c r="FA326" i="4"/>
  <c r="EY328" i="4"/>
  <c r="ER473" i="4"/>
  <c r="ER474" i="4" s="1"/>
  <c r="EP474" i="4"/>
  <c r="ER870" i="4"/>
  <c r="EQ912" i="4"/>
  <c r="ED202" i="3"/>
  <c r="ED91" i="2"/>
  <c r="ED209" i="2"/>
  <c r="ED173" i="2"/>
  <c r="ED162" i="2"/>
  <c r="ED156" i="2"/>
  <c r="ED147" i="2"/>
  <c r="ED344" i="2"/>
  <c r="ED5" i="3"/>
  <c r="ED11" i="3" s="1"/>
  <c r="EP475" i="4"/>
  <c r="EX236" i="2"/>
  <c r="EW240" i="2"/>
  <c r="EK57" i="2"/>
  <c r="EL26" i="3"/>
  <c r="EL180" i="3"/>
  <c r="EO939" i="4"/>
  <c r="EO782" i="4"/>
  <c r="EK262" i="2"/>
  <c r="EO262" i="2"/>
  <c r="EM262" i="2"/>
  <c r="ES64" i="4"/>
  <c r="EU43" i="4"/>
  <c r="ES54" i="4"/>
  <c r="EQ872" i="4"/>
  <c r="EQ873" i="4" s="1"/>
  <c r="EQ915" i="4" s="1"/>
  <c r="EP914" i="4"/>
  <c r="EG4" i="3"/>
  <c r="EG10" i="3" s="1"/>
  <c r="EG68" i="2"/>
  <c r="EG178" i="2"/>
  <c r="EG73" i="2"/>
  <c r="EG161" i="2"/>
  <c r="EG154" i="2"/>
  <c r="EQ890" i="4"/>
  <c r="EQ891" i="4" s="1"/>
  <c r="EQ933" i="4" s="1"/>
  <c r="EP932" i="4"/>
  <c r="ER752" i="4"/>
  <c r="EQ937" i="4"/>
  <c r="EQ780" i="4"/>
  <c r="EI263" i="2"/>
  <c r="EH263" i="2" s="1"/>
  <c r="EH247" i="2"/>
  <c r="EH633" i="2" s="1"/>
  <c r="EI633" i="2"/>
  <c r="ER64" i="4"/>
  <c r="ER54" i="4"/>
  <c r="ER889" i="4"/>
  <c r="EQ931" i="4"/>
  <c r="ES26" i="3"/>
  <c r="ES28" i="3" s="1"/>
  <c r="ES179" i="2"/>
  <c r="ES180" i="3"/>
  <c r="EL51" i="4"/>
  <c r="EJ72" i="4"/>
  <c r="EJ62" i="4"/>
  <c r="EJ6" i="4"/>
  <c r="EL6" i="4" s="1"/>
  <c r="EQ335" i="2"/>
  <c r="EQ167" i="3"/>
  <c r="EQ342" i="2"/>
  <c r="FA235" i="4"/>
  <c r="EY237" i="4"/>
  <c r="EU435" i="4"/>
  <c r="EU436" i="4" s="1"/>
  <c r="ES436" i="4"/>
  <c r="ER751" i="4"/>
  <c r="EQ936" i="4"/>
  <c r="EQ779" i="4"/>
  <c r="EQ333" i="2"/>
  <c r="EQ614" i="2"/>
  <c r="EQ165" i="3"/>
  <c r="EQ341" i="2"/>
  <c r="ES442" i="4"/>
  <c r="EU405" i="4"/>
  <c r="EU406" i="4" s="1"/>
  <c r="EV406" i="4" s="1"/>
  <c r="ES416" i="4"/>
  <c r="ED222" i="3"/>
  <c r="ED27" i="2"/>
  <c r="EW33" i="2"/>
  <c r="EK140" i="4"/>
  <c r="EK149" i="4"/>
  <c r="EU486" i="4"/>
  <c r="EU487" i="4" s="1"/>
  <c r="EV487" i="4" s="1"/>
  <c r="ES489" i="4"/>
  <c r="EP47" i="4"/>
  <c r="EV65" i="2"/>
  <c r="EV64" i="2" s="1"/>
  <c r="EV62" i="2" s="1"/>
  <c r="EV27" i="3" s="1"/>
  <c r="EV48" i="3"/>
  <c r="ET442" i="4"/>
  <c r="ET443" i="4" s="1"/>
  <c r="ET416" i="4"/>
  <c r="ED139" i="2"/>
  <c r="ED13" i="2"/>
  <c r="ED14" i="2" s="1"/>
  <c r="EX266" i="2"/>
  <c r="EX167" i="3" s="1"/>
  <c r="EW267" i="2"/>
  <c r="EW150" i="2"/>
  <c r="EW168" i="2"/>
  <c r="EW337" i="2"/>
  <c r="EW31" i="2"/>
  <c r="EW165" i="2"/>
  <c r="EW52" i="3"/>
  <c r="EW175" i="2"/>
  <c r="EW336" i="2"/>
  <c r="EW11" i="4"/>
  <c r="EO58" i="4"/>
  <c r="EO68" i="4"/>
  <c r="EQ66" i="4"/>
  <c r="EQ56" i="4"/>
  <c r="EN340" i="2"/>
  <c r="EN339" i="2"/>
  <c r="EQ954" i="4"/>
  <c r="ER858" i="4"/>
  <c r="EQ900" i="4"/>
  <c r="EQ894" i="4"/>
  <c r="ET46" i="4"/>
  <c r="ET57" i="4" s="1"/>
  <c r="ET157" i="4"/>
  <c r="ER53" i="3"/>
  <c r="ER59" i="2"/>
  <c r="ER48" i="3"/>
  <c r="EQ48" i="3" s="1"/>
  <c r="EQ906" i="4"/>
  <c r="ER864" i="4"/>
  <c r="EL44" i="3"/>
  <c r="EQ878" i="4"/>
  <c r="EQ879" i="4" s="1"/>
  <c r="EQ921" i="4" s="1"/>
  <c r="EP920" i="4"/>
  <c r="EV59" i="2"/>
  <c r="EV57" i="2" s="1"/>
  <c r="EQ924" i="4"/>
  <c r="ER882" i="4"/>
  <c r="ET189" i="2"/>
  <c r="EU220" i="2"/>
  <c r="ET220" i="2" s="1"/>
  <c r="EU205" i="2"/>
  <c r="ET205" i="2" s="1"/>
  <c r="EP861" i="4"/>
  <c r="ER46" i="4"/>
  <c r="ER57" i="4" s="1"/>
  <c r="EP57" i="4"/>
  <c r="ER65" i="2"/>
  <c r="ER54" i="3"/>
  <c r="ER877" i="4"/>
  <c r="EQ919" i="4"/>
  <c r="EY333" i="2"/>
  <c r="EY614" i="2"/>
  <c r="EP781" i="4"/>
  <c r="EP938" i="4"/>
  <c r="EQ753" i="4"/>
  <c r="EJ160" i="4"/>
  <c r="EJ155" i="4"/>
  <c r="ER65" i="4"/>
  <c r="ER55" i="4"/>
  <c r="EK64" i="2"/>
  <c r="EL62" i="2"/>
  <c r="EL179" i="2" s="1"/>
  <c r="EK179" i="2" s="1"/>
  <c r="ER871" i="4"/>
  <c r="EQ913" i="4"/>
  <c r="EQ866" i="4"/>
  <c r="EQ867" i="4" s="1"/>
  <c r="EP908" i="4"/>
  <c r="EH62" i="2"/>
  <c r="EH27" i="3" s="1"/>
  <c r="EI27" i="3"/>
  <c r="EI28" i="3" s="1"/>
  <c r="EQ895" i="4"/>
  <c r="EQ901" i="4"/>
  <c r="EQ955" i="4"/>
  <c r="ER859" i="4"/>
  <c r="EM140" i="4"/>
  <c r="EM149" i="4"/>
  <c r="ES440" i="4"/>
  <c r="ES335" i="4"/>
  <c r="EU334" i="4"/>
  <c r="EU335" i="4" s="1"/>
  <c r="ES347" i="4"/>
  <c r="EY205" i="2"/>
  <c r="EY220" i="2"/>
  <c r="ES340" i="2"/>
  <c r="ES339" i="2"/>
  <c r="EE28" i="3"/>
  <c r="ER444" i="4"/>
  <c r="ER445" i="4" s="1"/>
  <c r="EP445" i="4"/>
  <c r="EG263" i="2"/>
  <c r="EG633" i="2"/>
  <c r="EQ185" i="2"/>
  <c r="ED619" i="2"/>
  <c r="ED620" i="2"/>
  <c r="ER888" i="4"/>
  <c r="EQ930" i="4"/>
  <c r="EX429" i="4"/>
  <c r="EX430" i="4" s="1"/>
  <c r="EV430" i="4"/>
  <c r="EV435" i="4"/>
  <c r="ER865" i="4"/>
  <c r="EQ907" i="4"/>
  <c r="EV43" i="4"/>
  <c r="EV257" i="4"/>
  <c r="EV469" i="4"/>
  <c r="EX256" i="4"/>
  <c r="EX257" i="4" s="1"/>
  <c r="EP926" i="4"/>
  <c r="EQ884" i="4"/>
  <c r="EQ885" i="4" s="1"/>
  <c r="EQ927" i="4" s="1"/>
  <c r="EU614" i="2"/>
  <c r="ET231" i="2"/>
  <c r="EV165" i="3"/>
  <c r="EU185" i="2"/>
  <c r="EV341" i="2"/>
  <c r="EU333" i="2"/>
  <c r="ER340" i="2"/>
  <c r="ER339" i="2"/>
  <c r="EU341" i="2"/>
  <c r="EF79" i="2"/>
  <c r="EF178" i="2"/>
  <c r="EE178" i="2" s="1"/>
  <c r="Q29" i="9"/>
  <c r="EF73" i="2"/>
  <c r="EF161" i="2"/>
  <c r="EE72" i="2"/>
  <c r="EG172" i="2" s="1"/>
  <c r="EF68" i="2"/>
  <c r="EF331" i="2"/>
  <c r="EF4" i="3"/>
  <c r="EF10" i="3" s="1"/>
  <c r="EF154" i="2"/>
  <c r="ED176" i="2"/>
  <c r="EX231" i="2"/>
  <c r="EX341" i="2" s="1"/>
  <c r="EW232" i="2"/>
  <c r="EV332" i="4"/>
  <c r="EW333" i="4"/>
  <c r="EW332" i="4" s="1"/>
  <c r="EW334" i="4" s="1"/>
  <c r="EY334" i="2"/>
  <c r="EY50" i="3"/>
  <c r="EY49" i="3"/>
  <c r="EQ42" i="4"/>
  <c r="EZ30" i="2"/>
  <c r="FA336" i="2"/>
  <c r="FA33" i="2"/>
  <c r="FA179" i="3"/>
  <c r="FA191" i="2" s="1"/>
  <c r="FA165" i="2"/>
  <c r="FA240" i="2"/>
  <c r="FA232" i="2"/>
  <c r="FA150" i="2"/>
  <c r="FA337" i="2"/>
  <c r="FA267" i="2"/>
  <c r="FA52" i="3"/>
  <c r="FA31" i="2"/>
  <c r="ET236" i="2"/>
  <c r="EV338" i="2"/>
  <c r="EX338" i="2"/>
  <c r="EX166" i="3"/>
  <c r="EV166" i="3"/>
  <c r="EU334" i="2"/>
  <c r="EH44" i="3"/>
  <c r="ED621" i="2" l="1"/>
  <c r="ED622" i="2" s="1"/>
  <c r="EX342" i="2"/>
  <c r="ET45" i="4"/>
  <c r="ET473" i="4"/>
  <c r="ET474" i="4" s="1"/>
  <c r="ET417" i="4"/>
  <c r="ED348" i="2"/>
  <c r="ES883" i="4"/>
  <c r="ER925" i="4"/>
  <c r="EY630" i="2"/>
  <c r="EY305" i="2"/>
  <c r="EP139" i="4"/>
  <c r="EK44" i="3"/>
  <c r="ES871" i="4"/>
  <c r="ER913" i="4"/>
  <c r="EQ938" i="4"/>
  <c r="EQ781" i="4"/>
  <c r="ER753" i="4"/>
  <c r="EJ44" i="3"/>
  <c r="EU416" i="4"/>
  <c r="EU417" i="4" s="1"/>
  <c r="ES45" i="4"/>
  <c r="ES473" i="4"/>
  <c r="ES417" i="4"/>
  <c r="EQ754" i="4"/>
  <c r="EQ897" i="4" s="1"/>
  <c r="ER890" i="4"/>
  <c r="EQ932" i="4"/>
  <c r="ER912" i="4"/>
  <c r="ES870" i="4"/>
  <c r="ES143" i="4"/>
  <c r="EQ142" i="4"/>
  <c r="ER142" i="4" s="1"/>
  <c r="EJ633" i="2"/>
  <c r="EJ263" i="2"/>
  <c r="EU53" i="3"/>
  <c r="EU59" i="2"/>
  <c r="EU48" i="3"/>
  <c r="ET48" i="3" s="1"/>
  <c r="ET334" i="2"/>
  <c r="ET166" i="3"/>
  <c r="ET338" i="2"/>
  <c r="FA236" i="2"/>
  <c r="FA166" i="3" s="1"/>
  <c r="EZ240" i="2"/>
  <c r="ES44" i="4"/>
  <c r="EU347" i="4"/>
  <c r="EU348" i="4" s="1"/>
  <c r="ES471" i="4"/>
  <c r="ES348" i="4"/>
  <c r="EL27" i="3"/>
  <c r="EL28" i="3" s="1"/>
  <c r="EK62" i="2"/>
  <c r="EK27" i="3" s="1"/>
  <c r="ER919" i="4"/>
  <c r="ES877" i="4"/>
  <c r="ES882" i="4"/>
  <c r="ER924" i="4"/>
  <c r="ER867" i="4"/>
  <c r="ER909" i="4" s="1"/>
  <c r="EQ909" i="4"/>
  <c r="EW406" i="4"/>
  <c r="EW405" i="4" s="1"/>
  <c r="EV405" i="4"/>
  <c r="EG69" i="2"/>
  <c r="EG160" i="2"/>
  <c r="EG60" i="2"/>
  <c r="EG153" i="2"/>
  <c r="EP5" i="4"/>
  <c r="ER42" i="4"/>
  <c r="ER53" i="4" s="1"/>
  <c r="EP53" i="4"/>
  <c r="EQ340" i="2"/>
  <c r="EQ339" i="2"/>
  <c r="EZ64" i="4"/>
  <c r="EZ54" i="4"/>
  <c r="ES876" i="4"/>
  <c r="ER918" i="4"/>
  <c r="EH8" i="4"/>
  <c r="EY59" i="2"/>
  <c r="EY57" i="2" s="1"/>
  <c r="EP897" i="4"/>
  <c r="EP903" i="4"/>
  <c r="ES864" i="4"/>
  <c r="ER906" i="4"/>
  <c r="ES443" i="4"/>
  <c r="EU442" i="4"/>
  <c r="EU443" i="4" s="1"/>
  <c r="ER936" i="4"/>
  <c r="ES751" i="4"/>
  <c r="ER779" i="4"/>
  <c r="EU54" i="4"/>
  <c r="EU64" i="4"/>
  <c r="EK26" i="3"/>
  <c r="EK180" i="3"/>
  <c r="EL263" i="2"/>
  <c r="EK263" i="2" s="1"/>
  <c r="EL633" i="2"/>
  <c r="EK247" i="2"/>
  <c r="EK633" i="2" s="1"/>
  <c r="EZ470" i="4"/>
  <c r="ET444" i="4"/>
  <c r="ET445" i="4" s="1"/>
  <c r="EO70" i="4"/>
  <c r="EO60" i="4"/>
  <c r="EN139" i="4"/>
  <c r="EO140" i="4"/>
  <c r="AG23" i="9"/>
  <c r="Q32" i="9"/>
  <c r="Q42" i="9"/>
  <c r="Q30" i="9"/>
  <c r="FA189" i="2"/>
  <c r="EZ191" i="2"/>
  <c r="EZ179" i="3" s="1"/>
  <c r="ER884" i="4"/>
  <c r="EQ926" i="4"/>
  <c r="ER930" i="4"/>
  <c r="ES888" i="4"/>
  <c r="EV179" i="2"/>
  <c r="EV26" i="3"/>
  <c r="EV28" i="3" s="1"/>
  <c r="EV180" i="3"/>
  <c r="ES858" i="4"/>
  <c r="ER954" i="4"/>
  <c r="ER900" i="4"/>
  <c r="ER894" i="4"/>
  <c r="EM247" i="2"/>
  <c r="EM42" i="3"/>
  <c r="EH28" i="3"/>
  <c r="EO62" i="2"/>
  <c r="EO179" i="2" s="1"/>
  <c r="EN179" i="2" s="1"/>
  <c r="EN64" i="2"/>
  <c r="EU305" i="2"/>
  <c r="ET305" i="2" s="1"/>
  <c r="EU630" i="2"/>
  <c r="ET287" i="2"/>
  <c r="ET630" i="2" s="1"/>
  <c r="EY165" i="3"/>
  <c r="EW231" i="2"/>
  <c r="EX614" i="2"/>
  <c r="EX333" i="2"/>
  <c r="EY341" i="2"/>
  <c r="EX185" i="2"/>
  <c r="EJ7" i="4"/>
  <c r="EJ161" i="4"/>
  <c r="ER64" i="2"/>
  <c r="EQ65" i="2"/>
  <c r="EK154" i="4"/>
  <c r="EK150" i="4"/>
  <c r="EL149" i="4"/>
  <c r="EL150" i="4" s="1"/>
  <c r="EI7" i="4"/>
  <c r="EI161" i="4"/>
  <c r="EY48" i="3"/>
  <c r="EY65" i="2"/>
  <c r="EY64" i="2" s="1"/>
  <c r="EY62" i="2" s="1"/>
  <c r="EY27" i="3" s="1"/>
  <c r="ES865" i="4"/>
  <c r="ER907" i="4"/>
  <c r="EZ33" i="2"/>
  <c r="EX165" i="3"/>
  <c r="EU440" i="4"/>
  <c r="EU441" i="4" s="1"/>
  <c r="ES441" i="4"/>
  <c r="ES444" i="4"/>
  <c r="EY185" i="2"/>
  <c r="EQ903" i="4"/>
  <c r="EW50" i="3"/>
  <c r="EX50" i="3" s="1"/>
  <c r="EW49" i="3"/>
  <c r="EX49" i="3" s="1"/>
  <c r="EW266" i="2"/>
  <c r="EY167" i="3"/>
  <c r="EY342" i="2"/>
  <c r="EX287" i="2"/>
  <c r="EX335" i="2"/>
  <c r="EP58" i="4"/>
  <c r="EP49" i="4"/>
  <c r="ER47" i="4"/>
  <c r="EP68" i="4"/>
  <c r="EY338" i="2"/>
  <c r="EW236" i="2"/>
  <c r="EX334" i="2"/>
  <c r="EY166" i="3"/>
  <c r="ED144" i="2"/>
  <c r="ED319" i="2" s="1"/>
  <c r="ED320" i="2" s="1"/>
  <c r="ED214" i="2"/>
  <c r="ED216" i="2" s="1"/>
  <c r="FA328" i="4"/>
  <c r="FA329" i="4" s="1"/>
  <c r="EY431" i="4"/>
  <c r="EY329" i="4"/>
  <c r="ET335" i="2"/>
  <c r="ET167" i="3"/>
  <c r="ET342" i="2"/>
  <c r="EM62" i="4"/>
  <c r="EO51" i="4"/>
  <c r="EM72" i="4"/>
  <c r="EM6" i="4"/>
  <c r="EO6" i="4" s="1"/>
  <c r="ES859" i="4"/>
  <c r="ER901" i="4"/>
  <c r="ER955" i="4"/>
  <c r="ER895" i="4"/>
  <c r="EU65" i="2"/>
  <c r="EU54" i="3"/>
  <c r="EX43" i="4"/>
  <c r="EV54" i="4"/>
  <c r="EV64" i="4"/>
  <c r="ET614" i="2"/>
  <c r="ET333" i="2"/>
  <c r="ET341" i="2"/>
  <c r="ET165" i="3"/>
  <c r="FA266" i="2"/>
  <c r="EZ267" i="2"/>
  <c r="EW335" i="4"/>
  <c r="EW440" i="4"/>
  <c r="EW347" i="4"/>
  <c r="EZ165" i="2"/>
  <c r="EZ175" i="2"/>
  <c r="EZ52" i="3"/>
  <c r="EZ337" i="2"/>
  <c r="EZ150" i="2"/>
  <c r="EZ31" i="2"/>
  <c r="EZ336" i="2"/>
  <c r="EZ168" i="2"/>
  <c r="EZ11" i="4"/>
  <c r="EM154" i="4"/>
  <c r="EM150" i="4"/>
  <c r="ER57" i="2"/>
  <c r="EQ59" i="2"/>
  <c r="ES157" i="4"/>
  <c r="EU157" i="4" s="1"/>
  <c r="EU489" i="4"/>
  <c r="ES46" i="4"/>
  <c r="EY256" i="4"/>
  <c r="FA237" i="4"/>
  <c r="FA238" i="4" s="1"/>
  <c r="EY238" i="4"/>
  <c r="EY429" i="4"/>
  <c r="ER262" i="2"/>
  <c r="EN262" i="2"/>
  <c r="EP262" i="2"/>
  <c r="ER475" i="4"/>
  <c r="ER476" i="4" s="1"/>
  <c r="EP476" i="4"/>
  <c r="EN249" i="2"/>
  <c r="EN42" i="3" s="1"/>
  <c r="ER249" i="2"/>
  <c r="EP249" i="2"/>
  <c r="EO247" i="2"/>
  <c r="EO42" i="3"/>
  <c r="EO44" i="3" s="1"/>
  <c r="ET55" i="4"/>
  <c r="ET65" i="4"/>
  <c r="ET47" i="4"/>
  <c r="ET42" i="4"/>
  <c r="EQ51" i="4"/>
  <c r="EQ6" i="4" s="1"/>
  <c r="EQ60" i="4"/>
  <c r="EQ70" i="4"/>
  <c r="EX435" i="4"/>
  <c r="EX436" i="4" s="1"/>
  <c r="EV436" i="4"/>
  <c r="EX340" i="2"/>
  <c r="EX339" i="2"/>
  <c r="EX332" i="4"/>
  <c r="EX333" i="4" s="1"/>
  <c r="EY333" i="4" s="1"/>
  <c r="EV334" i="4"/>
  <c r="EF69" i="2"/>
  <c r="EE68" i="2"/>
  <c r="EG171" i="2" s="1"/>
  <c r="EF160" i="2"/>
  <c r="EF60" i="2"/>
  <c r="EF153" i="2"/>
  <c r="EF135" i="3"/>
  <c r="EF137" i="3" s="1"/>
  <c r="EF151" i="3"/>
  <c r="EF80" i="2"/>
  <c r="EF84" i="2" s="1"/>
  <c r="EE79" i="2"/>
  <c r="EV340" i="2"/>
  <c r="EV339" i="2"/>
  <c r="FA231" i="2"/>
  <c r="FA165" i="3" s="1"/>
  <c r="EZ232" i="2"/>
  <c r="EQ5" i="4"/>
  <c r="EQ53" i="4"/>
  <c r="EE176" i="2"/>
  <c r="EE172" i="2"/>
  <c r="EE161" i="2"/>
  <c r="EE331" i="2"/>
  <c r="EE154" i="2"/>
  <c r="EE73" i="2"/>
  <c r="EE4" i="3"/>
  <c r="EE10" i="3" s="1"/>
  <c r="EE12" i="4"/>
  <c r="ET185" i="2"/>
  <c r="EV470" i="4"/>
  <c r="EX469" i="4"/>
  <c r="EX470" i="4" s="1"/>
  <c r="ER866" i="4"/>
  <c r="EQ908" i="4"/>
  <c r="ER878" i="4"/>
  <c r="ER879" i="4" s="1"/>
  <c r="ER921" i="4" s="1"/>
  <c r="EQ920" i="4"/>
  <c r="ED140" i="2"/>
  <c r="ED141" i="2" s="1"/>
  <c r="ED143" i="2"/>
  <c r="EV486" i="4"/>
  <c r="EW487" i="4"/>
  <c r="EW486" i="4" s="1"/>
  <c r="EW489" i="4" s="1"/>
  <c r="EL72" i="4"/>
  <c r="EL62" i="4"/>
  <c r="ES889" i="4"/>
  <c r="ER931" i="4"/>
  <c r="ES752" i="4"/>
  <c r="ER937" i="4"/>
  <c r="ER780" i="4"/>
  <c r="ER872" i="4"/>
  <c r="EQ914" i="4"/>
  <c r="ED187" i="2"/>
  <c r="ED20" i="2"/>
  <c r="ED219" i="2"/>
  <c r="EW189" i="2"/>
  <c r="EX220" i="2"/>
  <c r="EW220" i="2" s="1"/>
  <c r="EX205" i="2"/>
  <c r="EW205" i="2" s="1"/>
  <c r="ER56" i="4"/>
  <c r="ER66" i="4"/>
  <c r="ET472" i="4"/>
  <c r="EN57" i="2"/>
  <c r="EO26" i="3"/>
  <c r="EO180" i="3"/>
  <c r="ER860" i="4"/>
  <c r="ER861" i="4" s="1"/>
  <c r="EQ902" i="4"/>
  <c r="EQ896" i="4"/>
  <c r="EQ956" i="4"/>
  <c r="EQ957" i="4" s="1"/>
  <c r="FA338" i="2" l="1"/>
  <c r="EK28" i="3"/>
  <c r="EN44" i="3"/>
  <c r="ET475" i="4"/>
  <c r="ET476" i="4" s="1"/>
  <c r="ED146" i="2"/>
  <c r="EE142" i="2" s="1"/>
  <c r="ER139" i="4"/>
  <c r="ER143" i="4"/>
  <c r="ER903" i="4"/>
  <c r="EW287" i="2"/>
  <c r="EW630" i="2" s="1"/>
  <c r="EX630" i="2"/>
  <c r="EX305" i="2"/>
  <c r="EW305" i="2" s="1"/>
  <c r="ES906" i="4"/>
  <c r="ET864" i="4"/>
  <c r="ET143" i="4"/>
  <c r="ES142" i="4"/>
  <c r="ER781" i="4"/>
  <c r="ER938" i="4"/>
  <c r="ES753" i="4"/>
  <c r="ES754" i="4" s="1"/>
  <c r="EF152" i="3"/>
  <c r="EF148" i="3"/>
  <c r="EO72" i="4"/>
  <c r="EO62" i="4"/>
  <c r="FA340" i="2"/>
  <c r="FA339" i="2"/>
  <c r="ER902" i="4"/>
  <c r="ER956" i="4"/>
  <c r="ER957" i="4" s="1"/>
  <c r="ER896" i="4"/>
  <c r="ES860" i="4"/>
  <c r="ES861" i="4" s="1"/>
  <c r="ES937" i="4"/>
  <c r="ET752" i="4"/>
  <c r="ES780" i="4"/>
  <c r="EF115" i="2"/>
  <c r="EF163" i="2"/>
  <c r="EF10" i="2"/>
  <c r="EF11" i="2" s="1"/>
  <c r="EF90" i="2"/>
  <c r="EE84" i="2"/>
  <c r="EF155" i="2"/>
  <c r="EV440" i="4"/>
  <c r="EV335" i="4"/>
  <c r="EX334" i="4"/>
  <c r="EX335" i="4" s="1"/>
  <c r="EV347" i="4"/>
  <c r="ET65" i="2"/>
  <c r="EU64" i="2"/>
  <c r="ER62" i="2"/>
  <c r="ER179" i="2" s="1"/>
  <c r="EQ179" i="2" s="1"/>
  <c r="EQ64" i="2"/>
  <c r="FA341" i="2"/>
  <c r="EN62" i="2"/>
  <c r="EN27" i="3" s="1"/>
  <c r="EO27" i="3"/>
  <c r="EO28" i="3" s="1"/>
  <c r="ET858" i="4"/>
  <c r="ES900" i="4"/>
  <c r="ES954" i="4"/>
  <c r="ES894" i="4"/>
  <c r="ER926" i="4"/>
  <c r="ES884" i="4"/>
  <c r="ES885" i="4" s="1"/>
  <c r="ES927" i="4" s="1"/>
  <c r="ER932" i="4"/>
  <c r="ES890" i="4"/>
  <c r="ES891" i="4" s="1"/>
  <c r="ES933" i="4" s="1"/>
  <c r="EZ333" i="4"/>
  <c r="EZ332" i="4" s="1"/>
  <c r="EZ334" i="4" s="1"/>
  <c r="EY332" i="4"/>
  <c r="EO263" i="2"/>
  <c r="EN263" i="2" s="1"/>
  <c r="EN247" i="2"/>
  <c r="EN633" i="2" s="1"/>
  <c r="EO633" i="2"/>
  <c r="ES262" i="2"/>
  <c r="EU262" i="2"/>
  <c r="EQ262" i="2"/>
  <c r="EW471" i="4"/>
  <c r="EW44" i="4"/>
  <c r="EW348" i="4"/>
  <c r="ED625" i="2"/>
  <c r="ED627" i="2" s="1"/>
  <c r="ED322" i="2"/>
  <c r="ED327" i="2" s="1"/>
  <c r="ED25" i="2"/>
  <c r="ER68" i="4"/>
  <c r="ER58" i="4"/>
  <c r="EI8" i="4"/>
  <c r="EI72" i="2"/>
  <c r="ET751" i="4"/>
  <c r="ES779" i="4"/>
  <c r="ES936" i="4"/>
  <c r="EG617" i="2"/>
  <c r="EG159" i="2"/>
  <c r="EG152" i="2"/>
  <c r="EG55" i="2"/>
  <c r="EG61" i="2"/>
  <c r="ER885" i="4"/>
  <c r="ER927" i="4" s="1"/>
  <c r="EU471" i="4"/>
  <c r="EU472" i="4" s="1"/>
  <c r="ES472" i="4"/>
  <c r="ES475" i="4"/>
  <c r="EQ782" i="4"/>
  <c r="EQ939" i="4"/>
  <c r="ED22" i="2"/>
  <c r="ED349" i="2"/>
  <c r="ED230" i="2"/>
  <c r="ED226" i="2"/>
  <c r="EE224" i="2" s="1"/>
  <c r="FA429" i="4"/>
  <c r="FA430" i="4" s="1"/>
  <c r="EY435" i="4"/>
  <c r="EY430" i="4"/>
  <c r="EN140" i="4"/>
  <c r="EN149" i="4"/>
  <c r="EY26" i="3"/>
  <c r="EY28" i="3" s="1"/>
  <c r="EY179" i="2"/>
  <c r="EY180" i="3"/>
  <c r="EU57" i="2"/>
  <c r="ET59" i="2"/>
  <c r="ET53" i="4"/>
  <c r="ET5" i="4"/>
  <c r="ER42" i="3"/>
  <c r="ER44" i="3" s="1"/>
  <c r="EQ249" i="2"/>
  <c r="EQ42" i="3" s="1"/>
  <c r="ES249" i="2"/>
  <c r="EU249" i="2"/>
  <c r="ER247" i="2"/>
  <c r="EQ57" i="2"/>
  <c r="ER26" i="3"/>
  <c r="ER180" i="3"/>
  <c r="EX59" i="2"/>
  <c r="EX48" i="3"/>
  <c r="EW48" i="3" s="1"/>
  <c r="EX53" i="3"/>
  <c r="EM44" i="3"/>
  <c r="EJ72" i="2"/>
  <c r="EJ12" i="4" s="1"/>
  <c r="EJ8" i="4"/>
  <c r="EM633" i="2"/>
  <c r="EM263" i="2"/>
  <c r="ER754" i="4"/>
  <c r="ET882" i="4"/>
  <c r="ES924" i="4"/>
  <c r="ES65" i="4"/>
  <c r="EU44" i="4"/>
  <c r="ES55" i="4"/>
  <c r="ES47" i="4"/>
  <c r="ES42" i="4"/>
  <c r="ES474" i="4"/>
  <c r="EU473" i="4"/>
  <c r="EU474" i="4" s="1"/>
  <c r="ET871" i="4"/>
  <c r="ES913" i="4"/>
  <c r="ER920" i="4"/>
  <c r="ES878" i="4"/>
  <c r="ES879" i="4" s="1"/>
  <c r="ES921" i="4" s="1"/>
  <c r="EP247" i="2"/>
  <c r="EP42" i="3"/>
  <c r="EP44" i="3" s="1"/>
  <c r="EW441" i="4"/>
  <c r="EW333" i="2"/>
  <c r="EW614" i="2"/>
  <c r="EW341" i="2"/>
  <c r="EW165" i="3"/>
  <c r="EZ189" i="2"/>
  <c r="FA205" i="2"/>
  <c r="EZ205" i="2" s="1"/>
  <c r="FA220" i="2"/>
  <c r="EZ220" i="2" s="1"/>
  <c r="EN26" i="3"/>
  <c r="EN180" i="3"/>
  <c r="ES866" i="4"/>
  <c r="ES867" i="4" s="1"/>
  <c r="ES909" i="4" s="1"/>
  <c r="ER908" i="4"/>
  <c r="EF617" i="2"/>
  <c r="EF61" i="2"/>
  <c r="EF159" i="2"/>
  <c r="EE60" i="2"/>
  <c r="EF55" i="2"/>
  <c r="EF152" i="2"/>
  <c r="ET49" i="4"/>
  <c r="ET68" i="4"/>
  <c r="ET58" i="4"/>
  <c r="ES901" i="4"/>
  <c r="ES955" i="4"/>
  <c r="ET859" i="4"/>
  <c r="ES895" i="4"/>
  <c r="EX65" i="2"/>
  <c r="EX54" i="3"/>
  <c r="ET865" i="4"/>
  <c r="ES907" i="4"/>
  <c r="EW185" i="2"/>
  <c r="ES930" i="4"/>
  <c r="ET888" i="4"/>
  <c r="ES918" i="4"/>
  <c r="ET876" i="4"/>
  <c r="ET877" i="4"/>
  <c r="ES919" i="4"/>
  <c r="ET870" i="4"/>
  <c r="ES912" i="4"/>
  <c r="EU45" i="4"/>
  <c r="ES66" i="4"/>
  <c r="ES56" i="4"/>
  <c r="ET56" i="4"/>
  <c r="ET66" i="4"/>
  <c r="ET889" i="4"/>
  <c r="ES931" i="4"/>
  <c r="EZ231" i="2"/>
  <c r="FA185" i="2"/>
  <c r="FA614" i="2"/>
  <c r="FA333" i="2"/>
  <c r="EQ62" i="4"/>
  <c r="EQ72" i="4"/>
  <c r="EW335" i="2"/>
  <c r="EW342" i="2"/>
  <c r="EW167" i="3"/>
  <c r="ET883" i="4"/>
  <c r="ES925" i="4"/>
  <c r="ES872" i="4"/>
  <c r="ER914" i="4"/>
  <c r="EW46" i="4"/>
  <c r="EW57" i="4" s="1"/>
  <c r="EW157" i="4"/>
  <c r="EE135" i="3"/>
  <c r="EE137" i="3" s="1"/>
  <c r="EE151" i="3"/>
  <c r="EE148" i="3" s="1"/>
  <c r="FA256" i="4"/>
  <c r="FA257" i="4" s="1"/>
  <c r="EY43" i="4"/>
  <c r="EY469" i="4"/>
  <c r="EY257" i="4"/>
  <c r="EZ49" i="3"/>
  <c r="FA49" i="3" s="1"/>
  <c r="EZ50" i="3"/>
  <c r="FA50" i="3" s="1"/>
  <c r="FA287" i="2"/>
  <c r="EZ266" i="2"/>
  <c r="FA335" i="2"/>
  <c r="FA431" i="4"/>
  <c r="FA432" i="4" s="1"/>
  <c r="EY432" i="4"/>
  <c r="EW334" i="2"/>
  <c r="EW166" i="3"/>
  <c r="EW338" i="2"/>
  <c r="FA167" i="3"/>
  <c r="EU444" i="4"/>
  <c r="EU445" i="4" s="1"/>
  <c r="ES445" i="4"/>
  <c r="ER5" i="4"/>
  <c r="EX405" i="4"/>
  <c r="EX406" i="4" s="1"/>
  <c r="EY406" i="4" s="1"/>
  <c r="EV442" i="4"/>
  <c r="EV416" i="4"/>
  <c r="EZ236" i="2"/>
  <c r="FA334" i="2"/>
  <c r="ER873" i="4"/>
  <c r="ER915" i="4" s="1"/>
  <c r="EP140" i="4"/>
  <c r="EP149" i="4"/>
  <c r="ER49" i="4"/>
  <c r="EP60" i="4"/>
  <c r="EP70" i="4"/>
  <c r="EP51" i="4"/>
  <c r="EX486" i="4"/>
  <c r="EX487" i="4" s="1"/>
  <c r="EY487" i="4" s="1"/>
  <c r="EV489" i="4"/>
  <c r="EF183" i="2"/>
  <c r="EF618" i="2"/>
  <c r="EF81" i="2"/>
  <c r="EE80" i="2"/>
  <c r="Q33" i="9"/>
  <c r="Q34" i="9" s="1"/>
  <c r="EE171" i="2"/>
  <c r="EE69" i="2"/>
  <c r="EE153" i="2"/>
  <c r="EE160" i="2"/>
  <c r="EU46" i="4"/>
  <c r="EU57" i="4" s="1"/>
  <c r="ES57" i="4"/>
  <c r="EM160" i="4"/>
  <c r="EM155" i="4"/>
  <c r="EX64" i="4"/>
  <c r="EX54" i="4"/>
  <c r="EY340" i="2"/>
  <c r="EY339" i="2"/>
  <c r="FA342" i="2"/>
  <c r="EK160" i="4"/>
  <c r="EK155" i="4"/>
  <c r="EL154" i="4"/>
  <c r="EL155" i="4" s="1"/>
  <c r="ER891" i="4"/>
  <c r="ER933" i="4" s="1"/>
  <c r="EW442" i="4"/>
  <c r="EW443" i="4" s="1"/>
  <c r="EW416" i="4"/>
  <c r="ET340" i="2"/>
  <c r="ET339" i="2"/>
  <c r="FA43" i="4" l="1"/>
  <c r="EY54" i="4"/>
  <c r="EY64" i="4"/>
  <c r="EU871" i="4"/>
  <c r="ET913" i="4"/>
  <c r="EV249" i="2"/>
  <c r="EU247" i="2"/>
  <c r="EU42" i="3"/>
  <c r="EX249" i="2"/>
  <c r="ET249" i="2"/>
  <c r="ET42" i="3" s="1"/>
  <c r="FA435" i="4"/>
  <c r="FA436" i="4" s="1"/>
  <c r="EY436" i="4"/>
  <c r="ED365" i="2"/>
  <c r="ED366" i="2"/>
  <c r="ED224" i="3" s="1"/>
  <c r="ES939" i="4"/>
  <c r="ES782" i="4"/>
  <c r="ET900" i="4"/>
  <c r="EU858" i="4"/>
  <c r="ET954" i="4"/>
  <c r="ET894" i="4"/>
  <c r="EV471" i="4"/>
  <c r="EV44" i="4"/>
  <c r="EV348" i="4"/>
  <c r="EX347" i="4"/>
  <c r="EX348" i="4" s="1"/>
  <c r="EU864" i="4"/>
  <c r="ET906" i="4"/>
  <c r="EZ406" i="4"/>
  <c r="EZ405" i="4" s="1"/>
  <c r="EY405" i="4"/>
  <c r="EH72" i="2"/>
  <c r="EI68" i="2"/>
  <c r="EI4" i="3"/>
  <c r="EI10" i="3" s="1"/>
  <c r="EI178" i="2"/>
  <c r="EH178" i="2" s="1"/>
  <c r="EI73" i="2"/>
  <c r="EI161" i="2"/>
  <c r="EI154" i="2"/>
  <c r="EG176" i="2"/>
  <c r="EP154" i="4"/>
  <c r="EP150" i="4"/>
  <c r="EV46" i="4"/>
  <c r="EX489" i="4"/>
  <c r="EV157" i="4"/>
  <c r="EX157" i="4" s="1"/>
  <c r="ET919" i="4"/>
  <c r="EU877" i="4"/>
  <c r="EW444" i="4"/>
  <c r="EW445" i="4" s="1"/>
  <c r="EX57" i="2"/>
  <c r="EW59" i="2"/>
  <c r="ES42" i="3"/>
  <c r="ES44" i="3" s="1"/>
  <c r="ES247" i="2"/>
  <c r="ET57" i="2"/>
  <c r="EU26" i="3"/>
  <c r="EU180" i="3"/>
  <c r="EG180" i="2"/>
  <c r="EG56" i="2"/>
  <c r="EG151" i="2"/>
  <c r="EG158" i="2"/>
  <c r="ET779" i="4"/>
  <c r="EU751" i="4"/>
  <c r="ET936" i="4"/>
  <c r="EI12" i="4"/>
  <c r="EW55" i="4"/>
  <c r="EW65" i="4"/>
  <c r="FA332" i="4"/>
  <c r="FA333" i="4" s="1"/>
  <c r="EY334" i="4"/>
  <c r="EF13" i="2"/>
  <c r="EF14" i="2" s="1"/>
  <c r="EF139" i="2"/>
  <c r="EE115" i="2"/>
  <c r="EE13" i="2" s="1"/>
  <c r="EE14" i="2" s="1"/>
  <c r="EM161" i="4"/>
  <c r="EM7" i="4"/>
  <c r="ET872" i="4"/>
  <c r="ES914" i="4"/>
  <c r="ET924" i="4"/>
  <c r="EU882" i="4"/>
  <c r="EW472" i="4"/>
  <c r="EZ440" i="4"/>
  <c r="EZ335" i="4"/>
  <c r="EZ347" i="4"/>
  <c r="ET884" i="4"/>
  <c r="ES926" i="4"/>
  <c r="ES781" i="4"/>
  <c r="ET753" i="4"/>
  <c r="ET754" i="4" s="1"/>
  <c r="ES938" i="4"/>
  <c r="AG26" i="9"/>
  <c r="AG27" i="9" s="1"/>
  <c r="EE183" i="2"/>
  <c r="ET931" i="4"/>
  <c r="EU889" i="4"/>
  <c r="EU870" i="4"/>
  <c r="ET912" i="4"/>
  <c r="ET955" i="4"/>
  <c r="ET895" i="4"/>
  <c r="EU859" i="4"/>
  <c r="ET901" i="4"/>
  <c r="ER263" i="2"/>
  <c r="EQ263" i="2" s="1"/>
  <c r="EQ247" i="2"/>
  <c r="EQ633" i="2" s="1"/>
  <c r="ER633" i="2"/>
  <c r="FA630" i="2"/>
  <c r="EZ287" i="2"/>
  <c r="EZ630" i="2" s="1"/>
  <c r="FA305" i="2"/>
  <c r="EZ305" i="2" s="1"/>
  <c r="EU876" i="4"/>
  <c r="ET918" i="4"/>
  <c r="ET907" i="4"/>
  <c r="EU865" i="4"/>
  <c r="EQ44" i="3"/>
  <c r="ES5" i="4"/>
  <c r="EU5" i="4" s="1"/>
  <c r="ES53" i="4"/>
  <c r="EU42" i="4"/>
  <c r="EU53" i="4" s="1"/>
  <c r="ER782" i="4"/>
  <c r="ER939" i="4"/>
  <c r="ET890" i="4"/>
  <c r="ES932" i="4"/>
  <c r="EV441" i="4"/>
  <c r="EX440" i="4"/>
  <c r="EX441" i="4" s="1"/>
  <c r="EV444" i="4"/>
  <c r="ER60" i="4"/>
  <c r="ER70" i="4"/>
  <c r="EE617" i="2"/>
  <c r="EE159" i="2"/>
  <c r="EE170" i="2"/>
  <c r="EE61" i="2"/>
  <c r="EE152" i="2"/>
  <c r="ED355" i="2"/>
  <c r="EF209" i="2" s="1"/>
  <c r="ED221" i="2"/>
  <c r="ED222" i="2" s="1"/>
  <c r="ED225" i="3"/>
  <c r="EG150" i="3"/>
  <c r="EI150" i="3"/>
  <c r="EE152" i="3"/>
  <c r="EP72" i="4"/>
  <c r="ER51" i="4"/>
  <c r="EP62" i="4"/>
  <c r="EP6" i="4"/>
  <c r="ER6" i="4" s="1"/>
  <c r="EW340" i="2"/>
  <c r="EW339" i="2"/>
  <c r="EU56" i="4"/>
  <c r="EU66" i="4"/>
  <c r="ET70" i="4"/>
  <c r="ET60" i="4"/>
  <c r="ET51" i="4"/>
  <c r="ET866" i="4"/>
  <c r="ES908" i="4"/>
  <c r="EP263" i="2"/>
  <c r="EP633" i="2"/>
  <c r="ES68" i="4"/>
  <c r="ES49" i="4"/>
  <c r="ES58" i="4"/>
  <c r="EU47" i="4"/>
  <c r="ED244" i="2"/>
  <c r="ED329" i="2"/>
  <c r="ED108" i="3"/>
  <c r="ED640" i="2"/>
  <c r="ED328" i="2"/>
  <c r="ED330" i="2"/>
  <c r="ES476" i="4"/>
  <c r="EU475" i="4"/>
  <c r="EU476" i="4" s="1"/>
  <c r="EG170" i="2"/>
  <c r="ED345" i="2"/>
  <c r="EV262" i="2"/>
  <c r="EX262" i="2"/>
  <c r="ET262" i="2"/>
  <c r="ET937" i="4"/>
  <c r="EU752" i="4"/>
  <c r="ET780" i="4"/>
  <c r="ER897" i="4"/>
  <c r="EZ487" i="4"/>
  <c r="EZ486" i="4" s="1"/>
  <c r="EZ489" i="4" s="1"/>
  <c r="EY486" i="4"/>
  <c r="EZ335" i="2"/>
  <c r="EZ342" i="2"/>
  <c r="EZ167" i="3"/>
  <c r="EK7" i="4"/>
  <c r="EK161" i="4"/>
  <c r="EL160" i="4"/>
  <c r="EE81" i="2"/>
  <c r="EE618" i="2"/>
  <c r="EZ334" i="2"/>
  <c r="EZ338" i="2"/>
  <c r="EZ166" i="3"/>
  <c r="FA65" i="2"/>
  <c r="FA54" i="3"/>
  <c r="EU883" i="4"/>
  <c r="ET925" i="4"/>
  <c r="EZ185" i="2"/>
  <c r="EF620" i="2"/>
  <c r="EF619" i="2"/>
  <c r="EV473" i="4"/>
  <c r="EX416" i="4"/>
  <c r="EX417" i="4" s="1"/>
  <c r="EV45" i="4"/>
  <c r="EV417" i="4"/>
  <c r="FA59" i="2"/>
  <c r="FA48" i="3"/>
  <c r="EZ48" i="3" s="1"/>
  <c r="FA53" i="3"/>
  <c r="EZ333" i="2"/>
  <c r="EZ614" i="2"/>
  <c r="EZ165" i="3"/>
  <c r="EZ341" i="2"/>
  <c r="EW65" i="2"/>
  <c r="EX64" i="2"/>
  <c r="ET878" i="4"/>
  <c r="ES920" i="4"/>
  <c r="EJ68" i="2"/>
  <c r="EJ4" i="3"/>
  <c r="EJ10" i="3" s="1"/>
  <c r="EJ178" i="2"/>
  <c r="EJ154" i="2"/>
  <c r="EJ73" i="2"/>
  <c r="EJ161" i="2"/>
  <c r="EN154" i="4"/>
  <c r="EN150" i="4"/>
  <c r="EO149" i="4"/>
  <c r="EO150" i="4" s="1"/>
  <c r="ES903" i="4"/>
  <c r="EQ62" i="2"/>
  <c r="EQ27" i="3" s="1"/>
  <c r="ER27" i="3"/>
  <c r="ER28" i="3" s="1"/>
  <c r="EE10" i="2"/>
  <c r="EE11" i="2" s="1"/>
  <c r="EE163" i="2"/>
  <c r="EE155" i="2"/>
  <c r="EE174" i="2"/>
  <c r="ES139" i="4"/>
  <c r="EW417" i="4"/>
  <c r="EW45" i="4"/>
  <c r="EW42" i="4" s="1"/>
  <c r="EW473" i="4"/>
  <c r="EW474" i="4" s="1"/>
  <c r="EY470" i="4"/>
  <c r="FA469" i="4"/>
  <c r="FA470" i="4" s="1"/>
  <c r="EF27" i="2"/>
  <c r="Q11" i="9"/>
  <c r="Q36" i="9"/>
  <c r="EX442" i="4"/>
  <c r="EX443" i="4" s="1"/>
  <c r="EV443" i="4"/>
  <c r="ES873" i="4"/>
  <c r="ES915" i="4" s="1"/>
  <c r="EU888" i="4"/>
  <c r="ET930" i="4"/>
  <c r="EF180" i="2"/>
  <c r="EF56" i="2"/>
  <c r="Q27" i="9"/>
  <c r="Q28" i="9" s="1"/>
  <c r="EF158" i="2"/>
  <c r="EE55" i="2"/>
  <c r="EG169" i="2" s="1"/>
  <c r="EF151" i="2"/>
  <c r="EF53" i="2"/>
  <c r="EF43" i="2" s="1"/>
  <c r="EE43" i="2" s="1"/>
  <c r="EN28" i="3"/>
  <c r="EU55" i="4"/>
  <c r="EU65" i="4"/>
  <c r="EQ26" i="3"/>
  <c r="EQ180" i="3"/>
  <c r="EU62" i="2"/>
  <c r="EU179" i="2" s="1"/>
  <c r="ET179" i="2" s="1"/>
  <c r="ET64" i="2"/>
  <c r="EE90" i="2"/>
  <c r="EF156" i="2"/>
  <c r="EF91" i="2"/>
  <c r="EE91" i="2" s="1"/>
  <c r="EF162" i="2"/>
  <c r="EF5" i="3"/>
  <c r="EF11" i="3" s="1"/>
  <c r="EF147" i="2"/>
  <c r="EF202" i="3"/>
  <c r="EF344" i="2"/>
  <c r="Q45" i="9" s="1"/>
  <c r="ET860" i="4"/>
  <c r="ES956" i="4"/>
  <c r="ES957" i="4" s="1"/>
  <c r="ES896" i="4"/>
  <c r="ES902" i="4"/>
  <c r="EV143" i="4"/>
  <c r="ET142" i="4"/>
  <c r="EU142" i="4" s="1"/>
  <c r="EQ139" i="4"/>
  <c r="ER140" i="4"/>
  <c r="EF621" i="2" l="1"/>
  <c r="EF622" i="2" s="1"/>
  <c r="EQ28" i="3"/>
  <c r="EW5" i="4"/>
  <c r="EW53" i="4"/>
  <c r="EU139" i="4"/>
  <c r="EU143" i="4"/>
  <c r="EZ46" i="4"/>
  <c r="EZ57" i="4" s="1"/>
  <c r="EZ157" i="4"/>
  <c r="EU49" i="4"/>
  <c r="ES51" i="4"/>
  <c r="ES70" i="4"/>
  <c r="ES60" i="4"/>
  <c r="EU872" i="4"/>
  <c r="EU873" i="4" s="1"/>
  <c r="EU915" i="4" s="1"/>
  <c r="ET914" i="4"/>
  <c r="EW143" i="4"/>
  <c r="EV142" i="4"/>
  <c r="EU878" i="4"/>
  <c r="ET920" i="4"/>
  <c r="EL7" i="4"/>
  <c r="EL161" i="4"/>
  <c r="EZ471" i="4"/>
  <c r="EZ44" i="4"/>
  <c r="EZ348" i="4"/>
  <c r="EP155" i="4"/>
  <c r="EP160" i="4"/>
  <c r="EZ340" i="2"/>
  <c r="EZ339" i="2"/>
  <c r="EY262" i="2"/>
  <c r="EW262" i="2"/>
  <c r="FA262" i="2"/>
  <c r="EZ262" i="2" s="1"/>
  <c r="EU890" i="4"/>
  <c r="EU891" i="4" s="1"/>
  <c r="EU933" i="4" s="1"/>
  <c r="ET932" i="4"/>
  <c r="EW47" i="4"/>
  <c r="ET939" i="4"/>
  <c r="ET782" i="4"/>
  <c r="EV877" i="4"/>
  <c r="EU919" i="4"/>
  <c r="EY442" i="4"/>
  <c r="FA405" i="4"/>
  <c r="FA406" i="4" s="1"/>
  <c r="EY416" i="4"/>
  <c r="EX471" i="4"/>
  <c r="EX472" i="4" s="1"/>
  <c r="EV472" i="4"/>
  <c r="EV475" i="4"/>
  <c r="Q13" i="9"/>
  <c r="EU884" i="4"/>
  <c r="EU885" i="4" s="1"/>
  <c r="EU927" i="4" s="1"/>
  <c r="ET926" i="4"/>
  <c r="EK8" i="4"/>
  <c r="EU907" i="4"/>
  <c r="EV865" i="4"/>
  <c r="ET873" i="4"/>
  <c r="ET915" i="4" s="1"/>
  <c r="EU753" i="4"/>
  <c r="EU754" i="4" s="1"/>
  <c r="ET938" i="4"/>
  <c r="ET781" i="4"/>
  <c r="EZ441" i="4"/>
  <c r="EU924" i="4"/>
  <c r="EV882" i="4"/>
  <c r="EM8" i="4"/>
  <c r="EM72" i="2"/>
  <c r="EM12" i="4" s="1"/>
  <c r="EZ442" i="4"/>
  <c r="EZ443" i="4" s="1"/>
  <c r="EZ416" i="4"/>
  <c r="EU263" i="2"/>
  <c r="ET263" i="2" s="1"/>
  <c r="ET247" i="2"/>
  <c r="ET633" i="2" s="1"/>
  <c r="EU633" i="2"/>
  <c r="FA54" i="4"/>
  <c r="FA64" i="4"/>
  <c r="FA64" i="2"/>
  <c r="EZ65" i="2"/>
  <c r="F18" i="488"/>
  <c r="F20" i="488" s="1"/>
  <c r="EX44" i="4"/>
  <c r="EV55" i="4"/>
  <c r="EV65" i="4"/>
  <c r="EV42" i="4"/>
  <c r="EV47" i="4"/>
  <c r="EU912" i="4"/>
  <c r="EV870" i="4"/>
  <c r="EW475" i="4"/>
  <c r="EW476" i="4" s="1"/>
  <c r="ET26" i="3"/>
  <c r="ET180" i="3"/>
  <c r="EV247" i="2"/>
  <c r="EV42" i="3"/>
  <c r="EU27" i="3"/>
  <c r="EU28" i="3" s="1"/>
  <c r="ET62" i="2"/>
  <c r="ET27" i="3" s="1"/>
  <c r="EV751" i="4"/>
  <c r="EU779" i="4"/>
  <c r="EU936" i="4"/>
  <c r="EW249" i="2"/>
  <c r="EW42" i="3" s="1"/>
  <c r="EX42" i="3"/>
  <c r="EX247" i="2"/>
  <c r="FA249" i="2"/>
  <c r="EY249" i="2"/>
  <c r="EE169" i="2"/>
  <c r="EE158" i="2"/>
  <c r="EE56" i="2"/>
  <c r="EE151" i="2"/>
  <c r="EE53" i="2"/>
  <c r="EW56" i="4"/>
  <c r="EW66" i="4"/>
  <c r="EE222" i="3"/>
  <c r="EE27" i="2"/>
  <c r="EN160" i="4"/>
  <c r="EN155" i="4"/>
  <c r="EO154" i="4"/>
  <c r="EO155" i="4" s="1"/>
  <c r="EU860" i="4"/>
  <c r="EU861" i="4" s="1"/>
  <c r="ET902" i="4"/>
  <c r="ET896" i="4"/>
  <c r="ET956" i="4"/>
  <c r="ET957" i="4" s="1"/>
  <c r="EE620" i="2"/>
  <c r="EE619" i="2"/>
  <c r="EU866" i="4"/>
  <c r="ET908" i="4"/>
  <c r="EV889" i="4"/>
  <c r="EU931" i="4"/>
  <c r="ET885" i="4"/>
  <c r="ET927" i="4" s="1"/>
  <c r="ES263" i="2"/>
  <c r="ES633" i="2"/>
  <c r="EU906" i="4"/>
  <c r="EV864" i="4"/>
  <c r="EV858" i="4"/>
  <c r="EU900" i="4"/>
  <c r="EU954" i="4"/>
  <c r="EU894" i="4"/>
  <c r="FA334" i="4"/>
  <c r="FA335" i="4" s="1"/>
  <c r="EY440" i="4"/>
  <c r="EY335" i="4"/>
  <c r="EY347" i="4"/>
  <c r="EX26" i="3"/>
  <c r="EW57" i="2"/>
  <c r="EX180" i="3"/>
  <c r="EH154" i="2"/>
  <c r="EH176" i="2"/>
  <c r="EH4" i="3"/>
  <c r="EH10" i="3" s="1"/>
  <c r="EH161" i="2"/>
  <c r="EH73" i="2"/>
  <c r="EH172" i="2"/>
  <c r="EH12" i="4"/>
  <c r="EV888" i="4"/>
  <c r="EU930" i="4"/>
  <c r="EF214" i="2"/>
  <c r="AG40" i="9" s="1"/>
  <c r="EF144" i="2"/>
  <c r="AG37" i="9"/>
  <c r="EE209" i="2"/>
  <c r="EE214" i="2" s="1"/>
  <c r="EX62" i="2"/>
  <c r="EW64" i="2"/>
  <c r="FA57" i="2"/>
  <c r="EZ59" i="2"/>
  <c r="EX45" i="4"/>
  <c r="EV66" i="4"/>
  <c r="EV56" i="4"/>
  <c r="EQ140" i="4"/>
  <c r="EQ149" i="4"/>
  <c r="EE147" i="2"/>
  <c r="EE202" i="3"/>
  <c r="EE5" i="3"/>
  <c r="EE11" i="3" s="1"/>
  <c r="EE173" i="2"/>
  <c r="EE344" i="2"/>
  <c r="EE162" i="2"/>
  <c r="EE156" i="2"/>
  <c r="EE180" i="2"/>
  <c r="EF184" i="2"/>
  <c r="ES140" i="4"/>
  <c r="ES149" i="4"/>
  <c r="EJ172" i="2"/>
  <c r="EJ60" i="2"/>
  <c r="EJ153" i="2"/>
  <c r="EJ160" i="2"/>
  <c r="EJ69" i="2"/>
  <c r="EV474" i="4"/>
  <c r="EX473" i="4"/>
  <c r="EX474" i="4" s="1"/>
  <c r="EV883" i="4"/>
  <c r="EU925" i="4"/>
  <c r="ED629" i="2"/>
  <c r="ED631" i="2" s="1"/>
  <c r="ED264" i="2"/>
  <c r="EU68" i="4"/>
  <c r="EU58" i="4"/>
  <c r="ET62" i="4"/>
  <c r="ET72" i="4"/>
  <c r="ET6" i="4"/>
  <c r="EE362" i="2"/>
  <c r="EF362" i="2" s="1"/>
  <c r="EF313" i="2" s="1"/>
  <c r="ED359" i="2"/>
  <c r="EV445" i="4"/>
  <c r="EX444" i="4"/>
  <c r="EX445" i="4" s="1"/>
  <c r="EU918" i="4"/>
  <c r="EV876" i="4"/>
  <c r="EU879" i="4"/>
  <c r="EU921" i="4" s="1"/>
  <c r="EF143" i="2"/>
  <c r="EE139" i="2"/>
  <c r="EE143" i="2" s="1"/>
  <c r="EF140" i="2"/>
  <c r="ET44" i="3"/>
  <c r="EX46" i="4"/>
  <c r="EX57" i="4" s="1"/>
  <c r="EV57" i="4"/>
  <c r="EI160" i="2"/>
  <c r="EI153" i="2"/>
  <c r="EH68" i="2"/>
  <c r="EJ171" i="2" s="1"/>
  <c r="EI60" i="2"/>
  <c r="EI69" i="2"/>
  <c r="ET867" i="4"/>
  <c r="EU913" i="4"/>
  <c r="EV871" i="4"/>
  <c r="ET891" i="4"/>
  <c r="ET933" i="4" s="1"/>
  <c r="Q43" i="9"/>
  <c r="ES897" i="4"/>
  <c r="FA486" i="4"/>
  <c r="FA487" i="4" s="1"/>
  <c r="EY489" i="4"/>
  <c r="EV752" i="4"/>
  <c r="EU780" i="4"/>
  <c r="EU937" i="4"/>
  <c r="EU44" i="3"/>
  <c r="ER62" i="4"/>
  <c r="ER72" i="4"/>
  <c r="ET879" i="4"/>
  <c r="ET921" i="4" s="1"/>
  <c r="EU901" i="4"/>
  <c r="EU955" i="4"/>
  <c r="EU895" i="4"/>
  <c r="EV859" i="4"/>
  <c r="ET861" i="4"/>
  <c r="EW44" i="3" l="1"/>
  <c r="EZ444" i="4"/>
  <c r="EZ445" i="4" s="1"/>
  <c r="EF146" i="2"/>
  <c r="EI142" i="2" s="1"/>
  <c r="EE621" i="2"/>
  <c r="EE622" i="2" s="1"/>
  <c r="EU903" i="4"/>
  <c r="EX263" i="2"/>
  <c r="EW263" i="2" s="1"/>
  <c r="EW247" i="2"/>
  <c r="EW633" i="2" s="1"/>
  <c r="EX633" i="2"/>
  <c r="EE184" i="2"/>
  <c r="EF188" i="2"/>
  <c r="EY44" i="4"/>
  <c r="EY348" i="4"/>
  <c r="FA347" i="4"/>
  <c r="FA348" i="4" s="1"/>
  <c r="EY471" i="4"/>
  <c r="EW889" i="4"/>
  <c r="EV931" i="4"/>
  <c r="EU938" i="4"/>
  <c r="EV753" i="4"/>
  <c r="EV754" i="4" s="1"/>
  <c r="EU781" i="4"/>
  <c r="EZ57" i="2"/>
  <c r="FA26" i="3"/>
  <c r="FA180" i="3"/>
  <c r="EQ154" i="4"/>
  <c r="EQ150" i="4"/>
  <c r="ER149" i="4"/>
  <c r="ER150" i="4" s="1"/>
  <c r="EW62" i="2"/>
  <c r="EW27" i="3" s="1"/>
  <c r="EX27" i="3"/>
  <c r="EX28" i="3" s="1"/>
  <c r="EW864" i="4"/>
  <c r="EV906" i="4"/>
  <c r="EU939" i="4"/>
  <c r="EU782" i="4"/>
  <c r="EX65" i="4"/>
  <c r="EX55" i="4"/>
  <c r="EU926" i="4"/>
  <c r="EV884" i="4"/>
  <c r="EV885" i="4" s="1"/>
  <c r="EV927" i="4" s="1"/>
  <c r="EY473" i="4"/>
  <c r="EY45" i="4"/>
  <c r="FA416" i="4"/>
  <c r="FA417" i="4" s="1"/>
  <c r="EY417" i="4"/>
  <c r="EW49" i="4"/>
  <c r="EW58" i="4"/>
  <c r="EW68" i="4"/>
  <c r="EV872" i="4"/>
  <c r="EU914" i="4"/>
  <c r="ED307" i="2"/>
  <c r="ED324" i="2" s="1"/>
  <c r="ED634" i="2"/>
  <c r="ED636" i="2" s="1"/>
  <c r="ED639" i="2" s="1"/>
  <c r="ED642" i="2" s="1"/>
  <c r="ED644" i="2" s="1"/>
  <c r="ED346" i="2" s="1"/>
  <c r="ED343" i="2"/>
  <c r="EY441" i="4"/>
  <c r="FA440" i="4"/>
  <c r="FA441" i="4" s="1"/>
  <c r="EY444" i="4"/>
  <c r="EU908" i="4"/>
  <c r="EV866" i="4"/>
  <c r="EE348" i="2"/>
  <c r="EF222" i="3"/>
  <c r="Q37" i="9"/>
  <c r="ET28" i="3"/>
  <c r="EW882" i="4"/>
  <c r="EV924" i="4"/>
  <c r="EW865" i="4"/>
  <c r="EV907" i="4"/>
  <c r="EZ55" i="4"/>
  <c r="EZ65" i="4"/>
  <c r="ET139" i="4"/>
  <c r="EU140" i="4"/>
  <c r="EV918" i="4"/>
  <c r="EW876" i="4"/>
  <c r="EW26" i="3"/>
  <c r="EW180" i="3"/>
  <c r="EX475" i="4"/>
  <c r="EX476" i="4" s="1"/>
  <c r="EV476" i="4"/>
  <c r="EV913" i="4"/>
  <c r="EW871" i="4"/>
  <c r="EW858" i="4"/>
  <c r="EV894" i="4"/>
  <c r="EV900" i="4"/>
  <c r="EV954" i="4"/>
  <c r="EP7" i="4"/>
  <c r="EP161" i="4"/>
  <c r="EU902" i="4"/>
  <c r="EU896" i="4"/>
  <c r="EU956" i="4"/>
  <c r="EU957" i="4" s="1"/>
  <c r="EV860" i="4"/>
  <c r="EV861" i="4" s="1"/>
  <c r="EY443" i="4"/>
  <c r="FA442" i="4"/>
  <c r="FA443" i="4" s="1"/>
  <c r="EV890" i="4"/>
  <c r="EV891" i="4" s="1"/>
  <c r="EV933" i="4" s="1"/>
  <c r="EU932" i="4"/>
  <c r="EZ472" i="4"/>
  <c r="EL8" i="4"/>
  <c r="EL72" i="2"/>
  <c r="EL12" i="4" s="1"/>
  <c r="ES154" i="4"/>
  <c r="ES150" i="4"/>
  <c r="EN7" i="4"/>
  <c r="EN161" i="4"/>
  <c r="EO160" i="4"/>
  <c r="FA62" i="2"/>
  <c r="EZ64" i="2"/>
  <c r="EW888" i="4"/>
  <c r="EV930" i="4"/>
  <c r="EW859" i="4"/>
  <c r="EV895" i="4"/>
  <c r="EV955" i="4"/>
  <c r="EV901" i="4"/>
  <c r="EU867" i="4"/>
  <c r="EU909" i="4" s="1"/>
  <c r="ET909" i="4"/>
  <c r="ET897" i="4"/>
  <c r="ET903" i="4"/>
  <c r="EY46" i="4"/>
  <c r="FA489" i="4"/>
  <c r="EY157" i="4"/>
  <c r="FA157" i="4" s="1"/>
  <c r="EH153" i="2"/>
  <c r="EH160" i="2"/>
  <c r="EH69" i="2"/>
  <c r="EH171" i="2"/>
  <c r="EG142" i="2"/>
  <c r="EE313" i="2"/>
  <c r="EF312" i="2"/>
  <c r="EJ617" i="2"/>
  <c r="EJ152" i="2"/>
  <c r="EJ55" i="2"/>
  <c r="EJ61" i="2"/>
  <c r="EJ159" i="2"/>
  <c r="EE144" i="2"/>
  <c r="EE146" i="2" s="1"/>
  <c r="EF319" i="2"/>
  <c r="EX179" i="2"/>
  <c r="EW179" i="2" s="1"/>
  <c r="EY247" i="2"/>
  <c r="EY42" i="3"/>
  <c r="EV779" i="4"/>
  <c r="EW751" i="4"/>
  <c r="EV936" i="4"/>
  <c r="EW870" i="4"/>
  <c r="EV873" i="4"/>
  <c r="EV915" i="4" s="1"/>
  <c r="EV912" i="4"/>
  <c r="EZ473" i="4"/>
  <c r="EZ474" i="4" s="1"/>
  <c r="EZ45" i="4"/>
  <c r="EZ42" i="4" s="1"/>
  <c r="EZ417" i="4"/>
  <c r="EV44" i="3"/>
  <c r="EU51" i="4"/>
  <c r="ES62" i="4"/>
  <c r="ES72" i="4"/>
  <c r="ES6" i="4"/>
  <c r="EU6" i="4" s="1"/>
  <c r="EX42" i="4"/>
  <c r="EX53" i="4" s="1"/>
  <c r="EV5" i="4"/>
  <c r="EX5" i="4" s="1"/>
  <c r="EV53" i="4"/>
  <c r="EV139" i="4"/>
  <c r="EV633" i="2"/>
  <c r="EV263" i="2"/>
  <c r="EM161" i="2"/>
  <c r="EM178" i="2"/>
  <c r="EM73" i="2"/>
  <c r="EM68" i="2"/>
  <c r="EM154" i="2"/>
  <c r="EM4" i="3"/>
  <c r="EM10" i="3" s="1"/>
  <c r="EY143" i="4"/>
  <c r="EW142" i="4"/>
  <c r="EX142" i="4" s="1"/>
  <c r="EE140" i="2"/>
  <c r="EE141" i="2" s="1"/>
  <c r="EF141" i="2"/>
  <c r="ED233" i="3"/>
  <c r="EE361" i="2"/>
  <c r="EF361" i="2" s="1"/>
  <c r="EF310" i="2" s="1"/>
  <c r="EV937" i="4"/>
  <c r="EV780" i="4"/>
  <c r="EW752" i="4"/>
  <c r="EI617" i="2"/>
  <c r="EI152" i="2"/>
  <c r="EI61" i="2"/>
  <c r="EI159" i="2"/>
  <c r="EI55" i="2"/>
  <c r="EH60" i="2"/>
  <c r="EJ170" i="2" s="1"/>
  <c r="EV925" i="4"/>
  <c r="EW883" i="4"/>
  <c r="EX66" i="4"/>
  <c r="EX56" i="4"/>
  <c r="AG39" i="9"/>
  <c r="FA247" i="2"/>
  <c r="FA42" i="3"/>
  <c r="FA44" i="3" s="1"/>
  <c r="EZ249" i="2"/>
  <c r="EZ42" i="3" s="1"/>
  <c r="EX47" i="4"/>
  <c r="EV49" i="4"/>
  <c r="EV58" i="4"/>
  <c r="EV68" i="4"/>
  <c r="EX44" i="3"/>
  <c r="EV919" i="4"/>
  <c r="EW877" i="4"/>
  <c r="EV878" i="4"/>
  <c r="EV879" i="4" s="1"/>
  <c r="EV921" i="4" s="1"/>
  <c r="EU920" i="4"/>
  <c r="EU70" i="4"/>
  <c r="EU60" i="4"/>
  <c r="EZ47" i="4" l="1"/>
  <c r="EW28" i="3"/>
  <c r="EX752" i="4"/>
  <c r="EW780" i="4"/>
  <c r="EW937" i="4"/>
  <c r="EX876" i="4"/>
  <c r="EW918" i="4"/>
  <c r="EZ44" i="3"/>
  <c r="ES160" i="4"/>
  <c r="ES155" i="4"/>
  <c r="EW890" i="4"/>
  <c r="EW891" i="4" s="1"/>
  <c r="EW933" i="4" s="1"/>
  <c r="EV932" i="4"/>
  <c r="EV903" i="4"/>
  <c r="EW70" i="4"/>
  <c r="EW60" i="4"/>
  <c r="EW51" i="4"/>
  <c r="EW955" i="4"/>
  <c r="EW895" i="4"/>
  <c r="EX859" i="4"/>
  <c r="EW901" i="4"/>
  <c r="EN8" i="4"/>
  <c r="EE22" i="2"/>
  <c r="EF352" i="2"/>
  <c r="EF24" i="2" s="1"/>
  <c r="EF348" i="2"/>
  <c r="EW900" i="4"/>
  <c r="EX858" i="4"/>
  <c r="EW954" i="4"/>
  <c r="EW894" i="4"/>
  <c r="EH55" i="2"/>
  <c r="EJ169" i="2" s="1"/>
  <c r="EI56" i="2"/>
  <c r="EI180" i="2"/>
  <c r="EI158" i="2"/>
  <c r="EI151" i="2"/>
  <c r="EF320" i="2"/>
  <c r="AG62" i="9"/>
  <c r="EE310" i="2"/>
  <c r="EZ66" i="4"/>
  <c r="EZ56" i="4"/>
  <c r="EY633" i="2"/>
  <c r="EY263" i="2"/>
  <c r="EX888" i="4"/>
  <c r="EW930" i="4"/>
  <c r="EW913" i="4"/>
  <c r="EX871" i="4"/>
  <c r="FA444" i="4"/>
  <c r="FA445" i="4" s="1"/>
  <c r="EY445" i="4"/>
  <c r="EV914" i="4"/>
  <c r="EW872" i="4"/>
  <c r="EW873" i="4" s="1"/>
  <c r="EW915" i="4" s="1"/>
  <c r="EV781" i="4"/>
  <c r="EV938" i="4"/>
  <c r="EW753" i="4"/>
  <c r="EW754" i="4" s="1"/>
  <c r="EW931" i="4"/>
  <c r="EX889" i="4"/>
  <c r="EW866" i="4"/>
  <c r="EW867" i="4" s="1"/>
  <c r="EV908" i="4"/>
  <c r="EP72" i="2"/>
  <c r="EP12" i="4" s="1"/>
  <c r="EP8" i="4"/>
  <c r="EQ160" i="4"/>
  <c r="EQ155" i="4"/>
  <c r="ER154" i="4"/>
  <c r="ER155" i="4" s="1"/>
  <c r="FA471" i="4"/>
  <c r="FA472" i="4" s="1"/>
  <c r="EY472" i="4"/>
  <c r="EY475" i="4"/>
  <c r="EX870" i="4"/>
  <c r="EW912" i="4"/>
  <c r="EZ5" i="4"/>
  <c r="EZ53" i="4"/>
  <c r="EJ180" i="2"/>
  <c r="EJ151" i="2"/>
  <c r="EJ158" i="2"/>
  <c r="EJ56" i="2"/>
  <c r="EZ26" i="3"/>
  <c r="EZ180" i="3"/>
  <c r="EV920" i="4"/>
  <c r="EW878" i="4"/>
  <c r="EY44" i="3"/>
  <c r="AG63" i="9"/>
  <c r="EE319" i="2"/>
  <c r="EE312" i="2"/>
  <c r="EZ62" i="2"/>
  <c r="EZ27" i="3" s="1"/>
  <c r="FA27" i="3"/>
  <c r="FA28" i="3" s="1"/>
  <c r="EL178" i="2"/>
  <c r="EK178" i="2" s="1"/>
  <c r="EL68" i="2"/>
  <c r="EL161" i="2"/>
  <c r="EL154" i="2"/>
  <c r="EL73" i="2"/>
  <c r="EK72" i="2"/>
  <c r="EL4" i="3"/>
  <c r="EL10" i="3" s="1"/>
  <c r="EJ176" i="2"/>
  <c r="ET140" i="4"/>
  <c r="ET149" i="4"/>
  <c r="EX865" i="4"/>
  <c r="EW907" i="4"/>
  <c r="EY66" i="4"/>
  <c r="FA45" i="4"/>
  <c r="EY56" i="4"/>
  <c r="FA263" i="2"/>
  <c r="EZ263" i="2" s="1"/>
  <c r="EZ247" i="2"/>
  <c r="EZ633" i="2" s="1"/>
  <c r="FA633" i="2"/>
  <c r="EU72" i="4"/>
  <c r="EU62" i="4"/>
  <c r="EZ49" i="4"/>
  <c r="EZ68" i="4"/>
  <c r="EZ58" i="4"/>
  <c r="EH617" i="2"/>
  <c r="EH61" i="2"/>
  <c r="EH159" i="2"/>
  <c r="EH170" i="2"/>
  <c r="EH152" i="2"/>
  <c r="EM60" i="2"/>
  <c r="EM160" i="2"/>
  <c r="EM153" i="2"/>
  <c r="EM69" i="2"/>
  <c r="EZ143" i="4"/>
  <c r="EZ142" i="4" s="1"/>
  <c r="EY142" i="4"/>
  <c r="EV939" i="4"/>
  <c r="EV782" i="4"/>
  <c r="EO7" i="4"/>
  <c r="EO161" i="4"/>
  <c r="EV902" i="4"/>
  <c r="EV956" i="4"/>
  <c r="EV957" i="4" s="1"/>
  <c r="EW860" i="4"/>
  <c r="EW861" i="4" s="1"/>
  <c r="EV896" i="4"/>
  <c r="FA473" i="4"/>
  <c r="FA474" i="4" s="1"/>
  <c r="EY474" i="4"/>
  <c r="EV867" i="4"/>
  <c r="EV909" i="4" s="1"/>
  <c r="FA179" i="2"/>
  <c r="EZ179" i="2" s="1"/>
  <c r="EU897" i="4"/>
  <c r="EX139" i="4"/>
  <c r="EX143" i="4"/>
  <c r="EW936" i="4"/>
  <c r="EX751" i="4"/>
  <c r="EW779" i="4"/>
  <c r="EE188" i="2"/>
  <c r="EF216" i="2"/>
  <c r="EF219" i="2"/>
  <c r="AG30" i="9"/>
  <c r="AG29" i="9" s="1"/>
  <c r="EF20" i="2"/>
  <c r="EF187" i="2"/>
  <c r="EE187" i="2" s="1"/>
  <c r="EV70" i="4"/>
  <c r="EX49" i="4"/>
  <c r="EV60" i="4"/>
  <c r="EV51" i="4"/>
  <c r="EX68" i="4"/>
  <c r="EX58" i="4"/>
  <c r="EX877" i="4"/>
  <c r="EW919" i="4"/>
  <c r="EW925" i="4"/>
  <c r="EX883" i="4"/>
  <c r="EV140" i="4"/>
  <c r="EV149" i="4"/>
  <c r="EY57" i="4"/>
  <c r="FA46" i="4"/>
  <c r="FA57" i="4" s="1"/>
  <c r="EZ475" i="4"/>
  <c r="EZ476" i="4" s="1"/>
  <c r="EX882" i="4"/>
  <c r="EW924" i="4"/>
  <c r="EW884" i="4"/>
  <c r="EV926" i="4"/>
  <c r="EW906" i="4"/>
  <c r="EX864" i="4"/>
  <c r="FA44" i="4"/>
  <c r="EY65" i="4"/>
  <c r="EY55" i="4"/>
  <c r="EY42" i="4"/>
  <c r="EY47" i="4"/>
  <c r="EW903" i="4" l="1"/>
  <c r="EW926" i="4"/>
  <c r="EX884" i="4"/>
  <c r="EX885" i="4" s="1"/>
  <c r="EX927" i="4" s="1"/>
  <c r="EX925" i="4"/>
  <c r="EY883" i="4"/>
  <c r="ES7" i="4"/>
  <c r="ES161" i="4"/>
  <c r="EW939" i="4"/>
  <c r="EW782" i="4"/>
  <c r="EY139" i="4"/>
  <c r="FA142" i="4"/>
  <c r="EX954" i="4"/>
  <c r="EX900" i="4"/>
  <c r="EY858" i="4"/>
  <c r="EX894" i="4"/>
  <c r="EW908" i="4"/>
  <c r="EX866" i="4"/>
  <c r="EX70" i="4"/>
  <c r="EX60" i="4"/>
  <c r="EX779" i="4"/>
  <c r="EY751" i="4"/>
  <c r="EX936" i="4"/>
  <c r="EX924" i="4"/>
  <c r="EY882" i="4"/>
  <c r="ET150" i="4"/>
  <c r="ET154" i="4"/>
  <c r="EU149" i="4"/>
  <c r="EU150" i="4" s="1"/>
  <c r="EY889" i="4"/>
  <c r="EX931" i="4"/>
  <c r="EX901" i="4"/>
  <c r="EX955" i="4"/>
  <c r="EX895" i="4"/>
  <c r="EY859" i="4"/>
  <c r="EV897" i="4"/>
  <c r="EY876" i="4"/>
  <c r="EX918" i="4"/>
  <c r="EZ70" i="4"/>
  <c r="EZ51" i="4"/>
  <c r="EZ60" i="4"/>
  <c r="EK161" i="2"/>
  <c r="EK154" i="2"/>
  <c r="EK176" i="2"/>
  <c r="EK73" i="2"/>
  <c r="EK4" i="3"/>
  <c r="EK10" i="3" s="1"/>
  <c r="EK172" i="2"/>
  <c r="EK12" i="4"/>
  <c r="EM172" i="2"/>
  <c r="Q16" i="9"/>
  <c r="EK68" i="2"/>
  <c r="EL60" i="2"/>
  <c r="EL160" i="2"/>
  <c r="EL153" i="2"/>
  <c r="EL69" i="2"/>
  <c r="EW920" i="4"/>
  <c r="EX878" i="4"/>
  <c r="EQ161" i="4"/>
  <c r="EQ7" i="4"/>
  <c r="ER160" i="4"/>
  <c r="EX913" i="4"/>
  <c r="EY871" i="4"/>
  <c r="EH180" i="2"/>
  <c r="EF349" i="2"/>
  <c r="EF22" i="2"/>
  <c r="EW879" i="4"/>
  <c r="EW921" i="4" s="1"/>
  <c r="EX140" i="4"/>
  <c r="EW139" i="4"/>
  <c r="EX912" i="4"/>
  <c r="EY870" i="4"/>
  <c r="EW938" i="4"/>
  <c r="EW781" i="4"/>
  <c r="EX753" i="4"/>
  <c r="EX890" i="4"/>
  <c r="EX891" i="4" s="1"/>
  <c r="EX933" i="4" s="1"/>
  <c r="EW932" i="4"/>
  <c r="EW902" i="4"/>
  <c r="EX860" i="4"/>
  <c r="EX861" i="4" s="1"/>
  <c r="EW956" i="4"/>
  <c r="EW957" i="4" s="1"/>
  <c r="EW896" i="4"/>
  <c r="EY865" i="4"/>
  <c r="EX907" i="4"/>
  <c r="EW909" i="4"/>
  <c r="EX867" i="4"/>
  <c r="EX909" i="4" s="1"/>
  <c r="AG64" i="9"/>
  <c r="AG66" i="9" s="1"/>
  <c r="EH158" i="2"/>
  <c r="EH56" i="2"/>
  <c r="EH151" i="2"/>
  <c r="EH169" i="2"/>
  <c r="EX872" i="4"/>
  <c r="EW914" i="4"/>
  <c r="EW885" i="4"/>
  <c r="EW927" i="4" s="1"/>
  <c r="EY49" i="4"/>
  <c r="FA47" i="4"/>
  <c r="EY68" i="4"/>
  <c r="EY58" i="4"/>
  <c r="EY877" i="4"/>
  <c r="EX919" i="4"/>
  <c r="EY5" i="4"/>
  <c r="FA5" i="4" s="1"/>
  <c r="EY53" i="4"/>
  <c r="FA42" i="4"/>
  <c r="FA53" i="4" s="1"/>
  <c r="EY864" i="4"/>
  <c r="EX906" i="4"/>
  <c r="EV154" i="4"/>
  <c r="EV150" i="4"/>
  <c r="EE219" i="2"/>
  <c r="EV62" i="4"/>
  <c r="EX51" i="4"/>
  <c r="EV72" i="4"/>
  <c r="EV6" i="4"/>
  <c r="EF226" i="2"/>
  <c r="EF230" i="2"/>
  <c r="EF345" i="2" s="1"/>
  <c r="AG41" i="9"/>
  <c r="EO8" i="4"/>
  <c r="EO72" i="2"/>
  <c r="FA65" i="4"/>
  <c r="FA55" i="4"/>
  <c r="EE20" i="2"/>
  <c r="EE216" i="2"/>
  <c r="EM617" i="2"/>
  <c r="EM152" i="2"/>
  <c r="EM55" i="2"/>
  <c r="EM61" i="2"/>
  <c r="EM159" i="2"/>
  <c r="FA66" i="4"/>
  <c r="FA56" i="4"/>
  <c r="EZ28" i="3"/>
  <c r="EY476" i="4"/>
  <c r="FA475" i="4"/>
  <c r="FA476" i="4" s="1"/>
  <c r="EP4" i="3"/>
  <c r="EP10" i="3" s="1"/>
  <c r="EP154" i="2"/>
  <c r="EP73" i="2"/>
  <c r="EP161" i="2"/>
  <c r="EP178" i="2"/>
  <c r="EP68" i="2"/>
  <c r="EY888" i="4"/>
  <c r="EX930" i="4"/>
  <c r="EF25" i="2"/>
  <c r="EE320" i="2"/>
  <c r="EF625" i="2"/>
  <c r="EF627" i="2" s="1"/>
  <c r="EF322" i="2"/>
  <c r="EE365" i="2"/>
  <c r="EE366" i="2"/>
  <c r="EE224" i="3" s="1"/>
  <c r="EW72" i="4"/>
  <c r="EW62" i="4"/>
  <c r="EW6" i="4"/>
  <c r="EY752" i="4"/>
  <c r="EX780" i="4"/>
  <c r="EX937" i="4"/>
  <c r="EY878" i="4" l="1"/>
  <c r="EX920" i="4"/>
  <c r="EZ882" i="4"/>
  <c r="EY924" i="4"/>
  <c r="FA139" i="4"/>
  <c r="FA143" i="4"/>
  <c r="EZ883" i="4"/>
  <c r="EY925" i="4"/>
  <c r="ET160" i="4"/>
  <c r="ET155" i="4"/>
  <c r="EU154" i="4"/>
  <c r="EU155" i="4" s="1"/>
  <c r="EW140" i="4"/>
  <c r="EW149" i="4"/>
  <c r="EY901" i="4"/>
  <c r="EY955" i="4"/>
  <c r="EZ859" i="4"/>
  <c r="EY895" i="4"/>
  <c r="EY919" i="4"/>
  <c r="EZ877" i="4"/>
  <c r="EY907" i="4"/>
  <c r="EZ865" i="4"/>
  <c r="EZ871" i="4"/>
  <c r="EY913" i="4"/>
  <c r="EZ62" i="4"/>
  <c r="EZ72" i="4"/>
  <c r="EZ6" i="4"/>
  <c r="EY866" i="4"/>
  <c r="EY867" i="4" s="1"/>
  <c r="EY909" i="4" s="1"/>
  <c r="EX908" i="4"/>
  <c r="EY140" i="4"/>
  <c r="EY149" i="4"/>
  <c r="EO161" i="2"/>
  <c r="EN72" i="2"/>
  <c r="EO178" i="2"/>
  <c r="EN178" i="2" s="1"/>
  <c r="EO68" i="2"/>
  <c r="EO4" i="3"/>
  <c r="EO10" i="3" s="1"/>
  <c r="EO73" i="2"/>
  <c r="EO154" i="2"/>
  <c r="EM176" i="2"/>
  <c r="EY780" i="4"/>
  <c r="EY937" i="4"/>
  <c r="EZ752" i="4"/>
  <c r="EY890" i="4"/>
  <c r="EY891" i="4" s="1"/>
  <c r="EY933" i="4" s="1"/>
  <c r="EX932" i="4"/>
  <c r="EY753" i="4"/>
  <c r="EY754" i="4" s="1"/>
  <c r="EX781" i="4"/>
  <c r="EX938" i="4"/>
  <c r="EF327" i="2"/>
  <c r="EE322" i="2"/>
  <c r="EE327" i="2" s="1"/>
  <c r="EX926" i="4"/>
  <c r="EY884" i="4"/>
  <c r="EY885" i="4" s="1"/>
  <c r="EY927" i="4" s="1"/>
  <c r="EP160" i="2"/>
  <c r="EP69" i="2"/>
  <c r="EP153" i="2"/>
  <c r="EP60" i="2"/>
  <c r="EE625" i="2"/>
  <c r="EE627" i="2" s="1"/>
  <c r="EE25" i="2"/>
  <c r="EY912" i="4"/>
  <c r="EZ870" i="4"/>
  <c r="ER7" i="4"/>
  <c r="ER161" i="4"/>
  <c r="EX754" i="4"/>
  <c r="EM180" i="2"/>
  <c r="EM56" i="2"/>
  <c r="EM151" i="2"/>
  <c r="EM158" i="2"/>
  <c r="EX62" i="4"/>
  <c r="EX72" i="4"/>
  <c r="EX914" i="4"/>
  <c r="EY872" i="4"/>
  <c r="EF108" i="3"/>
  <c r="EF330" i="2"/>
  <c r="EF328" i="2"/>
  <c r="Q49" i="9" s="1"/>
  <c r="EE230" i="2"/>
  <c r="EF244" i="2"/>
  <c r="EF329" i="2"/>
  <c r="AG44" i="9"/>
  <c r="EF640" i="2"/>
  <c r="EE108" i="3"/>
  <c r="EY918" i="4"/>
  <c r="EZ876" i="4"/>
  <c r="EY879" i="4"/>
  <c r="EY921" i="4" s="1"/>
  <c r="EZ889" i="4"/>
  <c r="EY931" i="4"/>
  <c r="EY894" i="4"/>
  <c r="EZ858" i="4"/>
  <c r="EY900" i="4"/>
  <c r="EY954" i="4"/>
  <c r="EZ888" i="4"/>
  <c r="EY930" i="4"/>
  <c r="EZ864" i="4"/>
  <c r="EY906" i="4"/>
  <c r="EX903" i="4"/>
  <c r="EO12" i="4"/>
  <c r="EI224" i="2"/>
  <c r="EE226" i="2"/>
  <c r="EG224" i="2"/>
  <c r="Q20" i="9"/>
  <c r="Q19" i="9"/>
  <c r="EX6" i="4"/>
  <c r="EV160" i="4"/>
  <c r="EV155" i="4"/>
  <c r="FA58" i="4"/>
  <c r="FA68" i="4"/>
  <c r="EX956" i="4"/>
  <c r="EX957" i="4" s="1"/>
  <c r="EY860" i="4"/>
  <c r="EX902" i="4"/>
  <c r="EX896" i="4"/>
  <c r="EX873" i="4"/>
  <c r="EX915" i="4" s="1"/>
  <c r="EF365" i="2"/>
  <c r="Q17" i="9"/>
  <c r="EF366" i="2"/>
  <c r="EQ8" i="4"/>
  <c r="EL617" i="2"/>
  <c r="EL61" i="2"/>
  <c r="EL159" i="2"/>
  <c r="EK60" i="2"/>
  <c r="EL55" i="2"/>
  <c r="EL152" i="2"/>
  <c r="EY70" i="4"/>
  <c r="EY51" i="4"/>
  <c r="EY60" i="4"/>
  <c r="FA49" i="4"/>
  <c r="EE349" i="2"/>
  <c r="EF225" i="3"/>
  <c r="EF221" i="2"/>
  <c r="EK160" i="2"/>
  <c r="EK171" i="2"/>
  <c r="EK153" i="2"/>
  <c r="EK69" i="2"/>
  <c r="EM171" i="2"/>
  <c r="EX879" i="4"/>
  <c r="EX921" i="4" s="1"/>
  <c r="EY779" i="4"/>
  <c r="EZ751" i="4"/>
  <c r="EY936" i="4"/>
  <c r="ES72" i="2"/>
  <c r="ES12" i="4" s="1"/>
  <c r="ES8" i="4"/>
  <c r="EW897" i="4"/>
  <c r="EX897" i="4" l="1"/>
  <c r="FA889" i="4"/>
  <c r="FA931" i="4" s="1"/>
  <c r="EZ931" i="4"/>
  <c r="FA871" i="4"/>
  <c r="FA913" i="4" s="1"/>
  <c r="EZ913" i="4"/>
  <c r="EL180" i="2"/>
  <c r="EK55" i="2"/>
  <c r="EL151" i="2"/>
  <c r="EL158" i="2"/>
  <c r="EL56" i="2"/>
  <c r="EZ930" i="4"/>
  <c r="FA888" i="4"/>
  <c r="EE640" i="2"/>
  <c r="EE328" i="2"/>
  <c r="EZ872" i="4"/>
  <c r="EZ873" i="4" s="1"/>
  <c r="EZ915" i="4" s="1"/>
  <c r="EY914" i="4"/>
  <c r="EE345" i="2"/>
  <c r="EZ753" i="4"/>
  <c r="EY938" i="4"/>
  <c r="EY781" i="4"/>
  <c r="EZ907" i="4"/>
  <c r="FA865" i="4"/>
  <c r="FA907" i="4" s="1"/>
  <c r="EZ895" i="4"/>
  <c r="EZ901" i="4"/>
  <c r="EZ955" i="4"/>
  <c r="FA859" i="4"/>
  <c r="EF629" i="2"/>
  <c r="EF631" i="2" s="1"/>
  <c r="EE244" i="2"/>
  <c r="EE629" i="2" s="1"/>
  <c r="EE631" i="2" s="1"/>
  <c r="EF264" i="2"/>
  <c r="AG48" i="9"/>
  <c r="EY150" i="4"/>
  <c r="EY154" i="4"/>
  <c r="EZ884" i="4"/>
  <c r="EZ885" i="4" s="1"/>
  <c r="EZ927" i="4" s="1"/>
  <c r="EY926" i="4"/>
  <c r="EN68" i="2"/>
  <c r="EO69" i="2"/>
  <c r="EO153" i="2"/>
  <c r="EO60" i="2"/>
  <c r="EO160" i="2"/>
  <c r="FA883" i="4"/>
  <c r="FA925" i="4" s="1"/>
  <c r="EZ925" i="4"/>
  <c r="EY902" i="4"/>
  <c r="EZ860" i="4"/>
  <c r="EZ861" i="4" s="1"/>
  <c r="EY956" i="4"/>
  <c r="EY957" i="4" s="1"/>
  <c r="EY896" i="4"/>
  <c r="EY782" i="4"/>
  <c r="EY939" i="4"/>
  <c r="EZ918" i="4"/>
  <c r="FA876" i="4"/>
  <c r="Q48" i="9"/>
  <c r="EE330" i="2"/>
  <c r="EX782" i="4"/>
  <c r="EX939" i="4"/>
  <c r="EZ890" i="4"/>
  <c r="EZ891" i="4" s="1"/>
  <c r="EZ933" i="4" s="1"/>
  <c r="EY932" i="4"/>
  <c r="EY908" i="4"/>
  <c r="EZ866" i="4"/>
  <c r="EZ919" i="4"/>
  <c r="FA877" i="4"/>
  <c r="FA919" i="4" s="1"/>
  <c r="EE329" i="2"/>
  <c r="Q14" i="9"/>
  <c r="Q47" i="9"/>
  <c r="Q15" i="9"/>
  <c r="EZ894" i="4"/>
  <c r="EZ954" i="4"/>
  <c r="FA858" i="4"/>
  <c r="EZ900" i="4"/>
  <c r="EI109" i="3"/>
  <c r="EG109" i="3"/>
  <c r="EG110" i="3" s="1"/>
  <c r="EZ780" i="4"/>
  <c r="FA752" i="4"/>
  <c r="EZ937" i="4"/>
  <c r="EW154" i="4"/>
  <c r="EW150" i="4"/>
  <c r="EX149" i="4"/>
  <c r="EX150" i="4" s="1"/>
  <c r="EZ139" i="4"/>
  <c r="FA140" i="4"/>
  <c r="EZ912" i="4"/>
  <c r="FA870" i="4"/>
  <c r="EE221" i="2"/>
  <c r="EF222" i="2"/>
  <c r="EE222" i="2" s="1"/>
  <c r="EE355" i="2"/>
  <c r="EE225" i="3"/>
  <c r="ER72" i="2"/>
  <c r="ER8" i="4"/>
  <c r="EP617" i="2"/>
  <c r="EP55" i="2"/>
  <c r="EP159" i="2"/>
  <c r="EP61" i="2"/>
  <c r="EP152" i="2"/>
  <c r="EN176" i="2"/>
  <c r="EN161" i="2"/>
  <c r="EN4" i="3"/>
  <c r="EN10" i="3" s="1"/>
  <c r="EN154" i="2"/>
  <c r="EN73" i="2"/>
  <c r="EN172" i="2"/>
  <c r="EN12" i="4"/>
  <c r="EP172" i="2"/>
  <c r="EF224" i="3"/>
  <c r="Q46" i="9"/>
  <c r="ET7" i="4"/>
  <c r="ET161" i="4"/>
  <c r="EU160" i="4"/>
  <c r="EZ936" i="4"/>
  <c r="EZ754" i="4"/>
  <c r="FA751" i="4"/>
  <c r="EZ779" i="4"/>
  <c r="EK617" i="2"/>
  <c r="EK61" i="2"/>
  <c r="EK159" i="2"/>
  <c r="EK152" i="2"/>
  <c r="EK170" i="2"/>
  <c r="EM170" i="2"/>
  <c r="FA60" i="4"/>
  <c r="FA70" i="4"/>
  <c r="EV161" i="4"/>
  <c r="EV7" i="4"/>
  <c r="EZ906" i="4"/>
  <c r="FA864" i="4"/>
  <c r="FA906" i="4" s="1"/>
  <c r="ES154" i="2"/>
  <c r="ES178" i="2"/>
  <c r="ES4" i="3"/>
  <c r="ES10" i="3" s="1"/>
  <c r="ES73" i="2"/>
  <c r="ES68" i="2"/>
  <c r="ES161" i="2"/>
  <c r="FA51" i="4"/>
  <c r="EY72" i="4"/>
  <c r="EY62" i="4"/>
  <c r="EY6" i="4"/>
  <c r="FA6" i="4" s="1"/>
  <c r="EY861" i="4"/>
  <c r="EY873" i="4"/>
  <c r="EY915" i="4" s="1"/>
  <c r="EZ924" i="4"/>
  <c r="FA882" i="4"/>
  <c r="EZ878" i="4"/>
  <c r="EZ879" i="4" s="1"/>
  <c r="EZ921" i="4" s="1"/>
  <c r="EY920" i="4"/>
  <c r="AG56" i="9" l="1"/>
  <c r="AG47" i="9"/>
  <c r="EF634" i="2"/>
  <c r="EF636" i="2" s="1"/>
  <c r="EF639" i="2" s="1"/>
  <c r="EF642" i="2" s="1"/>
  <c r="EF644" i="2" s="1"/>
  <c r="EF346" i="2" s="1"/>
  <c r="EE264" i="2"/>
  <c r="EF307" i="2"/>
  <c r="EF343" i="2"/>
  <c r="Q44" i="9" s="1"/>
  <c r="EK169" i="2"/>
  <c r="EK158" i="2"/>
  <c r="EK151" i="2"/>
  <c r="EK56" i="2"/>
  <c r="EM169" i="2"/>
  <c r="EZ903" i="4"/>
  <c r="FA872" i="4"/>
  <c r="FA914" i="4" s="1"/>
  <c r="EZ914" i="4"/>
  <c r="FA62" i="4"/>
  <c r="FA72" i="4"/>
  <c r="EQ72" i="2"/>
  <c r="ER4" i="3"/>
  <c r="ER10" i="3" s="1"/>
  <c r="ER73" i="2"/>
  <c r="ER178" i="2"/>
  <c r="EQ178" i="2" s="1"/>
  <c r="ER154" i="2"/>
  <c r="ER68" i="2"/>
  <c r="ER161" i="2"/>
  <c r="EP176" i="2"/>
  <c r="EZ956" i="4"/>
  <c r="EZ957" i="4" s="1"/>
  <c r="FA860" i="4"/>
  <c r="EZ902" i="4"/>
  <c r="EZ896" i="4"/>
  <c r="EN160" i="2"/>
  <c r="EN171" i="2"/>
  <c r="EN153" i="2"/>
  <c r="EN69" i="2"/>
  <c r="EP171" i="2"/>
  <c r="EK180" i="2"/>
  <c r="FA878" i="4"/>
  <c r="FA920" i="4" s="1"/>
  <c r="EZ920" i="4"/>
  <c r="FA924" i="4"/>
  <c r="EU7" i="4"/>
  <c r="EU161" i="4"/>
  <c r="FA780" i="4"/>
  <c r="FA937" i="4"/>
  <c r="EZ140" i="4"/>
  <c r="EZ149" i="4"/>
  <c r="EG75" i="2"/>
  <c r="EG17" i="3"/>
  <c r="FA918" i="4"/>
  <c r="FA930" i="4"/>
  <c r="EW155" i="4"/>
  <c r="EW160" i="4"/>
  <c r="EX154" i="4"/>
  <c r="EX155" i="4" s="1"/>
  <c r="FA866" i="4"/>
  <c r="FA908" i="4" s="1"/>
  <c r="EZ908" i="4"/>
  <c r="EO617" i="2"/>
  <c r="EO159" i="2"/>
  <c r="EO55" i="2"/>
  <c r="EN60" i="2"/>
  <c r="EO152" i="2"/>
  <c r="EO61" i="2"/>
  <c r="EV72" i="2"/>
  <c r="EV12" i="4" s="1"/>
  <c r="EV8" i="4"/>
  <c r="ES160" i="2"/>
  <c r="ES69" i="2"/>
  <c r="ES60" i="2"/>
  <c r="ES153" i="2"/>
  <c r="EH109" i="3"/>
  <c r="EH110" i="3" s="1"/>
  <c r="EH17" i="3" s="1"/>
  <c r="EI110" i="3"/>
  <c r="EZ932" i="4"/>
  <c r="FA890" i="4"/>
  <c r="FA932" i="4" s="1"/>
  <c r="EZ926" i="4"/>
  <c r="FA884" i="4"/>
  <c r="FA926" i="4" s="1"/>
  <c r="FA901" i="4"/>
  <c r="FA895" i="4"/>
  <c r="FA955" i="4"/>
  <c r="EZ938" i="4"/>
  <c r="FA753" i="4"/>
  <c r="EZ781" i="4"/>
  <c r="ET8" i="4"/>
  <c r="ER12" i="4"/>
  <c r="EY897" i="4"/>
  <c r="EY903" i="4"/>
  <c r="FA779" i="4"/>
  <c r="FA936" i="4"/>
  <c r="EG362" i="2"/>
  <c r="EE359" i="2"/>
  <c r="EF355" i="2"/>
  <c r="EY155" i="4"/>
  <c r="EY160" i="4"/>
  <c r="EZ867" i="4"/>
  <c r="EZ939" i="4"/>
  <c r="EZ782" i="4"/>
  <c r="EP180" i="2"/>
  <c r="EP151" i="2"/>
  <c r="EP158" i="2"/>
  <c r="EP56" i="2"/>
  <c r="FA873" i="4"/>
  <c r="FA915" i="4" s="1"/>
  <c r="FA912" i="4"/>
  <c r="FA954" i="4"/>
  <c r="FA894" i="4"/>
  <c r="FA900" i="4"/>
  <c r="FA879" i="4" l="1"/>
  <c r="FA921" i="4" s="1"/>
  <c r="FA885" i="4"/>
  <c r="FA927" i="4" s="1"/>
  <c r="FA902" i="4"/>
  <c r="FA896" i="4"/>
  <c r="FA956" i="4"/>
  <c r="FA957" i="4" s="1"/>
  <c r="EF324" i="2"/>
  <c r="EE307" i="2"/>
  <c r="EE324" i="2" s="1"/>
  <c r="EE634" i="2"/>
  <c r="EE636" i="2" s="1"/>
  <c r="EE639" i="2" s="1"/>
  <c r="EE642" i="2" s="1"/>
  <c r="EE644" i="2" s="1"/>
  <c r="EE346" i="2" s="1"/>
  <c r="EE343" i="2"/>
  <c r="EN617" i="2"/>
  <c r="EN170" i="2"/>
  <c r="EN152" i="2"/>
  <c r="EN61" i="2"/>
  <c r="EN159" i="2"/>
  <c r="EP170" i="2"/>
  <c r="EN55" i="2"/>
  <c r="EO56" i="2"/>
  <c r="EO151" i="2"/>
  <c r="EO180" i="2"/>
  <c r="EO158" i="2"/>
  <c r="EZ909" i="4"/>
  <c r="FA867" i="4"/>
  <c r="FA909" i="4" s="1"/>
  <c r="EG313" i="2"/>
  <c r="EG312" i="2" s="1"/>
  <c r="ES617" i="2"/>
  <c r="ES61" i="2"/>
  <c r="ES159" i="2"/>
  <c r="ES55" i="2"/>
  <c r="ES152" i="2"/>
  <c r="EG35" i="2"/>
  <c r="EG34" i="2" s="1"/>
  <c r="EG74" i="2"/>
  <c r="EG181" i="2"/>
  <c r="EY7" i="4"/>
  <c r="EY161" i="4"/>
  <c r="EV4" i="3"/>
  <c r="EV10" i="3" s="1"/>
  <c r="EV154" i="2"/>
  <c r="EV178" i="2"/>
  <c r="EV68" i="2"/>
  <c r="EV161" i="2"/>
  <c r="EV73" i="2"/>
  <c r="EG361" i="2"/>
  <c r="EE233" i="3"/>
  <c r="EF233" i="3" s="1"/>
  <c r="FA781" i="4"/>
  <c r="FA938" i="4"/>
  <c r="FA891" i="4"/>
  <c r="FA933" i="4" s="1"/>
  <c r="EU72" i="2"/>
  <c r="EU12" i="4" s="1"/>
  <c r="EU8" i="4"/>
  <c r="FA861" i="4"/>
  <c r="FA754" i="4"/>
  <c r="ER160" i="2"/>
  <c r="ER69" i="2"/>
  <c r="ER153" i="2"/>
  <c r="EQ68" i="2"/>
  <c r="ER60" i="2"/>
  <c r="EZ897" i="4"/>
  <c r="EI75" i="2"/>
  <c r="EI17" i="3"/>
  <c r="EZ150" i="4"/>
  <c r="EZ154" i="4"/>
  <c r="FA149" i="4"/>
  <c r="FA150" i="4" s="1"/>
  <c r="EW7" i="4"/>
  <c r="EW161" i="4"/>
  <c r="EX160" i="4"/>
  <c r="EQ4" i="3"/>
  <c r="EQ10" i="3" s="1"/>
  <c r="EQ172" i="2"/>
  <c r="EQ154" i="2"/>
  <c r="EQ161" i="2"/>
  <c r="EQ73" i="2"/>
  <c r="EQ176" i="2"/>
  <c r="EQ12" i="4"/>
  <c r="ES172" i="2"/>
  <c r="EN56" i="2" l="1"/>
  <c r="EN151" i="2"/>
  <c r="EN169" i="2"/>
  <c r="EN158" i="2"/>
  <c r="EP169" i="2"/>
  <c r="ER617" i="2"/>
  <c r="ER152" i="2"/>
  <c r="ER55" i="2"/>
  <c r="ER61" i="2"/>
  <c r="EQ60" i="2"/>
  <c r="ER159" i="2"/>
  <c r="EG42" i="2"/>
  <c r="EG53" i="2" s="1"/>
  <c r="EG43" i="2" s="1"/>
  <c r="EY72" i="2"/>
  <c r="EY12" i="4" s="1"/>
  <c r="EY8" i="4"/>
  <c r="EN180" i="2"/>
  <c r="EW8" i="4"/>
  <c r="FA939" i="4"/>
  <c r="FA782" i="4"/>
  <c r="EG310" i="2"/>
  <c r="EV160" i="2"/>
  <c r="EV60" i="2"/>
  <c r="EV153" i="2"/>
  <c r="EV69" i="2"/>
  <c r="ES180" i="2"/>
  <c r="ES151" i="2"/>
  <c r="ES158" i="2"/>
  <c r="ES56" i="2"/>
  <c r="EI74" i="2"/>
  <c r="EI35" i="2"/>
  <c r="EI181" i="2"/>
  <c r="EH75" i="2"/>
  <c r="ET72" i="2"/>
  <c r="EU161" i="2"/>
  <c r="EU73" i="2"/>
  <c r="EU154" i="2"/>
  <c r="EU68" i="2"/>
  <c r="EU4" i="3"/>
  <c r="EU10" i="3" s="1"/>
  <c r="EU178" i="2"/>
  <c r="ET178" i="2" s="1"/>
  <c r="ES176" i="2"/>
  <c r="EZ155" i="4"/>
  <c r="EZ160" i="4"/>
  <c r="FA154" i="4"/>
  <c r="FA155" i="4" s="1"/>
  <c r="EG79" i="2"/>
  <c r="EG331" i="2"/>
  <c r="EQ171" i="2"/>
  <c r="EQ153" i="2"/>
  <c r="EQ160" i="2"/>
  <c r="EQ69" i="2"/>
  <c r="ES171" i="2"/>
  <c r="FA897" i="4"/>
  <c r="FA903" i="4"/>
  <c r="EX161" i="4"/>
  <c r="EX7" i="4"/>
  <c r="ET154" i="2" l="1"/>
  <c r="ET161" i="2"/>
  <c r="ET172" i="2"/>
  <c r="ET176" i="2"/>
  <c r="ET73" i="2"/>
  <c r="ET4" i="3"/>
  <c r="ET10" i="3" s="1"/>
  <c r="ET12" i="4"/>
  <c r="EV172" i="2"/>
  <c r="EH181" i="2"/>
  <c r="EH74" i="2"/>
  <c r="EI331" i="2"/>
  <c r="EI79" i="2"/>
  <c r="ER56" i="2"/>
  <c r="ER158" i="2"/>
  <c r="ER151" i="2"/>
  <c r="ER180" i="2"/>
  <c r="EQ55" i="2"/>
  <c r="EU60" i="2"/>
  <c r="EU160" i="2"/>
  <c r="EU153" i="2"/>
  <c r="EU69" i="2"/>
  <c r="ET68" i="2"/>
  <c r="EY4" i="3"/>
  <c r="EY10" i="3" s="1"/>
  <c r="EY178" i="2"/>
  <c r="EY73" i="2"/>
  <c r="EY68" i="2"/>
  <c r="EY154" i="2"/>
  <c r="EY161" i="2"/>
  <c r="EV617" i="2"/>
  <c r="EV152" i="2"/>
  <c r="EV61" i="2"/>
  <c r="EV159" i="2"/>
  <c r="EV55" i="2"/>
  <c r="EQ617" i="2"/>
  <c r="EQ61" i="2"/>
  <c r="EQ159" i="2"/>
  <c r="EQ152" i="2"/>
  <c r="EQ170" i="2"/>
  <c r="ES170" i="2"/>
  <c r="EZ161" i="4"/>
  <c r="EZ7" i="4"/>
  <c r="FA160" i="4"/>
  <c r="EI34" i="2"/>
  <c r="EH35" i="2"/>
  <c r="EX72" i="2"/>
  <c r="EX12" i="4" s="1"/>
  <c r="EX8" i="4"/>
  <c r="EG151" i="3"/>
  <c r="EG80" i="2"/>
  <c r="EG135" i="3"/>
  <c r="EG137" i="3" s="1"/>
  <c r="EZ8" i="4" l="1"/>
  <c r="EQ180" i="2"/>
  <c r="EY69" i="2"/>
  <c r="EY60" i="2"/>
  <c r="EY160" i="2"/>
  <c r="EY153" i="2"/>
  <c r="EV180" i="2"/>
  <c r="EV151" i="2"/>
  <c r="EV158" i="2"/>
  <c r="EV56" i="2"/>
  <c r="EH331" i="2"/>
  <c r="EW72" i="2"/>
  <c r="EX178" i="2"/>
  <c r="EW178" i="2" s="1"/>
  <c r="EX154" i="2"/>
  <c r="EX4" i="3"/>
  <c r="EX10" i="3" s="1"/>
  <c r="EX68" i="2"/>
  <c r="EX161" i="2"/>
  <c r="EX73" i="2"/>
  <c r="EV176" i="2"/>
  <c r="ET69" i="2"/>
  <c r="ET153" i="2"/>
  <c r="ET171" i="2"/>
  <c r="ET160" i="2"/>
  <c r="EV171" i="2"/>
  <c r="EG618" i="2"/>
  <c r="EG183" i="2"/>
  <c r="EG184" i="2" s="1"/>
  <c r="EG188" i="2" s="1"/>
  <c r="EG81" i="2"/>
  <c r="EI80" i="2"/>
  <c r="EI84" i="2" s="1"/>
  <c r="EI151" i="3"/>
  <c r="EH79" i="2"/>
  <c r="EI135" i="3"/>
  <c r="EI137" i="3" s="1"/>
  <c r="EG148" i="3"/>
  <c r="EG152" i="3"/>
  <c r="EH150" i="3" s="1"/>
  <c r="EU617" i="2"/>
  <c r="ET60" i="2"/>
  <c r="EU152" i="2"/>
  <c r="EU159" i="2"/>
  <c r="EU61" i="2"/>
  <c r="EU55" i="2"/>
  <c r="EH34" i="2"/>
  <c r="EI42" i="2"/>
  <c r="EG84" i="2"/>
  <c r="FA161" i="4"/>
  <c r="FA7" i="4"/>
  <c r="EQ56" i="2"/>
  <c r="EQ151" i="2"/>
  <c r="EQ158" i="2"/>
  <c r="EQ169" i="2"/>
  <c r="ES169" i="2"/>
  <c r="EY617" i="2" l="1"/>
  <c r="EY55" i="2"/>
  <c r="EY159" i="2"/>
  <c r="EY61" i="2"/>
  <c r="EY152" i="2"/>
  <c r="EU56" i="2"/>
  <c r="EU158" i="2"/>
  <c r="EU151" i="2"/>
  <c r="ET55" i="2"/>
  <c r="EU180" i="2"/>
  <c r="EH42" i="2"/>
  <c r="EH53" i="2" s="1"/>
  <c r="EI53" i="2"/>
  <c r="EI43" i="2" s="1"/>
  <c r="EH43" i="2" s="1"/>
  <c r="EW176" i="2"/>
  <c r="EW73" i="2"/>
  <c r="EW4" i="3"/>
  <c r="EW10" i="3" s="1"/>
  <c r="EW172" i="2"/>
  <c r="EW154" i="2"/>
  <c r="EW161" i="2"/>
  <c r="EW12" i="4"/>
  <c r="EY172" i="2"/>
  <c r="EI148" i="3"/>
  <c r="EI152" i="3"/>
  <c r="EG620" i="2"/>
  <c r="EG619" i="2"/>
  <c r="EG174" i="2"/>
  <c r="EG155" i="2"/>
  <c r="EG10" i="2"/>
  <c r="EG11" i="2" s="1"/>
  <c r="EG90" i="2"/>
  <c r="EG163" i="2"/>
  <c r="EG115" i="2"/>
  <c r="EG219" i="2"/>
  <c r="EG187" i="2"/>
  <c r="EG20" i="2"/>
  <c r="EH151" i="3"/>
  <c r="EH148" i="3" s="1"/>
  <c r="EH135" i="3"/>
  <c r="EH137" i="3" s="1"/>
  <c r="EX60" i="2"/>
  <c r="EW68" i="2"/>
  <c r="EX153" i="2"/>
  <c r="EX69" i="2"/>
  <c r="EX160" i="2"/>
  <c r="EH84" i="2"/>
  <c r="EI10" i="2"/>
  <c r="EI11" i="2" s="1"/>
  <c r="EI90" i="2"/>
  <c r="EI115" i="2"/>
  <c r="EI155" i="2"/>
  <c r="EI163" i="2"/>
  <c r="ET617" i="2"/>
  <c r="ET61" i="2"/>
  <c r="ET152" i="2"/>
  <c r="ET159" i="2"/>
  <c r="ET170" i="2"/>
  <c r="EV170" i="2"/>
  <c r="FA72" i="2"/>
  <c r="FA12" i="4" s="1"/>
  <c r="FA8" i="4"/>
  <c r="EI618" i="2"/>
  <c r="EH80" i="2"/>
  <c r="EI81" i="2"/>
  <c r="EI183" i="2"/>
  <c r="EG621" i="2" l="1"/>
  <c r="EG622" i="2" s="1"/>
  <c r="EH152" i="3"/>
  <c r="EL150" i="3"/>
  <c r="EJ150" i="3"/>
  <c r="ET56" i="2"/>
  <c r="ET151" i="2"/>
  <c r="ET169" i="2"/>
  <c r="ET158" i="2"/>
  <c r="EV169" i="2"/>
  <c r="EG162" i="2"/>
  <c r="EG209" i="2"/>
  <c r="EG5" i="3"/>
  <c r="EG11" i="3" s="1"/>
  <c r="EG91" i="2"/>
  <c r="EG202" i="3"/>
  <c r="EG156" i="2"/>
  <c r="EG344" i="2"/>
  <c r="EG173" i="2"/>
  <c r="EG147" i="2"/>
  <c r="EH155" i="2"/>
  <c r="EH10" i="2"/>
  <c r="EH11" i="2" s="1"/>
  <c r="EH163" i="2"/>
  <c r="EH174" i="2"/>
  <c r="EW69" i="2"/>
  <c r="EW160" i="2"/>
  <c r="EW171" i="2"/>
  <c r="EW153" i="2"/>
  <c r="EY171" i="2"/>
  <c r="ET180" i="2"/>
  <c r="EH183" i="2"/>
  <c r="EI184" i="2"/>
  <c r="EY180" i="2"/>
  <c r="EY151" i="2"/>
  <c r="EY158" i="2"/>
  <c r="EY56" i="2"/>
  <c r="EI619" i="2"/>
  <c r="EI620" i="2"/>
  <c r="FA154" i="2"/>
  <c r="FA178" i="2"/>
  <c r="EZ178" i="2" s="1"/>
  <c r="FA68" i="2"/>
  <c r="EZ72" i="2"/>
  <c r="FA4" i="3"/>
  <c r="FA10" i="3" s="1"/>
  <c r="FA73" i="2"/>
  <c r="FA161" i="2"/>
  <c r="EY176" i="2"/>
  <c r="EH618" i="2"/>
  <c r="EH81" i="2"/>
  <c r="EI139" i="2"/>
  <c r="EH115" i="2"/>
  <c r="EH13" i="2" s="1"/>
  <c r="EH14" i="2" s="1"/>
  <c r="EI13" i="2"/>
  <c r="EI14" i="2" s="1"/>
  <c r="EG222" i="3"/>
  <c r="EG27" i="2"/>
  <c r="EI27" i="2"/>
  <c r="EX617" i="2"/>
  <c r="EX159" i="2"/>
  <c r="EW60" i="2"/>
  <c r="EX55" i="2"/>
  <c r="EX152" i="2"/>
  <c r="EX61" i="2"/>
  <c r="EG139" i="2"/>
  <c r="EG13" i="2"/>
  <c r="EG14" i="2" s="1"/>
  <c r="EI91" i="2"/>
  <c r="EI5" i="3"/>
  <c r="EI11" i="3" s="1"/>
  <c r="EH90" i="2"/>
  <c r="EI344" i="2"/>
  <c r="EI162" i="2"/>
  <c r="EI156" i="2"/>
  <c r="EI202" i="3"/>
  <c r="EI147" i="2"/>
  <c r="EI621" i="2" l="1"/>
  <c r="EI622" i="2" s="1"/>
  <c r="EH91" i="2"/>
  <c r="EG348" i="2"/>
  <c r="G18" i="488"/>
  <c r="G20" i="488" s="1"/>
  <c r="EG214" i="2"/>
  <c r="EG216" i="2" s="1"/>
  <c r="EG144" i="2"/>
  <c r="EG319" i="2" s="1"/>
  <c r="EG320" i="2" s="1"/>
  <c r="EG140" i="2"/>
  <c r="EG141" i="2" s="1"/>
  <c r="EG143" i="2"/>
  <c r="EX56" i="2"/>
  <c r="EX151" i="2"/>
  <c r="EX158" i="2"/>
  <c r="EX180" i="2"/>
  <c r="EW55" i="2"/>
  <c r="EI188" i="2"/>
  <c r="EH184" i="2"/>
  <c r="EW617" i="2"/>
  <c r="EW61" i="2"/>
  <c r="EW152" i="2"/>
  <c r="EW170" i="2"/>
  <c r="EW159" i="2"/>
  <c r="EY170" i="2"/>
  <c r="EH139" i="2"/>
  <c r="EI140" i="2"/>
  <c r="EI143" i="2"/>
  <c r="EH619" i="2"/>
  <c r="EH620" i="2"/>
  <c r="EZ154" i="2"/>
  <c r="EZ4" i="3"/>
  <c r="EZ10" i="3" s="1"/>
  <c r="EZ176" i="2"/>
  <c r="EZ161" i="2"/>
  <c r="EZ73" i="2"/>
  <c r="EZ172" i="2"/>
  <c r="EZ12" i="4"/>
  <c r="FA153" i="2"/>
  <c r="FA69" i="2"/>
  <c r="EZ68" i="2"/>
  <c r="FA60" i="2"/>
  <c r="FA160" i="2"/>
  <c r="EH156" i="2"/>
  <c r="EH162" i="2"/>
  <c r="EH173" i="2"/>
  <c r="EH202" i="3"/>
  <c r="EH5" i="3"/>
  <c r="EH11" i="3" s="1"/>
  <c r="EH147" i="2"/>
  <c r="EH222" i="3"/>
  <c r="EH348" i="2" s="1"/>
  <c r="EH27" i="2"/>
  <c r="EH621" i="2" l="1"/>
  <c r="EH622" i="2" s="1"/>
  <c r="EH22" i="2"/>
  <c r="EG22" i="2"/>
  <c r="EI352" i="2"/>
  <c r="EI24" i="2" s="1"/>
  <c r="EG349" i="2"/>
  <c r="EI348" i="2"/>
  <c r="EG322" i="2"/>
  <c r="EG327" i="2" s="1"/>
  <c r="EG25" i="2"/>
  <c r="EG625" i="2"/>
  <c r="EG627" i="2" s="1"/>
  <c r="EI141" i="2"/>
  <c r="EH140" i="2"/>
  <c r="EH141" i="2" s="1"/>
  <c r="EI222" i="3"/>
  <c r="EW56" i="2"/>
  <c r="EW151" i="2"/>
  <c r="EW169" i="2"/>
  <c r="EW158" i="2"/>
  <c r="EY169" i="2"/>
  <c r="EW180" i="2"/>
  <c r="EG230" i="2"/>
  <c r="EG345" i="2" s="1"/>
  <c r="EG226" i="2"/>
  <c r="EH224" i="2" s="1"/>
  <c r="FA617" i="2"/>
  <c r="FA152" i="2"/>
  <c r="FA159" i="2"/>
  <c r="FA61" i="2"/>
  <c r="EZ60" i="2"/>
  <c r="FA55" i="2"/>
  <c r="EZ153" i="2"/>
  <c r="EZ69" i="2"/>
  <c r="EZ171" i="2"/>
  <c r="EZ160" i="2"/>
  <c r="EG146" i="2"/>
  <c r="EH142" i="2" s="1"/>
  <c r="EH143" i="2" s="1"/>
  <c r="EH344" i="2"/>
  <c r="EI219" i="2"/>
  <c r="EI20" i="2"/>
  <c r="EH188" i="2"/>
  <c r="EI187" i="2"/>
  <c r="EH187" i="2" s="1"/>
  <c r="EG365" i="2" l="1"/>
  <c r="EG366" i="2"/>
  <c r="EG224" i="3" s="1"/>
  <c r="EI22" i="2"/>
  <c r="EI349" i="2"/>
  <c r="EH365" i="2"/>
  <c r="EH366" i="2"/>
  <c r="EH224" i="3" s="1"/>
  <c r="EG355" i="2"/>
  <c r="EI209" i="2" s="1"/>
  <c r="EG221" i="2"/>
  <c r="EG222" i="2" s="1"/>
  <c r="EG225" i="3"/>
  <c r="EH219" i="2"/>
  <c r="EG244" i="2"/>
  <c r="EG328" i="2"/>
  <c r="EG329" i="2"/>
  <c r="EG330" i="2"/>
  <c r="EG640" i="2"/>
  <c r="EG108" i="3"/>
  <c r="FA56" i="2"/>
  <c r="EZ55" i="2"/>
  <c r="FA158" i="2"/>
  <c r="FA180" i="2"/>
  <c r="FA151" i="2"/>
  <c r="EZ617" i="2"/>
  <c r="EZ61" i="2"/>
  <c r="EZ152" i="2"/>
  <c r="EZ159" i="2"/>
  <c r="EZ170" i="2"/>
  <c r="EH20" i="2"/>
  <c r="EI214" i="2" l="1"/>
  <c r="EI216" i="2" s="1"/>
  <c r="EI144" i="2"/>
  <c r="EH209" i="2"/>
  <c r="EH214" i="2" s="1"/>
  <c r="EH216" i="2" s="1"/>
  <c r="EI365" i="2"/>
  <c r="EI366" i="2"/>
  <c r="EI224" i="3" s="1"/>
  <c r="EI225" i="3"/>
  <c r="EH349" i="2"/>
  <c r="EI221" i="2"/>
  <c r="EZ180" i="2"/>
  <c r="EG359" i="2"/>
  <c r="EH362" i="2"/>
  <c r="EI362" i="2" s="1"/>
  <c r="EI313" i="2" s="1"/>
  <c r="EZ169" i="2"/>
  <c r="EZ151" i="2"/>
  <c r="EZ56" i="2"/>
  <c r="EZ158" i="2"/>
  <c r="EG629" i="2"/>
  <c r="EG631" i="2" s="1"/>
  <c r="EG264" i="2"/>
  <c r="EH221" i="2" l="1"/>
  <c r="EI222" i="2"/>
  <c r="EH222" i="2" s="1"/>
  <c r="EG634" i="2"/>
  <c r="EG636" i="2" s="1"/>
  <c r="EG639" i="2" s="1"/>
  <c r="EG642" i="2" s="1"/>
  <c r="EG644" i="2" s="1"/>
  <c r="EG346" i="2" s="1"/>
  <c r="EG307" i="2"/>
  <c r="EG324" i="2" s="1"/>
  <c r="EG343" i="2"/>
  <c r="EH361" i="2"/>
  <c r="EI361" i="2" s="1"/>
  <c r="EI310" i="2" s="1"/>
  <c r="EG233" i="3"/>
  <c r="EH144" i="2"/>
  <c r="EH146" i="2" s="1"/>
  <c r="EI319" i="2"/>
  <c r="EI146" i="2"/>
  <c r="EH313" i="2"/>
  <c r="EI312" i="2"/>
  <c r="EH225" i="3"/>
  <c r="EH355" i="2"/>
  <c r="EI230" i="2"/>
  <c r="EI226" i="2"/>
  <c r="EH359" i="2" l="1"/>
  <c r="EJ362" i="2"/>
  <c r="EI355" i="2"/>
  <c r="EJ313" i="2"/>
  <c r="EJ312" i="2" s="1"/>
  <c r="EH312" i="2"/>
  <c r="EH310" i="2"/>
  <c r="EI320" i="2"/>
  <c r="EJ142" i="2"/>
  <c r="EL142" i="2"/>
  <c r="EH319" i="2"/>
  <c r="EJ224" i="2"/>
  <c r="EH226" i="2"/>
  <c r="EL224" i="2"/>
  <c r="EI244" i="2"/>
  <c r="EI329" i="2"/>
  <c r="EH230" i="2"/>
  <c r="EI330" i="2"/>
  <c r="EH330" i="2" s="1"/>
  <c r="EI640" i="2"/>
  <c r="EI108" i="3"/>
  <c r="EH108" i="3"/>
  <c r="EH640" i="2" l="1"/>
  <c r="EH329" i="2"/>
  <c r="EJ109" i="3"/>
  <c r="EJ110" i="3" s="1"/>
  <c r="EL109" i="3"/>
  <c r="EH244" i="2"/>
  <c r="EH629" i="2" s="1"/>
  <c r="EH631" i="2" s="1"/>
  <c r="EI629" i="2"/>
  <c r="EI631" i="2" s="1"/>
  <c r="EI264" i="2"/>
  <c r="EH320" i="2"/>
  <c r="EI25" i="2"/>
  <c r="EI625" i="2"/>
  <c r="EI627" i="2" s="1"/>
  <c r="EI322" i="2"/>
  <c r="EI345" i="2"/>
  <c r="EH233" i="3"/>
  <c r="EI233" i="3" s="1"/>
  <c r="EJ361" i="2"/>
  <c r="EH264" i="2" l="1"/>
  <c r="EI634" i="2"/>
  <c r="EI307" i="2"/>
  <c r="EI343" i="2"/>
  <c r="EH322" i="2"/>
  <c r="EI327" i="2"/>
  <c r="EI328" i="2"/>
  <c r="EH625" i="2"/>
  <c r="EH627" i="2" s="1"/>
  <c r="EH25" i="2"/>
  <c r="EH345" i="2"/>
  <c r="EI636" i="2"/>
  <c r="EI639" i="2" s="1"/>
  <c r="EI642" i="2" s="1"/>
  <c r="EI644" i="2" s="1"/>
  <c r="EI346" i="2" s="1"/>
  <c r="EL110" i="3"/>
  <c r="EK109" i="3"/>
  <c r="EK110" i="3" s="1"/>
  <c r="EK17" i="3" s="1"/>
  <c r="EJ310" i="2"/>
  <c r="EJ17" i="3"/>
  <c r="EJ75" i="2"/>
  <c r="EJ35" i="2" l="1"/>
  <c r="EJ34" i="2" s="1"/>
  <c r="EJ181" i="2"/>
  <c r="EJ74" i="2"/>
  <c r="EH327" i="2"/>
  <c r="EH328" i="2"/>
  <c r="EH307" i="2"/>
  <c r="EH324" i="2" s="1"/>
  <c r="EI324" i="2"/>
  <c r="EL75" i="2"/>
  <c r="EL17" i="3"/>
  <c r="EH634" i="2"/>
  <c r="EH636" i="2" s="1"/>
  <c r="EH639" i="2" s="1"/>
  <c r="EH642" i="2" s="1"/>
  <c r="EH644" i="2" s="1"/>
  <c r="EH346" i="2" s="1"/>
  <c r="EH343" i="2"/>
  <c r="EJ79" i="2" l="1"/>
  <c r="EJ331" i="2"/>
  <c r="EL181" i="2"/>
  <c r="EL35" i="2"/>
  <c r="EL74" i="2"/>
  <c r="EK75" i="2"/>
  <c r="EJ42" i="2"/>
  <c r="EJ53" i="2" s="1"/>
  <c r="EJ43" i="2" s="1"/>
  <c r="EK74" i="2" l="1"/>
  <c r="EL331" i="2"/>
  <c r="EL79" i="2"/>
  <c r="EL34" i="2"/>
  <c r="EK35" i="2"/>
  <c r="EK181" i="2"/>
  <c r="EJ151" i="3"/>
  <c r="EJ135" i="3"/>
  <c r="EJ137" i="3" s="1"/>
  <c r="EJ80" i="2"/>
  <c r="EJ84" i="2" s="1"/>
  <c r="EL151" i="3" l="1"/>
  <c r="EK79" i="2"/>
  <c r="EL135" i="3"/>
  <c r="EL137" i="3" s="1"/>
  <c r="EL80" i="2"/>
  <c r="EK34" i="2"/>
  <c r="EL42" i="2"/>
  <c r="EJ81" i="2"/>
  <c r="EJ618" i="2"/>
  <c r="EJ183" i="2"/>
  <c r="EJ184" i="2" s="1"/>
  <c r="EJ188" i="2" s="1"/>
  <c r="EJ148" i="3"/>
  <c r="EJ152" i="3"/>
  <c r="EK150" i="3" s="1"/>
  <c r="EK331" i="2"/>
  <c r="EJ10" i="2"/>
  <c r="EJ11" i="2" s="1"/>
  <c r="EJ90" i="2"/>
  <c r="EJ174" i="2"/>
  <c r="EJ155" i="2"/>
  <c r="EJ115" i="2"/>
  <c r="EJ163" i="2"/>
  <c r="EL183" i="2" l="1"/>
  <c r="EL618" i="2"/>
  <c r="EK80" i="2"/>
  <c r="EL81" i="2"/>
  <c r="EJ619" i="2"/>
  <c r="EJ620" i="2"/>
  <c r="EK151" i="3"/>
  <c r="EK148" i="3" s="1"/>
  <c r="EK135" i="3"/>
  <c r="EK137" i="3" s="1"/>
  <c r="EJ139" i="2"/>
  <c r="EJ13" i="2"/>
  <c r="EJ14" i="2" s="1"/>
  <c r="EJ219" i="2"/>
  <c r="EJ187" i="2"/>
  <c r="EJ20" i="2"/>
  <c r="EL84" i="2"/>
  <c r="EJ621" i="2"/>
  <c r="EJ622" i="2" s="1"/>
  <c r="EJ173" i="2"/>
  <c r="EJ5" i="3"/>
  <c r="EJ11" i="3" s="1"/>
  <c r="EJ162" i="2"/>
  <c r="EJ209" i="2"/>
  <c r="EJ91" i="2"/>
  <c r="EJ147" i="2"/>
  <c r="EJ156" i="2"/>
  <c r="EJ202" i="3"/>
  <c r="EJ344" i="2"/>
  <c r="EJ222" i="3"/>
  <c r="EJ27" i="2"/>
  <c r="EL53" i="2"/>
  <c r="EL43" i="2" s="1"/>
  <c r="EK43" i="2" s="1"/>
  <c r="EK42" i="2"/>
  <c r="EK53" i="2" s="1"/>
  <c r="EL152" i="3"/>
  <c r="EL148" i="3"/>
  <c r="EL619" i="2" l="1"/>
  <c r="EL620" i="2"/>
  <c r="EK618" i="2"/>
  <c r="EK81" i="2"/>
  <c r="EL621" i="2"/>
  <c r="EL622" i="2" s="1"/>
  <c r="EJ144" i="2"/>
  <c r="EJ319" i="2" s="1"/>
  <c r="EJ320" i="2" s="1"/>
  <c r="EJ214" i="2"/>
  <c r="EJ216" i="2" s="1"/>
  <c r="EK183" i="2"/>
  <c r="EL184" i="2"/>
  <c r="EJ140" i="2"/>
  <c r="EJ141" i="2" s="1"/>
  <c r="EJ143" i="2"/>
  <c r="EK152" i="3"/>
  <c r="EO150" i="3"/>
  <c r="EM150" i="3"/>
  <c r="EL155" i="2"/>
  <c r="EL10" i="2"/>
  <c r="EL11" i="2" s="1"/>
  <c r="EL163" i="2"/>
  <c r="EL90" i="2"/>
  <c r="EK84" i="2"/>
  <c r="EL115" i="2"/>
  <c r="EJ348" i="2"/>
  <c r="EJ146" i="2" l="1"/>
  <c r="EK142" i="2" s="1"/>
  <c r="H18" i="488"/>
  <c r="H20" i="488" s="1"/>
  <c r="EJ322" i="2"/>
  <c r="EJ327" i="2" s="1"/>
  <c r="EJ625" i="2"/>
  <c r="EJ627" i="2" s="1"/>
  <c r="EJ25" i="2"/>
  <c r="EK10" i="2"/>
  <c r="EK11" i="2" s="1"/>
  <c r="EK163" i="2"/>
  <c r="EK174" i="2"/>
  <c r="EK155" i="2"/>
  <c r="EL5" i="3"/>
  <c r="EL11" i="3" s="1"/>
  <c r="EL156" i="2"/>
  <c r="EL162" i="2"/>
  <c r="EL147" i="2"/>
  <c r="EL91" i="2"/>
  <c r="EK91" i="2" s="1"/>
  <c r="EK90" i="2"/>
  <c r="EL344" i="2"/>
  <c r="EL202" i="3"/>
  <c r="EL27" i="2"/>
  <c r="EK184" i="2"/>
  <c r="EL188" i="2"/>
  <c r="EK619" i="2"/>
  <c r="EK621" i="2" s="1"/>
  <c r="EK622" i="2" s="1"/>
  <c r="EK620" i="2"/>
  <c r="EJ230" i="2"/>
  <c r="EJ345" i="2" s="1"/>
  <c r="EJ226" i="2"/>
  <c r="EK224" i="2" s="1"/>
  <c r="EJ349" i="2"/>
  <c r="EJ22" i="2"/>
  <c r="EK115" i="2"/>
  <c r="EK13" i="2" s="1"/>
  <c r="EK14" i="2" s="1"/>
  <c r="EL139" i="2"/>
  <c r="EL13" i="2"/>
  <c r="EL14" i="2" s="1"/>
  <c r="EJ355" i="2" l="1"/>
  <c r="EJ225" i="3"/>
  <c r="EJ221" i="2"/>
  <c r="EJ222" i="2" s="1"/>
  <c r="EL140" i="2"/>
  <c r="EK139" i="2"/>
  <c r="EK143" i="2" s="1"/>
  <c r="EL143" i="2"/>
  <c r="EK27" i="2"/>
  <c r="EK222" i="3"/>
  <c r="EJ244" i="2"/>
  <c r="EJ328" i="2"/>
  <c r="EJ329" i="2"/>
  <c r="EJ330" i="2"/>
  <c r="EJ640" i="2"/>
  <c r="EJ108" i="3"/>
  <c r="EJ365" i="2"/>
  <c r="EJ366" i="2"/>
  <c r="EJ224" i="3" s="1"/>
  <c r="EL219" i="2"/>
  <c r="EL20" i="2"/>
  <c r="EK188" i="2"/>
  <c r="EL187" i="2"/>
  <c r="EK187" i="2" s="1"/>
  <c r="EK156" i="2"/>
  <c r="EK173" i="2"/>
  <c r="EK147" i="2"/>
  <c r="EK344" i="2"/>
  <c r="EK202" i="3"/>
  <c r="EK5" i="3"/>
  <c r="EK11" i="3" s="1"/>
  <c r="EK162" i="2"/>
  <c r="EL209" i="2"/>
  <c r="EK20" i="2" l="1"/>
  <c r="EK348" i="2"/>
  <c r="EL222" i="3"/>
  <c r="EL141" i="2"/>
  <c r="EK140" i="2"/>
  <c r="EK141" i="2" s="1"/>
  <c r="EK219" i="2"/>
  <c r="EK362" i="2"/>
  <c r="EL362" i="2" s="1"/>
  <c r="EL313" i="2" s="1"/>
  <c r="EJ359" i="2"/>
  <c r="EL144" i="2"/>
  <c r="EL146" i="2" s="1"/>
  <c r="EL214" i="2"/>
  <c r="EL216" i="2" s="1"/>
  <c r="EK209" i="2"/>
  <c r="EK214" i="2" s="1"/>
  <c r="EK216" i="2" s="1"/>
  <c r="EJ629" i="2"/>
  <c r="EJ631" i="2" s="1"/>
  <c r="EJ264" i="2"/>
  <c r="EO142" i="2" l="1"/>
  <c r="EM142" i="2"/>
  <c r="EK144" i="2"/>
  <c r="EK146" i="2" s="1"/>
  <c r="EL319" i="2"/>
  <c r="EK361" i="2"/>
  <c r="EL361" i="2" s="1"/>
  <c r="EL310" i="2" s="1"/>
  <c r="EJ233" i="3"/>
  <c r="EK22" i="2"/>
  <c r="EL348" i="2"/>
  <c r="EL352" i="2"/>
  <c r="EL24" i="2" s="1"/>
  <c r="EJ634" i="2"/>
  <c r="EJ636" i="2" s="1"/>
  <c r="EJ639" i="2" s="1"/>
  <c r="EJ642" i="2" s="1"/>
  <c r="EJ644" i="2" s="1"/>
  <c r="EJ346" i="2" s="1"/>
  <c r="EJ307" i="2"/>
  <c r="EJ324" i="2" s="1"/>
  <c r="EJ343" i="2"/>
  <c r="EL312" i="2"/>
  <c r="EK313" i="2"/>
  <c r="EL230" i="2"/>
  <c r="EL226" i="2"/>
  <c r="EK365" i="2" l="1"/>
  <c r="EK366" i="2"/>
  <c r="EK224" i="3" s="1"/>
  <c r="EK312" i="2"/>
  <c r="EK310" i="2"/>
  <c r="EL320" i="2"/>
  <c r="EO224" i="2"/>
  <c r="EM224" i="2"/>
  <c r="EK226" i="2"/>
  <c r="EK319" i="2"/>
  <c r="EL244" i="2"/>
  <c r="EK230" i="2"/>
  <c r="EL640" i="2"/>
  <c r="EL329" i="2"/>
  <c r="EL330" i="2"/>
  <c r="EK330" i="2" s="1"/>
  <c r="EL108" i="3"/>
  <c r="EK108" i="3"/>
  <c r="EL349" i="2"/>
  <c r="EL22" i="2"/>
  <c r="EL365" i="2" l="1"/>
  <c r="EL366" i="2"/>
  <c r="EL224" i="3" s="1"/>
  <c r="EL225" i="3"/>
  <c r="EK349" i="2"/>
  <c r="EL221" i="2"/>
  <c r="EK329" i="2"/>
  <c r="EO109" i="3"/>
  <c r="EM109" i="3"/>
  <c r="EM110" i="3" s="1"/>
  <c r="EK640" i="2"/>
  <c r="EL264" i="2"/>
  <c r="EK244" i="2"/>
  <c r="EK629" i="2" s="1"/>
  <c r="EK631" i="2" s="1"/>
  <c r="EL629" i="2"/>
  <c r="EL631" i="2" s="1"/>
  <c r="EL25" i="2"/>
  <c r="EL625" i="2"/>
  <c r="EL627" i="2" s="1"/>
  <c r="EK320" i="2"/>
  <c r="EL322" i="2"/>
  <c r="EL345" i="2"/>
  <c r="EL327" i="2" l="1"/>
  <c r="EK322" i="2"/>
  <c r="EL328" i="2"/>
  <c r="EK25" i="2"/>
  <c r="EK625" i="2"/>
  <c r="EK627" i="2" s="1"/>
  <c r="EK345" i="2"/>
  <c r="EK355" i="2"/>
  <c r="EK225" i="3"/>
  <c r="EK221" i="2"/>
  <c r="EL222" i="2"/>
  <c r="EK222" i="2" s="1"/>
  <c r="EM17" i="3"/>
  <c r="EM75" i="2"/>
  <c r="EO110" i="3"/>
  <c r="EN109" i="3"/>
  <c r="EN110" i="3" s="1"/>
  <c r="EN17" i="3" s="1"/>
  <c r="EK264" i="2"/>
  <c r="EL307" i="2"/>
  <c r="EL634" i="2"/>
  <c r="EL636" i="2" s="1"/>
  <c r="EL639" i="2" s="1"/>
  <c r="EL642" i="2" s="1"/>
  <c r="EL644" i="2" s="1"/>
  <c r="EL346" i="2" s="1"/>
  <c r="EL343" i="2"/>
  <c r="EM74" i="2" l="1"/>
  <c r="EM181" i="2"/>
  <c r="EM35" i="2"/>
  <c r="EM34" i="2" s="1"/>
  <c r="EM362" i="2"/>
  <c r="EK359" i="2"/>
  <c r="EL355" i="2"/>
  <c r="EK307" i="2"/>
  <c r="EK324" i="2" s="1"/>
  <c r="EL324" i="2"/>
  <c r="EK634" i="2"/>
  <c r="EK636" i="2" s="1"/>
  <c r="EK639" i="2" s="1"/>
  <c r="EK642" i="2" s="1"/>
  <c r="EK644" i="2" s="1"/>
  <c r="EK346" i="2" s="1"/>
  <c r="EK343" i="2"/>
  <c r="EK327" i="2"/>
  <c r="EK328" i="2"/>
  <c r="EO75" i="2"/>
  <c r="EO17" i="3"/>
  <c r="EK233" i="3" l="1"/>
  <c r="EL233" i="3" s="1"/>
  <c r="EM361" i="2"/>
  <c r="EO74" i="2"/>
  <c r="EO181" i="2"/>
  <c r="EO35" i="2"/>
  <c r="EN75" i="2"/>
  <c r="EM313" i="2"/>
  <c r="EM312" i="2" s="1"/>
  <c r="EM42" i="2"/>
  <c r="EM53" i="2" s="1"/>
  <c r="EM43" i="2" s="1"/>
  <c r="EM331" i="2"/>
  <c r="EM79" i="2"/>
  <c r="EM151" i="3" l="1"/>
  <c r="EM135" i="3"/>
  <c r="EM137" i="3" s="1"/>
  <c r="EM80" i="2"/>
  <c r="EM84" i="2"/>
  <c r="EM310" i="2"/>
  <c r="EO34" i="2"/>
  <c r="EN35" i="2"/>
  <c r="EN181" i="2"/>
  <c r="EN74" i="2"/>
  <c r="EO331" i="2"/>
  <c r="EO79" i="2"/>
  <c r="EN34" i="2" l="1"/>
  <c r="EO42" i="2"/>
  <c r="EN331" i="2"/>
  <c r="EM90" i="2"/>
  <c r="EM115" i="2"/>
  <c r="EM174" i="2"/>
  <c r="EM10" i="2"/>
  <c r="EM11" i="2" s="1"/>
  <c r="EM155" i="2"/>
  <c r="EM163" i="2"/>
  <c r="EM183" i="2"/>
  <c r="EM184" i="2" s="1"/>
  <c r="EM188" i="2" s="1"/>
  <c r="EM618" i="2"/>
  <c r="EM81" i="2"/>
  <c r="EO151" i="3"/>
  <c r="EO80" i="2"/>
  <c r="EN79" i="2"/>
  <c r="EO135" i="3"/>
  <c r="EO137" i="3" s="1"/>
  <c r="EM152" i="3"/>
  <c r="EN150" i="3" s="1"/>
  <c r="EM148" i="3"/>
  <c r="EO148" i="3" l="1"/>
  <c r="EO152" i="3"/>
  <c r="EM139" i="2"/>
  <c r="EM13" i="2"/>
  <c r="EM14" i="2" s="1"/>
  <c r="EM209" i="2"/>
  <c r="EM5" i="3"/>
  <c r="EM11" i="3" s="1"/>
  <c r="EM202" i="3"/>
  <c r="EM173" i="2"/>
  <c r="EM156" i="2"/>
  <c r="EM147" i="2"/>
  <c r="EM162" i="2"/>
  <c r="EM344" i="2"/>
  <c r="EM91" i="2"/>
  <c r="EO618" i="2"/>
  <c r="EO183" i="2"/>
  <c r="EN80" i="2"/>
  <c r="EO81" i="2"/>
  <c r="EM27" i="2"/>
  <c r="EM222" i="3"/>
  <c r="EO84" i="2"/>
  <c r="EO53" i="2"/>
  <c r="EO43" i="2" s="1"/>
  <c r="EN43" i="2" s="1"/>
  <c r="EN42" i="2"/>
  <c r="EN53" i="2" s="1"/>
  <c r="EM620" i="2"/>
  <c r="EM621" i="2" s="1"/>
  <c r="EM622" i="2" s="1"/>
  <c r="EM619" i="2"/>
  <c r="EM20" i="2"/>
  <c r="EM219" i="2"/>
  <c r="EM187" i="2"/>
  <c r="EN151" i="3"/>
  <c r="EN148" i="3" s="1"/>
  <c r="EN135" i="3"/>
  <c r="EN137" i="3" s="1"/>
  <c r="EM348" i="2" l="1"/>
  <c r="EO619" i="2"/>
  <c r="EO620" i="2"/>
  <c r="EM140" i="2"/>
  <c r="EM141" i="2" s="1"/>
  <c r="EM143" i="2"/>
  <c r="EM144" i="2"/>
  <c r="EM319" i="2" s="1"/>
  <c r="EM320" i="2" s="1"/>
  <c r="EM214" i="2"/>
  <c r="EM216" i="2" s="1"/>
  <c r="EN618" i="2"/>
  <c r="EN81" i="2"/>
  <c r="EN152" i="3"/>
  <c r="ER150" i="3"/>
  <c r="EP150" i="3"/>
  <c r="EO155" i="2"/>
  <c r="EO90" i="2"/>
  <c r="EO10" i="2"/>
  <c r="EO11" i="2" s="1"/>
  <c r="EO163" i="2"/>
  <c r="EO115" i="2"/>
  <c r="EN84" i="2"/>
  <c r="EN183" i="2"/>
  <c r="EO184" i="2"/>
  <c r="EO621" i="2" l="1"/>
  <c r="EO622" i="2" s="1"/>
  <c r="EM322" i="2"/>
  <c r="EM327" i="2" s="1"/>
  <c r="EM25" i="2"/>
  <c r="EM625" i="2"/>
  <c r="EM627" i="2" s="1"/>
  <c r="EN184" i="2"/>
  <c r="EO188" i="2"/>
  <c r="EN619" i="2"/>
  <c r="EN620" i="2"/>
  <c r="EO27" i="2"/>
  <c r="EM230" i="2"/>
  <c r="EM226" i="2"/>
  <c r="EN224" i="2" s="1"/>
  <c r="EO344" i="2"/>
  <c r="EO5" i="3"/>
  <c r="EO11" i="3" s="1"/>
  <c r="EO156" i="2"/>
  <c r="EO147" i="2"/>
  <c r="EO91" i="2"/>
  <c r="EN91" i="2" s="1"/>
  <c r="EO162" i="2"/>
  <c r="EN90" i="2"/>
  <c r="EO202" i="3"/>
  <c r="EM22" i="2"/>
  <c r="EM349" i="2"/>
  <c r="EM146" i="2"/>
  <c r="EN142" i="2" s="1"/>
  <c r="I18" i="488"/>
  <c r="I20" i="488" s="1"/>
  <c r="EN10" i="2"/>
  <c r="EN11" i="2" s="1"/>
  <c r="EN155" i="2"/>
  <c r="EN163" i="2"/>
  <c r="EN174" i="2"/>
  <c r="EN115" i="2"/>
  <c r="EN13" i="2" s="1"/>
  <c r="EN14" i="2" s="1"/>
  <c r="EO13" i="2"/>
  <c r="EO14" i="2" s="1"/>
  <c r="EO139" i="2"/>
  <c r="EN621" i="2" l="1"/>
  <c r="EN622" i="2" s="1"/>
  <c r="EO140" i="2"/>
  <c r="EN139" i="2"/>
  <c r="EO143" i="2"/>
  <c r="EN143" i="2"/>
  <c r="EO20" i="2"/>
  <c r="EO219" i="2"/>
  <c r="EN188" i="2"/>
  <c r="EO187" i="2"/>
  <c r="EN187" i="2" s="1"/>
  <c r="EN162" i="2"/>
  <c r="EN173" i="2"/>
  <c r="EN344" i="2"/>
  <c r="EN156" i="2"/>
  <c r="EN5" i="3"/>
  <c r="EN11" i="3" s="1"/>
  <c r="EN202" i="3"/>
  <c r="EN147" i="2"/>
  <c r="EM244" i="2"/>
  <c r="EM640" i="2"/>
  <c r="EM329" i="2"/>
  <c r="EM330" i="2"/>
  <c r="EM328" i="2"/>
  <c r="EM108" i="3"/>
  <c r="EM355" i="2"/>
  <c r="EO209" i="2" s="1"/>
  <c r="EM225" i="3"/>
  <c r="EM221" i="2"/>
  <c r="EM222" i="2" s="1"/>
  <c r="EN222" i="3"/>
  <c r="EN27" i="2"/>
  <c r="EM365" i="2"/>
  <c r="EM366" i="2"/>
  <c r="EM224" i="3" s="1"/>
  <c r="EM345" i="2"/>
  <c r="EO144" i="2" l="1"/>
  <c r="EN209" i="2"/>
  <c r="EN214" i="2" s="1"/>
  <c r="EO214" i="2"/>
  <c r="EO216" i="2" s="1"/>
  <c r="EN219" i="2"/>
  <c r="EN20" i="2"/>
  <c r="EN216" i="2"/>
  <c r="EN362" i="2"/>
  <c r="EO362" i="2" s="1"/>
  <c r="EO313" i="2" s="1"/>
  <c r="EM359" i="2"/>
  <c r="EO146" i="2"/>
  <c r="EM629" i="2"/>
  <c r="EM631" i="2" s="1"/>
  <c r="EM264" i="2"/>
  <c r="EO141" i="2"/>
  <c r="EN140" i="2"/>
  <c r="EN141" i="2" s="1"/>
  <c r="EN348" i="2"/>
  <c r="EO222" i="3"/>
  <c r="EN313" i="2" l="1"/>
  <c r="EO312" i="2"/>
  <c r="ER142" i="2"/>
  <c r="EP142" i="2"/>
  <c r="EN361" i="2"/>
  <c r="EO361" i="2" s="1"/>
  <c r="EO310" i="2" s="1"/>
  <c r="EM233" i="3"/>
  <c r="EN22" i="2"/>
  <c r="EO352" i="2"/>
  <c r="EO24" i="2" s="1"/>
  <c r="EO348" i="2"/>
  <c r="EO230" i="2"/>
  <c r="EO226" i="2"/>
  <c r="EM307" i="2"/>
  <c r="EM324" i="2" s="1"/>
  <c r="EM634" i="2"/>
  <c r="EM636" i="2" s="1"/>
  <c r="EM639" i="2" s="1"/>
  <c r="EM642" i="2" s="1"/>
  <c r="EM644" i="2" s="1"/>
  <c r="EM346" i="2" s="1"/>
  <c r="EM343" i="2"/>
  <c r="EN144" i="2"/>
  <c r="EN146" i="2" s="1"/>
  <c r="EO319" i="2"/>
  <c r="ER224" i="2" l="1"/>
  <c r="EP224" i="2"/>
  <c r="EN226" i="2"/>
  <c r="EO320" i="2"/>
  <c r="EN310" i="2"/>
  <c r="EO244" i="2"/>
  <c r="EO330" i="2"/>
  <c r="EN330" i="2" s="1"/>
  <c r="EO329" i="2"/>
  <c r="EO640" i="2"/>
  <c r="EN230" i="2"/>
  <c r="EO108" i="3"/>
  <c r="EN108" i="3"/>
  <c r="EN319" i="2"/>
  <c r="EO22" i="2"/>
  <c r="EO349" i="2"/>
  <c r="EN312" i="2"/>
  <c r="EN365" i="2"/>
  <c r="EN366" i="2"/>
  <c r="EN224" i="3" s="1"/>
  <c r="EO322" i="2" l="1"/>
  <c r="EN320" i="2"/>
  <c r="EO25" i="2"/>
  <c r="EO625" i="2"/>
  <c r="EO627" i="2" s="1"/>
  <c r="EO345" i="2"/>
  <c r="EN329" i="2"/>
  <c r="EP109" i="3"/>
  <c r="EP110" i="3" s="1"/>
  <c r="ER109" i="3"/>
  <c r="EO221" i="2"/>
  <c r="EO225" i="3"/>
  <c r="EN349" i="2"/>
  <c r="EO365" i="2"/>
  <c r="EO366" i="2"/>
  <c r="EO224" i="3" s="1"/>
  <c r="EN244" i="2"/>
  <c r="EN629" i="2" s="1"/>
  <c r="EN631" i="2" s="1"/>
  <c r="EO629" i="2"/>
  <c r="EO631" i="2" s="1"/>
  <c r="EO264" i="2"/>
  <c r="EN640" i="2"/>
  <c r="EO307" i="2" l="1"/>
  <c r="EN264" i="2"/>
  <c r="EO634" i="2"/>
  <c r="EO343" i="2"/>
  <c r="EO636" i="2"/>
  <c r="EO639" i="2" s="1"/>
  <c r="EO642" i="2" s="1"/>
  <c r="EO644" i="2" s="1"/>
  <c r="EO346" i="2" s="1"/>
  <c r="EP17" i="3"/>
  <c r="EP75" i="2"/>
  <c r="EN221" i="2"/>
  <c r="EO222" i="2"/>
  <c r="EN222" i="2" s="1"/>
  <c r="EQ109" i="3"/>
  <c r="EQ110" i="3" s="1"/>
  <c r="EQ17" i="3" s="1"/>
  <c r="ER110" i="3"/>
  <c r="EN25" i="2"/>
  <c r="EN625" i="2"/>
  <c r="EN627" i="2" s="1"/>
  <c r="EN345" i="2"/>
  <c r="EN322" i="2"/>
  <c r="EO327" i="2"/>
  <c r="EO328" i="2"/>
  <c r="EN355" i="2"/>
  <c r="EN225" i="3"/>
  <c r="EN634" i="2" l="1"/>
  <c r="EN636" i="2" s="1"/>
  <c r="EN639" i="2" s="1"/>
  <c r="EN642" i="2" s="1"/>
  <c r="EN644" i="2" s="1"/>
  <c r="EN346" i="2" s="1"/>
  <c r="EN343" i="2"/>
  <c r="EP362" i="2"/>
  <c r="EN359" i="2"/>
  <c r="EO355" i="2"/>
  <c r="EN327" i="2"/>
  <c r="EN328" i="2"/>
  <c r="ER75" i="2"/>
  <c r="ER17" i="3"/>
  <c r="EP35" i="2"/>
  <c r="EP34" i="2" s="1"/>
  <c r="EP74" i="2"/>
  <c r="EP181" i="2"/>
  <c r="EN307" i="2"/>
  <c r="EN324" i="2" s="1"/>
  <c r="EO324" i="2"/>
  <c r="EP361" i="2" l="1"/>
  <c r="EN233" i="3"/>
  <c r="EO233" i="3" s="1"/>
  <c r="ER35" i="2"/>
  <c r="EQ75" i="2"/>
  <c r="ER181" i="2"/>
  <c r="ER74" i="2"/>
  <c r="EP331" i="2"/>
  <c r="EP79" i="2"/>
  <c r="EP313" i="2"/>
  <c r="EP312" i="2" s="1"/>
  <c r="EP42" i="2"/>
  <c r="EP53" i="2" s="1"/>
  <c r="EP43" i="2" s="1"/>
  <c r="EQ181" i="2" l="1"/>
  <c r="EQ74" i="2"/>
  <c r="ER79" i="2"/>
  <c r="ER331" i="2"/>
  <c r="EQ35" i="2"/>
  <c r="ER34" i="2"/>
  <c r="EP151" i="3"/>
  <c r="EP135" i="3"/>
  <c r="EP137" i="3" s="1"/>
  <c r="EP80" i="2"/>
  <c r="EP310" i="2"/>
  <c r="EQ79" i="2" l="1"/>
  <c r="ER135" i="3"/>
  <c r="ER137" i="3" s="1"/>
  <c r="ER151" i="3"/>
  <c r="ER80" i="2"/>
  <c r="EP618" i="2"/>
  <c r="EP81" i="2"/>
  <c r="EP183" i="2"/>
  <c r="EP184" i="2" s="1"/>
  <c r="EP188" i="2" s="1"/>
  <c r="EP84" i="2"/>
  <c r="EQ331" i="2"/>
  <c r="EP152" i="3"/>
  <c r="EQ150" i="3" s="1"/>
  <c r="EP148" i="3"/>
  <c r="EQ34" i="2"/>
  <c r="ER42" i="2"/>
  <c r="EQ80" i="2" l="1"/>
  <c r="ER81" i="2"/>
  <c r="ER618" i="2"/>
  <c r="ER183" i="2"/>
  <c r="EP155" i="2"/>
  <c r="EP90" i="2"/>
  <c r="EP174" i="2"/>
  <c r="EP10" i="2"/>
  <c r="EP11" i="2" s="1"/>
  <c r="EP163" i="2"/>
  <c r="EP115" i="2"/>
  <c r="ER148" i="3"/>
  <c r="ER152" i="3"/>
  <c r="ER53" i="2"/>
  <c r="ER43" i="2" s="1"/>
  <c r="EQ43" i="2" s="1"/>
  <c r="EQ42" i="2"/>
  <c r="EQ53" i="2" s="1"/>
  <c r="ER84" i="2"/>
  <c r="EP620" i="2"/>
  <c r="EP619" i="2"/>
  <c r="EP20" i="2"/>
  <c r="EP219" i="2"/>
  <c r="EP187" i="2"/>
  <c r="EQ135" i="3"/>
  <c r="EQ137" i="3" s="1"/>
  <c r="EQ151" i="3"/>
  <c r="EQ148" i="3" s="1"/>
  <c r="EP621" i="2" l="1"/>
  <c r="EP622" i="2" s="1"/>
  <c r="EP139" i="2"/>
  <c r="EP13" i="2"/>
  <c r="EP14" i="2" s="1"/>
  <c r="EP222" i="3"/>
  <c r="EP27" i="2"/>
  <c r="EQ81" i="2"/>
  <c r="EQ618" i="2"/>
  <c r="EQ152" i="3"/>
  <c r="ES150" i="3"/>
  <c r="EU150" i="3"/>
  <c r="EQ183" i="2"/>
  <c r="ER184" i="2"/>
  <c r="ER619" i="2"/>
  <c r="ER620" i="2"/>
  <c r="ER621" i="2" s="1"/>
  <c r="ER622" i="2" s="1"/>
  <c r="EQ84" i="2"/>
  <c r="ER115" i="2"/>
  <c r="ER155" i="2"/>
  <c r="ER10" i="2"/>
  <c r="ER11" i="2" s="1"/>
  <c r="ER90" i="2"/>
  <c r="ER163" i="2"/>
  <c r="EP209" i="2"/>
  <c r="EP156" i="2"/>
  <c r="EP162" i="2"/>
  <c r="EP5" i="3"/>
  <c r="EP11" i="3" s="1"/>
  <c r="EP202" i="3"/>
  <c r="EP147" i="2"/>
  <c r="EP344" i="2"/>
  <c r="EP173" i="2"/>
  <c r="EP91" i="2"/>
  <c r="ER344" i="2" l="1"/>
  <c r="ER5" i="3"/>
  <c r="ER11" i="3" s="1"/>
  <c r="ER156" i="2"/>
  <c r="EQ90" i="2"/>
  <c r="ER91" i="2"/>
  <c r="EQ91" i="2" s="1"/>
  <c r="ER202" i="3"/>
  <c r="ER147" i="2"/>
  <c r="ER162" i="2"/>
  <c r="EQ619" i="2"/>
  <c r="EQ620" i="2"/>
  <c r="EQ621" i="2" s="1"/>
  <c r="EQ622" i="2" s="1"/>
  <c r="J18" i="488"/>
  <c r="J20" i="488" s="1"/>
  <c r="ER139" i="2"/>
  <c r="EQ115" i="2"/>
  <c r="EQ13" i="2" s="1"/>
  <c r="EQ14" i="2" s="1"/>
  <c r="ER13" i="2"/>
  <c r="ER14" i="2" s="1"/>
  <c r="EQ10" i="2"/>
  <c r="EQ11" i="2" s="1"/>
  <c r="EQ174" i="2"/>
  <c r="EQ155" i="2"/>
  <c r="EQ163" i="2"/>
  <c r="ER188" i="2"/>
  <c r="EQ184" i="2"/>
  <c r="ER27" i="2"/>
  <c r="EP348" i="2"/>
  <c r="EP214" i="2"/>
  <c r="EP216" i="2" s="1"/>
  <c r="EP144" i="2"/>
  <c r="EP319" i="2" s="1"/>
  <c r="EP320" i="2" s="1"/>
  <c r="EP140" i="2"/>
  <c r="EP141" i="2" s="1"/>
  <c r="EP143" i="2"/>
  <c r="EP230" i="2" l="1"/>
  <c r="EP226" i="2"/>
  <c r="EQ224" i="2" s="1"/>
  <c r="EQ5" i="3"/>
  <c r="EQ11" i="3" s="1"/>
  <c r="EQ202" i="3"/>
  <c r="EQ162" i="2"/>
  <c r="EQ173" i="2"/>
  <c r="EQ156" i="2"/>
  <c r="EQ147" i="2"/>
  <c r="EQ344" i="2"/>
  <c r="EP625" i="2"/>
  <c r="EP627" i="2" s="1"/>
  <c r="EP25" i="2"/>
  <c r="EP322" i="2"/>
  <c r="EP327" i="2" s="1"/>
  <c r="EQ222" i="3"/>
  <c r="EQ27" i="2"/>
  <c r="EQ139" i="2"/>
  <c r="ER140" i="2"/>
  <c r="ER143" i="2"/>
  <c r="ER187" i="2"/>
  <c r="EQ187" i="2" s="1"/>
  <c r="EQ188" i="2"/>
  <c r="ER219" i="2"/>
  <c r="ER20" i="2"/>
  <c r="EP22" i="2"/>
  <c r="EP349" i="2"/>
  <c r="EP146" i="2"/>
  <c r="EQ142" i="2" s="1"/>
  <c r="EQ143" i="2" s="1"/>
  <c r="EP221" i="2" l="1"/>
  <c r="EP222" i="2" s="1"/>
  <c r="EP355" i="2"/>
  <c r="EP225" i="3"/>
  <c r="ER209" i="2"/>
  <c r="ER141" i="2"/>
  <c r="EQ140" i="2"/>
  <c r="EQ141" i="2" s="1"/>
  <c r="EQ219" i="2"/>
  <c r="EQ20" i="2"/>
  <c r="EP365" i="2"/>
  <c r="EP366" i="2"/>
  <c r="EP224" i="3" s="1"/>
  <c r="EP244" i="2"/>
  <c r="EP640" i="2"/>
  <c r="EP330" i="2"/>
  <c r="EP329" i="2"/>
  <c r="EP328" i="2"/>
  <c r="EP108" i="3"/>
  <c r="EQ348" i="2"/>
  <c r="ER222" i="3"/>
  <c r="EP345" i="2"/>
  <c r="EP629" i="2" l="1"/>
  <c r="EP631" i="2" s="1"/>
  <c r="EP264" i="2"/>
  <c r="EQ22" i="2"/>
  <c r="ER352" i="2"/>
  <c r="ER24" i="2" s="1"/>
  <c r="ER348" i="2"/>
  <c r="EQ209" i="2"/>
  <c r="EQ214" i="2" s="1"/>
  <c r="EQ216" i="2" s="1"/>
  <c r="ER214" i="2"/>
  <c r="ER216" i="2" s="1"/>
  <c r="ER144" i="2"/>
  <c r="EQ362" i="2"/>
  <c r="ER362" i="2" s="1"/>
  <c r="ER313" i="2" s="1"/>
  <c r="EP359" i="2"/>
  <c r="EP233" i="3" l="1"/>
  <c r="EQ361" i="2"/>
  <c r="ER361" i="2" s="1"/>
  <c r="ER310" i="2" s="1"/>
  <c r="ER312" i="2"/>
  <c r="EQ313" i="2"/>
  <c r="ER349" i="2"/>
  <c r="ER22" i="2"/>
  <c r="EQ144" i="2"/>
  <c r="EQ146" i="2" s="1"/>
  <c r="ER319" i="2"/>
  <c r="ER146" i="2"/>
  <c r="ER230" i="2"/>
  <c r="ER226" i="2"/>
  <c r="EQ365" i="2"/>
  <c r="EQ366" i="2"/>
  <c r="EQ224" i="3" s="1"/>
  <c r="EP307" i="2"/>
  <c r="EP324" i="2" s="1"/>
  <c r="EP634" i="2"/>
  <c r="EP636" i="2" s="1"/>
  <c r="EP639" i="2" s="1"/>
  <c r="EP642" i="2" s="1"/>
  <c r="EP644" i="2" s="1"/>
  <c r="EP346" i="2" s="1"/>
  <c r="EP343" i="2"/>
  <c r="ER221" i="2" l="1"/>
  <c r="EQ349" i="2"/>
  <c r="ER225" i="3"/>
  <c r="ES224" i="2"/>
  <c r="EU224" i="2"/>
  <c r="EQ226" i="2"/>
  <c r="EU142" i="2"/>
  <c r="ES142" i="2"/>
  <c r="EQ310" i="2"/>
  <c r="ER320" i="2"/>
  <c r="ER365" i="2"/>
  <c r="ER366" i="2"/>
  <c r="ER224" i="3" s="1"/>
  <c r="ER244" i="2"/>
  <c r="EQ230" i="2"/>
  <c r="ER640" i="2"/>
  <c r="ER330" i="2"/>
  <c r="EQ330" i="2" s="1"/>
  <c r="ER329" i="2"/>
  <c r="ER108" i="3"/>
  <c r="EQ108" i="3"/>
  <c r="EQ312" i="2"/>
  <c r="EQ319" i="2"/>
  <c r="EQ244" i="2" l="1"/>
  <c r="EQ629" i="2" s="1"/>
  <c r="EQ631" i="2" s="1"/>
  <c r="ER629" i="2"/>
  <c r="ER631" i="2" s="1"/>
  <c r="ER264" i="2"/>
  <c r="ER25" i="2"/>
  <c r="ER625" i="2"/>
  <c r="ER627" i="2" s="1"/>
  <c r="EQ320" i="2"/>
  <c r="ER322" i="2"/>
  <c r="ER345" i="2"/>
  <c r="EU109" i="3"/>
  <c r="ES109" i="3"/>
  <c r="ES110" i="3" s="1"/>
  <c r="EQ640" i="2"/>
  <c r="EQ225" i="3"/>
  <c r="EQ355" i="2"/>
  <c r="EQ329" i="2"/>
  <c r="EQ221" i="2"/>
  <c r="ER222" i="2"/>
  <c r="EQ222" i="2" s="1"/>
  <c r="ES75" i="2" l="1"/>
  <c r="ES17" i="3"/>
  <c r="ER327" i="2"/>
  <c r="EQ322" i="2"/>
  <c r="ER328" i="2"/>
  <c r="EU110" i="3"/>
  <c r="ET109" i="3"/>
  <c r="ET110" i="3" s="1"/>
  <c r="ET17" i="3" s="1"/>
  <c r="ES362" i="2"/>
  <c r="EQ359" i="2"/>
  <c r="ER355" i="2"/>
  <c r="ER307" i="2"/>
  <c r="EQ264" i="2"/>
  <c r="ER634" i="2"/>
  <c r="ER636" i="2" s="1"/>
  <c r="ER639" i="2" s="1"/>
  <c r="ER642" i="2" s="1"/>
  <c r="ER644" i="2" s="1"/>
  <c r="ER346" i="2" s="1"/>
  <c r="ER343" i="2"/>
  <c r="EQ625" i="2"/>
  <c r="EQ627" i="2" s="1"/>
  <c r="EQ25" i="2"/>
  <c r="EQ345" i="2"/>
  <c r="EQ634" i="2" l="1"/>
  <c r="EQ636" i="2" s="1"/>
  <c r="EQ639" i="2" s="1"/>
  <c r="EQ642" i="2" s="1"/>
  <c r="EQ644" i="2" s="1"/>
  <c r="EQ346" i="2" s="1"/>
  <c r="EQ343" i="2"/>
  <c r="EQ327" i="2"/>
  <c r="EQ328" i="2"/>
  <c r="EQ307" i="2"/>
  <c r="EQ324" i="2" s="1"/>
  <c r="ER324" i="2"/>
  <c r="ES361" i="2"/>
  <c r="EQ233" i="3"/>
  <c r="ER233" i="3" s="1"/>
  <c r="ES313" i="2"/>
  <c r="ES312" i="2" s="1"/>
  <c r="EU17" i="3"/>
  <c r="EU75" i="2"/>
  <c r="ES74" i="2"/>
  <c r="ES181" i="2"/>
  <c r="ES35" i="2"/>
  <c r="ES34" i="2" s="1"/>
  <c r="ES42" i="2" l="1"/>
  <c r="ES53" i="2" s="1"/>
  <c r="ES43" i="2" s="1"/>
  <c r="ES310" i="2"/>
  <c r="ES79" i="2"/>
  <c r="ES331" i="2"/>
  <c r="EU35" i="2"/>
  <c r="EU181" i="2"/>
  <c r="EU74" i="2"/>
  <c r="ET75" i="2"/>
  <c r="ET35" i="2" l="1"/>
  <c r="EU34" i="2"/>
  <c r="ES135" i="3"/>
  <c r="ES137" i="3" s="1"/>
  <c r="ES80" i="2"/>
  <c r="ES84" i="2" s="1"/>
  <c r="ES151" i="3"/>
  <c r="ET74" i="2"/>
  <c r="EU79" i="2"/>
  <c r="EU331" i="2"/>
  <c r="ET181" i="2"/>
  <c r="ES10" i="2" l="1"/>
  <c r="ES11" i="2" s="1"/>
  <c r="ES155" i="2"/>
  <c r="ES115" i="2"/>
  <c r="ES90" i="2"/>
  <c r="ES163" i="2"/>
  <c r="ES174" i="2"/>
  <c r="EU135" i="3"/>
  <c r="EU137" i="3" s="1"/>
  <c r="EU80" i="2"/>
  <c r="EU151" i="3"/>
  <c r="ET79" i="2"/>
  <c r="ES148" i="3"/>
  <c r="ES152" i="3"/>
  <c r="ET150" i="3" s="1"/>
  <c r="ES183" i="2"/>
  <c r="ES184" i="2" s="1"/>
  <c r="ES188" i="2" s="1"/>
  <c r="ES618" i="2"/>
  <c r="ES81" i="2"/>
  <c r="ET331" i="2"/>
  <c r="ET34" i="2"/>
  <c r="EU42" i="2"/>
  <c r="ET42" i="2" l="1"/>
  <c r="ET53" i="2" s="1"/>
  <c r="EU53" i="2"/>
  <c r="EU43" i="2" s="1"/>
  <c r="ET43" i="2" s="1"/>
  <c r="ES620" i="2"/>
  <c r="ES619" i="2"/>
  <c r="ES139" i="2"/>
  <c r="ES13" i="2"/>
  <c r="ES14" i="2" s="1"/>
  <c r="EU148" i="3"/>
  <c r="EU152" i="3"/>
  <c r="EU618" i="2"/>
  <c r="ET80" i="2"/>
  <c r="EU183" i="2"/>
  <c r="EU81" i="2"/>
  <c r="ES209" i="2"/>
  <c r="ES162" i="2"/>
  <c r="ES202" i="3"/>
  <c r="ES173" i="2"/>
  <c r="ES5" i="3"/>
  <c r="ES11" i="3" s="1"/>
  <c r="ES147" i="2"/>
  <c r="ES91" i="2"/>
  <c r="ES344" i="2"/>
  <c r="ES156" i="2"/>
  <c r="ET135" i="3"/>
  <c r="ET137" i="3" s="1"/>
  <c r="ET151" i="3"/>
  <c r="ET148" i="3" s="1"/>
  <c r="ES219" i="2"/>
  <c r="ES20" i="2"/>
  <c r="ES187" i="2"/>
  <c r="EU84" i="2"/>
  <c r="ES27" i="2"/>
  <c r="ES222" i="3"/>
  <c r="ES621" i="2" l="1"/>
  <c r="ES622" i="2" s="1"/>
  <c r="ET152" i="3"/>
  <c r="EX150" i="3"/>
  <c r="EV150" i="3"/>
  <c r="ES144" i="2"/>
  <c r="ES319" i="2" s="1"/>
  <c r="ES320" i="2" s="1"/>
  <c r="ES214" i="2"/>
  <c r="ES216" i="2" s="1"/>
  <c r="EU619" i="2"/>
  <c r="EU620" i="2"/>
  <c r="ES140" i="2"/>
  <c r="ES141" i="2" s="1"/>
  <c r="ES143" i="2"/>
  <c r="ET81" i="2"/>
  <c r="ET618" i="2"/>
  <c r="ES348" i="2"/>
  <c r="EU90" i="2"/>
  <c r="EU115" i="2"/>
  <c r="EU155" i="2"/>
  <c r="EU163" i="2"/>
  <c r="ET84" i="2"/>
  <c r="EU10" i="2"/>
  <c r="EU11" i="2" s="1"/>
  <c r="ET183" i="2"/>
  <c r="EU184" i="2"/>
  <c r="EU621" i="2" l="1"/>
  <c r="EU622" i="2" s="1"/>
  <c r="K18" i="488"/>
  <c r="K20" i="488" s="1"/>
  <c r="ES349" i="2"/>
  <c r="ES22" i="2"/>
  <c r="ES230" i="2"/>
  <c r="ES345" i="2" s="1"/>
  <c r="ES226" i="2"/>
  <c r="ET224" i="2" s="1"/>
  <c r="ET10" i="2"/>
  <c r="ET11" i="2" s="1"/>
  <c r="ET163" i="2"/>
  <c r="ET155" i="2"/>
  <c r="ET174" i="2"/>
  <c r="EU5" i="3"/>
  <c r="EU11" i="3" s="1"/>
  <c r="ET90" i="2"/>
  <c r="EU156" i="2"/>
  <c r="EU202" i="3"/>
  <c r="EU162" i="2"/>
  <c r="EU147" i="2"/>
  <c r="EU344" i="2"/>
  <c r="EU91" i="2"/>
  <c r="ET91" i="2" s="1"/>
  <c r="ES25" i="2"/>
  <c r="ES625" i="2"/>
  <c r="ES627" i="2" s="1"/>
  <c r="ES322" i="2"/>
  <c r="ES327" i="2" s="1"/>
  <c r="EU27" i="2"/>
  <c r="ET619" i="2"/>
  <c r="ET620" i="2"/>
  <c r="ES146" i="2"/>
  <c r="ET142" i="2" s="1"/>
  <c r="EU188" i="2"/>
  <c r="ET184" i="2"/>
  <c r="ET115" i="2"/>
  <c r="ET13" i="2" s="1"/>
  <c r="ET14" i="2" s="1"/>
  <c r="EU139" i="2"/>
  <c r="EU13" i="2"/>
  <c r="EU14" i="2" s="1"/>
  <c r="ET621" i="2" l="1"/>
  <c r="ET622" i="2" s="1"/>
  <c r="ES221" i="2"/>
  <c r="ES222" i="2" s="1"/>
  <c r="ES355" i="2"/>
  <c r="ES225" i="3"/>
  <c r="ES365" i="2"/>
  <c r="ES366" i="2"/>
  <c r="ES224" i="3" s="1"/>
  <c r="ET27" i="2"/>
  <c r="ET222" i="3"/>
  <c r="EU140" i="2"/>
  <c r="ET139" i="2"/>
  <c r="ET143" i="2" s="1"/>
  <c r="EU143" i="2"/>
  <c r="ET5" i="3"/>
  <c r="ET11" i="3" s="1"/>
  <c r="ET162" i="2"/>
  <c r="ET147" i="2"/>
  <c r="ET156" i="2"/>
  <c r="ET344" i="2"/>
  <c r="ET173" i="2"/>
  <c r="ET202" i="3"/>
  <c r="ET188" i="2"/>
  <c r="EU219" i="2"/>
  <c r="EU20" i="2"/>
  <c r="EU187" i="2"/>
  <c r="ET187" i="2" s="1"/>
  <c r="ES244" i="2"/>
  <c r="ES328" i="2"/>
  <c r="ES330" i="2"/>
  <c r="ES640" i="2"/>
  <c r="ES329" i="2"/>
  <c r="ES108" i="3"/>
  <c r="ES359" i="2" l="1"/>
  <c r="ET362" i="2"/>
  <c r="EU362" i="2" s="1"/>
  <c r="EU313" i="2" s="1"/>
  <c r="EU209" i="2"/>
  <c r="ET219" i="2"/>
  <c r="EU141" i="2"/>
  <c r="ET140" i="2"/>
  <c r="ET141" i="2" s="1"/>
  <c r="ES629" i="2"/>
  <c r="ES631" i="2" s="1"/>
  <c r="ES264" i="2"/>
  <c r="ET20" i="2"/>
  <c r="ET348" i="2"/>
  <c r="EU222" i="3"/>
  <c r="ET209" i="2" l="1"/>
  <c r="ET214" i="2" s="1"/>
  <c r="ET216" i="2" s="1"/>
  <c r="EU144" i="2"/>
  <c r="EU214" i="2"/>
  <c r="EU216" i="2" s="1"/>
  <c r="EU312" i="2"/>
  <c r="ET313" i="2"/>
  <c r="ES233" i="3"/>
  <c r="ET361" i="2"/>
  <c r="EU361" i="2" s="1"/>
  <c r="EU310" i="2" s="1"/>
  <c r="ES307" i="2"/>
  <c r="ES324" i="2" s="1"/>
  <c r="ES634" i="2"/>
  <c r="ES636" i="2" s="1"/>
  <c r="ES639" i="2" s="1"/>
  <c r="ES642" i="2" s="1"/>
  <c r="ES644" i="2" s="1"/>
  <c r="ES346" i="2" s="1"/>
  <c r="ES343" i="2"/>
  <c r="ET22" i="2"/>
  <c r="EU352" i="2"/>
  <c r="EU24" i="2" s="1"/>
  <c r="EU348" i="2"/>
  <c r="ET312" i="2" l="1"/>
  <c r="EU230" i="2"/>
  <c r="EU226" i="2"/>
  <c r="ET144" i="2"/>
  <c r="ET146" i="2" s="1"/>
  <c r="EU319" i="2"/>
  <c r="EU320" i="2" s="1"/>
  <c r="EU146" i="2"/>
  <c r="EU349" i="2"/>
  <c r="EU22" i="2"/>
  <c r="ET310" i="2"/>
  <c r="ET365" i="2"/>
  <c r="ET366" i="2"/>
  <c r="ET224" i="3" s="1"/>
  <c r="EU322" i="2" l="1"/>
  <c r="EU328" i="2" s="1"/>
  <c r="EU25" i="2"/>
  <c r="EU625" i="2"/>
  <c r="EU627" i="2" s="1"/>
  <c r="ET320" i="2"/>
  <c r="EU345" i="2"/>
  <c r="EU244" i="2"/>
  <c r="EU329" i="2"/>
  <c r="EU330" i="2"/>
  <c r="ET330" i="2" s="1"/>
  <c r="EU640" i="2"/>
  <c r="ET230" i="2"/>
  <c r="EU108" i="3"/>
  <c r="ET108" i="3"/>
  <c r="EU365" i="2"/>
  <c r="EU366" i="2"/>
  <c r="EU224" i="3" s="1"/>
  <c r="ET319" i="2"/>
  <c r="EX224" i="2"/>
  <c r="ET226" i="2"/>
  <c r="EV224" i="2"/>
  <c r="ET349" i="2"/>
  <c r="EU225" i="3"/>
  <c r="EU221" i="2"/>
  <c r="EX142" i="2"/>
  <c r="EV142" i="2"/>
  <c r="ET244" i="2" l="1"/>
  <c r="ET629" i="2" s="1"/>
  <c r="ET631" i="2" s="1"/>
  <c r="EU264" i="2"/>
  <c r="EU629" i="2"/>
  <c r="EU631" i="2" s="1"/>
  <c r="ET221" i="2"/>
  <c r="EU222" i="2"/>
  <c r="ET222" i="2" s="1"/>
  <c r="ET640" i="2"/>
  <c r="ET355" i="2"/>
  <c r="ET225" i="3"/>
  <c r="ET625" i="2"/>
  <c r="ET627" i="2" s="1"/>
  <c r="ET25" i="2"/>
  <c r="ET345" i="2"/>
  <c r="EV109" i="3"/>
  <c r="EV110" i="3" s="1"/>
  <c r="EX109" i="3"/>
  <c r="ET329" i="2"/>
  <c r="EU327" i="2"/>
  <c r="ET322" i="2"/>
  <c r="ET327" i="2" s="1"/>
  <c r="EX110" i="3" l="1"/>
  <c r="EW109" i="3"/>
  <c r="EW110" i="3" s="1"/>
  <c r="EW17" i="3" s="1"/>
  <c r="ET328" i="2"/>
  <c r="EV17" i="3"/>
  <c r="EV75" i="2"/>
  <c r="EU634" i="2"/>
  <c r="EU636" i="2" s="1"/>
  <c r="EU639" i="2" s="1"/>
  <c r="EU642" i="2" s="1"/>
  <c r="EU644" i="2" s="1"/>
  <c r="EU346" i="2" s="1"/>
  <c r="ET264" i="2"/>
  <c r="EU307" i="2"/>
  <c r="EU343" i="2"/>
  <c r="ET359" i="2"/>
  <c r="EV362" i="2"/>
  <c r="EU355" i="2"/>
  <c r="ET307" i="2" l="1"/>
  <c r="ET324" i="2" s="1"/>
  <c r="EU324" i="2"/>
  <c r="ET634" i="2"/>
  <c r="ET636" i="2" s="1"/>
  <c r="ET639" i="2" s="1"/>
  <c r="ET642" i="2" s="1"/>
  <c r="ET644" i="2" s="1"/>
  <c r="ET346" i="2" s="1"/>
  <c r="ET343" i="2"/>
  <c r="EV313" i="2"/>
  <c r="EV312" i="2" s="1"/>
  <c r="EV74" i="2"/>
  <c r="EV35" i="2"/>
  <c r="EV34" i="2" s="1"/>
  <c r="EV181" i="2"/>
  <c r="EV361" i="2"/>
  <c r="ET233" i="3"/>
  <c r="EU233" i="3" s="1"/>
  <c r="EX75" i="2"/>
  <c r="EX17" i="3"/>
  <c r="EV42" i="2" l="1"/>
  <c r="EV53" i="2" s="1"/>
  <c r="EV43" i="2" s="1"/>
  <c r="EV79" i="2"/>
  <c r="EV331" i="2"/>
  <c r="EX74" i="2"/>
  <c r="EW75" i="2"/>
  <c r="EX181" i="2"/>
  <c r="EX35" i="2"/>
  <c r="EV310" i="2"/>
  <c r="EW181" i="2" l="1"/>
  <c r="EV135" i="3"/>
  <c r="EV137" i="3" s="1"/>
  <c r="EV80" i="2"/>
  <c r="EV151" i="3"/>
  <c r="EV84" i="2"/>
  <c r="EW74" i="2"/>
  <c r="EX331" i="2"/>
  <c r="EX79" i="2"/>
  <c r="EX34" i="2"/>
  <c r="EW35" i="2"/>
  <c r="EW331" i="2" l="1"/>
  <c r="EW34" i="2"/>
  <c r="EX42" i="2"/>
  <c r="EV163" i="2"/>
  <c r="EV90" i="2"/>
  <c r="EV115" i="2"/>
  <c r="EV174" i="2"/>
  <c r="EV10" i="2"/>
  <c r="EV11" i="2" s="1"/>
  <c r="EV155" i="2"/>
  <c r="EV81" i="2"/>
  <c r="EV618" i="2"/>
  <c r="EV183" i="2"/>
  <c r="EV184" i="2" s="1"/>
  <c r="EV188" i="2" s="1"/>
  <c r="EV152" i="3"/>
  <c r="EW150" i="3" s="1"/>
  <c r="EV148" i="3"/>
  <c r="EX151" i="3"/>
  <c r="EX135" i="3"/>
  <c r="EX137" i="3" s="1"/>
  <c r="EX80" i="2"/>
  <c r="EW79" i="2"/>
  <c r="EW135" i="3" l="1"/>
  <c r="EW137" i="3" s="1"/>
  <c r="EW151" i="3"/>
  <c r="EW148" i="3" s="1"/>
  <c r="EV139" i="2"/>
  <c r="EV13" i="2"/>
  <c r="EV14" i="2" s="1"/>
  <c r="EV20" i="2"/>
  <c r="EV219" i="2"/>
  <c r="EV187" i="2"/>
  <c r="EX53" i="2"/>
  <c r="EX43" i="2" s="1"/>
  <c r="EW43" i="2" s="1"/>
  <c r="EW42" i="2"/>
  <c r="EW53" i="2" s="1"/>
  <c r="EV620" i="2"/>
  <c r="EV619" i="2"/>
  <c r="EV621" i="2" s="1"/>
  <c r="EV622" i="2" s="1"/>
  <c r="EV222" i="3"/>
  <c r="EV27" i="2"/>
  <c r="EV147" i="2"/>
  <c r="EV202" i="3"/>
  <c r="EV156" i="2"/>
  <c r="EV5" i="3"/>
  <c r="EV11" i="3" s="1"/>
  <c r="EV91" i="2"/>
  <c r="EV209" i="2"/>
  <c r="EV344" i="2"/>
  <c r="EV173" i="2"/>
  <c r="EV162" i="2"/>
  <c r="EX183" i="2"/>
  <c r="EW80" i="2"/>
  <c r="EX618" i="2"/>
  <c r="EX81" i="2"/>
  <c r="EX148" i="3"/>
  <c r="EX152" i="3"/>
  <c r="EX84" i="2"/>
  <c r="EV140" i="2" l="1"/>
  <c r="EV141" i="2" s="1"/>
  <c r="EV143" i="2"/>
  <c r="EX115" i="2"/>
  <c r="EW84" i="2"/>
  <c r="EX10" i="2"/>
  <c r="EX11" i="2" s="1"/>
  <c r="EX163" i="2"/>
  <c r="EX155" i="2"/>
  <c r="EX90" i="2"/>
  <c r="EX619" i="2"/>
  <c r="EX620" i="2"/>
  <c r="EV144" i="2"/>
  <c r="EV319" i="2" s="1"/>
  <c r="EV320" i="2" s="1"/>
  <c r="EV214" i="2"/>
  <c r="EV216" i="2" s="1"/>
  <c r="EV348" i="2"/>
  <c r="EW152" i="3"/>
  <c r="FA150" i="3"/>
  <c r="EY150" i="3"/>
  <c r="EW183" i="2"/>
  <c r="EX184" i="2"/>
  <c r="EW81" i="2"/>
  <c r="EW618" i="2"/>
  <c r="EX621" i="2" l="1"/>
  <c r="EX622" i="2" s="1"/>
  <c r="EV322" i="2"/>
  <c r="EV327" i="2" s="1"/>
  <c r="EV25" i="2"/>
  <c r="EV625" i="2"/>
  <c r="EV627" i="2" s="1"/>
  <c r="EW163" i="2"/>
  <c r="EW155" i="2"/>
  <c r="EW10" i="2"/>
  <c r="EW11" i="2" s="1"/>
  <c r="EW174" i="2"/>
  <c r="EW115" i="2"/>
  <c r="EW13" i="2" s="1"/>
  <c r="EW14" i="2" s="1"/>
  <c r="EX13" i="2"/>
  <c r="EX14" i="2" s="1"/>
  <c r="EX139" i="2"/>
  <c r="EW619" i="2"/>
  <c r="EW620" i="2"/>
  <c r="EV146" i="2"/>
  <c r="EW142" i="2" s="1"/>
  <c r="EX188" i="2"/>
  <c r="EW184" i="2"/>
  <c r="L18" i="488"/>
  <c r="L20" i="488" s="1"/>
  <c r="EX202" i="3"/>
  <c r="EX156" i="2"/>
  <c r="EW90" i="2"/>
  <c r="EX5" i="3"/>
  <c r="EX11" i="3" s="1"/>
  <c r="EX147" i="2"/>
  <c r="EX91" i="2"/>
  <c r="EW91" i="2" s="1"/>
  <c r="EX344" i="2"/>
  <c r="EX162" i="2"/>
  <c r="EV349" i="2"/>
  <c r="EV22" i="2"/>
  <c r="EV230" i="2"/>
  <c r="EV345" i="2" s="1"/>
  <c r="EV226" i="2"/>
  <c r="EW224" i="2" s="1"/>
  <c r="EX27" i="2"/>
  <c r="EW621" i="2" l="1"/>
  <c r="EW622" i="2" s="1"/>
  <c r="EW344" i="2"/>
  <c r="EW162" i="2"/>
  <c r="EW5" i="3"/>
  <c r="EW11" i="3" s="1"/>
  <c r="EW202" i="3"/>
  <c r="EW173" i="2"/>
  <c r="EW156" i="2"/>
  <c r="EW147" i="2"/>
  <c r="EV355" i="2"/>
  <c r="EV225" i="3"/>
  <c r="EV221" i="2"/>
  <c r="EV222" i="2" s="1"/>
  <c r="EW27" i="2"/>
  <c r="EW222" i="3"/>
  <c r="EW188" i="2"/>
  <c r="EX219" i="2"/>
  <c r="EX20" i="2"/>
  <c r="EX187" i="2"/>
  <c r="EW187" i="2" s="1"/>
  <c r="EX140" i="2"/>
  <c r="EW139" i="2"/>
  <c r="EW143" i="2" s="1"/>
  <c r="EX143" i="2"/>
  <c r="EV365" i="2"/>
  <c r="EV366" i="2"/>
  <c r="EV224" i="3" s="1"/>
  <c r="EV244" i="2"/>
  <c r="EV329" i="2"/>
  <c r="EV328" i="2"/>
  <c r="EV330" i="2"/>
  <c r="EV640" i="2"/>
  <c r="EV108" i="3"/>
  <c r="EV264" i="2" l="1"/>
  <c r="EV629" i="2"/>
  <c r="EV631" i="2" s="1"/>
  <c r="EW219" i="2"/>
  <c r="EW362" i="2"/>
  <c r="EX362" i="2" s="1"/>
  <c r="EX313" i="2" s="1"/>
  <c r="EV359" i="2"/>
  <c r="EX209" i="2"/>
  <c r="EX141" i="2"/>
  <c r="EW140" i="2"/>
  <c r="EW141" i="2" s="1"/>
  <c r="EW20" i="2"/>
  <c r="EW348" i="2"/>
  <c r="EX222" i="3"/>
  <c r="EV233" i="3" l="1"/>
  <c r="EW361" i="2"/>
  <c r="EX361" i="2" s="1"/>
  <c r="EX310" i="2" s="1"/>
  <c r="EW22" i="2"/>
  <c r="EX348" i="2"/>
  <c r="EX352" i="2"/>
  <c r="EX24" i="2" s="1"/>
  <c r="EW313" i="2"/>
  <c r="EX312" i="2"/>
  <c r="EX214" i="2"/>
  <c r="EX216" i="2" s="1"/>
  <c r="EW209" i="2"/>
  <c r="EW214" i="2" s="1"/>
  <c r="EW216" i="2" s="1"/>
  <c r="EX144" i="2"/>
  <c r="EV307" i="2"/>
  <c r="EV324" i="2" s="1"/>
  <c r="EV634" i="2"/>
  <c r="EV636" i="2" s="1"/>
  <c r="EV639" i="2" s="1"/>
  <c r="EV642" i="2" s="1"/>
  <c r="EV644" i="2" s="1"/>
  <c r="EV346" i="2" s="1"/>
  <c r="EV343" i="2"/>
  <c r="EW144" i="2" l="1"/>
  <c r="EW146" i="2" s="1"/>
  <c r="EX319" i="2"/>
  <c r="EX146" i="2"/>
  <c r="EX230" i="2"/>
  <c r="EX226" i="2"/>
  <c r="EX320" i="2"/>
  <c r="EW310" i="2"/>
  <c r="EX22" i="2"/>
  <c r="EX349" i="2"/>
  <c r="EW365" i="2"/>
  <c r="EW366" i="2"/>
  <c r="EW224" i="3" s="1"/>
  <c r="EW312" i="2"/>
  <c r="EX322" i="2" l="1"/>
  <c r="EW320" i="2"/>
  <c r="EX25" i="2"/>
  <c r="EX625" i="2"/>
  <c r="EX627" i="2" s="1"/>
  <c r="EX345" i="2"/>
  <c r="FA224" i="2"/>
  <c r="EY224" i="2"/>
  <c r="EW226" i="2"/>
  <c r="EX221" i="2"/>
  <c r="EW349" i="2"/>
  <c r="EX225" i="3"/>
  <c r="EX244" i="2"/>
  <c r="EX328" i="2"/>
  <c r="EW230" i="2"/>
  <c r="EX640" i="2"/>
  <c r="EX329" i="2"/>
  <c r="EX330" i="2"/>
  <c r="EW330" i="2" s="1"/>
  <c r="EX108" i="3"/>
  <c r="EW108" i="3"/>
  <c r="EY142" i="2"/>
  <c r="FA142" i="2"/>
  <c r="EX365" i="2"/>
  <c r="EX366" i="2"/>
  <c r="EX224" i="3" s="1"/>
  <c r="EW319" i="2"/>
  <c r="EY109" i="3" l="1"/>
  <c r="EY110" i="3" s="1"/>
  <c r="FA109" i="3"/>
  <c r="EW244" i="2"/>
  <c r="EW629" i="2" s="1"/>
  <c r="EW631" i="2" s="1"/>
  <c r="EX264" i="2"/>
  <c r="EX629" i="2"/>
  <c r="EX631" i="2" s="1"/>
  <c r="EW221" i="2"/>
  <c r="EX222" i="2"/>
  <c r="EW222" i="2" s="1"/>
  <c r="EW329" i="2"/>
  <c r="EW640" i="2"/>
  <c r="EW625" i="2"/>
  <c r="EW627" i="2" s="1"/>
  <c r="EW25" i="2"/>
  <c r="EW345" i="2"/>
  <c r="EW225" i="3"/>
  <c r="EW355" i="2"/>
  <c r="EW322" i="2"/>
  <c r="EW327" i="2" s="1"/>
  <c r="EX327" i="2"/>
  <c r="EW328" i="2" l="1"/>
  <c r="EY362" i="2"/>
  <c r="EW359" i="2"/>
  <c r="EX355" i="2"/>
  <c r="EX634" i="2"/>
  <c r="EX636" i="2" s="1"/>
  <c r="EX639" i="2" s="1"/>
  <c r="EX642" i="2" s="1"/>
  <c r="EX644" i="2" s="1"/>
  <c r="EX346" i="2" s="1"/>
  <c r="EW264" i="2"/>
  <c r="EX307" i="2"/>
  <c r="EX343" i="2"/>
  <c r="FA110" i="3"/>
  <c r="EZ109" i="3"/>
  <c r="EZ110" i="3" s="1"/>
  <c r="EZ17" i="3" s="1"/>
  <c r="EY17" i="3"/>
  <c r="EY75" i="2"/>
  <c r="EY181" i="2" l="1"/>
  <c r="EY35" i="2"/>
  <c r="EY34" i="2" s="1"/>
  <c r="EY74" i="2"/>
  <c r="EW233" i="3"/>
  <c r="EX233" i="3" s="1"/>
  <c r="EY361" i="2"/>
  <c r="EY313" i="2"/>
  <c r="EY312" i="2" s="1"/>
  <c r="EX324" i="2"/>
  <c r="EW307" i="2"/>
  <c r="EW324" i="2" s="1"/>
  <c r="EW634" i="2"/>
  <c r="EW636" i="2" s="1"/>
  <c r="EW639" i="2" s="1"/>
  <c r="EW642" i="2" s="1"/>
  <c r="EW644" i="2" s="1"/>
  <c r="EW346" i="2" s="1"/>
  <c r="EW343" i="2"/>
  <c r="FA75" i="2"/>
  <c r="FA17" i="3"/>
  <c r="EY310" i="2" l="1"/>
  <c r="FA74" i="2"/>
  <c r="FA181" i="2"/>
  <c r="FA35" i="2"/>
  <c r="EZ75" i="2"/>
  <c r="EY331" i="2"/>
  <c r="EY79" i="2"/>
  <c r="EY42" i="2"/>
  <c r="EY53" i="2" s="1"/>
  <c r="EY43" i="2" s="1"/>
  <c r="FA34" i="2" l="1"/>
  <c r="EZ35" i="2"/>
  <c r="EZ181" i="2"/>
  <c r="EZ74" i="2"/>
  <c r="FA331" i="2"/>
  <c r="FA79" i="2"/>
  <c r="EY80" i="2"/>
  <c r="EY84" i="2" s="1"/>
  <c r="EY135" i="3"/>
  <c r="EY137" i="3" s="1"/>
  <c r="EY151" i="3"/>
  <c r="EY174" i="2" l="1"/>
  <c r="EY155" i="2"/>
  <c r="EY10" i="2"/>
  <c r="EY11" i="2" s="1"/>
  <c r="EY115" i="2"/>
  <c r="EY163" i="2"/>
  <c r="EY90" i="2"/>
  <c r="EY148" i="3"/>
  <c r="EY152" i="3"/>
  <c r="EZ150" i="3" s="1"/>
  <c r="EZ331" i="2"/>
  <c r="EY618" i="2"/>
  <c r="EY183" i="2"/>
  <c r="EY184" i="2" s="1"/>
  <c r="EY188" i="2" s="1"/>
  <c r="EY81" i="2"/>
  <c r="EZ79" i="2"/>
  <c r="FA80" i="2"/>
  <c r="FA135" i="3"/>
  <c r="FA137" i="3" s="1"/>
  <c r="FA151" i="3"/>
  <c r="EZ34" i="2"/>
  <c r="FA42" i="2"/>
  <c r="FA148" i="3" l="1"/>
  <c r="FA152" i="3"/>
  <c r="EZ152" i="3" s="1"/>
  <c r="FA618" i="2"/>
  <c r="EZ80" i="2"/>
  <c r="FA183" i="2"/>
  <c r="FA81" i="2"/>
  <c r="FA53" i="2"/>
  <c r="FA43" i="2" s="1"/>
  <c r="EZ43" i="2" s="1"/>
  <c r="EZ42" i="2"/>
  <c r="EZ53" i="2" s="1"/>
  <c r="EY20" i="2"/>
  <c r="EY219" i="2"/>
  <c r="EY187" i="2"/>
  <c r="EY209" i="2"/>
  <c r="EY156" i="2"/>
  <c r="EY91" i="2"/>
  <c r="EY173" i="2"/>
  <c r="EY202" i="3"/>
  <c r="EY162" i="2"/>
  <c r="EY147" i="2"/>
  <c r="EY344" i="2"/>
  <c r="EY5" i="3"/>
  <c r="EY11" i="3" s="1"/>
  <c r="EZ151" i="3"/>
  <c r="EZ148" i="3" s="1"/>
  <c r="EZ135" i="3"/>
  <c r="EZ137" i="3" s="1"/>
  <c r="FA84" i="2"/>
  <c r="EY139" i="2"/>
  <c r="EY13" i="2"/>
  <c r="EY14" i="2" s="1"/>
  <c r="EY620" i="2"/>
  <c r="EY619" i="2"/>
  <c r="EY621" i="2" s="1"/>
  <c r="EY622" i="2" s="1"/>
  <c r="EY27" i="2"/>
  <c r="EY222" i="3"/>
  <c r="EZ618" i="2" l="1"/>
  <c r="EZ81" i="2"/>
  <c r="EY348" i="2"/>
  <c r="EY140" i="2"/>
  <c r="EY141" i="2" s="1"/>
  <c r="EY143" i="2"/>
  <c r="FA619" i="2"/>
  <c r="FA620" i="2"/>
  <c r="FA163" i="2"/>
  <c r="FA115" i="2"/>
  <c r="FA10" i="2"/>
  <c r="FA11" i="2" s="1"/>
  <c r="FA155" i="2"/>
  <c r="EZ84" i="2"/>
  <c r="FA90" i="2"/>
  <c r="EZ183" i="2"/>
  <c r="FA184" i="2"/>
  <c r="EY214" i="2"/>
  <c r="EY216" i="2" s="1"/>
  <c r="EY144" i="2"/>
  <c r="EY319" i="2" s="1"/>
  <c r="EY320" i="2" s="1"/>
  <c r="EY146" i="2" l="1"/>
  <c r="EZ142" i="2" s="1"/>
  <c r="FA621" i="2"/>
  <c r="FA622" i="2" s="1"/>
  <c r="EY322" i="2"/>
  <c r="EY327" i="2" s="1"/>
  <c r="EY25" i="2"/>
  <c r="EY625" i="2"/>
  <c r="EY627" i="2" s="1"/>
  <c r="EZ619" i="2"/>
  <c r="EZ620" i="2"/>
  <c r="EZ621" i="2" s="1"/>
  <c r="EZ622" i="2" s="1"/>
  <c r="EY349" i="2"/>
  <c r="EY22" i="2"/>
  <c r="FA344" i="2"/>
  <c r="FA202" i="3"/>
  <c r="EZ90" i="2"/>
  <c r="FA91" i="2"/>
  <c r="EZ91" i="2" s="1"/>
  <c r="FA162" i="2"/>
  <c r="FA147" i="2"/>
  <c r="FA156" i="2"/>
  <c r="FA5" i="3"/>
  <c r="FA11" i="3" s="1"/>
  <c r="EZ174" i="2"/>
  <c r="EZ155" i="2"/>
  <c r="EZ163" i="2"/>
  <c r="EZ10" i="2"/>
  <c r="EZ11" i="2" s="1"/>
  <c r="FA27" i="2"/>
  <c r="EY230" i="2"/>
  <c r="EY226" i="2"/>
  <c r="EZ224" i="2" s="1"/>
  <c r="FA13" i="2"/>
  <c r="FA14" i="2" s="1"/>
  <c r="FA139" i="2"/>
  <c r="EZ115" i="2"/>
  <c r="EZ13" i="2" s="1"/>
  <c r="EZ14" i="2" s="1"/>
  <c r="FA188" i="2"/>
  <c r="EZ184" i="2"/>
  <c r="M18" i="488"/>
  <c r="M20" i="488" s="1"/>
  <c r="D22" i="488" l="1"/>
  <c r="EY640" i="2"/>
  <c r="EY330" i="2"/>
  <c r="EY244" i="2"/>
  <c r="EY328" i="2"/>
  <c r="EY329" i="2"/>
  <c r="EY108" i="3"/>
  <c r="EY345" i="2"/>
  <c r="FA219" i="2"/>
  <c r="FA187" i="2"/>
  <c r="EZ187" i="2" s="1"/>
  <c r="EZ188" i="2"/>
  <c r="FA20" i="2"/>
  <c r="FA140" i="2"/>
  <c r="EZ139" i="2"/>
  <c r="EZ143" i="2" s="1"/>
  <c r="FA143" i="2"/>
  <c r="EY355" i="2"/>
  <c r="EY225" i="3"/>
  <c r="EY221" i="2"/>
  <c r="EY222" i="2" s="1"/>
  <c r="EZ173" i="2"/>
  <c r="EZ147" i="2"/>
  <c r="EZ162" i="2"/>
  <c r="EZ202" i="3"/>
  <c r="EZ344" i="2"/>
  <c r="EZ5" i="3"/>
  <c r="EZ11" i="3" s="1"/>
  <c r="EZ156" i="2"/>
  <c r="EY365" i="2"/>
  <c r="EY366" i="2"/>
  <c r="EY224" i="3" s="1"/>
  <c r="EZ222" i="3"/>
  <c r="EZ27" i="2"/>
  <c r="BU490" i="2" l="1"/>
  <c r="D25" i="488"/>
  <c r="D27" i="488" s="1"/>
  <c r="D29" i="488" s="1"/>
  <c r="EZ20" i="2"/>
  <c r="EZ362" i="2"/>
  <c r="FA362" i="2" s="1"/>
  <c r="FA313" i="2" s="1"/>
  <c r="EY359" i="2"/>
  <c r="FA209" i="2"/>
  <c r="EZ348" i="2"/>
  <c r="FA222" i="3"/>
  <c r="EZ140" i="2"/>
  <c r="EZ141" i="2" s="1"/>
  <c r="FA141" i="2"/>
  <c r="EZ219" i="2"/>
  <c r="EY629" i="2"/>
  <c r="EY631" i="2" s="1"/>
  <c r="EY264" i="2"/>
  <c r="Q5" i="488" l="1"/>
  <c r="EZ22" i="2"/>
  <c r="FA348" i="2"/>
  <c r="FA352" i="2"/>
  <c r="FA24" i="2" s="1"/>
  <c r="EY307" i="2"/>
  <c r="EY324" i="2" s="1"/>
  <c r="EY634" i="2"/>
  <c r="EY636" i="2" s="1"/>
  <c r="EY639" i="2" s="1"/>
  <c r="EY642" i="2" s="1"/>
  <c r="EY644" i="2" s="1"/>
  <c r="EY346" i="2" s="1"/>
  <c r="EY343" i="2"/>
  <c r="FA214" i="2"/>
  <c r="FA216" i="2" s="1"/>
  <c r="FA144" i="2"/>
  <c r="EZ209" i="2"/>
  <c r="EZ214" i="2" s="1"/>
  <c r="EZ216" i="2" s="1"/>
  <c r="EZ313" i="2"/>
  <c r="FA312" i="2"/>
  <c r="EZ312" i="2" s="1"/>
  <c r="EY233" i="3"/>
  <c r="EZ361" i="2"/>
  <c r="FA361" i="2" s="1"/>
  <c r="FA310" i="2" s="1"/>
  <c r="FA230" i="2" l="1"/>
  <c r="FA226" i="2"/>
  <c r="EZ226" i="2" s="1"/>
  <c r="FA22" i="2"/>
  <c r="FA349" i="2"/>
  <c r="EZ365" i="2"/>
  <c r="EZ366" i="2"/>
  <c r="EZ224" i="3" s="1"/>
  <c r="EZ144" i="2"/>
  <c r="EZ146" i="2" s="1"/>
  <c r="FA319" i="2"/>
  <c r="EZ319" i="2" s="1"/>
  <c r="FA146" i="2"/>
  <c r="EZ310" i="2"/>
  <c r="FA320" i="2" l="1"/>
  <c r="EZ320" i="2"/>
  <c r="FA25" i="2"/>
  <c r="FA322" i="2"/>
  <c r="FA328" i="2" s="1"/>
  <c r="FA625" i="2"/>
  <c r="FA627" i="2" s="1"/>
  <c r="FA345" i="2"/>
  <c r="FA365" i="2"/>
  <c r="FA366" i="2"/>
  <c r="FA224" i="3" s="1"/>
  <c r="FA221" i="2"/>
  <c r="EZ349" i="2"/>
  <c r="FA225" i="3"/>
  <c r="FA244" i="2"/>
  <c r="EZ230" i="2"/>
  <c r="FA640" i="2"/>
  <c r="FA329" i="2"/>
  <c r="FA330" i="2"/>
  <c r="EZ330" i="2" s="1"/>
  <c r="FA108" i="3"/>
  <c r="EZ108" i="3"/>
  <c r="FA629" i="2" l="1"/>
  <c r="FA631" i="2" s="1"/>
  <c r="FA264" i="2"/>
  <c r="EZ244" i="2"/>
  <c r="EZ629" i="2" s="1"/>
  <c r="EZ631" i="2" s="1"/>
  <c r="EZ322" i="2"/>
  <c r="EZ327" i="2" s="1"/>
  <c r="FA327" i="2"/>
  <c r="EZ225" i="3"/>
  <c r="EZ355" i="2"/>
  <c r="EZ640" i="2"/>
  <c r="EZ221" i="2"/>
  <c r="FA222" i="2"/>
  <c r="EZ222" i="2" s="1"/>
  <c r="EZ329" i="2"/>
  <c r="Q7" i="488"/>
  <c r="EZ625" i="2"/>
  <c r="EZ627" i="2" s="1"/>
  <c r="EZ25" i="2"/>
  <c r="EZ345" i="2"/>
  <c r="EZ328" i="2" l="1"/>
  <c r="EZ359" i="2"/>
  <c r="EZ233" i="3" s="1"/>
  <c r="FA233" i="3" s="1"/>
  <c r="FA355" i="2"/>
  <c r="EZ264" i="2"/>
  <c r="FA307" i="2"/>
  <c r="FA634" i="2"/>
  <c r="FA636" i="2" s="1"/>
  <c r="FA639" i="2" s="1"/>
  <c r="FA642" i="2" s="1"/>
  <c r="FA644" i="2" s="1"/>
  <c r="FA346" i="2" s="1"/>
  <c r="FA343" i="2"/>
  <c r="Q9" i="488"/>
  <c r="EZ307" i="2" l="1"/>
  <c r="EZ324" i="2" s="1"/>
  <c r="FA324" i="2"/>
  <c r="EZ634" i="2"/>
  <c r="EZ636" i="2" s="1"/>
  <c r="EZ639" i="2" s="1"/>
  <c r="EZ642" i="2" s="1"/>
  <c r="EZ644" i="2" s="1"/>
  <c r="EZ346" i="2" s="1"/>
  <c r="EZ34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Kirby-Lewis, Megan (Research)</author>
  </authors>
  <commentList>
    <comment ref="DH86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Assume 50% is tax deductible. 
This is the US$280mn payment patent infringement and post judgement interest
Decision is still pending for the pre judgement interest of US$123mn + attorneys fees of US$15. Assume this is paid in 2HFY21</t>
        </r>
      </text>
    </comment>
    <comment ref="DH188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Kirby-Lewis, Megan (Research):</t>
        </r>
        <r>
          <rPr>
            <sz val="9"/>
            <color indexed="81"/>
            <rFont val="Tahoma"/>
            <family val="2"/>
          </rPr>
          <t xml:space="preserve">
Patent dispute settlement</t>
        </r>
      </text>
    </comment>
    <comment ref="DE189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Kirby-Lewis, Megan (Research):</t>
        </r>
        <r>
          <rPr>
            <sz val="9"/>
            <color indexed="81"/>
            <rFont val="Tahoma"/>
            <family val="2"/>
          </rPr>
          <t xml:space="preserve">
Capex = A$80-100mn over next few years (Feb-19 result). Assume out to FY21. 
For China plant and investments in IT. </t>
        </r>
      </text>
    </comment>
    <comment ref="DH18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Kirby-Lewis, Megan (Research):</t>
        </r>
        <r>
          <rPr>
            <sz val="9"/>
            <color indexed="81"/>
            <rFont val="Tahoma"/>
            <family val="2"/>
          </rPr>
          <t xml:space="preserve">
Capex = A$180 in FY20 (given Aug-19)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Kirby-Lewis, Megan (Research)</author>
    <author>Vu, Tina (Research)</author>
    <author>Laaman, Sean (Research)</author>
    <author>Chen, Patrick (Research)</author>
    <author>Sean Laaman</author>
    <author>tc={E6BD1876-14D4-446C-A218-7B887974603B}</author>
    <author>jessiv</author>
    <author>rujames</author>
    <author>Vo, Jessica (Research)</author>
  </authors>
  <commentList>
    <comment ref="DJ7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Kirby-Lewis, Megan (Research):</t>
        </r>
        <r>
          <rPr>
            <sz val="9"/>
            <color indexed="81"/>
            <rFont val="Tahoma"/>
            <family val="2"/>
          </rPr>
          <t xml:space="preserve">
Updated 4-Aug-21</t>
        </r>
      </text>
    </comment>
    <comment ref="DT75" authorId="1" shapeId="0" xr:uid="{AA1B59A1-E59D-4BE4-AD4E-8742E6B3B18D}">
      <text>
        <r>
          <rPr>
            <b/>
            <sz val="9"/>
            <color indexed="81"/>
            <rFont val="Tahoma"/>
            <family val="2"/>
          </rPr>
          <t>Vu, Tina (Research):</t>
        </r>
        <r>
          <rPr>
            <sz val="9"/>
            <color indexed="81"/>
            <rFont val="Tahoma"/>
            <family val="2"/>
          </rPr>
          <t xml:space="preserve">
From 1H24 result: guidance is based on 0.66</t>
        </r>
      </text>
    </comment>
    <comment ref="DJ78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Kirby-Lewis, Megan (Research):</t>
        </r>
        <r>
          <rPr>
            <sz val="9"/>
            <color indexed="81"/>
            <rFont val="Tahoma"/>
            <family val="2"/>
          </rPr>
          <t xml:space="preserve">
Updated 4-Aug-21</t>
        </r>
      </text>
    </comment>
    <comment ref="DT78" authorId="1" shapeId="0" xr:uid="{2EC2811C-C421-4586-8E3A-09FB85C1E835}">
      <text>
        <r>
          <rPr>
            <b/>
            <sz val="9"/>
            <color indexed="81"/>
            <rFont val="Tahoma"/>
            <family val="2"/>
          </rPr>
          <t>Vu, Tina (Research):</t>
        </r>
        <r>
          <rPr>
            <sz val="9"/>
            <color indexed="81"/>
            <rFont val="Tahoma"/>
            <family val="2"/>
          </rPr>
          <t xml:space="preserve">
From 1H24 result: guidance is based on 0.61</t>
        </r>
      </text>
    </comment>
    <comment ref="CR105" authorId="2" shapeId="0" xr:uid="{00000000-0006-0000-0600-000015000000}">
      <text>
        <r>
          <rPr>
            <b/>
            <sz val="9"/>
            <color indexed="81"/>
            <rFont val="Tahoma"/>
            <family val="2"/>
          </rPr>
          <t>Laaman, Sean (Research):</t>
        </r>
        <r>
          <rPr>
            <sz val="9"/>
            <color indexed="81"/>
            <rFont val="Tahoma"/>
            <family val="2"/>
          </rPr>
          <t xml:space="preserve">
1900 Chinese tender units due</t>
        </r>
      </text>
    </comment>
    <comment ref="CT105" authorId="3" shapeId="0" xr:uid="{00000000-0006-0000-0600-000016000000}">
      <text>
        <r>
          <rPr>
            <b/>
            <sz val="9"/>
            <color indexed="81"/>
            <rFont val="Tahoma"/>
            <family val="2"/>
          </rPr>
          <t>Chen, Patrick (Research):</t>
        </r>
        <r>
          <rPr>
            <sz val="9"/>
            <color indexed="81"/>
            <rFont val="Tahoma"/>
            <family val="2"/>
          </rPr>
          <t xml:space="preserve">
1700 chinese tenders</t>
        </r>
      </text>
    </comment>
    <comment ref="CW105" authorId="3" shapeId="0" xr:uid="{00000000-0006-0000-0600-000017000000}">
      <text>
        <r>
          <rPr>
            <b/>
            <sz val="9"/>
            <color indexed="81"/>
            <rFont val="Tahoma"/>
            <family val="2"/>
          </rPr>
          <t>Chen, Patrick (Research):</t>
        </r>
        <r>
          <rPr>
            <sz val="9"/>
            <color indexed="81"/>
            <rFont val="Tahoma"/>
            <family val="2"/>
          </rPr>
          <t xml:space="preserve">
2100 tenders due in FY17, majority in 1H17</t>
        </r>
      </text>
    </comment>
    <comment ref="C127" authorId="3" shapeId="0" xr:uid="{00000000-0006-0000-0600-00000D000000}">
      <text>
        <r>
          <rPr>
            <b/>
            <sz val="9"/>
            <color indexed="81"/>
            <rFont val="Tahoma"/>
            <family val="2"/>
          </rPr>
          <t>Chen, Patrick (Research):</t>
        </r>
        <r>
          <rPr>
            <sz val="9"/>
            <color indexed="81"/>
            <rFont val="Tahoma"/>
            <family val="2"/>
          </rPr>
          <t xml:space="preserve">
As per preso/segmental revenues</t>
        </r>
      </text>
    </comment>
    <comment ref="C130" authorId="4" shapeId="0" xr:uid="{00000000-0006-0000-0600-00000E000000}">
      <text>
        <r>
          <rPr>
            <b/>
            <sz val="8"/>
            <color indexed="81"/>
            <rFont val="Tahoma"/>
            <family val="2"/>
          </rPr>
          <t>Sean Laaman:</t>
        </r>
        <r>
          <rPr>
            <sz val="8"/>
            <color indexed="81"/>
            <rFont val="Tahoma"/>
            <family val="2"/>
          </rPr>
          <t xml:space="preserve">
Ex Hedge Book</t>
        </r>
      </text>
    </comment>
    <comment ref="CY133" authorId="3" shapeId="0" xr:uid="{00000000-0006-0000-0600-00000F000000}">
      <text>
        <r>
          <rPr>
            <b/>
            <sz val="9"/>
            <color indexed="81"/>
            <rFont val="Tahoma"/>
            <family val="2"/>
          </rPr>
          <t>Chen, Patrick (Research):</t>
        </r>
        <r>
          <rPr>
            <sz val="9"/>
            <color indexed="81"/>
            <rFont val="Tahoma"/>
            <family val="2"/>
          </rPr>
          <t xml:space="preserve">
Adding ~A$10mn in GP for lower inventory write-downs</t>
        </r>
      </text>
    </comment>
    <comment ref="DB146" authorId="3" shapeId="0" xr:uid="{00000000-0006-0000-0600-000010000000}">
      <text>
        <r>
          <rPr>
            <b/>
            <sz val="9"/>
            <color indexed="81"/>
            <rFont val="Tahoma"/>
            <family val="2"/>
          </rPr>
          <t>Chen, Patrick (Research):</t>
        </r>
        <r>
          <rPr>
            <sz val="9"/>
            <color indexed="81"/>
            <rFont val="Tahoma"/>
            <family val="2"/>
          </rPr>
          <t xml:space="preserve">
A$160-170mn</t>
        </r>
      </text>
    </comment>
    <comment ref="DU146" authorId="5" shapeId="0" xr:uid="{E6BD1876-14D4-446C-A218-7B887974603B}">
      <text>
        <t>[Threaded comment]
Your version of Excel allows you to read this threaded comment; however, any edits to it will get removed if the file is opened in a newer version of Excel. Learn more: https://go.microsoft.com/fwlink/?linkid=870924
Comment:
    Restated to 140.3</t>
      </text>
    </comment>
    <comment ref="CN159" authorId="6" shapeId="0" xr:uid="{00000000-0006-0000-0600-000011000000}">
      <text>
        <r>
          <rPr>
            <b/>
            <sz val="9"/>
            <color indexed="81"/>
            <rFont val="Tahoma"/>
            <family val="2"/>
          </rPr>
          <t>jessiv:</t>
        </r>
        <r>
          <rPr>
            <sz val="9"/>
            <color indexed="81"/>
            <rFont val="Tahoma"/>
            <family val="2"/>
          </rPr>
          <t xml:space="preserve">
other income - other expenses 1h14 odf pg 9</t>
        </r>
      </text>
    </comment>
    <comment ref="CQ159" authorId="3" shapeId="0" xr:uid="{00000000-0006-0000-0600-000012000000}">
      <text>
        <r>
          <rPr>
            <b/>
            <sz val="9"/>
            <color indexed="81"/>
            <rFont val="Tahoma"/>
            <family val="2"/>
          </rPr>
          <t>Chen, Patrick (Research):</t>
        </r>
        <r>
          <rPr>
            <sz val="9"/>
            <color indexed="81"/>
            <rFont val="Tahoma"/>
            <family val="2"/>
          </rPr>
          <t xml:space="preserve">
1h15 p8</t>
        </r>
      </text>
    </comment>
    <comment ref="CK165" authorId="7" shapeId="0" xr:uid="{00000000-0006-0000-0600-000013000000}">
      <text>
        <r>
          <rPr>
            <b/>
            <sz val="8"/>
            <color indexed="81"/>
            <rFont val="Tahoma"/>
            <family val="2"/>
          </rPr>
          <t>rujames:</t>
        </r>
        <r>
          <rPr>
            <sz val="8"/>
            <color indexed="81"/>
            <rFont val="Tahoma"/>
            <family val="2"/>
          </rPr>
          <t xml:space="preserve">
57.9</t>
        </r>
      </text>
    </comment>
    <comment ref="CL165" authorId="7" shapeId="0" xr:uid="{00000000-0006-0000-0600-000014000000}">
      <text>
        <r>
          <rPr>
            <b/>
            <sz val="8"/>
            <color indexed="81"/>
            <rFont val="Tahoma"/>
            <family val="2"/>
          </rPr>
          <t>rujames:</t>
        </r>
        <r>
          <rPr>
            <sz val="8"/>
            <color indexed="81"/>
            <rFont val="Tahoma"/>
            <family val="2"/>
          </rPr>
          <t xml:space="preserve">
29.8</t>
        </r>
      </text>
    </comment>
    <comment ref="CU176" authorId="3" shapeId="0" xr:uid="{00000000-0006-0000-0600-000003000000}">
      <text>
        <r>
          <rPr>
            <b/>
            <sz val="9"/>
            <color indexed="81"/>
            <rFont val="Tahoma"/>
            <family val="2"/>
          </rPr>
          <t>Chen, Patrick (Research):</t>
        </r>
        <r>
          <rPr>
            <sz val="9"/>
            <color indexed="81"/>
            <rFont val="Tahoma"/>
            <family val="2"/>
          </rPr>
          <t xml:space="preserve">
Due to separation of services from CI revenue 1h16 on</t>
        </r>
      </text>
    </comment>
    <comment ref="CM198" authorId="7" shapeId="0" xr:uid="{00000000-0006-0000-0600-000004000000}">
      <text>
        <r>
          <rPr>
            <b/>
            <sz val="8"/>
            <color indexed="81"/>
            <rFont val="Tahoma"/>
            <family val="2"/>
          </rPr>
          <t>rujames:</t>
        </r>
        <r>
          <rPr>
            <sz val="8"/>
            <color indexed="81"/>
            <rFont val="Tahoma"/>
            <family val="2"/>
          </rPr>
          <t xml:space="preserve">
A$17.0mn decline on pcp</t>
        </r>
      </text>
    </comment>
    <comment ref="CZ242" authorId="3" shapeId="0" xr:uid="{00000000-0006-0000-0600-000005000000}">
      <text>
        <r>
          <rPr>
            <b/>
            <sz val="9"/>
            <color indexed="81"/>
            <rFont val="Tahoma"/>
            <family val="2"/>
          </rPr>
          <t>Chen, Patrick (Research):</t>
        </r>
        <r>
          <rPr>
            <sz val="9"/>
            <color indexed="81"/>
            <rFont val="Tahoma"/>
            <family val="2"/>
          </rPr>
          <t xml:space="preserve">
Upping spend ahead of N7 launch</t>
        </r>
      </text>
    </comment>
    <comment ref="CV258" authorId="3" shapeId="0" xr:uid="{00000000-0006-0000-0600-000006000000}">
      <text>
        <r>
          <rPr>
            <b/>
            <sz val="9"/>
            <color indexed="81"/>
            <rFont val="Tahoma"/>
            <family val="2"/>
          </rPr>
          <t>Chen, Patrick (Research):</t>
        </r>
        <r>
          <rPr>
            <sz val="9"/>
            <color indexed="81"/>
            <rFont val="Tahoma"/>
            <family val="2"/>
          </rPr>
          <t xml:space="preserve">
Numbers changed at 1H17</t>
        </r>
      </text>
    </comment>
    <comment ref="CM291" authorId="7" shapeId="0" xr:uid="{00000000-0006-0000-0600-000007000000}">
      <text>
        <r>
          <rPr>
            <b/>
            <sz val="8"/>
            <color indexed="81"/>
            <rFont val="Tahoma"/>
            <family val="2"/>
          </rPr>
          <t>rujames:</t>
        </r>
        <r>
          <rPr>
            <sz val="8"/>
            <color indexed="81"/>
            <rFont val="Tahoma"/>
            <family val="2"/>
          </rPr>
          <t xml:space="preserve">
down A$4.9mn on pcp</t>
        </r>
      </text>
    </comment>
    <comment ref="CN291" authorId="7" shapeId="0" xr:uid="{00000000-0006-0000-0600-000008000000}">
      <text>
        <r>
          <rPr>
            <b/>
            <sz val="8"/>
            <color indexed="81"/>
            <rFont val="Tahoma"/>
            <family val="2"/>
          </rPr>
          <t>rujames:</t>
        </r>
        <r>
          <rPr>
            <sz val="8"/>
            <color indexed="81"/>
            <rFont val="Tahoma"/>
            <family val="2"/>
          </rPr>
          <t xml:space="preserve">
down 1.6mn in CC</t>
        </r>
      </text>
    </comment>
    <comment ref="CV349" authorId="3" shapeId="0" xr:uid="{00000000-0006-0000-0600-000009000000}">
      <text>
        <r>
          <rPr>
            <b/>
            <sz val="9"/>
            <color indexed="81"/>
            <rFont val="Tahoma"/>
            <family val="2"/>
          </rPr>
          <t>Chen, Patrick (Research):</t>
        </r>
        <r>
          <rPr>
            <sz val="9"/>
            <color indexed="81"/>
            <rFont val="Tahoma"/>
            <family val="2"/>
          </rPr>
          <t xml:space="preserve">
Changed at 1H17….</t>
        </r>
      </text>
    </comment>
    <comment ref="CN371" authorId="7" shapeId="0" xr:uid="{00000000-0006-0000-0600-00000A000000}">
      <text>
        <r>
          <rPr>
            <b/>
            <sz val="8"/>
            <color indexed="81"/>
            <rFont val="Tahoma"/>
            <family val="2"/>
          </rPr>
          <t>rujames:</t>
        </r>
        <r>
          <rPr>
            <sz val="8"/>
            <color indexed="81"/>
            <rFont val="Tahoma"/>
            <family val="2"/>
          </rPr>
          <t xml:space="preserve">
down A$6.1mn</t>
        </r>
      </text>
    </comment>
    <comment ref="CW376" authorId="3" shapeId="0" xr:uid="{00000000-0006-0000-0600-00000B000000}">
      <text>
        <r>
          <rPr>
            <b/>
            <sz val="9"/>
            <color indexed="81"/>
            <rFont val="Tahoma"/>
            <family val="2"/>
          </rPr>
          <t>Chen, Patrick (Research):</t>
        </r>
        <r>
          <rPr>
            <sz val="9"/>
            <color indexed="81"/>
            <rFont val="Tahoma"/>
            <family val="2"/>
          </rPr>
          <t xml:space="preserve">
Includes A$10mn lower inventory write-downs, otherwise would be -0.5%</t>
        </r>
      </text>
    </comment>
    <comment ref="DG376" authorId="0" shapeId="0" xr:uid="{00000000-0006-0000-0600-00000C000000}">
      <text>
        <r>
          <rPr>
            <b/>
            <sz val="9"/>
            <color indexed="81"/>
            <rFont val="Tahoma"/>
            <family val="2"/>
          </rPr>
          <t>Assume some cost inflation for COVID</t>
        </r>
      </text>
    </comment>
    <comment ref="CY536" authorId="3" shapeId="0" xr:uid="{00000000-0006-0000-0600-000018000000}">
      <text>
        <r>
          <rPr>
            <b/>
            <sz val="9"/>
            <color indexed="81"/>
            <rFont val="Tahoma"/>
            <family val="2"/>
          </rPr>
          <t>Chen, Patrick (Research):</t>
        </r>
        <r>
          <rPr>
            <sz val="9"/>
            <color indexed="81"/>
            <rFont val="Tahoma"/>
            <family val="2"/>
          </rPr>
          <t xml:space="preserve">
Total cover as per 1H17</t>
        </r>
      </text>
    </comment>
    <comment ref="DB536" authorId="3" shapeId="0" xr:uid="{00000000-0006-0000-0600-000019000000}">
      <text>
        <r>
          <rPr>
            <b/>
            <sz val="9"/>
            <color indexed="81"/>
            <rFont val="Tahoma"/>
            <family val="2"/>
          </rPr>
          <t>Chen, Patrick (Research):</t>
        </r>
        <r>
          <rPr>
            <sz val="9"/>
            <color indexed="81"/>
            <rFont val="Tahoma"/>
            <family val="2"/>
          </rPr>
          <t xml:space="preserve">
Total cover as per FY17</t>
        </r>
      </text>
    </comment>
    <comment ref="CP537" authorId="8" shapeId="0" xr:uid="{00000000-0006-0000-0600-00001A000000}">
      <text>
        <r>
          <rPr>
            <b/>
            <sz val="9"/>
            <color indexed="81"/>
            <rFont val="Tahoma"/>
            <family val="2"/>
          </rPr>
          <t>Vo, Jessica (Research):</t>
        </r>
        <r>
          <rPr>
            <sz val="9"/>
            <color indexed="81"/>
            <rFont val="Tahoma"/>
            <family val="2"/>
          </rPr>
          <t xml:space="preserve">
FY accounts pdf pg 74</t>
        </r>
      </text>
    </comment>
    <comment ref="CK562" authorId="7" shapeId="0" xr:uid="{00000000-0006-0000-0600-00001B000000}">
      <text>
        <r>
          <rPr>
            <b/>
            <sz val="8"/>
            <color indexed="81"/>
            <rFont val="Tahoma"/>
            <family val="2"/>
          </rPr>
          <t>rujames:</t>
        </r>
        <r>
          <rPr>
            <sz val="8"/>
            <color indexed="81"/>
            <rFont val="Tahoma"/>
            <family val="2"/>
          </rPr>
          <t xml:space="preserve">
23.508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Kirby-Lewis, Megan (Research)</author>
  </authors>
  <commentList>
    <comment ref="DF50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Kirby-Lewis, Megan (Research):</t>
        </r>
        <r>
          <rPr>
            <sz val="8"/>
            <color indexed="81"/>
            <rFont val="Tahoma"/>
            <family val="2"/>
          </rPr>
          <t xml:space="preserve">
reported as lease related change to D&amp;A</t>
        </r>
      </text>
    </comment>
    <comment ref="DL147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Kirby-Lewis, Megan (Research):</t>
        </r>
        <r>
          <rPr>
            <sz val="9"/>
            <color indexed="81"/>
            <rFont val="Tahoma"/>
            <family val="2"/>
          </rPr>
          <t xml:space="preserve">
Effective tax rate expected to fall to 25% due to R&amp;D tax benefit from 1 July 2021</t>
        </r>
      </text>
    </comment>
    <comment ref="DI176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>Kirby-Lewis, Megan (Research):</t>
        </r>
        <r>
          <rPr>
            <sz val="8"/>
            <color indexed="81"/>
            <rFont val="Tahoma"/>
            <family val="2"/>
          </rPr>
          <t xml:space="preserve">
Added 25mn as deferred from FY20</t>
        </r>
      </text>
    </comment>
    <comment ref="DL176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>Kirby-Lewis, Megan (Research):</t>
        </r>
        <r>
          <rPr>
            <sz val="8"/>
            <color indexed="81"/>
            <rFont val="Tahoma"/>
            <family val="2"/>
          </rPr>
          <t xml:space="preserve">
Added 25mn as deferred from FY20</t>
        </r>
      </text>
    </comment>
  </commentList>
</comments>
</file>

<file path=xl/sharedStrings.xml><?xml version="1.0" encoding="utf-8"?>
<sst xmlns="http://schemas.openxmlformats.org/spreadsheetml/2006/main" count="3391" uniqueCount="1524">
  <si>
    <t xml:space="preserve">          Amort'n  -  brandnames, etc.</t>
  </si>
  <si>
    <t xml:space="preserve">     Other current assets</t>
  </si>
  <si>
    <t xml:space="preserve">          Prepayments</t>
  </si>
  <si>
    <t>Population estimates for calculating profoundly &amp; severely hearing impaired</t>
  </si>
  <si>
    <t>Return on equity (%)</t>
  </si>
  <si>
    <t>Dividend cover (x)</t>
  </si>
  <si>
    <t>Debt</t>
  </si>
  <si>
    <t>Provisions</t>
  </si>
  <si>
    <t>Equity / reserves</t>
  </si>
  <si>
    <t>Equity contributions</t>
  </si>
  <si>
    <t>(Purchase) / sale of intangibles and cap'd R&amp;D</t>
  </si>
  <si>
    <t xml:space="preserve">     Goodwill</t>
  </si>
  <si>
    <t xml:space="preserve">     Brandnames, etc</t>
  </si>
  <si>
    <t xml:space="preserve">     Other intangibles (inc. cap'd R&amp;D)</t>
  </si>
  <si>
    <t xml:space="preserve">     Total capex / depreciation</t>
  </si>
  <si>
    <t xml:space="preserve">     Asset sales ($m)</t>
  </si>
  <si>
    <t>"Unallocated costs"</t>
  </si>
  <si>
    <t>Balance date for period</t>
  </si>
  <si>
    <t>Reported EPS, Abn's and Extra's</t>
  </si>
  <si>
    <t xml:space="preserve">     Share of assoc. chg in retained earnings</t>
  </si>
  <si>
    <t xml:space="preserve">     Share of assoc. chg in reserves</t>
  </si>
  <si>
    <t>Change in Processors</t>
  </si>
  <si>
    <t>COGS/Upgrade</t>
  </si>
  <si>
    <t>Total Gross Profit</t>
  </si>
  <si>
    <t>S&amp;G Expense</t>
  </si>
  <si>
    <t>Admin Expense</t>
  </si>
  <si>
    <t>Segment result</t>
  </si>
  <si>
    <t>Total Revenue</t>
  </si>
  <si>
    <t>as a % of sales</t>
  </si>
  <si>
    <t>R&amp;D Expense</t>
  </si>
  <si>
    <t>DRP participation rate</t>
  </si>
  <si>
    <t>Scrip dividend</t>
  </si>
  <si>
    <t>Share price</t>
  </si>
  <si>
    <t>Discount</t>
  </si>
  <si>
    <t>DRP issue price</t>
  </si>
  <si>
    <t>Availiable Market Severely Deaf  New Born</t>
  </si>
  <si>
    <t xml:space="preserve">Addressable Market Profoundly Deaf New Born </t>
  </si>
  <si>
    <t>Other non-current liabilities</t>
  </si>
  <si>
    <t xml:space="preserve">          Accum amort'n - cap'd R&amp;D</t>
  </si>
  <si>
    <t>US$mn</t>
  </si>
  <si>
    <t>Invested Capital</t>
  </si>
  <si>
    <t>Shareholders Equity</t>
  </si>
  <si>
    <t>Adjusted Equity</t>
  </si>
  <si>
    <t>1st roll</t>
  </si>
  <si>
    <t>2nd roll</t>
  </si>
  <si>
    <t>Current Price</t>
  </si>
  <si>
    <t xml:space="preserve">     Other (inc. chg. in non-curr debt for forecasts)</t>
  </si>
  <si>
    <t xml:space="preserve">                -  associated tax (charge) / benefit</t>
  </si>
  <si>
    <t xml:space="preserve">           -  abn 8</t>
  </si>
  <si>
    <t>% of FY EBIT</t>
  </si>
  <si>
    <t>Yield (%)</t>
  </si>
  <si>
    <t>Macroeconomic assumptions</t>
  </si>
  <si>
    <t>Economic drivers</t>
  </si>
  <si>
    <t xml:space="preserve">     Benchmark cash rate (received on deposits)</t>
  </si>
  <si>
    <t>(millions)</t>
  </si>
  <si>
    <t>Net Income</t>
  </si>
  <si>
    <t>Net Income Reported</t>
  </si>
  <si>
    <t>Diluted EPS</t>
  </si>
  <si>
    <t xml:space="preserve">     Non-current invest.</t>
  </si>
  <si>
    <t>Divestments</t>
  </si>
  <si>
    <t>Capital expenditure</t>
  </si>
  <si>
    <t xml:space="preserve">     Maintenance capex</t>
  </si>
  <si>
    <t xml:space="preserve">     Expansion capex</t>
  </si>
  <si>
    <t xml:space="preserve">     Extraordinaries</t>
  </si>
  <si>
    <t xml:space="preserve">     Tax on extraordinaries (entered as a negative)</t>
  </si>
  <si>
    <t xml:space="preserve">           -  extra 1</t>
  </si>
  <si>
    <t xml:space="preserve">           -  extra 2</t>
  </si>
  <si>
    <t xml:space="preserve">           -  extra 3</t>
  </si>
  <si>
    <t>Morgan Stanley NPAT (pre abn's) &amp; normalised</t>
  </si>
  <si>
    <t>Morgan Stanley EPS (pre abn's) &amp; normalised</t>
  </si>
  <si>
    <t>Morgan Stanley Domestic Data Base Specifics</t>
  </si>
  <si>
    <t>cashflow</t>
  </si>
  <si>
    <t>Interest paid</t>
  </si>
  <si>
    <t>Interest Received</t>
  </si>
  <si>
    <t>Dividends received from minority interests</t>
  </si>
  <si>
    <t xml:space="preserve">     Non-curr accounts receivable</t>
  </si>
  <si>
    <t xml:space="preserve">     Non-curr inventories</t>
  </si>
  <si>
    <t xml:space="preserve">     Other non-current assets</t>
  </si>
  <si>
    <t xml:space="preserve">          Deferred expenditure</t>
  </si>
  <si>
    <t xml:space="preserve">          Future inc tax benefit</t>
  </si>
  <si>
    <t>Amortisation expense</t>
  </si>
  <si>
    <t>SEK/AUD</t>
  </si>
  <si>
    <t xml:space="preserve">           -  Tax Expense(Benefit) - Abnormal Items</t>
  </si>
  <si>
    <t xml:space="preserve">     Maint. capex / depreciation</t>
  </si>
  <si>
    <t xml:space="preserve">     Expansion capex ($m)</t>
  </si>
  <si>
    <t xml:space="preserve">     Current invest.</t>
  </si>
  <si>
    <t xml:space="preserve">          Goodwill - av'ge base value</t>
  </si>
  <si>
    <t>Other current liabilities</t>
  </si>
  <si>
    <t xml:space="preserve">     Deferred income</t>
  </si>
  <si>
    <t>Total current liabilities</t>
  </si>
  <si>
    <t>Exchange rate adjustment</t>
  </si>
  <si>
    <t>Cash at end of financial year</t>
  </si>
  <si>
    <t xml:space="preserve">  BALANCE SHEET</t>
  </si>
  <si>
    <t>Cash</t>
  </si>
  <si>
    <t>Current receivables</t>
  </si>
  <si>
    <t>COH Hedgebook</t>
  </si>
  <si>
    <t>DRP (for period in which paid)</t>
  </si>
  <si>
    <t>Net issuance (purchase) of common equity</t>
  </si>
  <si>
    <t>n</t>
  </si>
  <si>
    <t>Unrecorded goodwill from poolings, write-offsand cumulative amortisation</t>
  </si>
  <si>
    <t>EPS</t>
  </si>
  <si>
    <t>EPS/100</t>
  </si>
  <si>
    <t>EPS fully diluted</t>
  </si>
  <si>
    <t xml:space="preserve">          Goodwill</t>
  </si>
  <si>
    <t>Penetration Implants for profoundly deaf 3 to 18yo</t>
  </si>
  <si>
    <t>Other intangibles</t>
  </si>
  <si>
    <t xml:space="preserve">          Plant &amp; equip.- base value</t>
  </si>
  <si>
    <t xml:space="preserve">          Accum dep'n - plant &amp; equip.</t>
  </si>
  <si>
    <t>Other income</t>
  </si>
  <si>
    <t>Difference</t>
  </si>
  <si>
    <t xml:space="preserve">          Accum amort'n - goodwill</t>
  </si>
  <si>
    <t xml:space="preserve">          Goodwill - WDV</t>
  </si>
  <si>
    <t xml:space="preserve">  MARKET RATIOS / VALUATION</t>
  </si>
  <si>
    <t xml:space="preserve">  PROFIT &amp; LOSS</t>
  </si>
  <si>
    <t>Sales revenue</t>
  </si>
  <si>
    <t xml:space="preserve">     Sales revenue growth (over pcp)</t>
  </si>
  <si>
    <t xml:space="preserve">     Other operating revenue</t>
  </si>
  <si>
    <t xml:space="preserve">          (Profit) / loss on sale of NCA's</t>
  </si>
  <si>
    <t xml:space="preserve">          Forex losses</t>
  </si>
  <si>
    <t xml:space="preserve">          Inc / (dec) in provisions</t>
  </si>
  <si>
    <t>IFRS Effect on Cashflow</t>
  </si>
  <si>
    <t xml:space="preserve">          Exploration expenditure / write-offs</t>
  </si>
  <si>
    <t xml:space="preserve">          Royalties paid</t>
  </si>
  <si>
    <t xml:space="preserve">          Other operating expenses</t>
  </si>
  <si>
    <t>System sales</t>
  </si>
  <si>
    <t>Addressable Market Profoundly Deaf New Born</t>
  </si>
  <si>
    <t>New &amp; accumulative total implant numbers</t>
  </si>
  <si>
    <t>EV/EBITDA</t>
  </si>
  <si>
    <r>
      <t>NOPLAT</t>
    </r>
    <r>
      <rPr>
        <vertAlign val="subscript"/>
        <sz val="10"/>
        <rFont val="Arial"/>
        <family val="2"/>
      </rPr>
      <t>T+1</t>
    </r>
    <r>
      <rPr>
        <sz val="10"/>
        <rFont val="Arial"/>
        <family val="2"/>
      </rPr>
      <t xml:space="preserve"> = The normalised level of NOPLAT in the first year after the explicit forecast period.</t>
    </r>
  </si>
  <si>
    <t>P/E ratio</t>
  </si>
  <si>
    <t>x</t>
  </si>
  <si>
    <t xml:space="preserve">     Cash tax payment split</t>
  </si>
  <si>
    <t>Intangibles (expand for detail)</t>
  </si>
  <si>
    <t xml:space="preserve">     Brandnames</t>
  </si>
  <si>
    <t xml:space="preserve">     Other intangibles</t>
  </si>
  <si>
    <t xml:space="preserve">          Capitalised R&amp;D</t>
  </si>
  <si>
    <t xml:space="preserve">     Morgan Stanley analytical adjustments</t>
  </si>
  <si>
    <t xml:space="preserve">          Morgan Stanley NPAT (pre abn's)</t>
  </si>
  <si>
    <t xml:space="preserve">          Plant &amp; equip.- WDV</t>
  </si>
  <si>
    <t xml:space="preserve">          Plant &amp; equip.- av'ge base value</t>
  </si>
  <si>
    <t>A$m</t>
  </si>
  <si>
    <t xml:space="preserve">Total </t>
  </si>
  <si>
    <t xml:space="preserve">     Current pay's as % of sales</t>
  </si>
  <si>
    <t xml:space="preserve">     Current prov's as % of sales</t>
  </si>
  <si>
    <t xml:space="preserve">     Non-curr. prov's as % of sales</t>
  </si>
  <si>
    <t>Working capital ratios (expand to display)</t>
  </si>
  <si>
    <t xml:space="preserve">     Current rec's as % of sales</t>
  </si>
  <si>
    <t xml:space="preserve">     Current invent. as % of sales</t>
  </si>
  <si>
    <t xml:space="preserve">     Trade debtors</t>
  </si>
  <si>
    <t xml:space="preserve">     Other debtors</t>
  </si>
  <si>
    <t xml:space="preserve">     Finance advances and loans</t>
  </si>
  <si>
    <t>Current investments</t>
  </si>
  <si>
    <t>Current inventories</t>
  </si>
  <si>
    <t>€</t>
  </si>
  <si>
    <t xml:space="preserve">     Convertible notes exercised</t>
  </si>
  <si>
    <t>EBIT (pre hedge)</t>
  </si>
  <si>
    <t>EBIT (reported)</t>
  </si>
  <si>
    <t>EBIT (post hedge)</t>
  </si>
  <si>
    <t>Reported EBIT</t>
  </si>
  <si>
    <t>Total EBIT (pre hedge gains)</t>
  </si>
  <si>
    <t>Total EBIT (pre other income)</t>
  </si>
  <si>
    <t>Total Costs</t>
  </si>
  <si>
    <t>Segment Costs</t>
  </si>
  <si>
    <t>hedging</t>
  </si>
  <si>
    <t>other income related</t>
  </si>
  <si>
    <t>Average rate</t>
  </si>
  <si>
    <t>"Value"</t>
  </si>
  <si>
    <t>Less "Booked"</t>
  </si>
  <si>
    <t xml:space="preserve">     Morgan Stanleyadj NPAT</t>
  </si>
  <si>
    <t xml:space="preserve">     Average inventory</t>
  </si>
  <si>
    <t xml:space="preserve">     Inventory turnover</t>
  </si>
  <si>
    <t xml:space="preserve">     Days inventory</t>
  </si>
  <si>
    <t>days</t>
  </si>
  <si>
    <t xml:space="preserve">     Days debtors</t>
  </si>
  <si>
    <t xml:space="preserve">     Days creditors</t>
  </si>
  <si>
    <t>Return on assets</t>
  </si>
  <si>
    <t>Return on equity</t>
  </si>
  <si>
    <t>Ordinary shares on issue  -  opening</t>
  </si>
  <si>
    <t xml:space="preserve">  Morgan Stanley Modelware Specifics</t>
  </si>
  <si>
    <t>P&amp;L</t>
  </si>
  <si>
    <t xml:space="preserve">     EBIT / sales</t>
  </si>
  <si>
    <t># of Implants for severely deaf 3 to 18yo</t>
  </si>
  <si>
    <t>CHECK TOTAL IMPLANTS</t>
  </si>
  <si>
    <t>Total available for appropriation</t>
  </si>
  <si>
    <t>Dividends paid or provided</t>
  </si>
  <si>
    <t>Adjustments</t>
  </si>
  <si>
    <t>Retained profits  -  closing</t>
  </si>
  <si>
    <t xml:space="preserve">  P&amp;L - RATIOS</t>
  </si>
  <si>
    <t>Growth over pcp</t>
  </si>
  <si>
    <t xml:space="preserve">     Sales</t>
  </si>
  <si>
    <t xml:space="preserve">     EBITDA</t>
  </si>
  <si>
    <t>% of Implants for profoundly deaf</t>
  </si>
  <si>
    <t>% of Implants for severly hearing impaired</t>
  </si>
  <si>
    <t># of Implants for new borns profoundly deaf</t>
  </si>
  <si>
    <t># of Implants for new borns severely deaf</t>
  </si>
  <si>
    <t xml:space="preserve">          % of FY sales</t>
  </si>
  <si>
    <t xml:space="preserve">          % of FY EBIT</t>
  </si>
  <si>
    <t>Operating Metrics</t>
  </si>
  <si>
    <t xml:space="preserve">                                -  leased assets</t>
  </si>
  <si>
    <t xml:space="preserve">           -  extra 6</t>
  </si>
  <si>
    <t xml:space="preserve">           -  extra 7</t>
  </si>
  <si>
    <t xml:space="preserve">           -  extra 8</t>
  </si>
  <si>
    <t xml:space="preserve">           -  extra 9</t>
  </si>
  <si>
    <t>Other non-current assets</t>
  </si>
  <si>
    <t xml:space="preserve">     Deferred expenditure</t>
  </si>
  <si>
    <t xml:space="preserve">     Future income tax benefit</t>
  </si>
  <si>
    <t>Valuation data</t>
  </si>
  <si>
    <t>EPS (c)</t>
  </si>
  <si>
    <t>unallocated</t>
  </si>
  <si>
    <t>growth</t>
  </si>
  <si>
    <t>Operating cashflow (per standard)</t>
  </si>
  <si>
    <t xml:space="preserve">          Reported NPAT (pre abn's)</t>
  </si>
  <si>
    <t xml:space="preserve"> CASHFLOW</t>
  </si>
  <si>
    <t>Total Gross Margin</t>
  </si>
  <si>
    <t>Segment EBIT</t>
  </si>
  <si>
    <t>Current inventories (impacts c/flow working cap. chg.)</t>
  </si>
  <si>
    <t>Non-current assets</t>
  </si>
  <si>
    <t xml:space="preserve">     Property, plant and equipment</t>
  </si>
  <si>
    <t>Intangibles</t>
  </si>
  <si>
    <t xml:space="preserve">   Goodwill (on acquisition)</t>
  </si>
  <si>
    <t>Total Equity Capital</t>
  </si>
  <si>
    <t>Issued Capital</t>
  </si>
  <si>
    <t>Conversion of prefernce shares</t>
  </si>
  <si>
    <t>Less shares bought back</t>
  </si>
  <si>
    <t>Options</t>
  </si>
  <si>
    <t>Opening</t>
  </si>
  <si>
    <t>Exercised</t>
  </si>
  <si>
    <t xml:space="preserve">Expired </t>
  </si>
  <si>
    <t>Issued</t>
  </si>
  <si>
    <t>Closing</t>
  </si>
  <si>
    <t>Average</t>
  </si>
  <si>
    <t>Penetration Implants for new borns profoundly deaf</t>
  </si>
  <si>
    <t>Penetration Implants for severely deaf 19 to seniors</t>
  </si>
  <si>
    <t>Penetration Implants for severely deaf 3 to 18yo</t>
  </si>
  <si>
    <t>Penetration Implants for new borns severely deaf</t>
  </si>
  <si>
    <t>IMPLANTS</t>
  </si>
  <si>
    <t>DCF</t>
  </si>
  <si>
    <t>Operating cashflow</t>
  </si>
  <si>
    <t xml:space="preserve">     Capital redemption reserve</t>
  </si>
  <si>
    <t xml:space="preserve">     Asset revaluation reserve</t>
  </si>
  <si>
    <t>Period Exercised</t>
  </si>
  <si>
    <t>Period Expired</t>
  </si>
  <si>
    <t>Period Issued</t>
  </si>
  <si>
    <t>Preference Capital</t>
  </si>
  <si>
    <t>Group o/heads / Corp. exp. / Unalloc.</t>
  </si>
  <si>
    <t>Availiable Market Profoundly Deaf New Born</t>
  </si>
  <si>
    <t>Availiable Market Severely Deaf  Ex newborn</t>
  </si>
  <si>
    <t xml:space="preserve">          Goodwill. -  base value</t>
  </si>
  <si>
    <t>ERP</t>
  </si>
  <si>
    <t>Operating Current Assets</t>
  </si>
  <si>
    <t>Non-Interest Bearing Current Liabilities</t>
  </si>
  <si>
    <t xml:space="preserve">     Total operating revenue</t>
  </si>
  <si>
    <t xml:space="preserve">     Other revenue</t>
  </si>
  <si>
    <t xml:space="preserve">          Interest revenue</t>
  </si>
  <si>
    <t xml:space="preserve">          Share of assoc. earnings</t>
  </si>
  <si>
    <t xml:space="preserve">          Dividends received  -  other</t>
  </si>
  <si>
    <t xml:space="preserve">          Forex gains</t>
  </si>
  <si>
    <t xml:space="preserve">          Asset sales  -  normal course of op's</t>
  </si>
  <si>
    <t>Fully diluted EFPOWA</t>
  </si>
  <si>
    <t>Dilution factor (K Factor) (to be sourced from database)</t>
  </si>
  <si>
    <t>Shares Paid</t>
  </si>
  <si>
    <t>Period Paid</t>
  </si>
  <si>
    <t>Convertibles treated as equity</t>
  </si>
  <si>
    <t>Reserves</t>
  </si>
  <si>
    <t xml:space="preserve">     Share premium reserve</t>
  </si>
  <si>
    <t xml:space="preserve">     Capital reserve</t>
  </si>
  <si>
    <t xml:space="preserve">     EBITDA margin</t>
  </si>
  <si>
    <t xml:space="preserve">     Depreciation</t>
  </si>
  <si>
    <t xml:space="preserve">          Dep'n  -  land and buildings</t>
  </si>
  <si>
    <t xml:space="preserve">          Dep'n  -  plant and equipment</t>
  </si>
  <si>
    <t>EBITA</t>
  </si>
  <si>
    <t xml:space="preserve">     EBITA margin</t>
  </si>
  <si>
    <t xml:space="preserve">     Amortisation  -  ex goodwill</t>
  </si>
  <si>
    <t>Assumptions</t>
  </si>
  <si>
    <t>Risk free rate</t>
  </si>
  <si>
    <t>Market risk premium</t>
  </si>
  <si>
    <t>Cost of equity</t>
  </si>
  <si>
    <t>WACC</t>
  </si>
  <si>
    <t>Free cash flow</t>
  </si>
  <si>
    <t xml:space="preserve">     Outside equity int's</t>
  </si>
  <si>
    <t xml:space="preserve">     Conv. treated as debt</t>
  </si>
  <si>
    <t>Non-current provisions</t>
  </si>
  <si>
    <t xml:space="preserve">     Deferred tax liability</t>
  </si>
  <si>
    <t xml:space="preserve">     Other non-current provisions</t>
  </si>
  <si>
    <t>Total unallocated expenses</t>
  </si>
  <si>
    <t xml:space="preserve">Hedge </t>
  </si>
  <si>
    <t>FX gains on hedged sales</t>
  </si>
  <si>
    <t>Underlying (ex FX gains)</t>
  </si>
  <si>
    <t>FX rates</t>
  </si>
  <si>
    <t>AUD/EUR</t>
  </si>
  <si>
    <t>SEK/EUR</t>
  </si>
  <si>
    <t>% of A$ sales</t>
  </si>
  <si>
    <t>as % of A$ sales</t>
  </si>
  <si>
    <t>Segment result (pre hedge)</t>
  </si>
  <si>
    <t xml:space="preserve">     Pref. divs declared</t>
  </si>
  <si>
    <t xml:space="preserve">          Adjustment 1</t>
  </si>
  <si>
    <t xml:space="preserve">          Adjustment 2</t>
  </si>
  <si>
    <t xml:space="preserve">          Adjustment 3</t>
  </si>
  <si>
    <t>Statutory Tax Rate</t>
  </si>
  <si>
    <t>Balance Sheet</t>
  </si>
  <si>
    <t xml:space="preserve">     Capitalised R&amp;D</t>
  </si>
  <si>
    <t xml:space="preserve">          Cap'd R&amp;D  -  base value</t>
  </si>
  <si>
    <t xml:space="preserve">     Proxy interest rate for fixed rate debt (need to establish)</t>
  </si>
  <si>
    <t xml:space="preserve">    10 year bond rate</t>
  </si>
  <si>
    <t xml:space="preserve">     Par value</t>
  </si>
  <si>
    <t xml:space="preserve">     Franking credits available</t>
  </si>
  <si>
    <t xml:space="preserve">     Ex-dividend date (DD-Mon-YY)</t>
  </si>
  <si>
    <t xml:space="preserve">     Payable date (DD-Mon-YY)</t>
  </si>
  <si>
    <t>Deaf as a percentage of the general population</t>
  </si>
  <si>
    <t>Whole numbers of profoundly &amp; severely hearing impaired</t>
  </si>
  <si>
    <t>% of Profoundly/Severely deaf 3 years old to 18</t>
  </si>
  <si>
    <t>SG&amp;A</t>
  </si>
  <si>
    <t>Actual less newborns</t>
  </si>
  <si>
    <t>New implants</t>
  </si>
  <si>
    <t>Unallocated</t>
  </si>
  <si>
    <t>Return on assets (%)</t>
  </si>
  <si>
    <t>Americas</t>
  </si>
  <si>
    <t>Europe</t>
  </si>
  <si>
    <t>Beta</t>
  </si>
  <si>
    <t>Goodwill</t>
  </si>
  <si>
    <t xml:space="preserve"> </t>
  </si>
  <si>
    <t xml:space="preserve">          Implied amort'n exp. - goodwilll</t>
  </si>
  <si>
    <t xml:space="preserve">     Amort'n exp. - goodwill.(model link)</t>
  </si>
  <si>
    <t>WACC = The weighted average cost of capital.</t>
  </si>
  <si>
    <t>% of Profoundly/Severely deaf 19 years old to Senior</t>
  </si>
  <si>
    <t>Addressable Market Severly Deaf 19 to Senior</t>
  </si>
  <si>
    <t xml:space="preserve">     Amort'n exp. - P&amp;E leased.(model link)</t>
  </si>
  <si>
    <t>Total</t>
  </si>
  <si>
    <t>Potential classes (expand to enter)</t>
  </si>
  <si>
    <t xml:space="preserve">                     -  potential eq. sub's</t>
  </si>
  <si>
    <t xml:space="preserve">     Dividend payout</t>
  </si>
  <si>
    <t xml:space="preserve">     Dividend cover</t>
  </si>
  <si>
    <t># of Implants for severely deaf 19 to seniors</t>
  </si>
  <si>
    <t xml:space="preserve">          Brandnames, etc</t>
  </si>
  <si>
    <t xml:space="preserve">          Other intangibles (inc. cap'd R&amp;D)</t>
  </si>
  <si>
    <t xml:space="preserve">     (Loans to) / repaid by other entities</t>
  </si>
  <si>
    <t>New Born Population</t>
  </si>
  <si>
    <t>% Death Rates</t>
  </si>
  <si>
    <t>% Birth Rates</t>
  </si>
  <si>
    <t xml:space="preserve"> %  Profoundly Deaf Existing</t>
  </si>
  <si>
    <t>% Profoundly Deaf New Born</t>
  </si>
  <si>
    <t xml:space="preserve"> %  Severely Deaf Existing</t>
  </si>
  <si>
    <t>% Severely Deaf New Born</t>
  </si>
  <si>
    <t>Minorities</t>
  </si>
  <si>
    <t>Financing cashflows</t>
  </si>
  <si>
    <t xml:space="preserve">     Equity raised (expand to enter)</t>
  </si>
  <si>
    <t xml:space="preserve">     Implied interest expense</t>
  </si>
  <si>
    <t>Tax assumptions</t>
  </si>
  <si>
    <t xml:space="preserve">     Effective tax rate</t>
  </si>
  <si>
    <t xml:space="preserve">     Tax loss adj. implied effective tax rate</t>
  </si>
  <si>
    <t xml:space="preserve">     Underlying corporate tax rate</t>
  </si>
  <si>
    <t xml:space="preserve">     Revenue tax losses (assumed recov.)</t>
  </si>
  <si>
    <t xml:space="preserve">     Assumed recovery % of pre-tax profit</t>
  </si>
  <si>
    <t xml:space="preserve">     Implied recovery profile</t>
  </si>
  <si>
    <t>1991</t>
  </si>
  <si>
    <t>1h92</t>
  </si>
  <si>
    <t>2h92</t>
  </si>
  <si>
    <t>1992</t>
  </si>
  <si>
    <t>1h93</t>
  </si>
  <si>
    <t>2h93</t>
  </si>
  <si>
    <t>1993</t>
  </si>
  <si>
    <t>1h94</t>
  </si>
  <si>
    <t>2h94</t>
  </si>
  <si>
    <t>1994</t>
  </si>
  <si>
    <t>1h95</t>
  </si>
  <si>
    <t>2h95</t>
  </si>
  <si>
    <t>1995</t>
  </si>
  <si>
    <t>1h96</t>
  </si>
  <si>
    <t>Actual / Estimate Flag (MUST ENTER)</t>
  </si>
  <si>
    <t>Period Scaling Factor (FOR PERIODS TO UPLOAD)</t>
  </si>
  <si>
    <t>Operating working capital</t>
  </si>
  <si>
    <t>Net P,P&amp;E</t>
  </si>
  <si>
    <t>Other operating Assets net of other liabilities</t>
  </si>
  <si>
    <t>Operating Invested Capital (ex-goodwill)</t>
  </si>
  <si>
    <t>Operating Capital (including goodwill)</t>
  </si>
  <si>
    <t>Excess cash &amp; securities</t>
  </si>
  <si>
    <t>Non-operating investments</t>
  </si>
  <si>
    <t>Total Investor Funds</t>
  </si>
  <si>
    <t>Net Income (Cashflow statement)</t>
  </si>
  <si>
    <t>Shareholders equity</t>
  </si>
  <si>
    <t>Addressable Market Severly Deaf 18 to Senior</t>
  </si>
  <si>
    <t>Addressable Market Severely Deaf  3 to 17</t>
  </si>
  <si>
    <t>Availiable Market Profoundly Deaf  ex newborn</t>
  </si>
  <si>
    <t xml:space="preserve">     Discount rate assumption</t>
  </si>
  <si>
    <t>Asia Pacific</t>
  </si>
  <si>
    <t>Balance sheet drivers</t>
  </si>
  <si>
    <t>Change in working capital ($m)</t>
  </si>
  <si>
    <t>Shareholders equity (expand for detail)</t>
  </si>
  <si>
    <t>Ordinary share capital</t>
  </si>
  <si>
    <t>Cashflow</t>
  </si>
  <si>
    <t>Amortisation</t>
  </si>
  <si>
    <t>COH.AX</t>
  </si>
  <si>
    <t xml:space="preserve">     Implied DRP issued capital</t>
  </si>
  <si>
    <t xml:space="preserve">     DRP issued capital - model link</t>
  </si>
  <si>
    <t>EMEA</t>
  </si>
  <si>
    <t>Cochlear system revenue</t>
  </si>
  <si>
    <t>Cochlear implants</t>
  </si>
  <si>
    <t>Baha system sales</t>
  </si>
  <si>
    <t>SEK mn</t>
  </si>
  <si>
    <t>COGS/System</t>
  </si>
  <si>
    <t>COGS/unit</t>
  </si>
  <si>
    <t>margin</t>
  </si>
  <si>
    <t xml:space="preserve">     Class 3  -  Preference shares</t>
  </si>
  <si>
    <t xml:space="preserve">     Dividends provided</t>
  </si>
  <si>
    <t xml:space="preserve">     Current accounts payable</t>
  </si>
  <si>
    <t>Working capital % of sales</t>
  </si>
  <si>
    <t>Provisions % of sales</t>
  </si>
  <si>
    <t>Current accounts payable (impacts c/flow working cap. chg)</t>
  </si>
  <si>
    <t>Current provisions (impacts c/flow chg. in prov's)</t>
  </si>
  <si>
    <t xml:space="preserve">     Class 1  -  potential ords  - Options</t>
  </si>
  <si>
    <t xml:space="preserve">     Class 2  -  Convertibles</t>
  </si>
  <si>
    <t>Hedge</t>
  </si>
  <si>
    <t>Other non-cash items</t>
  </si>
  <si>
    <t xml:space="preserve">     Amort'n exp. - cap'd R&amp;D.(model link)</t>
  </si>
  <si>
    <t xml:space="preserve">          Other intang. -  base value</t>
  </si>
  <si>
    <t>Enterprise value</t>
  </si>
  <si>
    <t>(Loans to) / repaid by other entities</t>
  </si>
  <si>
    <t>Other investing inflow / (outflow)</t>
  </si>
  <si>
    <t>Investing cashflow</t>
  </si>
  <si>
    <t>Equity raised (expand to enter)</t>
  </si>
  <si>
    <t xml:space="preserve">          Amort'n rate - other intang.</t>
  </si>
  <si>
    <t>CI revenue</t>
  </si>
  <si>
    <t>BAHA revenue</t>
  </si>
  <si>
    <t>CI Units</t>
  </si>
  <si>
    <t>Unit Price</t>
  </si>
  <si>
    <t>USD</t>
  </si>
  <si>
    <t>COGS</t>
  </si>
  <si>
    <t>S&amp;G</t>
  </si>
  <si>
    <t>R&amp;D</t>
  </si>
  <si>
    <t>Total COGS</t>
  </si>
  <si>
    <t>Margin</t>
  </si>
  <si>
    <t>Asia/ROW</t>
  </si>
  <si>
    <t>Actual Population</t>
  </si>
  <si>
    <t>Interest revenue</t>
  </si>
  <si>
    <t xml:space="preserve">           -  extra 10</t>
  </si>
  <si>
    <t>Minority interests in extra's (net of tax)</t>
  </si>
  <si>
    <t>Reported NPAT, Abn's and Extra's</t>
  </si>
  <si>
    <t>Retained profits  -  opening</t>
  </si>
  <si>
    <t>% of Implants for new borns profoundly deaf</t>
  </si>
  <si>
    <t>% of Implants for new borns severely deaf</t>
  </si>
  <si>
    <t>Yen</t>
  </si>
  <si>
    <t>A$ amount</t>
  </si>
  <si>
    <t>Conversion rate</t>
  </si>
  <si>
    <t>Euro</t>
  </si>
  <si>
    <t>GBP</t>
  </si>
  <si>
    <t>Bought Back</t>
  </si>
  <si>
    <t>Shares Converted</t>
  </si>
  <si>
    <t>Period Converted</t>
  </si>
  <si>
    <t>Period Bought back</t>
  </si>
  <si>
    <t>Convertible Notes</t>
  </si>
  <si>
    <t>EBIT (pre group o/h / corp. exp.)</t>
  </si>
  <si>
    <t xml:space="preserve">     Other current liabilities</t>
  </si>
  <si>
    <t xml:space="preserve">          Deferred income</t>
  </si>
  <si>
    <t xml:space="preserve">     Non-curr accounts payable</t>
  </si>
  <si>
    <t xml:space="preserve">     Other non-curr liabilities</t>
  </si>
  <si>
    <t>Dividends</t>
  </si>
  <si>
    <t xml:space="preserve">     Dividend per share</t>
  </si>
  <si>
    <t xml:space="preserve">          Asset sales  -  sale of invest's / other</t>
  </si>
  <si>
    <t>Non-current liabilities (inc. ent. as neg.)</t>
  </si>
  <si>
    <t>Non-current borrowings</t>
  </si>
  <si>
    <t>%</t>
  </si>
  <si>
    <t>EBIT</t>
  </si>
  <si>
    <t>EBITDA</t>
  </si>
  <si>
    <t xml:space="preserve">     Hedging (IFRS)</t>
  </si>
  <si>
    <t xml:space="preserve">     Financial instrument and derivatives  (IFRS)</t>
  </si>
  <si>
    <t xml:space="preserve">     Other one time items</t>
  </si>
  <si>
    <t xml:space="preserve">     Goodwill Asset Impairment</t>
  </si>
  <si>
    <t xml:space="preserve">     Indefinite life Impairment</t>
  </si>
  <si>
    <t>P/E ratio (x)</t>
  </si>
  <si>
    <t>EPS growth (%)</t>
  </si>
  <si>
    <t>Reported profit</t>
  </si>
  <si>
    <t>EV / EBIT (x)</t>
  </si>
  <si>
    <t>EBIT / sales</t>
  </si>
  <si>
    <t>EV / EBITDA (x)</t>
  </si>
  <si>
    <t>DPS (c)</t>
  </si>
  <si>
    <t>CFPS (c)</t>
  </si>
  <si>
    <t>% of FY sales</t>
  </si>
  <si>
    <t>Net debt / equity (%)</t>
  </si>
  <si>
    <t>Operating Revenue</t>
  </si>
  <si>
    <t>Operating Expenses</t>
  </si>
  <si>
    <t>Pre-tax Operating Profit</t>
  </si>
  <si>
    <t>NOPAT</t>
  </si>
  <si>
    <t>Non-Converting Preference shares</t>
  </si>
  <si>
    <t>EFPO - Weighted Average as per annual Report</t>
  </si>
  <si>
    <t>Economic Profit = Invested Capital X (ROIC - WACC)</t>
  </si>
  <si>
    <t>c</t>
  </si>
  <si>
    <t>Gross Profit</t>
  </si>
  <si>
    <t>Gross Margin</t>
  </si>
  <si>
    <t>% of sales</t>
  </si>
  <si>
    <t>AUD/USD</t>
  </si>
  <si>
    <t>AUD</t>
  </si>
  <si>
    <t>Growth</t>
  </si>
  <si>
    <t>ROW</t>
  </si>
  <si>
    <t>EV/EBIT</t>
  </si>
  <si>
    <t>Dividing the Profoundly &amp; Severely Hearing Impaired (ex-newborns) into Age categories</t>
  </si>
  <si>
    <t>Reported NPAT (pre abn's)</t>
  </si>
  <si>
    <t>$m</t>
  </si>
  <si>
    <t xml:space="preserve">     DRP participation rate</t>
  </si>
  <si>
    <t xml:space="preserve">     DRP discount</t>
  </si>
  <si>
    <t xml:space="preserve">     Foreign currency translation reserve</t>
  </si>
  <si>
    <t xml:space="preserve">     General / other reserves</t>
  </si>
  <si>
    <t>Retained profits</t>
  </si>
  <si>
    <t>Shareholders equity (attrib to Co.)</t>
  </si>
  <si>
    <t>Outside equity interests</t>
  </si>
  <si>
    <t>Total shareholders equity</t>
  </si>
  <si>
    <t xml:space="preserve">          Issued capital component</t>
  </si>
  <si>
    <t>Issued during year:</t>
  </si>
  <si>
    <t>Pr / NTA</t>
  </si>
  <si>
    <t>EPS growth</t>
  </si>
  <si>
    <t>A</t>
  </si>
  <si>
    <t>E</t>
  </si>
  <si>
    <t xml:space="preserve">  HOUSEKEEPING ITEMS</t>
  </si>
  <si>
    <t>1h85</t>
  </si>
  <si>
    <t>2h85</t>
  </si>
  <si>
    <t>1985</t>
  </si>
  <si>
    <t>1h86</t>
  </si>
  <si>
    <t>2h86</t>
  </si>
  <si>
    <t>1986</t>
  </si>
  <si>
    <t>1h87</t>
  </si>
  <si>
    <t>Cash flow</t>
  </si>
  <si>
    <t xml:space="preserve">     DRP</t>
  </si>
  <si>
    <t xml:space="preserve">     Employee Share Plan</t>
  </si>
  <si>
    <t xml:space="preserve">                     -  notional int. adj.</t>
  </si>
  <si>
    <t xml:space="preserve">                     -  diluting (Y/N)</t>
  </si>
  <si>
    <t>N</t>
  </si>
  <si>
    <t>Asset sales</t>
  </si>
  <si>
    <t>Investments</t>
  </si>
  <si>
    <t>Equity raised</t>
  </si>
  <si>
    <t>Net interest expense</t>
  </si>
  <si>
    <t>Dividends paid</t>
  </si>
  <si>
    <t>Pre-tax profit</t>
  </si>
  <si>
    <t>Tax</t>
  </si>
  <si>
    <t xml:space="preserve">     Dep'n exp. - P&amp;E owned.(model link)</t>
  </si>
  <si>
    <t xml:space="preserve">     Amortisation assumptions</t>
  </si>
  <si>
    <t xml:space="preserve">     Plant and equipment (leased)</t>
  </si>
  <si>
    <t xml:space="preserve">          % of plant &amp; equip leased</t>
  </si>
  <si>
    <t xml:space="preserve">          Implied amort'n exp. - plant &amp; equip. (leased)</t>
  </si>
  <si>
    <t>Other P&amp;L items</t>
  </si>
  <si>
    <t xml:space="preserve">     Outside equity interests</t>
  </si>
  <si>
    <t xml:space="preserve">     Preference dividends</t>
  </si>
  <si>
    <t xml:space="preserve">          Other intang. - WDV</t>
  </si>
  <si>
    <t xml:space="preserve">          Other intang. - av'ge base value</t>
  </si>
  <si>
    <t xml:space="preserve">          Other intang. - av'ge WDV</t>
  </si>
  <si>
    <t>Net interest paid</t>
  </si>
  <si>
    <t>Tax paid</t>
  </si>
  <si>
    <t>Gross cash from operations</t>
  </si>
  <si>
    <t>(Inc) / dec in working cap.</t>
  </si>
  <si>
    <t>Inc / (dec) in provisions</t>
  </si>
  <si>
    <t xml:space="preserve">     Amort'n exp. - brandnames.(model link)</t>
  </si>
  <si>
    <t xml:space="preserve">          Brandnames. -  base value</t>
  </si>
  <si>
    <t xml:space="preserve">          Accum amort'n - brandnames</t>
  </si>
  <si>
    <t xml:space="preserve">          Brandnames - WDV</t>
  </si>
  <si>
    <t xml:space="preserve">          Brandnames - av'ge base value</t>
  </si>
  <si>
    <t xml:space="preserve">          Brandnames - av'ge WDV</t>
  </si>
  <si>
    <t>Proc / (repay) - non-curr borrowings (def. balancing item)</t>
  </si>
  <si>
    <t xml:space="preserve">     Class 7  -  potential ord's</t>
  </si>
  <si>
    <t xml:space="preserve">     Class 8  -  potential ord's</t>
  </si>
  <si>
    <t xml:space="preserve">     Franking</t>
  </si>
  <si>
    <t xml:space="preserve">  ACQUIS./ DIVEST. B/S REALLOC'S</t>
  </si>
  <si>
    <t>INVEST./ (DIVEST.) FOR ALLOCATION:</t>
  </si>
  <si>
    <t>Scrip component of acquis. (must be adjusted in Issued capital)</t>
  </si>
  <si>
    <t>Issued capital</t>
  </si>
  <si>
    <t>Addressable Market Severly Deaf 3 to 18 yo</t>
  </si>
  <si>
    <t>Absolute numbers of Profoundly &amp; Severely hearing impaired age categories</t>
  </si>
  <si>
    <t>Percent of relevant deaf population with insurance</t>
  </si>
  <si>
    <t>No. sh's iss. (need to man plug in IssCap)</t>
  </si>
  <si>
    <t>m</t>
  </si>
  <si>
    <t>Par value</t>
  </si>
  <si>
    <t>B/S issued capital component</t>
  </si>
  <si>
    <t>B/S share premium reserve component</t>
  </si>
  <si>
    <t>Adjusted DPS</t>
  </si>
  <si>
    <t>Other</t>
  </si>
  <si>
    <t>Payout ratio</t>
  </si>
  <si>
    <t>Dividend cover</t>
  </si>
  <si>
    <t>Franking credits available</t>
  </si>
  <si>
    <t xml:space="preserve">     Benchmark cash rate</t>
  </si>
  <si>
    <t xml:space="preserve">     Cash rate received</t>
  </si>
  <si>
    <t xml:space="preserve">     Average cash balance</t>
  </si>
  <si>
    <t xml:space="preserve">     Implied interest received</t>
  </si>
  <si>
    <t xml:space="preserve">     Interest revenue (model link)</t>
  </si>
  <si>
    <t>Interest expense</t>
  </si>
  <si>
    <t>Co. specific assumptions</t>
  </si>
  <si>
    <t>Profit and loss drivers</t>
  </si>
  <si>
    <t>Dividends received</t>
  </si>
  <si>
    <t>Forex gains</t>
  </si>
  <si>
    <t>Other revenue</t>
  </si>
  <si>
    <t>Depreciation and amortisation charges</t>
  </si>
  <si>
    <t xml:space="preserve">     Dep'n expense</t>
  </si>
  <si>
    <t xml:space="preserve">     Amort'n expense</t>
  </si>
  <si>
    <t xml:space="preserve">           -  extra 4</t>
  </si>
  <si>
    <t xml:space="preserve">          Amort'n rate - brandnames</t>
  </si>
  <si>
    <t xml:space="preserve">          Implied amort'n exp. - brandnames</t>
  </si>
  <si>
    <t>Cash at beginning of financial year</t>
  </si>
  <si>
    <t>1987</t>
  </si>
  <si>
    <t>1h88</t>
  </si>
  <si>
    <t>2h88</t>
  </si>
  <si>
    <t>1988</t>
  </si>
  <si>
    <t>1h89</t>
  </si>
  <si>
    <t>2h89</t>
  </si>
  <si>
    <t>1989</t>
  </si>
  <si>
    <t>1h90</t>
  </si>
  <si>
    <t>2h90</t>
  </si>
  <si>
    <t>1990</t>
  </si>
  <si>
    <t>1h91</t>
  </si>
  <si>
    <t>A$mn</t>
  </si>
  <si>
    <t>Return on funds employed</t>
  </si>
  <si>
    <t xml:space="preserve">  DIVIDENDS</t>
  </si>
  <si>
    <t>Dividends paid (or provided)</t>
  </si>
  <si>
    <t>Net yield</t>
  </si>
  <si>
    <t>Gross yield</t>
  </si>
  <si>
    <t xml:space="preserve">     Reported NPAT (pre abn's)</t>
  </si>
  <si>
    <t>Margins</t>
  </si>
  <si>
    <t xml:space="preserve">     EBITDA / sales</t>
  </si>
  <si>
    <t xml:space="preserve">     EBITA / sales</t>
  </si>
  <si>
    <t xml:space="preserve">     EBITAg / sales</t>
  </si>
  <si>
    <t>CFPS</t>
  </si>
  <si>
    <t>Price / CF</t>
  </si>
  <si>
    <t>DPS</t>
  </si>
  <si>
    <t>Yield</t>
  </si>
  <si>
    <t>Franking</t>
  </si>
  <si>
    <t>NTA per share</t>
  </si>
  <si>
    <t>$</t>
  </si>
  <si>
    <t>Y</t>
  </si>
  <si>
    <t>EBIT margin</t>
  </si>
  <si>
    <t>Segment result higher / (lower) than Model by:</t>
  </si>
  <si>
    <t>Revenue</t>
  </si>
  <si>
    <t xml:space="preserve">     Segment 1</t>
  </si>
  <si>
    <t xml:space="preserve">     Segment 2</t>
  </si>
  <si>
    <t xml:space="preserve">     Segment 3</t>
  </si>
  <si>
    <t xml:space="preserve">     Current prov's</t>
  </si>
  <si>
    <t xml:space="preserve">     Curr prov's (ex tax and divs)</t>
  </si>
  <si>
    <t xml:space="preserve">     Non-current prov's</t>
  </si>
  <si>
    <t>Interest rate assumptions</t>
  </si>
  <si>
    <t xml:space="preserve">     Interest revenue</t>
  </si>
  <si>
    <t xml:space="preserve">          Dep'n rate - plant &amp; equip.</t>
  </si>
  <si>
    <t xml:space="preserve">          % of plant &amp; equip owned</t>
  </si>
  <si>
    <t xml:space="preserve">     Growth over pp (expand to view)</t>
  </si>
  <si>
    <t>Ex-dividend date (DD-Mon-YY)</t>
  </si>
  <si>
    <t>Payable date (DD-Mon-YY)</t>
  </si>
  <si>
    <t xml:space="preserve">  ISSUED CAPITAL</t>
  </si>
  <si>
    <t>EPS A$</t>
  </si>
  <si>
    <t>NPV of Economic profit over 6yr explicit forecasting</t>
  </si>
  <si>
    <t>CV</t>
  </si>
  <si>
    <t>Non-current provisions (impacts c/flow chg. in prov's)</t>
  </si>
  <si>
    <t>Net assets reallocated</t>
  </si>
  <si>
    <t>Balance check total</t>
  </si>
  <si>
    <t>B/S check total</t>
  </si>
  <si>
    <t xml:space="preserve">  C/FLOW &amp; B/S RATIOS</t>
  </si>
  <si>
    <t>Debt / equity</t>
  </si>
  <si>
    <t>Non-current accounts payable</t>
  </si>
  <si>
    <t>Non-current borrowings (incl. Conv treated as debt)</t>
  </si>
  <si>
    <t xml:space="preserve">     Bonds</t>
  </si>
  <si>
    <t xml:space="preserve">  not incorrectly impact operating cashflow</t>
  </si>
  <si>
    <t xml:space="preserve">   (eg. working cap items, provisions, etc.)</t>
  </si>
  <si>
    <t>Percentage break up total implant sold into deaf &amp; severely hearing impaired categories</t>
  </si>
  <si>
    <t>Percentage break up total implant sold into age categories</t>
  </si>
  <si>
    <t>Break-up of total implant numbers into relavant age categories</t>
  </si>
  <si>
    <t>Penetration rates</t>
  </si>
  <si>
    <t xml:space="preserve">          Land &amp; bldg's - WDV</t>
  </si>
  <si>
    <t xml:space="preserve">          Land &amp; bldg's - av'ge base value</t>
  </si>
  <si>
    <t xml:space="preserve">          Land &amp; bldg's - av'ge WDV</t>
  </si>
  <si>
    <t>Addressable Market Profoundly Deaf  Exisitng Under 19 to Senior</t>
  </si>
  <si>
    <t>Addressable Market Profoundly Deaf  3 to 18 yo</t>
  </si>
  <si>
    <t xml:space="preserve">     Co. margin over bill rate - floating debt</t>
  </si>
  <si>
    <t>Implied floating rate for co.</t>
  </si>
  <si>
    <t xml:space="preserve">     Fixed rate</t>
  </si>
  <si>
    <t xml:space="preserve">     Co. margin over fixed rate - fixed debt</t>
  </si>
  <si>
    <t>Implied fixed rate for co.</t>
  </si>
  <si>
    <t xml:space="preserve">     Floating/fixed debt ratio</t>
  </si>
  <si>
    <t xml:space="preserve">     Average debt balance</t>
  </si>
  <si>
    <t>Totals</t>
  </si>
  <si>
    <t>Bone anchored hearing aids (Baha)</t>
  </si>
  <si>
    <t>Admin expense</t>
  </si>
  <si>
    <t>Gross profit</t>
  </si>
  <si>
    <t>Working capital</t>
  </si>
  <si>
    <t xml:space="preserve">     Operating expenses</t>
  </si>
  <si>
    <t xml:space="preserve">          Operating lease rentals</t>
  </si>
  <si>
    <t xml:space="preserve">          R&amp;D expensed</t>
  </si>
  <si>
    <t>Other NCA's  -  FITB</t>
  </si>
  <si>
    <t>Current liabilities (inc. ent as neg.)</t>
  </si>
  <si>
    <t xml:space="preserve">          Amort'n  -  total other</t>
  </si>
  <si>
    <t xml:space="preserve">          Implied dep'n exp. - plant &amp; equip. (owned)</t>
  </si>
  <si>
    <t>Net increase in income tax payable</t>
  </si>
  <si>
    <t>Receivables</t>
  </si>
  <si>
    <t>Inventories</t>
  </si>
  <si>
    <t>Net PPE</t>
  </si>
  <si>
    <t xml:space="preserve">                                -  other</t>
  </si>
  <si>
    <t>EBITAg</t>
  </si>
  <si>
    <t xml:space="preserve">     EBITAg margin</t>
  </si>
  <si>
    <t xml:space="preserve">     Goodwill amortisation</t>
  </si>
  <si>
    <t xml:space="preserve">     EBIT margin</t>
  </si>
  <si>
    <t xml:space="preserve">     EBITA</t>
  </si>
  <si>
    <t xml:space="preserve">     EBITAg</t>
  </si>
  <si>
    <t xml:space="preserve">     EBIT</t>
  </si>
  <si>
    <t>Share Based Payment Expense (IFRS)</t>
  </si>
  <si>
    <t>Pension Fund Adjustment (IFRS)</t>
  </si>
  <si>
    <t>€ mn</t>
  </si>
  <si>
    <t>Enitific revenue</t>
  </si>
  <si>
    <t xml:space="preserve">COGS per unit </t>
  </si>
  <si>
    <t>Group</t>
  </si>
  <si>
    <t>Segment Revenue</t>
  </si>
  <si>
    <t>Segment gross profit</t>
  </si>
  <si>
    <t>Segment S&amp;G</t>
  </si>
  <si>
    <t>% of total</t>
  </si>
  <si>
    <t>Segment Administration</t>
  </si>
  <si>
    <t>Segment R&amp;D</t>
  </si>
  <si>
    <t xml:space="preserve">     Share of assoc. earnings</t>
  </si>
  <si>
    <t xml:space="preserve">     Chg in value of invest. in assoc.</t>
  </si>
  <si>
    <t xml:space="preserve">     Raw materials</t>
  </si>
  <si>
    <t xml:space="preserve">     Work in progress</t>
  </si>
  <si>
    <t xml:space="preserve">     Finished goods</t>
  </si>
  <si>
    <t xml:space="preserve">     Other</t>
  </si>
  <si>
    <t>Other current assets</t>
  </si>
  <si>
    <t xml:space="preserve">     Prepayments</t>
  </si>
  <si>
    <t>Total current assets</t>
  </si>
  <si>
    <t>Non-current receivables</t>
  </si>
  <si>
    <t>Property, plant and equipment</t>
  </si>
  <si>
    <t xml:space="preserve">     Land and buildings</t>
  </si>
  <si>
    <t xml:space="preserve">     Plant and equipment</t>
  </si>
  <si>
    <t>Non-current investments</t>
  </si>
  <si>
    <t>Non-current inventories</t>
  </si>
  <si>
    <t>2h91</t>
  </si>
  <si>
    <t xml:space="preserve">     PV of tax losses carried forward</t>
  </si>
  <si>
    <t xml:space="preserve">     PV of tax losses per share</t>
  </si>
  <si>
    <t xml:space="preserve">          Sales</t>
  </si>
  <si>
    <t xml:space="preserve">          EBITDA</t>
  </si>
  <si>
    <t>% of Implants for profoundly deaf 19 to senior</t>
  </si>
  <si>
    <t>% of Implants for profoundly deaf 3 to 18 yo</t>
  </si>
  <si>
    <t>Current provisions</t>
  </si>
  <si>
    <t xml:space="preserve">     Dividends</t>
  </si>
  <si>
    <t xml:space="preserve">     Tax</t>
  </si>
  <si>
    <t xml:space="preserve">     Employee entitlements</t>
  </si>
  <si>
    <t xml:space="preserve">           -  extra 5</t>
  </si>
  <si>
    <t xml:space="preserve">          Equity profits from assoc (pre standard chg)</t>
  </si>
  <si>
    <t xml:space="preserve">     Abnormals</t>
  </si>
  <si>
    <t xml:space="preserve">     Tax on abn's (entered as -ve)</t>
  </si>
  <si>
    <t xml:space="preserve">     Other Asset Impairment</t>
  </si>
  <si>
    <t xml:space="preserve">     Abnormal Items Before Tax</t>
  </si>
  <si>
    <t>Entific</t>
  </si>
  <si>
    <t>Baha Revenue/Unit</t>
  </si>
  <si>
    <t xml:space="preserve">     Current accounts receivable</t>
  </si>
  <si>
    <t xml:space="preserve">     Current inventories</t>
  </si>
  <si>
    <t>Capex as % of sales</t>
  </si>
  <si>
    <t xml:space="preserve">     Current investments</t>
  </si>
  <si>
    <t xml:space="preserve">     Non-current investments</t>
  </si>
  <si>
    <t>Other investing cashflows</t>
  </si>
  <si>
    <t xml:space="preserve">     (Purchase) / sale of intangibles and cap'd R&amp;D</t>
  </si>
  <si>
    <t xml:space="preserve">     Other investing inflow / (outflow)</t>
  </si>
  <si>
    <t>Constant currency numbers</t>
  </si>
  <si>
    <t xml:space="preserve">          Implied dep'n exp. - land &amp; bld'gs</t>
  </si>
  <si>
    <t xml:space="preserve">     Dep'n exp.- land &amp; bldg's.(model link)</t>
  </si>
  <si>
    <t xml:space="preserve">     Plant &amp; equipment</t>
  </si>
  <si>
    <t xml:space="preserve">          Accum dep'n - land &amp; bldg's</t>
  </si>
  <si>
    <t>Change in COGS</t>
  </si>
  <si>
    <t>Net Financial Income (Pretax)</t>
  </si>
  <si>
    <t>Net Financial Income</t>
  </si>
  <si>
    <t>Other Income</t>
  </si>
  <si>
    <t>Net Non-operating Income</t>
  </si>
  <si>
    <t xml:space="preserve">          Dep'n rate - land &amp; bld'gs</t>
  </si>
  <si>
    <t>Current implied earnings diff.</t>
  </si>
  <si>
    <t>Existing forecasts</t>
  </si>
  <si>
    <t>Forecasts using current drivers</t>
  </si>
  <si>
    <t>% implied forecasts higher / (lower)</t>
  </si>
  <si>
    <t xml:space="preserve">     NPAT (pre abn's)</t>
  </si>
  <si>
    <t>Model link balances</t>
  </si>
  <si>
    <t xml:space="preserve">     Proc / (repay) - total debt</t>
  </si>
  <si>
    <t xml:space="preserve">          Proc / (repay) - curr debt</t>
  </si>
  <si>
    <t xml:space="preserve">          Proc / (repay) - non-curr debt</t>
  </si>
  <si>
    <t xml:space="preserve">     Other financing inflow / (outflow)</t>
  </si>
  <si>
    <t>Change in net cash</t>
  </si>
  <si>
    <t>Other balance sheet drivers</t>
  </si>
  <si>
    <t>Model links reconcile with calc. bal's (Y/N)</t>
  </si>
  <si>
    <t>Depreciation expense</t>
  </si>
  <si>
    <t>Total non-current assets</t>
  </si>
  <si>
    <t>Total assets</t>
  </si>
  <si>
    <t>Current accounts payable</t>
  </si>
  <si>
    <t xml:space="preserve">     Trade creditors</t>
  </si>
  <si>
    <t xml:space="preserve">     Other creditors</t>
  </si>
  <si>
    <t>Current borrowings</t>
  </si>
  <si>
    <t xml:space="preserve">     Bank overdrafts</t>
  </si>
  <si>
    <t xml:space="preserve">     Bills payable</t>
  </si>
  <si>
    <t xml:space="preserve">     Bank loans</t>
  </si>
  <si>
    <t xml:space="preserve">     Other loans</t>
  </si>
  <si>
    <t xml:space="preserve">     Lease liabilities</t>
  </si>
  <si>
    <t xml:space="preserve">  be adjusted in balance sheet drivers so as to</t>
  </si>
  <si>
    <t xml:space="preserve">          Accum amort'n - other intang.</t>
  </si>
  <si>
    <t>Addressable Market Profoundly Deaf  18 to Senior</t>
  </si>
  <si>
    <t>Addressable Market Profoundly Deaf  3 to 17</t>
  </si>
  <si>
    <t>Upgrade sales</t>
  </si>
  <si>
    <t>Cochlear system sales</t>
  </si>
  <si>
    <t>Upgrades</t>
  </si>
  <si>
    <t>COGS per unit</t>
  </si>
  <si>
    <t>Addressable Market Severly Deaf New Born</t>
  </si>
  <si>
    <t>% Of Market insured/affordability</t>
  </si>
  <si>
    <t>"Existing" population</t>
  </si>
  <si>
    <t xml:space="preserve">          Amort'n rate - goodwill</t>
  </si>
  <si>
    <t xml:space="preserve">     Net int. exp.(exp to enter detail)</t>
  </si>
  <si>
    <t xml:space="preserve">          Int. revenue</t>
  </si>
  <si>
    <t xml:space="preserve">          Interest expense</t>
  </si>
  <si>
    <t xml:space="preserve">          Int. on convertible notes</t>
  </si>
  <si>
    <t xml:space="preserve">          Interest capitalised</t>
  </si>
  <si>
    <t>Pre tax profit</t>
  </si>
  <si>
    <t xml:space="preserve">     Income tax charge</t>
  </si>
  <si>
    <t xml:space="preserve">          Effective tax rate</t>
  </si>
  <si>
    <t>Other financing inflow / (outflow)</t>
  </si>
  <si>
    <t>Financing cashflow</t>
  </si>
  <si>
    <t>Change in net cash (optional for f/casts)</t>
  </si>
  <si>
    <t>Free cashflow adjustments:</t>
  </si>
  <si>
    <t>Maintenance capex</t>
  </si>
  <si>
    <t>Free cashflow</t>
  </si>
  <si>
    <t>Interest expense (sign adjusted)</t>
  </si>
  <si>
    <t>IE adjustment factor</t>
  </si>
  <si>
    <t>Tax expense</t>
  </si>
  <si>
    <t>Outside Equity Interests</t>
  </si>
  <si>
    <t xml:space="preserve">          Other</t>
  </si>
  <si>
    <t>Total revenue (per accounts)</t>
  </si>
  <si>
    <t xml:space="preserve">     Issued capital component</t>
  </si>
  <si>
    <t xml:space="preserve">     Share prem. res. component</t>
  </si>
  <si>
    <t>Dividends paid (net of DRP)</t>
  </si>
  <si>
    <t>Proc / (repay) - curr. borrowings</t>
  </si>
  <si>
    <t xml:space="preserve">     Total dep'n and amort'n</t>
  </si>
  <si>
    <t xml:space="preserve">     Depreciation assumptions</t>
  </si>
  <si>
    <t xml:space="preserve">     Land &amp; buildings</t>
  </si>
  <si>
    <t xml:space="preserve">          Land &amp; bldg's. -  base value</t>
  </si>
  <si>
    <t xml:space="preserve">          Implied amort'n exp. - other intang.</t>
  </si>
  <si>
    <t>mstag:gainsLossesFromSaleOfOperatingAssetsOneTimeIncomeStatement</t>
  </si>
  <si>
    <t xml:space="preserve">          Implied amort'n exp. - cap'd R&amp;D</t>
  </si>
  <si>
    <t>% of Implants for severely deaf 3 to 18 yo</t>
  </si>
  <si>
    <t># of Implants for profoundly deaf 19 to senior</t>
  </si>
  <si>
    <t># of Implants for profoundly deaf 3 to 18yo</t>
  </si>
  <si>
    <t xml:space="preserve">          EBITA</t>
  </si>
  <si>
    <t>Ord. shares on issue (FPO)  -  closing</t>
  </si>
  <si>
    <t>Period on issue (days of half year):</t>
  </si>
  <si>
    <t>EFPOWA (pre potentials)</t>
  </si>
  <si>
    <t>Potentials</t>
  </si>
  <si>
    <t xml:space="preserve">     Placement</t>
  </si>
  <si>
    <t xml:space="preserve">     Bonus issue</t>
  </si>
  <si>
    <t xml:space="preserve">     Rights issue</t>
  </si>
  <si>
    <t>ROIC</t>
  </si>
  <si>
    <t>Income Tax Provision</t>
  </si>
  <si>
    <t>Tax Shield Interest Expense Net</t>
  </si>
  <si>
    <t>Tax on non operating income</t>
  </si>
  <si>
    <t>Taxes on EBITA</t>
  </si>
  <si>
    <t>NOPLAT</t>
  </si>
  <si>
    <t xml:space="preserve">     Interest expense</t>
  </si>
  <si>
    <t xml:space="preserve">     90 day bank bill rate</t>
  </si>
  <si>
    <t>Normalized NPAT (pre abn's)</t>
  </si>
  <si>
    <t>Normalized EPS (diluted)</t>
  </si>
  <si>
    <t xml:space="preserve">          EBITAg</t>
  </si>
  <si>
    <t xml:space="preserve">          EBIT</t>
  </si>
  <si>
    <t>No Later than 1yr</t>
  </si>
  <si>
    <t>Between 2-3yrs</t>
  </si>
  <si>
    <t>Between 1-2yrs</t>
  </si>
  <si>
    <t>US$m</t>
  </si>
  <si>
    <t>€m</t>
  </si>
  <si>
    <t>SEK</t>
  </si>
  <si>
    <t>SEK/USD</t>
  </si>
  <si>
    <t xml:space="preserve">                                -  capitalised R&amp;D</t>
  </si>
  <si>
    <t>Total (pre hedge)</t>
  </si>
  <si>
    <t xml:space="preserve">     Options exercised</t>
  </si>
  <si>
    <t>Interest on finance leases</t>
  </si>
  <si>
    <t>Interest incurred</t>
  </si>
  <si>
    <t>Prefernce dividends paid</t>
  </si>
  <si>
    <t>Interest bearing debt</t>
  </si>
  <si>
    <t>Net debt / equity</t>
  </si>
  <si>
    <t>Net interest cover</t>
  </si>
  <si>
    <t>2h87</t>
  </si>
  <si>
    <t>Share premium reserve</t>
  </si>
  <si>
    <t>Deprecation AND Amortisation</t>
  </si>
  <si>
    <t xml:space="preserve">          Share prem. res. component</t>
  </si>
  <si>
    <t xml:space="preserve">     Amort'n exp. - other intang. (model link)</t>
  </si>
  <si>
    <t xml:space="preserve">          Plant &amp; equip.- av'ge WDV</t>
  </si>
  <si>
    <t xml:space="preserve">          Goodwill - av'ge WDV</t>
  </si>
  <si>
    <t>Proceeds from sale of NCA's</t>
  </si>
  <si>
    <t>Acquisitions / equity investments</t>
  </si>
  <si>
    <t xml:space="preserve">           -  abn 9</t>
  </si>
  <si>
    <t xml:space="preserve">           -  abn 10</t>
  </si>
  <si>
    <t xml:space="preserve">     Minority interests in abn's (net of tax)</t>
  </si>
  <si>
    <t>Reported NPAT and Abn's</t>
  </si>
  <si>
    <t>Risk Free Rate</t>
  </si>
  <si>
    <t xml:space="preserve">Adjusted fully diluted EFPOWA </t>
  </si>
  <si>
    <t>Potentials calculations:</t>
  </si>
  <si>
    <t>180 day bank bill rate (used for NIA calc)</t>
  </si>
  <si>
    <t>Aggregates:</t>
  </si>
  <si>
    <t xml:space="preserve">     Total potentials</t>
  </si>
  <si>
    <t xml:space="preserve">     Potential equity sub's</t>
  </si>
  <si>
    <t xml:space="preserve">     Notional interest adjustment</t>
  </si>
  <si>
    <t xml:space="preserve">          Cap'd R&amp;D - WDV</t>
  </si>
  <si>
    <t xml:space="preserve">          Cap'd R&amp;D - av'ge base value</t>
  </si>
  <si>
    <t xml:space="preserve">          Cap'd R&amp;D - av'ge WDV</t>
  </si>
  <si>
    <t xml:space="preserve">     Class 4  -  Partly paids</t>
  </si>
  <si>
    <t xml:space="preserve">     Class 5  -  Other potentials 1</t>
  </si>
  <si>
    <t xml:space="preserve">     Class 6  -  Other potentials 2</t>
  </si>
  <si>
    <t>Cochlear</t>
  </si>
  <si>
    <t>Other (expand to view)</t>
  </si>
  <si>
    <t xml:space="preserve">     Monthly turnover</t>
  </si>
  <si>
    <t xml:space="preserve">     Effective interest rate</t>
  </si>
  <si>
    <t>Economic forecast links (expand)</t>
  </si>
  <si>
    <t>Industry assumptions</t>
  </si>
  <si>
    <t>Industry drivers</t>
  </si>
  <si>
    <t xml:space="preserve">     Industry driver</t>
  </si>
  <si>
    <t>Industry driver forecast links (expand)</t>
  </si>
  <si>
    <t>Segment summary</t>
  </si>
  <si>
    <t>Other Non-convertible Equity classes</t>
  </si>
  <si>
    <t xml:space="preserve">     Maintenance / warranties</t>
  </si>
  <si>
    <t xml:space="preserve">     Rationalisation / restructuring costs</t>
  </si>
  <si>
    <t xml:space="preserve">     Other current provisions</t>
  </si>
  <si>
    <t>US$</t>
  </si>
  <si>
    <t>A$</t>
  </si>
  <si>
    <t>Asia-Pac</t>
  </si>
  <si>
    <t>BAHA</t>
  </si>
  <si>
    <t>Issued capital  -  see Model sheet</t>
  </si>
  <si>
    <t>Other items</t>
  </si>
  <si>
    <t xml:space="preserve">     Deferred income tax liability</t>
  </si>
  <si>
    <t xml:space="preserve">     180 day bank bill rate</t>
  </si>
  <si>
    <t xml:space="preserve">     Economic driver</t>
  </si>
  <si>
    <t>Cash / debt component</t>
  </si>
  <si>
    <t>Total for allocation</t>
  </si>
  <si>
    <t>REALLOCATED TO:</t>
  </si>
  <si>
    <t>Current assets</t>
  </si>
  <si>
    <t>Current receivables (impacts c/flow working cap. chg.)</t>
  </si>
  <si>
    <t>Total non-current liabilities</t>
  </si>
  <si>
    <t>Total liabilities</t>
  </si>
  <si>
    <t>Net assets</t>
  </si>
  <si>
    <t>* Balance sheet driven cashflow items must</t>
  </si>
  <si>
    <t>As a % of sales</t>
  </si>
  <si>
    <t>% of Implants for severely deaf 19 to senior</t>
  </si>
  <si>
    <t>mstag:foreignCurrencyExchangeGainsLosses</t>
  </si>
  <si>
    <t xml:space="preserve">     Other (inc. chg. in curr debt for forecasts)</t>
  </si>
  <si>
    <t xml:space="preserve">          Amort'n rate - cap'd R&amp;D</t>
  </si>
  <si>
    <t>Penetration Implants for profoundly deaf 19 to senior</t>
  </si>
  <si>
    <t>FY15</t>
  </si>
  <si>
    <t>Services</t>
  </si>
  <si>
    <t xml:space="preserve">Year ending Jun </t>
  </si>
  <si>
    <t>Services, upgrades &amp; accessories</t>
  </si>
  <si>
    <t>Chinese tenders</t>
  </si>
  <si>
    <t>ROW ex-tenders</t>
  </si>
  <si>
    <t>FY16</t>
  </si>
  <si>
    <t>Interims (A$mn)</t>
  </si>
  <si>
    <t>Profit and loss (A$mn)</t>
  </si>
  <si>
    <t>Cashflow (A$mn)</t>
  </si>
  <si>
    <t>Balance sheet (A$mn)</t>
  </si>
  <si>
    <t>Ratios</t>
  </si>
  <si>
    <t>1H26</t>
  </si>
  <si>
    <t>2H26</t>
  </si>
  <si>
    <t>1H27</t>
  </si>
  <si>
    <t>2H27</t>
  </si>
  <si>
    <t>Segment (A$mn)</t>
  </si>
  <si>
    <t>APAC</t>
  </si>
  <si>
    <t xml:space="preserve">Key eanrings indicators for RR </t>
  </si>
  <si>
    <t>Cochlear implant unit growth</t>
  </si>
  <si>
    <t>Baha sales</t>
  </si>
  <si>
    <t>Cochlear implant units</t>
  </si>
  <si>
    <t>Cochlear implant sales</t>
  </si>
  <si>
    <t>Depreciation of lease (AASB16)</t>
  </si>
  <si>
    <t>dep exp P&amp;E</t>
  </si>
  <si>
    <t xml:space="preserve">     Interest expense (Lease related)</t>
  </si>
  <si>
    <t>Total Interest expense (MODEL LINK)</t>
  </si>
  <si>
    <t>Lease liability</t>
  </si>
  <si>
    <t>Interest rate applied</t>
  </si>
  <si>
    <t>AASB16 change</t>
  </si>
  <si>
    <t>Right of Use Asset</t>
  </si>
  <si>
    <t>EBIT Post AASB 16</t>
  </si>
  <si>
    <t>Lease Liability</t>
  </si>
  <si>
    <t xml:space="preserve">Net interest paid bank debt </t>
  </si>
  <si>
    <t>Net interest paid lease</t>
  </si>
  <si>
    <t>Lease payments for Cash flow</t>
  </si>
  <si>
    <t>Operating cash flow</t>
  </si>
  <si>
    <t>Financing cash flow</t>
  </si>
  <si>
    <t>Lease Payments</t>
  </si>
  <si>
    <t>EBITDAR</t>
  </si>
  <si>
    <t>D&amp;A</t>
  </si>
  <si>
    <t>Debt pre raising</t>
  </si>
  <si>
    <t>Net debt ex lease</t>
  </si>
  <si>
    <t>Net debt incl lease</t>
  </si>
  <si>
    <t>Total revenue</t>
  </si>
  <si>
    <t>**FORMULA CHANGED. KEPT SGA = PRE COVID**</t>
  </si>
  <si>
    <t>Net debt / (cash) (A$mn) - ex lease</t>
  </si>
  <si>
    <t>Net debt / (cash) (A$mn) - incl lease</t>
  </si>
  <si>
    <t>Right of use asset</t>
  </si>
  <si>
    <t>Current basic shares outstanding</t>
  </si>
  <si>
    <t>Current diluted shares outstanding</t>
  </si>
  <si>
    <t>EM</t>
  </si>
  <si>
    <t>NPAT margin</t>
  </si>
  <si>
    <t>MKIIRB</t>
  </si>
  <si>
    <t>mn</t>
  </si>
  <si>
    <t>FY24</t>
  </si>
  <si>
    <t>Price target</t>
  </si>
  <si>
    <t>Bull case</t>
  </si>
  <si>
    <t>Base case</t>
  </si>
  <si>
    <t>Bear case</t>
  </si>
  <si>
    <t xml:space="preserve">Reported NPAT </t>
  </si>
  <si>
    <t>Reported EPS (diluted)</t>
  </si>
  <si>
    <t>Adults</t>
  </si>
  <si>
    <t>Adults - population</t>
  </si>
  <si>
    <t>Newborns - population</t>
  </si>
  <si>
    <t>Addressable market - simplified - Profound/Severe</t>
  </si>
  <si>
    <t>Implants - simplified - Profound/Severe</t>
  </si>
  <si>
    <t>Affordability adjusted relevant deaf population age brackets</t>
  </si>
  <si>
    <t>Affordability adjusted relevant deaf population age brackets - simplified</t>
  </si>
  <si>
    <t>Allocation of new implants to adult &amp; newborn categories</t>
  </si>
  <si>
    <t>proportion</t>
  </si>
  <si>
    <t>Newborns</t>
  </si>
  <si>
    <t>check</t>
  </si>
  <si>
    <t>Cumulative implants</t>
  </si>
  <si>
    <t>Penetration</t>
  </si>
  <si>
    <t>Forecast growth</t>
  </si>
  <si>
    <t>Total implants</t>
  </si>
  <si>
    <t>Newborns - growing at 2%</t>
  </si>
  <si>
    <t>Newbons - difference vs actual</t>
  </si>
  <si>
    <t>FY27E</t>
  </si>
  <si>
    <r>
      <t>g</t>
    </r>
    <r>
      <rPr>
        <sz val="10"/>
        <rFont val="Arial"/>
        <family val="2"/>
      </rPr>
      <t xml:space="preserve"> = The expected growth rate in NOPLAT in perpetuity.</t>
    </r>
  </si>
  <si>
    <r>
      <t>ROIC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 xml:space="preserve"> = The expected rate of return on new investment.</t>
    </r>
  </si>
  <si>
    <t>Total revenue (pre hedge)</t>
  </si>
  <si>
    <t>Geographic splits - revenue</t>
  </si>
  <si>
    <t>ASP</t>
  </si>
  <si>
    <t/>
  </si>
  <si>
    <t>2027-H1</t>
  </si>
  <si>
    <t>2027-H2</t>
  </si>
  <si>
    <t>2027-FY</t>
  </si>
  <si>
    <t>2028-H1</t>
  </si>
  <si>
    <t>2028-H2</t>
  </si>
  <si>
    <t>2028-FY</t>
  </si>
  <si>
    <t>2029-H1</t>
  </si>
  <si>
    <t>2029-H2</t>
  </si>
  <si>
    <t>2029-FY</t>
  </si>
  <si>
    <t>2030-H1</t>
  </si>
  <si>
    <t>2030-H2</t>
  </si>
  <si>
    <t>2030-FY</t>
  </si>
  <si>
    <t>CI_REV</t>
  </si>
  <si>
    <t>SERV_REV</t>
  </si>
  <si>
    <t>BAHA_REV</t>
  </si>
  <si>
    <t>ADMIN</t>
  </si>
  <si>
    <t>HEDGE</t>
  </si>
  <si>
    <t>OTHER</t>
  </si>
  <si>
    <t>FY28E</t>
  </si>
  <si>
    <t>...growth over pcp</t>
  </si>
  <si>
    <t>…effective tax rate</t>
  </si>
  <si>
    <t>Underlying NPAT</t>
  </si>
  <si>
    <t>Services revenue</t>
  </si>
  <si>
    <t>CI_units</t>
  </si>
  <si>
    <t>NA_REV</t>
  </si>
  <si>
    <t>EUR_REV</t>
  </si>
  <si>
    <t>AP_REV</t>
  </si>
  <si>
    <t>Underplying NPAT</t>
  </si>
  <si>
    <t>Depreciation and amortisation</t>
  </si>
  <si>
    <t>(Inc) / dec in working capital</t>
  </si>
  <si>
    <t>Total shareholder funds</t>
  </si>
  <si>
    <t>Total funds employed</t>
  </si>
  <si>
    <t>Net change in cash</t>
  </si>
  <si>
    <t>Change in loans</t>
  </si>
  <si>
    <t>Gross margin (%)</t>
  </si>
  <si>
    <t>EBIT margin (%)</t>
  </si>
  <si>
    <t>Rating</t>
  </si>
  <si>
    <t>Company</t>
  </si>
  <si>
    <t>Change in working capital</t>
  </si>
  <si>
    <t>Discount factor</t>
  </si>
  <si>
    <t>Discounted free cash flow</t>
  </si>
  <si>
    <t>NPV of cashflows</t>
  </si>
  <si>
    <t>EBIT_REP</t>
  </si>
  <si>
    <t>EBIT_M</t>
  </si>
  <si>
    <t>Gross profit_M</t>
  </si>
  <si>
    <t>FY25</t>
  </si>
  <si>
    <t>Base</t>
  </si>
  <si>
    <t>Cloud</t>
  </si>
  <si>
    <t>ADMIN_CLOUD</t>
  </si>
  <si>
    <t>Cost of debt (post-tax)</t>
  </si>
  <si>
    <t>Terminal growth rate</t>
  </si>
  <si>
    <t>Currency</t>
  </si>
  <si>
    <t>2026E</t>
  </si>
  <si>
    <t>2027E</t>
  </si>
  <si>
    <t>2028E</t>
  </si>
  <si>
    <t>2029E</t>
  </si>
  <si>
    <t>2030E</t>
  </si>
  <si>
    <t>2031E</t>
  </si>
  <si>
    <t>2032E</t>
  </si>
  <si>
    <t>2033E</t>
  </si>
  <si>
    <t>2034E</t>
  </si>
  <si>
    <t xml:space="preserve">Capex </t>
  </si>
  <si>
    <t>Terminal value</t>
  </si>
  <si>
    <t>Net debt</t>
  </si>
  <si>
    <t>Equity value</t>
  </si>
  <si>
    <t>Shares on issue</t>
  </si>
  <si>
    <t>Equity value / share</t>
  </si>
  <si>
    <t>Equity value / share 1-year forward</t>
  </si>
  <si>
    <t>Valuation scenario</t>
  </si>
  <si>
    <t>Weighting</t>
  </si>
  <si>
    <t>Value /share</t>
  </si>
  <si>
    <t>Implied PE multiple</t>
  </si>
  <si>
    <t>Current share price</t>
  </si>
  <si>
    <t>Upside</t>
  </si>
  <si>
    <t>Cloud computing expenses</t>
  </si>
  <si>
    <t>Underlying NPAT post-cloud expenses</t>
  </si>
  <si>
    <t>FY26</t>
  </si>
  <si>
    <t>Developed</t>
  </si>
  <si>
    <t>RM</t>
  </si>
  <si>
    <t>FY27</t>
  </si>
  <si>
    <t>2035E</t>
  </si>
  <si>
    <t>NPAT margin (%)</t>
  </si>
  <si>
    <t>PBT (ex-cloud)</t>
  </si>
  <si>
    <t>Tax on cloud</t>
  </si>
  <si>
    <t>PBT (inc cloud)</t>
  </si>
  <si>
    <t>Tax (inc cloud)</t>
  </si>
  <si>
    <t>Tax (ex cloud)</t>
  </si>
  <si>
    <t>NPAT (ex cloud)</t>
  </si>
  <si>
    <t>NPAT (inc cloud)</t>
  </si>
  <si>
    <t>Cochlear  (COH:$199.22)</t>
  </si>
  <si>
    <t xml:space="preserve">1 Austin Road West </t>
  </si>
  <si>
    <t xml:space="preserve">Kowloon </t>
  </si>
  <si>
    <t xml:space="preserve">Hong Kong </t>
  </si>
  <si>
    <t>Tel: +852 2848 5200</t>
  </si>
  <si>
    <t>Authors: David Bailey</t>
  </si>
  <si>
    <t>Date: 15 Feb 2026</t>
  </si>
  <si>
    <t>Ticker: COH.AX</t>
  </si>
  <si>
    <t>Stock Rating: Underweight</t>
  </si>
  <si>
    <t>Industry: Australia Healthcare</t>
  </si>
  <si>
    <t>Industry View: In-Line</t>
  </si>
  <si>
    <t>Price as of 15 Feb 2026: 199.22</t>
  </si>
  <si>
    <t>Target Price: 216.00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</si>
  <si>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</si>
  <si>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</si>
  <si>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</si>
  <si>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</si>
  <si>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</si>
  <si>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</si>
  <si>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</si>
  <si>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The information and opinions in Morgan Stanley Research were prepared or are disseminated by Morgan</t>
  </si>
  <si>
    <t>Stanley Asia Limited (which accepts the responsibility for its contents) and/or Morgan Stanley Asia</t>
  </si>
  <si>
    <t>(Singapore) Pte. (Registration number 199206298Z) and/or Morgan Stanley Asia (Singapore) Securities Pte</t>
  </si>
  <si>
    <t>Ltd (Registration number 200008434H), regulated by the Monetary Authority of Singapore (which accepts</t>
  </si>
  <si>
    <t>legal responsibility for its contents and should be contacted with respect to any matters arising from,</t>
  </si>
  <si>
    <t>or in connection with, Morgan Stanley Research), and/or Morgan Stanley Taiwan Limited and/or Morgan</t>
  </si>
  <si>
    <t>Stanley &amp; Co International plc, Seoul Branch, and/or Morgan Stanley Australia Limited (A.B.N. 67 003 734</t>
  </si>
  <si>
    <t>576, holder of Australian financial services license No. 233742, which accepts responsibility for its</t>
  </si>
  <si>
    <t>contents), and/or Morgan Stanley Wealth Management Australia Pty Ltd (A.B.N. 19 009 145 555, holder of</t>
  </si>
  <si>
    <t>Australian financial services license No. 240813, which accepts responsibility for its contents), and/or</t>
  </si>
  <si>
    <t>Morgan Stanley India Company Private Limited having Corporate Identification No (CIN)</t>
  </si>
  <si>
    <t>U22990MH1998PTC115305, regulated by the Securities and Exchange Board of India (“SEBI”) and holder of</t>
  </si>
  <si>
    <t>licenses as a Research Analyst (SEBI Registration No. INH000001105); Stock Broker (SEBI Stock Broker</t>
  </si>
  <si>
    <t>Registration No. INZ000244438), Merchant Banker (SEBI Registration No. INM000011203), and depository</t>
  </si>
  <si>
    <t>participant with National Securities Depository Limited (SEBI Registration No. IN-DP-NSDL-567-2021)</t>
  </si>
  <si>
    <t>having registered office at Altimus, Level 39 &amp; 40, Pandurang Budhkar Marg, Worli, Mumbai 400018, India;</t>
  </si>
  <si>
    <t>Telephone no. +91-22-61181000; Compliance Officer Details: Mr. Tejarshi Hardas, Tel. No.:</t>
  </si>
  <si>
    <t>+91-22-61181000 or Email: tejarshi.hardas@morganstanley.com; Grievance officer details: Mr. Tejarshi</t>
  </si>
  <si>
    <t>Hardas, Tel. No.: +91-22-61181000 or Email: msic-compliance@morganstanley.com which accepts the</t>
  </si>
  <si>
    <t>responsibility for its contents and should be contacted with respect to any matters arising from, or in</t>
  </si>
  <si>
    <t>connection with, Morgan Stanley Research, and their affiliates (collectively, "Morgan Stanley"). Morgan</t>
  </si>
  <si>
    <t>Stanley India Company Private Limited (MSICPL) may use AI tools in providing research services. All</t>
  </si>
  <si>
    <t>recommendations contained herein are made by the duly qualified research analysts.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</si>
  <si>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</si>
  <si>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</si>
  <si>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www.morganstanley.com/eqr/disclosures/webapp/generalresearch, or contact your investment representative</t>
  </si>
  <si>
    <t>or Morgan Stanley Research at 1585 Broadway, (Attention: Research Management), New York, NY, 10036 USA.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</si>
  <si>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</si>
  <si>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</si>
  <si>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</si>
  <si>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</si>
  <si>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</si>
  <si>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</si>
  <si>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Analyst Certification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</si>
  <si>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</si>
  <si>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</si>
  <si>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</si>
  <si>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David L Bailey.</t>
  </si>
  <si>
    <t>.</t>
  </si>
  <si>
    <t>Global Research Conflict Management Policy</t>
  </si>
  <si>
    <t>Morgan Stanley Research has been published in accordance with our conflict management policy, which is</t>
  </si>
  <si>
    <t>available at www.morganstanley.com/institutional/research/conflictpolicies. A Portuguese version of the</t>
  </si>
  <si>
    <t>policy can be found at www.morganstanley.com.br</t>
  </si>
  <si>
    <t>Important Regulatory Disclosures on Subject Companies</t>
  </si>
  <si>
    <t>As of January 30, 2026, Morgan Stanley beneficially owned 1% or more of a class of common equity</t>
  </si>
  <si>
    <t>securities of the following companies covered in Morgan Stanley Research: Cochlear Ltd..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</si>
  <si>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</si>
  <si>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</si>
  <si>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</si>
  <si>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</si>
  <si>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</si>
  <si>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particular trading desks.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</si>
  <si>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</si>
  <si>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</si>
  <si>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</si>
  <si>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</si>
  <si>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</si>
  <si>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</si>
  <si>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</si>
  <si>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Certain disclosures listed above are also for compliance with applicable regulations in non-US</t>
  </si>
  <si>
    <t>jurisdictions.</t>
  </si>
  <si>
    <t>STOCK RATINGS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</si>
  <si>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</si>
  <si>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</si>
  <si>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</si>
  <si>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</si>
  <si>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</si>
  <si>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</si>
  <si>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</t>
  </si>
  <si>
    <t>upon as investment advice. An investor's decision to buy or sell a stock should depend on individual</t>
  </si>
  <si>
    <t>circumstances (such as the investor's existing holdings) and other considerations.</t>
  </si>
  <si>
    <t>Global Stock Ratings Distribution</t>
  </si>
  <si>
    <t>(as of January 31, 2026)</t>
  </si>
  <si>
    <t>The Stock Ratings described below apply to Morgan Stanley's Fundamental Equity Research and do not apply</t>
  </si>
  <si>
    <t>to Debt Research produced by the Firm.</t>
  </si>
  <si>
    <t>For disclosure purposes only (in accordance with FINRA requirements), we include the category headings</t>
  </si>
  <si>
    <t>of Buy, Hold, and Sell alongside our ratings of Overweight, Equal-weight, Not-Rated and Underweight.</t>
  </si>
  <si>
    <t>Morgan Stanley does not assign ratings of Buy, Hold or Sell to the stocks we cover. Overweight,</t>
  </si>
  <si>
    <t>Equal-weight, Not-Rated and Underweight are not the equivalent of buy, hold, and sell but represent</t>
  </si>
  <si>
    <t>recommended relative weightings (see definitions below). To satisfy regulatory requirements, we</t>
  </si>
  <si>
    <t>correspond Overweight, our most positive stock rating, with a buy recommendation; we correspond</t>
  </si>
  <si>
    <t>Equal-weight and Not-Rated to hold and Underweight to sell recommendations, respectively.</t>
  </si>
  <si>
    <t>Coverage Universe</t>
  </si>
  <si>
    <t>Investment Banking Clients (IBC)</t>
  </si>
  <si>
    <t>Other Material Investment Services Clients (MISC)</t>
  </si>
  <si>
    <t>Stock Rating Category</t>
  </si>
  <si>
    <t>Count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</si>
  <si>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</si>
  <si>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</si>
  <si>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</si>
  <si>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</si>
  <si>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</si>
  <si>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</si>
  <si>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</si>
  <si>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</si>
  <si>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</si>
  <si>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</si>
  <si>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</si>
  <si>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</si>
  <si>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Analyst Stock Ratings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</si>
  <si>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</si>
  <si>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</si>
  <si>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</si>
  <si>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</si>
  <si>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</si>
  <si>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</si>
  <si>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</si>
  <si>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</si>
  <si>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</si>
  <si>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</si>
  <si>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</si>
  <si>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Unless otherwise specified, the time frame for price targets included in Morgan Stanley Research is 12</t>
  </si>
  <si>
    <t>to 18 months.</t>
  </si>
  <si>
    <t>Analyst Industry Views</t>
  </si>
  <si>
    <t>Attractive (A): The analyst expects the performance of his or her industry coverage universe over the</t>
  </si>
  <si>
    <t>next 12-18 months to be attractive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</si>
  <si>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</si>
  <si>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</si>
  <si>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Cautious (C): The analyst views the performance of his or her industry coverage universe over the next</t>
  </si>
  <si>
    <t>12-18 months with caution vs. the relevant broad market benchmark, as indicated below.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</si>
  <si>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</si>
  <si>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</si>
  <si>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</si>
  <si>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Stock Price, Price Target and Rating History (See Rating Definitions)</t>
  </si>
  <si>
    <t>Important Disclosures for Morgan Stanley Smith Barney LLC Customers</t>
  </si>
  <si>
    <t>Important disclosures regarding any material conflict of interest that can reasonably be expected to</t>
  </si>
  <si>
    <t>have influenced Morgan Stanley Smith Barney LLC's choice of a third-party research provider or the</t>
  </si>
  <si>
    <t>subject company of a third-party research report, are available on the Morgan Stanley Wealth Management</t>
  </si>
  <si>
    <t>disclosure website at www.morganstanley.com/online/researchdisclosures. For Morgan Stanley specific</t>
  </si>
  <si>
    <t>disclosures, you may refer to https://www.morganstanley.com/eqr/disclosures/webapp/generalresearch.</t>
  </si>
  <si>
    <t>Each Morgan Stanley research report is reviewed and approved on behalf of Morgan Stanley Smith Barney</t>
  </si>
  <si>
    <t>LLC. This review and approval is conducted by the same person who reviews the research report on behalf</t>
  </si>
  <si>
    <t>of Morgan Stanley. This could create a conflict of interest.</t>
  </si>
  <si>
    <t>Other Important Disclosures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</si>
  <si>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</si>
  <si>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</si>
  <si>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</si>
  <si>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</si>
  <si>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</si>
  <si>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</si>
  <si>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</si>
  <si>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</si>
  <si>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</si>
  <si>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</si>
  <si>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</si>
  <si>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</si>
  <si>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</si>
  <si>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</si>
  <si>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</si>
  <si>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</si>
  <si>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</si>
  <si>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</si>
  <si>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</si>
  <si>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</si>
  <si>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</si>
  <si>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</si>
  <si>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</si>
  <si>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</si>
  <si>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</si>
  <si>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</si>
  <si>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</si>
  <si>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</si>
  <si>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</si>
  <si>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</si>
  <si>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 Please use the provided link to review the Terms and</t>
  </si>
  <si>
    <t>Conditions and Most Important Terms and Conditions for Morgan Stanley India Company Private Limited</t>
  </si>
  <si>
    <t>(https://www.morganstanley.com/assets/pdfs/about-us-global-offices/india/Terms_and_conditions.pdf) and</t>
  </si>
  <si>
    <t>the following link to review the audit report</t>
  </si>
  <si>
    <t>(https://www.morganstanley.com/assets/pdfs/about-us-global-offices/india/Research_Audit_Report.pdf).</t>
  </si>
  <si>
    <t>If you do not agree to our Terms of Use and/or if you do not wish to provide your consent to Morgan</t>
  </si>
  <si>
    <t>Stanley processing your personal data or using cookies please do not access our research.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</si>
  <si>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</si>
  <si>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</si>
  <si>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</si>
  <si>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</si>
  <si>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</si>
  <si>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</si>
  <si>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</si>
  <si>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</si>
  <si>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</si>
  <si>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</si>
  <si>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</si>
  <si>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</si>
  <si>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</si>
  <si>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</si>
  <si>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</si>
  <si>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</si>
  <si>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</si>
  <si>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</si>
  <si>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</si>
  <si>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</si>
  <si>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</si>
  <si>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</si>
  <si>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The "Important Regulatory Disclosures on Subject Companies" section in Morgan Stanley Research lists all</t>
  </si>
  <si>
    <t>companies mentioned where Morgan Stanley owns 1% or more of a class of common equity securities of the</t>
  </si>
  <si>
    <t>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</si>
  <si>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</si>
  <si>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</si>
  <si>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</si>
  <si>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</si>
  <si>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</si>
  <si>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</si>
  <si>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</si>
  <si>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</si>
  <si>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</si>
  <si>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</si>
  <si>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</si>
  <si>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</si>
  <si>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</si>
  <si>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</si>
  <si>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</si>
  <si>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</si>
  <si>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Morgan Stanley may make investment decisions that are inconsistent with the recommendations or views in</t>
  </si>
  <si>
    <t>this report.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</si>
  <si>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</si>
  <si>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</si>
  <si>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</si>
  <si>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</si>
  <si>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</si>
  <si>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</si>
  <si>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</si>
  <si>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</si>
  <si>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</si>
  <si>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</si>
  <si>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</si>
  <si>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</si>
  <si>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</si>
  <si>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Certain information in Morgan Stanley Research was sourced by employees of the Shanghai Representative</t>
  </si>
  <si>
    <t>Office of Morgan Stanley Asia Limited for the use of Morgan Stanley Asia Limited.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</si>
  <si>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</si>
  <si>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</si>
  <si>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</si>
  <si>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</si>
  <si>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</si>
  <si>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</si>
  <si>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</si>
  <si>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</si>
  <si>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Morgan Stanley Research is disseminated in Brazil by Morgan Stanley C.T.V.M. S.A. located at Av.</t>
  </si>
  <si>
    <t>Brigadeiro Faria Lima, 3600, 6th floor, São Paulo - SP, Brazil; and is regulated by the Comissão de</t>
  </si>
  <si>
    <t>Valores Mobiliários; in Mexico by Morgan Stanley México, Casa de Bolsa, S.A. de C.V which is regulated</t>
  </si>
  <si>
    <t>by Comision Nacional Bancaria y de Valores. Paseo de los Tamarindos 90, Torre 1, Col. Bosques de las</t>
  </si>
  <si>
    <t>Lomas Floor 29, 05120 Mexico City; in Japan by Morgan Stanley MUFG Securities Co., Ltd. and, for</t>
  </si>
  <si>
    <t>Commodities related research reports only, Morgan Stanley Capital Group Japan Co., Ltd; in Hong Kong by</t>
  </si>
  <si>
    <t>Morgan Stanley Asia Limited (which accepts responsibility for its contents) and by Morgan Stanley Bank</t>
  </si>
  <si>
    <t>Asia Limited; in Singapore by Morgan Stanley Asia (Singapore) Pte. (Registration number 199206298Z)</t>
  </si>
  <si>
    <t>and/or Morgan Stanley Asia (Singapore) Securities Pte Ltd (Registration number 200008434H), regulated by</t>
  </si>
  <si>
    <t>the Monetary Authority of Singapore (which accepts legal responsibility for its contents and should be</t>
  </si>
  <si>
    <t>contacted with respect to any matters arising from, or in connection with, Morgan Stanley Research) and</t>
  </si>
  <si>
    <t>by Morgan Stanley Bank Asia Limited, Singapore Branch (Registration number T14FC0118J);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</si>
  <si>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</si>
  <si>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</si>
  <si>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</si>
  <si>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</si>
  <si>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</si>
  <si>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</si>
  <si>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 having Corporate Identification No (CIN) U22990MH1998PTC115305,</t>
  </si>
  <si>
    <t>regulated by the Securities and Exchange Board of India (“SEBI”) and holder of licenses as a Research</t>
  </si>
  <si>
    <t>Analyst (SEBI Registration No. INH000001105); Stock Broker (SEBI Stock Broker Registration No.</t>
  </si>
  <si>
    <t>INZ000244438), Merchant Banker (SEBI Registration No. INM000011203), and depository participant with</t>
  </si>
  <si>
    <t>National Securities Depository Limited (SEBI Registration No. IN-DP-NSDL-567-2021) having registered</t>
  </si>
  <si>
    <t>office at Altimus, Level 39 &amp; 40, Pandurang Budhkar Marg, Worli, Mumbai 400018, India; Telephone no.</t>
  </si>
  <si>
    <t>+91-22-61181000; Compliance Officer Details: Mr. Tejarshi Hardas, Tel. No.: +91-22-61181000 or Email:</t>
  </si>
  <si>
    <t>tejarshi.hardas@morganstanley.com; Grievance officer details: Mr. Tejarshi Hardas, Tel. No.:</t>
  </si>
  <si>
    <t>+91-22-61181000 or Email: msic-compliance@morganstanley.com. Morgan Stanley India Company Private</t>
  </si>
  <si>
    <t>Limited (MSICPL) may use AI tools in providing research services. All recommendations contained herein</t>
  </si>
  <si>
    <t>are made by the duly qualified research analysts; in Canada by Morgan Stanley Canada Limited; in Germany</t>
  </si>
  <si>
    <t>and the European Economic Area where required by Morgan Stanley Europe S.E., authorised and regulated by</t>
  </si>
  <si>
    <t>Bundesanstalt fuer Finanzdienstleistungsaufsicht (BaFin) under the reference number 149169; in the US by</t>
  </si>
  <si>
    <t>Morgan Stanley &amp; Co. LLC, which accepts responsibility for its contents. Morgan Stanley &amp; Co.</t>
  </si>
  <si>
    <t>International plc, authorized by the Prudential Regulation Authority and regulated by the Financial</t>
  </si>
  <si>
    <t>Conduct Authority and the Prudential Regulation Authority, disseminates in the UK research that it has</t>
  </si>
  <si>
    <t>prepared, and research which has been prepared by any of its affiliates, only to persons who (i) are</t>
  </si>
  <si>
    <t>investment professionals falling within Article 19(5) of the Financial Services and Markets Act 2000</t>
  </si>
  <si>
    <t>(Financial Promotion) Order 2005 (as amended, the “Order”); (ii) are persons who are high net worth</t>
  </si>
  <si>
    <t>entities falling within Article 49(2)(a) to (d) of the Order; or (iii) are persons to whom an invitation</t>
  </si>
  <si>
    <t>or inducement to engage in investment activity (within the meaning of section 21 of the Financial</t>
  </si>
  <si>
    <t>Services and Markets Act 2000, as amended) may otherwise lawfully be communicated or caused to be</t>
  </si>
  <si>
    <t>communicated. RMB Morgan Stanley Proprietary Limited is a member of the JSE Limited and A2X (Pty) Ltd.</t>
  </si>
  <si>
    <t>RMB Morgan Stanley Proprietary Limited is a joint venture owned equally by Morgan Stanley International</t>
  </si>
  <si>
    <t>Holdings Inc. and RMB Investment Advisory (Proprietary) Limited, which is wholly owned by FirstRand</t>
  </si>
  <si>
    <t>Limited. The information in Morgan Stanley Research is being disseminated by Morgan Stanley Saudi</t>
  </si>
  <si>
    <t>Arabia, regulated by the Capital Market Authority in the Kingdom of Saudi Arabia, and is directed at</t>
  </si>
  <si>
    <t>Sophisticated investors only.</t>
  </si>
  <si>
    <t>The information in Morgan Stanley Research is being communicated by Morgan Stanley &amp; Co. International</t>
  </si>
  <si>
    <t>plc (DIFC Branch), regulated by the Dubai Financial Services Authority (the DFSA) or by Morgan Stanley &amp;</t>
  </si>
  <si>
    <t>Co. International plc (ADGM Branch), regulated by the Financial Services Regulatory Authority Abu Dhabi</t>
  </si>
  <si>
    <t>(the FSRA), and is directed at Professional Clients only, as defined by the DFSA or the FSRA,</t>
  </si>
  <si>
    <t>respectively. The financial products or financial services to which this research relates will only be</t>
  </si>
  <si>
    <t>made available to a customer who we are satisfied meets the regulatory criteria of a Professional</t>
  </si>
  <si>
    <t>Client. A distribution of the different MS Research ratings or recommendations, in percentage terms for</t>
  </si>
  <si>
    <t>Investments in each sector covered, is available upon request from your sales representative.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</si>
  <si>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</si>
  <si>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</si>
  <si>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</si>
  <si>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</si>
  <si>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</si>
  <si>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</si>
  <si>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</si>
  <si>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</si>
  <si>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</si>
  <si>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</si>
  <si>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</si>
  <si>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</si>
  <si>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</si>
  <si>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</si>
  <si>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Morgan Stanley Research, or any portion thereof may not be reprinted, sold or redistributed without the</t>
  </si>
  <si>
    <t>written consent of Morgan Stanley.</t>
  </si>
  <si>
    <t>Indicators and trackers referenced in Morgan Stanley Research may not be used as, or treated as, a</t>
  </si>
  <si>
    <t>benchmark under Regulation EU 2016/1011, or any other similar framework.</t>
  </si>
  <si>
    <t>The issuers and/or fixed income products recommended or discussed in certain fixed income research</t>
  </si>
  <si>
    <t>reports may not be continuously followed. Accordingly, investors should regard those fixed income</t>
  </si>
  <si>
    <t>research reports as providing stand-alone analysis and should not expect continuing analysis or</t>
  </si>
  <si>
    <t>additional reports relating to such issuers and/or individual fixed income products.</t>
  </si>
  <si>
    <t>Morgan Stanley may hold, from time to time, material financial and commercial interests regarding the</t>
  </si>
  <si>
    <t>company subject to the Research report.</t>
  </si>
  <si>
    <t>Registration granted by SEBI and certification from the National Institute of Securities Markets (NISM)</t>
  </si>
  <si>
    <t>in no way guarantee performance of the intermediary or provide any assurance of returns to investors.</t>
  </si>
  <si>
    <t>Investment in securities market are subject to market risks. Read all the related documents carefully</t>
  </si>
  <si>
    <t>before investing.</t>
  </si>
  <si>
    <t>© Copyright 2026 Morgan Stanley</t>
  </si>
  <si>
    <t>MacroVersion</t>
  </si>
  <si>
    <t>6.10</t>
  </si>
  <si>
    <t>PublishDate</t>
  </si>
  <si>
    <t>02/15/26 07:49</t>
  </si>
  <si>
    <t>Discipline</t>
  </si>
  <si>
    <t>Research</t>
  </si>
  <si>
    <t>ResearchTopic</t>
  </si>
  <si>
    <t>DocType</t>
  </si>
  <si>
    <t>Model</t>
  </si>
  <si>
    <t>SubjectCode</t>
  </si>
  <si>
    <t>Description</t>
  </si>
  <si>
    <t>Cochlear Ltd.</t>
  </si>
  <si>
    <t>KeepVersions</t>
  </si>
  <si>
    <t>All</t>
  </si>
  <si>
    <t>Underweight / In-Line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</si>
  <si>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</si>
  <si>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</si>
  <si>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</si>
  <si>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</si>
  <si>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</si>
  <si>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</si>
  <si>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</si>
  <si>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</si>
  <si>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Regular Update</t>
  </si>
  <si>
    <t>Authors</t>
  </si>
  <si>
    <t>MSA2N068</t>
  </si>
  <si>
    <t>Tickers</t>
  </si>
  <si>
    <t>CUSIP</t>
  </si>
  <si>
    <t>RIC</t>
  </si>
  <si>
    <t>SEDOL</t>
  </si>
  <si>
    <t>6211798</t>
  </si>
  <si>
    <t>Current Stock Price</t>
  </si>
  <si>
    <t>199.22</t>
  </si>
  <si>
    <t>PathName</t>
  </si>
  <si>
    <t>L:\USERS\HealthCare\1_Current_Models\Templates\COH - WIP 1H26.xlsm updated formulas.xlsm</t>
  </si>
  <si>
    <t>Distribution</t>
  </si>
  <si>
    <t>0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</si>
  <si>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</si>
  <si>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</si>
  <si>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</si>
  <si>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</si>
  <si>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</si>
  <si>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</si>
  <si>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</si>
  <si>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</si>
  <si>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</si>
  <si>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</si>
  <si>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</si>
  <si>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1000000</t>
  </si>
  <si>
    <t>TemplateRegion</t>
  </si>
  <si>
    <t>AsiaPacific</t>
  </si>
  <si>
    <t>ObjectType</t>
  </si>
  <si>
    <t>excel</t>
  </si>
  <si>
    <t>LanguageCode</t>
  </si>
  <si>
    <t>en-US</t>
  </si>
  <si>
    <t>SubmitterUserId</t>
  </si>
  <si>
    <t>bailedav</t>
  </si>
  <si>
    <t>IndustryId</t>
  </si>
  <si>
    <t>1900000446</t>
  </si>
  <si>
    <t>TickerRegion</t>
  </si>
  <si>
    <t>5</t>
  </si>
  <si>
    <t>AdditionalInstructions</t>
  </si>
  <si>
    <t>*Estimated</t>
  </si>
  <si>
    <t>OwnerTeam</t>
  </si>
  <si>
    <t>I888888918</t>
  </si>
  <si>
    <t>[BRO MSA]</t>
  </si>
  <si>
    <t>[DOCDAT 2026-02-15]</t>
  </si>
  <si>
    <t>[DOCTIME 19:49]</t>
  </si>
  <si>
    <t>[PSYM COH.AX(Reuters) (None)]</t>
  </si>
  <si>
    <t>[COU Australia]</t>
  </si>
  <si>
    <t>[PRODUCT MODEL]</t>
  </si>
  <si>
    <t>[ANA ]</t>
  </si>
  <si>
    <t>[HL COH.AX Model]</t>
  </si>
  <si>
    <t>[IND Healthcare]</t>
  </si>
  <si>
    <t>[EMAIL_ALERT YES]</t>
  </si>
  <si>
    <t>[PANA  MSA2N068]</t>
  </si>
  <si>
    <t>[DISCIPLINE Company]</t>
  </si>
  <si>
    <t>[SUPPRESSED NO]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</si>
</sst>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1">
    <numFmt numFmtId="165" formatCode="&quot;$&quot;#,##0.00_);\(&quot;$&quot;#,##0.00\)"/>
    <numFmt numFmtId="166" formatCode="&quot;$&quot;#,##0.00_);[Red]\(&quot;$&quot;#,##0.00\)"/>
    <numFmt numFmtId="167" formatCode="_(&quot;$&quot;* #,##0.00_);_(&quot;$&quot;* \(#,##0.00\);_(&quot;$&quot;* &quot;-&quot;??_);_(@_)"/>
    <numFmt numFmtId="168" formatCode="_(* #,##0.00_);_(* \(#,##0.00\);_(* &quot;-&quot;??_);_(@_)"/>
    <numFmt numFmtId="169" formatCode="_ * #,##0.00_ ;_ * \-#,##0.00_ ;_ * &quot;-&quot;??_ ;_ @_ "/>
    <numFmt numFmtId="170" formatCode="0.0%"/>
    <numFmt numFmtId="171" formatCode="#,##0.0"/>
    <numFmt numFmtId="172" formatCode="0.0"/>
    <numFmt numFmtId="173" formatCode="#,##0.0;\ \(#,##0.0\)"/>
    <numFmt numFmtId="174" formatCode="#,##0.000"/>
    <numFmt numFmtId="175" formatCode="0.000"/>
    <numFmt numFmtId="176" formatCode="dd\-mmm\-yy_)"/>
    <numFmt numFmtId="177" formatCode="General_)"/>
    <numFmt numFmtId="178" formatCode="#,##0.0\ ;\ \(#,##0.0\)\ "/>
    <numFmt numFmtId="179" formatCode="#0.0%_);\(#0.0%\)"/>
    <numFmt numFmtId="180" formatCode="#,##0.000;\ \(#,##0.000\)"/>
    <numFmt numFmtId="181" formatCode="&quot;$&quot;#,##0.00"/>
    <numFmt numFmtId="182" formatCode="#,##0.0000"/>
    <numFmt numFmtId="183" formatCode="#,##0.00;\ \(#,##0.00\)"/>
    <numFmt numFmtId="184" formatCode="0.0000"/>
    <numFmt numFmtId="188" formatCode="0.00000"/>
    <numFmt numFmtId="190" formatCode="#,##0.0_);\(#,##0.0\)"/>
    <numFmt numFmtId="191" formatCode="_(* #,##0_);_(* \(#,##0\);_(* &quot;-&quot;??_);_(@_)"/>
    <numFmt numFmtId="192" formatCode="#,##0.00&quot;&quot;;\(#,##0.00\)&quot;&quot;"/>
    <numFmt numFmtId="195" formatCode="#,##0.00000"/>
    <numFmt numFmtId="196" formatCode="#,##0;\ \(#,##0\)"/>
    <numFmt numFmtId="197" formatCode="#,##0.0&quot;&quot;;\(#,##0.0\)&quot;&quot;"/>
    <numFmt numFmtId="198" formatCode="#,##0.000000"/>
    <numFmt numFmtId="199" formatCode="_-* #,##0.0_-;\-* #,##0.0_-;_-* &quot;-&quot;??_-;_-@_-"/>
    <numFmt numFmtId="200" formatCode="0.000000000000"/>
    <numFmt numFmtId="201" formatCode="#,##0.0%&quot;&quot;;\(#,##0.0%\)&quot;&quot;"/>
    <numFmt numFmtId="203" formatCode="#,##0.0000;\ \(#,##0.0000\)"/>
    <numFmt numFmtId="204" formatCode="[$-F800]dddd\,\ mmmm\ dd\,\ yyyy"/>
    <numFmt numFmtId="208" formatCode="0.0\x"/>
    <numFmt numFmtId="209" formatCode="0.0%_);\(0.0%\);0.0%_);@_)"/>
    <numFmt numFmtId="210" formatCode="#,##0.0_);\(#,##0.0\);#,##0.0_);@_)"/>
    <numFmt numFmtId="212" formatCode="#,##0\ ;\ \(#,##0\)\ "/>
    <numFmt numFmtId="213" formatCode="#,##0&quot;&quot;;\(#,##0\)&quot;&quot;"/>
    <numFmt numFmtId="216" formatCode="&quot;$&quot;#,##0"/>
    <numFmt numFmtId="217" formatCode="#,##0.0_);\(#,##0.0\);\-_);@_)"/>
    <numFmt numFmtId="218" formatCode="#,##0.0000000000000"/>
  </numFmts>
  <fonts count="100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2"/>
      <name val="Arial MT"/>
    </font>
    <font>
      <sz val="8"/>
      <name val="Helv"/>
    </font>
    <font>
      <sz val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i/>
      <sz val="8"/>
      <name val="Times New Roman"/>
      <family val="1"/>
    </font>
    <font>
      <u/>
      <sz val="7.5"/>
      <color indexed="12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sz val="10"/>
      <color indexed="11"/>
      <name val="Arial"/>
      <family val="2"/>
    </font>
    <font>
      <b/>
      <sz val="10"/>
      <color indexed="8"/>
      <name val="Arial"/>
      <family val="2"/>
    </font>
    <font>
      <sz val="10"/>
      <color indexed="14"/>
      <name val="Arial"/>
      <family val="2"/>
    </font>
    <font>
      <b/>
      <i/>
      <sz val="10"/>
      <name val="Arial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sz val="10"/>
      <name val="MS Sans Serif"/>
      <family val="2"/>
    </font>
    <font>
      <sz val="10"/>
      <color indexed="22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53"/>
      <name val="Arial"/>
      <family val="2"/>
    </font>
    <font>
      <sz val="10"/>
      <color indexed="10"/>
      <name val="Arial"/>
      <family val="2"/>
    </font>
    <font>
      <b/>
      <sz val="10"/>
      <color indexed="22"/>
      <name val="Arial"/>
      <family val="2"/>
    </font>
    <font>
      <i/>
      <sz val="10"/>
      <color indexed="63"/>
      <name val="Arial"/>
      <family val="2"/>
    </font>
    <font>
      <b/>
      <i/>
      <sz val="10"/>
      <color indexed="63"/>
      <name val="Arial"/>
      <family val="2"/>
    </font>
    <font>
      <sz val="10"/>
      <color indexed="23"/>
      <name val="Arial"/>
      <family val="2"/>
    </font>
    <font>
      <b/>
      <sz val="10"/>
      <color indexed="23"/>
      <name val="Arial"/>
      <family val="2"/>
    </font>
    <font>
      <i/>
      <sz val="10"/>
      <color indexed="23"/>
      <name val="Arial"/>
      <family val="2"/>
    </font>
    <font>
      <b/>
      <i/>
      <sz val="10"/>
      <color indexed="23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Helv"/>
      <charset val="204"/>
    </font>
    <font>
      <sz val="12"/>
      <name val="바탕체"/>
      <family val="3"/>
    </font>
    <font>
      <i/>
      <u/>
      <sz val="10"/>
      <name val="Arial"/>
      <family val="2"/>
    </font>
    <font>
      <sz val="11"/>
      <color theme="1"/>
      <name val="Calibri"/>
      <family val="2"/>
      <scheme val="minor"/>
    </font>
    <font>
      <sz val="10"/>
      <color rgb="FF0070C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0070C0"/>
      <name val="Arial"/>
      <family val="2"/>
    </font>
    <font>
      <sz val="10"/>
      <color rgb="FF00B050"/>
      <name val="Arial"/>
      <family val="2"/>
    </font>
    <font>
      <sz val="10"/>
      <color rgb="FF000000"/>
      <name val="Arial"/>
      <family val="2"/>
    </font>
    <font>
      <sz val="10"/>
      <color theme="5" tint="-0.249977111117893"/>
      <name val="Arial"/>
      <family val="2"/>
    </font>
    <font>
      <u/>
      <sz val="10"/>
      <color indexed="8"/>
      <name val="Arial"/>
      <family val="2"/>
    </font>
    <font>
      <b/>
      <u/>
      <sz val="10"/>
      <color indexed="8"/>
      <name val="Arial"/>
      <family val="2"/>
    </font>
    <font>
      <sz val="10"/>
      <color indexed="48"/>
      <name val="Arial"/>
      <family val="2"/>
    </font>
    <font>
      <sz val="10"/>
      <color theme="8"/>
      <name val="Arial"/>
      <family val="2"/>
    </font>
    <font>
      <b/>
      <sz val="10"/>
      <color rgb="FF00B0F0"/>
      <name val="Arial"/>
      <family val="2"/>
    </font>
    <font>
      <sz val="10"/>
      <color indexed="54"/>
      <name val="Arial"/>
      <family val="2"/>
    </font>
    <font>
      <u/>
      <sz val="10"/>
      <color indexed="12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  <font>
      <sz val="10"/>
      <color theme="0" tint="-0.499984740745262"/>
      <name val="Arial"/>
      <family val="2"/>
    </font>
    <font>
      <b/>
      <sz val="10"/>
      <color theme="0" tint="-0.499984740745262"/>
      <name val="Arial"/>
      <family val="2"/>
    </font>
    <font>
      <sz val="8"/>
      <name val="Roboto Condensed"/>
    </font>
    <font>
      <sz val="8"/>
      <color indexed="8"/>
      <name val="Roboto Condensed"/>
    </font>
    <font>
      <sz val="8"/>
      <color indexed="12"/>
      <name val="Roboto Condensed"/>
    </font>
    <font>
      <b/>
      <sz val="8"/>
      <name val="Roboto Condensed"/>
    </font>
    <font>
      <i/>
      <sz val="8"/>
      <name val="Roboto Condensed"/>
    </font>
    <font>
      <sz val="8"/>
      <color rgb="FF000000"/>
      <name val="Roboto Condensed"/>
    </font>
    <font>
      <b/>
      <sz val="8"/>
      <color indexed="9"/>
      <name val="Roboto Condensed"/>
    </font>
    <font>
      <i/>
      <sz val="10"/>
      <color theme="0" tint="-0.499984740745262"/>
      <name val="Arial"/>
      <family val="2"/>
    </font>
    <font>
      <b/>
      <u/>
      <sz val="10"/>
      <color theme="0" tint="-0.499984740745262"/>
      <name val="Arial"/>
      <family val="2"/>
    </font>
    <font>
      <i/>
      <u/>
      <sz val="10"/>
      <color theme="0" tint="-0.499984740745262"/>
      <name val="Arial"/>
      <family val="2"/>
    </font>
    <font>
      <sz val="8"/>
      <color theme="0" tint="-0.499984740745262"/>
      <name val="Roboto Condensed"/>
    </font>
    <font>
      <b/>
      <sz val="8"/>
      <color theme="0" tint="-0.499984740745262"/>
      <name val="Roboto Condensed"/>
    </font>
    <font>
      <b/>
      <sz val="10"/>
      <color theme="0"/>
      <name val="Roboto Condensed"/>
    </font>
    <font>
      <sz val="10"/>
      <color theme="0"/>
      <name val="Roboto Condensed"/>
    </font>
    <font>
      <sz val="10"/>
      <name val="Roboto Condensed"/>
    </font>
    <font>
      <b/>
      <sz val="10"/>
      <name val="Roboto Condensed"/>
    </font>
    <font>
      <b/>
      <sz val="9"/>
      <color theme="0"/>
      <name val="Roboto Condensed"/>
    </font>
    <font>
      <sz val="9"/>
      <name val="Roboto Condensed"/>
    </font>
    <font>
      <b/>
      <sz val="9"/>
      <name val="Roboto Condensed"/>
    </font>
    <font>
      <i/>
      <sz val="10"/>
      <color rgb="FF000000"/>
      <name val="Arial"/>
      <family val="2"/>
    </font>
    <font>
      <b/>
      <sz val="12"/>
      <color rgb="FF00008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/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5AA4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D9F1FB"/>
        <bgColor indexed="64"/>
      </patternFill>
    </fill>
    <fill>
      <patternFill patternType="solid">
        <fgColor rgb="FFF6F1E1"/>
        <bgColor indexed="64"/>
      </patternFill>
    </fill>
  </fills>
  <borders count="5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79">
    <xf numFmtId="0" fontId="0" fillId="0" borderId="0"/>
    <xf numFmtId="0" fontId="3" fillId="0" borderId="0" applyNumberFormat="0" applyFont="0" applyFill="0" applyBorder="0" applyAlignment="0" applyProtection="0"/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1" fillId="0" borderId="0"/>
    <xf numFmtId="0" fontId="21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2" borderId="0" applyNumberFormat="0" applyBorder="0" applyAlignment="0" applyProtection="0"/>
    <xf numFmtId="0" fontId="35" fillId="5" borderId="0" applyNumberFormat="0" applyBorder="0" applyAlignment="0" applyProtection="0"/>
    <xf numFmtId="0" fontId="35" fillId="4" borderId="0" applyNumberFormat="0" applyBorder="0" applyAlignment="0" applyProtection="0"/>
    <xf numFmtId="0" fontId="35" fillId="6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4" borderId="0" applyNumberFormat="0" applyBorder="0" applyAlignment="0" applyProtection="0"/>
    <xf numFmtId="0" fontId="36" fillId="8" borderId="0" applyNumberFormat="0" applyBorder="0" applyAlignment="0" applyProtection="0"/>
    <xf numFmtId="0" fontId="36" fillId="3" borderId="0" applyNumberFormat="0" applyBorder="0" applyAlignment="0" applyProtection="0"/>
    <xf numFmtId="0" fontId="36" fillId="9" borderId="0" applyNumberFormat="0" applyBorder="0" applyAlignment="0" applyProtection="0"/>
    <xf numFmtId="0" fontId="36" fillId="6" borderId="0" applyNumberFormat="0" applyBorder="0" applyAlignment="0" applyProtection="0"/>
    <xf numFmtId="0" fontId="36" fillId="8" borderId="0" applyNumberFormat="0" applyBorder="0" applyAlignment="0" applyProtection="0"/>
    <xf numFmtId="0" fontId="36" fillId="4" borderId="0" applyNumberFormat="0" applyBorder="0" applyAlignment="0" applyProtection="0"/>
    <xf numFmtId="0" fontId="36" fillId="8" borderId="0" applyNumberFormat="0" applyBorder="0" applyAlignment="0" applyProtection="0"/>
    <xf numFmtId="0" fontId="36" fillId="3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8" borderId="0" applyNumberFormat="0" applyBorder="0" applyAlignment="0" applyProtection="0"/>
    <xf numFmtId="0" fontId="36" fillId="3" borderId="0" applyNumberFormat="0" applyBorder="0" applyAlignment="0" applyProtection="0"/>
    <xf numFmtId="0" fontId="37" fillId="11" borderId="0" applyNumberFormat="0" applyBorder="0" applyAlignment="0" applyProtection="0"/>
    <xf numFmtId="0" fontId="18" fillId="0" borderId="0"/>
    <xf numFmtId="0" fontId="38" fillId="12" borderId="1" applyNumberFormat="0" applyAlignment="0" applyProtection="0"/>
    <xf numFmtId="0" fontId="39" fillId="13" borderId="2" applyNumberFormat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7" fontId="56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45" fillId="4" borderId="1" applyNumberFormat="0" applyAlignment="0" applyProtection="0"/>
    <xf numFmtId="0" fontId="46" fillId="0" borderId="6" applyNumberFormat="0" applyFill="0" applyAlignment="0" applyProtection="0"/>
    <xf numFmtId="169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7" fillId="4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177" fontId="4" fillId="0" borderId="0"/>
    <xf numFmtId="0" fontId="3" fillId="0" borderId="0"/>
    <xf numFmtId="0" fontId="5" fillId="0" borderId="0" applyBorder="0"/>
    <xf numFmtId="0" fontId="5" fillId="0" borderId="0" applyBorder="0"/>
    <xf numFmtId="0" fontId="3" fillId="0" borderId="0"/>
    <xf numFmtId="0" fontId="5" fillId="0" borderId="0" applyBorder="0"/>
    <xf numFmtId="0" fontId="3" fillId="4" borderId="7" applyNumberFormat="0" applyFont="0" applyAlignment="0" applyProtection="0"/>
    <xf numFmtId="0" fontId="48" fillId="12" borderId="8" applyNumberFormat="0" applyAlignment="0" applyProtection="0"/>
    <xf numFmtId="0" fontId="19" fillId="0" borderId="0">
      <alignment vertical="center"/>
    </xf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60" fillId="0" borderId="0" applyFont="0" applyFill="0" applyBorder="0" applyAlignment="0" applyProtection="0"/>
    <xf numFmtId="0" fontId="20" fillId="0" borderId="0"/>
    <xf numFmtId="0" fontId="20" fillId="0" borderId="9">
      <alignment horizontal="centerContinuous"/>
    </xf>
    <xf numFmtId="0" fontId="10" fillId="0" borderId="9"/>
    <xf numFmtId="0" fontId="49" fillId="0" borderId="0" applyNumberFormat="0" applyFill="0" applyBorder="0" applyAlignment="0" applyProtection="0"/>
    <xf numFmtId="0" fontId="50" fillId="0" borderId="10" applyNumberFormat="0" applyFill="0" applyAlignment="0" applyProtection="0"/>
    <xf numFmtId="0" fontId="51" fillId="0" borderId="0" applyNumberFormat="0" applyFill="0" applyBorder="0" applyAlignment="0" applyProtection="0"/>
    <xf numFmtId="0" fontId="58" fillId="0" borderId="0"/>
    <xf numFmtId="0" fontId="3" fillId="0" borderId="0"/>
    <xf numFmtId="217" fontId="6" fillId="0" borderId="0"/>
  </cellStyleXfs>
  <cellXfs count="1662">
    <xf numFmtId="0" fontId="0" fillId="0" borderId="0" xfId="0"/>
    <xf numFmtId="0" fontId="9" fillId="0" borderId="0" xfId="61" applyFont="1"/>
    <xf numFmtId="172" fontId="7" fillId="0" borderId="0" xfId="61" applyNumberFormat="1" applyFont="1"/>
    <xf numFmtId="172" fontId="9" fillId="0" borderId="0" xfId="61" applyNumberFormat="1" applyFont="1"/>
    <xf numFmtId="170" fontId="9" fillId="0" borderId="0" xfId="61" applyNumberFormat="1" applyFont="1"/>
    <xf numFmtId="0" fontId="7" fillId="0" borderId="0" xfId="61" applyFont="1"/>
    <xf numFmtId="172" fontId="9" fillId="0" borderId="16" xfId="61" applyNumberFormat="1" applyFont="1" applyBorder="1"/>
    <xf numFmtId="172" fontId="7" fillId="0" borderId="16" xfId="61" applyNumberFormat="1" applyFont="1" applyBorder="1"/>
    <xf numFmtId="175" fontId="9" fillId="0" borderId="0" xfId="61" applyNumberFormat="1" applyFont="1"/>
    <xf numFmtId="175" fontId="7" fillId="0" borderId="0" xfId="61" applyNumberFormat="1" applyFont="1"/>
    <xf numFmtId="170" fontId="7" fillId="0" borderId="0" xfId="61" applyNumberFormat="1" applyFont="1"/>
    <xf numFmtId="170" fontId="9" fillId="0" borderId="16" xfId="61" applyNumberFormat="1" applyFont="1" applyBorder="1"/>
    <xf numFmtId="175" fontId="9" fillId="0" borderId="16" xfId="61" applyNumberFormat="1" applyFont="1" applyBorder="1"/>
    <xf numFmtId="170" fontId="9" fillId="0" borderId="0" xfId="61" applyNumberFormat="1" applyFont="1" applyBorder="1"/>
    <xf numFmtId="175" fontId="9" fillId="0" borderId="0" xfId="61" applyNumberFormat="1" applyFont="1" applyBorder="1"/>
    <xf numFmtId="175" fontId="7" fillId="0" borderId="0" xfId="61" applyNumberFormat="1" applyFont="1" applyBorder="1"/>
    <xf numFmtId="2" fontId="9" fillId="0" borderId="0" xfId="61" applyNumberFormat="1" applyFont="1"/>
    <xf numFmtId="2" fontId="9" fillId="0" borderId="22" xfId="61" applyNumberFormat="1" applyFont="1" applyBorder="1"/>
    <xf numFmtId="0" fontId="9" fillId="0" borderId="16" xfId="61" applyFont="1" applyBorder="1"/>
    <xf numFmtId="0" fontId="7" fillId="0" borderId="16" xfId="61" applyFont="1" applyBorder="1"/>
    <xf numFmtId="1" fontId="7" fillId="0" borderId="0" xfId="61" applyNumberFormat="1" applyFont="1"/>
    <xf numFmtId="10" fontId="7" fillId="0" borderId="0" xfId="67" applyNumberFormat="1" applyFont="1"/>
    <xf numFmtId="0" fontId="9" fillId="0" borderId="0" xfId="61" applyFont="1" applyBorder="1"/>
    <xf numFmtId="0" fontId="7" fillId="0" borderId="0" xfId="61" applyFont="1" applyBorder="1"/>
    <xf numFmtId="1" fontId="7" fillId="0" borderId="16" xfId="61" applyNumberFormat="1" applyFont="1" applyBorder="1"/>
    <xf numFmtId="10" fontId="14" fillId="0" borderId="0" xfId="61" applyNumberFormat="1" applyFont="1"/>
    <xf numFmtId="0" fontId="14" fillId="0" borderId="0" xfId="61" applyFont="1"/>
    <xf numFmtId="10" fontId="14" fillId="0" borderId="16" xfId="61" applyNumberFormat="1" applyFont="1" applyBorder="1"/>
    <xf numFmtId="1" fontId="9" fillId="0" borderId="0" xfId="61" applyNumberFormat="1" applyFont="1"/>
    <xf numFmtId="9" fontId="9" fillId="0" borderId="0" xfId="61" applyNumberFormat="1" applyFont="1"/>
    <xf numFmtId="172" fontId="7" fillId="0" borderId="0" xfId="61" applyNumberFormat="1" applyFont="1" applyBorder="1"/>
    <xf numFmtId="0" fontId="1" fillId="0" borderId="0" xfId="0" applyFont="1"/>
    <xf numFmtId="170" fontId="9" fillId="0" borderId="0" xfId="67" applyNumberFormat="1" applyFont="1" applyFill="1" applyBorder="1"/>
    <xf numFmtId="170" fontId="9" fillId="0" borderId="0" xfId="67" applyNumberFormat="1" applyFont="1"/>
    <xf numFmtId="0" fontId="24" fillId="0" borderId="0" xfId="0" applyFont="1"/>
    <xf numFmtId="0" fontId="3" fillId="0" borderId="0" xfId="0" applyFont="1"/>
    <xf numFmtId="173" fontId="9" fillId="0" borderId="0" xfId="61" applyNumberFormat="1" applyFont="1" applyBorder="1"/>
    <xf numFmtId="10" fontId="9" fillId="0" borderId="0" xfId="67" applyNumberFormat="1" applyFont="1"/>
    <xf numFmtId="10" fontId="9" fillId="0" borderId="0" xfId="61" applyNumberFormat="1" applyFont="1"/>
    <xf numFmtId="2" fontId="9" fillId="0" borderId="0" xfId="37" applyNumberFormat="1" applyFont="1"/>
    <xf numFmtId="2" fontId="9" fillId="0" borderId="16" xfId="37" applyNumberFormat="1" applyFont="1" applyBorder="1"/>
    <xf numFmtId="10" fontId="9" fillId="0" borderId="16" xfId="61" applyNumberFormat="1" applyFont="1" applyBorder="1"/>
    <xf numFmtId="9" fontId="9" fillId="0" borderId="16" xfId="61" applyNumberFormat="1" applyFont="1" applyBorder="1"/>
    <xf numFmtId="2" fontId="9" fillId="18" borderId="0" xfId="61" applyNumberFormat="1" applyFont="1" applyFill="1"/>
    <xf numFmtId="175" fontId="9" fillId="18" borderId="0" xfId="61" applyNumberFormat="1" applyFont="1" applyFill="1"/>
    <xf numFmtId="175" fontId="9" fillId="0" borderId="0" xfId="67" applyNumberFormat="1" applyFont="1"/>
    <xf numFmtId="0" fontId="15" fillId="0" borderId="0" xfId="61" applyFont="1"/>
    <xf numFmtId="172" fontId="15" fillId="0" borderId="0" xfId="61" applyNumberFormat="1" applyFont="1"/>
    <xf numFmtId="172" fontId="15" fillId="0" borderId="16" xfId="61" applyNumberFormat="1" applyFont="1" applyBorder="1"/>
    <xf numFmtId="1" fontId="15" fillId="0" borderId="0" xfId="61" applyNumberFormat="1" applyFont="1"/>
    <xf numFmtId="10" fontId="15" fillId="0" borderId="0" xfId="67" applyNumberFormat="1" applyFont="1"/>
    <xf numFmtId="175" fontId="15" fillId="0" borderId="0" xfId="61" applyNumberFormat="1" applyFont="1"/>
    <xf numFmtId="175" fontId="15" fillId="0" borderId="0" xfId="61" applyNumberFormat="1" applyFont="1" applyBorder="1"/>
    <xf numFmtId="10" fontId="1" fillId="0" borderId="0" xfId="67" applyNumberFormat="1" applyFont="1"/>
    <xf numFmtId="170" fontId="15" fillId="0" borderId="0" xfId="61" applyNumberFormat="1" applyFont="1"/>
    <xf numFmtId="1" fontId="1" fillId="0" borderId="16" xfId="0" applyNumberFormat="1" applyFont="1" applyBorder="1"/>
    <xf numFmtId="1" fontId="1" fillId="0" borderId="0" xfId="0" applyNumberFormat="1" applyFont="1"/>
    <xf numFmtId="170" fontId="12" fillId="0" borderId="0" xfId="61" applyNumberFormat="1" applyFont="1"/>
    <xf numFmtId="1" fontId="1" fillId="0" borderId="0" xfId="61" applyNumberFormat="1" applyFont="1"/>
    <xf numFmtId="1" fontId="1" fillId="0" borderId="16" xfId="61" applyNumberFormat="1" applyFont="1" applyBorder="1"/>
    <xf numFmtId="172" fontId="12" fillId="0" borderId="0" xfId="61" applyNumberFormat="1" applyFont="1"/>
    <xf numFmtId="172" fontId="26" fillId="0" borderId="0" xfId="61" applyNumberFormat="1" applyFont="1"/>
    <xf numFmtId="175" fontId="1" fillId="0" borderId="0" xfId="67" applyNumberFormat="1" applyFont="1"/>
    <xf numFmtId="2" fontId="1" fillId="0" borderId="0" xfId="0" applyNumberFormat="1" applyFont="1"/>
    <xf numFmtId="170" fontId="1" fillId="0" borderId="0" xfId="67" applyNumberFormat="1" applyFont="1" applyFill="1" applyBorder="1"/>
    <xf numFmtId="170" fontId="3" fillId="0" borderId="0" xfId="67" applyNumberFormat="1" applyFont="1" applyFill="1" applyBorder="1"/>
    <xf numFmtId="1" fontId="9" fillId="0" borderId="0" xfId="0" applyNumberFormat="1" applyFont="1"/>
    <xf numFmtId="0" fontId="9" fillId="0" borderId="0" xfId="0" applyFont="1"/>
    <xf numFmtId="0" fontId="24" fillId="0" borderId="0" xfId="61" applyFont="1"/>
    <xf numFmtId="0" fontId="23" fillId="0" borderId="0" xfId="0" applyFont="1"/>
    <xf numFmtId="172" fontId="3" fillId="0" borderId="0" xfId="0" applyNumberFormat="1" applyFont="1"/>
    <xf numFmtId="172" fontId="9" fillId="0" borderId="0" xfId="0" applyNumberFormat="1" applyFont="1"/>
    <xf numFmtId="170" fontId="9" fillId="0" borderId="0" xfId="0" applyNumberFormat="1" applyFont="1"/>
    <xf numFmtId="170" fontId="3" fillId="0" borderId="0" xfId="67" applyNumberFormat="1" applyFont="1" applyFill="1" applyBorder="1" applyAlignment="1">
      <alignment horizontal="right"/>
    </xf>
    <xf numFmtId="175" fontId="3" fillId="0" borderId="0" xfId="0" applyNumberFormat="1" applyFont="1"/>
    <xf numFmtId="170" fontId="9" fillId="0" borderId="0" xfId="67" applyNumberFormat="1" applyFont="1" applyFill="1"/>
    <xf numFmtId="39" fontId="3" fillId="16" borderId="0" xfId="0" applyNumberFormat="1" applyFont="1" applyFill="1" applyAlignment="1">
      <alignment horizontal="right"/>
    </xf>
    <xf numFmtId="175" fontId="27" fillId="0" borderId="0" xfId="0" applyNumberFormat="1" applyFont="1"/>
    <xf numFmtId="0" fontId="2" fillId="0" borderId="0" xfId="0" applyFont="1"/>
    <xf numFmtId="175" fontId="16" fillId="0" borderId="0" xfId="0" applyNumberFormat="1" applyFont="1"/>
    <xf numFmtId="172" fontId="26" fillId="0" borderId="16" xfId="61" applyNumberFormat="1" applyFont="1" applyBorder="1"/>
    <xf numFmtId="2" fontId="9" fillId="0" borderId="16" xfId="61" applyNumberFormat="1" applyFont="1" applyBorder="1"/>
    <xf numFmtId="172" fontId="9" fillId="0" borderId="0" xfId="61" applyNumberFormat="1" applyFont="1" applyAlignment="1">
      <alignment horizontal="center"/>
    </xf>
    <xf numFmtId="170" fontId="3" fillId="0" borderId="0" xfId="67" applyNumberFormat="1" applyFont="1"/>
    <xf numFmtId="172" fontId="9" fillId="16" borderId="0" xfId="61" applyNumberFormat="1" applyFont="1" applyFill="1"/>
    <xf numFmtId="172" fontId="7" fillId="16" borderId="0" xfId="61" applyNumberFormat="1" applyFont="1" applyFill="1"/>
    <xf numFmtId="170" fontId="9" fillId="22" borderId="0" xfId="67" applyNumberFormat="1" applyFont="1" applyFill="1" applyBorder="1"/>
    <xf numFmtId="0" fontId="28" fillId="0" borderId="0" xfId="0" applyFont="1"/>
    <xf numFmtId="170" fontId="28" fillId="0" borderId="0" xfId="0" applyNumberFormat="1" applyFont="1"/>
    <xf numFmtId="0" fontId="22" fillId="0" borderId="0" xfId="61" applyFont="1"/>
    <xf numFmtId="172" fontId="22" fillId="0" borderId="0" xfId="61" applyNumberFormat="1" applyFont="1"/>
    <xf numFmtId="0" fontId="22" fillId="0" borderId="0" xfId="0" applyFont="1"/>
    <xf numFmtId="170" fontId="22" fillId="0" borderId="0" xfId="61" applyNumberFormat="1" applyFont="1"/>
    <xf numFmtId="170" fontId="9" fillId="18" borderId="0" xfId="67" applyNumberFormat="1" applyFont="1" applyFill="1" applyBorder="1"/>
    <xf numFmtId="0" fontId="27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30" fillId="0" borderId="0" xfId="0" applyFont="1"/>
    <xf numFmtId="175" fontId="29" fillId="0" borderId="0" xfId="0" applyNumberFormat="1" applyFont="1"/>
    <xf numFmtId="172" fontId="29" fillId="0" borderId="0" xfId="0" applyNumberFormat="1" applyFont="1"/>
    <xf numFmtId="170" fontId="9" fillId="23" borderId="0" xfId="61" applyNumberFormat="1" applyFont="1" applyFill="1"/>
    <xf numFmtId="175" fontId="9" fillId="0" borderId="0" xfId="0" applyNumberFormat="1" applyFont="1"/>
    <xf numFmtId="172" fontId="9" fillId="0" borderId="0" xfId="61" applyNumberFormat="1" applyFont="1" applyBorder="1"/>
    <xf numFmtId="172" fontId="15" fillId="0" borderId="0" xfId="61" applyNumberFormat="1" applyFont="1" applyBorder="1"/>
    <xf numFmtId="172" fontId="26" fillId="0" borderId="0" xfId="61" applyNumberFormat="1" applyFont="1" applyBorder="1"/>
    <xf numFmtId="2" fontId="9" fillId="0" borderId="0" xfId="61" applyNumberFormat="1" applyFont="1" applyBorder="1"/>
    <xf numFmtId="177" fontId="32" fillId="16" borderId="0" xfId="58" applyFont="1" applyFill="1" applyAlignment="1">
      <alignment horizontal="right"/>
    </xf>
    <xf numFmtId="170" fontId="32" fillId="0" borderId="0" xfId="67" applyNumberFormat="1" applyFont="1" applyFill="1" applyBorder="1"/>
    <xf numFmtId="0" fontId="31" fillId="0" borderId="0" xfId="61" applyFont="1"/>
    <xf numFmtId="0" fontId="32" fillId="0" borderId="0" xfId="61" applyFont="1"/>
    <xf numFmtId="1" fontId="31" fillId="0" borderId="0" xfId="61" applyNumberFormat="1" applyFont="1"/>
    <xf numFmtId="1" fontId="32" fillId="0" borderId="0" xfId="61" applyNumberFormat="1" applyFont="1"/>
    <xf numFmtId="9" fontId="31" fillId="0" borderId="0" xfId="61" applyNumberFormat="1" applyFont="1"/>
    <xf numFmtId="9" fontId="32" fillId="0" borderId="0" xfId="61" applyNumberFormat="1" applyFont="1"/>
    <xf numFmtId="170" fontId="32" fillId="0" borderId="0" xfId="61" applyNumberFormat="1" applyFont="1"/>
    <xf numFmtId="175" fontId="31" fillId="0" borderId="0" xfId="61" applyNumberFormat="1" applyFont="1"/>
    <xf numFmtId="175" fontId="32" fillId="0" borderId="0" xfId="61" applyNumberFormat="1" applyFont="1"/>
    <xf numFmtId="170" fontId="31" fillId="0" borderId="0" xfId="67" applyNumberFormat="1" applyFont="1" applyFill="1"/>
    <xf numFmtId="172" fontId="31" fillId="0" borderId="0" xfId="61" applyNumberFormat="1" applyFont="1"/>
    <xf numFmtId="172" fontId="32" fillId="0" borderId="0" xfId="61" applyNumberFormat="1" applyFont="1"/>
    <xf numFmtId="170" fontId="31" fillId="0" borderId="0" xfId="67" applyNumberFormat="1" applyFont="1"/>
    <xf numFmtId="170" fontId="31" fillId="0" borderId="0" xfId="61" applyNumberFormat="1" applyFont="1"/>
    <xf numFmtId="172" fontId="31" fillId="0" borderId="0" xfId="0" applyNumberFormat="1" applyFont="1"/>
    <xf numFmtId="170" fontId="31" fillId="0" borderId="0" xfId="0" applyNumberFormat="1" applyFont="1"/>
    <xf numFmtId="172" fontId="32" fillId="0" borderId="0" xfId="0" applyNumberFormat="1" applyFont="1"/>
    <xf numFmtId="170" fontId="31" fillId="0" borderId="0" xfId="67" applyNumberFormat="1" applyFont="1" applyFill="1" applyBorder="1"/>
    <xf numFmtId="172" fontId="31" fillId="16" borderId="0" xfId="61" applyNumberFormat="1" applyFont="1" applyFill="1" applyAlignment="1">
      <alignment horizontal="right"/>
    </xf>
    <xf numFmtId="2" fontId="31" fillId="0" borderId="0" xfId="61" applyNumberFormat="1" applyFont="1"/>
    <xf numFmtId="2" fontId="32" fillId="0" borderId="0" xfId="61" applyNumberFormat="1" applyFont="1"/>
    <xf numFmtId="2" fontId="31" fillId="0" borderId="22" xfId="61" applyNumberFormat="1" applyFont="1" applyBorder="1"/>
    <xf numFmtId="2" fontId="32" fillId="0" borderId="22" xfId="61" applyNumberFormat="1" applyFont="1" applyBorder="1"/>
    <xf numFmtId="2" fontId="31" fillId="0" borderId="16" xfId="61" applyNumberFormat="1" applyFont="1" applyBorder="1"/>
    <xf numFmtId="2" fontId="32" fillId="0" borderId="16" xfId="61" applyNumberFormat="1" applyFont="1" applyBorder="1"/>
    <xf numFmtId="2" fontId="31" fillId="0" borderId="0" xfId="61" applyNumberFormat="1" applyFont="1" applyBorder="1"/>
    <xf numFmtId="2" fontId="32" fillId="0" borderId="0" xfId="61" applyNumberFormat="1" applyFont="1" applyBorder="1"/>
    <xf numFmtId="10" fontId="31" fillId="0" borderId="0" xfId="67" applyNumberFormat="1" applyFont="1"/>
    <xf numFmtId="10" fontId="31" fillId="0" borderId="0" xfId="61" applyNumberFormat="1" applyFont="1"/>
    <xf numFmtId="10" fontId="32" fillId="0" borderId="0" xfId="67" applyNumberFormat="1" applyFont="1"/>
    <xf numFmtId="2" fontId="31" fillId="0" borderId="0" xfId="37" applyNumberFormat="1" applyFont="1"/>
    <xf numFmtId="2" fontId="32" fillId="0" borderId="0" xfId="37" applyNumberFormat="1" applyFont="1"/>
    <xf numFmtId="2" fontId="31" fillId="0" borderId="16" xfId="37" applyNumberFormat="1" applyFont="1" applyBorder="1"/>
    <xf numFmtId="2" fontId="32" fillId="0" borderId="16" xfId="37" applyNumberFormat="1" applyFont="1" applyBorder="1"/>
    <xf numFmtId="10" fontId="32" fillId="0" borderId="0" xfId="61" applyNumberFormat="1" applyFont="1"/>
    <xf numFmtId="10" fontId="31" fillId="0" borderId="16" xfId="61" applyNumberFormat="1" applyFont="1" applyBorder="1"/>
    <xf numFmtId="10" fontId="32" fillId="0" borderId="16" xfId="61" applyNumberFormat="1" applyFont="1" applyBorder="1"/>
    <xf numFmtId="175" fontId="31" fillId="0" borderId="16" xfId="61" applyNumberFormat="1" applyFont="1" applyBorder="1"/>
    <xf numFmtId="175" fontId="32" fillId="0" borderId="16" xfId="61" applyNumberFormat="1" applyFont="1" applyBorder="1"/>
    <xf numFmtId="9" fontId="31" fillId="0" borderId="16" xfId="61" applyNumberFormat="1" applyFont="1" applyBorder="1"/>
    <xf numFmtId="9" fontId="32" fillId="0" borderId="16" xfId="61" applyNumberFormat="1" applyFont="1" applyBorder="1"/>
    <xf numFmtId="175" fontId="31" fillId="0" borderId="0" xfId="61" applyNumberFormat="1" applyFont="1" applyBorder="1"/>
    <xf numFmtId="175" fontId="32" fillId="0" borderId="0" xfId="61" applyNumberFormat="1" applyFont="1" applyBorder="1"/>
    <xf numFmtId="170" fontId="31" fillId="0" borderId="16" xfId="61" applyNumberFormat="1" applyFont="1" applyBorder="1"/>
    <xf numFmtId="170" fontId="32" fillId="0" borderId="16" xfId="61" applyNumberFormat="1" applyFont="1" applyBorder="1"/>
    <xf numFmtId="175" fontId="32" fillId="0" borderId="0" xfId="0" applyNumberFormat="1" applyFont="1"/>
    <xf numFmtId="175" fontId="32" fillId="0" borderId="16" xfId="0" applyNumberFormat="1" applyFont="1" applyBorder="1"/>
    <xf numFmtId="0" fontId="9" fillId="15" borderId="14" xfId="57" applyFont="1" applyFill="1" applyBorder="1"/>
    <xf numFmtId="0" fontId="9" fillId="0" borderId="0" xfId="57" applyFont="1"/>
    <xf numFmtId="172" fontId="9" fillId="0" borderId="0" xfId="57" applyNumberFormat="1" applyFont="1"/>
    <xf numFmtId="170" fontId="9" fillId="18" borderId="0" xfId="61" applyNumberFormat="1" applyFont="1" applyFill="1"/>
    <xf numFmtId="9" fontId="9" fillId="18" borderId="0" xfId="61" applyNumberFormat="1" applyFont="1" applyFill="1"/>
    <xf numFmtId="170" fontId="9" fillId="0" borderId="0" xfId="67" applyNumberFormat="1" applyFont="1" applyBorder="1"/>
    <xf numFmtId="170" fontId="9" fillId="18" borderId="0" xfId="67" applyNumberFormat="1" applyFont="1" applyFill="1"/>
    <xf numFmtId="0" fontId="3" fillId="0" borderId="0" xfId="0" applyFont="1" applyAlignment="1">
      <alignment horizontal="center"/>
    </xf>
    <xf numFmtId="1" fontId="3" fillId="0" borderId="0" xfId="0" applyNumberFormat="1" applyFont="1"/>
    <xf numFmtId="172" fontId="3" fillId="0" borderId="0" xfId="0" applyNumberFormat="1" applyFont="1" applyAlignment="1">
      <alignment horizontal="right"/>
    </xf>
    <xf numFmtId="9" fontId="31" fillId="0" borderId="0" xfId="0" applyNumberFormat="1" applyFont="1"/>
    <xf numFmtId="9" fontId="9" fillId="0" borderId="0" xfId="0" applyNumberFormat="1" applyFont="1"/>
    <xf numFmtId="9" fontId="3" fillId="0" borderId="0" xfId="0" applyNumberFormat="1" applyFont="1"/>
    <xf numFmtId="0" fontId="31" fillId="0" borderId="0" xfId="0" applyFont="1"/>
    <xf numFmtId="170" fontId="22" fillId="0" borderId="0" xfId="0" applyNumberFormat="1" applyFont="1"/>
    <xf numFmtId="170" fontId="9" fillId="18" borderId="0" xfId="0" applyNumberFormat="1" applyFont="1" applyFill="1"/>
    <xf numFmtId="170" fontId="3" fillId="0" borderId="0" xfId="0" applyNumberFormat="1" applyFont="1"/>
    <xf numFmtId="173" fontId="3" fillId="0" borderId="0" xfId="61" applyNumberFormat="1" applyFont="1" applyBorder="1"/>
    <xf numFmtId="170" fontId="3" fillId="0" borderId="0" xfId="67" applyNumberFormat="1" applyFont="1" applyBorder="1"/>
    <xf numFmtId="168" fontId="3" fillId="0" borderId="0" xfId="37" applyFont="1" applyBorder="1"/>
    <xf numFmtId="179" fontId="3" fillId="0" borderId="0" xfId="61" applyNumberFormat="1" applyFont="1" applyBorder="1"/>
    <xf numFmtId="180" fontId="3" fillId="0" borderId="0" xfId="61" applyNumberFormat="1" applyFont="1" applyBorder="1"/>
    <xf numFmtId="9" fontId="3" fillId="0" borderId="0" xfId="67" applyFont="1" applyBorder="1"/>
    <xf numFmtId="9" fontId="3" fillId="0" borderId="0" xfId="61" applyNumberFormat="1" applyFont="1" applyBorder="1"/>
    <xf numFmtId="177" fontId="3" fillId="16" borderId="0" xfId="58" applyFont="1" applyFill="1" applyAlignment="1">
      <alignment horizontal="right"/>
    </xf>
    <xf numFmtId="2" fontId="9" fillId="0" borderId="0" xfId="0" applyNumberFormat="1" applyFont="1"/>
    <xf numFmtId="2" fontId="3" fillId="0" borderId="0" xfId="0" applyNumberFormat="1" applyFont="1"/>
    <xf numFmtId="184" fontId="9" fillId="0" borderId="0" xfId="0" applyNumberFormat="1" applyFont="1"/>
    <xf numFmtId="9" fontId="9" fillId="22" borderId="0" xfId="0" applyNumberFormat="1" applyFont="1" applyFill="1"/>
    <xf numFmtId="1" fontId="3" fillId="0" borderId="0" xfId="61" applyNumberFormat="1" applyFont="1"/>
    <xf numFmtId="170" fontId="3" fillId="0" borderId="0" xfId="61" applyNumberFormat="1" applyFont="1"/>
    <xf numFmtId="0" fontId="3" fillId="0" borderId="0" xfId="61" applyFont="1"/>
    <xf numFmtId="175" fontId="3" fillId="0" borderId="0" xfId="61" applyNumberFormat="1" applyFont="1"/>
    <xf numFmtId="175" fontId="27" fillId="0" borderId="0" xfId="61" applyNumberFormat="1" applyFont="1"/>
    <xf numFmtId="170" fontId="3" fillId="0" borderId="0" xfId="67" applyNumberFormat="1" applyFont="1" applyFill="1"/>
    <xf numFmtId="172" fontId="3" fillId="0" borderId="0" xfId="61" applyNumberFormat="1" applyFont="1"/>
    <xf numFmtId="170" fontId="7" fillId="0" borderId="0" xfId="67" applyNumberFormat="1" applyFont="1"/>
    <xf numFmtId="9" fontId="9" fillId="23" borderId="0" xfId="0" applyNumberFormat="1" applyFont="1" applyFill="1"/>
    <xf numFmtId="9" fontId="9" fillId="18" borderId="0" xfId="0" applyNumberFormat="1" applyFont="1" applyFill="1"/>
    <xf numFmtId="9" fontId="3" fillId="0" borderId="0" xfId="61" applyNumberFormat="1" applyFont="1"/>
    <xf numFmtId="170" fontId="9" fillId="23" borderId="0" xfId="0" applyNumberFormat="1" applyFont="1" applyFill="1"/>
    <xf numFmtId="170" fontId="9" fillId="23" borderId="0" xfId="67" applyNumberFormat="1" applyFont="1" applyFill="1" applyBorder="1"/>
    <xf numFmtId="172" fontId="3" fillId="0" borderId="0" xfId="61" applyNumberFormat="1" applyFont="1" applyBorder="1"/>
    <xf numFmtId="175" fontId="3" fillId="0" borderId="0" xfId="61" applyNumberFormat="1" applyFont="1" applyBorder="1"/>
    <xf numFmtId="190" fontId="3" fillId="0" borderId="0" xfId="0" applyNumberFormat="1" applyFont="1" applyAlignment="1">
      <alignment horizontal="right"/>
    </xf>
    <xf numFmtId="39" fontId="3" fillId="0" borderId="0" xfId="0" applyNumberFormat="1" applyFont="1" applyAlignment="1">
      <alignment horizontal="right"/>
    </xf>
    <xf numFmtId="170" fontId="29" fillId="0" borderId="0" xfId="67" applyNumberFormat="1" applyFont="1" applyFill="1" applyBorder="1"/>
    <xf numFmtId="2" fontId="29" fillId="0" borderId="0" xfId="0" applyNumberFormat="1" applyFont="1"/>
    <xf numFmtId="170" fontId="7" fillId="0" borderId="0" xfId="67" applyNumberFormat="1" applyFont="1" applyFill="1" applyBorder="1"/>
    <xf numFmtId="172" fontId="3" fillId="16" borderId="0" xfId="61" applyNumberFormat="1" applyFont="1" applyFill="1" applyAlignment="1">
      <alignment horizontal="right"/>
    </xf>
    <xf numFmtId="2" fontId="7" fillId="0" borderId="0" xfId="61" applyNumberFormat="1" applyFont="1"/>
    <xf numFmtId="2" fontId="3" fillId="0" borderId="0" xfId="61" applyNumberFormat="1" applyFont="1"/>
    <xf numFmtId="2" fontId="7" fillId="0" borderId="22" xfId="61" applyNumberFormat="1" applyFont="1" applyBorder="1"/>
    <xf numFmtId="2" fontId="3" fillId="0" borderId="22" xfId="61" applyNumberFormat="1" applyFont="1" applyBorder="1"/>
    <xf numFmtId="175" fontId="7" fillId="0" borderId="16" xfId="61" applyNumberFormat="1" applyFont="1" applyBorder="1"/>
    <xf numFmtId="175" fontId="3" fillId="0" borderId="16" xfId="61" applyNumberFormat="1" applyFont="1" applyBorder="1"/>
    <xf numFmtId="2" fontId="3" fillId="0" borderId="16" xfId="61" applyNumberFormat="1" applyFont="1" applyBorder="1"/>
    <xf numFmtId="172" fontId="3" fillId="0" borderId="16" xfId="61" applyNumberFormat="1" applyFont="1" applyBorder="1"/>
    <xf numFmtId="2" fontId="3" fillId="18" borderId="0" xfId="61" applyNumberFormat="1" applyFont="1" applyFill="1"/>
    <xf numFmtId="10" fontId="3" fillId="0" borderId="0" xfId="67" applyNumberFormat="1" applyFont="1"/>
    <xf numFmtId="2" fontId="3" fillId="0" borderId="0" xfId="37" applyNumberFormat="1" applyFont="1"/>
    <xf numFmtId="2" fontId="3" fillId="0" borderId="16" xfId="37" applyNumberFormat="1" applyFont="1" applyBorder="1"/>
    <xf numFmtId="10" fontId="3" fillId="0" borderId="0" xfId="61" applyNumberFormat="1" applyFont="1"/>
    <xf numFmtId="10" fontId="3" fillId="0" borderId="16" xfId="61" applyNumberFormat="1" applyFont="1" applyBorder="1"/>
    <xf numFmtId="9" fontId="3" fillId="0" borderId="16" xfId="61" applyNumberFormat="1" applyFont="1" applyBorder="1"/>
    <xf numFmtId="170" fontId="3" fillId="0" borderId="16" xfId="61" applyNumberFormat="1" applyFont="1" applyBorder="1"/>
    <xf numFmtId="175" fontId="3" fillId="0" borderId="0" xfId="67" applyNumberFormat="1" applyFont="1"/>
    <xf numFmtId="175" fontId="7" fillId="0" borderId="0" xfId="67" applyNumberFormat="1" applyFont="1"/>
    <xf numFmtId="175" fontId="3" fillId="0" borderId="16" xfId="0" applyNumberFormat="1" applyFont="1" applyBorder="1"/>
    <xf numFmtId="1" fontId="9" fillId="0" borderId="16" xfId="0" applyNumberFormat="1" applyFont="1" applyBorder="1"/>
    <xf numFmtId="1" fontId="3" fillId="0" borderId="16" xfId="0" applyNumberFormat="1" applyFont="1" applyBorder="1"/>
    <xf numFmtId="1" fontId="9" fillId="0" borderId="16" xfId="61" applyNumberFormat="1" applyFont="1" applyBorder="1"/>
    <xf numFmtId="1" fontId="3" fillId="0" borderId="16" xfId="61" applyNumberFormat="1" applyFont="1" applyBorder="1"/>
    <xf numFmtId="2" fontId="9" fillId="26" borderId="0" xfId="61" applyNumberFormat="1" applyFont="1" applyFill="1"/>
    <xf numFmtId="2" fontId="9" fillId="28" borderId="0" xfId="61" applyNumberFormat="1" applyFont="1" applyFill="1"/>
    <xf numFmtId="4" fontId="9" fillId="0" borderId="0" xfId="0" applyNumberFormat="1" applyFont="1"/>
    <xf numFmtId="3" fontId="28" fillId="0" borderId="0" xfId="0" applyNumberFormat="1" applyFont="1"/>
    <xf numFmtId="3" fontId="9" fillId="0" borderId="0" xfId="0" applyNumberFormat="1" applyFont="1"/>
    <xf numFmtId="3" fontId="3" fillId="0" borderId="0" xfId="0" applyNumberFormat="1" applyFont="1"/>
    <xf numFmtId="3" fontId="3" fillId="0" borderId="0" xfId="61" applyNumberFormat="1" applyFont="1"/>
    <xf numFmtId="0" fontId="7" fillId="0" borderId="0" xfId="57" applyFont="1"/>
    <xf numFmtId="0" fontId="3" fillId="0" borderId="0" xfId="57" applyFont="1"/>
    <xf numFmtId="0" fontId="3" fillId="0" borderId="0" xfId="62"/>
    <xf numFmtId="0" fontId="9" fillId="0" borderId="0" xfId="57" applyFont="1" applyAlignment="1">
      <alignment horizontal="right"/>
    </xf>
    <xf numFmtId="39" fontId="9" fillId="0" borderId="0" xfId="57" applyNumberFormat="1" applyFont="1" applyAlignment="1">
      <alignment horizontal="right"/>
    </xf>
    <xf numFmtId="39" fontId="7" fillId="0" borderId="0" xfId="57" applyNumberFormat="1" applyFont="1" applyAlignment="1">
      <alignment horizontal="right"/>
    </xf>
    <xf numFmtId="0" fontId="3" fillId="0" borderId="0" xfId="57" applyFont="1" applyAlignment="1">
      <alignment horizontal="right"/>
    </xf>
    <xf numFmtId="0" fontId="3" fillId="0" borderId="0" xfId="57" applyFont="1" applyAlignment="1">
      <alignment horizontal="left"/>
    </xf>
    <xf numFmtId="0" fontId="3" fillId="0" borderId="0" xfId="57" applyFont="1" applyAlignment="1">
      <alignment horizontal="center"/>
    </xf>
    <xf numFmtId="4" fontId="3" fillId="0" borderId="0" xfId="0" applyNumberFormat="1" applyFont="1"/>
    <xf numFmtId="3" fontId="3" fillId="0" borderId="0" xfId="0" applyNumberFormat="1" applyFont="1" applyAlignment="1">
      <alignment horizontal="center"/>
    </xf>
    <xf numFmtId="3" fontId="1" fillId="0" borderId="0" xfId="0" applyNumberFormat="1" applyFont="1"/>
    <xf numFmtId="0" fontId="3" fillId="28" borderId="0" xfId="0" applyFont="1" applyFill="1"/>
    <xf numFmtId="170" fontId="9" fillId="29" borderId="0" xfId="67" applyNumberFormat="1" applyFont="1" applyFill="1" applyBorder="1"/>
    <xf numFmtId="4" fontId="9" fillId="0" borderId="0" xfId="61" applyNumberFormat="1" applyFont="1"/>
    <xf numFmtId="170" fontId="9" fillId="29" borderId="0" xfId="61" applyNumberFormat="1" applyFont="1" applyFill="1"/>
    <xf numFmtId="175" fontId="27" fillId="29" borderId="0" xfId="61" applyNumberFormat="1" applyFont="1" applyFill="1"/>
    <xf numFmtId="0" fontId="9" fillId="29" borderId="0" xfId="0" applyFont="1" applyFill="1"/>
    <xf numFmtId="172" fontId="7" fillId="31" borderId="0" xfId="61" applyNumberFormat="1" applyFont="1" applyFill="1" applyBorder="1"/>
    <xf numFmtId="172" fontId="3" fillId="31" borderId="0" xfId="61" applyNumberFormat="1" applyFont="1" applyFill="1"/>
    <xf numFmtId="4" fontId="3" fillId="0" borderId="0" xfId="67" applyNumberFormat="1" applyFont="1" applyFill="1" applyBorder="1"/>
    <xf numFmtId="2" fontId="12" fillId="0" borderId="0" xfId="0" applyNumberFormat="1" applyFont="1"/>
    <xf numFmtId="170" fontId="9" fillId="29" borderId="0" xfId="0" applyNumberFormat="1" applyFont="1" applyFill="1"/>
    <xf numFmtId="9" fontId="9" fillId="0" borderId="0" xfId="67" applyFont="1" applyFill="1" applyBorder="1"/>
    <xf numFmtId="172" fontId="63" fillId="0" borderId="0" xfId="0" applyNumberFormat="1" applyFont="1"/>
    <xf numFmtId="2" fontId="12" fillId="0" borderId="0" xfId="61" applyNumberFormat="1" applyFont="1"/>
    <xf numFmtId="9" fontId="3" fillId="0" borderId="0" xfId="67" applyFont="1" applyFill="1" applyBorder="1"/>
    <xf numFmtId="170" fontId="12" fillId="0" borderId="0" xfId="67" applyNumberFormat="1" applyFont="1" applyFill="1" applyBorder="1"/>
    <xf numFmtId="172" fontId="12" fillId="0" borderId="0" xfId="61" applyNumberFormat="1" applyFont="1" applyBorder="1"/>
    <xf numFmtId="170" fontId="12" fillId="0" borderId="0" xfId="0" applyNumberFormat="1" applyFont="1"/>
    <xf numFmtId="9" fontId="12" fillId="0" borderId="0" xfId="61" applyNumberFormat="1" applyFont="1"/>
    <xf numFmtId="9" fontId="3" fillId="0" borderId="0" xfId="67" applyFont="1"/>
    <xf numFmtId="0" fontId="63" fillId="0" borderId="0" xfId="0" applyFont="1"/>
    <xf numFmtId="2" fontId="63" fillId="0" borderId="0" xfId="0" applyNumberFormat="1" applyFont="1"/>
    <xf numFmtId="170" fontId="63" fillId="0" borderId="0" xfId="67" applyNumberFormat="1" applyFont="1" applyFill="1" applyBorder="1"/>
    <xf numFmtId="171" fontId="9" fillId="0" borderId="0" xfId="61" applyNumberFormat="1" applyFont="1"/>
    <xf numFmtId="171" fontId="3" fillId="0" borderId="0" xfId="61" applyNumberFormat="1" applyFont="1" applyBorder="1"/>
    <xf numFmtId="171" fontId="9" fillId="0" borderId="0" xfId="0" applyNumberFormat="1" applyFont="1"/>
    <xf numFmtId="171" fontId="3" fillId="0" borderId="0" xfId="0" applyNumberFormat="1" applyFont="1"/>
    <xf numFmtId="0" fontId="7" fillId="0" borderId="0" xfId="57" applyFont="1" applyAlignment="1">
      <alignment horizontal="right"/>
    </xf>
    <xf numFmtId="170" fontId="3" fillId="0" borderId="0" xfId="67" applyNumberFormat="1" applyFont="1" applyAlignment="1">
      <alignment horizontal="right"/>
    </xf>
    <xf numFmtId="10" fontId="3" fillId="0" borderId="0" xfId="67" applyNumberFormat="1" applyFont="1" applyAlignment="1">
      <alignment horizontal="right"/>
    </xf>
    <xf numFmtId="9" fontId="3" fillId="0" borderId="0" xfId="67" applyFont="1" applyAlignment="1">
      <alignment horizontal="right"/>
    </xf>
    <xf numFmtId="3" fontId="3" fillId="0" borderId="0" xfId="0" applyNumberFormat="1" applyFont="1" applyAlignment="1">
      <alignment horizontal="right"/>
    </xf>
    <xf numFmtId="2" fontId="3" fillId="0" borderId="0" xfId="57" applyNumberFormat="1" applyFont="1" applyAlignment="1">
      <alignment horizontal="right"/>
    </xf>
    <xf numFmtId="172" fontId="3" fillId="0" borderId="0" xfId="57" applyNumberFormat="1" applyFont="1" applyAlignment="1">
      <alignment horizontal="right"/>
    </xf>
    <xf numFmtId="0" fontId="3" fillId="15" borderId="13" xfId="57" applyFont="1" applyFill="1" applyBorder="1"/>
    <xf numFmtId="0" fontId="15" fillId="15" borderId="14" xfId="57" applyFont="1" applyFill="1" applyBorder="1"/>
    <xf numFmtId="0" fontId="3" fillId="15" borderId="14" xfId="57" applyFont="1" applyFill="1" applyBorder="1"/>
    <xf numFmtId="0" fontId="7" fillId="15" borderId="14" xfId="57" applyFont="1" applyFill="1" applyBorder="1"/>
    <xf numFmtId="39" fontId="9" fillId="15" borderId="14" xfId="57" applyNumberFormat="1" applyFont="1" applyFill="1" applyBorder="1" applyAlignment="1">
      <alignment horizontal="right"/>
    </xf>
    <xf numFmtId="0" fontId="12" fillId="15" borderId="0" xfId="57" applyFont="1" applyFill="1" applyAlignment="1">
      <alignment horizontal="right"/>
    </xf>
    <xf numFmtId="0" fontId="15" fillId="15" borderId="0" xfId="57" applyFont="1" applyFill="1" applyAlignment="1">
      <alignment horizontal="right"/>
    </xf>
    <xf numFmtId="0" fontId="7" fillId="0" borderId="0" xfId="60" applyFont="1"/>
    <xf numFmtId="0" fontId="3" fillId="0" borderId="0" xfId="57" applyFont="1" applyProtection="1">
      <protection locked="0"/>
    </xf>
    <xf numFmtId="0" fontId="3" fillId="15" borderId="0" xfId="57" applyFont="1" applyFill="1"/>
    <xf numFmtId="172" fontId="3" fillId="0" borderId="0" xfId="57" applyNumberFormat="1" applyFont="1"/>
    <xf numFmtId="3" fontId="3" fillId="0" borderId="0" xfId="57" applyNumberFormat="1" applyFont="1" applyAlignment="1">
      <alignment horizontal="right"/>
    </xf>
    <xf numFmtId="170" fontId="3" fillId="0" borderId="0" xfId="57" applyNumberFormat="1" applyFont="1" applyAlignment="1">
      <alignment horizontal="right"/>
    </xf>
    <xf numFmtId="1" fontId="9" fillId="33" borderId="0" xfId="0" applyNumberFormat="1" applyFont="1" applyFill="1"/>
    <xf numFmtId="1" fontId="3" fillId="33" borderId="0" xfId="0" applyNumberFormat="1" applyFont="1" applyFill="1"/>
    <xf numFmtId="9" fontId="12" fillId="33" borderId="0" xfId="0" applyNumberFormat="1" applyFont="1" applyFill="1"/>
    <xf numFmtId="9" fontId="9" fillId="33" borderId="0" xfId="0" applyNumberFormat="1" applyFont="1" applyFill="1"/>
    <xf numFmtId="0" fontId="9" fillId="33" borderId="0" xfId="0" applyFont="1" applyFill="1"/>
    <xf numFmtId="4" fontId="9" fillId="33" borderId="0" xfId="0" applyNumberFormat="1" applyFont="1" applyFill="1"/>
    <xf numFmtId="172" fontId="9" fillId="33" borderId="0" xfId="61" applyNumberFormat="1" applyFont="1" applyFill="1"/>
    <xf numFmtId="172" fontId="7" fillId="0" borderId="0" xfId="61" applyNumberFormat="1" applyFont="1" applyAlignment="1">
      <alignment horizontal="left"/>
    </xf>
    <xf numFmtId="172" fontId="65" fillId="0" borderId="0" xfId="0" applyNumberFormat="1" applyFont="1"/>
    <xf numFmtId="0" fontId="62" fillId="0" borderId="0" xfId="0" applyFont="1"/>
    <xf numFmtId="4" fontId="3" fillId="0" borderId="0" xfId="61" applyNumberFormat="1" applyFont="1" applyBorder="1"/>
    <xf numFmtId="170" fontId="3" fillId="0" borderId="0" xfId="67" applyNumberFormat="1" applyFont="1" applyAlignment="1">
      <alignment horizontal="center"/>
    </xf>
    <xf numFmtId="170" fontId="3" fillId="0" borderId="0" xfId="67" applyNumberFormat="1" applyFont="1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172" fontId="63" fillId="0" borderId="0" xfId="61" applyNumberFormat="1" applyFont="1"/>
    <xf numFmtId="10" fontId="9" fillId="0" borderId="0" xfId="67" applyNumberFormat="1" applyFont="1" applyFill="1"/>
    <xf numFmtId="2" fontId="9" fillId="0" borderId="0" xfId="37" applyNumberFormat="1" applyFont="1" applyFill="1"/>
    <xf numFmtId="2" fontId="9" fillId="0" borderId="16" xfId="37" applyNumberFormat="1" applyFont="1" applyFill="1" applyBorder="1"/>
    <xf numFmtId="175" fontId="9" fillId="0" borderId="0" xfId="67" applyNumberFormat="1" applyFont="1" applyFill="1"/>
    <xf numFmtId="175" fontId="63" fillId="0" borderId="0" xfId="61" applyNumberFormat="1" applyFont="1"/>
    <xf numFmtId="170" fontId="7" fillId="0" borderId="0" xfId="67" applyNumberFormat="1" applyFont="1" applyFill="1"/>
    <xf numFmtId="190" fontId="9" fillId="0" borderId="0" xfId="0" applyNumberFormat="1" applyFont="1"/>
    <xf numFmtId="9" fontId="7" fillId="0" borderId="0" xfId="61" applyNumberFormat="1" applyFont="1" applyBorder="1"/>
    <xf numFmtId="210" fontId="9" fillId="0" borderId="0" xfId="0" applyNumberFormat="1" applyFont="1"/>
    <xf numFmtId="209" fontId="9" fillId="0" borderId="0" xfId="0" applyNumberFormat="1" applyFont="1"/>
    <xf numFmtId="170" fontId="32" fillId="0" borderId="0" xfId="61" applyNumberFormat="1" applyFont="1" applyBorder="1"/>
    <xf numFmtId="0" fontId="3" fillId="0" borderId="0" xfId="61" applyFont="1" applyBorder="1"/>
    <xf numFmtId="0" fontId="1" fillId="0" borderId="0" xfId="61" applyFont="1" applyBorder="1"/>
    <xf numFmtId="0" fontId="12" fillId="0" borderId="0" xfId="61" applyFont="1" applyBorder="1"/>
    <xf numFmtId="0" fontId="15" fillId="0" borderId="0" xfId="61" applyFont="1" applyBorder="1"/>
    <xf numFmtId="170" fontId="1" fillId="0" borderId="0" xfId="61" applyNumberFormat="1" applyFont="1" applyBorder="1"/>
    <xf numFmtId="170" fontId="12" fillId="0" borderId="0" xfId="61" applyNumberFormat="1" applyFont="1" applyBorder="1"/>
    <xf numFmtId="0" fontId="3" fillId="0" borderId="16" xfId="0" applyFont="1" applyBorder="1" applyAlignment="1">
      <alignment horizontal="center"/>
    </xf>
    <xf numFmtId="1" fontId="7" fillId="0" borderId="0" xfId="61" applyNumberFormat="1" applyFont="1" applyBorder="1"/>
    <xf numFmtId="0" fontId="2" fillId="0" borderId="0" xfId="0" applyFont="1" applyAlignment="1">
      <alignment horizontal="center"/>
    </xf>
    <xf numFmtId="172" fontId="67" fillId="0" borderId="0" xfId="61" applyNumberFormat="1" applyFont="1" applyBorder="1"/>
    <xf numFmtId="0" fontId="1" fillId="0" borderId="0" xfId="61" applyFont="1"/>
    <xf numFmtId="9" fontId="67" fillId="0" borderId="0" xfId="67" applyFont="1" applyBorder="1"/>
    <xf numFmtId="1" fontId="67" fillId="0" borderId="0" xfId="61" applyNumberFormat="1" applyFont="1" applyBorder="1"/>
    <xf numFmtId="170" fontId="67" fillId="0" borderId="0" xfId="67" applyNumberFormat="1" applyFont="1" applyBorder="1"/>
    <xf numFmtId="1" fontId="9" fillId="0" borderId="0" xfId="0" applyNumberFormat="1" applyFont="1" applyAlignment="1">
      <alignment horizontal="center"/>
    </xf>
    <xf numFmtId="2" fontId="3" fillId="0" borderId="0" xfId="61" applyNumberFormat="1" applyFont="1" applyBorder="1"/>
    <xf numFmtId="171" fontId="9" fillId="0" borderId="0" xfId="61" applyNumberFormat="1" applyFont="1" applyBorder="1"/>
    <xf numFmtId="171" fontId="63" fillId="0" borderId="0" xfId="61" applyNumberFormat="1" applyFont="1" applyBorder="1"/>
    <xf numFmtId="0" fontId="1" fillId="0" borderId="30" xfId="0" applyFont="1" applyBorder="1"/>
    <xf numFmtId="0" fontId="15" fillId="15" borderId="0" xfId="57" applyFont="1" applyFill="1"/>
    <xf numFmtId="0" fontId="9" fillId="15" borderId="0" xfId="57" applyFont="1" applyFill="1"/>
    <xf numFmtId="0" fontId="7" fillId="15" borderId="0" xfId="57" applyFont="1" applyFill="1"/>
    <xf numFmtId="39" fontId="9" fillId="15" borderId="0" xfId="57" applyNumberFormat="1" applyFont="1" applyFill="1" applyAlignment="1">
      <alignment horizontal="right"/>
    </xf>
    <xf numFmtId="0" fontId="9" fillId="15" borderId="0" xfId="57" applyFont="1" applyFill="1" applyAlignment="1">
      <alignment horizontal="left"/>
    </xf>
    <xf numFmtId="18" fontId="12" fillId="15" borderId="0" xfId="57" applyNumberFormat="1" applyFont="1" applyFill="1" applyAlignment="1">
      <alignment horizontal="right"/>
    </xf>
    <xf numFmtId="165" fontId="12" fillId="15" borderId="0" xfId="57" applyNumberFormat="1" applyFont="1" applyFill="1" applyAlignment="1">
      <alignment horizontal="left"/>
    </xf>
    <xf numFmtId="0" fontId="9" fillId="15" borderId="0" xfId="57" applyFont="1" applyFill="1" applyAlignment="1">
      <alignment horizontal="right"/>
    </xf>
    <xf numFmtId="0" fontId="7" fillId="15" borderId="0" xfId="57" applyFont="1" applyFill="1" applyAlignment="1">
      <alignment horizontal="right"/>
    </xf>
    <xf numFmtId="0" fontId="12" fillId="15" borderId="0" xfId="57" applyFont="1" applyFill="1"/>
    <xf numFmtId="0" fontId="15" fillId="16" borderId="0" xfId="57" applyFont="1" applyFill="1" applyAlignment="1">
      <alignment horizontal="left"/>
    </xf>
    <xf numFmtId="0" fontId="7" fillId="16" borderId="0" xfId="57" applyFont="1" applyFill="1"/>
    <xf numFmtId="0" fontId="15" fillId="16" borderId="0" xfId="57" applyFont="1" applyFill="1" applyAlignment="1">
      <alignment horizontal="right"/>
    </xf>
    <xf numFmtId="39" fontId="15" fillId="16" borderId="0" xfId="57" applyNumberFormat="1" applyFont="1" applyFill="1" applyAlignment="1">
      <alignment horizontal="right"/>
    </xf>
    <xf numFmtId="170" fontId="7" fillId="0" borderId="21" xfId="61" applyNumberFormat="1" applyFont="1" applyBorder="1"/>
    <xf numFmtId="170" fontId="7" fillId="0" borderId="22" xfId="61" applyNumberFormat="1" applyFont="1" applyBorder="1"/>
    <xf numFmtId="170" fontId="7" fillId="0" borderId="0" xfId="61" applyNumberFormat="1" applyFont="1" applyBorder="1"/>
    <xf numFmtId="170" fontId="15" fillId="0" borderId="0" xfId="61" applyNumberFormat="1" applyFont="1" applyBorder="1"/>
    <xf numFmtId="0" fontId="7" fillId="0" borderId="0" xfId="61" applyFont="1" applyBorder="1" applyAlignment="1">
      <alignment horizontal="right"/>
    </xf>
    <xf numFmtId="173" fontId="7" fillId="0" borderId="0" xfId="61" applyNumberFormat="1" applyFont="1" applyBorder="1"/>
    <xf numFmtId="0" fontId="68" fillId="0" borderId="0" xfId="61" applyFont="1"/>
    <xf numFmtId="173" fontId="7" fillId="0" borderId="21" xfId="61" applyNumberFormat="1" applyFont="1" applyBorder="1"/>
    <xf numFmtId="170" fontId="7" fillId="0" borderId="0" xfId="0" applyNumberFormat="1" applyFont="1"/>
    <xf numFmtId="171" fontId="7" fillId="0" borderId="0" xfId="61" applyNumberFormat="1" applyFont="1" applyBorder="1"/>
    <xf numFmtId="171" fontId="7" fillId="0" borderId="21" xfId="61" applyNumberFormat="1" applyFont="1" applyBorder="1"/>
    <xf numFmtId="210" fontId="7" fillId="0" borderId="0" xfId="61" applyNumberFormat="1" applyFont="1" applyBorder="1"/>
    <xf numFmtId="4" fontId="7" fillId="0" borderId="0" xfId="61" applyNumberFormat="1" applyFont="1" applyBorder="1"/>
    <xf numFmtId="173" fontId="15" fillId="29" borderId="0" xfId="61" applyNumberFormat="1" applyFont="1" applyFill="1" applyBorder="1"/>
    <xf numFmtId="171" fontId="7" fillId="29" borderId="0" xfId="61" applyNumberFormat="1" applyFont="1" applyFill="1" applyBorder="1"/>
    <xf numFmtId="173" fontId="7" fillId="29" borderId="0" xfId="61" applyNumberFormat="1" applyFont="1" applyFill="1" applyBorder="1"/>
    <xf numFmtId="173" fontId="64" fillId="29" borderId="0" xfId="61" applyNumberFormat="1" applyFont="1" applyFill="1" applyBorder="1"/>
    <xf numFmtId="171" fontId="61" fillId="29" borderId="0" xfId="61" applyNumberFormat="1" applyFont="1" applyFill="1" applyBorder="1"/>
    <xf numFmtId="170" fontId="7" fillId="18" borderId="0" xfId="61" applyNumberFormat="1" applyFont="1" applyFill="1" applyBorder="1"/>
    <xf numFmtId="183" fontId="7" fillId="0" borderId="0" xfId="61" applyNumberFormat="1" applyFont="1" applyBorder="1"/>
    <xf numFmtId="170" fontId="7" fillId="29" borderId="0" xfId="61" applyNumberFormat="1" applyFont="1" applyFill="1" applyBorder="1"/>
    <xf numFmtId="173" fontId="7" fillId="29" borderId="21" xfId="61" applyNumberFormat="1" applyFont="1" applyFill="1" applyBorder="1"/>
    <xf numFmtId="9" fontId="7" fillId="0" borderId="0" xfId="61" applyNumberFormat="1" applyFont="1"/>
    <xf numFmtId="170" fontId="7" fillId="32" borderId="0" xfId="61" applyNumberFormat="1" applyFont="1" applyFill="1" applyBorder="1"/>
    <xf numFmtId="0" fontId="7" fillId="0" borderId="0" xfId="0" applyFont="1"/>
    <xf numFmtId="173" fontId="7" fillId="32" borderId="0" xfId="61" applyNumberFormat="1" applyFont="1" applyFill="1" applyBorder="1"/>
    <xf numFmtId="173" fontId="7" fillId="32" borderId="21" xfId="61" applyNumberFormat="1" applyFont="1" applyFill="1" applyBorder="1"/>
    <xf numFmtId="0" fontId="69" fillId="0" borderId="0" xfId="61" applyFont="1"/>
    <xf numFmtId="173" fontId="63" fillId="0" borderId="0" xfId="61" applyNumberFormat="1" applyFont="1" applyBorder="1"/>
    <xf numFmtId="173" fontId="61" fillId="0" borderId="0" xfId="61" applyNumberFormat="1" applyFont="1" applyBorder="1"/>
    <xf numFmtId="173" fontId="3" fillId="32" borderId="0" xfId="61" applyNumberFormat="1" applyFont="1" applyFill="1" applyBorder="1"/>
    <xf numFmtId="173" fontId="61" fillId="32" borderId="0" xfId="61" applyNumberFormat="1" applyFont="1" applyFill="1" applyBorder="1"/>
    <xf numFmtId="9" fontId="63" fillId="0" borderId="0" xfId="67" applyFont="1" applyFill="1" applyBorder="1"/>
    <xf numFmtId="9" fontId="61" fillId="0" borderId="0" xfId="67" applyFont="1" applyFill="1" applyBorder="1"/>
    <xf numFmtId="9" fontId="3" fillId="32" borderId="0" xfId="67" applyFont="1" applyFill="1" applyBorder="1"/>
    <xf numFmtId="9" fontId="61" fillId="32" borderId="0" xfId="67" applyFont="1" applyFill="1" applyBorder="1"/>
    <xf numFmtId="0" fontId="15" fillId="0" borderId="30" xfId="61" applyFont="1" applyBorder="1"/>
    <xf numFmtId="0" fontId="15" fillId="0" borderId="30" xfId="0" applyFont="1" applyBorder="1"/>
    <xf numFmtId="173" fontId="15" fillId="0" borderId="30" xfId="61" applyNumberFormat="1" applyFont="1" applyBorder="1"/>
    <xf numFmtId="183" fontId="15" fillId="0" borderId="30" xfId="61" applyNumberFormat="1" applyFont="1" applyBorder="1"/>
    <xf numFmtId="173" fontId="62" fillId="0" borderId="30" xfId="61" applyNumberFormat="1" applyFont="1" applyBorder="1"/>
    <xf numFmtId="173" fontId="15" fillId="32" borderId="30" xfId="61" applyNumberFormat="1" applyFont="1" applyFill="1" applyBorder="1"/>
    <xf numFmtId="170" fontId="64" fillId="0" borderId="0" xfId="61" applyNumberFormat="1" applyFont="1" applyBorder="1"/>
    <xf numFmtId="170" fontId="7" fillId="20" borderId="0" xfId="61" applyNumberFormat="1" applyFont="1" applyFill="1" applyBorder="1"/>
    <xf numFmtId="181" fontId="7" fillId="0" borderId="0" xfId="61" applyNumberFormat="1" applyFont="1" applyBorder="1"/>
    <xf numFmtId="171" fontId="7" fillId="0" borderId="0" xfId="61" applyNumberFormat="1" applyFont="1"/>
    <xf numFmtId="4" fontId="7" fillId="0" borderId="0" xfId="61" applyNumberFormat="1" applyFont="1"/>
    <xf numFmtId="0" fontId="7" fillId="0" borderId="0" xfId="57" applyFont="1" applyAlignment="1">
      <alignment horizontal="left"/>
    </xf>
    <xf numFmtId="3" fontId="1" fillId="19" borderId="0" xfId="0" applyNumberFormat="1" applyFont="1" applyFill="1" applyAlignment="1">
      <alignment horizontal="right"/>
    </xf>
    <xf numFmtId="3" fontId="1" fillId="19" borderId="25" xfId="0" applyNumberFormat="1" applyFont="1" applyFill="1" applyBorder="1" applyAlignment="1">
      <alignment horizontal="right"/>
    </xf>
    <xf numFmtId="171" fontId="65" fillId="0" borderId="0" xfId="61" applyNumberFormat="1" applyFont="1" applyBorder="1"/>
    <xf numFmtId="9" fontId="7" fillId="0" borderId="0" xfId="67" applyFont="1" applyFill="1" applyBorder="1"/>
    <xf numFmtId="15" fontId="7" fillId="0" borderId="0" xfId="57" applyNumberFormat="1" applyFont="1" applyAlignment="1">
      <alignment horizontal="left"/>
    </xf>
    <xf numFmtId="15" fontId="7" fillId="0" borderId="0" xfId="61" applyNumberFormat="1" applyFont="1" applyBorder="1"/>
    <xf numFmtId="174" fontId="7" fillId="0" borderId="0" xfId="61" applyNumberFormat="1" applyFont="1" applyBorder="1"/>
    <xf numFmtId="0" fontId="7" fillId="0" borderId="0" xfId="61" applyFont="1" applyBorder="1" applyProtection="1">
      <protection locked="0"/>
    </xf>
    <xf numFmtId="0" fontId="7" fillId="0" borderId="25" xfId="61" applyFont="1" applyBorder="1"/>
    <xf numFmtId="170" fontId="7" fillId="0" borderId="13" xfId="61" applyNumberFormat="1" applyFont="1" applyBorder="1"/>
    <xf numFmtId="170" fontId="7" fillId="0" borderId="14" xfId="61" applyNumberFormat="1" applyFont="1" applyBorder="1"/>
    <xf numFmtId="170" fontId="15" fillId="0" borderId="14" xfId="61" applyNumberFormat="1" applyFont="1" applyBorder="1"/>
    <xf numFmtId="170" fontId="7" fillId="0" borderId="15" xfId="61" applyNumberFormat="1" applyFont="1" applyBorder="1"/>
    <xf numFmtId="170" fontId="7" fillId="0" borderId="18" xfId="61" applyNumberFormat="1" applyFont="1" applyBorder="1"/>
    <xf numFmtId="170" fontId="15" fillId="0" borderId="25" xfId="61" applyNumberFormat="1" applyFont="1" applyBorder="1"/>
    <xf numFmtId="0" fontId="7" fillId="0" borderId="0" xfId="61" quotePrefix="1" applyFont="1" applyAlignment="1">
      <alignment horizontal="left"/>
    </xf>
    <xf numFmtId="10" fontId="7" fillId="0" borderId="25" xfId="61" applyNumberFormat="1" applyFont="1" applyBorder="1"/>
    <xf numFmtId="170" fontId="7" fillId="0" borderId="25" xfId="61" applyNumberFormat="1" applyFont="1" applyBorder="1"/>
    <xf numFmtId="170" fontId="7" fillId="0" borderId="19" xfId="61" applyNumberFormat="1" applyFont="1" applyBorder="1"/>
    <xf numFmtId="170" fontId="7" fillId="0" borderId="16" xfId="61" applyNumberFormat="1" applyFont="1" applyBorder="1"/>
    <xf numFmtId="170" fontId="7" fillId="0" borderId="17" xfId="61" applyNumberFormat="1" applyFont="1" applyBorder="1"/>
    <xf numFmtId="173" fontId="7" fillId="0" borderId="14" xfId="61" applyNumberFormat="1" applyFont="1" applyBorder="1"/>
    <xf numFmtId="10" fontId="7" fillId="0" borderId="0" xfId="61" applyNumberFormat="1" applyFont="1" applyBorder="1"/>
    <xf numFmtId="0" fontId="25" fillId="0" borderId="0" xfId="61" applyFont="1" applyBorder="1"/>
    <xf numFmtId="0" fontId="25" fillId="0" borderId="0" xfId="61" applyFont="1" applyBorder="1" applyProtection="1">
      <protection locked="0"/>
    </xf>
    <xf numFmtId="173" fontId="25" fillId="0" borderId="0" xfId="61" applyNumberFormat="1" applyFont="1" applyBorder="1"/>
    <xf numFmtId="171" fontId="7" fillId="0" borderId="25" xfId="61" applyNumberFormat="1" applyFont="1" applyBorder="1"/>
    <xf numFmtId="171" fontId="7" fillId="0" borderId="0" xfId="0" applyNumberFormat="1" applyFont="1"/>
    <xf numFmtId="171" fontId="12" fillId="0" borderId="0" xfId="0" applyNumberFormat="1" applyFont="1"/>
    <xf numFmtId="171" fontId="15" fillId="0" borderId="0" xfId="0" applyNumberFormat="1" applyFont="1"/>
    <xf numFmtId="2" fontId="7" fillId="0" borderId="0" xfId="61" applyNumberFormat="1" applyFont="1" applyBorder="1"/>
    <xf numFmtId="171" fontId="15" fillId="0" borderId="0" xfId="61" applyNumberFormat="1" applyFont="1" applyBorder="1"/>
    <xf numFmtId="171" fontId="15" fillId="0" borderId="25" xfId="61" applyNumberFormat="1" applyFont="1" applyBorder="1"/>
    <xf numFmtId="173" fontId="9" fillId="0" borderId="14" xfId="61" applyNumberFormat="1" applyFont="1" applyBorder="1"/>
    <xf numFmtId="0" fontId="7" fillId="0" borderId="14" xfId="61" applyFont="1" applyBorder="1"/>
    <xf numFmtId="170" fontId="9" fillId="0" borderId="21" xfId="61" applyNumberFormat="1" applyFont="1" applyBorder="1"/>
    <xf numFmtId="0" fontId="3" fillId="0" borderId="16" xfId="0" applyFont="1" applyBorder="1"/>
    <xf numFmtId="10" fontId="3" fillId="0" borderId="0" xfId="0" applyNumberFormat="1" applyFont="1"/>
    <xf numFmtId="170" fontId="3" fillId="0" borderId="0" xfId="60" applyNumberFormat="1" applyFont="1" applyBorder="1" applyAlignment="1">
      <alignment horizontal="right"/>
    </xf>
    <xf numFmtId="0" fontId="3" fillId="0" borderId="0" xfId="60" applyFont="1" applyBorder="1" applyAlignment="1">
      <alignment horizontal="right"/>
    </xf>
    <xf numFmtId="172" fontId="3" fillId="0" borderId="0" xfId="60" applyNumberFormat="1" applyFont="1" applyBorder="1" applyAlignment="1">
      <alignment horizontal="right"/>
    </xf>
    <xf numFmtId="0" fontId="3" fillId="0" borderId="22" xfId="57" applyFont="1" applyBorder="1"/>
    <xf numFmtId="0" fontId="1" fillId="0" borderId="0" xfId="57" applyFont="1" applyAlignment="1">
      <alignment horizontal="left"/>
    </xf>
    <xf numFmtId="0" fontId="3" fillId="16" borderId="0" xfId="0" applyFont="1" applyFill="1"/>
    <xf numFmtId="0" fontId="1" fillId="16" borderId="0" xfId="0" applyFont="1" applyFill="1"/>
    <xf numFmtId="0" fontId="2" fillId="0" borderId="0" xfId="57" applyFont="1"/>
    <xf numFmtId="204" fontId="3" fillId="0" borderId="0" xfId="57" applyNumberFormat="1" applyFont="1"/>
    <xf numFmtId="0" fontId="3" fillId="16" borderId="0" xfId="57" applyFont="1" applyFill="1"/>
    <xf numFmtId="0" fontId="3" fillId="0" borderId="0" xfId="60" applyFont="1"/>
    <xf numFmtId="0" fontId="3" fillId="15" borderId="14" xfId="57" applyFont="1" applyFill="1" applyBorder="1" applyAlignment="1">
      <alignment horizontal="left"/>
    </xf>
    <xf numFmtId="0" fontId="9" fillId="15" borderId="14" xfId="57" applyFont="1" applyFill="1" applyBorder="1" applyAlignment="1">
      <alignment horizontal="left"/>
    </xf>
    <xf numFmtId="0" fontId="1" fillId="16" borderId="0" xfId="57" applyFont="1" applyFill="1"/>
    <xf numFmtId="0" fontId="1" fillId="16" borderId="0" xfId="57" applyFont="1" applyFill="1" applyAlignment="1">
      <alignment horizontal="left"/>
    </xf>
    <xf numFmtId="0" fontId="1" fillId="16" borderId="0" xfId="57" applyFont="1" applyFill="1" applyAlignment="1">
      <alignment horizontal="right"/>
    </xf>
    <xf numFmtId="39" fontId="1" fillId="16" borderId="0" xfId="57" quotePrefix="1" applyNumberFormat="1" applyFont="1" applyFill="1" applyAlignment="1">
      <alignment horizontal="right"/>
    </xf>
    <xf numFmtId="39" fontId="1" fillId="16" borderId="0" xfId="57" applyNumberFormat="1" applyFont="1" applyFill="1" applyAlignment="1">
      <alignment horizontal="right"/>
    </xf>
    <xf numFmtId="0" fontId="15" fillId="0" borderId="0" xfId="57" applyFont="1"/>
    <xf numFmtId="15" fontId="9" fillId="0" borderId="0" xfId="57" applyNumberFormat="1" applyFont="1" applyAlignment="1">
      <alignment horizontal="right"/>
    </xf>
    <xf numFmtId="15" fontId="7" fillId="0" borderId="0" xfId="57" applyNumberFormat="1" applyFont="1" applyAlignment="1">
      <alignment horizontal="right"/>
    </xf>
    <xf numFmtId="0" fontId="12" fillId="0" borderId="13" xfId="60" applyFont="1" applyBorder="1" applyAlignment="1">
      <alignment horizontal="right"/>
    </xf>
    <xf numFmtId="0" fontId="15" fillId="0" borderId="14" xfId="60" applyFont="1" applyBorder="1" applyAlignment="1">
      <alignment horizontal="right"/>
    </xf>
    <xf numFmtId="0" fontId="12" fillId="0" borderId="14" xfId="60" applyFont="1" applyBorder="1" applyAlignment="1">
      <alignment horizontal="right"/>
    </xf>
    <xf numFmtId="0" fontId="1" fillId="0" borderId="14" xfId="60" applyFont="1" applyBorder="1" applyAlignment="1">
      <alignment horizontal="right"/>
    </xf>
    <xf numFmtId="0" fontId="15" fillId="0" borderId="15" xfId="60" applyFont="1" applyBorder="1" applyAlignment="1">
      <alignment horizontal="right"/>
    </xf>
    <xf numFmtId="0" fontId="1" fillId="0" borderId="15" xfId="60" applyFont="1" applyBorder="1" applyAlignment="1">
      <alignment horizontal="right"/>
    </xf>
    <xf numFmtId="3" fontId="61" fillId="0" borderId="0" xfId="60" applyNumberFormat="1" applyFont="1"/>
    <xf numFmtId="3" fontId="61" fillId="0" borderId="19" xfId="60" applyNumberFormat="1" applyFont="1" applyBorder="1"/>
    <xf numFmtId="3" fontId="7" fillId="0" borderId="16" xfId="60" applyNumberFormat="1" applyFont="1" applyBorder="1"/>
    <xf numFmtId="3" fontId="61" fillId="0" borderId="16" xfId="60" applyNumberFormat="1" applyFont="1" applyBorder="1"/>
    <xf numFmtId="3" fontId="9" fillId="0" borderId="16" xfId="60" applyNumberFormat="1" applyFont="1" applyBorder="1"/>
    <xf numFmtId="3" fontId="7" fillId="0" borderId="17" xfId="60" applyNumberFormat="1" applyFont="1" applyBorder="1"/>
    <xf numFmtId="3" fontId="3" fillId="0" borderId="17" xfId="60" applyNumberFormat="1" applyFont="1" applyBorder="1"/>
    <xf numFmtId="3" fontId="3" fillId="0" borderId="16" xfId="60" applyNumberFormat="1" applyFont="1" applyBorder="1"/>
    <xf numFmtId="15" fontId="9" fillId="0" borderId="0" xfId="59" applyNumberFormat="1" applyFont="1" applyAlignment="1">
      <alignment horizontal="right"/>
    </xf>
    <xf numFmtId="15" fontId="7" fillId="0" borderId="0" xfId="59" applyNumberFormat="1" applyFont="1" applyAlignment="1">
      <alignment horizontal="right"/>
    </xf>
    <xf numFmtId="15" fontId="3" fillId="0" borderId="0" xfId="59" applyNumberFormat="1" applyAlignment="1">
      <alignment horizontal="right"/>
    </xf>
    <xf numFmtId="3" fontId="9" fillId="0" borderId="0" xfId="60" applyNumberFormat="1" applyFont="1"/>
    <xf numFmtId="3" fontId="9" fillId="0" borderId="0" xfId="60" applyNumberFormat="1" applyFont="1" applyBorder="1"/>
    <xf numFmtId="3" fontId="7" fillId="0" borderId="0" xfId="60" applyNumberFormat="1" applyFont="1" applyBorder="1"/>
    <xf numFmtId="3" fontId="3" fillId="0" borderId="0" xfId="60" applyNumberFormat="1" applyFont="1" applyBorder="1"/>
    <xf numFmtId="173" fontId="3" fillId="0" borderId="0" xfId="57" applyNumberFormat="1" applyFont="1" applyAlignment="1">
      <alignment horizontal="right"/>
    </xf>
    <xf numFmtId="180" fontId="3" fillId="0" borderId="0" xfId="57" applyNumberFormat="1" applyFont="1" applyAlignment="1">
      <alignment horizontal="right"/>
    </xf>
    <xf numFmtId="196" fontId="3" fillId="0" borderId="0" xfId="57" applyNumberFormat="1" applyFont="1" applyAlignment="1">
      <alignment horizontal="right"/>
    </xf>
    <xf numFmtId="0" fontId="3" fillId="0" borderId="0" xfId="57" quotePrefix="1" applyFont="1" applyAlignment="1">
      <alignment horizontal="left"/>
    </xf>
    <xf numFmtId="1" fontId="3" fillId="0" borderId="0" xfId="57" applyNumberFormat="1" applyFont="1" applyAlignment="1">
      <alignment horizontal="right"/>
    </xf>
    <xf numFmtId="9" fontId="3" fillId="0" borderId="0" xfId="67" applyFont="1" applyFill="1" applyAlignment="1">
      <alignment horizontal="right"/>
    </xf>
    <xf numFmtId="0" fontId="3" fillId="0" borderId="0" xfId="60" applyFont="1" applyAlignment="1">
      <alignment horizontal="left"/>
    </xf>
    <xf numFmtId="9" fontId="3" fillId="0" borderId="0" xfId="57" applyNumberFormat="1" applyFont="1" applyAlignment="1">
      <alignment horizontal="right"/>
    </xf>
    <xf numFmtId="9" fontId="61" fillId="0" borderId="0" xfId="57" applyNumberFormat="1" applyFont="1" applyAlignment="1">
      <alignment horizontal="right"/>
    </xf>
    <xf numFmtId="165" fontId="3" fillId="0" borderId="0" xfId="57" applyNumberFormat="1" applyFont="1" applyAlignment="1">
      <alignment horizontal="right"/>
    </xf>
    <xf numFmtId="173" fontId="61" fillId="0" borderId="0" xfId="57" applyNumberFormat="1" applyFont="1" applyAlignment="1">
      <alignment horizontal="right"/>
    </xf>
    <xf numFmtId="3" fontId="3" fillId="0" borderId="0" xfId="60" applyNumberFormat="1" applyFont="1"/>
    <xf numFmtId="182" fontId="3" fillId="0" borderId="0" xfId="60" applyNumberFormat="1" applyFont="1" applyBorder="1"/>
    <xf numFmtId="173" fontId="3" fillId="0" borderId="28" xfId="57" applyNumberFormat="1" applyFont="1" applyBorder="1" applyAlignment="1" applyProtection="1">
      <alignment horizontal="right"/>
      <protection locked="0"/>
    </xf>
    <xf numFmtId="173" fontId="3" fillId="0" borderId="26" xfId="57" applyNumberFormat="1" applyFont="1" applyBorder="1" applyAlignment="1" applyProtection="1">
      <alignment horizontal="right"/>
      <protection locked="0"/>
    </xf>
    <xf numFmtId="173" fontId="3" fillId="0" borderId="29" xfId="57" applyNumberFormat="1" applyFont="1" applyBorder="1" applyAlignment="1" applyProtection="1">
      <alignment horizontal="right"/>
      <protection locked="0"/>
    </xf>
    <xf numFmtId="173" fontId="61" fillId="0" borderId="29" xfId="57" applyNumberFormat="1" applyFont="1" applyBorder="1" applyAlignment="1" applyProtection="1">
      <alignment horizontal="right"/>
      <protection locked="0"/>
    </xf>
    <xf numFmtId="173" fontId="61" fillId="0" borderId="26" xfId="57" applyNumberFormat="1" applyFont="1" applyBorder="1" applyAlignment="1" applyProtection="1">
      <alignment horizontal="right"/>
      <protection locked="0"/>
    </xf>
    <xf numFmtId="9" fontId="3" fillId="0" borderId="0" xfId="67" applyFont="1" applyFill="1"/>
    <xf numFmtId="0" fontId="1" fillId="0" borderId="0" xfId="57" applyFont="1"/>
    <xf numFmtId="170" fontId="2" fillId="0" borderId="0" xfId="57" applyNumberFormat="1" applyFont="1" applyAlignment="1">
      <alignment horizontal="right"/>
    </xf>
    <xf numFmtId="173" fontId="3" fillId="0" borderId="28" xfId="57" applyNumberFormat="1" applyFont="1" applyBorder="1" applyAlignment="1">
      <alignment horizontal="right"/>
    </xf>
    <xf numFmtId="173" fontId="3" fillId="0" borderId="26" xfId="57" applyNumberFormat="1" applyFont="1" applyBorder="1" applyAlignment="1">
      <alignment horizontal="right"/>
    </xf>
    <xf numFmtId="173" fontId="3" fillId="0" borderId="29" xfId="57" applyNumberFormat="1" applyFont="1" applyBorder="1" applyAlignment="1">
      <alignment horizontal="right"/>
    </xf>
    <xf numFmtId="173" fontId="61" fillId="0" borderId="29" xfId="57" applyNumberFormat="1" applyFont="1" applyBorder="1" applyAlignment="1">
      <alignment horizontal="right"/>
    </xf>
    <xf numFmtId="173" fontId="61" fillId="0" borderId="26" xfId="57" applyNumberFormat="1" applyFont="1" applyBorder="1" applyAlignment="1">
      <alignment horizontal="right"/>
    </xf>
    <xf numFmtId="173" fontId="61" fillId="0" borderId="28" xfId="57" applyNumberFormat="1" applyFont="1" applyBorder="1" applyAlignment="1">
      <alignment horizontal="right"/>
    </xf>
    <xf numFmtId="173" fontId="3" fillId="0" borderId="21" xfId="57" applyNumberFormat="1" applyFont="1" applyBorder="1" applyAlignment="1">
      <alignment horizontal="right"/>
    </xf>
    <xf numFmtId="173" fontId="3" fillId="0" borderId="27" xfId="57" applyNumberFormat="1" applyFont="1" applyBorder="1" applyAlignment="1">
      <alignment horizontal="right"/>
    </xf>
    <xf numFmtId="173" fontId="3" fillId="0" borderId="23" xfId="57" applyNumberFormat="1" applyFont="1" applyBorder="1" applyAlignment="1">
      <alignment horizontal="right"/>
    </xf>
    <xf numFmtId="173" fontId="3" fillId="0" borderId="13" xfId="57" applyNumberFormat="1" applyFont="1" applyBorder="1" applyAlignment="1">
      <alignment horizontal="right"/>
    </xf>
    <xf numFmtId="173" fontId="3" fillId="0" borderId="15" xfId="57" applyNumberFormat="1" applyFont="1" applyBorder="1" applyAlignment="1">
      <alignment horizontal="right"/>
    </xf>
    <xf numFmtId="173" fontId="61" fillId="0" borderId="15" xfId="57" applyNumberFormat="1" applyFont="1" applyBorder="1" applyAlignment="1">
      <alignment horizontal="right"/>
    </xf>
    <xf numFmtId="173" fontId="61" fillId="0" borderId="13" xfId="57" applyNumberFormat="1" applyFont="1" applyBorder="1" applyAlignment="1">
      <alignment horizontal="right"/>
    </xf>
    <xf numFmtId="173" fontId="3" fillId="0" borderId="20" xfId="57" applyNumberFormat="1" applyFont="1" applyBorder="1" applyAlignment="1">
      <alignment horizontal="right"/>
    </xf>
    <xf numFmtId="173" fontId="3" fillId="0" borderId="18" xfId="57" applyNumberFormat="1" applyFont="1" applyBorder="1" applyAlignment="1">
      <alignment horizontal="right"/>
    </xf>
    <xf numFmtId="173" fontId="3" fillId="0" borderId="25" xfId="57" applyNumberFormat="1" applyFont="1" applyBorder="1" applyAlignment="1">
      <alignment horizontal="right"/>
    </xf>
    <xf numFmtId="173" fontId="61" fillId="0" borderId="25" xfId="57" applyNumberFormat="1" applyFont="1" applyBorder="1" applyAlignment="1">
      <alignment horizontal="right"/>
    </xf>
    <xf numFmtId="173" fontId="61" fillId="0" borderId="18" xfId="57" applyNumberFormat="1" applyFont="1" applyBorder="1" applyAlignment="1">
      <alignment horizontal="right"/>
    </xf>
    <xf numFmtId="173" fontId="61" fillId="0" borderId="20" xfId="57" applyNumberFormat="1" applyFont="1" applyBorder="1" applyAlignment="1">
      <alignment horizontal="right"/>
    </xf>
    <xf numFmtId="173" fontId="3" fillId="0" borderId="20" xfId="57" applyNumberFormat="1" applyFont="1" applyBorder="1" applyAlignment="1" applyProtection="1">
      <alignment horizontal="right"/>
      <protection locked="0"/>
    </xf>
    <xf numFmtId="173" fontId="3" fillId="0" borderId="18" xfId="57" applyNumberFormat="1" applyFont="1" applyBorder="1" applyAlignment="1" applyProtection="1">
      <alignment horizontal="right"/>
      <protection locked="0"/>
    </xf>
    <xf numFmtId="173" fontId="3" fillId="0" borderId="25" xfId="57" applyNumberFormat="1" applyFont="1" applyBorder="1" applyAlignment="1" applyProtection="1">
      <alignment horizontal="right"/>
      <protection locked="0"/>
    </xf>
    <xf numFmtId="173" fontId="61" fillId="0" borderId="25" xfId="57" applyNumberFormat="1" applyFont="1" applyBorder="1" applyAlignment="1" applyProtection="1">
      <alignment horizontal="right"/>
      <protection locked="0"/>
    </xf>
    <xf numFmtId="173" fontId="61" fillId="0" borderId="18" xfId="57" applyNumberFormat="1" applyFont="1" applyBorder="1" applyAlignment="1" applyProtection="1">
      <alignment horizontal="right"/>
      <protection locked="0"/>
    </xf>
    <xf numFmtId="173" fontId="61" fillId="0" borderId="20" xfId="57" applyNumberFormat="1" applyFont="1" applyBorder="1" applyAlignment="1" applyProtection="1">
      <alignment horizontal="right"/>
      <protection locked="0"/>
    </xf>
    <xf numFmtId="173" fontId="3" fillId="0" borderId="24" xfId="57" applyNumberFormat="1" applyFont="1" applyBorder="1" applyAlignment="1">
      <alignment horizontal="right"/>
    </xf>
    <xf numFmtId="173" fontId="3" fillId="0" borderId="19" xfId="57" applyNumberFormat="1" applyFont="1" applyBorder="1" applyAlignment="1">
      <alignment horizontal="right"/>
    </xf>
    <xf numFmtId="173" fontId="3" fillId="0" borderId="17" xfId="57" applyNumberFormat="1" applyFont="1" applyBorder="1" applyAlignment="1">
      <alignment horizontal="right"/>
    </xf>
    <xf numFmtId="173" fontId="61" fillId="0" borderId="17" xfId="57" applyNumberFormat="1" applyFont="1" applyBorder="1" applyAlignment="1">
      <alignment horizontal="right"/>
    </xf>
    <xf numFmtId="173" fontId="61" fillId="0" borderId="19" xfId="57" applyNumberFormat="1" applyFont="1" applyBorder="1" applyAlignment="1">
      <alignment horizontal="right"/>
    </xf>
    <xf numFmtId="173" fontId="3" fillId="0" borderId="21" xfId="57" applyNumberFormat="1" applyFont="1" applyBorder="1" applyAlignment="1" applyProtection="1">
      <alignment horizontal="right"/>
      <protection locked="0"/>
    </xf>
    <xf numFmtId="173" fontId="3" fillId="0" borderId="0" xfId="57" applyNumberFormat="1" applyFont="1" applyAlignment="1" applyProtection="1">
      <alignment horizontal="right"/>
      <protection locked="0"/>
    </xf>
    <xf numFmtId="173" fontId="3" fillId="0" borderId="23" xfId="57" applyNumberFormat="1" applyFont="1" applyBorder="1" applyAlignment="1" applyProtection="1">
      <alignment horizontal="right"/>
      <protection locked="0"/>
    </xf>
    <xf numFmtId="173" fontId="3" fillId="0" borderId="13" xfId="57" applyNumberFormat="1" applyFont="1" applyBorder="1" applyAlignment="1" applyProtection="1">
      <alignment horizontal="right"/>
      <protection locked="0"/>
    </xf>
    <xf numFmtId="173" fontId="3" fillId="0" borderId="15" xfId="57" applyNumberFormat="1" applyFont="1" applyBorder="1" applyAlignment="1" applyProtection="1">
      <alignment horizontal="right"/>
      <protection locked="0"/>
    </xf>
    <xf numFmtId="173" fontId="61" fillId="0" borderId="15" xfId="57" applyNumberFormat="1" applyFont="1" applyBorder="1" applyAlignment="1" applyProtection="1">
      <alignment horizontal="right"/>
      <protection locked="0"/>
    </xf>
    <xf numFmtId="173" fontId="61" fillId="0" borderId="13" xfId="57" applyNumberFormat="1" applyFont="1" applyBorder="1" applyAlignment="1" applyProtection="1">
      <alignment horizontal="right"/>
      <protection locked="0"/>
    </xf>
    <xf numFmtId="173" fontId="3" fillId="0" borderId="24" xfId="57" applyNumberFormat="1" applyFont="1" applyBorder="1" applyAlignment="1" applyProtection="1">
      <alignment horizontal="right"/>
      <protection locked="0"/>
    </xf>
    <xf numFmtId="173" fontId="3" fillId="0" borderId="19" xfId="57" applyNumberFormat="1" applyFont="1" applyBorder="1" applyAlignment="1" applyProtection="1">
      <alignment horizontal="right"/>
      <protection locked="0"/>
    </xf>
    <xf numFmtId="173" fontId="3" fillId="0" borderId="17" xfId="57" applyNumberFormat="1" applyFont="1" applyBorder="1" applyAlignment="1" applyProtection="1">
      <alignment horizontal="right"/>
      <protection locked="0"/>
    </xf>
    <xf numFmtId="173" fontId="61" fillId="0" borderId="17" xfId="57" applyNumberFormat="1" applyFont="1" applyBorder="1" applyAlignment="1" applyProtection="1">
      <alignment horizontal="right"/>
      <protection locked="0"/>
    </xf>
    <xf numFmtId="173" fontId="61" fillId="0" borderId="19" xfId="57" applyNumberFormat="1" applyFont="1" applyBorder="1" applyAlignment="1" applyProtection="1">
      <alignment horizontal="right"/>
      <protection locked="0"/>
    </xf>
    <xf numFmtId="0" fontId="2" fillId="0" borderId="0" xfId="57" applyFont="1" applyAlignment="1">
      <alignment horizontal="left"/>
    </xf>
    <xf numFmtId="0" fontId="2" fillId="0" borderId="0" xfId="57" applyFont="1" applyAlignment="1">
      <alignment horizontal="center"/>
    </xf>
    <xf numFmtId="170" fontId="2" fillId="0" borderId="0" xfId="57" applyNumberFormat="1" applyFont="1" applyAlignment="1" applyProtection="1">
      <alignment horizontal="right"/>
      <protection locked="0"/>
    </xf>
    <xf numFmtId="173" fontId="61" fillId="0" borderId="23" xfId="57" applyNumberFormat="1" applyFont="1" applyBorder="1" applyAlignment="1">
      <alignment horizontal="right"/>
    </xf>
    <xf numFmtId="173" fontId="61" fillId="0" borderId="24" xfId="57" applyNumberFormat="1" applyFont="1" applyBorder="1" applyAlignment="1">
      <alignment horizontal="right"/>
    </xf>
    <xf numFmtId="0" fontId="3" fillId="29" borderId="0" xfId="57" applyFont="1" applyFill="1"/>
    <xf numFmtId="0" fontId="3" fillId="29" borderId="0" xfId="57" applyFont="1" applyFill="1" applyAlignment="1">
      <alignment horizontal="left"/>
    </xf>
    <xf numFmtId="49" fontId="3" fillId="0" borderId="0" xfId="57" applyNumberFormat="1" applyFont="1" applyAlignment="1">
      <alignment horizontal="left"/>
    </xf>
    <xf numFmtId="173" fontId="61" fillId="0" borderId="23" xfId="57" applyNumberFormat="1" applyFont="1" applyBorder="1" applyAlignment="1" applyProtection="1">
      <alignment horizontal="right"/>
      <protection locked="0"/>
    </xf>
    <xf numFmtId="0" fontId="70" fillId="0" borderId="0" xfId="57" applyFont="1"/>
    <xf numFmtId="173" fontId="71" fillId="0" borderId="23" xfId="57" applyNumberFormat="1" applyFont="1" applyBorder="1" applyAlignment="1" applyProtection="1">
      <alignment horizontal="right"/>
      <protection locked="0"/>
    </xf>
    <xf numFmtId="180" fontId="3" fillId="0" borderId="20" xfId="57" applyNumberFormat="1" applyFont="1" applyBorder="1" applyAlignment="1" applyProtection="1">
      <alignment horizontal="right"/>
      <protection locked="0"/>
    </xf>
    <xf numFmtId="173" fontId="61" fillId="0" borderId="28" xfId="57" applyNumberFormat="1" applyFont="1" applyBorder="1" applyAlignment="1" applyProtection="1">
      <alignment horizontal="right"/>
      <protection locked="0"/>
    </xf>
    <xf numFmtId="170" fontId="3" fillId="0" borderId="0" xfId="57" applyNumberFormat="1" applyFont="1" applyAlignment="1" applyProtection="1">
      <alignment horizontal="right"/>
      <protection locked="0"/>
    </xf>
    <xf numFmtId="173" fontId="3" fillId="0" borderId="14" xfId="57" applyNumberFormat="1" applyFont="1" applyBorder="1" applyAlignment="1">
      <alignment horizontal="right"/>
    </xf>
    <xf numFmtId="173" fontId="3" fillId="0" borderId="0" xfId="57" applyNumberFormat="1" applyFont="1"/>
    <xf numFmtId="4" fontId="3" fillId="0" borderId="0" xfId="57" applyNumberFormat="1" applyFont="1"/>
    <xf numFmtId="173" fontId="1" fillId="0" borderId="0" xfId="57" applyNumberFormat="1" applyFont="1" applyAlignment="1">
      <alignment horizontal="right"/>
    </xf>
    <xf numFmtId="173" fontId="3" fillId="0" borderId="26" xfId="60" applyNumberFormat="1" applyFont="1" applyBorder="1" applyAlignment="1">
      <alignment horizontal="right"/>
    </xf>
    <xf numFmtId="173" fontId="3" fillId="0" borderId="29" xfId="60" applyNumberFormat="1" applyFont="1" applyBorder="1" applyAlignment="1">
      <alignment horizontal="right"/>
    </xf>
    <xf numFmtId="173" fontId="61" fillId="0" borderId="29" xfId="60" applyNumberFormat="1" applyFont="1" applyBorder="1" applyAlignment="1">
      <alignment horizontal="right"/>
    </xf>
    <xf numFmtId="173" fontId="61" fillId="0" borderId="26" xfId="60" applyNumberFormat="1" applyFont="1" applyBorder="1" applyAlignment="1">
      <alignment horizontal="right"/>
    </xf>
    <xf numFmtId="173" fontId="3" fillId="0" borderId="28" xfId="60" applyNumberFormat="1" applyFont="1" applyBorder="1" applyAlignment="1">
      <alignment horizontal="right"/>
    </xf>
    <xf numFmtId="173" fontId="3" fillId="0" borderId="0" xfId="60" applyNumberFormat="1" applyFont="1" applyBorder="1" applyAlignment="1">
      <alignment horizontal="right"/>
    </xf>
    <xf numFmtId="173" fontId="61" fillId="0" borderId="0" xfId="60" applyNumberFormat="1" applyFont="1" applyBorder="1" applyAlignment="1">
      <alignment horizontal="right"/>
    </xf>
    <xf numFmtId="173" fontId="61" fillId="0" borderId="28" xfId="60" applyNumberFormat="1" applyFont="1" applyBorder="1" applyAlignment="1">
      <alignment horizontal="right"/>
    </xf>
    <xf numFmtId="173" fontId="3" fillId="0" borderId="13" xfId="60" applyNumberFormat="1" applyFont="1" applyBorder="1" applyAlignment="1">
      <alignment horizontal="right"/>
    </xf>
    <xf numFmtId="173" fontId="61" fillId="0" borderId="13" xfId="60" applyNumberFormat="1" applyFont="1" applyBorder="1" applyAlignment="1">
      <alignment horizontal="right"/>
    </xf>
    <xf numFmtId="173" fontId="3" fillId="0" borderId="15" xfId="60" applyNumberFormat="1" applyFont="1" applyBorder="1" applyAlignment="1">
      <alignment horizontal="right"/>
    </xf>
    <xf numFmtId="173" fontId="3" fillId="0" borderId="23" xfId="60" applyNumberFormat="1" applyFont="1" applyBorder="1" applyAlignment="1">
      <alignment horizontal="right"/>
    </xf>
    <xf numFmtId="173" fontId="3" fillId="0" borderId="19" xfId="60" applyNumberFormat="1" applyFont="1" applyBorder="1" applyAlignment="1">
      <alignment horizontal="right"/>
    </xf>
    <xf numFmtId="173" fontId="61" fillId="0" borderId="19" xfId="60" applyNumberFormat="1" applyFont="1" applyBorder="1" applyAlignment="1">
      <alignment horizontal="right"/>
    </xf>
    <xf numFmtId="173" fontId="3" fillId="0" borderId="17" xfId="60" applyNumberFormat="1" applyFont="1" applyBorder="1" applyAlignment="1">
      <alignment horizontal="right"/>
    </xf>
    <xf numFmtId="173" fontId="3" fillId="0" borderId="24" xfId="60" applyNumberFormat="1" applyFont="1" applyBorder="1" applyAlignment="1">
      <alignment horizontal="right"/>
    </xf>
    <xf numFmtId="173" fontId="64" fillId="0" borderId="28" xfId="60" applyNumberFormat="1" applyFont="1" applyBorder="1" applyAlignment="1">
      <alignment horizontal="right"/>
    </xf>
    <xf numFmtId="173" fontId="64" fillId="0" borderId="29" xfId="60" applyNumberFormat="1" applyFont="1" applyBorder="1" applyAlignment="1">
      <alignment horizontal="right"/>
    </xf>
    <xf numFmtId="173" fontId="1" fillId="0" borderId="21" xfId="57" applyNumberFormat="1" applyFont="1" applyBorder="1" applyAlignment="1">
      <alignment horizontal="right"/>
    </xf>
    <xf numFmtId="173" fontId="1" fillId="0" borderId="29" xfId="60" applyNumberFormat="1" applyFont="1" applyBorder="1" applyAlignment="1">
      <alignment horizontal="right"/>
    </xf>
    <xf numFmtId="173" fontId="1" fillId="0" borderId="28" xfId="60" applyNumberFormat="1" applyFont="1" applyBorder="1" applyAlignment="1">
      <alignment horizontal="right"/>
    </xf>
    <xf numFmtId="173" fontId="61" fillId="0" borderId="23" xfId="60" applyNumberFormat="1" applyFont="1" applyBorder="1" applyAlignment="1">
      <alignment horizontal="right"/>
    </xf>
    <xf numFmtId="173" fontId="61" fillId="0" borderId="24" xfId="60" applyNumberFormat="1" applyFont="1" applyBorder="1" applyAlignment="1">
      <alignment horizontal="right"/>
    </xf>
    <xf numFmtId="173" fontId="3" fillId="0" borderId="18" xfId="60" applyNumberFormat="1" applyFont="1" applyBorder="1" applyAlignment="1">
      <alignment horizontal="right"/>
    </xf>
    <xf numFmtId="173" fontId="61" fillId="0" borderId="18" xfId="60" applyNumberFormat="1" applyFont="1" applyBorder="1" applyAlignment="1">
      <alignment horizontal="right"/>
    </xf>
    <xf numFmtId="173" fontId="3" fillId="0" borderId="20" xfId="60" applyNumberFormat="1" applyFont="1" applyBorder="1" applyAlignment="1">
      <alignment horizontal="right"/>
    </xf>
    <xf numFmtId="173" fontId="61" fillId="0" borderId="20" xfId="60" applyNumberFormat="1" applyFont="1" applyBorder="1" applyAlignment="1">
      <alignment horizontal="right"/>
    </xf>
    <xf numFmtId="173" fontId="61" fillId="0" borderId="17" xfId="60" applyNumberFormat="1" applyFont="1" applyBorder="1" applyAlignment="1">
      <alignment horizontal="right"/>
    </xf>
    <xf numFmtId="173" fontId="3" fillId="0" borderId="0" xfId="60" applyNumberFormat="1" applyFont="1" applyAlignment="1">
      <alignment horizontal="right"/>
    </xf>
    <xf numFmtId="0" fontId="59" fillId="0" borderId="0" xfId="57" applyFont="1" applyAlignment="1">
      <alignment horizontal="left"/>
    </xf>
    <xf numFmtId="0" fontId="7" fillId="0" borderId="0" xfId="57" quotePrefix="1" applyFont="1" applyAlignment="1">
      <alignment horizontal="left"/>
    </xf>
    <xf numFmtId="0" fontId="7" fillId="0" borderId="0" xfId="57" quotePrefix="1" applyFont="1" applyAlignment="1">
      <alignment horizontal="center"/>
    </xf>
    <xf numFmtId="0" fontId="9" fillId="0" borderId="0" xfId="57" quotePrefix="1" applyFont="1" applyAlignment="1">
      <alignment horizontal="center"/>
    </xf>
    <xf numFmtId="173" fontId="9" fillId="0" borderId="0" xfId="57" quotePrefix="1" applyNumberFormat="1" applyFont="1" applyAlignment="1">
      <alignment horizontal="right"/>
    </xf>
    <xf numFmtId="173" fontId="7" fillId="0" borderId="0" xfId="57" quotePrefix="1" applyNumberFormat="1" applyFont="1" applyAlignment="1">
      <alignment horizontal="right"/>
    </xf>
    <xf numFmtId="173" fontId="7" fillId="0" borderId="0" xfId="57" applyNumberFormat="1" applyFont="1" applyAlignment="1">
      <alignment horizontal="right"/>
    </xf>
    <xf numFmtId="173" fontId="9" fillId="0" borderId="0" xfId="57" applyNumberFormat="1" applyFont="1"/>
    <xf numFmtId="173" fontId="7" fillId="0" borderId="0" xfId="57" applyNumberFormat="1" applyFont="1"/>
    <xf numFmtId="4" fontId="61" fillId="0" borderId="29" xfId="57" applyNumberFormat="1" applyFont="1" applyBorder="1" applyAlignment="1">
      <alignment horizontal="right"/>
    </xf>
    <xf numFmtId="180" fontId="3" fillId="0" borderId="21" xfId="57" applyNumberFormat="1" applyFont="1" applyBorder="1" applyAlignment="1">
      <alignment horizontal="right"/>
    </xf>
    <xf numFmtId="171" fontId="3" fillId="0" borderId="0" xfId="57" applyNumberFormat="1" applyFont="1" applyAlignment="1">
      <alignment horizontal="right"/>
    </xf>
    <xf numFmtId="171" fontId="3" fillId="0" borderId="13" xfId="57" applyNumberFormat="1" applyFont="1" applyBorder="1" applyAlignment="1">
      <alignment horizontal="right"/>
    </xf>
    <xf numFmtId="171" fontId="3" fillId="0" borderId="19" xfId="57" applyNumberFormat="1" applyFont="1" applyBorder="1" applyAlignment="1">
      <alignment horizontal="right"/>
    </xf>
    <xf numFmtId="171" fontId="3" fillId="0" borderId="18" xfId="57" applyNumberFormat="1" applyFont="1" applyBorder="1" applyAlignment="1">
      <alignment horizontal="right"/>
    </xf>
    <xf numFmtId="171" fontId="3" fillId="0" borderId="21" xfId="57" applyNumberFormat="1" applyFont="1" applyBorder="1" applyAlignment="1">
      <alignment horizontal="right"/>
    </xf>
    <xf numFmtId="171" fontId="3" fillId="0" borderId="26" xfId="57" applyNumberFormat="1" applyFont="1" applyBorder="1" applyAlignment="1">
      <alignment horizontal="right"/>
    </xf>
    <xf numFmtId="4" fontId="3" fillId="0" borderId="21" xfId="57" applyNumberFormat="1" applyFont="1" applyBorder="1" applyAlignment="1">
      <alignment horizontal="right"/>
    </xf>
    <xf numFmtId="4" fontId="1" fillId="0" borderId="21" xfId="57" applyNumberFormat="1" applyFont="1" applyBorder="1" applyAlignment="1">
      <alignment horizontal="right"/>
    </xf>
    <xf numFmtId="182" fontId="1" fillId="0" borderId="21" xfId="57" applyNumberFormat="1" applyFont="1" applyBorder="1" applyAlignment="1">
      <alignment horizontal="right"/>
    </xf>
    <xf numFmtId="173" fontId="3" fillId="0" borderId="0" xfId="57" quotePrefix="1" applyNumberFormat="1" applyFont="1" applyAlignment="1">
      <alignment horizontal="right"/>
    </xf>
    <xf numFmtId="173" fontId="1" fillId="0" borderId="0" xfId="57" quotePrefix="1" applyNumberFormat="1" applyFont="1" applyAlignment="1">
      <alignment horizontal="right"/>
    </xf>
    <xf numFmtId="203" fontId="1" fillId="0" borderId="0" xfId="57" quotePrefix="1" applyNumberFormat="1" applyFont="1" applyAlignment="1">
      <alignment horizontal="right"/>
    </xf>
    <xf numFmtId="180" fontId="1" fillId="0" borderId="0" xfId="57" quotePrefix="1" applyNumberFormat="1" applyFont="1" applyAlignment="1">
      <alignment horizontal="right"/>
    </xf>
    <xf numFmtId="4" fontId="3" fillId="0" borderId="0" xfId="57" applyNumberFormat="1" applyFont="1" applyAlignment="1">
      <alignment horizontal="right"/>
    </xf>
    <xf numFmtId="170" fontId="3" fillId="0" borderId="0" xfId="67" applyNumberFormat="1" applyFont="1" applyAlignment="1" applyProtection="1">
      <alignment horizontal="right"/>
    </xf>
    <xf numFmtId="173" fontId="3" fillId="0" borderId="13" xfId="57" quotePrefix="1" applyNumberFormat="1" applyFont="1" applyBorder="1" applyAlignment="1" applyProtection="1">
      <alignment horizontal="right"/>
      <protection locked="0"/>
    </xf>
    <xf numFmtId="173" fontId="3" fillId="0" borderId="29" xfId="57" quotePrefix="1" applyNumberFormat="1" applyFont="1" applyBorder="1" applyAlignment="1" applyProtection="1">
      <alignment horizontal="right"/>
      <protection locked="0"/>
    </xf>
    <xf numFmtId="173" fontId="61" fillId="0" borderId="13" xfId="57" quotePrefix="1" applyNumberFormat="1" applyFont="1" applyBorder="1" applyAlignment="1" applyProtection="1">
      <alignment horizontal="right"/>
      <protection locked="0"/>
    </xf>
    <xf numFmtId="173" fontId="61" fillId="0" borderId="29" xfId="57" quotePrefix="1" applyNumberFormat="1" applyFont="1" applyBorder="1" applyAlignment="1" applyProtection="1">
      <alignment horizontal="right"/>
      <protection locked="0"/>
    </xf>
    <xf numFmtId="173" fontId="61" fillId="0" borderId="0" xfId="57" quotePrefix="1" applyNumberFormat="1" applyFont="1" applyAlignment="1">
      <alignment horizontal="right"/>
    </xf>
    <xf numFmtId="173" fontId="64" fillId="0" borderId="13" xfId="57" quotePrefix="1" applyNumberFormat="1" applyFont="1" applyBorder="1" applyAlignment="1" applyProtection="1">
      <alignment horizontal="right"/>
      <protection locked="0"/>
    </xf>
    <xf numFmtId="173" fontId="1" fillId="0" borderId="29" xfId="57" quotePrefix="1" applyNumberFormat="1" applyFont="1" applyBorder="1" applyAlignment="1" applyProtection="1">
      <alignment horizontal="right"/>
      <protection locked="0"/>
    </xf>
    <xf numFmtId="173" fontId="1" fillId="0" borderId="13" xfId="57" quotePrefix="1" applyNumberFormat="1" applyFont="1" applyBorder="1" applyAlignment="1" applyProtection="1">
      <alignment horizontal="right"/>
      <protection locked="0"/>
    </xf>
    <xf numFmtId="173" fontId="3" fillId="0" borderId="24" xfId="57" quotePrefix="1" applyNumberFormat="1" applyFont="1" applyBorder="1" applyAlignment="1" applyProtection="1">
      <alignment horizontal="right"/>
      <protection locked="0"/>
    </xf>
    <xf numFmtId="173" fontId="3" fillId="0" borderId="26" xfId="57" quotePrefix="1" applyNumberFormat="1" applyFont="1" applyBorder="1" applyAlignment="1" applyProtection="1">
      <alignment horizontal="right"/>
      <protection locked="0"/>
    </xf>
    <xf numFmtId="173" fontId="3" fillId="0" borderId="17" xfId="57" quotePrefix="1" applyNumberFormat="1" applyFont="1" applyBorder="1" applyAlignment="1" applyProtection="1">
      <alignment horizontal="right"/>
      <protection locked="0"/>
    </xf>
    <xf numFmtId="173" fontId="61" fillId="0" borderId="17" xfId="57" quotePrefix="1" applyNumberFormat="1" applyFont="1" applyBorder="1" applyAlignment="1" applyProtection="1">
      <alignment horizontal="right"/>
      <protection locked="0"/>
    </xf>
    <xf numFmtId="173" fontId="61" fillId="0" borderId="26" xfId="57" quotePrefix="1" applyNumberFormat="1" applyFont="1" applyBorder="1" applyAlignment="1" applyProtection="1">
      <alignment horizontal="right"/>
      <protection locked="0"/>
    </xf>
    <xf numFmtId="173" fontId="61" fillId="0" borderId="26" xfId="57" quotePrefix="1" applyNumberFormat="1" applyFont="1" applyBorder="1" applyAlignment="1">
      <alignment horizontal="right"/>
    </xf>
    <xf numFmtId="173" fontId="61" fillId="0" borderId="17" xfId="57" quotePrefix="1" applyNumberFormat="1" applyFont="1" applyBorder="1" applyAlignment="1">
      <alignment horizontal="right"/>
    </xf>
    <xf numFmtId="180" fontId="3" fillId="0" borderId="17" xfId="57" quotePrefix="1" applyNumberFormat="1" applyFont="1" applyBorder="1" applyAlignment="1">
      <alignment horizontal="right"/>
    </xf>
    <xf numFmtId="173" fontId="3" fillId="0" borderId="26" xfId="57" quotePrefix="1" applyNumberFormat="1" applyFont="1" applyBorder="1" applyAlignment="1">
      <alignment horizontal="right"/>
    </xf>
    <xf numFmtId="173" fontId="3" fillId="0" borderId="17" xfId="57" quotePrefix="1" applyNumberFormat="1" applyFont="1" applyBorder="1" applyAlignment="1">
      <alignment horizontal="right"/>
    </xf>
    <xf numFmtId="173" fontId="3" fillId="0" borderId="28" xfId="57" quotePrefix="1" applyNumberFormat="1" applyFont="1" applyBorder="1" applyAlignment="1">
      <alignment horizontal="right"/>
    </xf>
    <xf numFmtId="170" fontId="3" fillId="0" borderId="0" xfId="60" applyNumberFormat="1" applyFont="1" applyAlignment="1">
      <alignment horizontal="right"/>
    </xf>
    <xf numFmtId="170" fontId="1" fillId="0" borderId="0" xfId="60" applyNumberFormat="1" applyFont="1" applyAlignment="1">
      <alignment horizontal="right"/>
    </xf>
    <xf numFmtId="9" fontId="61" fillId="0" borderId="26" xfId="57" quotePrefix="1" applyNumberFormat="1" applyFont="1" applyBorder="1" applyAlignment="1" applyProtection="1">
      <alignment horizontal="right"/>
      <protection locked="0"/>
    </xf>
    <xf numFmtId="9" fontId="61" fillId="0" borderId="29" xfId="57" quotePrefix="1" applyNumberFormat="1" applyFont="1" applyBorder="1" applyAlignment="1" applyProtection="1">
      <alignment horizontal="right"/>
      <protection locked="0"/>
    </xf>
    <xf numFmtId="9" fontId="3" fillId="0" borderId="0" xfId="57" quotePrefix="1" applyNumberFormat="1" applyFont="1" applyAlignment="1">
      <alignment horizontal="right"/>
    </xf>
    <xf numFmtId="9" fontId="3" fillId="0" borderId="26" xfId="57" quotePrefix="1" applyNumberFormat="1" applyFont="1" applyBorder="1" applyAlignment="1" applyProtection="1">
      <alignment horizontal="right"/>
      <protection locked="0"/>
    </xf>
    <xf numFmtId="9" fontId="3" fillId="0" borderId="29" xfId="57" quotePrefix="1" applyNumberFormat="1" applyFont="1" applyBorder="1" applyAlignment="1" applyProtection="1">
      <alignment horizontal="right"/>
      <protection locked="0"/>
    </xf>
    <xf numFmtId="0" fontId="3" fillId="0" borderId="0" xfId="60" applyFont="1" applyAlignment="1">
      <alignment horizontal="right"/>
    </xf>
    <xf numFmtId="170" fontId="3" fillId="0" borderId="26" xfId="57" quotePrefix="1" applyNumberFormat="1" applyFont="1" applyBorder="1" applyAlignment="1">
      <alignment horizontal="right"/>
    </xf>
    <xf numFmtId="170" fontId="3" fillId="0" borderId="29" xfId="57" quotePrefix="1" applyNumberFormat="1" applyFont="1" applyBorder="1" applyAlignment="1">
      <alignment horizontal="right"/>
    </xf>
    <xf numFmtId="170" fontId="3" fillId="0" borderId="0" xfId="57" quotePrefix="1" applyNumberFormat="1" applyFont="1" applyAlignment="1" applyProtection="1">
      <alignment horizontal="right"/>
      <protection locked="0"/>
    </xf>
    <xf numFmtId="172" fontId="3" fillId="0" borderId="21" xfId="57" quotePrefix="1" applyNumberFormat="1" applyFont="1" applyBorder="1" applyAlignment="1">
      <alignment horizontal="right"/>
    </xf>
    <xf numFmtId="172" fontId="3" fillId="0" borderId="21" xfId="57" quotePrefix="1" applyNumberFormat="1" applyFont="1" applyBorder="1" applyAlignment="1" applyProtection="1">
      <alignment horizontal="right"/>
      <protection locked="0"/>
    </xf>
    <xf numFmtId="172" fontId="61" fillId="0" borderId="21" xfId="57" quotePrefix="1" applyNumberFormat="1" applyFont="1" applyBorder="1" applyAlignment="1">
      <alignment horizontal="right"/>
    </xf>
    <xf numFmtId="165" fontId="3" fillId="0" borderId="13" xfId="57" quotePrefix="1" applyNumberFormat="1" applyFont="1" applyBorder="1" applyAlignment="1">
      <alignment horizontal="right"/>
    </xf>
    <xf numFmtId="165" fontId="3" fillId="0" borderId="15" xfId="57" quotePrefix="1" applyNumberFormat="1" applyFont="1" applyBorder="1" applyAlignment="1">
      <alignment horizontal="right"/>
    </xf>
    <xf numFmtId="165" fontId="3" fillId="0" borderId="0" xfId="57" quotePrefix="1" applyNumberFormat="1" applyFont="1" applyAlignment="1" applyProtection="1">
      <alignment horizontal="right"/>
      <protection locked="0"/>
    </xf>
    <xf numFmtId="170" fontId="3" fillId="0" borderId="18" xfId="57" quotePrefix="1" applyNumberFormat="1" applyFont="1" applyBorder="1" applyAlignment="1">
      <alignment horizontal="right"/>
    </xf>
    <xf numFmtId="170" fontId="3" fillId="0" borderId="25" xfId="57" quotePrefix="1" applyNumberFormat="1" applyFont="1" applyBorder="1" applyAlignment="1">
      <alignment horizontal="right"/>
    </xf>
    <xf numFmtId="165" fontId="3" fillId="0" borderId="18" xfId="57" quotePrefix="1" applyNumberFormat="1" applyFont="1" applyBorder="1" applyAlignment="1">
      <alignment horizontal="right"/>
    </xf>
    <xf numFmtId="165" fontId="3" fillId="0" borderId="25" xfId="57" quotePrefix="1" applyNumberFormat="1" applyFont="1" applyBorder="1" applyAlignment="1">
      <alignment horizontal="right"/>
    </xf>
    <xf numFmtId="172" fontId="3" fillId="0" borderId="18" xfId="60" applyNumberFormat="1" applyFont="1" applyBorder="1" applyAlignment="1">
      <alignment horizontal="right"/>
    </xf>
    <xf numFmtId="172" fontId="3" fillId="0" borderId="25" xfId="60" applyNumberFormat="1" applyFont="1" applyBorder="1" applyAlignment="1">
      <alignment horizontal="right"/>
    </xf>
    <xf numFmtId="172" fontId="3" fillId="0" borderId="0" xfId="60" applyNumberFormat="1" applyFont="1" applyAlignment="1">
      <alignment horizontal="right"/>
    </xf>
    <xf numFmtId="165" fontId="3" fillId="0" borderId="26" xfId="60" applyNumberFormat="1" applyFont="1" applyBorder="1" applyAlignment="1">
      <alignment horizontal="right"/>
    </xf>
    <xf numFmtId="165" fontId="3" fillId="0" borderId="29" xfId="60" applyNumberFormat="1" applyFont="1" applyBorder="1" applyAlignment="1">
      <alignment horizontal="right"/>
    </xf>
    <xf numFmtId="165" fontId="3" fillId="0" borderId="0" xfId="60" applyNumberFormat="1" applyFont="1" applyAlignment="1">
      <alignment horizontal="right"/>
    </xf>
    <xf numFmtId="172" fontId="3" fillId="0" borderId="21" xfId="60" applyNumberFormat="1" applyFont="1" applyBorder="1" applyAlignment="1">
      <alignment horizontal="right"/>
    </xf>
    <xf numFmtId="170" fontId="3" fillId="0" borderId="0" xfId="57" quotePrefix="1" applyNumberFormat="1" applyFont="1" applyAlignment="1">
      <alignment horizontal="right"/>
    </xf>
    <xf numFmtId="173" fontId="3" fillId="0" borderId="23" xfId="57" quotePrefix="1" applyNumberFormat="1" applyFont="1" applyBorder="1" applyAlignment="1" applyProtection="1">
      <alignment horizontal="right"/>
      <protection locked="0"/>
    </xf>
    <xf numFmtId="173" fontId="3" fillId="0" borderId="0" xfId="57" quotePrefix="1" applyNumberFormat="1" applyFont="1" applyAlignment="1" applyProtection="1">
      <alignment horizontal="right"/>
      <protection locked="0"/>
    </xf>
    <xf numFmtId="173" fontId="3" fillId="0" borderId="15" xfId="57" quotePrefix="1" applyNumberFormat="1" applyFont="1" applyBorder="1" applyAlignment="1" applyProtection="1">
      <alignment horizontal="right"/>
      <protection locked="0"/>
    </xf>
    <xf numFmtId="173" fontId="3" fillId="0" borderId="28" xfId="57" quotePrefix="1" applyNumberFormat="1" applyFont="1" applyBorder="1" applyAlignment="1" applyProtection="1">
      <alignment horizontal="right"/>
      <protection locked="0"/>
    </xf>
    <xf numFmtId="15" fontId="3" fillId="0" borderId="0" xfId="57" applyNumberFormat="1" applyFont="1" applyAlignment="1">
      <alignment horizontal="left"/>
    </xf>
    <xf numFmtId="15" fontId="3" fillId="0" borderId="18" xfId="57" quotePrefix="1" applyNumberFormat="1" applyFont="1" applyBorder="1" applyAlignment="1" applyProtection="1">
      <alignment horizontal="center"/>
      <protection locked="0"/>
    </xf>
    <xf numFmtId="15" fontId="3" fillId="0" borderId="15" xfId="57" quotePrefix="1" applyNumberFormat="1" applyFont="1" applyBorder="1" applyAlignment="1" applyProtection="1">
      <alignment horizontal="center"/>
      <protection locked="0"/>
    </xf>
    <xf numFmtId="15" fontId="3" fillId="0" borderId="0" xfId="57" quotePrefix="1" applyNumberFormat="1" applyFont="1" applyAlignment="1" applyProtection="1">
      <alignment horizontal="center"/>
      <protection locked="0"/>
    </xf>
    <xf numFmtId="15" fontId="61" fillId="0" borderId="18" xfId="57" quotePrefix="1" applyNumberFormat="1" applyFont="1" applyBorder="1" applyAlignment="1" applyProtection="1">
      <alignment horizontal="center"/>
      <protection locked="0"/>
    </xf>
    <xf numFmtId="15" fontId="61" fillId="0" borderId="15" xfId="57" quotePrefix="1" applyNumberFormat="1" applyFont="1" applyBorder="1" applyAlignment="1" applyProtection="1">
      <alignment horizontal="center"/>
      <protection locked="0"/>
    </xf>
    <xf numFmtId="15" fontId="3" fillId="0" borderId="19" xfId="57" quotePrefix="1" applyNumberFormat="1" applyFont="1" applyBorder="1" applyAlignment="1" applyProtection="1">
      <alignment horizontal="center"/>
      <protection locked="0"/>
    </xf>
    <xf numFmtId="15" fontId="3" fillId="0" borderId="17" xfId="57" quotePrefix="1" applyNumberFormat="1" applyFont="1" applyBorder="1" applyAlignment="1" applyProtection="1">
      <alignment horizontal="center"/>
      <protection locked="0"/>
    </xf>
    <xf numFmtId="15" fontId="61" fillId="0" borderId="19" xfId="57" quotePrefix="1" applyNumberFormat="1" applyFont="1" applyBorder="1" applyAlignment="1" applyProtection="1">
      <alignment horizontal="center"/>
      <protection locked="0"/>
    </xf>
    <xf numFmtId="15" fontId="61" fillId="0" borderId="17" xfId="57" quotePrefix="1" applyNumberFormat="1" applyFont="1" applyBorder="1" applyAlignment="1" applyProtection="1">
      <alignment horizontal="center"/>
      <protection locked="0"/>
    </xf>
    <xf numFmtId="0" fontId="3" fillId="0" borderId="0" xfId="57" quotePrefix="1" applyFont="1" applyAlignment="1">
      <alignment horizontal="center"/>
    </xf>
    <xf numFmtId="0" fontId="3" fillId="0" borderId="0" xfId="57" quotePrefix="1" applyFont="1" applyAlignment="1">
      <alignment horizontal="right"/>
    </xf>
    <xf numFmtId="171" fontId="61" fillId="27" borderId="26" xfId="57" quotePrefix="1" applyNumberFormat="1" applyFont="1" applyFill="1" applyBorder="1" applyAlignment="1" applyProtection="1">
      <alignment horizontal="right"/>
      <protection locked="0"/>
    </xf>
    <xf numFmtId="171" fontId="9" fillId="0" borderId="11" xfId="57" quotePrefix="1" applyNumberFormat="1" applyFont="1" applyBorder="1" applyAlignment="1" applyProtection="1">
      <alignment horizontal="right"/>
      <protection locked="0"/>
    </xf>
    <xf numFmtId="171" fontId="7" fillId="0" borderId="11" xfId="57" quotePrefix="1" applyNumberFormat="1" applyFont="1" applyBorder="1" applyAlignment="1" applyProtection="1">
      <alignment horizontal="right"/>
      <protection locked="0"/>
    </xf>
    <xf numFmtId="171" fontId="61" fillId="27" borderId="11" xfId="57" quotePrefix="1" applyNumberFormat="1" applyFont="1" applyFill="1" applyBorder="1" applyAlignment="1" applyProtection="1">
      <alignment horizontal="right"/>
      <protection locked="0"/>
    </xf>
    <xf numFmtId="171" fontId="9" fillId="0" borderId="29" xfId="57" quotePrefix="1" applyNumberFormat="1" applyFont="1" applyBorder="1" applyAlignment="1" applyProtection="1">
      <alignment horizontal="right"/>
      <protection locked="0"/>
    </xf>
    <xf numFmtId="171" fontId="9" fillId="0" borderId="18" xfId="57" quotePrefix="1" applyNumberFormat="1" applyFont="1" applyBorder="1" applyAlignment="1">
      <alignment horizontal="right"/>
    </xf>
    <xf numFmtId="171" fontId="7" fillId="0" borderId="0" xfId="57" quotePrefix="1" applyNumberFormat="1" applyFont="1" applyAlignment="1">
      <alignment horizontal="right"/>
    </xf>
    <xf numFmtId="171" fontId="9" fillId="0" borderId="0" xfId="57" quotePrefix="1" applyNumberFormat="1" applyFont="1" applyAlignment="1">
      <alignment horizontal="right"/>
    </xf>
    <xf numFmtId="171" fontId="61" fillId="0" borderId="0" xfId="57" quotePrefix="1" applyNumberFormat="1" applyFont="1" applyAlignment="1">
      <alignment horizontal="right"/>
    </xf>
    <xf numFmtId="171" fontId="3" fillId="0" borderId="0" xfId="57" quotePrefix="1" applyNumberFormat="1" applyFont="1" applyAlignment="1">
      <alignment horizontal="right"/>
    </xf>
    <xf numFmtId="174" fontId="61" fillId="0" borderId="0" xfId="57" quotePrefix="1" applyNumberFormat="1" applyFont="1" applyAlignment="1">
      <alignment horizontal="right"/>
    </xf>
    <xf numFmtId="174" fontId="3" fillId="0" borderId="0" xfId="57" quotePrefix="1" applyNumberFormat="1" applyFont="1" applyAlignment="1">
      <alignment horizontal="right"/>
    </xf>
    <xf numFmtId="182" fontId="61" fillId="0" borderId="0" xfId="57" quotePrefix="1" applyNumberFormat="1" applyFont="1" applyAlignment="1">
      <alignment horizontal="right"/>
    </xf>
    <xf numFmtId="171" fontId="3" fillId="29" borderId="0" xfId="57" quotePrefix="1" applyNumberFormat="1" applyFont="1" applyFill="1" applyAlignment="1">
      <alignment horizontal="right"/>
    </xf>
    <xf numFmtId="198" fontId="3" fillId="0" borderId="0" xfId="57" quotePrefix="1" applyNumberFormat="1" applyFont="1" applyAlignment="1">
      <alignment horizontal="right"/>
    </xf>
    <xf numFmtId="171" fontId="9" fillId="0" borderId="14" xfId="57" quotePrefix="1" applyNumberFormat="1" applyFont="1" applyBorder="1" applyAlignment="1">
      <alignment horizontal="right"/>
    </xf>
    <xf numFmtId="171" fontId="7" fillId="0" borderId="14" xfId="57" quotePrefix="1" applyNumberFormat="1" applyFont="1" applyBorder="1" applyAlignment="1">
      <alignment horizontal="right"/>
    </xf>
    <xf numFmtId="171" fontId="7" fillId="0" borderId="14" xfId="57" applyNumberFormat="1" applyFont="1" applyBorder="1" applyAlignment="1">
      <alignment horizontal="right"/>
    </xf>
    <xf numFmtId="171" fontId="7" fillId="0" borderId="0" xfId="57" applyNumberFormat="1" applyFont="1" applyAlignment="1">
      <alignment horizontal="right"/>
    </xf>
    <xf numFmtId="171" fontId="9" fillId="0" borderId="16" xfId="57" quotePrefix="1" applyNumberFormat="1" applyFont="1" applyBorder="1" applyAlignment="1">
      <alignment horizontal="right"/>
    </xf>
    <xf numFmtId="171" fontId="3" fillId="0" borderId="16" xfId="57" quotePrefix="1" applyNumberFormat="1" applyFont="1" applyBorder="1" applyAlignment="1">
      <alignment horizontal="right"/>
    </xf>
    <xf numFmtId="171" fontId="9" fillId="0" borderId="18" xfId="57" quotePrefix="1" applyNumberFormat="1" applyFont="1" applyBorder="1" applyAlignment="1" applyProtection="1">
      <alignment horizontal="right"/>
      <protection locked="0"/>
    </xf>
    <xf numFmtId="171" fontId="9" fillId="0" borderId="0" xfId="57" quotePrefix="1" applyNumberFormat="1" applyFont="1" applyAlignment="1" applyProtection="1">
      <alignment horizontal="right"/>
      <protection locked="0"/>
    </xf>
    <xf numFmtId="171" fontId="7" fillId="0" borderId="20" xfId="57" quotePrefix="1" applyNumberFormat="1" applyFont="1" applyBorder="1" applyAlignment="1">
      <alignment horizontal="right"/>
    </xf>
    <xf numFmtId="171" fontId="7" fillId="0" borderId="18" xfId="57" quotePrefix="1" applyNumberFormat="1" applyFont="1" applyBorder="1" applyAlignment="1">
      <alignment horizontal="right"/>
    </xf>
    <xf numFmtId="171" fontId="9" fillId="0" borderId="13" xfId="57" quotePrefix="1" applyNumberFormat="1" applyFont="1" applyBorder="1" applyAlignment="1" applyProtection="1">
      <alignment horizontal="right"/>
      <protection locked="0"/>
    </xf>
    <xf numFmtId="171" fontId="9" fillId="0" borderId="15" xfId="57" quotePrefix="1" applyNumberFormat="1" applyFont="1" applyBorder="1" applyAlignment="1" applyProtection="1">
      <alignment horizontal="right"/>
      <protection locked="0"/>
    </xf>
    <xf numFmtId="171" fontId="61" fillId="0" borderId="0" xfId="57" quotePrefix="1" applyNumberFormat="1" applyFont="1" applyAlignment="1" applyProtection="1">
      <alignment horizontal="right"/>
      <protection locked="0"/>
    </xf>
    <xf numFmtId="171" fontId="3" fillId="0" borderId="18" xfId="57" quotePrefix="1" applyNumberFormat="1" applyFont="1" applyBorder="1" applyAlignment="1">
      <alignment horizontal="right"/>
    </xf>
    <xf numFmtId="171" fontId="3" fillId="0" borderId="0" xfId="57" quotePrefix="1" applyNumberFormat="1" applyFont="1" applyAlignment="1" applyProtection="1">
      <alignment horizontal="right"/>
      <protection locked="0"/>
    </xf>
    <xf numFmtId="171" fontId="9" fillId="0" borderId="25" xfId="57" quotePrefix="1" applyNumberFormat="1" applyFont="1" applyBorder="1" applyAlignment="1" applyProtection="1">
      <alignment horizontal="right"/>
      <protection locked="0"/>
    </xf>
    <xf numFmtId="171" fontId="9" fillId="17" borderId="0" xfId="57" quotePrefix="1" applyNumberFormat="1" applyFont="1" applyFill="1" applyAlignment="1" applyProtection="1">
      <alignment horizontal="right"/>
      <protection locked="0"/>
    </xf>
    <xf numFmtId="171" fontId="61" fillId="0" borderId="18" xfId="57" quotePrefix="1" applyNumberFormat="1" applyFont="1" applyBorder="1" applyAlignment="1" applyProtection="1">
      <alignment horizontal="right"/>
      <protection locked="0"/>
    </xf>
    <xf numFmtId="171" fontId="61" fillId="0" borderId="25" xfId="57" quotePrefix="1" applyNumberFormat="1" applyFont="1" applyBorder="1" applyAlignment="1" applyProtection="1">
      <alignment horizontal="right"/>
      <protection locked="0"/>
    </xf>
    <xf numFmtId="171" fontId="61" fillId="0" borderId="18" xfId="57" quotePrefix="1" applyNumberFormat="1" applyFont="1" applyBorder="1" applyAlignment="1">
      <alignment horizontal="right"/>
    </xf>
    <xf numFmtId="171" fontId="9" fillId="0" borderId="19" xfId="57" quotePrefix="1" applyNumberFormat="1" applyFont="1" applyBorder="1" applyAlignment="1" applyProtection="1">
      <alignment horizontal="right"/>
      <protection locked="0"/>
    </xf>
    <xf numFmtId="171" fontId="9" fillId="0" borderId="17" xfId="57" quotePrefix="1" applyNumberFormat="1" applyFont="1" applyBorder="1" applyAlignment="1" applyProtection="1">
      <alignment horizontal="right"/>
      <protection locked="0"/>
    </xf>
    <xf numFmtId="171" fontId="9" fillId="0" borderId="22" xfId="57" quotePrefix="1" applyNumberFormat="1" applyFont="1" applyBorder="1" applyAlignment="1">
      <alignment horizontal="right"/>
    </xf>
    <xf numFmtId="171" fontId="7" fillId="0" borderId="21" xfId="57" quotePrefix="1" applyNumberFormat="1" applyFont="1" applyBorder="1" applyAlignment="1">
      <alignment horizontal="right"/>
    </xf>
    <xf numFmtId="171" fontId="61" fillId="0" borderId="21" xfId="57" quotePrefix="1" applyNumberFormat="1" applyFont="1" applyBorder="1" applyAlignment="1">
      <alignment horizontal="right"/>
    </xf>
    <xf numFmtId="171" fontId="7" fillId="0" borderId="21" xfId="57" quotePrefix="1" applyNumberFormat="1" applyFont="1" applyBorder="1" applyAlignment="1" applyProtection="1">
      <alignment horizontal="right"/>
      <protection locked="0"/>
    </xf>
    <xf numFmtId="182" fontId="7" fillId="0" borderId="21" xfId="57" quotePrefix="1" applyNumberFormat="1" applyFont="1" applyBorder="1" applyAlignment="1">
      <alignment horizontal="right"/>
    </xf>
    <xf numFmtId="171" fontId="3" fillId="0" borderId="21" xfId="57" quotePrefix="1" applyNumberFormat="1" applyFont="1" applyBorder="1" applyAlignment="1">
      <alignment horizontal="right"/>
    </xf>
    <xf numFmtId="198" fontId="3" fillId="0" borderId="21" xfId="57" quotePrefix="1" applyNumberFormat="1" applyFont="1" applyBorder="1" applyAlignment="1">
      <alignment horizontal="right"/>
    </xf>
    <xf numFmtId="174" fontId="3" fillId="0" borderId="21" xfId="57" quotePrefix="1" applyNumberFormat="1" applyFont="1" applyBorder="1" applyAlignment="1">
      <alignment horizontal="right"/>
    </xf>
    <xf numFmtId="195" fontId="3" fillId="0" borderId="21" xfId="57" quotePrefix="1" applyNumberFormat="1" applyFont="1" applyBorder="1" applyAlignment="1">
      <alignment horizontal="right"/>
    </xf>
    <xf numFmtId="171" fontId="9" fillId="0" borderId="0" xfId="57" applyNumberFormat="1" applyFont="1"/>
    <xf numFmtId="171" fontId="7" fillId="0" borderId="0" xfId="57" applyNumberFormat="1" applyFont="1"/>
    <xf numFmtId="174" fontId="9" fillId="0" borderId="0" xfId="57" applyNumberFormat="1" applyFont="1"/>
    <xf numFmtId="171" fontId="3" fillId="0" borderId="0" xfId="57" applyNumberFormat="1" applyFont="1"/>
    <xf numFmtId="173" fontId="9" fillId="0" borderId="16" xfId="57" quotePrefix="1" applyNumberFormat="1" applyFont="1" applyBorder="1" applyAlignment="1">
      <alignment horizontal="right"/>
    </xf>
    <xf numFmtId="173" fontId="3" fillId="0" borderId="16" xfId="57" quotePrefix="1" applyNumberFormat="1" applyFont="1" applyBorder="1" applyAlignment="1">
      <alignment horizontal="right"/>
    </xf>
    <xf numFmtId="1" fontId="9" fillId="0" borderId="18" xfId="57" quotePrefix="1" applyNumberFormat="1" applyFont="1" applyBorder="1" applyAlignment="1" applyProtection="1">
      <alignment horizontal="right"/>
      <protection locked="0"/>
    </xf>
    <xf numFmtId="1" fontId="9" fillId="0" borderId="0" xfId="57" quotePrefix="1" applyNumberFormat="1" applyFont="1" applyAlignment="1" applyProtection="1">
      <alignment horizontal="right"/>
      <protection locked="0"/>
    </xf>
    <xf numFmtId="1" fontId="7" fillId="0" borderId="20" xfId="57" quotePrefix="1" applyNumberFormat="1" applyFont="1" applyBorder="1" applyAlignment="1">
      <alignment horizontal="center"/>
    </xf>
    <xf numFmtId="1" fontId="7" fillId="0" borderId="18" xfId="57" quotePrefix="1" applyNumberFormat="1" applyFont="1" applyBorder="1" applyAlignment="1">
      <alignment horizontal="right"/>
    </xf>
    <xf numFmtId="1" fontId="61" fillId="0" borderId="0" xfId="57" quotePrefix="1" applyNumberFormat="1" applyFont="1" applyAlignment="1" applyProtection="1">
      <alignment horizontal="right"/>
      <protection locked="0"/>
    </xf>
    <xf numFmtId="1" fontId="3" fillId="0" borderId="18" xfId="57" quotePrefix="1" applyNumberFormat="1" applyFont="1" applyBorder="1" applyAlignment="1">
      <alignment horizontal="right"/>
    </xf>
    <xf numFmtId="1" fontId="3" fillId="0" borderId="0" xfId="57" quotePrefix="1" applyNumberFormat="1" applyFont="1" applyAlignment="1" applyProtection="1">
      <alignment horizontal="right"/>
      <protection locked="0"/>
    </xf>
    <xf numFmtId="174" fontId="9" fillId="0" borderId="14" xfId="57" quotePrefix="1" applyNumberFormat="1" applyFont="1" applyBorder="1" applyAlignment="1">
      <alignment horizontal="right"/>
    </xf>
    <xf numFmtId="174" fontId="7" fillId="0" borderId="0" xfId="57" quotePrefix="1" applyNumberFormat="1" applyFont="1" applyAlignment="1">
      <alignment horizontal="center"/>
    </xf>
    <xf numFmtId="174" fontId="7" fillId="0" borderId="0" xfId="57" quotePrefix="1" applyNumberFormat="1" applyFont="1" applyAlignment="1">
      <alignment horizontal="right"/>
    </xf>
    <xf numFmtId="174" fontId="3" fillId="0" borderId="14" xfId="57" quotePrefix="1" applyNumberFormat="1" applyFont="1" applyBorder="1" applyAlignment="1">
      <alignment horizontal="right"/>
    </xf>
    <xf numFmtId="195" fontId="61" fillId="0" borderId="0" xfId="57" quotePrefix="1" applyNumberFormat="1" applyFont="1" applyAlignment="1">
      <alignment horizontal="right"/>
    </xf>
    <xf numFmtId="174" fontId="7" fillId="0" borderId="30" xfId="57" quotePrefix="1" applyNumberFormat="1" applyFont="1" applyBorder="1" applyAlignment="1">
      <alignment horizontal="right"/>
    </xf>
    <xf numFmtId="174" fontId="61" fillId="0" borderId="30" xfId="57" quotePrefix="1" applyNumberFormat="1" applyFont="1" applyBorder="1" applyAlignment="1">
      <alignment horizontal="right"/>
    </xf>
    <xf numFmtId="182" fontId="7" fillId="0" borderId="30" xfId="57" quotePrefix="1" applyNumberFormat="1" applyFont="1" applyBorder="1" applyAlignment="1">
      <alignment horizontal="right"/>
    </xf>
    <xf numFmtId="174" fontId="1" fillId="0" borderId="30" xfId="57" quotePrefix="1" applyNumberFormat="1" applyFont="1" applyBorder="1" applyAlignment="1">
      <alignment horizontal="right"/>
    </xf>
    <xf numFmtId="174" fontId="64" fillId="0" borderId="30" xfId="57" quotePrefix="1" applyNumberFormat="1" applyFont="1" applyBorder="1" applyAlignment="1">
      <alignment horizontal="right"/>
    </xf>
    <xf numFmtId="4" fontId="1" fillId="0" borderId="30" xfId="57" quotePrefix="1" applyNumberFormat="1" applyFont="1" applyBorder="1" applyAlignment="1">
      <alignment horizontal="right"/>
    </xf>
    <xf numFmtId="198" fontId="1" fillId="0" borderId="30" xfId="57" quotePrefix="1" applyNumberFormat="1" applyFont="1" applyBorder="1" applyAlignment="1">
      <alignment horizontal="right"/>
    </xf>
    <xf numFmtId="195" fontId="1" fillId="0" borderId="30" xfId="57" quotePrefix="1" applyNumberFormat="1" applyFont="1" applyBorder="1" applyAlignment="1">
      <alignment horizontal="right"/>
    </xf>
    <xf numFmtId="174" fontId="7" fillId="0" borderId="0" xfId="57" quotePrefix="1" applyNumberFormat="1" applyFont="1" applyAlignment="1" applyProtection="1">
      <alignment horizontal="right"/>
      <protection locked="0"/>
    </xf>
    <xf numFmtId="174" fontId="3" fillId="0" borderId="0" xfId="57" quotePrefix="1" applyNumberFormat="1" applyFont="1" applyAlignment="1" applyProtection="1">
      <alignment horizontal="right"/>
      <protection locked="0"/>
    </xf>
    <xf numFmtId="174" fontId="61" fillId="0" borderId="0" xfId="57" quotePrefix="1" applyNumberFormat="1" applyFont="1" applyAlignment="1" applyProtection="1">
      <alignment horizontal="right"/>
      <protection locked="0"/>
    </xf>
    <xf numFmtId="174" fontId="7" fillId="0" borderId="11" xfId="57" quotePrefix="1" applyNumberFormat="1" applyFont="1" applyBorder="1" applyAlignment="1">
      <alignment horizontal="right"/>
    </xf>
    <xf numFmtId="174" fontId="61" fillId="0" borderId="11" xfId="57" quotePrefix="1" applyNumberFormat="1" applyFont="1" applyBorder="1" applyAlignment="1">
      <alignment horizontal="right"/>
    </xf>
    <xf numFmtId="174" fontId="1" fillId="0" borderId="11" xfId="57" quotePrefix="1" applyNumberFormat="1" applyFont="1" applyBorder="1" applyAlignment="1">
      <alignment horizontal="right"/>
    </xf>
    <xf numFmtId="195" fontId="1" fillId="0" borderId="11" xfId="57" quotePrefix="1" applyNumberFormat="1" applyFont="1" applyBorder="1" applyAlignment="1">
      <alignment horizontal="right"/>
    </xf>
    <xf numFmtId="4" fontId="1" fillId="0" borderId="11" xfId="57" quotePrefix="1" applyNumberFormat="1" applyFont="1" applyBorder="1" applyAlignment="1">
      <alignment horizontal="right"/>
    </xf>
    <xf numFmtId="195" fontId="7" fillId="0" borderId="30" xfId="57" quotePrefix="1" applyNumberFormat="1" applyFont="1" applyBorder="1" applyAlignment="1">
      <alignment horizontal="right"/>
    </xf>
    <xf numFmtId="195" fontId="7" fillId="0" borderId="0" xfId="57" quotePrefix="1" applyNumberFormat="1" applyFont="1" applyAlignment="1">
      <alignment horizontal="right"/>
    </xf>
    <xf numFmtId="195" fontId="1" fillId="0" borderId="0" xfId="57" quotePrefix="1" applyNumberFormat="1" applyFont="1" applyAlignment="1">
      <alignment horizontal="right"/>
    </xf>
    <xf numFmtId="174" fontId="1" fillId="0" borderId="0" xfId="57" quotePrefix="1" applyNumberFormat="1" applyFont="1" applyAlignment="1">
      <alignment horizontal="right"/>
    </xf>
    <xf numFmtId="174" fontId="64" fillId="0" borderId="0" xfId="57" quotePrefix="1" applyNumberFormat="1" applyFont="1" applyAlignment="1">
      <alignment horizontal="right"/>
    </xf>
    <xf numFmtId="198" fontId="61" fillId="0" borderId="0" xfId="57" quotePrefix="1" applyNumberFormat="1" applyFont="1" applyAlignment="1">
      <alignment horizontal="right"/>
    </xf>
    <xf numFmtId="170" fontId="7" fillId="0" borderId="28" xfId="57" quotePrefix="1" applyNumberFormat="1" applyFont="1" applyBorder="1" applyAlignment="1">
      <alignment horizontal="right"/>
    </xf>
    <xf numFmtId="170" fontId="7" fillId="0" borderId="0" xfId="57" quotePrefix="1" applyNumberFormat="1" applyFont="1" applyAlignment="1">
      <alignment horizontal="right"/>
    </xf>
    <xf numFmtId="170" fontId="7" fillId="0" borderId="26" xfId="57" quotePrefix="1" applyNumberFormat="1" applyFont="1" applyBorder="1" applyAlignment="1">
      <alignment horizontal="right"/>
    </xf>
    <xf numFmtId="170" fontId="7" fillId="0" borderId="29" xfId="57" quotePrefix="1" applyNumberFormat="1" applyFont="1" applyBorder="1" applyAlignment="1">
      <alignment horizontal="right"/>
    </xf>
    <xf numFmtId="170" fontId="61" fillId="0" borderId="26" xfId="57" quotePrefix="1" applyNumberFormat="1" applyFont="1" applyBorder="1" applyAlignment="1">
      <alignment horizontal="right"/>
    </xf>
    <xf numFmtId="170" fontId="61" fillId="0" borderId="29" xfId="57" quotePrefix="1" applyNumberFormat="1" applyFont="1" applyBorder="1" applyAlignment="1">
      <alignment horizontal="right"/>
    </xf>
    <xf numFmtId="170" fontId="3" fillId="0" borderId="28" xfId="57" quotePrefix="1" applyNumberFormat="1" applyFont="1" applyBorder="1" applyAlignment="1">
      <alignment horizontal="right"/>
    </xf>
    <xf numFmtId="173" fontId="7" fillId="0" borderId="21" xfId="57" quotePrefix="1" applyNumberFormat="1" applyFont="1" applyBorder="1" applyAlignment="1">
      <alignment horizontal="right"/>
    </xf>
    <xf numFmtId="173" fontId="3" fillId="0" borderId="21" xfId="57" quotePrefix="1" applyNumberFormat="1" applyFont="1" applyBorder="1" applyAlignment="1">
      <alignment horizontal="right"/>
    </xf>
    <xf numFmtId="173" fontId="7" fillId="0" borderId="22" xfId="57" quotePrefix="1" applyNumberFormat="1" applyFont="1" applyBorder="1" applyAlignment="1">
      <alignment horizontal="right"/>
    </xf>
    <xf numFmtId="173" fontId="3" fillId="0" borderId="22" xfId="57" quotePrefix="1" applyNumberFormat="1" applyFont="1" applyBorder="1" applyAlignment="1">
      <alignment horizontal="right"/>
    </xf>
    <xf numFmtId="173" fontId="9" fillId="0" borderId="0" xfId="57" quotePrefix="1" applyNumberFormat="1" applyFont="1" applyAlignment="1" applyProtection="1">
      <alignment horizontal="right"/>
      <protection locked="0"/>
    </xf>
    <xf numFmtId="173" fontId="7" fillId="0" borderId="0" xfId="57" quotePrefix="1" applyNumberFormat="1" applyFont="1" applyAlignment="1" applyProtection="1">
      <alignment horizontal="right"/>
      <protection locked="0"/>
    </xf>
    <xf numFmtId="173" fontId="9" fillId="0" borderId="23" xfId="57" quotePrefix="1" applyNumberFormat="1" applyFont="1" applyBorder="1" applyAlignment="1" applyProtection="1">
      <alignment horizontal="right"/>
      <protection locked="0"/>
    </xf>
    <xf numFmtId="173" fontId="7" fillId="0" borderId="13" xfId="57" quotePrefix="1" applyNumberFormat="1" applyFont="1" applyBorder="1" applyAlignment="1" applyProtection="1">
      <alignment horizontal="right"/>
      <protection locked="0"/>
    </xf>
    <xf numFmtId="173" fontId="9" fillId="0" borderId="15" xfId="57" quotePrefix="1" applyNumberFormat="1" applyFont="1" applyBorder="1" applyAlignment="1" applyProtection="1">
      <alignment horizontal="right"/>
      <protection locked="0"/>
    </xf>
    <xf numFmtId="173" fontId="61" fillId="0" borderId="15" xfId="57" quotePrefix="1" applyNumberFormat="1" applyFont="1" applyBorder="1" applyAlignment="1" applyProtection="1">
      <alignment horizontal="right"/>
      <protection locked="0"/>
    </xf>
    <xf numFmtId="173" fontId="7" fillId="0" borderId="23" xfId="57" quotePrefix="1" applyNumberFormat="1" applyFont="1" applyBorder="1" applyAlignment="1" applyProtection="1">
      <alignment horizontal="right"/>
      <protection locked="0"/>
    </xf>
    <xf numFmtId="173" fontId="61" fillId="0" borderId="23" xfId="57" quotePrefix="1" applyNumberFormat="1" applyFont="1" applyBorder="1" applyAlignment="1" applyProtection="1">
      <alignment horizontal="right"/>
      <protection locked="0"/>
    </xf>
    <xf numFmtId="173" fontId="9" fillId="0" borderId="20" xfId="57" quotePrefix="1" applyNumberFormat="1" applyFont="1" applyBorder="1" applyAlignment="1" applyProtection="1">
      <alignment horizontal="right"/>
      <protection locked="0"/>
    </xf>
    <xf numFmtId="173" fontId="7" fillId="0" borderId="18" xfId="57" quotePrefix="1" applyNumberFormat="1" applyFont="1" applyBorder="1" applyAlignment="1" applyProtection="1">
      <alignment horizontal="right"/>
      <protection locked="0"/>
    </xf>
    <xf numFmtId="173" fontId="9" fillId="0" borderId="25" xfId="57" quotePrefix="1" applyNumberFormat="1" applyFont="1" applyBorder="1" applyAlignment="1" applyProtection="1">
      <alignment horizontal="right"/>
      <protection locked="0"/>
    </xf>
    <xf numFmtId="173" fontId="7" fillId="0" borderId="20" xfId="57" quotePrefix="1" applyNumberFormat="1" applyFont="1" applyBorder="1" applyAlignment="1" applyProtection="1">
      <alignment horizontal="right"/>
      <protection locked="0"/>
    </xf>
    <xf numFmtId="173" fontId="3" fillId="0" borderId="20" xfId="57" quotePrefix="1" applyNumberFormat="1" applyFont="1" applyBorder="1" applyAlignment="1" applyProtection="1">
      <alignment horizontal="right"/>
      <protection locked="0"/>
    </xf>
    <xf numFmtId="173" fontId="3" fillId="0" borderId="25" xfId="57" quotePrefix="1" applyNumberFormat="1" applyFont="1" applyBorder="1" applyAlignment="1" applyProtection="1">
      <alignment horizontal="right"/>
      <protection locked="0"/>
    </xf>
    <xf numFmtId="173" fontId="9" fillId="0" borderId="20" xfId="57" quotePrefix="1" applyNumberFormat="1" applyFont="1" applyBorder="1" applyAlignment="1">
      <alignment horizontal="right"/>
    </xf>
    <xf numFmtId="173" fontId="7" fillId="0" borderId="18" xfId="57" quotePrefix="1" applyNumberFormat="1" applyFont="1" applyBorder="1" applyAlignment="1">
      <alignment horizontal="right"/>
    </xf>
    <xf numFmtId="173" fontId="9" fillId="0" borderId="25" xfId="57" quotePrefix="1" applyNumberFormat="1" applyFont="1" applyBorder="1" applyAlignment="1">
      <alignment horizontal="right"/>
    </xf>
    <xf numFmtId="173" fontId="7" fillId="0" borderId="20" xfId="57" quotePrefix="1" applyNumberFormat="1" applyFont="1" applyBorder="1" applyAlignment="1">
      <alignment horizontal="right"/>
    </xf>
    <xf numFmtId="173" fontId="3" fillId="0" borderId="20" xfId="57" quotePrefix="1" applyNumberFormat="1" applyFont="1" applyBorder="1" applyAlignment="1">
      <alignment horizontal="right"/>
    </xf>
    <xf numFmtId="173" fontId="3" fillId="0" borderId="25" xfId="57" quotePrefix="1" applyNumberFormat="1" applyFont="1" applyBorder="1" applyAlignment="1">
      <alignment horizontal="right"/>
    </xf>
    <xf numFmtId="0" fontId="9" fillId="0" borderId="24" xfId="57" applyFont="1" applyBorder="1" applyAlignment="1">
      <alignment horizontal="right"/>
    </xf>
    <xf numFmtId="0" fontId="9" fillId="0" borderId="0" xfId="57" quotePrefix="1" applyFont="1" applyAlignment="1">
      <alignment horizontal="right"/>
    </xf>
    <xf numFmtId="0" fontId="7" fillId="0" borderId="19" xfId="57" applyFont="1" applyBorder="1" applyAlignment="1">
      <alignment horizontal="right"/>
    </xf>
    <xf numFmtId="0" fontId="9" fillId="0" borderId="17" xfId="57" applyFont="1" applyBorder="1" applyAlignment="1">
      <alignment horizontal="right"/>
    </xf>
    <xf numFmtId="0" fontId="7" fillId="0" borderId="24" xfId="57" applyFont="1" applyBorder="1" applyAlignment="1">
      <alignment horizontal="right"/>
    </xf>
    <xf numFmtId="0" fontId="3" fillId="0" borderId="24" xfId="57" applyFont="1" applyBorder="1" applyAlignment="1">
      <alignment horizontal="right"/>
    </xf>
    <xf numFmtId="0" fontId="3" fillId="0" borderId="17" xfId="57" applyFont="1" applyBorder="1" applyAlignment="1">
      <alignment horizontal="right"/>
    </xf>
    <xf numFmtId="0" fontId="3" fillId="0" borderId="0" xfId="57" applyFont="1" applyAlignment="1" applyProtection="1">
      <alignment horizontal="left"/>
      <protection locked="0"/>
    </xf>
    <xf numFmtId="0" fontId="9" fillId="0" borderId="0" xfId="57" applyFont="1" applyAlignment="1" applyProtection="1">
      <alignment horizontal="right"/>
      <protection locked="0"/>
    </xf>
    <xf numFmtId="0" fontId="7" fillId="0" borderId="0" xfId="57" applyFont="1" applyAlignment="1" applyProtection="1">
      <alignment horizontal="right"/>
      <protection locked="0"/>
    </xf>
    <xf numFmtId="39" fontId="9" fillId="0" borderId="0" xfId="57" applyNumberFormat="1" applyFont="1" applyAlignment="1" applyProtection="1">
      <alignment horizontal="right"/>
      <protection locked="0"/>
    </xf>
    <xf numFmtId="39" fontId="7" fillId="0" borderId="0" xfId="57" applyNumberFormat="1" applyFont="1" applyAlignment="1" applyProtection="1">
      <alignment horizontal="right"/>
      <protection locked="0"/>
    </xf>
    <xf numFmtId="0" fontId="3" fillId="0" borderId="0" xfId="57" applyFont="1" applyAlignment="1" applyProtection="1">
      <alignment horizontal="right"/>
      <protection locked="0"/>
    </xf>
    <xf numFmtId="173" fontId="9" fillId="0" borderId="13" xfId="57" quotePrefix="1" applyNumberFormat="1" applyFont="1" applyBorder="1" applyAlignment="1" applyProtection="1">
      <alignment horizontal="right"/>
      <protection locked="0"/>
    </xf>
    <xf numFmtId="173" fontId="61" fillId="0" borderId="25" xfId="57" quotePrefix="1" applyNumberFormat="1" applyFont="1" applyBorder="1" applyAlignment="1" applyProtection="1">
      <alignment horizontal="right"/>
      <protection locked="0"/>
    </xf>
    <xf numFmtId="173" fontId="9" fillId="0" borderId="18" xfId="57" quotePrefix="1" applyNumberFormat="1" applyFont="1" applyBorder="1" applyAlignment="1" applyProtection="1">
      <alignment horizontal="right"/>
      <protection locked="0"/>
    </xf>
    <xf numFmtId="173" fontId="61" fillId="0" borderId="25" xfId="57" quotePrefix="1" applyNumberFormat="1" applyFont="1" applyBorder="1" applyAlignment="1">
      <alignment horizontal="right"/>
    </xf>
    <xf numFmtId="49" fontId="3" fillId="0" borderId="0" xfId="57" applyNumberFormat="1" applyFont="1" applyProtection="1">
      <protection locked="0"/>
    </xf>
    <xf numFmtId="49" fontId="3" fillId="0" borderId="0" xfId="57" applyNumberFormat="1" applyFont="1" applyAlignment="1" applyProtection="1">
      <alignment horizontal="left"/>
      <protection locked="0"/>
    </xf>
    <xf numFmtId="0" fontId="9" fillId="0" borderId="19" xfId="57" applyFont="1" applyBorder="1" applyAlignment="1">
      <alignment horizontal="right"/>
    </xf>
    <xf numFmtId="49" fontId="3" fillId="0" borderId="0" xfId="57" applyNumberFormat="1" applyFont="1"/>
    <xf numFmtId="0" fontId="9" fillId="0" borderId="0" xfId="57" applyFont="1" applyProtection="1">
      <protection locked="0"/>
    </xf>
    <xf numFmtId="0" fontId="7" fillId="0" borderId="0" xfId="57" applyFont="1" applyProtection="1">
      <protection locked="0"/>
    </xf>
    <xf numFmtId="0" fontId="73" fillId="0" borderId="0" xfId="57" applyFont="1" applyProtection="1">
      <protection locked="0"/>
    </xf>
    <xf numFmtId="39" fontId="73" fillId="0" borderId="0" xfId="57" applyNumberFormat="1" applyFont="1" applyAlignment="1" applyProtection="1">
      <alignment horizontal="right"/>
      <protection locked="0"/>
    </xf>
    <xf numFmtId="39" fontId="3" fillId="0" borderId="0" xfId="57" applyNumberFormat="1" applyFont="1" applyAlignment="1" applyProtection="1">
      <alignment horizontal="right"/>
      <protection locked="0"/>
    </xf>
    <xf numFmtId="0" fontId="73" fillId="0" borderId="0" xfId="57" applyFont="1" applyAlignment="1" applyProtection="1">
      <alignment horizontal="right"/>
      <protection locked="0"/>
    </xf>
    <xf numFmtId="0" fontId="1" fillId="0" borderId="0" xfId="57" applyFont="1" applyProtection="1">
      <protection locked="0"/>
    </xf>
    <xf numFmtId="0" fontId="15" fillId="0" borderId="0" xfId="57" applyFont="1" applyAlignment="1">
      <alignment horizontal="left"/>
    </xf>
    <xf numFmtId="0" fontId="73" fillId="0" borderId="0" xfId="0" applyFont="1"/>
    <xf numFmtId="173" fontId="3" fillId="0" borderId="0" xfId="0" applyNumberFormat="1" applyFont="1"/>
    <xf numFmtId="173" fontId="73" fillId="0" borderId="0" xfId="0" applyNumberFormat="1" applyFont="1"/>
    <xf numFmtId="172" fontId="73" fillId="0" borderId="0" xfId="0" applyNumberFormat="1" applyFont="1"/>
    <xf numFmtId="172" fontId="3" fillId="0" borderId="0" xfId="57" applyNumberFormat="1" applyFont="1" applyProtection="1">
      <protection locked="0"/>
    </xf>
    <xf numFmtId="172" fontId="7" fillId="0" borderId="0" xfId="57" applyNumberFormat="1" applyFont="1" applyAlignment="1">
      <alignment horizontal="left"/>
    </xf>
    <xf numFmtId="172" fontId="3" fillId="0" borderId="0" xfId="0" applyNumberFormat="1" applyFont="1" applyAlignment="1">
      <alignment horizontal="left"/>
    </xf>
    <xf numFmtId="172" fontId="61" fillId="0" borderId="0" xfId="0" applyNumberFormat="1" applyFont="1"/>
    <xf numFmtId="0" fontId="3" fillId="28" borderId="0" xfId="57" applyFont="1" applyFill="1" applyProtection="1">
      <protection locked="0"/>
    </xf>
    <xf numFmtId="171" fontId="61" fillId="0" borderId="0" xfId="0" applyNumberFormat="1" applyFont="1"/>
    <xf numFmtId="0" fontId="61" fillId="0" borderId="0" xfId="0" applyFont="1"/>
    <xf numFmtId="183" fontId="3" fillId="0" borderId="0" xfId="57" applyNumberFormat="1" applyFont="1" applyAlignment="1">
      <alignment horizontal="right"/>
    </xf>
    <xf numFmtId="175" fontId="73" fillId="0" borderId="0" xfId="0" applyNumberFormat="1" applyFont="1"/>
    <xf numFmtId="0" fontId="15" fillId="16" borderId="0" xfId="57" applyFont="1" applyFill="1" applyProtection="1">
      <protection locked="0"/>
    </xf>
    <xf numFmtId="0" fontId="15" fillId="16" borderId="0" xfId="0" applyFont="1" applyFill="1" applyAlignment="1">
      <alignment horizontal="left"/>
    </xf>
    <xf numFmtId="0" fontId="15" fillId="16" borderId="0" xfId="0" applyFont="1" applyFill="1"/>
    <xf numFmtId="0" fontId="15" fillId="16" borderId="0" xfId="57" applyFont="1" applyFill="1"/>
    <xf numFmtId="0" fontId="15" fillId="0" borderId="0" xfId="57" applyFont="1" applyProtection="1">
      <protection locked="0"/>
    </xf>
    <xf numFmtId="0" fontId="15" fillId="0" borderId="0" xfId="0" applyFont="1" applyAlignment="1">
      <alignment horizontal="left"/>
    </xf>
    <xf numFmtId="0" fontId="15" fillId="0" borderId="0" xfId="0" applyFont="1"/>
    <xf numFmtId="175" fontId="15" fillId="0" borderId="0" xfId="0" applyNumberFormat="1" applyFont="1"/>
    <xf numFmtId="172" fontId="64" fillId="0" borderId="0" xfId="0" applyNumberFormat="1" applyFont="1"/>
    <xf numFmtId="172" fontId="15" fillId="0" borderId="0" xfId="0" applyNumberFormat="1" applyFont="1"/>
    <xf numFmtId="1" fontId="64" fillId="0" borderId="0" xfId="0" applyNumberFormat="1" applyFont="1"/>
    <xf numFmtId="1" fontId="15" fillId="0" borderId="0" xfId="0" applyNumberFormat="1" applyFont="1"/>
    <xf numFmtId="175" fontId="9" fillId="0" borderId="0" xfId="57" applyNumberFormat="1" applyFont="1" applyProtection="1">
      <protection locked="0"/>
    </xf>
    <xf numFmtId="172" fontId="61" fillId="0" borderId="0" xfId="57" applyNumberFormat="1" applyFont="1" applyProtection="1">
      <protection locked="0"/>
    </xf>
    <xf numFmtId="172" fontId="9" fillId="0" borderId="0" xfId="57" applyNumberFormat="1" applyFont="1" applyProtection="1">
      <protection locked="0"/>
    </xf>
    <xf numFmtId="173" fontId="7" fillId="0" borderId="0" xfId="57" applyNumberFormat="1" applyFont="1" applyAlignment="1" applyProtection="1">
      <alignment horizontal="right"/>
      <protection locked="0"/>
    </xf>
    <xf numFmtId="173" fontId="9" fillId="0" borderId="0" xfId="57" applyNumberFormat="1" applyFont="1" applyAlignment="1" applyProtection="1">
      <alignment horizontal="right"/>
      <protection locked="0"/>
    </xf>
    <xf numFmtId="173" fontId="9" fillId="0" borderId="0" xfId="57" applyNumberFormat="1" applyFont="1" applyProtection="1">
      <protection locked="0"/>
    </xf>
    <xf numFmtId="173" fontId="7" fillId="0" borderId="0" xfId="57" applyNumberFormat="1" applyFont="1" applyProtection="1">
      <protection locked="0"/>
    </xf>
    <xf numFmtId="173" fontId="3" fillId="0" borderId="0" xfId="57" applyNumberFormat="1" applyFont="1" applyProtection="1">
      <protection locked="0"/>
    </xf>
    <xf numFmtId="0" fontId="15" fillId="0" borderId="0" xfId="57" applyFont="1" applyAlignment="1">
      <alignment horizontal="center"/>
    </xf>
    <xf numFmtId="0" fontId="7" fillId="0" borderId="0" xfId="57" applyFont="1" applyAlignment="1" applyProtection="1">
      <alignment horizontal="left"/>
      <protection locked="0"/>
    </xf>
    <xf numFmtId="0" fontId="7" fillId="17" borderId="0" xfId="57" applyFont="1" applyFill="1" applyProtection="1">
      <protection locked="0"/>
    </xf>
    <xf numFmtId="39" fontId="7" fillId="17" borderId="0" xfId="57" applyNumberFormat="1" applyFont="1" applyFill="1" applyAlignment="1" applyProtection="1">
      <alignment horizontal="right"/>
      <protection locked="0"/>
    </xf>
    <xf numFmtId="0" fontId="7" fillId="17" borderId="0" xfId="57" applyFont="1" applyFill="1" applyAlignment="1" applyProtection="1">
      <alignment horizontal="right"/>
      <protection locked="0"/>
    </xf>
    <xf numFmtId="173" fontId="15" fillId="0" borderId="0" xfId="57" applyNumberFormat="1" applyFont="1" applyAlignment="1" applyProtection="1">
      <alignment horizontal="right"/>
      <protection locked="0"/>
    </xf>
    <xf numFmtId="173" fontId="1" fillId="0" borderId="0" xfId="57" applyNumberFormat="1" applyFont="1" applyAlignment="1" applyProtection="1">
      <alignment horizontal="right"/>
      <protection locked="0"/>
    </xf>
    <xf numFmtId="173" fontId="7" fillId="0" borderId="13" xfId="57" applyNumberFormat="1" applyFont="1" applyBorder="1" applyAlignment="1" applyProtection="1">
      <alignment horizontal="right"/>
      <protection locked="0"/>
    </xf>
    <xf numFmtId="173" fontId="7" fillId="0" borderId="15" xfId="57" applyNumberFormat="1" applyFont="1" applyBorder="1" applyAlignment="1" applyProtection="1">
      <alignment horizontal="right"/>
      <protection locked="0"/>
    </xf>
    <xf numFmtId="173" fontId="7" fillId="0" borderId="27" xfId="57" applyNumberFormat="1" applyFont="1" applyBorder="1" applyAlignment="1" applyProtection="1">
      <alignment horizontal="right"/>
      <protection locked="0"/>
    </xf>
    <xf numFmtId="173" fontId="7" fillId="0" borderId="23" xfId="57" applyNumberFormat="1" applyFont="1" applyBorder="1" applyAlignment="1" applyProtection="1">
      <alignment horizontal="right"/>
      <protection locked="0"/>
    </xf>
    <xf numFmtId="173" fontId="3" fillId="0" borderId="27" xfId="57" applyNumberFormat="1" applyFont="1" applyBorder="1" applyAlignment="1" applyProtection="1">
      <alignment horizontal="right"/>
      <protection locked="0"/>
    </xf>
    <xf numFmtId="173" fontId="7" fillId="0" borderId="19" xfId="57" applyNumberFormat="1" applyFont="1" applyBorder="1" applyAlignment="1" applyProtection="1">
      <alignment horizontal="right"/>
      <protection locked="0"/>
    </xf>
    <xf numFmtId="173" fontId="7" fillId="0" borderId="17" xfId="57" applyNumberFormat="1" applyFont="1" applyBorder="1" applyAlignment="1" applyProtection="1">
      <alignment horizontal="right"/>
      <protection locked="0"/>
    </xf>
    <xf numFmtId="173" fontId="7" fillId="0" borderId="24" xfId="57" applyNumberFormat="1" applyFont="1" applyBorder="1" applyAlignment="1" applyProtection="1">
      <alignment horizontal="right"/>
      <protection locked="0"/>
    </xf>
    <xf numFmtId="173" fontId="15" fillId="0" borderId="21" xfId="57" applyNumberFormat="1" applyFont="1" applyBorder="1" applyAlignment="1" applyProtection="1">
      <alignment horizontal="right"/>
      <protection locked="0"/>
    </xf>
    <xf numFmtId="173" fontId="1" fillId="0" borderId="21" xfId="57" applyNumberFormat="1" applyFont="1" applyBorder="1" applyAlignment="1" applyProtection="1">
      <alignment horizontal="right"/>
      <protection locked="0"/>
    </xf>
    <xf numFmtId="173" fontId="7" fillId="0" borderId="18" xfId="57" applyNumberFormat="1" applyFont="1" applyBorder="1" applyAlignment="1" applyProtection="1">
      <alignment horizontal="right"/>
      <protection locked="0"/>
    </xf>
    <xf numFmtId="173" fontId="7" fillId="0" borderId="25" xfId="57" applyNumberFormat="1" applyFont="1" applyBorder="1" applyAlignment="1" applyProtection="1">
      <alignment horizontal="right"/>
      <protection locked="0"/>
    </xf>
    <xf numFmtId="173" fontId="7" fillId="0" borderId="20" xfId="57" applyNumberFormat="1" applyFont="1" applyBorder="1" applyAlignment="1" applyProtection="1">
      <alignment horizontal="right"/>
      <protection locked="0"/>
    </xf>
    <xf numFmtId="0" fontId="7" fillId="0" borderId="0" xfId="57" quotePrefix="1" applyFont="1" applyProtection="1">
      <protection locked="0"/>
    </xf>
    <xf numFmtId="0" fontId="7" fillId="0" borderId="0" xfId="57" quotePrefix="1" applyFont="1" applyAlignment="1" applyProtection="1">
      <alignment horizontal="right"/>
      <protection locked="0"/>
    </xf>
    <xf numFmtId="175" fontId="7" fillId="0" borderId="0" xfId="57" applyNumberFormat="1" applyFont="1" applyAlignment="1" applyProtection="1">
      <alignment horizontal="right"/>
      <protection locked="0"/>
    </xf>
    <xf numFmtId="172" fontId="7" fillId="0" borderId="0" xfId="57" applyNumberFormat="1" applyFont="1" applyProtection="1">
      <protection locked="0"/>
    </xf>
    <xf numFmtId="166" fontId="9" fillId="0" borderId="0" xfId="57" applyNumberFormat="1" applyFont="1"/>
    <xf numFmtId="166" fontId="7" fillId="0" borderId="0" xfId="57" applyNumberFormat="1" applyFont="1"/>
    <xf numFmtId="0" fontId="24" fillId="0" borderId="0" xfId="57" applyFont="1"/>
    <xf numFmtId="1" fontId="3" fillId="0" borderId="0" xfId="57" applyNumberFormat="1" applyFont="1"/>
    <xf numFmtId="3" fontId="3" fillId="0" borderId="0" xfId="61" applyNumberFormat="1" applyFont="1" applyBorder="1"/>
    <xf numFmtId="177" fontId="3" fillId="15" borderId="0" xfId="58" applyFont="1" applyFill="1"/>
    <xf numFmtId="177" fontId="15" fillId="15" borderId="0" xfId="58" applyFont="1" applyFill="1"/>
    <xf numFmtId="177" fontId="9" fillId="15" borderId="0" xfId="58" applyFont="1" applyFill="1"/>
    <xf numFmtId="177" fontId="7" fillId="15" borderId="0" xfId="58" applyFont="1" applyFill="1"/>
    <xf numFmtId="39" fontId="9" fillId="15" borderId="0" xfId="58" applyNumberFormat="1" applyFont="1" applyFill="1" applyAlignment="1">
      <alignment horizontal="right"/>
    </xf>
    <xf numFmtId="176" fontId="9" fillId="15" borderId="0" xfId="58" applyNumberFormat="1" applyFont="1" applyFill="1" applyAlignment="1">
      <alignment horizontal="left"/>
    </xf>
    <xf numFmtId="176" fontId="7" fillId="15" borderId="0" xfId="58" applyNumberFormat="1" applyFont="1" applyFill="1"/>
    <xf numFmtId="18" fontId="12" fillId="15" borderId="0" xfId="58" applyNumberFormat="1" applyFont="1" applyFill="1" applyAlignment="1">
      <alignment horizontal="right"/>
    </xf>
    <xf numFmtId="177" fontId="12" fillId="15" borderId="0" xfId="58" applyFont="1" applyFill="1" applyAlignment="1">
      <alignment horizontal="right"/>
    </xf>
    <xf numFmtId="177" fontId="15" fillId="15" borderId="0" xfId="58" applyFont="1" applyFill="1" applyAlignment="1">
      <alignment horizontal="right"/>
    </xf>
    <xf numFmtId="165" fontId="12" fillId="15" borderId="0" xfId="58" applyNumberFormat="1" applyFont="1" applyFill="1" applyAlignment="1">
      <alignment horizontal="left"/>
    </xf>
    <xf numFmtId="177" fontId="9" fillId="15" borderId="0" xfId="58" applyFont="1" applyFill="1" applyAlignment="1">
      <alignment horizontal="right"/>
    </xf>
    <xf numFmtId="177" fontId="7" fillId="15" borderId="0" xfId="58" applyFont="1" applyFill="1" applyAlignment="1">
      <alignment horizontal="right"/>
    </xf>
    <xf numFmtId="177" fontId="31" fillId="15" borderId="0" xfId="58" applyFont="1" applyFill="1"/>
    <xf numFmtId="177" fontId="32" fillId="15" borderId="0" xfId="58" applyFont="1" applyFill="1"/>
    <xf numFmtId="177" fontId="3" fillId="0" borderId="0" xfId="58" applyFont="1"/>
    <xf numFmtId="177" fontId="1" fillId="16" borderId="0" xfId="58" applyFont="1" applyFill="1" applyAlignment="1">
      <alignment horizontal="left"/>
    </xf>
    <xf numFmtId="177" fontId="1" fillId="16" borderId="0" xfId="58" applyFont="1" applyFill="1" applyAlignment="1">
      <alignment horizontal="center"/>
    </xf>
    <xf numFmtId="39" fontId="1" fillId="16" borderId="0" xfId="58" applyNumberFormat="1" applyFont="1" applyFill="1" applyAlignment="1">
      <alignment horizontal="right"/>
    </xf>
    <xf numFmtId="39" fontId="3" fillId="16" borderId="0" xfId="58" applyNumberFormat="1" applyFont="1" applyFill="1" applyAlignment="1">
      <alignment horizontal="right"/>
    </xf>
    <xf numFmtId="0" fontId="3" fillId="0" borderId="0" xfId="61" applyFont="1" applyAlignment="1">
      <alignment horizontal="center"/>
    </xf>
    <xf numFmtId="178" fontId="3" fillId="0" borderId="0" xfId="61" applyNumberFormat="1" applyFont="1"/>
    <xf numFmtId="178" fontId="1" fillId="0" borderId="0" xfId="61" applyNumberFormat="1" applyFont="1"/>
    <xf numFmtId="178" fontId="3" fillId="0" borderId="21" xfId="61" applyNumberFormat="1" applyFont="1" applyBorder="1"/>
    <xf numFmtId="178" fontId="1" fillId="0" borderId="21" xfId="61" applyNumberFormat="1" applyFont="1" applyBorder="1"/>
    <xf numFmtId="179" fontId="3" fillId="0" borderId="0" xfId="61" applyNumberFormat="1" applyFont="1"/>
    <xf numFmtId="179" fontId="1" fillId="0" borderId="0" xfId="61" applyNumberFormat="1" applyFont="1"/>
    <xf numFmtId="173" fontId="1" fillId="0" borderId="0" xfId="61" applyNumberFormat="1" applyFont="1" applyBorder="1"/>
    <xf numFmtId="0" fontId="2" fillId="0" borderId="0" xfId="61" applyFont="1" applyBorder="1"/>
    <xf numFmtId="173" fontId="3" fillId="0" borderId="14" xfId="61" applyNumberFormat="1" applyFont="1" applyBorder="1"/>
    <xf numFmtId="173" fontId="1" fillId="0" borderId="14" xfId="61" applyNumberFormat="1" applyFont="1" applyBorder="1"/>
    <xf numFmtId="173" fontId="3" fillId="0" borderId="0" xfId="61" applyNumberFormat="1" applyFont="1"/>
    <xf numFmtId="173" fontId="1" fillId="0" borderId="0" xfId="61" applyNumberFormat="1" applyFont="1"/>
    <xf numFmtId="173" fontId="3" fillId="0" borderId="22" xfId="61" applyNumberFormat="1" applyFont="1" applyBorder="1"/>
    <xf numFmtId="173" fontId="1" fillId="0" borderId="22" xfId="61" applyNumberFormat="1" applyFont="1" applyBorder="1"/>
    <xf numFmtId="177" fontId="1" fillId="16" borderId="0" xfId="58" applyFont="1" applyFill="1" applyAlignment="1">
      <alignment horizontal="right"/>
    </xf>
    <xf numFmtId="0" fontId="3" fillId="0" borderId="0" xfId="61" applyFont="1" applyBorder="1" applyAlignment="1">
      <alignment horizontal="center"/>
    </xf>
    <xf numFmtId="0" fontId="3" fillId="0" borderId="0" xfId="61" applyFont="1" applyBorder="1" applyProtection="1">
      <protection locked="0"/>
    </xf>
    <xf numFmtId="0" fontId="23" fillId="0" borderId="0" xfId="61" applyFont="1" applyBorder="1" applyProtection="1">
      <protection locked="0"/>
    </xf>
    <xf numFmtId="179" fontId="1" fillId="0" borderId="0" xfId="61" applyNumberFormat="1" applyFont="1" applyBorder="1"/>
    <xf numFmtId="173" fontId="3" fillId="0" borderId="28" xfId="61" applyNumberFormat="1" applyFont="1" applyBorder="1"/>
    <xf numFmtId="173" fontId="3" fillId="0" borderId="26" xfId="61" applyNumberFormat="1" applyFont="1" applyBorder="1"/>
    <xf numFmtId="173" fontId="3" fillId="0" borderId="29" xfId="61" applyNumberFormat="1" applyFont="1" applyBorder="1"/>
    <xf numFmtId="173" fontId="3" fillId="0" borderId="21" xfId="61" applyNumberFormat="1" applyFont="1" applyBorder="1"/>
    <xf numFmtId="179" fontId="2" fillId="0" borderId="0" xfId="61" applyNumberFormat="1" applyFont="1" applyBorder="1"/>
    <xf numFmtId="0" fontId="23" fillId="0" borderId="0" xfId="61" applyFont="1"/>
    <xf numFmtId="179" fontId="3" fillId="0" borderId="21" xfId="61" applyNumberFormat="1" applyFont="1" applyBorder="1"/>
    <xf numFmtId="0" fontId="3" fillId="16" borderId="0" xfId="61" applyFont="1" applyFill="1" applyBorder="1"/>
    <xf numFmtId="2" fontId="31" fillId="0" borderId="0" xfId="0" applyNumberFormat="1" applyFont="1"/>
    <xf numFmtId="2" fontId="32" fillId="0" borderId="0" xfId="0" applyNumberFormat="1" applyFont="1"/>
    <xf numFmtId="0" fontId="32" fillId="0" borderId="0" xfId="0" applyFont="1"/>
    <xf numFmtId="0" fontId="3" fillId="16" borderId="0" xfId="61" applyFont="1" applyFill="1"/>
    <xf numFmtId="0" fontId="28" fillId="0" borderId="0" xfId="61" applyFont="1" applyBorder="1"/>
    <xf numFmtId="9" fontId="32" fillId="0" borderId="0" xfId="0" applyNumberFormat="1" applyFont="1"/>
    <xf numFmtId="0" fontId="28" fillId="0" borderId="0" xfId="61" applyFont="1"/>
    <xf numFmtId="3" fontId="3" fillId="29" borderId="0" xfId="0" applyNumberFormat="1" applyFont="1" applyFill="1"/>
    <xf numFmtId="3" fontId="22" fillId="0" borderId="0" xfId="0" applyNumberFormat="1" applyFont="1"/>
    <xf numFmtId="3" fontId="28" fillId="0" borderId="0" xfId="61" applyNumberFormat="1" applyFont="1" applyBorder="1"/>
    <xf numFmtId="3" fontId="31" fillId="0" borderId="0" xfId="0" applyNumberFormat="1" applyFont="1"/>
    <xf numFmtId="3" fontId="32" fillId="0" borderId="0" xfId="0" applyNumberFormat="1" applyFont="1"/>
    <xf numFmtId="172" fontId="28" fillId="0" borderId="0" xfId="61" applyNumberFormat="1" applyFont="1"/>
    <xf numFmtId="170" fontId="28" fillId="0" borderId="0" xfId="61" applyNumberFormat="1" applyFont="1"/>
    <xf numFmtId="0" fontId="3" fillId="16" borderId="0" xfId="0" applyFont="1" applyFill="1" applyAlignment="1">
      <alignment horizontal="center"/>
    </xf>
    <xf numFmtId="39" fontId="1" fillId="16" borderId="0" xfId="0" applyNumberFormat="1" applyFont="1" applyFill="1" applyAlignment="1">
      <alignment horizontal="right"/>
    </xf>
    <xf numFmtId="39" fontId="31" fillId="16" borderId="0" xfId="0" applyNumberFormat="1" applyFont="1" applyFill="1" applyAlignment="1">
      <alignment horizontal="right"/>
    </xf>
    <xf numFmtId="0" fontId="30" fillId="0" borderId="0" xfId="61" applyFont="1" applyBorder="1"/>
    <xf numFmtId="0" fontId="33" fillId="0" borderId="0" xfId="0" applyFont="1"/>
    <xf numFmtId="0" fontId="34" fillId="0" borderId="0" xfId="0" applyFont="1"/>
    <xf numFmtId="172" fontId="34" fillId="0" borderId="0" xfId="0" applyNumberFormat="1" applyFont="1"/>
    <xf numFmtId="39" fontId="22" fillId="16" borderId="0" xfId="0" applyNumberFormat="1" applyFont="1" applyFill="1" applyAlignment="1">
      <alignment horizontal="right"/>
    </xf>
    <xf numFmtId="177" fontId="3" fillId="16" borderId="0" xfId="0" applyNumberFormat="1" applyFont="1" applyFill="1" applyAlignment="1">
      <alignment horizontal="center"/>
    </xf>
    <xf numFmtId="9" fontId="1" fillId="0" borderId="0" xfId="61" applyNumberFormat="1" applyFont="1" applyBorder="1"/>
    <xf numFmtId="170" fontId="1" fillId="0" borderId="0" xfId="0" applyNumberFormat="1" applyFont="1"/>
    <xf numFmtId="3" fontId="3" fillId="28" borderId="0" xfId="0" applyNumberFormat="1" applyFont="1" applyFill="1"/>
    <xf numFmtId="0" fontId="1" fillId="16" borderId="0" xfId="61" applyFont="1" applyFill="1"/>
    <xf numFmtId="177" fontId="3" fillId="16" borderId="0" xfId="61" applyNumberFormat="1" applyFont="1" applyFill="1" applyAlignment="1">
      <alignment horizontal="center"/>
    </xf>
    <xf numFmtId="0" fontId="23" fillId="0" borderId="0" xfId="61" applyFont="1" applyAlignment="1">
      <alignment horizontal="center"/>
    </xf>
    <xf numFmtId="0" fontId="3" fillId="0" borderId="16" xfId="61" applyFont="1" applyBorder="1"/>
    <xf numFmtId="0" fontId="1" fillId="0" borderId="16" xfId="61" applyFont="1" applyBorder="1"/>
    <xf numFmtId="0" fontId="3" fillId="0" borderId="16" xfId="61" applyFont="1" applyBorder="1" applyAlignment="1">
      <alignment horizontal="center"/>
    </xf>
    <xf numFmtId="0" fontId="23" fillId="0" borderId="0" xfId="61" applyFont="1" applyBorder="1" applyAlignment="1">
      <alignment horizontal="center"/>
    </xf>
    <xf numFmtId="170" fontId="1" fillId="0" borderId="0" xfId="61" applyNumberFormat="1" applyFont="1"/>
    <xf numFmtId="0" fontId="1" fillId="0" borderId="0" xfId="61" applyFont="1" applyAlignment="1">
      <alignment horizontal="center"/>
    </xf>
    <xf numFmtId="172" fontId="1" fillId="0" borderId="0" xfId="61" applyNumberFormat="1" applyFont="1"/>
    <xf numFmtId="2" fontId="1" fillId="0" borderId="0" xfId="37" applyNumberFormat="1" applyFont="1"/>
    <xf numFmtId="2" fontId="1" fillId="0" borderId="16" xfId="37" applyNumberFormat="1" applyFont="1" applyBorder="1"/>
    <xf numFmtId="2" fontId="1" fillId="0" borderId="0" xfId="61" applyNumberFormat="1" applyFont="1"/>
    <xf numFmtId="10" fontId="1" fillId="0" borderId="0" xfId="61" applyNumberFormat="1" applyFont="1"/>
    <xf numFmtId="175" fontId="1" fillId="0" borderId="0" xfId="61" applyNumberFormat="1" applyFont="1"/>
    <xf numFmtId="10" fontId="3" fillId="0" borderId="16" xfId="67" applyNumberFormat="1" applyFont="1" applyBorder="1"/>
    <xf numFmtId="10" fontId="1" fillId="0" borderId="16" xfId="61" applyNumberFormat="1" applyFont="1" applyBorder="1"/>
    <xf numFmtId="175" fontId="1" fillId="0" borderId="16" xfId="61" applyNumberFormat="1" applyFont="1" applyBorder="1"/>
    <xf numFmtId="9" fontId="1" fillId="0" borderId="0" xfId="61" applyNumberFormat="1" applyFont="1"/>
    <xf numFmtId="9" fontId="1" fillId="0" borderId="16" xfId="61" applyNumberFormat="1" applyFont="1" applyBorder="1"/>
    <xf numFmtId="172" fontId="1" fillId="0" borderId="16" xfId="61" applyNumberFormat="1" applyFont="1" applyBorder="1"/>
    <xf numFmtId="170" fontId="1" fillId="0" borderId="16" xfId="61" applyNumberFormat="1" applyFont="1" applyBorder="1"/>
    <xf numFmtId="175" fontId="1" fillId="0" borderId="0" xfId="0" applyNumberFormat="1" applyFont="1"/>
    <xf numFmtId="175" fontId="31" fillId="0" borderId="0" xfId="67" applyNumberFormat="1" applyFont="1"/>
    <xf numFmtId="175" fontId="32" fillId="0" borderId="0" xfId="67" applyNumberFormat="1" applyFont="1"/>
    <xf numFmtId="175" fontId="1" fillId="0" borderId="16" xfId="0" applyNumberFormat="1" applyFont="1" applyBorder="1"/>
    <xf numFmtId="0" fontId="2" fillId="0" borderId="16" xfId="0" applyFont="1" applyBorder="1" applyAlignment="1">
      <alignment horizontal="center"/>
    </xf>
    <xf numFmtId="1" fontId="31" fillId="0" borderId="16" xfId="0" applyNumberFormat="1" applyFont="1" applyBorder="1"/>
    <xf numFmtId="1" fontId="32" fillId="0" borderId="16" xfId="0" applyNumberFormat="1" applyFont="1" applyBorder="1"/>
    <xf numFmtId="1" fontId="3" fillId="0" borderId="0" xfId="61" applyNumberFormat="1" applyFont="1" applyBorder="1"/>
    <xf numFmtId="1" fontId="31" fillId="0" borderId="0" xfId="0" applyNumberFormat="1" applyFont="1"/>
    <xf numFmtId="1" fontId="32" fillId="0" borderId="0" xfId="0" applyNumberFormat="1" applyFont="1"/>
    <xf numFmtId="170" fontId="3" fillId="33" borderId="0" xfId="67" applyNumberFormat="1" applyFont="1" applyFill="1" applyBorder="1"/>
    <xf numFmtId="170" fontId="3" fillId="29" borderId="0" xfId="67" applyNumberFormat="1" applyFont="1" applyFill="1" applyBorder="1"/>
    <xf numFmtId="1" fontId="31" fillId="0" borderId="16" xfId="61" applyNumberFormat="1" applyFont="1" applyBorder="1"/>
    <xf numFmtId="1" fontId="32" fillId="0" borderId="16" xfId="61" applyNumberFormat="1" applyFont="1" applyBorder="1"/>
    <xf numFmtId="177" fontId="74" fillId="15" borderId="0" xfId="46" applyNumberFormat="1" applyFont="1" applyFill="1" applyAlignment="1" applyProtection="1">
      <alignment horizontal="center"/>
    </xf>
    <xf numFmtId="173" fontId="2" fillId="0" borderId="0" xfId="61" applyNumberFormat="1" applyFont="1" applyBorder="1"/>
    <xf numFmtId="172" fontId="2" fillId="0" borderId="0" xfId="61" applyNumberFormat="1" applyFont="1" applyBorder="1"/>
    <xf numFmtId="170" fontId="3" fillId="0" borderId="0" xfId="61" applyNumberFormat="1" applyFont="1" applyBorder="1"/>
    <xf numFmtId="170" fontId="3" fillId="0" borderId="0" xfId="61" applyNumberFormat="1" applyFont="1" applyBorder="1" applyAlignment="1">
      <alignment horizontal="center"/>
    </xf>
    <xf numFmtId="173" fontId="3" fillId="0" borderId="0" xfId="61" applyNumberFormat="1" applyFont="1" applyBorder="1" applyAlignment="1">
      <alignment horizontal="right"/>
    </xf>
    <xf numFmtId="173" fontId="2" fillId="0" borderId="0" xfId="61" applyNumberFormat="1" applyFont="1" applyBorder="1" applyAlignment="1">
      <alignment horizontal="right"/>
    </xf>
    <xf numFmtId="0" fontId="3" fillId="0" borderId="0" xfId="61" applyFont="1" applyBorder="1" applyAlignment="1">
      <alignment horizontal="right"/>
    </xf>
    <xf numFmtId="179" fontId="3" fillId="0" borderId="0" xfId="61" applyNumberFormat="1" applyFont="1" applyBorder="1" applyAlignment="1">
      <alignment horizontal="right"/>
    </xf>
    <xf numFmtId="1" fontId="3" fillId="0" borderId="0" xfId="61" applyNumberFormat="1" applyFont="1" applyBorder="1" applyAlignment="1">
      <alignment horizontal="right"/>
    </xf>
    <xf numFmtId="172" fontId="3" fillId="0" borderId="0" xfId="61" applyNumberFormat="1" applyFont="1" applyBorder="1" applyAlignment="1">
      <alignment horizontal="center"/>
    </xf>
    <xf numFmtId="170" fontId="2" fillId="0" borderId="0" xfId="61" applyNumberFormat="1" applyFont="1" applyBorder="1"/>
    <xf numFmtId="0" fontId="74" fillId="0" borderId="0" xfId="46" applyFont="1" applyFill="1" applyAlignment="1" applyProtection="1">
      <alignment horizontal="center"/>
    </xf>
    <xf numFmtId="10" fontId="22" fillId="0" borderId="0" xfId="0" applyNumberFormat="1" applyFont="1"/>
    <xf numFmtId="3" fontId="3" fillId="0" borderId="0" xfId="67" applyNumberFormat="1" applyFont="1" applyFill="1" applyBorder="1"/>
    <xf numFmtId="3" fontId="27" fillId="0" borderId="0" xfId="0" applyNumberFormat="1" applyFont="1"/>
    <xf numFmtId="3" fontId="27" fillId="0" borderId="0" xfId="61" applyNumberFormat="1" applyFont="1"/>
    <xf numFmtId="3" fontId="12" fillId="0" borderId="0" xfId="0" applyNumberFormat="1" applyFont="1"/>
    <xf numFmtId="3" fontId="3" fillId="24" borderId="0" xfId="0" applyNumberFormat="1" applyFont="1" applyFill="1"/>
    <xf numFmtId="3" fontId="3" fillId="24" borderId="0" xfId="0" applyNumberFormat="1" applyFont="1" applyFill="1" applyAlignment="1">
      <alignment horizontal="center"/>
    </xf>
    <xf numFmtId="3" fontId="1" fillId="0" borderId="0" xfId="61" applyNumberFormat="1" applyFont="1" applyBorder="1"/>
    <xf numFmtId="172" fontId="3" fillId="0" borderId="0" xfId="67" applyNumberFormat="1" applyFont="1" applyBorder="1"/>
    <xf numFmtId="199" fontId="3" fillId="0" borderId="0" xfId="37" applyNumberFormat="1" applyFont="1" applyBorder="1"/>
    <xf numFmtId="182" fontId="3" fillId="0" borderId="0" xfId="0" applyNumberFormat="1" applyFont="1"/>
    <xf numFmtId="172" fontId="1" fillId="0" borderId="0" xfId="0" applyNumberFormat="1" applyFont="1"/>
    <xf numFmtId="171" fontId="3" fillId="0" borderId="0" xfId="67" applyNumberFormat="1" applyFont="1" applyFill="1" applyBorder="1"/>
    <xf numFmtId="4" fontId="1" fillId="0" borderId="0" xfId="0" applyNumberFormat="1" applyFont="1"/>
    <xf numFmtId="9" fontId="1" fillId="0" borderId="0" xfId="0" applyNumberFormat="1" applyFont="1"/>
    <xf numFmtId="190" fontId="3" fillId="0" borderId="0" xfId="0" applyNumberFormat="1" applyFont="1"/>
    <xf numFmtId="188" fontId="3" fillId="0" borderId="0" xfId="61" applyNumberFormat="1" applyFont="1"/>
    <xf numFmtId="172" fontId="3" fillId="18" borderId="0" xfId="61" applyNumberFormat="1" applyFont="1" applyFill="1"/>
    <xf numFmtId="170" fontId="1" fillId="0" borderId="0" xfId="67" applyNumberFormat="1" applyFont="1"/>
    <xf numFmtId="170" fontId="3" fillId="18" borderId="0" xfId="67" applyNumberFormat="1" applyFont="1" applyFill="1" applyBorder="1"/>
    <xf numFmtId="188" fontId="3" fillId="0" borderId="0" xfId="0" applyNumberFormat="1" applyFont="1"/>
    <xf numFmtId="184" fontId="3" fillId="0" borderId="0" xfId="61" applyNumberFormat="1" applyFont="1"/>
    <xf numFmtId="172" fontId="1" fillId="0" borderId="0" xfId="61" applyNumberFormat="1" applyFont="1" applyBorder="1"/>
    <xf numFmtId="172" fontId="3" fillId="18" borderId="0" xfId="0" applyNumberFormat="1" applyFont="1" applyFill="1"/>
    <xf numFmtId="170" fontId="3" fillId="22" borderId="0" xfId="67" applyNumberFormat="1" applyFont="1" applyFill="1" applyBorder="1"/>
    <xf numFmtId="175" fontId="3" fillId="25" borderId="0" xfId="61" applyNumberFormat="1" applyFont="1" applyFill="1"/>
    <xf numFmtId="190" fontId="1" fillId="0" borderId="0" xfId="0" applyNumberFormat="1" applyFont="1" applyAlignment="1">
      <alignment horizontal="right"/>
    </xf>
    <xf numFmtId="39" fontId="1" fillId="0" borderId="0" xfId="0" applyNumberFormat="1" applyFont="1" applyAlignment="1">
      <alignment horizontal="right"/>
    </xf>
    <xf numFmtId="172" fontId="1" fillId="0" borderId="0" xfId="0" applyNumberFormat="1" applyFont="1" applyAlignment="1">
      <alignment horizontal="right"/>
    </xf>
    <xf numFmtId="172" fontId="3" fillId="29" borderId="0" xfId="0" applyNumberFormat="1" applyFont="1" applyFill="1"/>
    <xf numFmtId="172" fontId="3" fillId="29" borderId="0" xfId="61" applyNumberFormat="1" applyFont="1" applyFill="1" applyBorder="1"/>
    <xf numFmtId="184" fontId="3" fillId="0" borderId="0" xfId="0" applyNumberFormat="1" applyFont="1"/>
    <xf numFmtId="3" fontId="2" fillId="0" borderId="0" xfId="0" applyNumberFormat="1" applyFont="1"/>
    <xf numFmtId="3" fontId="2" fillId="0" borderId="0" xfId="0" applyNumberFormat="1" applyFont="1" applyAlignment="1">
      <alignment horizontal="center"/>
    </xf>
    <xf numFmtId="3" fontId="17" fillId="0" borderId="0" xfId="61" applyNumberFormat="1" applyFont="1" applyBorder="1"/>
    <xf numFmtId="3" fontId="17" fillId="0" borderId="0" xfId="0" applyNumberFormat="1" applyFont="1"/>
    <xf numFmtId="3" fontId="2" fillId="0" borderId="0" xfId="61" applyNumberFormat="1" applyFont="1"/>
    <xf numFmtId="2" fontId="3" fillId="36" borderId="0" xfId="0" applyNumberFormat="1" applyFont="1" applyFill="1"/>
    <xf numFmtId="2" fontId="9" fillId="36" borderId="0" xfId="0" applyNumberFormat="1" applyFont="1" applyFill="1"/>
    <xf numFmtId="170" fontId="9" fillId="36" borderId="0" xfId="61" applyNumberFormat="1" applyFont="1" applyFill="1"/>
    <xf numFmtId="9" fontId="9" fillId="36" borderId="0" xfId="61" applyNumberFormat="1" applyFont="1" applyFill="1"/>
    <xf numFmtId="170" fontId="3" fillId="36" borderId="0" xfId="67" applyNumberFormat="1" applyFont="1" applyFill="1" applyBorder="1"/>
    <xf numFmtId="170" fontId="9" fillId="36" borderId="0" xfId="67" applyNumberFormat="1" applyFont="1" applyFill="1" applyBorder="1"/>
    <xf numFmtId="170" fontId="12" fillId="36" borderId="0" xfId="67" applyNumberFormat="1" applyFont="1" applyFill="1" applyBorder="1"/>
    <xf numFmtId="171" fontId="3" fillId="0" borderId="0" xfId="61" applyNumberFormat="1" applyFont="1"/>
    <xf numFmtId="171" fontId="3" fillId="0" borderId="22" xfId="61" applyNumberFormat="1" applyFont="1" applyBorder="1"/>
    <xf numFmtId="39" fontId="3" fillId="16" borderId="32" xfId="58" applyNumberFormat="1" applyFont="1" applyFill="1" applyBorder="1" applyAlignment="1">
      <alignment horizontal="right"/>
    </xf>
    <xf numFmtId="3" fontId="3" fillId="0" borderId="32" xfId="61" applyNumberFormat="1" applyFont="1" applyBorder="1"/>
    <xf numFmtId="179" fontId="3" fillId="0" borderId="32" xfId="61" applyNumberFormat="1" applyFont="1" applyBorder="1"/>
    <xf numFmtId="173" fontId="3" fillId="0" borderId="32" xfId="61" applyNumberFormat="1" applyFont="1" applyBorder="1"/>
    <xf numFmtId="173" fontId="3" fillId="0" borderId="37" xfId="61" applyNumberFormat="1" applyFont="1" applyBorder="1"/>
    <xf numFmtId="177" fontId="3" fillId="16" borderId="32" xfId="58" applyFont="1" applyFill="1" applyBorder="1" applyAlignment="1">
      <alignment horizontal="right"/>
    </xf>
    <xf numFmtId="2" fontId="3" fillId="36" borderId="32" xfId="0" applyNumberFormat="1" applyFont="1" applyFill="1" applyBorder="1"/>
    <xf numFmtId="170" fontId="3" fillId="0" borderId="32" xfId="67" applyNumberFormat="1" applyFont="1" applyFill="1" applyBorder="1"/>
    <xf numFmtId="0" fontId="3" fillId="0" borderId="32" xfId="0" applyFont="1" applyBorder="1"/>
    <xf numFmtId="170" fontId="3" fillId="0" borderId="32" xfId="0" applyNumberFormat="1" applyFont="1" applyBorder="1"/>
    <xf numFmtId="2" fontId="3" fillId="0" borderId="32" xfId="0" applyNumberFormat="1" applyFont="1" applyBorder="1"/>
    <xf numFmtId="3" fontId="3" fillId="0" borderId="32" xfId="0" applyNumberFormat="1" applyFont="1" applyBorder="1"/>
    <xf numFmtId="175" fontId="3" fillId="0" borderId="32" xfId="0" applyNumberFormat="1" applyFont="1" applyBorder="1"/>
    <xf numFmtId="9" fontId="3" fillId="0" borderId="32" xfId="0" applyNumberFormat="1" applyFont="1" applyBorder="1"/>
    <xf numFmtId="170" fontId="3" fillId="36" borderId="32" xfId="0" applyNumberFormat="1" applyFont="1" applyFill="1" applyBorder="1"/>
    <xf numFmtId="172" fontId="3" fillId="0" borderId="32" xfId="0" applyNumberFormat="1" applyFont="1" applyBorder="1"/>
    <xf numFmtId="0" fontId="7" fillId="0" borderId="32" xfId="61" applyFont="1" applyBorder="1"/>
    <xf numFmtId="175" fontId="3" fillId="0" borderId="32" xfId="61" applyNumberFormat="1" applyFont="1" applyBorder="1"/>
    <xf numFmtId="170" fontId="3" fillId="36" borderId="32" xfId="67" applyNumberFormat="1" applyFont="1" applyFill="1" applyBorder="1"/>
    <xf numFmtId="175" fontId="27" fillId="0" borderId="32" xfId="61" applyNumberFormat="1" applyFont="1" applyBorder="1"/>
    <xf numFmtId="170" fontId="3" fillId="0" borderId="32" xfId="67" applyNumberFormat="1" applyFont="1" applyBorder="1"/>
    <xf numFmtId="172" fontId="3" fillId="0" borderId="32" xfId="61" applyNumberFormat="1" applyFont="1" applyBorder="1"/>
    <xf numFmtId="3" fontId="3" fillId="36" borderId="32" xfId="0" applyNumberFormat="1" applyFont="1" applyFill="1" applyBorder="1"/>
    <xf numFmtId="170" fontId="3" fillId="0" borderId="32" xfId="61" applyNumberFormat="1" applyFont="1" applyBorder="1"/>
    <xf numFmtId="170" fontId="3" fillId="36" borderId="32" xfId="61" applyNumberFormat="1" applyFont="1" applyFill="1" applyBorder="1"/>
    <xf numFmtId="9" fontId="3" fillId="0" borderId="32" xfId="61" applyNumberFormat="1" applyFont="1" applyBorder="1"/>
    <xf numFmtId="1" fontId="3" fillId="0" borderId="32" xfId="0" applyNumberFormat="1" applyFont="1" applyBorder="1"/>
    <xf numFmtId="9" fontId="3" fillId="0" borderId="32" xfId="67" applyFont="1" applyFill="1" applyBorder="1"/>
    <xf numFmtId="170" fontId="7" fillId="0" borderId="32" xfId="61" applyNumberFormat="1" applyFont="1" applyBorder="1"/>
    <xf numFmtId="170" fontId="9" fillId="0" borderId="32" xfId="0" applyNumberFormat="1" applyFont="1" applyBorder="1"/>
    <xf numFmtId="39" fontId="3" fillId="16" borderId="32" xfId="0" applyNumberFormat="1" applyFont="1" applyFill="1" applyBorder="1" applyAlignment="1">
      <alignment horizontal="right"/>
    </xf>
    <xf numFmtId="3" fontId="3" fillId="0" borderId="32" xfId="0" applyNumberFormat="1" applyFont="1" applyBorder="1" applyAlignment="1">
      <alignment horizontal="right"/>
    </xf>
    <xf numFmtId="170" fontId="3" fillId="0" borderId="32" xfId="67" applyNumberFormat="1" applyFont="1" applyFill="1" applyBorder="1" applyAlignment="1">
      <alignment horizontal="right"/>
    </xf>
    <xf numFmtId="0" fontId="3" fillId="0" borderId="32" xfId="61" applyFont="1" applyBorder="1"/>
    <xf numFmtId="172" fontId="29" fillId="0" borderId="32" xfId="0" applyNumberFormat="1" applyFont="1" applyBorder="1"/>
    <xf numFmtId="3" fontId="2" fillId="0" borderId="32" xfId="0" applyNumberFormat="1" applyFont="1" applyBorder="1"/>
    <xf numFmtId="172" fontId="3" fillId="16" borderId="32" xfId="61" applyNumberFormat="1" applyFont="1" applyFill="1" applyBorder="1" applyAlignment="1">
      <alignment horizontal="right"/>
    </xf>
    <xf numFmtId="172" fontId="7" fillId="0" borderId="32" xfId="61" applyNumberFormat="1" applyFont="1" applyBorder="1"/>
    <xf numFmtId="1" fontId="3" fillId="33" borderId="32" xfId="0" applyNumberFormat="1" applyFont="1" applyFill="1" applyBorder="1"/>
    <xf numFmtId="9" fontId="3" fillId="33" borderId="32" xfId="0" applyNumberFormat="1" applyFont="1" applyFill="1" applyBorder="1"/>
    <xf numFmtId="0" fontId="3" fillId="33" borderId="32" xfId="0" applyFont="1" applyFill="1" applyBorder="1"/>
    <xf numFmtId="172" fontId="7" fillId="33" borderId="32" xfId="61" applyNumberFormat="1" applyFont="1" applyFill="1" applyBorder="1"/>
    <xf numFmtId="172" fontId="7" fillId="0" borderId="40" xfId="61" applyNumberFormat="1" applyFont="1" applyBorder="1"/>
    <xf numFmtId="2" fontId="3" fillId="0" borderId="32" xfId="61" applyNumberFormat="1" applyFont="1" applyBorder="1"/>
    <xf numFmtId="4" fontId="7" fillId="0" borderId="32" xfId="61" applyNumberFormat="1" applyFont="1" applyBorder="1"/>
    <xf numFmtId="4" fontId="3" fillId="0" borderId="32" xfId="61" applyNumberFormat="1" applyFont="1" applyBorder="1"/>
    <xf numFmtId="171" fontId="3" fillId="0" borderId="32" xfId="61" applyNumberFormat="1" applyFont="1" applyBorder="1"/>
    <xf numFmtId="171" fontId="3" fillId="0" borderId="32" xfId="67" applyNumberFormat="1" applyFont="1" applyFill="1" applyBorder="1"/>
    <xf numFmtId="0" fontId="63" fillId="0" borderId="32" xfId="0" applyFont="1" applyBorder="1"/>
    <xf numFmtId="172" fontId="63" fillId="0" borderId="32" xfId="61" applyNumberFormat="1" applyFont="1" applyBorder="1"/>
    <xf numFmtId="172" fontId="63" fillId="0" borderId="32" xfId="0" applyNumberFormat="1" applyFont="1" applyBorder="1"/>
    <xf numFmtId="170" fontId="9" fillId="0" borderId="32" xfId="61" applyNumberFormat="1" applyFont="1" applyBorder="1"/>
    <xf numFmtId="4" fontId="3" fillId="0" borderId="32" xfId="67" applyNumberFormat="1" applyFont="1" applyFill="1" applyBorder="1"/>
    <xf numFmtId="4" fontId="3" fillId="0" borderId="32" xfId="0" applyNumberFormat="1" applyFont="1" applyBorder="1"/>
    <xf numFmtId="171" fontId="3" fillId="0" borderId="33" xfId="61" applyNumberFormat="1" applyFont="1" applyBorder="1"/>
    <xf numFmtId="3" fontId="3" fillId="29" borderId="32" xfId="0" applyNumberFormat="1" applyFont="1" applyFill="1" applyBorder="1"/>
    <xf numFmtId="3" fontId="3" fillId="37" borderId="32" xfId="0" applyNumberFormat="1" applyFont="1" applyFill="1" applyBorder="1"/>
    <xf numFmtId="3" fontId="3" fillId="37" borderId="0" xfId="0" applyNumberFormat="1" applyFont="1" applyFill="1"/>
    <xf numFmtId="3" fontId="3" fillId="37" borderId="32" xfId="61" applyNumberFormat="1" applyFont="1" applyFill="1" applyBorder="1"/>
    <xf numFmtId="3" fontId="3" fillId="37" borderId="32" xfId="0" applyNumberFormat="1" applyFont="1" applyFill="1" applyBorder="1" applyAlignment="1">
      <alignment horizontal="right"/>
    </xf>
    <xf numFmtId="1" fontId="3" fillId="0" borderId="32" xfId="61" applyNumberFormat="1" applyFont="1" applyBorder="1"/>
    <xf numFmtId="3" fontId="75" fillId="0" borderId="0" xfId="0" applyNumberFormat="1" applyFont="1"/>
    <xf numFmtId="172" fontId="7" fillId="0" borderId="36" xfId="61" applyNumberFormat="1" applyFont="1" applyBorder="1"/>
    <xf numFmtId="3" fontId="75" fillId="0" borderId="32" xfId="0" applyNumberFormat="1" applyFont="1" applyBorder="1"/>
    <xf numFmtId="1" fontId="75" fillId="37" borderId="0" xfId="0" applyNumberFormat="1" applyFont="1" applyFill="1"/>
    <xf numFmtId="3" fontId="75" fillId="37" borderId="0" xfId="0" applyNumberFormat="1" applyFont="1" applyFill="1"/>
    <xf numFmtId="3" fontId="75" fillId="37" borderId="32" xfId="0" applyNumberFormat="1" applyFont="1" applyFill="1" applyBorder="1"/>
    <xf numFmtId="1" fontId="3" fillId="37" borderId="0" xfId="0" applyNumberFormat="1" applyFont="1" applyFill="1"/>
    <xf numFmtId="1" fontId="75" fillId="37" borderId="0" xfId="61" applyNumberFormat="1" applyFont="1" applyFill="1"/>
    <xf numFmtId="1" fontId="3" fillId="37" borderId="0" xfId="61" applyNumberFormat="1" applyFont="1" applyFill="1"/>
    <xf numFmtId="3" fontId="75" fillId="37" borderId="0" xfId="61" applyNumberFormat="1" applyFont="1" applyFill="1"/>
    <xf numFmtId="3" fontId="3" fillId="37" borderId="0" xfId="61" applyNumberFormat="1" applyFont="1" applyFill="1"/>
    <xf numFmtId="3" fontId="75" fillId="0" borderId="32" xfId="61" applyNumberFormat="1" applyFont="1" applyBorder="1"/>
    <xf numFmtId="1" fontId="75" fillId="37" borderId="32" xfId="61" applyNumberFormat="1" applyFont="1" applyFill="1" applyBorder="1"/>
    <xf numFmtId="3" fontId="1" fillId="37" borderId="0" xfId="0" applyNumberFormat="1" applyFont="1" applyFill="1"/>
    <xf numFmtId="3" fontId="1" fillId="37" borderId="0" xfId="0" applyNumberFormat="1" applyFont="1" applyFill="1" applyAlignment="1">
      <alignment horizontal="center"/>
    </xf>
    <xf numFmtId="3" fontId="1" fillId="37" borderId="0" xfId="61" applyNumberFormat="1" applyFont="1" applyFill="1" applyBorder="1"/>
    <xf numFmtId="3" fontId="1" fillId="37" borderId="32" xfId="61" applyNumberFormat="1" applyFont="1" applyFill="1" applyBorder="1"/>
    <xf numFmtId="3" fontId="1" fillId="37" borderId="0" xfId="67" applyNumberFormat="1" applyFont="1" applyFill="1" applyBorder="1"/>
    <xf numFmtId="3" fontId="1" fillId="37" borderId="32" xfId="0" applyNumberFormat="1" applyFont="1" applyFill="1" applyBorder="1"/>
    <xf numFmtId="171" fontId="3" fillId="0" borderId="32" xfId="0" applyNumberFormat="1" applyFont="1" applyBorder="1"/>
    <xf numFmtId="168" fontId="3" fillId="0" borderId="0" xfId="37" applyFont="1" applyFill="1" applyBorder="1" applyAlignment="1">
      <alignment horizontal="right"/>
    </xf>
    <xf numFmtId="170" fontId="63" fillId="38" borderId="0" xfId="0" applyNumberFormat="1" applyFont="1" applyFill="1"/>
    <xf numFmtId="170" fontId="3" fillId="38" borderId="32" xfId="0" applyNumberFormat="1" applyFont="1" applyFill="1" applyBorder="1"/>
    <xf numFmtId="170" fontId="3" fillId="38" borderId="0" xfId="0" applyNumberFormat="1" applyFont="1" applyFill="1"/>
    <xf numFmtId="170" fontId="63" fillId="0" borderId="0" xfId="67" applyNumberFormat="1" applyFont="1" applyFill="1"/>
    <xf numFmtId="170" fontId="63" fillId="38" borderId="0" xfId="67" applyNumberFormat="1" applyFont="1" applyFill="1" applyBorder="1"/>
    <xf numFmtId="170" fontId="3" fillId="38" borderId="32" xfId="67" applyNumberFormat="1" applyFont="1" applyFill="1" applyBorder="1"/>
    <xf numFmtId="3" fontId="77" fillId="0" borderId="0" xfId="0" applyNumberFormat="1" applyFont="1"/>
    <xf numFmtId="3" fontId="77" fillId="0" borderId="0" xfId="0" applyNumberFormat="1" applyFont="1" applyAlignment="1">
      <alignment horizontal="center"/>
    </xf>
    <xf numFmtId="3" fontId="78" fillId="0" borderId="0" xfId="61" applyNumberFormat="1" applyFont="1" applyBorder="1"/>
    <xf numFmtId="3" fontId="78" fillId="0" borderId="0" xfId="0" applyNumberFormat="1" applyFont="1"/>
    <xf numFmtId="3" fontId="77" fillId="0" borderId="32" xfId="0" applyNumberFormat="1" applyFont="1" applyBorder="1"/>
    <xf numFmtId="1" fontId="3" fillId="39" borderId="0" xfId="0" applyNumberFormat="1" applyFont="1" applyFill="1"/>
    <xf numFmtId="3" fontId="3" fillId="39" borderId="32" xfId="0" applyNumberFormat="1" applyFont="1" applyFill="1" applyBorder="1"/>
    <xf numFmtId="3" fontId="3" fillId="39" borderId="0" xfId="0" applyNumberFormat="1" applyFont="1" applyFill="1"/>
    <xf numFmtId="3" fontId="3" fillId="39" borderId="0" xfId="61" applyNumberFormat="1" applyFont="1" applyFill="1"/>
    <xf numFmtId="3" fontId="3" fillId="39" borderId="32" xfId="61" applyNumberFormat="1" applyFont="1" applyFill="1" applyBorder="1"/>
    <xf numFmtId="1" fontId="3" fillId="39" borderId="32" xfId="0" applyNumberFormat="1" applyFont="1" applyFill="1" applyBorder="1"/>
    <xf numFmtId="188" fontId="3" fillId="0" borderId="32" xfId="0" applyNumberFormat="1" applyFont="1" applyBorder="1"/>
    <xf numFmtId="1" fontId="3" fillId="39" borderId="0" xfId="61" applyNumberFormat="1" applyFont="1" applyFill="1"/>
    <xf numFmtId="1" fontId="3" fillId="39" borderId="32" xfId="61" applyNumberFormat="1" applyFont="1" applyFill="1" applyBorder="1"/>
    <xf numFmtId="170" fontId="3" fillId="38" borderId="0" xfId="61" applyNumberFormat="1" applyFont="1" applyFill="1"/>
    <xf numFmtId="170" fontId="3" fillId="38" borderId="32" xfId="61" applyNumberFormat="1" applyFont="1" applyFill="1" applyBorder="1"/>
    <xf numFmtId="170" fontId="3" fillId="38" borderId="0" xfId="67" applyNumberFormat="1" applyFont="1" applyFill="1" applyBorder="1"/>
    <xf numFmtId="3" fontId="77" fillId="0" borderId="0" xfId="61" applyNumberFormat="1" applyFont="1"/>
    <xf numFmtId="3" fontId="77" fillId="0" borderId="32" xfId="61" applyNumberFormat="1" applyFont="1" applyBorder="1"/>
    <xf numFmtId="212" fontId="3" fillId="0" borderId="0" xfId="61" applyNumberFormat="1" applyFont="1" applyBorder="1"/>
    <xf numFmtId="212" fontId="3" fillId="0" borderId="32" xfId="61" applyNumberFormat="1" applyFont="1" applyBorder="1"/>
    <xf numFmtId="0" fontId="77" fillId="0" borderId="0" xfId="61" applyFont="1"/>
    <xf numFmtId="0" fontId="77" fillId="0" borderId="0" xfId="61" applyFont="1" applyAlignment="1">
      <alignment horizontal="center"/>
    </xf>
    <xf numFmtId="178" fontId="77" fillId="0" borderId="0" xfId="61" applyNumberFormat="1" applyFont="1"/>
    <xf numFmtId="178" fontId="78" fillId="0" borderId="0" xfId="61" applyNumberFormat="1" applyFont="1"/>
    <xf numFmtId="173" fontId="77" fillId="0" borderId="0" xfId="61" applyNumberFormat="1" applyFont="1" applyBorder="1"/>
    <xf numFmtId="0" fontId="77" fillId="0" borderId="0" xfId="0" applyFont="1"/>
    <xf numFmtId="0" fontId="77" fillId="0" borderId="0" xfId="61" applyFont="1" applyBorder="1"/>
    <xf numFmtId="172" fontId="77" fillId="0" borderId="0" xfId="0" applyNumberFormat="1" applyFont="1"/>
    <xf numFmtId="178" fontId="77" fillId="0" borderId="28" xfId="61" applyNumberFormat="1" applyFont="1" applyBorder="1"/>
    <xf numFmtId="178" fontId="77" fillId="0" borderId="0" xfId="61" applyNumberFormat="1" applyFont="1" applyBorder="1"/>
    <xf numFmtId="178" fontId="77" fillId="0" borderId="26" xfId="61" applyNumberFormat="1" applyFont="1" applyBorder="1"/>
    <xf numFmtId="178" fontId="77" fillId="0" borderId="29" xfId="61" applyNumberFormat="1" applyFont="1" applyBorder="1"/>
    <xf numFmtId="178" fontId="78" fillId="0" borderId="26" xfId="61" applyNumberFormat="1" applyFont="1" applyBorder="1"/>
    <xf numFmtId="3" fontId="77" fillId="0" borderId="0" xfId="61" applyNumberFormat="1" applyFont="1" applyBorder="1"/>
    <xf numFmtId="170" fontId="77" fillId="0" borderId="0" xfId="67" applyNumberFormat="1" applyFont="1" applyFill="1" applyBorder="1"/>
    <xf numFmtId="9" fontId="3" fillId="0" borderId="32" xfId="67" applyFont="1" applyBorder="1"/>
    <xf numFmtId="196" fontId="3" fillId="0" borderId="0" xfId="61" applyNumberFormat="1" applyFont="1" applyBorder="1"/>
    <xf numFmtId="196" fontId="3" fillId="0" borderId="32" xfId="61" applyNumberFormat="1" applyFont="1" applyBorder="1"/>
    <xf numFmtId="0" fontId="2" fillId="39" borderId="0" xfId="61" applyFont="1" applyFill="1" applyBorder="1" applyProtection="1">
      <protection locked="0"/>
    </xf>
    <xf numFmtId="0" fontId="2" fillId="39" borderId="0" xfId="61" applyFont="1" applyFill="1" applyBorder="1" applyAlignment="1">
      <alignment horizontal="center"/>
    </xf>
    <xf numFmtId="173" fontId="2" fillId="39" borderId="0" xfId="61" applyNumberFormat="1" applyFont="1" applyFill="1"/>
    <xf numFmtId="173" fontId="2" fillId="39" borderId="0" xfId="61" applyNumberFormat="1" applyFont="1" applyFill="1" applyBorder="1"/>
    <xf numFmtId="173" fontId="2" fillId="39" borderId="22" xfId="61" applyNumberFormat="1" applyFont="1" applyFill="1" applyBorder="1"/>
    <xf numFmtId="173" fontId="17" fillId="39" borderId="0" xfId="61" applyNumberFormat="1" applyFont="1" applyFill="1" applyBorder="1"/>
    <xf numFmtId="173" fontId="3" fillId="39" borderId="0" xfId="61" applyNumberFormat="1" applyFont="1" applyFill="1" applyBorder="1"/>
    <xf numFmtId="196" fontId="3" fillId="39" borderId="0" xfId="61" applyNumberFormat="1" applyFont="1" applyFill="1" applyBorder="1"/>
    <xf numFmtId="196" fontId="3" fillId="39" borderId="32" xfId="61" applyNumberFormat="1" applyFont="1" applyFill="1" applyBorder="1"/>
    <xf numFmtId="3" fontId="3" fillId="39" borderId="0" xfId="61" applyNumberFormat="1" applyFont="1" applyFill="1" applyBorder="1"/>
    <xf numFmtId="0" fontId="3" fillId="39" borderId="0" xfId="61" applyFont="1" applyFill="1" applyBorder="1" applyProtection="1">
      <protection locked="0"/>
    </xf>
    <xf numFmtId="0" fontId="3" fillId="39" borderId="0" xfId="61" applyFont="1" applyFill="1" applyBorder="1" applyAlignment="1">
      <alignment horizontal="center"/>
    </xf>
    <xf numFmtId="173" fontId="1" fillId="39" borderId="0" xfId="61" applyNumberFormat="1" applyFont="1" applyFill="1" applyBorder="1"/>
    <xf numFmtId="179" fontId="3" fillId="39" borderId="0" xfId="61" applyNumberFormat="1" applyFont="1" applyFill="1" applyBorder="1"/>
    <xf numFmtId="179" fontId="1" fillId="39" borderId="0" xfId="61" applyNumberFormat="1" applyFont="1" applyFill="1" applyBorder="1"/>
    <xf numFmtId="170" fontId="3" fillId="39" borderId="32" xfId="61" applyNumberFormat="1" applyFont="1" applyFill="1" applyBorder="1"/>
    <xf numFmtId="170" fontId="3" fillId="39" borderId="0" xfId="61" applyNumberFormat="1" applyFont="1" applyFill="1" applyBorder="1"/>
    <xf numFmtId="170" fontId="7" fillId="0" borderId="36" xfId="61" applyNumberFormat="1" applyFont="1" applyBorder="1"/>
    <xf numFmtId="170" fontId="7" fillId="0" borderId="33" xfId="61" applyNumberFormat="1" applyFont="1" applyBorder="1"/>
    <xf numFmtId="170" fontId="15" fillId="0" borderId="32" xfId="61" applyNumberFormat="1" applyFont="1" applyBorder="1"/>
    <xf numFmtId="39" fontId="15" fillId="16" borderId="32" xfId="57" applyNumberFormat="1" applyFont="1" applyFill="1" applyBorder="1" applyAlignment="1">
      <alignment horizontal="right"/>
    </xf>
    <xf numFmtId="0" fontId="7" fillId="0" borderId="32" xfId="61" applyFont="1" applyBorder="1" applyAlignment="1">
      <alignment horizontal="right"/>
    </xf>
    <xf numFmtId="173" fontId="7" fillId="0" borderId="32" xfId="61" applyNumberFormat="1" applyFont="1" applyBorder="1"/>
    <xf numFmtId="173" fontId="7" fillId="0" borderId="36" xfId="61" applyNumberFormat="1" applyFont="1" applyBorder="1"/>
    <xf numFmtId="171" fontId="7" fillId="0" borderId="32" xfId="61" applyNumberFormat="1" applyFont="1" applyBorder="1"/>
    <xf numFmtId="171" fontId="7" fillId="0" borderId="36" xfId="61" applyNumberFormat="1" applyFont="1" applyBorder="1"/>
    <xf numFmtId="9" fontId="7" fillId="0" borderId="32" xfId="61" applyNumberFormat="1" applyFont="1" applyBorder="1"/>
    <xf numFmtId="173" fontId="7" fillId="29" borderId="32" xfId="61" applyNumberFormat="1" applyFont="1" applyFill="1" applyBorder="1"/>
    <xf numFmtId="4" fontId="7" fillId="0" borderId="36" xfId="61" applyNumberFormat="1" applyFont="1" applyBorder="1"/>
    <xf numFmtId="170" fontId="7" fillId="29" borderId="32" xfId="61" applyNumberFormat="1" applyFont="1" applyFill="1" applyBorder="1"/>
    <xf numFmtId="173" fontId="7" fillId="29" borderId="36" xfId="61" applyNumberFormat="1" applyFont="1" applyFill="1" applyBorder="1"/>
    <xf numFmtId="170" fontId="7" fillId="32" borderId="32" xfId="61" applyNumberFormat="1" applyFont="1" applyFill="1" applyBorder="1"/>
    <xf numFmtId="173" fontId="7" fillId="32" borderId="32" xfId="61" applyNumberFormat="1" applyFont="1" applyFill="1" applyBorder="1"/>
    <xf numFmtId="173" fontId="7" fillId="32" borderId="36" xfId="61" applyNumberFormat="1" applyFont="1" applyFill="1" applyBorder="1"/>
    <xf numFmtId="173" fontId="3" fillId="32" borderId="32" xfId="61" applyNumberFormat="1" applyFont="1" applyFill="1" applyBorder="1"/>
    <xf numFmtId="9" fontId="3" fillId="32" borderId="32" xfId="67" applyFont="1" applyFill="1" applyBorder="1"/>
    <xf numFmtId="173" fontId="15" fillId="32" borderId="41" xfId="61" applyNumberFormat="1" applyFont="1" applyFill="1" applyBorder="1"/>
    <xf numFmtId="181" fontId="7" fillId="0" borderId="32" xfId="61" applyNumberFormat="1" applyFont="1" applyBorder="1"/>
    <xf numFmtId="9" fontId="7" fillId="0" borderId="32" xfId="67" applyFont="1" applyFill="1" applyBorder="1"/>
    <xf numFmtId="174" fontId="7" fillId="0" borderId="32" xfId="61" applyNumberFormat="1" applyFont="1" applyBorder="1"/>
    <xf numFmtId="0" fontId="15" fillId="16" borderId="32" xfId="57" applyFont="1" applyFill="1" applyBorder="1" applyAlignment="1">
      <alignment horizontal="right"/>
    </xf>
    <xf numFmtId="170" fontId="7" fillId="0" borderId="37" xfId="61" applyNumberFormat="1" applyFont="1" applyBorder="1"/>
    <xf numFmtId="170" fontId="7" fillId="0" borderId="40" xfId="61" applyNumberFormat="1" applyFont="1" applyBorder="1"/>
    <xf numFmtId="173" fontId="7" fillId="0" borderId="37" xfId="61" applyNumberFormat="1" applyFont="1" applyBorder="1"/>
    <xf numFmtId="171" fontId="15" fillId="0" borderId="32" xfId="61" applyNumberFormat="1" applyFont="1" applyBorder="1"/>
    <xf numFmtId="0" fontId="7" fillId="0" borderId="37" xfId="61" applyFont="1" applyBorder="1"/>
    <xf numFmtId="173" fontId="75" fillId="0" borderId="0" xfId="61" applyNumberFormat="1" applyFont="1" applyBorder="1"/>
    <xf numFmtId="171" fontId="75" fillId="0" borderId="0" xfId="61" applyNumberFormat="1" applyFont="1" applyBorder="1"/>
    <xf numFmtId="170" fontId="3" fillId="0" borderId="11" xfId="57" quotePrefix="1" applyNumberFormat="1" applyFont="1" applyBorder="1" applyAlignment="1">
      <alignment horizontal="right"/>
    </xf>
    <xf numFmtId="165" fontId="3" fillId="0" borderId="14" xfId="57" quotePrefix="1" applyNumberFormat="1" applyFont="1" applyBorder="1" applyAlignment="1">
      <alignment horizontal="right"/>
    </xf>
    <xf numFmtId="165" fontId="3" fillId="0" borderId="0" xfId="57" quotePrefix="1" applyNumberFormat="1" applyFont="1" applyAlignment="1">
      <alignment horizontal="right"/>
    </xf>
    <xf numFmtId="165" fontId="3" fillId="0" borderId="11" xfId="60" applyNumberFormat="1" applyFont="1" applyBorder="1" applyAlignment="1">
      <alignment horizontal="right"/>
    </xf>
    <xf numFmtId="15" fontId="3" fillId="0" borderId="16" xfId="57" quotePrefix="1" applyNumberFormat="1" applyFont="1" applyBorder="1" applyAlignment="1" applyProtection="1">
      <alignment horizontal="center"/>
      <protection locked="0"/>
    </xf>
    <xf numFmtId="0" fontId="1" fillId="0" borderId="37" xfId="60" applyFont="1" applyBorder="1" applyAlignment="1">
      <alignment horizontal="right"/>
    </xf>
    <xf numFmtId="3" fontId="3" fillId="0" borderId="40" xfId="60" applyNumberFormat="1" applyFont="1" applyBorder="1"/>
    <xf numFmtId="15" fontId="3" fillId="0" borderId="32" xfId="59" applyNumberFormat="1" applyBorder="1" applyAlignment="1">
      <alignment horizontal="right"/>
    </xf>
    <xf numFmtId="3" fontId="3" fillId="0" borderId="32" xfId="60" applyNumberFormat="1" applyFont="1" applyBorder="1"/>
    <xf numFmtId="0" fontId="1" fillId="16" borderId="32" xfId="57" applyFont="1" applyFill="1" applyBorder="1" applyAlignment="1">
      <alignment horizontal="right"/>
    </xf>
    <xf numFmtId="173" fontId="3" fillId="0" borderId="32" xfId="57" applyNumberFormat="1" applyFont="1" applyBorder="1" applyAlignment="1">
      <alignment horizontal="right"/>
    </xf>
    <xf numFmtId="172" fontId="3" fillId="0" borderId="32" xfId="57" applyNumberFormat="1" applyFont="1" applyBorder="1" applyAlignment="1">
      <alignment horizontal="right"/>
    </xf>
    <xf numFmtId="1" fontId="3" fillId="0" borderId="32" xfId="57" applyNumberFormat="1" applyFont="1" applyBorder="1" applyAlignment="1">
      <alignment horizontal="right"/>
    </xf>
    <xf numFmtId="0" fontId="3" fillId="0" borderId="32" xfId="60" applyFont="1" applyBorder="1"/>
    <xf numFmtId="170" fontId="3" fillId="0" borderId="32" xfId="57" applyNumberFormat="1" applyFont="1" applyBorder="1" applyAlignment="1">
      <alignment horizontal="right"/>
    </xf>
    <xf numFmtId="9" fontId="3" fillId="0" borderId="32" xfId="57" applyNumberFormat="1" applyFont="1" applyBorder="1" applyAlignment="1">
      <alignment horizontal="right"/>
    </xf>
    <xf numFmtId="165" fontId="3" fillId="0" borderId="32" xfId="57" applyNumberFormat="1" applyFont="1" applyBorder="1" applyAlignment="1">
      <alignment horizontal="right"/>
    </xf>
    <xf numFmtId="39" fontId="1" fillId="16" borderId="32" xfId="57" applyNumberFormat="1" applyFont="1" applyFill="1" applyBorder="1" applyAlignment="1">
      <alignment horizontal="right"/>
    </xf>
    <xf numFmtId="173" fontId="3" fillId="0" borderId="39" xfId="57" applyNumberFormat="1" applyFont="1" applyBorder="1" applyAlignment="1" applyProtection="1">
      <alignment horizontal="right"/>
      <protection locked="0"/>
    </xf>
    <xf numFmtId="170" fontId="2" fillId="0" borderId="32" xfId="57" applyNumberFormat="1" applyFont="1" applyBorder="1" applyAlignment="1">
      <alignment horizontal="right"/>
    </xf>
    <xf numFmtId="173" fontId="3" fillId="0" borderId="39" xfId="57" applyNumberFormat="1" applyFont="1" applyBorder="1" applyAlignment="1">
      <alignment horizontal="right"/>
    </xf>
    <xf numFmtId="173" fontId="3" fillId="0" borderId="36" xfId="57" applyNumberFormat="1" applyFont="1" applyBorder="1" applyAlignment="1">
      <alignment horizontal="right"/>
    </xf>
    <xf numFmtId="173" fontId="3" fillId="0" borderId="42" xfId="57" applyNumberFormat="1" applyFont="1" applyBorder="1" applyAlignment="1">
      <alignment horizontal="right"/>
    </xf>
    <xf numFmtId="173" fontId="3" fillId="0" borderId="43" xfId="57" applyNumberFormat="1" applyFont="1" applyBorder="1" applyAlignment="1">
      <alignment horizontal="right"/>
    </xf>
    <xf numFmtId="173" fontId="3" fillId="0" borderId="44" xfId="57" applyNumberFormat="1" applyFont="1" applyBorder="1" applyAlignment="1">
      <alignment horizontal="right"/>
    </xf>
    <xf numFmtId="173" fontId="3" fillId="0" borderId="44" xfId="57" applyNumberFormat="1" applyFont="1" applyBorder="1" applyAlignment="1" applyProtection="1">
      <alignment horizontal="right"/>
      <protection locked="0"/>
    </xf>
    <xf numFmtId="173" fontId="3" fillId="0" borderId="45" xfId="57" applyNumberFormat="1" applyFont="1" applyBorder="1" applyAlignment="1">
      <alignment horizontal="right"/>
    </xf>
    <xf numFmtId="173" fontId="3" fillId="0" borderId="36" xfId="57" applyNumberFormat="1" applyFont="1" applyBorder="1" applyAlignment="1" applyProtection="1">
      <alignment horizontal="right"/>
      <protection locked="0"/>
    </xf>
    <xf numFmtId="173" fontId="3" fillId="0" borderId="32" xfId="57" applyNumberFormat="1" applyFont="1" applyBorder="1" applyAlignment="1" applyProtection="1">
      <alignment horizontal="right"/>
      <protection locked="0"/>
    </xf>
    <xf numFmtId="173" fontId="61" fillId="0" borderId="43" xfId="57" applyNumberFormat="1" applyFont="1" applyBorder="1" applyAlignment="1" applyProtection="1">
      <alignment horizontal="right"/>
      <protection locked="0"/>
    </xf>
    <xf numFmtId="173" fontId="61" fillId="0" borderId="44" xfId="57" applyNumberFormat="1" applyFont="1" applyBorder="1" applyAlignment="1" applyProtection="1">
      <alignment horizontal="right"/>
      <protection locked="0"/>
    </xf>
    <xf numFmtId="173" fontId="61" fillId="0" borderId="45" xfId="57" applyNumberFormat="1" applyFont="1" applyBorder="1" applyAlignment="1" applyProtection="1">
      <alignment horizontal="right"/>
      <protection locked="0"/>
    </xf>
    <xf numFmtId="170" fontId="2" fillId="0" borderId="32" xfId="57" applyNumberFormat="1" applyFont="1" applyBorder="1" applyAlignment="1" applyProtection="1">
      <alignment horizontal="right"/>
      <protection locked="0"/>
    </xf>
    <xf numFmtId="173" fontId="3" fillId="0" borderId="37" xfId="57" applyNumberFormat="1" applyFont="1" applyBorder="1" applyAlignment="1">
      <alignment horizontal="right"/>
    </xf>
    <xf numFmtId="173" fontId="3" fillId="0" borderId="43" xfId="57" applyNumberFormat="1" applyFont="1" applyBorder="1" applyAlignment="1" applyProtection="1">
      <alignment horizontal="right"/>
      <protection locked="0"/>
    </xf>
    <xf numFmtId="173" fontId="3" fillId="0" borderId="45" xfId="57" applyNumberFormat="1" applyFont="1" applyBorder="1" applyAlignment="1" applyProtection="1">
      <alignment horizontal="right"/>
      <protection locked="0"/>
    </xf>
    <xf numFmtId="173" fontId="3" fillId="29" borderId="43" xfId="57" applyNumberFormat="1" applyFont="1" applyFill="1" applyBorder="1" applyAlignment="1" applyProtection="1">
      <alignment horizontal="right"/>
      <protection locked="0"/>
    </xf>
    <xf numFmtId="170" fontId="3" fillId="0" borderId="32" xfId="57" applyNumberFormat="1" applyFont="1" applyBorder="1" applyAlignment="1" applyProtection="1">
      <alignment horizontal="right"/>
      <protection locked="0"/>
    </xf>
    <xf numFmtId="0" fontId="3" fillId="0" borderId="32" xfId="57" applyFont="1" applyBorder="1" applyAlignment="1">
      <alignment horizontal="right"/>
    </xf>
    <xf numFmtId="173" fontId="3" fillId="0" borderId="32" xfId="57" applyNumberFormat="1" applyFont="1" applyBorder="1"/>
    <xf numFmtId="173" fontId="1" fillId="0" borderId="32" xfId="57" applyNumberFormat="1" applyFont="1" applyBorder="1" applyAlignment="1">
      <alignment horizontal="right"/>
    </xf>
    <xf numFmtId="173" fontId="3" fillId="0" borderId="39" xfId="60" applyNumberFormat="1" applyFont="1" applyBorder="1" applyAlignment="1">
      <alignment horizontal="right"/>
    </xf>
    <xf numFmtId="173" fontId="3" fillId="0" borderId="32" xfId="60" applyNumberFormat="1" applyFont="1" applyBorder="1" applyAlignment="1">
      <alignment horizontal="right"/>
    </xf>
    <xf numFmtId="173" fontId="3" fillId="0" borderId="43" xfId="60" applyNumberFormat="1" applyFont="1" applyBorder="1" applyAlignment="1">
      <alignment horizontal="right"/>
    </xf>
    <xf numFmtId="173" fontId="3" fillId="0" borderId="45" xfId="60" applyNumberFormat="1" applyFont="1" applyBorder="1" applyAlignment="1">
      <alignment horizontal="right"/>
    </xf>
    <xf numFmtId="173" fontId="3" fillId="0" borderId="44" xfId="60" applyNumberFormat="1" applyFont="1" applyBorder="1" applyAlignment="1">
      <alignment horizontal="right"/>
    </xf>
    <xf numFmtId="173" fontId="1" fillId="0" borderId="36" xfId="57" applyNumberFormat="1" applyFont="1" applyBorder="1" applyAlignment="1">
      <alignment horizontal="right"/>
    </xf>
    <xf numFmtId="173" fontId="3" fillId="0" borderId="40" xfId="60" applyNumberFormat="1" applyFont="1" applyBorder="1" applyAlignment="1">
      <alignment horizontal="right"/>
    </xf>
    <xf numFmtId="173" fontId="61" fillId="0" borderId="39" xfId="57" applyNumberFormat="1" applyFont="1" applyBorder="1" applyAlignment="1">
      <alignment horizontal="right"/>
    </xf>
    <xf numFmtId="173" fontId="61" fillId="0" borderId="44" xfId="57" applyNumberFormat="1" applyFont="1" applyBorder="1" applyAlignment="1">
      <alignment horizontal="right"/>
    </xf>
    <xf numFmtId="173" fontId="61" fillId="0" borderId="37" xfId="57" applyNumberFormat="1" applyFont="1" applyBorder="1" applyAlignment="1">
      <alignment horizontal="right"/>
    </xf>
    <xf numFmtId="4" fontId="1" fillId="0" borderId="36" xfId="57" applyNumberFormat="1" applyFont="1" applyBorder="1" applyAlignment="1">
      <alignment horizontal="right"/>
    </xf>
    <xf numFmtId="173" fontId="1" fillId="0" borderId="32" xfId="57" quotePrefix="1" applyNumberFormat="1" applyFont="1" applyBorder="1" applyAlignment="1">
      <alignment horizontal="right"/>
    </xf>
    <xf numFmtId="4" fontId="3" fillId="0" borderId="32" xfId="57" applyNumberFormat="1" applyFont="1" applyBorder="1" applyAlignment="1">
      <alignment horizontal="right"/>
    </xf>
    <xf numFmtId="170" fontId="3" fillId="0" borderId="32" xfId="67" applyNumberFormat="1" applyFont="1" applyBorder="1" applyAlignment="1" applyProtection="1">
      <alignment horizontal="right"/>
    </xf>
    <xf numFmtId="170" fontId="1" fillId="0" borderId="32" xfId="60" applyNumberFormat="1" applyFont="1" applyBorder="1" applyAlignment="1">
      <alignment horizontal="right"/>
    </xf>
    <xf numFmtId="170" fontId="3" fillId="0" borderId="32" xfId="60" applyNumberFormat="1" applyFont="1" applyBorder="1" applyAlignment="1">
      <alignment horizontal="right"/>
    </xf>
    <xf numFmtId="9" fontId="3" fillId="0" borderId="32" xfId="57" quotePrefix="1" applyNumberFormat="1" applyFont="1" applyBorder="1" applyAlignment="1">
      <alignment horizontal="right"/>
    </xf>
    <xf numFmtId="0" fontId="3" fillId="0" borderId="32" xfId="60" applyFont="1" applyBorder="1" applyAlignment="1">
      <alignment horizontal="right"/>
    </xf>
    <xf numFmtId="170" fontId="3" fillId="0" borderId="32" xfId="57" quotePrefix="1" applyNumberFormat="1" applyFont="1" applyBorder="1" applyAlignment="1" applyProtection="1">
      <alignment horizontal="right"/>
      <protection locked="0"/>
    </xf>
    <xf numFmtId="165" fontId="3" fillId="0" borderId="32" xfId="57" quotePrefix="1" applyNumberFormat="1" applyFont="1" applyBorder="1" applyAlignment="1" applyProtection="1">
      <alignment horizontal="right"/>
      <protection locked="0"/>
    </xf>
    <xf numFmtId="172" fontId="3" fillId="0" borderId="32" xfId="60" applyNumberFormat="1" applyFont="1" applyBorder="1" applyAlignment="1">
      <alignment horizontal="right"/>
    </xf>
    <xf numFmtId="165" fontId="3" fillId="0" borderId="32" xfId="60" applyNumberFormat="1" applyFont="1" applyBorder="1" applyAlignment="1">
      <alignment horizontal="right"/>
    </xf>
    <xf numFmtId="170" fontId="3" fillId="0" borderId="32" xfId="57" quotePrefix="1" applyNumberFormat="1" applyFont="1" applyBorder="1" applyAlignment="1">
      <alignment horizontal="right"/>
    </xf>
    <xf numFmtId="173" fontId="3" fillId="0" borderId="32" xfId="57" quotePrefix="1" applyNumberFormat="1" applyFont="1" applyBorder="1" applyAlignment="1">
      <alignment horizontal="right"/>
    </xf>
    <xf numFmtId="15" fontId="3" fillId="0" borderId="32" xfId="57" quotePrefix="1" applyNumberFormat="1" applyFont="1" applyBorder="1" applyAlignment="1" applyProtection="1">
      <alignment horizontal="center"/>
      <protection locked="0"/>
    </xf>
    <xf numFmtId="171" fontId="3" fillId="0" borderId="32" xfId="57" quotePrefix="1" applyNumberFormat="1" applyFont="1" applyBorder="1" applyAlignment="1">
      <alignment horizontal="right"/>
    </xf>
    <xf numFmtId="171" fontId="3" fillId="0" borderId="32" xfId="57" applyNumberFormat="1" applyFont="1" applyBorder="1" applyAlignment="1">
      <alignment horizontal="right"/>
    </xf>
    <xf numFmtId="171" fontId="3" fillId="0" borderId="44" xfId="57" quotePrefix="1" applyNumberFormat="1" applyFont="1" applyBorder="1" applyAlignment="1">
      <alignment horizontal="right"/>
    </xf>
    <xf numFmtId="171" fontId="9" fillId="0" borderId="33" xfId="57" quotePrefix="1" applyNumberFormat="1" applyFont="1" applyBorder="1" applyAlignment="1">
      <alignment horizontal="right"/>
    </xf>
    <xf numFmtId="171" fontId="3" fillId="0" borderId="36" xfId="57" quotePrefix="1" applyNumberFormat="1" applyFont="1" applyBorder="1" applyAlignment="1">
      <alignment horizontal="right"/>
    </xf>
    <xf numFmtId="171" fontId="3" fillId="0" borderId="32" xfId="57" applyNumberFormat="1" applyFont="1" applyBorder="1"/>
    <xf numFmtId="1" fontId="3" fillId="0" borderId="44" xfId="57" quotePrefix="1" applyNumberFormat="1" applyFont="1" applyBorder="1" applyAlignment="1">
      <alignment horizontal="right"/>
    </xf>
    <xf numFmtId="174" fontId="3" fillId="0" borderId="32" xfId="57" quotePrefix="1" applyNumberFormat="1" applyFont="1" applyBorder="1" applyAlignment="1">
      <alignment horizontal="right"/>
    </xf>
    <xf numFmtId="174" fontId="1" fillId="0" borderId="41" xfId="57" quotePrefix="1" applyNumberFormat="1" applyFont="1" applyBorder="1" applyAlignment="1">
      <alignment horizontal="right"/>
    </xf>
    <xf numFmtId="174" fontId="3" fillId="0" borderId="32" xfId="57" quotePrefix="1" applyNumberFormat="1" applyFont="1" applyBorder="1" applyAlignment="1" applyProtection="1">
      <alignment horizontal="right"/>
      <protection locked="0"/>
    </xf>
    <xf numFmtId="174" fontId="1" fillId="0" borderId="38" xfId="57" quotePrefix="1" applyNumberFormat="1" applyFont="1" applyBorder="1" applyAlignment="1">
      <alignment horizontal="right"/>
    </xf>
    <xf numFmtId="174" fontId="61" fillId="0" borderId="32" xfId="57" quotePrefix="1" applyNumberFormat="1" applyFont="1" applyBorder="1" applyAlignment="1" applyProtection="1">
      <alignment horizontal="right"/>
      <protection locked="0"/>
    </xf>
    <xf numFmtId="174" fontId="1" fillId="0" borderId="32" xfId="57" quotePrefix="1" applyNumberFormat="1" applyFont="1" applyBorder="1" applyAlignment="1">
      <alignment horizontal="right"/>
    </xf>
    <xf numFmtId="170" fontId="3" fillId="0" borderId="39" xfId="57" quotePrefix="1" applyNumberFormat="1" applyFont="1" applyBorder="1" applyAlignment="1">
      <alignment horizontal="right"/>
    </xf>
    <xf numFmtId="173" fontId="3" fillId="0" borderId="36" xfId="57" quotePrefix="1" applyNumberFormat="1" applyFont="1" applyBorder="1" applyAlignment="1">
      <alignment horizontal="right"/>
    </xf>
    <xf numFmtId="173" fontId="3" fillId="0" borderId="33" xfId="57" quotePrefix="1" applyNumberFormat="1" applyFont="1" applyBorder="1" applyAlignment="1">
      <alignment horizontal="right"/>
    </xf>
    <xf numFmtId="173" fontId="3" fillId="0" borderId="32" xfId="57" quotePrefix="1" applyNumberFormat="1" applyFont="1" applyBorder="1" applyAlignment="1" applyProtection="1">
      <alignment horizontal="right"/>
      <protection locked="0"/>
    </xf>
    <xf numFmtId="173" fontId="3" fillId="0" borderId="43" xfId="57" quotePrefix="1" applyNumberFormat="1" applyFont="1" applyBorder="1" applyAlignment="1" applyProtection="1">
      <alignment horizontal="right"/>
      <protection locked="0"/>
    </xf>
    <xf numFmtId="173" fontId="3" fillId="0" borderId="44" xfId="57" quotePrefix="1" applyNumberFormat="1" applyFont="1" applyBorder="1" applyAlignment="1" applyProtection="1">
      <alignment horizontal="right"/>
      <protection locked="0"/>
    </xf>
    <xf numFmtId="173" fontId="3" fillId="0" borderId="44" xfId="57" quotePrefix="1" applyNumberFormat="1" applyFont="1" applyBorder="1" applyAlignment="1">
      <alignment horizontal="right"/>
    </xf>
    <xf numFmtId="0" fontId="3" fillId="0" borderId="45" xfId="57" applyFont="1" applyBorder="1" applyAlignment="1">
      <alignment horizontal="right"/>
    </xf>
    <xf numFmtId="0" fontId="3" fillId="0" borderId="32" xfId="57" applyFont="1" applyBorder="1" applyAlignment="1" applyProtection="1">
      <alignment horizontal="right"/>
      <protection locked="0"/>
    </xf>
    <xf numFmtId="173" fontId="9" fillId="0" borderId="43" xfId="57" quotePrefix="1" applyNumberFormat="1" applyFont="1" applyBorder="1" applyAlignment="1" applyProtection="1">
      <alignment horizontal="right"/>
      <protection locked="0"/>
    </xf>
    <xf numFmtId="173" fontId="9" fillId="0" borderId="44" xfId="57" quotePrefix="1" applyNumberFormat="1" applyFont="1" applyBorder="1" applyAlignment="1" applyProtection="1">
      <alignment horizontal="right"/>
      <protection locked="0"/>
    </xf>
    <xf numFmtId="0" fontId="9" fillId="0" borderId="45" xfId="57" applyFont="1" applyBorder="1" applyAlignment="1">
      <alignment horizontal="right"/>
    </xf>
    <xf numFmtId="0" fontId="7" fillId="0" borderId="32" xfId="57" applyFont="1" applyBorder="1" applyAlignment="1" applyProtection="1">
      <alignment horizontal="right"/>
      <protection locked="0"/>
    </xf>
    <xf numFmtId="0" fontId="3" fillId="0" borderId="32" xfId="57" applyFont="1" applyBorder="1" applyProtection="1">
      <protection locked="0"/>
    </xf>
    <xf numFmtId="172" fontId="73" fillId="0" borderId="32" xfId="0" applyNumberFormat="1" applyFont="1" applyBorder="1"/>
    <xf numFmtId="173" fontId="3" fillId="0" borderId="32" xfId="0" applyNumberFormat="1" applyFont="1" applyBorder="1"/>
    <xf numFmtId="180" fontId="3" fillId="0" borderId="32" xfId="57" applyNumberFormat="1" applyFont="1" applyBorder="1" applyAlignment="1">
      <alignment horizontal="right"/>
    </xf>
    <xf numFmtId="0" fontId="73" fillId="0" borderId="32" xfId="0" applyFont="1" applyBorder="1"/>
    <xf numFmtId="173" fontId="73" fillId="0" borderId="32" xfId="0" applyNumberFormat="1" applyFont="1" applyBorder="1"/>
    <xf numFmtId="175" fontId="73" fillId="0" borderId="32" xfId="0" applyNumberFormat="1" applyFont="1" applyBorder="1"/>
    <xf numFmtId="9" fontId="3" fillId="0" borderId="32" xfId="60" applyNumberFormat="1" applyFont="1" applyBorder="1"/>
    <xf numFmtId="0" fontId="15" fillId="16" borderId="32" xfId="0" applyFont="1" applyFill="1" applyBorder="1"/>
    <xf numFmtId="175" fontId="15" fillId="0" borderId="32" xfId="0" applyNumberFormat="1" applyFont="1" applyBorder="1"/>
    <xf numFmtId="172" fontId="15" fillId="0" borderId="32" xfId="0" applyNumberFormat="1" applyFont="1" applyBorder="1"/>
    <xf numFmtId="175" fontId="9" fillId="0" borderId="32" xfId="57" applyNumberFormat="1" applyFont="1" applyBorder="1" applyProtection="1">
      <protection locked="0"/>
    </xf>
    <xf numFmtId="172" fontId="9" fillId="0" borderId="32" xfId="57" applyNumberFormat="1" applyFont="1" applyBorder="1" applyProtection="1">
      <protection locked="0"/>
    </xf>
    <xf numFmtId="172" fontId="61" fillId="0" borderId="32" xfId="57" applyNumberFormat="1" applyFont="1" applyBorder="1" applyProtection="1">
      <protection locked="0"/>
    </xf>
    <xf numFmtId="173" fontId="3" fillId="0" borderId="32" xfId="57" applyNumberFormat="1" applyFont="1" applyBorder="1" applyProtection="1">
      <protection locked="0"/>
    </xf>
    <xf numFmtId="173" fontId="1" fillId="0" borderId="32" xfId="57" applyNumberFormat="1" applyFont="1" applyBorder="1" applyAlignment="1" applyProtection="1">
      <alignment horizontal="right"/>
      <protection locked="0"/>
    </xf>
    <xf numFmtId="173" fontId="1" fillId="0" borderId="36" xfId="57" applyNumberFormat="1" applyFont="1" applyBorder="1" applyAlignment="1" applyProtection="1">
      <alignment horizontal="right"/>
      <protection locked="0"/>
    </xf>
    <xf numFmtId="175" fontId="7" fillId="0" borderId="32" xfId="57" applyNumberFormat="1" applyFont="1" applyBorder="1" applyAlignment="1" applyProtection="1">
      <alignment horizontal="right"/>
      <protection locked="0"/>
    </xf>
    <xf numFmtId="173" fontId="7" fillId="0" borderId="32" xfId="57" applyNumberFormat="1" applyFont="1" applyBorder="1" applyProtection="1">
      <protection locked="0"/>
    </xf>
    <xf numFmtId="172" fontId="7" fillId="0" borderId="32" xfId="57" applyNumberFormat="1" applyFont="1" applyBorder="1" applyProtection="1">
      <protection locked="0"/>
    </xf>
    <xf numFmtId="0" fontId="7" fillId="0" borderId="32" xfId="57" applyFont="1" applyBorder="1" applyProtection="1">
      <protection locked="0"/>
    </xf>
    <xf numFmtId="173" fontId="7" fillId="0" borderId="32" xfId="57" applyNumberFormat="1" applyFont="1" applyBorder="1"/>
    <xf numFmtId="170" fontId="7" fillId="0" borderId="32" xfId="67" applyNumberFormat="1" applyFont="1" applyFill="1" applyBorder="1"/>
    <xf numFmtId="172" fontId="9" fillId="0" borderId="32" xfId="57" applyNumberFormat="1" applyFont="1" applyBorder="1"/>
    <xf numFmtId="0" fontId="3" fillId="0" borderId="32" xfId="57" applyFont="1" applyBorder="1"/>
    <xf numFmtId="1" fontId="3" fillId="0" borderId="32" xfId="57" applyNumberFormat="1" applyFont="1" applyBorder="1"/>
    <xf numFmtId="17" fontId="3" fillId="0" borderId="0" xfId="59" applyNumberFormat="1" applyAlignment="1">
      <alignment horizontal="right"/>
    </xf>
    <xf numFmtId="17" fontId="3" fillId="0" borderId="32" xfId="59" applyNumberFormat="1" applyBorder="1" applyAlignment="1">
      <alignment horizontal="right"/>
    </xf>
    <xf numFmtId="173" fontId="75" fillId="0" borderId="21" xfId="61" applyNumberFormat="1" applyFont="1" applyBorder="1"/>
    <xf numFmtId="171" fontId="75" fillId="0" borderId="36" xfId="61" applyNumberFormat="1" applyFont="1" applyBorder="1"/>
    <xf numFmtId="173" fontId="76" fillId="32" borderId="41" xfId="61" applyNumberFormat="1" applyFont="1" applyFill="1" applyBorder="1"/>
    <xf numFmtId="173" fontId="76" fillId="32" borderId="30" xfId="61" applyNumberFormat="1" applyFont="1" applyFill="1" applyBorder="1"/>
    <xf numFmtId="170" fontId="63" fillId="32" borderId="0" xfId="61" applyNumberFormat="1" applyFont="1" applyFill="1" applyBorder="1"/>
    <xf numFmtId="173" fontId="75" fillId="0" borderId="39" xfId="60" applyNumberFormat="1" applyFont="1" applyBorder="1" applyAlignment="1">
      <alignment horizontal="right"/>
    </xf>
    <xf numFmtId="0" fontId="1" fillId="0" borderId="0" xfId="60" applyFont="1"/>
    <xf numFmtId="173" fontId="75" fillId="0" borderId="32" xfId="61" applyNumberFormat="1" applyFont="1" applyBorder="1"/>
    <xf numFmtId="173" fontId="75" fillId="0" borderId="45" xfId="60" applyNumberFormat="1" applyFont="1" applyBorder="1" applyAlignment="1">
      <alignment horizontal="right"/>
    </xf>
    <xf numFmtId="173" fontId="76" fillId="0" borderId="39" xfId="60" applyNumberFormat="1" applyFont="1" applyBorder="1" applyAlignment="1">
      <alignment horizontal="right"/>
    </xf>
    <xf numFmtId="171" fontId="75" fillId="0" borderId="32" xfId="61" applyNumberFormat="1" applyFont="1" applyBorder="1"/>
    <xf numFmtId="173" fontId="75" fillId="0" borderId="44" xfId="57" applyNumberFormat="1" applyFont="1" applyBorder="1" applyAlignment="1">
      <alignment horizontal="right"/>
    </xf>
    <xf numFmtId="173" fontId="75" fillId="0" borderId="32" xfId="60" applyNumberFormat="1" applyFont="1" applyBorder="1" applyAlignment="1">
      <alignment horizontal="right"/>
    </xf>
    <xf numFmtId="173" fontId="75" fillId="0" borderId="0" xfId="60" applyNumberFormat="1" applyFont="1" applyBorder="1" applyAlignment="1">
      <alignment horizontal="right"/>
    </xf>
    <xf numFmtId="173" fontId="66" fillId="40" borderId="0" xfId="61" applyNumberFormat="1" applyFont="1" applyFill="1" applyBorder="1"/>
    <xf numFmtId="173" fontId="76" fillId="0" borderId="39" xfId="57" applyNumberFormat="1" applyFont="1" applyBorder="1" applyAlignment="1" applyProtection="1">
      <alignment horizontal="right"/>
      <protection locked="0"/>
    </xf>
    <xf numFmtId="173" fontId="75" fillId="0" borderId="39" xfId="57" applyNumberFormat="1" applyFont="1" applyBorder="1" applyAlignment="1">
      <alignment horizontal="right"/>
    </xf>
    <xf numFmtId="173" fontId="75" fillId="0" borderId="43" xfId="57" applyNumberFormat="1" applyFont="1" applyBorder="1" applyAlignment="1">
      <alignment horizontal="right"/>
    </xf>
    <xf numFmtId="173" fontId="75" fillId="0" borderId="45" xfId="57" applyNumberFormat="1" applyFont="1" applyBorder="1" applyAlignment="1">
      <alignment horizontal="right"/>
    </xf>
    <xf numFmtId="173" fontId="75" fillId="0" borderId="0" xfId="57" applyNumberFormat="1" applyFont="1" applyAlignment="1">
      <alignment horizontal="right"/>
    </xf>
    <xf numFmtId="173" fontId="75" fillId="0" borderId="32" xfId="57" applyNumberFormat="1" applyFont="1" applyBorder="1" applyAlignment="1">
      <alignment horizontal="right"/>
    </xf>
    <xf numFmtId="174" fontId="76" fillId="0" borderId="41" xfId="57" quotePrefix="1" applyNumberFormat="1" applyFont="1" applyBorder="1" applyAlignment="1">
      <alignment horizontal="right"/>
    </xf>
    <xf numFmtId="174" fontId="76" fillId="0" borderId="30" xfId="57" quotePrefix="1" applyNumberFormat="1" applyFont="1" applyBorder="1" applyAlignment="1">
      <alignment horizontal="right"/>
    </xf>
    <xf numFmtId="174" fontId="76" fillId="0" borderId="11" xfId="57" quotePrefix="1" applyNumberFormat="1" applyFont="1" applyBorder="1" applyAlignment="1">
      <alignment horizontal="right"/>
    </xf>
    <xf numFmtId="171" fontId="75" fillId="0" borderId="36" xfId="57" quotePrefix="1" applyNumberFormat="1" applyFont="1" applyBorder="1" applyAlignment="1">
      <alignment horizontal="right"/>
    </xf>
    <xf numFmtId="174" fontId="76" fillId="0" borderId="38" xfId="57" quotePrefix="1" applyNumberFormat="1" applyFont="1" applyBorder="1" applyAlignment="1">
      <alignment horizontal="right"/>
    </xf>
    <xf numFmtId="170" fontId="3" fillId="32" borderId="0" xfId="61" applyNumberFormat="1" applyFont="1" applyFill="1" applyBorder="1"/>
    <xf numFmtId="170" fontId="3" fillId="32" borderId="32" xfId="61" applyNumberFormat="1" applyFont="1" applyFill="1" applyBorder="1"/>
    <xf numFmtId="0" fontId="79" fillId="0" borderId="0" xfId="63" applyFont="1"/>
    <xf numFmtId="0" fontId="79" fillId="0" borderId="0" xfId="63" applyFont="1" applyAlignment="1">
      <alignment horizontal="right"/>
    </xf>
    <xf numFmtId="0" fontId="79" fillId="0" borderId="0" xfId="0" applyFont="1"/>
    <xf numFmtId="0" fontId="79" fillId="15" borderId="0" xfId="63" applyFont="1" applyFill="1"/>
    <xf numFmtId="0" fontId="79" fillId="15" borderId="0" xfId="63" applyFont="1" applyFill="1" applyAlignment="1">
      <alignment horizontal="right"/>
    </xf>
    <xf numFmtId="22" fontId="79" fillId="15" borderId="0" xfId="63" applyNumberFormat="1" applyFont="1" applyFill="1" applyAlignment="1">
      <alignment horizontal="right"/>
    </xf>
    <xf numFmtId="0" fontId="80" fillId="0" borderId="0" xfId="63" applyFont="1"/>
    <xf numFmtId="165" fontId="79" fillId="0" borderId="0" xfId="63" applyNumberFormat="1" applyFont="1" applyAlignment="1">
      <alignment horizontal="right"/>
    </xf>
    <xf numFmtId="2" fontId="81" fillId="0" borderId="0" xfId="63" applyNumberFormat="1" applyFont="1" applyAlignment="1">
      <alignment horizontal="right"/>
    </xf>
    <xf numFmtId="15" fontId="79" fillId="0" borderId="0" xfId="63" applyNumberFormat="1" applyFont="1" applyAlignment="1">
      <alignment horizontal="right"/>
    </xf>
    <xf numFmtId="0" fontId="79" fillId="0" borderId="0" xfId="63" applyFont="1" applyBorder="1"/>
    <xf numFmtId="0" fontId="82" fillId="0" borderId="0" xfId="63" applyFont="1" applyBorder="1"/>
    <xf numFmtId="0" fontId="79" fillId="0" borderId="0" xfId="63" applyFont="1" applyBorder="1" applyAlignment="1">
      <alignment horizontal="right"/>
    </xf>
    <xf numFmtId="170" fontId="79" fillId="0" borderId="0" xfId="67" applyNumberFormat="1" applyFont="1" applyFill="1" applyBorder="1" applyAlignment="1">
      <alignment horizontal="right"/>
    </xf>
    <xf numFmtId="0" fontId="83" fillId="0" borderId="0" xfId="63" applyFont="1" applyBorder="1" applyAlignment="1">
      <alignment horizontal="right"/>
    </xf>
    <xf numFmtId="173" fontId="79" fillId="0" borderId="0" xfId="63" applyNumberFormat="1" applyFont="1" applyBorder="1" applyAlignment="1">
      <alignment horizontal="right"/>
    </xf>
    <xf numFmtId="15" fontId="79" fillId="0" borderId="0" xfId="63" applyNumberFormat="1" applyFont="1" applyBorder="1"/>
    <xf numFmtId="15" fontId="79" fillId="0" borderId="0" xfId="63" applyNumberFormat="1" applyFont="1" applyBorder="1" applyAlignment="1">
      <alignment horizontal="right"/>
    </xf>
    <xf numFmtId="0" fontId="82" fillId="0" borderId="0" xfId="63" applyFont="1" applyBorder="1" applyAlignment="1">
      <alignment horizontal="right"/>
    </xf>
    <xf numFmtId="173" fontId="82" fillId="0" borderId="0" xfId="63" quotePrefix="1" applyNumberFormat="1" applyFont="1" applyBorder="1" applyAlignment="1">
      <alignment horizontal="right"/>
    </xf>
    <xf numFmtId="9" fontId="82" fillId="0" borderId="0" xfId="67" quotePrefix="1" applyFont="1" applyFill="1" applyBorder="1" applyAlignment="1">
      <alignment horizontal="right"/>
    </xf>
    <xf numFmtId="192" fontId="79" fillId="0" borderId="0" xfId="63" applyNumberFormat="1" applyFont="1" applyBorder="1" applyAlignment="1">
      <alignment horizontal="right"/>
    </xf>
    <xf numFmtId="197" fontId="84" fillId="0" borderId="0" xfId="63" applyNumberFormat="1" applyFont="1" applyBorder="1" applyAlignment="1">
      <alignment horizontal="right"/>
    </xf>
    <xf numFmtId="197" fontId="79" fillId="0" borderId="0" xfId="63" applyNumberFormat="1" applyFont="1" applyBorder="1" applyAlignment="1">
      <alignment horizontal="right"/>
    </xf>
    <xf numFmtId="170" fontId="79" fillId="0" borderId="0" xfId="63" applyNumberFormat="1" applyFont="1" applyBorder="1" applyAlignment="1">
      <alignment horizontal="right"/>
    </xf>
    <xf numFmtId="170" fontId="83" fillId="0" borderId="0" xfId="63" applyNumberFormat="1" applyFont="1" applyBorder="1" applyAlignment="1">
      <alignment horizontal="right"/>
    </xf>
    <xf numFmtId="201" fontId="84" fillId="0" borderId="0" xfId="63" applyNumberFormat="1" applyFont="1" applyBorder="1" applyAlignment="1">
      <alignment horizontal="right"/>
    </xf>
    <xf numFmtId="201" fontId="79" fillId="0" borderId="0" xfId="63" applyNumberFormat="1" applyFont="1" applyBorder="1" applyAlignment="1">
      <alignment horizontal="right"/>
    </xf>
    <xf numFmtId="181" fontId="79" fillId="0" borderId="0" xfId="63" applyNumberFormat="1" applyFont="1" applyBorder="1" applyAlignment="1">
      <alignment horizontal="right"/>
    </xf>
    <xf numFmtId="0" fontId="79" fillId="15" borderId="0" xfId="63" applyFont="1" applyFill="1" applyBorder="1"/>
    <xf numFmtId="10" fontId="79" fillId="0" borderId="0" xfId="0" applyNumberFormat="1" applyFont="1"/>
    <xf numFmtId="196" fontId="79" fillId="0" borderId="0" xfId="63" applyNumberFormat="1" applyFont="1" applyBorder="1" applyAlignment="1">
      <alignment horizontal="right"/>
    </xf>
    <xf numFmtId="0" fontId="79" fillId="0" borderId="0" xfId="0" applyFont="1" applyAlignment="1">
      <alignment horizontal="right"/>
    </xf>
    <xf numFmtId="173" fontId="79" fillId="0" borderId="0" xfId="0" applyNumberFormat="1" applyFont="1" applyAlignment="1">
      <alignment horizontal="right"/>
    </xf>
    <xf numFmtId="200" fontId="79" fillId="0" borderId="0" xfId="63" applyNumberFormat="1" applyFont="1" applyBorder="1" applyAlignment="1">
      <alignment horizontal="right"/>
    </xf>
    <xf numFmtId="177" fontId="77" fillId="15" borderId="0" xfId="58" applyFont="1" applyFill="1"/>
    <xf numFmtId="177" fontId="78" fillId="16" borderId="0" xfId="58" applyFont="1" applyFill="1" applyAlignment="1">
      <alignment horizontal="left"/>
    </xf>
    <xf numFmtId="0" fontId="86" fillId="0" borderId="0" xfId="61" applyFont="1" applyBorder="1"/>
    <xf numFmtId="0" fontId="86" fillId="0" borderId="0" xfId="61" applyFont="1"/>
    <xf numFmtId="0" fontId="77" fillId="28" borderId="0" xfId="0" applyFont="1" applyFill="1"/>
    <xf numFmtId="0" fontId="78" fillId="16" borderId="0" xfId="0" applyFont="1" applyFill="1"/>
    <xf numFmtId="3" fontId="77" fillId="24" borderId="0" xfId="0" applyNumberFormat="1" applyFont="1" applyFill="1"/>
    <xf numFmtId="3" fontId="86" fillId="0" borderId="0" xfId="0" applyNumberFormat="1" applyFont="1"/>
    <xf numFmtId="0" fontId="87" fillId="0" borderId="0" xfId="61" applyFont="1"/>
    <xf numFmtId="0" fontId="87" fillId="0" borderId="0" xfId="0" applyFont="1"/>
    <xf numFmtId="0" fontId="77" fillId="28" borderId="0" xfId="61" applyFont="1" applyFill="1"/>
    <xf numFmtId="175" fontId="77" fillId="0" borderId="0" xfId="61" applyNumberFormat="1" applyFont="1"/>
    <xf numFmtId="0" fontId="77" fillId="30" borderId="0" xfId="0" applyFont="1" applyFill="1"/>
    <xf numFmtId="0" fontId="77" fillId="21" borderId="0" xfId="61" applyFont="1" applyFill="1"/>
    <xf numFmtId="0" fontId="77" fillId="21" borderId="0" xfId="0" applyFont="1" applyFill="1"/>
    <xf numFmtId="0" fontId="78" fillId="0" borderId="0" xfId="0" applyFont="1"/>
    <xf numFmtId="3" fontId="87" fillId="0" borderId="0" xfId="0" applyNumberFormat="1" applyFont="1"/>
    <xf numFmtId="0" fontId="86" fillId="0" borderId="0" xfId="0" applyFont="1"/>
    <xf numFmtId="0" fontId="88" fillId="0" borderId="0" xfId="0" applyFont="1"/>
    <xf numFmtId="0" fontId="78" fillId="16" borderId="0" xfId="61" applyFont="1" applyFill="1"/>
    <xf numFmtId="0" fontId="77" fillId="0" borderId="16" xfId="61" applyFont="1" applyBorder="1"/>
    <xf numFmtId="0" fontId="78" fillId="0" borderId="0" xfId="61" applyFont="1" applyBorder="1"/>
    <xf numFmtId="213" fontId="79" fillId="0" borderId="0" xfId="63" applyNumberFormat="1" applyFont="1" applyBorder="1" applyAlignment="1">
      <alignment horizontal="right"/>
    </xf>
    <xf numFmtId="0" fontId="82" fillId="41" borderId="0" xfId="63" applyFont="1" applyFill="1" applyBorder="1"/>
    <xf numFmtId="192" fontId="82" fillId="41" borderId="0" xfId="63" applyNumberFormat="1" applyFont="1" applyFill="1" applyBorder="1" applyAlignment="1">
      <alignment horizontal="right"/>
    </xf>
    <xf numFmtId="173" fontId="82" fillId="0" borderId="0" xfId="63" applyNumberFormat="1" applyFont="1" applyBorder="1" applyAlignment="1">
      <alignment horizontal="right"/>
    </xf>
    <xf numFmtId="196" fontId="82" fillId="0" borderId="0" xfId="63" applyNumberFormat="1" applyFont="1" applyBorder="1" applyAlignment="1">
      <alignment horizontal="right"/>
    </xf>
    <xf numFmtId="173" fontId="82" fillId="41" borderId="0" xfId="63" applyNumberFormat="1" applyFont="1" applyFill="1" applyBorder="1" applyAlignment="1">
      <alignment horizontal="right"/>
    </xf>
    <xf numFmtId="196" fontId="82" fillId="41" borderId="0" xfId="63" applyNumberFormat="1" applyFont="1" applyFill="1" applyBorder="1" applyAlignment="1">
      <alignment horizontal="right"/>
    </xf>
    <xf numFmtId="0" fontId="79" fillId="0" borderId="46" xfId="63" applyFont="1" applyBorder="1"/>
    <xf numFmtId="173" fontId="79" fillId="0" borderId="46" xfId="63" applyNumberFormat="1" applyFont="1" applyBorder="1" applyAlignment="1">
      <alignment horizontal="right"/>
    </xf>
    <xf numFmtId="196" fontId="79" fillId="0" borderId="46" xfId="63" applyNumberFormat="1" applyFont="1" applyBorder="1" applyAlignment="1">
      <alignment horizontal="right"/>
    </xf>
    <xf numFmtId="0" fontId="89" fillId="0" borderId="0" xfId="63" applyFont="1" applyBorder="1"/>
    <xf numFmtId="0" fontId="90" fillId="0" borderId="0" xfId="63" applyFont="1" applyBorder="1"/>
    <xf numFmtId="0" fontId="89" fillId="0" borderId="0" xfId="0" applyFont="1"/>
    <xf numFmtId="9" fontId="79" fillId="0" borderId="0" xfId="63" applyNumberFormat="1" applyFont="1" applyBorder="1" applyAlignment="1">
      <alignment horizontal="right"/>
    </xf>
    <xf numFmtId="0" fontId="85" fillId="34" borderId="0" xfId="63" applyFont="1" applyFill="1" applyBorder="1"/>
    <xf numFmtId="173" fontId="85" fillId="34" borderId="0" xfId="63" applyNumberFormat="1" applyFont="1" applyFill="1" applyBorder="1" applyAlignment="1">
      <alignment horizontal="right"/>
    </xf>
    <xf numFmtId="0" fontId="82" fillId="0" borderId="46" xfId="63" applyFont="1" applyBorder="1"/>
    <xf numFmtId="173" fontId="82" fillId="0" borderId="46" xfId="63" applyNumberFormat="1" applyFont="1" applyBorder="1" applyAlignment="1">
      <alignment horizontal="right"/>
    </xf>
    <xf numFmtId="196" fontId="82" fillId="0" borderId="46" xfId="63" applyNumberFormat="1" applyFont="1" applyBorder="1" applyAlignment="1">
      <alignment horizontal="right"/>
    </xf>
    <xf numFmtId="0" fontId="89" fillId="0" borderId="0" xfId="63" applyFont="1"/>
    <xf numFmtId="0" fontId="89" fillId="15" borderId="0" xfId="63" applyFont="1" applyFill="1"/>
    <xf numFmtId="9" fontId="79" fillId="0" borderId="0" xfId="67" applyFont="1" applyFill="1" applyBorder="1" applyAlignment="1">
      <alignment horizontal="right"/>
    </xf>
    <xf numFmtId="9" fontId="83" fillId="0" borderId="0" xfId="67" applyFont="1" applyFill="1" applyBorder="1" applyAlignment="1">
      <alignment horizontal="right"/>
    </xf>
    <xf numFmtId="9" fontId="79" fillId="0" borderId="46" xfId="63" applyNumberFormat="1" applyFont="1" applyBorder="1"/>
    <xf numFmtId="9" fontId="79" fillId="0" borderId="46" xfId="63" applyNumberFormat="1" applyFont="1" applyBorder="1" applyAlignment="1">
      <alignment horizontal="right"/>
    </xf>
    <xf numFmtId="173" fontId="61" fillId="0" borderId="0" xfId="57" applyNumberFormat="1" applyFont="1" applyAlignment="1" applyProtection="1">
      <alignment horizontal="right"/>
      <protection locked="0"/>
    </xf>
    <xf numFmtId="173" fontId="76" fillId="0" borderId="0" xfId="60" applyNumberFormat="1" applyFont="1" applyBorder="1" applyAlignment="1">
      <alignment horizontal="right"/>
    </xf>
    <xf numFmtId="173" fontId="1" fillId="0" borderId="0" xfId="60" applyNumberFormat="1" applyFont="1" applyBorder="1" applyAlignment="1">
      <alignment horizontal="right"/>
    </xf>
    <xf numFmtId="4" fontId="1" fillId="0" borderId="0" xfId="57" applyNumberFormat="1" applyFont="1" applyAlignment="1">
      <alignment horizontal="right"/>
    </xf>
    <xf numFmtId="173" fontId="61" fillId="0" borderId="32" xfId="57" applyNumberFormat="1" applyFont="1" applyBorder="1" applyAlignment="1" applyProtection="1">
      <alignment horizontal="right"/>
      <protection locked="0"/>
    </xf>
    <xf numFmtId="173" fontId="76" fillId="0" borderId="32" xfId="60" applyNumberFormat="1" applyFont="1" applyBorder="1" applyAlignment="1">
      <alignment horizontal="right"/>
    </xf>
    <xf numFmtId="173" fontId="75" fillId="0" borderId="32" xfId="57" applyNumberFormat="1" applyFont="1" applyBorder="1" applyAlignment="1" applyProtection="1">
      <alignment horizontal="right"/>
      <protection locked="0"/>
    </xf>
    <xf numFmtId="4" fontId="1" fillId="0" borderId="32" xfId="57" applyNumberFormat="1" applyFont="1" applyBorder="1" applyAlignment="1">
      <alignment horizontal="right"/>
    </xf>
    <xf numFmtId="9" fontId="3" fillId="0" borderId="32" xfId="67" applyFont="1" applyFill="1" applyBorder="1" applyAlignment="1" applyProtection="1">
      <alignment horizontal="right"/>
      <protection locked="0"/>
    </xf>
    <xf numFmtId="173" fontId="1" fillId="0" borderId="32" xfId="60" applyNumberFormat="1" applyFont="1" applyBorder="1" applyAlignment="1">
      <alignment horizontal="right"/>
    </xf>
    <xf numFmtId="0" fontId="1" fillId="0" borderId="0" xfId="57" applyFont="1" applyAlignment="1">
      <alignment horizontal="center"/>
    </xf>
    <xf numFmtId="173" fontId="1" fillId="0" borderId="28" xfId="57" applyNumberFormat="1" applyFont="1" applyBorder="1" applyAlignment="1">
      <alignment horizontal="right"/>
    </xf>
    <xf numFmtId="173" fontId="1" fillId="0" borderId="26" xfId="60" applyNumberFormat="1" applyFont="1" applyBorder="1" applyAlignment="1">
      <alignment horizontal="right"/>
    </xf>
    <xf numFmtId="173" fontId="1" fillId="0" borderId="29" xfId="57" applyNumberFormat="1" applyFont="1" applyBorder="1" applyAlignment="1">
      <alignment horizontal="right"/>
    </xf>
    <xf numFmtId="173" fontId="64" fillId="0" borderId="29" xfId="57" applyNumberFormat="1" applyFont="1" applyBorder="1" applyAlignment="1">
      <alignment horizontal="right"/>
    </xf>
    <xf numFmtId="173" fontId="64" fillId="0" borderId="26" xfId="60" applyNumberFormat="1" applyFont="1" applyBorder="1" applyAlignment="1">
      <alignment horizontal="right"/>
    </xf>
    <xf numFmtId="180" fontId="64" fillId="0" borderId="28" xfId="60" applyNumberFormat="1" applyFont="1" applyBorder="1" applyAlignment="1">
      <alignment horizontal="right"/>
    </xf>
    <xf numFmtId="173" fontId="3" fillId="0" borderId="25" xfId="60" applyNumberFormat="1" applyFont="1" applyBorder="1" applyAlignment="1">
      <alignment horizontal="right"/>
    </xf>
    <xf numFmtId="173" fontId="61" fillId="0" borderId="25" xfId="60" applyNumberFormat="1" applyFont="1" applyBorder="1" applyAlignment="1">
      <alignment horizontal="right"/>
    </xf>
    <xf numFmtId="0" fontId="3" fillId="0" borderId="22" xfId="57" applyFont="1" applyBorder="1" applyAlignment="1">
      <alignment horizontal="left"/>
    </xf>
    <xf numFmtId="0" fontId="3" fillId="0" borderId="22" xfId="57" applyFont="1" applyBorder="1" applyAlignment="1">
      <alignment horizontal="center"/>
    </xf>
    <xf numFmtId="173" fontId="3" fillId="0" borderId="22" xfId="57" applyNumberFormat="1" applyFont="1" applyBorder="1" applyAlignment="1">
      <alignment horizontal="right"/>
    </xf>
    <xf numFmtId="173" fontId="3" fillId="0" borderId="33" xfId="57" applyNumberFormat="1" applyFont="1" applyBorder="1" applyAlignment="1">
      <alignment horizontal="right"/>
    </xf>
    <xf numFmtId="0" fontId="3" fillId="0" borderId="22" xfId="0" applyFont="1" applyBorder="1"/>
    <xf numFmtId="173" fontId="3" fillId="0" borderId="47" xfId="57" applyNumberFormat="1" applyFont="1" applyBorder="1" applyAlignment="1">
      <alignment horizontal="right"/>
    </xf>
    <xf numFmtId="173" fontId="3" fillId="0" borderId="48" xfId="60" applyNumberFormat="1" applyFont="1" applyBorder="1" applyAlignment="1">
      <alignment horizontal="right"/>
    </xf>
    <xf numFmtId="173" fontId="3" fillId="0" borderId="49" xfId="57" applyNumberFormat="1" applyFont="1" applyBorder="1" applyAlignment="1">
      <alignment horizontal="right"/>
    </xf>
    <xf numFmtId="173" fontId="61" fillId="0" borderId="49" xfId="57" applyNumberFormat="1" applyFont="1" applyBorder="1" applyAlignment="1">
      <alignment horizontal="right"/>
    </xf>
    <xf numFmtId="173" fontId="61" fillId="0" borderId="48" xfId="60" applyNumberFormat="1" applyFont="1" applyBorder="1" applyAlignment="1">
      <alignment horizontal="right"/>
    </xf>
    <xf numFmtId="173" fontId="3" fillId="0" borderId="47" xfId="60" applyNumberFormat="1" applyFont="1" applyBorder="1" applyAlignment="1">
      <alignment horizontal="right"/>
    </xf>
    <xf numFmtId="173" fontId="3" fillId="0" borderId="33" xfId="60" applyNumberFormat="1" applyFont="1" applyBorder="1" applyAlignment="1">
      <alignment horizontal="right"/>
    </xf>
    <xf numFmtId="173" fontId="3" fillId="0" borderId="22" xfId="60" applyNumberFormat="1" applyFont="1" applyBorder="1" applyAlignment="1">
      <alignment horizontal="right"/>
    </xf>
    <xf numFmtId="173" fontId="61" fillId="0" borderId="22" xfId="60" applyNumberFormat="1" applyFont="1" applyBorder="1" applyAlignment="1">
      <alignment horizontal="right"/>
    </xf>
    <xf numFmtId="180" fontId="1" fillId="0" borderId="21" xfId="57" applyNumberFormat="1" applyFont="1" applyBorder="1" applyAlignment="1">
      <alignment horizontal="right"/>
    </xf>
    <xf numFmtId="170" fontId="1" fillId="0" borderId="0" xfId="60" applyNumberFormat="1" applyFont="1" applyBorder="1" applyAlignment="1">
      <alignment horizontal="right"/>
    </xf>
    <xf numFmtId="165" fontId="3" fillId="0" borderId="0" xfId="60" applyNumberFormat="1" applyFont="1" applyBorder="1" applyAlignment="1">
      <alignment horizontal="right"/>
    </xf>
    <xf numFmtId="173" fontId="1" fillId="0" borderId="0" xfId="57" quotePrefix="1" applyNumberFormat="1" applyFont="1" applyAlignment="1" applyProtection="1">
      <alignment horizontal="right"/>
      <protection locked="0"/>
    </xf>
    <xf numFmtId="9" fontId="3" fillId="0" borderId="0" xfId="57" quotePrefix="1" applyNumberFormat="1" applyFont="1" applyAlignment="1" applyProtection="1">
      <alignment horizontal="right"/>
      <protection locked="0"/>
    </xf>
    <xf numFmtId="172" fontId="3" fillId="0" borderId="0" xfId="57" quotePrefix="1" applyNumberFormat="1" applyFont="1" applyAlignment="1">
      <alignment horizontal="right"/>
    </xf>
    <xf numFmtId="172" fontId="3" fillId="0" borderId="32" xfId="57" quotePrefix="1" applyNumberFormat="1" applyFont="1" applyBorder="1" applyAlignment="1" applyProtection="1">
      <alignment horizontal="right"/>
      <protection locked="0"/>
    </xf>
    <xf numFmtId="173" fontId="72" fillId="29" borderId="11" xfId="57" quotePrefix="1" applyNumberFormat="1" applyFont="1" applyFill="1" applyBorder="1" applyAlignment="1" applyProtection="1">
      <alignment horizontal="right"/>
      <protection locked="0"/>
    </xf>
    <xf numFmtId="15" fontId="3" fillId="0" borderId="14" xfId="57" quotePrefix="1" applyNumberFormat="1" applyFont="1" applyBorder="1" applyAlignment="1" applyProtection="1">
      <alignment horizontal="center"/>
      <protection locked="0"/>
    </xf>
    <xf numFmtId="173" fontId="1" fillId="0" borderId="28" xfId="57" applyNumberFormat="1" applyFont="1" applyBorder="1" applyAlignment="1" applyProtection="1">
      <alignment horizontal="right"/>
      <protection locked="0"/>
    </xf>
    <xf numFmtId="173" fontId="1" fillId="0" borderId="26" xfId="57" applyNumberFormat="1" applyFont="1" applyBorder="1" applyAlignment="1" applyProtection="1">
      <alignment horizontal="right"/>
      <protection locked="0"/>
    </xf>
    <xf numFmtId="173" fontId="1" fillId="0" borderId="29" xfId="57" applyNumberFormat="1" applyFont="1" applyBorder="1" applyAlignment="1" applyProtection="1">
      <alignment horizontal="right"/>
      <protection locked="0"/>
    </xf>
    <xf numFmtId="173" fontId="64" fillId="0" borderId="29" xfId="57" applyNumberFormat="1" applyFont="1" applyBorder="1" applyAlignment="1" applyProtection="1">
      <alignment horizontal="right"/>
      <protection locked="0"/>
    </xf>
    <xf numFmtId="173" fontId="64" fillId="0" borderId="26" xfId="57" applyNumberFormat="1" applyFont="1" applyBorder="1" applyAlignment="1" applyProtection="1">
      <alignment horizontal="right"/>
      <protection locked="0"/>
    </xf>
    <xf numFmtId="49" fontId="1" fillId="0" borderId="0" xfId="57" applyNumberFormat="1" applyFont="1" applyAlignment="1">
      <alignment horizontal="left"/>
    </xf>
    <xf numFmtId="0" fontId="1" fillId="29" borderId="0" xfId="57" applyFont="1" applyFill="1" applyAlignment="1">
      <alignment horizontal="center"/>
    </xf>
    <xf numFmtId="173" fontId="76" fillId="0" borderId="0" xfId="57" quotePrefix="1" applyNumberFormat="1" applyFont="1" applyAlignment="1">
      <alignment horizontal="right"/>
    </xf>
    <xf numFmtId="173" fontId="76" fillId="0" borderId="32" xfId="57" quotePrefix="1" applyNumberFormat="1" applyFont="1" applyBorder="1" applyAlignment="1">
      <alignment horizontal="right"/>
    </xf>
    <xf numFmtId="0" fontId="1" fillId="0" borderId="0" xfId="57" quotePrefix="1" applyFont="1" applyAlignment="1">
      <alignment horizontal="left"/>
    </xf>
    <xf numFmtId="173" fontId="1" fillId="0" borderId="39" xfId="57" applyNumberFormat="1" applyFont="1" applyBorder="1" applyAlignment="1" applyProtection="1">
      <alignment horizontal="right"/>
      <protection locked="0"/>
    </xf>
    <xf numFmtId="173" fontId="3" fillId="0" borderId="50" xfId="60" applyNumberFormat="1" applyFont="1" applyBorder="1" applyAlignment="1">
      <alignment horizontal="right"/>
    </xf>
    <xf numFmtId="173" fontId="3" fillId="0" borderId="51" xfId="57" applyNumberFormat="1" applyFont="1" applyBorder="1" applyAlignment="1">
      <alignment horizontal="right"/>
    </xf>
    <xf numFmtId="173" fontId="3" fillId="0" borderId="52" xfId="57" applyNumberFormat="1" applyFont="1" applyBorder="1" applyAlignment="1">
      <alignment horizontal="right"/>
    </xf>
    <xf numFmtId="173" fontId="3" fillId="0" borderId="53" xfId="57" applyNumberFormat="1" applyFont="1" applyBorder="1" applyAlignment="1">
      <alignment horizontal="right"/>
    </xf>
    <xf numFmtId="173" fontId="3" fillId="0" borderId="54" xfId="57" applyNumberFormat="1" applyFont="1" applyBorder="1" applyAlignment="1">
      <alignment horizontal="right"/>
    </xf>
    <xf numFmtId="173" fontId="61" fillId="0" borderId="54" xfId="57" applyNumberFormat="1" applyFont="1" applyBorder="1" applyAlignment="1">
      <alignment horizontal="right"/>
    </xf>
    <xf numFmtId="173" fontId="61" fillId="0" borderId="53" xfId="57" applyNumberFormat="1" applyFont="1" applyBorder="1" applyAlignment="1">
      <alignment horizontal="right"/>
    </xf>
    <xf numFmtId="173" fontId="61" fillId="0" borderId="51" xfId="57" applyNumberFormat="1" applyFont="1" applyBorder="1" applyAlignment="1">
      <alignment horizontal="right"/>
    </xf>
    <xf numFmtId="173" fontId="75" fillId="0" borderId="55" xfId="57" applyNumberFormat="1" applyFont="1" applyBorder="1" applyAlignment="1">
      <alignment horizontal="right"/>
    </xf>
    <xf numFmtId="173" fontId="75" fillId="0" borderId="22" xfId="57" applyNumberFormat="1" applyFont="1" applyBorder="1" applyAlignment="1">
      <alignment horizontal="right"/>
    </xf>
    <xf numFmtId="173" fontId="75" fillId="0" borderId="33" xfId="57" applyNumberFormat="1" applyFont="1" applyBorder="1" applyAlignment="1">
      <alignment horizontal="right"/>
    </xf>
    <xf numFmtId="173" fontId="61" fillId="0" borderId="22" xfId="57" applyNumberFormat="1" applyFont="1" applyBorder="1" applyAlignment="1">
      <alignment horizontal="right"/>
    </xf>
    <xf numFmtId="171" fontId="1" fillId="0" borderId="0" xfId="57" applyNumberFormat="1" applyFont="1" applyAlignment="1">
      <alignment horizontal="right"/>
    </xf>
    <xf numFmtId="171" fontId="3" fillId="0" borderId="22" xfId="57" applyNumberFormat="1" applyFont="1" applyBorder="1" applyAlignment="1">
      <alignment horizontal="right"/>
    </xf>
    <xf numFmtId="180" fontId="1" fillId="0" borderId="0" xfId="57" applyNumberFormat="1" applyFont="1" applyAlignment="1">
      <alignment horizontal="right"/>
    </xf>
    <xf numFmtId="0" fontId="3" fillId="0" borderId="22" xfId="57" quotePrefix="1" applyFont="1" applyBorder="1" applyAlignment="1">
      <alignment horizontal="left"/>
    </xf>
    <xf numFmtId="173" fontId="61" fillId="0" borderId="47" xfId="57" applyNumberFormat="1" applyFont="1" applyBorder="1" applyAlignment="1">
      <alignment horizontal="right"/>
    </xf>
    <xf numFmtId="173" fontId="3" fillId="0" borderId="48" xfId="57" applyNumberFormat="1" applyFont="1" applyBorder="1" applyAlignment="1">
      <alignment horizontal="right"/>
    </xf>
    <xf numFmtId="173" fontId="61" fillId="0" borderId="48" xfId="57" applyNumberFormat="1" applyFont="1" applyBorder="1" applyAlignment="1">
      <alignment horizontal="right"/>
    </xf>
    <xf numFmtId="173" fontId="75" fillId="0" borderId="50" xfId="57" applyNumberFormat="1" applyFont="1" applyBorder="1" applyAlignment="1">
      <alignment horizontal="right"/>
    </xf>
    <xf numFmtId="173" fontId="3" fillId="0" borderId="22" xfId="57" applyNumberFormat="1" applyFont="1" applyBorder="1" applyAlignment="1" applyProtection="1">
      <alignment horizontal="right"/>
      <protection locked="0"/>
    </xf>
    <xf numFmtId="173" fontId="3" fillId="0" borderId="33" xfId="57" applyNumberFormat="1" applyFont="1" applyBorder="1" applyAlignment="1" applyProtection="1">
      <alignment horizontal="right"/>
      <protection locked="0"/>
    </xf>
    <xf numFmtId="170" fontId="3" fillId="0" borderId="33" xfId="67" applyNumberFormat="1" applyFont="1" applyFill="1" applyBorder="1" applyAlignment="1" applyProtection="1">
      <alignment horizontal="right"/>
      <protection locked="0"/>
    </xf>
    <xf numFmtId="173" fontId="3" fillId="0" borderId="47" xfId="57" applyNumberFormat="1" applyFont="1" applyBorder="1" applyAlignment="1" applyProtection="1">
      <alignment horizontal="right"/>
      <protection locked="0"/>
    </xf>
    <xf numFmtId="173" fontId="3" fillId="0" borderId="48" xfId="57" applyNumberFormat="1" applyFont="1" applyBorder="1" applyAlignment="1" applyProtection="1">
      <alignment horizontal="right"/>
      <protection locked="0"/>
    </xf>
    <xf numFmtId="173" fontId="3" fillId="0" borderId="49" xfId="57" applyNumberFormat="1" applyFont="1" applyBorder="1" applyAlignment="1" applyProtection="1">
      <alignment horizontal="right"/>
      <protection locked="0"/>
    </xf>
    <xf numFmtId="173" fontId="3" fillId="0" borderId="50" xfId="57" applyNumberFormat="1" applyFont="1" applyBorder="1" applyAlignment="1">
      <alignment horizontal="right"/>
    </xf>
    <xf numFmtId="173" fontId="3" fillId="0" borderId="51" xfId="57" applyNumberFormat="1" applyFont="1" applyBorder="1" applyAlignment="1" applyProtection="1">
      <alignment horizontal="right"/>
      <protection locked="0"/>
    </xf>
    <xf numFmtId="173" fontId="3" fillId="0" borderId="53" xfId="57" applyNumberFormat="1" applyFont="1" applyBorder="1" applyAlignment="1" applyProtection="1">
      <alignment horizontal="right"/>
      <protection locked="0"/>
    </xf>
    <xf numFmtId="173" fontId="3" fillId="0" borderId="54" xfId="57" applyNumberFormat="1" applyFont="1" applyBorder="1" applyAlignment="1" applyProtection="1">
      <alignment horizontal="right"/>
      <protection locked="0"/>
    </xf>
    <xf numFmtId="173" fontId="61" fillId="0" borderId="53" xfId="57" applyNumberFormat="1" applyFont="1" applyBorder="1" applyAlignment="1" applyProtection="1">
      <alignment horizontal="right"/>
      <protection locked="0"/>
    </xf>
    <xf numFmtId="173" fontId="1" fillId="29" borderId="20" xfId="57" quotePrefix="1" applyNumberFormat="1" applyFont="1" applyFill="1" applyBorder="1" applyAlignment="1">
      <alignment horizontal="right"/>
    </xf>
    <xf numFmtId="173" fontId="1" fillId="29" borderId="0" xfId="57" applyNumberFormat="1" applyFont="1" applyFill="1" applyAlignment="1">
      <alignment horizontal="right"/>
    </xf>
    <xf numFmtId="173" fontId="1" fillId="29" borderId="18" xfId="57" quotePrefix="1" applyNumberFormat="1" applyFont="1" applyFill="1" applyBorder="1" applyAlignment="1">
      <alignment horizontal="right"/>
    </xf>
    <xf numFmtId="173" fontId="1" fillId="29" borderId="25" xfId="57" quotePrefix="1" applyNumberFormat="1" applyFont="1" applyFill="1" applyBorder="1" applyAlignment="1">
      <alignment horizontal="right"/>
    </xf>
    <xf numFmtId="173" fontId="64" fillId="29" borderId="25" xfId="57" quotePrefix="1" applyNumberFormat="1" applyFont="1" applyFill="1" applyBorder="1" applyAlignment="1">
      <alignment horizontal="right"/>
    </xf>
    <xf numFmtId="173" fontId="64" fillId="29" borderId="18" xfId="57" quotePrefix="1" applyNumberFormat="1" applyFont="1" applyFill="1" applyBorder="1" applyAlignment="1">
      <alignment horizontal="right"/>
    </xf>
    <xf numFmtId="173" fontId="64" fillId="29" borderId="20" xfId="57" quotePrefix="1" applyNumberFormat="1" applyFont="1" applyFill="1" applyBorder="1" applyAlignment="1">
      <alignment horizontal="right"/>
    </xf>
    <xf numFmtId="173" fontId="76" fillId="0" borderId="44" xfId="57" quotePrefix="1" applyNumberFormat="1" applyFont="1" applyBorder="1" applyAlignment="1">
      <alignment horizontal="right"/>
    </xf>
    <xf numFmtId="49" fontId="3" fillId="0" borderId="22" xfId="57" applyNumberFormat="1" applyFont="1" applyBorder="1" applyAlignment="1">
      <alignment horizontal="left"/>
    </xf>
    <xf numFmtId="173" fontId="61" fillId="0" borderId="54" xfId="57" applyNumberFormat="1" applyFont="1" applyBorder="1" applyAlignment="1" applyProtection="1">
      <alignment horizontal="right"/>
      <protection locked="0"/>
    </xf>
    <xf numFmtId="173" fontId="61" fillId="0" borderId="48" xfId="57" applyNumberFormat="1" applyFont="1" applyBorder="1" applyAlignment="1" applyProtection="1">
      <alignment horizontal="right"/>
      <protection locked="0"/>
    </xf>
    <xf numFmtId="173" fontId="61" fillId="0" borderId="49" xfId="57" applyNumberFormat="1" applyFont="1" applyBorder="1" applyAlignment="1" applyProtection="1">
      <alignment horizontal="right"/>
      <protection locked="0"/>
    </xf>
    <xf numFmtId="173" fontId="3" fillId="0" borderId="50" xfId="57" applyNumberFormat="1" applyFont="1" applyBorder="1" applyAlignment="1" applyProtection="1">
      <alignment horizontal="right"/>
      <protection locked="0"/>
    </xf>
    <xf numFmtId="175" fontId="75" fillId="0" borderId="32" xfId="61" applyNumberFormat="1" applyFont="1" applyBorder="1"/>
    <xf numFmtId="172" fontId="75" fillId="0" borderId="32" xfId="61" applyNumberFormat="1" applyFont="1" applyBorder="1"/>
    <xf numFmtId="2" fontId="75" fillId="0" borderId="32" xfId="61" applyNumberFormat="1" applyFont="1" applyBorder="1"/>
    <xf numFmtId="2" fontId="9" fillId="35" borderId="0" xfId="61" applyNumberFormat="1" applyFont="1" applyFill="1"/>
    <xf numFmtId="172" fontId="7" fillId="35" borderId="32" xfId="61" applyNumberFormat="1" applyFont="1" applyFill="1" applyBorder="1"/>
    <xf numFmtId="2" fontId="9" fillId="35" borderId="0" xfId="61" applyNumberFormat="1" applyFont="1" applyFill="1" applyBorder="1"/>
    <xf numFmtId="172" fontId="3" fillId="35" borderId="32" xfId="61" applyNumberFormat="1" applyFont="1" applyFill="1" applyBorder="1"/>
    <xf numFmtId="2" fontId="75" fillId="36" borderId="0" xfId="0" applyNumberFormat="1" applyFont="1" applyFill="1"/>
    <xf numFmtId="170" fontId="63" fillId="0" borderId="0" xfId="61" applyNumberFormat="1" applyFont="1" applyBorder="1"/>
    <xf numFmtId="3" fontId="75" fillId="0" borderId="0" xfId="61" applyNumberFormat="1" applyFont="1" applyBorder="1"/>
    <xf numFmtId="3" fontId="3" fillId="0" borderId="0" xfId="57" applyNumberFormat="1" applyFont="1"/>
    <xf numFmtId="0" fontId="75" fillId="0" borderId="32" xfId="0" applyFont="1" applyBorder="1"/>
    <xf numFmtId="0" fontId="75" fillId="0" borderId="0" xfId="0" applyFont="1"/>
    <xf numFmtId="173" fontId="76" fillId="0" borderId="0" xfId="57" applyNumberFormat="1" applyFont="1" applyAlignment="1">
      <alignment horizontal="right"/>
    </xf>
    <xf numFmtId="0" fontId="91" fillId="34" borderId="0" xfId="0" applyFont="1" applyFill="1"/>
    <xf numFmtId="0" fontId="92" fillId="34" borderId="0" xfId="0" applyFont="1" applyFill="1" applyAlignment="1">
      <alignment horizontal="right"/>
    </xf>
    <xf numFmtId="0" fontId="94" fillId="41" borderId="0" xfId="62" applyFont="1" applyFill="1"/>
    <xf numFmtId="170" fontId="94" fillId="41" borderId="0" xfId="0" applyNumberFormat="1" applyFont="1" applyFill="1" applyAlignment="1">
      <alignment horizontal="right"/>
    </xf>
    <xf numFmtId="0" fontId="91" fillId="34" borderId="0" xfId="62" applyFont="1" applyFill="1"/>
    <xf numFmtId="0" fontId="91" fillId="34" borderId="0" xfId="0" applyFont="1" applyFill="1" applyAlignment="1">
      <alignment horizontal="right"/>
    </xf>
    <xf numFmtId="0" fontId="94" fillId="41" borderId="0" xfId="0" applyFont="1" applyFill="1"/>
    <xf numFmtId="3" fontId="94" fillId="41" borderId="0" xfId="0" applyNumberFormat="1" applyFont="1" applyFill="1" applyAlignment="1">
      <alignment horizontal="right"/>
    </xf>
    <xf numFmtId="0" fontId="94" fillId="42" borderId="12" xfId="0" applyFont="1" applyFill="1" applyBorder="1"/>
    <xf numFmtId="3" fontId="94" fillId="42" borderId="12" xfId="0" applyNumberFormat="1" applyFont="1" applyFill="1" applyBorder="1" applyAlignment="1">
      <alignment horizontal="right"/>
    </xf>
    <xf numFmtId="0" fontId="95" fillId="34" borderId="0" xfId="0" applyFont="1" applyFill="1"/>
    <xf numFmtId="0" fontId="95" fillId="34" borderId="0" xfId="0" applyFont="1" applyFill="1" applyAlignment="1">
      <alignment horizontal="right"/>
    </xf>
    <xf numFmtId="0" fontId="96" fillId="0" borderId="0" xfId="0" applyFont="1"/>
    <xf numFmtId="208" fontId="96" fillId="0" borderId="0" xfId="0" applyNumberFormat="1" applyFont="1"/>
    <xf numFmtId="0" fontId="96" fillId="41" borderId="0" xfId="0" applyFont="1" applyFill="1"/>
    <xf numFmtId="216" fontId="96" fillId="41" borderId="0" xfId="0" applyNumberFormat="1" applyFont="1" applyFill="1" applyAlignment="1">
      <alignment horizontal="right"/>
    </xf>
    <xf numFmtId="208" fontId="96" fillId="41" borderId="0" xfId="0" applyNumberFormat="1" applyFont="1" applyFill="1"/>
    <xf numFmtId="0" fontId="96" fillId="0" borderId="22" xfId="0" applyFont="1" applyBorder="1"/>
    <xf numFmtId="208" fontId="96" fillId="0" borderId="22" xfId="0" applyNumberFormat="1" applyFont="1" applyBorder="1"/>
    <xf numFmtId="0" fontId="97" fillId="42" borderId="0" xfId="0" applyFont="1" applyFill="1"/>
    <xf numFmtId="216" fontId="97" fillId="42" borderId="0" xfId="0" applyNumberFormat="1" applyFont="1" applyFill="1"/>
    <xf numFmtId="208" fontId="96" fillId="42" borderId="0" xfId="0" applyNumberFormat="1" applyFont="1" applyFill="1"/>
    <xf numFmtId="216" fontId="96" fillId="0" borderId="0" xfId="0" applyNumberFormat="1" applyFont="1"/>
    <xf numFmtId="0" fontId="97" fillId="0" borderId="22" xfId="0" applyFont="1" applyBorder="1"/>
    <xf numFmtId="9" fontId="97" fillId="0" borderId="22" xfId="67" applyFont="1" applyBorder="1"/>
    <xf numFmtId="0" fontId="79" fillId="0" borderId="22" xfId="63" applyFont="1" applyBorder="1"/>
    <xf numFmtId="196" fontId="79" fillId="0" borderId="22" xfId="63" applyNumberFormat="1" applyFont="1" applyBorder="1" applyAlignment="1">
      <alignment horizontal="right"/>
    </xf>
    <xf numFmtId="0" fontId="79" fillId="15" borderId="22" xfId="63" applyFont="1" applyFill="1" applyBorder="1"/>
    <xf numFmtId="0" fontId="93" fillId="0" borderId="0" xfId="0" applyFont="1" applyAlignment="1">
      <alignment horizontal="right"/>
    </xf>
    <xf numFmtId="0" fontId="93" fillId="0" borderId="0" xfId="0" applyFont="1"/>
    <xf numFmtId="0" fontId="93" fillId="0" borderId="0" xfId="62" applyFont="1"/>
    <xf numFmtId="170" fontId="93" fillId="0" borderId="0" xfId="0" applyNumberFormat="1" applyFont="1" applyAlignment="1">
      <alignment horizontal="right"/>
    </xf>
    <xf numFmtId="0" fontId="93" fillId="0" borderId="22" xfId="62" applyFont="1" applyBorder="1"/>
    <xf numFmtId="2" fontId="93" fillId="0" borderId="22" xfId="0" applyNumberFormat="1" applyFont="1" applyBorder="1" applyAlignment="1">
      <alignment horizontal="right"/>
    </xf>
    <xf numFmtId="3" fontId="93" fillId="0" borderId="0" xfId="0" applyNumberFormat="1" applyFont="1" applyAlignment="1">
      <alignment horizontal="right"/>
    </xf>
    <xf numFmtId="0" fontId="93" fillId="0" borderId="22" xfId="0" applyFont="1" applyBorder="1"/>
    <xf numFmtId="3" fontId="93" fillId="0" borderId="22" xfId="0" applyNumberFormat="1" applyFont="1" applyBorder="1" applyAlignment="1">
      <alignment horizontal="right"/>
    </xf>
    <xf numFmtId="4" fontId="93" fillId="0" borderId="22" xfId="0" applyNumberFormat="1" applyFont="1" applyBorder="1" applyAlignment="1">
      <alignment horizontal="right"/>
    </xf>
    <xf numFmtId="0" fontId="94" fillId="0" borderId="0" xfId="62" applyFont="1"/>
    <xf numFmtId="0" fontId="94" fillId="0" borderId="0" xfId="0" applyFont="1"/>
    <xf numFmtId="3" fontId="94" fillId="0" borderId="0" xfId="0" applyNumberFormat="1" applyFont="1" applyAlignment="1">
      <alignment horizontal="right"/>
    </xf>
    <xf numFmtId="0" fontId="93" fillId="0" borderId="22" xfId="0" applyFont="1" applyBorder="1" applyAlignment="1">
      <alignment horizontal="right"/>
    </xf>
    <xf numFmtId="0" fontId="82" fillId="0" borderId="22" xfId="63" applyFont="1" applyBorder="1"/>
    <xf numFmtId="173" fontId="82" fillId="0" borderId="22" xfId="63" applyNumberFormat="1" applyFont="1" applyBorder="1" applyAlignment="1">
      <alignment horizontal="right"/>
    </xf>
    <xf numFmtId="196" fontId="82" fillId="0" borderId="22" xfId="63" applyNumberFormat="1" applyFont="1" applyBorder="1" applyAlignment="1">
      <alignment horizontal="right"/>
    </xf>
    <xf numFmtId="9" fontId="96" fillId="0" borderId="0" xfId="0" applyNumberFormat="1" applyFont="1" applyAlignment="1">
      <alignment horizontal="right"/>
    </xf>
    <xf numFmtId="216" fontId="96" fillId="0" borderId="0" xfId="0" applyNumberFormat="1" applyFont="1" applyAlignment="1">
      <alignment horizontal="right"/>
    </xf>
    <xf numFmtId="9" fontId="96" fillId="41" borderId="0" xfId="0" applyNumberFormat="1" applyFont="1" applyFill="1" applyAlignment="1">
      <alignment horizontal="right"/>
    </xf>
    <xf numFmtId="9" fontId="96" fillId="0" borderId="22" xfId="0" applyNumberFormat="1" applyFont="1" applyBorder="1" applyAlignment="1">
      <alignment horizontal="right"/>
    </xf>
    <xf numFmtId="216" fontId="96" fillId="0" borderId="22" xfId="0" applyNumberFormat="1" applyFont="1" applyBorder="1" applyAlignment="1">
      <alignment horizontal="right"/>
    </xf>
    <xf numFmtId="191" fontId="3" fillId="0" borderId="32" xfId="37" applyNumberFormat="1" applyFont="1" applyFill="1" applyBorder="1"/>
    <xf numFmtId="216" fontId="3" fillId="0" borderId="0" xfId="0" applyNumberFormat="1" applyFont="1"/>
    <xf numFmtId="9" fontId="93" fillId="0" borderId="0" xfId="67" applyFont="1" applyAlignment="1">
      <alignment horizontal="right"/>
    </xf>
    <xf numFmtId="173" fontId="63" fillId="0" borderId="32" xfId="61" applyNumberFormat="1" applyFont="1" applyBorder="1"/>
    <xf numFmtId="191" fontId="9" fillId="0" borderId="0" xfId="37" applyNumberFormat="1" applyFont="1"/>
    <xf numFmtId="170" fontId="7" fillId="0" borderId="32" xfId="67" applyNumberFormat="1" applyFont="1" applyBorder="1"/>
    <xf numFmtId="170" fontId="7" fillId="0" borderId="0" xfId="67" applyNumberFormat="1" applyFont="1" applyBorder="1"/>
    <xf numFmtId="0" fontId="82" fillId="0" borderId="0" xfId="0" applyFont="1"/>
    <xf numFmtId="0" fontId="82" fillId="0" borderId="0" xfId="0" applyFont="1" applyAlignment="1">
      <alignment horizontal="right"/>
    </xf>
    <xf numFmtId="170" fontId="82" fillId="0" borderId="0" xfId="67" applyNumberFormat="1" applyFont="1" applyAlignment="1">
      <alignment horizontal="right"/>
    </xf>
    <xf numFmtId="173" fontId="75" fillId="32" borderId="32" xfId="61" applyNumberFormat="1" applyFont="1" applyFill="1" applyBorder="1"/>
    <xf numFmtId="173" fontId="75" fillId="32" borderId="0" xfId="61" applyNumberFormat="1" applyFont="1" applyFill="1" applyBorder="1"/>
    <xf numFmtId="173" fontId="3" fillId="41" borderId="0" xfId="57" applyNumberFormat="1" applyFont="1" applyFill="1" applyAlignment="1">
      <alignment horizontal="right"/>
    </xf>
    <xf numFmtId="173" fontId="3" fillId="41" borderId="32" xfId="57" applyNumberFormat="1" applyFont="1" applyFill="1" applyBorder="1" applyAlignment="1">
      <alignment horizontal="right"/>
    </xf>
    <xf numFmtId="9" fontId="3" fillId="0" borderId="28" xfId="67" applyFont="1" applyBorder="1" applyAlignment="1">
      <alignment horizontal="right"/>
    </xf>
    <xf numFmtId="9" fontId="3" fillId="0" borderId="39" xfId="67" applyFont="1" applyBorder="1" applyAlignment="1">
      <alignment horizontal="right"/>
    </xf>
    <xf numFmtId="9" fontId="3" fillId="0" borderId="32" xfId="67" applyFont="1" applyBorder="1" applyAlignment="1">
      <alignment horizontal="right"/>
    </xf>
    <xf numFmtId="171" fontId="1" fillId="37" borderId="0" xfId="0" applyNumberFormat="1" applyFont="1" applyFill="1"/>
    <xf numFmtId="171" fontId="75" fillId="0" borderId="0" xfId="57" quotePrefix="1" applyNumberFormat="1" applyFont="1" applyAlignment="1">
      <alignment horizontal="right"/>
    </xf>
    <xf numFmtId="170" fontId="62" fillId="29" borderId="35" xfId="0" applyNumberFormat="1" applyFont="1" applyFill="1" applyBorder="1"/>
    <xf numFmtId="191" fontId="3" fillId="0" borderId="0" xfId="37" applyNumberFormat="1" applyFont="1" applyBorder="1"/>
    <xf numFmtId="9" fontId="62" fillId="29" borderId="35" xfId="67" applyFont="1" applyFill="1" applyBorder="1"/>
    <xf numFmtId="173" fontId="75" fillId="0" borderId="0" xfId="57" applyNumberFormat="1" applyFont="1" applyAlignment="1" applyProtection="1">
      <alignment horizontal="right"/>
      <protection locked="0"/>
    </xf>
    <xf numFmtId="168" fontId="3" fillId="0" borderId="32" xfId="37" applyFont="1" applyBorder="1" applyAlignment="1">
      <alignment horizontal="right"/>
    </xf>
    <xf numFmtId="218" fontId="3" fillId="0" borderId="0" xfId="57" applyNumberFormat="1" applyFont="1" applyAlignment="1">
      <alignment horizontal="right"/>
    </xf>
    <xf numFmtId="9" fontId="62" fillId="29" borderId="34" xfId="67" applyFont="1" applyFill="1" applyBorder="1"/>
    <xf numFmtId="9" fontId="62" fillId="29" borderId="31" xfId="67" applyFont="1" applyFill="1" applyBorder="1"/>
    <xf numFmtId="9" fontId="79" fillId="0" borderId="0" xfId="67" applyFont="1" applyBorder="1" applyAlignment="1">
      <alignment horizontal="right"/>
    </xf>
    <xf numFmtId="49" fontId="66" fillId="0" borderId="0" xfId="0" applyNumberFormat="1" applyFont="1"/>
    <xf numFmtId="49" fontId="66" fillId="0" borderId="0" xfId="0" applyNumberFormat="1" applyFont="1" applyAlignment="1"/>
    <xf numFmtId="49" fontId="98" fillId="0" borderId="0" xfId="0" applyNumberFormat="1" applyFont="1" applyAlignment="1"/>
    <xf numFmtId="49" fontId="3" fillId="0" borderId="0" xfId="0" applyNumberFormat="1" applyFont="1" applyAlignment="1"/>
    <xf numFmtId="49" fontId="99" fillId="0" borderId="0" xfId="0" applyNumberFormat="1" applyFont="1" applyAlignment="1"/>
    <xf numFmtId="49" fontId="3" fillId="0" borderId="35" xfId="0" applyNumberFormat="1" applyFont="1" applyBorder="1" applyAlignment="1"/>
    <xf numFmtId="49" fontId="3" fillId="0" borderId="35" xfId="0" applyNumberFormat="1" applyFont="1" applyBorder="1" applyAlignment="1"/>
    <xf numFmtId="49" fontId="3" fillId="0" borderId="0" xfId="0" applyNumberFormat="1" applyFont="1" applyAlignment="1">
      <alignment horizontal="left" vertical="center"/>
    </xf>
    <xf numFmtId="2" fontId="66" fillId="0" borderId="0" xfId="0" applyNumberFormat="1" applyFont="1"/>
  </cellXfs>
  <cellStyles count="79">
    <cellStyle name="******************************************" xfId="1" xr:uid="{00000000-0005-0000-0000-000000000000}"/>
    <cellStyle name="_MWA RR_1-pager " xfId="2" xr:uid="{00000000-0005-0000-0000-000001000000}"/>
    <cellStyle name="_RRS1_1_1-pager " xfId="3" xr:uid="{00000000-0005-0000-0000-000002000000}"/>
    <cellStyle name="_RRS10_1_1-pager " xfId="4" xr:uid="{00000000-0005-0000-0000-000003000000}"/>
    <cellStyle name="_SUMMARY " xfId="5" xr:uid="{00000000-0005-0000-0000-000004000000}"/>
    <cellStyle name="_SUMMARY _1-pager " xfId="6" xr:uid="{00000000-0005-0000-0000-000005000000}"/>
    <cellStyle name="0_Capex &amp; Depreciation " xfId="7" xr:uid="{00000000-0005-0000-0000-000006000000}"/>
    <cellStyle name="0_Valuing BP " xfId="8" xr:uid="{00000000-0005-0000-0000-000007000000}"/>
    <cellStyle name="20% - Accent1" xfId="9" builtinId="30" customBuiltin="1"/>
    <cellStyle name="20% - Accent2" xfId="10" builtinId="34" customBuiltin="1"/>
    <cellStyle name="20% - Accent3" xfId="11" builtinId="38" customBuiltin="1"/>
    <cellStyle name="20% - Accent4" xfId="12" builtinId="42" customBuiltin="1"/>
    <cellStyle name="20% - Accent5" xfId="13" builtinId="46" customBuiltin="1"/>
    <cellStyle name="20% - Accent6" xfId="14" builtinId="50" customBuiltin="1"/>
    <cellStyle name="40% - Accent1" xfId="15" builtinId="31" customBuiltin="1"/>
    <cellStyle name="40% - Accent2" xfId="16" builtinId="35" customBuiltin="1"/>
    <cellStyle name="40% - Accent3" xfId="17" builtinId="39" customBuiltin="1"/>
    <cellStyle name="40% - Accent4" xfId="18" builtinId="43" customBuiltin="1"/>
    <cellStyle name="40% - Accent5" xfId="19" builtinId="47" customBuiltin="1"/>
    <cellStyle name="40% - Accent6" xfId="20" builtinId="51" customBuiltin="1"/>
    <cellStyle name="60% - Accent1" xfId="21" builtinId="32" customBuiltin="1"/>
    <cellStyle name="60% - Accent2" xfId="22" builtinId="36" customBuiltin="1"/>
    <cellStyle name="60% - Accent3" xfId="23" builtinId="40" customBuiltin="1"/>
    <cellStyle name="60% - Accent4" xfId="24" builtinId="44" customBuiltin="1"/>
    <cellStyle name="60% - Accent5" xfId="25" builtinId="48" customBuiltin="1"/>
    <cellStyle name="60% - Accent6" xfId="26" builtinId="52" customBuiltin="1"/>
    <cellStyle name="Accent1" xfId="27" builtinId="29" customBuiltin="1"/>
    <cellStyle name="Accent2" xfId="28" builtinId="33" customBuiltin="1"/>
    <cellStyle name="Accent3" xfId="29" builtinId="37" customBuiltin="1"/>
    <cellStyle name="Accent4" xfId="30" builtinId="41" customBuiltin="1"/>
    <cellStyle name="Accent5" xfId="31" builtinId="45" customBuiltin="1"/>
    <cellStyle name="Accent6" xfId="32" builtinId="49" customBuiltin="1"/>
    <cellStyle name="Bad" xfId="33" builtinId="27" customBuiltin="1"/>
    <cellStyle name="c_HardInc " xfId="34" xr:uid="{00000000-0005-0000-0000-000021000000}"/>
    <cellStyle name="Calculation" xfId="35" builtinId="22" customBuiltin="1"/>
    <cellStyle name="Check Cell" xfId="36" builtinId="23" customBuiltin="1"/>
    <cellStyle name="Comma" xfId="37" builtinId="3"/>
    <cellStyle name="Comma 2" xfId="38" xr:uid="{00000000-0005-0000-0000-000025000000}"/>
    <cellStyle name="Currency 6" xfId="39" xr:uid="{00000000-0005-0000-0000-00002A000000}"/>
    <cellStyle name="Explanatory Text" xfId="40" builtinId="53" customBuiltin="1"/>
    <cellStyle name="Good" xfId="41" builtinId="26" customBuiltin="1"/>
    <cellStyle name="Heading 1" xfId="42" builtinId="16" customBuiltin="1"/>
    <cellStyle name="Heading 2" xfId="43" builtinId="17" customBuiltin="1"/>
    <cellStyle name="Heading 3" xfId="44" builtinId="18" customBuiltin="1"/>
    <cellStyle name="Heading 4" xfId="45" builtinId="19" customBuiltin="1"/>
    <cellStyle name="Hyperlink" xfId="46" builtinId="8"/>
    <cellStyle name="Input" xfId="47" builtinId="20" customBuiltin="1"/>
    <cellStyle name="Linked Cell" xfId="48" builtinId="24" customBuiltin="1"/>
    <cellStyle name="Millares_2AV_M_M " xfId="49" xr:uid="{00000000-0005-0000-0000-000034000000}"/>
    <cellStyle name="Moneda [0]_2AV_M_M " xfId="50" xr:uid="{00000000-0005-0000-0000-000035000000}"/>
    <cellStyle name="Neutral" xfId="51" builtinId="28" customBuiltin="1"/>
    <cellStyle name="Normal" xfId="0" builtinId="0"/>
    <cellStyle name="Normal - Style1" xfId="77" xr:uid="{00000000-0005-0000-0000-000038000000}"/>
    <cellStyle name="Normal 2" xfId="52" xr:uid="{00000000-0005-0000-0000-000039000000}"/>
    <cellStyle name="Normal 3" xfId="78" xr:uid="{25F5DF58-09A9-48FF-83BF-08AF03CD4585}"/>
    <cellStyle name="Normal 5" xfId="53" xr:uid="{00000000-0005-0000-0000-00003A000000}"/>
    <cellStyle name="Normal 7" xfId="54" xr:uid="{00000000-0005-0000-0000-00003B000000}"/>
    <cellStyle name="Normal 8" xfId="55" xr:uid="{00000000-0005-0000-0000-00003C000000}"/>
    <cellStyle name="Normal 9" xfId="56" xr:uid="{00000000-0005-0000-0000-00003D000000}"/>
    <cellStyle name="Normal_ACH Model" xfId="57" xr:uid="{00000000-0005-0000-0000-00003E000000}"/>
    <cellStyle name="Normal_ACH Model_Segment (2)" xfId="58" xr:uid="{00000000-0005-0000-0000-00003F000000}"/>
    <cellStyle name="Normal_FullSet_1" xfId="59" xr:uid="{00000000-0005-0000-0000-000040000000}"/>
    <cellStyle name="Normal_Model_2" xfId="60" xr:uid="{00000000-0005-0000-0000-000043000000}"/>
    <cellStyle name="Normal_Segment" xfId="61" xr:uid="{00000000-0005-0000-0000-000047000000}"/>
    <cellStyle name="Normal_srpmod" xfId="62" xr:uid="{00000000-0005-0000-0000-000049000000}"/>
    <cellStyle name="Normal_SummNew" xfId="63" xr:uid="{00000000-0005-0000-0000-00004B000000}"/>
    <cellStyle name="Note" xfId="64" builtinId="10" customBuiltin="1"/>
    <cellStyle name="Output" xfId="65" builtinId="21" customBuiltin="1"/>
    <cellStyle name="p " xfId="66" xr:uid="{00000000-0005-0000-0000-00004F000000}"/>
    <cellStyle name="Percent" xfId="67" builtinId="5"/>
    <cellStyle name="Percent 2 2" xfId="68" xr:uid="{00000000-0005-0000-0000-000051000000}"/>
    <cellStyle name="Percent 3" xfId="69" xr:uid="{00000000-0005-0000-0000-000052000000}"/>
    <cellStyle name="s_HardInc " xfId="70" xr:uid="{00000000-0005-0000-0000-000053000000}"/>
    <cellStyle name="s_Valuation " xfId="71" xr:uid="{00000000-0005-0000-0000-000054000000}"/>
    <cellStyle name="ssp " xfId="72" xr:uid="{00000000-0005-0000-0000-000055000000}"/>
    <cellStyle name="Title" xfId="73" builtinId="15" customBuiltin="1"/>
    <cellStyle name="Total" xfId="74" builtinId="25" customBuiltin="1"/>
    <cellStyle name="Warning Text" xfId="75" builtinId="11" customBuiltin="1"/>
    <cellStyle name="표준_0N-HANDLING " xfId="76" xr:uid="{00000000-0005-0000-0000-00005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1B2F454D-660F-49CA-BC50-7F8142BAE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0000FF"/>
      <color rgb="FFFFFF99"/>
      <color rgb="FFCCECFF"/>
      <color rgb="FF005AA4"/>
      <color rgb="FFD0B8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xMode val="edge"/>
          <c:yMode val="edge"/>
          <c:x val="8.5470085470085479E-3"/>
          <c:y val="6.0759493670886074E-2"/>
          <c:w val="0.98290598290598286"/>
          <c:h val="0.93502109704641345"/>
        </c:manualLayout>
      </c:layout>
      <c:barChart>
        <c:barDir val="col"/>
        <c:grouping val="clustered"/>
        <c:varyColors val="0"/>
        <c:ser>
          <c:idx val="0"/>
          <c:order val="0"/>
          <c:tx>
            <c:v>Cochlear Impant Units (#)</c:v>
          </c:tx>
          <c:spPr>
            <a:solidFill>
              <a:srgbClr val="D9E6F1"/>
            </a:solidFill>
            <a:ln>
              <a:solidFill>
                <a:srgbClr val="D9E6F1"/>
              </a:solidFill>
            </a:ln>
          </c:spPr>
          <c:invertIfNegative val="0"/>
          <c:cat>
            <c:strRef>
              <c:f>Segment!$DC$95:$DZ$95</c:f>
              <c:strCache>
                <c:ptCount val="19"/>
                <c:pt idx="0">
                  <c:v>FY20</c:v>
                </c:pt>
                <c:pt idx="1">
                  <c:v>1H21</c:v>
                </c:pt>
                <c:pt idx="2">
                  <c:v>2H21</c:v>
                </c:pt>
                <c:pt idx="3">
                  <c:v>FY21</c:v>
                </c:pt>
                <c:pt idx="4">
                  <c:v>1H22</c:v>
                </c:pt>
                <c:pt idx="5">
                  <c:v>2H22</c:v>
                </c:pt>
                <c:pt idx="6">
                  <c:v>FY22</c:v>
                </c:pt>
                <c:pt idx="7">
                  <c:v>1H23</c:v>
                </c:pt>
                <c:pt idx="8">
                  <c:v>2H23</c:v>
                </c:pt>
                <c:pt idx="9">
                  <c:v>FY23</c:v>
                </c:pt>
                <c:pt idx="10">
                  <c:v>1H24</c:v>
                </c:pt>
                <c:pt idx="11">
                  <c:v>2H24</c:v>
                </c:pt>
                <c:pt idx="12">
                  <c:v>FY24</c:v>
                </c:pt>
                <c:pt idx="13">
                  <c:v>1H25</c:v>
                </c:pt>
                <c:pt idx="14">
                  <c:v>2H25</c:v>
                </c:pt>
                <c:pt idx="15">
                  <c:v>FY25</c:v>
                </c:pt>
                <c:pt idx="16">
                  <c:v>1H26</c:v>
                </c:pt>
                <c:pt idx="17">
                  <c:v>2H26E</c:v>
                </c:pt>
                <c:pt idx="18">
                  <c:v>FY26E</c:v>
                </c:pt>
              </c:strCache>
            </c:strRef>
          </c:cat>
          <c:val>
            <c:numRef>
              <c:f>Segment!$DC$96:$DZ$96</c:f>
              <c:numCache>
                <c:formatCode>#,##0</c:formatCode>
                <c:ptCount val="19"/>
                <c:pt idx="0">
                  <c:v>31662</c:v>
                </c:pt>
                <c:pt idx="1">
                  <c:v>17377</c:v>
                </c:pt>
                <c:pt idx="2">
                  <c:v>19079</c:v>
                </c:pt>
                <c:pt idx="3">
                  <c:v>36456</c:v>
                </c:pt>
                <c:pt idx="4">
                  <c:v>18598</c:v>
                </c:pt>
                <c:pt idx="5">
                  <c:v>19584</c:v>
                </c:pt>
                <c:pt idx="6">
                  <c:v>38182</c:v>
                </c:pt>
                <c:pt idx="7">
                  <c:v>21249</c:v>
                </c:pt>
                <c:pt idx="8">
                  <c:v>22907</c:v>
                </c:pt>
                <c:pt idx="9">
                  <c:v>44156</c:v>
                </c:pt>
                <c:pt idx="10">
                  <c:v>24193</c:v>
                </c:pt>
                <c:pt idx="11">
                  <c:v>23847</c:v>
                </c:pt>
                <c:pt idx="12">
                  <c:v>48040</c:v>
                </c:pt>
                <c:pt idx="13">
                  <c:v>25390</c:v>
                </c:pt>
                <c:pt idx="14">
                  <c:v>28578</c:v>
                </c:pt>
                <c:pt idx="15">
                  <c:v>53968</c:v>
                </c:pt>
                <c:pt idx="16">
                  <c:v>27016</c:v>
                </c:pt>
                <c:pt idx="17">
                  <c:v>31435.800000000007</c:v>
                </c:pt>
                <c:pt idx="18">
                  <c:v>58451.8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6-40E6-AB69-0F3E6B25B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332096"/>
        <c:axId val="253618432"/>
      </c:barChart>
      <c:lineChart>
        <c:grouping val="standard"/>
        <c:varyColors val="0"/>
        <c:ser>
          <c:idx val="1"/>
          <c:order val="1"/>
          <c:tx>
            <c:v>Growth (%)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Segment!$DC$95:$DZ$95</c:f>
              <c:strCache>
                <c:ptCount val="19"/>
                <c:pt idx="0">
                  <c:v>FY20</c:v>
                </c:pt>
                <c:pt idx="1">
                  <c:v>1H21</c:v>
                </c:pt>
                <c:pt idx="2">
                  <c:v>2H21</c:v>
                </c:pt>
                <c:pt idx="3">
                  <c:v>FY21</c:v>
                </c:pt>
                <c:pt idx="4">
                  <c:v>1H22</c:v>
                </c:pt>
                <c:pt idx="5">
                  <c:v>2H22</c:v>
                </c:pt>
                <c:pt idx="6">
                  <c:v>FY22</c:v>
                </c:pt>
                <c:pt idx="7">
                  <c:v>1H23</c:v>
                </c:pt>
                <c:pt idx="8">
                  <c:v>2H23</c:v>
                </c:pt>
                <c:pt idx="9">
                  <c:v>FY23</c:v>
                </c:pt>
                <c:pt idx="10">
                  <c:v>1H24</c:v>
                </c:pt>
                <c:pt idx="11">
                  <c:v>2H24</c:v>
                </c:pt>
                <c:pt idx="12">
                  <c:v>FY24</c:v>
                </c:pt>
                <c:pt idx="13">
                  <c:v>1H25</c:v>
                </c:pt>
                <c:pt idx="14">
                  <c:v>2H25</c:v>
                </c:pt>
                <c:pt idx="15">
                  <c:v>FY25</c:v>
                </c:pt>
                <c:pt idx="16">
                  <c:v>1H26</c:v>
                </c:pt>
                <c:pt idx="17">
                  <c:v>2H26E</c:v>
                </c:pt>
                <c:pt idx="18">
                  <c:v>FY26E</c:v>
                </c:pt>
              </c:strCache>
            </c:strRef>
          </c:cat>
          <c:val>
            <c:numRef>
              <c:f>Segment!$DC$97:$DZ$97</c:f>
              <c:numCache>
                <c:formatCode>0.0%</c:formatCode>
                <c:ptCount val="19"/>
                <c:pt idx="0">
                  <c:v>-7.1032479535252158E-2</c:v>
                </c:pt>
                <c:pt idx="1">
                  <c:v>-8.029003916587274E-2</c:v>
                </c:pt>
                <c:pt idx="2">
                  <c:v>0.49428258145363402</c:v>
                </c:pt>
                <c:pt idx="3">
                  <c:v>0.15141178700018942</c:v>
                </c:pt>
                <c:pt idx="4">
                  <c:v>7.026529320366004E-2</c:v>
                </c:pt>
                <c:pt idx="5">
                  <c:v>2.6468892499606822E-2</c:v>
                </c:pt>
                <c:pt idx="6">
                  <c:v>4.7344744349352652E-2</c:v>
                </c:pt>
                <c:pt idx="7">
                  <c:v>0.14254220883966018</c:v>
                </c:pt>
                <c:pt idx="8">
                  <c:v>0.1696793300653594</c:v>
                </c:pt>
                <c:pt idx="9">
                  <c:v>0.15646115970876329</c:v>
                </c:pt>
                <c:pt idx="10">
                  <c:v>0.13854769636218167</c:v>
                </c:pt>
                <c:pt idx="11">
                  <c:v>4.1035491334526553E-2</c:v>
                </c:pt>
                <c:pt idx="12">
                  <c:v>8.7960866020472928E-2</c:v>
                </c:pt>
                <c:pt idx="13">
                  <c:v>4.947712148142025E-2</c:v>
                </c:pt>
                <c:pt idx="14">
                  <c:v>0.19838973455780606</c:v>
                </c:pt>
                <c:pt idx="15">
                  <c:v>0.12339716902581177</c:v>
                </c:pt>
                <c:pt idx="16">
                  <c:v>6.4040961008271058E-2</c:v>
                </c:pt>
                <c:pt idx="17">
                  <c:v>0.10000000000000031</c:v>
                </c:pt>
                <c:pt idx="18">
                  <c:v>8.3082567447376299E-2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86-40E6-AB69-0F3E6B25B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821335"/>
        <c:axId val="679822647"/>
      </c:lineChart>
      <c:catAx>
        <c:axId val="2333320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5875">
            <a:solidFill>
              <a:srgbClr val="808080"/>
            </a:solidFill>
          </a:ln>
        </c:spPr>
        <c:crossAx val="253618432"/>
        <c:crosses val="autoZero"/>
        <c:auto val="1"/>
        <c:lblAlgn val="ctr"/>
        <c:lblOffset val="100"/>
        <c:noMultiLvlLbl val="0"/>
      </c:catAx>
      <c:valAx>
        <c:axId val="253618432"/>
        <c:scaling>
          <c:orientation val="minMax"/>
        </c:scaling>
        <c:delete val="0"/>
        <c:axPos val="l"/>
        <c:majorGridlines>
          <c:spPr>
            <a:ln>
              <a:solidFill>
                <a:srgbClr val="C0C0C0"/>
              </a:solidFill>
            </a:ln>
          </c:spPr>
        </c:majorGridlines>
        <c:numFmt formatCode="0;[Red]0;\-" sourceLinked="0"/>
        <c:majorTickMark val="out"/>
        <c:minorTickMark val="none"/>
        <c:tickLblPos val="nextTo"/>
        <c:spPr>
          <a:ln>
            <a:noFill/>
          </a:ln>
        </c:spPr>
        <c:crossAx val="233332096"/>
        <c:crosses val="autoZero"/>
        <c:crossBetween val="between"/>
      </c:valAx>
      <c:valAx>
        <c:axId val="679822647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crossAx val="679821335"/>
        <c:crosses val="max"/>
        <c:crossBetween val="between"/>
      </c:valAx>
      <c:catAx>
        <c:axId val="6798213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79822647"/>
        <c:crosses val="autoZero"/>
        <c:auto val="1"/>
        <c:lblAlgn val="ctr"/>
        <c:lblOffset val="100"/>
        <c:noMultiLvlLbl val="0"/>
      </c:cat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t"/>
      <c:overlay val="0"/>
      <c:spPr>
        <a:solidFill>
          <a:srgbClr val="FFFFFF"/>
        </a:solidFill>
      </c:spPr>
    </c:legend>
    <c:plotVisOnly val="1"/>
    <c:dispBlanksAs val="zero"/>
    <c:showDLblsOverMax val="0"/>
  </c:chart>
  <c:spPr>
    <a:solidFill>
      <a:srgbClr val="FFFFFF"/>
    </a:solidFill>
    <a:ln>
      <a:noFill/>
    </a:ln>
  </c:spPr>
  <c:txPr>
    <a:bodyPr/>
    <a:lstStyle/>
    <a:p>
      <a:pPr>
        <a:defRPr sz="800">
          <a:latin typeface="Roboto Condensed" panose="02000000000000000000" pitchFamily="2" charset="0"/>
          <a:ea typeface="Roboto Condensed" panose="02000000000000000000" pitchFamily="2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0</xdr:rowOff>
    </xdr:from>
    <xdr:to>
      <xdr:col>2</xdr:col>
      <xdr:colOff>406618</xdr:colOff>
      <xdr:row>1</xdr:row>
      <xdr:rowOff>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65427A-507C-461C-840D-123D40BE2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0"/>
          <a:ext cx="1562318" cy="295316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180</xdr:row>
      <xdr:rowOff>1</xdr:rowOff>
    </xdr:from>
    <xdr:to>
      <xdr:col>10</xdr:col>
      <xdr:colOff>527050</xdr:colOff>
      <xdr:row>205</xdr:row>
      <xdr:rowOff>38101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1B5BC26-0C0E-5C75-410C-42D9C44B2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29584651"/>
          <a:ext cx="6496050" cy="40862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158</xdr:col>
      <xdr:colOff>568500</xdr:colOff>
      <xdr:row>98</xdr:row>
      <xdr:rowOff>124138</xdr:rowOff>
    </xdr:from>
    <xdr:to>
      <xdr:col>163</xdr:col>
      <xdr:colOff>70511</xdr:colOff>
      <xdr:row>114</xdr:row>
      <xdr:rowOff>17199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ychoi/Korea/LGTelecom/LGTmodel_0309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users/HealthCare/CSL/CSL_Research_Notes_2015/CSL_DATABAS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users/HealthCare/ANN/ANN_Notes_2015/ANN_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scen1"/>
      <sheetName val="scen2"/>
      <sheetName val="model"/>
      <sheetName val="scen1model"/>
      <sheetName val="scen2model"/>
      <sheetName val="debt"/>
      <sheetName val="Sheet2"/>
      <sheetName val="Sheet3"/>
      <sheetName val="PUB Vo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D4" t="str">
            <v>Crncy</v>
          </cell>
          <cell r="E4" t="str">
            <v>Final Maturity</v>
          </cell>
          <cell r="F4" t="str">
            <v>Issuer</v>
          </cell>
          <cell r="G4" t="str">
            <v>Maturity</v>
          </cell>
          <cell r="H4" t="str">
            <v>Coupon</v>
          </cell>
          <cell r="I4">
            <v>37711</v>
          </cell>
          <cell r="J4">
            <v>37802</v>
          </cell>
          <cell r="K4">
            <v>37894</v>
          </cell>
          <cell r="L4">
            <v>37986</v>
          </cell>
          <cell r="M4">
            <v>38077</v>
          </cell>
          <cell r="N4">
            <v>38168</v>
          </cell>
          <cell r="O4">
            <v>38260</v>
          </cell>
          <cell r="P4">
            <v>38352</v>
          </cell>
          <cell r="Q4">
            <v>38442</v>
          </cell>
          <cell r="R4">
            <v>38533</v>
          </cell>
          <cell r="S4">
            <v>38625</v>
          </cell>
          <cell r="T4">
            <v>38717</v>
          </cell>
          <cell r="U4">
            <v>38807</v>
          </cell>
          <cell r="V4">
            <v>38898</v>
          </cell>
          <cell r="W4">
            <v>38990</v>
          </cell>
          <cell r="X4">
            <v>39082</v>
          </cell>
          <cell r="Y4">
            <v>39172</v>
          </cell>
          <cell r="Z4">
            <v>39263</v>
          </cell>
          <cell r="AA4">
            <v>39355</v>
          </cell>
          <cell r="AB4">
            <v>39447</v>
          </cell>
          <cell r="AC4">
            <v>2007</v>
          </cell>
        </row>
        <row r="5">
          <cell r="D5">
            <v>1</v>
          </cell>
          <cell r="E5">
            <v>2</v>
          </cell>
          <cell r="F5">
            <v>3</v>
          </cell>
          <cell r="G5">
            <v>4</v>
          </cell>
          <cell r="H5">
            <v>5</v>
          </cell>
          <cell r="I5">
            <v>6</v>
          </cell>
          <cell r="J5">
            <v>7</v>
          </cell>
          <cell r="K5">
            <v>8</v>
          </cell>
          <cell r="L5">
            <v>9</v>
          </cell>
          <cell r="M5">
            <v>10</v>
          </cell>
          <cell r="N5">
            <v>11</v>
          </cell>
          <cell r="O5">
            <v>12</v>
          </cell>
          <cell r="P5">
            <v>13</v>
          </cell>
          <cell r="Q5">
            <v>14</v>
          </cell>
          <cell r="R5">
            <v>15</v>
          </cell>
          <cell r="S5">
            <v>16</v>
          </cell>
          <cell r="T5">
            <v>17</v>
          </cell>
          <cell r="U5">
            <v>18</v>
          </cell>
          <cell r="V5">
            <v>19</v>
          </cell>
          <cell r="W5">
            <v>20</v>
          </cell>
          <cell r="X5">
            <v>21</v>
          </cell>
          <cell r="Y5">
            <v>22</v>
          </cell>
          <cell r="Z5">
            <v>23</v>
          </cell>
          <cell r="AA5">
            <v>24</v>
          </cell>
          <cell r="AB5">
            <v>25</v>
          </cell>
          <cell r="AC5">
            <v>26</v>
          </cell>
        </row>
        <row r="6">
          <cell r="D6" t="str">
            <v>KRW</v>
          </cell>
          <cell r="E6" t="str">
            <v>10/15/2004</v>
          </cell>
          <cell r="F6" t="str">
            <v>LG TELECOM CO LTD</v>
          </cell>
          <cell r="G6" t="str">
            <v>10/15/2004</v>
          </cell>
          <cell r="H6">
            <v>0.06</v>
          </cell>
          <cell r="I6">
            <v>50</v>
          </cell>
          <cell r="J6">
            <v>50</v>
          </cell>
          <cell r="K6">
            <v>50</v>
          </cell>
          <cell r="L6">
            <v>50</v>
          </cell>
          <cell r="M6">
            <v>50</v>
          </cell>
          <cell r="N6">
            <v>50</v>
          </cell>
          <cell r="O6">
            <v>50</v>
          </cell>
        </row>
        <row r="7">
          <cell r="E7">
            <v>38275</v>
          </cell>
          <cell r="F7" t="str">
            <v>Beginning Balance</v>
          </cell>
        </row>
        <row r="8">
          <cell r="F8" t="str">
            <v>Repay</v>
          </cell>
          <cell r="O8">
            <v>-50</v>
          </cell>
        </row>
        <row r="9">
          <cell r="F9" t="str">
            <v>Ending Balance</v>
          </cell>
          <cell r="I9">
            <v>50</v>
          </cell>
          <cell r="J9">
            <v>50</v>
          </cell>
          <cell r="K9">
            <v>50</v>
          </cell>
          <cell r="L9">
            <v>50</v>
          </cell>
          <cell r="M9">
            <v>50</v>
          </cell>
          <cell r="N9">
            <v>50</v>
          </cell>
          <cell r="O9">
            <v>0</v>
          </cell>
        </row>
        <row r="10">
          <cell r="F10" t="str">
            <v>Average Balance</v>
          </cell>
        </row>
        <row r="12">
          <cell r="F12" t="str">
            <v>Cash Interest Exp</v>
          </cell>
          <cell r="I12">
            <v>0.75</v>
          </cell>
          <cell r="J12">
            <v>0.75</v>
          </cell>
          <cell r="K12">
            <v>0.75</v>
          </cell>
          <cell r="L12">
            <v>0.75</v>
          </cell>
          <cell r="M12">
            <v>0.75</v>
          </cell>
          <cell r="N12">
            <v>0.75</v>
          </cell>
          <cell r="O12">
            <v>0</v>
          </cell>
        </row>
        <row r="13">
          <cell r="F13" t="str">
            <v xml:space="preserve">  % Rate</v>
          </cell>
          <cell r="I13">
            <v>1.4999999999999999E-2</v>
          </cell>
          <cell r="J13">
            <v>1.4999999999999999E-2</v>
          </cell>
          <cell r="K13">
            <v>1.4999999999999999E-2</v>
          </cell>
          <cell r="L13">
            <v>1.4999999999999999E-2</v>
          </cell>
          <cell r="M13">
            <v>1.4999999999999999E-2</v>
          </cell>
          <cell r="N13">
            <v>1.4999999999999999E-2</v>
          </cell>
          <cell r="O13">
            <v>1.4999999999999999E-2</v>
          </cell>
        </row>
        <row r="16">
          <cell r="D16" t="str">
            <v>KRW</v>
          </cell>
          <cell r="E16" t="str">
            <v>3/28/2005</v>
          </cell>
          <cell r="F16" t="str">
            <v>LG TELECOM CO LTD</v>
          </cell>
          <cell r="G16" t="str">
            <v>3/28/2005</v>
          </cell>
          <cell r="H16" t="str">
            <v>FRN</v>
          </cell>
          <cell r="I16">
            <v>50</v>
          </cell>
          <cell r="J16">
            <v>50</v>
          </cell>
          <cell r="K16">
            <v>50</v>
          </cell>
          <cell r="L16">
            <v>50</v>
          </cell>
          <cell r="M16">
            <v>50</v>
          </cell>
          <cell r="N16">
            <v>50</v>
          </cell>
          <cell r="O16">
            <v>50</v>
          </cell>
          <cell r="P16">
            <v>50</v>
          </cell>
          <cell r="Q16">
            <v>50</v>
          </cell>
        </row>
        <row r="17">
          <cell r="E17">
            <v>38439</v>
          </cell>
          <cell r="F17" t="str">
            <v>Beginning Balance</v>
          </cell>
        </row>
        <row r="18">
          <cell r="F18" t="str">
            <v>Repay</v>
          </cell>
          <cell r="Q18">
            <v>-50</v>
          </cell>
        </row>
        <row r="19">
          <cell r="F19" t="str">
            <v>Ending Balance</v>
          </cell>
          <cell r="I19">
            <v>50</v>
          </cell>
          <cell r="J19">
            <v>50</v>
          </cell>
          <cell r="K19">
            <v>50</v>
          </cell>
          <cell r="L19">
            <v>50</v>
          </cell>
          <cell r="M19">
            <v>50</v>
          </cell>
          <cell r="N19">
            <v>50</v>
          </cell>
          <cell r="O19">
            <v>50</v>
          </cell>
          <cell r="P19">
            <v>50</v>
          </cell>
          <cell r="Q19">
            <v>0</v>
          </cell>
        </row>
        <row r="20">
          <cell r="F20" t="str">
            <v>Average Balance</v>
          </cell>
        </row>
        <row r="22">
          <cell r="F22" t="str">
            <v>Cash Interest Exp</v>
          </cell>
        </row>
        <row r="23">
          <cell r="F23" t="str">
            <v xml:space="preserve">  % Rate</v>
          </cell>
        </row>
        <row r="26">
          <cell r="D26" t="str">
            <v>KRW</v>
          </cell>
          <cell r="E26" t="str">
            <v>4/15/2005</v>
          </cell>
          <cell r="F26" t="str">
            <v>LG TELECOM CO LTD</v>
          </cell>
          <cell r="G26" t="str">
            <v>4/15/2005</v>
          </cell>
          <cell r="H26">
            <v>0.06</v>
          </cell>
          <cell r="I26">
            <v>100</v>
          </cell>
          <cell r="J26">
            <v>100</v>
          </cell>
          <cell r="K26">
            <v>100</v>
          </cell>
          <cell r="L26">
            <v>100</v>
          </cell>
          <cell r="M26">
            <v>100</v>
          </cell>
          <cell r="N26">
            <v>100</v>
          </cell>
          <cell r="O26">
            <v>100</v>
          </cell>
          <cell r="P26">
            <v>100</v>
          </cell>
          <cell r="Q26">
            <v>100</v>
          </cell>
          <cell r="R26">
            <v>100</v>
          </cell>
        </row>
        <row r="27">
          <cell r="E27">
            <v>38457</v>
          </cell>
          <cell r="F27" t="str">
            <v>Beginning Balance</v>
          </cell>
        </row>
        <row r="28">
          <cell r="F28" t="str">
            <v>Repay</v>
          </cell>
          <cell r="R28">
            <v>-100</v>
          </cell>
        </row>
        <row r="29">
          <cell r="F29" t="str">
            <v>Ending Balance</v>
          </cell>
          <cell r="I29">
            <v>100</v>
          </cell>
          <cell r="J29">
            <v>100</v>
          </cell>
          <cell r="K29">
            <v>100</v>
          </cell>
          <cell r="L29">
            <v>100</v>
          </cell>
          <cell r="M29">
            <v>100</v>
          </cell>
          <cell r="N29">
            <v>100</v>
          </cell>
          <cell r="O29">
            <v>100</v>
          </cell>
          <cell r="P29">
            <v>100</v>
          </cell>
          <cell r="Q29">
            <v>100</v>
          </cell>
          <cell r="R29">
            <v>0</v>
          </cell>
        </row>
        <row r="30">
          <cell r="F30" t="str">
            <v>Average Balance</v>
          </cell>
        </row>
        <row r="32">
          <cell r="F32" t="str">
            <v>Cash Interest Exp</v>
          </cell>
          <cell r="I32">
            <v>1.5</v>
          </cell>
          <cell r="J32">
            <v>1.5</v>
          </cell>
          <cell r="K32">
            <v>1.5</v>
          </cell>
          <cell r="L32">
            <v>1.5</v>
          </cell>
          <cell r="M32">
            <v>1.5</v>
          </cell>
          <cell r="N32">
            <v>1.5</v>
          </cell>
          <cell r="O32">
            <v>1.5</v>
          </cell>
          <cell r="P32">
            <v>1.5</v>
          </cell>
          <cell r="Q32">
            <v>1.5</v>
          </cell>
          <cell r="R32">
            <v>0</v>
          </cell>
        </row>
        <row r="33">
          <cell r="F33" t="str">
            <v xml:space="preserve">  % Rate</v>
          </cell>
          <cell r="I33">
            <v>1.4999999999999999E-2</v>
          </cell>
          <cell r="J33">
            <v>1.4999999999999999E-2</v>
          </cell>
          <cell r="K33">
            <v>1.4999999999999999E-2</v>
          </cell>
          <cell r="L33">
            <v>1.4999999999999999E-2</v>
          </cell>
          <cell r="M33">
            <v>1.4999999999999999E-2</v>
          </cell>
          <cell r="N33">
            <v>1.4999999999999999E-2</v>
          </cell>
          <cell r="O33">
            <v>1.4999999999999999E-2</v>
          </cell>
          <cell r="P33">
            <v>1.4999999999999999E-2</v>
          </cell>
          <cell r="Q33">
            <v>1.4999999999999999E-2</v>
          </cell>
          <cell r="R33">
            <v>1.4999999999999999E-2</v>
          </cell>
        </row>
        <row r="35">
          <cell r="D35" t="str">
            <v>KRW</v>
          </cell>
          <cell r="E35" t="str">
            <v>5/3/2005</v>
          </cell>
          <cell r="F35" t="str">
            <v>LG TELECOM CO LTD</v>
          </cell>
          <cell r="G35" t="str">
            <v>5/3/2005</v>
          </cell>
          <cell r="H35">
            <v>0.06</v>
          </cell>
          <cell r="I35">
            <v>50</v>
          </cell>
          <cell r="J35">
            <v>50</v>
          </cell>
          <cell r="K35">
            <v>50</v>
          </cell>
          <cell r="L35">
            <v>50</v>
          </cell>
          <cell r="M35">
            <v>50</v>
          </cell>
          <cell r="N35">
            <v>50</v>
          </cell>
          <cell r="O35">
            <v>50</v>
          </cell>
          <cell r="P35">
            <v>50</v>
          </cell>
          <cell r="Q35">
            <v>50</v>
          </cell>
          <cell r="R35">
            <v>50</v>
          </cell>
        </row>
        <row r="36">
          <cell r="E36">
            <v>38475</v>
          </cell>
          <cell r="F36" t="str">
            <v>Beginning Balance</v>
          </cell>
        </row>
        <row r="37">
          <cell r="F37" t="str">
            <v>Repay</v>
          </cell>
          <cell r="R37">
            <v>-50</v>
          </cell>
        </row>
        <row r="38">
          <cell r="F38" t="str">
            <v>Ending Balance</v>
          </cell>
          <cell r="I38">
            <v>50</v>
          </cell>
          <cell r="J38">
            <v>50</v>
          </cell>
          <cell r="K38">
            <v>50</v>
          </cell>
          <cell r="L38">
            <v>50</v>
          </cell>
          <cell r="M38">
            <v>50</v>
          </cell>
          <cell r="N38">
            <v>50</v>
          </cell>
          <cell r="O38">
            <v>50</v>
          </cell>
          <cell r="P38">
            <v>50</v>
          </cell>
          <cell r="Q38">
            <v>50</v>
          </cell>
          <cell r="R38">
            <v>0</v>
          </cell>
        </row>
        <row r="39">
          <cell r="F39" t="str">
            <v>Average Balance</v>
          </cell>
        </row>
        <row r="41">
          <cell r="F41" t="str">
            <v>Cash Interest Exp</v>
          </cell>
          <cell r="I41">
            <v>0.75</v>
          </cell>
          <cell r="J41">
            <v>0.75</v>
          </cell>
          <cell r="K41">
            <v>0.75</v>
          </cell>
          <cell r="L41">
            <v>0.75</v>
          </cell>
          <cell r="M41">
            <v>0.75</v>
          </cell>
          <cell r="N41">
            <v>0.75</v>
          </cell>
          <cell r="O41">
            <v>0.75</v>
          </cell>
          <cell r="P41">
            <v>0.75</v>
          </cell>
          <cell r="Q41">
            <v>0.75</v>
          </cell>
          <cell r="R41">
            <v>0</v>
          </cell>
        </row>
        <row r="42">
          <cell r="F42" t="str">
            <v xml:space="preserve">  % Rate</v>
          </cell>
          <cell r="I42">
            <v>1.4999999999999999E-2</v>
          </cell>
          <cell r="J42">
            <v>1.4999999999999999E-2</v>
          </cell>
          <cell r="K42">
            <v>1.4999999999999999E-2</v>
          </cell>
          <cell r="L42">
            <v>1.4999999999999999E-2</v>
          </cell>
          <cell r="M42">
            <v>1.4999999999999999E-2</v>
          </cell>
          <cell r="N42">
            <v>1.4999999999999999E-2</v>
          </cell>
          <cell r="O42">
            <v>1.4999999999999999E-2</v>
          </cell>
          <cell r="P42">
            <v>1.4999999999999999E-2</v>
          </cell>
          <cell r="Q42">
            <v>1.4999999999999999E-2</v>
          </cell>
          <cell r="R42">
            <v>1.4999999999999999E-2</v>
          </cell>
        </row>
        <row r="44">
          <cell r="D44" t="str">
            <v>KRW</v>
          </cell>
          <cell r="E44" t="str">
            <v>8/23/2005</v>
          </cell>
          <cell r="F44" t="str">
            <v>LG TELECOM CO LTD</v>
          </cell>
          <cell r="G44" t="str">
            <v>8/23/2005</v>
          </cell>
          <cell r="H44">
            <v>0.06</v>
          </cell>
          <cell r="I44">
            <v>100</v>
          </cell>
          <cell r="J44">
            <v>100</v>
          </cell>
          <cell r="K44">
            <v>100</v>
          </cell>
          <cell r="L44">
            <v>100</v>
          </cell>
          <cell r="M44">
            <v>100</v>
          </cell>
          <cell r="N44">
            <v>100</v>
          </cell>
          <cell r="O44">
            <v>100</v>
          </cell>
          <cell r="P44">
            <v>100</v>
          </cell>
          <cell r="Q44">
            <v>100</v>
          </cell>
          <cell r="R44">
            <v>100</v>
          </cell>
          <cell r="S44">
            <v>100</v>
          </cell>
        </row>
        <row r="45">
          <cell r="E45">
            <v>38587</v>
          </cell>
          <cell r="F45" t="str">
            <v>Beginning Balance</v>
          </cell>
        </row>
        <row r="46">
          <cell r="F46" t="str">
            <v>Repay</v>
          </cell>
          <cell r="S46">
            <v>-100</v>
          </cell>
        </row>
        <row r="47">
          <cell r="F47" t="str">
            <v>Ending Balance</v>
          </cell>
          <cell r="I47">
            <v>100</v>
          </cell>
          <cell r="J47">
            <v>100</v>
          </cell>
          <cell r="K47">
            <v>100</v>
          </cell>
          <cell r="L47">
            <v>100</v>
          </cell>
          <cell r="M47">
            <v>100</v>
          </cell>
          <cell r="N47">
            <v>100</v>
          </cell>
          <cell r="O47">
            <v>100</v>
          </cell>
          <cell r="P47">
            <v>100</v>
          </cell>
          <cell r="Q47">
            <v>100</v>
          </cell>
          <cell r="R47">
            <v>100</v>
          </cell>
          <cell r="S47">
            <v>0</v>
          </cell>
        </row>
        <row r="48">
          <cell r="F48" t="str">
            <v>Average Balance</v>
          </cell>
        </row>
        <row r="50">
          <cell r="F50" t="str">
            <v>Cash Interest Exp</v>
          </cell>
          <cell r="I50">
            <v>1.5</v>
          </cell>
          <cell r="J50">
            <v>1.5</v>
          </cell>
          <cell r="K50">
            <v>1.5</v>
          </cell>
          <cell r="L50">
            <v>1.5</v>
          </cell>
          <cell r="M50">
            <v>1.5</v>
          </cell>
          <cell r="N50">
            <v>1.5</v>
          </cell>
          <cell r="O50">
            <v>1.5</v>
          </cell>
          <cell r="P50">
            <v>1.5</v>
          </cell>
          <cell r="Q50">
            <v>1.5</v>
          </cell>
          <cell r="R50">
            <v>1.5</v>
          </cell>
          <cell r="S50">
            <v>0</v>
          </cell>
        </row>
        <row r="51">
          <cell r="F51" t="str">
            <v xml:space="preserve">  % Rate</v>
          </cell>
          <cell r="I51">
            <v>1.4999999999999999E-2</v>
          </cell>
          <cell r="J51">
            <v>1.4999999999999999E-2</v>
          </cell>
          <cell r="K51">
            <v>1.4999999999999999E-2</v>
          </cell>
          <cell r="L51">
            <v>1.4999999999999999E-2</v>
          </cell>
          <cell r="M51">
            <v>1.4999999999999999E-2</v>
          </cell>
          <cell r="N51">
            <v>1.4999999999999999E-2</v>
          </cell>
          <cell r="O51">
            <v>1.4999999999999999E-2</v>
          </cell>
          <cell r="P51">
            <v>1.4999999999999999E-2</v>
          </cell>
          <cell r="Q51">
            <v>1.4999999999999999E-2</v>
          </cell>
          <cell r="R51">
            <v>1.4999999999999999E-2</v>
          </cell>
          <cell r="S51">
            <v>1.4999999999999999E-2</v>
          </cell>
        </row>
        <row r="54">
          <cell r="D54" t="str">
            <v>KRW</v>
          </cell>
          <cell r="E54" t="str">
            <v>9/13/2005</v>
          </cell>
          <cell r="F54" t="str">
            <v>LG TELECOM CO LTD</v>
          </cell>
          <cell r="G54" t="str">
            <v>9/13/2005</v>
          </cell>
          <cell r="H54">
            <v>0.05</v>
          </cell>
          <cell r="I54">
            <v>50</v>
          </cell>
          <cell r="J54">
            <v>50</v>
          </cell>
          <cell r="K54">
            <v>50</v>
          </cell>
          <cell r="L54">
            <v>50</v>
          </cell>
          <cell r="M54">
            <v>50</v>
          </cell>
          <cell r="N54">
            <v>50</v>
          </cell>
          <cell r="O54">
            <v>50</v>
          </cell>
          <cell r="P54">
            <v>50</v>
          </cell>
          <cell r="Q54">
            <v>50</v>
          </cell>
          <cell r="R54">
            <v>50</v>
          </cell>
          <cell r="S54">
            <v>50</v>
          </cell>
        </row>
        <row r="55">
          <cell r="E55">
            <v>38608</v>
          </cell>
          <cell r="F55" t="str">
            <v>Beginning Balance</v>
          </cell>
        </row>
        <row r="56">
          <cell r="F56" t="str">
            <v>Repay</v>
          </cell>
          <cell r="S56">
            <v>-50</v>
          </cell>
        </row>
        <row r="57">
          <cell r="F57" t="str">
            <v>Ending Balance</v>
          </cell>
          <cell r="I57">
            <v>50</v>
          </cell>
          <cell r="J57">
            <v>50</v>
          </cell>
          <cell r="K57">
            <v>50</v>
          </cell>
          <cell r="L57">
            <v>50</v>
          </cell>
          <cell r="M57">
            <v>50</v>
          </cell>
          <cell r="N57">
            <v>50</v>
          </cell>
          <cell r="O57">
            <v>50</v>
          </cell>
          <cell r="P57">
            <v>50</v>
          </cell>
          <cell r="Q57">
            <v>50</v>
          </cell>
          <cell r="R57">
            <v>50</v>
          </cell>
          <cell r="S57">
            <v>0</v>
          </cell>
        </row>
        <row r="58">
          <cell r="F58" t="str">
            <v>Average Balance</v>
          </cell>
        </row>
        <row r="60">
          <cell r="F60" t="str">
            <v>Cash Interest Exp</v>
          </cell>
          <cell r="I60">
            <v>0.625</v>
          </cell>
          <cell r="J60">
            <v>0.625</v>
          </cell>
          <cell r="K60">
            <v>0.625</v>
          </cell>
          <cell r="L60">
            <v>0.625</v>
          </cell>
          <cell r="M60">
            <v>0.625</v>
          </cell>
          <cell r="N60">
            <v>0.625</v>
          </cell>
          <cell r="O60">
            <v>0.625</v>
          </cell>
          <cell r="P60">
            <v>0.625</v>
          </cell>
          <cell r="Q60">
            <v>0.625</v>
          </cell>
          <cell r="R60">
            <v>0.625</v>
          </cell>
          <cell r="S60">
            <v>0</v>
          </cell>
        </row>
        <row r="61">
          <cell r="F61" t="str">
            <v xml:space="preserve">  % Rate</v>
          </cell>
          <cell r="I61">
            <v>1.2500000000000001E-2</v>
          </cell>
          <cell r="J61">
            <v>1.2500000000000001E-2</v>
          </cell>
          <cell r="K61">
            <v>1.2500000000000001E-2</v>
          </cell>
          <cell r="L61">
            <v>1.2500000000000001E-2</v>
          </cell>
          <cell r="M61">
            <v>1.2500000000000001E-2</v>
          </cell>
          <cell r="N61">
            <v>1.2500000000000001E-2</v>
          </cell>
          <cell r="O61">
            <v>1.2500000000000001E-2</v>
          </cell>
          <cell r="P61">
            <v>1.2500000000000001E-2</v>
          </cell>
          <cell r="Q61">
            <v>1.2500000000000001E-2</v>
          </cell>
          <cell r="R61">
            <v>1.2500000000000001E-2</v>
          </cell>
          <cell r="S61">
            <v>1.2500000000000001E-2</v>
          </cell>
        </row>
        <row r="64">
          <cell r="D64" t="str">
            <v>KRW</v>
          </cell>
          <cell r="E64" t="str">
            <v>2/6/2006</v>
          </cell>
          <cell r="F64" t="str">
            <v>LG TELECOM CO LTD</v>
          </cell>
          <cell r="G64" t="str">
            <v>2/6/2006</v>
          </cell>
          <cell r="H64">
            <v>0.05</v>
          </cell>
          <cell r="I64">
            <v>100</v>
          </cell>
          <cell r="J64">
            <v>100</v>
          </cell>
          <cell r="K64">
            <v>100</v>
          </cell>
          <cell r="L64">
            <v>100</v>
          </cell>
          <cell r="M64">
            <v>100</v>
          </cell>
          <cell r="N64">
            <v>100</v>
          </cell>
          <cell r="O64">
            <v>100</v>
          </cell>
          <cell r="P64">
            <v>100</v>
          </cell>
          <cell r="Q64">
            <v>100</v>
          </cell>
          <cell r="R64">
            <v>100</v>
          </cell>
          <cell r="S64">
            <v>100</v>
          </cell>
          <cell r="T64">
            <v>100</v>
          </cell>
          <cell r="U64">
            <v>100</v>
          </cell>
        </row>
        <row r="65">
          <cell r="E65">
            <v>38754</v>
          </cell>
          <cell r="F65" t="str">
            <v>Beginning Balance</v>
          </cell>
        </row>
        <row r="66">
          <cell r="F66" t="str">
            <v>Repay</v>
          </cell>
          <cell r="U66">
            <v>-100</v>
          </cell>
        </row>
        <row r="67">
          <cell r="F67" t="str">
            <v>Ending Balance</v>
          </cell>
          <cell r="I67">
            <v>100</v>
          </cell>
          <cell r="J67">
            <v>100</v>
          </cell>
          <cell r="K67">
            <v>100</v>
          </cell>
          <cell r="L67">
            <v>100</v>
          </cell>
          <cell r="M67">
            <v>100</v>
          </cell>
          <cell r="N67">
            <v>100</v>
          </cell>
          <cell r="O67">
            <v>100</v>
          </cell>
          <cell r="P67">
            <v>100</v>
          </cell>
          <cell r="Q67">
            <v>100</v>
          </cell>
          <cell r="R67">
            <v>100</v>
          </cell>
          <cell r="S67">
            <v>100</v>
          </cell>
          <cell r="T67">
            <v>100</v>
          </cell>
          <cell r="U67">
            <v>0</v>
          </cell>
        </row>
        <row r="68">
          <cell r="F68" t="str">
            <v>Average Balance</v>
          </cell>
        </row>
        <row r="70">
          <cell r="F70" t="str">
            <v>Cash Interest Exp</v>
          </cell>
          <cell r="I70">
            <v>1.25</v>
          </cell>
          <cell r="J70">
            <v>1.25</v>
          </cell>
          <cell r="K70">
            <v>1.25</v>
          </cell>
          <cell r="L70">
            <v>1.25</v>
          </cell>
          <cell r="M70">
            <v>1.25</v>
          </cell>
          <cell r="N70">
            <v>1.25</v>
          </cell>
          <cell r="O70">
            <v>1.25</v>
          </cell>
          <cell r="P70">
            <v>1.25</v>
          </cell>
          <cell r="Q70">
            <v>1.25</v>
          </cell>
          <cell r="R70">
            <v>1.25</v>
          </cell>
          <cell r="S70">
            <v>1.25</v>
          </cell>
          <cell r="T70">
            <v>1.25</v>
          </cell>
          <cell r="U70">
            <v>0</v>
          </cell>
        </row>
        <row r="71">
          <cell r="F71" t="str">
            <v xml:space="preserve">  % Rate</v>
          </cell>
          <cell r="I71">
            <v>1.2500000000000001E-2</v>
          </cell>
          <cell r="J71">
            <v>1.2500000000000001E-2</v>
          </cell>
          <cell r="K71">
            <v>1.2500000000000001E-2</v>
          </cell>
          <cell r="L71">
            <v>1.2500000000000001E-2</v>
          </cell>
          <cell r="M71">
            <v>1.2500000000000001E-2</v>
          </cell>
          <cell r="N71">
            <v>1.2500000000000001E-2</v>
          </cell>
          <cell r="O71">
            <v>1.2500000000000001E-2</v>
          </cell>
          <cell r="P71">
            <v>1.2500000000000001E-2</v>
          </cell>
          <cell r="Q71">
            <v>1.2500000000000001E-2</v>
          </cell>
          <cell r="R71">
            <v>1.2500000000000001E-2</v>
          </cell>
          <cell r="S71">
            <v>1.2500000000000001E-2</v>
          </cell>
          <cell r="T71">
            <v>1.2500000000000001E-2</v>
          </cell>
          <cell r="U71">
            <v>1.2500000000000001E-2</v>
          </cell>
        </row>
        <row r="73">
          <cell r="D73" t="str">
            <v>KRW</v>
          </cell>
          <cell r="E73" t="str">
            <v>3/10/2006</v>
          </cell>
          <cell r="F73" t="str">
            <v>LG TELECOM CO LTD</v>
          </cell>
          <cell r="G73" t="str">
            <v>3/10/2006</v>
          </cell>
          <cell r="H73">
            <v>0.05</v>
          </cell>
          <cell r="I73">
            <v>200</v>
          </cell>
          <cell r="J73">
            <v>200</v>
          </cell>
          <cell r="K73">
            <v>200</v>
          </cell>
          <cell r="L73">
            <v>200</v>
          </cell>
          <cell r="M73">
            <v>200</v>
          </cell>
          <cell r="N73">
            <v>200</v>
          </cell>
          <cell r="O73">
            <v>200</v>
          </cell>
          <cell r="P73">
            <v>200</v>
          </cell>
          <cell r="Q73">
            <v>200</v>
          </cell>
          <cell r="R73">
            <v>200</v>
          </cell>
          <cell r="S73">
            <v>200</v>
          </cell>
          <cell r="T73">
            <v>200</v>
          </cell>
          <cell r="U73">
            <v>200</v>
          </cell>
        </row>
        <row r="74">
          <cell r="E74">
            <v>38786</v>
          </cell>
          <cell r="F74" t="str">
            <v>Beginning Balance</v>
          </cell>
        </row>
        <row r="75">
          <cell r="F75" t="str">
            <v>Repay</v>
          </cell>
          <cell r="U75">
            <v>-200</v>
          </cell>
        </row>
        <row r="76">
          <cell r="F76" t="str">
            <v>Ending Balance</v>
          </cell>
          <cell r="I76">
            <v>200</v>
          </cell>
          <cell r="J76">
            <v>200</v>
          </cell>
          <cell r="K76">
            <v>200</v>
          </cell>
          <cell r="L76">
            <v>200</v>
          </cell>
          <cell r="M76">
            <v>200</v>
          </cell>
          <cell r="N76">
            <v>200</v>
          </cell>
          <cell r="O76">
            <v>200</v>
          </cell>
          <cell r="P76">
            <v>200</v>
          </cell>
          <cell r="Q76">
            <v>200</v>
          </cell>
          <cell r="R76">
            <v>200</v>
          </cell>
          <cell r="S76">
            <v>200</v>
          </cell>
          <cell r="T76">
            <v>200</v>
          </cell>
          <cell r="U76">
            <v>0</v>
          </cell>
        </row>
        <row r="77">
          <cell r="F77" t="str">
            <v>Average Balance</v>
          </cell>
        </row>
        <row r="79">
          <cell r="F79" t="str">
            <v>Cash Interest Exp</v>
          </cell>
          <cell r="I79">
            <v>2.5</v>
          </cell>
          <cell r="J79">
            <v>2.5</v>
          </cell>
          <cell r="K79">
            <v>2.5</v>
          </cell>
          <cell r="L79">
            <v>2.5</v>
          </cell>
          <cell r="M79">
            <v>2.5</v>
          </cell>
          <cell r="N79">
            <v>2.5</v>
          </cell>
          <cell r="O79">
            <v>2.5</v>
          </cell>
          <cell r="P79">
            <v>2.5</v>
          </cell>
          <cell r="Q79">
            <v>2.5</v>
          </cell>
          <cell r="R79">
            <v>2.5</v>
          </cell>
          <cell r="S79">
            <v>2.5</v>
          </cell>
          <cell r="T79">
            <v>2.5</v>
          </cell>
          <cell r="U79">
            <v>0</v>
          </cell>
        </row>
        <row r="80">
          <cell r="F80" t="str">
            <v xml:space="preserve">  % Rate</v>
          </cell>
          <cell r="I80">
            <v>1.2500000000000001E-2</v>
          </cell>
          <cell r="J80">
            <v>1.2500000000000001E-2</v>
          </cell>
          <cell r="K80">
            <v>1.2500000000000001E-2</v>
          </cell>
          <cell r="L80">
            <v>1.2500000000000001E-2</v>
          </cell>
          <cell r="M80">
            <v>1.2500000000000001E-2</v>
          </cell>
          <cell r="N80">
            <v>1.2500000000000001E-2</v>
          </cell>
          <cell r="O80">
            <v>1.2500000000000001E-2</v>
          </cell>
          <cell r="P80">
            <v>1.2500000000000001E-2</v>
          </cell>
          <cell r="Q80">
            <v>1.2500000000000001E-2</v>
          </cell>
          <cell r="R80">
            <v>1.2500000000000001E-2</v>
          </cell>
          <cell r="S80">
            <v>1.2500000000000001E-2</v>
          </cell>
          <cell r="T80">
            <v>1.2500000000000001E-2</v>
          </cell>
          <cell r="U80">
            <v>1.2500000000000001E-2</v>
          </cell>
        </row>
        <row r="82">
          <cell r="D82" t="str">
            <v>KRW</v>
          </cell>
          <cell r="E82" t="str">
            <v>4/23/2006</v>
          </cell>
          <cell r="F82" t="str">
            <v>LG TELECOM CO LTD</v>
          </cell>
          <cell r="G82" t="str">
            <v>4/23/2006</v>
          </cell>
          <cell r="H82">
            <v>6.5000000000000002E-2</v>
          </cell>
          <cell r="N82">
            <v>80</v>
          </cell>
          <cell r="O82">
            <v>80</v>
          </cell>
          <cell r="P82">
            <v>80</v>
          </cell>
          <cell r="Q82">
            <v>80</v>
          </cell>
          <cell r="R82">
            <v>80</v>
          </cell>
          <cell r="S82">
            <v>80</v>
          </cell>
          <cell r="T82">
            <v>80</v>
          </cell>
          <cell r="U82">
            <v>80</v>
          </cell>
          <cell r="V82">
            <v>80</v>
          </cell>
        </row>
        <row r="83">
          <cell r="E83">
            <v>38830</v>
          </cell>
          <cell r="F83" t="str">
            <v>Beginning Balance</v>
          </cell>
        </row>
        <row r="84">
          <cell r="F84" t="str">
            <v>Repay</v>
          </cell>
          <cell r="V84">
            <v>-80</v>
          </cell>
        </row>
        <row r="85">
          <cell r="F85" t="str">
            <v>Ending Balance</v>
          </cell>
          <cell r="N85">
            <v>80</v>
          </cell>
          <cell r="O85">
            <v>80</v>
          </cell>
          <cell r="P85">
            <v>80</v>
          </cell>
          <cell r="Q85">
            <v>80</v>
          </cell>
          <cell r="R85">
            <v>80</v>
          </cell>
          <cell r="S85">
            <v>80</v>
          </cell>
          <cell r="T85">
            <v>80</v>
          </cell>
          <cell r="U85">
            <v>80</v>
          </cell>
          <cell r="V85">
            <v>0</v>
          </cell>
        </row>
        <row r="86">
          <cell r="F86" t="str">
            <v>Average Balance</v>
          </cell>
        </row>
        <row r="88">
          <cell r="F88" t="str">
            <v>Cash Interest Exp</v>
          </cell>
          <cell r="N88">
            <v>1.3</v>
          </cell>
          <cell r="O88">
            <v>1.3</v>
          </cell>
          <cell r="P88">
            <v>1.3</v>
          </cell>
          <cell r="Q88">
            <v>1.3</v>
          </cell>
          <cell r="R88">
            <v>1.3</v>
          </cell>
          <cell r="S88">
            <v>1.3</v>
          </cell>
          <cell r="T88">
            <v>1.3</v>
          </cell>
          <cell r="U88">
            <v>1.3</v>
          </cell>
          <cell r="V88">
            <v>0</v>
          </cell>
        </row>
        <row r="89">
          <cell r="F89" t="str">
            <v xml:space="preserve">  % Rate</v>
          </cell>
          <cell r="N89">
            <v>1.6250000000000001E-2</v>
          </cell>
          <cell r="O89">
            <v>1.6250000000000001E-2</v>
          </cell>
          <cell r="P89">
            <v>1.6250000000000001E-2</v>
          </cell>
          <cell r="Q89">
            <v>1.6250000000000001E-2</v>
          </cell>
          <cell r="R89">
            <v>1.6250000000000001E-2</v>
          </cell>
          <cell r="S89">
            <v>1.6250000000000001E-2</v>
          </cell>
          <cell r="T89">
            <v>1.6250000000000001E-2</v>
          </cell>
          <cell r="U89">
            <v>1.6250000000000001E-2</v>
          </cell>
          <cell r="V89">
            <v>1.6250000000000001E-2</v>
          </cell>
        </row>
        <row r="92">
          <cell r="D92" t="str">
            <v>USD</v>
          </cell>
          <cell r="E92" t="str">
            <v>7/15/2009</v>
          </cell>
          <cell r="F92" t="str">
            <v>LG TELECOM CO LTD</v>
          </cell>
          <cell r="G92" t="str">
            <v>7/15/2009</v>
          </cell>
          <cell r="H92">
            <v>8.2500000000000004E-2</v>
          </cell>
          <cell r="O92">
            <v>230.84</v>
          </cell>
          <cell r="P92">
            <v>230.84</v>
          </cell>
          <cell r="Q92">
            <v>230.84</v>
          </cell>
          <cell r="R92">
            <v>230.84</v>
          </cell>
          <cell r="S92">
            <v>230.84</v>
          </cell>
          <cell r="T92">
            <v>230.84</v>
          </cell>
          <cell r="U92">
            <v>230.84</v>
          </cell>
          <cell r="V92">
            <v>230.84</v>
          </cell>
          <cell r="W92">
            <v>230.84</v>
          </cell>
          <cell r="X92">
            <v>230.84</v>
          </cell>
          <cell r="Y92">
            <v>230.84</v>
          </cell>
          <cell r="Z92">
            <v>230.84</v>
          </cell>
          <cell r="AA92">
            <v>230.84</v>
          </cell>
          <cell r="AB92">
            <v>230.84</v>
          </cell>
        </row>
        <row r="93">
          <cell r="E93">
            <v>40009</v>
          </cell>
          <cell r="F93" t="str">
            <v>Beginning Balance</v>
          </cell>
        </row>
        <row r="94">
          <cell r="F94" t="str">
            <v>Repay</v>
          </cell>
        </row>
        <row r="95">
          <cell r="F95" t="str">
            <v>Ending Balance</v>
          </cell>
          <cell r="O95">
            <v>230.84</v>
          </cell>
          <cell r="P95">
            <v>230.84</v>
          </cell>
          <cell r="Q95">
            <v>230.84</v>
          </cell>
          <cell r="R95">
            <v>230.84</v>
          </cell>
          <cell r="S95">
            <v>230.84</v>
          </cell>
          <cell r="T95">
            <v>230.84</v>
          </cell>
          <cell r="U95">
            <v>230.84</v>
          </cell>
          <cell r="V95">
            <v>230.84</v>
          </cell>
          <cell r="W95">
            <v>230.84</v>
          </cell>
          <cell r="X95">
            <v>230.84</v>
          </cell>
          <cell r="Y95">
            <v>230.84</v>
          </cell>
          <cell r="Z95">
            <v>230.84</v>
          </cell>
          <cell r="AA95">
            <v>230.84</v>
          </cell>
          <cell r="AB95">
            <v>230.84</v>
          </cell>
        </row>
        <row r="96">
          <cell r="F96" t="str">
            <v>Average Balance</v>
          </cell>
        </row>
        <row r="98">
          <cell r="F98" t="str">
            <v>Cash Interest Exp</v>
          </cell>
          <cell r="O98">
            <v>4.7610749999999999</v>
          </cell>
          <cell r="P98">
            <v>4.7610749999999999</v>
          </cell>
          <cell r="Q98">
            <v>4.7610749999999999</v>
          </cell>
          <cell r="R98">
            <v>4.7610749999999999</v>
          </cell>
          <cell r="S98">
            <v>4.7610749999999999</v>
          </cell>
          <cell r="T98">
            <v>4.7610749999999999</v>
          </cell>
          <cell r="U98">
            <v>4.7610749999999999</v>
          </cell>
          <cell r="V98">
            <v>4.7610749999999999</v>
          </cell>
          <cell r="W98">
            <v>4.7610749999999999</v>
          </cell>
          <cell r="X98">
            <v>4.7610749999999999</v>
          </cell>
          <cell r="Y98">
            <v>4.7610749999999999</v>
          </cell>
          <cell r="Z98">
            <v>4.7610749999999999</v>
          </cell>
          <cell r="AA98">
            <v>4.7610749999999999</v>
          </cell>
          <cell r="AB98">
            <v>4.7610749999999999</v>
          </cell>
        </row>
        <row r="99">
          <cell r="F99" t="str">
            <v xml:space="preserve">  % Rate</v>
          </cell>
          <cell r="O99">
            <v>2.0625000000000001E-2</v>
          </cell>
          <cell r="P99">
            <v>2.0625000000000001E-2</v>
          </cell>
          <cell r="Q99">
            <v>2.0625000000000001E-2</v>
          </cell>
          <cell r="R99">
            <v>2.0625000000000001E-2</v>
          </cell>
          <cell r="S99">
            <v>2.0625000000000001E-2</v>
          </cell>
          <cell r="T99">
            <v>2.0625000000000001E-2</v>
          </cell>
          <cell r="U99">
            <v>2.0625000000000001E-2</v>
          </cell>
          <cell r="V99">
            <v>2.0625000000000001E-2</v>
          </cell>
          <cell r="W99">
            <v>2.0625000000000001E-2</v>
          </cell>
          <cell r="X99">
            <v>2.0625000000000001E-2</v>
          </cell>
          <cell r="Y99">
            <v>2.0625000000000001E-2</v>
          </cell>
          <cell r="Z99">
            <v>2.0625000000000001E-2</v>
          </cell>
          <cell r="AA99">
            <v>2.0625000000000001E-2</v>
          </cell>
          <cell r="AB99">
            <v>2.0625000000000001E-2</v>
          </cell>
        </row>
        <row r="101">
          <cell r="F101" t="str">
            <v>Cash Interest Exp</v>
          </cell>
          <cell r="S101">
            <v>5</v>
          </cell>
          <cell r="T101">
            <v>5</v>
          </cell>
          <cell r="U101">
            <v>5</v>
          </cell>
          <cell r="V101">
            <v>5</v>
          </cell>
          <cell r="W101">
            <v>5</v>
          </cell>
          <cell r="X101">
            <v>5</v>
          </cell>
        </row>
        <row r="103">
          <cell r="F103" t="str">
            <v>total interest</v>
          </cell>
          <cell r="I103">
            <v>27.321847229999999</v>
          </cell>
          <cell r="J103">
            <v>27.321847229999999</v>
          </cell>
          <cell r="K103">
            <v>27.321847229999999</v>
          </cell>
          <cell r="L103">
            <v>27.321847229999999</v>
          </cell>
          <cell r="M103">
            <v>27.321847229999999</v>
          </cell>
          <cell r="N103">
            <v>28.62184723</v>
          </cell>
          <cell r="O103">
            <v>32.632922229999998</v>
          </cell>
          <cell r="P103">
            <v>32.632922229999998</v>
          </cell>
          <cell r="Q103">
            <v>32.632922229999998</v>
          </cell>
          <cell r="R103">
            <v>30.382922229999998</v>
          </cell>
          <cell r="S103">
            <v>28.257922229999998</v>
          </cell>
          <cell r="T103">
            <v>28.257922229999998</v>
          </cell>
          <cell r="U103">
            <v>24.507922229999998</v>
          </cell>
          <cell r="V103">
            <v>23.207922229999998</v>
          </cell>
          <cell r="W103">
            <v>23.207922229999998</v>
          </cell>
          <cell r="X103">
            <v>23.207922229999998</v>
          </cell>
          <cell r="Y103">
            <v>23.207922229999998</v>
          </cell>
          <cell r="Z103">
            <v>23.207922229999998</v>
          </cell>
          <cell r="AA103">
            <v>23.207922229999998</v>
          </cell>
        </row>
        <row r="104">
          <cell r="F104" t="str">
            <v>Total debentures</v>
          </cell>
          <cell r="I104">
            <v>700</v>
          </cell>
          <cell r="J104">
            <v>700</v>
          </cell>
          <cell r="K104">
            <v>700</v>
          </cell>
          <cell r="L104">
            <v>700</v>
          </cell>
          <cell r="M104">
            <v>700</v>
          </cell>
          <cell r="N104">
            <v>780</v>
          </cell>
          <cell r="O104">
            <v>960.84</v>
          </cell>
          <cell r="P104">
            <v>960.84</v>
          </cell>
          <cell r="Q104">
            <v>910.84</v>
          </cell>
          <cell r="R104">
            <v>760.84</v>
          </cell>
          <cell r="S104">
            <v>610.84</v>
          </cell>
          <cell r="T104">
            <v>610.84</v>
          </cell>
          <cell r="U104">
            <v>310.84000000000003</v>
          </cell>
          <cell r="V104">
            <v>230.84</v>
          </cell>
          <cell r="W104">
            <v>230.84</v>
          </cell>
          <cell r="X104">
            <v>230.84</v>
          </cell>
          <cell r="Y104">
            <v>230.84</v>
          </cell>
          <cell r="Z104">
            <v>230.84</v>
          </cell>
          <cell r="AA104">
            <v>230.84</v>
          </cell>
        </row>
        <row r="109">
          <cell r="D109" t="str">
            <v>Total short-term borrowings</v>
          </cell>
        </row>
        <row r="110">
          <cell r="F110" t="str">
            <v>Bank overdrafts</v>
          </cell>
          <cell r="H110">
            <v>8.7400000000000005E-2</v>
          </cell>
          <cell r="L110">
            <v>3.939368</v>
          </cell>
          <cell r="M110">
            <v>4.2339500000000001</v>
          </cell>
        </row>
        <row r="111">
          <cell r="F111" t="str">
            <v>Notes discounted</v>
          </cell>
          <cell r="H111" t="str">
            <v>5.5-6.93%</v>
          </cell>
          <cell r="L111">
            <v>60</v>
          </cell>
          <cell r="M111">
            <v>301.27999999999997</v>
          </cell>
        </row>
        <row r="112">
          <cell r="F112" t="str">
            <v>Total</v>
          </cell>
          <cell r="L112">
            <v>63.939368000000002</v>
          </cell>
          <cell r="M112">
            <v>305.51394999999997</v>
          </cell>
          <cell r="N112">
            <v>384.24299999999999</v>
          </cell>
          <cell r="O112">
            <v>384.24299999999999</v>
          </cell>
          <cell r="P112">
            <v>384.24299999999999</v>
          </cell>
          <cell r="Q112">
            <v>384.24299999999999</v>
          </cell>
          <cell r="R112">
            <v>384.24299999999999</v>
          </cell>
          <cell r="S112">
            <v>384.24299999999999</v>
          </cell>
          <cell r="T112">
            <v>384.24299999999999</v>
          </cell>
        </row>
        <row r="114">
          <cell r="D114" t="str">
            <v>Won currency loans</v>
          </cell>
        </row>
        <row r="115">
          <cell r="F115" t="str">
            <v>Kyobo Life</v>
          </cell>
          <cell r="G115" t="str">
            <v>Repaid</v>
          </cell>
          <cell r="H115" t="str">
            <v>6.16-8%</v>
          </cell>
          <cell r="L115">
            <v>30</v>
          </cell>
          <cell r="M115">
            <v>80</v>
          </cell>
          <cell r="N115">
            <v>80</v>
          </cell>
          <cell r="O115">
            <v>0</v>
          </cell>
          <cell r="P115">
            <v>0</v>
          </cell>
        </row>
        <row r="116">
          <cell r="F116" t="str">
            <v>Woori Bank</v>
          </cell>
          <cell r="G116">
            <v>38633</v>
          </cell>
          <cell r="H116">
            <v>6.7799999999999999E-2</v>
          </cell>
          <cell r="L116">
            <v>30</v>
          </cell>
          <cell r="M116">
            <v>30</v>
          </cell>
          <cell r="N116">
            <v>30</v>
          </cell>
          <cell r="O116">
            <v>30</v>
          </cell>
          <cell r="P116">
            <v>30</v>
          </cell>
          <cell r="Q116">
            <v>30</v>
          </cell>
          <cell r="R116">
            <v>30</v>
          </cell>
          <cell r="S116">
            <v>30</v>
          </cell>
          <cell r="T116">
            <v>30</v>
          </cell>
        </row>
        <row r="117">
          <cell r="F117" t="str">
            <v>Repay</v>
          </cell>
          <cell r="T117">
            <v>-30</v>
          </cell>
        </row>
        <row r="118">
          <cell r="F118" t="str">
            <v>Ending Balance</v>
          </cell>
          <cell r="L118">
            <v>30</v>
          </cell>
          <cell r="M118">
            <v>30</v>
          </cell>
          <cell r="N118">
            <v>30</v>
          </cell>
          <cell r="O118">
            <v>30</v>
          </cell>
          <cell r="P118">
            <v>30</v>
          </cell>
          <cell r="Q118">
            <v>30</v>
          </cell>
          <cell r="R118">
            <v>30</v>
          </cell>
          <cell r="S118">
            <v>30</v>
          </cell>
          <cell r="T118">
            <v>0</v>
          </cell>
        </row>
        <row r="120">
          <cell r="F120" t="str">
            <v>KDB</v>
          </cell>
          <cell r="G120">
            <v>39079</v>
          </cell>
          <cell r="H120" t="str">
            <v>7.2-7.5%</v>
          </cell>
          <cell r="L120">
            <v>100</v>
          </cell>
          <cell r="M120">
            <v>91.666520000000006</v>
          </cell>
          <cell r="N120">
            <v>91.666520000000006</v>
          </cell>
          <cell r="O120">
            <v>83.333200000000005</v>
          </cell>
          <cell r="P120">
            <v>83.333200000000005</v>
          </cell>
          <cell r="Q120">
            <v>83.333200000000005</v>
          </cell>
          <cell r="R120">
            <v>83.333200000000005</v>
          </cell>
          <cell r="S120">
            <v>83.333200000000005</v>
          </cell>
          <cell r="T120">
            <v>83.333200000000005</v>
          </cell>
          <cell r="U120">
            <v>83.333200000000005</v>
          </cell>
          <cell r="V120">
            <v>83.333200000000005</v>
          </cell>
          <cell r="W120">
            <v>83.333200000000005</v>
          </cell>
          <cell r="X120">
            <v>83.333200000000005</v>
          </cell>
        </row>
        <row r="121">
          <cell r="F121" t="str">
            <v>Repay</v>
          </cell>
          <cell r="X121">
            <v>-83.3</v>
          </cell>
        </row>
        <row r="122">
          <cell r="F122" t="str">
            <v>Ending Balance</v>
          </cell>
          <cell r="L122">
            <v>100</v>
          </cell>
          <cell r="M122">
            <v>91.666520000000006</v>
          </cell>
          <cell r="N122">
            <v>91.666520000000006</v>
          </cell>
          <cell r="O122">
            <v>83.333200000000005</v>
          </cell>
          <cell r="P122">
            <v>83.333200000000005</v>
          </cell>
          <cell r="Q122">
            <v>83.333200000000005</v>
          </cell>
          <cell r="R122">
            <v>83.333200000000005</v>
          </cell>
          <cell r="S122">
            <v>83.333200000000005</v>
          </cell>
          <cell r="T122">
            <v>83.333200000000005</v>
          </cell>
          <cell r="U122">
            <v>83.333200000000005</v>
          </cell>
          <cell r="V122">
            <v>83.333200000000005</v>
          </cell>
          <cell r="W122">
            <v>83.333200000000005</v>
          </cell>
          <cell r="X122">
            <v>3.320000000000789E-2</v>
          </cell>
        </row>
        <row r="124">
          <cell r="F124" t="str">
            <v>Cash Interest Exp</v>
          </cell>
          <cell r="M124">
            <v>1.6729139900000001</v>
          </cell>
          <cell r="N124">
            <v>1.6729139900000001</v>
          </cell>
          <cell r="O124">
            <v>1.5208309</v>
          </cell>
          <cell r="P124">
            <v>1.5208309</v>
          </cell>
          <cell r="Q124">
            <v>1.5208309</v>
          </cell>
          <cell r="R124">
            <v>1.5208309</v>
          </cell>
          <cell r="S124">
            <v>1.5208309</v>
          </cell>
          <cell r="T124">
            <v>1.5208309</v>
          </cell>
          <cell r="U124">
            <v>1.5208309</v>
          </cell>
          <cell r="V124">
            <v>1.5208309</v>
          </cell>
          <cell r="W124">
            <v>1.5208309</v>
          </cell>
          <cell r="X124">
            <v>6.0590000000014391E-4</v>
          </cell>
        </row>
        <row r="125">
          <cell r="F125" t="str">
            <v xml:space="preserve">  % Rate</v>
          </cell>
          <cell r="M125">
            <v>7.2999999999999995E-2</v>
          </cell>
          <cell r="N125">
            <v>7.2999999999999995E-2</v>
          </cell>
          <cell r="O125">
            <v>7.2999999999999995E-2</v>
          </cell>
          <cell r="P125">
            <v>7.2999999999999995E-2</v>
          </cell>
          <cell r="Q125">
            <v>7.2999999999999995E-2</v>
          </cell>
          <cell r="R125">
            <v>7.2999999999999995E-2</v>
          </cell>
          <cell r="S125">
            <v>7.2999999999999995E-2</v>
          </cell>
          <cell r="T125">
            <v>7.2999999999999995E-2</v>
          </cell>
          <cell r="U125">
            <v>7.2999999999999995E-2</v>
          </cell>
          <cell r="V125">
            <v>7.2999999999999995E-2</v>
          </cell>
          <cell r="W125">
            <v>7.2999999999999995E-2</v>
          </cell>
          <cell r="X125">
            <v>7.2999999999999995E-2</v>
          </cell>
        </row>
        <row r="128">
          <cell r="F128" t="str">
            <v>Hana</v>
          </cell>
          <cell r="G128" t="str">
            <v>Repaid</v>
          </cell>
          <cell r="H128">
            <v>6.5000000000000002E-2</v>
          </cell>
          <cell r="L128">
            <v>0.49743999999999999</v>
          </cell>
          <cell r="M128">
            <v>0.21181</v>
          </cell>
          <cell r="N128">
            <v>0.21181</v>
          </cell>
          <cell r="O128">
            <v>0.21181</v>
          </cell>
          <cell r="P128">
            <v>0.21181</v>
          </cell>
          <cell r="Q128">
            <v>0.21181</v>
          </cell>
          <cell r="R128">
            <v>0.21181</v>
          </cell>
          <cell r="S128">
            <v>0.21181</v>
          </cell>
          <cell r="T128">
            <v>0.21181</v>
          </cell>
        </row>
        <row r="129">
          <cell r="F129" t="str">
            <v>Repay</v>
          </cell>
        </row>
        <row r="130">
          <cell r="F130" t="str">
            <v>Ending Balance</v>
          </cell>
          <cell r="L130">
            <v>0.49743999999999999</v>
          </cell>
          <cell r="M130">
            <v>0.21181</v>
          </cell>
          <cell r="N130">
            <v>0.21181</v>
          </cell>
          <cell r="O130">
            <v>0.21181</v>
          </cell>
          <cell r="P130">
            <v>0.21181</v>
          </cell>
          <cell r="Q130">
            <v>0.21181</v>
          </cell>
          <cell r="R130">
            <v>0.21181</v>
          </cell>
          <cell r="S130">
            <v>0.21181</v>
          </cell>
          <cell r="T130">
            <v>0.21181</v>
          </cell>
        </row>
        <row r="132">
          <cell r="F132" t="str">
            <v>Cash Interest Exp</v>
          </cell>
        </row>
        <row r="133">
          <cell r="F133" t="str">
            <v xml:space="preserve">  % Rate</v>
          </cell>
        </row>
        <row r="136">
          <cell r="F136" t="str">
            <v>Korea Technology Banking Corp</v>
          </cell>
          <cell r="G136">
            <v>38398</v>
          </cell>
          <cell r="H136">
            <v>3.5900000000000001E-2</v>
          </cell>
          <cell r="L136">
            <v>0.25</v>
          </cell>
          <cell r="M136">
            <v>0.2</v>
          </cell>
          <cell r="N136">
            <v>0.2</v>
          </cell>
          <cell r="O136">
            <v>0.1</v>
          </cell>
          <cell r="P136">
            <v>0.1</v>
          </cell>
          <cell r="Q136">
            <v>0.1</v>
          </cell>
          <cell r="T136">
            <v>0</v>
          </cell>
        </row>
        <row r="137">
          <cell r="F137" t="str">
            <v>Repay</v>
          </cell>
          <cell r="Q137">
            <v>-0.1</v>
          </cell>
        </row>
        <row r="138">
          <cell r="F138" t="str">
            <v>Ending Balance</v>
          </cell>
          <cell r="L138">
            <v>0.25</v>
          </cell>
          <cell r="M138">
            <v>0.2</v>
          </cell>
          <cell r="N138">
            <v>0.2</v>
          </cell>
          <cell r="O138">
            <v>0.1</v>
          </cell>
          <cell r="P138">
            <v>0.1</v>
          </cell>
          <cell r="Q138">
            <v>0</v>
          </cell>
          <cell r="T138">
            <v>0</v>
          </cell>
        </row>
        <row r="140">
          <cell r="F140" t="str">
            <v>Cash Interest Exp</v>
          </cell>
          <cell r="M140">
            <v>1.7950000000000002E-3</v>
          </cell>
          <cell r="N140">
            <v>1.7950000000000002E-3</v>
          </cell>
          <cell r="O140">
            <v>8.9750000000000008E-4</v>
          </cell>
          <cell r="P140">
            <v>8.9750000000000008E-4</v>
          </cell>
          <cell r="Q140">
            <v>0</v>
          </cell>
        </row>
        <row r="141">
          <cell r="F141" t="str">
            <v xml:space="preserve">  % Rate</v>
          </cell>
          <cell r="M141">
            <v>3.5900000000000001E-2</v>
          </cell>
          <cell r="N141">
            <v>3.5900000000000001E-2</v>
          </cell>
          <cell r="O141">
            <v>3.5900000000000001E-2</v>
          </cell>
          <cell r="P141">
            <v>3.5900000000000001E-2</v>
          </cell>
          <cell r="Q141">
            <v>3.5900000000000001E-2</v>
          </cell>
        </row>
        <row r="144">
          <cell r="F144" t="str">
            <v>Cho Hung Bank</v>
          </cell>
          <cell r="G144">
            <v>38572</v>
          </cell>
          <cell r="O144">
            <v>20</v>
          </cell>
          <cell r="P144">
            <v>20</v>
          </cell>
          <cell r="Q144">
            <v>20</v>
          </cell>
          <cell r="R144">
            <v>20</v>
          </cell>
          <cell r="S144">
            <v>20</v>
          </cell>
        </row>
        <row r="145">
          <cell r="F145" t="str">
            <v>Repay</v>
          </cell>
          <cell r="S145">
            <v>-20</v>
          </cell>
        </row>
        <row r="146">
          <cell r="F146" t="str">
            <v>Ending Balance</v>
          </cell>
          <cell r="O146">
            <v>20</v>
          </cell>
          <cell r="P146">
            <v>20</v>
          </cell>
          <cell r="Q146">
            <v>20</v>
          </cell>
          <cell r="R146">
            <v>20</v>
          </cell>
          <cell r="S146">
            <v>0</v>
          </cell>
        </row>
        <row r="148">
          <cell r="F148" t="str">
            <v>Cash Interest Exp</v>
          </cell>
        </row>
        <row r="149">
          <cell r="F149" t="str">
            <v xml:space="preserve">  % Rate</v>
          </cell>
        </row>
        <row r="152">
          <cell r="F152" t="str">
            <v>Shinhan</v>
          </cell>
          <cell r="G152">
            <v>38573</v>
          </cell>
          <cell r="M152">
            <v>10</v>
          </cell>
          <cell r="N152">
            <v>10</v>
          </cell>
          <cell r="O152">
            <v>10</v>
          </cell>
          <cell r="P152">
            <v>10</v>
          </cell>
          <cell r="Q152">
            <v>10</v>
          </cell>
          <cell r="R152">
            <v>10</v>
          </cell>
          <cell r="S152">
            <v>10</v>
          </cell>
          <cell r="T152">
            <v>0</v>
          </cell>
        </row>
        <row r="153">
          <cell r="F153" t="str">
            <v>Repay</v>
          </cell>
          <cell r="S153">
            <v>-10</v>
          </cell>
        </row>
        <row r="154">
          <cell r="F154" t="str">
            <v>Ending Balance</v>
          </cell>
          <cell r="M154">
            <v>10</v>
          </cell>
          <cell r="N154">
            <v>10</v>
          </cell>
          <cell r="O154">
            <v>10</v>
          </cell>
          <cell r="P154">
            <v>10</v>
          </cell>
          <cell r="Q154">
            <v>10</v>
          </cell>
          <cell r="R154">
            <v>10</v>
          </cell>
          <cell r="S154">
            <v>0</v>
          </cell>
          <cell r="T154">
            <v>0</v>
          </cell>
        </row>
        <row r="156">
          <cell r="F156" t="str">
            <v>Cash Interest Exp</v>
          </cell>
        </row>
        <row r="157">
          <cell r="F157" t="str">
            <v xml:space="preserve">  % Rate</v>
          </cell>
        </row>
        <row r="160">
          <cell r="F160" t="str">
            <v>Kieun Capital</v>
          </cell>
          <cell r="G160">
            <v>38396</v>
          </cell>
          <cell r="M160">
            <v>5</v>
          </cell>
          <cell r="N160">
            <v>5</v>
          </cell>
          <cell r="O160">
            <v>5</v>
          </cell>
          <cell r="P160">
            <v>5</v>
          </cell>
          <cell r="Q160">
            <v>5</v>
          </cell>
          <cell r="R160">
            <v>0</v>
          </cell>
          <cell r="S160">
            <v>0</v>
          </cell>
          <cell r="T160">
            <v>0</v>
          </cell>
        </row>
        <row r="161">
          <cell r="F161" t="str">
            <v>Repay</v>
          </cell>
          <cell r="Q161">
            <v>-5</v>
          </cell>
        </row>
        <row r="162">
          <cell r="F162" t="str">
            <v>Ending Balance</v>
          </cell>
          <cell r="M162">
            <v>5</v>
          </cell>
          <cell r="N162">
            <v>5</v>
          </cell>
          <cell r="O162">
            <v>5</v>
          </cell>
          <cell r="P162">
            <v>5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</row>
        <row r="164">
          <cell r="F164" t="str">
            <v>Cash Interest Exp</v>
          </cell>
        </row>
        <row r="165">
          <cell r="F165" t="str">
            <v xml:space="preserve">  % Rate</v>
          </cell>
        </row>
        <row r="168">
          <cell r="F168" t="str">
            <v>ABS</v>
          </cell>
          <cell r="G168">
            <v>38275</v>
          </cell>
          <cell r="H168">
            <v>6.2100000000000002E-2</v>
          </cell>
          <cell r="L168">
            <v>87</v>
          </cell>
          <cell r="M168">
            <v>87</v>
          </cell>
          <cell r="N168">
            <v>87</v>
          </cell>
          <cell r="O168">
            <v>87</v>
          </cell>
          <cell r="P168">
            <v>87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</row>
        <row r="169">
          <cell r="F169" t="str">
            <v>Repay</v>
          </cell>
          <cell r="P169">
            <v>-87</v>
          </cell>
        </row>
        <row r="170">
          <cell r="F170" t="str">
            <v>Ending Balance</v>
          </cell>
          <cell r="L170">
            <v>87</v>
          </cell>
          <cell r="M170">
            <v>87</v>
          </cell>
          <cell r="N170">
            <v>87</v>
          </cell>
          <cell r="O170">
            <v>87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</row>
        <row r="172">
          <cell r="F172" t="str">
            <v>Cash Interest Exp</v>
          </cell>
        </row>
        <row r="173">
          <cell r="F173" t="str">
            <v xml:space="preserve">  % Rate</v>
          </cell>
        </row>
        <row r="176">
          <cell r="F176" t="str">
            <v>Total</v>
          </cell>
          <cell r="L176">
            <v>247.74743999999998</v>
          </cell>
          <cell r="M176">
            <v>304.07832999999999</v>
          </cell>
          <cell r="N176">
            <v>304.07832999999999</v>
          </cell>
          <cell r="O176">
            <v>235.64501000000001</v>
          </cell>
          <cell r="P176">
            <v>148.64501000000001</v>
          </cell>
          <cell r="Q176">
            <v>143.54500999999999</v>
          </cell>
          <cell r="R176">
            <v>143.54500999999999</v>
          </cell>
          <cell r="S176">
            <v>113.54501</v>
          </cell>
          <cell r="T176">
            <v>83.545010000000005</v>
          </cell>
          <cell r="U176">
            <v>83.333200000000005</v>
          </cell>
          <cell r="V176">
            <v>83.333200000000005</v>
          </cell>
          <cell r="W176">
            <v>83.333200000000005</v>
          </cell>
          <cell r="X176">
            <v>3.320000000000789E-2</v>
          </cell>
        </row>
        <row r="177">
          <cell r="F177" t="str">
            <v>(Current Maturities)</v>
          </cell>
          <cell r="L177">
            <v>-121.03088</v>
          </cell>
          <cell r="M177">
            <v>-120.74509</v>
          </cell>
          <cell r="N177">
            <v>-120.74509</v>
          </cell>
          <cell r="O177">
            <v>-120.74509</v>
          </cell>
          <cell r="P177">
            <v>-120.74509</v>
          </cell>
        </row>
        <row r="178">
          <cell r="L178">
            <v>1011.6868079999999</v>
          </cell>
          <cell r="M178">
            <v>183.33323999999999</v>
          </cell>
          <cell r="N178">
            <v>183.33323999999999</v>
          </cell>
          <cell r="O178">
            <v>114.89992000000001</v>
          </cell>
          <cell r="P178">
            <v>27.899920000000009</v>
          </cell>
          <cell r="Q178">
            <v>143.54500999999999</v>
          </cell>
          <cell r="R178">
            <v>143.54500999999999</v>
          </cell>
          <cell r="S178">
            <v>113.54501</v>
          </cell>
          <cell r="T178">
            <v>83.545010000000005</v>
          </cell>
        </row>
        <row r="180">
          <cell r="L180">
            <v>141.479409</v>
          </cell>
          <cell r="M180">
            <v>141.5</v>
          </cell>
          <cell r="N180">
            <v>141.5</v>
          </cell>
          <cell r="O180">
            <v>141.5</v>
          </cell>
          <cell r="P180">
            <v>141.5</v>
          </cell>
          <cell r="Q180">
            <v>86.056697999999997</v>
          </cell>
          <cell r="R180">
            <v>86.056697999999997</v>
          </cell>
          <cell r="S180">
            <v>86.056697999999997</v>
          </cell>
          <cell r="T180">
            <v>86.056697999999997</v>
          </cell>
          <cell r="U180">
            <v>42.964507999999995</v>
          </cell>
        </row>
        <row r="181">
          <cell r="D181" t="str">
            <v>Lease payments</v>
          </cell>
          <cell r="Q181">
            <v>-55.443302000000003</v>
          </cell>
          <cell r="U181">
            <v>-43.092190000000002</v>
          </cell>
        </row>
        <row r="183">
          <cell r="L183">
            <v>62.934460000000001</v>
          </cell>
          <cell r="M183">
            <v>62.9</v>
          </cell>
          <cell r="N183">
            <v>62.9</v>
          </cell>
          <cell r="O183">
            <v>62.9</v>
          </cell>
          <cell r="P183">
            <v>62.9</v>
          </cell>
          <cell r="Q183">
            <v>40.311927999999995</v>
          </cell>
          <cell r="R183">
            <v>40.311927999999995</v>
          </cell>
          <cell r="S183">
            <v>40.311927999999995</v>
          </cell>
          <cell r="T183">
            <v>40.311927999999995</v>
          </cell>
        </row>
        <row r="184">
          <cell r="D184" t="str">
            <v>Sales leasebacks</v>
          </cell>
          <cell r="Q184">
            <v>-22.588072</v>
          </cell>
          <cell r="U184">
            <v>-22.588072</v>
          </cell>
        </row>
        <row r="185">
          <cell r="L185">
            <v>1216.1006769999999</v>
          </cell>
          <cell r="M185">
            <v>1309.5922799999998</v>
          </cell>
          <cell r="N185">
            <v>1468.32133</v>
          </cell>
          <cell r="O185">
            <v>1580.72801</v>
          </cell>
          <cell r="P185">
            <v>1493.72801</v>
          </cell>
          <cell r="Q185">
            <v>1438.6280099999999</v>
          </cell>
          <cell r="R185">
            <v>1288.6280099999999</v>
          </cell>
          <cell r="S185">
            <v>1108.6280099999999</v>
          </cell>
          <cell r="T185">
            <v>1078.6280099999999</v>
          </cell>
        </row>
        <row r="186">
          <cell r="D186" t="str">
            <v>Total debt</v>
          </cell>
          <cell r="L186">
            <v>610.90932300000009</v>
          </cell>
          <cell r="M186">
            <v>804.04872000000023</v>
          </cell>
          <cell r="N186">
            <v>690.7986699999999</v>
          </cell>
          <cell r="O186">
            <v>690.7986699999999</v>
          </cell>
          <cell r="P186">
            <v>690.7986699999999</v>
          </cell>
          <cell r="Q186">
            <v>690.7986699999999</v>
          </cell>
          <cell r="R186">
            <v>690.7986699999999</v>
          </cell>
          <cell r="S186">
            <v>690.7986699999999</v>
          </cell>
          <cell r="T186">
            <v>690.7986699999999</v>
          </cell>
        </row>
        <row r="187">
          <cell r="D187" t="str">
            <v>Other</v>
          </cell>
          <cell r="U187">
            <v>-65.680261999999999</v>
          </cell>
        </row>
        <row r="188">
          <cell r="I188">
            <v>2108.3820000000001</v>
          </cell>
          <cell r="J188">
            <v>1871.6716948009998</v>
          </cell>
          <cell r="K188">
            <v>1930.758</v>
          </cell>
          <cell r="L188">
            <v>1827.01</v>
          </cell>
          <cell r="M188">
            <v>2113.6410000000001</v>
          </cell>
          <cell r="N188">
            <v>2159.12</v>
          </cell>
          <cell r="O188">
            <v>2271.5266799999999</v>
          </cell>
          <cell r="P188">
            <v>2184.5266799999999</v>
          </cell>
          <cell r="Q188">
            <v>2129.4266799999996</v>
          </cell>
          <cell r="R188">
            <v>1979.4266799999998</v>
          </cell>
          <cell r="S188">
            <v>1799.4266799999998</v>
          </cell>
          <cell r="T188">
            <v>1769.4266799999998</v>
          </cell>
        </row>
        <row r="189">
          <cell r="D189" t="str">
            <v>Total debt (as reported)</v>
          </cell>
        </row>
        <row r="191">
          <cell r="D191" t="str">
            <v>Mandatory Retirements</v>
          </cell>
          <cell r="O191">
            <v>-50</v>
          </cell>
          <cell r="P191">
            <v>-87</v>
          </cell>
          <cell r="Q191">
            <v>-55.1</v>
          </cell>
          <cell r="R191">
            <v>-150</v>
          </cell>
          <cell r="S191">
            <v>-180</v>
          </cell>
          <cell r="T191">
            <v>-30</v>
          </cell>
          <cell r="U191">
            <v>-300</v>
          </cell>
          <cell r="V191">
            <v>-80</v>
          </cell>
          <cell r="W191">
            <v>0</v>
          </cell>
          <cell r="X191">
            <v>-83.3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</row>
        <row r="192">
          <cell r="D192" t="str">
            <v>Cash Interest Exp</v>
          </cell>
          <cell r="N192">
            <v>11.84970899</v>
          </cell>
          <cell r="O192">
            <v>18.494688383238948</v>
          </cell>
          <cell r="P192">
            <v>17.657980974245429</v>
          </cell>
          <cell r="Q192">
            <v>18.763765866319844</v>
          </cell>
          <cell r="R192">
            <v>23.848660225356532</v>
          </cell>
          <cell r="S192">
            <v>23.577981759224372</v>
          </cell>
          <cell r="T192">
            <v>16.331905899999999</v>
          </cell>
          <cell r="U192">
            <v>26.432993873416365</v>
          </cell>
          <cell r="V192">
            <v>17.751274855416824</v>
          </cell>
          <cell r="W192">
            <v>11.2819059</v>
          </cell>
          <cell r="X192">
            <v>9.7616809</v>
          </cell>
          <cell r="Y192">
            <v>4.7610749999999999</v>
          </cell>
          <cell r="Z192">
            <v>4.7610749999999999</v>
          </cell>
          <cell r="AA192">
            <v>4.7610749999999999</v>
          </cell>
          <cell r="AB192">
            <v>4.7610749999999999</v>
          </cell>
        </row>
        <row r="193">
          <cell r="D193" t="str">
            <v>Current portion of long-term debt</v>
          </cell>
          <cell r="I193">
            <v>0</v>
          </cell>
          <cell r="J193">
            <v>0</v>
          </cell>
          <cell r="K193">
            <v>0</v>
          </cell>
          <cell r="L193">
            <v>50</v>
          </cell>
          <cell r="M193">
            <v>137</v>
          </cell>
          <cell r="N193">
            <v>192.1</v>
          </cell>
          <cell r="O193">
            <v>292.10000000000002</v>
          </cell>
          <cell r="P193">
            <v>385.1</v>
          </cell>
          <cell r="Q193">
            <v>360</v>
          </cell>
          <cell r="R193">
            <v>510</v>
          </cell>
          <cell r="S193">
            <v>410</v>
          </cell>
          <cell r="T193">
            <v>380</v>
          </cell>
          <cell r="U193">
            <v>163.30000000000001</v>
          </cell>
          <cell r="V193">
            <v>83.3</v>
          </cell>
          <cell r="W193">
            <v>83.3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</row>
        <row r="194">
          <cell r="D194" t="str">
            <v>Total Bonds</v>
          </cell>
          <cell r="J194">
            <v>700</v>
          </cell>
          <cell r="K194">
            <v>700</v>
          </cell>
          <cell r="L194">
            <v>867.74743999999998</v>
          </cell>
          <cell r="M194">
            <v>787.07833000000005</v>
          </cell>
          <cell r="N194">
            <v>811.97833000000003</v>
          </cell>
          <cell r="O194">
            <v>904.38500999999985</v>
          </cell>
          <cell r="P194">
            <v>724.38500999999985</v>
          </cell>
          <cell r="Q194">
            <v>694.38500999999997</v>
          </cell>
          <cell r="R194">
            <v>394.38501000000008</v>
          </cell>
          <cell r="S194">
            <v>314.38501000000008</v>
          </cell>
          <cell r="T194">
            <v>314.38501000000008</v>
          </cell>
          <cell r="U194">
            <v>230.87320000000005</v>
          </cell>
          <cell r="V194">
            <v>230.8732</v>
          </cell>
          <cell r="W194">
            <v>230.8732</v>
          </cell>
          <cell r="X194">
            <v>230.8732</v>
          </cell>
          <cell r="Y194">
            <v>230.84</v>
          </cell>
          <cell r="Z194">
            <v>230.84</v>
          </cell>
          <cell r="AA194">
            <v>230.84</v>
          </cell>
          <cell r="AB194">
            <v>230.84</v>
          </cell>
        </row>
        <row r="195">
          <cell r="D195" t="str">
            <v xml:space="preserve">  Subtotal</v>
          </cell>
          <cell r="J195">
            <v>700</v>
          </cell>
          <cell r="K195">
            <v>700</v>
          </cell>
          <cell r="L195">
            <v>917.74743999999998</v>
          </cell>
          <cell r="M195">
            <v>924.07833000000005</v>
          </cell>
          <cell r="N195">
            <v>1004.0783300000001</v>
          </cell>
          <cell r="O195">
            <v>1196.4850099999999</v>
          </cell>
          <cell r="P195">
            <v>1109.4850099999999</v>
          </cell>
          <cell r="Q195">
            <v>1054.38501</v>
          </cell>
          <cell r="R195">
            <v>904.38501000000008</v>
          </cell>
          <cell r="S195">
            <v>724.38501000000008</v>
          </cell>
          <cell r="T195">
            <v>694.38501000000008</v>
          </cell>
          <cell r="U195">
            <v>394.17320000000007</v>
          </cell>
          <cell r="V195">
            <v>314.17320000000001</v>
          </cell>
          <cell r="W195">
            <v>314.17320000000001</v>
          </cell>
          <cell r="X195">
            <v>230.8732</v>
          </cell>
          <cell r="Y195">
            <v>230.84</v>
          </cell>
          <cell r="Z195">
            <v>230.84</v>
          </cell>
          <cell r="AA195">
            <v>230.84</v>
          </cell>
          <cell r="AB195">
            <v>230.84</v>
          </cell>
        </row>
        <row r="196">
          <cell r="D196" t="str">
            <v>Other</v>
          </cell>
          <cell r="J196">
            <v>786.81659689899993</v>
          </cell>
          <cell r="K196">
            <v>840.26</v>
          </cell>
          <cell r="L196">
            <v>489.92256000000009</v>
          </cell>
          <cell r="M196">
            <v>776.42066999999997</v>
          </cell>
          <cell r="N196">
            <v>743.83566999999971</v>
          </cell>
          <cell r="O196">
            <v>552.09962605888973</v>
          </cell>
          <cell r="P196">
            <v>587.5574001360792</v>
          </cell>
          <cell r="Q196">
            <v>643.13667225098538</v>
          </cell>
          <cell r="R196">
            <v>832.07765998474031</v>
          </cell>
          <cell r="S196">
            <v>963.82449378881972</v>
          </cell>
          <cell r="T196">
            <v>963.82449378881972</v>
          </cell>
          <cell r="U196">
            <v>1215.8742669418443</v>
          </cell>
          <cell r="V196">
            <v>1333.4991570403322</v>
          </cell>
          <cell r="W196">
            <v>1333.4991570403322</v>
          </cell>
          <cell r="X196">
            <v>1333.4991570403322</v>
          </cell>
          <cell r="Y196">
            <v>1333.5323570403323</v>
          </cell>
          <cell r="Z196">
            <v>1333.5323570403323</v>
          </cell>
          <cell r="AA196">
            <v>1333.5323570403323</v>
          </cell>
          <cell r="AB196">
            <v>1333.5323570403323</v>
          </cell>
        </row>
        <row r="197">
          <cell r="D197" t="str">
            <v>Bonds</v>
          </cell>
          <cell r="J197">
            <v>1486.8165968989999</v>
          </cell>
          <cell r="K197">
            <v>1540.26</v>
          </cell>
          <cell r="L197">
            <v>1357.67</v>
          </cell>
          <cell r="M197">
            <v>1563.499</v>
          </cell>
          <cell r="N197">
            <v>1555.8139999999999</v>
          </cell>
          <cell r="O197">
            <v>1456.4846360588895</v>
          </cell>
          <cell r="P197">
            <v>1311.9424101360792</v>
          </cell>
          <cell r="Q197">
            <v>1337.5216822509854</v>
          </cell>
          <cell r="R197">
            <v>1226.4626699847404</v>
          </cell>
          <cell r="S197">
            <v>1278.2095037888198</v>
          </cell>
          <cell r="T197">
            <v>1278.2095037888198</v>
          </cell>
          <cell r="U197">
            <v>1446.7474669418443</v>
          </cell>
          <cell r="V197">
            <v>1564.3723570403322</v>
          </cell>
          <cell r="W197">
            <v>1564.3723570403322</v>
          </cell>
          <cell r="X197">
            <v>1564.3723570403322</v>
          </cell>
          <cell r="Y197">
            <v>1564.3723570403322</v>
          </cell>
          <cell r="Z197">
            <v>1564.3723570403322</v>
          </cell>
          <cell r="AA197">
            <v>1564.3723570403322</v>
          </cell>
          <cell r="AB197">
            <v>1564.3723570403322</v>
          </cell>
        </row>
        <row r="198">
          <cell r="D198" t="str">
            <v>Automatic Issues/(Retirements)</v>
          </cell>
          <cell r="O198">
            <v>50.67063605888994</v>
          </cell>
          <cell r="P198">
            <v>35.457774077189583</v>
          </cell>
          <cell r="Q198">
            <v>55.579272114906253</v>
          </cell>
          <cell r="R198">
            <v>188.94098773375515</v>
          </cell>
          <cell r="S198">
            <v>131.74683380407947</v>
          </cell>
          <cell r="T198">
            <v>0</v>
          </cell>
          <cell r="U198">
            <v>251.83796315302479</v>
          </cell>
          <cell r="V198">
            <v>117.62489009848768</v>
          </cell>
          <cell r="W198">
            <v>0</v>
          </cell>
          <cell r="X198">
            <v>0</v>
          </cell>
        </row>
        <row r="199">
          <cell r="O199">
            <v>5.5E-2</v>
          </cell>
        </row>
        <row r="200">
          <cell r="O200">
            <v>2.7868849832389468</v>
          </cell>
          <cell r="P200">
            <v>1.950177574245427</v>
          </cell>
          <cell r="Q200">
            <v>3.0568599663198439</v>
          </cell>
          <cell r="R200">
            <v>10.391754325356533</v>
          </cell>
          <cell r="S200">
            <v>7.246075859224371</v>
          </cell>
          <cell r="T200">
            <v>0</v>
          </cell>
          <cell r="U200">
            <v>13.851087973416364</v>
          </cell>
          <cell r="V200">
            <v>6.4693689554168223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</row>
        <row r="205">
          <cell r="I205">
            <v>37711</v>
          </cell>
          <cell r="J205">
            <v>37802</v>
          </cell>
          <cell r="K205">
            <v>37894</v>
          </cell>
          <cell r="L205">
            <v>37986</v>
          </cell>
          <cell r="M205">
            <v>38077</v>
          </cell>
          <cell r="N205">
            <v>38168</v>
          </cell>
          <cell r="O205">
            <v>38260</v>
          </cell>
          <cell r="P205">
            <v>38352</v>
          </cell>
          <cell r="Q205">
            <v>38442</v>
          </cell>
          <cell r="R205">
            <v>38533</v>
          </cell>
          <cell r="S205">
            <v>38625</v>
          </cell>
          <cell r="T205">
            <v>38717</v>
          </cell>
          <cell r="U205">
            <v>38807</v>
          </cell>
          <cell r="V205">
            <v>38898</v>
          </cell>
          <cell r="W205">
            <v>38990</v>
          </cell>
          <cell r="X205">
            <v>39082</v>
          </cell>
          <cell r="Y205">
            <v>39172</v>
          </cell>
          <cell r="Z205">
            <v>39263</v>
          </cell>
          <cell r="AA205">
            <v>39355</v>
          </cell>
          <cell r="AB205">
            <v>39447</v>
          </cell>
          <cell r="AC205">
            <v>2007</v>
          </cell>
        </row>
        <row r="206">
          <cell r="I206">
            <v>1727.4780000000001</v>
          </cell>
          <cell r="J206">
            <v>1486.8165968989999</v>
          </cell>
          <cell r="K206">
            <v>1540.26</v>
          </cell>
          <cell r="L206">
            <v>1407.67</v>
          </cell>
          <cell r="M206">
            <v>1700.499</v>
          </cell>
          <cell r="N206">
            <v>1747.9139999999998</v>
          </cell>
          <cell r="O206">
            <v>1748.5846360588896</v>
          </cell>
          <cell r="P206">
            <v>1697.0424101360791</v>
          </cell>
          <cell r="Q206">
            <v>1697.5216822509854</v>
          </cell>
          <cell r="R206">
            <v>1736.4626699847404</v>
          </cell>
          <cell r="S206">
            <v>1688.2095037888198</v>
          </cell>
          <cell r="T206">
            <v>1658.2095037888198</v>
          </cell>
          <cell r="U206">
            <v>1610.0474669418445</v>
          </cell>
          <cell r="V206">
            <v>1647.6723570403321</v>
          </cell>
          <cell r="W206">
            <v>1647.6723570403321</v>
          </cell>
          <cell r="X206">
            <v>1564.3723570403322</v>
          </cell>
          <cell r="Y206">
            <v>1564.3723570403322</v>
          </cell>
          <cell r="Z206">
            <v>1564.3723570403322</v>
          </cell>
          <cell r="AA206">
            <v>1564.3723570403322</v>
          </cell>
          <cell r="AB206">
            <v>1564.3723570403322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s"/>
      <sheetName val="Comp Margins"/>
      <sheetName val="IVIg Price hit"/>
      <sheetName val="Growth vs. Market"/>
      <sheetName val="IG supply"/>
      <sheetName val="Haemonetics"/>
      <sheetName val="MW-Cache"/>
      <sheetName val="Global Comps"/>
    </sheetNames>
    <sheetDataSet>
      <sheetData sheetId="0">
        <row r="864">
          <cell r="A864" t="str">
            <v>Size of buyback</v>
          </cell>
          <cell r="B864" t="str">
            <v>A$mn</v>
          </cell>
          <cell r="C864">
            <v>950</v>
          </cell>
        </row>
        <row r="865">
          <cell r="A865" t="str">
            <v>Size of buyback</v>
          </cell>
          <cell r="B865" t="str">
            <v>US$mn</v>
          </cell>
          <cell r="C865">
            <v>741</v>
          </cell>
        </row>
        <row r="866">
          <cell r="A866" t="str">
            <v>Avg cost of debt</v>
          </cell>
          <cell r="B866" t="str">
            <v>%</v>
          </cell>
          <cell r="C866">
            <v>3.7999999999999999E-2</v>
          </cell>
        </row>
        <row r="867">
          <cell r="A867" t="str">
            <v>Interest expense</v>
          </cell>
          <cell r="B867" t="str">
            <v>US$mn</v>
          </cell>
          <cell r="C867">
            <v>28.157999999999998</v>
          </cell>
        </row>
        <row r="868">
          <cell r="A868" t="str">
            <v>FY15 NPAT</v>
          </cell>
          <cell r="B868" t="str">
            <v>US$mn</v>
          </cell>
          <cell r="C868">
            <v>1379</v>
          </cell>
        </row>
        <row r="869">
          <cell r="A869" t="str">
            <v>Shares on issue closing FY14</v>
          </cell>
          <cell r="B869" t="str">
            <v>US$mn</v>
          </cell>
          <cell r="C869">
            <v>473.16522500000002</v>
          </cell>
        </row>
        <row r="870">
          <cell r="A870" t="str">
            <v>FY15 EPS</v>
          </cell>
          <cell r="B870" t="str">
            <v>US$</v>
          </cell>
          <cell r="C870">
            <v>2.9144153609344388</v>
          </cell>
        </row>
        <row r="871">
          <cell r="A871" t="str">
            <v>Avg price of shares</v>
          </cell>
          <cell r="B871" t="str">
            <v>A$</v>
          </cell>
          <cell r="C871">
            <v>95.67</v>
          </cell>
        </row>
        <row r="872">
          <cell r="A872" t="str">
            <v>Number of shares</v>
          </cell>
          <cell r="B872" t="str">
            <v>mn</v>
          </cell>
          <cell r="C872">
            <v>9.9299675969478418</v>
          </cell>
        </row>
        <row r="873">
          <cell r="A873" t="str">
            <v>New NPAT</v>
          </cell>
          <cell r="B873" t="str">
            <v>US$mn</v>
          </cell>
          <cell r="C873">
            <v>1356.3454597432908</v>
          </cell>
        </row>
        <row r="874">
          <cell r="A874" t="str">
            <v>New share count</v>
          </cell>
          <cell r="B874" t="str">
            <v>mn</v>
          </cell>
          <cell r="C874">
            <v>463.23525740305217</v>
          </cell>
        </row>
        <row r="875">
          <cell r="A875" t="str">
            <v>New EPS</v>
          </cell>
          <cell r="B875" t="str">
            <v>US$</v>
          </cell>
          <cell r="C875">
            <v>2.9279840816675153</v>
          </cell>
        </row>
        <row r="876">
          <cell r="A876" t="str">
            <v>Accretion</v>
          </cell>
          <cell r="B876" t="str">
            <v>%</v>
          </cell>
          <cell r="C876">
            <v>4.655726467460708E-3</v>
          </cell>
        </row>
        <row r="877">
          <cell r="A877" t="str">
            <v>Point at which neutral</v>
          </cell>
        </row>
        <row r="878">
          <cell r="A878" t="str">
            <v>NPAT</v>
          </cell>
          <cell r="B878" t="str">
            <v>US$mn</v>
          </cell>
          <cell r="C878">
            <v>1356.3454597432908</v>
          </cell>
        </row>
        <row r="879">
          <cell r="A879" t="str">
            <v>Existing EPS</v>
          </cell>
          <cell r="B879" t="str">
            <v>US$</v>
          </cell>
          <cell r="C879">
            <v>2.9144153609344388</v>
          </cell>
        </row>
        <row r="880">
          <cell r="A880" t="str">
            <v>Number of shares out</v>
          </cell>
          <cell r="B880" t="str">
            <v>mn</v>
          </cell>
          <cell r="C880">
            <v>465.39195405160456</v>
          </cell>
        </row>
        <row r="881">
          <cell r="A881" t="str">
            <v>Numbers share acquired</v>
          </cell>
          <cell r="B881" t="str">
            <v>mn</v>
          </cell>
          <cell r="C881">
            <v>7.7732709483954636</v>
          </cell>
        </row>
        <row r="882">
          <cell r="A882" t="str">
            <v>Implied av. share price</v>
          </cell>
          <cell r="B882" t="str">
            <v>A$</v>
          </cell>
          <cell r="C882">
            <v>122.213673794054</v>
          </cell>
        </row>
        <row r="884">
          <cell r="A884" t="str">
            <v xml:space="preserve">EPS changes </v>
          </cell>
          <cell r="C884" t="str">
            <v>F14</v>
          </cell>
          <cell r="D884" t="str">
            <v>F15E</v>
          </cell>
          <cell r="E884" t="str">
            <v>F16E</v>
          </cell>
          <cell r="F884" t="str">
            <v>F17E</v>
          </cell>
          <cell r="G884" t="str">
            <v>F18E</v>
          </cell>
          <cell r="H884" t="str">
            <v>F19E</v>
          </cell>
        </row>
        <row r="885">
          <cell r="A885" t="str">
            <v>Start</v>
          </cell>
          <cell r="B885" t="str">
            <v>US$</v>
          </cell>
          <cell r="C885">
            <v>2.7014014672392341</v>
          </cell>
          <cell r="D885">
            <v>3.09</v>
          </cell>
          <cell r="E885">
            <v>3.18</v>
          </cell>
          <cell r="F885">
            <v>3.4</v>
          </cell>
          <cell r="G885">
            <v>3.77</v>
          </cell>
          <cell r="H885">
            <v>4.18</v>
          </cell>
        </row>
        <row r="887">
          <cell r="A887" t="str">
            <v>Helixate expiry</v>
          </cell>
          <cell r="B887" t="str">
            <v>US$</v>
          </cell>
          <cell r="C887">
            <v>2.7014014672392341</v>
          </cell>
          <cell r="D887">
            <v>3.09</v>
          </cell>
          <cell r="E887">
            <v>3.18</v>
          </cell>
          <cell r="F887">
            <v>3.4</v>
          </cell>
          <cell r="G887">
            <v>3.59</v>
          </cell>
          <cell r="H887">
            <v>3.96</v>
          </cell>
        </row>
        <row r="888">
          <cell r="A888" t="str">
            <v>change</v>
          </cell>
          <cell r="B888" t="str">
            <v>%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-4.7745358090185763E-2</v>
          </cell>
          <cell r="H888">
            <v>-5.2631578947368363E-2</v>
          </cell>
        </row>
        <row r="890">
          <cell r="A890" t="str">
            <v>pd-Coag ASP down furthet 5%pa</v>
          </cell>
          <cell r="B890" t="str">
            <v>US$</v>
          </cell>
          <cell r="C890">
            <v>2.7014014672392341</v>
          </cell>
          <cell r="D890">
            <v>3.08</v>
          </cell>
          <cell r="E890">
            <v>3.11</v>
          </cell>
          <cell r="F890">
            <v>3.25</v>
          </cell>
          <cell r="G890">
            <v>3.36</v>
          </cell>
          <cell r="H890">
            <v>3.65</v>
          </cell>
        </row>
        <row r="891">
          <cell r="A891" t="str">
            <v>change</v>
          </cell>
          <cell r="B891" t="str">
            <v>%</v>
          </cell>
          <cell r="C891">
            <v>0</v>
          </cell>
          <cell r="D891">
            <v>-3.2362459546925182E-3</v>
          </cell>
          <cell r="E891">
            <v>-2.2012578616352307E-2</v>
          </cell>
          <cell r="F891">
            <v>-4.4117647058823484E-2</v>
          </cell>
          <cell r="G891">
            <v>-6.4066852367688054E-2</v>
          </cell>
          <cell r="H891">
            <v>-7.8282828282828287E-2</v>
          </cell>
        </row>
        <row r="893">
          <cell r="A893" t="str">
            <v>CSL654 &amp; CSL627 launched</v>
          </cell>
          <cell r="B893" t="str">
            <v>US$</v>
          </cell>
          <cell r="C893">
            <v>2.7014014672392341</v>
          </cell>
          <cell r="D893">
            <v>3.08</v>
          </cell>
          <cell r="E893">
            <v>3.12</v>
          </cell>
          <cell r="F893">
            <v>3.45</v>
          </cell>
          <cell r="G893">
            <v>3.89</v>
          </cell>
          <cell r="H893">
            <v>4.57</v>
          </cell>
        </row>
        <row r="894">
          <cell r="A894" t="str">
            <v>change</v>
          </cell>
          <cell r="B894" t="str">
            <v>%</v>
          </cell>
          <cell r="C894">
            <v>0</v>
          </cell>
          <cell r="D894">
            <v>0</v>
          </cell>
          <cell r="E894">
            <v>3.215434083601254E-3</v>
          </cell>
          <cell r="F894">
            <v>6.1538461538461542E-2</v>
          </cell>
          <cell r="G894">
            <v>0.15773809523809534</v>
          </cell>
          <cell r="H894">
            <v>0.25205479452054802</v>
          </cell>
        </row>
        <row r="896">
          <cell r="A896" t="str">
            <v>Net change from start</v>
          </cell>
          <cell r="B896" t="str">
            <v>%</v>
          </cell>
          <cell r="C896">
            <v>0</v>
          </cell>
          <cell r="D896">
            <v>-3.2362459546925182E-3</v>
          </cell>
          <cell r="E896">
            <v>-1.8867924528301883E-2</v>
          </cell>
          <cell r="F896">
            <v>1.4705882352941346E-2</v>
          </cell>
          <cell r="G896">
            <v>3.1830238726790583E-2</v>
          </cell>
          <cell r="H896">
            <v>9.3301435406698774E-2</v>
          </cell>
        </row>
        <row r="898">
          <cell r="A898" t="str">
            <v>Consensus EPS</v>
          </cell>
          <cell r="B898" t="str">
            <v>US$</v>
          </cell>
          <cell r="C898">
            <v>2.7</v>
          </cell>
          <cell r="D898">
            <v>3.09</v>
          </cell>
          <cell r="E898">
            <v>3.41</v>
          </cell>
          <cell r="F898">
            <v>3.81</v>
          </cell>
          <cell r="G898">
            <v>4.21</v>
          </cell>
          <cell r="H898">
            <v>4.76</v>
          </cell>
        </row>
        <row r="899">
          <cell r="A899" t="str">
            <v>Difference to consensus</v>
          </cell>
          <cell r="B899" t="str">
            <v>%</v>
          </cell>
          <cell r="C899">
            <v>0</v>
          </cell>
          <cell r="D899">
            <v>-3.2362459546925182E-3</v>
          </cell>
          <cell r="E899">
            <v>-8.5043988269794757E-2</v>
          </cell>
          <cell r="F899">
            <v>-9.4488188976377896E-2</v>
          </cell>
          <cell r="G899">
            <v>-7.6009501187648376E-2</v>
          </cell>
          <cell r="H899">
            <v>-3.991596638655448E-2</v>
          </cell>
        </row>
        <row r="901">
          <cell r="A901" t="str">
            <v>Scenario analysis</v>
          </cell>
          <cell r="C901" t="str">
            <v>F14</v>
          </cell>
          <cell r="D901" t="str">
            <v>F15E</v>
          </cell>
          <cell r="E901" t="str">
            <v>F16E</v>
          </cell>
          <cell r="F901" t="str">
            <v>F17E</v>
          </cell>
          <cell r="G901" t="str">
            <v>F18E</v>
          </cell>
          <cell r="H901" t="str">
            <v>F19E</v>
          </cell>
        </row>
        <row r="902">
          <cell r="A902" t="str">
            <v>vWF displaced</v>
          </cell>
          <cell r="B902" t="str">
            <v>US$</v>
          </cell>
          <cell r="C902">
            <v>2.7014014672392341</v>
          </cell>
          <cell r="D902">
            <v>3.09</v>
          </cell>
          <cell r="E902">
            <v>3.06</v>
          </cell>
          <cell r="F902">
            <v>3.32</v>
          </cell>
          <cell r="G902">
            <v>3.7</v>
          </cell>
          <cell r="H902">
            <v>4.3099999999999996</v>
          </cell>
        </row>
        <row r="903">
          <cell r="A903" t="str">
            <v>change</v>
          </cell>
          <cell r="B903" t="str">
            <v>%</v>
          </cell>
          <cell r="C903">
            <v>0</v>
          </cell>
          <cell r="D903">
            <v>3.2467532467532756E-3</v>
          </cell>
          <cell r="E903">
            <v>-1.9230769230769273E-2</v>
          </cell>
          <cell r="F903">
            <v>-3.7681159420289934E-2</v>
          </cell>
          <cell r="G903">
            <v>-4.8843187660668419E-2</v>
          </cell>
          <cell r="H903">
            <v>-5.6892778993435589E-2</v>
          </cell>
        </row>
        <row r="905">
          <cell r="A905" t="str">
            <v>Eu pd-Coag displaced 30%</v>
          </cell>
          <cell r="B905" t="str">
            <v>US$</v>
          </cell>
          <cell r="C905">
            <v>2.7014014672392341</v>
          </cell>
          <cell r="D905">
            <v>3.09</v>
          </cell>
          <cell r="E905">
            <v>2.77</v>
          </cell>
          <cell r="F905">
            <v>3.02</v>
          </cell>
          <cell r="G905">
            <v>3.39</v>
          </cell>
          <cell r="H905">
            <v>4.01</v>
          </cell>
        </row>
        <row r="906">
          <cell r="A906" t="str">
            <v>change</v>
          </cell>
          <cell r="B906" t="str">
            <v>%</v>
          </cell>
          <cell r="C906">
            <v>0</v>
          </cell>
          <cell r="D906">
            <v>0</v>
          </cell>
          <cell r="E906">
            <v>-9.4771241830065356E-2</v>
          </cell>
          <cell r="F906">
            <v>-9.0361445783132432E-2</v>
          </cell>
          <cell r="G906">
            <v>-8.3783783783783816E-2</v>
          </cell>
          <cell r="H906">
            <v>-6.9605568445475607E-2</v>
          </cell>
        </row>
        <row r="908">
          <cell r="A908" t="str">
            <v>Net change from start</v>
          </cell>
          <cell r="B908" t="str">
            <v>%</v>
          </cell>
          <cell r="C908">
            <v>0</v>
          </cell>
          <cell r="D908">
            <v>0</v>
          </cell>
          <cell r="E908">
            <v>-0.12893081761006298</v>
          </cell>
          <cell r="F908">
            <v>-0.11176470588235288</v>
          </cell>
          <cell r="G908">
            <v>-0.1007957559681697</v>
          </cell>
          <cell r="H908">
            <v>-4.0669856459330078E-2</v>
          </cell>
        </row>
        <row r="911">
          <cell r="A911" t="str">
            <v>rFVIII</v>
          </cell>
        </row>
        <row r="912">
          <cell r="A912" t="str">
            <v>Current</v>
          </cell>
          <cell r="B912" t="str">
            <v>Manufacturer</v>
          </cell>
          <cell r="C912" t="str">
            <v>Product</v>
          </cell>
          <cell r="D912" t="str">
            <v>Launch</v>
          </cell>
        </row>
        <row r="913">
          <cell r="B913" t="str">
            <v>Bayer</v>
          </cell>
          <cell r="C913" t="str">
            <v>Kogenate</v>
          </cell>
          <cell r="D913" t="str">
            <v>Marketed</v>
          </cell>
        </row>
        <row r="914">
          <cell r="B914" t="str">
            <v>Baxter</v>
          </cell>
          <cell r="C914" t="str">
            <v>Advate</v>
          </cell>
          <cell r="D914" t="str">
            <v>Marketed</v>
          </cell>
        </row>
        <row r="915">
          <cell r="B915" t="str">
            <v>Pfizer</v>
          </cell>
          <cell r="C915" t="str">
            <v>Xyntha</v>
          </cell>
          <cell r="D915" t="str">
            <v>Marketed</v>
          </cell>
        </row>
        <row r="916">
          <cell r="A916" t="str">
            <v>Future/New</v>
          </cell>
          <cell r="B916" t="str">
            <v>Manufacturer</v>
          </cell>
          <cell r="C916" t="str">
            <v>Product</v>
          </cell>
          <cell r="D916" t="str">
            <v>Launch</v>
          </cell>
        </row>
        <row r="917">
          <cell r="B917" t="str">
            <v>Biogen-Idec</v>
          </cell>
          <cell r="C917" t="str">
            <v>Eloctate</v>
          </cell>
          <cell r="D917" t="str">
            <v>Launched Q3CY14</v>
          </cell>
        </row>
        <row r="918">
          <cell r="B918" t="str">
            <v>Baxter</v>
          </cell>
          <cell r="C918" t="str">
            <v>BAX855</v>
          </cell>
          <cell r="D918" t="str">
            <v>BLA Q4CY14</v>
          </cell>
        </row>
        <row r="919">
          <cell r="B919" t="str">
            <v>Octapharma</v>
          </cell>
          <cell r="C919" t="str">
            <v>Nuwiq</v>
          </cell>
          <cell r="D919" t="str">
            <v>Q1CY15</v>
          </cell>
        </row>
        <row r="920">
          <cell r="B920" t="str">
            <v>Novo Nordisk</v>
          </cell>
          <cell r="C920" t="str">
            <v>Novoeight</v>
          </cell>
          <cell r="D920" t="str">
            <v>Q2CY15</v>
          </cell>
        </row>
        <row r="921">
          <cell r="B921" t="str">
            <v>Bayer</v>
          </cell>
          <cell r="C921" t="str">
            <v>BAY94-9027</v>
          </cell>
          <cell r="D921" t="str">
            <v>Q3CY16</v>
          </cell>
        </row>
        <row r="922">
          <cell r="B922" t="str">
            <v>CSL</v>
          </cell>
          <cell r="C922" t="str">
            <v>CSL627</v>
          </cell>
          <cell r="D922" t="str">
            <v>Q1CY17</v>
          </cell>
        </row>
        <row r="923">
          <cell r="B923" t="str">
            <v>Novo Nordisk</v>
          </cell>
          <cell r="C923" t="str">
            <v>N8-GP</v>
          </cell>
          <cell r="D923" t="str">
            <v>Q1CY18</v>
          </cell>
        </row>
        <row r="924">
          <cell r="A924" t="str">
            <v>rFIX</v>
          </cell>
        </row>
        <row r="925">
          <cell r="A925" t="str">
            <v>Current</v>
          </cell>
          <cell r="B925" t="str">
            <v>Manufacturer</v>
          </cell>
          <cell r="C925" t="str">
            <v>Product</v>
          </cell>
          <cell r="D925" t="str">
            <v>Launch</v>
          </cell>
        </row>
        <row r="926">
          <cell r="B926" t="str">
            <v>Pfizer</v>
          </cell>
          <cell r="C926" t="str">
            <v>BeneFIX</v>
          </cell>
          <cell r="D926" t="str">
            <v>Marketed</v>
          </cell>
        </row>
        <row r="927">
          <cell r="A927" t="str">
            <v>Future/New</v>
          </cell>
          <cell r="B927" t="str">
            <v>Manufacturer</v>
          </cell>
          <cell r="C927" t="str">
            <v>Product</v>
          </cell>
          <cell r="D927" t="str">
            <v>Launch</v>
          </cell>
        </row>
        <row r="928">
          <cell r="B928" t="str">
            <v>Biogen-Idec</v>
          </cell>
          <cell r="C928" t="str">
            <v>Alprolix</v>
          </cell>
          <cell r="D928" t="str">
            <v>Launched Q2CY14</v>
          </cell>
        </row>
        <row r="929">
          <cell r="B929" t="str">
            <v>Baxter</v>
          </cell>
          <cell r="C929" t="str">
            <v>Rixubis</v>
          </cell>
          <cell r="D929" t="str">
            <v>Q4CY14</v>
          </cell>
        </row>
        <row r="930">
          <cell r="B930" t="str">
            <v>CSL</v>
          </cell>
          <cell r="C930" t="str">
            <v>CSL654</v>
          </cell>
          <cell r="D930" t="str">
            <v>Q4FY16</v>
          </cell>
        </row>
        <row r="931">
          <cell r="B931" t="str">
            <v>Novo Nordisk</v>
          </cell>
          <cell r="C931" t="str">
            <v>N9-GP</v>
          </cell>
          <cell r="D931" t="str">
            <v>Q4CY16</v>
          </cell>
        </row>
        <row r="967">
          <cell r="A967" t="str">
            <v>MS Price target calculation</v>
          </cell>
          <cell r="B967" t="str">
            <v>P/E 5-yr absolute</v>
          </cell>
          <cell r="C967" t="str">
            <v>P/E 2-yr absolute</v>
          </cell>
          <cell r="D967" t="str">
            <v>P/E rel to ASX 200 2-yr Average</v>
          </cell>
          <cell r="E967" t="str">
            <v>P/E rel to ASX 200 5-yr Average</v>
          </cell>
          <cell r="F967" t="str">
            <v>Average &amp; price target</v>
          </cell>
        </row>
        <row r="968">
          <cell r="A968" t="str">
            <v>Current</v>
          </cell>
          <cell r="B968">
            <v>22.4</v>
          </cell>
          <cell r="C968">
            <v>22.4</v>
          </cell>
          <cell r="D968">
            <v>1.4667343617870343</v>
          </cell>
          <cell r="E968">
            <v>1.4667343617870343</v>
          </cell>
        </row>
        <row r="969">
          <cell r="A969" t="str">
            <v>Average</v>
          </cell>
          <cell r="B969">
            <v>18.782501533742348</v>
          </cell>
          <cell r="C969">
            <v>20.833126436781598</v>
          </cell>
          <cell r="D969">
            <v>1.3151767110108001</v>
          </cell>
          <cell r="E969">
            <v>1.3385881194479978</v>
          </cell>
        </row>
        <row r="970">
          <cell r="A970" t="str">
            <v>Current share price</v>
          </cell>
          <cell r="B970">
            <v>93</v>
          </cell>
          <cell r="C970">
            <v>93</v>
          </cell>
          <cell r="D970">
            <v>93</v>
          </cell>
          <cell r="E970">
            <v>93</v>
          </cell>
          <cell r="F970">
            <v>93</v>
          </cell>
        </row>
        <row r="971">
          <cell r="A971" t="str">
            <v>Implied share price</v>
          </cell>
          <cell r="B971">
            <v>77.980921546340994</v>
          </cell>
          <cell r="C971">
            <v>86.494676724137889</v>
          </cell>
          <cell r="D971">
            <v>83.390310686512493</v>
          </cell>
          <cell r="E971">
            <v>84.874738297526306</v>
          </cell>
          <cell r="F971">
            <v>83.185161813629421</v>
          </cell>
        </row>
        <row r="972">
          <cell r="A972" t="str">
            <v>Change</v>
          </cell>
          <cell r="B972">
            <v>-0.16149546724364527</v>
          </cell>
          <cell r="C972">
            <v>-6.9949712643678663E-2</v>
          </cell>
          <cell r="D972">
            <v>-0.10332999261814524</v>
          </cell>
          <cell r="E972">
            <v>-8.7368405402942995E-2</v>
          </cell>
          <cell r="F972">
            <v>-0.10553589447710299</v>
          </cell>
        </row>
        <row r="1227">
          <cell r="A1227" t="str">
            <v>F14 Result</v>
          </cell>
          <cell r="C1227" t="str">
            <v>F14</v>
          </cell>
          <cell r="D1227" t="str">
            <v>F15E</v>
          </cell>
        </row>
        <row r="1228">
          <cell r="A1228" t="str">
            <v>EBIT</v>
          </cell>
          <cell r="B1228" t="str">
            <v>US$mn</v>
          </cell>
          <cell r="C1228">
            <v>1637</v>
          </cell>
          <cell r="D1228">
            <v>1882.55</v>
          </cell>
        </row>
        <row r="1229">
          <cell r="A1229" t="str">
            <v>Growth</v>
          </cell>
          <cell r="B1229" t="str">
            <v>%</v>
          </cell>
          <cell r="C1229">
            <v>0.1</v>
          </cell>
          <cell r="D1229">
            <v>0.15</v>
          </cell>
        </row>
        <row r="1231">
          <cell r="A1231" t="str">
            <v xml:space="preserve">NPAT </v>
          </cell>
          <cell r="B1231" t="str">
            <v>US$mn</v>
          </cell>
          <cell r="C1231">
            <v>1307</v>
          </cell>
          <cell r="D1231">
            <v>1463.8400000000001</v>
          </cell>
        </row>
        <row r="1232">
          <cell r="A1232" t="str">
            <v>Growth</v>
          </cell>
          <cell r="B1232" t="str">
            <v>%</v>
          </cell>
          <cell r="C1232">
            <v>0.08</v>
          </cell>
          <cell r="D1232">
            <v>0.12</v>
          </cell>
        </row>
        <row r="1233">
          <cell r="A1233" t="str">
            <v>Antit-trust settlement adjustment</v>
          </cell>
        </row>
        <row r="1234">
          <cell r="C1234" t="str">
            <v>F14</v>
          </cell>
          <cell r="D1234" t="str">
            <v>F15E</v>
          </cell>
        </row>
        <row r="1235">
          <cell r="A1235" t="str">
            <v>Pre-tax</v>
          </cell>
          <cell r="B1235" t="str">
            <v>US$mn</v>
          </cell>
          <cell r="C1235">
            <v>64</v>
          </cell>
          <cell r="D1235">
            <v>0</v>
          </cell>
        </row>
        <row r="1236">
          <cell r="A1236" t="str">
            <v>tax</v>
          </cell>
          <cell r="B1236" t="str">
            <v>US$mn</v>
          </cell>
          <cell r="C1236">
            <v>-25</v>
          </cell>
          <cell r="D1236">
            <v>0</v>
          </cell>
        </row>
        <row r="1237">
          <cell r="A1237" t="str">
            <v>Post-tax</v>
          </cell>
          <cell r="B1237" t="str">
            <v>US$mn</v>
          </cell>
          <cell r="C1237">
            <v>39</v>
          </cell>
          <cell r="D1237">
            <v>0</v>
          </cell>
        </row>
        <row r="1239">
          <cell r="A1239" t="str">
            <v>Adjusted guidance</v>
          </cell>
          <cell r="C1239" t="str">
            <v>F14</v>
          </cell>
          <cell r="D1239" t="str">
            <v>F15E</v>
          </cell>
        </row>
        <row r="1240">
          <cell r="A1240" t="str">
            <v>Adjusted EBIT</v>
          </cell>
          <cell r="B1240" t="str">
            <v>US$mn</v>
          </cell>
          <cell r="C1240">
            <v>1701</v>
          </cell>
          <cell r="D1240">
            <v>1882.55</v>
          </cell>
        </row>
        <row r="1241">
          <cell r="A1241" t="str">
            <v>Growth</v>
          </cell>
          <cell r="B1241" t="str">
            <v>%</v>
          </cell>
          <cell r="C1241">
            <v>0.13909590714722056</v>
          </cell>
          <cell r="D1241">
            <v>0.10673133450911232</v>
          </cell>
        </row>
        <row r="1243">
          <cell r="A1243" t="str">
            <v>Adjusted NPAT</v>
          </cell>
          <cell r="B1243" t="str">
            <v>US$mn</v>
          </cell>
          <cell r="C1243">
            <v>1346</v>
          </cell>
          <cell r="D1243">
            <v>1463.8400000000001</v>
          </cell>
        </row>
        <row r="1244">
          <cell r="A1244" t="str">
            <v>Growth</v>
          </cell>
          <cell r="B1244" t="str">
            <v>%</v>
          </cell>
          <cell r="C1244">
            <v>0.10983932670237177</v>
          </cell>
          <cell r="D1244">
            <v>8.7548291233283893E-2</v>
          </cell>
        </row>
        <row r="1246">
          <cell r="A1246" t="str">
            <v>New NPAT guidance</v>
          </cell>
          <cell r="B1246" t="str">
            <v>US$mn</v>
          </cell>
          <cell r="C1246">
            <v>1307</v>
          </cell>
          <cell r="D1246">
            <v>1437.7</v>
          </cell>
        </row>
        <row r="1247">
          <cell r="A1247" t="str">
            <v>Growth</v>
          </cell>
          <cell r="B1247" t="str">
            <v>%</v>
          </cell>
          <cell r="C1247">
            <v>0.08</v>
          </cell>
          <cell r="D1247">
            <v>0.1</v>
          </cell>
        </row>
        <row r="1249">
          <cell r="A1249" t="str">
            <v>New adjusted NPAT guidance</v>
          </cell>
          <cell r="B1249" t="str">
            <v>US$mn</v>
          </cell>
          <cell r="C1249">
            <v>1346</v>
          </cell>
          <cell r="D1249">
            <v>1437.7</v>
          </cell>
        </row>
        <row r="1250">
          <cell r="A1250" t="str">
            <v>Growth</v>
          </cell>
          <cell r="B1250" t="str">
            <v>%</v>
          </cell>
          <cell r="C1250">
            <v>0.10983932670237177</v>
          </cell>
          <cell r="D1250">
            <v>6.812778603268943E-2</v>
          </cell>
        </row>
        <row r="1252">
          <cell r="A1252" t="str">
            <v>half on half CC</v>
          </cell>
          <cell r="C1252" t="str">
            <v>1h14</v>
          </cell>
          <cell r="D1252" t="str">
            <v>2h14</v>
          </cell>
          <cell r="E1252" t="str">
            <v>F14</v>
          </cell>
          <cell r="F1252" t="str">
            <v>1h15</v>
          </cell>
          <cell r="G1252" t="str">
            <v>2h15E</v>
          </cell>
          <cell r="H1252" t="str">
            <v>F15E</v>
          </cell>
        </row>
        <row r="1253">
          <cell r="A1253" t="str">
            <v>EBIT</v>
          </cell>
          <cell r="B1253" t="str">
            <v>US$mn</v>
          </cell>
          <cell r="C1253">
            <v>817.99635999999987</v>
          </cell>
          <cell r="D1253">
            <v>819.00364000000013</v>
          </cell>
          <cell r="E1253">
            <v>1637</v>
          </cell>
          <cell r="F1253">
            <v>891.61603239999988</v>
          </cell>
          <cell r="G1253">
            <v>957.31700331428567</v>
          </cell>
          <cell r="H1253">
            <v>1848.9330357142856</v>
          </cell>
        </row>
        <row r="1254">
          <cell r="A1254" t="str">
            <v>growth</v>
          </cell>
          <cell r="B1254" t="str">
            <v>%</v>
          </cell>
          <cell r="C1254">
            <v>4.1107240028989279E-2</v>
          </cell>
          <cell r="D1254">
            <v>0.1700164429831359</v>
          </cell>
          <cell r="E1254">
            <v>0.1</v>
          </cell>
          <cell r="F1254">
            <v>0.09</v>
          </cell>
          <cell r="G1254">
            <v>0.16888003490959513</v>
          </cell>
          <cell r="H1254">
            <v>0.12946428571428559</v>
          </cell>
        </row>
        <row r="1256">
          <cell r="A1256" t="str">
            <v>Adjusted EBIT</v>
          </cell>
          <cell r="B1256" t="str">
            <v>US$mn</v>
          </cell>
          <cell r="C1256">
            <v>881.99635999999987</v>
          </cell>
          <cell r="D1256">
            <v>819.00364000000013</v>
          </cell>
          <cell r="E1256">
            <v>1701</v>
          </cell>
          <cell r="F1256">
            <v>891.61603239999988</v>
          </cell>
          <cell r="G1256">
            <v>957.31700331428567</v>
          </cell>
          <cell r="H1256">
            <v>1848.9330357142856</v>
          </cell>
        </row>
        <row r="1257">
          <cell r="A1257" t="str">
            <v>growth</v>
          </cell>
          <cell r="B1257" t="str">
            <v>%</v>
          </cell>
          <cell r="C1257">
            <v>7.8239956960199697E-2</v>
          </cell>
          <cell r="D1257">
            <v>0.1700164429831359</v>
          </cell>
          <cell r="E1257">
            <v>0.13909590714722056</v>
          </cell>
          <cell r="F1257">
            <v>1.0906703061676959E-2</v>
          </cell>
          <cell r="G1257">
            <v>0.16888003490959513</v>
          </cell>
          <cell r="H1257">
            <v>8.6968274964306591E-2</v>
          </cell>
        </row>
        <row r="1259">
          <cell r="A1259" t="str">
            <v>NPAT</v>
          </cell>
          <cell r="B1259" t="str">
            <v>US$mn</v>
          </cell>
          <cell r="C1259">
            <v>645.70000000000005</v>
          </cell>
          <cell r="D1259">
            <v>661.3</v>
          </cell>
          <cell r="E1259">
            <v>1307</v>
          </cell>
          <cell r="F1259">
            <v>703.8130000000001</v>
          </cell>
          <cell r="G1259">
            <v>733.88699999999994</v>
          </cell>
          <cell r="H1259">
            <v>1437.7</v>
          </cell>
        </row>
        <row r="1260">
          <cell r="A1260" t="str">
            <v>growth</v>
          </cell>
          <cell r="B1260" t="str">
            <v>%</v>
          </cell>
          <cell r="C1260">
            <v>3.3781620236951859E-2</v>
          </cell>
          <cell r="D1260">
            <v>0.11762717593374972</v>
          </cell>
          <cell r="E1260">
            <v>7.4570418482282186E-2</v>
          </cell>
          <cell r="F1260">
            <v>0.09</v>
          </cell>
          <cell r="G1260">
            <v>0.10976410101315581</v>
          </cell>
          <cell r="H1260">
            <v>0.10000000000000009</v>
          </cell>
        </row>
        <row r="1262">
          <cell r="A1262" t="str">
            <v>Adjusted NPAT</v>
          </cell>
          <cell r="B1262" t="str">
            <v>US$mn</v>
          </cell>
          <cell r="C1262">
            <v>684.7</v>
          </cell>
          <cell r="D1262">
            <v>661.3</v>
          </cell>
          <cell r="E1262">
            <v>1346</v>
          </cell>
          <cell r="F1262">
            <v>703.8130000000001</v>
          </cell>
          <cell r="G1262">
            <v>733.88699999999994</v>
          </cell>
          <cell r="H1262">
            <v>1437.7</v>
          </cell>
        </row>
        <row r="1263">
          <cell r="A1263" t="str">
            <v>growth</v>
          </cell>
          <cell r="B1263" t="str">
            <v>%</v>
          </cell>
          <cell r="C1263">
            <v>9.622158181236018E-2</v>
          </cell>
          <cell r="D1263">
            <v>0.11762717593374972</v>
          </cell>
          <cell r="E1263">
            <v>0.10663487626407941</v>
          </cell>
          <cell r="F1263">
            <v>2.7914415072294529E-2</v>
          </cell>
          <cell r="G1263">
            <v>0.10976410101315581</v>
          </cell>
          <cell r="H1263">
            <v>6.812778603268943E-2</v>
          </cell>
        </row>
        <row r="1265">
          <cell r="C1265" t="str">
            <v>1h14</v>
          </cell>
          <cell r="D1265" t="str">
            <v>1h15</v>
          </cell>
        </row>
        <row r="1266">
          <cell r="A1266" t="str">
            <v>Adjusted EBIT</v>
          </cell>
          <cell r="B1266" t="str">
            <v>A$mn</v>
          </cell>
          <cell r="C1266">
            <v>881.99635999999987</v>
          </cell>
          <cell r="D1266">
            <v>891.61603239999988</v>
          </cell>
        </row>
        <row r="1267">
          <cell r="A1267" t="str">
            <v>margin</v>
          </cell>
          <cell r="B1267" t="str">
            <v>%</v>
          </cell>
          <cell r="C1267">
            <v>0.34081547200432782</v>
          </cell>
          <cell r="D1267">
            <v>0.31969022316242379</v>
          </cell>
        </row>
        <row r="1268">
          <cell r="A1268" t="str">
            <v>growth</v>
          </cell>
          <cell r="B1268" t="str">
            <v>%</v>
          </cell>
          <cell r="C1268">
            <v>0.34265592851592847</v>
          </cell>
          <cell r="D1268">
            <v>1.0906703061676959E-2</v>
          </cell>
        </row>
      </sheetData>
      <sheetData sheetId="1"/>
      <sheetData sheetId="2"/>
      <sheetData sheetId="3"/>
      <sheetData sheetId="4">
        <row r="32">
          <cell r="K32">
            <v>68300</v>
          </cell>
        </row>
      </sheetData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s &amp; Tables"/>
      <sheetName val="Latex"/>
      <sheetName val="Valuation Metrics"/>
      <sheetName val="Competitor Financials"/>
      <sheetName val="Sheet1"/>
      <sheetName val="Sheet2"/>
      <sheetName val="Sheet3"/>
      <sheetName val="Guidance"/>
    </sheetNames>
    <sheetDataSet>
      <sheetData sheetId="0">
        <row r="2">
          <cell r="A2" t="str">
            <v>Manufacturing &amp; Assembly</v>
          </cell>
        </row>
        <row r="136">
          <cell r="AF136" t="str">
            <v>Market Size (US$mn)</v>
          </cell>
          <cell r="AG136" t="str">
            <v>Market growth (%) 2012-2017*</v>
          </cell>
        </row>
        <row r="137">
          <cell r="AE137" t="str">
            <v>Industrial</v>
          </cell>
          <cell r="AF137">
            <v>435</v>
          </cell>
          <cell r="AG137" t="str">
            <v>~3%</v>
          </cell>
        </row>
        <row r="138">
          <cell r="AE138" t="str">
            <v>Life Sciences</v>
          </cell>
          <cell r="AF138">
            <v>229</v>
          </cell>
          <cell r="AG138" t="str">
            <v>2-3%</v>
          </cell>
        </row>
        <row r="139">
          <cell r="AE139" t="str">
            <v>Dental</v>
          </cell>
          <cell r="AF139">
            <v>237</v>
          </cell>
          <cell r="AG139" t="str">
            <v>3-4%</v>
          </cell>
        </row>
        <row r="140">
          <cell r="AE140" t="str">
            <v>Automotive Aftermarket</v>
          </cell>
          <cell r="AF140">
            <v>75</v>
          </cell>
          <cell r="AG140" t="str">
            <v>4-5%</v>
          </cell>
        </row>
        <row r="141">
          <cell r="AE141" t="str">
            <v>EMS</v>
          </cell>
          <cell r="AF141">
            <v>75</v>
          </cell>
          <cell r="AG141" t="str">
            <v>~3%</v>
          </cell>
        </row>
      </sheetData>
      <sheetData sheetId="1">
        <row r="1">
          <cell r="A1" t="str">
            <v>Daily Pricing</v>
          </cell>
        </row>
      </sheetData>
      <sheetData sheetId="2">
        <row r="1">
          <cell r="A1" t="str">
            <v>International Comps</v>
          </cell>
        </row>
      </sheetData>
      <sheetData sheetId="3">
        <row r="1">
          <cell r="A1" t="str">
            <v>Sperian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Niu, Peter (Research)" id="{B2980866-B149-4621-8685-97F00D88E259}" userId="S::Peter.Niu@morganstanley.com::f42bb638-310c-4f31-b2f4-fe0d245fb045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Morgan">
    <a:dk1>
      <a:srgbClr val="000000"/>
    </a:dk1>
    <a:lt1>
      <a:srgbClr val="FFFFFF"/>
    </a:lt1>
    <a:dk2>
      <a:srgbClr val="97D0FF"/>
    </a:dk2>
    <a:lt2>
      <a:srgbClr val="A9A9A9"/>
    </a:lt2>
    <a:accent1>
      <a:srgbClr val="005AA4"/>
    </a:accent1>
    <a:accent2>
      <a:srgbClr val="00A1E2"/>
    </a:accent2>
    <a:accent3>
      <a:srgbClr val="6769B5"/>
    </a:accent3>
    <a:accent4>
      <a:srgbClr val="3BC3A3"/>
    </a:accent4>
    <a:accent5>
      <a:srgbClr val="D0B86A"/>
    </a:accent5>
    <a:accent6>
      <a:srgbClr val="93959B"/>
    </a:accent6>
    <a:hlink>
      <a:srgbClr val="50CEFF"/>
    </a:hlink>
    <a:folHlink>
      <a:srgbClr val="A2A2A2"/>
    </a:folHlink>
  </a:clrScheme>
  <a:fontScheme name="Rothschild">
    <a:majorFont>
      <a:latin typeface="Georg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Arial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Rothschild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47500"/>
              <a:satMod val="137000"/>
            </a:schemeClr>
          </a:gs>
          <a:gs pos="55000">
            <a:schemeClr val="phClr">
              <a:shade val="69000"/>
              <a:satMod val="137000"/>
            </a:schemeClr>
          </a:gs>
          <a:gs pos="100000">
            <a:schemeClr val="phClr">
              <a:shade val="98000"/>
              <a:satMod val="137000"/>
            </a:schemeClr>
          </a:gs>
        </a:gsLst>
        <a:lin ang="16200000" scaled="0"/>
      </a:gradFill>
    </a:fillStyleLst>
    <a:lnStyleLst>
      <a:ln w="6350" cap="rnd" cmpd="sng" algn="ctr">
        <a:solidFill>
          <a:schemeClr val="phClr">
            <a:shade val="95000"/>
            <a:satMod val="105000"/>
          </a:schemeClr>
        </a:solidFill>
        <a:prstDash val="solid"/>
      </a:ln>
      <a:ln w="48000" cap="flat" cmpd="thickThin" algn="ctr">
        <a:solidFill>
          <a:schemeClr val="phClr"/>
        </a:solidFill>
        <a:prstDash val="solid"/>
      </a:ln>
      <a:ln w="48500" cap="flat" cmpd="thickThin" algn="ctr">
        <a:solidFill>
          <a:schemeClr val="phClr"/>
        </a:solidFill>
        <a:prstDash val="solid"/>
      </a:ln>
    </a:lnStyleLst>
    <a:effectStyleLst>
      <a:effectStyle>
        <a:effectLst>
          <a:outerShdw blurRad="45000" dist="25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800000"/>
          </a:lightRig>
        </a:scene3d>
        <a:sp3d prstMaterial="matte">
          <a:bevelT h="200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8000"/>
              <a:satMod val="300000"/>
            </a:schemeClr>
          </a:gs>
          <a:gs pos="12000">
            <a:schemeClr val="phClr">
              <a:tint val="48000"/>
              <a:satMod val="300000"/>
            </a:schemeClr>
          </a:gs>
          <a:gs pos="20000">
            <a:schemeClr val="phClr">
              <a:tint val="49000"/>
              <a:satMod val="300000"/>
            </a:schemeClr>
          </a:gs>
          <a:gs pos="100000">
            <a:schemeClr val="phClr">
              <a:shade val="30000"/>
            </a:schemeClr>
          </a:gs>
        </a:gsLst>
        <a:path path="circle">
          <a:fillToRect l="10000" t="-25000" r="10000" b="125000"/>
        </a:path>
      </a:gradFill>
      <a:blipFill>
        <a:blip xmlns:r="http://schemas.openxmlformats.org/officeDocument/2006/relationships">
          <a:duotone>
            <a:schemeClr val="phClr">
              <a:shade val="75000"/>
              <a:satMod val="105000"/>
            </a:schemeClr>
            <a:schemeClr val="phClr">
              <a:tint val="95000"/>
              <a:satMod val="105000"/>
            </a:schemeClr>
          </a:duotone>
        </a:blip>
        <a:tile tx="0" ty="0" sx="38000" sy="38000" flip="none" algn="tl"/>
      </a:blip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U146" dT="2026-02-12T21:39:13.12" personId="{B2980866-B149-4621-8685-97F00D88E259}" id="{E6BD1876-14D4-446C-A218-7B887974603B}">
    <text>Restated to 140.3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5E526-EC6A-4FA1-BFCF-0ED2D1F2543D}">
  <sheetPr codeName="Sheet1"/>
  <dimension ref="A1:H434"/>
  <sheetViews>
    <sheetView showGridLines="0" tabSelected="1" workbookViewId="0">
      <selection activeCell="Z1" sqref="Z1"/>
    </sheetView>
  </sheetViews>
  <sheetFormatPr defaultRowHeight="12.75"/>
  <sheetData>
    <row r="1" spans="1:8" ht="23.25" customHeight="1">
      <c r="A1" s="1660"/>
      <c r="B1" s="1656"/>
      <c r="C1" s="1656"/>
      <c r="D1" s="1656"/>
      <c r="E1" s="1656"/>
      <c r="F1" s="1656"/>
      <c r="G1" s="1656"/>
      <c r="H1" s="1656"/>
    </row>
    <row r="2" spans="1:8">
      <c r="A2" s="1654" t="s">
        <v>1107</v>
      </c>
      <c r="B2" s="1656"/>
      <c r="C2" s="1656"/>
      <c r="D2" s="1656"/>
      <c r="E2" s="1656"/>
      <c r="F2" s="1656"/>
      <c r="G2" s="1656"/>
      <c r="H2" s="1656"/>
    </row>
    <row r="3" spans="1:8">
      <c r="A3" s="1654" t="s">
        <v>1108</v>
      </c>
      <c r="B3" s="1656"/>
      <c r="C3" s="1656"/>
      <c r="D3" s="1656"/>
      <c r="E3" s="1656"/>
      <c r="F3" s="1656"/>
      <c r="G3" s="1656"/>
      <c r="H3" s="1656"/>
    </row>
    <row r="4" spans="1:8">
      <c r="A4" s="1654" t="s">
        <v>1109</v>
      </c>
      <c r="B4" s="1656"/>
      <c r="C4" s="1656"/>
      <c r="D4" s="1656"/>
      <c r="E4" s="1656"/>
      <c r="F4" s="1656"/>
      <c r="G4" s="1656"/>
      <c r="H4" s="1656"/>
    </row>
    <row r="5" spans="1:8">
      <c r="A5" s="1654" t="s">
        <v>1110</v>
      </c>
      <c r="B5" s="1656"/>
      <c r="C5" s="1656"/>
      <c r="D5" s="1656"/>
      <c r="E5" s="1656"/>
      <c r="F5" s="1656"/>
      <c r="G5" s="1656"/>
      <c r="H5" s="1656"/>
    </row>
    <row r="6" spans="1:8">
      <c r="A6" s="1654"/>
      <c r="B6" s="1656"/>
      <c r="C6" s="1656"/>
      <c r="D6" s="1656"/>
      <c r="E6" s="1656"/>
      <c r="F6" s="1656"/>
      <c r="G6" s="1656"/>
      <c r="H6" s="1656"/>
    </row>
    <row r="7" spans="1:8">
      <c r="A7" s="1654" t="s">
        <v>1111</v>
      </c>
      <c r="B7" s="1656"/>
      <c r="C7" s="1656"/>
      <c r="D7" s="1656"/>
      <c r="E7" s="1656"/>
      <c r="F7" s="1656"/>
      <c r="G7" s="1656"/>
      <c r="H7" s="1656"/>
    </row>
    <row r="8" spans="1:8">
      <c r="A8" s="1654" t="s">
        <v>1112</v>
      </c>
      <c r="B8" s="1656"/>
      <c r="C8" s="1656"/>
      <c r="D8" s="1656"/>
      <c r="E8" s="1656"/>
      <c r="F8" s="1656"/>
      <c r="G8" s="1656"/>
      <c r="H8" s="1656"/>
    </row>
    <row r="9" spans="1:8">
      <c r="A9" s="1654"/>
      <c r="B9" s="1656"/>
      <c r="C9" s="1656"/>
      <c r="D9" s="1656"/>
      <c r="E9" s="1656"/>
      <c r="F9" s="1656"/>
      <c r="G9" s="1656"/>
      <c r="H9" s="1656"/>
    </row>
    <row r="10" spans="1:8">
      <c r="A10" s="1654" t="s">
        <v>1113</v>
      </c>
      <c r="B10" s="1656"/>
      <c r="C10" s="1656"/>
      <c r="D10" s="1656"/>
      <c r="E10" s="1656"/>
      <c r="F10" s="1656"/>
      <c r="G10" s="1656"/>
      <c r="H10" s="1656"/>
    </row>
    <row r="11" spans="1:8">
      <c r="A11" s="1654" t="s">
        <v>1114</v>
      </c>
      <c r="B11" s="1656"/>
      <c r="C11" s="1656"/>
      <c r="D11" s="1656"/>
      <c r="E11" s="1656"/>
      <c r="F11" s="1656"/>
      <c r="G11" s="1656"/>
      <c r="H11" s="1656"/>
    </row>
    <row r="12" spans="1:8">
      <c r="A12" s="1654" t="s">
        <v>1115</v>
      </c>
      <c r="B12" s="1656"/>
      <c r="C12" s="1656"/>
      <c r="D12" s="1656"/>
      <c r="E12" s="1656"/>
      <c r="F12" s="1656"/>
      <c r="G12" s="1656"/>
      <c r="H12" s="1656"/>
    </row>
    <row r="13" spans="1:8">
      <c r="A13" s="1654" t="s">
        <v>1116</v>
      </c>
      <c r="B13" s="1656"/>
      <c r="C13" s="1656"/>
      <c r="D13" s="1656"/>
      <c r="E13" s="1656"/>
      <c r="F13" s="1656"/>
      <c r="G13" s="1656"/>
      <c r="H13" s="1656"/>
    </row>
    <row r="14" spans="1:8">
      <c r="A14" s="1654" t="s">
        <v>1117</v>
      </c>
      <c r="B14" s="1656"/>
      <c r="C14" s="1656"/>
      <c r="D14" s="1656"/>
      <c r="E14" s="1656"/>
      <c r="F14" s="1656"/>
      <c r="G14" s="1656"/>
      <c r="H14" s="1656"/>
    </row>
    <row r="15" spans="1:8">
      <c r="A15" s="1654" t="s">
        <v>1118</v>
      </c>
      <c r="B15" s="1656"/>
      <c r="C15" s="1656"/>
      <c r="D15" s="1656"/>
      <c r="E15" s="1656"/>
      <c r="F15" s="1656"/>
      <c r="G15" s="1656"/>
      <c r="H15" s="1656"/>
    </row>
    <row r="16" spans="1:8">
      <c r="A16" s="1654"/>
      <c r="B16" s="1656"/>
      <c r="C16" s="1656"/>
      <c r="D16" s="1656"/>
      <c r="E16" s="1656"/>
      <c r="F16" s="1656"/>
      <c r="G16" s="1656"/>
      <c r="H16" s="1656"/>
    </row>
    <row r="17" spans="1:8">
      <c r="A17" s="1654" t="s">
        <v>1119</v>
      </c>
      <c r="B17" s="1656"/>
      <c r="C17" s="1656"/>
      <c r="D17" s="1656"/>
      <c r="E17" s="1656"/>
      <c r="F17" s="1656"/>
      <c r="G17" s="1656"/>
      <c r="H17" s="1656"/>
    </row>
    <row r="18" spans="1:8">
      <c r="A18" s="1654"/>
      <c r="B18" s="1656"/>
      <c r="C18" s="1656"/>
      <c r="D18" s="1656"/>
      <c r="E18" s="1656"/>
      <c r="F18" s="1656"/>
      <c r="G18" s="1656"/>
      <c r="H18" s="1656"/>
    </row>
    <row r="19" spans="1:8">
      <c r="A19" s="1654" t="s">
        <v>1120</v>
      </c>
      <c r="B19" s="1656"/>
      <c r="C19" s="1656"/>
      <c r="D19" s="1656"/>
      <c r="E19" s="1656"/>
      <c r="F19" s="1656"/>
      <c r="G19" s="1656"/>
      <c r="H19" s="1656"/>
    </row>
    <row r="20" spans="1:8">
      <c r="A20" s="1654"/>
      <c r="B20" s="1656"/>
      <c r="C20" s="1656"/>
      <c r="D20" s="1656"/>
      <c r="E20" s="1656"/>
      <c r="F20" s="1656"/>
      <c r="G20" s="1656"/>
      <c r="H20" s="1656"/>
    </row>
    <row r="21" spans="1:8">
      <c r="A21" s="1655" t="s">
        <v>1121</v>
      </c>
      <c r="B21" s="1656"/>
      <c r="C21" s="1656"/>
      <c r="D21" s="1656"/>
      <c r="E21" s="1656"/>
      <c r="F21" s="1656"/>
      <c r="G21" s="1656"/>
      <c r="H21" s="1656"/>
    </row>
    <row r="22" spans="1:8">
      <c r="A22" s="1656"/>
      <c r="B22" s="1656"/>
      <c r="C22" s="1656"/>
      <c r="D22" s="1656"/>
      <c r="E22" s="1656"/>
      <c r="F22" s="1656"/>
      <c r="G22" s="1656"/>
      <c r="H22" s="1656"/>
    </row>
    <row r="23" spans="1:8">
      <c r="A23" s="1656" t="s">
        <v>1122</v>
      </c>
      <c r="B23" s="1656"/>
      <c r="C23" s="1656"/>
      <c r="D23" s="1656"/>
      <c r="E23" s="1656"/>
      <c r="F23" s="1656"/>
      <c r="G23" s="1656"/>
      <c r="H23" s="1656"/>
    </row>
    <row r="24" spans="1:8">
      <c r="A24" s="1656" t="s">
        <v>1123</v>
      </c>
      <c r="B24" s="1656"/>
      <c r="C24" s="1656"/>
      <c r="D24" s="1656"/>
      <c r="E24" s="1656"/>
      <c r="F24" s="1656"/>
      <c r="G24" s="1656"/>
      <c r="H24" s="1656"/>
    </row>
    <row r="25" spans="1:8">
      <c r="A25" s="1656" t="s">
        <v>1124</v>
      </c>
      <c r="B25" s="1656"/>
      <c r="C25" s="1656"/>
      <c r="D25" s="1656"/>
      <c r="E25" s="1656"/>
      <c r="F25" s="1656"/>
      <c r="G25" s="1656"/>
      <c r="H25" s="1656"/>
    </row>
    <row r="26" spans="1:8">
      <c r="A26" s="1656" t="s">
        <v>1125</v>
      </c>
      <c r="B26" s="1656"/>
      <c r="C26" s="1656"/>
      <c r="D26" s="1656"/>
      <c r="E26" s="1656"/>
      <c r="F26" s="1656"/>
      <c r="G26" s="1656"/>
      <c r="H26" s="1656"/>
    </row>
    <row r="27" spans="1:8">
      <c r="A27" s="1656"/>
      <c r="B27" s="1656"/>
      <c r="C27" s="1656"/>
      <c r="D27" s="1656"/>
      <c r="E27" s="1656"/>
      <c r="F27" s="1656"/>
      <c r="G27" s="1656"/>
      <c r="H27" s="1656"/>
    </row>
    <row r="28" spans="1:8">
      <c r="A28" s="1656" t="s">
        <v>1126</v>
      </c>
      <c r="B28" s="1656"/>
      <c r="C28" s="1656"/>
      <c r="D28" s="1656"/>
      <c r="E28" s="1656"/>
      <c r="F28" s="1656"/>
      <c r="G28" s="1656"/>
      <c r="H28" s="1656"/>
    </row>
    <row r="29" spans="1:8">
      <c r="A29" s="1656" t="s">
        <v>1127</v>
      </c>
      <c r="B29" s="1656"/>
      <c r="C29" s="1656"/>
      <c r="D29" s="1656"/>
      <c r="E29" s="1656"/>
      <c r="F29" s="1656"/>
      <c r="G29" s="1656"/>
      <c r="H29" s="1656"/>
    </row>
    <row r="30" spans="1:8">
      <c r="A30" s="1656" t="s">
        <v>1128</v>
      </c>
      <c r="B30" s="1656"/>
      <c r="C30" s="1656"/>
      <c r="D30" s="1656"/>
      <c r="E30" s="1656"/>
      <c r="F30" s="1656"/>
      <c r="G30" s="1656"/>
      <c r="H30" s="1656"/>
    </row>
    <row r="31" spans="1:8">
      <c r="A31" s="1656" t="s">
        <v>1129</v>
      </c>
      <c r="B31" s="1656"/>
      <c r="C31" s="1656"/>
      <c r="D31" s="1656"/>
      <c r="E31" s="1656"/>
      <c r="F31" s="1656"/>
      <c r="G31" s="1656"/>
      <c r="H31" s="1656"/>
    </row>
    <row r="32" spans="1:8">
      <c r="A32" s="1656" t="s">
        <v>1130</v>
      </c>
      <c r="B32" s="1656"/>
      <c r="C32" s="1656"/>
      <c r="D32" s="1656"/>
      <c r="E32" s="1656"/>
      <c r="F32" s="1656"/>
      <c r="G32" s="1656"/>
      <c r="H32" s="1656"/>
    </row>
    <row r="33" spans="1:8">
      <c r="A33" s="1656" t="s">
        <v>1131</v>
      </c>
      <c r="B33" s="1656"/>
      <c r="C33" s="1656"/>
      <c r="D33" s="1656"/>
      <c r="E33" s="1656"/>
      <c r="F33" s="1656"/>
      <c r="G33" s="1656"/>
      <c r="H33" s="1656"/>
    </row>
    <row r="34" spans="1:8">
      <c r="A34" s="1656" t="s">
        <v>1132</v>
      </c>
      <c r="B34" s="1656"/>
      <c r="C34" s="1656"/>
      <c r="D34" s="1656"/>
      <c r="E34" s="1656"/>
      <c r="F34" s="1656"/>
      <c r="G34" s="1656"/>
      <c r="H34" s="1656"/>
    </row>
    <row r="35" spans="1:8">
      <c r="A35" s="1656" t="s">
        <v>1133</v>
      </c>
      <c r="B35" s="1656"/>
      <c r="C35" s="1656"/>
      <c r="D35" s="1656"/>
      <c r="E35" s="1656"/>
      <c r="F35" s="1656"/>
      <c r="G35" s="1656"/>
      <c r="H35" s="1656"/>
    </row>
    <row r="36" spans="1:8">
      <c r="A36" s="1656" t="s">
        <v>1134</v>
      </c>
      <c r="B36" s="1656"/>
      <c r="C36" s="1656"/>
      <c r="D36" s="1656"/>
      <c r="E36" s="1656"/>
      <c r="F36" s="1656"/>
      <c r="G36" s="1656"/>
      <c r="H36" s="1656"/>
    </row>
    <row r="37" spans="1:8">
      <c r="A37" s="1656" t="s">
        <v>1135</v>
      </c>
      <c r="B37" s="1656"/>
      <c r="C37" s="1656"/>
      <c r="D37" s="1656"/>
      <c r="E37" s="1656"/>
      <c r="F37" s="1656"/>
      <c r="G37" s="1656"/>
      <c r="H37" s="1656"/>
    </row>
    <row r="38" spans="1:8">
      <c r="A38" s="1656" t="s">
        <v>1136</v>
      </c>
      <c r="B38" s="1656"/>
      <c r="C38" s="1656"/>
      <c r="D38" s="1656"/>
      <c r="E38" s="1656"/>
      <c r="F38" s="1656"/>
      <c r="G38" s="1656"/>
      <c r="H38" s="1656"/>
    </row>
    <row r="39" spans="1:8">
      <c r="A39" s="1656" t="s">
        <v>1137</v>
      </c>
      <c r="B39" s="1656"/>
      <c r="C39" s="1656"/>
      <c r="D39" s="1656"/>
      <c r="E39" s="1656"/>
      <c r="F39" s="1656"/>
      <c r="G39" s="1656"/>
      <c r="H39" s="1656"/>
    </row>
    <row r="40" spans="1:8">
      <c r="A40" s="1656" t="s">
        <v>1138</v>
      </c>
      <c r="B40" s="1656"/>
      <c r="C40" s="1656"/>
      <c r="D40" s="1656"/>
      <c r="E40" s="1656"/>
      <c r="F40" s="1656"/>
      <c r="G40" s="1656"/>
      <c r="H40" s="1656"/>
    </row>
    <row r="41" spans="1:8">
      <c r="A41" s="1656" t="s">
        <v>1139</v>
      </c>
      <c r="B41" s="1656"/>
      <c r="C41" s="1656"/>
      <c r="D41" s="1656"/>
      <c r="E41" s="1656"/>
      <c r="F41" s="1656"/>
      <c r="G41" s="1656"/>
      <c r="H41" s="1656"/>
    </row>
    <row r="42" spans="1:8">
      <c r="A42" s="1656" t="s">
        <v>1140</v>
      </c>
      <c r="B42" s="1656"/>
      <c r="C42" s="1656"/>
      <c r="D42" s="1656"/>
      <c r="E42" s="1656"/>
      <c r="F42" s="1656"/>
      <c r="G42" s="1656"/>
      <c r="H42" s="1656"/>
    </row>
    <row r="43" spans="1:8">
      <c r="A43" s="1656" t="s">
        <v>1141</v>
      </c>
      <c r="B43" s="1656"/>
      <c r="C43" s="1656"/>
      <c r="D43" s="1656"/>
      <c r="E43" s="1656"/>
      <c r="F43" s="1656"/>
      <c r="G43" s="1656"/>
      <c r="H43" s="1656"/>
    </row>
    <row r="44" spans="1:8">
      <c r="A44" s="1656" t="s">
        <v>1142</v>
      </c>
      <c r="B44" s="1656"/>
      <c r="C44" s="1656"/>
      <c r="D44" s="1656"/>
      <c r="E44" s="1656"/>
      <c r="F44" s="1656"/>
      <c r="G44" s="1656"/>
      <c r="H44" s="1656"/>
    </row>
    <row r="45" spans="1:8">
      <c r="A45" s="1656" t="s">
        <v>1143</v>
      </c>
      <c r="B45" s="1656"/>
      <c r="C45" s="1656"/>
      <c r="D45" s="1656"/>
      <c r="E45" s="1656"/>
      <c r="F45" s="1656"/>
      <c r="G45" s="1656"/>
      <c r="H45" s="1656"/>
    </row>
    <row r="46" spans="1:8">
      <c r="A46" s="1656" t="s">
        <v>1144</v>
      </c>
      <c r="B46" s="1656"/>
      <c r="C46" s="1656"/>
      <c r="D46" s="1656"/>
      <c r="E46" s="1656"/>
      <c r="F46" s="1656"/>
      <c r="G46" s="1656"/>
      <c r="H46" s="1656"/>
    </row>
    <row r="47" spans="1:8">
      <c r="A47" s="1656" t="s">
        <v>1145</v>
      </c>
      <c r="B47" s="1656"/>
      <c r="C47" s="1656"/>
      <c r="D47" s="1656"/>
      <c r="E47" s="1656"/>
      <c r="F47" s="1656"/>
      <c r="G47" s="1656"/>
      <c r="H47" s="1656"/>
    </row>
    <row r="48" spans="1:8">
      <c r="A48" s="1656" t="s">
        <v>1146</v>
      </c>
      <c r="B48" s="1656"/>
      <c r="C48" s="1656"/>
      <c r="D48" s="1656"/>
      <c r="E48" s="1656"/>
      <c r="F48" s="1656"/>
      <c r="G48" s="1656"/>
      <c r="H48" s="1656"/>
    </row>
    <row r="49" spans="1:8">
      <c r="A49" s="1656" t="s">
        <v>1147</v>
      </c>
      <c r="B49" s="1656"/>
      <c r="C49" s="1656"/>
      <c r="D49" s="1656"/>
      <c r="E49" s="1656"/>
      <c r="F49" s="1656"/>
      <c r="G49" s="1656"/>
      <c r="H49" s="1656"/>
    </row>
    <row r="50" spans="1:8">
      <c r="A50" s="1656" t="s">
        <v>1148</v>
      </c>
      <c r="B50" s="1656"/>
      <c r="C50" s="1656"/>
      <c r="D50" s="1656"/>
      <c r="E50" s="1656"/>
      <c r="F50" s="1656"/>
      <c r="G50" s="1656"/>
      <c r="H50" s="1656"/>
    </row>
    <row r="51" spans="1:8">
      <c r="A51" s="1656"/>
      <c r="B51" s="1656"/>
      <c r="C51" s="1656"/>
      <c r="D51" s="1656"/>
      <c r="E51" s="1656"/>
      <c r="F51" s="1656"/>
      <c r="G51" s="1656"/>
      <c r="H51" s="1656"/>
    </row>
    <row r="52" spans="1:8">
      <c r="A52" s="1656" t="s">
        <v>1149</v>
      </c>
      <c r="B52" s="1656"/>
      <c r="C52" s="1656"/>
      <c r="D52" s="1656"/>
      <c r="E52" s="1656"/>
      <c r="F52" s="1656"/>
      <c r="G52" s="1656"/>
      <c r="H52" s="1656"/>
    </row>
    <row r="53" spans="1:8">
      <c r="A53" s="1656" t="s">
        <v>1150</v>
      </c>
      <c r="B53" s="1656"/>
      <c r="C53" s="1656"/>
      <c r="D53" s="1656"/>
      <c r="E53" s="1656"/>
      <c r="F53" s="1656"/>
      <c r="G53" s="1656"/>
      <c r="H53" s="1656"/>
    </row>
    <row r="54" spans="1:8">
      <c r="A54" s="1656" t="s">
        <v>1151</v>
      </c>
      <c r="B54" s="1656"/>
      <c r="C54" s="1656"/>
      <c r="D54" s="1656"/>
      <c r="E54" s="1656"/>
      <c r="F54" s="1656"/>
      <c r="G54" s="1656"/>
      <c r="H54" s="1656"/>
    </row>
    <row r="55" spans="1:8">
      <c r="A55" s="1656" t="s">
        <v>1152</v>
      </c>
      <c r="B55" s="1656"/>
      <c r="C55" s="1656"/>
      <c r="D55" s="1656"/>
      <c r="E55" s="1656"/>
      <c r="F55" s="1656"/>
      <c r="G55" s="1656"/>
      <c r="H55" s="1656"/>
    </row>
    <row r="56" spans="1:8">
      <c r="A56" s="1656"/>
      <c r="B56" s="1656"/>
      <c r="C56" s="1656"/>
      <c r="D56" s="1656"/>
      <c r="E56" s="1656"/>
      <c r="F56" s="1656"/>
      <c r="G56" s="1656"/>
      <c r="H56" s="1656"/>
    </row>
    <row r="57" spans="1:8">
      <c r="A57" s="1656" t="s">
        <v>1153</v>
      </c>
      <c r="B57" s="1656"/>
      <c r="C57" s="1656"/>
      <c r="D57" s="1656"/>
      <c r="E57" s="1656"/>
      <c r="F57" s="1656"/>
      <c r="G57" s="1656"/>
      <c r="H57" s="1656"/>
    </row>
    <row r="58" spans="1:8">
      <c r="A58" s="1656" t="s">
        <v>1154</v>
      </c>
      <c r="B58" s="1656"/>
      <c r="C58" s="1656"/>
      <c r="D58" s="1656"/>
      <c r="E58" s="1656"/>
      <c r="F58" s="1656"/>
      <c r="G58" s="1656"/>
      <c r="H58" s="1656"/>
    </row>
    <row r="59" spans="1:8">
      <c r="A59" s="1656" t="s">
        <v>1155</v>
      </c>
      <c r="B59" s="1656"/>
      <c r="C59" s="1656"/>
      <c r="D59" s="1656"/>
      <c r="E59" s="1656"/>
      <c r="F59" s="1656"/>
      <c r="G59" s="1656"/>
      <c r="H59" s="1656"/>
    </row>
    <row r="60" spans="1:8">
      <c r="A60" s="1656" t="s">
        <v>1156</v>
      </c>
      <c r="B60" s="1656"/>
      <c r="C60" s="1656"/>
      <c r="D60" s="1656"/>
      <c r="E60" s="1656"/>
      <c r="F60" s="1656"/>
      <c r="G60" s="1656"/>
      <c r="H60" s="1656"/>
    </row>
    <row r="61" spans="1:8">
      <c r="A61" s="1656" t="s">
        <v>1157</v>
      </c>
      <c r="B61" s="1656"/>
      <c r="C61" s="1656"/>
      <c r="D61" s="1656"/>
      <c r="E61" s="1656"/>
      <c r="F61" s="1656"/>
      <c r="G61" s="1656"/>
      <c r="H61" s="1656"/>
    </row>
    <row r="62" spans="1:8">
      <c r="A62" s="1656" t="s">
        <v>1158</v>
      </c>
      <c r="B62" s="1656"/>
      <c r="C62" s="1656"/>
      <c r="D62" s="1656"/>
      <c r="E62" s="1656"/>
      <c r="F62" s="1656"/>
      <c r="G62" s="1656"/>
      <c r="H62" s="1656"/>
    </row>
    <row r="63" spans="1:8">
      <c r="A63" s="1656"/>
      <c r="B63" s="1656"/>
      <c r="C63" s="1656"/>
      <c r="D63" s="1656"/>
      <c r="E63" s="1656"/>
      <c r="F63" s="1656"/>
      <c r="G63" s="1656"/>
      <c r="H63" s="1656"/>
    </row>
    <row r="64" spans="1:8" ht="15.75">
      <c r="A64" s="1657" t="s">
        <v>1159</v>
      </c>
      <c r="B64" s="1656"/>
      <c r="C64" s="1656"/>
      <c r="D64" s="1656"/>
      <c r="E64" s="1656"/>
      <c r="F64" s="1656"/>
      <c r="G64" s="1656"/>
      <c r="H64" s="1656"/>
    </row>
    <row r="65" spans="1:8">
      <c r="A65" s="1656"/>
      <c r="B65" s="1656"/>
      <c r="C65" s="1656"/>
      <c r="D65" s="1656"/>
      <c r="E65" s="1656"/>
      <c r="F65" s="1656"/>
      <c r="G65" s="1656"/>
      <c r="H65" s="1656"/>
    </row>
    <row r="66" spans="1:8">
      <c r="A66" s="1656" t="s">
        <v>1160</v>
      </c>
      <c r="B66" s="1656"/>
      <c r="C66" s="1656"/>
      <c r="D66" s="1656"/>
      <c r="E66" s="1656"/>
      <c r="F66" s="1656"/>
      <c r="G66" s="1656"/>
      <c r="H66" s="1656"/>
    </row>
    <row r="67" spans="1:8">
      <c r="A67" s="1656" t="s">
        <v>1161</v>
      </c>
      <c r="B67" s="1656"/>
      <c r="C67" s="1656"/>
      <c r="D67" s="1656"/>
      <c r="E67" s="1656"/>
      <c r="F67" s="1656"/>
      <c r="G67" s="1656"/>
      <c r="H67" s="1656"/>
    </row>
    <row r="68" spans="1:8">
      <c r="A68" s="1656" t="s">
        <v>1162</v>
      </c>
      <c r="B68" s="1656"/>
      <c r="C68" s="1656"/>
      <c r="D68" s="1656"/>
      <c r="E68" s="1656"/>
      <c r="F68" s="1656"/>
      <c r="G68" s="1656"/>
      <c r="H68" s="1656"/>
    </row>
    <row r="69" spans="1:8">
      <c r="A69" s="1656" t="s">
        <v>1163</v>
      </c>
      <c r="B69" s="1656"/>
      <c r="C69" s="1656"/>
      <c r="D69" s="1656"/>
      <c r="E69" s="1656"/>
      <c r="F69" s="1656"/>
      <c r="G69" s="1656"/>
      <c r="H69" s="1656"/>
    </row>
    <row r="70" spans="1:8">
      <c r="A70" s="1656"/>
      <c r="B70" s="1656"/>
      <c r="C70" s="1656"/>
      <c r="D70" s="1656"/>
      <c r="E70" s="1656"/>
      <c r="F70" s="1656"/>
      <c r="G70" s="1656"/>
      <c r="H70" s="1656"/>
    </row>
    <row r="71" spans="1:8">
      <c r="A71" s="1656" t="s">
        <v>1164</v>
      </c>
      <c r="B71" s="1656"/>
      <c r="C71" s="1656"/>
      <c r="D71" s="1656"/>
      <c r="E71" s="1656"/>
      <c r="F71" s="1656"/>
      <c r="G71" s="1656"/>
      <c r="H71" s="1656"/>
    </row>
    <row r="72" spans="1:8">
      <c r="A72" s="1656"/>
      <c r="B72" s="1656"/>
      <c r="C72" s="1656"/>
      <c r="D72" s="1656"/>
      <c r="E72" s="1656"/>
      <c r="F72" s="1656"/>
      <c r="G72" s="1656"/>
      <c r="H72" s="1656"/>
    </row>
    <row r="73" spans="1:8" ht="15.75">
      <c r="A73" s="1657" t="s">
        <v>1165</v>
      </c>
      <c r="B73" s="1656"/>
      <c r="C73" s="1656"/>
      <c r="D73" s="1656"/>
      <c r="E73" s="1656"/>
      <c r="F73" s="1656"/>
      <c r="G73" s="1656"/>
      <c r="H73" s="1656"/>
    </row>
    <row r="74" spans="1:8">
      <c r="A74" s="1656"/>
      <c r="B74" s="1656"/>
      <c r="C74" s="1656"/>
      <c r="D74" s="1656"/>
      <c r="E74" s="1656"/>
      <c r="F74" s="1656"/>
      <c r="G74" s="1656"/>
      <c r="H74" s="1656"/>
    </row>
    <row r="75" spans="1:8">
      <c r="A75" s="1656" t="s">
        <v>1166</v>
      </c>
      <c r="B75" s="1656"/>
      <c r="C75" s="1656"/>
      <c r="D75" s="1656"/>
      <c r="E75" s="1656"/>
      <c r="F75" s="1656"/>
      <c r="G75" s="1656"/>
      <c r="H75" s="1656"/>
    </row>
    <row r="76" spans="1:8">
      <c r="A76" s="1656" t="s">
        <v>1167</v>
      </c>
      <c r="B76" s="1656"/>
      <c r="C76" s="1656"/>
      <c r="D76" s="1656"/>
      <c r="E76" s="1656"/>
      <c r="F76" s="1656"/>
      <c r="G76" s="1656"/>
      <c r="H76" s="1656"/>
    </row>
    <row r="77" spans="1:8">
      <c r="A77" s="1656" t="s">
        <v>1168</v>
      </c>
      <c r="B77" s="1656"/>
      <c r="C77" s="1656"/>
      <c r="D77" s="1656"/>
      <c r="E77" s="1656"/>
      <c r="F77" s="1656"/>
      <c r="G77" s="1656"/>
      <c r="H77" s="1656"/>
    </row>
    <row r="78" spans="1:8">
      <c r="A78" s="1656"/>
      <c r="B78" s="1656"/>
      <c r="C78" s="1656"/>
      <c r="D78" s="1656"/>
      <c r="E78" s="1656"/>
      <c r="F78" s="1656"/>
      <c r="G78" s="1656"/>
      <c r="H78" s="1656"/>
    </row>
    <row r="79" spans="1:8" ht="15.75">
      <c r="A79" s="1657" t="s">
        <v>1169</v>
      </c>
      <c r="B79" s="1656"/>
      <c r="C79" s="1656"/>
      <c r="D79" s="1656"/>
      <c r="E79" s="1656"/>
      <c r="F79" s="1656"/>
      <c r="G79" s="1656"/>
      <c r="H79" s="1656"/>
    </row>
    <row r="80" spans="1:8">
      <c r="A80" s="1656"/>
      <c r="B80" s="1656"/>
      <c r="C80" s="1656"/>
      <c r="D80" s="1656"/>
      <c r="E80" s="1656"/>
      <c r="F80" s="1656"/>
      <c r="G80" s="1656"/>
      <c r="H80" s="1656"/>
    </row>
    <row r="81" spans="1:8">
      <c r="A81" s="1656" t="s">
        <v>1170</v>
      </c>
      <c r="B81" s="1656"/>
      <c r="C81" s="1656"/>
      <c r="D81" s="1656"/>
      <c r="E81" s="1656"/>
      <c r="F81" s="1656"/>
      <c r="G81" s="1656"/>
      <c r="H81" s="1656"/>
    </row>
    <row r="82" spans="1:8">
      <c r="A82" s="1656" t="s">
        <v>1171</v>
      </c>
      <c r="B82" s="1656"/>
      <c r="C82" s="1656"/>
      <c r="D82" s="1656"/>
      <c r="E82" s="1656"/>
      <c r="F82" s="1656"/>
      <c r="G82" s="1656"/>
      <c r="H82" s="1656"/>
    </row>
    <row r="83" spans="1:8">
      <c r="A83" s="1656"/>
      <c r="B83" s="1656"/>
      <c r="C83" s="1656"/>
      <c r="D83" s="1656"/>
      <c r="E83" s="1656"/>
      <c r="F83" s="1656"/>
      <c r="G83" s="1656"/>
      <c r="H83" s="1656"/>
    </row>
    <row r="84" spans="1:8">
      <c r="A84" s="1656" t="s">
        <v>1172</v>
      </c>
      <c r="B84" s="1656"/>
      <c r="C84" s="1656"/>
      <c r="D84" s="1656"/>
      <c r="E84" s="1656"/>
      <c r="F84" s="1656"/>
      <c r="G84" s="1656"/>
      <c r="H84" s="1656"/>
    </row>
    <row r="85" spans="1:8">
      <c r="A85" s="1656" t="s">
        <v>1173</v>
      </c>
      <c r="B85" s="1656"/>
      <c r="C85" s="1656"/>
      <c r="D85" s="1656"/>
      <c r="E85" s="1656"/>
      <c r="F85" s="1656"/>
      <c r="G85" s="1656"/>
      <c r="H85" s="1656"/>
    </row>
    <row r="86" spans="1:8">
      <c r="A86" s="1656" t="s">
        <v>1174</v>
      </c>
      <c r="B86" s="1656"/>
      <c r="C86" s="1656"/>
      <c r="D86" s="1656"/>
      <c r="E86" s="1656"/>
      <c r="F86" s="1656"/>
      <c r="G86" s="1656"/>
      <c r="H86" s="1656"/>
    </row>
    <row r="87" spans="1:8">
      <c r="A87" s="1656" t="s">
        <v>1175</v>
      </c>
      <c r="B87" s="1656"/>
      <c r="C87" s="1656"/>
      <c r="D87" s="1656"/>
      <c r="E87" s="1656"/>
      <c r="F87" s="1656"/>
      <c r="G87" s="1656"/>
      <c r="H87" s="1656"/>
    </row>
    <row r="88" spans="1:8">
      <c r="A88" s="1656" t="s">
        <v>1176</v>
      </c>
      <c r="B88" s="1656"/>
      <c r="C88" s="1656"/>
      <c r="D88" s="1656"/>
      <c r="E88" s="1656"/>
      <c r="F88" s="1656"/>
      <c r="G88" s="1656"/>
      <c r="H88" s="1656"/>
    </row>
    <row r="89" spans="1:8">
      <c r="A89" s="1656" t="s">
        <v>1177</v>
      </c>
      <c r="B89" s="1656"/>
      <c r="C89" s="1656"/>
      <c r="D89" s="1656"/>
      <c r="E89" s="1656"/>
      <c r="F89" s="1656"/>
      <c r="G89" s="1656"/>
      <c r="H89" s="1656"/>
    </row>
    <row r="90" spans="1:8">
      <c r="A90" s="1656"/>
      <c r="B90" s="1656"/>
      <c r="C90" s="1656"/>
      <c r="D90" s="1656"/>
      <c r="E90" s="1656"/>
      <c r="F90" s="1656"/>
      <c r="G90" s="1656"/>
      <c r="H90" s="1656"/>
    </row>
    <row r="91" spans="1:8">
      <c r="A91" s="1656" t="s">
        <v>1178</v>
      </c>
      <c r="B91" s="1656"/>
      <c r="C91" s="1656"/>
      <c r="D91" s="1656"/>
      <c r="E91" s="1656"/>
      <c r="F91" s="1656"/>
      <c r="G91" s="1656"/>
      <c r="H91" s="1656"/>
    </row>
    <row r="92" spans="1:8">
      <c r="A92" s="1656" t="s">
        <v>1179</v>
      </c>
      <c r="B92" s="1656"/>
      <c r="C92" s="1656"/>
      <c r="D92" s="1656"/>
      <c r="E92" s="1656"/>
      <c r="F92" s="1656"/>
      <c r="G92" s="1656"/>
      <c r="H92" s="1656"/>
    </row>
    <row r="93" spans="1:8">
      <c r="A93" s="1656" t="s">
        <v>1180</v>
      </c>
      <c r="B93" s="1656"/>
      <c r="C93" s="1656"/>
      <c r="D93" s="1656"/>
      <c r="E93" s="1656"/>
      <c r="F93" s="1656"/>
      <c r="G93" s="1656"/>
      <c r="H93" s="1656"/>
    </row>
    <row r="94" spans="1:8">
      <c r="A94" s="1656" t="s">
        <v>1181</v>
      </c>
      <c r="B94" s="1656"/>
      <c r="C94" s="1656"/>
      <c r="D94" s="1656"/>
      <c r="E94" s="1656"/>
      <c r="F94" s="1656"/>
      <c r="G94" s="1656"/>
      <c r="H94" s="1656"/>
    </row>
    <row r="95" spans="1:8">
      <c r="A95" s="1656" t="s">
        <v>1182</v>
      </c>
      <c r="B95" s="1656"/>
      <c r="C95" s="1656"/>
      <c r="D95" s="1656"/>
      <c r="E95" s="1656"/>
      <c r="F95" s="1656"/>
      <c r="G95" s="1656"/>
      <c r="H95" s="1656"/>
    </row>
    <row r="96" spans="1:8">
      <c r="A96" s="1656" t="s">
        <v>1183</v>
      </c>
      <c r="B96" s="1656"/>
      <c r="C96" s="1656"/>
      <c r="D96" s="1656"/>
      <c r="E96" s="1656"/>
      <c r="F96" s="1656"/>
      <c r="G96" s="1656"/>
      <c r="H96" s="1656"/>
    </row>
    <row r="97" spans="1:8">
      <c r="A97" s="1656" t="s">
        <v>1184</v>
      </c>
      <c r="B97" s="1656"/>
      <c r="C97" s="1656"/>
      <c r="D97" s="1656"/>
      <c r="E97" s="1656"/>
      <c r="F97" s="1656"/>
      <c r="G97" s="1656"/>
      <c r="H97" s="1656"/>
    </row>
    <row r="98" spans="1:8">
      <c r="A98" s="1656"/>
      <c r="B98" s="1656"/>
      <c r="C98" s="1656"/>
      <c r="D98" s="1656"/>
      <c r="E98" s="1656"/>
      <c r="F98" s="1656"/>
      <c r="G98" s="1656"/>
      <c r="H98" s="1656"/>
    </row>
    <row r="99" spans="1:8">
      <c r="A99" s="1656" t="s">
        <v>1185</v>
      </c>
      <c r="B99" s="1656"/>
      <c r="C99" s="1656"/>
      <c r="D99" s="1656"/>
      <c r="E99" s="1656"/>
      <c r="F99" s="1656"/>
      <c r="G99" s="1656"/>
      <c r="H99" s="1656"/>
    </row>
    <row r="100" spans="1:8">
      <c r="A100" s="1656" t="s">
        <v>1186</v>
      </c>
      <c r="B100" s="1656"/>
      <c r="C100" s="1656"/>
      <c r="D100" s="1656"/>
      <c r="E100" s="1656"/>
      <c r="F100" s="1656"/>
      <c r="G100" s="1656"/>
      <c r="H100" s="1656"/>
    </row>
    <row r="101" spans="1:8">
      <c r="A101" s="1656"/>
      <c r="B101" s="1656"/>
      <c r="C101" s="1656"/>
      <c r="D101" s="1656"/>
      <c r="E101" s="1656"/>
      <c r="F101" s="1656"/>
      <c r="G101" s="1656"/>
      <c r="H101" s="1656"/>
    </row>
    <row r="102" spans="1:8" ht="15.75">
      <c r="A102" s="1657" t="s">
        <v>1187</v>
      </c>
      <c r="B102" s="1656"/>
      <c r="C102" s="1656"/>
      <c r="D102" s="1656"/>
      <c r="E102" s="1656"/>
      <c r="F102" s="1656"/>
      <c r="G102" s="1656"/>
      <c r="H102" s="1656"/>
    </row>
    <row r="103" spans="1:8">
      <c r="A103" s="1656"/>
      <c r="B103" s="1656"/>
      <c r="C103" s="1656"/>
      <c r="D103" s="1656"/>
      <c r="E103" s="1656"/>
      <c r="F103" s="1656"/>
      <c r="G103" s="1656"/>
      <c r="H103" s="1656"/>
    </row>
    <row r="104" spans="1:8">
      <c r="A104" s="1656" t="s">
        <v>1188</v>
      </c>
      <c r="B104" s="1656"/>
      <c r="C104" s="1656"/>
      <c r="D104" s="1656"/>
      <c r="E104" s="1656"/>
      <c r="F104" s="1656"/>
      <c r="G104" s="1656"/>
      <c r="H104" s="1656"/>
    </row>
    <row r="105" spans="1:8">
      <c r="A105" s="1656" t="s">
        <v>1189</v>
      </c>
      <c r="B105" s="1656"/>
      <c r="C105" s="1656"/>
      <c r="D105" s="1656"/>
      <c r="E105" s="1656"/>
      <c r="F105" s="1656"/>
      <c r="G105" s="1656"/>
      <c r="H105" s="1656"/>
    </row>
    <row r="106" spans="1:8">
      <c r="A106" s="1656" t="s">
        <v>1190</v>
      </c>
      <c r="B106" s="1656"/>
      <c r="C106" s="1656"/>
      <c r="D106" s="1656"/>
      <c r="E106" s="1656"/>
      <c r="F106" s="1656"/>
      <c r="G106" s="1656"/>
      <c r="H106" s="1656"/>
    </row>
    <row r="107" spans="1:8">
      <c r="A107" s="1656" t="s">
        <v>1191</v>
      </c>
      <c r="B107" s="1656"/>
      <c r="C107" s="1656"/>
      <c r="D107" s="1656"/>
      <c r="E107" s="1656"/>
      <c r="F107" s="1656"/>
      <c r="G107" s="1656"/>
      <c r="H107" s="1656"/>
    </row>
    <row r="108" spans="1:8">
      <c r="A108" s="1656" t="s">
        <v>1192</v>
      </c>
      <c r="B108" s="1656"/>
      <c r="C108" s="1656"/>
      <c r="D108" s="1656"/>
      <c r="E108" s="1656"/>
      <c r="F108" s="1656"/>
      <c r="G108" s="1656"/>
      <c r="H108" s="1656"/>
    </row>
    <row r="109" spans="1:8">
      <c r="A109" s="1656" t="s">
        <v>1193</v>
      </c>
      <c r="B109" s="1656"/>
      <c r="C109" s="1656"/>
      <c r="D109" s="1656"/>
      <c r="E109" s="1656"/>
      <c r="F109" s="1656"/>
      <c r="G109" s="1656"/>
      <c r="H109" s="1656"/>
    </row>
    <row r="110" spans="1:8">
      <c r="A110" s="1656" t="s">
        <v>1194</v>
      </c>
      <c r="B110" s="1656"/>
      <c r="C110" s="1656"/>
      <c r="D110" s="1656"/>
      <c r="E110" s="1656"/>
      <c r="F110" s="1656"/>
      <c r="G110" s="1656"/>
      <c r="H110" s="1656"/>
    </row>
    <row r="111" spans="1:8">
      <c r="A111" s="1656" t="s">
        <v>1195</v>
      </c>
      <c r="B111" s="1656"/>
      <c r="C111" s="1656"/>
      <c r="D111" s="1656"/>
      <c r="E111" s="1656"/>
      <c r="F111" s="1656"/>
      <c r="G111" s="1656"/>
      <c r="H111" s="1656"/>
    </row>
    <row r="112" spans="1:8">
      <c r="A112" s="1656" t="s">
        <v>1196</v>
      </c>
      <c r="B112" s="1656"/>
      <c r="C112" s="1656"/>
      <c r="D112" s="1656"/>
      <c r="E112" s="1656"/>
      <c r="F112" s="1656"/>
      <c r="G112" s="1656"/>
      <c r="H112" s="1656"/>
    </row>
    <row r="113" spans="1:8">
      <c r="A113" s="1656"/>
      <c r="B113" s="1656"/>
      <c r="C113" s="1656"/>
      <c r="D113" s="1656"/>
      <c r="E113" s="1656"/>
      <c r="F113" s="1656"/>
      <c r="G113" s="1656"/>
      <c r="H113" s="1656"/>
    </row>
    <row r="114" spans="1:8" ht="15.75">
      <c r="A114" s="1657" t="s">
        <v>1197</v>
      </c>
      <c r="B114" s="1656"/>
      <c r="C114" s="1656"/>
      <c r="D114" s="1656"/>
      <c r="E114" s="1656"/>
      <c r="F114" s="1656"/>
      <c r="G114" s="1656"/>
      <c r="H114" s="1656"/>
    </row>
    <row r="115" spans="1:8">
      <c r="A115" s="1656"/>
      <c r="B115" s="1656"/>
      <c r="C115" s="1656"/>
      <c r="D115" s="1656"/>
      <c r="E115" s="1656"/>
      <c r="F115" s="1656"/>
      <c r="G115" s="1656"/>
      <c r="H115" s="1656"/>
    </row>
    <row r="116" spans="1:8">
      <c r="A116" s="1656" t="s">
        <v>1198</v>
      </c>
      <c r="B116" s="1656"/>
      <c r="C116" s="1656"/>
      <c r="D116" s="1656"/>
      <c r="E116" s="1656"/>
      <c r="F116" s="1656"/>
      <c r="G116" s="1656"/>
      <c r="H116" s="1656"/>
    </row>
    <row r="117" spans="1:8">
      <c r="A117" s="1656"/>
      <c r="B117" s="1656"/>
      <c r="C117" s="1656"/>
      <c r="D117" s="1656"/>
      <c r="E117" s="1656"/>
      <c r="F117" s="1656"/>
      <c r="G117" s="1656"/>
      <c r="H117" s="1656"/>
    </row>
    <row r="118" spans="1:8">
      <c r="A118" s="1656" t="s">
        <v>1199</v>
      </c>
      <c r="B118" s="1656"/>
      <c r="C118" s="1656"/>
      <c r="D118" s="1656"/>
      <c r="E118" s="1656"/>
      <c r="F118" s="1656"/>
      <c r="G118" s="1656"/>
      <c r="H118" s="1656"/>
    </row>
    <row r="119" spans="1:8">
      <c r="A119" s="1656" t="s">
        <v>1200</v>
      </c>
      <c r="B119" s="1656"/>
      <c r="C119" s="1656"/>
      <c r="D119" s="1656"/>
      <c r="E119" s="1656"/>
      <c r="F119" s="1656"/>
      <c r="G119" s="1656"/>
      <c r="H119" s="1656"/>
    </row>
    <row r="120" spans="1:8">
      <c r="A120" s="1656"/>
      <c r="B120" s="1656"/>
      <c r="C120" s="1656"/>
      <c r="D120" s="1656"/>
      <c r="E120" s="1656"/>
      <c r="F120" s="1656"/>
      <c r="G120" s="1656"/>
      <c r="H120" s="1656"/>
    </row>
    <row r="121" spans="1:8">
      <c r="A121" s="1656" t="s">
        <v>1201</v>
      </c>
      <c r="B121" s="1656"/>
      <c r="C121" s="1656"/>
      <c r="D121" s="1656"/>
      <c r="E121" s="1656"/>
      <c r="F121" s="1656"/>
      <c r="G121" s="1656"/>
      <c r="H121" s="1656"/>
    </row>
    <row r="122" spans="1:8">
      <c r="A122" s="1656" t="s">
        <v>1202</v>
      </c>
      <c r="B122" s="1656"/>
      <c r="C122" s="1656"/>
      <c r="D122" s="1656"/>
      <c r="E122" s="1656"/>
      <c r="F122" s="1656"/>
      <c r="G122" s="1656"/>
      <c r="H122" s="1656"/>
    </row>
    <row r="123" spans="1:8">
      <c r="A123" s="1656" t="s">
        <v>1203</v>
      </c>
      <c r="B123" s="1656"/>
      <c r="C123" s="1656"/>
      <c r="D123" s="1656"/>
      <c r="E123" s="1656"/>
      <c r="F123" s="1656"/>
      <c r="G123" s="1656"/>
      <c r="H123" s="1656"/>
    </row>
    <row r="124" spans="1:8">
      <c r="A124" s="1656" t="s">
        <v>1204</v>
      </c>
      <c r="B124" s="1656"/>
      <c r="C124" s="1656"/>
      <c r="D124" s="1656"/>
      <c r="E124" s="1656"/>
      <c r="F124" s="1656"/>
      <c r="G124" s="1656"/>
      <c r="H124" s="1656"/>
    </row>
    <row r="125" spans="1:8">
      <c r="A125" s="1656" t="s">
        <v>1205</v>
      </c>
      <c r="B125" s="1656"/>
      <c r="C125" s="1656"/>
      <c r="D125" s="1656"/>
      <c r="E125" s="1656"/>
      <c r="F125" s="1656"/>
      <c r="G125" s="1656"/>
      <c r="H125" s="1656"/>
    </row>
    <row r="126" spans="1:8">
      <c r="A126" s="1656" t="s">
        <v>1206</v>
      </c>
      <c r="B126" s="1656"/>
      <c r="C126" s="1656"/>
      <c r="D126" s="1656"/>
      <c r="E126" s="1656"/>
      <c r="F126" s="1656"/>
      <c r="G126" s="1656"/>
      <c r="H126" s="1656"/>
    </row>
    <row r="127" spans="1:8">
      <c r="A127" s="1656" t="s">
        <v>1207</v>
      </c>
      <c r="B127" s="1656"/>
      <c r="C127" s="1656"/>
      <c r="D127" s="1656"/>
      <c r="E127" s="1656"/>
      <c r="F127" s="1656"/>
      <c r="G127" s="1656"/>
      <c r="H127" s="1656"/>
    </row>
    <row r="128" spans="1:8">
      <c r="A128" s="1656"/>
      <c r="B128" s="1656"/>
      <c r="C128" s="1656"/>
      <c r="D128" s="1656"/>
      <c r="E128" s="1656"/>
      <c r="F128" s="1656"/>
      <c r="G128" s="1656"/>
      <c r="H128" s="1656"/>
    </row>
    <row r="129" spans="1:8">
      <c r="A129" s="1658"/>
      <c r="B129" s="1659" t="s">
        <v>1208</v>
      </c>
      <c r="C129" s="1659"/>
      <c r="D129" s="1659" t="s">
        <v>1209</v>
      </c>
      <c r="E129" s="1659"/>
      <c r="F129" s="1659"/>
      <c r="G129" s="1659" t="s">
        <v>1210</v>
      </c>
      <c r="H129" s="1659"/>
    </row>
    <row r="130" spans="1:8">
      <c r="A130" s="1658" t="s">
        <v>1211</v>
      </c>
      <c r="B130" s="1658" t="s">
        <v>1212</v>
      </c>
      <c r="C130" s="1658" t="s">
        <v>1213</v>
      </c>
      <c r="D130" s="1658" t="s">
        <v>1212</v>
      </c>
      <c r="E130" s="1658" t="s">
        <v>1214</v>
      </c>
      <c r="F130" s="1658" t="s">
        <v>1215</v>
      </c>
      <c r="G130" s="1658" t="s">
        <v>1212</v>
      </c>
      <c r="H130" s="1658" t="s">
        <v>1216</v>
      </c>
    </row>
    <row r="131" spans="1:8">
      <c r="A131" s="1658" t="s">
        <v>1217</v>
      </c>
      <c r="B131" s="1658">
        <v>1520</v>
      </c>
      <c r="C131" s="1658">
        <v>0.41</v>
      </c>
      <c r="D131" s="1658">
        <v>425</v>
      </c>
      <c r="E131" s="1658">
        <v>0.48</v>
      </c>
      <c r="F131" s="1658">
        <v>0.28000000000000003</v>
      </c>
      <c r="G131" s="1658">
        <v>685</v>
      </c>
      <c r="H131" s="1658">
        <v>0.42</v>
      </c>
    </row>
    <row r="132" spans="1:8">
      <c r="A132" s="1658" t="s">
        <v>1218</v>
      </c>
      <c r="B132" s="1658">
        <v>1579</v>
      </c>
      <c r="C132" s="1658">
        <v>0.43</v>
      </c>
      <c r="D132" s="1658">
        <v>375</v>
      </c>
      <c r="E132" s="1658">
        <v>0.42</v>
      </c>
      <c r="F132" s="1658">
        <v>0.24</v>
      </c>
      <c r="G132" s="1658">
        <v>713</v>
      </c>
      <c r="H132" s="1658">
        <v>0.44</v>
      </c>
    </row>
    <row r="133" spans="1:8">
      <c r="A133" s="1658" t="s">
        <v>1219</v>
      </c>
      <c r="B133" s="1658">
        <v>4</v>
      </c>
      <c r="C133" s="1658">
        <v>0</v>
      </c>
      <c r="D133" s="1658">
        <v>1</v>
      </c>
      <c r="E133" s="1658">
        <v>0</v>
      </c>
      <c r="F133" s="1658">
        <v>0.25</v>
      </c>
      <c r="G133" s="1658">
        <v>1</v>
      </c>
      <c r="H133" s="1658">
        <v>0</v>
      </c>
    </row>
    <row r="134" spans="1:8">
      <c r="A134" s="1658" t="s">
        <v>1220</v>
      </c>
      <c r="B134" s="1658">
        <v>592</v>
      </c>
      <c r="C134" s="1658">
        <v>0.16</v>
      </c>
      <c r="D134" s="1658">
        <v>89</v>
      </c>
      <c r="E134" s="1658">
        <v>0.1</v>
      </c>
      <c r="F134" s="1658">
        <v>0.15</v>
      </c>
      <c r="G134" s="1658">
        <v>232</v>
      </c>
      <c r="H134" s="1658">
        <v>0.14000000000000001</v>
      </c>
    </row>
    <row r="135" spans="1:8">
      <c r="A135" s="1658" t="s">
        <v>327</v>
      </c>
      <c r="B135" s="1658">
        <v>3695</v>
      </c>
      <c r="C135" s="1658"/>
      <c r="D135" s="1658">
        <v>890</v>
      </c>
      <c r="E135" s="1658"/>
      <c r="F135" s="1658"/>
      <c r="G135" s="1658">
        <v>1631</v>
      </c>
      <c r="H135" s="1658"/>
    </row>
    <row r="136" spans="1:8">
      <c r="A136" s="1656"/>
      <c r="B136" s="1656"/>
      <c r="C136" s="1656"/>
      <c r="D136" s="1656"/>
      <c r="E136" s="1656"/>
      <c r="F136" s="1656"/>
      <c r="G136" s="1656"/>
      <c r="H136" s="1656"/>
    </row>
    <row r="137" spans="1:8">
      <c r="A137" s="1656" t="s">
        <v>1221</v>
      </c>
      <c r="B137" s="1656"/>
      <c r="C137" s="1656"/>
      <c r="D137" s="1656"/>
      <c r="E137" s="1656"/>
      <c r="F137" s="1656"/>
      <c r="G137" s="1656"/>
      <c r="H137" s="1656"/>
    </row>
    <row r="138" spans="1:8">
      <c r="A138" s="1656" t="s">
        <v>1222</v>
      </c>
      <c r="B138" s="1656"/>
      <c r="C138" s="1656"/>
      <c r="D138" s="1656"/>
      <c r="E138" s="1656"/>
      <c r="F138" s="1656"/>
      <c r="G138" s="1656"/>
      <c r="H138" s="1656"/>
    </row>
    <row r="139" spans="1:8">
      <c r="A139" s="1656" t="s">
        <v>1223</v>
      </c>
      <c r="B139" s="1656"/>
      <c r="C139" s="1656"/>
      <c r="D139" s="1656"/>
      <c r="E139" s="1656"/>
      <c r="F139" s="1656"/>
      <c r="G139" s="1656"/>
      <c r="H139" s="1656"/>
    </row>
    <row r="140" spans="1:8">
      <c r="A140" s="1656" t="s">
        <v>1224</v>
      </c>
      <c r="B140" s="1656"/>
      <c r="C140" s="1656"/>
      <c r="D140" s="1656"/>
      <c r="E140" s="1656"/>
      <c r="F140" s="1656"/>
      <c r="G140" s="1656"/>
      <c r="H140" s="1656"/>
    </row>
    <row r="141" spans="1:8">
      <c r="A141" s="1656"/>
      <c r="B141" s="1656"/>
      <c r="C141" s="1656"/>
      <c r="D141" s="1656"/>
      <c r="E141" s="1656"/>
      <c r="F141" s="1656"/>
      <c r="G141" s="1656"/>
      <c r="H141" s="1656"/>
    </row>
    <row r="142" spans="1:8" ht="15.75">
      <c r="A142" s="1657" t="s">
        <v>1225</v>
      </c>
      <c r="B142" s="1656"/>
      <c r="C142" s="1656"/>
      <c r="D142" s="1656"/>
      <c r="E142" s="1656"/>
      <c r="F142" s="1656"/>
      <c r="G142" s="1656"/>
      <c r="H142" s="1656"/>
    </row>
    <row r="143" spans="1:8">
      <c r="A143" s="1656"/>
      <c r="B143" s="1656"/>
      <c r="C143" s="1656"/>
      <c r="D143" s="1656"/>
      <c r="E143" s="1656"/>
      <c r="F143" s="1656"/>
      <c r="G143" s="1656"/>
      <c r="H143" s="1656"/>
    </row>
    <row r="144" spans="1:8">
      <c r="A144" s="1656" t="s">
        <v>1226</v>
      </c>
      <c r="B144" s="1656"/>
      <c r="C144" s="1656"/>
      <c r="D144" s="1656"/>
      <c r="E144" s="1656"/>
      <c r="F144" s="1656"/>
      <c r="G144" s="1656"/>
      <c r="H144" s="1656"/>
    </row>
    <row r="145" spans="1:8">
      <c r="A145" s="1656" t="s">
        <v>1227</v>
      </c>
      <c r="B145" s="1656"/>
      <c r="C145" s="1656"/>
      <c r="D145" s="1656"/>
      <c r="E145" s="1656"/>
      <c r="F145" s="1656"/>
      <c r="G145" s="1656"/>
      <c r="H145" s="1656"/>
    </row>
    <row r="146" spans="1:8">
      <c r="A146" s="1656"/>
      <c r="B146" s="1656"/>
      <c r="C146" s="1656"/>
      <c r="D146" s="1656"/>
      <c r="E146" s="1656"/>
      <c r="F146" s="1656"/>
      <c r="G146" s="1656"/>
      <c r="H146" s="1656"/>
    </row>
    <row r="147" spans="1:8">
      <c r="A147" s="1656" t="s">
        <v>1228</v>
      </c>
      <c r="B147" s="1656"/>
      <c r="C147" s="1656"/>
      <c r="D147" s="1656"/>
      <c r="E147" s="1656"/>
      <c r="F147" s="1656"/>
      <c r="G147" s="1656"/>
      <c r="H147" s="1656"/>
    </row>
    <row r="148" spans="1:8">
      <c r="A148" s="1656" t="s">
        <v>1229</v>
      </c>
      <c r="B148" s="1656"/>
      <c r="C148" s="1656"/>
      <c r="D148" s="1656"/>
      <c r="E148" s="1656"/>
      <c r="F148" s="1656"/>
      <c r="G148" s="1656"/>
      <c r="H148" s="1656"/>
    </row>
    <row r="149" spans="1:8">
      <c r="A149" s="1656" t="s">
        <v>1230</v>
      </c>
      <c r="B149" s="1656"/>
      <c r="C149" s="1656"/>
      <c r="D149" s="1656"/>
      <c r="E149" s="1656"/>
      <c r="F149" s="1656"/>
      <c r="G149" s="1656"/>
      <c r="H149" s="1656"/>
    </row>
    <row r="150" spans="1:8">
      <c r="A150" s="1656"/>
      <c r="B150" s="1656"/>
      <c r="C150" s="1656"/>
      <c r="D150" s="1656"/>
      <c r="E150" s="1656"/>
      <c r="F150" s="1656"/>
      <c r="G150" s="1656"/>
      <c r="H150" s="1656"/>
    </row>
    <row r="151" spans="1:8">
      <c r="A151" s="1656" t="s">
        <v>1231</v>
      </c>
      <c r="B151" s="1656"/>
      <c r="C151" s="1656"/>
      <c r="D151" s="1656"/>
      <c r="E151" s="1656"/>
      <c r="F151" s="1656"/>
      <c r="G151" s="1656"/>
      <c r="H151" s="1656"/>
    </row>
    <row r="152" spans="1:8">
      <c r="A152" s="1656" t="s">
        <v>1232</v>
      </c>
      <c r="B152" s="1656"/>
      <c r="C152" s="1656"/>
      <c r="D152" s="1656"/>
      <c r="E152" s="1656"/>
      <c r="F152" s="1656"/>
      <c r="G152" s="1656"/>
      <c r="H152" s="1656"/>
    </row>
    <row r="153" spans="1:8">
      <c r="A153" s="1656" t="s">
        <v>1233</v>
      </c>
      <c r="B153" s="1656"/>
      <c r="C153" s="1656"/>
      <c r="D153" s="1656"/>
      <c r="E153" s="1656"/>
      <c r="F153" s="1656"/>
      <c r="G153" s="1656"/>
      <c r="H153" s="1656"/>
    </row>
    <row r="154" spans="1:8">
      <c r="A154" s="1656"/>
      <c r="B154" s="1656"/>
      <c r="C154" s="1656"/>
      <c r="D154" s="1656"/>
      <c r="E154" s="1656"/>
      <c r="F154" s="1656"/>
      <c r="G154" s="1656"/>
      <c r="H154" s="1656"/>
    </row>
    <row r="155" spans="1:8">
      <c r="A155" s="1656" t="s">
        <v>1234</v>
      </c>
      <c r="B155" s="1656"/>
      <c r="C155" s="1656"/>
      <c r="D155" s="1656"/>
      <c r="E155" s="1656"/>
      <c r="F155" s="1656"/>
      <c r="G155" s="1656"/>
      <c r="H155" s="1656"/>
    </row>
    <row r="156" spans="1:8">
      <c r="A156" s="1656" t="s">
        <v>1235</v>
      </c>
      <c r="B156" s="1656"/>
      <c r="C156" s="1656"/>
      <c r="D156" s="1656"/>
      <c r="E156" s="1656"/>
      <c r="F156" s="1656"/>
      <c r="G156" s="1656"/>
      <c r="H156" s="1656"/>
    </row>
    <row r="157" spans="1:8">
      <c r="A157" s="1656" t="s">
        <v>1236</v>
      </c>
      <c r="B157" s="1656"/>
      <c r="C157" s="1656"/>
      <c r="D157" s="1656"/>
      <c r="E157" s="1656"/>
      <c r="F157" s="1656"/>
      <c r="G157" s="1656"/>
      <c r="H157" s="1656"/>
    </row>
    <row r="158" spans="1:8">
      <c r="A158" s="1656"/>
      <c r="B158" s="1656"/>
      <c r="C158" s="1656"/>
      <c r="D158" s="1656"/>
      <c r="E158" s="1656"/>
      <c r="F158" s="1656"/>
      <c r="G158" s="1656"/>
      <c r="H158" s="1656"/>
    </row>
    <row r="159" spans="1:8">
      <c r="A159" s="1656" t="s">
        <v>1237</v>
      </c>
      <c r="B159" s="1656"/>
      <c r="C159" s="1656"/>
      <c r="D159" s="1656"/>
      <c r="E159" s="1656"/>
      <c r="F159" s="1656"/>
      <c r="G159" s="1656"/>
      <c r="H159" s="1656"/>
    </row>
    <row r="160" spans="1:8">
      <c r="A160" s="1656" t="s">
        <v>1238</v>
      </c>
      <c r="B160" s="1656"/>
      <c r="C160" s="1656"/>
      <c r="D160" s="1656"/>
      <c r="E160" s="1656"/>
      <c r="F160" s="1656"/>
      <c r="G160" s="1656"/>
      <c r="H160" s="1656"/>
    </row>
    <row r="161" spans="1:8">
      <c r="A161" s="1656"/>
      <c r="B161" s="1656"/>
      <c r="C161" s="1656"/>
      <c r="D161" s="1656"/>
      <c r="E161" s="1656"/>
      <c r="F161" s="1656"/>
      <c r="G161" s="1656"/>
      <c r="H161" s="1656"/>
    </row>
    <row r="162" spans="1:8" ht="15.75">
      <c r="A162" s="1657" t="s">
        <v>1239</v>
      </c>
      <c r="B162" s="1656"/>
      <c r="C162" s="1656"/>
      <c r="D162" s="1656"/>
      <c r="E162" s="1656"/>
      <c r="F162" s="1656"/>
      <c r="G162" s="1656"/>
      <c r="H162" s="1656"/>
    </row>
    <row r="163" spans="1:8">
      <c r="A163" s="1656"/>
      <c r="B163" s="1656"/>
      <c r="C163" s="1656"/>
      <c r="D163" s="1656"/>
      <c r="E163" s="1656"/>
      <c r="F163" s="1656"/>
      <c r="G163" s="1656"/>
      <c r="H163" s="1656"/>
    </row>
    <row r="164" spans="1:8">
      <c r="A164" s="1656" t="s">
        <v>1240</v>
      </c>
      <c r="B164" s="1656"/>
      <c r="C164" s="1656"/>
      <c r="D164" s="1656"/>
      <c r="E164" s="1656"/>
      <c r="F164" s="1656"/>
      <c r="G164" s="1656"/>
      <c r="H164" s="1656"/>
    </row>
    <row r="165" spans="1:8">
      <c r="A165" s="1656" t="s">
        <v>1241</v>
      </c>
      <c r="B165" s="1656"/>
      <c r="C165" s="1656"/>
      <c r="D165" s="1656"/>
      <c r="E165" s="1656"/>
      <c r="F165" s="1656"/>
      <c r="G165" s="1656"/>
      <c r="H165" s="1656"/>
    </row>
    <row r="166" spans="1:8">
      <c r="A166" s="1656"/>
      <c r="B166" s="1656"/>
      <c r="C166" s="1656"/>
      <c r="D166" s="1656"/>
      <c r="E166" s="1656"/>
      <c r="F166" s="1656"/>
      <c r="G166" s="1656"/>
      <c r="H166" s="1656"/>
    </row>
    <row r="167" spans="1:8">
      <c r="A167" s="1656" t="s">
        <v>1242</v>
      </c>
      <c r="B167" s="1656"/>
      <c r="C167" s="1656"/>
      <c r="D167" s="1656"/>
      <c r="E167" s="1656"/>
      <c r="F167" s="1656"/>
      <c r="G167" s="1656"/>
      <c r="H167" s="1656"/>
    </row>
    <row r="168" spans="1:8">
      <c r="A168" s="1656" t="s">
        <v>1243</v>
      </c>
      <c r="B168" s="1656"/>
      <c r="C168" s="1656"/>
      <c r="D168" s="1656"/>
      <c r="E168" s="1656"/>
      <c r="F168" s="1656"/>
      <c r="G168" s="1656"/>
      <c r="H168" s="1656"/>
    </row>
    <row r="169" spans="1:8">
      <c r="A169" s="1656"/>
      <c r="B169" s="1656"/>
      <c r="C169" s="1656"/>
      <c r="D169" s="1656"/>
      <c r="E169" s="1656"/>
      <c r="F169" s="1656"/>
      <c r="G169" s="1656"/>
      <c r="H169" s="1656"/>
    </row>
    <row r="170" spans="1:8">
      <c r="A170" s="1656" t="s">
        <v>1244</v>
      </c>
      <c r="B170" s="1656"/>
      <c r="C170" s="1656"/>
      <c r="D170" s="1656"/>
      <c r="E170" s="1656"/>
      <c r="F170" s="1656"/>
      <c r="G170" s="1656"/>
      <c r="H170" s="1656"/>
    </row>
    <row r="171" spans="1:8">
      <c r="A171" s="1656" t="s">
        <v>1245</v>
      </c>
      <c r="B171" s="1656"/>
      <c r="C171" s="1656"/>
      <c r="D171" s="1656"/>
      <c r="E171" s="1656"/>
      <c r="F171" s="1656"/>
      <c r="G171" s="1656"/>
      <c r="H171" s="1656"/>
    </row>
    <row r="172" spans="1:8">
      <c r="A172" s="1656"/>
      <c r="B172" s="1656"/>
      <c r="C172" s="1656"/>
      <c r="D172" s="1656"/>
      <c r="E172" s="1656"/>
      <c r="F172" s="1656"/>
      <c r="G172" s="1656"/>
      <c r="H172" s="1656"/>
    </row>
    <row r="173" spans="1:8">
      <c r="A173" s="1656" t="s">
        <v>1246</v>
      </c>
      <c r="B173" s="1656"/>
      <c r="C173" s="1656"/>
      <c r="D173" s="1656"/>
      <c r="E173" s="1656"/>
      <c r="F173" s="1656"/>
      <c r="G173" s="1656"/>
      <c r="H173" s="1656"/>
    </row>
    <row r="174" spans="1:8">
      <c r="A174" s="1656" t="s">
        <v>1247</v>
      </c>
      <c r="B174" s="1656"/>
      <c r="C174" s="1656"/>
      <c r="D174" s="1656"/>
      <c r="E174" s="1656"/>
      <c r="F174" s="1656"/>
      <c r="G174" s="1656"/>
      <c r="H174" s="1656"/>
    </row>
    <row r="175" spans="1:8">
      <c r="A175" s="1656" t="s">
        <v>1248</v>
      </c>
      <c r="B175" s="1656"/>
      <c r="C175" s="1656"/>
      <c r="D175" s="1656"/>
      <c r="E175" s="1656"/>
      <c r="F175" s="1656"/>
      <c r="G175" s="1656"/>
      <c r="H175" s="1656"/>
    </row>
    <row r="176" spans="1:8">
      <c r="A176" s="1656"/>
      <c r="B176" s="1656"/>
      <c r="C176" s="1656"/>
      <c r="D176" s="1656"/>
      <c r="E176" s="1656"/>
      <c r="F176" s="1656"/>
      <c r="G176" s="1656"/>
      <c r="H176" s="1656"/>
    </row>
    <row r="177" spans="1:8">
      <c r="A177" s="1656" t="s">
        <v>1164</v>
      </c>
      <c r="B177" s="1656"/>
      <c r="C177" s="1656"/>
      <c r="D177" s="1656"/>
      <c r="E177" s="1656"/>
      <c r="F177" s="1656"/>
      <c r="G177" s="1656"/>
      <c r="H177" s="1656"/>
    </row>
    <row r="178" spans="1:8">
      <c r="A178" s="1656"/>
      <c r="B178" s="1656"/>
      <c r="C178" s="1656"/>
      <c r="D178" s="1656"/>
      <c r="E178" s="1656"/>
      <c r="F178" s="1656"/>
      <c r="G178" s="1656"/>
      <c r="H178" s="1656"/>
    </row>
    <row r="179" spans="1:8" ht="15.75">
      <c r="A179" s="1657" t="s">
        <v>1249</v>
      </c>
      <c r="B179" s="1656"/>
      <c r="C179" s="1656"/>
      <c r="D179" s="1656"/>
      <c r="E179" s="1656"/>
      <c r="F179" s="1656"/>
      <c r="G179" s="1656"/>
      <c r="H179" s="1656"/>
    </row>
    <row r="180" spans="1:8">
      <c r="A180" s="1656"/>
      <c r="B180" s="1656"/>
      <c r="C180" s="1656"/>
      <c r="D180" s="1656"/>
      <c r="E180" s="1656"/>
      <c r="F180" s="1656"/>
      <c r="G180" s="1656"/>
      <c r="H180" s="1656"/>
    </row>
    <row r="181" spans="1:8">
      <c r="A181" s="1656"/>
      <c r="B181" s="1656"/>
      <c r="C181" s="1656"/>
      <c r="D181" s="1656"/>
      <c r="E181" s="1656"/>
      <c r="F181" s="1656"/>
      <c r="G181" s="1656"/>
      <c r="H181" s="1656"/>
    </row>
    <row r="182" spans="1:8">
      <c r="A182" s="1656"/>
      <c r="B182" s="1656"/>
      <c r="C182" s="1656"/>
      <c r="D182" s="1656"/>
      <c r="E182" s="1656"/>
      <c r="F182" s="1656"/>
      <c r="G182" s="1656"/>
      <c r="H182" s="1656"/>
    </row>
    <row r="183" spans="1:8">
      <c r="A183" s="1656"/>
      <c r="B183" s="1656"/>
      <c r="C183" s="1656"/>
      <c r="D183" s="1656"/>
      <c r="E183" s="1656"/>
      <c r="F183" s="1656"/>
      <c r="G183" s="1656"/>
      <c r="H183" s="1656"/>
    </row>
    <row r="184" spans="1:8">
      <c r="A184" s="1656"/>
      <c r="B184" s="1656"/>
      <c r="C184" s="1656"/>
      <c r="D184" s="1656"/>
      <c r="E184" s="1656"/>
      <c r="F184" s="1656"/>
      <c r="G184" s="1656"/>
      <c r="H184" s="1656"/>
    </row>
    <row r="185" spans="1:8">
      <c r="A185" s="1656"/>
      <c r="B185" s="1656"/>
      <c r="C185" s="1656"/>
      <c r="D185" s="1656"/>
      <c r="E185" s="1656"/>
      <c r="F185" s="1656"/>
      <c r="G185" s="1656"/>
      <c r="H185" s="1656"/>
    </row>
    <row r="186" spans="1:8">
      <c r="A186" s="1656"/>
      <c r="B186" s="1656"/>
      <c r="C186" s="1656"/>
      <c r="D186" s="1656"/>
      <c r="E186" s="1656"/>
      <c r="F186" s="1656"/>
      <c r="G186" s="1656"/>
      <c r="H186" s="1656"/>
    </row>
    <row r="187" spans="1:8">
      <c r="A187" s="1656"/>
      <c r="B187" s="1656"/>
      <c r="C187" s="1656"/>
      <c r="D187" s="1656"/>
      <c r="E187" s="1656"/>
      <c r="F187" s="1656"/>
      <c r="G187" s="1656"/>
      <c r="H187" s="1656"/>
    </row>
    <row r="188" spans="1:8">
      <c r="A188" s="1656"/>
      <c r="B188" s="1656"/>
      <c r="C188" s="1656"/>
      <c r="D188" s="1656"/>
      <c r="E188" s="1656"/>
      <c r="F188" s="1656"/>
      <c r="G188" s="1656"/>
      <c r="H188" s="1656"/>
    </row>
    <row r="189" spans="1:8">
      <c r="A189" s="1656"/>
      <c r="B189" s="1656"/>
      <c r="C189" s="1656"/>
      <c r="D189" s="1656"/>
      <c r="E189" s="1656"/>
      <c r="F189" s="1656"/>
      <c r="G189" s="1656"/>
      <c r="H189" s="1656"/>
    </row>
    <row r="190" spans="1:8">
      <c r="A190" s="1656"/>
      <c r="B190" s="1656"/>
      <c r="C190" s="1656"/>
      <c r="D190" s="1656"/>
      <c r="E190" s="1656"/>
      <c r="F190" s="1656"/>
      <c r="G190" s="1656"/>
      <c r="H190" s="1656"/>
    </row>
    <row r="191" spans="1:8">
      <c r="A191" s="1656"/>
      <c r="B191" s="1656"/>
      <c r="C191" s="1656"/>
      <c r="D191" s="1656"/>
      <c r="E191" s="1656"/>
      <c r="F191" s="1656"/>
      <c r="G191" s="1656"/>
      <c r="H191" s="1656"/>
    </row>
    <row r="192" spans="1:8">
      <c r="A192" s="1656"/>
      <c r="B192" s="1656"/>
      <c r="C192" s="1656"/>
      <c r="D192" s="1656"/>
      <c r="E192" s="1656"/>
      <c r="F192" s="1656"/>
      <c r="G192" s="1656"/>
      <c r="H192" s="1656"/>
    </row>
    <row r="193" spans="1:8">
      <c r="A193" s="1656"/>
      <c r="B193" s="1656"/>
      <c r="C193" s="1656"/>
      <c r="D193" s="1656"/>
      <c r="E193" s="1656"/>
      <c r="F193" s="1656"/>
      <c r="G193" s="1656"/>
      <c r="H193" s="1656"/>
    </row>
    <row r="194" spans="1:8">
      <c r="A194" s="1656"/>
      <c r="B194" s="1656"/>
      <c r="C194" s="1656"/>
      <c r="D194" s="1656"/>
      <c r="E194" s="1656"/>
      <c r="F194" s="1656"/>
      <c r="G194" s="1656"/>
      <c r="H194" s="1656"/>
    </row>
    <row r="195" spans="1:8">
      <c r="A195" s="1656"/>
      <c r="B195" s="1656"/>
      <c r="C195" s="1656"/>
      <c r="D195" s="1656"/>
      <c r="E195" s="1656"/>
      <c r="F195" s="1656"/>
      <c r="G195" s="1656"/>
      <c r="H195" s="1656"/>
    </row>
    <row r="196" spans="1:8">
      <c r="A196" s="1656"/>
      <c r="B196" s="1656"/>
      <c r="C196" s="1656"/>
      <c r="D196" s="1656"/>
      <c r="E196" s="1656"/>
      <c r="F196" s="1656"/>
      <c r="G196" s="1656"/>
      <c r="H196" s="1656"/>
    </row>
    <row r="197" spans="1:8">
      <c r="A197" s="1656"/>
      <c r="B197" s="1656"/>
      <c r="C197" s="1656"/>
      <c r="D197" s="1656"/>
      <c r="E197" s="1656"/>
      <c r="F197" s="1656"/>
      <c r="G197" s="1656"/>
      <c r="H197" s="1656"/>
    </row>
    <row r="198" spans="1:8">
      <c r="A198" s="1656"/>
      <c r="B198" s="1656"/>
      <c r="C198" s="1656"/>
      <c r="D198" s="1656"/>
      <c r="E198" s="1656"/>
      <c r="F198" s="1656"/>
      <c r="G198" s="1656"/>
      <c r="H198" s="1656"/>
    </row>
    <row r="199" spans="1:8">
      <c r="A199" s="1656"/>
      <c r="B199" s="1656"/>
      <c r="C199" s="1656"/>
      <c r="D199" s="1656"/>
      <c r="E199" s="1656"/>
      <c r="F199" s="1656"/>
      <c r="G199" s="1656"/>
      <c r="H199" s="1656"/>
    </row>
    <row r="200" spans="1:8">
      <c r="A200" s="1656"/>
      <c r="B200" s="1656"/>
      <c r="C200" s="1656"/>
      <c r="D200" s="1656"/>
      <c r="E200" s="1656"/>
      <c r="F200" s="1656"/>
      <c r="G200" s="1656"/>
      <c r="H200" s="1656"/>
    </row>
    <row r="201" spans="1:8">
      <c r="A201" s="1656"/>
      <c r="B201" s="1656"/>
      <c r="C201" s="1656"/>
      <c r="D201" s="1656"/>
      <c r="E201" s="1656"/>
      <c r="F201" s="1656"/>
      <c r="G201" s="1656"/>
      <c r="H201" s="1656"/>
    </row>
    <row r="202" spans="1:8">
      <c r="A202" s="1656"/>
      <c r="B202" s="1656"/>
      <c r="C202" s="1656"/>
      <c r="D202" s="1656"/>
      <c r="E202" s="1656"/>
      <c r="F202" s="1656"/>
      <c r="G202" s="1656"/>
      <c r="H202" s="1656"/>
    </row>
    <row r="203" spans="1:8">
      <c r="A203" s="1656"/>
      <c r="B203" s="1656"/>
      <c r="C203" s="1656"/>
      <c r="D203" s="1656"/>
      <c r="E203" s="1656"/>
      <c r="F203" s="1656"/>
      <c r="G203" s="1656"/>
      <c r="H203" s="1656"/>
    </row>
    <row r="204" spans="1:8">
      <c r="A204" s="1656"/>
      <c r="B204" s="1656"/>
      <c r="C204" s="1656"/>
      <c r="D204" s="1656"/>
      <c r="E204" s="1656"/>
      <c r="F204" s="1656"/>
      <c r="G204" s="1656"/>
      <c r="H204" s="1656"/>
    </row>
    <row r="205" spans="1:8">
      <c r="A205" s="1656"/>
      <c r="B205" s="1656"/>
      <c r="C205" s="1656"/>
      <c r="D205" s="1656"/>
      <c r="E205" s="1656"/>
      <c r="F205" s="1656"/>
      <c r="G205" s="1656"/>
      <c r="H205" s="1656"/>
    </row>
    <row r="206" spans="1:8">
      <c r="A206" s="1656"/>
      <c r="B206" s="1656"/>
      <c r="C206" s="1656"/>
      <c r="D206" s="1656"/>
      <c r="E206" s="1656"/>
      <c r="F206" s="1656"/>
      <c r="G206" s="1656"/>
      <c r="H206" s="1656"/>
    </row>
    <row r="207" spans="1:8">
      <c r="A207" s="1656"/>
      <c r="B207" s="1656"/>
      <c r="C207" s="1656"/>
      <c r="D207" s="1656"/>
      <c r="E207" s="1656"/>
      <c r="F207" s="1656"/>
      <c r="G207" s="1656"/>
      <c r="H207" s="1656"/>
    </row>
    <row r="208" spans="1:8" ht="15.75">
      <c r="A208" s="1657" t="s">
        <v>1250</v>
      </c>
      <c r="B208" s="1656"/>
      <c r="C208" s="1656"/>
      <c r="D208" s="1656"/>
      <c r="E208" s="1656"/>
      <c r="F208" s="1656"/>
      <c r="G208" s="1656"/>
      <c r="H208" s="1656"/>
    </row>
    <row r="209" spans="1:8">
      <c r="A209" s="1656"/>
      <c r="B209" s="1656"/>
      <c r="C209" s="1656"/>
      <c r="D209" s="1656"/>
      <c r="E209" s="1656"/>
      <c r="F209" s="1656"/>
      <c r="G209" s="1656"/>
      <c r="H209" s="1656"/>
    </row>
    <row r="210" spans="1:8">
      <c r="A210" s="1656" t="s">
        <v>1251</v>
      </c>
      <c r="B210" s="1656"/>
      <c r="C210" s="1656"/>
      <c r="D210" s="1656"/>
      <c r="E210" s="1656"/>
      <c r="F210" s="1656"/>
      <c r="G210" s="1656"/>
      <c r="H210" s="1656"/>
    </row>
    <row r="211" spans="1:8">
      <c r="A211" s="1656" t="s">
        <v>1252</v>
      </c>
      <c r="B211" s="1656"/>
      <c r="C211" s="1656"/>
      <c r="D211" s="1656"/>
      <c r="E211" s="1656"/>
      <c r="F211" s="1656"/>
      <c r="G211" s="1656"/>
      <c r="H211" s="1656"/>
    </row>
    <row r="212" spans="1:8">
      <c r="A212" s="1656" t="s">
        <v>1253</v>
      </c>
      <c r="B212" s="1656"/>
      <c r="C212" s="1656"/>
      <c r="D212" s="1656"/>
      <c r="E212" s="1656"/>
      <c r="F212" s="1656"/>
      <c r="G212" s="1656"/>
      <c r="H212" s="1656"/>
    </row>
    <row r="213" spans="1:8">
      <c r="A213" s="1656" t="s">
        <v>1254</v>
      </c>
      <c r="B213" s="1656"/>
      <c r="C213" s="1656"/>
      <c r="D213" s="1656"/>
      <c r="E213" s="1656"/>
      <c r="F213" s="1656"/>
      <c r="G213" s="1656"/>
      <c r="H213" s="1656"/>
    </row>
    <row r="214" spans="1:8">
      <c r="A214" s="1656" t="s">
        <v>1255</v>
      </c>
      <c r="B214" s="1656"/>
      <c r="C214" s="1656"/>
      <c r="D214" s="1656"/>
      <c r="E214" s="1656"/>
      <c r="F214" s="1656"/>
      <c r="G214" s="1656"/>
      <c r="H214" s="1656"/>
    </row>
    <row r="215" spans="1:8">
      <c r="A215" s="1656"/>
      <c r="B215" s="1656"/>
      <c r="C215" s="1656"/>
      <c r="D215" s="1656"/>
      <c r="E215" s="1656"/>
      <c r="F215" s="1656"/>
      <c r="G215" s="1656"/>
      <c r="H215" s="1656"/>
    </row>
    <row r="216" spans="1:8">
      <c r="A216" s="1656" t="s">
        <v>1256</v>
      </c>
      <c r="B216" s="1656"/>
      <c r="C216" s="1656"/>
      <c r="D216" s="1656"/>
      <c r="E216" s="1656"/>
      <c r="F216" s="1656"/>
      <c r="G216" s="1656"/>
      <c r="H216" s="1656"/>
    </row>
    <row r="217" spans="1:8">
      <c r="A217" s="1656" t="s">
        <v>1257</v>
      </c>
      <c r="B217" s="1656"/>
      <c r="C217" s="1656"/>
      <c r="D217" s="1656"/>
      <c r="E217" s="1656"/>
      <c r="F217" s="1656"/>
      <c r="G217" s="1656"/>
      <c r="H217" s="1656"/>
    </row>
    <row r="218" spans="1:8">
      <c r="A218" s="1656" t="s">
        <v>1258</v>
      </c>
      <c r="B218" s="1656"/>
      <c r="C218" s="1656"/>
      <c r="D218" s="1656"/>
      <c r="E218" s="1656"/>
      <c r="F218" s="1656"/>
      <c r="G218" s="1656"/>
      <c r="H218" s="1656"/>
    </row>
    <row r="219" spans="1:8">
      <c r="A219" s="1656"/>
      <c r="B219" s="1656"/>
      <c r="C219" s="1656"/>
      <c r="D219" s="1656"/>
      <c r="E219" s="1656"/>
      <c r="F219" s="1656"/>
      <c r="G219" s="1656"/>
      <c r="H219" s="1656"/>
    </row>
    <row r="220" spans="1:8" ht="15.75">
      <c r="A220" s="1657" t="s">
        <v>1259</v>
      </c>
      <c r="B220" s="1656"/>
      <c r="C220" s="1656"/>
      <c r="D220" s="1656"/>
      <c r="E220" s="1656"/>
      <c r="F220" s="1656"/>
      <c r="G220" s="1656"/>
      <c r="H220" s="1656"/>
    </row>
    <row r="221" spans="1:8">
      <c r="A221" s="1656"/>
      <c r="B221" s="1656"/>
      <c r="C221" s="1656"/>
      <c r="D221" s="1656"/>
      <c r="E221" s="1656"/>
      <c r="F221" s="1656"/>
      <c r="G221" s="1656"/>
      <c r="H221" s="1656"/>
    </row>
    <row r="222" spans="1:8">
      <c r="A222" s="1656" t="s">
        <v>1260</v>
      </c>
      <c r="B222" s="1656"/>
      <c r="C222" s="1656"/>
      <c r="D222" s="1656"/>
      <c r="E222" s="1656"/>
      <c r="F222" s="1656"/>
      <c r="G222" s="1656"/>
      <c r="H222" s="1656"/>
    </row>
    <row r="223" spans="1:8">
      <c r="A223" s="1656" t="s">
        <v>1261</v>
      </c>
      <c r="B223" s="1656"/>
      <c r="C223" s="1656"/>
      <c r="D223" s="1656"/>
      <c r="E223" s="1656"/>
      <c r="F223" s="1656"/>
      <c r="G223" s="1656"/>
      <c r="H223" s="1656"/>
    </row>
    <row r="224" spans="1:8">
      <c r="A224" s="1656" t="s">
        <v>1262</v>
      </c>
      <c r="B224" s="1656"/>
      <c r="C224" s="1656"/>
      <c r="D224" s="1656"/>
      <c r="E224" s="1656"/>
      <c r="F224" s="1656"/>
      <c r="G224" s="1656"/>
      <c r="H224" s="1656"/>
    </row>
    <row r="225" spans="1:8">
      <c r="A225" s="1656" t="s">
        <v>1263</v>
      </c>
      <c r="B225" s="1656"/>
      <c r="C225" s="1656"/>
      <c r="D225" s="1656"/>
      <c r="E225" s="1656"/>
      <c r="F225" s="1656"/>
      <c r="G225" s="1656"/>
      <c r="H225" s="1656"/>
    </row>
    <row r="226" spans="1:8">
      <c r="A226" s="1656" t="s">
        <v>1264</v>
      </c>
      <c r="B226" s="1656"/>
      <c r="C226" s="1656"/>
      <c r="D226" s="1656"/>
      <c r="E226" s="1656"/>
      <c r="F226" s="1656"/>
      <c r="G226" s="1656"/>
      <c r="H226" s="1656"/>
    </row>
    <row r="227" spans="1:8">
      <c r="A227" s="1656" t="s">
        <v>1265</v>
      </c>
      <c r="B227" s="1656"/>
      <c r="C227" s="1656"/>
      <c r="D227" s="1656"/>
      <c r="E227" s="1656"/>
      <c r="F227" s="1656"/>
      <c r="G227" s="1656"/>
      <c r="H227" s="1656"/>
    </row>
    <row r="228" spans="1:8">
      <c r="A228" s="1656" t="s">
        <v>1266</v>
      </c>
      <c r="B228" s="1656"/>
      <c r="C228" s="1656"/>
      <c r="D228" s="1656"/>
      <c r="E228" s="1656"/>
      <c r="F228" s="1656"/>
      <c r="G228" s="1656"/>
      <c r="H228" s="1656"/>
    </row>
    <row r="229" spans="1:8">
      <c r="A229" s="1656"/>
      <c r="B229" s="1656"/>
      <c r="C229" s="1656"/>
      <c r="D229" s="1656"/>
      <c r="E229" s="1656"/>
      <c r="F229" s="1656"/>
      <c r="G229" s="1656"/>
      <c r="H229" s="1656"/>
    </row>
    <row r="230" spans="1:8">
      <c r="A230" s="1656" t="s">
        <v>1267</v>
      </c>
      <c r="B230" s="1656"/>
      <c r="C230" s="1656"/>
      <c r="D230" s="1656"/>
      <c r="E230" s="1656"/>
      <c r="F230" s="1656"/>
      <c r="G230" s="1656"/>
      <c r="H230" s="1656"/>
    </row>
    <row r="231" spans="1:8">
      <c r="A231" s="1656" t="s">
        <v>1268</v>
      </c>
      <c r="B231" s="1656"/>
      <c r="C231" s="1656"/>
      <c r="D231" s="1656"/>
      <c r="E231" s="1656"/>
      <c r="F231" s="1656"/>
      <c r="G231" s="1656"/>
      <c r="H231" s="1656"/>
    </row>
    <row r="232" spans="1:8">
      <c r="A232" s="1656" t="s">
        <v>1269</v>
      </c>
      <c r="B232" s="1656"/>
      <c r="C232" s="1656"/>
      <c r="D232" s="1656"/>
      <c r="E232" s="1656"/>
      <c r="F232" s="1656"/>
      <c r="G232" s="1656"/>
      <c r="H232" s="1656"/>
    </row>
    <row r="233" spans="1:8">
      <c r="A233" s="1656"/>
      <c r="B233" s="1656"/>
      <c r="C233" s="1656"/>
      <c r="D233" s="1656"/>
      <c r="E233" s="1656"/>
      <c r="F233" s="1656"/>
      <c r="G233" s="1656"/>
      <c r="H233" s="1656"/>
    </row>
    <row r="234" spans="1:8">
      <c r="A234" s="1656" t="s">
        <v>1270</v>
      </c>
      <c r="B234" s="1656"/>
      <c r="C234" s="1656"/>
      <c r="D234" s="1656"/>
      <c r="E234" s="1656"/>
      <c r="F234" s="1656"/>
      <c r="G234" s="1656"/>
      <c r="H234" s="1656"/>
    </row>
    <row r="235" spans="1:8">
      <c r="A235" s="1656" t="s">
        <v>1271</v>
      </c>
      <c r="B235" s="1656"/>
      <c r="C235" s="1656"/>
      <c r="D235" s="1656"/>
      <c r="E235" s="1656"/>
      <c r="F235" s="1656"/>
      <c r="G235" s="1656"/>
      <c r="H235" s="1656"/>
    </row>
    <row r="236" spans="1:8">
      <c r="A236" s="1656" t="s">
        <v>1272</v>
      </c>
      <c r="B236" s="1656"/>
      <c r="C236" s="1656"/>
      <c r="D236" s="1656"/>
      <c r="E236" s="1656"/>
      <c r="F236" s="1656"/>
      <c r="G236" s="1656"/>
      <c r="H236" s="1656"/>
    </row>
    <row r="237" spans="1:8">
      <c r="A237" s="1656" t="s">
        <v>1273</v>
      </c>
      <c r="B237" s="1656"/>
      <c r="C237" s="1656"/>
      <c r="D237" s="1656"/>
      <c r="E237" s="1656"/>
      <c r="F237" s="1656"/>
      <c r="G237" s="1656"/>
      <c r="H237" s="1656"/>
    </row>
    <row r="238" spans="1:8">
      <c r="A238" s="1656" t="s">
        <v>1274</v>
      </c>
      <c r="B238" s="1656"/>
      <c r="C238" s="1656"/>
      <c r="D238" s="1656"/>
      <c r="E238" s="1656"/>
      <c r="F238" s="1656"/>
      <c r="G238" s="1656"/>
      <c r="H238" s="1656"/>
    </row>
    <row r="239" spans="1:8">
      <c r="A239" s="1656"/>
      <c r="B239" s="1656"/>
      <c r="C239" s="1656"/>
      <c r="D239" s="1656"/>
      <c r="E239" s="1656"/>
      <c r="F239" s="1656"/>
      <c r="G239" s="1656"/>
      <c r="H239" s="1656"/>
    </row>
    <row r="240" spans="1:8">
      <c r="A240" s="1656" t="s">
        <v>1275</v>
      </c>
      <c r="B240" s="1656"/>
      <c r="C240" s="1656"/>
      <c r="D240" s="1656"/>
      <c r="E240" s="1656"/>
      <c r="F240" s="1656"/>
      <c r="G240" s="1656"/>
      <c r="H240" s="1656"/>
    </row>
    <row r="241" spans="1:8">
      <c r="A241" s="1656" t="s">
        <v>1276</v>
      </c>
      <c r="B241" s="1656"/>
      <c r="C241" s="1656"/>
      <c r="D241" s="1656"/>
      <c r="E241" s="1656"/>
      <c r="F241" s="1656"/>
      <c r="G241" s="1656"/>
      <c r="H241" s="1656"/>
    </row>
    <row r="242" spans="1:8">
      <c r="A242" s="1656" t="s">
        <v>1277</v>
      </c>
      <c r="B242" s="1656"/>
      <c r="C242" s="1656"/>
      <c r="D242" s="1656"/>
      <c r="E242" s="1656"/>
      <c r="F242" s="1656"/>
      <c r="G242" s="1656"/>
      <c r="H242" s="1656"/>
    </row>
    <row r="243" spans="1:8">
      <c r="A243" s="1656" t="s">
        <v>1278</v>
      </c>
      <c r="B243" s="1656"/>
      <c r="C243" s="1656"/>
      <c r="D243" s="1656"/>
      <c r="E243" s="1656"/>
      <c r="F243" s="1656"/>
      <c r="G243" s="1656"/>
      <c r="H243" s="1656"/>
    </row>
    <row r="244" spans="1:8">
      <c r="A244" s="1656" t="s">
        <v>1279</v>
      </c>
      <c r="B244" s="1656"/>
      <c r="C244" s="1656"/>
      <c r="D244" s="1656"/>
      <c r="E244" s="1656"/>
      <c r="F244" s="1656"/>
      <c r="G244" s="1656"/>
      <c r="H244" s="1656"/>
    </row>
    <row r="245" spans="1:8">
      <c r="A245" s="1656" t="s">
        <v>1280</v>
      </c>
      <c r="B245" s="1656"/>
      <c r="C245" s="1656"/>
      <c r="D245" s="1656"/>
      <c r="E245" s="1656"/>
      <c r="F245" s="1656"/>
      <c r="G245" s="1656"/>
      <c r="H245" s="1656"/>
    </row>
    <row r="246" spans="1:8">
      <c r="A246" s="1656"/>
      <c r="B246" s="1656"/>
      <c r="C246" s="1656"/>
      <c r="D246" s="1656"/>
      <c r="E246" s="1656"/>
      <c r="F246" s="1656"/>
      <c r="G246" s="1656"/>
      <c r="H246" s="1656"/>
    </row>
    <row r="247" spans="1:8">
      <c r="A247" s="1656" t="s">
        <v>1281</v>
      </c>
      <c r="B247" s="1656"/>
      <c r="C247" s="1656"/>
      <c r="D247" s="1656"/>
      <c r="E247" s="1656"/>
      <c r="F247" s="1656"/>
      <c r="G247" s="1656"/>
      <c r="H247" s="1656"/>
    </row>
    <row r="248" spans="1:8">
      <c r="A248" s="1656" t="s">
        <v>1282</v>
      </c>
      <c r="B248" s="1656"/>
      <c r="C248" s="1656"/>
      <c r="D248" s="1656"/>
      <c r="E248" s="1656"/>
      <c r="F248" s="1656"/>
      <c r="G248" s="1656"/>
      <c r="H248" s="1656"/>
    </row>
    <row r="249" spans="1:8">
      <c r="A249" s="1656" t="s">
        <v>1283</v>
      </c>
      <c r="B249" s="1656"/>
      <c r="C249" s="1656"/>
      <c r="D249" s="1656"/>
      <c r="E249" s="1656"/>
      <c r="F249" s="1656"/>
      <c r="G249" s="1656"/>
      <c r="H249" s="1656"/>
    </row>
    <row r="250" spans="1:8">
      <c r="A250" s="1656" t="s">
        <v>1284</v>
      </c>
      <c r="B250" s="1656"/>
      <c r="C250" s="1656"/>
      <c r="D250" s="1656"/>
      <c r="E250" s="1656"/>
      <c r="F250" s="1656"/>
      <c r="G250" s="1656"/>
      <c r="H250" s="1656"/>
    </row>
    <row r="251" spans="1:8">
      <c r="A251" s="1656" t="s">
        <v>1285</v>
      </c>
      <c r="B251" s="1656"/>
      <c r="C251" s="1656"/>
      <c r="D251" s="1656"/>
      <c r="E251" s="1656"/>
      <c r="F251" s="1656"/>
      <c r="G251" s="1656"/>
      <c r="H251" s="1656"/>
    </row>
    <row r="252" spans="1:8">
      <c r="A252" s="1656" t="s">
        <v>1286</v>
      </c>
      <c r="B252" s="1656"/>
      <c r="C252" s="1656"/>
      <c r="D252" s="1656"/>
      <c r="E252" s="1656"/>
      <c r="F252" s="1656"/>
      <c r="G252" s="1656"/>
      <c r="H252" s="1656"/>
    </row>
    <row r="253" spans="1:8">
      <c r="A253" s="1656" t="s">
        <v>1287</v>
      </c>
      <c r="B253" s="1656"/>
      <c r="C253" s="1656"/>
      <c r="D253" s="1656"/>
      <c r="E253" s="1656"/>
      <c r="F253" s="1656"/>
      <c r="G253" s="1656"/>
      <c r="H253" s="1656"/>
    </row>
    <row r="254" spans="1:8">
      <c r="A254" s="1656" t="s">
        <v>1288</v>
      </c>
      <c r="B254" s="1656"/>
      <c r="C254" s="1656"/>
      <c r="D254" s="1656"/>
      <c r="E254" s="1656"/>
      <c r="F254" s="1656"/>
      <c r="G254" s="1656"/>
      <c r="H254" s="1656"/>
    </row>
    <row r="255" spans="1:8">
      <c r="A255" s="1656" t="s">
        <v>1289</v>
      </c>
      <c r="B255" s="1656"/>
      <c r="C255" s="1656"/>
      <c r="D255" s="1656"/>
      <c r="E255" s="1656"/>
      <c r="F255" s="1656"/>
      <c r="G255" s="1656"/>
      <c r="H255" s="1656"/>
    </row>
    <row r="256" spans="1:8">
      <c r="A256" s="1656" t="s">
        <v>1290</v>
      </c>
      <c r="B256" s="1656"/>
      <c r="C256" s="1656"/>
      <c r="D256" s="1656"/>
      <c r="E256" s="1656"/>
      <c r="F256" s="1656"/>
      <c r="G256" s="1656"/>
      <c r="H256" s="1656"/>
    </row>
    <row r="257" spans="1:8">
      <c r="A257" s="1656" t="s">
        <v>1291</v>
      </c>
      <c r="B257" s="1656"/>
      <c r="C257" s="1656"/>
      <c r="D257" s="1656"/>
      <c r="E257" s="1656"/>
      <c r="F257" s="1656"/>
      <c r="G257" s="1656"/>
      <c r="H257" s="1656"/>
    </row>
    <row r="258" spans="1:8">
      <c r="A258" s="1656" t="s">
        <v>1292</v>
      </c>
      <c r="B258" s="1656"/>
      <c r="C258" s="1656"/>
      <c r="D258" s="1656"/>
      <c r="E258" s="1656"/>
      <c r="F258" s="1656"/>
      <c r="G258" s="1656"/>
      <c r="H258" s="1656"/>
    </row>
    <row r="259" spans="1:8">
      <c r="A259" s="1656" t="s">
        <v>1293</v>
      </c>
      <c r="B259" s="1656"/>
      <c r="C259" s="1656"/>
      <c r="D259" s="1656"/>
      <c r="E259" s="1656"/>
      <c r="F259" s="1656"/>
      <c r="G259" s="1656"/>
      <c r="H259" s="1656"/>
    </row>
    <row r="260" spans="1:8">
      <c r="A260" s="1656" t="s">
        <v>1294</v>
      </c>
      <c r="B260" s="1656"/>
      <c r="C260" s="1656"/>
      <c r="D260" s="1656"/>
      <c r="E260" s="1656"/>
      <c r="F260" s="1656"/>
      <c r="G260" s="1656"/>
      <c r="H260" s="1656"/>
    </row>
    <row r="261" spans="1:8">
      <c r="A261" s="1656"/>
      <c r="B261" s="1656"/>
      <c r="C261" s="1656"/>
      <c r="D261" s="1656"/>
      <c r="E261" s="1656"/>
      <c r="F261" s="1656"/>
      <c r="G261" s="1656"/>
      <c r="H261" s="1656"/>
    </row>
    <row r="262" spans="1:8">
      <c r="A262" s="1656" t="s">
        <v>1295</v>
      </c>
      <c r="B262" s="1656"/>
      <c r="C262" s="1656"/>
      <c r="D262" s="1656"/>
      <c r="E262" s="1656"/>
      <c r="F262" s="1656"/>
      <c r="G262" s="1656"/>
      <c r="H262" s="1656"/>
    </row>
    <row r="263" spans="1:8">
      <c r="A263" s="1656" t="s">
        <v>1296</v>
      </c>
      <c r="B263" s="1656"/>
      <c r="C263" s="1656"/>
      <c r="D263" s="1656"/>
      <c r="E263" s="1656"/>
      <c r="F263" s="1656"/>
      <c r="G263" s="1656"/>
      <c r="H263" s="1656"/>
    </row>
    <row r="264" spans="1:8">
      <c r="A264" s="1656"/>
      <c r="B264" s="1656"/>
      <c r="C264" s="1656"/>
      <c r="D264" s="1656"/>
      <c r="E264" s="1656"/>
      <c r="F264" s="1656"/>
      <c r="G264" s="1656"/>
      <c r="H264" s="1656"/>
    </row>
    <row r="265" spans="1:8">
      <c r="A265" s="1656" t="s">
        <v>1297</v>
      </c>
      <c r="B265" s="1656"/>
      <c r="C265" s="1656"/>
      <c r="D265" s="1656"/>
      <c r="E265" s="1656"/>
      <c r="F265" s="1656"/>
      <c r="G265" s="1656"/>
      <c r="H265" s="1656"/>
    </row>
    <row r="266" spans="1:8">
      <c r="A266" s="1656" t="s">
        <v>1298</v>
      </c>
      <c r="B266" s="1656"/>
      <c r="C266" s="1656"/>
      <c r="D266" s="1656"/>
      <c r="E266" s="1656"/>
      <c r="F266" s="1656"/>
      <c r="G266" s="1656"/>
      <c r="H266" s="1656"/>
    </row>
    <row r="267" spans="1:8">
      <c r="A267" s="1656" t="s">
        <v>1299</v>
      </c>
      <c r="B267" s="1656"/>
      <c r="C267" s="1656"/>
      <c r="D267" s="1656"/>
      <c r="E267" s="1656"/>
      <c r="F267" s="1656"/>
      <c r="G267" s="1656"/>
      <c r="H267" s="1656"/>
    </row>
    <row r="268" spans="1:8">
      <c r="A268" s="1656" t="s">
        <v>1300</v>
      </c>
      <c r="B268" s="1656"/>
      <c r="C268" s="1656"/>
      <c r="D268" s="1656"/>
      <c r="E268" s="1656"/>
      <c r="F268" s="1656"/>
      <c r="G268" s="1656"/>
      <c r="H268" s="1656"/>
    </row>
    <row r="269" spans="1:8">
      <c r="A269" s="1656" t="s">
        <v>1301</v>
      </c>
      <c r="B269" s="1656"/>
      <c r="C269" s="1656"/>
      <c r="D269" s="1656"/>
      <c r="E269" s="1656"/>
      <c r="F269" s="1656"/>
      <c r="G269" s="1656"/>
      <c r="H269" s="1656"/>
    </row>
    <row r="270" spans="1:8">
      <c r="A270" s="1656" t="s">
        <v>1302</v>
      </c>
      <c r="B270" s="1656"/>
      <c r="C270" s="1656"/>
      <c r="D270" s="1656"/>
      <c r="E270" s="1656"/>
      <c r="F270" s="1656"/>
      <c r="G270" s="1656"/>
      <c r="H270" s="1656"/>
    </row>
    <row r="271" spans="1:8">
      <c r="A271" s="1656" t="s">
        <v>1303</v>
      </c>
      <c r="B271" s="1656"/>
      <c r="C271" s="1656"/>
      <c r="D271" s="1656"/>
      <c r="E271" s="1656"/>
      <c r="F271" s="1656"/>
      <c r="G271" s="1656"/>
      <c r="H271" s="1656"/>
    </row>
    <row r="272" spans="1:8">
      <c r="A272" s="1656" t="s">
        <v>1304</v>
      </c>
      <c r="B272" s="1656"/>
      <c r="C272" s="1656"/>
      <c r="D272" s="1656"/>
      <c r="E272" s="1656"/>
      <c r="F272" s="1656"/>
      <c r="G272" s="1656"/>
      <c r="H272" s="1656"/>
    </row>
    <row r="273" spans="1:8">
      <c r="A273" s="1656" t="s">
        <v>1305</v>
      </c>
      <c r="B273" s="1656"/>
      <c r="C273" s="1656"/>
      <c r="D273" s="1656"/>
      <c r="E273" s="1656"/>
      <c r="F273" s="1656"/>
      <c r="G273" s="1656"/>
      <c r="H273" s="1656"/>
    </row>
    <row r="274" spans="1:8">
      <c r="A274" s="1656" t="s">
        <v>1306</v>
      </c>
      <c r="B274" s="1656"/>
      <c r="C274" s="1656"/>
      <c r="D274" s="1656"/>
      <c r="E274" s="1656"/>
      <c r="F274" s="1656"/>
      <c r="G274" s="1656"/>
      <c r="H274" s="1656"/>
    </row>
    <row r="275" spans="1:8">
      <c r="A275" s="1656" t="s">
        <v>1307</v>
      </c>
      <c r="B275" s="1656"/>
      <c r="C275" s="1656"/>
      <c r="D275" s="1656"/>
      <c r="E275" s="1656"/>
      <c r="F275" s="1656"/>
      <c r="G275" s="1656"/>
      <c r="H275" s="1656"/>
    </row>
    <row r="276" spans="1:8">
      <c r="A276" s="1656" t="s">
        <v>1308</v>
      </c>
      <c r="B276" s="1656"/>
      <c r="C276" s="1656"/>
      <c r="D276" s="1656"/>
      <c r="E276" s="1656"/>
      <c r="F276" s="1656"/>
      <c r="G276" s="1656"/>
      <c r="H276" s="1656"/>
    </row>
    <row r="277" spans="1:8">
      <c r="A277" s="1656" t="s">
        <v>1309</v>
      </c>
      <c r="B277" s="1656"/>
      <c r="C277" s="1656"/>
      <c r="D277" s="1656"/>
      <c r="E277" s="1656"/>
      <c r="F277" s="1656"/>
      <c r="G277" s="1656"/>
      <c r="H277" s="1656"/>
    </row>
    <row r="278" spans="1:8">
      <c r="A278" s="1656" t="s">
        <v>1310</v>
      </c>
      <c r="B278" s="1656"/>
      <c r="C278" s="1656"/>
      <c r="D278" s="1656"/>
      <c r="E278" s="1656"/>
      <c r="F278" s="1656"/>
      <c r="G278" s="1656"/>
      <c r="H278" s="1656"/>
    </row>
    <row r="279" spans="1:8">
      <c r="A279" s="1656" t="s">
        <v>1311</v>
      </c>
      <c r="B279" s="1656"/>
      <c r="C279" s="1656"/>
      <c r="D279" s="1656"/>
      <c r="E279" s="1656"/>
      <c r="F279" s="1656"/>
      <c r="G279" s="1656"/>
      <c r="H279" s="1656"/>
    </row>
    <row r="280" spans="1:8">
      <c r="A280" s="1656" t="s">
        <v>1312</v>
      </c>
      <c r="B280" s="1656"/>
      <c r="C280" s="1656"/>
      <c r="D280" s="1656"/>
      <c r="E280" s="1656"/>
      <c r="F280" s="1656"/>
      <c r="G280" s="1656"/>
      <c r="H280" s="1656"/>
    </row>
    <row r="281" spans="1:8">
      <c r="A281" s="1656"/>
      <c r="B281" s="1656"/>
      <c r="C281" s="1656"/>
      <c r="D281" s="1656"/>
      <c r="E281" s="1656"/>
      <c r="F281" s="1656"/>
      <c r="G281" s="1656"/>
      <c r="H281" s="1656"/>
    </row>
    <row r="282" spans="1:8">
      <c r="A282" s="1656" t="s">
        <v>1313</v>
      </c>
      <c r="B282" s="1656"/>
      <c r="C282" s="1656"/>
      <c r="D282" s="1656"/>
      <c r="E282" s="1656"/>
      <c r="F282" s="1656"/>
      <c r="G282" s="1656"/>
      <c r="H282" s="1656"/>
    </row>
    <row r="283" spans="1:8">
      <c r="A283" s="1656" t="s">
        <v>1314</v>
      </c>
      <c r="B283" s="1656"/>
      <c r="C283" s="1656"/>
      <c r="D283" s="1656"/>
      <c r="E283" s="1656"/>
      <c r="F283" s="1656"/>
      <c r="G283" s="1656"/>
      <c r="H283" s="1656"/>
    </row>
    <row r="284" spans="1:8">
      <c r="A284" s="1656" t="s">
        <v>1315</v>
      </c>
      <c r="B284" s="1656"/>
      <c r="C284" s="1656"/>
      <c r="D284" s="1656"/>
      <c r="E284" s="1656"/>
      <c r="F284" s="1656"/>
      <c r="G284" s="1656"/>
      <c r="H284" s="1656"/>
    </row>
    <row r="285" spans="1:8">
      <c r="A285" s="1656" t="s">
        <v>1316</v>
      </c>
      <c r="B285" s="1656"/>
      <c r="C285" s="1656"/>
      <c r="D285" s="1656"/>
      <c r="E285" s="1656"/>
      <c r="F285" s="1656"/>
      <c r="G285" s="1656"/>
      <c r="H285" s="1656"/>
    </row>
    <row r="286" spans="1:8">
      <c r="A286" s="1656" t="s">
        <v>1317</v>
      </c>
      <c r="B286" s="1656"/>
      <c r="C286" s="1656"/>
      <c r="D286" s="1656"/>
      <c r="E286" s="1656"/>
      <c r="F286" s="1656"/>
      <c r="G286" s="1656"/>
      <c r="H286" s="1656"/>
    </row>
    <row r="287" spans="1:8">
      <c r="A287" s="1656" t="s">
        <v>1318</v>
      </c>
      <c r="B287" s="1656"/>
      <c r="C287" s="1656"/>
      <c r="D287" s="1656"/>
      <c r="E287" s="1656"/>
      <c r="F287" s="1656"/>
      <c r="G287" s="1656"/>
      <c r="H287" s="1656"/>
    </row>
    <row r="288" spans="1:8">
      <c r="A288" s="1656" t="s">
        <v>1177</v>
      </c>
      <c r="B288" s="1656"/>
      <c r="C288" s="1656"/>
      <c r="D288" s="1656"/>
      <c r="E288" s="1656"/>
      <c r="F288" s="1656"/>
      <c r="G288" s="1656"/>
      <c r="H288" s="1656"/>
    </row>
    <row r="289" spans="1:8">
      <c r="A289" s="1656"/>
      <c r="B289" s="1656"/>
      <c r="C289" s="1656"/>
      <c r="D289" s="1656"/>
      <c r="E289" s="1656"/>
      <c r="F289" s="1656"/>
      <c r="G289" s="1656"/>
      <c r="H289" s="1656"/>
    </row>
    <row r="290" spans="1:8">
      <c r="A290" s="1656" t="s">
        <v>1319</v>
      </c>
      <c r="B290" s="1656"/>
      <c r="C290" s="1656"/>
      <c r="D290" s="1656"/>
      <c r="E290" s="1656"/>
      <c r="F290" s="1656"/>
      <c r="G290" s="1656"/>
      <c r="H290" s="1656"/>
    </row>
    <row r="291" spans="1:8">
      <c r="A291" s="1656" t="s">
        <v>1320</v>
      </c>
      <c r="B291" s="1656"/>
      <c r="C291" s="1656"/>
      <c r="D291" s="1656"/>
      <c r="E291" s="1656"/>
      <c r="F291" s="1656"/>
      <c r="G291" s="1656"/>
      <c r="H291" s="1656"/>
    </row>
    <row r="292" spans="1:8">
      <c r="A292" s="1656" t="s">
        <v>1321</v>
      </c>
      <c r="B292" s="1656"/>
      <c r="C292" s="1656"/>
      <c r="D292" s="1656"/>
      <c r="E292" s="1656"/>
      <c r="F292" s="1656"/>
      <c r="G292" s="1656"/>
      <c r="H292" s="1656"/>
    </row>
    <row r="293" spans="1:8">
      <c r="A293" s="1656" t="s">
        <v>1322</v>
      </c>
      <c r="B293" s="1656"/>
      <c r="C293" s="1656"/>
      <c r="D293" s="1656"/>
      <c r="E293" s="1656"/>
      <c r="F293" s="1656"/>
      <c r="G293" s="1656"/>
      <c r="H293" s="1656"/>
    </row>
    <row r="294" spans="1:8">
      <c r="A294" s="1656" t="s">
        <v>1323</v>
      </c>
      <c r="B294" s="1656"/>
      <c r="C294" s="1656"/>
      <c r="D294" s="1656"/>
      <c r="E294" s="1656"/>
      <c r="F294" s="1656"/>
      <c r="G294" s="1656"/>
      <c r="H294" s="1656"/>
    </row>
    <row r="295" spans="1:8">
      <c r="A295" s="1656" t="s">
        <v>1324</v>
      </c>
      <c r="B295" s="1656"/>
      <c r="C295" s="1656"/>
      <c r="D295" s="1656"/>
      <c r="E295" s="1656"/>
      <c r="F295" s="1656"/>
      <c r="G295" s="1656"/>
      <c r="H295" s="1656"/>
    </row>
    <row r="296" spans="1:8">
      <c r="A296" s="1656" t="s">
        <v>1325</v>
      </c>
      <c r="B296" s="1656"/>
      <c r="C296" s="1656"/>
      <c r="D296" s="1656"/>
      <c r="E296" s="1656"/>
      <c r="F296" s="1656"/>
      <c r="G296" s="1656"/>
      <c r="H296" s="1656"/>
    </row>
    <row r="297" spans="1:8">
      <c r="A297" s="1656" t="s">
        <v>1326</v>
      </c>
      <c r="B297" s="1656"/>
      <c r="C297" s="1656"/>
      <c r="D297" s="1656"/>
      <c r="E297" s="1656"/>
      <c r="F297" s="1656"/>
      <c r="G297" s="1656"/>
      <c r="H297" s="1656"/>
    </row>
    <row r="298" spans="1:8">
      <c r="A298" s="1656" t="s">
        <v>1327</v>
      </c>
      <c r="B298" s="1656"/>
      <c r="C298" s="1656"/>
      <c r="D298" s="1656"/>
      <c r="E298" s="1656"/>
      <c r="F298" s="1656"/>
      <c r="G298" s="1656"/>
      <c r="H298" s="1656"/>
    </row>
    <row r="299" spans="1:8">
      <c r="A299" s="1656"/>
      <c r="B299" s="1656"/>
      <c r="C299" s="1656"/>
      <c r="D299" s="1656"/>
      <c r="E299" s="1656"/>
      <c r="F299" s="1656"/>
      <c r="G299" s="1656"/>
      <c r="H299" s="1656"/>
    </row>
    <row r="300" spans="1:8">
      <c r="A300" s="1656" t="s">
        <v>1328</v>
      </c>
      <c r="B300" s="1656"/>
      <c r="C300" s="1656"/>
      <c r="D300" s="1656"/>
      <c r="E300" s="1656"/>
      <c r="F300" s="1656"/>
      <c r="G300" s="1656"/>
      <c r="H300" s="1656"/>
    </row>
    <row r="301" spans="1:8">
      <c r="A301" s="1656" t="s">
        <v>1329</v>
      </c>
      <c r="B301" s="1656"/>
      <c r="C301" s="1656"/>
      <c r="D301" s="1656"/>
      <c r="E301" s="1656"/>
      <c r="F301" s="1656"/>
      <c r="G301" s="1656"/>
      <c r="H301" s="1656"/>
    </row>
    <row r="302" spans="1:8">
      <c r="A302" s="1656" t="s">
        <v>1330</v>
      </c>
      <c r="B302" s="1656"/>
      <c r="C302" s="1656"/>
      <c r="D302" s="1656"/>
      <c r="E302" s="1656"/>
      <c r="F302" s="1656"/>
      <c r="G302" s="1656"/>
      <c r="H302" s="1656"/>
    </row>
    <row r="303" spans="1:8">
      <c r="A303" s="1656" t="s">
        <v>1331</v>
      </c>
      <c r="B303" s="1656"/>
      <c r="C303" s="1656"/>
      <c r="D303" s="1656"/>
      <c r="E303" s="1656"/>
      <c r="F303" s="1656"/>
      <c r="G303" s="1656"/>
      <c r="H303" s="1656"/>
    </row>
    <row r="304" spans="1:8">
      <c r="A304" s="1656" t="s">
        <v>1332</v>
      </c>
      <c r="B304" s="1656"/>
      <c r="C304" s="1656"/>
      <c r="D304" s="1656"/>
      <c r="E304" s="1656"/>
      <c r="F304" s="1656"/>
      <c r="G304" s="1656"/>
      <c r="H304" s="1656"/>
    </row>
    <row r="305" spans="1:8">
      <c r="A305" s="1656" t="s">
        <v>1333</v>
      </c>
      <c r="B305" s="1656"/>
      <c r="C305" s="1656"/>
      <c r="D305" s="1656"/>
      <c r="E305" s="1656"/>
      <c r="F305" s="1656"/>
      <c r="G305" s="1656"/>
      <c r="H305" s="1656"/>
    </row>
    <row r="306" spans="1:8">
      <c r="A306" s="1656" t="s">
        <v>1334</v>
      </c>
      <c r="B306" s="1656"/>
      <c r="C306" s="1656"/>
      <c r="D306" s="1656"/>
      <c r="E306" s="1656"/>
      <c r="F306" s="1656"/>
      <c r="G306" s="1656"/>
      <c r="H306" s="1656"/>
    </row>
    <row r="307" spans="1:8">
      <c r="A307" s="1656"/>
      <c r="B307" s="1656"/>
      <c r="C307" s="1656"/>
      <c r="D307" s="1656"/>
      <c r="E307" s="1656"/>
      <c r="F307" s="1656"/>
      <c r="G307" s="1656"/>
      <c r="H307" s="1656"/>
    </row>
    <row r="308" spans="1:8">
      <c r="A308" s="1656" t="s">
        <v>1335</v>
      </c>
      <c r="B308" s="1656"/>
      <c r="C308" s="1656"/>
      <c r="D308" s="1656"/>
      <c r="E308" s="1656"/>
      <c r="F308" s="1656"/>
      <c r="G308" s="1656"/>
      <c r="H308" s="1656"/>
    </row>
    <row r="309" spans="1:8">
      <c r="A309" s="1656" t="s">
        <v>1336</v>
      </c>
      <c r="B309" s="1656"/>
      <c r="C309" s="1656"/>
      <c r="D309" s="1656"/>
      <c r="E309" s="1656"/>
      <c r="F309" s="1656"/>
      <c r="G309" s="1656"/>
      <c r="H309" s="1656"/>
    </row>
    <row r="310" spans="1:8">
      <c r="A310" s="1656" t="s">
        <v>1337</v>
      </c>
      <c r="B310" s="1656"/>
      <c r="C310" s="1656"/>
      <c r="D310" s="1656"/>
      <c r="E310" s="1656"/>
      <c r="F310" s="1656"/>
      <c r="G310" s="1656"/>
      <c r="H310" s="1656"/>
    </row>
    <row r="311" spans="1:8">
      <c r="A311" s="1656"/>
      <c r="B311" s="1656"/>
      <c r="C311" s="1656"/>
      <c r="D311" s="1656"/>
      <c r="E311" s="1656"/>
      <c r="F311" s="1656"/>
      <c r="G311" s="1656"/>
      <c r="H311" s="1656"/>
    </row>
    <row r="312" spans="1:8">
      <c r="A312" s="1656" t="s">
        <v>1338</v>
      </c>
      <c r="B312" s="1656"/>
      <c r="C312" s="1656"/>
      <c r="D312" s="1656"/>
      <c r="E312" s="1656"/>
      <c r="F312" s="1656"/>
      <c r="G312" s="1656"/>
      <c r="H312" s="1656"/>
    </row>
    <row r="313" spans="1:8">
      <c r="A313" s="1656" t="s">
        <v>1339</v>
      </c>
      <c r="B313" s="1656"/>
      <c r="C313" s="1656"/>
      <c r="D313" s="1656"/>
      <c r="E313" s="1656"/>
      <c r="F313" s="1656"/>
      <c r="G313" s="1656"/>
      <c r="H313" s="1656"/>
    </row>
    <row r="314" spans="1:8">
      <c r="A314" s="1656"/>
      <c r="B314" s="1656"/>
      <c r="C314" s="1656"/>
      <c r="D314" s="1656"/>
      <c r="E314" s="1656"/>
      <c r="F314" s="1656"/>
      <c r="G314" s="1656"/>
      <c r="H314" s="1656"/>
    </row>
    <row r="315" spans="1:8">
      <c r="A315" s="1656" t="s">
        <v>1340</v>
      </c>
      <c r="B315" s="1656"/>
      <c r="C315" s="1656"/>
      <c r="D315" s="1656"/>
      <c r="E315" s="1656"/>
      <c r="F315" s="1656"/>
      <c r="G315" s="1656"/>
      <c r="H315" s="1656"/>
    </row>
    <row r="316" spans="1:8">
      <c r="A316" s="1656" t="s">
        <v>1341</v>
      </c>
      <c r="B316" s="1656"/>
      <c r="C316" s="1656"/>
      <c r="D316" s="1656"/>
      <c r="E316" s="1656"/>
      <c r="F316" s="1656"/>
      <c r="G316" s="1656"/>
      <c r="H316" s="1656"/>
    </row>
    <row r="317" spans="1:8">
      <c r="A317" s="1656" t="s">
        <v>1342</v>
      </c>
      <c r="B317" s="1656"/>
      <c r="C317" s="1656"/>
      <c r="D317" s="1656"/>
      <c r="E317" s="1656"/>
      <c r="F317" s="1656"/>
      <c r="G317" s="1656"/>
      <c r="H317" s="1656"/>
    </row>
    <row r="318" spans="1:8">
      <c r="A318" s="1656" t="s">
        <v>1343</v>
      </c>
      <c r="B318" s="1656"/>
      <c r="C318" s="1656"/>
      <c r="D318" s="1656"/>
      <c r="E318" s="1656"/>
      <c r="F318" s="1656"/>
      <c r="G318" s="1656"/>
      <c r="H318" s="1656"/>
    </row>
    <row r="319" spans="1:8">
      <c r="A319" s="1656" t="s">
        <v>1344</v>
      </c>
      <c r="B319" s="1656"/>
      <c r="C319" s="1656"/>
      <c r="D319" s="1656"/>
      <c r="E319" s="1656"/>
      <c r="F319" s="1656"/>
      <c r="G319" s="1656"/>
      <c r="H319" s="1656"/>
    </row>
    <row r="320" spans="1:8">
      <c r="A320" s="1656" t="s">
        <v>1345</v>
      </c>
      <c r="B320" s="1656"/>
      <c r="C320" s="1656"/>
      <c r="D320" s="1656"/>
      <c r="E320" s="1656"/>
      <c r="F320" s="1656"/>
      <c r="G320" s="1656"/>
      <c r="H320" s="1656"/>
    </row>
    <row r="321" spans="1:8">
      <c r="A321" s="1656" t="s">
        <v>1346</v>
      </c>
      <c r="B321" s="1656"/>
      <c r="C321" s="1656"/>
      <c r="D321" s="1656"/>
      <c r="E321" s="1656"/>
      <c r="F321" s="1656"/>
      <c r="G321" s="1656"/>
      <c r="H321" s="1656"/>
    </row>
    <row r="322" spans="1:8">
      <c r="A322" s="1656" t="s">
        <v>1347</v>
      </c>
      <c r="B322" s="1656"/>
      <c r="C322" s="1656"/>
      <c r="D322" s="1656"/>
      <c r="E322" s="1656"/>
      <c r="F322" s="1656"/>
      <c r="G322" s="1656"/>
      <c r="H322" s="1656"/>
    </row>
    <row r="323" spans="1:8">
      <c r="A323" s="1656" t="s">
        <v>1348</v>
      </c>
      <c r="B323" s="1656"/>
      <c r="C323" s="1656"/>
      <c r="D323" s="1656"/>
      <c r="E323" s="1656"/>
      <c r="F323" s="1656"/>
      <c r="G323" s="1656"/>
      <c r="H323" s="1656"/>
    </row>
    <row r="324" spans="1:8">
      <c r="A324" s="1656" t="s">
        <v>1349</v>
      </c>
      <c r="B324" s="1656"/>
      <c r="C324" s="1656"/>
      <c r="D324" s="1656"/>
      <c r="E324" s="1656"/>
      <c r="F324" s="1656"/>
      <c r="G324" s="1656"/>
      <c r="H324" s="1656"/>
    </row>
    <row r="325" spans="1:8">
      <c r="A325" s="1656" t="s">
        <v>1350</v>
      </c>
      <c r="B325" s="1656"/>
      <c r="C325" s="1656"/>
      <c r="D325" s="1656"/>
      <c r="E325" s="1656"/>
      <c r="F325" s="1656"/>
      <c r="G325" s="1656"/>
      <c r="H325" s="1656"/>
    </row>
    <row r="326" spans="1:8">
      <c r="A326" s="1656" t="s">
        <v>1351</v>
      </c>
      <c r="B326" s="1656"/>
      <c r="C326" s="1656"/>
      <c r="D326" s="1656"/>
      <c r="E326" s="1656"/>
      <c r="F326" s="1656"/>
      <c r="G326" s="1656"/>
      <c r="H326" s="1656"/>
    </row>
    <row r="327" spans="1:8">
      <c r="A327" s="1656" t="s">
        <v>1352</v>
      </c>
      <c r="B327" s="1656"/>
      <c r="C327" s="1656"/>
      <c r="D327" s="1656"/>
      <c r="E327" s="1656"/>
      <c r="F327" s="1656"/>
      <c r="G327" s="1656"/>
      <c r="H327" s="1656"/>
    </row>
    <row r="328" spans="1:8">
      <c r="A328" s="1656"/>
      <c r="B328" s="1656"/>
      <c r="C328" s="1656"/>
      <c r="D328" s="1656"/>
      <c r="E328" s="1656"/>
      <c r="F328" s="1656"/>
      <c r="G328" s="1656"/>
      <c r="H328" s="1656"/>
    </row>
    <row r="329" spans="1:8">
      <c r="A329" s="1656" t="s">
        <v>1353</v>
      </c>
      <c r="B329" s="1656"/>
      <c r="C329" s="1656"/>
      <c r="D329" s="1656"/>
      <c r="E329" s="1656"/>
      <c r="F329" s="1656"/>
      <c r="G329" s="1656"/>
      <c r="H329" s="1656"/>
    </row>
    <row r="330" spans="1:8">
      <c r="A330" s="1656" t="s">
        <v>1354</v>
      </c>
      <c r="B330" s="1656"/>
      <c r="C330" s="1656"/>
      <c r="D330" s="1656"/>
      <c r="E330" s="1656"/>
      <c r="F330" s="1656"/>
      <c r="G330" s="1656"/>
      <c r="H330" s="1656"/>
    </row>
    <row r="331" spans="1:8">
      <c r="A331" s="1656"/>
      <c r="B331" s="1656"/>
      <c r="C331" s="1656"/>
      <c r="D331" s="1656"/>
      <c r="E331" s="1656"/>
      <c r="F331" s="1656"/>
      <c r="G331" s="1656"/>
      <c r="H331" s="1656"/>
    </row>
    <row r="332" spans="1:8">
      <c r="A332" s="1656" t="s">
        <v>1355</v>
      </c>
      <c r="B332" s="1656"/>
      <c r="C332" s="1656"/>
      <c r="D332" s="1656"/>
      <c r="E332" s="1656"/>
      <c r="F332" s="1656"/>
      <c r="G332" s="1656"/>
      <c r="H332" s="1656"/>
    </row>
    <row r="333" spans="1:8">
      <c r="A333" s="1656" t="s">
        <v>1356</v>
      </c>
      <c r="B333" s="1656"/>
      <c r="C333" s="1656"/>
      <c r="D333" s="1656"/>
      <c r="E333" s="1656"/>
      <c r="F333" s="1656"/>
      <c r="G333" s="1656"/>
      <c r="H333" s="1656"/>
    </row>
    <row r="334" spans="1:8">
      <c r="A334" s="1656" t="s">
        <v>1357</v>
      </c>
      <c r="B334" s="1656"/>
      <c r="C334" s="1656"/>
      <c r="D334" s="1656"/>
      <c r="E334" s="1656"/>
      <c r="F334" s="1656"/>
      <c r="G334" s="1656"/>
      <c r="H334" s="1656"/>
    </row>
    <row r="335" spans="1:8">
      <c r="A335" s="1656" t="s">
        <v>1358</v>
      </c>
      <c r="B335" s="1656"/>
      <c r="C335" s="1656"/>
      <c r="D335" s="1656"/>
      <c r="E335" s="1656"/>
      <c r="F335" s="1656"/>
      <c r="G335" s="1656"/>
      <c r="H335" s="1656"/>
    </row>
    <row r="336" spans="1:8">
      <c r="A336" s="1656" t="s">
        <v>1359</v>
      </c>
      <c r="B336" s="1656"/>
      <c r="C336" s="1656"/>
      <c r="D336" s="1656"/>
      <c r="E336" s="1656"/>
      <c r="F336" s="1656"/>
      <c r="G336" s="1656"/>
      <c r="H336" s="1656"/>
    </row>
    <row r="337" spans="1:8">
      <c r="A337" s="1656" t="s">
        <v>1360</v>
      </c>
      <c r="B337" s="1656"/>
      <c r="C337" s="1656"/>
      <c r="D337" s="1656"/>
      <c r="E337" s="1656"/>
      <c r="F337" s="1656"/>
      <c r="G337" s="1656"/>
      <c r="H337" s="1656"/>
    </row>
    <row r="338" spans="1:8">
      <c r="A338" s="1656" t="s">
        <v>1361</v>
      </c>
      <c r="B338" s="1656"/>
      <c r="C338" s="1656"/>
      <c r="D338" s="1656"/>
      <c r="E338" s="1656"/>
      <c r="F338" s="1656"/>
      <c r="G338" s="1656"/>
      <c r="H338" s="1656"/>
    </row>
    <row r="339" spans="1:8">
      <c r="A339" s="1656" t="s">
        <v>1362</v>
      </c>
      <c r="B339" s="1656"/>
      <c r="C339" s="1656"/>
      <c r="D339" s="1656"/>
      <c r="E339" s="1656"/>
      <c r="F339" s="1656"/>
      <c r="G339" s="1656"/>
      <c r="H339" s="1656"/>
    </row>
    <row r="340" spans="1:8">
      <c r="A340" s="1656"/>
      <c r="B340" s="1656"/>
      <c r="C340" s="1656"/>
      <c r="D340" s="1656"/>
      <c r="E340" s="1656"/>
      <c r="F340" s="1656"/>
      <c r="G340" s="1656"/>
      <c r="H340" s="1656"/>
    </row>
    <row r="341" spans="1:8">
      <c r="A341" s="1656" t="s">
        <v>1363</v>
      </c>
      <c r="B341" s="1656"/>
      <c r="C341" s="1656"/>
      <c r="D341" s="1656"/>
      <c r="E341" s="1656"/>
      <c r="F341" s="1656"/>
      <c r="G341" s="1656"/>
      <c r="H341" s="1656"/>
    </row>
    <row r="342" spans="1:8">
      <c r="A342" s="1656" t="s">
        <v>1364</v>
      </c>
      <c r="B342" s="1656"/>
      <c r="C342" s="1656"/>
      <c r="D342" s="1656"/>
      <c r="E342" s="1656"/>
      <c r="F342" s="1656"/>
      <c r="G342" s="1656"/>
      <c r="H342" s="1656"/>
    </row>
    <row r="343" spans="1:8">
      <c r="A343" s="1656" t="s">
        <v>1365</v>
      </c>
      <c r="B343" s="1656"/>
      <c r="C343" s="1656"/>
      <c r="D343" s="1656"/>
      <c r="E343" s="1656"/>
      <c r="F343" s="1656"/>
      <c r="G343" s="1656"/>
      <c r="H343" s="1656"/>
    </row>
    <row r="344" spans="1:8">
      <c r="A344" s="1656" t="s">
        <v>1366</v>
      </c>
      <c r="B344" s="1656"/>
      <c r="C344" s="1656"/>
      <c r="D344" s="1656"/>
      <c r="E344" s="1656"/>
      <c r="F344" s="1656"/>
      <c r="G344" s="1656"/>
      <c r="H344" s="1656"/>
    </row>
    <row r="345" spans="1:8">
      <c r="A345" s="1656" t="s">
        <v>1367</v>
      </c>
      <c r="B345" s="1656"/>
      <c r="C345" s="1656"/>
      <c r="D345" s="1656"/>
      <c r="E345" s="1656"/>
      <c r="F345" s="1656"/>
      <c r="G345" s="1656"/>
      <c r="H345" s="1656"/>
    </row>
    <row r="346" spans="1:8">
      <c r="A346" s="1656" t="s">
        <v>1368</v>
      </c>
      <c r="B346" s="1656"/>
      <c r="C346" s="1656"/>
      <c r="D346" s="1656"/>
      <c r="E346" s="1656"/>
      <c r="F346" s="1656"/>
      <c r="G346" s="1656"/>
      <c r="H346" s="1656"/>
    </row>
    <row r="347" spans="1:8">
      <c r="A347" s="1656" t="s">
        <v>1369</v>
      </c>
      <c r="B347" s="1656"/>
      <c r="C347" s="1656"/>
      <c r="D347" s="1656"/>
      <c r="E347" s="1656"/>
      <c r="F347" s="1656"/>
      <c r="G347" s="1656"/>
      <c r="H347" s="1656"/>
    </row>
    <row r="348" spans="1:8">
      <c r="A348" s="1656" t="s">
        <v>1370</v>
      </c>
      <c r="B348" s="1656"/>
      <c r="C348" s="1656"/>
      <c r="D348" s="1656"/>
      <c r="E348" s="1656"/>
      <c r="F348" s="1656"/>
      <c r="G348" s="1656"/>
      <c r="H348" s="1656"/>
    </row>
    <row r="349" spans="1:8">
      <c r="A349" s="1656" t="s">
        <v>1371</v>
      </c>
      <c r="B349" s="1656"/>
      <c r="C349" s="1656"/>
      <c r="D349" s="1656"/>
      <c r="E349" s="1656"/>
      <c r="F349" s="1656"/>
      <c r="G349" s="1656"/>
      <c r="H349" s="1656"/>
    </row>
    <row r="350" spans="1:8">
      <c r="A350" s="1656" t="s">
        <v>1372</v>
      </c>
      <c r="B350" s="1656"/>
      <c r="C350" s="1656"/>
      <c r="D350" s="1656"/>
      <c r="E350" s="1656"/>
      <c r="F350" s="1656"/>
      <c r="G350" s="1656"/>
      <c r="H350" s="1656"/>
    </row>
    <row r="351" spans="1:8">
      <c r="A351" s="1656" t="s">
        <v>1373</v>
      </c>
      <c r="B351" s="1656"/>
      <c r="C351" s="1656"/>
      <c r="D351" s="1656"/>
      <c r="E351" s="1656"/>
      <c r="F351" s="1656"/>
      <c r="G351" s="1656"/>
      <c r="H351" s="1656"/>
    </row>
    <row r="352" spans="1:8">
      <c r="A352" s="1656" t="s">
        <v>1374</v>
      </c>
      <c r="B352" s="1656"/>
      <c r="C352" s="1656"/>
      <c r="D352" s="1656"/>
      <c r="E352" s="1656"/>
      <c r="F352" s="1656"/>
      <c r="G352" s="1656"/>
      <c r="H352" s="1656"/>
    </row>
    <row r="353" spans="1:8">
      <c r="A353" s="1656" t="s">
        <v>1375</v>
      </c>
      <c r="B353" s="1656"/>
      <c r="C353" s="1656"/>
      <c r="D353" s="1656"/>
      <c r="E353" s="1656"/>
      <c r="F353" s="1656"/>
      <c r="G353" s="1656"/>
      <c r="H353" s="1656"/>
    </row>
    <row r="354" spans="1:8">
      <c r="A354" s="1656" t="s">
        <v>1376</v>
      </c>
      <c r="B354" s="1656"/>
      <c r="C354" s="1656"/>
      <c r="D354" s="1656"/>
      <c r="E354" s="1656"/>
      <c r="F354" s="1656"/>
      <c r="G354" s="1656"/>
      <c r="H354" s="1656"/>
    </row>
    <row r="355" spans="1:8">
      <c r="A355" s="1656" t="s">
        <v>1377</v>
      </c>
      <c r="B355" s="1656"/>
      <c r="C355" s="1656"/>
      <c r="D355" s="1656"/>
      <c r="E355" s="1656"/>
      <c r="F355" s="1656"/>
      <c r="G355" s="1656"/>
      <c r="H355" s="1656"/>
    </row>
    <row r="356" spans="1:8">
      <c r="A356" s="1656" t="s">
        <v>1378</v>
      </c>
      <c r="B356" s="1656"/>
      <c r="C356" s="1656"/>
      <c r="D356" s="1656"/>
      <c r="E356" s="1656"/>
      <c r="F356" s="1656"/>
      <c r="G356" s="1656"/>
      <c r="H356" s="1656"/>
    </row>
    <row r="357" spans="1:8">
      <c r="A357" s="1656" t="s">
        <v>1379</v>
      </c>
      <c r="B357" s="1656"/>
      <c r="C357" s="1656"/>
      <c r="D357" s="1656"/>
      <c r="E357" s="1656"/>
      <c r="F357" s="1656"/>
      <c r="G357" s="1656"/>
      <c r="H357" s="1656"/>
    </row>
    <row r="358" spans="1:8">
      <c r="A358" s="1656" t="s">
        <v>1380</v>
      </c>
      <c r="B358" s="1656"/>
      <c r="C358" s="1656"/>
      <c r="D358" s="1656"/>
      <c r="E358" s="1656"/>
      <c r="F358" s="1656"/>
      <c r="G358" s="1656"/>
      <c r="H358" s="1656"/>
    </row>
    <row r="359" spans="1:8">
      <c r="A359" s="1656" t="s">
        <v>1381</v>
      </c>
      <c r="B359" s="1656"/>
      <c r="C359" s="1656"/>
      <c r="D359" s="1656"/>
      <c r="E359" s="1656"/>
      <c r="F359" s="1656"/>
      <c r="G359" s="1656"/>
      <c r="H359" s="1656"/>
    </row>
    <row r="360" spans="1:8">
      <c r="A360" s="1656" t="s">
        <v>1382</v>
      </c>
      <c r="B360" s="1656"/>
      <c r="C360" s="1656"/>
      <c r="D360" s="1656"/>
      <c r="E360" s="1656"/>
      <c r="F360" s="1656"/>
      <c r="G360" s="1656"/>
      <c r="H360" s="1656"/>
    </row>
    <row r="361" spans="1:8">
      <c r="A361" s="1656" t="s">
        <v>1383</v>
      </c>
      <c r="B361" s="1656"/>
      <c r="C361" s="1656"/>
      <c r="D361" s="1656"/>
      <c r="E361" s="1656"/>
      <c r="F361" s="1656"/>
      <c r="G361" s="1656"/>
      <c r="H361" s="1656"/>
    </row>
    <row r="362" spans="1:8">
      <c r="A362" s="1656" t="s">
        <v>1384</v>
      </c>
      <c r="B362" s="1656"/>
      <c r="C362" s="1656"/>
      <c r="D362" s="1656"/>
      <c r="E362" s="1656"/>
      <c r="F362" s="1656"/>
      <c r="G362" s="1656"/>
      <c r="H362" s="1656"/>
    </row>
    <row r="363" spans="1:8">
      <c r="A363" s="1656" t="s">
        <v>1385</v>
      </c>
      <c r="B363" s="1656"/>
      <c r="C363" s="1656"/>
      <c r="D363" s="1656"/>
      <c r="E363" s="1656"/>
      <c r="F363" s="1656"/>
      <c r="G363" s="1656"/>
      <c r="H363" s="1656"/>
    </row>
    <row r="364" spans="1:8">
      <c r="A364" s="1656" t="s">
        <v>1386</v>
      </c>
      <c r="B364" s="1656"/>
      <c r="C364" s="1656"/>
      <c r="D364" s="1656"/>
      <c r="E364" s="1656"/>
      <c r="F364" s="1656"/>
      <c r="G364" s="1656"/>
      <c r="H364" s="1656"/>
    </row>
    <row r="365" spans="1:8">
      <c r="A365" s="1656" t="s">
        <v>1387</v>
      </c>
      <c r="B365" s="1656"/>
      <c r="C365" s="1656"/>
      <c r="D365" s="1656"/>
      <c r="E365" s="1656"/>
      <c r="F365" s="1656"/>
      <c r="G365" s="1656"/>
      <c r="H365" s="1656"/>
    </row>
    <row r="366" spans="1:8">
      <c r="A366" s="1656" t="s">
        <v>1388</v>
      </c>
      <c r="B366" s="1656"/>
      <c r="C366" s="1656"/>
      <c r="D366" s="1656"/>
      <c r="E366" s="1656"/>
      <c r="F366" s="1656"/>
      <c r="G366" s="1656"/>
      <c r="H366" s="1656"/>
    </row>
    <row r="367" spans="1:8">
      <c r="A367" s="1656" t="s">
        <v>1389</v>
      </c>
      <c r="B367" s="1656"/>
      <c r="C367" s="1656"/>
      <c r="D367" s="1656"/>
      <c r="E367" s="1656"/>
      <c r="F367" s="1656"/>
      <c r="G367" s="1656"/>
      <c r="H367" s="1656"/>
    </row>
    <row r="368" spans="1:8">
      <c r="A368" s="1656" t="s">
        <v>1390</v>
      </c>
      <c r="B368" s="1656"/>
      <c r="C368" s="1656"/>
      <c r="D368" s="1656"/>
      <c r="E368" s="1656"/>
      <c r="F368" s="1656"/>
      <c r="G368" s="1656"/>
      <c r="H368" s="1656"/>
    </row>
    <row r="369" spans="1:8">
      <c r="A369" s="1656" t="s">
        <v>1391</v>
      </c>
      <c r="B369" s="1656"/>
      <c r="C369" s="1656"/>
      <c r="D369" s="1656"/>
      <c r="E369" s="1656"/>
      <c r="F369" s="1656"/>
      <c r="G369" s="1656"/>
      <c r="H369" s="1656"/>
    </row>
    <row r="370" spans="1:8">
      <c r="A370" s="1656" t="s">
        <v>1392</v>
      </c>
      <c r="B370" s="1656"/>
      <c r="C370" s="1656"/>
      <c r="D370" s="1656"/>
      <c r="E370" s="1656"/>
      <c r="F370" s="1656"/>
      <c r="G370" s="1656"/>
      <c r="H370" s="1656"/>
    </row>
    <row r="371" spans="1:8">
      <c r="A371" s="1656" t="s">
        <v>1393</v>
      </c>
      <c r="B371" s="1656"/>
      <c r="C371" s="1656"/>
      <c r="D371" s="1656"/>
      <c r="E371" s="1656"/>
      <c r="F371" s="1656"/>
      <c r="G371" s="1656"/>
      <c r="H371" s="1656"/>
    </row>
    <row r="372" spans="1:8">
      <c r="A372" s="1656" t="s">
        <v>1394</v>
      </c>
      <c r="B372" s="1656"/>
      <c r="C372" s="1656"/>
      <c r="D372" s="1656"/>
      <c r="E372" s="1656"/>
      <c r="F372" s="1656"/>
      <c r="G372" s="1656"/>
      <c r="H372" s="1656"/>
    </row>
    <row r="373" spans="1:8">
      <c r="A373" s="1656" t="s">
        <v>1395</v>
      </c>
      <c r="B373" s="1656"/>
      <c r="C373" s="1656"/>
      <c r="D373" s="1656"/>
      <c r="E373" s="1656"/>
      <c r="F373" s="1656"/>
      <c r="G373" s="1656"/>
      <c r="H373" s="1656"/>
    </row>
    <row r="374" spans="1:8">
      <c r="A374" s="1656" t="s">
        <v>1396</v>
      </c>
      <c r="B374" s="1656"/>
      <c r="C374" s="1656"/>
      <c r="D374" s="1656"/>
      <c r="E374" s="1656"/>
      <c r="F374" s="1656"/>
      <c r="G374" s="1656"/>
      <c r="H374" s="1656"/>
    </row>
    <row r="375" spans="1:8">
      <c r="A375" s="1656" t="s">
        <v>1397</v>
      </c>
      <c r="B375" s="1656"/>
      <c r="C375" s="1656"/>
      <c r="D375" s="1656"/>
      <c r="E375" s="1656"/>
      <c r="F375" s="1656"/>
      <c r="G375" s="1656"/>
      <c r="H375" s="1656"/>
    </row>
    <row r="376" spans="1:8">
      <c r="A376" s="1656" t="s">
        <v>1398</v>
      </c>
      <c r="B376" s="1656"/>
      <c r="C376" s="1656"/>
      <c r="D376" s="1656"/>
      <c r="E376" s="1656"/>
      <c r="F376" s="1656"/>
      <c r="G376" s="1656"/>
      <c r="H376" s="1656"/>
    </row>
    <row r="377" spans="1:8">
      <c r="A377" s="1656" t="s">
        <v>1399</v>
      </c>
      <c r="B377" s="1656"/>
      <c r="C377" s="1656"/>
      <c r="D377" s="1656"/>
      <c r="E377" s="1656"/>
      <c r="F377" s="1656"/>
      <c r="G377" s="1656"/>
      <c r="H377" s="1656"/>
    </row>
    <row r="378" spans="1:8">
      <c r="A378" s="1656" t="s">
        <v>1400</v>
      </c>
      <c r="B378" s="1656"/>
      <c r="C378" s="1656"/>
      <c r="D378" s="1656"/>
      <c r="E378" s="1656"/>
      <c r="F378" s="1656"/>
      <c r="G378" s="1656"/>
      <c r="H378" s="1656"/>
    </row>
    <row r="379" spans="1:8">
      <c r="A379" s="1656" t="s">
        <v>1401</v>
      </c>
      <c r="B379" s="1656"/>
      <c r="C379" s="1656"/>
      <c r="D379" s="1656"/>
      <c r="E379" s="1656"/>
      <c r="F379" s="1656"/>
      <c r="G379" s="1656"/>
      <c r="H379" s="1656"/>
    </row>
    <row r="380" spans="1:8">
      <c r="A380" s="1656" t="s">
        <v>1402</v>
      </c>
      <c r="B380" s="1656"/>
      <c r="C380" s="1656"/>
      <c r="D380" s="1656"/>
      <c r="E380" s="1656"/>
      <c r="F380" s="1656"/>
      <c r="G380" s="1656"/>
      <c r="H380" s="1656"/>
    </row>
    <row r="381" spans="1:8">
      <c r="A381" s="1656" t="s">
        <v>1403</v>
      </c>
      <c r="B381" s="1656"/>
      <c r="C381" s="1656"/>
      <c r="D381" s="1656"/>
      <c r="E381" s="1656"/>
      <c r="F381" s="1656"/>
      <c r="G381" s="1656"/>
      <c r="H381" s="1656"/>
    </row>
    <row r="382" spans="1:8">
      <c r="A382" s="1656" t="s">
        <v>1404</v>
      </c>
      <c r="B382" s="1656"/>
      <c r="C382" s="1656"/>
      <c r="D382" s="1656"/>
      <c r="E382" s="1656"/>
      <c r="F382" s="1656"/>
      <c r="G382" s="1656"/>
      <c r="H382" s="1656"/>
    </row>
    <row r="383" spans="1:8">
      <c r="A383" s="1656" t="s">
        <v>1405</v>
      </c>
      <c r="B383" s="1656"/>
      <c r="C383" s="1656"/>
      <c r="D383" s="1656"/>
      <c r="E383" s="1656"/>
      <c r="F383" s="1656"/>
      <c r="G383" s="1656"/>
      <c r="H383" s="1656"/>
    </row>
    <row r="384" spans="1:8">
      <c r="A384" s="1656" t="s">
        <v>1406</v>
      </c>
      <c r="B384" s="1656"/>
      <c r="C384" s="1656"/>
      <c r="D384" s="1656"/>
      <c r="E384" s="1656"/>
      <c r="F384" s="1656"/>
      <c r="G384" s="1656"/>
      <c r="H384" s="1656"/>
    </row>
    <row r="385" spans="1:8">
      <c r="A385" s="1656" t="s">
        <v>1407</v>
      </c>
      <c r="B385" s="1656"/>
      <c r="C385" s="1656"/>
      <c r="D385" s="1656"/>
      <c r="E385" s="1656"/>
      <c r="F385" s="1656"/>
      <c r="G385" s="1656"/>
      <c r="H385" s="1656"/>
    </row>
    <row r="386" spans="1:8">
      <c r="A386" s="1656" t="s">
        <v>1408</v>
      </c>
      <c r="B386" s="1656"/>
      <c r="C386" s="1656"/>
      <c r="D386" s="1656"/>
      <c r="E386" s="1656"/>
      <c r="F386" s="1656"/>
      <c r="G386" s="1656"/>
      <c r="H386" s="1656"/>
    </row>
    <row r="387" spans="1:8">
      <c r="A387" s="1656"/>
      <c r="B387" s="1656"/>
      <c r="C387" s="1656"/>
      <c r="D387" s="1656"/>
      <c r="E387" s="1656"/>
      <c r="F387" s="1656"/>
      <c r="G387" s="1656"/>
      <c r="H387" s="1656"/>
    </row>
    <row r="388" spans="1:8">
      <c r="A388" s="1656" t="s">
        <v>1409</v>
      </c>
      <c r="B388" s="1656"/>
      <c r="C388" s="1656"/>
      <c r="D388" s="1656"/>
      <c r="E388" s="1656"/>
      <c r="F388" s="1656"/>
      <c r="G388" s="1656"/>
      <c r="H388" s="1656"/>
    </row>
    <row r="389" spans="1:8">
      <c r="A389" s="1656" t="s">
        <v>1410</v>
      </c>
      <c r="B389" s="1656"/>
      <c r="C389" s="1656"/>
      <c r="D389" s="1656"/>
      <c r="E389" s="1656"/>
      <c r="F389" s="1656"/>
      <c r="G389" s="1656"/>
      <c r="H389" s="1656"/>
    </row>
    <row r="390" spans="1:8">
      <c r="A390" s="1656" t="s">
        <v>1411</v>
      </c>
      <c r="B390" s="1656"/>
      <c r="C390" s="1656"/>
      <c r="D390" s="1656"/>
      <c r="E390" s="1656"/>
      <c r="F390" s="1656"/>
      <c r="G390" s="1656"/>
      <c r="H390" s="1656"/>
    </row>
    <row r="391" spans="1:8">
      <c r="A391" s="1656" t="s">
        <v>1412</v>
      </c>
      <c r="B391" s="1656"/>
      <c r="C391" s="1656"/>
      <c r="D391" s="1656"/>
      <c r="E391" s="1656"/>
      <c r="F391" s="1656"/>
      <c r="G391" s="1656"/>
      <c r="H391" s="1656"/>
    </row>
    <row r="392" spans="1:8">
      <c r="A392" s="1656" t="s">
        <v>1413</v>
      </c>
      <c r="B392" s="1656"/>
      <c r="C392" s="1656"/>
      <c r="D392" s="1656"/>
      <c r="E392" s="1656"/>
      <c r="F392" s="1656"/>
      <c r="G392" s="1656"/>
      <c r="H392" s="1656"/>
    </row>
    <row r="393" spans="1:8">
      <c r="A393" s="1656" t="s">
        <v>1414</v>
      </c>
      <c r="B393" s="1656"/>
      <c r="C393" s="1656"/>
      <c r="D393" s="1656"/>
      <c r="E393" s="1656"/>
      <c r="F393" s="1656"/>
      <c r="G393" s="1656"/>
      <c r="H393" s="1656"/>
    </row>
    <row r="394" spans="1:8">
      <c r="A394" s="1656" t="s">
        <v>1415</v>
      </c>
      <c r="B394" s="1656"/>
      <c r="C394" s="1656"/>
      <c r="D394" s="1656"/>
      <c r="E394" s="1656"/>
      <c r="F394" s="1656"/>
      <c r="G394" s="1656"/>
      <c r="H394" s="1656"/>
    </row>
    <row r="395" spans="1:8">
      <c r="A395" s="1656" t="s">
        <v>1416</v>
      </c>
      <c r="B395" s="1656"/>
      <c r="C395" s="1656"/>
      <c r="D395" s="1656"/>
      <c r="E395" s="1656"/>
      <c r="F395" s="1656"/>
      <c r="G395" s="1656"/>
      <c r="H395" s="1656"/>
    </row>
    <row r="396" spans="1:8">
      <c r="A396" s="1656"/>
      <c r="B396" s="1656"/>
      <c r="C396" s="1656"/>
      <c r="D396" s="1656"/>
      <c r="E396" s="1656"/>
      <c r="F396" s="1656"/>
      <c r="G396" s="1656"/>
      <c r="H396" s="1656"/>
    </row>
    <row r="397" spans="1:8">
      <c r="A397" s="1656" t="s">
        <v>1409</v>
      </c>
      <c r="B397" s="1656"/>
      <c r="C397" s="1656"/>
      <c r="D397" s="1656"/>
      <c r="E397" s="1656"/>
      <c r="F397" s="1656"/>
      <c r="G397" s="1656"/>
      <c r="H397" s="1656"/>
    </row>
    <row r="398" spans="1:8">
      <c r="A398" s="1656" t="s">
        <v>1417</v>
      </c>
      <c r="B398" s="1656"/>
      <c r="C398" s="1656"/>
      <c r="D398" s="1656"/>
      <c r="E398" s="1656"/>
      <c r="F398" s="1656"/>
      <c r="G398" s="1656"/>
      <c r="H398" s="1656"/>
    </row>
    <row r="399" spans="1:8">
      <c r="A399" s="1656" t="s">
        <v>1418</v>
      </c>
      <c r="B399" s="1656"/>
      <c r="C399" s="1656"/>
      <c r="D399" s="1656"/>
      <c r="E399" s="1656"/>
      <c r="F399" s="1656"/>
      <c r="G399" s="1656"/>
      <c r="H399" s="1656"/>
    </row>
    <row r="400" spans="1:8">
      <c r="A400" s="1656" t="s">
        <v>1419</v>
      </c>
      <c r="B400" s="1656"/>
      <c r="C400" s="1656"/>
      <c r="D400" s="1656"/>
      <c r="E400" s="1656"/>
      <c r="F400" s="1656"/>
      <c r="G400" s="1656"/>
      <c r="H400" s="1656"/>
    </row>
    <row r="401" spans="1:8">
      <c r="A401" s="1656"/>
      <c r="B401" s="1656"/>
      <c r="C401" s="1656"/>
      <c r="D401" s="1656"/>
      <c r="E401" s="1656"/>
      <c r="F401" s="1656"/>
      <c r="G401" s="1656"/>
      <c r="H401" s="1656"/>
    </row>
    <row r="402" spans="1:8">
      <c r="A402" s="1656" t="s">
        <v>1420</v>
      </c>
      <c r="B402" s="1656"/>
      <c r="C402" s="1656"/>
      <c r="D402" s="1656"/>
      <c r="E402" s="1656"/>
      <c r="F402" s="1656"/>
      <c r="G402" s="1656"/>
      <c r="H402" s="1656"/>
    </row>
    <row r="403" spans="1:8">
      <c r="A403" s="1656" t="s">
        <v>1421</v>
      </c>
      <c r="B403" s="1656"/>
      <c r="C403" s="1656"/>
      <c r="D403" s="1656"/>
      <c r="E403" s="1656"/>
      <c r="F403" s="1656"/>
      <c r="G403" s="1656"/>
      <c r="H403" s="1656"/>
    </row>
    <row r="404" spans="1:8">
      <c r="A404" s="1656" t="s">
        <v>1422</v>
      </c>
      <c r="B404" s="1656"/>
      <c r="C404" s="1656"/>
      <c r="D404" s="1656"/>
      <c r="E404" s="1656"/>
      <c r="F404" s="1656"/>
      <c r="G404" s="1656"/>
      <c r="H404" s="1656"/>
    </row>
    <row r="405" spans="1:8">
      <c r="A405" s="1656" t="s">
        <v>1423</v>
      </c>
      <c r="B405" s="1656"/>
      <c r="C405" s="1656"/>
      <c r="D405" s="1656"/>
      <c r="E405" s="1656"/>
      <c r="F405" s="1656"/>
      <c r="G405" s="1656"/>
      <c r="H405" s="1656"/>
    </row>
    <row r="406" spans="1:8">
      <c r="A406" s="1656" t="s">
        <v>1424</v>
      </c>
      <c r="B406" s="1656"/>
      <c r="C406" s="1656"/>
      <c r="D406" s="1656"/>
      <c r="E406" s="1656"/>
      <c r="F406" s="1656"/>
      <c r="G406" s="1656"/>
      <c r="H406" s="1656"/>
    </row>
    <row r="407" spans="1:8">
      <c r="A407" s="1656" t="s">
        <v>1425</v>
      </c>
      <c r="B407" s="1656"/>
      <c r="C407" s="1656"/>
      <c r="D407" s="1656"/>
      <c r="E407" s="1656"/>
      <c r="F407" s="1656"/>
      <c r="G407" s="1656"/>
      <c r="H407" s="1656"/>
    </row>
    <row r="408" spans="1:8">
      <c r="A408" s="1656"/>
      <c r="B408" s="1656"/>
      <c r="C408" s="1656"/>
      <c r="D408" s="1656"/>
      <c r="E408" s="1656"/>
      <c r="F408" s="1656"/>
      <c r="G408" s="1656"/>
      <c r="H408" s="1656"/>
    </row>
    <row r="409" spans="1:8">
      <c r="A409" s="1656" t="s">
        <v>1426</v>
      </c>
      <c r="B409" s="1656"/>
      <c r="C409" s="1656"/>
      <c r="D409" s="1656"/>
      <c r="E409" s="1656"/>
      <c r="F409" s="1656"/>
      <c r="G409" s="1656"/>
      <c r="H409" s="1656"/>
    </row>
    <row r="410" spans="1:8">
      <c r="A410" s="1656" t="s">
        <v>1427</v>
      </c>
      <c r="B410" s="1656"/>
      <c r="C410" s="1656"/>
      <c r="D410" s="1656"/>
      <c r="E410" s="1656"/>
      <c r="F410" s="1656"/>
      <c r="G410" s="1656"/>
      <c r="H410" s="1656"/>
    </row>
    <row r="411" spans="1:8">
      <c r="A411" s="1656" t="s">
        <v>1428</v>
      </c>
      <c r="B411" s="1656"/>
      <c r="C411" s="1656"/>
      <c r="D411" s="1656"/>
      <c r="E411" s="1656"/>
      <c r="F411" s="1656"/>
      <c r="G411" s="1656"/>
      <c r="H411" s="1656"/>
    </row>
    <row r="412" spans="1:8">
      <c r="A412" s="1656" t="s">
        <v>1429</v>
      </c>
      <c r="B412" s="1656"/>
      <c r="C412" s="1656"/>
      <c r="D412" s="1656"/>
      <c r="E412" s="1656"/>
      <c r="F412" s="1656"/>
      <c r="G412" s="1656"/>
      <c r="H412" s="1656"/>
    </row>
    <row r="413" spans="1:8">
      <c r="A413" s="1656" t="s">
        <v>1430</v>
      </c>
      <c r="B413" s="1656"/>
      <c r="C413" s="1656"/>
      <c r="D413" s="1656"/>
      <c r="E413" s="1656"/>
      <c r="F413" s="1656"/>
      <c r="G413" s="1656"/>
      <c r="H413" s="1656"/>
    </row>
    <row r="414" spans="1:8">
      <c r="A414" s="1656"/>
      <c r="B414" s="1656"/>
      <c r="C414" s="1656"/>
      <c r="D414" s="1656"/>
      <c r="E414" s="1656"/>
      <c r="F414" s="1656"/>
      <c r="G414" s="1656"/>
      <c r="H414" s="1656"/>
    </row>
    <row r="415" spans="1:8">
      <c r="A415" s="1656" t="s">
        <v>1431</v>
      </c>
      <c r="B415" s="1656"/>
      <c r="C415" s="1656"/>
      <c r="D415" s="1656"/>
      <c r="E415" s="1656"/>
      <c r="F415" s="1656"/>
      <c r="G415" s="1656"/>
      <c r="H415" s="1656"/>
    </row>
    <row r="416" spans="1:8">
      <c r="A416" s="1656" t="s">
        <v>1432</v>
      </c>
      <c r="B416" s="1656"/>
      <c r="C416" s="1656"/>
      <c r="D416" s="1656"/>
      <c r="E416" s="1656"/>
      <c r="F416" s="1656"/>
      <c r="G416" s="1656"/>
      <c r="H416" s="1656"/>
    </row>
    <row r="417" spans="1:8">
      <c r="A417" s="1656"/>
      <c r="B417" s="1656"/>
      <c r="C417" s="1656"/>
      <c r="D417" s="1656"/>
      <c r="E417" s="1656"/>
      <c r="F417" s="1656"/>
      <c r="G417" s="1656"/>
      <c r="H417" s="1656"/>
    </row>
    <row r="418" spans="1:8">
      <c r="A418" s="1656" t="s">
        <v>1433</v>
      </c>
      <c r="B418" s="1656"/>
      <c r="C418" s="1656"/>
      <c r="D418" s="1656"/>
      <c r="E418" s="1656"/>
      <c r="F418" s="1656"/>
      <c r="G418" s="1656"/>
      <c r="H418" s="1656"/>
    </row>
    <row r="419" spans="1:8">
      <c r="A419" s="1656" t="s">
        <v>1434</v>
      </c>
      <c r="B419" s="1656"/>
      <c r="C419" s="1656"/>
      <c r="D419" s="1656"/>
      <c r="E419" s="1656"/>
      <c r="F419" s="1656"/>
      <c r="G419" s="1656"/>
      <c r="H419" s="1656"/>
    </row>
    <row r="420" spans="1:8">
      <c r="A420" s="1656"/>
      <c r="B420" s="1656"/>
      <c r="C420" s="1656"/>
      <c r="D420" s="1656"/>
      <c r="E420" s="1656"/>
      <c r="F420" s="1656"/>
      <c r="G420" s="1656"/>
      <c r="H420" s="1656"/>
    </row>
    <row r="421" spans="1:8">
      <c r="A421" s="1656" t="s">
        <v>1435</v>
      </c>
      <c r="B421" s="1656"/>
      <c r="C421" s="1656"/>
      <c r="D421" s="1656"/>
      <c r="E421" s="1656"/>
      <c r="F421" s="1656"/>
      <c r="G421" s="1656"/>
      <c r="H421" s="1656"/>
    </row>
    <row r="422" spans="1:8">
      <c r="A422" s="1656" t="s">
        <v>1436</v>
      </c>
      <c r="B422" s="1656"/>
      <c r="C422" s="1656"/>
      <c r="D422" s="1656"/>
      <c r="E422" s="1656"/>
      <c r="F422" s="1656"/>
      <c r="G422" s="1656"/>
      <c r="H422" s="1656"/>
    </row>
    <row r="423" spans="1:8">
      <c r="A423" s="1656" t="s">
        <v>1437</v>
      </c>
      <c r="B423" s="1656"/>
      <c r="C423" s="1656"/>
      <c r="D423" s="1656"/>
      <c r="E423" s="1656"/>
      <c r="F423" s="1656"/>
      <c r="G423" s="1656"/>
      <c r="H423" s="1656"/>
    </row>
    <row r="424" spans="1:8">
      <c r="A424" s="1656" t="s">
        <v>1438</v>
      </c>
      <c r="B424" s="1656"/>
      <c r="C424" s="1656"/>
      <c r="D424" s="1656"/>
      <c r="E424" s="1656"/>
      <c r="F424" s="1656"/>
      <c r="G424" s="1656"/>
      <c r="H424" s="1656"/>
    </row>
    <row r="425" spans="1:8">
      <c r="A425" s="1656"/>
      <c r="B425" s="1656"/>
      <c r="C425" s="1656"/>
      <c r="D425" s="1656"/>
      <c r="E425" s="1656"/>
      <c r="F425" s="1656"/>
      <c r="G425" s="1656"/>
      <c r="H425" s="1656"/>
    </row>
    <row r="426" spans="1:8">
      <c r="A426" s="1656" t="s">
        <v>1439</v>
      </c>
      <c r="B426" s="1656"/>
      <c r="C426" s="1656"/>
      <c r="D426" s="1656"/>
      <c r="E426" s="1656"/>
      <c r="F426" s="1656"/>
      <c r="G426" s="1656"/>
      <c r="H426" s="1656"/>
    </row>
    <row r="427" spans="1:8">
      <c r="A427" s="1656" t="s">
        <v>1440</v>
      </c>
      <c r="B427" s="1656"/>
      <c r="C427" s="1656"/>
      <c r="D427" s="1656"/>
      <c r="E427" s="1656"/>
      <c r="F427" s="1656"/>
      <c r="G427" s="1656"/>
      <c r="H427" s="1656"/>
    </row>
    <row r="428" spans="1:8">
      <c r="A428" s="1656"/>
      <c r="B428" s="1656"/>
      <c r="C428" s="1656"/>
      <c r="D428" s="1656"/>
      <c r="E428" s="1656"/>
      <c r="F428" s="1656"/>
      <c r="G428" s="1656"/>
      <c r="H428" s="1656"/>
    </row>
    <row r="429" spans="1:8">
      <c r="A429" s="1656" t="s">
        <v>1441</v>
      </c>
      <c r="B429" s="1656"/>
      <c r="C429" s="1656"/>
      <c r="D429" s="1656"/>
      <c r="E429" s="1656"/>
      <c r="F429" s="1656"/>
      <c r="G429" s="1656"/>
      <c r="H429" s="1656"/>
    </row>
    <row r="430" spans="1:8">
      <c r="A430" s="1656" t="s">
        <v>1442</v>
      </c>
      <c r="B430" s="1656"/>
      <c r="C430" s="1656"/>
      <c r="D430" s="1656"/>
      <c r="E430" s="1656"/>
      <c r="F430" s="1656"/>
      <c r="G430" s="1656"/>
      <c r="H430" s="1656"/>
    </row>
    <row r="431" spans="1:8">
      <c r="A431" s="1656" t="s">
        <v>1443</v>
      </c>
      <c r="B431" s="1656"/>
      <c r="C431" s="1656"/>
      <c r="D431" s="1656"/>
      <c r="E431" s="1656"/>
      <c r="F431" s="1656"/>
      <c r="G431" s="1656"/>
      <c r="H431" s="1656"/>
    </row>
    <row r="432" spans="1:8">
      <c r="A432" s="1656" t="s">
        <v>1444</v>
      </c>
      <c r="B432" s="1656"/>
      <c r="C432" s="1656"/>
      <c r="D432" s="1656"/>
      <c r="E432" s="1656"/>
      <c r="F432" s="1656"/>
      <c r="G432" s="1656"/>
      <c r="H432" s="1656"/>
    </row>
    <row r="434" spans="1:1">
      <c r="A434" s="35" t="s">
        <v>1445</v>
      </c>
    </row>
  </sheetData>
  <mergeCells count="3">
    <mergeCell ref="B129:C129"/>
    <mergeCell ref="D129:F129"/>
    <mergeCell ref="G129:H12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70C0"/>
    <pageSetUpPr fitToPage="1"/>
  </sheetPr>
  <dimension ref="A1:AX74"/>
  <sheetViews>
    <sheetView showGridLines="0" topLeftCell="A5" zoomScaleNormal="100" workbookViewId="0">
      <selection activeCell="C10" sqref="C10:AG66"/>
    </sheetView>
  </sheetViews>
  <sheetFormatPr defaultColWidth="9.28515625" defaultRowHeight="11.25" outlineLevelRow="1" outlineLevelCol="2"/>
  <cols>
    <col min="1" max="1" width="2.28515625" style="1384" customWidth="1"/>
    <col min="2" max="2" width="11.28515625" style="1451" customWidth="1"/>
    <col min="3" max="3" width="26.5703125" style="1384" customWidth="1"/>
    <col min="4" max="12" width="6.5703125" style="1414" hidden="1" customWidth="1" outlineLevel="1"/>
    <col min="13" max="13" width="6.5703125" style="1414" customWidth="1" collapsed="1"/>
    <col min="14" max="17" width="6.5703125" style="1414" customWidth="1"/>
    <col min="18" max="18" width="2.140625" style="1384" customWidth="1"/>
    <col min="19" max="19" width="26.5703125" style="1384" customWidth="1"/>
    <col min="20" max="20" width="6.5703125" style="1384" hidden="1" customWidth="1" outlineLevel="1"/>
    <col min="21" max="27" width="6.5703125" style="1414" hidden="1" customWidth="1" outlineLevel="1"/>
    <col min="28" max="28" width="6.5703125" style="1384" hidden="1" customWidth="1" outlineLevel="1"/>
    <col min="29" max="29" width="6.5703125" style="1384" customWidth="1" collapsed="1"/>
    <col min="30" max="33" width="6.5703125" style="1384" customWidth="1"/>
    <col min="34" max="34" width="5.28515625" style="1384" customWidth="1"/>
    <col min="35" max="35" width="19.28515625" style="1451" bestFit="1" customWidth="1"/>
    <col min="36" max="36" width="5.28515625" style="1451" customWidth="1"/>
    <col min="37" max="37" width="5.28515625" style="1384" customWidth="1"/>
    <col min="38" max="38" width="6.28515625" style="1384" customWidth="1"/>
    <col min="39" max="39" width="6.28515625" style="1384" customWidth="1" outlineLevel="1"/>
    <col min="40" max="43" width="6.28515625" style="1384" customWidth="1" outlineLevel="2"/>
    <col min="44" max="50" width="6.7109375" style="1384" customWidth="1"/>
    <col min="51" max="51" width="14.42578125" style="1384" bestFit="1" customWidth="1"/>
    <col min="52" max="52" width="2.28515625" style="1384" customWidth="1"/>
    <col min="53" max="53" width="0.7109375" style="1384" customWidth="1"/>
    <col min="54" max="54" width="19.28515625" style="1384" customWidth="1"/>
    <col min="55" max="55" width="20.7109375" style="1384" bestFit="1" customWidth="1"/>
    <col min="56" max="16384" width="9.28515625" style="1384"/>
  </cols>
  <sheetData>
    <row r="1" spans="1:50" hidden="1" outlineLevel="1">
      <c r="A1" s="1382"/>
      <c r="B1" s="1449"/>
      <c r="C1" s="1382"/>
      <c r="D1" s="1383"/>
      <c r="E1" s="1383"/>
      <c r="F1" s="1383"/>
      <c r="G1" s="1383"/>
      <c r="H1" s="1383"/>
      <c r="I1" s="1383"/>
      <c r="J1" s="1383"/>
      <c r="K1" s="1383"/>
      <c r="L1" s="1383"/>
      <c r="M1" s="1383"/>
      <c r="N1" s="1383"/>
      <c r="O1" s="1383"/>
      <c r="P1" s="1383"/>
      <c r="Q1" s="1383"/>
      <c r="R1" s="1383"/>
      <c r="S1" s="1383"/>
      <c r="T1" s="1382"/>
      <c r="U1" s="1383"/>
      <c r="V1" s="1383"/>
      <c r="W1" s="1383"/>
      <c r="X1" s="1383"/>
      <c r="Y1" s="1383"/>
      <c r="Z1" s="1383"/>
      <c r="AA1" s="1383"/>
      <c r="AB1" s="1383"/>
      <c r="AC1" s="1383"/>
      <c r="AD1" s="1383"/>
      <c r="AE1" s="1382"/>
      <c r="AF1" s="1382"/>
      <c r="AG1" s="1382"/>
      <c r="AH1" s="1392"/>
      <c r="AI1" s="1458"/>
      <c r="AJ1" s="1458"/>
      <c r="AK1" s="1382"/>
      <c r="AL1" s="1382"/>
      <c r="AM1" s="1382"/>
      <c r="AN1" s="1382"/>
      <c r="AO1" s="1382"/>
      <c r="AP1" s="1382"/>
      <c r="AQ1" s="1382"/>
      <c r="AR1" s="1382"/>
      <c r="AS1" s="1382"/>
      <c r="AT1" s="1382"/>
      <c r="AU1" s="1382"/>
      <c r="AV1" s="1382"/>
      <c r="AW1" s="1382"/>
      <c r="AX1" s="1382"/>
    </row>
    <row r="2" spans="1:50" hidden="1" outlineLevel="1">
      <c r="A2" s="1382"/>
      <c r="B2" s="1449"/>
      <c r="C2" s="1385"/>
      <c r="D2" s="1386"/>
      <c r="E2" s="1386"/>
      <c r="F2" s="1386"/>
      <c r="G2" s="1386"/>
      <c r="H2" s="1386"/>
      <c r="I2" s="1386"/>
      <c r="J2" s="1386"/>
      <c r="K2" s="1386"/>
      <c r="L2" s="1386"/>
      <c r="M2" s="1386"/>
      <c r="N2" s="1386"/>
      <c r="O2" s="1386"/>
      <c r="P2" s="1386"/>
      <c r="Q2" s="1386"/>
      <c r="R2" s="1386"/>
      <c r="S2" s="1386"/>
      <c r="T2" s="1385"/>
      <c r="U2" s="1386"/>
      <c r="V2" s="1386"/>
      <c r="W2" s="1386"/>
      <c r="X2" s="1386"/>
      <c r="Y2" s="1386"/>
      <c r="Z2" s="1386"/>
      <c r="AA2" s="1386"/>
      <c r="AB2" s="1386"/>
      <c r="AC2" s="1386"/>
      <c r="AD2" s="1386"/>
      <c r="AE2" s="1385"/>
      <c r="AF2" s="1385"/>
      <c r="AG2" s="1385"/>
      <c r="AH2" s="1411"/>
      <c r="AI2" s="1459"/>
      <c r="AJ2" s="1459"/>
      <c r="AK2" s="1385"/>
      <c r="AL2" s="1385"/>
      <c r="AM2" s="1385"/>
      <c r="AN2" s="1385"/>
      <c r="AO2" s="1385"/>
      <c r="AP2" s="1385"/>
      <c r="AQ2" s="1385"/>
      <c r="AR2" s="1385"/>
      <c r="AS2" s="1385"/>
      <c r="AT2" s="1385"/>
      <c r="AU2" s="1385"/>
      <c r="AV2" s="1385"/>
      <c r="AW2" s="1385"/>
      <c r="AX2" s="1385"/>
    </row>
    <row r="3" spans="1:50" hidden="1" outlineLevel="1">
      <c r="A3" s="1382"/>
      <c r="B3" s="1449"/>
      <c r="C3" s="1385"/>
      <c r="D3" s="1386"/>
      <c r="E3" s="1386"/>
      <c r="F3" s="1386"/>
      <c r="G3" s="1386"/>
      <c r="H3" s="1386"/>
      <c r="I3" s="1386"/>
      <c r="J3" s="1386"/>
      <c r="K3" s="1386"/>
      <c r="L3" s="1386"/>
      <c r="M3" s="1386"/>
      <c r="N3" s="1386"/>
      <c r="O3" s="1386"/>
      <c r="P3" s="1386"/>
      <c r="Q3" s="1386"/>
      <c r="R3" s="1386"/>
      <c r="S3" s="1386"/>
      <c r="T3" s="1385"/>
      <c r="U3" s="1386"/>
      <c r="V3" s="1386"/>
      <c r="W3" s="1386"/>
      <c r="X3" s="1386"/>
      <c r="Y3" s="1386"/>
      <c r="Z3" s="1386"/>
      <c r="AA3" s="1386"/>
      <c r="AB3" s="1386"/>
      <c r="AC3" s="1386"/>
      <c r="AD3" s="1386"/>
      <c r="AE3" s="1385"/>
      <c r="AF3" s="1385"/>
      <c r="AG3" s="1385"/>
      <c r="AH3" s="1411"/>
      <c r="AI3" s="1459"/>
      <c r="AJ3" s="1459"/>
      <c r="AK3" s="1385"/>
      <c r="AL3" s="1387"/>
      <c r="AM3" s="1387"/>
      <c r="AN3" s="1387"/>
      <c r="AO3" s="1387"/>
      <c r="AP3" s="1387"/>
      <c r="AQ3" s="1387"/>
      <c r="AR3" s="1387"/>
      <c r="AS3" s="1387"/>
      <c r="AT3" s="1387"/>
      <c r="AU3" s="1387"/>
      <c r="AV3" s="1387"/>
      <c r="AW3" s="1387"/>
      <c r="AX3" s="1387"/>
    </row>
    <row r="4" spans="1:50" hidden="1" outlineLevel="1">
      <c r="A4" s="1382"/>
      <c r="B4" s="1449"/>
      <c r="C4" s="1385"/>
      <c r="D4" s="1386"/>
      <c r="E4" s="1386"/>
      <c r="F4" s="1386"/>
      <c r="G4" s="1386"/>
      <c r="H4" s="1386"/>
      <c r="I4" s="1386"/>
      <c r="J4" s="1386"/>
      <c r="K4" s="1386"/>
      <c r="L4" s="1386"/>
      <c r="M4" s="1386"/>
      <c r="N4" s="1386"/>
      <c r="O4" s="1386"/>
      <c r="P4" s="1386"/>
      <c r="Q4" s="1386"/>
      <c r="R4" s="1386"/>
      <c r="S4" s="1386"/>
      <c r="T4" s="1385"/>
      <c r="U4" s="1386"/>
      <c r="V4" s="1386"/>
      <c r="W4" s="1386"/>
      <c r="X4" s="1386"/>
      <c r="Y4" s="1386"/>
      <c r="Z4" s="1386"/>
      <c r="AA4" s="1386"/>
      <c r="AB4" s="1386"/>
      <c r="AC4" s="1386"/>
      <c r="AD4" s="1386"/>
      <c r="AE4" s="1385"/>
      <c r="AF4" s="1385"/>
      <c r="AG4" s="1385"/>
      <c r="AH4" s="1411"/>
      <c r="AI4" s="1459"/>
      <c r="AJ4" s="1459"/>
      <c r="AK4" s="1385"/>
      <c r="AL4" s="1387" t="s">
        <v>320</v>
      </c>
      <c r="AM4" s="1387"/>
      <c r="AN4" s="1387"/>
      <c r="AO4" s="1387"/>
      <c r="AP4" s="1387"/>
      <c r="AQ4" s="1387"/>
      <c r="AR4" s="1387"/>
      <c r="AS4" s="1387"/>
      <c r="AT4" s="1387"/>
      <c r="AU4" s="1387"/>
      <c r="AV4" s="1387"/>
      <c r="AW4" s="1387"/>
      <c r="AX4" s="1387"/>
    </row>
    <row r="5" spans="1:50" collapsed="1">
      <c r="A5" s="1382"/>
      <c r="B5" s="1449"/>
      <c r="C5" s="1388" t="s">
        <v>45</v>
      </c>
      <c r="D5" s="1383"/>
      <c r="E5" s="1389"/>
      <c r="F5" s="1383"/>
      <c r="G5" s="1383"/>
      <c r="H5" s="1383"/>
      <c r="I5" s="1390"/>
      <c r="J5" s="1383"/>
      <c r="K5" s="1383"/>
      <c r="L5" s="1383"/>
      <c r="M5" s="1383"/>
      <c r="N5" s="1383"/>
      <c r="O5" s="1383"/>
      <c r="P5" s="1383"/>
      <c r="Q5" s="1383"/>
      <c r="R5" s="1383"/>
      <c r="S5" s="1383"/>
      <c r="T5" s="1382"/>
      <c r="U5" s="1383"/>
      <c r="V5" s="1383"/>
      <c r="W5" s="1383"/>
      <c r="X5" s="1383"/>
      <c r="Y5" s="1383"/>
      <c r="Z5" s="1383"/>
      <c r="AA5" s="1383"/>
      <c r="AB5" s="1383"/>
      <c r="AC5" s="1383"/>
      <c r="AD5" s="1383"/>
      <c r="AE5" s="1382"/>
      <c r="AF5" s="1382"/>
      <c r="AG5" s="1382"/>
      <c r="AH5" s="1392"/>
      <c r="AI5" s="1458"/>
      <c r="AJ5" s="1458"/>
      <c r="AK5" s="1382"/>
      <c r="AL5" s="1391"/>
      <c r="AM5" s="1391"/>
      <c r="AN5" s="1391"/>
      <c r="AO5" s="1391"/>
      <c r="AP5" s="1391"/>
      <c r="AQ5" s="1391"/>
      <c r="AR5" s="1391"/>
      <c r="AS5" s="1391"/>
      <c r="AT5" s="1391"/>
      <c r="AU5" s="1391"/>
      <c r="AV5" s="1391"/>
      <c r="AW5" s="1391"/>
      <c r="AX5" s="1391"/>
    </row>
    <row r="6" spans="1:50">
      <c r="A6" s="1392"/>
      <c r="B6" s="1449"/>
      <c r="C6" s="1393" t="s">
        <v>1106</v>
      </c>
      <c r="D6" s="1394"/>
      <c r="E6" s="1394"/>
      <c r="F6" s="1394"/>
      <c r="G6" s="1394"/>
      <c r="H6" s="1394"/>
      <c r="I6" s="1395"/>
      <c r="J6" s="1395"/>
      <c r="K6" s="1395"/>
      <c r="L6" s="1395"/>
      <c r="M6" s="1395"/>
      <c r="N6" s="1395"/>
      <c r="O6" s="1395"/>
      <c r="P6" s="1395"/>
      <c r="Q6" s="1395"/>
      <c r="R6" s="1394"/>
      <c r="S6" s="1394"/>
      <c r="T6" s="1392"/>
      <c r="U6" s="1394"/>
      <c r="V6" s="1394"/>
      <c r="W6" s="1394"/>
      <c r="X6" s="1394"/>
      <c r="Y6" s="1394"/>
      <c r="Z6" s="1394"/>
      <c r="AA6" s="1394"/>
      <c r="AB6" s="1394"/>
      <c r="AC6" s="1394"/>
      <c r="AD6" s="1394"/>
      <c r="AE6" s="1392"/>
      <c r="AF6" s="1392"/>
      <c r="AG6" s="1392"/>
      <c r="AH6" s="1392"/>
      <c r="AI6" s="1449"/>
      <c r="AJ6" s="1449"/>
      <c r="AK6" s="1392"/>
      <c r="AL6" s="1396"/>
      <c r="AM6" s="1396"/>
      <c r="AN6" s="1396"/>
      <c r="AO6" s="1396"/>
      <c r="AP6" s="1396"/>
      <c r="AQ6" s="1396"/>
      <c r="AR6" s="1396"/>
      <c r="AS6" s="1396"/>
      <c r="AT6" s="1396"/>
      <c r="AU6" s="1396"/>
      <c r="AV6" s="1396"/>
      <c r="AW6" s="1396"/>
      <c r="AX6" s="1396"/>
    </row>
    <row r="7" spans="1:50">
      <c r="A7" s="1392"/>
      <c r="B7" s="1449"/>
      <c r="C7" s="1392"/>
      <c r="D7" s="1394"/>
      <c r="E7" s="1394"/>
      <c r="F7" s="1394"/>
      <c r="G7" s="1394"/>
      <c r="H7" s="1394"/>
      <c r="I7" s="1394"/>
      <c r="J7" s="1394"/>
      <c r="K7" s="1394"/>
      <c r="L7" s="1394"/>
      <c r="M7" s="1394"/>
      <c r="N7" s="1394"/>
      <c r="O7" s="1394"/>
      <c r="P7" s="1394"/>
      <c r="Q7" s="1394"/>
      <c r="R7" s="1394"/>
      <c r="S7" s="1394"/>
      <c r="T7" s="1392"/>
      <c r="U7" s="1394"/>
      <c r="V7" s="1394"/>
      <c r="W7" s="1394"/>
      <c r="X7" s="1394"/>
      <c r="Y7" s="1394"/>
      <c r="Z7" s="1394"/>
      <c r="AA7" s="1394"/>
      <c r="AB7" s="1394"/>
      <c r="AC7" s="1394"/>
      <c r="AD7" s="1394"/>
      <c r="AE7" s="1392"/>
      <c r="AF7" s="1392"/>
      <c r="AG7" s="1392"/>
      <c r="AH7" s="1392"/>
      <c r="AI7" s="1449"/>
      <c r="AJ7" s="1449"/>
      <c r="AK7" s="1392"/>
      <c r="AL7" s="1392"/>
      <c r="AM7" s="1392"/>
      <c r="AN7" s="1392"/>
      <c r="AO7" s="1392"/>
      <c r="AP7" s="1392"/>
      <c r="AQ7" s="1392"/>
      <c r="AR7" s="1392"/>
      <c r="AS7" s="1392"/>
      <c r="AT7" s="1392"/>
      <c r="AU7" s="1392"/>
      <c r="AV7" s="1392"/>
      <c r="AW7" s="1392"/>
      <c r="AX7" s="1392"/>
    </row>
    <row r="8" spans="1:50">
      <c r="A8" s="1392"/>
      <c r="B8" s="1449"/>
      <c r="C8" s="1392"/>
      <c r="D8" s="1394"/>
      <c r="E8" s="1397"/>
      <c r="F8" s="1397"/>
      <c r="G8" s="1397"/>
      <c r="H8" s="1397"/>
      <c r="I8" s="1397"/>
      <c r="J8" s="1397"/>
      <c r="K8" s="1397"/>
      <c r="L8" s="1397"/>
      <c r="M8" s="1397"/>
      <c r="N8" s="1652"/>
      <c r="O8" s="1652"/>
      <c r="P8" s="1652"/>
      <c r="Q8" s="1652"/>
      <c r="R8" s="1392"/>
      <c r="S8" s="1392"/>
      <c r="T8" s="1398"/>
      <c r="U8" s="1399"/>
      <c r="V8" s="1399"/>
      <c r="W8" s="1399"/>
      <c r="X8" s="1399"/>
      <c r="Y8" s="1399"/>
      <c r="Z8" s="1399"/>
      <c r="AA8" s="1399"/>
      <c r="AB8" s="1398"/>
      <c r="AC8" s="1398"/>
      <c r="AD8" s="1398"/>
    </row>
    <row r="9" spans="1:50">
      <c r="A9" s="1393"/>
      <c r="B9" s="1450"/>
      <c r="D9" s="1400"/>
      <c r="E9" s="1400"/>
      <c r="F9" s="1400">
        <v>2017</v>
      </c>
      <c r="G9" s="1400">
        <f t="shared" ref="G9:L9" si="0">+F9+1</f>
        <v>2018</v>
      </c>
      <c r="H9" s="1400">
        <f t="shared" si="0"/>
        <v>2019</v>
      </c>
      <c r="I9" s="1400">
        <f t="shared" si="0"/>
        <v>2020</v>
      </c>
      <c r="J9" s="1400">
        <f t="shared" si="0"/>
        <v>2021</v>
      </c>
      <c r="K9" s="1400">
        <f t="shared" si="0"/>
        <v>2022</v>
      </c>
      <c r="L9" s="1400">
        <f t="shared" si="0"/>
        <v>2023</v>
      </c>
      <c r="M9" s="1400">
        <f>L9+1</f>
        <v>2024</v>
      </c>
      <c r="N9" s="1400">
        <f>M9+1</f>
        <v>2025</v>
      </c>
      <c r="O9" s="1400">
        <f>N9+1</f>
        <v>2026</v>
      </c>
      <c r="P9" s="1400">
        <f>O9+1</f>
        <v>2027</v>
      </c>
      <c r="Q9" s="1400">
        <f>P9+1</f>
        <v>2028</v>
      </c>
      <c r="R9" s="1393"/>
      <c r="T9" s="1401"/>
      <c r="U9" s="1401"/>
      <c r="V9" s="1401"/>
      <c r="W9" s="1402"/>
      <c r="X9" s="1402"/>
      <c r="Y9" s="1402"/>
      <c r="Z9" s="1402"/>
      <c r="AA9" s="1402"/>
      <c r="AB9" s="1402"/>
      <c r="AC9" s="1402"/>
      <c r="AD9" s="1402"/>
    </row>
    <row r="10" spans="1:50" ht="11.25" customHeight="1">
      <c r="A10" s="1392"/>
      <c r="B10" s="1449"/>
      <c r="C10" s="1453" t="s">
        <v>206</v>
      </c>
      <c r="D10" s="1454" t="s">
        <v>931</v>
      </c>
      <c r="E10" s="1454" t="s">
        <v>937</v>
      </c>
      <c r="F10" s="1454" t="str">
        <f>Model!CY9</f>
        <v>FY17</v>
      </c>
      <c r="G10" s="1454" t="str">
        <f>Model!DB9</f>
        <v>FY18</v>
      </c>
      <c r="H10" s="1454" t="str">
        <f>Model!DE9</f>
        <v>FY19</v>
      </c>
      <c r="I10" s="1454" t="str">
        <f>Model!DH9</f>
        <v>FY20</v>
      </c>
      <c r="J10" s="1454" t="str">
        <f>Model!DK9</f>
        <v>FY21</v>
      </c>
      <c r="K10" s="1454" t="str">
        <f>Model!DN9</f>
        <v>FY22</v>
      </c>
      <c r="L10" s="1454" t="str">
        <f>Model!DQ9</f>
        <v>FY23</v>
      </c>
      <c r="M10" s="1454" t="str">
        <f>Model!DT9</f>
        <v>FY24</v>
      </c>
      <c r="N10" s="1454" t="str">
        <f>Model!DW9</f>
        <v>FY25</v>
      </c>
      <c r="O10" s="1454" t="str">
        <f>Model!DZ9</f>
        <v>FY26E</v>
      </c>
      <c r="P10" s="1454" t="s">
        <v>1010</v>
      </c>
      <c r="Q10" s="1454" t="s">
        <v>1035</v>
      </c>
      <c r="R10" s="1411"/>
      <c r="S10" s="1453" t="s">
        <v>938</v>
      </c>
      <c r="T10" s="1454" t="str">
        <f>Model!CZ4</f>
        <v>1H18</v>
      </c>
      <c r="U10" s="1454" t="str">
        <f>Model!DG4</f>
        <v>2H20</v>
      </c>
      <c r="V10" s="1454" t="str">
        <f>Model!DI4</f>
        <v>1H21</v>
      </c>
      <c r="W10" s="1454" t="str">
        <f>Model!DJ4</f>
        <v>2H21</v>
      </c>
      <c r="X10" s="1454" t="str">
        <f>Model!DL4</f>
        <v>1H22</v>
      </c>
      <c r="Y10" s="1454" t="str">
        <f>Model!DM4</f>
        <v>2H22</v>
      </c>
      <c r="Z10" s="1454" t="str">
        <f>Model!DO4</f>
        <v>1H23</v>
      </c>
      <c r="AA10" s="1454" t="str">
        <f>Model!DP4</f>
        <v>2H23</v>
      </c>
      <c r="AB10" s="1454" t="str">
        <f>Model!DR4</f>
        <v>1H24</v>
      </c>
      <c r="AC10" s="1454" t="str">
        <f>Model!DS4</f>
        <v>2H24</v>
      </c>
      <c r="AD10" s="1454" t="str">
        <f>Model!DU4</f>
        <v>1H25</v>
      </c>
      <c r="AE10" s="1454" t="str">
        <f>Model!DV4</f>
        <v>2H25</v>
      </c>
      <c r="AF10" s="1454" t="str">
        <f>Model!DX4</f>
        <v>1H26</v>
      </c>
      <c r="AG10" s="1454" t="str">
        <f>Model!DY4</f>
        <v>2H26E</v>
      </c>
    </row>
    <row r="11" spans="1:50" ht="11.25" customHeight="1">
      <c r="A11" s="1392"/>
      <c r="B11" s="1449" t="s">
        <v>847</v>
      </c>
      <c r="C11" s="1440" t="s">
        <v>640</v>
      </c>
      <c r="D11" s="1441">
        <f ca="1">+VLOOKUP($B11,Model!$B:$EX,MATCH('Fin Sum'!D$10,Model!$B$4:$EX$4,FALSE),FALSE)/100</f>
        <v>2.5483921923861366</v>
      </c>
      <c r="E11" s="1441">
        <f ca="1">+VLOOKUP($B11,Model!$B:$EX,MATCH('Fin Sum'!E$10,Model!$B$4:$EX$4,FALSE),FALSE)/100</f>
        <v>3.3003172337157101</v>
      </c>
      <c r="F11" s="1441">
        <f ca="1">+VLOOKUP($B11,Model!$B:$EX,MATCH('Fin Sum'!F$10,Model!$B$4:$EX$4,FALSE),FALSE)/100</f>
        <v>3.8965424215111115</v>
      </c>
      <c r="G11" s="1441">
        <f ca="1">+VLOOKUP($B11,Model!$B:$EX,MATCH('Fin Sum'!G$10,Model!$B$4:$EX$4,FALSE),FALSE)/100</f>
        <v>4.2672523554434418</v>
      </c>
      <c r="H11" s="1441">
        <f ca="1">+VLOOKUP($B11,Model!$B:$EX,MATCH('Fin Sum'!H$10,Model!$B$4:$EX$4,FALSE),FALSE)/100</f>
        <v>4.6075081450572473</v>
      </c>
      <c r="I11" s="1441">
        <f ca="1">+VLOOKUP($B11,Model!$B:$EX,MATCH('Fin Sum'!I$10,Model!$B$4:$EX$4,FALSE),FALSE)/100</f>
        <v>2.5790395985204499</v>
      </c>
      <c r="J11" s="1441">
        <f ca="1">+VLOOKUP($B11,Model!$B:$EX,MATCH('Fin Sum'!J$10,Model!$B$4:$EX$4,FALSE),FALSE)/100</f>
        <v>3.6614634752631785</v>
      </c>
      <c r="K11" s="1441">
        <f ca="1">+VLOOKUP($B11,Model!$B:$EX,MATCH('Fin Sum'!K$10,Model!$B$4:$EX$4,FALSE),FALSE)/100</f>
        <v>4.4424366390859049</v>
      </c>
      <c r="L11" s="1441">
        <f ca="1">+VLOOKUP($B11,Model!$B:$EX,MATCH('Fin Sum'!L$10,Model!$B$4:$EX$4,FALSE),FALSE)/100</f>
        <v>5.040453145767068</v>
      </c>
      <c r="M11" s="1441">
        <f ca="1">+VLOOKUP($B11,Model!$B:$EX,MATCH('Fin Sum'!M$10,Model!$B$4:$EX$4,FALSE),FALSE)/100</f>
        <v>6.2052034817854578</v>
      </c>
      <c r="N11" s="1441">
        <f ca="1">+VLOOKUP($B11,Model!$B:$EX,MATCH('Fin Sum'!N$10,Model!$B$4:$EX$4,FALSE),FALSE)/100</f>
        <v>6.3300396620905985</v>
      </c>
      <c r="O11" s="1441">
        <f ca="1">+VLOOKUP($B11,Model!$B:$EX,MATCH('Fin Sum'!O$10,Model!$B$4:$EX$4,FALSE),FALSE)/100</f>
        <v>6.2994417746765912</v>
      </c>
      <c r="P11" s="1441">
        <f ca="1">+VLOOKUP($B11,Model!$B:$EX,MATCH('Fin Sum'!P$10,Model!$B$4:$EX$4,FALSE),FALSE)/100</f>
        <v>7.3063768151898829</v>
      </c>
      <c r="Q11" s="1441">
        <f ca="1">+VLOOKUP($B11,Model!$B:$EX,MATCH('Fin Sum'!Q$10,Model!$B$4:$EX$4,FALSE),FALSE)/100</f>
        <v>8.1825516988667903</v>
      </c>
      <c r="R11" s="1392"/>
      <c r="S11" s="1392" t="s">
        <v>114</v>
      </c>
      <c r="T11" s="1397">
        <f>Model!CZ33</f>
        <v>639.03456370561855</v>
      </c>
      <c r="U11" s="1397">
        <f>Model!DG33</f>
        <v>572.26441110635972</v>
      </c>
      <c r="V11" s="1397">
        <f>Model!DI33</f>
        <v>743.19999999999993</v>
      </c>
      <c r="W11" s="1397">
        <f>Model!DJ33</f>
        <v>754.4</v>
      </c>
      <c r="X11" s="1397">
        <f>Model!DL33</f>
        <v>820.7</v>
      </c>
      <c r="Y11" s="1397">
        <f>Model!DM33</f>
        <v>827.59999999999991</v>
      </c>
      <c r="Z11" s="1397">
        <f>Model!DO33</f>
        <v>884.90000000000009</v>
      </c>
      <c r="AA11" s="1413">
        <f>Model!DP33</f>
        <v>1051.2</v>
      </c>
      <c r="AB11" s="1413">
        <f ca="1">+VLOOKUP($AI11,Model!$B:$EX,MATCH('Fin Sum'!AB$10,Model!$B$4:$EX$4,FALSE),FALSE)</f>
        <v>1107.9000000000001</v>
      </c>
      <c r="AC11" s="1413">
        <f ca="1">+VLOOKUP($AI11,Model!$B:$EX,MATCH('Fin Sum'!AC$10,Model!$B$4:$EX$4,FALSE),FALSE)</f>
        <v>1146.7000000000003</v>
      </c>
      <c r="AD11" s="1413">
        <f ca="1">+VLOOKUP($AI11,Model!$B:$EX,MATCH('Fin Sum'!AD$10,Model!$B$4:$EX$4,FALSE),FALSE)</f>
        <v>1179.2900000000002</v>
      </c>
      <c r="AE11" s="1413">
        <f ca="1">+VLOOKUP($AI11,Model!$B:$EX,MATCH('Fin Sum'!AE$10,Model!$B$4:$EX$4,FALSE),FALSE)</f>
        <v>1175.5099999999995</v>
      </c>
      <c r="AF11" s="1413">
        <f ca="1">+VLOOKUP($AI11,Model!$B:$EX,MATCH('Fin Sum'!AF$10,Model!$B$4:$EX$4,FALSE),FALSE)</f>
        <v>1175.6000000000001</v>
      </c>
      <c r="AG11" s="1413">
        <f ca="1">+VLOOKUP($AI11,Model!$B:$EX,MATCH('Fin Sum'!AG$10,Model!$B$4:$EX$4,FALSE),FALSE)</f>
        <v>1345.8094108342045</v>
      </c>
      <c r="AI11" s="1449" t="s">
        <v>815</v>
      </c>
    </row>
    <row r="12" spans="1:50" ht="11.25" customHeight="1">
      <c r="A12" s="1392"/>
      <c r="B12" s="1449"/>
      <c r="C12" s="1392" t="s">
        <v>468</v>
      </c>
      <c r="D12" s="1404">
        <v>78.174780394953373</v>
      </c>
      <c r="E12" s="1404">
        <v>60.363894102296726</v>
      </c>
      <c r="F12" s="1404">
        <v>51.127378698661985</v>
      </c>
      <c r="G12" s="1404">
        <v>46.685778905451578</v>
      </c>
      <c r="H12" s="1404">
        <v>43.238122153666801</v>
      </c>
      <c r="I12" s="1404">
        <v>77.245808910529732</v>
      </c>
      <c r="J12" s="1405">
        <v>54.409937814736899</v>
      </c>
      <c r="K12" s="1405">
        <v>44.844758898124063</v>
      </c>
      <c r="L12" s="1405">
        <v>39.524224159747092</v>
      </c>
      <c r="M12" s="1405">
        <v>32.105312998160912</v>
      </c>
      <c r="N12" s="1405">
        <v>31.472156674323958</v>
      </c>
      <c r="O12" s="1405">
        <v>31.625024426902939</v>
      </c>
      <c r="P12" s="1405">
        <v>27.266592599744328</v>
      </c>
      <c r="Q12" s="1405">
        <v>24.346928358251642</v>
      </c>
      <c r="R12" s="1392"/>
      <c r="S12" s="1392" t="s">
        <v>462</v>
      </c>
      <c r="T12" s="1397">
        <f>Model!CZ55</f>
        <v>175.91197919999999</v>
      </c>
      <c r="U12" s="1397">
        <f>Model!DG55</f>
        <v>66.600592859286706</v>
      </c>
      <c r="V12" s="1397">
        <f>Model!DI55</f>
        <v>214.68100000000001</v>
      </c>
      <c r="W12" s="1397">
        <f>Model!DJ55</f>
        <v>195.81899999999999</v>
      </c>
      <c r="X12" s="1397">
        <f>Model!DL55</f>
        <v>263.60000000000002</v>
      </c>
      <c r="Y12" s="1397">
        <f>Model!DM55</f>
        <v>213.7</v>
      </c>
      <c r="Z12" s="1397">
        <f>Model!DO55</f>
        <v>240.3</v>
      </c>
      <c r="AA12" s="1413">
        <f>Model!DP55</f>
        <v>275.2</v>
      </c>
      <c r="AB12" s="1413">
        <f ca="1">+VLOOKUP($AI12,Model!$B:$EX,MATCH('Fin Sum'!AB$10,Model!$B$4:$EX$4,FALSE),FALSE)</f>
        <v>315.29999999999995</v>
      </c>
      <c r="AC12" s="1413">
        <f ca="1">+VLOOKUP($AI12,Model!$B:$EX,MATCH('Fin Sum'!AC$10,Model!$B$4:$EX$4,FALSE),FALSE)</f>
        <v>304.70000000000005</v>
      </c>
      <c r="AD12" s="1413">
        <f ca="1">+VLOOKUP($AI12,Model!$B:$EX,MATCH('Fin Sum'!AD$10,Model!$B$4:$EX$4,FALSE),FALSE)</f>
        <v>330.5</v>
      </c>
      <c r="AE12" s="1413">
        <f ca="1">+VLOOKUP($AI12,Model!$B:$EX,MATCH('Fin Sum'!AE$10,Model!$B$4:$EX$4,FALSE),FALSE)</f>
        <v>313.89999999999998</v>
      </c>
      <c r="AF12" s="1413">
        <f ca="1">+VLOOKUP($AI12,Model!$B:$EX,MATCH('Fin Sum'!AF$10,Model!$B$4:$EX$4,FALSE),FALSE)</f>
        <v>306.40000000000009</v>
      </c>
      <c r="AG12" s="1413">
        <f ca="1">+VLOOKUP($AI12,Model!$B:$EX,MATCH('Fin Sum'!AG$10,Model!$B$4:$EX$4,FALSE),FALSE)</f>
        <v>350.13330460175598</v>
      </c>
      <c r="AI12" s="1451" t="s">
        <v>462</v>
      </c>
    </row>
    <row r="13" spans="1:50" ht="11.25" customHeight="1">
      <c r="A13" s="1392"/>
      <c r="B13" s="1449"/>
      <c r="C13" s="1392" t="s">
        <v>469</v>
      </c>
      <c r="D13" s="1406" t="str">
        <f t="shared" ref="D13" ca="1" si="1">IFERROR(D11/C11-1,"NA")</f>
        <v>NA</v>
      </c>
      <c r="E13" s="1406">
        <f t="shared" ref="E13" ca="1" si="2">IFERROR(E11/D11-1,"NA")</f>
        <v>0.29505860345048518</v>
      </c>
      <c r="F13" s="1406">
        <f t="shared" ref="F13" ca="1" si="3">IFERROR(F11/E11-1,"NA")</f>
        <v>0.18065693252285708</v>
      </c>
      <c r="G13" s="1406">
        <f t="shared" ref="G13" ca="1" si="4">IFERROR(G11/F11-1,"NA")</f>
        <v>9.5138174779209939E-2</v>
      </c>
      <c r="H13" s="1406">
        <f t="shared" ref="H13" ca="1" si="5">IFERROR(H11/G11-1,"NA")</f>
        <v>7.9736505196315477E-2</v>
      </c>
      <c r="I13" s="1406">
        <f t="shared" ref="I13" ca="1" si="6">IFERROR(I11/H11-1,"NA")</f>
        <v>-0.44025284007644305</v>
      </c>
      <c r="J13" s="1406">
        <f t="shared" ref="J13" ca="1" si="7">IFERROR(J11/I11-1,"NA")</f>
        <v>0.41970037116285308</v>
      </c>
      <c r="K13" s="1406">
        <f t="shared" ref="K13" ca="1" si="8">IFERROR(K11/J11-1,"NA")</f>
        <v>0.21329535829019619</v>
      </c>
      <c r="L13" s="1452">
        <f t="shared" ref="L13:Q13" ca="1" si="9">IFERROR(L11/K11-1,"NA")</f>
        <v>0.13461452695118536</v>
      </c>
      <c r="M13" s="1452">
        <f t="shared" ca="1" si="9"/>
        <v>0.23108048072950305</v>
      </c>
      <c r="N13" s="1452">
        <f t="shared" ca="1" si="9"/>
        <v>2.0117983346006341E-2</v>
      </c>
      <c r="O13" s="1452">
        <f t="shared" ca="1" si="9"/>
        <v>-4.8337591938407698E-3</v>
      </c>
      <c r="P13" s="1452">
        <f t="shared" ca="1" si="9"/>
        <v>0.1598451222394206</v>
      </c>
      <c r="Q13" s="1452">
        <f t="shared" ca="1" si="9"/>
        <v>0.11991920288799629</v>
      </c>
      <c r="R13" s="1392"/>
      <c r="S13" s="1392" t="s">
        <v>461</v>
      </c>
      <c r="T13" s="1397">
        <f>Model!CZ72</f>
        <v>160.33557919999998</v>
      </c>
      <c r="U13" s="1397">
        <f>Model!DG72</f>
        <v>23.215136960210657</v>
      </c>
      <c r="V13" s="1397">
        <f>Model!DI72</f>
        <v>176</v>
      </c>
      <c r="W13" s="1397">
        <f>Model!DJ72</f>
        <v>158.09999999999997</v>
      </c>
      <c r="X13" s="1397">
        <f>Model!DL72</f>
        <v>223</v>
      </c>
      <c r="Y13" s="1397">
        <f>Model!DM72</f>
        <v>181.3</v>
      </c>
      <c r="Z13" s="1397">
        <f>Model!DO72</f>
        <v>203</v>
      </c>
      <c r="AA13" s="1413">
        <f>Model!DP72</f>
        <v>231.60000000000002</v>
      </c>
      <c r="AB13" s="1413">
        <f ca="1">+VLOOKUP($AI13,Model!$B:$EX,MATCH('Fin Sum'!AB$10,Model!$B$4:$EX$4,FALSE),FALSE)</f>
        <v>272.19999999999993</v>
      </c>
      <c r="AC13" s="1413">
        <f ca="1">+VLOOKUP($AI13,Model!$B:$EX,MATCH('Fin Sum'!AC$10,Model!$B$4:$EX$4,FALSE),FALSE)</f>
        <v>262.90000000000009</v>
      </c>
      <c r="AD13" s="1413">
        <f ca="1">+VLOOKUP($AI13,Model!$B:$EX,MATCH('Fin Sum'!AD$10,Model!$B$4:$EX$4,FALSE),FALSE)</f>
        <v>286.7</v>
      </c>
      <c r="AE13" s="1413">
        <f ca="1">+VLOOKUP($AI13,Model!$B:$EX,MATCH('Fin Sum'!AE$10,Model!$B$4:$EX$4,FALSE),FALSE)</f>
        <v>267.3</v>
      </c>
      <c r="AF13" s="1413">
        <f ca="1">+VLOOKUP($AI13,Model!$B:$EX,MATCH('Fin Sum'!AF$10,Model!$B$4:$EX$4,FALSE),FALSE)</f>
        <v>254.80000000000004</v>
      </c>
      <c r="AG13" s="1413">
        <f ca="1">+VLOOKUP($AI13,Model!$B:$EX,MATCH('Fin Sum'!AG$10,Model!$B$4:$EX$4,FALSE),FALSE)</f>
        <v>295.38043729966989</v>
      </c>
      <c r="AI13" s="1451" t="s">
        <v>461</v>
      </c>
    </row>
    <row r="14" spans="1:50" ht="11.25" customHeight="1">
      <c r="A14" s="1392"/>
      <c r="B14" s="1449" t="s">
        <v>493</v>
      </c>
      <c r="C14" s="1392" t="s">
        <v>471</v>
      </c>
      <c r="D14" s="1397">
        <f ca="1">+VLOOKUP($B14,Model!$B:$EX,MATCH('Fin Sum'!D$10,Model!$B$4:$EX$4,FALSE),FALSE)</f>
        <v>63.235270484967423</v>
      </c>
      <c r="E14" s="1397">
        <f ca="1">+VLOOKUP($B14,Model!$B:$EX,MATCH('Fin Sum'!E$10,Model!$B$4:$EX$4,FALSE),FALSE)</f>
        <v>49.446016459992997</v>
      </c>
      <c r="F14" s="1397">
        <f ca="1">+VLOOKUP($B14,Model!$B:$EX,MATCH('Fin Sum'!F$10,Model!$B$4:$EX$4,FALSE),FALSE)</f>
        <v>41.056561478882664</v>
      </c>
      <c r="G14" s="1397">
        <f ca="1">+VLOOKUP($B14,Model!$B:$EX,MATCH('Fin Sum'!G$10,Model!$B$4:$EX$4,FALSE),FALSE)</f>
        <v>37.015182854362806</v>
      </c>
      <c r="H14" s="1397">
        <f ca="1">+VLOOKUP($B14,Model!$B:$EX,MATCH('Fin Sum'!H$10,Model!$B$4:$EX$4,FALSE),FALSE)</f>
        <v>35.882847614483175</v>
      </c>
      <c r="I14" s="1397">
        <f ca="1">+VLOOKUP($B14,Model!$B:$EX,MATCH('Fin Sum'!I$10,Model!$B$4:$EX$4,FALSE),FALSE)</f>
        <v>61.902448720082909</v>
      </c>
      <c r="J14" s="1397">
        <f ca="1">+VLOOKUP($B14,Model!$B:$EX,MATCH('Fin Sum'!J$10,Model!$B$4:$EX$4,FALSE),FALSE)</f>
        <v>36.65806556857229</v>
      </c>
      <c r="K14" s="1397">
        <f ca="1">+VLOOKUP($B14,Model!$B:$EX,MATCH('Fin Sum'!K$10,Model!$B$4:$EX$4,FALSE),FALSE)</f>
        <v>30.113949311056146</v>
      </c>
      <c r="L14" s="1403">
        <f ca="1">+VLOOKUP($B14,Model!$B:$EX,MATCH('Fin Sum'!L$10,Model!$B$4:$EX$4,FALSE),FALSE)</f>
        <v>27.961665224252187</v>
      </c>
      <c r="M14" s="1403">
        <f ca="1">+VLOOKUP($B14,Model!$B:$EX,MATCH('Fin Sum'!M$10,Model!$B$4:$EX$4,FALSE),FALSE)</f>
        <v>22.642271923864698</v>
      </c>
      <c r="N14" s="1403">
        <f ca="1">+VLOOKUP($B14,Model!$B:$EX,MATCH('Fin Sum'!N$10,Model!$B$4:$EX$4,FALSE),FALSE)</f>
        <v>22.298916437653428</v>
      </c>
      <c r="O14" s="1403">
        <f ca="1">+VLOOKUP($B14,Model!$B:$EX,MATCH('Fin Sum'!O$10,Model!$B$4:$EX$4,FALSE),FALSE)</f>
        <v>22.77824810928681</v>
      </c>
      <c r="P14" s="1403">
        <f ca="1">+VLOOKUP($B14,Model!$B:$EX,MATCH('Fin Sum'!P$10,Model!$B$4:$EX$4,FALSE),FALSE)</f>
        <v>20.195758888357666</v>
      </c>
      <c r="Q14" s="1403">
        <f ca="1">+VLOOKUP($B14,Model!$B:$EX,MATCH('Fin Sum'!Q$10,Model!$B$4:$EX$4,FALSE),FALSE)</f>
        <v>18.062939973840958</v>
      </c>
      <c r="R14" s="1392"/>
      <c r="S14" s="1392" t="s">
        <v>1044</v>
      </c>
      <c r="T14" s="1397">
        <f>Model!CZ90</f>
        <v>110.79999999999998</v>
      </c>
      <c r="U14" s="1397">
        <f>Model!DG90</f>
        <v>-371</v>
      </c>
      <c r="V14" s="1397">
        <f>Model!DI90</f>
        <v>125.19</v>
      </c>
      <c r="W14" s="1397">
        <f>Model!DJ90</f>
        <v>112.74000000000001</v>
      </c>
      <c r="X14" s="1397">
        <f>Model!DL90</f>
        <v>161.34</v>
      </c>
      <c r="Y14" s="1397">
        <f>Model!DM90</f>
        <v>130.78</v>
      </c>
      <c r="Z14" s="1397">
        <f>Model!DO90</f>
        <v>153.74</v>
      </c>
      <c r="AA14" s="1413">
        <f>Model!DP90</f>
        <v>178.41000000000003</v>
      </c>
      <c r="AB14" s="1413">
        <f ca="1">+VLOOKUP($AI14,Model!$B:$EX,MATCH('Fin Sum'!AB$10,Model!$B$4:$EX$4,FALSE),FALSE)</f>
        <v>203.62999999999997</v>
      </c>
      <c r="AC14" s="1413">
        <f ca="1">+VLOOKUP($AI14,Model!$B:$EX,MATCH('Fin Sum'!AC$10,Model!$B$4:$EX$4,FALSE),FALSE)</f>
        <v>204.17999999999998</v>
      </c>
      <c r="AD14" s="1413">
        <f ca="1">+VLOOKUP($AI14,Model!$B:$EX,MATCH('Fin Sum'!AD$10,Model!$B$4:$EX$4,FALSE),FALSE)</f>
        <v>213.68999999999997</v>
      </c>
      <c r="AE14" s="1413">
        <f ca="1">+VLOOKUP($AI14,Model!$B:$EX,MATCH('Fin Sum'!AE$10,Model!$B$4:$EX$4,FALSE),FALSE)</f>
        <v>201.60000000000011</v>
      </c>
      <c r="AF14" s="1413">
        <f ca="1">+VLOOKUP($AI14,Model!$B:$EX,MATCH('Fin Sum'!AF$10,Model!$B$4:$EX$4,FALSE),FALSE)</f>
        <v>194.80000000000004</v>
      </c>
      <c r="AG14" s="1413">
        <f ca="1">+VLOOKUP($AI14,Model!$B:$EX,MATCH('Fin Sum'!AG$10,Model!$B$4:$EX$4,FALSE),FALSE)</f>
        <v>217.26495297475245</v>
      </c>
      <c r="AI14" s="1451" t="s">
        <v>846</v>
      </c>
    </row>
    <row r="15" spans="1:50" ht="11.25" customHeight="1">
      <c r="A15" s="1392"/>
      <c r="B15" s="1449" t="s">
        <v>127</v>
      </c>
      <c r="C15" s="1392" t="s">
        <v>473</v>
      </c>
      <c r="D15" s="1404">
        <f ca="1">+VLOOKUP($B15,Model!$B:$EX,MATCH('Fin Sum'!D$10,Model!$B$4:$EX$4,FALSE),FALSE)</f>
        <v>57.257079273458864</v>
      </c>
      <c r="E15" s="1404">
        <f ca="1">+VLOOKUP($B15,Model!$B:$EX,MATCH('Fin Sum'!E$10,Model!$B$4:$EX$4,FALSE),FALSE)</f>
        <v>45.950055654627583</v>
      </c>
      <c r="F15" s="1404">
        <f ca="1">+VLOOKUP($B15,Model!$B:$EX,MATCH('Fin Sum'!F$10,Model!$B$4:$EX$4,FALSE),FALSE)</f>
        <v>38.554391723029973</v>
      </c>
      <c r="G15" s="1404">
        <f ca="1">+VLOOKUP($B15,Model!$B:$EX,MATCH('Fin Sum'!G$10,Model!$B$4:$EX$4,FALSE),FALSE)</f>
        <v>34.350469698013598</v>
      </c>
      <c r="H15" s="1404">
        <f ca="1">+VLOOKUP($B15,Model!$B:$EX,MATCH('Fin Sum'!H$10,Model!$B$4:$EX$4,FALSE),FALSE)</f>
        <v>33.080206753552979</v>
      </c>
      <c r="I15" s="1404">
        <f ca="1">+VLOOKUP($B15,Model!$B:$EX,MATCH('Fin Sum'!I$10,Model!$B$4:$EX$4,FALSE),FALSE)</f>
        <v>45.579895161172111</v>
      </c>
      <c r="J15" s="1405">
        <f ca="1">+VLOOKUP($B15,Model!$B:$EX,MATCH('Fin Sum'!J$10,Model!$B$4:$EX$4,FALSE),FALSE)</f>
        <v>30.430425594299635</v>
      </c>
      <c r="K15" s="1405">
        <f ca="1">+VLOOKUP($B15,Model!$B:$EX,MATCH('Fin Sum'!K$10,Model!$B$4:$EX$4,FALSE),FALSE)</f>
        <v>26.125266512591658</v>
      </c>
      <c r="L15" s="1403">
        <f ca="1">+VLOOKUP($B15,Model!$B:$EX,MATCH('Fin Sum'!L$10,Model!$B$4:$EX$4,FALSE),FALSE)</f>
        <v>24.249834542114453</v>
      </c>
      <c r="M15" s="1403">
        <f ca="1">+VLOOKUP($B15,Model!$B:$EX,MATCH('Fin Sum'!M$10,Model!$B$4:$EX$4,FALSE),FALSE)</f>
        <v>20.23014468783871</v>
      </c>
      <c r="N15" s="1403">
        <f ca="1">+VLOOKUP($B15,Model!$B:$EX,MATCH('Fin Sum'!N$10,Model!$B$4:$EX$4,FALSE),FALSE)</f>
        <v>19.833317359497208</v>
      </c>
      <c r="O15" s="1403">
        <f ca="1">+VLOOKUP($B15,Model!$B:$EX,MATCH('Fin Sum'!O$10,Model!$B$4:$EX$4,FALSE),FALSE)</f>
        <v>19.734034614620974</v>
      </c>
      <c r="P15" s="1403">
        <f ca="1">+VLOOKUP($B15,Model!$B:$EX,MATCH('Fin Sum'!P$10,Model!$B$4:$EX$4,FALSE),FALSE)</f>
        <v>17.112460837636043</v>
      </c>
      <c r="Q15" s="1403">
        <f ca="1">+VLOOKUP($B15,Model!$B:$EX,MATCH('Fin Sum'!Q$10,Model!$B$4:$EX$4,FALSE),FALSE)</f>
        <v>15.708645886975614</v>
      </c>
      <c r="R15" s="1392"/>
      <c r="S15" s="1392" t="s">
        <v>470</v>
      </c>
      <c r="T15" s="1397">
        <f>Model!CZ115</f>
        <v>110.79999999999998</v>
      </c>
      <c r="U15" s="1397">
        <f>Model!DG115</f>
        <v>21.100000000000051</v>
      </c>
      <c r="V15" s="1397">
        <f>Model!DI115</f>
        <v>125.69</v>
      </c>
      <c r="W15" s="1397">
        <f>Model!DJ115</f>
        <v>114.94</v>
      </c>
      <c r="X15" s="1397">
        <f>Model!DL115</f>
        <v>173.14000000000001</v>
      </c>
      <c r="Y15" s="1397">
        <f>Model!DM115</f>
        <v>131.08000000000001</v>
      </c>
      <c r="Z15" s="1397">
        <f>Model!DO115</f>
        <v>153.74</v>
      </c>
      <c r="AA15" s="1413">
        <f>Model!DP115</f>
        <v>173.81</v>
      </c>
      <c r="AB15" s="1413">
        <f ca="1">+VLOOKUP($AI15,Model!$B:$EX,MATCH('Fin Sum'!AB$10,Model!$B$4:$EX$4,FALSE),FALSE)</f>
        <v>202.82999999999996</v>
      </c>
      <c r="AC15" s="1413">
        <f ca="1">+VLOOKUP($AI15,Model!$B:$EX,MATCH('Fin Sum'!AC$10,Model!$B$4:$EX$4,FALSE),FALSE)</f>
        <v>175.17999999999998</v>
      </c>
      <c r="AD15" s="1413">
        <f ca="1">+VLOOKUP($AI15,Model!$B:$EX,MATCH('Fin Sum'!AD$10,Model!$B$4:$EX$4,FALSE),FALSE)</f>
        <v>205.08999999999997</v>
      </c>
      <c r="AE15" s="1413">
        <f ca="1">+VLOOKUP($AI15,Model!$B:$EX,MATCH('Fin Sum'!AE$10,Model!$B$4:$EX$4,FALSE),FALSE)</f>
        <v>183.81</v>
      </c>
      <c r="AF15" s="1413">
        <f ca="1">+VLOOKUP($AI15,Model!$B:$EX,MATCH('Fin Sum'!AF$10,Model!$B$4:$EX$4,FALSE),FALSE)</f>
        <v>161.50000000000006</v>
      </c>
      <c r="AG15" s="1413">
        <f ca="1">+VLOOKUP($AI15,Model!$B:$EX,MATCH('Fin Sum'!AG$10,Model!$B$4:$EX$4,FALSE),FALSE)</f>
        <v>170.56495297475243</v>
      </c>
      <c r="AI15" s="1451" t="s">
        <v>878</v>
      </c>
    </row>
    <row r="16" spans="1:50" ht="11.25" customHeight="1">
      <c r="A16" s="1392"/>
      <c r="B16" s="1449" t="s">
        <v>615</v>
      </c>
      <c r="C16" s="1392" t="s">
        <v>475</v>
      </c>
      <c r="D16" s="1397">
        <f ca="1">+VLOOKUP($B16,Model!$B:$EX,MATCH('Fin Sum'!D$10,Model!$B$4:$EX$4,FALSE),FALSE)</f>
        <v>329.97644842739822</v>
      </c>
      <c r="E16" s="1397">
        <f ca="1">+VLOOKUP($B16,Model!$B:$EX,MATCH('Fin Sum'!E$10,Model!$B$4:$EX$4,FALSE),FALSE)</f>
        <v>323.64099646327088</v>
      </c>
      <c r="F16" s="1397">
        <f ca="1">+VLOOKUP($B16,Model!$B:$EX,MATCH('Fin Sum'!F$10,Model!$B$4:$EX$4,FALSE),FALSE)</f>
        <v>452.48974394088731</v>
      </c>
      <c r="G16" s="1397">
        <f ca="1">+VLOOKUP($B16,Model!$B:$EX,MATCH('Fin Sum'!G$10,Model!$B$4:$EX$4,FALSE),FALSE)</f>
        <v>448.61346544342291</v>
      </c>
      <c r="H16" s="1397">
        <f ca="1">+VLOOKUP($B16,Model!$B:$EX,MATCH('Fin Sum'!H$10,Model!$B$4:$EX$4,FALSE),FALSE)</f>
        <v>512.90124509496411</v>
      </c>
      <c r="I16" s="1397">
        <f ca="1">+VLOOKUP($B16,Model!$B:$EX,MATCH('Fin Sum'!I$10,Model!$B$4:$EX$4,FALSE),FALSE)</f>
        <v>-264.57944669396829</v>
      </c>
      <c r="J16" s="1397">
        <f ca="1">+VLOOKUP($B16,Model!$B:$EX,MATCH('Fin Sum'!J$10,Model!$B$4:$EX$4,FALSE),FALSE)</f>
        <v>412.81669568197145</v>
      </c>
      <c r="K16" s="1397">
        <f ca="1">+VLOOKUP($B16,Model!$B:$EX,MATCH('Fin Sum'!K$10,Model!$B$4:$EX$4,FALSE),FALSE)</f>
        <v>572.56517685055564</v>
      </c>
      <c r="L16" s="1439">
        <f ca="1">+VLOOKUP($B16,Model!$B:$EX,MATCH('Fin Sum'!L$10,Model!$B$4:$EX$4,FALSE),FALSE)</f>
        <v>549.95038989191187</v>
      </c>
      <c r="M16" s="1439">
        <f ca="1">+VLOOKUP($B16,Model!$B:$EX,MATCH('Fin Sum'!M$10,Model!$B$4:$EX$4,FALSE),FALSE)</f>
        <v>591.75177023843378</v>
      </c>
      <c r="N16" s="1439">
        <f ca="1">+VLOOKUP($B16,Model!$B:$EX,MATCH('Fin Sum'!N$10,Model!$B$4:$EX$4,FALSE),FALSE)</f>
        <v>361.88838844246686</v>
      </c>
      <c r="O16" s="1439">
        <f ca="1">+VLOOKUP($B16,Model!$B:$EX,MATCH('Fin Sum'!O$10,Model!$B$4:$EX$4,FALSE),FALSE)</f>
        <v>455.81009192975148</v>
      </c>
      <c r="P16" s="1439">
        <f ca="1">+VLOOKUP($B16,Model!$B:$EX,MATCH('Fin Sum'!P$10,Model!$B$4:$EX$4,FALSE),FALSE)</f>
        <v>898.45560290511412</v>
      </c>
      <c r="Q16" s="1439">
        <f ca="1">+VLOOKUP($B16,Model!$B:$EX,MATCH('Fin Sum'!Q$10,Model!$B$4:$EX$4,FALSE),FALSE)</f>
        <v>913.96343363093331</v>
      </c>
      <c r="R16" s="1392"/>
      <c r="S16" s="1392" t="s">
        <v>472</v>
      </c>
      <c r="T16" s="1406">
        <f t="shared" ref="T16:AF16" si="10">T13/T11</f>
        <v>0.25090282796324787</v>
      </c>
      <c r="U16" s="1407">
        <f t="shared" si="10"/>
        <v>4.0567151319664971E-2</v>
      </c>
      <c r="V16" s="1407">
        <f t="shared" si="10"/>
        <v>0.23681377825618946</v>
      </c>
      <c r="W16" s="1407">
        <f t="shared" si="10"/>
        <v>0.20957051961823961</v>
      </c>
      <c r="X16" s="1407">
        <f t="shared" si="10"/>
        <v>0.27171926404289021</v>
      </c>
      <c r="Y16" s="1407">
        <f t="shared" si="10"/>
        <v>0.21906718221362981</v>
      </c>
      <c r="Z16" s="1407">
        <f t="shared" si="10"/>
        <v>0.22940445248050625</v>
      </c>
      <c r="AA16" s="1407">
        <f t="shared" si="10"/>
        <v>0.22031963470319635</v>
      </c>
      <c r="AB16" s="1460">
        <f t="shared" ca="1" si="10"/>
        <v>0.24569004422781832</v>
      </c>
      <c r="AC16" s="1460">
        <f t="shared" ca="1" si="10"/>
        <v>0.22926659108746841</v>
      </c>
      <c r="AD16" s="1460">
        <f t="shared" ca="1" si="10"/>
        <v>0.24311238117850567</v>
      </c>
      <c r="AE16" s="1461">
        <f t="shared" ca="1" si="10"/>
        <v>0.22739066447754602</v>
      </c>
      <c r="AF16" s="1461">
        <f t="shared" ca="1" si="10"/>
        <v>0.21674038788703642</v>
      </c>
      <c r="AG16" s="1461">
        <f t="shared" ref="AG16" ca="1" si="11">AG13/AG11</f>
        <v>0.21948162564606924</v>
      </c>
    </row>
    <row r="17" spans="1:35" ht="11.25" customHeight="1">
      <c r="A17" s="1392"/>
      <c r="B17" s="1449" t="s">
        <v>617</v>
      </c>
      <c r="C17" s="1392" t="s">
        <v>474</v>
      </c>
      <c r="D17" s="1397">
        <f ca="1">+VLOOKUP($B17,Model!$B:$EX,MATCH('Fin Sum'!D$10,Model!$B$4:$EX$4,FALSE),FALSE)</f>
        <v>190.0244013358643</v>
      </c>
      <c r="E17" s="1397">
        <f ca="1">+VLOOKUP($B17,Model!$B:$EX,MATCH('Fin Sum'!E$10,Model!$B$4:$EX$4,FALSE),FALSE)</f>
        <v>229.76656470337906</v>
      </c>
      <c r="F17" s="1397">
        <f ca="1">+VLOOKUP($B17,Model!$B:$EX,MATCH('Fin Sum'!F$10,Model!$B$4:$EX$4,FALSE),FALSE)</f>
        <v>272.65784861903023</v>
      </c>
      <c r="G17" s="1397">
        <f ca="1">+VLOOKUP($B17,Model!$B:$EX,MATCH('Fin Sum'!G$10,Model!$B$4:$EX$4,FALSE),FALSE)</f>
        <v>300</v>
      </c>
      <c r="H17" s="1397">
        <f ca="1">+VLOOKUP($B17,Model!$B:$EX,MATCH('Fin Sum'!H$10,Model!$B$4:$EX$4,FALSE),FALSE)</f>
        <v>329.96586183025437</v>
      </c>
      <c r="I17" s="1397">
        <f ca="1">+VLOOKUP($B17,Model!$B:$EX,MATCH('Fin Sum'!I$10,Model!$B$4:$EX$4,FALSE),FALSE)</f>
        <v>160.12356527671443</v>
      </c>
      <c r="J17" s="1397">
        <f ca="1">+VLOOKUP($B17,Model!$B:$EX,MATCH('Fin Sum'!J$10,Model!$B$4:$EX$4,FALSE),FALSE)</f>
        <v>259.72518520622998</v>
      </c>
      <c r="K17" s="1397">
        <f ca="1">+VLOOKUP($B17,Model!$B:$EX,MATCH('Fin Sum'!K$10,Model!$B$4:$EX$4,FALSE),FALSE)</f>
        <v>318.28553780732369</v>
      </c>
      <c r="L17" s="1439">
        <f ca="1">+VLOOKUP($B17,Model!$B:$EX,MATCH('Fin Sum'!L$10,Model!$B$4:$EX$4,FALSE),FALSE)</f>
        <v>359.15188570348369</v>
      </c>
      <c r="M17" s="1439">
        <f ca="1">+VLOOKUP($B17,Model!$B:$EX,MATCH('Fin Sum'!M$10,Model!$B$4:$EX$4,FALSE),FALSE)</f>
        <v>432.44103996386212</v>
      </c>
      <c r="N17" s="1439">
        <f ca="1">+VLOOKUP($B17,Model!$B:$EX,MATCH('Fin Sum'!N$10,Model!$B$4:$EX$4,FALSE),FALSE)</f>
        <v>445.42052377632342</v>
      </c>
      <c r="O17" s="1439">
        <f ca="1">+VLOOKUP($B17,Model!$B:$EX,MATCH('Fin Sum'!O$10,Model!$B$4:$EX$4,FALSE),FALSE)</f>
        <v>445.92241880419675</v>
      </c>
      <c r="P17" s="1439">
        <f ca="1">+VLOOKUP($B17,Model!$B:$EX,MATCH('Fin Sum'!P$10,Model!$B$4:$EX$4,FALSE),FALSE)</f>
        <v>517.30670353519213</v>
      </c>
      <c r="Q17" s="1439">
        <f ca="1">+VLOOKUP($B17,Model!$B:$EX,MATCH('Fin Sum'!Q$10,Model!$B$4:$EX$4,FALSE),FALSE)</f>
        <v>579.34159561339902</v>
      </c>
      <c r="R17" s="1392"/>
      <c r="S17" s="1392" t="s">
        <v>207</v>
      </c>
      <c r="T17" s="1397">
        <f>Model!CZ10/Model!CZ400*100</f>
        <v>192.72217744891006</v>
      </c>
      <c r="U17" s="1397">
        <f>Model!DG10/Model!DG400*100</f>
        <v>34.320451880964669</v>
      </c>
      <c r="V17" s="1397">
        <f>Model!DI10/Model!DI400*100</f>
        <v>191.32756712315566</v>
      </c>
      <c r="W17" s="1397">
        <f>Model!DJ10/Model!DJ400*100</f>
        <v>174.82734206534448</v>
      </c>
      <c r="X17" s="1397">
        <f>Model!DL10/Model!DL400*100</f>
        <v>245.39937394412598</v>
      </c>
      <c r="Y17" s="1397">
        <f>Model!DM10/Model!DM400*100</f>
        <v>198.85194703166786</v>
      </c>
      <c r="Z17" s="1397">
        <f>Model!DO10/Model!DO400*100</f>
        <v>233.72120198372048</v>
      </c>
      <c r="AA17" s="1413">
        <f>Model!DP10/Model!DP400*100</f>
        <v>270.7413053549007</v>
      </c>
      <c r="AB17" s="1413">
        <f ca="1">+VLOOKUP($AI17,Model!$B:$EX,MATCH('Fin Sum'!AB$10,Model!$B$4:$EX$4,FALSE),FALSE)</f>
        <v>309.90721137933372</v>
      </c>
      <c r="AC17" s="1413">
        <f ca="1">+VLOOKUP($AI17,Model!$B:$EX,MATCH('Fin Sum'!AC$10,Model!$B$4:$EX$4,FALSE),FALSE)</f>
        <v>310.77773627749548</v>
      </c>
      <c r="AD17" s="1413">
        <f ca="1">+VLOOKUP($AI17,Model!$B:$EX,MATCH('Fin Sum'!AD$10,Model!$B$4:$EX$4,FALSE),FALSE)</f>
        <v>325.64253215451407</v>
      </c>
      <c r="AE17" s="1413">
        <f ca="1">+VLOOKUP($AI17,Model!$B:$EX,MATCH('Fin Sum'!AE$10,Model!$B$4:$EX$4,FALSE),FALSE)</f>
        <v>307.16207806237793</v>
      </c>
      <c r="AF17" s="1413">
        <f ca="1">+VLOOKUP($AI17,Model!$B:$EX,MATCH('Fin Sum'!AF$10,Model!$B$4:$EX$4,FALSE),FALSE)</f>
        <v>297.23648044358674</v>
      </c>
      <c r="AG17" s="1413">
        <f ca="1">+VLOOKUP($AI17,Model!$B:$EX,MATCH('Fin Sum'!AG$10,Model!$B$4:$EX$4,FALSE),FALSE)</f>
        <v>332.59744442109798</v>
      </c>
      <c r="AI17" s="1449" t="s">
        <v>847</v>
      </c>
    </row>
    <row r="18" spans="1:35" ht="11.25" customHeight="1">
      <c r="A18" s="1392"/>
      <c r="B18" s="1449"/>
      <c r="C18" s="1392" t="s">
        <v>50</v>
      </c>
      <c r="D18" s="1408">
        <v>9.5384199044204546E-3</v>
      </c>
      <c r="E18" s="1408">
        <v>1.1533308136902874E-2</v>
      </c>
      <c r="F18" s="1408">
        <v>1.3686268879581881E-2</v>
      </c>
      <c r="G18" s="1408">
        <v>1.5058729043268748E-2</v>
      </c>
      <c r="H18" s="1408">
        <v>1.6562888356101514E-2</v>
      </c>
      <c r="I18" s="1408">
        <v>8.0375246098139969E-3</v>
      </c>
      <c r="J18" s="1409">
        <v>1.3037103965778033E-2</v>
      </c>
      <c r="K18" s="1409">
        <v>1.5976585574105195E-2</v>
      </c>
      <c r="L18" s="1409">
        <v>1.8027903107292624E-2</v>
      </c>
      <c r="M18" s="1409">
        <v>2.1706708160017171E-2</v>
      </c>
      <c r="N18" s="1409">
        <v>2.2358223259528329E-2</v>
      </c>
      <c r="O18" s="1409">
        <v>2.2383416263638028E-2</v>
      </c>
      <c r="P18" s="1409">
        <v>2.5966604936010045E-2</v>
      </c>
      <c r="Q18" s="1409">
        <v>2.9080493706123835E-2</v>
      </c>
      <c r="R18" s="1392"/>
      <c r="S18" s="1392" t="s">
        <v>474</v>
      </c>
      <c r="T18" s="1397">
        <f>Model!CZ22</f>
        <v>140</v>
      </c>
      <c r="U18" s="1397">
        <f>Model!DG22</f>
        <v>0</v>
      </c>
      <c r="V18" s="1397">
        <f>Model!DI22</f>
        <v>115.31780066025546</v>
      </c>
      <c r="W18" s="1397">
        <f>Model!DJ22</f>
        <v>144.40738454597454</v>
      </c>
      <c r="X18" s="1397">
        <f>Model!DL22</f>
        <v>147.71234494979331</v>
      </c>
      <c r="Y18" s="1397">
        <f>Model!DM22</f>
        <v>170.57319285753039</v>
      </c>
      <c r="Z18" s="1397">
        <f>Model!DO22</f>
        <v>168.27926542827873</v>
      </c>
      <c r="AA18" s="1413">
        <f>Model!DP22</f>
        <v>190.87262027520498</v>
      </c>
      <c r="AB18" s="1413">
        <f ca="1">+VLOOKUP($AI18,Model!$B:$EX,MATCH('Fin Sum'!AB$10,Model!$B$4:$EX$4,FALSE),FALSE)</f>
        <v>212.41040267939533</v>
      </c>
      <c r="AC18" s="1413">
        <f ca="1">+VLOOKUP($AI18,Model!$B:$EX,MATCH('Fin Sum'!AC$10,Model!$B$4:$EX$4,FALSE),FALSE)</f>
        <v>220.03063728446679</v>
      </c>
      <c r="AD18" s="1413">
        <f ca="1">+VLOOKUP($AI18,Model!$B:$EX,MATCH('Fin Sum'!AD$10,Model!$B$4:$EX$4,FALSE),FALSE)</f>
        <v>227.94977250815984</v>
      </c>
      <c r="AE18" s="1413">
        <f ca="1">+VLOOKUP($AI18,Model!$B:$EX,MATCH('Fin Sum'!AE$10,Model!$B$4:$EX$4,FALSE),FALSE)</f>
        <v>217.47075126816355</v>
      </c>
      <c r="AF18" s="1413">
        <f ca="1">+VLOOKUP($AI18,Model!$B:$EX,MATCH('Fin Sum'!AF$10,Model!$B$4:$EX$4,FALSE),FALSE)</f>
        <v>210.4434281540594</v>
      </c>
      <c r="AG18" s="1413">
        <f ca="1">+VLOOKUP($AI18,Model!$B:$EX,MATCH('Fin Sum'!AG$10,Model!$B$4:$EX$4,FALSE),FALSE)</f>
        <v>235.47899065013735</v>
      </c>
      <c r="AI18" s="1451" t="s">
        <v>617</v>
      </c>
    </row>
    <row r="19" spans="1:35" ht="11.25" customHeight="1">
      <c r="A19" s="1392"/>
      <c r="B19" s="1449" t="s">
        <v>620</v>
      </c>
      <c r="C19" s="1392" t="s">
        <v>620</v>
      </c>
      <c r="D19" s="1410">
        <f ca="1">+VLOOKUP($B19,Model!$B:$EX,MATCH('Fin Sum'!D$10,Model!$B$4:$EX$4,FALSE),FALSE)</f>
        <v>2.9996599994613149</v>
      </c>
      <c r="E19" s="1410">
        <f ca="1">+VLOOKUP($B19,Model!$B:$EX,MATCH('Fin Sum'!E$10,Model!$B$4:$EX$4,FALSE),FALSE)</f>
        <v>4.6925518531886601</v>
      </c>
      <c r="F19" s="1410">
        <f ca="1">+VLOOKUP($B19,Model!$B:$EX,MATCH('Fin Sum'!F$10,Model!$B$4:$EX$4,FALSE),FALSE)</f>
        <v>4.3271126592079368</v>
      </c>
      <c r="G19" s="1410">
        <f ca="1">+VLOOKUP($B19,Model!$B:$EX,MATCH('Fin Sum'!G$10,Model!$B$4:$EX$4,FALSE),FALSE)</f>
        <v>5.3826095804347602</v>
      </c>
      <c r="H19" s="1410">
        <f ca="1">+VLOOKUP($B19,Model!$B:$EX,MATCH('Fin Sum'!H$10,Model!$B$4:$EX$4,FALSE),FALSE)</f>
        <v>5.9952910542223288</v>
      </c>
      <c r="I19" s="1410">
        <f ca="1">+VLOOKUP($B19,Model!$B:$EX,MATCH('Fin Sum'!I$10,Model!$B$4:$EX$4,FALSE),FALSE)</f>
        <v>15.769457589447672</v>
      </c>
      <c r="J19" s="1410">
        <f ca="1">+VLOOKUP($B19,Model!$B:$EX,MATCH('Fin Sum'!J$10,Model!$B$4:$EX$4,FALSE),FALSE)</f>
        <v>20.435799757636875</v>
      </c>
      <c r="K19" s="1410">
        <f ca="1">+VLOOKUP($B19,Model!$B:$EX,MATCH('Fin Sum'!K$10,Model!$B$4:$EX$4,FALSE),FALSE)</f>
        <v>20.339201379202347</v>
      </c>
      <c r="L19" s="1410">
        <f ca="1">+VLOOKUP($B19,Model!$B:$EX,MATCH('Fin Sum'!L$10,Model!$B$4:$EX$4,FALSE),FALSE)</f>
        <v>20.505022189522094</v>
      </c>
      <c r="M19" s="1410">
        <f ca="1">+VLOOKUP($B19,Model!$B:$EX,MATCH('Fin Sum'!M$10,Model!$B$4:$EX$4,FALSE),FALSE)</f>
        <v>21.83611670142356</v>
      </c>
      <c r="N19" s="1410">
        <f ca="1">+VLOOKUP($B19,Model!$B:$EX,MATCH('Fin Sum'!N$10,Model!$B$4:$EX$4,FALSE),FALSE)</f>
        <v>22.770748244601275</v>
      </c>
      <c r="O19" s="1410">
        <f ca="1">+VLOOKUP($B19,Model!$B:$EX,MATCH('Fin Sum'!O$10,Model!$B$4:$EX$4,FALSE),FALSE)</f>
        <v>22.552741002056578</v>
      </c>
      <c r="P19" s="1410">
        <f ca="1">+VLOOKUP($B19,Model!$B:$EX,MATCH('Fin Sum'!P$10,Model!$B$4:$EX$4,FALSE),FALSE)</f>
        <v>22.814154967027822</v>
      </c>
      <c r="Q19" s="1410">
        <f ca="1">+VLOOKUP($B19,Model!$B:$EX,MATCH('Fin Sum'!Q$10,Model!$B$4:$EX$4,FALSE),FALSE)</f>
        <v>24.159180089473402</v>
      </c>
      <c r="R19" s="1410"/>
      <c r="S19" s="1392" t="s">
        <v>476</v>
      </c>
      <c r="T19" s="1406">
        <f ca="1">T11/G23</f>
        <v>0.4753628385323711</v>
      </c>
      <c r="U19" s="1406">
        <f ca="1">U11/I23</f>
        <v>0.43132179428447737</v>
      </c>
      <c r="V19" s="1406">
        <f ca="1">V11/J23</f>
        <v>0.49507061017852388</v>
      </c>
      <c r="W19" s="1406">
        <f ca="1">1-V19</f>
        <v>0.50492938982147617</v>
      </c>
      <c r="X19" s="1406">
        <f ca="1">X11/K23</f>
        <v>0.49718301326709879</v>
      </c>
      <c r="Y19" s="1406">
        <f ca="1">1-X19</f>
        <v>0.50281698673290121</v>
      </c>
      <c r="Z19" s="1406">
        <f ca="1">Z11/L23</f>
        <v>0.4531906176380211</v>
      </c>
      <c r="AA19" s="1406">
        <f ca="1">AA11/L23</f>
        <v>0.53835911092901767</v>
      </c>
      <c r="AB19" s="1460">
        <f ca="1">AB11/M23</f>
        <v>0.49061199185191756</v>
      </c>
      <c r="AC19" s="1460">
        <f ca="1">AC11/M23</f>
        <v>0.50779381808520074</v>
      </c>
      <c r="AD19" s="1460">
        <f ca="1">AD11/N23</f>
        <v>0.50059003310977168</v>
      </c>
      <c r="AE19" s="1460">
        <f ca="1">AE11/N23</f>
        <v>0.49898548263859388</v>
      </c>
      <c r="AF19" s="1460">
        <f ca="1">AF11/O23</f>
        <v>0.46773923034517711</v>
      </c>
      <c r="AG19" s="1460">
        <f ca="1">AG11/P23</f>
        <v>0.47780467688749734</v>
      </c>
    </row>
    <row r="20" spans="1:35" ht="11.25" customHeight="1">
      <c r="A20" s="1392"/>
      <c r="B20" s="1449" t="s">
        <v>507</v>
      </c>
      <c r="C20" s="1392" t="s">
        <v>507</v>
      </c>
      <c r="D20" s="1397">
        <f ca="1">+VLOOKUP($B20,Model!$B:$EX,MATCH('Fin Sum'!D$10,Model!$B$4:$EX$4,FALSE),FALSE)</f>
        <v>66.414193620535769</v>
      </c>
      <c r="E20" s="1397">
        <f ca="1">+VLOOKUP($B20,Model!$B:$EX,MATCH('Fin Sum'!E$10,Model!$B$4:$EX$4,FALSE),FALSE)</f>
        <v>42.454512221239916</v>
      </c>
      <c r="F20" s="1397">
        <f ca="1">+VLOOKUP($B20,Model!$B:$EX,MATCH('Fin Sum'!F$10,Model!$B$4:$EX$4,FALSE),FALSE)</f>
        <v>46.039938335339421</v>
      </c>
      <c r="G20" s="1397">
        <f ca="1">+VLOOKUP($B20,Model!$B:$EX,MATCH('Fin Sum'!G$10,Model!$B$4:$EX$4,FALSE),FALSE)</f>
        <v>37.011787130938217</v>
      </c>
      <c r="H20" s="1397">
        <f ca="1">+VLOOKUP($B20,Model!$B:$EX,MATCH('Fin Sum'!H$10,Model!$B$4:$EX$4,FALSE),FALSE)</f>
        <v>33.229412583680066</v>
      </c>
      <c r="I20" s="1397">
        <f ca="1">+VLOOKUP($B20,Model!$B:$EX,MATCH('Fin Sum'!I$10,Model!$B$4:$EX$4,FALSE),FALSE)</f>
        <v>12.633281701033937</v>
      </c>
      <c r="J20" s="1397">
        <f ca="1">+VLOOKUP($B20,Model!$B:$EX,MATCH('Fin Sum'!J$10,Model!$B$4:$EX$4,FALSE),FALSE)</f>
        <v>9.7485785906446516</v>
      </c>
      <c r="K20" s="1397">
        <f ca="1">+VLOOKUP($B20,Model!$B:$EX,MATCH('Fin Sum'!K$10,Model!$B$4:$EX$4,FALSE),FALSE)</f>
        <v>9.7948781904342859</v>
      </c>
      <c r="L20" s="1397">
        <f ca="1">+VLOOKUP($B20,Model!$B:$EX,MATCH('Fin Sum'!L$10,Model!$B$4:$EX$4,FALSE),FALSE)</f>
        <v>9.7156685888299048</v>
      </c>
      <c r="M20" s="1397">
        <f ca="1">+VLOOKUP($B20,Model!$B:$EX,MATCH('Fin Sum'!M$10,Model!$B$4:$EX$4,FALSE),FALSE)</f>
        <v>9.1234170765817648</v>
      </c>
      <c r="N20" s="1397">
        <f ca="1">+VLOOKUP($B20,Model!$B:$EX,MATCH('Fin Sum'!N$10,Model!$B$4:$EX$4,FALSE),FALSE)</f>
        <v>8.7489439459782847</v>
      </c>
      <c r="O20" s="1397">
        <f ca="1">+VLOOKUP($B20,Model!$B:$EX,MATCH('Fin Sum'!O$10,Model!$B$4:$EX$4,FALSE),FALSE)</f>
        <v>8.8335160671526882</v>
      </c>
      <c r="P20" s="1397">
        <f ca="1">+VLOOKUP($B20,Model!$B:$EX,MATCH('Fin Sum'!P$10,Model!$B$4:$EX$4,FALSE),FALSE)</f>
        <v>8.7322980091931033</v>
      </c>
      <c r="Q20" s="1397">
        <f ca="1">+VLOOKUP($B20,Model!$B:$EX,MATCH('Fin Sum'!Q$10,Model!$B$4:$EX$4,FALSE),FALSE)</f>
        <v>8.2461407739082926</v>
      </c>
      <c r="R20" s="1392"/>
      <c r="S20" s="1392" t="s">
        <v>49</v>
      </c>
      <c r="T20" s="1406">
        <f ca="1">T13/G29</f>
        <v>0.46020545120551087</v>
      </c>
      <c r="U20" s="1406">
        <f ca="1">U13/I29</f>
        <v>0.11219470990787817</v>
      </c>
      <c r="V20" s="1406">
        <f ca="1">V13/J29</f>
        <v>0.52678838671056571</v>
      </c>
      <c r="W20" s="1406">
        <f ca="1">1-V20</f>
        <v>0.47321161328943429</v>
      </c>
      <c r="X20" s="1406">
        <f ca="1">X13/K29</f>
        <v>0.55157061587929757</v>
      </c>
      <c r="Y20" s="1406">
        <f ca="1">1-X20</f>
        <v>0.44842938412070243</v>
      </c>
      <c r="Z20" s="1406">
        <f ca="1">Z13/L29</f>
        <v>0.46709618039576623</v>
      </c>
      <c r="AA20" s="1406">
        <f ca="1">AA13/L29</f>
        <v>0.53290381960423383</v>
      </c>
      <c r="AB20" s="1460">
        <f ca="1">AB13/M29</f>
        <v>0.50868996449261805</v>
      </c>
      <c r="AC20" s="1460">
        <f ca="1">AC13/M29</f>
        <v>0.49131003550738195</v>
      </c>
      <c r="AD20" s="1460">
        <f ca="1">AD13/N29</f>
        <v>0.51750902527075815</v>
      </c>
      <c r="AE20" s="1460">
        <f ca="1">AE13/N29</f>
        <v>0.48249097472924191</v>
      </c>
      <c r="AF20" s="1460">
        <f ca="1">AF13/O29</f>
        <v>0.46312079224513875</v>
      </c>
      <c r="AG20" s="1460">
        <f ca="1">AG13/P29</f>
        <v>0.46155436535783639</v>
      </c>
    </row>
    <row r="21" spans="1:35" ht="11.25" customHeight="1">
      <c r="A21" s="1392"/>
      <c r="B21" s="1449"/>
      <c r="C21" s="1392"/>
      <c r="D21" s="1397"/>
      <c r="E21" s="1397"/>
      <c r="F21" s="1397"/>
      <c r="G21" s="1397"/>
      <c r="H21" s="1397"/>
      <c r="I21" s="1397"/>
      <c r="J21" s="1395"/>
      <c r="K21" s="1395"/>
      <c r="L21" s="1395"/>
      <c r="M21" s="1395"/>
      <c r="N21" s="1395"/>
      <c r="O21" s="1395"/>
      <c r="P21" s="1395"/>
      <c r="Q21" s="1395"/>
      <c r="R21" s="1392"/>
      <c r="S21" s="1392"/>
      <c r="T21" s="1406"/>
      <c r="U21" s="1406"/>
      <c r="V21" s="1406"/>
      <c r="W21" s="1406"/>
      <c r="X21" s="1406"/>
      <c r="Y21" s="1406"/>
      <c r="Z21" s="1406"/>
      <c r="AA21" s="1406"/>
      <c r="AB21" s="1406"/>
      <c r="AC21" s="1406"/>
      <c r="AD21" s="1406"/>
      <c r="AE21" s="1406"/>
      <c r="AF21" s="1406"/>
      <c r="AG21" s="1406"/>
    </row>
    <row r="22" spans="1:35" ht="11.25" customHeight="1">
      <c r="A22" s="1392"/>
      <c r="B22" s="1449"/>
      <c r="C22" s="1453" t="s">
        <v>939</v>
      </c>
      <c r="D22" s="1454" t="str">
        <f t="shared" ref="D22:J22" si="12">D10</f>
        <v>FY15</v>
      </c>
      <c r="E22" s="1454" t="str">
        <f t="shared" si="12"/>
        <v>FY16</v>
      </c>
      <c r="F22" s="1454" t="str">
        <f t="shared" si="12"/>
        <v>FY17</v>
      </c>
      <c r="G22" s="1454" t="str">
        <f t="shared" si="12"/>
        <v>FY18</v>
      </c>
      <c r="H22" s="1454" t="str">
        <f t="shared" si="12"/>
        <v>FY19</v>
      </c>
      <c r="I22" s="1454" t="str">
        <f t="shared" si="12"/>
        <v>FY20</v>
      </c>
      <c r="J22" s="1454" t="str">
        <f t="shared" si="12"/>
        <v>FY21</v>
      </c>
      <c r="K22" s="1454" t="str">
        <f t="shared" ref="K22:P22" si="13">K10</f>
        <v>FY22</v>
      </c>
      <c r="L22" s="1454" t="str">
        <f t="shared" si="13"/>
        <v>FY23</v>
      </c>
      <c r="M22" s="1454" t="str">
        <f t="shared" si="13"/>
        <v>FY24</v>
      </c>
      <c r="N22" s="1454" t="str">
        <f t="shared" si="13"/>
        <v>FY25</v>
      </c>
      <c r="O22" s="1454" t="str">
        <f t="shared" si="13"/>
        <v>FY26E</v>
      </c>
      <c r="P22" s="1454" t="str">
        <f t="shared" si="13"/>
        <v>FY27E</v>
      </c>
      <c r="Q22" s="1454" t="str">
        <f t="shared" ref="Q22" si="14">Q10</f>
        <v>FY28E</v>
      </c>
      <c r="R22" s="1411"/>
      <c r="S22" s="1453" t="s">
        <v>940</v>
      </c>
      <c r="T22" s="1454" t="str">
        <f t="shared" ref="T22:AG22" si="15">D10</f>
        <v>FY15</v>
      </c>
      <c r="U22" s="1454" t="str">
        <f t="shared" si="15"/>
        <v>FY16</v>
      </c>
      <c r="V22" s="1454" t="str">
        <f t="shared" si="15"/>
        <v>FY17</v>
      </c>
      <c r="W22" s="1454" t="str">
        <f t="shared" si="15"/>
        <v>FY18</v>
      </c>
      <c r="X22" s="1454" t="str">
        <f t="shared" si="15"/>
        <v>FY19</v>
      </c>
      <c r="Y22" s="1454" t="str">
        <f t="shared" si="15"/>
        <v>FY20</v>
      </c>
      <c r="Z22" s="1454" t="str">
        <f t="shared" si="15"/>
        <v>FY21</v>
      </c>
      <c r="AA22" s="1454" t="str">
        <f t="shared" si="15"/>
        <v>FY22</v>
      </c>
      <c r="AB22" s="1454" t="str">
        <f t="shared" si="15"/>
        <v>FY23</v>
      </c>
      <c r="AC22" s="1454" t="str">
        <f t="shared" si="15"/>
        <v>FY24</v>
      </c>
      <c r="AD22" s="1454" t="str">
        <f t="shared" si="15"/>
        <v>FY25</v>
      </c>
      <c r="AE22" s="1454" t="str">
        <f t="shared" si="15"/>
        <v>FY26E</v>
      </c>
      <c r="AF22" s="1454" t="str">
        <f t="shared" si="15"/>
        <v>FY27E</v>
      </c>
      <c r="AG22" s="1454" t="str">
        <f t="shared" si="15"/>
        <v>FY28E</v>
      </c>
    </row>
    <row r="23" spans="1:35" ht="11.25" customHeight="1">
      <c r="A23" s="1392"/>
      <c r="B23" s="1449" t="s">
        <v>815</v>
      </c>
      <c r="C23" s="1440" t="s">
        <v>114</v>
      </c>
      <c r="D23" s="1444">
        <f ca="1">+VLOOKUP($B23,Model!$B:$EX,MATCH('Fin Sum'!D$10,Model!$B$4:$EX$4,FALSE),FALSE)</f>
        <v>925.94983749999994</v>
      </c>
      <c r="E23" s="1444">
        <f ca="1">+VLOOKUP($B23,Model!$B:$EX,MATCH('Fin Sum'!E$10,Model!$B$4:$EX$4,FALSE),FALSE)</f>
        <v>1129.3479699182246</v>
      </c>
      <c r="F23" s="1444">
        <f ca="1">+VLOOKUP($B23,Model!$B:$EX,MATCH('Fin Sum'!F$10,Model!$B$4:$EX$4,FALSE),FALSE)</f>
        <v>1253.6839223862191</v>
      </c>
      <c r="G23" s="1444">
        <f ca="1">+VLOOKUP($B23,Model!$B:$EX,MATCH('Fin Sum'!G$10,Model!$B$4:$EX$4,FALSE),FALSE)</f>
        <v>1344.3090454410894</v>
      </c>
      <c r="H23" s="1444">
        <f ca="1">+VLOOKUP($B23,Model!$B:$EX,MATCH('Fin Sum'!H$10,Model!$B$4:$EX$4,FALSE),FALSE)</f>
        <v>1424.2579870030158</v>
      </c>
      <c r="I23" s="1444">
        <f ca="1">+VLOOKUP($B23,Model!$B:$EX,MATCH('Fin Sum'!I$10,Model!$B$4:$EX$4,FALSE),FALSE)</f>
        <v>1326.7690589474919</v>
      </c>
      <c r="J23" s="1444">
        <f ca="1">+VLOOKUP($B23,Model!$B:$EX,MATCH('Fin Sum'!J$10,Model!$B$4:$EX$4,FALSE),FALSE)</f>
        <v>1501.1999999999998</v>
      </c>
      <c r="K23" s="1445">
        <f ca="1">+VLOOKUP($B23,Model!$B:$EX,MATCH('Fin Sum'!K$10,Model!$B$4:$EX$4,FALSE),FALSE)</f>
        <v>1650.7</v>
      </c>
      <c r="L23" s="1445">
        <f ca="1">+VLOOKUP($B23,Model!$B:$EX,MATCH('Fin Sum'!L$10,Model!$B$4:$EX$4,FALSE),FALSE)</f>
        <v>1952.6000000000001</v>
      </c>
      <c r="M23" s="1445">
        <v>2258.1999999999998</v>
      </c>
      <c r="N23" s="1445">
        <v>2355.8000000000002</v>
      </c>
      <c r="O23" s="1445">
        <v>2513.3662599402742</v>
      </c>
      <c r="P23" s="1445">
        <v>2816.6518159701591</v>
      </c>
      <c r="Q23" s="1445">
        <v>3064.2455156546007</v>
      </c>
      <c r="R23" s="1392"/>
      <c r="S23" s="1392" t="s">
        <v>461</v>
      </c>
      <c r="T23" s="1397">
        <f t="shared" ref="T23:AG23" ca="1" si="16">D29</f>
        <v>206.38216249999999</v>
      </c>
      <c r="U23" s="1397">
        <f t="shared" ca="1" si="16"/>
        <v>262.60399999999998</v>
      </c>
      <c r="V23" s="1397">
        <f t="shared" ca="1" si="16"/>
        <v>315.69608879999998</v>
      </c>
      <c r="W23" s="1397">
        <f t="shared" ca="1" si="16"/>
        <v>348.4</v>
      </c>
      <c r="X23" s="1397">
        <f t="shared" ca="1" si="16"/>
        <v>359.29950000000002</v>
      </c>
      <c r="Y23" s="1397">
        <f t="shared" ca="1" si="16"/>
        <v>206.918285</v>
      </c>
      <c r="Z23" s="1397">
        <f t="shared" ca="1" si="16"/>
        <v>334.09999999999997</v>
      </c>
      <c r="AA23" s="1413">
        <f t="shared" ca="1" si="16"/>
        <v>404.3</v>
      </c>
      <c r="AB23" s="1413">
        <f t="shared" ca="1" si="16"/>
        <v>434.6</v>
      </c>
      <c r="AC23" s="1413">
        <f t="shared" ca="1" si="16"/>
        <v>535.1</v>
      </c>
      <c r="AD23" s="1413">
        <f t="shared" ca="1" si="16"/>
        <v>554</v>
      </c>
      <c r="AE23" s="1413">
        <f t="shared" ca="1" si="16"/>
        <v>550.18043729966996</v>
      </c>
      <c r="AF23" s="1413">
        <f t="shared" ca="1" si="16"/>
        <v>639.96889525823406</v>
      </c>
      <c r="AG23" s="1413">
        <f t="shared" ca="1" si="16"/>
        <v>715.59886229385415</v>
      </c>
    </row>
    <row r="24" spans="1:35" ht="11.25" customHeight="1">
      <c r="A24" s="1392"/>
      <c r="B24" s="1449"/>
      <c r="C24" s="1462" t="s">
        <v>1036</v>
      </c>
      <c r="D24" s="1463"/>
      <c r="E24" s="1463">
        <f t="shared" ref="E24:Q24" ca="1" si="17">E23/D23-1</f>
        <v>0.21966431029070166</v>
      </c>
      <c r="F24" s="1463">
        <f ca="1">F23/E23-1</f>
        <v>0.11009534331300697</v>
      </c>
      <c r="G24" s="1463">
        <f t="shared" ca="1" si="17"/>
        <v>7.2287058513422986E-2</v>
      </c>
      <c r="H24" s="1463">
        <f t="shared" ca="1" si="17"/>
        <v>5.9472144320574571E-2</v>
      </c>
      <c r="I24" s="1463">
        <f t="shared" ca="1" si="17"/>
        <v>-6.8448924945588185E-2</v>
      </c>
      <c r="J24" s="1463">
        <f t="shared" ca="1" si="17"/>
        <v>0.13147046192868084</v>
      </c>
      <c r="K24" s="1463">
        <f t="shared" ca="1" si="17"/>
        <v>9.9586997069011529E-2</v>
      </c>
      <c r="L24" s="1463">
        <f t="shared" ca="1" si="17"/>
        <v>0.18289210637911202</v>
      </c>
      <c r="M24" s="1463">
        <f t="shared" ca="1" si="17"/>
        <v>0.15650926969169299</v>
      </c>
      <c r="N24" s="1463">
        <f t="shared" si="17"/>
        <v>4.3220263927021607E-2</v>
      </c>
      <c r="O24" s="1463">
        <f t="shared" si="17"/>
        <v>6.6884395933557217E-2</v>
      </c>
      <c r="P24" s="1463">
        <f t="shared" si="17"/>
        <v>0.12066906477732853</v>
      </c>
      <c r="Q24" s="1463">
        <f t="shared" si="17"/>
        <v>8.7903552111271877E-2</v>
      </c>
      <c r="R24" s="1392"/>
      <c r="S24" s="1392" t="s">
        <v>543</v>
      </c>
      <c r="T24" s="1397">
        <f>Model!CQ181</f>
        <v>-5.3369999999999997</v>
      </c>
      <c r="U24" s="1397">
        <f>Model!CV181</f>
        <v>-10.290999999999999</v>
      </c>
      <c r="V24" s="1397">
        <f>Model!CY181</f>
        <v>-7.8950000000000005</v>
      </c>
      <c r="W24" s="1397">
        <f>Model!DB181</f>
        <v>-7.9</v>
      </c>
      <c r="X24" s="1397">
        <f>Model!DE181</f>
        <v>2.8999999999999995</v>
      </c>
      <c r="Y24" s="1397">
        <f>Model!DH181+Model!DH182</f>
        <v>-8.9</v>
      </c>
      <c r="Z24" s="1397">
        <f>Model!DK181</f>
        <v>-1.7055450000000003</v>
      </c>
      <c r="AA24" s="1413">
        <f>Model!DN181</f>
        <v>0.69989499999999927</v>
      </c>
      <c r="AB24" s="1413">
        <f ca="1">+VLOOKUP($AI24,Model!$B:$EX,MATCH('Fin Sum'!AB$22,Model!$B$4:$EX$4,FALSE),FALSE)</f>
        <v>13.694944999999999</v>
      </c>
      <c r="AC24" s="1413">
        <f ca="1">+VLOOKUP($AI24,Model!$B:$EX,MATCH('Fin Sum'!AC$22,Model!$B$4:$EX$4,FALSE),FALSE)</f>
        <v>19</v>
      </c>
      <c r="AD24" s="1413">
        <f ca="1">+VLOOKUP($AI24,Model!$B:$EX,MATCH('Fin Sum'!AD$22,Model!$B$4:$EX$4,FALSE),FALSE)</f>
        <v>11.7</v>
      </c>
      <c r="AE24" s="1413">
        <f ca="1">+VLOOKUP($AI24,Model!$B:$EX,MATCH('Fin Sum'!AE$22,Model!$B$4:$EX$4,FALSE),FALSE)</f>
        <v>11.839499999999999</v>
      </c>
      <c r="AF24" s="1413">
        <f ca="1">+VLOOKUP($AI24,Model!$B:$EX,MATCH('Fin Sum'!AF$22,Model!$B$4:$EX$4,FALSE),FALSE)</f>
        <v>5.6390812169617517</v>
      </c>
      <c r="AG24" s="1413">
        <f ca="1">+VLOOKUP($AI24,Model!$B:$EX,MATCH('Fin Sum'!AG$22,Model!$B$4:$EX$4,FALSE),FALSE)</f>
        <v>3.47806424360301</v>
      </c>
      <c r="AI24" s="1451" t="s">
        <v>964</v>
      </c>
    </row>
    <row r="25" spans="1:35" ht="11.25" customHeight="1">
      <c r="A25" s="1392"/>
      <c r="B25" s="1449" t="s">
        <v>673</v>
      </c>
      <c r="C25" s="1440" t="s">
        <v>673</v>
      </c>
      <c r="D25" s="1444">
        <f>+VLOOKUP($B25,Segment!$1:$1048576,MATCH('Fin Sum'!D$51,Segment!$2:$2,FALSE),FALSE)</f>
        <v>666.58400000000006</v>
      </c>
      <c r="E25" s="1444">
        <f>+VLOOKUP($B25,Segment!$1:$1048576,MATCH('Fin Sum'!E$51,Segment!$2:$2,FALSE),FALSE)</f>
        <v>843.5174961059131</v>
      </c>
      <c r="F25" s="1444">
        <f>+VLOOKUP($B25,Segment!$1:$1048576,MATCH('Fin Sum'!F$51,Segment!$2:$2,FALSE),FALSE)</f>
        <v>881.31829592249824</v>
      </c>
      <c r="G25" s="1444">
        <f>+VLOOKUP($B25,Segment!$1:$1048576,MATCH('Fin Sum'!G$51,Segment!$2:$2,FALSE),FALSE)</f>
        <v>975.88580696095119</v>
      </c>
      <c r="H25" s="1444">
        <f>+VLOOKUP($B25,Segment!$1:$1048576,MATCH('Fin Sum'!H$51,Segment!$2:$2,FALSE),FALSE)</f>
        <v>1092.4644152436167</v>
      </c>
      <c r="I25" s="1444">
        <f>+VLOOKUP($B25,Segment!$1:$1048576,MATCH('Fin Sum'!I$51,Segment!$2:$2,FALSE),FALSE)</f>
        <v>1011.5813072760407</v>
      </c>
      <c r="J25" s="1444">
        <f>+VLOOKUP($B25,Segment!$1:$1048576,MATCH('Fin Sum'!J$51,Segment!$2:$2,FALSE),FALSE)</f>
        <v>1083.0999999999999</v>
      </c>
      <c r="K25" s="1445">
        <f>+VLOOKUP($B25,Segment!$1:$1048576,MATCH('Fin Sum'!K$51,Segment!$2:$2,FALSE),FALSE)</f>
        <v>1230.0999999999999</v>
      </c>
      <c r="L25" s="1445">
        <f>+VLOOKUP($B25,Segment!$1:$1048576,MATCH('Fin Sum'!L$51,Segment!$2:$2,FALSE),FALSE)</f>
        <v>1467.6999999999998</v>
      </c>
      <c r="M25" s="1445">
        <f>+VLOOKUP($B25,Segment!$1:$1048576,MATCH('Fin Sum'!M$51,Segment!$2:$2,FALSE),FALSE)</f>
        <v>1696.1</v>
      </c>
      <c r="N25" s="1445">
        <f>+VLOOKUP($B25,Segment!$1:$1048576,MATCH('Fin Sum'!N$51,Segment!$2:$2,FALSE),FALSE)</f>
        <v>1740.6000000000001</v>
      </c>
      <c r="O25" s="1445">
        <f>+VLOOKUP($B25,Segment!$1:$1048576,MATCH('Fin Sum'!O$51,Segment!$2:$2,FALSE),FALSE)</f>
        <v>1833.0773697564</v>
      </c>
      <c r="P25" s="1445">
        <f>+VLOOKUP($B25,Segment!$1:$1048576,MATCH('Fin Sum'!P$51,Segment!$2:$2,FALSE),FALSE)</f>
        <v>2070.239084738067</v>
      </c>
      <c r="Q25" s="1445">
        <f>+VLOOKUP($B25,Segment!$1:$1048576,MATCH('Fin Sum'!Q$51,Segment!$2:$2,FALSE),FALSE)</f>
        <v>2267.5416815844046</v>
      </c>
      <c r="R25" s="1392"/>
      <c r="S25" s="1392" t="s">
        <v>1045</v>
      </c>
      <c r="T25" s="1397" t="e">
        <f ca="1">D26</f>
        <v>#N/A</v>
      </c>
      <c r="U25" s="1397" t="e">
        <f ca="1">E26</f>
        <v>#N/A</v>
      </c>
      <c r="V25" s="1397" t="e">
        <f ca="1">F26</f>
        <v>#N/A</v>
      </c>
      <c r="W25" s="1397" t="e">
        <f ca="1">G26+G28</f>
        <v>#N/A</v>
      </c>
      <c r="X25" s="1397" t="e">
        <f ca="1">H26+H28</f>
        <v>#N/A</v>
      </c>
      <c r="Y25" s="1397" t="e">
        <f ca="1">I26+I28</f>
        <v>#N/A</v>
      </c>
      <c r="Z25" s="1397" t="e">
        <f ca="1">J26+J28</f>
        <v>#N/A</v>
      </c>
      <c r="AA25" s="1413" t="e">
        <f ca="1">K26+K28</f>
        <v>#N/A</v>
      </c>
      <c r="AB25" s="1413">
        <f ca="1">+VLOOKUP($AI25,Model!$B:$EX,MATCH('Fin Sum'!AB$22,Model!$B$4:$EX$4,FALSE),FALSE)</f>
        <v>80.900000000000006</v>
      </c>
      <c r="AC25" s="1413">
        <f ca="1">+VLOOKUP($AI25,Model!$B:$EX,MATCH('Fin Sum'!AC$22,Model!$B$4:$EX$4,FALSE),FALSE)</f>
        <v>84.9</v>
      </c>
      <c r="AD25" s="1413">
        <f ca="1">+VLOOKUP($AI25,Model!$B:$EX,MATCH('Fin Sum'!AD$22,Model!$B$4:$EX$4,FALSE),FALSE)</f>
        <v>90.4</v>
      </c>
      <c r="AE25" s="1413">
        <f ca="1">+VLOOKUP($AI25,Model!$B:$EX,MATCH('Fin Sum'!AE$22,Model!$B$4:$EX$4,FALSE),FALSE)</f>
        <v>106.35286730208603</v>
      </c>
      <c r="AF25" s="1413">
        <f ca="1">+VLOOKUP($AI25,Model!$B:$EX,MATCH('Fin Sum'!AF$22,Model!$B$4:$EX$4,FALSE),FALSE)</f>
        <v>115.30865525386173</v>
      </c>
      <c r="AG25" s="1413">
        <f ca="1">+VLOOKUP($AI25,Model!$B:$EX,MATCH('Fin Sum'!AG$22,Model!$B$4:$EX$4,FALSE),FALSE)</f>
        <v>107.24859304791102</v>
      </c>
      <c r="AI25" s="1451" t="s">
        <v>971</v>
      </c>
    </row>
    <row r="26" spans="1:35" ht="11.25" customHeight="1">
      <c r="A26" s="1392"/>
      <c r="B26" s="1449"/>
      <c r="C26" s="1446" t="s">
        <v>1036</v>
      </c>
      <c r="D26" s="1447" t="e">
        <f ca="1">+VLOOKUP($B26,Model!$B:$EX,MATCH('Fin Sum'!D$10,Model!$B$4:$EX$4,FALSE),FALSE)</f>
        <v>#N/A</v>
      </c>
      <c r="E26" s="1447" t="e">
        <f ca="1">+VLOOKUP($B26,Model!$B:$EX,MATCH('Fin Sum'!E$10,Model!$B$4:$EX$4,FALSE),FALSE)</f>
        <v>#N/A</v>
      </c>
      <c r="F26" s="1447" t="e">
        <f ca="1">+VLOOKUP($B26,Model!$B:$EX,MATCH('Fin Sum'!F$10,Model!$B$4:$EX$4,FALSE),FALSE)</f>
        <v>#N/A</v>
      </c>
      <c r="G26" s="1447" t="e">
        <f ca="1">+VLOOKUP($B26,Model!$B:$EX,MATCH('Fin Sum'!G$10,Model!$B$4:$EX$4,FALSE),FALSE)</f>
        <v>#N/A</v>
      </c>
      <c r="H26" s="1447" t="e">
        <f ca="1">+VLOOKUP($B26,Model!$B:$EX,MATCH('Fin Sum'!H$10,Model!$B$4:$EX$4,FALSE),FALSE)</f>
        <v>#N/A</v>
      </c>
      <c r="I26" s="1447" t="e">
        <f ca="1">+VLOOKUP($B26,Model!$B:$EX,MATCH('Fin Sum'!I$10,Model!$B$4:$EX$4,FALSE),FALSE)</f>
        <v>#N/A</v>
      </c>
      <c r="J26" s="1447" t="e">
        <f ca="1">+VLOOKUP($B26,Model!$B:$EX,MATCH('Fin Sum'!J$10,Model!$B$4:$EX$4,FALSE),FALSE)</f>
        <v>#N/A</v>
      </c>
      <c r="K26" s="1448" t="e">
        <f ca="1">+VLOOKUP($B26,Model!$B:$EX,MATCH('Fin Sum'!K$10,Model!$B$4:$EX$4,FALSE),FALSE)</f>
        <v>#N/A</v>
      </c>
      <c r="L26" s="1463">
        <f t="shared" ref="L26" si="18">L25/K25-1</f>
        <v>0.1931550280465002</v>
      </c>
      <c r="M26" s="1463">
        <f t="shared" ref="M26" si="19">M25/L25-1</f>
        <v>0.15561763303127352</v>
      </c>
      <c r="N26" s="1463">
        <f t="shared" ref="N26" si="20">N25/M25-1</f>
        <v>2.6236660574258774E-2</v>
      </c>
      <c r="O26" s="1463">
        <f t="shared" ref="O26" si="21">O25/N25-1</f>
        <v>5.31295931037572E-2</v>
      </c>
      <c r="P26" s="1463">
        <f t="shared" ref="P26:Q26" si="22">P25/O25-1</f>
        <v>0.12937899888709214</v>
      </c>
      <c r="Q26" s="1463">
        <f t="shared" si="22"/>
        <v>9.5304256547402932E-2</v>
      </c>
      <c r="R26" s="1392"/>
      <c r="S26" s="1392" t="s">
        <v>544</v>
      </c>
      <c r="T26" s="1397">
        <f>Model!CQ183</f>
        <v>-20.875</v>
      </c>
      <c r="U26" s="1397">
        <f>Model!CV183</f>
        <v>-80.685000000000002</v>
      </c>
      <c r="V26" s="1397">
        <f>Model!CY183</f>
        <v>-78.453999999999994</v>
      </c>
      <c r="W26" s="1397">
        <f>Model!DB183</f>
        <v>-101.3</v>
      </c>
      <c r="X26" s="1397">
        <f>Model!DE183</f>
        <v>-90.7</v>
      </c>
      <c r="Y26" s="1397">
        <f>Model!DH183</f>
        <v>-80.099999999999994</v>
      </c>
      <c r="Z26" s="1397">
        <f>Model!DK183</f>
        <v>-14.4</v>
      </c>
      <c r="AA26" s="1413">
        <f>Model!DN183</f>
        <v>-26.1</v>
      </c>
      <c r="AB26" s="1413">
        <f ca="1">+VLOOKUP($AI26,Model!$B:$EX,MATCH('Fin Sum'!AB$22,Model!$B$4:$EX$4,FALSE),FALSE)</f>
        <v>-79.3</v>
      </c>
      <c r="AC26" s="1413">
        <f ca="1">+VLOOKUP($AI26,Model!$B:$EX,MATCH('Fin Sum'!AC$22,Model!$B$4:$EX$4,FALSE),FALSE)</f>
        <v>-131.5</v>
      </c>
      <c r="AD26" s="1413">
        <f ca="1">+VLOOKUP($AI26,Model!$B:$EX,MATCH('Fin Sum'!AD$22,Model!$B$4:$EX$4,FALSE),FALSE)</f>
        <v>-156</v>
      </c>
      <c r="AE26" s="1413">
        <f ca="1">+VLOOKUP($AI26,Model!$B:$EX,MATCH('Fin Sum'!AE$22,Model!$B$4:$EX$4,FALSE),FALSE)</f>
        <v>-154.55498432491748</v>
      </c>
      <c r="AF26" s="1413">
        <f ca="1">+VLOOKUP($AI26,Model!$B:$EX,MATCH('Fin Sum'!AF$22,Model!$B$4:$EX$4,FALSE),FALSE)</f>
        <v>-158.25199411879896</v>
      </c>
      <c r="AG26" s="1413">
        <f ca="1">+VLOOKUP($AI26,Model!$B:$EX,MATCH('Fin Sum'!AG$22,Model!$B$4:$EX$4,FALSE),FALSE)</f>
        <v>-176.6192316343643</v>
      </c>
      <c r="AI26" s="1451" t="s">
        <v>544</v>
      </c>
    </row>
    <row r="27" spans="1:35" ht="11.25" customHeight="1">
      <c r="A27" s="1392"/>
      <c r="B27" s="1449" t="s">
        <v>462</v>
      </c>
      <c r="C27" s="1393" t="s">
        <v>462</v>
      </c>
      <c r="D27" s="1442">
        <f ca="1">+VLOOKUP($B27,Model!$B:$EX,MATCH('Fin Sum'!D$10,Model!$B$4:$EX$4,FALSE),FALSE)</f>
        <v>230.48316249999999</v>
      </c>
      <c r="E27" s="1442">
        <f ca="1">+VLOOKUP($B27,Model!$B:$EX,MATCH('Fin Sum'!E$10,Model!$B$4:$EX$4,FALSE),FALSE)</f>
        <v>286.70499999999998</v>
      </c>
      <c r="F27" s="1442">
        <f ca="1">+VLOOKUP($B27,Model!$B:$EX,MATCH('Fin Sum'!F$10,Model!$B$4:$EX$4,FALSE),FALSE)</f>
        <v>342.00180879999999</v>
      </c>
      <c r="G27" s="1442">
        <f ca="1">+VLOOKUP($B27,Model!$B:$EX,MATCH('Fin Sum'!G$10,Model!$B$4:$EX$4,FALSE),FALSE)</f>
        <v>382.59999999999997</v>
      </c>
      <c r="H27" s="1442">
        <f ca="1">+VLOOKUP($B27,Model!$B:$EX,MATCH('Fin Sum'!H$10,Model!$B$4:$EX$4,FALSE),FALSE)</f>
        <v>397.79950000000002</v>
      </c>
      <c r="I27" s="1442">
        <f ca="1">+VLOOKUP($B27,Model!$B:$EX,MATCH('Fin Sum'!I$10,Model!$B$4:$EX$4,FALSE),FALSE)</f>
        <v>284.42780880952381</v>
      </c>
      <c r="J27" s="1442">
        <f ca="1">+VLOOKUP($B27,Model!$B:$EX,MATCH('Fin Sum'!J$10,Model!$B$4:$EX$4,FALSE),FALSE)</f>
        <v>410.5</v>
      </c>
      <c r="K27" s="1443">
        <f ca="1">+VLOOKUP($B27,Model!$B:$EX,MATCH('Fin Sum'!K$10,Model!$B$4:$EX$4,FALSE),FALSE)</f>
        <v>477.3</v>
      </c>
      <c r="L27" s="1443">
        <f ca="1">+VLOOKUP($B27,Model!$B:$EX,MATCH('Fin Sum'!L$10,Model!$B$4:$EX$4,FALSE),FALSE)</f>
        <v>515.5</v>
      </c>
      <c r="M27" s="1443">
        <f ca="1">+VLOOKUP($B27,Model!$B:$EX,MATCH('Fin Sum'!M$10,Model!$B$4:$EX$4,FALSE),FALSE)</f>
        <v>620</v>
      </c>
      <c r="N27" s="1443">
        <f ca="1">+VLOOKUP($B27,Model!$B:$EX,MATCH('Fin Sum'!N$10,Model!$B$4:$EX$4,FALSE),FALSE)</f>
        <v>644.4</v>
      </c>
      <c r="O27" s="1443">
        <f ca="1">+VLOOKUP($B27,Model!$B:$EX,MATCH('Fin Sum'!O$10,Model!$B$4:$EX$4,FALSE),FALSE)</f>
        <v>656.53330460175607</v>
      </c>
      <c r="P27" s="1443">
        <f ca="1">+VLOOKUP($B27,Model!$B:$EX,MATCH('Fin Sum'!P$10,Model!$B$4:$EX$4,FALSE),FALSE)</f>
        <v>755.27755051209579</v>
      </c>
      <c r="Q27" s="1443">
        <f ca="1">+VLOOKUP($B27,Model!$B:$EX,MATCH('Fin Sum'!Q$10,Model!$B$4:$EX$4,FALSE),FALSE)</f>
        <v>822.84745534176523</v>
      </c>
      <c r="R27" s="1392"/>
      <c r="S27" s="1392" t="s">
        <v>545</v>
      </c>
      <c r="T27" s="1397" t="e">
        <f t="shared" ref="T27:AA27" ca="1" si="23">T23+T24+T25+T26</f>
        <v>#N/A</v>
      </c>
      <c r="U27" s="1397" t="e">
        <f t="shared" ca="1" si="23"/>
        <v>#N/A</v>
      </c>
      <c r="V27" s="1397" t="e">
        <f t="shared" ca="1" si="23"/>
        <v>#N/A</v>
      </c>
      <c r="W27" s="1397" t="e">
        <f t="shared" ca="1" si="23"/>
        <v>#N/A</v>
      </c>
      <c r="X27" s="1397" t="e">
        <f t="shared" ca="1" si="23"/>
        <v>#N/A</v>
      </c>
      <c r="Y27" s="1397" t="e">
        <f t="shared" ca="1" si="23"/>
        <v>#N/A</v>
      </c>
      <c r="Z27" s="1397" t="e">
        <f t="shared" ca="1" si="23"/>
        <v>#N/A</v>
      </c>
      <c r="AA27" s="1413" t="e">
        <f t="shared" ca="1" si="23"/>
        <v>#N/A</v>
      </c>
      <c r="AB27" s="1413">
        <f t="shared" ref="AB27:AG27" ca="1" si="24">AB23+AB24+AB25+AB26</f>
        <v>449.89494500000006</v>
      </c>
      <c r="AC27" s="1413">
        <f t="shared" ca="1" si="24"/>
        <v>507.5</v>
      </c>
      <c r="AD27" s="1413">
        <f t="shared" ca="1" si="24"/>
        <v>500.1</v>
      </c>
      <c r="AE27" s="1413">
        <f t="shared" ca="1" si="24"/>
        <v>513.81782027683857</v>
      </c>
      <c r="AF27" s="1413">
        <f t="shared" ca="1" si="24"/>
        <v>602.66463761025852</v>
      </c>
      <c r="AG27" s="1413">
        <f t="shared" ca="1" si="24"/>
        <v>649.70628795100401</v>
      </c>
    </row>
    <row r="28" spans="1:35" ht="11.25" customHeight="1">
      <c r="A28" s="1392"/>
      <c r="B28" s="1449"/>
      <c r="C28" s="1446" t="s">
        <v>1045</v>
      </c>
      <c r="D28" s="1447" t="e">
        <f ca="1">+VLOOKUP($B28,Model!$B:$EX,MATCH('Fin Sum'!D$10,Model!$B$4:$EX$4,FALSE),FALSE)</f>
        <v>#N/A</v>
      </c>
      <c r="E28" s="1447" t="e">
        <f ca="1">+VLOOKUP($B28,Model!$B:$EX,MATCH('Fin Sum'!E$10,Model!$B$4:$EX$4,FALSE),FALSE)</f>
        <v>#N/A</v>
      </c>
      <c r="F28" s="1447" t="e">
        <f ca="1">+VLOOKUP($B28,Model!$B:$EX,MATCH('Fin Sum'!F$10,Model!$B$4:$EX$4,FALSE),FALSE)</f>
        <v>#N/A</v>
      </c>
      <c r="G28" s="1447" t="e">
        <f ca="1">+VLOOKUP($B28,Model!$B:$EX,MATCH('Fin Sum'!G$10,Model!$B$4:$EX$4,FALSE),FALSE)</f>
        <v>#N/A</v>
      </c>
      <c r="H28" s="1447" t="e">
        <f ca="1">+VLOOKUP($B28,Model!$B:$EX,MATCH('Fin Sum'!H$10,Model!$B$4:$EX$4,FALSE),FALSE)</f>
        <v>#N/A</v>
      </c>
      <c r="I28" s="1447" t="e">
        <f ca="1">+VLOOKUP($B28,Model!$B:$EX,MATCH('Fin Sum'!I$10,Model!$B$4:$EX$4,FALSE),FALSE)</f>
        <v>#N/A</v>
      </c>
      <c r="J28" s="1447" t="e">
        <f ca="1">+VLOOKUP($B28,Model!$B:$EX,MATCH('Fin Sum'!J$10,Model!$B$4:$EX$4,FALSE),FALSE)</f>
        <v>#N/A</v>
      </c>
      <c r="K28" s="1448" t="e">
        <f ca="1">+VLOOKUP($B28,Model!$B:$EX,MATCH('Fin Sum'!K$10,Model!$B$4:$EX$4,FALSE),FALSE)</f>
        <v>#N/A</v>
      </c>
      <c r="L28" s="1448">
        <f ca="1">+L27-L29</f>
        <v>80.899999999999977</v>
      </c>
      <c r="M28" s="1448">
        <f t="shared" ref="M28:P28" ca="1" si="25">+M27-M29</f>
        <v>84.899999999999977</v>
      </c>
      <c r="N28" s="1448">
        <f t="shared" ca="1" si="25"/>
        <v>90.399999999999977</v>
      </c>
      <c r="O28" s="1448">
        <f t="shared" ca="1" si="25"/>
        <v>106.35286730208611</v>
      </c>
      <c r="P28" s="1448">
        <f t="shared" ca="1" si="25"/>
        <v>115.30865525386173</v>
      </c>
      <c r="Q28" s="1448">
        <f t="shared" ref="Q28" ca="1" si="26">+Q27-Q29</f>
        <v>107.24859304791107</v>
      </c>
      <c r="R28" s="1392"/>
      <c r="S28" s="1392" t="s">
        <v>1046</v>
      </c>
      <c r="T28" s="1397">
        <f>Model!CQ185</f>
        <v>-15.872000000000014</v>
      </c>
      <c r="U28" s="1397">
        <f>Model!CV185</f>
        <v>-37.528000000000034</v>
      </c>
      <c r="V28" s="1397">
        <f>Model!CY185</f>
        <v>-2.5409999999999826</v>
      </c>
      <c r="W28" s="1397">
        <f>Model!DB185</f>
        <v>-3.9309999999999832</v>
      </c>
      <c r="X28" s="1397">
        <f>Model!DE185</f>
        <v>-10.699999999999989</v>
      </c>
      <c r="Y28" s="1397">
        <f>Model!DH185</f>
        <v>54.299999999999983</v>
      </c>
      <c r="Z28" s="1397">
        <f>Model!DK185</f>
        <v>-9.5</v>
      </c>
      <c r="AA28" s="1413">
        <f>Model!DN185</f>
        <v>-76.799999999999983</v>
      </c>
      <c r="AB28" s="1413">
        <f ca="1">+VLOOKUP($AI28,Model!$B:$EX,MATCH('Fin Sum'!AB$22,Model!$B$4:$EX$4,FALSE),FALSE)</f>
        <v>-92.30000000000004</v>
      </c>
      <c r="AC28" s="1413">
        <f ca="1">+VLOOKUP($AI28,Model!$B:$EX,MATCH('Fin Sum'!AC$22,Model!$B$4:$EX$4,FALSE),FALSE)</f>
        <v>-100.5</v>
      </c>
      <c r="AD28" s="1413">
        <f ca="1">+VLOOKUP($AI28,Model!$B:$EX,MATCH('Fin Sum'!AD$22,Model!$B$4:$EX$4,FALSE),FALSE)</f>
        <v>-207.79999999999995</v>
      </c>
      <c r="AE28" s="1413">
        <f ca="1">+VLOOKUP($AI28,Model!$B:$EX,MATCH('Fin Sum'!AE$22,Model!$B$4:$EX$4,FALSE),FALSE)</f>
        <v>-111.47958641477101</v>
      </c>
      <c r="AF28" s="1413">
        <f ca="1">+VLOOKUP($AI28,Model!$B:$EX,MATCH('Fin Sum'!AF$22,Model!$B$4:$EX$4,FALSE),FALSE)</f>
        <v>-6.2634141720708953</v>
      </c>
      <c r="AG28" s="1413">
        <f ca="1">+VLOOKUP($AI28,Model!$B:$EX,MATCH('Fin Sum'!AG$22,Model!$B$4:$EX$4,FALSE),FALSE)</f>
        <v>-45.273109266084248</v>
      </c>
      <c r="AI28" s="1451" t="s">
        <v>546</v>
      </c>
    </row>
    <row r="29" spans="1:35" ht="11.25" customHeight="1">
      <c r="A29" s="1392"/>
      <c r="B29" s="1449" t="s">
        <v>461</v>
      </c>
      <c r="C29" s="1440" t="s">
        <v>461</v>
      </c>
      <c r="D29" s="1444">
        <f ca="1">+VLOOKUP($B29,Model!$B:$EX,MATCH('Fin Sum'!D$10,Model!$B$4:$EX$4,FALSE),FALSE)</f>
        <v>206.38216249999999</v>
      </c>
      <c r="E29" s="1444">
        <f ca="1">+VLOOKUP($B29,Model!$B:$EX,MATCH('Fin Sum'!E$10,Model!$B$4:$EX$4,FALSE),FALSE)</f>
        <v>262.60399999999998</v>
      </c>
      <c r="F29" s="1444">
        <f ca="1">+VLOOKUP($B29,Model!$B:$EX,MATCH('Fin Sum'!F$10,Model!$B$4:$EX$4,FALSE),FALSE)</f>
        <v>315.69608879999998</v>
      </c>
      <c r="G29" s="1444">
        <f ca="1">+VLOOKUP($B29,Model!$B:$EX,MATCH('Fin Sum'!G$10,Model!$B$4:$EX$4,FALSE),FALSE)</f>
        <v>348.4</v>
      </c>
      <c r="H29" s="1444">
        <f ca="1">+VLOOKUP($B29,Model!$B:$EX,MATCH('Fin Sum'!H$10,Model!$B$4:$EX$4,FALSE),FALSE)</f>
        <v>359.29950000000002</v>
      </c>
      <c r="I29" s="1444">
        <f ca="1">+VLOOKUP($B29,Model!$B:$EX,MATCH('Fin Sum'!I$10,Model!$B$4:$EX$4,FALSE),FALSE)</f>
        <v>206.918285</v>
      </c>
      <c r="J29" s="1444">
        <f ca="1">+VLOOKUP($B29,Model!$B:$EX,MATCH('Fin Sum'!J$10,Model!$B$4:$EX$4,FALSE),FALSE)</f>
        <v>334.09999999999997</v>
      </c>
      <c r="K29" s="1445">
        <f ca="1">+VLOOKUP($B29,Model!$B:$EX,MATCH('Fin Sum'!K$10,Model!$B$4:$EX$4,FALSE),FALSE)</f>
        <v>404.3</v>
      </c>
      <c r="L29" s="1445">
        <f ca="1">+VLOOKUP($B29,Model!$B:$EX,MATCH('Fin Sum'!L$10,Model!$B$4:$EX$4,FALSE),FALSE)</f>
        <v>434.6</v>
      </c>
      <c r="M29" s="1445">
        <f ca="1">+VLOOKUP($B29,Model!$B:$EX,MATCH('Fin Sum'!M$10,Model!$B$4:$EX$4,FALSE),FALSE)</f>
        <v>535.1</v>
      </c>
      <c r="N29" s="1445">
        <f ca="1">+VLOOKUP($B29,Model!$B:$EX,MATCH('Fin Sum'!N$10,Model!$B$4:$EX$4,FALSE),FALSE)</f>
        <v>554</v>
      </c>
      <c r="O29" s="1445">
        <f ca="1">+VLOOKUP($B29,Model!$B:$EX,MATCH('Fin Sum'!O$10,Model!$B$4:$EX$4,FALSE),FALSE)</f>
        <v>550.18043729966996</v>
      </c>
      <c r="P29" s="1445">
        <f ca="1">+VLOOKUP($B29,Model!$B:$EX,MATCH('Fin Sum'!P$10,Model!$B$4:$EX$4,FALSE),FALSE)</f>
        <v>639.96889525823406</v>
      </c>
      <c r="Q29" s="1445">
        <f ca="1">+VLOOKUP($B29,Model!$B:$EX,MATCH('Fin Sum'!Q$10,Model!$B$4:$EX$4,FALSE),FALSE)</f>
        <v>715.59886229385415</v>
      </c>
      <c r="R29" s="1392"/>
      <c r="S29" s="1446" t="s">
        <v>571</v>
      </c>
      <c r="T29" s="1447" t="e">
        <f t="shared" ref="T29:AA29" ca="1" si="27">IF(AND(T27&lt;&gt;"",T28&lt;&gt;"",T30&lt;&gt;""),-(T27+T28-T30),"")</f>
        <v>#N/A</v>
      </c>
      <c r="U29" s="1447" t="e">
        <f t="shared" ca="1" si="27"/>
        <v>#N/A</v>
      </c>
      <c r="V29" s="1447" t="e">
        <f t="shared" ca="1" si="27"/>
        <v>#N/A</v>
      </c>
      <c r="W29" s="1447" t="e">
        <f t="shared" ca="1" si="27"/>
        <v>#N/A</v>
      </c>
      <c r="X29" s="1447" t="e">
        <f t="shared" ca="1" si="27"/>
        <v>#N/A</v>
      </c>
      <c r="Y29" s="1447" t="e">
        <f t="shared" ca="1" si="27"/>
        <v>#N/A</v>
      </c>
      <c r="Z29" s="1447" t="e">
        <f t="shared" ca="1" si="27"/>
        <v>#N/A</v>
      </c>
      <c r="AA29" s="1448" t="e">
        <f t="shared" ca="1" si="27"/>
        <v>#N/A</v>
      </c>
      <c r="AB29" s="1448">
        <f t="shared" ref="AB29:AG29" ca="1" si="28">IF(AND(AB27&lt;&gt;"",AB28&lt;&gt;"",AB30&lt;&gt;""),-(AB27+AB28-AB30),"")</f>
        <v>4.8050549999999248</v>
      </c>
      <c r="AC29" s="1448">
        <f t="shared" ca="1" si="28"/>
        <v>-18.199999999999989</v>
      </c>
      <c r="AD29" s="1448">
        <f t="shared" ca="1" si="28"/>
        <v>-54.700000000000074</v>
      </c>
      <c r="AE29" s="1448">
        <f t="shared" ca="1" si="28"/>
        <v>-104.10000000000002</v>
      </c>
      <c r="AF29" s="1448">
        <f t="shared" ca="1" si="28"/>
        <v>-12.599999999999909</v>
      </c>
      <c r="AG29" s="1448">
        <f t="shared" ca="1" si="28"/>
        <v>-12.600000000000023</v>
      </c>
    </row>
    <row r="30" spans="1:35" ht="11.25" customHeight="1">
      <c r="A30" s="1392"/>
      <c r="B30" s="1449"/>
      <c r="C30" s="1392" t="s">
        <v>1036</v>
      </c>
      <c r="D30" s="1406"/>
      <c r="E30" s="1406">
        <f t="shared" ref="E30:Q30" ca="1" si="29">E29/D29-1</f>
        <v>0.27241616629537924</v>
      </c>
      <c r="F30" s="1406">
        <f ca="1">F29/E29-1</f>
        <v>0.2021754763826904</v>
      </c>
      <c r="G30" s="1406">
        <f t="shared" ca="1" si="29"/>
        <v>0.10359301987019109</v>
      </c>
      <c r="H30" s="1406">
        <f t="shared" ca="1" si="29"/>
        <v>3.1284443168771769E-2</v>
      </c>
      <c r="I30" s="1406">
        <f t="shared" ca="1" si="29"/>
        <v>-0.42410639313441856</v>
      </c>
      <c r="J30" s="1406">
        <f t="shared" ca="1" si="29"/>
        <v>0.61464705741205994</v>
      </c>
      <c r="K30" s="1406">
        <f t="shared" ca="1" si="29"/>
        <v>0.21011673151750987</v>
      </c>
      <c r="L30" s="1452">
        <f t="shared" ca="1" si="29"/>
        <v>7.4944348256245297E-2</v>
      </c>
      <c r="M30" s="1452">
        <f t="shared" ca="1" si="29"/>
        <v>0.23124712379199264</v>
      </c>
      <c r="N30" s="1452">
        <f t="shared" ca="1" si="29"/>
        <v>3.5320500840964275E-2</v>
      </c>
      <c r="O30" s="1452">
        <f t="shared" ca="1" si="29"/>
        <v>-6.894517509621001E-3</v>
      </c>
      <c r="P30" s="1452">
        <f t="shared" ca="1" si="29"/>
        <v>0.16319820166499022</v>
      </c>
      <c r="Q30" s="1452">
        <f t="shared" ca="1" si="29"/>
        <v>0.11817756705988436</v>
      </c>
      <c r="R30" s="1392"/>
      <c r="S30" s="1440" t="s">
        <v>237</v>
      </c>
      <c r="T30" s="1444">
        <f>Model!CQ188</f>
        <v>89.941999999999993</v>
      </c>
      <c r="U30" s="1444">
        <f>Model!CV188</f>
        <v>185.113</v>
      </c>
      <c r="V30" s="1444">
        <f>Model!CY188</f>
        <v>259.77199999999999</v>
      </c>
      <c r="W30" s="1444">
        <f>Model!DB188</f>
        <v>258.10000000000002</v>
      </c>
      <c r="X30" s="1444">
        <f>Model!DE188</f>
        <v>296</v>
      </c>
      <c r="Y30" s="1444">
        <f>Model!DH188</f>
        <v>-157.80000000000001</v>
      </c>
      <c r="Z30" s="1444">
        <f>Model!DK188</f>
        <v>271.3</v>
      </c>
      <c r="AA30" s="1445">
        <f>Model!DN188</f>
        <v>376.5</v>
      </c>
      <c r="AB30" s="1445">
        <f ca="1">+VLOOKUP($AI30,Model!$B:$EX,MATCH('Fin Sum'!AB$22,Model!$B$4:$EX$4,FALSE),FALSE)</f>
        <v>362.4</v>
      </c>
      <c r="AC30" s="1445">
        <f ca="1">+VLOOKUP($AI30,Model!$B:$EX,MATCH('Fin Sum'!AC$22,Model!$B$4:$EX$4,FALSE),FALSE)</f>
        <v>388.8</v>
      </c>
      <c r="AD30" s="1445">
        <f ca="1">+VLOOKUP($AI30,Model!$B:$EX,MATCH('Fin Sum'!AD$22,Model!$B$4:$EX$4,FALSE),FALSE)</f>
        <v>237.6</v>
      </c>
      <c r="AE30" s="1445">
        <f ca="1">+VLOOKUP($AI30,Model!$B:$EX,MATCH('Fin Sum'!AE$22,Model!$B$4:$EX$4,FALSE),FALSE)</f>
        <v>298.23823386206755</v>
      </c>
      <c r="AF30" s="1445">
        <f ca="1">+VLOOKUP($AI30,Model!$B:$EX,MATCH('Fin Sum'!AF$22,Model!$B$4:$EX$4,FALSE),FALSE)</f>
        <v>583.80122343818766</v>
      </c>
      <c r="AG30" s="1445">
        <f ca="1">+VLOOKUP($AI30,Model!$B:$EX,MATCH('Fin Sum'!AG$22,Model!$B$4:$EX$4,FALSE),FALSE)</f>
        <v>591.83317868491974</v>
      </c>
      <c r="AI30" s="1451" t="s">
        <v>210</v>
      </c>
    </row>
    <row r="31" spans="1:35" ht="11.25" customHeight="1">
      <c r="A31" s="1392"/>
      <c r="B31" s="1449" t="s">
        <v>796</v>
      </c>
      <c r="C31" s="1446" t="s">
        <v>528</v>
      </c>
      <c r="D31" s="1447">
        <f ca="1">+VLOOKUP($B31,Model!$B:$EX,MATCH('Fin Sum'!D$10,Model!$B$4:$EX$4,FALSE),FALSE)</f>
        <v>10.079162500000002</v>
      </c>
      <c r="E31" s="1447">
        <f ca="1">+VLOOKUP($B31,Model!$B:$EX,MATCH('Fin Sum'!E$10,Model!$B$4:$EX$4,FALSE),FALSE)</f>
        <v>8.3379999999999992</v>
      </c>
      <c r="F31" s="1447">
        <f ca="1">+VLOOKUP($B31,Model!$B:$EX,MATCH('Fin Sum'!F$10,Model!$B$4:$EX$4,FALSE),FALSE)</f>
        <v>6.8710888000000008</v>
      </c>
      <c r="G31" s="1447">
        <f ca="1">+VLOOKUP($B31,Model!$B:$EX,MATCH('Fin Sum'!G$10,Model!$B$4:$EX$4,FALSE),FALSE)</f>
        <v>7.9</v>
      </c>
      <c r="H31" s="1447">
        <f ca="1">+VLOOKUP($B31,Model!$B:$EX,MATCH('Fin Sum'!H$10,Model!$B$4:$EX$4,FALSE),FALSE)</f>
        <v>4.4994999999999994</v>
      </c>
      <c r="I31" s="1447">
        <f ca="1">+VLOOKUP($B31,Model!$B:$EX,MATCH('Fin Sum'!I$10,Model!$B$4:$EX$4,FALSE),FALSE)</f>
        <v>8.9182850000000009</v>
      </c>
      <c r="J31" s="1447">
        <f ca="1">+VLOOKUP($B31,Model!$B:$EX,MATCH('Fin Sum'!J$10,Model!$B$4:$EX$4,FALSE),FALSE)</f>
        <v>8.4</v>
      </c>
      <c r="K31" s="1448">
        <f ca="1">+VLOOKUP($B31,Model!$B:$EX,MATCH('Fin Sum'!K$10,Model!$B$4:$EX$4,FALSE),FALSE)</f>
        <v>6.1999999999999993</v>
      </c>
      <c r="L31" s="1448">
        <f ca="1">+VLOOKUP($B31,Model!$B:$EX,MATCH('Fin Sum'!L$10,Model!$B$4:$EX$4,FALSE),FALSE)</f>
        <v>-7.1</v>
      </c>
      <c r="M31" s="1448">
        <f ca="1">+VLOOKUP($B31,Model!$B:$EX,MATCH('Fin Sum'!M$10,Model!$B$4:$EX$4,FALSE),FALSE)</f>
        <v>-9.8000000000000007</v>
      </c>
      <c r="N31" s="1448">
        <f ca="1">+VLOOKUP($B31,Model!$B:$EX,MATCH('Fin Sum'!N$10,Model!$B$4:$EX$4,FALSE),FALSE)</f>
        <v>-0.69999999999999929</v>
      </c>
      <c r="O31" s="1448">
        <f ca="1">+VLOOKUP($B31,Model!$B:$EX,MATCH('Fin Sum'!O$10,Model!$B$4:$EX$4,FALSE),FALSE)</f>
        <v>0.7605000000000004</v>
      </c>
      <c r="P31" s="1448">
        <f ca="1">+VLOOKUP($B31,Model!$B:$EX,MATCH('Fin Sum'!P$10,Model!$B$4:$EX$4,FALSE),FALSE)</f>
        <v>6.960918783038248</v>
      </c>
      <c r="Q31" s="1448">
        <f ca="1">+VLOOKUP($B31,Model!$B:$EX,MATCH('Fin Sum'!Q$10,Model!$B$4:$EX$4,FALSE),FALSE)</f>
        <v>9.1219357563969901</v>
      </c>
      <c r="R31" s="1392"/>
      <c r="S31" s="1392" t="s">
        <v>60</v>
      </c>
      <c r="T31" s="1397">
        <f>Model!CQ189</f>
        <v>-10.451000000000001</v>
      </c>
      <c r="U31" s="1397">
        <f>Model!CV189</f>
        <v>-36.414000000000001</v>
      </c>
      <c r="V31" s="1397">
        <f>Model!CY189</f>
        <v>-62.841999999999999</v>
      </c>
      <c r="W31" s="1397">
        <f>Model!DB189</f>
        <v>-44.6</v>
      </c>
      <c r="X31" s="1397">
        <f>Model!DE189</f>
        <v>-86.6</v>
      </c>
      <c r="Y31" s="1397">
        <f>Model!DH189</f>
        <v>-111.4</v>
      </c>
      <c r="Z31" s="1397">
        <f>Model!DK189</f>
        <v>-66.7</v>
      </c>
      <c r="AA31" s="1413">
        <f>Model!DN189</f>
        <v>-77.2</v>
      </c>
      <c r="AB31" s="1413">
        <f ca="1">+VLOOKUP($AI31,Model!$B:$EX,MATCH('Fin Sum'!AB$22,Model!$B$4:$EX$4,FALSE),FALSE)</f>
        <v>-95.9</v>
      </c>
      <c r="AC31" s="1413">
        <f ca="1">+VLOOKUP($AI31,Model!$B:$EX,MATCH('Fin Sum'!AC$22,Model!$B$4:$EX$4,FALSE),FALSE)</f>
        <v>-89.8</v>
      </c>
      <c r="AD31" s="1413">
        <f ca="1">+VLOOKUP($AI31,Model!$B:$EX,MATCH('Fin Sum'!AD$22,Model!$B$4:$EX$4,FALSE),FALSE)</f>
        <v>-102.6</v>
      </c>
      <c r="AE31" s="1413">
        <f ca="1">+VLOOKUP($AI31,Model!$B:$EX,MATCH('Fin Sum'!AE$22,Model!$B$4:$EX$4,FALSE),FALSE)</f>
        <v>-102.0490158983734</v>
      </c>
      <c r="AF31" s="1413">
        <f ca="1">+VLOOKUP($AI31,Model!$B:$EX,MATCH('Fin Sum'!AF$22,Model!$B$4:$EX$4,FALSE),FALSE)</f>
        <v>-110.25336569652136</v>
      </c>
      <c r="AG31" s="1413">
        <f ca="1">+VLOOKUP($AI31,Model!$B:$EX,MATCH('Fin Sum'!AG$22,Model!$B$4:$EX$4,FALSE),FALSE)</f>
        <v>-114.90920683704752</v>
      </c>
      <c r="AI31" s="1451" t="s">
        <v>60</v>
      </c>
    </row>
    <row r="32" spans="1:35" ht="11.25" customHeight="1">
      <c r="A32" s="1392"/>
      <c r="B32" s="1449"/>
      <c r="C32" s="1393" t="s">
        <v>530</v>
      </c>
      <c r="D32" s="1442">
        <f t="shared" ref="D32:K32" ca="1" si="30">D29-D31</f>
        <v>196.303</v>
      </c>
      <c r="E32" s="1442">
        <f t="shared" ca="1" si="30"/>
        <v>254.26599999999999</v>
      </c>
      <c r="F32" s="1442">
        <f t="shared" ca="1" si="30"/>
        <v>308.82499999999999</v>
      </c>
      <c r="G32" s="1442">
        <f t="shared" ca="1" si="30"/>
        <v>340.5</v>
      </c>
      <c r="H32" s="1442">
        <f t="shared" ca="1" si="30"/>
        <v>354.8</v>
      </c>
      <c r="I32" s="1442">
        <f t="shared" ca="1" si="30"/>
        <v>198</v>
      </c>
      <c r="J32" s="1442">
        <f t="shared" ca="1" si="30"/>
        <v>325.7</v>
      </c>
      <c r="K32" s="1443">
        <f t="shared" ca="1" si="30"/>
        <v>398.1</v>
      </c>
      <c r="L32" s="1443">
        <f t="shared" ref="L32:Q32" ca="1" si="31">L29-L31</f>
        <v>441.70000000000005</v>
      </c>
      <c r="M32" s="1443">
        <f t="shared" ca="1" si="31"/>
        <v>544.9</v>
      </c>
      <c r="N32" s="1443">
        <f t="shared" ca="1" si="31"/>
        <v>554.70000000000005</v>
      </c>
      <c r="O32" s="1443">
        <f t="shared" ca="1" si="31"/>
        <v>549.41993729966998</v>
      </c>
      <c r="P32" s="1443">
        <f t="shared" ca="1" si="31"/>
        <v>633.00797647519585</v>
      </c>
      <c r="Q32" s="1443">
        <f t="shared" ca="1" si="31"/>
        <v>706.47692653745719</v>
      </c>
      <c r="R32" s="1392"/>
      <c r="S32" s="1392" t="s">
        <v>525</v>
      </c>
      <c r="T32" s="1397">
        <f>Model!CQ192</f>
        <v>0</v>
      </c>
      <c r="U32" s="1397">
        <f>Model!CV192</f>
        <v>0</v>
      </c>
      <c r="V32" s="1397">
        <f>Model!CY192</f>
        <v>0</v>
      </c>
      <c r="W32" s="1397">
        <f>Model!DB192</f>
        <v>0</v>
      </c>
      <c r="X32" s="1397">
        <f>Model!DE192</f>
        <v>0</v>
      </c>
      <c r="Y32" s="1397">
        <f>Model!DH192</f>
        <v>0</v>
      </c>
      <c r="Z32" s="1397">
        <f>Model!DK192</f>
        <v>0</v>
      </c>
      <c r="AA32" s="1413">
        <f>Model!DN192</f>
        <v>0</v>
      </c>
      <c r="AB32" s="1413">
        <f ca="1">+VLOOKUP($AI32,Model!$B:$EX,MATCH('Fin Sum'!AB$22,Model!$B$4:$EX$4,FALSE),FALSE)</f>
        <v>0</v>
      </c>
      <c r="AC32" s="1413">
        <f ca="1">+VLOOKUP($AI32,Model!$B:$EX,MATCH('Fin Sum'!AC$22,Model!$B$4:$EX$4,FALSE),FALSE)</f>
        <v>0</v>
      </c>
      <c r="AD32" s="1413">
        <f ca="1">+VLOOKUP($AI32,Model!$B:$EX,MATCH('Fin Sum'!AD$22,Model!$B$4:$EX$4,FALSE),FALSE)</f>
        <v>0</v>
      </c>
      <c r="AE32" s="1413">
        <f ca="1">+VLOOKUP($AI32,Model!$B:$EX,MATCH('Fin Sum'!AE$22,Model!$B$4:$EX$4,FALSE),FALSE)</f>
        <v>0</v>
      </c>
      <c r="AF32" s="1413">
        <f ca="1">+VLOOKUP($AI32,Model!$B:$EX,MATCH('Fin Sum'!AF$22,Model!$B$4:$EX$4,FALSE),FALSE)</f>
        <v>0</v>
      </c>
      <c r="AG32" s="1413">
        <f ca="1">+VLOOKUP($AI32,Model!$B:$EX,MATCH('Fin Sum'!AG$22,Model!$B$4:$EX$4,FALSE),FALSE)</f>
        <v>0</v>
      </c>
      <c r="AI32" s="1451" t="s">
        <v>873</v>
      </c>
    </row>
    <row r="33" spans="1:36" ht="11.25" customHeight="1">
      <c r="A33" s="1392"/>
      <c r="B33" s="1449" t="s">
        <v>802</v>
      </c>
      <c r="C33" s="1392" t="s">
        <v>531</v>
      </c>
      <c r="D33" s="1397">
        <f ca="1">+VLOOKUP($B33,Model!$B:$EX,MATCH('Fin Sum'!D$10,Model!$B$4:$EX$4,FALSE),FALSE)</f>
        <v>50.463000000000001</v>
      </c>
      <c r="E33" s="1397">
        <f ca="1">+VLOOKUP($B33,Model!$B:$EX,MATCH('Fin Sum'!E$10,Model!$B$4:$EX$4,FALSE),FALSE)</f>
        <v>65.344999999999999</v>
      </c>
      <c r="F33" s="1397">
        <f ca="1">+VLOOKUP($B33,Model!$B:$EX,MATCH('Fin Sum'!F$10,Model!$B$4:$EX$4,FALSE),FALSE)</f>
        <v>85.209000000000003</v>
      </c>
      <c r="G33" s="1397">
        <f ca="1">+VLOOKUP($B33,Model!$B:$EX,MATCH('Fin Sum'!G$10,Model!$B$4:$EX$4,FALSE),FALSE)</f>
        <v>94.7</v>
      </c>
      <c r="H33" s="1397">
        <f ca="1">+VLOOKUP($B33,Model!$B:$EX,MATCH('Fin Sum'!H$10,Model!$B$4:$EX$4,FALSE),FALSE)</f>
        <v>88.900000000000034</v>
      </c>
      <c r="I33" s="1397">
        <f ca="1">+VLOOKUP($B33,Model!$B:$EX,MATCH('Fin Sum'!I$10,Model!$B$4:$EX$4,FALSE),FALSE)</f>
        <v>44.199999999999989</v>
      </c>
      <c r="J33" s="1397">
        <f ca="1">+VLOOKUP($B33,Model!$B:$EX,MATCH('Fin Sum'!J$10,Model!$B$4:$EX$4,FALSE),FALSE)</f>
        <v>85.070000000000007</v>
      </c>
      <c r="K33" s="1413">
        <f ca="1">+VLOOKUP($B33,Model!$B:$EX,MATCH('Fin Sum'!K$10,Model!$B$4:$EX$4,FALSE),FALSE)</f>
        <v>105.98</v>
      </c>
      <c r="L33" s="1413">
        <f ca="1">+VLOOKUP($B33,Model!$B:$EX,MATCH('Fin Sum'!L$10,Model!$B$4:$EX$4,FALSE),FALSE)</f>
        <v>109.55</v>
      </c>
      <c r="M33" s="1413">
        <f ca="1">+VLOOKUP($B33,Model!$B:$EX,MATCH('Fin Sum'!M$10,Model!$B$4:$EX$4,FALSE),FALSE)</f>
        <v>137.09</v>
      </c>
      <c r="N33" s="1413">
        <f ca="1">+VLOOKUP($B33,Model!$B:$EX,MATCH('Fin Sum'!N$10,Model!$B$4:$EX$4,FALSE),FALSE)</f>
        <v>139.41</v>
      </c>
      <c r="O33" s="1413">
        <f ca="1">+VLOOKUP($B33,Model!$B:$EX,MATCH('Fin Sum'!O$10,Model!$B$4:$EX$4,FALSE),FALSE)</f>
        <v>137.3549843249175</v>
      </c>
      <c r="P33" s="1413">
        <f ca="1">+VLOOKUP($B33,Model!$B:$EX,MATCH('Fin Sum'!P$10,Model!$B$4:$EX$4,FALSE),FALSE)</f>
        <v>158.25199411879896</v>
      </c>
      <c r="Q33" s="1413">
        <f ca="1">+VLOOKUP($B33,Model!$B:$EX,MATCH('Fin Sum'!Q$10,Model!$B$4:$EX$4,FALSE),FALSE)</f>
        <v>176.6192316343643</v>
      </c>
      <c r="R33" s="1392"/>
      <c r="S33" s="1392" t="s">
        <v>526</v>
      </c>
      <c r="T33" s="1397">
        <f>Model!CQ193+Model!CQ199</f>
        <v>0</v>
      </c>
      <c r="U33" s="1397">
        <f>Model!CV193+Model!CV199</f>
        <v>-1.1399999999999999</v>
      </c>
      <c r="V33" s="1397">
        <f>Model!CY193+Model!CY199</f>
        <v>-71.936999999999998</v>
      </c>
      <c r="W33" s="1397">
        <f>Model!DB193+Model!DB199</f>
        <v>-11.1</v>
      </c>
      <c r="X33" s="1397">
        <f>Model!DE193+Model!DE199</f>
        <v>-51.2</v>
      </c>
      <c r="Y33" s="1397">
        <f>Model!DH193+Model!DH199</f>
        <v>-33.299999999999997</v>
      </c>
      <c r="Z33" s="1397">
        <f>Model!DK193+Model!DK199</f>
        <v>-18.399999999999999</v>
      </c>
      <c r="AA33" s="1413">
        <f>Model!DN193+Model!DN199</f>
        <v>-61.7</v>
      </c>
      <c r="AB33" s="1413">
        <f ca="1">+VLOOKUP($AI33,Model!$B:$EX,MATCH('Fin Sum'!AB$22,Model!$B$4:$EX$4,FALSE),FALSE)+VLOOKUP($AJ33,Model!$B:$EX,MATCH('Fin Sum'!AB$22,Model!$B$4:$EX$4,FALSE),FALSE)</f>
        <v>-29.8</v>
      </c>
      <c r="AC33" s="1413">
        <f ca="1">+VLOOKUP($AI33,Model!$B:$EX,MATCH('Fin Sum'!AC$22,Model!$B$4:$EX$4,FALSE),FALSE)+VLOOKUP($AJ33,Model!$B:$EX,MATCH('Fin Sum'!AC$22,Model!$B$4:$EX$4,FALSE),FALSE)</f>
        <v>-15.9</v>
      </c>
      <c r="AD33" s="1413">
        <f ca="1">+VLOOKUP($AI33,Model!$B:$EX,MATCH('Fin Sum'!AD$22,Model!$B$4:$EX$4,FALSE),FALSE)+VLOOKUP($AJ33,Model!$B:$EX,MATCH('Fin Sum'!AD$22,Model!$B$4:$EX$4,FALSE),FALSE)</f>
        <v>-12.6</v>
      </c>
      <c r="AE33" s="1413">
        <f ca="1">+VLOOKUP($AI33,Model!$B:$EX,MATCH('Fin Sum'!AE$22,Model!$B$4:$EX$4,FALSE),FALSE)+VLOOKUP($AJ33,Model!$B:$EX,MATCH('Fin Sum'!AE$22,Model!$B$4:$EX$4,FALSE),FALSE)</f>
        <v>-13.8</v>
      </c>
      <c r="AF33" s="1413">
        <f ca="1">+VLOOKUP($AI33,Model!$B:$EX,MATCH('Fin Sum'!AF$22,Model!$B$4:$EX$4,FALSE),FALSE)+VLOOKUP($AJ33,Model!$B:$EX,MATCH('Fin Sum'!AF$22,Model!$B$4:$EX$4,FALSE),FALSE)</f>
        <v>0</v>
      </c>
      <c r="AG33" s="1413">
        <f ca="1">+VLOOKUP($AI33,Model!$B:$EX,MATCH('Fin Sum'!AG$22,Model!$B$4:$EX$4,FALSE),FALSE)+VLOOKUP($AJ33,Model!$B:$EX,MATCH('Fin Sum'!AG$22,Model!$B$4:$EX$4,FALSE),FALSE)</f>
        <v>0</v>
      </c>
      <c r="AI33" s="1451" t="s">
        <v>874</v>
      </c>
      <c r="AJ33" s="1451" t="s">
        <v>10</v>
      </c>
    </row>
    <row r="34" spans="1:36" ht="11.25" customHeight="1">
      <c r="A34" s="1392"/>
      <c r="B34" s="1449"/>
      <c r="C34" s="1392" t="s">
        <v>1037</v>
      </c>
      <c r="D34" s="1406">
        <f t="shared" ref="D34:K34" ca="1" si="32">D33/D32</f>
        <v>0.25706688130084615</v>
      </c>
      <c r="E34" s="1406">
        <f t="shared" ca="1" si="32"/>
        <v>0.25699464340493816</v>
      </c>
      <c r="F34" s="1406">
        <f t="shared" ca="1" si="32"/>
        <v>0.2759135432688416</v>
      </c>
      <c r="G34" s="1406">
        <f t="shared" ca="1" si="32"/>
        <v>0.27812041116005876</v>
      </c>
      <c r="H34" s="1406">
        <f t="shared" ca="1" si="32"/>
        <v>0.25056369785794824</v>
      </c>
      <c r="I34" s="1406">
        <f t="shared" ca="1" si="32"/>
        <v>0.22323232323232317</v>
      </c>
      <c r="J34" s="1406">
        <f t="shared" ca="1" si="32"/>
        <v>0.26119128031931227</v>
      </c>
      <c r="K34" s="1406">
        <f t="shared" ca="1" si="32"/>
        <v>0.26621451896508413</v>
      </c>
      <c r="L34" s="1452">
        <f t="shared" ref="L34:Q34" ca="1" si="33">L33/L32</f>
        <v>0.24801901743264657</v>
      </c>
      <c r="M34" s="1452">
        <f t="shared" ca="1" si="33"/>
        <v>0.25158744723802534</v>
      </c>
      <c r="N34" s="1452">
        <f t="shared" ca="1" si="33"/>
        <v>0.25132504056246618</v>
      </c>
      <c r="O34" s="1452">
        <f t="shared" ca="1" si="33"/>
        <v>0.25</v>
      </c>
      <c r="P34" s="1452">
        <f t="shared" ca="1" si="33"/>
        <v>0.25</v>
      </c>
      <c r="Q34" s="1452">
        <f t="shared" ca="1" si="33"/>
        <v>0.25</v>
      </c>
      <c r="R34" s="1392"/>
      <c r="S34" s="1446" t="s">
        <v>571</v>
      </c>
      <c r="T34" s="1447">
        <f>Model!CQ196+Model!CQ203+Model!CQ204</f>
        <v>0</v>
      </c>
      <c r="U34" s="1447">
        <f>Model!CV196+Model!CV203+Model!CV204</f>
        <v>-12.58</v>
      </c>
      <c r="V34" s="1447">
        <f>Model!CY196+Model!CY203+Model!CY204</f>
        <v>-0.82100000000000006</v>
      </c>
      <c r="W34" s="1447">
        <f>Model!DB196+Model!DB203+Model!DB204</f>
        <v>0.3</v>
      </c>
      <c r="X34" s="1447">
        <f>Model!DE196+Model!DE203+Model!DE204</f>
        <v>0</v>
      </c>
      <c r="Y34" s="1447">
        <f>Model!DH196+Model!DH203+Model!DH204</f>
        <v>-365</v>
      </c>
      <c r="Z34" s="1447">
        <f>Model!DK196+Model!DK203+Model!DK204</f>
        <v>365</v>
      </c>
      <c r="AA34" s="1448">
        <f>Model!DN196+Model!DN203+Model!DN204</f>
        <v>0</v>
      </c>
      <c r="AB34" s="1448">
        <f>Model!DQ196+Model!DQ203+Model!DQ204</f>
        <v>0</v>
      </c>
      <c r="AC34" s="1448">
        <f>Model!DT196+Model!DT203+Model!DT204</f>
        <v>0</v>
      </c>
      <c r="AD34" s="1448">
        <f>Model!DW196+Model!DW203+Model!DW204</f>
        <v>0</v>
      </c>
      <c r="AE34" s="1448">
        <f>Model!DZ196+Model!DZ203+Model!DZ204</f>
        <v>0</v>
      </c>
      <c r="AF34" s="1448"/>
      <c r="AG34" s="1448"/>
    </row>
    <row r="35" spans="1:36" ht="11.25" customHeight="1">
      <c r="A35" s="1392"/>
      <c r="B35" s="1449" t="s">
        <v>279</v>
      </c>
      <c r="C35" s="1446" t="s">
        <v>343</v>
      </c>
      <c r="D35" s="1447">
        <f ca="1">+VLOOKUP($B35,Model!$B:$EX,MATCH('Fin Sum'!D$10,Model!$B$4:$EX$4,FALSE),FALSE)</f>
        <v>0</v>
      </c>
      <c r="E35" s="1447">
        <f ca="1">+VLOOKUP($B35,Model!$B:$EX,MATCH('Fin Sum'!E$10,Model!$B$4:$EX$4,FALSE),FALSE)</f>
        <v>0</v>
      </c>
      <c r="F35" s="1447">
        <f ca="1">+VLOOKUP($B35,Model!$B:$EX,MATCH('Fin Sum'!F$10,Model!$B$4:$EX$4,FALSE),FALSE)</f>
        <v>0</v>
      </c>
      <c r="G35" s="1447">
        <f ca="1">+VLOOKUP($B35,Model!$B:$EX,MATCH('Fin Sum'!G$10,Model!$B$4:$EX$4,FALSE),FALSE)</f>
        <v>0</v>
      </c>
      <c r="H35" s="1447">
        <f ca="1">+VLOOKUP($B35,Model!$B:$EX,MATCH('Fin Sum'!H$10,Model!$B$4:$EX$4,FALSE),FALSE)</f>
        <v>0</v>
      </c>
      <c r="I35" s="1447">
        <f ca="1">+VLOOKUP($B35,Model!$B:$EX,MATCH('Fin Sum'!I$10,Model!$B$4:$EX$4,FALSE),FALSE)</f>
        <v>0</v>
      </c>
      <c r="J35" s="1447">
        <f ca="1">+VLOOKUP($B35,Model!$B:$EX,MATCH('Fin Sum'!J$10,Model!$B$4:$EX$4,FALSE),FALSE)</f>
        <v>0</v>
      </c>
      <c r="K35" s="1448">
        <f ca="1">+VLOOKUP($B35,Model!$B:$EX,MATCH('Fin Sum'!K$10,Model!$B$4:$EX$4,FALSE),FALSE)</f>
        <v>0</v>
      </c>
      <c r="L35" s="1448">
        <f ca="1">+VLOOKUP($B35,Model!$B:$EX,MATCH('Fin Sum'!L$10,Model!$B$4:$EX$4,FALSE),FALSE)</f>
        <v>0</v>
      </c>
      <c r="M35" s="1448">
        <f ca="1">+VLOOKUP($B35,Model!$B:$EX,MATCH('Fin Sum'!M$10,Model!$B$4:$EX$4,FALSE),FALSE)</f>
        <v>0</v>
      </c>
      <c r="N35" s="1448">
        <f ca="1">+VLOOKUP($B35,Model!$B:$EX,MATCH('Fin Sum'!N$10,Model!$B$4:$EX$4,FALSE),FALSE)</f>
        <v>0</v>
      </c>
      <c r="O35" s="1448">
        <f ca="1">+VLOOKUP($B35,Model!$B:$EX,MATCH('Fin Sum'!O$10,Model!$B$4:$EX$4,FALSE),FALSE)</f>
        <v>0</v>
      </c>
      <c r="P35" s="1448">
        <f ca="1">+VLOOKUP($B35,Model!$B:$EX,MATCH('Fin Sum'!P$10,Model!$B$4:$EX$4,FALSE),FALSE)</f>
        <v>0</v>
      </c>
      <c r="Q35" s="1448">
        <f ca="1">+VLOOKUP($B35,Model!$B:$EX,MATCH('Fin Sum'!Q$10,Model!$B$4:$EX$4,FALSE),FALSE)</f>
        <v>0</v>
      </c>
      <c r="R35" s="1392"/>
      <c r="S35" s="1440" t="s">
        <v>418</v>
      </c>
      <c r="T35" s="1444"/>
      <c r="U35" s="1444"/>
      <c r="V35" s="1444"/>
      <c r="W35" s="1444"/>
      <c r="X35" s="1444"/>
      <c r="Y35" s="1444"/>
      <c r="Z35" s="1444"/>
      <c r="AA35" s="1445"/>
      <c r="AB35" s="1445">
        <f ca="1">+VLOOKUP($AI35,Model!$B:$EX,MATCH('Fin Sum'!AB$22,Model!$B$4:$EX$4,FALSE),FALSE)</f>
        <v>-125.7</v>
      </c>
      <c r="AC35" s="1445">
        <f ca="1">+VLOOKUP($AI35,Model!$B:$EX,MATCH('Fin Sum'!AC$22,Model!$B$4:$EX$4,FALSE),FALSE)</f>
        <v>-105.7</v>
      </c>
      <c r="AD35" s="1445">
        <f ca="1">+VLOOKUP($AI35,Model!$B:$EX,MATCH('Fin Sum'!AD$22,Model!$B$4:$EX$4,FALSE),FALSE)</f>
        <v>-115.19999999999999</v>
      </c>
      <c r="AE35" s="1445">
        <f ca="1">+VLOOKUP($AI35,Model!$B:$EX,MATCH('Fin Sum'!AE$22,Model!$B$4:$EX$4,FALSE),FALSE)</f>
        <v>-115.84901589837341</v>
      </c>
      <c r="AF35" s="1445">
        <f ca="1">+VLOOKUP($AI35,Model!$B:$EX,MATCH('Fin Sum'!AF$22,Model!$B$4:$EX$4,FALSE),FALSE)</f>
        <v>-110.25336569652136</v>
      </c>
      <c r="AG35" s="1445">
        <f ca="1">+VLOOKUP($AI35,Model!$B:$EX,MATCH('Fin Sum'!AG$22,Model!$B$4:$EX$4,FALSE),FALSE)</f>
        <v>-114.90920683704752</v>
      </c>
      <c r="AI35" s="1451" t="s">
        <v>418</v>
      </c>
    </row>
    <row r="36" spans="1:36" ht="11.25" customHeight="1">
      <c r="A36" s="1392"/>
      <c r="B36" s="1449"/>
      <c r="C36" s="1440" t="s">
        <v>1038</v>
      </c>
      <c r="D36" s="1444">
        <f t="shared" ref="D36:I36" ca="1" si="34">D32-D33-D35</f>
        <v>145.84</v>
      </c>
      <c r="E36" s="1444">
        <f t="shared" ca="1" si="34"/>
        <v>188.92099999999999</v>
      </c>
      <c r="F36" s="1444">
        <f t="shared" ca="1" si="34"/>
        <v>223.61599999999999</v>
      </c>
      <c r="G36" s="1444">
        <f t="shared" ca="1" si="34"/>
        <v>245.8</v>
      </c>
      <c r="H36" s="1444">
        <f t="shared" ca="1" si="34"/>
        <v>265.89999999999998</v>
      </c>
      <c r="I36" s="1444">
        <f t="shared" ca="1" si="34"/>
        <v>153.80000000000001</v>
      </c>
      <c r="J36" s="1444">
        <f t="shared" ref="J36:O36" ca="1" si="35">J32-J33-J35</f>
        <v>240.63</v>
      </c>
      <c r="K36" s="1445">
        <f t="shared" ca="1" si="35"/>
        <v>292.12</v>
      </c>
      <c r="L36" s="1445">
        <f t="shared" ca="1" si="35"/>
        <v>332.15000000000003</v>
      </c>
      <c r="M36" s="1445">
        <f t="shared" ca="1" si="35"/>
        <v>407.80999999999995</v>
      </c>
      <c r="N36" s="1445">
        <f t="shared" ca="1" si="35"/>
        <v>415.29000000000008</v>
      </c>
      <c r="O36" s="1445">
        <f t="shared" ca="1" si="35"/>
        <v>412.06495297475249</v>
      </c>
      <c r="P36" s="1445">
        <f t="shared" ref="P36:Q36" ca="1" si="36">P32-P33-P35</f>
        <v>474.75598235639688</v>
      </c>
      <c r="Q36" s="1445">
        <f t="shared" ca="1" si="36"/>
        <v>529.85769490309292</v>
      </c>
      <c r="R36" s="1392"/>
      <c r="S36" s="1392" t="s">
        <v>527</v>
      </c>
      <c r="T36" s="1397">
        <f>Model!CQ206</f>
        <v>0</v>
      </c>
      <c r="U36" s="1397">
        <f>Model!CV206</f>
        <v>0</v>
      </c>
      <c r="V36" s="1397">
        <f>Model!CY206</f>
        <v>0</v>
      </c>
      <c r="W36" s="1397">
        <f>Model!DB206</f>
        <v>0</v>
      </c>
      <c r="X36" s="1397">
        <f>Model!DE206</f>
        <v>0</v>
      </c>
      <c r="Y36" s="1397">
        <f>Model!DH206</f>
        <v>1075.6000000000001</v>
      </c>
      <c r="Z36" s="1397">
        <f>Model!DK206</f>
        <v>2.4</v>
      </c>
      <c r="AA36" s="1413">
        <f>Model!DN206</f>
        <v>-1.1000000000000001</v>
      </c>
      <c r="AB36" s="1413">
        <f ca="1">+VLOOKUP($AI36,Model!$B:$EX,MATCH('Fin Sum'!AB$22,Model!$B$4:$EX$4,FALSE),FALSE)</f>
        <v>-10.7</v>
      </c>
      <c r="AC36" s="1413">
        <f ca="1">+VLOOKUP($AI36,Model!$B:$EX,MATCH('Fin Sum'!AC$22,Model!$B$4:$EX$4,FALSE),FALSE)</f>
        <v>-2.8</v>
      </c>
      <c r="AD36" s="1413">
        <f ca="1">+VLOOKUP($AI36,Model!$B:$EX,MATCH('Fin Sum'!AD$22,Model!$B$4:$EX$4,FALSE),FALSE)</f>
        <v>-52.6</v>
      </c>
      <c r="AE36" s="1413">
        <f ca="1">+VLOOKUP($AI36,Model!$B:$EX,MATCH('Fin Sum'!AE$22,Model!$B$4:$EX$4,FALSE),FALSE)</f>
        <v>-61.1</v>
      </c>
      <c r="AF36" s="1413">
        <f ca="1">+VLOOKUP($AI36,Model!$B:$EX,MATCH('Fin Sum'!AF$22,Model!$B$4:$EX$4,FALSE),FALSE)</f>
        <v>-100</v>
      </c>
      <c r="AG36" s="1413">
        <f ca="1">+VLOOKUP($AI36,Model!$B:$EX,MATCH('Fin Sum'!AG$22,Model!$B$4:$EX$4,FALSE),FALSE)</f>
        <v>-100</v>
      </c>
      <c r="AI36" s="1451" t="s">
        <v>419</v>
      </c>
    </row>
    <row r="37" spans="1:36" ht="11.25" customHeight="1">
      <c r="A37" s="1392"/>
      <c r="B37" s="1449"/>
      <c r="C37" s="1446" t="s">
        <v>1091</v>
      </c>
      <c r="D37" s="1447">
        <f t="shared" ref="D37:K37" ca="1" si="37">IF(AND(D36&lt;&gt;"",D38&lt;&gt;""),-(D36-D38),"")</f>
        <v>0</v>
      </c>
      <c r="E37" s="1447">
        <f t="shared" ca="1" si="37"/>
        <v>0</v>
      </c>
      <c r="F37" s="1447">
        <f t="shared" ca="1" si="37"/>
        <v>0</v>
      </c>
      <c r="G37" s="1447">
        <f t="shared" ca="1" si="37"/>
        <v>0</v>
      </c>
      <c r="H37" s="1447">
        <f t="shared" ca="1" si="37"/>
        <v>0</v>
      </c>
      <c r="I37" s="1447">
        <f t="shared" ca="1" si="37"/>
        <v>0</v>
      </c>
      <c r="J37" s="1447">
        <f t="shared" ca="1" si="37"/>
        <v>0</v>
      </c>
      <c r="K37" s="1448">
        <f t="shared" ca="1" si="37"/>
        <v>12.100000000000023</v>
      </c>
      <c r="L37" s="1448">
        <f ca="1">+L36-L38</f>
        <v>28.951267828842788</v>
      </c>
      <c r="M37" s="1448">
        <f t="shared" ref="M37:P37" ca="1" si="38">+M36-M38</f>
        <v>22.676900348687695</v>
      </c>
      <c r="N37" s="1448">
        <f t="shared" ca="1" si="38"/>
        <v>24.481671173607367</v>
      </c>
      <c r="O37" s="1448">
        <f t="shared" ca="1" si="38"/>
        <v>79.999999999999886</v>
      </c>
      <c r="P37" s="1448">
        <f t="shared" ca="1" si="38"/>
        <v>50.000000000000341</v>
      </c>
      <c r="Q37" s="1448">
        <f t="shared" ref="Q37" ca="1" si="39">+Q36-Q38</f>
        <v>0</v>
      </c>
      <c r="R37" s="1392"/>
      <c r="S37" s="1392" t="s">
        <v>529</v>
      </c>
      <c r="T37" s="1397">
        <f>Model!CQ209</f>
        <v>-72.468999999999994</v>
      </c>
      <c r="U37" s="1397">
        <f>Model!CV209</f>
        <v>-120.093</v>
      </c>
      <c r="V37" s="1397">
        <f>Model!CY209</f>
        <v>-145.53800000000001</v>
      </c>
      <c r="W37" s="1397">
        <f>Model!DB209</f>
        <v>-161.1</v>
      </c>
      <c r="X37" s="1397">
        <f>Model!DE209</f>
        <v>-181.8</v>
      </c>
      <c r="Y37" s="1397">
        <f>Model!DH209</f>
        <v>-193.7</v>
      </c>
      <c r="Z37" s="1397">
        <f>Model!DK209</f>
        <v>-75.599999999999994</v>
      </c>
      <c r="AA37" s="1413">
        <f>Model!DN209</f>
        <v>-194</v>
      </c>
      <c r="AB37" s="1413">
        <f ca="1">+VLOOKUP($AI37,Model!$B:$EX,MATCH('Fin Sum'!AB$22,Model!$B$4:$EX$4,FALSE),FALSE)</f>
        <v>-197.4</v>
      </c>
      <c r="AC37" s="1413">
        <f ca="1">+VLOOKUP($AI37,Model!$B:$EX,MATCH('Fin Sum'!AC$22,Model!$B$4:$EX$4,FALSE),FALSE)</f>
        <v>-245.7</v>
      </c>
      <c r="AD37" s="1413">
        <f ca="1">+VLOOKUP($AI37,Model!$B:$EX,MATCH('Fin Sum'!AD$22,Model!$B$4:$EX$4,FALSE),FALSE)</f>
        <v>-278.2</v>
      </c>
      <c r="AE37" s="1413">
        <f ca="1">+VLOOKUP($AI37,Model!$B:$EX,MATCH('Fin Sum'!AE$22,Model!$B$4:$EX$4,FALSE),FALSE)</f>
        <v>-278.09119152576545</v>
      </c>
      <c r="AF37" s="1413">
        <f ca="1">+VLOOKUP($AI37,Model!$B:$EX,MATCH('Fin Sum'!AF$22,Model!$B$4:$EX$4,FALSE),FALSE)</f>
        <v>-318.14288255005158</v>
      </c>
      <c r="AG37" s="1413">
        <f ca="1">+VLOOKUP($AI37,Model!$B:$EX,MATCH('Fin Sum'!AG$22,Model!$B$4:$EX$4,FALSE),FALSE)</f>
        <v>-353.15895288341994</v>
      </c>
      <c r="AI37" s="1451" t="s">
        <v>818</v>
      </c>
    </row>
    <row r="38" spans="1:36" ht="11.25" customHeight="1">
      <c r="A38" s="1392"/>
      <c r="B38" s="1449" t="s">
        <v>878</v>
      </c>
      <c r="C38" s="1393" t="s">
        <v>1092</v>
      </c>
      <c r="D38" s="1442">
        <f ca="1">+VLOOKUP($B38,Model!$B:$EX,MATCH('Fin Sum'!D$10,Model!$B$4:$EX$4,FALSE),FALSE)</f>
        <v>145.84</v>
      </c>
      <c r="E38" s="1442">
        <f ca="1">+VLOOKUP($B38,Model!$B:$EX,MATCH('Fin Sum'!E$10,Model!$B$4:$EX$4,FALSE),FALSE)</f>
        <v>188.92099999999999</v>
      </c>
      <c r="F38" s="1442">
        <f ca="1">+VLOOKUP($B38,Model!$B:$EX,MATCH('Fin Sum'!F$10,Model!$B$4:$EX$4,FALSE),FALSE)</f>
        <v>223.61599999999999</v>
      </c>
      <c r="G38" s="1442">
        <f ca="1">+VLOOKUP($B38,Model!$B:$EX,MATCH('Fin Sum'!G$10,Model!$B$4:$EX$4,FALSE),FALSE)</f>
        <v>245.8</v>
      </c>
      <c r="H38" s="1442">
        <f ca="1">+VLOOKUP($B38,Model!$B:$EX,MATCH('Fin Sum'!H$10,Model!$B$4:$EX$4,FALSE),FALSE)</f>
        <v>265.89999999999998</v>
      </c>
      <c r="I38" s="1442">
        <f ca="1">+VLOOKUP($B38,Model!$B:$EX,MATCH('Fin Sum'!I$10,Model!$B$4:$EX$4,FALSE),FALSE)</f>
        <v>153.80000000000001</v>
      </c>
      <c r="J38" s="1442">
        <f ca="1">+VLOOKUP($B38,Model!$B:$EX,MATCH('Fin Sum'!J$10,Model!$B$4:$EX$4,FALSE),FALSE)</f>
        <v>240.63</v>
      </c>
      <c r="K38" s="1443">
        <f ca="1">+VLOOKUP($B38,Model!$B:$EX,MATCH('Fin Sum'!K$10,Model!$B$4:$EX$4,FALSE),FALSE)</f>
        <v>304.22000000000003</v>
      </c>
      <c r="L38" s="1443">
        <v>303.19873217115725</v>
      </c>
      <c r="M38" s="1443">
        <v>385.13309965131225</v>
      </c>
      <c r="N38" s="1443">
        <v>390.80832882639271</v>
      </c>
      <c r="O38" s="1443">
        <v>332.0649529747526</v>
      </c>
      <c r="P38" s="1443">
        <v>424.75598235639654</v>
      </c>
      <c r="Q38" s="1443">
        <v>529.85769490309315</v>
      </c>
      <c r="R38" s="1392"/>
      <c r="S38" s="1392" t="s">
        <v>1050</v>
      </c>
      <c r="T38" s="1397">
        <f>Model!CQ210+Model!CQ211</f>
        <v>-7</v>
      </c>
      <c r="U38" s="1397">
        <f>Model!CV210+Model!CV211</f>
        <v>-20</v>
      </c>
      <c r="V38" s="1397">
        <f>Model!CY210+Model!CY211</f>
        <v>26.211999999999989</v>
      </c>
      <c r="W38" s="1397">
        <f>Model!DB210+Model!DB211</f>
        <v>-71.599999999999994</v>
      </c>
      <c r="X38" s="1397">
        <f>Model!DE210+Model!DE211</f>
        <v>33.5</v>
      </c>
      <c r="Y38" s="1397">
        <f>Model!DH210+Model!DH211</f>
        <v>290.89999999999998</v>
      </c>
      <c r="Z38" s="1397">
        <f>Model!DK210+Model!DK211</f>
        <v>-403.1</v>
      </c>
      <c r="AA38" s="1413">
        <f>IFERROR(Model!DN210+Model!DN211,0)</f>
        <v>0</v>
      </c>
      <c r="AB38" s="1413">
        <f ca="1">+VLOOKUP($AI38,Model!$B:$EX,MATCH('Fin Sum'!AB$22,Model!$B$4:$EX$4,FALSE),FALSE)+VLOOKUP($AJ38,Model!$B:$EX,MATCH('Fin Sum'!AB$22,Model!$B$4:$EX$4,FALSE),FALSE)</f>
        <v>0</v>
      </c>
      <c r="AC38" s="1413">
        <f ca="1">+VLOOKUP($AI38,Model!$B:$EX,MATCH('Fin Sum'!AC$22,Model!$B$4:$EX$4,FALSE),FALSE)+VLOOKUP($AJ38,Model!$B:$EX,MATCH('Fin Sum'!AC$22,Model!$B$4:$EX$4,FALSE),FALSE)</f>
        <v>0</v>
      </c>
      <c r="AD38" s="1413">
        <f ca="1">+VLOOKUP($AI38,Model!$B:$EX,MATCH('Fin Sum'!AD$22,Model!$B$4:$EX$4,FALSE),FALSE)+VLOOKUP($AJ38,Model!$B:$EX,MATCH('Fin Sum'!AD$22,Model!$B$4:$EX$4,FALSE),FALSE)</f>
        <v>0</v>
      </c>
      <c r="AE38" s="1413">
        <f ca="1">+VLOOKUP($AI38,Model!$B:$EX,MATCH('Fin Sum'!AE$22,Model!$B$4:$EX$4,FALSE),FALSE)+VLOOKUP($AJ38,Model!$B:$EX,MATCH('Fin Sum'!AE$22,Model!$B$4:$EX$4,FALSE),FALSE)</f>
        <v>15</v>
      </c>
      <c r="AF38" s="1413">
        <f ca="1">+VLOOKUP($AI38,Model!$B:$EX,MATCH('Fin Sum'!AF$22,Model!$B$4:$EX$4,FALSE),FALSE)+VLOOKUP($AJ38,Model!$B:$EX,MATCH('Fin Sum'!AF$22,Model!$B$4:$EX$4,FALSE),FALSE)</f>
        <v>0</v>
      </c>
      <c r="AG38" s="1413">
        <f ca="1">+VLOOKUP($AI38,Model!$B:$EX,MATCH('Fin Sum'!AG$22,Model!$B$4:$EX$4,FALSE),FALSE)+VLOOKUP($AJ38,Model!$B:$EX,MATCH('Fin Sum'!AG$22,Model!$B$4:$EX$4,FALSE),FALSE)</f>
        <v>0</v>
      </c>
      <c r="AI38" s="1451" t="s">
        <v>819</v>
      </c>
      <c r="AJ38" s="1451" t="s">
        <v>554</v>
      </c>
    </row>
    <row r="39" spans="1:36" ht="11.25" customHeight="1">
      <c r="A39" s="1392"/>
      <c r="B39" s="1449"/>
      <c r="C39" s="1392"/>
      <c r="D39" s="1406"/>
      <c r="E39" s="1406"/>
      <c r="F39" s="1406"/>
      <c r="G39" s="1406"/>
      <c r="H39" s="1406"/>
      <c r="I39" s="1406"/>
      <c r="J39" s="1406"/>
      <c r="K39" s="1406"/>
      <c r="L39" s="1406"/>
      <c r="M39" s="1406"/>
      <c r="N39" s="1406"/>
      <c r="O39" s="1406"/>
      <c r="P39" s="1406"/>
      <c r="Q39" s="1406"/>
      <c r="R39" s="1392"/>
      <c r="S39" s="1446" t="s">
        <v>571</v>
      </c>
      <c r="T39" s="1447">
        <f t="shared" ref="T39:AA39" si="40">IF(AND(T30&lt;&gt;"",T41&lt;&gt;""),T41-SUM(T30:T38),"")</f>
        <v>8.6389229103644993E-15</v>
      </c>
      <c r="U39" s="1447">
        <f t="shared" si="40"/>
        <v>9.2029999999999905</v>
      </c>
      <c r="V39" s="1447">
        <f t="shared" si="40"/>
        <v>11.03900000000001</v>
      </c>
      <c r="W39" s="1447">
        <f t="shared" si="40"/>
        <v>-5.6843418860808015E-14</v>
      </c>
      <c r="X39" s="1447">
        <f t="shared" si="40"/>
        <v>7.4000000000000234</v>
      </c>
      <c r="Y39" s="1447">
        <f t="shared" si="40"/>
        <v>-18.300000000000125</v>
      </c>
      <c r="Z39" s="1447">
        <f t="shared" si="40"/>
        <v>-24.699999999999974</v>
      </c>
      <c r="AA39" s="1448">
        <f t="shared" si="40"/>
        <v>-25.60000000000003</v>
      </c>
      <c r="AB39" s="1448">
        <f ca="1">+AB40-SUM(AB36:AB38)</f>
        <v>-102.29999999999998</v>
      </c>
      <c r="AC39" s="1448">
        <f t="shared" ref="AC39:AF39" ca="1" si="41">+AC40-SUM(AC36:AC38)</f>
        <v>-75.300000000000011</v>
      </c>
      <c r="AD39" s="1448">
        <f t="shared" ca="1" si="41"/>
        <v>-36.199999999999989</v>
      </c>
      <c r="AE39" s="1448">
        <f t="shared" ca="1" si="41"/>
        <v>-30.459278640478487</v>
      </c>
      <c r="AF39" s="1448">
        <f t="shared" ca="1" si="41"/>
        <v>-24.011521212980938</v>
      </c>
      <c r="AG39" s="1448">
        <f t="shared" ref="AG39" ca="1" si="42">+AG40-SUM(AG36:AG38)</f>
        <v>-24.926809243305456</v>
      </c>
    </row>
    <row r="40" spans="1:36" ht="11.25" customHeight="1">
      <c r="A40" s="1392"/>
      <c r="B40" s="1449"/>
      <c r="C40" s="1453" t="s">
        <v>942</v>
      </c>
      <c r="D40" s="1454" t="str">
        <f t="shared" ref="D40:I40" si="43">D10</f>
        <v>FY15</v>
      </c>
      <c r="E40" s="1454" t="str">
        <f t="shared" si="43"/>
        <v>FY16</v>
      </c>
      <c r="F40" s="1454" t="str">
        <f t="shared" si="43"/>
        <v>FY17</v>
      </c>
      <c r="G40" s="1454" t="str">
        <f t="shared" si="43"/>
        <v>FY18</v>
      </c>
      <c r="H40" s="1454" t="str">
        <f t="shared" si="43"/>
        <v>FY19</v>
      </c>
      <c r="I40" s="1454" t="str">
        <f t="shared" si="43"/>
        <v>FY20</v>
      </c>
      <c r="J40" s="1454" t="str">
        <f t="shared" ref="J40:P40" si="44">J10</f>
        <v>FY21</v>
      </c>
      <c r="K40" s="1454" t="str">
        <f t="shared" si="44"/>
        <v>FY22</v>
      </c>
      <c r="L40" s="1454" t="str">
        <f t="shared" si="44"/>
        <v>FY23</v>
      </c>
      <c r="M40" s="1454" t="str">
        <f t="shared" si="44"/>
        <v>FY24</v>
      </c>
      <c r="N40" s="1454" t="str">
        <f t="shared" si="44"/>
        <v>FY25</v>
      </c>
      <c r="O40" s="1454" t="str">
        <f t="shared" si="44"/>
        <v>FY26E</v>
      </c>
      <c r="P40" s="1454" t="str">
        <f t="shared" si="44"/>
        <v>FY27E</v>
      </c>
      <c r="Q40" s="1454" t="str">
        <f t="shared" ref="Q40" si="45">Q10</f>
        <v>FY28E</v>
      </c>
      <c r="R40" s="1411"/>
      <c r="S40" s="1440" t="s">
        <v>805</v>
      </c>
      <c r="T40" s="1444"/>
      <c r="U40" s="1444"/>
      <c r="V40" s="1444"/>
      <c r="W40" s="1444"/>
      <c r="X40" s="1444"/>
      <c r="Y40" s="1444"/>
      <c r="Z40" s="1444"/>
      <c r="AA40" s="1445"/>
      <c r="AB40" s="1445">
        <f ca="1">+VLOOKUP($AI40,Model!$B:$EX,MATCH('Fin Sum'!AB$22,Model!$B$4:$EX$4,FALSE),FALSE)</f>
        <v>-310.39999999999998</v>
      </c>
      <c r="AC40" s="1445">
        <f ca="1">+VLOOKUP($AI40,Model!$B:$EX,MATCH('Fin Sum'!AC$22,Model!$B$4:$EX$4,FALSE),FALSE)</f>
        <v>-323.8</v>
      </c>
      <c r="AD40" s="1445">
        <f ca="1">+VLOOKUP($AI40,Model!$B:$EX,MATCH('Fin Sum'!AD$22,Model!$B$4:$EX$4,FALSE),FALSE)</f>
        <v>-367</v>
      </c>
      <c r="AE40" s="1445">
        <f ca="1">+VLOOKUP($AI40,Model!$B:$EX,MATCH('Fin Sum'!AE$22,Model!$B$4:$EX$4,FALSE),FALSE)</f>
        <v>-354.65047016624396</v>
      </c>
      <c r="AF40" s="1445">
        <f ca="1">+VLOOKUP($AI40,Model!$B:$EX,MATCH('Fin Sum'!AF$22,Model!$B$4:$EX$4,FALSE),FALSE)</f>
        <v>-442.15440376303252</v>
      </c>
      <c r="AG40" s="1445">
        <f ca="1">+VLOOKUP($AI40,Model!$B:$EX,MATCH('Fin Sum'!AG$22,Model!$B$4:$EX$4,FALSE),FALSE)</f>
        <v>-478.0857621267254</v>
      </c>
      <c r="AI40" s="1451" t="s">
        <v>805</v>
      </c>
    </row>
    <row r="41" spans="1:36" ht="11.25" customHeight="1">
      <c r="A41" s="1392"/>
      <c r="B41" s="1449"/>
      <c r="C41" s="1384" t="s">
        <v>1051</v>
      </c>
      <c r="L41" s="1452">
        <f ca="1">+L25/L23</f>
        <v>0.75166444740346194</v>
      </c>
      <c r="M41" s="1406">
        <f t="shared" ref="M41:P41" si="46">+M25/M23</f>
        <v>0.75108493490390582</v>
      </c>
      <c r="N41" s="1406">
        <f t="shared" si="46"/>
        <v>0.73885728839460052</v>
      </c>
      <c r="O41" s="1406">
        <f t="shared" si="46"/>
        <v>0.72933157374363733</v>
      </c>
      <c r="P41" s="1406">
        <f t="shared" si="46"/>
        <v>0.7350000000000001</v>
      </c>
      <c r="Q41" s="1406">
        <f t="shared" ref="Q41" si="47">+Q25/Q23</f>
        <v>0.74</v>
      </c>
      <c r="R41" s="1411"/>
      <c r="S41" s="1392" t="s">
        <v>1049</v>
      </c>
      <c r="T41" s="1397">
        <f>Model!CQ216</f>
        <v>2.1999999999999999E-2</v>
      </c>
      <c r="U41" s="1397">
        <f>Model!CV216</f>
        <v>4.0890000000000004</v>
      </c>
      <c r="V41" s="1397">
        <f>Model!CY216</f>
        <v>15.885</v>
      </c>
      <c r="W41" s="1397">
        <f>Model!DB216</f>
        <v>-30</v>
      </c>
      <c r="X41" s="1397">
        <f>Model!DE216</f>
        <v>17.3</v>
      </c>
      <c r="Y41" s="1397">
        <f>Model!DH216</f>
        <v>487</v>
      </c>
      <c r="Z41" s="1397">
        <f>Model!DK216</f>
        <v>50.2</v>
      </c>
      <c r="AA41" s="1413">
        <f>Model!DN216</f>
        <v>16.899999999999999</v>
      </c>
      <c r="AB41" s="1413">
        <f ca="1">+VLOOKUP($AI41,Model!$B:$EX,MATCH('Fin Sum'!AB$22,Model!$B$4:$EX$4,FALSE),FALSE)</f>
        <v>-73.7</v>
      </c>
      <c r="AC41" s="1413">
        <f ca="1">+VLOOKUP($AI41,Model!$B:$EX,MATCH('Fin Sum'!AC$22,Model!$B$4:$EX$4,FALSE),FALSE)</f>
        <v>-40.700000000000003</v>
      </c>
      <c r="AD41" s="1413">
        <f ca="1">+VLOOKUP($AI41,Model!$B:$EX,MATCH('Fin Sum'!AD$22,Model!$B$4:$EX$4,FALSE),FALSE)</f>
        <v>-244.6</v>
      </c>
      <c r="AE41" s="1413">
        <f ca="1">+VLOOKUP($AI41,Model!$B:$EX,MATCH('Fin Sum'!AE$22,Model!$B$4:$EX$4,FALSE),FALSE)</f>
        <v>-172.26125220254983</v>
      </c>
      <c r="AF41" s="1413">
        <f ca="1">+VLOOKUP($AI41,Model!$B:$EX,MATCH('Fin Sum'!AF$22,Model!$B$4:$EX$4,FALSE),FALSE)</f>
        <v>31.393453978633772</v>
      </c>
      <c r="AG41" s="1413">
        <f ca="1">+VLOOKUP($AI41,Model!$B:$EX,MATCH('Fin Sum'!AG$22,Model!$B$4:$EX$4,FALSE),FALSE)</f>
        <v>-1.1617902788531751</v>
      </c>
      <c r="AI41" s="1451" t="s">
        <v>806</v>
      </c>
    </row>
    <row r="42" spans="1:36" ht="11.25" customHeight="1">
      <c r="A42" s="1392"/>
      <c r="B42" s="1449"/>
      <c r="C42" s="1392" t="s">
        <v>1052</v>
      </c>
      <c r="D42" s="1406">
        <f t="shared" ref="D42:Q42" ca="1" si="48">D29/D23</f>
        <v>0.22288697955519648</v>
      </c>
      <c r="E42" s="1406">
        <f t="shared" ca="1" si="48"/>
        <v>0.23252709261877449</v>
      </c>
      <c r="F42" s="1406">
        <f t="shared" ca="1" si="48"/>
        <v>0.25181473827877993</v>
      </c>
      <c r="G42" s="1406">
        <f t="shared" ca="1" si="48"/>
        <v>0.25916659653635249</v>
      </c>
      <c r="H42" s="1406">
        <f t="shared" ca="1" si="48"/>
        <v>0.25227136044085191</v>
      </c>
      <c r="I42" s="1406">
        <f t="shared" ca="1" si="48"/>
        <v>0.1559565197911274</v>
      </c>
      <c r="J42" s="1406">
        <f t="shared" ca="1" si="48"/>
        <v>0.22255528910205169</v>
      </c>
      <c r="K42" s="1406">
        <f t="shared" ca="1" si="48"/>
        <v>0.24492639486278547</v>
      </c>
      <c r="L42" s="1452">
        <f t="shared" ca="1" si="48"/>
        <v>0.22257502816757144</v>
      </c>
      <c r="M42" s="1406">
        <f t="shared" ca="1" si="48"/>
        <v>0.23695863962447972</v>
      </c>
      <c r="N42" s="1406">
        <f t="shared" ca="1" si="48"/>
        <v>0.23516427540538246</v>
      </c>
      <c r="O42" s="1406">
        <f t="shared" ca="1" si="48"/>
        <v>0.21890181549295726</v>
      </c>
      <c r="P42" s="1406">
        <f t="shared" ca="1" si="48"/>
        <v>0.22720908975318452</v>
      </c>
      <c r="Q42" s="1406">
        <f t="shared" ca="1" si="48"/>
        <v>0.23353182982173151</v>
      </c>
      <c r="R42" s="1411"/>
      <c r="S42" s="1392"/>
      <c r="T42" s="1397"/>
      <c r="U42" s="1397"/>
      <c r="V42" s="1397"/>
      <c r="W42" s="1397"/>
      <c r="X42" s="1397"/>
      <c r="Y42" s="1397"/>
      <c r="Z42" s="1397"/>
      <c r="AA42" s="1397"/>
      <c r="AB42" s="1397"/>
      <c r="AC42" s="1397"/>
      <c r="AD42" s="1397"/>
      <c r="AE42" s="1397"/>
      <c r="AF42" s="1397"/>
      <c r="AG42" s="1397"/>
    </row>
    <row r="43" spans="1:36" ht="11.25" customHeight="1">
      <c r="A43" s="1392"/>
      <c r="B43" s="1449"/>
      <c r="C43" s="1632" t="s">
        <v>1098</v>
      </c>
      <c r="D43" s="1633"/>
      <c r="E43" s="1633"/>
      <c r="F43" s="1633"/>
      <c r="G43" s="1633"/>
      <c r="H43" s="1633"/>
      <c r="I43" s="1633"/>
      <c r="J43" s="1633"/>
      <c r="K43" s="1633"/>
      <c r="L43" s="1633"/>
      <c r="M43" s="1634">
        <f ca="1">+M36/M23</f>
        <v>0.18059073598441236</v>
      </c>
      <c r="N43" s="1634">
        <f t="shared" ref="N43:Q43" ca="1" si="49">+N36/N23</f>
        <v>0.17628406486119366</v>
      </c>
      <c r="O43" s="1634">
        <f t="shared" ca="1" si="49"/>
        <v>0.16394942493759126</v>
      </c>
      <c r="P43" s="1634">
        <f t="shared" ca="1" si="49"/>
        <v>0.16855330845813946</v>
      </c>
      <c r="Q43" s="1634">
        <f t="shared" ca="1" si="49"/>
        <v>0.17291620145845327</v>
      </c>
      <c r="R43" s="1411"/>
      <c r="S43" s="1453" t="s">
        <v>941</v>
      </c>
      <c r="T43" s="1454" t="str">
        <f t="shared" ref="T43:AA43" si="50">T22</f>
        <v>FY15</v>
      </c>
      <c r="U43" s="1454" t="str">
        <f t="shared" si="50"/>
        <v>FY16</v>
      </c>
      <c r="V43" s="1454" t="str">
        <f t="shared" si="50"/>
        <v>FY17</v>
      </c>
      <c r="W43" s="1454" t="str">
        <f t="shared" si="50"/>
        <v>FY18</v>
      </c>
      <c r="X43" s="1454" t="str">
        <f t="shared" si="50"/>
        <v>FY19</v>
      </c>
      <c r="Y43" s="1454" t="str">
        <f t="shared" si="50"/>
        <v>FY20</v>
      </c>
      <c r="Z43" s="1454" t="str">
        <f t="shared" si="50"/>
        <v>FY21</v>
      </c>
      <c r="AA43" s="1454" t="str">
        <f t="shared" si="50"/>
        <v>FY22</v>
      </c>
      <c r="AB43" s="1454" t="str">
        <f t="shared" ref="AB43:AG43" si="51">AB22</f>
        <v>FY23</v>
      </c>
      <c r="AC43" s="1454" t="str">
        <f t="shared" si="51"/>
        <v>FY24</v>
      </c>
      <c r="AD43" s="1454" t="str">
        <f t="shared" si="51"/>
        <v>FY25</v>
      </c>
      <c r="AE43" s="1454" t="str">
        <f t="shared" si="51"/>
        <v>FY26E</v>
      </c>
      <c r="AF43" s="1454" t="str">
        <f t="shared" si="51"/>
        <v>FY27E</v>
      </c>
      <c r="AG43" s="1454" t="str">
        <f t="shared" si="51"/>
        <v>FY28E</v>
      </c>
    </row>
    <row r="44" spans="1:36" ht="11.25" customHeight="1">
      <c r="A44" s="1392"/>
      <c r="B44" s="1449" t="s">
        <v>175</v>
      </c>
      <c r="C44" s="1392" t="s">
        <v>315</v>
      </c>
      <c r="D44" s="1406">
        <f>Model!CS343</f>
        <v>0.26982345888922227</v>
      </c>
      <c r="E44" s="1406">
        <f>Model!CV343</f>
        <v>0.31284838997518455</v>
      </c>
      <c r="F44" s="1406">
        <f>Model!CY343</f>
        <v>0.32735567972251672</v>
      </c>
      <c r="G44" s="1406">
        <f>Model!DB343</f>
        <v>0.32527019879853553</v>
      </c>
      <c r="H44" s="1406">
        <f>Model!DE343</f>
        <v>0.2999161101836394</v>
      </c>
      <c r="I44" s="1406">
        <f>Model!DH343</f>
        <v>0.12497706942892521</v>
      </c>
      <c r="J44" s="1406">
        <f>Model!DK343</f>
        <v>0.17404214309900243</v>
      </c>
      <c r="K44" s="1406">
        <f>Model!DN343</f>
        <v>0.22066368300403888</v>
      </c>
      <c r="L44" s="1452">
        <f ca="1">+VLOOKUP($B44,Model!$B:$EX,MATCH('Fin Sum'!L$10,Model!$B$4:$EX$4,FALSE),FALSE)</f>
        <v>0.22582488958170954</v>
      </c>
      <c r="M44" s="1406">
        <f ca="1">+VLOOKUP($B44,Model!$B:$EX,MATCH('Fin Sum'!M$10,Model!$B$4:$EX$4,FALSE),FALSE)</f>
        <v>0.25212618088439698</v>
      </c>
      <c r="N44" s="1406">
        <f ca="1">+VLOOKUP($B44,Model!$B:$EX,MATCH('Fin Sum'!N$10,Model!$B$4:$EX$4,FALSE),FALSE)</f>
        <v>0.23176037483266393</v>
      </c>
      <c r="O44" s="1406">
        <f ca="1">+VLOOKUP($B44,Model!$B:$EX,MATCH('Fin Sum'!O$10,Model!$B$4:$EX$4,FALSE),FALSE)</f>
        <v>0.2097274072866441</v>
      </c>
      <c r="P44" s="1406">
        <f ca="1">+VLOOKUP($B44,Model!$B:$EX,MATCH('Fin Sum'!P$10,Model!$B$4:$EX$4,FALSE),FALSE)</f>
        <v>0.23773214875667203</v>
      </c>
      <c r="Q44" s="1406">
        <f ca="1">+VLOOKUP($B44,Model!$B:$EX,MATCH('Fin Sum'!Q$10,Model!$B$4:$EX$4,FALSE),FALSE)</f>
        <v>0.2623811229153174</v>
      </c>
      <c r="R44" s="1392"/>
      <c r="S44" s="1392" t="s">
        <v>93</v>
      </c>
      <c r="T44" s="1397">
        <f>Model!CQ230</f>
        <v>58.871000000000002</v>
      </c>
      <c r="U44" s="1397">
        <f>Model!CV230</f>
        <v>75.417000000000002</v>
      </c>
      <c r="V44" s="1397">
        <f>Model!CY230</f>
        <v>89.54</v>
      </c>
      <c r="W44" s="1397">
        <f>Model!DB230</f>
        <v>61.5</v>
      </c>
      <c r="X44" s="1397">
        <f>Model!DE230</f>
        <v>78.599999999999994</v>
      </c>
      <c r="Y44" s="1397">
        <f>Model!DH230</f>
        <v>565</v>
      </c>
      <c r="Z44" s="1397">
        <f>Model!DK230</f>
        <v>609.6</v>
      </c>
      <c r="AA44" s="1413">
        <f>Model!DN230</f>
        <v>629.29999999999995</v>
      </c>
      <c r="AB44" s="1413">
        <f ca="1">+VLOOKUP($AI44,Model!$B:$EX,MATCH('Fin Sum'!AB$22,Model!$B$4:$EX$4,FALSE),FALSE)</f>
        <v>555.5</v>
      </c>
      <c r="AC44" s="1413">
        <f ca="1">+VLOOKUP($AI44,Model!$B:$EX,MATCH('Fin Sum'!AC$22,Model!$B$4:$EX$4,FALSE),FALSE)</f>
        <v>513.6</v>
      </c>
      <c r="AD44" s="1413">
        <f ca="1">+VLOOKUP($AI44,Model!$B:$EX,MATCH('Fin Sum'!AD$22,Model!$B$4:$EX$4,FALSE),FALSE)</f>
        <v>275.7</v>
      </c>
      <c r="AE44" s="1413">
        <f ca="1">+VLOOKUP($AI44,Model!$B:$EX,MATCH('Fin Sum'!AE$22,Model!$B$4:$EX$4,FALSE),FALSE)</f>
        <v>100.23874779745012</v>
      </c>
      <c r="AF44" s="1413">
        <f ca="1">+VLOOKUP($AI44,Model!$B:$EX,MATCH('Fin Sum'!AF$22,Model!$B$4:$EX$4,FALSE),FALSE)</f>
        <v>131.63220177608389</v>
      </c>
      <c r="AG44" s="1413">
        <f ca="1">+VLOOKUP($AI44,Model!$B:$EX,MATCH('Fin Sum'!AG$22,Model!$B$4:$EX$4,FALSE),FALSE)</f>
        <v>130.47041149723071</v>
      </c>
      <c r="AI44" s="1451" t="s">
        <v>93</v>
      </c>
    </row>
    <row r="45" spans="1:36" ht="11.25" customHeight="1">
      <c r="A45" s="1392"/>
      <c r="B45" s="1449" t="s">
        <v>176</v>
      </c>
      <c r="C45" s="1392" t="s">
        <v>4</v>
      </c>
      <c r="D45" s="1406">
        <f>Model!CS344</f>
        <v>0.4430066372017436</v>
      </c>
      <c r="E45" s="1406">
        <f>Model!CV344</f>
        <v>0.53159381630114866</v>
      </c>
      <c r="F45" s="1406">
        <f>Model!CY344</f>
        <v>0.49852304166471589</v>
      </c>
      <c r="G45" s="1406">
        <f>Model!DB344</f>
        <v>0.45213162217394742</v>
      </c>
      <c r="H45" s="1406">
        <f>Model!DE344</f>
        <v>0.43533071381794369</v>
      </c>
      <c r="I45" s="1406">
        <f>Model!DH344</f>
        <v>-0.32828213252514121</v>
      </c>
      <c r="J45" s="1406">
        <f>Model!DK344</f>
        <v>0.16976810560114161</v>
      </c>
      <c r="K45" s="1406">
        <f>Model!DN344</f>
        <v>0.17166363048715991</v>
      </c>
      <c r="L45" s="1452">
        <f ca="1">+VLOOKUP($B45,Model!$B:$EX,MATCH('Fin Sum'!L$10,Model!$B$4:$EX$4,FALSE),FALSE)</f>
        <v>0.19703980542207988</v>
      </c>
      <c r="M45" s="1406">
        <f ca="1">+VLOOKUP($B45,Model!$B:$EX,MATCH('Fin Sum'!M$10,Model!$B$4:$EX$4,FALSE),FALSE)</f>
        <v>0.23319419030192132</v>
      </c>
      <c r="N45" s="1406">
        <f ca="1">+VLOOKUP($B45,Model!$B:$EX,MATCH('Fin Sum'!N$10,Model!$B$4:$EX$4,FALSE),FALSE)</f>
        <v>0.22563977180114103</v>
      </c>
      <c r="O45" s="1406">
        <f ca="1">+VLOOKUP($B45,Model!$B:$EX,MATCH('Fin Sum'!O$10,Model!$B$4:$EX$4,FALSE),FALSE)</f>
        <v>0.21128285544518921</v>
      </c>
      <c r="P45" s="1406">
        <f ca="1">+VLOOKUP($B45,Model!$B:$EX,MATCH('Fin Sum'!P$10,Model!$B$4:$EX$4,FALSE),FALSE)</f>
        <v>0.24552020709048733</v>
      </c>
      <c r="Q45" s="1406">
        <f ca="1">+VLOOKUP($B45,Model!$B:$EX,MATCH('Fin Sum'!Q$10,Model!$B$4:$EX$4,FALSE),FALSE)</f>
        <v>0.27308214341063158</v>
      </c>
      <c r="R45" s="1392"/>
      <c r="S45" s="1392" t="s">
        <v>683</v>
      </c>
      <c r="T45" s="1397">
        <f>Model!CQ231</f>
        <v>227.32900000000001</v>
      </c>
      <c r="U45" s="1397">
        <f>Model!CV231</f>
        <v>281.92500000000001</v>
      </c>
      <c r="V45" s="1397">
        <f>Model!CY231</f>
        <v>292.13900000000001</v>
      </c>
      <c r="W45" s="1397">
        <f>Model!DB231</f>
        <v>316.7</v>
      </c>
      <c r="X45" s="1397">
        <f>Model!DE231</f>
        <v>319.7</v>
      </c>
      <c r="Y45" s="1397">
        <f>Model!DH231</f>
        <v>235.5</v>
      </c>
      <c r="Z45" s="1397">
        <f>Model!DK231</f>
        <v>296.3</v>
      </c>
      <c r="AA45" s="1413">
        <f>Model!DN231</f>
        <v>348.5</v>
      </c>
      <c r="AB45" s="1413">
        <f ca="1">+VLOOKUP($AI45,Model!$B:$EX,MATCH('Fin Sum'!AB$22,Model!$B$4:$EX$4,FALSE),FALSE)</f>
        <v>437.5</v>
      </c>
      <c r="AC45" s="1413">
        <f ca="1">+VLOOKUP($AI45,Model!$B:$EX,MATCH('Fin Sum'!AC$22,Model!$B$4:$EX$4,FALSE),FALSE)</f>
        <v>490.7</v>
      </c>
      <c r="AD45" s="1413">
        <f ca="1">+VLOOKUP($AI45,Model!$B:$EX,MATCH('Fin Sum'!AD$22,Model!$B$4:$EX$4,FALSE),FALSE)</f>
        <v>585.9</v>
      </c>
      <c r="AE45" s="1413">
        <f ca="1">+VLOOKUP($AI45,Model!$B:$EX,MATCH('Fin Sum'!AE$22,Model!$B$4:$EX$4,FALSE),FALSE)</f>
        <v>590.94867202945613</v>
      </c>
      <c r="AF45" s="1413">
        <f ca="1">+VLOOKUP($AI45,Model!$B:$EX,MATCH('Fin Sum'!AF$22,Model!$B$4:$EX$4,FALSE),FALSE)</f>
        <v>621.9420629034538</v>
      </c>
      <c r="AG45" s="1413">
        <f ca="1">+VLOOKUP($AI45,Model!$B:$EX,MATCH('Fin Sum'!AG$22,Model!$B$4:$EX$4,FALSE),FALSE)</f>
        <v>658.8127858657391</v>
      </c>
      <c r="AI45" s="1451" t="s">
        <v>94</v>
      </c>
    </row>
    <row r="46" spans="1:36" ht="11.25" customHeight="1">
      <c r="A46" s="1392"/>
      <c r="B46" s="1449" t="s">
        <v>573</v>
      </c>
      <c r="C46" s="1392" t="s">
        <v>5</v>
      </c>
      <c r="D46" s="1397">
        <f>Model!CS366</f>
        <v>1.3410868154147766</v>
      </c>
      <c r="E46" s="1397">
        <f>Model!CV366</f>
        <v>1.4363783686178662</v>
      </c>
      <c r="F46" s="1397">
        <f>Model!CY366</f>
        <v>1.4290960048450816</v>
      </c>
      <c r="G46" s="1397">
        <f>Model!DB366</f>
        <v>1.4224174518144805</v>
      </c>
      <c r="H46" s="1397">
        <f>Model!DE366</f>
        <v>1.39635904135668</v>
      </c>
      <c r="I46" s="1397">
        <f>Model!DH366</f>
        <v>1.6106558669634494</v>
      </c>
      <c r="J46" s="1397">
        <f>Model!DK366</f>
        <v>1.4097452552996974</v>
      </c>
      <c r="K46" s="1397">
        <f>Model!DN366</f>
        <v>1.3957393947868169</v>
      </c>
      <c r="L46" s="1397">
        <f ca="1">+VLOOKUP($B46,Model!$B:$EX,MATCH('Fin Sum'!L$10,Model!$B$4:$EX$4,FALSE),FALSE)</f>
        <v>1.4034321818731792</v>
      </c>
      <c r="M46" s="1397">
        <f ca="1">+VLOOKUP($B46,Model!$B:$EX,MATCH('Fin Sum'!M$10,Model!$B$4:$EX$4,FALSE),FALSE)</f>
        <v>1.4349247431057905</v>
      </c>
      <c r="N46" s="1397">
        <f ca="1">+VLOOKUP($B46,Model!$B:$EX,MATCH('Fin Sum'!N$10,Model!$B$4:$EX$4,FALSE),FALSE)</f>
        <v>1.4211378515798592</v>
      </c>
      <c r="O46" s="1397">
        <f ca="1">+VLOOKUP($B46,Model!$B:$EX,MATCH('Fin Sum'!O$10,Model!$B$4:$EX$4,FALSE),FALSE)</f>
        <v>1.4126766246849449</v>
      </c>
      <c r="P46" s="1397">
        <f ca="1">+VLOOKUP($B46,Model!$B:$EX,MATCH('Fin Sum'!P$10,Model!$B$4:$EX$4,FALSE),FALSE)</f>
        <v>1.4123878088683677</v>
      </c>
      <c r="Q46" s="1397">
        <f ca="1">+VLOOKUP($B46,Model!$B:$EX,MATCH('Fin Sum'!Q$10,Model!$B$4:$EX$4,FALSE),FALSE)</f>
        <v>1.4123880903464587</v>
      </c>
      <c r="R46" s="1392"/>
      <c r="S46" s="1392" t="s">
        <v>684</v>
      </c>
      <c r="T46" s="1397">
        <f>Model!CQ236</f>
        <v>138.495</v>
      </c>
      <c r="U46" s="1397">
        <f>Model!CV236</f>
        <v>165.55700000000002</v>
      </c>
      <c r="V46" s="1397">
        <f>Model!CY236</f>
        <v>178.441</v>
      </c>
      <c r="W46" s="1397">
        <f>Model!DB236</f>
        <v>167.4</v>
      </c>
      <c r="X46" s="1397">
        <f>Model!DE236</f>
        <v>195.4</v>
      </c>
      <c r="Y46" s="1397">
        <f>Model!DH236</f>
        <v>223.8</v>
      </c>
      <c r="Z46" s="1397">
        <f>Model!DK236</f>
        <v>216.1</v>
      </c>
      <c r="AA46" s="1413">
        <f>Model!DN236</f>
        <v>270.2</v>
      </c>
      <c r="AB46" s="1413">
        <f ca="1">+VLOOKUP($AI46,Model!$B:$EX,MATCH('Fin Sum'!AB$22,Model!$B$4:$EX$4,FALSE),FALSE)</f>
        <v>311.5</v>
      </c>
      <c r="AC46" s="1413">
        <f ca="1">+VLOOKUP($AI46,Model!$B:$EX,MATCH('Fin Sum'!AC$22,Model!$B$4:$EX$4,FALSE),FALSE)</f>
        <v>391.6</v>
      </c>
      <c r="AD46" s="1413">
        <f ca="1">+VLOOKUP($AI46,Model!$B:$EX,MATCH('Fin Sum'!AD$22,Model!$B$4:$EX$4,FALSE),FALSE)</f>
        <v>499.4</v>
      </c>
      <c r="AE46" s="1413">
        <f ca="1">+VLOOKUP($AI46,Model!$B:$EX,MATCH('Fin Sum'!AE$22,Model!$B$4:$EX$4,FALSE),FALSE)</f>
        <v>608.5793036854194</v>
      </c>
      <c r="AF46" s="1413">
        <f ca="1">+VLOOKUP($AI46,Model!$B:$EX,MATCH('Fin Sum'!AF$22,Model!$B$4:$EX$4,FALSE),FALSE)</f>
        <v>621.9420629034538</v>
      </c>
      <c r="AG46" s="1413">
        <f ca="1">+VLOOKUP($AI46,Model!$B:$EX,MATCH('Fin Sum'!AG$22,Model!$B$4:$EX$4,FALSE),FALSE)</f>
        <v>658.8127858657391</v>
      </c>
      <c r="AI46" s="1451" t="s">
        <v>152</v>
      </c>
    </row>
    <row r="47" spans="1:36" ht="11.25" customHeight="1">
      <c r="A47" s="1392"/>
      <c r="B47" s="1449" t="s">
        <v>973</v>
      </c>
      <c r="C47" s="1392" t="s">
        <v>977</v>
      </c>
      <c r="D47" s="1397">
        <f>Model!CS329</f>
        <v>140.50299999999999</v>
      </c>
      <c r="E47" s="1397">
        <f>Model!CV329</f>
        <v>117.821</v>
      </c>
      <c r="F47" s="1397">
        <f>Model!CY329</f>
        <v>129.38200000000001</v>
      </c>
      <c r="G47" s="1397">
        <f>Model!DB329</f>
        <v>86.199999999999989</v>
      </c>
      <c r="H47" s="1397">
        <f>Model!DE329</f>
        <v>103.00000000000003</v>
      </c>
      <c r="I47" s="1397">
        <f>Model!DH329</f>
        <v>-92.100000000000023</v>
      </c>
      <c r="J47" s="1397">
        <f>Model!DK329</f>
        <v>-564.6</v>
      </c>
      <c r="K47" s="1397">
        <f>Model!DN329</f>
        <v>-586.69999999999993</v>
      </c>
      <c r="L47" s="1397">
        <f ca="1">+VLOOKUP($B47,Model!$B:$EX,MATCH('Fin Sum'!L$10,Model!$B$4:$EX$4,FALSE),FALSE)</f>
        <v>-555.5</v>
      </c>
      <c r="M47" s="1397">
        <f ca="1">+VLOOKUP($B47,Model!$B:$EX,MATCH('Fin Sum'!M$10,Model!$B$4:$EX$4,FALSE),FALSE)</f>
        <v>-513.6</v>
      </c>
      <c r="N47" s="1397">
        <f ca="1">+VLOOKUP($B47,Model!$B:$EX,MATCH('Fin Sum'!N$10,Model!$B$4:$EX$4,FALSE),FALSE)</f>
        <v>-275.7</v>
      </c>
      <c r="O47" s="1397">
        <f ca="1">+VLOOKUP($B47,Model!$B:$EX,MATCH('Fin Sum'!O$10,Model!$B$4:$EX$4,FALSE),FALSE)</f>
        <v>-100.23874779745012</v>
      </c>
      <c r="P47" s="1397">
        <f ca="1">+VLOOKUP($B47,Model!$B:$EX,MATCH('Fin Sum'!P$10,Model!$B$4:$EX$4,FALSE),FALSE)</f>
        <v>-131.63220177608389</v>
      </c>
      <c r="Q47" s="1397">
        <f ca="1">+VLOOKUP($B47,Model!$B:$EX,MATCH('Fin Sum'!Q$10,Model!$B$4:$EX$4,FALSE),FALSE)</f>
        <v>-130.47041149723071</v>
      </c>
      <c r="R47" s="1392"/>
      <c r="S47" s="1446" t="s">
        <v>571</v>
      </c>
      <c r="T47" s="1447">
        <f t="shared" ref="T47:AB47" si="52">IF(T48&lt;&gt;"",T48-SUM(T44:T46),"")</f>
        <v>23.173000000000002</v>
      </c>
      <c r="U47" s="1447">
        <f t="shared" si="52"/>
        <v>20.129000000000019</v>
      </c>
      <c r="V47" s="1447">
        <f t="shared" si="52"/>
        <v>25.840000000000032</v>
      </c>
      <c r="W47" s="1447">
        <f t="shared" si="52"/>
        <v>38.600000000000023</v>
      </c>
      <c r="X47" s="1447">
        <f t="shared" si="52"/>
        <v>41.299999999999955</v>
      </c>
      <c r="Y47" s="1447">
        <f t="shared" si="52"/>
        <v>453.20000000000005</v>
      </c>
      <c r="Z47" s="1447">
        <f t="shared" si="52"/>
        <v>108</v>
      </c>
      <c r="AA47" s="1448">
        <f t="shared" si="52"/>
        <v>79</v>
      </c>
      <c r="AB47" s="1448">
        <f t="shared" ca="1" si="52"/>
        <v>57</v>
      </c>
      <c r="AC47" s="1448">
        <f ca="1">IF(AC48&lt;&gt;"",AC48-SUM(AC44:AC46),"")</f>
        <v>56.200000000000045</v>
      </c>
      <c r="AD47" s="1448">
        <f ca="1">IF(AD48&lt;&gt;"",AD48-SUM(AD44:AD46),"")</f>
        <v>55.799999999999955</v>
      </c>
      <c r="AE47" s="1448">
        <f ca="1">IF(AE48&lt;&gt;"",AE48-SUM(AE44:AE46),"")</f>
        <v>70</v>
      </c>
      <c r="AF47" s="1448">
        <f ca="1">IF(AF48&lt;&gt;"",AF48-SUM(AF44:AF46),"")</f>
        <v>70</v>
      </c>
      <c r="AG47" s="1448">
        <f ca="1">IF(AG48&lt;&gt;"",AG48-SUM(AG44:AG46),"")</f>
        <v>70</v>
      </c>
    </row>
    <row r="48" spans="1:36" ht="11.25" customHeight="1">
      <c r="A48" s="1392"/>
      <c r="B48" s="1449" t="s">
        <v>974</v>
      </c>
      <c r="C48" s="1392" t="s">
        <v>978</v>
      </c>
      <c r="D48" s="1397"/>
      <c r="E48" s="1397"/>
      <c r="F48" s="1397"/>
      <c r="G48" s="1397">
        <f>Model!DB330</f>
        <v>86.199999999999989</v>
      </c>
      <c r="H48" s="1397">
        <f>Model!DE330</f>
        <v>103.00000000000003</v>
      </c>
      <c r="I48" s="1397">
        <f>Model!DH330</f>
        <v>139.39999999999998</v>
      </c>
      <c r="J48" s="1397">
        <f>Model!DK330</f>
        <v>-345.3</v>
      </c>
      <c r="K48" s="1397">
        <f>Model!DN330</f>
        <v>-375.4</v>
      </c>
      <c r="L48" s="1397">
        <f ca="1">+VLOOKUP($B48,Model!$B:$EX,MATCH('Fin Sum'!L$10,Model!$B$4:$EX$4,FALSE),FALSE)</f>
        <v>-353.7</v>
      </c>
      <c r="M48" s="1397">
        <f ca="1">+VLOOKUP($B48,Model!$B:$EX,MATCH('Fin Sum'!M$10,Model!$B$4:$EX$4,FALSE),FALSE)</f>
        <v>-269.90000000000003</v>
      </c>
      <c r="N48" s="1397">
        <f ca="1">+VLOOKUP($B48,Model!$B:$EX,MATCH('Fin Sum'!N$10,Model!$B$4:$EX$4,FALSE),FALSE)</f>
        <v>-40</v>
      </c>
      <c r="O48" s="1397">
        <f ca="1">+VLOOKUP($B48,Model!$B:$EX,MATCH('Fin Sum'!O$10,Model!$B$4:$EX$4,FALSE),FALSE)</f>
        <v>116.00197356207138</v>
      </c>
      <c r="P48" s="1397">
        <f ca="1">+VLOOKUP($B48,Model!$B:$EX,MATCH('Fin Sum'!P$10,Model!$B$4:$EX$4,FALSE),FALSE)</f>
        <v>60.596998370456674</v>
      </c>
      <c r="Q48" s="1397">
        <f ca="1">+VLOOKUP($B48,Model!$B:$EX,MATCH('Fin Sum'!Q$10,Model!$B$4:$EX$4,FALSE),FALSE)</f>
        <v>36.831979406004393</v>
      </c>
      <c r="R48" s="1392"/>
      <c r="S48" s="1393" t="s">
        <v>919</v>
      </c>
      <c r="T48" s="1442">
        <f>Model!CQ244</f>
        <v>447.86799999999999</v>
      </c>
      <c r="U48" s="1442">
        <f>Model!CV244</f>
        <v>543.02800000000002</v>
      </c>
      <c r="V48" s="1442">
        <f>Model!CY244</f>
        <v>585.96</v>
      </c>
      <c r="W48" s="1442">
        <f>Model!DB244</f>
        <v>584.20000000000005</v>
      </c>
      <c r="X48" s="1442">
        <f>Model!DE244</f>
        <v>634.99999999999989</v>
      </c>
      <c r="Y48" s="1442">
        <f>Model!DH244</f>
        <v>1477.5</v>
      </c>
      <c r="Z48" s="1442">
        <f>Model!DK244</f>
        <v>1230</v>
      </c>
      <c r="AA48" s="1443">
        <f>Model!DN244</f>
        <v>1327</v>
      </c>
      <c r="AB48" s="1443">
        <f ca="1">+VLOOKUP($AI48,Model!$B:$EX,MATCH('Fin Sum'!AB$22,Model!$B$4:$EX$4,FALSE),FALSE)</f>
        <v>1361.5</v>
      </c>
      <c r="AC48" s="1443">
        <f ca="1">+VLOOKUP($AI48,Model!$B:$EX,MATCH('Fin Sum'!AC$22,Model!$B$4:$EX$4,FALSE),FALSE)</f>
        <v>1452.1000000000001</v>
      </c>
      <c r="AD48" s="1443">
        <f ca="1">+VLOOKUP($AI48,Model!$B:$EX,MATCH('Fin Sum'!AD$22,Model!$B$4:$EX$4,FALSE),FALSE)</f>
        <v>1416.8</v>
      </c>
      <c r="AE48" s="1443">
        <f ca="1">+VLOOKUP($AI48,Model!$B:$EX,MATCH('Fin Sum'!AE$22,Model!$B$4:$EX$4,FALSE),FALSE)</f>
        <v>1369.7667235123258</v>
      </c>
      <c r="AF48" s="1443">
        <f ca="1">+VLOOKUP($AI48,Model!$B:$EX,MATCH('Fin Sum'!AF$22,Model!$B$4:$EX$4,FALSE),FALSE)</f>
        <v>1445.5163275829914</v>
      </c>
      <c r="AG48" s="1443">
        <f ca="1">+VLOOKUP($AI48,Model!$B:$EX,MATCH('Fin Sum'!AG$22,Model!$B$4:$EX$4,FALSE),FALSE)</f>
        <v>1518.095983228709</v>
      </c>
      <c r="AI48" s="1451" t="s">
        <v>714</v>
      </c>
    </row>
    <row r="49" spans="1:50" ht="11.25" customHeight="1">
      <c r="A49" s="1392"/>
      <c r="B49" s="1449" t="s">
        <v>864</v>
      </c>
      <c r="C49" s="1392" t="s">
        <v>477</v>
      </c>
      <c r="D49" s="1406">
        <f>Model!CS328</f>
        <v>0.28333558518136115</v>
      </c>
      <c r="E49" s="1406">
        <f>Model!CV328</f>
        <v>0.20802538234182824</v>
      </c>
      <c r="F49" s="1406">
        <f>Model!CY328</f>
        <v>0.19223837308644948</v>
      </c>
      <c r="G49" s="1406">
        <f>Model!DB328</f>
        <v>0.12367288378766139</v>
      </c>
      <c r="H49" s="1406">
        <f>Model!DE328</f>
        <v>0.12426106888647609</v>
      </c>
      <c r="I49" s="1406">
        <f>Model!DH328</f>
        <v>-7.0337559187414092E-2</v>
      </c>
      <c r="J49" s="1406">
        <f>Model!DK328</f>
        <v>-0.49652625098935893</v>
      </c>
      <c r="K49" s="1406">
        <f>Model!DN328</f>
        <v>-0.5338489535941765</v>
      </c>
      <c r="L49" s="1452">
        <f ca="1">+VLOOKUP($B49,Model!$B:$EX,MATCH('Fin Sum'!L$10,Model!$B$4:$EX$4,FALSE),FALSE)</f>
        <v>-0.46551579653062947</v>
      </c>
      <c r="M49" s="1452">
        <f ca="1">+VLOOKUP($B49,Model!$B:$EX,MATCH('Fin Sum'!M$10,Model!$B$4:$EX$4,FALSE),FALSE)</f>
        <v>-0.38706760117567263</v>
      </c>
      <c r="N49" s="1452">
        <f ca="1">+VLOOKUP($B49,Model!$B:$EX,MATCH('Fin Sum'!N$10,Model!$B$4:$EX$4,FALSE),FALSE)</f>
        <v>-0.16463633106413472</v>
      </c>
      <c r="O49" s="1452">
        <f ca="1">+VLOOKUP($B49,Model!$B:$EX,MATCH('Fin Sum'!O$10,Model!$B$4:$EX$4,FALSE),FALSE)</f>
        <v>-5.4672648362818661E-2</v>
      </c>
      <c r="P49" s="1452">
        <f ca="1">+VLOOKUP($B49,Model!$B:$EX,MATCH('Fin Sum'!P$10,Model!$B$4:$EX$4,FALSE),FALSE)</f>
        <v>-7.2779068732769417E-2</v>
      </c>
      <c r="Q49" s="1452">
        <f ca="1">+VLOOKUP($B49,Model!$B:$EX,MATCH('Fin Sum'!Q$10,Model!$B$4:$EX$4,FALSE),FALSE)</f>
        <v>-6.9159480965685069E-2</v>
      </c>
      <c r="R49" s="1392"/>
      <c r="S49" s="1392" t="s">
        <v>685</v>
      </c>
      <c r="T49" s="1397">
        <f>Model!CQ247</f>
        <v>75.122</v>
      </c>
      <c r="U49" s="1397">
        <f>Model!CV247</f>
        <v>86.878</v>
      </c>
      <c r="V49" s="1397">
        <f>Model!CY247</f>
        <v>120.107</v>
      </c>
      <c r="W49" s="1397">
        <f>Model!DB247</f>
        <v>128.4</v>
      </c>
      <c r="X49" s="1397">
        <f>Model!DE247</f>
        <v>166.5</v>
      </c>
      <c r="Y49" s="1397">
        <f>Model!DH247</f>
        <v>230.5</v>
      </c>
      <c r="Z49" s="1397">
        <f>Model!DK247</f>
        <v>239.5</v>
      </c>
      <c r="AA49" s="1413">
        <f>Model!DN247</f>
        <v>260.2</v>
      </c>
      <c r="AB49" s="1413">
        <f ca="1">+VLOOKUP($AI49,Model!$B:$EX,MATCH('Fin Sum'!AB$22,Model!$B$4:$EX$4,FALSE),FALSE)</f>
        <v>276.7</v>
      </c>
      <c r="AC49" s="1413">
        <f ca="1">+VLOOKUP($AI49,Model!$B:$EX,MATCH('Fin Sum'!AC$22,Model!$B$4:$EX$4,FALSE),FALSE)</f>
        <v>304.8</v>
      </c>
      <c r="AD49" s="1413">
        <f ca="1">+VLOOKUP($AI49,Model!$B:$EX,MATCH('Fin Sum'!AD$22,Model!$B$4:$EX$4,FALSE),FALSE)</f>
        <v>332.7</v>
      </c>
      <c r="AE49" s="1413">
        <f ca="1">+VLOOKUP($AI49,Model!$B:$EX,MATCH('Fin Sum'!AE$22,Model!$B$4:$EX$4,FALSE),FALSE)</f>
        <v>364.43169725880045</v>
      </c>
      <c r="AF49" s="1413">
        <f ca="1">+VLOOKUP($AI49,Model!$B:$EX,MATCH('Fin Sum'!AF$22,Model!$B$4:$EX$4,FALSE),FALSE)</f>
        <v>401.78154835396828</v>
      </c>
      <c r="AG49" s="1413">
        <f ca="1">+VLOOKUP($AI49,Model!$B:$EX,MATCH('Fin Sum'!AG$22,Model!$B$4:$EX$4,FALSE),FALSE)</f>
        <v>455.40584487792381</v>
      </c>
      <c r="AI49" s="1451" t="s">
        <v>716</v>
      </c>
    </row>
    <row r="50" spans="1:50" ht="11.25" customHeight="1">
      <c r="A50" s="1392"/>
      <c r="B50" s="1449"/>
      <c r="C50" s="1392"/>
      <c r="D50" s="1397"/>
      <c r="E50" s="1397"/>
      <c r="F50" s="1397"/>
      <c r="G50" s="1397"/>
      <c r="H50" s="1397"/>
      <c r="I50" s="1397"/>
      <c r="J50" s="1397"/>
      <c r="K50" s="1397"/>
      <c r="L50" s="1397"/>
      <c r="M50" s="1397"/>
      <c r="N50" s="1397"/>
      <c r="O50" s="1397"/>
      <c r="P50" s="1397"/>
      <c r="Q50" s="1397"/>
      <c r="R50" s="1392"/>
      <c r="S50" s="1392" t="s">
        <v>526</v>
      </c>
      <c r="T50" s="1397" t="str">
        <f>Model!CQ250</f>
        <v/>
      </c>
      <c r="U50" s="1397">
        <f>Model!CV250</f>
        <v>13.755000000000001</v>
      </c>
      <c r="V50" s="1397">
        <f>Model!CY250</f>
        <v>15.064</v>
      </c>
      <c r="W50" s="1397">
        <f>Model!DB250</f>
        <v>15.8</v>
      </c>
      <c r="X50" s="1397">
        <f>Model!DE250</f>
        <v>47.8</v>
      </c>
      <c r="Y50" s="1397">
        <f>Model!DH250</f>
        <v>94.9</v>
      </c>
      <c r="Z50" s="1397">
        <f>Model!DK250</f>
        <v>199.5</v>
      </c>
      <c r="AA50" s="1413">
        <f>Model!DN250</f>
        <v>119.1</v>
      </c>
      <c r="AB50" s="1413">
        <f ca="1">+VLOOKUP($AI50,Model!$B:$EX,MATCH('Fin Sum'!AB$22,Model!$B$4:$EX$4,FALSE),FALSE)</f>
        <v>93.8</v>
      </c>
      <c r="AC50" s="1413">
        <f ca="1">+VLOOKUP($AI50,Model!$B:$EX,MATCH('Fin Sum'!AC$22,Model!$B$4:$EX$4,FALSE),FALSE)</f>
        <v>80.5</v>
      </c>
      <c r="AD50" s="1413">
        <f ca="1">+VLOOKUP($AI50,Model!$B:$EX,MATCH('Fin Sum'!AD$22,Model!$B$4:$EX$4,FALSE),FALSE)</f>
        <v>76.900000000000006</v>
      </c>
      <c r="AE50" s="1413">
        <f ca="1">+VLOOKUP($AI50,Model!$B:$EX,MATCH('Fin Sum'!AE$22,Model!$B$4:$EX$4,FALSE),FALSE)</f>
        <v>42</v>
      </c>
      <c r="AF50" s="1413">
        <f ca="1">+VLOOKUP($AI50,Model!$B:$EX,MATCH('Fin Sum'!AF$22,Model!$B$4:$EX$4,FALSE),FALSE)</f>
        <v>-8</v>
      </c>
      <c r="AG50" s="1413">
        <f ca="1">+VLOOKUP($AI50,Model!$B:$EX,MATCH('Fin Sum'!AG$22,Model!$B$4:$EX$4,FALSE),FALSE)</f>
        <v>-8</v>
      </c>
      <c r="AI50" s="1451" t="s">
        <v>719</v>
      </c>
    </row>
    <row r="51" spans="1:50" ht="11.25" customHeight="1">
      <c r="A51" s="1392"/>
      <c r="B51" s="1449"/>
      <c r="C51" s="1453" t="s">
        <v>947</v>
      </c>
      <c r="D51" s="1454" t="str">
        <f t="shared" ref="D51:P51" si="53">+D40</f>
        <v>FY15</v>
      </c>
      <c r="E51" s="1454" t="str">
        <f t="shared" si="53"/>
        <v>FY16</v>
      </c>
      <c r="F51" s="1454" t="str">
        <f t="shared" si="53"/>
        <v>FY17</v>
      </c>
      <c r="G51" s="1454" t="str">
        <f t="shared" si="53"/>
        <v>FY18</v>
      </c>
      <c r="H51" s="1454" t="str">
        <f t="shared" si="53"/>
        <v>FY19</v>
      </c>
      <c r="I51" s="1454" t="str">
        <f t="shared" si="53"/>
        <v>FY20</v>
      </c>
      <c r="J51" s="1454" t="str">
        <f t="shared" si="53"/>
        <v>FY21</v>
      </c>
      <c r="K51" s="1454" t="str">
        <f t="shared" si="53"/>
        <v>FY22</v>
      </c>
      <c r="L51" s="1454" t="str">
        <f t="shared" si="53"/>
        <v>FY23</v>
      </c>
      <c r="M51" s="1454" t="str">
        <f t="shared" si="53"/>
        <v>FY24</v>
      </c>
      <c r="N51" s="1454" t="str">
        <f t="shared" si="53"/>
        <v>FY25</v>
      </c>
      <c r="O51" s="1454" t="str">
        <f t="shared" si="53"/>
        <v>FY26E</v>
      </c>
      <c r="P51" s="1454" t="str">
        <f t="shared" si="53"/>
        <v>FY27E</v>
      </c>
      <c r="Q51" s="1454" t="str">
        <f t="shared" ref="Q51" si="54">+Q40</f>
        <v>FY28E</v>
      </c>
      <c r="R51" s="1392"/>
      <c r="S51" s="1392" t="s">
        <v>319</v>
      </c>
      <c r="T51" s="1397">
        <f>Model!CQ253</f>
        <v>231.304</v>
      </c>
      <c r="U51" s="1397">
        <f>Model!CV253</f>
        <v>224.33799999999999</v>
      </c>
      <c r="V51" s="1397">
        <f>Model!CY253</f>
        <v>339.976</v>
      </c>
      <c r="W51" s="1397">
        <f>Model!DB252</f>
        <v>345.3</v>
      </c>
      <c r="X51" s="1397">
        <f>Model!DE252</f>
        <v>424.4</v>
      </c>
      <c r="Y51" s="1397">
        <f>Model!DH252</f>
        <v>410.3</v>
      </c>
      <c r="Z51" s="1397">
        <f>Model!DK252</f>
        <v>402.8</v>
      </c>
      <c r="AA51" s="1413">
        <f>Model!DN252</f>
        <v>392.5</v>
      </c>
      <c r="AB51" s="1413">
        <f ca="1">+VLOOKUP($AI51,Model!$B:$EX,MATCH('Fin Sum'!AB$22,Model!$B$4:$EX$4,FALSE),FALSE)</f>
        <v>444.1</v>
      </c>
      <c r="AC51" s="1413">
        <f ca="1">+VLOOKUP($AI51,Model!$B:$EX,MATCH('Fin Sum'!AC$22,Model!$B$4:$EX$4,FALSE),FALSE)</f>
        <v>451</v>
      </c>
      <c r="AD51" s="1413">
        <f ca="1">+VLOOKUP($AI51,Model!$B:$EX,MATCH('Fin Sum'!AD$22,Model!$B$4:$EX$4,FALSE),FALSE)</f>
        <v>500.8</v>
      </c>
      <c r="AE51" s="1413">
        <f ca="1">+VLOOKUP($AI51,Model!$B:$EX,MATCH('Fin Sum'!AE$22,Model!$B$4:$EX$4,FALSE),FALSE)</f>
        <v>505.1</v>
      </c>
      <c r="AF51" s="1413">
        <f ca="1">+VLOOKUP($AI51,Model!$B:$EX,MATCH('Fin Sum'!AF$22,Model!$B$4:$EX$4,FALSE),FALSE)</f>
        <v>505.1</v>
      </c>
      <c r="AG51" s="1413">
        <f ca="1">+VLOOKUP($AI51,Model!$B:$EX,MATCH('Fin Sum'!AG$22,Model!$B$4:$EX$4,FALSE),FALSE)</f>
        <v>505.1</v>
      </c>
      <c r="AI51" s="1451" t="s">
        <v>132</v>
      </c>
    </row>
    <row r="52" spans="1:50" ht="11.25" customHeight="1">
      <c r="A52" s="1392"/>
      <c r="B52" s="1449" t="s">
        <v>1040</v>
      </c>
      <c r="C52" s="1392" t="s">
        <v>423</v>
      </c>
      <c r="D52" s="1413">
        <f>+VLOOKUP($B52,Segment!$1:$1048576,MATCH('Fin Sum'!D$51,Segment!$2:$2,FALSE),FALSE)</f>
        <v>26838</v>
      </c>
      <c r="E52" s="1413">
        <f>+VLOOKUP($B52,Segment!$1:$1048576,MATCH('Fin Sum'!E$51,Segment!$2:$2,FALSE),FALSE)</f>
        <v>30172</v>
      </c>
      <c r="F52" s="1413">
        <f>+VLOOKUP($B52,Segment!$1:$1048576,MATCH('Fin Sum'!F$51,Segment!$2:$2,FALSE),FALSE)</f>
        <v>32554</v>
      </c>
      <c r="G52" s="1413">
        <f>+VLOOKUP($B52,Segment!$1:$1048576,MATCH('Fin Sum'!G$51,Segment!$2:$2,FALSE),FALSE)</f>
        <v>35260</v>
      </c>
      <c r="H52" s="1413">
        <f>+VLOOKUP($B52,Segment!$1:$1048576,MATCH('Fin Sum'!H$51,Segment!$2:$2,FALSE),FALSE)</f>
        <v>34083</v>
      </c>
      <c r="I52" s="1413">
        <f>+VLOOKUP($B52,Segment!$1:$1048576,MATCH('Fin Sum'!I$51,Segment!$2:$2,FALSE),FALSE)</f>
        <v>31662</v>
      </c>
      <c r="J52" s="1413">
        <f>+VLOOKUP($B52,Segment!$1:$1048576,MATCH('Fin Sum'!J$51,Segment!$2:$2,FALSE),FALSE)</f>
        <v>36456</v>
      </c>
      <c r="K52" s="1413">
        <f>+VLOOKUP($B52,Segment!$1:$1048576,MATCH('Fin Sum'!K$51,Segment!$2:$2,FALSE),FALSE)</f>
        <v>38182</v>
      </c>
      <c r="L52" s="1413">
        <f>+VLOOKUP($B52,Segment!$1:$1048576,MATCH('Fin Sum'!L$51,Segment!$2:$2,FALSE),FALSE)</f>
        <v>44156</v>
      </c>
      <c r="M52" s="1413">
        <f>+VLOOKUP($B52,Segment!$1:$1048576,MATCH('Fin Sum'!M$51,Segment!$2:$2,FALSE),FALSE)</f>
        <v>48040</v>
      </c>
      <c r="N52" s="1413">
        <f>+VLOOKUP($B52,Segment!$1:$1048576,MATCH('Fin Sum'!N$51,Segment!$2:$2,FALSE),FALSE)</f>
        <v>53968</v>
      </c>
      <c r="O52" s="1413">
        <f>+VLOOKUP($B52,Segment!$1:$1048576,MATCH('Fin Sum'!O$51,Segment!$2:$2,FALSE),FALSE)</f>
        <v>58451.8</v>
      </c>
      <c r="P52" s="1413">
        <f>+VLOOKUP($B52,Segment!$1:$1048576,MATCH('Fin Sum'!P$51,Segment!$2:$2,FALSE),FALSE)</f>
        <v>66055.506000000008</v>
      </c>
      <c r="Q52" s="1413">
        <f>+VLOOKUP($B52,Segment!$1:$1048576,MATCH('Fin Sum'!Q$51,Segment!$2:$2,FALSE),FALSE)</f>
        <v>72000.501540000012</v>
      </c>
      <c r="R52" s="1392"/>
      <c r="S52" s="1392" t="s">
        <v>105</v>
      </c>
      <c r="T52" s="1397">
        <f>Model!CQ255</f>
        <v>0</v>
      </c>
      <c r="U52" s="1397">
        <f>Model!CV255</f>
        <v>0</v>
      </c>
      <c r="V52" s="1397">
        <f>Model!CY255</f>
        <v>0</v>
      </c>
      <c r="W52" s="1397">
        <f>Model!DB255</f>
        <v>0</v>
      </c>
      <c r="X52" s="1397">
        <f>Model!DE255</f>
        <v>0</v>
      </c>
      <c r="Y52" s="1397">
        <f>Model!DH255</f>
        <v>0</v>
      </c>
      <c r="Z52" s="1397">
        <f>Model!DK255</f>
        <v>0</v>
      </c>
      <c r="AA52" s="1413">
        <f>Model!DN255</f>
        <v>0</v>
      </c>
      <c r="AB52" s="1413">
        <f ca="1">+VLOOKUP($AI52,Model!$B:$EX,MATCH('Fin Sum'!AB$22,Model!$B$4:$EX$4,FALSE),FALSE)</f>
        <v>0</v>
      </c>
      <c r="AC52" s="1413">
        <f ca="1">+VLOOKUP($AI52,Model!$B:$EX,MATCH('Fin Sum'!AC$22,Model!$B$4:$EX$4,FALSE),FALSE)</f>
        <v>0</v>
      </c>
      <c r="AD52" s="1413">
        <f ca="1">+VLOOKUP($AI52,Model!$B:$EX,MATCH('Fin Sum'!AD$22,Model!$B$4:$EX$4,FALSE),FALSE)</f>
        <v>0</v>
      </c>
      <c r="AE52" s="1413">
        <f ca="1">+VLOOKUP($AI52,Model!$B:$EX,MATCH('Fin Sum'!AE$22,Model!$B$4:$EX$4,FALSE),FALSE)</f>
        <v>0</v>
      </c>
      <c r="AF52" s="1413">
        <f ca="1">+VLOOKUP($AI52,Model!$B:$EX,MATCH('Fin Sum'!AF$22,Model!$B$4:$EX$4,FALSE),FALSE)</f>
        <v>0</v>
      </c>
      <c r="AG52" s="1413">
        <f ca="1">+VLOOKUP($AI52,Model!$B:$EX,MATCH('Fin Sum'!AG$22,Model!$B$4:$EX$4,FALSE),FALSE)</f>
        <v>0</v>
      </c>
      <c r="AI52" s="1451" t="s">
        <v>134</v>
      </c>
    </row>
    <row r="53" spans="1:50" ht="11.25" customHeight="1">
      <c r="A53" s="1392"/>
      <c r="B53" s="1384"/>
      <c r="C53" s="1392" t="s">
        <v>1036</v>
      </c>
      <c r="D53" s="1406">
        <f>Segment!CS97</f>
        <v>3.234988652536841E-2</v>
      </c>
      <c r="E53" s="1406">
        <f t="shared" ref="E53:O53" si="55">+E52/D52-1</f>
        <v>0.12422684253670169</v>
      </c>
      <c r="F53" s="1406">
        <f t="shared" si="55"/>
        <v>7.8947368421052655E-2</v>
      </c>
      <c r="G53" s="1406">
        <f t="shared" si="55"/>
        <v>8.3123425692695152E-2</v>
      </c>
      <c r="H53" s="1406">
        <f t="shared" si="55"/>
        <v>-3.3380601247872899E-2</v>
      </c>
      <c r="I53" s="1406">
        <f t="shared" si="55"/>
        <v>-7.1032479535252158E-2</v>
      </c>
      <c r="J53" s="1406">
        <f t="shared" si="55"/>
        <v>0.15141178700018942</v>
      </c>
      <c r="K53" s="1406">
        <f t="shared" si="55"/>
        <v>4.7344744349352652E-2</v>
      </c>
      <c r="L53" s="1452">
        <f t="shared" si="55"/>
        <v>0.15646115970876329</v>
      </c>
      <c r="M53" s="1452">
        <f t="shared" si="55"/>
        <v>8.7960866020472928E-2</v>
      </c>
      <c r="N53" s="1452">
        <f t="shared" si="55"/>
        <v>0.12339716902581177</v>
      </c>
      <c r="O53" s="1452">
        <f t="shared" si="55"/>
        <v>8.3082567447376299E-2</v>
      </c>
      <c r="P53" s="1452">
        <f>+P52/O52-1</f>
        <v>0.13008506153788257</v>
      </c>
      <c r="Q53" s="1452">
        <f>+Q52/P52-1</f>
        <v>9.000000000000008E-2</v>
      </c>
      <c r="R53" s="1392"/>
      <c r="S53" s="1392" t="s">
        <v>979</v>
      </c>
      <c r="T53" s="1397"/>
      <c r="U53" s="1397"/>
      <c r="V53" s="1397"/>
      <c r="W53" s="1397">
        <f>Model!DB262</f>
        <v>0</v>
      </c>
      <c r="X53" s="1397">
        <f>Model!DE262</f>
        <v>0</v>
      </c>
      <c r="Y53" s="1397">
        <f>Model!DH262</f>
        <v>208.3</v>
      </c>
      <c r="Z53" s="1397">
        <f>Model!DK262</f>
        <v>189</v>
      </c>
      <c r="AA53" s="1413">
        <f>Model!DN262</f>
        <v>179</v>
      </c>
      <c r="AB53" s="1413">
        <f ca="1">+VLOOKUP($AI53,Model!$B:$EX,MATCH('Fin Sum'!AB$22,Model!$B$4:$EX$4,FALSE),FALSE)</f>
        <v>170.5</v>
      </c>
      <c r="AC53" s="1413">
        <f ca="1">+VLOOKUP($AI53,Model!$B:$EX,MATCH('Fin Sum'!AC$22,Model!$B$4:$EX$4,FALSE),FALSE)</f>
        <v>212.4</v>
      </c>
      <c r="AD53" s="1413">
        <f ca="1">+VLOOKUP($AI53,Model!$B:$EX,MATCH('Fin Sum'!AD$22,Model!$B$4:$EX$4,FALSE),FALSE)</f>
        <v>203.5</v>
      </c>
      <c r="AE53" s="1413">
        <f ca="1">+VLOOKUP($AI53,Model!$B:$EX,MATCH('Fin Sum'!AE$22,Model!$B$4:$EX$4,FALSE),FALSE)</f>
        <v>175.66445133748695</v>
      </c>
      <c r="AF53" s="1413">
        <f ca="1">+VLOOKUP($AI53,Model!$B:$EX,MATCH('Fin Sum'!AF$22,Model!$B$4:$EX$4,FALSE),FALSE)</f>
        <v>133.25931068497874</v>
      </c>
      <c r="AG53" s="1413">
        <f ca="1">+VLOOKUP($AI53,Model!$B:$EX,MATCH('Fin Sum'!AG$22,Model!$B$4:$EX$4,FALSE),FALSE)</f>
        <v>87.295627950159741</v>
      </c>
      <c r="AI53" s="1451" t="s">
        <v>961</v>
      </c>
    </row>
    <row r="54" spans="1:50" ht="11.25" customHeight="1">
      <c r="A54" s="1392"/>
      <c r="B54" s="1449" t="s">
        <v>1029</v>
      </c>
      <c r="C54" s="1392" t="s">
        <v>421</v>
      </c>
      <c r="D54" s="1413">
        <f>+VLOOKUP($B54,Segment!$1:$1048576,MATCH('Fin Sum'!D$51,Segment!$2:$2,FALSE),FALSE)</f>
        <v>664.68</v>
      </c>
      <c r="E54" s="1413">
        <f>+VLOOKUP($B54,Segment!$1:$1048576,MATCH('Fin Sum'!E$51,Segment!$2:$2,FALSE),FALSE)</f>
        <v>729.07666605092857</v>
      </c>
      <c r="F54" s="1413">
        <f>+VLOOKUP($B54,Segment!$1:$1048576,MATCH('Fin Sum'!F$51,Segment!$2:$2,FALSE),FALSE)</f>
        <v>767.86779134114909</v>
      </c>
      <c r="G54" s="1413">
        <f>+VLOOKUP($B54,Segment!$1:$1048576,MATCH('Fin Sum'!G$51,Segment!$2:$2,FALSE),FALSE)</f>
        <v>830.99994371750449</v>
      </c>
      <c r="H54" s="1413">
        <f>+VLOOKUP($B54,Segment!$1:$1048576,MATCH('Fin Sum'!H$51,Segment!$2:$2,FALSE),FALSE)</f>
        <v>845.10290469853669</v>
      </c>
      <c r="I54" s="1413">
        <f>+VLOOKUP($B54,Segment!$1:$1048576,MATCH('Fin Sum'!I$51,Segment!$2:$2,FALSE),FALSE)</f>
        <v>817.93900982800085</v>
      </c>
      <c r="J54" s="1413">
        <f>+VLOOKUP($B54,Segment!$1:$1048576,MATCH('Fin Sum'!J$51,Segment!$2:$2,FALSE),FALSE)</f>
        <v>898.6</v>
      </c>
      <c r="K54" s="1413">
        <f>+VLOOKUP($B54,Segment!$1:$1048576,MATCH('Fin Sum'!K$51,Segment!$2:$2,FALSE),FALSE)</f>
        <v>935.2</v>
      </c>
      <c r="L54" s="1413">
        <f>+VLOOKUP($B54,Segment!$1:$1048576,MATCH('Fin Sum'!L$51,Segment!$2:$2,FALSE),FALSE)</f>
        <v>1131.4000000000001</v>
      </c>
      <c r="M54" s="1413">
        <f>+VLOOKUP($B54,Segment!$1:$1048576,MATCH('Fin Sum'!M$51,Segment!$2:$2,FALSE),FALSE)</f>
        <v>1329.6</v>
      </c>
      <c r="N54" s="1413">
        <f>+VLOOKUP($B54,Segment!$1:$1048576,MATCH('Fin Sum'!N$51,Segment!$2:$2,FALSE),FALSE)</f>
        <v>1470.2</v>
      </c>
      <c r="O54" s="1413">
        <f>+VLOOKUP($B54,Segment!$1:$1048576,MATCH('Fin Sum'!O$51,Segment!$2:$2,FALSE),FALSE)</f>
        <v>1591.5128022765252</v>
      </c>
      <c r="P54" s="1413">
        <f>+VLOOKUP($B54,Segment!$1:$1048576,MATCH('Fin Sum'!P$51,Segment!$2:$2,FALSE),FALSE)</f>
        <v>1825.6330239407685</v>
      </c>
      <c r="Q54" s="1413">
        <f>+VLOOKUP($B54,Segment!$1:$1048576,MATCH('Fin Sum'!Q$51,Segment!$2:$2,FALSE),FALSE)</f>
        <v>1989.9399960954379</v>
      </c>
      <c r="R54" s="1392"/>
      <c r="S54" s="1446" t="s">
        <v>571</v>
      </c>
      <c r="T54" s="1447">
        <f>IF(T55&lt;&gt;"",T55-SUM(T49:T52),"")</f>
        <v>73.463999999999999</v>
      </c>
      <c r="U54" s="1447">
        <f>IF(U55&lt;&gt;"",U55-SUM(U49:U52),"")</f>
        <v>89.363999999999976</v>
      </c>
      <c r="V54" s="1447">
        <f>IF(V55&lt;&gt;"",V55-SUM(V49:V52),"")</f>
        <v>75.25200000000001</v>
      </c>
      <c r="W54" s="1447">
        <f t="shared" ref="W54:AB54" si="56">IF(W55&lt;&gt;"",W55-SUM(W49:W53),"")</f>
        <v>83.200000000000045</v>
      </c>
      <c r="X54" s="1447">
        <f t="shared" si="56"/>
        <v>105.49999999999989</v>
      </c>
      <c r="Y54" s="1447">
        <f t="shared" si="56"/>
        <v>154.20000000000005</v>
      </c>
      <c r="Z54" s="1447">
        <f t="shared" si="56"/>
        <v>177.40000000000009</v>
      </c>
      <c r="AA54" s="1448">
        <f t="shared" si="56"/>
        <v>187.29999999999995</v>
      </c>
      <c r="AB54" s="1448">
        <f t="shared" ca="1" si="56"/>
        <v>222.10000000000002</v>
      </c>
      <c r="AC54" s="1448">
        <f ca="1">IF(AC55&lt;&gt;"",AC55-SUM(AC49:AC53),"")</f>
        <v>244.29999999999995</v>
      </c>
      <c r="AD54" s="1448">
        <f ca="1">IF(AD55&lt;&gt;"",AD55-SUM(AD49:AD53),"")</f>
        <v>294.29999999999995</v>
      </c>
      <c r="AE54" s="1448">
        <f ca="1">IF(AE55&lt;&gt;"",AE55-SUM(AE49:AE53),"")</f>
        <v>340.59999999999991</v>
      </c>
      <c r="AF54" s="1448">
        <f ca="1">IF(AF55&lt;&gt;"",AF55-SUM(AF49:AF53),"")</f>
        <v>340.59999999999991</v>
      </c>
      <c r="AG54" s="1448">
        <f ca="1">IF(AG55&lt;&gt;"",AG55-SUM(AG49:AG53),"")</f>
        <v>340.59999999999991</v>
      </c>
    </row>
    <row r="55" spans="1:50" ht="11.25" customHeight="1">
      <c r="A55" s="1392"/>
      <c r="B55" s="1449"/>
      <c r="C55" s="1392" t="s">
        <v>1036</v>
      </c>
      <c r="D55" s="1406">
        <f>Segment!CS119</f>
        <v>8.4770325979455885E-2</v>
      </c>
      <c r="E55" s="1406">
        <f t="shared" ref="E55" si="57">+E54/D54-1</f>
        <v>9.6883712539761468E-2</v>
      </c>
      <c r="F55" s="1406">
        <f t="shared" ref="F55" si="58">+F54/E54-1</f>
        <v>5.3205824704738003E-2</v>
      </c>
      <c r="G55" s="1406">
        <f t="shared" ref="G55" si="59">+G54/F54-1</f>
        <v>8.2217476873316375E-2</v>
      </c>
      <c r="H55" s="1406">
        <f t="shared" ref="H55" si="60">+H54/G54-1</f>
        <v>1.697107332876846E-2</v>
      </c>
      <c r="I55" s="1406">
        <f t="shared" ref="I55" si="61">+I54/H54-1</f>
        <v>-3.2142706786963071E-2</v>
      </c>
      <c r="J55" s="1406">
        <f t="shared" ref="J55" si="62">+J54/I54-1</f>
        <v>9.8614920186971933E-2</v>
      </c>
      <c r="K55" s="1406">
        <f t="shared" ref="K55" si="63">+K54/J54-1</f>
        <v>4.0730024482528382E-2</v>
      </c>
      <c r="L55" s="1452">
        <f t="shared" ref="L55" si="64">+L54/K54-1</f>
        <v>0.20979469632164238</v>
      </c>
      <c r="M55" s="1452">
        <f t="shared" ref="M55" si="65">+M54/L54-1</f>
        <v>0.17518119144422828</v>
      </c>
      <c r="N55" s="1452">
        <f t="shared" ref="N55" si="66">+N54/M54-1</f>
        <v>0.10574608904933824</v>
      </c>
      <c r="O55" s="1452">
        <f t="shared" ref="O55" si="67">+O54/N54-1</f>
        <v>8.2514489373231692E-2</v>
      </c>
      <c r="P55" s="1452">
        <f>+P54/O54-1</f>
        <v>0.14710545923938145</v>
      </c>
      <c r="Q55" s="1452">
        <f>+Q54/P54-1</f>
        <v>9.000000000000008E-2</v>
      </c>
      <c r="R55" s="1392"/>
      <c r="S55" s="1455" t="s">
        <v>216</v>
      </c>
      <c r="T55" s="1456">
        <f>Model!CQ263</f>
        <v>379.89</v>
      </c>
      <c r="U55" s="1456">
        <f>Model!CV263</f>
        <v>414.33499999999998</v>
      </c>
      <c r="V55" s="1456">
        <f>Model!CY263</f>
        <v>550.399</v>
      </c>
      <c r="W55" s="1456">
        <f>Model!DB263</f>
        <v>572.70000000000005</v>
      </c>
      <c r="X55" s="1456">
        <f>Model!DE263</f>
        <v>744.19999999999993</v>
      </c>
      <c r="Y55" s="1456">
        <f>Model!DH263</f>
        <v>1098.2</v>
      </c>
      <c r="Z55" s="1456">
        <f>Model!DK263</f>
        <v>1208.2</v>
      </c>
      <c r="AA55" s="1457">
        <f>Model!DN263</f>
        <v>1138.0999999999999</v>
      </c>
      <c r="AB55" s="1457">
        <f ca="1">+VLOOKUP($AI55,Model!$B:$EX,MATCH('Fin Sum'!AB$22,Model!$B$4:$EX$4,FALSE),FALSE)</f>
        <v>1207.2</v>
      </c>
      <c r="AC55" s="1457">
        <f ca="1">+VLOOKUP($AI55,Model!$B:$EX,MATCH('Fin Sum'!AC$22,Model!$B$4:$EX$4,FALSE),FALSE)</f>
        <v>1293</v>
      </c>
      <c r="AD55" s="1457">
        <f ca="1">+VLOOKUP($AI55,Model!$B:$EX,MATCH('Fin Sum'!AD$22,Model!$B$4:$EX$4,FALSE),FALSE)</f>
        <v>1408.2</v>
      </c>
      <c r="AE55" s="1457">
        <f ca="1">+VLOOKUP($AI55,Model!$B:$EX,MATCH('Fin Sum'!AE$22,Model!$B$4:$EX$4,FALSE),FALSE)</f>
        <v>1427.7961485962874</v>
      </c>
      <c r="AF55" s="1457">
        <f ca="1">+VLOOKUP($AI55,Model!$B:$EX,MATCH('Fin Sum'!AF$22,Model!$B$4:$EX$4,FALSE),FALSE)</f>
        <v>1372.7408590389471</v>
      </c>
      <c r="AG55" s="1457">
        <f ca="1">+VLOOKUP($AI55,Model!$B:$EX,MATCH('Fin Sum'!AG$22,Model!$B$4:$EX$4,FALSE),FALSE)</f>
        <v>1380.4014728280836</v>
      </c>
      <c r="AI55" s="1451" t="s">
        <v>773</v>
      </c>
    </row>
    <row r="56" spans="1:50" ht="11.25" customHeight="1">
      <c r="A56" s="1392"/>
      <c r="B56" s="1449" t="s">
        <v>1030</v>
      </c>
      <c r="C56" s="1392" t="s">
        <v>1039</v>
      </c>
      <c r="D56" s="1413">
        <f>+VLOOKUP($B56,Segment!$1:$1048576,MATCH('Fin Sum'!D$51,Segment!$2:$2,FALSE),FALSE)</f>
        <v>162.124</v>
      </c>
      <c r="E56" s="1413">
        <f>+VLOOKUP($B56,Segment!$1:$1048576,MATCH('Fin Sum'!E$51,Segment!$2:$2,FALSE),FALSE)</f>
        <v>287.8403038672958</v>
      </c>
      <c r="F56" s="1413">
        <f>+VLOOKUP($B56,Segment!$1:$1048576,MATCH('Fin Sum'!F$51,Segment!$2:$2,FALSE),FALSE)</f>
        <v>305.57730621259634</v>
      </c>
      <c r="G56" s="1413">
        <f>+VLOOKUP($B56,Segment!$1:$1048576,MATCH('Fin Sum'!G$51,Segment!$2:$2,FALSE),FALSE)</f>
        <v>334.90911919677399</v>
      </c>
      <c r="H56" s="1413">
        <f>+VLOOKUP($B56,Segment!$1:$1048576,MATCH('Fin Sum'!H$51,Segment!$2:$2,FALSE),FALSE)</f>
        <v>424.03961672775733</v>
      </c>
      <c r="I56" s="1413">
        <f>+VLOOKUP($B56,Segment!$1:$1048576,MATCH('Fin Sum'!I$51,Segment!$2:$2,FALSE),FALSE)</f>
        <v>400.08516556337497</v>
      </c>
      <c r="J56" s="1413">
        <f>+VLOOKUP($B56,Segment!$1:$1048576,MATCH('Fin Sum'!J$51,Segment!$2:$2,FALSE),FALSE)</f>
        <v>438.5</v>
      </c>
      <c r="K56" s="1413">
        <f>+VLOOKUP($B56,Segment!$1:$1048576,MATCH('Fin Sum'!K$51,Segment!$2:$2,FALSE),FALSE)</f>
        <v>503.9</v>
      </c>
      <c r="L56" s="1413">
        <f>+VLOOKUP($B56,Segment!$1:$1048576,MATCH('Fin Sum'!L$51,Segment!$2:$2,FALSE),FALSE)</f>
        <v>584.4</v>
      </c>
      <c r="M56" s="1413">
        <f>+VLOOKUP($B56,Segment!$1:$1048576,MATCH('Fin Sum'!M$51,Segment!$2:$2,FALSE),FALSE)</f>
        <v>672.3</v>
      </c>
      <c r="N56" s="1413">
        <f>+VLOOKUP($B56,Segment!$1:$1048576,MATCH('Fin Sum'!N$51,Segment!$2:$2,FALSE),FALSE)</f>
        <v>609.20000000000005</v>
      </c>
      <c r="O56" s="1413">
        <f>+VLOOKUP($B56,Segment!$1:$1048576,MATCH('Fin Sum'!O$51,Segment!$2:$2,FALSE),FALSE)</f>
        <v>639.01432064663027</v>
      </c>
      <c r="P56" s="1413">
        <f>+VLOOKUP($B56,Segment!$1:$1048576,MATCH('Fin Sum'!P$51,Segment!$2:$2,FALSE),FALSE)</f>
        <v>695.77060438571857</v>
      </c>
      <c r="Q56" s="1413">
        <f>+VLOOKUP($B56,Segment!$1:$1048576,MATCH('Fin Sum'!Q$51,Segment!$2:$2,FALSE),FALSE)</f>
        <v>758.38995878043329</v>
      </c>
      <c r="R56" s="1392"/>
      <c r="S56" s="1440" t="s">
        <v>774</v>
      </c>
      <c r="T56" s="1444">
        <f t="shared" ref="T56:AB56" si="68">T48+T55</f>
        <v>827.75800000000004</v>
      </c>
      <c r="U56" s="1444">
        <f t="shared" si="68"/>
        <v>957.36300000000006</v>
      </c>
      <c r="V56" s="1444">
        <f t="shared" si="68"/>
        <v>1136.3589999999999</v>
      </c>
      <c r="W56" s="1444">
        <f t="shared" si="68"/>
        <v>1156.9000000000001</v>
      </c>
      <c r="X56" s="1444">
        <f t="shared" si="68"/>
        <v>1379.1999999999998</v>
      </c>
      <c r="Y56" s="1444">
        <f t="shared" si="68"/>
        <v>2575.6999999999998</v>
      </c>
      <c r="Z56" s="1444">
        <f t="shared" si="68"/>
        <v>2438.1999999999998</v>
      </c>
      <c r="AA56" s="1445">
        <f t="shared" si="68"/>
        <v>2465.1</v>
      </c>
      <c r="AB56" s="1445">
        <f t="shared" ca="1" si="68"/>
        <v>2568.6999999999998</v>
      </c>
      <c r="AC56" s="1445">
        <f ca="1">AC48+AC55</f>
        <v>2745.1000000000004</v>
      </c>
      <c r="AD56" s="1445">
        <f ca="1">AD48+AD55</f>
        <v>2825</v>
      </c>
      <c r="AE56" s="1445">
        <f ca="1">AE48+AE55</f>
        <v>2797.5628721086132</v>
      </c>
      <c r="AF56" s="1445">
        <f ca="1">AF48+AF55</f>
        <v>2818.2571866219387</v>
      </c>
      <c r="AG56" s="1445">
        <f ca="1">AG48+AG55</f>
        <v>2898.4974560567925</v>
      </c>
    </row>
    <row r="57" spans="1:50" ht="11.25" customHeight="1">
      <c r="A57" s="1392"/>
      <c r="B57" s="1449"/>
      <c r="C57" s="1392" t="s">
        <v>1036</v>
      </c>
      <c r="D57" s="1406">
        <f>Segment!CS125</f>
        <v>0.68885202812794066</v>
      </c>
      <c r="E57" s="1406">
        <f t="shared" ref="E57" si="69">+E56/D56-1</f>
        <v>0.77543302575371831</v>
      </c>
      <c r="F57" s="1406">
        <f t="shared" ref="F57" si="70">+F56/E56-1</f>
        <v>6.1620982562184512E-2</v>
      </c>
      <c r="G57" s="1406">
        <f t="shared" ref="G57" si="71">+G56/F56-1</f>
        <v>9.5988191491454877E-2</v>
      </c>
      <c r="H57" s="1406">
        <f t="shared" ref="H57" si="72">+H56/G56-1</f>
        <v>0.26613338491573058</v>
      </c>
      <c r="I57" s="1406">
        <f t="shared" ref="I57" si="73">+I56/H56-1</f>
        <v>-5.6491068804454758E-2</v>
      </c>
      <c r="J57" s="1406">
        <f t="shared" ref="J57" si="74">+J56/I56-1</f>
        <v>9.6016642812866149E-2</v>
      </c>
      <c r="K57" s="1406">
        <f t="shared" ref="K57" si="75">+K56/J56-1</f>
        <v>0.14914481185860895</v>
      </c>
      <c r="L57" s="1452">
        <f t="shared" ref="L57" si="76">+L56/K56-1</f>
        <v>0.15975391942845807</v>
      </c>
      <c r="M57" s="1452">
        <f t="shared" ref="M57" si="77">+M56/L56-1</f>
        <v>0.15041067761806981</v>
      </c>
      <c r="N57" s="1452">
        <f t="shared" ref="N57" si="78">+N56/M56-1</f>
        <v>-9.3856909117953191E-2</v>
      </c>
      <c r="O57" s="1452">
        <f t="shared" ref="O57" si="79">+O56/N56-1</f>
        <v>4.8940119249228919E-2</v>
      </c>
      <c r="P57" s="1452">
        <f>+P56/O56-1</f>
        <v>8.8818484821522548E-2</v>
      </c>
      <c r="Q57" s="1452">
        <f>+Q56/P56-1</f>
        <v>9.000000000000008E-2</v>
      </c>
      <c r="R57" s="1392"/>
      <c r="S57" s="1392" t="s">
        <v>6</v>
      </c>
      <c r="T57" s="1397">
        <f>Model!CQ269+Model!CQ290</f>
        <v>230.47800000000001</v>
      </c>
      <c r="U57" s="1397">
        <f>Model!CV269+Model!CV290</f>
        <v>193.238</v>
      </c>
      <c r="V57" s="1397">
        <f>Model!CY269+Model!CY290</f>
        <v>218.92200000000003</v>
      </c>
      <c r="W57" s="1397">
        <f>Model!DB269+Model!DB290</f>
        <v>147.69999999999999</v>
      </c>
      <c r="X57" s="1397">
        <f>Model!DE269+Model!DE290</f>
        <v>181.60000000000002</v>
      </c>
      <c r="Y57" s="1397">
        <f>Model!DH269+Model!DH290</f>
        <v>472.9</v>
      </c>
      <c r="Z57" s="1397">
        <f>Model!DK269+Model!DK290</f>
        <v>45</v>
      </c>
      <c r="AA57" s="1413">
        <f>Model!DN269+Model!DN290</f>
        <v>42.6</v>
      </c>
      <c r="AB57" s="1413">
        <f ca="1">+VLOOKUP($AI57,Model!$B:$EX,MATCH('Fin Sum'!AB$22,Model!$B$4:$EX$4,FALSE),FALSE)+VLOOKUP($AJ57,Model!$B:$EX,MATCH('Fin Sum'!AB$22,Model!$B$4:$EX$4,FALSE),FALSE)</f>
        <v>0</v>
      </c>
      <c r="AC57" s="1413">
        <f ca="1">+VLOOKUP($AI57,Model!$B:$EX,MATCH('Fin Sum'!AC$22,Model!$B$4:$EX$4,FALSE),FALSE)+VLOOKUP($AJ57,Model!$B:$EX,MATCH('Fin Sum'!AC$22,Model!$B$4:$EX$4,FALSE),FALSE)</f>
        <v>0</v>
      </c>
      <c r="AD57" s="1413">
        <f ca="1">+VLOOKUP($AI57,Model!$B:$EX,MATCH('Fin Sum'!AD$22,Model!$B$4:$EX$4,FALSE),FALSE)+VLOOKUP($AJ57,Model!$B:$EX,MATCH('Fin Sum'!AD$22,Model!$B$4:$EX$4,FALSE),FALSE)</f>
        <v>0</v>
      </c>
      <c r="AE57" s="1413">
        <f ca="1">+VLOOKUP($AI57,Model!$B:$EX,MATCH('Fin Sum'!AE$22,Model!$B$4:$EX$4,FALSE),FALSE)+VLOOKUP($AJ57,Model!$B:$EX,MATCH('Fin Sum'!AE$22,Model!$B$4:$EX$4,FALSE),FALSE)</f>
        <v>0</v>
      </c>
      <c r="AF57" s="1413">
        <f ca="1">+VLOOKUP($AI57,Model!$B:$EX,MATCH('Fin Sum'!AF$22,Model!$B$4:$EX$4,FALSE),FALSE)+VLOOKUP($AJ57,Model!$B:$EX,MATCH('Fin Sum'!AF$22,Model!$B$4:$EX$4,FALSE),FALSE)</f>
        <v>0</v>
      </c>
      <c r="AG57" s="1413">
        <f ca="1">+VLOOKUP($AI57,Model!$B:$EX,MATCH('Fin Sum'!AG$22,Model!$B$4:$EX$4,FALSE),FALSE)+VLOOKUP($AJ57,Model!$B:$EX,MATCH('Fin Sum'!AG$22,Model!$B$4:$EX$4,FALSE),FALSE)</f>
        <v>0</v>
      </c>
      <c r="AI57" s="1451" t="s">
        <v>778</v>
      </c>
      <c r="AJ57" s="1451" t="s">
        <v>650</v>
      </c>
    </row>
    <row r="58" spans="1:50" ht="11.25" customHeight="1">
      <c r="A58" s="1392"/>
      <c r="B58" s="1449" t="s">
        <v>1031</v>
      </c>
      <c r="C58" s="1392" t="s">
        <v>422</v>
      </c>
      <c r="D58" s="1413">
        <f>+VLOOKUP($B58,Segment!$1:$1048576,MATCH('Fin Sum'!D$51,Segment!$2:$2,FALSE),FALSE)</f>
        <v>115.10000000000002</v>
      </c>
      <c r="E58" s="1413">
        <f>+VLOOKUP($B58,Segment!$1:$1048576,MATCH('Fin Sum'!E$51,Segment!$2:$2,FALSE),FALSE)</f>
        <v>139.54199999999997</v>
      </c>
      <c r="F58" s="1413">
        <f>+VLOOKUP($B58,Segment!$1:$1048576,MATCH('Fin Sum'!F$51,Segment!$2:$2,FALSE),FALSE)</f>
        <v>166.30000000000007</v>
      </c>
      <c r="G58" s="1413">
        <f>+VLOOKUP($B58,Segment!$1:$1048576,MATCH('Fin Sum'!G$51,Segment!$2:$2,FALSE),FALSE)</f>
        <v>165.2000000000001</v>
      </c>
      <c r="H58" s="1413">
        <f>+VLOOKUP($B58,Segment!$1:$1048576,MATCH('Fin Sum'!H$51,Segment!$2:$2,FALSE),FALSE)</f>
        <v>173.79000000000002</v>
      </c>
      <c r="I58" s="1413">
        <f>+VLOOKUP($B58,Segment!$1:$1048576,MATCH('Fin Sum'!I$51,Segment!$2:$2,FALSE),FALSE)</f>
        <v>138.80370355611609</v>
      </c>
      <c r="J58" s="1413">
        <f>+VLOOKUP($B58,Segment!$1:$1048576,MATCH('Fin Sum'!J$51,Segment!$2:$2,FALSE),FALSE)</f>
        <v>156.19999999999999</v>
      </c>
      <c r="K58" s="1413">
        <f>+VLOOKUP($B58,Segment!$1:$1048576,MATCH('Fin Sum'!K$51,Segment!$2:$2,FALSE),FALSE)</f>
        <v>202</v>
      </c>
      <c r="L58" s="1413">
        <f>+VLOOKUP($B58,Segment!$1:$1048576,MATCH('Fin Sum'!L$51,Segment!$2:$2,FALSE),FALSE)</f>
        <v>239.9</v>
      </c>
      <c r="M58" s="1413">
        <f>+VLOOKUP($B58,Segment!$1:$1048576,MATCH('Fin Sum'!M$51,Segment!$2:$2,FALSE),FALSE)</f>
        <v>256.3</v>
      </c>
      <c r="N58" s="1413">
        <f>+VLOOKUP($B58,Segment!$1:$1048576,MATCH('Fin Sum'!N$51,Segment!$2:$2,FALSE),FALSE)</f>
        <v>276.39999999999998</v>
      </c>
      <c r="O58" s="1413">
        <f>+VLOOKUP($B58,Segment!$1:$1048576,MATCH('Fin Sum'!O$51,Segment!$2:$2,FALSE),FALSE)</f>
        <v>282.83913701711867</v>
      </c>
      <c r="P58" s="1413">
        <f>+VLOOKUP($B58,Segment!$1:$1048576,MATCH('Fin Sum'!P$51,Segment!$2:$2,FALSE),FALSE)</f>
        <v>295.24818764367217</v>
      </c>
      <c r="Q58" s="1413">
        <f>+VLOOKUP($B58,Segment!$1:$1048576,MATCH('Fin Sum'!Q$51,Segment!$2:$2,FALSE),FALSE)</f>
        <v>315.91556077872929</v>
      </c>
      <c r="R58" s="1392"/>
      <c r="S58" s="1392" t="s">
        <v>963</v>
      </c>
      <c r="T58" s="1397"/>
      <c r="U58" s="1397"/>
      <c r="V58" s="1397"/>
      <c r="W58" s="1397">
        <f>Model!DB274+Model!DB302</f>
        <v>0</v>
      </c>
      <c r="X58" s="1397">
        <f>Model!DE274+Model!DE302</f>
        <v>0</v>
      </c>
      <c r="Y58" s="1397">
        <f>Model!DH274+Model!DH302</f>
        <v>205.5</v>
      </c>
      <c r="Z58" s="1397">
        <f>Model!DK274+Model!DK302</f>
        <v>187.4</v>
      </c>
      <c r="AA58" s="1413">
        <f>Model!DN274+Model!DN302</f>
        <v>175.2</v>
      </c>
      <c r="AB58" s="1413">
        <f ca="1">+VLOOKUP($AI58,Model!$B:$EX,MATCH('Fin Sum'!AB$22,Model!$B$4:$EX$4,FALSE),FALSE)+VLOOKUP($AJ58,Model!$B:$EX,MATCH('Fin Sum'!AB$22,Model!$B$4:$EX$4,FALSE),FALSE)</f>
        <v>39.200000000000003</v>
      </c>
      <c r="AC58" s="1413">
        <f ca="1">+VLOOKUP($AI58,Model!$B:$EX,MATCH('Fin Sum'!AC$22,Model!$B$4:$EX$4,FALSE),FALSE)+VLOOKUP($AJ58,Model!$B:$EX,MATCH('Fin Sum'!AC$22,Model!$B$4:$EX$4,FALSE),FALSE)</f>
        <v>41.6</v>
      </c>
      <c r="AD58" s="1413">
        <f ca="1">+VLOOKUP($AI58,Model!$B:$EX,MATCH('Fin Sum'!AD$22,Model!$B$4:$EX$4,FALSE),FALSE)+VLOOKUP($AJ58,Model!$B:$EX,MATCH('Fin Sum'!AD$22,Model!$B$4:$EX$4,FALSE),FALSE)</f>
        <v>42.2</v>
      </c>
      <c r="AE58" s="1413">
        <f ca="1">+VLOOKUP($AI58,Model!$B:$EX,MATCH('Fin Sum'!AE$22,Model!$B$4:$EX$4,FALSE),FALSE)+VLOOKUP($AJ58,Model!$B:$EX,MATCH('Fin Sum'!AE$22,Model!$B$4:$EX$4,FALSE),FALSE)</f>
        <v>42.2</v>
      </c>
      <c r="AF58" s="1413">
        <f ca="1">+VLOOKUP($AI58,Model!$B:$EX,MATCH('Fin Sum'!AF$22,Model!$B$4:$EX$4,FALSE),FALSE)+VLOOKUP($AJ58,Model!$B:$EX,MATCH('Fin Sum'!AF$22,Model!$B$4:$EX$4,FALSE),FALSE)</f>
        <v>42.2</v>
      </c>
      <c r="AG58" s="1413">
        <f ca="1">+VLOOKUP($AI58,Model!$B:$EX,MATCH('Fin Sum'!AG$22,Model!$B$4:$EX$4,FALSE),FALSE)+VLOOKUP($AJ58,Model!$B:$EX,MATCH('Fin Sum'!AG$22,Model!$B$4:$EX$4,FALSE),FALSE)</f>
        <v>42.2</v>
      </c>
      <c r="AI58" s="1451" t="s">
        <v>783</v>
      </c>
      <c r="AJ58" s="1451" t="s">
        <v>963</v>
      </c>
    </row>
    <row r="59" spans="1:50" ht="11.25" customHeight="1">
      <c r="A59" s="1392"/>
      <c r="B59" s="1449"/>
      <c r="C59" s="1392" t="s">
        <v>1036</v>
      </c>
      <c r="D59" s="1406">
        <f>Segment!CS29</f>
        <v>0.39550587336035992</v>
      </c>
      <c r="E59" s="1406">
        <f t="shared" ref="E59" si="80">+E58/D58-1</f>
        <v>0.21235447437011246</v>
      </c>
      <c r="F59" s="1406">
        <f t="shared" ref="F59" si="81">+F58/E58-1</f>
        <v>0.19175588711642444</v>
      </c>
      <c r="G59" s="1406">
        <f t="shared" ref="G59" si="82">+G58/F58-1</f>
        <v>-6.6145520144315073E-3</v>
      </c>
      <c r="H59" s="1406">
        <f t="shared" ref="H59" si="83">+H58/G58-1</f>
        <v>5.1997578692493329E-2</v>
      </c>
      <c r="I59" s="1406">
        <f t="shared" ref="I59" si="84">+I58/H58-1</f>
        <v>-0.201313633948351</v>
      </c>
      <c r="J59" s="1406">
        <f t="shared" ref="J59" si="85">+J58/I58-1</f>
        <v>0.12533020372075909</v>
      </c>
      <c r="K59" s="1406">
        <f t="shared" ref="K59" si="86">+K58/J58-1</f>
        <v>0.29321382842509602</v>
      </c>
      <c r="L59" s="1452">
        <f t="shared" ref="L59" si="87">+L58/K58-1</f>
        <v>0.18762376237623757</v>
      </c>
      <c r="M59" s="1452">
        <f t="shared" ref="M59" si="88">+M58/L58-1</f>
        <v>6.8361817423926663E-2</v>
      </c>
      <c r="N59" s="1452">
        <f t="shared" ref="N59" si="89">+N58/M58-1</f>
        <v>7.8423722200546164E-2</v>
      </c>
      <c r="O59" s="1452">
        <f t="shared" ref="O59" si="90">+O58/N58-1</f>
        <v>2.3296443621992458E-2</v>
      </c>
      <c r="P59" s="1452">
        <f>+P58/O58-1</f>
        <v>4.3873173838040902E-2</v>
      </c>
      <c r="Q59" s="1452">
        <f>+Q58/P58-1</f>
        <v>7.0000000000000284E-2</v>
      </c>
      <c r="R59" s="1392"/>
      <c r="S59" s="1392" t="s">
        <v>7</v>
      </c>
      <c r="T59" s="1397">
        <f>Model!CQ276+Model!CQ297</f>
        <v>74.447999999999993</v>
      </c>
      <c r="U59" s="1397">
        <f>Model!CV276+Model!CV297</f>
        <v>161.30699999999999</v>
      </c>
      <c r="V59" s="1397">
        <f>Model!CY276+Model!CY297</f>
        <v>178.42700000000002</v>
      </c>
      <c r="W59" s="1397">
        <f>Model!DB276+Model!DB297</f>
        <v>178.4</v>
      </c>
      <c r="X59" s="1397">
        <f>Model!DE276+Model!DE297</f>
        <v>194.4</v>
      </c>
      <c r="Y59" s="1397">
        <f>Model!DH276+Model!DH297</f>
        <v>245.5</v>
      </c>
      <c r="Z59" s="1397">
        <f>Model!DK276+Model!DK297</f>
        <v>213.90000000000003</v>
      </c>
      <c r="AA59" s="1413">
        <f>Model!DN276+Model!DN297</f>
        <v>201.5</v>
      </c>
      <c r="AB59" s="1413">
        <f ca="1">+VLOOKUP($AI59,Model!$B:$EX,MATCH('Fin Sum'!AB$22,Model!$B$4:$EX$4,FALSE),FALSE)+VLOOKUP($AJ59,Model!$B:$EX,MATCH('Fin Sum'!AB$22,Model!$B$4:$EX$4,FALSE),FALSE)</f>
        <v>249.3</v>
      </c>
      <c r="AC59" s="1413">
        <f ca="1">+VLOOKUP($AI59,Model!$B:$EX,MATCH('Fin Sum'!AC$22,Model!$B$4:$EX$4,FALSE),FALSE)+VLOOKUP($AJ59,Model!$B:$EX,MATCH('Fin Sum'!AC$22,Model!$B$4:$EX$4,FALSE),FALSE)</f>
        <v>273.5</v>
      </c>
      <c r="AD59" s="1413">
        <f ca="1">+VLOOKUP($AI59,Model!$B:$EX,MATCH('Fin Sum'!AD$22,Model!$B$4:$EX$4,FALSE),FALSE)+VLOOKUP($AJ59,Model!$B:$EX,MATCH('Fin Sum'!AD$22,Model!$B$4:$EX$4,FALSE),FALSE)</f>
        <v>238.10000000000002</v>
      </c>
      <c r="AE59" s="1413">
        <f ca="1">+VLOOKUP($AI59,Model!$B:$EX,MATCH('Fin Sum'!AE$22,Model!$B$4:$EX$4,FALSE),FALSE)+VLOOKUP($AJ59,Model!$B:$EX,MATCH('Fin Sum'!AE$22,Model!$B$4:$EX$4,FALSE),FALSE)</f>
        <v>239.7</v>
      </c>
      <c r="AF59" s="1413">
        <f ca="1">+VLOOKUP($AI59,Model!$B:$EX,MATCH('Fin Sum'!AF$22,Model!$B$4:$EX$4,FALSE),FALSE)+VLOOKUP($AJ59,Model!$B:$EX,MATCH('Fin Sum'!AF$22,Model!$B$4:$EX$4,FALSE),FALSE)</f>
        <v>239.7</v>
      </c>
      <c r="AG59" s="1413">
        <f ca="1">+VLOOKUP($AI59,Model!$B:$EX,MATCH('Fin Sum'!AG$22,Model!$B$4:$EX$4,FALSE),FALSE)+VLOOKUP($AJ59,Model!$B:$EX,MATCH('Fin Sum'!AG$22,Model!$B$4:$EX$4,FALSE),FALSE)</f>
        <v>239.7</v>
      </c>
      <c r="AI59" s="1451" t="s">
        <v>728</v>
      </c>
      <c r="AJ59" s="1451" t="s">
        <v>281</v>
      </c>
    </row>
    <row r="60" spans="1:50" ht="11.25" customHeight="1">
      <c r="A60" s="1392"/>
      <c r="B60" s="1449" t="s">
        <v>1041</v>
      </c>
      <c r="C60" s="1392" t="s">
        <v>316</v>
      </c>
      <c r="D60" s="1413">
        <f>+VLOOKUP($B60,Segment!$1:$1048576,MATCH('Fin Sum'!D$51,Segment!$2:$2,FALSE),FALSE)</f>
        <v>402.96200000000005</v>
      </c>
      <c r="E60" s="1413">
        <f>+VLOOKUP($B60,Segment!$1:$1048576,MATCH('Fin Sum'!E$51,Segment!$2:$2,FALSE),FALSE)</f>
        <v>518.94347489404504</v>
      </c>
      <c r="F60" s="1413">
        <f>+VLOOKUP($B60,Segment!$1:$1048576,MATCH('Fin Sum'!F$51,Segment!$2:$2,FALSE),FALSE)</f>
        <v>595.00608513141924</v>
      </c>
      <c r="G60" s="1413">
        <f>+VLOOKUP($B60,Segment!$1:$1048576,MATCH('Fin Sum'!G$51,Segment!$2:$2,FALSE),FALSE)</f>
        <v>644.03739359812857</v>
      </c>
      <c r="H60" s="1413">
        <f>+VLOOKUP($B60,Segment!$1:$1048576,MATCH('Fin Sum'!H$51,Segment!$2:$2,FALSE),FALSE)</f>
        <v>686.87521959708499</v>
      </c>
      <c r="I60" s="1413">
        <f>+VLOOKUP($B60,Segment!$1:$1048576,MATCH('Fin Sum'!I$51,Segment!$2:$2,FALSE),FALSE)</f>
        <v>651.73278071000891</v>
      </c>
      <c r="J60" s="1413">
        <f>+VLOOKUP($B60,Segment!$1:$1048576,MATCH('Fin Sum'!J$51,Segment!$2:$2,FALSE),FALSE)</f>
        <v>724.8</v>
      </c>
      <c r="K60" s="1413">
        <f>+VLOOKUP($B60,Segment!$1:$1048576,MATCH('Fin Sum'!K$51,Segment!$2:$2,FALSE),FALSE)</f>
        <v>779.7</v>
      </c>
      <c r="L60" s="1413">
        <f>+VLOOKUP($B60,Segment!$1:$1048576,MATCH('Fin Sum'!L$51,Segment!$2:$2,FALSE),FALSE)</f>
        <v>978.3</v>
      </c>
      <c r="M60" s="1413">
        <f>+VLOOKUP($B60,Segment!$1:$1048576,MATCH('Fin Sum'!M$51,Segment!$2:$2,FALSE),FALSE)</f>
        <v>1140.7</v>
      </c>
      <c r="N60" s="1413">
        <f>+VLOOKUP($B60,Segment!$1:$1048576,MATCH('Fin Sum'!N$51,Segment!$2:$2,FALSE),FALSE)</f>
        <v>1137.3</v>
      </c>
      <c r="O60" s="1413">
        <f>+VLOOKUP($B60,Segment!$1:$1048576,MATCH('Fin Sum'!O$51,Segment!$2:$2,FALSE),FALSE)</f>
        <v>1193.1923091562417</v>
      </c>
      <c r="P60" s="1413">
        <f>+VLOOKUP($B60,Segment!$1:$1048576,MATCH('Fin Sum'!P$51,Segment!$2:$2,FALSE),FALSE)</f>
        <v>1326.9250261017773</v>
      </c>
      <c r="Q60" s="1413">
        <f>+VLOOKUP($B60,Segment!$1:$1048576,MATCH('Fin Sum'!Q$51,Segment!$2:$2,FALSE),FALSE)</f>
        <v>1443.5539884196082</v>
      </c>
      <c r="R60" s="1392"/>
      <c r="S60" s="1446" t="s">
        <v>571</v>
      </c>
      <c r="T60" s="1447">
        <f t="shared" ref="T60:AA60" si="91">IF(AND(T57&lt;&gt;"",T59&lt;&gt;"",T61&lt;&gt;""),T61-SUM(T57:T59),"")</f>
        <v>201.38600000000002</v>
      </c>
      <c r="U60" s="1447">
        <f t="shared" si="91"/>
        <v>154.26100000000002</v>
      </c>
      <c r="V60" s="1447">
        <f t="shared" si="91"/>
        <v>195.36299999999994</v>
      </c>
      <c r="W60" s="1447">
        <f t="shared" si="91"/>
        <v>219.99999999999989</v>
      </c>
      <c r="X60" s="1447">
        <f t="shared" si="91"/>
        <v>277.30000000000007</v>
      </c>
      <c r="Y60" s="1447">
        <f t="shared" si="91"/>
        <v>250.20000000000016</v>
      </c>
      <c r="Z60" s="1447">
        <f t="shared" si="91"/>
        <v>290.19999999999993</v>
      </c>
      <c r="AA60" s="1448">
        <f t="shared" si="91"/>
        <v>360.1</v>
      </c>
      <c r="AB60" s="1448">
        <f t="shared" ref="AB60:AG60" ca="1" si="92">IF(AND(AB57&lt;&gt;"",AB59&lt;&gt;"",AB61&lt;&gt;""),AB61-SUM(AB57:AB59),"")</f>
        <v>531.40000000000009</v>
      </c>
      <c r="AC60" s="1448">
        <f t="shared" ca="1" si="92"/>
        <v>589.50000000000011</v>
      </c>
      <c r="AD60" s="1448">
        <f t="shared" ca="1" si="92"/>
        <v>594.40000000000009</v>
      </c>
      <c r="AE60" s="1448">
        <f t="shared" ca="1" si="92"/>
        <v>581.98911065962614</v>
      </c>
      <c r="AF60" s="1448">
        <f t="shared" ca="1" si="92"/>
        <v>596.07032536660643</v>
      </c>
      <c r="AG60" s="1448">
        <f t="shared" ca="1" si="92"/>
        <v>599.61185278178721</v>
      </c>
    </row>
    <row r="61" spans="1:50" ht="11.25" customHeight="1">
      <c r="A61" s="1392"/>
      <c r="B61" s="1384"/>
      <c r="C61" s="1392" t="s">
        <v>1036</v>
      </c>
      <c r="D61" s="1384"/>
      <c r="E61" s="1406">
        <f t="shared" ref="E61" si="93">+E60/D60-1</f>
        <v>0.28782236263976491</v>
      </c>
      <c r="F61" s="1406">
        <f t="shared" ref="F61" si="94">+F60/E60-1</f>
        <v>0.14657205248202465</v>
      </c>
      <c r="G61" s="1406">
        <f t="shared" ref="G61" si="95">+G60/F60-1</f>
        <v>8.2404717686004547E-2</v>
      </c>
      <c r="H61" s="1406">
        <f t="shared" ref="H61" si="96">+H60/G60-1</f>
        <v>6.6514501214950617E-2</v>
      </c>
      <c r="I61" s="1406">
        <f t="shared" ref="I61" si="97">+I60/H60-1</f>
        <v>-5.1162770011837555E-2</v>
      </c>
      <c r="J61" s="1406">
        <f t="shared" ref="J61" si="98">+J60/I60-1</f>
        <v>0.11211223595411357</v>
      </c>
      <c r="K61" s="1406">
        <f t="shared" ref="K61" si="99">+K60/J60-1</f>
        <v>7.5745033112582849E-2</v>
      </c>
      <c r="L61" s="1452">
        <f t="shared" ref="L61" si="100">+L60/K60-1</f>
        <v>0.25471335128895722</v>
      </c>
      <c r="M61" s="1452">
        <f t="shared" ref="M61" si="101">+M60/L60-1</f>
        <v>0.16600224879893699</v>
      </c>
      <c r="N61" s="1452">
        <f t="shared" ref="N61" si="102">+N60/M60-1</f>
        <v>-2.9806259314456574E-3</v>
      </c>
      <c r="O61" s="1452">
        <f t="shared" ref="O61" si="103">+O60/N60-1</f>
        <v>4.9144736794374033E-2</v>
      </c>
      <c r="P61" s="1452">
        <f>+P60/O60-1</f>
        <v>0.11207976779543949</v>
      </c>
      <c r="Q61" s="1452">
        <f>+Q60/P60-1</f>
        <v>8.7894161330623E-2</v>
      </c>
      <c r="R61" s="1392"/>
      <c r="S61" s="1440" t="s">
        <v>922</v>
      </c>
      <c r="T61" s="1444">
        <f>Model!CQ305</f>
        <v>506.31200000000001</v>
      </c>
      <c r="U61" s="1444">
        <f>Model!CV305</f>
        <v>508.80599999999998</v>
      </c>
      <c r="V61" s="1444">
        <f>Model!CY305</f>
        <v>592.71199999999999</v>
      </c>
      <c r="W61" s="1444">
        <f>Model!DB305</f>
        <v>546.09999999999991</v>
      </c>
      <c r="X61" s="1444">
        <f>Model!DE305</f>
        <v>653.30000000000007</v>
      </c>
      <c r="Y61" s="1444">
        <f>Model!DH305</f>
        <v>1174.1000000000001</v>
      </c>
      <c r="Z61" s="1444">
        <f>Model!DK305</f>
        <v>736.5</v>
      </c>
      <c r="AA61" s="1445">
        <f>Model!DN305</f>
        <v>779.4</v>
      </c>
      <c r="AB61" s="1445">
        <f ca="1">+VLOOKUP($AI61,Model!$B:$EX,MATCH('Fin Sum'!AB$22,Model!$B$4:$EX$4,FALSE),FALSE)</f>
        <v>819.90000000000009</v>
      </c>
      <c r="AC61" s="1445">
        <f ca="1">+VLOOKUP($AI61,Model!$B:$EX,MATCH('Fin Sum'!AC$22,Model!$B$4:$EX$4,FALSE),FALSE)</f>
        <v>904.60000000000014</v>
      </c>
      <c r="AD61" s="1445">
        <f ca="1">+VLOOKUP($AI61,Model!$B:$EX,MATCH('Fin Sum'!AD$22,Model!$B$4:$EX$4,FALSE),FALSE)</f>
        <v>874.7</v>
      </c>
      <c r="AE61" s="1445">
        <f ca="1">+VLOOKUP($AI61,Model!$B:$EX,MATCH('Fin Sum'!AE$22,Model!$B$4:$EX$4,FALSE),FALSE)</f>
        <v>863.88911065962611</v>
      </c>
      <c r="AF61" s="1445">
        <f ca="1">+VLOOKUP($AI61,Model!$B:$EX,MATCH('Fin Sum'!AF$22,Model!$B$4:$EX$4,FALSE),FALSE)</f>
        <v>877.9703253666064</v>
      </c>
      <c r="AG61" s="1445">
        <f ca="1">+VLOOKUP($AI61,Model!$B:$EX,MATCH('Fin Sum'!AG$22,Model!$B$4:$EX$4,FALSE),FALSE)</f>
        <v>881.51185278178718</v>
      </c>
      <c r="AI61" s="1451" t="s">
        <v>922</v>
      </c>
    </row>
    <row r="62" spans="1:50" ht="11.25" customHeight="1">
      <c r="A62" s="1392"/>
      <c r="B62" s="1449" t="s">
        <v>1042</v>
      </c>
      <c r="C62" s="1392" t="s">
        <v>394</v>
      </c>
      <c r="D62" s="1413">
        <f>+VLOOKUP($B62,Segment!$1:$1048576,MATCH('Fin Sum'!D$51,Segment!$2:$2,FALSE),FALSE)</f>
        <v>377.63199999999989</v>
      </c>
      <c r="E62" s="1413">
        <f>+VLOOKUP($B62,Segment!$1:$1048576,MATCH('Fin Sum'!E$51,Segment!$2:$2,FALSE),FALSE)</f>
        <v>427.21367478718446</v>
      </c>
      <c r="F62" s="1413">
        <f>+VLOOKUP($B62,Segment!$1:$1048576,MATCH('Fin Sum'!F$51,Segment!$2:$2,FALSE),FALSE)</f>
        <v>428.53008884794122</v>
      </c>
      <c r="G62" s="1413">
        <f>+VLOOKUP($B62,Segment!$1:$1048576,MATCH('Fin Sum'!G$51,Segment!$2:$2,FALSE),FALSE)</f>
        <v>470.22427780010651</v>
      </c>
      <c r="H62" s="1413">
        <f>+VLOOKUP($B62,Segment!$1:$1048576,MATCH('Fin Sum'!H$51,Segment!$2:$2,FALSE),FALSE)</f>
        <v>517.99531977573338</v>
      </c>
      <c r="I62" s="1413">
        <f>+VLOOKUP($B62,Segment!$1:$1048576,MATCH('Fin Sum'!I$51,Segment!$2:$2,FALSE),FALSE)</f>
        <v>482.33672569121961</v>
      </c>
      <c r="J62" s="1413">
        <f>+VLOOKUP($B62,Segment!$1:$1048576,MATCH('Fin Sum'!J$51,Segment!$2:$2,FALSE),FALSE)</f>
        <v>517.70000000000005</v>
      </c>
      <c r="K62" s="1413">
        <f>+VLOOKUP($B62,Segment!$1:$1048576,MATCH('Fin Sum'!K$51,Segment!$2:$2,FALSE),FALSE)</f>
        <v>578.5</v>
      </c>
      <c r="L62" s="1413">
        <f>+VLOOKUP($B62,Segment!$1:$1048576,MATCH('Fin Sum'!L$51,Segment!$2:$2,FALSE),FALSE)</f>
        <v>639.4</v>
      </c>
      <c r="M62" s="1413">
        <f>+VLOOKUP($B62,Segment!$1:$1048576,MATCH('Fin Sum'!M$51,Segment!$2:$2,FALSE),FALSE)</f>
        <v>745.6</v>
      </c>
      <c r="N62" s="1413">
        <f>+VLOOKUP($B62,Segment!$1:$1048576,MATCH('Fin Sum'!N$51,Segment!$2:$2,FALSE),FALSE)</f>
        <v>789.7</v>
      </c>
      <c r="O62" s="1413">
        <f>+VLOOKUP($B62,Segment!$1:$1048576,MATCH('Fin Sum'!O$51,Segment!$2:$2,FALSE),FALSE)</f>
        <v>871.49270196035422</v>
      </c>
      <c r="P62" s="1413">
        <f>+VLOOKUP($B62,Segment!$1:$1048576,MATCH('Fin Sum'!P$51,Segment!$2:$2,FALSE),FALSE)</f>
        <v>971.10223815072686</v>
      </c>
      <c r="Q62" s="1413">
        <f>+VLOOKUP($B62,Segment!$1:$1048576,MATCH('Fin Sum'!Q$51,Segment!$2:$2,FALSE),FALSE)</f>
        <v>1056.4828457486419</v>
      </c>
      <c r="R62" s="1392"/>
      <c r="S62" s="1392" t="s">
        <v>8</v>
      </c>
      <c r="T62" s="1397">
        <f ca="1">+VLOOKUP($AI62,Model!$B:$EX,MATCH('Fin Sum'!T$22,Model!$B$4:$EX$4,FALSE),FALSE)+VLOOKUP($AJ62,Model!$B:$EX,MATCH('Fin Sum'!T$22,Model!$B$4:$EX$4,FALSE),FALSE)</f>
        <v>117.935</v>
      </c>
      <c r="U62" s="1397">
        <f ca="1">+VLOOKUP($AI62,Model!$B:$EX,MATCH('Fin Sum'!U$22,Model!$B$4:$EX$4,FALSE),FALSE)+VLOOKUP($AJ62,Model!$B:$EX,MATCH('Fin Sum'!U$22,Model!$B$4:$EX$4,FALSE),FALSE)</f>
        <v>144.27799999999999</v>
      </c>
      <c r="V62" s="1397">
        <f ca="1">+VLOOKUP($AI62,Model!$B:$EX,MATCH('Fin Sum'!V$22,Model!$B$4:$EX$4,FALSE),FALSE)+VLOOKUP($AJ62,Model!$B:$EX,MATCH('Fin Sum'!V$22,Model!$B$4:$EX$4,FALSE),FALSE)</f>
        <v>156.566</v>
      </c>
      <c r="W62" s="1397">
        <f ca="1">+VLOOKUP($AI62,Model!$B:$EX,MATCH('Fin Sum'!W$22,Model!$B$4:$EX$4,FALSE),FALSE)+VLOOKUP($AJ62,Model!$B:$EX,MATCH('Fin Sum'!W$22,Model!$B$4:$EX$4,FALSE),FALSE)</f>
        <v>139.19999999999999</v>
      </c>
      <c r="X62" s="1397">
        <f ca="1">+VLOOKUP($AI62,Model!$B:$EX,MATCH('Fin Sum'!X$22,Model!$B$4:$EX$4,FALSE),FALSE)+VLOOKUP($AJ62,Model!$B:$EX,MATCH('Fin Sum'!X$22,Model!$B$4:$EX$4,FALSE),FALSE)</f>
        <v>167</v>
      </c>
      <c r="Y62" s="1397">
        <f ca="1">+VLOOKUP($AI62,Model!$B:$EX,MATCH('Fin Sum'!Y$22,Model!$B$4:$EX$4,FALSE),FALSE)+VLOOKUP($AJ62,Model!$B:$EX,MATCH('Fin Sum'!Y$22,Model!$B$4:$EX$4,FALSE),FALSE)</f>
        <v>1285.1000000000001</v>
      </c>
      <c r="Z62" s="1397">
        <f ca="1">+VLOOKUP($AI62,Model!$B:$EX,MATCH('Fin Sum'!Z$22,Model!$B$4:$EX$4,FALSE),FALSE)+VLOOKUP($AJ62,Model!$B:$EX,MATCH('Fin Sum'!Z$22,Model!$B$4:$EX$4,FALSE),FALSE)</f>
        <v>1334.5</v>
      </c>
      <c r="AA62" s="1413">
        <f ca="1">+VLOOKUP($AI62,Model!$B:$EX,MATCH('Fin Sum'!AA$22,Model!$B$4:$EX$4,FALSE),FALSE)+VLOOKUP($AJ62,Model!$B:$EX,MATCH('Fin Sum'!AA$22,Model!$B$4:$EX$4,FALSE),FALSE)</f>
        <v>1230.3999999999999</v>
      </c>
      <c r="AB62" s="1413">
        <f ca="1">+VLOOKUP($AI62,Model!$B:$EX,MATCH('Fin Sum'!AB$22,Model!$B$4:$EX$4,FALSE),FALSE)+VLOOKUP($AJ62,Model!$B:$EX,MATCH('Fin Sum'!AB$22,Model!$B$4:$EX$4,FALSE),FALSE)</f>
        <v>1193.3999999999999</v>
      </c>
      <c r="AC62" s="1413">
        <f ca="1">+VLOOKUP($AI62,Model!$B:$EX,MATCH('Fin Sum'!AC$22,Model!$B$4:$EX$4,FALSE),FALSE)+VLOOKUP($AJ62,Model!$B:$EX,MATCH('Fin Sum'!AC$22,Model!$B$4:$EX$4,FALSE),FALSE)</f>
        <v>1172.6000000000001</v>
      </c>
      <c r="AD62" s="1413">
        <f ca="1">+VLOOKUP($AI62,Model!$B:$EX,MATCH('Fin Sum'!AD$22,Model!$B$4:$EX$4,FALSE),FALSE)+VLOOKUP($AJ62,Model!$B:$EX,MATCH('Fin Sum'!AD$22,Model!$B$4:$EX$4,FALSE),FALSE)</f>
        <v>1173</v>
      </c>
      <c r="AE62" s="1413">
        <f ca="1">+VLOOKUP($AI62,Model!$B:$EX,MATCH('Fin Sum'!AE$22,Model!$B$4:$EX$4,FALSE),FALSE)+VLOOKUP($AJ62,Model!$B:$EX,MATCH('Fin Sum'!AE$22,Model!$B$4:$EX$4,FALSE),FALSE)</f>
        <v>1102.4000000000001</v>
      </c>
      <c r="AF62" s="1413">
        <f ca="1">+VLOOKUP($AI62,Model!$B:$EX,MATCH('Fin Sum'!AF$22,Model!$B$4:$EX$4,FALSE),FALSE)+VLOOKUP($AJ62,Model!$B:$EX,MATCH('Fin Sum'!AF$22,Model!$B$4:$EX$4,FALSE),FALSE)</f>
        <v>1002.4000000000001</v>
      </c>
      <c r="AG62" s="1413">
        <f ca="1">+VLOOKUP($AI62,Model!$B:$EX,MATCH('Fin Sum'!AG$22,Model!$B$4:$EX$4,FALSE),FALSE)+VLOOKUP($AJ62,Model!$B:$EX,MATCH('Fin Sum'!AG$22,Model!$B$4:$EX$4,FALSE),FALSE)</f>
        <v>902.40000000000009</v>
      </c>
      <c r="AI62" s="1451" t="s">
        <v>388</v>
      </c>
      <c r="AJ62" s="1451" t="s">
        <v>263</v>
      </c>
    </row>
    <row r="63" spans="1:50" ht="11.25" customHeight="1">
      <c r="A63" s="1392"/>
      <c r="B63" s="1384"/>
      <c r="C63" s="1392" t="s">
        <v>1036</v>
      </c>
      <c r="D63" s="1406">
        <f>Segment!CS30</f>
        <v>5.3485915319283185E-2</v>
      </c>
      <c r="E63" s="1406">
        <f t="shared" ref="E63" si="104">+E62/D62-1</f>
        <v>0.13129627464617566</v>
      </c>
      <c r="F63" s="1406">
        <f t="shared" ref="F63" si="105">+F62/E62-1</f>
        <v>3.0813949516306227E-3</v>
      </c>
      <c r="G63" s="1406">
        <f t="shared" ref="G63" si="106">+G62/F62-1</f>
        <v>9.7295825980984851E-2</v>
      </c>
      <c r="H63" s="1406">
        <f t="shared" ref="H63" si="107">+H62/G62-1</f>
        <v>0.10159203646208681</v>
      </c>
      <c r="I63" s="1406">
        <f t="shared" ref="I63" si="108">+I62/H62-1</f>
        <v>-6.8839606697512656E-2</v>
      </c>
      <c r="J63" s="1406">
        <f t="shared" ref="J63" si="109">+J62/I62-1</f>
        <v>7.3316569991850766E-2</v>
      </c>
      <c r="K63" s="1406">
        <f t="shared" ref="K63" si="110">+K62/J62-1</f>
        <v>0.11744253428626616</v>
      </c>
      <c r="L63" s="1452">
        <f t="shared" ref="L63" si="111">+L62/K62-1</f>
        <v>0.10527225583405353</v>
      </c>
      <c r="M63" s="1452">
        <f t="shared" ref="M63" si="112">+M62/L62-1</f>
        <v>0.16609321238661257</v>
      </c>
      <c r="N63" s="1452">
        <f t="shared" ref="N63" si="113">+N62/M62-1</f>
        <v>5.9146995708154515E-2</v>
      </c>
      <c r="O63" s="1452">
        <f t="shared" ref="O63" si="114">+O62/N62-1</f>
        <v>0.10357439782240618</v>
      </c>
      <c r="P63" s="1452">
        <f>+P62/O62-1</f>
        <v>0.1142976136992413</v>
      </c>
      <c r="Q63" s="1452">
        <f>+Q62/P62-1</f>
        <v>8.792133746958064E-2</v>
      </c>
      <c r="R63" s="1392"/>
      <c r="S63" s="1446" t="s">
        <v>501</v>
      </c>
      <c r="T63" s="1447">
        <f>Model!CQ319</f>
        <v>216.166</v>
      </c>
      <c r="U63" s="1447">
        <f>Model!CV319</f>
        <v>304.279</v>
      </c>
      <c r="V63" s="1447">
        <f>Model!CY319</f>
        <v>387.08100000000002</v>
      </c>
      <c r="W63" s="1447">
        <f>Model!DB319</f>
        <v>471.6</v>
      </c>
      <c r="X63" s="1447">
        <f>Model!DE319</f>
        <v>558.9</v>
      </c>
      <c r="Y63" s="1447">
        <f>Model!DH319</f>
        <v>116.4</v>
      </c>
      <c r="Z63" s="1447">
        <f>Model!DK319</f>
        <v>367.2</v>
      </c>
      <c r="AA63" s="1448">
        <f>Model!DN319</f>
        <v>455.3</v>
      </c>
      <c r="AB63" s="1448">
        <f ca="1">+VLOOKUP($AI63,Model!$B:$EX,MATCH('Fin Sum'!AB$22,Model!$B$4:$EX$4,FALSE),FALSE)</f>
        <v>555.4</v>
      </c>
      <c r="AC63" s="1448">
        <f ca="1">+VLOOKUP($AI63,Model!$B:$EX,MATCH('Fin Sum'!AC$22,Model!$B$4:$EX$4,FALSE),FALSE)</f>
        <v>667.9</v>
      </c>
      <c r="AD63" s="1448">
        <f ca="1">+VLOOKUP($AI63,Model!$B:$EX,MATCH('Fin Sum'!AD$22,Model!$B$4:$EX$4,FALSE),FALSE)</f>
        <v>777.3</v>
      </c>
      <c r="AE63" s="1448">
        <f ca="1">+VLOOKUP($AI63,Model!$B:$EX,MATCH('Fin Sum'!AE$22,Model!$B$4:$EX$4,FALSE),FALSE)</f>
        <v>831.27376144898699</v>
      </c>
      <c r="AF63" s="1448">
        <f ca="1">+VLOOKUP($AI63,Model!$B:$EX,MATCH('Fin Sum'!AF$22,Model!$B$4:$EX$4,FALSE),FALSE)</f>
        <v>937.88686125533241</v>
      </c>
      <c r="AG63" s="1448">
        <f ca="1">+VLOOKUP($AI63,Model!$B:$EX,MATCH('Fin Sum'!AG$22,Model!$B$4:$EX$4,FALSE),FALSE)</f>
        <v>1114.5856032750053</v>
      </c>
      <c r="AI63" s="1451" t="s">
        <v>501</v>
      </c>
      <c r="AN63" s="1412"/>
      <c r="AO63" s="1412"/>
      <c r="AP63" s="1412"/>
      <c r="AQ63" s="1412"/>
      <c r="AR63" s="1412"/>
      <c r="AS63" s="1412"/>
      <c r="AT63" s="1412"/>
      <c r="AU63" s="1412"/>
      <c r="AV63" s="1412"/>
      <c r="AW63" s="1412"/>
      <c r="AX63" s="1412"/>
    </row>
    <row r="64" spans="1:50" ht="11.25" customHeight="1">
      <c r="A64" s="1392"/>
      <c r="B64" s="1449" t="s">
        <v>1043</v>
      </c>
      <c r="C64" s="1392" t="s">
        <v>909</v>
      </c>
      <c r="D64" s="1413">
        <f>+VLOOKUP($B64,Segment!$1:$1048576,MATCH('Fin Sum'!D$51,Segment!$2:$2,FALSE),FALSE)</f>
        <v>161.30500000000001</v>
      </c>
      <c r="E64" s="1413">
        <f>+VLOOKUP($B64,Segment!$1:$1048576,MATCH('Fin Sum'!E$51,Segment!$2:$2,FALSE),FALSE)</f>
        <v>210.30182023699479</v>
      </c>
      <c r="F64" s="1413">
        <f>+VLOOKUP($B64,Segment!$1:$1048576,MATCH('Fin Sum'!F$51,Segment!$2:$2,FALSE),FALSE)</f>
        <v>216.20892357438527</v>
      </c>
      <c r="G64" s="1413">
        <f>+VLOOKUP($B64,Segment!$1:$1048576,MATCH('Fin Sum'!G$51,Segment!$2:$2,FALSE),FALSE)</f>
        <v>216.84739151604333</v>
      </c>
      <c r="H64" s="1413">
        <f>+VLOOKUP($B64,Segment!$1:$1048576,MATCH('Fin Sum'!H$51,Segment!$2:$2,FALSE),FALSE)</f>
        <v>238.06198205347567</v>
      </c>
      <c r="I64" s="1413">
        <f>+VLOOKUP($B64,Segment!$1:$1048576,MATCH('Fin Sum'!I$51,Segment!$2:$2,FALSE),FALSE)</f>
        <v>222.75837254626322</v>
      </c>
      <c r="J64" s="1413">
        <f>+VLOOKUP($B64,Segment!$1:$1048576,MATCH('Fin Sum'!J$51,Segment!$2:$2,FALSE),FALSE)</f>
        <v>250.8</v>
      </c>
      <c r="K64" s="1413">
        <f>+VLOOKUP($B64,Segment!$1:$1048576,MATCH('Fin Sum'!K$51,Segment!$2:$2,FALSE),FALSE)</f>
        <v>282.89999999999998</v>
      </c>
      <c r="L64" s="1413">
        <f>+VLOOKUP($B64,Segment!$1:$1048576,MATCH('Fin Sum'!L$51,Segment!$2:$2,FALSE),FALSE)</f>
        <v>338</v>
      </c>
      <c r="M64" s="1413">
        <f>+VLOOKUP($B64,Segment!$1:$1048576,MATCH('Fin Sum'!M$51,Segment!$2:$2,FALSE),FALSE)</f>
        <v>371.9</v>
      </c>
      <c r="N64" s="1413">
        <f>+VLOOKUP($B64,Segment!$1:$1048576,MATCH('Fin Sum'!N$51,Segment!$2:$2,FALSE),FALSE)</f>
        <v>428.8</v>
      </c>
      <c r="O64" s="1413">
        <f>+VLOOKUP($B64,Segment!$1:$1048576,MATCH('Fin Sum'!O$51,Segment!$2:$2,FALSE),FALSE)</f>
        <v>448.68124882367829</v>
      </c>
      <c r="P64" s="1413">
        <f>+VLOOKUP($B64,Segment!$1:$1048576,MATCH('Fin Sum'!P$51,Segment!$2:$2,FALSE),FALSE)</f>
        <v>518.62455171765532</v>
      </c>
      <c r="Q64" s="1413">
        <f>+VLOOKUP($B64,Segment!$1:$1048576,MATCH('Fin Sum'!Q$51,Segment!$2:$2,FALSE),FALSE)</f>
        <v>564.20868148635043</v>
      </c>
      <c r="R64" s="1392"/>
      <c r="S64" s="1440" t="s">
        <v>1047</v>
      </c>
      <c r="T64" s="1445">
        <v>1748.7999999999997</v>
      </c>
      <c r="U64" s="1445">
        <f t="shared" ref="U64:AA64" ca="1" si="115">+U62+U63</f>
        <v>448.55700000000002</v>
      </c>
      <c r="V64" s="1445">
        <f t="shared" ca="1" si="115"/>
        <v>543.64700000000005</v>
      </c>
      <c r="W64" s="1445">
        <f t="shared" ca="1" si="115"/>
        <v>610.79999999999995</v>
      </c>
      <c r="X64" s="1445">
        <f t="shared" ca="1" si="115"/>
        <v>725.9</v>
      </c>
      <c r="Y64" s="1445">
        <f t="shared" ca="1" si="115"/>
        <v>1401.5000000000002</v>
      </c>
      <c r="Z64" s="1445">
        <f t="shared" ca="1" si="115"/>
        <v>1701.7</v>
      </c>
      <c r="AA64" s="1445">
        <f t="shared" ca="1" si="115"/>
        <v>1685.6999999999998</v>
      </c>
      <c r="AB64" s="1445">
        <f ca="1">+AB62+AB63</f>
        <v>1748.7999999999997</v>
      </c>
      <c r="AC64" s="1445">
        <f t="shared" ref="AC64:AF64" ca="1" si="116">+AC62+AC63</f>
        <v>1840.5</v>
      </c>
      <c r="AD64" s="1445">
        <f t="shared" ca="1" si="116"/>
        <v>1950.3</v>
      </c>
      <c r="AE64" s="1445">
        <f t="shared" ca="1" si="116"/>
        <v>1933.6737614489871</v>
      </c>
      <c r="AF64" s="1445">
        <f t="shared" ca="1" si="116"/>
        <v>1940.2868612553325</v>
      </c>
      <c r="AG64" s="1445">
        <f t="shared" ref="AG64" ca="1" si="117">+AG62+AG63</f>
        <v>2016.9856032750054</v>
      </c>
    </row>
    <row r="65" spans="1:35" ht="11.25" customHeight="1">
      <c r="A65" s="1392"/>
      <c r="B65" s="1384"/>
      <c r="C65" s="1392" t="s">
        <v>1036</v>
      </c>
      <c r="D65" s="1406">
        <f>Segment!CS31</f>
        <v>0.13912993163563048</v>
      </c>
      <c r="E65" s="1406">
        <f t="shared" ref="E65" si="118">+E64/D64-1</f>
        <v>0.30375264397876545</v>
      </c>
      <c r="F65" s="1406">
        <f t="shared" ref="F65" si="119">+F64/E64-1</f>
        <v>2.8088693339570758E-2</v>
      </c>
      <c r="G65" s="1406">
        <f t="shared" ref="G65" si="120">+G64/F64-1</f>
        <v>2.9530138308024867E-3</v>
      </c>
      <c r="H65" s="1406">
        <f t="shared" ref="H65" si="121">+H64/G64-1</f>
        <v>9.7831891770129076E-2</v>
      </c>
      <c r="I65" s="1406">
        <f t="shared" ref="I65" si="122">+I64/H64-1</f>
        <v>-6.4284138841517402E-2</v>
      </c>
      <c r="J65" s="1406">
        <f t="shared" ref="J65" si="123">+J64/I64-1</f>
        <v>0.12588360712643021</v>
      </c>
      <c r="K65" s="1406">
        <f t="shared" ref="K65" si="124">+K64/J64-1</f>
        <v>0.12799043062200943</v>
      </c>
      <c r="L65" s="1452">
        <f t="shared" ref="L65" si="125">+L64/K64-1</f>
        <v>0.19476846942382475</v>
      </c>
      <c r="M65" s="1452">
        <f t="shared" ref="M65" si="126">+M64/L64-1</f>
        <v>0.10029585798816565</v>
      </c>
      <c r="N65" s="1452">
        <f t="shared" ref="N65" si="127">+N64/M64-1</f>
        <v>0.15299811777359507</v>
      </c>
      <c r="O65" s="1452">
        <f t="shared" ref="O65" si="128">+O64/N64-1</f>
        <v>4.6364852667160061E-2</v>
      </c>
      <c r="P65" s="1452">
        <f>+P64/O64-1</f>
        <v>0.15588639613834898</v>
      </c>
      <c r="Q65" s="1452">
        <f>+Q64/P64-1</f>
        <v>8.7894276539209448E-2</v>
      </c>
      <c r="R65" s="1392"/>
      <c r="S65" s="1446" t="s">
        <v>343</v>
      </c>
      <c r="T65" s="1447" t="str">
        <f>Model!CQ321</f>
        <v/>
      </c>
      <c r="U65" s="1447">
        <f>Model!CV321</f>
        <v>0</v>
      </c>
      <c r="V65" s="1447" t="str">
        <f>Model!CY321</f>
        <v/>
      </c>
      <c r="W65" s="1447" t="str">
        <f>Model!DB321</f>
        <v/>
      </c>
      <c r="X65" s="1447" t="str">
        <f>Model!DE321</f>
        <v/>
      </c>
      <c r="Y65" s="1447" t="str">
        <f>Model!DH321</f>
        <v/>
      </c>
      <c r="Z65" s="1447" t="str">
        <f>Model!DK321</f>
        <v/>
      </c>
      <c r="AA65" s="1448" t="str">
        <f>Model!DN321</f>
        <v/>
      </c>
      <c r="AB65" s="1448" t="str">
        <f ca="1">+VLOOKUP($AI65,Model!$B:$EX,MATCH('Fin Sum'!AB$22,Model!$B$4:$EX$4,FALSE),FALSE)</f>
        <v/>
      </c>
      <c r="AC65" s="1448" t="str">
        <f ca="1">+VLOOKUP($AI65,Model!$B:$EX,MATCH('Fin Sum'!AC$22,Model!$B$4:$EX$4,FALSE),FALSE)</f>
        <v/>
      </c>
      <c r="AD65" s="1448" t="str">
        <f ca="1">+VLOOKUP($AI65,Model!$B:$EX,MATCH('Fin Sum'!AD$22,Model!$B$4:$EX$4,FALSE),FALSE)</f>
        <v/>
      </c>
      <c r="AE65" s="1448">
        <f ca="1">+VLOOKUP($AI65,Model!$B:$EX,MATCH('Fin Sum'!AE$22,Model!$B$4:$EX$4,FALSE),FALSE)</f>
        <v>0</v>
      </c>
      <c r="AF65" s="1448">
        <f ca="1">+VLOOKUP($AI65,Model!$B:$EX,MATCH('Fin Sum'!AF$22,Model!$B$4:$EX$4,FALSE),FALSE)</f>
        <v>0</v>
      </c>
      <c r="AG65" s="1448">
        <f ca="1">+VLOOKUP($AI65,Model!$B:$EX,MATCH('Fin Sum'!AG$22,Model!$B$4:$EX$4,FALSE),FALSE)</f>
        <v>0</v>
      </c>
      <c r="AI65" s="1451" t="s">
        <v>503</v>
      </c>
    </row>
    <row r="66" spans="1:35" ht="11.25" customHeight="1">
      <c r="A66" s="1392"/>
      <c r="B66" s="1449" t="s">
        <v>1033</v>
      </c>
      <c r="C66" s="1600" t="s">
        <v>411</v>
      </c>
      <c r="D66" s="1601">
        <f>+VLOOKUP($B66,Segment!$1:$1048576,MATCH('Fin Sum'!D$51,Segment!$2:$2,FALSE),FALSE)</f>
        <v>-16.27</v>
      </c>
      <c r="E66" s="1601">
        <f>+VLOOKUP($B66,Segment!$1:$1048576,MATCH('Fin Sum'!E$51,Segment!$2:$2,FALSE),FALSE)</f>
        <v>-27.579000000000001</v>
      </c>
      <c r="F66" s="1601">
        <f>+VLOOKUP($B66,Segment!$1:$1048576,MATCH('Fin Sum'!F$51,Segment!$2:$2,FALSE),FALSE)</f>
        <v>14.099996832473582</v>
      </c>
      <c r="G66" s="1601">
        <f>+VLOOKUP($B66,Segment!$1:$1048576,MATCH('Fin Sum'!G$51,Segment!$2:$2,FALSE),FALSE)</f>
        <v>12.299982526810808</v>
      </c>
      <c r="H66" s="1601">
        <f>+VLOOKUP($B66,Segment!$1:$1048576,MATCH('Fin Sum'!H$51,Segment!$2:$2,FALSE),FALSE)</f>
        <v>-19.375034423278176</v>
      </c>
      <c r="I66" s="1601">
        <f>+VLOOKUP($B66,Segment!$1:$1048576,MATCH('Fin Sum'!I$51,Segment!$2:$2,FALSE),FALSE)</f>
        <v>-31.7</v>
      </c>
      <c r="J66" s="1601">
        <f>+VLOOKUP($B66,Segment!$1:$1048576,MATCH('Fin Sum'!J$51,Segment!$2:$2,FALSE),FALSE)</f>
        <v>4.3</v>
      </c>
      <c r="K66" s="1601">
        <f>+VLOOKUP($B66,Segment!$1:$1048576,MATCH('Fin Sum'!K$51,Segment!$2:$2,FALSE),FALSE)</f>
        <v>7.2</v>
      </c>
      <c r="L66" s="1601">
        <f>+VLOOKUP($B66,Segment!$1:$1048576,MATCH('Fin Sum'!L$51,Segment!$2:$2,FALSE),FALSE)</f>
        <v>-19.600000000000001</v>
      </c>
      <c r="M66" s="1601">
        <f>+VLOOKUP($B66,Segment!$1:$1048576,MATCH('Fin Sum'!M$51,Segment!$2:$2,FALSE),FALSE)</f>
        <v>-22.6</v>
      </c>
      <c r="N66" s="1601">
        <f>+VLOOKUP($B66,Segment!$1:$1048576,MATCH('Fin Sum'!N$51,Segment!$2:$2,FALSE),FALSE)</f>
        <v>-12.7</v>
      </c>
      <c r="O66" s="1601">
        <f>+VLOOKUP($B66,Segment!$1:$1048576,MATCH('Fin Sum'!O$51,Segment!$2:$2,FALSE),FALSE)</f>
        <v>-3.7963491060694992</v>
      </c>
      <c r="P66" s="1601">
        <f>+VLOOKUP($B66,Segment!$1:$1048576,MATCH('Fin Sum'!P$51,Segment!$2:$2,FALSE),FALSE)</f>
        <v>10.357560863721366</v>
      </c>
      <c r="Q66" s="1601">
        <f>+VLOOKUP($B66,Segment!$1:$1048576,MATCH('Fin Sum'!Q$51,Segment!$2:$2,FALSE),FALSE)</f>
        <v>0</v>
      </c>
      <c r="R66" s="1602"/>
      <c r="S66" s="1617" t="s">
        <v>1048</v>
      </c>
      <c r="T66" s="1618">
        <f t="shared" ref="T66:AC66" si="129">IF(AND(T60&lt;&gt;"",T64&lt;&gt;""),T61+SUM(T64:T65),"")</f>
        <v>2255.1119999999996</v>
      </c>
      <c r="U66" s="1618">
        <f t="shared" ca="1" si="129"/>
        <v>957.36300000000006</v>
      </c>
      <c r="V66" s="1618">
        <f t="shared" ca="1" si="129"/>
        <v>1136.3589999999999</v>
      </c>
      <c r="W66" s="1618">
        <f t="shared" ca="1" si="129"/>
        <v>1156.8999999999999</v>
      </c>
      <c r="X66" s="1618">
        <f t="shared" ca="1" si="129"/>
        <v>1379.2</v>
      </c>
      <c r="Y66" s="1618">
        <f t="shared" ca="1" si="129"/>
        <v>2575.6000000000004</v>
      </c>
      <c r="Z66" s="1618">
        <f t="shared" ca="1" si="129"/>
        <v>2438.1999999999998</v>
      </c>
      <c r="AA66" s="1619">
        <f t="shared" ca="1" si="129"/>
        <v>2465.1</v>
      </c>
      <c r="AB66" s="1619">
        <f t="shared" ca="1" si="129"/>
        <v>2568.6999999999998</v>
      </c>
      <c r="AC66" s="1619">
        <f t="shared" ca="1" si="129"/>
        <v>2745.1000000000004</v>
      </c>
      <c r="AD66" s="1619">
        <f ca="1">IF(AND(AD60&lt;&gt;"",AD64&lt;&gt;""),AD61+SUM(AD64:AD65),"")</f>
        <v>2825</v>
      </c>
      <c r="AE66" s="1619">
        <f ca="1">IF(AND(AE60&lt;&gt;"",AE64&lt;&gt;""),AE61+SUM(AE64:AE65),"")</f>
        <v>2797.5628721086132</v>
      </c>
      <c r="AF66" s="1619">
        <f ca="1">IF(AND(AF60&lt;&gt;"",AF64&lt;&gt;""),AF61+SUM(AF64:AF65),"")</f>
        <v>2818.2571866219387</v>
      </c>
      <c r="AG66" s="1619">
        <f ca="1">IF(AND(AG60&lt;&gt;"",AG64&lt;&gt;""),AG61+SUM(AG64:AG65),"")</f>
        <v>2898.4974560567925</v>
      </c>
    </row>
    <row r="67" spans="1:35" ht="11.25" customHeight="1">
      <c r="A67" s="1392"/>
      <c r="B67" s="1384"/>
      <c r="R67" s="1414"/>
      <c r="AB67" s="1397"/>
      <c r="AC67" s="1397"/>
      <c r="AD67" s="1397"/>
    </row>
    <row r="68" spans="1:35" ht="11.25" customHeight="1">
      <c r="A68" s="1392"/>
      <c r="B68" s="1449"/>
      <c r="C68" s="1392"/>
      <c r="D68" s="1415"/>
      <c r="E68" s="1415"/>
      <c r="F68" s="1415"/>
      <c r="G68" s="1415"/>
      <c r="H68" s="1415"/>
      <c r="I68" s="1415"/>
      <c r="J68" s="1415"/>
      <c r="K68" s="1415"/>
      <c r="L68" s="1415"/>
      <c r="M68" s="1415"/>
      <c r="N68" s="1415"/>
      <c r="O68" s="1415"/>
      <c r="P68" s="1415"/>
      <c r="Q68" s="1415"/>
      <c r="R68" s="1414"/>
      <c r="AB68" s="1397"/>
      <c r="AC68" s="1397"/>
      <c r="AD68" s="1397"/>
    </row>
    <row r="69" spans="1:35">
      <c r="A69" s="1392"/>
      <c r="B69" s="1449"/>
      <c r="C69" s="1392"/>
      <c r="D69" s="1416"/>
      <c r="E69" s="1416"/>
      <c r="F69" s="1416"/>
      <c r="G69" s="1416"/>
      <c r="H69" s="1416"/>
      <c r="I69" s="1416"/>
      <c r="J69" s="1416"/>
      <c r="K69" s="1416"/>
      <c r="L69" s="1416"/>
      <c r="M69" s="1416"/>
      <c r="N69" s="1416"/>
      <c r="O69" s="1416"/>
      <c r="P69" s="1416"/>
      <c r="Q69" s="1416"/>
      <c r="R69" s="1415"/>
    </row>
    <row r="70" spans="1:35">
      <c r="A70" s="1392"/>
      <c r="B70" s="1449"/>
      <c r="C70" s="1392"/>
      <c r="D70" s="1394"/>
      <c r="E70" s="1394"/>
      <c r="F70" s="1394"/>
      <c r="G70" s="1394"/>
      <c r="H70" s="1394"/>
      <c r="I70" s="1394"/>
      <c r="J70" s="1394"/>
      <c r="K70" s="1394"/>
      <c r="L70" s="1394"/>
      <c r="M70" s="1394"/>
      <c r="N70" s="1394"/>
      <c r="O70" s="1394"/>
      <c r="P70" s="1394"/>
      <c r="Q70" s="1394"/>
      <c r="R70" s="1416"/>
      <c r="S70" s="1392"/>
    </row>
    <row r="71" spans="1:35">
      <c r="A71" s="1392"/>
      <c r="B71" s="1449"/>
      <c r="S71" s="1392"/>
      <c r="T71" s="1397"/>
      <c r="U71" s="1397"/>
      <c r="V71" s="1397"/>
      <c r="W71" s="1397"/>
      <c r="X71" s="1397"/>
      <c r="Y71" s="1397"/>
      <c r="Z71" s="1397"/>
      <c r="AA71" s="1397"/>
    </row>
    <row r="72" spans="1:35">
      <c r="A72" s="1392"/>
      <c r="B72" s="1449"/>
      <c r="R72" s="1392"/>
      <c r="S72" s="1392"/>
      <c r="T72" s="1394"/>
      <c r="U72" s="1394"/>
      <c r="V72" s="1394"/>
      <c r="W72" s="1394"/>
      <c r="X72" s="1394"/>
      <c r="Y72" s="1394"/>
      <c r="Z72" s="1394"/>
      <c r="AA72" s="1394"/>
    </row>
    <row r="73" spans="1:35">
      <c r="A73" s="1392"/>
      <c r="B73" s="1449"/>
      <c r="R73" s="1392"/>
      <c r="AB73" s="1397"/>
      <c r="AC73" s="1397"/>
      <c r="AD73" s="1397"/>
    </row>
    <row r="74" spans="1:35">
      <c r="A74" s="1392"/>
      <c r="AB74" s="1394"/>
      <c r="AC74" s="1394"/>
      <c r="AD74" s="1394"/>
    </row>
  </sheetData>
  <phoneticPr fontId="8" type="noConversion"/>
  <pageMargins left="0" right="0" top="0" bottom="0" header="0" footer="0"/>
  <pageSetup paperSize="5" scale="79" orientation="landscape" r:id="rId1"/>
  <headerFooter alignWithMargins="0"/>
  <ignoredErrors>
    <ignoredError sqref="R18:AF20 AB16:AF16 R65:AF66 R64:S64 AC64:AF64 R40:AF61 L39:M39 R39:AF39 R63:AF63 R62:S62 AD62:AF62 R22:AF38 L21:N21 R21:AF21 L22:P22 L62:P62 L63:P63 L40:P41 L64:P64 L65:P66 L19:P20 L44:P61 L24:P37 L2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71AA1-B0C7-4874-B3DD-87F6CACE6642}">
  <sheetPr codeName="Sheet28"/>
  <dimension ref="B3:R29"/>
  <sheetViews>
    <sheetView showGridLines="0" zoomScale="85" zoomScaleNormal="85" workbookViewId="0">
      <selection activeCell="P44" sqref="P44"/>
    </sheetView>
  </sheetViews>
  <sheetFormatPr defaultRowHeight="12.75"/>
  <cols>
    <col min="2" max="2" width="28" bestFit="1" customWidth="1"/>
    <col min="3" max="13" width="8.28515625" customWidth="1"/>
    <col min="15" max="18" width="20.7109375" customWidth="1"/>
  </cols>
  <sheetData>
    <row r="3" spans="2:18">
      <c r="B3" s="1575" t="s">
        <v>273</v>
      </c>
      <c r="C3" s="1576"/>
      <c r="D3" s="1603"/>
      <c r="E3" s="1603"/>
      <c r="F3" s="1603"/>
      <c r="G3" s="1603"/>
      <c r="H3" s="1603"/>
      <c r="I3" s="1603"/>
      <c r="J3" s="1603"/>
      <c r="K3" s="1603"/>
      <c r="L3" s="1603"/>
      <c r="M3" s="1604"/>
      <c r="N3" s="35"/>
      <c r="O3" s="1585" t="s">
        <v>1085</v>
      </c>
      <c r="P3" s="1586" t="s">
        <v>1086</v>
      </c>
      <c r="Q3" s="1586" t="s">
        <v>1087</v>
      </c>
      <c r="R3" s="1586" t="s">
        <v>1088</v>
      </c>
    </row>
    <row r="4" spans="2:18">
      <c r="B4" s="1605" t="s">
        <v>274</v>
      </c>
      <c r="C4" s="1606">
        <v>4.2500000000000003E-2</v>
      </c>
      <c r="D4" s="1603"/>
      <c r="E4" s="1603"/>
      <c r="F4" s="1603"/>
      <c r="G4" s="1603"/>
      <c r="H4" s="1603"/>
      <c r="I4" s="1603"/>
      <c r="J4" s="1603"/>
      <c r="K4" s="1603"/>
      <c r="L4" s="1603"/>
      <c r="M4" s="1604"/>
      <c r="N4" s="35"/>
      <c r="O4" s="1587" t="s">
        <v>988</v>
      </c>
      <c r="P4" s="1620">
        <v>0.05</v>
      </c>
      <c r="Q4" s="1621">
        <v>262</v>
      </c>
      <c r="R4" s="1588">
        <v>33.360131545694657</v>
      </c>
    </row>
    <row r="5" spans="2:18">
      <c r="B5" s="1605" t="s">
        <v>275</v>
      </c>
      <c r="C5" s="1606">
        <v>0.05</v>
      </c>
      <c r="D5" s="1603"/>
      <c r="E5" s="1603"/>
      <c r="F5" s="1603"/>
      <c r="G5" s="1603"/>
      <c r="H5" s="1603"/>
      <c r="I5" s="1603"/>
      <c r="J5" s="1603"/>
      <c r="K5" s="1603"/>
      <c r="L5" s="1603"/>
      <c r="M5" s="1604"/>
      <c r="N5" s="35"/>
      <c r="O5" s="1589" t="s">
        <v>989</v>
      </c>
      <c r="P5" s="1622">
        <v>0.6</v>
      </c>
      <c r="Q5" s="1590">
        <f>+D29</f>
        <v>231.40203141828979</v>
      </c>
      <c r="R5" s="1591">
        <v>29.464130565095864</v>
      </c>
    </row>
    <row r="6" spans="2:18">
      <c r="B6" s="1605" t="s">
        <v>1066</v>
      </c>
      <c r="C6" s="1606">
        <v>3.3678564874288858E-2</v>
      </c>
      <c r="D6" s="1603"/>
      <c r="E6" s="1603"/>
      <c r="F6" s="1603"/>
      <c r="G6" s="1603"/>
      <c r="H6" s="1603"/>
      <c r="I6" s="1603"/>
      <c r="J6" s="1603"/>
      <c r="K6" s="1603"/>
      <c r="L6" s="1603"/>
      <c r="M6" s="1604"/>
      <c r="N6" s="35"/>
      <c r="O6" s="1592" t="s">
        <v>990</v>
      </c>
      <c r="P6" s="1623">
        <f>1-SUM(P4:P5)</f>
        <v>0.35</v>
      </c>
      <c r="Q6" s="1624">
        <v>184</v>
      </c>
      <c r="R6" s="1593">
        <v>23.428489329800829</v>
      </c>
    </row>
    <row r="7" spans="2:18">
      <c r="B7" s="1605" t="s">
        <v>276</v>
      </c>
      <c r="C7" s="1606">
        <v>8.2500000000000018E-2</v>
      </c>
      <c r="D7" s="1603"/>
      <c r="E7" s="1603"/>
      <c r="F7" s="1603"/>
      <c r="G7" s="1603"/>
      <c r="H7" s="1603"/>
      <c r="I7" s="1603"/>
      <c r="J7" s="1603"/>
      <c r="K7" s="1603"/>
      <c r="L7" s="1603"/>
      <c r="M7" s="1604"/>
      <c r="N7" s="35"/>
      <c r="O7" s="1594" t="s">
        <v>987</v>
      </c>
      <c r="P7" s="1594"/>
      <c r="Q7" s="1595">
        <f>+SUMPRODUCT(P4:P6,Q4:Q6)</f>
        <v>216.34121885097386</v>
      </c>
      <c r="R7" s="1596">
        <v>27.546456181772538</v>
      </c>
    </row>
    <row r="8" spans="2:18">
      <c r="B8" s="1607" t="s">
        <v>318</v>
      </c>
      <c r="C8" s="1608">
        <v>0.8</v>
      </c>
      <c r="D8" s="1603"/>
      <c r="E8" s="1603"/>
      <c r="F8" s="1603"/>
      <c r="G8" s="1603"/>
      <c r="H8" s="1603"/>
      <c r="I8" s="1603"/>
      <c r="J8" s="1603"/>
      <c r="K8" s="1603"/>
      <c r="L8" s="1603"/>
      <c r="M8" s="1604"/>
      <c r="N8" s="35"/>
      <c r="O8" s="1587" t="s">
        <v>1089</v>
      </c>
      <c r="P8" s="1587"/>
      <c r="Q8" s="1597">
        <v>200</v>
      </c>
      <c r="R8" s="1587"/>
    </row>
    <row r="9" spans="2:18">
      <c r="B9" s="1577" t="s">
        <v>277</v>
      </c>
      <c r="C9" s="1578">
        <v>8.2500000000000018E-2</v>
      </c>
      <c r="D9" s="1603"/>
      <c r="E9" s="1603"/>
      <c r="F9" s="1603"/>
      <c r="G9" s="1603"/>
      <c r="H9" s="1603"/>
      <c r="I9" s="1603"/>
      <c r="J9" s="1603"/>
      <c r="K9" s="1603"/>
      <c r="L9" s="1603"/>
      <c r="M9" s="1604"/>
      <c r="N9" s="35"/>
      <c r="O9" s="1598" t="s">
        <v>1090</v>
      </c>
      <c r="P9" s="1598"/>
      <c r="Q9" s="1599">
        <f>+Q7/Q8-1</f>
        <v>8.1706094254869299E-2</v>
      </c>
      <c r="R9" s="1592"/>
    </row>
    <row r="10" spans="2:18">
      <c r="B10" s="1605" t="s">
        <v>1067</v>
      </c>
      <c r="C10" s="1606">
        <v>3.5000000000000003E-2</v>
      </c>
      <c r="D10" s="1603"/>
      <c r="E10" s="1603"/>
      <c r="F10" s="1603"/>
      <c r="G10" s="1603"/>
      <c r="H10" s="1603"/>
      <c r="I10" s="1603"/>
      <c r="J10" s="1603"/>
      <c r="K10" s="1603"/>
      <c r="L10" s="1603"/>
      <c r="M10" s="1604"/>
      <c r="N10" s="35"/>
      <c r="O10" s="35"/>
      <c r="P10" s="35"/>
      <c r="Q10" s="35"/>
      <c r="R10" s="35"/>
    </row>
    <row r="11" spans="2:18">
      <c r="B11" s="1605"/>
      <c r="C11" s="1603"/>
      <c r="D11" s="1603"/>
      <c r="E11" s="1603"/>
      <c r="F11" s="1603"/>
      <c r="G11" s="1603"/>
      <c r="H11" s="1603"/>
      <c r="I11" s="1603"/>
      <c r="J11" s="1603"/>
      <c r="K11" s="1603"/>
      <c r="L11" s="1603"/>
      <c r="M11" s="1604"/>
      <c r="N11" s="35"/>
      <c r="O11" s="35"/>
      <c r="P11" s="35"/>
      <c r="Q11" s="35"/>
      <c r="R11" s="35"/>
    </row>
    <row r="12" spans="2:18">
      <c r="B12" s="1579" t="s">
        <v>519</v>
      </c>
      <c r="C12" s="1579" t="s">
        <v>1068</v>
      </c>
      <c r="D12" s="1580" t="s">
        <v>1069</v>
      </c>
      <c r="E12" s="1580" t="s">
        <v>1070</v>
      </c>
      <c r="F12" s="1580" t="s">
        <v>1071</v>
      </c>
      <c r="G12" s="1580" t="s">
        <v>1072</v>
      </c>
      <c r="H12" s="1580" t="s">
        <v>1073</v>
      </c>
      <c r="I12" s="1580" t="s">
        <v>1074</v>
      </c>
      <c r="J12" s="1580" t="s">
        <v>1075</v>
      </c>
      <c r="K12" s="1580" t="s">
        <v>1076</v>
      </c>
      <c r="L12" s="1580" t="s">
        <v>1077</v>
      </c>
      <c r="M12" s="1580" t="s">
        <v>1097</v>
      </c>
      <c r="N12" s="35"/>
      <c r="O12" s="35"/>
      <c r="P12" s="35"/>
      <c r="Q12" s="35"/>
    </row>
    <row r="13" spans="2:18">
      <c r="B13" s="1605" t="s">
        <v>461</v>
      </c>
      <c r="C13" s="1604" t="s">
        <v>604</v>
      </c>
      <c r="D13" s="1609">
        <v>550.18043729966996</v>
      </c>
      <c r="E13" s="1609">
        <v>639.96889525823406</v>
      </c>
      <c r="F13" s="1609">
        <v>715.59886229385415</v>
      </c>
      <c r="G13" s="1609">
        <v>793.36287034855491</v>
      </c>
      <c r="H13" s="1609">
        <v>873.86710392279826</v>
      </c>
      <c r="I13" s="1609">
        <v>956.48343008174265</v>
      </c>
      <c r="J13" s="1609">
        <v>1042.5669387890996</v>
      </c>
      <c r="K13" s="1609">
        <v>1136.3979632801188</v>
      </c>
      <c r="L13" s="1609">
        <v>1238.6737799753296</v>
      </c>
      <c r="M13" s="1609">
        <v>1350.154420173109</v>
      </c>
      <c r="N13" s="35"/>
      <c r="O13" s="35"/>
      <c r="P13" s="35"/>
      <c r="Q13" s="1626"/>
    </row>
    <row r="14" spans="2:18">
      <c r="B14" s="1605" t="s">
        <v>531</v>
      </c>
      <c r="C14" s="1604" t="s">
        <v>604</v>
      </c>
      <c r="D14" s="1609">
        <v>-154.55498432491748</v>
      </c>
      <c r="E14" s="1609">
        <v>-158.25199411879896</v>
      </c>
      <c r="F14" s="1609">
        <v>-176.6192316343643</v>
      </c>
      <c r="G14" s="1609">
        <v>-196.17360238691364</v>
      </c>
      <c r="H14" s="1609">
        <v>-216.32868506181052</v>
      </c>
      <c r="I14" s="1609">
        <v>-237.47617453203242</v>
      </c>
      <c r="J14" s="1609">
        <v>-259.97835874043386</v>
      </c>
      <c r="K14" s="1609">
        <v>-284.54607550391665</v>
      </c>
      <c r="L14" s="1609">
        <v>-311.36984148178288</v>
      </c>
      <c r="M14" s="1609">
        <v>-340.65841855428562</v>
      </c>
      <c r="N14" s="35"/>
      <c r="O14" s="35"/>
      <c r="P14" s="35"/>
      <c r="Q14" s="35"/>
    </row>
    <row r="15" spans="2:18">
      <c r="B15" s="1605" t="s">
        <v>971</v>
      </c>
      <c r="C15" s="1604" t="s">
        <v>604</v>
      </c>
      <c r="D15" s="1609">
        <v>106.35286730208603</v>
      </c>
      <c r="E15" s="1609">
        <v>115.30865525386173</v>
      </c>
      <c r="F15" s="1609">
        <v>107.24859304791102</v>
      </c>
      <c r="G15" s="1609">
        <v>116.90096642222299</v>
      </c>
      <c r="H15" s="1609">
        <v>127.42205340022309</v>
      </c>
      <c r="I15" s="1609">
        <v>138.89003820624319</v>
      </c>
      <c r="J15" s="1609">
        <v>151.39014164480508</v>
      </c>
      <c r="K15" s="1609">
        <v>165.01525439283756</v>
      </c>
      <c r="L15" s="1609">
        <v>179.86662728819294</v>
      </c>
      <c r="M15" s="1609">
        <v>196.05462374413031</v>
      </c>
      <c r="N15" s="35"/>
      <c r="O15" s="35"/>
      <c r="P15" s="35"/>
      <c r="Q15" s="1626"/>
    </row>
    <row r="16" spans="2:18">
      <c r="B16" s="1605" t="s">
        <v>1078</v>
      </c>
      <c r="C16" s="1604" t="s">
        <v>604</v>
      </c>
      <c r="D16" s="1609">
        <v>-102.0490158983734</v>
      </c>
      <c r="E16" s="1609">
        <v>-110.25336569652136</v>
      </c>
      <c r="F16" s="1609">
        <v>-114.90920683704752</v>
      </c>
      <c r="G16" s="1609">
        <v>-125.25103545238179</v>
      </c>
      <c r="H16" s="1609">
        <v>-136.52362864309615</v>
      </c>
      <c r="I16" s="1609">
        <v>-148.81075522097484</v>
      </c>
      <c r="J16" s="1609">
        <v>-162.20372319086258</v>
      </c>
      <c r="K16" s="1609">
        <v>-176.80205827804022</v>
      </c>
      <c r="L16" s="1609">
        <v>-192.71424352306386</v>
      </c>
      <c r="M16" s="1609">
        <v>-210.05852544013962</v>
      </c>
      <c r="N16" s="35"/>
      <c r="O16" s="35"/>
      <c r="P16" s="35"/>
      <c r="Q16" s="35"/>
    </row>
    <row r="17" spans="2:18">
      <c r="B17" s="1607" t="s">
        <v>1055</v>
      </c>
      <c r="C17" s="1610" t="s">
        <v>604</v>
      </c>
      <c r="D17" s="1611">
        <v>-111.47958641477101</v>
      </c>
      <c r="E17" s="1611">
        <v>-6.2634141720708953</v>
      </c>
      <c r="F17" s="1611">
        <v>-45.273109266084248</v>
      </c>
      <c r="G17" s="1611">
        <v>-52.092173766128269</v>
      </c>
      <c r="H17" s="1611">
        <v>-53.774444554222441</v>
      </c>
      <c r="I17" s="1611">
        <v>-55.337577476668457</v>
      </c>
      <c r="J17" s="1611">
        <v>-56.746501324265182</v>
      </c>
      <c r="K17" s="1611">
        <v>-57.960797086868297</v>
      </c>
      <c r="L17" s="1611">
        <v>-58.934019426013379</v>
      </c>
      <c r="M17" s="1611">
        <v>-59.612939329801179</v>
      </c>
      <c r="N17" s="35"/>
      <c r="O17" s="35"/>
      <c r="P17" s="35"/>
      <c r="Q17" s="35"/>
    </row>
    <row r="18" spans="2:18">
      <c r="B18" s="1577" t="s">
        <v>278</v>
      </c>
      <c r="C18" s="1581" t="s">
        <v>604</v>
      </c>
      <c r="D18" s="1582">
        <f t="shared" ref="D18:L18" si="0">+SUM(D13:D17)</f>
        <v>288.44971796369413</v>
      </c>
      <c r="E18" s="1582">
        <f t="shared" si="0"/>
        <v>480.50877652470456</v>
      </c>
      <c r="F18" s="1582">
        <f t="shared" si="0"/>
        <v>486.04590760426913</v>
      </c>
      <c r="G18" s="1582">
        <f t="shared" si="0"/>
        <v>536.74702516535422</v>
      </c>
      <c r="H18" s="1582">
        <f t="shared" si="0"/>
        <v>594.66239906389239</v>
      </c>
      <c r="I18" s="1582">
        <f t="shared" si="0"/>
        <v>653.74896105830999</v>
      </c>
      <c r="J18" s="1582">
        <f t="shared" si="0"/>
        <v>715.02849717834317</v>
      </c>
      <c r="K18" s="1582">
        <f t="shared" si="0"/>
        <v>782.10428680413111</v>
      </c>
      <c r="L18" s="1582">
        <f t="shared" si="0"/>
        <v>855.52230283266249</v>
      </c>
      <c r="M18" s="1582">
        <f t="shared" ref="M18" si="1">+SUM(M13:M17)</f>
        <v>935.8791605930129</v>
      </c>
      <c r="N18" s="35"/>
      <c r="O18" s="35"/>
      <c r="P18" s="35"/>
      <c r="Q18" s="35"/>
    </row>
    <row r="19" spans="2:18">
      <c r="B19" s="1607" t="s">
        <v>1056</v>
      </c>
      <c r="C19" s="1607"/>
      <c r="D19" s="1612">
        <v>0.97068371866202607</v>
      </c>
      <c r="E19" s="1612">
        <v>0.89670551377554375</v>
      </c>
      <c r="F19" s="1612">
        <v>0.82836537069334293</v>
      </c>
      <c r="G19" s="1612">
        <v>0.76523359879292652</v>
      </c>
      <c r="H19" s="1612">
        <v>0.70691325523595983</v>
      </c>
      <c r="I19" s="1612">
        <v>0.65303764917871565</v>
      </c>
      <c r="J19" s="1612">
        <v>0.60326803619280889</v>
      </c>
      <c r="K19" s="1612">
        <v>0.55729148839982356</v>
      </c>
      <c r="L19" s="1612">
        <v>0.51481892692824338</v>
      </c>
      <c r="M19" s="1612">
        <v>0.47558330432170293</v>
      </c>
      <c r="N19" s="35"/>
      <c r="O19" s="35"/>
      <c r="P19" s="35"/>
      <c r="Q19" s="35"/>
    </row>
    <row r="20" spans="2:18">
      <c r="B20" s="1613" t="s">
        <v>1057</v>
      </c>
      <c r="C20" s="1614" t="s">
        <v>604</v>
      </c>
      <c r="D20" s="1615">
        <f t="shared" ref="D20:L20" si="2">+D18*D19</f>
        <v>279.99344488001122</v>
      </c>
      <c r="E20" s="1615">
        <f t="shared" si="2"/>
        <v>430.87486932724312</v>
      </c>
      <c r="F20" s="1615">
        <f t="shared" si="2"/>
        <v>402.62359842659271</v>
      </c>
      <c r="G20" s="1615">
        <f t="shared" si="2"/>
        <v>410.7368577086815</v>
      </c>
      <c r="H20" s="1615">
        <f t="shared" si="2"/>
        <v>420.37473228868157</v>
      </c>
      <c r="I20" s="1615">
        <f t="shared" si="2"/>
        <v>426.9226846825465</v>
      </c>
      <c r="J20" s="1615">
        <f t="shared" si="2"/>
        <v>431.35383731467448</v>
      </c>
      <c r="K20" s="1615">
        <f t="shared" si="2"/>
        <v>435.86006207695669</v>
      </c>
      <c r="L20" s="1615">
        <f t="shared" si="2"/>
        <v>440.43907390749098</v>
      </c>
      <c r="M20" s="1615">
        <f t="shared" ref="M20" si="3">+M18*M19</f>
        <v>445.08850364064676</v>
      </c>
      <c r="N20" s="35"/>
      <c r="O20" s="35"/>
      <c r="P20" s="35"/>
      <c r="Q20" s="35"/>
    </row>
    <row r="21" spans="2:18">
      <c r="B21" s="1604"/>
      <c r="C21" s="1604"/>
      <c r="D21" s="1603"/>
      <c r="E21" s="1603"/>
      <c r="F21" s="1603"/>
      <c r="G21" s="1603"/>
      <c r="H21" s="1603"/>
      <c r="I21" s="1603"/>
      <c r="J21" s="1603"/>
      <c r="K21" s="1603"/>
      <c r="L21" s="1603"/>
      <c r="M21" s="35"/>
      <c r="N21" s="35"/>
      <c r="O21" s="35"/>
      <c r="P21" s="35"/>
      <c r="Q21" s="35"/>
    </row>
    <row r="22" spans="2:18">
      <c r="B22" s="1604" t="s">
        <v>1058</v>
      </c>
      <c r="C22" s="1604" t="s">
        <v>604</v>
      </c>
      <c r="D22" s="1609">
        <f>+SUM(D20:M20)</f>
        <v>4124.2676642535253</v>
      </c>
      <c r="E22" s="1603"/>
      <c r="F22" s="1603"/>
      <c r="G22" s="1603"/>
      <c r="H22" s="1603"/>
      <c r="I22" s="1603"/>
      <c r="J22" s="1603"/>
      <c r="K22" s="1603"/>
      <c r="L22" s="1603"/>
      <c r="M22" s="1603"/>
      <c r="N22" s="35"/>
      <c r="O22" s="35"/>
      <c r="P22" s="35"/>
      <c r="Q22" s="35"/>
      <c r="R22" s="35"/>
    </row>
    <row r="23" spans="2:18">
      <c r="B23" s="1604" t="s">
        <v>1079</v>
      </c>
      <c r="C23" s="1604" t="s">
        <v>604</v>
      </c>
      <c r="D23" s="1609">
        <v>9698.2442372225105</v>
      </c>
      <c r="E23" s="1603"/>
      <c r="F23" s="1603"/>
      <c r="G23" s="1603"/>
      <c r="H23" s="1603"/>
      <c r="I23" s="1603"/>
      <c r="J23" s="1603"/>
      <c r="K23" s="1603"/>
      <c r="L23" s="1603"/>
      <c r="M23" s="1603"/>
      <c r="N23" s="35"/>
      <c r="O23" s="35"/>
      <c r="P23" s="35"/>
      <c r="Q23" s="35"/>
      <c r="R23" s="35"/>
    </row>
    <row r="24" spans="2:18">
      <c r="B24" s="1610" t="s">
        <v>1080</v>
      </c>
      <c r="C24" s="1610" t="s">
        <v>604</v>
      </c>
      <c r="D24" s="1611">
        <v>-187.1</v>
      </c>
      <c r="E24" s="1603"/>
      <c r="F24" s="1603"/>
      <c r="G24" s="1603"/>
      <c r="H24" s="1603"/>
      <c r="I24" s="1603"/>
      <c r="J24" s="1603"/>
      <c r="K24" s="1603"/>
      <c r="L24" s="1603"/>
      <c r="M24" s="1603"/>
      <c r="N24" s="35"/>
      <c r="O24" s="35"/>
      <c r="P24" s="35"/>
      <c r="Q24" s="35"/>
      <c r="R24" s="35"/>
    </row>
    <row r="25" spans="2:18">
      <c r="B25" s="1614" t="s">
        <v>1081</v>
      </c>
      <c r="C25" s="1614" t="s">
        <v>604</v>
      </c>
      <c r="D25" s="1615">
        <f>+D22+D23-D24</f>
        <v>14009.611901476035</v>
      </c>
      <c r="E25" s="1603"/>
      <c r="F25" s="1603"/>
      <c r="G25" s="1603"/>
      <c r="H25" s="1603"/>
      <c r="I25" s="1603"/>
      <c r="J25" s="1603"/>
      <c r="K25" s="1603"/>
      <c r="L25" s="1603"/>
      <c r="M25" s="1603"/>
      <c r="N25" s="35"/>
      <c r="O25" s="35"/>
      <c r="P25" s="35"/>
      <c r="Q25" s="35"/>
      <c r="R25" s="35"/>
    </row>
    <row r="26" spans="2:18">
      <c r="B26" s="1610" t="s">
        <v>1082</v>
      </c>
      <c r="C26" s="1610" t="s">
        <v>985</v>
      </c>
      <c r="D26" s="1611">
        <v>65.537042999999997</v>
      </c>
      <c r="E26" s="1603"/>
      <c r="F26" s="1603"/>
      <c r="G26" s="1603"/>
      <c r="H26" s="1603"/>
      <c r="I26" s="1603"/>
      <c r="J26" s="1603"/>
      <c r="K26" s="1603"/>
      <c r="L26" s="1603"/>
      <c r="M26" s="1603"/>
      <c r="N26" s="35"/>
      <c r="O26" s="35"/>
      <c r="P26" s="35"/>
      <c r="Q26" s="35"/>
      <c r="R26" s="35"/>
    </row>
    <row r="27" spans="2:18">
      <c r="B27" s="1614" t="s">
        <v>1083</v>
      </c>
      <c r="C27" s="1614" t="s">
        <v>908</v>
      </c>
      <c r="D27" s="1615">
        <f>+D25/D26</f>
        <v>213.76631077902059</v>
      </c>
      <c r="E27" s="1603"/>
      <c r="F27" s="1603"/>
      <c r="G27" s="1603"/>
      <c r="H27" s="1603"/>
      <c r="I27" s="1603"/>
      <c r="J27" s="1603"/>
      <c r="K27" s="1603"/>
      <c r="L27" s="1603"/>
      <c r="M27" s="1603"/>
      <c r="N27" s="35"/>
      <c r="O27" s="35"/>
      <c r="P27" s="35"/>
      <c r="Q27" s="35"/>
      <c r="R27" s="35"/>
    </row>
    <row r="28" spans="2:18">
      <c r="B28" s="1610"/>
      <c r="C28" s="1610"/>
      <c r="D28" s="1616"/>
      <c r="E28" s="1603"/>
      <c r="F28" s="1603"/>
      <c r="G28" s="1603"/>
      <c r="H28" s="1603"/>
      <c r="I28" s="1603"/>
      <c r="J28" s="1603"/>
      <c r="K28" s="1603"/>
      <c r="L28" s="1603"/>
      <c r="M28" s="1603"/>
      <c r="N28" s="35"/>
      <c r="O28" s="35"/>
      <c r="P28" s="35"/>
      <c r="Q28" s="35"/>
      <c r="R28" s="35"/>
    </row>
    <row r="29" spans="2:18">
      <c r="B29" s="1583" t="s">
        <v>1084</v>
      </c>
      <c r="C29" s="1583" t="s">
        <v>908</v>
      </c>
      <c r="D29" s="1584">
        <f>+D27*(1+C9)</f>
        <v>231.40203141828979</v>
      </c>
      <c r="E29" s="1603"/>
      <c r="F29" s="1603"/>
      <c r="G29" s="1603"/>
      <c r="H29" s="1603"/>
      <c r="I29" s="1603"/>
      <c r="J29" s="1627"/>
      <c r="K29" s="1603" t="s">
        <v>320</v>
      </c>
      <c r="L29" s="1603"/>
      <c r="M29" s="1603"/>
      <c r="N29" s="35"/>
      <c r="O29" s="35"/>
      <c r="P29" s="35"/>
      <c r="Q29" s="35"/>
      <c r="R29" s="35"/>
    </row>
  </sheetData>
  <pageMargins left="0" right="0" top="0" bottom="0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transitionEvaluation="1" codeName="Sheet3">
    <tabColor rgb="FF92D050"/>
  </sheetPr>
  <dimension ref="A1:FK668"/>
  <sheetViews>
    <sheetView showGridLines="0" zoomScale="70" zoomScaleNormal="70" workbookViewId="0">
      <pane xSplit="3" ySplit="4" topLeftCell="DH5" activePane="bottomRight" state="frozen"/>
      <selection pane="topRight" activeCell="D1" sqref="D1"/>
      <selection pane="bottomLeft" activeCell="A5" sqref="A5"/>
      <selection pane="bottomRight" activeCell="DZ36" sqref="DZ36"/>
    </sheetView>
  </sheetViews>
  <sheetFormatPr defaultColWidth="7" defaultRowHeight="12.75" outlineLevelRow="2" outlineLevelCol="1"/>
  <cols>
    <col min="1" max="1" width="1.28515625" style="35" customWidth="1"/>
    <col min="2" max="2" width="32.42578125" style="35" customWidth="1"/>
    <col min="3" max="3" width="6.28515625" style="308" customWidth="1"/>
    <col min="4" max="4" width="4.7109375" style="35" hidden="1" customWidth="1" outlineLevel="1"/>
    <col min="5" max="5" width="7.28515625" style="35" hidden="1" customWidth="1" outlineLevel="1"/>
    <col min="6" max="13" width="9.28515625" style="35" hidden="1" customWidth="1" outlineLevel="1"/>
    <col min="14" max="14" width="9.5703125" style="35" hidden="1" customWidth="1" outlineLevel="1"/>
    <col min="15" max="57" width="9.28515625" style="35" hidden="1" customWidth="1" outlineLevel="1"/>
    <col min="58" max="58" width="9.28515625" style="35" hidden="1" customWidth="1" outlineLevel="1" collapsed="1"/>
    <col min="59" max="60" width="9.28515625" style="35" hidden="1" customWidth="1" outlineLevel="1"/>
    <col min="61" max="61" width="9.28515625" style="35" hidden="1" customWidth="1" outlineLevel="1" collapsed="1"/>
    <col min="62" max="66" width="9.28515625" style="35" hidden="1" customWidth="1" outlineLevel="1"/>
    <col min="67" max="67" width="9.28515625" style="35" hidden="1" customWidth="1" outlineLevel="1" collapsed="1"/>
    <col min="68" max="69" width="9.28515625" style="35" hidden="1" customWidth="1" outlineLevel="1"/>
    <col min="70" max="70" width="9.28515625" style="35" hidden="1" customWidth="1" outlineLevel="1" collapsed="1"/>
    <col min="71" max="72" width="9.28515625" style="35" hidden="1" customWidth="1" outlineLevel="1"/>
    <col min="73" max="73" width="9.28515625" style="35" hidden="1" customWidth="1" outlineLevel="1" collapsed="1"/>
    <col min="74" max="75" width="9.28515625" style="35" hidden="1" customWidth="1" outlineLevel="1"/>
    <col min="76" max="76" width="9.28515625" style="35" hidden="1" customWidth="1" outlineLevel="1" collapsed="1"/>
    <col min="77" max="78" width="9.28515625" style="35" hidden="1" customWidth="1" outlineLevel="1"/>
    <col min="79" max="79" width="9.28515625" style="35" hidden="1" customWidth="1" outlineLevel="1" collapsed="1"/>
    <col min="80" max="81" width="9.28515625" style="35" hidden="1" customWidth="1" outlineLevel="1"/>
    <col min="82" max="82" width="9.28515625" style="35" hidden="1" customWidth="1" outlineLevel="1" collapsed="1"/>
    <col min="83" max="84" width="9.28515625" style="35" hidden="1" customWidth="1" outlineLevel="1"/>
    <col min="85" max="85" width="9.28515625" style="35" hidden="1" customWidth="1" outlineLevel="1" collapsed="1"/>
    <col min="86" max="87" width="9.28515625" style="35" hidden="1" customWidth="1" outlineLevel="1"/>
    <col min="88" max="88" width="9.28515625" style="35" hidden="1" customWidth="1" outlineLevel="1" collapsed="1"/>
    <col min="89" max="90" width="9.28515625" style="35" hidden="1" customWidth="1" outlineLevel="1"/>
    <col min="91" max="91" width="9.28515625" style="35" hidden="1" customWidth="1" outlineLevel="1" collapsed="1"/>
    <col min="92" max="93" width="9.28515625" style="35" hidden="1" customWidth="1" outlineLevel="1"/>
    <col min="94" max="94" width="9.28515625" style="35" hidden="1" customWidth="1" outlineLevel="1" collapsed="1"/>
    <col min="95" max="96" width="9.28515625" style="35" hidden="1" customWidth="1" outlineLevel="1"/>
    <col min="97" max="97" width="9.28515625" style="35" hidden="1" customWidth="1" outlineLevel="1" collapsed="1"/>
    <col min="98" max="99" width="9.28515625" style="35" hidden="1" customWidth="1" outlineLevel="1"/>
    <col min="100" max="100" width="9.28515625" style="35" hidden="1" customWidth="1" outlineLevel="1" collapsed="1"/>
    <col min="101" max="102" width="9.28515625" style="35" hidden="1" customWidth="1" outlineLevel="1"/>
    <col min="103" max="103" width="9.28515625" style="35" hidden="1" customWidth="1" outlineLevel="1" collapsed="1"/>
    <col min="104" max="105" width="9.28515625" style="35" hidden="1" customWidth="1" outlineLevel="1"/>
    <col min="106" max="106" width="9.28515625" style="35" hidden="1" customWidth="1" outlineLevel="1" collapsed="1"/>
    <col min="107" max="111" width="9.28515625" style="35" hidden="1" customWidth="1" outlineLevel="1"/>
    <col min="112" max="112" width="9.28515625" style="35" customWidth="1" collapsed="1"/>
    <col min="113" max="114" width="9.28515625" style="35" customWidth="1" outlineLevel="1"/>
    <col min="115" max="115" width="9.28515625" style="1067" customWidth="1"/>
    <col min="116" max="117" width="9.28515625" style="35" customWidth="1" outlineLevel="1"/>
    <col min="118" max="118" width="9.28515625" style="1067" customWidth="1"/>
    <col min="119" max="120" width="9.28515625" style="35" customWidth="1" outlineLevel="1"/>
    <col min="121" max="121" width="9.28515625" style="1067" customWidth="1"/>
    <col min="122" max="123" width="9.28515625" style="35" customWidth="1" outlineLevel="1"/>
    <col min="124" max="124" width="9.28515625" style="1067" customWidth="1"/>
    <col min="125" max="126" width="9.28515625" style="35" customWidth="1" outlineLevel="1"/>
    <col min="127" max="127" width="9.28515625" style="1067" customWidth="1"/>
    <col min="128" max="129" width="9.28515625" style="35" customWidth="1" outlineLevel="1"/>
    <col min="130" max="130" width="9.28515625" style="1067" customWidth="1"/>
    <col min="131" max="132" width="9.28515625" style="35" customWidth="1" outlineLevel="1"/>
    <col min="133" max="133" width="9.28515625" style="1067" customWidth="1"/>
    <col min="134" max="135" width="9.28515625" style="35" customWidth="1" outlineLevel="1"/>
    <col min="136" max="136" width="9.28515625" style="1067" customWidth="1"/>
    <col min="137" max="138" width="9.28515625" style="35" customWidth="1" outlineLevel="1"/>
    <col min="139" max="139" width="9.28515625" style="1067" customWidth="1"/>
    <col min="140" max="141" width="9.28515625" style="35" customWidth="1" outlineLevel="1"/>
    <col min="142" max="142" width="9.28515625" style="1067" customWidth="1"/>
    <col min="143" max="144" width="9.28515625" style="35" customWidth="1" outlineLevel="1"/>
    <col min="145" max="145" width="9.28515625" style="1067" customWidth="1"/>
    <col min="146" max="147" width="9.28515625" style="35" customWidth="1" outlineLevel="1"/>
    <col min="148" max="148" width="9.28515625" style="1067" customWidth="1"/>
    <col min="149" max="150" width="9.28515625" style="35" customWidth="1" outlineLevel="1"/>
    <col min="151" max="151" width="9.28515625" style="1067" customWidth="1"/>
    <col min="152" max="153" width="9.28515625" style="35" customWidth="1" outlineLevel="1"/>
    <col min="154" max="154" width="9.28515625" style="1067" customWidth="1"/>
    <col min="155" max="156" width="9.28515625" style="35" customWidth="1" outlineLevel="1"/>
    <col min="157" max="157" width="9.28515625" style="1067" customWidth="1"/>
    <col min="158" max="158" width="7" style="35" customWidth="1"/>
    <col min="159" max="160" width="7" style="35"/>
    <col min="161" max="161" width="84" bestFit="1" customWidth="1"/>
    <col min="163" max="163" width="15.28515625" customWidth="1"/>
    <col min="167" max="16384" width="7" style="35"/>
  </cols>
  <sheetData>
    <row r="1" spans="1:167" s="236" customFormat="1" ht="15" customHeight="1">
      <c r="B1" s="448">
        <f ca="1">NOW()</f>
        <v>46068.826067361108</v>
      </c>
      <c r="C1" s="242"/>
      <c r="E1" s="156"/>
      <c r="F1" s="156"/>
      <c r="G1" s="235"/>
      <c r="H1" s="156"/>
      <c r="I1" s="156"/>
      <c r="J1" s="235"/>
      <c r="K1" s="156"/>
      <c r="L1" s="156"/>
      <c r="M1" s="235"/>
      <c r="N1" s="156"/>
      <c r="O1" s="156"/>
      <c r="P1" s="235"/>
      <c r="Q1" s="239"/>
      <c r="R1" s="238"/>
      <c r="S1" s="274"/>
      <c r="T1" s="238"/>
      <c r="U1" s="238"/>
      <c r="V1" s="274"/>
      <c r="W1" s="238"/>
      <c r="X1" s="238"/>
      <c r="Y1" s="274"/>
      <c r="Z1" s="238"/>
      <c r="AA1" s="238"/>
      <c r="AB1" s="274"/>
      <c r="AC1" s="238"/>
      <c r="AD1" s="238"/>
      <c r="AE1" s="274"/>
      <c r="AF1" s="238"/>
      <c r="AG1" s="238"/>
      <c r="AH1" s="274"/>
      <c r="AI1" s="238"/>
      <c r="AJ1" s="238"/>
      <c r="AK1" s="274"/>
      <c r="AL1" s="238"/>
      <c r="AM1" s="156"/>
      <c r="AN1" s="235"/>
      <c r="AO1" s="156"/>
      <c r="AP1" s="156"/>
      <c r="AQ1" s="235"/>
      <c r="AR1" s="156"/>
      <c r="AS1" s="156"/>
      <c r="AT1" s="235"/>
      <c r="AU1" s="156"/>
      <c r="AV1" s="156"/>
      <c r="AW1" s="235"/>
      <c r="AX1" s="156"/>
      <c r="AY1" s="156"/>
      <c r="AZ1" s="235"/>
      <c r="BA1" s="156"/>
      <c r="BB1" s="156"/>
      <c r="BC1" s="235"/>
      <c r="BD1" s="156"/>
      <c r="BE1" s="156"/>
      <c r="BF1" s="235"/>
      <c r="BG1" s="156"/>
      <c r="BH1" s="156"/>
      <c r="BI1" s="235"/>
      <c r="BJ1" s="156"/>
      <c r="BK1" s="156"/>
      <c r="BL1" s="235"/>
      <c r="BM1" s="156"/>
      <c r="BN1" s="156"/>
      <c r="BO1" s="235"/>
      <c r="BP1" s="156"/>
      <c r="BQ1" s="156"/>
      <c r="BR1" s="191"/>
      <c r="BS1" s="156"/>
      <c r="BT1" s="156"/>
      <c r="BU1" s="235"/>
      <c r="BV1" s="156"/>
      <c r="BW1" s="156"/>
      <c r="BX1" s="235"/>
      <c r="BY1" s="156"/>
      <c r="BZ1" s="156"/>
      <c r="CA1" s="235"/>
      <c r="CB1" s="156"/>
      <c r="CC1" s="156"/>
      <c r="DK1" s="1350"/>
      <c r="DN1" s="1350"/>
      <c r="DQ1" s="1350"/>
      <c r="DT1" s="1350"/>
      <c r="DW1" s="1350"/>
      <c r="DZ1" s="1350"/>
      <c r="EC1" s="1350"/>
      <c r="EF1" s="1350"/>
      <c r="EI1" s="1350"/>
      <c r="EL1" s="1350"/>
      <c r="EO1" s="1350"/>
      <c r="ER1" s="1350"/>
      <c r="EU1" s="1350"/>
      <c r="EX1" s="1350"/>
      <c r="FA1" s="1350"/>
      <c r="FE1"/>
      <c r="FF1"/>
      <c r="FG1"/>
      <c r="FH1"/>
      <c r="FI1"/>
      <c r="FJ1"/>
      <c r="FK1" s="35"/>
    </row>
    <row r="2" spans="1:167" s="236" customFormat="1" ht="15" customHeight="1" thickBot="1">
      <c r="B2" s="448">
        <f ca="1">NOW()</f>
        <v>46068.826067361108</v>
      </c>
      <c r="C2" s="242"/>
      <c r="Q2" s="450" t="s">
        <v>509</v>
      </c>
      <c r="R2" s="450" t="s">
        <v>509</v>
      </c>
      <c r="S2" s="450" t="s">
        <v>509</v>
      </c>
      <c r="T2" s="450" t="s">
        <v>509</v>
      </c>
      <c r="U2" s="450" t="s">
        <v>509</v>
      </c>
      <c r="V2" s="450" t="s">
        <v>509</v>
      </c>
      <c r="W2" s="450" t="s">
        <v>509</v>
      </c>
      <c r="X2" s="450" t="s">
        <v>509</v>
      </c>
      <c r="Y2" s="450" t="s">
        <v>509</v>
      </c>
      <c r="Z2" s="450" t="s">
        <v>509</v>
      </c>
      <c r="AA2" s="450" t="s">
        <v>509</v>
      </c>
      <c r="AB2" s="450" t="s">
        <v>509</v>
      </c>
      <c r="AC2" s="450" t="s">
        <v>509</v>
      </c>
      <c r="AD2" s="450" t="s">
        <v>509</v>
      </c>
      <c r="AE2" s="450" t="s">
        <v>509</v>
      </c>
      <c r="AF2" s="450" t="s">
        <v>509</v>
      </c>
      <c r="AG2" s="450" t="s">
        <v>509</v>
      </c>
      <c r="AH2" s="450" t="s">
        <v>509</v>
      </c>
      <c r="AI2" s="450" t="s">
        <v>509</v>
      </c>
      <c r="AJ2" s="450" t="s">
        <v>509</v>
      </c>
      <c r="AK2" s="450" t="s">
        <v>509</v>
      </c>
      <c r="AL2" s="450" t="s">
        <v>509</v>
      </c>
      <c r="AM2" s="450" t="s">
        <v>509</v>
      </c>
      <c r="AN2" s="450" t="s">
        <v>509</v>
      </c>
      <c r="AO2" s="450" t="s">
        <v>509</v>
      </c>
      <c r="AP2" s="450" t="s">
        <v>509</v>
      </c>
      <c r="AQ2" s="450" t="s">
        <v>509</v>
      </c>
      <c r="AR2" s="450" t="s">
        <v>509</v>
      </c>
      <c r="AS2" s="450" t="s">
        <v>509</v>
      </c>
      <c r="AT2" s="450" t="s">
        <v>509</v>
      </c>
      <c r="AU2" s="450" t="s">
        <v>509</v>
      </c>
      <c r="AV2" s="450" t="s">
        <v>509</v>
      </c>
      <c r="AW2" s="450" t="s">
        <v>509</v>
      </c>
      <c r="AX2" s="236" t="s">
        <v>509</v>
      </c>
      <c r="AY2" s="236" t="s">
        <v>509</v>
      </c>
      <c r="AZ2" s="236" t="s">
        <v>509</v>
      </c>
      <c r="BA2" s="236" t="s">
        <v>509</v>
      </c>
      <c r="BB2" s="236" t="s">
        <v>509</v>
      </c>
      <c r="BC2" s="236" t="s">
        <v>509</v>
      </c>
      <c r="BD2" s="236" t="s">
        <v>509</v>
      </c>
      <c r="BE2" s="236" t="s">
        <v>509</v>
      </c>
      <c r="BF2" s="236" t="s">
        <v>509</v>
      </c>
      <c r="BG2" s="236" t="s">
        <v>509</v>
      </c>
      <c r="BH2" s="236" t="s">
        <v>509</v>
      </c>
      <c r="BI2" s="236" t="s">
        <v>509</v>
      </c>
      <c r="BJ2" s="236" t="s">
        <v>509</v>
      </c>
      <c r="BK2" s="236" t="s">
        <v>509</v>
      </c>
      <c r="BL2" s="236" t="s">
        <v>509</v>
      </c>
      <c r="BM2" s="236" t="s">
        <v>509</v>
      </c>
      <c r="BN2" s="236" t="s">
        <v>509</v>
      </c>
      <c r="BO2" s="236" t="s">
        <v>509</v>
      </c>
      <c r="BP2" s="236" t="s">
        <v>509</v>
      </c>
      <c r="BQ2" s="236" t="s">
        <v>509</v>
      </c>
      <c r="BR2" s="236" t="s">
        <v>509</v>
      </c>
      <c r="BS2" s="236" t="s">
        <v>509</v>
      </c>
      <c r="BT2" s="236" t="s">
        <v>509</v>
      </c>
      <c r="BU2" s="236" t="s">
        <v>509</v>
      </c>
      <c r="BV2" s="236" t="s">
        <v>509</v>
      </c>
      <c r="BW2" s="236" t="s">
        <v>509</v>
      </c>
      <c r="BX2" s="236" t="s">
        <v>509</v>
      </c>
      <c r="BY2" s="236" t="s">
        <v>509</v>
      </c>
      <c r="BZ2" s="236" t="s">
        <v>509</v>
      </c>
      <c r="CA2" s="236" t="s">
        <v>509</v>
      </c>
      <c r="CB2" s="236" t="s">
        <v>509</v>
      </c>
      <c r="CC2" s="236" t="s">
        <v>509</v>
      </c>
      <c r="CD2" s="236" t="s">
        <v>509</v>
      </c>
      <c r="CE2" s="236" t="s">
        <v>509</v>
      </c>
      <c r="CF2" s="236" t="s">
        <v>509</v>
      </c>
      <c r="CG2" s="236" t="s">
        <v>509</v>
      </c>
      <c r="CH2" s="236" t="s">
        <v>509</v>
      </c>
      <c r="CI2" s="236" t="s">
        <v>509</v>
      </c>
      <c r="CJ2" s="236" t="s">
        <v>509</v>
      </c>
      <c r="CK2" s="236" t="s">
        <v>509</v>
      </c>
      <c r="CL2" s="236" t="s">
        <v>509</v>
      </c>
      <c r="CM2" s="236" t="s">
        <v>509</v>
      </c>
      <c r="CN2" s="236" t="s">
        <v>509</v>
      </c>
      <c r="CO2" s="236" t="s">
        <v>509</v>
      </c>
      <c r="CP2" s="236" t="s">
        <v>509</v>
      </c>
      <c r="CQ2" s="236" t="s">
        <v>509</v>
      </c>
      <c r="CR2" s="236" t="s">
        <v>509</v>
      </c>
      <c r="CS2" s="236" t="s">
        <v>509</v>
      </c>
      <c r="CT2" s="236" t="s">
        <v>509</v>
      </c>
      <c r="CU2" s="236" t="s">
        <v>509</v>
      </c>
      <c r="CV2" s="236" t="s">
        <v>509</v>
      </c>
      <c r="CW2" s="236" t="s">
        <v>509</v>
      </c>
      <c r="CX2" s="236" t="s">
        <v>509</v>
      </c>
      <c r="CY2" s="236" t="s">
        <v>509</v>
      </c>
      <c r="CZ2" s="236" t="s">
        <v>509</v>
      </c>
      <c r="DA2" s="236" t="s">
        <v>509</v>
      </c>
      <c r="DB2" s="236" t="s">
        <v>509</v>
      </c>
      <c r="DC2" s="236" t="s">
        <v>509</v>
      </c>
      <c r="DD2" s="236" t="s">
        <v>509</v>
      </c>
      <c r="DE2" s="236" t="s">
        <v>509</v>
      </c>
      <c r="DF2" s="236" t="s">
        <v>509</v>
      </c>
      <c r="DG2" s="236" t="s">
        <v>509</v>
      </c>
      <c r="DH2" s="241" t="s">
        <v>509</v>
      </c>
      <c r="DI2" s="241" t="s">
        <v>509</v>
      </c>
      <c r="DJ2" s="241" t="s">
        <v>509</v>
      </c>
      <c r="DK2" s="1272" t="s">
        <v>509</v>
      </c>
      <c r="DL2" s="241" t="s">
        <v>509</v>
      </c>
      <c r="DM2" s="241" t="s">
        <v>509</v>
      </c>
      <c r="DN2" s="1272" t="s">
        <v>509</v>
      </c>
      <c r="DO2" s="241" t="s">
        <v>509</v>
      </c>
      <c r="DP2" s="241" t="s">
        <v>509</v>
      </c>
      <c r="DQ2" s="1272" t="s">
        <v>509</v>
      </c>
      <c r="DR2" s="241" t="s">
        <v>509</v>
      </c>
      <c r="DS2" s="241" t="s">
        <v>509</v>
      </c>
      <c r="DT2" s="1272" t="s">
        <v>509</v>
      </c>
      <c r="DU2" s="241" t="s">
        <v>509</v>
      </c>
      <c r="DV2" s="241" t="s">
        <v>509</v>
      </c>
      <c r="DW2" s="1272" t="s">
        <v>509</v>
      </c>
      <c r="DX2" s="241" t="s">
        <v>509</v>
      </c>
      <c r="DY2" s="241" t="s">
        <v>510</v>
      </c>
      <c r="DZ2" s="1272" t="s">
        <v>510</v>
      </c>
      <c r="EA2" s="241" t="s">
        <v>510</v>
      </c>
      <c r="EB2" s="241" t="s">
        <v>510</v>
      </c>
      <c r="EC2" s="1272" t="s">
        <v>510</v>
      </c>
      <c r="ED2" s="241" t="s">
        <v>510</v>
      </c>
      <c r="EE2" s="241" t="s">
        <v>510</v>
      </c>
      <c r="EF2" s="1272" t="s">
        <v>510</v>
      </c>
      <c r="EG2" s="241" t="s">
        <v>510</v>
      </c>
      <c r="EH2" s="241" t="s">
        <v>510</v>
      </c>
      <c r="EI2" s="1272" t="s">
        <v>510</v>
      </c>
      <c r="EJ2" s="241" t="s">
        <v>510</v>
      </c>
      <c r="EK2" s="241" t="s">
        <v>510</v>
      </c>
      <c r="EL2" s="1272" t="s">
        <v>510</v>
      </c>
      <c r="EM2" s="241" t="s">
        <v>510</v>
      </c>
      <c r="EN2" s="241" t="s">
        <v>510</v>
      </c>
      <c r="EO2" s="1272" t="s">
        <v>510</v>
      </c>
      <c r="EP2" s="241" t="s">
        <v>510</v>
      </c>
      <c r="EQ2" s="241" t="s">
        <v>510</v>
      </c>
      <c r="ER2" s="1272" t="s">
        <v>510</v>
      </c>
      <c r="ES2" s="241" t="s">
        <v>510</v>
      </c>
      <c r="ET2" s="241" t="s">
        <v>510</v>
      </c>
      <c r="EU2" s="1272" t="s">
        <v>510</v>
      </c>
      <c r="EV2" s="241" t="s">
        <v>510</v>
      </c>
      <c r="EW2" s="241" t="s">
        <v>510</v>
      </c>
      <c r="EX2" s="1272" t="s">
        <v>510</v>
      </c>
      <c r="EY2" s="241" t="s">
        <v>510</v>
      </c>
      <c r="EZ2" s="241" t="s">
        <v>510</v>
      </c>
      <c r="FA2" s="1272" t="s">
        <v>510</v>
      </c>
      <c r="FE2"/>
      <c r="FF2"/>
      <c r="FG2"/>
      <c r="FH2"/>
      <c r="FI2"/>
      <c r="FJ2"/>
      <c r="FK2" s="35"/>
    </row>
    <row r="3" spans="1:167" s="236" customFormat="1" ht="15" customHeight="1">
      <c r="A3" s="281"/>
      <c r="B3" s="282" t="s">
        <v>893</v>
      </c>
      <c r="C3" s="451"/>
      <c r="D3" s="283"/>
      <c r="E3" s="155"/>
      <c r="F3" s="155"/>
      <c r="G3" s="284"/>
      <c r="H3" s="155"/>
      <c r="I3" s="155"/>
      <c r="J3" s="284"/>
      <c r="K3" s="155"/>
      <c r="L3" s="155"/>
      <c r="M3" s="284"/>
      <c r="N3" s="155"/>
      <c r="O3" s="155"/>
      <c r="P3" s="284"/>
      <c r="Q3" s="285"/>
      <c r="R3" s="452"/>
      <c r="S3" s="342"/>
      <c r="T3" s="345"/>
      <c r="U3" s="286"/>
      <c r="V3" s="287"/>
      <c r="W3" s="346"/>
      <c r="X3" s="347"/>
      <c r="Y3" s="348"/>
      <c r="Z3" s="347"/>
      <c r="AA3" s="347"/>
      <c r="AB3" s="348"/>
      <c r="AC3" s="347"/>
      <c r="AD3" s="347"/>
      <c r="AE3" s="348"/>
      <c r="AF3" s="347"/>
      <c r="AG3" s="347"/>
      <c r="AH3" s="348"/>
      <c r="AI3" s="347"/>
      <c r="AJ3" s="347"/>
      <c r="AK3" s="348"/>
      <c r="AL3" s="347"/>
      <c r="AM3" s="341"/>
      <c r="AN3" s="342"/>
      <c r="AO3" s="341"/>
      <c r="AP3" s="341"/>
      <c r="AQ3" s="235"/>
      <c r="AR3" s="341"/>
      <c r="AS3" s="341"/>
      <c r="AT3" s="235"/>
      <c r="AU3" s="341"/>
      <c r="AV3" s="341"/>
      <c r="AW3" s="235"/>
      <c r="AX3" s="341"/>
      <c r="AY3" s="341"/>
      <c r="AZ3" s="235"/>
      <c r="BA3" s="341"/>
      <c r="BB3" s="341"/>
      <c r="BC3" s="235"/>
      <c r="BD3" s="341"/>
      <c r="BE3" s="341"/>
      <c r="BF3" s="235"/>
      <c r="BG3" s="341"/>
      <c r="BH3" s="341"/>
      <c r="BI3" s="342"/>
      <c r="BJ3" s="341"/>
      <c r="BK3" s="349"/>
      <c r="BL3" s="342"/>
      <c r="BM3" s="341"/>
      <c r="BN3" s="341"/>
      <c r="BO3" s="342"/>
      <c r="BP3" s="341"/>
      <c r="BQ3" s="341"/>
      <c r="BR3" s="342"/>
      <c r="BS3" s="341"/>
      <c r="BT3" s="341"/>
      <c r="BU3" s="342"/>
      <c r="BV3" s="341"/>
      <c r="BW3" s="341"/>
      <c r="BX3" s="342"/>
      <c r="BY3" s="341"/>
      <c r="BZ3" s="341"/>
      <c r="CA3" s="342"/>
      <c r="CB3" s="341"/>
      <c r="CC3" s="341"/>
      <c r="DK3" s="1350"/>
      <c r="DN3" s="1350"/>
      <c r="DQ3" s="1350"/>
      <c r="DT3" s="1350"/>
      <c r="DW3" s="1350"/>
      <c r="DZ3" s="1350"/>
      <c r="EC3" s="1350"/>
      <c r="EF3" s="1350"/>
      <c r="EI3" s="1350"/>
      <c r="EL3" s="1350"/>
      <c r="EO3" s="1350"/>
      <c r="ER3" s="1350"/>
      <c r="EU3" s="1350"/>
      <c r="EX3" s="1350"/>
      <c r="FA3" s="1350"/>
      <c r="FE3"/>
      <c r="FF3"/>
      <c r="FG3"/>
      <c r="FH3"/>
      <c r="FI3"/>
      <c r="FJ3"/>
      <c r="FK3" s="35"/>
    </row>
    <row r="4" spans="1:167" s="236" customFormat="1" ht="15" customHeight="1" thickBot="1">
      <c r="A4" s="453" t="s">
        <v>511</v>
      </c>
      <c r="B4" s="454"/>
      <c r="C4" s="454" t="s">
        <v>933</v>
      </c>
      <c r="D4" s="455"/>
      <c r="E4" s="456" t="s">
        <v>512</v>
      </c>
      <c r="F4" s="456" t="s">
        <v>513</v>
      </c>
      <c r="G4" s="456" t="s">
        <v>514</v>
      </c>
      <c r="H4" s="456" t="s">
        <v>515</v>
      </c>
      <c r="I4" s="456" t="s">
        <v>516</v>
      </c>
      <c r="J4" s="456" t="s">
        <v>517</v>
      </c>
      <c r="K4" s="456" t="s">
        <v>518</v>
      </c>
      <c r="L4" s="456" t="s">
        <v>866</v>
      </c>
      <c r="M4" s="456" t="s">
        <v>593</v>
      </c>
      <c r="N4" s="456" t="s">
        <v>594</v>
      </c>
      <c r="O4" s="456" t="s">
        <v>595</v>
      </c>
      <c r="P4" s="456" t="s">
        <v>596</v>
      </c>
      <c r="Q4" s="456" t="s">
        <v>597</v>
      </c>
      <c r="R4" s="456" t="s">
        <v>598</v>
      </c>
      <c r="S4" s="456" t="s">
        <v>599</v>
      </c>
      <c r="T4" s="456" t="s">
        <v>600</v>
      </c>
      <c r="U4" s="456" t="s">
        <v>601</v>
      </c>
      <c r="V4" s="456" t="s">
        <v>602</v>
      </c>
      <c r="W4" s="456" t="s">
        <v>603</v>
      </c>
      <c r="X4" s="456" t="s">
        <v>721</v>
      </c>
      <c r="Y4" s="456" t="s">
        <v>354</v>
      </c>
      <c r="Z4" s="456" t="s">
        <v>355</v>
      </c>
      <c r="AA4" s="456" t="s">
        <v>356</v>
      </c>
      <c r="AB4" s="456" t="s">
        <v>357</v>
      </c>
      <c r="AC4" s="456" t="s">
        <v>358</v>
      </c>
      <c r="AD4" s="456" t="s">
        <v>359</v>
      </c>
      <c r="AE4" s="456" t="s">
        <v>360</v>
      </c>
      <c r="AF4" s="456" t="s">
        <v>361</v>
      </c>
      <c r="AG4" s="456" t="s">
        <v>362</v>
      </c>
      <c r="AH4" s="456" t="s">
        <v>363</v>
      </c>
      <c r="AI4" s="456" t="s">
        <v>364</v>
      </c>
      <c r="AJ4" s="456" t="s">
        <v>365</v>
      </c>
      <c r="AK4" s="456" t="s">
        <v>366</v>
      </c>
      <c r="AL4" s="456" t="s">
        <v>367</v>
      </c>
      <c r="AM4" s="457" t="str">
        <f>IF(AM5="E","2h96f","2h96")</f>
        <v>2h96</v>
      </c>
      <c r="AN4" s="457" t="str">
        <f>IF(AN5="E","1996f","1996")</f>
        <v>1996</v>
      </c>
      <c r="AO4" s="457" t="str">
        <f>IF(AO5="E","1h97f","1h97")</f>
        <v>1h97</v>
      </c>
      <c r="AP4" s="457" t="str">
        <f>IF(AP5="E","2h97f","2h97")</f>
        <v>2h97</v>
      </c>
      <c r="AQ4" s="457" t="str">
        <f>IF(AQ5="E","FY97E","FY97")</f>
        <v>FY97</v>
      </c>
      <c r="AR4" s="457" t="str">
        <f>IF(AR5="E","1H98E","1H98")</f>
        <v>1H98</v>
      </c>
      <c r="AS4" s="457" t="str">
        <f>IF(AS5="E","2H98E","2H98")</f>
        <v>2H98</v>
      </c>
      <c r="AT4" s="457" t="str">
        <f>IF(AT5="E","FY98E","FY98")</f>
        <v>FY98</v>
      </c>
      <c r="AU4" s="457" t="str">
        <f>IF(AU5="E","1H99E","1H99")</f>
        <v>1H99</v>
      </c>
      <c r="AV4" s="457" t="str">
        <f>IF(AV5="E","2H99E","2H99")</f>
        <v>2H99</v>
      </c>
      <c r="AW4" s="457" t="str">
        <f>IF(AW5="E","FY99E","FY99")</f>
        <v>FY99</v>
      </c>
      <c r="AX4" s="457" t="str">
        <f>IF(AX5="E","1H00E","1H00")</f>
        <v>1H00</v>
      </c>
      <c r="AY4" s="457" t="str">
        <f>IF(AY5="E","2H00E","2H00")</f>
        <v>2H00</v>
      </c>
      <c r="AZ4" s="457" t="str">
        <f>IF(AZ5="E","FY00E","FY00")</f>
        <v>FY00</v>
      </c>
      <c r="BA4" s="457" t="str">
        <f>IF(BA5="E","1H01E","1H01")</f>
        <v>1H01</v>
      </c>
      <c r="BB4" s="457" t="str">
        <f>IF(BB5="E","2H01E","2H01")</f>
        <v>2H01</v>
      </c>
      <c r="BC4" s="457" t="str">
        <f>IF(BC5="E","FY01E","FY01")</f>
        <v>FY01</v>
      </c>
      <c r="BD4" s="457" t="str">
        <f>IF(BD5="E","1H02E","1H02")</f>
        <v>1H02</v>
      </c>
      <c r="BE4" s="457" t="str">
        <f>IF(BE5="E","2H02E","2H02")</f>
        <v>2H02</v>
      </c>
      <c r="BF4" s="457" t="str">
        <f>IF(BF5="E","FY02E","FY02")</f>
        <v>FY02</v>
      </c>
      <c r="BG4" s="457" t="str">
        <f>IF(BG5="E","1H03E","1H03")</f>
        <v>1H03</v>
      </c>
      <c r="BH4" s="457" t="str">
        <f>IF(BH5="E","2H03E","2H03")</f>
        <v>2H03</v>
      </c>
      <c r="BI4" s="457" t="str">
        <f>IF(BI5="E","FY03E","FY03")</f>
        <v>FY03</v>
      </c>
      <c r="BJ4" s="457" t="str">
        <f>IF(BJ5="E","1H04E","1H04")</f>
        <v>1H04</v>
      </c>
      <c r="BK4" s="457" t="str">
        <f>IF(BK5="E","2H04E","2H04")</f>
        <v>2H04</v>
      </c>
      <c r="BL4" s="457" t="str">
        <f>IF(BL5="E","FY04E","FY04")</f>
        <v>FY04</v>
      </c>
      <c r="BM4" s="457" t="str">
        <f>IF(BM5="E","1H05E","1H05")</f>
        <v>1H05</v>
      </c>
      <c r="BN4" s="457" t="str">
        <f>IF(BN5="E","2H05E","2H05")</f>
        <v>2H05</v>
      </c>
      <c r="BO4" s="457" t="str">
        <f>IF(BO5="E","FY05E","FY05")</f>
        <v>FY05</v>
      </c>
      <c r="BP4" s="457" t="str">
        <f>IF(BP5="E","1H06E","1H06")</f>
        <v>1H06</v>
      </c>
      <c r="BQ4" s="457" t="str">
        <f>IF(BQ5="E","2H06E","2H06")</f>
        <v>2H06</v>
      </c>
      <c r="BR4" s="457" t="str">
        <f>IF(BR5="E","FY06E","FY06")</f>
        <v>FY06</v>
      </c>
      <c r="BS4" s="457" t="str">
        <f>IF(BS5="E","1H07E","1H07")</f>
        <v>1H07</v>
      </c>
      <c r="BT4" s="457" t="str">
        <f>IF(BT5="E","2H07E","2H07")</f>
        <v>2H07</v>
      </c>
      <c r="BU4" s="457" t="str">
        <f>IF(BU5="E","FY07E","FY07")</f>
        <v>FY07</v>
      </c>
      <c r="BV4" s="457" t="str">
        <f>IF(BV5="E","1H08E","1H08")</f>
        <v>1H08</v>
      </c>
      <c r="BW4" s="457" t="str">
        <f>IF(BW5="E","2H08E","2H08")</f>
        <v>2H08</v>
      </c>
      <c r="BX4" s="457" t="str">
        <f>IF(BX5="E","FY08E","FY08")</f>
        <v>FY08</v>
      </c>
      <c r="BY4" s="457" t="str">
        <f>IF(BY5="E","1H09E","1H09")</f>
        <v>1H09</v>
      </c>
      <c r="BZ4" s="457" t="str">
        <f>IF(BZ5="E","2H09E","2H09")</f>
        <v>2H09</v>
      </c>
      <c r="CA4" s="457" t="str">
        <f>IF(CA5="E","FY09E","FY09")</f>
        <v>FY09</v>
      </c>
      <c r="CB4" s="457" t="str">
        <f>IF(CB5="E","1H10E","1H10")</f>
        <v>1H10</v>
      </c>
      <c r="CC4" s="457" t="str">
        <f>IF(CC5="E","2H10E","2H10")</f>
        <v>2H10</v>
      </c>
      <c r="CD4" s="457" t="str">
        <f>IF(CD5="E","FY10E","FY10")</f>
        <v>FY10</v>
      </c>
      <c r="CE4" s="457" t="str">
        <f>IF(CE5="E","1H11E","1H11")</f>
        <v>1H11</v>
      </c>
      <c r="CF4" s="457" t="str">
        <f>IF(CF5="E","2H11E","2H11")</f>
        <v>2H11</v>
      </c>
      <c r="CG4" s="457" t="str">
        <f>IF(CG5="E","FY11E","FY11")</f>
        <v>FY11</v>
      </c>
      <c r="CH4" s="457" t="str">
        <f>IF(CH5="E","1H12E","1H12")</f>
        <v>1H12</v>
      </c>
      <c r="CI4" s="457" t="str">
        <f>IF(CI5="E","2H12E","2H12")</f>
        <v>2H12</v>
      </c>
      <c r="CJ4" s="457" t="str">
        <f>IF(CJ5="E","FY12E","FY12")</f>
        <v>FY12</v>
      </c>
      <c r="CK4" s="457" t="str">
        <f>IF(CK5="E","1H13E","1H13")</f>
        <v>1H13</v>
      </c>
      <c r="CL4" s="457" t="str">
        <f>IF(CL5="E","2H13E","2H13")</f>
        <v>2H13</v>
      </c>
      <c r="CM4" s="457" t="str">
        <f>IF(CM5="E","FY13E","FY13")</f>
        <v>FY13</v>
      </c>
      <c r="CN4" s="457" t="str">
        <f>IF(CN5="E","1H14E","1H14")</f>
        <v>1H14</v>
      </c>
      <c r="CO4" s="457" t="str">
        <f>IF(CO5="E","2H14E","2H14")</f>
        <v>2H14</v>
      </c>
      <c r="CP4" s="457" t="str">
        <f>IF(CP5="E","FY14E","FY14")</f>
        <v>FY14</v>
      </c>
      <c r="CQ4" s="457" t="str">
        <f>IF(CQ5="E","1H15E","1H15")</f>
        <v>1H15</v>
      </c>
      <c r="CR4" s="457" t="str">
        <f>IF(CR5="E","2H15E","2H15")</f>
        <v>2H15</v>
      </c>
      <c r="CS4" s="457" t="str">
        <f>IF(CS5="E","FY15E","FY15")</f>
        <v>FY15</v>
      </c>
      <c r="CT4" s="457" t="str">
        <f>IF(CT5="E","1H16E","1H16")</f>
        <v>1H16</v>
      </c>
      <c r="CU4" s="457" t="str">
        <f>IF(CU5="E","2H16E","2H16")</f>
        <v>2H16</v>
      </c>
      <c r="CV4" s="457" t="str">
        <f>IF(CV5="E","FY16E","FY16")</f>
        <v>FY16</v>
      </c>
      <c r="CW4" s="457" t="str">
        <f>IF(CW5="E","1H17E","1H17")</f>
        <v>1H17</v>
      </c>
      <c r="CX4" s="457" t="str">
        <f>IF(CX5="E","2H17E","2H17")</f>
        <v>2H17</v>
      </c>
      <c r="CY4" s="457" t="str">
        <f>IF(CY5="E","FY17E","FY17")</f>
        <v>FY17</v>
      </c>
      <c r="CZ4" s="457" t="str">
        <f>IF(CZ5="E","1H18E","1H18")</f>
        <v>1H18</v>
      </c>
      <c r="DA4" s="457" t="str">
        <f>IF(DA5="E","2H18E","2H18")</f>
        <v>2H18</v>
      </c>
      <c r="DB4" s="457" t="str">
        <f>IF(DB5="E","FY18E","FY18")</f>
        <v>FY18</v>
      </c>
      <c r="DC4" s="457" t="str">
        <f>IF(DC5="E","1H19E","1H19")</f>
        <v>1H19</v>
      </c>
      <c r="DD4" s="457" t="str">
        <f>IF(DD5="E","2H19E","2H19")</f>
        <v>2H19</v>
      </c>
      <c r="DE4" s="457" t="str">
        <f>IF(DE5="E","FY19E","FY19")</f>
        <v>FY19</v>
      </c>
      <c r="DF4" s="457" t="str">
        <f>IF(DF5="E","1H20E","1H20")</f>
        <v>1H20</v>
      </c>
      <c r="DG4" s="457" t="str">
        <f>IF(DG5="E","2H20E","2H20")</f>
        <v>2H20</v>
      </c>
      <c r="DH4" s="457" t="str">
        <f>IF(DH5="E","FY20E","FY20")</f>
        <v>FY20</v>
      </c>
      <c r="DI4" s="457" t="str">
        <f>IF(DI5="E","1H21E","1H21")</f>
        <v>1H21</v>
      </c>
      <c r="DJ4" s="457" t="str">
        <f>IF(DJ5="E","2H21E","2H21")</f>
        <v>2H21</v>
      </c>
      <c r="DK4" s="1251" t="str">
        <f>IF(DK5="E","FY20E","FY21")</f>
        <v>FY21</v>
      </c>
      <c r="DL4" s="457" t="str">
        <f>IF(DL5="E","1H22E","1H22")</f>
        <v>1H22</v>
      </c>
      <c r="DM4" s="457" t="str">
        <f>IF(DM5="E","2H22E","2H22")</f>
        <v>2H22</v>
      </c>
      <c r="DN4" s="1251" t="str">
        <f>IF(DN5="E","FY22E","FY22")</f>
        <v>FY22</v>
      </c>
      <c r="DO4" s="457" t="str">
        <f>IF(DO5="E","1H23E","1H23")</f>
        <v>1H23</v>
      </c>
      <c r="DP4" s="457" t="str">
        <f>IF(DP5="E","2H23E","2H23")</f>
        <v>2H23</v>
      </c>
      <c r="DQ4" s="1251" t="str">
        <f>IF(DQ5="E","FY23E","FY23")</f>
        <v>FY23</v>
      </c>
      <c r="DR4" s="457" t="str">
        <f>IF(DR5="E","1H24E","1H24")</f>
        <v>1H24</v>
      </c>
      <c r="DS4" s="457" t="str">
        <f>IF(DS5="E","2H24E","2H24")</f>
        <v>2H24</v>
      </c>
      <c r="DT4" s="1251" t="str">
        <f>IF(DT5="E","FY24E","FY24")</f>
        <v>FY24</v>
      </c>
      <c r="DU4" s="457" t="str">
        <f>IF(DU5="E","1H25E","1H25")</f>
        <v>1H25</v>
      </c>
      <c r="DV4" s="457" t="str">
        <f>IF(DV5="E","2H25E","2H25")</f>
        <v>2H25</v>
      </c>
      <c r="DW4" s="1251" t="str">
        <f>IF(DW5="E","FY25E","FY25")</f>
        <v>FY25</v>
      </c>
      <c r="DX4" s="457" t="str">
        <f>IF(DX5="E","1H26E","1H26")</f>
        <v>1H26</v>
      </c>
      <c r="DY4" s="457" t="str">
        <f>IF(DY5="E","2H26E","2H26")</f>
        <v>2H26E</v>
      </c>
      <c r="DZ4" s="1251" t="str">
        <f>IF(DZ5="E","FY26E","2026")</f>
        <v>FY26E</v>
      </c>
      <c r="EA4" s="457" t="str">
        <f>IF(EA5="E","1H27E","1H27")</f>
        <v>1H27E</v>
      </c>
      <c r="EB4" s="457" t="str">
        <f>IF(EB5="E","2H27E","2H27")</f>
        <v>2H27E</v>
      </c>
      <c r="EC4" s="1251" t="str">
        <f>IF(EC5="E","FY27E","2027")</f>
        <v>FY27E</v>
      </c>
      <c r="ED4" s="457" t="str">
        <f>IF(ED5="E","1H28E","1H28")</f>
        <v>1H28E</v>
      </c>
      <c r="EE4" s="457" t="str">
        <f>IF(EE5="E","2H28E","2H28")</f>
        <v>2H28E</v>
      </c>
      <c r="EF4" s="1251" t="str">
        <f>IF(EF5="E","FY28E","2028")</f>
        <v>FY28E</v>
      </c>
      <c r="EG4" s="457" t="str">
        <f>IF(EG5="E","1H29E","1H29")</f>
        <v>1H29E</v>
      </c>
      <c r="EH4" s="457" t="str">
        <f>IF(EH5="E","2H29E","2H29")</f>
        <v>2H29E</v>
      </c>
      <c r="EI4" s="1251" t="str">
        <f>IF(EI5="E","FY29E","2029")</f>
        <v>FY29E</v>
      </c>
      <c r="EJ4" s="457" t="str">
        <f>IF(EJ5="E","1H30E","1H30")</f>
        <v>1H30E</v>
      </c>
      <c r="EK4" s="457" t="str">
        <f>IF(EK5="E","2H30E","2H30")</f>
        <v>2H30E</v>
      </c>
      <c r="EL4" s="1251" t="str">
        <f>IF(EL5="E","FY30E","2030")</f>
        <v>FY30E</v>
      </c>
      <c r="EM4" s="457" t="str">
        <f>IF(EM5="E","1H31E","1H31")</f>
        <v>1H31E</v>
      </c>
      <c r="EN4" s="457" t="str">
        <f>IF(EN5="E","2H31E","2H31")</f>
        <v>2H31E</v>
      </c>
      <c r="EO4" s="1251" t="str">
        <f>IF(EO5="E","FY31E","2031")</f>
        <v>FY31E</v>
      </c>
      <c r="EP4" s="457" t="str">
        <f>IF(EP5="E","1H32E","1H32")</f>
        <v>1H32E</v>
      </c>
      <c r="EQ4" s="457" t="str">
        <f>IF(EQ5="E","2H32E","2H32")</f>
        <v>2H32E</v>
      </c>
      <c r="ER4" s="1251" t="str">
        <f>IF(ER5="E","FY32E","2032")</f>
        <v>FY32E</v>
      </c>
      <c r="ES4" s="457" t="str">
        <f>IF(ES5="E","1H33E","1H33")</f>
        <v>1H33E</v>
      </c>
      <c r="ET4" s="457" t="str">
        <f>IF(ET5="E","2H33E","2H33")</f>
        <v>2H33E</v>
      </c>
      <c r="EU4" s="1251" t="str">
        <f>IF(EU5="E","FY33E","2033")</f>
        <v>FY33E</v>
      </c>
      <c r="EV4" s="457" t="str">
        <f>IF(EV5="E","1H34E","1H34")</f>
        <v>1H34E</v>
      </c>
      <c r="EW4" s="457" t="str">
        <f>IF(EW5="E","2H34E","2H34")</f>
        <v>2H34E</v>
      </c>
      <c r="EX4" s="1251" t="str">
        <f>IF(EX5="E","FY34E","2034")</f>
        <v>FY34E</v>
      </c>
      <c r="EY4" s="457" t="str">
        <f>IF(EY5="E","1H35E","1H35")</f>
        <v>1H35E</v>
      </c>
      <c r="EZ4" s="457" t="str">
        <f>IF(EZ5="E","2H35E","2H35")</f>
        <v>2H35E</v>
      </c>
      <c r="FA4" s="1251" t="str">
        <f>IF(FA5="E","FY35E","2035")</f>
        <v>FY35E</v>
      </c>
      <c r="FE4"/>
      <c r="FF4"/>
      <c r="FG4"/>
      <c r="FH4"/>
      <c r="FI4"/>
      <c r="FJ4"/>
      <c r="FK4" s="35"/>
    </row>
    <row r="5" spans="1:167" s="236" customFormat="1" ht="14.25" customHeight="1">
      <c r="B5" s="458" t="s">
        <v>368</v>
      </c>
      <c r="C5" s="242"/>
      <c r="D5" s="241"/>
      <c r="E5" s="459" t="s">
        <v>509</v>
      </c>
      <c r="F5" s="459" t="s">
        <v>509</v>
      </c>
      <c r="G5" s="460" t="s">
        <v>509</v>
      </c>
      <c r="H5" s="459" t="s">
        <v>509</v>
      </c>
      <c r="I5" s="459" t="s">
        <v>509</v>
      </c>
      <c r="J5" s="460" t="s">
        <v>509</v>
      </c>
      <c r="K5" s="459" t="s">
        <v>509</v>
      </c>
      <c r="L5" s="459" t="s">
        <v>509</v>
      </c>
      <c r="M5" s="460" t="s">
        <v>509</v>
      </c>
      <c r="N5" s="459" t="s">
        <v>509</v>
      </c>
      <c r="O5" s="459" t="s">
        <v>509</v>
      </c>
      <c r="P5" s="460" t="s">
        <v>509</v>
      </c>
      <c r="Q5" s="459" t="s">
        <v>509</v>
      </c>
      <c r="R5" s="459" t="s">
        <v>509</v>
      </c>
      <c r="S5" s="460" t="s">
        <v>509</v>
      </c>
      <c r="T5" s="459" t="s">
        <v>509</v>
      </c>
      <c r="U5" s="459" t="s">
        <v>509</v>
      </c>
      <c r="V5" s="460" t="s">
        <v>509</v>
      </c>
      <c r="W5" s="459" t="s">
        <v>509</v>
      </c>
      <c r="X5" s="459" t="s">
        <v>509</v>
      </c>
      <c r="Y5" s="460" t="s">
        <v>509</v>
      </c>
      <c r="Z5" s="459" t="s">
        <v>509</v>
      </c>
      <c r="AA5" s="459" t="s">
        <v>509</v>
      </c>
      <c r="AB5" s="460" t="s">
        <v>509</v>
      </c>
      <c r="AC5" s="459" t="s">
        <v>509</v>
      </c>
      <c r="AD5" s="459" t="s">
        <v>509</v>
      </c>
      <c r="AE5" s="460" t="s">
        <v>509</v>
      </c>
      <c r="AF5" s="459" t="s">
        <v>509</v>
      </c>
      <c r="AG5" s="459" t="s">
        <v>509</v>
      </c>
      <c r="AH5" s="460" t="s">
        <v>509</v>
      </c>
      <c r="AI5" s="459" t="s">
        <v>509</v>
      </c>
      <c r="AJ5" s="459" t="s">
        <v>509</v>
      </c>
      <c r="AK5" s="460" t="s">
        <v>509</v>
      </c>
      <c r="AL5" s="459" t="s">
        <v>509</v>
      </c>
      <c r="AM5" s="461" t="s">
        <v>509</v>
      </c>
      <c r="AN5" s="462" t="s">
        <v>509</v>
      </c>
      <c r="AO5" s="463" t="s">
        <v>509</v>
      </c>
      <c r="AP5" s="463" t="s">
        <v>509</v>
      </c>
      <c r="AQ5" s="462" t="s">
        <v>509</v>
      </c>
      <c r="AR5" s="463" t="s">
        <v>509</v>
      </c>
      <c r="AS5" s="463" t="s">
        <v>509</v>
      </c>
      <c r="AT5" s="462" t="s">
        <v>509</v>
      </c>
      <c r="AU5" s="463" t="s">
        <v>509</v>
      </c>
      <c r="AV5" s="463" t="s">
        <v>509</v>
      </c>
      <c r="AW5" s="462" t="s">
        <v>509</v>
      </c>
      <c r="AX5" s="463" t="s">
        <v>509</v>
      </c>
      <c r="AY5" s="463" t="s">
        <v>509</v>
      </c>
      <c r="AZ5" s="462" t="s">
        <v>509</v>
      </c>
      <c r="BA5" s="463" t="s">
        <v>509</v>
      </c>
      <c r="BB5" s="463" t="s">
        <v>509</v>
      </c>
      <c r="BC5" s="462" t="s">
        <v>509</v>
      </c>
      <c r="BD5" s="463" t="s">
        <v>509</v>
      </c>
      <c r="BE5" s="463" t="s">
        <v>509</v>
      </c>
      <c r="BF5" s="462" t="s">
        <v>509</v>
      </c>
      <c r="BG5" s="463" t="s">
        <v>509</v>
      </c>
      <c r="BH5" s="463" t="s">
        <v>509</v>
      </c>
      <c r="BI5" s="462" t="s">
        <v>509</v>
      </c>
      <c r="BJ5" s="463" t="s">
        <v>509</v>
      </c>
      <c r="BK5" s="463" t="s">
        <v>509</v>
      </c>
      <c r="BL5" s="464" t="s">
        <v>509</v>
      </c>
      <c r="BM5" s="463" t="s">
        <v>509</v>
      </c>
      <c r="BN5" s="463" t="s">
        <v>509</v>
      </c>
      <c r="BO5" s="465" t="s">
        <v>509</v>
      </c>
      <c r="BP5" s="463" t="s">
        <v>509</v>
      </c>
      <c r="BQ5" s="463" t="s">
        <v>509</v>
      </c>
      <c r="BR5" s="465" t="s">
        <v>509</v>
      </c>
      <c r="BS5" s="463" t="s">
        <v>509</v>
      </c>
      <c r="BT5" s="463" t="s">
        <v>509</v>
      </c>
      <c r="BU5" s="465" t="s">
        <v>509</v>
      </c>
      <c r="BV5" s="463" t="s">
        <v>509</v>
      </c>
      <c r="BW5" s="463" t="s">
        <v>509</v>
      </c>
      <c r="BX5" s="465" t="s">
        <v>509</v>
      </c>
      <c r="BY5" s="463" t="s">
        <v>509</v>
      </c>
      <c r="BZ5" s="463" t="s">
        <v>509</v>
      </c>
      <c r="CA5" s="465" t="s">
        <v>509</v>
      </c>
      <c r="CB5" s="463" t="s">
        <v>509</v>
      </c>
      <c r="CC5" s="463" t="s">
        <v>509</v>
      </c>
      <c r="CD5" s="466" t="s">
        <v>509</v>
      </c>
      <c r="CE5" s="464" t="s">
        <v>509</v>
      </c>
      <c r="CF5" s="464" t="s">
        <v>509</v>
      </c>
      <c r="CG5" s="466" t="s">
        <v>509</v>
      </c>
      <c r="CH5" s="464" t="s">
        <v>509</v>
      </c>
      <c r="CI5" s="464" t="s">
        <v>509</v>
      </c>
      <c r="CJ5" s="466" t="s">
        <v>509</v>
      </c>
      <c r="CK5" s="464" t="s">
        <v>509</v>
      </c>
      <c r="CL5" s="464" t="s">
        <v>509</v>
      </c>
      <c r="CM5" s="466" t="s">
        <v>509</v>
      </c>
      <c r="CN5" s="464" t="s">
        <v>509</v>
      </c>
      <c r="CO5" s="464" t="s">
        <v>509</v>
      </c>
      <c r="CP5" s="466" t="s">
        <v>509</v>
      </c>
      <c r="CQ5" s="464" t="s">
        <v>509</v>
      </c>
      <c r="CR5" s="464" t="s">
        <v>509</v>
      </c>
      <c r="CS5" s="466" t="s">
        <v>509</v>
      </c>
      <c r="CT5" s="464" t="str">
        <f>+CT2</f>
        <v>A</v>
      </c>
      <c r="CU5" s="464" t="str">
        <f t="shared" ref="CU5:DQ5" si="0">+CU2</f>
        <v>A</v>
      </c>
      <c r="CV5" s="466" t="str">
        <f t="shared" si="0"/>
        <v>A</v>
      </c>
      <c r="CW5" s="464" t="s">
        <v>509</v>
      </c>
      <c r="CX5" s="464" t="str">
        <f t="shared" si="0"/>
        <v>A</v>
      </c>
      <c r="CY5" s="466" t="s">
        <v>509</v>
      </c>
      <c r="CZ5" s="464" t="str">
        <f t="shared" si="0"/>
        <v>A</v>
      </c>
      <c r="DA5" s="464" t="str">
        <f t="shared" si="0"/>
        <v>A</v>
      </c>
      <c r="DB5" s="466" t="str">
        <f t="shared" si="0"/>
        <v>A</v>
      </c>
      <c r="DC5" s="464" t="str">
        <f t="shared" si="0"/>
        <v>A</v>
      </c>
      <c r="DD5" s="464" t="str">
        <f t="shared" si="0"/>
        <v>A</v>
      </c>
      <c r="DE5" s="466" t="str">
        <f t="shared" si="0"/>
        <v>A</v>
      </c>
      <c r="DF5" s="464" t="s">
        <v>509</v>
      </c>
      <c r="DG5" s="464" t="str">
        <f t="shared" si="0"/>
        <v>A</v>
      </c>
      <c r="DH5" s="1239" t="str">
        <f t="shared" si="0"/>
        <v>A</v>
      </c>
      <c r="DI5" s="464" t="str">
        <f t="shared" si="0"/>
        <v>A</v>
      </c>
      <c r="DJ5" s="464" t="str">
        <f t="shared" si="0"/>
        <v>A</v>
      </c>
      <c r="DK5" s="1239" t="str">
        <f t="shared" si="0"/>
        <v>A</v>
      </c>
      <c r="DL5" s="464" t="str">
        <f t="shared" si="0"/>
        <v>A</v>
      </c>
      <c r="DM5" s="464" t="s">
        <v>509</v>
      </c>
      <c r="DN5" s="1239" t="s">
        <v>509</v>
      </c>
      <c r="DO5" s="464" t="str">
        <f t="shared" si="0"/>
        <v>A</v>
      </c>
      <c r="DP5" s="464" t="str">
        <f t="shared" si="0"/>
        <v>A</v>
      </c>
      <c r="DQ5" s="1239" t="str">
        <f t="shared" si="0"/>
        <v>A</v>
      </c>
      <c r="DR5" s="464" t="str">
        <f t="shared" ref="DR5:DW5" si="1">+DR2</f>
        <v>A</v>
      </c>
      <c r="DS5" s="464" t="str">
        <f t="shared" si="1"/>
        <v>A</v>
      </c>
      <c r="DT5" s="1239" t="str">
        <f t="shared" si="1"/>
        <v>A</v>
      </c>
      <c r="DU5" s="464" t="str">
        <f t="shared" si="1"/>
        <v>A</v>
      </c>
      <c r="DV5" s="464" t="str">
        <f t="shared" si="1"/>
        <v>A</v>
      </c>
      <c r="DW5" s="1239" t="str">
        <f t="shared" si="1"/>
        <v>A</v>
      </c>
      <c r="DX5" s="464" t="str">
        <f t="shared" ref="DX5:EC5" si="2">+DX2</f>
        <v>A</v>
      </c>
      <c r="DY5" s="464" t="str">
        <f t="shared" si="2"/>
        <v>E</v>
      </c>
      <c r="DZ5" s="1239" t="str">
        <f t="shared" si="2"/>
        <v>E</v>
      </c>
      <c r="EA5" s="464" t="str">
        <f t="shared" si="2"/>
        <v>E</v>
      </c>
      <c r="EB5" s="464" t="str">
        <f t="shared" si="2"/>
        <v>E</v>
      </c>
      <c r="EC5" s="1239" t="str">
        <f t="shared" si="2"/>
        <v>E</v>
      </c>
      <c r="ED5" s="464" t="str">
        <f t="shared" ref="ED5:EL5" si="3">+ED2</f>
        <v>E</v>
      </c>
      <c r="EE5" s="464" t="str">
        <f t="shared" si="3"/>
        <v>E</v>
      </c>
      <c r="EF5" s="1239" t="str">
        <f t="shared" si="3"/>
        <v>E</v>
      </c>
      <c r="EG5" s="464" t="str">
        <f t="shared" si="3"/>
        <v>E</v>
      </c>
      <c r="EH5" s="464" t="str">
        <f t="shared" si="3"/>
        <v>E</v>
      </c>
      <c r="EI5" s="1239" t="str">
        <f t="shared" si="3"/>
        <v>E</v>
      </c>
      <c r="EJ5" s="464" t="str">
        <f t="shared" si="3"/>
        <v>E</v>
      </c>
      <c r="EK5" s="464" t="str">
        <f t="shared" si="3"/>
        <v>E</v>
      </c>
      <c r="EL5" s="1239" t="str">
        <f t="shared" si="3"/>
        <v>E</v>
      </c>
      <c r="EM5" s="464" t="str">
        <f t="shared" ref="EM5:ER5" si="4">+EM2</f>
        <v>E</v>
      </c>
      <c r="EN5" s="464" t="str">
        <f t="shared" si="4"/>
        <v>E</v>
      </c>
      <c r="EO5" s="1239" t="str">
        <f t="shared" si="4"/>
        <v>E</v>
      </c>
      <c r="EP5" s="464" t="str">
        <f t="shared" si="4"/>
        <v>E</v>
      </c>
      <c r="EQ5" s="464" t="str">
        <f t="shared" si="4"/>
        <v>E</v>
      </c>
      <c r="ER5" s="1239" t="str">
        <f t="shared" si="4"/>
        <v>E</v>
      </c>
      <c r="ES5" s="464" t="str">
        <f t="shared" ref="ES5:EX5" si="5">+ES2</f>
        <v>E</v>
      </c>
      <c r="ET5" s="464" t="str">
        <f t="shared" si="5"/>
        <v>E</v>
      </c>
      <c r="EU5" s="1239" t="str">
        <f t="shared" si="5"/>
        <v>E</v>
      </c>
      <c r="EV5" s="464" t="str">
        <f t="shared" si="5"/>
        <v>E</v>
      </c>
      <c r="EW5" s="464" t="str">
        <f t="shared" si="5"/>
        <v>E</v>
      </c>
      <c r="EX5" s="1239" t="str">
        <f t="shared" si="5"/>
        <v>E</v>
      </c>
      <c r="EY5" s="464" t="str">
        <f t="shared" ref="EY5:FA5" si="6">+EY2</f>
        <v>E</v>
      </c>
      <c r="EZ5" s="464" t="str">
        <f t="shared" si="6"/>
        <v>E</v>
      </c>
      <c r="FA5" s="1239" t="str">
        <f t="shared" si="6"/>
        <v>E</v>
      </c>
      <c r="FE5"/>
      <c r="FF5"/>
      <c r="FG5"/>
      <c r="FH5"/>
      <c r="FI5"/>
      <c r="FJ5"/>
      <c r="FK5" s="35"/>
    </row>
    <row r="6" spans="1:167" s="236" customFormat="1" ht="12" customHeight="1" thickBot="1">
      <c r="B6" s="458" t="s">
        <v>369</v>
      </c>
      <c r="C6" s="242"/>
      <c r="E6" s="467">
        <v>1000000</v>
      </c>
      <c r="F6" s="467">
        <v>1000000</v>
      </c>
      <c r="G6" s="288"/>
      <c r="H6" s="467">
        <v>1000000</v>
      </c>
      <c r="I6" s="467">
        <v>1000000</v>
      </c>
      <c r="J6" s="288"/>
      <c r="K6" s="467">
        <v>1000000</v>
      </c>
      <c r="L6" s="467">
        <v>1000000</v>
      </c>
      <c r="M6" s="288"/>
      <c r="N6" s="467">
        <v>1000000</v>
      </c>
      <c r="O6" s="467">
        <v>1000000</v>
      </c>
      <c r="P6" s="288"/>
      <c r="Q6" s="467">
        <v>1000000</v>
      </c>
      <c r="R6" s="467">
        <v>1000000</v>
      </c>
      <c r="S6" s="288"/>
      <c r="T6" s="467">
        <v>1000000</v>
      </c>
      <c r="U6" s="467">
        <v>1000000</v>
      </c>
      <c r="V6" s="288"/>
      <c r="W6" s="467">
        <v>1000000</v>
      </c>
      <c r="X6" s="467">
        <v>1000000</v>
      </c>
      <c r="Y6" s="288"/>
      <c r="Z6" s="467">
        <v>1000000</v>
      </c>
      <c r="AA6" s="467">
        <v>1000000</v>
      </c>
      <c r="AB6" s="288"/>
      <c r="AC6" s="467">
        <v>1000000</v>
      </c>
      <c r="AD6" s="467">
        <v>1000000</v>
      </c>
      <c r="AE6" s="288"/>
      <c r="AF6" s="467">
        <v>1000000</v>
      </c>
      <c r="AG6" s="467">
        <v>1000000</v>
      </c>
      <c r="AH6" s="288"/>
      <c r="AI6" s="467">
        <v>1000000</v>
      </c>
      <c r="AJ6" s="467">
        <v>1000000</v>
      </c>
      <c r="AK6" s="288"/>
      <c r="AL6" s="467">
        <v>1000000</v>
      </c>
      <c r="AM6" s="468">
        <v>1000000</v>
      </c>
      <c r="AN6" s="469"/>
      <c r="AO6" s="470">
        <v>1000000</v>
      </c>
      <c r="AP6" s="470">
        <v>1000000</v>
      </c>
      <c r="AQ6" s="469"/>
      <c r="AR6" s="470">
        <v>1000000</v>
      </c>
      <c r="AS6" s="470">
        <v>1000000</v>
      </c>
      <c r="AT6" s="469"/>
      <c r="AU6" s="470">
        <v>1000000</v>
      </c>
      <c r="AV6" s="470">
        <v>1000000</v>
      </c>
      <c r="AW6" s="469"/>
      <c r="AX6" s="470">
        <v>1000000</v>
      </c>
      <c r="AY6" s="470">
        <v>1000000</v>
      </c>
      <c r="AZ6" s="469"/>
      <c r="BA6" s="471"/>
      <c r="BB6" s="471"/>
      <c r="BC6" s="469"/>
      <c r="BD6" s="471"/>
      <c r="BE6" s="471"/>
      <c r="BF6" s="469"/>
      <c r="BG6" s="471"/>
      <c r="BH6" s="471"/>
      <c r="BI6" s="469"/>
      <c r="BJ6" s="471"/>
      <c r="BK6" s="471"/>
      <c r="BL6" s="469"/>
      <c r="BM6" s="471"/>
      <c r="BN6" s="471"/>
      <c r="BO6" s="472"/>
      <c r="BP6" s="471"/>
      <c r="BQ6" s="471"/>
      <c r="BR6" s="472"/>
      <c r="BS6" s="471"/>
      <c r="BT6" s="471"/>
      <c r="BU6" s="472"/>
      <c r="BV6" s="471"/>
      <c r="BW6" s="471"/>
      <c r="BX6" s="472"/>
      <c r="BY6" s="471"/>
      <c r="BZ6" s="471"/>
      <c r="CA6" s="472"/>
      <c r="CB6" s="471"/>
      <c r="CC6" s="471"/>
      <c r="CD6" s="473"/>
      <c r="CE6" s="474"/>
      <c r="CF6" s="474"/>
      <c r="CG6" s="473"/>
      <c r="CH6" s="474"/>
      <c r="CI6" s="474"/>
      <c r="CJ6" s="473"/>
      <c r="CK6" s="474"/>
      <c r="CL6" s="474"/>
      <c r="CM6" s="473"/>
      <c r="CN6" s="474"/>
      <c r="CO6" s="474"/>
      <c r="CP6" s="473"/>
      <c r="CQ6" s="474"/>
      <c r="CR6" s="474"/>
      <c r="CS6" s="473"/>
      <c r="CT6" s="474"/>
      <c r="CU6" s="474"/>
      <c r="CV6" s="473"/>
      <c r="CW6" s="474"/>
      <c r="CX6" s="474"/>
      <c r="CY6" s="473"/>
      <c r="CZ6" s="474"/>
      <c r="DA6" s="474"/>
      <c r="DB6" s="473"/>
      <c r="DC6" s="474"/>
      <c r="DD6" s="474"/>
      <c r="DE6" s="473"/>
      <c r="DF6" s="474"/>
      <c r="DG6" s="474"/>
      <c r="DH6" s="1240"/>
      <c r="DI6" s="474"/>
      <c r="DJ6" s="474"/>
      <c r="DK6" s="1240"/>
      <c r="DL6" s="474"/>
      <c r="DM6" s="474"/>
      <c r="DN6" s="1240"/>
      <c r="DO6" s="474"/>
      <c r="DP6" s="474"/>
      <c r="DQ6" s="1240"/>
      <c r="DR6" s="474"/>
      <c r="DS6" s="474"/>
      <c r="DT6" s="1240"/>
      <c r="DU6" s="474"/>
      <c r="DV6" s="474"/>
      <c r="DW6" s="1240"/>
      <c r="DX6" s="474"/>
      <c r="DY6" s="474"/>
      <c r="DZ6" s="1240"/>
      <c r="EA6" s="474"/>
      <c r="EB6" s="474"/>
      <c r="EC6" s="1240"/>
      <c r="ED6" s="474"/>
      <c r="EE6" s="474"/>
      <c r="EF6" s="1240"/>
      <c r="EG6" s="474"/>
      <c r="EH6" s="474"/>
      <c r="EI6" s="1240"/>
      <c r="EJ6" s="474"/>
      <c r="EK6" s="474"/>
      <c r="EL6" s="1240"/>
      <c r="EM6" s="474"/>
      <c r="EN6" s="474"/>
      <c r="EO6" s="1240"/>
      <c r="EP6" s="474"/>
      <c r="EQ6" s="474"/>
      <c r="ER6" s="1240"/>
      <c r="ES6" s="474"/>
      <c r="ET6" s="474"/>
      <c r="EU6" s="1240"/>
      <c r="EV6" s="474"/>
      <c r="EW6" s="474"/>
      <c r="EX6" s="1240"/>
      <c r="EY6" s="474"/>
      <c r="EZ6" s="474"/>
      <c r="FA6" s="1240"/>
      <c r="FE6"/>
      <c r="FF6"/>
      <c r="FG6"/>
      <c r="FH6"/>
      <c r="FI6"/>
      <c r="FJ6"/>
      <c r="FK6" s="35"/>
    </row>
    <row r="7" spans="1:167" s="236" customFormat="1" ht="14.25" customHeight="1" outlineLevel="1">
      <c r="B7" s="235" t="s">
        <v>17</v>
      </c>
      <c r="C7" s="242"/>
      <c r="D7" s="241"/>
      <c r="E7" s="475">
        <v>31047</v>
      </c>
      <c r="F7" s="475">
        <v>31228</v>
      </c>
      <c r="G7" s="274"/>
      <c r="H7" s="475">
        <v>31412</v>
      </c>
      <c r="I7" s="475">
        <v>31593</v>
      </c>
      <c r="J7" s="274"/>
      <c r="K7" s="475">
        <v>31777</v>
      </c>
      <c r="L7" s="475">
        <v>31958</v>
      </c>
      <c r="M7" s="274"/>
      <c r="N7" s="475">
        <v>32142</v>
      </c>
      <c r="O7" s="475">
        <v>32324</v>
      </c>
      <c r="P7" s="274"/>
      <c r="Q7" s="475">
        <v>32508</v>
      </c>
      <c r="R7" s="475">
        <v>32689</v>
      </c>
      <c r="S7" s="476"/>
      <c r="T7" s="475">
        <v>32873</v>
      </c>
      <c r="U7" s="475">
        <v>33054</v>
      </c>
      <c r="V7" s="476"/>
      <c r="W7" s="475">
        <v>33238</v>
      </c>
      <c r="X7" s="475">
        <v>33419</v>
      </c>
      <c r="Y7" s="476"/>
      <c r="Z7" s="475">
        <v>33603</v>
      </c>
      <c r="AA7" s="475">
        <v>33785</v>
      </c>
      <c r="AB7" s="476"/>
      <c r="AC7" s="475">
        <v>33969</v>
      </c>
      <c r="AD7" s="475">
        <v>34150</v>
      </c>
      <c r="AE7" s="476"/>
      <c r="AF7" s="475">
        <v>34334</v>
      </c>
      <c r="AG7" s="475">
        <v>34515</v>
      </c>
      <c r="AH7" s="476"/>
      <c r="AI7" s="475">
        <v>34699</v>
      </c>
      <c r="AJ7" s="475">
        <v>34880</v>
      </c>
      <c r="AK7" s="476"/>
      <c r="AL7" s="475">
        <v>35064</v>
      </c>
      <c r="AM7" s="475">
        <v>35246</v>
      </c>
      <c r="AN7" s="476"/>
      <c r="AO7" s="475">
        <v>35430</v>
      </c>
      <c r="AP7" s="475">
        <v>35611</v>
      </c>
      <c r="AQ7" s="476"/>
      <c r="AR7" s="475">
        <v>35795</v>
      </c>
      <c r="AS7" s="475">
        <v>35976</v>
      </c>
      <c r="AT7" s="476"/>
      <c r="AU7" s="475">
        <v>36160</v>
      </c>
      <c r="AV7" s="475">
        <v>36341</v>
      </c>
      <c r="AW7" s="476"/>
      <c r="AX7" s="475">
        <v>36525</v>
      </c>
      <c r="AY7" s="475">
        <v>36707</v>
      </c>
      <c r="AZ7" s="476"/>
      <c r="BA7" s="475">
        <v>36891</v>
      </c>
      <c r="BB7" s="475">
        <v>37072</v>
      </c>
      <c r="BC7" s="476"/>
      <c r="BD7" s="475">
        <v>37256</v>
      </c>
      <c r="BE7" s="475">
        <v>37437</v>
      </c>
      <c r="BF7" s="476"/>
      <c r="BG7" s="475">
        <v>37621</v>
      </c>
      <c r="BH7" s="475">
        <v>37802</v>
      </c>
      <c r="BI7" s="476"/>
      <c r="BJ7" s="475">
        <v>37986</v>
      </c>
      <c r="BK7" s="475">
        <v>38168</v>
      </c>
      <c r="BL7" s="476"/>
      <c r="BM7" s="475">
        <v>38352</v>
      </c>
      <c r="BN7" s="475">
        <v>38533</v>
      </c>
      <c r="BO7" s="476"/>
      <c r="BP7" s="475">
        <v>38717</v>
      </c>
      <c r="BQ7" s="475">
        <v>38898</v>
      </c>
      <c r="BR7" s="476"/>
      <c r="BS7" s="475">
        <v>39082</v>
      </c>
      <c r="BT7" s="475">
        <v>39263</v>
      </c>
      <c r="BU7" s="476"/>
      <c r="BV7" s="475">
        <v>39447</v>
      </c>
      <c r="BW7" s="475">
        <v>39629</v>
      </c>
      <c r="BX7" s="476"/>
      <c r="BY7" s="475">
        <v>39813</v>
      </c>
      <c r="BZ7" s="475">
        <v>39994</v>
      </c>
      <c r="CA7" s="476"/>
      <c r="CB7" s="475">
        <v>40178</v>
      </c>
      <c r="CC7" s="475">
        <v>40359</v>
      </c>
      <c r="CD7" s="477"/>
      <c r="CE7" s="477">
        <v>40543</v>
      </c>
      <c r="CF7" s="477">
        <v>40724</v>
      </c>
      <c r="CG7" s="477"/>
      <c r="CH7" s="477">
        <v>40908</v>
      </c>
      <c r="CI7" s="477">
        <v>41090</v>
      </c>
      <c r="CJ7" s="477"/>
      <c r="CK7" s="477">
        <v>41274</v>
      </c>
      <c r="CL7" s="477">
        <v>41455</v>
      </c>
      <c r="CM7" s="477"/>
      <c r="CN7" s="477">
        <v>41639</v>
      </c>
      <c r="CO7" s="477">
        <v>41820</v>
      </c>
      <c r="CP7" s="477"/>
      <c r="CQ7" s="477">
        <v>42004</v>
      </c>
      <c r="CR7" s="477">
        <v>42185</v>
      </c>
      <c r="CS7" s="477"/>
      <c r="CT7" s="477">
        <v>42369</v>
      </c>
      <c r="CU7" s="477">
        <v>42551</v>
      </c>
      <c r="CV7" s="477"/>
      <c r="CW7" s="477">
        <v>42735</v>
      </c>
      <c r="CX7" s="477">
        <v>42916</v>
      </c>
      <c r="CY7" s="477"/>
      <c r="CZ7" s="477">
        <v>43100</v>
      </c>
      <c r="DA7" s="477">
        <v>43281</v>
      </c>
      <c r="DB7" s="477"/>
      <c r="DC7" s="477">
        <v>43465</v>
      </c>
      <c r="DD7" s="477">
        <v>43646</v>
      </c>
      <c r="DE7" s="477"/>
      <c r="DF7" s="477">
        <v>43830</v>
      </c>
      <c r="DG7" s="477">
        <v>44012</v>
      </c>
      <c r="DH7" s="1241"/>
      <c r="DI7" s="1352">
        <v>44196</v>
      </c>
      <c r="DJ7" s="1352">
        <v>44377</v>
      </c>
      <c r="DK7" s="1353">
        <f>DJ7</f>
        <v>44377</v>
      </c>
      <c r="DL7" s="1352">
        <v>44561</v>
      </c>
      <c r="DM7" s="1352">
        <v>44742</v>
      </c>
      <c r="DN7" s="1353">
        <f>DM7</f>
        <v>44742</v>
      </c>
      <c r="DO7" s="1352">
        <v>44926</v>
      </c>
      <c r="DP7" s="1352">
        <v>45107</v>
      </c>
      <c r="DQ7" s="1353">
        <f>DP7</f>
        <v>45107</v>
      </c>
      <c r="DR7" s="1352">
        <v>45291</v>
      </c>
      <c r="DS7" s="1352">
        <v>45473</v>
      </c>
      <c r="DT7" s="1353">
        <f>DS7</f>
        <v>45473</v>
      </c>
      <c r="DU7" s="1352">
        <v>45657</v>
      </c>
      <c r="DV7" s="1352">
        <v>45838</v>
      </c>
      <c r="DW7" s="1353">
        <f>DV7</f>
        <v>45838</v>
      </c>
      <c r="DX7" s="1352">
        <v>46022</v>
      </c>
      <c r="DY7" s="1352">
        <v>46203</v>
      </c>
      <c r="DZ7" s="1353">
        <f>DY7</f>
        <v>46203</v>
      </c>
      <c r="EA7" s="1352">
        <v>46387</v>
      </c>
      <c r="EB7" s="1352">
        <v>46568</v>
      </c>
      <c r="EC7" s="1353">
        <f>EB7</f>
        <v>46568</v>
      </c>
      <c r="ED7" s="1352">
        <v>46752</v>
      </c>
      <c r="EE7" s="1352">
        <v>46934</v>
      </c>
      <c r="EF7" s="1353">
        <f>EE7</f>
        <v>46934</v>
      </c>
      <c r="EG7" s="1352">
        <v>47118</v>
      </c>
      <c r="EH7" s="1352">
        <v>47299</v>
      </c>
      <c r="EI7" s="1353">
        <f>EH7</f>
        <v>47299</v>
      </c>
      <c r="EJ7" s="1352">
        <v>47483</v>
      </c>
      <c r="EK7" s="1352">
        <v>47664</v>
      </c>
      <c r="EL7" s="1353">
        <f t="shared" ref="EL7:ER7" si="7">EK7</f>
        <v>47664</v>
      </c>
      <c r="EM7" s="1352">
        <v>47848</v>
      </c>
      <c r="EN7" s="1352">
        <v>48029</v>
      </c>
      <c r="EO7" s="1353">
        <f t="shared" si="7"/>
        <v>48029</v>
      </c>
      <c r="EP7" s="1352">
        <v>48213</v>
      </c>
      <c r="EQ7" s="1352">
        <v>48395</v>
      </c>
      <c r="ER7" s="1353">
        <f t="shared" si="7"/>
        <v>48395</v>
      </c>
      <c r="ES7" s="1352">
        <v>48213</v>
      </c>
      <c r="ET7" s="1352">
        <v>48395</v>
      </c>
      <c r="EU7" s="1353">
        <f t="shared" ref="EU7" si="8">ET7</f>
        <v>48395</v>
      </c>
      <c r="EV7" s="1352">
        <v>48213</v>
      </c>
      <c r="EW7" s="1352">
        <v>48395</v>
      </c>
      <c r="EX7" s="1353">
        <f t="shared" ref="EX7" si="9">EW7</f>
        <v>48395</v>
      </c>
      <c r="EY7" s="1352">
        <v>48213</v>
      </c>
      <c r="EZ7" s="1352">
        <v>48395</v>
      </c>
      <c r="FA7" s="1353">
        <f t="shared" ref="FA7" si="10">EZ7</f>
        <v>48395</v>
      </c>
      <c r="FE7"/>
      <c r="FF7"/>
      <c r="FG7"/>
      <c r="FH7"/>
      <c r="FI7"/>
      <c r="FJ7"/>
      <c r="FK7" s="35"/>
    </row>
    <row r="8" spans="1:167" s="236" customFormat="1" ht="14.25" customHeight="1">
      <c r="B8" s="458"/>
      <c r="C8" s="242"/>
      <c r="E8" s="478"/>
      <c r="F8" s="478"/>
      <c r="G8" s="288"/>
      <c r="H8" s="478"/>
      <c r="I8" s="478"/>
      <c r="J8" s="288"/>
      <c r="K8" s="478"/>
      <c r="L8" s="478"/>
      <c r="M8" s="288"/>
      <c r="N8" s="478"/>
      <c r="O8" s="478"/>
      <c r="P8" s="288"/>
      <c r="Q8" s="478"/>
      <c r="R8" s="478"/>
      <c r="S8" s="288"/>
      <c r="T8" s="478"/>
      <c r="U8" s="478"/>
      <c r="V8" s="288"/>
      <c r="W8" s="478"/>
      <c r="X8" s="478"/>
      <c r="Y8" s="288"/>
      <c r="Z8" s="478"/>
      <c r="AA8" s="478"/>
      <c r="AB8" s="288"/>
      <c r="AC8" s="478"/>
      <c r="AD8" s="478"/>
      <c r="AE8" s="288"/>
      <c r="AF8" s="478"/>
      <c r="AG8" s="478"/>
      <c r="AH8" s="288"/>
      <c r="AI8" s="478"/>
      <c r="AJ8" s="478"/>
      <c r="AK8" s="288"/>
      <c r="AL8" s="478"/>
      <c r="AM8" s="479"/>
      <c r="AN8" s="480"/>
      <c r="AO8" s="479"/>
      <c r="AP8" s="479"/>
      <c r="AQ8" s="480"/>
      <c r="AR8" s="479"/>
      <c r="AS8" s="479"/>
      <c r="AT8" s="480"/>
      <c r="AU8" s="479"/>
      <c r="AV8" s="479"/>
      <c r="AW8" s="480"/>
      <c r="AX8" s="479"/>
      <c r="AY8" s="479"/>
      <c r="AZ8" s="480"/>
      <c r="BA8" s="479"/>
      <c r="BB8" s="479"/>
      <c r="BC8" s="480"/>
      <c r="BD8" s="479"/>
      <c r="BE8" s="479"/>
      <c r="BF8" s="480"/>
      <c r="BG8" s="479"/>
      <c r="BH8" s="479"/>
      <c r="BI8" s="480"/>
      <c r="BJ8" s="479"/>
      <c r="BK8" s="479"/>
      <c r="BL8" s="480"/>
      <c r="BM8" s="479"/>
      <c r="BN8" s="479"/>
      <c r="BO8" s="480"/>
      <c r="BP8" s="479"/>
      <c r="BQ8" s="479"/>
      <c r="BR8" s="480"/>
      <c r="BS8" s="479"/>
      <c r="BT8" s="479"/>
      <c r="BU8" s="480"/>
      <c r="BV8" s="479"/>
      <c r="BW8" s="479"/>
      <c r="BX8" s="480"/>
      <c r="BY8" s="479"/>
      <c r="BZ8" s="479"/>
      <c r="CA8" s="480"/>
      <c r="CB8" s="479"/>
      <c r="CC8" s="479"/>
      <c r="CD8" s="481"/>
      <c r="CE8" s="481"/>
      <c r="CF8" s="481"/>
      <c r="CG8" s="481"/>
      <c r="CH8" s="481"/>
      <c r="CI8" s="481"/>
      <c r="CJ8" s="481"/>
      <c r="CK8" s="481"/>
      <c r="CL8" s="481"/>
      <c r="CM8" s="481"/>
      <c r="CN8" s="481"/>
      <c r="CO8" s="481"/>
      <c r="CP8" s="481"/>
      <c r="CQ8" s="481"/>
      <c r="CR8" s="481"/>
      <c r="CS8" s="481"/>
      <c r="CT8" s="481"/>
      <c r="CU8" s="481"/>
      <c r="CV8" s="481"/>
      <c r="CW8" s="481"/>
      <c r="CX8" s="481"/>
      <c r="CY8" s="481"/>
      <c r="CZ8" s="481"/>
      <c r="DA8" s="481"/>
      <c r="DB8" s="481"/>
      <c r="DC8" s="481"/>
      <c r="DD8" s="481"/>
      <c r="DE8" s="481"/>
      <c r="DF8" s="481"/>
      <c r="DG8" s="481"/>
      <c r="DH8" s="1242"/>
      <c r="DI8" s="481"/>
      <c r="DJ8" s="481"/>
      <c r="DK8" s="1242"/>
      <c r="DL8" s="481"/>
      <c r="DM8" s="481"/>
      <c r="DN8" s="1333"/>
      <c r="DO8" s="481"/>
      <c r="DP8" s="481"/>
      <c r="DQ8" s="1333"/>
      <c r="DR8" s="481"/>
      <c r="DS8" s="481"/>
      <c r="DT8" s="1333"/>
      <c r="DU8" s="481"/>
      <c r="DV8" s="481"/>
      <c r="DW8" s="1333"/>
      <c r="DX8" s="177"/>
      <c r="DY8" s="481"/>
      <c r="DZ8" s="1333"/>
      <c r="EA8" s="481"/>
      <c r="EB8" s="481"/>
      <c r="EC8" s="1333"/>
      <c r="ED8" s="481"/>
      <c r="EE8" s="481"/>
      <c r="EF8" s="1333"/>
      <c r="EG8" s="481"/>
      <c r="EH8" s="481"/>
      <c r="EI8" s="1333"/>
      <c r="EJ8" s="481"/>
      <c r="EK8" s="481"/>
      <c r="EL8" s="1333"/>
      <c r="EM8" s="481"/>
      <c r="EN8" s="481"/>
      <c r="EO8" s="1333"/>
      <c r="EP8" s="481"/>
      <c r="EQ8" s="481"/>
      <c r="ER8" s="1333"/>
      <c r="ES8" s="481"/>
      <c r="ET8" s="481"/>
      <c r="EU8" s="1333"/>
      <c r="EV8" s="481"/>
      <c r="EW8" s="481"/>
      <c r="EX8" s="1333"/>
      <c r="EY8" s="481"/>
      <c r="EZ8" s="481"/>
      <c r="FA8" s="1333"/>
      <c r="FE8"/>
      <c r="FF8"/>
      <c r="FG8"/>
      <c r="FH8"/>
      <c r="FI8"/>
      <c r="FJ8"/>
      <c r="FK8" s="35"/>
    </row>
    <row r="9" spans="1:167" s="450" customFormat="1" ht="13.35" customHeight="1">
      <c r="A9" s="453" t="s">
        <v>112</v>
      </c>
      <c r="B9" s="449"/>
      <c r="C9" s="454" t="s">
        <v>933</v>
      </c>
      <c r="D9" s="455"/>
      <c r="E9" s="455" t="str">
        <f t="shared" ref="E9:M9" si="11">+E4</f>
        <v>1h85</v>
      </c>
      <c r="F9" s="455" t="str">
        <f t="shared" si="11"/>
        <v>2h85</v>
      </c>
      <c r="G9" s="455" t="str">
        <f t="shared" si="11"/>
        <v>1985</v>
      </c>
      <c r="H9" s="455" t="str">
        <f t="shared" si="11"/>
        <v>1h86</v>
      </c>
      <c r="I9" s="455" t="str">
        <f t="shared" si="11"/>
        <v>2h86</v>
      </c>
      <c r="J9" s="455" t="str">
        <f t="shared" si="11"/>
        <v>1986</v>
      </c>
      <c r="K9" s="455" t="str">
        <f t="shared" si="11"/>
        <v>1h87</v>
      </c>
      <c r="L9" s="455" t="str">
        <f t="shared" si="11"/>
        <v>2h87</v>
      </c>
      <c r="M9" s="455" t="str">
        <f t="shared" si="11"/>
        <v>1987</v>
      </c>
      <c r="N9" s="455" t="str">
        <f t="shared" ref="N9:W9" si="12">+N4</f>
        <v>1h88</v>
      </c>
      <c r="O9" s="455" t="str">
        <f t="shared" si="12"/>
        <v>2h88</v>
      </c>
      <c r="P9" s="455" t="str">
        <f t="shared" si="12"/>
        <v>1988</v>
      </c>
      <c r="Q9" s="455" t="str">
        <f t="shared" si="12"/>
        <v>1h89</v>
      </c>
      <c r="R9" s="455" t="str">
        <f t="shared" si="12"/>
        <v>2h89</v>
      </c>
      <c r="S9" s="455" t="str">
        <f t="shared" si="12"/>
        <v>1989</v>
      </c>
      <c r="T9" s="455" t="str">
        <f t="shared" si="12"/>
        <v>1h90</v>
      </c>
      <c r="U9" s="455" t="str">
        <f t="shared" si="12"/>
        <v>2h90</v>
      </c>
      <c r="V9" s="455" t="str">
        <f t="shared" si="12"/>
        <v>1990</v>
      </c>
      <c r="W9" s="455" t="str">
        <f t="shared" si="12"/>
        <v>1h91</v>
      </c>
      <c r="X9" s="455" t="str">
        <f t="shared" ref="X9:AG9" si="13">+X4</f>
        <v>2h91</v>
      </c>
      <c r="Y9" s="455" t="str">
        <f t="shared" si="13"/>
        <v>1991</v>
      </c>
      <c r="Z9" s="455" t="str">
        <f t="shared" si="13"/>
        <v>1h92</v>
      </c>
      <c r="AA9" s="455" t="str">
        <f t="shared" si="13"/>
        <v>2h92</v>
      </c>
      <c r="AB9" s="455" t="str">
        <f t="shared" si="13"/>
        <v>1992</v>
      </c>
      <c r="AC9" s="455" t="str">
        <f t="shared" si="13"/>
        <v>1h93</v>
      </c>
      <c r="AD9" s="455" t="str">
        <f t="shared" si="13"/>
        <v>2h93</v>
      </c>
      <c r="AE9" s="455" t="str">
        <f t="shared" si="13"/>
        <v>1993</v>
      </c>
      <c r="AF9" s="455" t="str">
        <f t="shared" si="13"/>
        <v>1h94</v>
      </c>
      <c r="AG9" s="455" t="str">
        <f t="shared" si="13"/>
        <v>2h94</v>
      </c>
      <c r="AH9" s="455" t="str">
        <f t="shared" ref="AH9:AQ9" si="14">+AH4</f>
        <v>1994</v>
      </c>
      <c r="AI9" s="455" t="str">
        <f t="shared" si="14"/>
        <v>1h95</v>
      </c>
      <c r="AJ9" s="455" t="str">
        <f t="shared" si="14"/>
        <v>2h95</v>
      </c>
      <c r="AK9" s="455" t="str">
        <f t="shared" si="14"/>
        <v>1995</v>
      </c>
      <c r="AL9" s="455" t="str">
        <f t="shared" si="14"/>
        <v>1h96</v>
      </c>
      <c r="AM9" s="455" t="str">
        <f t="shared" si="14"/>
        <v>2h96</v>
      </c>
      <c r="AN9" s="455" t="str">
        <f t="shared" si="14"/>
        <v>1996</v>
      </c>
      <c r="AO9" s="455" t="str">
        <f t="shared" si="14"/>
        <v>1h97</v>
      </c>
      <c r="AP9" s="455" t="str">
        <f t="shared" si="14"/>
        <v>2h97</v>
      </c>
      <c r="AQ9" s="455" t="str">
        <f t="shared" si="14"/>
        <v>FY97</v>
      </c>
      <c r="AR9" s="455" t="str">
        <f t="shared" ref="AR9:BA9" si="15">+AR4</f>
        <v>1H98</v>
      </c>
      <c r="AS9" s="455" t="str">
        <f t="shared" si="15"/>
        <v>2H98</v>
      </c>
      <c r="AT9" s="455" t="str">
        <f t="shared" si="15"/>
        <v>FY98</v>
      </c>
      <c r="AU9" s="455" t="str">
        <f t="shared" si="15"/>
        <v>1H99</v>
      </c>
      <c r="AV9" s="455" t="str">
        <f t="shared" si="15"/>
        <v>2H99</v>
      </c>
      <c r="AW9" s="455" t="str">
        <f t="shared" si="15"/>
        <v>FY99</v>
      </c>
      <c r="AX9" s="455" t="str">
        <f t="shared" si="15"/>
        <v>1H00</v>
      </c>
      <c r="AY9" s="455" t="str">
        <f t="shared" si="15"/>
        <v>2H00</v>
      </c>
      <c r="AZ9" s="455" t="str">
        <f t="shared" si="15"/>
        <v>FY00</v>
      </c>
      <c r="BA9" s="455" t="str">
        <f t="shared" si="15"/>
        <v>1H01</v>
      </c>
      <c r="BB9" s="455" t="str">
        <f t="shared" ref="BB9:BO9" si="16">+BB4</f>
        <v>2H01</v>
      </c>
      <c r="BC9" s="455" t="str">
        <f t="shared" si="16"/>
        <v>FY01</v>
      </c>
      <c r="BD9" s="455" t="str">
        <f t="shared" si="16"/>
        <v>1H02</v>
      </c>
      <c r="BE9" s="455" t="str">
        <f t="shared" si="16"/>
        <v>2H02</v>
      </c>
      <c r="BF9" s="455" t="str">
        <f t="shared" si="16"/>
        <v>FY02</v>
      </c>
      <c r="BG9" s="455" t="str">
        <f t="shared" si="16"/>
        <v>1H03</v>
      </c>
      <c r="BH9" s="455" t="str">
        <f t="shared" si="16"/>
        <v>2H03</v>
      </c>
      <c r="BI9" s="455" t="str">
        <f t="shared" si="16"/>
        <v>FY03</v>
      </c>
      <c r="BJ9" s="455" t="str">
        <f t="shared" si="16"/>
        <v>1H04</v>
      </c>
      <c r="BK9" s="455" t="str">
        <f t="shared" si="16"/>
        <v>2H04</v>
      </c>
      <c r="BL9" s="455" t="str">
        <f t="shared" si="16"/>
        <v>FY04</v>
      </c>
      <c r="BM9" s="455" t="str">
        <f t="shared" si="16"/>
        <v>1H05</v>
      </c>
      <c r="BN9" s="455" t="str">
        <f t="shared" si="16"/>
        <v>2H05</v>
      </c>
      <c r="BO9" s="455" t="str">
        <f t="shared" si="16"/>
        <v>FY05</v>
      </c>
      <c r="BP9" s="455" t="str">
        <f t="shared" ref="BP9:DK9" si="17">+BP4</f>
        <v>1H06</v>
      </c>
      <c r="BQ9" s="455" t="str">
        <f t="shared" si="17"/>
        <v>2H06</v>
      </c>
      <c r="BR9" s="455" t="str">
        <f t="shared" si="17"/>
        <v>FY06</v>
      </c>
      <c r="BS9" s="455" t="str">
        <f t="shared" si="17"/>
        <v>1H07</v>
      </c>
      <c r="BT9" s="455" t="str">
        <f t="shared" si="17"/>
        <v>2H07</v>
      </c>
      <c r="BU9" s="455" t="str">
        <f t="shared" si="17"/>
        <v>FY07</v>
      </c>
      <c r="BV9" s="455" t="str">
        <f t="shared" si="17"/>
        <v>1H08</v>
      </c>
      <c r="BW9" s="455" t="str">
        <f t="shared" si="17"/>
        <v>2H08</v>
      </c>
      <c r="BX9" s="455" t="str">
        <f t="shared" si="17"/>
        <v>FY08</v>
      </c>
      <c r="BY9" s="455" t="str">
        <f t="shared" si="17"/>
        <v>1H09</v>
      </c>
      <c r="BZ9" s="455" t="str">
        <f t="shared" si="17"/>
        <v>2H09</v>
      </c>
      <c r="CA9" s="455" t="str">
        <f t="shared" si="17"/>
        <v>FY09</v>
      </c>
      <c r="CB9" s="455" t="str">
        <f t="shared" si="17"/>
        <v>1H10</v>
      </c>
      <c r="CC9" s="455" t="str">
        <f t="shared" si="17"/>
        <v>2H10</v>
      </c>
      <c r="CD9" s="455" t="str">
        <f t="shared" si="17"/>
        <v>FY10</v>
      </c>
      <c r="CE9" s="455" t="str">
        <f t="shared" si="17"/>
        <v>1H11</v>
      </c>
      <c r="CF9" s="455" t="str">
        <f t="shared" si="17"/>
        <v>2H11</v>
      </c>
      <c r="CG9" s="455" t="str">
        <f t="shared" si="17"/>
        <v>FY11</v>
      </c>
      <c r="CH9" s="455" t="str">
        <f t="shared" si="17"/>
        <v>1H12</v>
      </c>
      <c r="CI9" s="455" t="str">
        <f t="shared" si="17"/>
        <v>2H12</v>
      </c>
      <c r="CJ9" s="455" t="str">
        <f t="shared" si="17"/>
        <v>FY12</v>
      </c>
      <c r="CK9" s="455" t="str">
        <f t="shared" si="17"/>
        <v>1H13</v>
      </c>
      <c r="CL9" s="455" t="str">
        <f t="shared" si="17"/>
        <v>2H13</v>
      </c>
      <c r="CM9" s="455" t="str">
        <f t="shared" si="17"/>
        <v>FY13</v>
      </c>
      <c r="CN9" s="455" t="str">
        <f t="shared" si="17"/>
        <v>1H14</v>
      </c>
      <c r="CO9" s="455" t="str">
        <f t="shared" si="17"/>
        <v>2H14</v>
      </c>
      <c r="CP9" s="455" t="str">
        <f t="shared" si="17"/>
        <v>FY14</v>
      </c>
      <c r="CQ9" s="455" t="str">
        <f t="shared" si="17"/>
        <v>1H15</v>
      </c>
      <c r="CR9" s="455" t="str">
        <f t="shared" si="17"/>
        <v>2H15</v>
      </c>
      <c r="CS9" s="455" t="str">
        <f t="shared" si="17"/>
        <v>FY15</v>
      </c>
      <c r="CT9" s="455" t="str">
        <f t="shared" si="17"/>
        <v>1H16</v>
      </c>
      <c r="CU9" s="455" t="str">
        <f t="shared" si="17"/>
        <v>2H16</v>
      </c>
      <c r="CV9" s="455" t="str">
        <f t="shared" si="17"/>
        <v>FY16</v>
      </c>
      <c r="CW9" s="455" t="str">
        <f t="shared" si="17"/>
        <v>1H17</v>
      </c>
      <c r="CX9" s="455" t="str">
        <f t="shared" si="17"/>
        <v>2H17</v>
      </c>
      <c r="CY9" s="455" t="str">
        <f t="shared" si="17"/>
        <v>FY17</v>
      </c>
      <c r="CZ9" s="455" t="str">
        <f t="shared" si="17"/>
        <v>1H18</v>
      </c>
      <c r="DA9" s="455" t="str">
        <f t="shared" si="17"/>
        <v>2H18</v>
      </c>
      <c r="DB9" s="455" t="str">
        <f t="shared" si="17"/>
        <v>FY18</v>
      </c>
      <c r="DC9" s="455" t="str">
        <f t="shared" si="17"/>
        <v>1H19</v>
      </c>
      <c r="DD9" s="455" t="str">
        <f t="shared" si="17"/>
        <v>2H19</v>
      </c>
      <c r="DE9" s="455" t="str">
        <f t="shared" si="17"/>
        <v>FY19</v>
      </c>
      <c r="DF9" s="455" t="str">
        <f t="shared" si="17"/>
        <v>1H20</v>
      </c>
      <c r="DG9" s="455" t="str">
        <f t="shared" si="17"/>
        <v>2H20</v>
      </c>
      <c r="DH9" s="1243" t="str">
        <f t="shared" si="17"/>
        <v>FY20</v>
      </c>
      <c r="DI9" s="455" t="str">
        <f t="shared" si="17"/>
        <v>1H21</v>
      </c>
      <c r="DJ9" s="455" t="str">
        <f t="shared" si="17"/>
        <v>2H21</v>
      </c>
      <c r="DK9" s="1243" t="str">
        <f t="shared" si="17"/>
        <v>FY21</v>
      </c>
      <c r="DL9" s="455" t="str">
        <f t="shared" ref="DL9:DQ9" si="18">+DL4</f>
        <v>1H22</v>
      </c>
      <c r="DM9" s="455" t="str">
        <f t="shared" si="18"/>
        <v>2H22</v>
      </c>
      <c r="DN9" s="1243" t="str">
        <f t="shared" si="18"/>
        <v>FY22</v>
      </c>
      <c r="DO9" s="455" t="str">
        <f t="shared" si="18"/>
        <v>1H23</v>
      </c>
      <c r="DP9" s="455" t="str">
        <f t="shared" si="18"/>
        <v>2H23</v>
      </c>
      <c r="DQ9" s="1243" t="str">
        <f t="shared" si="18"/>
        <v>FY23</v>
      </c>
      <c r="DR9" s="455" t="str">
        <f t="shared" ref="DR9:DW9" si="19">+DR4</f>
        <v>1H24</v>
      </c>
      <c r="DS9" s="455" t="str">
        <f t="shared" si="19"/>
        <v>2H24</v>
      </c>
      <c r="DT9" s="1243" t="str">
        <f t="shared" si="19"/>
        <v>FY24</v>
      </c>
      <c r="DU9" s="455" t="str">
        <f t="shared" si="19"/>
        <v>1H25</v>
      </c>
      <c r="DV9" s="455" t="str">
        <f t="shared" si="19"/>
        <v>2H25</v>
      </c>
      <c r="DW9" s="1243" t="str">
        <f t="shared" si="19"/>
        <v>FY25</v>
      </c>
      <c r="DX9" s="455" t="str">
        <f t="shared" ref="DX9:EC9" si="20">+DX4</f>
        <v>1H26</v>
      </c>
      <c r="DY9" s="455" t="str">
        <f t="shared" si="20"/>
        <v>2H26E</v>
      </c>
      <c r="DZ9" s="1243" t="str">
        <f t="shared" si="20"/>
        <v>FY26E</v>
      </c>
      <c r="EA9" s="455" t="str">
        <f t="shared" si="20"/>
        <v>1H27E</v>
      </c>
      <c r="EB9" s="455" t="str">
        <f t="shared" si="20"/>
        <v>2H27E</v>
      </c>
      <c r="EC9" s="1243" t="str">
        <f t="shared" si="20"/>
        <v>FY27E</v>
      </c>
      <c r="ED9" s="455" t="str">
        <f t="shared" ref="ED9:EL9" si="21">+ED4</f>
        <v>1H28E</v>
      </c>
      <c r="EE9" s="455" t="str">
        <f t="shared" si="21"/>
        <v>2H28E</v>
      </c>
      <c r="EF9" s="1243" t="str">
        <f t="shared" si="21"/>
        <v>FY28E</v>
      </c>
      <c r="EG9" s="455" t="str">
        <f t="shared" si="21"/>
        <v>1H29E</v>
      </c>
      <c r="EH9" s="455" t="str">
        <f t="shared" si="21"/>
        <v>2H29E</v>
      </c>
      <c r="EI9" s="1243" t="str">
        <f t="shared" si="21"/>
        <v>FY29E</v>
      </c>
      <c r="EJ9" s="455" t="str">
        <f t="shared" si="21"/>
        <v>1H30E</v>
      </c>
      <c r="EK9" s="455" t="str">
        <f t="shared" si="21"/>
        <v>2H30E</v>
      </c>
      <c r="EL9" s="1243" t="str">
        <f t="shared" si="21"/>
        <v>FY30E</v>
      </c>
      <c r="EM9" s="455" t="str">
        <f t="shared" ref="EM9:ER9" si="22">+EM4</f>
        <v>1H31E</v>
      </c>
      <c r="EN9" s="455" t="str">
        <f t="shared" si="22"/>
        <v>2H31E</v>
      </c>
      <c r="EO9" s="1243" t="str">
        <f t="shared" si="22"/>
        <v>FY31E</v>
      </c>
      <c r="EP9" s="455" t="str">
        <f t="shared" si="22"/>
        <v>1H32E</v>
      </c>
      <c r="EQ9" s="455" t="str">
        <f t="shared" si="22"/>
        <v>2H32E</v>
      </c>
      <c r="ER9" s="1243" t="str">
        <f t="shared" si="22"/>
        <v>FY32E</v>
      </c>
      <c r="ES9" s="455" t="str">
        <f t="shared" ref="ES9:EX9" si="23">+ES4</f>
        <v>1H33E</v>
      </c>
      <c r="ET9" s="455" t="str">
        <f t="shared" si="23"/>
        <v>2H33E</v>
      </c>
      <c r="EU9" s="1243" t="str">
        <f t="shared" si="23"/>
        <v>FY33E</v>
      </c>
      <c r="EV9" s="455" t="str">
        <f t="shared" si="23"/>
        <v>1H34E</v>
      </c>
      <c r="EW9" s="455" t="str">
        <f t="shared" si="23"/>
        <v>2H34E</v>
      </c>
      <c r="EX9" s="1243" t="str">
        <f t="shared" si="23"/>
        <v>FY34E</v>
      </c>
      <c r="EY9" s="455" t="str">
        <f t="shared" ref="EY9:FA9" si="24">+EY4</f>
        <v>1H35E</v>
      </c>
      <c r="EZ9" s="455" t="str">
        <f t="shared" si="24"/>
        <v>2H35E</v>
      </c>
      <c r="FA9" s="1243" t="str">
        <f t="shared" si="24"/>
        <v>FY35E</v>
      </c>
      <c r="FE9"/>
      <c r="FF9"/>
      <c r="FG9"/>
      <c r="FH9"/>
      <c r="FI9"/>
      <c r="FJ9"/>
      <c r="FK9" s="35"/>
    </row>
    <row r="10" spans="1:167" s="236" customFormat="1" ht="13.35" customHeight="1">
      <c r="B10" s="242" t="s">
        <v>846</v>
      </c>
      <c r="C10" s="242" t="s">
        <v>496</v>
      </c>
      <c r="D10" s="243"/>
      <c r="E10" s="482">
        <f t="shared" ref="E10:N10" si="25">+E84</f>
        <v>0</v>
      </c>
      <c r="F10" s="482">
        <f t="shared" si="25"/>
        <v>0</v>
      </c>
      <c r="G10" s="482">
        <f t="shared" si="25"/>
        <v>0</v>
      </c>
      <c r="H10" s="482">
        <f t="shared" si="25"/>
        <v>0</v>
      </c>
      <c r="I10" s="482">
        <f t="shared" si="25"/>
        <v>0</v>
      </c>
      <c r="J10" s="482">
        <f t="shared" si="25"/>
        <v>0</v>
      </c>
      <c r="K10" s="482">
        <f t="shared" si="25"/>
        <v>0</v>
      </c>
      <c r="L10" s="482">
        <f t="shared" si="25"/>
        <v>0</v>
      </c>
      <c r="M10" s="482">
        <f t="shared" si="25"/>
        <v>0</v>
      </c>
      <c r="N10" s="482">
        <f t="shared" si="25"/>
        <v>0</v>
      </c>
      <c r="O10" s="482">
        <f t="shared" ref="O10:X10" si="26">+O84</f>
        <v>0</v>
      </c>
      <c r="P10" s="482">
        <f t="shared" si="26"/>
        <v>0</v>
      </c>
      <c r="Q10" s="482">
        <f t="shared" si="26"/>
        <v>0</v>
      </c>
      <c r="R10" s="482">
        <f t="shared" si="26"/>
        <v>0</v>
      </c>
      <c r="S10" s="482">
        <f t="shared" si="26"/>
        <v>0</v>
      </c>
      <c r="T10" s="482">
        <f t="shared" si="26"/>
        <v>0</v>
      </c>
      <c r="U10" s="482">
        <f t="shared" si="26"/>
        <v>0</v>
      </c>
      <c r="V10" s="482">
        <f t="shared" si="26"/>
        <v>0</v>
      </c>
      <c r="W10" s="482">
        <f t="shared" si="26"/>
        <v>0</v>
      </c>
      <c r="X10" s="482">
        <f t="shared" si="26"/>
        <v>0</v>
      </c>
      <c r="Y10" s="482">
        <f t="shared" ref="Y10:AH10" si="27">+Y84</f>
        <v>0</v>
      </c>
      <c r="Z10" s="482">
        <f t="shared" si="27"/>
        <v>0</v>
      </c>
      <c r="AA10" s="482">
        <f t="shared" si="27"/>
        <v>0</v>
      </c>
      <c r="AB10" s="482">
        <f t="shared" si="27"/>
        <v>0</v>
      </c>
      <c r="AC10" s="482">
        <f t="shared" si="27"/>
        <v>0</v>
      </c>
      <c r="AD10" s="482">
        <f t="shared" si="27"/>
        <v>0</v>
      </c>
      <c r="AE10" s="482">
        <f t="shared" si="27"/>
        <v>0</v>
      </c>
      <c r="AF10" s="482">
        <f t="shared" si="27"/>
        <v>0</v>
      </c>
      <c r="AG10" s="482">
        <f t="shared" si="27"/>
        <v>0</v>
      </c>
      <c r="AH10" s="482">
        <f t="shared" si="27"/>
        <v>0</v>
      </c>
      <c r="AI10" s="482">
        <f t="shared" ref="AI10:AR10" si="28">+AI84</f>
        <v>4.5949999999999998</v>
      </c>
      <c r="AJ10" s="482">
        <f t="shared" si="28"/>
        <v>5.7809999999999997</v>
      </c>
      <c r="AK10" s="482">
        <f t="shared" si="28"/>
        <v>10.375999999999999</v>
      </c>
      <c r="AL10" s="482">
        <f t="shared" si="28"/>
        <v>5.1269999999999998</v>
      </c>
      <c r="AM10" s="482">
        <f t="shared" si="28"/>
        <v>5.7359999999999998</v>
      </c>
      <c r="AN10" s="482">
        <f t="shared" si="28"/>
        <v>10.863</v>
      </c>
      <c r="AO10" s="482">
        <f t="shared" si="28"/>
        <v>4.5220000000000002</v>
      </c>
      <c r="AP10" s="482">
        <f t="shared" si="28"/>
        <v>6.2870000000000008</v>
      </c>
      <c r="AQ10" s="482">
        <f t="shared" si="28"/>
        <v>10.809000000000001</v>
      </c>
      <c r="AR10" s="482">
        <f t="shared" si="28"/>
        <v>5.4249999999999998</v>
      </c>
      <c r="AS10" s="482">
        <f t="shared" ref="AS10:BB10" si="29">+AS84</f>
        <v>7.86</v>
      </c>
      <c r="AT10" s="482">
        <f t="shared" si="29"/>
        <v>13.285</v>
      </c>
      <c r="AU10" s="482">
        <f t="shared" si="29"/>
        <v>6.6429999999999998</v>
      </c>
      <c r="AV10" s="482">
        <f t="shared" si="29"/>
        <v>9.6839999999999975</v>
      </c>
      <c r="AW10" s="482">
        <f t="shared" si="29"/>
        <v>16.326999999999998</v>
      </c>
      <c r="AX10" s="482">
        <f t="shared" si="29"/>
        <v>10.324000000000002</v>
      </c>
      <c r="AY10" s="482">
        <f t="shared" si="29"/>
        <v>13.791999999999998</v>
      </c>
      <c r="AZ10" s="482">
        <f t="shared" si="29"/>
        <v>24.116</v>
      </c>
      <c r="BA10" s="482">
        <f t="shared" si="29"/>
        <v>15.873000000000001</v>
      </c>
      <c r="BB10" s="482">
        <f t="shared" si="29"/>
        <v>15.305</v>
      </c>
      <c r="BC10" s="482">
        <f t="shared" ref="BC10:BO10" si="30">+BC84</f>
        <v>31.178000000000001</v>
      </c>
      <c r="BD10" s="482">
        <f t="shared" si="30"/>
        <v>20.799999999999997</v>
      </c>
      <c r="BE10" s="482">
        <f t="shared" si="30"/>
        <v>22.810000000000002</v>
      </c>
      <c r="BF10" s="482">
        <f t="shared" si="30"/>
        <v>43.61</v>
      </c>
      <c r="BG10" s="482">
        <f t="shared" si="30"/>
        <v>27.015000000000001</v>
      </c>
      <c r="BH10" s="482">
        <f t="shared" si="30"/>
        <v>31.169000000000004</v>
      </c>
      <c r="BI10" s="482">
        <f t="shared" si="30"/>
        <v>58.184000000000005</v>
      </c>
      <c r="BJ10" s="482">
        <f t="shared" si="30"/>
        <v>26.880000000000003</v>
      </c>
      <c r="BK10" s="482">
        <f t="shared" si="30"/>
        <v>9.8810000000000002</v>
      </c>
      <c r="BL10" s="482">
        <f t="shared" si="30"/>
        <v>36.761000000000003</v>
      </c>
      <c r="BM10" s="482">
        <f t="shared" si="30"/>
        <v>29.465</v>
      </c>
      <c r="BN10" s="482">
        <f t="shared" si="30"/>
        <v>29.009000000000004</v>
      </c>
      <c r="BO10" s="482">
        <f t="shared" si="30"/>
        <v>58.474000000000004</v>
      </c>
      <c r="BP10" s="482">
        <f t="shared" ref="BP10:DK10" si="31">+BP84</f>
        <v>43.009</v>
      </c>
      <c r="BQ10" s="482">
        <f t="shared" si="31"/>
        <v>37.022999999999996</v>
      </c>
      <c r="BR10" s="482">
        <f t="shared" si="31"/>
        <v>80.031999999999996</v>
      </c>
      <c r="BS10" s="482">
        <f t="shared" si="31"/>
        <v>48.798000000000009</v>
      </c>
      <c r="BT10" s="482">
        <f t="shared" si="31"/>
        <v>51.332999999999977</v>
      </c>
      <c r="BU10" s="482">
        <f t="shared" si="31"/>
        <v>100.13099999999999</v>
      </c>
      <c r="BV10" s="482">
        <f t="shared" si="31"/>
        <v>57.113000000000007</v>
      </c>
      <c r="BW10" s="482">
        <f t="shared" si="31"/>
        <v>58.121000000000002</v>
      </c>
      <c r="BX10" s="482">
        <f t="shared" si="31"/>
        <v>115.23400000000001</v>
      </c>
      <c r="BY10" s="482">
        <f t="shared" si="31"/>
        <v>69.935999999999993</v>
      </c>
      <c r="BZ10" s="482">
        <f t="shared" si="31"/>
        <v>60.603999999999999</v>
      </c>
      <c r="CA10" s="482">
        <f t="shared" si="31"/>
        <v>130.54</v>
      </c>
      <c r="CB10" s="483">
        <f t="shared" si="31"/>
        <v>75.247000000000014</v>
      </c>
      <c r="CC10" s="482">
        <f t="shared" si="31"/>
        <v>79.904999999999973</v>
      </c>
      <c r="CD10" s="482">
        <f>+CD84</f>
        <v>155.15199999999999</v>
      </c>
      <c r="CE10" s="482">
        <f t="shared" si="31"/>
        <v>82.935000000000002</v>
      </c>
      <c r="CF10" s="482">
        <f t="shared" si="31"/>
        <v>97.179000000000002</v>
      </c>
      <c r="CG10" s="482">
        <f t="shared" si="31"/>
        <v>180.114</v>
      </c>
      <c r="CH10" s="482">
        <f t="shared" si="31"/>
        <v>80.146999999999991</v>
      </c>
      <c r="CI10" s="482">
        <f t="shared" si="31"/>
        <v>77.953000000000003</v>
      </c>
      <c r="CJ10" s="482">
        <f t="shared" si="31"/>
        <v>158.1</v>
      </c>
      <c r="CK10" s="482">
        <f t="shared" si="31"/>
        <v>77.665000000000006</v>
      </c>
      <c r="CL10" s="482">
        <f t="shared" si="31"/>
        <v>54.897999999999982</v>
      </c>
      <c r="CM10" s="482">
        <f t="shared" si="31"/>
        <v>132.56299999999999</v>
      </c>
      <c r="CN10" s="482">
        <f t="shared" si="31"/>
        <v>36.79</v>
      </c>
      <c r="CO10" s="482">
        <f t="shared" si="31"/>
        <v>72.699999999999989</v>
      </c>
      <c r="CP10" s="482">
        <f t="shared" si="31"/>
        <v>109.49</v>
      </c>
      <c r="CQ10" s="482">
        <f t="shared" si="31"/>
        <v>71.375</v>
      </c>
      <c r="CR10" s="482">
        <f t="shared" si="31"/>
        <v>74.465000000000003</v>
      </c>
      <c r="CS10" s="482">
        <f t="shared" si="31"/>
        <v>145.84</v>
      </c>
      <c r="CT10" s="482">
        <f t="shared" si="31"/>
        <v>94.033000000000001</v>
      </c>
      <c r="CU10" s="482">
        <f t="shared" si="31"/>
        <v>94.887999999999991</v>
      </c>
      <c r="CV10" s="482">
        <f t="shared" si="31"/>
        <v>188.92099999999999</v>
      </c>
      <c r="CW10" s="482">
        <f t="shared" si="31"/>
        <v>111.36944</v>
      </c>
      <c r="CX10" s="482">
        <f t="shared" si="31"/>
        <v>112.24655999999999</v>
      </c>
      <c r="CY10" s="482">
        <f t="shared" si="31"/>
        <v>223.61599999999999</v>
      </c>
      <c r="CZ10" s="482">
        <f t="shared" si="31"/>
        <v>110.79999999999998</v>
      </c>
      <c r="DA10" s="482">
        <f t="shared" si="31"/>
        <v>135.00000000000003</v>
      </c>
      <c r="DB10" s="484">
        <f t="shared" si="31"/>
        <v>245.8</v>
      </c>
      <c r="DC10" s="482">
        <f t="shared" si="31"/>
        <v>128.60000000000002</v>
      </c>
      <c r="DD10" s="482">
        <f t="shared" si="31"/>
        <v>137.29999999999995</v>
      </c>
      <c r="DE10" s="482">
        <f t="shared" si="31"/>
        <v>265.89999999999998</v>
      </c>
      <c r="DF10" s="482">
        <f t="shared" si="31"/>
        <v>132.69999999999996</v>
      </c>
      <c r="DG10" s="482">
        <f t="shared" si="31"/>
        <v>21.100000000000051</v>
      </c>
      <c r="DH10" s="1244">
        <f t="shared" si="31"/>
        <v>153.80000000000001</v>
      </c>
      <c r="DI10" s="482">
        <f t="shared" si="31"/>
        <v>125.69</v>
      </c>
      <c r="DJ10" s="482">
        <f t="shared" si="31"/>
        <v>114.94</v>
      </c>
      <c r="DK10" s="1244">
        <f t="shared" si="31"/>
        <v>240.63</v>
      </c>
      <c r="DL10" s="482">
        <f t="shared" ref="DL10:DQ10" si="32">+DL84</f>
        <v>161.34</v>
      </c>
      <c r="DM10" s="482">
        <f t="shared" si="32"/>
        <v>130.78</v>
      </c>
      <c r="DN10" s="1244">
        <f t="shared" si="32"/>
        <v>292.12</v>
      </c>
      <c r="DO10" s="482">
        <f t="shared" si="32"/>
        <v>153.74</v>
      </c>
      <c r="DP10" s="482">
        <f t="shared" si="32"/>
        <v>178.41000000000003</v>
      </c>
      <c r="DQ10" s="1244">
        <f t="shared" si="32"/>
        <v>332.15000000000003</v>
      </c>
      <c r="DR10" s="482">
        <f t="shared" ref="DR10:DW10" si="33">+DR84</f>
        <v>203.62999999999997</v>
      </c>
      <c r="DS10" s="482">
        <f t="shared" si="33"/>
        <v>204.17999999999998</v>
      </c>
      <c r="DT10" s="1244">
        <f t="shared" si="33"/>
        <v>407.80999999999995</v>
      </c>
      <c r="DU10" s="482">
        <f t="shared" si="33"/>
        <v>213.68999999999997</v>
      </c>
      <c r="DV10" s="482">
        <f>+DV84</f>
        <v>201.60000000000011</v>
      </c>
      <c r="DW10" s="1244">
        <f t="shared" si="33"/>
        <v>415.29000000000008</v>
      </c>
      <c r="DX10" s="482">
        <f t="shared" ref="DX10:EC10" si="34">+DX84</f>
        <v>194.80000000000004</v>
      </c>
      <c r="DY10" s="482">
        <f t="shared" si="34"/>
        <v>217.26495297475245</v>
      </c>
      <c r="DZ10" s="1244">
        <f t="shared" si="34"/>
        <v>412.06495297475249</v>
      </c>
      <c r="EA10" s="482">
        <f t="shared" si="34"/>
        <v>233.78288198280904</v>
      </c>
      <c r="EB10" s="482">
        <f t="shared" si="34"/>
        <v>240.97310037358784</v>
      </c>
      <c r="EC10" s="1244">
        <f t="shared" si="34"/>
        <v>474.75598235639688</v>
      </c>
      <c r="ED10" s="482">
        <f t="shared" ref="ED10:EL10" si="35">+ED84</f>
        <v>260.8416567151105</v>
      </c>
      <c r="EE10" s="482">
        <f t="shared" si="35"/>
        <v>269.01603818798242</v>
      </c>
      <c r="EF10" s="1244">
        <f t="shared" si="35"/>
        <v>529.85769490309292</v>
      </c>
      <c r="EG10" s="482">
        <f t="shared" si="35"/>
        <v>289.72905851376896</v>
      </c>
      <c r="EH10" s="482">
        <f t="shared" si="35"/>
        <v>298.79174864697194</v>
      </c>
      <c r="EI10" s="1244">
        <f t="shared" si="35"/>
        <v>588.5208071607409</v>
      </c>
      <c r="EJ10" s="482">
        <f t="shared" si="35"/>
        <v>319.50187721472264</v>
      </c>
      <c r="EK10" s="482">
        <f t="shared" si="35"/>
        <v>329.48417797070886</v>
      </c>
      <c r="EL10" s="1244">
        <f t="shared" si="35"/>
        <v>648.9860551854315</v>
      </c>
      <c r="EM10" s="482">
        <f t="shared" ref="EM10:ER10" si="36">+EM84</f>
        <v>350.75124275068288</v>
      </c>
      <c r="EN10" s="482">
        <f t="shared" si="36"/>
        <v>361.67728084541432</v>
      </c>
      <c r="EO10" s="1244">
        <f t="shared" si="36"/>
        <v>712.42852359609719</v>
      </c>
      <c r="EP10" s="482">
        <f t="shared" si="36"/>
        <v>384.01284734902202</v>
      </c>
      <c r="EQ10" s="482">
        <f t="shared" si="36"/>
        <v>395.92222887227962</v>
      </c>
      <c r="ER10" s="1244">
        <f t="shared" si="36"/>
        <v>779.93507622130164</v>
      </c>
      <c r="ES10" s="482">
        <f t="shared" ref="ES10:EX10" si="37">+ES84</f>
        <v>420.32850032569968</v>
      </c>
      <c r="ET10" s="482">
        <f t="shared" si="37"/>
        <v>433.30972618605028</v>
      </c>
      <c r="EU10" s="1244">
        <f t="shared" si="37"/>
        <v>853.63822651174996</v>
      </c>
      <c r="EV10" s="482">
        <f t="shared" si="37"/>
        <v>459.97999412878312</v>
      </c>
      <c r="EW10" s="482">
        <f t="shared" si="37"/>
        <v>474.12953031656548</v>
      </c>
      <c r="EX10" s="1244">
        <f t="shared" si="37"/>
        <v>934.1095244453486</v>
      </c>
      <c r="EY10" s="482">
        <f t="shared" ref="EY10:FA10" si="38">+EY84</f>
        <v>503.27613060908709</v>
      </c>
      <c r="EZ10" s="482">
        <f t="shared" si="38"/>
        <v>518.69912505376976</v>
      </c>
      <c r="FA10" s="1244">
        <f t="shared" si="38"/>
        <v>1021.9752556628569</v>
      </c>
      <c r="FE10"/>
      <c r="FF10"/>
      <c r="FG10"/>
      <c r="FH10"/>
      <c r="FI10"/>
      <c r="FJ10"/>
      <c r="FK10" s="35"/>
    </row>
    <row r="11" spans="1:167" s="236" customFormat="1" ht="13.35" customHeight="1">
      <c r="B11" s="242" t="s">
        <v>847</v>
      </c>
      <c r="C11" s="242" t="s">
        <v>485</v>
      </c>
      <c r="D11" s="243"/>
      <c r="E11" s="482"/>
      <c r="F11" s="482"/>
      <c r="G11" s="482"/>
      <c r="H11" s="482"/>
      <c r="I11" s="482"/>
      <c r="J11" s="482"/>
      <c r="K11" s="482"/>
      <c r="L11" s="482"/>
      <c r="M11" s="482"/>
      <c r="N11" s="482"/>
      <c r="O11" s="482"/>
      <c r="P11" s="482"/>
      <c r="Q11" s="482"/>
      <c r="R11" s="482"/>
      <c r="S11" s="482"/>
      <c r="T11" s="482"/>
      <c r="U11" s="482"/>
      <c r="V11" s="482"/>
      <c r="W11" s="482"/>
      <c r="X11" s="482"/>
      <c r="Y11" s="482"/>
      <c r="Z11" s="482"/>
      <c r="AA11" s="482"/>
      <c r="AB11" s="482"/>
      <c r="AC11" s="482"/>
      <c r="AD11" s="482"/>
      <c r="AE11" s="482"/>
      <c r="AF11" s="482"/>
      <c r="AG11" s="482"/>
      <c r="AH11" s="482"/>
      <c r="AI11" s="482">
        <f t="shared" ref="AI11:BN11" si="39">+((AI10)/AI398)*100</f>
        <v>9.19</v>
      </c>
      <c r="AJ11" s="482">
        <f t="shared" si="39"/>
        <v>11.561999999999999</v>
      </c>
      <c r="AK11" s="482">
        <f t="shared" si="39"/>
        <v>20.751999999999999</v>
      </c>
      <c r="AL11" s="482">
        <f t="shared" si="39"/>
        <v>9.8824209714726283</v>
      </c>
      <c r="AM11" s="482">
        <f t="shared" si="39"/>
        <v>11.056283731688511</v>
      </c>
      <c r="AN11" s="482">
        <f t="shared" si="39"/>
        <v>20.93870470316114</v>
      </c>
      <c r="AO11" s="482">
        <f t="shared" si="39"/>
        <v>8.716268311488049</v>
      </c>
      <c r="AP11" s="482">
        <f t="shared" si="39"/>
        <v>12.073203518070439</v>
      </c>
      <c r="AQ11" s="482">
        <f t="shared" si="39"/>
        <v>20.75699965433806</v>
      </c>
      <c r="AR11" s="482">
        <f t="shared" si="39"/>
        <v>10.41786688174521</v>
      </c>
      <c r="AS11" s="482">
        <f t="shared" si="39"/>
        <v>15.099704153379184</v>
      </c>
      <c r="AT11" s="482">
        <f t="shared" si="39"/>
        <v>25.521573750336191</v>
      </c>
      <c r="AU11" s="482">
        <f t="shared" si="39"/>
        <v>12.868416632464449</v>
      </c>
      <c r="AV11" s="482">
        <f t="shared" si="39"/>
        <v>18.485237483953785</v>
      </c>
      <c r="AW11" s="482">
        <f t="shared" si="39"/>
        <v>31.265121207706503</v>
      </c>
      <c r="AX11" s="482">
        <f t="shared" si="39"/>
        <v>19.602985436496944</v>
      </c>
      <c r="AY11" s="482">
        <f t="shared" si="39"/>
        <v>26.030493043520746</v>
      </c>
      <c r="AZ11" s="482">
        <f t="shared" si="39"/>
        <v>45.65069894914663</v>
      </c>
      <c r="BA11" s="482">
        <f t="shared" si="39"/>
        <v>29.581359238041454</v>
      </c>
      <c r="BB11" s="482">
        <f t="shared" si="39"/>
        <v>28.239016586256966</v>
      </c>
      <c r="BC11" s="482">
        <f t="shared" si="39"/>
        <v>57.770814285336435</v>
      </c>
      <c r="BD11" s="482">
        <f t="shared" si="39"/>
        <v>38.377545711300961</v>
      </c>
      <c r="BE11" s="482">
        <f t="shared" si="39"/>
        <v>41.719607607168086</v>
      </c>
      <c r="BF11" s="482">
        <f t="shared" si="39"/>
        <v>80.111770345150447</v>
      </c>
      <c r="BG11" s="482">
        <f t="shared" si="39"/>
        <v>49.404598239484564</v>
      </c>
      <c r="BH11" s="482">
        <f t="shared" si="39"/>
        <v>56.420876148942803</v>
      </c>
      <c r="BI11" s="482">
        <f t="shared" si="39"/>
        <v>105.86138342371598</v>
      </c>
      <c r="BJ11" s="482">
        <f t="shared" si="39"/>
        <v>47.720712081138707</v>
      </c>
      <c r="BK11" s="482">
        <f t="shared" si="39"/>
        <v>17.537323830296351</v>
      </c>
      <c r="BL11" s="482">
        <f t="shared" si="39"/>
        <v>65.254031712516976</v>
      </c>
      <c r="BM11" s="482">
        <f t="shared" si="39"/>
        <v>52.296047632798505</v>
      </c>
      <c r="BN11" s="482">
        <f t="shared" si="39"/>
        <v>51.486714603083392</v>
      </c>
      <c r="BO11" s="482">
        <f t="shared" ref="BO11:CT11" si="40">+((BO10)/BO398)*100</f>
        <v>103.7827622358819</v>
      </c>
      <c r="BP11" s="482">
        <f t="shared" si="40"/>
        <v>76.33465849784595</v>
      </c>
      <c r="BQ11" s="482">
        <f t="shared" si="40"/>
        <v>65.710387629699611</v>
      </c>
      <c r="BR11" s="482">
        <f t="shared" si="40"/>
        <v>142.04504612754556</v>
      </c>
      <c r="BS11" s="482">
        <f t="shared" si="40"/>
        <v>88.013378852679253</v>
      </c>
      <c r="BT11" s="482">
        <f t="shared" si="40"/>
        <v>92.572787164048052</v>
      </c>
      <c r="BU11" s="482">
        <f t="shared" si="40"/>
        <v>180.58648085253449</v>
      </c>
      <c r="BV11" s="482">
        <f t="shared" si="40"/>
        <v>102.60345787288463</v>
      </c>
      <c r="BW11" s="482">
        <f t="shared" si="40"/>
        <v>103.71792564505613</v>
      </c>
      <c r="BX11" s="482">
        <f t="shared" si="40"/>
        <v>206.55998696761606</v>
      </c>
      <c r="BY11" s="482">
        <f t="shared" si="40"/>
        <v>125.46101352284806</v>
      </c>
      <c r="BZ11" s="482">
        <f t="shared" si="40"/>
        <v>108.45964856883339</v>
      </c>
      <c r="CA11" s="482">
        <f t="shared" si="40"/>
        <v>233.18269405001507</v>
      </c>
      <c r="CB11" s="482">
        <f t="shared" si="40"/>
        <v>133.42203430134452</v>
      </c>
      <c r="CC11" s="482">
        <f t="shared" si="40"/>
        <v>140.78840272160954</v>
      </c>
      <c r="CD11" s="482">
        <f t="shared" si="40"/>
        <v>273.0127850863845</v>
      </c>
      <c r="CE11" s="482">
        <f t="shared" si="40"/>
        <v>145.78480468290289</v>
      </c>
      <c r="CF11" s="482">
        <f t="shared" si="40"/>
        <v>170.69851647796892</v>
      </c>
      <c r="CG11" s="482">
        <f t="shared" si="40"/>
        <v>316.0503216882492</v>
      </c>
      <c r="CH11" s="482">
        <f t="shared" si="40"/>
        <v>140.83781039479115</v>
      </c>
      <c r="CI11" s="482">
        <f t="shared" si="40"/>
        <v>136.3461805263799</v>
      </c>
      <c r="CJ11" s="482">
        <f t="shared" si="40"/>
        <v>278.55019872421008</v>
      </c>
      <c r="CK11" s="482">
        <f t="shared" si="40"/>
        <v>136.1299269300138</v>
      </c>
      <c r="CL11" s="482">
        <f t="shared" si="40"/>
        <v>96.232768798608035</v>
      </c>
      <c r="CM11" s="482">
        <f t="shared" si="40"/>
        <v>232.37466811632265</v>
      </c>
      <c r="CN11" s="482">
        <f t="shared" si="40"/>
        <v>64.487783561539857</v>
      </c>
      <c r="CO11" s="482">
        <f t="shared" si="40"/>
        <v>127.67864573947509</v>
      </c>
      <c r="CP11" s="482">
        <f t="shared" si="40"/>
        <v>192.32142019031687</v>
      </c>
      <c r="CQ11" s="482">
        <f t="shared" si="40"/>
        <v>124.89035895072711</v>
      </c>
      <c r="CR11" s="482">
        <f t="shared" si="40"/>
        <v>130.13288513492745</v>
      </c>
      <c r="CS11" s="482">
        <f t="shared" si="40"/>
        <v>254.83921923861365</v>
      </c>
      <c r="CT11" s="482">
        <f t="shared" si="40"/>
        <v>164.84797970458811</v>
      </c>
      <c r="CU11" s="482">
        <f t="shared" ref="CU11:DZ11" si="41">+((CU10)/CU398)*100</f>
        <v>165.44907997998533</v>
      </c>
      <c r="CV11" s="482">
        <f t="shared" si="41"/>
        <v>330.03172337157099</v>
      </c>
      <c r="CW11" s="482">
        <f t="shared" si="41"/>
        <v>193.91989384342943</v>
      </c>
      <c r="CX11" s="482">
        <f t="shared" si="41"/>
        <v>195.59131846947096</v>
      </c>
      <c r="CY11" s="482">
        <f t="shared" si="41"/>
        <v>389.65424215111113</v>
      </c>
      <c r="CZ11" s="482">
        <f t="shared" si="41"/>
        <v>192.44943738414383</v>
      </c>
      <c r="DA11" s="482">
        <f t="shared" si="41"/>
        <v>234.27579816020034</v>
      </c>
      <c r="DB11" s="482">
        <f t="shared" si="41"/>
        <v>426.72523554434417</v>
      </c>
      <c r="DC11" s="482">
        <f t="shared" si="41"/>
        <v>222.93837950252535</v>
      </c>
      <c r="DD11" s="482">
        <f t="shared" si="41"/>
        <v>237.79944908295238</v>
      </c>
      <c r="DE11" s="482">
        <f t="shared" si="41"/>
        <v>460.75081450572475</v>
      </c>
      <c r="DF11" s="482">
        <f t="shared" si="41"/>
        <v>229.56783552217121</v>
      </c>
      <c r="DG11" s="482">
        <f t="shared" si="41"/>
        <v>34.320451880964669</v>
      </c>
      <c r="DH11" s="1244">
        <f>+((DH10)/DH398)*100</f>
        <v>257.90395985204498</v>
      </c>
      <c r="DI11" s="482">
        <f t="shared" si="41"/>
        <v>191.24013376493443</v>
      </c>
      <c r="DJ11" s="482">
        <f t="shared" si="41"/>
        <v>174.82734206534448</v>
      </c>
      <c r="DK11" s="1244">
        <f t="shared" si="41"/>
        <v>366.14634752631787</v>
      </c>
      <c r="DL11" s="482">
        <f t="shared" si="41"/>
        <v>245.31865066592218</v>
      </c>
      <c r="DM11" s="482">
        <f t="shared" si="41"/>
        <v>198.83765569826181</v>
      </c>
      <c r="DN11" s="1244">
        <f t="shared" si="41"/>
        <v>444.24366390859052</v>
      </c>
      <c r="DO11" s="482">
        <f t="shared" si="41"/>
        <v>233.72120198372048</v>
      </c>
      <c r="DP11" s="482">
        <f t="shared" si="41"/>
        <v>270.7413053549007</v>
      </c>
      <c r="DQ11" s="1244">
        <f t="shared" si="41"/>
        <v>504.0453145767068</v>
      </c>
      <c r="DR11" s="482">
        <f t="shared" si="41"/>
        <v>309.90721137933372</v>
      </c>
      <c r="DS11" s="482">
        <f t="shared" si="41"/>
        <v>310.77773627749548</v>
      </c>
      <c r="DT11" s="1244">
        <f t="shared" si="41"/>
        <v>620.52034817854576</v>
      </c>
      <c r="DU11" s="482">
        <f t="shared" si="41"/>
        <v>325.64253215451407</v>
      </c>
      <c r="DV11" s="482">
        <f t="shared" si="41"/>
        <v>307.16207806237793</v>
      </c>
      <c r="DW11" s="1244">
        <f t="shared" si="41"/>
        <v>633.00396620905985</v>
      </c>
      <c r="DX11" s="482">
        <f t="shared" si="41"/>
        <v>297.23648044358674</v>
      </c>
      <c r="DY11" s="482">
        <f t="shared" si="41"/>
        <v>332.59744442109798</v>
      </c>
      <c r="DZ11" s="1244">
        <f t="shared" si="41"/>
        <v>629.94417746765907</v>
      </c>
      <c r="EA11" s="482">
        <f t="shared" ref="EA11:EF11" si="42">+((EA10)/EA398)*100</f>
        <v>359.16011461707569</v>
      </c>
      <c r="EB11" s="482">
        <f t="shared" si="42"/>
        <v>371.49907116709397</v>
      </c>
      <c r="EC11" s="1244">
        <f t="shared" si="42"/>
        <v>730.6376815189883</v>
      </c>
      <c r="ED11" s="482">
        <f t="shared" si="42"/>
        <v>402.12966941587587</v>
      </c>
      <c r="EE11" s="482">
        <f t="shared" si="42"/>
        <v>416.14942043355791</v>
      </c>
      <c r="EF11" s="1244">
        <f t="shared" si="42"/>
        <v>818.25516988667903</v>
      </c>
      <c r="EG11" s="482">
        <f t="shared" ref="EG11:EL11" si="43">+((EG10)/EG398)*100</f>
        <v>449.69066891877628</v>
      </c>
      <c r="EH11" s="482">
        <f t="shared" si="43"/>
        <v>463.75693900265873</v>
      </c>
      <c r="EI11" s="1244">
        <f t="shared" si="43"/>
        <v>913.44760792143495</v>
      </c>
      <c r="EJ11" s="482">
        <f t="shared" si="43"/>
        <v>495.90128661072947</v>
      </c>
      <c r="EK11" s="482">
        <f t="shared" si="43"/>
        <v>511.39489131622548</v>
      </c>
      <c r="EL11" s="1244">
        <f t="shared" si="43"/>
        <v>1007.296177926955</v>
      </c>
      <c r="EM11" s="482">
        <f t="shared" ref="EM11:ER11" si="44">+((EM10)/EM398)*100</f>
        <v>544.40366384288927</v>
      </c>
      <c r="EN11" s="482">
        <f t="shared" si="44"/>
        <v>561.36205042881159</v>
      </c>
      <c r="EO11" s="1244">
        <f t="shared" si="44"/>
        <v>1105.765714271701</v>
      </c>
      <c r="EP11" s="482">
        <f t="shared" si="44"/>
        <v>596.02925258385483</v>
      </c>
      <c r="EQ11" s="482">
        <f t="shared" si="44"/>
        <v>614.51389396251068</v>
      </c>
      <c r="ER11" s="1244">
        <f t="shared" si="44"/>
        <v>1210.5431465463655</v>
      </c>
      <c r="ES11" s="482">
        <f t="shared" ref="ES11:EX11" si="45">+((ES10)/ES398)*100</f>
        <v>652.39505297362905</v>
      </c>
      <c r="ET11" s="482">
        <f t="shared" si="45"/>
        <v>672.54331207636369</v>
      </c>
      <c r="EU11" s="1244">
        <f t="shared" si="45"/>
        <v>1324.9383650499929</v>
      </c>
      <c r="EV11" s="482">
        <f t="shared" si="45"/>
        <v>713.93843720786845</v>
      </c>
      <c r="EW11" s="482">
        <f t="shared" si="45"/>
        <v>735.9000396298494</v>
      </c>
      <c r="EX11" s="1244">
        <f t="shared" si="45"/>
        <v>1449.8384768377177</v>
      </c>
      <c r="EY11" s="482">
        <f t="shared" ref="EY11:FA11" si="46">+((EY10)/EY398)*100</f>
        <v>781.13869898106316</v>
      </c>
      <c r="EZ11" s="482">
        <f t="shared" si="46"/>
        <v>805.07684562102236</v>
      </c>
      <c r="FA11" s="1244">
        <f t="shared" si="46"/>
        <v>1586.2155446020856</v>
      </c>
      <c r="FE11"/>
      <c r="FF11"/>
      <c r="FG11"/>
      <c r="FH11"/>
      <c r="FI11"/>
      <c r="FJ11"/>
      <c r="FK11" s="35"/>
    </row>
    <row r="12" spans="1:167" s="236" customFormat="1" ht="13.35" customHeight="1">
      <c r="B12" s="242" t="s">
        <v>129</v>
      </c>
      <c r="C12" s="242" t="s">
        <v>130</v>
      </c>
      <c r="D12" s="243"/>
      <c r="E12" s="482"/>
      <c r="F12" s="482"/>
      <c r="G12" s="482"/>
      <c r="H12" s="482"/>
      <c r="I12" s="482"/>
      <c r="J12" s="482"/>
      <c r="K12" s="482"/>
      <c r="L12" s="482"/>
      <c r="M12" s="482"/>
      <c r="N12" s="482"/>
      <c r="O12" s="482"/>
      <c r="P12" s="482"/>
      <c r="Q12" s="482"/>
      <c r="R12" s="482"/>
      <c r="S12" s="482"/>
      <c r="T12" s="482"/>
      <c r="U12" s="482"/>
      <c r="V12" s="482"/>
      <c r="W12" s="482"/>
      <c r="X12" s="482"/>
      <c r="Y12" s="482"/>
      <c r="Z12" s="482"/>
      <c r="AA12" s="482"/>
      <c r="AB12" s="482"/>
      <c r="AC12" s="482"/>
      <c r="AD12" s="482"/>
      <c r="AE12" s="482"/>
      <c r="AF12" s="482"/>
      <c r="AG12" s="482"/>
      <c r="AH12" s="482"/>
      <c r="AI12" s="482">
        <v>1083.8955386289445</v>
      </c>
      <c r="AJ12" s="482">
        <v>861.52914720636568</v>
      </c>
      <c r="AK12" s="482">
        <v>960.0038550501157</v>
      </c>
      <c r="AL12" s="482">
        <v>1007.9513945777258</v>
      </c>
      <c r="AM12" s="482">
        <v>900.93563458856352</v>
      </c>
      <c r="AN12" s="482">
        <v>951.44376323299275</v>
      </c>
      <c r="AO12" s="482">
        <v>1142.8055727554181</v>
      </c>
      <c r="AP12" s="482">
        <v>825.05028471449009</v>
      </c>
      <c r="AQ12" s="482">
        <v>959.77262281432127</v>
      </c>
      <c r="AR12" s="482">
        <v>956.14583225806427</v>
      </c>
      <c r="AS12" s="482">
        <v>659.6817989821883</v>
      </c>
      <c r="AT12" s="482">
        <v>780.59449604817462</v>
      </c>
      <c r="AU12" s="482">
        <v>774.06570555622068</v>
      </c>
      <c r="AV12" s="482">
        <v>538.86243055555565</v>
      </c>
      <c r="AW12" s="482">
        <v>637.19567461934071</v>
      </c>
      <c r="AX12" s="482">
        <v>508.13688722405294</v>
      </c>
      <c r="AY12" s="482">
        <v>382.66658965491217</v>
      </c>
      <c r="AZ12" s="482">
        <v>436.40076622249421</v>
      </c>
      <c r="BA12" s="482">
        <v>336.73232929710048</v>
      </c>
      <c r="BB12" s="482">
        <v>352.73891247500819</v>
      </c>
      <c r="BC12" s="482">
        <v>344.84540760673792</v>
      </c>
      <c r="BD12" s="482">
        <v>259.55281442259621</v>
      </c>
      <c r="BE12" s="482">
        <v>238.7606348984103</v>
      </c>
      <c r="BF12" s="482">
        <v>248.67756528371334</v>
      </c>
      <c r="BG12" s="482">
        <v>201.62090888210253</v>
      </c>
      <c r="BH12" s="482">
        <v>176.54812686184502</v>
      </c>
      <c r="BI12" s="482">
        <v>188.18949229353166</v>
      </c>
      <c r="BJ12" s="482">
        <v>208.7353596707334</v>
      </c>
      <c r="BK12" s="482">
        <v>567.98859942313538</v>
      </c>
      <c r="BL12" s="482">
        <v>305.29914362637885</v>
      </c>
      <c r="BM12" s="482">
        <v>190.47328528423554</v>
      </c>
      <c r="BN12" s="482">
        <v>193.46738429108203</v>
      </c>
      <c r="BO12" s="482">
        <v>191.95866029004341</v>
      </c>
      <c r="BP12" s="482">
        <v>130.49118442419027</v>
      </c>
      <c r="BQ12" s="482">
        <v>151.58942686708264</v>
      </c>
      <c r="BR12" s="482">
        <v>140.25128325919633</v>
      </c>
      <c r="BS12" s="482">
        <v>113.17597540111679</v>
      </c>
      <c r="BT12" s="482">
        <v>107.60181588081745</v>
      </c>
      <c r="BU12" s="482">
        <v>110.31833560269746</v>
      </c>
      <c r="BV12" s="482">
        <v>97.082498061036873</v>
      </c>
      <c r="BW12" s="482">
        <v>96.039329152113694</v>
      </c>
      <c r="BX12" s="482">
        <v>96.446559144696877</v>
      </c>
      <c r="BY12" s="482">
        <v>79.395181979667129</v>
      </c>
      <c r="BZ12" s="482">
        <v>91.840607372780667</v>
      </c>
      <c r="CA12" s="482">
        <v>85.435156674735708</v>
      </c>
      <c r="CB12" s="482">
        <v>74.65783333435219</v>
      </c>
      <c r="CC12" s="482">
        <v>70.751566233026736</v>
      </c>
      <c r="CD12" s="482">
        <v>72.970941612483244</v>
      </c>
      <c r="CE12" s="482">
        <v>68.326736943992287</v>
      </c>
      <c r="CF12" s="482">
        <v>58.35434428796345</v>
      </c>
      <c r="CG12" s="482">
        <v>63.034265852293558</v>
      </c>
      <c r="CH12" s="482">
        <v>70.72674569476554</v>
      </c>
      <c r="CI12" s="482">
        <v>73.056685281130939</v>
      </c>
      <c r="CJ12" s="482">
        <v>71.520322337750628</v>
      </c>
      <c r="CK12" s="482">
        <v>73.172741840382258</v>
      </c>
      <c r="CL12" s="482">
        <v>103.50943991693691</v>
      </c>
      <c r="CM12" s="482">
        <v>85.732236484690318</v>
      </c>
      <c r="CN12" s="482">
        <v>154.46336421989673</v>
      </c>
      <c r="CO12" s="482">
        <v>78.016178369601107</v>
      </c>
      <c r="CP12" s="482">
        <v>103.58700544268883</v>
      </c>
      <c r="CQ12" s="482">
        <v>79.7579579695972</v>
      </c>
      <c r="CR12" s="482">
        <v>76.544833303834011</v>
      </c>
      <c r="CS12" s="482">
        <v>78.174780394953373</v>
      </c>
      <c r="CT12" s="482">
        <v>60.425368984505432</v>
      </c>
      <c r="CU12" s="482">
        <v>60.205834938489836</v>
      </c>
      <c r="CV12" s="482">
        <v>60.363894102296726</v>
      </c>
      <c r="CW12" s="482">
        <v>51.366571023612941</v>
      </c>
      <c r="CX12" s="482">
        <v>50.927618249859961</v>
      </c>
      <c r="CY12" s="482">
        <v>51.127378698661985</v>
      </c>
      <c r="CZ12" s="482">
        <v>51.7590497296029</v>
      </c>
      <c r="DA12" s="482">
        <v>42.518262996968041</v>
      </c>
      <c r="DB12" s="482">
        <v>46.685778905451578</v>
      </c>
      <c r="DC12" s="482">
        <v>44.68050778079315</v>
      </c>
      <c r="DD12" s="482">
        <v>41.888238338707296</v>
      </c>
      <c r="DE12" s="482">
        <v>43.238122153666801</v>
      </c>
      <c r="DF12" s="482">
        <v>43.390224842878681</v>
      </c>
      <c r="DG12" s="482">
        <v>290.23510630187013</v>
      </c>
      <c r="DH12" s="1244">
        <v>77.245808910529732</v>
      </c>
      <c r="DI12" s="482">
        <v>52.086347169384993</v>
      </c>
      <c r="DJ12" s="482">
        <v>56.976213687884815</v>
      </c>
      <c r="DK12" s="1244">
        <v>54.409937814736899</v>
      </c>
      <c r="DL12" s="482">
        <v>40.604332255051439</v>
      </c>
      <c r="DM12" s="482">
        <v>50.096144842483554</v>
      </c>
      <c r="DN12" s="1244">
        <v>44.844758898124063</v>
      </c>
      <c r="DO12" s="482">
        <v>42.619154426109013</v>
      </c>
      <c r="DP12" s="482">
        <v>36.791578540048199</v>
      </c>
      <c r="DQ12" s="1244">
        <v>39.524224159747092</v>
      </c>
      <c r="DR12" s="482">
        <v>32.141878711584745</v>
      </c>
      <c r="DS12" s="482">
        <v>32.051845538593398</v>
      </c>
      <c r="DT12" s="1244">
        <v>32.105312998160912</v>
      </c>
      <c r="DU12" s="482">
        <v>30.588756124994159</v>
      </c>
      <c r="DV12" s="482">
        <v>32.429133384027757</v>
      </c>
      <c r="DW12" s="1244">
        <v>31.472156674323958</v>
      </c>
      <c r="DX12" s="482">
        <v>33.512037234240239</v>
      </c>
      <c r="DY12" s="482">
        <v>29.94911767087569</v>
      </c>
      <c r="DZ12" s="1244">
        <v>31.625024426902939</v>
      </c>
      <c r="EA12" s="482">
        <v>27.73414862789004</v>
      </c>
      <c r="EB12" s="482">
        <v>26.812987630646621</v>
      </c>
      <c r="EC12" s="1244">
        <v>27.266592599744328</v>
      </c>
      <c r="ED12" s="482">
        <v>24.7706169367436</v>
      </c>
      <c r="EE12" s="482">
        <v>23.9361140756181</v>
      </c>
      <c r="EF12" s="1244">
        <v>24.346928358251642</v>
      </c>
      <c r="EG12" s="482">
        <v>22.150782056363212</v>
      </c>
      <c r="EH12" s="482">
        <v>21.478923897983755</v>
      </c>
      <c r="EI12" s="1244">
        <v>21.809679972048794</v>
      </c>
      <c r="EJ12" s="482">
        <v>20.086658915686872</v>
      </c>
      <c r="EK12" s="482">
        <v>19.478098372008432</v>
      </c>
      <c r="EL12" s="1244">
        <v>19.777698393535115</v>
      </c>
      <c r="EM12" s="482">
        <v>18.297084794922814</v>
      </c>
      <c r="EN12" s="482">
        <v>17.744341628350224</v>
      </c>
      <c r="EO12" s="1244">
        <v>18.01647468616024</v>
      </c>
      <c r="EP12" s="482">
        <v>16.712266984913789</v>
      </c>
      <c r="EQ12" s="482">
        <v>16.209560268474068</v>
      </c>
      <c r="ER12" s="1244">
        <v>16.457075534099488</v>
      </c>
      <c r="ES12" s="482">
        <v>15.268356120417486</v>
      </c>
      <c r="ET12" s="482">
        <v>14.810942018361757</v>
      </c>
      <c r="EU12" s="1244">
        <v>15.036171134834863</v>
      </c>
      <c r="EV12" s="482">
        <v>13.95218338286468</v>
      </c>
      <c r="EW12" s="482">
        <v>13.535805766514548</v>
      </c>
      <c r="EX12" s="1244">
        <v>13.740841009718833</v>
      </c>
      <c r="EY12" s="482">
        <v>12.751896702843396</v>
      </c>
      <c r="EZ12" s="482">
        <v>12.372731937553436</v>
      </c>
      <c r="FA12" s="1244">
        <v>12.559453264592477</v>
      </c>
      <c r="FE12"/>
      <c r="FF12"/>
      <c r="FG12"/>
      <c r="FH12"/>
      <c r="FI12"/>
      <c r="FJ12"/>
      <c r="FK12" s="35"/>
    </row>
    <row r="13" spans="1:167" s="236" customFormat="1" ht="13.35" customHeight="1">
      <c r="B13" s="242" t="s">
        <v>991</v>
      </c>
      <c r="C13" s="242"/>
      <c r="D13" s="243"/>
      <c r="E13" s="482"/>
      <c r="F13" s="482"/>
      <c r="G13" s="482"/>
      <c r="H13" s="482"/>
      <c r="I13" s="482"/>
      <c r="J13" s="482"/>
      <c r="K13" s="482"/>
      <c r="L13" s="482"/>
      <c r="M13" s="482"/>
      <c r="N13" s="482"/>
      <c r="O13" s="482"/>
      <c r="P13" s="482"/>
      <c r="Q13" s="482"/>
      <c r="R13" s="482"/>
      <c r="S13" s="482"/>
      <c r="T13" s="482"/>
      <c r="U13" s="482"/>
      <c r="V13" s="482"/>
      <c r="W13" s="482"/>
      <c r="X13" s="482"/>
      <c r="Y13" s="482"/>
      <c r="Z13" s="482"/>
      <c r="AA13" s="482"/>
      <c r="AB13" s="482"/>
      <c r="AC13" s="482"/>
      <c r="AD13" s="482"/>
      <c r="AE13" s="482"/>
      <c r="AF13" s="482"/>
      <c r="AG13" s="482"/>
      <c r="AH13" s="482"/>
      <c r="AI13" s="482">
        <f t="shared" ref="AI13:BP13" si="47">AI115</f>
        <v>4.5949999999999998</v>
      </c>
      <c r="AJ13" s="482">
        <f t="shared" si="47"/>
        <v>5.7809999999999997</v>
      </c>
      <c r="AK13" s="482">
        <f t="shared" si="47"/>
        <v>10.375999999999999</v>
      </c>
      <c r="AL13" s="482">
        <f t="shared" si="47"/>
        <v>5.1269999999999998</v>
      </c>
      <c r="AM13" s="482">
        <f t="shared" si="47"/>
        <v>5.7359999999999998</v>
      </c>
      <c r="AN13" s="482">
        <f t="shared" si="47"/>
        <v>10.863</v>
      </c>
      <c r="AO13" s="482">
        <f t="shared" si="47"/>
        <v>4.5220000000000002</v>
      </c>
      <c r="AP13" s="482">
        <f t="shared" si="47"/>
        <v>6.2870000000000008</v>
      </c>
      <c r="AQ13" s="482">
        <f t="shared" si="47"/>
        <v>10.809000000000001</v>
      </c>
      <c r="AR13" s="482">
        <f t="shared" si="47"/>
        <v>5.4249999999999998</v>
      </c>
      <c r="AS13" s="482">
        <f t="shared" si="47"/>
        <v>7.86</v>
      </c>
      <c r="AT13" s="482">
        <f t="shared" si="47"/>
        <v>13.285</v>
      </c>
      <c r="AU13" s="482">
        <f t="shared" si="47"/>
        <v>6.6429999999999998</v>
      </c>
      <c r="AV13" s="482">
        <f t="shared" si="47"/>
        <v>9.6839999999999975</v>
      </c>
      <c r="AW13" s="482">
        <f t="shared" si="47"/>
        <v>16.326999999999998</v>
      </c>
      <c r="AX13" s="482">
        <f t="shared" si="47"/>
        <v>10.324000000000002</v>
      </c>
      <c r="AY13" s="482">
        <f t="shared" si="47"/>
        <v>9.8429999999999964</v>
      </c>
      <c r="AZ13" s="482">
        <f t="shared" si="47"/>
        <v>20.166999999999998</v>
      </c>
      <c r="BA13" s="482">
        <f t="shared" si="47"/>
        <v>15.873000000000001</v>
      </c>
      <c r="BB13" s="482">
        <f t="shared" si="47"/>
        <v>15.305</v>
      </c>
      <c r="BC13" s="482">
        <f t="shared" si="47"/>
        <v>31.178000000000001</v>
      </c>
      <c r="BD13" s="482">
        <f t="shared" si="47"/>
        <v>17.399999999999995</v>
      </c>
      <c r="BE13" s="482">
        <f t="shared" si="47"/>
        <v>22.810000000000006</v>
      </c>
      <c r="BF13" s="482">
        <f t="shared" si="47"/>
        <v>40.21</v>
      </c>
      <c r="BG13" s="482">
        <f t="shared" si="47"/>
        <v>27.015000000000001</v>
      </c>
      <c r="BH13" s="482">
        <f t="shared" si="47"/>
        <v>31.169000000000004</v>
      </c>
      <c r="BI13" s="482">
        <f t="shared" si="47"/>
        <v>58.184000000000005</v>
      </c>
      <c r="BJ13" s="482">
        <f t="shared" si="47"/>
        <v>26.880000000000003</v>
      </c>
      <c r="BK13" s="482">
        <f t="shared" si="47"/>
        <v>9.8810000000000002</v>
      </c>
      <c r="BL13" s="482">
        <f t="shared" si="47"/>
        <v>36.761000000000003</v>
      </c>
      <c r="BM13" s="482">
        <f t="shared" si="47"/>
        <v>29.465</v>
      </c>
      <c r="BN13" s="482">
        <f t="shared" si="47"/>
        <v>29.009000000000004</v>
      </c>
      <c r="BO13" s="482">
        <f t="shared" si="47"/>
        <v>58.474000000000004</v>
      </c>
      <c r="BP13" s="482">
        <f t="shared" si="47"/>
        <v>43.009</v>
      </c>
      <c r="BQ13" s="482">
        <f t="shared" ref="BQ13:DK13" si="48">BQ115</f>
        <v>37.022999999999996</v>
      </c>
      <c r="BR13" s="482">
        <f t="shared" si="48"/>
        <v>80.031999999999996</v>
      </c>
      <c r="BS13" s="482">
        <f t="shared" si="48"/>
        <v>48.798000000000009</v>
      </c>
      <c r="BT13" s="482">
        <f t="shared" si="48"/>
        <v>51.332999999999977</v>
      </c>
      <c r="BU13" s="482">
        <f t="shared" si="48"/>
        <v>100.13099999999999</v>
      </c>
      <c r="BV13" s="482">
        <f t="shared" si="48"/>
        <v>57.113000000000007</v>
      </c>
      <c r="BW13" s="482">
        <f t="shared" si="48"/>
        <v>58.121000000000002</v>
      </c>
      <c r="BX13" s="482">
        <f t="shared" si="48"/>
        <v>115.23400000000001</v>
      </c>
      <c r="BY13" s="482">
        <f t="shared" si="48"/>
        <v>69.935999999999993</v>
      </c>
      <c r="BZ13" s="482">
        <f t="shared" si="48"/>
        <v>60.603999999999999</v>
      </c>
      <c r="CA13" s="482">
        <f t="shared" si="48"/>
        <v>130.54</v>
      </c>
      <c r="CB13" s="482">
        <f t="shared" si="48"/>
        <v>75.247000000000014</v>
      </c>
      <c r="CC13" s="482">
        <f t="shared" si="48"/>
        <v>79.904999999999973</v>
      </c>
      <c r="CD13" s="482">
        <f t="shared" si="48"/>
        <v>155.15199999999999</v>
      </c>
      <c r="CE13" s="482">
        <f t="shared" si="48"/>
        <v>87.225999999999999</v>
      </c>
      <c r="CF13" s="482">
        <f t="shared" si="48"/>
        <v>97.179000000000002</v>
      </c>
      <c r="CG13" s="482">
        <f t="shared" si="48"/>
        <v>184.405</v>
      </c>
      <c r="CH13" s="482">
        <f t="shared" si="48"/>
        <v>-20.389000000000017</v>
      </c>
      <c r="CI13" s="482">
        <f t="shared" si="48"/>
        <v>77.188999999999993</v>
      </c>
      <c r="CJ13" s="482">
        <f t="shared" si="48"/>
        <v>56.799999999999983</v>
      </c>
      <c r="CK13" s="482">
        <f t="shared" si="48"/>
        <v>77.665000000000006</v>
      </c>
      <c r="CL13" s="482">
        <f t="shared" si="48"/>
        <v>54.897999999999982</v>
      </c>
      <c r="CM13" s="482">
        <f t="shared" si="48"/>
        <v>132.56299999999999</v>
      </c>
      <c r="CN13" s="482">
        <f t="shared" si="48"/>
        <v>21.044999999999998</v>
      </c>
      <c r="CO13" s="482">
        <f t="shared" si="48"/>
        <v>72.663999999999987</v>
      </c>
      <c r="CP13" s="482">
        <f t="shared" si="48"/>
        <v>93.708999999999989</v>
      </c>
      <c r="CQ13" s="482">
        <f t="shared" si="48"/>
        <v>71.375</v>
      </c>
      <c r="CR13" s="482">
        <f t="shared" si="48"/>
        <v>74.465000000000003</v>
      </c>
      <c r="CS13" s="482">
        <f t="shared" si="48"/>
        <v>145.84</v>
      </c>
      <c r="CT13" s="482">
        <f t="shared" si="48"/>
        <v>94.033000000000001</v>
      </c>
      <c r="CU13" s="482">
        <f t="shared" si="48"/>
        <v>94.887999999999991</v>
      </c>
      <c r="CV13" s="482">
        <f t="shared" si="48"/>
        <v>188.92099999999999</v>
      </c>
      <c r="CW13" s="482">
        <f t="shared" si="48"/>
        <v>111.36944</v>
      </c>
      <c r="CX13" s="482">
        <f t="shared" si="48"/>
        <v>112.24655999999999</v>
      </c>
      <c r="CY13" s="482">
        <f t="shared" si="48"/>
        <v>223.61599999999999</v>
      </c>
      <c r="CZ13" s="482">
        <f t="shared" si="48"/>
        <v>110.79999999999998</v>
      </c>
      <c r="DA13" s="482">
        <f t="shared" si="48"/>
        <v>135.00000000000003</v>
      </c>
      <c r="DB13" s="482">
        <f t="shared" si="48"/>
        <v>245.8</v>
      </c>
      <c r="DC13" s="482">
        <f t="shared" si="48"/>
        <v>128.60000000000002</v>
      </c>
      <c r="DD13" s="482">
        <f t="shared" si="48"/>
        <v>137.29999999999995</v>
      </c>
      <c r="DE13" s="482">
        <f t="shared" si="48"/>
        <v>265.89999999999998</v>
      </c>
      <c r="DF13" s="482">
        <f t="shared" si="48"/>
        <v>132.69999999999996</v>
      </c>
      <c r="DG13" s="482">
        <f t="shared" si="48"/>
        <v>21.100000000000051</v>
      </c>
      <c r="DH13" s="1244">
        <f t="shared" si="48"/>
        <v>153.80000000000001</v>
      </c>
      <c r="DI13" s="482">
        <f t="shared" si="48"/>
        <v>125.69</v>
      </c>
      <c r="DJ13" s="482">
        <f t="shared" si="48"/>
        <v>114.94</v>
      </c>
      <c r="DK13" s="1244">
        <f t="shared" si="48"/>
        <v>240.63</v>
      </c>
      <c r="DL13" s="482">
        <f>DL115</f>
        <v>173.14000000000001</v>
      </c>
      <c r="DM13" s="482">
        <f>DM115</f>
        <v>131.08000000000001</v>
      </c>
      <c r="DN13" s="1244">
        <f>DN115</f>
        <v>304.22000000000003</v>
      </c>
      <c r="DO13" s="482">
        <f>DO115</f>
        <v>153.74</v>
      </c>
      <c r="DP13" s="482">
        <f t="shared" ref="DP13:ER13" si="49">DP115</f>
        <v>173.81</v>
      </c>
      <c r="DQ13" s="1244">
        <f t="shared" si="49"/>
        <v>327.55</v>
      </c>
      <c r="DR13" s="482">
        <f t="shared" si="49"/>
        <v>202.82999999999996</v>
      </c>
      <c r="DS13" s="482">
        <f t="shared" si="49"/>
        <v>175.17999999999998</v>
      </c>
      <c r="DT13" s="1244">
        <f t="shared" si="49"/>
        <v>378.00999999999993</v>
      </c>
      <c r="DU13" s="482">
        <f t="shared" si="49"/>
        <v>205.08999999999997</v>
      </c>
      <c r="DV13" s="482">
        <f t="shared" si="49"/>
        <v>183.81</v>
      </c>
      <c r="DW13" s="1244">
        <f t="shared" si="49"/>
        <v>388.9</v>
      </c>
      <c r="DX13" s="482">
        <f t="shared" si="49"/>
        <v>161.50000000000006</v>
      </c>
      <c r="DY13" s="482">
        <f t="shared" si="49"/>
        <v>170.56495297475243</v>
      </c>
      <c r="DZ13" s="1244">
        <f t="shared" si="49"/>
        <v>332.06495297475249</v>
      </c>
      <c r="EA13" s="482">
        <f t="shared" si="49"/>
        <v>208.78288198280904</v>
      </c>
      <c r="EB13" s="482">
        <f t="shared" si="49"/>
        <v>215.97310037358784</v>
      </c>
      <c r="EC13" s="1244">
        <f t="shared" si="49"/>
        <v>424.75598235639688</v>
      </c>
      <c r="ED13" s="482">
        <f t="shared" si="49"/>
        <v>260.8416567151105</v>
      </c>
      <c r="EE13" s="482">
        <f t="shared" si="49"/>
        <v>269.01603818798242</v>
      </c>
      <c r="EF13" s="1244">
        <f t="shared" si="49"/>
        <v>529.85769490309292</v>
      </c>
      <c r="EG13" s="482">
        <f t="shared" si="49"/>
        <v>289.72905851376896</v>
      </c>
      <c r="EH13" s="482">
        <f t="shared" si="49"/>
        <v>298.79174864697194</v>
      </c>
      <c r="EI13" s="1244">
        <f t="shared" si="49"/>
        <v>588.5208071607409</v>
      </c>
      <c r="EJ13" s="482">
        <f t="shared" si="49"/>
        <v>319.50187721472264</v>
      </c>
      <c r="EK13" s="482">
        <f t="shared" si="49"/>
        <v>329.48417797070886</v>
      </c>
      <c r="EL13" s="1244">
        <f t="shared" si="49"/>
        <v>648.9860551854315</v>
      </c>
      <c r="EM13" s="482">
        <f t="shared" si="49"/>
        <v>350.75124275068288</v>
      </c>
      <c r="EN13" s="482">
        <f t="shared" si="49"/>
        <v>361.67728084541432</v>
      </c>
      <c r="EO13" s="1244">
        <f t="shared" si="49"/>
        <v>712.42852359609719</v>
      </c>
      <c r="EP13" s="482">
        <f t="shared" si="49"/>
        <v>384.01284734902202</v>
      </c>
      <c r="EQ13" s="482">
        <f t="shared" si="49"/>
        <v>395.92222887227962</v>
      </c>
      <c r="ER13" s="1244">
        <f t="shared" si="49"/>
        <v>779.93507622130164</v>
      </c>
      <c r="ES13" s="482">
        <f t="shared" ref="ES13:EX13" si="50">ES115</f>
        <v>420.32850032569968</v>
      </c>
      <c r="ET13" s="482">
        <f t="shared" si="50"/>
        <v>433.30972618605028</v>
      </c>
      <c r="EU13" s="1244">
        <f t="shared" si="50"/>
        <v>853.63822651174996</v>
      </c>
      <c r="EV13" s="482">
        <f t="shared" si="50"/>
        <v>459.97999412878312</v>
      </c>
      <c r="EW13" s="482">
        <f t="shared" si="50"/>
        <v>474.12953031656548</v>
      </c>
      <c r="EX13" s="1244">
        <f t="shared" si="50"/>
        <v>934.1095244453486</v>
      </c>
      <c r="EY13" s="482">
        <f t="shared" ref="EY13:FA13" si="51">EY115</f>
        <v>503.27613060908709</v>
      </c>
      <c r="EZ13" s="482">
        <f t="shared" si="51"/>
        <v>518.69912505376976</v>
      </c>
      <c r="FA13" s="1244">
        <f t="shared" si="51"/>
        <v>1021.9752556628569</v>
      </c>
      <c r="FE13"/>
      <c r="FF13"/>
      <c r="FG13"/>
      <c r="FH13"/>
      <c r="FI13"/>
      <c r="FJ13"/>
      <c r="FK13" s="35"/>
    </row>
    <row r="14" spans="1:167" s="236" customFormat="1" ht="13.35" customHeight="1">
      <c r="B14" s="242" t="s">
        <v>992</v>
      </c>
      <c r="C14" s="242"/>
      <c r="D14" s="243"/>
      <c r="E14" s="280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0"/>
      <c r="AF14" s="280"/>
      <c r="AG14" s="280"/>
      <c r="AH14" s="280"/>
      <c r="AI14" s="280">
        <f t="shared" ref="AI14:BN14" si="52">+((AI13)/AI398)*100</f>
        <v>9.19</v>
      </c>
      <c r="AJ14" s="280">
        <f t="shared" si="52"/>
        <v>11.561999999999999</v>
      </c>
      <c r="AK14" s="280">
        <f t="shared" si="52"/>
        <v>20.751999999999999</v>
      </c>
      <c r="AL14" s="280">
        <f t="shared" si="52"/>
        <v>9.8824209714726283</v>
      </c>
      <c r="AM14" s="280">
        <f t="shared" si="52"/>
        <v>11.056283731688511</v>
      </c>
      <c r="AN14" s="280">
        <f t="shared" si="52"/>
        <v>20.93870470316114</v>
      </c>
      <c r="AO14" s="280">
        <f t="shared" si="52"/>
        <v>8.716268311488049</v>
      </c>
      <c r="AP14" s="280">
        <f t="shared" si="52"/>
        <v>12.073203518070439</v>
      </c>
      <c r="AQ14" s="280">
        <f t="shared" si="52"/>
        <v>20.75699965433806</v>
      </c>
      <c r="AR14" s="280">
        <f t="shared" si="52"/>
        <v>10.41786688174521</v>
      </c>
      <c r="AS14" s="280">
        <f t="shared" si="52"/>
        <v>15.099704153379184</v>
      </c>
      <c r="AT14" s="280">
        <f t="shared" si="52"/>
        <v>25.521573750336191</v>
      </c>
      <c r="AU14" s="280">
        <f t="shared" si="52"/>
        <v>12.868416632464449</v>
      </c>
      <c r="AV14" s="280">
        <f t="shared" si="52"/>
        <v>18.485237483953785</v>
      </c>
      <c r="AW14" s="280">
        <f t="shared" si="52"/>
        <v>31.265121207706503</v>
      </c>
      <c r="AX14" s="280">
        <f t="shared" si="52"/>
        <v>19.602985436496944</v>
      </c>
      <c r="AY14" s="280">
        <f t="shared" si="52"/>
        <v>18.577301553608951</v>
      </c>
      <c r="AZ14" s="280">
        <f t="shared" si="52"/>
        <v>38.175387531408191</v>
      </c>
      <c r="BA14" s="280">
        <f t="shared" si="52"/>
        <v>29.581359238041454</v>
      </c>
      <c r="BB14" s="280">
        <f t="shared" si="52"/>
        <v>28.239016586256966</v>
      </c>
      <c r="BC14" s="280">
        <f t="shared" si="52"/>
        <v>57.770814285336435</v>
      </c>
      <c r="BD14" s="280">
        <f t="shared" si="52"/>
        <v>32.104293046953686</v>
      </c>
      <c r="BE14" s="280">
        <f t="shared" si="52"/>
        <v>41.719607607168093</v>
      </c>
      <c r="BF14" s="280">
        <f t="shared" si="52"/>
        <v>73.865954725487256</v>
      </c>
      <c r="BG14" s="280">
        <f t="shared" si="52"/>
        <v>49.404598239484564</v>
      </c>
      <c r="BH14" s="280">
        <f t="shared" si="52"/>
        <v>56.420876148942803</v>
      </c>
      <c r="BI14" s="280">
        <f t="shared" si="52"/>
        <v>105.86138342371598</v>
      </c>
      <c r="BJ14" s="280">
        <f t="shared" si="52"/>
        <v>47.720712081138707</v>
      </c>
      <c r="BK14" s="280">
        <f t="shared" si="52"/>
        <v>17.537323830296351</v>
      </c>
      <c r="BL14" s="280">
        <f t="shared" si="52"/>
        <v>65.254031712516976</v>
      </c>
      <c r="BM14" s="280">
        <f t="shared" si="52"/>
        <v>52.296047632798505</v>
      </c>
      <c r="BN14" s="280">
        <f t="shared" si="52"/>
        <v>51.486714603083392</v>
      </c>
      <c r="BO14" s="280">
        <f t="shared" ref="BO14:CT14" si="53">+((BO13)/BO398)*100</f>
        <v>103.7827622358819</v>
      </c>
      <c r="BP14" s="280">
        <f t="shared" si="53"/>
        <v>76.33465849784595</v>
      </c>
      <c r="BQ14" s="280">
        <f t="shared" si="53"/>
        <v>65.710387629699611</v>
      </c>
      <c r="BR14" s="280">
        <f t="shared" si="53"/>
        <v>142.04504612754556</v>
      </c>
      <c r="BS14" s="280">
        <f t="shared" si="53"/>
        <v>88.013378852679253</v>
      </c>
      <c r="BT14" s="280">
        <f t="shared" si="53"/>
        <v>92.572787164048052</v>
      </c>
      <c r="BU14" s="280">
        <f t="shared" si="53"/>
        <v>180.58648085253449</v>
      </c>
      <c r="BV14" s="280">
        <f t="shared" si="53"/>
        <v>102.60345787288463</v>
      </c>
      <c r="BW14" s="280">
        <f t="shared" si="53"/>
        <v>103.71792564505613</v>
      </c>
      <c r="BX14" s="280">
        <f t="shared" si="53"/>
        <v>206.55998696761606</v>
      </c>
      <c r="BY14" s="280">
        <f t="shared" si="53"/>
        <v>125.46101352284806</v>
      </c>
      <c r="BZ14" s="280">
        <f t="shared" si="53"/>
        <v>108.45964856883339</v>
      </c>
      <c r="CA14" s="280">
        <f t="shared" si="53"/>
        <v>233.18269405001507</v>
      </c>
      <c r="CB14" s="280">
        <f t="shared" si="53"/>
        <v>133.42203430134452</v>
      </c>
      <c r="CC14" s="280">
        <f t="shared" si="53"/>
        <v>140.78840272160954</v>
      </c>
      <c r="CD14" s="280">
        <f t="shared" si="53"/>
        <v>273.0127850863845</v>
      </c>
      <c r="CE14" s="280">
        <f t="shared" si="53"/>
        <v>153.32761045723623</v>
      </c>
      <c r="CF14" s="280">
        <f t="shared" si="53"/>
        <v>170.69851647796892</v>
      </c>
      <c r="CG14" s="280">
        <f t="shared" si="53"/>
        <v>323.57984149439579</v>
      </c>
      <c r="CH14" s="280">
        <f t="shared" si="53"/>
        <v>-35.82844169013687</v>
      </c>
      <c r="CI14" s="280">
        <f t="shared" si="53"/>
        <v>135.00988196285886</v>
      </c>
      <c r="CJ14" s="280">
        <f t="shared" si="53"/>
        <v>100.07369568333415</v>
      </c>
      <c r="CK14" s="280">
        <f t="shared" si="53"/>
        <v>136.1299269300138</v>
      </c>
      <c r="CL14" s="280">
        <f t="shared" si="53"/>
        <v>96.232768798608035</v>
      </c>
      <c r="CM14" s="280">
        <f t="shared" si="53"/>
        <v>232.37466811632265</v>
      </c>
      <c r="CN14" s="280">
        <f t="shared" si="53"/>
        <v>36.888975402354077</v>
      </c>
      <c r="CO14" s="280">
        <f t="shared" si="53"/>
        <v>127.61542110059447</v>
      </c>
      <c r="CP14" s="280">
        <f t="shared" si="53"/>
        <v>164.60177152812497</v>
      </c>
      <c r="CQ14" s="280">
        <f t="shared" si="53"/>
        <v>124.89035895072711</v>
      </c>
      <c r="CR14" s="280">
        <f t="shared" si="53"/>
        <v>130.13288513492745</v>
      </c>
      <c r="CS14" s="280">
        <f t="shared" si="53"/>
        <v>254.83921923861365</v>
      </c>
      <c r="CT14" s="280">
        <f t="shared" si="53"/>
        <v>164.84797970458811</v>
      </c>
      <c r="CU14" s="280">
        <f t="shared" ref="CU14:DZ14" si="54">+((CU13)/CU398)*100</f>
        <v>165.44907997998533</v>
      </c>
      <c r="CV14" s="280">
        <f t="shared" si="54"/>
        <v>330.03172337157099</v>
      </c>
      <c r="CW14" s="280">
        <f t="shared" si="54"/>
        <v>193.91989384342943</v>
      </c>
      <c r="CX14" s="280">
        <f t="shared" si="54"/>
        <v>195.59131846947096</v>
      </c>
      <c r="CY14" s="280">
        <f t="shared" si="54"/>
        <v>389.65424215111113</v>
      </c>
      <c r="CZ14" s="280">
        <f t="shared" si="54"/>
        <v>192.44943738414383</v>
      </c>
      <c r="DA14" s="280">
        <f t="shared" si="54"/>
        <v>234.27579816020034</v>
      </c>
      <c r="DB14" s="280">
        <f t="shared" si="54"/>
        <v>426.72523554434417</v>
      </c>
      <c r="DC14" s="280">
        <f t="shared" si="54"/>
        <v>222.93837950252535</v>
      </c>
      <c r="DD14" s="280">
        <f t="shared" si="54"/>
        <v>237.79944908295238</v>
      </c>
      <c r="DE14" s="280">
        <f t="shared" si="54"/>
        <v>460.75081450572475</v>
      </c>
      <c r="DF14" s="280">
        <f t="shared" si="54"/>
        <v>229.56783552217121</v>
      </c>
      <c r="DG14" s="280">
        <f t="shared" si="54"/>
        <v>34.320451880964669</v>
      </c>
      <c r="DH14" s="1245">
        <f t="shared" si="54"/>
        <v>257.90395985204498</v>
      </c>
      <c r="DI14" s="280">
        <f t="shared" si="54"/>
        <v>191.24013376493443</v>
      </c>
      <c r="DJ14" s="280">
        <f t="shared" si="54"/>
        <v>174.82734206534448</v>
      </c>
      <c r="DK14" s="1245">
        <f t="shared" si="54"/>
        <v>366.14634752631787</v>
      </c>
      <c r="DL14" s="280">
        <f t="shared" si="54"/>
        <v>263.26063701684495</v>
      </c>
      <c r="DM14" s="280">
        <f t="shared" si="54"/>
        <v>199.29377511032391</v>
      </c>
      <c r="DN14" s="1245">
        <f t="shared" si="54"/>
        <v>462.64482895478369</v>
      </c>
      <c r="DO14" s="280">
        <f t="shared" si="54"/>
        <v>233.72120198372048</v>
      </c>
      <c r="DP14" s="280">
        <f t="shared" si="54"/>
        <v>263.76069886068768</v>
      </c>
      <c r="DQ14" s="1245">
        <f t="shared" si="54"/>
        <v>497.06470808249372</v>
      </c>
      <c r="DR14" s="280">
        <f t="shared" si="54"/>
        <v>308.68968071536733</v>
      </c>
      <c r="DS14" s="280">
        <f t="shared" si="54"/>
        <v>266.63749554849471</v>
      </c>
      <c r="DT14" s="1245">
        <f t="shared" si="54"/>
        <v>575.17691281472275</v>
      </c>
      <c r="DU14" s="280">
        <f t="shared" si="54"/>
        <v>312.53697842467733</v>
      </c>
      <c r="DV14" s="280">
        <f t="shared" si="54"/>
        <v>280.05685301907567</v>
      </c>
      <c r="DW14" s="1245">
        <f t="shared" si="54"/>
        <v>592.77912412700346</v>
      </c>
      <c r="DX14" s="280">
        <f t="shared" si="54"/>
        <v>246.4255215176554</v>
      </c>
      <c r="DY14" s="280">
        <f t="shared" si="54"/>
        <v>261.10731017809269</v>
      </c>
      <c r="DZ14" s="1245">
        <f t="shared" si="54"/>
        <v>507.64420064701329</v>
      </c>
      <c r="EA14" s="280">
        <f t="shared" ref="EA14:ER14" si="55">+((EA13)/EA398)*100</f>
        <v>320.75267096990927</v>
      </c>
      <c r="EB14" s="280">
        <f t="shared" si="55"/>
        <v>332.95752123982538</v>
      </c>
      <c r="EC14" s="1245">
        <f t="shared" si="55"/>
        <v>653.68892166423598</v>
      </c>
      <c r="ED14" s="280">
        <f t="shared" si="55"/>
        <v>402.12966941587587</v>
      </c>
      <c r="EE14" s="280">
        <f t="shared" si="55"/>
        <v>416.14942043355791</v>
      </c>
      <c r="EF14" s="1245">
        <f t="shared" si="55"/>
        <v>818.25516988667903</v>
      </c>
      <c r="EG14" s="280">
        <f t="shared" si="55"/>
        <v>449.69066891877628</v>
      </c>
      <c r="EH14" s="280">
        <f t="shared" si="55"/>
        <v>463.75693900265873</v>
      </c>
      <c r="EI14" s="1245">
        <f t="shared" si="55"/>
        <v>913.44760792143495</v>
      </c>
      <c r="EJ14" s="280">
        <f t="shared" si="55"/>
        <v>495.90128661072947</v>
      </c>
      <c r="EK14" s="280">
        <f t="shared" si="55"/>
        <v>511.39489131622548</v>
      </c>
      <c r="EL14" s="1245">
        <f t="shared" si="55"/>
        <v>1007.296177926955</v>
      </c>
      <c r="EM14" s="280">
        <f t="shared" si="55"/>
        <v>544.40366384288927</v>
      </c>
      <c r="EN14" s="280">
        <f t="shared" si="55"/>
        <v>561.36205042881159</v>
      </c>
      <c r="EO14" s="1245">
        <f t="shared" si="55"/>
        <v>1105.765714271701</v>
      </c>
      <c r="EP14" s="280">
        <f t="shared" si="55"/>
        <v>596.02925258385483</v>
      </c>
      <c r="EQ14" s="280">
        <f t="shared" si="55"/>
        <v>614.51389396251068</v>
      </c>
      <c r="ER14" s="1245">
        <f t="shared" si="55"/>
        <v>1210.5431465463655</v>
      </c>
      <c r="ES14" s="280">
        <f t="shared" ref="ES14:EX14" si="56">+((ES13)/ES398)*100</f>
        <v>652.39505297362905</v>
      </c>
      <c r="ET14" s="280">
        <f t="shared" si="56"/>
        <v>672.54331207636369</v>
      </c>
      <c r="EU14" s="1245">
        <f t="shared" si="56"/>
        <v>1324.9383650499929</v>
      </c>
      <c r="EV14" s="280">
        <f t="shared" si="56"/>
        <v>713.93843720786845</v>
      </c>
      <c r="EW14" s="280">
        <f t="shared" si="56"/>
        <v>735.9000396298494</v>
      </c>
      <c r="EX14" s="1245">
        <f t="shared" si="56"/>
        <v>1449.8384768377177</v>
      </c>
      <c r="EY14" s="280">
        <f t="shared" ref="EY14:FA14" si="57">+((EY13)/EY398)*100</f>
        <v>781.13869898106316</v>
      </c>
      <c r="EZ14" s="280">
        <f t="shared" si="57"/>
        <v>805.07684562102236</v>
      </c>
      <c r="FA14" s="1245">
        <f t="shared" si="57"/>
        <v>1586.2155446020856</v>
      </c>
      <c r="FE14"/>
      <c r="FF14"/>
      <c r="FG14"/>
      <c r="FH14"/>
      <c r="FI14"/>
      <c r="FJ14"/>
      <c r="FK14" s="35"/>
    </row>
    <row r="15" spans="1:167" s="236" customFormat="1" ht="13.35" customHeight="1">
      <c r="B15" s="242" t="s">
        <v>493</v>
      </c>
      <c r="C15" s="242" t="s">
        <v>130</v>
      </c>
      <c r="D15" s="243"/>
      <c r="E15" s="482"/>
      <c r="F15" s="482"/>
      <c r="G15" s="482"/>
      <c r="H15" s="482"/>
      <c r="I15" s="482"/>
      <c r="J15" s="482"/>
      <c r="K15" s="482"/>
      <c r="L15" s="482"/>
      <c r="M15" s="482"/>
      <c r="N15" s="482"/>
      <c r="O15" s="482"/>
      <c r="P15" s="482"/>
      <c r="Q15" s="482"/>
      <c r="R15" s="482"/>
      <c r="S15" s="482"/>
      <c r="T15" s="482"/>
      <c r="U15" s="482"/>
      <c r="V15" s="482"/>
      <c r="W15" s="482"/>
      <c r="X15" s="482"/>
      <c r="Y15" s="482"/>
      <c r="Z15" s="482"/>
      <c r="AA15" s="482"/>
      <c r="AB15" s="482"/>
      <c r="AC15" s="482"/>
      <c r="AD15" s="482"/>
      <c r="AE15" s="482"/>
      <c r="AF15" s="482"/>
      <c r="AG15" s="482"/>
      <c r="AH15" s="482"/>
      <c r="AI15" s="482">
        <v>1271.197011921729</v>
      </c>
      <c r="AJ15" s="482">
        <v>908.01354197106707</v>
      </c>
      <c r="AK15" s="482">
        <v>1059.2631810515215</v>
      </c>
      <c r="AL15" s="482">
        <v>1040.7413613959795</v>
      </c>
      <c r="AM15" s="482">
        <v>927.74692080085345</v>
      </c>
      <c r="AN15" s="482">
        <v>980.90853560385028</v>
      </c>
      <c r="AO15" s="482">
        <v>1136.48020091115</v>
      </c>
      <c r="AP15" s="482">
        <v>763.43912139864233</v>
      </c>
      <c r="AQ15" s="482">
        <v>913.30493604452533</v>
      </c>
      <c r="AR15" s="482">
        <v>883.02495644104522</v>
      </c>
      <c r="AS15" s="482">
        <v>646.23747182376837</v>
      </c>
      <c r="AT15" s="482">
        <v>746.15356525864036</v>
      </c>
      <c r="AU15" s="482">
        <v>712.97083277510399</v>
      </c>
      <c r="AV15" s="482">
        <v>467.18028500322794</v>
      </c>
      <c r="AW15" s="482">
        <v>564.3079628497162</v>
      </c>
      <c r="AX15" s="482">
        <v>415.27785347559808</v>
      </c>
      <c r="AY15" s="482">
        <v>340.97304667591919</v>
      </c>
      <c r="AZ15" s="482">
        <v>374.1838910080819</v>
      </c>
      <c r="BA15" s="482">
        <v>281.08449674901738</v>
      </c>
      <c r="BB15" s="482">
        <v>291.12374119991057</v>
      </c>
      <c r="BC15" s="482">
        <v>285.6901480117769</v>
      </c>
      <c r="BD15" s="482">
        <v>251.22282671406552</v>
      </c>
      <c r="BE15" s="482">
        <v>224.62986753546829</v>
      </c>
      <c r="BF15" s="482">
        <v>236.87402630405529</v>
      </c>
      <c r="BG15" s="482"/>
      <c r="BH15" s="482"/>
      <c r="BI15" s="482">
        <v>161.80567076894283</v>
      </c>
      <c r="BJ15" s="482">
        <v>182.55214889060656</v>
      </c>
      <c r="BK15" s="482">
        <v>657.45667846099298</v>
      </c>
      <c r="BL15" s="482">
        <v>285.24393890279578</v>
      </c>
      <c r="BM15" s="482">
        <v>160.44652777179149</v>
      </c>
      <c r="BN15" s="482">
        <v>155.9364031476992</v>
      </c>
      <c r="BO15" s="482">
        <v>158.62478592669777</v>
      </c>
      <c r="BP15" s="482">
        <v>105.430280914695</v>
      </c>
      <c r="BQ15" s="482">
        <v>141.54797276576014</v>
      </c>
      <c r="BR15" s="482">
        <v>120.5591187448501</v>
      </c>
      <c r="BS15" s="482">
        <v>86.464154524433098</v>
      </c>
      <c r="BT15" s="482">
        <v>84.540153782700614</v>
      </c>
      <c r="BU15" s="482">
        <v>85.114185390510556</v>
      </c>
      <c r="BV15" s="482">
        <v>77.548858375107727</v>
      </c>
      <c r="BW15" s="482">
        <v>79.456871196567747</v>
      </c>
      <c r="BX15" s="482">
        <v>78.127172853838843</v>
      </c>
      <c r="BY15" s="482">
        <v>73.262915272538208</v>
      </c>
      <c r="BZ15" s="482">
        <v>76.92744640444559</v>
      </c>
      <c r="CA15" s="482">
        <v>74.573235457413602</v>
      </c>
      <c r="CB15" s="482">
        <v>63.241345122360329</v>
      </c>
      <c r="CC15" s="482">
        <v>56.330036426162089</v>
      </c>
      <c r="CD15" s="482">
        <v>59.323227991812253</v>
      </c>
      <c r="CE15" s="482">
        <v>57.820400441905804</v>
      </c>
      <c r="CF15" s="482">
        <v>50.628488288241094</v>
      </c>
      <c r="CG15" s="482">
        <v>53.553091057099444</v>
      </c>
      <c r="CH15" s="482">
        <v>59.739347527743533</v>
      </c>
      <c r="CI15" s="482">
        <v>60.846780910676934</v>
      </c>
      <c r="CJ15" s="482">
        <v>59.889931609711688</v>
      </c>
      <c r="CK15" s="482">
        <v>60.252697142500992</v>
      </c>
      <c r="CL15" s="482">
        <v>92.963376085687145</v>
      </c>
      <c r="CM15" s="482">
        <v>72.91092310443922</v>
      </c>
      <c r="CN15" s="482">
        <v>133.39078104663631</v>
      </c>
      <c r="CO15" s="482">
        <v>65.684923344044066</v>
      </c>
      <c r="CP15" s="482">
        <v>87.731319378090845</v>
      </c>
      <c r="CQ15" s="482">
        <v>65.482235150629847</v>
      </c>
      <c r="CR15" s="482">
        <v>61.94101207641387</v>
      </c>
      <c r="CS15" s="482">
        <v>63.235270484967423</v>
      </c>
      <c r="CT15" s="482">
        <v>49.993466699473913</v>
      </c>
      <c r="CU15" s="482">
        <v>49.677844019766489</v>
      </c>
      <c r="CV15" s="482">
        <v>49.446016459992997</v>
      </c>
      <c r="CW15" s="482">
        <v>41.682948734502588</v>
      </c>
      <c r="CX15" s="482">
        <v>41.0329946547064</v>
      </c>
      <c r="CY15" s="482">
        <v>41.056561478882664</v>
      </c>
      <c r="CZ15" s="482">
        <v>40.796759589277741</v>
      </c>
      <c r="DA15" s="482">
        <v>34.581594969238331</v>
      </c>
      <c r="DB15" s="482">
        <v>37.015182854362806</v>
      </c>
      <c r="DC15" s="482">
        <v>36.723417249887007</v>
      </c>
      <c r="DD15" s="482">
        <v>35.714824249271111</v>
      </c>
      <c r="DE15" s="482">
        <v>35.882847614483175</v>
      </c>
      <c r="DF15" s="482">
        <v>35.567416764326168</v>
      </c>
      <c r="DG15" s="482">
        <v>278.73291035502848</v>
      </c>
      <c r="DH15" s="1244">
        <v>61.902448720082909</v>
      </c>
      <c r="DI15" s="482">
        <v>35.372726438806815</v>
      </c>
      <c r="DJ15" s="482">
        <v>39.138677123529419</v>
      </c>
      <c r="DK15" s="1244">
        <v>36.65806556857229</v>
      </c>
      <c r="DL15" s="482">
        <v>27.777017279058295</v>
      </c>
      <c r="DM15" s="482">
        <v>34.024295936183123</v>
      </c>
      <c r="DN15" s="1244">
        <v>30.113949311056146</v>
      </c>
      <c r="DO15" s="482">
        <v>30.518349030689656</v>
      </c>
      <c r="DP15" s="482">
        <v>26.581562406001726</v>
      </c>
      <c r="DQ15" s="1244">
        <v>27.961665224252187</v>
      </c>
      <c r="DR15" s="482">
        <v>22.700330100036744</v>
      </c>
      <c r="DS15" s="482">
        <v>23.447907391517681</v>
      </c>
      <c r="DT15" s="1244">
        <v>22.642271923864698</v>
      </c>
      <c r="DU15" s="482">
        <v>21.716253412033485</v>
      </c>
      <c r="DV15" s="482">
        <v>23.521679211485221</v>
      </c>
      <c r="DW15" s="1244">
        <v>22.298916437653428</v>
      </c>
      <c r="DX15" s="482">
        <v>24.854767869819465</v>
      </c>
      <c r="DY15" s="482">
        <v>21.557532079836943</v>
      </c>
      <c r="DZ15" s="1244">
        <v>22.77824810928681</v>
      </c>
      <c r="EA15" s="482">
        <v>20.507211528962539</v>
      </c>
      <c r="EB15" s="482">
        <v>19.897684614418097</v>
      </c>
      <c r="EC15" s="1244">
        <v>20.195758888357666</v>
      </c>
      <c r="ED15" s="482">
        <v>18.34887593828299</v>
      </c>
      <c r="EE15" s="482">
        <v>17.791953489404168</v>
      </c>
      <c r="EF15" s="1244">
        <v>18.062939973840958</v>
      </c>
      <c r="EG15" s="482">
        <v>16.548095253812896</v>
      </c>
      <c r="EH15" s="482">
        <v>16.036966307290246</v>
      </c>
      <c r="EI15" s="1244">
        <v>16.281222854118116</v>
      </c>
      <c r="EJ15" s="482">
        <v>14.948448028218646</v>
      </c>
      <c r="EK15" s="482">
        <v>14.421300573927258</v>
      </c>
      <c r="EL15" s="1244">
        <v>14.64094916652628</v>
      </c>
      <c r="EM15" s="482">
        <v>13.518585825168129</v>
      </c>
      <c r="EN15" s="482">
        <v>13.032507617252811</v>
      </c>
      <c r="EO15" s="1244">
        <v>13.231003719701498</v>
      </c>
      <c r="EP15" s="482">
        <v>12.258173678084571</v>
      </c>
      <c r="EQ15" s="482">
        <v>11.80811585541635</v>
      </c>
      <c r="ER15" s="1244">
        <v>11.987963436818095</v>
      </c>
      <c r="ES15" s="482">
        <v>11.096099666337979</v>
      </c>
      <c r="ET15" s="482">
        <v>10.679164810011011</v>
      </c>
      <c r="EU15" s="1244">
        <v>10.84181751311691</v>
      </c>
      <c r="EV15" s="482">
        <v>10.02434527044341</v>
      </c>
      <c r="EW15" s="482">
        <v>9.6378735139207574</v>
      </c>
      <c r="EX15" s="1244">
        <v>9.7846664707784363</v>
      </c>
      <c r="EY15" s="482">
        <v>9.0355475238296528</v>
      </c>
      <c r="EZ15" s="482">
        <v>8.6770968421193793</v>
      </c>
      <c r="FA15" s="1244">
        <v>8.8092563584852392</v>
      </c>
      <c r="FE15"/>
      <c r="FF15"/>
      <c r="FG15"/>
      <c r="FH15"/>
      <c r="FI15"/>
      <c r="FJ15"/>
      <c r="FK15" s="35"/>
    </row>
    <row r="16" spans="1:167" s="236" customFormat="1" ht="13.35" customHeight="1">
      <c r="B16" s="242" t="s">
        <v>127</v>
      </c>
      <c r="C16" s="242" t="s">
        <v>130</v>
      </c>
      <c r="D16" s="243"/>
      <c r="E16" s="482"/>
      <c r="F16" s="482"/>
      <c r="G16" s="482"/>
      <c r="H16" s="482"/>
      <c r="I16" s="482"/>
      <c r="J16" s="482"/>
      <c r="K16" s="482"/>
      <c r="L16" s="482"/>
      <c r="M16" s="482"/>
      <c r="N16" s="482"/>
      <c r="O16" s="482"/>
      <c r="P16" s="482"/>
      <c r="Q16" s="482"/>
      <c r="R16" s="482"/>
      <c r="S16" s="482"/>
      <c r="T16" s="482"/>
      <c r="U16" s="482"/>
      <c r="V16" s="482"/>
      <c r="W16" s="482"/>
      <c r="X16" s="482"/>
      <c r="Y16" s="482"/>
      <c r="Z16" s="482"/>
      <c r="AA16" s="482"/>
      <c r="AB16" s="482"/>
      <c r="AC16" s="482"/>
      <c r="AD16" s="482"/>
      <c r="AE16" s="482"/>
      <c r="AF16" s="482"/>
      <c r="AG16" s="482"/>
      <c r="AH16" s="482"/>
      <c r="AI16" s="482">
        <v>1073.1209489201185</v>
      </c>
      <c r="AJ16" s="482">
        <v>803.7071353398178</v>
      </c>
      <c r="AK16" s="482">
        <v>919.00737058003665</v>
      </c>
      <c r="AL16" s="482">
        <v>924.12053452755345</v>
      </c>
      <c r="AM16" s="482">
        <v>837.34251550006411</v>
      </c>
      <c r="AN16" s="482">
        <v>878.51035199757541</v>
      </c>
      <c r="AO16" s="482">
        <v>1002.8280327794006</v>
      </c>
      <c r="AP16" s="482">
        <v>695.69367035302889</v>
      </c>
      <c r="AQ16" s="482">
        <v>821.46260981424348</v>
      </c>
      <c r="AR16" s="482">
        <v>796.35030560737414</v>
      </c>
      <c r="AS16" s="482">
        <v>589.87513374016078</v>
      </c>
      <c r="AT16" s="482">
        <v>677.60235431615035</v>
      </c>
      <c r="AU16" s="482">
        <v>648.10374398230101</v>
      </c>
      <c r="AV16" s="482">
        <v>413.44254130832223</v>
      </c>
      <c r="AW16" s="482">
        <v>504.68503318326231</v>
      </c>
      <c r="AX16" s="482">
        <v>387.45286073327384</v>
      </c>
      <c r="AY16" s="482">
        <v>316.44158631014227</v>
      </c>
      <c r="AZ16" s="482">
        <v>348.43084321768418</v>
      </c>
      <c r="BA16" s="482">
        <v>263.33272795433419</v>
      </c>
      <c r="BB16" s="482">
        <v>268.41879878217543</v>
      </c>
      <c r="BC16" s="482">
        <v>265.87838507037088</v>
      </c>
      <c r="BD16" s="482">
        <v>230.53762258301413</v>
      </c>
      <c r="BE16" s="482">
        <v>208.03162185779996</v>
      </c>
      <c r="BF16" s="482">
        <v>218.79241854227698</v>
      </c>
      <c r="BG16" s="482">
        <v>163.05441537613166</v>
      </c>
      <c r="BH16" s="482">
        <v>135.97690861177796</v>
      </c>
      <c r="BI16" s="482">
        <v>148.22564492097987</v>
      </c>
      <c r="BJ16" s="482">
        <v>165.97094130976654</v>
      </c>
      <c r="BK16" s="482">
        <v>415.02588844995842</v>
      </c>
      <c r="BL16" s="482">
        <v>236.96978322910786</v>
      </c>
      <c r="BM16" s="482">
        <v>143.40037302957674</v>
      </c>
      <c r="BN16" s="482">
        <v>138.64782878473042</v>
      </c>
      <c r="BO16" s="482">
        <v>141.72019717227639</v>
      </c>
      <c r="BP16" s="482">
        <v>98.049446967975328</v>
      </c>
      <c r="BQ16" s="482">
        <v>114.47768179467651</v>
      </c>
      <c r="BR16" s="482">
        <v>105.70190497431204</v>
      </c>
      <c r="BS16" s="482">
        <v>81.219695173121039</v>
      </c>
      <c r="BT16" s="482">
        <v>73.411794503884224</v>
      </c>
      <c r="BU16" s="482">
        <v>77.073122916676411</v>
      </c>
      <c r="BV16" s="482">
        <v>72.929243929635319</v>
      </c>
      <c r="BW16" s="482">
        <v>67.157734830632961</v>
      </c>
      <c r="BX16" s="482">
        <v>69.911564692543777</v>
      </c>
      <c r="BY16" s="482">
        <v>69.112406639805513</v>
      </c>
      <c r="BZ16" s="482">
        <v>64.877078190715551</v>
      </c>
      <c r="CA16" s="482">
        <v>66.864358630802116</v>
      </c>
      <c r="CB16" s="482">
        <v>58.828610554402154</v>
      </c>
      <c r="CC16" s="482">
        <v>50.311977430901486</v>
      </c>
      <c r="CD16" s="482">
        <v>54.323654126629265</v>
      </c>
      <c r="CE16" s="482">
        <v>52.074425169053001</v>
      </c>
      <c r="CF16" s="482">
        <v>45.91836652930828</v>
      </c>
      <c r="CG16" s="482">
        <v>48.756167740279146</v>
      </c>
      <c r="CH16" s="482">
        <v>53.591046338333548</v>
      </c>
      <c r="CI16" s="482">
        <v>55.549390415043035</v>
      </c>
      <c r="CJ16" s="482">
        <v>54.528529861396557</v>
      </c>
      <c r="CK16" s="482">
        <v>54.018841511008659</v>
      </c>
      <c r="CL16" s="482">
        <v>80.881740803940843</v>
      </c>
      <c r="CM16" s="482">
        <v>64.909365377880476</v>
      </c>
      <c r="CN16" s="482">
        <v>103.69490676882279</v>
      </c>
      <c r="CO16" s="482">
        <v>60.181924999509</v>
      </c>
      <c r="CP16" s="482">
        <v>76.193198377202336</v>
      </c>
      <c r="CQ16" s="482">
        <v>57.201011666197871</v>
      </c>
      <c r="CR16" s="482">
        <v>57.448926063581126</v>
      </c>
      <c r="CS16" s="482">
        <v>57.257079273458864</v>
      </c>
      <c r="CT16" s="482">
        <v>45.126477590166374</v>
      </c>
      <c r="CU16" s="482">
        <v>46.859743168010731</v>
      </c>
      <c r="CV16" s="482">
        <v>45.950055654627583</v>
      </c>
      <c r="CW16" s="482">
        <v>38.323046798655213</v>
      </c>
      <c r="CX16" s="482">
        <v>38.682086178936196</v>
      </c>
      <c r="CY16" s="482">
        <v>38.554391723029973</v>
      </c>
      <c r="CZ16" s="482">
        <v>37.499975176392084</v>
      </c>
      <c r="DA16" s="482">
        <v>31.79306099983711</v>
      </c>
      <c r="DB16" s="482">
        <v>34.350469698013598</v>
      </c>
      <c r="DC16" s="482">
        <v>33.749288797792786</v>
      </c>
      <c r="DD16" s="482">
        <v>32.365512209318766</v>
      </c>
      <c r="DE16" s="482">
        <v>33.080206753552979</v>
      </c>
      <c r="DF16" s="482">
        <v>30.300597767075374</v>
      </c>
      <c r="DG16" s="482">
        <v>97.327885157498926</v>
      </c>
      <c r="DH16" s="1244">
        <v>45.579895161172111</v>
      </c>
      <c r="DI16" s="482">
        <v>29.297864520986952</v>
      </c>
      <c r="DJ16" s="482">
        <v>31.896010362784001</v>
      </c>
      <c r="DK16" s="1244">
        <v>30.430425594299635</v>
      </c>
      <c r="DL16" s="482">
        <v>23.80631583167678</v>
      </c>
      <c r="DM16" s="482">
        <v>29.175455560271409</v>
      </c>
      <c r="DN16" s="1244">
        <v>26.125266512591658</v>
      </c>
      <c r="DO16" s="482">
        <v>26.115043084602579</v>
      </c>
      <c r="DP16" s="482">
        <v>22.712190600399712</v>
      </c>
      <c r="DQ16" s="1244">
        <v>24.249834542114453</v>
      </c>
      <c r="DR16" s="482">
        <v>19.935124812020302</v>
      </c>
      <c r="DS16" s="482">
        <v>20.58203102471283</v>
      </c>
      <c r="DT16" s="1244">
        <v>20.23014468783871</v>
      </c>
      <c r="DU16" s="482">
        <v>19.172752959848715</v>
      </c>
      <c r="DV16" s="482">
        <v>20.357740851322077</v>
      </c>
      <c r="DW16" s="1244">
        <v>19.833317359497208</v>
      </c>
      <c r="DX16" s="482">
        <v>21.000635943962134</v>
      </c>
      <c r="DY16" s="482">
        <v>18.501597517835172</v>
      </c>
      <c r="DZ16" s="1244">
        <v>19.734034614620974</v>
      </c>
      <c r="EA16" s="482">
        <v>17.376877299844544</v>
      </c>
      <c r="EB16" s="482">
        <v>16.859410255616996</v>
      </c>
      <c r="EC16" s="1244">
        <v>17.112460837636043</v>
      </c>
      <c r="ED16" s="482">
        <v>15.957313424944275</v>
      </c>
      <c r="EE16" s="482">
        <v>15.472979338211193</v>
      </c>
      <c r="EF16" s="1244">
        <v>15.708645886975614</v>
      </c>
      <c r="EG16" s="482">
        <v>14.422900063723331</v>
      </c>
      <c r="EH16" s="482">
        <v>13.977413039246978</v>
      </c>
      <c r="EI16" s="1244">
        <v>14.19030084964297</v>
      </c>
      <c r="EJ16" s="482">
        <v>13.046138461624938</v>
      </c>
      <c r="EK16" s="482">
        <v>12.586074736922802</v>
      </c>
      <c r="EL16" s="1244">
        <v>12.777771289403599</v>
      </c>
      <c r="EM16" s="482">
        <v>11.804470086463439</v>
      </c>
      <c r="EN16" s="482">
        <v>11.380025123120038</v>
      </c>
      <c r="EO16" s="1244">
        <v>11.553352520966104</v>
      </c>
      <c r="EP16" s="482">
        <v>10.703874382202487</v>
      </c>
      <c r="EQ16" s="482">
        <v>10.310882528352289</v>
      </c>
      <c r="ER16" s="1244">
        <v>10.467925981139132</v>
      </c>
      <c r="ES16" s="482">
        <v>9.6891478355558398</v>
      </c>
      <c r="ET16" s="482">
        <v>9.325079056234804</v>
      </c>
      <c r="EU16" s="1244">
        <v>9.4671078892153506</v>
      </c>
      <c r="EV16" s="482">
        <v>8.7532886510234356</v>
      </c>
      <c r="EW16" s="482">
        <v>8.4158203427155396</v>
      </c>
      <c r="EX16" s="1244">
        <v>8.5440003972375091</v>
      </c>
      <c r="EY16" s="482">
        <v>7.8898674638949835</v>
      </c>
      <c r="EZ16" s="482">
        <v>7.5768672429810673</v>
      </c>
      <c r="FA16" s="1244">
        <v>7.69226933294508</v>
      </c>
      <c r="FE16"/>
      <c r="FF16"/>
      <c r="FG16"/>
      <c r="FH16"/>
      <c r="FI16"/>
      <c r="FJ16"/>
      <c r="FK16" s="35"/>
    </row>
    <row r="17" spans="1:167" s="236" customFormat="1" ht="13.35" customHeight="1">
      <c r="B17" s="485"/>
      <c r="C17" s="242"/>
      <c r="D17" s="243"/>
      <c r="E17" s="486"/>
      <c r="F17" s="486"/>
      <c r="G17" s="486"/>
      <c r="H17" s="486"/>
      <c r="I17" s="486"/>
      <c r="J17" s="486"/>
      <c r="K17" s="486"/>
      <c r="L17" s="486"/>
      <c r="M17" s="486"/>
      <c r="N17" s="486"/>
      <c r="O17" s="486"/>
      <c r="P17" s="486"/>
      <c r="Q17" s="486"/>
      <c r="R17" s="486"/>
      <c r="S17" s="486"/>
      <c r="T17" s="486"/>
      <c r="U17" s="486"/>
      <c r="V17" s="486"/>
      <c r="W17" s="486"/>
      <c r="X17" s="486"/>
      <c r="Y17" s="486"/>
      <c r="Z17" s="486"/>
      <c r="AA17" s="486"/>
      <c r="AB17" s="486"/>
      <c r="AC17" s="486"/>
      <c r="AD17" s="486"/>
      <c r="AE17" s="486"/>
      <c r="AF17" s="486"/>
      <c r="AG17" s="486"/>
      <c r="AH17" s="486"/>
      <c r="AI17" s="486"/>
      <c r="AJ17" s="486"/>
      <c r="AK17" s="486"/>
      <c r="AL17" s="486"/>
      <c r="AM17" s="486"/>
      <c r="AN17" s="486"/>
      <c r="AO17" s="486"/>
      <c r="AP17" s="486"/>
      <c r="AQ17" s="486"/>
      <c r="AR17" s="486"/>
      <c r="AS17" s="486"/>
      <c r="AT17" s="486"/>
      <c r="AU17" s="486"/>
      <c r="AV17" s="486"/>
      <c r="AW17" s="486"/>
      <c r="AX17" s="486"/>
      <c r="AY17" s="486"/>
      <c r="AZ17" s="486"/>
      <c r="BA17" s="486"/>
      <c r="BB17" s="486"/>
      <c r="BC17" s="486"/>
      <c r="BD17" s="486"/>
      <c r="BE17" s="486"/>
      <c r="BF17" s="486"/>
      <c r="BG17" s="486"/>
      <c r="BH17" s="486"/>
      <c r="BI17" s="486"/>
      <c r="BJ17" s="486"/>
      <c r="BK17" s="486"/>
      <c r="BL17" s="486"/>
      <c r="BM17" s="486"/>
      <c r="BN17" s="486"/>
      <c r="BO17" s="486"/>
      <c r="BP17" s="486"/>
      <c r="BQ17" s="486"/>
      <c r="BR17" s="486"/>
      <c r="BS17" s="486"/>
      <c r="BT17" s="486"/>
      <c r="BU17" s="486"/>
      <c r="BV17" s="486"/>
      <c r="BW17" s="486"/>
      <c r="BX17" s="486"/>
      <c r="BY17" s="487"/>
      <c r="BZ17" s="486"/>
      <c r="CA17" s="275"/>
      <c r="CB17" s="279"/>
      <c r="CC17" s="486"/>
      <c r="CD17" s="275"/>
      <c r="CE17" s="279"/>
      <c r="CF17" s="486"/>
      <c r="CG17" s="275"/>
      <c r="CH17" s="279"/>
      <c r="CI17" s="486"/>
      <c r="CJ17" s="275"/>
      <c r="CK17" s="279"/>
      <c r="CL17" s="486"/>
      <c r="CM17" s="486"/>
      <c r="CN17" s="486"/>
      <c r="CO17" s="486"/>
      <c r="CP17" s="486"/>
      <c r="CQ17" s="486"/>
      <c r="CR17" s="486"/>
      <c r="CS17" s="486"/>
      <c r="CT17" s="486"/>
      <c r="CU17" s="486"/>
      <c r="CV17" s="486"/>
      <c r="CW17" s="486"/>
      <c r="CX17" s="486"/>
      <c r="CY17" s="486"/>
      <c r="CZ17" s="486"/>
      <c r="DA17" s="486"/>
      <c r="DB17" s="486"/>
      <c r="DC17" s="486"/>
      <c r="DD17" s="486"/>
      <c r="DE17" s="486"/>
      <c r="DF17" s="486"/>
      <c r="DG17" s="486"/>
      <c r="DH17" s="1246"/>
      <c r="DI17" s="486"/>
      <c r="DJ17" s="486"/>
      <c r="DK17" s="1246"/>
      <c r="DL17" s="486"/>
      <c r="DM17" s="486"/>
      <c r="DN17" s="1246"/>
      <c r="DO17" s="486"/>
      <c r="DP17" s="486"/>
      <c r="DQ17" s="1246"/>
      <c r="DR17" s="486"/>
      <c r="DS17" s="486"/>
      <c r="DT17" s="1246"/>
      <c r="DU17" s="486"/>
      <c r="DV17" s="486"/>
      <c r="DW17" s="1246"/>
      <c r="DX17" s="486"/>
      <c r="DY17" s="486"/>
      <c r="DZ17" s="1246"/>
      <c r="EA17" s="486"/>
      <c r="EB17" s="486"/>
      <c r="EC17" s="1246"/>
      <c r="ED17" s="486"/>
      <c r="EE17" s="486"/>
      <c r="EF17" s="1246"/>
      <c r="EG17" s="486"/>
      <c r="EH17" s="486"/>
      <c r="EI17" s="1246"/>
      <c r="EJ17" s="486"/>
      <c r="EK17" s="486"/>
      <c r="EL17" s="1246"/>
      <c r="EM17" s="486"/>
      <c r="EN17" s="486"/>
      <c r="EO17" s="1246"/>
      <c r="EP17" s="486"/>
      <c r="EQ17" s="486"/>
      <c r="ER17" s="1246"/>
      <c r="ES17" s="486"/>
      <c r="ET17" s="486"/>
      <c r="EU17" s="1246"/>
      <c r="EV17" s="486"/>
      <c r="EW17" s="486"/>
      <c r="EX17" s="1246"/>
      <c r="EY17" s="486"/>
      <c r="EZ17" s="486"/>
      <c r="FA17" s="1246"/>
      <c r="FE17"/>
      <c r="FF17"/>
      <c r="FG17"/>
      <c r="FH17"/>
      <c r="FI17"/>
      <c r="FJ17"/>
      <c r="FK17" s="35"/>
    </row>
    <row r="18" spans="1:167" s="236" customFormat="1" ht="13.35" customHeight="1">
      <c r="B18" s="242" t="s">
        <v>415</v>
      </c>
      <c r="C18" s="242" t="s">
        <v>496</v>
      </c>
      <c r="D18" s="243"/>
      <c r="E18" s="482">
        <v>13056.28970646</v>
      </c>
      <c r="F18" s="482">
        <v>13056.28970646</v>
      </c>
      <c r="G18" s="482">
        <v>13056.28970646</v>
      </c>
      <c r="H18" s="482">
        <v>13056.28970646</v>
      </c>
      <c r="I18" s="482">
        <v>13056.28970646</v>
      </c>
      <c r="J18" s="482">
        <v>13056.28970646</v>
      </c>
      <c r="K18" s="482">
        <v>13056.28970646</v>
      </c>
      <c r="L18" s="482">
        <v>13056.28970646</v>
      </c>
      <c r="M18" s="482">
        <v>13056.28970646</v>
      </c>
      <c r="N18" s="482">
        <v>13056.28970646</v>
      </c>
      <c r="O18" s="482">
        <v>13056.28970646</v>
      </c>
      <c r="P18" s="482">
        <v>13056.28970646</v>
      </c>
      <c r="Q18" s="482">
        <v>13056.28970646</v>
      </c>
      <c r="R18" s="482">
        <v>13056.28970646</v>
      </c>
      <c r="S18" s="482">
        <v>13056.28970646</v>
      </c>
      <c r="T18" s="482">
        <v>13056.28970646</v>
      </c>
      <c r="U18" s="482">
        <v>13056.28970646</v>
      </c>
      <c r="V18" s="482">
        <v>13056.28970646</v>
      </c>
      <c r="W18" s="482">
        <v>13056.28970646</v>
      </c>
      <c r="X18" s="482">
        <v>13056.28970646</v>
      </c>
      <c r="Y18" s="482">
        <v>13056.28970646</v>
      </c>
      <c r="Z18" s="482">
        <v>13056.28970646</v>
      </c>
      <c r="AA18" s="482">
        <v>13056.28970646</v>
      </c>
      <c r="AB18" s="482">
        <v>13056.28970646</v>
      </c>
      <c r="AC18" s="482">
        <v>13056.28970646</v>
      </c>
      <c r="AD18" s="482">
        <v>13056.28970646</v>
      </c>
      <c r="AE18" s="482">
        <v>13056.28970646</v>
      </c>
      <c r="AF18" s="482">
        <v>13056.28970646</v>
      </c>
      <c r="AG18" s="482">
        <v>13056.28970646</v>
      </c>
      <c r="AH18" s="482">
        <v>13056.28970646</v>
      </c>
      <c r="AI18" s="482">
        <v>13057.73570646</v>
      </c>
      <c r="AJ18" s="482">
        <v>13055.418706460001</v>
      </c>
      <c r="AK18" s="482">
        <v>13055.418706460001</v>
      </c>
      <c r="AL18" s="482">
        <v>13046.73370646</v>
      </c>
      <c r="AM18" s="482">
        <v>13044.12170646</v>
      </c>
      <c r="AN18" s="482">
        <v>13044.12170646</v>
      </c>
      <c r="AO18" s="482">
        <v>13046.792706460001</v>
      </c>
      <c r="AP18" s="482">
        <v>13045.64770646</v>
      </c>
      <c r="AQ18" s="482">
        <v>13045.64770646</v>
      </c>
      <c r="AR18" s="482">
        <v>13045.810706460001</v>
      </c>
      <c r="AS18" s="482">
        <v>13039.77970646</v>
      </c>
      <c r="AT18" s="482">
        <v>13039.77970646</v>
      </c>
      <c r="AU18" s="482">
        <v>13035.95870646</v>
      </c>
      <c r="AV18" s="482">
        <v>13025.92070646</v>
      </c>
      <c r="AW18" s="482">
        <v>13025.92070646</v>
      </c>
      <c r="AX18" s="482">
        <v>13018.96070646</v>
      </c>
      <c r="AY18" s="482">
        <v>13021.078706460001</v>
      </c>
      <c r="AZ18" s="482">
        <v>13009.999706459999</v>
      </c>
      <c r="BA18" s="482">
        <v>13015.898706460001</v>
      </c>
      <c r="BB18" s="482">
        <v>13019.053706459999</v>
      </c>
      <c r="BC18" s="482">
        <v>13002.615706460001</v>
      </c>
      <c r="BD18" s="482">
        <v>13038.464706459999</v>
      </c>
      <c r="BE18" s="482">
        <v>13046.50270646</v>
      </c>
      <c r="BF18" s="482">
        <v>13025.702706460001</v>
      </c>
      <c r="BG18" s="482"/>
      <c r="BH18" s="482"/>
      <c r="BI18" s="482">
        <v>12968.562706459999</v>
      </c>
      <c r="BJ18" s="482">
        <v>12989.68070646</v>
      </c>
      <c r="BK18" s="482">
        <v>12995.28870646</v>
      </c>
      <c r="BL18" s="482">
        <v>12967.47470646</v>
      </c>
      <c r="BM18" s="482">
        <v>12984.29570646</v>
      </c>
      <c r="BN18" s="482">
        <v>13121.11270646</v>
      </c>
      <c r="BO18" s="482">
        <v>13092.096706460001</v>
      </c>
      <c r="BP18" s="482">
        <v>13100.766706460001</v>
      </c>
      <c r="BQ18" s="482">
        <v>13126.309706460001</v>
      </c>
      <c r="BR18" s="482">
        <v>13080.302706460001</v>
      </c>
      <c r="BS18" s="482">
        <v>13139.61170646</v>
      </c>
      <c r="BT18" s="482">
        <v>13120.293706460001</v>
      </c>
      <c r="BU18" s="482">
        <v>13071.92170646</v>
      </c>
      <c r="BV18" s="482">
        <v>13136.93170646</v>
      </c>
      <c r="BW18" s="482">
        <v>13130.72470646</v>
      </c>
      <c r="BX18" s="482">
        <v>13072.94170646</v>
      </c>
      <c r="BY18" s="482">
        <v>13104.830706459999</v>
      </c>
      <c r="BZ18" s="482">
        <v>13109.667706460001</v>
      </c>
      <c r="CA18" s="482">
        <v>13023.84270646</v>
      </c>
      <c r="CB18" s="482">
        <v>13045.17170646</v>
      </c>
      <c r="CC18" s="482">
        <v>13092.677706460001</v>
      </c>
      <c r="CD18" s="482">
        <v>13012.668706460001</v>
      </c>
      <c r="CE18" s="482">
        <v>12987.50270646</v>
      </c>
      <c r="CF18" s="482">
        <v>12949.34970646</v>
      </c>
      <c r="CG18" s="482">
        <v>12863.184706460001</v>
      </c>
      <c r="CH18" s="482">
        <v>12984.22770646</v>
      </c>
      <c r="CI18" s="482">
        <v>12974.115706460001</v>
      </c>
      <c r="CJ18" s="482">
        <v>12893.523706460001</v>
      </c>
      <c r="CK18" s="482">
        <v>13050.854706460001</v>
      </c>
      <c r="CL18" s="482">
        <v>13118.80570646</v>
      </c>
      <c r="CM18" s="482">
        <v>13040.847706460001</v>
      </c>
      <c r="CN18" s="482">
        <v>13185.678706459999</v>
      </c>
      <c r="CO18" s="482">
        <v>13164.703706460001</v>
      </c>
      <c r="CP18" s="482">
        <v>13127.76370646</v>
      </c>
      <c r="CQ18" s="482">
        <v>13156.431729150325</v>
      </c>
      <c r="CR18" s="482">
        <v>13122.096846269675</v>
      </c>
      <c r="CS18" s="482">
        <v>13050.631868959999</v>
      </c>
      <c r="CT18" s="482">
        <v>13094.988706460001</v>
      </c>
      <c r="CU18" s="482">
        <v>13078.88470646</v>
      </c>
      <c r="CV18" s="482">
        <v>12984.721706460001</v>
      </c>
      <c r="CW18" s="482">
        <v>13038.176266460001</v>
      </c>
      <c r="CX18" s="482">
        <v>13073.037318459999</v>
      </c>
      <c r="CY18" s="482">
        <v>12961.39587846</v>
      </c>
      <c r="CZ18" s="482">
        <v>13082.34415646</v>
      </c>
      <c r="DA18" s="482">
        <v>13007.13525646</v>
      </c>
      <c r="DB18" s="482">
        <v>12896.089706460001</v>
      </c>
      <c r="DC18" s="482">
        <v>13000.089706459999</v>
      </c>
      <c r="DD18" s="482">
        <v>13021.589206459999</v>
      </c>
      <c r="DE18" s="482">
        <v>12892.68920646</v>
      </c>
      <c r="DF18" s="482">
        <v>13067.69285449979</v>
      </c>
      <c r="DG18" s="482">
        <v>12941.645378420211</v>
      </c>
      <c r="DH18" s="1244">
        <v>12808.74852646</v>
      </c>
      <c r="DI18" s="482">
        <v>12451.19970646</v>
      </c>
      <c r="DJ18" s="482">
        <v>12375.649706460001</v>
      </c>
      <c r="DK18" s="1244">
        <v>12247.45970646</v>
      </c>
      <c r="DL18" s="482">
        <v>12388.54970646</v>
      </c>
      <c r="DM18" s="482">
        <v>12337.20970646</v>
      </c>
      <c r="DN18" s="1244">
        <v>12175.069706460001</v>
      </c>
      <c r="DO18" s="482">
        <v>12390.44970646</v>
      </c>
      <c r="DP18" s="482">
        <v>12312.579706460001</v>
      </c>
      <c r="DQ18" s="1244">
        <v>12152.139706460001</v>
      </c>
      <c r="DR18" s="482">
        <v>12358.059706460001</v>
      </c>
      <c r="DS18" s="482">
        <v>12328.909706460001</v>
      </c>
      <c r="DT18" s="1244">
        <v>12115.87970646</v>
      </c>
      <c r="DU18" s="482">
        <v>12452.09970646</v>
      </c>
      <c r="DV18" s="482">
        <v>12574.68970646</v>
      </c>
      <c r="DW18" s="1244">
        <v>12353.59970646</v>
      </c>
      <c r="DX18" s="482">
        <v>12665.989706460001</v>
      </c>
      <c r="DY18" s="482">
        <v>12735.346505687798</v>
      </c>
      <c r="DZ18" s="1244">
        <v>12532.146505687797</v>
      </c>
      <c r="EA18" s="482">
        <v>12927.375734378227</v>
      </c>
      <c r="EB18" s="482">
        <v>12924.657504683917</v>
      </c>
      <c r="EC18" s="1244">
        <v>12924.657504683917</v>
      </c>
      <c r="ED18" s="482">
        <v>12930.447130449149</v>
      </c>
      <c r="EE18" s="482">
        <v>12925.81929496277</v>
      </c>
      <c r="EF18" s="1244">
        <v>12925.81929496277</v>
      </c>
      <c r="EG18" s="482">
        <v>12928.684003259585</v>
      </c>
      <c r="EH18" s="482">
        <v>12916.91769632764</v>
      </c>
      <c r="EI18" s="1244">
        <v>12916.91769632764</v>
      </c>
      <c r="EJ18" s="482">
        <v>12863.997114489348</v>
      </c>
      <c r="EK18" s="482">
        <v>12794.243846833228</v>
      </c>
      <c r="EL18" s="1244">
        <v>12794.243846833228</v>
      </c>
      <c r="EM18" s="482">
        <v>12733.363894960992</v>
      </c>
      <c r="EN18" s="482">
        <v>12655.235821244385</v>
      </c>
      <c r="EO18" s="1244">
        <v>12655.235821244385</v>
      </c>
      <c r="EP18" s="482">
        <v>12585.316917224865</v>
      </c>
      <c r="EQ18" s="482">
        <v>12498.254342639095</v>
      </c>
      <c r="ER18" s="1244">
        <v>12498.254342639095</v>
      </c>
      <c r="ES18" s="482">
        <v>12417.530426596091</v>
      </c>
      <c r="ET18" s="482">
        <v>12320.61934016078</v>
      </c>
      <c r="EU18" s="1244">
        <v>12320.61934016078</v>
      </c>
      <c r="EV18" s="482">
        <v>12227.773866367337</v>
      </c>
      <c r="EW18" s="482">
        <v>12120.009803156992</v>
      </c>
      <c r="EX18" s="1244">
        <v>12120.009803156992</v>
      </c>
      <c r="EY18" s="482">
        <v>12013.577495629876</v>
      </c>
      <c r="EZ18" s="482">
        <v>11893.856410846913</v>
      </c>
      <c r="FA18" s="1244">
        <v>11893.856410846913</v>
      </c>
      <c r="FE18"/>
      <c r="FF18"/>
      <c r="FG18"/>
      <c r="FH18"/>
      <c r="FI18"/>
      <c r="FJ18"/>
      <c r="FK18" s="35"/>
    </row>
    <row r="19" spans="1:167" s="450" customFormat="1" ht="9" customHeight="1">
      <c r="C19" s="488"/>
      <c r="DH19" s="1247"/>
      <c r="DK19" s="1247"/>
      <c r="DN19" s="1247"/>
      <c r="DQ19" s="1247"/>
      <c r="DT19" s="1247"/>
      <c r="DW19" s="1247"/>
      <c r="DZ19" s="1247"/>
      <c r="EC19" s="1247"/>
      <c r="EF19" s="1247"/>
      <c r="EI19" s="1247"/>
      <c r="EL19" s="1247"/>
      <c r="EO19" s="1247"/>
      <c r="ER19" s="1247"/>
      <c r="EU19" s="1247"/>
      <c r="EX19" s="1247"/>
      <c r="FA19" s="1247"/>
      <c r="FE19"/>
      <c r="FF19"/>
      <c r="FG19"/>
      <c r="FH19"/>
      <c r="FI19"/>
      <c r="FJ19"/>
      <c r="FK19" s="35"/>
    </row>
    <row r="20" spans="1:167" s="236" customFormat="1" ht="13.35" customHeight="1">
      <c r="B20" s="242" t="s">
        <v>615</v>
      </c>
      <c r="C20" s="242" t="s">
        <v>485</v>
      </c>
      <c r="D20" s="243"/>
      <c r="E20" s="482"/>
      <c r="F20" s="482"/>
      <c r="G20" s="482"/>
      <c r="H20" s="482"/>
      <c r="I20" s="482"/>
      <c r="J20" s="482"/>
      <c r="K20" s="482"/>
      <c r="L20" s="482"/>
      <c r="M20" s="482"/>
      <c r="N20" s="482"/>
      <c r="O20" s="482"/>
      <c r="P20" s="482"/>
      <c r="Q20" s="482"/>
      <c r="R20" s="482"/>
      <c r="S20" s="482"/>
      <c r="T20" s="482"/>
      <c r="U20" s="482"/>
      <c r="V20" s="482"/>
      <c r="W20" s="482"/>
      <c r="X20" s="482"/>
      <c r="Y20" s="482"/>
      <c r="Z20" s="482"/>
      <c r="AA20" s="482"/>
      <c r="AB20" s="482"/>
      <c r="AC20" s="482"/>
      <c r="AD20" s="482"/>
      <c r="AE20" s="482"/>
      <c r="AF20" s="482"/>
      <c r="AG20" s="482"/>
      <c r="AH20" s="482"/>
      <c r="AI20" s="482">
        <f t="shared" ref="AI20:AR20" si="58">+(AI188/AI400)*100</f>
        <v>0</v>
      </c>
      <c r="AJ20" s="482">
        <f t="shared" si="58"/>
        <v>0</v>
      </c>
      <c r="AK20" s="482">
        <f t="shared" si="58"/>
        <v>0</v>
      </c>
      <c r="AL20" s="482">
        <f t="shared" si="58"/>
        <v>18.44448727833462</v>
      </c>
      <c r="AM20" s="482">
        <f t="shared" si="58"/>
        <v>12.791056283731683</v>
      </c>
      <c r="AN20" s="482">
        <f t="shared" si="58"/>
        <v>31.235543562066304</v>
      </c>
      <c r="AO20" s="482">
        <f t="shared" si="58"/>
        <v>3.9128758673862758</v>
      </c>
      <c r="AP20" s="482">
        <f t="shared" si="58"/>
        <v>8.0712063601797439</v>
      </c>
      <c r="AQ20" s="482">
        <f t="shared" si="58"/>
        <v>11.991842545741385</v>
      </c>
      <c r="AR20" s="482">
        <f t="shared" si="58"/>
        <v>7.6832968467949474</v>
      </c>
      <c r="AS20" s="482">
        <f t="shared" ref="AS20:BB20" si="59">+(AS188/AS400)*100</f>
        <v>19.693011103853692</v>
      </c>
      <c r="AT20" s="482">
        <f t="shared" si="59"/>
        <v>27.374001229256301</v>
      </c>
      <c r="AU20" s="482">
        <f t="shared" si="59"/>
        <v>17.246351539790908</v>
      </c>
      <c r="AV20" s="482">
        <f t="shared" si="59"/>
        <v>32.25181459406064</v>
      </c>
      <c r="AW20" s="482">
        <f t="shared" si="59"/>
        <v>49.608566213174889</v>
      </c>
      <c r="AX20" s="482">
        <f t="shared" si="59"/>
        <v>15.57567701816974</v>
      </c>
      <c r="AY20" s="482">
        <f t="shared" si="59"/>
        <v>5.3921924757351229</v>
      </c>
      <c r="AZ20" s="482">
        <f t="shared" si="59"/>
        <v>20.937163098391029</v>
      </c>
      <c r="BA20" s="482">
        <f t="shared" si="59"/>
        <v>18.099550237501326</v>
      </c>
      <c r="BB20" s="482">
        <f t="shared" si="59"/>
        <v>18.5412530333418</v>
      </c>
      <c r="BC20" s="482">
        <f t="shared" ref="BC20:BO20" si="60">+(BC188/BC400)*100</f>
        <v>36.643011730795919</v>
      </c>
      <c r="BD20" s="482">
        <f t="shared" si="60"/>
        <v>-18.482109393754893</v>
      </c>
      <c r="BE20" s="482">
        <f t="shared" si="60"/>
        <v>19.963591277169641</v>
      </c>
      <c r="BF20" s="482">
        <f t="shared" si="60"/>
        <v>1.6496301254286885</v>
      </c>
      <c r="BG20" s="482">
        <f t="shared" si="60"/>
        <v>85.065885141944278</v>
      </c>
      <c r="BH20" s="482">
        <f t="shared" si="60"/>
        <v>58.471787396552656</v>
      </c>
      <c r="BI20" s="482">
        <f t="shared" si="60"/>
        <v>143.40156498877735</v>
      </c>
      <c r="BJ20" s="482">
        <f t="shared" si="60"/>
        <v>23.011751115912197</v>
      </c>
      <c r="BK20" s="482">
        <f t="shared" si="60"/>
        <v>63.908911697329316</v>
      </c>
      <c r="BL20" s="482">
        <f t="shared" si="60"/>
        <v>86.926088326268484</v>
      </c>
      <c r="BM20" s="482">
        <f t="shared" si="60"/>
        <v>61.578529530627669</v>
      </c>
      <c r="BN20" s="482">
        <f t="shared" si="60"/>
        <v>121.24731708762928</v>
      </c>
      <c r="BO20" s="482">
        <f t="shared" si="60"/>
        <v>182.82584661825695</v>
      </c>
      <c r="BP20" s="482">
        <f t="shared" ref="BP20:DK20" si="61">+(BP188/BP400)*100</f>
        <v>42.635522017141888</v>
      </c>
      <c r="BQ20" s="482">
        <f t="shared" si="61"/>
        <v>48.867031375321275</v>
      </c>
      <c r="BR20" s="482">
        <f t="shared" si="61"/>
        <v>91.502553392463156</v>
      </c>
      <c r="BS20" s="482">
        <f t="shared" si="61"/>
        <v>32.274097323452644</v>
      </c>
      <c r="BT20" s="482">
        <f t="shared" si="61"/>
        <v>109.90144342530964</v>
      </c>
      <c r="BU20" s="482">
        <f t="shared" si="61"/>
        <v>142.18090106450961</v>
      </c>
      <c r="BV20" s="482">
        <f t="shared" si="61"/>
        <v>53.963242476944096</v>
      </c>
      <c r="BW20" s="482">
        <f t="shared" si="61"/>
        <v>97.274033944908211</v>
      </c>
      <c r="BX20" s="482">
        <f t="shared" si="61"/>
        <v>151.5545219131333</v>
      </c>
      <c r="BY20" s="482">
        <f t="shared" si="61"/>
        <v>102.99011648288017</v>
      </c>
      <c r="BZ20" s="482">
        <f t="shared" si="61"/>
        <v>159.66855201000226</v>
      </c>
      <c r="CA20" s="482">
        <f t="shared" si="61"/>
        <v>261.92057655251728</v>
      </c>
      <c r="CB20" s="482">
        <f t="shared" si="61"/>
        <v>151.38729605983619</v>
      </c>
      <c r="CC20" s="482">
        <f t="shared" si="61"/>
        <v>165.91729577730817</v>
      </c>
      <c r="CD20" s="482">
        <f t="shared" si="61"/>
        <v>317.35051821286123</v>
      </c>
      <c r="CE20" s="482">
        <f t="shared" si="61"/>
        <v>159.15302605643006</v>
      </c>
      <c r="CF20" s="482">
        <f t="shared" si="61"/>
        <v>194.5136461501028</v>
      </c>
      <c r="CG20" s="482">
        <f t="shared" si="61"/>
        <v>353.18554137071931</v>
      </c>
      <c r="CH20" s="482">
        <f t="shared" si="61"/>
        <v>118.37672148982628</v>
      </c>
      <c r="CI20" s="482">
        <f t="shared" si="61"/>
        <v>176.50859887136644</v>
      </c>
      <c r="CJ20" s="482">
        <f t="shared" si="61"/>
        <v>295.02063610666966</v>
      </c>
      <c r="CK20" s="482">
        <f t="shared" si="61"/>
        <v>49.980620181669266</v>
      </c>
      <c r="CL20" s="482">
        <f t="shared" si="61"/>
        <v>72.242064696860297</v>
      </c>
      <c r="CM20" s="482">
        <f t="shared" si="61"/>
        <v>122.22170599412499</v>
      </c>
      <c r="CN20" s="482">
        <f t="shared" si="61"/>
        <v>58.915436077382878</v>
      </c>
      <c r="CO20" s="482">
        <f t="shared" si="61"/>
        <v>136.64600702070979</v>
      </c>
      <c r="CP20" s="482">
        <f t="shared" si="61"/>
        <v>195.48661159627903</v>
      </c>
      <c r="CQ20" s="482">
        <f t="shared" si="61"/>
        <v>157.37847516282028</v>
      </c>
      <c r="CR20" s="482">
        <f t="shared" si="61"/>
        <v>172.58837847364933</v>
      </c>
      <c r="CS20" s="482">
        <f t="shared" si="61"/>
        <v>329.97644842739822</v>
      </c>
      <c r="CT20" s="482">
        <f t="shared" si="61"/>
        <v>128.92197874656142</v>
      </c>
      <c r="CU20" s="482">
        <f t="shared" si="61"/>
        <v>194.54146151891601</v>
      </c>
      <c r="CV20" s="482">
        <f t="shared" si="61"/>
        <v>323.64099646327088</v>
      </c>
      <c r="CW20" s="482">
        <f t="shared" si="61"/>
        <v>178.1052700055138</v>
      </c>
      <c r="CX20" s="482">
        <f t="shared" si="61"/>
        <v>274.41998034652147</v>
      </c>
      <c r="CY20" s="482">
        <f t="shared" si="61"/>
        <v>452.48974394088731</v>
      </c>
      <c r="CZ20" s="482">
        <f t="shared" si="61"/>
        <v>161.23958347936792</v>
      </c>
      <c r="DA20" s="482">
        <f t="shared" si="61"/>
        <v>287.28462945250362</v>
      </c>
      <c r="DB20" s="482">
        <f t="shared" si="61"/>
        <v>448.61346544342291</v>
      </c>
      <c r="DC20" s="482">
        <f t="shared" si="61"/>
        <v>284.48046715679936</v>
      </c>
      <c r="DD20" s="482">
        <f t="shared" si="61"/>
        <v>228.4468123382479</v>
      </c>
      <c r="DE20" s="482">
        <f t="shared" si="61"/>
        <v>512.90124509496411</v>
      </c>
      <c r="DF20" s="482">
        <f t="shared" si="61"/>
        <v>219.36097621862331</v>
      </c>
      <c r="DG20" s="482">
        <f t="shared" si="61"/>
        <v>-462.91945996789207</v>
      </c>
      <c r="DH20" s="1244">
        <f t="shared" si="61"/>
        <v>-264.57944669396829</v>
      </c>
      <c r="DI20" s="482">
        <f t="shared" si="61"/>
        <v>133.19406574330591</v>
      </c>
      <c r="DJ20" s="482">
        <f t="shared" si="61"/>
        <v>279.56556004533081</v>
      </c>
      <c r="DK20" s="1244">
        <f t="shared" si="61"/>
        <v>412.81669568197145</v>
      </c>
      <c r="DL20" s="482">
        <f t="shared" ref="DL20:DQ20" si="62">+(DL188/DL400)*100</f>
        <v>190.12595601224587</v>
      </c>
      <c r="DM20" s="482">
        <f t="shared" si="62"/>
        <v>382.40759044551515</v>
      </c>
      <c r="DN20" s="1244">
        <f t="shared" si="62"/>
        <v>572.56517685055564</v>
      </c>
      <c r="DO20" s="482">
        <f t="shared" si="62"/>
        <v>135.45309676564</v>
      </c>
      <c r="DP20" s="482">
        <f t="shared" si="62"/>
        <v>414.73907714530765</v>
      </c>
      <c r="DQ20" s="1244">
        <f t="shared" si="62"/>
        <v>549.95038989191187</v>
      </c>
      <c r="DR20" s="482">
        <f t="shared" ref="DR20:DW20" si="63">+(DR188/DR400)*100</f>
        <v>239.09258413639117</v>
      </c>
      <c r="DS20" s="482">
        <f t="shared" si="63"/>
        <v>352.66530265205074</v>
      </c>
      <c r="DT20" s="1244">
        <f t="shared" si="63"/>
        <v>591.75177023843378</v>
      </c>
      <c r="DU20" s="482">
        <f t="shared" si="63"/>
        <v>167.33126666784617</v>
      </c>
      <c r="DV20" s="482">
        <f t="shared" si="63"/>
        <v>194.56645520121842</v>
      </c>
      <c r="DW20" s="1244">
        <f t="shared" si="63"/>
        <v>361.88838844246686</v>
      </c>
      <c r="DX20" s="482">
        <f t="shared" ref="DX20:EC20" si="64">+(DX188/DX400)*100</f>
        <v>208.73691234436683</v>
      </c>
      <c r="DY20" s="482">
        <f t="shared" si="64"/>
        <v>247.13578181483692</v>
      </c>
      <c r="DZ20" s="1244">
        <f t="shared" si="64"/>
        <v>455.81009192975148</v>
      </c>
      <c r="EA20" s="482">
        <f t="shared" si="64"/>
        <v>457.85277016836767</v>
      </c>
      <c r="EB20" s="482">
        <f t="shared" si="64"/>
        <v>440.57271715599853</v>
      </c>
      <c r="EC20" s="1244">
        <f t="shared" si="64"/>
        <v>898.45560290511412</v>
      </c>
      <c r="ED20" s="482">
        <f t="shared" ref="ED20:EL20" si="65">+(ED188/ED400)*100</f>
        <v>436.05003951577112</v>
      </c>
      <c r="EE20" s="482">
        <f t="shared" si="65"/>
        <v>477.98494184097251</v>
      </c>
      <c r="EF20" s="1244">
        <f t="shared" si="65"/>
        <v>913.96343363093331</v>
      </c>
      <c r="EG20" s="482">
        <f t="shared" si="65"/>
        <v>481.86507062102095</v>
      </c>
      <c r="EH20" s="482">
        <f t="shared" si="65"/>
        <v>532.17275586819551</v>
      </c>
      <c r="EI20" s="1244">
        <f t="shared" si="65"/>
        <v>1014.0378264892165</v>
      </c>
      <c r="EJ20" s="482">
        <f t="shared" si="65"/>
        <v>534.77641675877885</v>
      </c>
      <c r="EK20" s="482">
        <f t="shared" si="65"/>
        <v>586.82877337467028</v>
      </c>
      <c r="EL20" s="1244">
        <f t="shared" si="65"/>
        <v>1121.6051901334492</v>
      </c>
      <c r="EM20" s="482">
        <f t="shared" ref="EM20:ER20" si="66">+(EM188/EM400)*100</f>
        <v>590.92504090319994</v>
      </c>
      <c r="EN20" s="482">
        <f t="shared" si="66"/>
        <v>644.52308129827577</v>
      </c>
      <c r="EO20" s="1244">
        <f t="shared" si="66"/>
        <v>1235.4481222014756</v>
      </c>
      <c r="EP20" s="482">
        <f t="shared" si="66"/>
        <v>651.2583124464353</v>
      </c>
      <c r="EQ20" s="482">
        <f t="shared" si="66"/>
        <v>706.18194598430455</v>
      </c>
      <c r="ER20" s="1244">
        <f t="shared" si="66"/>
        <v>1357.4402584307397</v>
      </c>
      <c r="ES20" s="482">
        <f t="shared" ref="ES20:EX20" si="67">+(ES188/ES400)*100</f>
        <v>717.52235538869854</v>
      </c>
      <c r="ET20" s="482">
        <f t="shared" si="67"/>
        <v>773.57604470786509</v>
      </c>
      <c r="EU20" s="1244">
        <f t="shared" si="67"/>
        <v>1491.0984000965636</v>
      </c>
      <c r="EV20" s="482">
        <f t="shared" si="67"/>
        <v>790.298310449989</v>
      </c>
      <c r="EW20" s="482">
        <f t="shared" si="67"/>
        <v>847.24058415942807</v>
      </c>
      <c r="EX20" s="1244">
        <f t="shared" si="67"/>
        <v>1637.538894609417</v>
      </c>
      <c r="EY20" s="482">
        <f t="shared" ref="EY20:FA20" si="68">+(EY188/EY400)*100</f>
        <v>870.22547464954152</v>
      </c>
      <c r="EZ20" s="482">
        <f t="shared" si="68"/>
        <v>927.7622430560175</v>
      </c>
      <c r="FA20" s="1244">
        <f t="shared" si="68"/>
        <v>1797.9877177055591</v>
      </c>
      <c r="FE20"/>
      <c r="FF20"/>
      <c r="FG20"/>
      <c r="FH20"/>
      <c r="FI20"/>
      <c r="FJ20"/>
      <c r="FK20" s="35"/>
    </row>
    <row r="21" spans="1:167" s="236" customFormat="1" ht="13.35" customHeight="1">
      <c r="B21" s="242" t="s">
        <v>616</v>
      </c>
      <c r="C21" s="242" t="s">
        <v>130</v>
      </c>
      <c r="D21" s="243"/>
      <c r="E21" s="482"/>
      <c r="F21" s="482"/>
      <c r="G21" s="482"/>
      <c r="H21" s="482"/>
      <c r="I21" s="482"/>
      <c r="J21" s="482"/>
      <c r="K21" s="482"/>
      <c r="L21" s="482"/>
      <c r="M21" s="482"/>
      <c r="N21" s="482"/>
      <c r="O21" s="482"/>
      <c r="P21" s="482"/>
      <c r="Q21" s="482"/>
      <c r="R21" s="482"/>
      <c r="S21" s="482"/>
      <c r="T21" s="482"/>
      <c r="U21" s="482"/>
      <c r="V21" s="482"/>
      <c r="W21" s="482"/>
      <c r="X21" s="482"/>
      <c r="Y21" s="482"/>
      <c r="Z21" s="482"/>
      <c r="AA21" s="482"/>
      <c r="AB21" s="482"/>
      <c r="AC21" s="482"/>
      <c r="AD21" s="482"/>
      <c r="AE21" s="482"/>
      <c r="AF21" s="482"/>
      <c r="AG21" s="482"/>
      <c r="AH21" s="482"/>
      <c r="AI21" s="482"/>
      <c r="AJ21" s="482"/>
      <c r="AK21" s="482"/>
      <c r="AL21" s="482">
        <v>540.05296269202631</v>
      </c>
      <c r="AM21" s="482">
        <v>778.7472573839666</v>
      </c>
      <c r="AN21" s="482">
        <v>637.79904967602602</v>
      </c>
      <c r="AO21" s="482">
        <v>2545.6979310344832</v>
      </c>
      <c r="AP21" s="482">
        <v>1234.1401713062098</v>
      </c>
      <c r="AQ21" s="482">
        <v>1661.2959955077813</v>
      </c>
      <c r="AR21" s="482">
        <v>1296.4486728317918</v>
      </c>
      <c r="AS21" s="482">
        <v>505.81396351575455</v>
      </c>
      <c r="AT21" s="482">
        <v>727.7708447937132</v>
      </c>
      <c r="AU21" s="482">
        <v>577.57143457373627</v>
      </c>
      <c r="AV21" s="482">
        <v>308.85083910392984</v>
      </c>
      <c r="AW21" s="482">
        <v>401.58386989844462</v>
      </c>
      <c r="AX21" s="482">
        <v>639.52276285519008</v>
      </c>
      <c r="AY21" s="482">
        <v>1847.3005266085215</v>
      </c>
      <c r="AZ21" s="482">
        <v>951.51381810322516</v>
      </c>
      <c r="BA21" s="482">
        <v>550.34516710593869</v>
      </c>
      <c r="BB21" s="482">
        <v>537.23445670514479</v>
      </c>
      <c r="BC21" s="482">
        <v>543.67801823606476</v>
      </c>
      <c r="BD21" s="482">
        <v>-538.95363282320056</v>
      </c>
      <c r="BE21" s="482">
        <v>498.95832176204681</v>
      </c>
      <c r="BF21" s="482">
        <v>12076.646572408394</v>
      </c>
      <c r="BG21" s="482">
        <v>117.09747078254325</v>
      </c>
      <c r="BH21" s="482">
        <v>170.35566114038912</v>
      </c>
      <c r="BI21" s="482">
        <v>138.9245647462711</v>
      </c>
      <c r="BJ21" s="482">
        <v>432.86579755819429</v>
      </c>
      <c r="BK21" s="482">
        <v>155.86245697900469</v>
      </c>
      <c r="BL21" s="482">
        <v>229.18321051356577</v>
      </c>
      <c r="BM21" s="482">
        <v>161.76092667243117</v>
      </c>
      <c r="BN21" s="482">
        <v>82.154395159118195</v>
      </c>
      <c r="BO21" s="482">
        <v>108.96708735935697</v>
      </c>
      <c r="BP21" s="482">
        <v>233.63147743318626</v>
      </c>
      <c r="BQ21" s="482">
        <v>203.83886067264734</v>
      </c>
      <c r="BR21" s="482">
        <v>217.72070025797692</v>
      </c>
      <c r="BS21" s="482">
        <v>308.63760185669491</v>
      </c>
      <c r="BT21" s="482">
        <v>90.635752266253149</v>
      </c>
      <c r="BU21" s="482">
        <v>140.11727208678394</v>
      </c>
      <c r="BV21" s="482">
        <v>184.58861148412009</v>
      </c>
      <c r="BW21" s="482">
        <v>102.40142817189506</v>
      </c>
      <c r="BX21" s="482">
        <v>131.45104315276529</v>
      </c>
      <c r="BY21" s="482">
        <v>96.718018584392965</v>
      </c>
      <c r="BZ21" s="482">
        <v>62.385484646820146</v>
      </c>
      <c r="CA21" s="482">
        <v>76.061225361595348</v>
      </c>
      <c r="CB21" s="482">
        <v>65.798123483643508</v>
      </c>
      <c r="CC21" s="482">
        <v>60.035935092442159</v>
      </c>
      <c r="CD21" s="482">
        <v>62.776012190524995</v>
      </c>
      <c r="CE21" s="482">
        <v>62.587562717583388</v>
      </c>
      <c r="CF21" s="482">
        <v>51.209774723534146</v>
      </c>
      <c r="CG21" s="482">
        <v>56.406612577293984</v>
      </c>
      <c r="CH21" s="482">
        <v>84.146611551968718</v>
      </c>
      <c r="CI21" s="482">
        <v>56.433511249269181</v>
      </c>
      <c r="CJ21" s="482">
        <v>67.527479646531802</v>
      </c>
      <c r="CK21" s="482">
        <v>199.29724688877039</v>
      </c>
      <c r="CL21" s="482">
        <v>137.88365603610598</v>
      </c>
      <c r="CM21" s="482">
        <v>162.99887027397261</v>
      </c>
      <c r="CN21" s="482">
        <v>169.07283834607719</v>
      </c>
      <c r="CO21" s="482">
        <v>72.896385464745634</v>
      </c>
      <c r="CP21" s="482">
        <v>101.9097923756698</v>
      </c>
      <c r="CQ21" s="482">
        <v>63.293280670654418</v>
      </c>
      <c r="CR21" s="482">
        <v>57.715357708867046</v>
      </c>
      <c r="CS21" s="482">
        <v>60.374005766000174</v>
      </c>
      <c r="CT21" s="482">
        <v>77.263784630405212</v>
      </c>
      <c r="CU21" s="482">
        <v>51.202452794523978</v>
      </c>
      <c r="CV21" s="482">
        <v>61.555860406148796</v>
      </c>
      <c r="CW21" s="482">
        <v>55.927598322562979</v>
      </c>
      <c r="CX21" s="482">
        <v>36.298377353652718</v>
      </c>
      <c r="CY21" s="482">
        <v>44.02751723495988</v>
      </c>
      <c r="CZ21" s="482">
        <v>61.777634158144551</v>
      </c>
      <c r="DA21" s="482">
        <v>34.672930532285363</v>
      </c>
      <c r="DB21" s="482">
        <v>44.407940319643551</v>
      </c>
      <c r="DC21" s="482">
        <v>35.014706280377823</v>
      </c>
      <c r="DD21" s="482">
        <v>43.603147262354128</v>
      </c>
      <c r="DE21" s="482">
        <v>38.841785217954431</v>
      </c>
      <c r="DF21" s="482">
        <v>45.409170636041011</v>
      </c>
      <c r="DG21" s="482">
        <v>-21.517781949998152</v>
      </c>
      <c r="DH21" s="1244">
        <v>-75.296854116726706</v>
      </c>
      <c r="DI21" s="482">
        <v>74.785614091824669</v>
      </c>
      <c r="DJ21" s="482">
        <v>35.630282923207176</v>
      </c>
      <c r="DK21" s="1244">
        <v>48.258707092960329</v>
      </c>
      <c r="DL21" s="482">
        <v>52.391584026320004</v>
      </c>
      <c r="DM21" s="482">
        <v>26.048123125367795</v>
      </c>
      <c r="DN21" s="1244">
        <v>34.794292083187258</v>
      </c>
      <c r="DO21" s="482">
        <v>73.538370386868692</v>
      </c>
      <c r="DP21" s="482">
        <v>24.017510162202711</v>
      </c>
      <c r="DQ21" s="1244">
        <v>36.225085691666663</v>
      </c>
      <c r="DR21" s="482">
        <v>41.66168530897518</v>
      </c>
      <c r="DS21" s="482">
        <v>28.244910755589117</v>
      </c>
      <c r="DT21" s="1244">
        <v>33.666143477649179</v>
      </c>
      <c r="DU21" s="482">
        <v>59.528623659872608</v>
      </c>
      <c r="DV21" s="482">
        <v>51.195875412842604</v>
      </c>
      <c r="DW21" s="1244">
        <v>55.050122181986524</v>
      </c>
      <c r="DX21" s="482">
        <v>47.720357114254384</v>
      </c>
      <c r="DY21" s="482">
        <v>40.305778171220638</v>
      </c>
      <c r="DZ21" s="1244">
        <v>43.706798846108782</v>
      </c>
      <c r="EA21" s="482">
        <v>21.755902003906211</v>
      </c>
      <c r="EB21" s="482">
        <v>22.609207543083055</v>
      </c>
      <c r="EC21" s="1244">
        <v>22.173605390831941</v>
      </c>
      <c r="ED21" s="482">
        <v>22.843708513503596</v>
      </c>
      <c r="EE21" s="482">
        <v>20.839568630833696</v>
      </c>
      <c r="EF21" s="1244">
        <v>21.797370952637788</v>
      </c>
      <c r="EG21" s="482">
        <v>20.671761883803704</v>
      </c>
      <c r="EH21" s="482">
        <v>18.717606059613967</v>
      </c>
      <c r="EI21" s="1244">
        <v>19.64620991405576</v>
      </c>
      <c r="EJ21" s="482">
        <v>18.626475827734751</v>
      </c>
      <c r="EK21" s="482">
        <v>16.974286967418756</v>
      </c>
      <c r="EL21" s="1244">
        <v>17.762043342211772</v>
      </c>
      <c r="EM21" s="482">
        <v>16.856621924119342</v>
      </c>
      <c r="EN21" s="482">
        <v>15.454838296768763</v>
      </c>
      <c r="EO21" s="1244">
        <v>16.125322983615447</v>
      </c>
      <c r="EP21" s="482">
        <v>15.295006312597772</v>
      </c>
      <c r="EQ21" s="482">
        <v>14.105429991014512</v>
      </c>
      <c r="ER21" s="1244">
        <v>14.676152321451481</v>
      </c>
      <c r="ES21" s="482">
        <v>13.882494287726958</v>
      </c>
      <c r="ET21" s="482">
        <v>12.876562127465689</v>
      </c>
      <c r="EU21" s="1244">
        <v>13.360620599358064</v>
      </c>
      <c r="EV21" s="482">
        <v>12.604101347917968</v>
      </c>
      <c r="EW21" s="482">
        <v>11.756991091122714</v>
      </c>
      <c r="EX21" s="1244">
        <v>12.16581790245157</v>
      </c>
      <c r="EY21" s="482">
        <v>11.446458751407512</v>
      </c>
      <c r="EZ21" s="482">
        <v>10.736586959164022</v>
      </c>
      <c r="FA21" s="1244">
        <v>11.080164677333158</v>
      </c>
      <c r="FE21"/>
      <c r="FF21"/>
      <c r="FG21"/>
      <c r="FH21"/>
      <c r="FI21"/>
      <c r="FJ21"/>
      <c r="FK21" s="35"/>
    </row>
    <row r="22" spans="1:167" s="236" customFormat="1" ht="13.35" customHeight="1">
      <c r="B22" s="242" t="s">
        <v>617</v>
      </c>
      <c r="C22" s="242" t="s">
        <v>485</v>
      </c>
      <c r="D22" s="243"/>
      <c r="E22" s="482">
        <f t="shared" ref="E22:N22" si="69">+E348</f>
        <v>0</v>
      </c>
      <c r="F22" s="482">
        <f t="shared" si="69"/>
        <v>0</v>
      </c>
      <c r="G22" s="482">
        <f t="shared" si="69"/>
        <v>0</v>
      </c>
      <c r="H22" s="482">
        <f t="shared" si="69"/>
        <v>0</v>
      </c>
      <c r="I22" s="482">
        <f t="shared" si="69"/>
        <v>0</v>
      </c>
      <c r="J22" s="482">
        <f t="shared" si="69"/>
        <v>0</v>
      </c>
      <c r="K22" s="482">
        <f t="shared" si="69"/>
        <v>0</v>
      </c>
      <c r="L22" s="482">
        <f t="shared" si="69"/>
        <v>0</v>
      </c>
      <c r="M22" s="482">
        <f t="shared" si="69"/>
        <v>0</v>
      </c>
      <c r="N22" s="482">
        <f t="shared" si="69"/>
        <v>0</v>
      </c>
      <c r="O22" s="482">
        <f t="shared" ref="O22:X22" si="70">+O348</f>
        <v>0</v>
      </c>
      <c r="P22" s="482">
        <f t="shared" si="70"/>
        <v>0</v>
      </c>
      <c r="Q22" s="482">
        <f t="shared" si="70"/>
        <v>0</v>
      </c>
      <c r="R22" s="482">
        <f t="shared" si="70"/>
        <v>0</v>
      </c>
      <c r="S22" s="482">
        <f t="shared" si="70"/>
        <v>0</v>
      </c>
      <c r="T22" s="482">
        <f t="shared" si="70"/>
        <v>0</v>
      </c>
      <c r="U22" s="482">
        <f t="shared" si="70"/>
        <v>0</v>
      </c>
      <c r="V22" s="482">
        <f t="shared" si="70"/>
        <v>0</v>
      </c>
      <c r="W22" s="482">
        <f t="shared" si="70"/>
        <v>0</v>
      </c>
      <c r="X22" s="482">
        <f t="shared" si="70"/>
        <v>0</v>
      </c>
      <c r="Y22" s="482">
        <f t="shared" ref="Y22:AH22" si="71">+Y348</f>
        <v>0</v>
      </c>
      <c r="Z22" s="482">
        <f t="shared" si="71"/>
        <v>0</v>
      </c>
      <c r="AA22" s="482">
        <f t="shared" si="71"/>
        <v>0</v>
      </c>
      <c r="AB22" s="482">
        <f t="shared" si="71"/>
        <v>0</v>
      </c>
      <c r="AC22" s="482">
        <f t="shared" si="71"/>
        <v>0</v>
      </c>
      <c r="AD22" s="482">
        <f t="shared" si="71"/>
        <v>0</v>
      </c>
      <c r="AE22" s="482">
        <f t="shared" si="71"/>
        <v>0</v>
      </c>
      <c r="AF22" s="482">
        <f t="shared" si="71"/>
        <v>0</v>
      </c>
      <c r="AG22" s="482">
        <f t="shared" si="71"/>
        <v>0</v>
      </c>
      <c r="AH22" s="482">
        <f t="shared" si="71"/>
        <v>0</v>
      </c>
      <c r="AI22" s="482">
        <f t="shared" ref="AI22:AR22" si="72">+AI348</f>
        <v>0</v>
      </c>
      <c r="AJ22" s="482">
        <f t="shared" si="72"/>
        <v>0</v>
      </c>
      <c r="AK22" s="482">
        <f t="shared" si="72"/>
        <v>0</v>
      </c>
      <c r="AL22" s="482">
        <f t="shared" si="72"/>
        <v>5</v>
      </c>
      <c r="AM22" s="482">
        <f t="shared" si="72"/>
        <v>7.5</v>
      </c>
      <c r="AN22" s="482">
        <f t="shared" si="72"/>
        <v>12.5</v>
      </c>
      <c r="AO22" s="482">
        <f t="shared" si="72"/>
        <v>5</v>
      </c>
      <c r="AP22" s="482">
        <f t="shared" si="72"/>
        <v>7.5</v>
      </c>
      <c r="AQ22" s="482">
        <f t="shared" si="72"/>
        <v>12.5</v>
      </c>
      <c r="AR22" s="482">
        <f t="shared" si="72"/>
        <v>6</v>
      </c>
      <c r="AS22" s="482">
        <f t="shared" ref="AS22:BB22" si="73">+AS348</f>
        <v>9.5</v>
      </c>
      <c r="AT22" s="482">
        <f t="shared" si="73"/>
        <v>15.5</v>
      </c>
      <c r="AU22" s="482">
        <f t="shared" si="73"/>
        <v>8</v>
      </c>
      <c r="AV22" s="482">
        <f t="shared" si="73"/>
        <v>20</v>
      </c>
      <c r="AW22" s="482">
        <f t="shared" si="73"/>
        <v>28</v>
      </c>
      <c r="AX22" s="482">
        <f t="shared" si="73"/>
        <v>15</v>
      </c>
      <c r="AY22" s="482">
        <f t="shared" si="73"/>
        <v>15</v>
      </c>
      <c r="AZ22" s="482">
        <f t="shared" si="73"/>
        <v>30</v>
      </c>
      <c r="BA22" s="482">
        <f t="shared" si="73"/>
        <v>20</v>
      </c>
      <c r="BB22" s="482">
        <f t="shared" si="73"/>
        <v>21</v>
      </c>
      <c r="BC22" s="482">
        <f t="shared" ref="BC22:BO22" si="74">+BC348</f>
        <v>41</v>
      </c>
      <c r="BD22" s="482">
        <f t="shared" si="74"/>
        <v>21</v>
      </c>
      <c r="BE22" s="482">
        <f t="shared" si="74"/>
        <v>31</v>
      </c>
      <c r="BF22" s="482">
        <f t="shared" si="74"/>
        <v>52</v>
      </c>
      <c r="BG22" s="482">
        <f t="shared" si="74"/>
        <v>33</v>
      </c>
      <c r="BH22" s="482">
        <f t="shared" si="74"/>
        <v>44</v>
      </c>
      <c r="BI22" s="482">
        <f t="shared" si="74"/>
        <v>77</v>
      </c>
      <c r="BJ22" s="482">
        <f t="shared" si="74"/>
        <v>35</v>
      </c>
      <c r="BK22" s="482">
        <f t="shared" si="74"/>
        <v>44</v>
      </c>
      <c r="BL22" s="482">
        <f t="shared" si="74"/>
        <v>79</v>
      </c>
      <c r="BM22" s="482">
        <f t="shared" si="74"/>
        <v>33</v>
      </c>
      <c r="BN22" s="482">
        <f t="shared" si="74"/>
        <v>45</v>
      </c>
      <c r="BO22" s="482">
        <f t="shared" si="74"/>
        <v>78</v>
      </c>
      <c r="BP22" s="482">
        <f t="shared" ref="BP22:DK22" si="75">+BP348</f>
        <v>45</v>
      </c>
      <c r="BQ22" s="482">
        <f t="shared" si="75"/>
        <v>55</v>
      </c>
      <c r="BR22" s="482">
        <f t="shared" si="75"/>
        <v>100</v>
      </c>
      <c r="BS22" s="482">
        <f t="shared" si="75"/>
        <v>55</v>
      </c>
      <c r="BT22" s="482">
        <f t="shared" si="75"/>
        <v>70</v>
      </c>
      <c r="BU22" s="482">
        <f t="shared" si="75"/>
        <v>125</v>
      </c>
      <c r="BV22" s="482">
        <f t="shared" si="75"/>
        <v>70</v>
      </c>
      <c r="BW22" s="482">
        <f t="shared" si="75"/>
        <v>80</v>
      </c>
      <c r="BX22" s="482">
        <f t="shared" si="75"/>
        <v>150</v>
      </c>
      <c r="BY22" s="482">
        <f t="shared" si="75"/>
        <v>80</v>
      </c>
      <c r="BZ22" s="482">
        <f t="shared" si="75"/>
        <v>95</v>
      </c>
      <c r="CA22" s="482">
        <f t="shared" si="75"/>
        <v>175</v>
      </c>
      <c r="CB22" s="482">
        <f t="shared" si="75"/>
        <v>94.996488422557292</v>
      </c>
      <c r="CC22" s="482">
        <f t="shared" si="75"/>
        <v>104.95775422895993</v>
      </c>
      <c r="CD22" s="482">
        <f t="shared" si="75"/>
        <v>199.95424265151723</v>
      </c>
      <c r="CE22" s="482">
        <f t="shared" si="75"/>
        <v>105</v>
      </c>
      <c r="CF22" s="482">
        <f t="shared" si="75"/>
        <v>120</v>
      </c>
      <c r="CG22" s="482">
        <f t="shared" si="75"/>
        <v>225</v>
      </c>
      <c r="CH22" s="482">
        <f t="shared" si="75"/>
        <v>120</v>
      </c>
      <c r="CI22" s="482">
        <f t="shared" si="75"/>
        <v>125.02944754269036</v>
      </c>
      <c r="CJ22" s="482">
        <f t="shared" si="75"/>
        <v>245.02944754269038</v>
      </c>
      <c r="CK22" s="482">
        <f t="shared" si="75"/>
        <v>125</v>
      </c>
      <c r="CL22" s="482">
        <f t="shared" si="75"/>
        <v>127.50841865815565</v>
      </c>
      <c r="CM22" s="482">
        <f t="shared" si="75"/>
        <v>252.50841865815565</v>
      </c>
      <c r="CN22" s="482">
        <f t="shared" si="75"/>
        <v>126.99450367412967</v>
      </c>
      <c r="CO22" s="482">
        <f t="shared" si="75"/>
        <v>127.3153552960391</v>
      </c>
      <c r="CP22" s="482">
        <f t="shared" si="75"/>
        <v>254.30985897016876</v>
      </c>
      <c r="CQ22" s="482">
        <f t="shared" si="75"/>
        <v>89.999999999999972</v>
      </c>
      <c r="CR22" s="482">
        <f t="shared" si="75"/>
        <v>100.02440133586431</v>
      </c>
      <c r="CS22" s="482">
        <f t="shared" si="75"/>
        <v>190.0244013358643</v>
      </c>
      <c r="CT22" s="482">
        <f t="shared" si="75"/>
        <v>109.45905852384651</v>
      </c>
      <c r="CU22" s="482">
        <f t="shared" si="75"/>
        <v>120.30750617953255</v>
      </c>
      <c r="CV22" s="482">
        <f t="shared" si="75"/>
        <v>229.76656470337906</v>
      </c>
      <c r="CW22" s="482">
        <f t="shared" si="75"/>
        <v>135.7439256904006</v>
      </c>
      <c r="CX22" s="482">
        <f t="shared" si="75"/>
        <v>136.91392292862966</v>
      </c>
      <c r="CY22" s="482">
        <f t="shared" si="75"/>
        <v>272.65784861903023</v>
      </c>
      <c r="CZ22" s="482">
        <f t="shared" si="75"/>
        <v>140</v>
      </c>
      <c r="DA22" s="482">
        <f t="shared" si="75"/>
        <v>160</v>
      </c>
      <c r="DB22" s="482">
        <f t="shared" si="75"/>
        <v>300</v>
      </c>
      <c r="DC22" s="482">
        <f t="shared" si="75"/>
        <v>154.36342199386965</v>
      </c>
      <c r="DD22" s="482">
        <f t="shared" si="75"/>
        <v>175.60243983638472</v>
      </c>
      <c r="DE22" s="482">
        <f t="shared" si="75"/>
        <v>329.96586183025437</v>
      </c>
      <c r="DF22" s="482">
        <f t="shared" si="75"/>
        <v>160.12356527671443</v>
      </c>
      <c r="DG22" s="482">
        <f t="shared" si="75"/>
        <v>0</v>
      </c>
      <c r="DH22" s="1244">
        <f t="shared" si="75"/>
        <v>160.12356527671443</v>
      </c>
      <c r="DI22" s="482">
        <f t="shared" si="75"/>
        <v>115.31780066025546</v>
      </c>
      <c r="DJ22" s="482">
        <f t="shared" si="75"/>
        <v>144.40738454597454</v>
      </c>
      <c r="DK22" s="1244">
        <f t="shared" si="75"/>
        <v>259.72518520622998</v>
      </c>
      <c r="DL22" s="482">
        <f t="shared" ref="DL22:DQ22" si="76">+DL348</f>
        <v>147.71234494979331</v>
      </c>
      <c r="DM22" s="482">
        <f t="shared" si="76"/>
        <v>170.57319285753039</v>
      </c>
      <c r="DN22" s="1244">
        <f t="shared" si="76"/>
        <v>318.28553780732369</v>
      </c>
      <c r="DO22" s="482">
        <f t="shared" si="76"/>
        <v>168.27926542827873</v>
      </c>
      <c r="DP22" s="482">
        <f t="shared" si="76"/>
        <v>190.87262027520498</v>
      </c>
      <c r="DQ22" s="1244">
        <f t="shared" si="76"/>
        <v>359.15188570348369</v>
      </c>
      <c r="DR22" s="482">
        <f t="shared" ref="DR22:DW22" si="77">+DR348</f>
        <v>212.41040267939533</v>
      </c>
      <c r="DS22" s="482">
        <f t="shared" si="77"/>
        <v>220.03063728446679</v>
      </c>
      <c r="DT22" s="1244">
        <f t="shared" si="77"/>
        <v>432.44103996386212</v>
      </c>
      <c r="DU22" s="482">
        <f t="shared" si="77"/>
        <v>227.94977250815984</v>
      </c>
      <c r="DV22" s="482">
        <f t="shared" si="77"/>
        <v>217.47075126816355</v>
      </c>
      <c r="DW22" s="1244">
        <f t="shared" si="77"/>
        <v>445.42052377632342</v>
      </c>
      <c r="DX22" s="482">
        <f t="shared" ref="DX22:EC22" si="78">+DX348</f>
        <v>210.4434281540594</v>
      </c>
      <c r="DY22" s="482">
        <f t="shared" si="78"/>
        <v>235.47899065013735</v>
      </c>
      <c r="DZ22" s="1244">
        <f t="shared" si="78"/>
        <v>445.92241880419675</v>
      </c>
      <c r="EA22" s="482">
        <f t="shared" si="78"/>
        <v>254.28536114888956</v>
      </c>
      <c r="EB22" s="482">
        <f t="shared" si="78"/>
        <v>263.02134238630254</v>
      </c>
      <c r="EC22" s="1244">
        <f t="shared" si="78"/>
        <v>517.30670353519213</v>
      </c>
      <c r="ED22" s="482">
        <f t="shared" ref="ED22:EL22" si="79">+ED348</f>
        <v>284.70780594644009</v>
      </c>
      <c r="EE22" s="482">
        <f t="shared" si="79"/>
        <v>294.63378966695899</v>
      </c>
      <c r="EF22" s="1244">
        <f t="shared" si="79"/>
        <v>579.34159561339902</v>
      </c>
      <c r="EG22" s="482">
        <f t="shared" si="79"/>
        <v>318.38099359449359</v>
      </c>
      <c r="EH22" s="482">
        <f t="shared" si="79"/>
        <v>328.33991281388234</v>
      </c>
      <c r="EI22" s="1244">
        <f t="shared" si="79"/>
        <v>646.72090640837587</v>
      </c>
      <c r="EJ22" s="482">
        <f t="shared" si="79"/>
        <v>351.09811092039644</v>
      </c>
      <c r="EK22" s="482">
        <f t="shared" si="79"/>
        <v>362.0675830518876</v>
      </c>
      <c r="EL22" s="1244">
        <f t="shared" si="79"/>
        <v>713.16569397228409</v>
      </c>
      <c r="EM22" s="482">
        <f t="shared" ref="EM22:ER22" si="80">+EM348</f>
        <v>385.43779400076556</v>
      </c>
      <c r="EN22" s="482">
        <f t="shared" si="80"/>
        <v>397.44433170359861</v>
      </c>
      <c r="EO22" s="1244">
        <f t="shared" si="80"/>
        <v>782.88212570436417</v>
      </c>
      <c r="EP22" s="482">
        <f t="shared" si="80"/>
        <v>421.98871082936921</v>
      </c>
      <c r="EQ22" s="482">
        <f t="shared" si="80"/>
        <v>435.07583692545757</v>
      </c>
      <c r="ER22" s="1244">
        <f t="shared" si="80"/>
        <v>857.06454775482678</v>
      </c>
      <c r="ES22" s="482">
        <f t="shared" ref="ES22:EX22" si="81">+ES348</f>
        <v>461.89569750532934</v>
      </c>
      <c r="ET22" s="482">
        <f t="shared" si="81"/>
        <v>476.1606649500655</v>
      </c>
      <c r="EU22" s="1244">
        <f t="shared" si="81"/>
        <v>938.05636245539483</v>
      </c>
      <c r="EV22" s="482">
        <f t="shared" si="81"/>
        <v>505.46841354317081</v>
      </c>
      <c r="EW22" s="482">
        <f t="shared" si="81"/>
        <v>521.01722805793338</v>
      </c>
      <c r="EX22" s="1244">
        <f t="shared" si="81"/>
        <v>1026.4856416011041</v>
      </c>
      <c r="EY22" s="482">
        <f t="shared" ref="EY22:FA22" si="82">+EY348</f>
        <v>553.04619887859269</v>
      </c>
      <c r="EZ22" s="482">
        <f t="shared" si="82"/>
        <v>569.99440669968385</v>
      </c>
      <c r="FA22" s="1244">
        <f t="shared" si="82"/>
        <v>1123.0406055782764</v>
      </c>
      <c r="FE22"/>
      <c r="FF22"/>
      <c r="FG22"/>
      <c r="FH22"/>
      <c r="FI22"/>
      <c r="FJ22"/>
      <c r="FK22" s="35"/>
    </row>
    <row r="23" spans="1:167" s="236" customFormat="1" ht="13.35" customHeight="1">
      <c r="B23" s="242" t="s">
        <v>618</v>
      </c>
      <c r="C23" s="242" t="s">
        <v>460</v>
      </c>
      <c r="D23" s="243"/>
      <c r="E23" s="293">
        <v>0</v>
      </c>
      <c r="F23" s="293">
        <v>0</v>
      </c>
      <c r="G23" s="293">
        <v>0</v>
      </c>
      <c r="H23" s="293">
        <v>0</v>
      </c>
      <c r="I23" s="293">
        <v>0</v>
      </c>
      <c r="J23" s="293">
        <v>0</v>
      </c>
      <c r="K23" s="293">
        <v>0</v>
      </c>
      <c r="L23" s="293">
        <v>0</v>
      </c>
      <c r="M23" s="293">
        <v>0</v>
      </c>
      <c r="N23" s="293">
        <v>0</v>
      </c>
      <c r="O23" s="293">
        <v>0</v>
      </c>
      <c r="P23" s="293">
        <v>0</v>
      </c>
      <c r="Q23" s="293">
        <v>0</v>
      </c>
      <c r="R23" s="293">
        <v>0</v>
      </c>
      <c r="S23" s="293">
        <v>0</v>
      </c>
      <c r="T23" s="293">
        <v>0</v>
      </c>
      <c r="U23" s="293">
        <v>0</v>
      </c>
      <c r="V23" s="293">
        <v>0</v>
      </c>
      <c r="W23" s="293">
        <v>0</v>
      </c>
      <c r="X23" s="293">
        <v>0</v>
      </c>
      <c r="Y23" s="293">
        <v>0</v>
      </c>
      <c r="Z23" s="293">
        <v>0</v>
      </c>
      <c r="AA23" s="293">
        <v>0</v>
      </c>
      <c r="AB23" s="293">
        <v>0</v>
      </c>
      <c r="AC23" s="293">
        <v>0</v>
      </c>
      <c r="AD23" s="293">
        <v>0</v>
      </c>
      <c r="AE23" s="293">
        <v>0</v>
      </c>
      <c r="AF23" s="293">
        <v>0</v>
      </c>
      <c r="AG23" s="293">
        <v>0</v>
      </c>
      <c r="AH23" s="293">
        <v>0</v>
      </c>
      <c r="AI23" s="293">
        <v>0</v>
      </c>
      <c r="AJ23" s="293">
        <v>0</v>
      </c>
      <c r="AK23" s="293">
        <v>0</v>
      </c>
      <c r="AL23" s="293">
        <v>2.5097881738781245E-4</v>
      </c>
      <c r="AM23" s="293">
        <v>3.764682260817187E-4</v>
      </c>
      <c r="AN23" s="293">
        <v>6.274470434695312E-4</v>
      </c>
      <c r="AO23" s="293">
        <v>2.5097881738781245E-4</v>
      </c>
      <c r="AP23" s="293">
        <v>3.764682260817187E-4</v>
      </c>
      <c r="AQ23" s="293">
        <v>6.274470434695312E-4</v>
      </c>
      <c r="AR23" s="293">
        <v>3.0117458086537498E-4</v>
      </c>
      <c r="AS23" s="293">
        <v>4.7685975303684371E-4</v>
      </c>
      <c r="AT23" s="293">
        <v>7.7803433390221863E-4</v>
      </c>
      <c r="AU23" s="293">
        <v>4.0156610782049993E-4</v>
      </c>
      <c r="AV23" s="293">
        <v>1.0039152695512498E-3</v>
      </c>
      <c r="AW23" s="293">
        <v>1.4054813773717498E-3</v>
      </c>
      <c r="AX23" s="293">
        <v>7.5293645216343739E-4</v>
      </c>
      <c r="AY23" s="293">
        <v>7.5293645216343739E-4</v>
      </c>
      <c r="AZ23" s="293">
        <v>1.5058729043268748E-3</v>
      </c>
      <c r="BA23" s="293">
        <v>1.0039152695512498E-3</v>
      </c>
      <c r="BB23" s="293">
        <v>1.0541110330288123E-3</v>
      </c>
      <c r="BC23" s="293">
        <v>2.0580263025800623E-3</v>
      </c>
      <c r="BD23" s="293">
        <v>1.0541110330288123E-3</v>
      </c>
      <c r="BE23" s="293">
        <v>1.5560686678044373E-3</v>
      </c>
      <c r="BF23" s="293">
        <v>2.6101797008332497E-3</v>
      </c>
      <c r="BG23" s="293">
        <v>1.6564601947595622E-3</v>
      </c>
      <c r="BH23" s="293">
        <v>2.2086135930127499E-3</v>
      </c>
      <c r="BI23" s="293">
        <v>3.8650737877723119E-3</v>
      </c>
      <c r="BJ23" s="293">
        <v>1.7568517217146872E-3</v>
      </c>
      <c r="BK23" s="293">
        <v>2.2086135930127499E-3</v>
      </c>
      <c r="BL23" s="293">
        <v>3.9654653147274373E-3</v>
      </c>
      <c r="BM23" s="293">
        <v>1.6564601947595622E-3</v>
      </c>
      <c r="BN23" s="293">
        <v>2.2588093564903122E-3</v>
      </c>
      <c r="BO23" s="293">
        <v>3.9152695512498746E-3</v>
      </c>
      <c r="BP23" s="293">
        <v>2.2588093564903122E-3</v>
      </c>
      <c r="BQ23" s="293">
        <v>2.760766991265937E-3</v>
      </c>
      <c r="BR23" s="293">
        <v>5.0195763477562496E-3</v>
      </c>
      <c r="BS23" s="293">
        <v>2.760766991265937E-3</v>
      </c>
      <c r="BT23" s="293">
        <v>3.5137034434293743E-3</v>
      </c>
      <c r="BU23" s="293">
        <v>6.2744704346953117E-3</v>
      </c>
      <c r="BV23" s="293">
        <v>3.5137034434293743E-3</v>
      </c>
      <c r="BW23" s="293">
        <v>4.0156610782049991E-3</v>
      </c>
      <c r="BX23" s="293">
        <v>7.5293645216343739E-3</v>
      </c>
      <c r="BY23" s="293">
        <v>4.0156610782049991E-3</v>
      </c>
      <c r="BZ23" s="293">
        <v>4.768597530368437E-3</v>
      </c>
      <c r="CA23" s="293">
        <v>8.7842586085734361E-3</v>
      </c>
      <c r="CB23" s="293">
        <v>4.7684212640576899E-3</v>
      </c>
      <c r="CC23" s="293">
        <v>5.2684346064130073E-3</v>
      </c>
      <c r="CD23" s="293">
        <v>1.0036855870470698E-2</v>
      </c>
      <c r="CE23" s="293">
        <v>5.2705551651440622E-3</v>
      </c>
      <c r="CF23" s="293">
        <v>6.0234916173074991E-3</v>
      </c>
      <c r="CG23" s="293">
        <v>1.129404678245156E-2</v>
      </c>
      <c r="CH23" s="293">
        <v>6.0234916173074991E-3</v>
      </c>
      <c r="CI23" s="293">
        <v>6.2759485765831926E-3</v>
      </c>
      <c r="CJ23" s="293">
        <v>1.2299440193890692E-2</v>
      </c>
      <c r="CK23" s="293">
        <v>6.2744704346953117E-3</v>
      </c>
      <c r="CL23" s="293">
        <v>6.4003824243627971E-3</v>
      </c>
      <c r="CM23" s="293">
        <v>1.267485285905811E-2</v>
      </c>
      <c r="CN23" s="293">
        <v>6.3745860693770542E-3</v>
      </c>
      <c r="CO23" s="293">
        <v>6.390691461501812E-3</v>
      </c>
      <c r="CP23" s="293">
        <v>1.2765277530878865E-2</v>
      </c>
      <c r="CQ23" s="293">
        <v>4.5176187129806226E-3</v>
      </c>
      <c r="CR23" s="293">
        <v>5.0208011914398311E-3</v>
      </c>
      <c r="CS23" s="293">
        <v>9.5384199044204546E-3</v>
      </c>
      <c r="CT23" s="293">
        <v>5.4943810121396699E-3</v>
      </c>
      <c r="CU23" s="293">
        <v>6.0389271247632045E-3</v>
      </c>
      <c r="CV23" s="293">
        <v>1.1533308136902874E-2</v>
      </c>
      <c r="CW23" s="293">
        <v>6.8137699874711672E-3</v>
      </c>
      <c r="CX23" s="293">
        <v>6.8724988921107146E-3</v>
      </c>
      <c r="CY23" s="293">
        <v>1.3686268879581881E-2</v>
      </c>
      <c r="CZ23" s="293">
        <v>7.0274068868587487E-3</v>
      </c>
      <c r="DA23" s="293">
        <v>8.0313221564099983E-3</v>
      </c>
      <c r="DB23" s="293">
        <v>1.5058729043268748E-2</v>
      </c>
      <c r="DC23" s="293">
        <v>7.7483898199914494E-3</v>
      </c>
      <c r="DD23" s="293">
        <v>8.8144985361100648E-3</v>
      </c>
      <c r="DE23" s="293">
        <v>1.6562888356101514E-2</v>
      </c>
      <c r="DF23" s="293">
        <v>8.0375246098139969E-3</v>
      </c>
      <c r="DG23" s="293">
        <v>0</v>
      </c>
      <c r="DH23" s="1248">
        <v>8.0375246098139969E-3</v>
      </c>
      <c r="DI23" s="293">
        <v>5.7884650466948828E-3</v>
      </c>
      <c r="DJ23" s="293">
        <v>7.2486389190831516E-3</v>
      </c>
      <c r="DK23" s="1248">
        <v>1.3037103965778033E-2</v>
      </c>
      <c r="DL23" s="293">
        <v>7.4145339298159474E-3</v>
      </c>
      <c r="DM23" s="293">
        <v>8.562051644289248E-3</v>
      </c>
      <c r="DN23" s="1248">
        <v>1.5976585574105195E-2</v>
      </c>
      <c r="DO23" s="293">
        <v>8.4469062056158391E-3</v>
      </c>
      <c r="DP23" s="293">
        <v>9.5809969016767884E-3</v>
      </c>
      <c r="DQ23" s="1248">
        <v>1.8027903107292624E-2</v>
      </c>
      <c r="DR23" s="293">
        <v>1.0662102333068735E-2</v>
      </c>
      <c r="DS23" s="293">
        <v>1.1044605826948439E-2</v>
      </c>
      <c r="DT23" s="1248">
        <v>2.1706708160017175E-2</v>
      </c>
      <c r="DU23" s="293">
        <v>1.1442112865583769E-2</v>
      </c>
      <c r="DV23" s="293">
        <v>1.0916110393944561E-2</v>
      </c>
      <c r="DW23" s="1248">
        <v>2.2358223259528333E-2</v>
      </c>
      <c r="DX23" s="293">
        <v>1.0563368545028581E-2</v>
      </c>
      <c r="DY23" s="293">
        <v>1.1820047718609445E-2</v>
      </c>
      <c r="DZ23" s="1248">
        <v>2.2383416263638024E-2</v>
      </c>
      <c r="EA23" s="293">
        <v>1.276404784403622E-2</v>
      </c>
      <c r="EB23" s="293">
        <v>1.3202557091973825E-2</v>
      </c>
      <c r="EC23" s="1248">
        <v>2.5966604936010045E-2</v>
      </c>
      <c r="ED23" s="293">
        <v>1.4291125687503268E-2</v>
      </c>
      <c r="EE23" s="293">
        <v>1.4789368018620569E-2</v>
      </c>
      <c r="EF23" s="1248">
        <v>2.9080493706123835E-2</v>
      </c>
      <c r="EG23" s="293">
        <v>1.5981377050220541E-2</v>
      </c>
      <c r="EH23" s="293">
        <v>1.6481272603849129E-2</v>
      </c>
      <c r="EI23" s="1248">
        <v>3.2462649654069663E-2</v>
      </c>
      <c r="EJ23" s="293">
        <v>1.762363773317922E-2</v>
      </c>
      <c r="EK23" s="293">
        <v>1.8174258761765264E-2</v>
      </c>
      <c r="EL23" s="1248">
        <v>3.5797896494944491E-2</v>
      </c>
      <c r="EM23" s="293">
        <v>1.9347344342975883E-2</v>
      </c>
      <c r="EN23" s="293">
        <v>1.9950021669691727E-2</v>
      </c>
      <c r="EO23" s="1248">
        <v>3.929736601266761E-2</v>
      </c>
      <c r="EP23" s="293">
        <v>2.1182045518992533E-2</v>
      </c>
      <c r="EQ23" s="293">
        <v>2.183896380511282E-2</v>
      </c>
      <c r="ER23" s="1248">
        <v>4.3021009324105353E-2</v>
      </c>
      <c r="ES23" s="293">
        <v>2.3185207183281265E-2</v>
      </c>
      <c r="ET23" s="293">
        <v>2.390124811515237E-2</v>
      </c>
      <c r="EU23" s="1248">
        <v>4.7086455298433631E-2</v>
      </c>
      <c r="EV23" s="293">
        <v>2.5372372931591749E-2</v>
      </c>
      <c r="EW23" s="293">
        <v>2.6152857547331262E-2</v>
      </c>
      <c r="EX23" s="1248">
        <v>5.1525230478923004E-2</v>
      </c>
      <c r="EY23" s="293">
        <v>2.7760576191074825E-2</v>
      </c>
      <c r="EZ23" s="293">
        <v>2.8611304422230893E-2</v>
      </c>
      <c r="FA23" s="1248">
        <v>5.6371880613305711E-2</v>
      </c>
      <c r="FE23"/>
      <c r="FF23"/>
      <c r="FG23"/>
      <c r="FH23"/>
      <c r="FI23"/>
      <c r="FJ23"/>
      <c r="FK23" s="35"/>
    </row>
    <row r="24" spans="1:167" s="236" customFormat="1" ht="13.35" customHeight="1">
      <c r="B24" s="242" t="s">
        <v>619</v>
      </c>
      <c r="C24" s="242" t="s">
        <v>460</v>
      </c>
      <c r="D24" s="243"/>
      <c r="E24" s="489">
        <f t="shared" ref="E24:N24" si="83">+E352</f>
        <v>0</v>
      </c>
      <c r="F24" s="489">
        <f t="shared" si="83"/>
        <v>0</v>
      </c>
      <c r="G24" s="489"/>
      <c r="H24" s="489">
        <f t="shared" si="83"/>
        <v>0</v>
      </c>
      <c r="I24" s="489">
        <f t="shared" si="83"/>
        <v>0</v>
      </c>
      <c r="J24" s="489"/>
      <c r="K24" s="489">
        <f t="shared" si="83"/>
        <v>0</v>
      </c>
      <c r="L24" s="489">
        <f t="shared" si="83"/>
        <v>0</v>
      </c>
      <c r="M24" s="489"/>
      <c r="N24" s="489">
        <f t="shared" si="83"/>
        <v>0</v>
      </c>
      <c r="O24" s="489">
        <f t="shared" ref="O24:X24" si="84">+O352</f>
        <v>0</v>
      </c>
      <c r="P24" s="489"/>
      <c r="Q24" s="489">
        <f t="shared" si="84"/>
        <v>0</v>
      </c>
      <c r="R24" s="489">
        <f t="shared" si="84"/>
        <v>0</v>
      </c>
      <c r="S24" s="489"/>
      <c r="T24" s="489">
        <f t="shared" si="84"/>
        <v>0</v>
      </c>
      <c r="U24" s="489">
        <f t="shared" si="84"/>
        <v>0</v>
      </c>
      <c r="V24" s="489"/>
      <c r="W24" s="489">
        <f t="shared" si="84"/>
        <v>0</v>
      </c>
      <c r="X24" s="489">
        <f t="shared" si="84"/>
        <v>0</v>
      </c>
      <c r="Y24" s="489"/>
      <c r="Z24" s="489">
        <f t="shared" ref="Z24:AG24" si="85">+Z352</f>
        <v>0</v>
      </c>
      <c r="AA24" s="489">
        <f t="shared" si="85"/>
        <v>0</v>
      </c>
      <c r="AB24" s="489"/>
      <c r="AC24" s="489">
        <f t="shared" si="85"/>
        <v>0</v>
      </c>
      <c r="AD24" s="489">
        <f t="shared" si="85"/>
        <v>0</v>
      </c>
      <c r="AE24" s="489"/>
      <c r="AF24" s="489">
        <f t="shared" si="85"/>
        <v>0</v>
      </c>
      <c r="AG24" s="489">
        <f t="shared" si="85"/>
        <v>0</v>
      </c>
      <c r="AH24" s="489"/>
      <c r="AI24" s="489">
        <f t="shared" ref="AI24:AR24" si="86">+AI352</f>
        <v>0</v>
      </c>
      <c r="AJ24" s="489">
        <f t="shared" si="86"/>
        <v>0</v>
      </c>
      <c r="AK24" s="489"/>
      <c r="AL24" s="489">
        <f t="shared" si="86"/>
        <v>0.39</v>
      </c>
      <c r="AM24" s="489">
        <f t="shared" si="86"/>
        <v>0.39</v>
      </c>
      <c r="AN24" s="489">
        <f t="shared" si="86"/>
        <v>0.39</v>
      </c>
      <c r="AO24" s="489">
        <f t="shared" si="86"/>
        <v>1</v>
      </c>
      <c r="AP24" s="489">
        <f t="shared" si="86"/>
        <v>0.38</v>
      </c>
      <c r="AQ24" s="489">
        <f t="shared" si="86"/>
        <v>0.628</v>
      </c>
      <c r="AR24" s="489">
        <f t="shared" si="86"/>
        <v>1</v>
      </c>
      <c r="AS24" s="489">
        <f t="shared" ref="AS24:BB24" si="87">+AS352</f>
        <v>1</v>
      </c>
      <c r="AT24" s="489">
        <f t="shared" si="87"/>
        <v>1</v>
      </c>
      <c r="AU24" s="489">
        <f t="shared" si="87"/>
        <v>1</v>
      </c>
      <c r="AV24" s="489">
        <f t="shared" si="87"/>
        <v>1</v>
      </c>
      <c r="AW24" s="489">
        <f t="shared" si="87"/>
        <v>1</v>
      </c>
      <c r="AX24" s="489">
        <f t="shared" si="87"/>
        <v>1</v>
      </c>
      <c r="AY24" s="489">
        <f t="shared" si="87"/>
        <v>1</v>
      </c>
      <c r="AZ24" s="489">
        <f t="shared" si="87"/>
        <v>1</v>
      </c>
      <c r="BA24" s="489">
        <f t="shared" si="87"/>
        <v>1</v>
      </c>
      <c r="BB24" s="489">
        <f t="shared" si="87"/>
        <v>1</v>
      </c>
      <c r="BC24" s="489">
        <f t="shared" ref="BC24:BO24" si="88">+BC352</f>
        <v>1</v>
      </c>
      <c r="BD24" s="489">
        <f t="shared" si="88"/>
        <v>1</v>
      </c>
      <c r="BE24" s="489">
        <f t="shared" si="88"/>
        <v>1</v>
      </c>
      <c r="BF24" s="489">
        <f t="shared" si="88"/>
        <v>1</v>
      </c>
      <c r="BG24" s="489">
        <f t="shared" si="88"/>
        <v>1</v>
      </c>
      <c r="BH24" s="489">
        <f t="shared" si="88"/>
        <v>1</v>
      </c>
      <c r="BI24" s="489">
        <f t="shared" si="88"/>
        <v>1</v>
      </c>
      <c r="BJ24" s="489">
        <f t="shared" si="88"/>
        <v>1</v>
      </c>
      <c r="BK24" s="489">
        <f t="shared" si="88"/>
        <v>1</v>
      </c>
      <c r="BL24" s="489">
        <f t="shared" si="88"/>
        <v>1</v>
      </c>
      <c r="BM24" s="489">
        <f t="shared" si="88"/>
        <v>1</v>
      </c>
      <c r="BN24" s="489">
        <f t="shared" si="88"/>
        <v>1</v>
      </c>
      <c r="BO24" s="489">
        <f t="shared" si="88"/>
        <v>1</v>
      </c>
      <c r="BP24" s="489">
        <f t="shared" ref="BP24:DK24" si="89">+BP352</f>
        <v>1</v>
      </c>
      <c r="BQ24" s="489">
        <f t="shared" si="89"/>
        <v>1</v>
      </c>
      <c r="BR24" s="489">
        <f t="shared" si="89"/>
        <v>1</v>
      </c>
      <c r="BS24" s="489">
        <f t="shared" si="89"/>
        <v>1</v>
      </c>
      <c r="BT24" s="489">
        <f t="shared" si="89"/>
        <v>1</v>
      </c>
      <c r="BU24" s="489">
        <f t="shared" si="89"/>
        <v>1</v>
      </c>
      <c r="BV24" s="489">
        <f t="shared" si="89"/>
        <v>1</v>
      </c>
      <c r="BW24" s="489">
        <f t="shared" si="89"/>
        <v>1</v>
      </c>
      <c r="BX24" s="489">
        <f t="shared" si="89"/>
        <v>1</v>
      </c>
      <c r="BY24" s="489">
        <f t="shared" si="89"/>
        <v>1</v>
      </c>
      <c r="BZ24" s="489">
        <f t="shared" si="89"/>
        <v>1</v>
      </c>
      <c r="CA24" s="489">
        <f t="shared" si="89"/>
        <v>1</v>
      </c>
      <c r="CB24" s="489">
        <f t="shared" si="89"/>
        <v>1</v>
      </c>
      <c r="CC24" s="489">
        <f t="shared" si="89"/>
        <v>1</v>
      </c>
      <c r="CD24" s="489">
        <f t="shared" si="89"/>
        <v>1</v>
      </c>
      <c r="CE24" s="489">
        <f t="shared" si="89"/>
        <v>0.6</v>
      </c>
      <c r="CF24" s="489">
        <f t="shared" si="89"/>
        <v>0.7</v>
      </c>
      <c r="CG24" s="489">
        <f t="shared" si="89"/>
        <v>0.65333333333333332</v>
      </c>
      <c r="CH24" s="489">
        <f t="shared" si="89"/>
        <v>0.6</v>
      </c>
      <c r="CI24" s="490">
        <v>0.7</v>
      </c>
      <c r="CJ24" s="489">
        <f t="shared" si="89"/>
        <v>0.47243426372160113</v>
      </c>
      <c r="CK24" s="489">
        <f t="shared" si="89"/>
        <v>0.4</v>
      </c>
      <c r="CL24" s="489">
        <f t="shared" si="89"/>
        <v>0.3</v>
      </c>
      <c r="CM24" s="489">
        <f t="shared" si="89"/>
        <v>0.34950329999461294</v>
      </c>
      <c r="CN24" s="489">
        <f t="shared" si="89"/>
        <v>0</v>
      </c>
      <c r="CO24" s="489">
        <f t="shared" si="89"/>
        <v>0.35</v>
      </c>
      <c r="CP24" s="489">
        <f t="shared" si="89"/>
        <v>0.17522078984299519</v>
      </c>
      <c r="CQ24" s="489">
        <f t="shared" si="89"/>
        <v>0.69</v>
      </c>
      <c r="CR24" s="489">
        <f t="shared" si="89"/>
        <v>0.69</v>
      </c>
      <c r="CS24" s="489">
        <f t="shared" si="89"/>
        <v>0.69</v>
      </c>
      <c r="CT24" s="489">
        <f t="shared" si="89"/>
        <v>1</v>
      </c>
      <c r="CU24" s="489">
        <f t="shared" si="89"/>
        <v>1</v>
      </c>
      <c r="CV24" s="489">
        <f t="shared" si="89"/>
        <v>1</v>
      </c>
      <c r="CW24" s="489">
        <f t="shared" si="89"/>
        <v>1</v>
      </c>
      <c r="CX24" s="489">
        <f t="shared" si="89"/>
        <v>1</v>
      </c>
      <c r="CY24" s="489">
        <f t="shared" si="89"/>
        <v>1</v>
      </c>
      <c r="CZ24" s="489">
        <f t="shared" si="89"/>
        <v>1</v>
      </c>
      <c r="DA24" s="489">
        <f t="shared" si="89"/>
        <v>1</v>
      </c>
      <c r="DB24" s="489">
        <f t="shared" si="89"/>
        <v>1</v>
      </c>
      <c r="DC24" s="489">
        <f t="shared" si="89"/>
        <v>1</v>
      </c>
      <c r="DD24" s="489">
        <f t="shared" si="89"/>
        <v>1</v>
      </c>
      <c r="DE24" s="489">
        <f t="shared" si="89"/>
        <v>1</v>
      </c>
      <c r="DF24" s="489">
        <f t="shared" si="89"/>
        <v>1</v>
      </c>
      <c r="DG24" s="489">
        <f t="shared" si="89"/>
        <v>1</v>
      </c>
      <c r="DH24" s="1249">
        <f t="shared" si="89"/>
        <v>1</v>
      </c>
      <c r="DI24" s="489">
        <f t="shared" si="89"/>
        <v>1</v>
      </c>
      <c r="DJ24" s="489">
        <f t="shared" si="89"/>
        <v>1</v>
      </c>
      <c r="DK24" s="1249">
        <f t="shared" si="89"/>
        <v>1</v>
      </c>
      <c r="DL24" s="489">
        <f t="shared" ref="DL24:DQ24" si="90">+DL352</f>
        <v>0</v>
      </c>
      <c r="DM24" s="489">
        <f t="shared" si="90"/>
        <v>1</v>
      </c>
      <c r="DN24" s="1249">
        <f t="shared" si="90"/>
        <v>0.53591248296298033</v>
      </c>
      <c r="DO24" s="489">
        <f t="shared" si="90"/>
        <v>1</v>
      </c>
      <c r="DP24" s="489">
        <f t="shared" si="90"/>
        <v>1</v>
      </c>
      <c r="DQ24" s="1249">
        <f t="shared" si="90"/>
        <v>1</v>
      </c>
      <c r="DR24" s="489">
        <f t="shared" ref="DR24:DW24" si="91">+DR352</f>
        <v>1</v>
      </c>
      <c r="DS24" s="489">
        <f t="shared" si="91"/>
        <v>1</v>
      </c>
      <c r="DT24" s="1249">
        <f t="shared" si="91"/>
        <v>1</v>
      </c>
      <c r="DU24" s="489">
        <f t="shared" si="91"/>
        <v>1</v>
      </c>
      <c r="DV24" s="489">
        <f t="shared" si="91"/>
        <v>1</v>
      </c>
      <c r="DW24" s="1249">
        <f t="shared" si="91"/>
        <v>1</v>
      </c>
      <c r="DX24" s="489">
        <f t="shared" ref="DX24:EC24" si="92">+DX352</f>
        <v>1</v>
      </c>
      <c r="DY24" s="489">
        <f t="shared" si="92"/>
        <v>1</v>
      </c>
      <c r="DZ24" s="1249">
        <f t="shared" si="92"/>
        <v>1</v>
      </c>
      <c r="EA24" s="489">
        <f t="shared" si="92"/>
        <v>1</v>
      </c>
      <c r="EB24" s="489">
        <f t="shared" si="92"/>
        <v>1</v>
      </c>
      <c r="EC24" s="1249">
        <f t="shared" si="92"/>
        <v>1</v>
      </c>
      <c r="ED24" s="489">
        <f t="shared" ref="ED24:EL24" si="93">+ED352</f>
        <v>1</v>
      </c>
      <c r="EE24" s="489">
        <f t="shared" si="93"/>
        <v>1</v>
      </c>
      <c r="EF24" s="1249">
        <f t="shared" si="93"/>
        <v>1</v>
      </c>
      <c r="EG24" s="489">
        <f t="shared" si="93"/>
        <v>1</v>
      </c>
      <c r="EH24" s="489">
        <f t="shared" si="93"/>
        <v>1</v>
      </c>
      <c r="EI24" s="1249">
        <f t="shared" si="93"/>
        <v>1</v>
      </c>
      <c r="EJ24" s="489">
        <f t="shared" si="93"/>
        <v>1</v>
      </c>
      <c r="EK24" s="489">
        <f t="shared" si="93"/>
        <v>1</v>
      </c>
      <c r="EL24" s="1249">
        <f t="shared" si="93"/>
        <v>0.99999999999999989</v>
      </c>
      <c r="EM24" s="489">
        <f t="shared" ref="EM24:ER24" si="94">+EM352</f>
        <v>1</v>
      </c>
      <c r="EN24" s="489">
        <f t="shared" si="94"/>
        <v>1</v>
      </c>
      <c r="EO24" s="1249">
        <f t="shared" si="94"/>
        <v>1</v>
      </c>
      <c r="EP24" s="489">
        <f t="shared" si="94"/>
        <v>1</v>
      </c>
      <c r="EQ24" s="489">
        <f t="shared" si="94"/>
        <v>1</v>
      </c>
      <c r="ER24" s="1249">
        <f t="shared" si="94"/>
        <v>1</v>
      </c>
      <c r="ES24" s="489">
        <f t="shared" ref="ES24:EX24" si="95">+ES352</f>
        <v>1</v>
      </c>
      <c r="ET24" s="489">
        <f t="shared" si="95"/>
        <v>1</v>
      </c>
      <c r="EU24" s="1249">
        <f t="shared" si="95"/>
        <v>1</v>
      </c>
      <c r="EV24" s="489">
        <f t="shared" si="95"/>
        <v>1</v>
      </c>
      <c r="EW24" s="489">
        <f t="shared" si="95"/>
        <v>1</v>
      </c>
      <c r="EX24" s="1249">
        <f t="shared" si="95"/>
        <v>1</v>
      </c>
      <c r="EY24" s="489">
        <f t="shared" ref="EY24:FA24" si="96">+EY352</f>
        <v>1</v>
      </c>
      <c r="EZ24" s="489">
        <f t="shared" si="96"/>
        <v>1</v>
      </c>
      <c r="FA24" s="1249">
        <f t="shared" si="96"/>
        <v>1</v>
      </c>
      <c r="FE24"/>
      <c r="FF24"/>
      <c r="FG24"/>
      <c r="FH24"/>
      <c r="FI24"/>
      <c r="FJ24"/>
      <c r="FK24" s="35"/>
    </row>
    <row r="25" spans="1:167" s="236" customFormat="1" ht="13.35" customHeight="1">
      <c r="B25" s="242" t="s">
        <v>620</v>
      </c>
      <c r="C25" s="242" t="s">
        <v>621</v>
      </c>
      <c r="D25" s="243"/>
      <c r="E25" s="491"/>
      <c r="F25" s="491"/>
      <c r="G25" s="491"/>
      <c r="H25" s="491"/>
      <c r="I25" s="491"/>
      <c r="J25" s="491"/>
      <c r="K25" s="491"/>
      <c r="L25" s="491"/>
      <c r="M25" s="491"/>
      <c r="N25" s="491"/>
      <c r="O25" s="491"/>
      <c r="P25" s="491"/>
      <c r="Q25" s="491"/>
      <c r="R25" s="491"/>
      <c r="S25" s="491"/>
      <c r="T25" s="491"/>
      <c r="U25" s="491"/>
      <c r="V25" s="491"/>
      <c r="W25" s="491"/>
      <c r="X25" s="491"/>
      <c r="Y25" s="491"/>
      <c r="Z25" s="491"/>
      <c r="AA25" s="491"/>
      <c r="AB25" s="491"/>
      <c r="AC25" s="491"/>
      <c r="AD25" s="491"/>
      <c r="AE25" s="491"/>
      <c r="AF25" s="491"/>
      <c r="AG25" s="491"/>
      <c r="AH25" s="491">
        <f>+((AH320-AH252+AH410)/(AH385+AH397))*AH399</f>
        <v>0</v>
      </c>
      <c r="AI25" s="491">
        <f t="shared" ref="AI25:AR25" si="97">+((AI320-AI252+AI410)/(AI385+AI397))*AI399</f>
        <v>0.36</v>
      </c>
      <c r="AJ25" s="491">
        <f t="shared" si="97"/>
        <v>0.31810000000000005</v>
      </c>
      <c r="AK25" s="491">
        <f t="shared" si="97"/>
        <v>0.31810000000000005</v>
      </c>
      <c r="AL25" s="491">
        <f t="shared" si="97"/>
        <v>0.42931380107941403</v>
      </c>
      <c r="AM25" s="491">
        <f t="shared" si="97"/>
        <v>0.44849267540478022</v>
      </c>
      <c r="AN25" s="491">
        <f t="shared" si="97"/>
        <v>0.44849267540478022</v>
      </c>
      <c r="AO25" s="491">
        <f t="shared" si="97"/>
        <v>0.47887047031611407</v>
      </c>
      <c r="AP25" s="491">
        <f t="shared" si="97"/>
        <v>0.49959704254412235</v>
      </c>
      <c r="AQ25" s="491">
        <f t="shared" si="97"/>
        <v>0.49959704254412235</v>
      </c>
      <c r="AR25" s="491">
        <f t="shared" si="97"/>
        <v>0.6447267350309176</v>
      </c>
      <c r="AS25" s="491">
        <f t="shared" ref="AS25:BB25" si="98">+((AS320-AS252+AS410)/(AS385+AS397))*AS399</f>
        <v>0.72352364851884587</v>
      </c>
      <c r="AT25" s="491">
        <f t="shared" si="98"/>
        <v>0.72352364851884587</v>
      </c>
      <c r="AU25" s="491">
        <f t="shared" si="98"/>
        <v>0.79248244900708775</v>
      </c>
      <c r="AV25" s="491">
        <f t="shared" si="98"/>
        <v>0.80315493602989252</v>
      </c>
      <c r="AW25" s="491">
        <f t="shared" si="98"/>
        <v>0.80315493602989252</v>
      </c>
      <c r="AX25" s="491">
        <f t="shared" si="98"/>
        <v>1.0053473415808858</v>
      </c>
      <c r="AY25" s="491">
        <f t="shared" si="98"/>
        <v>1.0933504724257164</v>
      </c>
      <c r="AZ25" s="491">
        <f t="shared" si="98"/>
        <v>1.0933504724257164</v>
      </c>
      <c r="BA25" s="491">
        <f t="shared" si="98"/>
        <v>1.7121675826472911</v>
      </c>
      <c r="BB25" s="491">
        <f t="shared" si="98"/>
        <v>1.8478363892899412</v>
      </c>
      <c r="BC25" s="491">
        <f t="shared" ref="BC25:BN25" si="99">+((BC320-BC252+BC410)/(BC385+BC397))*BC399</f>
        <v>1.8478363892899414</v>
      </c>
      <c r="BD25" s="491">
        <f t="shared" si="99"/>
        <v>2.1157411795438312</v>
      </c>
      <c r="BE25" s="491">
        <f t="shared" si="99"/>
        <v>2.1958336827072658</v>
      </c>
      <c r="BF25" s="491">
        <f t="shared" si="99"/>
        <v>2.1958336827072658</v>
      </c>
      <c r="BG25" s="491">
        <f t="shared" si="99"/>
        <v>2.832506524872513</v>
      </c>
      <c r="BH25" s="491">
        <f t="shared" si="99"/>
        <v>2.9744269617775432</v>
      </c>
      <c r="BI25" s="491">
        <f t="shared" si="99"/>
        <v>2.9744269617775432</v>
      </c>
      <c r="BJ25" s="491">
        <f t="shared" si="99"/>
        <v>3.2953822403580659</v>
      </c>
      <c r="BK25" s="491">
        <f t="shared" si="99"/>
        <v>3.1322909857516565</v>
      </c>
      <c r="BL25" s="491">
        <f t="shared" si="99"/>
        <v>3.1322909857516565</v>
      </c>
      <c r="BM25" s="491">
        <f t="shared" si="99"/>
        <v>2.9491438907159031</v>
      </c>
      <c r="BN25" s="491">
        <f t="shared" si="99"/>
        <v>4.360814153530946E-3</v>
      </c>
      <c r="BO25" s="491">
        <f>+((BO320-BO252+BO410)/(BO385+BO397))*BO399</f>
        <v>4.360814153530946E-3</v>
      </c>
      <c r="BP25" s="491">
        <f t="shared" ref="BP25:DK25" si="100">+((BP320-BP252+BP410)/(BP385+BP397))*BP399</f>
        <v>0.93088739639516649</v>
      </c>
      <c r="BQ25" s="491">
        <f t="shared" si="100"/>
        <v>0.83335921660822387</v>
      </c>
      <c r="BR25" s="491">
        <f t="shared" si="100"/>
        <v>0.83335921660822387</v>
      </c>
      <c r="BS25" s="491">
        <f t="shared" si="100"/>
        <v>1.4503250326803596</v>
      </c>
      <c r="BT25" s="491">
        <f t="shared" si="100"/>
        <v>1.9692108965634676</v>
      </c>
      <c r="BU25" s="491">
        <f t="shared" si="100"/>
        <v>1.9692108965634676</v>
      </c>
      <c r="BV25" s="491">
        <f t="shared" si="100"/>
        <v>2.14328299864738</v>
      </c>
      <c r="BW25" s="491">
        <f t="shared" si="100"/>
        <v>2.7666566168604936</v>
      </c>
      <c r="BX25" s="491">
        <f t="shared" si="100"/>
        <v>2.7666566168604936</v>
      </c>
      <c r="BY25" s="491">
        <f t="shared" si="100"/>
        <v>1.8600174262102211</v>
      </c>
      <c r="BZ25" s="491">
        <f t="shared" si="100"/>
        <v>3.5768033435229021</v>
      </c>
      <c r="CA25" s="491">
        <f t="shared" si="100"/>
        <v>3.5705579863513619</v>
      </c>
      <c r="CB25" s="491">
        <f t="shared" si="100"/>
        <v>4.0331179280953693</v>
      </c>
      <c r="CC25" s="491">
        <f t="shared" si="100"/>
        <v>4.7770568378665743</v>
      </c>
      <c r="CD25" s="491">
        <f t="shared" si="100"/>
        <v>4.770820642977557</v>
      </c>
      <c r="CE25" s="491">
        <f t="shared" si="100"/>
        <v>5.7421423906299758</v>
      </c>
      <c r="CF25" s="491">
        <f t="shared" si="100"/>
        <v>5.9614707808137526</v>
      </c>
      <c r="CG25" s="491">
        <f t="shared" si="100"/>
        <v>5.9900471953049594</v>
      </c>
      <c r="CH25" s="491">
        <f t="shared" si="100"/>
        <v>4.2892747387409154</v>
      </c>
      <c r="CI25" s="491">
        <f t="shared" si="100"/>
        <v>2.9846560785162066</v>
      </c>
      <c r="CJ25" s="491">
        <f t="shared" si="100"/>
        <v>3.00623765087497</v>
      </c>
      <c r="CK25" s="491">
        <f t="shared" si="100"/>
        <v>3.7842329885827817</v>
      </c>
      <c r="CL25" s="491">
        <f t="shared" si="100"/>
        <v>2.9062601188323414</v>
      </c>
      <c r="CM25" s="491">
        <f t="shared" si="100"/>
        <v>2.9062601188323414</v>
      </c>
      <c r="CN25" s="491">
        <f t="shared" si="100"/>
        <v>2.0715793363192168</v>
      </c>
      <c r="CO25" s="491">
        <f t="shared" si="100"/>
        <v>2.4542522758279537</v>
      </c>
      <c r="CP25" s="491">
        <f t="shared" si="100"/>
        <v>2.4553315210688869</v>
      </c>
      <c r="CQ25" s="491">
        <f t="shared" si="100"/>
        <v>2.3586421363745682</v>
      </c>
      <c r="CR25" s="491">
        <f t="shared" si="100"/>
        <v>2.9972540239878946</v>
      </c>
      <c r="CS25" s="491">
        <f t="shared" si="100"/>
        <v>2.9996599994613149</v>
      </c>
      <c r="CT25" s="491">
        <f t="shared" si="100"/>
        <v>3.9492602781531132</v>
      </c>
      <c r="CU25" s="491">
        <f t="shared" si="100"/>
        <v>4.6878129854939248</v>
      </c>
      <c r="CV25" s="491">
        <f t="shared" si="100"/>
        <v>4.6925518531886601</v>
      </c>
      <c r="CW25" s="491">
        <f t="shared" si="100"/>
        <v>5.5917506172316189</v>
      </c>
      <c r="CX25" s="491">
        <f t="shared" si="100"/>
        <v>4.3271126592079368</v>
      </c>
      <c r="CY25" s="491">
        <f t="shared" si="100"/>
        <v>4.3271126592079368</v>
      </c>
      <c r="CZ25" s="491">
        <f t="shared" si="100"/>
        <v>4.7861323992379559</v>
      </c>
      <c r="DA25" s="491">
        <f t="shared" si="100"/>
        <v>5.362227825894462</v>
      </c>
      <c r="DB25" s="491">
        <f t="shared" si="100"/>
        <v>5.3826095804347602</v>
      </c>
      <c r="DC25" s="491">
        <f t="shared" si="100"/>
        <v>5.7095839956397718</v>
      </c>
      <c r="DD25" s="491">
        <f t="shared" si="100"/>
        <v>5.9952910542223288</v>
      </c>
      <c r="DE25" s="491">
        <f t="shared" si="100"/>
        <v>5.9952910542223288</v>
      </c>
      <c r="DF25" s="491">
        <f t="shared" si="100"/>
        <v>7.3083655678348318</v>
      </c>
      <c r="DG25" s="491">
        <f t="shared" si="100"/>
        <v>15.769457589447672</v>
      </c>
      <c r="DH25" s="1250">
        <f t="shared" si="100"/>
        <v>15.769457589447672</v>
      </c>
      <c r="DI25" s="491">
        <f t="shared" si="100"/>
        <v>19.456537503424183</v>
      </c>
      <c r="DJ25" s="491">
        <f t="shared" si="100"/>
        <v>20.435799757636875</v>
      </c>
      <c r="DK25" s="1250">
        <f t="shared" si="100"/>
        <v>20.435799757636875</v>
      </c>
      <c r="DL25" s="491">
        <f t="shared" ref="DL25:DQ25" si="101">+((DL320-DL252+DL410)/(DL385+DL397))*DL399</f>
        <v>21.076583650565642</v>
      </c>
      <c r="DM25" s="491">
        <f t="shared" si="101"/>
        <v>20.339201379202347</v>
      </c>
      <c r="DN25" s="1250">
        <f t="shared" si="101"/>
        <v>20.339201379202347</v>
      </c>
      <c r="DO25" s="491">
        <f t="shared" si="101"/>
        <v>20.548351837579361</v>
      </c>
      <c r="DP25" s="491">
        <f t="shared" si="101"/>
        <v>20.505022189522094</v>
      </c>
      <c r="DQ25" s="1250">
        <f t="shared" si="101"/>
        <v>20.505022189522094</v>
      </c>
      <c r="DR25" s="491">
        <f t="shared" ref="DR25:DW25" si="102">+((DR320-DR252+DR410)/(DR385+DR397))*DR399</f>
        <v>20.818283350421446</v>
      </c>
      <c r="DS25" s="491">
        <f t="shared" si="102"/>
        <v>21.828942655388907</v>
      </c>
      <c r="DT25" s="1250">
        <f t="shared" si="102"/>
        <v>21.83611670142356</v>
      </c>
      <c r="DU25" s="491">
        <f t="shared" si="102"/>
        <v>21.992942183377956</v>
      </c>
      <c r="DV25" s="491">
        <f t="shared" si="102"/>
        <v>22.765261041600628</v>
      </c>
      <c r="DW25" s="1250">
        <f t="shared" si="102"/>
        <v>22.770748244601275</v>
      </c>
      <c r="DX25" s="491">
        <f t="shared" ref="DX25:EC25" si="103">+((DX320-DX252+DX410)/(DX385+DX397))*DX399</f>
        <v>22.558868419974143</v>
      </c>
      <c r="DY25" s="491">
        <f t="shared" si="103"/>
        <v>22.552741002056571</v>
      </c>
      <c r="DZ25" s="1250">
        <f t="shared" si="103"/>
        <v>22.552741002056578</v>
      </c>
      <c r="EA25" s="491">
        <f t="shared" si="103"/>
        <v>22.721217221849464</v>
      </c>
      <c r="EB25" s="491">
        <f t="shared" si="103"/>
        <v>22.814154967027822</v>
      </c>
      <c r="EC25" s="1250">
        <f t="shared" si="103"/>
        <v>22.814154967027822</v>
      </c>
      <c r="ED25" s="491">
        <f t="shared" ref="ED25:EL25" si="104">+((ED320-ED252+ED410)/(ED385+ED397))*ED399</f>
        <v>23.530259453324909</v>
      </c>
      <c r="EE25" s="491">
        <f t="shared" si="104"/>
        <v>24.159180089473402</v>
      </c>
      <c r="EF25" s="1250">
        <f t="shared" si="104"/>
        <v>24.159180089473402</v>
      </c>
      <c r="EG25" s="491">
        <f t="shared" si="104"/>
        <v>24.9509096656409</v>
      </c>
      <c r="EH25" s="491">
        <f t="shared" si="104"/>
        <v>25.636923419042272</v>
      </c>
      <c r="EI25" s="1250">
        <f t="shared" si="104"/>
        <v>25.636923419042272</v>
      </c>
      <c r="EJ25" s="491">
        <f t="shared" si="104"/>
        <v>27.321105124240574</v>
      </c>
      <c r="EK25" s="491">
        <f t="shared" si="104"/>
        <v>28.933234766255772</v>
      </c>
      <c r="EL25" s="1250">
        <f t="shared" si="104"/>
        <v>28.933234766255772</v>
      </c>
      <c r="EM25" s="491">
        <f t="shared" ref="EM25:ER25" si="105">+((EM320-EM252+EM410)/(EM385+EM397))*EM399</f>
        <v>30.76604365850006</v>
      </c>
      <c r="EN25" s="491">
        <f t="shared" si="105"/>
        <v>32.535344148299934</v>
      </c>
      <c r="EO25" s="1250">
        <f t="shared" si="105"/>
        <v>32.535344148299934</v>
      </c>
      <c r="EP25" s="491">
        <f t="shared" si="105"/>
        <v>34.531564590927019</v>
      </c>
      <c r="EQ25" s="491">
        <f t="shared" si="105"/>
        <v>36.467828136962133</v>
      </c>
      <c r="ER25" s="1250">
        <f t="shared" si="105"/>
        <v>36.467828136962133</v>
      </c>
      <c r="ES25" s="491">
        <f t="shared" ref="ES25:EX25" si="106">+((ES320-ES252+ES410)/(ES385+ES397))*ES399</f>
        <v>38.652373518200108</v>
      </c>
      <c r="ET25" s="491">
        <f t="shared" si="106"/>
        <v>40.77090274379924</v>
      </c>
      <c r="EU25" s="1250">
        <f t="shared" si="106"/>
        <v>40.77090274379924</v>
      </c>
      <c r="EV25" s="491">
        <f t="shared" si="106"/>
        <v>43.161105787863356</v>
      </c>
      <c r="EW25" s="491">
        <f t="shared" si="106"/>
        <v>45.478612150310653</v>
      </c>
      <c r="EX25" s="1250">
        <f t="shared" si="106"/>
        <v>45.478612150310653</v>
      </c>
      <c r="EY25" s="491">
        <f t="shared" ref="EY25:FA25" si="107">+((EY320-EY252+EY410)/(EY385+EY397))*EY399</f>
        <v>48.093422704463521</v>
      </c>
      <c r="EZ25" s="491">
        <f t="shared" si="107"/>
        <v>50.628160806677393</v>
      </c>
      <c r="FA25" s="1250">
        <f t="shared" si="107"/>
        <v>50.628160806677393</v>
      </c>
      <c r="FE25"/>
      <c r="FF25"/>
      <c r="FG25"/>
      <c r="FH25"/>
      <c r="FI25"/>
      <c r="FJ25"/>
      <c r="FK25" s="35"/>
    </row>
    <row r="26" spans="1:167" s="236" customFormat="1" ht="13.35" customHeight="1">
      <c r="B26" s="242" t="s">
        <v>507</v>
      </c>
      <c r="C26" s="242" t="s">
        <v>130</v>
      </c>
      <c r="D26" s="243"/>
      <c r="E26" s="482"/>
      <c r="F26" s="482"/>
      <c r="G26" s="492">
        <v>1</v>
      </c>
      <c r="H26" s="482"/>
      <c r="I26" s="482"/>
      <c r="J26" s="482"/>
      <c r="K26" s="482"/>
      <c r="L26" s="482"/>
      <c r="M26" s="482"/>
      <c r="N26" s="482"/>
      <c r="O26" s="482"/>
      <c r="P26" s="482"/>
      <c r="Q26" s="482"/>
      <c r="R26" s="482"/>
      <c r="S26" s="482"/>
      <c r="T26" s="482"/>
      <c r="U26" s="482"/>
      <c r="V26" s="482"/>
      <c r="W26" s="482"/>
      <c r="X26" s="482"/>
      <c r="Y26" s="482"/>
      <c r="Z26" s="482"/>
      <c r="AA26" s="482"/>
      <c r="AB26" s="482"/>
      <c r="AC26" s="482"/>
      <c r="AD26" s="482"/>
      <c r="AE26" s="482"/>
      <c r="AF26" s="482"/>
      <c r="AG26" s="482"/>
      <c r="AH26" s="482"/>
      <c r="AI26" s="482">
        <v>553.38888888888891</v>
      </c>
      <c r="AJ26" s="482">
        <v>626.28104369695052</v>
      </c>
      <c r="AK26" s="482">
        <v>626.28104369695052</v>
      </c>
      <c r="AL26" s="482">
        <v>464.04285047232497</v>
      </c>
      <c r="AM26" s="482">
        <v>444.19900463301218</v>
      </c>
      <c r="AN26" s="482">
        <v>444.19900463301218</v>
      </c>
      <c r="AO26" s="482">
        <v>416.02064096474777</v>
      </c>
      <c r="AP26" s="482">
        <v>398.76136773248754</v>
      </c>
      <c r="AQ26" s="482">
        <v>398.76136773248754</v>
      </c>
      <c r="AR26" s="482">
        <v>308.99912967072243</v>
      </c>
      <c r="AS26" s="482">
        <v>275.34690871242594</v>
      </c>
      <c r="AT26" s="482">
        <v>275.34690871242594</v>
      </c>
      <c r="AU26" s="482">
        <v>251.38727078385836</v>
      </c>
      <c r="AV26" s="482">
        <v>248.04678532484951</v>
      </c>
      <c r="AW26" s="482">
        <v>248.04678532484951</v>
      </c>
      <c r="AX26" s="482">
        <v>198.16036882012449</v>
      </c>
      <c r="AY26" s="482">
        <v>182.21055830159278</v>
      </c>
      <c r="AZ26" s="482">
        <v>182.21055830159278</v>
      </c>
      <c r="BA26" s="482">
        <v>116.35543273864191</v>
      </c>
      <c r="BB26" s="482">
        <v>107.81257537446444</v>
      </c>
      <c r="BC26" s="482">
        <v>107.81257537446443</v>
      </c>
      <c r="BD26" s="482">
        <v>94.160855744629998</v>
      </c>
      <c r="BE26" s="482">
        <v>90.726361276314705</v>
      </c>
      <c r="BF26" s="482">
        <v>90.726361276314705</v>
      </c>
      <c r="BG26" s="482">
        <v>70.333465519189446</v>
      </c>
      <c r="BH26" s="482">
        <v>66.977606967677701</v>
      </c>
      <c r="BI26" s="482">
        <v>66.977606967677701</v>
      </c>
      <c r="BJ26" s="482">
        <v>60.45429193620749</v>
      </c>
      <c r="BK26" s="482">
        <v>63.602009170355906</v>
      </c>
      <c r="BL26" s="482">
        <v>63.602009170355906</v>
      </c>
      <c r="BM26" s="482">
        <v>67.551807365913049</v>
      </c>
      <c r="BN26" s="482">
        <v>45684.129840454632</v>
      </c>
      <c r="BO26" s="482">
        <v>45684.129840454632</v>
      </c>
      <c r="BP26" s="482">
        <v>214.01084682365823</v>
      </c>
      <c r="BQ26" s="482">
        <v>239.05657491954835</v>
      </c>
      <c r="BR26" s="482">
        <v>239.05657491954835</v>
      </c>
      <c r="BS26" s="482">
        <v>137.36231224791013</v>
      </c>
      <c r="BT26" s="482">
        <v>101.16742719008164</v>
      </c>
      <c r="BU26" s="482">
        <v>101.16742719008164</v>
      </c>
      <c r="BV26" s="482">
        <v>92.95086095757172</v>
      </c>
      <c r="BW26" s="482">
        <v>72.007490479996022</v>
      </c>
      <c r="BX26" s="482">
        <v>72.007490479996022</v>
      </c>
      <c r="BY26" s="482">
        <v>107.10652340817582</v>
      </c>
      <c r="BZ26" s="482">
        <v>55.697778397786379</v>
      </c>
      <c r="CA26" s="482">
        <v>55.795200851387513</v>
      </c>
      <c r="CB26" s="482">
        <v>49.396026486654506</v>
      </c>
      <c r="CC26" s="482">
        <v>41.703502127257778</v>
      </c>
      <c r="CD26" s="482">
        <v>41.758015005917962</v>
      </c>
      <c r="CE26" s="482">
        <v>34.694367789466014</v>
      </c>
      <c r="CF26" s="482">
        <v>33.417927777347266</v>
      </c>
      <c r="CG26" s="482">
        <v>33.258502563410524</v>
      </c>
      <c r="CH26" s="482">
        <v>46.446080546120378</v>
      </c>
      <c r="CI26" s="482">
        <v>66.748058992123589</v>
      </c>
      <c r="CJ26" s="482">
        <v>66.268879289039816</v>
      </c>
      <c r="CK26" s="482">
        <v>52.644750098912148</v>
      </c>
      <c r="CL26" s="482">
        <v>68.548578535372584</v>
      </c>
      <c r="CM26" s="482">
        <v>68.548578535372584</v>
      </c>
      <c r="CN26" s="482">
        <v>96.168173000786055</v>
      </c>
      <c r="CO26" s="482">
        <v>81.173399312746767</v>
      </c>
      <c r="CP26" s="482">
        <v>81.13771940388439</v>
      </c>
      <c r="CQ26" s="482">
        <v>84.463851861061869</v>
      </c>
      <c r="CR26" s="482">
        <v>66.467506059074225</v>
      </c>
      <c r="CS26" s="482">
        <v>66.414193620535769</v>
      </c>
      <c r="CT26" s="482">
        <v>50.444889920794481</v>
      </c>
      <c r="CU26" s="482">
        <v>42.49742910318114</v>
      </c>
      <c r="CV26" s="482">
        <v>42.454512221239916</v>
      </c>
      <c r="CW26" s="482">
        <v>35.627482990046225</v>
      </c>
      <c r="CX26" s="482">
        <v>46.039938335339421</v>
      </c>
      <c r="CY26" s="482">
        <v>46.039938335339421</v>
      </c>
      <c r="CZ26" s="482">
        <v>41.624423100313656</v>
      </c>
      <c r="DA26" s="482">
        <v>37.152468427014014</v>
      </c>
      <c r="DB26" s="482">
        <v>37.011787130938217</v>
      </c>
      <c r="DC26" s="482">
        <v>34.892209336466195</v>
      </c>
      <c r="DD26" s="482">
        <v>33.229412583680066</v>
      </c>
      <c r="DE26" s="482">
        <v>33.229412583680066</v>
      </c>
      <c r="DF26" s="482">
        <v>27.259172813795178</v>
      </c>
      <c r="DG26" s="482">
        <v>12.633281701033937</v>
      </c>
      <c r="DH26" s="1244">
        <v>12.633281701033937</v>
      </c>
      <c r="DI26" s="482">
        <v>10.239231927311783</v>
      </c>
      <c r="DJ26" s="482">
        <v>9.7485785906446516</v>
      </c>
      <c r="DK26" s="1244">
        <v>9.7485785906446516</v>
      </c>
      <c r="DL26" s="482">
        <v>9.452196015394243</v>
      </c>
      <c r="DM26" s="482">
        <v>9.7948781904342859</v>
      </c>
      <c r="DN26" s="1244">
        <v>9.7948781904342859</v>
      </c>
      <c r="DO26" s="482">
        <v>9.6951814712293025</v>
      </c>
      <c r="DP26" s="482">
        <v>9.7156685888299048</v>
      </c>
      <c r="DQ26" s="1244">
        <v>9.7156685888299048</v>
      </c>
      <c r="DR26" s="482">
        <v>9.5694729794311773</v>
      </c>
      <c r="DS26" s="482">
        <v>9.1264154725707058</v>
      </c>
      <c r="DT26" s="1244">
        <v>9.1234170765817648</v>
      </c>
      <c r="DU26" s="482">
        <v>9.0583605567138932</v>
      </c>
      <c r="DV26" s="482">
        <v>8.7510527393448605</v>
      </c>
      <c r="DW26" s="1244">
        <v>8.7489439459782847</v>
      </c>
      <c r="DX26" s="482">
        <v>8.8311167161029243</v>
      </c>
      <c r="DY26" s="482">
        <v>8.8335160671526918</v>
      </c>
      <c r="DZ26" s="1244">
        <v>8.8335160671526882</v>
      </c>
      <c r="EA26" s="482">
        <v>8.7680161698565851</v>
      </c>
      <c r="EB26" s="482">
        <v>8.7322980091931033</v>
      </c>
      <c r="EC26" s="1244">
        <v>8.7322980091931033</v>
      </c>
      <c r="ED26" s="482">
        <v>8.4665449777626449</v>
      </c>
      <c r="EE26" s="482">
        <v>8.2461407739082926</v>
      </c>
      <c r="EF26" s="1244">
        <v>8.2461407739082926</v>
      </c>
      <c r="EG26" s="482">
        <v>7.9844784286297781</v>
      </c>
      <c r="EH26" s="482">
        <v>7.7708232280331213</v>
      </c>
      <c r="EI26" s="1244">
        <v>7.7708232280331213</v>
      </c>
      <c r="EJ26" s="482">
        <v>7.2917987429155131</v>
      </c>
      <c r="EK26" s="482">
        <v>6.8855073277995906</v>
      </c>
      <c r="EL26" s="1244">
        <v>6.8855073277995906</v>
      </c>
      <c r="EM26" s="482">
        <v>6.4753207208350103</v>
      </c>
      <c r="EN26" s="482">
        <v>6.1231871128189628</v>
      </c>
      <c r="EO26" s="1244">
        <v>6.1231871128189628</v>
      </c>
      <c r="EP26" s="482">
        <v>5.7692144089047144</v>
      </c>
      <c r="EQ26" s="482">
        <v>5.4628973036669457</v>
      </c>
      <c r="ER26" s="1244">
        <v>5.4628973036669457</v>
      </c>
      <c r="ES26" s="482">
        <v>5.1541466116225427</v>
      </c>
      <c r="ET26" s="482">
        <v>4.886327910173609</v>
      </c>
      <c r="EU26" s="1244">
        <v>4.886327910173609</v>
      </c>
      <c r="EV26" s="482">
        <v>4.6157297493527025</v>
      </c>
      <c r="EW26" s="482">
        <v>4.3805206575249276</v>
      </c>
      <c r="EX26" s="1244">
        <v>4.3805206575249276</v>
      </c>
      <c r="EY26" s="482">
        <v>4.1423543760696102</v>
      </c>
      <c r="EZ26" s="482">
        <v>3.934964194348626</v>
      </c>
      <c r="FA26" s="1244">
        <v>3.934964194348626</v>
      </c>
      <c r="FE26"/>
      <c r="FF26"/>
      <c r="FG26"/>
      <c r="FH26"/>
      <c r="FI26"/>
      <c r="FJ26"/>
      <c r="FK26" s="35"/>
    </row>
    <row r="27" spans="1:167" s="236" customFormat="1" ht="13.35" customHeight="1">
      <c r="B27" s="242" t="s">
        <v>508</v>
      </c>
      <c r="C27" s="242" t="s">
        <v>460</v>
      </c>
      <c r="D27" s="243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  <c r="R27" s="293"/>
      <c r="S27" s="293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H27" s="293"/>
      <c r="AI27" s="293"/>
      <c r="AJ27" s="293"/>
      <c r="AK27" s="293"/>
      <c r="AL27" s="293">
        <f t="shared" ref="AL27:AU27" si="108">+(AL11-AI11)/AI11</f>
        <v>7.5345045862092369E-2</v>
      </c>
      <c r="AM27" s="293">
        <f t="shared" si="108"/>
        <v>-4.3739514643788981E-2</v>
      </c>
      <c r="AN27" s="293">
        <f t="shared" si="108"/>
        <v>8.9969498439254354E-3</v>
      </c>
      <c r="AO27" s="293">
        <f t="shared" si="108"/>
        <v>-0.11800273064170076</v>
      </c>
      <c r="AP27" s="293">
        <f t="shared" si="108"/>
        <v>9.197663618810048E-2</v>
      </c>
      <c r="AQ27" s="293">
        <f t="shared" si="108"/>
        <v>-8.6779507805775386E-3</v>
      </c>
      <c r="AR27" s="293">
        <f t="shared" si="108"/>
        <v>0.19522099474776985</v>
      </c>
      <c r="AS27" s="293">
        <f t="shared" si="108"/>
        <v>0.2506791698474114</v>
      </c>
      <c r="AT27" s="293">
        <f t="shared" si="108"/>
        <v>0.22954059716440622</v>
      </c>
      <c r="AU27" s="293">
        <f t="shared" si="108"/>
        <v>0.23522567321466101</v>
      </c>
      <c r="AV27" s="293">
        <f t="shared" ref="AV27:BE27" si="109">+(AV11-AS11)/AS11</f>
        <v>0.2242118982057637</v>
      </c>
      <c r="AW27" s="293">
        <f t="shared" si="109"/>
        <v>0.22504675901088009</v>
      </c>
      <c r="AX27" s="293">
        <f t="shared" si="109"/>
        <v>0.52334090481983009</v>
      </c>
      <c r="AY27" s="293">
        <f t="shared" si="109"/>
        <v>0.40817736672935162</v>
      </c>
      <c r="AZ27" s="293">
        <f t="shared" si="109"/>
        <v>0.46011584749251644</v>
      </c>
      <c r="BA27" s="293">
        <f t="shared" si="109"/>
        <v>0.50902317067311187</v>
      </c>
      <c r="BB27" s="293">
        <f t="shared" si="109"/>
        <v>8.4843707687125194E-2</v>
      </c>
      <c r="BC27" s="293">
        <f t="shared" si="109"/>
        <v>0.26549681856330859</v>
      </c>
      <c r="BD27" s="293">
        <f t="shared" si="109"/>
        <v>0.29735572332821214</v>
      </c>
      <c r="BE27" s="293">
        <f t="shared" si="109"/>
        <v>0.47737466280860846</v>
      </c>
      <c r="BF27" s="293">
        <f t="shared" ref="BF27:BO27" si="110">+(BF11-BC11)/BC11</f>
        <v>0.38671700124338843</v>
      </c>
      <c r="BG27" s="293">
        <f t="shared" si="110"/>
        <v>0.2873308421319003</v>
      </c>
      <c r="BH27" s="293">
        <f t="shared" si="110"/>
        <v>0.35238271366792068</v>
      </c>
      <c r="BI27" s="293">
        <f t="shared" si="110"/>
        <v>0.32142109664568508</v>
      </c>
      <c r="BJ27" s="293">
        <f t="shared" si="110"/>
        <v>-3.4083591777902184E-2</v>
      </c>
      <c r="BK27" s="293">
        <f t="shared" si="110"/>
        <v>-0.6891695941764463</v>
      </c>
      <c r="BL27" s="293">
        <f t="shared" si="110"/>
        <v>-0.38358984549319419</v>
      </c>
      <c r="BM27" s="293">
        <f t="shared" si="110"/>
        <v>9.5877352875213456E-2</v>
      </c>
      <c r="BN27" s="293">
        <f t="shared" si="110"/>
        <v>1.9358364538002235</v>
      </c>
      <c r="BO27" s="293">
        <f t="shared" si="110"/>
        <v>0.59044214605937329</v>
      </c>
      <c r="BP27" s="293">
        <f t="shared" ref="BP27:DK27" si="111">+(BP11-BM11)/BM11</f>
        <v>0.4596640081452571</v>
      </c>
      <c r="BQ27" s="293">
        <f t="shared" si="111"/>
        <v>0.27625909200592891</v>
      </c>
      <c r="BR27" s="293">
        <f t="shared" si="111"/>
        <v>0.36867667681362631</v>
      </c>
      <c r="BS27" s="293">
        <f t="shared" si="111"/>
        <v>0.15299368052013829</v>
      </c>
      <c r="BT27" s="293">
        <f t="shared" si="111"/>
        <v>0.40879989455742066</v>
      </c>
      <c r="BU27" s="293">
        <f t="shared" si="111"/>
        <v>0.27133248061591447</v>
      </c>
      <c r="BV27" s="293">
        <f t="shared" si="111"/>
        <v>0.16577114991377515</v>
      </c>
      <c r="BW27" s="293">
        <f t="shared" si="111"/>
        <v>0.12039324754539148</v>
      </c>
      <c r="BX27" s="293">
        <f t="shared" si="111"/>
        <v>0.14382862987562908</v>
      </c>
      <c r="BY27" s="293">
        <f t="shared" si="111"/>
        <v>0.22277568537974268</v>
      </c>
      <c r="BZ27" s="293">
        <f t="shared" si="111"/>
        <v>4.5717487062018593E-2</v>
      </c>
      <c r="CA27" s="293">
        <f t="shared" si="111"/>
        <v>0.1288860803741862</v>
      </c>
      <c r="CB27" s="293">
        <f t="shared" si="111"/>
        <v>6.3454140493187206E-2</v>
      </c>
      <c r="CC27" s="293">
        <f t="shared" si="111"/>
        <v>0.29807172141313798</v>
      </c>
      <c r="CD27" s="293">
        <f t="shared" si="111"/>
        <v>0.17081066499654693</v>
      </c>
      <c r="CE27" s="293">
        <f t="shared" si="111"/>
        <v>9.2659135698950887E-2</v>
      </c>
      <c r="CF27" s="293">
        <f t="shared" si="111"/>
        <v>0.21244728385407338</v>
      </c>
      <c r="CG27" s="293">
        <f t="shared" si="111"/>
        <v>0.15763927168556269</v>
      </c>
      <c r="CH27" s="293">
        <f t="shared" si="111"/>
        <v>-3.3933538539026517E-2</v>
      </c>
      <c r="CI27" s="293">
        <f t="shared" si="111"/>
        <v>-0.20124566200329388</v>
      </c>
      <c r="CJ27" s="293">
        <f t="shared" si="111"/>
        <v>-0.11865238030363119</v>
      </c>
      <c r="CK27" s="293">
        <f t="shared" si="111"/>
        <v>-3.3427695670504923E-2</v>
      </c>
      <c r="CL27" s="293">
        <f t="shared" si="111"/>
        <v>-0.29420268006708722</v>
      </c>
      <c r="CM27" s="293">
        <f t="shared" si="111"/>
        <v>-0.16577094835823608</v>
      </c>
      <c r="CN27" s="293">
        <f t="shared" si="111"/>
        <v>-0.52627768914697293</v>
      </c>
      <c r="CO27" s="293">
        <f t="shared" si="111"/>
        <v>0.32676890973256401</v>
      </c>
      <c r="CP27" s="293">
        <f t="shared" si="111"/>
        <v>-0.17236494946151287</v>
      </c>
      <c r="CQ27" s="293">
        <f t="shared" si="111"/>
        <v>0.93665144083523744</v>
      </c>
      <c r="CR27" s="293">
        <f t="shared" si="111"/>
        <v>1.9222003657997536E-2</v>
      </c>
      <c r="CS27" s="293">
        <f t="shared" si="111"/>
        <v>0.3250693499789602</v>
      </c>
      <c r="CT27" s="293">
        <f t="shared" si="111"/>
        <v>0.31994159588912269</v>
      </c>
      <c r="CU27" s="293">
        <f t="shared" si="111"/>
        <v>0.2713856286859429</v>
      </c>
      <c r="CV27" s="293">
        <f t="shared" si="111"/>
        <v>0.29505860345048512</v>
      </c>
      <c r="CW27" s="293">
        <f t="shared" si="111"/>
        <v>0.17635590190998368</v>
      </c>
      <c r="CX27" s="293">
        <f t="shared" si="111"/>
        <v>0.18218438260963432</v>
      </c>
      <c r="CY27" s="293">
        <f t="shared" si="111"/>
        <v>0.18065693252285711</v>
      </c>
      <c r="CZ27" s="293">
        <f t="shared" si="111"/>
        <v>-7.5828035491440817E-3</v>
      </c>
      <c r="DA27" s="293">
        <f t="shared" si="111"/>
        <v>0.19778219193694671</v>
      </c>
      <c r="DB27" s="293">
        <f t="shared" si="111"/>
        <v>9.5138174779210036E-2</v>
      </c>
      <c r="DC27" s="293">
        <f t="shared" si="111"/>
        <v>0.15842572746795436</v>
      </c>
      <c r="DD27" s="293">
        <f t="shared" si="111"/>
        <v>1.5040610043477599E-2</v>
      </c>
      <c r="DE27" s="293">
        <f t="shared" si="111"/>
        <v>7.9736505196315546E-2</v>
      </c>
      <c r="DF27" s="293">
        <f t="shared" si="111"/>
        <v>2.9736719332216919E-2</v>
      </c>
      <c r="DG27" s="293">
        <f>+(DG11-DD11)/DD11</f>
        <v>-0.85567480491095438</v>
      </c>
      <c r="DH27" s="1248">
        <f>+(DH11-DE11)/DE11</f>
        <v>-0.44025284007644316</v>
      </c>
      <c r="DI27" s="293">
        <f>+(DI11-DF11)/DF11</f>
        <v>-0.16695588765759464</v>
      </c>
      <c r="DJ27" s="293">
        <f>+(DJ11-DG11)/DG11</f>
        <v>4.0939697027214805</v>
      </c>
      <c r="DK27" s="1248">
        <f t="shared" si="111"/>
        <v>0.4197003711628533</v>
      </c>
      <c r="DL27" s="293">
        <f t="shared" ref="DL27:DQ27" si="112">+(DL11-DI11)/DI11</f>
        <v>0.28277807506377894</v>
      </c>
      <c r="DM27" s="293">
        <f t="shared" si="112"/>
        <v>0.13733729146292858</v>
      </c>
      <c r="DN27" s="1248">
        <f t="shared" si="112"/>
        <v>0.21329535829019616</v>
      </c>
      <c r="DO27" s="293">
        <f t="shared" si="112"/>
        <v>-4.7275038610885084E-2</v>
      </c>
      <c r="DP27" s="293">
        <f t="shared" si="112"/>
        <v>0.36161988233130959</v>
      </c>
      <c r="DQ27" s="1248">
        <f t="shared" si="112"/>
        <v>0.13461452695118534</v>
      </c>
      <c r="DR27" s="293">
        <f t="shared" ref="DR27:DW27" si="113">+(DR11-DO11)/DO11</f>
        <v>0.32596961143867415</v>
      </c>
      <c r="DS27" s="293">
        <f t="shared" si="113"/>
        <v>0.14787706984759158</v>
      </c>
      <c r="DT27" s="1248">
        <f t="shared" si="113"/>
        <v>0.23108048072950296</v>
      </c>
      <c r="DU27" s="293">
        <f t="shared" si="113"/>
        <v>5.0774296942448213E-2</v>
      </c>
      <c r="DV27" s="293">
        <f t="shared" si="113"/>
        <v>-1.1634225341963053E-2</v>
      </c>
      <c r="DW27" s="1248">
        <f t="shared" si="113"/>
        <v>2.0117983346006427E-2</v>
      </c>
      <c r="DX27" s="293">
        <f t="shared" ref="DX27:EC27" si="114">+(DX11-DU11)/DU11</f>
        <v>-8.7230778863520653E-2</v>
      </c>
      <c r="DY27" s="293">
        <f t="shared" si="114"/>
        <v>8.2807638622482152E-2</v>
      </c>
      <c r="DZ27" s="1248">
        <f t="shared" si="114"/>
        <v>-4.8337591938408721E-3</v>
      </c>
      <c r="EA27" s="293">
        <f t="shared" si="114"/>
        <v>0.20833120511007258</v>
      </c>
      <c r="EB27" s="293">
        <f t="shared" si="114"/>
        <v>0.11696309577395031</v>
      </c>
      <c r="EC27" s="1248">
        <f t="shared" si="114"/>
        <v>0.1598451222394206</v>
      </c>
      <c r="ED27" s="293">
        <f t="shared" ref="ED27:EL27" si="115">+(ED11-EA11)/EA11</f>
        <v>0.11963899400303081</v>
      </c>
      <c r="EE27" s="293">
        <f t="shared" si="115"/>
        <v>0.12018966595580252</v>
      </c>
      <c r="EF27" s="1248">
        <f t="shared" si="115"/>
        <v>0.11991920288799622</v>
      </c>
      <c r="EG27" s="293">
        <f t="shared" si="115"/>
        <v>0.11827279387762263</v>
      </c>
      <c r="EH27" s="293">
        <f t="shared" si="115"/>
        <v>0.11440005976579702</v>
      </c>
      <c r="EI27" s="1248">
        <f t="shared" si="115"/>
        <v>0.11633588339923256</v>
      </c>
      <c r="EJ27" s="293">
        <f t="shared" si="115"/>
        <v>0.10276089962698294</v>
      </c>
      <c r="EK27" s="293">
        <f t="shared" si="115"/>
        <v>0.10272181030005817</v>
      </c>
      <c r="EL27" s="1248">
        <f t="shared" si="115"/>
        <v>0.10274105399331443</v>
      </c>
      <c r="EM27" s="293">
        <f t="shared" ref="EM27:ER27" si="116">+(EM11-EJ11)/EJ11</f>
        <v>9.7806516219493086E-2</v>
      </c>
      <c r="EN27" s="293">
        <f t="shared" si="116"/>
        <v>9.7707583632642259E-2</v>
      </c>
      <c r="EO27" s="1248">
        <f t="shared" si="116"/>
        <v>9.7756289066239829E-2</v>
      </c>
      <c r="EP27" s="293">
        <f t="shared" si="116"/>
        <v>9.4829612968703875E-2</v>
      </c>
      <c r="EQ27" s="293">
        <f t="shared" si="116"/>
        <v>9.4683713466376329E-2</v>
      </c>
      <c r="ER27" s="1248">
        <f t="shared" si="116"/>
        <v>9.4755544436169195E-2</v>
      </c>
      <c r="ES27" s="293">
        <f t="shared" ref="ES27" si="117">+(ES11-EP11)/EP11</f>
        <v>9.4568849004343397E-2</v>
      </c>
      <c r="ET27" s="293">
        <f t="shared" ref="ET27" si="118">+(ET11-EQ11)/EQ11</f>
        <v>9.4431417554560915E-2</v>
      </c>
      <c r="EU27" s="1248">
        <f t="shared" ref="EU27" si="119">+(EU11-ER11)/ER11</f>
        <v>9.449908401034085E-2</v>
      </c>
      <c r="EV27" s="293">
        <f t="shared" ref="EV27" si="120">+(EV11-ES11)/ES11</f>
        <v>9.4334535422553378E-2</v>
      </c>
      <c r="EW27" s="293">
        <f t="shared" ref="EW27" si="121">+(EW11-ET11)/ET11</f>
        <v>9.4204680079090428E-2</v>
      </c>
      <c r="EX27" s="1248">
        <f t="shared" ref="EX27" si="122">+(EX11-EU11)/EU11</f>
        <v>9.4268620399570152E-2</v>
      </c>
      <c r="EY27" s="293">
        <f t="shared" ref="EY27" si="123">+(EY11-EV11)/EV11</f>
        <v>9.4126129468539682E-2</v>
      </c>
      <c r="EZ27" s="293">
        <f t="shared" ref="EZ27" si="124">+(EZ11-EW11)/EW11</f>
        <v>9.40029926156387E-2</v>
      </c>
      <c r="FA27" s="1248">
        <f t="shared" ref="FA27" si="125">+(FA11-EX11)/EX11</f>
        <v>9.4063628426956661E-2</v>
      </c>
      <c r="FE27"/>
      <c r="FF27"/>
      <c r="FG27"/>
      <c r="FH27"/>
      <c r="FI27"/>
      <c r="FJ27"/>
      <c r="FK27" s="35"/>
    </row>
    <row r="28" spans="1:167" s="236" customFormat="1" ht="13.35" customHeight="1">
      <c r="C28" s="242"/>
      <c r="E28" s="493"/>
      <c r="F28" s="493"/>
      <c r="G28" s="450"/>
      <c r="H28" s="493"/>
      <c r="I28" s="493"/>
      <c r="J28" s="450"/>
      <c r="K28" s="493"/>
      <c r="L28" s="493"/>
      <c r="M28" s="450"/>
      <c r="N28" s="493"/>
      <c r="O28" s="493"/>
      <c r="P28" s="450"/>
      <c r="Q28" s="493"/>
      <c r="R28" s="493"/>
      <c r="S28" s="450"/>
      <c r="T28" s="493"/>
      <c r="U28" s="493"/>
      <c r="V28" s="450"/>
      <c r="W28" s="493"/>
      <c r="X28" s="493"/>
      <c r="Y28" s="450"/>
      <c r="Z28" s="493"/>
      <c r="AA28" s="493"/>
      <c r="AB28" s="450"/>
      <c r="AC28" s="493"/>
      <c r="AD28" s="493"/>
      <c r="AE28" s="450"/>
      <c r="AF28" s="493"/>
      <c r="AG28" s="493"/>
      <c r="AH28" s="450"/>
      <c r="AI28" s="493"/>
      <c r="AJ28" s="493"/>
      <c r="AK28" s="450"/>
      <c r="AL28" s="493"/>
      <c r="AM28" s="481"/>
      <c r="AN28" s="481"/>
      <c r="AO28" s="481"/>
      <c r="AP28" s="481"/>
      <c r="AQ28" s="481"/>
      <c r="AR28" s="481"/>
      <c r="AS28" s="481"/>
      <c r="AT28" s="481"/>
      <c r="AU28" s="481"/>
      <c r="AV28" s="481"/>
      <c r="AW28" s="481"/>
      <c r="AX28" s="481"/>
      <c r="AY28" s="481"/>
      <c r="AZ28" s="494"/>
      <c r="BA28" s="481"/>
      <c r="BB28" s="481"/>
      <c r="BC28" s="481"/>
      <c r="BD28" s="481"/>
      <c r="BE28" s="481"/>
      <c r="BF28" s="481"/>
      <c r="BG28" s="481"/>
      <c r="BH28" s="481"/>
      <c r="BI28" s="481"/>
      <c r="BJ28" s="481"/>
      <c r="BK28" s="481"/>
      <c r="BL28" s="481"/>
      <c r="BM28" s="481"/>
      <c r="BN28" s="481"/>
      <c r="BO28" s="481"/>
      <c r="BP28" s="481"/>
      <c r="BQ28" s="481"/>
      <c r="BR28" s="481"/>
      <c r="BS28" s="481"/>
      <c r="BT28" s="481"/>
      <c r="BU28" s="481"/>
      <c r="BV28" s="481"/>
      <c r="BW28" s="481"/>
      <c r="BX28" s="481"/>
      <c r="BY28" s="481"/>
      <c r="BZ28" s="481"/>
      <c r="CA28" s="481"/>
      <c r="CB28" s="481"/>
      <c r="CC28" s="173">
        <f>CB13/CD13</f>
        <v>0.48498891409714356</v>
      </c>
      <c r="CD28" s="481"/>
      <c r="CE28" s="481"/>
      <c r="CF28" s="481"/>
      <c r="CG28" s="481"/>
      <c r="CH28" s="481"/>
      <c r="CI28" s="481"/>
      <c r="CJ28" s="481"/>
      <c r="CK28" s="481"/>
      <c r="CL28" s="481"/>
      <c r="CM28" s="481"/>
      <c r="CN28" s="481"/>
      <c r="CO28" s="481"/>
      <c r="CP28" s="481"/>
      <c r="CQ28" s="173">
        <f>CQ13/CS13</f>
        <v>0.48940619857377948</v>
      </c>
      <c r="CR28" s="481"/>
      <c r="CS28" s="65"/>
      <c r="CT28" s="481"/>
      <c r="CU28" s="481"/>
      <c r="CV28" s="481"/>
      <c r="CW28" s="481"/>
      <c r="CX28" s="481"/>
      <c r="CY28" s="481"/>
      <c r="CZ28" s="481"/>
      <c r="DA28" s="481"/>
      <c r="DB28" s="481"/>
      <c r="DC28" s="481"/>
      <c r="DD28" s="481"/>
      <c r="DE28" s="481"/>
      <c r="DF28" s="481"/>
      <c r="DG28" s="481"/>
      <c r="DH28" s="1242"/>
      <c r="DI28" s="481"/>
      <c r="DJ28" s="481"/>
      <c r="DK28" s="1242"/>
      <c r="DL28" s="481"/>
      <c r="DM28" s="481"/>
      <c r="DN28" s="1242"/>
      <c r="DO28" s="481"/>
      <c r="DP28" s="481"/>
      <c r="DQ28" s="1242"/>
      <c r="DR28" s="481"/>
      <c r="DS28" s="481"/>
      <c r="DT28" s="1242"/>
      <c r="DU28" s="481"/>
      <c r="DV28" s="481"/>
      <c r="DW28" s="1242"/>
      <c r="DX28" s="481"/>
      <c r="DY28" s="481"/>
      <c r="DZ28" s="1242"/>
      <c r="EA28" s="481"/>
      <c r="EB28" s="481"/>
      <c r="EC28" s="1242"/>
      <c r="ED28" s="481"/>
      <c r="EE28" s="481"/>
      <c r="EF28" s="1242"/>
      <c r="EG28" s="481"/>
      <c r="EH28" s="481"/>
      <c r="EI28" s="1242"/>
      <c r="EJ28" s="481"/>
      <c r="EK28" s="481"/>
      <c r="EL28" s="1242"/>
      <c r="EM28" s="481"/>
      <c r="EN28" s="481"/>
      <c r="EO28" s="1242"/>
      <c r="EP28" s="481"/>
      <c r="EQ28" s="481"/>
      <c r="ER28" s="1242"/>
      <c r="ES28" s="481"/>
      <c r="ET28" s="481"/>
      <c r="EU28" s="1242"/>
      <c r="EV28" s="481"/>
      <c r="EW28" s="481"/>
      <c r="EX28" s="1242"/>
      <c r="EY28" s="481"/>
      <c r="EZ28" s="481"/>
      <c r="FA28" s="1242"/>
      <c r="FE28"/>
      <c r="FF28"/>
      <c r="FG28"/>
      <c r="FH28"/>
      <c r="FI28"/>
      <c r="FJ28"/>
      <c r="FK28" s="35"/>
    </row>
    <row r="29" spans="1:167" s="450" customFormat="1" ht="16.5" customHeight="1" thickBot="1">
      <c r="A29" s="453" t="s">
        <v>113</v>
      </c>
      <c r="B29" s="449"/>
      <c r="C29" s="454" t="s">
        <v>933</v>
      </c>
      <c r="D29" s="455"/>
      <c r="E29" s="457" t="str">
        <f t="shared" ref="E29:M29" si="126">+E4</f>
        <v>1h85</v>
      </c>
      <c r="F29" s="457" t="str">
        <f t="shared" si="126"/>
        <v>2h85</v>
      </c>
      <c r="G29" s="457" t="str">
        <f t="shared" si="126"/>
        <v>1985</v>
      </c>
      <c r="H29" s="457" t="str">
        <f t="shared" si="126"/>
        <v>1h86</v>
      </c>
      <c r="I29" s="457" t="str">
        <f t="shared" si="126"/>
        <v>2h86</v>
      </c>
      <c r="J29" s="457" t="str">
        <f t="shared" si="126"/>
        <v>1986</v>
      </c>
      <c r="K29" s="457" t="str">
        <f t="shared" si="126"/>
        <v>1h87</v>
      </c>
      <c r="L29" s="457" t="str">
        <f t="shared" si="126"/>
        <v>2h87</v>
      </c>
      <c r="M29" s="457" t="str">
        <f t="shared" si="126"/>
        <v>1987</v>
      </c>
      <c r="N29" s="457" t="str">
        <f t="shared" ref="N29:W29" si="127">+N4</f>
        <v>1h88</v>
      </c>
      <c r="O29" s="457" t="str">
        <f t="shared" si="127"/>
        <v>2h88</v>
      </c>
      <c r="P29" s="457" t="str">
        <f t="shared" si="127"/>
        <v>1988</v>
      </c>
      <c r="Q29" s="457" t="str">
        <f t="shared" si="127"/>
        <v>1h89</v>
      </c>
      <c r="R29" s="457" t="str">
        <f t="shared" si="127"/>
        <v>2h89</v>
      </c>
      <c r="S29" s="457" t="str">
        <f t="shared" si="127"/>
        <v>1989</v>
      </c>
      <c r="T29" s="457" t="str">
        <f t="shared" si="127"/>
        <v>1h90</v>
      </c>
      <c r="U29" s="457" t="str">
        <f t="shared" si="127"/>
        <v>2h90</v>
      </c>
      <c r="V29" s="457" t="str">
        <f t="shared" si="127"/>
        <v>1990</v>
      </c>
      <c r="W29" s="457" t="str">
        <f t="shared" si="127"/>
        <v>1h91</v>
      </c>
      <c r="X29" s="457" t="str">
        <f t="shared" ref="X29:AG29" si="128">+X4</f>
        <v>2h91</v>
      </c>
      <c r="Y29" s="457" t="str">
        <f t="shared" si="128"/>
        <v>1991</v>
      </c>
      <c r="Z29" s="457" t="str">
        <f t="shared" si="128"/>
        <v>1h92</v>
      </c>
      <c r="AA29" s="457" t="str">
        <f t="shared" si="128"/>
        <v>2h92</v>
      </c>
      <c r="AB29" s="457" t="str">
        <f t="shared" si="128"/>
        <v>1992</v>
      </c>
      <c r="AC29" s="457" t="str">
        <f t="shared" si="128"/>
        <v>1h93</v>
      </c>
      <c r="AD29" s="457" t="str">
        <f t="shared" si="128"/>
        <v>2h93</v>
      </c>
      <c r="AE29" s="457" t="str">
        <f t="shared" si="128"/>
        <v>1993</v>
      </c>
      <c r="AF29" s="457" t="str">
        <f t="shared" si="128"/>
        <v>1h94</v>
      </c>
      <c r="AG29" s="457" t="str">
        <f t="shared" si="128"/>
        <v>2h94</v>
      </c>
      <c r="AH29" s="457" t="str">
        <f t="shared" ref="AH29:AQ29" si="129">+AH4</f>
        <v>1994</v>
      </c>
      <c r="AI29" s="457" t="str">
        <f t="shared" si="129"/>
        <v>1h95</v>
      </c>
      <c r="AJ29" s="457" t="str">
        <f t="shared" si="129"/>
        <v>2h95</v>
      </c>
      <c r="AK29" s="457" t="str">
        <f t="shared" si="129"/>
        <v>1995</v>
      </c>
      <c r="AL29" s="457" t="str">
        <f t="shared" si="129"/>
        <v>1h96</v>
      </c>
      <c r="AM29" s="457" t="str">
        <f t="shared" si="129"/>
        <v>2h96</v>
      </c>
      <c r="AN29" s="457" t="str">
        <f t="shared" si="129"/>
        <v>1996</v>
      </c>
      <c r="AO29" s="457" t="str">
        <f t="shared" si="129"/>
        <v>1h97</v>
      </c>
      <c r="AP29" s="457" t="str">
        <f t="shared" si="129"/>
        <v>2h97</v>
      </c>
      <c r="AQ29" s="457" t="str">
        <f t="shared" si="129"/>
        <v>FY97</v>
      </c>
      <c r="AR29" s="457" t="str">
        <f t="shared" ref="AR29:BA29" si="130">+AR4</f>
        <v>1H98</v>
      </c>
      <c r="AS29" s="457" t="str">
        <f t="shared" si="130"/>
        <v>2H98</v>
      </c>
      <c r="AT29" s="457" t="str">
        <f t="shared" si="130"/>
        <v>FY98</v>
      </c>
      <c r="AU29" s="457" t="str">
        <f t="shared" si="130"/>
        <v>1H99</v>
      </c>
      <c r="AV29" s="457" t="str">
        <f t="shared" si="130"/>
        <v>2H99</v>
      </c>
      <c r="AW29" s="457" t="str">
        <f t="shared" si="130"/>
        <v>FY99</v>
      </c>
      <c r="AX29" s="457" t="str">
        <f t="shared" si="130"/>
        <v>1H00</v>
      </c>
      <c r="AY29" s="457" t="str">
        <f t="shared" si="130"/>
        <v>2H00</v>
      </c>
      <c r="AZ29" s="457" t="str">
        <f t="shared" si="130"/>
        <v>FY00</v>
      </c>
      <c r="BA29" s="457" t="str">
        <f t="shared" si="130"/>
        <v>1H01</v>
      </c>
      <c r="BB29" s="457" t="str">
        <f t="shared" ref="BB29:BO29" si="131">+BB4</f>
        <v>2H01</v>
      </c>
      <c r="BC29" s="457" t="str">
        <f t="shared" si="131"/>
        <v>FY01</v>
      </c>
      <c r="BD29" s="457" t="str">
        <f t="shared" si="131"/>
        <v>1H02</v>
      </c>
      <c r="BE29" s="457" t="str">
        <f t="shared" si="131"/>
        <v>2H02</v>
      </c>
      <c r="BF29" s="457" t="str">
        <f t="shared" si="131"/>
        <v>FY02</v>
      </c>
      <c r="BG29" s="457" t="str">
        <f t="shared" si="131"/>
        <v>1H03</v>
      </c>
      <c r="BH29" s="457" t="str">
        <f t="shared" si="131"/>
        <v>2H03</v>
      </c>
      <c r="BI29" s="457" t="str">
        <f t="shared" si="131"/>
        <v>FY03</v>
      </c>
      <c r="BJ29" s="457" t="str">
        <f t="shared" si="131"/>
        <v>1H04</v>
      </c>
      <c r="BK29" s="457" t="str">
        <f t="shared" si="131"/>
        <v>2H04</v>
      </c>
      <c r="BL29" s="457" t="str">
        <f t="shared" si="131"/>
        <v>FY04</v>
      </c>
      <c r="BM29" s="457" t="str">
        <f t="shared" si="131"/>
        <v>1H05</v>
      </c>
      <c r="BN29" s="457" t="str">
        <f t="shared" si="131"/>
        <v>2H05</v>
      </c>
      <c r="BO29" s="457" t="str">
        <f t="shared" si="131"/>
        <v>FY05</v>
      </c>
      <c r="BP29" s="457" t="str">
        <f t="shared" ref="BP29:DK29" si="132">+BP4</f>
        <v>1H06</v>
      </c>
      <c r="BQ29" s="457" t="str">
        <f t="shared" si="132"/>
        <v>2H06</v>
      </c>
      <c r="BR29" s="457" t="str">
        <f t="shared" si="132"/>
        <v>FY06</v>
      </c>
      <c r="BS29" s="457" t="str">
        <f t="shared" si="132"/>
        <v>1H07</v>
      </c>
      <c r="BT29" s="457" t="str">
        <f t="shared" si="132"/>
        <v>2H07</v>
      </c>
      <c r="BU29" s="457" t="str">
        <f t="shared" si="132"/>
        <v>FY07</v>
      </c>
      <c r="BV29" s="457" t="str">
        <f t="shared" si="132"/>
        <v>1H08</v>
      </c>
      <c r="BW29" s="457" t="str">
        <f t="shared" si="132"/>
        <v>2H08</v>
      </c>
      <c r="BX29" s="457" t="str">
        <f t="shared" si="132"/>
        <v>FY08</v>
      </c>
      <c r="BY29" s="457" t="str">
        <f t="shared" si="132"/>
        <v>1H09</v>
      </c>
      <c r="BZ29" s="457" t="str">
        <f t="shared" si="132"/>
        <v>2H09</v>
      </c>
      <c r="CA29" s="457" t="str">
        <f t="shared" si="132"/>
        <v>FY09</v>
      </c>
      <c r="CB29" s="457" t="str">
        <f t="shared" si="132"/>
        <v>1H10</v>
      </c>
      <c r="CC29" s="457" t="str">
        <f t="shared" si="132"/>
        <v>2H10</v>
      </c>
      <c r="CD29" s="457" t="str">
        <f t="shared" si="132"/>
        <v>FY10</v>
      </c>
      <c r="CE29" s="457" t="str">
        <f t="shared" si="132"/>
        <v>1H11</v>
      </c>
      <c r="CF29" s="457" t="str">
        <f t="shared" si="132"/>
        <v>2H11</v>
      </c>
      <c r="CG29" s="457" t="str">
        <f t="shared" si="132"/>
        <v>FY11</v>
      </c>
      <c r="CH29" s="457" t="str">
        <f t="shared" si="132"/>
        <v>1H12</v>
      </c>
      <c r="CI29" s="457" t="str">
        <f t="shared" si="132"/>
        <v>2H12</v>
      </c>
      <c r="CJ29" s="457" t="str">
        <f t="shared" si="132"/>
        <v>FY12</v>
      </c>
      <c r="CK29" s="457" t="str">
        <f t="shared" si="132"/>
        <v>1H13</v>
      </c>
      <c r="CL29" s="457" t="str">
        <f t="shared" si="132"/>
        <v>2H13</v>
      </c>
      <c r="CM29" s="457" t="str">
        <f t="shared" si="132"/>
        <v>FY13</v>
      </c>
      <c r="CN29" s="457" t="str">
        <f t="shared" si="132"/>
        <v>1H14</v>
      </c>
      <c r="CO29" s="457" t="str">
        <f t="shared" si="132"/>
        <v>2H14</v>
      </c>
      <c r="CP29" s="457" t="str">
        <f t="shared" si="132"/>
        <v>FY14</v>
      </c>
      <c r="CQ29" s="457" t="str">
        <f t="shared" si="132"/>
        <v>1H15</v>
      </c>
      <c r="CR29" s="457" t="str">
        <f t="shared" si="132"/>
        <v>2H15</v>
      </c>
      <c r="CS29" s="457" t="str">
        <f t="shared" si="132"/>
        <v>FY15</v>
      </c>
      <c r="CT29" s="457" t="str">
        <f t="shared" si="132"/>
        <v>1H16</v>
      </c>
      <c r="CU29" s="457" t="str">
        <f t="shared" si="132"/>
        <v>2H16</v>
      </c>
      <c r="CV29" s="457" t="str">
        <f t="shared" si="132"/>
        <v>FY16</v>
      </c>
      <c r="CW29" s="457" t="str">
        <f t="shared" si="132"/>
        <v>1H17</v>
      </c>
      <c r="CX29" s="457" t="str">
        <f t="shared" si="132"/>
        <v>2H17</v>
      </c>
      <c r="CY29" s="457" t="str">
        <f t="shared" si="132"/>
        <v>FY17</v>
      </c>
      <c r="CZ29" s="457" t="str">
        <f t="shared" si="132"/>
        <v>1H18</v>
      </c>
      <c r="DA29" s="457" t="str">
        <f t="shared" si="132"/>
        <v>2H18</v>
      </c>
      <c r="DB29" s="457" t="str">
        <f t="shared" si="132"/>
        <v>FY18</v>
      </c>
      <c r="DC29" s="457" t="str">
        <f t="shared" si="132"/>
        <v>1H19</v>
      </c>
      <c r="DD29" s="457" t="str">
        <f t="shared" si="132"/>
        <v>2H19</v>
      </c>
      <c r="DE29" s="457" t="str">
        <f t="shared" si="132"/>
        <v>FY19</v>
      </c>
      <c r="DF29" s="457" t="str">
        <f t="shared" si="132"/>
        <v>1H20</v>
      </c>
      <c r="DG29" s="457" t="str">
        <f t="shared" si="132"/>
        <v>2H20</v>
      </c>
      <c r="DH29" s="1251" t="str">
        <f t="shared" si="132"/>
        <v>FY20</v>
      </c>
      <c r="DI29" s="457" t="str">
        <f t="shared" si="132"/>
        <v>1H21</v>
      </c>
      <c r="DJ29" s="457" t="str">
        <f t="shared" si="132"/>
        <v>2H21</v>
      </c>
      <c r="DK29" s="1251" t="str">
        <f t="shared" si="132"/>
        <v>FY21</v>
      </c>
      <c r="DL29" s="457" t="str">
        <f t="shared" ref="DL29:DQ29" si="133">+DL4</f>
        <v>1H22</v>
      </c>
      <c r="DM29" s="457" t="str">
        <f t="shared" si="133"/>
        <v>2H22</v>
      </c>
      <c r="DN29" s="1251" t="str">
        <f t="shared" si="133"/>
        <v>FY22</v>
      </c>
      <c r="DO29" s="457" t="str">
        <f t="shared" si="133"/>
        <v>1H23</v>
      </c>
      <c r="DP29" s="457" t="str">
        <f t="shared" si="133"/>
        <v>2H23</v>
      </c>
      <c r="DQ29" s="1251" t="str">
        <f t="shared" si="133"/>
        <v>FY23</v>
      </c>
      <c r="DR29" s="457" t="str">
        <f t="shared" ref="DR29:DW29" si="134">+DR4</f>
        <v>1H24</v>
      </c>
      <c r="DS29" s="457" t="str">
        <f t="shared" si="134"/>
        <v>2H24</v>
      </c>
      <c r="DT29" s="1251" t="str">
        <f t="shared" si="134"/>
        <v>FY24</v>
      </c>
      <c r="DU29" s="457" t="str">
        <f t="shared" si="134"/>
        <v>1H25</v>
      </c>
      <c r="DV29" s="457" t="str">
        <f t="shared" si="134"/>
        <v>2H25</v>
      </c>
      <c r="DW29" s="1251" t="str">
        <f t="shared" si="134"/>
        <v>FY25</v>
      </c>
      <c r="DX29" s="457" t="str">
        <f t="shared" ref="DX29:EC29" si="135">+DX4</f>
        <v>1H26</v>
      </c>
      <c r="DY29" s="457" t="str">
        <f t="shared" si="135"/>
        <v>2H26E</v>
      </c>
      <c r="DZ29" s="1251" t="str">
        <f t="shared" si="135"/>
        <v>FY26E</v>
      </c>
      <c r="EA29" s="457" t="str">
        <f t="shared" si="135"/>
        <v>1H27E</v>
      </c>
      <c r="EB29" s="457" t="str">
        <f t="shared" si="135"/>
        <v>2H27E</v>
      </c>
      <c r="EC29" s="1251" t="str">
        <f t="shared" si="135"/>
        <v>FY27E</v>
      </c>
      <c r="ED29" s="457" t="str">
        <f t="shared" ref="ED29:EL29" si="136">+ED4</f>
        <v>1H28E</v>
      </c>
      <c r="EE29" s="457" t="str">
        <f t="shared" si="136"/>
        <v>2H28E</v>
      </c>
      <c r="EF29" s="1251" t="str">
        <f t="shared" si="136"/>
        <v>FY28E</v>
      </c>
      <c r="EG29" s="457" t="str">
        <f t="shared" si="136"/>
        <v>1H29E</v>
      </c>
      <c r="EH29" s="457" t="str">
        <f t="shared" si="136"/>
        <v>2H29E</v>
      </c>
      <c r="EI29" s="1251" t="str">
        <f t="shared" si="136"/>
        <v>FY29E</v>
      </c>
      <c r="EJ29" s="457" t="str">
        <f t="shared" si="136"/>
        <v>1H30E</v>
      </c>
      <c r="EK29" s="457" t="str">
        <f t="shared" si="136"/>
        <v>2H30E</v>
      </c>
      <c r="EL29" s="1251" t="str">
        <f t="shared" si="136"/>
        <v>FY30E</v>
      </c>
      <c r="EM29" s="457" t="str">
        <f t="shared" ref="EM29:ER29" si="137">+EM4</f>
        <v>1H31E</v>
      </c>
      <c r="EN29" s="457" t="str">
        <f t="shared" si="137"/>
        <v>2H31E</v>
      </c>
      <c r="EO29" s="1251" t="str">
        <f t="shared" si="137"/>
        <v>FY31E</v>
      </c>
      <c r="EP29" s="457" t="str">
        <f t="shared" si="137"/>
        <v>1H32E</v>
      </c>
      <c r="EQ29" s="457" t="str">
        <f t="shared" si="137"/>
        <v>2H32E</v>
      </c>
      <c r="ER29" s="1251" t="str">
        <f t="shared" si="137"/>
        <v>FY32E</v>
      </c>
      <c r="ES29" s="457" t="str">
        <f t="shared" ref="ES29:EX29" si="138">+ES4</f>
        <v>1H33E</v>
      </c>
      <c r="ET29" s="457" t="str">
        <f t="shared" si="138"/>
        <v>2H33E</v>
      </c>
      <c r="EU29" s="1251" t="str">
        <f t="shared" si="138"/>
        <v>FY33E</v>
      </c>
      <c r="EV29" s="457" t="str">
        <f t="shared" si="138"/>
        <v>1H34E</v>
      </c>
      <c r="EW29" s="457" t="str">
        <f t="shared" si="138"/>
        <v>2H34E</v>
      </c>
      <c r="EX29" s="1251" t="str">
        <f t="shared" si="138"/>
        <v>FY34E</v>
      </c>
      <c r="EY29" s="457" t="str">
        <f t="shared" ref="EY29:FA29" si="139">+EY4</f>
        <v>1H35E</v>
      </c>
      <c r="EZ29" s="457" t="str">
        <f t="shared" si="139"/>
        <v>2H35E</v>
      </c>
      <c r="FA29" s="1251" t="str">
        <f t="shared" si="139"/>
        <v>FY35E</v>
      </c>
      <c r="FE29"/>
      <c r="FF29"/>
      <c r="FG29"/>
      <c r="FH29"/>
      <c r="FI29"/>
      <c r="FJ29"/>
      <c r="FK29" s="35"/>
    </row>
    <row r="30" spans="1:167" s="236" customFormat="1" ht="13.5" customHeight="1" thickBot="1">
      <c r="B30" s="501" t="s">
        <v>114</v>
      </c>
      <c r="C30" s="444" t="s">
        <v>496</v>
      </c>
      <c r="D30" s="1474"/>
      <c r="E30" s="1506"/>
      <c r="F30" s="562">
        <f>+G30-E30</f>
        <v>0</v>
      </c>
      <c r="G30" s="1507"/>
      <c r="H30" s="1508"/>
      <c r="I30" s="562">
        <f>+J30-H30</f>
        <v>0</v>
      </c>
      <c r="J30" s="1507"/>
      <c r="K30" s="1508"/>
      <c r="L30" s="562">
        <f>+M30-K30</f>
        <v>0</v>
      </c>
      <c r="M30" s="1507"/>
      <c r="N30" s="1508"/>
      <c r="O30" s="562">
        <f>+P30-N30</f>
        <v>0</v>
      </c>
      <c r="P30" s="1507"/>
      <c r="Q30" s="1508"/>
      <c r="R30" s="562">
        <f>+S30-Q30</f>
        <v>0</v>
      </c>
      <c r="S30" s="1507"/>
      <c r="T30" s="1508"/>
      <c r="U30" s="562">
        <f>+V30-T30</f>
        <v>0</v>
      </c>
      <c r="V30" s="1507"/>
      <c r="W30" s="1508"/>
      <c r="X30" s="562">
        <f>+Y30-W30</f>
        <v>0</v>
      </c>
      <c r="Y30" s="1507"/>
      <c r="Z30" s="1508"/>
      <c r="AA30" s="562">
        <f>+AB30-Z30</f>
        <v>0</v>
      </c>
      <c r="AB30" s="1507"/>
      <c r="AC30" s="1508"/>
      <c r="AD30" s="562">
        <f>+AE30-AC30</f>
        <v>0</v>
      </c>
      <c r="AE30" s="1507"/>
      <c r="AF30" s="1508"/>
      <c r="AG30" s="562">
        <f>+AH30-AF30</f>
        <v>0</v>
      </c>
      <c r="AH30" s="1507"/>
      <c r="AI30" s="1509">
        <v>33.847999999999999</v>
      </c>
      <c r="AJ30" s="562">
        <f>+AK30-AI30</f>
        <v>34.713000000000008</v>
      </c>
      <c r="AK30" s="1510">
        <v>68.561000000000007</v>
      </c>
      <c r="AL30" s="1509">
        <v>36.567999999999998</v>
      </c>
      <c r="AM30" s="562">
        <f>+AN30-AL30</f>
        <v>35.707000000000008</v>
      </c>
      <c r="AN30" s="1510">
        <v>72.275000000000006</v>
      </c>
      <c r="AO30" s="1509">
        <v>33.286999999999999</v>
      </c>
      <c r="AP30" s="562">
        <f>+AQ30-AO30</f>
        <v>38.625999999999998</v>
      </c>
      <c r="AQ30" s="1510">
        <v>71.912999999999997</v>
      </c>
      <c r="AR30" s="1509">
        <v>43.198</v>
      </c>
      <c r="AS30" s="562">
        <f>+AT30-AR30</f>
        <v>48.499999999999993</v>
      </c>
      <c r="AT30" s="1510">
        <v>91.697999999999993</v>
      </c>
      <c r="AU30" s="1509">
        <v>62.625</v>
      </c>
      <c r="AV30" s="562">
        <f>+AW30-AU30</f>
        <v>64.555999999999997</v>
      </c>
      <c r="AW30" s="1510">
        <v>127.181</v>
      </c>
      <c r="AX30" s="1509">
        <v>66.298000000000002</v>
      </c>
      <c r="AY30" s="562">
        <f>+AZ30-AX30</f>
        <v>77.859999999999985</v>
      </c>
      <c r="AZ30" s="1510">
        <v>144.15799999999999</v>
      </c>
      <c r="BA30" s="1509">
        <v>103.208</v>
      </c>
      <c r="BB30" s="562">
        <f>+BC30-BA30</f>
        <v>116.90299999999999</v>
      </c>
      <c r="BC30" s="1510">
        <v>220.11099999999999</v>
      </c>
      <c r="BD30" s="1509">
        <v>120.08499999999999</v>
      </c>
      <c r="BE30" s="562">
        <f>+BF30-BD30</f>
        <v>136.11600000000004</v>
      </c>
      <c r="BF30" s="1510">
        <v>256.20100000000002</v>
      </c>
      <c r="BG30" s="1509">
        <v>146.625</v>
      </c>
      <c r="BH30" s="562">
        <f>+BI30-BG30</f>
        <v>139.38499999999999</v>
      </c>
      <c r="BI30" s="1510">
        <v>286.01</v>
      </c>
      <c r="BJ30" s="1508">
        <f>121.838</f>
        <v>121.83799999999999</v>
      </c>
      <c r="BK30" s="562">
        <f>+BL30-BJ30</f>
        <v>128.143</v>
      </c>
      <c r="BL30" s="1510">
        <v>249.98099999999999</v>
      </c>
      <c r="BM30" s="1508">
        <f>Segment!BM20</f>
        <v>165.17200000000003</v>
      </c>
      <c r="BN30" s="562">
        <f>+BO30-BM30</f>
        <v>183.79399999999998</v>
      </c>
      <c r="BO30" s="1506">
        <f>Segment!BO20</f>
        <v>348.96600000000001</v>
      </c>
      <c r="BP30" s="1508">
        <f>Segment!BP20</f>
        <v>212.02627476882591</v>
      </c>
      <c r="BQ30" s="562">
        <f>+BR30-BP30</f>
        <v>240.23372523117413</v>
      </c>
      <c r="BR30" s="1506">
        <f>Segment!BR20</f>
        <v>452.26000000000005</v>
      </c>
      <c r="BS30" s="1508">
        <f>Segment!BS20</f>
        <v>263.84839571387568</v>
      </c>
      <c r="BT30" s="562">
        <f>+BU30-BS30</f>
        <v>271.24889113529946</v>
      </c>
      <c r="BU30" s="1506">
        <f>Segment!BU20</f>
        <v>535.09728684917513</v>
      </c>
      <c r="BV30" s="1508">
        <f>Segment!BV20</f>
        <v>285.30191095510651</v>
      </c>
      <c r="BW30" s="562">
        <f>+BX30-BV30</f>
        <v>292.11374465986893</v>
      </c>
      <c r="BX30" s="1506">
        <f>Segment!BX20</f>
        <v>577.41565561497544</v>
      </c>
      <c r="BY30" s="1508">
        <f>Segment!BY20</f>
        <v>339.53400701507331</v>
      </c>
      <c r="BZ30" s="562">
        <f>+CA30-BY30</f>
        <v>325.64865392442204</v>
      </c>
      <c r="CA30" s="1506">
        <f>Segment!CA20</f>
        <v>665.18266093949535</v>
      </c>
      <c r="CB30" s="1508">
        <f>Segment!CB20</f>
        <v>331.77056818581059</v>
      </c>
      <c r="CC30" s="562">
        <f>+CD30-CB30</f>
        <v>372.93014887490813</v>
      </c>
      <c r="CD30" s="1506">
        <f>Segment!CD20</f>
        <v>704.70071706071872</v>
      </c>
      <c r="CE30" s="1508">
        <f>Segment!CE20</f>
        <v>362.65346072280835</v>
      </c>
      <c r="CF30" s="562">
        <f>+CG30-CE30</f>
        <v>419.04083570144149</v>
      </c>
      <c r="CG30" s="1506">
        <f>Segment!CG20</f>
        <v>781.69429642424984</v>
      </c>
      <c r="CH30" s="1508">
        <f>Segment!CH20</f>
        <v>375.36290545173983</v>
      </c>
      <c r="CI30" s="562">
        <f>+CJ30-CH30</f>
        <v>378.33900162441603</v>
      </c>
      <c r="CJ30" s="1506">
        <f>Segment!CJ20</f>
        <v>753.70190707615586</v>
      </c>
      <c r="CK30" s="1508">
        <f>Segment!CK20</f>
        <v>378.48712664803105</v>
      </c>
      <c r="CL30" s="562">
        <f>+CM30-CK30</f>
        <v>346.38322347682225</v>
      </c>
      <c r="CM30" s="1506">
        <f>Segment!CM20</f>
        <v>724.8703501248533</v>
      </c>
      <c r="CN30" s="1508">
        <f>Segment!CN20</f>
        <v>355.565870426049</v>
      </c>
      <c r="CO30" s="562">
        <f>+CP30-CN30</f>
        <v>417.32751057402567</v>
      </c>
      <c r="CP30" s="1506">
        <f>Segment!CP20</f>
        <v>772.89338100007467</v>
      </c>
      <c r="CQ30" s="1508">
        <f>Segment!CQ20</f>
        <v>438.35400000000004</v>
      </c>
      <c r="CR30" s="562">
        <f>+CS30-CQ30</f>
        <v>487.27499999999986</v>
      </c>
      <c r="CS30" s="1506">
        <f>Segment!CS20</f>
        <v>925.62899999999991</v>
      </c>
      <c r="CT30" s="1508">
        <f>Segment!CT20</f>
        <v>558.08851183171578</v>
      </c>
      <c r="CU30" s="562">
        <f>+CV30-CT30</f>
        <v>570.79145808650878</v>
      </c>
      <c r="CV30" s="1506">
        <f>Segment!CV20</f>
        <v>1128.8799699182246</v>
      </c>
      <c r="CW30" s="1508">
        <f>Segment!CW20</f>
        <v>609.11819903206469</v>
      </c>
      <c r="CX30" s="562">
        <f>+CY30-CW30</f>
        <v>644.72689535415452</v>
      </c>
      <c r="CY30" s="1506">
        <f>Segment!CY20</f>
        <v>1253.8450943862192</v>
      </c>
      <c r="CZ30" s="1508">
        <f>Segment!CZ20</f>
        <v>639.03456370561855</v>
      </c>
      <c r="DA30" s="562">
        <f>+DB30-CZ30</f>
        <v>704.37448173547079</v>
      </c>
      <c r="DB30" s="1506">
        <f>Segment!DB20</f>
        <v>1343.4090454410893</v>
      </c>
      <c r="DC30" s="1508">
        <f>Segment!DC20</f>
        <v>701.23750527281175</v>
      </c>
      <c r="DD30" s="562">
        <f>+DE30-DC30</f>
        <v>722.31998173020418</v>
      </c>
      <c r="DE30" s="1506">
        <f>Segment!DE20</f>
        <v>1423.5574870030159</v>
      </c>
      <c r="DF30" s="1508">
        <f>Segment!DF20</f>
        <v>752.86346784113209</v>
      </c>
      <c r="DG30" s="562">
        <f>+DH30-DF30</f>
        <v>572.26441110635972</v>
      </c>
      <c r="DH30" s="1516">
        <f>Segment!DH20</f>
        <v>1325.1278789474918</v>
      </c>
      <c r="DI30" s="867">
        <f>Segment!DI20</f>
        <v>743.19999999999993</v>
      </c>
      <c r="DJ30" s="562">
        <f>+DK30-DI30</f>
        <v>754.4</v>
      </c>
      <c r="DK30" s="1341">
        <f>Segment!DK20</f>
        <v>1497.6</v>
      </c>
      <c r="DL30" s="867">
        <f>Segment!DL20</f>
        <v>820.7</v>
      </c>
      <c r="DM30" s="562">
        <f>+DN30-DL30</f>
        <v>827.59999999999991</v>
      </c>
      <c r="DN30" s="1341">
        <f>Segment!DN20</f>
        <v>1648.3</v>
      </c>
      <c r="DO30" s="867">
        <f>Segment!DO20</f>
        <v>884.90000000000009</v>
      </c>
      <c r="DP30" s="562">
        <f>+DQ30-DO30</f>
        <v>1051.2</v>
      </c>
      <c r="DQ30" s="1341">
        <f>Segment!DQ20</f>
        <v>1936.1000000000001</v>
      </c>
      <c r="DR30" s="867">
        <f>Segment!DR20</f>
        <v>1098.5</v>
      </c>
      <c r="DS30" s="562">
        <f>+DT30-DR30</f>
        <v>1137.1000000000004</v>
      </c>
      <c r="DT30" s="1341">
        <f>Segment!DT20</f>
        <v>2235.6000000000004</v>
      </c>
      <c r="DU30" s="867">
        <f>Segment!DU20</f>
        <v>1171.8900000000001</v>
      </c>
      <c r="DV30" s="562">
        <f>+DW30-DU30</f>
        <v>1171.2099999999998</v>
      </c>
      <c r="DW30" s="1341">
        <f>Segment!DW20</f>
        <v>2343.1</v>
      </c>
      <c r="DX30" s="867">
        <f>Segment!DX20</f>
        <v>1167.2</v>
      </c>
      <c r="DY30" s="562">
        <f>+DZ30-DX30</f>
        <v>1342.3699108342046</v>
      </c>
      <c r="DZ30" s="1341">
        <f>Segment!DZ20</f>
        <v>2509.5699108342046</v>
      </c>
      <c r="EA30" s="867">
        <f>Segment!EA20</f>
        <v>1392.0604094030361</v>
      </c>
      <c r="EB30" s="562">
        <f>+EC30-EA30</f>
        <v>1434.948967430845</v>
      </c>
      <c r="EC30" s="1341">
        <f>Segment!EC20</f>
        <v>2827.0093768338811</v>
      </c>
      <c r="ED30" s="867">
        <f>Segment!ED20</f>
        <v>1508.7872337030672</v>
      </c>
      <c r="EE30" s="562">
        <f>+EF30-ED30</f>
        <v>1555.4582819515335</v>
      </c>
      <c r="EF30" s="1341">
        <f>Segment!EF20</f>
        <v>3064.2455156546007</v>
      </c>
      <c r="EG30" s="867">
        <f>Segment!EG20</f>
        <v>1644.578084736343</v>
      </c>
      <c r="EH30" s="562">
        <f>+EI30-EG30</f>
        <v>1695.4495273271714</v>
      </c>
      <c r="EI30" s="1341">
        <f>Segment!EI20</f>
        <v>3340.0276120635144</v>
      </c>
      <c r="EJ30" s="867">
        <f>Segment!EJ20</f>
        <v>1792.590112362614</v>
      </c>
      <c r="EK30" s="562">
        <f>+EL30-EJ30</f>
        <v>1848.039984786617</v>
      </c>
      <c r="EL30" s="1341">
        <f>Segment!EL20</f>
        <v>3640.630097149231</v>
      </c>
      <c r="EM30" s="867">
        <f>Segment!EM20</f>
        <v>1953.9232224752495</v>
      </c>
      <c r="EN30" s="562">
        <f>+EO30-EM30</f>
        <v>2014.3635834174129</v>
      </c>
      <c r="EO30" s="1341">
        <f>Segment!EO20</f>
        <v>3968.2868058926624</v>
      </c>
      <c r="EP30" s="867">
        <f>Segment!EP20</f>
        <v>2129.776312498022</v>
      </c>
      <c r="EQ30" s="562">
        <f>+ER30-EP30</f>
        <v>2195.6563059249802</v>
      </c>
      <c r="ER30" s="1341">
        <f>Segment!ER20</f>
        <v>4325.4326184230022</v>
      </c>
      <c r="ES30" s="867">
        <f>Segment!ES20</f>
        <v>2321.4561806228444</v>
      </c>
      <c r="ET30" s="562">
        <f>+EU30-ES30</f>
        <v>2393.2653734582286</v>
      </c>
      <c r="EU30" s="1341">
        <f>Segment!EU20</f>
        <v>4714.721554081073</v>
      </c>
      <c r="EV30" s="867">
        <f>Segment!EV20</f>
        <v>2530.3872368789007</v>
      </c>
      <c r="EW30" s="562">
        <f>+EX30-EV30</f>
        <v>2608.6592570694693</v>
      </c>
      <c r="EX30" s="1341">
        <f>Segment!EX20</f>
        <v>5139.04649394837</v>
      </c>
      <c r="EY30" s="867">
        <f>Segment!EY20</f>
        <v>2758.1220881980016</v>
      </c>
      <c r="EZ30" s="562">
        <f>+FA30-EY30</f>
        <v>2843.438590205722</v>
      </c>
      <c r="FA30" s="1341">
        <f>Segment!FA20</f>
        <v>5601.5606784037236</v>
      </c>
      <c r="FC30" s="500"/>
      <c r="FE30"/>
      <c r="FF30"/>
      <c r="FG30"/>
      <c r="FH30"/>
      <c r="FI30"/>
      <c r="FJ30"/>
      <c r="FK30" s="35"/>
    </row>
    <row r="31" spans="1:167" s="447" customFormat="1" ht="12" customHeight="1" thickBot="1">
      <c r="B31" s="447" t="s">
        <v>115</v>
      </c>
      <c r="C31" s="242" t="s">
        <v>460</v>
      </c>
      <c r="D31" s="243"/>
      <c r="E31" s="502"/>
      <c r="F31" s="502"/>
      <c r="G31" s="502"/>
      <c r="H31" s="502"/>
      <c r="I31" s="502"/>
      <c r="J31" s="502"/>
      <c r="K31" s="502"/>
      <c r="L31" s="502"/>
      <c r="M31" s="502"/>
      <c r="N31" s="502"/>
      <c r="O31" s="502"/>
      <c r="P31" s="502"/>
      <c r="Q31" s="502"/>
      <c r="R31" s="502"/>
      <c r="S31" s="502"/>
      <c r="T31" s="502"/>
      <c r="U31" s="502"/>
      <c r="V31" s="502"/>
      <c r="W31" s="502"/>
      <c r="X31" s="502"/>
      <c r="Y31" s="502"/>
      <c r="Z31" s="502"/>
      <c r="AA31" s="502"/>
      <c r="AB31" s="502"/>
      <c r="AC31" s="502"/>
      <c r="AD31" s="502"/>
      <c r="AE31" s="502"/>
      <c r="AF31" s="502"/>
      <c r="AG31" s="502"/>
      <c r="AH31" s="502"/>
      <c r="AI31" s="502"/>
      <c r="AJ31" s="502"/>
      <c r="AK31" s="502"/>
      <c r="AL31" s="502">
        <f t="shared" ref="AL31:AU31" si="140">+(AL30-AI30)/AI30</f>
        <v>8.0359253131647337E-2</v>
      </c>
      <c r="AM31" s="502">
        <f t="shared" si="140"/>
        <v>2.8634805404315372E-2</v>
      </c>
      <c r="AN31" s="502">
        <f t="shared" si="140"/>
        <v>5.4170738466475084E-2</v>
      </c>
      <c r="AO31" s="502">
        <f t="shared" si="140"/>
        <v>-8.9723255305184837E-2</v>
      </c>
      <c r="AP31" s="502">
        <f t="shared" si="140"/>
        <v>8.1748676730052622E-2</v>
      </c>
      <c r="AQ31" s="502">
        <f t="shared" si="140"/>
        <v>-5.0086475268074568E-3</v>
      </c>
      <c r="AR31" s="502">
        <f t="shared" si="140"/>
        <v>0.29774386397091962</v>
      </c>
      <c r="AS31" s="502">
        <f t="shared" si="140"/>
        <v>0.25563092217677202</v>
      </c>
      <c r="AT31" s="502">
        <f t="shared" si="140"/>
        <v>0.27512410829752615</v>
      </c>
      <c r="AU31" s="502">
        <f t="shared" si="140"/>
        <v>0.4497198944395574</v>
      </c>
      <c r="AV31" s="502">
        <f t="shared" ref="AV31:BE31" si="141">+(AV30-AS30)/AS30</f>
        <v>0.33105154639175272</v>
      </c>
      <c r="AW31" s="502">
        <f t="shared" si="141"/>
        <v>0.38695500447119902</v>
      </c>
      <c r="AX31" s="502">
        <f t="shared" si="141"/>
        <v>5.865069860279444E-2</v>
      </c>
      <c r="AY31" s="502">
        <f t="shared" si="141"/>
        <v>0.20608463969266974</v>
      </c>
      <c r="AZ31" s="502">
        <f t="shared" si="141"/>
        <v>0.13348692021606992</v>
      </c>
      <c r="BA31" s="502">
        <f t="shared" si="141"/>
        <v>0.55672870976500044</v>
      </c>
      <c r="BB31" s="502">
        <f t="shared" si="141"/>
        <v>0.50145132288723371</v>
      </c>
      <c r="BC31" s="502">
        <f t="shared" si="141"/>
        <v>0.52687329180482534</v>
      </c>
      <c r="BD31" s="502">
        <f t="shared" si="141"/>
        <v>0.16352414541508406</v>
      </c>
      <c r="BE31" s="502">
        <f t="shared" si="141"/>
        <v>0.16434993113949217</v>
      </c>
      <c r="BF31" s="502">
        <f t="shared" ref="BF31:BO31" si="142">+(BF30-BC30)/BC30</f>
        <v>0.1639627278963797</v>
      </c>
      <c r="BG31" s="502">
        <f t="shared" si="142"/>
        <v>0.22101011783320154</v>
      </c>
      <c r="BH31" s="502">
        <f t="shared" si="142"/>
        <v>2.4016280231566808E-2</v>
      </c>
      <c r="BI31" s="502">
        <f t="shared" si="142"/>
        <v>0.11635005327848044</v>
      </c>
      <c r="BJ31" s="502">
        <f t="shared" si="142"/>
        <v>-0.1690502983802217</v>
      </c>
      <c r="BK31" s="502">
        <f t="shared" si="142"/>
        <v>-8.0654302830290139E-2</v>
      </c>
      <c r="BL31" s="502">
        <f t="shared" si="142"/>
        <v>-0.12597111989091289</v>
      </c>
      <c r="BM31" s="502">
        <f t="shared" si="142"/>
        <v>0.35566900310248062</v>
      </c>
      <c r="BN31" s="502">
        <f t="shared" si="142"/>
        <v>0.43428825608890054</v>
      </c>
      <c r="BO31" s="502">
        <f t="shared" si="142"/>
        <v>0.39597009372712333</v>
      </c>
      <c r="BP31" s="502">
        <f t="shared" ref="BP31:DK31" si="143">+(BP30-BM30)/BM30</f>
        <v>0.28366959756390842</v>
      </c>
      <c r="BQ31" s="502">
        <f t="shared" si="143"/>
        <v>0.3070814348192768</v>
      </c>
      <c r="BR31" s="502">
        <f t="shared" si="143"/>
        <v>0.2960001833989559</v>
      </c>
      <c r="BS31" s="502">
        <f t="shared" si="143"/>
        <v>0.24441367468042283</v>
      </c>
      <c r="BT31" s="502">
        <f t="shared" si="143"/>
        <v>0.12910412921532891</v>
      </c>
      <c r="BU31" s="502">
        <f t="shared" si="143"/>
        <v>0.18316297450399124</v>
      </c>
      <c r="BV31" s="502">
        <f t="shared" si="143"/>
        <v>8.131000828405871E-2</v>
      </c>
      <c r="BW31" s="502">
        <f t="shared" si="143"/>
        <v>7.6921433437904974E-2</v>
      </c>
      <c r="BX31" s="502">
        <f t="shared" si="143"/>
        <v>7.9085373456076483E-2</v>
      </c>
      <c r="BY31" s="502">
        <f t="shared" si="143"/>
        <v>0.19008669054621391</v>
      </c>
      <c r="BZ31" s="502">
        <f t="shared" si="143"/>
        <v>0.11480086054697784</v>
      </c>
      <c r="CA31" s="502">
        <f t="shared" si="143"/>
        <v>0.15199969808758274</v>
      </c>
      <c r="CB31" s="502">
        <f t="shared" si="143"/>
        <v>-2.2864981618521865E-2</v>
      </c>
      <c r="CC31" s="502">
        <f t="shared" si="143"/>
        <v>0.14519174079392752</v>
      </c>
      <c r="CD31" s="502">
        <f t="shared" si="143"/>
        <v>5.9409329860475583E-2</v>
      </c>
      <c r="CE31" s="502">
        <f t="shared" si="143"/>
        <v>9.3085088004857514E-2</v>
      </c>
      <c r="CF31" s="502">
        <f t="shared" si="143"/>
        <v>0.12364429898104126</v>
      </c>
      <c r="CG31" s="502">
        <f t="shared" si="143"/>
        <v>0.10925713214067466</v>
      </c>
      <c r="CH31" s="502">
        <f t="shared" si="143"/>
        <v>3.5045700938852647E-2</v>
      </c>
      <c r="CI31" s="502">
        <f t="shared" si="143"/>
        <v>-9.7130949084935331E-2</v>
      </c>
      <c r="CJ31" s="502">
        <f t="shared" si="143"/>
        <v>-3.5809893299901523E-2</v>
      </c>
      <c r="CK31" s="502">
        <f t="shared" si="143"/>
        <v>8.3232017626549831E-3</v>
      </c>
      <c r="CL31" s="502">
        <f t="shared" si="143"/>
        <v>-8.4463346391437738E-2</v>
      </c>
      <c r="CM31" s="502">
        <f t="shared" si="143"/>
        <v>-3.8253262570542158E-2</v>
      </c>
      <c r="CN31" s="502">
        <f t="shared" si="143"/>
        <v>-6.0560200356027848E-2</v>
      </c>
      <c r="CO31" s="502">
        <f t="shared" si="143"/>
        <v>0.20481444333562115</v>
      </c>
      <c r="CP31" s="502">
        <f t="shared" si="143"/>
        <v>6.6250510683668842E-2</v>
      </c>
      <c r="CQ31" s="502">
        <f t="shared" si="143"/>
        <v>0.23283485975398027</v>
      </c>
      <c r="CR31" s="502">
        <f t="shared" si="143"/>
        <v>0.16760814385268497</v>
      </c>
      <c r="CS31" s="502">
        <f t="shared" si="143"/>
        <v>0.19761537975948909</v>
      </c>
      <c r="CT31" s="502">
        <f t="shared" si="143"/>
        <v>0.27314570377301389</v>
      </c>
      <c r="CU31" s="502">
        <f t="shared" si="143"/>
        <v>0.17139491680572355</v>
      </c>
      <c r="CV31" s="502">
        <f t="shared" si="143"/>
        <v>0.21958146289520389</v>
      </c>
      <c r="CW31" s="502">
        <f t="shared" si="143"/>
        <v>9.1436548358365496E-2</v>
      </c>
      <c r="CX31" s="502">
        <f t="shared" si="143"/>
        <v>0.12953143607912951</v>
      </c>
      <c r="CY31" s="502">
        <f t="shared" si="143"/>
        <v>0.11069832736694502</v>
      </c>
      <c r="CZ31" s="502">
        <f t="shared" si="143"/>
        <v>4.9114219081113068E-2</v>
      </c>
      <c r="DA31" s="502">
        <f t="shared" si="143"/>
        <v>9.2516051077024319E-2</v>
      </c>
      <c r="DB31" s="502">
        <f t="shared" si="143"/>
        <v>7.1431432364229469E-2</v>
      </c>
      <c r="DC31" s="502">
        <f t="shared" si="143"/>
        <v>9.733893141318091E-2</v>
      </c>
      <c r="DD31" s="502">
        <f t="shared" si="143"/>
        <v>2.5477214833959372E-2</v>
      </c>
      <c r="DE31" s="502">
        <f t="shared" si="143"/>
        <v>5.9660489732381521E-2</v>
      </c>
      <c r="DF31" s="502">
        <f t="shared" si="143"/>
        <v>7.3621222738557909E-2</v>
      </c>
      <c r="DG31" s="502">
        <f>+(DG30-DD30)/DD30</f>
        <v>-0.20774113193492152</v>
      </c>
      <c r="DH31" s="1253">
        <f>+(DH30-DE30)/DE30</f>
        <v>-6.9143402324233341E-2</v>
      </c>
      <c r="DI31" s="502">
        <f>+(DI30-DF30)/DF30</f>
        <v>-1.2835617949218022E-2</v>
      </c>
      <c r="DJ31" s="502">
        <f>+(DJ30-DG30)/DG30</f>
        <v>0.31827173830627914</v>
      </c>
      <c r="DK31" s="1253">
        <f t="shared" si="143"/>
        <v>0.13015507694962797</v>
      </c>
      <c r="DL31" s="502">
        <f t="shared" ref="DL31:DQ31" si="144">+(DL30-DI30)/DI30</f>
        <v>0.10427879440258359</v>
      </c>
      <c r="DM31" s="502">
        <f t="shared" si="144"/>
        <v>9.7030752916224733E-2</v>
      </c>
      <c r="DN31" s="1253">
        <f t="shared" si="144"/>
        <v>0.10062767094017097</v>
      </c>
      <c r="DO31" s="502">
        <f t="shared" si="144"/>
        <v>7.8225904715486835E-2</v>
      </c>
      <c r="DP31" s="502">
        <f t="shared" si="144"/>
        <v>0.27017883035282764</v>
      </c>
      <c r="DQ31" s="1253">
        <f t="shared" si="144"/>
        <v>0.17460413759631147</v>
      </c>
      <c r="DR31" s="502">
        <f t="shared" ref="DR31:DU31" si="145">+(DR30-DO30)/DO30</f>
        <v>0.24138320714204983</v>
      </c>
      <c r="DS31" s="502">
        <f t="shared" si="145"/>
        <v>8.1716133942161637E-2</v>
      </c>
      <c r="DT31" s="1253">
        <f t="shared" si="145"/>
        <v>0.15469242291203977</v>
      </c>
      <c r="DU31" s="502">
        <f t="shared" si="145"/>
        <v>6.6809285389167139E-2</v>
      </c>
      <c r="DV31" s="502">
        <f t="shared" ref="DV31" si="146">+(DV30-DS30)/DS30</f>
        <v>2.9997361709611675E-2</v>
      </c>
      <c r="DW31" s="1253">
        <f t="shared" ref="DW31:DX31" si="147">+(DW30-DT30)/DT30</f>
        <v>4.8085525138665021E-2</v>
      </c>
      <c r="DX31" s="502">
        <f t="shared" si="147"/>
        <v>-4.0020821066824143E-3</v>
      </c>
      <c r="DY31" s="502">
        <f t="shared" ref="DY31:EC31" si="148">+(DY30-DV30)/DV30</f>
        <v>0.14613938647570016</v>
      </c>
      <c r="DZ31" s="1253">
        <f t="shared" si="148"/>
        <v>7.1046865619992627E-2</v>
      </c>
      <c r="EA31" s="502">
        <f t="shared" si="148"/>
        <v>0.19264942546524683</v>
      </c>
      <c r="EB31" s="502">
        <f t="shared" si="148"/>
        <v>6.8966874070581566E-2</v>
      </c>
      <c r="EC31" s="1253">
        <f t="shared" si="148"/>
        <v>0.12649158113876038</v>
      </c>
      <c r="ED31" s="502">
        <f t="shared" ref="ED31:EL31" si="149">+(ED30-EA30)/EA30</f>
        <v>8.3851838261880834E-2</v>
      </c>
      <c r="EE31" s="502">
        <f t="shared" si="149"/>
        <v>8.3981603008816644E-2</v>
      </c>
      <c r="EF31" s="1253">
        <f t="shared" si="149"/>
        <v>8.3917704965808429E-2</v>
      </c>
      <c r="EG31" s="502">
        <f t="shared" si="149"/>
        <v>8.99999999999999E-2</v>
      </c>
      <c r="EH31" s="502">
        <f t="shared" si="149"/>
        <v>8.9999999999999886E-2</v>
      </c>
      <c r="EI31" s="1253">
        <f t="shared" si="149"/>
        <v>8.9999999999999886E-2</v>
      </c>
      <c r="EJ31" s="502">
        <f t="shared" si="149"/>
        <v>9.0000000000000066E-2</v>
      </c>
      <c r="EK31" s="502">
        <f t="shared" si="149"/>
        <v>9.0000000000000094E-2</v>
      </c>
      <c r="EL31" s="1253">
        <f t="shared" si="149"/>
        <v>9.000000000000008E-2</v>
      </c>
      <c r="EM31" s="502">
        <f t="shared" ref="EM31:ER31" si="150">+(EM30-EJ30)/EJ30</f>
        <v>9.0000000000000135E-2</v>
      </c>
      <c r="EN31" s="502">
        <f t="shared" si="150"/>
        <v>9.0000000000000205E-2</v>
      </c>
      <c r="EO31" s="1253">
        <f t="shared" si="150"/>
        <v>9.0000000000000163E-2</v>
      </c>
      <c r="EP31" s="502">
        <f t="shared" si="150"/>
        <v>0.09</v>
      </c>
      <c r="EQ31" s="502">
        <f t="shared" si="150"/>
        <v>9.0000000000000066E-2</v>
      </c>
      <c r="ER31" s="1253">
        <f t="shared" si="150"/>
        <v>9.0000000000000038E-2</v>
      </c>
      <c r="ES31" s="502">
        <f t="shared" ref="ES31" si="151">+(ES30-EP30)/EP30</f>
        <v>9.0000000000000205E-2</v>
      </c>
      <c r="ET31" s="502">
        <f t="shared" ref="ET31" si="152">+(ET30-EQ30)/EQ30</f>
        <v>9.0000000000000094E-2</v>
      </c>
      <c r="EU31" s="1253">
        <f t="shared" ref="EU31" si="153">+(EU30-ER30)/ER30</f>
        <v>9.0000000000000149E-2</v>
      </c>
      <c r="EV31" s="502">
        <f t="shared" ref="EV31" si="154">+(EV30-ES30)/ES30</f>
        <v>9.0000000000000135E-2</v>
      </c>
      <c r="EW31" s="502">
        <f t="shared" ref="EW31" si="155">+(EW30-ET30)/ET30</f>
        <v>9.0000000000000038E-2</v>
      </c>
      <c r="EX31" s="1253">
        <f t="shared" ref="EX31" si="156">+(EX30-EU30)/EU30</f>
        <v>9.000000000000008E-2</v>
      </c>
      <c r="EY31" s="502">
        <f t="shared" ref="EY31" si="157">+(EY30-EV30)/EV30</f>
        <v>8.9999999999999941E-2</v>
      </c>
      <c r="EZ31" s="502">
        <f t="shared" ref="EZ31" si="158">+(EZ30-EW30)/EW30</f>
        <v>9.0000000000000191E-2</v>
      </c>
      <c r="FA31" s="1253">
        <f t="shared" ref="FA31" si="159">+(FA30-EX30)/EX30</f>
        <v>9.0000000000000066E-2</v>
      </c>
      <c r="FE31"/>
      <c r="FF31"/>
      <c r="FG31"/>
      <c r="FH31"/>
      <c r="FI31"/>
      <c r="FJ31"/>
      <c r="FK31" s="35"/>
    </row>
    <row r="32" spans="1:167" s="236" customFormat="1" ht="13.35" customHeight="1" thickBot="1">
      <c r="B32" s="236" t="s">
        <v>116</v>
      </c>
      <c r="C32" s="242" t="s">
        <v>496</v>
      </c>
      <c r="D32" s="243"/>
      <c r="E32" s="503"/>
      <c r="F32" s="482">
        <f t="shared" ref="F32:F52" si="160">+G32-E32</f>
        <v>0</v>
      </c>
      <c r="G32" s="504"/>
      <c r="H32" s="505"/>
      <c r="I32" s="482">
        <f t="shared" ref="I32:I52" si="161">+J32-H32</f>
        <v>0</v>
      </c>
      <c r="J32" s="504"/>
      <c r="K32" s="505"/>
      <c r="L32" s="482">
        <f t="shared" ref="L32:L52" si="162">+M32-K32</f>
        <v>0</v>
      </c>
      <c r="M32" s="504"/>
      <c r="N32" s="505"/>
      <c r="O32" s="482">
        <f t="shared" ref="O32:O52" si="163">+P32-N32</f>
        <v>0</v>
      </c>
      <c r="P32" s="504"/>
      <c r="Q32" s="505"/>
      <c r="R32" s="482">
        <f t="shared" ref="R32:R52" si="164">+S32-Q32</f>
        <v>0</v>
      </c>
      <c r="S32" s="504"/>
      <c r="T32" s="505"/>
      <c r="U32" s="482">
        <f t="shared" ref="U32:U52" si="165">+V32-T32</f>
        <v>0</v>
      </c>
      <c r="V32" s="504"/>
      <c r="W32" s="505"/>
      <c r="X32" s="482">
        <f t="shared" ref="X32:X52" si="166">+Y32-W32</f>
        <v>0</v>
      </c>
      <c r="Y32" s="504"/>
      <c r="Z32" s="505"/>
      <c r="AA32" s="482">
        <f t="shared" ref="AA32:AA52" si="167">+AB32-Z32</f>
        <v>0</v>
      </c>
      <c r="AB32" s="504"/>
      <c r="AC32" s="505"/>
      <c r="AD32" s="482">
        <f t="shared" ref="AD32:AD52" si="168">+AE32-AC32</f>
        <v>0</v>
      </c>
      <c r="AE32" s="504"/>
      <c r="AF32" s="505"/>
      <c r="AG32" s="482">
        <f t="shared" ref="AG32:AG52" si="169">+AH32-AF32</f>
        <v>0</v>
      </c>
      <c r="AH32" s="504"/>
      <c r="AI32" s="505"/>
      <c r="AJ32" s="482">
        <f t="shared" ref="AJ32:AJ52" si="170">+AK32-AI32</f>
        <v>0</v>
      </c>
      <c r="AK32" s="504"/>
      <c r="AL32" s="505"/>
      <c r="AM32" s="482">
        <f t="shared" ref="AM32:AM52" si="171">+AN32-AL32</f>
        <v>0</v>
      </c>
      <c r="AN32" s="504"/>
      <c r="AO32" s="505"/>
      <c r="AP32" s="482">
        <f t="shared" ref="AP32:AP52" si="172">+AQ32-AO32</f>
        <v>0</v>
      </c>
      <c r="AQ32" s="504"/>
      <c r="AR32" s="505"/>
      <c r="AS32" s="482">
        <f t="shared" ref="AS32:AS52" si="173">+AT32-AR32</f>
        <v>0</v>
      </c>
      <c r="AT32" s="504"/>
      <c r="AU32" s="505"/>
      <c r="AV32" s="482">
        <f t="shared" ref="AV32:AV52" si="174">+AW32-AU32</f>
        <v>0</v>
      </c>
      <c r="AW32" s="504"/>
      <c r="AX32" s="506">
        <v>0</v>
      </c>
      <c r="AY32" s="482">
        <f t="shared" ref="AY32:AY52" si="175">+AZ32-AX32</f>
        <v>0</v>
      </c>
      <c r="AZ32" s="507">
        <v>0</v>
      </c>
      <c r="BA32" s="506">
        <v>0</v>
      </c>
      <c r="BB32" s="482">
        <f t="shared" ref="BB32:BB52" si="176">+BC32-BA32</f>
        <v>0</v>
      </c>
      <c r="BC32" s="507">
        <v>0</v>
      </c>
      <c r="BD32" s="506">
        <v>0.214</v>
      </c>
      <c r="BE32" s="482">
        <f t="shared" ref="BE32:BE52" si="177">+BF32-BD32</f>
        <v>0</v>
      </c>
      <c r="BF32" s="504">
        <f>PL_Oth_OpRev_H1_02</f>
        <v>0.214</v>
      </c>
      <c r="BG32" s="505"/>
      <c r="BH32" s="482"/>
      <c r="BI32" s="507">
        <v>2.5649999999999999</v>
      </c>
      <c r="BJ32" s="505">
        <f>15.114+0.98</f>
        <v>16.094000000000001</v>
      </c>
      <c r="BK32" s="482">
        <f t="shared" ref="BK32:BK52" si="178">+BL32-BJ32</f>
        <v>19.388999999999996</v>
      </c>
      <c r="BL32" s="504">
        <f>2.506+0.451+0.009+0.05+2.18+30.287</f>
        <v>35.482999999999997</v>
      </c>
      <c r="BM32" s="506">
        <v>0</v>
      </c>
      <c r="BN32" s="482">
        <f t="shared" ref="BN32:BN52" si="179">+BO32-BM32</f>
        <v>0</v>
      </c>
      <c r="BO32" s="508">
        <v>0</v>
      </c>
      <c r="BP32" s="505">
        <f>12.424+1.097</f>
        <v>13.520999999999999</v>
      </c>
      <c r="BQ32" s="482">
        <f t="shared" ref="BQ32:BQ49" si="180">+BR32-BP32</f>
        <v>-13.520999999999999</v>
      </c>
      <c r="BR32" s="508">
        <v>0</v>
      </c>
      <c r="BS32" s="505"/>
      <c r="BT32" s="482"/>
      <c r="BU32" s="503"/>
      <c r="BV32" s="505"/>
      <c r="BW32" s="482"/>
      <c r="BX32" s="503"/>
      <c r="BY32" s="505"/>
      <c r="BZ32" s="482"/>
      <c r="CA32" s="503"/>
      <c r="CB32" s="505"/>
      <c r="CC32" s="482"/>
      <c r="CD32" s="503"/>
      <c r="CE32" s="505"/>
      <c r="CF32" s="482"/>
      <c r="CG32" s="503"/>
      <c r="CH32" s="277"/>
      <c r="CI32" s="482"/>
      <c r="CJ32" s="503"/>
      <c r="CK32" s="277"/>
      <c r="CL32" s="482"/>
      <c r="CM32" s="503"/>
      <c r="CN32" s="277"/>
      <c r="CO32" s="482"/>
      <c r="CP32" s="503"/>
      <c r="CQ32" s="276"/>
      <c r="CR32" s="482"/>
      <c r="CS32" s="503"/>
      <c r="CT32" s="277"/>
      <c r="CU32" s="482"/>
      <c r="CV32" s="503"/>
      <c r="CW32" s="277"/>
      <c r="CX32" s="482"/>
      <c r="CY32" s="503"/>
      <c r="CZ32" s="277"/>
      <c r="DA32" s="482"/>
      <c r="DB32" s="503"/>
      <c r="DC32" s="277"/>
      <c r="DD32" s="277"/>
      <c r="DE32" s="1639"/>
      <c r="DF32" s="277"/>
      <c r="DG32" s="277"/>
      <c r="DH32" s="1640"/>
      <c r="DI32" s="277"/>
      <c r="DJ32" s="277"/>
      <c r="DK32" s="1641"/>
      <c r="DL32" s="277"/>
      <c r="DM32" s="277"/>
      <c r="DN32" s="1641"/>
      <c r="DO32" s="277"/>
      <c r="DP32" s="277"/>
      <c r="DQ32" s="1641"/>
      <c r="DR32" s="277"/>
      <c r="DS32" s="277"/>
      <c r="DT32" s="1641"/>
      <c r="DU32" s="277"/>
      <c r="DV32" s="482"/>
      <c r="DW32" s="1244"/>
      <c r="DX32" s="277"/>
      <c r="DY32" s="482"/>
      <c r="DZ32" s="1244"/>
      <c r="EA32" s="482"/>
      <c r="EB32" s="482"/>
      <c r="EC32" s="1244"/>
      <c r="ED32" s="482"/>
      <c r="EE32" s="482"/>
      <c r="EF32" s="1244"/>
      <c r="EG32" s="482"/>
      <c r="EH32" s="482"/>
      <c r="EI32" s="1244"/>
      <c r="EJ32" s="482"/>
      <c r="EK32" s="482"/>
      <c r="EL32" s="1244"/>
      <c r="EM32" s="482"/>
      <c r="EN32" s="482"/>
      <c r="EO32" s="1244"/>
      <c r="EP32" s="482"/>
      <c r="EQ32" s="482"/>
      <c r="ER32" s="1244"/>
      <c r="ES32" s="482"/>
      <c r="ET32" s="482"/>
      <c r="EU32" s="1244"/>
      <c r="EV32" s="482"/>
      <c r="EW32" s="482"/>
      <c r="EX32" s="1244"/>
      <c r="EY32" s="482"/>
      <c r="EZ32" s="482"/>
      <c r="FA32" s="1244"/>
      <c r="FE32"/>
      <c r="FF32"/>
      <c r="FG32"/>
      <c r="FH32"/>
      <c r="FI32"/>
      <c r="FJ32"/>
      <c r="FK32" s="35"/>
    </row>
    <row r="33" spans="2:167" s="236" customFormat="1" ht="13.35" customHeight="1">
      <c r="B33" s="236" t="s">
        <v>251</v>
      </c>
      <c r="C33" s="242" t="s">
        <v>496</v>
      </c>
      <c r="D33" s="243"/>
      <c r="E33" s="509">
        <f>+E30+E32</f>
        <v>0</v>
      </c>
      <c r="F33" s="509">
        <f t="shared" si="160"/>
        <v>0</v>
      </c>
      <c r="G33" s="509">
        <f>+G30+G32</f>
        <v>0</v>
      </c>
      <c r="H33" s="509">
        <f>+H30+H32</f>
        <v>0</v>
      </c>
      <c r="I33" s="509">
        <f t="shared" si="161"/>
        <v>0</v>
      </c>
      <c r="J33" s="509">
        <f>+J30+J32</f>
        <v>0</v>
      </c>
      <c r="K33" s="509">
        <f>+K30+K32</f>
        <v>0</v>
      </c>
      <c r="L33" s="509">
        <f t="shared" si="162"/>
        <v>0</v>
      </c>
      <c r="M33" s="509">
        <f>+M30+M32</f>
        <v>0</v>
      </c>
      <c r="N33" s="509">
        <f>+N30+N32</f>
        <v>0</v>
      </c>
      <c r="O33" s="509">
        <f t="shared" si="163"/>
        <v>0</v>
      </c>
      <c r="P33" s="509">
        <f>+P30+P32</f>
        <v>0</v>
      </c>
      <c r="Q33" s="509">
        <f>+Q30+Q32</f>
        <v>0</v>
      </c>
      <c r="R33" s="509">
        <f t="shared" si="164"/>
        <v>0</v>
      </c>
      <c r="S33" s="509">
        <f>+S30+S32</f>
        <v>0</v>
      </c>
      <c r="T33" s="509">
        <f>+T30+T32</f>
        <v>0</v>
      </c>
      <c r="U33" s="509">
        <f t="shared" si="165"/>
        <v>0</v>
      </c>
      <c r="V33" s="509">
        <f>+V30+V32</f>
        <v>0</v>
      </c>
      <c r="W33" s="509">
        <f>+W30+W32</f>
        <v>0</v>
      </c>
      <c r="X33" s="509">
        <f t="shared" si="166"/>
        <v>0</v>
      </c>
      <c r="Y33" s="509">
        <f>+Y30+Y32</f>
        <v>0</v>
      </c>
      <c r="Z33" s="509">
        <f>+Z30+Z32</f>
        <v>0</v>
      </c>
      <c r="AA33" s="509">
        <f t="shared" si="167"/>
        <v>0</v>
      </c>
      <c r="AB33" s="509">
        <f>+AB30+AB32</f>
        <v>0</v>
      </c>
      <c r="AC33" s="509">
        <f>+AC30+AC32</f>
        <v>0</v>
      </c>
      <c r="AD33" s="509">
        <f t="shared" si="168"/>
        <v>0</v>
      </c>
      <c r="AE33" s="509">
        <f>+AE30+AE32</f>
        <v>0</v>
      </c>
      <c r="AF33" s="509">
        <f>+AF30+AF32</f>
        <v>0</v>
      </c>
      <c r="AG33" s="509">
        <f t="shared" si="169"/>
        <v>0</v>
      </c>
      <c r="AH33" s="509">
        <f>+AH30+AH32</f>
        <v>0</v>
      </c>
      <c r="AI33" s="509">
        <f>+AI30+AI32</f>
        <v>33.847999999999999</v>
      </c>
      <c r="AJ33" s="509">
        <f t="shared" si="170"/>
        <v>34.713000000000008</v>
      </c>
      <c r="AK33" s="509">
        <f>+AK30+AK32</f>
        <v>68.561000000000007</v>
      </c>
      <c r="AL33" s="509">
        <f>+AL30+AL32</f>
        <v>36.567999999999998</v>
      </c>
      <c r="AM33" s="509">
        <f t="shared" si="171"/>
        <v>35.707000000000008</v>
      </c>
      <c r="AN33" s="509">
        <f>+AN30+AN32</f>
        <v>72.275000000000006</v>
      </c>
      <c r="AO33" s="509">
        <f>+AO30+AO32</f>
        <v>33.286999999999999</v>
      </c>
      <c r="AP33" s="509">
        <f t="shared" si="172"/>
        <v>38.625999999999998</v>
      </c>
      <c r="AQ33" s="509">
        <f>+AQ30+AQ32</f>
        <v>71.912999999999997</v>
      </c>
      <c r="AR33" s="509">
        <f>+AR30+AR32</f>
        <v>43.198</v>
      </c>
      <c r="AS33" s="509">
        <f t="shared" si="173"/>
        <v>48.499999999999993</v>
      </c>
      <c r="AT33" s="509">
        <f>+AT30+AT32</f>
        <v>91.697999999999993</v>
      </c>
      <c r="AU33" s="509">
        <f>+AU30+AU32</f>
        <v>62.625</v>
      </c>
      <c r="AV33" s="509">
        <f t="shared" si="174"/>
        <v>64.555999999999997</v>
      </c>
      <c r="AW33" s="509">
        <f>+AW30+AW32</f>
        <v>127.181</v>
      </c>
      <c r="AX33" s="509">
        <f>+AX30+AX32</f>
        <v>66.298000000000002</v>
      </c>
      <c r="AY33" s="509">
        <f t="shared" si="175"/>
        <v>77.859999999999985</v>
      </c>
      <c r="AZ33" s="509">
        <f>+AZ30+AZ32</f>
        <v>144.15799999999999</v>
      </c>
      <c r="BA33" s="509">
        <f>+BA30+BA32</f>
        <v>103.208</v>
      </c>
      <c r="BB33" s="509">
        <f t="shared" si="176"/>
        <v>116.90299999999999</v>
      </c>
      <c r="BC33" s="509">
        <f>+BC30+BC32</f>
        <v>220.11099999999999</v>
      </c>
      <c r="BD33" s="509">
        <f>+BD30+BD32</f>
        <v>120.29899999999999</v>
      </c>
      <c r="BE33" s="509">
        <f t="shared" si="177"/>
        <v>136.11600000000004</v>
      </c>
      <c r="BF33" s="509">
        <f>+BF30+BF32</f>
        <v>256.41500000000002</v>
      </c>
      <c r="BG33" s="509"/>
      <c r="BH33" s="509"/>
      <c r="BI33" s="509">
        <f>+BI30+BI32</f>
        <v>288.57499999999999</v>
      </c>
      <c r="BJ33" s="509">
        <f>+BJ30+BJ32</f>
        <v>137.93199999999999</v>
      </c>
      <c r="BK33" s="509">
        <f t="shared" si="178"/>
        <v>147.53200000000001</v>
      </c>
      <c r="BL33" s="509">
        <f>+BL30+BL32</f>
        <v>285.464</v>
      </c>
      <c r="BM33" s="509">
        <f>+BM30+BM32</f>
        <v>165.17200000000003</v>
      </c>
      <c r="BN33" s="509">
        <f t="shared" si="179"/>
        <v>183.79399999999998</v>
      </c>
      <c r="BO33" s="509">
        <f>+BO30+BO32</f>
        <v>348.96600000000001</v>
      </c>
      <c r="BP33" s="509">
        <f>+BP30+BP32</f>
        <v>225.5472747688259</v>
      </c>
      <c r="BQ33" s="509">
        <f t="shared" si="180"/>
        <v>226.71272523117415</v>
      </c>
      <c r="BR33" s="509">
        <f>+BR30+BR32</f>
        <v>452.26000000000005</v>
      </c>
      <c r="BS33" s="509">
        <f>+BS30+BS32</f>
        <v>263.84839571387568</v>
      </c>
      <c r="BT33" s="509">
        <f t="shared" ref="BT33:BT52" si="181">+BU33-BS33</f>
        <v>271.24889113529946</v>
      </c>
      <c r="BU33" s="509">
        <f>+BU30+BU32</f>
        <v>535.09728684917513</v>
      </c>
      <c r="BV33" s="509">
        <f>+BV30+BV32</f>
        <v>285.30191095510651</v>
      </c>
      <c r="BW33" s="509">
        <f t="shared" ref="BW33:BW52" si="182">+BX33-BV33</f>
        <v>292.11374465986893</v>
      </c>
      <c r="BX33" s="509">
        <f>+BX30+BX32</f>
        <v>577.41565561497544</v>
      </c>
      <c r="BY33" s="509">
        <f>+BY30+BY32</f>
        <v>339.53400701507331</v>
      </c>
      <c r="BZ33" s="509">
        <f t="shared" ref="BZ33:BZ52" si="183">+CA33-BY33</f>
        <v>325.64865392442204</v>
      </c>
      <c r="CA33" s="509">
        <f>+CA30+CA32</f>
        <v>665.18266093949535</v>
      </c>
      <c r="CB33" s="509">
        <f>+CB30+CB32</f>
        <v>331.77056818581059</v>
      </c>
      <c r="CC33" s="509">
        <f t="shared" ref="CC33:CC52" si="184">+CD33-CB33</f>
        <v>372.93014887490813</v>
      </c>
      <c r="CD33" s="509">
        <f>+CD30+CD32</f>
        <v>704.70071706071872</v>
      </c>
      <c r="CE33" s="509">
        <f>+CE30+CE32</f>
        <v>362.65346072280835</v>
      </c>
      <c r="CF33" s="509">
        <f t="shared" ref="CF33:CF52" si="185">+CG33-CE33</f>
        <v>419.04083570144149</v>
      </c>
      <c r="CG33" s="509">
        <f>+CG30+CG32</f>
        <v>781.69429642424984</v>
      </c>
      <c r="CH33" s="509">
        <f>+CH30+CH32</f>
        <v>375.36290545173983</v>
      </c>
      <c r="CI33" s="509">
        <f t="shared" ref="CI33:CI52" si="186">+CJ33-CH33</f>
        <v>378.33900162441603</v>
      </c>
      <c r="CJ33" s="509">
        <f>+CJ30+CJ32</f>
        <v>753.70190707615586</v>
      </c>
      <c r="CK33" s="509">
        <f>+CK30+CK32</f>
        <v>378.48712664803105</v>
      </c>
      <c r="CL33" s="509">
        <f t="shared" ref="CL33:CL52" si="187">+CM33-CK33</f>
        <v>346.38322347682225</v>
      </c>
      <c r="CM33" s="509">
        <f>+CM30+CM32</f>
        <v>724.8703501248533</v>
      </c>
      <c r="CN33" s="509">
        <f>+CN30+CN32</f>
        <v>355.565870426049</v>
      </c>
      <c r="CO33" s="509">
        <f t="shared" ref="CO33:CO52" si="188">+CP33-CN33</f>
        <v>417.32751057402567</v>
      </c>
      <c r="CP33" s="509">
        <f>+CP30+CP32</f>
        <v>772.89338100007467</v>
      </c>
      <c r="CQ33" s="509">
        <f>+CQ30+CQ32</f>
        <v>438.35400000000004</v>
      </c>
      <c r="CR33" s="509">
        <f t="shared" ref="CR33:CR52" si="189">+CS33-CQ33</f>
        <v>487.27499999999986</v>
      </c>
      <c r="CS33" s="509">
        <f>+CS30+CS32</f>
        <v>925.62899999999991</v>
      </c>
      <c r="CT33" s="509">
        <f>+CT30+CT32</f>
        <v>558.08851183171578</v>
      </c>
      <c r="CU33" s="509">
        <f t="shared" ref="CU33:CU52" si="190">+CV33-CT33</f>
        <v>570.79145808650878</v>
      </c>
      <c r="CV33" s="509">
        <f>+CV30+CV32</f>
        <v>1128.8799699182246</v>
      </c>
      <c r="CW33" s="509">
        <f>+CW30+CW32</f>
        <v>609.11819903206469</v>
      </c>
      <c r="CX33" s="509">
        <f t="shared" ref="CX33:CX52" si="191">+CY33-CW33</f>
        <v>644.72689535415452</v>
      </c>
      <c r="CY33" s="509">
        <f>+CY30+CY32</f>
        <v>1253.8450943862192</v>
      </c>
      <c r="CZ33" s="509">
        <f>+CZ30+CZ32</f>
        <v>639.03456370561855</v>
      </c>
      <c r="DA33" s="509">
        <f t="shared" ref="DA33:DA52" si="192">+DB33-CZ33</f>
        <v>704.37448173547079</v>
      </c>
      <c r="DB33" s="509">
        <f>+DB30+DB32</f>
        <v>1343.4090454410893</v>
      </c>
      <c r="DC33" s="509">
        <f>+DC30+DC32</f>
        <v>701.23750527281175</v>
      </c>
      <c r="DD33" s="509">
        <f t="shared" ref="DD33:DD52" si="193">+DE33-DC33</f>
        <v>722.31998173020418</v>
      </c>
      <c r="DE33" s="509">
        <f>+DE30+DE32</f>
        <v>1423.5574870030159</v>
      </c>
      <c r="DF33" s="509">
        <f>+DF30+DF32</f>
        <v>752.86346784113209</v>
      </c>
      <c r="DG33" s="509">
        <f t="shared" ref="DG33:DG49" si="194">+DH33-DF33</f>
        <v>572.26441110635972</v>
      </c>
      <c r="DH33" s="1255">
        <f>+DH30+DH32</f>
        <v>1325.1278789474918</v>
      </c>
      <c r="DI33" s="482">
        <f>+DI30+DI32</f>
        <v>743.19999999999993</v>
      </c>
      <c r="DJ33" s="482">
        <f t="shared" ref="DJ33:DJ52" si="195">+DK33-DI33</f>
        <v>754.4</v>
      </c>
      <c r="DK33" s="1244">
        <f>+DK30+DK32</f>
        <v>1497.6</v>
      </c>
      <c r="DL33" s="482">
        <f>+DL30+DL32</f>
        <v>820.7</v>
      </c>
      <c r="DM33" s="482">
        <f t="shared" ref="DM33:DM52" si="196">+DN33-DL33</f>
        <v>827.59999999999991</v>
      </c>
      <c r="DN33" s="1244">
        <f>+DN30+DN32</f>
        <v>1648.3</v>
      </c>
      <c r="DO33" s="482">
        <f>+DO30+DO32</f>
        <v>884.90000000000009</v>
      </c>
      <c r="DP33" s="482">
        <f t="shared" ref="DP33:DP52" si="197">+DQ33-DO33</f>
        <v>1051.2</v>
      </c>
      <c r="DQ33" s="1244">
        <f>+DQ30+DQ32</f>
        <v>1936.1000000000001</v>
      </c>
      <c r="DR33" s="482">
        <f>+DR30+DR32</f>
        <v>1098.5</v>
      </c>
      <c r="DS33" s="482">
        <f t="shared" ref="DS33:DS49" si="198">+DT33-DR33</f>
        <v>1137.1000000000004</v>
      </c>
      <c r="DT33" s="1244">
        <f>+DT30+DT32</f>
        <v>2235.6000000000004</v>
      </c>
      <c r="DU33" s="482">
        <f>+DU30+DU32</f>
        <v>1171.8900000000001</v>
      </c>
      <c r="DV33" s="482">
        <f t="shared" ref="DV33:DV49" si="199">+DW33-DU33</f>
        <v>1171.2099999999998</v>
      </c>
      <c r="DW33" s="1244">
        <f>+DW30+DW32</f>
        <v>2343.1</v>
      </c>
      <c r="DX33" s="482">
        <f>+DX30+DX32</f>
        <v>1167.2</v>
      </c>
      <c r="DY33" s="482">
        <f t="shared" ref="DY33:DY49" si="200">+DZ33-DX33</f>
        <v>1342.3699108342046</v>
      </c>
      <c r="DZ33" s="1244">
        <f>+DZ30+DZ32</f>
        <v>2509.5699108342046</v>
      </c>
      <c r="EA33" s="482">
        <f>+EA30+EA32</f>
        <v>1392.0604094030361</v>
      </c>
      <c r="EB33" s="482">
        <f t="shared" ref="EB33:EB49" si="201">+EC33-EA33</f>
        <v>1434.948967430845</v>
      </c>
      <c r="EC33" s="1244">
        <f>+EC30+EC32</f>
        <v>2827.0093768338811</v>
      </c>
      <c r="ED33" s="482">
        <f>+ED30+ED32</f>
        <v>1508.7872337030672</v>
      </c>
      <c r="EE33" s="482">
        <f t="shared" ref="EE33:EE49" si="202">+EF33-ED33</f>
        <v>1555.4582819515335</v>
      </c>
      <c r="EF33" s="1244">
        <f>+EF30+EF32</f>
        <v>3064.2455156546007</v>
      </c>
      <c r="EG33" s="482">
        <f>+EG30+EG32</f>
        <v>1644.578084736343</v>
      </c>
      <c r="EH33" s="482">
        <f t="shared" ref="EH33:EH49" si="203">+EI33-EG33</f>
        <v>1695.4495273271714</v>
      </c>
      <c r="EI33" s="1244">
        <f>+EI30+EI32</f>
        <v>3340.0276120635144</v>
      </c>
      <c r="EJ33" s="482">
        <f>+EJ30+EJ32</f>
        <v>1792.590112362614</v>
      </c>
      <c r="EK33" s="482">
        <f t="shared" ref="EK33:EK49" si="204">+EL33-EJ33</f>
        <v>1848.039984786617</v>
      </c>
      <c r="EL33" s="1244">
        <f>+EL30+EL32</f>
        <v>3640.630097149231</v>
      </c>
      <c r="EM33" s="482">
        <f>+EM30+EM32</f>
        <v>1953.9232224752495</v>
      </c>
      <c r="EN33" s="482">
        <f t="shared" ref="EN33:EN49" si="205">+EO33-EM33</f>
        <v>2014.3635834174129</v>
      </c>
      <c r="EO33" s="1244">
        <f>+EO30+EO32</f>
        <v>3968.2868058926624</v>
      </c>
      <c r="EP33" s="482">
        <f>+EP30+EP32</f>
        <v>2129.776312498022</v>
      </c>
      <c r="EQ33" s="482">
        <f t="shared" ref="EQ33:EQ49" si="206">+ER33-EP33</f>
        <v>2195.6563059249802</v>
      </c>
      <c r="ER33" s="1244">
        <f>+ER30+ER32</f>
        <v>4325.4326184230022</v>
      </c>
      <c r="ES33" s="482">
        <f>+ES30+ES32</f>
        <v>2321.4561806228444</v>
      </c>
      <c r="ET33" s="482">
        <f t="shared" ref="ET33:ET49" si="207">+EU33-ES33</f>
        <v>2393.2653734582286</v>
      </c>
      <c r="EU33" s="1244">
        <f>+EU30+EU32</f>
        <v>4714.721554081073</v>
      </c>
      <c r="EV33" s="482">
        <f>+EV30+EV32</f>
        <v>2530.3872368789007</v>
      </c>
      <c r="EW33" s="482">
        <f t="shared" ref="EW33:EW49" si="208">+EX33-EV33</f>
        <v>2608.6592570694693</v>
      </c>
      <c r="EX33" s="1244">
        <f>+EX30+EX32</f>
        <v>5139.04649394837</v>
      </c>
      <c r="EY33" s="482">
        <f>+EY30+EY32</f>
        <v>2758.1220881980016</v>
      </c>
      <c r="EZ33" s="482">
        <f t="shared" ref="EZ33:EZ49" si="209">+FA33-EY33</f>
        <v>2843.438590205722</v>
      </c>
      <c r="FA33" s="1244">
        <f>+FA30+FA32</f>
        <v>5601.5606784037236</v>
      </c>
      <c r="FE33"/>
      <c r="FF33"/>
      <c r="FG33"/>
      <c r="FH33"/>
      <c r="FI33"/>
      <c r="FJ33"/>
      <c r="FK33" s="35"/>
    </row>
    <row r="34" spans="2:167" s="236" customFormat="1" ht="13.35" customHeight="1">
      <c r="B34" s="242" t="s">
        <v>252</v>
      </c>
      <c r="C34" s="242" t="s">
        <v>496</v>
      </c>
      <c r="D34" s="243"/>
      <c r="E34" s="482">
        <f>+SUM(E35:E41)</f>
        <v>0</v>
      </c>
      <c r="F34" s="510">
        <f t="shared" si="160"/>
        <v>0</v>
      </c>
      <c r="G34" s="482">
        <f>+SUM(G35:G41)</f>
        <v>0</v>
      </c>
      <c r="H34" s="482">
        <f>+SUM(H35:H41)</f>
        <v>0</v>
      </c>
      <c r="I34" s="510">
        <f t="shared" si="161"/>
        <v>0</v>
      </c>
      <c r="J34" s="482">
        <f>+SUM(J35:J41)</f>
        <v>0</v>
      </c>
      <c r="K34" s="482">
        <f>+SUM(K35:K41)</f>
        <v>0</v>
      </c>
      <c r="L34" s="510">
        <f t="shared" si="162"/>
        <v>0</v>
      </c>
      <c r="M34" s="482">
        <f>+SUM(M35:M41)</f>
        <v>0</v>
      </c>
      <c r="N34" s="482">
        <f>+SUM(N35:N41)</f>
        <v>0</v>
      </c>
      <c r="O34" s="510">
        <f t="shared" si="163"/>
        <v>0</v>
      </c>
      <c r="P34" s="482">
        <f>+SUM(P35:P41)</f>
        <v>0</v>
      </c>
      <c r="Q34" s="482">
        <f>+SUM(Q35:Q41)</f>
        <v>0</v>
      </c>
      <c r="R34" s="510">
        <f t="shared" si="164"/>
        <v>0</v>
      </c>
      <c r="S34" s="482">
        <f>+SUM(S35:S41)</f>
        <v>0</v>
      </c>
      <c r="T34" s="482">
        <f>+SUM(T35:T41)</f>
        <v>0</v>
      </c>
      <c r="U34" s="510">
        <f t="shared" si="165"/>
        <v>0</v>
      </c>
      <c r="V34" s="482">
        <f>+SUM(V35:V41)</f>
        <v>0</v>
      </c>
      <c r="W34" s="482">
        <f>+SUM(W35:W41)</f>
        <v>0</v>
      </c>
      <c r="X34" s="510">
        <f t="shared" si="166"/>
        <v>0</v>
      </c>
      <c r="Y34" s="482">
        <f>+SUM(Y35:Y41)</f>
        <v>0</v>
      </c>
      <c r="Z34" s="482">
        <f>+SUM(Z35:Z41)</f>
        <v>0</v>
      </c>
      <c r="AA34" s="510">
        <f t="shared" si="167"/>
        <v>0</v>
      </c>
      <c r="AB34" s="482">
        <f>+SUM(AB35:AB41)</f>
        <v>0</v>
      </c>
      <c r="AC34" s="482">
        <f>+SUM(AC35:AC41)</f>
        <v>0</v>
      </c>
      <c r="AD34" s="510">
        <f t="shared" si="168"/>
        <v>0</v>
      </c>
      <c r="AE34" s="482">
        <f>+SUM(AE35:AE41)</f>
        <v>0</v>
      </c>
      <c r="AF34" s="482">
        <f>+SUM(AF35:AF41)</f>
        <v>0</v>
      </c>
      <c r="AG34" s="510">
        <f t="shared" si="169"/>
        <v>0</v>
      </c>
      <c r="AH34" s="482">
        <f>+SUM(AH35:AH41)</f>
        <v>0</v>
      </c>
      <c r="AI34" s="482">
        <f>+SUM(AI35:AI41)</f>
        <v>0.36599999999999999</v>
      </c>
      <c r="AJ34" s="510">
        <f t="shared" si="170"/>
        <v>4.2999999999999983E-2</v>
      </c>
      <c r="AK34" s="482">
        <f>+SUM(AK35:AK41)</f>
        <v>0.40899999999999997</v>
      </c>
      <c r="AL34" s="482">
        <f>+SUM(AL35:AL41)</f>
        <v>0.60099999999999998</v>
      </c>
      <c r="AM34" s="510">
        <f t="shared" si="171"/>
        <v>1.0090000000000001</v>
      </c>
      <c r="AN34" s="482">
        <f>+SUM(AN35:AN41)</f>
        <v>1.61</v>
      </c>
      <c r="AO34" s="482">
        <f>+SUM(AO35:AO41)</f>
        <v>0.56999999999999995</v>
      </c>
      <c r="AP34" s="510">
        <f t="shared" si="172"/>
        <v>0.44000000000000006</v>
      </c>
      <c r="AQ34" s="482">
        <f>+SUM(AQ35:AQ41)</f>
        <v>1.01</v>
      </c>
      <c r="AR34" s="482">
        <f>+SUM(AR35:AR41)</f>
        <v>0.32300000000000001</v>
      </c>
      <c r="AS34" s="510">
        <f t="shared" si="173"/>
        <v>0.87200000000000011</v>
      </c>
      <c r="AT34" s="482">
        <f>+SUM(AT35:AT41)</f>
        <v>1.1950000000000001</v>
      </c>
      <c r="AU34" s="482">
        <f>+SUM(AU35:AU41)</f>
        <v>0.41199999999999998</v>
      </c>
      <c r="AV34" s="510">
        <f t="shared" si="174"/>
        <v>0.63400000000000012</v>
      </c>
      <c r="AW34" s="482">
        <f>+SUM(AW35:AW41)</f>
        <v>1.046</v>
      </c>
      <c r="AX34" s="482">
        <f>+SUM(AX35:AX41)</f>
        <v>1.0609999999999999</v>
      </c>
      <c r="AY34" s="510">
        <f t="shared" si="175"/>
        <v>1.1230000000000002</v>
      </c>
      <c r="AZ34" s="482">
        <f>+SUM(AZ35:AZ41)</f>
        <v>2.1840000000000002</v>
      </c>
      <c r="BA34" s="482">
        <f>+SUM(BA35:BA41)</f>
        <v>0.56499999999999995</v>
      </c>
      <c r="BB34" s="510">
        <f t="shared" si="176"/>
        <v>1.5580000000000003</v>
      </c>
      <c r="BC34" s="482">
        <f>+SUM(BC35:BC41)</f>
        <v>2.1230000000000002</v>
      </c>
      <c r="BD34" s="482">
        <f>+SUM(BD35:BD41)</f>
        <v>0</v>
      </c>
      <c r="BE34" s="510">
        <f t="shared" si="177"/>
        <v>0.69</v>
      </c>
      <c r="BF34" s="482">
        <f>+SUM(BF35:BF41)</f>
        <v>0.69</v>
      </c>
      <c r="BG34" s="482">
        <f>+SUM(BG35:BG41)</f>
        <v>0.218</v>
      </c>
      <c r="BH34" s="510">
        <f t="shared" ref="BH34:BH52" si="210">+BI34-BG34</f>
        <v>0.43900000000000006</v>
      </c>
      <c r="BI34" s="482">
        <f>+SUM(BI35:BI41)</f>
        <v>0.65700000000000003</v>
      </c>
      <c r="BJ34" s="482">
        <f>+SUM(BJ35:BJ41)</f>
        <v>1.276</v>
      </c>
      <c r="BK34" s="510">
        <f t="shared" si="178"/>
        <v>1.3259999999999998</v>
      </c>
      <c r="BL34" s="482">
        <f>+SUM(BL35:BL41)</f>
        <v>2.6019999999999999</v>
      </c>
      <c r="BM34" s="482">
        <f>+SUM(BM35:BM41)</f>
        <v>0</v>
      </c>
      <c r="BN34" s="510">
        <f t="shared" si="179"/>
        <v>2.7270000000000003</v>
      </c>
      <c r="BO34" s="482">
        <f>+SUM(BO35:BO41)</f>
        <v>2.7270000000000003</v>
      </c>
      <c r="BP34" s="482">
        <f>+SUM(BP35:BP41)</f>
        <v>2.9979999999999998</v>
      </c>
      <c r="BQ34" s="510">
        <f t="shared" si="180"/>
        <v>3.7310000000000003</v>
      </c>
      <c r="BR34" s="482">
        <f>+SUM(BR35:BR41)</f>
        <v>6.7290000000000001</v>
      </c>
      <c r="BS34" s="482">
        <f>+SUM(BS35:BS41)</f>
        <v>1.091</v>
      </c>
      <c r="BT34" s="510">
        <f t="shared" si="181"/>
        <v>1.1079999999999999</v>
      </c>
      <c r="BU34" s="482">
        <f>+SUM(BU35:BU41)</f>
        <v>2.1989999999999998</v>
      </c>
      <c r="BV34" s="482">
        <f>+SUM(BV35:BV41)</f>
        <v>5.3970000000000002</v>
      </c>
      <c r="BW34" s="510">
        <f t="shared" si="182"/>
        <v>0.71999999999999975</v>
      </c>
      <c r="BX34" s="482">
        <f>+SUM(BX35:BX41)</f>
        <v>6.117</v>
      </c>
      <c r="BY34" s="482">
        <f>+SUM(BY35:BY41)</f>
        <v>30.898</v>
      </c>
      <c r="BZ34" s="510">
        <f t="shared" si="183"/>
        <v>-11.573</v>
      </c>
      <c r="CA34" s="482">
        <f>+SUM(CA35:CA41)</f>
        <v>19.324999999999999</v>
      </c>
      <c r="CB34" s="482">
        <f>+SUM(CB35:CB41)</f>
        <v>4.7619999999999996</v>
      </c>
      <c r="CC34" s="510">
        <f t="shared" si="184"/>
        <v>-2.3559999999999994</v>
      </c>
      <c r="CD34" s="482">
        <f>+SUM(CD35:CD41)</f>
        <v>2.4060000000000001</v>
      </c>
      <c r="CE34" s="482">
        <f>+SUM(CE35:CE41)</f>
        <v>133.53199999999998</v>
      </c>
      <c r="CF34" s="510">
        <f t="shared" si="185"/>
        <v>0.37800000000001432</v>
      </c>
      <c r="CG34" s="482">
        <f>+SUM(CG35:CG41)</f>
        <v>133.91</v>
      </c>
      <c r="CH34" s="482">
        <f>+SUM(CH35:CH41)</f>
        <v>0.44500000000000001</v>
      </c>
      <c r="CI34" s="510">
        <f t="shared" si="186"/>
        <v>1.407</v>
      </c>
      <c r="CJ34" s="482">
        <f>+SUM(CJ35:CJ41)</f>
        <v>1.8520000000000001</v>
      </c>
      <c r="CK34" s="482">
        <f>+SUM(CK35:CK41)</f>
        <v>0.29299999999999998</v>
      </c>
      <c r="CL34" s="510">
        <f t="shared" si="187"/>
        <v>0.36600000000000005</v>
      </c>
      <c r="CM34" s="482">
        <f>+SUM(CM35:CM41)</f>
        <v>0.65900000000000003</v>
      </c>
      <c r="CN34" s="482">
        <f>+SUM(CN35:CN41)</f>
        <v>0.15</v>
      </c>
      <c r="CO34" s="510">
        <f t="shared" si="188"/>
        <v>0.17399999999999996</v>
      </c>
      <c r="CP34" s="482">
        <f>+SUM(CP35:CP41)</f>
        <v>0.32399999999999995</v>
      </c>
      <c r="CQ34" s="482">
        <f>+SUM(CQ35:CQ41)</f>
        <v>8.9977309675119743E-2</v>
      </c>
      <c r="CR34" s="510">
        <f t="shared" si="189"/>
        <v>0.23086019032488031</v>
      </c>
      <c r="CS34" s="482">
        <f>+SUM(CS35:CS41)</f>
        <v>0.32083750000000005</v>
      </c>
      <c r="CT34" s="482">
        <f>+SUM(CT35:CT41)</f>
        <v>0.12999999999999998</v>
      </c>
      <c r="CU34" s="510">
        <f t="shared" si="190"/>
        <v>0.33799999999999997</v>
      </c>
      <c r="CV34" s="482">
        <f>+SUM(CV35:CV41)</f>
        <v>0.46799999999999997</v>
      </c>
      <c r="CW34" s="482">
        <f>+SUM(CW35:CW41)</f>
        <v>0.27199999999999996</v>
      </c>
      <c r="CX34" s="510">
        <f t="shared" si="191"/>
        <v>-0.43317200000000006</v>
      </c>
      <c r="CY34" s="482">
        <f>+SUM(CY35:CY41)</f>
        <v>-0.16117200000000009</v>
      </c>
      <c r="CZ34" s="482">
        <f>+SUM(CZ35:CZ41)</f>
        <v>0.54554999999999998</v>
      </c>
      <c r="DA34" s="510">
        <f t="shared" si="192"/>
        <v>0.35444999999999993</v>
      </c>
      <c r="DB34" s="482">
        <f>+SUM(DB35:DB41)</f>
        <v>0.89999999999999991</v>
      </c>
      <c r="DC34" s="482">
        <f>+SUM(DC35:DC41)</f>
        <v>1.6</v>
      </c>
      <c r="DD34" s="510">
        <f t="shared" si="193"/>
        <v>-0.89950000000000008</v>
      </c>
      <c r="DE34" s="482">
        <f>+SUM(DE35:DE41)</f>
        <v>0.70050000000000001</v>
      </c>
      <c r="DF34" s="482">
        <f>+SUM(DF35:DF41)</f>
        <v>0.19685196021064949</v>
      </c>
      <c r="DG34" s="510">
        <f t="shared" si="194"/>
        <v>1.4443280397893505</v>
      </c>
      <c r="DH34" s="1244">
        <f>+SUM(DH35:DH41)</f>
        <v>1.6411800000000001</v>
      </c>
      <c r="DI34" s="482">
        <f>+SUM(DI35:DI41)</f>
        <v>2.5</v>
      </c>
      <c r="DJ34" s="482">
        <f t="shared" si="195"/>
        <v>1.1000000000000001</v>
      </c>
      <c r="DK34" s="1244">
        <f>+SUM(DK35:DK41)</f>
        <v>3.6</v>
      </c>
      <c r="DL34" s="482">
        <f>+SUM(DL35:DL41)</f>
        <v>0.8</v>
      </c>
      <c r="DM34" s="482">
        <f t="shared" si="196"/>
        <v>1.5999999999999999</v>
      </c>
      <c r="DN34" s="1244">
        <f>+SUM(DN35:DN41)</f>
        <v>2.4</v>
      </c>
      <c r="DO34" s="482">
        <f>+SUM(DO35:DO41)</f>
        <v>6.7</v>
      </c>
      <c r="DP34" s="482">
        <f t="shared" si="197"/>
        <v>9.8000000000000007</v>
      </c>
      <c r="DQ34" s="1244">
        <f>+SUM(DQ35:DQ41)</f>
        <v>16.5</v>
      </c>
      <c r="DR34" s="482">
        <f>+SUM(DR35:DR41)</f>
        <v>9.4</v>
      </c>
      <c r="DS34" s="482">
        <f t="shared" si="198"/>
        <v>9.6</v>
      </c>
      <c r="DT34" s="1244">
        <f>+SUM(DT35:DT41)</f>
        <v>19</v>
      </c>
      <c r="DU34" s="482">
        <f>+SUM(DU35:DU41)</f>
        <v>7.4</v>
      </c>
      <c r="DV34" s="482">
        <f t="shared" si="199"/>
        <v>4.2999999999999989</v>
      </c>
      <c r="DW34" s="1244">
        <f>+SUM(DW35:DW41)</f>
        <v>11.7</v>
      </c>
      <c r="DX34" s="482">
        <f>+SUM(DX35:DX41)</f>
        <v>8.4</v>
      </c>
      <c r="DY34" s="482">
        <f t="shared" si="200"/>
        <v>3.4394999999999989</v>
      </c>
      <c r="DZ34" s="1244">
        <f>+SUM(DZ35:DZ41)</f>
        <v>11.839499999999999</v>
      </c>
      <c r="EA34" s="482">
        <f>+SUM(EA35:EA41)</f>
        <v>2.8195406084808758</v>
      </c>
      <c r="EB34" s="482">
        <f t="shared" si="201"/>
        <v>2.8195406084808758</v>
      </c>
      <c r="EC34" s="1244">
        <f>+SUM(EC35:EC41)</f>
        <v>5.6390812169617517</v>
      </c>
      <c r="ED34" s="482">
        <f>+SUM(ED35:ED41)</f>
        <v>1.739032121801505</v>
      </c>
      <c r="EE34" s="482">
        <f t="shared" si="202"/>
        <v>1.739032121801505</v>
      </c>
      <c r="EF34" s="1244">
        <f>+SUM(EF35:EF41)</f>
        <v>3.47806424360301</v>
      </c>
      <c r="EG34" s="482">
        <f>+SUM(EG35:EG41)</f>
        <v>1.9657695995498594</v>
      </c>
      <c r="EH34" s="482">
        <f t="shared" si="203"/>
        <v>1.9657695995498594</v>
      </c>
      <c r="EI34" s="1244">
        <f>+SUM(EI35:EI41)</f>
        <v>3.9315391990997188</v>
      </c>
      <c r="EJ34" s="482">
        <f>+SUM(EJ35:EJ41)</f>
        <v>2.0238181622219305</v>
      </c>
      <c r="EK34" s="482">
        <f t="shared" si="204"/>
        <v>2.0238181622219305</v>
      </c>
      <c r="EL34" s="1244">
        <f>+SUM(EL35:EL41)</f>
        <v>4.0476363244438609</v>
      </c>
      <c r="EM34" s="482">
        <f>+SUM(EM35:EM41)</f>
        <v>3.0106340231934903</v>
      </c>
      <c r="EN34" s="482">
        <f t="shared" si="205"/>
        <v>3.0106340231934903</v>
      </c>
      <c r="EO34" s="1244">
        <f>+SUM(EO35:EO41)</f>
        <v>6.0212680463869805</v>
      </c>
      <c r="EP34" s="482">
        <f>+SUM(EP35:EP41)</f>
        <v>4.9732480863178985</v>
      </c>
      <c r="EQ34" s="482">
        <f t="shared" si="206"/>
        <v>4.9732480863178985</v>
      </c>
      <c r="ER34" s="1244">
        <f>+SUM(ER35:ER41)</f>
        <v>9.946496172635797</v>
      </c>
      <c r="ES34" s="482">
        <f>+SUM(ES35:ES41)</f>
        <v>7.1931693677738942</v>
      </c>
      <c r="ET34" s="482">
        <f t="shared" si="207"/>
        <v>7.1931693677738942</v>
      </c>
      <c r="EU34" s="1244">
        <f>+SUM(EU35:EU41)</f>
        <v>14.386338735547788</v>
      </c>
      <c r="EV34" s="482">
        <f>+SUM(EV35:EV41)</f>
        <v>9.7027929759009393</v>
      </c>
      <c r="EW34" s="482">
        <f t="shared" si="208"/>
        <v>9.7027929759009393</v>
      </c>
      <c r="EX34" s="1244">
        <f>+SUM(EX35:EX41)</f>
        <v>19.405585951801879</v>
      </c>
      <c r="EY34" s="482">
        <f>+SUM(EY35:EY41)</f>
        <v>12.539627022016708</v>
      </c>
      <c r="EZ34" s="482">
        <f t="shared" si="209"/>
        <v>12.539627022016708</v>
      </c>
      <c r="FA34" s="1244">
        <f>+SUM(FA35:FA41)</f>
        <v>25.079254044033416</v>
      </c>
      <c r="FE34"/>
      <c r="FF34"/>
      <c r="FG34"/>
      <c r="FH34"/>
      <c r="FI34"/>
      <c r="FJ34"/>
      <c r="FK34" s="35"/>
    </row>
    <row r="35" spans="2:167" s="236" customFormat="1" ht="13.35" customHeight="1" outlineLevel="1" thickBot="1">
      <c r="B35" s="242" t="s">
        <v>253</v>
      </c>
      <c r="C35" s="242" t="s">
        <v>496</v>
      </c>
      <c r="D35" s="243"/>
      <c r="E35" s="510">
        <f>+E75</f>
        <v>0</v>
      </c>
      <c r="F35" s="510">
        <f t="shared" si="160"/>
        <v>0</v>
      </c>
      <c r="G35" s="510">
        <f>+G75</f>
        <v>0</v>
      </c>
      <c r="H35" s="510">
        <f>+H75</f>
        <v>0</v>
      </c>
      <c r="I35" s="510">
        <f t="shared" si="161"/>
        <v>0</v>
      </c>
      <c r="J35" s="510">
        <f>+J75</f>
        <v>0</v>
      </c>
      <c r="K35" s="510">
        <f>+K75</f>
        <v>0</v>
      </c>
      <c r="L35" s="510">
        <f t="shared" si="162"/>
        <v>0</v>
      </c>
      <c r="M35" s="510">
        <f>+M75</f>
        <v>0</v>
      </c>
      <c r="N35" s="510">
        <f>+N75</f>
        <v>0</v>
      </c>
      <c r="O35" s="510">
        <f t="shared" si="163"/>
        <v>0</v>
      </c>
      <c r="P35" s="510">
        <f>+P75</f>
        <v>0</v>
      </c>
      <c r="Q35" s="510">
        <f>+Q75</f>
        <v>0</v>
      </c>
      <c r="R35" s="510">
        <f t="shared" si="164"/>
        <v>0</v>
      </c>
      <c r="S35" s="510">
        <f>+S75</f>
        <v>0</v>
      </c>
      <c r="T35" s="510">
        <f>+T75</f>
        <v>0</v>
      </c>
      <c r="U35" s="510">
        <f t="shared" si="165"/>
        <v>0</v>
      </c>
      <c r="V35" s="510">
        <f>+V75</f>
        <v>0</v>
      </c>
      <c r="W35" s="510">
        <f>+W75</f>
        <v>0</v>
      </c>
      <c r="X35" s="510">
        <f t="shared" si="166"/>
        <v>0</v>
      </c>
      <c r="Y35" s="510">
        <f>+Y75</f>
        <v>0</v>
      </c>
      <c r="Z35" s="510">
        <f>+Z75</f>
        <v>0</v>
      </c>
      <c r="AA35" s="510">
        <f t="shared" si="167"/>
        <v>0</v>
      </c>
      <c r="AB35" s="510">
        <f>+AB75</f>
        <v>0</v>
      </c>
      <c r="AC35" s="510">
        <f>+AC75</f>
        <v>0</v>
      </c>
      <c r="AD35" s="510">
        <f t="shared" si="168"/>
        <v>0</v>
      </c>
      <c r="AE35" s="510">
        <f>+AE75</f>
        <v>0</v>
      </c>
      <c r="AF35" s="510">
        <f>+AF75</f>
        <v>0</v>
      </c>
      <c r="AG35" s="510">
        <f t="shared" si="169"/>
        <v>0</v>
      </c>
      <c r="AH35" s="510">
        <f>+AH75</f>
        <v>0</v>
      </c>
      <c r="AI35" s="510">
        <f>+AI75</f>
        <v>4.7E-2</v>
      </c>
      <c r="AJ35" s="510">
        <f t="shared" si="170"/>
        <v>0</v>
      </c>
      <c r="AK35" s="510">
        <f>+AK75</f>
        <v>4.7E-2</v>
      </c>
      <c r="AL35" s="510">
        <f>+AL75</f>
        <v>7.0999999999999994E-2</v>
      </c>
      <c r="AM35" s="510">
        <f t="shared" si="171"/>
        <v>0.38400000000000001</v>
      </c>
      <c r="AN35" s="510">
        <f>+AN75</f>
        <v>0.45500000000000002</v>
      </c>
      <c r="AO35" s="510">
        <f>+AO75</f>
        <v>0.35799999999999998</v>
      </c>
      <c r="AP35" s="510">
        <f t="shared" si="172"/>
        <v>0.32200000000000006</v>
      </c>
      <c r="AQ35" s="510">
        <f>+AQ75</f>
        <v>0.68</v>
      </c>
      <c r="AR35" s="510">
        <f>+AR75</f>
        <v>0.32300000000000001</v>
      </c>
      <c r="AS35" s="510">
        <f t="shared" si="173"/>
        <v>0.30099999999999999</v>
      </c>
      <c r="AT35" s="510">
        <f>+AT75</f>
        <v>0.624</v>
      </c>
      <c r="AU35" s="510">
        <f>+AU75</f>
        <v>0.40600000000000003</v>
      </c>
      <c r="AV35" s="510">
        <f t="shared" si="174"/>
        <v>0.57099999999999995</v>
      </c>
      <c r="AW35" s="510">
        <f>+AW75</f>
        <v>0.97699999999999998</v>
      </c>
      <c r="AX35" s="510">
        <f>+AX75</f>
        <v>0.755</v>
      </c>
      <c r="AY35" s="510">
        <f t="shared" si="175"/>
        <v>0.624</v>
      </c>
      <c r="AZ35" s="510">
        <f>+AZ75</f>
        <v>1.379</v>
      </c>
      <c r="BA35" s="510">
        <f>+BA75</f>
        <v>0.56499999999999995</v>
      </c>
      <c r="BB35" s="510">
        <f t="shared" si="176"/>
        <v>0.59499999999999997</v>
      </c>
      <c r="BC35" s="510">
        <f>+BC75</f>
        <v>1.1599999999999999</v>
      </c>
      <c r="BD35" s="510">
        <f>+BD75</f>
        <v>0</v>
      </c>
      <c r="BE35" s="510">
        <f t="shared" si="177"/>
        <v>0.69</v>
      </c>
      <c r="BF35" s="510">
        <f>+BF75</f>
        <v>0.69</v>
      </c>
      <c r="BG35" s="510">
        <f>+BG75</f>
        <v>0.218</v>
      </c>
      <c r="BH35" s="510">
        <f t="shared" si="210"/>
        <v>0.43900000000000006</v>
      </c>
      <c r="BI35" s="510">
        <f>+BI75</f>
        <v>0.65700000000000003</v>
      </c>
      <c r="BJ35" s="510">
        <f>+BJ75</f>
        <v>1.1679999999999999</v>
      </c>
      <c r="BK35" s="510">
        <f t="shared" si="178"/>
        <v>1.4339999999999999</v>
      </c>
      <c r="BL35" s="510">
        <f>+BL75</f>
        <v>2.6019999999999999</v>
      </c>
      <c r="BM35" s="510">
        <f>+BM75</f>
        <v>0</v>
      </c>
      <c r="BN35" s="510">
        <f t="shared" si="179"/>
        <v>2.7</v>
      </c>
      <c r="BO35" s="510">
        <f>+BO75</f>
        <v>2.7</v>
      </c>
      <c r="BP35" s="510">
        <f>+BP75</f>
        <v>2.9979999999999998</v>
      </c>
      <c r="BQ35" s="510">
        <f t="shared" si="180"/>
        <v>3.7310000000000003</v>
      </c>
      <c r="BR35" s="510">
        <f>+BR75</f>
        <v>6.7290000000000001</v>
      </c>
      <c r="BS35" s="510">
        <f>+BS75</f>
        <v>1.091</v>
      </c>
      <c r="BT35" s="510">
        <f t="shared" si="181"/>
        <v>1.1079999999999999</v>
      </c>
      <c r="BU35" s="510">
        <f>+BU75</f>
        <v>2.1989999999999998</v>
      </c>
      <c r="BV35" s="510">
        <f>+BV75</f>
        <v>0.67</v>
      </c>
      <c r="BW35" s="510">
        <f t="shared" si="182"/>
        <v>0.73999999999999988</v>
      </c>
      <c r="BX35" s="510">
        <f>+BX75</f>
        <v>1.41</v>
      </c>
      <c r="BY35" s="510">
        <f>+BY75</f>
        <v>15.888999999999999</v>
      </c>
      <c r="BZ35" s="510">
        <f t="shared" si="183"/>
        <v>-5.4149999999999991</v>
      </c>
      <c r="CA35" s="510">
        <f>+CA75</f>
        <v>10.474</v>
      </c>
      <c r="CB35" s="510">
        <f>+CB75</f>
        <v>4.7619999999999996</v>
      </c>
      <c r="CC35" s="510">
        <f t="shared" si="184"/>
        <v>-2.3559999999999994</v>
      </c>
      <c r="CD35" s="510">
        <f>+CD75</f>
        <v>2.4060000000000001</v>
      </c>
      <c r="CE35" s="510">
        <f>+CE75</f>
        <v>3.23</v>
      </c>
      <c r="CF35" s="510">
        <f t="shared" si="185"/>
        <v>0.37800000000000011</v>
      </c>
      <c r="CG35" s="510">
        <f>+CG75</f>
        <v>3.6080000000000001</v>
      </c>
      <c r="CH35" s="510">
        <f>+CH75</f>
        <v>0.44500000000000001</v>
      </c>
      <c r="CI35" s="510">
        <f t="shared" si="186"/>
        <v>1.407</v>
      </c>
      <c r="CJ35" s="510">
        <f>+CJ75</f>
        <v>1.8520000000000001</v>
      </c>
      <c r="CK35" s="510">
        <f>+CK75</f>
        <v>0.29299999999999998</v>
      </c>
      <c r="CL35" s="510">
        <f t="shared" si="187"/>
        <v>0.36600000000000005</v>
      </c>
      <c r="CM35" s="510">
        <f>+CM75</f>
        <v>0.65900000000000003</v>
      </c>
      <c r="CN35" s="510">
        <f>+CN75</f>
        <v>0.15</v>
      </c>
      <c r="CO35" s="510">
        <f t="shared" si="188"/>
        <v>0.17399999999999996</v>
      </c>
      <c r="CP35" s="510">
        <f>+CP75</f>
        <v>0.32399999999999995</v>
      </c>
      <c r="CQ35" s="510">
        <f>+CQ75</f>
        <v>8.9977309675119743E-2</v>
      </c>
      <c r="CR35" s="510">
        <f t="shared" si="189"/>
        <v>0.23086019032488031</v>
      </c>
      <c r="CS35" s="510">
        <f>+CS75</f>
        <v>0.32083750000000005</v>
      </c>
      <c r="CT35" s="510">
        <f>+CT75</f>
        <v>0.12999999999999998</v>
      </c>
      <c r="CU35" s="510">
        <f t="shared" si="190"/>
        <v>0.33799999999999997</v>
      </c>
      <c r="CV35" s="510">
        <f>+CV75</f>
        <v>0.46799999999999997</v>
      </c>
      <c r="CW35" s="510">
        <f>+CW75</f>
        <v>0.27199999999999996</v>
      </c>
      <c r="CX35" s="510">
        <f t="shared" si="191"/>
        <v>0.38782800000000001</v>
      </c>
      <c r="CY35" s="510">
        <f>+CY75</f>
        <v>0.65982799999999997</v>
      </c>
      <c r="CZ35" s="510">
        <f>+CZ75</f>
        <v>0.24554999999999999</v>
      </c>
      <c r="DA35" s="510">
        <f t="shared" si="192"/>
        <v>0.35444999999999999</v>
      </c>
      <c r="DB35" s="510">
        <f>+DB75</f>
        <v>0.6</v>
      </c>
      <c r="DC35" s="510">
        <f>+DC75</f>
        <v>0.30000000000000004</v>
      </c>
      <c r="DD35" s="510">
        <f t="shared" si="193"/>
        <v>0.40049999999999997</v>
      </c>
      <c r="DE35" s="510">
        <f>+DE75</f>
        <v>0.70050000000000001</v>
      </c>
      <c r="DF35" s="510">
        <f>+DF75</f>
        <v>0.19685196021064949</v>
      </c>
      <c r="DG35" s="510">
        <f t="shared" si="194"/>
        <v>1.4443280397893505</v>
      </c>
      <c r="DH35" s="1256">
        <f>+DH75</f>
        <v>1.6411800000000001</v>
      </c>
      <c r="DI35" s="482">
        <f>+DI75</f>
        <v>2.5</v>
      </c>
      <c r="DJ35" s="482">
        <f t="shared" si="195"/>
        <v>1.1000000000000001</v>
      </c>
      <c r="DK35" s="1244">
        <f>+DK75</f>
        <v>3.6</v>
      </c>
      <c r="DL35" s="482">
        <f>+DL75</f>
        <v>0.8</v>
      </c>
      <c r="DM35" s="482">
        <f t="shared" si="196"/>
        <v>1.5999999999999999</v>
      </c>
      <c r="DN35" s="1244">
        <f>+DN75</f>
        <v>2.4</v>
      </c>
      <c r="DO35" s="482">
        <f>+DO75</f>
        <v>6.7</v>
      </c>
      <c r="DP35" s="482">
        <f t="shared" si="197"/>
        <v>9.8000000000000007</v>
      </c>
      <c r="DQ35" s="1244">
        <f>+DQ75</f>
        <v>16.5</v>
      </c>
      <c r="DR35" s="482">
        <f>+DR75</f>
        <v>9.4</v>
      </c>
      <c r="DS35" s="482">
        <f t="shared" si="198"/>
        <v>9.6</v>
      </c>
      <c r="DT35" s="1244">
        <f>+DT75</f>
        <v>19</v>
      </c>
      <c r="DU35" s="482">
        <f>+DU75</f>
        <v>7.4</v>
      </c>
      <c r="DV35" s="482">
        <f t="shared" si="199"/>
        <v>4.2999999999999989</v>
      </c>
      <c r="DW35" s="1244">
        <f>+DW75</f>
        <v>11.7</v>
      </c>
      <c r="DX35" s="482">
        <f>+DX75</f>
        <v>8.4</v>
      </c>
      <c r="DY35" s="482">
        <f t="shared" si="200"/>
        <v>3.4394999999999989</v>
      </c>
      <c r="DZ35" s="1244">
        <f>+DZ75</f>
        <v>11.839499999999999</v>
      </c>
      <c r="EA35" s="482">
        <f>+EA75</f>
        <v>2.8195406084808758</v>
      </c>
      <c r="EB35" s="482">
        <f t="shared" si="201"/>
        <v>2.8195406084808758</v>
      </c>
      <c r="EC35" s="1244">
        <f>+EC75</f>
        <v>5.6390812169617517</v>
      </c>
      <c r="ED35" s="482">
        <f>+ED75</f>
        <v>1.739032121801505</v>
      </c>
      <c r="EE35" s="482">
        <f t="shared" si="202"/>
        <v>1.739032121801505</v>
      </c>
      <c r="EF35" s="1244">
        <f>+EF75</f>
        <v>3.47806424360301</v>
      </c>
      <c r="EG35" s="482">
        <f>+EG75</f>
        <v>1.9657695995498594</v>
      </c>
      <c r="EH35" s="482">
        <f t="shared" si="203"/>
        <v>1.9657695995498594</v>
      </c>
      <c r="EI35" s="1244">
        <f>+EI75</f>
        <v>3.9315391990997188</v>
      </c>
      <c r="EJ35" s="482">
        <f>+EJ75</f>
        <v>2.0238181622219305</v>
      </c>
      <c r="EK35" s="482">
        <f t="shared" si="204"/>
        <v>2.0238181622219305</v>
      </c>
      <c r="EL35" s="1244">
        <f>+EL75</f>
        <v>4.0476363244438609</v>
      </c>
      <c r="EM35" s="482">
        <f>+EM75</f>
        <v>3.0106340231934903</v>
      </c>
      <c r="EN35" s="482">
        <f t="shared" si="205"/>
        <v>3.0106340231934903</v>
      </c>
      <c r="EO35" s="1244">
        <f>+EO75</f>
        <v>6.0212680463869805</v>
      </c>
      <c r="EP35" s="482">
        <f>+EP75</f>
        <v>4.9732480863178985</v>
      </c>
      <c r="EQ35" s="482">
        <f t="shared" si="206"/>
        <v>4.9732480863178985</v>
      </c>
      <c r="ER35" s="1244">
        <f>+ER75</f>
        <v>9.946496172635797</v>
      </c>
      <c r="ES35" s="482">
        <f>+ES75</f>
        <v>7.1931693677738942</v>
      </c>
      <c r="ET35" s="482">
        <f t="shared" si="207"/>
        <v>7.1931693677738942</v>
      </c>
      <c r="EU35" s="1244">
        <f>+EU75</f>
        <v>14.386338735547788</v>
      </c>
      <c r="EV35" s="482">
        <f>+EV75</f>
        <v>9.7027929759009393</v>
      </c>
      <c r="EW35" s="482">
        <f t="shared" si="208"/>
        <v>9.7027929759009393</v>
      </c>
      <c r="EX35" s="1244">
        <f>+EX75</f>
        <v>19.405585951801879</v>
      </c>
      <c r="EY35" s="482">
        <f>+EY75</f>
        <v>12.539627022016708</v>
      </c>
      <c r="EZ35" s="482">
        <f t="shared" si="209"/>
        <v>12.539627022016708</v>
      </c>
      <c r="FA35" s="1244">
        <f>+FA75</f>
        <v>25.079254044033416</v>
      </c>
      <c r="FE35"/>
      <c r="FF35"/>
      <c r="FG35"/>
      <c r="FH35"/>
      <c r="FI35"/>
      <c r="FJ35"/>
      <c r="FK35" s="35"/>
    </row>
    <row r="36" spans="2:167" s="236" customFormat="1" ht="13.35" customHeight="1" outlineLevel="1">
      <c r="B36" s="236" t="s">
        <v>254</v>
      </c>
      <c r="C36" s="242" t="s">
        <v>496</v>
      </c>
      <c r="D36" s="243"/>
      <c r="E36" s="511"/>
      <c r="F36" s="510">
        <f t="shared" si="160"/>
        <v>0</v>
      </c>
      <c r="G36" s="512"/>
      <c r="H36" s="513"/>
      <c r="I36" s="510">
        <f t="shared" si="161"/>
        <v>0</v>
      </c>
      <c r="J36" s="512"/>
      <c r="K36" s="513"/>
      <c r="L36" s="510">
        <f t="shared" si="162"/>
        <v>0</v>
      </c>
      <c r="M36" s="512"/>
      <c r="N36" s="513"/>
      <c r="O36" s="510">
        <f t="shared" si="163"/>
        <v>0</v>
      </c>
      <c r="P36" s="512"/>
      <c r="Q36" s="513"/>
      <c r="R36" s="510">
        <f t="shared" si="164"/>
        <v>0</v>
      </c>
      <c r="S36" s="512"/>
      <c r="T36" s="513"/>
      <c r="U36" s="510">
        <f t="shared" si="165"/>
        <v>0</v>
      </c>
      <c r="V36" s="512"/>
      <c r="W36" s="513"/>
      <c r="X36" s="510">
        <f t="shared" si="166"/>
        <v>0</v>
      </c>
      <c r="Y36" s="512"/>
      <c r="Z36" s="513"/>
      <c r="AA36" s="510">
        <f t="shared" si="167"/>
        <v>0</v>
      </c>
      <c r="AB36" s="512"/>
      <c r="AC36" s="513"/>
      <c r="AD36" s="510">
        <f t="shared" si="168"/>
        <v>0</v>
      </c>
      <c r="AE36" s="512"/>
      <c r="AF36" s="513"/>
      <c r="AG36" s="510">
        <f t="shared" si="169"/>
        <v>0</v>
      </c>
      <c r="AH36" s="512"/>
      <c r="AI36" s="513"/>
      <c r="AJ36" s="510">
        <f t="shared" si="170"/>
        <v>0</v>
      </c>
      <c r="AK36" s="512"/>
      <c r="AL36" s="513"/>
      <c r="AM36" s="510">
        <f t="shared" si="171"/>
        <v>0</v>
      </c>
      <c r="AN36" s="512"/>
      <c r="AO36" s="513"/>
      <c r="AP36" s="510">
        <f t="shared" si="172"/>
        <v>0</v>
      </c>
      <c r="AQ36" s="512"/>
      <c r="AR36" s="513"/>
      <c r="AS36" s="510">
        <f t="shared" si="173"/>
        <v>0</v>
      </c>
      <c r="AT36" s="512"/>
      <c r="AU36" s="513"/>
      <c r="AV36" s="510">
        <f t="shared" si="174"/>
        <v>0</v>
      </c>
      <c r="AW36" s="512"/>
      <c r="AX36" s="514">
        <v>0</v>
      </c>
      <c r="AY36" s="510">
        <f t="shared" si="175"/>
        <v>0</v>
      </c>
      <c r="AZ36" s="515">
        <v>0</v>
      </c>
      <c r="BA36" s="514">
        <v>0</v>
      </c>
      <c r="BB36" s="510">
        <f t="shared" si="176"/>
        <v>0</v>
      </c>
      <c r="BC36" s="515">
        <v>0</v>
      </c>
      <c r="BD36" s="513">
        <f>IF(Assumptions!BD99&lt;&gt;"",Assumptions!BD99,0)</f>
        <v>0</v>
      </c>
      <c r="BE36" s="510">
        <f t="shared" si="177"/>
        <v>0</v>
      </c>
      <c r="BF36" s="512">
        <f>IF(Assumptions!BF99&lt;&gt;"",Assumptions!BF99,0)</f>
        <v>0</v>
      </c>
      <c r="BG36" s="513">
        <f>IF(Assumptions!BG99&lt;&gt;"",Assumptions!BG99,0)</f>
        <v>0</v>
      </c>
      <c r="BH36" s="510">
        <f t="shared" si="210"/>
        <v>0</v>
      </c>
      <c r="BI36" s="512">
        <f>IF(Assumptions!BI99&lt;&gt;"",Assumptions!BI99,0)</f>
        <v>0</v>
      </c>
      <c r="BJ36" s="513">
        <f>IF(Assumptions!BJ99&lt;&gt;"",Assumptions!BJ99,0)</f>
        <v>0</v>
      </c>
      <c r="BK36" s="510">
        <f t="shared" si="178"/>
        <v>0</v>
      </c>
      <c r="BL36" s="512">
        <f>IF(Assumptions!BL99&lt;&gt;"",Assumptions!BL99,0)</f>
        <v>0</v>
      </c>
      <c r="BM36" s="513">
        <f>IF(Assumptions!BM99&lt;&gt;"",Assumptions!BM99,0)</f>
        <v>0</v>
      </c>
      <c r="BN36" s="510">
        <f t="shared" si="179"/>
        <v>0</v>
      </c>
      <c r="BO36" s="511">
        <f>IF(Assumptions!BO99&lt;&gt;"",Assumptions!BO99,0)</f>
        <v>0</v>
      </c>
      <c r="BP36" s="513">
        <f>IF(Assumptions!BP99&lt;&gt;"",Assumptions!BP99,0)</f>
        <v>0</v>
      </c>
      <c r="BQ36" s="510">
        <f t="shared" si="180"/>
        <v>0</v>
      </c>
      <c r="BR36" s="511">
        <f>IF(Assumptions!BR99&lt;&gt;"",Assumptions!BR99,0)</f>
        <v>0</v>
      </c>
      <c r="BS36" s="513">
        <f>IF(Assumptions!BS99&lt;&gt;"",Assumptions!BS99,0)</f>
        <v>0</v>
      </c>
      <c r="BT36" s="510">
        <f t="shared" si="181"/>
        <v>0</v>
      </c>
      <c r="BU36" s="511">
        <f>IF(Assumptions!BU99&lt;&gt;"",Assumptions!BU99,0)</f>
        <v>0</v>
      </c>
      <c r="BV36" s="513">
        <f>IF(Assumptions!BV99&lt;&gt;"",Assumptions!BV99,0)</f>
        <v>0</v>
      </c>
      <c r="BW36" s="510">
        <f t="shared" si="182"/>
        <v>0</v>
      </c>
      <c r="BX36" s="511">
        <f>IF(Assumptions!BX99&lt;&gt;"",Assumptions!BX99,0)</f>
        <v>0</v>
      </c>
      <c r="BY36" s="513">
        <f>IF(Assumptions!BY99&lt;&gt;"",Assumptions!BY99,0)</f>
        <v>0</v>
      </c>
      <c r="BZ36" s="510">
        <f t="shared" si="183"/>
        <v>0</v>
      </c>
      <c r="CA36" s="511">
        <f>IF(Assumptions!CA99&lt;&gt;"",Assumptions!CA99,0)</f>
        <v>0</v>
      </c>
      <c r="CB36" s="513">
        <f>IF(Assumptions!CB99&lt;&gt;"",Assumptions!CB99,0)</f>
        <v>0</v>
      </c>
      <c r="CC36" s="510">
        <f t="shared" si="184"/>
        <v>0</v>
      </c>
      <c r="CD36" s="511">
        <f>IF(Assumptions!CD99&lt;&gt;"",Assumptions!CD99,0)</f>
        <v>0</v>
      </c>
      <c r="CE36" s="513">
        <f>IF(Assumptions!CE99&lt;&gt;"",Assumptions!CE99,0)</f>
        <v>0</v>
      </c>
      <c r="CF36" s="510">
        <f t="shared" si="185"/>
        <v>0</v>
      </c>
      <c r="CG36" s="511">
        <f>IF(Assumptions!CG99&lt;&gt;"",Assumptions!CG99,0)</f>
        <v>0</v>
      </c>
      <c r="CH36" s="513">
        <f>IF(Assumptions!CH99&lt;&gt;"",Assumptions!CH99,0)</f>
        <v>0</v>
      </c>
      <c r="CI36" s="510">
        <f t="shared" si="186"/>
        <v>0</v>
      </c>
      <c r="CJ36" s="511">
        <f>IF(Assumptions!CJ99&lt;&gt;"",Assumptions!CJ99,0)</f>
        <v>0</v>
      </c>
      <c r="CK36" s="513">
        <f>IF(Assumptions!CK99&lt;&gt;"",Assumptions!CK99,0)</f>
        <v>0</v>
      </c>
      <c r="CL36" s="510">
        <f t="shared" si="187"/>
        <v>0</v>
      </c>
      <c r="CM36" s="511">
        <f>IF(Assumptions!CM99&lt;&gt;"",Assumptions!CM99,0)</f>
        <v>0</v>
      </c>
      <c r="CN36" s="513">
        <f>IF(Assumptions!CN99&lt;&gt;"",Assumptions!CN99,0)</f>
        <v>0</v>
      </c>
      <c r="CO36" s="510">
        <f t="shared" si="188"/>
        <v>0</v>
      </c>
      <c r="CP36" s="511">
        <f>IF(Assumptions!CP99&lt;&gt;"",Assumptions!CP99,0)</f>
        <v>0</v>
      </c>
      <c r="CQ36" s="513">
        <f>IF(Assumptions!CQ99&lt;&gt;"",Assumptions!CQ99,0)</f>
        <v>0</v>
      </c>
      <c r="CR36" s="510">
        <f t="shared" si="189"/>
        <v>0</v>
      </c>
      <c r="CS36" s="511">
        <f>IF(Assumptions!CS99&lt;&gt;"",Assumptions!CS99,0)</f>
        <v>0</v>
      </c>
      <c r="CT36" s="513">
        <f>IF(Assumptions!CT99&lt;&gt;"",Assumptions!CT99,0)</f>
        <v>0</v>
      </c>
      <c r="CU36" s="510">
        <f t="shared" si="190"/>
        <v>0</v>
      </c>
      <c r="CV36" s="511">
        <f>IF(Assumptions!CV99&lt;&gt;"",Assumptions!CV99,0)</f>
        <v>0</v>
      </c>
      <c r="CW36" s="513">
        <f>IF(Assumptions!CW99&lt;&gt;"",Assumptions!CW99,0)</f>
        <v>0</v>
      </c>
      <c r="CX36" s="510">
        <f t="shared" si="191"/>
        <v>0</v>
      </c>
      <c r="CY36" s="511">
        <f>IF(Assumptions!CY99&lt;&gt;"",Assumptions!CY99,0)</f>
        <v>0</v>
      </c>
      <c r="CZ36" s="513">
        <f>IF(Assumptions!CZ99&lt;&gt;"",Assumptions!CZ99,0)</f>
        <v>0</v>
      </c>
      <c r="DA36" s="510">
        <f t="shared" si="192"/>
        <v>0</v>
      </c>
      <c r="DB36" s="511">
        <f>IF(Assumptions!DB99&lt;&gt;"",Assumptions!DB99,0)</f>
        <v>0</v>
      </c>
      <c r="DC36" s="513">
        <f>IF(Assumptions!DC99&lt;&gt;"",Assumptions!DC99,0)</f>
        <v>0</v>
      </c>
      <c r="DD36" s="510">
        <f t="shared" si="193"/>
        <v>0</v>
      </c>
      <c r="DE36" s="511">
        <f>IF(Assumptions!DE99&lt;&gt;"",Assumptions!DE99,0)</f>
        <v>0</v>
      </c>
      <c r="DF36" s="513">
        <f>IF(Assumptions!DF99&lt;&gt;"",Assumptions!DF99,0)</f>
        <v>0</v>
      </c>
      <c r="DG36" s="510">
        <f t="shared" si="194"/>
        <v>0</v>
      </c>
      <c r="DH36" s="1257">
        <f>IF(Assumptions!DH99&lt;&gt;"",Assumptions!DH99,0)</f>
        <v>0</v>
      </c>
      <c r="DI36" s="482">
        <f>IF(Assumptions!DI99&lt;&gt;"",Assumptions!DI99,0)</f>
        <v>0</v>
      </c>
      <c r="DJ36" s="482">
        <f t="shared" si="195"/>
        <v>0</v>
      </c>
      <c r="DK36" s="1244">
        <f>IF(Assumptions!DK99&lt;&gt;"",Assumptions!DK99,0)</f>
        <v>0</v>
      </c>
      <c r="DL36" s="482">
        <f>IF(Assumptions!DL99&lt;&gt;"",Assumptions!DL99,0)</f>
        <v>0</v>
      </c>
      <c r="DM36" s="482">
        <f t="shared" si="196"/>
        <v>0</v>
      </c>
      <c r="DN36" s="1244">
        <f>IF(Assumptions!DN99&lt;&gt;"",Assumptions!DN99,0)</f>
        <v>0</v>
      </c>
      <c r="DO36" s="482">
        <f>IF(Assumptions!DO99&lt;&gt;"",Assumptions!DO99,0)</f>
        <v>0</v>
      </c>
      <c r="DP36" s="482">
        <f t="shared" si="197"/>
        <v>0</v>
      </c>
      <c r="DQ36" s="1244">
        <f>IF(Assumptions!DQ99&lt;&gt;"",Assumptions!DQ99,0)</f>
        <v>0</v>
      </c>
      <c r="DR36" s="482">
        <f>IF(Assumptions!DR99&lt;&gt;"",Assumptions!DR99,0)</f>
        <v>0</v>
      </c>
      <c r="DS36" s="482">
        <f t="shared" si="198"/>
        <v>0</v>
      </c>
      <c r="DT36" s="1244">
        <f>IF(Assumptions!DT99&lt;&gt;"",Assumptions!DT99,0)</f>
        <v>0</v>
      </c>
      <c r="DU36" s="482">
        <f>IF(Assumptions!DU99&lt;&gt;"",Assumptions!DU99,0)</f>
        <v>0</v>
      </c>
      <c r="DV36" s="482">
        <f t="shared" si="199"/>
        <v>0</v>
      </c>
      <c r="DW36" s="1244">
        <f>IF(Assumptions!DW99&lt;&gt;"",Assumptions!DW99,0)</f>
        <v>0</v>
      </c>
      <c r="DX36" s="482">
        <f>IF(Assumptions!DX99&lt;&gt;"",Assumptions!DX99,0)</f>
        <v>0</v>
      </c>
      <c r="DY36" s="482">
        <f t="shared" si="200"/>
        <v>0</v>
      </c>
      <c r="DZ36" s="1244">
        <f>IF(Assumptions!DZ99&lt;&gt;"",Assumptions!DZ99,0)</f>
        <v>0</v>
      </c>
      <c r="EA36" s="482">
        <f>IF(Assumptions!EA99&lt;&gt;"",Assumptions!EA99,0)</f>
        <v>0</v>
      </c>
      <c r="EB36" s="482">
        <f t="shared" si="201"/>
        <v>0</v>
      </c>
      <c r="EC36" s="1244">
        <f>IF(Assumptions!EC99&lt;&gt;"",Assumptions!EC99,0)</f>
        <v>0</v>
      </c>
      <c r="ED36" s="482">
        <f>IF(Assumptions!ED99&lt;&gt;"",Assumptions!ED99,0)</f>
        <v>0</v>
      </c>
      <c r="EE36" s="482">
        <f t="shared" si="202"/>
        <v>0</v>
      </c>
      <c r="EF36" s="1244">
        <f>IF(Assumptions!EF99&lt;&gt;"",Assumptions!EF99,0)</f>
        <v>0</v>
      </c>
      <c r="EG36" s="482">
        <f>IF(Assumptions!EG99&lt;&gt;"",Assumptions!EG99,0)</f>
        <v>0</v>
      </c>
      <c r="EH36" s="482">
        <f t="shared" si="203"/>
        <v>0</v>
      </c>
      <c r="EI36" s="1244">
        <f>IF(Assumptions!EI99&lt;&gt;"",Assumptions!EI99,0)</f>
        <v>0</v>
      </c>
      <c r="EJ36" s="482">
        <f>IF(Assumptions!EJ99&lt;&gt;"",Assumptions!EJ99,0)</f>
        <v>0</v>
      </c>
      <c r="EK36" s="482">
        <f t="shared" si="204"/>
        <v>0</v>
      </c>
      <c r="EL36" s="1244">
        <f>IF(Assumptions!EL99&lt;&gt;"",Assumptions!EL99,0)</f>
        <v>0</v>
      </c>
      <c r="EM36" s="482">
        <f>IF(Assumptions!EM99&lt;&gt;"",Assumptions!EM99,0)</f>
        <v>0</v>
      </c>
      <c r="EN36" s="482">
        <f t="shared" si="205"/>
        <v>0</v>
      </c>
      <c r="EO36" s="1244">
        <f>IF(Assumptions!EO99&lt;&gt;"",Assumptions!EO99,0)</f>
        <v>0</v>
      </c>
      <c r="EP36" s="482">
        <f>IF(Assumptions!EP99&lt;&gt;"",Assumptions!EP99,0)</f>
        <v>0</v>
      </c>
      <c r="EQ36" s="482">
        <f t="shared" si="206"/>
        <v>0</v>
      </c>
      <c r="ER36" s="1244">
        <f>IF(Assumptions!ER99&lt;&gt;"",Assumptions!ER99,0)</f>
        <v>0</v>
      </c>
      <c r="ES36" s="482">
        <f>IF(Assumptions!ES99&lt;&gt;"",Assumptions!ES99,0)</f>
        <v>0</v>
      </c>
      <c r="ET36" s="482">
        <f t="shared" si="207"/>
        <v>0</v>
      </c>
      <c r="EU36" s="1244">
        <f>IF(Assumptions!EU99&lt;&gt;"",Assumptions!EU99,0)</f>
        <v>0</v>
      </c>
      <c r="EV36" s="482">
        <f>IF(Assumptions!EV99&lt;&gt;"",Assumptions!EV99,0)</f>
        <v>0</v>
      </c>
      <c r="EW36" s="482">
        <f t="shared" si="208"/>
        <v>0</v>
      </c>
      <c r="EX36" s="1244">
        <f>IF(Assumptions!EX99&lt;&gt;"",Assumptions!EX99,0)</f>
        <v>0</v>
      </c>
      <c r="EY36" s="482">
        <f>IF(Assumptions!EY99&lt;&gt;"",Assumptions!EY99,0)</f>
        <v>0</v>
      </c>
      <c r="EZ36" s="482">
        <f t="shared" si="209"/>
        <v>0</v>
      </c>
      <c r="FA36" s="1244">
        <f>IF(Assumptions!FA99&lt;&gt;"",Assumptions!FA99,0)</f>
        <v>0</v>
      </c>
      <c r="FE36"/>
      <c r="FF36"/>
      <c r="FG36"/>
      <c r="FH36"/>
      <c r="FI36"/>
      <c r="FJ36"/>
      <c r="FK36" s="35"/>
    </row>
    <row r="37" spans="2:167" s="236" customFormat="1" ht="13.35" customHeight="1" outlineLevel="1">
      <c r="B37" s="236" t="s">
        <v>255</v>
      </c>
      <c r="C37" s="242" t="s">
        <v>496</v>
      </c>
      <c r="D37" s="243"/>
      <c r="E37" s="516"/>
      <c r="F37" s="482">
        <f t="shared" si="160"/>
        <v>0</v>
      </c>
      <c r="G37" s="517"/>
      <c r="H37" s="518"/>
      <c r="I37" s="482">
        <f t="shared" si="161"/>
        <v>0</v>
      </c>
      <c r="J37" s="517"/>
      <c r="K37" s="518"/>
      <c r="L37" s="482">
        <f t="shared" si="162"/>
        <v>0</v>
      </c>
      <c r="M37" s="517"/>
      <c r="N37" s="518"/>
      <c r="O37" s="482">
        <f t="shared" si="163"/>
        <v>0</v>
      </c>
      <c r="P37" s="517"/>
      <c r="Q37" s="518"/>
      <c r="R37" s="482">
        <f t="shared" si="164"/>
        <v>0</v>
      </c>
      <c r="S37" s="517"/>
      <c r="T37" s="518"/>
      <c r="U37" s="482">
        <f t="shared" si="165"/>
        <v>0</v>
      </c>
      <c r="V37" s="517"/>
      <c r="W37" s="518"/>
      <c r="X37" s="482">
        <f t="shared" si="166"/>
        <v>0</v>
      </c>
      <c r="Y37" s="517"/>
      <c r="Z37" s="518"/>
      <c r="AA37" s="482">
        <f t="shared" si="167"/>
        <v>0</v>
      </c>
      <c r="AB37" s="517"/>
      <c r="AC37" s="518"/>
      <c r="AD37" s="482">
        <f t="shared" si="168"/>
        <v>0</v>
      </c>
      <c r="AE37" s="517"/>
      <c r="AF37" s="518"/>
      <c r="AG37" s="482">
        <f t="shared" si="169"/>
        <v>0</v>
      </c>
      <c r="AH37" s="517"/>
      <c r="AI37" s="518"/>
      <c r="AJ37" s="482">
        <f t="shared" si="170"/>
        <v>0</v>
      </c>
      <c r="AK37" s="517"/>
      <c r="AL37" s="518"/>
      <c r="AM37" s="482">
        <f t="shared" si="171"/>
        <v>0</v>
      </c>
      <c r="AN37" s="517"/>
      <c r="AO37" s="518"/>
      <c r="AP37" s="482">
        <f t="shared" si="172"/>
        <v>0</v>
      </c>
      <c r="AQ37" s="517"/>
      <c r="AR37" s="518"/>
      <c r="AS37" s="482">
        <f t="shared" si="173"/>
        <v>0</v>
      </c>
      <c r="AT37" s="517"/>
      <c r="AU37" s="518"/>
      <c r="AV37" s="482">
        <f t="shared" si="174"/>
        <v>0</v>
      </c>
      <c r="AW37" s="517"/>
      <c r="AX37" s="519">
        <v>0</v>
      </c>
      <c r="AY37" s="482">
        <f t="shared" si="175"/>
        <v>0</v>
      </c>
      <c r="AZ37" s="520">
        <v>0</v>
      </c>
      <c r="BA37" s="519">
        <v>0</v>
      </c>
      <c r="BB37" s="482">
        <f t="shared" si="176"/>
        <v>0</v>
      </c>
      <c r="BC37" s="520">
        <v>0</v>
      </c>
      <c r="BD37" s="518">
        <f>IF(Assumptions!BD22&lt;&gt;"",Assumptions!BD22,0)</f>
        <v>0</v>
      </c>
      <c r="BE37" s="482">
        <f t="shared" si="177"/>
        <v>0</v>
      </c>
      <c r="BF37" s="517">
        <f>IF(Assumptions!BF22&lt;&gt;"",Assumptions!BF22,0)</f>
        <v>0</v>
      </c>
      <c r="BG37" s="518">
        <f>IF(Assumptions!BG22&lt;&gt;"",Assumptions!BG22,0)</f>
        <v>0</v>
      </c>
      <c r="BH37" s="482">
        <f t="shared" si="210"/>
        <v>0</v>
      </c>
      <c r="BI37" s="517">
        <f>IF(Assumptions!BI22&lt;&gt;"",Assumptions!BI22,0)</f>
        <v>0</v>
      </c>
      <c r="BJ37" s="518">
        <f>IF(Assumptions!BJ22&lt;&gt;"",Assumptions!BJ22,0)</f>
        <v>0</v>
      </c>
      <c r="BK37" s="482">
        <f t="shared" si="178"/>
        <v>0</v>
      </c>
      <c r="BL37" s="517">
        <f>IF(Assumptions!BL22&lt;&gt;"",Assumptions!BL22,0)</f>
        <v>0</v>
      </c>
      <c r="BM37" s="518">
        <f>IF(Assumptions!BM22&lt;&gt;"",Assumptions!BM22,0)</f>
        <v>0</v>
      </c>
      <c r="BN37" s="482">
        <f t="shared" si="179"/>
        <v>0</v>
      </c>
      <c r="BO37" s="516">
        <f>IF(Assumptions!BO22&lt;&gt;"",Assumptions!BO22,0)</f>
        <v>0</v>
      </c>
      <c r="BP37" s="518">
        <f>IF(Assumptions!BP22&lt;&gt;"",Assumptions!BP22,0)</f>
        <v>0</v>
      </c>
      <c r="BQ37" s="482">
        <f t="shared" si="180"/>
        <v>0</v>
      </c>
      <c r="BR37" s="516">
        <f>IF(Assumptions!BR22&lt;&gt;"",Assumptions!BR22,0)</f>
        <v>0</v>
      </c>
      <c r="BS37" s="518">
        <f>IF(Assumptions!BS22&lt;&gt;"",Assumptions!BS22,0)</f>
        <v>0</v>
      </c>
      <c r="BT37" s="482">
        <f t="shared" si="181"/>
        <v>0</v>
      </c>
      <c r="BU37" s="516">
        <f>IF(Assumptions!BU22&lt;&gt;"",Assumptions!BU22,0)</f>
        <v>0</v>
      </c>
      <c r="BV37" s="518">
        <f>IF(Assumptions!BV22&lt;&gt;"",Assumptions!BV22,0)</f>
        <v>0</v>
      </c>
      <c r="BW37" s="482">
        <f t="shared" si="182"/>
        <v>0</v>
      </c>
      <c r="BX37" s="516">
        <f>IF(Assumptions!BX22&lt;&gt;"",Assumptions!BX22,0)</f>
        <v>0</v>
      </c>
      <c r="BY37" s="518">
        <f>IF(Assumptions!BY22&lt;&gt;"",Assumptions!BY22,0)</f>
        <v>0</v>
      </c>
      <c r="BZ37" s="482">
        <f t="shared" si="183"/>
        <v>0</v>
      </c>
      <c r="CA37" s="516">
        <f>IF(Assumptions!CA22&lt;&gt;"",Assumptions!CA22,0)</f>
        <v>0</v>
      </c>
      <c r="CB37" s="518">
        <f>IF(Assumptions!CB22&lt;&gt;"",Assumptions!CB22,0)</f>
        <v>0</v>
      </c>
      <c r="CC37" s="482">
        <f t="shared" si="184"/>
        <v>0</v>
      </c>
      <c r="CD37" s="516">
        <f>IF(Assumptions!CD22&lt;&gt;"",Assumptions!CD22,0)</f>
        <v>0</v>
      </c>
      <c r="CE37" s="518">
        <f>IF(Assumptions!CE22&lt;&gt;"",Assumptions!CE22,0)</f>
        <v>0</v>
      </c>
      <c r="CF37" s="482">
        <f t="shared" si="185"/>
        <v>0</v>
      </c>
      <c r="CG37" s="516">
        <f>IF(Assumptions!CG22&lt;&gt;"",Assumptions!CG22,0)</f>
        <v>0</v>
      </c>
      <c r="CH37" s="518">
        <f>IF(Assumptions!CH22&lt;&gt;"",Assumptions!CH22,0)</f>
        <v>0</v>
      </c>
      <c r="CI37" s="482">
        <f t="shared" si="186"/>
        <v>0</v>
      </c>
      <c r="CJ37" s="516">
        <f>IF(Assumptions!CJ22&lt;&gt;"",Assumptions!CJ22,0)</f>
        <v>0</v>
      </c>
      <c r="CK37" s="518">
        <f>IF(Assumptions!CK22&lt;&gt;"",Assumptions!CK22,0)</f>
        <v>0</v>
      </c>
      <c r="CL37" s="482">
        <f t="shared" si="187"/>
        <v>0</v>
      </c>
      <c r="CM37" s="516">
        <f>IF(Assumptions!CM22&lt;&gt;"",Assumptions!CM22,0)</f>
        <v>0</v>
      </c>
      <c r="CN37" s="518">
        <f>IF(Assumptions!CN22&lt;&gt;"",Assumptions!CN22,0)</f>
        <v>0</v>
      </c>
      <c r="CO37" s="482">
        <f t="shared" si="188"/>
        <v>0</v>
      </c>
      <c r="CP37" s="516">
        <f>IF(Assumptions!CP22&lt;&gt;"",Assumptions!CP22,0)</f>
        <v>0</v>
      </c>
      <c r="CQ37" s="518">
        <f>IF(Assumptions!CQ22&lt;&gt;"",Assumptions!CQ22,0)</f>
        <v>0</v>
      </c>
      <c r="CR37" s="482">
        <f t="shared" si="189"/>
        <v>0</v>
      </c>
      <c r="CS37" s="516">
        <f>IF(Assumptions!CS22&lt;&gt;"",Assumptions!CS22,0)</f>
        <v>0</v>
      </c>
      <c r="CT37" s="518">
        <f>IF(Assumptions!CT22&lt;&gt;"",Assumptions!CT22,0)</f>
        <v>0</v>
      </c>
      <c r="CU37" s="482">
        <f t="shared" si="190"/>
        <v>0</v>
      </c>
      <c r="CV37" s="516">
        <f>IF(Assumptions!CV22&lt;&gt;"",Assumptions!CV22,0)</f>
        <v>0</v>
      </c>
      <c r="CW37" s="518">
        <f>IF(Assumptions!CW22&lt;&gt;"",Assumptions!CW22,0)</f>
        <v>0</v>
      </c>
      <c r="CX37" s="482">
        <f t="shared" si="191"/>
        <v>0</v>
      </c>
      <c r="CY37" s="516">
        <f>IF(Assumptions!CY22&lt;&gt;"",Assumptions!CY22,0)</f>
        <v>0</v>
      </c>
      <c r="CZ37" s="518">
        <f>IF(Assumptions!CZ22&lt;&gt;"",Assumptions!CZ22,0)</f>
        <v>0</v>
      </c>
      <c r="DA37" s="482">
        <f t="shared" si="192"/>
        <v>0</v>
      </c>
      <c r="DB37" s="516">
        <f>IF(Assumptions!DB22&lt;&gt;"",Assumptions!DB22,0)</f>
        <v>0</v>
      </c>
      <c r="DC37" s="518">
        <f>IF(Assumptions!DC22&lt;&gt;"",Assumptions!DC22,0)</f>
        <v>0</v>
      </c>
      <c r="DD37" s="482">
        <f t="shared" si="193"/>
        <v>0</v>
      </c>
      <c r="DE37" s="516">
        <f>IF(Assumptions!DE22&lt;&gt;"",Assumptions!DE22,0)</f>
        <v>0</v>
      </c>
      <c r="DF37" s="518">
        <f>IF(Assumptions!DF22&lt;&gt;"",Assumptions!DF22,0)</f>
        <v>0</v>
      </c>
      <c r="DG37" s="482">
        <f t="shared" si="194"/>
        <v>0</v>
      </c>
      <c r="DH37" s="1258">
        <f>IF(Assumptions!DH22&lt;&gt;"",Assumptions!DH22,0)</f>
        <v>0</v>
      </c>
      <c r="DI37" s="482">
        <f>IF(Assumptions!DI22&lt;&gt;"",Assumptions!DI22,0)</f>
        <v>0</v>
      </c>
      <c r="DJ37" s="482">
        <f t="shared" si="195"/>
        <v>0</v>
      </c>
      <c r="DK37" s="1244">
        <f>IF(Assumptions!DK22&lt;&gt;"",Assumptions!DK22,0)</f>
        <v>0</v>
      </c>
      <c r="DL37" s="482">
        <f>IF(Assumptions!DL22&lt;&gt;"",Assumptions!DL22,0)</f>
        <v>0</v>
      </c>
      <c r="DM37" s="482">
        <f t="shared" si="196"/>
        <v>0</v>
      </c>
      <c r="DN37" s="1244">
        <f>IF(Assumptions!DN22&lt;&gt;"",Assumptions!DN22,0)</f>
        <v>0</v>
      </c>
      <c r="DO37" s="482">
        <f>IF(Assumptions!DO22&lt;&gt;"",Assumptions!DO22,0)</f>
        <v>0</v>
      </c>
      <c r="DP37" s="482">
        <f t="shared" si="197"/>
        <v>0</v>
      </c>
      <c r="DQ37" s="1244">
        <f>IF(Assumptions!DQ22&lt;&gt;"",Assumptions!DQ22,0)</f>
        <v>0</v>
      </c>
      <c r="DR37" s="482">
        <f>IF(Assumptions!DR22&lt;&gt;"",Assumptions!DR22,0)</f>
        <v>0</v>
      </c>
      <c r="DS37" s="482">
        <f t="shared" si="198"/>
        <v>0</v>
      </c>
      <c r="DT37" s="1244">
        <f>IF(Assumptions!DT22&lt;&gt;"",Assumptions!DT22,0)</f>
        <v>0</v>
      </c>
      <c r="DU37" s="482">
        <f>IF(Assumptions!DU22&lt;&gt;"",Assumptions!DU22,0)</f>
        <v>0</v>
      </c>
      <c r="DV37" s="482">
        <f t="shared" si="199"/>
        <v>0</v>
      </c>
      <c r="DW37" s="1244">
        <f>IF(Assumptions!DW22&lt;&gt;"",Assumptions!DW22,0)</f>
        <v>0</v>
      </c>
      <c r="DX37" s="482">
        <f>IF(Assumptions!DX22&lt;&gt;"",Assumptions!DX22,0)</f>
        <v>0</v>
      </c>
      <c r="DY37" s="482">
        <f t="shared" si="200"/>
        <v>0</v>
      </c>
      <c r="DZ37" s="1244">
        <f>IF(Assumptions!DZ22&lt;&gt;"",Assumptions!DZ22,0)</f>
        <v>0</v>
      </c>
      <c r="EA37" s="482">
        <f>IF(Assumptions!EA22&lt;&gt;"",Assumptions!EA22,0)</f>
        <v>0</v>
      </c>
      <c r="EB37" s="482">
        <f t="shared" si="201"/>
        <v>0</v>
      </c>
      <c r="EC37" s="1244">
        <f>IF(Assumptions!EC22&lt;&gt;"",Assumptions!EC22,0)</f>
        <v>0</v>
      </c>
      <c r="ED37" s="482">
        <f>IF(Assumptions!ED22&lt;&gt;"",Assumptions!ED22,0)</f>
        <v>0</v>
      </c>
      <c r="EE37" s="482">
        <f t="shared" si="202"/>
        <v>0</v>
      </c>
      <c r="EF37" s="1244">
        <f>IF(Assumptions!EF22&lt;&gt;"",Assumptions!EF22,0)</f>
        <v>0</v>
      </c>
      <c r="EG37" s="482">
        <f>IF(Assumptions!EG22&lt;&gt;"",Assumptions!EG22,0)</f>
        <v>0</v>
      </c>
      <c r="EH37" s="482">
        <f t="shared" si="203"/>
        <v>0</v>
      </c>
      <c r="EI37" s="1244">
        <f>IF(Assumptions!EI22&lt;&gt;"",Assumptions!EI22,0)</f>
        <v>0</v>
      </c>
      <c r="EJ37" s="482">
        <f>IF(Assumptions!EJ22&lt;&gt;"",Assumptions!EJ22,0)</f>
        <v>0</v>
      </c>
      <c r="EK37" s="482">
        <f t="shared" si="204"/>
        <v>0</v>
      </c>
      <c r="EL37" s="1244">
        <f>IF(Assumptions!EL22&lt;&gt;"",Assumptions!EL22,0)</f>
        <v>0</v>
      </c>
      <c r="EM37" s="482">
        <f>IF(Assumptions!EM22&lt;&gt;"",Assumptions!EM22,0)</f>
        <v>0</v>
      </c>
      <c r="EN37" s="482">
        <f t="shared" si="205"/>
        <v>0</v>
      </c>
      <c r="EO37" s="1244">
        <f>IF(Assumptions!EO22&lt;&gt;"",Assumptions!EO22,0)</f>
        <v>0</v>
      </c>
      <c r="EP37" s="482">
        <f>IF(Assumptions!EP22&lt;&gt;"",Assumptions!EP22,0)</f>
        <v>0</v>
      </c>
      <c r="EQ37" s="482">
        <f t="shared" si="206"/>
        <v>0</v>
      </c>
      <c r="ER37" s="1244">
        <f>IF(Assumptions!ER22&lt;&gt;"",Assumptions!ER22,0)</f>
        <v>0</v>
      </c>
      <c r="ES37" s="482">
        <f>IF(Assumptions!ES22&lt;&gt;"",Assumptions!ES22,0)</f>
        <v>0</v>
      </c>
      <c r="ET37" s="482">
        <f t="shared" si="207"/>
        <v>0</v>
      </c>
      <c r="EU37" s="1244">
        <f>IF(Assumptions!EU22&lt;&gt;"",Assumptions!EU22,0)</f>
        <v>0</v>
      </c>
      <c r="EV37" s="482">
        <f>IF(Assumptions!EV22&lt;&gt;"",Assumptions!EV22,0)</f>
        <v>0</v>
      </c>
      <c r="EW37" s="482">
        <f t="shared" si="208"/>
        <v>0</v>
      </c>
      <c r="EX37" s="1244">
        <f>IF(Assumptions!EX22&lt;&gt;"",Assumptions!EX22,0)</f>
        <v>0</v>
      </c>
      <c r="EY37" s="482">
        <f>IF(Assumptions!EY22&lt;&gt;"",Assumptions!EY22,0)</f>
        <v>0</v>
      </c>
      <c r="EZ37" s="482">
        <f t="shared" si="209"/>
        <v>0</v>
      </c>
      <c r="FA37" s="1244">
        <f>IF(Assumptions!FA22&lt;&gt;"",Assumptions!FA22,0)</f>
        <v>0</v>
      </c>
      <c r="FE37"/>
      <c r="FF37"/>
      <c r="FG37"/>
      <c r="FH37"/>
      <c r="FI37"/>
      <c r="FJ37"/>
      <c r="FK37" s="35"/>
    </row>
    <row r="38" spans="2:167" s="236" customFormat="1" ht="13.35" customHeight="1" outlineLevel="1">
      <c r="B38" s="242" t="s">
        <v>256</v>
      </c>
      <c r="C38" s="242" t="s">
        <v>496</v>
      </c>
      <c r="D38" s="243"/>
      <c r="E38" s="516"/>
      <c r="F38" s="482">
        <f t="shared" si="160"/>
        <v>0</v>
      </c>
      <c r="G38" s="517"/>
      <c r="H38" s="518"/>
      <c r="I38" s="482">
        <f t="shared" si="161"/>
        <v>0</v>
      </c>
      <c r="J38" s="517"/>
      <c r="K38" s="518"/>
      <c r="L38" s="482">
        <f t="shared" si="162"/>
        <v>0</v>
      </c>
      <c r="M38" s="517"/>
      <c r="N38" s="518"/>
      <c r="O38" s="482">
        <f t="shared" si="163"/>
        <v>0</v>
      </c>
      <c r="P38" s="517"/>
      <c r="Q38" s="518"/>
      <c r="R38" s="482">
        <f t="shared" si="164"/>
        <v>0</v>
      </c>
      <c r="S38" s="517"/>
      <c r="T38" s="518"/>
      <c r="U38" s="482">
        <f t="shared" si="165"/>
        <v>0</v>
      </c>
      <c r="V38" s="517"/>
      <c r="W38" s="518"/>
      <c r="X38" s="482">
        <f t="shared" si="166"/>
        <v>0</v>
      </c>
      <c r="Y38" s="517"/>
      <c r="Z38" s="518"/>
      <c r="AA38" s="482">
        <f t="shared" si="167"/>
        <v>0</v>
      </c>
      <c r="AB38" s="517"/>
      <c r="AC38" s="518"/>
      <c r="AD38" s="482">
        <f t="shared" si="168"/>
        <v>0</v>
      </c>
      <c r="AE38" s="517"/>
      <c r="AF38" s="518"/>
      <c r="AG38" s="482">
        <f t="shared" si="169"/>
        <v>0</v>
      </c>
      <c r="AH38" s="517"/>
      <c r="AI38" s="518"/>
      <c r="AJ38" s="482">
        <f t="shared" si="170"/>
        <v>0</v>
      </c>
      <c r="AK38" s="517"/>
      <c r="AL38" s="518"/>
      <c r="AM38" s="482">
        <f t="shared" si="171"/>
        <v>0</v>
      </c>
      <c r="AN38" s="517"/>
      <c r="AO38" s="518"/>
      <c r="AP38" s="482">
        <f t="shared" si="172"/>
        <v>0</v>
      </c>
      <c r="AQ38" s="517"/>
      <c r="AR38" s="518"/>
      <c r="AS38" s="482">
        <f t="shared" si="173"/>
        <v>0</v>
      </c>
      <c r="AT38" s="517"/>
      <c r="AU38" s="518"/>
      <c r="AV38" s="482">
        <f t="shared" si="174"/>
        <v>0</v>
      </c>
      <c r="AW38" s="517"/>
      <c r="AX38" s="519">
        <v>0</v>
      </c>
      <c r="AY38" s="482">
        <f t="shared" si="175"/>
        <v>0</v>
      </c>
      <c r="AZ38" s="520">
        <v>0</v>
      </c>
      <c r="BA38" s="519">
        <v>0</v>
      </c>
      <c r="BB38" s="482">
        <f t="shared" si="176"/>
        <v>0</v>
      </c>
      <c r="BC38" s="520">
        <v>0</v>
      </c>
      <c r="BD38" s="518">
        <f>IF(Assumptions!BD23&lt;&gt;"",Assumptions!BD23,0)</f>
        <v>0</v>
      </c>
      <c r="BE38" s="482">
        <f t="shared" si="177"/>
        <v>0</v>
      </c>
      <c r="BF38" s="517">
        <f>IF(Assumptions!BF23&lt;&gt;"",Assumptions!BF23,0)</f>
        <v>0</v>
      </c>
      <c r="BG38" s="518">
        <f>IF(Assumptions!BG23&lt;&gt;"",Assumptions!BG23,0)</f>
        <v>0</v>
      </c>
      <c r="BH38" s="482">
        <f t="shared" si="210"/>
        <v>0</v>
      </c>
      <c r="BI38" s="517">
        <f>IF(Assumptions!BI23&lt;&gt;"",Assumptions!BI23,0)</f>
        <v>0</v>
      </c>
      <c r="BJ38" s="518">
        <f>IF(Assumptions!BJ23&lt;&gt;"",Assumptions!BJ23,0)</f>
        <v>0</v>
      </c>
      <c r="BK38" s="482">
        <f t="shared" si="178"/>
        <v>0</v>
      </c>
      <c r="BL38" s="520">
        <v>0</v>
      </c>
      <c r="BM38" s="518">
        <f>IF(Assumptions!BM23&lt;&gt;"",Assumptions!BM23,0)</f>
        <v>0</v>
      </c>
      <c r="BN38" s="482">
        <f t="shared" si="179"/>
        <v>0</v>
      </c>
      <c r="BO38" s="516">
        <f>IF(Assumptions!BO23&lt;&gt;"",Assumptions!BO23,0)</f>
        <v>0</v>
      </c>
      <c r="BP38" s="518">
        <f>IF(Assumptions!BP23&lt;&gt;"",Assumptions!BP23,0)</f>
        <v>0</v>
      </c>
      <c r="BQ38" s="482">
        <f t="shared" si="180"/>
        <v>0</v>
      </c>
      <c r="BR38" s="516">
        <f>IF(Assumptions!BR23&lt;&gt;"",Assumptions!BR23,0)</f>
        <v>0</v>
      </c>
      <c r="BS38" s="518">
        <f>IF(Assumptions!BS23&lt;&gt;"",Assumptions!BS23,0)</f>
        <v>0</v>
      </c>
      <c r="BT38" s="482">
        <f t="shared" si="181"/>
        <v>0</v>
      </c>
      <c r="BU38" s="516">
        <f>IF(Assumptions!BU23&lt;&gt;"",Assumptions!BU23,0)</f>
        <v>0</v>
      </c>
      <c r="BV38" s="519">
        <v>4.7270000000000003</v>
      </c>
      <c r="BW38" s="482">
        <f t="shared" si="182"/>
        <v>-2.4000000000000021E-2</v>
      </c>
      <c r="BX38" s="521">
        <v>4.7030000000000003</v>
      </c>
      <c r="BY38" s="519">
        <v>15.009</v>
      </c>
      <c r="BZ38" s="482">
        <f t="shared" si="183"/>
        <v>-6.3140000000000001</v>
      </c>
      <c r="CA38" s="521">
        <v>8.6950000000000003</v>
      </c>
      <c r="CB38" s="518">
        <f>IF(Assumptions!CB23&lt;&gt;"",Assumptions!CB23,0)</f>
        <v>0</v>
      </c>
      <c r="CC38" s="482">
        <f t="shared" si="184"/>
        <v>0</v>
      </c>
      <c r="CD38" s="516">
        <f>IF(Assumptions!CD23&lt;&gt;"",Assumptions!CD23,0)</f>
        <v>0</v>
      </c>
      <c r="CE38" s="518">
        <f>IF(Assumptions!CE23&lt;&gt;"",Assumptions!CE23,0)</f>
        <v>0</v>
      </c>
      <c r="CF38" s="482">
        <f t="shared" si="185"/>
        <v>0</v>
      </c>
      <c r="CG38" s="516">
        <f>IF(Assumptions!CG23&lt;&gt;"",Assumptions!CG23,0)</f>
        <v>0</v>
      </c>
      <c r="CH38" s="518">
        <f>IF(Assumptions!CH23&lt;&gt;"",Assumptions!CH23,0)</f>
        <v>0</v>
      </c>
      <c r="CI38" s="482">
        <f t="shared" si="186"/>
        <v>0</v>
      </c>
      <c r="CJ38" s="516">
        <f>IF(Assumptions!CJ23&lt;&gt;"",Assumptions!CJ23,0)</f>
        <v>0</v>
      </c>
      <c r="CK38" s="518">
        <f>IF(Assumptions!CK23&lt;&gt;"",Assumptions!CK23,0)</f>
        <v>0</v>
      </c>
      <c r="CL38" s="482">
        <f t="shared" si="187"/>
        <v>0</v>
      </c>
      <c r="CM38" s="516">
        <f>IF(Assumptions!CM23&lt;&gt;"",Assumptions!CM23,0)</f>
        <v>0</v>
      </c>
      <c r="CN38" s="518">
        <f>IF(Assumptions!CN23&lt;&gt;"",Assumptions!CN23,0)</f>
        <v>0</v>
      </c>
      <c r="CO38" s="482">
        <f t="shared" si="188"/>
        <v>0</v>
      </c>
      <c r="CP38" s="516">
        <f>IF(Assumptions!CP23&lt;&gt;"",Assumptions!CP23,0)</f>
        <v>0</v>
      </c>
      <c r="CQ38" s="518">
        <f>IF(Assumptions!CQ23&lt;&gt;"",Assumptions!CQ23,0)</f>
        <v>0</v>
      </c>
      <c r="CR38" s="482">
        <f t="shared" si="189"/>
        <v>0</v>
      </c>
      <c r="CS38" s="516">
        <f>IF(Assumptions!CS23&lt;&gt;"",Assumptions!CS23,0)</f>
        <v>0</v>
      </c>
      <c r="CT38" s="518">
        <f>IF(Assumptions!CT23&lt;&gt;"",Assumptions!CT23,0)</f>
        <v>0</v>
      </c>
      <c r="CU38" s="482">
        <f t="shared" si="190"/>
        <v>0</v>
      </c>
      <c r="CV38" s="516">
        <f>IF(Assumptions!CV23&lt;&gt;"",Assumptions!CV23,0)</f>
        <v>0</v>
      </c>
      <c r="CW38" s="518">
        <f>IF(Assumptions!CW23&lt;&gt;"",Assumptions!CW23,0)</f>
        <v>0</v>
      </c>
      <c r="CX38" s="482">
        <f t="shared" si="191"/>
        <v>0</v>
      </c>
      <c r="CY38" s="516">
        <f>IF(Assumptions!CY23&lt;&gt;"",Assumptions!CY23,0)</f>
        <v>0</v>
      </c>
      <c r="CZ38" s="518">
        <f>IF(Assumptions!CZ23&lt;&gt;"",Assumptions!CZ23,0)</f>
        <v>0</v>
      </c>
      <c r="DA38" s="482">
        <f t="shared" si="192"/>
        <v>0</v>
      </c>
      <c r="DB38" s="516">
        <f>IF(Assumptions!DB23&lt;&gt;"",Assumptions!DB23,0)</f>
        <v>0</v>
      </c>
      <c r="DC38" s="518">
        <f>IF(Assumptions!DC23&lt;&gt;"",Assumptions!DC23,0)</f>
        <v>0</v>
      </c>
      <c r="DD38" s="482">
        <f t="shared" si="193"/>
        <v>0</v>
      </c>
      <c r="DE38" s="516">
        <f>IF(Assumptions!DE23&lt;&gt;"",Assumptions!DE23,0)</f>
        <v>0</v>
      </c>
      <c r="DF38" s="518">
        <f>IF(Assumptions!DF23&lt;&gt;"",Assumptions!DF23,0)</f>
        <v>0</v>
      </c>
      <c r="DG38" s="482">
        <f t="shared" si="194"/>
        <v>0</v>
      </c>
      <c r="DH38" s="1258">
        <f>IF(Assumptions!DH23&lt;&gt;"",Assumptions!DH23,0)</f>
        <v>0</v>
      </c>
      <c r="DI38" s="482">
        <f>IF(Assumptions!DI23&lt;&gt;"",Assumptions!DI23,0)</f>
        <v>0</v>
      </c>
      <c r="DJ38" s="482">
        <f t="shared" si="195"/>
        <v>0</v>
      </c>
      <c r="DK38" s="1244">
        <f>IF(Assumptions!DK23&lt;&gt;"",Assumptions!DK23,0)</f>
        <v>0</v>
      </c>
      <c r="DL38" s="482">
        <f>IF(Assumptions!DL23&lt;&gt;"",Assumptions!DL23,0)</f>
        <v>0</v>
      </c>
      <c r="DM38" s="482">
        <f t="shared" si="196"/>
        <v>0</v>
      </c>
      <c r="DN38" s="1244">
        <f>IF(Assumptions!DN23&lt;&gt;"",Assumptions!DN23,0)</f>
        <v>0</v>
      </c>
      <c r="DO38" s="482">
        <f>IF(Assumptions!DO23&lt;&gt;"",Assumptions!DO23,0)</f>
        <v>0</v>
      </c>
      <c r="DP38" s="482">
        <f t="shared" si="197"/>
        <v>0</v>
      </c>
      <c r="DQ38" s="1244">
        <f>IF(Assumptions!DQ23&lt;&gt;"",Assumptions!DQ23,0)</f>
        <v>0</v>
      </c>
      <c r="DR38" s="482">
        <f>IF(Assumptions!DR23&lt;&gt;"",Assumptions!DR23,0)</f>
        <v>0</v>
      </c>
      <c r="DS38" s="482">
        <f t="shared" si="198"/>
        <v>0</v>
      </c>
      <c r="DT38" s="1244">
        <f>IF(Assumptions!DT23&lt;&gt;"",Assumptions!DT23,0)</f>
        <v>0</v>
      </c>
      <c r="DU38" s="482">
        <f>IF(Assumptions!DU23&lt;&gt;"",Assumptions!DU23,0)</f>
        <v>0</v>
      </c>
      <c r="DV38" s="482">
        <f t="shared" si="199"/>
        <v>0</v>
      </c>
      <c r="DW38" s="1244">
        <f>IF(Assumptions!DW23&lt;&gt;"",Assumptions!DW23,0)</f>
        <v>0</v>
      </c>
      <c r="DX38" s="482">
        <f>IF(Assumptions!DX23&lt;&gt;"",Assumptions!DX23,0)</f>
        <v>0</v>
      </c>
      <c r="DY38" s="482">
        <f t="shared" si="200"/>
        <v>0</v>
      </c>
      <c r="DZ38" s="1244">
        <f>IF(Assumptions!DZ23&lt;&gt;"",Assumptions!DZ23,0)</f>
        <v>0</v>
      </c>
      <c r="EA38" s="482">
        <f>IF(Assumptions!EA23&lt;&gt;"",Assumptions!EA23,0)</f>
        <v>0</v>
      </c>
      <c r="EB38" s="482">
        <f t="shared" si="201"/>
        <v>0</v>
      </c>
      <c r="EC38" s="1244">
        <f>IF(Assumptions!EC23&lt;&gt;"",Assumptions!EC23,0)</f>
        <v>0</v>
      </c>
      <c r="ED38" s="482">
        <f>IF(Assumptions!ED23&lt;&gt;"",Assumptions!ED23,0)</f>
        <v>0</v>
      </c>
      <c r="EE38" s="482">
        <f t="shared" si="202"/>
        <v>0</v>
      </c>
      <c r="EF38" s="1244">
        <f>IF(Assumptions!EF23&lt;&gt;"",Assumptions!EF23,0)</f>
        <v>0</v>
      </c>
      <c r="EG38" s="482">
        <f>IF(Assumptions!EG23&lt;&gt;"",Assumptions!EG23,0)</f>
        <v>0</v>
      </c>
      <c r="EH38" s="482">
        <f t="shared" si="203"/>
        <v>0</v>
      </c>
      <c r="EI38" s="1244">
        <f>IF(Assumptions!EI23&lt;&gt;"",Assumptions!EI23,0)</f>
        <v>0</v>
      </c>
      <c r="EJ38" s="482">
        <f>IF(Assumptions!EJ23&lt;&gt;"",Assumptions!EJ23,0)</f>
        <v>0</v>
      </c>
      <c r="EK38" s="482">
        <f t="shared" si="204"/>
        <v>0</v>
      </c>
      <c r="EL38" s="1244">
        <f>IF(Assumptions!EL23&lt;&gt;"",Assumptions!EL23,0)</f>
        <v>0</v>
      </c>
      <c r="EM38" s="482">
        <f>IF(Assumptions!EM23&lt;&gt;"",Assumptions!EM23,0)</f>
        <v>0</v>
      </c>
      <c r="EN38" s="482">
        <f t="shared" si="205"/>
        <v>0</v>
      </c>
      <c r="EO38" s="1244">
        <f>IF(Assumptions!EO23&lt;&gt;"",Assumptions!EO23,0)</f>
        <v>0</v>
      </c>
      <c r="EP38" s="482">
        <f>IF(Assumptions!EP23&lt;&gt;"",Assumptions!EP23,0)</f>
        <v>0</v>
      </c>
      <c r="EQ38" s="482">
        <f t="shared" si="206"/>
        <v>0</v>
      </c>
      <c r="ER38" s="1244">
        <f>IF(Assumptions!ER23&lt;&gt;"",Assumptions!ER23,0)</f>
        <v>0</v>
      </c>
      <c r="ES38" s="482">
        <f>IF(Assumptions!ES23&lt;&gt;"",Assumptions!ES23,0)</f>
        <v>0</v>
      </c>
      <c r="ET38" s="482">
        <f t="shared" si="207"/>
        <v>0</v>
      </c>
      <c r="EU38" s="1244">
        <f>IF(Assumptions!EU23&lt;&gt;"",Assumptions!EU23,0)</f>
        <v>0</v>
      </c>
      <c r="EV38" s="482">
        <f>IF(Assumptions!EV23&lt;&gt;"",Assumptions!EV23,0)</f>
        <v>0</v>
      </c>
      <c r="EW38" s="482">
        <f t="shared" si="208"/>
        <v>0</v>
      </c>
      <c r="EX38" s="1244">
        <f>IF(Assumptions!EX23&lt;&gt;"",Assumptions!EX23,0)</f>
        <v>0</v>
      </c>
      <c r="EY38" s="482">
        <f>IF(Assumptions!EY23&lt;&gt;"",Assumptions!EY23,0)</f>
        <v>0</v>
      </c>
      <c r="EZ38" s="482">
        <f t="shared" si="209"/>
        <v>0</v>
      </c>
      <c r="FA38" s="1244">
        <f>IF(Assumptions!FA23&lt;&gt;"",Assumptions!FA23,0)</f>
        <v>0</v>
      </c>
      <c r="FC38" s="236" t="s">
        <v>927</v>
      </c>
      <c r="FE38"/>
      <c r="FF38"/>
      <c r="FG38"/>
      <c r="FH38"/>
      <c r="FI38"/>
      <c r="FJ38"/>
      <c r="FK38" s="35"/>
    </row>
    <row r="39" spans="2:167" s="236" customFormat="1" ht="13.35" customHeight="1" outlineLevel="1">
      <c r="B39" s="242" t="s">
        <v>257</v>
      </c>
      <c r="C39" s="242" t="s">
        <v>496</v>
      </c>
      <c r="D39" s="243"/>
      <c r="E39" s="522"/>
      <c r="F39" s="510">
        <f t="shared" si="160"/>
        <v>0</v>
      </c>
      <c r="G39" s="523"/>
      <c r="H39" s="524"/>
      <c r="I39" s="510">
        <f t="shared" si="161"/>
        <v>0</v>
      </c>
      <c r="J39" s="523"/>
      <c r="K39" s="524"/>
      <c r="L39" s="510">
        <f t="shared" si="162"/>
        <v>0</v>
      </c>
      <c r="M39" s="523"/>
      <c r="N39" s="524"/>
      <c r="O39" s="510">
        <f t="shared" si="163"/>
        <v>0</v>
      </c>
      <c r="P39" s="523"/>
      <c r="Q39" s="524"/>
      <c r="R39" s="510">
        <f t="shared" si="164"/>
        <v>0</v>
      </c>
      <c r="S39" s="523"/>
      <c r="T39" s="524"/>
      <c r="U39" s="510">
        <f t="shared" si="165"/>
        <v>0</v>
      </c>
      <c r="V39" s="523"/>
      <c r="W39" s="524"/>
      <c r="X39" s="510">
        <f t="shared" si="166"/>
        <v>0</v>
      </c>
      <c r="Y39" s="523"/>
      <c r="Z39" s="524"/>
      <c r="AA39" s="510">
        <f t="shared" si="167"/>
        <v>0</v>
      </c>
      <c r="AB39" s="523"/>
      <c r="AC39" s="524"/>
      <c r="AD39" s="510">
        <f t="shared" si="168"/>
        <v>0</v>
      </c>
      <c r="AE39" s="523"/>
      <c r="AF39" s="524"/>
      <c r="AG39" s="510">
        <f t="shared" si="169"/>
        <v>0</v>
      </c>
      <c r="AH39" s="523"/>
      <c r="AI39" s="524"/>
      <c r="AJ39" s="510">
        <f t="shared" si="170"/>
        <v>0</v>
      </c>
      <c r="AK39" s="523"/>
      <c r="AL39" s="524"/>
      <c r="AM39" s="510">
        <f t="shared" si="171"/>
        <v>0</v>
      </c>
      <c r="AN39" s="523"/>
      <c r="AO39" s="524"/>
      <c r="AP39" s="510">
        <f t="shared" si="172"/>
        <v>0</v>
      </c>
      <c r="AQ39" s="523"/>
      <c r="AR39" s="524"/>
      <c r="AS39" s="510">
        <f t="shared" si="173"/>
        <v>0</v>
      </c>
      <c r="AT39" s="523"/>
      <c r="AU39" s="524"/>
      <c r="AV39" s="510">
        <f t="shared" si="174"/>
        <v>0</v>
      </c>
      <c r="AW39" s="523"/>
      <c r="AX39" s="525">
        <v>0</v>
      </c>
      <c r="AY39" s="510">
        <f t="shared" si="175"/>
        <v>0</v>
      </c>
      <c r="AZ39" s="526">
        <v>0</v>
      </c>
      <c r="BA39" s="525">
        <v>0</v>
      </c>
      <c r="BB39" s="510">
        <f t="shared" si="176"/>
        <v>0</v>
      </c>
      <c r="BC39" s="526">
        <v>0</v>
      </c>
      <c r="BD39" s="524">
        <f>IF(BD192&lt;&gt;"",BD192,0)</f>
        <v>0</v>
      </c>
      <c r="BE39" s="510">
        <f t="shared" si="177"/>
        <v>0</v>
      </c>
      <c r="BF39" s="523">
        <f>IF(BF192&lt;&gt;"",BF192,0)</f>
        <v>0</v>
      </c>
      <c r="BG39" s="524">
        <f>IF(BG192&lt;&gt;"",BG192,0)</f>
        <v>0</v>
      </c>
      <c r="BH39" s="510">
        <f t="shared" si="210"/>
        <v>0</v>
      </c>
      <c r="BI39" s="523">
        <f>IF(BI192&lt;&gt;"",BI192,0)</f>
        <v>0</v>
      </c>
      <c r="BJ39" s="524">
        <f>IF(BJ192&lt;&gt;"",BJ192,0)</f>
        <v>0</v>
      </c>
      <c r="BK39" s="510">
        <f t="shared" si="178"/>
        <v>0</v>
      </c>
      <c r="BL39" s="526">
        <v>0</v>
      </c>
      <c r="BM39" s="524">
        <f>IF(BM192&lt;&gt;"",BM192,0)</f>
        <v>0</v>
      </c>
      <c r="BN39" s="510">
        <f t="shared" si="179"/>
        <v>2.7E-2</v>
      </c>
      <c r="BO39" s="522">
        <f>IF(BO192&lt;&gt;"",BO192,0)</f>
        <v>2.7E-2</v>
      </c>
      <c r="BP39" s="524">
        <f>IF(BP192&lt;&gt;"",BP192,0)</f>
        <v>0</v>
      </c>
      <c r="BQ39" s="510">
        <f t="shared" si="180"/>
        <v>0</v>
      </c>
      <c r="BR39" s="527">
        <v>0</v>
      </c>
      <c r="BS39" s="524">
        <f>IF(BS192&lt;&gt;"",BS192,0)</f>
        <v>0</v>
      </c>
      <c r="BT39" s="510">
        <f t="shared" si="181"/>
        <v>0</v>
      </c>
      <c r="BU39" s="522">
        <f>IF(BU192&lt;&gt;"",BU192,0)</f>
        <v>0</v>
      </c>
      <c r="BV39" s="524">
        <f>IF(BV192&lt;&gt;"",BV192,0)</f>
        <v>0</v>
      </c>
      <c r="BW39" s="510">
        <f t="shared" si="182"/>
        <v>4.0000000000000001E-3</v>
      </c>
      <c r="BX39" s="522">
        <f>IF(BX192&lt;&gt;"",BX192,0)</f>
        <v>4.0000000000000001E-3</v>
      </c>
      <c r="BY39" s="524">
        <f>IF(BY192&lt;&gt;"",BY192,0)</f>
        <v>0</v>
      </c>
      <c r="BZ39" s="510">
        <f t="shared" si="183"/>
        <v>0.156</v>
      </c>
      <c r="CA39" s="522">
        <f>IF(CA192&lt;&gt;"",CA192,0)</f>
        <v>0.156</v>
      </c>
      <c r="CB39" s="524">
        <f>IF(CB192&lt;&gt;"",CB192,0)</f>
        <v>0</v>
      </c>
      <c r="CC39" s="510">
        <f t="shared" si="184"/>
        <v>0</v>
      </c>
      <c r="CD39" s="522">
        <f>IF(CD192&lt;&gt;"",CD192,0)</f>
        <v>0</v>
      </c>
      <c r="CE39" s="524">
        <f>IF(CE192&lt;&gt;"",CE192,0)</f>
        <v>130.30199999999999</v>
      </c>
      <c r="CF39" s="510">
        <f t="shared" si="185"/>
        <v>0</v>
      </c>
      <c r="CG39" s="522">
        <f>IF(CG192&lt;&gt;"",CG192,0)</f>
        <v>130.30199999999999</v>
      </c>
      <c r="CH39" s="524">
        <f>IF(CH192&lt;&gt;"",CH192,0)</f>
        <v>0</v>
      </c>
      <c r="CI39" s="510">
        <f t="shared" si="186"/>
        <v>0</v>
      </c>
      <c r="CJ39" s="522">
        <f>IF(CJ192&lt;&gt;"",CJ192,0)</f>
        <v>0</v>
      </c>
      <c r="CK39" s="524">
        <f>IF(CK192&lt;&gt;"",CK192,0)</f>
        <v>0</v>
      </c>
      <c r="CL39" s="510">
        <f t="shared" si="187"/>
        <v>0</v>
      </c>
      <c r="CM39" s="522">
        <f>IF(CM192&lt;&gt;"",CM192,0)</f>
        <v>0</v>
      </c>
      <c r="CN39" s="524">
        <f>IF(CN192&lt;&gt;"",CN192,0)</f>
        <v>0</v>
      </c>
      <c r="CO39" s="510">
        <f t="shared" si="188"/>
        <v>0</v>
      </c>
      <c r="CP39" s="522">
        <f>IF(CP192&lt;&gt;"",CP192,0)</f>
        <v>0</v>
      </c>
      <c r="CQ39" s="524">
        <f>IF(CQ192&lt;&gt;"",CQ192,0)</f>
        <v>0</v>
      </c>
      <c r="CR39" s="510">
        <f t="shared" si="189"/>
        <v>0</v>
      </c>
      <c r="CS39" s="522">
        <f>IF(CS192&lt;&gt;"",CS192,0)</f>
        <v>0</v>
      </c>
      <c r="CT39" s="524">
        <f>IF(CT192&lt;&gt;"",CT192,0)</f>
        <v>0</v>
      </c>
      <c r="CU39" s="510">
        <f t="shared" si="190"/>
        <v>0</v>
      </c>
      <c r="CV39" s="522">
        <f>IF(CV192&lt;&gt;"",CV192,0)</f>
        <v>0</v>
      </c>
      <c r="CW39" s="524">
        <f>IF(CW192&lt;&gt;"",CW192,0)</f>
        <v>0</v>
      </c>
      <c r="CX39" s="510">
        <f t="shared" si="191"/>
        <v>0</v>
      </c>
      <c r="CY39" s="522">
        <f>IF(CY192&lt;&gt;"",CY192,0)</f>
        <v>0</v>
      </c>
      <c r="CZ39" s="524">
        <f>IF(CZ192&lt;&gt;"",CZ192,0)</f>
        <v>0</v>
      </c>
      <c r="DA39" s="510">
        <f t="shared" si="192"/>
        <v>0</v>
      </c>
      <c r="DB39" s="522">
        <f>IF(DB192&lt;&gt;"",DB192,0)</f>
        <v>0</v>
      </c>
      <c r="DC39" s="524">
        <f>IF(DC192&lt;&gt;"",DC192,0)</f>
        <v>0</v>
      </c>
      <c r="DD39" s="510">
        <f t="shared" si="193"/>
        <v>0</v>
      </c>
      <c r="DE39" s="522">
        <f>IF(DE192&lt;&gt;"",DE192,0)</f>
        <v>0</v>
      </c>
      <c r="DF39" s="524">
        <f>IF(DF192&lt;&gt;"",DF192,0)</f>
        <v>0</v>
      </c>
      <c r="DG39" s="510">
        <f t="shared" si="194"/>
        <v>0</v>
      </c>
      <c r="DH39" s="1259">
        <f>IF(DH192&lt;&gt;"",DH192,0)</f>
        <v>0</v>
      </c>
      <c r="DI39" s="534">
        <f>IF(DI192&lt;&gt;"",DI192,0)</f>
        <v>0</v>
      </c>
      <c r="DJ39" s="482">
        <f t="shared" si="195"/>
        <v>0</v>
      </c>
      <c r="DK39" s="1262">
        <f>IF(DK192&lt;&gt;"",DK192,0)</f>
        <v>0</v>
      </c>
      <c r="DL39" s="534">
        <f>IF(DL192&lt;&gt;"",DL192,0)</f>
        <v>0</v>
      </c>
      <c r="DM39" s="482">
        <f t="shared" si="196"/>
        <v>0</v>
      </c>
      <c r="DN39" s="1262">
        <f>IF(DN192&lt;&gt;"",DN192,0)</f>
        <v>0</v>
      </c>
      <c r="DO39" s="534">
        <f>IF(DO192&lt;&gt;"",DO192,0)</f>
        <v>0</v>
      </c>
      <c r="DP39" s="482">
        <f t="shared" si="197"/>
        <v>0</v>
      </c>
      <c r="DQ39" s="1262">
        <f>IF(DQ192&lt;&gt;"",DQ192,0)</f>
        <v>0</v>
      </c>
      <c r="DR39" s="534">
        <f>IF(DR192&lt;&gt;"",DR192,0)</f>
        <v>0</v>
      </c>
      <c r="DS39" s="482">
        <f t="shared" si="198"/>
        <v>0</v>
      </c>
      <c r="DT39" s="1262">
        <f>IF(DT192&lt;&gt;"",DT192,0)</f>
        <v>0</v>
      </c>
      <c r="DU39" s="534">
        <f>IF(DU192&lt;&gt;"",DU192,0)</f>
        <v>0</v>
      </c>
      <c r="DV39" s="482">
        <f t="shared" si="199"/>
        <v>0</v>
      </c>
      <c r="DW39" s="1262">
        <f>IF(DW192&lt;&gt;"",DW192,0)</f>
        <v>0</v>
      </c>
      <c r="DX39" s="534">
        <f>IF(DX192&lt;&gt;"",DX192,0)</f>
        <v>0</v>
      </c>
      <c r="DY39" s="482">
        <f t="shared" si="200"/>
        <v>0</v>
      </c>
      <c r="DZ39" s="1262">
        <f>IF(DZ192&lt;&gt;"",DZ192,0)</f>
        <v>0</v>
      </c>
      <c r="EA39" s="534">
        <f>IF(EA192&lt;&gt;"",EA192,0)</f>
        <v>0</v>
      </c>
      <c r="EB39" s="482">
        <f t="shared" si="201"/>
        <v>0</v>
      </c>
      <c r="EC39" s="1262">
        <f>IF(EC192&lt;&gt;"",EC192,0)</f>
        <v>0</v>
      </c>
      <c r="ED39" s="534">
        <f>IF(ED192&lt;&gt;"",ED192,0)</f>
        <v>0</v>
      </c>
      <c r="EE39" s="482">
        <f t="shared" si="202"/>
        <v>0</v>
      </c>
      <c r="EF39" s="1262">
        <f>IF(EF192&lt;&gt;"",EF192,0)</f>
        <v>0</v>
      </c>
      <c r="EG39" s="534">
        <f>IF(EG192&lt;&gt;"",EG192,0)</f>
        <v>0</v>
      </c>
      <c r="EH39" s="482">
        <f t="shared" si="203"/>
        <v>0</v>
      </c>
      <c r="EI39" s="1262">
        <f>IF(EI192&lt;&gt;"",EI192,0)</f>
        <v>0</v>
      </c>
      <c r="EJ39" s="534">
        <f>IF(EJ192&lt;&gt;"",EJ192,0)</f>
        <v>0</v>
      </c>
      <c r="EK39" s="482">
        <f t="shared" si="204"/>
        <v>0</v>
      </c>
      <c r="EL39" s="1262">
        <f>IF(EL192&lt;&gt;"",EL192,0)</f>
        <v>0</v>
      </c>
      <c r="EM39" s="534">
        <f>IF(EM192&lt;&gt;"",EM192,0)</f>
        <v>0</v>
      </c>
      <c r="EN39" s="482">
        <f t="shared" si="205"/>
        <v>0</v>
      </c>
      <c r="EO39" s="1262">
        <f>IF(EO192&lt;&gt;"",EO192,0)</f>
        <v>0</v>
      </c>
      <c r="EP39" s="534">
        <f>IF(EP192&lt;&gt;"",EP192,0)</f>
        <v>0</v>
      </c>
      <c r="EQ39" s="482">
        <f t="shared" si="206"/>
        <v>0</v>
      </c>
      <c r="ER39" s="1262">
        <f>IF(ER192&lt;&gt;"",ER192,0)</f>
        <v>0</v>
      </c>
      <c r="ES39" s="534">
        <f>IF(ES192&lt;&gt;"",ES192,0)</f>
        <v>0</v>
      </c>
      <c r="ET39" s="482">
        <f t="shared" si="207"/>
        <v>0</v>
      </c>
      <c r="EU39" s="1262">
        <f>IF(EU192&lt;&gt;"",EU192,0)</f>
        <v>0</v>
      </c>
      <c r="EV39" s="534">
        <f>IF(EV192&lt;&gt;"",EV192,0)</f>
        <v>0</v>
      </c>
      <c r="EW39" s="482">
        <f t="shared" si="208"/>
        <v>0</v>
      </c>
      <c r="EX39" s="1262">
        <f>IF(EX192&lt;&gt;"",EX192,0)</f>
        <v>0</v>
      </c>
      <c r="EY39" s="534">
        <f>IF(EY192&lt;&gt;"",EY192,0)</f>
        <v>0</v>
      </c>
      <c r="EZ39" s="482">
        <f t="shared" si="209"/>
        <v>0</v>
      </c>
      <c r="FA39" s="1262">
        <f>IF(FA192&lt;&gt;"",FA192,0)</f>
        <v>0</v>
      </c>
      <c r="FC39" s="236" t="s">
        <v>825</v>
      </c>
      <c r="FE39"/>
      <c r="FF39"/>
      <c r="FG39"/>
      <c r="FH39"/>
      <c r="FI39"/>
      <c r="FJ39"/>
      <c r="FK39" s="35"/>
    </row>
    <row r="40" spans="2:167" s="236" customFormat="1" ht="13.35" customHeight="1" outlineLevel="1">
      <c r="B40" s="242" t="s">
        <v>457</v>
      </c>
      <c r="C40" s="242" t="s">
        <v>496</v>
      </c>
      <c r="D40" s="243"/>
      <c r="E40" s="522"/>
      <c r="F40" s="510">
        <f t="shared" si="160"/>
        <v>0</v>
      </c>
      <c r="G40" s="523"/>
      <c r="H40" s="524"/>
      <c r="I40" s="510">
        <f t="shared" si="161"/>
        <v>0</v>
      </c>
      <c r="J40" s="523"/>
      <c r="K40" s="524"/>
      <c r="L40" s="510">
        <f t="shared" si="162"/>
        <v>0</v>
      </c>
      <c r="M40" s="523"/>
      <c r="N40" s="524"/>
      <c r="O40" s="510">
        <f t="shared" si="163"/>
        <v>0</v>
      </c>
      <c r="P40" s="523"/>
      <c r="Q40" s="524"/>
      <c r="R40" s="510">
        <f t="shared" si="164"/>
        <v>0</v>
      </c>
      <c r="S40" s="523"/>
      <c r="T40" s="524"/>
      <c r="U40" s="510">
        <f t="shared" si="165"/>
        <v>0</v>
      </c>
      <c r="V40" s="523"/>
      <c r="W40" s="524"/>
      <c r="X40" s="510">
        <f t="shared" si="166"/>
        <v>0</v>
      </c>
      <c r="Y40" s="523"/>
      <c r="Z40" s="524"/>
      <c r="AA40" s="510">
        <f t="shared" si="167"/>
        <v>0</v>
      </c>
      <c r="AB40" s="523"/>
      <c r="AC40" s="524"/>
      <c r="AD40" s="510">
        <f t="shared" si="168"/>
        <v>0</v>
      </c>
      <c r="AE40" s="523"/>
      <c r="AF40" s="524"/>
      <c r="AG40" s="510">
        <f t="shared" si="169"/>
        <v>0</v>
      </c>
      <c r="AH40" s="523"/>
      <c r="AI40" s="524"/>
      <c r="AJ40" s="510">
        <f t="shared" si="170"/>
        <v>0</v>
      </c>
      <c r="AK40" s="523"/>
      <c r="AL40" s="524"/>
      <c r="AM40" s="510">
        <f t="shared" si="171"/>
        <v>0</v>
      </c>
      <c r="AN40" s="523"/>
      <c r="AO40" s="524"/>
      <c r="AP40" s="510">
        <f t="shared" si="172"/>
        <v>0</v>
      </c>
      <c r="AQ40" s="523"/>
      <c r="AR40" s="524"/>
      <c r="AS40" s="510">
        <f t="shared" si="173"/>
        <v>0</v>
      </c>
      <c r="AT40" s="523"/>
      <c r="AU40" s="524"/>
      <c r="AV40" s="510">
        <f t="shared" si="174"/>
        <v>0</v>
      </c>
      <c r="AW40" s="523"/>
      <c r="AX40" s="525">
        <v>0</v>
      </c>
      <c r="AY40" s="510">
        <f t="shared" si="175"/>
        <v>0</v>
      </c>
      <c r="AZ40" s="526">
        <v>0</v>
      </c>
      <c r="BA40" s="525">
        <v>0</v>
      </c>
      <c r="BB40" s="510">
        <f t="shared" si="176"/>
        <v>0</v>
      </c>
      <c r="BC40" s="526">
        <v>0</v>
      </c>
      <c r="BD40" s="524">
        <f>IF(OR(BD197&lt;&gt;"",BD198&lt;&gt;""),SUM(BD197:BD198),0)</f>
        <v>0</v>
      </c>
      <c r="BE40" s="510">
        <f t="shared" si="177"/>
        <v>0</v>
      </c>
      <c r="BF40" s="523">
        <f>IF(OR(BF197&lt;&gt;"",BF198&lt;&gt;""),SUM(BF197:BF198),0)</f>
        <v>0</v>
      </c>
      <c r="BG40" s="524">
        <f>IF(OR(BG197&lt;&gt;"",BG198&lt;&gt;""),SUM(BG197:BG198),0)</f>
        <v>0</v>
      </c>
      <c r="BH40" s="510">
        <f t="shared" si="210"/>
        <v>0</v>
      </c>
      <c r="BI40" s="523">
        <f>IF(OR(BI197&lt;&gt;"",BI198&lt;&gt;""),SUM(BI197:BI198),0)</f>
        <v>0</v>
      </c>
      <c r="BJ40" s="524">
        <f>IF(OR(BJ197&lt;&gt;"",BJ198&lt;&gt;""),SUM(BJ197:BJ198),0)</f>
        <v>0</v>
      </c>
      <c r="BK40" s="510">
        <f t="shared" si="178"/>
        <v>0</v>
      </c>
      <c r="BL40" s="523">
        <f>IF(OR(BL197&lt;&gt;"",BL198&lt;&gt;""),SUM(BL197:BL198),0)</f>
        <v>0</v>
      </c>
      <c r="BM40" s="524">
        <f>IF(OR(BM197&lt;&gt;"",BM198&lt;&gt;""),SUM(BM197:BM198),0)</f>
        <v>0</v>
      </c>
      <c r="BN40" s="510">
        <f t="shared" si="179"/>
        <v>0</v>
      </c>
      <c r="BO40" s="522">
        <f>IF(OR(BO197&lt;&gt;"",BO198&lt;&gt;""),SUM(BO197:BO198),0)</f>
        <v>0</v>
      </c>
      <c r="BP40" s="524">
        <f>IF(OR(BP197&lt;&gt;"",BP198&lt;&gt;""),SUM(BP197:BP198),0)</f>
        <v>0</v>
      </c>
      <c r="BQ40" s="510">
        <f t="shared" si="180"/>
        <v>0</v>
      </c>
      <c r="BR40" s="522">
        <f>IF(OR(BR197&lt;&gt;"",BR198&lt;&gt;""),SUM(BR197:BR198),0)</f>
        <v>0</v>
      </c>
      <c r="BS40" s="524">
        <f>IF(OR(BS197&lt;&gt;"",BS198&lt;&gt;""),SUM(BS197:BS198),0)</f>
        <v>0</v>
      </c>
      <c r="BT40" s="510">
        <f t="shared" si="181"/>
        <v>0</v>
      </c>
      <c r="BU40" s="527">
        <v>0</v>
      </c>
      <c r="BV40" s="524">
        <f>IF(OR(BV197&lt;&gt;"",BV198&lt;&gt;""),SUM(BV197:BV198),0)</f>
        <v>0</v>
      </c>
      <c r="BW40" s="510">
        <f t="shared" si="182"/>
        <v>0</v>
      </c>
      <c r="BX40" s="522">
        <f>IF(OR(BX197&lt;&gt;"",BX198&lt;&gt;""),SUM(BX197:BX198),0)</f>
        <v>0</v>
      </c>
      <c r="BY40" s="524">
        <f>IF(OR(BY197&lt;&gt;"",BY198&lt;&gt;""),SUM(BY197:BY198),0)</f>
        <v>0</v>
      </c>
      <c r="BZ40" s="510">
        <f t="shared" si="183"/>
        <v>0</v>
      </c>
      <c r="CA40" s="522">
        <f>IF(OR(CA197&lt;&gt;"",CA198&lt;&gt;""),SUM(CA197:CA198),0)</f>
        <v>0</v>
      </c>
      <c r="CB40" s="524">
        <f>IF(OR(CB197&lt;&gt;"",CB198&lt;&gt;""),SUM(CB197:CB198),0)</f>
        <v>0</v>
      </c>
      <c r="CC40" s="510">
        <f t="shared" si="184"/>
        <v>0</v>
      </c>
      <c r="CD40" s="522">
        <f>IF(OR(CD197&lt;&gt;"",CD198&lt;&gt;""),SUM(CD197:CD198),0)</f>
        <v>0</v>
      </c>
      <c r="CE40" s="524">
        <f>IF(OR(CE197&lt;&gt;"",CE198&lt;&gt;""),SUM(CE197:CE198),0)</f>
        <v>0</v>
      </c>
      <c r="CF40" s="510">
        <f t="shared" si="185"/>
        <v>0</v>
      </c>
      <c r="CG40" s="522">
        <f>IF(OR(CG197&lt;&gt;"",CG198&lt;&gt;""),SUM(CG197:CG198),0)</f>
        <v>0</v>
      </c>
      <c r="CH40" s="524">
        <f>IF(OR(CH197&lt;&gt;"",CH198&lt;&gt;""),SUM(CH197:CH198),0)</f>
        <v>0</v>
      </c>
      <c r="CI40" s="510">
        <f t="shared" si="186"/>
        <v>0</v>
      </c>
      <c r="CJ40" s="522">
        <f>IF(OR(CJ197&lt;&gt;"",CJ198&lt;&gt;""),SUM(CJ197:CJ198),0)</f>
        <v>0</v>
      </c>
      <c r="CK40" s="524">
        <f>IF(OR(CK197&lt;&gt;"",CK198&lt;&gt;""),SUM(CK197:CK198),0)</f>
        <v>0</v>
      </c>
      <c r="CL40" s="510">
        <f t="shared" si="187"/>
        <v>0</v>
      </c>
      <c r="CM40" s="522">
        <f>IF(OR(CM197&lt;&gt;"",CM198&lt;&gt;""),SUM(CM197:CM198),0)</f>
        <v>0</v>
      </c>
      <c r="CN40" s="524">
        <f>IF(OR(CN197&lt;&gt;"",CN198&lt;&gt;""),SUM(CN197:CN198),0)</f>
        <v>0</v>
      </c>
      <c r="CO40" s="510">
        <f t="shared" si="188"/>
        <v>0</v>
      </c>
      <c r="CP40" s="522">
        <f>IF(OR(CP197&lt;&gt;"",CP198&lt;&gt;""),SUM(CP197:CP198),0)</f>
        <v>0</v>
      </c>
      <c r="CQ40" s="524">
        <f>IF(OR(CQ197&lt;&gt;"",CQ198&lt;&gt;""),SUM(CQ197:CQ198),0)</f>
        <v>0</v>
      </c>
      <c r="CR40" s="510">
        <f t="shared" si="189"/>
        <v>0</v>
      </c>
      <c r="CS40" s="522">
        <f>IF(OR(CS197&lt;&gt;"",CS198&lt;&gt;""),SUM(CS197:CS198),0)</f>
        <v>0</v>
      </c>
      <c r="CT40" s="524">
        <f>IF(OR(CT197&lt;&gt;"",CT198&lt;&gt;""),SUM(CT197:CT198),0)</f>
        <v>0</v>
      </c>
      <c r="CU40" s="510">
        <f t="shared" si="190"/>
        <v>0</v>
      </c>
      <c r="CV40" s="522"/>
      <c r="CW40" s="524">
        <f>IF(OR(CW197&lt;&gt;"",CW198&lt;&gt;""),SUM(CW197:CW198),0)</f>
        <v>0</v>
      </c>
      <c r="CX40" s="510">
        <f t="shared" si="191"/>
        <v>-0.82100000000000006</v>
      </c>
      <c r="CY40" s="522">
        <f>IF(OR(CY197&lt;&gt;"",CY198&lt;&gt;""),SUM(CY197:CY198),0)</f>
        <v>-0.82100000000000006</v>
      </c>
      <c r="CZ40" s="524">
        <f>IF(OR(CZ197&lt;&gt;"",CZ198&lt;&gt;""),SUM(CZ197:CZ198),0)</f>
        <v>0.3</v>
      </c>
      <c r="DA40" s="510">
        <f t="shared" si="192"/>
        <v>0</v>
      </c>
      <c r="DB40" s="522">
        <f>IF(OR(DB197&lt;&gt;"",DB198&lt;&gt;""),SUM(DB197:DB198),0)</f>
        <v>0.3</v>
      </c>
      <c r="DC40" s="524">
        <f>IF(OR(DC197&lt;&gt;"",DC198&lt;&gt;""),SUM(DC197:DC198),0)</f>
        <v>1.3</v>
      </c>
      <c r="DD40" s="510">
        <f t="shared" si="193"/>
        <v>-1.3</v>
      </c>
      <c r="DE40" s="522">
        <f>IF(OR(DE197&lt;&gt;"",DE198&lt;&gt;""),SUM(DE197:DE198),0)</f>
        <v>0</v>
      </c>
      <c r="DF40" s="524">
        <f>IF(OR(DF197&lt;&gt;"",DF198&lt;&gt;""),SUM(DF197:DF198),0)</f>
        <v>0</v>
      </c>
      <c r="DG40" s="510">
        <f t="shared" si="194"/>
        <v>0</v>
      </c>
      <c r="DH40" s="1259">
        <f>IF(OR(DH197&lt;&gt;"",DH198&lt;&gt;""),SUM(DH197:DH198),0)</f>
        <v>0</v>
      </c>
      <c r="DI40" s="534">
        <f>IF(OR(DI197&lt;&gt;"",DI198&lt;&gt;""),SUM(DI197:DI198),0)</f>
        <v>0</v>
      </c>
      <c r="DJ40" s="482">
        <f t="shared" si="195"/>
        <v>0</v>
      </c>
      <c r="DK40" s="1262">
        <f>IF(OR(DK197&lt;&gt;"",DK198&lt;&gt;""),SUM(DK197:DK198),0)</f>
        <v>0</v>
      </c>
      <c r="DL40" s="534">
        <f>IF(OR(DL197&lt;&gt;"",DL198&lt;&gt;""),SUM(DL197:DL198),0)</f>
        <v>0</v>
      </c>
      <c r="DM40" s="482">
        <f t="shared" si="196"/>
        <v>0</v>
      </c>
      <c r="DN40" s="1262">
        <f>IF(OR(DN197&lt;&gt;"",DN198&lt;&gt;""),SUM(DN197:DN198),0)</f>
        <v>0</v>
      </c>
      <c r="DO40" s="534">
        <f>IF(OR(DO197&lt;&gt;"",DO198&lt;&gt;""),SUM(DO197:DO198),0)</f>
        <v>0</v>
      </c>
      <c r="DP40" s="482">
        <f t="shared" si="197"/>
        <v>0</v>
      </c>
      <c r="DQ40" s="1262">
        <f>IF(OR(DQ197&lt;&gt;"",DQ198&lt;&gt;""),SUM(DQ197:DQ198),0)</f>
        <v>0</v>
      </c>
      <c r="DR40" s="534">
        <f>IF(OR(DR197&lt;&gt;"",DR198&lt;&gt;""),SUM(DR197:DR198),0)</f>
        <v>0</v>
      </c>
      <c r="DS40" s="482">
        <f t="shared" si="198"/>
        <v>0</v>
      </c>
      <c r="DT40" s="1262">
        <f>IF(OR(DT197&lt;&gt;"",DT198&lt;&gt;""),SUM(DT197:DT198),0)</f>
        <v>0</v>
      </c>
      <c r="DU40" s="534">
        <f>IF(OR(DU197&lt;&gt;"",DU198&lt;&gt;""),SUM(DU197:DU198),0)</f>
        <v>0</v>
      </c>
      <c r="DV40" s="482">
        <f t="shared" si="199"/>
        <v>0</v>
      </c>
      <c r="DW40" s="1262">
        <f>IF(OR(DW197&lt;&gt;"",DW198&lt;&gt;""),SUM(DW197:DW198),0)</f>
        <v>0</v>
      </c>
      <c r="DX40" s="534">
        <f>IF(OR(DX197&lt;&gt;"",DX198&lt;&gt;""),SUM(DX197:DX198),0)</f>
        <v>0</v>
      </c>
      <c r="DY40" s="482">
        <f t="shared" si="200"/>
        <v>0</v>
      </c>
      <c r="DZ40" s="1262">
        <f>IF(OR(DZ197&lt;&gt;"",DZ198&lt;&gt;""),SUM(DZ197:DZ198),0)</f>
        <v>0</v>
      </c>
      <c r="EA40" s="534">
        <f>IF(OR(EA197&lt;&gt;"",EA198&lt;&gt;""),SUM(EA197:EA198),0)</f>
        <v>0</v>
      </c>
      <c r="EB40" s="482">
        <f t="shared" si="201"/>
        <v>0</v>
      </c>
      <c r="EC40" s="1262">
        <f>IF(OR(EC197&lt;&gt;"",EC198&lt;&gt;""),SUM(EC197:EC198),0)</f>
        <v>0</v>
      </c>
      <c r="ED40" s="534">
        <f>IF(OR(ED197&lt;&gt;"",ED198&lt;&gt;""),SUM(ED197:ED198),0)</f>
        <v>0</v>
      </c>
      <c r="EE40" s="482">
        <f t="shared" si="202"/>
        <v>0</v>
      </c>
      <c r="EF40" s="1262">
        <f>IF(OR(EF197&lt;&gt;"",EF198&lt;&gt;""),SUM(EF197:EF198),0)</f>
        <v>0</v>
      </c>
      <c r="EG40" s="534">
        <f>IF(OR(EG197&lt;&gt;"",EG198&lt;&gt;""),SUM(EG197:EG198),0)</f>
        <v>0</v>
      </c>
      <c r="EH40" s="482">
        <f t="shared" si="203"/>
        <v>0</v>
      </c>
      <c r="EI40" s="1262">
        <f>IF(OR(EI197&lt;&gt;"",EI198&lt;&gt;""),SUM(EI197:EI198),0)</f>
        <v>0</v>
      </c>
      <c r="EJ40" s="534">
        <f>IF(OR(EJ197&lt;&gt;"",EJ198&lt;&gt;""),SUM(EJ197:EJ198),0)</f>
        <v>0</v>
      </c>
      <c r="EK40" s="482">
        <f t="shared" si="204"/>
        <v>0</v>
      </c>
      <c r="EL40" s="1262">
        <f>IF(OR(EL197&lt;&gt;"",EL198&lt;&gt;""),SUM(EL197:EL198),0)</f>
        <v>0</v>
      </c>
      <c r="EM40" s="534">
        <f>IF(OR(EM197&lt;&gt;"",EM198&lt;&gt;""),SUM(EM197:EM198),0)</f>
        <v>0</v>
      </c>
      <c r="EN40" s="482">
        <f t="shared" si="205"/>
        <v>0</v>
      </c>
      <c r="EO40" s="1262">
        <f>IF(OR(EO197&lt;&gt;"",EO198&lt;&gt;""),SUM(EO197:EO198),0)</f>
        <v>0</v>
      </c>
      <c r="EP40" s="534">
        <f>IF(OR(EP197&lt;&gt;"",EP198&lt;&gt;""),SUM(EP197:EP198),0)</f>
        <v>0</v>
      </c>
      <c r="EQ40" s="482">
        <f t="shared" si="206"/>
        <v>0</v>
      </c>
      <c r="ER40" s="1262">
        <f>IF(OR(ER197&lt;&gt;"",ER198&lt;&gt;""),SUM(ER197:ER198),0)</f>
        <v>0</v>
      </c>
      <c r="ES40" s="534">
        <f>IF(OR(ES197&lt;&gt;"",ES198&lt;&gt;""),SUM(ES197:ES198),0)</f>
        <v>0</v>
      </c>
      <c r="ET40" s="482">
        <f t="shared" si="207"/>
        <v>0</v>
      </c>
      <c r="EU40" s="1262">
        <f>IF(OR(EU197&lt;&gt;"",EU198&lt;&gt;""),SUM(EU197:EU198),0)</f>
        <v>0</v>
      </c>
      <c r="EV40" s="534">
        <f>IF(OR(EV197&lt;&gt;"",EV198&lt;&gt;""),SUM(EV197:EV198),0)</f>
        <v>0</v>
      </c>
      <c r="EW40" s="482">
        <f t="shared" si="208"/>
        <v>0</v>
      </c>
      <c r="EX40" s="1262">
        <f>IF(OR(EX197&lt;&gt;"",EX198&lt;&gt;""),SUM(EX197:EX198),0)</f>
        <v>0</v>
      </c>
      <c r="EY40" s="534">
        <f>IF(OR(EY197&lt;&gt;"",EY198&lt;&gt;""),SUM(EY197:EY198),0)</f>
        <v>0</v>
      </c>
      <c r="EZ40" s="482">
        <f t="shared" si="209"/>
        <v>0</v>
      </c>
      <c r="FA40" s="1262">
        <f>IF(OR(FA197&lt;&gt;"",FA198&lt;&gt;""),SUM(FA197:FA198),0)</f>
        <v>0</v>
      </c>
      <c r="FE40"/>
      <c r="FF40"/>
      <c r="FG40"/>
      <c r="FH40"/>
      <c r="FI40"/>
      <c r="FJ40"/>
      <c r="FK40" s="35"/>
    </row>
    <row r="41" spans="2:167" s="236" customFormat="1" ht="13.35" customHeight="1" outlineLevel="1" thickBot="1">
      <c r="B41" s="236" t="s">
        <v>814</v>
      </c>
      <c r="C41" s="242" t="s">
        <v>496</v>
      </c>
      <c r="D41" s="243"/>
      <c r="E41" s="528"/>
      <c r="F41" s="482">
        <f t="shared" si="160"/>
        <v>0</v>
      </c>
      <c r="G41" s="529"/>
      <c r="H41" s="530"/>
      <c r="I41" s="482">
        <f t="shared" si="161"/>
        <v>0</v>
      </c>
      <c r="J41" s="529"/>
      <c r="K41" s="530"/>
      <c r="L41" s="482">
        <f t="shared" si="162"/>
        <v>0</v>
      </c>
      <c r="M41" s="529"/>
      <c r="N41" s="530"/>
      <c r="O41" s="482">
        <f t="shared" si="163"/>
        <v>0</v>
      </c>
      <c r="P41" s="529"/>
      <c r="Q41" s="530"/>
      <c r="R41" s="482">
        <f t="shared" si="164"/>
        <v>0</v>
      </c>
      <c r="S41" s="529"/>
      <c r="T41" s="530"/>
      <c r="U41" s="482">
        <f t="shared" si="165"/>
        <v>0</v>
      </c>
      <c r="V41" s="529"/>
      <c r="W41" s="530"/>
      <c r="X41" s="482">
        <f t="shared" si="166"/>
        <v>0</v>
      </c>
      <c r="Y41" s="529"/>
      <c r="Z41" s="530"/>
      <c r="AA41" s="482">
        <f t="shared" si="167"/>
        <v>0</v>
      </c>
      <c r="AB41" s="529"/>
      <c r="AC41" s="530"/>
      <c r="AD41" s="482">
        <f t="shared" si="168"/>
        <v>0</v>
      </c>
      <c r="AE41" s="529"/>
      <c r="AF41" s="530"/>
      <c r="AG41" s="482">
        <f t="shared" si="169"/>
        <v>0</v>
      </c>
      <c r="AH41" s="529"/>
      <c r="AI41" s="530">
        <f>0.366-SUM(AI35:AI40)</f>
        <v>0.31900000000000001</v>
      </c>
      <c r="AJ41" s="482">
        <f t="shared" si="170"/>
        <v>4.2999999999999983E-2</v>
      </c>
      <c r="AK41" s="529">
        <f>0.409-SUM(AK35:AK40)</f>
        <v>0.36199999999999999</v>
      </c>
      <c r="AL41" s="530">
        <f>0.601-SUM(AL35:AL40)</f>
        <v>0.53</v>
      </c>
      <c r="AM41" s="482">
        <f t="shared" si="171"/>
        <v>0.625</v>
      </c>
      <c r="AN41" s="529">
        <f>1.61-SUM(AN35:AN40)</f>
        <v>1.155</v>
      </c>
      <c r="AO41" s="530">
        <f>0.57-SUM(AO35:AO40)</f>
        <v>0.21199999999999997</v>
      </c>
      <c r="AP41" s="482">
        <f t="shared" si="172"/>
        <v>0.11799999999999999</v>
      </c>
      <c r="AQ41" s="529">
        <f>1.01-SUM(AQ35:AQ40)</f>
        <v>0.32999999999999996</v>
      </c>
      <c r="AR41" s="530"/>
      <c r="AS41" s="482">
        <f t="shared" si="173"/>
        <v>0.57100000000000006</v>
      </c>
      <c r="AT41" s="529">
        <f>1.195-SUM(AT35:AT40)</f>
        <v>0.57100000000000006</v>
      </c>
      <c r="AU41" s="530">
        <f>0.412-SUM(AU32)-SUM(AU35:AU40)</f>
        <v>5.9999999999999498E-3</v>
      </c>
      <c r="AV41" s="482">
        <f t="shared" si="174"/>
        <v>6.3000000000000111E-2</v>
      </c>
      <c r="AW41" s="529">
        <f>1.046-SUM(AW35:AW40)</f>
        <v>6.9000000000000061E-2</v>
      </c>
      <c r="AX41" s="530">
        <f>1.061-SUM(AX32,AX35:AX40)</f>
        <v>0.30599999999999994</v>
      </c>
      <c r="AY41" s="482">
        <f t="shared" si="175"/>
        <v>0.49900000000000022</v>
      </c>
      <c r="AZ41" s="529">
        <f>2.184-SUM(AZ32,AZ35:AZ40)</f>
        <v>0.80500000000000016</v>
      </c>
      <c r="BA41" s="531">
        <v>0</v>
      </c>
      <c r="BB41" s="482">
        <f t="shared" si="176"/>
        <v>0.9630000000000003</v>
      </c>
      <c r="BC41" s="529">
        <f>2.123-BC35</f>
        <v>0.9630000000000003</v>
      </c>
      <c r="BD41" s="530">
        <f>IF(Assumptions!BD24&lt;&gt;"",Assumptions!BD24,0)</f>
        <v>0</v>
      </c>
      <c r="BE41" s="482">
        <f t="shared" si="177"/>
        <v>0</v>
      </c>
      <c r="BF41" s="529">
        <f>IF(Assumptions!BF24&lt;&gt;"",Assumptions!BF24,0)</f>
        <v>0</v>
      </c>
      <c r="BG41" s="530">
        <f>IF(Assumptions!BG24&lt;&gt;"",Assumptions!BG24,0)</f>
        <v>0</v>
      </c>
      <c r="BH41" s="482">
        <f t="shared" si="210"/>
        <v>0</v>
      </c>
      <c r="BI41" s="529">
        <f>IF(Assumptions!BI24&lt;&gt;"",Assumptions!BI24,0)</f>
        <v>0</v>
      </c>
      <c r="BJ41" s="530">
        <f>0.108</f>
        <v>0.108</v>
      </c>
      <c r="BK41" s="482">
        <f t="shared" si="178"/>
        <v>-0.108</v>
      </c>
      <c r="BL41" s="532">
        <v>0</v>
      </c>
      <c r="BM41" s="530">
        <f>IF(Assumptions!BM24&lt;&gt;"",Assumptions!BM24,0)</f>
        <v>0</v>
      </c>
      <c r="BN41" s="482">
        <f t="shared" si="179"/>
        <v>0</v>
      </c>
      <c r="BO41" s="528">
        <f>IF(Assumptions!BO24&lt;&gt;"",Assumptions!BO24,0)</f>
        <v>0</v>
      </c>
      <c r="BP41" s="530">
        <f>IF(Assumptions!BP24&lt;&gt;"",Assumptions!BP24,0)</f>
        <v>0</v>
      </c>
      <c r="BQ41" s="482">
        <f t="shared" si="180"/>
        <v>0</v>
      </c>
      <c r="BR41" s="528">
        <f>IF(Assumptions!BR24&lt;&gt;"",Assumptions!BR24,0)</f>
        <v>0</v>
      </c>
      <c r="BS41" s="530">
        <f>IF(Assumptions!BS24&lt;&gt;"",Assumptions!BS24,0)</f>
        <v>0</v>
      </c>
      <c r="BT41" s="482">
        <f t="shared" si="181"/>
        <v>0</v>
      </c>
      <c r="BU41" s="528">
        <f>IF(Assumptions!BU24&lt;&gt;"",Assumptions!BU24,0)</f>
        <v>0</v>
      </c>
      <c r="BV41" s="530">
        <f>IF(Assumptions!BV24&lt;&gt;"",Assumptions!BV24,0)</f>
        <v>0</v>
      </c>
      <c r="BW41" s="482">
        <f t="shared" si="182"/>
        <v>0</v>
      </c>
      <c r="BX41" s="528">
        <f>IF(Assumptions!BX24&lt;&gt;"",Assumptions!BX24,0)</f>
        <v>0</v>
      </c>
      <c r="BY41" s="530">
        <f>IF(Assumptions!BY24&lt;&gt;"",Assumptions!BY24,0)</f>
        <v>0</v>
      </c>
      <c r="BZ41" s="482">
        <f t="shared" si="183"/>
        <v>0</v>
      </c>
      <c r="CA41" s="528">
        <f>IF(Assumptions!CA24&lt;&gt;"",Assumptions!CA24,0)</f>
        <v>0</v>
      </c>
      <c r="CB41" s="530">
        <f>IF(Assumptions!CB24&lt;&gt;"",Assumptions!CB24,0)</f>
        <v>0</v>
      </c>
      <c r="CC41" s="482">
        <f t="shared" si="184"/>
        <v>0</v>
      </c>
      <c r="CD41" s="528">
        <f>IF(Assumptions!CD24&lt;&gt;"",Assumptions!CD24,0)</f>
        <v>0</v>
      </c>
      <c r="CE41" s="530">
        <f>IF(Assumptions!CE24&lt;&gt;"",Assumptions!CE24,0)</f>
        <v>0</v>
      </c>
      <c r="CF41" s="482">
        <f t="shared" si="185"/>
        <v>0</v>
      </c>
      <c r="CG41" s="528">
        <f>IF(Assumptions!CG24&lt;&gt;"",Assumptions!CG24,0)</f>
        <v>0</v>
      </c>
      <c r="CH41" s="530">
        <f>IF(Assumptions!CH24&lt;&gt;"",Assumptions!CH24,0)</f>
        <v>0</v>
      </c>
      <c r="CI41" s="482">
        <f t="shared" si="186"/>
        <v>0</v>
      </c>
      <c r="CJ41" s="528">
        <f>IF(Assumptions!CJ24&lt;&gt;"",Assumptions!CJ24,0)</f>
        <v>0</v>
      </c>
      <c r="CK41" s="530">
        <f>IF(Assumptions!CK24&lt;&gt;"",Assumptions!CK24,0)</f>
        <v>0</v>
      </c>
      <c r="CL41" s="482">
        <f t="shared" si="187"/>
        <v>0</v>
      </c>
      <c r="CM41" s="528">
        <f>IF(Assumptions!CM24&lt;&gt;"",Assumptions!CM24,0)</f>
        <v>0</v>
      </c>
      <c r="CN41" s="530">
        <f>IF(Assumptions!CN24&lt;&gt;"",Assumptions!CN24,0)</f>
        <v>0</v>
      </c>
      <c r="CO41" s="482">
        <f t="shared" si="188"/>
        <v>0</v>
      </c>
      <c r="CP41" s="528">
        <f>IF(Assumptions!CP24&lt;&gt;"",Assumptions!CP24,0)</f>
        <v>0</v>
      </c>
      <c r="CQ41" s="530">
        <f>IF(Assumptions!CQ24&lt;&gt;"",Assumptions!CQ24,0)</f>
        <v>0</v>
      </c>
      <c r="CR41" s="482">
        <f t="shared" si="189"/>
        <v>0</v>
      </c>
      <c r="CS41" s="528">
        <f>IF(Assumptions!CS24&lt;&gt;"",Assumptions!CS24,0)</f>
        <v>0</v>
      </c>
      <c r="CT41" s="530">
        <f>IF(Assumptions!CT24&lt;&gt;"",Assumptions!CT24,0)</f>
        <v>0</v>
      </c>
      <c r="CU41" s="482">
        <f t="shared" si="190"/>
        <v>0</v>
      </c>
      <c r="CV41" s="528">
        <f>IF(Assumptions!CV24&lt;&gt;"",Assumptions!CV24,0)</f>
        <v>0</v>
      </c>
      <c r="CW41" s="530">
        <f>IF(Assumptions!CW24&lt;&gt;"",Assumptions!CW24,0)</f>
        <v>0</v>
      </c>
      <c r="CX41" s="482">
        <f t="shared" si="191"/>
        <v>0</v>
      </c>
      <c r="CY41" s="528">
        <f>IF(Assumptions!CY24&lt;&gt;"",Assumptions!CY24,0)</f>
        <v>0</v>
      </c>
      <c r="CZ41" s="530">
        <f>IF(Assumptions!CZ24&lt;&gt;"",Assumptions!CZ24,0)</f>
        <v>0</v>
      </c>
      <c r="DA41" s="482">
        <f t="shared" si="192"/>
        <v>0</v>
      </c>
      <c r="DB41" s="528">
        <f>IF(Assumptions!DB24&lt;&gt;"",Assumptions!DB24,0)</f>
        <v>0</v>
      </c>
      <c r="DC41" s="530">
        <f>IF(Assumptions!DC24&lt;&gt;"",Assumptions!DC24,0)</f>
        <v>0</v>
      </c>
      <c r="DD41" s="482">
        <f t="shared" si="193"/>
        <v>0</v>
      </c>
      <c r="DE41" s="528">
        <f>IF(Assumptions!DE24&lt;&gt;"",Assumptions!DE24,0)</f>
        <v>0</v>
      </c>
      <c r="DF41" s="530">
        <f>IF(Assumptions!DF24&lt;&gt;"",Assumptions!DF24,0)</f>
        <v>0</v>
      </c>
      <c r="DG41" s="482">
        <f t="shared" si="194"/>
        <v>0</v>
      </c>
      <c r="DH41" s="1260">
        <f>IF(Assumptions!DH24&lt;&gt;"",Assumptions!DH24,0)</f>
        <v>0</v>
      </c>
      <c r="DI41" s="482">
        <f>IF(Assumptions!DI24&lt;&gt;"",Assumptions!DI24,0)</f>
        <v>0</v>
      </c>
      <c r="DJ41" s="482">
        <f t="shared" si="195"/>
        <v>0</v>
      </c>
      <c r="DK41" s="1244">
        <f>IF(Assumptions!DK24&lt;&gt;"",Assumptions!DK24,0)</f>
        <v>0</v>
      </c>
      <c r="DL41" s="482">
        <f>IF(Assumptions!DL24&lt;&gt;"",Assumptions!DL24,0)</f>
        <v>0</v>
      </c>
      <c r="DM41" s="482">
        <f t="shared" si="196"/>
        <v>0</v>
      </c>
      <c r="DN41" s="1244">
        <f>IF(Assumptions!DN24&lt;&gt;"",Assumptions!DN24,0)</f>
        <v>0</v>
      </c>
      <c r="DO41" s="482">
        <f>IF(Assumptions!DO24&lt;&gt;"",Assumptions!DO24,0)</f>
        <v>0</v>
      </c>
      <c r="DP41" s="482">
        <f t="shared" si="197"/>
        <v>0</v>
      </c>
      <c r="DQ41" s="1244">
        <f>IF(Assumptions!DQ24&lt;&gt;"",Assumptions!DQ24,0)</f>
        <v>0</v>
      </c>
      <c r="DR41" s="482">
        <f>IF(Assumptions!DR24&lt;&gt;"",Assumptions!DR24,0)</f>
        <v>0</v>
      </c>
      <c r="DS41" s="482">
        <f t="shared" si="198"/>
        <v>0</v>
      </c>
      <c r="DT41" s="1244">
        <f>IF(Assumptions!DT24&lt;&gt;"",Assumptions!DT24,0)</f>
        <v>0</v>
      </c>
      <c r="DU41" s="482">
        <f>IF(Assumptions!DU24&lt;&gt;"",Assumptions!DU24,0)</f>
        <v>0</v>
      </c>
      <c r="DV41" s="482">
        <f t="shared" si="199"/>
        <v>0</v>
      </c>
      <c r="DW41" s="1244">
        <f>IF(Assumptions!DW24&lt;&gt;"",Assumptions!DW24,0)</f>
        <v>0</v>
      </c>
      <c r="DX41" s="482">
        <f>IF(Assumptions!DX24&lt;&gt;"",Assumptions!DX24,0)</f>
        <v>0</v>
      </c>
      <c r="DY41" s="482">
        <f t="shared" si="200"/>
        <v>0</v>
      </c>
      <c r="DZ41" s="1244">
        <f>IF(Assumptions!DZ24&lt;&gt;"",Assumptions!DZ24,0)</f>
        <v>0</v>
      </c>
      <c r="EA41" s="482">
        <f>IF(Assumptions!EA24&lt;&gt;"",Assumptions!EA24,0)</f>
        <v>0</v>
      </c>
      <c r="EB41" s="482">
        <f t="shared" si="201"/>
        <v>0</v>
      </c>
      <c r="EC41" s="1244">
        <f>IF(Assumptions!EC24&lt;&gt;"",Assumptions!EC24,0)</f>
        <v>0</v>
      </c>
      <c r="ED41" s="482">
        <f>IF(Assumptions!ED24&lt;&gt;"",Assumptions!ED24,0)</f>
        <v>0</v>
      </c>
      <c r="EE41" s="482">
        <f t="shared" si="202"/>
        <v>0</v>
      </c>
      <c r="EF41" s="1244">
        <f>IF(Assumptions!EF24&lt;&gt;"",Assumptions!EF24,0)</f>
        <v>0</v>
      </c>
      <c r="EG41" s="482">
        <f>IF(Assumptions!EG24&lt;&gt;"",Assumptions!EG24,0)</f>
        <v>0</v>
      </c>
      <c r="EH41" s="482">
        <f t="shared" si="203"/>
        <v>0</v>
      </c>
      <c r="EI41" s="1244">
        <f>IF(Assumptions!EI24&lt;&gt;"",Assumptions!EI24,0)</f>
        <v>0</v>
      </c>
      <c r="EJ41" s="482">
        <f>IF(Assumptions!EJ24&lt;&gt;"",Assumptions!EJ24,0)</f>
        <v>0</v>
      </c>
      <c r="EK41" s="482">
        <f t="shared" si="204"/>
        <v>0</v>
      </c>
      <c r="EL41" s="1244">
        <f>IF(Assumptions!EL24&lt;&gt;"",Assumptions!EL24,0)</f>
        <v>0</v>
      </c>
      <c r="EM41" s="482">
        <f>IF(Assumptions!EM24&lt;&gt;"",Assumptions!EM24,0)</f>
        <v>0</v>
      </c>
      <c r="EN41" s="482">
        <f t="shared" si="205"/>
        <v>0</v>
      </c>
      <c r="EO41" s="1244">
        <f>IF(Assumptions!EO24&lt;&gt;"",Assumptions!EO24,0)</f>
        <v>0</v>
      </c>
      <c r="EP41" s="482">
        <f>IF(Assumptions!EP24&lt;&gt;"",Assumptions!EP24,0)</f>
        <v>0</v>
      </c>
      <c r="EQ41" s="482">
        <f t="shared" si="206"/>
        <v>0</v>
      </c>
      <c r="ER41" s="1244">
        <f>IF(Assumptions!ER24&lt;&gt;"",Assumptions!ER24,0)</f>
        <v>0</v>
      </c>
      <c r="ES41" s="482">
        <f>IF(Assumptions!ES24&lt;&gt;"",Assumptions!ES24,0)</f>
        <v>0</v>
      </c>
      <c r="ET41" s="482">
        <f t="shared" si="207"/>
        <v>0</v>
      </c>
      <c r="EU41" s="1244">
        <f>IF(Assumptions!EU24&lt;&gt;"",Assumptions!EU24,0)</f>
        <v>0</v>
      </c>
      <c r="EV41" s="482">
        <f>IF(Assumptions!EV24&lt;&gt;"",Assumptions!EV24,0)</f>
        <v>0</v>
      </c>
      <c r="EW41" s="482">
        <f t="shared" si="208"/>
        <v>0</v>
      </c>
      <c r="EX41" s="1244">
        <f>IF(Assumptions!EX24&lt;&gt;"",Assumptions!EX24,0)</f>
        <v>0</v>
      </c>
      <c r="EY41" s="482">
        <f>IF(Assumptions!EY24&lt;&gt;"",Assumptions!EY24,0)</f>
        <v>0</v>
      </c>
      <c r="EZ41" s="482">
        <f t="shared" si="209"/>
        <v>0</v>
      </c>
      <c r="FA41" s="1244">
        <f>IF(Assumptions!FA24&lt;&gt;"",Assumptions!FA24,0)</f>
        <v>0</v>
      </c>
      <c r="FE41"/>
      <c r="FF41"/>
      <c r="FG41"/>
      <c r="FH41"/>
      <c r="FI41"/>
      <c r="FJ41"/>
      <c r="FK41" s="35"/>
    </row>
    <row r="42" spans="2:167" s="236" customFormat="1" ht="13.35" customHeight="1">
      <c r="B42" s="242" t="s">
        <v>815</v>
      </c>
      <c r="C42" s="242" t="s">
        <v>496</v>
      </c>
      <c r="D42" s="243"/>
      <c r="E42" s="533">
        <f>SUM(E33:E34)</f>
        <v>0</v>
      </c>
      <c r="F42" s="509">
        <f t="shared" si="160"/>
        <v>0</v>
      </c>
      <c r="G42" s="533">
        <f>SUM(G33:G34)</f>
        <v>0</v>
      </c>
      <c r="H42" s="533">
        <f>SUM(H33:H34)</f>
        <v>0</v>
      </c>
      <c r="I42" s="509">
        <f t="shared" si="161"/>
        <v>0</v>
      </c>
      <c r="J42" s="533">
        <f>SUM(J33:J34)</f>
        <v>0</v>
      </c>
      <c r="K42" s="533">
        <f>SUM(K33:K34)</f>
        <v>0</v>
      </c>
      <c r="L42" s="509">
        <f t="shared" si="162"/>
        <v>0</v>
      </c>
      <c r="M42" s="533">
        <f>SUM(M33:M34)</f>
        <v>0</v>
      </c>
      <c r="N42" s="533">
        <f>SUM(N33:N34)</f>
        <v>0</v>
      </c>
      <c r="O42" s="509">
        <f t="shared" si="163"/>
        <v>0</v>
      </c>
      <c r="P42" s="533">
        <f>SUM(P33:P34)</f>
        <v>0</v>
      </c>
      <c r="Q42" s="533">
        <f>SUM(Q33:Q34)</f>
        <v>0</v>
      </c>
      <c r="R42" s="509">
        <f t="shared" si="164"/>
        <v>0</v>
      </c>
      <c r="S42" s="533">
        <f>SUM(S33:S34)</f>
        <v>0</v>
      </c>
      <c r="T42" s="533">
        <f>SUM(T33:T34)</f>
        <v>0</v>
      </c>
      <c r="U42" s="509">
        <f t="shared" si="165"/>
        <v>0</v>
      </c>
      <c r="V42" s="533">
        <f>SUM(V33:V34)</f>
        <v>0</v>
      </c>
      <c r="W42" s="533">
        <f>SUM(W33:W34)</f>
        <v>0</v>
      </c>
      <c r="X42" s="509">
        <f t="shared" si="166"/>
        <v>0</v>
      </c>
      <c r="Y42" s="533">
        <f>SUM(Y33:Y34)</f>
        <v>0</v>
      </c>
      <c r="Z42" s="533">
        <f>SUM(Z33:Z34)</f>
        <v>0</v>
      </c>
      <c r="AA42" s="509">
        <f t="shared" si="167"/>
        <v>0</v>
      </c>
      <c r="AB42" s="533">
        <f>SUM(AB33:AB34)</f>
        <v>0</v>
      </c>
      <c r="AC42" s="533">
        <f>SUM(AC33:AC34)</f>
        <v>0</v>
      </c>
      <c r="AD42" s="509">
        <f t="shared" si="168"/>
        <v>0</v>
      </c>
      <c r="AE42" s="533">
        <f>SUM(AE33:AE34)</f>
        <v>0</v>
      </c>
      <c r="AF42" s="533">
        <f>SUM(AF33:AF34)</f>
        <v>0</v>
      </c>
      <c r="AG42" s="509">
        <f t="shared" si="169"/>
        <v>0</v>
      </c>
      <c r="AH42" s="533">
        <f>SUM(AH33:AH34)</f>
        <v>0</v>
      </c>
      <c r="AI42" s="533">
        <f>SUM(AI33:AI34)</f>
        <v>34.213999999999999</v>
      </c>
      <c r="AJ42" s="509">
        <f t="shared" si="170"/>
        <v>34.756000000000014</v>
      </c>
      <c r="AK42" s="533">
        <f>SUM(AK33:AK34)</f>
        <v>68.970000000000013</v>
      </c>
      <c r="AL42" s="533">
        <f>SUM(AL33:AL34)</f>
        <v>37.168999999999997</v>
      </c>
      <c r="AM42" s="509">
        <f t="shared" si="171"/>
        <v>36.716000000000008</v>
      </c>
      <c r="AN42" s="533">
        <f>SUM(AN33:AN34)</f>
        <v>73.885000000000005</v>
      </c>
      <c r="AO42" s="533">
        <f>SUM(AO33:AO34)</f>
        <v>33.856999999999999</v>
      </c>
      <c r="AP42" s="509">
        <f t="shared" si="172"/>
        <v>39.066000000000003</v>
      </c>
      <c r="AQ42" s="533">
        <f>SUM(AQ33:AQ34)</f>
        <v>72.923000000000002</v>
      </c>
      <c r="AR42" s="533">
        <f>SUM(AR33:AR34)</f>
        <v>43.521000000000001</v>
      </c>
      <c r="AS42" s="509">
        <f t="shared" si="173"/>
        <v>49.371999999999986</v>
      </c>
      <c r="AT42" s="533">
        <f>SUM(AT33:AT34)</f>
        <v>92.892999999999986</v>
      </c>
      <c r="AU42" s="533">
        <f>SUM(AU33:AU34)</f>
        <v>63.036999999999999</v>
      </c>
      <c r="AV42" s="509">
        <f t="shared" si="174"/>
        <v>65.19</v>
      </c>
      <c r="AW42" s="533">
        <f>SUM(AW33:AW34)</f>
        <v>128.227</v>
      </c>
      <c r="AX42" s="533">
        <f>SUM(AX33:AX34)</f>
        <v>67.359000000000009</v>
      </c>
      <c r="AY42" s="509">
        <f t="shared" si="175"/>
        <v>78.982999999999976</v>
      </c>
      <c r="AZ42" s="533">
        <f>SUM(AZ33:AZ34)</f>
        <v>146.34199999999998</v>
      </c>
      <c r="BA42" s="533">
        <f>SUM(BA33:BA34)</f>
        <v>103.773</v>
      </c>
      <c r="BB42" s="509">
        <f t="shared" si="176"/>
        <v>118.46099999999998</v>
      </c>
      <c r="BC42" s="533">
        <f>SUM(BC33:BC34)</f>
        <v>222.23399999999998</v>
      </c>
      <c r="BD42" s="533">
        <f>SUM(BD33:BD34)</f>
        <v>120.29899999999999</v>
      </c>
      <c r="BE42" s="509">
        <f t="shared" si="177"/>
        <v>136.80600000000004</v>
      </c>
      <c r="BF42" s="533">
        <f>SUM(BF33:BF34)</f>
        <v>257.10500000000002</v>
      </c>
      <c r="BG42" s="533"/>
      <c r="BH42" s="509"/>
      <c r="BI42" s="533">
        <f>SUM(BI33:BI34)</f>
        <v>289.23199999999997</v>
      </c>
      <c r="BJ42" s="533">
        <f>SUM(BJ33:BJ34)</f>
        <v>139.208</v>
      </c>
      <c r="BK42" s="509">
        <f t="shared" si="178"/>
        <v>148.85799999999998</v>
      </c>
      <c r="BL42" s="533">
        <f>SUM(BL33:BL34)</f>
        <v>288.06599999999997</v>
      </c>
      <c r="BM42" s="533">
        <f>SUM(BM33:BM34)</f>
        <v>165.17200000000003</v>
      </c>
      <c r="BN42" s="509">
        <f t="shared" si="179"/>
        <v>186.52099999999996</v>
      </c>
      <c r="BO42" s="533">
        <f>SUM(BO33:BO34)</f>
        <v>351.69299999999998</v>
      </c>
      <c r="BP42" s="533">
        <f>SUM(BP33:BP34)</f>
        <v>228.54527476882589</v>
      </c>
      <c r="BQ42" s="509">
        <f t="shared" si="180"/>
        <v>230.44372523117414</v>
      </c>
      <c r="BR42" s="533">
        <f>SUM(BR33:BR34)</f>
        <v>458.98900000000003</v>
      </c>
      <c r="BS42" s="533">
        <f>SUM(BS33:BS34)</f>
        <v>264.93939571387568</v>
      </c>
      <c r="BT42" s="509">
        <f t="shared" si="181"/>
        <v>272.35689113529941</v>
      </c>
      <c r="BU42" s="533">
        <f>SUM(BU33:BU34)</f>
        <v>537.29628684917509</v>
      </c>
      <c r="BV42" s="533">
        <f>SUM(BV33:BV34)</f>
        <v>290.6989109551065</v>
      </c>
      <c r="BW42" s="509">
        <f t="shared" si="182"/>
        <v>292.8337446598689</v>
      </c>
      <c r="BX42" s="533">
        <f>SUM(BX33:BX34)</f>
        <v>583.5326556149754</v>
      </c>
      <c r="BY42" s="533">
        <f>SUM(BY33:BY34)</f>
        <v>370.43200701507334</v>
      </c>
      <c r="BZ42" s="509">
        <f t="shared" si="183"/>
        <v>314.07565392442206</v>
      </c>
      <c r="CA42" s="533">
        <f>SUM(CA33:CA34)</f>
        <v>684.50766093949539</v>
      </c>
      <c r="CB42" s="533">
        <f>SUM(CB33:CB34)</f>
        <v>336.53256818581059</v>
      </c>
      <c r="CC42" s="509">
        <f t="shared" si="184"/>
        <v>370.57414887490808</v>
      </c>
      <c r="CD42" s="533">
        <f>SUM(CD33:CD34)</f>
        <v>707.10671706071867</v>
      </c>
      <c r="CE42" s="533">
        <f>SUM(CE33:CE34)</f>
        <v>496.18546072280833</v>
      </c>
      <c r="CF42" s="509">
        <f t="shared" si="185"/>
        <v>419.41883570144148</v>
      </c>
      <c r="CG42" s="533">
        <f>SUM(CG33:CG34)</f>
        <v>915.60429642424981</v>
      </c>
      <c r="CH42" s="533">
        <f>SUM(CH33:CH34)</f>
        <v>375.80790545173983</v>
      </c>
      <c r="CI42" s="509">
        <f t="shared" si="186"/>
        <v>379.74600162441601</v>
      </c>
      <c r="CJ42" s="533">
        <f>SUM(CJ33:CJ34)</f>
        <v>755.55390707615584</v>
      </c>
      <c r="CK42" s="533">
        <f>SUM(CK33:CK34)</f>
        <v>378.78012664803106</v>
      </c>
      <c r="CL42" s="509">
        <f t="shared" si="187"/>
        <v>346.74922347682224</v>
      </c>
      <c r="CM42" s="533">
        <f>SUM(CM33:CM34)</f>
        <v>725.52935012485329</v>
      </c>
      <c r="CN42" s="533">
        <f>SUM(CN33:CN34)</f>
        <v>355.71587042604898</v>
      </c>
      <c r="CO42" s="509">
        <f t="shared" si="188"/>
        <v>417.50151057402564</v>
      </c>
      <c r="CP42" s="533">
        <f>SUM(CP33:CP34)</f>
        <v>773.21738100007462</v>
      </c>
      <c r="CQ42" s="533">
        <f>SUM(CQ33:CQ34)</f>
        <v>438.44397730967518</v>
      </c>
      <c r="CR42" s="509">
        <f t="shared" si="189"/>
        <v>487.50586019032477</v>
      </c>
      <c r="CS42" s="533">
        <f>SUM(CS33:CS34)</f>
        <v>925.94983749999994</v>
      </c>
      <c r="CT42" s="533">
        <f>SUM(CT33:CT34)</f>
        <v>558.21851183171577</v>
      </c>
      <c r="CU42" s="509">
        <f t="shared" si="190"/>
        <v>571.12945808650886</v>
      </c>
      <c r="CV42" s="533">
        <f>SUM(CV33:CV34)</f>
        <v>1129.3479699182246</v>
      </c>
      <c r="CW42" s="533">
        <f>SUM(CW33:CW34)</f>
        <v>609.39019903206474</v>
      </c>
      <c r="CX42" s="509">
        <f t="shared" si="191"/>
        <v>644.29372335415439</v>
      </c>
      <c r="CY42" s="533">
        <f>SUM(CY33:CY34)</f>
        <v>1253.6839223862191</v>
      </c>
      <c r="CZ42" s="533">
        <f>SUM(CZ33:CZ34)</f>
        <v>639.5801137056186</v>
      </c>
      <c r="DA42" s="509">
        <f t="shared" si="192"/>
        <v>704.72893173547084</v>
      </c>
      <c r="DB42" s="533">
        <f>SUM(DB33:DB34)</f>
        <v>1344.3090454410894</v>
      </c>
      <c r="DC42" s="533">
        <f>SUM(DC33:DC34)</f>
        <v>702.83750527281177</v>
      </c>
      <c r="DD42" s="509">
        <f t="shared" si="193"/>
        <v>721.42048173020407</v>
      </c>
      <c r="DE42" s="533">
        <f>SUM(DE33:DE34)</f>
        <v>1424.2579870030158</v>
      </c>
      <c r="DF42" s="533">
        <f>SUM(DF33:DF34)</f>
        <v>753.06031980134276</v>
      </c>
      <c r="DG42" s="509">
        <f t="shared" si="194"/>
        <v>573.70873914614913</v>
      </c>
      <c r="DH42" s="1261">
        <f>SUM(DH33:DH34)</f>
        <v>1326.7690589474919</v>
      </c>
      <c r="DI42" s="534">
        <f>SUM(DI33:DI34)</f>
        <v>745.69999999999993</v>
      </c>
      <c r="DJ42" s="482">
        <f t="shared" si="195"/>
        <v>755.49999999999989</v>
      </c>
      <c r="DK42" s="1262">
        <f>SUM(DK33:DK34)</f>
        <v>1501.1999999999998</v>
      </c>
      <c r="DL42" s="534">
        <f>SUM(DL33:DL34)</f>
        <v>821.5</v>
      </c>
      <c r="DM42" s="482">
        <f t="shared" si="196"/>
        <v>829.2</v>
      </c>
      <c r="DN42" s="1262">
        <f>SUM(DN33:DN34)</f>
        <v>1650.7</v>
      </c>
      <c r="DO42" s="534">
        <f>SUM(DO33:DO34)</f>
        <v>891.60000000000014</v>
      </c>
      <c r="DP42" s="482">
        <f t="shared" si="197"/>
        <v>1061</v>
      </c>
      <c r="DQ42" s="1262">
        <f>SUM(DQ33:DQ34)</f>
        <v>1952.6000000000001</v>
      </c>
      <c r="DR42" s="534">
        <f>SUM(DR33:DR34)</f>
        <v>1107.9000000000001</v>
      </c>
      <c r="DS42" s="482">
        <f t="shared" si="198"/>
        <v>1146.7000000000003</v>
      </c>
      <c r="DT42" s="1262">
        <f>SUM(DT33:DT34)</f>
        <v>2254.6000000000004</v>
      </c>
      <c r="DU42" s="534">
        <f>SUM(DU33:DU34)</f>
        <v>1179.2900000000002</v>
      </c>
      <c r="DV42" s="482">
        <f t="shared" si="199"/>
        <v>1175.5099999999995</v>
      </c>
      <c r="DW42" s="1262">
        <f>SUM(DW33:DW34)</f>
        <v>2354.7999999999997</v>
      </c>
      <c r="DX42" s="534">
        <f>SUM(DX33:DX34)</f>
        <v>1175.6000000000001</v>
      </c>
      <c r="DY42" s="482">
        <f t="shared" si="200"/>
        <v>1345.8094108342045</v>
      </c>
      <c r="DZ42" s="1262">
        <f>SUM(DZ33:DZ34)</f>
        <v>2521.4094108342047</v>
      </c>
      <c r="EA42" s="534">
        <f>SUM(EA33:EA34)</f>
        <v>1394.8799500115169</v>
      </c>
      <c r="EB42" s="482">
        <f t="shared" si="201"/>
        <v>1437.7685080393258</v>
      </c>
      <c r="EC42" s="1262">
        <f>SUM(EC33:EC34)</f>
        <v>2832.6484580508427</v>
      </c>
      <c r="ED42" s="534">
        <f>SUM(ED33:ED34)</f>
        <v>1510.5262658248687</v>
      </c>
      <c r="EE42" s="482">
        <f t="shared" si="202"/>
        <v>1557.1973140733351</v>
      </c>
      <c r="EF42" s="1262">
        <f>SUM(EF33:EF34)</f>
        <v>3067.7235798982038</v>
      </c>
      <c r="EG42" s="534">
        <f>SUM(EG33:EG34)</f>
        <v>1646.543854335893</v>
      </c>
      <c r="EH42" s="482">
        <f t="shared" si="203"/>
        <v>1697.4152969267213</v>
      </c>
      <c r="EI42" s="1262">
        <f>SUM(EI33:EI34)</f>
        <v>3343.9591512626143</v>
      </c>
      <c r="EJ42" s="534">
        <f>SUM(EJ33:EJ34)</f>
        <v>1794.613930524836</v>
      </c>
      <c r="EK42" s="482">
        <f t="shared" si="204"/>
        <v>1850.0638029488389</v>
      </c>
      <c r="EL42" s="1262">
        <f>SUM(EL33:EL34)</f>
        <v>3644.6777334736748</v>
      </c>
      <c r="EM42" s="534">
        <f>SUM(EM33:EM34)</f>
        <v>1956.933856498443</v>
      </c>
      <c r="EN42" s="482">
        <f t="shared" si="205"/>
        <v>2017.3742174406063</v>
      </c>
      <c r="EO42" s="1262">
        <f>SUM(EO33:EO34)</f>
        <v>3974.3080739390493</v>
      </c>
      <c r="EP42" s="534">
        <f>SUM(EP33:EP34)</f>
        <v>2134.7495605843401</v>
      </c>
      <c r="EQ42" s="482">
        <f t="shared" si="206"/>
        <v>2200.6295540112983</v>
      </c>
      <c r="ER42" s="1262">
        <f>SUM(ER33:ER34)</f>
        <v>4335.3791145956384</v>
      </c>
      <c r="ES42" s="534">
        <f>SUM(ES33:ES34)</f>
        <v>2328.6493499906182</v>
      </c>
      <c r="ET42" s="482">
        <f t="shared" si="207"/>
        <v>2400.4585428260025</v>
      </c>
      <c r="EU42" s="1262">
        <f>SUM(EU33:EU34)</f>
        <v>4729.1078928166207</v>
      </c>
      <c r="EV42" s="534">
        <f>SUM(EV33:EV34)</f>
        <v>2540.0900298548017</v>
      </c>
      <c r="EW42" s="482">
        <f t="shared" si="208"/>
        <v>2618.3620500453703</v>
      </c>
      <c r="EX42" s="1262">
        <f>SUM(EX33:EX34)</f>
        <v>5158.4520799001721</v>
      </c>
      <c r="EY42" s="534">
        <f>SUM(EY33:EY34)</f>
        <v>2770.6617152200183</v>
      </c>
      <c r="EZ42" s="482">
        <f t="shared" si="209"/>
        <v>2855.9782172277387</v>
      </c>
      <c r="FA42" s="1262">
        <f>SUM(FA33:FA34)</f>
        <v>5626.639932447757</v>
      </c>
      <c r="FE42"/>
      <c r="FF42"/>
      <c r="FG42"/>
      <c r="FH42"/>
      <c r="FI42"/>
      <c r="FJ42"/>
      <c r="FK42" s="35"/>
    </row>
    <row r="43" spans="2:167" s="236" customFormat="1" ht="13.35" customHeight="1" thickBot="1">
      <c r="B43" s="242" t="s">
        <v>675</v>
      </c>
      <c r="C43" s="242" t="s">
        <v>496</v>
      </c>
      <c r="D43" s="243"/>
      <c r="E43" s="534">
        <f>+SUM(E44:E53)</f>
        <v>0</v>
      </c>
      <c r="F43" s="482">
        <f t="shared" si="160"/>
        <v>0</v>
      </c>
      <c r="G43" s="534">
        <f>+SUM(G44:G53)</f>
        <v>0</v>
      </c>
      <c r="H43" s="534">
        <f>+SUM(H44:H53)</f>
        <v>0</v>
      </c>
      <c r="I43" s="482">
        <f t="shared" si="161"/>
        <v>0</v>
      </c>
      <c r="J43" s="534">
        <f>+SUM(J44:J53)</f>
        <v>0</v>
      </c>
      <c r="K43" s="534">
        <f>+SUM(K44:K53)</f>
        <v>0</v>
      </c>
      <c r="L43" s="482">
        <f t="shared" si="162"/>
        <v>0</v>
      </c>
      <c r="M43" s="534">
        <f>+SUM(M44:M53)</f>
        <v>0</v>
      </c>
      <c r="N43" s="534">
        <f>+SUM(N44:N53)</f>
        <v>0</v>
      </c>
      <c r="O43" s="482">
        <f t="shared" si="163"/>
        <v>0</v>
      </c>
      <c r="P43" s="534">
        <f>+SUM(P44:P53)</f>
        <v>0</v>
      </c>
      <c r="Q43" s="534">
        <f>+SUM(Q44:Q53)</f>
        <v>0</v>
      </c>
      <c r="R43" s="482">
        <f t="shared" si="164"/>
        <v>0</v>
      </c>
      <c r="S43" s="534">
        <f>+SUM(S44:S53)</f>
        <v>0</v>
      </c>
      <c r="T43" s="534">
        <f>+SUM(T44:T53)</f>
        <v>0</v>
      </c>
      <c r="U43" s="482">
        <f t="shared" si="165"/>
        <v>0</v>
      </c>
      <c r="V43" s="534">
        <f>+SUM(V44:V53)</f>
        <v>0</v>
      </c>
      <c r="W43" s="534">
        <f>+SUM(W44:W53)</f>
        <v>0</v>
      </c>
      <c r="X43" s="482">
        <f t="shared" si="166"/>
        <v>0</v>
      </c>
      <c r="Y43" s="534">
        <f>+SUM(Y44:Y53)</f>
        <v>0</v>
      </c>
      <c r="Z43" s="534">
        <f>+SUM(Z44:Z53)</f>
        <v>0</v>
      </c>
      <c r="AA43" s="482">
        <f t="shared" si="167"/>
        <v>0</v>
      </c>
      <c r="AB43" s="534">
        <f>+SUM(AB44:AB53)</f>
        <v>0</v>
      </c>
      <c r="AC43" s="534">
        <f>+SUM(AC44:AC53)</f>
        <v>0</v>
      </c>
      <c r="AD43" s="482">
        <f t="shared" si="168"/>
        <v>0</v>
      </c>
      <c r="AE43" s="534">
        <f>+SUM(AE44:AE53)</f>
        <v>0</v>
      </c>
      <c r="AF43" s="534">
        <f>+SUM(AF44:AF53)</f>
        <v>0</v>
      </c>
      <c r="AG43" s="482">
        <f t="shared" si="169"/>
        <v>0</v>
      </c>
      <c r="AH43" s="534">
        <f>+SUM(AH44:AH53)</f>
        <v>0</v>
      </c>
      <c r="AI43" s="534">
        <f>+SUM(AI44:AI53)</f>
        <v>28.083000000000002</v>
      </c>
      <c r="AJ43" s="482">
        <f t="shared" si="170"/>
        <v>26.634000000000011</v>
      </c>
      <c r="AK43" s="534">
        <f>+SUM(AK44:AK53)</f>
        <v>54.717000000000013</v>
      </c>
      <c r="AL43" s="534">
        <f>+SUM(AL44:AL53)</f>
        <v>30.038999999999998</v>
      </c>
      <c r="AM43" s="482">
        <f t="shared" si="171"/>
        <v>28.54300000000001</v>
      </c>
      <c r="AN43" s="534">
        <f>+SUM(AN44:AN53)</f>
        <v>58.582000000000008</v>
      </c>
      <c r="AO43" s="534">
        <f>+SUM(AO44:AO53)</f>
        <v>26.994000000000003</v>
      </c>
      <c r="AP43" s="482">
        <f t="shared" si="172"/>
        <v>29.367999999999991</v>
      </c>
      <c r="AQ43" s="534">
        <f>+SUM(AQ44:AQ53)</f>
        <v>56.361999999999995</v>
      </c>
      <c r="AR43" s="534">
        <f>+SUM(AR44:AR53)</f>
        <v>35.007000000000005</v>
      </c>
      <c r="AS43" s="482">
        <f t="shared" si="173"/>
        <v>38.017999999999986</v>
      </c>
      <c r="AT43" s="534">
        <f>+SUM(AT44:AT53)</f>
        <v>73.024999999999991</v>
      </c>
      <c r="AU43" s="534">
        <f>+SUM(AU44:AU53)</f>
        <v>52.573999999999998</v>
      </c>
      <c r="AV43" s="482">
        <f t="shared" si="174"/>
        <v>48.866</v>
      </c>
      <c r="AW43" s="534">
        <f>+SUM(AW44:AW53)</f>
        <v>101.44</v>
      </c>
      <c r="AX43" s="534">
        <f>+SUM(AX44:AX53)</f>
        <v>49.789000000000016</v>
      </c>
      <c r="AY43" s="482">
        <f t="shared" si="175"/>
        <v>57.761999999999972</v>
      </c>
      <c r="AZ43" s="534">
        <f>+SUM(AZ44:AZ53)</f>
        <v>107.55099999999999</v>
      </c>
      <c r="BA43" s="534">
        <f>+SUM(BA44:BA53)</f>
        <v>78.462999999999994</v>
      </c>
      <c r="BB43" s="482">
        <f t="shared" si="176"/>
        <v>93.585000000000008</v>
      </c>
      <c r="BC43" s="534">
        <f>+SUM(BC44:BC53)</f>
        <v>172.048</v>
      </c>
      <c r="BD43" s="534">
        <f>+SUM(BD44:BD53)</f>
        <v>91.975500000000011</v>
      </c>
      <c r="BE43" s="482">
        <f t="shared" si="177"/>
        <v>104.70249999999999</v>
      </c>
      <c r="BF43" s="534">
        <f>+SUM(BF44:BF53)</f>
        <v>196.678</v>
      </c>
      <c r="BG43" s="534"/>
      <c r="BH43" s="482"/>
      <c r="BI43" s="534">
        <f>+SUM(BI44:BI53)</f>
        <v>200.68599999999998</v>
      </c>
      <c r="BJ43" s="534">
        <f>+SUM(BJ44:BJ53)</f>
        <v>98.804000000000002</v>
      </c>
      <c r="BK43" s="482">
        <f t="shared" si="178"/>
        <v>131.74699999999999</v>
      </c>
      <c r="BL43" s="534">
        <f>+SUM(BL44:BL53)</f>
        <v>230.55099999999999</v>
      </c>
      <c r="BM43" s="534">
        <f>+SUM(BM44:BM53)</f>
        <v>119.77820000000003</v>
      </c>
      <c r="BN43" s="482">
        <f t="shared" si="179"/>
        <v>136.3698</v>
      </c>
      <c r="BO43" s="534">
        <f>+SUM(BO44:BO53)</f>
        <v>256.14800000000002</v>
      </c>
      <c r="BP43" s="534">
        <f>+SUM(BP44:BP53)</f>
        <v>158.4864747688259</v>
      </c>
      <c r="BQ43" s="482">
        <f t="shared" si="180"/>
        <v>169.20152523117414</v>
      </c>
      <c r="BR43" s="534">
        <f>+SUM(BR44:BR53)</f>
        <v>327.68800000000005</v>
      </c>
      <c r="BS43" s="534">
        <f>+SUM(BS44:BS53)</f>
        <v>182.66011571387565</v>
      </c>
      <c r="BT43" s="482">
        <f t="shared" si="181"/>
        <v>181.5371711352995</v>
      </c>
      <c r="BU43" s="534">
        <f>+SUM(BU44:BU53)</f>
        <v>364.19728684917516</v>
      </c>
      <c r="BV43" s="534">
        <f>+SUM(BV44:BV53)</f>
        <v>199.56647095510647</v>
      </c>
      <c r="BW43" s="482">
        <f t="shared" si="182"/>
        <v>193.89518465986896</v>
      </c>
      <c r="BX43" s="534">
        <f>+SUM(BX44:BX53)</f>
        <v>393.46165561497543</v>
      </c>
      <c r="BY43" s="534">
        <f>+SUM(BY44:BY53)</f>
        <v>259.1140070150733</v>
      </c>
      <c r="BZ43" s="482">
        <f t="shared" si="183"/>
        <v>218.03065392442204</v>
      </c>
      <c r="CA43" s="534">
        <f>+SUM(CA44:CA53)</f>
        <v>477.14466093949534</v>
      </c>
      <c r="CB43" s="534">
        <f>+SUM(CB44:CB53)</f>
        <v>220.2161681858106</v>
      </c>
      <c r="CC43" s="482">
        <f t="shared" si="184"/>
        <v>242.04454887490806</v>
      </c>
      <c r="CD43" s="534">
        <f>+SUM(CD44:CD53)</f>
        <v>462.26071706071866</v>
      </c>
      <c r="CE43" s="534">
        <f>+SUM(CE44:CE53)</f>
        <v>367.4267807228083</v>
      </c>
      <c r="CF43" s="482">
        <f t="shared" si="185"/>
        <v>276.97451570144153</v>
      </c>
      <c r="CG43" s="534">
        <f>+SUM(CG44:CG53)</f>
        <v>644.40129642424984</v>
      </c>
      <c r="CH43" s="534">
        <f>+SUM(CH44:CH53)</f>
        <v>253.46922545173985</v>
      </c>
      <c r="CI43" s="482">
        <f t="shared" si="186"/>
        <v>260.84468162441601</v>
      </c>
      <c r="CJ43" s="534">
        <f>+SUM(CJ44:CJ53)</f>
        <v>514.31390707615583</v>
      </c>
      <c r="CK43" s="534">
        <f>+SUM(CK44:CK53)</f>
        <v>256.96644664803102</v>
      </c>
      <c r="CL43" s="482">
        <f t="shared" si="187"/>
        <v>264.94290347682227</v>
      </c>
      <c r="CM43" s="534">
        <f>+SUM(CM44:CM53)</f>
        <v>521.90935012485329</v>
      </c>
      <c r="CN43" s="534">
        <f>+SUM(CN44:CN53)</f>
        <v>291.80855042604901</v>
      </c>
      <c r="CO43" s="482">
        <f t="shared" si="188"/>
        <v>307.34783057402569</v>
      </c>
      <c r="CP43" s="534">
        <f>+SUM(CP44:CP53)</f>
        <v>599.1563810000747</v>
      </c>
      <c r="CQ43" s="534">
        <f>+SUM(CQ44:CQ53)</f>
        <v>322.72757730967515</v>
      </c>
      <c r="CR43" s="482">
        <f t="shared" si="189"/>
        <v>372.41826019032482</v>
      </c>
      <c r="CS43" s="534">
        <f>+SUM(CS44:CS53)</f>
        <v>695.14583749999997</v>
      </c>
      <c r="CT43" s="534">
        <f>+SUM(CT44:CT53)</f>
        <v>411.95311183171577</v>
      </c>
      <c r="CU43" s="482">
        <f t="shared" si="190"/>
        <v>430.22185808650886</v>
      </c>
      <c r="CV43" s="534">
        <f>+SUM(CV44:CV53)</f>
        <v>842.17496991822463</v>
      </c>
      <c r="CW43" s="534">
        <f>+SUM(CW44:CW53)</f>
        <v>437.55279903206474</v>
      </c>
      <c r="CX43" s="482">
        <f t="shared" si="191"/>
        <v>473.4694865541544</v>
      </c>
      <c r="CY43" s="534">
        <f>+SUM(CY44:CY53)</f>
        <v>911.02228558621914</v>
      </c>
      <c r="CZ43" s="534">
        <f>+SUM(CZ44:CZ53)</f>
        <v>463.4225845056186</v>
      </c>
      <c r="DA43" s="482">
        <f t="shared" si="192"/>
        <v>497.68646093547102</v>
      </c>
      <c r="DB43" s="534">
        <f>+SUM(DB44:DB53)</f>
        <v>961.10904544108962</v>
      </c>
      <c r="DC43" s="534">
        <f>+SUM(DC44:DC53)</f>
        <v>508.0298552728118</v>
      </c>
      <c r="DD43" s="482">
        <f t="shared" si="193"/>
        <v>517.72813173020404</v>
      </c>
      <c r="DE43" s="534">
        <f>+SUM(DE44:DE53)</f>
        <v>1025.7579870030158</v>
      </c>
      <c r="DF43" s="534">
        <f>+SUM(DF44:DF53)</f>
        <v>535.03625189089496</v>
      </c>
      <c r="DG43" s="482">
        <f t="shared" si="194"/>
        <v>505.66381824707298</v>
      </c>
      <c r="DH43" s="1262">
        <f>+SUM(DH44:DH53)</f>
        <v>1040.7000701379679</v>
      </c>
      <c r="DI43" s="534">
        <f>+SUM(DI44:DI53)</f>
        <v>528.51899999999989</v>
      </c>
      <c r="DJ43" s="482">
        <f t="shared" si="195"/>
        <v>558.58100000000002</v>
      </c>
      <c r="DK43" s="1262">
        <f>+SUM(DK44:DK53)</f>
        <v>1087.0999999999999</v>
      </c>
      <c r="DL43" s="534">
        <f>+SUM(DL44:DL53)</f>
        <v>557.1</v>
      </c>
      <c r="DM43" s="482">
        <f t="shared" si="196"/>
        <v>613.9</v>
      </c>
      <c r="DN43" s="1262">
        <f>+SUM(DN44:DN53)</f>
        <v>1171</v>
      </c>
      <c r="DO43" s="534">
        <f>+SUM(DO44:DO53)</f>
        <v>644.60000000000014</v>
      </c>
      <c r="DP43" s="482">
        <f t="shared" si="197"/>
        <v>776</v>
      </c>
      <c r="DQ43" s="1262">
        <f>+SUM(DQ44:DQ53)</f>
        <v>1420.6000000000001</v>
      </c>
      <c r="DR43" s="534">
        <f>+SUM(DR44:DR53)</f>
        <v>783.2</v>
      </c>
      <c r="DS43" s="482">
        <f t="shared" si="198"/>
        <v>832.40000000000032</v>
      </c>
      <c r="DT43" s="1262">
        <f>+SUM(DT44:DT53)</f>
        <v>1615.6000000000004</v>
      </c>
      <c r="DU43" s="534">
        <f>+SUM(DU44:DU53)</f>
        <v>841.3900000000001</v>
      </c>
      <c r="DV43" s="482">
        <f t="shared" si="199"/>
        <v>857.30999999999972</v>
      </c>
      <c r="DW43" s="1262">
        <f>+SUM(DW44:DW53)</f>
        <v>1698.6999999999998</v>
      </c>
      <c r="DX43" s="534">
        <f>+SUM(DX44:DX53)</f>
        <v>860.8</v>
      </c>
      <c r="DY43" s="482">
        <f t="shared" si="200"/>
        <v>992.23660623244859</v>
      </c>
      <c r="DZ43" s="1262">
        <f>+SUM(DZ44:DZ53)</f>
        <v>1853.0366062324485</v>
      </c>
      <c r="EA43" s="534">
        <f>+SUM(EA44:EA53)</f>
        <v>1020.0897868535556</v>
      </c>
      <c r="EB43" s="482">
        <f t="shared" si="201"/>
        <v>1051.6420394682298</v>
      </c>
      <c r="EC43" s="1262">
        <f>+SUM(EC44:EC53)</f>
        <v>2071.7318263217853</v>
      </c>
      <c r="ED43" s="534">
        <f>+SUM(ED44:ED53)</f>
        <v>1103.6298370251141</v>
      </c>
      <c r="EE43" s="482">
        <f t="shared" si="202"/>
        <v>1137.7682232877216</v>
      </c>
      <c r="EF43" s="1262">
        <f>+SUM(EF44:EF53)</f>
        <v>2241.3980603128357</v>
      </c>
      <c r="EG43" s="534">
        <f>+SUM(EG44:EG53)</f>
        <v>1196.3782100184289</v>
      </c>
      <c r="EH43" s="482">
        <f t="shared" si="203"/>
        <v>1233.3855652743077</v>
      </c>
      <c r="EI43" s="1262">
        <f>+SUM(EI44:EI53)</f>
        <v>2429.7637752927367</v>
      </c>
      <c r="EJ43" s="534">
        <f>+SUM(EJ44:EJ53)</f>
        <v>1299.570773639181</v>
      </c>
      <c r="EK43" s="482">
        <f t="shared" si="204"/>
        <v>1339.7701661870287</v>
      </c>
      <c r="EL43" s="1262">
        <f>+SUM(EL44:EL53)</f>
        <v>2639.3409398262097</v>
      </c>
      <c r="EM43" s="534">
        <f>+SUM(EM44:EM53)</f>
        <v>1414.5782200442322</v>
      </c>
      <c r="EN43" s="482">
        <f t="shared" si="205"/>
        <v>1458.3351175604444</v>
      </c>
      <c r="EO43" s="1262">
        <f>+SUM(EO44:EO53)</f>
        <v>2872.9133376046766</v>
      </c>
      <c r="EP43" s="534">
        <f>+SUM(EP44:EP53)</f>
        <v>1541.8902598482132</v>
      </c>
      <c r="EQ43" s="482">
        <f t="shared" si="206"/>
        <v>1589.5852781408844</v>
      </c>
      <c r="ER43" s="1262">
        <f>+SUM(ER44:ER53)</f>
        <v>3131.4755379890976</v>
      </c>
      <c r="ES43" s="534">
        <f>+SUM(ES44:ES53)</f>
        <v>1680.6603832345527</v>
      </c>
      <c r="ET43" s="482">
        <f t="shared" si="207"/>
        <v>1732.647953173564</v>
      </c>
      <c r="EU43" s="1262">
        <f>+SUM(EU44:EU53)</f>
        <v>3413.3083364081167</v>
      </c>
      <c r="EV43" s="534">
        <f>+SUM(EV44:EV53)</f>
        <v>1831.9198177256626</v>
      </c>
      <c r="EW43" s="482">
        <f t="shared" si="208"/>
        <v>1888.586268959185</v>
      </c>
      <c r="EX43" s="1262">
        <f>+SUM(EX44:EX53)</f>
        <v>3720.5060866848476</v>
      </c>
      <c r="EY43" s="534">
        <f>+SUM(EY44:EY53)</f>
        <v>1996.7926013209722</v>
      </c>
      <c r="EZ43" s="482">
        <f t="shared" si="209"/>
        <v>2058.5590331655121</v>
      </c>
      <c r="FA43" s="1262">
        <f>+SUM(FA44:FA53)</f>
        <v>4055.3516344864843</v>
      </c>
      <c r="FE43"/>
      <c r="FF43"/>
      <c r="FG43"/>
      <c r="FH43"/>
      <c r="FI43"/>
      <c r="FJ43"/>
      <c r="FK43" s="35"/>
    </row>
    <row r="44" spans="2:167" s="236" customFormat="1" ht="13.35" customHeight="1" outlineLevel="1">
      <c r="B44" s="242" t="s">
        <v>676</v>
      </c>
      <c r="C44" s="242" t="s">
        <v>496</v>
      </c>
      <c r="D44" s="243"/>
      <c r="E44" s="535"/>
      <c r="F44" s="482">
        <f t="shared" si="160"/>
        <v>0</v>
      </c>
      <c r="G44" s="536"/>
      <c r="H44" s="537"/>
      <c r="I44" s="482">
        <f t="shared" si="161"/>
        <v>0</v>
      </c>
      <c r="J44" s="536"/>
      <c r="K44" s="537"/>
      <c r="L44" s="482">
        <f t="shared" si="162"/>
        <v>0</v>
      </c>
      <c r="M44" s="536"/>
      <c r="N44" s="537"/>
      <c r="O44" s="482">
        <f t="shared" si="163"/>
        <v>0</v>
      </c>
      <c r="P44" s="536"/>
      <c r="Q44" s="537"/>
      <c r="R44" s="482">
        <f t="shared" si="164"/>
        <v>0</v>
      </c>
      <c r="S44" s="536"/>
      <c r="T44" s="537"/>
      <c r="U44" s="482">
        <f t="shared" si="165"/>
        <v>0</v>
      </c>
      <c r="V44" s="536"/>
      <c r="W44" s="537"/>
      <c r="X44" s="482">
        <f t="shared" si="166"/>
        <v>0</v>
      </c>
      <c r="Y44" s="536"/>
      <c r="Z44" s="537"/>
      <c r="AA44" s="482">
        <f t="shared" si="167"/>
        <v>0</v>
      </c>
      <c r="AB44" s="536"/>
      <c r="AC44" s="537"/>
      <c r="AD44" s="482">
        <f t="shared" si="168"/>
        <v>0</v>
      </c>
      <c r="AE44" s="536"/>
      <c r="AF44" s="537"/>
      <c r="AG44" s="482">
        <f t="shared" si="169"/>
        <v>0</v>
      </c>
      <c r="AH44" s="536"/>
      <c r="AI44" s="537"/>
      <c r="AJ44" s="482">
        <f t="shared" si="170"/>
        <v>0</v>
      </c>
      <c r="AK44" s="536"/>
      <c r="AL44" s="537"/>
      <c r="AM44" s="482">
        <f t="shared" si="171"/>
        <v>0</v>
      </c>
      <c r="AN44" s="536"/>
      <c r="AO44" s="537"/>
      <c r="AP44" s="482">
        <f t="shared" si="172"/>
        <v>0</v>
      </c>
      <c r="AQ44" s="536"/>
      <c r="AR44" s="537"/>
      <c r="AS44" s="482">
        <f t="shared" si="173"/>
        <v>0</v>
      </c>
      <c r="AT44" s="536"/>
      <c r="AU44" s="537"/>
      <c r="AV44" s="482">
        <f t="shared" si="174"/>
        <v>0</v>
      </c>
      <c r="AW44" s="536"/>
      <c r="AX44" s="538">
        <v>0</v>
      </c>
      <c r="AY44" s="482">
        <f t="shared" si="175"/>
        <v>0</v>
      </c>
      <c r="AZ44" s="539">
        <v>0</v>
      </c>
      <c r="BA44" s="538">
        <v>0</v>
      </c>
      <c r="BB44" s="482">
        <f t="shared" si="176"/>
        <v>0</v>
      </c>
      <c r="BC44" s="539">
        <v>0</v>
      </c>
      <c r="BD44" s="538">
        <v>0</v>
      </c>
      <c r="BE44" s="482">
        <f t="shared" si="177"/>
        <v>0</v>
      </c>
      <c r="BF44" s="539">
        <v>0</v>
      </c>
      <c r="BG44" s="538">
        <v>0</v>
      </c>
      <c r="BH44" s="482">
        <f t="shared" si="210"/>
        <v>0</v>
      </c>
      <c r="BI44" s="539">
        <v>0</v>
      </c>
      <c r="BJ44" s="538">
        <v>0</v>
      </c>
      <c r="BK44" s="482">
        <f t="shared" si="178"/>
        <v>0</v>
      </c>
      <c r="BL44" s="539">
        <v>0</v>
      </c>
      <c r="BM44" s="538">
        <v>0</v>
      </c>
      <c r="BN44" s="482">
        <f t="shared" si="179"/>
        <v>0</v>
      </c>
      <c r="BO44" s="539">
        <v>0</v>
      </c>
      <c r="BP44" s="538">
        <v>0</v>
      </c>
      <c r="BQ44" s="482">
        <f t="shared" si="180"/>
        <v>0</v>
      </c>
      <c r="BR44" s="539">
        <v>0</v>
      </c>
      <c r="BS44" s="538">
        <v>0</v>
      </c>
      <c r="BT44" s="482">
        <f t="shared" si="181"/>
        <v>0</v>
      </c>
      <c r="BU44" s="539">
        <v>0</v>
      </c>
      <c r="BV44" s="538">
        <v>0</v>
      </c>
      <c r="BW44" s="482">
        <f t="shared" si="182"/>
        <v>0</v>
      </c>
      <c r="BX44" s="539">
        <v>0</v>
      </c>
      <c r="BY44" s="538">
        <v>0</v>
      </c>
      <c r="BZ44" s="482">
        <f t="shared" si="183"/>
        <v>0</v>
      </c>
      <c r="CA44" s="539">
        <v>0</v>
      </c>
      <c r="CB44" s="538">
        <v>0</v>
      </c>
      <c r="CC44" s="482">
        <f t="shared" si="184"/>
        <v>0</v>
      </c>
      <c r="CD44" s="539">
        <v>0</v>
      </c>
      <c r="CE44" s="538">
        <v>0</v>
      </c>
      <c r="CF44" s="482">
        <f t="shared" si="185"/>
        <v>0</v>
      </c>
      <c r="CG44" s="539">
        <v>0</v>
      </c>
      <c r="CH44" s="538">
        <v>0</v>
      </c>
      <c r="CI44" s="482">
        <f t="shared" si="186"/>
        <v>0</v>
      </c>
      <c r="CJ44" s="539">
        <v>0</v>
      </c>
      <c r="CK44" s="538">
        <v>0</v>
      </c>
      <c r="CL44" s="482">
        <f t="shared" si="187"/>
        <v>0</v>
      </c>
      <c r="CM44" s="539">
        <v>0</v>
      </c>
      <c r="CN44" s="538">
        <v>0</v>
      </c>
      <c r="CO44" s="482">
        <f t="shared" si="188"/>
        <v>0</v>
      </c>
      <c r="CP44" s="539">
        <v>0</v>
      </c>
      <c r="CQ44" s="538">
        <v>0</v>
      </c>
      <c r="CR44" s="482">
        <f t="shared" si="189"/>
        <v>0</v>
      </c>
      <c r="CS44" s="539">
        <v>0</v>
      </c>
      <c r="CT44" s="538">
        <v>0</v>
      </c>
      <c r="CU44" s="482">
        <f t="shared" si="190"/>
        <v>0</v>
      </c>
      <c r="CV44" s="539">
        <v>0</v>
      </c>
      <c r="CW44" s="538">
        <v>0</v>
      </c>
      <c r="CX44" s="482">
        <f t="shared" si="191"/>
        <v>0</v>
      </c>
      <c r="CY44" s="539">
        <v>0</v>
      </c>
      <c r="CZ44" s="538">
        <v>0</v>
      </c>
      <c r="DA44" s="482">
        <f t="shared" si="192"/>
        <v>0</v>
      </c>
      <c r="DB44" s="539">
        <v>0</v>
      </c>
      <c r="DC44" s="538">
        <v>0</v>
      </c>
      <c r="DD44" s="482">
        <f t="shared" si="193"/>
        <v>0</v>
      </c>
      <c r="DE44" s="539">
        <v>0</v>
      </c>
      <c r="DF44" s="538">
        <v>0</v>
      </c>
      <c r="DG44" s="482">
        <f t="shared" si="194"/>
        <v>0</v>
      </c>
      <c r="DH44" s="1263">
        <v>0</v>
      </c>
      <c r="DI44" s="1464">
        <v>0</v>
      </c>
      <c r="DJ44" s="482">
        <f t="shared" si="195"/>
        <v>0</v>
      </c>
      <c r="DK44" s="1468">
        <v>0</v>
      </c>
      <c r="DL44" s="1464">
        <v>0</v>
      </c>
      <c r="DM44" s="482">
        <f t="shared" si="196"/>
        <v>0</v>
      </c>
      <c r="DN44" s="1468">
        <v>0</v>
      </c>
      <c r="DO44" s="1464">
        <v>0</v>
      </c>
      <c r="DP44" s="482">
        <f t="shared" si="197"/>
        <v>0</v>
      </c>
      <c r="DQ44" s="1468">
        <v>0</v>
      </c>
      <c r="DR44" s="1464">
        <v>0</v>
      </c>
      <c r="DS44" s="482">
        <f t="shared" si="198"/>
        <v>0</v>
      </c>
      <c r="DT44" s="1468">
        <v>0</v>
      </c>
      <c r="DU44" s="1464">
        <v>0</v>
      </c>
      <c r="DV44" s="482">
        <f t="shared" si="199"/>
        <v>0</v>
      </c>
      <c r="DW44" s="1468">
        <v>0</v>
      </c>
      <c r="DX44" s="1464">
        <v>0</v>
      </c>
      <c r="DY44" s="482">
        <f t="shared" si="200"/>
        <v>0</v>
      </c>
      <c r="DZ44" s="1468">
        <v>0</v>
      </c>
      <c r="EA44" s="1464">
        <v>0</v>
      </c>
      <c r="EB44" s="482">
        <f t="shared" si="201"/>
        <v>0</v>
      </c>
      <c r="EC44" s="1468">
        <v>0</v>
      </c>
      <c r="ED44" s="1464">
        <v>0</v>
      </c>
      <c r="EE44" s="482">
        <f t="shared" si="202"/>
        <v>0</v>
      </c>
      <c r="EF44" s="1468">
        <v>0</v>
      </c>
      <c r="EG44" s="1464">
        <v>0</v>
      </c>
      <c r="EH44" s="482">
        <f t="shared" si="203"/>
        <v>0</v>
      </c>
      <c r="EI44" s="1468">
        <v>0</v>
      </c>
      <c r="EJ44" s="1464">
        <v>0</v>
      </c>
      <c r="EK44" s="482">
        <f t="shared" si="204"/>
        <v>0</v>
      </c>
      <c r="EL44" s="1468">
        <v>0</v>
      </c>
      <c r="EM44" s="1464">
        <v>0</v>
      </c>
      <c r="EN44" s="482">
        <f t="shared" si="205"/>
        <v>0</v>
      </c>
      <c r="EO44" s="1468">
        <v>0</v>
      </c>
      <c r="EP44" s="1464">
        <v>0</v>
      </c>
      <c r="EQ44" s="482">
        <f t="shared" si="206"/>
        <v>0</v>
      </c>
      <c r="ER44" s="1468">
        <v>0</v>
      </c>
      <c r="ES44" s="1464">
        <v>0</v>
      </c>
      <c r="ET44" s="482">
        <f t="shared" si="207"/>
        <v>0</v>
      </c>
      <c r="EU44" s="1468">
        <v>0</v>
      </c>
      <c r="EV44" s="1464">
        <v>0</v>
      </c>
      <c r="EW44" s="482">
        <f t="shared" si="208"/>
        <v>0</v>
      </c>
      <c r="EX44" s="1468">
        <v>0</v>
      </c>
      <c r="EY44" s="1464">
        <v>0</v>
      </c>
      <c r="EZ44" s="482">
        <f t="shared" si="209"/>
        <v>0</v>
      </c>
      <c r="FA44" s="1468">
        <v>0</v>
      </c>
      <c r="FB44" s="534"/>
      <c r="FE44"/>
      <c r="FF44"/>
      <c r="FG44"/>
      <c r="FH44"/>
      <c r="FI44"/>
      <c r="FJ44"/>
      <c r="FK44" s="35"/>
    </row>
    <row r="45" spans="2:167" s="236" customFormat="1" ht="13.35" customHeight="1" outlineLevel="1">
      <c r="B45" s="242" t="s">
        <v>677</v>
      </c>
      <c r="C45" s="242" t="s">
        <v>496</v>
      </c>
      <c r="D45" s="243"/>
      <c r="E45" s="522"/>
      <c r="F45" s="482">
        <f t="shared" si="160"/>
        <v>0</v>
      </c>
      <c r="G45" s="523"/>
      <c r="H45" s="524"/>
      <c r="I45" s="482">
        <f t="shared" si="161"/>
        <v>0</v>
      </c>
      <c r="J45" s="523"/>
      <c r="K45" s="524"/>
      <c r="L45" s="482">
        <f t="shared" si="162"/>
        <v>0</v>
      </c>
      <c r="M45" s="523"/>
      <c r="N45" s="524"/>
      <c r="O45" s="482">
        <f t="shared" si="163"/>
        <v>0</v>
      </c>
      <c r="P45" s="523"/>
      <c r="Q45" s="524"/>
      <c r="R45" s="482">
        <f t="shared" si="164"/>
        <v>0</v>
      </c>
      <c r="S45" s="523"/>
      <c r="T45" s="524"/>
      <c r="U45" s="482">
        <f t="shared" si="165"/>
        <v>0</v>
      </c>
      <c r="V45" s="523"/>
      <c r="W45" s="524"/>
      <c r="X45" s="482">
        <f t="shared" si="166"/>
        <v>0</v>
      </c>
      <c r="Y45" s="523"/>
      <c r="Z45" s="524"/>
      <c r="AA45" s="482">
        <f t="shared" si="167"/>
        <v>0</v>
      </c>
      <c r="AB45" s="523"/>
      <c r="AC45" s="524"/>
      <c r="AD45" s="482">
        <f t="shared" si="168"/>
        <v>0</v>
      </c>
      <c r="AE45" s="523"/>
      <c r="AF45" s="524"/>
      <c r="AG45" s="482">
        <f t="shared" si="169"/>
        <v>0</v>
      </c>
      <c r="AH45" s="523"/>
      <c r="AI45" s="524"/>
      <c r="AJ45" s="482">
        <f t="shared" si="170"/>
        <v>0</v>
      </c>
      <c r="AK45" s="523"/>
      <c r="AL45" s="524"/>
      <c r="AM45" s="482">
        <f t="shared" si="171"/>
        <v>0</v>
      </c>
      <c r="AN45" s="523"/>
      <c r="AO45" s="524"/>
      <c r="AP45" s="482">
        <f t="shared" si="172"/>
        <v>0</v>
      </c>
      <c r="AQ45" s="523"/>
      <c r="AR45" s="524"/>
      <c r="AS45" s="482">
        <f t="shared" si="173"/>
        <v>0</v>
      </c>
      <c r="AT45" s="523"/>
      <c r="AU45" s="524"/>
      <c r="AV45" s="482">
        <f t="shared" si="174"/>
        <v>0</v>
      </c>
      <c r="AW45" s="523"/>
      <c r="AX45" s="525">
        <v>0</v>
      </c>
      <c r="AY45" s="482">
        <f t="shared" si="175"/>
        <v>0</v>
      </c>
      <c r="AZ45" s="526">
        <v>0</v>
      </c>
      <c r="BA45" s="525">
        <v>0</v>
      </c>
      <c r="BB45" s="482">
        <f t="shared" si="176"/>
        <v>0</v>
      </c>
      <c r="BC45" s="526">
        <v>0</v>
      </c>
      <c r="BD45" s="525">
        <v>16.620999999999999</v>
      </c>
      <c r="BE45" s="482">
        <f t="shared" si="177"/>
        <v>21.126999999999999</v>
      </c>
      <c r="BF45" s="526">
        <v>37.747999999999998</v>
      </c>
      <c r="BG45" s="525">
        <v>0</v>
      </c>
      <c r="BH45" s="482">
        <f t="shared" si="210"/>
        <v>37.03</v>
      </c>
      <c r="BI45" s="526">
        <v>37.03</v>
      </c>
      <c r="BJ45" s="525">
        <v>0</v>
      </c>
      <c r="BK45" s="482">
        <f t="shared" si="178"/>
        <v>0</v>
      </c>
      <c r="BL45" s="526">
        <v>0</v>
      </c>
      <c r="BM45" s="525">
        <v>0</v>
      </c>
      <c r="BN45" s="482">
        <f t="shared" si="179"/>
        <v>0</v>
      </c>
      <c r="BO45" s="526">
        <v>0</v>
      </c>
      <c r="BP45" s="525">
        <v>0</v>
      </c>
      <c r="BQ45" s="482">
        <f t="shared" si="180"/>
        <v>0</v>
      </c>
      <c r="BR45" s="526">
        <v>0</v>
      </c>
      <c r="BS45" s="525">
        <v>0</v>
      </c>
      <c r="BT45" s="482">
        <f t="shared" si="181"/>
        <v>0</v>
      </c>
      <c r="BU45" s="526">
        <v>0</v>
      </c>
      <c r="BV45" s="525">
        <v>0</v>
      </c>
      <c r="BW45" s="482">
        <f t="shared" si="182"/>
        <v>0</v>
      </c>
      <c r="BX45" s="526">
        <v>0</v>
      </c>
      <c r="BY45" s="525">
        <v>0</v>
      </c>
      <c r="BZ45" s="482">
        <f t="shared" si="183"/>
        <v>0</v>
      </c>
      <c r="CA45" s="526">
        <v>0</v>
      </c>
      <c r="CB45" s="525">
        <v>0</v>
      </c>
      <c r="CC45" s="482">
        <f t="shared" si="184"/>
        <v>0</v>
      </c>
      <c r="CD45" s="526">
        <v>0</v>
      </c>
      <c r="CE45" s="525">
        <v>0</v>
      </c>
      <c r="CF45" s="482">
        <f t="shared" si="185"/>
        <v>0</v>
      </c>
      <c r="CG45" s="526">
        <v>0</v>
      </c>
      <c r="CH45" s="525">
        <v>0</v>
      </c>
      <c r="CI45" s="482">
        <f t="shared" si="186"/>
        <v>0</v>
      </c>
      <c r="CJ45" s="526">
        <v>0</v>
      </c>
      <c r="CK45" s="525">
        <v>0</v>
      </c>
      <c r="CL45" s="482">
        <f t="shared" si="187"/>
        <v>0</v>
      </c>
      <c r="CM45" s="526">
        <v>0</v>
      </c>
      <c r="CN45" s="525">
        <v>0</v>
      </c>
      <c r="CO45" s="482">
        <f t="shared" si="188"/>
        <v>0</v>
      </c>
      <c r="CP45" s="526">
        <v>0</v>
      </c>
      <c r="CQ45" s="525">
        <v>0</v>
      </c>
      <c r="CR45" s="482">
        <f t="shared" si="189"/>
        <v>0</v>
      </c>
      <c r="CS45" s="526">
        <v>0</v>
      </c>
      <c r="CT45" s="525">
        <v>0</v>
      </c>
      <c r="CU45" s="482">
        <f t="shared" si="190"/>
        <v>0</v>
      </c>
      <c r="CV45" s="526">
        <v>0</v>
      </c>
      <c r="CW45" s="525">
        <v>0</v>
      </c>
      <c r="CX45" s="482">
        <f t="shared" si="191"/>
        <v>0</v>
      </c>
      <c r="CY45" s="526">
        <v>0</v>
      </c>
      <c r="CZ45" s="525">
        <v>0</v>
      </c>
      <c r="DA45" s="482">
        <f t="shared" si="192"/>
        <v>0</v>
      </c>
      <c r="DB45" s="526">
        <v>0</v>
      </c>
      <c r="DC45" s="525">
        <v>0</v>
      </c>
      <c r="DD45" s="482">
        <f t="shared" si="193"/>
        <v>0</v>
      </c>
      <c r="DE45" s="526">
        <v>0</v>
      </c>
      <c r="DF45" s="525">
        <v>0</v>
      </c>
      <c r="DG45" s="482">
        <f t="shared" si="194"/>
        <v>0</v>
      </c>
      <c r="DH45" s="1264">
        <v>0</v>
      </c>
      <c r="DI45" s="1464">
        <v>0</v>
      </c>
      <c r="DJ45" s="482">
        <f t="shared" si="195"/>
        <v>0</v>
      </c>
      <c r="DK45" s="1468">
        <v>0</v>
      </c>
      <c r="DL45" s="1464">
        <v>0</v>
      </c>
      <c r="DM45" s="482">
        <f t="shared" si="196"/>
        <v>0</v>
      </c>
      <c r="DN45" s="1468">
        <v>0</v>
      </c>
      <c r="DO45" s="1464">
        <v>0</v>
      </c>
      <c r="DP45" s="482">
        <f t="shared" si="197"/>
        <v>0</v>
      </c>
      <c r="DQ45" s="1468">
        <v>0</v>
      </c>
      <c r="DR45" s="1464">
        <v>0</v>
      </c>
      <c r="DS45" s="482">
        <f t="shared" si="198"/>
        <v>0</v>
      </c>
      <c r="DT45" s="1468">
        <v>0</v>
      </c>
      <c r="DU45" s="1464">
        <v>0</v>
      </c>
      <c r="DV45" s="482">
        <f t="shared" si="199"/>
        <v>0</v>
      </c>
      <c r="DW45" s="1468">
        <v>0</v>
      </c>
      <c r="DX45" s="1464">
        <v>0</v>
      </c>
      <c r="DY45" s="482">
        <f t="shared" si="200"/>
        <v>0</v>
      </c>
      <c r="DZ45" s="1468">
        <v>0</v>
      </c>
      <c r="EA45" s="1464">
        <v>0</v>
      </c>
      <c r="EB45" s="482">
        <f t="shared" si="201"/>
        <v>0</v>
      </c>
      <c r="EC45" s="1468">
        <v>0</v>
      </c>
      <c r="ED45" s="1464">
        <v>0</v>
      </c>
      <c r="EE45" s="482">
        <f t="shared" si="202"/>
        <v>0</v>
      </c>
      <c r="EF45" s="1468">
        <v>0</v>
      </c>
      <c r="EG45" s="1464">
        <v>0</v>
      </c>
      <c r="EH45" s="482">
        <f t="shared" si="203"/>
        <v>0</v>
      </c>
      <c r="EI45" s="1468">
        <v>0</v>
      </c>
      <c r="EJ45" s="1464">
        <v>0</v>
      </c>
      <c r="EK45" s="482">
        <f t="shared" si="204"/>
        <v>0</v>
      </c>
      <c r="EL45" s="1468">
        <v>0</v>
      </c>
      <c r="EM45" s="1464">
        <v>0</v>
      </c>
      <c r="EN45" s="482">
        <f t="shared" si="205"/>
        <v>0</v>
      </c>
      <c r="EO45" s="1468">
        <v>0</v>
      </c>
      <c r="EP45" s="1464">
        <v>0</v>
      </c>
      <c r="EQ45" s="482">
        <f t="shared" si="206"/>
        <v>0</v>
      </c>
      <c r="ER45" s="1468">
        <v>0</v>
      </c>
      <c r="ES45" s="1464">
        <v>0</v>
      </c>
      <c r="ET45" s="482">
        <f t="shared" si="207"/>
        <v>0</v>
      </c>
      <c r="EU45" s="1468">
        <v>0</v>
      </c>
      <c r="EV45" s="1464">
        <v>0</v>
      </c>
      <c r="EW45" s="482">
        <f t="shared" si="208"/>
        <v>0</v>
      </c>
      <c r="EX45" s="1468">
        <v>0</v>
      </c>
      <c r="EY45" s="1464">
        <v>0</v>
      </c>
      <c r="EZ45" s="482">
        <f t="shared" si="209"/>
        <v>0</v>
      </c>
      <c r="FA45" s="1468">
        <v>0</v>
      </c>
      <c r="FB45" s="534"/>
      <c r="FE45"/>
      <c r="FF45"/>
      <c r="FG45"/>
      <c r="FH45"/>
      <c r="FI45"/>
      <c r="FJ45"/>
      <c r="FK45" s="35"/>
    </row>
    <row r="46" spans="2:167" s="236" customFormat="1" ht="13.35" customHeight="1" outlineLevel="1">
      <c r="B46" s="242" t="s">
        <v>117</v>
      </c>
      <c r="C46" s="242" t="s">
        <v>496</v>
      </c>
      <c r="D46" s="243"/>
      <c r="E46" s="522"/>
      <c r="F46" s="482">
        <f t="shared" si="160"/>
        <v>0</v>
      </c>
      <c r="G46" s="523"/>
      <c r="H46" s="524"/>
      <c r="I46" s="482">
        <f t="shared" si="161"/>
        <v>0</v>
      </c>
      <c r="J46" s="523"/>
      <c r="K46" s="524"/>
      <c r="L46" s="482">
        <f t="shared" si="162"/>
        <v>0</v>
      </c>
      <c r="M46" s="523"/>
      <c r="N46" s="524"/>
      <c r="O46" s="482">
        <f t="shared" si="163"/>
        <v>0</v>
      </c>
      <c r="P46" s="523"/>
      <c r="Q46" s="524"/>
      <c r="R46" s="482">
        <f t="shared" si="164"/>
        <v>0</v>
      </c>
      <c r="S46" s="523"/>
      <c r="T46" s="524"/>
      <c r="U46" s="482">
        <f t="shared" si="165"/>
        <v>0</v>
      </c>
      <c r="V46" s="523"/>
      <c r="W46" s="524"/>
      <c r="X46" s="482">
        <f t="shared" si="166"/>
        <v>0</v>
      </c>
      <c r="Y46" s="523"/>
      <c r="Z46" s="524"/>
      <c r="AA46" s="482">
        <f t="shared" si="167"/>
        <v>0</v>
      </c>
      <c r="AB46" s="523"/>
      <c r="AC46" s="524"/>
      <c r="AD46" s="482">
        <f t="shared" si="168"/>
        <v>0</v>
      </c>
      <c r="AE46" s="523"/>
      <c r="AF46" s="524"/>
      <c r="AG46" s="482">
        <f t="shared" si="169"/>
        <v>0</v>
      </c>
      <c r="AH46" s="523"/>
      <c r="AI46" s="524"/>
      <c r="AJ46" s="482">
        <f t="shared" si="170"/>
        <v>0</v>
      </c>
      <c r="AK46" s="523"/>
      <c r="AL46" s="524"/>
      <c r="AM46" s="482">
        <f t="shared" si="171"/>
        <v>0</v>
      </c>
      <c r="AN46" s="523"/>
      <c r="AO46" s="524"/>
      <c r="AP46" s="482">
        <f t="shared" si="172"/>
        <v>0</v>
      </c>
      <c r="AQ46" s="523"/>
      <c r="AR46" s="524"/>
      <c r="AS46" s="482">
        <f t="shared" si="173"/>
        <v>0</v>
      </c>
      <c r="AT46" s="523"/>
      <c r="AU46" s="524"/>
      <c r="AV46" s="482">
        <f t="shared" si="174"/>
        <v>0</v>
      </c>
      <c r="AW46" s="523"/>
      <c r="AX46" s="525">
        <v>0</v>
      </c>
      <c r="AY46" s="482">
        <f t="shared" si="175"/>
        <v>0</v>
      </c>
      <c r="AZ46" s="526">
        <v>0</v>
      </c>
      <c r="BA46" s="525">
        <v>0</v>
      </c>
      <c r="BB46" s="482">
        <f t="shared" si="176"/>
        <v>0</v>
      </c>
      <c r="BC46" s="526">
        <v>0</v>
      </c>
      <c r="BD46" s="525">
        <v>5.1420000000000003</v>
      </c>
      <c r="BE46" s="482">
        <f t="shared" si="177"/>
        <v>0</v>
      </c>
      <c r="BF46" s="523">
        <f>BD46</f>
        <v>5.1420000000000003</v>
      </c>
      <c r="BG46" s="525">
        <v>0</v>
      </c>
      <c r="BH46" s="482">
        <f t="shared" si="210"/>
        <v>0</v>
      </c>
      <c r="BI46" s="526">
        <v>0</v>
      </c>
      <c r="BJ46" s="525">
        <v>0</v>
      </c>
      <c r="BK46" s="482">
        <f t="shared" si="178"/>
        <v>0</v>
      </c>
      <c r="BL46" s="526">
        <v>0</v>
      </c>
      <c r="BM46" s="525">
        <v>0</v>
      </c>
      <c r="BN46" s="482">
        <f t="shared" si="179"/>
        <v>0</v>
      </c>
      <c r="BO46" s="526">
        <v>0</v>
      </c>
      <c r="BP46" s="525">
        <v>0</v>
      </c>
      <c r="BQ46" s="482">
        <f t="shared" si="180"/>
        <v>0</v>
      </c>
      <c r="BR46" s="526">
        <v>0</v>
      </c>
      <c r="BS46" s="525">
        <v>0</v>
      </c>
      <c r="BT46" s="482">
        <f t="shared" si="181"/>
        <v>0</v>
      </c>
      <c r="BU46" s="526">
        <v>0</v>
      </c>
      <c r="BV46" s="525">
        <v>0</v>
      </c>
      <c r="BW46" s="482">
        <f t="shared" si="182"/>
        <v>0</v>
      </c>
      <c r="BX46" s="526">
        <v>0</v>
      </c>
      <c r="BY46" s="525">
        <v>0</v>
      </c>
      <c r="BZ46" s="482">
        <f t="shared" si="183"/>
        <v>0</v>
      </c>
      <c r="CA46" s="526">
        <v>0</v>
      </c>
      <c r="CB46" s="525">
        <v>0</v>
      </c>
      <c r="CC46" s="482">
        <f t="shared" si="184"/>
        <v>0</v>
      </c>
      <c r="CD46" s="526">
        <v>0</v>
      </c>
      <c r="CE46" s="525">
        <v>0</v>
      </c>
      <c r="CF46" s="482">
        <f t="shared" si="185"/>
        <v>0</v>
      </c>
      <c r="CG46" s="526">
        <v>0</v>
      </c>
      <c r="CH46" s="525">
        <v>0</v>
      </c>
      <c r="CI46" s="482">
        <f t="shared" si="186"/>
        <v>0</v>
      </c>
      <c r="CJ46" s="526">
        <v>0</v>
      </c>
      <c r="CK46" s="525">
        <v>0</v>
      </c>
      <c r="CL46" s="482">
        <f t="shared" si="187"/>
        <v>0</v>
      </c>
      <c r="CM46" s="526">
        <v>0</v>
      </c>
      <c r="CN46" s="525">
        <v>0</v>
      </c>
      <c r="CO46" s="482">
        <f t="shared" si="188"/>
        <v>0</v>
      </c>
      <c r="CP46" s="526">
        <v>0</v>
      </c>
      <c r="CQ46" s="525">
        <v>0</v>
      </c>
      <c r="CR46" s="482">
        <f t="shared" si="189"/>
        <v>0</v>
      </c>
      <c r="CS46" s="526">
        <v>0</v>
      </c>
      <c r="CT46" s="525">
        <v>0</v>
      </c>
      <c r="CU46" s="482">
        <f t="shared" si="190"/>
        <v>0</v>
      </c>
      <c r="CV46" s="526">
        <v>0</v>
      </c>
      <c r="CW46" s="525">
        <v>0</v>
      </c>
      <c r="CX46" s="482">
        <f t="shared" si="191"/>
        <v>0</v>
      </c>
      <c r="CY46" s="526">
        <v>0</v>
      </c>
      <c r="CZ46" s="525">
        <v>0</v>
      </c>
      <c r="DA46" s="482">
        <f t="shared" si="192"/>
        <v>0</v>
      </c>
      <c r="DB46" s="526">
        <v>0</v>
      </c>
      <c r="DC46" s="525">
        <v>0</v>
      </c>
      <c r="DD46" s="482">
        <f t="shared" si="193"/>
        <v>0</v>
      </c>
      <c r="DE46" s="526">
        <v>0</v>
      </c>
      <c r="DF46" s="525">
        <v>0</v>
      </c>
      <c r="DG46" s="482">
        <f t="shared" si="194"/>
        <v>0</v>
      </c>
      <c r="DH46" s="1264">
        <v>0</v>
      </c>
      <c r="DI46" s="1464">
        <v>0</v>
      </c>
      <c r="DJ46" s="482">
        <f t="shared" si="195"/>
        <v>0</v>
      </c>
      <c r="DK46" s="1468">
        <v>0</v>
      </c>
      <c r="DL46" s="1464">
        <v>0</v>
      </c>
      <c r="DM46" s="482">
        <f t="shared" si="196"/>
        <v>0</v>
      </c>
      <c r="DN46" s="1468">
        <v>0</v>
      </c>
      <c r="DO46" s="1464">
        <v>0</v>
      </c>
      <c r="DP46" s="482">
        <f t="shared" si="197"/>
        <v>0</v>
      </c>
      <c r="DQ46" s="1468">
        <v>0</v>
      </c>
      <c r="DR46" s="1464">
        <v>0</v>
      </c>
      <c r="DS46" s="482">
        <f t="shared" si="198"/>
        <v>0</v>
      </c>
      <c r="DT46" s="1468">
        <v>0</v>
      </c>
      <c r="DU46" s="1464">
        <v>0</v>
      </c>
      <c r="DV46" s="482">
        <f t="shared" si="199"/>
        <v>0</v>
      </c>
      <c r="DW46" s="1468">
        <v>0</v>
      </c>
      <c r="DX46" s="1464">
        <v>0</v>
      </c>
      <c r="DY46" s="482">
        <f t="shared" si="200"/>
        <v>0</v>
      </c>
      <c r="DZ46" s="1468">
        <v>0</v>
      </c>
      <c r="EA46" s="1464">
        <v>0</v>
      </c>
      <c r="EB46" s="482">
        <f t="shared" si="201"/>
        <v>0</v>
      </c>
      <c r="EC46" s="1468">
        <v>0</v>
      </c>
      <c r="ED46" s="1464">
        <v>0</v>
      </c>
      <c r="EE46" s="482">
        <f t="shared" si="202"/>
        <v>0</v>
      </c>
      <c r="EF46" s="1468">
        <v>0</v>
      </c>
      <c r="EG46" s="1464">
        <v>0</v>
      </c>
      <c r="EH46" s="482">
        <f t="shared" si="203"/>
        <v>0</v>
      </c>
      <c r="EI46" s="1468">
        <v>0</v>
      </c>
      <c r="EJ46" s="1464">
        <v>0</v>
      </c>
      <c r="EK46" s="482">
        <f t="shared" si="204"/>
        <v>0</v>
      </c>
      <c r="EL46" s="1468">
        <v>0</v>
      </c>
      <c r="EM46" s="1464">
        <v>0</v>
      </c>
      <c r="EN46" s="482">
        <f t="shared" si="205"/>
        <v>0</v>
      </c>
      <c r="EO46" s="1468">
        <v>0</v>
      </c>
      <c r="EP46" s="1464">
        <v>0</v>
      </c>
      <c r="EQ46" s="482">
        <f t="shared" si="206"/>
        <v>0</v>
      </c>
      <c r="ER46" s="1468">
        <v>0</v>
      </c>
      <c r="ES46" s="1464">
        <v>0</v>
      </c>
      <c r="ET46" s="482">
        <f t="shared" si="207"/>
        <v>0</v>
      </c>
      <c r="EU46" s="1468">
        <v>0</v>
      </c>
      <c r="EV46" s="1464">
        <v>0</v>
      </c>
      <c r="EW46" s="482">
        <f t="shared" si="208"/>
        <v>0</v>
      </c>
      <c r="EX46" s="1468">
        <v>0</v>
      </c>
      <c r="EY46" s="1464">
        <v>0</v>
      </c>
      <c r="EZ46" s="482">
        <f t="shared" si="209"/>
        <v>0</v>
      </c>
      <c r="FA46" s="1468">
        <v>0</v>
      </c>
      <c r="FB46" s="534"/>
      <c r="FE46"/>
      <c r="FF46"/>
      <c r="FG46"/>
      <c r="FH46"/>
      <c r="FI46"/>
      <c r="FJ46"/>
      <c r="FK46" s="35"/>
    </row>
    <row r="47" spans="2:167" s="236" customFormat="1" ht="13.35" customHeight="1" outlineLevel="1">
      <c r="B47" s="242" t="s">
        <v>118</v>
      </c>
      <c r="C47" s="242" t="s">
        <v>496</v>
      </c>
      <c r="D47" s="243"/>
      <c r="E47" s="522"/>
      <c r="F47" s="482">
        <f t="shared" si="160"/>
        <v>0</v>
      </c>
      <c r="G47" s="523"/>
      <c r="H47" s="524"/>
      <c r="I47" s="482">
        <f t="shared" si="161"/>
        <v>0</v>
      </c>
      <c r="J47" s="523"/>
      <c r="K47" s="524"/>
      <c r="L47" s="482">
        <f t="shared" si="162"/>
        <v>0</v>
      </c>
      <c r="M47" s="523"/>
      <c r="N47" s="524"/>
      <c r="O47" s="482">
        <f t="shared" si="163"/>
        <v>0</v>
      </c>
      <c r="P47" s="523"/>
      <c r="Q47" s="524"/>
      <c r="R47" s="482">
        <f t="shared" si="164"/>
        <v>0</v>
      </c>
      <c r="S47" s="523"/>
      <c r="T47" s="524"/>
      <c r="U47" s="482">
        <f t="shared" si="165"/>
        <v>0</v>
      </c>
      <c r="V47" s="523"/>
      <c r="W47" s="524"/>
      <c r="X47" s="482">
        <f t="shared" si="166"/>
        <v>0</v>
      </c>
      <c r="Y47" s="523"/>
      <c r="Z47" s="524"/>
      <c r="AA47" s="482">
        <f t="shared" si="167"/>
        <v>0</v>
      </c>
      <c r="AB47" s="523"/>
      <c r="AC47" s="524"/>
      <c r="AD47" s="482">
        <f t="shared" si="168"/>
        <v>0</v>
      </c>
      <c r="AE47" s="523"/>
      <c r="AF47" s="524"/>
      <c r="AG47" s="482">
        <f t="shared" si="169"/>
        <v>0</v>
      </c>
      <c r="AH47" s="523"/>
      <c r="AI47" s="524"/>
      <c r="AJ47" s="482">
        <f t="shared" si="170"/>
        <v>0</v>
      </c>
      <c r="AK47" s="523"/>
      <c r="AL47" s="524"/>
      <c r="AM47" s="482">
        <f t="shared" si="171"/>
        <v>0</v>
      </c>
      <c r="AN47" s="523"/>
      <c r="AO47" s="524"/>
      <c r="AP47" s="482">
        <f t="shared" si="172"/>
        <v>0</v>
      </c>
      <c r="AQ47" s="523"/>
      <c r="AR47" s="524"/>
      <c r="AS47" s="482">
        <f t="shared" si="173"/>
        <v>0</v>
      </c>
      <c r="AT47" s="523"/>
      <c r="AU47" s="524"/>
      <c r="AV47" s="482">
        <f t="shared" si="174"/>
        <v>0</v>
      </c>
      <c r="AW47" s="523"/>
      <c r="AX47" s="525">
        <v>0</v>
      </c>
      <c r="AY47" s="482">
        <f t="shared" si="175"/>
        <v>0</v>
      </c>
      <c r="AZ47" s="526">
        <v>0</v>
      </c>
      <c r="BA47" s="525">
        <v>0</v>
      </c>
      <c r="BB47" s="482">
        <f t="shared" si="176"/>
        <v>0</v>
      </c>
      <c r="BC47" s="526">
        <v>0</v>
      </c>
      <c r="BD47" s="525">
        <v>0</v>
      </c>
      <c r="BE47" s="482">
        <f t="shared" si="177"/>
        <v>0</v>
      </c>
      <c r="BF47" s="526">
        <v>0</v>
      </c>
      <c r="BG47" s="525">
        <v>0</v>
      </c>
      <c r="BH47" s="482">
        <f t="shared" si="210"/>
        <v>0</v>
      </c>
      <c r="BI47" s="526">
        <v>0</v>
      </c>
      <c r="BJ47" s="525">
        <v>0</v>
      </c>
      <c r="BK47" s="482">
        <f t="shared" si="178"/>
        <v>0</v>
      </c>
      <c r="BL47" s="526">
        <v>0</v>
      </c>
      <c r="BM47" s="525">
        <v>0</v>
      </c>
      <c r="BN47" s="482">
        <f t="shared" si="179"/>
        <v>0</v>
      </c>
      <c r="BO47" s="526">
        <v>0</v>
      </c>
      <c r="BP47" s="525">
        <v>0</v>
      </c>
      <c r="BQ47" s="482">
        <f t="shared" si="180"/>
        <v>0</v>
      </c>
      <c r="BR47" s="526">
        <v>0</v>
      </c>
      <c r="BS47" s="525">
        <v>0</v>
      </c>
      <c r="BT47" s="482">
        <f t="shared" si="181"/>
        <v>0</v>
      </c>
      <c r="BU47" s="526">
        <v>0</v>
      </c>
      <c r="BV47" s="525">
        <v>0</v>
      </c>
      <c r="BW47" s="482">
        <f t="shared" si="182"/>
        <v>0</v>
      </c>
      <c r="BX47" s="526">
        <v>0</v>
      </c>
      <c r="BY47" s="525">
        <v>0</v>
      </c>
      <c r="BZ47" s="482">
        <f t="shared" si="183"/>
        <v>0</v>
      </c>
      <c r="CA47" s="526">
        <v>0</v>
      </c>
      <c r="CB47" s="525">
        <v>0</v>
      </c>
      <c r="CC47" s="482">
        <f t="shared" si="184"/>
        <v>0</v>
      </c>
      <c r="CD47" s="526">
        <v>0</v>
      </c>
      <c r="CE47" s="525">
        <v>0</v>
      </c>
      <c r="CF47" s="482">
        <f t="shared" si="185"/>
        <v>0</v>
      </c>
      <c r="CG47" s="526">
        <v>0</v>
      </c>
      <c r="CH47" s="525">
        <v>0</v>
      </c>
      <c r="CI47" s="482">
        <f t="shared" si="186"/>
        <v>0</v>
      </c>
      <c r="CJ47" s="526">
        <v>0</v>
      </c>
      <c r="CK47" s="525">
        <v>0</v>
      </c>
      <c r="CL47" s="482">
        <f t="shared" si="187"/>
        <v>0</v>
      </c>
      <c r="CM47" s="526">
        <v>0</v>
      </c>
      <c r="CN47" s="525">
        <v>0</v>
      </c>
      <c r="CO47" s="482">
        <f t="shared" si="188"/>
        <v>0</v>
      </c>
      <c r="CP47" s="526">
        <v>0</v>
      </c>
      <c r="CQ47" s="525">
        <v>0</v>
      </c>
      <c r="CR47" s="482">
        <f t="shared" si="189"/>
        <v>0</v>
      </c>
      <c r="CS47" s="526">
        <v>0</v>
      </c>
      <c r="CT47" s="525">
        <v>0</v>
      </c>
      <c r="CU47" s="482">
        <f t="shared" si="190"/>
        <v>0</v>
      </c>
      <c r="CV47" s="526">
        <v>0</v>
      </c>
      <c r="CW47" s="525">
        <v>0</v>
      </c>
      <c r="CX47" s="482">
        <f t="shared" si="191"/>
        <v>0</v>
      </c>
      <c r="CY47" s="526">
        <v>0</v>
      </c>
      <c r="CZ47" s="525">
        <v>0</v>
      </c>
      <c r="DA47" s="482">
        <f t="shared" si="192"/>
        <v>0</v>
      </c>
      <c r="DB47" s="526">
        <v>0</v>
      </c>
      <c r="DC47" s="525">
        <v>0</v>
      </c>
      <c r="DD47" s="482">
        <f t="shared" si="193"/>
        <v>0</v>
      </c>
      <c r="DE47" s="526">
        <v>0</v>
      </c>
      <c r="DF47" s="525">
        <v>0</v>
      </c>
      <c r="DG47" s="482">
        <f t="shared" si="194"/>
        <v>0</v>
      </c>
      <c r="DH47" s="1264">
        <v>0</v>
      </c>
      <c r="DI47" s="1464">
        <v>0</v>
      </c>
      <c r="DJ47" s="482">
        <f t="shared" si="195"/>
        <v>0</v>
      </c>
      <c r="DK47" s="1468">
        <v>0</v>
      </c>
      <c r="DL47" s="1464">
        <v>0</v>
      </c>
      <c r="DM47" s="482">
        <f t="shared" si="196"/>
        <v>0</v>
      </c>
      <c r="DN47" s="1468">
        <v>0</v>
      </c>
      <c r="DO47" s="1464">
        <v>0</v>
      </c>
      <c r="DP47" s="482">
        <f t="shared" si="197"/>
        <v>0</v>
      </c>
      <c r="DQ47" s="1468">
        <v>0</v>
      </c>
      <c r="DR47" s="1464">
        <v>0</v>
      </c>
      <c r="DS47" s="482">
        <f t="shared" si="198"/>
        <v>0</v>
      </c>
      <c r="DT47" s="1468">
        <v>0</v>
      </c>
      <c r="DU47" s="1464">
        <v>0</v>
      </c>
      <c r="DV47" s="482">
        <f t="shared" si="199"/>
        <v>0</v>
      </c>
      <c r="DW47" s="1468">
        <v>0</v>
      </c>
      <c r="DX47" s="1464">
        <v>0</v>
      </c>
      <c r="DY47" s="482">
        <f t="shared" si="200"/>
        <v>0</v>
      </c>
      <c r="DZ47" s="1468">
        <v>0</v>
      </c>
      <c r="EA47" s="1464">
        <v>0</v>
      </c>
      <c r="EB47" s="482">
        <f t="shared" si="201"/>
        <v>0</v>
      </c>
      <c r="EC47" s="1468">
        <v>0</v>
      </c>
      <c r="ED47" s="1464">
        <v>0</v>
      </c>
      <c r="EE47" s="482">
        <f t="shared" si="202"/>
        <v>0</v>
      </c>
      <c r="EF47" s="1468">
        <v>0</v>
      </c>
      <c r="EG47" s="1464">
        <v>0</v>
      </c>
      <c r="EH47" s="482">
        <f t="shared" si="203"/>
        <v>0</v>
      </c>
      <c r="EI47" s="1468">
        <v>0</v>
      </c>
      <c r="EJ47" s="1464">
        <v>0</v>
      </c>
      <c r="EK47" s="482">
        <f t="shared" si="204"/>
        <v>0</v>
      </c>
      <c r="EL47" s="1468">
        <v>0</v>
      </c>
      <c r="EM47" s="1464">
        <v>0</v>
      </c>
      <c r="EN47" s="482">
        <f t="shared" si="205"/>
        <v>0</v>
      </c>
      <c r="EO47" s="1468">
        <v>0</v>
      </c>
      <c r="EP47" s="1464">
        <v>0</v>
      </c>
      <c r="EQ47" s="482">
        <f t="shared" si="206"/>
        <v>0</v>
      </c>
      <c r="ER47" s="1468">
        <v>0</v>
      </c>
      <c r="ES47" s="1464">
        <v>0</v>
      </c>
      <c r="ET47" s="482">
        <f t="shared" si="207"/>
        <v>0</v>
      </c>
      <c r="EU47" s="1468">
        <v>0</v>
      </c>
      <c r="EV47" s="1464">
        <v>0</v>
      </c>
      <c r="EW47" s="482">
        <f t="shared" si="208"/>
        <v>0</v>
      </c>
      <c r="EX47" s="1468">
        <v>0</v>
      </c>
      <c r="EY47" s="1464">
        <v>0</v>
      </c>
      <c r="EZ47" s="482">
        <f t="shared" si="209"/>
        <v>0</v>
      </c>
      <c r="FA47" s="1468">
        <v>0</v>
      </c>
      <c r="FB47" s="534"/>
      <c r="FE47"/>
      <c r="FF47"/>
      <c r="FG47"/>
      <c r="FH47"/>
      <c r="FI47"/>
      <c r="FJ47"/>
      <c r="FK47" s="35"/>
    </row>
    <row r="48" spans="2:167" s="236" customFormat="1" ht="13.35" customHeight="1" outlineLevel="1">
      <c r="B48" s="242" t="s">
        <v>119</v>
      </c>
      <c r="C48" s="242" t="s">
        <v>496</v>
      </c>
      <c r="D48" s="243"/>
      <c r="E48" s="522"/>
      <c r="F48" s="482">
        <f t="shared" si="160"/>
        <v>0</v>
      </c>
      <c r="G48" s="523"/>
      <c r="H48" s="524"/>
      <c r="I48" s="482">
        <f t="shared" si="161"/>
        <v>0</v>
      </c>
      <c r="J48" s="523"/>
      <c r="K48" s="524"/>
      <c r="L48" s="482">
        <f t="shared" si="162"/>
        <v>0</v>
      </c>
      <c r="M48" s="523"/>
      <c r="N48" s="524"/>
      <c r="O48" s="482">
        <f t="shared" si="163"/>
        <v>0</v>
      </c>
      <c r="P48" s="523"/>
      <c r="Q48" s="524"/>
      <c r="R48" s="482">
        <f t="shared" si="164"/>
        <v>0</v>
      </c>
      <c r="S48" s="523"/>
      <c r="T48" s="524"/>
      <c r="U48" s="482">
        <f t="shared" si="165"/>
        <v>0</v>
      </c>
      <c r="V48" s="523"/>
      <c r="W48" s="524"/>
      <c r="X48" s="482">
        <f t="shared" si="166"/>
        <v>0</v>
      </c>
      <c r="Y48" s="523"/>
      <c r="Z48" s="524"/>
      <c r="AA48" s="482">
        <f t="shared" si="167"/>
        <v>0</v>
      </c>
      <c r="AB48" s="523"/>
      <c r="AC48" s="524"/>
      <c r="AD48" s="482">
        <f t="shared" si="168"/>
        <v>0</v>
      </c>
      <c r="AE48" s="523"/>
      <c r="AF48" s="524"/>
      <c r="AG48" s="482">
        <f t="shared" si="169"/>
        <v>0</v>
      </c>
      <c r="AH48" s="523"/>
      <c r="AI48" s="524"/>
      <c r="AJ48" s="482">
        <f t="shared" si="170"/>
        <v>0</v>
      </c>
      <c r="AK48" s="523"/>
      <c r="AL48" s="524"/>
      <c r="AM48" s="482">
        <f t="shared" si="171"/>
        <v>0</v>
      </c>
      <c r="AN48" s="523"/>
      <c r="AO48" s="524"/>
      <c r="AP48" s="482">
        <f t="shared" si="172"/>
        <v>0</v>
      </c>
      <c r="AQ48" s="523"/>
      <c r="AR48" s="524"/>
      <c r="AS48" s="482">
        <f t="shared" si="173"/>
        <v>0</v>
      </c>
      <c r="AT48" s="523"/>
      <c r="AU48" s="524"/>
      <c r="AV48" s="482">
        <f t="shared" si="174"/>
        <v>0</v>
      </c>
      <c r="AW48" s="523"/>
      <c r="AX48" s="525">
        <v>0</v>
      </c>
      <c r="AY48" s="482">
        <f t="shared" si="175"/>
        <v>0</v>
      </c>
      <c r="AZ48" s="526">
        <v>0</v>
      </c>
      <c r="BA48" s="525">
        <v>0</v>
      </c>
      <c r="BB48" s="482">
        <f t="shared" si="176"/>
        <v>0</v>
      </c>
      <c r="BC48" s="526">
        <v>0</v>
      </c>
      <c r="BD48" s="525">
        <v>0</v>
      </c>
      <c r="BE48" s="482">
        <f t="shared" si="177"/>
        <v>0</v>
      </c>
      <c r="BF48" s="526">
        <v>0</v>
      </c>
      <c r="BG48" s="525">
        <v>0</v>
      </c>
      <c r="BH48" s="482">
        <f t="shared" si="210"/>
        <v>0</v>
      </c>
      <c r="BI48" s="526">
        <v>0</v>
      </c>
      <c r="BJ48" s="525">
        <v>0</v>
      </c>
      <c r="BK48" s="482">
        <f t="shared" si="178"/>
        <v>0</v>
      </c>
      <c r="BL48" s="526">
        <v>0</v>
      </c>
      <c r="BM48" s="525">
        <v>0</v>
      </c>
      <c r="BN48" s="482">
        <f t="shared" si="179"/>
        <v>0</v>
      </c>
      <c r="BO48" s="526">
        <v>0</v>
      </c>
      <c r="BP48" s="525">
        <v>0</v>
      </c>
      <c r="BQ48" s="482">
        <f t="shared" si="180"/>
        <v>0</v>
      </c>
      <c r="BR48" s="526">
        <v>0</v>
      </c>
      <c r="BS48" s="525">
        <v>0</v>
      </c>
      <c r="BT48" s="482">
        <f t="shared" si="181"/>
        <v>0</v>
      </c>
      <c r="BU48" s="526">
        <v>0</v>
      </c>
      <c r="BV48" s="525">
        <v>0</v>
      </c>
      <c r="BW48" s="482">
        <f t="shared" si="182"/>
        <v>0</v>
      </c>
      <c r="BX48" s="526">
        <v>0</v>
      </c>
      <c r="BY48" s="525">
        <v>0</v>
      </c>
      <c r="BZ48" s="482">
        <f t="shared" si="183"/>
        <v>0</v>
      </c>
      <c r="CA48" s="526">
        <v>0</v>
      </c>
      <c r="CB48" s="525">
        <v>0</v>
      </c>
      <c r="CC48" s="482">
        <f t="shared" si="184"/>
        <v>0</v>
      </c>
      <c r="CD48" s="526">
        <v>0</v>
      </c>
      <c r="CE48" s="525">
        <v>0</v>
      </c>
      <c r="CF48" s="482">
        <f t="shared" si="185"/>
        <v>0</v>
      </c>
      <c r="CG48" s="526">
        <v>0</v>
      </c>
      <c r="CH48" s="525">
        <v>0</v>
      </c>
      <c r="CI48" s="482">
        <f t="shared" si="186"/>
        <v>0</v>
      </c>
      <c r="CJ48" s="526">
        <v>0</v>
      </c>
      <c r="CK48" s="525">
        <v>0</v>
      </c>
      <c r="CL48" s="482">
        <f t="shared" si="187"/>
        <v>0</v>
      </c>
      <c r="CM48" s="526">
        <v>0</v>
      </c>
      <c r="CN48" s="525">
        <v>0</v>
      </c>
      <c r="CO48" s="482">
        <f t="shared" si="188"/>
        <v>0</v>
      </c>
      <c r="CP48" s="526">
        <v>0</v>
      </c>
      <c r="CQ48" s="525">
        <v>0</v>
      </c>
      <c r="CR48" s="482">
        <f t="shared" si="189"/>
        <v>0</v>
      </c>
      <c r="CS48" s="526">
        <v>0</v>
      </c>
      <c r="CT48" s="525">
        <v>0</v>
      </c>
      <c r="CU48" s="482">
        <f t="shared" si="190"/>
        <v>0</v>
      </c>
      <c r="CV48" s="526">
        <v>0</v>
      </c>
      <c r="CW48" s="525">
        <v>0</v>
      </c>
      <c r="CX48" s="482">
        <f t="shared" si="191"/>
        <v>0</v>
      </c>
      <c r="CY48" s="526">
        <v>0</v>
      </c>
      <c r="CZ48" s="525">
        <v>0</v>
      </c>
      <c r="DA48" s="482">
        <f t="shared" si="192"/>
        <v>0</v>
      </c>
      <c r="DB48" s="526">
        <v>0</v>
      </c>
      <c r="DC48" s="525">
        <v>0</v>
      </c>
      <c r="DD48" s="482">
        <f t="shared" si="193"/>
        <v>0</v>
      </c>
      <c r="DE48" s="526">
        <v>0</v>
      </c>
      <c r="DF48" s="525">
        <v>0</v>
      </c>
      <c r="DG48" s="482">
        <f t="shared" si="194"/>
        <v>0</v>
      </c>
      <c r="DH48" s="1264">
        <v>0</v>
      </c>
      <c r="DI48" s="1464">
        <v>0</v>
      </c>
      <c r="DJ48" s="482">
        <f t="shared" si="195"/>
        <v>0</v>
      </c>
      <c r="DK48" s="1468">
        <v>0</v>
      </c>
      <c r="DL48" s="1464">
        <v>0</v>
      </c>
      <c r="DM48" s="482">
        <f t="shared" si="196"/>
        <v>0</v>
      </c>
      <c r="DN48" s="1468">
        <v>0</v>
      </c>
      <c r="DO48" s="1464">
        <v>0</v>
      </c>
      <c r="DP48" s="482">
        <f t="shared" si="197"/>
        <v>0</v>
      </c>
      <c r="DQ48" s="1468">
        <v>0</v>
      </c>
      <c r="DR48" s="1464">
        <v>0</v>
      </c>
      <c r="DS48" s="482">
        <f t="shared" si="198"/>
        <v>0</v>
      </c>
      <c r="DT48" s="1468">
        <v>0</v>
      </c>
      <c r="DU48" s="1464">
        <v>0</v>
      </c>
      <c r="DV48" s="482">
        <f t="shared" si="199"/>
        <v>0</v>
      </c>
      <c r="DW48" s="1468">
        <v>0</v>
      </c>
      <c r="DX48" s="1464">
        <v>0</v>
      </c>
      <c r="DY48" s="482">
        <f t="shared" si="200"/>
        <v>0</v>
      </c>
      <c r="DZ48" s="1468">
        <v>0</v>
      </c>
      <c r="EA48" s="1464">
        <v>0</v>
      </c>
      <c r="EB48" s="482">
        <f t="shared" si="201"/>
        <v>0</v>
      </c>
      <c r="EC48" s="1468">
        <v>0</v>
      </c>
      <c r="ED48" s="1464">
        <v>0</v>
      </c>
      <c r="EE48" s="482">
        <f t="shared" si="202"/>
        <v>0</v>
      </c>
      <c r="EF48" s="1468">
        <v>0</v>
      </c>
      <c r="EG48" s="1464">
        <v>0</v>
      </c>
      <c r="EH48" s="482">
        <f t="shared" si="203"/>
        <v>0</v>
      </c>
      <c r="EI48" s="1468">
        <v>0</v>
      </c>
      <c r="EJ48" s="1464">
        <v>0</v>
      </c>
      <c r="EK48" s="482">
        <f t="shared" si="204"/>
        <v>0</v>
      </c>
      <c r="EL48" s="1468">
        <v>0</v>
      </c>
      <c r="EM48" s="1464">
        <v>0</v>
      </c>
      <c r="EN48" s="482">
        <f t="shared" si="205"/>
        <v>0</v>
      </c>
      <c r="EO48" s="1468">
        <v>0</v>
      </c>
      <c r="EP48" s="1464">
        <v>0</v>
      </c>
      <c r="EQ48" s="482">
        <f t="shared" si="206"/>
        <v>0</v>
      </c>
      <c r="ER48" s="1468">
        <v>0</v>
      </c>
      <c r="ES48" s="1464">
        <v>0</v>
      </c>
      <c r="ET48" s="482">
        <f t="shared" si="207"/>
        <v>0</v>
      </c>
      <c r="EU48" s="1468">
        <v>0</v>
      </c>
      <c r="EV48" s="1464">
        <v>0</v>
      </c>
      <c r="EW48" s="482">
        <f t="shared" si="208"/>
        <v>0</v>
      </c>
      <c r="EX48" s="1468">
        <v>0</v>
      </c>
      <c r="EY48" s="1464">
        <v>0</v>
      </c>
      <c r="EZ48" s="482">
        <f t="shared" si="209"/>
        <v>0</v>
      </c>
      <c r="FA48" s="1468">
        <v>0</v>
      </c>
      <c r="FB48" s="534"/>
      <c r="FE48"/>
      <c r="FF48"/>
      <c r="FG48"/>
      <c r="FH48"/>
      <c r="FI48"/>
      <c r="FJ48"/>
      <c r="FK48" s="35"/>
    </row>
    <row r="49" spans="2:167" s="236" customFormat="1" ht="13.35" customHeight="1" outlineLevel="1">
      <c r="B49" s="242" t="s">
        <v>121</v>
      </c>
      <c r="C49" s="242" t="s">
        <v>496</v>
      </c>
      <c r="D49" s="243"/>
      <c r="E49" s="522"/>
      <c r="F49" s="482">
        <f t="shared" si="160"/>
        <v>0</v>
      </c>
      <c r="G49" s="523"/>
      <c r="H49" s="524"/>
      <c r="I49" s="482">
        <f t="shared" si="161"/>
        <v>0</v>
      </c>
      <c r="J49" s="523"/>
      <c r="K49" s="524"/>
      <c r="L49" s="482">
        <f t="shared" si="162"/>
        <v>0</v>
      </c>
      <c r="M49" s="523"/>
      <c r="N49" s="524"/>
      <c r="O49" s="482">
        <f t="shared" si="163"/>
        <v>0</v>
      </c>
      <c r="P49" s="523"/>
      <c r="Q49" s="524"/>
      <c r="R49" s="482">
        <f t="shared" si="164"/>
        <v>0</v>
      </c>
      <c r="S49" s="523"/>
      <c r="T49" s="524"/>
      <c r="U49" s="482">
        <f t="shared" si="165"/>
        <v>0</v>
      </c>
      <c r="V49" s="523"/>
      <c r="W49" s="524"/>
      <c r="X49" s="482">
        <f t="shared" si="166"/>
        <v>0</v>
      </c>
      <c r="Y49" s="523"/>
      <c r="Z49" s="524"/>
      <c r="AA49" s="482">
        <f t="shared" si="167"/>
        <v>0</v>
      </c>
      <c r="AB49" s="523"/>
      <c r="AC49" s="524"/>
      <c r="AD49" s="482">
        <f t="shared" si="168"/>
        <v>0</v>
      </c>
      <c r="AE49" s="523"/>
      <c r="AF49" s="524"/>
      <c r="AG49" s="482">
        <f t="shared" si="169"/>
        <v>0</v>
      </c>
      <c r="AH49" s="523"/>
      <c r="AI49" s="524"/>
      <c r="AJ49" s="482">
        <f t="shared" si="170"/>
        <v>0</v>
      </c>
      <c r="AK49" s="523"/>
      <c r="AL49" s="524"/>
      <c r="AM49" s="482">
        <f t="shared" si="171"/>
        <v>0</v>
      </c>
      <c r="AN49" s="523"/>
      <c r="AO49" s="524"/>
      <c r="AP49" s="482">
        <f t="shared" si="172"/>
        <v>0</v>
      </c>
      <c r="AQ49" s="523"/>
      <c r="AR49" s="524"/>
      <c r="AS49" s="482">
        <f t="shared" si="173"/>
        <v>0</v>
      </c>
      <c r="AT49" s="523"/>
      <c r="AU49" s="524"/>
      <c r="AV49" s="482">
        <f t="shared" si="174"/>
        <v>0</v>
      </c>
      <c r="AW49" s="523"/>
      <c r="AX49" s="525">
        <v>0</v>
      </c>
      <c r="AY49" s="482">
        <f t="shared" si="175"/>
        <v>0</v>
      </c>
      <c r="AZ49" s="526">
        <v>0</v>
      </c>
      <c r="BA49" s="525">
        <v>0</v>
      </c>
      <c r="BB49" s="482">
        <f t="shared" si="176"/>
        <v>0</v>
      </c>
      <c r="BC49" s="526">
        <v>0</v>
      </c>
      <c r="BD49" s="525">
        <v>0</v>
      </c>
      <c r="BE49" s="482">
        <f t="shared" si="177"/>
        <v>0</v>
      </c>
      <c r="BF49" s="526">
        <v>0</v>
      </c>
      <c r="BG49" s="525">
        <v>0</v>
      </c>
      <c r="BH49" s="482">
        <f t="shared" si="210"/>
        <v>0</v>
      </c>
      <c r="BI49" s="526">
        <v>0</v>
      </c>
      <c r="BJ49" s="525">
        <v>0</v>
      </c>
      <c r="BK49" s="482">
        <f t="shared" si="178"/>
        <v>0</v>
      </c>
      <c r="BL49" s="526">
        <v>0</v>
      </c>
      <c r="BM49" s="525">
        <v>0</v>
      </c>
      <c r="BN49" s="482">
        <f t="shared" si="179"/>
        <v>0</v>
      </c>
      <c r="BO49" s="526">
        <v>0</v>
      </c>
      <c r="BP49" s="525">
        <v>0</v>
      </c>
      <c r="BQ49" s="482">
        <f t="shared" si="180"/>
        <v>0</v>
      </c>
      <c r="BR49" s="526">
        <v>0</v>
      </c>
      <c r="BS49" s="525">
        <v>0</v>
      </c>
      <c r="BT49" s="482">
        <f t="shared" si="181"/>
        <v>0</v>
      </c>
      <c r="BU49" s="526">
        <v>0</v>
      </c>
      <c r="BV49" s="525">
        <v>0</v>
      </c>
      <c r="BW49" s="482">
        <f t="shared" si="182"/>
        <v>0</v>
      </c>
      <c r="BX49" s="526">
        <v>0</v>
      </c>
      <c r="BY49" s="525">
        <v>0</v>
      </c>
      <c r="BZ49" s="482">
        <f t="shared" si="183"/>
        <v>0</v>
      </c>
      <c r="CA49" s="526">
        <v>0</v>
      </c>
      <c r="CB49" s="525">
        <v>0</v>
      </c>
      <c r="CC49" s="482">
        <f t="shared" si="184"/>
        <v>0</v>
      </c>
      <c r="CD49" s="526">
        <v>0</v>
      </c>
      <c r="CE49" s="525">
        <v>0</v>
      </c>
      <c r="CF49" s="482">
        <f t="shared" si="185"/>
        <v>0</v>
      </c>
      <c r="CG49" s="526">
        <v>0</v>
      </c>
      <c r="CH49" s="525">
        <v>0</v>
      </c>
      <c r="CI49" s="482">
        <f t="shared" si="186"/>
        <v>0</v>
      </c>
      <c r="CJ49" s="526">
        <v>0</v>
      </c>
      <c r="CK49" s="525">
        <v>0</v>
      </c>
      <c r="CL49" s="482">
        <f t="shared" si="187"/>
        <v>0</v>
      </c>
      <c r="CM49" s="526">
        <v>0</v>
      </c>
      <c r="CN49" s="525">
        <v>0</v>
      </c>
      <c r="CO49" s="482">
        <f t="shared" si="188"/>
        <v>0</v>
      </c>
      <c r="CP49" s="526">
        <v>0</v>
      </c>
      <c r="CQ49" s="525">
        <v>0</v>
      </c>
      <c r="CR49" s="482">
        <f t="shared" si="189"/>
        <v>0</v>
      </c>
      <c r="CS49" s="526">
        <v>0</v>
      </c>
      <c r="CT49" s="525">
        <v>0</v>
      </c>
      <c r="CU49" s="482">
        <f t="shared" si="190"/>
        <v>0</v>
      </c>
      <c r="CV49" s="526">
        <v>0</v>
      </c>
      <c r="CW49" s="525">
        <v>0</v>
      </c>
      <c r="CX49" s="482">
        <f t="shared" si="191"/>
        <v>0</v>
      </c>
      <c r="CY49" s="526">
        <v>0</v>
      </c>
      <c r="CZ49" s="525">
        <v>0</v>
      </c>
      <c r="DA49" s="482">
        <f t="shared" si="192"/>
        <v>0</v>
      </c>
      <c r="DB49" s="526">
        <v>0</v>
      </c>
      <c r="DC49" s="525">
        <v>0</v>
      </c>
      <c r="DD49" s="482">
        <f t="shared" si="193"/>
        <v>0</v>
      </c>
      <c r="DE49" s="526">
        <v>0</v>
      </c>
      <c r="DF49" s="525">
        <v>0</v>
      </c>
      <c r="DG49" s="482">
        <f t="shared" si="194"/>
        <v>0</v>
      </c>
      <c r="DH49" s="1264">
        <v>0</v>
      </c>
      <c r="DI49" s="1464">
        <v>0</v>
      </c>
      <c r="DJ49" s="482">
        <f t="shared" si="195"/>
        <v>0</v>
      </c>
      <c r="DK49" s="1468">
        <v>0</v>
      </c>
      <c r="DL49" s="1464">
        <v>0</v>
      </c>
      <c r="DM49" s="482">
        <f t="shared" si="196"/>
        <v>0</v>
      </c>
      <c r="DN49" s="1468">
        <v>0</v>
      </c>
      <c r="DO49" s="1464">
        <v>0</v>
      </c>
      <c r="DP49" s="482">
        <f t="shared" si="197"/>
        <v>0</v>
      </c>
      <c r="DQ49" s="1468">
        <v>0</v>
      </c>
      <c r="DR49" s="1464">
        <v>0</v>
      </c>
      <c r="DS49" s="482">
        <f t="shared" si="198"/>
        <v>0</v>
      </c>
      <c r="DT49" s="1468">
        <v>0</v>
      </c>
      <c r="DU49" s="1464">
        <v>0</v>
      </c>
      <c r="DV49" s="482">
        <f t="shared" si="199"/>
        <v>0</v>
      </c>
      <c r="DW49" s="1468">
        <v>0</v>
      </c>
      <c r="DX49" s="1464">
        <v>0</v>
      </c>
      <c r="DY49" s="482">
        <f t="shared" si="200"/>
        <v>0</v>
      </c>
      <c r="DZ49" s="1468">
        <v>0</v>
      </c>
      <c r="EA49" s="1464">
        <v>0</v>
      </c>
      <c r="EB49" s="482">
        <f t="shared" si="201"/>
        <v>0</v>
      </c>
      <c r="EC49" s="1468">
        <v>0</v>
      </c>
      <c r="ED49" s="1464">
        <v>0</v>
      </c>
      <c r="EE49" s="482">
        <f t="shared" si="202"/>
        <v>0</v>
      </c>
      <c r="EF49" s="1468">
        <v>0</v>
      </c>
      <c r="EG49" s="1464">
        <v>0</v>
      </c>
      <c r="EH49" s="482">
        <f t="shared" si="203"/>
        <v>0</v>
      </c>
      <c r="EI49" s="1468">
        <v>0</v>
      </c>
      <c r="EJ49" s="1464">
        <v>0</v>
      </c>
      <c r="EK49" s="482">
        <f t="shared" si="204"/>
        <v>0</v>
      </c>
      <c r="EL49" s="1468">
        <v>0</v>
      </c>
      <c r="EM49" s="1464">
        <v>0</v>
      </c>
      <c r="EN49" s="482">
        <f t="shared" si="205"/>
        <v>0</v>
      </c>
      <c r="EO49" s="1468">
        <v>0</v>
      </c>
      <c r="EP49" s="1464">
        <v>0</v>
      </c>
      <c r="EQ49" s="482">
        <f t="shared" si="206"/>
        <v>0</v>
      </c>
      <c r="ER49" s="1468">
        <v>0</v>
      </c>
      <c r="ES49" s="1464">
        <v>0</v>
      </c>
      <c r="ET49" s="482">
        <f t="shared" si="207"/>
        <v>0</v>
      </c>
      <c r="EU49" s="1468">
        <v>0</v>
      </c>
      <c r="EV49" s="1464">
        <v>0</v>
      </c>
      <c r="EW49" s="482">
        <f t="shared" si="208"/>
        <v>0</v>
      </c>
      <c r="EX49" s="1468">
        <v>0</v>
      </c>
      <c r="EY49" s="1464">
        <v>0</v>
      </c>
      <c r="EZ49" s="482">
        <f t="shared" si="209"/>
        <v>0</v>
      </c>
      <c r="FA49" s="1468">
        <v>0</v>
      </c>
      <c r="FB49" s="534"/>
      <c r="FE49"/>
      <c r="FF49"/>
      <c r="FG49"/>
      <c r="FH49"/>
      <c r="FI49"/>
      <c r="FJ49"/>
      <c r="FK49" s="35"/>
    </row>
    <row r="50" spans="2:167" s="236" customFormat="1" ht="13.35" customHeight="1" outlineLevel="1">
      <c r="B50" s="241" t="s">
        <v>694</v>
      </c>
      <c r="C50" s="242" t="s">
        <v>496</v>
      </c>
      <c r="D50" s="243"/>
      <c r="E50" s="522"/>
      <c r="F50" s="482"/>
      <c r="G50" s="523"/>
      <c r="H50" s="524"/>
      <c r="I50" s="482"/>
      <c r="J50" s="523"/>
      <c r="K50" s="524"/>
      <c r="L50" s="482"/>
      <c r="M50" s="523"/>
      <c r="N50" s="524"/>
      <c r="O50" s="482"/>
      <c r="P50" s="523"/>
      <c r="Q50" s="524"/>
      <c r="R50" s="482"/>
      <c r="S50" s="523"/>
      <c r="T50" s="524"/>
      <c r="U50" s="482"/>
      <c r="V50" s="523"/>
      <c r="W50" s="524"/>
      <c r="X50" s="482"/>
      <c r="Y50" s="523"/>
      <c r="Z50" s="524"/>
      <c r="AA50" s="482"/>
      <c r="AB50" s="523"/>
      <c r="AC50" s="524"/>
      <c r="AD50" s="482"/>
      <c r="AE50" s="523"/>
      <c r="AF50" s="524"/>
      <c r="AG50" s="482"/>
      <c r="AH50" s="523"/>
      <c r="AI50" s="524"/>
      <c r="AJ50" s="482"/>
      <c r="AK50" s="523"/>
      <c r="AL50" s="524"/>
      <c r="AM50" s="482"/>
      <c r="AN50" s="523"/>
      <c r="AO50" s="524"/>
      <c r="AP50" s="482"/>
      <c r="AQ50" s="523"/>
      <c r="AR50" s="524"/>
      <c r="AS50" s="482"/>
      <c r="AT50" s="523"/>
      <c r="AU50" s="524"/>
      <c r="AV50" s="482"/>
      <c r="AW50" s="523"/>
      <c r="AX50" s="524"/>
      <c r="AY50" s="482"/>
      <c r="AZ50" s="523"/>
      <c r="BA50" s="524"/>
      <c r="BB50" s="482"/>
      <c r="BC50" s="523"/>
      <c r="BD50" s="524"/>
      <c r="BE50" s="482"/>
      <c r="BF50" s="523"/>
      <c r="BG50" s="524"/>
      <c r="BH50" s="482"/>
      <c r="BI50" s="523"/>
      <c r="BJ50" s="524"/>
      <c r="BK50" s="482"/>
      <c r="BL50" s="523"/>
      <c r="BM50" s="524"/>
      <c r="BN50" s="482"/>
      <c r="BO50" s="523"/>
      <c r="BP50" s="524"/>
      <c r="BQ50" s="482"/>
      <c r="BR50" s="523"/>
      <c r="BS50" s="524"/>
      <c r="BT50" s="482"/>
      <c r="BU50" s="523"/>
      <c r="BV50" s="524"/>
      <c r="BW50" s="482"/>
      <c r="BX50" s="523"/>
      <c r="BY50" s="524"/>
      <c r="BZ50" s="482"/>
      <c r="CA50" s="523"/>
      <c r="CB50" s="524"/>
      <c r="CC50" s="482"/>
      <c r="CD50" s="523"/>
      <c r="CE50" s="524"/>
      <c r="CF50" s="482"/>
      <c r="CG50" s="523"/>
      <c r="CH50" s="524"/>
      <c r="CI50" s="482"/>
      <c r="CJ50" s="523"/>
      <c r="CK50" s="524"/>
      <c r="CL50" s="482"/>
      <c r="CM50" s="523"/>
      <c r="CN50" s="524"/>
      <c r="CO50" s="482"/>
      <c r="CP50" s="523"/>
      <c r="CQ50" s="524"/>
      <c r="CR50" s="482"/>
      <c r="CS50" s="523"/>
      <c r="CT50" s="524"/>
      <c r="CU50" s="482"/>
      <c r="CV50" s="523"/>
      <c r="CW50" s="524"/>
      <c r="CX50" s="482"/>
      <c r="CY50" s="523"/>
      <c r="CZ50" s="524"/>
      <c r="DA50" s="482"/>
      <c r="DB50" s="523"/>
      <c r="DC50" s="524"/>
      <c r="DD50" s="482"/>
      <c r="DE50" s="523"/>
      <c r="DF50" s="524"/>
      <c r="DG50" s="482"/>
      <c r="DH50" s="1259"/>
      <c r="DI50" s="534"/>
      <c r="DJ50" s="482"/>
      <c r="DK50" s="1262"/>
      <c r="DL50" s="534"/>
      <c r="DM50" s="482"/>
      <c r="DN50" s="1262"/>
      <c r="DO50" s="534"/>
      <c r="DP50" s="482"/>
      <c r="DQ50" s="1262"/>
      <c r="DR50" s="534"/>
      <c r="DS50" s="482"/>
      <c r="DT50" s="1262"/>
      <c r="DU50" s="534"/>
      <c r="DV50" s="482"/>
      <c r="DW50" s="1262"/>
      <c r="DX50" s="534"/>
      <c r="DY50" s="482"/>
      <c r="DZ50" s="1262"/>
      <c r="EA50" s="534"/>
      <c r="EB50" s="482"/>
      <c r="EC50" s="1262"/>
      <c r="ED50" s="534"/>
      <c r="EE50" s="482"/>
      <c r="EF50" s="1262"/>
      <c r="EG50" s="534"/>
      <c r="EH50" s="482"/>
      <c r="EI50" s="1262"/>
      <c r="EJ50" s="534"/>
      <c r="EK50" s="482"/>
      <c r="EL50" s="1262"/>
      <c r="EM50" s="534"/>
      <c r="EN50" s="482"/>
      <c r="EO50" s="1262"/>
      <c r="EP50" s="534"/>
      <c r="EQ50" s="482"/>
      <c r="ER50" s="1262"/>
      <c r="ES50" s="534"/>
      <c r="ET50" s="482"/>
      <c r="EU50" s="1262"/>
      <c r="EV50" s="534"/>
      <c r="EW50" s="482"/>
      <c r="EX50" s="1262"/>
      <c r="EY50" s="534"/>
      <c r="EZ50" s="482"/>
      <c r="FA50" s="1262"/>
      <c r="FB50" s="534"/>
      <c r="FE50"/>
      <c r="FF50"/>
      <c r="FG50"/>
      <c r="FH50"/>
      <c r="FI50"/>
      <c r="FJ50"/>
      <c r="FK50" s="35"/>
    </row>
    <row r="51" spans="2:167" s="236" customFormat="1" ht="13.35" customHeight="1" outlineLevel="1">
      <c r="B51" s="241" t="s">
        <v>695</v>
      </c>
      <c r="C51" s="242" t="s">
        <v>496</v>
      </c>
      <c r="D51" s="243"/>
      <c r="E51" s="522"/>
      <c r="F51" s="482"/>
      <c r="G51" s="523"/>
      <c r="H51" s="524"/>
      <c r="I51" s="482"/>
      <c r="J51" s="523"/>
      <c r="K51" s="524"/>
      <c r="L51" s="482"/>
      <c r="M51" s="523"/>
      <c r="N51" s="524"/>
      <c r="O51" s="482"/>
      <c r="P51" s="523"/>
      <c r="Q51" s="524"/>
      <c r="R51" s="482"/>
      <c r="S51" s="523"/>
      <c r="T51" s="524"/>
      <c r="U51" s="482"/>
      <c r="V51" s="523"/>
      <c r="W51" s="524"/>
      <c r="X51" s="482"/>
      <c r="Y51" s="523"/>
      <c r="Z51" s="524"/>
      <c r="AA51" s="482"/>
      <c r="AB51" s="523"/>
      <c r="AC51" s="524"/>
      <c r="AD51" s="482"/>
      <c r="AE51" s="523"/>
      <c r="AF51" s="524"/>
      <c r="AG51" s="482"/>
      <c r="AH51" s="523"/>
      <c r="AI51" s="524"/>
      <c r="AJ51" s="482"/>
      <c r="AK51" s="523"/>
      <c r="AL51" s="524"/>
      <c r="AM51" s="482"/>
      <c r="AN51" s="523"/>
      <c r="AO51" s="524"/>
      <c r="AP51" s="482"/>
      <c r="AQ51" s="523"/>
      <c r="AR51" s="524"/>
      <c r="AS51" s="482"/>
      <c r="AT51" s="523"/>
      <c r="AU51" s="524"/>
      <c r="AV51" s="482"/>
      <c r="AW51" s="523"/>
      <c r="AX51" s="524"/>
      <c r="AY51" s="482"/>
      <c r="AZ51" s="523"/>
      <c r="BA51" s="524"/>
      <c r="BB51" s="482"/>
      <c r="BC51" s="523"/>
      <c r="BD51" s="524"/>
      <c r="BE51" s="482"/>
      <c r="BF51" s="523"/>
      <c r="BG51" s="524"/>
      <c r="BH51" s="482"/>
      <c r="BI51" s="523"/>
      <c r="BJ51" s="524"/>
      <c r="BK51" s="482"/>
      <c r="BL51" s="523"/>
      <c r="BM51" s="524"/>
      <c r="BN51" s="482"/>
      <c r="BO51" s="523"/>
      <c r="BP51" s="524"/>
      <c r="BQ51" s="482"/>
      <c r="BR51" s="523"/>
      <c r="BS51" s="524"/>
      <c r="BT51" s="482"/>
      <c r="BU51" s="523"/>
      <c r="BV51" s="524"/>
      <c r="BW51" s="482"/>
      <c r="BX51" s="523"/>
      <c r="BY51" s="524"/>
      <c r="BZ51" s="482"/>
      <c r="CA51" s="523"/>
      <c r="CB51" s="524"/>
      <c r="CC51" s="482"/>
      <c r="CD51" s="523"/>
      <c r="CE51" s="524"/>
      <c r="CF51" s="482"/>
      <c r="CG51" s="523"/>
      <c r="CH51" s="524"/>
      <c r="CI51" s="482"/>
      <c r="CJ51" s="523"/>
      <c r="CK51" s="524"/>
      <c r="CL51" s="482"/>
      <c r="CM51" s="523"/>
      <c r="CN51" s="524"/>
      <c r="CO51" s="482"/>
      <c r="CP51" s="523"/>
      <c r="CQ51" s="524"/>
      <c r="CR51" s="482"/>
      <c r="CS51" s="523"/>
      <c r="CT51" s="524"/>
      <c r="CU51" s="482"/>
      <c r="CV51" s="523"/>
      <c r="CW51" s="524"/>
      <c r="CX51" s="482"/>
      <c r="CY51" s="523"/>
      <c r="CZ51" s="524"/>
      <c r="DA51" s="482"/>
      <c r="DB51" s="523"/>
      <c r="DC51" s="524"/>
      <c r="DD51" s="482"/>
      <c r="DE51" s="523"/>
      <c r="DF51" s="524"/>
      <c r="DG51" s="482"/>
      <c r="DH51" s="1259"/>
      <c r="DI51" s="534"/>
      <c r="DJ51" s="482"/>
      <c r="DK51" s="1262"/>
      <c r="DL51" s="534"/>
      <c r="DM51" s="482"/>
      <c r="DN51" s="1262"/>
      <c r="DO51" s="534"/>
      <c r="DP51" s="482"/>
      <c r="DQ51" s="1262"/>
      <c r="DR51" s="534"/>
      <c r="DS51" s="482"/>
      <c r="DT51" s="1262"/>
      <c r="DU51" s="534"/>
      <c r="DV51" s="482"/>
      <c r="DW51" s="1262"/>
      <c r="DX51" s="534"/>
      <c r="DY51" s="482"/>
      <c r="DZ51" s="1262"/>
      <c r="EA51" s="534"/>
      <c r="EB51" s="482"/>
      <c r="EC51" s="1262"/>
      <c r="ED51" s="534"/>
      <c r="EE51" s="482"/>
      <c r="EF51" s="1262"/>
      <c r="EG51" s="534"/>
      <c r="EH51" s="482"/>
      <c r="EI51" s="1262"/>
      <c r="EJ51" s="534"/>
      <c r="EK51" s="482"/>
      <c r="EL51" s="1262"/>
      <c r="EM51" s="534"/>
      <c r="EN51" s="482"/>
      <c r="EO51" s="1262"/>
      <c r="EP51" s="534"/>
      <c r="EQ51" s="482"/>
      <c r="ER51" s="1262"/>
      <c r="ES51" s="534"/>
      <c r="ET51" s="482"/>
      <c r="EU51" s="1262"/>
      <c r="EV51" s="534"/>
      <c r="EW51" s="482"/>
      <c r="EX51" s="1262"/>
      <c r="EY51" s="534"/>
      <c r="EZ51" s="482"/>
      <c r="FA51" s="1262"/>
      <c r="FB51" s="534"/>
      <c r="FE51"/>
      <c r="FF51"/>
      <c r="FG51"/>
      <c r="FH51"/>
      <c r="FI51"/>
      <c r="FJ51"/>
      <c r="FK51" s="35"/>
    </row>
    <row r="52" spans="2:167" s="236" customFormat="1" ht="13.35" customHeight="1" outlineLevel="1" thickBot="1">
      <c r="B52" s="242" t="s">
        <v>122</v>
      </c>
      <c r="C52" s="242" t="s">
        <v>496</v>
      </c>
      <c r="D52" s="243"/>
      <c r="E52" s="540"/>
      <c r="F52" s="482">
        <f t="shared" si="160"/>
        <v>0</v>
      </c>
      <c r="G52" s="541"/>
      <c r="H52" s="542"/>
      <c r="I52" s="482">
        <f t="shared" si="161"/>
        <v>0</v>
      </c>
      <c r="J52" s="541"/>
      <c r="K52" s="542"/>
      <c r="L52" s="482">
        <f t="shared" si="162"/>
        <v>0</v>
      </c>
      <c r="M52" s="541"/>
      <c r="N52" s="542"/>
      <c r="O52" s="482">
        <f t="shared" si="163"/>
        <v>0</v>
      </c>
      <c r="P52" s="541"/>
      <c r="Q52" s="542"/>
      <c r="R52" s="482">
        <f t="shared" si="164"/>
        <v>0</v>
      </c>
      <c r="S52" s="541"/>
      <c r="T52" s="542"/>
      <c r="U52" s="482">
        <f t="shared" si="165"/>
        <v>0</v>
      </c>
      <c r="V52" s="541"/>
      <c r="W52" s="542"/>
      <c r="X52" s="482">
        <f t="shared" si="166"/>
        <v>0</v>
      </c>
      <c r="Y52" s="541"/>
      <c r="Z52" s="542"/>
      <c r="AA52" s="482">
        <f t="shared" si="167"/>
        <v>0</v>
      </c>
      <c r="AB52" s="541"/>
      <c r="AC52" s="542"/>
      <c r="AD52" s="482">
        <f t="shared" si="168"/>
        <v>0</v>
      </c>
      <c r="AE52" s="541"/>
      <c r="AF52" s="542"/>
      <c r="AG52" s="482">
        <f t="shared" si="169"/>
        <v>0</v>
      </c>
      <c r="AH52" s="541"/>
      <c r="AI52" s="542"/>
      <c r="AJ52" s="482">
        <f t="shared" si="170"/>
        <v>0</v>
      </c>
      <c r="AK52" s="541"/>
      <c r="AL52" s="542"/>
      <c r="AM52" s="482">
        <f t="shared" si="171"/>
        <v>0</v>
      </c>
      <c r="AN52" s="541"/>
      <c r="AO52" s="542"/>
      <c r="AP52" s="482">
        <f t="shared" si="172"/>
        <v>0</v>
      </c>
      <c r="AQ52" s="541"/>
      <c r="AR52" s="542"/>
      <c r="AS52" s="482">
        <f t="shared" si="173"/>
        <v>0</v>
      </c>
      <c r="AT52" s="541"/>
      <c r="AU52" s="542"/>
      <c r="AV52" s="482">
        <f t="shared" si="174"/>
        <v>0</v>
      </c>
      <c r="AW52" s="541"/>
      <c r="AX52" s="543">
        <v>0</v>
      </c>
      <c r="AY52" s="482">
        <f t="shared" si="175"/>
        <v>0</v>
      </c>
      <c r="AZ52" s="544">
        <v>0</v>
      </c>
      <c r="BA52" s="543">
        <v>0</v>
      </c>
      <c r="BB52" s="482">
        <f t="shared" si="176"/>
        <v>0</v>
      </c>
      <c r="BC52" s="544">
        <v>0</v>
      </c>
      <c r="BD52" s="543">
        <v>0</v>
      </c>
      <c r="BE52" s="482">
        <f t="shared" si="177"/>
        <v>0</v>
      </c>
      <c r="BF52" s="544">
        <v>0</v>
      </c>
      <c r="BG52" s="543">
        <v>0</v>
      </c>
      <c r="BH52" s="482">
        <f t="shared" si="210"/>
        <v>0</v>
      </c>
      <c r="BI52" s="544">
        <v>0</v>
      </c>
      <c r="BJ52" s="543">
        <v>0</v>
      </c>
      <c r="BK52" s="482">
        <f t="shared" si="178"/>
        <v>0</v>
      </c>
      <c r="BL52" s="544">
        <v>0</v>
      </c>
      <c r="BM52" s="543">
        <v>0</v>
      </c>
      <c r="BN52" s="482">
        <f t="shared" si="179"/>
        <v>0</v>
      </c>
      <c r="BO52" s="544">
        <v>0</v>
      </c>
      <c r="BP52" s="543">
        <v>0</v>
      </c>
      <c r="BQ52" s="482">
        <f>+BR52-BP52</f>
        <v>0</v>
      </c>
      <c r="BR52" s="544">
        <v>0</v>
      </c>
      <c r="BS52" s="543">
        <v>0</v>
      </c>
      <c r="BT52" s="482">
        <f t="shared" si="181"/>
        <v>0</v>
      </c>
      <c r="BU52" s="544">
        <v>0</v>
      </c>
      <c r="BV52" s="543">
        <v>0</v>
      </c>
      <c r="BW52" s="482">
        <f t="shared" si="182"/>
        <v>0</v>
      </c>
      <c r="BX52" s="544">
        <v>0</v>
      </c>
      <c r="BY52" s="543">
        <v>0</v>
      </c>
      <c r="BZ52" s="482">
        <f t="shared" si="183"/>
        <v>0</v>
      </c>
      <c r="CA52" s="544">
        <v>0</v>
      </c>
      <c r="CB52" s="543">
        <v>0</v>
      </c>
      <c r="CC52" s="482">
        <f t="shared" si="184"/>
        <v>0</v>
      </c>
      <c r="CD52" s="544">
        <v>0</v>
      </c>
      <c r="CE52" s="543">
        <v>0</v>
      </c>
      <c r="CF52" s="482">
        <f t="shared" si="185"/>
        <v>0</v>
      </c>
      <c r="CG52" s="544">
        <v>0</v>
      </c>
      <c r="CH52" s="543">
        <v>0</v>
      </c>
      <c r="CI52" s="482">
        <f t="shared" si="186"/>
        <v>0</v>
      </c>
      <c r="CJ52" s="544">
        <v>0</v>
      </c>
      <c r="CK52" s="543">
        <v>0</v>
      </c>
      <c r="CL52" s="482">
        <f t="shared" si="187"/>
        <v>0</v>
      </c>
      <c r="CM52" s="544">
        <v>0</v>
      </c>
      <c r="CN52" s="543">
        <v>0</v>
      </c>
      <c r="CO52" s="482">
        <f t="shared" si="188"/>
        <v>0</v>
      </c>
      <c r="CP52" s="544">
        <v>0</v>
      </c>
      <c r="CQ52" s="543">
        <v>0</v>
      </c>
      <c r="CR52" s="482">
        <f t="shared" si="189"/>
        <v>0</v>
      </c>
      <c r="CS52" s="544">
        <v>0</v>
      </c>
      <c r="CT52" s="543">
        <v>0</v>
      </c>
      <c r="CU52" s="482">
        <f t="shared" si="190"/>
        <v>0</v>
      </c>
      <c r="CV52" s="544">
        <v>0</v>
      </c>
      <c r="CW52" s="543">
        <v>0</v>
      </c>
      <c r="CX52" s="482">
        <f t="shared" si="191"/>
        <v>0</v>
      </c>
      <c r="CY52" s="544">
        <v>0</v>
      </c>
      <c r="CZ52" s="543">
        <v>0</v>
      </c>
      <c r="DA52" s="482">
        <f t="shared" si="192"/>
        <v>0</v>
      </c>
      <c r="DB52" s="544">
        <v>0</v>
      </c>
      <c r="DC52" s="543">
        <v>0</v>
      </c>
      <c r="DD52" s="482">
        <f t="shared" si="193"/>
        <v>0</v>
      </c>
      <c r="DE52" s="544">
        <v>0</v>
      </c>
      <c r="DF52" s="543">
        <v>0</v>
      </c>
      <c r="DG52" s="482">
        <f>+DH52-DF52</f>
        <v>0</v>
      </c>
      <c r="DH52" s="1265">
        <v>0</v>
      </c>
      <c r="DI52" s="1464">
        <v>0</v>
      </c>
      <c r="DJ52" s="482">
        <f t="shared" si="195"/>
        <v>0</v>
      </c>
      <c r="DK52" s="1468">
        <v>0</v>
      </c>
      <c r="DL52" s="1464">
        <v>0</v>
      </c>
      <c r="DM52" s="482">
        <f t="shared" si="196"/>
        <v>0</v>
      </c>
      <c r="DN52" s="1468">
        <v>0</v>
      </c>
      <c r="DO52" s="1464">
        <v>0</v>
      </c>
      <c r="DP52" s="482">
        <f t="shared" si="197"/>
        <v>0</v>
      </c>
      <c r="DQ52" s="1468">
        <v>0</v>
      </c>
      <c r="DR52" s="1464">
        <v>0</v>
      </c>
      <c r="DS52" s="482">
        <f>+DT52-DR52</f>
        <v>0</v>
      </c>
      <c r="DT52" s="1468">
        <v>0</v>
      </c>
      <c r="DU52" s="1464">
        <v>0</v>
      </c>
      <c r="DV52" s="482">
        <f>+DW52-DU52</f>
        <v>0</v>
      </c>
      <c r="DW52" s="1468">
        <v>0</v>
      </c>
      <c r="DX52" s="1464">
        <v>0</v>
      </c>
      <c r="DY52" s="482">
        <f>+DZ52-DX52</f>
        <v>0</v>
      </c>
      <c r="DZ52" s="1468">
        <v>0</v>
      </c>
      <c r="EA52" s="1464">
        <v>0</v>
      </c>
      <c r="EB52" s="482">
        <f>+EC52-EA52</f>
        <v>0</v>
      </c>
      <c r="EC52" s="1468">
        <v>0</v>
      </c>
      <c r="ED52" s="1464">
        <v>0</v>
      </c>
      <c r="EE52" s="482">
        <f>+EF52-ED52</f>
        <v>0</v>
      </c>
      <c r="EF52" s="1468">
        <v>0</v>
      </c>
      <c r="EG52" s="1464">
        <v>0</v>
      </c>
      <c r="EH52" s="482">
        <f>+EI52-EG52</f>
        <v>0</v>
      </c>
      <c r="EI52" s="1468">
        <v>0</v>
      </c>
      <c r="EJ52" s="1464">
        <v>0</v>
      </c>
      <c r="EK52" s="482">
        <f>+EL52-EJ52</f>
        <v>0</v>
      </c>
      <c r="EL52" s="1468">
        <v>0</v>
      </c>
      <c r="EM52" s="1464">
        <v>0</v>
      </c>
      <c r="EN52" s="482">
        <f>+EO52-EM52</f>
        <v>0</v>
      </c>
      <c r="EO52" s="1468">
        <v>0</v>
      </c>
      <c r="EP52" s="1464">
        <v>0</v>
      </c>
      <c r="EQ52" s="482">
        <f>+ER52-EP52</f>
        <v>0</v>
      </c>
      <c r="ER52" s="1468">
        <v>0</v>
      </c>
      <c r="ES52" s="1464">
        <v>0</v>
      </c>
      <c r="ET52" s="482">
        <f>+EU52-ES52</f>
        <v>0</v>
      </c>
      <c r="EU52" s="1468">
        <v>0</v>
      </c>
      <c r="EV52" s="1464">
        <v>0</v>
      </c>
      <c r="EW52" s="482">
        <f>+EX52-EV52</f>
        <v>0</v>
      </c>
      <c r="EX52" s="1468">
        <v>0</v>
      </c>
      <c r="EY52" s="1464">
        <v>0</v>
      </c>
      <c r="EZ52" s="482">
        <f>+FA52-EY52</f>
        <v>0</v>
      </c>
      <c r="FA52" s="1468">
        <v>0</v>
      </c>
      <c r="FB52" s="534"/>
      <c r="FE52"/>
      <c r="FF52"/>
      <c r="FG52"/>
      <c r="FH52"/>
      <c r="FI52"/>
      <c r="FJ52"/>
      <c r="FK52" s="35"/>
    </row>
    <row r="53" spans="2:167" s="236" customFormat="1" ht="13.35" customHeight="1" outlineLevel="1">
      <c r="B53" s="242" t="s">
        <v>123</v>
      </c>
      <c r="C53" s="242" t="s">
        <v>496</v>
      </c>
      <c r="D53" s="243"/>
      <c r="E53" s="534">
        <f t="shared" ref="E53:BO53" si="211">+(E42-E35)-E55-SUM(E44:E52)</f>
        <v>0</v>
      </c>
      <c r="F53" s="482">
        <f t="shared" si="211"/>
        <v>0</v>
      </c>
      <c r="G53" s="534">
        <f t="shared" si="211"/>
        <v>0</v>
      </c>
      <c r="H53" s="534">
        <f t="shared" si="211"/>
        <v>0</v>
      </c>
      <c r="I53" s="482">
        <f t="shared" si="211"/>
        <v>0</v>
      </c>
      <c r="J53" s="534">
        <f t="shared" si="211"/>
        <v>0</v>
      </c>
      <c r="K53" s="534">
        <f t="shared" si="211"/>
        <v>0</v>
      </c>
      <c r="L53" s="482">
        <f t="shared" si="211"/>
        <v>0</v>
      </c>
      <c r="M53" s="534">
        <f t="shared" si="211"/>
        <v>0</v>
      </c>
      <c r="N53" s="534">
        <f t="shared" si="211"/>
        <v>0</v>
      </c>
      <c r="O53" s="482">
        <f t="shared" si="211"/>
        <v>0</v>
      </c>
      <c r="P53" s="534">
        <f t="shared" si="211"/>
        <v>0</v>
      </c>
      <c r="Q53" s="534">
        <f t="shared" si="211"/>
        <v>0</v>
      </c>
      <c r="R53" s="482">
        <f t="shared" si="211"/>
        <v>0</v>
      </c>
      <c r="S53" s="534">
        <f t="shared" si="211"/>
        <v>0</v>
      </c>
      <c r="T53" s="534">
        <f t="shared" si="211"/>
        <v>0</v>
      </c>
      <c r="U53" s="482">
        <f t="shared" si="211"/>
        <v>0</v>
      </c>
      <c r="V53" s="534">
        <f t="shared" si="211"/>
        <v>0</v>
      </c>
      <c r="W53" s="534">
        <f t="shared" si="211"/>
        <v>0</v>
      </c>
      <c r="X53" s="482">
        <f t="shared" si="211"/>
        <v>0</v>
      </c>
      <c r="Y53" s="534">
        <f t="shared" si="211"/>
        <v>0</v>
      </c>
      <c r="Z53" s="534">
        <f t="shared" si="211"/>
        <v>0</v>
      </c>
      <c r="AA53" s="482">
        <f t="shared" si="211"/>
        <v>0</v>
      </c>
      <c r="AB53" s="534">
        <f t="shared" si="211"/>
        <v>0</v>
      </c>
      <c r="AC53" s="534">
        <f t="shared" si="211"/>
        <v>0</v>
      </c>
      <c r="AD53" s="482">
        <f t="shared" si="211"/>
        <v>0</v>
      </c>
      <c r="AE53" s="534">
        <f t="shared" si="211"/>
        <v>0</v>
      </c>
      <c r="AF53" s="534">
        <f t="shared" si="211"/>
        <v>0</v>
      </c>
      <c r="AG53" s="482">
        <f t="shared" si="211"/>
        <v>0</v>
      </c>
      <c r="AH53" s="534">
        <f t="shared" si="211"/>
        <v>0</v>
      </c>
      <c r="AI53" s="534">
        <f t="shared" si="211"/>
        <v>28.083000000000002</v>
      </c>
      <c r="AJ53" s="482">
        <f t="shared" si="211"/>
        <v>26.634000000000015</v>
      </c>
      <c r="AK53" s="534">
        <f t="shared" si="211"/>
        <v>54.717000000000013</v>
      </c>
      <c r="AL53" s="534">
        <f t="shared" si="211"/>
        <v>30.038999999999998</v>
      </c>
      <c r="AM53" s="482">
        <f t="shared" si="211"/>
        <v>28.543000000000006</v>
      </c>
      <c r="AN53" s="534">
        <f t="shared" si="211"/>
        <v>58.582000000000008</v>
      </c>
      <c r="AO53" s="534">
        <f t="shared" si="211"/>
        <v>26.994000000000003</v>
      </c>
      <c r="AP53" s="482">
        <f t="shared" si="211"/>
        <v>29.367999999999999</v>
      </c>
      <c r="AQ53" s="534">
        <f t="shared" si="211"/>
        <v>56.361999999999995</v>
      </c>
      <c r="AR53" s="534">
        <f t="shared" si="211"/>
        <v>35.007000000000005</v>
      </c>
      <c r="AS53" s="482">
        <f t="shared" si="211"/>
        <v>38.017999999999979</v>
      </c>
      <c r="AT53" s="534">
        <f t="shared" si="211"/>
        <v>73.024999999999991</v>
      </c>
      <c r="AU53" s="534">
        <f t="shared" si="211"/>
        <v>52.573999999999998</v>
      </c>
      <c r="AV53" s="482">
        <f t="shared" si="211"/>
        <v>48.866</v>
      </c>
      <c r="AW53" s="534">
        <f t="shared" si="211"/>
        <v>101.44</v>
      </c>
      <c r="AX53" s="534">
        <f t="shared" si="211"/>
        <v>49.789000000000016</v>
      </c>
      <c r="AY53" s="482">
        <f t="shared" si="211"/>
        <v>57.761999999999986</v>
      </c>
      <c r="AZ53" s="534">
        <f t="shared" si="211"/>
        <v>107.55099999999999</v>
      </c>
      <c r="BA53" s="534">
        <f t="shared" si="211"/>
        <v>78.462999999999994</v>
      </c>
      <c r="BB53" s="482">
        <f t="shared" si="211"/>
        <v>93.584999999999994</v>
      </c>
      <c r="BC53" s="534">
        <f t="shared" si="211"/>
        <v>172.048</v>
      </c>
      <c r="BD53" s="534">
        <f t="shared" si="211"/>
        <v>70.212500000000006</v>
      </c>
      <c r="BE53" s="482">
        <f t="shared" si="211"/>
        <v>83.575500000000048</v>
      </c>
      <c r="BF53" s="534">
        <f t="shared" si="211"/>
        <v>153.78800000000001</v>
      </c>
      <c r="BG53" s="534"/>
      <c r="BH53" s="482"/>
      <c r="BI53" s="534">
        <f t="shared" si="211"/>
        <v>163.65599999999998</v>
      </c>
      <c r="BJ53" s="534">
        <f t="shared" si="211"/>
        <v>98.804000000000002</v>
      </c>
      <c r="BK53" s="482">
        <f t="shared" si="211"/>
        <v>131.74699999999996</v>
      </c>
      <c r="BL53" s="534">
        <f t="shared" si="211"/>
        <v>230.55099999999999</v>
      </c>
      <c r="BM53" s="534">
        <f t="shared" si="211"/>
        <v>119.77820000000003</v>
      </c>
      <c r="BN53" s="482">
        <f t="shared" si="211"/>
        <v>136.36979999999997</v>
      </c>
      <c r="BO53" s="534">
        <f t="shared" si="211"/>
        <v>256.14800000000002</v>
      </c>
      <c r="BP53" s="534">
        <f t="shared" ref="BP53:DK53" si="212">+(BP42-BP35)-BP55-SUM(BP44:BP52)</f>
        <v>158.4864747688259</v>
      </c>
      <c r="BQ53" s="482">
        <f t="shared" si="212"/>
        <v>169.20152523117414</v>
      </c>
      <c r="BR53" s="534">
        <f t="shared" si="212"/>
        <v>327.68800000000005</v>
      </c>
      <c r="BS53" s="534">
        <f t="shared" si="212"/>
        <v>182.66011571387565</v>
      </c>
      <c r="BT53" s="482">
        <f t="shared" si="212"/>
        <v>181.53717113529939</v>
      </c>
      <c r="BU53" s="534">
        <f t="shared" si="212"/>
        <v>364.19728684917516</v>
      </c>
      <c r="BV53" s="534">
        <f t="shared" si="212"/>
        <v>199.56647095510647</v>
      </c>
      <c r="BW53" s="482">
        <f t="shared" si="212"/>
        <v>193.8951846598689</v>
      </c>
      <c r="BX53" s="534">
        <f t="shared" si="212"/>
        <v>393.46165561497543</v>
      </c>
      <c r="BY53" s="534">
        <f t="shared" si="212"/>
        <v>259.1140070150733</v>
      </c>
      <c r="BZ53" s="482">
        <f t="shared" si="212"/>
        <v>218.03065392442207</v>
      </c>
      <c r="CA53" s="534">
        <f>+(CA42-CA35)-CA55-SUM(CA44:CA52)</f>
        <v>477.14466093949534</v>
      </c>
      <c r="CB53" s="534">
        <f t="shared" si="212"/>
        <v>220.2161681858106</v>
      </c>
      <c r="CC53" s="482">
        <f t="shared" si="212"/>
        <v>242.04454887490806</v>
      </c>
      <c r="CD53" s="534">
        <f t="shared" si="212"/>
        <v>462.26071706071866</v>
      </c>
      <c r="CE53" s="534">
        <f t="shared" si="212"/>
        <v>367.4267807228083</v>
      </c>
      <c r="CF53" s="482">
        <f t="shared" si="212"/>
        <v>276.97451570144148</v>
      </c>
      <c r="CG53" s="534">
        <f t="shared" si="212"/>
        <v>644.40129642424984</v>
      </c>
      <c r="CH53" s="534">
        <f t="shared" si="212"/>
        <v>253.46922545173985</v>
      </c>
      <c r="CI53" s="482">
        <f t="shared" si="212"/>
        <v>260.84468162441601</v>
      </c>
      <c r="CJ53" s="534">
        <f t="shared" si="212"/>
        <v>514.31390707615583</v>
      </c>
      <c r="CK53" s="534">
        <f t="shared" si="212"/>
        <v>256.96644664803102</v>
      </c>
      <c r="CL53" s="482">
        <f t="shared" si="212"/>
        <v>264.94290347682227</v>
      </c>
      <c r="CM53" s="534">
        <f t="shared" si="212"/>
        <v>521.90935012485329</v>
      </c>
      <c r="CN53" s="534">
        <f t="shared" si="212"/>
        <v>291.80855042604901</v>
      </c>
      <c r="CO53" s="482">
        <f t="shared" si="212"/>
        <v>307.34783057402569</v>
      </c>
      <c r="CP53" s="534">
        <f t="shared" si="212"/>
        <v>599.1563810000747</v>
      </c>
      <c r="CQ53" s="534">
        <f t="shared" si="212"/>
        <v>322.72757730967515</v>
      </c>
      <c r="CR53" s="482">
        <f t="shared" si="212"/>
        <v>372.41826019032476</v>
      </c>
      <c r="CS53" s="534">
        <f t="shared" si="212"/>
        <v>695.14583749999997</v>
      </c>
      <c r="CT53" s="534">
        <f t="shared" si="212"/>
        <v>411.95311183171577</v>
      </c>
      <c r="CU53" s="482">
        <f t="shared" si="212"/>
        <v>430.22185808650892</v>
      </c>
      <c r="CV53" s="534">
        <f t="shared" si="212"/>
        <v>842.17496991822463</v>
      </c>
      <c r="CW53" s="534">
        <f t="shared" si="212"/>
        <v>437.55279903206474</v>
      </c>
      <c r="CX53" s="482">
        <f t="shared" si="212"/>
        <v>473.4694865541544</v>
      </c>
      <c r="CY53" s="534">
        <f t="shared" si="212"/>
        <v>911.02228558621914</v>
      </c>
      <c r="CZ53" s="534">
        <f t="shared" si="212"/>
        <v>463.4225845056186</v>
      </c>
      <c r="DA53" s="482">
        <f t="shared" si="212"/>
        <v>497.68646093547079</v>
      </c>
      <c r="DB53" s="534">
        <f t="shared" si="212"/>
        <v>961.10904544108962</v>
      </c>
      <c r="DC53" s="534">
        <f t="shared" si="212"/>
        <v>508.0298552728118</v>
      </c>
      <c r="DD53" s="482">
        <f t="shared" si="212"/>
        <v>517.72813173020404</v>
      </c>
      <c r="DE53" s="534">
        <f t="shared" si="212"/>
        <v>1025.7579870030158</v>
      </c>
      <c r="DF53" s="534">
        <f t="shared" si="212"/>
        <v>535.03625189089496</v>
      </c>
      <c r="DG53" s="482">
        <f t="shared" si="212"/>
        <v>505.6638182470731</v>
      </c>
      <c r="DH53" s="1262">
        <f t="shared" si="212"/>
        <v>1040.7000701379679</v>
      </c>
      <c r="DI53" s="534">
        <f t="shared" si="212"/>
        <v>528.51899999999989</v>
      </c>
      <c r="DJ53" s="482">
        <f t="shared" si="212"/>
        <v>558.5809999999999</v>
      </c>
      <c r="DK53" s="1262">
        <f t="shared" si="212"/>
        <v>1087.0999999999999</v>
      </c>
      <c r="DL53" s="534">
        <f t="shared" ref="DL53:DQ53" si="213">+(DL42-DL35)-DL55-SUM(DL44:DL52)</f>
        <v>557.1</v>
      </c>
      <c r="DM53" s="482">
        <f t="shared" si="213"/>
        <v>613.90000000000009</v>
      </c>
      <c r="DN53" s="1262">
        <f t="shared" si="213"/>
        <v>1171</v>
      </c>
      <c r="DO53" s="534">
        <f t="shared" si="213"/>
        <v>644.60000000000014</v>
      </c>
      <c r="DP53" s="482">
        <f t="shared" si="213"/>
        <v>776</v>
      </c>
      <c r="DQ53" s="1262">
        <f t="shared" si="213"/>
        <v>1420.6000000000001</v>
      </c>
      <c r="DR53" s="534">
        <f t="shared" ref="DR53:DU53" si="214">+(DR42-DR35)-DR55-SUM(DR44:DR52)</f>
        <v>783.2</v>
      </c>
      <c r="DS53" s="482">
        <f t="shared" si="214"/>
        <v>832.40000000000032</v>
      </c>
      <c r="DT53" s="1262">
        <f t="shared" si="214"/>
        <v>1615.6000000000004</v>
      </c>
      <c r="DU53" s="534">
        <f t="shared" si="214"/>
        <v>841.3900000000001</v>
      </c>
      <c r="DV53" s="482">
        <f t="shared" ref="DV53:DX53" si="215">+(DV42-DV35)-DV55-SUM(DV44:DV52)</f>
        <v>857.3099999999996</v>
      </c>
      <c r="DW53" s="1262">
        <f t="shared" si="215"/>
        <v>1698.6999999999998</v>
      </c>
      <c r="DX53" s="534">
        <f t="shared" si="215"/>
        <v>860.8</v>
      </c>
      <c r="DY53" s="482">
        <f t="shared" ref="DY53:EC53" si="216">+(DY42-DY35)-DY55-SUM(DY44:DY52)</f>
        <v>992.23660623244859</v>
      </c>
      <c r="DZ53" s="1262">
        <f t="shared" si="216"/>
        <v>1853.0366062324485</v>
      </c>
      <c r="EA53" s="534">
        <f t="shared" si="216"/>
        <v>1020.0897868535556</v>
      </c>
      <c r="EB53" s="482">
        <f t="shared" si="216"/>
        <v>1051.6420394682298</v>
      </c>
      <c r="EC53" s="1262">
        <f t="shared" si="216"/>
        <v>2071.7318263217853</v>
      </c>
      <c r="ED53" s="534">
        <f t="shared" ref="ED53:EL53" si="217">+(ED42-ED35)-ED55-SUM(ED44:ED52)</f>
        <v>1103.6298370251141</v>
      </c>
      <c r="EE53" s="482">
        <f t="shared" si="217"/>
        <v>1137.7682232877214</v>
      </c>
      <c r="EF53" s="1262">
        <f t="shared" si="217"/>
        <v>2241.3980603128357</v>
      </c>
      <c r="EG53" s="534">
        <f t="shared" si="217"/>
        <v>1196.3782100184289</v>
      </c>
      <c r="EH53" s="482">
        <f t="shared" si="217"/>
        <v>1233.3855652743075</v>
      </c>
      <c r="EI53" s="1262">
        <f t="shared" si="217"/>
        <v>2429.7637752927367</v>
      </c>
      <c r="EJ53" s="534">
        <f t="shared" si="217"/>
        <v>1299.570773639181</v>
      </c>
      <c r="EK53" s="482">
        <f t="shared" si="217"/>
        <v>1339.7701661870287</v>
      </c>
      <c r="EL53" s="1262">
        <f t="shared" si="217"/>
        <v>2639.3409398262097</v>
      </c>
      <c r="EM53" s="534">
        <f t="shared" ref="EM53:ER53" si="218">+(EM42-EM35)-EM55-SUM(EM44:EM52)</f>
        <v>1414.5782200442322</v>
      </c>
      <c r="EN53" s="482">
        <f t="shared" si="218"/>
        <v>1458.3351175604444</v>
      </c>
      <c r="EO53" s="1262">
        <f t="shared" si="218"/>
        <v>2872.9133376046766</v>
      </c>
      <c r="EP53" s="534">
        <f t="shared" si="218"/>
        <v>1541.8902598482132</v>
      </c>
      <c r="EQ53" s="482">
        <f t="shared" si="218"/>
        <v>1589.5852781408844</v>
      </c>
      <c r="ER53" s="1262">
        <f t="shared" si="218"/>
        <v>3131.4755379890976</v>
      </c>
      <c r="ES53" s="534">
        <f t="shared" ref="ES53:EX53" si="219">+(ES42-ES35)-ES55-SUM(ES44:ES52)</f>
        <v>1680.6603832345527</v>
      </c>
      <c r="ET53" s="482">
        <f t="shared" si="219"/>
        <v>1732.647953173564</v>
      </c>
      <c r="EU53" s="1262">
        <f t="shared" si="219"/>
        <v>3413.3083364081167</v>
      </c>
      <c r="EV53" s="534">
        <f t="shared" si="219"/>
        <v>1831.9198177256626</v>
      </c>
      <c r="EW53" s="482">
        <f t="shared" si="219"/>
        <v>1888.586268959185</v>
      </c>
      <c r="EX53" s="1262">
        <f t="shared" si="219"/>
        <v>3720.5060866848476</v>
      </c>
      <c r="EY53" s="534">
        <f t="shared" ref="EY53:FA53" si="220">+(EY42-EY35)-EY55-SUM(EY44:EY52)</f>
        <v>1996.7926013209722</v>
      </c>
      <c r="EZ53" s="482">
        <f t="shared" si="220"/>
        <v>2058.5590331655121</v>
      </c>
      <c r="FA53" s="1262">
        <f t="shared" si="220"/>
        <v>4055.3516344864843</v>
      </c>
      <c r="FE53"/>
      <c r="FF53"/>
      <c r="FG53"/>
      <c r="FH53"/>
      <c r="FI53"/>
      <c r="FJ53"/>
      <c r="FK53" s="35"/>
    </row>
    <row r="54" spans="2:167" s="236" customFormat="1" ht="13.35" customHeight="1">
      <c r="B54" s="1483"/>
      <c r="C54" s="1483"/>
      <c r="D54" s="1484"/>
      <c r="E54" s="1537"/>
      <c r="F54" s="1485"/>
      <c r="G54" s="1537"/>
      <c r="H54" s="1537"/>
      <c r="I54" s="1485"/>
      <c r="J54" s="1537"/>
      <c r="K54" s="1537"/>
      <c r="L54" s="1485"/>
      <c r="M54" s="1537"/>
      <c r="N54" s="1537"/>
      <c r="O54" s="1485"/>
      <c r="P54" s="1537"/>
      <c r="Q54" s="1537"/>
      <c r="R54" s="1485"/>
      <c r="S54" s="1537"/>
      <c r="T54" s="1537"/>
      <c r="U54" s="1485"/>
      <c r="V54" s="1537"/>
      <c r="W54" s="1537"/>
      <c r="X54" s="1485"/>
      <c r="Y54" s="1537"/>
      <c r="Z54" s="1537"/>
      <c r="AA54" s="1485"/>
      <c r="AB54" s="1537"/>
      <c r="AC54" s="1537"/>
      <c r="AD54" s="1485"/>
      <c r="AE54" s="1537"/>
      <c r="AF54" s="1537"/>
      <c r="AG54" s="1485"/>
      <c r="AH54" s="1537"/>
      <c r="AI54" s="1537"/>
      <c r="AJ54" s="1485"/>
      <c r="AK54" s="1537"/>
      <c r="AL54" s="1537"/>
      <c r="AM54" s="1485"/>
      <c r="AN54" s="1537"/>
      <c r="AO54" s="1537"/>
      <c r="AP54" s="1485"/>
      <c r="AQ54" s="1537"/>
      <c r="AR54" s="1537"/>
      <c r="AS54" s="1485"/>
      <c r="AT54" s="1537"/>
      <c r="AU54" s="1537"/>
      <c r="AV54" s="1485"/>
      <c r="AW54" s="1537"/>
      <c r="AX54" s="1537"/>
      <c r="AY54" s="1485"/>
      <c r="AZ54" s="1537"/>
      <c r="BA54" s="1537"/>
      <c r="BB54" s="1485"/>
      <c r="BC54" s="1537"/>
      <c r="BD54" s="1537"/>
      <c r="BE54" s="1485"/>
      <c r="BF54" s="1537"/>
      <c r="BG54" s="1537"/>
      <c r="BH54" s="1485"/>
      <c r="BI54" s="1537"/>
      <c r="BJ54" s="1537"/>
      <c r="BK54" s="1485"/>
      <c r="BL54" s="1537"/>
      <c r="BM54" s="1537"/>
      <c r="BN54" s="1485"/>
      <c r="BO54" s="1537"/>
      <c r="BP54" s="1537"/>
      <c r="BQ54" s="1485"/>
      <c r="BR54" s="1537"/>
      <c r="BS54" s="1537"/>
      <c r="BT54" s="1485"/>
      <c r="BU54" s="1537"/>
      <c r="BV54" s="1537"/>
      <c r="BW54" s="1485"/>
      <c r="BX54" s="1537"/>
      <c r="BY54" s="1537"/>
      <c r="BZ54" s="1485"/>
      <c r="CA54" s="1537"/>
      <c r="CB54" s="1537"/>
      <c r="CC54" s="1485"/>
      <c r="CD54" s="1537"/>
      <c r="CE54" s="1537"/>
      <c r="CF54" s="1485"/>
      <c r="CG54" s="1537"/>
      <c r="CH54" s="1537"/>
      <c r="CI54" s="1485"/>
      <c r="CJ54" s="1537"/>
      <c r="CK54" s="1537"/>
      <c r="CL54" s="1485"/>
      <c r="CM54" s="1537"/>
      <c r="CN54" s="1537"/>
      <c r="CO54" s="1485"/>
      <c r="CP54" s="1537"/>
      <c r="CQ54" s="1537"/>
      <c r="CR54" s="1485"/>
      <c r="CS54" s="1537"/>
      <c r="CT54" s="1537"/>
      <c r="CU54" s="1485"/>
      <c r="CV54" s="1537"/>
      <c r="CW54" s="1537"/>
      <c r="CX54" s="1485"/>
      <c r="CY54" s="1537"/>
      <c r="CZ54" s="1537"/>
      <c r="DA54" s="1485"/>
      <c r="DB54" s="1537"/>
      <c r="DC54" s="1537"/>
      <c r="DD54" s="1485"/>
      <c r="DE54" s="1537"/>
      <c r="DF54" s="1537"/>
      <c r="DG54" s="1485"/>
      <c r="DH54" s="1538"/>
      <c r="DI54" s="1537"/>
      <c r="DJ54" s="1485"/>
      <c r="DK54" s="1538"/>
      <c r="DL54" s="1537"/>
      <c r="DM54" s="1485"/>
      <c r="DN54" s="1539"/>
      <c r="DO54" s="1537"/>
      <c r="DP54" s="1485"/>
      <c r="DQ54" s="1539"/>
      <c r="DR54" s="1537"/>
      <c r="DS54" s="1485"/>
      <c r="DT54" s="1539"/>
      <c r="DU54" s="1537"/>
      <c r="DV54" s="1485"/>
      <c r="DW54" s="1539"/>
      <c r="DX54" s="1537"/>
      <c r="DY54" s="1485"/>
      <c r="DZ54" s="1539"/>
      <c r="EA54" s="1537"/>
      <c r="EB54" s="1485"/>
      <c r="EC54" s="1539"/>
      <c r="ED54" s="1537"/>
      <c r="EE54" s="1485"/>
      <c r="EF54" s="1539"/>
      <c r="EG54" s="1537"/>
      <c r="EH54" s="1485"/>
      <c r="EI54" s="1539"/>
      <c r="EJ54" s="1537"/>
      <c r="EK54" s="1485"/>
      <c r="EL54" s="1539"/>
      <c r="EM54" s="1537"/>
      <c r="EN54" s="1485"/>
      <c r="EO54" s="1539"/>
      <c r="EP54" s="1537"/>
      <c r="EQ54" s="1485"/>
      <c r="ER54" s="1539"/>
      <c r="ES54" s="1537"/>
      <c r="ET54" s="1485"/>
      <c r="EU54" s="1539"/>
      <c r="EV54" s="1537"/>
      <c r="EW54" s="1485"/>
      <c r="EX54" s="1539"/>
      <c r="EY54" s="1537"/>
      <c r="EZ54" s="1485"/>
      <c r="FA54" s="1539"/>
      <c r="FE54"/>
      <c r="FF54"/>
      <c r="FG54"/>
      <c r="FH54"/>
      <c r="FI54"/>
      <c r="FJ54"/>
      <c r="FK54" s="35"/>
    </row>
    <row r="55" spans="2:167" s="236" customFormat="1" ht="13.35" customHeight="1">
      <c r="B55" s="444" t="s">
        <v>462</v>
      </c>
      <c r="C55" s="444" t="s">
        <v>496</v>
      </c>
      <c r="D55" s="1474"/>
      <c r="E55" s="867">
        <f>+E60+E57</f>
        <v>0</v>
      </c>
      <c r="F55" s="562">
        <f>+G55-E55</f>
        <v>0</v>
      </c>
      <c r="G55" s="867">
        <f>+G60+G57</f>
        <v>0</v>
      </c>
      <c r="H55" s="867">
        <f>+H60+H57</f>
        <v>0</v>
      </c>
      <c r="I55" s="562">
        <f>+J55-H55</f>
        <v>0</v>
      </c>
      <c r="J55" s="867">
        <f>+J60+J57</f>
        <v>0</v>
      </c>
      <c r="K55" s="867">
        <f>+K60+K57</f>
        <v>0</v>
      </c>
      <c r="L55" s="562">
        <f>+M55-K55</f>
        <v>0</v>
      </c>
      <c r="M55" s="867">
        <f>+M60+M57</f>
        <v>0</v>
      </c>
      <c r="N55" s="867">
        <f>+N60+N57</f>
        <v>0</v>
      </c>
      <c r="O55" s="562">
        <f>+P55-N55</f>
        <v>0</v>
      </c>
      <c r="P55" s="867">
        <f>+P60+P57</f>
        <v>0</v>
      </c>
      <c r="Q55" s="867">
        <f>+Q60+Q57</f>
        <v>0</v>
      </c>
      <c r="R55" s="562">
        <f>+S55-Q55</f>
        <v>0</v>
      </c>
      <c r="S55" s="867">
        <f>+S60+S57</f>
        <v>0</v>
      </c>
      <c r="T55" s="867">
        <f>+T60+T57</f>
        <v>0</v>
      </c>
      <c r="U55" s="562">
        <f>+V55-T55</f>
        <v>0</v>
      </c>
      <c r="V55" s="867">
        <f>+V60+V57</f>
        <v>0</v>
      </c>
      <c r="W55" s="867">
        <f>+W60+W57</f>
        <v>0</v>
      </c>
      <c r="X55" s="562">
        <f>+Y55-W55</f>
        <v>0</v>
      </c>
      <c r="Y55" s="867">
        <f>+Y60+Y57</f>
        <v>0</v>
      </c>
      <c r="Z55" s="867">
        <f>+Z60+Z57</f>
        <v>0</v>
      </c>
      <c r="AA55" s="562">
        <f>+AB55-Z55</f>
        <v>0</v>
      </c>
      <c r="AB55" s="867">
        <f>+AB60+AB57</f>
        <v>0</v>
      </c>
      <c r="AC55" s="867">
        <f>+AC60+AC57</f>
        <v>0</v>
      </c>
      <c r="AD55" s="562">
        <f>+AE55-AC55</f>
        <v>0</v>
      </c>
      <c r="AE55" s="867">
        <f>+AE60+AE57</f>
        <v>0</v>
      </c>
      <c r="AF55" s="867">
        <f>+AF60+AF57</f>
        <v>0</v>
      </c>
      <c r="AG55" s="562">
        <f>+AH55-AF55</f>
        <v>0</v>
      </c>
      <c r="AH55" s="867">
        <f>+AH60+AH57</f>
        <v>0</v>
      </c>
      <c r="AI55" s="867">
        <f>+AI60+AI57</f>
        <v>6.0839999999999996</v>
      </c>
      <c r="AJ55" s="562">
        <f>+AK55-AI55</f>
        <v>8.1219999999999999</v>
      </c>
      <c r="AK55" s="867">
        <f>+AK60+AK57</f>
        <v>14.206</v>
      </c>
      <c r="AL55" s="867">
        <f>+AL60+AL57</f>
        <v>7.0590000000000002</v>
      </c>
      <c r="AM55" s="562">
        <f>+AN55-AL55</f>
        <v>7.7890000000000006</v>
      </c>
      <c r="AN55" s="867">
        <f>+AN60+AN57</f>
        <v>14.848000000000001</v>
      </c>
      <c r="AO55" s="867">
        <f>+AO60+AO57</f>
        <v>6.5049999999999999</v>
      </c>
      <c r="AP55" s="562">
        <f>+AQ55-AO55</f>
        <v>9.3760000000000012</v>
      </c>
      <c r="AQ55" s="867">
        <f>+AQ60+AQ57</f>
        <v>15.881</v>
      </c>
      <c r="AR55" s="867">
        <f>+AR60+AR57</f>
        <v>8.1909999999999989</v>
      </c>
      <c r="AS55" s="562">
        <f>+AT55-AR55</f>
        <v>11.053000000000004</v>
      </c>
      <c r="AT55" s="867">
        <f>+AT60+AT57</f>
        <v>19.244000000000003</v>
      </c>
      <c r="AU55" s="867">
        <f>+AU60+AU57</f>
        <v>10.056999999999999</v>
      </c>
      <c r="AV55" s="562">
        <f>+AW55-AU55</f>
        <v>15.753</v>
      </c>
      <c r="AW55" s="867">
        <f>+AW60+AW57</f>
        <v>25.81</v>
      </c>
      <c r="AX55" s="867">
        <f>+AX60+AX57</f>
        <v>16.815000000000001</v>
      </c>
      <c r="AY55" s="562">
        <f>+AZ55-AX55</f>
        <v>20.596999999999998</v>
      </c>
      <c r="AZ55" s="867">
        <f>+AZ60+AZ57</f>
        <v>37.411999999999999</v>
      </c>
      <c r="BA55" s="867">
        <f>+BA60+BA57</f>
        <v>24.745000000000001</v>
      </c>
      <c r="BB55" s="562">
        <f>+BC55-BA55</f>
        <v>24.280999999999995</v>
      </c>
      <c r="BC55" s="867">
        <f>+BC60+BC57</f>
        <v>49.025999999999996</v>
      </c>
      <c r="BD55" s="867">
        <f>+BD60+BD57</f>
        <v>28.323499999999999</v>
      </c>
      <c r="BE55" s="562">
        <f>+BF55-BD55</f>
        <v>31.413500000000003</v>
      </c>
      <c r="BF55" s="867">
        <f>+BF60+BF57</f>
        <v>59.737000000000002</v>
      </c>
      <c r="BG55" s="867">
        <f>+BG60+BG57</f>
        <v>39.985999999999997</v>
      </c>
      <c r="BH55" s="562">
        <f>+BI55-BG55</f>
        <v>47.902999999999999</v>
      </c>
      <c r="BI55" s="867">
        <f>+BI60+BI57</f>
        <v>87.888999999999996</v>
      </c>
      <c r="BJ55" s="867">
        <f>+BJ60+BJ57</f>
        <v>39.235999999999997</v>
      </c>
      <c r="BK55" s="562">
        <f>+BL55-BJ55</f>
        <v>15.677000000000007</v>
      </c>
      <c r="BL55" s="867">
        <f>+BL60+BL57</f>
        <v>54.913000000000004</v>
      </c>
      <c r="BM55" s="867">
        <f>+BM60+BM57</f>
        <v>45.393799999999999</v>
      </c>
      <c r="BN55" s="562">
        <f>+BO55-BM55</f>
        <v>47.4512</v>
      </c>
      <c r="BO55" s="867">
        <f>+BO60+BO57</f>
        <v>92.844999999999999</v>
      </c>
      <c r="BP55" s="867">
        <f>+BP60+BP57</f>
        <v>67.0608</v>
      </c>
      <c r="BQ55" s="562">
        <f>+BR55-BP55</f>
        <v>57.511200000000002</v>
      </c>
      <c r="BR55" s="867">
        <f>+BR60+BR57</f>
        <v>124.572</v>
      </c>
      <c r="BS55" s="867">
        <f>+BS60+BS57</f>
        <v>81.188280000000006</v>
      </c>
      <c r="BT55" s="562">
        <f>+BU55-BS55</f>
        <v>89.71172</v>
      </c>
      <c r="BU55" s="867">
        <f>+BU60+BU57</f>
        <v>170.9</v>
      </c>
      <c r="BV55" s="867">
        <f>+BV60+BV57</f>
        <v>90.462440000000001</v>
      </c>
      <c r="BW55" s="562">
        <f>+BX55-BV55</f>
        <v>98.198560000000001</v>
      </c>
      <c r="BX55" s="867">
        <f>+BX60+BX57</f>
        <v>188.661</v>
      </c>
      <c r="BY55" s="867">
        <f>+BY60+BY57</f>
        <v>95.429000000000002</v>
      </c>
      <c r="BZ55" s="562">
        <f>+CA55-BY55</f>
        <v>101.46000000000001</v>
      </c>
      <c r="CA55" s="867">
        <f>+CA60+CA57</f>
        <v>196.88900000000001</v>
      </c>
      <c r="CB55" s="867">
        <f>+CB60+CB57</f>
        <v>111.5544</v>
      </c>
      <c r="CC55" s="562">
        <f>+CD55-CB55</f>
        <v>130.88560000000001</v>
      </c>
      <c r="CD55" s="867">
        <f>+CD60+CD57</f>
        <v>242.44000000000003</v>
      </c>
      <c r="CE55" s="867">
        <f>+CE60+CE57</f>
        <v>125.52868000000001</v>
      </c>
      <c r="CF55" s="562">
        <f>+CG55-CE55</f>
        <v>142.06632000000002</v>
      </c>
      <c r="CG55" s="867">
        <f>+CG60+CG57</f>
        <v>267.59500000000003</v>
      </c>
      <c r="CH55" s="867">
        <f>+CH60+CH57</f>
        <v>121.89367999999999</v>
      </c>
      <c r="CI55" s="562">
        <f>+CJ55-CH55</f>
        <v>117.49432000000002</v>
      </c>
      <c r="CJ55" s="867">
        <f>+CJ60+CJ57</f>
        <v>239.38800000000001</v>
      </c>
      <c r="CK55" s="867">
        <f>+CK60+CK57</f>
        <v>121.52068</v>
      </c>
      <c r="CL55" s="562">
        <f>+CM55-CK55</f>
        <v>81.440320000000014</v>
      </c>
      <c r="CM55" s="867">
        <f>+CM60+CM57</f>
        <v>202.96100000000001</v>
      </c>
      <c r="CN55" s="867">
        <f>+CN60+CN57</f>
        <v>63.757319999999993</v>
      </c>
      <c r="CO55" s="562">
        <f>+CP55-CN55</f>
        <v>109.97968</v>
      </c>
      <c r="CP55" s="867">
        <f>+CP60+CP57</f>
        <v>173.73699999999999</v>
      </c>
      <c r="CQ55" s="867">
        <f>+CQ60+CQ57</f>
        <v>115.62642269032489</v>
      </c>
      <c r="CR55" s="562">
        <f>+CS55-CQ55</f>
        <v>114.8567398096751</v>
      </c>
      <c r="CS55" s="867">
        <f>+CS60+CS57</f>
        <v>230.48316249999999</v>
      </c>
      <c r="CT55" s="867">
        <f>+CT60+CT57</f>
        <v>146.1354</v>
      </c>
      <c r="CU55" s="562">
        <f>+CV55-CT55</f>
        <v>140.56959999999998</v>
      </c>
      <c r="CV55" s="867">
        <f>+CV60+CV57</f>
        <v>286.70499999999998</v>
      </c>
      <c r="CW55" s="867">
        <f>+CW60+CW57</f>
        <v>171.56539999999998</v>
      </c>
      <c r="CX55" s="562">
        <f>+CY55-CW55</f>
        <v>170.43640880000001</v>
      </c>
      <c r="CY55" s="867">
        <f>+CY60+CY57</f>
        <v>342.00180879999999</v>
      </c>
      <c r="CZ55" s="867">
        <f>+CZ60+CZ57</f>
        <v>175.91197919999999</v>
      </c>
      <c r="DA55" s="562">
        <f>+DB55-CZ55</f>
        <v>206.68802079999998</v>
      </c>
      <c r="DB55" s="867">
        <f>+DB60+DB57</f>
        <v>382.59999999999997</v>
      </c>
      <c r="DC55" s="867">
        <f>+DC60+DC57</f>
        <v>194.50765000000001</v>
      </c>
      <c r="DD55" s="562">
        <f>+DE55-DC55</f>
        <v>203.29185000000001</v>
      </c>
      <c r="DE55" s="867">
        <f>+DE60+DE57</f>
        <v>397.79950000000002</v>
      </c>
      <c r="DF55" s="867">
        <f>+DF60+DF57</f>
        <v>217.8272159502371</v>
      </c>
      <c r="DG55" s="562">
        <f>+DH55-DF55</f>
        <v>66.600592859286706</v>
      </c>
      <c r="DH55" s="1341">
        <f>+DH60+DH57</f>
        <v>284.42780880952381</v>
      </c>
      <c r="DI55" s="867">
        <f>+DI60+DI57</f>
        <v>214.68100000000001</v>
      </c>
      <c r="DJ55" s="562">
        <f>+DK55-DI55</f>
        <v>195.81899999999999</v>
      </c>
      <c r="DK55" s="1341">
        <f>+DK60+DK57</f>
        <v>410.5</v>
      </c>
      <c r="DL55" s="867">
        <f>+DL60+DL57</f>
        <v>263.60000000000002</v>
      </c>
      <c r="DM55" s="562">
        <f>+DN55-DL55</f>
        <v>213.7</v>
      </c>
      <c r="DN55" s="1341">
        <f>+DN60+DN57</f>
        <v>477.3</v>
      </c>
      <c r="DO55" s="867">
        <f>+DO60+DO57</f>
        <v>240.3</v>
      </c>
      <c r="DP55" s="562">
        <f>+DQ55-DO55</f>
        <v>275.2</v>
      </c>
      <c r="DQ55" s="1341">
        <f>+DQ60+DQ57</f>
        <v>515.5</v>
      </c>
      <c r="DR55" s="867">
        <f>+DR60+DR57</f>
        <v>315.29999999999995</v>
      </c>
      <c r="DS55" s="562">
        <f>+DT55-DR55</f>
        <v>304.70000000000005</v>
      </c>
      <c r="DT55" s="1341">
        <f>+DT60+DT57</f>
        <v>620</v>
      </c>
      <c r="DU55" s="867">
        <f>+DU60+DU57</f>
        <v>330.5</v>
      </c>
      <c r="DV55" s="562">
        <f>+DW55-DU55</f>
        <v>313.89999999999998</v>
      </c>
      <c r="DW55" s="1341">
        <f>+DW60+DW57</f>
        <v>644.4</v>
      </c>
      <c r="DX55" s="867">
        <f>+DX60+DX57</f>
        <v>306.40000000000009</v>
      </c>
      <c r="DY55" s="562">
        <f>+DZ55-DX55</f>
        <v>350.13330460175598</v>
      </c>
      <c r="DZ55" s="1341">
        <f>+DZ60+DZ57</f>
        <v>656.53330460175607</v>
      </c>
      <c r="EA55" s="867">
        <f>+EA60+EA57</f>
        <v>371.97062254948065</v>
      </c>
      <c r="EB55" s="562">
        <f>+EC55-EA55</f>
        <v>383.30692796261513</v>
      </c>
      <c r="EC55" s="1341">
        <f>+EC60+EC57</f>
        <v>755.27755051209579</v>
      </c>
      <c r="ED55" s="867">
        <f>+ED60+ED57</f>
        <v>405.15739667795316</v>
      </c>
      <c r="EE55" s="562">
        <f>+EF55-ED55</f>
        <v>417.69005866381207</v>
      </c>
      <c r="EF55" s="1341">
        <f>+EF60+EF57</f>
        <v>822.84745534176523</v>
      </c>
      <c r="EG55" s="867">
        <f>+EG60+EG57</f>
        <v>448.1998747179141</v>
      </c>
      <c r="EH55" s="562">
        <f>+EI55-EG55</f>
        <v>462.06396205286387</v>
      </c>
      <c r="EI55" s="1341">
        <f>+EI60+EI57</f>
        <v>910.26383677077797</v>
      </c>
      <c r="EJ55" s="867">
        <f>+EJ60+EJ57</f>
        <v>493.01933872343312</v>
      </c>
      <c r="EK55" s="562">
        <f>+EL55-EJ55</f>
        <v>508.26981859958829</v>
      </c>
      <c r="EL55" s="1341">
        <f>+EL60+EL57</f>
        <v>1001.2891573230214</v>
      </c>
      <c r="EM55" s="867">
        <f>+EM60+EM57</f>
        <v>539.34500243101741</v>
      </c>
      <c r="EN55" s="562">
        <f>+EO55-EM55</f>
        <v>556.02846585696841</v>
      </c>
      <c r="EO55" s="1341">
        <f>+EO60+EO57</f>
        <v>1095.3734682879858</v>
      </c>
      <c r="EP55" s="867">
        <f>+EP60+EP57</f>
        <v>587.8860526498089</v>
      </c>
      <c r="EQ55" s="562">
        <f>+ER55-EP55</f>
        <v>606.07102778409569</v>
      </c>
      <c r="ER55" s="1341">
        <f>+ER60+ER57</f>
        <v>1193.9570804339046</v>
      </c>
      <c r="ES55" s="867">
        <f>+ES60+ES57</f>
        <v>640.79579738829182</v>
      </c>
      <c r="ET55" s="562">
        <f>+EU55-ES55</f>
        <v>660.61742028466449</v>
      </c>
      <c r="EU55" s="1341">
        <f>+EU60+EU57</f>
        <v>1301.4132176729563</v>
      </c>
      <c r="EV55" s="867">
        <f>+EV60+EV57</f>
        <v>698.4674191532381</v>
      </c>
      <c r="EW55" s="562">
        <f>+EX55-EV55</f>
        <v>720.07298811028431</v>
      </c>
      <c r="EX55" s="1341">
        <f>+EX60+EX57</f>
        <v>1418.5404072635224</v>
      </c>
      <c r="EY55" s="867">
        <f>+EY60+EY57</f>
        <v>761.32948687702947</v>
      </c>
      <c r="EZ55" s="562">
        <f>+FA55-EY55</f>
        <v>784.87955704020987</v>
      </c>
      <c r="FA55" s="1341">
        <f>+FA60+FA57</f>
        <v>1546.2090439172393</v>
      </c>
      <c r="FE55"/>
      <c r="FF55"/>
      <c r="FG55"/>
      <c r="FH55"/>
      <c r="FI55"/>
      <c r="FJ55"/>
      <c r="FK55" s="35"/>
    </row>
    <row r="56" spans="2:167" s="236" customFormat="1" ht="13.35" customHeight="1">
      <c r="B56" s="447" t="s">
        <v>266</v>
      </c>
      <c r="C56" s="545" t="s">
        <v>460</v>
      </c>
      <c r="D56" s="546"/>
      <c r="E56" s="547"/>
      <c r="F56" s="547"/>
      <c r="G56" s="547"/>
      <c r="H56" s="547"/>
      <c r="I56" s="547"/>
      <c r="J56" s="547"/>
      <c r="K56" s="547"/>
      <c r="L56" s="547"/>
      <c r="M56" s="547"/>
      <c r="N56" s="547"/>
      <c r="O56" s="547"/>
      <c r="P56" s="547"/>
      <c r="Q56" s="547"/>
      <c r="R56" s="547"/>
      <c r="S56" s="547"/>
      <c r="T56" s="547"/>
      <c r="U56" s="547"/>
      <c r="V56" s="547"/>
      <c r="W56" s="547"/>
      <c r="X56" s="547"/>
      <c r="Y56" s="547"/>
      <c r="Z56" s="547"/>
      <c r="AA56" s="547"/>
      <c r="AB56" s="547"/>
      <c r="AC56" s="547"/>
      <c r="AD56" s="547"/>
      <c r="AE56" s="547"/>
      <c r="AF56" s="547"/>
      <c r="AG56" s="547"/>
      <c r="AH56" s="547"/>
      <c r="AI56" s="547">
        <f t="shared" ref="AI56:AR56" si="221">+AI55/AI30</f>
        <v>0.17974474119593475</v>
      </c>
      <c r="AJ56" s="547">
        <f t="shared" si="221"/>
        <v>0.23397574395759507</v>
      </c>
      <c r="AK56" s="547">
        <f t="shared" si="221"/>
        <v>0.20720234535668963</v>
      </c>
      <c r="AL56" s="547">
        <f t="shared" si="221"/>
        <v>0.19303762852767448</v>
      </c>
      <c r="AM56" s="547">
        <f t="shared" si="221"/>
        <v>0.21813649984596856</v>
      </c>
      <c r="AN56" s="547">
        <f t="shared" si="221"/>
        <v>0.20543756485645104</v>
      </c>
      <c r="AO56" s="547">
        <f t="shared" si="221"/>
        <v>0.19542163607414306</v>
      </c>
      <c r="AP56" s="547">
        <f t="shared" si="221"/>
        <v>0.24273805208926635</v>
      </c>
      <c r="AQ56" s="547">
        <f t="shared" si="221"/>
        <v>0.22083628829279825</v>
      </c>
      <c r="AR56" s="547">
        <f t="shared" si="221"/>
        <v>0.18961525996573914</v>
      </c>
      <c r="AS56" s="547">
        <f t="shared" ref="AS56:BB56" si="222">+AS55/AS30</f>
        <v>0.22789690721649497</v>
      </c>
      <c r="AT56" s="547">
        <f t="shared" si="222"/>
        <v>0.20986281053021882</v>
      </c>
      <c r="AU56" s="547">
        <f t="shared" si="222"/>
        <v>0.16059081836327344</v>
      </c>
      <c r="AV56" s="547">
        <f t="shared" si="222"/>
        <v>0.24402069521036002</v>
      </c>
      <c r="AW56" s="547">
        <f t="shared" si="222"/>
        <v>0.20293911826452063</v>
      </c>
      <c r="AX56" s="547">
        <f t="shared" si="222"/>
        <v>0.25362756040906215</v>
      </c>
      <c r="AY56" s="547">
        <f t="shared" si="222"/>
        <v>0.26453891600308249</v>
      </c>
      <c r="AZ56" s="547">
        <f t="shared" si="222"/>
        <v>0.25952080356275753</v>
      </c>
      <c r="BA56" s="547">
        <f t="shared" si="222"/>
        <v>0.23975854584915898</v>
      </c>
      <c r="BB56" s="547">
        <f t="shared" si="222"/>
        <v>0.20770211200739072</v>
      </c>
      <c r="BC56" s="547">
        <f t="shared" ref="BC56:BO56" si="223">+BC55/BC30</f>
        <v>0.22273307558459141</v>
      </c>
      <c r="BD56" s="547">
        <f t="shared" si="223"/>
        <v>0.23586209768080943</v>
      </c>
      <c r="BE56" s="547">
        <f t="shared" si="223"/>
        <v>0.23078477181227772</v>
      </c>
      <c r="BF56" s="547">
        <f t="shared" si="223"/>
        <v>0.23316458561832309</v>
      </c>
      <c r="BG56" s="547">
        <f t="shared" si="223"/>
        <v>0.27270929241261721</v>
      </c>
      <c r="BH56" s="547">
        <f t="shared" si="223"/>
        <v>0.34367399648455715</v>
      </c>
      <c r="BI56" s="547">
        <f t="shared" si="223"/>
        <v>0.30729345127792734</v>
      </c>
      <c r="BJ56" s="547">
        <f t="shared" si="223"/>
        <v>0.32203417652948996</v>
      </c>
      <c r="BK56" s="547">
        <f t="shared" si="223"/>
        <v>0.12233988590871141</v>
      </c>
      <c r="BL56" s="547">
        <f t="shared" si="223"/>
        <v>0.21966869482080639</v>
      </c>
      <c r="BM56" s="547">
        <f t="shared" si="223"/>
        <v>0.27482745259487074</v>
      </c>
      <c r="BN56" s="547">
        <f t="shared" si="223"/>
        <v>0.25817600139286379</v>
      </c>
      <c r="BO56" s="547">
        <f t="shared" si="223"/>
        <v>0.26605743826046091</v>
      </c>
      <c r="BP56" s="547">
        <f>+BP55/BP30</f>
        <v>0.31628532866087927</v>
      </c>
      <c r="BQ56" s="547">
        <f t="shared" ref="BQ56:DK56" si="224">+BQ55/BQ30</f>
        <v>0.2393968621377271</v>
      </c>
      <c r="BR56" s="547">
        <f t="shared" si="224"/>
        <v>0.27544332905850616</v>
      </c>
      <c r="BS56" s="547">
        <f t="shared" si="224"/>
        <v>0.30770806765883379</v>
      </c>
      <c r="BT56" s="547">
        <f t="shared" si="224"/>
        <v>0.33073580365440691</v>
      </c>
      <c r="BU56" s="547">
        <f t="shared" si="224"/>
        <v>0.31938117460156479</v>
      </c>
      <c r="BV56" s="547">
        <f t="shared" si="224"/>
        <v>0.31707617974642538</v>
      </c>
      <c r="BW56" s="547">
        <f t="shared" si="224"/>
        <v>0.33616548962576315</v>
      </c>
      <c r="BX56" s="547">
        <f t="shared" si="224"/>
        <v>0.32673343399230659</v>
      </c>
      <c r="BY56" s="547">
        <f t="shared" si="224"/>
        <v>0.28105873941446907</v>
      </c>
      <c r="BZ56" s="547">
        <f t="shared" si="224"/>
        <v>0.31156278024581452</v>
      </c>
      <c r="CA56" s="547">
        <f t="shared" si="224"/>
        <v>0.2959923815842051</v>
      </c>
      <c r="CB56" s="547">
        <f t="shared" si="224"/>
        <v>0.3362395905399394</v>
      </c>
      <c r="CC56" s="547">
        <f t="shared" si="224"/>
        <v>0.35096545665419754</v>
      </c>
      <c r="CD56" s="547">
        <f t="shared" si="224"/>
        <v>0.34403257174365953</v>
      </c>
      <c r="CE56" s="547">
        <f t="shared" si="224"/>
        <v>0.34613947913197218</v>
      </c>
      <c r="CF56" s="547">
        <f t="shared" si="224"/>
        <v>0.33902738801623505</v>
      </c>
      <c r="CG56" s="547">
        <f t="shared" si="224"/>
        <v>0.34232691887874273</v>
      </c>
      <c r="CH56" s="547">
        <f t="shared" si="224"/>
        <v>0.32473555119492697</v>
      </c>
      <c r="CI56" s="547">
        <f t="shared" si="224"/>
        <v>0.31055302122047346</v>
      </c>
      <c r="CJ56" s="547">
        <f t="shared" si="224"/>
        <v>0.31761628536759384</v>
      </c>
      <c r="CK56" s="547">
        <f t="shared" si="224"/>
        <v>0.32106951979110904</v>
      </c>
      <c r="CL56" s="547">
        <f t="shared" si="224"/>
        <v>0.23511623681580954</v>
      </c>
      <c r="CM56" s="547">
        <f t="shared" si="224"/>
        <v>0.27999627790685816</v>
      </c>
      <c r="CN56" s="547">
        <f t="shared" si="224"/>
        <v>0.17931226054852842</v>
      </c>
      <c r="CO56" s="547">
        <f t="shared" si="224"/>
        <v>0.26353326155930901</v>
      </c>
      <c r="CP56" s="547">
        <f t="shared" si="224"/>
        <v>0.22478779644249949</v>
      </c>
      <c r="CQ56" s="547">
        <f t="shared" si="224"/>
        <v>0.26377407914681938</v>
      </c>
      <c r="CR56" s="547">
        <f t="shared" si="224"/>
        <v>0.23571235915997155</v>
      </c>
      <c r="CS56" s="547">
        <f t="shared" si="224"/>
        <v>0.24900166535404575</v>
      </c>
      <c r="CT56" s="547">
        <f t="shared" si="224"/>
        <v>0.26184986234596636</v>
      </c>
      <c r="CU56" s="547">
        <f t="shared" si="224"/>
        <v>0.24627137986829392</v>
      </c>
      <c r="CV56" s="547">
        <f t="shared" si="224"/>
        <v>0.25397297112178252</v>
      </c>
      <c r="CW56" s="547">
        <f t="shared" si="224"/>
        <v>0.28166191762556181</v>
      </c>
      <c r="CX56" s="547">
        <f t="shared" si="224"/>
        <v>0.26435442670090209</v>
      </c>
      <c r="CY56" s="547">
        <f t="shared" si="224"/>
        <v>0.272762409273066</v>
      </c>
      <c r="CZ56" s="547">
        <f t="shared" si="224"/>
        <v>0.2752777223502994</v>
      </c>
      <c r="DA56" s="547">
        <f t="shared" si="224"/>
        <v>0.29343485057941388</v>
      </c>
      <c r="DB56" s="547">
        <f t="shared" si="224"/>
        <v>0.28479784418481319</v>
      </c>
      <c r="DC56" s="547">
        <f t="shared" si="224"/>
        <v>0.27737770518182442</v>
      </c>
      <c r="DD56" s="547">
        <f t="shared" si="224"/>
        <v>0.28144292715403812</v>
      </c>
      <c r="DE56" s="547">
        <f t="shared" si="224"/>
        <v>0.2794404185513284</v>
      </c>
      <c r="DF56" s="547">
        <f t="shared" si="224"/>
        <v>0.28933163216813518</v>
      </c>
      <c r="DG56" s="547">
        <f t="shared" si="224"/>
        <v>0.11638080503822992</v>
      </c>
      <c r="DH56" s="1266">
        <f t="shared" si="224"/>
        <v>0.21464178161841713</v>
      </c>
      <c r="DI56" s="547">
        <f t="shared" si="224"/>
        <v>0.28886033369214215</v>
      </c>
      <c r="DJ56" s="547">
        <f t="shared" si="224"/>
        <v>0.2595691940615058</v>
      </c>
      <c r="DK56" s="1266">
        <f t="shared" si="224"/>
        <v>0.27410523504273504</v>
      </c>
      <c r="DL56" s="547">
        <f t="shared" ref="DL56:DQ56" si="225">+DL55/DL30</f>
        <v>0.32118922870720118</v>
      </c>
      <c r="DM56" s="547">
        <f t="shared" si="225"/>
        <v>0.2582165297245046</v>
      </c>
      <c r="DN56" s="1266">
        <f t="shared" si="225"/>
        <v>0.28957107322696113</v>
      </c>
      <c r="DO56" s="547">
        <f t="shared" si="225"/>
        <v>0.27155610803480618</v>
      </c>
      <c r="DP56" s="547">
        <f t="shared" si="225"/>
        <v>0.26179604261796041</v>
      </c>
      <c r="DQ56" s="1266">
        <f t="shared" si="225"/>
        <v>0.26625690821755071</v>
      </c>
      <c r="DR56" s="547">
        <f t="shared" ref="DR56:DU56" si="226">+DR55/DR30</f>
        <v>0.28702776513427397</v>
      </c>
      <c r="DS56" s="547">
        <f t="shared" si="226"/>
        <v>0.26796236039046695</v>
      </c>
      <c r="DT56" s="1266">
        <f t="shared" si="226"/>
        <v>0.27733047056718552</v>
      </c>
      <c r="DU56" s="547">
        <f t="shared" si="226"/>
        <v>0.28202305677153999</v>
      </c>
      <c r="DV56" s="547">
        <f t="shared" ref="DV56:DX56" si="227">+DV55/DV30</f>
        <v>0.26801342201654699</v>
      </c>
      <c r="DW56" s="1266">
        <f t="shared" si="227"/>
        <v>0.27502027228884812</v>
      </c>
      <c r="DX56" s="547">
        <f t="shared" si="227"/>
        <v>0.26250856751199458</v>
      </c>
      <c r="DY56" s="547">
        <f t="shared" ref="DY56:EC56" si="228">+DY55/DY30</f>
        <v>0.26083220562070597</v>
      </c>
      <c r="DZ56" s="1266">
        <f t="shared" si="228"/>
        <v>0.26161188089138276</v>
      </c>
      <c r="EA56" s="547">
        <f t="shared" si="228"/>
        <v>0.26720867861545933</v>
      </c>
      <c r="EB56" s="547">
        <f t="shared" si="228"/>
        <v>0.26712234139510471</v>
      </c>
      <c r="EC56" s="1266">
        <f t="shared" si="228"/>
        <v>0.26716485509431576</v>
      </c>
      <c r="ED56" s="547">
        <f t="shared" ref="ED56:EL56" si="229">+ED55/ED30</f>
        <v>0.26853182982173157</v>
      </c>
      <c r="EE56" s="547">
        <f t="shared" si="229"/>
        <v>0.26853182982173152</v>
      </c>
      <c r="EF56" s="1266">
        <f t="shared" si="229"/>
        <v>0.26853182982173152</v>
      </c>
      <c r="EG56" s="547">
        <f t="shared" si="229"/>
        <v>0.27253182982173146</v>
      </c>
      <c r="EH56" s="547">
        <f t="shared" si="229"/>
        <v>0.27253182982173157</v>
      </c>
      <c r="EI56" s="1266">
        <f t="shared" si="229"/>
        <v>0.27253182982173152</v>
      </c>
      <c r="EJ56" s="547">
        <f t="shared" si="229"/>
        <v>0.27503182982173158</v>
      </c>
      <c r="EK56" s="547">
        <f t="shared" si="229"/>
        <v>0.27503182982173158</v>
      </c>
      <c r="EL56" s="1266">
        <f t="shared" si="229"/>
        <v>0.27503182982173158</v>
      </c>
      <c r="EM56" s="547">
        <f t="shared" ref="EM56:ER56" si="230">+EM55/EM30</f>
        <v>0.27603182982173158</v>
      </c>
      <c r="EN56" s="547">
        <f t="shared" si="230"/>
        <v>0.27603182982173141</v>
      </c>
      <c r="EO56" s="1266">
        <f t="shared" si="230"/>
        <v>0.27603182982173147</v>
      </c>
      <c r="EP56" s="547">
        <f t="shared" si="230"/>
        <v>0.27603182982173152</v>
      </c>
      <c r="EQ56" s="547">
        <f t="shared" si="230"/>
        <v>0.27603182982173147</v>
      </c>
      <c r="ER56" s="1266">
        <f t="shared" si="230"/>
        <v>0.27603182982173147</v>
      </c>
      <c r="ES56" s="547">
        <f t="shared" ref="ES56:EX56" si="231">+ES55/ES30</f>
        <v>0.27603182982173152</v>
      </c>
      <c r="ET56" s="547">
        <f t="shared" si="231"/>
        <v>0.27603182982173152</v>
      </c>
      <c r="EU56" s="1266">
        <f t="shared" si="231"/>
        <v>0.27603182982173152</v>
      </c>
      <c r="EV56" s="547">
        <f t="shared" si="231"/>
        <v>0.27603182982173152</v>
      </c>
      <c r="EW56" s="547">
        <f t="shared" si="231"/>
        <v>0.27603182982173152</v>
      </c>
      <c r="EX56" s="1266">
        <f t="shared" si="231"/>
        <v>0.27603182982173152</v>
      </c>
      <c r="EY56" s="547">
        <f t="shared" ref="EY56:FA56" si="232">+EY55/EY30</f>
        <v>0.27603182982173147</v>
      </c>
      <c r="EZ56" s="547">
        <f t="shared" si="232"/>
        <v>0.27603182982173147</v>
      </c>
      <c r="FA56" s="1266">
        <f t="shared" si="232"/>
        <v>0.27603182982173147</v>
      </c>
      <c r="FE56"/>
      <c r="FF56"/>
      <c r="FG56"/>
      <c r="FH56"/>
      <c r="FI56"/>
      <c r="FJ56"/>
      <c r="FK56" s="35"/>
    </row>
    <row r="57" spans="2:167" s="236" customFormat="1" ht="13.35" customHeight="1" thickBot="1">
      <c r="B57" s="242" t="s">
        <v>267</v>
      </c>
      <c r="C57" s="242" t="s">
        <v>496</v>
      </c>
      <c r="D57" s="243"/>
      <c r="E57" s="482">
        <f>+SUM(E58:E59)</f>
        <v>0</v>
      </c>
      <c r="F57" s="482">
        <f>+G57-E57</f>
        <v>0</v>
      </c>
      <c r="G57" s="482">
        <f>+SUM(G58:G59)</f>
        <v>0</v>
      </c>
      <c r="H57" s="482">
        <f>+SUM(H58:H59)</f>
        <v>0</v>
      </c>
      <c r="I57" s="482">
        <f>+J57-H57</f>
        <v>0</v>
      </c>
      <c r="J57" s="482">
        <f>+SUM(J58:J59)</f>
        <v>0</v>
      </c>
      <c r="K57" s="482">
        <f>+SUM(K58:K59)</f>
        <v>0</v>
      </c>
      <c r="L57" s="482">
        <f>+M57-K57</f>
        <v>0</v>
      </c>
      <c r="M57" s="482">
        <f>+SUM(M58:M59)</f>
        <v>0</v>
      </c>
      <c r="N57" s="482">
        <f>+SUM(N58:N59)</f>
        <v>0</v>
      </c>
      <c r="O57" s="482">
        <f>+P57-N57</f>
        <v>0</v>
      </c>
      <c r="P57" s="482">
        <f>+SUM(P58:P59)</f>
        <v>0</v>
      </c>
      <c r="Q57" s="482">
        <f>+SUM(Q58:Q59)</f>
        <v>0</v>
      </c>
      <c r="R57" s="482">
        <f>+S57-Q57</f>
        <v>0</v>
      </c>
      <c r="S57" s="482">
        <f>+SUM(S58:S59)</f>
        <v>0</v>
      </c>
      <c r="T57" s="482">
        <f>+SUM(T58:T59)</f>
        <v>0</v>
      </c>
      <c r="U57" s="482">
        <f>+V57-T57</f>
        <v>0</v>
      </c>
      <c r="V57" s="482">
        <f>+SUM(V58:V59)</f>
        <v>0</v>
      </c>
      <c r="W57" s="482">
        <f>+SUM(W58:W59)</f>
        <v>0</v>
      </c>
      <c r="X57" s="482">
        <f>+Y57-W57</f>
        <v>0</v>
      </c>
      <c r="Y57" s="482">
        <f>+SUM(Y58:Y59)</f>
        <v>0</v>
      </c>
      <c r="Z57" s="482">
        <f>+SUM(Z58:Z59)</f>
        <v>0</v>
      </c>
      <c r="AA57" s="482">
        <f>+AB57-Z57</f>
        <v>0</v>
      </c>
      <c r="AB57" s="482">
        <f>+SUM(AB58:AB59)</f>
        <v>0</v>
      </c>
      <c r="AC57" s="482">
        <f>+SUM(AC58:AC59)</f>
        <v>0</v>
      </c>
      <c r="AD57" s="482">
        <f>+AE57-AC57</f>
        <v>0</v>
      </c>
      <c r="AE57" s="482">
        <f>+SUM(AE58:AE59)</f>
        <v>0</v>
      </c>
      <c r="AF57" s="482">
        <f>+SUM(AF58:AF59)</f>
        <v>0</v>
      </c>
      <c r="AG57" s="482">
        <f>+AH57-AF57</f>
        <v>0</v>
      </c>
      <c r="AH57" s="482">
        <f>+SUM(AH58:AH59)</f>
        <v>0</v>
      </c>
      <c r="AI57" s="482">
        <f>+SUM(AI58:AI59)</f>
        <v>0.94799999999999995</v>
      </c>
      <c r="AJ57" s="482">
        <f>+AK57-AI57</f>
        <v>0.93300000000000005</v>
      </c>
      <c r="AK57" s="482">
        <f>+SUM(AK58:AK59)</f>
        <v>1.881</v>
      </c>
      <c r="AL57" s="482">
        <f>+SUM(AL58:AL59)</f>
        <v>0.79100000000000004</v>
      </c>
      <c r="AM57" s="482">
        <f>+AN57-AL57</f>
        <v>0.75900000000000001</v>
      </c>
      <c r="AN57" s="482">
        <f>+SUM(AN58:AN59)</f>
        <v>1.55</v>
      </c>
      <c r="AO57" s="482">
        <f>+SUM(AO58:AO59)</f>
        <v>0.76500000000000001</v>
      </c>
      <c r="AP57" s="482">
        <f>+AQ57-AO57</f>
        <v>0.83199999999999996</v>
      </c>
      <c r="AQ57" s="482">
        <f>+SUM(AQ58:AQ59)</f>
        <v>1.597</v>
      </c>
      <c r="AR57" s="482">
        <f>+SUM(AR58:AR59)</f>
        <v>0.80400000000000005</v>
      </c>
      <c r="AS57" s="482">
        <f>+AT57-AR57</f>
        <v>0.96399999999999997</v>
      </c>
      <c r="AT57" s="482">
        <f>+SUM(AT58:AT59)</f>
        <v>1.768</v>
      </c>
      <c r="AU57" s="482">
        <f>+SUM(AU58:AU59)</f>
        <v>0.91500000000000004</v>
      </c>
      <c r="AV57" s="482">
        <f>+AW57-AU57</f>
        <v>1.8119999999999998</v>
      </c>
      <c r="AW57" s="482">
        <f>+SUM(AW58:AW59)</f>
        <v>2.7269999999999999</v>
      </c>
      <c r="AX57" s="482">
        <f>+SUM(AX58:AX59)</f>
        <v>1.1399999999999999</v>
      </c>
      <c r="AY57" s="482">
        <f>+AZ57-AX57</f>
        <v>1.5029999999999999</v>
      </c>
      <c r="AZ57" s="482">
        <f>+SUM(AZ58:AZ59)</f>
        <v>2.6429999999999998</v>
      </c>
      <c r="BA57" s="482">
        <f>+SUM(BA58:BA59)</f>
        <v>1.5920000000000001</v>
      </c>
      <c r="BB57" s="482">
        <f>+BC57-BA57</f>
        <v>1.9209999999999998</v>
      </c>
      <c r="BC57" s="482">
        <f>+SUM(BC58:BC59)</f>
        <v>3.5129999999999999</v>
      </c>
      <c r="BD57" s="482">
        <f>+SUM(BD58:BD59)</f>
        <v>2.3734999999999999</v>
      </c>
      <c r="BE57" s="482">
        <f>+BF57-BD57</f>
        <v>2.3734999999999999</v>
      </c>
      <c r="BF57" s="482">
        <f>+SUM(BF58:BF59)</f>
        <v>4.7469999999999999</v>
      </c>
      <c r="BG57" s="482">
        <f>+SUM(BG58:BG59)</f>
        <v>3.6579999999999999</v>
      </c>
      <c r="BH57" s="482">
        <f>+BI57-BG57</f>
        <v>4.0820000000000007</v>
      </c>
      <c r="BI57" s="482">
        <f>+SUM(BI58:BI59)</f>
        <v>7.74</v>
      </c>
      <c r="BJ57" s="482">
        <f>+SUM(BJ58:BJ59)</f>
        <v>3.6579999999999999</v>
      </c>
      <c r="BK57" s="482">
        <f>+BL57-BJ57</f>
        <v>2.8970000000000007</v>
      </c>
      <c r="BL57" s="482">
        <f>+SUM(BL58:BL59)</f>
        <v>6.5550000000000006</v>
      </c>
      <c r="BM57" s="482">
        <f>+SUM(BM58:BM59)</f>
        <v>4.9307999999999996</v>
      </c>
      <c r="BN57" s="482">
        <f>+BO57-BM57</f>
        <v>1.8992000000000004</v>
      </c>
      <c r="BO57" s="482">
        <f>+SUM(BO58:BO59)</f>
        <v>6.83</v>
      </c>
      <c r="BP57" s="482">
        <f>+SUM(BP58:BP59)</f>
        <v>4.9307999999999996</v>
      </c>
      <c r="BQ57" s="482">
        <f>+BR57-BP57</f>
        <v>7.2441999999999993</v>
      </c>
      <c r="BR57" s="482">
        <f>+SUM(BR58:BR59)</f>
        <v>12.174999999999999</v>
      </c>
      <c r="BS57" s="482">
        <f>+SUM(BS58:BS59)</f>
        <v>5.2052799999999992</v>
      </c>
      <c r="BT57" s="482">
        <f>+BU57-BS57</f>
        <v>9.5427200000000205</v>
      </c>
      <c r="BU57" s="482">
        <f>+SUM(BU58:BU59)</f>
        <v>14.748000000000019</v>
      </c>
      <c r="BV57" s="482">
        <f>+SUM(BV58:BV59)</f>
        <v>5.7614399999999995</v>
      </c>
      <c r="BW57" s="482">
        <f>+BX57-BV57</f>
        <v>13.92756</v>
      </c>
      <c r="BX57" s="482">
        <f>+SUM(BX58:BX59)</f>
        <v>19.689</v>
      </c>
      <c r="BY57" s="482">
        <f>+SUM(BY58:BY59)</f>
        <v>5.9</v>
      </c>
      <c r="BZ57" s="482">
        <f>+CA57-BY57</f>
        <v>5.8140000000000001</v>
      </c>
      <c r="CA57" s="482">
        <f>+SUM(CA58:CA59)</f>
        <v>11.714</v>
      </c>
      <c r="CB57" s="482">
        <f>+SUM(CB58:CB59)</f>
        <v>8.4163999999999994</v>
      </c>
      <c r="CC57" s="482">
        <f>+CD57-CB57</f>
        <v>4.1816000000000013</v>
      </c>
      <c r="CD57" s="482">
        <f>+SUM(CD58:CD59)</f>
        <v>12.598000000000001</v>
      </c>
      <c r="CE57" s="482">
        <f>+SUM(CE58:CE59)</f>
        <v>13.21968</v>
      </c>
      <c r="CF57" s="482">
        <f>+CG57-CE57</f>
        <v>14.180320000000034</v>
      </c>
      <c r="CG57" s="482">
        <f>+SUM(CG58:CG59)</f>
        <v>27.400000000000034</v>
      </c>
      <c r="CH57" s="482">
        <f>+SUM(CH58:CH59)</f>
        <v>13.21968</v>
      </c>
      <c r="CI57" s="482">
        <f>+CJ57-CH57</f>
        <v>10.881319999999999</v>
      </c>
      <c r="CJ57" s="482">
        <f>+SUM(CJ58:CJ59)</f>
        <v>24.100999999999999</v>
      </c>
      <c r="CK57" s="482">
        <f>+SUM(CK58:CK59)</f>
        <v>13.21968</v>
      </c>
      <c r="CL57" s="482">
        <f>+CM57-CK57</f>
        <v>10.881319999999999</v>
      </c>
      <c r="CM57" s="482">
        <f>+SUM(CM58:CM59)</f>
        <v>24.100999999999999</v>
      </c>
      <c r="CN57" s="482">
        <f>+SUM(CN58:CN59)</f>
        <v>14.332319999999999</v>
      </c>
      <c r="CO57" s="482">
        <f>+CP57-CN57</f>
        <v>9.7686799999999998</v>
      </c>
      <c r="CP57" s="482">
        <f>+SUM(CP58:CP59)</f>
        <v>24.100999999999999</v>
      </c>
      <c r="CQ57" s="482">
        <f>+SUM(CQ58:CQ59)</f>
        <v>15.1684</v>
      </c>
      <c r="CR57" s="482">
        <f>+CS57-CQ57</f>
        <v>8.932599999999999</v>
      </c>
      <c r="CS57" s="482">
        <f>+SUM(CS58:CS59)</f>
        <v>24.100999999999999</v>
      </c>
      <c r="CT57" s="482">
        <f>+SUM(CT58:CT59)</f>
        <v>15.1684</v>
      </c>
      <c r="CU57" s="482">
        <f>+CV57-CT57</f>
        <v>8.932599999999999</v>
      </c>
      <c r="CV57" s="482">
        <f>+SUM(CV58:CV59)</f>
        <v>24.100999999999999</v>
      </c>
      <c r="CW57" s="482">
        <f>+SUM(CW58:CW59)</f>
        <v>15.1684</v>
      </c>
      <c r="CX57" s="482">
        <f>+CY57-CW57</f>
        <v>11.137320000000001</v>
      </c>
      <c r="CY57" s="482">
        <f>+SUM(CY58:CY59)</f>
        <v>26.305720000000001</v>
      </c>
      <c r="CZ57" s="482">
        <f>+SUM(CZ58:CZ59)</f>
        <v>15.5764</v>
      </c>
      <c r="DA57" s="482">
        <f>+DB57-CZ57</f>
        <v>18.623600000000003</v>
      </c>
      <c r="DB57" s="482">
        <f>+SUM(DB58:DB59)</f>
        <v>34.200000000000003</v>
      </c>
      <c r="DC57" s="482">
        <f>+SUM(DC58:DC59)</f>
        <v>17.507649999999998</v>
      </c>
      <c r="DD57" s="482">
        <f>+DE57-DC57</f>
        <v>20.992350000000002</v>
      </c>
      <c r="DE57" s="482">
        <f>+SUM(DE58:DE59)</f>
        <v>38.5</v>
      </c>
      <c r="DF57" s="482">
        <f>+SUM(DF58:DF59)</f>
        <v>21.224067910447758</v>
      </c>
      <c r="DG57" s="482">
        <f>+DH57-DF57</f>
        <v>27.885455899076049</v>
      </c>
      <c r="DH57" s="1244">
        <f>+SUM(DH58:DH59)</f>
        <v>49.109523809523807</v>
      </c>
      <c r="DI57" s="482">
        <f>+SUM(DI58:DI59)</f>
        <v>26.880999999999997</v>
      </c>
      <c r="DJ57" s="482">
        <f>+DK57-DI57</f>
        <v>22.019000000000009</v>
      </c>
      <c r="DK57" s="1244">
        <f>+SUM(DK58:DK59)</f>
        <v>48.900000000000006</v>
      </c>
      <c r="DL57" s="482">
        <f>+SUM(DL58:DL59)</f>
        <v>26.929000000000002</v>
      </c>
      <c r="DM57" s="482">
        <f>+DN57-DL57</f>
        <v>18.170999999999999</v>
      </c>
      <c r="DN57" s="1244">
        <f>+SUM(DN58:DN59)</f>
        <v>45.1</v>
      </c>
      <c r="DO57" s="482">
        <f>+SUM(DO58:DO59)</f>
        <v>22.452999999999996</v>
      </c>
      <c r="DP57" s="482">
        <f>+DQ57-DO57</f>
        <v>28.147000000000006</v>
      </c>
      <c r="DQ57" s="1244">
        <f>+SUM(DQ58:DQ59)</f>
        <v>50.6</v>
      </c>
      <c r="DR57" s="482">
        <f>+SUM(DR58:DR59)</f>
        <v>26.881</v>
      </c>
      <c r="DS57" s="482">
        <f>+DT57-DR57</f>
        <v>24.919000000000004</v>
      </c>
      <c r="DT57" s="1244">
        <f>+SUM(DT58:DT59)</f>
        <v>51.800000000000004</v>
      </c>
      <c r="DU57" s="482">
        <f>+SUM(DU58:DU59)</f>
        <v>24.297999999999998</v>
      </c>
      <c r="DV57" s="482">
        <f>+DW57-DU57</f>
        <v>26.30200000000001</v>
      </c>
      <c r="DW57" s="1244">
        <f>+SUM(DW58:DW59)</f>
        <v>50.600000000000009</v>
      </c>
      <c r="DX57" s="482">
        <f>+SUM(DX58:DX59)</f>
        <v>30.1</v>
      </c>
      <c r="DY57" s="482">
        <f>+DZ57-DX57</f>
        <v>34.617318639572964</v>
      </c>
      <c r="DZ57" s="1244">
        <f>+SUM(DZ58:DZ59)</f>
        <v>64.717318639572966</v>
      </c>
      <c r="EA57" s="482">
        <f>+SUM(EA58:EA59)</f>
        <v>35.898747706503933</v>
      </c>
      <c r="EB57" s="482">
        <f>+EC57-EA57</f>
        <v>37.004766894849588</v>
      </c>
      <c r="EC57" s="1244">
        <f>+SUM(EC58:EC59)</f>
        <v>72.903514601353521</v>
      </c>
      <c r="ED57" s="482">
        <f>+SUM(ED58:ED59)</f>
        <v>30.175744674061345</v>
      </c>
      <c r="EE57" s="482">
        <f>+EF57-ED57</f>
        <v>31.109165639030667</v>
      </c>
      <c r="EF57" s="1244">
        <f>+SUM(EF58:EF59)</f>
        <v>61.284910313092013</v>
      </c>
      <c r="EG57" s="482">
        <f>+SUM(EG58:EG59)</f>
        <v>32.89156169472686</v>
      </c>
      <c r="EH57" s="482">
        <f>+EI57-EG57</f>
        <v>33.908990546543421</v>
      </c>
      <c r="EI57" s="1244">
        <f>+SUM(EI58:EI59)</f>
        <v>66.800552241270282</v>
      </c>
      <c r="EJ57" s="482">
        <f>+SUM(EJ58:EJ59)</f>
        <v>35.85180224725228</v>
      </c>
      <c r="EK57" s="482">
        <f>+EL57-EJ57</f>
        <v>36.960799695732348</v>
      </c>
      <c r="EL57" s="1244">
        <f>+SUM(EL58:EL59)</f>
        <v>72.812601942984628</v>
      </c>
      <c r="EM57" s="482">
        <f>+SUM(EM58:EM59)</f>
        <v>39.078464449504992</v>
      </c>
      <c r="EN57" s="482">
        <f>+EO57-EM57</f>
        <v>40.287271668348268</v>
      </c>
      <c r="EO57" s="1244">
        <f>+SUM(EO58:EO59)</f>
        <v>79.36573611785326</v>
      </c>
      <c r="EP57" s="482">
        <f>+SUM(EP58:EP59)</f>
        <v>42.595526249960443</v>
      </c>
      <c r="EQ57" s="482">
        <f>+ER57-EP57</f>
        <v>43.913126118499605</v>
      </c>
      <c r="ER57" s="1244">
        <f>+SUM(ER58:ER59)</f>
        <v>86.508652368460048</v>
      </c>
      <c r="ES57" s="482">
        <f>+SUM(ES58:ES59)</f>
        <v>46.429123612456891</v>
      </c>
      <c r="ET57" s="482">
        <f>+EU57-ES57</f>
        <v>47.865307469164577</v>
      </c>
      <c r="EU57" s="1244">
        <f>+SUM(EU58:EU59)</f>
        <v>94.294431081621468</v>
      </c>
      <c r="EV57" s="482">
        <f>+SUM(EV58:EV59)</f>
        <v>50.607744737578017</v>
      </c>
      <c r="EW57" s="482">
        <f>+EX57-EV57</f>
        <v>52.173185141389396</v>
      </c>
      <c r="EX57" s="1244">
        <f>+SUM(EX58:EX59)</f>
        <v>102.78092987896741</v>
      </c>
      <c r="EY57" s="482">
        <f>+SUM(EY58:EY59)</f>
        <v>55.162441763960032</v>
      </c>
      <c r="EZ57" s="482">
        <f>+FA57-EY57</f>
        <v>56.868771804114431</v>
      </c>
      <c r="FA57" s="1244">
        <f>+SUM(FA58:FA59)</f>
        <v>112.03121356807446</v>
      </c>
      <c r="FE57"/>
      <c r="FF57"/>
      <c r="FG57"/>
      <c r="FH57"/>
      <c r="FI57"/>
      <c r="FJ57"/>
      <c r="FK57" s="35"/>
    </row>
    <row r="58" spans="2:167" s="236" customFormat="1" ht="13.35" customHeight="1" outlineLevel="1">
      <c r="B58" s="242" t="s">
        <v>268</v>
      </c>
      <c r="C58" s="242" t="s">
        <v>496</v>
      </c>
      <c r="D58" s="243"/>
      <c r="E58" s="511"/>
      <c r="F58" s="510">
        <f>+G58-E58</f>
        <v>0</v>
      </c>
      <c r="G58" s="512"/>
      <c r="H58" s="513"/>
      <c r="I58" s="510">
        <f>+J58-H58</f>
        <v>0</v>
      </c>
      <c r="J58" s="512"/>
      <c r="K58" s="513"/>
      <c r="L58" s="510">
        <f>+M58-K58</f>
        <v>0</v>
      </c>
      <c r="M58" s="512"/>
      <c r="N58" s="513"/>
      <c r="O58" s="510">
        <f>+P58-N58</f>
        <v>0</v>
      </c>
      <c r="P58" s="512"/>
      <c r="Q58" s="513"/>
      <c r="R58" s="510">
        <f>+S58-Q58</f>
        <v>0</v>
      </c>
      <c r="S58" s="512"/>
      <c r="T58" s="513"/>
      <c r="U58" s="510">
        <f>+V58-T58</f>
        <v>0</v>
      </c>
      <c r="V58" s="512"/>
      <c r="W58" s="513"/>
      <c r="X58" s="510">
        <f>+Y58-W58</f>
        <v>0</v>
      </c>
      <c r="Y58" s="512"/>
      <c r="Z58" s="513"/>
      <c r="AA58" s="510">
        <f>+AB58-Z58</f>
        <v>0</v>
      </c>
      <c r="AB58" s="512"/>
      <c r="AC58" s="513"/>
      <c r="AD58" s="510">
        <f>+AE58-AC58</f>
        <v>0</v>
      </c>
      <c r="AE58" s="512"/>
      <c r="AF58" s="513"/>
      <c r="AG58" s="510">
        <f>+AH58-AF58</f>
        <v>0</v>
      </c>
      <c r="AH58" s="512"/>
      <c r="AI58" s="513"/>
      <c r="AJ58" s="510">
        <f>+AK58-AI58</f>
        <v>0</v>
      </c>
      <c r="AK58" s="512"/>
      <c r="AL58" s="513"/>
      <c r="AM58" s="510">
        <f>+AN58-AL58</f>
        <v>0</v>
      </c>
      <c r="AN58" s="512"/>
      <c r="AO58" s="513"/>
      <c r="AP58" s="510">
        <f>+AQ58-AO58</f>
        <v>0</v>
      </c>
      <c r="AQ58" s="512"/>
      <c r="AR58" s="513"/>
      <c r="AS58" s="510">
        <f>+AT58-AR58</f>
        <v>0</v>
      </c>
      <c r="AT58" s="512"/>
      <c r="AU58" s="513"/>
      <c r="AV58" s="510">
        <f>+AW58-AU58</f>
        <v>0</v>
      </c>
      <c r="AW58" s="512"/>
      <c r="AX58" s="514">
        <v>0</v>
      </c>
      <c r="AY58" s="510">
        <f>+AZ58-AX58</f>
        <v>0</v>
      </c>
      <c r="AZ58" s="515">
        <v>0</v>
      </c>
      <c r="BA58" s="514">
        <v>0</v>
      </c>
      <c r="BB58" s="510">
        <f>+BC58-BA58</f>
        <v>0</v>
      </c>
      <c r="BC58" s="515">
        <v>0</v>
      </c>
      <c r="BD58" s="513">
        <f>IF(Assumptions!BD38&lt;&gt;"",Assumptions!BD38,0)</f>
        <v>0</v>
      </c>
      <c r="BE58" s="510">
        <f>+BF58-BD58</f>
        <v>0</v>
      </c>
      <c r="BF58" s="512">
        <f>IF(Assumptions!BF38&lt;&gt;"",Assumptions!BF38,0)</f>
        <v>0</v>
      </c>
      <c r="BG58" s="513">
        <f>IF(Assumptions!BG38&lt;&gt;"",Assumptions!BG38,0)</f>
        <v>0</v>
      </c>
      <c r="BH58" s="510">
        <f>+BI58-BG58</f>
        <v>0</v>
      </c>
      <c r="BI58" s="512">
        <f>IF(Assumptions!BI38&lt;&gt;"",Assumptions!BI38,0)</f>
        <v>0</v>
      </c>
      <c r="BJ58" s="513">
        <f>IF(Assumptions!BJ38&lt;&gt;"",Assumptions!BJ38,0)</f>
        <v>0</v>
      </c>
      <c r="BK58" s="510">
        <f>+BL58-BJ58</f>
        <v>1.82</v>
      </c>
      <c r="BL58" s="515">
        <v>1.82</v>
      </c>
      <c r="BM58" s="513">
        <f>IF(Assumptions!BM38&lt;&gt;"",Assumptions!BM38,0)</f>
        <v>0</v>
      </c>
      <c r="BN58" s="510">
        <f>+BO58-BM58</f>
        <v>2.669</v>
      </c>
      <c r="BO58" s="548">
        <v>2.669</v>
      </c>
      <c r="BP58" s="513">
        <f>IF(Assumptions!BP38&lt;&gt;"",Assumptions!BP38,0)</f>
        <v>0</v>
      </c>
      <c r="BQ58" s="510">
        <f>+BR58-BP58</f>
        <v>0</v>
      </c>
      <c r="BR58" s="511">
        <f>IF(Assumptions!BR38&lt;&gt;"",Assumptions!BR38,0)</f>
        <v>0</v>
      </c>
      <c r="BS58" s="513">
        <f>IF(Assumptions!BS38&lt;&gt;"",Assumptions!BS38,0)</f>
        <v>0</v>
      </c>
      <c r="BT58" s="510">
        <f>+BU58-BS58</f>
        <v>0</v>
      </c>
      <c r="BU58" s="511">
        <f>IF(Assumptions!BU38&lt;&gt;"",Assumptions!BU38,0)</f>
        <v>0</v>
      </c>
      <c r="BV58" s="513">
        <f>IF(Assumptions!BV38&lt;&gt;"",Assumptions!BV38,0)</f>
        <v>0</v>
      </c>
      <c r="BW58" s="510">
        <f>+BX58-BV58</f>
        <v>0</v>
      </c>
      <c r="BX58" s="511">
        <f>IF(Assumptions!BX38&lt;&gt;"",Assumptions!BX38,0)</f>
        <v>0</v>
      </c>
      <c r="BY58" s="513">
        <f>IF(Assumptions!BY38&lt;&gt;"",Assumptions!BY38,0)</f>
        <v>0</v>
      </c>
      <c r="BZ58" s="510">
        <f>+CA58-BY58</f>
        <v>0</v>
      </c>
      <c r="CA58" s="511">
        <f>IF(Assumptions!CA38&lt;&gt;"",Assumptions!CA38,0)</f>
        <v>0</v>
      </c>
      <c r="CB58" s="513">
        <f>IF(Assumptions!CB38&lt;&gt;"",Assumptions!CB38,0)</f>
        <v>0</v>
      </c>
      <c r="CC58" s="510">
        <f>+CD58-CB58</f>
        <v>0</v>
      </c>
      <c r="CD58" s="511">
        <f>IF(Assumptions!CD38&lt;&gt;"",Assumptions!CD38,0)</f>
        <v>0</v>
      </c>
      <c r="CE58" s="513">
        <f>IF(Assumptions!CE38&lt;&gt;"",Assumptions!CE38,0)</f>
        <v>0</v>
      </c>
      <c r="CF58" s="510">
        <f>+CG58-CE58</f>
        <v>0</v>
      </c>
      <c r="CG58" s="511">
        <f>IF(Assumptions!CG38&lt;&gt;"",Assumptions!CG38,0)</f>
        <v>0</v>
      </c>
      <c r="CH58" s="513">
        <f>IF(Assumptions!CH38&lt;&gt;"",Assumptions!CH38,0)</f>
        <v>0</v>
      </c>
      <c r="CI58" s="510">
        <f>+CJ58-CH58</f>
        <v>0</v>
      </c>
      <c r="CJ58" s="511">
        <f>IF(Assumptions!CJ38&lt;&gt;"",Assumptions!CJ38,0)</f>
        <v>0</v>
      </c>
      <c r="CK58" s="513">
        <f>IF(Assumptions!CK38&lt;&gt;"",Assumptions!CK38,0)</f>
        <v>0</v>
      </c>
      <c r="CL58" s="510">
        <f>+CM58-CK58</f>
        <v>0</v>
      </c>
      <c r="CM58" s="511">
        <f>IF(Assumptions!CM38&lt;&gt;"",Assumptions!CM38,0)</f>
        <v>0</v>
      </c>
      <c r="CN58" s="513">
        <f>IF(Assumptions!CN38&lt;&gt;"",Assumptions!CN38,0)</f>
        <v>0</v>
      </c>
      <c r="CO58" s="510">
        <f>+CP58-CN58</f>
        <v>0</v>
      </c>
      <c r="CP58" s="511">
        <f>IF(Assumptions!CP38&lt;&gt;"",Assumptions!CP38,0)</f>
        <v>0</v>
      </c>
      <c r="CQ58" s="513">
        <f>IF(Assumptions!CQ38&lt;&gt;"",Assumptions!CQ38,0)</f>
        <v>0</v>
      </c>
      <c r="CR58" s="510">
        <f>+CS58-CQ58</f>
        <v>0</v>
      </c>
      <c r="CS58" s="511">
        <f>IF(Assumptions!CS38&lt;&gt;"",Assumptions!CS38,0)</f>
        <v>0</v>
      </c>
      <c r="CT58" s="513">
        <f>IF(Assumptions!CT38&lt;&gt;"",Assumptions!CT38,0)</f>
        <v>0</v>
      </c>
      <c r="CU58" s="510">
        <f>+CV58-CT58</f>
        <v>0</v>
      </c>
      <c r="CV58" s="511">
        <f>IF(Assumptions!CV38&lt;&gt;"",Assumptions!CV38,0)</f>
        <v>0</v>
      </c>
      <c r="CW58" s="513">
        <f>IF(Assumptions!CW38&lt;&gt;"",Assumptions!CW38,0)</f>
        <v>0</v>
      </c>
      <c r="CX58" s="510">
        <f>+CY58-CW58</f>
        <v>0</v>
      </c>
      <c r="CY58" s="511">
        <f>IF(Assumptions!CY38&lt;&gt;"",Assumptions!CY38,0)</f>
        <v>0</v>
      </c>
      <c r="CZ58" s="513">
        <f>IF(Assumptions!CZ38&lt;&gt;"",Assumptions!CZ38,0)</f>
        <v>0</v>
      </c>
      <c r="DA58" s="510">
        <f>+DB58-CZ58</f>
        <v>0</v>
      </c>
      <c r="DB58" s="511">
        <f>IF(Assumptions!DB38&lt;&gt;"",Assumptions!DB38,0)</f>
        <v>0</v>
      </c>
      <c r="DC58" s="513">
        <f>IF(Assumptions!DC38&lt;&gt;"",Assumptions!DC38,0)</f>
        <v>0</v>
      </c>
      <c r="DD58" s="510">
        <f>+DE58-DC58</f>
        <v>0</v>
      </c>
      <c r="DE58" s="511">
        <f>IF(Assumptions!DE38&lt;&gt;"",Assumptions!DE38,0)</f>
        <v>0</v>
      </c>
      <c r="DF58" s="513">
        <f>IF(Assumptions!DF38&lt;&gt;"",Assumptions!DF38,0)</f>
        <v>0</v>
      </c>
      <c r="DG58" s="510">
        <f>+DH58-DF58</f>
        <v>0</v>
      </c>
      <c r="DH58" s="1257">
        <f>IF(Assumptions!DH38&lt;&gt;"",Assumptions!DH38,0)</f>
        <v>0</v>
      </c>
      <c r="DI58" s="482">
        <f>IF(Assumptions!DI38&lt;&gt;"",Assumptions!DI38,0)</f>
        <v>0</v>
      </c>
      <c r="DJ58" s="482">
        <f>+DK58-DI58</f>
        <v>0</v>
      </c>
      <c r="DK58" s="1244">
        <f>IF(Assumptions!DK38&lt;&gt;"",Assumptions!DK38,0)</f>
        <v>0</v>
      </c>
      <c r="DL58" s="482">
        <f>IF(Assumptions!DL38&lt;&gt;"",Assumptions!DL38,0)</f>
        <v>0</v>
      </c>
      <c r="DM58" s="482">
        <f>+DN58-DL58</f>
        <v>0</v>
      </c>
      <c r="DN58" s="1244">
        <f>IF(Assumptions!DN38&lt;&gt;"",Assumptions!DN38,0)</f>
        <v>0</v>
      </c>
      <c r="DO58" s="482">
        <f>IF(Assumptions!DO38&lt;&gt;"",Assumptions!DO38,0)</f>
        <v>0</v>
      </c>
      <c r="DP58" s="482">
        <f>+DQ58-DO58</f>
        <v>0</v>
      </c>
      <c r="DQ58" s="1244">
        <f>IF(Assumptions!DQ38&lt;&gt;"",Assumptions!DQ38,0)</f>
        <v>0</v>
      </c>
      <c r="DR58" s="482">
        <f>IF(Assumptions!DR38&lt;&gt;"",Assumptions!DR38,0)</f>
        <v>0</v>
      </c>
      <c r="DS58" s="482">
        <f>+DT58-DR58</f>
        <v>0</v>
      </c>
      <c r="DT58" s="1244">
        <f>IF(Assumptions!DT38&lt;&gt;"",Assumptions!DT38,0)</f>
        <v>0</v>
      </c>
      <c r="DU58" s="482">
        <f>IF(Assumptions!DU38&lt;&gt;"",Assumptions!DU38,0)</f>
        <v>0</v>
      </c>
      <c r="DV58" s="482">
        <f>+DW58-DU58</f>
        <v>0</v>
      </c>
      <c r="DW58" s="1244">
        <f>IF(Assumptions!DW38&lt;&gt;"",Assumptions!DW38,0)</f>
        <v>0</v>
      </c>
      <c r="DX58" s="482">
        <f>IF(Assumptions!DX38&lt;&gt;"",Assumptions!DX38,0)</f>
        <v>0</v>
      </c>
      <c r="DY58" s="482">
        <f>+DZ58-DX58</f>
        <v>0</v>
      </c>
      <c r="DZ58" s="1244">
        <f>IF(Assumptions!DZ38&lt;&gt;"",Assumptions!DZ38,0)</f>
        <v>0</v>
      </c>
      <c r="EA58" s="482">
        <f>IF(Assumptions!EA38&lt;&gt;"",Assumptions!EA38,0)</f>
        <v>0</v>
      </c>
      <c r="EB58" s="482">
        <f>+EC58-EA58</f>
        <v>0</v>
      </c>
      <c r="EC58" s="1244">
        <f>IF(Assumptions!EC38&lt;&gt;"",Assumptions!EC38,0)</f>
        <v>0</v>
      </c>
      <c r="ED58" s="482">
        <f>IF(Assumptions!ED38&lt;&gt;"",Assumptions!ED38,0)</f>
        <v>0</v>
      </c>
      <c r="EE58" s="482">
        <f>+EF58-ED58</f>
        <v>0</v>
      </c>
      <c r="EF58" s="1244">
        <f>IF(Assumptions!EF38&lt;&gt;"",Assumptions!EF38,0)</f>
        <v>0</v>
      </c>
      <c r="EG58" s="482">
        <f>IF(Assumptions!EG38&lt;&gt;"",Assumptions!EG38,0)</f>
        <v>0</v>
      </c>
      <c r="EH58" s="482">
        <f>+EI58-EG58</f>
        <v>0</v>
      </c>
      <c r="EI58" s="1244">
        <f>IF(Assumptions!EI38&lt;&gt;"",Assumptions!EI38,0)</f>
        <v>0</v>
      </c>
      <c r="EJ58" s="482">
        <f>IF(Assumptions!EJ38&lt;&gt;"",Assumptions!EJ38,0)</f>
        <v>0</v>
      </c>
      <c r="EK58" s="482">
        <f>+EL58-EJ58</f>
        <v>0</v>
      </c>
      <c r="EL58" s="1244">
        <f>IF(Assumptions!EL38&lt;&gt;"",Assumptions!EL38,0)</f>
        <v>0</v>
      </c>
      <c r="EM58" s="482">
        <f>IF(Assumptions!EM38&lt;&gt;"",Assumptions!EM38,0)</f>
        <v>0</v>
      </c>
      <c r="EN58" s="482">
        <f>+EO58-EM58</f>
        <v>0</v>
      </c>
      <c r="EO58" s="1244">
        <f>IF(Assumptions!EO38&lt;&gt;"",Assumptions!EO38,0)</f>
        <v>0</v>
      </c>
      <c r="EP58" s="482">
        <f>IF(Assumptions!EP38&lt;&gt;"",Assumptions!EP38,0)</f>
        <v>0</v>
      </c>
      <c r="EQ58" s="482">
        <f>+ER58-EP58</f>
        <v>0</v>
      </c>
      <c r="ER58" s="1244">
        <f>IF(Assumptions!ER38&lt;&gt;"",Assumptions!ER38,0)</f>
        <v>0</v>
      </c>
      <c r="ES58" s="482">
        <f>IF(Assumptions!ES38&lt;&gt;"",Assumptions!ES38,0)</f>
        <v>0</v>
      </c>
      <c r="ET58" s="482">
        <f>+EU58-ES58</f>
        <v>0</v>
      </c>
      <c r="EU58" s="1244">
        <f>IF(Assumptions!EU38&lt;&gt;"",Assumptions!EU38,0)</f>
        <v>0</v>
      </c>
      <c r="EV58" s="482">
        <f>IF(Assumptions!EV38&lt;&gt;"",Assumptions!EV38,0)</f>
        <v>0</v>
      </c>
      <c r="EW58" s="482">
        <f>+EX58-EV58</f>
        <v>0</v>
      </c>
      <c r="EX58" s="1244">
        <f>IF(Assumptions!EX38&lt;&gt;"",Assumptions!EX38,0)</f>
        <v>0</v>
      </c>
      <c r="EY58" s="482">
        <f>IF(Assumptions!EY38&lt;&gt;"",Assumptions!EY38,0)</f>
        <v>0</v>
      </c>
      <c r="EZ58" s="482">
        <f>+FA58-EY58</f>
        <v>0</v>
      </c>
      <c r="FA58" s="1244">
        <f>IF(Assumptions!FA38&lt;&gt;"",Assumptions!FA38,0)</f>
        <v>0</v>
      </c>
      <c r="FE58"/>
      <c r="FF58"/>
      <c r="FG58"/>
      <c r="FH58"/>
      <c r="FI58"/>
      <c r="FJ58"/>
      <c r="FK58" s="35"/>
    </row>
    <row r="59" spans="2:167" s="236" customFormat="1" ht="13.35" customHeight="1" outlineLevel="1">
      <c r="B59" s="1483" t="s">
        <v>269</v>
      </c>
      <c r="C59" s="1483" t="s">
        <v>496</v>
      </c>
      <c r="D59" s="1484"/>
      <c r="E59" s="1488"/>
      <c r="F59" s="1485">
        <f>+G59-E59</f>
        <v>0</v>
      </c>
      <c r="G59" s="1534"/>
      <c r="H59" s="1490"/>
      <c r="I59" s="1485">
        <f>+J59-H59</f>
        <v>0</v>
      </c>
      <c r="J59" s="1534"/>
      <c r="K59" s="1490"/>
      <c r="L59" s="1485">
        <f>+M59-K59</f>
        <v>0</v>
      </c>
      <c r="M59" s="1534"/>
      <c r="N59" s="1490"/>
      <c r="O59" s="1485">
        <f>+P59-N59</f>
        <v>0</v>
      </c>
      <c r="P59" s="1534"/>
      <c r="Q59" s="1490"/>
      <c r="R59" s="1485">
        <f>+S59-Q59</f>
        <v>0</v>
      </c>
      <c r="S59" s="1534"/>
      <c r="T59" s="1490"/>
      <c r="U59" s="1485">
        <f>+V59-T59</f>
        <v>0</v>
      </c>
      <c r="V59" s="1534"/>
      <c r="W59" s="1490"/>
      <c r="X59" s="1485">
        <f>+Y59-W59</f>
        <v>0</v>
      </c>
      <c r="Y59" s="1534"/>
      <c r="Z59" s="1490"/>
      <c r="AA59" s="1485">
        <f>+AB59-Z59</f>
        <v>0</v>
      </c>
      <c r="AB59" s="1534"/>
      <c r="AC59" s="1490"/>
      <c r="AD59" s="1485">
        <f>+AE59-AC59</f>
        <v>0</v>
      </c>
      <c r="AE59" s="1534"/>
      <c r="AF59" s="1490"/>
      <c r="AG59" s="1485">
        <f>+AH59-AF59</f>
        <v>0</v>
      </c>
      <c r="AH59" s="1534"/>
      <c r="AI59" s="1491">
        <v>0.94799999999999995</v>
      </c>
      <c r="AJ59" s="1485">
        <f>+AK59-AI59</f>
        <v>0.93300000000000005</v>
      </c>
      <c r="AK59" s="1535">
        <v>1.881</v>
      </c>
      <c r="AL59" s="1491">
        <v>0.79100000000000004</v>
      </c>
      <c r="AM59" s="1485">
        <f>+AN59-AL59</f>
        <v>0.75900000000000001</v>
      </c>
      <c r="AN59" s="1535">
        <v>1.55</v>
      </c>
      <c r="AO59" s="1491">
        <v>0.76500000000000001</v>
      </c>
      <c r="AP59" s="1485">
        <f>+AQ59-AO59</f>
        <v>0.83199999999999996</v>
      </c>
      <c r="AQ59" s="1535">
        <v>1.597</v>
      </c>
      <c r="AR59" s="1491">
        <v>0.80400000000000005</v>
      </c>
      <c r="AS59" s="1485">
        <f>+AT59-AR59</f>
        <v>0.96399999999999997</v>
      </c>
      <c r="AT59" s="1535">
        <v>1.768</v>
      </c>
      <c r="AU59" s="1491">
        <v>0.91500000000000004</v>
      </c>
      <c r="AV59" s="1485">
        <f>+AW59-AU59</f>
        <v>1.8119999999999998</v>
      </c>
      <c r="AW59" s="1535">
        <v>2.7269999999999999</v>
      </c>
      <c r="AX59" s="1491">
        <v>1.1399999999999999</v>
      </c>
      <c r="AY59" s="1485">
        <f>+AZ59-AX59</f>
        <v>1.5029999999999999</v>
      </c>
      <c r="AZ59" s="1535">
        <v>2.6429999999999998</v>
      </c>
      <c r="BA59" s="1491">
        <v>1.5920000000000001</v>
      </c>
      <c r="BB59" s="1485">
        <f>+BC59-BA59</f>
        <v>1.9209999999999998</v>
      </c>
      <c r="BC59" s="1535">
        <v>3.5129999999999999</v>
      </c>
      <c r="BD59" s="1490">
        <f>BF59/2</f>
        <v>2.3734999999999999</v>
      </c>
      <c r="BE59" s="1485">
        <f>+BF59-BD59</f>
        <v>2.3734999999999999</v>
      </c>
      <c r="BF59" s="1535">
        <v>4.7469999999999999</v>
      </c>
      <c r="BG59" s="1490">
        <f>IF(Assumptions!BG48&lt;&gt;"",Assumptions!BG48,0)</f>
        <v>3.6579999999999999</v>
      </c>
      <c r="BH59" s="1485">
        <f>+BI59-BG59</f>
        <v>4.0820000000000007</v>
      </c>
      <c r="BI59" s="1534">
        <f>IF(Assumptions!BI48&lt;&gt;"",Assumptions!BI48,0)</f>
        <v>7.74</v>
      </c>
      <c r="BJ59" s="1490">
        <f>IF(Assumptions!BJ48&lt;&gt;"",Assumptions!BJ48,0)</f>
        <v>3.6579999999999999</v>
      </c>
      <c r="BK59" s="1485">
        <f>+BL59-BJ59</f>
        <v>1.0770000000000004</v>
      </c>
      <c r="BL59" s="1535">
        <v>4.7350000000000003</v>
      </c>
      <c r="BM59" s="1490">
        <f>IF(Assumptions!BM48&lt;&gt;"",Assumptions!BM48,0)</f>
        <v>4.9307999999999996</v>
      </c>
      <c r="BN59" s="1485">
        <f>+BO59-BM59</f>
        <v>-0.76980000000000004</v>
      </c>
      <c r="BO59" s="1533">
        <v>4.1609999999999996</v>
      </c>
      <c r="BP59" s="1490">
        <f>IF(Assumptions!BP48&lt;&gt;"",Assumptions!BP48,0)</f>
        <v>4.9307999999999996</v>
      </c>
      <c r="BQ59" s="1485">
        <f>+BR59-BP59</f>
        <v>7.2441999999999993</v>
      </c>
      <c r="BR59" s="1488">
        <f>16.075-3.9</f>
        <v>12.174999999999999</v>
      </c>
      <c r="BS59" s="1490">
        <f>IF(Assumptions!BS48&lt;&gt;"",Assumptions!BS48,0)</f>
        <v>5.2052799999999992</v>
      </c>
      <c r="BT59" s="1485">
        <f>+BU59-BS59</f>
        <v>9.5427200000000205</v>
      </c>
      <c r="BU59" s="1488">
        <f>170.9-BU60</f>
        <v>14.748000000000019</v>
      </c>
      <c r="BV59" s="1490">
        <f>IF(Assumptions!BV48&lt;&gt;"",Assumptions!BV48,0)</f>
        <v>5.7614399999999995</v>
      </c>
      <c r="BW59" s="1485">
        <f>+BX59-BV59</f>
        <v>13.92756</v>
      </c>
      <c r="BX59" s="1488">
        <f>21.332-1.643</f>
        <v>19.689</v>
      </c>
      <c r="BY59" s="1490">
        <v>5.9</v>
      </c>
      <c r="BZ59" s="1485">
        <f>+CA59-BY59</f>
        <v>5.8140000000000001</v>
      </c>
      <c r="CA59" s="1533">
        <v>11.714</v>
      </c>
      <c r="CB59" s="1490">
        <f>IF(Assumptions!CB48&lt;&gt;"",Assumptions!CB48,0)</f>
        <v>8.4163999999999994</v>
      </c>
      <c r="CC59" s="1485">
        <f>+CD59-CB59</f>
        <v>4.1816000000000013</v>
      </c>
      <c r="CD59" s="1533">
        <v>12.598000000000001</v>
      </c>
      <c r="CE59" s="1490">
        <f>IF(Assumptions!CE48&lt;&gt;"",Assumptions!CE48,0)</f>
        <v>13.21968</v>
      </c>
      <c r="CF59" s="1485">
        <f>+CG59-CE59</f>
        <v>14.180320000000034</v>
      </c>
      <c r="CG59" s="1488">
        <f>270.1-242.7</f>
        <v>27.400000000000034</v>
      </c>
      <c r="CH59" s="1490">
        <f>IF(Assumptions!CH48&lt;&gt;"",Assumptions!CH48,0)</f>
        <v>13.21968</v>
      </c>
      <c r="CI59" s="1485">
        <f>+CJ59-CH59</f>
        <v>10.881319999999999</v>
      </c>
      <c r="CJ59" s="1533">
        <v>24.100999999999999</v>
      </c>
      <c r="CK59" s="1490">
        <f>IF(Assumptions!CK48&lt;&gt;"",Assumptions!CK48,0)</f>
        <v>13.21968</v>
      </c>
      <c r="CL59" s="1485">
        <f>+CM59-CK59</f>
        <v>10.881319999999999</v>
      </c>
      <c r="CM59" s="1488">
        <f>IF(Assumptions!CM48&lt;&gt;"",Assumptions!CM48,0)</f>
        <v>24.100999999999999</v>
      </c>
      <c r="CN59" s="1490">
        <f>IF(Assumptions!CN48&lt;&gt;"",Assumptions!CN48,0)</f>
        <v>14.332319999999999</v>
      </c>
      <c r="CO59" s="1485">
        <f>+CP59-CN59</f>
        <v>9.7686799999999998</v>
      </c>
      <c r="CP59" s="1488">
        <f>IF(Assumptions!CP48&lt;&gt;"",Assumptions!CP48,0)</f>
        <v>24.100999999999999</v>
      </c>
      <c r="CQ59" s="1490">
        <f>IF(Assumptions!CQ48&lt;&gt;"",Assumptions!CQ48,0)</f>
        <v>15.1684</v>
      </c>
      <c r="CR59" s="1485">
        <f>+CS59-CQ59</f>
        <v>8.932599999999999</v>
      </c>
      <c r="CS59" s="1488">
        <f>IF(Assumptions!CS48&lt;&gt;"",Assumptions!CS48,0)</f>
        <v>24.100999999999999</v>
      </c>
      <c r="CT59" s="1490">
        <f>IF(Assumptions!CT48&lt;&gt;"",Assumptions!CT48,0)</f>
        <v>15.1684</v>
      </c>
      <c r="CU59" s="1485">
        <f>+CV59-CT59</f>
        <v>8.932599999999999</v>
      </c>
      <c r="CV59" s="1488">
        <f>IF(Assumptions!CV48&lt;&gt;"",Assumptions!CV48,0)</f>
        <v>24.100999999999999</v>
      </c>
      <c r="CW59" s="1490">
        <f>IF(Assumptions!CW48&lt;&gt;"",Assumptions!CW48,0)</f>
        <v>15.1684</v>
      </c>
      <c r="CX59" s="1485">
        <f>+CY59-CW59</f>
        <v>11.137320000000001</v>
      </c>
      <c r="CY59" s="1488">
        <f>IF(Assumptions!CY48&lt;&gt;"",Assumptions!CY48,0)</f>
        <v>26.305720000000001</v>
      </c>
      <c r="CZ59" s="1490">
        <f>IF(Assumptions!CZ48&lt;&gt;"",Assumptions!CZ48,0)</f>
        <v>15.5764</v>
      </c>
      <c r="DA59" s="1485">
        <f>+DB59-CZ59</f>
        <v>18.623600000000003</v>
      </c>
      <c r="DB59" s="1488">
        <f>IF(Assumptions!DB48&lt;&gt;"",Assumptions!DB48,0)</f>
        <v>34.200000000000003</v>
      </c>
      <c r="DC59" s="1490">
        <f>IF(Assumptions!DC48&lt;&gt;"",Assumptions!DC48,0)</f>
        <v>17.507649999999998</v>
      </c>
      <c r="DD59" s="1485">
        <f>+DE59-DC59</f>
        <v>20.992350000000002</v>
      </c>
      <c r="DE59" s="1488">
        <f>IF(Assumptions!DE48&lt;&gt;"",Assumptions!DE48,0)</f>
        <v>38.5</v>
      </c>
      <c r="DF59" s="1490">
        <f>Assumptions!DF49</f>
        <v>21.224067910447758</v>
      </c>
      <c r="DG59" s="1485">
        <f>+DH59-DF59</f>
        <v>27.885455899076049</v>
      </c>
      <c r="DH59" s="1486">
        <f>Assumptions!DH49</f>
        <v>49.109523809523807</v>
      </c>
      <c r="DI59" s="1485">
        <f>Assumptions!DI49</f>
        <v>26.880999999999997</v>
      </c>
      <c r="DJ59" s="1485">
        <f>+DK59-DI59</f>
        <v>22.019000000000009</v>
      </c>
      <c r="DK59" s="1486">
        <f>Assumptions!DK49</f>
        <v>48.900000000000006</v>
      </c>
      <c r="DL59" s="1485">
        <f>Assumptions!DL49</f>
        <v>26.929000000000002</v>
      </c>
      <c r="DM59" s="1485">
        <f>+DN59-DL59</f>
        <v>18.170999999999999</v>
      </c>
      <c r="DN59" s="1486">
        <f>Assumptions!DN49</f>
        <v>45.1</v>
      </c>
      <c r="DO59" s="1485">
        <f>Assumptions!DO49</f>
        <v>22.452999999999996</v>
      </c>
      <c r="DP59" s="1485">
        <f>+DQ59-DO59</f>
        <v>28.147000000000006</v>
      </c>
      <c r="DQ59" s="1486">
        <f>Assumptions!DQ49</f>
        <v>50.6</v>
      </c>
      <c r="DR59" s="1485">
        <f>Assumptions!DR49</f>
        <v>26.881</v>
      </c>
      <c r="DS59" s="1485">
        <f>+DT59-DR59</f>
        <v>24.919000000000004</v>
      </c>
      <c r="DT59" s="1486">
        <f>Assumptions!DT49</f>
        <v>51.800000000000004</v>
      </c>
      <c r="DU59" s="1485">
        <f>Assumptions!DU49</f>
        <v>24.297999999999998</v>
      </c>
      <c r="DV59" s="1485">
        <f>+DW59-DU59</f>
        <v>26.30200000000001</v>
      </c>
      <c r="DW59" s="1486">
        <f>Assumptions!DW49</f>
        <v>50.600000000000009</v>
      </c>
      <c r="DX59" s="1485">
        <f>Assumptions!DX49</f>
        <v>30.1</v>
      </c>
      <c r="DY59" s="1485">
        <f>+DZ59-DX59</f>
        <v>34.617318639572964</v>
      </c>
      <c r="DZ59" s="1486">
        <f>Assumptions!DZ49</f>
        <v>64.717318639572966</v>
      </c>
      <c r="EA59" s="1485">
        <f>Assumptions!EA49</f>
        <v>35.898747706503933</v>
      </c>
      <c r="EB59" s="1485">
        <f>+EC59-EA59</f>
        <v>37.004766894849588</v>
      </c>
      <c r="EC59" s="1486">
        <f>Assumptions!EC49</f>
        <v>72.903514601353521</v>
      </c>
      <c r="ED59" s="1485">
        <f>Assumptions!ED49</f>
        <v>30.175744674061345</v>
      </c>
      <c r="EE59" s="1485">
        <f>+EF59-ED59</f>
        <v>31.109165639030667</v>
      </c>
      <c r="EF59" s="1486">
        <f>Assumptions!EF49</f>
        <v>61.284910313092013</v>
      </c>
      <c r="EG59" s="1485">
        <f>Assumptions!EG49</f>
        <v>32.89156169472686</v>
      </c>
      <c r="EH59" s="1485">
        <f>+EI59-EG59</f>
        <v>33.908990546543421</v>
      </c>
      <c r="EI59" s="1486">
        <f>Assumptions!EI49</f>
        <v>66.800552241270282</v>
      </c>
      <c r="EJ59" s="1485">
        <f>Assumptions!EJ49</f>
        <v>35.85180224725228</v>
      </c>
      <c r="EK59" s="1485">
        <f>+EL59-EJ59</f>
        <v>36.960799695732348</v>
      </c>
      <c r="EL59" s="1486">
        <f>Assumptions!EL49</f>
        <v>72.812601942984628</v>
      </c>
      <c r="EM59" s="1485">
        <f>Assumptions!EM49</f>
        <v>39.078464449504992</v>
      </c>
      <c r="EN59" s="1485">
        <f>+EO59-EM59</f>
        <v>40.287271668348268</v>
      </c>
      <c r="EO59" s="1486">
        <f>Assumptions!EO49</f>
        <v>79.36573611785326</v>
      </c>
      <c r="EP59" s="1485">
        <f>Assumptions!EP49</f>
        <v>42.595526249960443</v>
      </c>
      <c r="EQ59" s="1485">
        <f>+ER59-EP59</f>
        <v>43.913126118499605</v>
      </c>
      <c r="ER59" s="1486">
        <f>Assumptions!ER49</f>
        <v>86.508652368460048</v>
      </c>
      <c r="ES59" s="1485">
        <f>Assumptions!ES49</f>
        <v>46.429123612456891</v>
      </c>
      <c r="ET59" s="1485">
        <f>+EU59-ES59</f>
        <v>47.865307469164577</v>
      </c>
      <c r="EU59" s="1486">
        <f>Assumptions!EU49</f>
        <v>94.294431081621468</v>
      </c>
      <c r="EV59" s="1485">
        <f>Assumptions!EV49</f>
        <v>50.607744737578017</v>
      </c>
      <c r="EW59" s="1485">
        <f>+EX59-EV59</f>
        <v>52.173185141389396</v>
      </c>
      <c r="EX59" s="1486">
        <f>Assumptions!EX49</f>
        <v>102.78092987896741</v>
      </c>
      <c r="EY59" s="1485">
        <f>Assumptions!EY49</f>
        <v>55.162441763960032</v>
      </c>
      <c r="EZ59" s="1485">
        <f>+FA59-EY59</f>
        <v>56.868771804114431</v>
      </c>
      <c r="FA59" s="1486">
        <f>Assumptions!FA49</f>
        <v>112.03121356807446</v>
      </c>
      <c r="FE59"/>
      <c r="FF59"/>
      <c r="FG59"/>
      <c r="FH59"/>
      <c r="FI59"/>
      <c r="FJ59"/>
      <c r="FK59" s="35"/>
    </row>
    <row r="60" spans="2:167" s="236" customFormat="1" ht="13.35" customHeight="1" outlineLevel="1">
      <c r="B60" s="444" t="s">
        <v>270</v>
      </c>
      <c r="C60" s="444" t="s">
        <v>496</v>
      </c>
      <c r="D60" s="1474"/>
      <c r="E60" s="867">
        <f>+E68+E62</f>
        <v>0</v>
      </c>
      <c r="F60" s="562">
        <f>+G60-E60</f>
        <v>0</v>
      </c>
      <c r="G60" s="867">
        <f>+G68+G62</f>
        <v>0</v>
      </c>
      <c r="H60" s="867">
        <f>+H68+H62</f>
        <v>0</v>
      </c>
      <c r="I60" s="562">
        <f>+J60-H60</f>
        <v>0</v>
      </c>
      <c r="J60" s="867">
        <f>+J68+J62</f>
        <v>0</v>
      </c>
      <c r="K60" s="867">
        <f>+K68+K62</f>
        <v>0</v>
      </c>
      <c r="L60" s="562">
        <f>+M60-K60</f>
        <v>0</v>
      </c>
      <c r="M60" s="867">
        <f>+M68+M62</f>
        <v>0</v>
      </c>
      <c r="N60" s="867">
        <f>+N68+N62</f>
        <v>0</v>
      </c>
      <c r="O60" s="562">
        <f>+P60-N60</f>
        <v>0</v>
      </c>
      <c r="P60" s="867">
        <f>+P68+P62</f>
        <v>0</v>
      </c>
      <c r="Q60" s="867">
        <f>+Q68+Q62</f>
        <v>0</v>
      </c>
      <c r="R60" s="562">
        <f>+S60-Q60</f>
        <v>0</v>
      </c>
      <c r="S60" s="867">
        <f>+S68+S62</f>
        <v>0</v>
      </c>
      <c r="T60" s="867">
        <f>+T68+T62</f>
        <v>0</v>
      </c>
      <c r="U60" s="562">
        <f>+V60-T60</f>
        <v>0</v>
      </c>
      <c r="V60" s="867">
        <f>+V68+V62</f>
        <v>0</v>
      </c>
      <c r="W60" s="867">
        <f>+W68+W62</f>
        <v>0</v>
      </c>
      <c r="X60" s="562">
        <f>+Y60-W60</f>
        <v>0</v>
      </c>
      <c r="Y60" s="867">
        <f>+Y68+Y62</f>
        <v>0</v>
      </c>
      <c r="Z60" s="867">
        <f>+Z68+Z62</f>
        <v>0</v>
      </c>
      <c r="AA60" s="562">
        <f>+AB60-Z60</f>
        <v>0</v>
      </c>
      <c r="AB60" s="867">
        <f>+AB68+AB62</f>
        <v>0</v>
      </c>
      <c r="AC60" s="867">
        <f>+AC68+AC62</f>
        <v>0</v>
      </c>
      <c r="AD60" s="562">
        <f>+AE60-AC60</f>
        <v>0</v>
      </c>
      <c r="AE60" s="867">
        <f>+AE68+AE62</f>
        <v>0</v>
      </c>
      <c r="AF60" s="867">
        <f>+AF68+AF62</f>
        <v>0</v>
      </c>
      <c r="AG60" s="562">
        <f>+AH60-AF60</f>
        <v>0</v>
      </c>
      <c r="AH60" s="867">
        <f>+AH68+AH62</f>
        <v>0</v>
      </c>
      <c r="AI60" s="867">
        <f>+AI68+AI62</f>
        <v>5.1360000000000001</v>
      </c>
      <c r="AJ60" s="562">
        <f>+AK60-AI60</f>
        <v>7.1889999999999992</v>
      </c>
      <c r="AK60" s="867">
        <f>+AK68+AK62</f>
        <v>12.324999999999999</v>
      </c>
      <c r="AL60" s="867">
        <f>+AL68+AL62</f>
        <v>6.2679999999999998</v>
      </c>
      <c r="AM60" s="562">
        <f>+AN60-AL60</f>
        <v>7.03</v>
      </c>
      <c r="AN60" s="867">
        <f>+AN68+AN62</f>
        <v>13.298</v>
      </c>
      <c r="AO60" s="867">
        <f>+AO68+AO62</f>
        <v>5.74</v>
      </c>
      <c r="AP60" s="562">
        <f>+AQ60-AO60</f>
        <v>8.5440000000000005</v>
      </c>
      <c r="AQ60" s="867">
        <f>+AQ68+AQ62</f>
        <v>14.284000000000001</v>
      </c>
      <c r="AR60" s="867">
        <f>+AR68+AR62</f>
        <v>7.3869999999999996</v>
      </c>
      <c r="AS60" s="562">
        <f>+AT60-AR60</f>
        <v>10.089000000000002</v>
      </c>
      <c r="AT60" s="867">
        <f>+AT68+AT62</f>
        <v>17.476000000000003</v>
      </c>
      <c r="AU60" s="867">
        <f>+AU68+AU62</f>
        <v>9.1419999999999995</v>
      </c>
      <c r="AV60" s="562">
        <f>+AW60-AU60</f>
        <v>13.940999999999999</v>
      </c>
      <c r="AW60" s="867">
        <f>+AW68+AW62</f>
        <v>23.082999999999998</v>
      </c>
      <c r="AX60" s="867">
        <f>+AX68+AX62</f>
        <v>15.675000000000001</v>
      </c>
      <c r="AY60" s="562">
        <f>+AZ60-AX60</f>
        <v>19.093999999999998</v>
      </c>
      <c r="AZ60" s="867">
        <f>+AZ68+AZ62</f>
        <v>34.768999999999998</v>
      </c>
      <c r="BA60" s="867">
        <f>+BA68+BA62</f>
        <v>23.153000000000002</v>
      </c>
      <c r="BB60" s="562">
        <f>+BC60-BA60</f>
        <v>22.359999999999996</v>
      </c>
      <c r="BC60" s="867">
        <f>+BC68+BC62</f>
        <v>45.512999999999998</v>
      </c>
      <c r="BD60" s="867">
        <f>+BD68+BD62</f>
        <v>25.95</v>
      </c>
      <c r="BE60" s="562">
        <f>+BF60-BD60</f>
        <v>29.040000000000003</v>
      </c>
      <c r="BF60" s="867">
        <f>+BF68+BF62</f>
        <v>54.99</v>
      </c>
      <c r="BG60" s="867">
        <f>+BG68+BG62</f>
        <v>36.327999999999996</v>
      </c>
      <c r="BH60" s="562">
        <f>+BI60-BG60</f>
        <v>43.821000000000005</v>
      </c>
      <c r="BI60" s="867">
        <f>+BI68+BI62</f>
        <v>80.149000000000001</v>
      </c>
      <c r="BJ60" s="867">
        <f>+BJ68+BJ62</f>
        <v>35.577999999999996</v>
      </c>
      <c r="BK60" s="562">
        <f>+BL60-BJ60</f>
        <v>12.780000000000008</v>
      </c>
      <c r="BL60" s="867">
        <f>+BL68+BL62</f>
        <v>48.358000000000004</v>
      </c>
      <c r="BM60" s="867">
        <f>+BM68+BM62</f>
        <v>40.463000000000001</v>
      </c>
      <c r="BN60" s="562">
        <f>+BO60-BM60</f>
        <v>45.552</v>
      </c>
      <c r="BO60" s="867">
        <f>+BO68+BO62</f>
        <v>86.015000000000001</v>
      </c>
      <c r="BP60" s="867">
        <f>+BP68+BP62</f>
        <v>62.129999999999995</v>
      </c>
      <c r="BQ60" s="562">
        <f>+BR60-BP60</f>
        <v>50.26700000000001</v>
      </c>
      <c r="BR60" s="867">
        <f>+BR68+BR62</f>
        <v>112.39700000000001</v>
      </c>
      <c r="BS60" s="867">
        <f>+BS68+BS62</f>
        <v>75.983000000000004</v>
      </c>
      <c r="BT60" s="562">
        <f>+BU60-BS60</f>
        <v>80.168999999999983</v>
      </c>
      <c r="BU60" s="867">
        <f>+BU68+BU62</f>
        <v>156.15199999999999</v>
      </c>
      <c r="BV60" s="867">
        <f>+BV68+BV62</f>
        <v>84.701000000000008</v>
      </c>
      <c r="BW60" s="562">
        <f>+BX60-BV60</f>
        <v>84.271000000000001</v>
      </c>
      <c r="BX60" s="867">
        <f>+BX68+BX62</f>
        <v>168.97200000000001</v>
      </c>
      <c r="BY60" s="867">
        <f>+BY68+BY62</f>
        <v>89.528999999999996</v>
      </c>
      <c r="BZ60" s="562">
        <f>+CA60-BY60</f>
        <v>95.646000000000015</v>
      </c>
      <c r="CA60" s="867">
        <f>+CA68+CA62</f>
        <v>185.17500000000001</v>
      </c>
      <c r="CB60" s="867">
        <f>+CB68+CB62</f>
        <v>103.13800000000001</v>
      </c>
      <c r="CC60" s="562">
        <f>+CD60-CB60</f>
        <v>126.70400000000001</v>
      </c>
      <c r="CD60" s="867">
        <f>+CD68+CD62</f>
        <v>229.84200000000001</v>
      </c>
      <c r="CE60" s="867">
        <f>+CE68+CE62</f>
        <v>112.30900000000001</v>
      </c>
      <c r="CF60" s="562">
        <f>+CG60-CE60</f>
        <v>127.88599999999998</v>
      </c>
      <c r="CG60" s="867">
        <f>+CG68+CG62</f>
        <v>240.19499999999999</v>
      </c>
      <c r="CH60" s="867">
        <f>+CH68+CH62</f>
        <v>108.67399999999999</v>
      </c>
      <c r="CI60" s="562">
        <f>+CJ60-CH60</f>
        <v>106.61300000000001</v>
      </c>
      <c r="CJ60" s="867">
        <f>+CJ68+CJ62</f>
        <v>215.28700000000001</v>
      </c>
      <c r="CK60" s="867">
        <f>+CK68+CK62</f>
        <v>108.301</v>
      </c>
      <c r="CL60" s="562">
        <f>+CM60-CK60</f>
        <v>70.559000000000012</v>
      </c>
      <c r="CM60" s="867">
        <f>+CM68+CM62</f>
        <v>178.86</v>
      </c>
      <c r="CN60" s="867">
        <f>+CN68+CN62</f>
        <v>49.424999999999997</v>
      </c>
      <c r="CO60" s="562">
        <f>+CP60-CN60</f>
        <v>100.211</v>
      </c>
      <c r="CP60" s="867">
        <f>+CP68+CP62</f>
        <v>149.636</v>
      </c>
      <c r="CQ60" s="867">
        <f>+CQ68+CQ62</f>
        <v>100.45802269032488</v>
      </c>
      <c r="CR60" s="562">
        <f>+CS60-CQ60</f>
        <v>105.92413980967511</v>
      </c>
      <c r="CS60" s="867">
        <f>+CS68+CS62</f>
        <v>206.38216249999999</v>
      </c>
      <c r="CT60" s="867">
        <f>+CT68+CT62</f>
        <v>130.96700000000001</v>
      </c>
      <c r="CU60" s="562">
        <f>+CV60-CT60</f>
        <v>131.63699999999997</v>
      </c>
      <c r="CV60" s="867">
        <f>+CV68+CV62</f>
        <v>262.60399999999998</v>
      </c>
      <c r="CW60" s="867">
        <f>+CW68+CW62</f>
        <v>156.39699999999999</v>
      </c>
      <c r="CX60" s="562">
        <f>+CY60-CW60</f>
        <v>159.29908879999999</v>
      </c>
      <c r="CY60" s="867">
        <f>+CY68+CY62</f>
        <v>315.69608879999998</v>
      </c>
      <c r="CZ60" s="867">
        <f>+CZ68+CZ62</f>
        <v>160.33557919999998</v>
      </c>
      <c r="DA60" s="562">
        <f>+DB60-CZ60</f>
        <v>188.06442079999999</v>
      </c>
      <c r="DB60" s="867">
        <f>+DB68+DB62</f>
        <v>348.4</v>
      </c>
      <c r="DC60" s="867">
        <f>+DC68+DC62</f>
        <v>177</v>
      </c>
      <c r="DD60" s="562">
        <f>+DE60-DC60</f>
        <v>182.29950000000002</v>
      </c>
      <c r="DE60" s="867">
        <f>+DE68+DE62</f>
        <v>359.29950000000002</v>
      </c>
      <c r="DF60" s="867">
        <f>+DF68+DF62</f>
        <v>196.60314803978935</v>
      </c>
      <c r="DG60" s="562">
        <f>+DH60-DF60</f>
        <v>38.715136960210657</v>
      </c>
      <c r="DH60" s="1341">
        <f>+DH68+DH62</f>
        <v>235.318285</v>
      </c>
      <c r="DI60" s="867">
        <f>+DI68+DI62</f>
        <v>187.8</v>
      </c>
      <c r="DJ60" s="562">
        <f>+DK60-DI60</f>
        <v>173.79999999999995</v>
      </c>
      <c r="DK60" s="1341">
        <f>+DK68+DK62</f>
        <v>361.59999999999997</v>
      </c>
      <c r="DL60" s="867">
        <f>+DL68+DL62</f>
        <v>236.67099999999999</v>
      </c>
      <c r="DM60" s="562">
        <f>+DN60-DL60</f>
        <v>195.529</v>
      </c>
      <c r="DN60" s="1341">
        <f>+DN68+DN62</f>
        <v>432.2</v>
      </c>
      <c r="DO60" s="867">
        <f>+DO68+DO62</f>
        <v>217.84700000000001</v>
      </c>
      <c r="DP60" s="562">
        <f>+DQ60-DO60</f>
        <v>247.05300000000003</v>
      </c>
      <c r="DQ60" s="1341">
        <f>+DQ68+DQ62</f>
        <v>464.90000000000003</v>
      </c>
      <c r="DR60" s="867">
        <f>+DR68+DR62</f>
        <v>288.41899999999993</v>
      </c>
      <c r="DS60" s="562">
        <f>+DT60-DR60</f>
        <v>279.78100000000012</v>
      </c>
      <c r="DT60" s="1341">
        <f>+DT68+DT62</f>
        <v>568.20000000000005</v>
      </c>
      <c r="DU60" s="867">
        <f>+DU68+DU62</f>
        <v>306.202</v>
      </c>
      <c r="DV60" s="562">
        <f>+DW60-DU60</f>
        <v>287.59799999999996</v>
      </c>
      <c r="DW60" s="1341">
        <f>+DW68+DW62</f>
        <v>593.79999999999995</v>
      </c>
      <c r="DX60" s="867">
        <f>+DX68+DX62</f>
        <v>276.30000000000007</v>
      </c>
      <c r="DY60" s="562">
        <f>+DZ60-DX60</f>
        <v>315.51598596218298</v>
      </c>
      <c r="DZ60" s="1341">
        <f>+DZ68+DZ62</f>
        <v>591.81598596218305</v>
      </c>
      <c r="EA60" s="867">
        <f>+EA68+EA62</f>
        <v>336.07187484297674</v>
      </c>
      <c r="EB60" s="562">
        <f>+EC60-EA60</f>
        <v>346.3021610677655</v>
      </c>
      <c r="EC60" s="1341">
        <f>+EC68+EC62</f>
        <v>682.37403591074224</v>
      </c>
      <c r="ED60" s="867">
        <f>+ED68+ED62</f>
        <v>374.98165200389184</v>
      </c>
      <c r="EE60" s="562">
        <f>+EF60-ED60</f>
        <v>386.58089302478135</v>
      </c>
      <c r="EF60" s="1341">
        <f>+EF68+EF62</f>
        <v>761.56254502867318</v>
      </c>
      <c r="EG60" s="867">
        <f>+EG68+EG62</f>
        <v>415.30831302318722</v>
      </c>
      <c r="EH60" s="562">
        <f>+EI60-EG60</f>
        <v>428.15497150632041</v>
      </c>
      <c r="EI60" s="1341">
        <f>+EI68+EI62</f>
        <v>843.46328452950763</v>
      </c>
      <c r="EJ60" s="867">
        <f>+EJ68+EJ62</f>
        <v>457.16753647618083</v>
      </c>
      <c r="EK60" s="562">
        <f>+EL60-EJ60</f>
        <v>471.30901890385593</v>
      </c>
      <c r="EL60" s="1341">
        <f>+EL68+EL62</f>
        <v>928.47655538003676</v>
      </c>
      <c r="EM60" s="867">
        <f>+EM68+EM62</f>
        <v>500.26653798151239</v>
      </c>
      <c r="EN60" s="562">
        <f>+EO60-EM60</f>
        <v>515.74119418862028</v>
      </c>
      <c r="EO60" s="1341">
        <f>+EO68+EO62</f>
        <v>1016.0077321701326</v>
      </c>
      <c r="EP60" s="867">
        <f>+EP68+EP62</f>
        <v>545.29052639984843</v>
      </c>
      <c r="EQ60" s="562">
        <f>+ER60-EP60</f>
        <v>562.15790166559623</v>
      </c>
      <c r="ER60" s="1341">
        <f>+ER68+ER62</f>
        <v>1107.4484280654447</v>
      </c>
      <c r="ES60" s="867">
        <f>+ES68+ES62</f>
        <v>594.3666737758349</v>
      </c>
      <c r="ET60" s="562">
        <f>+EU60-ES60</f>
        <v>612.75211281549991</v>
      </c>
      <c r="EU60" s="1341">
        <f>+EU68+EU62</f>
        <v>1207.1187865913348</v>
      </c>
      <c r="EV60" s="867">
        <f>+EV68+EV62</f>
        <v>647.85967441566004</v>
      </c>
      <c r="EW60" s="562">
        <f>+EX60-EV60</f>
        <v>667.89980296889507</v>
      </c>
      <c r="EX60" s="1341">
        <f>+EX68+EX62</f>
        <v>1315.7594773845551</v>
      </c>
      <c r="EY60" s="867">
        <f>+EY68+EY62</f>
        <v>706.16704511306943</v>
      </c>
      <c r="EZ60" s="562">
        <f>+FA60-EY60</f>
        <v>728.01078523609544</v>
      </c>
      <c r="FA60" s="1341">
        <f>+FA68+FA62</f>
        <v>1434.1778303491649</v>
      </c>
      <c r="FE60"/>
      <c r="FF60"/>
      <c r="FG60"/>
      <c r="FH60"/>
      <c r="FI60"/>
      <c r="FJ60"/>
      <c r="FK60" s="35"/>
    </row>
    <row r="61" spans="2:167" s="236" customFormat="1" ht="13.35" customHeight="1" outlineLevel="1">
      <c r="B61" s="447" t="s">
        <v>271</v>
      </c>
      <c r="C61" s="545" t="s">
        <v>460</v>
      </c>
      <c r="D61" s="546"/>
      <c r="E61" s="547"/>
      <c r="F61" s="547"/>
      <c r="G61" s="547"/>
      <c r="H61" s="547"/>
      <c r="I61" s="547"/>
      <c r="J61" s="547"/>
      <c r="K61" s="547"/>
      <c r="L61" s="547"/>
      <c r="M61" s="547"/>
      <c r="N61" s="547"/>
      <c r="O61" s="547"/>
      <c r="P61" s="547"/>
      <c r="Q61" s="547"/>
      <c r="R61" s="547"/>
      <c r="S61" s="547"/>
      <c r="T61" s="547"/>
      <c r="U61" s="547"/>
      <c r="V61" s="547"/>
      <c r="W61" s="547"/>
      <c r="X61" s="547"/>
      <c r="Y61" s="547"/>
      <c r="Z61" s="547"/>
      <c r="AA61" s="547"/>
      <c r="AB61" s="547"/>
      <c r="AC61" s="547"/>
      <c r="AD61" s="547"/>
      <c r="AE61" s="547"/>
      <c r="AF61" s="547"/>
      <c r="AG61" s="547"/>
      <c r="AH61" s="547"/>
      <c r="AI61" s="547">
        <f t="shared" ref="AI61:AR61" si="233">+AI60/AI30</f>
        <v>0.15173717797211062</v>
      </c>
      <c r="AJ61" s="547">
        <f t="shared" si="233"/>
        <v>0.20709820528332318</v>
      </c>
      <c r="AK61" s="547">
        <f t="shared" si="233"/>
        <v>0.17976692288618892</v>
      </c>
      <c r="AL61" s="547">
        <f t="shared" si="233"/>
        <v>0.1714066943775979</v>
      </c>
      <c r="AM61" s="547">
        <f t="shared" si="233"/>
        <v>0.19688016355336485</v>
      </c>
      <c r="AN61" s="547">
        <f t="shared" si="233"/>
        <v>0.18399169837426493</v>
      </c>
      <c r="AO61" s="547">
        <f t="shared" si="233"/>
        <v>0.17243969117072733</v>
      </c>
      <c r="AP61" s="547">
        <f t="shared" si="233"/>
        <v>0.22119815668202766</v>
      </c>
      <c r="AQ61" s="547">
        <f t="shared" si="233"/>
        <v>0.19862889880828224</v>
      </c>
      <c r="AR61" s="547">
        <f t="shared" si="233"/>
        <v>0.17100328718922173</v>
      </c>
      <c r="AS61" s="547">
        <f t="shared" ref="AS61:BB61" si="234">+AS60/AS30</f>
        <v>0.20802061855670112</v>
      </c>
      <c r="AT61" s="547">
        <f t="shared" si="234"/>
        <v>0.1905821282906934</v>
      </c>
      <c r="AU61" s="547">
        <f t="shared" si="234"/>
        <v>0.14598003992015968</v>
      </c>
      <c r="AV61" s="547">
        <f t="shared" si="234"/>
        <v>0.21595204163826753</v>
      </c>
      <c r="AW61" s="547">
        <f t="shared" si="234"/>
        <v>0.18149723622239169</v>
      </c>
      <c r="AX61" s="547">
        <f t="shared" si="234"/>
        <v>0.23643247156776978</v>
      </c>
      <c r="AY61" s="547">
        <f t="shared" si="234"/>
        <v>0.2452350372463396</v>
      </c>
      <c r="AZ61" s="547">
        <f t="shared" si="234"/>
        <v>0.24118675342332718</v>
      </c>
      <c r="BA61" s="547">
        <f t="shared" si="234"/>
        <v>0.22433338500891406</v>
      </c>
      <c r="BB61" s="547">
        <f t="shared" si="234"/>
        <v>0.19126968512356396</v>
      </c>
      <c r="BC61" s="547">
        <f t="shared" ref="BC61:BO61" si="235">+BC60/BC30</f>
        <v>0.20677294637705521</v>
      </c>
      <c r="BD61" s="547">
        <f t="shared" si="235"/>
        <v>0.21609693134030061</v>
      </c>
      <c r="BE61" s="547">
        <f t="shared" si="235"/>
        <v>0.21334743894913158</v>
      </c>
      <c r="BF61" s="547">
        <f t="shared" si="235"/>
        <v>0.21463616457390874</v>
      </c>
      <c r="BG61" s="547">
        <f t="shared" si="235"/>
        <v>0.24776129582267686</v>
      </c>
      <c r="BH61" s="547">
        <f t="shared" si="235"/>
        <v>0.31438820533055928</v>
      </c>
      <c r="BI61" s="547">
        <f t="shared" si="235"/>
        <v>0.28023146043844621</v>
      </c>
      <c r="BJ61" s="547">
        <f t="shared" si="235"/>
        <v>0.29201070273642049</v>
      </c>
      <c r="BK61" s="547">
        <f t="shared" si="235"/>
        <v>9.9732330287257268E-2</v>
      </c>
      <c r="BL61" s="547">
        <f t="shared" si="235"/>
        <v>0.19344670194934818</v>
      </c>
      <c r="BM61" s="547">
        <f t="shared" si="235"/>
        <v>0.24497493521904437</v>
      </c>
      <c r="BN61" s="547">
        <f t="shared" si="235"/>
        <v>0.24784269345027587</v>
      </c>
      <c r="BO61" s="547">
        <f t="shared" si="235"/>
        <v>0.2464853309491469</v>
      </c>
      <c r="BP61" s="547">
        <f t="shared" ref="BP61:DK61" si="236">+BP60/BP30</f>
        <v>0.29302972033886304</v>
      </c>
      <c r="BQ61" s="547">
        <f t="shared" si="236"/>
        <v>0.20924206187798428</v>
      </c>
      <c r="BR61" s="547">
        <f t="shared" si="236"/>
        <v>0.24852297351081234</v>
      </c>
      <c r="BS61" s="547">
        <f t="shared" si="236"/>
        <v>0.28797976881541482</v>
      </c>
      <c r="BT61" s="547">
        <f t="shared" si="236"/>
        <v>0.29555512527426897</v>
      </c>
      <c r="BU61" s="547">
        <f t="shared" si="236"/>
        <v>0.29181983134220912</v>
      </c>
      <c r="BV61" s="547">
        <f t="shared" si="236"/>
        <v>0.29688199324163683</v>
      </c>
      <c r="BW61" s="547">
        <f t="shared" si="236"/>
        <v>0.28848693887418198</v>
      </c>
      <c r="BX61" s="547">
        <f t="shared" si="236"/>
        <v>0.29263494738471668</v>
      </c>
      <c r="BY61" s="547">
        <f t="shared" si="236"/>
        <v>0.26368198221754391</v>
      </c>
      <c r="BZ61" s="547">
        <f t="shared" si="236"/>
        <v>0.29370918272611057</v>
      </c>
      <c r="CA61" s="547">
        <f t="shared" si="236"/>
        <v>0.27838218112670171</v>
      </c>
      <c r="CB61" s="547">
        <f t="shared" si="236"/>
        <v>0.31087145723618498</v>
      </c>
      <c r="CC61" s="547">
        <f t="shared" si="236"/>
        <v>0.33975263298570235</v>
      </c>
      <c r="CD61" s="547">
        <f t="shared" si="236"/>
        <v>0.32615547910702108</v>
      </c>
      <c r="CE61" s="547">
        <f t="shared" si="236"/>
        <v>0.30968682823584748</v>
      </c>
      <c r="CF61" s="547">
        <f t="shared" si="236"/>
        <v>0.30518744023104299</v>
      </c>
      <c r="CG61" s="547">
        <f t="shared" si="236"/>
        <v>0.30727485296840223</v>
      </c>
      <c r="CH61" s="547">
        <f t="shared" si="236"/>
        <v>0.28951715372411019</v>
      </c>
      <c r="CI61" s="547">
        <f t="shared" si="236"/>
        <v>0.28179225388408852</v>
      </c>
      <c r="CJ61" s="547">
        <f t="shared" si="236"/>
        <v>0.28563945238664085</v>
      </c>
      <c r="CK61" s="547">
        <f t="shared" si="236"/>
        <v>0.28614183250864711</v>
      </c>
      <c r="CL61" s="547">
        <f t="shared" si="236"/>
        <v>0.20370212879181596</v>
      </c>
      <c r="CM61" s="547">
        <f t="shared" si="236"/>
        <v>0.24674757350634188</v>
      </c>
      <c r="CN61" s="547">
        <f t="shared" si="236"/>
        <v>0.13900377992065879</v>
      </c>
      <c r="CO61" s="547">
        <f t="shared" si="236"/>
        <v>0.24012555477629971</v>
      </c>
      <c r="CP61" s="547">
        <f t="shared" si="236"/>
        <v>0.19360497020479148</v>
      </c>
      <c r="CQ61" s="547">
        <f t="shared" si="236"/>
        <v>0.22917099579409533</v>
      </c>
      <c r="CR61" s="547">
        <f t="shared" si="236"/>
        <v>0.21738061630429459</v>
      </c>
      <c r="CS61" s="547">
        <f t="shared" si="236"/>
        <v>0.22296423567109502</v>
      </c>
      <c r="CT61" s="547">
        <f t="shared" si="236"/>
        <v>0.23467066105723994</v>
      </c>
      <c r="CU61" s="547">
        <f t="shared" si="236"/>
        <v>0.23062188148591592</v>
      </c>
      <c r="CV61" s="547">
        <f t="shared" si="236"/>
        <v>0.23262349142311639</v>
      </c>
      <c r="CW61" s="547">
        <f t="shared" si="236"/>
        <v>0.25675969007087091</v>
      </c>
      <c r="CX61" s="547">
        <f t="shared" si="236"/>
        <v>0.24707994958469279</v>
      </c>
      <c r="CY61" s="547">
        <f t="shared" si="236"/>
        <v>0.25178236945971316</v>
      </c>
      <c r="CZ61" s="547">
        <f t="shared" si="236"/>
        <v>0.25090282796324787</v>
      </c>
      <c r="DA61" s="547">
        <f t="shared" si="236"/>
        <v>0.26699493760284737</v>
      </c>
      <c r="DB61" s="547">
        <f t="shared" si="236"/>
        <v>0.25934022193933326</v>
      </c>
      <c r="DC61" s="547">
        <f t="shared" si="236"/>
        <v>0.25241091451767023</v>
      </c>
      <c r="DD61" s="547">
        <f t="shared" si="236"/>
        <v>0.25238053025105323</v>
      </c>
      <c r="DE61" s="547">
        <f t="shared" si="236"/>
        <v>0.25239549739324213</v>
      </c>
      <c r="DF61" s="547">
        <f t="shared" si="236"/>
        <v>0.26114050745954936</v>
      </c>
      <c r="DG61" s="547">
        <f t="shared" si="236"/>
        <v>6.7652533005438206E-2</v>
      </c>
      <c r="DH61" s="1266">
        <f t="shared" si="236"/>
        <v>0.17758156683482204</v>
      </c>
      <c r="DI61" s="547">
        <f t="shared" si="236"/>
        <v>0.25269106566200217</v>
      </c>
      <c r="DJ61" s="547">
        <f t="shared" si="236"/>
        <v>0.23038176033934246</v>
      </c>
      <c r="DK61" s="1266">
        <f t="shared" si="236"/>
        <v>0.24145299145299146</v>
      </c>
      <c r="DL61" s="547">
        <f t="shared" ref="DL61:DQ61" si="237">+DL60/DL30</f>
        <v>0.28837699524795901</v>
      </c>
      <c r="DM61" s="547">
        <f t="shared" si="237"/>
        <v>0.23626027066215566</v>
      </c>
      <c r="DN61" s="1266">
        <f t="shared" si="237"/>
        <v>0.26220954923254264</v>
      </c>
      <c r="DO61" s="547">
        <f t="shared" si="237"/>
        <v>0.24618261950502879</v>
      </c>
      <c r="DP61" s="547">
        <f t="shared" si="237"/>
        <v>0.23501997716894979</v>
      </c>
      <c r="DQ61" s="1266">
        <f t="shared" si="237"/>
        <v>0.24012189453024121</v>
      </c>
      <c r="DR61" s="547">
        <f t="shared" ref="DR61:DU61" si="238">+DR60/DR30</f>
        <v>0.26255712335002268</v>
      </c>
      <c r="DS61" s="547">
        <f t="shared" si="238"/>
        <v>0.24604784099903265</v>
      </c>
      <c r="DT61" s="1266">
        <f t="shared" si="238"/>
        <v>0.25415995705850775</v>
      </c>
      <c r="DU61" s="547">
        <f t="shared" si="238"/>
        <v>0.26128902883376426</v>
      </c>
      <c r="DV61" s="547">
        <f t="shared" ref="DV61:DX61" si="239">+DV60/DV30</f>
        <v>0.2455563050178875</v>
      </c>
      <c r="DW61" s="1266">
        <f t="shared" si="239"/>
        <v>0.25342494985275915</v>
      </c>
      <c r="DX61" s="547">
        <f t="shared" si="239"/>
        <v>0.23672035640849903</v>
      </c>
      <c r="DY61" s="547">
        <f t="shared" ref="DY61:EC61" si="240">+DY60/DY30</f>
        <v>0.23504399451721039</v>
      </c>
      <c r="DZ61" s="1266">
        <f t="shared" si="240"/>
        <v>0.23582366978788721</v>
      </c>
      <c r="EA61" s="547">
        <f t="shared" si="240"/>
        <v>0.24142046751196383</v>
      </c>
      <c r="EB61" s="547">
        <f t="shared" si="240"/>
        <v>0.24133413029160911</v>
      </c>
      <c r="EC61" s="1266">
        <f t="shared" si="240"/>
        <v>0.24137664399082021</v>
      </c>
      <c r="ED61" s="547">
        <f t="shared" ref="ED61:EL61" si="241">+ED60/ED30</f>
        <v>0.24853182982173158</v>
      </c>
      <c r="EE61" s="547">
        <f t="shared" si="241"/>
        <v>0.24853182982173147</v>
      </c>
      <c r="EF61" s="1266">
        <f t="shared" si="241"/>
        <v>0.24853182982173153</v>
      </c>
      <c r="EG61" s="547">
        <f t="shared" si="241"/>
        <v>0.25253182982173145</v>
      </c>
      <c r="EH61" s="547">
        <f t="shared" si="241"/>
        <v>0.25253182982173156</v>
      </c>
      <c r="EI61" s="1266">
        <f t="shared" si="241"/>
        <v>0.2525318298217315</v>
      </c>
      <c r="EJ61" s="547">
        <f t="shared" si="241"/>
        <v>0.25503182982173156</v>
      </c>
      <c r="EK61" s="547">
        <f t="shared" si="241"/>
        <v>0.25503182982173156</v>
      </c>
      <c r="EL61" s="1266">
        <f t="shared" si="241"/>
        <v>0.25503182982173156</v>
      </c>
      <c r="EM61" s="547">
        <f t="shared" ref="EM61:ER61" si="242">+EM60/EM30</f>
        <v>0.25603182982173156</v>
      </c>
      <c r="EN61" s="547">
        <f t="shared" si="242"/>
        <v>0.2560318298217315</v>
      </c>
      <c r="EO61" s="1266">
        <f t="shared" si="242"/>
        <v>0.2560318298217315</v>
      </c>
      <c r="EP61" s="547">
        <f t="shared" si="242"/>
        <v>0.2560318298217315</v>
      </c>
      <c r="EQ61" s="547">
        <f t="shared" si="242"/>
        <v>0.2560318298217315</v>
      </c>
      <c r="ER61" s="1266">
        <f t="shared" si="242"/>
        <v>0.2560318298217315</v>
      </c>
      <c r="ES61" s="547">
        <f t="shared" ref="ES61:EX61" si="243">+ES60/ES30</f>
        <v>0.2560318298217315</v>
      </c>
      <c r="ET61" s="547">
        <f t="shared" si="243"/>
        <v>0.2560318298217315</v>
      </c>
      <c r="EU61" s="1266">
        <f t="shared" si="243"/>
        <v>0.2560318298217315</v>
      </c>
      <c r="EV61" s="547">
        <f t="shared" si="243"/>
        <v>0.2560318298217315</v>
      </c>
      <c r="EW61" s="547">
        <f t="shared" si="243"/>
        <v>0.25603182982173156</v>
      </c>
      <c r="EX61" s="1266">
        <f t="shared" si="243"/>
        <v>0.2560318298217315</v>
      </c>
      <c r="EY61" s="547">
        <f t="shared" ref="EY61:FA61" si="244">+EY60/EY30</f>
        <v>0.2560318298217315</v>
      </c>
      <c r="EZ61" s="547">
        <f t="shared" si="244"/>
        <v>0.25603182982173145</v>
      </c>
      <c r="FA61" s="1266">
        <f t="shared" si="244"/>
        <v>0.25603182982173145</v>
      </c>
      <c r="FE61"/>
      <c r="FF61"/>
      <c r="FG61"/>
      <c r="FH61"/>
      <c r="FI61"/>
      <c r="FJ61"/>
      <c r="FK61" s="35"/>
    </row>
    <row r="62" spans="2:167" s="236" customFormat="1" ht="13.35" customHeight="1" thickBot="1">
      <c r="B62" s="242" t="s">
        <v>272</v>
      </c>
      <c r="C62" s="242" t="s">
        <v>496</v>
      </c>
      <c r="D62" s="243"/>
      <c r="E62" s="534">
        <f>+SUM(E63:E64)</f>
        <v>0</v>
      </c>
      <c r="F62" s="482">
        <f t="shared" ref="F62:F68" si="245">+G62-E62</f>
        <v>0</v>
      </c>
      <c r="G62" s="534">
        <f>+SUM(G63:G64)</f>
        <v>0</v>
      </c>
      <c r="H62" s="534">
        <f>+SUM(H63:H64)</f>
        <v>0</v>
      </c>
      <c r="I62" s="482">
        <f t="shared" ref="I62:I68" si="246">+J62-H62</f>
        <v>0</v>
      </c>
      <c r="J62" s="534">
        <f>+SUM(J63:J64)</f>
        <v>0</v>
      </c>
      <c r="K62" s="534">
        <f>+SUM(K63:K64)</f>
        <v>0</v>
      </c>
      <c r="L62" s="482">
        <f t="shared" ref="L62:L68" si="247">+M62-K62</f>
        <v>0</v>
      </c>
      <c r="M62" s="534">
        <f>+SUM(M63:M64)</f>
        <v>0</v>
      </c>
      <c r="N62" s="534">
        <f>+SUM(N63:N64)</f>
        <v>0</v>
      </c>
      <c r="O62" s="482">
        <f t="shared" ref="O62:O68" si="248">+P62-N62</f>
        <v>0</v>
      </c>
      <c r="P62" s="534">
        <f>+SUM(P63:P64)</f>
        <v>0</v>
      </c>
      <c r="Q62" s="534">
        <f>+SUM(Q63:Q64)</f>
        <v>0</v>
      </c>
      <c r="R62" s="482">
        <f t="shared" ref="R62:R68" si="249">+S62-Q62</f>
        <v>0</v>
      </c>
      <c r="S62" s="534">
        <f>+SUM(S63:S64)</f>
        <v>0</v>
      </c>
      <c r="T62" s="534">
        <f>+SUM(T63:T64)</f>
        <v>0</v>
      </c>
      <c r="U62" s="482">
        <f t="shared" ref="U62:U68" si="250">+V62-T62</f>
        <v>0</v>
      </c>
      <c r="V62" s="534">
        <f>+SUM(V63:V64)</f>
        <v>0</v>
      </c>
      <c r="W62" s="534">
        <f>+SUM(W63:W64)</f>
        <v>0</v>
      </c>
      <c r="X62" s="482">
        <f t="shared" ref="X62:X68" si="251">+Y62-W62</f>
        <v>0</v>
      </c>
      <c r="Y62" s="534">
        <f>+SUM(Y63:Y64)</f>
        <v>0</v>
      </c>
      <c r="Z62" s="534">
        <f>+SUM(Z63:Z64)</f>
        <v>0</v>
      </c>
      <c r="AA62" s="482">
        <f t="shared" ref="AA62:AA68" si="252">+AB62-Z62</f>
        <v>0</v>
      </c>
      <c r="AB62" s="534">
        <f>+SUM(AB63:AB64)</f>
        <v>0</v>
      </c>
      <c r="AC62" s="534">
        <f>+SUM(AC63:AC64)</f>
        <v>0</v>
      </c>
      <c r="AD62" s="482">
        <f t="shared" ref="AD62:AD68" si="253">+AE62-AC62</f>
        <v>0</v>
      </c>
      <c r="AE62" s="534">
        <f>+SUM(AE63:AE64)</f>
        <v>0</v>
      </c>
      <c r="AF62" s="534">
        <f>+SUM(AF63:AF64)</f>
        <v>0</v>
      </c>
      <c r="AG62" s="482">
        <f t="shared" ref="AG62:AG68" si="254">+AH62-AF62</f>
        <v>0</v>
      </c>
      <c r="AH62" s="534">
        <f>+SUM(AH63:AH64)</f>
        <v>0</v>
      </c>
      <c r="AI62" s="534">
        <f>+SUM(AI63:AI64)</f>
        <v>0</v>
      </c>
      <c r="AJ62" s="482">
        <f t="shared" ref="AJ62:AJ68" si="255">+AK62-AI62</f>
        <v>0</v>
      </c>
      <c r="AK62" s="534">
        <f>+SUM(AK63:AK64)</f>
        <v>0</v>
      </c>
      <c r="AL62" s="534">
        <f>+SUM(AL63:AL64)</f>
        <v>0</v>
      </c>
      <c r="AM62" s="482">
        <f t="shared" ref="AM62:AM68" si="256">+AN62-AL62</f>
        <v>0</v>
      </c>
      <c r="AN62" s="534">
        <f>+SUM(AN63:AN64)</f>
        <v>0</v>
      </c>
      <c r="AO62" s="534">
        <f>+SUM(AO63:AO64)</f>
        <v>0</v>
      </c>
      <c r="AP62" s="482">
        <f t="shared" ref="AP62:AP68" si="257">+AQ62-AO62</f>
        <v>0</v>
      </c>
      <c r="AQ62" s="534">
        <f>+SUM(AQ63:AQ64)</f>
        <v>0</v>
      </c>
      <c r="AR62" s="534">
        <f>+SUM(AR63:AR64)</f>
        <v>0</v>
      </c>
      <c r="AS62" s="482">
        <f t="shared" ref="AS62:AS68" si="258">+AT62-AR62</f>
        <v>0</v>
      </c>
      <c r="AT62" s="534">
        <f>+SUM(AT63:AT64)</f>
        <v>0</v>
      </c>
      <c r="AU62" s="534">
        <f>+SUM(AU63:AU64)</f>
        <v>0</v>
      </c>
      <c r="AV62" s="482">
        <f t="shared" ref="AV62:AV68" si="259">+AW62-AU62</f>
        <v>0</v>
      </c>
      <c r="AW62" s="534">
        <f>+SUM(AW63:AW64)</f>
        <v>0</v>
      </c>
      <c r="AX62" s="534">
        <f>+SUM(AX63:AX64)</f>
        <v>0</v>
      </c>
      <c r="AY62" s="482">
        <f t="shared" ref="AY62:AY68" si="260">+AZ62-AX62</f>
        <v>0</v>
      </c>
      <c r="AZ62" s="534">
        <f>+SUM(AZ63:AZ64)</f>
        <v>0</v>
      </c>
      <c r="BA62" s="534">
        <f>+SUM(BA63:BA64)</f>
        <v>0</v>
      </c>
      <c r="BB62" s="482">
        <f t="shared" ref="BB62:BB68" si="261">+BC62-BA62</f>
        <v>0</v>
      </c>
      <c r="BC62" s="534">
        <f>+SUM(BC63:BC64)</f>
        <v>0</v>
      </c>
      <c r="BD62" s="534">
        <f>+SUM(BD63:BD64)</f>
        <v>0</v>
      </c>
      <c r="BE62" s="482">
        <f t="shared" ref="BE62:BE68" si="262">+BF62-BD62</f>
        <v>0</v>
      </c>
      <c r="BF62" s="534">
        <f>+SUM(BF63:BF64)</f>
        <v>0</v>
      </c>
      <c r="BG62" s="534">
        <f>+SUM(BG63:BG64)</f>
        <v>0</v>
      </c>
      <c r="BH62" s="482">
        <f t="shared" ref="BH62:BH68" si="263">+BI62-BG62</f>
        <v>0</v>
      </c>
      <c r="BI62" s="534">
        <f>+SUM(BI63:BI64)</f>
        <v>0</v>
      </c>
      <c r="BJ62" s="534">
        <f>+SUM(BJ63:BJ64)</f>
        <v>0</v>
      </c>
      <c r="BK62" s="482">
        <f t="shared" ref="BK62:BK68" si="264">+BL62-BJ62</f>
        <v>2.8969999999999998</v>
      </c>
      <c r="BL62" s="534">
        <f>+SUM(BL63:BL64)</f>
        <v>2.8969999999999998</v>
      </c>
      <c r="BM62" s="534">
        <f>+SUM(BM63:BM64)</f>
        <v>0</v>
      </c>
      <c r="BN62" s="482">
        <f t="shared" ref="BN62:BN68" si="265">+BO62-BM62</f>
        <v>3.48</v>
      </c>
      <c r="BO62" s="534">
        <f>+SUM(BO63:BO64)</f>
        <v>3.48</v>
      </c>
      <c r="BP62" s="534">
        <f>+SUM(BP63:BP64)</f>
        <v>0</v>
      </c>
      <c r="BQ62" s="482">
        <f t="shared" ref="BQ62:BQ68" si="266">+BR62-BP62</f>
        <v>3.9</v>
      </c>
      <c r="BR62" s="534">
        <f>+SUM(BR63:BR64)</f>
        <v>3.9</v>
      </c>
      <c r="BS62" s="534">
        <f>+SUM(BS63:BS64)</f>
        <v>0</v>
      </c>
      <c r="BT62" s="482">
        <f t="shared" ref="BT62:BT68" si="267">+BU62-BS62</f>
        <v>2.5710000000000002</v>
      </c>
      <c r="BU62" s="534">
        <f>+SUM(BU63:BU64)</f>
        <v>2.5710000000000002</v>
      </c>
      <c r="BV62" s="534">
        <f>+SUM(BV63:BV64)</f>
        <v>0</v>
      </c>
      <c r="BW62" s="482">
        <f t="shared" ref="BW62:BW68" si="268">+BX62-BV62</f>
        <v>1.643</v>
      </c>
      <c r="BX62" s="534">
        <f>+SUM(BX63:BX64)</f>
        <v>1.643</v>
      </c>
      <c r="BY62" s="534">
        <f>+SUM(BY63:BY64)</f>
        <v>9.1999999999999998E-2</v>
      </c>
      <c r="BZ62" s="482">
        <f t="shared" ref="BZ62:BZ68" si="269">+CA62-BY62</f>
        <v>10.437999999999999</v>
      </c>
      <c r="CA62" s="534">
        <f>+SUM(CA63:CA64)</f>
        <v>10.53</v>
      </c>
      <c r="CB62" s="534">
        <f>+SUM(CB63:CB64)</f>
        <v>0</v>
      </c>
      <c r="CC62" s="482">
        <f t="shared" ref="CC62:CC68" si="270">+CD62-CB62</f>
        <v>10.49</v>
      </c>
      <c r="CD62" s="534">
        <f>+SUM(CD63:CD64)</f>
        <v>10.49</v>
      </c>
      <c r="CE62" s="534">
        <f>+SUM(CE63:CE64)</f>
        <v>0</v>
      </c>
      <c r="CF62" s="482">
        <f t="shared" ref="CF62:CF68" si="271">+CG62-CE62</f>
        <v>0</v>
      </c>
      <c r="CG62" s="534">
        <f>+SUM(CG63:CG64)</f>
        <v>0</v>
      </c>
      <c r="CH62" s="534">
        <f>+SUM(CH63:CH64)</f>
        <v>0</v>
      </c>
      <c r="CI62" s="482">
        <f t="shared" ref="CI62:CI68" si="272">+CJ62-CH62</f>
        <v>0</v>
      </c>
      <c r="CJ62" s="534">
        <f>+SUM(CJ63:CJ64)</f>
        <v>0</v>
      </c>
      <c r="CK62" s="534">
        <f>+SUM(CK63:CK64)</f>
        <v>0</v>
      </c>
      <c r="CL62" s="482">
        <f t="shared" ref="CL62:CL68" si="273">+CM62-CK62</f>
        <v>0</v>
      </c>
      <c r="CM62" s="534">
        <f>+SUM(CM63:CM64)</f>
        <v>0</v>
      </c>
      <c r="CN62" s="534">
        <f>+SUM(CN63:CN64)</f>
        <v>0</v>
      </c>
      <c r="CO62" s="482">
        <f t="shared" ref="CO62:CO68" si="274">+CP62-CN62</f>
        <v>0</v>
      </c>
      <c r="CP62" s="534">
        <f>+SUM(CP63:CP64)</f>
        <v>0</v>
      </c>
      <c r="CQ62" s="534">
        <f>+SUM(CQ63:CQ64)</f>
        <v>0</v>
      </c>
      <c r="CR62" s="482">
        <f t="shared" ref="CR62:CR68" si="275">+CS62-CQ62</f>
        <v>0</v>
      </c>
      <c r="CS62" s="534">
        <f>+SUM(CS63:CS64)</f>
        <v>0</v>
      </c>
      <c r="CT62" s="534">
        <f>+SUM(CT63:CT64)</f>
        <v>0</v>
      </c>
      <c r="CU62" s="482">
        <f t="shared" ref="CU62:CU68" si="276">+CV62-CT62</f>
        <v>0</v>
      </c>
      <c r="CV62" s="534">
        <f>+SUM(CV63:CV64)</f>
        <v>0</v>
      </c>
      <c r="CW62" s="534">
        <f>+SUM(CW63:CW64)</f>
        <v>0</v>
      </c>
      <c r="CX62" s="482">
        <f t="shared" ref="CX62:CX68" si="277">+CY62-CW62</f>
        <v>0</v>
      </c>
      <c r="CY62" s="534">
        <f>+SUM(CY63:CY64)</f>
        <v>0</v>
      </c>
      <c r="CZ62" s="534">
        <f>+SUM(CZ63:CZ64)</f>
        <v>0</v>
      </c>
      <c r="DA62" s="482">
        <f t="shared" ref="DA62:DA68" si="278">+DB62-CZ62</f>
        <v>0</v>
      </c>
      <c r="DB62" s="534">
        <f>+SUM(DB63:DB64)</f>
        <v>0</v>
      </c>
      <c r="DC62" s="534">
        <f>+SUM(DC63:DC64)</f>
        <v>0</v>
      </c>
      <c r="DD62" s="482">
        <f t="shared" ref="DD62:DD68" si="279">+DE62-DC62</f>
        <v>0</v>
      </c>
      <c r="DE62" s="534">
        <f>+SUM(DE63:DE64)</f>
        <v>0</v>
      </c>
      <c r="DF62" s="534">
        <f>+SUM(DF63:DF64)</f>
        <v>12.9</v>
      </c>
      <c r="DG62" s="482">
        <f t="shared" ref="DG62:DG68" si="280">+DH62-DF62</f>
        <v>15.499999999999998</v>
      </c>
      <c r="DH62" s="1262">
        <f>+SUM(DH63:DH64)</f>
        <v>28.4</v>
      </c>
      <c r="DI62" s="534">
        <f>+SUM(DI63:DI64)</f>
        <v>11.8</v>
      </c>
      <c r="DJ62" s="482">
        <f t="shared" ref="DJ62:DJ68" si="281">+DK62-DI62</f>
        <v>15.7</v>
      </c>
      <c r="DK62" s="1262">
        <f>+SUM(DK63:DK64)</f>
        <v>27.5</v>
      </c>
      <c r="DL62" s="534">
        <f>+SUM(DL63:DL64)</f>
        <v>13.670999999999999</v>
      </c>
      <c r="DM62" s="482">
        <f t="shared" ref="DM62:DM68" si="282">+DN62-DL62</f>
        <v>14.228999999999999</v>
      </c>
      <c r="DN62" s="1262">
        <f>+SUM(DN63:DN64)</f>
        <v>27.9</v>
      </c>
      <c r="DO62" s="534">
        <f>+SUM(DO63:DO64)</f>
        <v>14.847</v>
      </c>
      <c r="DP62" s="482">
        <f t="shared" ref="DP62:DP68" si="283">+DQ62-DO62</f>
        <v>15.453000000000001</v>
      </c>
      <c r="DQ62" s="1262">
        <f>+SUM(DQ63:DQ64)</f>
        <v>30.3</v>
      </c>
      <c r="DR62" s="534">
        <f>+SUM(DR63:DR64)</f>
        <v>16.219000000000001</v>
      </c>
      <c r="DS62" s="482">
        <f t="shared" ref="DS62:DS68" si="284">+DT62-DR62</f>
        <v>16.881</v>
      </c>
      <c r="DT62" s="1262">
        <f>+SUM(DT63:DT64)</f>
        <v>33.1</v>
      </c>
      <c r="DU62" s="534">
        <f>+SUM(DU63:DU64)</f>
        <v>19.501999999999999</v>
      </c>
      <c r="DV62" s="482">
        <f t="shared" ref="DV62:DV68" si="285">+DW62-DU62</f>
        <v>20.297999999999998</v>
      </c>
      <c r="DW62" s="1262">
        <f>+SUM(DW63:DW64)</f>
        <v>39.799999999999997</v>
      </c>
      <c r="DX62" s="534">
        <f>+SUM(DX63:DX64)</f>
        <v>21.5</v>
      </c>
      <c r="DY62" s="482">
        <f t="shared" ref="DY62:DY68" si="286">+DZ62-DX62</f>
        <v>20.135548662513067</v>
      </c>
      <c r="DZ62" s="1262">
        <f>+SUM(DZ63:DZ64)</f>
        <v>41.635548662513067</v>
      </c>
      <c r="EA62" s="534">
        <f>+SUM(EA63:EA64)</f>
        <v>20.880906141045543</v>
      </c>
      <c r="EB62" s="482">
        <f t="shared" ref="EB62:EB68" si="287">+EC62-EA62</f>
        <v>21.524234511462673</v>
      </c>
      <c r="EC62" s="1262">
        <f>+SUM(EC63:EC64)</f>
        <v>42.405140652508216</v>
      </c>
      <c r="ED62" s="534">
        <f>+SUM(ED63:ED64)</f>
        <v>22.631808505546008</v>
      </c>
      <c r="EE62" s="482">
        <f t="shared" ref="EE62:EE68" si="288">+EF62-ED62</f>
        <v>23.331874229273001</v>
      </c>
      <c r="EF62" s="1262">
        <f>+SUM(EF63:EF64)</f>
        <v>45.96368273481901</v>
      </c>
      <c r="EG62" s="534">
        <f>+SUM(EG63:EG64)</f>
        <v>24.668671271045145</v>
      </c>
      <c r="EH62" s="482">
        <f t="shared" ref="EH62:EH68" si="289">+EI62-EG62</f>
        <v>25.431742909907566</v>
      </c>
      <c r="EI62" s="1262">
        <f>+SUM(EI63:EI64)</f>
        <v>50.100414180952711</v>
      </c>
      <c r="EJ62" s="534">
        <f>+SUM(EJ63:EJ64)</f>
        <v>26.88885168543921</v>
      </c>
      <c r="EK62" s="482">
        <f t="shared" ref="EK62:EK68" si="290">+EL62-EJ62</f>
        <v>27.720599771799254</v>
      </c>
      <c r="EL62" s="1262">
        <f>+SUM(EL63:EL64)</f>
        <v>54.609451457238464</v>
      </c>
      <c r="EM62" s="534">
        <f>+SUM(EM63:EM64)</f>
        <v>29.30884833712874</v>
      </c>
      <c r="EN62" s="482">
        <f t="shared" ref="EN62:EN68" si="291">+EO62-EM62</f>
        <v>30.21545375126119</v>
      </c>
      <c r="EO62" s="1262">
        <f>+SUM(EO63:EO64)</f>
        <v>59.524302088389931</v>
      </c>
      <c r="EP62" s="534">
        <f>+SUM(EP63:EP64)</f>
        <v>31.946644687470329</v>
      </c>
      <c r="EQ62" s="482">
        <f t="shared" ref="EQ62:EQ68" si="292">+ER62-EP62</f>
        <v>32.934844588874711</v>
      </c>
      <c r="ER62" s="1262">
        <f>+SUM(ER63:ER64)</f>
        <v>64.881489276345036</v>
      </c>
      <c r="ES62" s="534">
        <f>+SUM(ES63:ES64)</f>
        <v>34.821842709342661</v>
      </c>
      <c r="ET62" s="482">
        <f t="shared" ref="ET62:ET68" si="293">+EU62-ES62</f>
        <v>35.898980601873433</v>
      </c>
      <c r="EU62" s="1262">
        <f>+SUM(EU63:EU64)</f>
        <v>70.720823311216094</v>
      </c>
      <c r="EV62" s="534">
        <f>+SUM(EV63:EV64)</f>
        <v>37.955808553183509</v>
      </c>
      <c r="EW62" s="482">
        <f t="shared" ref="EW62:EW68" si="294">+EX62-EV62</f>
        <v>39.129888856042037</v>
      </c>
      <c r="EX62" s="1262">
        <f>+SUM(EX63:EX64)</f>
        <v>77.085697409225546</v>
      </c>
      <c r="EY62" s="534">
        <f>+SUM(EY63:EY64)</f>
        <v>41.371831322970024</v>
      </c>
      <c r="EZ62" s="482">
        <f t="shared" ref="EZ62:EZ68" si="295">+FA62-EY62</f>
        <v>42.651578853085823</v>
      </c>
      <c r="FA62" s="1262">
        <f>+SUM(FA63:FA64)</f>
        <v>84.023410176055847</v>
      </c>
      <c r="FE62"/>
      <c r="FF62"/>
      <c r="FG62"/>
      <c r="FH62"/>
      <c r="FI62"/>
      <c r="FJ62"/>
      <c r="FK62" s="35"/>
    </row>
    <row r="63" spans="2:167" s="236" customFormat="1" ht="13.35" customHeight="1" outlineLevel="1" thickBot="1">
      <c r="B63" s="242" t="s">
        <v>0</v>
      </c>
      <c r="C63" s="242" t="s">
        <v>496</v>
      </c>
      <c r="D63" s="243"/>
      <c r="E63" s="495"/>
      <c r="F63" s="482">
        <f t="shared" si="245"/>
        <v>0</v>
      </c>
      <c r="G63" s="496"/>
      <c r="H63" s="497"/>
      <c r="I63" s="482">
        <f t="shared" si="246"/>
        <v>0</v>
      </c>
      <c r="J63" s="496"/>
      <c r="K63" s="497"/>
      <c r="L63" s="482">
        <f t="shared" si="247"/>
        <v>0</v>
      </c>
      <c r="M63" s="496"/>
      <c r="N63" s="497"/>
      <c r="O63" s="482">
        <f t="shared" si="248"/>
        <v>0</v>
      </c>
      <c r="P63" s="496"/>
      <c r="Q63" s="497"/>
      <c r="R63" s="482">
        <f t="shared" si="249"/>
        <v>0</v>
      </c>
      <c r="S63" s="496"/>
      <c r="T63" s="497"/>
      <c r="U63" s="482">
        <f t="shared" si="250"/>
        <v>0</v>
      </c>
      <c r="V63" s="496"/>
      <c r="W63" s="497"/>
      <c r="X63" s="482">
        <f t="shared" si="251"/>
        <v>0</v>
      </c>
      <c r="Y63" s="496"/>
      <c r="Z63" s="497"/>
      <c r="AA63" s="482">
        <f t="shared" si="252"/>
        <v>0</v>
      </c>
      <c r="AB63" s="496"/>
      <c r="AC63" s="497"/>
      <c r="AD63" s="482">
        <f t="shared" si="253"/>
        <v>0</v>
      </c>
      <c r="AE63" s="496"/>
      <c r="AF63" s="497"/>
      <c r="AG63" s="482">
        <f t="shared" si="254"/>
        <v>0</v>
      </c>
      <c r="AH63" s="496"/>
      <c r="AI63" s="497"/>
      <c r="AJ63" s="482">
        <f t="shared" si="255"/>
        <v>0</v>
      </c>
      <c r="AK63" s="496"/>
      <c r="AL63" s="497"/>
      <c r="AM63" s="482">
        <f t="shared" si="256"/>
        <v>0</v>
      </c>
      <c r="AN63" s="496"/>
      <c r="AO63" s="497"/>
      <c r="AP63" s="482">
        <f t="shared" si="257"/>
        <v>0</v>
      </c>
      <c r="AQ63" s="496"/>
      <c r="AR63" s="497"/>
      <c r="AS63" s="482">
        <f t="shared" si="258"/>
        <v>0</v>
      </c>
      <c r="AT63" s="504"/>
      <c r="AU63" s="505"/>
      <c r="AV63" s="482">
        <f t="shared" si="259"/>
        <v>0</v>
      </c>
      <c r="AW63" s="504"/>
      <c r="AX63" s="506">
        <v>0</v>
      </c>
      <c r="AY63" s="482">
        <f t="shared" si="260"/>
        <v>0</v>
      </c>
      <c r="AZ63" s="507">
        <v>0</v>
      </c>
      <c r="BA63" s="506">
        <v>0</v>
      </c>
      <c r="BB63" s="482">
        <f t="shared" si="261"/>
        <v>0</v>
      </c>
      <c r="BC63" s="507">
        <v>0</v>
      </c>
      <c r="BD63" s="505">
        <f>IF(Assumptions!BD78&lt;&gt;"",Assumptions!BD78,0)</f>
        <v>0</v>
      </c>
      <c r="BE63" s="482">
        <f t="shared" si="262"/>
        <v>0</v>
      </c>
      <c r="BF63" s="504">
        <f>IF(Assumptions!BF78&lt;&gt;"",Assumptions!BF78,0)</f>
        <v>0</v>
      </c>
      <c r="BG63" s="505">
        <f>IF(Assumptions!BG78&lt;&gt;"",Assumptions!BG78,0)</f>
        <v>0</v>
      </c>
      <c r="BH63" s="482">
        <f t="shared" si="263"/>
        <v>0</v>
      </c>
      <c r="BI63" s="504">
        <f>IF(Assumptions!BI78&lt;&gt;"",Assumptions!BI78,0)</f>
        <v>0</v>
      </c>
      <c r="BJ63" s="505">
        <f>IF(Assumptions!BJ78&lt;&gt;"",Assumptions!BJ78,0)</f>
        <v>0</v>
      </c>
      <c r="BK63" s="482">
        <f t="shared" si="264"/>
        <v>0</v>
      </c>
      <c r="BL63" s="504">
        <f>IF(Assumptions!BL78&lt;&gt;"",Assumptions!BL78,0)</f>
        <v>0</v>
      </c>
      <c r="BM63" s="505">
        <f>IF(Assumptions!BM78&lt;&gt;"",Assumptions!BM78,0)</f>
        <v>0</v>
      </c>
      <c r="BN63" s="482">
        <f t="shared" si="265"/>
        <v>0</v>
      </c>
      <c r="BO63" s="503">
        <f>IF(Assumptions!BO78&lt;&gt;"",Assumptions!BO78,0)</f>
        <v>0</v>
      </c>
      <c r="BP63" s="505">
        <f>IF(Assumptions!BP78&lt;&gt;"",Assumptions!BP78,0)</f>
        <v>0</v>
      </c>
      <c r="BQ63" s="482">
        <f t="shared" si="266"/>
        <v>0</v>
      </c>
      <c r="BR63" s="503">
        <f>IF(Assumptions!BR78&lt;&gt;"",Assumptions!BR78,0)</f>
        <v>0</v>
      </c>
      <c r="BS63" s="505">
        <f>IF(Assumptions!BS78&lt;&gt;"",Assumptions!BS78,0)</f>
        <v>0</v>
      </c>
      <c r="BT63" s="482">
        <f t="shared" si="267"/>
        <v>0</v>
      </c>
      <c r="BU63" s="503">
        <f>IF(Assumptions!BU78&lt;&gt;"",Assumptions!BU78,0)</f>
        <v>0</v>
      </c>
      <c r="BV63" s="505">
        <f>IF(Assumptions!BV78&lt;&gt;"",Assumptions!BV78,0)</f>
        <v>0</v>
      </c>
      <c r="BW63" s="482">
        <f t="shared" si="268"/>
        <v>0</v>
      </c>
      <c r="BX63" s="503">
        <f>IF(Assumptions!BX78&lt;&gt;"",Assumptions!BX78,0)</f>
        <v>0</v>
      </c>
      <c r="BY63" s="505">
        <f>IF(Assumptions!BY78&lt;&gt;"",Assumptions!BY78,0)</f>
        <v>0</v>
      </c>
      <c r="BZ63" s="482">
        <f t="shared" si="269"/>
        <v>0</v>
      </c>
      <c r="CA63" s="503">
        <f>IF(Assumptions!CA78&lt;&gt;"",Assumptions!CA78,0)</f>
        <v>0</v>
      </c>
      <c r="CB63" s="505">
        <f>IF(Assumptions!CB78&lt;&gt;"",Assumptions!CB78,0)</f>
        <v>0</v>
      </c>
      <c r="CC63" s="482">
        <f t="shared" si="270"/>
        <v>0</v>
      </c>
      <c r="CD63" s="503">
        <f>IF(Assumptions!CD78&lt;&gt;"",Assumptions!CD78,0)</f>
        <v>0</v>
      </c>
      <c r="CE63" s="505">
        <f>IF(Assumptions!CE78&lt;&gt;"",Assumptions!CE78,0)</f>
        <v>0</v>
      </c>
      <c r="CF63" s="482">
        <f t="shared" si="271"/>
        <v>0</v>
      </c>
      <c r="CG63" s="503">
        <f>IF(Assumptions!CG78&lt;&gt;"",Assumptions!CG78,0)</f>
        <v>0</v>
      </c>
      <c r="CH63" s="505">
        <f>IF(Assumptions!CH78&lt;&gt;"",Assumptions!CH78,0)</f>
        <v>0</v>
      </c>
      <c r="CI63" s="482">
        <f t="shared" si="272"/>
        <v>0</v>
      </c>
      <c r="CJ63" s="503">
        <f>IF(Assumptions!CJ78&lt;&gt;"",Assumptions!CJ78,0)</f>
        <v>0</v>
      </c>
      <c r="CK63" s="505">
        <f>IF(Assumptions!CK78&lt;&gt;"",Assumptions!CK78,0)</f>
        <v>0</v>
      </c>
      <c r="CL63" s="482">
        <f t="shared" si="273"/>
        <v>0</v>
      </c>
      <c r="CM63" s="503">
        <f>IF(Assumptions!CM78&lt;&gt;"",Assumptions!CM78,0)</f>
        <v>0</v>
      </c>
      <c r="CN63" s="505">
        <f>IF(Assumptions!CN78&lt;&gt;"",Assumptions!CN78,0)</f>
        <v>0</v>
      </c>
      <c r="CO63" s="482">
        <f t="shared" si="274"/>
        <v>0</v>
      </c>
      <c r="CP63" s="503">
        <f>IF(Assumptions!CP78&lt;&gt;"",Assumptions!CP78,0)</f>
        <v>0</v>
      </c>
      <c r="CQ63" s="505">
        <f>IF(Assumptions!CQ78&lt;&gt;"",Assumptions!CQ78,0)</f>
        <v>0</v>
      </c>
      <c r="CR63" s="482">
        <f t="shared" si="275"/>
        <v>0</v>
      </c>
      <c r="CS63" s="503">
        <f>IF(Assumptions!CS78&lt;&gt;"",Assumptions!CS78,0)</f>
        <v>0</v>
      </c>
      <c r="CT63" s="505">
        <f>IF(Assumptions!CT78&lt;&gt;"",Assumptions!CT78,0)</f>
        <v>0</v>
      </c>
      <c r="CU63" s="482">
        <f t="shared" si="276"/>
        <v>0</v>
      </c>
      <c r="CV63" s="503">
        <f>IF(Assumptions!CV78&lt;&gt;"",Assumptions!CV78,0)</f>
        <v>0</v>
      </c>
      <c r="CW63" s="505">
        <f>IF(Assumptions!CW78&lt;&gt;"",Assumptions!CW78,0)</f>
        <v>0</v>
      </c>
      <c r="CX63" s="482">
        <f t="shared" si="277"/>
        <v>0</v>
      </c>
      <c r="CY63" s="503">
        <f>IF(Assumptions!CY78&lt;&gt;"",Assumptions!CY78,0)</f>
        <v>0</v>
      </c>
      <c r="CZ63" s="505">
        <f>IF(Assumptions!CZ78&lt;&gt;"",Assumptions!CZ78,0)</f>
        <v>0</v>
      </c>
      <c r="DA63" s="482">
        <f t="shared" si="278"/>
        <v>0</v>
      </c>
      <c r="DB63" s="503">
        <f>IF(Assumptions!DB78&lt;&gt;"",Assumptions!DB78,0)</f>
        <v>0</v>
      </c>
      <c r="DC63" s="505">
        <f>IF(Assumptions!DC78&lt;&gt;"",Assumptions!DC78,0)</f>
        <v>0</v>
      </c>
      <c r="DD63" s="482">
        <f t="shared" si="279"/>
        <v>0</v>
      </c>
      <c r="DE63" s="503">
        <f>IF(Assumptions!DE78&lt;&gt;"",Assumptions!DE78,0)</f>
        <v>0</v>
      </c>
      <c r="DF63" s="505">
        <f>IF(Assumptions!DF78&lt;&gt;"",Assumptions!DF78,0)</f>
        <v>0</v>
      </c>
      <c r="DG63" s="482">
        <f t="shared" si="280"/>
        <v>0</v>
      </c>
      <c r="DH63" s="1254">
        <f>IF(Assumptions!DH78&lt;&gt;"",Assumptions!DH78,0)</f>
        <v>0</v>
      </c>
      <c r="DI63" s="482">
        <f>IF(Assumptions!DI78&lt;&gt;"",Assumptions!DI78,0)</f>
        <v>0</v>
      </c>
      <c r="DJ63" s="482">
        <f t="shared" si="281"/>
        <v>0</v>
      </c>
      <c r="DK63" s="1244">
        <f>IF(Assumptions!DK78&lt;&gt;"",Assumptions!DK78,0)</f>
        <v>0</v>
      </c>
      <c r="DL63" s="482">
        <f>IF(Assumptions!DL78&lt;&gt;"",Assumptions!DL78,0)</f>
        <v>0</v>
      </c>
      <c r="DM63" s="482">
        <f t="shared" si="282"/>
        <v>0</v>
      </c>
      <c r="DN63" s="1244">
        <f>IF(Assumptions!DN78&lt;&gt;"",Assumptions!DN78,0)</f>
        <v>0</v>
      </c>
      <c r="DO63" s="482">
        <f>IF(Assumptions!DO78&lt;&gt;"",Assumptions!DO78,0)</f>
        <v>0</v>
      </c>
      <c r="DP63" s="482">
        <f t="shared" si="283"/>
        <v>0</v>
      </c>
      <c r="DQ63" s="1244">
        <f>IF(Assumptions!DQ78&lt;&gt;"",Assumptions!DQ78,0)</f>
        <v>0</v>
      </c>
      <c r="DR63" s="482">
        <f>IF(Assumptions!DR78&lt;&gt;"",Assumptions!DR78,0)</f>
        <v>0</v>
      </c>
      <c r="DS63" s="482">
        <f t="shared" si="284"/>
        <v>0</v>
      </c>
      <c r="DT63" s="1244">
        <f>IF(Assumptions!DT78&lt;&gt;"",Assumptions!DT78,0)</f>
        <v>0</v>
      </c>
      <c r="DU63" s="482">
        <f>IF(Assumptions!DU78&lt;&gt;"",Assumptions!DU78,0)</f>
        <v>0</v>
      </c>
      <c r="DV63" s="482">
        <f t="shared" si="285"/>
        <v>0</v>
      </c>
      <c r="DW63" s="1244">
        <f>IF(Assumptions!DW78&lt;&gt;"",Assumptions!DW78,0)</f>
        <v>0</v>
      </c>
      <c r="DX63" s="482">
        <f>IF(Assumptions!DX78&lt;&gt;"",Assumptions!DX78,0)</f>
        <v>0</v>
      </c>
      <c r="DY63" s="482">
        <f t="shared" si="286"/>
        <v>0</v>
      </c>
      <c r="DZ63" s="1244">
        <f>IF(Assumptions!DZ78&lt;&gt;"",Assumptions!DZ78,0)</f>
        <v>0</v>
      </c>
      <c r="EA63" s="482">
        <f>IF(Assumptions!EA78&lt;&gt;"",Assumptions!EA78,0)</f>
        <v>0</v>
      </c>
      <c r="EB63" s="482">
        <f t="shared" si="287"/>
        <v>0</v>
      </c>
      <c r="EC63" s="1244">
        <f>IF(Assumptions!EC78&lt;&gt;"",Assumptions!EC78,0)</f>
        <v>0</v>
      </c>
      <c r="ED63" s="482">
        <f>IF(Assumptions!ED78&lt;&gt;"",Assumptions!ED78,0)</f>
        <v>0</v>
      </c>
      <c r="EE63" s="482">
        <f t="shared" si="288"/>
        <v>0</v>
      </c>
      <c r="EF63" s="1244">
        <f>IF(Assumptions!EF78&lt;&gt;"",Assumptions!EF78,0)</f>
        <v>0</v>
      </c>
      <c r="EG63" s="482">
        <f>IF(Assumptions!EG78&lt;&gt;"",Assumptions!EG78,0)</f>
        <v>0</v>
      </c>
      <c r="EH63" s="482">
        <f t="shared" si="289"/>
        <v>0</v>
      </c>
      <c r="EI63" s="1244">
        <f>IF(Assumptions!EI78&lt;&gt;"",Assumptions!EI78,0)</f>
        <v>0</v>
      </c>
      <c r="EJ63" s="482">
        <f>IF(Assumptions!EJ78&lt;&gt;"",Assumptions!EJ78,0)</f>
        <v>0</v>
      </c>
      <c r="EK63" s="482">
        <f t="shared" si="290"/>
        <v>0</v>
      </c>
      <c r="EL63" s="1244">
        <f>IF(Assumptions!EL78&lt;&gt;"",Assumptions!EL78,0)</f>
        <v>0</v>
      </c>
      <c r="EM63" s="482">
        <f>IF(Assumptions!EM78&lt;&gt;"",Assumptions!EM78,0)</f>
        <v>0</v>
      </c>
      <c r="EN63" s="482">
        <f t="shared" si="291"/>
        <v>0</v>
      </c>
      <c r="EO63" s="1244">
        <f>IF(Assumptions!EO78&lt;&gt;"",Assumptions!EO78,0)</f>
        <v>0</v>
      </c>
      <c r="EP63" s="482">
        <f>IF(Assumptions!EP78&lt;&gt;"",Assumptions!EP78,0)</f>
        <v>0</v>
      </c>
      <c r="EQ63" s="482">
        <f t="shared" si="292"/>
        <v>0</v>
      </c>
      <c r="ER63" s="1244">
        <f>IF(Assumptions!ER78&lt;&gt;"",Assumptions!ER78,0)</f>
        <v>0</v>
      </c>
      <c r="ES63" s="482">
        <f>IF(Assumptions!ES78&lt;&gt;"",Assumptions!ES78,0)</f>
        <v>0</v>
      </c>
      <c r="ET63" s="482">
        <f t="shared" si="293"/>
        <v>0</v>
      </c>
      <c r="EU63" s="1244">
        <f>IF(Assumptions!EU78&lt;&gt;"",Assumptions!EU78,0)</f>
        <v>0</v>
      </c>
      <c r="EV63" s="482">
        <f>IF(Assumptions!EV78&lt;&gt;"",Assumptions!EV78,0)</f>
        <v>0</v>
      </c>
      <c r="EW63" s="482">
        <f t="shared" si="294"/>
        <v>0</v>
      </c>
      <c r="EX63" s="1244">
        <f>IF(Assumptions!EX78&lt;&gt;"",Assumptions!EX78,0)</f>
        <v>0</v>
      </c>
      <c r="EY63" s="482">
        <f>IF(Assumptions!EY78&lt;&gt;"",Assumptions!EY78,0)</f>
        <v>0</v>
      </c>
      <c r="EZ63" s="482">
        <f t="shared" si="295"/>
        <v>0</v>
      </c>
      <c r="FA63" s="1244">
        <f>IF(Assumptions!FA78&lt;&gt;"",Assumptions!FA78,0)</f>
        <v>0</v>
      </c>
      <c r="FE63"/>
      <c r="FF63"/>
      <c r="FG63"/>
      <c r="FH63"/>
      <c r="FI63"/>
      <c r="FJ63"/>
      <c r="FK63" s="35"/>
    </row>
    <row r="64" spans="2:167" s="236" customFormat="1" ht="13.35" customHeight="1" outlineLevel="1" thickBot="1">
      <c r="B64" s="242" t="s">
        <v>680</v>
      </c>
      <c r="C64" s="242" t="s">
        <v>496</v>
      </c>
      <c r="D64" s="243"/>
      <c r="E64" s="534">
        <f>+SUM(E65:E67)</f>
        <v>0</v>
      </c>
      <c r="F64" s="482">
        <f t="shared" si="245"/>
        <v>0</v>
      </c>
      <c r="G64" s="534">
        <f>+SUM(G65:G67)</f>
        <v>0</v>
      </c>
      <c r="H64" s="534">
        <f>+SUM(H65:H67)</f>
        <v>0</v>
      </c>
      <c r="I64" s="482">
        <f t="shared" si="246"/>
        <v>0</v>
      </c>
      <c r="J64" s="534">
        <f>+SUM(J65:J67)</f>
        <v>0</v>
      </c>
      <c r="K64" s="534">
        <f>+SUM(K65:K67)</f>
        <v>0</v>
      </c>
      <c r="L64" s="482">
        <f t="shared" si="247"/>
        <v>0</v>
      </c>
      <c r="M64" s="534">
        <f>+SUM(M65:M67)</f>
        <v>0</v>
      </c>
      <c r="N64" s="534">
        <f>+SUM(N65:N67)</f>
        <v>0</v>
      </c>
      <c r="O64" s="482">
        <f t="shared" si="248"/>
        <v>0</v>
      </c>
      <c r="P64" s="534">
        <f>+SUM(P65:P67)</f>
        <v>0</v>
      </c>
      <c r="Q64" s="534">
        <f>+SUM(Q65:Q67)</f>
        <v>0</v>
      </c>
      <c r="R64" s="482">
        <f t="shared" si="249"/>
        <v>0</v>
      </c>
      <c r="S64" s="534">
        <f>+SUM(S65:S67)</f>
        <v>0</v>
      </c>
      <c r="T64" s="534">
        <f>+SUM(T65:T67)</f>
        <v>0</v>
      </c>
      <c r="U64" s="482">
        <f t="shared" si="250"/>
        <v>0</v>
      </c>
      <c r="V64" s="534">
        <f>+SUM(V65:V67)</f>
        <v>0</v>
      </c>
      <c r="W64" s="534">
        <f>+SUM(W65:W67)</f>
        <v>0</v>
      </c>
      <c r="X64" s="482">
        <f t="shared" si="251"/>
        <v>0</v>
      </c>
      <c r="Y64" s="534">
        <f>+SUM(Y65:Y67)</f>
        <v>0</v>
      </c>
      <c r="Z64" s="534">
        <f>+SUM(Z65:Z67)</f>
        <v>0</v>
      </c>
      <c r="AA64" s="482">
        <f t="shared" si="252"/>
        <v>0</v>
      </c>
      <c r="AB64" s="534">
        <f>+SUM(AB65:AB67)</f>
        <v>0</v>
      </c>
      <c r="AC64" s="534">
        <f>+SUM(AC65:AC67)</f>
        <v>0</v>
      </c>
      <c r="AD64" s="482">
        <f t="shared" si="253"/>
        <v>0</v>
      </c>
      <c r="AE64" s="534">
        <f>+SUM(AE65:AE67)</f>
        <v>0</v>
      </c>
      <c r="AF64" s="534">
        <f>+SUM(AF65:AF67)</f>
        <v>0</v>
      </c>
      <c r="AG64" s="482">
        <f t="shared" si="254"/>
        <v>0</v>
      </c>
      <c r="AH64" s="534">
        <f>+SUM(AH65:AH67)</f>
        <v>0</v>
      </c>
      <c r="AI64" s="534">
        <f>+SUM(AI65:AI67)</f>
        <v>0</v>
      </c>
      <c r="AJ64" s="482">
        <f t="shared" si="255"/>
        <v>0</v>
      </c>
      <c r="AK64" s="534">
        <f>+SUM(AK65:AK67)</f>
        <v>0</v>
      </c>
      <c r="AL64" s="534">
        <f>+SUM(AL65:AL67)</f>
        <v>0</v>
      </c>
      <c r="AM64" s="482">
        <f t="shared" si="256"/>
        <v>0</v>
      </c>
      <c r="AN64" s="534">
        <f>+SUM(AN65:AN67)</f>
        <v>0</v>
      </c>
      <c r="AO64" s="534">
        <f>+SUM(AO65:AO67)</f>
        <v>0</v>
      </c>
      <c r="AP64" s="482">
        <f t="shared" si="257"/>
        <v>0</v>
      </c>
      <c r="AQ64" s="534">
        <f>+SUM(AQ65:AQ67)</f>
        <v>0</v>
      </c>
      <c r="AR64" s="534">
        <f>+SUM(AR65:AR67)</f>
        <v>0</v>
      </c>
      <c r="AS64" s="482">
        <f t="shared" si="258"/>
        <v>0</v>
      </c>
      <c r="AT64" s="534">
        <f>+SUM(AT65:AT67)</f>
        <v>0</v>
      </c>
      <c r="AU64" s="534">
        <f>+SUM(AU65:AU67)</f>
        <v>0</v>
      </c>
      <c r="AV64" s="482">
        <f t="shared" si="259"/>
        <v>0</v>
      </c>
      <c r="AW64" s="534">
        <f>+SUM(AW65:AW67)</f>
        <v>0</v>
      </c>
      <c r="AX64" s="534">
        <f>+SUM(AX65:AX67)</f>
        <v>0</v>
      </c>
      <c r="AY64" s="482">
        <f t="shared" si="260"/>
        <v>0</v>
      </c>
      <c r="AZ64" s="534">
        <f>+SUM(AZ65:AZ67)</f>
        <v>0</v>
      </c>
      <c r="BA64" s="534">
        <f>+SUM(BA65:BA67)</f>
        <v>0</v>
      </c>
      <c r="BB64" s="482">
        <f t="shared" si="261"/>
        <v>0</v>
      </c>
      <c r="BC64" s="534">
        <f>+SUM(BC65:BC67)</f>
        <v>0</v>
      </c>
      <c r="BD64" s="534">
        <f>+SUM(BD65:BD67)</f>
        <v>0</v>
      </c>
      <c r="BE64" s="482">
        <f t="shared" si="262"/>
        <v>0</v>
      </c>
      <c r="BF64" s="534">
        <f>+SUM(BF65:BF67)</f>
        <v>0</v>
      </c>
      <c r="BG64" s="534">
        <f>+SUM(BG65:BG67)</f>
        <v>0</v>
      </c>
      <c r="BH64" s="482">
        <f t="shared" si="263"/>
        <v>0</v>
      </c>
      <c r="BI64" s="534">
        <f>+SUM(BI65:BI67)</f>
        <v>0</v>
      </c>
      <c r="BJ64" s="534">
        <f>+SUM(BJ65:BJ67)</f>
        <v>0</v>
      </c>
      <c r="BK64" s="482">
        <f t="shared" si="264"/>
        <v>2.8969999999999998</v>
      </c>
      <c r="BL64" s="534">
        <f>+SUM(BL65:BL67)</f>
        <v>2.8969999999999998</v>
      </c>
      <c r="BM64" s="534">
        <f>+SUM(BM65:BM67)</f>
        <v>0</v>
      </c>
      <c r="BN64" s="482">
        <f t="shared" si="265"/>
        <v>3.48</v>
      </c>
      <c r="BO64" s="534">
        <f>+SUM(BO65:BO67)</f>
        <v>3.48</v>
      </c>
      <c r="BP64" s="534">
        <f>+SUM(BP65:BP67)</f>
        <v>0</v>
      </c>
      <c r="BQ64" s="482">
        <f t="shared" si="266"/>
        <v>3.9</v>
      </c>
      <c r="BR64" s="534">
        <f>+SUM(BR65:BR67)</f>
        <v>3.9</v>
      </c>
      <c r="BS64" s="534">
        <f>+SUM(BS65:BS67)</f>
        <v>0</v>
      </c>
      <c r="BT64" s="482">
        <f t="shared" si="267"/>
        <v>2.5710000000000002</v>
      </c>
      <c r="BU64" s="534">
        <f>+SUM(BU65:BU67)</f>
        <v>2.5710000000000002</v>
      </c>
      <c r="BV64" s="534">
        <f>+SUM(BV65:BV67)</f>
        <v>0</v>
      </c>
      <c r="BW64" s="482">
        <f t="shared" si="268"/>
        <v>1.643</v>
      </c>
      <c r="BX64" s="534">
        <f>+SUM(BX65:BX67)</f>
        <v>1.643</v>
      </c>
      <c r="BY64" s="534">
        <f>+SUM(BY65:BY67)</f>
        <v>9.1999999999999998E-2</v>
      </c>
      <c r="BZ64" s="482">
        <f t="shared" si="269"/>
        <v>10.437999999999999</v>
      </c>
      <c r="CA64" s="534">
        <f>+SUM(CA65:CA67)</f>
        <v>10.53</v>
      </c>
      <c r="CB64" s="534">
        <f>+SUM(CB65:CB67)</f>
        <v>0</v>
      </c>
      <c r="CC64" s="482">
        <f t="shared" si="270"/>
        <v>10.49</v>
      </c>
      <c r="CD64" s="534">
        <f>+SUM(CD65:CD67)</f>
        <v>10.49</v>
      </c>
      <c r="CE64" s="534">
        <f>+SUM(CE65:CE67)</f>
        <v>0</v>
      </c>
      <c r="CF64" s="482">
        <f t="shared" si="271"/>
        <v>0</v>
      </c>
      <c r="CG64" s="534">
        <f>+SUM(CG65:CG67)</f>
        <v>0</v>
      </c>
      <c r="CH64" s="534">
        <f>+SUM(CH65:CH67)</f>
        <v>0</v>
      </c>
      <c r="CI64" s="482">
        <f t="shared" si="272"/>
        <v>0</v>
      </c>
      <c r="CJ64" s="534">
        <f>+SUM(CJ65:CJ67)</f>
        <v>0</v>
      </c>
      <c r="CK64" s="534">
        <f>+SUM(CK65:CK67)</f>
        <v>0</v>
      </c>
      <c r="CL64" s="482">
        <f t="shared" si="273"/>
        <v>0</v>
      </c>
      <c r="CM64" s="534">
        <f>+SUM(CM65:CM67)</f>
        <v>0</v>
      </c>
      <c r="CN64" s="534">
        <f>+SUM(CN65:CN67)</f>
        <v>0</v>
      </c>
      <c r="CO64" s="482">
        <f t="shared" si="274"/>
        <v>0</v>
      </c>
      <c r="CP64" s="534">
        <f>+SUM(CP65:CP67)</f>
        <v>0</v>
      </c>
      <c r="CQ64" s="534">
        <f>+SUM(CQ65:CQ67)</f>
        <v>0</v>
      </c>
      <c r="CR64" s="482">
        <f t="shared" si="275"/>
        <v>0</v>
      </c>
      <c r="CS64" s="534">
        <f>+SUM(CS65:CS67)</f>
        <v>0</v>
      </c>
      <c r="CT64" s="534">
        <f>+SUM(CT65:CT67)</f>
        <v>0</v>
      </c>
      <c r="CU64" s="482">
        <f t="shared" si="276"/>
        <v>0</v>
      </c>
      <c r="CV64" s="534">
        <f>+SUM(CV65:CV67)</f>
        <v>0</v>
      </c>
      <c r="CW64" s="534">
        <f>+SUM(CW65:CW67)</f>
        <v>0</v>
      </c>
      <c r="CX64" s="482">
        <f t="shared" si="277"/>
        <v>0</v>
      </c>
      <c r="CY64" s="534">
        <f>+SUM(CY65:CY67)</f>
        <v>0</v>
      </c>
      <c r="CZ64" s="534">
        <f>+SUM(CZ65:CZ67)</f>
        <v>0</v>
      </c>
      <c r="DA64" s="482">
        <f t="shared" si="278"/>
        <v>0</v>
      </c>
      <c r="DB64" s="534">
        <f>+SUM(DB65:DB67)</f>
        <v>0</v>
      </c>
      <c r="DC64" s="534">
        <f>+SUM(DC65:DC67)</f>
        <v>0</v>
      </c>
      <c r="DD64" s="482">
        <f t="shared" si="279"/>
        <v>0</v>
      </c>
      <c r="DE64" s="534">
        <f>+SUM(DE65:DE67)</f>
        <v>0</v>
      </c>
      <c r="DF64" s="534">
        <f>+SUM(DF65:DF67)</f>
        <v>12.9</v>
      </c>
      <c r="DG64" s="482">
        <f t="shared" si="280"/>
        <v>15.499999999999998</v>
      </c>
      <c r="DH64" s="1262">
        <f>+SUM(DH65:DH67)</f>
        <v>28.4</v>
      </c>
      <c r="DI64" s="534">
        <f>+SUM(DI65:DI67)</f>
        <v>11.8</v>
      </c>
      <c r="DJ64" s="482">
        <f t="shared" si="281"/>
        <v>15.7</v>
      </c>
      <c r="DK64" s="1262">
        <f>+SUM(DK65:DK67)</f>
        <v>27.5</v>
      </c>
      <c r="DL64" s="534">
        <f>+SUM(DL65:DL67)</f>
        <v>13.670999999999999</v>
      </c>
      <c r="DM64" s="482">
        <f t="shared" si="282"/>
        <v>14.228999999999999</v>
      </c>
      <c r="DN64" s="1262">
        <f>+SUM(DN65:DN67)</f>
        <v>27.9</v>
      </c>
      <c r="DO64" s="534">
        <f>+SUM(DO65:DO67)</f>
        <v>14.847</v>
      </c>
      <c r="DP64" s="482">
        <f t="shared" si="283"/>
        <v>15.453000000000001</v>
      </c>
      <c r="DQ64" s="1262">
        <f>+SUM(DQ65:DQ67)</f>
        <v>30.3</v>
      </c>
      <c r="DR64" s="534">
        <f>+SUM(DR65:DR67)</f>
        <v>16.219000000000001</v>
      </c>
      <c r="DS64" s="482">
        <f t="shared" si="284"/>
        <v>16.881</v>
      </c>
      <c r="DT64" s="1262">
        <f>+SUM(DT65:DT67)</f>
        <v>33.1</v>
      </c>
      <c r="DU64" s="534">
        <f>+SUM(DU65:DU67)</f>
        <v>19.501999999999999</v>
      </c>
      <c r="DV64" s="482">
        <f t="shared" si="285"/>
        <v>20.297999999999998</v>
      </c>
      <c r="DW64" s="1262">
        <f>+SUM(DW65:DW67)</f>
        <v>39.799999999999997</v>
      </c>
      <c r="DX64" s="534">
        <f>+SUM(DX65:DX67)</f>
        <v>21.5</v>
      </c>
      <c r="DY64" s="482">
        <f t="shared" si="286"/>
        <v>20.135548662513067</v>
      </c>
      <c r="DZ64" s="1262">
        <f>+SUM(DZ65:DZ67)</f>
        <v>41.635548662513067</v>
      </c>
      <c r="EA64" s="534">
        <f>+SUM(EA65:EA67)</f>
        <v>20.880906141045543</v>
      </c>
      <c r="EB64" s="482">
        <f t="shared" si="287"/>
        <v>21.524234511462673</v>
      </c>
      <c r="EC64" s="1262">
        <f>+SUM(EC65:EC67)</f>
        <v>42.405140652508216</v>
      </c>
      <c r="ED64" s="534">
        <f>+SUM(ED65:ED67)</f>
        <v>22.631808505546008</v>
      </c>
      <c r="EE64" s="482">
        <f t="shared" si="288"/>
        <v>23.331874229273001</v>
      </c>
      <c r="EF64" s="1262">
        <f>+SUM(EF65:EF67)</f>
        <v>45.96368273481901</v>
      </c>
      <c r="EG64" s="534">
        <f>+SUM(EG65:EG67)</f>
        <v>24.668671271045145</v>
      </c>
      <c r="EH64" s="482">
        <f t="shared" si="289"/>
        <v>25.431742909907566</v>
      </c>
      <c r="EI64" s="1262">
        <f>+SUM(EI65:EI67)</f>
        <v>50.100414180952711</v>
      </c>
      <c r="EJ64" s="534">
        <f>+SUM(EJ65:EJ67)</f>
        <v>26.88885168543921</v>
      </c>
      <c r="EK64" s="482">
        <f t="shared" si="290"/>
        <v>27.720599771799254</v>
      </c>
      <c r="EL64" s="1262">
        <f>+SUM(EL65:EL67)</f>
        <v>54.609451457238464</v>
      </c>
      <c r="EM64" s="534">
        <f>+SUM(EM65:EM67)</f>
        <v>29.30884833712874</v>
      </c>
      <c r="EN64" s="482">
        <f t="shared" si="291"/>
        <v>30.21545375126119</v>
      </c>
      <c r="EO64" s="1262">
        <f>+SUM(EO65:EO67)</f>
        <v>59.524302088389931</v>
      </c>
      <c r="EP64" s="534">
        <f>+SUM(EP65:EP67)</f>
        <v>31.946644687470329</v>
      </c>
      <c r="EQ64" s="482">
        <f t="shared" si="292"/>
        <v>32.934844588874711</v>
      </c>
      <c r="ER64" s="1262">
        <f>+SUM(ER65:ER67)</f>
        <v>64.881489276345036</v>
      </c>
      <c r="ES64" s="534">
        <f>+SUM(ES65:ES67)</f>
        <v>34.821842709342661</v>
      </c>
      <c r="ET64" s="482">
        <f t="shared" si="293"/>
        <v>35.898980601873433</v>
      </c>
      <c r="EU64" s="1262">
        <f>+SUM(EU65:EU67)</f>
        <v>70.720823311216094</v>
      </c>
      <c r="EV64" s="534">
        <f>+SUM(EV65:EV67)</f>
        <v>37.955808553183509</v>
      </c>
      <c r="EW64" s="482">
        <f t="shared" si="294"/>
        <v>39.129888856042037</v>
      </c>
      <c r="EX64" s="1262">
        <f>+SUM(EX65:EX67)</f>
        <v>77.085697409225546</v>
      </c>
      <c r="EY64" s="534">
        <f>+SUM(EY65:EY67)</f>
        <v>41.371831322970024</v>
      </c>
      <c r="EZ64" s="482">
        <f t="shared" si="295"/>
        <v>42.651578853085823</v>
      </c>
      <c r="FA64" s="1262">
        <f>+SUM(FA65:FA67)</f>
        <v>84.023410176055847</v>
      </c>
      <c r="FE64"/>
      <c r="FF64"/>
      <c r="FG64"/>
      <c r="FH64"/>
      <c r="FI64"/>
      <c r="FJ64"/>
      <c r="FK64" s="35"/>
    </row>
    <row r="65" spans="1:167" s="236" customFormat="1" ht="13.35" customHeight="1" outlineLevel="1">
      <c r="A65" s="550"/>
      <c r="B65" s="551" t="s">
        <v>198</v>
      </c>
      <c r="C65" s="242" t="s">
        <v>496</v>
      </c>
      <c r="D65" s="243"/>
      <c r="E65" s="535"/>
      <c r="F65" s="509">
        <f t="shared" si="245"/>
        <v>0</v>
      </c>
      <c r="G65" s="536"/>
      <c r="H65" s="537"/>
      <c r="I65" s="509">
        <f t="shared" si="246"/>
        <v>0</v>
      </c>
      <c r="J65" s="536"/>
      <c r="K65" s="537"/>
      <c r="L65" s="509">
        <f t="shared" si="247"/>
        <v>0</v>
      </c>
      <c r="M65" s="536"/>
      <c r="N65" s="537"/>
      <c r="O65" s="509">
        <f t="shared" si="248"/>
        <v>0</v>
      </c>
      <c r="P65" s="536"/>
      <c r="Q65" s="537"/>
      <c r="R65" s="509">
        <f t="shared" si="249"/>
        <v>0</v>
      </c>
      <c r="S65" s="536"/>
      <c r="T65" s="537"/>
      <c r="U65" s="509">
        <f t="shared" si="250"/>
        <v>0</v>
      </c>
      <c r="V65" s="536"/>
      <c r="W65" s="537"/>
      <c r="X65" s="509">
        <f t="shared" si="251"/>
        <v>0</v>
      </c>
      <c r="Y65" s="536"/>
      <c r="Z65" s="537"/>
      <c r="AA65" s="509">
        <f t="shared" si="252"/>
        <v>0</v>
      </c>
      <c r="AB65" s="536"/>
      <c r="AC65" s="537"/>
      <c r="AD65" s="509">
        <f t="shared" si="253"/>
        <v>0</v>
      </c>
      <c r="AE65" s="536"/>
      <c r="AF65" s="537"/>
      <c r="AG65" s="509">
        <f t="shared" si="254"/>
        <v>0</v>
      </c>
      <c r="AH65" s="536"/>
      <c r="AI65" s="537"/>
      <c r="AJ65" s="509">
        <f t="shared" si="255"/>
        <v>0</v>
      </c>
      <c r="AK65" s="536"/>
      <c r="AL65" s="537"/>
      <c r="AM65" s="509">
        <f t="shared" si="256"/>
        <v>0</v>
      </c>
      <c r="AN65" s="536"/>
      <c r="AO65" s="537"/>
      <c r="AP65" s="509">
        <f t="shared" si="257"/>
        <v>0</v>
      </c>
      <c r="AQ65" s="536"/>
      <c r="AR65" s="537"/>
      <c r="AS65" s="509">
        <f t="shared" si="258"/>
        <v>0</v>
      </c>
      <c r="AT65" s="512"/>
      <c r="AU65" s="513"/>
      <c r="AV65" s="509">
        <f t="shared" si="259"/>
        <v>0</v>
      </c>
      <c r="AW65" s="512"/>
      <c r="AX65" s="514">
        <v>0</v>
      </c>
      <c r="AY65" s="509">
        <f t="shared" si="260"/>
        <v>0</v>
      </c>
      <c r="AZ65" s="515">
        <v>0</v>
      </c>
      <c r="BA65" s="514">
        <v>0</v>
      </c>
      <c r="BB65" s="509">
        <f t="shared" si="261"/>
        <v>0</v>
      </c>
      <c r="BC65" s="515">
        <v>0</v>
      </c>
      <c r="BD65" s="513">
        <f>IF(Assumptions!BD60&lt;&gt;"",Assumptions!BD60,0)</f>
        <v>0</v>
      </c>
      <c r="BE65" s="509">
        <f t="shared" si="262"/>
        <v>0</v>
      </c>
      <c r="BF65" s="512">
        <f>IF(Assumptions!BF60&lt;&gt;"",Assumptions!BF60,0)</f>
        <v>0</v>
      </c>
      <c r="BG65" s="513">
        <f>IF(Assumptions!BG60&lt;&gt;"",Assumptions!BG60,0)</f>
        <v>0</v>
      </c>
      <c r="BH65" s="509">
        <f t="shared" si="263"/>
        <v>0</v>
      </c>
      <c r="BI65" s="512">
        <f>IF(Assumptions!BI60&lt;&gt;"",Assumptions!BI60,0)</f>
        <v>0</v>
      </c>
      <c r="BJ65" s="513">
        <f>IF(Assumptions!BJ60&lt;&gt;"",Assumptions!BJ60,0)</f>
        <v>0</v>
      </c>
      <c r="BK65" s="509">
        <f t="shared" si="264"/>
        <v>2.8969999999999998</v>
      </c>
      <c r="BL65" s="515">
        <v>2.8969999999999998</v>
      </c>
      <c r="BM65" s="513">
        <f>IF(Assumptions!BM60&lt;&gt;"",Assumptions!BM60,0)</f>
        <v>0</v>
      </c>
      <c r="BN65" s="509">
        <f t="shared" si="265"/>
        <v>2.754</v>
      </c>
      <c r="BO65" s="548">
        <v>2.754</v>
      </c>
      <c r="BP65" s="513">
        <f>IF(Assumptions!BP60&lt;&gt;"",Assumptions!BP60,0)</f>
        <v>0</v>
      </c>
      <c r="BQ65" s="509">
        <f t="shared" si="266"/>
        <v>3.9</v>
      </c>
      <c r="BR65" s="548">
        <v>3.9</v>
      </c>
      <c r="BS65" s="513">
        <f>IF(Assumptions!BS60&lt;&gt;"",Assumptions!BS60,0)</f>
        <v>0</v>
      </c>
      <c r="BT65" s="509">
        <f t="shared" si="267"/>
        <v>2.5710000000000002</v>
      </c>
      <c r="BU65" s="548">
        <v>2.5710000000000002</v>
      </c>
      <c r="BV65" s="513">
        <f>IF(Assumptions!BV60&lt;&gt;"",Assumptions!BV60,0)</f>
        <v>0</v>
      </c>
      <c r="BW65" s="509">
        <f t="shared" si="268"/>
        <v>1.643</v>
      </c>
      <c r="BX65" s="548">
        <v>1.643</v>
      </c>
      <c r="BY65" s="514">
        <v>9.1999999999999998E-2</v>
      </c>
      <c r="BZ65" s="509">
        <f t="shared" si="269"/>
        <v>10.437999999999999</v>
      </c>
      <c r="CA65" s="548">
        <v>10.53</v>
      </c>
      <c r="CB65" s="513">
        <f>IF(Assumptions!CB60&lt;&gt;"",Assumptions!CB60,0)</f>
        <v>0</v>
      </c>
      <c r="CC65" s="509">
        <f t="shared" si="270"/>
        <v>10.49</v>
      </c>
      <c r="CD65" s="548">
        <v>10.49</v>
      </c>
      <c r="CE65" s="513">
        <f>IF(Assumptions!CE60&lt;&gt;"",Assumptions!CE60,0)</f>
        <v>0</v>
      </c>
      <c r="CF65" s="509">
        <f t="shared" si="271"/>
        <v>0</v>
      </c>
      <c r="CG65" s="511">
        <f>IF(Assumptions!CG60&lt;&gt;"",Assumptions!CG60,0)</f>
        <v>0</v>
      </c>
      <c r="CH65" s="513">
        <f>IF(Assumptions!CH60&lt;&gt;"",Assumptions!CH60,0)</f>
        <v>0</v>
      </c>
      <c r="CI65" s="509">
        <f t="shared" si="272"/>
        <v>0</v>
      </c>
      <c r="CJ65" s="511">
        <f>IF(Assumptions!CJ60&lt;&gt;"",Assumptions!CJ60,0)</f>
        <v>0</v>
      </c>
      <c r="CK65" s="513">
        <f>IF(Assumptions!CK60&lt;&gt;"",Assumptions!CK60,0)</f>
        <v>0</v>
      </c>
      <c r="CL65" s="509">
        <f t="shared" si="273"/>
        <v>0</v>
      </c>
      <c r="CM65" s="511">
        <f>IF(Assumptions!CM60&lt;&gt;"",Assumptions!CM60,0)</f>
        <v>0</v>
      </c>
      <c r="CN65" s="513">
        <f>IF(Assumptions!CN60&lt;&gt;"",Assumptions!CN60,0)</f>
        <v>0</v>
      </c>
      <c r="CO65" s="509">
        <f t="shared" si="274"/>
        <v>0</v>
      </c>
      <c r="CP65" s="511">
        <f>IF(Assumptions!CP60&lt;&gt;"",Assumptions!CP60,0)</f>
        <v>0</v>
      </c>
      <c r="CQ65" s="513">
        <f>IF(Assumptions!CQ60&lt;&gt;"",Assumptions!CQ60,0)</f>
        <v>0</v>
      </c>
      <c r="CR65" s="509">
        <f t="shared" si="275"/>
        <v>0</v>
      </c>
      <c r="CS65" s="511">
        <f>IF(Assumptions!CS60&lt;&gt;"",Assumptions!CS60,0)</f>
        <v>0</v>
      </c>
      <c r="CT65" s="513">
        <f>IF(Assumptions!CT60&lt;&gt;"",Assumptions!CT60,0)</f>
        <v>0</v>
      </c>
      <c r="CU65" s="509">
        <f t="shared" si="276"/>
        <v>0</v>
      </c>
      <c r="CV65" s="511">
        <f>IF(Assumptions!CV60&lt;&gt;"",Assumptions!CV60,0)</f>
        <v>0</v>
      </c>
      <c r="CW65" s="513">
        <f>IF(Assumptions!CW60&lt;&gt;"",Assumptions!CW60,0)</f>
        <v>0</v>
      </c>
      <c r="CX65" s="509">
        <f t="shared" si="277"/>
        <v>0</v>
      </c>
      <c r="CY65" s="511">
        <f>IF(Assumptions!CY60&lt;&gt;"",Assumptions!CY60,0)</f>
        <v>0</v>
      </c>
      <c r="CZ65" s="513">
        <f>IF(Assumptions!CZ60&lt;&gt;"",Assumptions!CZ60,0)</f>
        <v>0</v>
      </c>
      <c r="DA65" s="509">
        <f t="shared" si="278"/>
        <v>0</v>
      </c>
      <c r="DB65" s="511">
        <f>IF(Assumptions!DB60&lt;&gt;"",Assumptions!DB60,0)</f>
        <v>0</v>
      </c>
      <c r="DC65" s="513">
        <f>IF(Assumptions!DC60&lt;&gt;"",Assumptions!DC60,0)</f>
        <v>0</v>
      </c>
      <c r="DD65" s="509">
        <f t="shared" si="279"/>
        <v>0</v>
      </c>
      <c r="DE65" s="511">
        <f>IF(Assumptions!DE60&lt;&gt;"",Assumptions!DE60,0)</f>
        <v>0</v>
      </c>
      <c r="DF65" s="513">
        <f>Assumptions!DF50</f>
        <v>12.9</v>
      </c>
      <c r="DG65" s="509">
        <f t="shared" si="280"/>
        <v>15.499999999999998</v>
      </c>
      <c r="DH65" s="1267">
        <f>Assumptions!DH50</f>
        <v>28.4</v>
      </c>
      <c r="DI65" s="482">
        <f>Assumptions!DI50</f>
        <v>11.8</v>
      </c>
      <c r="DJ65" s="482">
        <f t="shared" si="281"/>
        <v>15.7</v>
      </c>
      <c r="DK65" s="1244">
        <f>Assumptions!DK50</f>
        <v>27.5</v>
      </c>
      <c r="DL65" s="482">
        <f>Assumptions!DL50</f>
        <v>13.670999999999999</v>
      </c>
      <c r="DM65" s="482">
        <f t="shared" si="282"/>
        <v>14.228999999999999</v>
      </c>
      <c r="DN65" s="1244">
        <f>Assumptions!DN50</f>
        <v>27.9</v>
      </c>
      <c r="DO65" s="482">
        <f>Assumptions!DO50</f>
        <v>14.847</v>
      </c>
      <c r="DP65" s="482">
        <f t="shared" si="283"/>
        <v>15.453000000000001</v>
      </c>
      <c r="DQ65" s="1244">
        <f>Assumptions!DQ50</f>
        <v>30.3</v>
      </c>
      <c r="DR65" s="482">
        <f>Assumptions!DR50</f>
        <v>16.219000000000001</v>
      </c>
      <c r="DS65" s="482">
        <f t="shared" si="284"/>
        <v>16.881</v>
      </c>
      <c r="DT65" s="1244">
        <f>Assumptions!DT50</f>
        <v>33.1</v>
      </c>
      <c r="DU65" s="482">
        <f>Assumptions!DU50</f>
        <v>19.501999999999999</v>
      </c>
      <c r="DV65" s="482">
        <f t="shared" si="285"/>
        <v>20.297999999999998</v>
      </c>
      <c r="DW65" s="1244">
        <f>Assumptions!DW50</f>
        <v>39.799999999999997</v>
      </c>
      <c r="DX65" s="482">
        <f>Assumptions!DX50</f>
        <v>21.5</v>
      </c>
      <c r="DY65" s="482">
        <f t="shared" si="286"/>
        <v>20.135548662513067</v>
      </c>
      <c r="DZ65" s="1244">
        <f>Assumptions!DZ50</f>
        <v>41.635548662513067</v>
      </c>
      <c r="EA65" s="482">
        <f>Assumptions!EA50</f>
        <v>20.880906141045543</v>
      </c>
      <c r="EB65" s="482">
        <f t="shared" si="287"/>
        <v>21.524234511462673</v>
      </c>
      <c r="EC65" s="1244">
        <f>Assumptions!EC50</f>
        <v>42.405140652508216</v>
      </c>
      <c r="ED65" s="482">
        <f>Assumptions!ED50</f>
        <v>22.631808505546008</v>
      </c>
      <c r="EE65" s="482">
        <f t="shared" si="288"/>
        <v>23.331874229273001</v>
      </c>
      <c r="EF65" s="1244">
        <f>Assumptions!EF50</f>
        <v>45.96368273481901</v>
      </c>
      <c r="EG65" s="482">
        <f>Assumptions!EG50</f>
        <v>24.668671271045145</v>
      </c>
      <c r="EH65" s="482">
        <f t="shared" si="289"/>
        <v>25.431742909907566</v>
      </c>
      <c r="EI65" s="1244">
        <f>Assumptions!EI50</f>
        <v>50.100414180952711</v>
      </c>
      <c r="EJ65" s="482">
        <f>Assumptions!EJ50</f>
        <v>26.88885168543921</v>
      </c>
      <c r="EK65" s="482">
        <f t="shared" si="290"/>
        <v>27.720599771799254</v>
      </c>
      <c r="EL65" s="1244">
        <f>Assumptions!EL50</f>
        <v>54.609451457238464</v>
      </c>
      <c r="EM65" s="482">
        <f>Assumptions!EM50</f>
        <v>29.30884833712874</v>
      </c>
      <c r="EN65" s="482">
        <f t="shared" si="291"/>
        <v>30.21545375126119</v>
      </c>
      <c r="EO65" s="1244">
        <f>Assumptions!EO50</f>
        <v>59.524302088389931</v>
      </c>
      <c r="EP65" s="482">
        <f>Assumptions!EP50</f>
        <v>31.946644687470329</v>
      </c>
      <c r="EQ65" s="482">
        <f t="shared" si="292"/>
        <v>32.934844588874711</v>
      </c>
      <c r="ER65" s="1244">
        <f>Assumptions!ER50</f>
        <v>64.881489276345036</v>
      </c>
      <c r="ES65" s="482">
        <f>Assumptions!ES50</f>
        <v>34.821842709342661</v>
      </c>
      <c r="ET65" s="482">
        <f t="shared" si="293"/>
        <v>35.898980601873433</v>
      </c>
      <c r="EU65" s="1244">
        <f>Assumptions!EU50</f>
        <v>70.720823311216094</v>
      </c>
      <c r="EV65" s="482">
        <f>Assumptions!EV50</f>
        <v>37.955808553183509</v>
      </c>
      <c r="EW65" s="482">
        <f t="shared" si="294"/>
        <v>39.129888856042037</v>
      </c>
      <c r="EX65" s="1244">
        <f>Assumptions!EX50</f>
        <v>77.085697409225546</v>
      </c>
      <c r="EY65" s="482">
        <f>Assumptions!EY50</f>
        <v>41.371831322970024</v>
      </c>
      <c r="EZ65" s="482">
        <f t="shared" si="295"/>
        <v>42.651578853085823</v>
      </c>
      <c r="FA65" s="1244">
        <f>Assumptions!FA50</f>
        <v>84.023410176055847</v>
      </c>
      <c r="FE65"/>
      <c r="FF65"/>
      <c r="FG65"/>
      <c r="FH65"/>
      <c r="FI65"/>
      <c r="FJ65"/>
      <c r="FK65" s="35"/>
    </row>
    <row r="66" spans="1:167" s="236" customFormat="1" ht="13.35" customHeight="1" outlineLevel="1">
      <c r="B66" s="242" t="s">
        <v>857</v>
      </c>
      <c r="C66" s="242" t="s">
        <v>496</v>
      </c>
      <c r="D66" s="243"/>
      <c r="E66" s="522"/>
      <c r="F66" s="482">
        <f t="shared" si="245"/>
        <v>0</v>
      </c>
      <c r="G66" s="523"/>
      <c r="H66" s="524"/>
      <c r="I66" s="482">
        <f t="shared" si="246"/>
        <v>0</v>
      </c>
      <c r="J66" s="523"/>
      <c r="K66" s="524"/>
      <c r="L66" s="482">
        <f t="shared" si="247"/>
        <v>0</v>
      </c>
      <c r="M66" s="523"/>
      <c r="N66" s="524"/>
      <c r="O66" s="482">
        <f t="shared" si="248"/>
        <v>0</v>
      </c>
      <c r="P66" s="523"/>
      <c r="Q66" s="524"/>
      <c r="R66" s="482">
        <f t="shared" si="249"/>
        <v>0</v>
      </c>
      <c r="S66" s="523"/>
      <c r="T66" s="524"/>
      <c r="U66" s="482">
        <f t="shared" si="250"/>
        <v>0</v>
      </c>
      <c r="V66" s="523"/>
      <c r="W66" s="524"/>
      <c r="X66" s="482">
        <f t="shared" si="251"/>
        <v>0</v>
      </c>
      <c r="Y66" s="523"/>
      <c r="Z66" s="524"/>
      <c r="AA66" s="482">
        <f t="shared" si="252"/>
        <v>0</v>
      </c>
      <c r="AB66" s="523"/>
      <c r="AC66" s="524"/>
      <c r="AD66" s="482">
        <f t="shared" si="253"/>
        <v>0</v>
      </c>
      <c r="AE66" s="523"/>
      <c r="AF66" s="524"/>
      <c r="AG66" s="482">
        <f t="shared" si="254"/>
        <v>0</v>
      </c>
      <c r="AH66" s="523"/>
      <c r="AI66" s="524"/>
      <c r="AJ66" s="482">
        <f t="shared" si="255"/>
        <v>0</v>
      </c>
      <c r="AK66" s="523"/>
      <c r="AL66" s="524"/>
      <c r="AM66" s="482">
        <f t="shared" si="256"/>
        <v>0</v>
      </c>
      <c r="AN66" s="523"/>
      <c r="AO66" s="524"/>
      <c r="AP66" s="482">
        <f t="shared" si="257"/>
        <v>0</v>
      </c>
      <c r="AQ66" s="523"/>
      <c r="AR66" s="524"/>
      <c r="AS66" s="482">
        <f t="shared" si="258"/>
        <v>0</v>
      </c>
      <c r="AT66" s="517"/>
      <c r="AU66" s="518"/>
      <c r="AV66" s="482">
        <f t="shared" si="259"/>
        <v>0</v>
      </c>
      <c r="AW66" s="517"/>
      <c r="AX66" s="519">
        <v>0</v>
      </c>
      <c r="AY66" s="482">
        <f t="shared" si="260"/>
        <v>0</v>
      </c>
      <c r="AZ66" s="520">
        <v>0</v>
      </c>
      <c r="BA66" s="519">
        <v>0</v>
      </c>
      <c r="BB66" s="482">
        <f t="shared" si="261"/>
        <v>0</v>
      </c>
      <c r="BC66" s="520">
        <v>0</v>
      </c>
      <c r="BD66" s="518">
        <f>IF(Assumptions!BD87&lt;&gt;"",Assumptions!BD87,0)</f>
        <v>0</v>
      </c>
      <c r="BE66" s="482">
        <f t="shared" si="262"/>
        <v>0</v>
      </c>
      <c r="BF66" s="517">
        <f>IF(Assumptions!BF87&lt;&gt;"",Assumptions!BF87,0)</f>
        <v>0</v>
      </c>
      <c r="BG66" s="518">
        <f>IF(Assumptions!BG87&lt;&gt;"",Assumptions!BG87,0)</f>
        <v>0</v>
      </c>
      <c r="BH66" s="482">
        <f t="shared" si="263"/>
        <v>0</v>
      </c>
      <c r="BI66" s="517">
        <f>IF(Assumptions!BI87&lt;&gt;"",Assumptions!BI87,0)</f>
        <v>0</v>
      </c>
      <c r="BJ66" s="518">
        <f>IF(Assumptions!BJ87&lt;&gt;"",Assumptions!BJ87,0)</f>
        <v>0</v>
      </c>
      <c r="BK66" s="482">
        <f t="shared" si="264"/>
        <v>0</v>
      </c>
      <c r="BL66" s="517">
        <f>IF(Assumptions!BL87&lt;&gt;"",Assumptions!BL87,0)</f>
        <v>0</v>
      </c>
      <c r="BM66" s="518">
        <f>IF(Assumptions!BM87&lt;&gt;"",Assumptions!BM87,0)</f>
        <v>0</v>
      </c>
      <c r="BN66" s="482">
        <f t="shared" si="265"/>
        <v>0</v>
      </c>
      <c r="BO66" s="516">
        <f>IF(Assumptions!BO87&lt;&gt;"",Assumptions!BO87,0)</f>
        <v>0</v>
      </c>
      <c r="BP66" s="518">
        <f>IF(Assumptions!BP87&lt;&gt;"",Assumptions!BP87,0)</f>
        <v>0</v>
      </c>
      <c r="BQ66" s="482">
        <f t="shared" si="266"/>
        <v>0</v>
      </c>
      <c r="BR66" s="516">
        <f>IF(Assumptions!BR87&lt;&gt;"",Assumptions!BR87,0)</f>
        <v>0</v>
      </c>
      <c r="BS66" s="518">
        <f>IF(Assumptions!BS87&lt;&gt;"",Assumptions!BS87,0)</f>
        <v>0</v>
      </c>
      <c r="BT66" s="482">
        <f t="shared" si="267"/>
        <v>0</v>
      </c>
      <c r="BU66" s="516">
        <f>IF(Assumptions!BU87&lt;&gt;"",Assumptions!BU87,0)</f>
        <v>0</v>
      </c>
      <c r="BV66" s="518">
        <f>IF(Assumptions!BV87&lt;&gt;"",Assumptions!BV87,0)</f>
        <v>0</v>
      </c>
      <c r="BW66" s="482">
        <f t="shared" si="268"/>
        <v>0</v>
      </c>
      <c r="BX66" s="516">
        <f>IF(Assumptions!BX87&lt;&gt;"",Assumptions!BX87,0)</f>
        <v>0</v>
      </c>
      <c r="BY66" s="518">
        <f>IF(Assumptions!BY87&lt;&gt;"",Assumptions!BY87,0)</f>
        <v>0</v>
      </c>
      <c r="BZ66" s="482">
        <f t="shared" si="269"/>
        <v>0</v>
      </c>
      <c r="CA66" s="516">
        <f>IF(Assumptions!CA87&lt;&gt;"",Assumptions!CA87,0)</f>
        <v>0</v>
      </c>
      <c r="CB66" s="518">
        <f>IF(Assumptions!CB87&lt;&gt;"",Assumptions!CB87,0)</f>
        <v>0</v>
      </c>
      <c r="CC66" s="482">
        <f t="shared" si="270"/>
        <v>0</v>
      </c>
      <c r="CD66" s="516">
        <f>IF(Assumptions!CD87&lt;&gt;"",Assumptions!CD87,0)</f>
        <v>0</v>
      </c>
      <c r="CE66" s="518">
        <f>IF(Assumptions!CE87&lt;&gt;"",Assumptions!CE87,0)</f>
        <v>0</v>
      </c>
      <c r="CF66" s="482">
        <f t="shared" si="271"/>
        <v>0</v>
      </c>
      <c r="CG66" s="516">
        <f>IF(Assumptions!CG87&lt;&gt;"",Assumptions!CG87,0)</f>
        <v>0</v>
      </c>
      <c r="CH66" s="518">
        <f>IF(Assumptions!CH87&lt;&gt;"",Assumptions!CH87,0)</f>
        <v>0</v>
      </c>
      <c r="CI66" s="482">
        <f t="shared" si="272"/>
        <v>0</v>
      </c>
      <c r="CJ66" s="516">
        <f>IF(Assumptions!CJ87&lt;&gt;"",Assumptions!CJ87,0)</f>
        <v>0</v>
      </c>
      <c r="CK66" s="518">
        <f>IF(Assumptions!CK87&lt;&gt;"",Assumptions!CK87,0)</f>
        <v>0</v>
      </c>
      <c r="CL66" s="482">
        <f t="shared" si="273"/>
        <v>0</v>
      </c>
      <c r="CM66" s="516">
        <f>IF(Assumptions!CM87&lt;&gt;"",Assumptions!CM87,0)</f>
        <v>0</v>
      </c>
      <c r="CN66" s="518">
        <f>IF(Assumptions!CN87&lt;&gt;"",Assumptions!CN87,0)</f>
        <v>0</v>
      </c>
      <c r="CO66" s="482">
        <f t="shared" si="274"/>
        <v>0</v>
      </c>
      <c r="CP66" s="516">
        <f>IF(Assumptions!CP87&lt;&gt;"",Assumptions!CP87,0)</f>
        <v>0</v>
      </c>
      <c r="CQ66" s="518">
        <f>IF(Assumptions!CQ87&lt;&gt;"",Assumptions!CQ87,0)</f>
        <v>0</v>
      </c>
      <c r="CR66" s="482">
        <f t="shared" si="275"/>
        <v>0</v>
      </c>
      <c r="CS66" s="516">
        <f>IF(Assumptions!CS87&lt;&gt;"",Assumptions!CS87,0)</f>
        <v>0</v>
      </c>
      <c r="CT66" s="518">
        <f>IF(Assumptions!CT87&lt;&gt;"",Assumptions!CT87,0)</f>
        <v>0</v>
      </c>
      <c r="CU66" s="482">
        <f t="shared" si="276"/>
        <v>0</v>
      </c>
      <c r="CV66" s="516">
        <f>IF(Assumptions!CV87&lt;&gt;"",Assumptions!CV87,0)</f>
        <v>0</v>
      </c>
      <c r="CW66" s="518">
        <f>IF(Assumptions!CW87&lt;&gt;"",Assumptions!CW87,0)</f>
        <v>0</v>
      </c>
      <c r="CX66" s="482">
        <f t="shared" si="277"/>
        <v>0</v>
      </c>
      <c r="CY66" s="516">
        <f>IF(Assumptions!CY87&lt;&gt;"",Assumptions!CY87,0)</f>
        <v>0</v>
      </c>
      <c r="CZ66" s="518">
        <f>IF(Assumptions!CZ87&lt;&gt;"",Assumptions!CZ87,0)</f>
        <v>0</v>
      </c>
      <c r="DA66" s="482">
        <f t="shared" si="278"/>
        <v>0</v>
      </c>
      <c r="DB66" s="516">
        <f>IF(Assumptions!DB87&lt;&gt;"",Assumptions!DB87,0)</f>
        <v>0</v>
      </c>
      <c r="DC66" s="518">
        <f>IF(Assumptions!DC87&lt;&gt;"",Assumptions!DC87,0)</f>
        <v>0</v>
      </c>
      <c r="DD66" s="482">
        <f t="shared" si="279"/>
        <v>0</v>
      </c>
      <c r="DE66" s="516">
        <f>IF(Assumptions!DE87&lt;&gt;"",Assumptions!DE87,0)</f>
        <v>0</v>
      </c>
      <c r="DF66" s="518">
        <f>IF(Assumptions!DF87&lt;&gt;"",Assumptions!DF87,0)</f>
        <v>0</v>
      </c>
      <c r="DG66" s="482">
        <f t="shared" si="280"/>
        <v>0</v>
      </c>
      <c r="DH66" s="1258">
        <f>IF(Assumptions!DH87&lt;&gt;"",Assumptions!DH87,0)</f>
        <v>0</v>
      </c>
      <c r="DI66" s="482">
        <f>IF(Assumptions!DI87&lt;&gt;"",Assumptions!DI87,0)</f>
        <v>0</v>
      </c>
      <c r="DJ66" s="482">
        <f t="shared" si="281"/>
        <v>0</v>
      </c>
      <c r="DK66" s="1244">
        <f>IF(Assumptions!DK87&lt;&gt;"",Assumptions!DK87,0)</f>
        <v>0</v>
      </c>
      <c r="DL66" s="482">
        <f>IF(Assumptions!DL87&lt;&gt;"",Assumptions!DL87,0)</f>
        <v>0</v>
      </c>
      <c r="DM66" s="482">
        <f t="shared" si="282"/>
        <v>0</v>
      </c>
      <c r="DN66" s="1244">
        <f>IF(Assumptions!DN87&lt;&gt;"",Assumptions!DN87,0)</f>
        <v>0</v>
      </c>
      <c r="DO66" s="482">
        <f>IF(Assumptions!DO87&lt;&gt;"",Assumptions!DO87,0)</f>
        <v>0</v>
      </c>
      <c r="DP66" s="482">
        <f t="shared" si="283"/>
        <v>0</v>
      </c>
      <c r="DQ66" s="1244">
        <f>IF(Assumptions!DQ87&lt;&gt;"",Assumptions!DQ87,0)</f>
        <v>0</v>
      </c>
      <c r="DR66" s="482">
        <f>IF(Assumptions!DR87&lt;&gt;"",Assumptions!DR87,0)</f>
        <v>0</v>
      </c>
      <c r="DS66" s="482">
        <f t="shared" si="284"/>
        <v>0</v>
      </c>
      <c r="DT66" s="1244">
        <f>IF(Assumptions!DT87&lt;&gt;"",Assumptions!DT87,0)</f>
        <v>0</v>
      </c>
      <c r="DU66" s="482">
        <f>IF(Assumptions!DU87&lt;&gt;"",Assumptions!DU87,0)</f>
        <v>0</v>
      </c>
      <c r="DV66" s="482">
        <f t="shared" si="285"/>
        <v>0</v>
      </c>
      <c r="DW66" s="1244">
        <f>IF(Assumptions!DW87&lt;&gt;"",Assumptions!DW87,0)</f>
        <v>0</v>
      </c>
      <c r="DX66" s="482">
        <f>IF(Assumptions!DX87&lt;&gt;"",Assumptions!DX87,0)</f>
        <v>0</v>
      </c>
      <c r="DY66" s="482">
        <f t="shared" si="286"/>
        <v>0</v>
      </c>
      <c r="DZ66" s="1244">
        <f>IF(Assumptions!DZ87&lt;&gt;"",Assumptions!DZ87,0)</f>
        <v>0</v>
      </c>
      <c r="EA66" s="482">
        <f>IF(Assumptions!EA87&lt;&gt;"",Assumptions!EA87,0)</f>
        <v>0</v>
      </c>
      <c r="EB66" s="482">
        <f t="shared" si="287"/>
        <v>0</v>
      </c>
      <c r="EC66" s="1244">
        <f>IF(Assumptions!EC87&lt;&gt;"",Assumptions!EC87,0)</f>
        <v>0</v>
      </c>
      <c r="ED66" s="482">
        <f>IF(Assumptions!ED87&lt;&gt;"",Assumptions!ED87,0)</f>
        <v>0</v>
      </c>
      <c r="EE66" s="482">
        <f t="shared" si="288"/>
        <v>0</v>
      </c>
      <c r="EF66" s="1244">
        <f>IF(Assumptions!EF87&lt;&gt;"",Assumptions!EF87,0)</f>
        <v>0</v>
      </c>
      <c r="EG66" s="482">
        <f>IF(Assumptions!EG87&lt;&gt;"",Assumptions!EG87,0)</f>
        <v>0</v>
      </c>
      <c r="EH66" s="482">
        <f t="shared" si="289"/>
        <v>0</v>
      </c>
      <c r="EI66" s="1244">
        <f>IF(Assumptions!EI87&lt;&gt;"",Assumptions!EI87,0)</f>
        <v>0</v>
      </c>
      <c r="EJ66" s="482">
        <f>IF(Assumptions!EJ87&lt;&gt;"",Assumptions!EJ87,0)</f>
        <v>0</v>
      </c>
      <c r="EK66" s="482">
        <f t="shared" si="290"/>
        <v>0</v>
      </c>
      <c r="EL66" s="1244">
        <f>IF(Assumptions!EL87&lt;&gt;"",Assumptions!EL87,0)</f>
        <v>0</v>
      </c>
      <c r="EM66" s="482">
        <f>IF(Assumptions!EM87&lt;&gt;"",Assumptions!EM87,0)</f>
        <v>0</v>
      </c>
      <c r="EN66" s="482">
        <f t="shared" si="291"/>
        <v>0</v>
      </c>
      <c r="EO66" s="1244">
        <f>IF(Assumptions!EO87&lt;&gt;"",Assumptions!EO87,0)</f>
        <v>0</v>
      </c>
      <c r="EP66" s="482">
        <f>IF(Assumptions!EP87&lt;&gt;"",Assumptions!EP87,0)</f>
        <v>0</v>
      </c>
      <c r="EQ66" s="482">
        <f t="shared" si="292"/>
        <v>0</v>
      </c>
      <c r="ER66" s="1244">
        <f>IF(Assumptions!ER87&lt;&gt;"",Assumptions!ER87,0)</f>
        <v>0</v>
      </c>
      <c r="ES66" s="482">
        <f>IF(Assumptions!ES87&lt;&gt;"",Assumptions!ES87,0)</f>
        <v>0</v>
      </c>
      <c r="ET66" s="482">
        <f t="shared" si="293"/>
        <v>0</v>
      </c>
      <c r="EU66" s="1244">
        <f>IF(Assumptions!EU87&lt;&gt;"",Assumptions!EU87,0)</f>
        <v>0</v>
      </c>
      <c r="EV66" s="482">
        <f>IF(Assumptions!EV87&lt;&gt;"",Assumptions!EV87,0)</f>
        <v>0</v>
      </c>
      <c r="EW66" s="482">
        <f t="shared" si="294"/>
        <v>0</v>
      </c>
      <c r="EX66" s="1244">
        <f>IF(Assumptions!EX87&lt;&gt;"",Assumptions!EX87,0)</f>
        <v>0</v>
      </c>
      <c r="EY66" s="482">
        <f>IF(Assumptions!EY87&lt;&gt;"",Assumptions!EY87,0)</f>
        <v>0</v>
      </c>
      <c r="EZ66" s="482">
        <f t="shared" si="295"/>
        <v>0</v>
      </c>
      <c r="FA66" s="1244">
        <f>IF(Assumptions!FA87&lt;&gt;"",Assumptions!FA87,0)</f>
        <v>0</v>
      </c>
      <c r="FE66"/>
      <c r="FF66"/>
      <c r="FG66"/>
      <c r="FH66"/>
      <c r="FI66"/>
      <c r="FJ66"/>
      <c r="FK66" s="35"/>
    </row>
    <row r="67" spans="1:167" s="236" customFormat="1" ht="13.35" customHeight="1" outlineLevel="1">
      <c r="B67" s="1483" t="s">
        <v>686</v>
      </c>
      <c r="C67" s="1483" t="s">
        <v>496</v>
      </c>
      <c r="D67" s="1484"/>
      <c r="E67" s="1540"/>
      <c r="F67" s="1485">
        <f t="shared" si="245"/>
        <v>0</v>
      </c>
      <c r="G67" s="1541"/>
      <c r="H67" s="1542"/>
      <c r="I67" s="1485">
        <f t="shared" si="246"/>
        <v>0</v>
      </c>
      <c r="J67" s="1541"/>
      <c r="K67" s="1542"/>
      <c r="L67" s="1485">
        <f t="shared" si="247"/>
        <v>0</v>
      </c>
      <c r="M67" s="1541"/>
      <c r="N67" s="1542"/>
      <c r="O67" s="1485">
        <f t="shared" si="248"/>
        <v>0</v>
      </c>
      <c r="P67" s="1541"/>
      <c r="Q67" s="1542"/>
      <c r="R67" s="1485">
        <f t="shared" si="249"/>
        <v>0</v>
      </c>
      <c r="S67" s="1541"/>
      <c r="T67" s="1542"/>
      <c r="U67" s="1485">
        <f t="shared" si="250"/>
        <v>0</v>
      </c>
      <c r="V67" s="1541"/>
      <c r="W67" s="1542"/>
      <c r="X67" s="1485">
        <f t="shared" si="251"/>
        <v>0</v>
      </c>
      <c r="Y67" s="1541"/>
      <c r="Z67" s="1542"/>
      <c r="AA67" s="1485">
        <f t="shared" si="252"/>
        <v>0</v>
      </c>
      <c r="AB67" s="1541"/>
      <c r="AC67" s="1542"/>
      <c r="AD67" s="1485">
        <f t="shared" si="253"/>
        <v>0</v>
      </c>
      <c r="AE67" s="1541"/>
      <c r="AF67" s="1542"/>
      <c r="AG67" s="1485">
        <f t="shared" si="254"/>
        <v>0</v>
      </c>
      <c r="AH67" s="1541"/>
      <c r="AI67" s="1542"/>
      <c r="AJ67" s="1485">
        <f t="shared" si="255"/>
        <v>0</v>
      </c>
      <c r="AK67" s="1541"/>
      <c r="AL67" s="1542"/>
      <c r="AM67" s="1485">
        <f t="shared" si="256"/>
        <v>0</v>
      </c>
      <c r="AN67" s="1541"/>
      <c r="AO67" s="1542"/>
      <c r="AP67" s="1485">
        <f t="shared" si="257"/>
        <v>0</v>
      </c>
      <c r="AQ67" s="1541"/>
      <c r="AR67" s="1542"/>
      <c r="AS67" s="1485">
        <f t="shared" si="258"/>
        <v>0</v>
      </c>
      <c r="AT67" s="1534"/>
      <c r="AU67" s="1490"/>
      <c r="AV67" s="1485">
        <f t="shared" si="259"/>
        <v>0</v>
      </c>
      <c r="AW67" s="1534"/>
      <c r="AX67" s="1491">
        <v>0</v>
      </c>
      <c r="AY67" s="1485">
        <f t="shared" si="260"/>
        <v>0</v>
      </c>
      <c r="AZ67" s="1535">
        <v>0</v>
      </c>
      <c r="BA67" s="1491">
        <v>0</v>
      </c>
      <c r="BB67" s="1485">
        <f t="shared" si="261"/>
        <v>0</v>
      </c>
      <c r="BC67" s="1535">
        <v>0</v>
      </c>
      <c r="BD67" s="1490">
        <f>IF(Assumptions!BD96&lt;&gt;"",Assumptions!BD96,0)</f>
        <v>0</v>
      </c>
      <c r="BE67" s="1485">
        <f t="shared" si="262"/>
        <v>0</v>
      </c>
      <c r="BF67" s="1534">
        <f>IF(Assumptions!BF96&lt;&gt;"",Assumptions!BF96,0)</f>
        <v>0</v>
      </c>
      <c r="BG67" s="1490">
        <f>IF(Assumptions!BG96&lt;&gt;"",Assumptions!BG96,0)</f>
        <v>0</v>
      </c>
      <c r="BH67" s="1485">
        <f t="shared" si="263"/>
        <v>0</v>
      </c>
      <c r="BI67" s="1534">
        <f>IF(Assumptions!BI96&lt;&gt;"",Assumptions!BI96,0)</f>
        <v>0</v>
      </c>
      <c r="BJ67" s="1490">
        <f>IF(Assumptions!BJ96&lt;&gt;"",Assumptions!BJ96,0)</f>
        <v>0</v>
      </c>
      <c r="BK67" s="1485">
        <f t="shared" si="264"/>
        <v>0</v>
      </c>
      <c r="BL67" s="1534">
        <f>IF(Assumptions!BL96&lt;&gt;"",Assumptions!BL96,0)</f>
        <v>0</v>
      </c>
      <c r="BM67" s="1490">
        <f>IF(Assumptions!BM96&lt;&gt;"",Assumptions!BM96,0)</f>
        <v>0</v>
      </c>
      <c r="BN67" s="1485">
        <f t="shared" si="265"/>
        <v>0.72599999999999998</v>
      </c>
      <c r="BO67" s="1533">
        <v>0.72599999999999998</v>
      </c>
      <c r="BP67" s="1490">
        <f>IF(Assumptions!BP96&lt;&gt;"",Assumptions!BP96,0)</f>
        <v>0</v>
      </c>
      <c r="BQ67" s="1485">
        <f t="shared" si="266"/>
        <v>0</v>
      </c>
      <c r="BR67" s="1488">
        <f>IF(Assumptions!BR96&lt;&gt;"",Assumptions!BR96,0)</f>
        <v>0</v>
      </c>
      <c r="BS67" s="1490">
        <f>IF(Assumptions!BS96&lt;&gt;"",Assumptions!BS96,0)</f>
        <v>0</v>
      </c>
      <c r="BT67" s="1485">
        <f t="shared" si="267"/>
        <v>0</v>
      </c>
      <c r="BU67" s="1488">
        <f>IF(Assumptions!BU96&lt;&gt;"",Assumptions!BU96,0)</f>
        <v>0</v>
      </c>
      <c r="BV67" s="1490">
        <f>IF(Assumptions!BV96&lt;&gt;"",Assumptions!BV96,0)</f>
        <v>0</v>
      </c>
      <c r="BW67" s="1485">
        <f t="shared" si="268"/>
        <v>0</v>
      </c>
      <c r="BX67" s="1488">
        <f>IF(Assumptions!BX96&lt;&gt;"",Assumptions!BX96,0)</f>
        <v>0</v>
      </c>
      <c r="BY67" s="1490">
        <f>IF(Assumptions!BY96&lt;&gt;"",Assumptions!BY96,0)</f>
        <v>0</v>
      </c>
      <c r="BZ67" s="1485">
        <f t="shared" si="269"/>
        <v>0</v>
      </c>
      <c r="CA67" s="1488">
        <f>IF(Assumptions!CA96&lt;&gt;"",Assumptions!CA96,0)</f>
        <v>0</v>
      </c>
      <c r="CB67" s="1490">
        <f>IF(Assumptions!CB96&lt;&gt;"",Assumptions!CB96,0)</f>
        <v>0</v>
      </c>
      <c r="CC67" s="1485">
        <f t="shared" si="270"/>
        <v>0</v>
      </c>
      <c r="CD67" s="1488">
        <f>IF(Assumptions!CD96&lt;&gt;"",Assumptions!CD96,0)</f>
        <v>0</v>
      </c>
      <c r="CE67" s="1490">
        <f>IF(Assumptions!CE96&lt;&gt;"",Assumptions!CE96,0)</f>
        <v>0</v>
      </c>
      <c r="CF67" s="1485">
        <f t="shared" si="271"/>
        <v>0</v>
      </c>
      <c r="CG67" s="1488">
        <f>IF(Assumptions!CG96&lt;&gt;"",Assumptions!CG96,0)</f>
        <v>0</v>
      </c>
      <c r="CH67" s="1490">
        <f>IF(Assumptions!CH96&lt;&gt;"",Assumptions!CH96,0)</f>
        <v>0</v>
      </c>
      <c r="CI67" s="1485">
        <f t="shared" si="272"/>
        <v>0</v>
      </c>
      <c r="CJ67" s="1488">
        <f>IF(Assumptions!CJ96&lt;&gt;"",Assumptions!CJ96,0)</f>
        <v>0</v>
      </c>
      <c r="CK67" s="1490">
        <f>IF(Assumptions!CK96&lt;&gt;"",Assumptions!CK96,0)</f>
        <v>0</v>
      </c>
      <c r="CL67" s="1485">
        <f t="shared" si="273"/>
        <v>0</v>
      </c>
      <c r="CM67" s="1488">
        <f>IF(Assumptions!CM96&lt;&gt;"",Assumptions!CM96,0)</f>
        <v>0</v>
      </c>
      <c r="CN67" s="1490">
        <f>IF(Assumptions!CN96&lt;&gt;"",Assumptions!CN96,0)</f>
        <v>0</v>
      </c>
      <c r="CO67" s="1485">
        <f t="shared" si="274"/>
        <v>0</v>
      </c>
      <c r="CP67" s="1488">
        <f>IF(Assumptions!CP96&lt;&gt;"",Assumptions!CP96,0)</f>
        <v>0</v>
      </c>
      <c r="CQ67" s="1490">
        <f>IF(Assumptions!CQ96&lt;&gt;"",Assumptions!CQ96,0)</f>
        <v>0</v>
      </c>
      <c r="CR67" s="1485">
        <f t="shared" si="275"/>
        <v>0</v>
      </c>
      <c r="CS67" s="1488">
        <f>IF(Assumptions!CS96&lt;&gt;"",Assumptions!CS96,0)</f>
        <v>0</v>
      </c>
      <c r="CT67" s="1490">
        <f>IF(Assumptions!CT96&lt;&gt;"",Assumptions!CT96,0)</f>
        <v>0</v>
      </c>
      <c r="CU67" s="1485">
        <f t="shared" si="276"/>
        <v>0</v>
      </c>
      <c r="CV67" s="1488">
        <f>IF(Assumptions!CV96&lt;&gt;"",Assumptions!CV96,0)</f>
        <v>0</v>
      </c>
      <c r="CW67" s="1490">
        <f>IF(Assumptions!CW96&lt;&gt;"",Assumptions!CW96,0)</f>
        <v>0</v>
      </c>
      <c r="CX67" s="1485">
        <f t="shared" si="277"/>
        <v>0</v>
      </c>
      <c r="CY67" s="1488">
        <f>IF(Assumptions!CY96&lt;&gt;"",Assumptions!CY96,0)</f>
        <v>0</v>
      </c>
      <c r="CZ67" s="1490">
        <f>IF(Assumptions!CZ96&lt;&gt;"",Assumptions!CZ96,0)</f>
        <v>0</v>
      </c>
      <c r="DA67" s="1485">
        <f t="shared" si="278"/>
        <v>0</v>
      </c>
      <c r="DB67" s="1488">
        <f>IF(Assumptions!DB96&lt;&gt;"",Assumptions!DB96,0)</f>
        <v>0</v>
      </c>
      <c r="DC67" s="1490">
        <f>IF(Assumptions!DC96&lt;&gt;"",Assumptions!DC96,0)</f>
        <v>0</v>
      </c>
      <c r="DD67" s="1485">
        <f t="shared" si="279"/>
        <v>0</v>
      </c>
      <c r="DE67" s="1488">
        <f>IF(Assumptions!DE96&lt;&gt;"",Assumptions!DE96,0)</f>
        <v>0</v>
      </c>
      <c r="DF67" s="1490">
        <f>IF(Assumptions!DF96&lt;&gt;"",Assumptions!DF96,0)</f>
        <v>0</v>
      </c>
      <c r="DG67" s="1485">
        <f t="shared" si="280"/>
        <v>0</v>
      </c>
      <c r="DH67" s="1543">
        <f>IF(Assumptions!DH96&lt;&gt;"",Assumptions!DH96,0)</f>
        <v>0</v>
      </c>
      <c r="DI67" s="1485">
        <f>IF(Assumptions!DI96&lt;&gt;"",Assumptions!DI96,0)</f>
        <v>0</v>
      </c>
      <c r="DJ67" s="1485">
        <f t="shared" si="281"/>
        <v>0</v>
      </c>
      <c r="DK67" s="1486">
        <f>IF(Assumptions!DK96&lt;&gt;"",Assumptions!DK96,0)</f>
        <v>0</v>
      </c>
      <c r="DL67" s="1485">
        <f>IF(Assumptions!DL96&lt;&gt;"",Assumptions!DL96,0)</f>
        <v>0</v>
      </c>
      <c r="DM67" s="1485">
        <f t="shared" si="282"/>
        <v>0</v>
      </c>
      <c r="DN67" s="1486">
        <f>IF(Assumptions!DN96&lt;&gt;"",Assumptions!DN96,0)</f>
        <v>0</v>
      </c>
      <c r="DO67" s="1485">
        <f>IF(Assumptions!DO96&lt;&gt;"",Assumptions!DO96,0)</f>
        <v>0</v>
      </c>
      <c r="DP67" s="1485">
        <f t="shared" si="283"/>
        <v>0</v>
      </c>
      <c r="DQ67" s="1486">
        <f>IF(Assumptions!DQ96&lt;&gt;"",Assumptions!DQ96,0)</f>
        <v>0</v>
      </c>
      <c r="DR67" s="1485">
        <f>IF(Assumptions!DR96&lt;&gt;"",Assumptions!DR96,0)</f>
        <v>0</v>
      </c>
      <c r="DS67" s="1485">
        <f t="shared" si="284"/>
        <v>0</v>
      </c>
      <c r="DT67" s="1486">
        <f>IF(Assumptions!DT96&lt;&gt;"",Assumptions!DT96,0)</f>
        <v>0</v>
      </c>
      <c r="DU67" s="1485">
        <f>IF(Assumptions!DU96&lt;&gt;"",Assumptions!DU96,0)</f>
        <v>0</v>
      </c>
      <c r="DV67" s="1485">
        <f t="shared" si="285"/>
        <v>0</v>
      </c>
      <c r="DW67" s="1486">
        <f>IF(Assumptions!DW96&lt;&gt;"",Assumptions!DW96,0)</f>
        <v>0</v>
      </c>
      <c r="DX67" s="1485">
        <f>IF(Assumptions!DX96&lt;&gt;"",Assumptions!DX96,0)</f>
        <v>0</v>
      </c>
      <c r="DY67" s="1485">
        <f t="shared" si="286"/>
        <v>0</v>
      </c>
      <c r="DZ67" s="1486">
        <f>IF(Assumptions!DZ96&lt;&gt;"",Assumptions!DZ96,0)</f>
        <v>0</v>
      </c>
      <c r="EA67" s="1485">
        <f>IF(Assumptions!EA96&lt;&gt;"",Assumptions!EA96,0)</f>
        <v>0</v>
      </c>
      <c r="EB67" s="1485">
        <f t="shared" si="287"/>
        <v>0</v>
      </c>
      <c r="EC67" s="1486">
        <f>IF(Assumptions!EC96&lt;&gt;"",Assumptions!EC96,0)</f>
        <v>0</v>
      </c>
      <c r="ED67" s="1485">
        <f>IF(Assumptions!ED96&lt;&gt;"",Assumptions!ED96,0)</f>
        <v>0</v>
      </c>
      <c r="EE67" s="1485">
        <f t="shared" si="288"/>
        <v>0</v>
      </c>
      <c r="EF67" s="1486">
        <f>IF(Assumptions!EF96&lt;&gt;"",Assumptions!EF96,0)</f>
        <v>0</v>
      </c>
      <c r="EG67" s="1485">
        <f>IF(Assumptions!EG96&lt;&gt;"",Assumptions!EG96,0)</f>
        <v>0</v>
      </c>
      <c r="EH67" s="1485">
        <f t="shared" si="289"/>
        <v>0</v>
      </c>
      <c r="EI67" s="1486">
        <f>IF(Assumptions!EI96&lt;&gt;"",Assumptions!EI96,0)</f>
        <v>0</v>
      </c>
      <c r="EJ67" s="1485">
        <f>IF(Assumptions!EJ96&lt;&gt;"",Assumptions!EJ96,0)</f>
        <v>0</v>
      </c>
      <c r="EK67" s="1485">
        <f t="shared" si="290"/>
        <v>0</v>
      </c>
      <c r="EL67" s="1486">
        <f>IF(Assumptions!EL96&lt;&gt;"",Assumptions!EL96,0)</f>
        <v>0</v>
      </c>
      <c r="EM67" s="1485">
        <f>IF(Assumptions!EM96&lt;&gt;"",Assumptions!EM96,0)</f>
        <v>0</v>
      </c>
      <c r="EN67" s="1485">
        <f t="shared" si="291"/>
        <v>0</v>
      </c>
      <c r="EO67" s="1486">
        <f>IF(Assumptions!EO96&lt;&gt;"",Assumptions!EO96,0)</f>
        <v>0</v>
      </c>
      <c r="EP67" s="1485">
        <f>IF(Assumptions!EP96&lt;&gt;"",Assumptions!EP96,0)</f>
        <v>0</v>
      </c>
      <c r="EQ67" s="1485">
        <f t="shared" si="292"/>
        <v>0</v>
      </c>
      <c r="ER67" s="1486">
        <f>IF(Assumptions!ER96&lt;&gt;"",Assumptions!ER96,0)</f>
        <v>0</v>
      </c>
      <c r="ES67" s="1485">
        <f>IF(Assumptions!ES96&lt;&gt;"",Assumptions!ES96,0)</f>
        <v>0</v>
      </c>
      <c r="ET67" s="1485">
        <f t="shared" si="293"/>
        <v>0</v>
      </c>
      <c r="EU67" s="1486">
        <f>IF(Assumptions!EU96&lt;&gt;"",Assumptions!EU96,0)</f>
        <v>0</v>
      </c>
      <c r="EV67" s="1485">
        <f>IF(Assumptions!EV96&lt;&gt;"",Assumptions!EV96,0)</f>
        <v>0</v>
      </c>
      <c r="EW67" s="1485">
        <f t="shared" si="294"/>
        <v>0</v>
      </c>
      <c r="EX67" s="1486">
        <f>IF(Assumptions!EX96&lt;&gt;"",Assumptions!EX96,0)</f>
        <v>0</v>
      </c>
      <c r="EY67" s="1485">
        <f>IF(Assumptions!EY96&lt;&gt;"",Assumptions!EY96,0)</f>
        <v>0</v>
      </c>
      <c r="EZ67" s="1485">
        <f t="shared" si="295"/>
        <v>0</v>
      </c>
      <c r="FA67" s="1486">
        <f>IF(Assumptions!FA96&lt;&gt;"",Assumptions!FA96,0)</f>
        <v>0</v>
      </c>
      <c r="FE67"/>
      <c r="FF67"/>
      <c r="FG67"/>
      <c r="FH67"/>
      <c r="FI67"/>
      <c r="FJ67"/>
      <c r="FK67" s="35"/>
    </row>
    <row r="68" spans="1:167" s="236" customFormat="1" ht="13.35" customHeight="1" outlineLevel="1">
      <c r="B68" s="242" t="s">
        <v>687</v>
      </c>
      <c r="C68" s="242" t="s">
        <v>496</v>
      </c>
      <c r="D68" s="243"/>
      <c r="E68" s="534">
        <f>+E72+E70</f>
        <v>0</v>
      </c>
      <c r="F68" s="482">
        <f t="shared" si="245"/>
        <v>0</v>
      </c>
      <c r="G68" s="534">
        <f>+G72+G70</f>
        <v>0</v>
      </c>
      <c r="H68" s="534">
        <f>+H72+H70</f>
        <v>0</v>
      </c>
      <c r="I68" s="482">
        <f t="shared" si="246"/>
        <v>0</v>
      </c>
      <c r="J68" s="534">
        <f>+J72+J70</f>
        <v>0</v>
      </c>
      <c r="K68" s="534">
        <f>+K72+K70</f>
        <v>0</v>
      </c>
      <c r="L68" s="482">
        <f t="shared" si="247"/>
        <v>0</v>
      </c>
      <c r="M68" s="534">
        <f>+M72+M70</f>
        <v>0</v>
      </c>
      <c r="N68" s="534">
        <f>+N72+N70</f>
        <v>0</v>
      </c>
      <c r="O68" s="482">
        <f t="shared" si="248"/>
        <v>0</v>
      </c>
      <c r="P68" s="534">
        <f>+P72+P70</f>
        <v>0</v>
      </c>
      <c r="Q68" s="534">
        <f>+Q72+Q70</f>
        <v>0</v>
      </c>
      <c r="R68" s="482">
        <f t="shared" si="249"/>
        <v>0</v>
      </c>
      <c r="S68" s="534">
        <f>+S72+S70</f>
        <v>0</v>
      </c>
      <c r="T68" s="534">
        <f>+T72+T70</f>
        <v>0</v>
      </c>
      <c r="U68" s="482">
        <f t="shared" si="250"/>
        <v>0</v>
      </c>
      <c r="V68" s="534">
        <f>+V72+V70</f>
        <v>0</v>
      </c>
      <c r="W68" s="534">
        <f>+W72+W70</f>
        <v>0</v>
      </c>
      <c r="X68" s="482">
        <f t="shared" si="251"/>
        <v>0</v>
      </c>
      <c r="Y68" s="534">
        <f>+Y72+Y70</f>
        <v>0</v>
      </c>
      <c r="Z68" s="534">
        <f>+Z72+Z70</f>
        <v>0</v>
      </c>
      <c r="AA68" s="482">
        <f t="shared" si="252"/>
        <v>0</v>
      </c>
      <c r="AB68" s="534">
        <f>+AB72+AB70</f>
        <v>0</v>
      </c>
      <c r="AC68" s="534">
        <f>+AC72+AC70</f>
        <v>0</v>
      </c>
      <c r="AD68" s="482">
        <f t="shared" si="253"/>
        <v>0</v>
      </c>
      <c r="AE68" s="534">
        <f>+AE72+AE70</f>
        <v>0</v>
      </c>
      <c r="AF68" s="534">
        <f>+AF72+AF70</f>
        <v>0</v>
      </c>
      <c r="AG68" s="482">
        <f t="shared" si="254"/>
        <v>0</v>
      </c>
      <c r="AH68" s="534">
        <f>+AH72+AH70</f>
        <v>0</v>
      </c>
      <c r="AI68" s="534">
        <f>+AI72+AI70</f>
        <v>5.1360000000000001</v>
      </c>
      <c r="AJ68" s="482">
        <f t="shared" si="255"/>
        <v>7.1889999999999992</v>
      </c>
      <c r="AK68" s="534">
        <f>+AK72+AK70</f>
        <v>12.324999999999999</v>
      </c>
      <c r="AL68" s="534">
        <f>+AL72+AL70</f>
        <v>6.2679999999999998</v>
      </c>
      <c r="AM68" s="482">
        <f t="shared" si="256"/>
        <v>7.03</v>
      </c>
      <c r="AN68" s="534">
        <f>+AN72+AN70</f>
        <v>13.298</v>
      </c>
      <c r="AO68" s="534">
        <f>+AO72+AO70</f>
        <v>5.74</v>
      </c>
      <c r="AP68" s="482">
        <f t="shared" si="257"/>
        <v>8.5440000000000005</v>
      </c>
      <c r="AQ68" s="534">
        <f>+AQ72+AQ70</f>
        <v>14.284000000000001</v>
      </c>
      <c r="AR68" s="534">
        <f>+AR72+AR70</f>
        <v>7.3869999999999996</v>
      </c>
      <c r="AS68" s="482">
        <f t="shared" si="258"/>
        <v>10.089000000000002</v>
      </c>
      <c r="AT68" s="534">
        <f>+AT72+AT70</f>
        <v>17.476000000000003</v>
      </c>
      <c r="AU68" s="534">
        <f>+AU72+AU70</f>
        <v>9.1419999999999995</v>
      </c>
      <c r="AV68" s="482">
        <f t="shared" si="259"/>
        <v>13.940999999999999</v>
      </c>
      <c r="AW68" s="534">
        <f>+AW72+AW70</f>
        <v>23.082999999999998</v>
      </c>
      <c r="AX68" s="534">
        <f>+AX72+AX70</f>
        <v>15.675000000000001</v>
      </c>
      <c r="AY68" s="482">
        <f t="shared" si="260"/>
        <v>19.093999999999998</v>
      </c>
      <c r="AZ68" s="534">
        <f>+AZ72+AZ70</f>
        <v>34.768999999999998</v>
      </c>
      <c r="BA68" s="534">
        <f>+BA72+BA70</f>
        <v>23.153000000000002</v>
      </c>
      <c r="BB68" s="482">
        <f t="shared" si="261"/>
        <v>22.359999999999996</v>
      </c>
      <c r="BC68" s="534">
        <f>+BC72+BC70</f>
        <v>45.512999999999998</v>
      </c>
      <c r="BD68" s="534">
        <f>+BD72+BD70</f>
        <v>25.95</v>
      </c>
      <c r="BE68" s="482">
        <f t="shared" si="262"/>
        <v>29.040000000000003</v>
      </c>
      <c r="BF68" s="534">
        <f>+BF72+BF70</f>
        <v>54.99</v>
      </c>
      <c r="BG68" s="534">
        <f>+BG72+BG70</f>
        <v>36.327999999999996</v>
      </c>
      <c r="BH68" s="482">
        <f t="shared" si="263"/>
        <v>43.821000000000005</v>
      </c>
      <c r="BI68" s="534">
        <f>+BI72+BI70</f>
        <v>80.149000000000001</v>
      </c>
      <c r="BJ68" s="534">
        <f>+BJ72+BJ70</f>
        <v>35.577999999999996</v>
      </c>
      <c r="BK68" s="482">
        <f t="shared" si="264"/>
        <v>9.8830000000000098</v>
      </c>
      <c r="BL68" s="534">
        <f>+BL72+BL70</f>
        <v>45.461000000000006</v>
      </c>
      <c r="BM68" s="534">
        <f>+BM72+BM70</f>
        <v>40.463000000000001</v>
      </c>
      <c r="BN68" s="482">
        <f t="shared" si="265"/>
        <v>42.071999999999996</v>
      </c>
      <c r="BO68" s="534">
        <f>+BO72+BO70</f>
        <v>82.534999999999997</v>
      </c>
      <c r="BP68" s="534">
        <f>+BP72+BP70</f>
        <v>62.129999999999995</v>
      </c>
      <c r="BQ68" s="482">
        <f t="shared" si="266"/>
        <v>46.367000000000004</v>
      </c>
      <c r="BR68" s="534">
        <f>+BR72+BR70</f>
        <v>108.497</v>
      </c>
      <c r="BS68" s="534">
        <f>+BS72+BS70</f>
        <v>75.983000000000004</v>
      </c>
      <c r="BT68" s="482">
        <f t="shared" si="267"/>
        <v>77.597999999999985</v>
      </c>
      <c r="BU68" s="534">
        <f>+BU72+BU70</f>
        <v>153.58099999999999</v>
      </c>
      <c r="BV68" s="534">
        <f>+BV72+BV70</f>
        <v>84.701000000000008</v>
      </c>
      <c r="BW68" s="482">
        <f t="shared" si="268"/>
        <v>82.628</v>
      </c>
      <c r="BX68" s="534">
        <f>+BX72+BX70</f>
        <v>167.32900000000001</v>
      </c>
      <c r="BY68" s="534">
        <f>+BY72+BY70</f>
        <v>89.436999999999998</v>
      </c>
      <c r="BZ68" s="482">
        <f t="shared" si="269"/>
        <v>85.208000000000013</v>
      </c>
      <c r="CA68" s="534">
        <f>+CA72+CA70</f>
        <v>174.64500000000001</v>
      </c>
      <c r="CB68" s="534">
        <f>+CB72+CB70</f>
        <v>103.13800000000001</v>
      </c>
      <c r="CC68" s="482">
        <f t="shared" si="270"/>
        <v>116.214</v>
      </c>
      <c r="CD68" s="534">
        <f>+CD72+CD70</f>
        <v>219.352</v>
      </c>
      <c r="CE68" s="534">
        <f>+CE72+CE70</f>
        <v>112.30900000000001</v>
      </c>
      <c r="CF68" s="482">
        <f t="shared" si="271"/>
        <v>127.88599999999998</v>
      </c>
      <c r="CG68" s="534">
        <f>+CG72+CG70</f>
        <v>240.19499999999999</v>
      </c>
      <c r="CH68" s="534">
        <f>+CH72+CH70</f>
        <v>108.67399999999999</v>
      </c>
      <c r="CI68" s="482">
        <f t="shared" si="272"/>
        <v>106.61300000000001</v>
      </c>
      <c r="CJ68" s="534">
        <f>+CJ72+CJ70</f>
        <v>215.28700000000001</v>
      </c>
      <c r="CK68" s="534">
        <f>+CK72+CK70</f>
        <v>108.301</v>
      </c>
      <c r="CL68" s="482">
        <f t="shared" si="273"/>
        <v>70.559000000000012</v>
      </c>
      <c r="CM68" s="534">
        <f>+CM72+CM70</f>
        <v>178.86</v>
      </c>
      <c r="CN68" s="534">
        <f>+CN72+CN70</f>
        <v>49.424999999999997</v>
      </c>
      <c r="CO68" s="482">
        <f t="shared" si="274"/>
        <v>100.211</v>
      </c>
      <c r="CP68" s="534">
        <f>+CP72+CP70</f>
        <v>149.636</v>
      </c>
      <c r="CQ68" s="534">
        <f>+CQ72+CQ70</f>
        <v>100.45802269032488</v>
      </c>
      <c r="CR68" s="482">
        <f t="shared" si="275"/>
        <v>105.92413980967511</v>
      </c>
      <c r="CS68" s="534">
        <f>+CS72+CS70</f>
        <v>206.38216249999999</v>
      </c>
      <c r="CT68" s="534">
        <f>+CT72+CT70</f>
        <v>130.96700000000001</v>
      </c>
      <c r="CU68" s="482">
        <f t="shared" si="276"/>
        <v>131.63699999999997</v>
      </c>
      <c r="CV68" s="534">
        <f>+CV72+CV70</f>
        <v>262.60399999999998</v>
      </c>
      <c r="CW68" s="534">
        <f>+CW72+CW70</f>
        <v>156.39699999999999</v>
      </c>
      <c r="CX68" s="482">
        <f t="shared" si="277"/>
        <v>159.29908879999999</v>
      </c>
      <c r="CY68" s="534">
        <f>+CY72+CY70</f>
        <v>315.69608879999998</v>
      </c>
      <c r="CZ68" s="534">
        <f>+CZ72+CZ70</f>
        <v>160.33557919999998</v>
      </c>
      <c r="DA68" s="482">
        <f t="shared" si="278"/>
        <v>188.06442079999999</v>
      </c>
      <c r="DB68" s="534">
        <f>+DB72+DB70</f>
        <v>348.4</v>
      </c>
      <c r="DC68" s="534">
        <f>+DC72+DC70</f>
        <v>177</v>
      </c>
      <c r="DD68" s="482">
        <f t="shared" si="279"/>
        <v>182.29950000000002</v>
      </c>
      <c r="DE68" s="534">
        <f>+DE72+DE70</f>
        <v>359.29950000000002</v>
      </c>
      <c r="DF68" s="534">
        <f>+DF72+DF70</f>
        <v>183.70314803978934</v>
      </c>
      <c r="DG68" s="482">
        <f t="shared" si="280"/>
        <v>23.215136960210657</v>
      </c>
      <c r="DH68" s="1262">
        <f>+DH72+DH70</f>
        <v>206.918285</v>
      </c>
      <c r="DI68" s="534">
        <f>+DI72+DI70</f>
        <v>176</v>
      </c>
      <c r="DJ68" s="482">
        <f t="shared" si="281"/>
        <v>158.09999999999997</v>
      </c>
      <c r="DK68" s="1262">
        <f>+DK72+DK70</f>
        <v>334.09999999999997</v>
      </c>
      <c r="DL68" s="534">
        <f>+DL72+DL70</f>
        <v>223</v>
      </c>
      <c r="DM68" s="482">
        <f t="shared" si="282"/>
        <v>181.3</v>
      </c>
      <c r="DN68" s="1262">
        <f>+DN72+DN70</f>
        <v>404.3</v>
      </c>
      <c r="DO68" s="534">
        <f>+DO72+DO70</f>
        <v>203</v>
      </c>
      <c r="DP68" s="482">
        <f t="shared" si="283"/>
        <v>231.60000000000002</v>
      </c>
      <c r="DQ68" s="1262">
        <f>+DQ72+DQ70</f>
        <v>434.6</v>
      </c>
      <c r="DR68" s="534">
        <f>+DR72+DR70</f>
        <v>272.19999999999993</v>
      </c>
      <c r="DS68" s="482">
        <f t="shared" si="284"/>
        <v>262.90000000000009</v>
      </c>
      <c r="DT68" s="1262">
        <f>+DT72+DT70</f>
        <v>535.1</v>
      </c>
      <c r="DU68" s="534">
        <f>+DU72+DU70</f>
        <v>286.7</v>
      </c>
      <c r="DV68" s="482">
        <f t="shared" si="285"/>
        <v>267.3</v>
      </c>
      <c r="DW68" s="1262">
        <f>+DW72+DW70</f>
        <v>554</v>
      </c>
      <c r="DX68" s="534">
        <f>+DX72+DX70</f>
        <v>254.80000000000004</v>
      </c>
      <c r="DY68" s="482">
        <f t="shared" si="286"/>
        <v>295.38043729966989</v>
      </c>
      <c r="DZ68" s="1262">
        <f>+DZ72+DZ70</f>
        <v>550.18043729966996</v>
      </c>
      <c r="EA68" s="534">
        <f>+EA72+EA70</f>
        <v>315.19096870193118</v>
      </c>
      <c r="EB68" s="482">
        <f t="shared" si="287"/>
        <v>324.77792655630287</v>
      </c>
      <c r="EC68" s="1262">
        <f>+EC72+EC70</f>
        <v>639.96889525823406</v>
      </c>
      <c r="ED68" s="534">
        <f>+ED72+ED70</f>
        <v>352.34984349834582</v>
      </c>
      <c r="EE68" s="482">
        <f t="shared" si="288"/>
        <v>363.24901879550833</v>
      </c>
      <c r="EF68" s="1262">
        <f>+EF72+EF70</f>
        <v>715.59886229385415</v>
      </c>
      <c r="EG68" s="534">
        <f>+EG72+EG70</f>
        <v>390.6396417521421</v>
      </c>
      <c r="EH68" s="482">
        <f t="shared" si="289"/>
        <v>402.72322859641281</v>
      </c>
      <c r="EI68" s="1262">
        <f>+EI72+EI70</f>
        <v>793.36287034855491</v>
      </c>
      <c r="EJ68" s="534">
        <f>+EJ72+EJ70</f>
        <v>430.27868479074164</v>
      </c>
      <c r="EK68" s="482">
        <f t="shared" si="290"/>
        <v>443.58841913205663</v>
      </c>
      <c r="EL68" s="1262">
        <f>+EL72+EL70</f>
        <v>873.86710392279826</v>
      </c>
      <c r="EM68" s="534">
        <f>+EM72+EM70</f>
        <v>470.95768964438366</v>
      </c>
      <c r="EN68" s="482">
        <f t="shared" si="291"/>
        <v>485.52574043735899</v>
      </c>
      <c r="EO68" s="1262">
        <f>+EO72+EO70</f>
        <v>956.48343008174265</v>
      </c>
      <c r="EP68" s="534">
        <f>+EP72+EP70</f>
        <v>513.34388171237811</v>
      </c>
      <c r="EQ68" s="482">
        <f t="shared" si="292"/>
        <v>529.22305707672149</v>
      </c>
      <c r="ER68" s="1262">
        <f>+ER72+ER70</f>
        <v>1042.5669387890996</v>
      </c>
      <c r="ES68" s="534">
        <f>+ES72+ES70</f>
        <v>559.54483106649229</v>
      </c>
      <c r="ET68" s="482">
        <f t="shared" si="293"/>
        <v>576.85313221362651</v>
      </c>
      <c r="EU68" s="1262">
        <f>+EU72+EU70</f>
        <v>1136.3979632801188</v>
      </c>
      <c r="EV68" s="534">
        <f>+EV72+EV70</f>
        <v>609.90386586247655</v>
      </c>
      <c r="EW68" s="482">
        <f t="shared" si="294"/>
        <v>628.76991411285303</v>
      </c>
      <c r="EX68" s="1262">
        <f>+EX72+EX70</f>
        <v>1238.6737799753296</v>
      </c>
      <c r="EY68" s="534">
        <f>+EY72+EY70</f>
        <v>664.79521379009941</v>
      </c>
      <c r="EZ68" s="482">
        <f t="shared" si="295"/>
        <v>685.35920638300956</v>
      </c>
      <c r="FA68" s="1262">
        <f>+FA72+FA70</f>
        <v>1350.154420173109</v>
      </c>
      <c r="FE68"/>
      <c r="FF68"/>
      <c r="FG68"/>
      <c r="FH68"/>
      <c r="FI68"/>
      <c r="FJ68"/>
      <c r="FK68" s="35"/>
    </row>
    <row r="69" spans="1:167" s="236" customFormat="1" ht="13.35" customHeight="1" outlineLevel="1" thickBot="1">
      <c r="B69" s="447" t="s">
        <v>688</v>
      </c>
      <c r="C69" s="545" t="s">
        <v>460</v>
      </c>
      <c r="D69" s="546"/>
      <c r="E69" s="547"/>
      <c r="F69" s="547"/>
      <c r="G69" s="547"/>
      <c r="H69" s="547"/>
      <c r="I69" s="547"/>
      <c r="J69" s="547"/>
      <c r="K69" s="547"/>
      <c r="L69" s="547"/>
      <c r="M69" s="547"/>
      <c r="N69" s="547"/>
      <c r="O69" s="547"/>
      <c r="P69" s="547"/>
      <c r="Q69" s="547"/>
      <c r="R69" s="547"/>
      <c r="S69" s="547"/>
      <c r="T69" s="547"/>
      <c r="U69" s="547"/>
      <c r="V69" s="547"/>
      <c r="W69" s="547"/>
      <c r="X69" s="547"/>
      <c r="Y69" s="547"/>
      <c r="Z69" s="547"/>
      <c r="AA69" s="547"/>
      <c r="AB69" s="547"/>
      <c r="AC69" s="547"/>
      <c r="AD69" s="547"/>
      <c r="AE69" s="547"/>
      <c r="AF69" s="547"/>
      <c r="AG69" s="547"/>
      <c r="AH69" s="547"/>
      <c r="AI69" s="547">
        <f t="shared" ref="AI69:AR69" si="296">+AI68/AI30</f>
        <v>0.15173717797211062</v>
      </c>
      <c r="AJ69" s="547">
        <f t="shared" si="296"/>
        <v>0.20709820528332318</v>
      </c>
      <c r="AK69" s="547">
        <f t="shared" si="296"/>
        <v>0.17976692288618892</v>
      </c>
      <c r="AL69" s="547">
        <f t="shared" si="296"/>
        <v>0.1714066943775979</v>
      </c>
      <c r="AM69" s="547">
        <f t="shared" si="296"/>
        <v>0.19688016355336485</v>
      </c>
      <c r="AN69" s="547">
        <f t="shared" si="296"/>
        <v>0.18399169837426493</v>
      </c>
      <c r="AO69" s="547">
        <f t="shared" si="296"/>
        <v>0.17243969117072733</v>
      </c>
      <c r="AP69" s="547">
        <f t="shared" si="296"/>
        <v>0.22119815668202766</v>
      </c>
      <c r="AQ69" s="547">
        <f t="shared" si="296"/>
        <v>0.19862889880828224</v>
      </c>
      <c r="AR69" s="547">
        <f t="shared" si="296"/>
        <v>0.17100328718922173</v>
      </c>
      <c r="AS69" s="547">
        <f t="shared" ref="AS69:BB69" si="297">+AS68/AS30</f>
        <v>0.20802061855670112</v>
      </c>
      <c r="AT69" s="547">
        <f t="shared" si="297"/>
        <v>0.1905821282906934</v>
      </c>
      <c r="AU69" s="547">
        <f t="shared" si="297"/>
        <v>0.14598003992015968</v>
      </c>
      <c r="AV69" s="547">
        <f t="shared" si="297"/>
        <v>0.21595204163826753</v>
      </c>
      <c r="AW69" s="547">
        <f t="shared" si="297"/>
        <v>0.18149723622239169</v>
      </c>
      <c r="AX69" s="547">
        <f t="shared" si="297"/>
        <v>0.23643247156776978</v>
      </c>
      <c r="AY69" s="547">
        <f t="shared" si="297"/>
        <v>0.2452350372463396</v>
      </c>
      <c r="AZ69" s="547">
        <f t="shared" si="297"/>
        <v>0.24118675342332718</v>
      </c>
      <c r="BA69" s="547">
        <f t="shared" si="297"/>
        <v>0.22433338500891406</v>
      </c>
      <c r="BB69" s="547">
        <f t="shared" si="297"/>
        <v>0.19126968512356396</v>
      </c>
      <c r="BC69" s="547">
        <f t="shared" ref="BC69:BO69" si="298">+BC68/BC30</f>
        <v>0.20677294637705521</v>
      </c>
      <c r="BD69" s="547">
        <f t="shared" si="298"/>
        <v>0.21609693134030061</v>
      </c>
      <c r="BE69" s="547">
        <f t="shared" si="298"/>
        <v>0.21334743894913158</v>
      </c>
      <c r="BF69" s="547">
        <f t="shared" si="298"/>
        <v>0.21463616457390874</v>
      </c>
      <c r="BG69" s="547">
        <f t="shared" si="298"/>
        <v>0.24776129582267686</v>
      </c>
      <c r="BH69" s="547">
        <f t="shared" si="298"/>
        <v>0.31438820533055928</v>
      </c>
      <c r="BI69" s="547">
        <f t="shared" si="298"/>
        <v>0.28023146043844621</v>
      </c>
      <c r="BJ69" s="547">
        <f t="shared" si="298"/>
        <v>0.29201070273642049</v>
      </c>
      <c r="BK69" s="547">
        <f t="shared" si="298"/>
        <v>7.7124774665803128E-2</v>
      </c>
      <c r="BL69" s="547">
        <f t="shared" si="298"/>
        <v>0.1818578211944108</v>
      </c>
      <c r="BM69" s="547">
        <f t="shared" si="298"/>
        <v>0.24497493521904437</v>
      </c>
      <c r="BN69" s="547">
        <f t="shared" si="298"/>
        <v>0.22890845185370579</v>
      </c>
      <c r="BO69" s="547">
        <f t="shared" si="298"/>
        <v>0.23651301272903377</v>
      </c>
      <c r="BP69" s="547">
        <f t="shared" ref="BP69:DK69" si="299">+BP68/BP30</f>
        <v>0.29302972033886304</v>
      </c>
      <c r="BQ69" s="547">
        <f t="shared" si="299"/>
        <v>0.1930078716274394</v>
      </c>
      <c r="BR69" s="547">
        <f t="shared" si="299"/>
        <v>0.2398996152655552</v>
      </c>
      <c r="BS69" s="547">
        <f t="shared" si="299"/>
        <v>0.28797976881541482</v>
      </c>
      <c r="BT69" s="547">
        <f t="shared" si="299"/>
        <v>0.28607674551301282</v>
      </c>
      <c r="BU69" s="547">
        <f t="shared" si="299"/>
        <v>0.28701509758035643</v>
      </c>
      <c r="BV69" s="547">
        <f t="shared" si="299"/>
        <v>0.29688199324163683</v>
      </c>
      <c r="BW69" s="547">
        <f t="shared" si="299"/>
        <v>0.2828624175018204</v>
      </c>
      <c r="BX69" s="547">
        <f t="shared" si="299"/>
        <v>0.28978951016107551</v>
      </c>
      <c r="BY69" s="547">
        <f t="shared" si="299"/>
        <v>0.26341102261379529</v>
      </c>
      <c r="BZ69" s="547">
        <f t="shared" si="299"/>
        <v>0.26165623279307476</v>
      </c>
      <c r="CA69" s="547">
        <f t="shared" si="299"/>
        <v>0.26255194288037165</v>
      </c>
      <c r="CB69" s="547">
        <f t="shared" si="299"/>
        <v>0.31087145723618498</v>
      </c>
      <c r="CC69" s="547">
        <f t="shared" si="299"/>
        <v>0.31162404099160573</v>
      </c>
      <c r="CD69" s="547">
        <f t="shared" si="299"/>
        <v>0.31126972726082824</v>
      </c>
      <c r="CE69" s="547">
        <f t="shared" si="299"/>
        <v>0.30968682823584748</v>
      </c>
      <c r="CF69" s="547">
        <f t="shared" si="299"/>
        <v>0.30518744023104299</v>
      </c>
      <c r="CG69" s="547">
        <f t="shared" si="299"/>
        <v>0.30727485296840223</v>
      </c>
      <c r="CH69" s="547">
        <f t="shared" si="299"/>
        <v>0.28951715372411019</v>
      </c>
      <c r="CI69" s="547">
        <f t="shared" si="299"/>
        <v>0.28179225388408852</v>
      </c>
      <c r="CJ69" s="547">
        <f t="shared" si="299"/>
        <v>0.28563945238664085</v>
      </c>
      <c r="CK69" s="547">
        <f t="shared" si="299"/>
        <v>0.28614183250864711</v>
      </c>
      <c r="CL69" s="547">
        <f t="shared" si="299"/>
        <v>0.20370212879181596</v>
      </c>
      <c r="CM69" s="547">
        <f t="shared" si="299"/>
        <v>0.24674757350634188</v>
      </c>
      <c r="CN69" s="547">
        <f t="shared" si="299"/>
        <v>0.13900377992065879</v>
      </c>
      <c r="CO69" s="547">
        <f t="shared" si="299"/>
        <v>0.24012555477629971</v>
      </c>
      <c r="CP69" s="547">
        <f t="shared" si="299"/>
        <v>0.19360497020479148</v>
      </c>
      <c r="CQ69" s="547">
        <f t="shared" si="299"/>
        <v>0.22917099579409533</v>
      </c>
      <c r="CR69" s="547">
        <f t="shared" si="299"/>
        <v>0.21738061630429459</v>
      </c>
      <c r="CS69" s="547">
        <f t="shared" si="299"/>
        <v>0.22296423567109502</v>
      </c>
      <c r="CT69" s="547">
        <f t="shared" si="299"/>
        <v>0.23467066105723994</v>
      </c>
      <c r="CU69" s="547">
        <f t="shared" si="299"/>
        <v>0.23062188148591592</v>
      </c>
      <c r="CV69" s="547">
        <f t="shared" si="299"/>
        <v>0.23262349142311639</v>
      </c>
      <c r="CW69" s="547">
        <f t="shared" si="299"/>
        <v>0.25675969007087091</v>
      </c>
      <c r="CX69" s="547">
        <f t="shared" si="299"/>
        <v>0.24707994958469279</v>
      </c>
      <c r="CY69" s="547">
        <f t="shared" si="299"/>
        <v>0.25178236945971316</v>
      </c>
      <c r="CZ69" s="547">
        <f t="shared" si="299"/>
        <v>0.25090282796324787</v>
      </c>
      <c r="DA69" s="547">
        <f t="shared" si="299"/>
        <v>0.26699493760284737</v>
      </c>
      <c r="DB69" s="547">
        <f t="shared" si="299"/>
        <v>0.25934022193933326</v>
      </c>
      <c r="DC69" s="547">
        <f t="shared" si="299"/>
        <v>0.25241091451767023</v>
      </c>
      <c r="DD69" s="547">
        <f t="shared" si="299"/>
        <v>0.25238053025105323</v>
      </c>
      <c r="DE69" s="547">
        <f t="shared" si="299"/>
        <v>0.25239549739324213</v>
      </c>
      <c r="DF69" s="547">
        <f t="shared" si="299"/>
        <v>0.24400592655473893</v>
      </c>
      <c r="DG69" s="547">
        <f t="shared" si="299"/>
        <v>4.0567151319664971E-2</v>
      </c>
      <c r="DH69" s="1266">
        <f t="shared" si="299"/>
        <v>0.15614967301446317</v>
      </c>
      <c r="DI69" s="547">
        <f t="shared" si="299"/>
        <v>0.23681377825618946</v>
      </c>
      <c r="DJ69" s="547">
        <f t="shared" si="299"/>
        <v>0.20957051961823961</v>
      </c>
      <c r="DK69" s="1266">
        <f t="shared" si="299"/>
        <v>0.22309027777777776</v>
      </c>
      <c r="DL69" s="547">
        <f t="shared" ref="DL69:DQ69" si="300">+DL68/DL30</f>
        <v>0.27171926404289021</v>
      </c>
      <c r="DM69" s="547">
        <f t="shared" si="300"/>
        <v>0.21906718221362981</v>
      </c>
      <c r="DN69" s="1266">
        <f t="shared" si="300"/>
        <v>0.24528301886792453</v>
      </c>
      <c r="DO69" s="547">
        <f t="shared" si="300"/>
        <v>0.22940445248050625</v>
      </c>
      <c r="DP69" s="547">
        <f t="shared" si="300"/>
        <v>0.22031963470319635</v>
      </c>
      <c r="DQ69" s="1266">
        <f t="shared" si="300"/>
        <v>0.22447187645266256</v>
      </c>
      <c r="DR69" s="547">
        <f t="shared" ref="DR69:DU69" si="301">+DR68/DR30</f>
        <v>0.24779244424214833</v>
      </c>
      <c r="DS69" s="547">
        <f t="shared" si="301"/>
        <v>0.2312021809867206</v>
      </c>
      <c r="DT69" s="1266">
        <f t="shared" si="301"/>
        <v>0.23935408838790478</v>
      </c>
      <c r="DU69" s="547">
        <f t="shared" si="301"/>
        <v>0.24464753517821636</v>
      </c>
      <c r="DV69" s="547">
        <f t="shared" ref="DV69:DX69" si="302">+DV68/DV30</f>
        <v>0.2282255103696178</v>
      </c>
      <c r="DW69" s="1266">
        <f t="shared" si="302"/>
        <v>0.23643890572318724</v>
      </c>
      <c r="DX69" s="547">
        <f t="shared" si="302"/>
        <v>0.2183002056202879</v>
      </c>
      <c r="DY69" s="547">
        <f t="shared" ref="DY69:EC69" si="303">+DY68/DY30</f>
        <v>0.22004399451721038</v>
      </c>
      <c r="DZ69" s="1266">
        <f t="shared" si="303"/>
        <v>0.21923295897215503</v>
      </c>
      <c r="EA69" s="547">
        <f t="shared" si="303"/>
        <v>0.22642046751196382</v>
      </c>
      <c r="EB69" s="547">
        <f t="shared" si="303"/>
        <v>0.22633413029160915</v>
      </c>
      <c r="EC69" s="1266">
        <f t="shared" si="303"/>
        <v>0.22637664399082022</v>
      </c>
      <c r="ED69" s="547">
        <f t="shared" ref="ED69:EL69" si="304">+ED68/ED30</f>
        <v>0.23353182982173157</v>
      </c>
      <c r="EE69" s="547">
        <f t="shared" si="304"/>
        <v>0.23353182982173146</v>
      </c>
      <c r="EF69" s="1266">
        <f t="shared" si="304"/>
        <v>0.23353182982173151</v>
      </c>
      <c r="EG69" s="547">
        <f t="shared" si="304"/>
        <v>0.23753182982173146</v>
      </c>
      <c r="EH69" s="547">
        <f t="shared" si="304"/>
        <v>0.23753182982173152</v>
      </c>
      <c r="EI69" s="1266">
        <f t="shared" si="304"/>
        <v>0.23753182982173149</v>
      </c>
      <c r="EJ69" s="547">
        <f t="shared" si="304"/>
        <v>0.24003182982173157</v>
      </c>
      <c r="EK69" s="547">
        <f t="shared" si="304"/>
        <v>0.24003182982173157</v>
      </c>
      <c r="EL69" s="1266">
        <f t="shared" si="304"/>
        <v>0.24003182982173157</v>
      </c>
      <c r="EM69" s="547">
        <f t="shared" ref="EM69:ER69" si="305">+EM68/EM30</f>
        <v>0.24103182982173155</v>
      </c>
      <c r="EN69" s="547">
        <f t="shared" si="305"/>
        <v>0.24103182982173144</v>
      </c>
      <c r="EO69" s="1266">
        <f t="shared" si="305"/>
        <v>0.24103182982173149</v>
      </c>
      <c r="EP69" s="547">
        <f t="shared" si="305"/>
        <v>0.24103182982173152</v>
      </c>
      <c r="EQ69" s="547">
        <f t="shared" si="305"/>
        <v>0.24103182982173152</v>
      </c>
      <c r="ER69" s="1266">
        <f t="shared" si="305"/>
        <v>0.24103182982173152</v>
      </c>
      <c r="ES69" s="547">
        <f t="shared" ref="ES69:EX69" si="306">+ES68/ES30</f>
        <v>0.24103182982173155</v>
      </c>
      <c r="ET69" s="547">
        <f t="shared" si="306"/>
        <v>0.24103182982173152</v>
      </c>
      <c r="EU69" s="1266">
        <f t="shared" si="306"/>
        <v>0.24103182982173152</v>
      </c>
      <c r="EV69" s="547">
        <f t="shared" si="306"/>
        <v>0.24103182982173149</v>
      </c>
      <c r="EW69" s="547">
        <f t="shared" si="306"/>
        <v>0.24103182982173157</v>
      </c>
      <c r="EX69" s="1266">
        <f t="shared" si="306"/>
        <v>0.24103182982173152</v>
      </c>
      <c r="EY69" s="547">
        <f t="shared" ref="EY69:FA69" si="307">+EY68/EY30</f>
        <v>0.24103182982173149</v>
      </c>
      <c r="EZ69" s="547">
        <f t="shared" si="307"/>
        <v>0.24103182982173144</v>
      </c>
      <c r="FA69" s="1266">
        <f t="shared" si="307"/>
        <v>0.24103182982173146</v>
      </c>
      <c r="FE69"/>
      <c r="FF69"/>
      <c r="FG69"/>
      <c r="FH69"/>
      <c r="FI69"/>
      <c r="FJ69"/>
      <c r="FK69" s="35"/>
    </row>
    <row r="70" spans="1:167" s="236" customFormat="1" ht="13.35" customHeight="1" outlineLevel="1" thickBot="1">
      <c r="B70" s="242" t="s">
        <v>689</v>
      </c>
      <c r="C70" s="242" t="s">
        <v>496</v>
      </c>
      <c r="D70" s="243"/>
      <c r="E70" s="495"/>
      <c r="F70" s="510">
        <f>+G70-E70</f>
        <v>0</v>
      </c>
      <c r="G70" s="496"/>
      <c r="H70" s="497"/>
      <c r="I70" s="510">
        <f>+J70-H70</f>
        <v>0</v>
      </c>
      <c r="J70" s="496"/>
      <c r="K70" s="497"/>
      <c r="L70" s="510">
        <f>+M70-K70</f>
        <v>0</v>
      </c>
      <c r="M70" s="496"/>
      <c r="N70" s="497"/>
      <c r="O70" s="510">
        <f>+P70-N70</f>
        <v>0</v>
      </c>
      <c r="P70" s="496"/>
      <c r="Q70" s="497"/>
      <c r="R70" s="510">
        <f>+S70-Q70</f>
        <v>0</v>
      </c>
      <c r="S70" s="496"/>
      <c r="T70" s="497"/>
      <c r="U70" s="510">
        <f>+V70-T70</f>
        <v>0</v>
      </c>
      <c r="V70" s="496"/>
      <c r="W70" s="497"/>
      <c r="X70" s="510">
        <f>+Y70-W70</f>
        <v>0</v>
      </c>
      <c r="Y70" s="496"/>
      <c r="Z70" s="497"/>
      <c r="AA70" s="510">
        <f>+AB70-Z70</f>
        <v>0</v>
      </c>
      <c r="AB70" s="496"/>
      <c r="AC70" s="497"/>
      <c r="AD70" s="510">
        <f>+AE70-AC70</f>
        <v>0</v>
      </c>
      <c r="AE70" s="496"/>
      <c r="AF70" s="497"/>
      <c r="AG70" s="510">
        <f>+AH70-AF70</f>
        <v>0</v>
      </c>
      <c r="AH70" s="496"/>
      <c r="AI70" s="497"/>
      <c r="AJ70" s="510">
        <f>+AK70-AI70</f>
        <v>0</v>
      </c>
      <c r="AK70" s="499">
        <v>0</v>
      </c>
      <c r="AL70" s="497"/>
      <c r="AM70" s="510">
        <f>+AN70-AL70</f>
        <v>0</v>
      </c>
      <c r="AN70" s="499">
        <v>0</v>
      </c>
      <c r="AO70" s="497"/>
      <c r="AP70" s="510">
        <f>+AQ70-AO70</f>
        <v>0</v>
      </c>
      <c r="AQ70" s="499">
        <v>0</v>
      </c>
      <c r="AR70" s="497"/>
      <c r="AS70" s="510">
        <f>+AT70-AR70</f>
        <v>0</v>
      </c>
      <c r="AT70" s="507">
        <v>0</v>
      </c>
      <c r="AU70" s="505"/>
      <c r="AV70" s="510">
        <f>+AW70-AU70</f>
        <v>0</v>
      </c>
      <c r="AW70" s="507">
        <v>0</v>
      </c>
      <c r="AX70" s="506">
        <v>0</v>
      </c>
      <c r="AY70" s="510">
        <f>+AZ70-AX70</f>
        <v>0</v>
      </c>
      <c r="AZ70" s="507">
        <v>0</v>
      </c>
      <c r="BA70" s="506">
        <v>0</v>
      </c>
      <c r="BB70" s="510">
        <f>+BC70-BA70</f>
        <v>0</v>
      </c>
      <c r="BC70" s="507">
        <v>0</v>
      </c>
      <c r="BD70" s="505">
        <f>IF(Assumptions!BD69&lt;&gt;"",Assumptions!BD69,0)</f>
        <v>0</v>
      </c>
      <c r="BE70" s="510">
        <f>+BF70-BD70</f>
        <v>0</v>
      </c>
      <c r="BF70" s="504">
        <f>IF(Assumptions!BF69&lt;&gt;"",Assumptions!BF69,0)</f>
        <v>0</v>
      </c>
      <c r="BG70" s="505">
        <f>IF(Assumptions!BG69&lt;&gt;"",Assumptions!BG69,0)</f>
        <v>0</v>
      </c>
      <c r="BH70" s="510">
        <f>+BI70-BG70</f>
        <v>0</v>
      </c>
      <c r="BI70" s="504">
        <f>IF(Assumptions!BI69&lt;&gt;"",Assumptions!BI69,0)</f>
        <v>0</v>
      </c>
      <c r="BJ70" s="505">
        <f>IF(Assumptions!BJ69&lt;&gt;"",Assumptions!BJ69,0)</f>
        <v>0</v>
      </c>
      <c r="BK70" s="510">
        <f>+BL70-BJ70</f>
        <v>0</v>
      </c>
      <c r="BL70" s="504">
        <f>IF(Assumptions!BL69&lt;&gt;"",Assumptions!BL69,0)</f>
        <v>0</v>
      </c>
      <c r="BM70" s="506">
        <v>0</v>
      </c>
      <c r="BN70" s="510">
        <f>+BO70-BM70</f>
        <v>0</v>
      </c>
      <c r="BO70" s="508">
        <v>0</v>
      </c>
      <c r="BP70" s="505">
        <f>IF(Assumptions!BP69&lt;&gt;"",Assumptions!BP69,0)</f>
        <v>0</v>
      </c>
      <c r="BQ70" s="510">
        <f>+BR70-BP70</f>
        <v>0</v>
      </c>
      <c r="BR70" s="503">
        <f>IF(Assumptions!BR69&lt;&gt;"",Assumptions!BR69,0)</f>
        <v>0</v>
      </c>
      <c r="BS70" s="505">
        <f>IF(Assumptions!BS69&lt;&gt;"",Assumptions!BS69,0)</f>
        <v>0</v>
      </c>
      <c r="BT70" s="510">
        <f>+BU70-BS70</f>
        <v>0</v>
      </c>
      <c r="BU70" s="503">
        <f>IF(Assumptions!BU69&lt;&gt;"",Assumptions!BU69,0)</f>
        <v>0</v>
      </c>
      <c r="BV70" s="505">
        <f>IF(Assumptions!BV69&lt;&gt;"",Assumptions!BV69,0)</f>
        <v>0</v>
      </c>
      <c r="BW70" s="510">
        <f>+BX70-BV70</f>
        <v>0</v>
      </c>
      <c r="BX70" s="503">
        <f>IF(Assumptions!BX69&lt;&gt;"",Assumptions!BX69,0)</f>
        <v>0</v>
      </c>
      <c r="BY70" s="505">
        <f>IF(Assumptions!BY69&lt;&gt;"",Assumptions!BY69,0)</f>
        <v>0</v>
      </c>
      <c r="BZ70" s="510">
        <f>+CA70-BY70</f>
        <v>0</v>
      </c>
      <c r="CA70" s="503">
        <f>IF(Assumptions!CA69&lt;&gt;"",Assumptions!CA69,0)</f>
        <v>0</v>
      </c>
      <c r="CB70" s="505">
        <f>IF(Assumptions!CB69&lt;&gt;"",Assumptions!CB69,0)</f>
        <v>0</v>
      </c>
      <c r="CC70" s="510">
        <f>+CD70-CB70</f>
        <v>0</v>
      </c>
      <c r="CD70" s="503">
        <f>IF(Assumptions!CD69&lt;&gt;"",Assumptions!CD69,0)</f>
        <v>0</v>
      </c>
      <c r="CE70" s="505">
        <f>IF(Assumptions!CE69&lt;&gt;"",Assumptions!CE69,0)</f>
        <v>0</v>
      </c>
      <c r="CF70" s="510">
        <f>+CG70-CE70</f>
        <v>0</v>
      </c>
      <c r="CG70" s="503">
        <f>IF(Assumptions!CG69&lt;&gt;"",Assumptions!CG69,0)</f>
        <v>0</v>
      </c>
      <c r="CH70" s="505">
        <f>IF(Assumptions!CH69&lt;&gt;"",Assumptions!CH69,0)</f>
        <v>0</v>
      </c>
      <c r="CI70" s="510">
        <f>+CJ70-CH70</f>
        <v>0</v>
      </c>
      <c r="CJ70" s="503">
        <f>IF(Assumptions!CJ69&lt;&gt;"",Assumptions!CJ69,0)</f>
        <v>0</v>
      </c>
      <c r="CK70" s="505">
        <f>IF(Assumptions!CK69&lt;&gt;"",Assumptions!CK69,0)</f>
        <v>0</v>
      </c>
      <c r="CL70" s="510">
        <f>+CM70-CK70</f>
        <v>0</v>
      </c>
      <c r="CM70" s="503">
        <f>IF(Assumptions!CM69&lt;&gt;"",Assumptions!CM69,0)</f>
        <v>0</v>
      </c>
      <c r="CN70" s="505">
        <f>IF(Assumptions!CN69&lt;&gt;"",Assumptions!CN69,0)</f>
        <v>0</v>
      </c>
      <c r="CO70" s="510">
        <f>+CP70-CN70</f>
        <v>0</v>
      </c>
      <c r="CP70" s="503">
        <f>IF(Assumptions!CP69&lt;&gt;"",Assumptions!CP69,0)</f>
        <v>0</v>
      </c>
      <c r="CQ70" s="505">
        <f>IF(Assumptions!CQ69&lt;&gt;"",Assumptions!CQ69,0)</f>
        <v>0</v>
      </c>
      <c r="CR70" s="510">
        <f>+CS70-CQ70</f>
        <v>0</v>
      </c>
      <c r="CS70" s="503">
        <f>IF(Assumptions!CS69&lt;&gt;"",Assumptions!CS69,0)</f>
        <v>0</v>
      </c>
      <c r="CT70" s="505">
        <f>IF(Assumptions!CT69&lt;&gt;"",Assumptions!CT69,0)</f>
        <v>0</v>
      </c>
      <c r="CU70" s="510">
        <f>+CV70-CT70</f>
        <v>0</v>
      </c>
      <c r="CV70" s="503">
        <f>IF(Assumptions!CV69&lt;&gt;"",Assumptions!CV69,0)</f>
        <v>0</v>
      </c>
      <c r="CW70" s="505">
        <f>IF(Assumptions!CW69&lt;&gt;"",Assumptions!CW69,0)</f>
        <v>0</v>
      </c>
      <c r="CX70" s="510">
        <f>+CY70-CW70</f>
        <v>0</v>
      </c>
      <c r="CY70" s="503">
        <f>IF(Assumptions!CY69&lt;&gt;"",Assumptions!CY69,0)</f>
        <v>0</v>
      </c>
      <c r="CZ70" s="505">
        <f>IF(Assumptions!CZ69&lt;&gt;"",Assumptions!CZ69,0)</f>
        <v>0</v>
      </c>
      <c r="DA70" s="510">
        <f>+DB70-CZ70</f>
        <v>0</v>
      </c>
      <c r="DB70" s="503">
        <f>IF(Assumptions!DB69&lt;&gt;"",Assumptions!DB69,0)</f>
        <v>0</v>
      </c>
      <c r="DC70" s="505">
        <f>IF(Assumptions!DC69&lt;&gt;"",Assumptions!DC69,0)</f>
        <v>0</v>
      </c>
      <c r="DD70" s="510">
        <f>+DE70-DC70</f>
        <v>0</v>
      </c>
      <c r="DE70" s="503">
        <f>IF(Assumptions!DE69&lt;&gt;"",Assumptions!DE69,0)</f>
        <v>0</v>
      </c>
      <c r="DF70" s="505">
        <f>IF(Assumptions!DF69&lt;&gt;"",Assumptions!DF69,0)</f>
        <v>0</v>
      </c>
      <c r="DG70" s="510">
        <f>+DH70-DF70</f>
        <v>0</v>
      </c>
      <c r="DH70" s="1254">
        <f>IF(Assumptions!DH69&lt;&gt;"",Assumptions!DH69,0)</f>
        <v>0</v>
      </c>
      <c r="DI70" s="482">
        <f>IF(Assumptions!DI69&lt;&gt;"",Assumptions!DI69,0)</f>
        <v>0</v>
      </c>
      <c r="DJ70" s="482">
        <f>+DK70-DI70</f>
        <v>0</v>
      </c>
      <c r="DK70" s="1244">
        <f>IF(Assumptions!DK69&lt;&gt;"",Assumptions!DK69,0)</f>
        <v>0</v>
      </c>
      <c r="DL70" s="482">
        <f>IF(Assumptions!DL69&lt;&gt;"",Assumptions!DL69,0)</f>
        <v>0</v>
      </c>
      <c r="DM70" s="482">
        <f>+DN70-DL70</f>
        <v>0</v>
      </c>
      <c r="DN70" s="1244">
        <f>IF(Assumptions!DN69&lt;&gt;"",Assumptions!DN69,0)</f>
        <v>0</v>
      </c>
      <c r="DO70" s="482">
        <f>IF(Assumptions!DO69&lt;&gt;"",Assumptions!DO69,0)</f>
        <v>0</v>
      </c>
      <c r="DP70" s="482">
        <f>+DQ70-DO70</f>
        <v>0</v>
      </c>
      <c r="DQ70" s="1244">
        <f>IF(Assumptions!DQ69&lt;&gt;"",Assumptions!DQ69,0)</f>
        <v>0</v>
      </c>
      <c r="DR70" s="482">
        <f>IF(Assumptions!DR69&lt;&gt;"",Assumptions!DR69,0)</f>
        <v>0</v>
      </c>
      <c r="DS70" s="482">
        <f>+DT70-DR70</f>
        <v>0</v>
      </c>
      <c r="DT70" s="1244">
        <f>IF(Assumptions!DT69&lt;&gt;"",Assumptions!DT69,0)</f>
        <v>0</v>
      </c>
      <c r="DU70" s="482">
        <f>IF(Assumptions!DU69&lt;&gt;"",Assumptions!DU69,0)</f>
        <v>0</v>
      </c>
      <c r="DV70" s="482">
        <f>+DW70-DU70</f>
        <v>0</v>
      </c>
      <c r="DW70" s="1244">
        <f>IF(Assumptions!DW69&lt;&gt;"",Assumptions!DW69,0)</f>
        <v>0</v>
      </c>
      <c r="DX70" s="482">
        <f>IF(Assumptions!DX69&lt;&gt;"",Assumptions!DX69,0)</f>
        <v>0</v>
      </c>
      <c r="DY70" s="482">
        <f>+DZ70-DX70</f>
        <v>0</v>
      </c>
      <c r="DZ70" s="1244">
        <f>IF(Assumptions!DZ69&lt;&gt;"",Assumptions!DZ69,0)</f>
        <v>0</v>
      </c>
      <c r="EA70" s="482">
        <f>IF(Assumptions!EA69&lt;&gt;"",Assumptions!EA69,0)</f>
        <v>0</v>
      </c>
      <c r="EB70" s="482">
        <f>+EC70-EA70</f>
        <v>0</v>
      </c>
      <c r="EC70" s="1244">
        <f>IF(Assumptions!EC69&lt;&gt;"",Assumptions!EC69,0)</f>
        <v>0</v>
      </c>
      <c r="ED70" s="482">
        <f>IF(Assumptions!ED69&lt;&gt;"",Assumptions!ED69,0)</f>
        <v>0</v>
      </c>
      <c r="EE70" s="482">
        <f>+EF70-ED70</f>
        <v>0</v>
      </c>
      <c r="EF70" s="1244">
        <f>IF(Assumptions!EF69&lt;&gt;"",Assumptions!EF69,0)</f>
        <v>0</v>
      </c>
      <c r="EG70" s="482">
        <f>IF(Assumptions!EG69&lt;&gt;"",Assumptions!EG69,0)</f>
        <v>0</v>
      </c>
      <c r="EH70" s="482">
        <f>+EI70-EG70</f>
        <v>0</v>
      </c>
      <c r="EI70" s="1244">
        <f>IF(Assumptions!EI69&lt;&gt;"",Assumptions!EI69,0)</f>
        <v>0</v>
      </c>
      <c r="EJ70" s="482">
        <f>IF(Assumptions!EJ69&lt;&gt;"",Assumptions!EJ69,0)</f>
        <v>0</v>
      </c>
      <c r="EK70" s="482">
        <f>+EL70-EJ70</f>
        <v>0</v>
      </c>
      <c r="EL70" s="1244">
        <f>IF(Assumptions!EL69&lt;&gt;"",Assumptions!EL69,0)</f>
        <v>0</v>
      </c>
      <c r="EM70" s="482">
        <f>IF(Assumptions!EM69&lt;&gt;"",Assumptions!EM69,0)</f>
        <v>0</v>
      </c>
      <c r="EN70" s="482">
        <f>+EO70-EM70</f>
        <v>0</v>
      </c>
      <c r="EO70" s="1244">
        <f>IF(Assumptions!EO69&lt;&gt;"",Assumptions!EO69,0)</f>
        <v>0</v>
      </c>
      <c r="EP70" s="482">
        <f>IF(Assumptions!EP69&lt;&gt;"",Assumptions!EP69,0)</f>
        <v>0</v>
      </c>
      <c r="EQ70" s="482">
        <f>+ER70-EP70</f>
        <v>0</v>
      </c>
      <c r="ER70" s="1244">
        <f>IF(Assumptions!ER69&lt;&gt;"",Assumptions!ER69,0)</f>
        <v>0</v>
      </c>
      <c r="ES70" s="482">
        <f>IF(Assumptions!ES69&lt;&gt;"",Assumptions!ES69,0)</f>
        <v>0</v>
      </c>
      <c r="ET70" s="482">
        <f>+EU70-ES70</f>
        <v>0</v>
      </c>
      <c r="EU70" s="1244">
        <f>IF(Assumptions!EU69&lt;&gt;"",Assumptions!EU69,0)</f>
        <v>0</v>
      </c>
      <c r="EV70" s="482">
        <f>IF(Assumptions!EV69&lt;&gt;"",Assumptions!EV69,0)</f>
        <v>0</v>
      </c>
      <c r="EW70" s="482">
        <f>+EX70-EV70</f>
        <v>0</v>
      </c>
      <c r="EX70" s="1244">
        <f>IF(Assumptions!EX69&lt;&gt;"",Assumptions!EX69,0)</f>
        <v>0</v>
      </c>
      <c r="EY70" s="482">
        <f>IF(Assumptions!EY69&lt;&gt;"",Assumptions!EY69,0)</f>
        <v>0</v>
      </c>
      <c r="EZ70" s="482">
        <f>+FA70-EY70</f>
        <v>0</v>
      </c>
      <c r="FA70" s="1244">
        <f>IF(Assumptions!FA69&lt;&gt;"",Assumptions!FA69,0)</f>
        <v>0</v>
      </c>
      <c r="FE70"/>
      <c r="FF70"/>
      <c r="FG70"/>
      <c r="FH70"/>
      <c r="FI70"/>
      <c r="FJ70"/>
      <c r="FK70" s="35"/>
    </row>
    <row r="71" spans="1:167" s="236" customFormat="1">
      <c r="B71" s="1483"/>
      <c r="C71" s="1483"/>
      <c r="D71" s="1484"/>
      <c r="E71" s="1537"/>
      <c r="F71" s="1485"/>
      <c r="G71" s="1537"/>
      <c r="H71" s="1537"/>
      <c r="I71" s="1485"/>
      <c r="J71" s="1537"/>
      <c r="K71" s="1537"/>
      <c r="L71" s="1485"/>
      <c r="M71" s="1537"/>
      <c r="N71" s="1537"/>
      <c r="O71" s="1485"/>
      <c r="P71" s="1537"/>
      <c r="Q71" s="1537"/>
      <c r="R71" s="1485"/>
      <c r="S71" s="1537"/>
      <c r="T71" s="1537"/>
      <c r="U71" s="1485"/>
      <c r="V71" s="1537"/>
      <c r="W71" s="1537"/>
      <c r="X71" s="1485"/>
      <c r="Y71" s="1537"/>
      <c r="Z71" s="1537"/>
      <c r="AA71" s="1485"/>
      <c r="AB71" s="1537"/>
      <c r="AC71" s="1537"/>
      <c r="AD71" s="1485"/>
      <c r="AE71" s="1537"/>
      <c r="AF71" s="1537"/>
      <c r="AG71" s="1485"/>
      <c r="AH71" s="1537"/>
      <c r="AI71" s="1537"/>
      <c r="AJ71" s="1485"/>
      <c r="AK71" s="1537"/>
      <c r="AL71" s="1537"/>
      <c r="AM71" s="1485"/>
      <c r="AN71" s="1537"/>
      <c r="AO71" s="1537"/>
      <c r="AP71" s="1485"/>
      <c r="AQ71" s="1537"/>
      <c r="AR71" s="1537"/>
      <c r="AS71" s="1485"/>
      <c r="AT71" s="1537"/>
      <c r="AU71" s="1537"/>
      <c r="AV71" s="1485"/>
      <c r="AW71" s="1537"/>
      <c r="AX71" s="1537"/>
      <c r="AY71" s="1485"/>
      <c r="AZ71" s="1537"/>
      <c r="BA71" s="1537"/>
      <c r="BB71" s="1485"/>
      <c r="BC71" s="1537"/>
      <c r="BD71" s="1537"/>
      <c r="BE71" s="1485"/>
      <c r="BF71" s="1537"/>
      <c r="BG71" s="1537"/>
      <c r="BH71" s="1485"/>
      <c r="BI71" s="1537"/>
      <c r="BJ71" s="1537"/>
      <c r="BK71" s="1485"/>
      <c r="BL71" s="1537"/>
      <c r="BM71" s="1537"/>
      <c r="BN71" s="1485"/>
      <c r="BO71" s="1537"/>
      <c r="BP71" s="1537"/>
      <c r="BQ71" s="1485"/>
      <c r="BR71" s="1537"/>
      <c r="BS71" s="1537"/>
      <c r="BT71" s="1485"/>
      <c r="BU71" s="1537"/>
      <c r="BV71" s="1537"/>
      <c r="BW71" s="1485"/>
      <c r="BX71" s="1537"/>
      <c r="BY71" s="1537"/>
      <c r="BZ71" s="1485"/>
      <c r="CA71" s="1537"/>
      <c r="CB71" s="1537"/>
      <c r="CC71" s="1485"/>
      <c r="CD71" s="1537"/>
      <c r="CE71" s="1537"/>
      <c r="CF71" s="1485"/>
      <c r="CG71" s="1537"/>
      <c r="CH71" s="1537"/>
      <c r="CI71" s="1485"/>
      <c r="CJ71" s="1537"/>
      <c r="CK71" s="1537"/>
      <c r="CL71" s="1485"/>
      <c r="CM71" s="1537"/>
      <c r="CN71" s="1537"/>
      <c r="CO71" s="1485"/>
      <c r="CP71" s="1537"/>
      <c r="CQ71" s="1537"/>
      <c r="CR71" s="1485"/>
      <c r="CS71" s="1537"/>
      <c r="CT71" s="1537"/>
      <c r="CU71" s="1485"/>
      <c r="CV71" s="1537"/>
      <c r="CW71" s="1537"/>
      <c r="CX71" s="1485"/>
      <c r="CY71" s="1537"/>
      <c r="CZ71" s="1537"/>
      <c r="DA71" s="1485"/>
      <c r="DB71" s="1537"/>
      <c r="DC71" s="1537"/>
      <c r="DD71" s="1485"/>
      <c r="DE71" s="1537"/>
      <c r="DF71" s="1537"/>
      <c r="DG71" s="1485"/>
      <c r="DH71" s="1538"/>
      <c r="DI71" s="1537"/>
      <c r="DJ71" s="1485"/>
      <c r="DK71" s="1538"/>
      <c r="DL71" s="1537"/>
      <c r="DM71" s="1485"/>
      <c r="DN71" s="1538"/>
      <c r="DO71" s="1537"/>
      <c r="DP71" s="1485"/>
      <c r="DQ71" s="1538"/>
      <c r="DR71" s="1537"/>
      <c r="DS71" s="1485"/>
      <c r="DT71" s="1538">
        <f>504.8+30.3</f>
        <v>535.1</v>
      </c>
      <c r="DU71" s="1537"/>
      <c r="DV71" s="1485"/>
      <c r="DW71" s="1538">
        <f>521.3+32.7</f>
        <v>554</v>
      </c>
      <c r="DX71" s="1537"/>
      <c r="DY71" s="1485"/>
      <c r="DZ71" s="1538"/>
      <c r="EA71" s="1537"/>
      <c r="EB71" s="1485"/>
      <c r="EC71" s="1538"/>
      <c r="ED71" s="1537"/>
      <c r="EE71" s="1485"/>
      <c r="EF71" s="1538"/>
      <c r="EG71" s="1537"/>
      <c r="EH71" s="1485"/>
      <c r="EI71" s="1538"/>
      <c r="EJ71" s="1537"/>
      <c r="EK71" s="1485"/>
      <c r="EL71" s="1538"/>
      <c r="EM71" s="1537"/>
      <c r="EN71" s="1485"/>
      <c r="EO71" s="1538"/>
      <c r="EP71" s="1537"/>
      <c r="EQ71" s="1485"/>
      <c r="ER71" s="1538"/>
      <c r="ES71" s="1537"/>
      <c r="ET71" s="1485"/>
      <c r="EU71" s="1538"/>
      <c r="EV71" s="1537"/>
      <c r="EW71" s="1485"/>
      <c r="EX71" s="1538"/>
      <c r="EY71" s="1537"/>
      <c r="EZ71" s="1485"/>
      <c r="FA71" s="1538"/>
      <c r="FE71"/>
      <c r="FF71"/>
      <c r="FG71"/>
      <c r="FH71"/>
      <c r="FI71"/>
      <c r="FJ71"/>
      <c r="FK71" s="35"/>
    </row>
    <row r="72" spans="1:167" s="236" customFormat="1" ht="13.35" customHeight="1">
      <c r="B72" s="1511" t="s">
        <v>461</v>
      </c>
      <c r="C72" s="444" t="s">
        <v>496</v>
      </c>
      <c r="D72" s="1474"/>
      <c r="E72" s="867">
        <f>+E79+E74</f>
        <v>0</v>
      </c>
      <c r="F72" s="562">
        <f>+G72-E72</f>
        <v>0</v>
      </c>
      <c r="G72" s="867">
        <f>+G79+G74</f>
        <v>0</v>
      </c>
      <c r="H72" s="867">
        <f>+H79+H74</f>
        <v>0</v>
      </c>
      <c r="I72" s="562">
        <f>+J72-H72</f>
        <v>0</v>
      </c>
      <c r="J72" s="867">
        <f>+J79+J74</f>
        <v>0</v>
      </c>
      <c r="K72" s="867">
        <f>+K79+K74</f>
        <v>0</v>
      </c>
      <c r="L72" s="562">
        <f>+M72-K72</f>
        <v>0</v>
      </c>
      <c r="M72" s="867">
        <f>+M79+M74</f>
        <v>0</v>
      </c>
      <c r="N72" s="867">
        <f>+N79+N74</f>
        <v>0</v>
      </c>
      <c r="O72" s="562">
        <f>+P72-N72</f>
        <v>0</v>
      </c>
      <c r="P72" s="867">
        <f>+P79+P74</f>
        <v>0</v>
      </c>
      <c r="Q72" s="867">
        <f>+Q79+Q74</f>
        <v>0</v>
      </c>
      <c r="R72" s="562">
        <f>+S72-Q72</f>
        <v>0</v>
      </c>
      <c r="S72" s="867">
        <f>+S79+S74</f>
        <v>0</v>
      </c>
      <c r="T72" s="867">
        <f>+T79+T74</f>
        <v>0</v>
      </c>
      <c r="U72" s="562">
        <f>+V72-T72</f>
        <v>0</v>
      </c>
      <c r="V72" s="867">
        <f>+V79+V74</f>
        <v>0</v>
      </c>
      <c r="W72" s="867">
        <f>+W79+W74</f>
        <v>0</v>
      </c>
      <c r="X72" s="562">
        <f>+Y72-W72</f>
        <v>0</v>
      </c>
      <c r="Y72" s="867">
        <f>+Y79+Y74</f>
        <v>0</v>
      </c>
      <c r="Z72" s="867">
        <f>+Z79+Z74</f>
        <v>0</v>
      </c>
      <c r="AA72" s="562">
        <f>+AB72-Z72</f>
        <v>0</v>
      </c>
      <c r="AB72" s="867">
        <f>+AB79+AB74</f>
        <v>0</v>
      </c>
      <c r="AC72" s="867">
        <f>+AC79+AC74</f>
        <v>0</v>
      </c>
      <c r="AD72" s="562">
        <f>+AE72-AC72</f>
        <v>0</v>
      </c>
      <c r="AE72" s="867">
        <f>+AE79+AE74</f>
        <v>0</v>
      </c>
      <c r="AF72" s="867">
        <f>+AF79+AF74</f>
        <v>0</v>
      </c>
      <c r="AG72" s="562">
        <f>+AH72-AF72</f>
        <v>0</v>
      </c>
      <c r="AH72" s="867">
        <f>+AH79+AH74</f>
        <v>0</v>
      </c>
      <c r="AI72" s="867">
        <f>+AI79+AI74</f>
        <v>5.1360000000000001</v>
      </c>
      <c r="AJ72" s="562">
        <f>+AK72-AI72</f>
        <v>7.1889999999999992</v>
      </c>
      <c r="AK72" s="867">
        <f>+AK79+AK74</f>
        <v>12.324999999999999</v>
      </c>
      <c r="AL72" s="867">
        <f>+AL79+AL74</f>
        <v>6.2679999999999998</v>
      </c>
      <c r="AM72" s="867">
        <f>+AN72-AL72</f>
        <v>7.03</v>
      </c>
      <c r="AN72" s="867">
        <f>+AN79+AN74</f>
        <v>13.298</v>
      </c>
      <c r="AO72" s="867">
        <f>+AO79+AO74</f>
        <v>5.74</v>
      </c>
      <c r="AP72" s="867">
        <f>+AQ72-AO72</f>
        <v>8.5440000000000005</v>
      </c>
      <c r="AQ72" s="867">
        <f>IF(AQ5="E",Segment!AQ7,AQ79+AQ74)</f>
        <v>14.284000000000001</v>
      </c>
      <c r="AR72" s="867">
        <f>IF(AR5="E",Segment!AR7,AR79+AR74)</f>
        <v>7.3869999999999996</v>
      </c>
      <c r="AS72" s="867">
        <f>+AT72-AR72</f>
        <v>10.089000000000002</v>
      </c>
      <c r="AT72" s="867">
        <f>IF(AT5="E",Segment!AT7,AT79+AT74)</f>
        <v>17.476000000000003</v>
      </c>
      <c r="AU72" s="867">
        <f>IF(AU5="E",Segment!AU7,AU79+AU74)</f>
        <v>9.1419999999999995</v>
      </c>
      <c r="AV72" s="867">
        <f>+AW72-AU72</f>
        <v>13.940999999999999</v>
      </c>
      <c r="AW72" s="867">
        <f>IF(AW5="E",Segment!AW7,AW79+AW74)</f>
        <v>23.082999999999998</v>
      </c>
      <c r="AX72" s="867">
        <f>IF(AX5="E",Segment!AX7,AX79+AX74)</f>
        <v>15.675000000000001</v>
      </c>
      <c r="AY72" s="867">
        <f>+AZ72-AX72</f>
        <v>19.093999999999998</v>
      </c>
      <c r="AZ72" s="867">
        <f>IF(AZ5="E",Segment!AZ7,AZ79+AZ74)</f>
        <v>34.768999999999998</v>
      </c>
      <c r="BA72" s="867">
        <f>IF(BA5="E",Segment!BA7,BA79+BA74)</f>
        <v>23.153000000000002</v>
      </c>
      <c r="BB72" s="867">
        <f>+BC72-BA72</f>
        <v>22.359999999999996</v>
      </c>
      <c r="BC72" s="867">
        <f>IF(BC5="E",Segment!BC7,BC79+BC74)</f>
        <v>45.512999999999998</v>
      </c>
      <c r="BD72" s="867">
        <f>IF(BD5="E",Segment!BD7,BD79+BD74)</f>
        <v>25.95</v>
      </c>
      <c r="BE72" s="867">
        <f>+BF72-BD72</f>
        <v>29.040000000000003</v>
      </c>
      <c r="BF72" s="867">
        <f>IF(BF5="E",Segment!BF7,BF79+BF74)</f>
        <v>54.99</v>
      </c>
      <c r="BG72" s="867">
        <f>IF(BG5="E",Segment!BG7,BG79+BG74)</f>
        <v>36.327999999999996</v>
      </c>
      <c r="BH72" s="867">
        <f>+BI72-BG72</f>
        <v>43.821000000000005</v>
      </c>
      <c r="BI72" s="867">
        <f>IF(BI5="E",Segment!BI7,BI79+BI74)</f>
        <v>80.149000000000001</v>
      </c>
      <c r="BJ72" s="867">
        <f>IF(BJ5="E",Segment!BJ7,BJ79+BJ74)</f>
        <v>35.577999999999996</v>
      </c>
      <c r="BK72" s="867">
        <f>+BL72-BJ72</f>
        <v>9.8830000000000098</v>
      </c>
      <c r="BL72" s="867">
        <f>IF(BL5="E",Segment!BL7,BL79+BL74)</f>
        <v>45.461000000000006</v>
      </c>
      <c r="BM72" s="867">
        <f>IF(BM5="E",Segment!BM7,BM79+BM74)</f>
        <v>40.463000000000001</v>
      </c>
      <c r="BN72" s="867">
        <f>+BO72-BM72</f>
        <v>42.071999999999996</v>
      </c>
      <c r="BO72" s="867">
        <f>IF(BO5="E",Segment!BO7,BO79+BO74)</f>
        <v>82.534999999999997</v>
      </c>
      <c r="BP72" s="867">
        <f>(BP79+BP74)</f>
        <v>62.129999999999995</v>
      </c>
      <c r="BQ72" s="867">
        <f>+BR72-BP72</f>
        <v>46.367000000000004</v>
      </c>
      <c r="BR72" s="867">
        <f>IF(BR5="E",Segment!BR7,BR79+BR74)</f>
        <v>108.497</v>
      </c>
      <c r="BS72" s="867">
        <f>IF(BS5="E",Segment!BS7,BS79+BS74)</f>
        <v>75.983000000000004</v>
      </c>
      <c r="BT72" s="867">
        <f>+BU72-BS72</f>
        <v>77.597999999999985</v>
      </c>
      <c r="BU72" s="867">
        <f>IF(BU5="E",Segment!BU7,BU79+BU74)</f>
        <v>153.58099999999999</v>
      </c>
      <c r="BV72" s="867">
        <f>IF(BV5="E",Segment!BV7,BV79+BV74)</f>
        <v>84.701000000000008</v>
      </c>
      <c r="BW72" s="867">
        <f>+BX72-BV72</f>
        <v>82.628</v>
      </c>
      <c r="BX72" s="867">
        <f>IF(BX5="E",Segment!BX7,BX79+BX74)</f>
        <v>167.32900000000001</v>
      </c>
      <c r="BY72" s="867">
        <f>(BY79+BY74)</f>
        <v>89.436999999999998</v>
      </c>
      <c r="BZ72" s="867">
        <f>+CA72-BY72</f>
        <v>85.208000000000013</v>
      </c>
      <c r="CA72" s="867">
        <f>IF(CA5="E",Segment!CA7,CA79+CA74)</f>
        <v>174.64500000000001</v>
      </c>
      <c r="CB72" s="867">
        <f>IF(CB5="E",Segment!CB7,CB79+CB74)</f>
        <v>103.13800000000001</v>
      </c>
      <c r="CC72" s="867">
        <f>+CD72-CB72</f>
        <v>116.214</v>
      </c>
      <c r="CD72" s="867">
        <f>IF(CD5="E",Segment!CD7,CD79+CD74)</f>
        <v>219.352</v>
      </c>
      <c r="CE72" s="867">
        <f>IF(CE5="E",Segment!CE7,CE79+CE74)</f>
        <v>112.30900000000001</v>
      </c>
      <c r="CF72" s="867">
        <f>+CG72-CE72</f>
        <v>127.88599999999998</v>
      </c>
      <c r="CG72" s="867">
        <f>IF(CG5="E",Segment!CG7,CG79+CG74)</f>
        <v>240.19499999999999</v>
      </c>
      <c r="CH72" s="867">
        <f>IF(CH5="E",Segment!CH7,CH79+CH74)</f>
        <v>108.67399999999999</v>
      </c>
      <c r="CI72" s="867">
        <f>+CJ72-CH72</f>
        <v>106.61300000000001</v>
      </c>
      <c r="CJ72" s="867">
        <f>IF(CJ5="E",Segment!CJ7,CJ79+CJ74)</f>
        <v>215.28700000000001</v>
      </c>
      <c r="CK72" s="867">
        <f>IF(CK5="E",Segment!CK7,CK79+CK74)</f>
        <v>108.301</v>
      </c>
      <c r="CL72" s="867">
        <f>+CM72-CK72</f>
        <v>70.559000000000012</v>
      </c>
      <c r="CM72" s="867">
        <f>IF(CM5="E",Segment!CM7,CM79+CM74)</f>
        <v>178.86</v>
      </c>
      <c r="CN72" s="867">
        <f>IF(CN5="E",Segment!CN7,CN79+CN74)</f>
        <v>49.424999999999997</v>
      </c>
      <c r="CO72" s="867">
        <f>+CP72-CN72</f>
        <v>100.211</v>
      </c>
      <c r="CP72" s="867">
        <f>IF(CP5="E",Segment!CP7,CP79+CP74)</f>
        <v>149.636</v>
      </c>
      <c r="CQ72" s="867">
        <f>IF(CQ5="E",Segment!CQ7,CQ79+CQ74)</f>
        <v>100.45802269032488</v>
      </c>
      <c r="CR72" s="867">
        <f>+CS72-CQ72</f>
        <v>105.92413980967511</v>
      </c>
      <c r="CS72" s="867">
        <f>IF(CS5="E",Segment!CS7,CS79+CS74)</f>
        <v>206.38216249999999</v>
      </c>
      <c r="CT72" s="867">
        <f>IF(CT5="E",Segment!CT7,CT79+CT74)</f>
        <v>130.96700000000001</v>
      </c>
      <c r="CU72" s="867">
        <f>+CV72-CT72</f>
        <v>131.63699999999997</v>
      </c>
      <c r="CV72" s="867">
        <f>IF(CV5="E",Segment!CV7,CV79+CV74)</f>
        <v>262.60399999999998</v>
      </c>
      <c r="CW72" s="867">
        <f>IF(CW5="E",Segment!CW7,CW79+CW74)</f>
        <v>156.39699999999999</v>
      </c>
      <c r="CX72" s="867">
        <f>+CY72-CW72</f>
        <v>159.29908879999999</v>
      </c>
      <c r="CY72" s="867">
        <f>IF(CY5="E",Segment!CY7,CY79+CY74)</f>
        <v>315.69608879999998</v>
      </c>
      <c r="CZ72" s="867">
        <f>IF(CZ5="E",Segment!CZ7,CZ79+CZ74)</f>
        <v>160.33557919999998</v>
      </c>
      <c r="DA72" s="867">
        <f>+DB72-CZ72</f>
        <v>188.06442079999999</v>
      </c>
      <c r="DB72" s="867">
        <f>IF(DB5="E",Segment!DB7,DB79+DB74)</f>
        <v>348.4</v>
      </c>
      <c r="DC72" s="867">
        <f>IF(DC5="E",Segment!DC7,DC79+DC74)</f>
        <v>177</v>
      </c>
      <c r="DD72" s="867">
        <f>+DE72-DC72</f>
        <v>182.29950000000002</v>
      </c>
      <c r="DE72" s="867">
        <f>IF(DE5="E",Segment!DE7,DE79+DE74)</f>
        <v>359.29950000000002</v>
      </c>
      <c r="DF72" s="867">
        <f>IF(DF5="E",Segment!DF7,DF79+DF74)</f>
        <v>183.70314803978934</v>
      </c>
      <c r="DG72" s="867">
        <f>+DH72-DF72</f>
        <v>23.215136960210657</v>
      </c>
      <c r="DH72" s="1341">
        <f>IF(DH5="E",Segment!DH7,DH79+DH74)</f>
        <v>206.918285</v>
      </c>
      <c r="DI72" s="867">
        <f>IF(DI5="E",Segment!DI7,DI79+DI74)</f>
        <v>176</v>
      </c>
      <c r="DJ72" s="867">
        <f>+DK72-DI72</f>
        <v>158.09999999999997</v>
      </c>
      <c r="DK72" s="1341">
        <f>IF(DK5="E",Segment!DK7,DK79+DK74)</f>
        <v>334.09999999999997</v>
      </c>
      <c r="DL72" s="867">
        <f>IF(DL5="E",Segment!DL7,DL79+DL74)</f>
        <v>223</v>
      </c>
      <c r="DM72" s="867">
        <f>+DN72-DL72</f>
        <v>181.3</v>
      </c>
      <c r="DN72" s="1341">
        <f>IF(DN5="E",Segment!DN7,DN79+DN74)</f>
        <v>404.3</v>
      </c>
      <c r="DO72" s="867">
        <f>IF(DO5="E",Segment!DO7,DO79+DO74)</f>
        <v>203</v>
      </c>
      <c r="DP72" s="867">
        <f>+DQ72-DO72</f>
        <v>231.60000000000002</v>
      </c>
      <c r="DQ72" s="1341">
        <f>IF(DQ5="E",Segment!DQ7,DQ79+DQ74)</f>
        <v>434.6</v>
      </c>
      <c r="DR72" s="867">
        <f>IF(DR5="E",Segment!DR7,DR79+DR74)</f>
        <v>272.19999999999993</v>
      </c>
      <c r="DS72" s="867">
        <f>+DT72-DR72</f>
        <v>262.90000000000009</v>
      </c>
      <c r="DT72" s="1341">
        <f>IF(DT5="E",Segment!DT7,DT79+DT74)</f>
        <v>535.1</v>
      </c>
      <c r="DU72" s="867">
        <f>IF(DU5="E",Segment!DU7,DU79+DU74)</f>
        <v>286.7</v>
      </c>
      <c r="DV72" s="867">
        <f>+DW72-DU72</f>
        <v>267.3</v>
      </c>
      <c r="DW72" s="1341">
        <f>IF(DW5="E",Segment!DW7,DW79+DW74)</f>
        <v>554</v>
      </c>
      <c r="DX72" s="867">
        <f>IF(DX5="E",Segment!DX7,DX79+DX74)</f>
        <v>254.80000000000004</v>
      </c>
      <c r="DY72" s="867">
        <f>+DZ72-DX72</f>
        <v>295.38043729966989</v>
      </c>
      <c r="DZ72" s="1341">
        <f>IF(DZ5="E",Segment!DZ7,DZ79+DZ74)</f>
        <v>550.18043729966996</v>
      </c>
      <c r="EA72" s="867">
        <f>IF(EA5="E",Segment!EA7,EA79+EA74)</f>
        <v>315.19096870193118</v>
      </c>
      <c r="EB72" s="867">
        <f>+EC72-EA72</f>
        <v>324.77792655630287</v>
      </c>
      <c r="EC72" s="1341">
        <f>IF(EC5="E",Segment!EC7,EC79+EC74)</f>
        <v>639.96889525823406</v>
      </c>
      <c r="ED72" s="867">
        <f>IF(ED5="E",Segment!ED7,ED79+ED74)</f>
        <v>352.34984349834582</v>
      </c>
      <c r="EE72" s="867">
        <f>+EF72-ED72</f>
        <v>363.24901879550833</v>
      </c>
      <c r="EF72" s="1341">
        <f>IF(EF5="E",Segment!EF7,EF79+EF74)</f>
        <v>715.59886229385415</v>
      </c>
      <c r="EG72" s="867">
        <f>IF(EG5="E",Segment!EG7,EG79+EG74)</f>
        <v>390.6396417521421</v>
      </c>
      <c r="EH72" s="867">
        <f>+EI72-EG72</f>
        <v>402.72322859641281</v>
      </c>
      <c r="EI72" s="1341">
        <f>IF(EI5="E",Segment!EI7,EI79+EI74)</f>
        <v>793.36287034855491</v>
      </c>
      <c r="EJ72" s="867">
        <f>IF(EJ5="E",Segment!EJ7,EJ79+EJ74)</f>
        <v>430.27868479074164</v>
      </c>
      <c r="EK72" s="867">
        <f>+EL72-EJ72</f>
        <v>443.58841913205663</v>
      </c>
      <c r="EL72" s="1341">
        <f>IF(EL5="E",Segment!EL7,EL79+EL74)</f>
        <v>873.86710392279826</v>
      </c>
      <c r="EM72" s="867">
        <f>IF(EM5="E",Segment!EM7,EM79+EM74)</f>
        <v>470.95768964438366</v>
      </c>
      <c r="EN72" s="867">
        <f>+EO72-EM72</f>
        <v>485.52574043735899</v>
      </c>
      <c r="EO72" s="1341">
        <f>IF(EO5="E",Segment!EO7,EO79+EO74)</f>
        <v>956.48343008174265</v>
      </c>
      <c r="EP72" s="867">
        <f>IF(EP5="E",Segment!EP7,EP79+EP74)</f>
        <v>513.34388171237811</v>
      </c>
      <c r="EQ72" s="867">
        <f>+ER72-EP72</f>
        <v>529.22305707672149</v>
      </c>
      <c r="ER72" s="1341">
        <f>IF(ER5="E",Segment!ER7,ER79+ER74)</f>
        <v>1042.5669387890996</v>
      </c>
      <c r="ES72" s="867">
        <f>IF(ES5="E",Segment!ES7,ES79+ES74)</f>
        <v>559.54483106649229</v>
      </c>
      <c r="ET72" s="867">
        <f>+EU72-ES72</f>
        <v>576.85313221362651</v>
      </c>
      <c r="EU72" s="1341">
        <f>IF(EU5="E",Segment!EU7,EU79+EU74)</f>
        <v>1136.3979632801188</v>
      </c>
      <c r="EV72" s="867">
        <f>IF(EV5="E",Segment!EV7,EV79+EV74)</f>
        <v>609.90386586247655</v>
      </c>
      <c r="EW72" s="867">
        <f>+EX72-EV72</f>
        <v>628.76991411285303</v>
      </c>
      <c r="EX72" s="1341">
        <f>IF(EX5="E",Segment!EX7,EX79+EX74)</f>
        <v>1238.6737799753296</v>
      </c>
      <c r="EY72" s="867">
        <f>IF(EY5="E",Segment!EY7,EY79+EY74)</f>
        <v>664.79521379009941</v>
      </c>
      <c r="EZ72" s="867">
        <f>+FA72-EY72</f>
        <v>685.35920638300956</v>
      </c>
      <c r="FA72" s="1341">
        <f>IF(FA5="E",Segment!FA7,FA79+FA74)</f>
        <v>1350.154420173109</v>
      </c>
      <c r="FE72"/>
      <c r="FF72"/>
      <c r="FG72"/>
      <c r="FH72"/>
      <c r="FI72"/>
      <c r="FJ72"/>
      <c r="FK72" s="35"/>
    </row>
    <row r="73" spans="1:167" s="447" customFormat="1" ht="13.35" customHeight="1">
      <c r="B73" s="447" t="s">
        <v>690</v>
      </c>
      <c r="C73" s="545" t="s">
        <v>460</v>
      </c>
      <c r="D73" s="546"/>
      <c r="E73" s="547"/>
      <c r="F73" s="547"/>
      <c r="G73" s="547"/>
      <c r="H73" s="547"/>
      <c r="I73" s="547"/>
      <c r="J73" s="547"/>
      <c r="K73" s="547"/>
      <c r="L73" s="547"/>
      <c r="M73" s="547"/>
      <c r="N73" s="547"/>
      <c r="O73" s="547"/>
      <c r="P73" s="547"/>
      <c r="Q73" s="547"/>
      <c r="R73" s="547"/>
      <c r="S73" s="547"/>
      <c r="T73" s="547"/>
      <c r="U73" s="547"/>
      <c r="V73" s="547"/>
      <c r="W73" s="547"/>
      <c r="X73" s="547"/>
      <c r="Y73" s="547"/>
      <c r="Z73" s="547"/>
      <c r="AA73" s="547"/>
      <c r="AB73" s="547"/>
      <c r="AC73" s="547"/>
      <c r="AD73" s="547"/>
      <c r="AE73" s="547"/>
      <c r="AF73" s="547"/>
      <c r="AG73" s="547"/>
      <c r="AH73" s="547"/>
      <c r="AI73" s="547">
        <f t="shared" ref="AI73:AR73" si="308">+AI72/AI30</f>
        <v>0.15173717797211062</v>
      </c>
      <c r="AJ73" s="547">
        <f t="shared" si="308"/>
        <v>0.20709820528332318</v>
      </c>
      <c r="AK73" s="547">
        <f t="shared" si="308"/>
        <v>0.17976692288618892</v>
      </c>
      <c r="AL73" s="547">
        <f t="shared" si="308"/>
        <v>0.1714066943775979</v>
      </c>
      <c r="AM73" s="547">
        <f t="shared" si="308"/>
        <v>0.19688016355336485</v>
      </c>
      <c r="AN73" s="547">
        <f t="shared" si="308"/>
        <v>0.18399169837426493</v>
      </c>
      <c r="AO73" s="547">
        <f t="shared" si="308"/>
        <v>0.17243969117072733</v>
      </c>
      <c r="AP73" s="547">
        <f t="shared" si="308"/>
        <v>0.22119815668202766</v>
      </c>
      <c r="AQ73" s="547">
        <f t="shared" si="308"/>
        <v>0.19862889880828224</v>
      </c>
      <c r="AR73" s="547">
        <f t="shared" si="308"/>
        <v>0.17100328718922173</v>
      </c>
      <c r="AS73" s="547">
        <f t="shared" ref="AS73:BB73" si="309">+AS72/AS30</f>
        <v>0.20802061855670112</v>
      </c>
      <c r="AT73" s="547">
        <f t="shared" si="309"/>
        <v>0.1905821282906934</v>
      </c>
      <c r="AU73" s="547">
        <f t="shared" si="309"/>
        <v>0.14598003992015968</v>
      </c>
      <c r="AV73" s="547">
        <f t="shared" si="309"/>
        <v>0.21595204163826753</v>
      </c>
      <c r="AW73" s="547">
        <f t="shared" si="309"/>
        <v>0.18149723622239169</v>
      </c>
      <c r="AX73" s="547">
        <f t="shared" si="309"/>
        <v>0.23643247156776978</v>
      </c>
      <c r="AY73" s="547">
        <f t="shared" si="309"/>
        <v>0.2452350372463396</v>
      </c>
      <c r="AZ73" s="547">
        <f t="shared" si="309"/>
        <v>0.24118675342332718</v>
      </c>
      <c r="BA73" s="547">
        <f t="shared" si="309"/>
        <v>0.22433338500891406</v>
      </c>
      <c r="BB73" s="547">
        <f t="shared" si="309"/>
        <v>0.19126968512356396</v>
      </c>
      <c r="BC73" s="547">
        <f t="shared" ref="BC73:BO73" si="310">+BC72/BC30</f>
        <v>0.20677294637705521</v>
      </c>
      <c r="BD73" s="547">
        <f t="shared" si="310"/>
        <v>0.21609693134030061</v>
      </c>
      <c r="BE73" s="547">
        <f t="shared" si="310"/>
        <v>0.21334743894913158</v>
      </c>
      <c r="BF73" s="547">
        <f t="shared" si="310"/>
        <v>0.21463616457390874</v>
      </c>
      <c r="BG73" s="547">
        <f t="shared" si="310"/>
        <v>0.24776129582267686</v>
      </c>
      <c r="BH73" s="547">
        <f t="shared" si="310"/>
        <v>0.31438820533055928</v>
      </c>
      <c r="BI73" s="547">
        <f t="shared" si="310"/>
        <v>0.28023146043844621</v>
      </c>
      <c r="BJ73" s="547">
        <f t="shared" si="310"/>
        <v>0.29201070273642049</v>
      </c>
      <c r="BK73" s="547">
        <f t="shared" si="310"/>
        <v>7.7124774665803128E-2</v>
      </c>
      <c r="BL73" s="547">
        <f t="shared" si="310"/>
        <v>0.1818578211944108</v>
      </c>
      <c r="BM73" s="547">
        <f t="shared" si="310"/>
        <v>0.24497493521904437</v>
      </c>
      <c r="BN73" s="547">
        <f t="shared" si="310"/>
        <v>0.22890845185370579</v>
      </c>
      <c r="BO73" s="547">
        <f t="shared" si="310"/>
        <v>0.23651301272903377</v>
      </c>
      <c r="BP73" s="547">
        <f t="shared" ref="BP73:DK73" si="311">+BP72/BP30</f>
        <v>0.29302972033886304</v>
      </c>
      <c r="BQ73" s="547">
        <f t="shared" si="311"/>
        <v>0.1930078716274394</v>
      </c>
      <c r="BR73" s="547">
        <f t="shared" si="311"/>
        <v>0.2398996152655552</v>
      </c>
      <c r="BS73" s="547">
        <f t="shared" si="311"/>
        <v>0.28797976881541482</v>
      </c>
      <c r="BT73" s="547">
        <f t="shared" si="311"/>
        <v>0.28607674551301282</v>
      </c>
      <c r="BU73" s="547">
        <f>+BU72/BU30</f>
        <v>0.28701509758035643</v>
      </c>
      <c r="BV73" s="547">
        <f t="shared" si="311"/>
        <v>0.29688199324163683</v>
      </c>
      <c r="BW73" s="547">
        <f t="shared" si="311"/>
        <v>0.2828624175018204</v>
      </c>
      <c r="BX73" s="547">
        <f t="shared" si="311"/>
        <v>0.28978951016107551</v>
      </c>
      <c r="BY73" s="547">
        <f t="shared" si="311"/>
        <v>0.26341102261379529</v>
      </c>
      <c r="BZ73" s="547">
        <f t="shared" si="311"/>
        <v>0.26165623279307476</v>
      </c>
      <c r="CA73" s="547">
        <f t="shared" si="311"/>
        <v>0.26255194288037165</v>
      </c>
      <c r="CB73" s="547">
        <f t="shared" si="311"/>
        <v>0.31087145723618498</v>
      </c>
      <c r="CC73" s="547">
        <f t="shared" si="311"/>
        <v>0.31162404099160573</v>
      </c>
      <c r="CD73" s="547">
        <f t="shared" si="311"/>
        <v>0.31126972726082824</v>
      </c>
      <c r="CE73" s="547">
        <f t="shared" si="311"/>
        <v>0.30968682823584748</v>
      </c>
      <c r="CF73" s="547">
        <f t="shared" si="311"/>
        <v>0.30518744023104299</v>
      </c>
      <c r="CG73" s="547">
        <f t="shared" si="311"/>
        <v>0.30727485296840223</v>
      </c>
      <c r="CH73" s="547">
        <f t="shared" si="311"/>
        <v>0.28951715372411019</v>
      </c>
      <c r="CI73" s="547">
        <f t="shared" si="311"/>
        <v>0.28179225388408852</v>
      </c>
      <c r="CJ73" s="547">
        <f t="shared" si="311"/>
        <v>0.28563945238664085</v>
      </c>
      <c r="CK73" s="547">
        <f t="shared" si="311"/>
        <v>0.28614183250864711</v>
      </c>
      <c r="CL73" s="547">
        <f t="shared" si="311"/>
        <v>0.20370212879181596</v>
      </c>
      <c r="CM73" s="547">
        <f t="shared" si="311"/>
        <v>0.24674757350634188</v>
      </c>
      <c r="CN73" s="547">
        <f t="shared" si="311"/>
        <v>0.13900377992065879</v>
      </c>
      <c r="CO73" s="547">
        <f t="shared" si="311"/>
        <v>0.24012555477629971</v>
      </c>
      <c r="CP73" s="547">
        <f t="shared" si="311"/>
        <v>0.19360497020479148</v>
      </c>
      <c r="CQ73" s="547">
        <f t="shared" si="311"/>
        <v>0.22917099579409533</v>
      </c>
      <c r="CR73" s="547">
        <f t="shared" si="311"/>
        <v>0.21738061630429459</v>
      </c>
      <c r="CS73" s="547">
        <f t="shared" si="311"/>
        <v>0.22296423567109502</v>
      </c>
      <c r="CT73" s="547">
        <f t="shared" si="311"/>
        <v>0.23467066105723994</v>
      </c>
      <c r="CU73" s="547">
        <f t="shared" si="311"/>
        <v>0.23062188148591592</v>
      </c>
      <c r="CV73" s="547">
        <f t="shared" si="311"/>
        <v>0.23262349142311639</v>
      </c>
      <c r="CW73" s="547">
        <f t="shared" si="311"/>
        <v>0.25675969007087091</v>
      </c>
      <c r="CX73" s="547">
        <f t="shared" si="311"/>
        <v>0.24707994958469279</v>
      </c>
      <c r="CY73" s="547">
        <f t="shared" si="311"/>
        <v>0.25178236945971316</v>
      </c>
      <c r="CZ73" s="547">
        <f t="shared" si="311"/>
        <v>0.25090282796324787</v>
      </c>
      <c r="DA73" s="547">
        <f t="shared" si="311"/>
        <v>0.26699493760284737</v>
      </c>
      <c r="DB73" s="547">
        <f t="shared" si="311"/>
        <v>0.25934022193933326</v>
      </c>
      <c r="DC73" s="547">
        <f t="shared" si="311"/>
        <v>0.25241091451767023</v>
      </c>
      <c r="DD73" s="547">
        <f t="shared" si="311"/>
        <v>0.25238053025105323</v>
      </c>
      <c r="DE73" s="547">
        <f t="shared" si="311"/>
        <v>0.25239549739324213</v>
      </c>
      <c r="DF73" s="547">
        <f t="shared" si="311"/>
        <v>0.24400592655473893</v>
      </c>
      <c r="DG73" s="547">
        <f t="shared" si="311"/>
        <v>4.0567151319664971E-2</v>
      </c>
      <c r="DH73" s="1266">
        <f t="shared" si="311"/>
        <v>0.15614967301446317</v>
      </c>
      <c r="DI73" s="547">
        <f t="shared" si="311"/>
        <v>0.23681377825618946</v>
      </c>
      <c r="DJ73" s="547">
        <f t="shared" si="311"/>
        <v>0.20957051961823961</v>
      </c>
      <c r="DK73" s="1266">
        <f t="shared" si="311"/>
        <v>0.22309027777777776</v>
      </c>
      <c r="DL73" s="547">
        <f t="shared" ref="DL73:DQ73" si="312">+DL72/DL30</f>
        <v>0.27171926404289021</v>
      </c>
      <c r="DM73" s="547">
        <f t="shared" si="312"/>
        <v>0.21906718221362981</v>
      </c>
      <c r="DN73" s="1266">
        <f t="shared" si="312"/>
        <v>0.24528301886792453</v>
      </c>
      <c r="DO73" s="547">
        <f t="shared" si="312"/>
        <v>0.22940445248050625</v>
      </c>
      <c r="DP73" s="547">
        <f t="shared" si="312"/>
        <v>0.22031963470319635</v>
      </c>
      <c r="DQ73" s="1266">
        <f t="shared" si="312"/>
        <v>0.22447187645266256</v>
      </c>
      <c r="DR73" s="547">
        <f t="shared" ref="DR73:DU73" si="313">+DR72/DR30</f>
        <v>0.24779244424214833</v>
      </c>
      <c r="DS73" s="547">
        <f t="shared" si="313"/>
        <v>0.2312021809867206</v>
      </c>
      <c r="DT73" s="1266">
        <f t="shared" si="313"/>
        <v>0.23935408838790478</v>
      </c>
      <c r="DU73" s="547">
        <f t="shared" si="313"/>
        <v>0.24464753517821636</v>
      </c>
      <c r="DV73" s="547">
        <f t="shared" ref="DV73:DX73" si="314">+DV72/DV30</f>
        <v>0.2282255103696178</v>
      </c>
      <c r="DW73" s="1266">
        <f t="shared" si="314"/>
        <v>0.23643890572318724</v>
      </c>
      <c r="DX73" s="547">
        <f t="shared" si="314"/>
        <v>0.2183002056202879</v>
      </c>
      <c r="DY73" s="547">
        <f t="shared" ref="DY73:EC73" si="315">+DY72/DY30</f>
        <v>0.22004399451721038</v>
      </c>
      <c r="DZ73" s="1266">
        <f t="shared" si="315"/>
        <v>0.21923295897215503</v>
      </c>
      <c r="EA73" s="547">
        <f t="shared" si="315"/>
        <v>0.22642046751196382</v>
      </c>
      <c r="EB73" s="547">
        <f t="shared" si="315"/>
        <v>0.22633413029160915</v>
      </c>
      <c r="EC73" s="1266">
        <f t="shared" si="315"/>
        <v>0.22637664399082022</v>
      </c>
      <c r="ED73" s="547">
        <f t="shared" ref="ED73:EL73" si="316">+ED72/ED30</f>
        <v>0.23353182982173157</v>
      </c>
      <c r="EE73" s="547">
        <f t="shared" si="316"/>
        <v>0.23353182982173146</v>
      </c>
      <c r="EF73" s="1266">
        <f t="shared" si="316"/>
        <v>0.23353182982173151</v>
      </c>
      <c r="EG73" s="547">
        <f t="shared" si="316"/>
        <v>0.23753182982173146</v>
      </c>
      <c r="EH73" s="547">
        <f t="shared" si="316"/>
        <v>0.23753182982173152</v>
      </c>
      <c r="EI73" s="1266">
        <f t="shared" si="316"/>
        <v>0.23753182982173149</v>
      </c>
      <c r="EJ73" s="547">
        <f t="shared" si="316"/>
        <v>0.24003182982173157</v>
      </c>
      <c r="EK73" s="547">
        <f t="shared" si="316"/>
        <v>0.24003182982173157</v>
      </c>
      <c r="EL73" s="1266">
        <f t="shared" si="316"/>
        <v>0.24003182982173157</v>
      </c>
      <c r="EM73" s="547">
        <f t="shared" ref="EM73:ER73" si="317">+EM72/EM30</f>
        <v>0.24103182982173155</v>
      </c>
      <c r="EN73" s="547">
        <f t="shared" si="317"/>
        <v>0.24103182982173144</v>
      </c>
      <c r="EO73" s="1266">
        <f t="shared" si="317"/>
        <v>0.24103182982173149</v>
      </c>
      <c r="EP73" s="547">
        <f t="shared" si="317"/>
        <v>0.24103182982173152</v>
      </c>
      <c r="EQ73" s="547">
        <f t="shared" si="317"/>
        <v>0.24103182982173152</v>
      </c>
      <c r="ER73" s="1266">
        <f t="shared" si="317"/>
        <v>0.24103182982173152</v>
      </c>
      <c r="ES73" s="547">
        <f t="shared" ref="ES73:EX73" si="318">+ES72/ES30</f>
        <v>0.24103182982173155</v>
      </c>
      <c r="ET73" s="547">
        <f t="shared" si="318"/>
        <v>0.24103182982173152</v>
      </c>
      <c r="EU73" s="1266">
        <f t="shared" si="318"/>
        <v>0.24103182982173152</v>
      </c>
      <c r="EV73" s="547">
        <f t="shared" si="318"/>
        <v>0.24103182982173149</v>
      </c>
      <c r="EW73" s="547">
        <f t="shared" si="318"/>
        <v>0.24103182982173157</v>
      </c>
      <c r="EX73" s="1266">
        <f t="shared" si="318"/>
        <v>0.24103182982173152</v>
      </c>
      <c r="EY73" s="547">
        <f t="shared" ref="EY73:FA73" si="319">+EY72/EY30</f>
        <v>0.24103182982173149</v>
      </c>
      <c r="EZ73" s="547">
        <f t="shared" si="319"/>
        <v>0.24103182982173144</v>
      </c>
      <c r="FA73" s="1266">
        <f t="shared" si="319"/>
        <v>0.24103182982173146</v>
      </c>
      <c r="FE73"/>
      <c r="FF73"/>
      <c r="FG73"/>
      <c r="FH73"/>
      <c r="FI73"/>
      <c r="FJ73"/>
      <c r="FK73" s="35"/>
    </row>
    <row r="74" spans="1:167" s="236" customFormat="1" ht="13.35" customHeight="1" thickBot="1">
      <c r="B74" s="236" t="s">
        <v>796</v>
      </c>
      <c r="C74" s="242" t="s">
        <v>496</v>
      </c>
      <c r="D74" s="243"/>
      <c r="E74" s="534">
        <f>+-(E75-E76-E77)</f>
        <v>0</v>
      </c>
      <c r="F74" s="482">
        <f>+G74-E74</f>
        <v>0</v>
      </c>
      <c r="G74" s="534">
        <f>+-(G75-G76-G77)</f>
        <v>0</v>
      </c>
      <c r="H74" s="534">
        <f>+-(H75-H76-H77)</f>
        <v>0</v>
      </c>
      <c r="I74" s="482">
        <f>+J74-H74</f>
        <v>0</v>
      </c>
      <c r="J74" s="534">
        <f>+-(J75-J76-J77)</f>
        <v>0</v>
      </c>
      <c r="K74" s="534">
        <f>+-(K75-K76-K77)</f>
        <v>0</v>
      </c>
      <c r="L74" s="482">
        <f>+M74-K74</f>
        <v>0</v>
      </c>
      <c r="M74" s="534">
        <f>+-(M75-M76-M77)</f>
        <v>0</v>
      </c>
      <c r="N74" s="534">
        <f>+-(N75-N76-N77)</f>
        <v>0</v>
      </c>
      <c r="O74" s="482">
        <f>+P74-N74</f>
        <v>0</v>
      </c>
      <c r="P74" s="534">
        <f>+-(P75-P76-P77)</f>
        <v>0</v>
      </c>
      <c r="Q74" s="534">
        <f>+-(Q75-Q76-Q77)</f>
        <v>0</v>
      </c>
      <c r="R74" s="482">
        <f>+S74-Q74</f>
        <v>0</v>
      </c>
      <c r="S74" s="534">
        <f>+-(S75-S76-S77)</f>
        <v>0</v>
      </c>
      <c r="T74" s="534">
        <f>+-(T75-T76-T77)</f>
        <v>0</v>
      </c>
      <c r="U74" s="482">
        <f>+V74-T74</f>
        <v>0</v>
      </c>
      <c r="V74" s="534">
        <f>+-(V75-V76-V77)</f>
        <v>0</v>
      </c>
      <c r="W74" s="534">
        <f>+-(W75-W76-W77)</f>
        <v>0</v>
      </c>
      <c r="X74" s="482">
        <f>+Y74-W74</f>
        <v>0</v>
      </c>
      <c r="Y74" s="534">
        <f>+-(Y75-Y76-Y77)</f>
        <v>0</v>
      </c>
      <c r="Z74" s="534">
        <f>+-(Z75-Z76-Z77)</f>
        <v>0</v>
      </c>
      <c r="AA74" s="482">
        <f>+AB74-Z74</f>
        <v>0</v>
      </c>
      <c r="AB74" s="534">
        <f>+-(AB75-AB76-AB77)</f>
        <v>0</v>
      </c>
      <c r="AC74" s="534">
        <f>+-(AC75-AC76-AC77)</f>
        <v>0</v>
      </c>
      <c r="AD74" s="482">
        <f>+AE74-AC74</f>
        <v>0</v>
      </c>
      <c r="AE74" s="534">
        <f>+-(AE75-AE76-AE77)</f>
        <v>0</v>
      </c>
      <c r="AF74" s="534">
        <f>+-(AF75-AF76-AF77)</f>
        <v>0</v>
      </c>
      <c r="AG74" s="482">
        <f>+AH74-AF74</f>
        <v>0</v>
      </c>
      <c r="AH74" s="534">
        <f>+-(AH75-AH76-AH77)</f>
        <v>0</v>
      </c>
      <c r="AI74" s="534">
        <f>+-(AI75-AI76-AI77)</f>
        <v>-3.1E-2</v>
      </c>
      <c r="AJ74" s="482">
        <f>+AK74-AI74</f>
        <v>0</v>
      </c>
      <c r="AK74" s="534">
        <f>+-(AK75-AK76-AK77)</f>
        <v>-3.1E-2</v>
      </c>
      <c r="AL74" s="534">
        <f>+-(AL75-AL76-AL77)</f>
        <v>-2.9999999999999992E-2</v>
      </c>
      <c r="AM74" s="482">
        <f>+AN74-AL74</f>
        <v>-0.34800000000000003</v>
      </c>
      <c r="AN74" s="534">
        <f>+-(AN75-AN76-AN77)</f>
        <v>-0.378</v>
      </c>
      <c r="AO74" s="534">
        <f>+-(AO75-AO76-AO77)</f>
        <v>-0.29799999999999999</v>
      </c>
      <c r="AP74" s="482">
        <f>+AQ74-AO74</f>
        <v>-0.26300000000000007</v>
      </c>
      <c r="AQ74" s="534">
        <f>+-(AQ75-AQ76-AQ77)</f>
        <v>-0.56100000000000005</v>
      </c>
      <c r="AR74" s="534">
        <f>+-(AR75-AR76-AR77)</f>
        <v>-0.28000000000000003</v>
      </c>
      <c r="AS74" s="482">
        <f>+AT74-AR74</f>
        <v>-0.251</v>
      </c>
      <c r="AT74" s="534">
        <f>+-(AT75-AT76-AT77)</f>
        <v>-0.53100000000000003</v>
      </c>
      <c r="AU74" s="534">
        <f>+-(AU75-AU76-AU77)</f>
        <v>-0.35800000000000004</v>
      </c>
      <c r="AV74" s="482">
        <f>+AW74-AU74</f>
        <v>-0.50299999999999989</v>
      </c>
      <c r="AW74" s="534">
        <f>+-(AW75-AW76-AW77)</f>
        <v>-0.86099999999999999</v>
      </c>
      <c r="AX74" s="534">
        <f>+-(AX75-AX76-AX77)</f>
        <v>-0.71199999999999997</v>
      </c>
      <c r="AY74" s="482">
        <f>+AZ74-AX74</f>
        <v>-0.57400000000000007</v>
      </c>
      <c r="AZ74" s="534">
        <f>+-(AZ75-AZ76-AZ77)</f>
        <v>-1.286</v>
      </c>
      <c r="BA74" s="534">
        <f>+-(BA75-BA76-BA77)</f>
        <v>-0.53999999999999992</v>
      </c>
      <c r="BB74" s="482">
        <f>+BC74-BA74</f>
        <v>-0.39800000000000002</v>
      </c>
      <c r="BC74" s="534">
        <f>+-(BC75-BC76-BC77)</f>
        <v>-0.93799999999999994</v>
      </c>
      <c r="BD74" s="534">
        <f>+-(BD75-BD76-BD77)</f>
        <v>0.25</v>
      </c>
      <c r="BE74" s="482">
        <f>+BF74-BD74</f>
        <v>0.20999999999999996</v>
      </c>
      <c r="BF74" s="534">
        <f>+-(BF75-BF76-BF77)</f>
        <v>0.45999999999999996</v>
      </c>
      <c r="BG74" s="534">
        <f>+-(BG75-BG76-BG77)</f>
        <v>0.31500000000000006</v>
      </c>
      <c r="BH74" s="482">
        <f>+BI74-BG74</f>
        <v>-0.17600000000000005</v>
      </c>
      <c r="BI74" s="534">
        <f>+-(BI75-BI76-BI77)</f>
        <v>0.13900000000000001</v>
      </c>
      <c r="BJ74" s="534">
        <f>+-(BJ75-BJ76-BJ77)</f>
        <v>-0.77299999999999991</v>
      </c>
      <c r="BK74" s="482">
        <f>+BL74-BJ74</f>
        <v>-1.018</v>
      </c>
      <c r="BL74" s="534">
        <f>+-(BL75-BL76-BL77)</f>
        <v>-1.7909999999999999</v>
      </c>
      <c r="BM74" s="534">
        <f>+-(BM75-BM76-BM77)</f>
        <v>0.45300000000000001</v>
      </c>
      <c r="BN74" s="482">
        <f>+BO74-BM74</f>
        <v>-0.22500000000000026</v>
      </c>
      <c r="BO74" s="534">
        <f>+-(BO75-BO76-BO77)</f>
        <v>0.22799999999999976</v>
      </c>
      <c r="BP74" s="534">
        <f>+-(BP75-BP76-BP77)</f>
        <v>3.2000000000000028E-2</v>
      </c>
      <c r="BQ74" s="482">
        <f>+BR74-BP74</f>
        <v>-0.37000000000000011</v>
      </c>
      <c r="BR74" s="534">
        <f>+-(BR75-BR76-BR77)</f>
        <v>-0.33800000000000008</v>
      </c>
      <c r="BS74" s="534">
        <f>+-(BS75-BS76-BS77)</f>
        <v>5.0389999999999997</v>
      </c>
      <c r="BT74" s="482">
        <f>+BU74-BS74</f>
        <v>5.0609999999999999</v>
      </c>
      <c r="BU74" s="534">
        <f>+-(BU75-BU76-BU77)</f>
        <v>10.1</v>
      </c>
      <c r="BV74" s="534">
        <f>+-(BV75-BV76-BV77)</f>
        <v>5.0330000000000004</v>
      </c>
      <c r="BW74" s="482">
        <f>+BX74-BV74</f>
        <v>5.5789999999999997</v>
      </c>
      <c r="BX74" s="534">
        <f>+-(BX75-BX76-BX77)</f>
        <v>10.612</v>
      </c>
      <c r="BY74" s="534">
        <f>+-(BY75-BY76-BY77)</f>
        <v>-6.5139999999999993</v>
      </c>
      <c r="BZ74" s="482">
        <f>+CA74-BY74</f>
        <v>4.891</v>
      </c>
      <c r="CA74" s="534">
        <f>+-(CA75-CA76-CA77)</f>
        <v>-1.6229999999999993</v>
      </c>
      <c r="CB74" s="534">
        <f>+-(CB75-CB76-CB77)</f>
        <v>1.1220000000000008</v>
      </c>
      <c r="CC74" s="482">
        <f>+CD74-CB74</f>
        <v>8.8789999999999978</v>
      </c>
      <c r="CD74" s="534">
        <f>+-(CD75-CD76-CD77)</f>
        <v>10.000999999999999</v>
      </c>
      <c r="CE74" s="534">
        <f>+-(CE75-CE76-CE77)</f>
        <v>1.778</v>
      </c>
      <c r="CF74" s="482">
        <f>+CG74-CE74</f>
        <v>3.28</v>
      </c>
      <c r="CG74" s="534">
        <f>+-(CG75-CG76-CG77)</f>
        <v>5.0579999999999998</v>
      </c>
      <c r="CH74" s="534">
        <f>+-(CH75-CH76-CH77)</f>
        <v>2.383</v>
      </c>
      <c r="CI74" s="482">
        <f>+CJ74-CH74</f>
        <v>1.915</v>
      </c>
      <c r="CJ74" s="534">
        <f>+-(CJ75-CJ76-CJ77)</f>
        <v>4.298</v>
      </c>
      <c r="CK74" s="534">
        <f>+-(CK75-CK76-CK77)</f>
        <v>2.83</v>
      </c>
      <c r="CL74" s="482">
        <f>+CM74-CK74</f>
        <v>3.3929999999999998</v>
      </c>
      <c r="CM74" s="534">
        <f>+-(CM75-CM76-CM77)</f>
        <v>6.2229999999999999</v>
      </c>
      <c r="CN74" s="534">
        <f>+-(CN75-CN76-CN77)</f>
        <v>4.59</v>
      </c>
      <c r="CO74" s="482">
        <f>+CP74-CN74</f>
        <v>5.3869999999999987</v>
      </c>
      <c r="CP74" s="534">
        <f>+-(CP75-CP76-CP77)</f>
        <v>9.9769999999999985</v>
      </c>
      <c r="CQ74" s="534">
        <f>+-(CQ75-CQ76-CQ77)</f>
        <v>5.4520226903248803</v>
      </c>
      <c r="CR74" s="482">
        <f>+CS74-CQ74</f>
        <v>4.6271398096751222</v>
      </c>
      <c r="CS74" s="534">
        <f>+-(CS75-CS76-CS77)</f>
        <v>10.079162500000002</v>
      </c>
      <c r="CT74" s="534">
        <f>+-(CT75-CT76-CT77)</f>
        <v>4.6839999999999984</v>
      </c>
      <c r="CU74" s="482">
        <f>+CV74-CT74</f>
        <v>3.6540000000000008</v>
      </c>
      <c r="CV74" s="534">
        <f>+-(CV75-CV76-CV77)</f>
        <v>8.3379999999999992</v>
      </c>
      <c r="CW74" s="534">
        <f>+-(CW75-CW76-CW77)</f>
        <v>3.4170000000000003</v>
      </c>
      <c r="CX74" s="482">
        <f>+CY74-CW74</f>
        <v>3.4540888000000005</v>
      </c>
      <c r="CY74" s="534">
        <f>+-(CY75-CY76-CY77)</f>
        <v>6.8710888000000008</v>
      </c>
      <c r="CZ74" s="534">
        <f>+-(CZ75-CZ76-CZ77)</f>
        <v>3.7355792000000001</v>
      </c>
      <c r="DA74" s="482">
        <f>+DB74-CZ74</f>
        <v>4.1644208000000003</v>
      </c>
      <c r="DB74" s="534">
        <f>+-(DB75-DB76-DB77)</f>
        <v>7.9</v>
      </c>
      <c r="DC74" s="534">
        <f>+-(DC75-DC76-DC77)</f>
        <v>2.7</v>
      </c>
      <c r="DD74" s="482">
        <f>+DE74-DC74</f>
        <v>1.7994999999999992</v>
      </c>
      <c r="DE74" s="534">
        <f>+-(DE75-DE76-DE77)</f>
        <v>4.4994999999999994</v>
      </c>
      <c r="DF74" s="534">
        <f>+-(DF75-DF76-DF77-PL_Int_Cap_H1_20)</f>
        <v>4.8031480397893507</v>
      </c>
      <c r="DG74" s="482">
        <f>+DH74-DF74</f>
        <v>4.1151369602106502</v>
      </c>
      <c r="DH74" s="1262">
        <f>+-(DH75-DH76-DH77-PL_Int_Cap_20)</f>
        <v>8.9182850000000009</v>
      </c>
      <c r="DI74" s="534">
        <f>+-(DI75-DI76-DI77-DI78)</f>
        <v>4.5</v>
      </c>
      <c r="DJ74" s="482">
        <f>+DK74-DI74</f>
        <v>3.9000000000000004</v>
      </c>
      <c r="DK74" s="1262">
        <f>+-(DK75-DK76-DK77-DK78)</f>
        <v>8.4</v>
      </c>
      <c r="DL74" s="534">
        <f>+-(DL75-DL76-DL77-DL78)</f>
        <v>3.5</v>
      </c>
      <c r="DM74" s="482">
        <f>+DN74-DL74</f>
        <v>2.6999999999999993</v>
      </c>
      <c r="DN74" s="1262">
        <f>+-(DN75-DN76-DN77-DN78)</f>
        <v>6.1999999999999993</v>
      </c>
      <c r="DO74" s="534">
        <f>+-(DO75-DO76-DO77-DO78)</f>
        <v>-2</v>
      </c>
      <c r="DP74" s="482">
        <f>+DQ74-DO74</f>
        <v>-5.0999999999999996</v>
      </c>
      <c r="DQ74" s="1262">
        <f>+-(DQ75-DQ76-DQ77-DQ78)</f>
        <v>-7.1</v>
      </c>
      <c r="DR74" s="534">
        <f>+-(DR75-DR76-DR77-DR78)</f>
        <v>-5.1000000000000005</v>
      </c>
      <c r="DS74" s="482">
        <f>+DT74-DR74</f>
        <v>-4.7</v>
      </c>
      <c r="DT74" s="1262">
        <f>+-(DT75-DT76-DT77-DT78)</f>
        <v>-9.8000000000000007</v>
      </c>
      <c r="DU74" s="534">
        <f>+-(DU75-DU76-DU77-DU78)</f>
        <v>-1.7000000000000002</v>
      </c>
      <c r="DV74" s="482">
        <f>+DW74-DU74</f>
        <v>1.0000000000000009</v>
      </c>
      <c r="DW74" s="1262">
        <f>+-(DW75-DW76-DW77-DW78)</f>
        <v>-0.69999999999999929</v>
      </c>
      <c r="DX74" s="534">
        <f>+-(DX75-DX76-DX77-DX78)</f>
        <v>-2.1000000000000005</v>
      </c>
      <c r="DY74" s="482">
        <f>+DZ74-DX74</f>
        <v>2.8605000000000009</v>
      </c>
      <c r="DZ74" s="1262">
        <f>+-(DZ75-DZ76-DZ77-DZ78)</f>
        <v>0.7605000000000004</v>
      </c>
      <c r="EA74" s="534">
        <f>+-(EA75-EA76-EA77-EA78)</f>
        <v>3.480459391519124</v>
      </c>
      <c r="EB74" s="482">
        <f>+EC74-EA74</f>
        <v>3.480459391519124</v>
      </c>
      <c r="EC74" s="1262">
        <f>+-(EC75-EC76-EC77-EC78)</f>
        <v>6.960918783038248</v>
      </c>
      <c r="ED74" s="534">
        <f>+-(ED75-ED76-ED77-ED78)</f>
        <v>4.560967878198495</v>
      </c>
      <c r="EE74" s="482">
        <f>+EF74-ED74</f>
        <v>4.560967878198495</v>
      </c>
      <c r="EF74" s="1262">
        <f>+-(EF75-EF76-EF77-EF78)</f>
        <v>9.1219357563969901</v>
      </c>
      <c r="EG74" s="534">
        <f>+-(EG75-EG76-EG77-EG78)</f>
        <v>4.3342304004501404</v>
      </c>
      <c r="EH74" s="482">
        <f>+EI74-EG74</f>
        <v>4.3342304004501404</v>
      </c>
      <c r="EI74" s="1262">
        <f>+-(EI75-EI76-EI77-EI78)</f>
        <v>8.6684608009002808</v>
      </c>
      <c r="EJ74" s="534">
        <f>+-(EJ75-EJ76-EJ77-EJ78)</f>
        <v>4.2761818377780694</v>
      </c>
      <c r="EK74" s="482">
        <f>+EL74-EJ74</f>
        <v>4.2761818377780694</v>
      </c>
      <c r="EL74" s="1262">
        <f>+-(EL75-EL76-EL77-EL78)</f>
        <v>8.5523636755561387</v>
      </c>
      <c r="EM74" s="534">
        <f>+-(EM75-EM76-EM77-EM78)</f>
        <v>3.2893659768065096</v>
      </c>
      <c r="EN74" s="482">
        <f>+EO74-EM74</f>
        <v>3.2893659768065096</v>
      </c>
      <c r="EO74" s="1262">
        <f>+-(EO75-EO76-EO77-EO78)</f>
        <v>6.5787319536130191</v>
      </c>
      <c r="EP74" s="534">
        <f>+-(EP75-EP76-EP77-EP78)</f>
        <v>1.3267519136821013</v>
      </c>
      <c r="EQ74" s="482">
        <f>+ER74-EP74</f>
        <v>1.3267519136821013</v>
      </c>
      <c r="ER74" s="1262">
        <f>+-(ER75-ER76-ER77-ER78)</f>
        <v>2.6535038273642026</v>
      </c>
      <c r="ES74" s="534">
        <f>+-(ES75-ES76-ES77-ES78)</f>
        <v>-0.89316936777389433</v>
      </c>
      <c r="ET74" s="482">
        <f>+EU74-ES74</f>
        <v>-0.89316936777389433</v>
      </c>
      <c r="EU74" s="1262">
        <f>+-(EU75-EU76-EU77-EU78)</f>
        <v>-1.7863387355477887</v>
      </c>
      <c r="EV74" s="534">
        <f>+-(EV75-EV76-EV77-EV78)</f>
        <v>-3.4027929759009394</v>
      </c>
      <c r="EW74" s="482">
        <f>+EX74-EV74</f>
        <v>-3.4027929759009394</v>
      </c>
      <c r="EX74" s="1262">
        <f>+-(EX75-EX76-EX77-EX78)</f>
        <v>-6.8055859518018789</v>
      </c>
      <c r="EY74" s="534">
        <f>+-(EY75-EY76-EY77-EY78)</f>
        <v>-6.239627022016708</v>
      </c>
      <c r="EZ74" s="482">
        <f>+FA74-EY74</f>
        <v>-6.239627022016708</v>
      </c>
      <c r="FA74" s="1262">
        <f>+-(FA75-FA76-FA77-FA78)</f>
        <v>-12.479254044033416</v>
      </c>
      <c r="FE74"/>
      <c r="FF74"/>
      <c r="FG74"/>
      <c r="FH74"/>
      <c r="FI74"/>
      <c r="FJ74"/>
      <c r="FK74" s="35"/>
    </row>
    <row r="75" spans="1:167" s="236" customFormat="1" ht="13.35" customHeight="1" outlineLevel="1">
      <c r="B75" s="242" t="s">
        <v>797</v>
      </c>
      <c r="C75" s="242" t="s">
        <v>496</v>
      </c>
      <c r="D75" s="243"/>
      <c r="E75" s="535"/>
      <c r="F75" s="510">
        <f>G75-E75</f>
        <v>0</v>
      </c>
      <c r="G75" s="536"/>
      <c r="H75" s="537"/>
      <c r="I75" s="510">
        <f>J75-H75</f>
        <v>0</v>
      </c>
      <c r="J75" s="536"/>
      <c r="K75" s="537"/>
      <c r="L75" s="510">
        <f>M75-K75</f>
        <v>0</v>
      </c>
      <c r="M75" s="536"/>
      <c r="N75" s="537"/>
      <c r="O75" s="510">
        <f>P75-N75</f>
        <v>0</v>
      </c>
      <c r="P75" s="536"/>
      <c r="Q75" s="537"/>
      <c r="R75" s="510">
        <f>S75-Q75</f>
        <v>0</v>
      </c>
      <c r="S75" s="536"/>
      <c r="T75" s="537"/>
      <c r="U75" s="510">
        <f>V75-T75</f>
        <v>0</v>
      </c>
      <c r="V75" s="536"/>
      <c r="W75" s="537"/>
      <c r="X75" s="510">
        <f>Y75-W75</f>
        <v>0</v>
      </c>
      <c r="Y75" s="536"/>
      <c r="Z75" s="537"/>
      <c r="AA75" s="510">
        <f>AB75-Z75</f>
        <v>0</v>
      </c>
      <c r="AB75" s="536"/>
      <c r="AC75" s="537"/>
      <c r="AD75" s="510">
        <f>AE75-AC75</f>
        <v>0</v>
      </c>
      <c r="AE75" s="536"/>
      <c r="AF75" s="537"/>
      <c r="AG75" s="510">
        <f>AH75-AF75</f>
        <v>0</v>
      </c>
      <c r="AH75" s="536"/>
      <c r="AI75" s="537">
        <f>AK75</f>
        <v>4.7E-2</v>
      </c>
      <c r="AJ75" s="510">
        <f>AK75-AI75</f>
        <v>0</v>
      </c>
      <c r="AK75" s="539">
        <v>4.7E-2</v>
      </c>
      <c r="AL75" s="538">
        <v>7.0999999999999994E-2</v>
      </c>
      <c r="AM75" s="510">
        <f>AN75-AL75</f>
        <v>0.38400000000000001</v>
      </c>
      <c r="AN75" s="536">
        <f>0.455</f>
        <v>0.45500000000000002</v>
      </c>
      <c r="AO75" s="537">
        <f>0.358</f>
        <v>0.35799999999999998</v>
      </c>
      <c r="AP75" s="510">
        <f>AQ75-AO75</f>
        <v>0.32200000000000006</v>
      </c>
      <c r="AQ75" s="536">
        <f>0.68</f>
        <v>0.68</v>
      </c>
      <c r="AR75" s="537">
        <f>0.323</f>
        <v>0.32300000000000001</v>
      </c>
      <c r="AS75" s="510">
        <f>AT75-AR75</f>
        <v>0.30099999999999999</v>
      </c>
      <c r="AT75" s="536">
        <f>0.624</f>
        <v>0.624</v>
      </c>
      <c r="AU75" s="538">
        <v>0.40600000000000003</v>
      </c>
      <c r="AV75" s="510">
        <f>AW75-AU75</f>
        <v>0.57099999999999995</v>
      </c>
      <c r="AW75" s="539">
        <v>0.97699999999999998</v>
      </c>
      <c r="AX75" s="538">
        <v>0.755</v>
      </c>
      <c r="AY75" s="510">
        <f>AZ75-AX75</f>
        <v>0.624</v>
      </c>
      <c r="AZ75" s="539">
        <v>1.379</v>
      </c>
      <c r="BA75" s="538">
        <v>0.56499999999999995</v>
      </c>
      <c r="BB75" s="510">
        <f>BC75-BA75</f>
        <v>0.59499999999999997</v>
      </c>
      <c r="BC75" s="539">
        <v>1.1599999999999999</v>
      </c>
      <c r="BD75" s="538">
        <v>0</v>
      </c>
      <c r="BE75" s="510">
        <f>BF75-BD75</f>
        <v>0.69</v>
      </c>
      <c r="BF75" s="539">
        <v>0.69</v>
      </c>
      <c r="BG75" s="538">
        <v>0.218</v>
      </c>
      <c r="BH75" s="510">
        <f>BI75-BG75</f>
        <v>0.43900000000000006</v>
      </c>
      <c r="BI75" s="539">
        <v>0.65700000000000003</v>
      </c>
      <c r="BJ75" s="538">
        <v>1.1679999999999999</v>
      </c>
      <c r="BK75" s="510">
        <f>BL75-BJ75</f>
        <v>1.4339999999999999</v>
      </c>
      <c r="BL75" s="539">
        <v>2.6019999999999999</v>
      </c>
      <c r="BM75" s="538">
        <v>0</v>
      </c>
      <c r="BN75" s="510">
        <f>BO75-BM75</f>
        <v>2.7</v>
      </c>
      <c r="BO75" s="553">
        <v>2.7</v>
      </c>
      <c r="BP75" s="537">
        <f>2.17+0.828</f>
        <v>2.9979999999999998</v>
      </c>
      <c r="BQ75" s="510">
        <f>BR75-BP75</f>
        <v>3.7310000000000003</v>
      </c>
      <c r="BR75" s="553">
        <v>6.7290000000000001</v>
      </c>
      <c r="BS75" s="538">
        <v>1.091</v>
      </c>
      <c r="BT75" s="510">
        <f>BU75-BS75</f>
        <v>1.1079999999999999</v>
      </c>
      <c r="BU75" s="553">
        <v>2.1989999999999998</v>
      </c>
      <c r="BV75" s="538">
        <v>0.67</v>
      </c>
      <c r="BW75" s="510">
        <f>BX75-BV75</f>
        <v>0.73999999999999988</v>
      </c>
      <c r="BX75" s="553">
        <v>1.41</v>
      </c>
      <c r="BY75" s="538">
        <v>15.888999999999999</v>
      </c>
      <c r="BZ75" s="510">
        <f>CA75-BY75</f>
        <v>-5.4149999999999991</v>
      </c>
      <c r="CA75" s="553">
        <v>10.474</v>
      </c>
      <c r="CB75" s="538">
        <v>4.7619999999999996</v>
      </c>
      <c r="CC75" s="510">
        <f>CD75-CB75</f>
        <v>-2.3559999999999994</v>
      </c>
      <c r="CD75" s="553">
        <v>2.4060000000000001</v>
      </c>
      <c r="CE75" s="538">
        <v>3.23</v>
      </c>
      <c r="CF75" s="510">
        <f>CG75-CE75</f>
        <v>0.37800000000000011</v>
      </c>
      <c r="CG75" s="553">
        <v>3.6080000000000001</v>
      </c>
      <c r="CH75" s="538">
        <v>0.44500000000000001</v>
      </c>
      <c r="CI75" s="510">
        <f>CJ75-CH75</f>
        <v>1.407</v>
      </c>
      <c r="CJ75" s="553">
        <v>1.8520000000000001</v>
      </c>
      <c r="CK75" s="538">
        <v>0.29299999999999998</v>
      </c>
      <c r="CL75" s="510">
        <f>CM75-CK75</f>
        <v>0.36600000000000005</v>
      </c>
      <c r="CM75" s="553">
        <v>0.65900000000000003</v>
      </c>
      <c r="CN75" s="538">
        <v>0.15</v>
      </c>
      <c r="CO75" s="510">
        <f>CP75-CN75</f>
        <v>0.17399999999999996</v>
      </c>
      <c r="CP75" s="535">
        <f>IF(Assumptions!CP110&lt;&gt;"",Assumptions!CP110,0)</f>
        <v>0.32399999999999995</v>
      </c>
      <c r="CQ75" s="537">
        <f>IF(Assumptions!CQ110&lt;&gt;"",Assumptions!CQ110,0)</f>
        <v>8.9977309675119743E-2</v>
      </c>
      <c r="CR75" s="510">
        <f>CS75-CQ75</f>
        <v>0.23086019032488031</v>
      </c>
      <c r="CS75" s="535">
        <f>IF(Assumptions!CS110&lt;&gt;"",Assumptions!CS110,0)</f>
        <v>0.32083750000000005</v>
      </c>
      <c r="CT75" s="537">
        <f>IF(Assumptions!CT110&lt;&gt;"",Assumptions!CT110,0)</f>
        <v>0.12999999999999998</v>
      </c>
      <c r="CU75" s="510">
        <f>CV75-CT75</f>
        <v>0.33799999999999997</v>
      </c>
      <c r="CV75" s="535">
        <f>IF(Assumptions!CV110&lt;&gt;"",Assumptions!CV110,0)</f>
        <v>0.46799999999999997</v>
      </c>
      <c r="CW75" s="537">
        <f>IF(Assumptions!CW110&lt;&gt;"",Assumptions!CW110,0)</f>
        <v>0.27199999999999996</v>
      </c>
      <c r="CX75" s="510">
        <f>CY75-CW75</f>
        <v>0.38782800000000001</v>
      </c>
      <c r="CY75" s="535">
        <f>IF(Assumptions!CY110&lt;&gt;"",Assumptions!CY110,0)</f>
        <v>0.65982799999999997</v>
      </c>
      <c r="CZ75" s="537">
        <f>IF(Assumptions!CZ110&lt;&gt;"",Assumptions!CZ110,0)</f>
        <v>0.24554999999999999</v>
      </c>
      <c r="DA75" s="510">
        <f>DB75-CZ75</f>
        <v>0.35444999999999999</v>
      </c>
      <c r="DB75" s="535">
        <f>IF(Assumptions!DB110&lt;&gt;"",Assumptions!DB110,0)</f>
        <v>0.6</v>
      </c>
      <c r="DC75" s="537">
        <f>IF(Assumptions!DC110&lt;&gt;"",Assumptions!DC110,0)</f>
        <v>0.30000000000000004</v>
      </c>
      <c r="DD75" s="510">
        <f>DE75-DC75</f>
        <v>0.40049999999999997</v>
      </c>
      <c r="DE75" s="535">
        <f>IF(Assumptions!DE110&lt;&gt;"",Assumptions!DE110,0)</f>
        <v>0.70050000000000001</v>
      </c>
      <c r="DF75" s="537">
        <f>IF(Assumptions!DF110&lt;&gt;"",Assumptions!DF110,0)</f>
        <v>0.19685196021064949</v>
      </c>
      <c r="DG75" s="510">
        <f>DH75-DF75</f>
        <v>1.4443280397893505</v>
      </c>
      <c r="DH75" s="1268">
        <f>IF(Assumptions!DH110&lt;&gt;"",Assumptions!DH110,0)</f>
        <v>1.6411800000000001</v>
      </c>
      <c r="DI75" s="534">
        <f>IF(Assumptions!DI110&lt;&gt;"",Assumptions!DI110,0)</f>
        <v>2.5</v>
      </c>
      <c r="DJ75" s="482">
        <f>DK75-DI75</f>
        <v>1.1000000000000001</v>
      </c>
      <c r="DK75" s="1262">
        <f>IF(Assumptions!DK110&lt;&gt;"",Assumptions!DK110,0)</f>
        <v>3.6</v>
      </c>
      <c r="DL75" s="534">
        <f>IF(Assumptions!DL110&lt;&gt;"",Assumptions!DL110,0)</f>
        <v>0.8</v>
      </c>
      <c r="DM75" s="482">
        <f>DN75-DL75</f>
        <v>1.5999999999999999</v>
      </c>
      <c r="DN75" s="1262">
        <f>IF(Assumptions!DN110&lt;&gt;"",Assumptions!DN110,0)</f>
        <v>2.4</v>
      </c>
      <c r="DO75" s="534">
        <f>IF(Assumptions!DO110&lt;&gt;"",Assumptions!DO110,0)</f>
        <v>6.7</v>
      </c>
      <c r="DP75" s="482">
        <f>DQ75-DO75</f>
        <v>9.8000000000000007</v>
      </c>
      <c r="DQ75" s="1262">
        <f>IF(Assumptions!DQ110&lt;&gt;"",Assumptions!DQ110,0)</f>
        <v>16.5</v>
      </c>
      <c r="DR75" s="534">
        <f>IF(Assumptions!DR110&lt;&gt;"",Assumptions!DR110,0)</f>
        <v>9.4</v>
      </c>
      <c r="DS75" s="482">
        <f>DT75-DR75</f>
        <v>9.6</v>
      </c>
      <c r="DT75" s="1262">
        <f>IF(Assumptions!DT110&lt;&gt;"",Assumptions!DT110,0)</f>
        <v>19</v>
      </c>
      <c r="DU75" s="534">
        <f>IF(Assumptions!DU110&lt;&gt;"",Assumptions!DU110,0)</f>
        <v>7.4</v>
      </c>
      <c r="DV75" s="482">
        <f>DW75-DU75</f>
        <v>4.2999999999999989</v>
      </c>
      <c r="DW75" s="1262">
        <f>IF(Assumptions!DW110&lt;&gt;"",Assumptions!DW110,0)</f>
        <v>11.7</v>
      </c>
      <c r="DX75" s="534">
        <f>IF(Assumptions!DX110&lt;&gt;"",Assumptions!DX110,0)</f>
        <v>8.4</v>
      </c>
      <c r="DY75" s="482">
        <f>DZ75-DX75</f>
        <v>3.4394999999999989</v>
      </c>
      <c r="DZ75" s="1262">
        <f>IF(Assumptions!DZ110&lt;&gt;"",Assumptions!DZ110,0)</f>
        <v>11.839499999999999</v>
      </c>
      <c r="EA75" s="534">
        <f>IF(Assumptions!EA110&lt;&gt;"",Assumptions!EA110,0)</f>
        <v>2.8195406084808758</v>
      </c>
      <c r="EB75" s="482">
        <f>EC75-EA75</f>
        <v>2.8195406084808758</v>
      </c>
      <c r="EC75" s="1262">
        <f>IF(Assumptions!EC110&lt;&gt;"",Assumptions!EC110,0)</f>
        <v>5.6390812169617517</v>
      </c>
      <c r="ED75" s="534">
        <f>IF(Assumptions!ED110&lt;&gt;"",Assumptions!ED110,0)</f>
        <v>1.739032121801505</v>
      </c>
      <c r="EE75" s="482">
        <f>EF75-ED75</f>
        <v>1.739032121801505</v>
      </c>
      <c r="EF75" s="1262">
        <f>IF(Assumptions!EF110&lt;&gt;"",Assumptions!EF110,0)</f>
        <v>3.47806424360301</v>
      </c>
      <c r="EG75" s="534">
        <f>IF(Assumptions!EG110&lt;&gt;"",Assumptions!EG110,0)</f>
        <v>1.9657695995498594</v>
      </c>
      <c r="EH75" s="482">
        <f>EI75-EG75</f>
        <v>1.9657695995498594</v>
      </c>
      <c r="EI75" s="1262">
        <f>IF(Assumptions!EI110&lt;&gt;"",Assumptions!EI110,0)</f>
        <v>3.9315391990997188</v>
      </c>
      <c r="EJ75" s="534">
        <f>IF(Assumptions!EJ110&lt;&gt;"",Assumptions!EJ110,0)</f>
        <v>2.0238181622219305</v>
      </c>
      <c r="EK75" s="482">
        <f>EL75-EJ75</f>
        <v>2.0238181622219305</v>
      </c>
      <c r="EL75" s="1262">
        <f>IF(Assumptions!EL110&lt;&gt;"",Assumptions!EL110,0)</f>
        <v>4.0476363244438609</v>
      </c>
      <c r="EM75" s="534">
        <f>IF(Assumptions!EM110&lt;&gt;"",Assumptions!EM110,0)</f>
        <v>3.0106340231934903</v>
      </c>
      <c r="EN75" s="482">
        <f>EO75-EM75</f>
        <v>3.0106340231934903</v>
      </c>
      <c r="EO75" s="1262">
        <f>IF(Assumptions!EO110&lt;&gt;"",Assumptions!EO110,0)</f>
        <v>6.0212680463869805</v>
      </c>
      <c r="EP75" s="534">
        <f>IF(Assumptions!EP110&lt;&gt;"",Assumptions!EP110,0)</f>
        <v>4.9732480863178985</v>
      </c>
      <c r="EQ75" s="482">
        <f>ER75-EP75</f>
        <v>4.9732480863178985</v>
      </c>
      <c r="ER75" s="1262">
        <f>IF(Assumptions!ER110&lt;&gt;"",Assumptions!ER110,0)</f>
        <v>9.946496172635797</v>
      </c>
      <c r="ES75" s="534">
        <f>IF(Assumptions!ES110&lt;&gt;"",Assumptions!ES110,0)</f>
        <v>7.1931693677738942</v>
      </c>
      <c r="ET75" s="482">
        <f>EU75-ES75</f>
        <v>7.1931693677738942</v>
      </c>
      <c r="EU75" s="1262">
        <f>IF(Assumptions!EU110&lt;&gt;"",Assumptions!EU110,0)</f>
        <v>14.386338735547788</v>
      </c>
      <c r="EV75" s="534">
        <f>IF(Assumptions!EV110&lt;&gt;"",Assumptions!EV110,0)</f>
        <v>9.7027929759009393</v>
      </c>
      <c r="EW75" s="482">
        <f>EX75-EV75</f>
        <v>9.7027929759009393</v>
      </c>
      <c r="EX75" s="1262">
        <f>IF(Assumptions!EX110&lt;&gt;"",Assumptions!EX110,0)</f>
        <v>19.405585951801879</v>
      </c>
      <c r="EY75" s="534">
        <f>IF(Assumptions!EY110&lt;&gt;"",Assumptions!EY110,0)</f>
        <v>12.539627022016708</v>
      </c>
      <c r="EZ75" s="482">
        <f>FA75-EY75</f>
        <v>12.539627022016708</v>
      </c>
      <c r="FA75" s="1262">
        <f>IF(Assumptions!FA110&lt;&gt;"",Assumptions!FA110,0)</f>
        <v>25.079254044033416</v>
      </c>
      <c r="FE75"/>
      <c r="FF75"/>
      <c r="FG75"/>
      <c r="FH75"/>
      <c r="FI75"/>
      <c r="FJ75"/>
      <c r="FK75" s="35"/>
    </row>
    <row r="76" spans="1:167" s="236" customFormat="1" ht="13.35" customHeight="1" outlineLevel="1">
      <c r="B76" s="552" t="s">
        <v>798</v>
      </c>
      <c r="C76" s="242" t="s">
        <v>496</v>
      </c>
      <c r="D76" s="243"/>
      <c r="E76" s="522"/>
      <c r="F76" s="482">
        <f>G76-E76</f>
        <v>0</v>
      </c>
      <c r="G76" s="523"/>
      <c r="H76" s="524"/>
      <c r="I76" s="482">
        <f>J76-H76</f>
        <v>0</v>
      </c>
      <c r="J76" s="523"/>
      <c r="K76" s="524"/>
      <c r="L76" s="482">
        <f>M76-K76</f>
        <v>0</v>
      </c>
      <c r="M76" s="523"/>
      <c r="N76" s="524"/>
      <c r="O76" s="482">
        <f>P76-N76</f>
        <v>0</v>
      </c>
      <c r="P76" s="523"/>
      <c r="Q76" s="524"/>
      <c r="R76" s="482">
        <f>S76-Q76</f>
        <v>0</v>
      </c>
      <c r="S76" s="523"/>
      <c r="T76" s="524"/>
      <c r="U76" s="482">
        <f>V76-T76</f>
        <v>0</v>
      </c>
      <c r="V76" s="523"/>
      <c r="W76" s="524"/>
      <c r="X76" s="482">
        <f>Y76-W76</f>
        <v>0</v>
      </c>
      <c r="Y76" s="523"/>
      <c r="Z76" s="524"/>
      <c r="AA76" s="482">
        <f>AB76-Z76</f>
        <v>0</v>
      </c>
      <c r="AB76" s="523"/>
      <c r="AC76" s="524"/>
      <c r="AD76" s="482">
        <f>AE76-AC76</f>
        <v>0</v>
      </c>
      <c r="AE76" s="523"/>
      <c r="AF76" s="524"/>
      <c r="AG76" s="482">
        <f>AH76-AF76</f>
        <v>0</v>
      </c>
      <c r="AH76" s="523"/>
      <c r="AI76" s="524">
        <f>AK76</f>
        <v>1.6E-2</v>
      </c>
      <c r="AJ76" s="482">
        <f>AK76-AI76</f>
        <v>0</v>
      </c>
      <c r="AK76" s="526">
        <v>1.6E-2</v>
      </c>
      <c r="AL76" s="525">
        <v>4.1000000000000002E-2</v>
      </c>
      <c r="AM76" s="482">
        <f>AN76-AL76</f>
        <v>3.5999999999999997E-2</v>
      </c>
      <c r="AN76" s="526">
        <v>7.6999999999999999E-2</v>
      </c>
      <c r="AO76" s="525">
        <v>0.06</v>
      </c>
      <c r="AP76" s="482">
        <f>AQ76-AO76</f>
        <v>5.8999999999999997E-2</v>
      </c>
      <c r="AQ76" s="526">
        <v>0.11899999999999999</v>
      </c>
      <c r="AR76" s="525">
        <v>4.2999999999999997E-2</v>
      </c>
      <c r="AS76" s="482">
        <f>AT76-AR76</f>
        <v>0.05</v>
      </c>
      <c r="AT76" s="526">
        <v>9.2999999999999999E-2</v>
      </c>
      <c r="AU76" s="525">
        <v>4.8000000000000001E-2</v>
      </c>
      <c r="AV76" s="482">
        <f>AW76-AU76</f>
        <v>6.8000000000000005E-2</v>
      </c>
      <c r="AW76" s="526">
        <v>0.11600000000000001</v>
      </c>
      <c r="AX76" s="525">
        <v>4.2999999999999997E-2</v>
      </c>
      <c r="AY76" s="482">
        <f>AZ76-AX76</f>
        <v>0.05</v>
      </c>
      <c r="AZ76" s="526">
        <v>9.2999999999999999E-2</v>
      </c>
      <c r="BA76" s="525">
        <v>2.5000000000000001E-2</v>
      </c>
      <c r="BB76" s="482">
        <f>BC76-BA76</f>
        <v>0.19700000000000001</v>
      </c>
      <c r="BC76" s="526">
        <v>0.222</v>
      </c>
      <c r="BD76" s="525">
        <v>0.25</v>
      </c>
      <c r="BE76" s="482">
        <f>BF76-BD76</f>
        <v>0.89999999999999991</v>
      </c>
      <c r="BF76" s="526">
        <v>1.1499999999999999</v>
      </c>
      <c r="BG76" s="525">
        <v>0.53300000000000003</v>
      </c>
      <c r="BH76" s="482">
        <f>BI76-BG76</f>
        <v>0.26300000000000001</v>
      </c>
      <c r="BI76" s="526">
        <v>0.79600000000000004</v>
      </c>
      <c r="BJ76" s="525">
        <v>0.39500000000000002</v>
      </c>
      <c r="BK76" s="482">
        <f>BL76-BJ76</f>
        <v>0.41600000000000004</v>
      </c>
      <c r="BL76" s="526">
        <v>0.81100000000000005</v>
      </c>
      <c r="BM76" s="525">
        <v>0.45300000000000001</v>
      </c>
      <c r="BN76" s="482">
        <f>BO76-BM76</f>
        <v>2.4750000000000001</v>
      </c>
      <c r="BO76" s="527">
        <v>2.9279999999999999</v>
      </c>
      <c r="BP76" s="525">
        <v>3.03</v>
      </c>
      <c r="BQ76" s="482">
        <f>BR76-BP76</f>
        <v>3.3610000000000002</v>
      </c>
      <c r="BR76" s="527">
        <v>6.391</v>
      </c>
      <c r="BS76" s="525">
        <v>6.13</v>
      </c>
      <c r="BT76" s="482">
        <f>BU76-BS76</f>
        <v>6.1689999999999996</v>
      </c>
      <c r="BU76" s="527">
        <v>12.298999999999999</v>
      </c>
      <c r="BV76" s="525">
        <v>5.7030000000000003</v>
      </c>
      <c r="BW76" s="482">
        <f>BX76-BV76</f>
        <v>6.319</v>
      </c>
      <c r="BX76" s="527">
        <v>12.022</v>
      </c>
      <c r="BY76" s="525">
        <v>9.375</v>
      </c>
      <c r="BZ76" s="482">
        <f>CA76-BY76</f>
        <v>-0.52399999999999913</v>
      </c>
      <c r="CA76" s="527">
        <v>8.8510000000000009</v>
      </c>
      <c r="CB76" s="525">
        <v>5.8840000000000003</v>
      </c>
      <c r="CC76" s="482">
        <f>CD76-CB76</f>
        <v>6.5229999999999997</v>
      </c>
      <c r="CD76" s="527">
        <v>12.407</v>
      </c>
      <c r="CE76" s="525">
        <v>5.008</v>
      </c>
      <c r="CF76" s="482">
        <f>CG76-CE76</f>
        <v>3.6580000000000004</v>
      </c>
      <c r="CG76" s="527">
        <v>8.6660000000000004</v>
      </c>
      <c r="CH76" s="525">
        <v>2.8279999999999998</v>
      </c>
      <c r="CI76" s="482">
        <f>CJ76-CH76</f>
        <v>3.3220000000000005</v>
      </c>
      <c r="CJ76" s="527">
        <v>6.15</v>
      </c>
      <c r="CK76" s="525">
        <v>3.1230000000000002</v>
      </c>
      <c r="CL76" s="482">
        <f>CM76-CK76</f>
        <v>3.7589999999999995</v>
      </c>
      <c r="CM76" s="527">
        <v>6.8819999999999997</v>
      </c>
      <c r="CN76" s="525">
        <v>4.74</v>
      </c>
      <c r="CO76" s="482">
        <f>CP76-CN76</f>
        <v>5.5609999999999982</v>
      </c>
      <c r="CP76" s="522">
        <f>IF(Assumptions!CP127&lt;&gt;"",Assumptions!CP127,0)</f>
        <v>10.300999999999998</v>
      </c>
      <c r="CQ76" s="524">
        <f>IF(Assumptions!CQ127&lt;&gt;"",Assumptions!CQ127,0)</f>
        <v>5.5419999999999998</v>
      </c>
      <c r="CR76" s="482">
        <f>CS76-CQ76</f>
        <v>4.8580000000000023</v>
      </c>
      <c r="CS76" s="522">
        <f>IF(Assumptions!CS127&lt;&gt;"",Assumptions!CS127,0)</f>
        <v>10.400000000000002</v>
      </c>
      <c r="CT76" s="524">
        <f>IF(Assumptions!CT127&lt;&gt;"",Assumptions!CT127,0)</f>
        <v>4.8139999999999983</v>
      </c>
      <c r="CU76" s="482">
        <f>CV76-CT76</f>
        <v>3.9920000000000009</v>
      </c>
      <c r="CV76" s="522">
        <f>IF(Assumptions!CV127&lt;&gt;"",Assumptions!CV127,0)</f>
        <v>8.8059999999999992</v>
      </c>
      <c r="CW76" s="524">
        <f>IF(Assumptions!CW127&lt;&gt;"",Assumptions!CW127,0)</f>
        <v>3.6890000000000001</v>
      </c>
      <c r="CX76" s="482">
        <f>CY76-CW76</f>
        <v>3.8419168000000008</v>
      </c>
      <c r="CY76" s="522">
        <f>IF(Assumptions!CY127&lt;&gt;"",Assumptions!CY127,0)</f>
        <v>7.5309168000000009</v>
      </c>
      <c r="CZ76" s="524">
        <f>IF(Assumptions!CZ127&lt;&gt;"",Assumptions!CZ127,0)</f>
        <v>3.9811292000000003</v>
      </c>
      <c r="DA76" s="482">
        <f>DB76-CZ76</f>
        <v>4.5188708000000002</v>
      </c>
      <c r="DB76" s="522">
        <f>IF(Assumptions!DB127&lt;&gt;"",Assumptions!DB127,0)</f>
        <v>8.5</v>
      </c>
      <c r="DC76" s="524">
        <f>IF(Assumptions!DC127&lt;&gt;"",Assumptions!DC127,0)</f>
        <v>3.0000000000000004</v>
      </c>
      <c r="DD76" s="482">
        <f>DE76-DC76</f>
        <v>2.1999999999999988</v>
      </c>
      <c r="DE76" s="522">
        <f>IF(Assumptions!DE127&lt;&gt;"",Assumptions!DE127,0)</f>
        <v>5.1999999999999993</v>
      </c>
      <c r="DF76" s="524">
        <f>IF(Assumptions!DF127&lt;&gt;"",Assumptions!DF121,0)</f>
        <v>2.2000000000000002</v>
      </c>
      <c r="DG76" s="482">
        <f>DH76-DF76</f>
        <v>2.3847750000000003</v>
      </c>
      <c r="DH76" s="1262">
        <f>IF(Assumptions!DH127&lt;&gt;"",Assumptions!DH121,0)</f>
        <v>4.5847750000000005</v>
      </c>
      <c r="DI76" s="534">
        <f>IF(Assumptions!DI127&lt;&gt;"",Assumptions!DI121,0)</f>
        <v>3.82531</v>
      </c>
      <c r="DJ76" s="482">
        <f>DK76-DI76</f>
        <v>1.4802350000000004</v>
      </c>
      <c r="DK76" s="1262">
        <f>IF(Assumptions!DK127&lt;&gt;"",Assumptions!DK121,0)</f>
        <v>5.3055450000000004</v>
      </c>
      <c r="DL76" s="534">
        <f>IF(Assumptions!DL127&lt;&gt;"",Assumptions!DL121,0)</f>
        <v>0.79147000000000034</v>
      </c>
      <c r="DM76" s="482">
        <f>DN76-DL76</f>
        <v>0.9086350000000003</v>
      </c>
      <c r="DN76" s="1262">
        <f>IF(Assumptions!DN127&lt;&gt;"",Assumptions!DN121,0)</f>
        <v>1.7001050000000006</v>
      </c>
      <c r="DO76" s="534">
        <f>IF(Assumptions!DO127&lt;&gt;"",Assumptions!DO121,0)</f>
        <v>1.3439450000000006</v>
      </c>
      <c r="DP76" s="482">
        <f>DQ76-DO76</f>
        <v>1.4611100000000001</v>
      </c>
      <c r="DQ76" s="1262">
        <f>IF(Assumptions!DQ127&lt;&gt;"",Assumptions!DQ121,0)</f>
        <v>2.8050550000000007</v>
      </c>
      <c r="DR76" s="534">
        <f>IF(Assumptions!DR127&lt;&gt;"",Assumptions!DR121,0)</f>
        <v>0</v>
      </c>
      <c r="DS76" s="482">
        <f>DT76-DR76</f>
        <v>0</v>
      </c>
      <c r="DT76" s="1262">
        <f>IF(Assumptions!DT127&lt;&gt;"",Assumptions!DT121,0)</f>
        <v>0</v>
      </c>
      <c r="DU76" s="534">
        <f>IF(Assumptions!DU127&lt;&gt;"",Assumptions!DU121,0)</f>
        <v>0</v>
      </c>
      <c r="DV76" s="482">
        <f>DW76-DU76</f>
        <v>0</v>
      </c>
      <c r="DW76" s="1262">
        <f>IF(Assumptions!DW127&lt;&gt;"",Assumptions!DW121,0)</f>
        <v>0</v>
      </c>
      <c r="DX76" s="534">
        <f>IF(Assumptions!DX127&lt;&gt;"",Assumptions!DX121,0)</f>
        <v>0</v>
      </c>
      <c r="DY76" s="482">
        <f>DZ76-DX76</f>
        <v>0</v>
      </c>
      <c r="DZ76" s="1262">
        <f>IF(Assumptions!DZ127&lt;&gt;"",Assumptions!DZ121,0)</f>
        <v>0</v>
      </c>
      <c r="EA76" s="534">
        <f>IF(Assumptions!EA127&lt;&gt;"",Assumptions!EA121,0)</f>
        <v>0</v>
      </c>
      <c r="EB76" s="482">
        <f>EC76-EA76</f>
        <v>0</v>
      </c>
      <c r="EC76" s="1262">
        <f>IF(Assumptions!EC127&lt;&gt;"",Assumptions!EC121,0)</f>
        <v>0</v>
      </c>
      <c r="ED76" s="534">
        <f>IF(Assumptions!ED127&lt;&gt;"",Assumptions!ED121,0)</f>
        <v>0</v>
      </c>
      <c r="EE76" s="482">
        <f>EF76-ED76</f>
        <v>0</v>
      </c>
      <c r="EF76" s="1262">
        <f>IF(Assumptions!EF127&lt;&gt;"",Assumptions!EF121,0)</f>
        <v>0</v>
      </c>
      <c r="EG76" s="534">
        <f>IF(Assumptions!EG127&lt;&gt;"",Assumptions!EG121,0)</f>
        <v>0</v>
      </c>
      <c r="EH76" s="482">
        <f>EI76-EG76</f>
        <v>0</v>
      </c>
      <c r="EI76" s="1262">
        <f>IF(Assumptions!EI127&lt;&gt;"",Assumptions!EI121,0)</f>
        <v>0</v>
      </c>
      <c r="EJ76" s="534">
        <f>IF(Assumptions!EJ127&lt;&gt;"",Assumptions!EJ121,0)</f>
        <v>0</v>
      </c>
      <c r="EK76" s="482">
        <f>EL76-EJ76</f>
        <v>0</v>
      </c>
      <c r="EL76" s="1262">
        <f>IF(Assumptions!EL127&lt;&gt;"",Assumptions!EL121,0)</f>
        <v>0</v>
      </c>
      <c r="EM76" s="534">
        <f>IF(Assumptions!EM127&lt;&gt;"",Assumptions!EM121,0)</f>
        <v>0</v>
      </c>
      <c r="EN76" s="482">
        <f>EO76-EM76</f>
        <v>0</v>
      </c>
      <c r="EO76" s="1262">
        <f>IF(Assumptions!EO127&lt;&gt;"",Assumptions!EO121,0)</f>
        <v>0</v>
      </c>
      <c r="EP76" s="534">
        <f>IF(Assumptions!EP127&lt;&gt;"",Assumptions!EP121,0)</f>
        <v>0</v>
      </c>
      <c r="EQ76" s="482">
        <f>ER76-EP76</f>
        <v>0</v>
      </c>
      <c r="ER76" s="1262">
        <f>IF(Assumptions!ER127&lt;&gt;"",Assumptions!ER121,0)</f>
        <v>0</v>
      </c>
      <c r="ES76" s="534">
        <f>IF(Assumptions!ES127&lt;&gt;"",Assumptions!ES121,0)</f>
        <v>0</v>
      </c>
      <c r="ET76" s="482">
        <f>EU76-ES76</f>
        <v>0</v>
      </c>
      <c r="EU76" s="1262">
        <f>IF(Assumptions!EU127&lt;&gt;"",Assumptions!EU121,0)</f>
        <v>0</v>
      </c>
      <c r="EV76" s="534">
        <f>IF(Assumptions!EV127&lt;&gt;"",Assumptions!EV121,0)</f>
        <v>0</v>
      </c>
      <c r="EW76" s="482">
        <f>EX76-EV76</f>
        <v>0</v>
      </c>
      <c r="EX76" s="1262">
        <f>IF(Assumptions!EX127&lt;&gt;"",Assumptions!EX121,0)</f>
        <v>0</v>
      </c>
      <c r="EY76" s="534">
        <f>IF(Assumptions!EY127&lt;&gt;"",Assumptions!EY121,0)</f>
        <v>0</v>
      </c>
      <c r="EZ76" s="482">
        <f>FA76-EY76</f>
        <v>0</v>
      </c>
      <c r="FA76" s="1262">
        <f>IF(Assumptions!FA127&lt;&gt;"",Assumptions!FA121,0)</f>
        <v>0</v>
      </c>
      <c r="FE76"/>
      <c r="FF76"/>
      <c r="FG76"/>
      <c r="FH76"/>
      <c r="FI76"/>
      <c r="FJ76"/>
      <c r="FK76" s="35"/>
    </row>
    <row r="77" spans="1:167" s="236" customFormat="1" ht="13.35" customHeight="1" outlineLevel="1" thickBot="1">
      <c r="B77" s="552" t="s">
        <v>799</v>
      </c>
      <c r="C77" s="242" t="s">
        <v>496</v>
      </c>
      <c r="D77" s="243"/>
      <c r="E77" s="516"/>
      <c r="F77" s="482">
        <f>G77-E77</f>
        <v>0</v>
      </c>
      <c r="G77" s="517"/>
      <c r="H77" s="518"/>
      <c r="I77" s="482">
        <f>J77-H77</f>
        <v>0</v>
      </c>
      <c r="J77" s="517"/>
      <c r="K77" s="518"/>
      <c r="L77" s="482">
        <f>M77-K77</f>
        <v>0</v>
      </c>
      <c r="M77" s="517"/>
      <c r="N77" s="518"/>
      <c r="O77" s="482">
        <f>P77-N77</f>
        <v>0</v>
      </c>
      <c r="P77" s="517"/>
      <c r="Q77" s="518"/>
      <c r="R77" s="482">
        <f>S77-Q77</f>
        <v>0</v>
      </c>
      <c r="S77" s="517"/>
      <c r="T77" s="518"/>
      <c r="U77" s="482">
        <f>V77-T77</f>
        <v>0</v>
      </c>
      <c r="V77" s="517"/>
      <c r="W77" s="518"/>
      <c r="X77" s="482">
        <f>Y77-W77</f>
        <v>0</v>
      </c>
      <c r="Y77" s="517"/>
      <c r="Z77" s="518"/>
      <c r="AA77" s="482">
        <f>AB77-Z77</f>
        <v>0</v>
      </c>
      <c r="AB77" s="517"/>
      <c r="AC77" s="518"/>
      <c r="AD77" s="482">
        <f>AE77-AC77</f>
        <v>0</v>
      </c>
      <c r="AE77" s="517"/>
      <c r="AF77" s="518"/>
      <c r="AG77" s="482">
        <f>AH77-AF77</f>
        <v>0</v>
      </c>
      <c r="AH77" s="517"/>
      <c r="AI77" s="518"/>
      <c r="AJ77" s="482">
        <f>AK77-AI77</f>
        <v>0</v>
      </c>
      <c r="AK77" s="517"/>
      <c r="AL77" s="518"/>
      <c r="AM77" s="482">
        <f>AN77-AL77</f>
        <v>0</v>
      </c>
      <c r="AN77" s="517"/>
      <c r="AO77" s="518"/>
      <c r="AP77" s="482">
        <f>AQ77-AO77</f>
        <v>0</v>
      </c>
      <c r="AQ77" s="517"/>
      <c r="AR77" s="518"/>
      <c r="AS77" s="482">
        <f>AT77-AR77</f>
        <v>0</v>
      </c>
      <c r="AT77" s="517"/>
      <c r="AU77" s="518"/>
      <c r="AV77" s="482">
        <f>AW77-AU77</f>
        <v>0</v>
      </c>
      <c r="AW77" s="517"/>
      <c r="AX77" s="519">
        <v>0</v>
      </c>
      <c r="AY77" s="482">
        <f>AZ77-AX77</f>
        <v>0</v>
      </c>
      <c r="AZ77" s="520">
        <v>0</v>
      </c>
      <c r="BA77" s="519">
        <v>0</v>
      </c>
      <c r="BB77" s="482">
        <f>BC77-BA77</f>
        <v>0</v>
      </c>
      <c r="BC77" s="520">
        <v>0</v>
      </c>
      <c r="BD77" s="519">
        <v>0</v>
      </c>
      <c r="BE77" s="482">
        <f>BF77-BD77</f>
        <v>0</v>
      </c>
      <c r="BF77" s="520">
        <v>0</v>
      </c>
      <c r="BG77" s="519">
        <v>0</v>
      </c>
      <c r="BH77" s="482">
        <f>BI77-BG77</f>
        <v>0</v>
      </c>
      <c r="BI77" s="520">
        <v>0</v>
      </c>
      <c r="BJ77" s="519">
        <v>0</v>
      </c>
      <c r="BK77" s="482">
        <f>BL77-BJ77</f>
        <v>0</v>
      </c>
      <c r="BL77" s="520">
        <v>0</v>
      </c>
      <c r="BM77" s="518">
        <f>BL77</f>
        <v>0</v>
      </c>
      <c r="BN77" s="482">
        <f>BO77-BM77</f>
        <v>0</v>
      </c>
      <c r="BO77" s="516">
        <f>BM77</f>
        <v>0</v>
      </c>
      <c r="BP77" s="518">
        <f>BO77</f>
        <v>0</v>
      </c>
      <c r="BQ77" s="482">
        <f>BR77-BP77</f>
        <v>0</v>
      </c>
      <c r="BR77" s="516">
        <f>BP77</f>
        <v>0</v>
      </c>
      <c r="BS77" s="518">
        <f>BR77</f>
        <v>0</v>
      </c>
      <c r="BT77" s="482">
        <f>BU77-BS77</f>
        <v>0</v>
      </c>
      <c r="BU77" s="516">
        <f>BS77</f>
        <v>0</v>
      </c>
      <c r="BV77" s="518">
        <f>BU77</f>
        <v>0</v>
      </c>
      <c r="BW77" s="482">
        <f>BX77-BV77</f>
        <v>0</v>
      </c>
      <c r="BX77" s="516">
        <f>BV77</f>
        <v>0</v>
      </c>
      <c r="BY77" s="518">
        <f>BX77</f>
        <v>0</v>
      </c>
      <c r="BZ77" s="482">
        <f>CA77-BY77</f>
        <v>0</v>
      </c>
      <c r="CA77" s="516">
        <f>BY77</f>
        <v>0</v>
      </c>
      <c r="CB77" s="518">
        <f>CA77</f>
        <v>0</v>
      </c>
      <c r="CC77" s="482">
        <f>CD77-CB77</f>
        <v>0</v>
      </c>
      <c r="CD77" s="516">
        <f>CB77</f>
        <v>0</v>
      </c>
      <c r="CE77" s="518">
        <f>CD77</f>
        <v>0</v>
      </c>
      <c r="CF77" s="482">
        <f>CG77-CE77</f>
        <v>0</v>
      </c>
      <c r="CG77" s="516">
        <f>CE77</f>
        <v>0</v>
      </c>
      <c r="CH77" s="518">
        <f>CG77</f>
        <v>0</v>
      </c>
      <c r="CI77" s="482">
        <f>CJ77-CH77</f>
        <v>0</v>
      </c>
      <c r="CJ77" s="516">
        <f>CH77</f>
        <v>0</v>
      </c>
      <c r="CK77" s="518">
        <f>CJ77</f>
        <v>0</v>
      </c>
      <c r="CL77" s="482">
        <f>CM77-CK77</f>
        <v>0</v>
      </c>
      <c r="CM77" s="516">
        <f>CK77</f>
        <v>0</v>
      </c>
      <c r="CN77" s="518">
        <f>CM77</f>
        <v>0</v>
      </c>
      <c r="CO77" s="482">
        <f>CP77-CN77</f>
        <v>0</v>
      </c>
      <c r="CP77" s="516">
        <f>CN77</f>
        <v>0</v>
      </c>
      <c r="CQ77" s="518">
        <f>CP77</f>
        <v>0</v>
      </c>
      <c r="CR77" s="482">
        <f>CS77-CQ77</f>
        <v>0</v>
      </c>
      <c r="CS77" s="516">
        <f>CQ77</f>
        <v>0</v>
      </c>
      <c r="CT77" s="518">
        <f>CS77</f>
        <v>0</v>
      </c>
      <c r="CU77" s="482">
        <f>CV77-CT77</f>
        <v>0</v>
      </c>
      <c r="CV77" s="516">
        <f>CT77</f>
        <v>0</v>
      </c>
      <c r="CW77" s="518">
        <f>CV77</f>
        <v>0</v>
      </c>
      <c r="CX77" s="482">
        <f>CY77-CW77</f>
        <v>0</v>
      </c>
      <c r="CY77" s="516">
        <f>CW77</f>
        <v>0</v>
      </c>
      <c r="CZ77" s="518">
        <f>CY77</f>
        <v>0</v>
      </c>
      <c r="DA77" s="482">
        <f>DB77-CZ77</f>
        <v>0</v>
      </c>
      <c r="DB77" s="516">
        <f>CZ77</f>
        <v>0</v>
      </c>
      <c r="DC77" s="518">
        <f>DB77</f>
        <v>0</v>
      </c>
      <c r="DD77" s="482">
        <f>DE77-DC77</f>
        <v>0</v>
      </c>
      <c r="DE77" s="516">
        <f>DC77</f>
        <v>0</v>
      </c>
      <c r="DF77" s="518">
        <f>DE77</f>
        <v>0</v>
      </c>
      <c r="DG77" s="482">
        <f>DH77-DF77</f>
        <v>0</v>
      </c>
      <c r="DH77" s="1258">
        <f>DF77</f>
        <v>0</v>
      </c>
      <c r="DI77" s="482">
        <f>DH77</f>
        <v>0</v>
      </c>
      <c r="DJ77" s="482">
        <f>DK77-DI77</f>
        <v>0</v>
      </c>
      <c r="DK77" s="1244">
        <f>DI77</f>
        <v>0</v>
      </c>
      <c r="DL77" s="482">
        <f>DK77</f>
        <v>0</v>
      </c>
      <c r="DM77" s="482">
        <f>DN77-DL77</f>
        <v>0</v>
      </c>
      <c r="DN77" s="1244">
        <f>DL77</f>
        <v>0</v>
      </c>
      <c r="DO77" s="482">
        <f>DN77</f>
        <v>0</v>
      </c>
      <c r="DP77" s="482">
        <f>DQ77-DO77</f>
        <v>0</v>
      </c>
      <c r="DQ77" s="1244">
        <f>DO77</f>
        <v>0</v>
      </c>
      <c r="DR77" s="482">
        <f>DQ77</f>
        <v>0</v>
      </c>
      <c r="DS77" s="482">
        <f>DT77-DR77</f>
        <v>0</v>
      </c>
      <c r="DT77" s="1244">
        <f>DR77</f>
        <v>0</v>
      </c>
      <c r="DU77" s="482">
        <f>DT77</f>
        <v>0</v>
      </c>
      <c r="DV77" s="482">
        <f>DW77-DU77</f>
        <v>0</v>
      </c>
      <c r="DW77" s="1244">
        <f>DU77</f>
        <v>0</v>
      </c>
      <c r="DX77" s="482">
        <f>DW77</f>
        <v>0</v>
      </c>
      <c r="DY77" s="482">
        <f>DZ77-DX77</f>
        <v>0</v>
      </c>
      <c r="DZ77" s="1244">
        <f>DX77</f>
        <v>0</v>
      </c>
      <c r="EA77" s="482">
        <f>DZ77</f>
        <v>0</v>
      </c>
      <c r="EB77" s="482">
        <f>EC77-EA77</f>
        <v>0</v>
      </c>
      <c r="EC77" s="1244">
        <f>EA77</f>
        <v>0</v>
      </c>
      <c r="ED77" s="482">
        <f>EC77</f>
        <v>0</v>
      </c>
      <c r="EE77" s="482">
        <f>EF77-ED77</f>
        <v>0</v>
      </c>
      <c r="EF77" s="1244">
        <f>ED77</f>
        <v>0</v>
      </c>
      <c r="EG77" s="482">
        <f>EF77</f>
        <v>0</v>
      </c>
      <c r="EH77" s="482">
        <f>EI77-EG77</f>
        <v>0</v>
      </c>
      <c r="EI77" s="1244">
        <f>EG77</f>
        <v>0</v>
      </c>
      <c r="EJ77" s="482">
        <f>EI77</f>
        <v>0</v>
      </c>
      <c r="EK77" s="482">
        <f>EL77-EJ77</f>
        <v>0</v>
      </c>
      <c r="EL77" s="1244">
        <f>EJ77</f>
        <v>0</v>
      </c>
      <c r="EM77" s="482">
        <f>EL77</f>
        <v>0</v>
      </c>
      <c r="EN77" s="482">
        <f>EO77-EM77</f>
        <v>0</v>
      </c>
      <c r="EO77" s="1244">
        <f>EM77</f>
        <v>0</v>
      </c>
      <c r="EP77" s="482">
        <f>EO77</f>
        <v>0</v>
      </c>
      <c r="EQ77" s="482">
        <f>ER77-EP77</f>
        <v>0</v>
      </c>
      <c r="ER77" s="1244">
        <f>EP77</f>
        <v>0</v>
      </c>
      <c r="ES77" s="482">
        <f>ER77</f>
        <v>0</v>
      </c>
      <c r="ET77" s="482">
        <f>EU77-ES77</f>
        <v>0</v>
      </c>
      <c r="EU77" s="1244">
        <f>ES77</f>
        <v>0</v>
      </c>
      <c r="EV77" s="482">
        <f>EU77</f>
        <v>0</v>
      </c>
      <c r="EW77" s="482">
        <f>EX77-EV77</f>
        <v>0</v>
      </c>
      <c r="EX77" s="1244">
        <f>EV77</f>
        <v>0</v>
      </c>
      <c r="EY77" s="482">
        <f>EX77</f>
        <v>0</v>
      </c>
      <c r="EZ77" s="482">
        <f>FA77-EY77</f>
        <v>0</v>
      </c>
      <c r="FA77" s="1244">
        <f>EY77</f>
        <v>0</v>
      </c>
      <c r="FE77"/>
      <c r="FF77"/>
      <c r="FG77"/>
      <c r="FH77"/>
      <c r="FI77"/>
      <c r="FJ77"/>
      <c r="FK77" s="35"/>
    </row>
    <row r="78" spans="1:167" s="236" customFormat="1" ht="13.35" customHeight="1" outlineLevel="1">
      <c r="B78" s="1556" t="s">
        <v>800</v>
      </c>
      <c r="C78" s="1483" t="s">
        <v>496</v>
      </c>
      <c r="D78" s="1484"/>
      <c r="E78" s="1544"/>
      <c r="F78" s="1485">
        <f>+G78-E78</f>
        <v>0</v>
      </c>
      <c r="G78" s="1545"/>
      <c r="H78" s="1546"/>
      <c r="I78" s="1485">
        <f>+J78-H78</f>
        <v>0</v>
      </c>
      <c r="J78" s="1545"/>
      <c r="K78" s="1546"/>
      <c r="L78" s="1485">
        <f>+M78-K78</f>
        <v>0</v>
      </c>
      <c r="M78" s="1545"/>
      <c r="N78" s="1546"/>
      <c r="O78" s="1485">
        <f>+P78-N78</f>
        <v>0</v>
      </c>
      <c r="P78" s="1545"/>
      <c r="Q78" s="1546"/>
      <c r="R78" s="1485">
        <f>+S78-Q78</f>
        <v>0</v>
      </c>
      <c r="S78" s="1545"/>
      <c r="T78" s="1546"/>
      <c r="U78" s="1485">
        <f>+V78-T78</f>
        <v>0</v>
      </c>
      <c r="V78" s="1545"/>
      <c r="W78" s="1546"/>
      <c r="X78" s="1485">
        <f>+Y78-W78</f>
        <v>0</v>
      </c>
      <c r="Y78" s="1545"/>
      <c r="Z78" s="1546"/>
      <c r="AA78" s="1485">
        <f>+AB78-Z78</f>
        <v>0</v>
      </c>
      <c r="AB78" s="1545"/>
      <c r="AC78" s="1546"/>
      <c r="AD78" s="1485">
        <f>+AE78-AC78</f>
        <v>0</v>
      </c>
      <c r="AE78" s="1545"/>
      <c r="AF78" s="1546"/>
      <c r="AG78" s="1485">
        <f>+AH78-AF78</f>
        <v>0</v>
      </c>
      <c r="AH78" s="1545"/>
      <c r="AI78" s="1546"/>
      <c r="AJ78" s="1485">
        <f>+AK78-AI78</f>
        <v>0</v>
      </c>
      <c r="AK78" s="1545"/>
      <c r="AL78" s="1546"/>
      <c r="AM78" s="1485">
        <f>+AN78-AL78</f>
        <v>0</v>
      </c>
      <c r="AN78" s="1545"/>
      <c r="AO78" s="1546"/>
      <c r="AP78" s="1485">
        <f>+AQ78-AO78</f>
        <v>0</v>
      </c>
      <c r="AQ78" s="1545"/>
      <c r="AR78" s="1546"/>
      <c r="AS78" s="1485">
        <f>+AT78-AR78</f>
        <v>0</v>
      </c>
      <c r="AT78" s="1545"/>
      <c r="AU78" s="1546"/>
      <c r="AV78" s="1485">
        <f>+AW78-AU78</f>
        <v>0</v>
      </c>
      <c r="AW78" s="1545"/>
      <c r="AX78" s="1557">
        <v>0</v>
      </c>
      <c r="AY78" s="1485">
        <f>+AZ78-AX78</f>
        <v>0</v>
      </c>
      <c r="AZ78" s="1547">
        <v>0</v>
      </c>
      <c r="BA78" s="1557">
        <v>0</v>
      </c>
      <c r="BB78" s="1485">
        <f>+BC78-BA78</f>
        <v>0</v>
      </c>
      <c r="BC78" s="1547">
        <v>0</v>
      </c>
      <c r="BD78" s="1557">
        <v>0</v>
      </c>
      <c r="BE78" s="1485">
        <f>+BF78-BD78</f>
        <v>0</v>
      </c>
      <c r="BF78" s="1547">
        <v>0</v>
      </c>
      <c r="BG78" s="1557">
        <v>0</v>
      </c>
      <c r="BH78" s="1485">
        <f>+BI78-BG78</f>
        <v>0</v>
      </c>
      <c r="BI78" s="1547">
        <v>0</v>
      </c>
      <c r="BJ78" s="1557">
        <v>0</v>
      </c>
      <c r="BK78" s="1485">
        <f>+BL78-BJ78</f>
        <v>0</v>
      </c>
      <c r="BL78" s="1545">
        <f>BJ78</f>
        <v>0</v>
      </c>
      <c r="BM78" s="1546">
        <f>BL78</f>
        <v>0</v>
      </c>
      <c r="BN78" s="1485">
        <f>+BO78-BM78</f>
        <v>0</v>
      </c>
      <c r="BO78" s="1544">
        <f>BM78</f>
        <v>0</v>
      </c>
      <c r="BP78" s="1546">
        <f>BO78</f>
        <v>0</v>
      </c>
      <c r="BQ78" s="1485">
        <f>+BR78-BP78</f>
        <v>0</v>
      </c>
      <c r="BR78" s="1544">
        <f>BP78</f>
        <v>0</v>
      </c>
      <c r="BS78" s="1546">
        <f>BR78</f>
        <v>0</v>
      </c>
      <c r="BT78" s="1485">
        <f>+BU78-BS78</f>
        <v>0</v>
      </c>
      <c r="BU78" s="1544">
        <f>BS78</f>
        <v>0</v>
      </c>
      <c r="BV78" s="1546">
        <f>BU78</f>
        <v>0</v>
      </c>
      <c r="BW78" s="1485">
        <f>+BX78-BV78</f>
        <v>0</v>
      </c>
      <c r="BX78" s="1544">
        <f>BV78</f>
        <v>0</v>
      </c>
      <c r="BY78" s="1546">
        <f>BX78</f>
        <v>0</v>
      </c>
      <c r="BZ78" s="1485">
        <f>+CA78-BY78</f>
        <v>0</v>
      </c>
      <c r="CA78" s="1544">
        <f>BY78</f>
        <v>0</v>
      </c>
      <c r="CB78" s="1546">
        <f>CA78</f>
        <v>0</v>
      </c>
      <c r="CC78" s="1485">
        <f>+CD78-CB78</f>
        <v>0</v>
      </c>
      <c r="CD78" s="1544">
        <f>CB78</f>
        <v>0</v>
      </c>
      <c r="CE78" s="1546">
        <f>CD78</f>
        <v>0</v>
      </c>
      <c r="CF78" s="1485">
        <f>+CG78-CE78</f>
        <v>0</v>
      </c>
      <c r="CG78" s="1544">
        <f>CE78</f>
        <v>0</v>
      </c>
      <c r="CH78" s="1546">
        <f>CG78</f>
        <v>0</v>
      </c>
      <c r="CI78" s="1485">
        <f>+CJ78-CH78</f>
        <v>0</v>
      </c>
      <c r="CJ78" s="1544">
        <f>CH78</f>
        <v>0</v>
      </c>
      <c r="CK78" s="1546">
        <f>CJ78</f>
        <v>0</v>
      </c>
      <c r="CL78" s="1485">
        <f>+CM78-CK78</f>
        <v>0</v>
      </c>
      <c r="CM78" s="1544">
        <f>CK78</f>
        <v>0</v>
      </c>
      <c r="CN78" s="1546">
        <f>CM78</f>
        <v>0</v>
      </c>
      <c r="CO78" s="1485">
        <f>+CP78-CN78</f>
        <v>0</v>
      </c>
      <c r="CP78" s="1544">
        <f>CN78</f>
        <v>0</v>
      </c>
      <c r="CQ78" s="1546">
        <f>CP78</f>
        <v>0</v>
      </c>
      <c r="CR78" s="1485">
        <f>+CS78-CQ78</f>
        <v>0</v>
      </c>
      <c r="CS78" s="1544">
        <f>CQ78</f>
        <v>0</v>
      </c>
      <c r="CT78" s="1546">
        <f>CS78</f>
        <v>0</v>
      </c>
      <c r="CU78" s="1485">
        <f>+CV78-CT78</f>
        <v>0</v>
      </c>
      <c r="CV78" s="1544">
        <f>CT78</f>
        <v>0</v>
      </c>
      <c r="CW78" s="1546">
        <f>CV78</f>
        <v>0</v>
      </c>
      <c r="CX78" s="1485">
        <f>+CY78-CW78</f>
        <v>0</v>
      </c>
      <c r="CY78" s="1544">
        <f>CW78</f>
        <v>0</v>
      </c>
      <c r="CZ78" s="1546">
        <f>CY78</f>
        <v>0</v>
      </c>
      <c r="DA78" s="1485">
        <f>+DB78-CZ78</f>
        <v>0</v>
      </c>
      <c r="DB78" s="1544">
        <f>CZ78</f>
        <v>0</v>
      </c>
      <c r="DC78" s="1546">
        <f>DB78</f>
        <v>0</v>
      </c>
      <c r="DD78" s="1485">
        <f>+DE78-DC78</f>
        <v>0</v>
      </c>
      <c r="DE78" s="1544">
        <f>DC78</f>
        <v>0</v>
      </c>
      <c r="DF78" s="1542">
        <f>Assumptions!DF125</f>
        <v>2.8</v>
      </c>
      <c r="DG78" s="1485">
        <f>+DH78-DF78</f>
        <v>3.17469</v>
      </c>
      <c r="DH78" s="1538">
        <f>Assumptions!DH125</f>
        <v>5.9746899999999998</v>
      </c>
      <c r="DI78" s="1537">
        <f>Assumptions!DI125</f>
        <v>3.17469</v>
      </c>
      <c r="DJ78" s="1485">
        <f>+DK78-DI78</f>
        <v>3.5197649999999996</v>
      </c>
      <c r="DK78" s="1538">
        <f>Assumptions!DK125</f>
        <v>6.6944549999999996</v>
      </c>
      <c r="DL78" s="1537">
        <f>Assumptions!DL125</f>
        <v>3.5085299999999995</v>
      </c>
      <c r="DM78" s="1485">
        <f>+DN78-DL78</f>
        <v>3.3913649999999995</v>
      </c>
      <c r="DN78" s="1538">
        <f>Assumptions!DN125</f>
        <v>6.899894999999999</v>
      </c>
      <c r="DO78" s="1537">
        <f>Assumptions!DO125</f>
        <v>3.3560549999999996</v>
      </c>
      <c r="DP78" s="1485">
        <f>+DQ78-DO78</f>
        <v>3.2388899999999996</v>
      </c>
      <c r="DQ78" s="1538">
        <f>Assumptions!DQ125</f>
        <v>6.5949449999999992</v>
      </c>
      <c r="DR78" s="1537">
        <f>Assumptions!DR125</f>
        <v>4.3</v>
      </c>
      <c r="DS78" s="1485">
        <f>+DT78-DR78</f>
        <v>4.8999999999999995</v>
      </c>
      <c r="DT78" s="1538">
        <f>Assumptions!DT125</f>
        <v>9.1999999999999993</v>
      </c>
      <c r="DU78" s="1537">
        <f>Assumptions!DU125</f>
        <v>5.7</v>
      </c>
      <c r="DV78" s="1485">
        <f>+DW78-DU78</f>
        <v>5.3</v>
      </c>
      <c r="DW78" s="1538">
        <f>Assumptions!DW125</f>
        <v>11</v>
      </c>
      <c r="DX78" s="1537">
        <f>Assumptions!DX125</f>
        <v>6.3</v>
      </c>
      <c r="DY78" s="1485">
        <f>+DZ78-DX78</f>
        <v>6.3</v>
      </c>
      <c r="DZ78" s="1538">
        <f>Assumptions!DZ125</f>
        <v>12.6</v>
      </c>
      <c r="EA78" s="1537">
        <f>Assumptions!EA125</f>
        <v>6.3</v>
      </c>
      <c r="EB78" s="1485">
        <f>+EC78-EA78</f>
        <v>6.3</v>
      </c>
      <c r="EC78" s="1538">
        <f>Assumptions!EC125</f>
        <v>12.6</v>
      </c>
      <c r="ED78" s="1537">
        <f>Assumptions!ED125</f>
        <v>6.3</v>
      </c>
      <c r="EE78" s="1485">
        <f>+EF78-ED78</f>
        <v>6.3</v>
      </c>
      <c r="EF78" s="1538">
        <f>Assumptions!EF125</f>
        <v>12.6</v>
      </c>
      <c r="EG78" s="1537">
        <f>Assumptions!EG125</f>
        <v>6.3</v>
      </c>
      <c r="EH78" s="1485">
        <f>+EI78-EG78</f>
        <v>6.3</v>
      </c>
      <c r="EI78" s="1538">
        <f>Assumptions!EI125</f>
        <v>12.6</v>
      </c>
      <c r="EJ78" s="1537">
        <f>Assumptions!EJ125</f>
        <v>6.3</v>
      </c>
      <c r="EK78" s="1485">
        <f>+EL78-EJ78</f>
        <v>6.3</v>
      </c>
      <c r="EL78" s="1538">
        <f>Assumptions!EL125</f>
        <v>12.6</v>
      </c>
      <c r="EM78" s="1537">
        <f>Assumptions!EM125</f>
        <v>6.3</v>
      </c>
      <c r="EN78" s="1485">
        <f>+EO78-EM78</f>
        <v>6.3</v>
      </c>
      <c r="EO78" s="1538">
        <f>Assumptions!EO125</f>
        <v>12.6</v>
      </c>
      <c r="EP78" s="1537">
        <f>Assumptions!EP125</f>
        <v>6.3</v>
      </c>
      <c r="EQ78" s="1485">
        <f>+ER78-EP78</f>
        <v>6.3</v>
      </c>
      <c r="ER78" s="1538">
        <f>Assumptions!ER125</f>
        <v>12.6</v>
      </c>
      <c r="ES78" s="1537">
        <f>Assumptions!ES125</f>
        <v>6.3</v>
      </c>
      <c r="ET78" s="1485">
        <f>+EU78-ES78</f>
        <v>6.3</v>
      </c>
      <c r="EU78" s="1538">
        <f>Assumptions!EU125</f>
        <v>12.6</v>
      </c>
      <c r="EV78" s="1537">
        <f>Assumptions!EV125</f>
        <v>6.3</v>
      </c>
      <c r="EW78" s="1485">
        <f>+EX78-EV78</f>
        <v>6.3</v>
      </c>
      <c r="EX78" s="1538">
        <f>Assumptions!EX125</f>
        <v>12.6</v>
      </c>
      <c r="EY78" s="1537">
        <f>Assumptions!EY125</f>
        <v>6.3</v>
      </c>
      <c r="EZ78" s="1485">
        <f>+FA78-EY78</f>
        <v>6.3</v>
      </c>
      <c r="FA78" s="1538">
        <f>Assumptions!FA125</f>
        <v>12.6</v>
      </c>
      <c r="FE78"/>
      <c r="FF78"/>
      <c r="FG78"/>
      <c r="FH78"/>
      <c r="FI78"/>
      <c r="FJ78"/>
      <c r="FK78" s="35"/>
    </row>
    <row r="79" spans="1:167" s="236" customFormat="1" ht="13.35" customHeight="1">
      <c r="B79" s="444" t="s">
        <v>801</v>
      </c>
      <c r="C79" s="444" t="s">
        <v>496</v>
      </c>
      <c r="D79" s="1512"/>
      <c r="E79" s="1548"/>
      <c r="F79" s="1549">
        <f>+G79-E79</f>
        <v>0</v>
      </c>
      <c r="G79" s="1550"/>
      <c r="H79" s="1551"/>
      <c r="I79" s="1549">
        <f>+J79-H79</f>
        <v>0</v>
      </c>
      <c r="J79" s="1550"/>
      <c r="K79" s="1551"/>
      <c r="L79" s="1549">
        <f>+M79-K79</f>
        <v>0</v>
      </c>
      <c r="M79" s="1550"/>
      <c r="N79" s="1551"/>
      <c r="O79" s="1549">
        <f>+P79-N79</f>
        <v>0</v>
      </c>
      <c r="P79" s="1550"/>
      <c r="Q79" s="1551"/>
      <c r="R79" s="1549">
        <f>+S79-Q79</f>
        <v>0</v>
      </c>
      <c r="S79" s="1550"/>
      <c r="T79" s="1551"/>
      <c r="U79" s="1549">
        <f>+V79-T79</f>
        <v>0</v>
      </c>
      <c r="V79" s="1550"/>
      <c r="W79" s="1551"/>
      <c r="X79" s="1549">
        <f>+Y79-W79</f>
        <v>0</v>
      </c>
      <c r="Y79" s="1550"/>
      <c r="Z79" s="1551"/>
      <c r="AA79" s="1549">
        <f>+AB79-Z79</f>
        <v>0</v>
      </c>
      <c r="AB79" s="1550"/>
      <c r="AC79" s="1551"/>
      <c r="AD79" s="1549">
        <f>+AE79-AC79</f>
        <v>0</v>
      </c>
      <c r="AE79" s="1550"/>
      <c r="AF79" s="1551"/>
      <c r="AG79" s="1549">
        <f>+AH79-AF79</f>
        <v>0</v>
      </c>
      <c r="AH79" s="1550"/>
      <c r="AI79" s="1552">
        <v>5.1669999999999998</v>
      </c>
      <c r="AJ79" s="1549">
        <f>+AK79-AI79</f>
        <v>7.1890000000000001</v>
      </c>
      <c r="AK79" s="1553">
        <v>12.356</v>
      </c>
      <c r="AL79" s="1552">
        <v>6.298</v>
      </c>
      <c r="AM79" s="1549">
        <f>+AN79-AL79</f>
        <v>7.3780000000000001</v>
      </c>
      <c r="AN79" s="1553">
        <v>13.676</v>
      </c>
      <c r="AO79" s="1552">
        <v>6.0380000000000003</v>
      </c>
      <c r="AP79" s="1549">
        <f>+AQ79-AO79</f>
        <v>8.8070000000000004</v>
      </c>
      <c r="AQ79" s="1553">
        <v>14.845000000000001</v>
      </c>
      <c r="AR79" s="1552">
        <v>7.6669999999999998</v>
      </c>
      <c r="AS79" s="1549">
        <f>+AT79-AR79</f>
        <v>10.340000000000002</v>
      </c>
      <c r="AT79" s="1553">
        <v>18.007000000000001</v>
      </c>
      <c r="AU79" s="1552">
        <v>9.5</v>
      </c>
      <c r="AV79" s="1549">
        <f>+AW79-AU79</f>
        <v>14.443999999999999</v>
      </c>
      <c r="AW79" s="1553">
        <v>23.943999999999999</v>
      </c>
      <c r="AX79" s="1552">
        <v>16.387</v>
      </c>
      <c r="AY79" s="1549">
        <f>+AZ79-AX79</f>
        <v>19.667999999999999</v>
      </c>
      <c r="AZ79" s="1553">
        <v>36.055</v>
      </c>
      <c r="BA79" s="1552">
        <v>23.693000000000001</v>
      </c>
      <c r="BB79" s="1549">
        <f>+BC79-BA79</f>
        <v>22.757999999999999</v>
      </c>
      <c r="BC79" s="1553">
        <v>46.451000000000001</v>
      </c>
      <c r="BD79" s="1552">
        <v>25.7</v>
      </c>
      <c r="BE79" s="1549">
        <f>+BF79-BD79</f>
        <v>28.830000000000002</v>
      </c>
      <c r="BF79" s="1550">
        <f>51.03+3.5</f>
        <v>54.53</v>
      </c>
      <c r="BG79" s="1552">
        <v>36.012999999999998</v>
      </c>
      <c r="BH79" s="1549">
        <f>+BI79-BG79</f>
        <v>43.997000000000007</v>
      </c>
      <c r="BI79" s="1553">
        <v>80.010000000000005</v>
      </c>
      <c r="BJ79" s="1552">
        <v>36.350999999999999</v>
      </c>
      <c r="BK79" s="1549">
        <f>+BL79-BJ79</f>
        <v>10.901000000000003</v>
      </c>
      <c r="BL79" s="1553">
        <v>47.252000000000002</v>
      </c>
      <c r="BM79" s="1552">
        <v>40.01</v>
      </c>
      <c r="BN79" s="1549">
        <f>+BO79-BM79</f>
        <v>42.297000000000004</v>
      </c>
      <c r="BO79" s="1554">
        <v>82.307000000000002</v>
      </c>
      <c r="BP79" s="1552">
        <v>62.097999999999999</v>
      </c>
      <c r="BQ79" s="1549">
        <f>+BR79-BP79</f>
        <v>46.736999999999995</v>
      </c>
      <c r="BR79" s="1554">
        <v>108.83499999999999</v>
      </c>
      <c r="BS79" s="1552">
        <v>70.944000000000003</v>
      </c>
      <c r="BT79" s="1549">
        <f>+BU79-BS79</f>
        <v>72.536999999999992</v>
      </c>
      <c r="BU79" s="1554">
        <v>143.48099999999999</v>
      </c>
      <c r="BV79" s="1552">
        <v>79.668000000000006</v>
      </c>
      <c r="BW79" s="1549">
        <f>+BX79-BV79</f>
        <v>77.049000000000007</v>
      </c>
      <c r="BX79" s="1554">
        <v>156.71700000000001</v>
      </c>
      <c r="BY79" s="1552">
        <v>95.950999999999993</v>
      </c>
      <c r="BZ79" s="1549">
        <f>+CA79-BY79</f>
        <v>80.317000000000007</v>
      </c>
      <c r="CA79" s="1554">
        <v>176.268</v>
      </c>
      <c r="CB79" s="1552">
        <v>102.01600000000001</v>
      </c>
      <c r="CC79" s="1549">
        <f>+CD79-CB79</f>
        <v>107.33499999999999</v>
      </c>
      <c r="CD79" s="1554">
        <v>209.351</v>
      </c>
      <c r="CE79" s="1551">
        <f>116.661-6.13</f>
        <v>110.53100000000001</v>
      </c>
      <c r="CF79" s="1549">
        <f>+CG79-CE79</f>
        <v>124.60599999999999</v>
      </c>
      <c r="CG79" s="1554">
        <v>235.137</v>
      </c>
      <c r="CH79" s="1552">
        <v>106.291</v>
      </c>
      <c r="CI79" s="1549">
        <f>+CJ79-CH79</f>
        <v>104.69800000000001</v>
      </c>
      <c r="CJ79" s="1554">
        <v>210.989</v>
      </c>
      <c r="CK79" s="1552">
        <v>105.471</v>
      </c>
      <c r="CL79" s="1549">
        <f>+CM79-CK79</f>
        <v>67.165999999999997</v>
      </c>
      <c r="CM79" s="1554">
        <v>172.637</v>
      </c>
      <c r="CN79" s="1551">
        <f>22.29+22.545</f>
        <v>44.835000000000001</v>
      </c>
      <c r="CO79" s="1549">
        <f>+CP79-CN79</f>
        <v>94.823999999999984</v>
      </c>
      <c r="CP79" s="1548">
        <f>117.114+22.545</f>
        <v>139.65899999999999</v>
      </c>
      <c r="CQ79" s="1552">
        <v>95.006</v>
      </c>
      <c r="CR79" s="1549">
        <f>+CS79-CQ79</f>
        <v>101.297</v>
      </c>
      <c r="CS79" s="1554">
        <v>196.303</v>
      </c>
      <c r="CT79" s="1552">
        <v>126.283</v>
      </c>
      <c r="CU79" s="1549">
        <f>+CV79-CT79</f>
        <v>127.98299999999999</v>
      </c>
      <c r="CV79" s="1554">
        <v>254.26599999999999</v>
      </c>
      <c r="CW79" s="1552">
        <v>152.97999999999999</v>
      </c>
      <c r="CX79" s="1549">
        <f>+CY79-CW79</f>
        <v>155.845</v>
      </c>
      <c r="CY79" s="1554">
        <v>308.82499999999999</v>
      </c>
      <c r="CZ79" s="1551">
        <v>156.6</v>
      </c>
      <c r="DA79" s="1549">
        <f>+DB79-CZ79</f>
        <v>183.9</v>
      </c>
      <c r="DB79" s="1548">
        <f>245.8+94.7</f>
        <v>340.5</v>
      </c>
      <c r="DC79" s="1551">
        <v>174.3</v>
      </c>
      <c r="DD79" s="1549">
        <f>+DE79-DC79</f>
        <v>180.5</v>
      </c>
      <c r="DE79" s="1554">
        <f>370.1-10.8-4.5</f>
        <v>354.8</v>
      </c>
      <c r="DF79" s="1551">
        <f>183.7-4.8</f>
        <v>178.89999999999998</v>
      </c>
      <c r="DG79" s="1549">
        <f>+DH79-DF79</f>
        <v>19.100000000000023</v>
      </c>
      <c r="DH79" s="1555">
        <f>206.9-8.9</f>
        <v>198</v>
      </c>
      <c r="DI79" s="1513">
        <f>175.6-4.5+0.4</f>
        <v>171.5</v>
      </c>
      <c r="DJ79" s="562">
        <f>+DK79-DI79</f>
        <v>154.19999999999999</v>
      </c>
      <c r="DK79" s="1514">
        <f>330.2-8.4+3.9</f>
        <v>325.7</v>
      </c>
      <c r="DL79" s="1513">
        <f>217.6-3.5+5.4</f>
        <v>219.5</v>
      </c>
      <c r="DM79" s="562">
        <f>+DN79-DL79</f>
        <v>178.60000000000002</v>
      </c>
      <c r="DN79" s="1514">
        <f>382.7-6.2+21.6</f>
        <v>398.1</v>
      </c>
      <c r="DO79" s="1513">
        <f>141.6+46.1+17.3</f>
        <v>205</v>
      </c>
      <c r="DP79" s="562">
        <f>+DQ79-DO79</f>
        <v>236.70000000000005</v>
      </c>
      <c r="DQ79" s="1514">
        <f>396.1+7.1+38.5</f>
        <v>441.70000000000005</v>
      </c>
      <c r="DR79" s="1513">
        <f>191.8+68.6+16.9</f>
        <v>277.29999999999995</v>
      </c>
      <c r="DS79" s="562">
        <f>+DT79-DR79</f>
        <v>267.60000000000002</v>
      </c>
      <c r="DT79" s="1514">
        <f>386.6+128+30.3</f>
        <v>544.9</v>
      </c>
      <c r="DU79" s="1574">
        <f>205.5+71.2+11.7</f>
        <v>288.39999999999998</v>
      </c>
      <c r="DV79" s="562">
        <f>+DW79-DU79</f>
        <v>266.30000000000007</v>
      </c>
      <c r="DW79" s="1514">
        <f>391.6+130.4+32.7</f>
        <v>554.70000000000005</v>
      </c>
      <c r="DX79" s="1574">
        <f>194.8+62.1</f>
        <v>256.90000000000003</v>
      </c>
      <c r="DY79" s="562">
        <f>+DZ79-DX79</f>
        <v>292.51993729966995</v>
      </c>
      <c r="DZ79" s="1286">
        <f>IF(DZ5="E",DZ72-DZ74,"")</f>
        <v>549.41993729966998</v>
      </c>
      <c r="EA79" s="613">
        <f>IF(EA5="E",EA72-EA74,"")</f>
        <v>311.71050931041208</v>
      </c>
      <c r="EB79" s="562">
        <f>+EC79-EA79</f>
        <v>321.29746716478377</v>
      </c>
      <c r="EC79" s="1286">
        <f>IF(EC5="E",EC72-EC74,"")</f>
        <v>633.00797647519585</v>
      </c>
      <c r="ED79" s="613">
        <f>IF(ED5="E",ED72-ED74,"")</f>
        <v>347.78887562014734</v>
      </c>
      <c r="EE79" s="562">
        <f>+EF79-ED79</f>
        <v>358.68805091730985</v>
      </c>
      <c r="EF79" s="1286">
        <f>IF(EF5="E",EF72-EF74,"")</f>
        <v>706.47692653745719</v>
      </c>
      <c r="EG79" s="613">
        <f>IF(EG5="E",EG72-EG74,"")</f>
        <v>386.30541135169193</v>
      </c>
      <c r="EH79" s="562">
        <f>+EI79-EG79</f>
        <v>398.38899819596264</v>
      </c>
      <c r="EI79" s="1286">
        <f>IF(EI5="E",EI72-EI74,"")</f>
        <v>784.69440954765457</v>
      </c>
      <c r="EJ79" s="613">
        <f>IF(EJ5="E",EJ72-EJ74,"")</f>
        <v>426.00250295296354</v>
      </c>
      <c r="EK79" s="562">
        <f>+EL79-EJ79</f>
        <v>439.31223729427853</v>
      </c>
      <c r="EL79" s="1286">
        <f>IF(EL5="E",EL72-EL74,"")</f>
        <v>865.31474024724207</v>
      </c>
      <c r="EM79" s="613">
        <f>IF(EM5="E",EM72-EM74,"")</f>
        <v>467.66832366757717</v>
      </c>
      <c r="EN79" s="562">
        <f>+EO79-EM79</f>
        <v>482.2363744605525</v>
      </c>
      <c r="EO79" s="1286">
        <f>IF(EO5="E",EO72-EO74,"")</f>
        <v>949.90469812812967</v>
      </c>
      <c r="EP79" s="613">
        <f>IF(EP5="E",EP72-EP74,"")</f>
        <v>512.01712979869603</v>
      </c>
      <c r="EQ79" s="562">
        <f>+ER79-EP79</f>
        <v>527.89630516303941</v>
      </c>
      <c r="ER79" s="1286">
        <f>IF(ER5="E",ER72-ER74,"")</f>
        <v>1039.9134349617354</v>
      </c>
      <c r="ES79" s="613">
        <f>IF(ES5="E",ES72-ES74,"")</f>
        <v>560.4380004342662</v>
      </c>
      <c r="ET79" s="562">
        <f>+EU79-ES79</f>
        <v>577.74630158140042</v>
      </c>
      <c r="EU79" s="1286">
        <f>IF(EU5="E",EU72-EU74,"")</f>
        <v>1138.1843020156666</v>
      </c>
      <c r="EV79" s="613">
        <f>IF(EV5="E",EV72-EV74,"")</f>
        <v>613.30665883837753</v>
      </c>
      <c r="EW79" s="562">
        <f>+EX79-EV79</f>
        <v>632.17270708875401</v>
      </c>
      <c r="EX79" s="1286">
        <f>IF(EX5="E",EX72-EX74,"")</f>
        <v>1245.4793659271315</v>
      </c>
      <c r="EY79" s="613">
        <f>IF(EY5="E",EY72-EY74,"")</f>
        <v>671.03484081211616</v>
      </c>
      <c r="EZ79" s="562">
        <f>+FA79-EY79</f>
        <v>691.59883340502631</v>
      </c>
      <c r="FA79" s="1286">
        <f>IF(FA5="E",FA72-FA74,"")</f>
        <v>1362.6336742171425</v>
      </c>
      <c r="FB79" s="554"/>
      <c r="FE79"/>
      <c r="FF79"/>
      <c r="FG79"/>
      <c r="FH79"/>
      <c r="FI79"/>
      <c r="FJ79"/>
      <c r="FK79" s="35"/>
    </row>
    <row r="80" spans="1:167" s="236" customFormat="1" ht="13.35" customHeight="1" thickBot="1">
      <c r="B80" s="236" t="s">
        <v>802</v>
      </c>
      <c r="C80" s="242" t="s">
        <v>496</v>
      </c>
      <c r="D80" s="243"/>
      <c r="E80" s="528"/>
      <c r="F80" s="482">
        <f>G80-E80</f>
        <v>0</v>
      </c>
      <c r="G80" s="529"/>
      <c r="H80" s="530"/>
      <c r="I80" s="482">
        <f>J80-H80</f>
        <v>0</v>
      </c>
      <c r="J80" s="529"/>
      <c r="K80" s="530"/>
      <c r="L80" s="482">
        <f>M80-K80</f>
        <v>0</v>
      </c>
      <c r="M80" s="529"/>
      <c r="N80" s="530"/>
      <c r="O80" s="482">
        <f>P80-N80</f>
        <v>0</v>
      </c>
      <c r="P80" s="529"/>
      <c r="Q80" s="530"/>
      <c r="R80" s="482">
        <f>S80-Q80</f>
        <v>0</v>
      </c>
      <c r="S80" s="529"/>
      <c r="T80" s="530"/>
      <c r="U80" s="482">
        <f>V80-T80</f>
        <v>0</v>
      </c>
      <c r="V80" s="529"/>
      <c r="W80" s="530"/>
      <c r="X80" s="482">
        <f>Y80-W80</f>
        <v>0</v>
      </c>
      <c r="Y80" s="529"/>
      <c r="Z80" s="530"/>
      <c r="AA80" s="482">
        <f>AB80-Z80</f>
        <v>0</v>
      </c>
      <c r="AB80" s="529"/>
      <c r="AC80" s="530"/>
      <c r="AD80" s="482">
        <f>AE80-AC80</f>
        <v>0</v>
      </c>
      <c r="AE80" s="529"/>
      <c r="AF80" s="530"/>
      <c r="AG80" s="482">
        <f>AH80-AF80</f>
        <v>0</v>
      </c>
      <c r="AH80" s="529"/>
      <c r="AI80" s="531">
        <v>0.57199999999999995</v>
      </c>
      <c r="AJ80" s="482">
        <f>AK80-AI80</f>
        <v>1.4079999999999999</v>
      </c>
      <c r="AK80" s="532">
        <v>1.98</v>
      </c>
      <c r="AL80" s="531">
        <v>1.171</v>
      </c>
      <c r="AM80" s="482">
        <f>AN80-AL80</f>
        <v>1.6420000000000001</v>
      </c>
      <c r="AN80" s="532">
        <v>2.8130000000000002</v>
      </c>
      <c r="AO80" s="531">
        <v>1.516</v>
      </c>
      <c r="AP80" s="482">
        <f>AQ80-AO80</f>
        <v>2.5199999999999996</v>
      </c>
      <c r="AQ80" s="532">
        <v>4.0359999999999996</v>
      </c>
      <c r="AR80" s="531">
        <v>2.242</v>
      </c>
      <c r="AS80" s="482">
        <f>AT80-AR80</f>
        <v>2.4800000000000004</v>
      </c>
      <c r="AT80" s="532">
        <v>4.7220000000000004</v>
      </c>
      <c r="AU80" s="531">
        <v>2.8570000000000002</v>
      </c>
      <c r="AV80" s="482">
        <f>AW80-AU80</f>
        <v>4.76</v>
      </c>
      <c r="AW80" s="532">
        <v>7.617</v>
      </c>
      <c r="AX80" s="531">
        <v>6.0629999999999997</v>
      </c>
      <c r="AY80" s="482">
        <f>AZ80-AX80</f>
        <v>5.8760000000000003</v>
      </c>
      <c r="AZ80" s="529">
        <f>11.501+AZ95+AZ97</f>
        <v>11.939</v>
      </c>
      <c r="BA80" s="531">
        <v>7.82</v>
      </c>
      <c r="BB80" s="482">
        <f>BC80-BA80</f>
        <v>7.4529999999999994</v>
      </c>
      <c r="BC80" s="532">
        <v>15.273</v>
      </c>
      <c r="BD80" s="531">
        <v>4.9000000000000004</v>
      </c>
      <c r="BE80" s="482">
        <f>BF80-BD80</f>
        <v>6.02</v>
      </c>
      <c r="BF80" s="532">
        <v>10.92</v>
      </c>
      <c r="BG80" s="531">
        <v>8.9979999999999993</v>
      </c>
      <c r="BH80" s="482">
        <f>BI80-BG80</f>
        <v>12.828000000000001</v>
      </c>
      <c r="BI80" s="529">
        <f>21.785-0.02+0.061</f>
        <v>21.826000000000001</v>
      </c>
      <c r="BJ80" s="531">
        <v>9.7050000000000001</v>
      </c>
      <c r="BK80" s="482">
        <f>BL80-BJ80</f>
        <v>1.4130000000000003</v>
      </c>
      <c r="BL80" s="532">
        <v>11.118</v>
      </c>
      <c r="BM80" s="531">
        <v>10.994</v>
      </c>
      <c r="BN80" s="482">
        <f>BO80-BM80</f>
        <v>12.838999999999999</v>
      </c>
      <c r="BO80" s="549">
        <v>23.832999999999998</v>
      </c>
      <c r="BP80" s="531">
        <v>19.088999999999999</v>
      </c>
      <c r="BQ80" s="482">
        <f>BR80-BP80</f>
        <v>11.521000000000001</v>
      </c>
      <c r="BR80" s="549">
        <v>30.61</v>
      </c>
      <c r="BS80" s="531">
        <v>23.663</v>
      </c>
      <c r="BT80" s="482">
        <f>BU80-BS80</f>
        <v>22.141999999999999</v>
      </c>
      <c r="BU80" s="549">
        <v>45.805</v>
      </c>
      <c r="BV80" s="531">
        <v>22.555</v>
      </c>
      <c r="BW80" s="482">
        <f>BX80-BV80</f>
        <v>18.927999999999997</v>
      </c>
      <c r="BX80" s="549">
        <v>41.482999999999997</v>
      </c>
      <c r="BY80" s="531">
        <v>26.015000000000001</v>
      </c>
      <c r="BZ80" s="482">
        <f>CA80-BY80</f>
        <v>19.713000000000001</v>
      </c>
      <c r="CA80" s="549">
        <v>45.728000000000002</v>
      </c>
      <c r="CB80" s="531">
        <v>26.768999999999998</v>
      </c>
      <c r="CC80" s="482">
        <f>CD80-CB80</f>
        <v>27.43</v>
      </c>
      <c r="CD80" s="549">
        <v>54.198999999999998</v>
      </c>
      <c r="CE80" s="530">
        <f>29.435-1.839</f>
        <v>27.596</v>
      </c>
      <c r="CF80" s="482">
        <f>CG80-CE80</f>
        <v>27.427000000000003</v>
      </c>
      <c r="CG80" s="549">
        <v>55.023000000000003</v>
      </c>
      <c r="CH80" s="531">
        <v>26.143999999999998</v>
      </c>
      <c r="CI80" s="482">
        <f>CJ80-CH80</f>
        <v>26.745000000000005</v>
      </c>
      <c r="CJ80" s="549">
        <v>52.889000000000003</v>
      </c>
      <c r="CK80" s="531">
        <v>27.806000000000001</v>
      </c>
      <c r="CL80" s="482">
        <f>CM80-CK80</f>
        <v>12.267999999999997</v>
      </c>
      <c r="CM80" s="549">
        <v>40.073999999999998</v>
      </c>
      <c r="CN80" s="530">
        <f>1.245+(22.5-15.7)</f>
        <v>8.0450000000000017</v>
      </c>
      <c r="CO80" s="482">
        <f>CP80-CN80</f>
        <v>22.123999999999999</v>
      </c>
      <c r="CP80" s="528">
        <f>23.405+6.764</f>
        <v>30.169</v>
      </c>
      <c r="CQ80" s="530">
        <f>IF(Assumptions!CQ147&lt;&gt;"",Assumptions!CQ147*Model!CQ79,0)</f>
        <v>23.631</v>
      </c>
      <c r="CR80" s="482">
        <f>CS80-CQ80</f>
        <v>26.832000000000001</v>
      </c>
      <c r="CS80" s="549">
        <v>50.463000000000001</v>
      </c>
      <c r="CT80" s="530">
        <f>IF(Assumptions!CT147&lt;&gt;"",Assumptions!CT147*Model!CT79,0)</f>
        <v>32.25</v>
      </c>
      <c r="CU80" s="482">
        <f>CV80-CT80</f>
        <v>33.094999999999999</v>
      </c>
      <c r="CV80" s="528">
        <f>IF(Assumptions!CV147&lt;&gt;"",Assumptions!CV147*Model!CV79,0)</f>
        <v>65.344999999999999</v>
      </c>
      <c r="CW80" s="530">
        <f>IF(Assumptions!CW147&lt;&gt;"",Assumptions!CW147*Model!CW79,0)</f>
        <v>41.61056</v>
      </c>
      <c r="CX80" s="482">
        <f>CY80-CW80</f>
        <v>43.598440000000004</v>
      </c>
      <c r="CY80" s="528">
        <f>IF(Assumptions!CY147&lt;&gt;"",Assumptions!CY147*Model!CY79,0)</f>
        <v>85.209000000000003</v>
      </c>
      <c r="CZ80" s="530">
        <f>IF(Assumptions!CZ147&lt;&gt;"",Assumptions!CZ147*Model!CZ79,0)</f>
        <v>45.800000000000018</v>
      </c>
      <c r="DA80" s="482">
        <f>DB80-CZ80</f>
        <v>48.899999999999984</v>
      </c>
      <c r="DB80" s="528">
        <f>IF(Assumptions!DB147&lt;&gt;"",Assumptions!DB147*Model!DB79,0)</f>
        <v>94.7</v>
      </c>
      <c r="DC80" s="530">
        <f>IF(Assumptions!DC147&lt;&gt;"",Assumptions!DC147*Model!DC79,0)</f>
        <v>45.7</v>
      </c>
      <c r="DD80" s="482">
        <f>DE80-DC80</f>
        <v>43.200000000000031</v>
      </c>
      <c r="DE80" s="528">
        <f>IF(Assumptions!DE147&lt;&gt;"",Assumptions!DE147*Model!DE79,0)</f>
        <v>88.900000000000034</v>
      </c>
      <c r="DF80" s="530">
        <f>IF(Assumptions!DF147&lt;&gt;"",Assumptions!DF147*Model!DF79,0)</f>
        <v>46.20000000000001</v>
      </c>
      <c r="DG80" s="482">
        <f>DH80-DF80</f>
        <v>-2.0000000000000213</v>
      </c>
      <c r="DH80" s="1260">
        <f>IF(Assumptions!DH147&lt;&gt;"",Assumptions!DH147*Model!DH79,0)</f>
        <v>44.199999999999989</v>
      </c>
      <c r="DI80" s="1637">
        <f>IF(Assumptions!DI147&lt;&gt;"",Assumptions!DI141,0)</f>
        <v>45.81</v>
      </c>
      <c r="DJ80" s="1637">
        <f>IF(Assumptions!DJ147&lt;&gt;"",Assumptions!DJ141,0)</f>
        <v>39.260000000000005</v>
      </c>
      <c r="DK80" s="1638">
        <f>IF(Assumptions!DK147&lt;&gt;"",Assumptions!DK141,0)</f>
        <v>85.070000000000007</v>
      </c>
      <c r="DL80" s="1637">
        <f>IF(Assumptions!DL147&lt;&gt;"",Assumptions!DL141,0)</f>
        <v>58.160000000000004</v>
      </c>
      <c r="DM80" s="1637">
        <f>IF(Assumptions!DM147&lt;&gt;"",Assumptions!DM141,0)</f>
        <v>47.82</v>
      </c>
      <c r="DN80" s="1638">
        <f>IF(Assumptions!DN147&lt;&gt;"",Assumptions!DN141,0)</f>
        <v>105.98</v>
      </c>
      <c r="DO80" s="1637">
        <f>IF(Assumptions!DO147&lt;&gt;"",Assumptions!DO141,0)</f>
        <v>51.26</v>
      </c>
      <c r="DP80" s="1637">
        <f>IF(Assumptions!DP147&lt;&gt;"",Assumptions!DP141,0)</f>
        <v>58.29</v>
      </c>
      <c r="DQ80" s="1638">
        <f>IF(Assumptions!DQ147&lt;&gt;"",Assumptions!DQ141,0)</f>
        <v>109.55</v>
      </c>
      <c r="DR80" s="1637">
        <f>IF(Assumptions!DR147&lt;&gt;"",Assumptions!DR141,0)</f>
        <v>73.669999999999987</v>
      </c>
      <c r="DS80" s="1637">
        <f>IF(Assumptions!DS147&lt;&gt;"",Assumptions!DS141,0)</f>
        <v>63.420000000000009</v>
      </c>
      <c r="DT80" s="1638">
        <f>IF(Assumptions!DT147&lt;&gt;"",Assumptions!DT141,0)</f>
        <v>137.09</v>
      </c>
      <c r="DU80" s="1637">
        <f>IF(Assumptions!DU147&lt;&gt;"",Assumptions!DU141,0)</f>
        <v>74.710000000000008</v>
      </c>
      <c r="DV80" s="1637">
        <f>IF(Assumptions!DV147&lt;&gt;"",Assumptions!DV141,0)</f>
        <v>64.699999999999989</v>
      </c>
      <c r="DW80" s="1638">
        <f>IF(Assumptions!DW147&lt;&gt;"",Assumptions!DW141,0)</f>
        <v>139.41</v>
      </c>
      <c r="DX80" s="1637">
        <f>IF(Assumptions!DX147&lt;&gt;"",Assumptions!DX141,0)</f>
        <v>62.1</v>
      </c>
      <c r="DY80" s="482">
        <f>DZ80-DX80</f>
        <v>75.254984324917501</v>
      </c>
      <c r="DZ80" s="1244">
        <f>IF(Assumptions!DZ147&lt;&gt;"",Assumptions!DZ147*Model!DZ79,0)</f>
        <v>137.3549843249175</v>
      </c>
      <c r="EA80" s="482">
        <f>IF(Assumptions!EA147&lt;&gt;"",Assumptions!EA147*Model!EA79,0)</f>
        <v>77.92762732760302</v>
      </c>
      <c r="EB80" s="482">
        <f>EC80-EA80</f>
        <v>80.324366791195942</v>
      </c>
      <c r="EC80" s="1244">
        <f>IF(Assumptions!EC147&lt;&gt;"",Assumptions!EC147*Model!EC79,0)</f>
        <v>158.25199411879896</v>
      </c>
      <c r="ED80" s="482">
        <f>IF(Assumptions!ED147&lt;&gt;"",Assumptions!ED147*Model!ED79,0)</f>
        <v>86.947218905036834</v>
      </c>
      <c r="EE80" s="482">
        <f>EF80-ED80</f>
        <v>89.672012729327463</v>
      </c>
      <c r="EF80" s="1244">
        <f>IF(Assumptions!EF147&lt;&gt;"",Assumptions!EF147*Model!EF79,0)</f>
        <v>176.6192316343643</v>
      </c>
      <c r="EG80" s="482">
        <f>IF(Assumptions!EG147&lt;&gt;"",Assumptions!EG147*Model!EG79,0)</f>
        <v>96.576352837922983</v>
      </c>
      <c r="EH80" s="482">
        <f>EI80-EG80</f>
        <v>99.597249548990661</v>
      </c>
      <c r="EI80" s="1244">
        <f>IF(Assumptions!EI147&lt;&gt;"",Assumptions!EI147*Model!EI79,0)</f>
        <v>196.17360238691364</v>
      </c>
      <c r="EJ80" s="482">
        <f>IF(Assumptions!EJ147&lt;&gt;"",Assumptions!EJ147*Model!EJ79,0)</f>
        <v>106.50062573824088</v>
      </c>
      <c r="EK80" s="482">
        <f>EL80-EJ80</f>
        <v>109.82805932356963</v>
      </c>
      <c r="EL80" s="1244">
        <f>IF(Assumptions!EL147&lt;&gt;"",Assumptions!EL147*Model!EL79,0)</f>
        <v>216.32868506181052</v>
      </c>
      <c r="EM80" s="482">
        <f>IF(Assumptions!EM147&lt;&gt;"",Assumptions!EM147*Model!EM79,0)</f>
        <v>116.91708091689429</v>
      </c>
      <c r="EN80" s="482">
        <f>EO80-EM80</f>
        <v>120.55909361513812</v>
      </c>
      <c r="EO80" s="1244">
        <f>IF(Assumptions!EO147&lt;&gt;"",Assumptions!EO147*Model!EO79,0)</f>
        <v>237.47617453203242</v>
      </c>
      <c r="EP80" s="482">
        <f>IF(Assumptions!EP147&lt;&gt;"",Assumptions!EP147*Model!EP79,0)</f>
        <v>128.00428244967401</v>
      </c>
      <c r="EQ80" s="482">
        <f>ER80-EP80</f>
        <v>131.97407629075985</v>
      </c>
      <c r="ER80" s="1244">
        <f>IF(Assumptions!ER147&lt;&gt;"",Assumptions!ER147*Model!ER79,0)</f>
        <v>259.97835874043386</v>
      </c>
      <c r="ES80" s="482">
        <f>IF(Assumptions!ES147&lt;&gt;"",Assumptions!ES147*Model!ES79,0)</f>
        <v>140.10950010856655</v>
      </c>
      <c r="ET80" s="482">
        <f>EU80-ES80</f>
        <v>144.4365753953501</v>
      </c>
      <c r="EU80" s="1244">
        <f>IF(Assumptions!EU147&lt;&gt;"",Assumptions!EU147*Model!EU79,0)</f>
        <v>284.54607550391665</v>
      </c>
      <c r="EV80" s="482">
        <f>IF(Assumptions!EV147&lt;&gt;"",Assumptions!EV147*Model!EV79,0)</f>
        <v>153.32666470959438</v>
      </c>
      <c r="EW80" s="482">
        <f>EX80-EV80</f>
        <v>158.0431767721885</v>
      </c>
      <c r="EX80" s="1244">
        <f>IF(Assumptions!EX147&lt;&gt;"",Assumptions!EX147*Model!EX79,0)</f>
        <v>311.36984148178288</v>
      </c>
      <c r="EY80" s="482">
        <f>IF(Assumptions!EY147&lt;&gt;"",Assumptions!EY147*Model!EY79,0)</f>
        <v>167.75871020302904</v>
      </c>
      <c r="EZ80" s="482">
        <f>FA80-EY80</f>
        <v>172.89970835125658</v>
      </c>
      <c r="FA80" s="1244">
        <f>IF(Assumptions!FA147&lt;&gt;"",Assumptions!FA147*Model!FA79,0)</f>
        <v>340.65841855428562</v>
      </c>
      <c r="FE80"/>
      <c r="FF80"/>
      <c r="FG80"/>
      <c r="FH80"/>
      <c r="FI80"/>
      <c r="FJ80"/>
      <c r="FK80" s="35"/>
    </row>
    <row r="81" spans="2:167" s="236" customFormat="1" ht="13.35" customHeight="1" thickBot="1">
      <c r="B81" s="545" t="s">
        <v>803</v>
      </c>
      <c r="C81" s="242" t="s">
        <v>460</v>
      </c>
      <c r="D81" s="243"/>
      <c r="E81" s="502"/>
      <c r="F81" s="502"/>
      <c r="G81" s="502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502"/>
      <c r="V81" s="502"/>
      <c r="W81" s="502"/>
      <c r="X81" s="502"/>
      <c r="Y81" s="502"/>
      <c r="Z81" s="502"/>
      <c r="AA81" s="502"/>
      <c r="AB81" s="502"/>
      <c r="AC81" s="502"/>
      <c r="AD81" s="502"/>
      <c r="AE81" s="502"/>
      <c r="AF81" s="502"/>
      <c r="AG81" s="502"/>
      <c r="AH81" s="502"/>
      <c r="AI81" s="502">
        <f t="shared" ref="AI81:AR81" si="320">+AI80/AI79</f>
        <v>0.11070253532030191</v>
      </c>
      <c r="AJ81" s="502">
        <f t="shared" si="320"/>
        <v>0.19585477813325913</v>
      </c>
      <c r="AK81" s="502">
        <f t="shared" si="320"/>
        <v>0.1602460343153124</v>
      </c>
      <c r="AL81" s="502">
        <f t="shared" si="320"/>
        <v>0.18593204191806922</v>
      </c>
      <c r="AM81" s="502">
        <f t="shared" si="320"/>
        <v>0.22255353754404988</v>
      </c>
      <c r="AN81" s="502">
        <f t="shared" si="320"/>
        <v>0.20568879789412109</v>
      </c>
      <c r="AO81" s="502">
        <f t="shared" si="320"/>
        <v>0.25107651540245113</v>
      </c>
      <c r="AP81" s="502">
        <f t="shared" si="320"/>
        <v>0.28613602815941858</v>
      </c>
      <c r="AQ81" s="502">
        <f t="shared" si="320"/>
        <v>0.27187605254294372</v>
      </c>
      <c r="AR81" s="502">
        <f t="shared" si="320"/>
        <v>0.29242206860571279</v>
      </c>
      <c r="AS81" s="502">
        <f t="shared" ref="AS81:BB81" si="321">+AS80/AS79</f>
        <v>0.23984526112185686</v>
      </c>
      <c r="AT81" s="502">
        <f t="shared" si="321"/>
        <v>0.2622313544732604</v>
      </c>
      <c r="AU81" s="502">
        <f t="shared" si="321"/>
        <v>0.30073684210526319</v>
      </c>
      <c r="AV81" s="502">
        <f t="shared" si="321"/>
        <v>0.32954860149543064</v>
      </c>
      <c r="AW81" s="502">
        <f t="shared" si="321"/>
        <v>0.31811727363848979</v>
      </c>
      <c r="AX81" s="502">
        <f t="shared" si="321"/>
        <v>0.36998840544333922</v>
      </c>
      <c r="AY81" s="502">
        <f t="shared" si="321"/>
        <v>0.29875940614195651</v>
      </c>
      <c r="AZ81" s="502">
        <f t="shared" si="321"/>
        <v>0.33113299126334766</v>
      </c>
      <c r="BA81" s="502">
        <f t="shared" si="321"/>
        <v>0.33005529059215799</v>
      </c>
      <c r="BB81" s="502">
        <f t="shared" si="321"/>
        <v>0.32748923455488177</v>
      </c>
      <c r="BC81" s="502">
        <f t="shared" ref="BC81:BO81" si="322">+BC80/BC79</f>
        <v>0.32879808830810964</v>
      </c>
      <c r="BD81" s="502">
        <f t="shared" si="322"/>
        <v>0.19066147859922181</v>
      </c>
      <c r="BE81" s="502">
        <f t="shared" si="322"/>
        <v>0.20881026708289974</v>
      </c>
      <c r="BF81" s="502">
        <f t="shared" si="322"/>
        <v>0.20025673940949934</v>
      </c>
      <c r="BG81" s="502">
        <f t="shared" si="322"/>
        <v>0.2498542193096937</v>
      </c>
      <c r="BH81" s="502">
        <f t="shared" si="322"/>
        <v>0.29156533400004542</v>
      </c>
      <c r="BI81" s="502">
        <f t="shared" si="322"/>
        <v>0.27279090113735782</v>
      </c>
      <c r="BJ81" s="502">
        <f t="shared" si="322"/>
        <v>0.26698027564578691</v>
      </c>
      <c r="BK81" s="502">
        <f t="shared" si="322"/>
        <v>0.12962113567562608</v>
      </c>
      <c r="BL81" s="502">
        <f t="shared" si="322"/>
        <v>0.23529162786760349</v>
      </c>
      <c r="BM81" s="502">
        <f t="shared" si="322"/>
        <v>0.27478130467383155</v>
      </c>
      <c r="BN81" s="502">
        <f t="shared" si="322"/>
        <v>0.30354398657115156</v>
      </c>
      <c r="BO81" s="502">
        <f t="shared" si="322"/>
        <v>0.28956224865442792</v>
      </c>
      <c r="BP81" s="502">
        <f t="shared" ref="BP81:DK81" si="323">+BP80/BP79</f>
        <v>0.30740120454765046</v>
      </c>
      <c r="BQ81" s="502">
        <f t="shared" si="323"/>
        <v>0.24650705008879478</v>
      </c>
      <c r="BR81" s="502">
        <f t="shared" si="323"/>
        <v>0.28125143565948457</v>
      </c>
      <c r="BS81" s="502">
        <f t="shared" si="323"/>
        <v>0.33354476770410463</v>
      </c>
      <c r="BT81" s="502">
        <f t="shared" si="323"/>
        <v>0.30525111322497489</v>
      </c>
      <c r="BU81" s="502">
        <f t="shared" si="323"/>
        <v>0.31924087509844512</v>
      </c>
      <c r="BV81" s="502">
        <f t="shared" si="323"/>
        <v>0.28311241652859365</v>
      </c>
      <c r="BW81" s="502">
        <f t="shared" si="323"/>
        <v>0.24566185154901421</v>
      </c>
      <c r="BX81" s="502">
        <f t="shared" si="323"/>
        <v>0.26470006444737965</v>
      </c>
      <c r="BY81" s="502">
        <f t="shared" si="323"/>
        <v>0.27112797156882162</v>
      </c>
      <c r="BZ81" s="502">
        <f t="shared" si="323"/>
        <v>0.24543994422102419</v>
      </c>
      <c r="CA81" s="502">
        <f t="shared" si="323"/>
        <v>0.25942315111080855</v>
      </c>
      <c r="CB81" s="502">
        <f t="shared" si="323"/>
        <v>0.26240001568381427</v>
      </c>
      <c r="CC81" s="502">
        <f t="shared" si="323"/>
        <v>0.25555503796524898</v>
      </c>
      <c r="CD81" s="502">
        <f t="shared" si="323"/>
        <v>0.25889057133713239</v>
      </c>
      <c r="CE81" s="502">
        <f t="shared" si="323"/>
        <v>0.24966751409106946</v>
      </c>
      <c r="CF81" s="502">
        <f t="shared" si="323"/>
        <v>0.22010978604561582</v>
      </c>
      <c r="CG81" s="502">
        <f t="shared" si="323"/>
        <v>0.23400400617512346</v>
      </c>
      <c r="CH81" s="502">
        <f t="shared" si="323"/>
        <v>0.24596626243049741</v>
      </c>
      <c r="CI81" s="502">
        <f t="shared" si="323"/>
        <v>0.25544900571166596</v>
      </c>
      <c r="CJ81" s="502">
        <f t="shared" si="323"/>
        <v>0.25067183597249149</v>
      </c>
      <c r="CK81" s="502">
        <f t="shared" si="323"/>
        <v>0.26363644982981105</v>
      </c>
      <c r="CL81" s="502">
        <f t="shared" si="323"/>
        <v>0.18265193699193041</v>
      </c>
      <c r="CM81" s="502">
        <f t="shared" si="323"/>
        <v>0.2321286862028418</v>
      </c>
      <c r="CN81" s="502">
        <f t="shared" si="323"/>
        <v>0.17943570870971343</v>
      </c>
      <c r="CO81" s="502">
        <f t="shared" si="323"/>
        <v>0.23331645996794062</v>
      </c>
      <c r="CP81" s="502">
        <f t="shared" si="323"/>
        <v>0.21601901775037771</v>
      </c>
      <c r="CQ81" s="502">
        <f t="shared" si="323"/>
        <v>0.24873165905311242</v>
      </c>
      <c r="CR81" s="502">
        <f t="shared" si="323"/>
        <v>0.26488444870035638</v>
      </c>
      <c r="CS81" s="502">
        <f t="shared" si="323"/>
        <v>0.25706688130084615</v>
      </c>
      <c r="CT81" s="502">
        <f t="shared" si="323"/>
        <v>0.25537879207811026</v>
      </c>
      <c r="CU81" s="502">
        <f t="shared" si="323"/>
        <v>0.25858903135572692</v>
      </c>
      <c r="CV81" s="502">
        <f t="shared" si="323"/>
        <v>0.25699464340493816</v>
      </c>
      <c r="CW81" s="502">
        <f t="shared" si="323"/>
        <v>0.27200000000000002</v>
      </c>
      <c r="CX81" s="502">
        <f t="shared" si="323"/>
        <v>0.27975514132631785</v>
      </c>
      <c r="CY81" s="502">
        <f t="shared" si="323"/>
        <v>0.2759135432688416</v>
      </c>
      <c r="CZ81" s="502">
        <f t="shared" si="323"/>
        <v>0.29246487867177534</v>
      </c>
      <c r="DA81" s="502">
        <f t="shared" si="323"/>
        <v>0.26590538336052194</v>
      </c>
      <c r="DB81" s="502">
        <f t="shared" si="323"/>
        <v>0.27812041116005876</v>
      </c>
      <c r="DC81" s="502">
        <f t="shared" si="323"/>
        <v>0.26219162363740678</v>
      </c>
      <c r="DD81" s="502">
        <f t="shared" si="323"/>
        <v>0.23933518005540183</v>
      </c>
      <c r="DE81" s="502">
        <f t="shared" si="323"/>
        <v>0.25056369785794824</v>
      </c>
      <c r="DF81" s="502">
        <f t="shared" si="323"/>
        <v>0.25824482951369487</v>
      </c>
      <c r="DG81" s="502">
        <f t="shared" si="323"/>
        <v>-0.10471204188481774</v>
      </c>
      <c r="DH81" s="1253">
        <f t="shared" si="323"/>
        <v>0.22323232323232317</v>
      </c>
      <c r="DI81" s="502">
        <f t="shared" si="323"/>
        <v>0.26711370262390671</v>
      </c>
      <c r="DJ81" s="502">
        <f t="shared" si="323"/>
        <v>0.25460440985732818</v>
      </c>
      <c r="DK81" s="1253">
        <f t="shared" si="323"/>
        <v>0.26119128031931227</v>
      </c>
      <c r="DL81" s="502">
        <f t="shared" ref="DL81:DQ81" si="324">+DL80/DL79</f>
        <v>0.26496583143507974</v>
      </c>
      <c r="DM81" s="502">
        <f t="shared" si="324"/>
        <v>0.26774916013437849</v>
      </c>
      <c r="DN81" s="1253">
        <f t="shared" si="324"/>
        <v>0.26621451896508413</v>
      </c>
      <c r="DO81" s="502">
        <f t="shared" si="324"/>
        <v>0.25004878048780488</v>
      </c>
      <c r="DP81" s="502">
        <f t="shared" si="324"/>
        <v>0.24626108998732568</v>
      </c>
      <c r="DQ81" s="1253">
        <f t="shared" si="324"/>
        <v>0.24801901743264657</v>
      </c>
      <c r="DR81" s="502">
        <f t="shared" ref="DR81:DU81" si="325">+DR80/DR79</f>
        <v>0.26566895059502343</v>
      </c>
      <c r="DS81" s="502">
        <f t="shared" si="325"/>
        <v>0.23699551569506727</v>
      </c>
      <c r="DT81" s="1253">
        <f t="shared" si="325"/>
        <v>0.25158744723802534</v>
      </c>
      <c r="DU81" s="502">
        <f t="shared" si="325"/>
        <v>0.25904993065187243</v>
      </c>
      <c r="DV81" s="502">
        <f t="shared" ref="DV81:DX81" si="326">+DV80/DV79</f>
        <v>0.24295906871948919</v>
      </c>
      <c r="DW81" s="1253">
        <f t="shared" si="326"/>
        <v>0.25132504056246618</v>
      </c>
      <c r="DX81" s="502">
        <f t="shared" si="326"/>
        <v>0.24172829894900738</v>
      </c>
      <c r="DY81" s="502">
        <f t="shared" ref="DY81:EC81" si="327">+DY80/DY79</f>
        <v>0.25726446210681042</v>
      </c>
      <c r="DZ81" s="1253">
        <f t="shared" si="327"/>
        <v>0.25</v>
      </c>
      <c r="EA81" s="502">
        <f t="shared" si="327"/>
        <v>0.25</v>
      </c>
      <c r="EB81" s="502">
        <f t="shared" si="327"/>
        <v>0.25</v>
      </c>
      <c r="EC81" s="1253">
        <f t="shared" si="327"/>
        <v>0.25</v>
      </c>
      <c r="ED81" s="502">
        <f t="shared" ref="ED81:EL81" si="328">+ED80/ED79</f>
        <v>0.25</v>
      </c>
      <c r="EE81" s="502">
        <f t="shared" si="328"/>
        <v>0.25</v>
      </c>
      <c r="EF81" s="1253">
        <f t="shared" si="328"/>
        <v>0.25</v>
      </c>
      <c r="EG81" s="502">
        <f t="shared" si="328"/>
        <v>0.25</v>
      </c>
      <c r="EH81" s="502">
        <f t="shared" si="328"/>
        <v>0.25</v>
      </c>
      <c r="EI81" s="1253">
        <f t="shared" si="328"/>
        <v>0.25</v>
      </c>
      <c r="EJ81" s="502">
        <f t="shared" si="328"/>
        <v>0.25</v>
      </c>
      <c r="EK81" s="502">
        <f t="shared" si="328"/>
        <v>0.25</v>
      </c>
      <c r="EL81" s="1253">
        <f t="shared" si="328"/>
        <v>0.25</v>
      </c>
      <c r="EM81" s="502">
        <f t="shared" ref="EM81:ER81" si="329">+EM80/EM79</f>
        <v>0.25</v>
      </c>
      <c r="EN81" s="502">
        <f t="shared" si="329"/>
        <v>0.25</v>
      </c>
      <c r="EO81" s="1253">
        <f t="shared" si="329"/>
        <v>0.25</v>
      </c>
      <c r="EP81" s="502">
        <f t="shared" si="329"/>
        <v>0.25</v>
      </c>
      <c r="EQ81" s="502">
        <f t="shared" si="329"/>
        <v>0.25</v>
      </c>
      <c r="ER81" s="1253">
        <f t="shared" si="329"/>
        <v>0.25</v>
      </c>
      <c r="ES81" s="502">
        <f t="shared" ref="ES81:EX81" si="330">+ES80/ES79</f>
        <v>0.25</v>
      </c>
      <c r="ET81" s="502">
        <f t="shared" si="330"/>
        <v>0.25</v>
      </c>
      <c r="EU81" s="1253">
        <f t="shared" si="330"/>
        <v>0.25</v>
      </c>
      <c r="EV81" s="502">
        <f t="shared" si="330"/>
        <v>0.25</v>
      </c>
      <c r="EW81" s="502">
        <f t="shared" si="330"/>
        <v>0.25</v>
      </c>
      <c r="EX81" s="1253">
        <f t="shared" si="330"/>
        <v>0.25</v>
      </c>
      <c r="EY81" s="502">
        <f t="shared" ref="EY81:FA81" si="331">+EY80/EY79</f>
        <v>0.25</v>
      </c>
      <c r="EZ81" s="502">
        <f t="shared" si="331"/>
        <v>0.25</v>
      </c>
      <c r="FA81" s="1253">
        <f t="shared" si="331"/>
        <v>0.25</v>
      </c>
      <c r="FE81"/>
      <c r="FF81"/>
      <c r="FG81"/>
      <c r="FH81"/>
      <c r="FI81"/>
      <c r="FJ81"/>
      <c r="FK81" s="35"/>
    </row>
    <row r="82" spans="2:167" s="236" customFormat="1" ht="13.35" customHeight="1">
      <c r="B82" s="242" t="s">
        <v>279</v>
      </c>
      <c r="C82" s="242" t="s">
        <v>496</v>
      </c>
      <c r="D82" s="243"/>
      <c r="E82" s="535"/>
      <c r="F82" s="482">
        <f>G82-E82</f>
        <v>0</v>
      </c>
      <c r="G82" s="536"/>
      <c r="H82" s="537"/>
      <c r="I82" s="482">
        <f>J82-H82</f>
        <v>0</v>
      </c>
      <c r="J82" s="536"/>
      <c r="K82" s="537"/>
      <c r="L82" s="482">
        <f>M82-K82</f>
        <v>0</v>
      </c>
      <c r="M82" s="536"/>
      <c r="N82" s="537"/>
      <c r="O82" s="482">
        <f>P82-N82</f>
        <v>0</v>
      </c>
      <c r="P82" s="536"/>
      <c r="Q82" s="537"/>
      <c r="R82" s="482">
        <f>S82-Q82</f>
        <v>0</v>
      </c>
      <c r="S82" s="536"/>
      <c r="T82" s="537"/>
      <c r="U82" s="482">
        <f>V82-T82</f>
        <v>0</v>
      </c>
      <c r="V82" s="536"/>
      <c r="W82" s="537"/>
      <c r="X82" s="482">
        <f>Y82-W82</f>
        <v>0</v>
      </c>
      <c r="Y82" s="536"/>
      <c r="Z82" s="537"/>
      <c r="AA82" s="482">
        <f>AB82-Z82</f>
        <v>0</v>
      </c>
      <c r="AB82" s="536"/>
      <c r="AC82" s="537"/>
      <c r="AD82" s="482">
        <f>AE82-AC82</f>
        <v>0</v>
      </c>
      <c r="AE82" s="536"/>
      <c r="AF82" s="537"/>
      <c r="AG82" s="482">
        <f>AH82-AF82</f>
        <v>0</v>
      </c>
      <c r="AH82" s="536"/>
      <c r="AI82" s="537"/>
      <c r="AJ82" s="482">
        <f>AK82-AI82</f>
        <v>0</v>
      </c>
      <c r="AK82" s="539">
        <v>0</v>
      </c>
      <c r="AL82" s="537"/>
      <c r="AM82" s="482">
        <f>AN82-AL82</f>
        <v>0</v>
      </c>
      <c r="AN82" s="539">
        <v>0</v>
      </c>
      <c r="AO82" s="537"/>
      <c r="AP82" s="482">
        <f>AQ82-AO82</f>
        <v>0</v>
      </c>
      <c r="AQ82" s="539">
        <v>0</v>
      </c>
      <c r="AR82" s="538">
        <v>0</v>
      </c>
      <c r="AS82" s="482">
        <f>AT82-AR82</f>
        <v>0</v>
      </c>
      <c r="AT82" s="539">
        <v>0</v>
      </c>
      <c r="AU82" s="537"/>
      <c r="AV82" s="482">
        <f>AW82-AU82</f>
        <v>0</v>
      </c>
      <c r="AW82" s="539">
        <v>0</v>
      </c>
      <c r="AX82" s="538">
        <v>0</v>
      </c>
      <c r="AY82" s="482">
        <f>AZ82-AX82</f>
        <v>0</v>
      </c>
      <c r="AZ82" s="539">
        <v>0</v>
      </c>
      <c r="BA82" s="538">
        <v>0</v>
      </c>
      <c r="BB82" s="482">
        <f>BC82-BA82</f>
        <v>0</v>
      </c>
      <c r="BC82" s="539">
        <v>0</v>
      </c>
      <c r="BD82" s="537">
        <f>IF(Assumptions!BD159&lt;&gt;"",Assumptions!BD159,0)</f>
        <v>0</v>
      </c>
      <c r="BE82" s="482">
        <f>BF82-BD82</f>
        <v>0</v>
      </c>
      <c r="BF82" s="536">
        <f>IF(Assumptions!BF159&lt;&gt;"",Assumptions!BF159,0)</f>
        <v>0</v>
      </c>
      <c r="BG82" s="537">
        <f>IF(Assumptions!BG159&lt;&gt;"",Assumptions!BG159,0)</f>
        <v>0</v>
      </c>
      <c r="BH82" s="482">
        <f>BI82-BG82</f>
        <v>0</v>
      </c>
      <c r="BI82" s="536">
        <f>IF(Assumptions!BI159&lt;&gt;"",Assumptions!BI159,0)</f>
        <v>0</v>
      </c>
      <c r="BJ82" s="538">
        <v>-0.23400000000000001</v>
      </c>
      <c r="BK82" s="482">
        <f>BL82-BJ82</f>
        <v>-0.39300000000000002</v>
      </c>
      <c r="BL82" s="539">
        <v>-0.627</v>
      </c>
      <c r="BM82" s="538">
        <v>-0.44900000000000001</v>
      </c>
      <c r="BN82" s="482">
        <f>BO82-BM82</f>
        <v>0.44900000000000001</v>
      </c>
      <c r="BO82" s="553">
        <v>0</v>
      </c>
      <c r="BP82" s="537">
        <f>IF(Assumptions!BP159&lt;&gt;"",Assumptions!BP159,0)</f>
        <v>0</v>
      </c>
      <c r="BQ82" s="482">
        <f>BR82-BP82</f>
        <v>-1.8069999999999999</v>
      </c>
      <c r="BR82" s="553">
        <v>-1.8069999999999999</v>
      </c>
      <c r="BS82" s="538">
        <v>-1.5169999999999999</v>
      </c>
      <c r="BT82" s="482">
        <f>BU82-BS82</f>
        <v>-0.93800000000000017</v>
      </c>
      <c r="BU82" s="553">
        <v>-2.4550000000000001</v>
      </c>
      <c r="BV82" s="537">
        <f>IF(Assumptions!BV159&lt;&gt;"",Assumptions!BV159,0)</f>
        <v>0</v>
      </c>
      <c r="BW82" s="482">
        <f>BX82-BV82</f>
        <v>0</v>
      </c>
      <c r="BX82" s="535">
        <f>IF(Assumptions!BX159&lt;&gt;"",Assumptions!BX159,0)</f>
        <v>0</v>
      </c>
      <c r="BY82" s="537">
        <f>IF(Assumptions!BY159&lt;&gt;"",Assumptions!BY159,0)</f>
        <v>0</v>
      </c>
      <c r="BZ82" s="482">
        <f>CA82-BY82</f>
        <v>0</v>
      </c>
      <c r="CA82" s="535">
        <f>IF(Assumptions!CA159&lt;&gt;"",Assumptions!CA159,0)</f>
        <v>0</v>
      </c>
      <c r="CB82" s="537">
        <f>IF(Assumptions!CB159&lt;&gt;"",Assumptions!CB159,0)</f>
        <v>0</v>
      </c>
      <c r="CC82" s="482">
        <f>CD82-CB82</f>
        <v>0</v>
      </c>
      <c r="CD82" s="535">
        <f>IF(Assumptions!CD159&lt;&gt;"",Assumptions!CD159,0)</f>
        <v>0</v>
      </c>
      <c r="CE82" s="537">
        <f>IF(Assumptions!CE159&lt;&gt;"",Assumptions!CE159,0)</f>
        <v>0</v>
      </c>
      <c r="CF82" s="482">
        <f>CG82-CE82</f>
        <v>0</v>
      </c>
      <c r="CG82" s="535">
        <f>IF(Assumptions!CG159&lt;&gt;"",Assumptions!CG159,0)</f>
        <v>0</v>
      </c>
      <c r="CH82" s="537">
        <f>IF(Assumptions!CH159&lt;&gt;"",Assumptions!CH159,0)</f>
        <v>0</v>
      </c>
      <c r="CI82" s="482">
        <f>CJ82-CH82</f>
        <v>0</v>
      </c>
      <c r="CJ82" s="535">
        <f>IF(Assumptions!CJ159&lt;&gt;"",Assumptions!CJ159,0)</f>
        <v>0</v>
      </c>
      <c r="CK82" s="537">
        <f>IF(Assumptions!CK159&lt;&gt;"",Assumptions!CK159,0)</f>
        <v>0</v>
      </c>
      <c r="CL82" s="482">
        <f>CM82-CK82</f>
        <v>0</v>
      </c>
      <c r="CM82" s="535">
        <f>IF(Assumptions!CM159&lt;&gt;"",Assumptions!CM159,0)</f>
        <v>0</v>
      </c>
      <c r="CN82" s="537">
        <f>IF(Assumptions!CN159&lt;&gt;"",Assumptions!CN159,0)</f>
        <v>0</v>
      </c>
      <c r="CO82" s="482">
        <f>CP82-CN82</f>
        <v>0</v>
      </c>
      <c r="CP82" s="535">
        <f>IF(Assumptions!CP159&lt;&gt;"",Assumptions!CP159,0)</f>
        <v>0</v>
      </c>
      <c r="CQ82" s="537">
        <f>IF(Assumptions!CQ159&lt;&gt;"",Assumptions!CQ159,0)</f>
        <v>0</v>
      </c>
      <c r="CR82" s="482">
        <f>CS82-CQ82</f>
        <v>0</v>
      </c>
      <c r="CS82" s="535">
        <f>IF(Assumptions!CS159&lt;&gt;"",Assumptions!CS159,0)</f>
        <v>0</v>
      </c>
      <c r="CT82" s="537">
        <f>IF(Assumptions!CT159&lt;&gt;"",Assumptions!CT159,0)</f>
        <v>0</v>
      </c>
      <c r="CU82" s="482">
        <f>CV82-CT82</f>
        <v>0</v>
      </c>
      <c r="CV82" s="535"/>
      <c r="CW82" s="537">
        <f>IF(Assumptions!CW159&lt;&gt;"",Assumptions!CW159,0)</f>
        <v>0</v>
      </c>
      <c r="CX82" s="482">
        <f>CY82-CW82</f>
        <v>0</v>
      </c>
      <c r="CY82" s="555"/>
      <c r="CZ82" s="537"/>
      <c r="DA82" s="482"/>
      <c r="DB82" s="555"/>
      <c r="DC82" s="537">
        <f>IF(Assumptions!DC159&lt;&gt;"",Assumptions!DC159,0)</f>
        <v>0</v>
      </c>
      <c r="DD82" s="482">
        <f>DE82-DC82</f>
        <v>0</v>
      </c>
      <c r="DE82" s="535">
        <f>IF(Assumptions!DE159&lt;&gt;"",Assumptions!DE159,0)</f>
        <v>0</v>
      </c>
      <c r="DF82" s="537">
        <f>IF(Assumptions!DF159&lt;&gt;"",Assumptions!DF159,0)</f>
        <v>0</v>
      </c>
      <c r="DG82" s="482">
        <f>DH82-DF82</f>
        <v>0</v>
      </c>
      <c r="DH82" s="1268">
        <f>IF(Assumptions!DH159&lt;&gt;"",Assumptions!DH159,0)</f>
        <v>0</v>
      </c>
      <c r="DI82" s="534">
        <f>IF(Assumptions!DI159&lt;&gt;"",Assumptions!DI159,0)</f>
        <v>0</v>
      </c>
      <c r="DJ82" s="482">
        <f>DK82-DI82</f>
        <v>0</v>
      </c>
      <c r="DK82" s="1262">
        <f>IF(Assumptions!DK159&lt;&gt;"",Assumptions!DK159,0)</f>
        <v>0</v>
      </c>
      <c r="DL82" s="534">
        <v>0</v>
      </c>
      <c r="DM82" s="482">
        <f>DN82-DL82</f>
        <v>0</v>
      </c>
      <c r="DN82" s="1262">
        <v>0</v>
      </c>
      <c r="DO82" s="534">
        <f>IF(Assumptions!DO159&lt;&gt;"",Assumptions!DO159,0)</f>
        <v>0</v>
      </c>
      <c r="DP82" s="482">
        <f>DQ82-DO82</f>
        <v>0</v>
      </c>
      <c r="DQ82" s="1262">
        <f>IF(Assumptions!DQ159&lt;&gt;"",Assumptions!DQ159,0)</f>
        <v>0</v>
      </c>
      <c r="DR82" s="534">
        <f>IF(Assumptions!DR159&lt;&gt;"",Assumptions!DR159,0)</f>
        <v>0</v>
      </c>
      <c r="DS82" s="482">
        <f>DT82-DR82</f>
        <v>0</v>
      </c>
      <c r="DT82" s="1262">
        <f>IF(Assumptions!DT159&lt;&gt;"",Assumptions!DT159,0)</f>
        <v>0</v>
      </c>
      <c r="DU82" s="534">
        <f>IF(Assumptions!DU159&lt;&gt;"",Assumptions!DU159,0)</f>
        <v>0</v>
      </c>
      <c r="DV82" s="482">
        <f>DW82-DU82</f>
        <v>0</v>
      </c>
      <c r="DW82" s="1262">
        <f>IF(Assumptions!DW159&lt;&gt;"",Assumptions!DW159,0)</f>
        <v>0</v>
      </c>
      <c r="DX82" s="534">
        <f>IF(Assumptions!DX159&lt;&gt;"",Assumptions!DX159,0)</f>
        <v>0</v>
      </c>
      <c r="DY82" s="482">
        <f>DZ82-DX82</f>
        <v>0</v>
      </c>
      <c r="DZ82" s="1262">
        <f>IF(Assumptions!DZ159&lt;&gt;"",Assumptions!DZ159,0)</f>
        <v>0</v>
      </c>
      <c r="EA82" s="534">
        <f>IF(Assumptions!EA159&lt;&gt;"",Assumptions!EA159,0)</f>
        <v>0</v>
      </c>
      <c r="EB82" s="482">
        <f>EC82-EA82</f>
        <v>0</v>
      </c>
      <c r="EC82" s="1262">
        <f>IF(Assumptions!EC159&lt;&gt;"",Assumptions!EC159,0)</f>
        <v>0</v>
      </c>
      <c r="ED82" s="534">
        <f>IF(Assumptions!ED159&lt;&gt;"",Assumptions!ED159,0)</f>
        <v>0</v>
      </c>
      <c r="EE82" s="482">
        <f>EF82-ED82</f>
        <v>0</v>
      </c>
      <c r="EF82" s="1262">
        <f>IF(Assumptions!EF159&lt;&gt;"",Assumptions!EF159,0)</f>
        <v>0</v>
      </c>
      <c r="EG82" s="534">
        <f>IF(Assumptions!EG159&lt;&gt;"",Assumptions!EG159,0)</f>
        <v>0</v>
      </c>
      <c r="EH82" s="482">
        <f>EI82-EG82</f>
        <v>0</v>
      </c>
      <c r="EI82" s="1262">
        <f>IF(Assumptions!EI159&lt;&gt;"",Assumptions!EI159,0)</f>
        <v>0</v>
      </c>
      <c r="EJ82" s="534">
        <f>IF(Assumptions!EJ159&lt;&gt;"",Assumptions!EJ159,0)</f>
        <v>0</v>
      </c>
      <c r="EK82" s="482">
        <f>EL82-EJ82</f>
        <v>0</v>
      </c>
      <c r="EL82" s="1262">
        <f>IF(Assumptions!EL159&lt;&gt;"",Assumptions!EL159,0)</f>
        <v>0</v>
      </c>
      <c r="EM82" s="534">
        <f>IF(Assumptions!EM159&lt;&gt;"",Assumptions!EM159,0)</f>
        <v>0</v>
      </c>
      <c r="EN82" s="482">
        <f>EO82-EM82</f>
        <v>0</v>
      </c>
      <c r="EO82" s="1262">
        <f>IF(Assumptions!EO159&lt;&gt;"",Assumptions!EO159,0)</f>
        <v>0</v>
      </c>
      <c r="EP82" s="534">
        <f>IF(Assumptions!EP159&lt;&gt;"",Assumptions!EP159,0)</f>
        <v>0</v>
      </c>
      <c r="EQ82" s="482">
        <f>ER82-EP82</f>
        <v>0</v>
      </c>
      <c r="ER82" s="1262">
        <f>IF(Assumptions!ER159&lt;&gt;"",Assumptions!ER159,0)</f>
        <v>0</v>
      </c>
      <c r="ES82" s="534">
        <f>IF(Assumptions!ES159&lt;&gt;"",Assumptions!ES159,0)</f>
        <v>0</v>
      </c>
      <c r="ET82" s="482">
        <f>EU82-ES82</f>
        <v>0</v>
      </c>
      <c r="EU82" s="1262">
        <f>IF(Assumptions!EU159&lt;&gt;"",Assumptions!EU159,0)</f>
        <v>0</v>
      </c>
      <c r="EV82" s="534">
        <f>IF(Assumptions!EV159&lt;&gt;"",Assumptions!EV159,0)</f>
        <v>0</v>
      </c>
      <c r="EW82" s="482">
        <f>EX82-EV82</f>
        <v>0</v>
      </c>
      <c r="EX82" s="1262">
        <f>IF(Assumptions!EX159&lt;&gt;"",Assumptions!EX159,0)</f>
        <v>0</v>
      </c>
      <c r="EY82" s="534">
        <f>IF(Assumptions!EY159&lt;&gt;"",Assumptions!EY159,0)</f>
        <v>0</v>
      </c>
      <c r="EZ82" s="482">
        <f>FA82-EY82</f>
        <v>0</v>
      </c>
      <c r="FA82" s="1262">
        <f>IF(Assumptions!FA159&lt;&gt;"",Assumptions!FA159,0)</f>
        <v>0</v>
      </c>
      <c r="FE82"/>
      <c r="FF82"/>
      <c r="FG82"/>
      <c r="FH82"/>
      <c r="FI82"/>
      <c r="FJ82"/>
      <c r="FK82" s="35"/>
    </row>
    <row r="83" spans="2:167" s="236" customFormat="1" ht="13.35" customHeight="1">
      <c r="B83" s="1483" t="s">
        <v>294</v>
      </c>
      <c r="C83" s="1483" t="s">
        <v>496</v>
      </c>
      <c r="D83" s="1484"/>
      <c r="E83" s="1540"/>
      <c r="F83" s="1485">
        <f>G83-E83</f>
        <v>0</v>
      </c>
      <c r="G83" s="1541"/>
      <c r="H83" s="1542"/>
      <c r="I83" s="1485">
        <f>J83-H83</f>
        <v>0</v>
      </c>
      <c r="J83" s="1541"/>
      <c r="K83" s="1542"/>
      <c r="L83" s="1485">
        <f>M83-K83</f>
        <v>0</v>
      </c>
      <c r="M83" s="1541"/>
      <c r="N83" s="1542"/>
      <c r="O83" s="1485">
        <f>P83-N83</f>
        <v>0</v>
      </c>
      <c r="P83" s="1541"/>
      <c r="Q83" s="1542"/>
      <c r="R83" s="1485">
        <f>S83-Q83</f>
        <v>0</v>
      </c>
      <c r="S83" s="1541"/>
      <c r="T83" s="1542"/>
      <c r="U83" s="1485">
        <f>V83-T83</f>
        <v>0</v>
      </c>
      <c r="V83" s="1541"/>
      <c r="W83" s="1542"/>
      <c r="X83" s="1485">
        <f>Y83-W83</f>
        <v>0</v>
      </c>
      <c r="Y83" s="1541"/>
      <c r="Z83" s="1542"/>
      <c r="AA83" s="1485">
        <f>AB83-Z83</f>
        <v>0</v>
      </c>
      <c r="AB83" s="1541"/>
      <c r="AC83" s="1542"/>
      <c r="AD83" s="1485">
        <f>AE83-AC83</f>
        <v>0</v>
      </c>
      <c r="AE83" s="1541"/>
      <c r="AF83" s="1542"/>
      <c r="AG83" s="1485">
        <f>AH83-AF83</f>
        <v>0</v>
      </c>
      <c r="AH83" s="1541"/>
      <c r="AI83" s="1542"/>
      <c r="AJ83" s="1485">
        <f>AK83-AI83</f>
        <v>0</v>
      </c>
      <c r="AK83" s="1558">
        <v>0</v>
      </c>
      <c r="AL83" s="1542"/>
      <c r="AM83" s="1485">
        <f>AN83-AL83</f>
        <v>0</v>
      </c>
      <c r="AN83" s="1558">
        <v>0</v>
      </c>
      <c r="AO83" s="1542"/>
      <c r="AP83" s="1485">
        <f>AQ83-AO83</f>
        <v>0</v>
      </c>
      <c r="AQ83" s="1558">
        <v>0</v>
      </c>
      <c r="AR83" s="1559">
        <v>0</v>
      </c>
      <c r="AS83" s="1485">
        <f>AT83-AR83</f>
        <v>0</v>
      </c>
      <c r="AT83" s="1558">
        <v>0</v>
      </c>
      <c r="AU83" s="1542"/>
      <c r="AV83" s="1485">
        <f>AW83-AU83</f>
        <v>0</v>
      </c>
      <c r="AW83" s="1558">
        <v>0</v>
      </c>
      <c r="AX83" s="1559">
        <v>0</v>
      </c>
      <c r="AY83" s="1485">
        <f>AZ83-AX83</f>
        <v>0</v>
      </c>
      <c r="AZ83" s="1558">
        <v>0</v>
      </c>
      <c r="BA83" s="1559">
        <v>0</v>
      </c>
      <c r="BB83" s="1485">
        <f>BC83-BA83</f>
        <v>0</v>
      </c>
      <c r="BC83" s="1558">
        <v>0</v>
      </c>
      <c r="BD83" s="1542">
        <f>IF(Assumptions!BD160&lt;&gt;"",Assumptions!BD160,0)</f>
        <v>0</v>
      </c>
      <c r="BE83" s="1485">
        <f>BF83-BD83</f>
        <v>0</v>
      </c>
      <c r="BF83" s="1541">
        <f>IF(Assumptions!BF160&lt;&gt;"",Assumptions!BF160,0)</f>
        <v>0</v>
      </c>
      <c r="BG83" s="1542">
        <f>IF(Assumptions!BG160&lt;&gt;"",Assumptions!BG160,0)</f>
        <v>0</v>
      </c>
      <c r="BH83" s="1485">
        <f>BI83-BG83</f>
        <v>0</v>
      </c>
      <c r="BI83" s="1541">
        <f>IF(Assumptions!BI160&lt;&gt;"",Assumptions!BI160,0)</f>
        <v>0</v>
      </c>
      <c r="BJ83" s="1542">
        <f>IF(Assumptions!BJ160&lt;&gt;"",Assumptions!BJ160,0)</f>
        <v>0</v>
      </c>
      <c r="BK83" s="1485">
        <f>BL83-BJ83</f>
        <v>0</v>
      </c>
      <c r="BL83" s="1541">
        <f>IF(Assumptions!BL160&lt;&gt;"",Assumptions!BL160,0)</f>
        <v>0</v>
      </c>
      <c r="BM83" s="1542">
        <f>IF(Assumptions!BM160&lt;&gt;"",Assumptions!BM160,0)</f>
        <v>0</v>
      </c>
      <c r="BN83" s="1485">
        <f>BO83-BM83</f>
        <v>0</v>
      </c>
      <c r="BO83" s="1540">
        <f>IF(Assumptions!BO160&lt;&gt;"",Assumptions!BO160,0)</f>
        <v>0</v>
      </c>
      <c r="BP83" s="1542">
        <f>IF(Assumptions!BP160&lt;&gt;"",Assumptions!BP160,0)</f>
        <v>0</v>
      </c>
      <c r="BQ83" s="1485">
        <f>BR83-BP83</f>
        <v>0</v>
      </c>
      <c r="BR83" s="1540">
        <f>IF(Assumptions!BR160&lt;&gt;"",Assumptions!BR160,0)</f>
        <v>0</v>
      </c>
      <c r="BS83" s="1542">
        <f>IF(Assumptions!BS160&lt;&gt;"",Assumptions!BS160,0)</f>
        <v>0</v>
      </c>
      <c r="BT83" s="1485">
        <f>BU83-BS83</f>
        <v>0</v>
      </c>
      <c r="BU83" s="1540">
        <f>IF(Assumptions!BU160&lt;&gt;"",Assumptions!BU160,0)</f>
        <v>0</v>
      </c>
      <c r="BV83" s="1542">
        <f>IF(Assumptions!BV160&lt;&gt;"",Assumptions!BV160,0)</f>
        <v>0</v>
      </c>
      <c r="BW83" s="1485">
        <f>BX83-BV83</f>
        <v>0</v>
      </c>
      <c r="BX83" s="1540">
        <f>IF(Assumptions!BX160&lt;&gt;"",Assumptions!BX160,0)</f>
        <v>0</v>
      </c>
      <c r="BY83" s="1542">
        <f>IF(Assumptions!BY160&lt;&gt;"",Assumptions!BY160,0)</f>
        <v>0</v>
      </c>
      <c r="BZ83" s="1485">
        <f>CA83-BY83</f>
        <v>0</v>
      </c>
      <c r="CA83" s="1540">
        <f>IF(Assumptions!CA160&lt;&gt;"",Assumptions!CA160,0)</f>
        <v>0</v>
      </c>
      <c r="CB83" s="1542">
        <f>IF(Assumptions!CB160&lt;&gt;"",Assumptions!CB160,0)</f>
        <v>0</v>
      </c>
      <c r="CC83" s="1485">
        <f>CD83-CB83</f>
        <v>0</v>
      </c>
      <c r="CD83" s="1540">
        <f>IF(Assumptions!CD160&lt;&gt;"",Assumptions!CD160,0)</f>
        <v>0</v>
      </c>
      <c r="CE83" s="1542">
        <f>IF(Assumptions!CE160&lt;&gt;"",Assumptions!CE160,0)</f>
        <v>0</v>
      </c>
      <c r="CF83" s="1485">
        <f>CG83-CE83</f>
        <v>0</v>
      </c>
      <c r="CG83" s="1540">
        <f>IF(Assumptions!CG160&lt;&gt;"",Assumptions!CG160,0)</f>
        <v>0</v>
      </c>
      <c r="CH83" s="1542">
        <f>IF(Assumptions!CH160&lt;&gt;"",Assumptions!CH160,0)</f>
        <v>0</v>
      </c>
      <c r="CI83" s="1485">
        <f>CJ83-CH83</f>
        <v>0</v>
      </c>
      <c r="CJ83" s="1540">
        <f>IF(Assumptions!CJ160&lt;&gt;"",Assumptions!CJ160,0)</f>
        <v>0</v>
      </c>
      <c r="CK83" s="1542">
        <f>IF(Assumptions!CK160&lt;&gt;"",Assumptions!CK160,0)</f>
        <v>0</v>
      </c>
      <c r="CL83" s="1485">
        <f>CM83-CK83</f>
        <v>0</v>
      </c>
      <c r="CM83" s="1540">
        <f>IF(Assumptions!CM160&lt;&gt;"",Assumptions!CM160,0)</f>
        <v>0</v>
      </c>
      <c r="CN83" s="1542">
        <f>IF(Assumptions!CN160&lt;&gt;"",Assumptions!CN160,0)</f>
        <v>0</v>
      </c>
      <c r="CO83" s="1485">
        <f>CP83-CN83</f>
        <v>0</v>
      </c>
      <c r="CP83" s="1540">
        <f>IF(Assumptions!CP160&lt;&gt;"",Assumptions!CP160,0)</f>
        <v>0</v>
      </c>
      <c r="CQ83" s="1542">
        <f>IF(Assumptions!CQ160&lt;&gt;"",Assumptions!CQ160,0)</f>
        <v>0</v>
      </c>
      <c r="CR83" s="1485">
        <f>CS83-CQ83</f>
        <v>0</v>
      </c>
      <c r="CS83" s="1540">
        <f>IF(Assumptions!CS160&lt;&gt;"",Assumptions!CS160,0)</f>
        <v>0</v>
      </c>
      <c r="CT83" s="1542">
        <f>IF(Assumptions!CT160&lt;&gt;"",Assumptions!CT160,0)</f>
        <v>0</v>
      </c>
      <c r="CU83" s="1485">
        <f>CV83-CT83</f>
        <v>0</v>
      </c>
      <c r="CV83" s="1540">
        <f>IF(Assumptions!CV160&lt;&gt;"",Assumptions!CV160,0)</f>
        <v>0</v>
      </c>
      <c r="CW83" s="1542">
        <f>IF(Assumptions!CW160&lt;&gt;"",Assumptions!CW160,0)</f>
        <v>0</v>
      </c>
      <c r="CX83" s="1485">
        <f>CY83-CW83</f>
        <v>0</v>
      </c>
      <c r="CY83" s="1540">
        <f>IF(Assumptions!CY160&lt;&gt;"",Assumptions!CY160,0)</f>
        <v>0</v>
      </c>
      <c r="CZ83" s="1542">
        <f>IF(Assumptions!CZ160&lt;&gt;"",Assumptions!CZ160,0)</f>
        <v>0</v>
      </c>
      <c r="DA83" s="1485">
        <f>DB83-CZ83</f>
        <v>0</v>
      </c>
      <c r="DB83" s="1540">
        <f>IF(Assumptions!DB160&lt;&gt;"",Assumptions!DB160,0)</f>
        <v>0</v>
      </c>
      <c r="DC83" s="1542">
        <f>IF(Assumptions!DC160&lt;&gt;"",Assumptions!DC160,0)</f>
        <v>0</v>
      </c>
      <c r="DD83" s="1485">
        <f>DE83-DC83</f>
        <v>0</v>
      </c>
      <c r="DE83" s="1540">
        <f>IF(Assumptions!DE160&lt;&gt;"",Assumptions!DE160,0)</f>
        <v>0</v>
      </c>
      <c r="DF83" s="1542">
        <f>IF(Assumptions!DF160&lt;&gt;"",Assumptions!DF160,0)</f>
        <v>0</v>
      </c>
      <c r="DG83" s="1485">
        <f>DH83-DF83</f>
        <v>0</v>
      </c>
      <c r="DH83" s="1560">
        <f>IF(Assumptions!DH160&lt;&gt;"",Assumptions!DH160,0)</f>
        <v>0</v>
      </c>
      <c r="DI83" s="1537">
        <f>IF(Assumptions!DI160&lt;&gt;"",Assumptions!DI160,0)</f>
        <v>0</v>
      </c>
      <c r="DJ83" s="1485">
        <f>DK83-DI83</f>
        <v>0</v>
      </c>
      <c r="DK83" s="1538">
        <f>IF(Assumptions!DK160&lt;&gt;"",Assumptions!DK160,0)</f>
        <v>0</v>
      </c>
      <c r="DL83" s="1537">
        <f>IF(Assumptions!DL160&lt;&gt;"",Assumptions!DL160,0)</f>
        <v>0</v>
      </c>
      <c r="DM83" s="1485">
        <f>DN83-DL83</f>
        <v>0</v>
      </c>
      <c r="DN83" s="1538">
        <f>IF(Assumptions!DN160&lt;&gt;"",Assumptions!DN160,0)</f>
        <v>0</v>
      </c>
      <c r="DO83" s="1537">
        <f>IF(Assumptions!DO160&lt;&gt;"",Assumptions!DO160,0)</f>
        <v>0</v>
      </c>
      <c r="DP83" s="1485">
        <f>DQ83-DO83</f>
        <v>0</v>
      </c>
      <c r="DQ83" s="1538">
        <f>IF(Assumptions!DQ160&lt;&gt;"",Assumptions!DQ160,0)</f>
        <v>0</v>
      </c>
      <c r="DR83" s="1537">
        <f>IF(Assumptions!DR160&lt;&gt;"",Assumptions!DR160,0)</f>
        <v>0</v>
      </c>
      <c r="DS83" s="1485">
        <f>DT83-DR83</f>
        <v>0</v>
      </c>
      <c r="DT83" s="1538">
        <f>IF(Assumptions!DT160&lt;&gt;"",Assumptions!DT160,0)</f>
        <v>0</v>
      </c>
      <c r="DU83" s="1537">
        <f>IF(Assumptions!DU160&lt;&gt;"",Assumptions!DU160,0)</f>
        <v>0</v>
      </c>
      <c r="DV83" s="1485">
        <f>DW83-DU83</f>
        <v>0</v>
      </c>
      <c r="DW83" s="1538">
        <f>IF(Assumptions!DW160&lt;&gt;"",Assumptions!DW160,0)</f>
        <v>0</v>
      </c>
      <c r="DX83" s="1537">
        <f>IF(Assumptions!DX160&lt;&gt;"",Assumptions!DX160,0)</f>
        <v>0</v>
      </c>
      <c r="DY83" s="1485">
        <f>DZ83-DX83</f>
        <v>0</v>
      </c>
      <c r="DZ83" s="1538">
        <f>IF(Assumptions!DZ160&lt;&gt;"",Assumptions!DZ160,0)</f>
        <v>0</v>
      </c>
      <c r="EA83" s="1537">
        <f>IF(Assumptions!EA160&lt;&gt;"",Assumptions!EA160,0)</f>
        <v>0</v>
      </c>
      <c r="EB83" s="1485">
        <f>EC83-EA83</f>
        <v>0</v>
      </c>
      <c r="EC83" s="1538">
        <f>IF(Assumptions!EC160&lt;&gt;"",Assumptions!EC160,0)</f>
        <v>0</v>
      </c>
      <c r="ED83" s="1537">
        <f>IF(Assumptions!ED160&lt;&gt;"",Assumptions!ED160,0)</f>
        <v>0</v>
      </c>
      <c r="EE83" s="1485">
        <f>EF83-ED83</f>
        <v>0</v>
      </c>
      <c r="EF83" s="1538">
        <f>IF(Assumptions!EF160&lt;&gt;"",Assumptions!EF160,0)</f>
        <v>0</v>
      </c>
      <c r="EG83" s="1537">
        <f>IF(Assumptions!EG160&lt;&gt;"",Assumptions!EG160,0)</f>
        <v>0</v>
      </c>
      <c r="EH83" s="1485">
        <f>EI83-EG83</f>
        <v>0</v>
      </c>
      <c r="EI83" s="1538">
        <f>IF(Assumptions!EI160&lt;&gt;"",Assumptions!EI160,0)</f>
        <v>0</v>
      </c>
      <c r="EJ83" s="1537">
        <f>IF(Assumptions!EJ160&lt;&gt;"",Assumptions!EJ160,0)</f>
        <v>0</v>
      </c>
      <c r="EK83" s="1485">
        <f>EL83-EJ83</f>
        <v>0</v>
      </c>
      <c r="EL83" s="1538">
        <f>IF(Assumptions!EL160&lt;&gt;"",Assumptions!EL160,0)</f>
        <v>0</v>
      </c>
      <c r="EM83" s="1537">
        <f>IF(Assumptions!EM160&lt;&gt;"",Assumptions!EM160,0)</f>
        <v>0</v>
      </c>
      <c r="EN83" s="1485">
        <f>EO83-EM83</f>
        <v>0</v>
      </c>
      <c r="EO83" s="1538">
        <f>IF(Assumptions!EO160&lt;&gt;"",Assumptions!EO160,0)</f>
        <v>0</v>
      </c>
      <c r="EP83" s="1537">
        <f>IF(Assumptions!EP160&lt;&gt;"",Assumptions!EP160,0)</f>
        <v>0</v>
      </c>
      <c r="EQ83" s="1485">
        <f>ER83-EP83</f>
        <v>0</v>
      </c>
      <c r="ER83" s="1538">
        <f>IF(Assumptions!ER160&lt;&gt;"",Assumptions!ER160,0)</f>
        <v>0</v>
      </c>
      <c r="ES83" s="1537">
        <f>IF(Assumptions!ES160&lt;&gt;"",Assumptions!ES160,0)</f>
        <v>0</v>
      </c>
      <c r="ET83" s="1485">
        <f>EU83-ES83</f>
        <v>0</v>
      </c>
      <c r="EU83" s="1538">
        <f>IF(Assumptions!EU160&lt;&gt;"",Assumptions!EU160,0)</f>
        <v>0</v>
      </c>
      <c r="EV83" s="1537">
        <f>IF(Assumptions!EV160&lt;&gt;"",Assumptions!EV160,0)</f>
        <v>0</v>
      </c>
      <c r="EW83" s="1485">
        <f>EX83-EV83</f>
        <v>0</v>
      </c>
      <c r="EX83" s="1538">
        <f>IF(Assumptions!EX160&lt;&gt;"",Assumptions!EX160,0)</f>
        <v>0</v>
      </c>
      <c r="EY83" s="1537">
        <f>IF(Assumptions!EY160&lt;&gt;"",Assumptions!EY160,0)</f>
        <v>0</v>
      </c>
      <c r="EZ83" s="1485">
        <f>FA83-EY83</f>
        <v>0</v>
      </c>
      <c r="FA83" s="1538">
        <f>IF(Assumptions!FA160&lt;&gt;"",Assumptions!FA160,0)</f>
        <v>0</v>
      </c>
      <c r="FE83"/>
      <c r="FF83"/>
      <c r="FG83"/>
      <c r="FH83"/>
      <c r="FI83"/>
      <c r="FJ83"/>
      <c r="FK83" s="35"/>
    </row>
    <row r="84" spans="2:167" s="236" customFormat="1" ht="13.35" customHeight="1">
      <c r="B84" s="1515" t="s">
        <v>495</v>
      </c>
      <c r="C84" s="444" t="s">
        <v>496</v>
      </c>
      <c r="D84" s="1474"/>
      <c r="E84" s="562">
        <f>+E79-E80-E82-E83</f>
        <v>0</v>
      </c>
      <c r="F84" s="562">
        <f t="shared" ref="F84:F90" si="332">+G84-E84</f>
        <v>0</v>
      </c>
      <c r="G84" s="562">
        <f>+G79-G80-G82-G83</f>
        <v>0</v>
      </c>
      <c r="H84" s="562">
        <f>+H79-H80-H82-H83</f>
        <v>0</v>
      </c>
      <c r="I84" s="562">
        <f t="shared" ref="I84:I90" si="333">+J84-H84</f>
        <v>0</v>
      </c>
      <c r="J84" s="562">
        <f>+J79-J80-J82-J83</f>
        <v>0</v>
      </c>
      <c r="K84" s="562">
        <f>+K79-K80-K82-K83</f>
        <v>0</v>
      </c>
      <c r="L84" s="562">
        <f t="shared" ref="L84:L90" si="334">+M84-K84</f>
        <v>0</v>
      </c>
      <c r="M84" s="562">
        <f>+M79-M80-M82-M83</f>
        <v>0</v>
      </c>
      <c r="N84" s="562">
        <f>+N79-N80-N82-N83</f>
        <v>0</v>
      </c>
      <c r="O84" s="562">
        <f t="shared" ref="O84:O90" si="335">+P84-N84</f>
        <v>0</v>
      </c>
      <c r="P84" s="562">
        <f>+P79-P80-P82-P83</f>
        <v>0</v>
      </c>
      <c r="Q84" s="562">
        <f>+Q79-Q80-Q82-Q83</f>
        <v>0</v>
      </c>
      <c r="R84" s="562">
        <f t="shared" ref="R84:R90" si="336">+S84-Q84</f>
        <v>0</v>
      </c>
      <c r="S84" s="562">
        <f>+S79-S80-S82-S83</f>
        <v>0</v>
      </c>
      <c r="T84" s="562">
        <f>+T79-T80-T82-T83</f>
        <v>0</v>
      </c>
      <c r="U84" s="562">
        <f t="shared" ref="U84:U90" si="337">+V84-T84</f>
        <v>0</v>
      </c>
      <c r="V84" s="562">
        <f>+V79-V80-V82-V83</f>
        <v>0</v>
      </c>
      <c r="W84" s="562">
        <f>+W79-W80-W82-W83</f>
        <v>0</v>
      </c>
      <c r="X84" s="562">
        <f t="shared" ref="X84:X90" si="338">+Y84-W84</f>
        <v>0</v>
      </c>
      <c r="Y84" s="562">
        <f>+Y79-Y80-Y82-Y83</f>
        <v>0</v>
      </c>
      <c r="Z84" s="562">
        <f>+Z79-Z80-Z82-Z83</f>
        <v>0</v>
      </c>
      <c r="AA84" s="562">
        <f t="shared" ref="AA84:AA90" si="339">+AB84-Z84</f>
        <v>0</v>
      </c>
      <c r="AB84" s="562">
        <f>+AB79-AB80-AB82-AB83</f>
        <v>0</v>
      </c>
      <c r="AC84" s="562">
        <f>+AC79-AC80-AC82-AC83</f>
        <v>0</v>
      </c>
      <c r="AD84" s="562">
        <f t="shared" ref="AD84:AD90" si="340">+AE84-AC84</f>
        <v>0</v>
      </c>
      <c r="AE84" s="562">
        <f>+AE79-AE80-AE82-AE83</f>
        <v>0</v>
      </c>
      <c r="AF84" s="562">
        <f>+AF79-AF80-AF82-AF83</f>
        <v>0</v>
      </c>
      <c r="AG84" s="562">
        <f t="shared" ref="AG84:AG90" si="341">+AH84-AF84</f>
        <v>0</v>
      </c>
      <c r="AH84" s="562">
        <f>+AH79-AH80-AH82-AH83</f>
        <v>0</v>
      </c>
      <c r="AI84" s="562">
        <f>+AI79-AI80-AI82-AI83</f>
        <v>4.5949999999999998</v>
      </c>
      <c r="AJ84" s="562">
        <f t="shared" ref="AJ84:AJ90" si="342">+AK84-AI84</f>
        <v>5.7809999999999997</v>
      </c>
      <c r="AK84" s="562">
        <f>+AK79-AK80-AK82-AK83</f>
        <v>10.375999999999999</v>
      </c>
      <c r="AL84" s="562">
        <f>+AL79-AL80-AL82-AL83</f>
        <v>5.1269999999999998</v>
      </c>
      <c r="AM84" s="562">
        <f t="shared" ref="AM84:AM90" si="343">+AN84-AL84</f>
        <v>5.7359999999999998</v>
      </c>
      <c r="AN84" s="562">
        <f>+AN79-AN80-AN82-AN83</f>
        <v>10.863</v>
      </c>
      <c r="AO84" s="562">
        <f>+AO79-AO80-AO82-AO83</f>
        <v>4.5220000000000002</v>
      </c>
      <c r="AP84" s="562">
        <f t="shared" ref="AP84:AP90" si="344">+AQ84-AO84</f>
        <v>6.2870000000000008</v>
      </c>
      <c r="AQ84" s="562">
        <f>+AQ79-AQ80-AQ82-AQ83</f>
        <v>10.809000000000001</v>
      </c>
      <c r="AR84" s="562">
        <f>+AR79-AR80-AR82-AR83</f>
        <v>5.4249999999999998</v>
      </c>
      <c r="AS84" s="562">
        <f t="shared" ref="AS84:AS91" si="345">+AT84-AR84</f>
        <v>7.86</v>
      </c>
      <c r="AT84" s="562">
        <f>+AT79-AT80-AT82-AT83</f>
        <v>13.285</v>
      </c>
      <c r="AU84" s="562">
        <f>+AU79-AU80-AU82-AU83</f>
        <v>6.6429999999999998</v>
      </c>
      <c r="AV84" s="562">
        <f t="shared" ref="AV84:AV91" si="346">+AW84-AU84</f>
        <v>9.6839999999999975</v>
      </c>
      <c r="AW84" s="562">
        <f>+AW79-AW80-AW82-AW83</f>
        <v>16.326999999999998</v>
      </c>
      <c r="AX84" s="562">
        <f>+AX79-AX80-AX82-AX83</f>
        <v>10.324000000000002</v>
      </c>
      <c r="AY84" s="562">
        <f t="shared" ref="AY84:AY91" si="347">+AZ84-AX84</f>
        <v>13.791999999999998</v>
      </c>
      <c r="AZ84" s="562">
        <f>+AZ79-AZ80-AZ82-AZ83</f>
        <v>24.116</v>
      </c>
      <c r="BA84" s="562">
        <f>+BA79-BA80-BA82-BA83</f>
        <v>15.873000000000001</v>
      </c>
      <c r="BB84" s="562">
        <f t="shared" ref="BB84:BB91" si="348">+BC84-BA84</f>
        <v>15.305</v>
      </c>
      <c r="BC84" s="562">
        <f>+BC79-BC80-BC82-BC83</f>
        <v>31.178000000000001</v>
      </c>
      <c r="BD84" s="562">
        <f>+BD79-BD80-BD82-BD83</f>
        <v>20.799999999999997</v>
      </c>
      <c r="BE84" s="562">
        <f t="shared" ref="BE84:BE91" si="349">+BF84-BD84</f>
        <v>22.810000000000002</v>
      </c>
      <c r="BF84" s="562">
        <f>+BF79-BF80-BF82-BF83</f>
        <v>43.61</v>
      </c>
      <c r="BG84" s="562">
        <f>+BG79-BG80-BG82-BG83</f>
        <v>27.015000000000001</v>
      </c>
      <c r="BH84" s="562">
        <f t="shared" ref="BH84:BH91" si="350">+BI84-BG84</f>
        <v>31.169000000000004</v>
      </c>
      <c r="BI84" s="562">
        <f>+BI79-BI80-BI82-BI83</f>
        <v>58.184000000000005</v>
      </c>
      <c r="BJ84" s="562">
        <f>+BJ79-BJ80-BJ82-BJ83</f>
        <v>26.880000000000003</v>
      </c>
      <c r="BK84" s="562">
        <f t="shared" ref="BK84:BK91" si="351">+BL84-BJ84</f>
        <v>9.8810000000000002</v>
      </c>
      <c r="BL84" s="562">
        <f>+BL79-BL80-BL82-BL83</f>
        <v>36.761000000000003</v>
      </c>
      <c r="BM84" s="562">
        <f>+BM79-BM80-BM82-BM83</f>
        <v>29.465</v>
      </c>
      <c r="BN84" s="562">
        <f t="shared" ref="BN84:BN91" si="352">+BO84-BM84</f>
        <v>29.009000000000004</v>
      </c>
      <c r="BO84" s="562">
        <f>+BO79-BO80-BO82-BO83</f>
        <v>58.474000000000004</v>
      </c>
      <c r="BP84" s="562">
        <f>+BP79-BP80-BP82-BP83</f>
        <v>43.009</v>
      </c>
      <c r="BQ84" s="562">
        <f>+BR84-BP84</f>
        <v>37.022999999999996</v>
      </c>
      <c r="BR84" s="562">
        <f>+BR79-BR80-BR82-BR83</f>
        <v>80.031999999999996</v>
      </c>
      <c r="BS84" s="562">
        <f>+BS79-BS80-BS82-BS83</f>
        <v>48.798000000000009</v>
      </c>
      <c r="BT84" s="562">
        <f t="shared" ref="BT84:BT91" si="353">+BU84-BS84</f>
        <v>51.332999999999977</v>
      </c>
      <c r="BU84" s="562">
        <f>+BU79-BU80-BU82-BU83</f>
        <v>100.13099999999999</v>
      </c>
      <c r="BV84" s="562">
        <f>+BV79-BV80-BV82-BV83</f>
        <v>57.113000000000007</v>
      </c>
      <c r="BW84" s="562">
        <f t="shared" ref="BW84:BW91" si="354">+BX84-BV84</f>
        <v>58.121000000000002</v>
      </c>
      <c r="BX84" s="562">
        <f>+BX79-BX80-BX82-BX83</f>
        <v>115.23400000000001</v>
      </c>
      <c r="BY84" s="562">
        <f>+BY79-BY80-BY82-BY83</f>
        <v>69.935999999999993</v>
      </c>
      <c r="BZ84" s="562">
        <f t="shared" ref="BZ84:BZ91" si="355">+CA84-BY84</f>
        <v>60.603999999999999</v>
      </c>
      <c r="CA84" s="562">
        <f>+CA79-CA80-CA82-CA83</f>
        <v>130.54</v>
      </c>
      <c r="CB84" s="562">
        <f>+CB79-CB80-CB82-CB83</f>
        <v>75.247000000000014</v>
      </c>
      <c r="CC84" s="562">
        <f t="shared" ref="CC84:CC91" si="356">+CD84-CB84</f>
        <v>79.904999999999973</v>
      </c>
      <c r="CD84" s="562">
        <f>+CD79-CD80-CD82-CD83</f>
        <v>155.15199999999999</v>
      </c>
      <c r="CE84" s="562">
        <f>+CE79-CE80-CE82-CE83</f>
        <v>82.935000000000002</v>
      </c>
      <c r="CF84" s="562">
        <f t="shared" ref="CF84:CF91" si="357">+CG84-CE84</f>
        <v>97.179000000000002</v>
      </c>
      <c r="CG84" s="562">
        <f>+CG79-CG80-CG82-CG83</f>
        <v>180.114</v>
      </c>
      <c r="CH84" s="562">
        <f>+CH79-CH80-CH82-CH83</f>
        <v>80.146999999999991</v>
      </c>
      <c r="CI84" s="562">
        <f t="shared" ref="CI84:CI91" si="358">+CJ84-CH84</f>
        <v>77.953000000000003</v>
      </c>
      <c r="CJ84" s="562">
        <f>+CJ79-CJ80-CJ82-CJ83</f>
        <v>158.1</v>
      </c>
      <c r="CK84" s="562">
        <f>+CK79-CK80-CK82-CK83</f>
        <v>77.665000000000006</v>
      </c>
      <c r="CL84" s="562">
        <f t="shared" ref="CL84:CL91" si="359">+CM84-CK84</f>
        <v>54.897999999999982</v>
      </c>
      <c r="CM84" s="562">
        <f>+CM79-CM80-CM82-CM83</f>
        <v>132.56299999999999</v>
      </c>
      <c r="CN84" s="562">
        <f>+CN79-CN80-CN82-CN83</f>
        <v>36.79</v>
      </c>
      <c r="CO84" s="562">
        <f t="shared" ref="CO84:CO91" si="360">+CP84-CN84</f>
        <v>72.699999999999989</v>
      </c>
      <c r="CP84" s="562">
        <f>+CP79-CP80-CP82-CP83</f>
        <v>109.49</v>
      </c>
      <c r="CQ84" s="562">
        <f>+CQ79-CQ80-CQ82-CQ83</f>
        <v>71.375</v>
      </c>
      <c r="CR84" s="562">
        <f t="shared" ref="CR84:CR91" si="361">+CS84-CQ84</f>
        <v>74.465000000000003</v>
      </c>
      <c r="CS84" s="562">
        <f>+CS79-CS80-CS82-CS83</f>
        <v>145.84</v>
      </c>
      <c r="CT84" s="562">
        <f>+CT79-CT80-CT82-CT83</f>
        <v>94.033000000000001</v>
      </c>
      <c r="CU84" s="562">
        <f t="shared" ref="CU84:CU91" si="362">+CV84-CT84</f>
        <v>94.887999999999991</v>
      </c>
      <c r="CV84" s="562">
        <f>+CV79-CV80-CV82-CV83</f>
        <v>188.92099999999999</v>
      </c>
      <c r="CW84" s="562">
        <f>+CW79-CW80-CW82-CW83</f>
        <v>111.36944</v>
      </c>
      <c r="CX84" s="562">
        <f t="shared" ref="CX84:CX91" si="363">+CY84-CW84</f>
        <v>112.24655999999999</v>
      </c>
      <c r="CY84" s="562">
        <f>+CY79-CY80-CY82-CY83</f>
        <v>223.61599999999999</v>
      </c>
      <c r="CZ84" s="562">
        <f>+CZ79-CZ80-CZ82-CZ83</f>
        <v>110.79999999999998</v>
      </c>
      <c r="DA84" s="562">
        <f t="shared" ref="DA84:DA91" si="364">+DB84-CZ84</f>
        <v>135.00000000000003</v>
      </c>
      <c r="DB84" s="562">
        <f>+DB79-DB80-DB82-DB83</f>
        <v>245.8</v>
      </c>
      <c r="DC84" s="562">
        <f>+DC79-DC80-DC82-DC83</f>
        <v>128.60000000000002</v>
      </c>
      <c r="DD84" s="562">
        <f t="shared" ref="DD84:DD91" si="365">+DE84-DC84</f>
        <v>137.29999999999995</v>
      </c>
      <c r="DE84" s="562">
        <f>+DE79-DE80-DE82-DE83</f>
        <v>265.89999999999998</v>
      </c>
      <c r="DF84" s="562">
        <f>+DF79-DF80-DF82-DF83</f>
        <v>132.69999999999996</v>
      </c>
      <c r="DG84" s="562">
        <f t="shared" ref="DG84:DG115" si="366">+DH84-DF84</f>
        <v>21.100000000000051</v>
      </c>
      <c r="DH84" s="1274">
        <f>+DH79-DH80-DH82-DH83</f>
        <v>153.80000000000001</v>
      </c>
      <c r="DI84" s="562">
        <f>+DI79-DI80-DI82-DI83</f>
        <v>125.69</v>
      </c>
      <c r="DJ84" s="562">
        <f t="shared" ref="DJ84:DJ91" si="367">+DK84-DI84</f>
        <v>114.94</v>
      </c>
      <c r="DK84" s="1274">
        <f>+DK79-DK80-DK82-DK83</f>
        <v>240.63</v>
      </c>
      <c r="DL84" s="562">
        <f>+DL79-DL80-DL82-DL83</f>
        <v>161.34</v>
      </c>
      <c r="DM84" s="562">
        <f t="shared" ref="DM84:DM92" si="368">+DN84-DL84</f>
        <v>130.78</v>
      </c>
      <c r="DN84" s="1274">
        <f>+DN79-DN80-DN82-DN83</f>
        <v>292.12</v>
      </c>
      <c r="DO84" s="562">
        <f>+DO79-DO80-DO82-DO83</f>
        <v>153.74</v>
      </c>
      <c r="DP84" s="562">
        <f t="shared" ref="DP84:DP92" si="369">+DQ84-DO84</f>
        <v>178.41000000000003</v>
      </c>
      <c r="DQ84" s="1274">
        <f>+DQ79-DQ80-DQ82-DQ83</f>
        <v>332.15000000000003</v>
      </c>
      <c r="DR84" s="562">
        <f>+DR79-DR80-DR82-DR83</f>
        <v>203.62999999999997</v>
      </c>
      <c r="DS84" s="562">
        <f t="shared" ref="DS84:DS140" si="370">+DT84-DR84</f>
        <v>204.17999999999998</v>
      </c>
      <c r="DT84" s="1274">
        <f>+DT79-DT80-DT82-DT83</f>
        <v>407.80999999999995</v>
      </c>
      <c r="DU84" s="562">
        <f>+DU79-DU80-DU82-DU83</f>
        <v>213.68999999999997</v>
      </c>
      <c r="DV84" s="562">
        <f t="shared" ref="DV84:DV94" si="371">+DW84-DU84</f>
        <v>201.60000000000011</v>
      </c>
      <c r="DW84" s="1274">
        <f>+DW79-DW80-DW82-DW83</f>
        <v>415.29000000000008</v>
      </c>
      <c r="DX84" s="562">
        <f>+DX79-DX80-DX82-DX83</f>
        <v>194.80000000000004</v>
      </c>
      <c r="DY84" s="562">
        <f t="shared" ref="DY84:DY140" si="372">+DZ84-DX84</f>
        <v>217.26495297475245</v>
      </c>
      <c r="DZ84" s="1274">
        <f>+DZ79-DZ80-DZ82-DZ83</f>
        <v>412.06495297475249</v>
      </c>
      <c r="EA84" s="562">
        <f>+EA79-EA80-EA82-EA83</f>
        <v>233.78288198280904</v>
      </c>
      <c r="EB84" s="562">
        <f t="shared" ref="EB84:EB140" si="373">+EC84-EA84</f>
        <v>240.97310037358784</v>
      </c>
      <c r="EC84" s="1274">
        <f>+EC79-EC80-EC82-EC83</f>
        <v>474.75598235639688</v>
      </c>
      <c r="ED84" s="562">
        <f>+ED79-ED80-ED82-ED83</f>
        <v>260.8416567151105</v>
      </c>
      <c r="EE84" s="562">
        <f t="shared" ref="EE84:EE140" si="374">+EF84-ED84</f>
        <v>269.01603818798242</v>
      </c>
      <c r="EF84" s="1274">
        <f>+EF79-EF80-EF82-EF83</f>
        <v>529.85769490309292</v>
      </c>
      <c r="EG84" s="562">
        <f>+EG79-EG80-EG82-EG83</f>
        <v>289.72905851376896</v>
      </c>
      <c r="EH84" s="562">
        <f t="shared" ref="EH84:EH140" si="375">+EI84-EG84</f>
        <v>298.79174864697194</v>
      </c>
      <c r="EI84" s="1274">
        <f>+EI79-EI80-EI82-EI83</f>
        <v>588.5208071607409</v>
      </c>
      <c r="EJ84" s="562">
        <f>+EJ79-EJ80-EJ82-EJ83</f>
        <v>319.50187721472264</v>
      </c>
      <c r="EK84" s="562">
        <f t="shared" ref="EK84:EK140" si="376">+EL84-EJ84</f>
        <v>329.48417797070886</v>
      </c>
      <c r="EL84" s="1274">
        <f>+EL79-EL80-EL82-EL83</f>
        <v>648.9860551854315</v>
      </c>
      <c r="EM84" s="562">
        <f>+EM79-EM80-EM82-EM83</f>
        <v>350.75124275068288</v>
      </c>
      <c r="EN84" s="562">
        <f t="shared" ref="EN84:EN140" si="377">+EO84-EM84</f>
        <v>361.67728084541432</v>
      </c>
      <c r="EO84" s="1274">
        <f>+EO79-EO80-EO82-EO83</f>
        <v>712.42852359609719</v>
      </c>
      <c r="EP84" s="562">
        <f>+EP79-EP80-EP82-EP83</f>
        <v>384.01284734902202</v>
      </c>
      <c r="EQ84" s="562">
        <f t="shared" ref="EQ84:EQ140" si="378">+ER84-EP84</f>
        <v>395.92222887227962</v>
      </c>
      <c r="ER84" s="1274">
        <f>+ER79-ER80-ER82-ER83</f>
        <v>779.93507622130164</v>
      </c>
      <c r="ES84" s="562">
        <f>+ES79-ES80-ES82-ES83</f>
        <v>420.32850032569968</v>
      </c>
      <c r="ET84" s="562">
        <f t="shared" ref="ET84:ET94" si="379">+EU84-ES84</f>
        <v>433.30972618605028</v>
      </c>
      <c r="EU84" s="1274">
        <f>+EU79-EU80-EU82-EU83</f>
        <v>853.63822651174996</v>
      </c>
      <c r="EV84" s="562">
        <f>+EV79-EV80-EV82-EV83</f>
        <v>459.97999412878312</v>
      </c>
      <c r="EW84" s="562">
        <f t="shared" ref="EW84:EW94" si="380">+EX84-EV84</f>
        <v>474.12953031656548</v>
      </c>
      <c r="EX84" s="1274">
        <f>+EX79-EX80-EX82-EX83</f>
        <v>934.1095244453486</v>
      </c>
      <c r="EY84" s="562">
        <f>+EY79-EY80-EY82-EY83</f>
        <v>503.27613060908709</v>
      </c>
      <c r="EZ84" s="562">
        <f t="shared" ref="EZ84:EZ94" si="381">+FA84-EY84</f>
        <v>518.69912505376976</v>
      </c>
      <c r="FA84" s="1274">
        <f>+FA79-FA80-FA82-FA83</f>
        <v>1021.9752556628569</v>
      </c>
      <c r="FE84"/>
      <c r="FF84"/>
      <c r="FG84"/>
      <c r="FH84"/>
      <c r="FI84"/>
      <c r="FJ84"/>
      <c r="FK84" s="35"/>
    </row>
    <row r="85" spans="2:167" s="236" customFormat="1" ht="13.35" customHeight="1" thickBot="1">
      <c r="B85" s="242" t="s">
        <v>136</v>
      </c>
      <c r="C85" s="242" t="s">
        <v>496</v>
      </c>
      <c r="D85" s="243"/>
      <c r="E85" s="534">
        <f>+SUM(E86:E89)</f>
        <v>0</v>
      </c>
      <c r="F85" s="482">
        <f t="shared" si="332"/>
        <v>0</v>
      </c>
      <c r="G85" s="534">
        <f>+SUM(G86:G89)</f>
        <v>0</v>
      </c>
      <c r="H85" s="534">
        <f>+SUM(H86:H89)</f>
        <v>0</v>
      </c>
      <c r="I85" s="482">
        <f t="shared" si="333"/>
        <v>0</v>
      </c>
      <c r="J85" s="534">
        <f>+SUM(J86:J89)</f>
        <v>0</v>
      </c>
      <c r="K85" s="534">
        <f>+SUM(K86:K89)</f>
        <v>0</v>
      </c>
      <c r="L85" s="482">
        <f t="shared" si="334"/>
        <v>0</v>
      </c>
      <c r="M85" s="534">
        <f>+SUM(M86:M89)</f>
        <v>0</v>
      </c>
      <c r="N85" s="534">
        <f>+SUM(N86:N89)</f>
        <v>0</v>
      </c>
      <c r="O85" s="482">
        <f t="shared" si="335"/>
        <v>0</v>
      </c>
      <c r="P85" s="534">
        <f>+SUM(P86:P89)</f>
        <v>0</v>
      </c>
      <c r="Q85" s="534">
        <f>+SUM(Q86:Q89)</f>
        <v>0</v>
      </c>
      <c r="R85" s="482">
        <f t="shared" si="336"/>
        <v>0</v>
      </c>
      <c r="S85" s="534">
        <f>+SUM(S86:S89)</f>
        <v>0</v>
      </c>
      <c r="T85" s="534">
        <f>+SUM(T86:T89)</f>
        <v>0</v>
      </c>
      <c r="U85" s="482">
        <f t="shared" si="337"/>
        <v>0</v>
      </c>
      <c r="V85" s="534">
        <f>+SUM(V86:V89)</f>
        <v>0</v>
      </c>
      <c r="W85" s="534">
        <f>+SUM(W86:W89)</f>
        <v>0</v>
      </c>
      <c r="X85" s="482">
        <f t="shared" si="338"/>
        <v>0</v>
      </c>
      <c r="Y85" s="534">
        <f>+SUM(Y86:Y89)</f>
        <v>0</v>
      </c>
      <c r="Z85" s="534">
        <f>+SUM(Z86:Z89)</f>
        <v>0</v>
      </c>
      <c r="AA85" s="482">
        <f t="shared" si="339"/>
        <v>0</v>
      </c>
      <c r="AB85" s="534">
        <f>+SUM(AB86:AB89)</f>
        <v>0</v>
      </c>
      <c r="AC85" s="534">
        <f>+SUM(AC86:AC89)</f>
        <v>0</v>
      </c>
      <c r="AD85" s="482">
        <f t="shared" si="340"/>
        <v>0</v>
      </c>
      <c r="AE85" s="534">
        <f>+SUM(AE86:AE89)</f>
        <v>0</v>
      </c>
      <c r="AF85" s="534">
        <f>+SUM(AF86:AF89)</f>
        <v>0</v>
      </c>
      <c r="AG85" s="482">
        <f t="shared" si="341"/>
        <v>0</v>
      </c>
      <c r="AH85" s="534">
        <f>+SUM(AH86:AH89)</f>
        <v>0</v>
      </c>
      <c r="AI85" s="534">
        <f>+SUM(AI86:AI89)</f>
        <v>0</v>
      </c>
      <c r="AJ85" s="482">
        <f t="shared" si="342"/>
        <v>0</v>
      </c>
      <c r="AK85" s="534">
        <f>+SUM(AK86:AK89)</f>
        <v>0</v>
      </c>
      <c r="AL85" s="534">
        <f>+SUM(AL86:AL89)</f>
        <v>0</v>
      </c>
      <c r="AM85" s="482">
        <f t="shared" si="343"/>
        <v>0</v>
      </c>
      <c r="AN85" s="534">
        <f>+SUM(AN86:AN89)</f>
        <v>0</v>
      </c>
      <c r="AO85" s="534">
        <f>+SUM(AO86:AO89)</f>
        <v>0</v>
      </c>
      <c r="AP85" s="482">
        <f t="shared" si="344"/>
        <v>0</v>
      </c>
      <c r="AQ85" s="534">
        <f>+SUM(AQ86:AQ89)</f>
        <v>0</v>
      </c>
      <c r="AR85" s="534">
        <f>+SUM(AR86:AR89)</f>
        <v>0</v>
      </c>
      <c r="AS85" s="482">
        <f t="shared" si="345"/>
        <v>0</v>
      </c>
      <c r="AT85" s="534">
        <f>+SUM(AT86:AT89)</f>
        <v>0</v>
      </c>
      <c r="AU85" s="534">
        <f>+SUM(AU86:AU89)</f>
        <v>0</v>
      </c>
      <c r="AV85" s="482">
        <f t="shared" si="346"/>
        <v>0</v>
      </c>
      <c r="AW85" s="534">
        <f>+SUM(AW86:AW89)</f>
        <v>0</v>
      </c>
      <c r="AX85" s="534">
        <f>+SUM(AX86:AX89)</f>
        <v>0</v>
      </c>
      <c r="AY85" s="482">
        <f t="shared" si="347"/>
        <v>0</v>
      </c>
      <c r="AZ85" s="534">
        <f>+SUM(AZ86:AZ89)</f>
        <v>0</v>
      </c>
      <c r="BA85" s="534">
        <f>+SUM(BA86:BA89)</f>
        <v>0</v>
      </c>
      <c r="BB85" s="482">
        <f t="shared" si="348"/>
        <v>0</v>
      </c>
      <c r="BC85" s="534">
        <f>+SUM(BC86:BC89)</f>
        <v>0</v>
      </c>
      <c r="BD85" s="534">
        <f>+SUM(BD86:BD89)</f>
        <v>0</v>
      </c>
      <c r="BE85" s="482">
        <f t="shared" si="349"/>
        <v>0</v>
      </c>
      <c r="BF85" s="534">
        <f>+SUM(BF86:BF89)</f>
        <v>0</v>
      </c>
      <c r="BG85" s="534">
        <f>+SUM(BG86:BG89)</f>
        <v>0</v>
      </c>
      <c r="BH85" s="482">
        <f t="shared" si="350"/>
        <v>0</v>
      </c>
      <c r="BI85" s="534">
        <f>+SUM(BI86:BI89)</f>
        <v>0</v>
      </c>
      <c r="BJ85" s="534">
        <f>+SUM(BJ86:BJ89)</f>
        <v>0</v>
      </c>
      <c r="BK85" s="482">
        <f t="shared" si="351"/>
        <v>2.8969999999999998</v>
      </c>
      <c r="BL85" s="534">
        <f>+SUM(BL86:BL89)</f>
        <v>2.8969999999999998</v>
      </c>
      <c r="BM85" s="534">
        <f>+SUM(BM86:BM89)</f>
        <v>0</v>
      </c>
      <c r="BN85" s="482">
        <f t="shared" si="352"/>
        <v>0</v>
      </c>
      <c r="BO85" s="534">
        <f>+SUM(BO86:BO89)</f>
        <v>0</v>
      </c>
      <c r="BP85" s="534">
        <f>+SUM(BP86:BP89)</f>
        <v>0</v>
      </c>
      <c r="BQ85" s="482">
        <f t="shared" ref="BQ85:BQ91" si="382">+BR85-BP85</f>
        <v>0</v>
      </c>
      <c r="BR85" s="534">
        <f>+SUM(BR86:BR89)</f>
        <v>0</v>
      </c>
      <c r="BS85" s="534">
        <f>+SUM(BS86:BS89)</f>
        <v>0</v>
      </c>
      <c r="BT85" s="482">
        <f t="shared" si="353"/>
        <v>0</v>
      </c>
      <c r="BU85" s="534">
        <f>+SUM(BU86:BU89)</f>
        <v>0</v>
      </c>
      <c r="BV85" s="534">
        <f>+SUM(BV86:BV89)</f>
        <v>0</v>
      </c>
      <c r="BW85" s="482">
        <f t="shared" si="354"/>
        <v>0</v>
      </c>
      <c r="BX85" s="534">
        <f>+SUM(BX86:BX89)</f>
        <v>0</v>
      </c>
      <c r="BY85" s="534">
        <f>+SUM(BY86:BY89)</f>
        <v>0</v>
      </c>
      <c r="BZ85" s="482">
        <f t="shared" si="355"/>
        <v>0</v>
      </c>
      <c r="CA85" s="534">
        <f>+SUM(CA86:CA89)</f>
        <v>0</v>
      </c>
      <c r="CB85" s="534">
        <f>+SUM(CB86:CB89)</f>
        <v>0</v>
      </c>
      <c r="CC85" s="482">
        <f t="shared" si="356"/>
        <v>0</v>
      </c>
      <c r="CD85" s="534">
        <f>+SUM(CD86:CD89)</f>
        <v>0</v>
      </c>
      <c r="CE85" s="534">
        <f>+SUM(CE86:CE89)</f>
        <v>0</v>
      </c>
      <c r="CF85" s="482">
        <f t="shared" si="357"/>
        <v>0</v>
      </c>
      <c r="CG85" s="534">
        <f>+SUM(CG86:CG89)</f>
        <v>0</v>
      </c>
      <c r="CH85" s="534">
        <f>+SUM(CH86:CH89)</f>
        <v>0</v>
      </c>
      <c r="CI85" s="482">
        <f t="shared" si="358"/>
        <v>0</v>
      </c>
      <c r="CJ85" s="534">
        <f>+SUM(CJ86:CJ89)</f>
        <v>0</v>
      </c>
      <c r="CK85" s="534">
        <f>+SUM(CK86:CK89)</f>
        <v>0</v>
      </c>
      <c r="CL85" s="482">
        <f t="shared" si="359"/>
        <v>0</v>
      </c>
      <c r="CM85" s="534">
        <f>+SUM(CM86:CM89)</f>
        <v>0</v>
      </c>
      <c r="CN85" s="534">
        <f>+SUM(CN86:CN89)</f>
        <v>0</v>
      </c>
      <c r="CO85" s="482">
        <f t="shared" si="360"/>
        <v>0</v>
      </c>
      <c r="CP85" s="534">
        <f>+SUM(CP86:CP89)</f>
        <v>0</v>
      </c>
      <c r="CQ85" s="534">
        <f>+SUM(CQ86:CQ89)</f>
        <v>0</v>
      </c>
      <c r="CR85" s="482">
        <f t="shared" si="361"/>
        <v>0</v>
      </c>
      <c r="CS85" s="534">
        <f>+SUM(CS86:CS89)</f>
        <v>0</v>
      </c>
      <c r="CT85" s="534">
        <f>+SUM(CT86:CT89)</f>
        <v>0</v>
      </c>
      <c r="CU85" s="482">
        <f t="shared" si="362"/>
        <v>0</v>
      </c>
      <c r="CV85" s="534">
        <f>+SUM(CV86:CV89)</f>
        <v>0</v>
      </c>
      <c r="CW85" s="534">
        <f>+SUM(CW86:CW89)</f>
        <v>0</v>
      </c>
      <c r="CX85" s="482">
        <f t="shared" si="363"/>
        <v>0</v>
      </c>
      <c r="CY85" s="534">
        <f>+SUM(CY86:CY89)</f>
        <v>0</v>
      </c>
      <c r="CZ85" s="534">
        <f>+SUM(CZ86:CZ89)</f>
        <v>0</v>
      </c>
      <c r="DA85" s="482">
        <f t="shared" si="364"/>
        <v>0</v>
      </c>
      <c r="DB85" s="534">
        <f>+SUM(DB86:DB89)</f>
        <v>0</v>
      </c>
      <c r="DC85" s="534">
        <f>+SUM(DC86:DC89)</f>
        <v>0</v>
      </c>
      <c r="DD85" s="482">
        <f t="shared" si="365"/>
        <v>0</v>
      </c>
      <c r="DE85" s="534">
        <f>+SUM(DE86:DE89)</f>
        <v>0</v>
      </c>
      <c r="DF85" s="534">
        <f>+SUM(DF86:DF89)</f>
        <v>0</v>
      </c>
      <c r="DG85" s="482">
        <f t="shared" si="366"/>
        <v>-392.1</v>
      </c>
      <c r="DH85" s="1262">
        <f>+SUM(DH86:DH89)</f>
        <v>-392.1</v>
      </c>
      <c r="DI85" s="534">
        <f>+SUM(DI86:DI89)</f>
        <v>-0.5</v>
      </c>
      <c r="DJ85" s="482">
        <f t="shared" si="367"/>
        <v>-2.2000000000000002</v>
      </c>
      <c r="DK85" s="1262">
        <f>+SUM(DK86:DK89)</f>
        <v>-2.7</v>
      </c>
      <c r="DL85" s="534">
        <f>+SUM(DL86:DL89)</f>
        <v>0</v>
      </c>
      <c r="DM85" s="482">
        <f t="shared" si="368"/>
        <v>0</v>
      </c>
      <c r="DN85" s="1262">
        <f>+SUM(DN86:DN89)</f>
        <v>0</v>
      </c>
      <c r="DO85" s="534">
        <f>+SUM(DO86:DO89)</f>
        <v>0</v>
      </c>
      <c r="DP85" s="482">
        <f t="shared" si="369"/>
        <v>0</v>
      </c>
      <c r="DQ85" s="1262">
        <f>+SUM(DQ86:DQ89)</f>
        <v>0</v>
      </c>
      <c r="DR85" s="534">
        <f>+SUM(DR86:DR89)</f>
        <v>0</v>
      </c>
      <c r="DS85" s="482">
        <f t="shared" si="370"/>
        <v>0</v>
      </c>
      <c r="DT85" s="1262">
        <f>+SUM(DT86:DT89)</f>
        <v>0</v>
      </c>
      <c r="DU85" s="534">
        <f>+SUM(DU86:DU89)</f>
        <v>0</v>
      </c>
      <c r="DV85" s="482">
        <f t="shared" si="371"/>
        <v>0</v>
      </c>
      <c r="DW85" s="1262">
        <f>+SUM(DW86:DW89)</f>
        <v>0</v>
      </c>
      <c r="DX85" s="534">
        <f>+SUM(DX86:DX89)</f>
        <v>0</v>
      </c>
      <c r="DY85" s="482">
        <f t="shared" si="372"/>
        <v>0</v>
      </c>
      <c r="DZ85" s="1262">
        <f>+SUM(DZ86:DZ89)</f>
        <v>0</v>
      </c>
      <c r="EA85" s="534">
        <f>+SUM(EA86:EA89)</f>
        <v>0</v>
      </c>
      <c r="EB85" s="482">
        <f t="shared" si="373"/>
        <v>0</v>
      </c>
      <c r="EC85" s="1262">
        <f>+SUM(EC86:EC89)</f>
        <v>0</v>
      </c>
      <c r="ED85" s="534">
        <f>+SUM(ED86:ED89)</f>
        <v>0</v>
      </c>
      <c r="EE85" s="482">
        <f t="shared" si="374"/>
        <v>0</v>
      </c>
      <c r="EF85" s="1262">
        <f>+SUM(EF86:EF89)</f>
        <v>0</v>
      </c>
      <c r="EG85" s="534">
        <f>+SUM(EG86:EG89)</f>
        <v>0</v>
      </c>
      <c r="EH85" s="482">
        <f t="shared" si="375"/>
        <v>0</v>
      </c>
      <c r="EI85" s="1262">
        <f>+SUM(EI86:EI89)</f>
        <v>0</v>
      </c>
      <c r="EJ85" s="534">
        <f>+SUM(EJ86:EJ89)</f>
        <v>0</v>
      </c>
      <c r="EK85" s="482">
        <f t="shared" si="376"/>
        <v>0</v>
      </c>
      <c r="EL85" s="1262">
        <f>+SUM(EL86:EL89)</f>
        <v>0</v>
      </c>
      <c r="EM85" s="534">
        <f>+SUM(EM86:EM89)</f>
        <v>0</v>
      </c>
      <c r="EN85" s="482">
        <f t="shared" si="377"/>
        <v>0</v>
      </c>
      <c r="EO85" s="1262">
        <f>+SUM(EO86:EO89)</f>
        <v>0</v>
      </c>
      <c r="EP85" s="534">
        <f>+SUM(EP86:EP89)</f>
        <v>0</v>
      </c>
      <c r="EQ85" s="482">
        <f t="shared" si="378"/>
        <v>0</v>
      </c>
      <c r="ER85" s="1262">
        <f>+SUM(ER86:ER89)</f>
        <v>0</v>
      </c>
      <c r="ES85" s="534">
        <f>+SUM(ES86:ES89)</f>
        <v>0</v>
      </c>
      <c r="ET85" s="482">
        <f t="shared" si="379"/>
        <v>0</v>
      </c>
      <c r="EU85" s="1262">
        <f>+SUM(EU86:EU89)</f>
        <v>0</v>
      </c>
      <c r="EV85" s="534">
        <f>+SUM(EV86:EV89)</f>
        <v>0</v>
      </c>
      <c r="EW85" s="482">
        <f t="shared" si="380"/>
        <v>0</v>
      </c>
      <c r="EX85" s="1262">
        <f>+SUM(EX86:EX89)</f>
        <v>0</v>
      </c>
      <c r="EY85" s="534">
        <f>+SUM(EY86:EY89)</f>
        <v>0</v>
      </c>
      <c r="EZ85" s="482">
        <f t="shared" si="381"/>
        <v>0</v>
      </c>
      <c r="FA85" s="1262">
        <f>+SUM(FA86:FA89)</f>
        <v>0</v>
      </c>
      <c r="FE85"/>
      <c r="FF85"/>
      <c r="FG85"/>
      <c r="FH85"/>
      <c r="FI85"/>
      <c r="FJ85"/>
      <c r="FK85" s="35"/>
    </row>
    <row r="86" spans="2:167" s="236" customFormat="1" ht="13.35" customHeight="1">
      <c r="B86" s="242" t="s">
        <v>295</v>
      </c>
      <c r="C86" s="242" t="s">
        <v>496</v>
      </c>
      <c r="D86" s="243"/>
      <c r="E86" s="535"/>
      <c r="F86" s="482">
        <f t="shared" si="332"/>
        <v>0</v>
      </c>
      <c r="G86" s="536"/>
      <c r="H86" s="537"/>
      <c r="I86" s="482">
        <f t="shared" si="333"/>
        <v>0</v>
      </c>
      <c r="J86" s="536"/>
      <c r="K86" s="537"/>
      <c r="L86" s="482">
        <f t="shared" si="334"/>
        <v>0</v>
      </c>
      <c r="M86" s="536"/>
      <c r="N86" s="537"/>
      <c r="O86" s="482">
        <f t="shared" si="335"/>
        <v>0</v>
      </c>
      <c r="P86" s="536"/>
      <c r="Q86" s="537"/>
      <c r="R86" s="482">
        <f t="shared" si="336"/>
        <v>0</v>
      </c>
      <c r="S86" s="536"/>
      <c r="T86" s="537"/>
      <c r="U86" s="482">
        <f t="shared" si="337"/>
        <v>0</v>
      </c>
      <c r="V86" s="536"/>
      <c r="W86" s="537"/>
      <c r="X86" s="482">
        <f t="shared" si="338"/>
        <v>0</v>
      </c>
      <c r="Y86" s="536"/>
      <c r="Z86" s="537"/>
      <c r="AA86" s="482">
        <f t="shared" si="339"/>
        <v>0</v>
      </c>
      <c r="AB86" s="536"/>
      <c r="AC86" s="537"/>
      <c r="AD86" s="482">
        <f t="shared" si="340"/>
        <v>0</v>
      </c>
      <c r="AE86" s="536"/>
      <c r="AF86" s="537"/>
      <c r="AG86" s="482">
        <f t="shared" si="341"/>
        <v>0</v>
      </c>
      <c r="AH86" s="536"/>
      <c r="AI86" s="537">
        <f>AI70</f>
        <v>0</v>
      </c>
      <c r="AJ86" s="482">
        <f t="shared" si="342"/>
        <v>0</v>
      </c>
      <c r="AK86" s="536">
        <f>P_AG_95</f>
        <v>0</v>
      </c>
      <c r="AL86" s="537">
        <f>AL70</f>
        <v>0</v>
      </c>
      <c r="AM86" s="482">
        <f t="shared" si="343"/>
        <v>0</v>
      </c>
      <c r="AN86" s="536">
        <f>P_AG_95</f>
        <v>0</v>
      </c>
      <c r="AO86" s="537">
        <f>AO70</f>
        <v>0</v>
      </c>
      <c r="AP86" s="482">
        <f t="shared" si="344"/>
        <v>0</v>
      </c>
      <c r="AQ86" s="536">
        <f>P_AG_95</f>
        <v>0</v>
      </c>
      <c r="AR86" s="537">
        <f>AR70</f>
        <v>0</v>
      </c>
      <c r="AS86" s="482">
        <f t="shared" si="345"/>
        <v>0</v>
      </c>
      <c r="AT86" s="536">
        <f>P_AG_95</f>
        <v>0</v>
      </c>
      <c r="AU86" s="537">
        <f>AU70</f>
        <v>0</v>
      </c>
      <c r="AV86" s="482">
        <f t="shared" si="346"/>
        <v>0</v>
      </c>
      <c r="AW86" s="536">
        <f>P_AG_95</f>
        <v>0</v>
      </c>
      <c r="AX86" s="537">
        <f>AX70</f>
        <v>0</v>
      </c>
      <c r="AY86" s="482">
        <f t="shared" si="347"/>
        <v>0</v>
      </c>
      <c r="AZ86" s="536">
        <f>P_AG_95</f>
        <v>0</v>
      </c>
      <c r="BA86" s="537">
        <f>BA70</f>
        <v>0</v>
      </c>
      <c r="BB86" s="482">
        <f t="shared" si="348"/>
        <v>0</v>
      </c>
      <c r="BC86" s="536">
        <f>P_AG_95</f>
        <v>0</v>
      </c>
      <c r="BD86" s="537">
        <f>BD70</f>
        <v>0</v>
      </c>
      <c r="BE86" s="482">
        <f t="shared" si="349"/>
        <v>0</v>
      </c>
      <c r="BF86" s="536">
        <f>P_AG_95</f>
        <v>0</v>
      </c>
      <c r="BG86" s="537">
        <f>BG70</f>
        <v>0</v>
      </c>
      <c r="BH86" s="482">
        <f t="shared" si="350"/>
        <v>0</v>
      </c>
      <c r="BI86" s="536">
        <f>P_AG_95</f>
        <v>0</v>
      </c>
      <c r="BJ86" s="537">
        <f>BJ70</f>
        <v>0</v>
      </c>
      <c r="BK86" s="482">
        <f t="shared" si="351"/>
        <v>2.8969999999999998</v>
      </c>
      <c r="BL86" s="536">
        <f>PL_Amort_Other_04</f>
        <v>2.8969999999999998</v>
      </c>
      <c r="BM86" s="537">
        <f>BM70</f>
        <v>0</v>
      </c>
      <c r="BN86" s="482">
        <f t="shared" si="352"/>
        <v>0</v>
      </c>
      <c r="BO86" s="536">
        <f>P_AG_05</f>
        <v>0</v>
      </c>
      <c r="BP86" s="537">
        <f>BP70</f>
        <v>0</v>
      </c>
      <c r="BQ86" s="482">
        <f t="shared" si="382"/>
        <v>0</v>
      </c>
      <c r="BR86" s="536">
        <f>P_AG_06</f>
        <v>0</v>
      </c>
      <c r="BS86" s="537">
        <f>BS70</f>
        <v>0</v>
      </c>
      <c r="BT86" s="482">
        <f t="shared" si="353"/>
        <v>0</v>
      </c>
      <c r="BU86" s="536">
        <f>P_AG_06</f>
        <v>0</v>
      </c>
      <c r="BV86" s="537">
        <f>BV70</f>
        <v>0</v>
      </c>
      <c r="BW86" s="482">
        <f t="shared" si="354"/>
        <v>0</v>
      </c>
      <c r="BX86" s="536">
        <f>P_AG_06</f>
        <v>0</v>
      </c>
      <c r="BY86" s="537">
        <f>BY70</f>
        <v>0</v>
      </c>
      <c r="BZ86" s="482">
        <f t="shared" si="355"/>
        <v>0</v>
      </c>
      <c r="CA86" s="536">
        <f>P_AG_06</f>
        <v>0</v>
      </c>
      <c r="CB86" s="537">
        <f>CB70</f>
        <v>0</v>
      </c>
      <c r="CC86" s="482">
        <f t="shared" si="356"/>
        <v>0</v>
      </c>
      <c r="CD86" s="536">
        <f>P_AG_06</f>
        <v>0</v>
      </c>
      <c r="CE86" s="537">
        <f>CE70</f>
        <v>0</v>
      </c>
      <c r="CF86" s="482">
        <f t="shared" si="357"/>
        <v>0</v>
      </c>
      <c r="CG86" s="536">
        <f>P_AG_06</f>
        <v>0</v>
      </c>
      <c r="CH86" s="537">
        <f>CH70</f>
        <v>0</v>
      </c>
      <c r="CI86" s="482">
        <f t="shared" si="358"/>
        <v>0</v>
      </c>
      <c r="CJ86" s="536">
        <f>P_AG_06</f>
        <v>0</v>
      </c>
      <c r="CK86" s="537">
        <f>CK70</f>
        <v>0</v>
      </c>
      <c r="CL86" s="482">
        <f t="shared" si="359"/>
        <v>0</v>
      </c>
      <c r="CM86" s="536">
        <f>P_AG_06</f>
        <v>0</v>
      </c>
      <c r="CN86" s="537">
        <f>CN70</f>
        <v>0</v>
      </c>
      <c r="CO86" s="482">
        <f t="shared" si="360"/>
        <v>0</v>
      </c>
      <c r="CP86" s="536">
        <f>P_AG_06</f>
        <v>0</v>
      </c>
      <c r="CQ86" s="537">
        <f>CQ70</f>
        <v>0</v>
      </c>
      <c r="CR86" s="482">
        <f t="shared" si="361"/>
        <v>0</v>
      </c>
      <c r="CS86" s="536">
        <f>P_AG_06</f>
        <v>0</v>
      </c>
      <c r="CT86" s="537">
        <f>CT70</f>
        <v>0</v>
      </c>
      <c r="CU86" s="482">
        <f t="shared" si="362"/>
        <v>0</v>
      </c>
      <c r="CV86" s="536">
        <f>P_AG_06</f>
        <v>0</v>
      </c>
      <c r="CW86" s="537">
        <f>CW70</f>
        <v>0</v>
      </c>
      <c r="CX86" s="482">
        <f t="shared" si="363"/>
        <v>0</v>
      </c>
      <c r="CY86" s="536">
        <f>P_AG_06</f>
        <v>0</v>
      </c>
      <c r="CZ86" s="537">
        <f>CZ70</f>
        <v>0</v>
      </c>
      <c r="DA86" s="482">
        <f t="shared" si="364"/>
        <v>0</v>
      </c>
      <c r="DB86" s="536">
        <f>P_AG_06</f>
        <v>0</v>
      </c>
      <c r="DC86" s="537">
        <f>DC70</f>
        <v>0</v>
      </c>
      <c r="DD86" s="482">
        <f t="shared" si="365"/>
        <v>0</v>
      </c>
      <c r="DE86" s="536">
        <f>P_AG_06</f>
        <v>0</v>
      </c>
      <c r="DF86" s="537">
        <f>DF70</f>
        <v>0</v>
      </c>
      <c r="DG86" s="482">
        <f t="shared" si="366"/>
        <v>-392.1</v>
      </c>
      <c r="DH86" s="1270">
        <f>24.2-416.3</f>
        <v>-392.1</v>
      </c>
      <c r="DI86" s="534">
        <v>-0.5</v>
      </c>
      <c r="DJ86" s="482">
        <f>DK86-DI86</f>
        <v>-2.2000000000000002</v>
      </c>
      <c r="DK86" s="1262">
        <v>-2.7</v>
      </c>
      <c r="DL86" s="534"/>
      <c r="DM86" s="482">
        <f t="shared" si="368"/>
        <v>0</v>
      </c>
      <c r="DN86" s="1262"/>
      <c r="DO86" s="534">
        <f>DO70</f>
        <v>0</v>
      </c>
      <c r="DP86" s="482">
        <f t="shared" si="369"/>
        <v>0</v>
      </c>
      <c r="DQ86" s="1262">
        <f>P_AG_06</f>
        <v>0</v>
      </c>
      <c r="DR86" s="534"/>
      <c r="DS86" s="482">
        <f t="shared" si="370"/>
        <v>0</v>
      </c>
      <c r="DT86" s="1262">
        <f>P_AG_06</f>
        <v>0</v>
      </c>
      <c r="DU86" s="534">
        <f>DU70</f>
        <v>0</v>
      </c>
      <c r="DV86" s="482">
        <f t="shared" si="371"/>
        <v>0</v>
      </c>
      <c r="DW86" s="1262">
        <f>P_AG_06</f>
        <v>0</v>
      </c>
      <c r="DX86" s="534">
        <f>DX70</f>
        <v>0</v>
      </c>
      <c r="DY86" s="482">
        <f t="shared" si="372"/>
        <v>0</v>
      </c>
      <c r="DZ86" s="1262">
        <f>P_AG_06</f>
        <v>0</v>
      </c>
      <c r="EA86" s="534">
        <f>EA70</f>
        <v>0</v>
      </c>
      <c r="EB86" s="482">
        <f t="shared" si="373"/>
        <v>0</v>
      </c>
      <c r="EC86" s="1262">
        <f>P_AG_06</f>
        <v>0</v>
      </c>
      <c r="ED86" s="534">
        <f>ED70</f>
        <v>0</v>
      </c>
      <c r="EE86" s="482">
        <f t="shared" si="374"/>
        <v>0</v>
      </c>
      <c r="EF86" s="1262">
        <f>P_AG_06</f>
        <v>0</v>
      </c>
      <c r="EG86" s="534">
        <f>EG70</f>
        <v>0</v>
      </c>
      <c r="EH86" s="482">
        <f t="shared" si="375"/>
        <v>0</v>
      </c>
      <c r="EI86" s="1262">
        <f>P_AG_06</f>
        <v>0</v>
      </c>
      <c r="EJ86" s="534">
        <f>EJ70</f>
        <v>0</v>
      </c>
      <c r="EK86" s="482">
        <f t="shared" si="376"/>
        <v>0</v>
      </c>
      <c r="EL86" s="1262">
        <f>P_AG_06</f>
        <v>0</v>
      </c>
      <c r="EM86" s="534">
        <f>EM70</f>
        <v>0</v>
      </c>
      <c r="EN86" s="482">
        <f t="shared" si="377"/>
        <v>0</v>
      </c>
      <c r="EO86" s="1262">
        <f>P_AG_06</f>
        <v>0</v>
      </c>
      <c r="EP86" s="534">
        <f>EP70</f>
        <v>0</v>
      </c>
      <c r="EQ86" s="482">
        <f t="shared" si="378"/>
        <v>0</v>
      </c>
      <c r="ER86" s="1262">
        <f>P_AG_06</f>
        <v>0</v>
      </c>
      <c r="ES86" s="534">
        <f>ES70</f>
        <v>0</v>
      </c>
      <c r="ET86" s="482">
        <f t="shared" si="379"/>
        <v>0</v>
      </c>
      <c r="EU86" s="1262">
        <f>P_AG_06</f>
        <v>0</v>
      </c>
      <c r="EV86" s="534">
        <f>EV70</f>
        <v>0</v>
      </c>
      <c r="EW86" s="482">
        <f t="shared" si="380"/>
        <v>0</v>
      </c>
      <c r="EX86" s="1262">
        <f>P_AG_06</f>
        <v>0</v>
      </c>
      <c r="EY86" s="534">
        <f>EY70</f>
        <v>0</v>
      </c>
      <c r="EZ86" s="482">
        <f t="shared" si="381"/>
        <v>0</v>
      </c>
      <c r="FA86" s="1262">
        <f>P_AG_06</f>
        <v>0</v>
      </c>
      <c r="FE86"/>
      <c r="FF86"/>
      <c r="FG86"/>
      <c r="FH86"/>
      <c r="FI86"/>
      <c r="FJ86"/>
      <c r="FK86" s="35"/>
    </row>
    <row r="87" spans="2:167" s="236" customFormat="1" ht="13.35" customHeight="1">
      <c r="B87" s="242" t="s">
        <v>296</v>
      </c>
      <c r="C87" s="242" t="s">
        <v>496</v>
      </c>
      <c r="D87" s="243"/>
      <c r="E87" s="522"/>
      <c r="F87" s="482">
        <f t="shared" si="332"/>
        <v>0</v>
      </c>
      <c r="G87" s="523"/>
      <c r="H87" s="524"/>
      <c r="I87" s="482">
        <f t="shared" si="333"/>
        <v>0</v>
      </c>
      <c r="J87" s="523"/>
      <c r="K87" s="524"/>
      <c r="L87" s="482">
        <f t="shared" si="334"/>
        <v>0</v>
      </c>
      <c r="M87" s="523"/>
      <c r="N87" s="524"/>
      <c r="O87" s="482">
        <f t="shared" si="335"/>
        <v>0</v>
      </c>
      <c r="P87" s="523"/>
      <c r="Q87" s="524"/>
      <c r="R87" s="482">
        <f t="shared" si="336"/>
        <v>0</v>
      </c>
      <c r="S87" s="523"/>
      <c r="T87" s="524"/>
      <c r="U87" s="482">
        <f t="shared" si="337"/>
        <v>0</v>
      </c>
      <c r="V87" s="523"/>
      <c r="W87" s="524"/>
      <c r="X87" s="482">
        <f t="shared" si="338"/>
        <v>0</v>
      </c>
      <c r="Y87" s="523"/>
      <c r="Z87" s="524"/>
      <c r="AA87" s="482">
        <f t="shared" si="339"/>
        <v>0</v>
      </c>
      <c r="AB87" s="523"/>
      <c r="AC87" s="524"/>
      <c r="AD87" s="482">
        <f t="shared" si="340"/>
        <v>0</v>
      </c>
      <c r="AE87" s="523"/>
      <c r="AF87" s="524"/>
      <c r="AG87" s="482">
        <f t="shared" si="341"/>
        <v>0</v>
      </c>
      <c r="AH87" s="523"/>
      <c r="AI87" s="524"/>
      <c r="AJ87" s="482">
        <f t="shared" si="342"/>
        <v>0</v>
      </c>
      <c r="AK87" s="523"/>
      <c r="AL87" s="524"/>
      <c r="AM87" s="482">
        <f t="shared" si="343"/>
        <v>0</v>
      </c>
      <c r="AN87" s="523"/>
      <c r="AO87" s="524"/>
      <c r="AP87" s="482">
        <f t="shared" si="344"/>
        <v>0</v>
      </c>
      <c r="AQ87" s="523"/>
      <c r="AR87" s="524"/>
      <c r="AS87" s="482">
        <f t="shared" si="345"/>
        <v>0</v>
      </c>
      <c r="AT87" s="523"/>
      <c r="AU87" s="524"/>
      <c r="AV87" s="482">
        <f t="shared" si="346"/>
        <v>0</v>
      </c>
      <c r="AW87" s="523"/>
      <c r="AX87" s="524"/>
      <c r="AY87" s="482">
        <f t="shared" si="347"/>
        <v>0</v>
      </c>
      <c r="AZ87" s="523"/>
      <c r="BA87" s="524"/>
      <c r="BB87" s="482">
        <f t="shared" si="348"/>
        <v>0</v>
      </c>
      <c r="BC87" s="523"/>
      <c r="BD87" s="524"/>
      <c r="BE87" s="482">
        <f t="shared" si="349"/>
        <v>0</v>
      </c>
      <c r="BF87" s="523"/>
      <c r="BG87" s="524"/>
      <c r="BH87" s="482">
        <f t="shared" si="350"/>
        <v>0</v>
      </c>
      <c r="BI87" s="523"/>
      <c r="BJ87" s="525">
        <v>0</v>
      </c>
      <c r="BK87" s="482">
        <f t="shared" si="351"/>
        <v>0</v>
      </c>
      <c r="BL87" s="523"/>
      <c r="BM87" s="524"/>
      <c r="BN87" s="482">
        <f t="shared" si="352"/>
        <v>0</v>
      </c>
      <c r="BO87" s="523"/>
      <c r="BP87" s="524"/>
      <c r="BQ87" s="482">
        <f t="shared" si="382"/>
        <v>0</v>
      </c>
      <c r="BR87" s="522"/>
      <c r="BS87" s="524"/>
      <c r="BT87" s="482">
        <f t="shared" si="353"/>
        <v>0</v>
      </c>
      <c r="BU87" s="522"/>
      <c r="BV87" s="524"/>
      <c r="BW87" s="482">
        <f t="shared" si="354"/>
        <v>0</v>
      </c>
      <c r="BX87" s="522"/>
      <c r="BY87" s="524"/>
      <c r="BZ87" s="482">
        <f t="shared" si="355"/>
        <v>0</v>
      </c>
      <c r="CA87" s="522"/>
      <c r="CB87" s="524"/>
      <c r="CC87" s="482">
        <f t="shared" si="356"/>
        <v>0</v>
      </c>
      <c r="CD87" s="522"/>
      <c r="CE87" s="524"/>
      <c r="CF87" s="482">
        <f t="shared" si="357"/>
        <v>0</v>
      </c>
      <c r="CG87" s="522"/>
      <c r="CH87" s="524"/>
      <c r="CI87" s="482">
        <f t="shared" si="358"/>
        <v>0</v>
      </c>
      <c r="CJ87" s="522"/>
      <c r="CK87" s="524"/>
      <c r="CL87" s="482">
        <f t="shared" si="359"/>
        <v>0</v>
      </c>
      <c r="CM87" s="522"/>
      <c r="CN87" s="524"/>
      <c r="CO87" s="482">
        <f t="shared" si="360"/>
        <v>0</v>
      </c>
      <c r="CP87" s="522"/>
      <c r="CQ87" s="524"/>
      <c r="CR87" s="482">
        <f t="shared" si="361"/>
        <v>0</v>
      </c>
      <c r="CS87" s="522"/>
      <c r="CT87" s="524"/>
      <c r="CU87" s="482">
        <f t="shared" si="362"/>
        <v>0</v>
      </c>
      <c r="CV87" s="522"/>
      <c r="CW87" s="524"/>
      <c r="CX87" s="482">
        <f t="shared" si="363"/>
        <v>0</v>
      </c>
      <c r="CY87" s="522"/>
      <c r="CZ87" s="524"/>
      <c r="DA87" s="482">
        <f t="shared" si="364"/>
        <v>0</v>
      </c>
      <c r="DB87" s="522"/>
      <c r="DC87" s="524"/>
      <c r="DD87" s="482">
        <f t="shared" si="365"/>
        <v>0</v>
      </c>
      <c r="DE87" s="522"/>
      <c r="DF87" s="524"/>
      <c r="DG87" s="482">
        <f t="shared" si="366"/>
        <v>0</v>
      </c>
      <c r="DH87" s="1259"/>
      <c r="DI87" s="534"/>
      <c r="DJ87" s="482">
        <f t="shared" si="367"/>
        <v>0</v>
      </c>
      <c r="DK87" s="1262"/>
      <c r="DL87" s="534"/>
      <c r="DM87" s="482">
        <f t="shared" si="368"/>
        <v>0</v>
      </c>
      <c r="DN87" s="1262"/>
      <c r="DO87" s="534"/>
      <c r="DP87" s="482">
        <f>+DQ87-DO87</f>
        <v>0</v>
      </c>
      <c r="DQ87" s="1262"/>
      <c r="DR87" s="534"/>
      <c r="DS87" s="482">
        <f t="shared" si="370"/>
        <v>0</v>
      </c>
      <c r="DT87" s="1262"/>
      <c r="DU87" s="534"/>
      <c r="DV87" s="482">
        <f t="shared" si="371"/>
        <v>0</v>
      </c>
      <c r="DW87" s="1262"/>
      <c r="DX87" s="534"/>
      <c r="DY87" s="482">
        <f t="shared" si="372"/>
        <v>0</v>
      </c>
      <c r="DZ87" s="1262"/>
      <c r="EA87" s="534"/>
      <c r="EB87" s="482">
        <f t="shared" si="373"/>
        <v>0</v>
      </c>
      <c r="EC87" s="1262"/>
      <c r="ED87" s="534"/>
      <c r="EE87" s="482">
        <f t="shared" si="374"/>
        <v>0</v>
      </c>
      <c r="EF87" s="1262"/>
      <c r="EG87" s="534"/>
      <c r="EH87" s="482">
        <f t="shared" si="375"/>
        <v>0</v>
      </c>
      <c r="EI87" s="1262"/>
      <c r="EJ87" s="534"/>
      <c r="EK87" s="482">
        <f t="shared" si="376"/>
        <v>0</v>
      </c>
      <c r="EL87" s="1262"/>
      <c r="EM87" s="534"/>
      <c r="EN87" s="482">
        <f t="shared" si="377"/>
        <v>0</v>
      </c>
      <c r="EO87" s="1262"/>
      <c r="EP87" s="534"/>
      <c r="EQ87" s="482">
        <f t="shared" si="378"/>
        <v>0</v>
      </c>
      <c r="ER87" s="1262"/>
      <c r="ES87" s="534"/>
      <c r="ET87" s="482">
        <f t="shared" si="379"/>
        <v>0</v>
      </c>
      <c r="EU87" s="1262"/>
      <c r="EV87" s="534"/>
      <c r="EW87" s="482">
        <f t="shared" si="380"/>
        <v>0</v>
      </c>
      <c r="EX87" s="1262"/>
      <c r="EY87" s="534"/>
      <c r="EZ87" s="482">
        <f t="shared" si="381"/>
        <v>0</v>
      </c>
      <c r="FA87" s="1262"/>
      <c r="FE87"/>
      <c r="FF87"/>
      <c r="FG87"/>
      <c r="FH87"/>
      <c r="FI87"/>
      <c r="FJ87"/>
      <c r="FK87" s="35"/>
    </row>
    <row r="88" spans="2:167" s="236" customFormat="1" ht="13.35" customHeight="1">
      <c r="B88" s="242" t="s">
        <v>297</v>
      </c>
      <c r="C88" s="242" t="s">
        <v>496</v>
      </c>
      <c r="D88" s="243"/>
      <c r="E88" s="522"/>
      <c r="F88" s="482">
        <f t="shared" si="332"/>
        <v>0</v>
      </c>
      <c r="G88" s="523"/>
      <c r="H88" s="524"/>
      <c r="I88" s="482">
        <f t="shared" si="333"/>
        <v>0</v>
      </c>
      <c r="J88" s="523"/>
      <c r="K88" s="524"/>
      <c r="L88" s="482">
        <f t="shared" si="334"/>
        <v>0</v>
      </c>
      <c r="M88" s="523"/>
      <c r="N88" s="524"/>
      <c r="O88" s="482">
        <f t="shared" si="335"/>
        <v>0</v>
      </c>
      <c r="P88" s="523"/>
      <c r="Q88" s="524"/>
      <c r="R88" s="482">
        <f t="shared" si="336"/>
        <v>0</v>
      </c>
      <c r="S88" s="523"/>
      <c r="T88" s="524"/>
      <c r="U88" s="482">
        <f t="shared" si="337"/>
        <v>0</v>
      </c>
      <c r="V88" s="523"/>
      <c r="W88" s="524"/>
      <c r="X88" s="482">
        <f t="shared" si="338"/>
        <v>0</v>
      </c>
      <c r="Y88" s="523"/>
      <c r="Z88" s="524"/>
      <c r="AA88" s="482">
        <f t="shared" si="339"/>
        <v>0</v>
      </c>
      <c r="AB88" s="523"/>
      <c r="AC88" s="524"/>
      <c r="AD88" s="482">
        <f t="shared" si="340"/>
        <v>0</v>
      </c>
      <c r="AE88" s="523"/>
      <c r="AF88" s="524"/>
      <c r="AG88" s="482">
        <f t="shared" si="341"/>
        <v>0</v>
      </c>
      <c r="AH88" s="523"/>
      <c r="AI88" s="524"/>
      <c r="AJ88" s="482">
        <f t="shared" si="342"/>
        <v>0</v>
      </c>
      <c r="AK88" s="523"/>
      <c r="AL88" s="524"/>
      <c r="AM88" s="482">
        <f t="shared" si="343"/>
        <v>0</v>
      </c>
      <c r="AN88" s="523"/>
      <c r="AO88" s="524"/>
      <c r="AP88" s="482">
        <f t="shared" si="344"/>
        <v>0</v>
      </c>
      <c r="AQ88" s="523"/>
      <c r="AR88" s="524"/>
      <c r="AS88" s="482">
        <f t="shared" si="345"/>
        <v>0</v>
      </c>
      <c r="AT88" s="523"/>
      <c r="AU88" s="524"/>
      <c r="AV88" s="482">
        <f t="shared" si="346"/>
        <v>0</v>
      </c>
      <c r="AW88" s="523"/>
      <c r="AX88" s="524"/>
      <c r="AY88" s="482">
        <f t="shared" si="347"/>
        <v>0</v>
      </c>
      <c r="AZ88" s="523"/>
      <c r="BA88" s="524"/>
      <c r="BB88" s="482">
        <f t="shared" si="348"/>
        <v>0</v>
      </c>
      <c r="BC88" s="523"/>
      <c r="BD88" s="524"/>
      <c r="BE88" s="482">
        <f t="shared" si="349"/>
        <v>0</v>
      </c>
      <c r="BF88" s="523"/>
      <c r="BG88" s="524"/>
      <c r="BH88" s="482">
        <f t="shared" si="350"/>
        <v>0</v>
      </c>
      <c r="BI88" s="523"/>
      <c r="BJ88" s="524"/>
      <c r="BK88" s="482">
        <f t="shared" si="351"/>
        <v>0</v>
      </c>
      <c r="BL88" s="523"/>
      <c r="BM88" s="524"/>
      <c r="BN88" s="482">
        <f t="shared" si="352"/>
        <v>0</v>
      </c>
      <c r="BO88" s="523"/>
      <c r="BP88" s="524"/>
      <c r="BQ88" s="482">
        <f t="shared" si="382"/>
        <v>0</v>
      </c>
      <c r="BR88" s="522"/>
      <c r="BS88" s="524"/>
      <c r="BT88" s="482">
        <f t="shared" si="353"/>
        <v>0</v>
      </c>
      <c r="BU88" s="522"/>
      <c r="BV88" s="524"/>
      <c r="BW88" s="482">
        <f t="shared" si="354"/>
        <v>0</v>
      </c>
      <c r="BX88" s="522"/>
      <c r="BY88" s="524"/>
      <c r="BZ88" s="482">
        <f t="shared" si="355"/>
        <v>0</v>
      </c>
      <c r="CA88" s="522"/>
      <c r="CB88" s="524"/>
      <c r="CC88" s="482">
        <f t="shared" si="356"/>
        <v>0</v>
      </c>
      <c r="CD88" s="522"/>
      <c r="CE88" s="524"/>
      <c r="CF88" s="482">
        <f t="shared" si="357"/>
        <v>0</v>
      </c>
      <c r="CG88" s="522"/>
      <c r="CH88" s="524"/>
      <c r="CI88" s="482">
        <f t="shared" si="358"/>
        <v>0</v>
      </c>
      <c r="CJ88" s="522"/>
      <c r="CK88" s="524"/>
      <c r="CL88" s="482">
        <f t="shared" si="359"/>
        <v>0</v>
      </c>
      <c r="CM88" s="522"/>
      <c r="CN88" s="524"/>
      <c r="CO88" s="482">
        <f t="shared" si="360"/>
        <v>0</v>
      </c>
      <c r="CP88" s="522"/>
      <c r="CQ88" s="524"/>
      <c r="CR88" s="482">
        <f t="shared" si="361"/>
        <v>0</v>
      </c>
      <c r="CS88" s="522"/>
      <c r="CT88" s="524"/>
      <c r="CU88" s="482">
        <f t="shared" si="362"/>
        <v>0</v>
      </c>
      <c r="CV88" s="522"/>
      <c r="CW88" s="524"/>
      <c r="CX88" s="482">
        <f t="shared" si="363"/>
        <v>0</v>
      </c>
      <c r="CY88" s="522"/>
      <c r="CZ88" s="524"/>
      <c r="DA88" s="482">
        <f t="shared" si="364"/>
        <v>0</v>
      </c>
      <c r="DB88" s="522"/>
      <c r="DC88" s="524"/>
      <c r="DD88" s="482">
        <f t="shared" si="365"/>
        <v>0</v>
      </c>
      <c r="DE88" s="522"/>
      <c r="DF88" s="524"/>
      <c r="DG88" s="482">
        <f t="shared" si="366"/>
        <v>0</v>
      </c>
      <c r="DH88" s="1259"/>
      <c r="DI88" s="534"/>
      <c r="DJ88" s="482">
        <f t="shared" si="367"/>
        <v>0</v>
      </c>
      <c r="DK88" s="1262"/>
      <c r="DL88" s="534"/>
      <c r="DM88" s="482">
        <f t="shared" si="368"/>
        <v>0</v>
      </c>
      <c r="DN88" s="1262"/>
      <c r="DO88" s="534"/>
      <c r="DP88" s="482">
        <f t="shared" si="369"/>
        <v>0</v>
      </c>
      <c r="DQ88" s="1262"/>
      <c r="DR88" s="534"/>
      <c r="DS88" s="482">
        <f t="shared" si="370"/>
        <v>0</v>
      </c>
      <c r="DT88" s="1262"/>
      <c r="DU88" s="534"/>
      <c r="DV88" s="482">
        <f t="shared" si="371"/>
        <v>0</v>
      </c>
      <c r="DW88" s="1262"/>
      <c r="DX88" s="534"/>
      <c r="DY88" s="482">
        <f t="shared" si="372"/>
        <v>0</v>
      </c>
      <c r="DZ88" s="1262"/>
      <c r="EA88" s="534"/>
      <c r="EB88" s="482">
        <f t="shared" si="373"/>
        <v>0</v>
      </c>
      <c r="EC88" s="1262"/>
      <c r="ED88" s="534"/>
      <c r="EE88" s="482">
        <f t="shared" si="374"/>
        <v>0</v>
      </c>
      <c r="EF88" s="1262"/>
      <c r="EG88" s="534"/>
      <c r="EH88" s="482">
        <f t="shared" si="375"/>
        <v>0</v>
      </c>
      <c r="EI88" s="1262"/>
      <c r="EJ88" s="534"/>
      <c r="EK88" s="482">
        <f t="shared" si="376"/>
        <v>0</v>
      </c>
      <c r="EL88" s="1262"/>
      <c r="EM88" s="534"/>
      <c r="EN88" s="482">
        <f t="shared" si="377"/>
        <v>0</v>
      </c>
      <c r="EO88" s="1262"/>
      <c r="EP88" s="534"/>
      <c r="EQ88" s="482">
        <f t="shared" si="378"/>
        <v>0</v>
      </c>
      <c r="ER88" s="1262"/>
      <c r="ES88" s="534"/>
      <c r="ET88" s="482">
        <f t="shared" si="379"/>
        <v>0</v>
      </c>
      <c r="EU88" s="1262"/>
      <c r="EV88" s="534"/>
      <c r="EW88" s="482">
        <f t="shared" si="380"/>
        <v>0</v>
      </c>
      <c r="EX88" s="1262"/>
      <c r="EY88" s="534"/>
      <c r="EZ88" s="482">
        <f t="shared" si="381"/>
        <v>0</v>
      </c>
      <c r="FA88" s="1262"/>
      <c r="FE88"/>
      <c r="FF88"/>
      <c r="FG88"/>
      <c r="FH88"/>
      <c r="FI88"/>
      <c r="FJ88"/>
      <c r="FK88" s="35"/>
    </row>
    <row r="89" spans="2:167" s="236" customFormat="1" ht="13.35" customHeight="1">
      <c r="B89" s="1483" t="s">
        <v>733</v>
      </c>
      <c r="C89" s="1483" t="s">
        <v>496</v>
      </c>
      <c r="D89" s="1484"/>
      <c r="E89" s="1540"/>
      <c r="F89" s="1485">
        <f t="shared" si="332"/>
        <v>0</v>
      </c>
      <c r="G89" s="1541"/>
      <c r="H89" s="1542"/>
      <c r="I89" s="1485">
        <f t="shared" si="333"/>
        <v>0</v>
      </c>
      <c r="J89" s="1541"/>
      <c r="K89" s="1542"/>
      <c r="L89" s="1485">
        <f t="shared" si="334"/>
        <v>0</v>
      </c>
      <c r="M89" s="1541"/>
      <c r="N89" s="1542"/>
      <c r="O89" s="1485">
        <f t="shared" si="335"/>
        <v>0</v>
      </c>
      <c r="P89" s="1541"/>
      <c r="Q89" s="1542"/>
      <c r="R89" s="1485">
        <f t="shared" si="336"/>
        <v>0</v>
      </c>
      <c r="S89" s="1541"/>
      <c r="T89" s="1542"/>
      <c r="U89" s="1485">
        <f t="shared" si="337"/>
        <v>0</v>
      </c>
      <c r="V89" s="1541"/>
      <c r="W89" s="1542"/>
      <c r="X89" s="1485">
        <f t="shared" si="338"/>
        <v>0</v>
      </c>
      <c r="Y89" s="1541"/>
      <c r="Z89" s="1542"/>
      <c r="AA89" s="1485">
        <f t="shared" si="339"/>
        <v>0</v>
      </c>
      <c r="AB89" s="1541"/>
      <c r="AC89" s="1542"/>
      <c r="AD89" s="1485">
        <f t="shared" si="340"/>
        <v>0</v>
      </c>
      <c r="AE89" s="1541"/>
      <c r="AF89" s="1542"/>
      <c r="AG89" s="1485">
        <f t="shared" si="341"/>
        <v>0</v>
      </c>
      <c r="AH89" s="1541"/>
      <c r="AI89" s="1542"/>
      <c r="AJ89" s="1485">
        <f t="shared" si="342"/>
        <v>0</v>
      </c>
      <c r="AK89" s="1541"/>
      <c r="AL89" s="1542"/>
      <c r="AM89" s="1485">
        <f t="shared" si="343"/>
        <v>0</v>
      </c>
      <c r="AN89" s="1541"/>
      <c r="AO89" s="1542"/>
      <c r="AP89" s="1485">
        <f t="shared" si="344"/>
        <v>0</v>
      </c>
      <c r="AQ89" s="1541"/>
      <c r="AR89" s="1542"/>
      <c r="AS89" s="1485">
        <f t="shared" si="345"/>
        <v>0</v>
      </c>
      <c r="AT89" s="1541"/>
      <c r="AU89" s="1542"/>
      <c r="AV89" s="1485">
        <f t="shared" si="346"/>
        <v>0</v>
      </c>
      <c r="AW89" s="1541"/>
      <c r="AX89" s="1542"/>
      <c r="AY89" s="1485">
        <f t="shared" si="347"/>
        <v>0</v>
      </c>
      <c r="AZ89" s="1541"/>
      <c r="BA89" s="1542"/>
      <c r="BB89" s="1485">
        <f t="shared" si="348"/>
        <v>0</v>
      </c>
      <c r="BC89" s="1541"/>
      <c r="BD89" s="1542"/>
      <c r="BE89" s="1485">
        <f t="shared" si="349"/>
        <v>0</v>
      </c>
      <c r="BF89" s="1541"/>
      <c r="BG89" s="1542"/>
      <c r="BH89" s="1485">
        <f t="shared" si="350"/>
        <v>0</v>
      </c>
      <c r="BI89" s="1541"/>
      <c r="BJ89" s="1542"/>
      <c r="BK89" s="1485">
        <f t="shared" si="351"/>
        <v>0</v>
      </c>
      <c r="BL89" s="1541"/>
      <c r="BM89" s="1542"/>
      <c r="BN89" s="1485">
        <f t="shared" si="352"/>
        <v>0</v>
      </c>
      <c r="BO89" s="1541"/>
      <c r="BP89" s="1542"/>
      <c r="BQ89" s="1485">
        <f t="shared" si="382"/>
        <v>0</v>
      </c>
      <c r="BR89" s="1540"/>
      <c r="BS89" s="1542"/>
      <c r="BT89" s="1485">
        <f t="shared" si="353"/>
        <v>0</v>
      </c>
      <c r="BU89" s="1540"/>
      <c r="BV89" s="1542"/>
      <c r="BW89" s="1485">
        <f t="shared" si="354"/>
        <v>0</v>
      </c>
      <c r="BX89" s="1540"/>
      <c r="BY89" s="1542"/>
      <c r="BZ89" s="1485">
        <f t="shared" si="355"/>
        <v>0</v>
      </c>
      <c r="CA89" s="1540"/>
      <c r="CB89" s="1542"/>
      <c r="CC89" s="1485">
        <f t="shared" si="356"/>
        <v>0</v>
      </c>
      <c r="CD89" s="1540"/>
      <c r="CE89" s="1542"/>
      <c r="CF89" s="1485">
        <f t="shared" si="357"/>
        <v>0</v>
      </c>
      <c r="CG89" s="1540"/>
      <c r="CH89" s="1542"/>
      <c r="CI89" s="1485">
        <f t="shared" si="358"/>
        <v>0</v>
      </c>
      <c r="CJ89" s="1540"/>
      <c r="CK89" s="1542"/>
      <c r="CL89" s="1485">
        <f t="shared" si="359"/>
        <v>0</v>
      </c>
      <c r="CM89" s="1540"/>
      <c r="CN89" s="1542"/>
      <c r="CO89" s="1485">
        <f t="shared" si="360"/>
        <v>0</v>
      </c>
      <c r="CP89" s="1540"/>
      <c r="CQ89" s="1542"/>
      <c r="CR89" s="1485">
        <f t="shared" si="361"/>
        <v>0</v>
      </c>
      <c r="CS89" s="1540"/>
      <c r="CT89" s="1542"/>
      <c r="CU89" s="1485">
        <f t="shared" si="362"/>
        <v>0</v>
      </c>
      <c r="CV89" s="1540"/>
      <c r="CW89" s="1542"/>
      <c r="CX89" s="1485">
        <f t="shared" si="363"/>
        <v>0</v>
      </c>
      <c r="CY89" s="1540"/>
      <c r="CZ89" s="1542"/>
      <c r="DA89" s="1485">
        <f t="shared" si="364"/>
        <v>0</v>
      </c>
      <c r="DB89" s="1540"/>
      <c r="DC89" s="1542"/>
      <c r="DD89" s="1485">
        <f t="shared" si="365"/>
        <v>0</v>
      </c>
      <c r="DE89" s="1540"/>
      <c r="DF89" s="1542"/>
      <c r="DG89" s="1485">
        <f t="shared" si="366"/>
        <v>0</v>
      </c>
      <c r="DH89" s="1560"/>
      <c r="DI89" s="1537"/>
      <c r="DJ89" s="1485">
        <f t="shared" si="367"/>
        <v>0</v>
      </c>
      <c r="DK89" s="1538"/>
      <c r="DL89" s="1537"/>
      <c r="DM89" s="1485">
        <f t="shared" si="368"/>
        <v>0</v>
      </c>
      <c r="DN89" s="1538"/>
      <c r="DO89" s="1537"/>
      <c r="DP89" s="1485">
        <f t="shared" si="369"/>
        <v>0</v>
      </c>
      <c r="DQ89" s="1538"/>
      <c r="DR89" s="1537"/>
      <c r="DS89" s="1485">
        <f t="shared" si="370"/>
        <v>0</v>
      </c>
      <c r="DT89" s="1538"/>
      <c r="DU89" s="1537"/>
      <c r="DV89" s="1485">
        <f t="shared" si="371"/>
        <v>0</v>
      </c>
      <c r="DW89" s="1538"/>
      <c r="DX89" s="1537"/>
      <c r="DY89" s="1485">
        <f t="shared" si="372"/>
        <v>0</v>
      </c>
      <c r="DZ89" s="1538"/>
      <c r="EA89" s="1537"/>
      <c r="EB89" s="1485">
        <f t="shared" si="373"/>
        <v>0</v>
      </c>
      <c r="EC89" s="1538"/>
      <c r="ED89" s="1537"/>
      <c r="EE89" s="1485">
        <f t="shared" si="374"/>
        <v>0</v>
      </c>
      <c r="EF89" s="1538"/>
      <c r="EG89" s="1537"/>
      <c r="EH89" s="1485">
        <f t="shared" si="375"/>
        <v>0</v>
      </c>
      <c r="EI89" s="1538"/>
      <c r="EJ89" s="1537"/>
      <c r="EK89" s="1485">
        <f t="shared" si="376"/>
        <v>0</v>
      </c>
      <c r="EL89" s="1538"/>
      <c r="EM89" s="1537"/>
      <c r="EN89" s="1485">
        <f t="shared" si="377"/>
        <v>0</v>
      </c>
      <c r="EO89" s="1538"/>
      <c r="EP89" s="1537"/>
      <c r="EQ89" s="1485">
        <f t="shared" si="378"/>
        <v>0</v>
      </c>
      <c r="ER89" s="1538"/>
      <c r="ES89" s="1537"/>
      <c r="ET89" s="1485">
        <f t="shared" si="379"/>
        <v>0</v>
      </c>
      <c r="EU89" s="1538"/>
      <c r="EV89" s="1537"/>
      <c r="EW89" s="1485">
        <f t="shared" si="380"/>
        <v>0</v>
      </c>
      <c r="EX89" s="1538"/>
      <c r="EY89" s="1537"/>
      <c r="EZ89" s="1485">
        <f t="shared" si="381"/>
        <v>0</v>
      </c>
      <c r="FA89" s="1538"/>
      <c r="FE89"/>
      <c r="FF89"/>
      <c r="FG89"/>
      <c r="FH89"/>
      <c r="FI89"/>
      <c r="FJ89"/>
      <c r="FK89" s="35"/>
    </row>
    <row r="90" spans="2:167" s="236" customFormat="1" ht="13.35" customHeight="1">
      <c r="B90" s="444" t="s">
        <v>68</v>
      </c>
      <c r="C90" s="444" t="s">
        <v>496</v>
      </c>
      <c r="D90" s="1474"/>
      <c r="E90" s="867">
        <f>+E84+E85</f>
        <v>0</v>
      </c>
      <c r="F90" s="562">
        <f t="shared" si="332"/>
        <v>0</v>
      </c>
      <c r="G90" s="867">
        <f>+G84+G85</f>
        <v>0</v>
      </c>
      <c r="H90" s="867">
        <f>+H84+H85</f>
        <v>0</v>
      </c>
      <c r="I90" s="562">
        <f t="shared" si="333"/>
        <v>0</v>
      </c>
      <c r="J90" s="867">
        <f>+J84+J85</f>
        <v>0</v>
      </c>
      <c r="K90" s="867">
        <f>+K84+K85</f>
        <v>0</v>
      </c>
      <c r="L90" s="562">
        <f t="shared" si="334"/>
        <v>0</v>
      </c>
      <c r="M90" s="867">
        <f>+M84+M85</f>
        <v>0</v>
      </c>
      <c r="N90" s="867">
        <f>+N84+N85</f>
        <v>0</v>
      </c>
      <c r="O90" s="562">
        <f t="shared" si="335"/>
        <v>0</v>
      </c>
      <c r="P90" s="867">
        <f>+P84+P85</f>
        <v>0</v>
      </c>
      <c r="Q90" s="867">
        <f>+Q84+Q85</f>
        <v>0</v>
      </c>
      <c r="R90" s="562">
        <f t="shared" si="336"/>
        <v>0</v>
      </c>
      <c r="S90" s="867">
        <f>+S84+S85</f>
        <v>0</v>
      </c>
      <c r="T90" s="867">
        <f>+T84+T85</f>
        <v>0</v>
      </c>
      <c r="U90" s="562">
        <f t="shared" si="337"/>
        <v>0</v>
      </c>
      <c r="V90" s="867">
        <f>+V84+V85</f>
        <v>0</v>
      </c>
      <c r="W90" s="867">
        <f>+W84+W85</f>
        <v>0</v>
      </c>
      <c r="X90" s="562">
        <f t="shared" si="338"/>
        <v>0</v>
      </c>
      <c r="Y90" s="867">
        <f>+Y84+Y85</f>
        <v>0</v>
      </c>
      <c r="Z90" s="867">
        <f>+Z84+Z85</f>
        <v>0</v>
      </c>
      <c r="AA90" s="562">
        <f t="shared" si="339"/>
        <v>0</v>
      </c>
      <c r="AB90" s="867">
        <f>+AB84+AB85</f>
        <v>0</v>
      </c>
      <c r="AC90" s="867">
        <f>+AC84+AC85</f>
        <v>0</v>
      </c>
      <c r="AD90" s="562">
        <f t="shared" si="340"/>
        <v>0</v>
      </c>
      <c r="AE90" s="867">
        <f>+AE84+AE85</f>
        <v>0</v>
      </c>
      <c r="AF90" s="867">
        <f>+AF84+AF85</f>
        <v>0</v>
      </c>
      <c r="AG90" s="562">
        <f t="shared" si="341"/>
        <v>0</v>
      </c>
      <c r="AH90" s="867">
        <f>+AH84+AH85</f>
        <v>0</v>
      </c>
      <c r="AI90" s="867">
        <f>+AI84+AI85</f>
        <v>4.5949999999999998</v>
      </c>
      <c r="AJ90" s="562">
        <f t="shared" si="342"/>
        <v>5.7809999999999997</v>
      </c>
      <c r="AK90" s="867">
        <f>+AK84+AK85</f>
        <v>10.375999999999999</v>
      </c>
      <c r="AL90" s="867">
        <f>+AL84+AL85</f>
        <v>5.1269999999999998</v>
      </c>
      <c r="AM90" s="562">
        <f t="shared" si="343"/>
        <v>5.7359999999999998</v>
      </c>
      <c r="AN90" s="867">
        <f>+AN84+AN85</f>
        <v>10.863</v>
      </c>
      <c r="AO90" s="867">
        <f>+AO84+AO85</f>
        <v>4.5220000000000002</v>
      </c>
      <c r="AP90" s="562">
        <f t="shared" si="344"/>
        <v>6.2870000000000008</v>
      </c>
      <c r="AQ90" s="867">
        <f>+AQ84+AQ85</f>
        <v>10.809000000000001</v>
      </c>
      <c r="AR90" s="867">
        <f>+AR84+AR85</f>
        <v>5.4249999999999998</v>
      </c>
      <c r="AS90" s="562">
        <f t="shared" si="345"/>
        <v>7.86</v>
      </c>
      <c r="AT90" s="867">
        <f>+AT84+AT85</f>
        <v>13.285</v>
      </c>
      <c r="AU90" s="867">
        <f>+AU84+AU85</f>
        <v>6.6429999999999998</v>
      </c>
      <c r="AV90" s="562">
        <f t="shared" si="346"/>
        <v>9.6839999999999975</v>
      </c>
      <c r="AW90" s="867">
        <f>+AW84+AW85</f>
        <v>16.326999999999998</v>
      </c>
      <c r="AX90" s="867">
        <f>+AX84+AX85</f>
        <v>10.324000000000002</v>
      </c>
      <c r="AY90" s="562">
        <f t="shared" si="347"/>
        <v>13.791999999999998</v>
      </c>
      <c r="AZ90" s="867">
        <f>+AZ84+AZ85</f>
        <v>24.116</v>
      </c>
      <c r="BA90" s="867">
        <f>+BA84+BA85</f>
        <v>15.873000000000001</v>
      </c>
      <c r="BB90" s="562">
        <f t="shared" si="348"/>
        <v>15.305</v>
      </c>
      <c r="BC90" s="867">
        <f>+BC84+BC85</f>
        <v>31.178000000000001</v>
      </c>
      <c r="BD90" s="867">
        <f>+BD84+BD85</f>
        <v>20.799999999999997</v>
      </c>
      <c r="BE90" s="562">
        <f t="shared" si="349"/>
        <v>22.810000000000002</v>
      </c>
      <c r="BF90" s="867">
        <f>+BF84+BF85</f>
        <v>43.61</v>
      </c>
      <c r="BG90" s="867">
        <f>+BG84+BG85</f>
        <v>27.015000000000001</v>
      </c>
      <c r="BH90" s="562">
        <f t="shared" si="350"/>
        <v>31.169000000000004</v>
      </c>
      <c r="BI90" s="867">
        <f>+BI84+BI85</f>
        <v>58.184000000000005</v>
      </c>
      <c r="BJ90" s="867">
        <f>+BJ84+BJ85</f>
        <v>26.880000000000003</v>
      </c>
      <c r="BK90" s="562">
        <f t="shared" si="351"/>
        <v>12.777999999999999</v>
      </c>
      <c r="BL90" s="867">
        <f>+BL84+BL85</f>
        <v>39.658000000000001</v>
      </c>
      <c r="BM90" s="867">
        <f>+BM84+BM85</f>
        <v>29.465</v>
      </c>
      <c r="BN90" s="562">
        <f t="shared" si="352"/>
        <v>29.009000000000004</v>
      </c>
      <c r="BO90" s="867">
        <f>+BO84+BO85</f>
        <v>58.474000000000004</v>
      </c>
      <c r="BP90" s="867">
        <f>+BP84+BP85</f>
        <v>43.009</v>
      </c>
      <c r="BQ90" s="562">
        <f t="shared" si="382"/>
        <v>37.022999999999996</v>
      </c>
      <c r="BR90" s="867">
        <f>+BR84+BR85</f>
        <v>80.031999999999996</v>
      </c>
      <c r="BS90" s="867">
        <f>+BS84+BS85</f>
        <v>48.798000000000009</v>
      </c>
      <c r="BT90" s="562">
        <f t="shared" si="353"/>
        <v>51.332999999999977</v>
      </c>
      <c r="BU90" s="867">
        <f>+BU84+BU85</f>
        <v>100.13099999999999</v>
      </c>
      <c r="BV90" s="867">
        <f>+BV84+BV85</f>
        <v>57.113000000000007</v>
      </c>
      <c r="BW90" s="562">
        <f t="shared" si="354"/>
        <v>58.121000000000002</v>
      </c>
      <c r="BX90" s="867">
        <f>+BX84+BX85</f>
        <v>115.23400000000001</v>
      </c>
      <c r="BY90" s="867">
        <f>+BY84+BY85</f>
        <v>69.935999999999993</v>
      </c>
      <c r="BZ90" s="562">
        <f t="shared" si="355"/>
        <v>60.603999999999999</v>
      </c>
      <c r="CA90" s="867">
        <f>+CA84+CA85</f>
        <v>130.54</v>
      </c>
      <c r="CB90" s="867">
        <f>+CB84+CB85</f>
        <v>75.247000000000014</v>
      </c>
      <c r="CC90" s="562">
        <f t="shared" si="356"/>
        <v>79.904999999999973</v>
      </c>
      <c r="CD90" s="867">
        <f>+CD84+CD85</f>
        <v>155.15199999999999</v>
      </c>
      <c r="CE90" s="867">
        <f>+CE84+CE85</f>
        <v>82.935000000000002</v>
      </c>
      <c r="CF90" s="562">
        <f t="shared" si="357"/>
        <v>97.179000000000002</v>
      </c>
      <c r="CG90" s="867">
        <f>+CG84+CG85</f>
        <v>180.114</v>
      </c>
      <c r="CH90" s="867">
        <f>+CH84+CH85</f>
        <v>80.146999999999991</v>
      </c>
      <c r="CI90" s="562">
        <f t="shared" si="358"/>
        <v>77.953000000000003</v>
      </c>
      <c r="CJ90" s="867">
        <f>+CJ84+CJ85</f>
        <v>158.1</v>
      </c>
      <c r="CK90" s="867">
        <f>+CK84+CK85</f>
        <v>77.665000000000006</v>
      </c>
      <c r="CL90" s="562">
        <f t="shared" si="359"/>
        <v>54.897999999999982</v>
      </c>
      <c r="CM90" s="867">
        <f>+CM84+CM85</f>
        <v>132.56299999999999</v>
      </c>
      <c r="CN90" s="867">
        <f>+CN84+CN85</f>
        <v>36.79</v>
      </c>
      <c r="CO90" s="562">
        <f t="shared" si="360"/>
        <v>72.699999999999989</v>
      </c>
      <c r="CP90" s="867">
        <f>+CP84+CP85</f>
        <v>109.49</v>
      </c>
      <c r="CQ90" s="867">
        <f>+CQ84+CQ85</f>
        <v>71.375</v>
      </c>
      <c r="CR90" s="562">
        <f t="shared" si="361"/>
        <v>74.465000000000003</v>
      </c>
      <c r="CS90" s="867">
        <f>+CS84+CS85</f>
        <v>145.84</v>
      </c>
      <c r="CT90" s="867">
        <f>+CT84+CT85</f>
        <v>94.033000000000001</v>
      </c>
      <c r="CU90" s="562">
        <f t="shared" si="362"/>
        <v>94.887999999999991</v>
      </c>
      <c r="CV90" s="867">
        <f>+CV84+CV85</f>
        <v>188.92099999999999</v>
      </c>
      <c r="CW90" s="867">
        <f>+CW84+CW85</f>
        <v>111.36944</v>
      </c>
      <c r="CX90" s="562">
        <f t="shared" si="363"/>
        <v>112.24655999999999</v>
      </c>
      <c r="CY90" s="867">
        <f>+CY84+CY85</f>
        <v>223.61599999999999</v>
      </c>
      <c r="CZ90" s="867">
        <f>+CZ84+CZ85</f>
        <v>110.79999999999998</v>
      </c>
      <c r="DA90" s="562">
        <f t="shared" si="364"/>
        <v>135.00000000000003</v>
      </c>
      <c r="DB90" s="867">
        <f>+DB84+DB85</f>
        <v>245.8</v>
      </c>
      <c r="DC90" s="867">
        <f>+DC84+DC85</f>
        <v>128.60000000000002</v>
      </c>
      <c r="DD90" s="562">
        <f t="shared" si="365"/>
        <v>137.29999999999995</v>
      </c>
      <c r="DE90" s="867">
        <f>+DE84+DE85</f>
        <v>265.89999999999998</v>
      </c>
      <c r="DF90" s="867">
        <f>+DF84+DF85</f>
        <v>132.69999999999996</v>
      </c>
      <c r="DG90" s="562">
        <f t="shared" si="366"/>
        <v>-371</v>
      </c>
      <c r="DH90" s="1341">
        <f>+DH84+DH85</f>
        <v>-238.3</v>
      </c>
      <c r="DI90" s="867">
        <f>+DI84+DI85</f>
        <v>125.19</v>
      </c>
      <c r="DJ90" s="562">
        <f t="shared" si="367"/>
        <v>112.74000000000001</v>
      </c>
      <c r="DK90" s="1341">
        <f>+DK84+DK85</f>
        <v>237.93</v>
      </c>
      <c r="DL90" s="867">
        <f>+DL84+DL85</f>
        <v>161.34</v>
      </c>
      <c r="DM90" s="562">
        <f t="shared" si="368"/>
        <v>130.78</v>
      </c>
      <c r="DN90" s="1341">
        <f>+DN84+DN85</f>
        <v>292.12</v>
      </c>
      <c r="DO90" s="867">
        <f>+DO84+DO85</f>
        <v>153.74</v>
      </c>
      <c r="DP90" s="562">
        <f t="shared" si="369"/>
        <v>178.41000000000003</v>
      </c>
      <c r="DQ90" s="1341">
        <f>+DQ84+DQ85</f>
        <v>332.15000000000003</v>
      </c>
      <c r="DR90" s="867">
        <f>+DR84+DR85</f>
        <v>203.62999999999997</v>
      </c>
      <c r="DS90" s="562">
        <f t="shared" si="370"/>
        <v>204.17999999999998</v>
      </c>
      <c r="DT90" s="1341">
        <f>+DT84+DT85</f>
        <v>407.80999999999995</v>
      </c>
      <c r="DU90" s="867">
        <f>+DU84+DU85</f>
        <v>213.68999999999997</v>
      </c>
      <c r="DV90" s="562">
        <f t="shared" si="371"/>
        <v>201.60000000000011</v>
      </c>
      <c r="DW90" s="1341">
        <f>+DW84+DW85</f>
        <v>415.29000000000008</v>
      </c>
      <c r="DX90" s="867">
        <f>+DX84+DX85</f>
        <v>194.80000000000004</v>
      </c>
      <c r="DY90" s="562">
        <f t="shared" si="372"/>
        <v>217.26495297475245</v>
      </c>
      <c r="DZ90" s="1341">
        <f>+DZ84+DZ85</f>
        <v>412.06495297475249</v>
      </c>
      <c r="EA90" s="867">
        <f>+EA84+EA85</f>
        <v>233.78288198280904</v>
      </c>
      <c r="EB90" s="562">
        <f t="shared" si="373"/>
        <v>240.97310037358784</v>
      </c>
      <c r="EC90" s="1341">
        <f>+EC84+EC85</f>
        <v>474.75598235639688</v>
      </c>
      <c r="ED90" s="867">
        <f>+ED84+ED85</f>
        <v>260.8416567151105</v>
      </c>
      <c r="EE90" s="562">
        <f t="shared" si="374"/>
        <v>269.01603818798242</v>
      </c>
      <c r="EF90" s="1341">
        <f>+EF84+EF85</f>
        <v>529.85769490309292</v>
      </c>
      <c r="EG90" s="867">
        <f>+EG84+EG85</f>
        <v>289.72905851376896</v>
      </c>
      <c r="EH90" s="562">
        <f t="shared" si="375"/>
        <v>298.79174864697194</v>
      </c>
      <c r="EI90" s="1341">
        <f>+EI84+EI85</f>
        <v>588.5208071607409</v>
      </c>
      <c r="EJ90" s="867">
        <f>+EJ84+EJ85</f>
        <v>319.50187721472264</v>
      </c>
      <c r="EK90" s="562">
        <f t="shared" si="376"/>
        <v>329.48417797070886</v>
      </c>
      <c r="EL90" s="1341">
        <f>+EL84+EL85</f>
        <v>648.9860551854315</v>
      </c>
      <c r="EM90" s="867">
        <f>+EM84+EM85</f>
        <v>350.75124275068288</v>
      </c>
      <c r="EN90" s="562">
        <f t="shared" si="377"/>
        <v>361.67728084541432</v>
      </c>
      <c r="EO90" s="1341">
        <f>+EO84+EO85</f>
        <v>712.42852359609719</v>
      </c>
      <c r="EP90" s="867">
        <f>+EP84+EP85</f>
        <v>384.01284734902202</v>
      </c>
      <c r="EQ90" s="562">
        <f t="shared" si="378"/>
        <v>395.92222887227962</v>
      </c>
      <c r="ER90" s="1341">
        <f>+ER84+ER85</f>
        <v>779.93507622130164</v>
      </c>
      <c r="ES90" s="867">
        <f>+ES84+ES85</f>
        <v>420.32850032569968</v>
      </c>
      <c r="ET90" s="562">
        <f t="shared" si="379"/>
        <v>433.30972618605028</v>
      </c>
      <c r="EU90" s="1341">
        <f>+EU84+EU85</f>
        <v>853.63822651174996</v>
      </c>
      <c r="EV90" s="867">
        <f>+EV84+EV85</f>
        <v>459.97999412878312</v>
      </c>
      <c r="EW90" s="562">
        <f t="shared" si="380"/>
        <v>474.12953031656548</v>
      </c>
      <c r="EX90" s="1341">
        <f>+EX84+EX85</f>
        <v>934.1095244453486</v>
      </c>
      <c r="EY90" s="867">
        <f>+EY84+EY85</f>
        <v>503.27613060908709</v>
      </c>
      <c r="EZ90" s="562">
        <f t="shared" si="381"/>
        <v>518.69912505376976</v>
      </c>
      <c r="FA90" s="1341">
        <f>+FA84+FA85</f>
        <v>1021.9752556628569</v>
      </c>
      <c r="FC90" s="189"/>
      <c r="FE90"/>
      <c r="FF90"/>
      <c r="FG90"/>
      <c r="FH90"/>
      <c r="FI90"/>
      <c r="FJ90"/>
      <c r="FK90" s="35"/>
    </row>
    <row r="91" spans="2:167" s="236" customFormat="1" ht="13.5" thickBot="1">
      <c r="B91" s="242" t="s">
        <v>69</v>
      </c>
      <c r="C91" s="242"/>
      <c r="D91" s="243"/>
      <c r="E91" s="534"/>
      <c r="F91" s="482"/>
      <c r="G91" s="534"/>
      <c r="H91" s="534"/>
      <c r="I91" s="482"/>
      <c r="J91" s="534"/>
      <c r="K91" s="534"/>
      <c r="L91" s="482"/>
      <c r="M91" s="534"/>
      <c r="N91" s="534"/>
      <c r="O91" s="482"/>
      <c r="P91" s="534"/>
      <c r="Q91" s="534"/>
      <c r="R91" s="482"/>
      <c r="S91" s="534"/>
      <c r="T91" s="534"/>
      <c r="U91" s="482"/>
      <c r="V91" s="534"/>
      <c r="W91" s="534"/>
      <c r="X91" s="482"/>
      <c r="Y91" s="534"/>
      <c r="Z91" s="534"/>
      <c r="AA91" s="482"/>
      <c r="AB91" s="534"/>
      <c r="AC91" s="534"/>
      <c r="AD91" s="482"/>
      <c r="AE91" s="534"/>
      <c r="AF91" s="534"/>
      <c r="AG91" s="482"/>
      <c r="AH91" s="534"/>
      <c r="AI91" s="534"/>
      <c r="AJ91" s="482"/>
      <c r="AK91" s="534"/>
      <c r="AL91" s="534"/>
      <c r="AM91" s="482"/>
      <c r="AN91" s="534"/>
      <c r="AO91" s="534"/>
      <c r="AP91" s="482"/>
      <c r="AQ91" s="482"/>
      <c r="AR91" s="482">
        <f>+((AP90+AP411)/AP400)*100</f>
        <v>12.095518818428001</v>
      </c>
      <c r="AS91" s="509">
        <f t="shared" si="345"/>
        <v>-1.4704944300576059</v>
      </c>
      <c r="AT91" s="482">
        <f>+((AR90+AR411)/AR400)*100</f>
        <v>10.625024388370395</v>
      </c>
      <c r="AU91" s="482">
        <f>+((AS90+AS411)/AS400)*100</f>
        <v>15.303164252507012</v>
      </c>
      <c r="AV91" s="509">
        <f t="shared" si="346"/>
        <v>-2.3147993322545872</v>
      </c>
      <c r="AW91" s="482">
        <f>+((AU90+AU411)/AU400)*100</f>
        <v>12.988364920252424</v>
      </c>
      <c r="AX91" s="482">
        <f>+((AX90)/AX385)*100</f>
        <v>20.203127140369077</v>
      </c>
      <c r="AY91" s="482">
        <f t="shared" si="347"/>
        <v>26.945630160640235</v>
      </c>
      <c r="AZ91" s="482">
        <f>+((AZ90)/AZ385)*100</f>
        <v>47.148757301009312</v>
      </c>
      <c r="BA91" s="482">
        <f>+((BA90)/BA385)*100</f>
        <v>30.515155928063592</v>
      </c>
      <c r="BB91" s="482">
        <f t="shared" si="348"/>
        <v>29.422527567171144</v>
      </c>
      <c r="BC91" s="482">
        <f>+((BC90)/BC385)*100</f>
        <v>59.937683495234737</v>
      </c>
      <c r="BD91" s="482">
        <f>+((BD90)/BD385)*100</f>
        <v>39.986651379205924</v>
      </c>
      <c r="BE91" s="482">
        <f t="shared" si="349"/>
        <v>43.079785865872168</v>
      </c>
      <c r="BF91" s="482">
        <f>+((BF90)/BF385)*100</f>
        <v>83.066437245078092</v>
      </c>
      <c r="BG91" s="482">
        <f>+((BG90)/BG385)*100</f>
        <v>51.457000737807491</v>
      </c>
      <c r="BH91" s="482">
        <f t="shared" si="350"/>
        <v>58.178192415457374</v>
      </c>
      <c r="BI91" s="482">
        <f>+((BI90)/BI385)*100</f>
        <v>109.63519315326486</v>
      </c>
      <c r="BJ91" s="482">
        <f>+((BJ90)/BJ385)*100</f>
        <v>49.629175160523985</v>
      </c>
      <c r="BK91" s="482">
        <f t="shared" si="351"/>
        <v>16.15533045589973</v>
      </c>
      <c r="BL91" s="482">
        <f>+((35.63)/BL385)*100</f>
        <v>65.784505616423715</v>
      </c>
      <c r="BM91" s="482">
        <f>+((BM90)/BM385)*100</f>
        <v>54.401921358066929</v>
      </c>
      <c r="BN91" s="482">
        <f t="shared" si="352"/>
        <v>53.559997850879469</v>
      </c>
      <c r="BO91" s="482">
        <f>+((BO90)/BO385)*100</f>
        <v>107.9619192089464</v>
      </c>
      <c r="BP91" s="482">
        <f>+((BP90)/BP385)*100</f>
        <v>79.408526580319034</v>
      </c>
      <c r="BQ91" s="482">
        <f t="shared" si="382"/>
        <v>68.356434225002943</v>
      </c>
      <c r="BR91" s="482">
        <f>+((BR90)/BR385)*100</f>
        <v>147.76496080532198</v>
      </c>
      <c r="BS91" s="482">
        <f>+((BS90)/BS385)*100</f>
        <v>89.176507094482929</v>
      </c>
      <c r="BT91" s="482">
        <f t="shared" si="353"/>
        <v>93.809124117404195</v>
      </c>
      <c r="BU91" s="482">
        <f>+((BU90)/BU385)*100</f>
        <v>182.98563121188712</v>
      </c>
      <c r="BV91" s="482">
        <f>+((BV90)/BV385)*100</f>
        <v>102.67902489714211</v>
      </c>
      <c r="BW91" s="482">
        <f t="shared" si="354"/>
        <v>104.49122977337552</v>
      </c>
      <c r="BX91" s="482">
        <f>+((BX90)/BX385)*100</f>
        <v>207.17025467051764</v>
      </c>
      <c r="BY91" s="482">
        <f>+((BY90)/BY385)*100</f>
        <v>125.46101352284806</v>
      </c>
      <c r="BZ91" s="482">
        <f t="shared" si="355"/>
        <v>107.43094132679862</v>
      </c>
      <c r="CA91" s="482">
        <f>+((CA90)/CA385)*100</f>
        <v>232.89195484964668</v>
      </c>
      <c r="CB91" s="482">
        <f>+((CB90)/CB385)*100</f>
        <v>134.04276043685184</v>
      </c>
      <c r="CC91" s="482">
        <f t="shared" si="356"/>
        <v>141.97560701000248</v>
      </c>
      <c r="CD91" s="482">
        <f>+((CD90)/CD385)*100</f>
        <v>276.01836744685431</v>
      </c>
      <c r="CE91" s="482">
        <f>+((CE90)/CE385)*100</f>
        <v>146.6909062622027</v>
      </c>
      <c r="CF91" s="482">
        <f t="shared" si="357"/>
        <v>173.42268061823393</v>
      </c>
      <c r="CG91" s="482">
        <f>+((CG90)/CG385)*100</f>
        <v>320.11358688043663</v>
      </c>
      <c r="CH91" s="482">
        <f>+((CH90)/CH385)*100</f>
        <v>141.15381634237733</v>
      </c>
      <c r="CI91" s="482">
        <f t="shared" si="358"/>
        <v>136.55842220586604</v>
      </c>
      <c r="CJ91" s="482">
        <f>+((CJ90)/CJ385)*100</f>
        <v>277.71223854824336</v>
      </c>
      <c r="CK91" s="482">
        <f>+((CK90)/CK385)*100</f>
        <v>136.56596720883465</v>
      </c>
      <c r="CL91" s="482">
        <f t="shared" si="359"/>
        <v>96.449311100399996</v>
      </c>
      <c r="CM91" s="482">
        <f>+((CM90)/CM385)*100</f>
        <v>233.01527830923465</v>
      </c>
      <c r="CN91" s="482">
        <f>+((CN90)/CN385)*100</f>
        <v>64.629601587228521</v>
      </c>
      <c r="CO91" s="482">
        <f t="shared" si="360"/>
        <v>127.79789741135407</v>
      </c>
      <c r="CP91" s="482">
        <f>+((CP90)/CP385)*100</f>
        <v>192.42749899858259</v>
      </c>
      <c r="CQ91" s="482">
        <f>+((CQ90)/CQ385)*100</f>
        <v>125.33969251763217</v>
      </c>
      <c r="CR91" s="482">
        <f t="shared" si="361"/>
        <v>130.97254105578355</v>
      </c>
      <c r="CS91" s="482">
        <f>+((CS90)/CS385)*100</f>
        <v>256.31223357341571</v>
      </c>
      <c r="CT91" s="482">
        <f>+((CT90)/CT385)*100</f>
        <v>165.09392637014196</v>
      </c>
      <c r="CU91" s="482">
        <f t="shared" si="362"/>
        <v>165.19179199154888</v>
      </c>
      <c r="CV91" s="482">
        <f>+((CV90)/CV385)*100</f>
        <v>330.28571836169084</v>
      </c>
      <c r="CW91" s="482">
        <f>+((CW90)/CW385)*100</f>
        <v>194.70432346821806</v>
      </c>
      <c r="CX91" s="482">
        <f t="shared" si="363"/>
        <v>196.23776977270197</v>
      </c>
      <c r="CY91" s="482">
        <f>+((CY90)/CY385)*100</f>
        <v>390.94209324092003</v>
      </c>
      <c r="CZ91" s="482">
        <f>+((CZ90)/CZ385)*100</f>
        <v>192.66842058688505</v>
      </c>
      <c r="DA91" s="482">
        <f t="shared" si="364"/>
        <v>234.45462247538907</v>
      </c>
      <c r="DB91" s="482">
        <f>+((DB90)/DB385)*100</f>
        <v>427.12304306227412</v>
      </c>
      <c r="DC91" s="482">
        <f>+((DC90)/DC385)*100</f>
        <v>223.02742947759086</v>
      </c>
      <c r="DD91" s="482">
        <f t="shared" si="365"/>
        <v>237.67813685230678</v>
      </c>
      <c r="DE91" s="482">
        <f>+((DE90)/DE385)*100</f>
        <v>460.70556632989764</v>
      </c>
      <c r="DF91" s="482">
        <f>+((DF90)/DF385)*100</f>
        <v>229.6251899144809</v>
      </c>
      <c r="DG91" s="482">
        <f t="shared" si="366"/>
        <v>-592.40403752364648</v>
      </c>
      <c r="DH91" s="1244">
        <f>+((DH90)/DH385)*100</f>
        <v>-362.77884760916561</v>
      </c>
      <c r="DI91" s="482">
        <f>+((DI90)/DI385)*100</f>
        <v>190.4802623786114</v>
      </c>
      <c r="DJ91" s="482">
        <f t="shared" si="367"/>
        <v>171.4230561225622</v>
      </c>
      <c r="DK91" s="1244">
        <f>+((DK90)/DK385)*100</f>
        <v>361.9033185011736</v>
      </c>
      <c r="DL91" s="482">
        <f>+((DL90)/DL385)*100</f>
        <v>245.32540604137301</v>
      </c>
      <c r="DM91" s="482">
        <f t="shared" si="368"/>
        <v>198.7924114281804</v>
      </c>
      <c r="DN91" s="1244">
        <f>+((DN90)/DN385)*100</f>
        <v>444.11781746955342</v>
      </c>
      <c r="DO91" s="482">
        <f>+((DO90)/DO385)*100</f>
        <v>233.72120198372048</v>
      </c>
      <c r="DP91" s="482">
        <f t="shared" si="369"/>
        <v>272.05260613247287</v>
      </c>
      <c r="DQ91" s="1244">
        <f>+((DQ90)/DQ385)*100</f>
        <v>505.77380811619338</v>
      </c>
      <c r="DR91" s="482">
        <f>+((DR90)/DR398)*100</f>
        <v>309.90721137933372</v>
      </c>
      <c r="DS91" s="482">
        <f t="shared" si="370"/>
        <v>310.61313679921204</v>
      </c>
      <c r="DT91" s="1244">
        <f>+((DT90)/DT398)*100</f>
        <v>620.52034817854576</v>
      </c>
      <c r="DU91" s="482">
        <f>+((DU90)/DU398)*100</f>
        <v>325.64253215451407</v>
      </c>
      <c r="DV91" s="482">
        <f t="shared" si="371"/>
        <v>307.36143405454578</v>
      </c>
      <c r="DW91" s="1244">
        <f>+((DW90)/DW398)*100</f>
        <v>633.00396620905985</v>
      </c>
      <c r="DX91" s="482">
        <f>+((DX90)/DX398)*100</f>
        <v>297.23648044358674</v>
      </c>
      <c r="DY91" s="482">
        <f t="shared" si="372"/>
        <v>332.70769702407233</v>
      </c>
      <c r="DZ91" s="1244">
        <f>+((DZ90)/DZ398)*100</f>
        <v>629.94417746765907</v>
      </c>
      <c r="EA91" s="482">
        <f>+((EA90)/EA398)*100</f>
        <v>359.16011461707569</v>
      </c>
      <c r="EB91" s="482">
        <f t="shared" si="373"/>
        <v>371.47756690191261</v>
      </c>
      <c r="EC91" s="1244">
        <f>+((EC90)/EC398)*100</f>
        <v>730.6376815189883</v>
      </c>
      <c r="ED91" s="482">
        <f>+((ED90)/ED398)*100</f>
        <v>402.12966941587587</v>
      </c>
      <c r="EE91" s="482">
        <f t="shared" si="374"/>
        <v>416.12550047080316</v>
      </c>
      <c r="EF91" s="1244">
        <f>+((EF90)/EF398)*100</f>
        <v>818.25516988667903</v>
      </c>
      <c r="EG91" s="482">
        <f>+((EG90)/EG398)*100</f>
        <v>449.69066891877628</v>
      </c>
      <c r="EH91" s="482">
        <f t="shared" si="375"/>
        <v>463.75693900265867</v>
      </c>
      <c r="EI91" s="1244">
        <f>+((EI90)/EI398)*100</f>
        <v>913.44760792143495</v>
      </c>
      <c r="EJ91" s="482">
        <f>+((EJ90)/EJ398)*100</f>
        <v>495.90128661072947</v>
      </c>
      <c r="EK91" s="482">
        <f t="shared" si="376"/>
        <v>511.39489131622554</v>
      </c>
      <c r="EL91" s="1244">
        <f>+((EL90)/EL398)*100</f>
        <v>1007.296177926955</v>
      </c>
      <c r="EM91" s="482">
        <f>+((EM90)/EM398)*100</f>
        <v>544.40366384288927</v>
      </c>
      <c r="EN91" s="482">
        <f t="shared" si="377"/>
        <v>561.3620504288117</v>
      </c>
      <c r="EO91" s="1244">
        <f>+((EO90)/EO398)*100</f>
        <v>1105.765714271701</v>
      </c>
      <c r="EP91" s="482">
        <f>+((EP90)/EP398)*100</f>
        <v>596.02925258385483</v>
      </c>
      <c r="EQ91" s="482">
        <f t="shared" si="378"/>
        <v>614.51389396251068</v>
      </c>
      <c r="ER91" s="1244">
        <f>+((ER90)/ER398)*100</f>
        <v>1210.5431465463655</v>
      </c>
      <c r="ES91" s="482">
        <f>+((ES90)/ES398)*100</f>
        <v>652.39505297362905</v>
      </c>
      <c r="ET91" s="482">
        <f t="shared" si="379"/>
        <v>672.5433120763638</v>
      </c>
      <c r="EU91" s="1244">
        <f>+((EU90)/EU398)*100</f>
        <v>1324.9383650499929</v>
      </c>
      <c r="EV91" s="482">
        <f>+((EV90)/EV398)*100</f>
        <v>713.93843720786845</v>
      </c>
      <c r="EW91" s="482">
        <f t="shared" si="380"/>
        <v>735.90003962984929</v>
      </c>
      <c r="EX91" s="1244">
        <f>+((EX90)/EX398)*100</f>
        <v>1449.8384768377177</v>
      </c>
      <c r="EY91" s="482">
        <f>+((EY90)/EY398)*100</f>
        <v>781.13869898106316</v>
      </c>
      <c r="EZ91" s="482">
        <f t="shared" si="381"/>
        <v>805.07684562102247</v>
      </c>
      <c r="FA91" s="1244">
        <f>+((FA90)/FA398)*100</f>
        <v>1586.2155446020856</v>
      </c>
      <c r="FE91"/>
      <c r="FF91"/>
      <c r="FG91"/>
      <c r="FH91"/>
      <c r="FI91"/>
      <c r="FJ91"/>
      <c r="FK91" s="35"/>
    </row>
    <row r="92" spans="2:167" s="236" customFormat="1" ht="13.35" customHeight="1" outlineLevel="1">
      <c r="B92" s="242" t="s">
        <v>734</v>
      </c>
      <c r="C92" s="242" t="s">
        <v>496</v>
      </c>
      <c r="D92" s="243"/>
      <c r="E92" s="535">
        <f>+E94+E96+E98+E100+E102+E104+E106+E108+E110+E112</f>
        <v>0</v>
      </c>
      <c r="F92" s="510">
        <f t="shared" ref="F92:F139" si="383">+G92-E92</f>
        <v>0</v>
      </c>
      <c r="G92" s="536">
        <f>+G94+G96+G98+G100+G102+G104+G106+G108+G110+G112</f>
        <v>0</v>
      </c>
      <c r="H92" s="537">
        <f>+H94+H96+H98+H100+H102+H104+H106+H108+H110+H112</f>
        <v>0</v>
      </c>
      <c r="I92" s="510">
        <f t="shared" ref="I92:I139" si="384">+J92-H92</f>
        <v>0</v>
      </c>
      <c r="J92" s="536">
        <f>+J94+J96+J98+J100+J102+J104+J106+J108+J110+J112</f>
        <v>0</v>
      </c>
      <c r="K92" s="537">
        <f>+K94+K96+K98+K100+K102+K104+K106+K108+K110+K112</f>
        <v>0</v>
      </c>
      <c r="L92" s="510">
        <f t="shared" ref="L92:L139" si="385">+M92-K92</f>
        <v>0</v>
      </c>
      <c r="M92" s="536">
        <f>+M94+M96+M98+M100+M102+M104+M106+M108+M110+M112</f>
        <v>0</v>
      </c>
      <c r="N92" s="537">
        <f>+N94+N96+N98+N100+N102+N104+N106+N108+N110+N112</f>
        <v>0</v>
      </c>
      <c r="O92" s="510">
        <f t="shared" ref="O92:O139" si="386">+P92-N92</f>
        <v>0</v>
      </c>
      <c r="P92" s="536">
        <f>+P94+P96+P98+P100+P102+P104+P106+P108+P110+P112</f>
        <v>0</v>
      </c>
      <c r="Q92" s="537">
        <f>+Q94+Q96+Q98+Q100+Q102+Q104+Q106+Q108+Q110+Q112</f>
        <v>0</v>
      </c>
      <c r="R92" s="510">
        <f t="shared" ref="R92:R139" si="387">+S92-Q92</f>
        <v>0</v>
      </c>
      <c r="S92" s="536">
        <f>+S94+S96+S98+S100+S102+S104+S106+S108+S110+S112</f>
        <v>0</v>
      </c>
      <c r="T92" s="537">
        <f>+T94+T96+T98+T100+T102+T104+T106+T108+T110+T112</f>
        <v>0</v>
      </c>
      <c r="U92" s="510">
        <f t="shared" ref="U92:U139" si="388">+V92-T92</f>
        <v>0</v>
      </c>
      <c r="V92" s="536">
        <f>+V94+V96+V98+V100+V102+V104+V106+V108+V110+V112</f>
        <v>0</v>
      </c>
      <c r="W92" s="537">
        <f>+W94+W96+W98+W100+W102+W104+W106+W108+W110+W112</f>
        <v>0</v>
      </c>
      <c r="X92" s="510">
        <f t="shared" ref="X92:X139" si="389">+Y92-W92</f>
        <v>0</v>
      </c>
      <c r="Y92" s="536">
        <f>+Y94+Y96+Y98+Y100+Y102+Y104+Y106+Y108+Y110+Y112</f>
        <v>0</v>
      </c>
      <c r="Z92" s="537">
        <f>+Z94+Z96+Z98+Z100+Z102+Z104+Z106+Z108+Z110+Z112</f>
        <v>0</v>
      </c>
      <c r="AA92" s="510">
        <f t="shared" ref="AA92:AA139" si="390">+AB92-Z92</f>
        <v>0</v>
      </c>
      <c r="AB92" s="536">
        <f>+AB94+AB96+AB98+AB100+AB102+AB104+AB106+AB108+AB110+AB112</f>
        <v>0</v>
      </c>
      <c r="AC92" s="537">
        <f>+AC94+AC96+AC98+AC100+AC102+AC104+AC106+AC108+AC110+AC112</f>
        <v>0</v>
      </c>
      <c r="AD92" s="510">
        <f t="shared" ref="AD92:AD139" si="391">+AE92-AC92</f>
        <v>0</v>
      </c>
      <c r="AE92" s="536">
        <f>+AE94+AE96+AE98+AE100+AE102+AE104+AE106+AE108+AE110+AE112</f>
        <v>0</v>
      </c>
      <c r="AF92" s="537">
        <f>+AF94+AF96+AF98+AF100+AF102+AF104+AF106+AF108+AF110+AF112</f>
        <v>0</v>
      </c>
      <c r="AG92" s="510">
        <f t="shared" ref="AG92:AG139" si="392">+AH92-AF92</f>
        <v>0</v>
      </c>
      <c r="AH92" s="536">
        <f>+AH94+AH96+AH98+AH100+AH102+AH104+AH106+AH108+AH110+AH112</f>
        <v>0</v>
      </c>
      <c r="AI92" s="537">
        <f>+AI94+AI96+AI98+AI100+AI102+AI104+AI106+AI108+AI110+AI112</f>
        <v>0</v>
      </c>
      <c r="AJ92" s="510">
        <f t="shared" ref="AJ92:AJ139" si="393">+AK92-AI92</f>
        <v>0</v>
      </c>
      <c r="AK92" s="536">
        <f>+AK94+AK96+AK98+AK100+AK102+AK104+AK106+AK108+AK110+AK112</f>
        <v>0</v>
      </c>
      <c r="AL92" s="537">
        <f>+AL94+AL96+AL98+AL100+AL102+AL104+AL106+AL108+AL110+AL112</f>
        <v>0</v>
      </c>
      <c r="AM92" s="510">
        <f t="shared" ref="AM92:AM139" si="394">+AN92-AL92</f>
        <v>0</v>
      </c>
      <c r="AN92" s="536">
        <f>+AN94+AN96+AN98+AN100+AN102+AN104+AN106+AN108+AN110+AN112</f>
        <v>0</v>
      </c>
      <c r="AO92" s="537">
        <f>+AO94+AO96+AO98+AO100+AO102+AO104+AO106+AO108+AO110+AO112</f>
        <v>0</v>
      </c>
      <c r="AP92" s="510">
        <f t="shared" ref="AP92:AP139" si="395">+AQ92-AO92</f>
        <v>0</v>
      </c>
      <c r="AQ92" s="536">
        <f>+AQ94+AQ96+AQ98+AQ100+AQ102+AQ104+AQ106+AQ108+AQ110+AQ112</f>
        <v>0</v>
      </c>
      <c r="AR92" s="537">
        <f>+AR94+AR96+AR98+AR100+AR102+AR104+AR106+AR108+AR110+AR112</f>
        <v>0</v>
      </c>
      <c r="AS92" s="510">
        <f t="shared" ref="AS92:AS139" si="396">+AT92-AR92</f>
        <v>0</v>
      </c>
      <c r="AT92" s="536">
        <f>+AT94+AT96+AT98+AT100+AT102+AT104+AT106+AT108+AT110+AT112</f>
        <v>0</v>
      </c>
      <c r="AU92" s="537">
        <f>+AU94+AU96+AU98+AU100+AU102+AU104+AU106+AU108+AU110+AU112</f>
        <v>0</v>
      </c>
      <c r="AV92" s="510">
        <f t="shared" ref="AV92:AV139" si="397">+AW92-AU92</f>
        <v>0</v>
      </c>
      <c r="AW92" s="536">
        <f>+AW94+AW96+AW98+AW100+AW102+AW104+AW106+AW108+AW110+AW112</f>
        <v>0</v>
      </c>
      <c r="AX92" s="537">
        <f>+AX94+AX96+AX98+AX100+AX102+AX104+AX106+AX108+AX110+AX112</f>
        <v>0</v>
      </c>
      <c r="AY92" s="482">
        <f t="shared" ref="AY92:AY140" si="398">+AZ92-AX92</f>
        <v>-4.3869999999999996</v>
      </c>
      <c r="AZ92" s="536">
        <f>+AZ94+AZ96+AZ98+AZ100+AZ102+AZ104+AZ106+AZ108+AZ110+AZ112</f>
        <v>-4.3869999999999996</v>
      </c>
      <c r="BA92" s="537">
        <f>+BA94+BA96+BA98+BA100+BA102+BA104+BA106+BA108+BA110+BA112</f>
        <v>0</v>
      </c>
      <c r="BB92" s="510">
        <f t="shared" ref="BB92:BB140" si="399">+BC92-BA92</f>
        <v>0</v>
      </c>
      <c r="BC92" s="536">
        <f>+BC94+BC96+BC98+BC100+BC102+BC104+BC106+BC108+BC110+BC112</f>
        <v>0</v>
      </c>
      <c r="BD92" s="537">
        <f>+BD94+BD96+BD98+BD100+BD102+BD104+BD106+BD108+BD110+BD112</f>
        <v>-4.3</v>
      </c>
      <c r="BE92" s="510">
        <f t="shared" ref="BE92:BE140" si="400">+BF92-BD92</f>
        <v>0</v>
      </c>
      <c r="BF92" s="536">
        <f>+BF94+BF96+BF98+BF100+BF102+BF104+BF106+BF108+BF110+BF112</f>
        <v>-4.3</v>
      </c>
      <c r="BG92" s="537">
        <f>+BG94+BG96+BG98+BG100+BG102+BG104+BG106+BG108+BG110+BG112</f>
        <v>0</v>
      </c>
      <c r="BH92" s="510">
        <f t="shared" ref="BH92:BH140" si="401">+BI92-BG92</f>
        <v>0</v>
      </c>
      <c r="BI92" s="536">
        <f>+BI94+BI96+BI98+BI100+BI102+BI104+BI106+BI108+BI110+BI112</f>
        <v>0</v>
      </c>
      <c r="BJ92" s="537">
        <f>+BJ94+BJ96+BJ98+BJ100+BJ102+BJ104+BJ106+BJ108+BJ110+BJ112</f>
        <v>0</v>
      </c>
      <c r="BK92" s="510">
        <f t="shared" ref="BK92:BK140" si="402">+BL92-BJ92</f>
        <v>0</v>
      </c>
      <c r="BL92" s="536">
        <f>+BL94+BL96+BL98+BL100+BL102+BL104+BL106+BL108+BL110+BL112</f>
        <v>0</v>
      </c>
      <c r="BM92" s="537">
        <f>+BM94+BM96+BM98+BM100+BM102+BM104+BM106+BM108+BM110+BM112</f>
        <v>0</v>
      </c>
      <c r="BN92" s="510">
        <f t="shared" ref="BN92:BN140" si="403">+BO92-BM92</f>
        <v>0</v>
      </c>
      <c r="BO92" s="535">
        <f>+BO94+BO96+BO98+BO100+BO102+BO104+BO106+BO108+BO110+BO112</f>
        <v>0</v>
      </c>
      <c r="BP92" s="537">
        <f>+BP94+BP96+BP98+BP100+BP102+BP104+BP106+BP108+BP110+BP112</f>
        <v>0</v>
      </c>
      <c r="BQ92" s="510">
        <f t="shared" ref="BQ92:BQ140" si="404">+BR92-BP92</f>
        <v>0</v>
      </c>
      <c r="BR92" s="535">
        <f>+BR94+BR96+BR98+BR100+BR102+BR104+BR106+BR108+BR110+BR112</f>
        <v>0</v>
      </c>
      <c r="BS92" s="537">
        <f>+BS94+BS96+BS98+BS100+BS102+BS104+BS106+BS108+BS110+BS112</f>
        <v>0</v>
      </c>
      <c r="BT92" s="510">
        <f t="shared" ref="BT92:BT140" si="405">+BU92-BS92</f>
        <v>0</v>
      </c>
      <c r="BU92" s="535">
        <f>+BU94+BU96+BU98+BU100+BU102+BU104+BU106+BU108+BU110+BU112</f>
        <v>0</v>
      </c>
      <c r="BV92" s="537">
        <f>+BV94+BV96+BV98+BV100+BV102+BV104+BV106+BV108+BV110+BV112</f>
        <v>0</v>
      </c>
      <c r="BW92" s="510">
        <f t="shared" ref="BW92:BW140" si="406">+BX92-BV92</f>
        <v>0</v>
      </c>
      <c r="BX92" s="535">
        <f>+BX94+BX96+BX98+BX100+BX102+BX104+BX106+BX108+BX110+BX112</f>
        <v>0</v>
      </c>
      <c r="BY92" s="537">
        <f>+BY94+BY96+BY98+BY100+BY102+BY104+BY106+BY108+BY110+BY112</f>
        <v>0</v>
      </c>
      <c r="BZ92" s="510">
        <f t="shared" ref="BZ92:BZ140" si="407">+CA92-BY92</f>
        <v>0</v>
      </c>
      <c r="CA92" s="535">
        <f>+CA94+CA96+CA98+CA100+CA102+CA104+CA106+CA108+CA110+CA112</f>
        <v>0</v>
      </c>
      <c r="CB92" s="537">
        <f>+CB94+CB96+CB98+CB100+CB102+CB104+CB106+CB108+CB110+CB112</f>
        <v>0</v>
      </c>
      <c r="CC92" s="510">
        <f t="shared" ref="CC92:CC140" si="408">+CD92-CB92</f>
        <v>0</v>
      </c>
      <c r="CD92" s="535">
        <f>+CD94+CD96+CD98+CD100+CD102+CD104+CD106+CD108+CD110+CD112</f>
        <v>0</v>
      </c>
      <c r="CE92" s="537">
        <f>+CE94+CE96+CE98+CE100+CE102+CE104+CE106+CE108+CE110+CE112</f>
        <v>6.13</v>
      </c>
      <c r="CF92" s="510">
        <f t="shared" ref="CF92:CF140" si="409">+CG92-CE92</f>
        <v>0</v>
      </c>
      <c r="CG92" s="535">
        <f>+CG94+CG96+CG98+CG100+CG102+CG104+CG106+CG108+CG110+CG112</f>
        <v>6.13</v>
      </c>
      <c r="CH92" s="537">
        <f>+CH94+CH96+CH98+CH100+CH102+CH104+CH106+CH108+CH110+CH112</f>
        <v>-138.83500000000001</v>
      </c>
      <c r="CI92" s="510">
        <f t="shared" ref="CI92:CI140" si="410">+CJ92-CH92</f>
        <v>0</v>
      </c>
      <c r="CJ92" s="535">
        <f>+CJ94+CJ96+CJ98+CJ100+CJ102+CJ104+CJ106+CJ108+CJ110+CJ112</f>
        <v>-138.83500000000001</v>
      </c>
      <c r="CK92" s="537">
        <f>+CK94+CK96+CK98+CK100+CK102+CK104+CK106+CK108+CK110+CK112</f>
        <v>0</v>
      </c>
      <c r="CL92" s="510">
        <f t="shared" ref="CL92:CL140" si="411">+CM92-CK92</f>
        <v>0</v>
      </c>
      <c r="CM92" s="535">
        <f>+CM94+CM96+CM98+CM100+CM102+CM104+CM106+CM108+CM110+CM112</f>
        <v>0</v>
      </c>
      <c r="CN92" s="537">
        <f>+CN94+CN96+CN98+CN100+CN102+CN104+CN106+CN108+CN110+CN112</f>
        <v>-22.545000000000002</v>
      </c>
      <c r="CO92" s="510">
        <f t="shared" ref="CO92:CO140" si="412">+CP92-CN92</f>
        <v>0</v>
      </c>
      <c r="CP92" s="535">
        <f>+CP94+CP96+CP98+CP100+CP102+CP104+CP106+CP108+CP110+CP112</f>
        <v>-22.545000000000002</v>
      </c>
      <c r="CQ92" s="537">
        <f>+CQ94+CQ96+CQ98+CQ100+CQ102+CQ104+CQ106+CQ108+CQ110+CQ112</f>
        <v>0</v>
      </c>
      <c r="CR92" s="510">
        <f t="shared" ref="CR92:CR140" si="413">+CS92-CQ92</f>
        <v>0</v>
      </c>
      <c r="CS92" s="535">
        <f>+CS94+CS96+CS98+CS100+CS102+CS104+CS106+CS108+CS110+CS112</f>
        <v>0</v>
      </c>
      <c r="CT92" s="537">
        <f>+CT94+CT96+CT98+CT100+CT102+CT104+CT106+CT108+CT110+CT112</f>
        <v>0</v>
      </c>
      <c r="CU92" s="510">
        <f t="shared" ref="CU92:CU140" si="414">+CV92-CT92</f>
        <v>0</v>
      </c>
      <c r="CV92" s="535">
        <f>+CV94+CV96+CV98+CV100+CV102+CV104+CV106+CV108+CV110+CV112</f>
        <v>0</v>
      </c>
      <c r="CW92" s="537">
        <f>+CW94+CW96+CW98+CW100+CW102+CW104+CW106+CW108+CW110+CW112</f>
        <v>0</v>
      </c>
      <c r="CX92" s="510">
        <f t="shared" ref="CX92:CX140" si="415">+CY92-CW92</f>
        <v>0</v>
      </c>
      <c r="CY92" s="535">
        <f>+CY94+CY96+CY98+CY100+CY102+CY104+CY106+CY108+CY110+CY112</f>
        <v>0</v>
      </c>
      <c r="CZ92" s="537">
        <f>+CZ94+CZ96+CZ98+CZ100+CZ102+CZ104+CZ106+CZ108+CZ110+CZ112</f>
        <v>0</v>
      </c>
      <c r="DA92" s="510">
        <f t="shared" ref="DA92:DA140" si="416">+DB92-CZ92</f>
        <v>0</v>
      </c>
      <c r="DB92" s="535">
        <f>+DB94+DB96+DB98+DB100+DB102+DB104+DB106+DB108+DB110+DB112</f>
        <v>0</v>
      </c>
      <c r="DC92" s="537">
        <f>+DC94+DC96+DC98+DC100+DC102+DC104+DC106+DC108+DC110+DC112</f>
        <v>0</v>
      </c>
      <c r="DD92" s="510">
        <f t="shared" ref="DD92:DD140" si="417">+DE92-DC92</f>
        <v>0</v>
      </c>
      <c r="DE92" s="535">
        <f>+DE94+DE96+DE98+DE100+DE102+DE104+DE106+DE108+DE110+DE112</f>
        <v>0</v>
      </c>
      <c r="DF92" s="537">
        <f>+DF94+DF96+DF98+DF100+DF102+DF104+DF106+DF108+DF110+DF112</f>
        <v>0</v>
      </c>
      <c r="DG92" s="510">
        <f t="shared" si="366"/>
        <v>0</v>
      </c>
      <c r="DH92" s="1268">
        <f>+DH94+DH96+DH98+DH100+DH102+DH104+DH106+DH108+DH110+DH112</f>
        <v>0</v>
      </c>
      <c r="DI92" s="534">
        <f>+DI94+DI96+DI98+DI100+DI102+DI104+DI106+DI108+DI110+DI112</f>
        <v>0</v>
      </c>
      <c r="DJ92" s="482">
        <f t="shared" ref="DJ92:DJ140" si="418">+DK92-DI92</f>
        <v>0</v>
      </c>
      <c r="DK92" s="1262">
        <f>+DK94+DK96+DK98+DK100+DK102+DK104+DK106+DK108+DK110+DK112</f>
        <v>0</v>
      </c>
      <c r="DL92" s="534">
        <f>+DL94+DL96+DL98+DL100+DL102+DL104+DL106+DL108+DL110+DL112</f>
        <v>11.8</v>
      </c>
      <c r="DM92" s="482">
        <f t="shared" si="368"/>
        <v>0.29999999999999893</v>
      </c>
      <c r="DN92" s="1262">
        <f>+DN94+DN96+DN98+DN100+DN102+DN104+DN106+DN108+DN110+DN112</f>
        <v>12.1</v>
      </c>
      <c r="DO92" s="534">
        <f>+DO94+DO96+DO98+DO100+DO102+DO104+DO106+DO108+DO110+DO112</f>
        <v>0</v>
      </c>
      <c r="DP92" s="482">
        <f t="shared" si="369"/>
        <v>-4.5999999999999996</v>
      </c>
      <c r="DQ92" s="1262">
        <f>+DQ94+DQ96+DQ98+DQ100+DQ102+DQ104+DQ106+DQ108+DQ110+DQ112</f>
        <v>-4.5999999999999996</v>
      </c>
      <c r="DR92" s="534">
        <f>+DR94+DR96+DR98+DR100+DR102+DR104+DR106+DR108+DR110+DR112</f>
        <v>-0.4</v>
      </c>
      <c r="DS92" s="482">
        <f t="shared" si="370"/>
        <v>-29.4</v>
      </c>
      <c r="DT92" s="1262">
        <f>+DT94+DT96+DT98+DT100+DT102+DT104+DT106+DT108+DT110+DT112</f>
        <v>-29.799999999999997</v>
      </c>
      <c r="DU92" s="534">
        <f>+DU94+DU96+DU98+DU100+DU102+DU104+DU106+DU108+DU110+DU112</f>
        <v>-8.6</v>
      </c>
      <c r="DV92" s="482">
        <f t="shared" si="371"/>
        <v>-17.790000000000084</v>
      </c>
      <c r="DW92" s="1262">
        <f>+DW94+DW96+DW98+DW100+DW102+DW104+DW106+DW108+DW110+DW112</f>
        <v>-26.390000000000086</v>
      </c>
      <c r="DX92" s="534">
        <f>+DX94+DX96+DX98+DX100+DX102+DX104+DX106+DX108+DX110+DX112</f>
        <v>-33.299999999999997</v>
      </c>
      <c r="DY92" s="482">
        <f t="shared" si="372"/>
        <v>-46.7</v>
      </c>
      <c r="DZ92" s="1262">
        <f>+DZ94+DZ96+DZ98+DZ100+DZ102+DZ104+DZ106+DZ108+DZ110+DZ112</f>
        <v>-80</v>
      </c>
      <c r="EA92" s="534">
        <f>+EA94+EA96+EA98+EA100+EA102+EA104+EA106+EA108+EA110+EA112</f>
        <v>-25</v>
      </c>
      <c r="EB92" s="482">
        <f t="shared" si="373"/>
        <v>-25</v>
      </c>
      <c r="EC92" s="1262">
        <f>+EC94+EC96+EC98+EC100+EC102+EC104+EC106+EC108+EC110+EC112</f>
        <v>-50</v>
      </c>
      <c r="ED92" s="534">
        <f>+ED94+ED96+ED98+ED100+ED102+ED104+ED106+ED108+ED110+ED112</f>
        <v>0</v>
      </c>
      <c r="EE92" s="482">
        <f t="shared" si="374"/>
        <v>0</v>
      </c>
      <c r="EF92" s="1262">
        <f>+EF94+EF96+EF98+EF100+EF102+EF104+EF106+EF108+EF110+EF112</f>
        <v>0</v>
      </c>
      <c r="EG92" s="534">
        <f>+EG94+EG96+EG98+EG100+EG102+EG104+EG106+EG108+EG110+EG112</f>
        <v>0</v>
      </c>
      <c r="EH92" s="482">
        <f t="shared" si="375"/>
        <v>0</v>
      </c>
      <c r="EI92" s="1262">
        <f>+EI94+EI96+EI98+EI100+EI102+EI104+EI106+EI108+EI110+EI112</f>
        <v>0</v>
      </c>
      <c r="EJ92" s="534">
        <f>+EJ94+EJ96+EJ98+EJ100+EJ102+EJ104+EJ106+EJ108+EJ110+EJ112</f>
        <v>0</v>
      </c>
      <c r="EK92" s="482">
        <f t="shared" si="376"/>
        <v>0</v>
      </c>
      <c r="EL92" s="1262">
        <f>+EL94+EL96+EL98+EL100+EL102+EL104+EL106+EL108+EL110+EL112</f>
        <v>0</v>
      </c>
      <c r="EM92" s="534">
        <f>+EM94+EM96+EM98+EM100+EM102+EM104+EM106+EM108+EM110+EM112</f>
        <v>0</v>
      </c>
      <c r="EN92" s="482">
        <f t="shared" si="377"/>
        <v>0</v>
      </c>
      <c r="EO92" s="1262">
        <f>+EO94+EO96+EO98+EO100+EO102+EO104+EO106+EO108+EO110+EO112</f>
        <v>0</v>
      </c>
      <c r="EP92" s="534">
        <f>+EP94+EP96+EP98+EP100+EP102+EP104+EP106+EP108+EP110+EP112</f>
        <v>0</v>
      </c>
      <c r="EQ92" s="482">
        <f t="shared" si="378"/>
        <v>0</v>
      </c>
      <c r="ER92" s="1262">
        <f>+ER94+ER96+ER98+ER100+ER102+ER104+ER106+ER108+ER110+ER112</f>
        <v>0</v>
      </c>
      <c r="ES92" s="534">
        <f>+ES94+ES96+ES98+ES100+ES102+ES104+ES106+ES108+ES110+ES112</f>
        <v>0</v>
      </c>
      <c r="ET92" s="482">
        <f t="shared" si="379"/>
        <v>0</v>
      </c>
      <c r="EU92" s="1262">
        <f>+EU94+EU96+EU98+EU100+EU102+EU104+EU106+EU108+EU110+EU112</f>
        <v>0</v>
      </c>
      <c r="EV92" s="534">
        <f>+EV94+EV96+EV98+EV100+EV102+EV104+EV106+EV108+EV110+EV112</f>
        <v>0</v>
      </c>
      <c r="EW92" s="482">
        <f t="shared" si="380"/>
        <v>0</v>
      </c>
      <c r="EX92" s="1262">
        <f>+EX94+EX96+EX98+EX100+EX102+EX104+EX106+EX108+EX110+EX112</f>
        <v>0</v>
      </c>
      <c r="EY92" s="534">
        <f>+EY94+EY96+EY98+EY100+EY102+EY104+EY106+EY108+EY110+EY112</f>
        <v>0</v>
      </c>
      <c r="EZ92" s="482">
        <f t="shared" si="381"/>
        <v>0</v>
      </c>
      <c r="FA92" s="1262">
        <f>+FA94+FA96+FA98+FA100+FA102+FA104+FA106+FA108+FA110+FA112</f>
        <v>0</v>
      </c>
      <c r="FE92"/>
      <c r="FF92"/>
      <c r="FG92"/>
      <c r="FH92"/>
      <c r="FI92"/>
      <c r="FJ92"/>
      <c r="FK92" s="35"/>
    </row>
    <row r="93" spans="2:167" s="236" customFormat="1" ht="13.35" customHeight="1" outlineLevel="1" thickBot="1">
      <c r="B93" s="242" t="s">
        <v>735</v>
      </c>
      <c r="C93" s="242" t="s">
        <v>496</v>
      </c>
      <c r="D93" s="243"/>
      <c r="E93" s="540">
        <f>+E95+E97+E99+E101+E103+E105+E107+E109+E111+E113</f>
        <v>0</v>
      </c>
      <c r="F93" s="482">
        <f t="shared" si="383"/>
        <v>0</v>
      </c>
      <c r="G93" s="541">
        <f>+G95+G97+G99+G101+G103+G105+G107+G109+G111+G113</f>
        <v>0</v>
      </c>
      <c r="H93" s="542">
        <f>+H95+H97+H99+H101+H103+H105+H107+H109+H111+H113</f>
        <v>0</v>
      </c>
      <c r="I93" s="482">
        <f t="shared" si="384"/>
        <v>0</v>
      </c>
      <c r="J93" s="541">
        <f>+J95+J97+J99+J101+J103+J105+J107+J109+J111+J113</f>
        <v>0</v>
      </c>
      <c r="K93" s="542">
        <f>+K95+K97+K99+K101+K103+K105+K107+K109+K111+K113</f>
        <v>0</v>
      </c>
      <c r="L93" s="482">
        <f t="shared" si="385"/>
        <v>0</v>
      </c>
      <c r="M93" s="541">
        <f>+M95+M97+M99+M101+M103+M105+M107+M109+M111+M113</f>
        <v>0</v>
      </c>
      <c r="N93" s="542">
        <f>+N95+N97+N99+N101+N103+N105+N107+N109+N111+N113</f>
        <v>0</v>
      </c>
      <c r="O93" s="482">
        <f t="shared" si="386"/>
        <v>0</v>
      </c>
      <c r="P93" s="541">
        <f>+P95+P97+P99+P101+P103+P105+P107+P109+P111+P113</f>
        <v>0</v>
      </c>
      <c r="Q93" s="542">
        <f>+Q95+Q97+Q99+Q101+Q103+Q105+Q107+Q109+Q111+Q113</f>
        <v>0</v>
      </c>
      <c r="R93" s="482">
        <f t="shared" si="387"/>
        <v>0</v>
      </c>
      <c r="S93" s="541">
        <f>+S95+S97+S99+S101+S103+S105+S107+S109+S111+S113</f>
        <v>0</v>
      </c>
      <c r="T93" s="542">
        <f>+T95+T97+T99+T101+T103+T105+T107+T109+T111+T113</f>
        <v>0</v>
      </c>
      <c r="U93" s="482">
        <f t="shared" si="388"/>
        <v>0</v>
      </c>
      <c r="V93" s="541">
        <f>+V95+V97+V99+V101+V103+V105+V107+V109+V111+V113</f>
        <v>0</v>
      </c>
      <c r="W93" s="542">
        <f>+W95+W97+W99+W101+W103+W105+W107+W109+W111+W113</f>
        <v>0</v>
      </c>
      <c r="X93" s="482">
        <f t="shared" si="389"/>
        <v>0</v>
      </c>
      <c r="Y93" s="541">
        <f>+Y95+Y97+Y99+Y101+Y103+Y105+Y107+Y109+Y111+Y113</f>
        <v>0</v>
      </c>
      <c r="Z93" s="542">
        <f>+Z95+Z97+Z99+Z101+Z103+Z105+Z107+Z109+Z111+Z113</f>
        <v>0</v>
      </c>
      <c r="AA93" s="482">
        <f t="shared" si="390"/>
        <v>0</v>
      </c>
      <c r="AB93" s="541">
        <f>+AB95+AB97+AB99+AB101+AB103+AB105+AB107+AB109+AB111+AB113</f>
        <v>0</v>
      </c>
      <c r="AC93" s="542">
        <f>+AC95+AC97+AC99+AC101+AC103+AC105+AC107+AC109+AC111+AC113</f>
        <v>0</v>
      </c>
      <c r="AD93" s="482">
        <f t="shared" si="391"/>
        <v>0</v>
      </c>
      <c r="AE93" s="541">
        <f>+AE95+AE97+AE99+AE101+AE103+AE105+AE107+AE109+AE111+AE113</f>
        <v>0</v>
      </c>
      <c r="AF93" s="542">
        <f>+AF95+AF97+AF99+AF101+AF103+AF105+AF107+AF109+AF111+AF113</f>
        <v>0</v>
      </c>
      <c r="AG93" s="482">
        <f t="shared" si="392"/>
        <v>0</v>
      </c>
      <c r="AH93" s="541">
        <f>+AH95+AH97+AH99+AH101+AH103+AH105+AH107+AH109+AH111+AH113</f>
        <v>0</v>
      </c>
      <c r="AI93" s="542">
        <f>+AI95+AI97+AI99+AI101+AI103+AI105+AI107+AI109+AI111+AI113</f>
        <v>0</v>
      </c>
      <c r="AJ93" s="482">
        <f t="shared" si="393"/>
        <v>0</v>
      </c>
      <c r="AK93" s="541">
        <f>+AK95+AK97+AK99+AK101+AK103+AK105+AK107+AK109+AK111+AK113</f>
        <v>0</v>
      </c>
      <c r="AL93" s="542">
        <f>+AL95+AL97+AL99+AL101+AL103+AL105+AL107+AL109+AL111+AL113</f>
        <v>0</v>
      </c>
      <c r="AM93" s="482">
        <f t="shared" si="394"/>
        <v>0</v>
      </c>
      <c r="AN93" s="541">
        <f>+AN95+AN97+AN99+AN101+AN103+AN105+AN107+AN109+AN111+AN113</f>
        <v>0</v>
      </c>
      <c r="AO93" s="542">
        <f>+AO95+AO97+AO99+AO101+AO103+AO105+AO107+AO109+AO111+AO113</f>
        <v>0</v>
      </c>
      <c r="AP93" s="482">
        <f t="shared" si="395"/>
        <v>0</v>
      </c>
      <c r="AQ93" s="541">
        <f>+AQ95+AQ97+AQ99+AQ101+AQ103+AQ105+AQ107+AQ109+AQ111+AQ113</f>
        <v>0</v>
      </c>
      <c r="AR93" s="542">
        <f>+AR95+AR97+AR99+AR101+AR103+AR105+AR107+AR109+AR111+AR113</f>
        <v>0</v>
      </c>
      <c r="AS93" s="482">
        <f t="shared" si="396"/>
        <v>0</v>
      </c>
      <c r="AT93" s="541">
        <f>+AT95+AT97+AT99+AT101+AT103+AT105+AT107+AT109+AT111+AT113</f>
        <v>0</v>
      </c>
      <c r="AU93" s="542">
        <f>+AU95+AU97+AU99+AU101+AU103+AU105+AU107+AU109+AU111+AU113</f>
        <v>0</v>
      </c>
      <c r="AV93" s="482">
        <f t="shared" si="397"/>
        <v>0</v>
      </c>
      <c r="AW93" s="541">
        <f>+AW95+AW97+AW99+AW101+AW103+AW105+AW107+AW109+AW111+AW113</f>
        <v>0</v>
      </c>
      <c r="AX93" s="542">
        <f>+AX95+AX97+AX99+AX101+AX103+AX105+AX107+AX109+AX111+AX113</f>
        <v>0</v>
      </c>
      <c r="AY93" s="482">
        <f t="shared" si="398"/>
        <v>0.43800000000000017</v>
      </c>
      <c r="AZ93" s="541">
        <f>+AZ95+AZ97+AZ99+AZ101+AZ103+AZ105+AZ107+AZ109+AZ111+AZ113</f>
        <v>0.43800000000000017</v>
      </c>
      <c r="BA93" s="542">
        <f>+BA95+BA97+BA99+BA101+BA103+BA105+BA107+BA109+BA111+BA113</f>
        <v>0</v>
      </c>
      <c r="BB93" s="482">
        <f t="shared" si="399"/>
        <v>0</v>
      </c>
      <c r="BC93" s="541">
        <f>+BC95+BC97+BC99+BC101+BC103+BC105+BC107+BC109+BC111+BC113</f>
        <v>0</v>
      </c>
      <c r="BD93" s="542">
        <f>+BD95+BD97+BD99+BD101+BD103+BD105+BD107+BD109+BD111+BD113</f>
        <v>0.9</v>
      </c>
      <c r="BE93" s="482">
        <f t="shared" si="400"/>
        <v>0</v>
      </c>
      <c r="BF93" s="541">
        <f>+BF95+BF97+BF99+BF101+BF103+BF105+BF107+BF109+BF111+BF113</f>
        <v>0.9</v>
      </c>
      <c r="BG93" s="542">
        <f>+BG95+BG97+BG99+BG101+BG103+BG105+BG107+BG109+BG111+BG113</f>
        <v>0</v>
      </c>
      <c r="BH93" s="482">
        <f t="shared" si="401"/>
        <v>0</v>
      </c>
      <c r="BI93" s="541">
        <f>+BI95+BI97+BI99+BI101+BI103+BI105+BI107+BI109+BI111+BI113</f>
        <v>0</v>
      </c>
      <c r="BJ93" s="542">
        <f>+BJ95+BJ97+BJ99+BJ101+BJ103+BJ105+BJ107+BJ109+BJ111+BJ113</f>
        <v>0</v>
      </c>
      <c r="BK93" s="482">
        <f t="shared" si="402"/>
        <v>0</v>
      </c>
      <c r="BL93" s="541">
        <f>+BL95+BL97+BL99+BL101+BL103+BL105+BL107+BL109+BL111+BL113</f>
        <v>0</v>
      </c>
      <c r="BM93" s="542">
        <f>+BM95+BM97+BM99+BM101+BM103+BM105+BM107+BM109+BM111+BM113</f>
        <v>0</v>
      </c>
      <c r="BN93" s="482">
        <f t="shared" si="403"/>
        <v>0</v>
      </c>
      <c r="BO93" s="522">
        <f>+BO95+BO97+BO99+BO101+BO103+BO105+BO107+BO109+BO111+BO113</f>
        <v>0</v>
      </c>
      <c r="BP93" s="524">
        <f>+BP95+BP97+BP99+BP101+BP103+BP105+BP107+BP109+BP111+BP113</f>
        <v>0</v>
      </c>
      <c r="BQ93" s="482">
        <f t="shared" si="404"/>
        <v>0</v>
      </c>
      <c r="BR93" s="522">
        <f>+BR95+BR97+BR99+BR101+BR103+BR105+BR107+BR109+BR111+BR113</f>
        <v>0</v>
      </c>
      <c r="BS93" s="524">
        <f>+BS95+BS97+BS99+BS101+BS103+BS105+BS107+BS109+BS111+BS113</f>
        <v>0</v>
      </c>
      <c r="BT93" s="482">
        <f t="shared" si="405"/>
        <v>0</v>
      </c>
      <c r="BU93" s="540">
        <f>+BU95+BU97+BU99+BU101+BU103+BU105+BU107+BU109+BU111+BU113</f>
        <v>0</v>
      </c>
      <c r="BV93" s="542">
        <f>+BV95+BV97+BV99+BV101+BV103+BV105+BV107+BV109+BV111+BV113</f>
        <v>0</v>
      </c>
      <c r="BW93" s="482">
        <f t="shared" si="406"/>
        <v>0</v>
      </c>
      <c r="BX93" s="540">
        <f>+BX95+BX97+BX99+BX101+BX103+BX105+BX107+BX109+BX111+BX113</f>
        <v>0</v>
      </c>
      <c r="BY93" s="542">
        <f>+BY95+BY97+BY99+BY101+BY103+BY105+BY107+BY109+BY111+BY113</f>
        <v>0</v>
      </c>
      <c r="BZ93" s="482">
        <f t="shared" si="407"/>
        <v>0</v>
      </c>
      <c r="CA93" s="540">
        <f>+CA95+CA97+CA99+CA101+CA103+CA105+CA107+CA109+CA111+CA113</f>
        <v>0</v>
      </c>
      <c r="CB93" s="542">
        <f>+CB95+CB97+CB99+CB101+CB103+CB105+CB107+CB109+CB111+CB113</f>
        <v>0</v>
      </c>
      <c r="CC93" s="482">
        <f t="shared" si="408"/>
        <v>0</v>
      </c>
      <c r="CD93" s="540">
        <f>+CD95+CD97+CD99+CD101+CD103+CD105+CD107+CD109+CD111+CD113</f>
        <v>0</v>
      </c>
      <c r="CE93" s="542">
        <f>+CE95+CE97+CE99+CE101+CE103+CE105+CE107+CE109+CE111+CE113</f>
        <v>-1.839</v>
      </c>
      <c r="CF93" s="482">
        <f t="shared" si="409"/>
        <v>0</v>
      </c>
      <c r="CG93" s="540">
        <f>+CG95+CG97+CG99+CG101+CG103+CG105+CG107+CG109+CG111+CG113</f>
        <v>-1.839</v>
      </c>
      <c r="CH93" s="542">
        <f>+CH95+CH97+CH99+CH101+CH103+CH105+CH107+CH109+CH111+CH113</f>
        <v>38.298999999999999</v>
      </c>
      <c r="CI93" s="482">
        <f t="shared" si="410"/>
        <v>-0.7640000000000029</v>
      </c>
      <c r="CJ93" s="540">
        <f>+CJ95+CJ97+CJ99+CJ101+CJ103+CJ105+CJ107+CJ109+CJ111+CJ113</f>
        <v>37.534999999999997</v>
      </c>
      <c r="CK93" s="542">
        <f>+CK95+CK97+CK99+CK101+CK103+CK105+CK107+CK109+CK111+CK113</f>
        <v>0</v>
      </c>
      <c r="CL93" s="482">
        <f t="shared" si="411"/>
        <v>0</v>
      </c>
      <c r="CM93" s="540">
        <f>+CM95+CM97+CM99+CM101+CM103+CM105+CM107+CM109+CM111+CM113</f>
        <v>0</v>
      </c>
      <c r="CN93" s="542">
        <f>+CN95+CN97+CN99+CN101+CN103+CN105+CN107+CN109+CN111+CN113</f>
        <v>6.8000000000000007</v>
      </c>
      <c r="CO93" s="482">
        <f t="shared" si="412"/>
        <v>-3.6000000000000476E-2</v>
      </c>
      <c r="CP93" s="540">
        <f>+CP95+CP97+CP99+CP101+CP103+CP105+CP107+CP109+CP111+CP113</f>
        <v>6.7640000000000002</v>
      </c>
      <c r="CQ93" s="542">
        <f>+CQ95+CQ97+CQ99+CQ101+CQ103+CQ105+CQ107+CQ109+CQ111+CQ113</f>
        <v>0</v>
      </c>
      <c r="CR93" s="482">
        <f t="shared" si="413"/>
        <v>0</v>
      </c>
      <c r="CS93" s="540">
        <f>+CS95+CS97+CS99+CS101+CS103+CS105+CS107+CS109+CS111+CS113</f>
        <v>0</v>
      </c>
      <c r="CT93" s="542">
        <f>+CT95+CT97+CT99+CT101+CT103+CT105+CT107+CT109+CT111+CT113</f>
        <v>0</v>
      </c>
      <c r="CU93" s="482">
        <f t="shared" si="414"/>
        <v>0</v>
      </c>
      <c r="CV93" s="540">
        <f>+CV95+CV97+CV99+CV101+CV103+CV105+CV107+CV109+CV111+CV113</f>
        <v>0</v>
      </c>
      <c r="CW93" s="542">
        <f>+CW95+CW97+CW99+CW101+CW103+CW105+CW107+CW109+CW111+CW113</f>
        <v>0</v>
      </c>
      <c r="CX93" s="482">
        <f t="shared" si="415"/>
        <v>0</v>
      </c>
      <c r="CY93" s="540">
        <f>+CY95+CY97+CY99+CY101+CY103+CY105+CY107+CY109+CY111+CY113</f>
        <v>0</v>
      </c>
      <c r="CZ93" s="542">
        <f>+CZ95+CZ97+CZ99+CZ101+CZ103+CZ105+CZ107+CZ109+CZ111+CZ113</f>
        <v>0</v>
      </c>
      <c r="DA93" s="482">
        <f t="shared" si="416"/>
        <v>0</v>
      </c>
      <c r="DB93" s="540">
        <f>+DB95+DB97+DB99+DB101+DB103+DB105+DB107+DB109+DB111+DB113</f>
        <v>0</v>
      </c>
      <c r="DC93" s="542">
        <f>+DC95+DC97+DC99+DC101+DC103+DC105+DC107+DC109+DC111+DC113</f>
        <v>0</v>
      </c>
      <c r="DD93" s="482">
        <f t="shared" si="417"/>
        <v>0</v>
      </c>
      <c r="DE93" s="540">
        <f>+DE95+DE97+DE99+DE101+DE103+DE105+DE107+DE109+DE111+DE113</f>
        <v>0</v>
      </c>
      <c r="DF93" s="542">
        <f>+DF95+DF97+DF99+DF101+DF103+DF105+DF107+DF109+DF111+DF113</f>
        <v>0</v>
      </c>
      <c r="DG93" s="482">
        <f t="shared" si="366"/>
        <v>0</v>
      </c>
      <c r="DH93" s="1269">
        <f>+DH95+DH97+DH99+DH101+DH103+DH105+DH107+DH109+DH111+DH113</f>
        <v>0</v>
      </c>
      <c r="DI93" s="534">
        <f>+DI95+DI97+DI99+DI101+DI103+DI105+DI107+DI109+DI111+DI113</f>
        <v>0</v>
      </c>
      <c r="DJ93" s="482">
        <f t="shared" si="418"/>
        <v>0</v>
      </c>
      <c r="DK93" s="1262">
        <f>+DK95+DK97+DK99+DK101+DK103+DK105+DK107+DK109+DK111+DK113</f>
        <v>0</v>
      </c>
      <c r="DL93" s="534">
        <f>+DL95+DL97+DL99+DL101+DL103+DL105+DL107+DL109+DL111+DL113</f>
        <v>0</v>
      </c>
      <c r="DM93" s="482">
        <f t="shared" ref="DM93:DM140" si="419">+DN93-DL93</f>
        <v>0</v>
      </c>
      <c r="DN93" s="1262">
        <f>+DN95+DN97+DN99+DN101+DN103+DN105+DN107+DN109+DN111+DN113</f>
        <v>0</v>
      </c>
      <c r="DO93" s="534">
        <f>+DO95+DO97+DO99+DO101+DO103+DO105+DO107+DO109+DO111+DO113</f>
        <v>0</v>
      </c>
      <c r="DP93" s="482">
        <f t="shared" ref="DP93:DP140" si="420">+DQ93-DO93</f>
        <v>0</v>
      </c>
      <c r="DQ93" s="1262">
        <f>+DQ95+DQ97+DQ99+DQ101+DQ103+DQ105+DQ107+DQ109+DQ111+DQ113</f>
        <v>0</v>
      </c>
      <c r="DR93" s="534">
        <f>+DR95+DR97+DR99+DR101+DR103+DR105+DR107+DR109+DR111+DR113</f>
        <v>0</v>
      </c>
      <c r="DS93" s="482">
        <f t="shared" si="370"/>
        <v>0</v>
      </c>
      <c r="DT93" s="1262">
        <f>+DT95+DT97+DT99+DT101+DT103+DT105+DT107+DT109+DT111+DT113</f>
        <v>0</v>
      </c>
      <c r="DU93" s="534">
        <f>+DU95+DU97+DU99+DU101+DU103+DU105+DU107+DU109+DU111+DU113</f>
        <v>0</v>
      </c>
      <c r="DV93" s="482">
        <f t="shared" si="371"/>
        <v>0</v>
      </c>
      <c r="DW93" s="1262">
        <f>+DW95+DW97+DW99+DW101+DW103+DW105+DW107+DW109+DW111+DW113</f>
        <v>0</v>
      </c>
      <c r="DX93" s="534">
        <f>+DX95+DX97+DX99+DX101+DX103+DX105+DX107+DX109+DX111+DX113</f>
        <v>0</v>
      </c>
      <c r="DY93" s="482">
        <f t="shared" si="372"/>
        <v>0</v>
      </c>
      <c r="DZ93" s="1262">
        <f>+DZ95+DZ97+DZ99+DZ101+DZ103+DZ105+DZ107+DZ109+DZ111+DZ113</f>
        <v>0</v>
      </c>
      <c r="EA93" s="534">
        <f>+EA95+EA97+EA99+EA101+EA103+EA105+EA107+EA109+EA111+EA113</f>
        <v>0</v>
      </c>
      <c r="EB93" s="482">
        <f t="shared" si="373"/>
        <v>0</v>
      </c>
      <c r="EC93" s="1262">
        <f>+EC95+EC97+EC99+EC101+EC103+EC105+EC107+EC109+EC111+EC113</f>
        <v>0</v>
      </c>
      <c r="ED93" s="534">
        <f>+ED95+ED97+ED99+ED101+ED103+ED105+ED107+ED109+ED111+ED113</f>
        <v>0</v>
      </c>
      <c r="EE93" s="482">
        <f t="shared" si="374"/>
        <v>0</v>
      </c>
      <c r="EF93" s="1262">
        <f>+EF95+EF97+EF99+EF101+EF103+EF105+EF107+EF109+EF111+EF113</f>
        <v>0</v>
      </c>
      <c r="EG93" s="534">
        <f>+EG95+EG97+EG99+EG101+EG103+EG105+EG107+EG109+EG111+EG113</f>
        <v>0</v>
      </c>
      <c r="EH93" s="482">
        <f t="shared" si="375"/>
        <v>0</v>
      </c>
      <c r="EI93" s="1262">
        <f>+EI95+EI97+EI99+EI101+EI103+EI105+EI107+EI109+EI111+EI113</f>
        <v>0</v>
      </c>
      <c r="EJ93" s="534">
        <f>+EJ95+EJ97+EJ99+EJ101+EJ103+EJ105+EJ107+EJ109+EJ111+EJ113</f>
        <v>0</v>
      </c>
      <c r="EK93" s="482">
        <f t="shared" si="376"/>
        <v>0</v>
      </c>
      <c r="EL93" s="1262">
        <f>+EL95+EL97+EL99+EL101+EL103+EL105+EL107+EL109+EL111+EL113</f>
        <v>0</v>
      </c>
      <c r="EM93" s="534">
        <f>+EM95+EM97+EM99+EM101+EM103+EM105+EM107+EM109+EM111+EM113</f>
        <v>0</v>
      </c>
      <c r="EN93" s="482">
        <f t="shared" si="377"/>
        <v>0</v>
      </c>
      <c r="EO93" s="1262">
        <f>+EO95+EO97+EO99+EO101+EO103+EO105+EO107+EO109+EO111+EO113</f>
        <v>0</v>
      </c>
      <c r="EP93" s="534">
        <f>+EP95+EP97+EP99+EP101+EP103+EP105+EP107+EP109+EP111+EP113</f>
        <v>0</v>
      </c>
      <c r="EQ93" s="482">
        <f t="shared" si="378"/>
        <v>0</v>
      </c>
      <c r="ER93" s="1262">
        <f>+ER95+ER97+ER99+ER101+ER103+ER105+ER107+ER109+ER111+ER113</f>
        <v>0</v>
      </c>
      <c r="ES93" s="534">
        <f>+ES95+ES97+ES99+ES101+ES103+ES105+ES107+ES109+ES111+ES113</f>
        <v>0</v>
      </c>
      <c r="ET93" s="482">
        <f t="shared" si="379"/>
        <v>0</v>
      </c>
      <c r="EU93" s="1262">
        <f>+EU95+EU97+EU99+EU101+EU103+EU105+EU107+EU109+EU111+EU113</f>
        <v>0</v>
      </c>
      <c r="EV93" s="534">
        <f>+EV95+EV97+EV99+EV101+EV103+EV105+EV107+EV109+EV111+EV113</f>
        <v>0</v>
      </c>
      <c r="EW93" s="482">
        <f t="shared" si="380"/>
        <v>0</v>
      </c>
      <c r="EX93" s="1262">
        <f>+EX95+EX97+EX99+EX101+EX103+EX105+EX107+EX109+EX111+EX113</f>
        <v>0</v>
      </c>
      <c r="EY93" s="534">
        <f>+EY95+EY97+EY99+EY101+EY103+EY105+EY107+EY109+EY111+EY113</f>
        <v>0</v>
      </c>
      <c r="EZ93" s="482">
        <f t="shared" si="381"/>
        <v>0</v>
      </c>
      <c r="FA93" s="1262">
        <f>+FA95+FA97+FA99+FA101+FA103+FA105+FA107+FA109+FA111+FA113</f>
        <v>0</v>
      </c>
      <c r="FE93"/>
      <c r="FF93"/>
      <c r="FG93"/>
      <c r="FH93"/>
      <c r="FI93"/>
      <c r="FJ93"/>
      <c r="FK93" s="35"/>
    </row>
    <row r="94" spans="2:167" s="236" customFormat="1" ht="13.35" customHeight="1" outlineLevel="2">
      <c r="B94" s="242" t="s">
        <v>737</v>
      </c>
      <c r="C94" s="242" t="s">
        <v>496</v>
      </c>
      <c r="D94" s="243"/>
      <c r="E94" s="535"/>
      <c r="F94" s="510">
        <f t="shared" si="383"/>
        <v>0</v>
      </c>
      <c r="G94" s="536"/>
      <c r="H94" s="537"/>
      <c r="I94" s="510">
        <f t="shared" si="384"/>
        <v>0</v>
      </c>
      <c r="J94" s="536"/>
      <c r="K94" s="537"/>
      <c r="L94" s="510">
        <f t="shared" si="385"/>
        <v>0</v>
      </c>
      <c r="M94" s="536"/>
      <c r="N94" s="537"/>
      <c r="O94" s="510">
        <f t="shared" si="386"/>
        <v>0</v>
      </c>
      <c r="P94" s="536"/>
      <c r="Q94" s="537"/>
      <c r="R94" s="510">
        <f t="shared" si="387"/>
        <v>0</v>
      </c>
      <c r="S94" s="536"/>
      <c r="T94" s="537"/>
      <c r="U94" s="510">
        <f t="shared" si="388"/>
        <v>0</v>
      </c>
      <c r="V94" s="536"/>
      <c r="W94" s="537"/>
      <c r="X94" s="510">
        <f t="shared" si="389"/>
        <v>0</v>
      </c>
      <c r="Y94" s="536"/>
      <c r="Z94" s="537"/>
      <c r="AA94" s="510">
        <f t="shared" si="390"/>
        <v>0</v>
      </c>
      <c r="AB94" s="536"/>
      <c r="AC94" s="537"/>
      <c r="AD94" s="510">
        <f t="shared" si="391"/>
        <v>0</v>
      </c>
      <c r="AE94" s="536"/>
      <c r="AF94" s="537"/>
      <c r="AG94" s="510">
        <f t="shared" si="392"/>
        <v>0</v>
      </c>
      <c r="AH94" s="536"/>
      <c r="AI94" s="537"/>
      <c r="AJ94" s="510">
        <f t="shared" si="393"/>
        <v>0</v>
      </c>
      <c r="AK94" s="536"/>
      <c r="AL94" s="537"/>
      <c r="AM94" s="510">
        <f t="shared" si="394"/>
        <v>0</v>
      </c>
      <c r="AN94" s="536"/>
      <c r="AO94" s="537"/>
      <c r="AP94" s="510">
        <f t="shared" si="395"/>
        <v>0</v>
      </c>
      <c r="AQ94" s="536"/>
      <c r="AR94" s="537"/>
      <c r="AS94" s="510">
        <f t="shared" si="396"/>
        <v>0</v>
      </c>
      <c r="AT94" s="536"/>
      <c r="AU94" s="537"/>
      <c r="AV94" s="510">
        <f t="shared" si="397"/>
        <v>0</v>
      </c>
      <c r="AW94" s="536"/>
      <c r="AX94" s="537"/>
      <c r="AY94" s="510">
        <f t="shared" si="398"/>
        <v>-4.3869999999999996</v>
      </c>
      <c r="AZ94" s="539">
        <v>-4.3869999999999996</v>
      </c>
      <c r="BA94" s="537"/>
      <c r="BB94" s="510">
        <f t="shared" si="399"/>
        <v>0</v>
      </c>
      <c r="BC94" s="536"/>
      <c r="BD94" s="538">
        <v>-4.3</v>
      </c>
      <c r="BE94" s="510">
        <f t="shared" si="400"/>
        <v>0</v>
      </c>
      <c r="BF94" s="536">
        <f>BD94</f>
        <v>-4.3</v>
      </c>
      <c r="BG94" s="537"/>
      <c r="BH94" s="510">
        <f t="shared" si="401"/>
        <v>0</v>
      </c>
      <c r="BI94" s="536"/>
      <c r="BJ94" s="537"/>
      <c r="BK94" s="510">
        <f t="shared" si="402"/>
        <v>0</v>
      </c>
      <c r="BL94" s="536"/>
      <c r="BM94" s="537"/>
      <c r="BN94" s="510">
        <f t="shared" si="403"/>
        <v>0</v>
      </c>
      <c r="BO94" s="536"/>
      <c r="BP94" s="537"/>
      <c r="BQ94" s="510">
        <f t="shared" si="404"/>
        <v>0</v>
      </c>
      <c r="BR94" s="536"/>
      <c r="BS94" s="537"/>
      <c r="BT94" s="510">
        <f t="shared" si="405"/>
        <v>0</v>
      </c>
      <c r="BU94" s="535"/>
      <c r="BV94" s="537"/>
      <c r="BW94" s="510">
        <f t="shared" si="406"/>
        <v>0</v>
      </c>
      <c r="BX94" s="535"/>
      <c r="BY94" s="537"/>
      <c r="BZ94" s="510">
        <f t="shared" si="407"/>
        <v>0</v>
      </c>
      <c r="CA94" s="535"/>
      <c r="CB94" s="537"/>
      <c r="CC94" s="510">
        <f t="shared" si="408"/>
        <v>0</v>
      </c>
      <c r="CD94" s="535"/>
      <c r="CE94" s="538">
        <v>6.13</v>
      </c>
      <c r="CF94" s="510">
        <f t="shared" si="409"/>
        <v>0</v>
      </c>
      <c r="CG94" s="535">
        <f>CE94</f>
        <v>6.13</v>
      </c>
      <c r="CH94" s="538">
        <v>-138.83500000000001</v>
      </c>
      <c r="CI94" s="510">
        <f t="shared" si="410"/>
        <v>0</v>
      </c>
      <c r="CJ94" s="553">
        <v>-138.83500000000001</v>
      </c>
      <c r="CK94" s="537"/>
      <c r="CL94" s="510">
        <f t="shared" si="411"/>
        <v>0</v>
      </c>
      <c r="CM94" s="535"/>
      <c r="CN94" s="538">
        <v>-22.545000000000002</v>
      </c>
      <c r="CO94" s="510">
        <f t="shared" si="412"/>
        <v>0</v>
      </c>
      <c r="CP94" s="535">
        <f>CN94</f>
        <v>-22.545000000000002</v>
      </c>
      <c r="CQ94" s="537"/>
      <c r="CR94" s="510">
        <f t="shared" si="413"/>
        <v>0</v>
      </c>
      <c r="CS94" s="535"/>
      <c r="CT94" s="537"/>
      <c r="CU94" s="510">
        <f t="shared" si="414"/>
        <v>0</v>
      </c>
      <c r="CV94" s="535"/>
      <c r="CW94" s="537"/>
      <c r="CX94" s="510">
        <f t="shared" si="415"/>
        <v>0</v>
      </c>
      <c r="CY94" s="535"/>
      <c r="CZ94" s="537"/>
      <c r="DA94" s="510">
        <f t="shared" si="416"/>
        <v>0</v>
      </c>
      <c r="DB94" s="535"/>
      <c r="DC94" s="537"/>
      <c r="DD94" s="510">
        <f t="shared" si="417"/>
        <v>0</v>
      </c>
      <c r="DE94" s="535"/>
      <c r="DF94" s="537"/>
      <c r="DG94" s="510">
        <f t="shared" si="366"/>
        <v>0</v>
      </c>
      <c r="DH94" s="1268"/>
      <c r="DI94" s="534"/>
      <c r="DJ94" s="482">
        <f t="shared" si="418"/>
        <v>0</v>
      </c>
      <c r="DK94" s="1262"/>
      <c r="DL94" s="534">
        <v>11.8</v>
      </c>
      <c r="DM94" s="482">
        <f t="shared" ref="DM94" si="421">+DN94-DL94</f>
        <v>0.29999999999999893</v>
      </c>
      <c r="DN94" s="1262">
        <v>12.1</v>
      </c>
      <c r="DO94" s="534">
        <f>+DO96+DO98+DO100+DO102+DO104+DO106+DO108+DO110+DO112+DO114</f>
        <v>0</v>
      </c>
      <c r="DP94" s="482">
        <f t="shared" ref="DP94" si="422">+DQ94-DO94</f>
        <v>-4.5999999999999996</v>
      </c>
      <c r="DQ94" s="1262">
        <v>-4.5999999999999996</v>
      </c>
      <c r="DR94" s="1647">
        <v>-0.4</v>
      </c>
      <c r="DS94" s="482">
        <f t="shared" ref="DS94" si="423">+DT94-DR94</f>
        <v>-29.4</v>
      </c>
      <c r="DT94" s="1470">
        <f>-1.9-27.9</f>
        <v>-29.799999999999997</v>
      </c>
      <c r="DU94" s="1647">
        <f>-8.2-0.4</f>
        <v>-8.6</v>
      </c>
      <c r="DV94" s="482">
        <f t="shared" si="371"/>
        <v>-17.790000000000084</v>
      </c>
      <c r="DW94" s="1470">
        <v>-26.390000000000086</v>
      </c>
      <c r="DX94" s="534">
        <f>-23.7-9.6</f>
        <v>-33.299999999999997</v>
      </c>
      <c r="DY94" s="482">
        <f t="shared" si="372"/>
        <v>-46.7</v>
      </c>
      <c r="DZ94" s="1262">
        <v>-80</v>
      </c>
      <c r="EA94" s="534">
        <f>-Segment!EA144*0.75</f>
        <v>-25</v>
      </c>
      <c r="EB94" s="534">
        <f>-Segment!EB144*0.75</f>
        <v>-25</v>
      </c>
      <c r="EC94" s="1262">
        <f>+SUM(EA94:EB94)</f>
        <v>-50</v>
      </c>
      <c r="ED94" s="534"/>
      <c r="EE94" s="482">
        <f t="shared" si="374"/>
        <v>0</v>
      </c>
      <c r="EF94" s="1262"/>
      <c r="EG94" s="534"/>
      <c r="EH94" s="482">
        <f t="shared" si="375"/>
        <v>0</v>
      </c>
      <c r="EI94" s="1262"/>
      <c r="EJ94" s="534"/>
      <c r="EK94" s="482">
        <f t="shared" si="376"/>
        <v>0</v>
      </c>
      <c r="EL94" s="1262"/>
      <c r="EM94" s="534"/>
      <c r="EN94" s="482">
        <f t="shared" si="377"/>
        <v>0</v>
      </c>
      <c r="EO94" s="1262"/>
      <c r="EP94" s="534"/>
      <c r="EQ94" s="482">
        <f t="shared" si="378"/>
        <v>0</v>
      </c>
      <c r="ER94" s="1262"/>
      <c r="ES94" s="534"/>
      <c r="ET94" s="482">
        <f t="shared" si="379"/>
        <v>0</v>
      </c>
      <c r="EU94" s="1262"/>
      <c r="EV94" s="534"/>
      <c r="EW94" s="482">
        <f t="shared" si="380"/>
        <v>0</v>
      </c>
      <c r="EX94" s="1262"/>
      <c r="EY94" s="534"/>
      <c r="EZ94" s="482">
        <f t="shared" si="381"/>
        <v>0</v>
      </c>
      <c r="FA94" s="1262"/>
      <c r="FE94"/>
      <c r="FF94"/>
      <c r="FG94"/>
      <c r="FH94"/>
      <c r="FI94"/>
      <c r="FJ94"/>
      <c r="FK94" s="35"/>
    </row>
    <row r="95" spans="2:167" s="236" customFormat="1" ht="13.35" customHeight="1" outlineLevel="2">
      <c r="B95" s="242" t="s">
        <v>82</v>
      </c>
      <c r="C95" s="242" t="s">
        <v>496</v>
      </c>
      <c r="D95" s="243"/>
      <c r="E95" s="522"/>
      <c r="F95" s="510">
        <f t="shared" si="383"/>
        <v>0</v>
      </c>
      <c r="G95" s="523"/>
      <c r="H95" s="524"/>
      <c r="I95" s="510">
        <f t="shared" si="384"/>
        <v>0</v>
      </c>
      <c r="J95" s="523"/>
      <c r="K95" s="524"/>
      <c r="L95" s="510">
        <f t="shared" si="385"/>
        <v>0</v>
      </c>
      <c r="M95" s="523"/>
      <c r="N95" s="524"/>
      <c r="O95" s="510">
        <f t="shared" si="386"/>
        <v>0</v>
      </c>
      <c r="P95" s="523"/>
      <c r="Q95" s="524"/>
      <c r="R95" s="510">
        <f t="shared" si="387"/>
        <v>0</v>
      </c>
      <c r="S95" s="523"/>
      <c r="T95" s="524"/>
      <c r="U95" s="510">
        <f t="shared" si="388"/>
        <v>0</v>
      </c>
      <c r="V95" s="523"/>
      <c r="W95" s="524"/>
      <c r="X95" s="510">
        <f t="shared" si="389"/>
        <v>0</v>
      </c>
      <c r="Y95" s="523"/>
      <c r="Z95" s="524"/>
      <c r="AA95" s="510">
        <f t="shared" si="390"/>
        <v>0</v>
      </c>
      <c r="AB95" s="523"/>
      <c r="AC95" s="524"/>
      <c r="AD95" s="510">
        <f t="shared" si="391"/>
        <v>0</v>
      </c>
      <c r="AE95" s="523"/>
      <c r="AF95" s="524"/>
      <c r="AG95" s="510">
        <f t="shared" si="392"/>
        <v>0</v>
      </c>
      <c r="AH95" s="523"/>
      <c r="AI95" s="524"/>
      <c r="AJ95" s="510">
        <f t="shared" si="393"/>
        <v>0</v>
      </c>
      <c r="AK95" s="523"/>
      <c r="AL95" s="524"/>
      <c r="AM95" s="510">
        <f t="shared" si="394"/>
        <v>0</v>
      </c>
      <c r="AN95" s="523"/>
      <c r="AO95" s="524"/>
      <c r="AP95" s="510">
        <f t="shared" si="395"/>
        <v>0</v>
      </c>
      <c r="AQ95" s="523"/>
      <c r="AR95" s="524"/>
      <c r="AS95" s="510">
        <f t="shared" si="396"/>
        <v>0</v>
      </c>
      <c r="AT95" s="523"/>
      <c r="AU95" s="524"/>
      <c r="AV95" s="510">
        <f t="shared" si="397"/>
        <v>0</v>
      </c>
      <c r="AW95" s="523"/>
      <c r="AX95" s="524"/>
      <c r="AY95" s="510">
        <f t="shared" si="398"/>
        <v>1.4570000000000001</v>
      </c>
      <c r="AZ95" s="526">
        <v>1.4570000000000001</v>
      </c>
      <c r="BA95" s="524"/>
      <c r="BB95" s="510">
        <f t="shared" si="399"/>
        <v>0</v>
      </c>
      <c r="BC95" s="523"/>
      <c r="BD95" s="525">
        <v>0.9</v>
      </c>
      <c r="BE95" s="510">
        <f t="shared" si="400"/>
        <v>0</v>
      </c>
      <c r="BF95" s="526">
        <v>0.9</v>
      </c>
      <c r="BG95" s="524"/>
      <c r="BH95" s="510">
        <f t="shared" si="401"/>
        <v>0</v>
      </c>
      <c r="BI95" s="523"/>
      <c r="BJ95" s="524"/>
      <c r="BK95" s="510">
        <f t="shared" si="402"/>
        <v>0</v>
      </c>
      <c r="BL95" s="523"/>
      <c r="BM95" s="524"/>
      <c r="BN95" s="510">
        <f t="shared" si="403"/>
        <v>0</v>
      </c>
      <c r="BO95" s="523"/>
      <c r="BP95" s="524"/>
      <c r="BQ95" s="510">
        <f t="shared" si="404"/>
        <v>0</v>
      </c>
      <c r="BR95" s="523"/>
      <c r="BS95" s="524"/>
      <c r="BT95" s="510">
        <f t="shared" si="405"/>
        <v>0</v>
      </c>
      <c r="BU95" s="522"/>
      <c r="BV95" s="524"/>
      <c r="BW95" s="510">
        <f t="shared" si="406"/>
        <v>0</v>
      </c>
      <c r="BX95" s="522"/>
      <c r="BY95" s="524"/>
      <c r="BZ95" s="510">
        <f t="shared" si="407"/>
        <v>0</v>
      </c>
      <c r="CA95" s="522"/>
      <c r="CB95" s="524"/>
      <c r="CC95" s="510">
        <f t="shared" si="408"/>
        <v>0</v>
      </c>
      <c r="CD95" s="522"/>
      <c r="CE95" s="524">
        <f>-0.3*CE94</f>
        <v>-1.839</v>
      </c>
      <c r="CF95" s="510">
        <f t="shared" si="409"/>
        <v>0</v>
      </c>
      <c r="CG95" s="522">
        <f>CE95</f>
        <v>-1.839</v>
      </c>
      <c r="CH95" s="525">
        <v>38.298999999999999</v>
      </c>
      <c r="CI95" s="510">
        <f t="shared" si="410"/>
        <v>-0.7640000000000029</v>
      </c>
      <c r="CJ95" s="527">
        <v>37.534999999999997</v>
      </c>
      <c r="CK95" s="524"/>
      <c r="CL95" s="510">
        <f t="shared" si="411"/>
        <v>0</v>
      </c>
      <c r="CM95" s="522"/>
      <c r="CN95" s="524">
        <f>22.5-15.7</f>
        <v>6.8000000000000007</v>
      </c>
      <c r="CO95" s="510">
        <f t="shared" si="412"/>
        <v>-3.6000000000000476E-2</v>
      </c>
      <c r="CP95" s="527">
        <v>6.7640000000000002</v>
      </c>
      <c r="CQ95" s="524"/>
      <c r="CR95" s="510">
        <f t="shared" si="413"/>
        <v>0</v>
      </c>
      <c r="CS95" s="522"/>
      <c r="CT95" s="524"/>
      <c r="CU95" s="510">
        <f t="shared" si="414"/>
        <v>0</v>
      </c>
      <c r="CV95" s="522"/>
      <c r="CW95" s="524"/>
      <c r="CX95" s="510">
        <f t="shared" si="415"/>
        <v>0</v>
      </c>
      <c r="CY95" s="522"/>
      <c r="CZ95" s="524"/>
      <c r="DA95" s="510">
        <f t="shared" si="416"/>
        <v>0</v>
      </c>
      <c r="DB95" s="522"/>
      <c r="DC95" s="524"/>
      <c r="DD95" s="510">
        <f t="shared" si="417"/>
        <v>0</v>
      </c>
      <c r="DE95" s="522"/>
      <c r="DF95" s="524"/>
      <c r="DG95" s="510">
        <f t="shared" si="366"/>
        <v>0</v>
      </c>
      <c r="DH95" s="1259"/>
      <c r="DI95" s="534"/>
      <c r="DJ95" s="482">
        <f t="shared" si="418"/>
        <v>0</v>
      </c>
      <c r="DK95" s="1262"/>
      <c r="DL95" s="534"/>
      <c r="DM95" s="482">
        <f t="shared" si="419"/>
        <v>0</v>
      </c>
      <c r="DN95" s="1472"/>
      <c r="DO95" s="534"/>
      <c r="DP95" s="482"/>
      <c r="DQ95" s="1472"/>
      <c r="DR95" s="534"/>
      <c r="DS95" s="482"/>
      <c r="DT95" s="1472"/>
      <c r="DU95" s="534"/>
      <c r="DV95" s="482"/>
      <c r="DW95" s="1472"/>
      <c r="DX95" s="534"/>
      <c r="DY95" s="482"/>
      <c r="DZ95" s="1472"/>
      <c r="EA95" s="534"/>
      <c r="EB95" s="482"/>
      <c r="EC95" s="1472"/>
      <c r="ED95" s="534"/>
      <c r="EE95" s="482"/>
      <c r="EF95" s="1472"/>
      <c r="EG95" s="534"/>
      <c r="EH95" s="482"/>
      <c r="EI95" s="1472"/>
      <c r="EJ95" s="534"/>
      <c r="EK95" s="482"/>
      <c r="EL95" s="1472"/>
      <c r="EM95" s="534"/>
      <c r="EN95" s="482"/>
      <c r="EO95" s="1472"/>
      <c r="EP95" s="534"/>
      <c r="EQ95" s="482"/>
      <c r="ER95" s="1472"/>
      <c r="ES95" s="534"/>
      <c r="ET95" s="482"/>
      <c r="EU95" s="1472"/>
      <c r="EV95" s="534"/>
      <c r="EW95" s="482"/>
      <c r="EX95" s="1472"/>
      <c r="EY95" s="534"/>
      <c r="EZ95" s="482"/>
      <c r="FA95" s="1472"/>
      <c r="FE95"/>
      <c r="FF95"/>
      <c r="FG95"/>
      <c r="FH95"/>
      <c r="FI95"/>
      <c r="FJ95"/>
      <c r="FK95" s="35"/>
    </row>
    <row r="96" spans="2:167" s="236" customFormat="1" ht="13.35" customHeight="1" outlineLevel="2">
      <c r="B96" s="242" t="s">
        <v>463</v>
      </c>
      <c r="C96" s="242" t="s">
        <v>496</v>
      </c>
      <c r="D96" s="243"/>
      <c r="E96" s="522"/>
      <c r="F96" s="510">
        <f t="shared" si="383"/>
        <v>0</v>
      </c>
      <c r="G96" s="523"/>
      <c r="H96" s="524"/>
      <c r="I96" s="510">
        <f t="shared" si="384"/>
        <v>0</v>
      </c>
      <c r="J96" s="523"/>
      <c r="K96" s="524"/>
      <c r="L96" s="510">
        <f t="shared" si="385"/>
        <v>0</v>
      </c>
      <c r="M96" s="523"/>
      <c r="N96" s="524"/>
      <c r="O96" s="510">
        <f t="shared" si="386"/>
        <v>0</v>
      </c>
      <c r="P96" s="523"/>
      <c r="Q96" s="524"/>
      <c r="R96" s="510">
        <f t="shared" si="387"/>
        <v>0</v>
      </c>
      <c r="S96" s="523"/>
      <c r="T96" s="524"/>
      <c r="U96" s="510">
        <f t="shared" si="388"/>
        <v>0</v>
      </c>
      <c r="V96" s="523"/>
      <c r="W96" s="524"/>
      <c r="X96" s="510">
        <f t="shared" si="389"/>
        <v>0</v>
      </c>
      <c r="Y96" s="523"/>
      <c r="Z96" s="524"/>
      <c r="AA96" s="510">
        <f t="shared" si="390"/>
        <v>0</v>
      </c>
      <c r="AB96" s="523"/>
      <c r="AC96" s="524"/>
      <c r="AD96" s="510">
        <f t="shared" si="391"/>
        <v>0</v>
      </c>
      <c r="AE96" s="523"/>
      <c r="AF96" s="524"/>
      <c r="AG96" s="510">
        <f t="shared" si="392"/>
        <v>0</v>
      </c>
      <c r="AH96" s="523"/>
      <c r="AI96" s="524"/>
      <c r="AJ96" s="510">
        <f t="shared" si="393"/>
        <v>0</v>
      </c>
      <c r="AK96" s="523"/>
      <c r="AL96" s="524"/>
      <c r="AM96" s="510">
        <f t="shared" si="394"/>
        <v>0</v>
      </c>
      <c r="AN96" s="523"/>
      <c r="AO96" s="524"/>
      <c r="AP96" s="510">
        <f t="shared" si="395"/>
        <v>0</v>
      </c>
      <c r="AQ96" s="523"/>
      <c r="AR96" s="524"/>
      <c r="AS96" s="510">
        <f t="shared" si="396"/>
        <v>0</v>
      </c>
      <c r="AT96" s="523"/>
      <c r="AU96" s="524"/>
      <c r="AV96" s="510">
        <f t="shared" si="397"/>
        <v>0</v>
      </c>
      <c r="AW96" s="523"/>
      <c r="AX96" s="524"/>
      <c r="AY96" s="510">
        <f t="shared" si="398"/>
        <v>0</v>
      </c>
      <c r="AZ96" s="523"/>
      <c r="BA96" s="524"/>
      <c r="BB96" s="510">
        <f t="shared" si="399"/>
        <v>0</v>
      </c>
      <c r="BC96" s="523"/>
      <c r="BD96" s="524"/>
      <c r="BE96" s="510">
        <f t="shared" si="400"/>
        <v>0</v>
      </c>
      <c r="BF96" s="523"/>
      <c r="BG96" s="524"/>
      <c r="BH96" s="510">
        <f t="shared" si="401"/>
        <v>0</v>
      </c>
      <c r="BI96" s="523"/>
      <c r="BJ96" s="524"/>
      <c r="BK96" s="510">
        <f t="shared" si="402"/>
        <v>0</v>
      </c>
      <c r="BL96" s="523"/>
      <c r="BM96" s="524"/>
      <c r="BN96" s="510">
        <f t="shared" si="403"/>
        <v>0</v>
      </c>
      <c r="BO96" s="523"/>
      <c r="BP96" s="524"/>
      <c r="BQ96" s="510">
        <f t="shared" si="404"/>
        <v>0</v>
      </c>
      <c r="BR96" s="523"/>
      <c r="BS96" s="524"/>
      <c r="BT96" s="510">
        <f t="shared" si="405"/>
        <v>0</v>
      </c>
      <c r="BU96" s="522"/>
      <c r="BV96" s="524"/>
      <c r="BW96" s="510">
        <f t="shared" si="406"/>
        <v>0</v>
      </c>
      <c r="BX96" s="522"/>
      <c r="BY96" s="524"/>
      <c r="BZ96" s="510">
        <f t="shared" si="407"/>
        <v>0</v>
      </c>
      <c r="CA96" s="522"/>
      <c r="CB96" s="524"/>
      <c r="CC96" s="510">
        <f t="shared" si="408"/>
        <v>0</v>
      </c>
      <c r="CD96" s="522"/>
      <c r="CE96" s="524"/>
      <c r="CF96" s="510">
        <f t="shared" si="409"/>
        <v>0</v>
      </c>
      <c r="CG96" s="522"/>
      <c r="CH96" s="524"/>
      <c r="CI96" s="510">
        <f t="shared" si="410"/>
        <v>0</v>
      </c>
      <c r="CJ96" s="522"/>
      <c r="CK96" s="524"/>
      <c r="CL96" s="510">
        <f t="shared" si="411"/>
        <v>0</v>
      </c>
      <c r="CM96" s="522"/>
      <c r="CN96" s="524"/>
      <c r="CO96" s="510">
        <f t="shared" si="412"/>
        <v>0</v>
      </c>
      <c r="CP96" s="522"/>
      <c r="CQ96" s="524"/>
      <c r="CR96" s="510">
        <f t="shared" si="413"/>
        <v>0</v>
      </c>
      <c r="CS96" s="522"/>
      <c r="CT96" s="524"/>
      <c r="CU96" s="510">
        <f t="shared" si="414"/>
        <v>0</v>
      </c>
      <c r="CV96" s="522"/>
      <c r="CW96" s="524"/>
      <c r="CX96" s="510">
        <f t="shared" si="415"/>
        <v>0</v>
      </c>
      <c r="CY96" s="522"/>
      <c r="CZ96" s="524"/>
      <c r="DA96" s="510">
        <f t="shared" si="416"/>
        <v>0</v>
      </c>
      <c r="DB96" s="522"/>
      <c r="DC96" s="524"/>
      <c r="DD96" s="510">
        <f t="shared" si="417"/>
        <v>0</v>
      </c>
      <c r="DE96" s="522"/>
      <c r="DF96" s="524"/>
      <c r="DG96" s="510">
        <f t="shared" si="366"/>
        <v>0</v>
      </c>
      <c r="DH96" s="1259"/>
      <c r="DI96" s="534"/>
      <c r="DJ96" s="482">
        <f t="shared" si="418"/>
        <v>0</v>
      </c>
      <c r="DK96" s="1262"/>
      <c r="DL96" s="534"/>
      <c r="DM96" s="482">
        <f t="shared" si="419"/>
        <v>0</v>
      </c>
      <c r="DN96" s="1262"/>
      <c r="DO96" s="534"/>
      <c r="DP96" s="482">
        <f t="shared" si="420"/>
        <v>0</v>
      </c>
      <c r="DQ96" s="1262"/>
      <c r="DR96" s="534"/>
      <c r="DS96" s="482">
        <f t="shared" si="370"/>
        <v>0</v>
      </c>
      <c r="DT96" s="1262"/>
      <c r="DU96" s="534"/>
      <c r="DV96" s="482">
        <f t="shared" ref="DV96:DV140" si="424">+DW96-DU96</f>
        <v>0</v>
      </c>
      <c r="DW96" s="1262"/>
      <c r="DX96" s="534"/>
      <c r="DY96" s="482">
        <f t="shared" si="372"/>
        <v>0</v>
      </c>
      <c r="DZ96" s="1262"/>
      <c r="EA96" s="534"/>
      <c r="EB96" s="482">
        <f t="shared" si="373"/>
        <v>0</v>
      </c>
      <c r="EC96" s="1262"/>
      <c r="ED96" s="534"/>
      <c r="EE96" s="482">
        <f t="shared" si="374"/>
        <v>0</v>
      </c>
      <c r="EF96" s="1262"/>
      <c r="EG96" s="534"/>
      <c r="EH96" s="482">
        <f t="shared" si="375"/>
        <v>0</v>
      </c>
      <c r="EI96" s="1262"/>
      <c r="EJ96" s="534"/>
      <c r="EK96" s="482">
        <f t="shared" si="376"/>
        <v>0</v>
      </c>
      <c r="EL96" s="1262"/>
      <c r="EM96" s="534"/>
      <c r="EN96" s="482">
        <f t="shared" si="377"/>
        <v>0</v>
      </c>
      <c r="EO96" s="1262"/>
      <c r="EP96" s="534"/>
      <c r="EQ96" s="482">
        <f t="shared" si="378"/>
        <v>0</v>
      </c>
      <c r="ER96" s="1262"/>
      <c r="ES96" s="534"/>
      <c r="ET96" s="482">
        <f t="shared" ref="ET96:ET140" si="425">+EU96-ES96</f>
        <v>0</v>
      </c>
      <c r="EU96" s="1262"/>
      <c r="EV96" s="534"/>
      <c r="EW96" s="482">
        <f t="shared" ref="EW96:EW140" si="426">+EX96-EV96</f>
        <v>0</v>
      </c>
      <c r="EX96" s="1262"/>
      <c r="EY96" s="534"/>
      <c r="EZ96" s="482">
        <f t="shared" ref="EZ96:EZ140" si="427">+FA96-EY96</f>
        <v>0</v>
      </c>
      <c r="FA96" s="1262"/>
      <c r="FE96"/>
      <c r="FF96"/>
      <c r="FG96"/>
      <c r="FH96"/>
      <c r="FI96"/>
      <c r="FJ96"/>
      <c r="FK96" s="35"/>
    </row>
    <row r="97" spans="2:167" s="236" customFormat="1" ht="13.35" customHeight="1" outlineLevel="2">
      <c r="B97" s="242" t="s">
        <v>47</v>
      </c>
      <c r="C97" s="242" t="s">
        <v>496</v>
      </c>
      <c r="D97" s="243"/>
      <c r="E97" s="522"/>
      <c r="F97" s="510">
        <f t="shared" si="383"/>
        <v>0</v>
      </c>
      <c r="G97" s="523"/>
      <c r="H97" s="524"/>
      <c r="I97" s="510">
        <f t="shared" si="384"/>
        <v>0</v>
      </c>
      <c r="J97" s="523"/>
      <c r="K97" s="524"/>
      <c r="L97" s="510">
        <f t="shared" si="385"/>
        <v>0</v>
      </c>
      <c r="M97" s="523"/>
      <c r="N97" s="524"/>
      <c r="O97" s="510">
        <f t="shared" si="386"/>
        <v>0</v>
      </c>
      <c r="P97" s="523"/>
      <c r="Q97" s="524"/>
      <c r="R97" s="510">
        <f t="shared" si="387"/>
        <v>0</v>
      </c>
      <c r="S97" s="523"/>
      <c r="T97" s="524"/>
      <c r="U97" s="510">
        <f t="shared" si="388"/>
        <v>0</v>
      </c>
      <c r="V97" s="523"/>
      <c r="W97" s="524"/>
      <c r="X97" s="510">
        <f t="shared" si="389"/>
        <v>0</v>
      </c>
      <c r="Y97" s="523"/>
      <c r="Z97" s="524"/>
      <c r="AA97" s="510">
        <f t="shared" si="390"/>
        <v>0</v>
      </c>
      <c r="AB97" s="523"/>
      <c r="AC97" s="524"/>
      <c r="AD97" s="510">
        <f t="shared" si="391"/>
        <v>0</v>
      </c>
      <c r="AE97" s="523"/>
      <c r="AF97" s="524"/>
      <c r="AG97" s="510">
        <f t="shared" si="392"/>
        <v>0</v>
      </c>
      <c r="AH97" s="523"/>
      <c r="AI97" s="524"/>
      <c r="AJ97" s="510">
        <f t="shared" si="393"/>
        <v>0</v>
      </c>
      <c r="AK97" s="523"/>
      <c r="AL97" s="524"/>
      <c r="AM97" s="510">
        <f t="shared" si="394"/>
        <v>0</v>
      </c>
      <c r="AN97" s="523"/>
      <c r="AO97" s="524"/>
      <c r="AP97" s="510">
        <f t="shared" si="395"/>
        <v>0</v>
      </c>
      <c r="AQ97" s="523"/>
      <c r="AR97" s="524"/>
      <c r="AS97" s="510">
        <f t="shared" si="396"/>
        <v>0</v>
      </c>
      <c r="AT97" s="523"/>
      <c r="AU97" s="524"/>
      <c r="AV97" s="510">
        <f t="shared" si="397"/>
        <v>0</v>
      </c>
      <c r="AW97" s="523"/>
      <c r="AX97" s="524"/>
      <c r="AY97" s="510">
        <f t="shared" si="398"/>
        <v>-1.0189999999999999</v>
      </c>
      <c r="AZ97" s="526">
        <v>-1.0189999999999999</v>
      </c>
      <c r="BA97" s="524"/>
      <c r="BB97" s="510">
        <f t="shared" si="399"/>
        <v>0</v>
      </c>
      <c r="BC97" s="523"/>
      <c r="BD97" s="524"/>
      <c r="BE97" s="510">
        <f t="shared" si="400"/>
        <v>0</v>
      </c>
      <c r="BF97" s="523"/>
      <c r="BG97" s="524"/>
      <c r="BH97" s="510">
        <f t="shared" si="401"/>
        <v>0</v>
      </c>
      <c r="BI97" s="523"/>
      <c r="BJ97" s="524"/>
      <c r="BK97" s="510">
        <f t="shared" si="402"/>
        <v>0</v>
      </c>
      <c r="BL97" s="523"/>
      <c r="BM97" s="524"/>
      <c r="BN97" s="510">
        <f t="shared" si="403"/>
        <v>0</v>
      </c>
      <c r="BO97" s="523"/>
      <c r="BP97" s="524"/>
      <c r="BQ97" s="510">
        <f t="shared" si="404"/>
        <v>0</v>
      </c>
      <c r="BR97" s="523"/>
      <c r="BS97" s="524"/>
      <c r="BT97" s="510">
        <f t="shared" si="405"/>
        <v>0</v>
      </c>
      <c r="BU97" s="522"/>
      <c r="BV97" s="524"/>
      <c r="BW97" s="510">
        <f t="shared" si="406"/>
        <v>0</v>
      </c>
      <c r="BX97" s="522"/>
      <c r="BY97" s="524"/>
      <c r="BZ97" s="510">
        <f t="shared" si="407"/>
        <v>0</v>
      </c>
      <c r="CA97" s="522"/>
      <c r="CB97" s="524"/>
      <c r="CC97" s="510">
        <f t="shared" si="408"/>
        <v>0</v>
      </c>
      <c r="CD97" s="556"/>
      <c r="CE97" s="524"/>
      <c r="CF97" s="510">
        <f t="shared" si="409"/>
        <v>0</v>
      </c>
      <c r="CG97" s="522"/>
      <c r="CH97" s="524"/>
      <c r="CI97" s="510">
        <f t="shared" si="410"/>
        <v>0</v>
      </c>
      <c r="CJ97" s="522"/>
      <c r="CK97" s="524"/>
      <c r="CL97" s="510">
        <f t="shared" si="411"/>
        <v>0</v>
      </c>
      <c r="CM97" s="522"/>
      <c r="CN97" s="524"/>
      <c r="CO97" s="510">
        <f t="shared" si="412"/>
        <v>0</v>
      </c>
      <c r="CP97" s="522"/>
      <c r="CQ97" s="524"/>
      <c r="CR97" s="510">
        <f t="shared" si="413"/>
        <v>0</v>
      </c>
      <c r="CS97" s="522"/>
      <c r="CT97" s="524"/>
      <c r="CU97" s="510">
        <f t="shared" si="414"/>
        <v>0</v>
      </c>
      <c r="CV97" s="522"/>
      <c r="CW97" s="524"/>
      <c r="CX97" s="510">
        <f t="shared" si="415"/>
        <v>0</v>
      </c>
      <c r="CY97" s="522"/>
      <c r="CZ97" s="524"/>
      <c r="DA97" s="510">
        <f t="shared" si="416"/>
        <v>0</v>
      </c>
      <c r="DB97" s="522"/>
      <c r="DC97" s="524"/>
      <c r="DD97" s="510">
        <f t="shared" si="417"/>
        <v>0</v>
      </c>
      <c r="DE97" s="522"/>
      <c r="DF97" s="524"/>
      <c r="DG97" s="510">
        <f t="shared" si="366"/>
        <v>0</v>
      </c>
      <c r="DH97" s="1259"/>
      <c r="DI97" s="534"/>
      <c r="DJ97" s="482">
        <f t="shared" si="418"/>
        <v>0</v>
      </c>
      <c r="DK97" s="1262"/>
      <c r="DL97" s="534"/>
      <c r="DM97" s="482">
        <f t="shared" si="419"/>
        <v>0</v>
      </c>
      <c r="DN97" s="1262"/>
      <c r="DO97" s="534"/>
      <c r="DP97" s="482">
        <f t="shared" si="420"/>
        <v>0</v>
      </c>
      <c r="DQ97" s="1262"/>
      <c r="DR97" s="534"/>
      <c r="DS97" s="482">
        <f t="shared" si="370"/>
        <v>0</v>
      </c>
      <c r="DT97" s="1262"/>
      <c r="DU97" s="534"/>
      <c r="DV97" s="482">
        <f t="shared" si="424"/>
        <v>0</v>
      </c>
      <c r="DW97" s="1262"/>
      <c r="DX97" s="534"/>
      <c r="DY97" s="482">
        <f t="shared" si="372"/>
        <v>0</v>
      </c>
      <c r="DZ97" s="1262"/>
      <c r="EA97" s="534"/>
      <c r="EB97" s="482">
        <f t="shared" si="373"/>
        <v>0</v>
      </c>
      <c r="EC97" s="1262"/>
      <c r="ED97" s="534"/>
      <c r="EE97" s="482">
        <f t="shared" si="374"/>
        <v>0</v>
      </c>
      <c r="EF97" s="1262"/>
      <c r="EG97" s="534"/>
      <c r="EH97" s="482">
        <f t="shared" si="375"/>
        <v>0</v>
      </c>
      <c r="EI97" s="1262"/>
      <c r="EJ97" s="534"/>
      <c r="EK97" s="482">
        <f t="shared" si="376"/>
        <v>0</v>
      </c>
      <c r="EL97" s="1262"/>
      <c r="EM97" s="534"/>
      <c r="EN97" s="482">
        <f t="shared" si="377"/>
        <v>0</v>
      </c>
      <c r="EO97" s="1262"/>
      <c r="EP97" s="534"/>
      <c r="EQ97" s="482">
        <f t="shared" si="378"/>
        <v>0</v>
      </c>
      <c r="ER97" s="1262"/>
      <c r="ES97" s="534"/>
      <c r="ET97" s="482">
        <f t="shared" si="425"/>
        <v>0</v>
      </c>
      <c r="EU97" s="1262"/>
      <c r="EV97" s="534"/>
      <c r="EW97" s="482">
        <f t="shared" si="426"/>
        <v>0</v>
      </c>
      <c r="EX97" s="1262"/>
      <c r="EY97" s="534"/>
      <c r="EZ97" s="482">
        <f t="shared" si="427"/>
        <v>0</v>
      </c>
      <c r="FA97" s="1262"/>
      <c r="FE97"/>
      <c r="FF97"/>
      <c r="FG97"/>
      <c r="FH97"/>
      <c r="FI97"/>
      <c r="FJ97"/>
      <c r="FK97" s="35"/>
    </row>
    <row r="98" spans="2:167" s="236" customFormat="1" ht="13.35" customHeight="1" outlineLevel="2">
      <c r="B98" s="242" t="s">
        <v>464</v>
      </c>
      <c r="C98" s="242" t="s">
        <v>496</v>
      </c>
      <c r="D98" s="243"/>
      <c r="E98" s="522"/>
      <c r="F98" s="510">
        <f t="shared" si="383"/>
        <v>0</v>
      </c>
      <c r="G98" s="523"/>
      <c r="H98" s="524"/>
      <c r="I98" s="510">
        <f t="shared" si="384"/>
        <v>0</v>
      </c>
      <c r="J98" s="523"/>
      <c r="K98" s="524"/>
      <c r="L98" s="510">
        <f t="shared" si="385"/>
        <v>0</v>
      </c>
      <c r="M98" s="523"/>
      <c r="N98" s="524"/>
      <c r="O98" s="510">
        <f t="shared" si="386"/>
        <v>0</v>
      </c>
      <c r="P98" s="523"/>
      <c r="Q98" s="524"/>
      <c r="R98" s="510">
        <f t="shared" si="387"/>
        <v>0</v>
      </c>
      <c r="S98" s="523"/>
      <c r="T98" s="524"/>
      <c r="U98" s="510">
        <f t="shared" si="388"/>
        <v>0</v>
      </c>
      <c r="V98" s="523"/>
      <c r="W98" s="524"/>
      <c r="X98" s="510">
        <f t="shared" si="389"/>
        <v>0</v>
      </c>
      <c r="Y98" s="523"/>
      <c r="Z98" s="524"/>
      <c r="AA98" s="510">
        <f t="shared" si="390"/>
        <v>0</v>
      </c>
      <c r="AB98" s="523"/>
      <c r="AC98" s="524"/>
      <c r="AD98" s="510">
        <f t="shared" si="391"/>
        <v>0</v>
      </c>
      <c r="AE98" s="523"/>
      <c r="AF98" s="524"/>
      <c r="AG98" s="510">
        <f t="shared" si="392"/>
        <v>0</v>
      </c>
      <c r="AH98" s="523"/>
      <c r="AI98" s="524"/>
      <c r="AJ98" s="510">
        <f t="shared" si="393"/>
        <v>0</v>
      </c>
      <c r="AK98" s="523"/>
      <c r="AL98" s="524"/>
      <c r="AM98" s="510">
        <f t="shared" si="394"/>
        <v>0</v>
      </c>
      <c r="AN98" s="523"/>
      <c r="AO98" s="524"/>
      <c r="AP98" s="510">
        <f t="shared" si="395"/>
        <v>0</v>
      </c>
      <c r="AQ98" s="523"/>
      <c r="AR98" s="524"/>
      <c r="AS98" s="510">
        <f t="shared" si="396"/>
        <v>0</v>
      </c>
      <c r="AT98" s="523"/>
      <c r="AU98" s="524"/>
      <c r="AV98" s="510">
        <f t="shared" si="397"/>
        <v>0</v>
      </c>
      <c r="AW98" s="523"/>
      <c r="AX98" s="524"/>
      <c r="AY98" s="510">
        <f t="shared" si="398"/>
        <v>0</v>
      </c>
      <c r="AZ98" s="523"/>
      <c r="BA98" s="524"/>
      <c r="BB98" s="510">
        <f t="shared" si="399"/>
        <v>0</v>
      </c>
      <c r="BC98" s="523"/>
      <c r="BD98" s="524"/>
      <c r="BE98" s="510">
        <f t="shared" si="400"/>
        <v>0</v>
      </c>
      <c r="BF98" s="523"/>
      <c r="BG98" s="524"/>
      <c r="BH98" s="510">
        <f t="shared" si="401"/>
        <v>0</v>
      </c>
      <c r="BI98" s="523"/>
      <c r="BJ98" s="524"/>
      <c r="BK98" s="510">
        <f t="shared" si="402"/>
        <v>0</v>
      </c>
      <c r="BL98" s="523"/>
      <c r="BM98" s="524"/>
      <c r="BN98" s="510">
        <f t="shared" si="403"/>
        <v>0</v>
      </c>
      <c r="BO98" s="523"/>
      <c r="BP98" s="524"/>
      <c r="BQ98" s="510">
        <f t="shared" si="404"/>
        <v>0</v>
      </c>
      <c r="BR98" s="523"/>
      <c r="BS98" s="524"/>
      <c r="BT98" s="510">
        <f t="shared" si="405"/>
        <v>0</v>
      </c>
      <c r="BU98" s="522"/>
      <c r="BV98" s="524"/>
      <c r="BW98" s="510">
        <f t="shared" si="406"/>
        <v>0</v>
      </c>
      <c r="BX98" s="522"/>
      <c r="BY98" s="524"/>
      <c r="BZ98" s="510">
        <f t="shared" si="407"/>
        <v>0</v>
      </c>
      <c r="CA98" s="522"/>
      <c r="CB98" s="524"/>
      <c r="CC98" s="510">
        <f t="shared" si="408"/>
        <v>0</v>
      </c>
      <c r="CD98" s="522"/>
      <c r="CE98" s="524"/>
      <c r="CF98" s="510">
        <f t="shared" si="409"/>
        <v>0</v>
      </c>
      <c r="CG98" s="522"/>
      <c r="CH98" s="524"/>
      <c r="CI98" s="510">
        <f t="shared" si="410"/>
        <v>0</v>
      </c>
      <c r="CJ98" s="522"/>
      <c r="CK98" s="524"/>
      <c r="CL98" s="510">
        <f t="shared" si="411"/>
        <v>0</v>
      </c>
      <c r="CM98" s="522"/>
      <c r="CN98" s="524"/>
      <c r="CO98" s="510">
        <f t="shared" si="412"/>
        <v>0</v>
      </c>
      <c r="CP98" s="522"/>
      <c r="CQ98" s="524"/>
      <c r="CR98" s="510">
        <f t="shared" si="413"/>
        <v>0</v>
      </c>
      <c r="CS98" s="522"/>
      <c r="CT98" s="524"/>
      <c r="CU98" s="510">
        <f t="shared" si="414"/>
        <v>0</v>
      </c>
      <c r="CV98" s="522"/>
      <c r="CW98" s="524"/>
      <c r="CX98" s="510">
        <f t="shared" si="415"/>
        <v>0</v>
      </c>
      <c r="CY98" s="522"/>
      <c r="CZ98" s="524"/>
      <c r="DA98" s="510">
        <f t="shared" si="416"/>
        <v>0</v>
      </c>
      <c r="DB98" s="522"/>
      <c r="DC98" s="524"/>
      <c r="DD98" s="510">
        <f t="shared" si="417"/>
        <v>0</v>
      </c>
      <c r="DE98" s="522"/>
      <c r="DF98" s="524"/>
      <c r="DG98" s="510">
        <f t="shared" si="366"/>
        <v>0</v>
      </c>
      <c r="DH98" s="1259"/>
      <c r="DI98" s="534"/>
      <c r="DJ98" s="482">
        <f t="shared" si="418"/>
        <v>0</v>
      </c>
      <c r="DK98" s="1262"/>
      <c r="DL98" s="534"/>
      <c r="DM98" s="482">
        <f t="shared" si="419"/>
        <v>0</v>
      </c>
      <c r="DN98" s="1262"/>
      <c r="DO98" s="534"/>
      <c r="DP98" s="482">
        <f t="shared" si="420"/>
        <v>0</v>
      </c>
      <c r="DQ98" s="1262"/>
      <c r="DR98" s="534"/>
      <c r="DS98" s="482">
        <f t="shared" si="370"/>
        <v>0</v>
      </c>
      <c r="DT98" s="1262"/>
      <c r="DU98" s="534"/>
      <c r="DV98" s="482">
        <f t="shared" si="424"/>
        <v>0</v>
      </c>
      <c r="DW98" s="1262"/>
      <c r="DX98" s="534"/>
      <c r="DY98" s="482">
        <f t="shared" si="372"/>
        <v>0</v>
      </c>
      <c r="DZ98" s="1262"/>
      <c r="EA98" s="534"/>
      <c r="EB98" s="482">
        <f t="shared" si="373"/>
        <v>0</v>
      </c>
      <c r="EC98" s="1262"/>
      <c r="ED98" s="534"/>
      <c r="EE98" s="482">
        <f t="shared" si="374"/>
        <v>0</v>
      </c>
      <c r="EF98" s="1262"/>
      <c r="EG98" s="534"/>
      <c r="EH98" s="482">
        <f t="shared" si="375"/>
        <v>0</v>
      </c>
      <c r="EI98" s="1262"/>
      <c r="EJ98" s="534"/>
      <c r="EK98" s="482">
        <f t="shared" si="376"/>
        <v>0</v>
      </c>
      <c r="EL98" s="1262"/>
      <c r="EM98" s="534"/>
      <c r="EN98" s="482">
        <f t="shared" si="377"/>
        <v>0</v>
      </c>
      <c r="EO98" s="1262"/>
      <c r="EP98" s="534"/>
      <c r="EQ98" s="482">
        <f t="shared" si="378"/>
        <v>0</v>
      </c>
      <c r="ER98" s="1262"/>
      <c r="ES98" s="534"/>
      <c r="ET98" s="482">
        <f t="shared" si="425"/>
        <v>0</v>
      </c>
      <c r="EU98" s="1262"/>
      <c r="EV98" s="534"/>
      <c r="EW98" s="482">
        <f t="shared" si="426"/>
        <v>0</v>
      </c>
      <c r="EX98" s="1262"/>
      <c r="EY98" s="534"/>
      <c r="EZ98" s="482">
        <f t="shared" si="427"/>
        <v>0</v>
      </c>
      <c r="FA98" s="1262"/>
      <c r="FE98"/>
      <c r="FF98"/>
      <c r="FG98"/>
      <c r="FH98"/>
      <c r="FI98"/>
      <c r="FJ98"/>
      <c r="FK98" s="35"/>
    </row>
    <row r="99" spans="2:167" s="236" customFormat="1" ht="13.35" customHeight="1" outlineLevel="2">
      <c r="B99" s="242" t="s">
        <v>47</v>
      </c>
      <c r="C99" s="242" t="s">
        <v>496</v>
      </c>
      <c r="D99" s="243"/>
      <c r="E99" s="522"/>
      <c r="F99" s="510">
        <f t="shared" si="383"/>
        <v>0</v>
      </c>
      <c r="G99" s="523"/>
      <c r="H99" s="524"/>
      <c r="I99" s="510">
        <f t="shared" si="384"/>
        <v>0</v>
      </c>
      <c r="J99" s="523"/>
      <c r="K99" s="524"/>
      <c r="L99" s="510">
        <f t="shared" si="385"/>
        <v>0</v>
      </c>
      <c r="M99" s="523"/>
      <c r="N99" s="524"/>
      <c r="O99" s="510">
        <f t="shared" si="386"/>
        <v>0</v>
      </c>
      <c r="P99" s="523"/>
      <c r="Q99" s="524"/>
      <c r="R99" s="510">
        <f t="shared" si="387"/>
        <v>0</v>
      </c>
      <c r="S99" s="523"/>
      <c r="T99" s="524"/>
      <c r="U99" s="510">
        <f t="shared" si="388"/>
        <v>0</v>
      </c>
      <c r="V99" s="523"/>
      <c r="W99" s="524"/>
      <c r="X99" s="510">
        <f t="shared" si="389"/>
        <v>0</v>
      </c>
      <c r="Y99" s="523"/>
      <c r="Z99" s="524"/>
      <c r="AA99" s="510">
        <f t="shared" si="390"/>
        <v>0</v>
      </c>
      <c r="AB99" s="523"/>
      <c r="AC99" s="524"/>
      <c r="AD99" s="510">
        <f t="shared" si="391"/>
        <v>0</v>
      </c>
      <c r="AE99" s="523"/>
      <c r="AF99" s="524"/>
      <c r="AG99" s="510">
        <f t="shared" si="392"/>
        <v>0</v>
      </c>
      <c r="AH99" s="523"/>
      <c r="AI99" s="524"/>
      <c r="AJ99" s="510">
        <f t="shared" si="393"/>
        <v>0</v>
      </c>
      <c r="AK99" s="523"/>
      <c r="AL99" s="524"/>
      <c r="AM99" s="510">
        <f t="shared" si="394"/>
        <v>0</v>
      </c>
      <c r="AN99" s="523"/>
      <c r="AO99" s="524"/>
      <c r="AP99" s="510">
        <f t="shared" si="395"/>
        <v>0</v>
      </c>
      <c r="AQ99" s="523"/>
      <c r="AR99" s="524"/>
      <c r="AS99" s="510">
        <f t="shared" si="396"/>
        <v>0</v>
      </c>
      <c r="AT99" s="523"/>
      <c r="AU99" s="524"/>
      <c r="AV99" s="510">
        <f t="shared" si="397"/>
        <v>0</v>
      </c>
      <c r="AW99" s="523"/>
      <c r="AX99" s="524"/>
      <c r="AY99" s="510">
        <f t="shared" si="398"/>
        <v>0</v>
      </c>
      <c r="AZ99" s="523"/>
      <c r="BA99" s="524"/>
      <c r="BB99" s="510">
        <f t="shared" si="399"/>
        <v>0</v>
      </c>
      <c r="BC99" s="523"/>
      <c r="BD99" s="524"/>
      <c r="BE99" s="510">
        <f t="shared" si="400"/>
        <v>0</v>
      </c>
      <c r="BF99" s="523"/>
      <c r="BG99" s="524"/>
      <c r="BH99" s="510">
        <f t="shared" si="401"/>
        <v>0</v>
      </c>
      <c r="BI99" s="523"/>
      <c r="BJ99" s="524"/>
      <c r="BK99" s="510">
        <f t="shared" si="402"/>
        <v>0</v>
      </c>
      <c r="BL99" s="523"/>
      <c r="BM99" s="524"/>
      <c r="BN99" s="510">
        <f t="shared" si="403"/>
        <v>0</v>
      </c>
      <c r="BO99" s="523"/>
      <c r="BP99" s="524"/>
      <c r="BQ99" s="510">
        <f t="shared" si="404"/>
        <v>0</v>
      </c>
      <c r="BR99" s="523"/>
      <c r="BS99" s="524"/>
      <c r="BT99" s="510">
        <f t="shared" si="405"/>
        <v>0</v>
      </c>
      <c r="BU99" s="522"/>
      <c r="BV99" s="524"/>
      <c r="BW99" s="510">
        <f t="shared" si="406"/>
        <v>0</v>
      </c>
      <c r="BX99" s="522"/>
      <c r="BY99" s="524"/>
      <c r="BZ99" s="510">
        <f t="shared" si="407"/>
        <v>0</v>
      </c>
      <c r="CA99" s="522"/>
      <c r="CB99" s="524"/>
      <c r="CC99" s="510">
        <f t="shared" si="408"/>
        <v>0</v>
      </c>
      <c r="CD99" s="522"/>
      <c r="CE99" s="524"/>
      <c r="CF99" s="510">
        <f t="shared" si="409"/>
        <v>0</v>
      </c>
      <c r="CG99" s="522"/>
      <c r="CH99" s="524"/>
      <c r="CI99" s="510">
        <f t="shared" si="410"/>
        <v>0</v>
      </c>
      <c r="CJ99" s="522"/>
      <c r="CK99" s="524"/>
      <c r="CL99" s="510">
        <f t="shared" si="411"/>
        <v>0</v>
      </c>
      <c r="CM99" s="522"/>
      <c r="CN99" s="524"/>
      <c r="CO99" s="510">
        <f t="shared" si="412"/>
        <v>0</v>
      </c>
      <c r="CP99" s="522"/>
      <c r="CQ99" s="524"/>
      <c r="CR99" s="510">
        <f t="shared" si="413"/>
        <v>0</v>
      </c>
      <c r="CS99" s="522"/>
      <c r="CT99" s="524"/>
      <c r="CU99" s="510">
        <f t="shared" si="414"/>
        <v>0</v>
      </c>
      <c r="CV99" s="522"/>
      <c r="CW99" s="524"/>
      <c r="CX99" s="510">
        <f t="shared" si="415"/>
        <v>0</v>
      </c>
      <c r="CY99" s="522"/>
      <c r="CZ99" s="524"/>
      <c r="DA99" s="510">
        <f t="shared" si="416"/>
        <v>0</v>
      </c>
      <c r="DB99" s="522"/>
      <c r="DC99" s="524"/>
      <c r="DD99" s="510">
        <f t="shared" si="417"/>
        <v>0</v>
      </c>
      <c r="DE99" s="522"/>
      <c r="DF99" s="524"/>
      <c r="DG99" s="510">
        <f t="shared" si="366"/>
        <v>0</v>
      </c>
      <c r="DH99" s="1259"/>
      <c r="DI99" s="534"/>
      <c r="DJ99" s="482">
        <f t="shared" si="418"/>
        <v>0</v>
      </c>
      <c r="DK99" s="1262"/>
      <c r="DL99" s="534"/>
      <c r="DM99" s="482">
        <f t="shared" si="419"/>
        <v>0</v>
      </c>
      <c r="DN99" s="1262"/>
      <c r="DO99" s="534"/>
      <c r="DP99" s="482">
        <f t="shared" si="420"/>
        <v>0</v>
      </c>
      <c r="DQ99" s="1262"/>
      <c r="DR99" s="534"/>
      <c r="DS99" s="482">
        <f t="shared" si="370"/>
        <v>0</v>
      </c>
      <c r="DT99" s="1262"/>
      <c r="DU99" s="534"/>
      <c r="DV99" s="482">
        <f t="shared" si="424"/>
        <v>0</v>
      </c>
      <c r="DW99" s="1262"/>
      <c r="DX99" s="534"/>
      <c r="DY99" s="482">
        <f t="shared" si="372"/>
        <v>0</v>
      </c>
      <c r="DZ99" s="1262"/>
      <c r="EA99" s="534"/>
      <c r="EB99" s="482">
        <f t="shared" si="373"/>
        <v>0</v>
      </c>
      <c r="EC99" s="1262"/>
      <c r="ED99" s="534"/>
      <c r="EE99" s="482">
        <f t="shared" si="374"/>
        <v>0</v>
      </c>
      <c r="EF99" s="1262"/>
      <c r="EG99" s="534"/>
      <c r="EH99" s="482">
        <f t="shared" si="375"/>
        <v>0</v>
      </c>
      <c r="EI99" s="1262"/>
      <c r="EJ99" s="534"/>
      <c r="EK99" s="482">
        <f t="shared" si="376"/>
        <v>0</v>
      </c>
      <c r="EL99" s="1262"/>
      <c r="EM99" s="534"/>
      <c r="EN99" s="482">
        <f t="shared" si="377"/>
        <v>0</v>
      </c>
      <c r="EO99" s="1262"/>
      <c r="EP99" s="534"/>
      <c r="EQ99" s="482">
        <f t="shared" si="378"/>
        <v>0</v>
      </c>
      <c r="ER99" s="1262"/>
      <c r="ES99" s="534"/>
      <c r="ET99" s="482">
        <f t="shared" si="425"/>
        <v>0</v>
      </c>
      <c r="EU99" s="1262"/>
      <c r="EV99" s="534"/>
      <c r="EW99" s="482">
        <f t="shared" si="426"/>
        <v>0</v>
      </c>
      <c r="EX99" s="1262"/>
      <c r="EY99" s="534"/>
      <c r="EZ99" s="482">
        <f t="shared" si="427"/>
        <v>0</v>
      </c>
      <c r="FA99" s="1262"/>
      <c r="FE99"/>
      <c r="FF99"/>
      <c r="FG99"/>
      <c r="FH99"/>
      <c r="FI99"/>
      <c r="FJ99"/>
      <c r="FK99" s="35"/>
    </row>
    <row r="100" spans="2:167" s="236" customFormat="1" ht="13.35" customHeight="1" outlineLevel="2">
      <c r="B100" s="242" t="s">
        <v>465</v>
      </c>
      <c r="C100" s="242" t="s">
        <v>496</v>
      </c>
      <c r="D100" s="243"/>
      <c r="E100" s="522"/>
      <c r="F100" s="510">
        <f t="shared" si="383"/>
        <v>0</v>
      </c>
      <c r="G100" s="523"/>
      <c r="H100" s="524"/>
      <c r="I100" s="510">
        <f t="shared" si="384"/>
        <v>0</v>
      </c>
      <c r="J100" s="523"/>
      <c r="K100" s="524"/>
      <c r="L100" s="510">
        <f t="shared" si="385"/>
        <v>0</v>
      </c>
      <c r="M100" s="523"/>
      <c r="N100" s="524"/>
      <c r="O100" s="510">
        <f t="shared" si="386"/>
        <v>0</v>
      </c>
      <c r="P100" s="523"/>
      <c r="Q100" s="524"/>
      <c r="R100" s="510">
        <f t="shared" si="387"/>
        <v>0</v>
      </c>
      <c r="S100" s="523"/>
      <c r="T100" s="524"/>
      <c r="U100" s="510">
        <f t="shared" si="388"/>
        <v>0</v>
      </c>
      <c r="V100" s="523"/>
      <c r="W100" s="524"/>
      <c r="X100" s="510">
        <f t="shared" si="389"/>
        <v>0</v>
      </c>
      <c r="Y100" s="523"/>
      <c r="Z100" s="524"/>
      <c r="AA100" s="510">
        <f t="shared" si="390"/>
        <v>0</v>
      </c>
      <c r="AB100" s="523"/>
      <c r="AC100" s="524"/>
      <c r="AD100" s="510">
        <f t="shared" si="391"/>
        <v>0</v>
      </c>
      <c r="AE100" s="523"/>
      <c r="AF100" s="524"/>
      <c r="AG100" s="510">
        <f t="shared" si="392"/>
        <v>0</v>
      </c>
      <c r="AH100" s="523"/>
      <c r="AI100" s="524"/>
      <c r="AJ100" s="510">
        <f t="shared" si="393"/>
        <v>0</v>
      </c>
      <c r="AK100" s="523"/>
      <c r="AL100" s="524"/>
      <c r="AM100" s="510">
        <f t="shared" si="394"/>
        <v>0</v>
      </c>
      <c r="AN100" s="523"/>
      <c r="AO100" s="524"/>
      <c r="AP100" s="510">
        <f t="shared" si="395"/>
        <v>0</v>
      </c>
      <c r="AQ100" s="523"/>
      <c r="AR100" s="524"/>
      <c r="AS100" s="510">
        <f t="shared" si="396"/>
        <v>0</v>
      </c>
      <c r="AT100" s="523"/>
      <c r="AU100" s="524"/>
      <c r="AV100" s="510">
        <f t="shared" si="397"/>
        <v>0</v>
      </c>
      <c r="AW100" s="523"/>
      <c r="AX100" s="524"/>
      <c r="AY100" s="510">
        <f t="shared" si="398"/>
        <v>0</v>
      </c>
      <c r="AZ100" s="523"/>
      <c r="BA100" s="524"/>
      <c r="BB100" s="510">
        <f t="shared" si="399"/>
        <v>0</v>
      </c>
      <c r="BC100" s="523"/>
      <c r="BD100" s="524"/>
      <c r="BE100" s="510">
        <f t="shared" si="400"/>
        <v>0</v>
      </c>
      <c r="BF100" s="523"/>
      <c r="BG100" s="524"/>
      <c r="BH100" s="510">
        <f t="shared" si="401"/>
        <v>0</v>
      </c>
      <c r="BI100" s="523"/>
      <c r="BJ100" s="524"/>
      <c r="BK100" s="510">
        <f t="shared" si="402"/>
        <v>0</v>
      </c>
      <c r="BL100" s="523"/>
      <c r="BM100" s="524"/>
      <c r="BN100" s="510">
        <f t="shared" si="403"/>
        <v>0</v>
      </c>
      <c r="BO100" s="523"/>
      <c r="BP100" s="524"/>
      <c r="BQ100" s="510">
        <f t="shared" si="404"/>
        <v>0</v>
      </c>
      <c r="BR100" s="523"/>
      <c r="BS100" s="524"/>
      <c r="BT100" s="510">
        <f t="shared" si="405"/>
        <v>0</v>
      </c>
      <c r="BU100" s="522"/>
      <c r="BV100" s="524"/>
      <c r="BW100" s="510">
        <f t="shared" si="406"/>
        <v>0</v>
      </c>
      <c r="BX100" s="522"/>
      <c r="BY100" s="524"/>
      <c r="BZ100" s="510">
        <f t="shared" si="407"/>
        <v>0</v>
      </c>
      <c r="CA100" s="522"/>
      <c r="CB100" s="524"/>
      <c r="CC100" s="510">
        <f t="shared" si="408"/>
        <v>0</v>
      </c>
      <c r="CD100" s="522"/>
      <c r="CE100" s="524"/>
      <c r="CF100" s="510">
        <f t="shared" si="409"/>
        <v>0</v>
      </c>
      <c r="CG100" s="522"/>
      <c r="CH100" s="524"/>
      <c r="CI100" s="510">
        <f t="shared" si="410"/>
        <v>0</v>
      </c>
      <c r="CJ100" s="522"/>
      <c r="CK100" s="524"/>
      <c r="CL100" s="510">
        <f t="shared" si="411"/>
        <v>0</v>
      </c>
      <c r="CM100" s="522"/>
      <c r="CN100" s="524"/>
      <c r="CO100" s="510">
        <f t="shared" si="412"/>
        <v>0</v>
      </c>
      <c r="CP100" s="522"/>
      <c r="CQ100" s="524"/>
      <c r="CR100" s="510">
        <f t="shared" si="413"/>
        <v>0</v>
      </c>
      <c r="CS100" s="522"/>
      <c r="CT100" s="524"/>
      <c r="CU100" s="510">
        <f t="shared" si="414"/>
        <v>0</v>
      </c>
      <c r="CV100" s="522"/>
      <c r="CW100" s="524"/>
      <c r="CX100" s="510">
        <f t="shared" si="415"/>
        <v>0</v>
      </c>
      <c r="CY100" s="522"/>
      <c r="CZ100" s="524"/>
      <c r="DA100" s="510">
        <f t="shared" si="416"/>
        <v>0</v>
      </c>
      <c r="DB100" s="522"/>
      <c r="DC100" s="524"/>
      <c r="DD100" s="510">
        <f t="shared" si="417"/>
        <v>0</v>
      </c>
      <c r="DE100" s="522"/>
      <c r="DF100" s="524"/>
      <c r="DG100" s="510">
        <f t="shared" si="366"/>
        <v>0</v>
      </c>
      <c r="DH100" s="1259"/>
      <c r="DI100" s="534"/>
      <c r="DJ100" s="482">
        <f t="shared" si="418"/>
        <v>0</v>
      </c>
      <c r="DK100" s="1262"/>
      <c r="DL100" s="534"/>
      <c r="DM100" s="482">
        <f t="shared" si="419"/>
        <v>0</v>
      </c>
      <c r="DN100" s="1262"/>
      <c r="DO100" s="534"/>
      <c r="DP100" s="482">
        <f t="shared" si="420"/>
        <v>0</v>
      </c>
      <c r="DQ100" s="1262"/>
      <c r="DR100" s="534"/>
      <c r="DS100" s="482">
        <f t="shared" si="370"/>
        <v>0</v>
      </c>
      <c r="DT100" s="1262"/>
      <c r="DU100" s="534"/>
      <c r="DV100" s="482">
        <f t="shared" si="424"/>
        <v>0</v>
      </c>
      <c r="DW100" s="1262"/>
      <c r="DX100" s="534"/>
      <c r="DY100" s="482">
        <f t="shared" si="372"/>
        <v>0</v>
      </c>
      <c r="DZ100" s="1262"/>
      <c r="EA100" s="534"/>
      <c r="EB100" s="482">
        <f t="shared" si="373"/>
        <v>0</v>
      </c>
      <c r="EC100" s="1262"/>
      <c r="ED100" s="534"/>
      <c r="EE100" s="482">
        <f t="shared" si="374"/>
        <v>0</v>
      </c>
      <c r="EF100" s="1262"/>
      <c r="EG100" s="534"/>
      <c r="EH100" s="482">
        <f t="shared" si="375"/>
        <v>0</v>
      </c>
      <c r="EI100" s="1262"/>
      <c r="EJ100" s="534"/>
      <c r="EK100" s="482">
        <f t="shared" si="376"/>
        <v>0</v>
      </c>
      <c r="EL100" s="1262"/>
      <c r="EM100" s="534"/>
      <c r="EN100" s="482">
        <f t="shared" si="377"/>
        <v>0</v>
      </c>
      <c r="EO100" s="1262"/>
      <c r="EP100" s="534"/>
      <c r="EQ100" s="482">
        <f t="shared" si="378"/>
        <v>0</v>
      </c>
      <c r="ER100" s="1262"/>
      <c r="ES100" s="534"/>
      <c r="ET100" s="482">
        <f t="shared" si="425"/>
        <v>0</v>
      </c>
      <c r="EU100" s="1262"/>
      <c r="EV100" s="534"/>
      <c r="EW100" s="482">
        <f t="shared" si="426"/>
        <v>0</v>
      </c>
      <c r="EX100" s="1262"/>
      <c r="EY100" s="534"/>
      <c r="EZ100" s="482">
        <f t="shared" si="427"/>
        <v>0</v>
      </c>
      <c r="FA100" s="1262"/>
      <c r="FE100"/>
      <c r="FF100"/>
      <c r="FG100"/>
      <c r="FH100"/>
      <c r="FI100"/>
      <c r="FJ100"/>
      <c r="FK100" s="35"/>
    </row>
    <row r="101" spans="2:167" s="236" customFormat="1" ht="13.35" customHeight="1" outlineLevel="2">
      <c r="B101" s="242" t="s">
        <v>47</v>
      </c>
      <c r="C101" s="242" t="s">
        <v>496</v>
      </c>
      <c r="D101" s="243"/>
      <c r="E101" s="522"/>
      <c r="F101" s="510">
        <f t="shared" si="383"/>
        <v>0</v>
      </c>
      <c r="G101" s="523"/>
      <c r="H101" s="524"/>
      <c r="I101" s="510">
        <f t="shared" si="384"/>
        <v>0</v>
      </c>
      <c r="J101" s="523"/>
      <c r="K101" s="524"/>
      <c r="L101" s="510">
        <f t="shared" si="385"/>
        <v>0</v>
      </c>
      <c r="M101" s="523"/>
      <c r="N101" s="524"/>
      <c r="O101" s="510">
        <f t="shared" si="386"/>
        <v>0</v>
      </c>
      <c r="P101" s="523"/>
      <c r="Q101" s="524"/>
      <c r="R101" s="510">
        <f t="shared" si="387"/>
        <v>0</v>
      </c>
      <c r="S101" s="523"/>
      <c r="T101" s="524"/>
      <c r="U101" s="510">
        <f t="shared" si="388"/>
        <v>0</v>
      </c>
      <c r="V101" s="523"/>
      <c r="W101" s="524"/>
      <c r="X101" s="510">
        <f t="shared" si="389"/>
        <v>0</v>
      </c>
      <c r="Y101" s="523"/>
      <c r="Z101" s="524"/>
      <c r="AA101" s="510">
        <f t="shared" si="390"/>
        <v>0</v>
      </c>
      <c r="AB101" s="523"/>
      <c r="AC101" s="524"/>
      <c r="AD101" s="510">
        <f t="shared" si="391"/>
        <v>0</v>
      </c>
      <c r="AE101" s="523"/>
      <c r="AF101" s="524"/>
      <c r="AG101" s="510">
        <f t="shared" si="392"/>
        <v>0</v>
      </c>
      <c r="AH101" s="523"/>
      <c r="AI101" s="524"/>
      <c r="AJ101" s="510">
        <f t="shared" si="393"/>
        <v>0</v>
      </c>
      <c r="AK101" s="523"/>
      <c r="AL101" s="524"/>
      <c r="AM101" s="510">
        <f t="shared" si="394"/>
        <v>0</v>
      </c>
      <c r="AN101" s="523"/>
      <c r="AO101" s="524"/>
      <c r="AP101" s="510">
        <f t="shared" si="395"/>
        <v>0</v>
      </c>
      <c r="AQ101" s="523"/>
      <c r="AR101" s="524"/>
      <c r="AS101" s="510">
        <f t="shared" si="396"/>
        <v>0</v>
      </c>
      <c r="AT101" s="523"/>
      <c r="AU101" s="524"/>
      <c r="AV101" s="510">
        <f t="shared" si="397"/>
        <v>0</v>
      </c>
      <c r="AW101" s="523"/>
      <c r="AX101" s="524"/>
      <c r="AY101" s="510">
        <f t="shared" si="398"/>
        <v>0</v>
      </c>
      <c r="AZ101" s="523"/>
      <c r="BA101" s="524"/>
      <c r="BB101" s="510">
        <f t="shared" si="399"/>
        <v>0</v>
      </c>
      <c r="BC101" s="523"/>
      <c r="BD101" s="524"/>
      <c r="BE101" s="510">
        <f t="shared" si="400"/>
        <v>0</v>
      </c>
      <c r="BF101" s="523"/>
      <c r="BG101" s="524"/>
      <c r="BH101" s="510">
        <f t="shared" si="401"/>
        <v>0</v>
      </c>
      <c r="BI101" s="523"/>
      <c r="BJ101" s="524"/>
      <c r="BK101" s="510">
        <f t="shared" si="402"/>
        <v>0</v>
      </c>
      <c r="BL101" s="523"/>
      <c r="BM101" s="524"/>
      <c r="BN101" s="510">
        <f t="shared" si="403"/>
        <v>0</v>
      </c>
      <c r="BO101" s="523"/>
      <c r="BP101" s="524"/>
      <c r="BQ101" s="510">
        <f t="shared" si="404"/>
        <v>0</v>
      </c>
      <c r="BR101" s="523"/>
      <c r="BS101" s="524"/>
      <c r="BT101" s="510">
        <f t="shared" si="405"/>
        <v>0</v>
      </c>
      <c r="BU101" s="522"/>
      <c r="BV101" s="524"/>
      <c r="BW101" s="510">
        <f t="shared" si="406"/>
        <v>0</v>
      </c>
      <c r="BX101" s="522"/>
      <c r="BY101" s="524"/>
      <c r="BZ101" s="510">
        <f t="shared" si="407"/>
        <v>0</v>
      </c>
      <c r="CA101" s="522"/>
      <c r="CB101" s="524"/>
      <c r="CC101" s="510">
        <f t="shared" si="408"/>
        <v>0</v>
      </c>
      <c r="CD101" s="522"/>
      <c r="CE101" s="524"/>
      <c r="CF101" s="510">
        <f t="shared" si="409"/>
        <v>0</v>
      </c>
      <c r="CG101" s="522"/>
      <c r="CH101" s="524"/>
      <c r="CI101" s="510">
        <f t="shared" si="410"/>
        <v>0</v>
      </c>
      <c r="CJ101" s="522"/>
      <c r="CK101" s="524"/>
      <c r="CL101" s="510">
        <f t="shared" si="411"/>
        <v>0</v>
      </c>
      <c r="CM101" s="522"/>
      <c r="CN101" s="524"/>
      <c r="CO101" s="510">
        <f t="shared" si="412"/>
        <v>0</v>
      </c>
      <c r="CP101" s="522"/>
      <c r="CQ101" s="524"/>
      <c r="CR101" s="510">
        <f t="shared" si="413"/>
        <v>0</v>
      </c>
      <c r="CS101" s="522"/>
      <c r="CT101" s="524"/>
      <c r="CU101" s="510">
        <f t="shared" si="414"/>
        <v>0</v>
      </c>
      <c r="CV101" s="522"/>
      <c r="CW101" s="524"/>
      <c r="CX101" s="510">
        <f t="shared" si="415"/>
        <v>0</v>
      </c>
      <c r="CY101" s="522"/>
      <c r="CZ101" s="524"/>
      <c r="DA101" s="510">
        <f t="shared" si="416"/>
        <v>0</v>
      </c>
      <c r="DB101" s="522"/>
      <c r="DC101" s="524"/>
      <c r="DD101" s="510">
        <f t="shared" si="417"/>
        <v>0</v>
      </c>
      <c r="DE101" s="522"/>
      <c r="DF101" s="524"/>
      <c r="DG101" s="510">
        <f t="shared" si="366"/>
        <v>0</v>
      </c>
      <c r="DH101" s="1259"/>
      <c r="DI101" s="534"/>
      <c r="DJ101" s="482">
        <f t="shared" si="418"/>
        <v>0</v>
      </c>
      <c r="DK101" s="1262"/>
      <c r="DL101" s="534"/>
      <c r="DM101" s="482">
        <f t="shared" si="419"/>
        <v>0</v>
      </c>
      <c r="DN101" s="1262"/>
      <c r="DO101" s="534"/>
      <c r="DP101" s="482">
        <f t="shared" si="420"/>
        <v>0</v>
      </c>
      <c r="DQ101" s="1262"/>
      <c r="DR101" s="534"/>
      <c r="DS101" s="482">
        <f t="shared" si="370"/>
        <v>0</v>
      </c>
      <c r="DT101" s="1262"/>
      <c r="DU101" s="534"/>
      <c r="DV101" s="482">
        <f t="shared" si="424"/>
        <v>0</v>
      </c>
      <c r="DW101" s="1262"/>
      <c r="DX101" s="534"/>
      <c r="DY101" s="482">
        <f t="shared" si="372"/>
        <v>0</v>
      </c>
      <c r="DZ101" s="1262"/>
      <c r="EA101" s="534"/>
      <c r="EB101" s="482">
        <f t="shared" si="373"/>
        <v>0</v>
      </c>
      <c r="EC101" s="1262"/>
      <c r="ED101" s="534"/>
      <c r="EE101" s="482">
        <f t="shared" si="374"/>
        <v>0</v>
      </c>
      <c r="EF101" s="1262"/>
      <c r="EG101" s="534"/>
      <c r="EH101" s="482">
        <f t="shared" si="375"/>
        <v>0</v>
      </c>
      <c r="EI101" s="1262"/>
      <c r="EJ101" s="534"/>
      <c r="EK101" s="482">
        <f t="shared" si="376"/>
        <v>0</v>
      </c>
      <c r="EL101" s="1262"/>
      <c r="EM101" s="534"/>
      <c r="EN101" s="482">
        <f t="shared" si="377"/>
        <v>0</v>
      </c>
      <c r="EO101" s="1262"/>
      <c r="EP101" s="534"/>
      <c r="EQ101" s="482">
        <f t="shared" si="378"/>
        <v>0</v>
      </c>
      <c r="ER101" s="1262"/>
      <c r="ES101" s="534"/>
      <c r="ET101" s="482">
        <f t="shared" si="425"/>
        <v>0</v>
      </c>
      <c r="EU101" s="1262"/>
      <c r="EV101" s="534"/>
      <c r="EW101" s="482">
        <f t="shared" si="426"/>
        <v>0</v>
      </c>
      <c r="EX101" s="1262"/>
      <c r="EY101" s="534"/>
      <c r="EZ101" s="482">
        <f t="shared" si="427"/>
        <v>0</v>
      </c>
      <c r="FA101" s="1262"/>
      <c r="FE101"/>
      <c r="FF101"/>
      <c r="FG101"/>
      <c r="FH101"/>
      <c r="FI101"/>
      <c r="FJ101"/>
      <c r="FK101" s="35"/>
    </row>
    <row r="102" spans="2:167" s="236" customFormat="1" ht="13.35" customHeight="1" outlineLevel="2">
      <c r="B102" s="242" t="s">
        <v>466</v>
      </c>
      <c r="C102" s="242" t="s">
        <v>496</v>
      </c>
      <c r="D102" s="243"/>
      <c r="E102" s="522"/>
      <c r="F102" s="510">
        <f t="shared" si="383"/>
        <v>0</v>
      </c>
      <c r="G102" s="523"/>
      <c r="H102" s="524"/>
      <c r="I102" s="510">
        <f t="shared" si="384"/>
        <v>0</v>
      </c>
      <c r="J102" s="523"/>
      <c r="K102" s="524"/>
      <c r="L102" s="510">
        <f t="shared" si="385"/>
        <v>0</v>
      </c>
      <c r="M102" s="523"/>
      <c r="N102" s="524"/>
      <c r="O102" s="510">
        <f t="shared" si="386"/>
        <v>0</v>
      </c>
      <c r="P102" s="523"/>
      <c r="Q102" s="524"/>
      <c r="R102" s="510">
        <f t="shared" si="387"/>
        <v>0</v>
      </c>
      <c r="S102" s="523"/>
      <c r="T102" s="524"/>
      <c r="U102" s="510">
        <f t="shared" si="388"/>
        <v>0</v>
      </c>
      <c r="V102" s="523"/>
      <c r="W102" s="524"/>
      <c r="X102" s="510">
        <f t="shared" si="389"/>
        <v>0</v>
      </c>
      <c r="Y102" s="523"/>
      <c r="Z102" s="524"/>
      <c r="AA102" s="510">
        <f t="shared" si="390"/>
        <v>0</v>
      </c>
      <c r="AB102" s="523"/>
      <c r="AC102" s="524"/>
      <c r="AD102" s="510">
        <f t="shared" si="391"/>
        <v>0</v>
      </c>
      <c r="AE102" s="523"/>
      <c r="AF102" s="524"/>
      <c r="AG102" s="510">
        <f t="shared" si="392"/>
        <v>0</v>
      </c>
      <c r="AH102" s="523"/>
      <c r="AI102" s="524"/>
      <c r="AJ102" s="510">
        <f t="shared" si="393"/>
        <v>0</v>
      </c>
      <c r="AK102" s="523"/>
      <c r="AL102" s="524"/>
      <c r="AM102" s="510">
        <f t="shared" si="394"/>
        <v>0</v>
      </c>
      <c r="AN102" s="523"/>
      <c r="AO102" s="524"/>
      <c r="AP102" s="510">
        <f t="shared" si="395"/>
        <v>0</v>
      </c>
      <c r="AQ102" s="523"/>
      <c r="AR102" s="524"/>
      <c r="AS102" s="510">
        <f t="shared" si="396"/>
        <v>0</v>
      </c>
      <c r="AT102" s="523"/>
      <c r="AU102" s="524"/>
      <c r="AV102" s="510">
        <f t="shared" si="397"/>
        <v>0</v>
      </c>
      <c r="AW102" s="523"/>
      <c r="AX102" s="524"/>
      <c r="AY102" s="510">
        <f t="shared" si="398"/>
        <v>0</v>
      </c>
      <c r="AZ102" s="523"/>
      <c r="BA102" s="524"/>
      <c r="BB102" s="510">
        <f t="shared" si="399"/>
        <v>0</v>
      </c>
      <c r="BC102" s="523"/>
      <c r="BD102" s="524"/>
      <c r="BE102" s="510">
        <f t="shared" si="400"/>
        <v>0</v>
      </c>
      <c r="BF102" s="523"/>
      <c r="BG102" s="524"/>
      <c r="BH102" s="510">
        <f t="shared" si="401"/>
        <v>0</v>
      </c>
      <c r="BI102" s="523"/>
      <c r="BJ102" s="524"/>
      <c r="BK102" s="510">
        <f t="shared" si="402"/>
        <v>0</v>
      </c>
      <c r="BL102" s="523"/>
      <c r="BM102" s="524"/>
      <c r="BN102" s="510">
        <f t="shared" si="403"/>
        <v>0</v>
      </c>
      <c r="BO102" s="523"/>
      <c r="BP102" s="524"/>
      <c r="BQ102" s="510">
        <f t="shared" si="404"/>
        <v>0</v>
      </c>
      <c r="BR102" s="523"/>
      <c r="BS102" s="524"/>
      <c r="BT102" s="510">
        <f t="shared" si="405"/>
        <v>0</v>
      </c>
      <c r="BU102" s="522"/>
      <c r="BV102" s="524"/>
      <c r="BW102" s="510">
        <f t="shared" si="406"/>
        <v>0</v>
      </c>
      <c r="BX102" s="522"/>
      <c r="BY102" s="524"/>
      <c r="BZ102" s="510">
        <f t="shared" si="407"/>
        <v>0</v>
      </c>
      <c r="CA102" s="522"/>
      <c r="CB102" s="524"/>
      <c r="CC102" s="510">
        <f t="shared" si="408"/>
        <v>0</v>
      </c>
      <c r="CD102" s="522"/>
      <c r="CE102" s="524"/>
      <c r="CF102" s="510">
        <f t="shared" si="409"/>
        <v>0</v>
      </c>
      <c r="CG102" s="522"/>
      <c r="CH102" s="524"/>
      <c r="CI102" s="510">
        <f t="shared" si="410"/>
        <v>0</v>
      </c>
      <c r="CJ102" s="522"/>
      <c r="CK102" s="524"/>
      <c r="CL102" s="510">
        <f t="shared" si="411"/>
        <v>0</v>
      </c>
      <c r="CM102" s="522"/>
      <c r="CN102" s="524"/>
      <c r="CO102" s="510">
        <f t="shared" si="412"/>
        <v>0</v>
      </c>
      <c r="CP102" s="522"/>
      <c r="CQ102" s="524"/>
      <c r="CR102" s="510">
        <f t="shared" si="413"/>
        <v>0</v>
      </c>
      <c r="CS102" s="522"/>
      <c r="CT102" s="524"/>
      <c r="CU102" s="510">
        <f t="shared" si="414"/>
        <v>0</v>
      </c>
      <c r="CV102" s="522"/>
      <c r="CW102" s="524"/>
      <c r="CX102" s="510">
        <f t="shared" si="415"/>
        <v>0</v>
      </c>
      <c r="CY102" s="522"/>
      <c r="CZ102" s="524"/>
      <c r="DA102" s="510">
        <f t="shared" si="416"/>
        <v>0</v>
      </c>
      <c r="DB102" s="522"/>
      <c r="DC102" s="524"/>
      <c r="DD102" s="510">
        <f t="shared" si="417"/>
        <v>0</v>
      </c>
      <c r="DE102" s="522"/>
      <c r="DF102" s="524"/>
      <c r="DG102" s="510">
        <f t="shared" si="366"/>
        <v>0</v>
      </c>
      <c r="DH102" s="1259"/>
      <c r="DI102" s="534"/>
      <c r="DJ102" s="482">
        <f t="shared" si="418"/>
        <v>0</v>
      </c>
      <c r="DK102" s="1262"/>
      <c r="DL102" s="534"/>
      <c r="DM102" s="482">
        <f t="shared" si="419"/>
        <v>0</v>
      </c>
      <c r="DN102" s="1262"/>
      <c r="DO102" s="534"/>
      <c r="DP102" s="482">
        <f t="shared" si="420"/>
        <v>0</v>
      </c>
      <c r="DQ102" s="1262"/>
      <c r="DR102" s="534"/>
      <c r="DS102" s="482">
        <f t="shared" si="370"/>
        <v>0</v>
      </c>
      <c r="DT102" s="1262"/>
      <c r="DU102" s="534"/>
      <c r="DV102" s="482">
        <f t="shared" si="424"/>
        <v>0</v>
      </c>
      <c r="DW102" s="1262"/>
      <c r="DX102" s="534"/>
      <c r="DY102" s="482">
        <f t="shared" si="372"/>
        <v>0</v>
      </c>
      <c r="DZ102" s="1262"/>
      <c r="EA102" s="534"/>
      <c r="EB102" s="482">
        <f t="shared" si="373"/>
        <v>0</v>
      </c>
      <c r="EC102" s="1262"/>
      <c r="ED102" s="534"/>
      <c r="EE102" s="482">
        <f t="shared" si="374"/>
        <v>0</v>
      </c>
      <c r="EF102" s="1262"/>
      <c r="EG102" s="534"/>
      <c r="EH102" s="482">
        <f t="shared" si="375"/>
        <v>0</v>
      </c>
      <c r="EI102" s="1262"/>
      <c r="EJ102" s="534"/>
      <c r="EK102" s="482">
        <f t="shared" si="376"/>
        <v>0</v>
      </c>
      <c r="EL102" s="1262"/>
      <c r="EM102" s="534"/>
      <c r="EN102" s="482">
        <f t="shared" si="377"/>
        <v>0</v>
      </c>
      <c r="EO102" s="1262"/>
      <c r="EP102" s="534"/>
      <c r="EQ102" s="482">
        <f t="shared" si="378"/>
        <v>0</v>
      </c>
      <c r="ER102" s="1262"/>
      <c r="ES102" s="534"/>
      <c r="ET102" s="482">
        <f t="shared" si="425"/>
        <v>0</v>
      </c>
      <c r="EU102" s="1262"/>
      <c r="EV102" s="534"/>
      <c r="EW102" s="482">
        <f t="shared" si="426"/>
        <v>0</v>
      </c>
      <c r="EX102" s="1262"/>
      <c r="EY102" s="534"/>
      <c r="EZ102" s="482">
        <f t="shared" si="427"/>
        <v>0</v>
      </c>
      <c r="FA102" s="1262"/>
      <c r="FE102"/>
      <c r="FF102"/>
      <c r="FG102"/>
      <c r="FH102"/>
      <c r="FI102"/>
      <c r="FJ102"/>
      <c r="FK102" s="35"/>
    </row>
    <row r="103" spans="2:167" s="236" customFormat="1" ht="13.35" customHeight="1" outlineLevel="2">
      <c r="B103" s="242" t="s">
        <v>47</v>
      </c>
      <c r="C103" s="242" t="s">
        <v>496</v>
      </c>
      <c r="D103" s="243"/>
      <c r="E103" s="522"/>
      <c r="F103" s="510">
        <f t="shared" si="383"/>
        <v>0</v>
      </c>
      <c r="G103" s="523"/>
      <c r="H103" s="524"/>
      <c r="I103" s="510">
        <f t="shared" si="384"/>
        <v>0</v>
      </c>
      <c r="J103" s="523"/>
      <c r="K103" s="524"/>
      <c r="L103" s="510">
        <f t="shared" si="385"/>
        <v>0</v>
      </c>
      <c r="M103" s="523"/>
      <c r="N103" s="524"/>
      <c r="O103" s="510">
        <f t="shared" si="386"/>
        <v>0</v>
      </c>
      <c r="P103" s="523"/>
      <c r="Q103" s="524"/>
      <c r="R103" s="510">
        <f t="shared" si="387"/>
        <v>0</v>
      </c>
      <c r="S103" s="523"/>
      <c r="T103" s="524"/>
      <c r="U103" s="510">
        <f t="shared" si="388"/>
        <v>0</v>
      </c>
      <c r="V103" s="523"/>
      <c r="W103" s="524"/>
      <c r="X103" s="510">
        <f t="shared" si="389"/>
        <v>0</v>
      </c>
      <c r="Y103" s="523"/>
      <c r="Z103" s="524"/>
      <c r="AA103" s="510">
        <f t="shared" si="390"/>
        <v>0</v>
      </c>
      <c r="AB103" s="523"/>
      <c r="AC103" s="524"/>
      <c r="AD103" s="510">
        <f t="shared" si="391"/>
        <v>0</v>
      </c>
      <c r="AE103" s="523"/>
      <c r="AF103" s="524"/>
      <c r="AG103" s="510">
        <f t="shared" si="392"/>
        <v>0</v>
      </c>
      <c r="AH103" s="523"/>
      <c r="AI103" s="524"/>
      <c r="AJ103" s="510">
        <f t="shared" si="393"/>
        <v>0</v>
      </c>
      <c r="AK103" s="523"/>
      <c r="AL103" s="524"/>
      <c r="AM103" s="510">
        <f t="shared" si="394"/>
        <v>0</v>
      </c>
      <c r="AN103" s="523"/>
      <c r="AO103" s="524"/>
      <c r="AP103" s="510">
        <f t="shared" si="395"/>
        <v>0</v>
      </c>
      <c r="AQ103" s="523"/>
      <c r="AR103" s="524"/>
      <c r="AS103" s="510">
        <f t="shared" si="396"/>
        <v>0</v>
      </c>
      <c r="AT103" s="523"/>
      <c r="AU103" s="524"/>
      <c r="AV103" s="510">
        <f t="shared" si="397"/>
        <v>0</v>
      </c>
      <c r="AW103" s="523"/>
      <c r="AX103" s="524"/>
      <c r="AY103" s="510">
        <f t="shared" si="398"/>
        <v>0</v>
      </c>
      <c r="AZ103" s="523"/>
      <c r="BA103" s="524"/>
      <c r="BB103" s="510">
        <f t="shared" si="399"/>
        <v>0</v>
      </c>
      <c r="BC103" s="523"/>
      <c r="BD103" s="524"/>
      <c r="BE103" s="510">
        <f t="shared" si="400"/>
        <v>0</v>
      </c>
      <c r="BF103" s="523"/>
      <c r="BG103" s="524"/>
      <c r="BH103" s="510">
        <f t="shared" si="401"/>
        <v>0</v>
      </c>
      <c r="BI103" s="523"/>
      <c r="BJ103" s="524"/>
      <c r="BK103" s="510">
        <f t="shared" si="402"/>
        <v>0</v>
      </c>
      <c r="BL103" s="523"/>
      <c r="BM103" s="524"/>
      <c r="BN103" s="510">
        <f t="shared" si="403"/>
        <v>0</v>
      </c>
      <c r="BO103" s="523"/>
      <c r="BP103" s="524"/>
      <c r="BQ103" s="510">
        <f t="shared" si="404"/>
        <v>0</v>
      </c>
      <c r="BR103" s="523"/>
      <c r="BS103" s="524"/>
      <c r="BT103" s="510">
        <f t="shared" si="405"/>
        <v>0</v>
      </c>
      <c r="BU103" s="522"/>
      <c r="BV103" s="524"/>
      <c r="BW103" s="510">
        <f t="shared" si="406"/>
        <v>0</v>
      </c>
      <c r="BX103" s="522"/>
      <c r="BY103" s="524"/>
      <c r="BZ103" s="510">
        <f t="shared" si="407"/>
        <v>0</v>
      </c>
      <c r="CA103" s="522"/>
      <c r="CB103" s="524"/>
      <c r="CC103" s="510">
        <f t="shared" si="408"/>
        <v>0</v>
      </c>
      <c r="CD103" s="522"/>
      <c r="CE103" s="524"/>
      <c r="CF103" s="510">
        <f t="shared" si="409"/>
        <v>0</v>
      </c>
      <c r="CG103" s="522"/>
      <c r="CH103" s="524"/>
      <c r="CI103" s="510">
        <f t="shared" si="410"/>
        <v>0</v>
      </c>
      <c r="CJ103" s="522"/>
      <c r="CK103" s="524"/>
      <c r="CL103" s="510">
        <f t="shared" si="411"/>
        <v>0</v>
      </c>
      <c r="CM103" s="522"/>
      <c r="CN103" s="524"/>
      <c r="CO103" s="510">
        <f t="shared" si="412"/>
        <v>0</v>
      </c>
      <c r="CP103" s="522"/>
      <c r="CQ103" s="524"/>
      <c r="CR103" s="510">
        <f t="shared" si="413"/>
        <v>0</v>
      </c>
      <c r="CS103" s="522"/>
      <c r="CT103" s="524"/>
      <c r="CU103" s="510">
        <f t="shared" si="414"/>
        <v>0</v>
      </c>
      <c r="CV103" s="522"/>
      <c r="CW103" s="524"/>
      <c r="CX103" s="510">
        <f t="shared" si="415"/>
        <v>0</v>
      </c>
      <c r="CY103" s="522"/>
      <c r="CZ103" s="524"/>
      <c r="DA103" s="510">
        <f t="shared" si="416"/>
        <v>0</v>
      </c>
      <c r="DB103" s="522"/>
      <c r="DC103" s="524"/>
      <c r="DD103" s="510">
        <f t="shared" si="417"/>
        <v>0</v>
      </c>
      <c r="DE103" s="522"/>
      <c r="DF103" s="524"/>
      <c r="DG103" s="510">
        <f t="shared" si="366"/>
        <v>0</v>
      </c>
      <c r="DH103" s="1259"/>
      <c r="DI103" s="534"/>
      <c r="DJ103" s="482">
        <f t="shared" si="418"/>
        <v>0</v>
      </c>
      <c r="DK103" s="1262"/>
      <c r="DL103" s="534"/>
      <c r="DM103" s="482">
        <f t="shared" si="419"/>
        <v>0</v>
      </c>
      <c r="DN103" s="1262"/>
      <c r="DO103" s="534"/>
      <c r="DP103" s="482">
        <f t="shared" si="420"/>
        <v>0</v>
      </c>
      <c r="DQ103" s="1262"/>
      <c r="DR103" s="534"/>
      <c r="DS103" s="482">
        <f t="shared" si="370"/>
        <v>0</v>
      </c>
      <c r="DT103" s="1262"/>
      <c r="DU103" s="534"/>
      <c r="DV103" s="482">
        <f t="shared" si="424"/>
        <v>0</v>
      </c>
      <c r="DW103" s="1262"/>
      <c r="DX103" s="534"/>
      <c r="DY103" s="482">
        <f>+DZ103-DX103</f>
        <v>0</v>
      </c>
      <c r="DZ103" s="1262"/>
      <c r="EA103" s="534"/>
      <c r="EB103" s="482">
        <f t="shared" si="373"/>
        <v>0</v>
      </c>
      <c r="EC103" s="1262"/>
      <c r="ED103" s="534"/>
      <c r="EE103" s="482">
        <f t="shared" si="374"/>
        <v>0</v>
      </c>
      <c r="EF103" s="1262"/>
      <c r="EG103" s="534"/>
      <c r="EH103" s="482">
        <f t="shared" si="375"/>
        <v>0</v>
      </c>
      <c r="EI103" s="1262"/>
      <c r="EJ103" s="534"/>
      <c r="EK103" s="482">
        <f t="shared" si="376"/>
        <v>0</v>
      </c>
      <c r="EL103" s="1262"/>
      <c r="EM103" s="534"/>
      <c r="EN103" s="482">
        <f t="shared" si="377"/>
        <v>0</v>
      </c>
      <c r="EO103" s="1262"/>
      <c r="EP103" s="534"/>
      <c r="EQ103" s="482">
        <f t="shared" si="378"/>
        <v>0</v>
      </c>
      <c r="ER103" s="1262"/>
      <c r="ES103" s="534"/>
      <c r="ET103" s="482">
        <f t="shared" si="425"/>
        <v>0</v>
      </c>
      <c r="EU103" s="1262"/>
      <c r="EV103" s="534"/>
      <c r="EW103" s="482">
        <f t="shared" si="426"/>
        <v>0</v>
      </c>
      <c r="EX103" s="1262"/>
      <c r="EY103" s="534"/>
      <c r="EZ103" s="482">
        <f t="shared" si="427"/>
        <v>0</v>
      </c>
      <c r="FA103" s="1262"/>
      <c r="FE103"/>
      <c r="FF103"/>
      <c r="FG103"/>
      <c r="FH103"/>
      <c r="FI103"/>
      <c r="FJ103"/>
      <c r="FK103" s="35"/>
    </row>
    <row r="104" spans="2:167" s="236" customFormat="1" ht="13.35" customHeight="1" outlineLevel="2">
      <c r="B104" s="242" t="s">
        <v>467</v>
      </c>
      <c r="C104" s="242" t="s">
        <v>496</v>
      </c>
      <c r="D104" s="243"/>
      <c r="E104" s="522"/>
      <c r="F104" s="510">
        <f t="shared" si="383"/>
        <v>0</v>
      </c>
      <c r="G104" s="523"/>
      <c r="H104" s="524"/>
      <c r="I104" s="510">
        <f t="shared" si="384"/>
        <v>0</v>
      </c>
      <c r="J104" s="523"/>
      <c r="K104" s="524"/>
      <c r="L104" s="510">
        <f t="shared" si="385"/>
        <v>0</v>
      </c>
      <c r="M104" s="523"/>
      <c r="N104" s="524"/>
      <c r="O104" s="510">
        <f t="shared" si="386"/>
        <v>0</v>
      </c>
      <c r="P104" s="523"/>
      <c r="Q104" s="524"/>
      <c r="R104" s="510">
        <f t="shared" si="387"/>
        <v>0</v>
      </c>
      <c r="S104" s="523"/>
      <c r="T104" s="524"/>
      <c r="U104" s="510">
        <f t="shared" si="388"/>
        <v>0</v>
      </c>
      <c r="V104" s="523"/>
      <c r="W104" s="524"/>
      <c r="X104" s="510">
        <f t="shared" si="389"/>
        <v>0</v>
      </c>
      <c r="Y104" s="523"/>
      <c r="Z104" s="524"/>
      <c r="AA104" s="510">
        <f t="shared" si="390"/>
        <v>0</v>
      </c>
      <c r="AB104" s="523"/>
      <c r="AC104" s="524"/>
      <c r="AD104" s="510">
        <f t="shared" si="391"/>
        <v>0</v>
      </c>
      <c r="AE104" s="523"/>
      <c r="AF104" s="524"/>
      <c r="AG104" s="510">
        <f t="shared" si="392"/>
        <v>0</v>
      </c>
      <c r="AH104" s="523"/>
      <c r="AI104" s="524"/>
      <c r="AJ104" s="510">
        <f t="shared" si="393"/>
        <v>0</v>
      </c>
      <c r="AK104" s="523"/>
      <c r="AL104" s="524"/>
      <c r="AM104" s="510">
        <f t="shared" si="394"/>
        <v>0</v>
      </c>
      <c r="AN104" s="523"/>
      <c r="AO104" s="524"/>
      <c r="AP104" s="510">
        <f t="shared" si="395"/>
        <v>0</v>
      </c>
      <c r="AQ104" s="523"/>
      <c r="AR104" s="524"/>
      <c r="AS104" s="510">
        <f t="shared" si="396"/>
        <v>0</v>
      </c>
      <c r="AT104" s="523"/>
      <c r="AU104" s="524"/>
      <c r="AV104" s="510">
        <f t="shared" si="397"/>
        <v>0</v>
      </c>
      <c r="AW104" s="523"/>
      <c r="AX104" s="524"/>
      <c r="AY104" s="510">
        <f t="shared" si="398"/>
        <v>0</v>
      </c>
      <c r="AZ104" s="523"/>
      <c r="BA104" s="524"/>
      <c r="BB104" s="510">
        <f t="shared" si="399"/>
        <v>0</v>
      </c>
      <c r="BC104" s="523"/>
      <c r="BD104" s="524"/>
      <c r="BE104" s="510">
        <f t="shared" si="400"/>
        <v>0</v>
      </c>
      <c r="BF104" s="523"/>
      <c r="BG104" s="524"/>
      <c r="BH104" s="510">
        <f t="shared" si="401"/>
        <v>0</v>
      </c>
      <c r="BI104" s="523"/>
      <c r="BJ104" s="524"/>
      <c r="BK104" s="510">
        <f t="shared" si="402"/>
        <v>0</v>
      </c>
      <c r="BL104" s="523"/>
      <c r="BM104" s="524"/>
      <c r="BN104" s="510">
        <f t="shared" si="403"/>
        <v>0</v>
      </c>
      <c r="BO104" s="523"/>
      <c r="BP104" s="524"/>
      <c r="BQ104" s="510">
        <f t="shared" si="404"/>
        <v>0</v>
      </c>
      <c r="BR104" s="523"/>
      <c r="BS104" s="524"/>
      <c r="BT104" s="510">
        <f t="shared" si="405"/>
        <v>0</v>
      </c>
      <c r="BU104" s="522"/>
      <c r="BV104" s="524"/>
      <c r="BW104" s="510">
        <f t="shared" si="406"/>
        <v>0</v>
      </c>
      <c r="BX104" s="522"/>
      <c r="BY104" s="524"/>
      <c r="BZ104" s="510">
        <f t="shared" si="407"/>
        <v>0</v>
      </c>
      <c r="CA104" s="522"/>
      <c r="CB104" s="524"/>
      <c r="CC104" s="510">
        <f t="shared" si="408"/>
        <v>0</v>
      </c>
      <c r="CD104" s="522"/>
      <c r="CE104" s="524"/>
      <c r="CF104" s="510">
        <f t="shared" si="409"/>
        <v>0</v>
      </c>
      <c r="CG104" s="522"/>
      <c r="CH104" s="524"/>
      <c r="CI104" s="510">
        <f t="shared" si="410"/>
        <v>0</v>
      </c>
      <c r="CJ104" s="522"/>
      <c r="CK104" s="524"/>
      <c r="CL104" s="510">
        <f t="shared" si="411"/>
        <v>0</v>
      </c>
      <c r="CM104" s="522"/>
      <c r="CN104" s="524"/>
      <c r="CO104" s="510">
        <f t="shared" si="412"/>
        <v>0</v>
      </c>
      <c r="CP104" s="522"/>
      <c r="CQ104" s="524"/>
      <c r="CR104" s="510">
        <f t="shared" si="413"/>
        <v>0</v>
      </c>
      <c r="CS104" s="522"/>
      <c r="CT104" s="524"/>
      <c r="CU104" s="510">
        <f t="shared" si="414"/>
        <v>0</v>
      </c>
      <c r="CV104" s="522"/>
      <c r="CW104" s="524"/>
      <c r="CX104" s="510">
        <f t="shared" si="415"/>
        <v>0</v>
      </c>
      <c r="CY104" s="522"/>
      <c r="CZ104" s="524"/>
      <c r="DA104" s="510">
        <f t="shared" si="416"/>
        <v>0</v>
      </c>
      <c r="DB104" s="522"/>
      <c r="DC104" s="524"/>
      <c r="DD104" s="510">
        <f t="shared" si="417"/>
        <v>0</v>
      </c>
      <c r="DE104" s="522"/>
      <c r="DF104" s="524"/>
      <c r="DG104" s="510">
        <f t="shared" si="366"/>
        <v>0</v>
      </c>
      <c r="DH104" s="1259"/>
      <c r="DI104" s="534"/>
      <c r="DJ104" s="482">
        <f t="shared" si="418"/>
        <v>0</v>
      </c>
      <c r="DK104" s="1262"/>
      <c r="DL104" s="534"/>
      <c r="DM104" s="482">
        <f t="shared" si="419"/>
        <v>0</v>
      </c>
      <c r="DN104" s="1262"/>
      <c r="DO104" s="534"/>
      <c r="DP104" s="482">
        <f t="shared" si="420"/>
        <v>0</v>
      </c>
      <c r="DQ104" s="1262"/>
      <c r="DR104" s="534"/>
      <c r="DS104" s="482">
        <f t="shared" si="370"/>
        <v>0</v>
      </c>
      <c r="DT104" s="1262"/>
      <c r="DU104" s="534"/>
      <c r="DV104" s="482">
        <f t="shared" si="424"/>
        <v>0</v>
      </c>
      <c r="DW104" s="1262"/>
      <c r="DX104" s="534"/>
      <c r="DY104" s="482">
        <f>+DZ104-DX104</f>
        <v>0</v>
      </c>
      <c r="DZ104" s="1262"/>
      <c r="EA104" s="534"/>
      <c r="EB104" s="482">
        <f t="shared" si="373"/>
        <v>0</v>
      </c>
      <c r="EC104" s="1262"/>
      <c r="ED104" s="534"/>
      <c r="EE104" s="482">
        <f t="shared" si="374"/>
        <v>0</v>
      </c>
      <c r="EF104" s="1262"/>
      <c r="EG104" s="534"/>
      <c r="EH104" s="482">
        <f t="shared" si="375"/>
        <v>0</v>
      </c>
      <c r="EI104" s="1262"/>
      <c r="EJ104" s="534"/>
      <c r="EK104" s="482">
        <f t="shared" si="376"/>
        <v>0</v>
      </c>
      <c r="EL104" s="1262"/>
      <c r="EM104" s="534"/>
      <c r="EN104" s="482">
        <f t="shared" si="377"/>
        <v>0</v>
      </c>
      <c r="EO104" s="1262"/>
      <c r="EP104" s="534"/>
      <c r="EQ104" s="482">
        <f t="shared" si="378"/>
        <v>0</v>
      </c>
      <c r="ER104" s="1262"/>
      <c r="ES104" s="534"/>
      <c r="ET104" s="482">
        <f t="shared" si="425"/>
        <v>0</v>
      </c>
      <c r="EU104" s="1262"/>
      <c r="EV104" s="534"/>
      <c r="EW104" s="482">
        <f t="shared" si="426"/>
        <v>0</v>
      </c>
      <c r="EX104" s="1262"/>
      <c r="EY104" s="534"/>
      <c r="EZ104" s="482">
        <f t="shared" si="427"/>
        <v>0</v>
      </c>
      <c r="FA104" s="1262"/>
      <c r="FE104"/>
      <c r="FF104"/>
      <c r="FG104"/>
      <c r="FH104"/>
      <c r="FI104"/>
      <c r="FJ104"/>
      <c r="FK104" s="35"/>
    </row>
    <row r="105" spans="2:167" s="236" customFormat="1" ht="13.35" customHeight="1" outlineLevel="2">
      <c r="B105" s="242" t="s">
        <v>47</v>
      </c>
      <c r="C105" s="242" t="s">
        <v>496</v>
      </c>
      <c r="D105" s="243"/>
      <c r="E105" s="522"/>
      <c r="F105" s="510">
        <f t="shared" si="383"/>
        <v>0</v>
      </c>
      <c r="G105" s="523"/>
      <c r="H105" s="524"/>
      <c r="I105" s="510">
        <f t="shared" si="384"/>
        <v>0</v>
      </c>
      <c r="J105" s="523"/>
      <c r="K105" s="524"/>
      <c r="L105" s="510">
        <f t="shared" si="385"/>
        <v>0</v>
      </c>
      <c r="M105" s="523"/>
      <c r="N105" s="524"/>
      <c r="O105" s="510">
        <f t="shared" si="386"/>
        <v>0</v>
      </c>
      <c r="P105" s="523"/>
      <c r="Q105" s="524"/>
      <c r="R105" s="510">
        <f t="shared" si="387"/>
        <v>0</v>
      </c>
      <c r="S105" s="523"/>
      <c r="T105" s="524"/>
      <c r="U105" s="510">
        <f t="shared" si="388"/>
        <v>0</v>
      </c>
      <c r="V105" s="523"/>
      <c r="W105" s="524"/>
      <c r="X105" s="510">
        <f t="shared" si="389"/>
        <v>0</v>
      </c>
      <c r="Y105" s="523"/>
      <c r="Z105" s="524"/>
      <c r="AA105" s="510">
        <f t="shared" si="390"/>
        <v>0</v>
      </c>
      <c r="AB105" s="523"/>
      <c r="AC105" s="524"/>
      <c r="AD105" s="510">
        <f t="shared" si="391"/>
        <v>0</v>
      </c>
      <c r="AE105" s="523"/>
      <c r="AF105" s="524"/>
      <c r="AG105" s="510">
        <f t="shared" si="392"/>
        <v>0</v>
      </c>
      <c r="AH105" s="523"/>
      <c r="AI105" s="524"/>
      <c r="AJ105" s="510">
        <f t="shared" si="393"/>
        <v>0</v>
      </c>
      <c r="AK105" s="523"/>
      <c r="AL105" s="524"/>
      <c r="AM105" s="510">
        <f t="shared" si="394"/>
        <v>0</v>
      </c>
      <c r="AN105" s="523"/>
      <c r="AO105" s="524"/>
      <c r="AP105" s="510">
        <f t="shared" si="395"/>
        <v>0</v>
      </c>
      <c r="AQ105" s="523"/>
      <c r="AR105" s="524"/>
      <c r="AS105" s="510">
        <f t="shared" si="396"/>
        <v>0</v>
      </c>
      <c r="AT105" s="523"/>
      <c r="AU105" s="524"/>
      <c r="AV105" s="510">
        <f t="shared" si="397"/>
        <v>0</v>
      </c>
      <c r="AW105" s="523"/>
      <c r="AX105" s="524"/>
      <c r="AY105" s="510">
        <f t="shared" si="398"/>
        <v>0</v>
      </c>
      <c r="AZ105" s="523"/>
      <c r="BA105" s="524"/>
      <c r="BB105" s="510">
        <f t="shared" si="399"/>
        <v>0</v>
      </c>
      <c r="BC105" s="523"/>
      <c r="BD105" s="524"/>
      <c r="BE105" s="510">
        <f t="shared" si="400"/>
        <v>0</v>
      </c>
      <c r="BF105" s="523"/>
      <c r="BG105" s="524"/>
      <c r="BH105" s="510">
        <f t="shared" si="401"/>
        <v>0</v>
      </c>
      <c r="BI105" s="523"/>
      <c r="BJ105" s="524"/>
      <c r="BK105" s="510">
        <f t="shared" si="402"/>
        <v>0</v>
      </c>
      <c r="BL105" s="523"/>
      <c r="BM105" s="524"/>
      <c r="BN105" s="510">
        <f t="shared" si="403"/>
        <v>0</v>
      </c>
      <c r="BO105" s="523"/>
      <c r="BP105" s="524"/>
      <c r="BQ105" s="510">
        <f t="shared" si="404"/>
        <v>0</v>
      </c>
      <c r="BR105" s="523"/>
      <c r="BS105" s="524"/>
      <c r="BT105" s="510">
        <f t="shared" si="405"/>
        <v>0</v>
      </c>
      <c r="BU105" s="522"/>
      <c r="BV105" s="524"/>
      <c r="BW105" s="510">
        <f t="shared" si="406"/>
        <v>0</v>
      </c>
      <c r="BX105" s="522"/>
      <c r="BY105" s="524"/>
      <c r="BZ105" s="510">
        <f t="shared" si="407"/>
        <v>0</v>
      </c>
      <c r="CA105" s="522"/>
      <c r="CB105" s="524"/>
      <c r="CC105" s="510">
        <f t="shared" si="408"/>
        <v>0</v>
      </c>
      <c r="CD105" s="522"/>
      <c r="CE105" s="524"/>
      <c r="CF105" s="510">
        <f t="shared" si="409"/>
        <v>0</v>
      </c>
      <c r="CG105" s="522"/>
      <c r="CH105" s="524"/>
      <c r="CI105" s="510">
        <f t="shared" si="410"/>
        <v>0</v>
      </c>
      <c r="CJ105" s="522"/>
      <c r="CK105" s="524"/>
      <c r="CL105" s="510">
        <f t="shared" si="411"/>
        <v>0</v>
      </c>
      <c r="CM105" s="522"/>
      <c r="CN105" s="524"/>
      <c r="CO105" s="510">
        <f t="shared" si="412"/>
        <v>0</v>
      </c>
      <c r="CP105" s="522"/>
      <c r="CQ105" s="524"/>
      <c r="CR105" s="510">
        <f t="shared" si="413"/>
        <v>0</v>
      </c>
      <c r="CS105" s="522"/>
      <c r="CT105" s="524"/>
      <c r="CU105" s="510">
        <f t="shared" si="414"/>
        <v>0</v>
      </c>
      <c r="CV105" s="522"/>
      <c r="CW105" s="524"/>
      <c r="CX105" s="510">
        <f t="shared" si="415"/>
        <v>0</v>
      </c>
      <c r="CY105" s="522"/>
      <c r="CZ105" s="524"/>
      <c r="DA105" s="510">
        <f t="shared" si="416"/>
        <v>0</v>
      </c>
      <c r="DB105" s="522"/>
      <c r="DC105" s="524"/>
      <c r="DD105" s="510">
        <f t="shared" si="417"/>
        <v>0</v>
      </c>
      <c r="DE105" s="522"/>
      <c r="DF105" s="524"/>
      <c r="DG105" s="510">
        <f t="shared" si="366"/>
        <v>0</v>
      </c>
      <c r="DH105" s="1259"/>
      <c r="DI105" s="534"/>
      <c r="DJ105" s="482">
        <f t="shared" si="418"/>
        <v>0</v>
      </c>
      <c r="DK105" s="1262"/>
      <c r="DL105" s="534"/>
      <c r="DM105" s="482">
        <f t="shared" si="419"/>
        <v>0</v>
      </c>
      <c r="DN105" s="1262"/>
      <c r="DO105" s="534"/>
      <c r="DP105" s="482">
        <f t="shared" si="420"/>
        <v>0</v>
      </c>
      <c r="DQ105" s="1262"/>
      <c r="DR105" s="534"/>
      <c r="DS105" s="482">
        <f t="shared" si="370"/>
        <v>0</v>
      </c>
      <c r="DT105" s="1262"/>
      <c r="DU105" s="534"/>
      <c r="DV105" s="482">
        <f t="shared" si="424"/>
        <v>0</v>
      </c>
      <c r="DW105" s="1262"/>
      <c r="DX105" s="534"/>
      <c r="DY105" s="482">
        <f t="shared" si="372"/>
        <v>0</v>
      </c>
      <c r="DZ105" s="1262"/>
      <c r="EA105" s="534"/>
      <c r="EB105" s="482">
        <f t="shared" si="373"/>
        <v>0</v>
      </c>
      <c r="EC105" s="1262"/>
      <c r="ED105" s="534"/>
      <c r="EE105" s="482">
        <f t="shared" si="374"/>
        <v>0</v>
      </c>
      <c r="EF105" s="1262"/>
      <c r="EG105" s="534"/>
      <c r="EH105" s="482">
        <f t="shared" si="375"/>
        <v>0</v>
      </c>
      <c r="EI105" s="1262"/>
      <c r="EJ105" s="534"/>
      <c r="EK105" s="482">
        <f t="shared" si="376"/>
        <v>0</v>
      </c>
      <c r="EL105" s="1262"/>
      <c r="EM105" s="534"/>
      <c r="EN105" s="482">
        <f t="shared" si="377"/>
        <v>0</v>
      </c>
      <c r="EO105" s="1262"/>
      <c r="EP105" s="534"/>
      <c r="EQ105" s="482">
        <f t="shared" si="378"/>
        <v>0</v>
      </c>
      <c r="ER105" s="1262"/>
      <c r="ES105" s="534"/>
      <c r="ET105" s="482">
        <f t="shared" si="425"/>
        <v>0</v>
      </c>
      <c r="EU105" s="1262"/>
      <c r="EV105" s="534"/>
      <c r="EW105" s="482">
        <f t="shared" si="426"/>
        <v>0</v>
      </c>
      <c r="EX105" s="1262"/>
      <c r="EY105" s="534"/>
      <c r="EZ105" s="482">
        <f t="shared" si="427"/>
        <v>0</v>
      </c>
      <c r="FA105" s="1262"/>
      <c r="FE105"/>
      <c r="FF105"/>
      <c r="FG105"/>
      <c r="FH105"/>
      <c r="FI105"/>
      <c r="FJ105"/>
      <c r="FK105" s="35"/>
    </row>
    <row r="106" spans="2:167" s="236" customFormat="1" ht="13.35" customHeight="1" outlineLevel="2">
      <c r="B106" s="242" t="s">
        <v>736</v>
      </c>
      <c r="C106" s="242" t="s">
        <v>496</v>
      </c>
      <c r="D106" s="243"/>
      <c r="E106" s="522"/>
      <c r="F106" s="510">
        <f t="shared" si="383"/>
        <v>0</v>
      </c>
      <c r="G106" s="523"/>
      <c r="H106" s="524"/>
      <c r="I106" s="510">
        <f t="shared" si="384"/>
        <v>0</v>
      </c>
      <c r="J106" s="523"/>
      <c r="K106" s="524"/>
      <c r="L106" s="510">
        <f t="shared" si="385"/>
        <v>0</v>
      </c>
      <c r="M106" s="523"/>
      <c r="N106" s="524"/>
      <c r="O106" s="510">
        <f t="shared" si="386"/>
        <v>0</v>
      </c>
      <c r="P106" s="523"/>
      <c r="Q106" s="524"/>
      <c r="R106" s="510">
        <f t="shared" si="387"/>
        <v>0</v>
      </c>
      <c r="S106" s="523"/>
      <c r="T106" s="524"/>
      <c r="U106" s="510">
        <f t="shared" si="388"/>
        <v>0</v>
      </c>
      <c r="V106" s="523"/>
      <c r="W106" s="524"/>
      <c r="X106" s="510">
        <f t="shared" si="389"/>
        <v>0</v>
      </c>
      <c r="Y106" s="523"/>
      <c r="Z106" s="524"/>
      <c r="AA106" s="510">
        <f t="shared" si="390"/>
        <v>0</v>
      </c>
      <c r="AB106" s="523"/>
      <c r="AC106" s="524"/>
      <c r="AD106" s="510">
        <f t="shared" si="391"/>
        <v>0</v>
      </c>
      <c r="AE106" s="523"/>
      <c r="AF106" s="524"/>
      <c r="AG106" s="510">
        <f t="shared" si="392"/>
        <v>0</v>
      </c>
      <c r="AH106" s="523"/>
      <c r="AI106" s="524"/>
      <c r="AJ106" s="510">
        <f t="shared" si="393"/>
        <v>0</v>
      </c>
      <c r="AK106" s="523"/>
      <c r="AL106" s="524"/>
      <c r="AM106" s="510">
        <f t="shared" si="394"/>
        <v>0</v>
      </c>
      <c r="AN106" s="523"/>
      <c r="AO106" s="524"/>
      <c r="AP106" s="510">
        <f t="shared" si="395"/>
        <v>0</v>
      </c>
      <c r="AQ106" s="523"/>
      <c r="AR106" s="524"/>
      <c r="AS106" s="510">
        <f t="shared" si="396"/>
        <v>0</v>
      </c>
      <c r="AT106" s="523"/>
      <c r="AU106" s="524"/>
      <c r="AV106" s="510">
        <f t="shared" si="397"/>
        <v>0</v>
      </c>
      <c r="AW106" s="523"/>
      <c r="AX106" s="524"/>
      <c r="AY106" s="510">
        <f t="shared" si="398"/>
        <v>0</v>
      </c>
      <c r="AZ106" s="523"/>
      <c r="BA106" s="524"/>
      <c r="BB106" s="510">
        <f t="shared" si="399"/>
        <v>0</v>
      </c>
      <c r="BC106" s="523"/>
      <c r="BD106" s="524"/>
      <c r="BE106" s="510">
        <f t="shared" si="400"/>
        <v>0</v>
      </c>
      <c r="BF106" s="523"/>
      <c r="BG106" s="524"/>
      <c r="BH106" s="510">
        <f t="shared" si="401"/>
        <v>0</v>
      </c>
      <c r="BI106" s="523"/>
      <c r="BJ106" s="524"/>
      <c r="BK106" s="510">
        <f t="shared" si="402"/>
        <v>0</v>
      </c>
      <c r="BL106" s="523"/>
      <c r="BM106" s="524"/>
      <c r="BN106" s="510">
        <f t="shared" si="403"/>
        <v>0</v>
      </c>
      <c r="BO106" s="523"/>
      <c r="BP106" s="524"/>
      <c r="BQ106" s="510">
        <f t="shared" si="404"/>
        <v>0</v>
      </c>
      <c r="BR106" s="523"/>
      <c r="BS106" s="524"/>
      <c r="BT106" s="510">
        <f t="shared" si="405"/>
        <v>0</v>
      </c>
      <c r="BU106" s="522"/>
      <c r="BV106" s="524"/>
      <c r="BW106" s="510">
        <f t="shared" si="406"/>
        <v>0</v>
      </c>
      <c r="BX106" s="522"/>
      <c r="BY106" s="524"/>
      <c r="BZ106" s="510">
        <f t="shared" si="407"/>
        <v>0</v>
      </c>
      <c r="CA106" s="522"/>
      <c r="CB106" s="524"/>
      <c r="CC106" s="510">
        <f t="shared" si="408"/>
        <v>0</v>
      </c>
      <c r="CD106" s="522"/>
      <c r="CE106" s="524"/>
      <c r="CF106" s="510">
        <f t="shared" si="409"/>
        <v>0</v>
      </c>
      <c r="CG106" s="522"/>
      <c r="CH106" s="524"/>
      <c r="CI106" s="510">
        <f t="shared" si="410"/>
        <v>0</v>
      </c>
      <c r="CJ106" s="522"/>
      <c r="CK106" s="524"/>
      <c r="CL106" s="510">
        <f t="shared" si="411"/>
        <v>0</v>
      </c>
      <c r="CM106" s="522"/>
      <c r="CN106" s="524"/>
      <c r="CO106" s="510">
        <f t="shared" si="412"/>
        <v>0</v>
      </c>
      <c r="CP106" s="522"/>
      <c r="CQ106" s="524"/>
      <c r="CR106" s="510">
        <f t="shared" si="413"/>
        <v>0</v>
      </c>
      <c r="CS106" s="522"/>
      <c r="CT106" s="524"/>
      <c r="CU106" s="510">
        <f t="shared" si="414"/>
        <v>0</v>
      </c>
      <c r="CV106" s="522"/>
      <c r="CW106" s="524"/>
      <c r="CX106" s="510">
        <f t="shared" si="415"/>
        <v>0</v>
      </c>
      <c r="CY106" s="522"/>
      <c r="CZ106" s="524"/>
      <c r="DA106" s="510">
        <f t="shared" si="416"/>
        <v>0</v>
      </c>
      <c r="DB106" s="522"/>
      <c r="DC106" s="524"/>
      <c r="DD106" s="510">
        <f t="shared" si="417"/>
        <v>0</v>
      </c>
      <c r="DE106" s="522"/>
      <c r="DF106" s="524"/>
      <c r="DG106" s="510">
        <f t="shared" si="366"/>
        <v>0</v>
      </c>
      <c r="DH106" s="1259"/>
      <c r="DI106" s="534"/>
      <c r="DJ106" s="482">
        <f t="shared" si="418"/>
        <v>0</v>
      </c>
      <c r="DK106" s="1262"/>
      <c r="DL106" s="534"/>
      <c r="DM106" s="482">
        <f t="shared" si="419"/>
        <v>0</v>
      </c>
      <c r="DN106" s="1262"/>
      <c r="DO106" s="534"/>
      <c r="DP106" s="482">
        <f t="shared" si="420"/>
        <v>0</v>
      </c>
      <c r="DQ106" s="1262"/>
      <c r="DR106" s="534"/>
      <c r="DS106" s="482">
        <f t="shared" si="370"/>
        <v>0</v>
      </c>
      <c r="DT106" s="1262"/>
      <c r="DU106" s="534"/>
      <c r="DV106" s="482">
        <f t="shared" si="424"/>
        <v>0</v>
      </c>
      <c r="DW106" s="1262"/>
      <c r="DX106" s="534"/>
      <c r="DY106" s="482">
        <f t="shared" si="372"/>
        <v>0</v>
      </c>
      <c r="DZ106" s="1262"/>
      <c r="EA106" s="534"/>
      <c r="EB106" s="482">
        <f t="shared" si="373"/>
        <v>0</v>
      </c>
      <c r="EC106" s="1262"/>
      <c r="ED106" s="534"/>
      <c r="EE106" s="482">
        <f t="shared" si="374"/>
        <v>0</v>
      </c>
      <c r="EF106" s="1262"/>
      <c r="EG106" s="534"/>
      <c r="EH106" s="482">
        <f t="shared" si="375"/>
        <v>0</v>
      </c>
      <c r="EI106" s="1262"/>
      <c r="EJ106" s="534"/>
      <c r="EK106" s="482">
        <f t="shared" si="376"/>
        <v>0</v>
      </c>
      <c r="EL106" s="1262"/>
      <c r="EM106" s="534"/>
      <c r="EN106" s="482">
        <f t="shared" si="377"/>
        <v>0</v>
      </c>
      <c r="EO106" s="1262"/>
      <c r="EP106" s="534"/>
      <c r="EQ106" s="482">
        <f t="shared" si="378"/>
        <v>0</v>
      </c>
      <c r="ER106" s="1262"/>
      <c r="ES106" s="534"/>
      <c r="ET106" s="482">
        <f t="shared" si="425"/>
        <v>0</v>
      </c>
      <c r="EU106" s="1262"/>
      <c r="EV106" s="534"/>
      <c r="EW106" s="482">
        <f t="shared" si="426"/>
        <v>0</v>
      </c>
      <c r="EX106" s="1262"/>
      <c r="EY106" s="534"/>
      <c r="EZ106" s="482">
        <f t="shared" si="427"/>
        <v>0</v>
      </c>
      <c r="FA106" s="1262"/>
      <c r="FE106"/>
      <c r="FF106"/>
      <c r="FG106"/>
      <c r="FH106"/>
      <c r="FI106"/>
      <c r="FJ106"/>
      <c r="FK106" s="35"/>
    </row>
    <row r="107" spans="2:167" s="236" customFormat="1" ht="13.35" customHeight="1" outlineLevel="2">
      <c r="B107" s="242" t="s">
        <v>47</v>
      </c>
      <c r="C107" s="242" t="s">
        <v>496</v>
      </c>
      <c r="D107" s="243"/>
      <c r="E107" s="522"/>
      <c r="F107" s="510">
        <f t="shared" si="383"/>
        <v>0</v>
      </c>
      <c r="G107" s="523"/>
      <c r="H107" s="524"/>
      <c r="I107" s="510">
        <f t="shared" si="384"/>
        <v>0</v>
      </c>
      <c r="J107" s="523"/>
      <c r="K107" s="524"/>
      <c r="L107" s="510">
        <f t="shared" si="385"/>
        <v>0</v>
      </c>
      <c r="M107" s="523"/>
      <c r="N107" s="524"/>
      <c r="O107" s="510">
        <f t="shared" si="386"/>
        <v>0</v>
      </c>
      <c r="P107" s="523"/>
      <c r="Q107" s="524"/>
      <c r="R107" s="510">
        <f t="shared" si="387"/>
        <v>0</v>
      </c>
      <c r="S107" s="523"/>
      <c r="T107" s="524"/>
      <c r="U107" s="510">
        <f t="shared" si="388"/>
        <v>0</v>
      </c>
      <c r="V107" s="523"/>
      <c r="W107" s="524"/>
      <c r="X107" s="510">
        <f t="shared" si="389"/>
        <v>0</v>
      </c>
      <c r="Y107" s="523"/>
      <c r="Z107" s="524"/>
      <c r="AA107" s="510">
        <f t="shared" si="390"/>
        <v>0</v>
      </c>
      <c r="AB107" s="523"/>
      <c r="AC107" s="524"/>
      <c r="AD107" s="510">
        <f t="shared" si="391"/>
        <v>0</v>
      </c>
      <c r="AE107" s="523"/>
      <c r="AF107" s="524"/>
      <c r="AG107" s="510">
        <f t="shared" si="392"/>
        <v>0</v>
      </c>
      <c r="AH107" s="523"/>
      <c r="AI107" s="524"/>
      <c r="AJ107" s="510">
        <f t="shared" si="393"/>
        <v>0</v>
      </c>
      <c r="AK107" s="523"/>
      <c r="AL107" s="524"/>
      <c r="AM107" s="510">
        <f t="shared" si="394"/>
        <v>0</v>
      </c>
      <c r="AN107" s="523"/>
      <c r="AO107" s="524"/>
      <c r="AP107" s="510">
        <f t="shared" si="395"/>
        <v>0</v>
      </c>
      <c r="AQ107" s="523"/>
      <c r="AR107" s="524"/>
      <c r="AS107" s="510">
        <f t="shared" si="396"/>
        <v>0</v>
      </c>
      <c r="AT107" s="523"/>
      <c r="AU107" s="524"/>
      <c r="AV107" s="510">
        <f t="shared" si="397"/>
        <v>0</v>
      </c>
      <c r="AW107" s="523"/>
      <c r="AX107" s="524"/>
      <c r="AY107" s="510">
        <f t="shared" si="398"/>
        <v>0</v>
      </c>
      <c r="AZ107" s="523"/>
      <c r="BA107" s="524"/>
      <c r="BB107" s="510">
        <f t="shared" si="399"/>
        <v>0</v>
      </c>
      <c r="BC107" s="523"/>
      <c r="BD107" s="524"/>
      <c r="BE107" s="510">
        <f t="shared" si="400"/>
        <v>0</v>
      </c>
      <c r="BF107" s="523"/>
      <c r="BG107" s="524"/>
      <c r="BH107" s="510">
        <f t="shared" si="401"/>
        <v>0</v>
      </c>
      <c r="BI107" s="523"/>
      <c r="BJ107" s="524"/>
      <c r="BK107" s="510">
        <f t="shared" si="402"/>
        <v>0</v>
      </c>
      <c r="BL107" s="523"/>
      <c r="BM107" s="524"/>
      <c r="BN107" s="510">
        <f t="shared" si="403"/>
        <v>0</v>
      </c>
      <c r="BO107" s="523"/>
      <c r="BP107" s="524"/>
      <c r="BQ107" s="510">
        <f t="shared" si="404"/>
        <v>0</v>
      </c>
      <c r="BR107" s="523"/>
      <c r="BS107" s="524"/>
      <c r="BT107" s="510">
        <f t="shared" si="405"/>
        <v>0</v>
      </c>
      <c r="BU107" s="522"/>
      <c r="BV107" s="524"/>
      <c r="BW107" s="510">
        <f t="shared" si="406"/>
        <v>0</v>
      </c>
      <c r="BX107" s="522"/>
      <c r="BY107" s="524"/>
      <c r="BZ107" s="510">
        <f t="shared" si="407"/>
        <v>0</v>
      </c>
      <c r="CA107" s="522"/>
      <c r="CB107" s="524"/>
      <c r="CC107" s="510">
        <f t="shared" si="408"/>
        <v>0</v>
      </c>
      <c r="CD107" s="522"/>
      <c r="CE107" s="524"/>
      <c r="CF107" s="510">
        <f t="shared" si="409"/>
        <v>0</v>
      </c>
      <c r="CG107" s="522"/>
      <c r="CH107" s="524"/>
      <c r="CI107" s="510">
        <f t="shared" si="410"/>
        <v>0</v>
      </c>
      <c r="CJ107" s="522"/>
      <c r="CK107" s="524"/>
      <c r="CL107" s="510">
        <f t="shared" si="411"/>
        <v>0</v>
      </c>
      <c r="CM107" s="522"/>
      <c r="CN107" s="524"/>
      <c r="CO107" s="510">
        <f t="shared" si="412"/>
        <v>0</v>
      </c>
      <c r="CP107" s="522"/>
      <c r="CQ107" s="524"/>
      <c r="CR107" s="510">
        <f t="shared" si="413"/>
        <v>0</v>
      </c>
      <c r="CS107" s="522"/>
      <c r="CT107" s="524"/>
      <c r="CU107" s="510">
        <f t="shared" si="414"/>
        <v>0</v>
      </c>
      <c r="CV107" s="522"/>
      <c r="CW107" s="524"/>
      <c r="CX107" s="510">
        <f t="shared" si="415"/>
        <v>0</v>
      </c>
      <c r="CY107" s="522"/>
      <c r="CZ107" s="524"/>
      <c r="DA107" s="510">
        <f t="shared" si="416"/>
        <v>0</v>
      </c>
      <c r="DB107" s="522"/>
      <c r="DC107" s="524"/>
      <c r="DD107" s="510">
        <f t="shared" si="417"/>
        <v>0</v>
      </c>
      <c r="DE107" s="522"/>
      <c r="DF107" s="524"/>
      <c r="DG107" s="510">
        <f t="shared" si="366"/>
        <v>0</v>
      </c>
      <c r="DH107" s="1259"/>
      <c r="DI107" s="534"/>
      <c r="DJ107" s="482">
        <f t="shared" si="418"/>
        <v>0</v>
      </c>
      <c r="DK107" s="1262"/>
      <c r="DL107" s="534"/>
      <c r="DM107" s="482">
        <f t="shared" si="419"/>
        <v>0</v>
      </c>
      <c r="DN107" s="1262"/>
      <c r="DO107" s="534"/>
      <c r="DP107" s="482">
        <f t="shared" si="420"/>
        <v>0</v>
      </c>
      <c r="DQ107" s="1262"/>
      <c r="DR107" s="534"/>
      <c r="DS107" s="482">
        <f t="shared" si="370"/>
        <v>0</v>
      </c>
      <c r="DT107" s="1262"/>
      <c r="DU107" s="534"/>
      <c r="DV107" s="482">
        <f t="shared" si="424"/>
        <v>0</v>
      </c>
      <c r="DW107" s="1262"/>
      <c r="DX107" s="534"/>
      <c r="DY107" s="482">
        <f t="shared" si="372"/>
        <v>0</v>
      </c>
      <c r="DZ107" s="1262"/>
      <c r="EA107" s="534"/>
      <c r="EB107" s="482">
        <f t="shared" si="373"/>
        <v>0</v>
      </c>
      <c r="EC107" s="1262"/>
      <c r="ED107" s="534"/>
      <c r="EE107" s="482">
        <f t="shared" si="374"/>
        <v>0</v>
      </c>
      <c r="EF107" s="1262"/>
      <c r="EG107" s="534"/>
      <c r="EH107" s="482">
        <f t="shared" si="375"/>
        <v>0</v>
      </c>
      <c r="EI107" s="1262"/>
      <c r="EJ107" s="534"/>
      <c r="EK107" s="482">
        <f t="shared" si="376"/>
        <v>0</v>
      </c>
      <c r="EL107" s="1262"/>
      <c r="EM107" s="534"/>
      <c r="EN107" s="482">
        <f t="shared" si="377"/>
        <v>0</v>
      </c>
      <c r="EO107" s="1262"/>
      <c r="EP107" s="534"/>
      <c r="EQ107" s="482">
        <f t="shared" si="378"/>
        <v>0</v>
      </c>
      <c r="ER107" s="1262"/>
      <c r="ES107" s="534"/>
      <c r="ET107" s="482">
        <f t="shared" si="425"/>
        <v>0</v>
      </c>
      <c r="EU107" s="1262"/>
      <c r="EV107" s="534"/>
      <c r="EW107" s="482">
        <f t="shared" si="426"/>
        <v>0</v>
      </c>
      <c r="EX107" s="1262"/>
      <c r="EY107" s="534"/>
      <c r="EZ107" s="482">
        <f t="shared" si="427"/>
        <v>0</v>
      </c>
      <c r="FA107" s="1262"/>
      <c r="FE107"/>
      <c r="FF107"/>
      <c r="FG107"/>
      <c r="FH107"/>
      <c r="FI107"/>
      <c r="FJ107"/>
      <c r="FK107" s="35"/>
    </row>
    <row r="108" spans="2:167" s="236" customFormat="1" ht="13.35" customHeight="1" outlineLevel="2">
      <c r="B108" s="242" t="s">
        <v>48</v>
      </c>
      <c r="C108" s="242" t="s">
        <v>496</v>
      </c>
      <c r="D108" s="243"/>
      <c r="E108" s="522"/>
      <c r="F108" s="510">
        <f t="shared" si="383"/>
        <v>0</v>
      </c>
      <c r="G108" s="523"/>
      <c r="H108" s="524"/>
      <c r="I108" s="510">
        <f t="shared" si="384"/>
        <v>0</v>
      </c>
      <c r="J108" s="523"/>
      <c r="K108" s="524"/>
      <c r="L108" s="510">
        <f t="shared" si="385"/>
        <v>0</v>
      </c>
      <c r="M108" s="523"/>
      <c r="N108" s="524"/>
      <c r="O108" s="510">
        <f t="shared" si="386"/>
        <v>0</v>
      </c>
      <c r="P108" s="523"/>
      <c r="Q108" s="524"/>
      <c r="R108" s="510">
        <f t="shared" si="387"/>
        <v>0</v>
      </c>
      <c r="S108" s="523"/>
      <c r="T108" s="524"/>
      <c r="U108" s="510">
        <f t="shared" si="388"/>
        <v>0</v>
      </c>
      <c r="V108" s="523"/>
      <c r="W108" s="524"/>
      <c r="X108" s="510">
        <f t="shared" si="389"/>
        <v>0</v>
      </c>
      <c r="Y108" s="523"/>
      <c r="Z108" s="524"/>
      <c r="AA108" s="510">
        <f t="shared" si="390"/>
        <v>0</v>
      </c>
      <c r="AB108" s="523"/>
      <c r="AC108" s="524"/>
      <c r="AD108" s="510">
        <f t="shared" si="391"/>
        <v>0</v>
      </c>
      <c r="AE108" s="523"/>
      <c r="AF108" s="524"/>
      <c r="AG108" s="510">
        <f t="shared" si="392"/>
        <v>0</v>
      </c>
      <c r="AH108" s="523"/>
      <c r="AI108" s="524"/>
      <c r="AJ108" s="510">
        <f t="shared" si="393"/>
        <v>0</v>
      </c>
      <c r="AK108" s="523"/>
      <c r="AL108" s="524"/>
      <c r="AM108" s="510">
        <f t="shared" si="394"/>
        <v>0</v>
      </c>
      <c r="AN108" s="523"/>
      <c r="AO108" s="524"/>
      <c r="AP108" s="510">
        <f t="shared" si="395"/>
        <v>0</v>
      </c>
      <c r="AQ108" s="523"/>
      <c r="AR108" s="524"/>
      <c r="AS108" s="510">
        <f t="shared" si="396"/>
        <v>0</v>
      </c>
      <c r="AT108" s="523"/>
      <c r="AU108" s="524"/>
      <c r="AV108" s="510">
        <f t="shared" si="397"/>
        <v>0</v>
      </c>
      <c r="AW108" s="523"/>
      <c r="AX108" s="524"/>
      <c r="AY108" s="510">
        <f t="shared" si="398"/>
        <v>0</v>
      </c>
      <c r="AZ108" s="523"/>
      <c r="BA108" s="524"/>
      <c r="BB108" s="510">
        <f t="shared" si="399"/>
        <v>0</v>
      </c>
      <c r="BC108" s="523"/>
      <c r="BD108" s="524"/>
      <c r="BE108" s="510">
        <f t="shared" si="400"/>
        <v>0</v>
      </c>
      <c r="BF108" s="523"/>
      <c r="BG108" s="524"/>
      <c r="BH108" s="510">
        <f t="shared" si="401"/>
        <v>0</v>
      </c>
      <c r="BI108" s="523"/>
      <c r="BJ108" s="524"/>
      <c r="BK108" s="510">
        <f t="shared" si="402"/>
        <v>0</v>
      </c>
      <c r="BL108" s="523"/>
      <c r="BM108" s="524"/>
      <c r="BN108" s="510">
        <f t="shared" si="403"/>
        <v>0</v>
      </c>
      <c r="BO108" s="523"/>
      <c r="BP108" s="524"/>
      <c r="BQ108" s="510">
        <f t="shared" si="404"/>
        <v>0</v>
      </c>
      <c r="BR108" s="523"/>
      <c r="BS108" s="524"/>
      <c r="BT108" s="510">
        <f t="shared" si="405"/>
        <v>0</v>
      </c>
      <c r="BU108" s="522"/>
      <c r="BV108" s="524"/>
      <c r="BW108" s="510">
        <f t="shared" si="406"/>
        <v>0</v>
      </c>
      <c r="BX108" s="522"/>
      <c r="BY108" s="524"/>
      <c r="BZ108" s="510">
        <f t="shared" si="407"/>
        <v>0</v>
      </c>
      <c r="CA108" s="522"/>
      <c r="CB108" s="524"/>
      <c r="CC108" s="510">
        <f t="shared" si="408"/>
        <v>0</v>
      </c>
      <c r="CD108" s="522"/>
      <c r="CE108" s="524"/>
      <c r="CF108" s="510">
        <f t="shared" si="409"/>
        <v>0</v>
      </c>
      <c r="CG108" s="522"/>
      <c r="CH108" s="524"/>
      <c r="CI108" s="510">
        <f t="shared" si="410"/>
        <v>0</v>
      </c>
      <c r="CJ108" s="522"/>
      <c r="CK108" s="524"/>
      <c r="CL108" s="510">
        <f t="shared" si="411"/>
        <v>0</v>
      </c>
      <c r="CM108" s="522"/>
      <c r="CN108" s="524"/>
      <c r="CO108" s="510">
        <f t="shared" si="412"/>
        <v>0</v>
      </c>
      <c r="CP108" s="522"/>
      <c r="CQ108" s="524"/>
      <c r="CR108" s="510">
        <f t="shared" si="413"/>
        <v>0</v>
      </c>
      <c r="CS108" s="522"/>
      <c r="CT108" s="524"/>
      <c r="CU108" s="510">
        <f t="shared" si="414"/>
        <v>0</v>
      </c>
      <c r="CV108" s="522"/>
      <c r="CW108" s="524"/>
      <c r="CX108" s="510">
        <f t="shared" si="415"/>
        <v>0</v>
      </c>
      <c r="CY108" s="522"/>
      <c r="CZ108" s="524"/>
      <c r="DA108" s="510">
        <f t="shared" si="416"/>
        <v>0</v>
      </c>
      <c r="DB108" s="522"/>
      <c r="DC108" s="524"/>
      <c r="DD108" s="510">
        <f t="shared" si="417"/>
        <v>0</v>
      </c>
      <c r="DE108" s="522"/>
      <c r="DF108" s="524"/>
      <c r="DG108" s="510">
        <f t="shared" si="366"/>
        <v>0</v>
      </c>
      <c r="DH108" s="1259"/>
      <c r="DI108" s="534"/>
      <c r="DJ108" s="482">
        <f t="shared" si="418"/>
        <v>0</v>
      </c>
      <c r="DK108" s="1262"/>
      <c r="DL108" s="534"/>
      <c r="DM108" s="482">
        <f t="shared" si="419"/>
        <v>0</v>
      </c>
      <c r="DN108" s="1262"/>
      <c r="DO108" s="534"/>
      <c r="DP108" s="482">
        <f t="shared" si="420"/>
        <v>0</v>
      </c>
      <c r="DQ108" s="1262"/>
      <c r="DR108" s="534"/>
      <c r="DS108" s="482">
        <f t="shared" si="370"/>
        <v>0</v>
      </c>
      <c r="DT108" s="1262"/>
      <c r="DU108" s="534"/>
      <c r="DV108" s="482">
        <f t="shared" si="424"/>
        <v>0</v>
      </c>
      <c r="DW108" s="1262"/>
      <c r="DX108" s="534"/>
      <c r="DY108" s="482">
        <f t="shared" si="372"/>
        <v>0</v>
      </c>
      <c r="DZ108" s="1262"/>
      <c r="EA108" s="534"/>
      <c r="EB108" s="482">
        <f t="shared" si="373"/>
        <v>0</v>
      </c>
      <c r="EC108" s="1262"/>
      <c r="ED108" s="534"/>
      <c r="EE108" s="482">
        <f t="shared" si="374"/>
        <v>0</v>
      </c>
      <c r="EF108" s="1262"/>
      <c r="EG108" s="534"/>
      <c r="EH108" s="482">
        <f t="shared" si="375"/>
        <v>0</v>
      </c>
      <c r="EI108" s="1262"/>
      <c r="EJ108" s="534"/>
      <c r="EK108" s="482">
        <f t="shared" si="376"/>
        <v>0</v>
      </c>
      <c r="EL108" s="1262"/>
      <c r="EM108" s="534"/>
      <c r="EN108" s="482">
        <f t="shared" si="377"/>
        <v>0</v>
      </c>
      <c r="EO108" s="1262"/>
      <c r="EP108" s="534"/>
      <c r="EQ108" s="482">
        <f t="shared" si="378"/>
        <v>0</v>
      </c>
      <c r="ER108" s="1262"/>
      <c r="ES108" s="534"/>
      <c r="ET108" s="482">
        <f t="shared" si="425"/>
        <v>0</v>
      </c>
      <c r="EU108" s="1262"/>
      <c r="EV108" s="534"/>
      <c r="EW108" s="482">
        <f t="shared" si="426"/>
        <v>0</v>
      </c>
      <c r="EX108" s="1262"/>
      <c r="EY108" s="534"/>
      <c r="EZ108" s="482">
        <f t="shared" si="427"/>
        <v>0</v>
      </c>
      <c r="FA108" s="1262"/>
      <c r="FE108"/>
      <c r="FF108"/>
      <c r="FG108"/>
      <c r="FH108"/>
      <c r="FI108"/>
      <c r="FJ108"/>
      <c r="FK108" s="35"/>
    </row>
    <row r="109" spans="2:167" s="236" customFormat="1" ht="13.35" customHeight="1" outlineLevel="2">
      <c r="B109" s="242" t="s">
        <v>47</v>
      </c>
      <c r="C109" s="242" t="s">
        <v>496</v>
      </c>
      <c r="D109" s="243"/>
      <c r="E109" s="522"/>
      <c r="F109" s="510">
        <f t="shared" si="383"/>
        <v>0</v>
      </c>
      <c r="G109" s="523"/>
      <c r="H109" s="524"/>
      <c r="I109" s="510">
        <f t="shared" si="384"/>
        <v>0</v>
      </c>
      <c r="J109" s="523"/>
      <c r="K109" s="524"/>
      <c r="L109" s="510">
        <f t="shared" si="385"/>
        <v>0</v>
      </c>
      <c r="M109" s="523"/>
      <c r="N109" s="524"/>
      <c r="O109" s="510">
        <f t="shared" si="386"/>
        <v>0</v>
      </c>
      <c r="P109" s="523"/>
      <c r="Q109" s="524"/>
      <c r="R109" s="510">
        <f t="shared" si="387"/>
        <v>0</v>
      </c>
      <c r="S109" s="523"/>
      <c r="T109" s="524"/>
      <c r="U109" s="510">
        <f t="shared" si="388"/>
        <v>0</v>
      </c>
      <c r="V109" s="523"/>
      <c r="W109" s="524"/>
      <c r="X109" s="510">
        <f t="shared" si="389"/>
        <v>0</v>
      </c>
      <c r="Y109" s="523"/>
      <c r="Z109" s="524"/>
      <c r="AA109" s="510">
        <f t="shared" si="390"/>
        <v>0</v>
      </c>
      <c r="AB109" s="523"/>
      <c r="AC109" s="524"/>
      <c r="AD109" s="510">
        <f t="shared" si="391"/>
        <v>0</v>
      </c>
      <c r="AE109" s="523"/>
      <c r="AF109" s="524"/>
      <c r="AG109" s="510">
        <f t="shared" si="392"/>
        <v>0</v>
      </c>
      <c r="AH109" s="523"/>
      <c r="AI109" s="524"/>
      <c r="AJ109" s="510">
        <f t="shared" si="393"/>
        <v>0</v>
      </c>
      <c r="AK109" s="523"/>
      <c r="AL109" s="524"/>
      <c r="AM109" s="510">
        <f t="shared" si="394"/>
        <v>0</v>
      </c>
      <c r="AN109" s="523"/>
      <c r="AO109" s="524"/>
      <c r="AP109" s="510">
        <f t="shared" si="395"/>
        <v>0</v>
      </c>
      <c r="AQ109" s="523"/>
      <c r="AR109" s="524"/>
      <c r="AS109" s="510">
        <f t="shared" si="396"/>
        <v>0</v>
      </c>
      <c r="AT109" s="523"/>
      <c r="AU109" s="524"/>
      <c r="AV109" s="510">
        <f t="shared" si="397"/>
        <v>0</v>
      </c>
      <c r="AW109" s="523"/>
      <c r="AX109" s="524"/>
      <c r="AY109" s="510">
        <f t="shared" si="398"/>
        <v>0</v>
      </c>
      <c r="AZ109" s="523"/>
      <c r="BA109" s="524"/>
      <c r="BB109" s="510">
        <f t="shared" si="399"/>
        <v>0</v>
      </c>
      <c r="BC109" s="523"/>
      <c r="BD109" s="524"/>
      <c r="BE109" s="510">
        <f t="shared" si="400"/>
        <v>0</v>
      </c>
      <c r="BF109" s="523"/>
      <c r="BG109" s="524"/>
      <c r="BH109" s="510">
        <f t="shared" si="401"/>
        <v>0</v>
      </c>
      <c r="BI109" s="523"/>
      <c r="BJ109" s="524"/>
      <c r="BK109" s="510">
        <f t="shared" si="402"/>
        <v>0</v>
      </c>
      <c r="BL109" s="523"/>
      <c r="BM109" s="524"/>
      <c r="BN109" s="510">
        <f t="shared" si="403"/>
        <v>0</v>
      </c>
      <c r="BO109" s="523"/>
      <c r="BP109" s="524"/>
      <c r="BQ109" s="510">
        <f t="shared" si="404"/>
        <v>0</v>
      </c>
      <c r="BR109" s="523"/>
      <c r="BS109" s="524"/>
      <c r="BT109" s="510">
        <f t="shared" si="405"/>
        <v>0</v>
      </c>
      <c r="BU109" s="522"/>
      <c r="BV109" s="524"/>
      <c r="BW109" s="510">
        <f t="shared" si="406"/>
        <v>0</v>
      </c>
      <c r="BX109" s="522"/>
      <c r="BY109" s="524"/>
      <c r="BZ109" s="510">
        <f t="shared" si="407"/>
        <v>0</v>
      </c>
      <c r="CA109" s="522"/>
      <c r="CB109" s="524"/>
      <c r="CC109" s="510">
        <f t="shared" si="408"/>
        <v>0</v>
      </c>
      <c r="CD109" s="522"/>
      <c r="CE109" s="524"/>
      <c r="CF109" s="510">
        <f t="shared" si="409"/>
        <v>0</v>
      </c>
      <c r="CG109" s="522"/>
      <c r="CH109" s="524"/>
      <c r="CI109" s="510">
        <f t="shared" si="410"/>
        <v>0</v>
      </c>
      <c r="CJ109" s="522"/>
      <c r="CK109" s="524"/>
      <c r="CL109" s="510">
        <f t="shared" si="411"/>
        <v>0</v>
      </c>
      <c r="CM109" s="522"/>
      <c r="CN109" s="524"/>
      <c r="CO109" s="510">
        <f t="shared" si="412"/>
        <v>0</v>
      </c>
      <c r="CP109" s="522"/>
      <c r="CQ109" s="524"/>
      <c r="CR109" s="510">
        <f t="shared" si="413"/>
        <v>0</v>
      </c>
      <c r="CS109" s="522"/>
      <c r="CT109" s="524"/>
      <c r="CU109" s="510">
        <f t="shared" si="414"/>
        <v>0</v>
      </c>
      <c r="CV109" s="522"/>
      <c r="CW109" s="524"/>
      <c r="CX109" s="510">
        <f t="shared" si="415"/>
        <v>0</v>
      </c>
      <c r="CY109" s="522"/>
      <c r="CZ109" s="524"/>
      <c r="DA109" s="510">
        <f t="shared" si="416"/>
        <v>0</v>
      </c>
      <c r="DB109" s="522"/>
      <c r="DC109" s="524"/>
      <c r="DD109" s="510">
        <f t="shared" si="417"/>
        <v>0</v>
      </c>
      <c r="DE109" s="522"/>
      <c r="DF109" s="524"/>
      <c r="DG109" s="510">
        <f t="shared" si="366"/>
        <v>0</v>
      </c>
      <c r="DH109" s="1259"/>
      <c r="DI109" s="534"/>
      <c r="DJ109" s="482">
        <f t="shared" si="418"/>
        <v>0</v>
      </c>
      <c r="DK109" s="1262"/>
      <c r="DL109" s="534"/>
      <c r="DM109" s="482">
        <f t="shared" si="419"/>
        <v>0</v>
      </c>
      <c r="DN109" s="1262"/>
      <c r="DO109" s="534"/>
      <c r="DP109" s="482">
        <f t="shared" si="420"/>
        <v>0</v>
      </c>
      <c r="DQ109" s="1262"/>
      <c r="DR109" s="534"/>
      <c r="DS109" s="482">
        <f t="shared" si="370"/>
        <v>0</v>
      </c>
      <c r="DT109" s="1262"/>
      <c r="DU109" s="534"/>
      <c r="DV109" s="482">
        <f t="shared" si="424"/>
        <v>0</v>
      </c>
      <c r="DW109" s="1262"/>
      <c r="DX109" s="534"/>
      <c r="DY109" s="482">
        <f t="shared" si="372"/>
        <v>0</v>
      </c>
      <c r="DZ109" s="1262"/>
      <c r="EA109" s="534"/>
      <c r="EB109" s="482">
        <f t="shared" si="373"/>
        <v>0</v>
      </c>
      <c r="EC109" s="1262"/>
      <c r="ED109" s="534"/>
      <c r="EE109" s="482">
        <f t="shared" si="374"/>
        <v>0</v>
      </c>
      <c r="EF109" s="1262"/>
      <c r="EG109" s="534"/>
      <c r="EH109" s="482">
        <f t="shared" si="375"/>
        <v>0</v>
      </c>
      <c r="EI109" s="1262"/>
      <c r="EJ109" s="534"/>
      <c r="EK109" s="482">
        <f t="shared" si="376"/>
        <v>0</v>
      </c>
      <c r="EL109" s="1262"/>
      <c r="EM109" s="534"/>
      <c r="EN109" s="482">
        <f t="shared" si="377"/>
        <v>0</v>
      </c>
      <c r="EO109" s="1262"/>
      <c r="EP109" s="534"/>
      <c r="EQ109" s="482">
        <f t="shared" si="378"/>
        <v>0</v>
      </c>
      <c r="ER109" s="1262"/>
      <c r="ES109" s="534"/>
      <c r="ET109" s="482">
        <f t="shared" si="425"/>
        <v>0</v>
      </c>
      <c r="EU109" s="1262"/>
      <c r="EV109" s="534"/>
      <c r="EW109" s="482">
        <f t="shared" si="426"/>
        <v>0</v>
      </c>
      <c r="EX109" s="1262"/>
      <c r="EY109" s="534"/>
      <c r="EZ109" s="482">
        <f t="shared" si="427"/>
        <v>0</v>
      </c>
      <c r="FA109" s="1262"/>
      <c r="FE109"/>
      <c r="FF109"/>
      <c r="FG109"/>
      <c r="FH109"/>
      <c r="FI109"/>
      <c r="FJ109"/>
      <c r="FK109" s="35"/>
    </row>
    <row r="110" spans="2:167" s="236" customFormat="1" ht="13.35" customHeight="1" outlineLevel="2">
      <c r="B110" s="242" t="s">
        <v>875</v>
      </c>
      <c r="C110" s="242" t="s">
        <v>496</v>
      </c>
      <c r="D110" s="243"/>
      <c r="E110" s="522"/>
      <c r="F110" s="510">
        <f t="shared" si="383"/>
        <v>0</v>
      </c>
      <c r="G110" s="523"/>
      <c r="H110" s="524"/>
      <c r="I110" s="510">
        <f t="shared" si="384"/>
        <v>0</v>
      </c>
      <c r="J110" s="523"/>
      <c r="K110" s="524"/>
      <c r="L110" s="510">
        <f t="shared" si="385"/>
        <v>0</v>
      </c>
      <c r="M110" s="523"/>
      <c r="N110" s="524"/>
      <c r="O110" s="510">
        <f t="shared" si="386"/>
        <v>0</v>
      </c>
      <c r="P110" s="523"/>
      <c r="Q110" s="524"/>
      <c r="R110" s="510">
        <f t="shared" si="387"/>
        <v>0</v>
      </c>
      <c r="S110" s="523"/>
      <c r="T110" s="524"/>
      <c r="U110" s="510">
        <f t="shared" si="388"/>
        <v>0</v>
      </c>
      <c r="V110" s="523"/>
      <c r="W110" s="524"/>
      <c r="X110" s="510">
        <f t="shared" si="389"/>
        <v>0</v>
      </c>
      <c r="Y110" s="523"/>
      <c r="Z110" s="524"/>
      <c r="AA110" s="510">
        <f t="shared" si="390"/>
        <v>0</v>
      </c>
      <c r="AB110" s="523"/>
      <c r="AC110" s="524"/>
      <c r="AD110" s="510">
        <f t="shared" si="391"/>
        <v>0</v>
      </c>
      <c r="AE110" s="523"/>
      <c r="AF110" s="524"/>
      <c r="AG110" s="510">
        <f t="shared" si="392"/>
        <v>0</v>
      </c>
      <c r="AH110" s="523"/>
      <c r="AI110" s="524"/>
      <c r="AJ110" s="510">
        <f t="shared" si="393"/>
        <v>0</v>
      </c>
      <c r="AK110" s="523"/>
      <c r="AL110" s="524"/>
      <c r="AM110" s="510">
        <f t="shared" si="394"/>
        <v>0</v>
      </c>
      <c r="AN110" s="523"/>
      <c r="AO110" s="524"/>
      <c r="AP110" s="510">
        <f t="shared" si="395"/>
        <v>0</v>
      </c>
      <c r="AQ110" s="523"/>
      <c r="AR110" s="524"/>
      <c r="AS110" s="510">
        <f t="shared" si="396"/>
        <v>0</v>
      </c>
      <c r="AT110" s="523"/>
      <c r="AU110" s="524"/>
      <c r="AV110" s="510">
        <f t="shared" si="397"/>
        <v>0</v>
      </c>
      <c r="AW110" s="523"/>
      <c r="AX110" s="524"/>
      <c r="AY110" s="510">
        <f t="shared" si="398"/>
        <v>0</v>
      </c>
      <c r="AZ110" s="523"/>
      <c r="BA110" s="524"/>
      <c r="BB110" s="510">
        <f t="shared" si="399"/>
        <v>0</v>
      </c>
      <c r="BC110" s="523"/>
      <c r="BD110" s="524"/>
      <c r="BE110" s="510">
        <f t="shared" si="400"/>
        <v>0</v>
      </c>
      <c r="BF110" s="523"/>
      <c r="BG110" s="524"/>
      <c r="BH110" s="510">
        <f t="shared" si="401"/>
        <v>0</v>
      </c>
      <c r="BI110" s="523"/>
      <c r="BJ110" s="524"/>
      <c r="BK110" s="510">
        <f t="shared" si="402"/>
        <v>0</v>
      </c>
      <c r="BL110" s="523"/>
      <c r="BM110" s="524"/>
      <c r="BN110" s="510">
        <f t="shared" si="403"/>
        <v>0</v>
      </c>
      <c r="BO110" s="523"/>
      <c r="BP110" s="524"/>
      <c r="BQ110" s="510">
        <f t="shared" si="404"/>
        <v>0</v>
      </c>
      <c r="BR110" s="523"/>
      <c r="BS110" s="524"/>
      <c r="BT110" s="510">
        <f t="shared" si="405"/>
        <v>0</v>
      </c>
      <c r="BU110" s="522"/>
      <c r="BV110" s="524"/>
      <c r="BW110" s="510">
        <f t="shared" si="406"/>
        <v>0</v>
      </c>
      <c r="BX110" s="522"/>
      <c r="BY110" s="524"/>
      <c r="BZ110" s="510">
        <f t="shared" si="407"/>
        <v>0</v>
      </c>
      <c r="CA110" s="522"/>
      <c r="CB110" s="524"/>
      <c r="CC110" s="510">
        <f t="shared" si="408"/>
        <v>0</v>
      </c>
      <c r="CD110" s="522"/>
      <c r="CE110" s="524"/>
      <c r="CF110" s="510">
        <f t="shared" si="409"/>
        <v>0</v>
      </c>
      <c r="CG110" s="522"/>
      <c r="CH110" s="524"/>
      <c r="CI110" s="510">
        <f t="shared" si="410"/>
        <v>0</v>
      </c>
      <c r="CJ110" s="522"/>
      <c r="CK110" s="524"/>
      <c r="CL110" s="510">
        <f t="shared" si="411"/>
        <v>0</v>
      </c>
      <c r="CM110" s="522"/>
      <c r="CN110" s="524"/>
      <c r="CO110" s="510">
        <f t="shared" si="412"/>
        <v>0</v>
      </c>
      <c r="CP110" s="522"/>
      <c r="CQ110" s="524"/>
      <c r="CR110" s="510">
        <f t="shared" si="413"/>
        <v>0</v>
      </c>
      <c r="CS110" s="522"/>
      <c r="CT110" s="524"/>
      <c r="CU110" s="510">
        <f t="shared" si="414"/>
        <v>0</v>
      </c>
      <c r="CV110" s="522"/>
      <c r="CW110" s="524"/>
      <c r="CX110" s="510">
        <f t="shared" si="415"/>
        <v>0</v>
      </c>
      <c r="CY110" s="522"/>
      <c r="CZ110" s="524"/>
      <c r="DA110" s="510">
        <f t="shared" si="416"/>
        <v>0</v>
      </c>
      <c r="DB110" s="522"/>
      <c r="DC110" s="524"/>
      <c r="DD110" s="510">
        <f t="shared" si="417"/>
        <v>0</v>
      </c>
      <c r="DE110" s="522"/>
      <c r="DF110" s="524"/>
      <c r="DG110" s="510">
        <f t="shared" si="366"/>
        <v>0</v>
      </c>
      <c r="DH110" s="1259"/>
      <c r="DI110" s="534"/>
      <c r="DJ110" s="482">
        <f t="shared" si="418"/>
        <v>0</v>
      </c>
      <c r="DK110" s="1262"/>
      <c r="DL110" s="534"/>
      <c r="DM110" s="482">
        <f t="shared" si="419"/>
        <v>0</v>
      </c>
      <c r="DN110" s="1262"/>
      <c r="DO110" s="534"/>
      <c r="DP110" s="482">
        <f t="shared" si="420"/>
        <v>0</v>
      </c>
      <c r="DQ110" s="1262"/>
      <c r="DR110" s="534"/>
      <c r="DS110" s="482">
        <f t="shared" si="370"/>
        <v>0</v>
      </c>
      <c r="DT110" s="1262"/>
      <c r="DU110" s="534"/>
      <c r="DV110" s="482">
        <f t="shared" si="424"/>
        <v>0</v>
      </c>
      <c r="DW110" s="1262"/>
      <c r="DX110" s="534"/>
      <c r="DY110" s="482">
        <f t="shared" si="372"/>
        <v>0</v>
      </c>
      <c r="DZ110" s="1262"/>
      <c r="EA110" s="534"/>
      <c r="EB110" s="482">
        <f t="shared" si="373"/>
        <v>0</v>
      </c>
      <c r="EC110" s="1262"/>
      <c r="ED110" s="534"/>
      <c r="EE110" s="482">
        <f t="shared" si="374"/>
        <v>0</v>
      </c>
      <c r="EF110" s="1262"/>
      <c r="EG110" s="534"/>
      <c r="EH110" s="482">
        <f t="shared" si="375"/>
        <v>0</v>
      </c>
      <c r="EI110" s="1262"/>
      <c r="EJ110" s="534"/>
      <c r="EK110" s="482">
        <f t="shared" si="376"/>
        <v>0</v>
      </c>
      <c r="EL110" s="1262"/>
      <c r="EM110" s="534"/>
      <c r="EN110" s="482">
        <f t="shared" si="377"/>
        <v>0</v>
      </c>
      <c r="EO110" s="1262"/>
      <c r="EP110" s="534"/>
      <c r="EQ110" s="482">
        <f t="shared" si="378"/>
        <v>0</v>
      </c>
      <c r="ER110" s="1262"/>
      <c r="ES110" s="534"/>
      <c r="ET110" s="482">
        <f t="shared" si="425"/>
        <v>0</v>
      </c>
      <c r="EU110" s="1262"/>
      <c r="EV110" s="534"/>
      <c r="EW110" s="482">
        <f t="shared" si="426"/>
        <v>0</v>
      </c>
      <c r="EX110" s="1262"/>
      <c r="EY110" s="534"/>
      <c r="EZ110" s="482">
        <f t="shared" si="427"/>
        <v>0</v>
      </c>
      <c r="FA110" s="1262"/>
      <c r="FE110"/>
      <c r="FF110"/>
      <c r="FG110"/>
      <c r="FH110"/>
      <c r="FI110"/>
      <c r="FJ110"/>
      <c r="FK110" s="35"/>
    </row>
    <row r="111" spans="2:167" s="236" customFormat="1" ht="13.35" customHeight="1" outlineLevel="2">
      <c r="B111" s="242" t="s">
        <v>47</v>
      </c>
      <c r="C111" s="242" t="s">
        <v>496</v>
      </c>
      <c r="D111" s="243"/>
      <c r="E111" s="522"/>
      <c r="F111" s="510">
        <f t="shared" si="383"/>
        <v>0</v>
      </c>
      <c r="G111" s="523"/>
      <c r="H111" s="524"/>
      <c r="I111" s="510">
        <f t="shared" si="384"/>
        <v>0</v>
      </c>
      <c r="J111" s="523"/>
      <c r="K111" s="524"/>
      <c r="L111" s="510">
        <f t="shared" si="385"/>
        <v>0</v>
      </c>
      <c r="M111" s="523"/>
      <c r="N111" s="524"/>
      <c r="O111" s="510">
        <f t="shared" si="386"/>
        <v>0</v>
      </c>
      <c r="P111" s="523"/>
      <c r="Q111" s="524"/>
      <c r="R111" s="510">
        <f t="shared" si="387"/>
        <v>0</v>
      </c>
      <c r="S111" s="523"/>
      <c r="T111" s="524"/>
      <c r="U111" s="510">
        <f t="shared" si="388"/>
        <v>0</v>
      </c>
      <c r="V111" s="523"/>
      <c r="W111" s="524"/>
      <c r="X111" s="510">
        <f t="shared" si="389"/>
        <v>0</v>
      </c>
      <c r="Y111" s="523"/>
      <c r="Z111" s="524"/>
      <c r="AA111" s="510">
        <f t="shared" si="390"/>
        <v>0</v>
      </c>
      <c r="AB111" s="523"/>
      <c r="AC111" s="524"/>
      <c r="AD111" s="510">
        <f t="shared" si="391"/>
        <v>0</v>
      </c>
      <c r="AE111" s="523"/>
      <c r="AF111" s="524"/>
      <c r="AG111" s="510">
        <f t="shared" si="392"/>
        <v>0</v>
      </c>
      <c r="AH111" s="523"/>
      <c r="AI111" s="524"/>
      <c r="AJ111" s="510">
        <f t="shared" si="393"/>
        <v>0</v>
      </c>
      <c r="AK111" s="523"/>
      <c r="AL111" s="524"/>
      <c r="AM111" s="510">
        <f t="shared" si="394"/>
        <v>0</v>
      </c>
      <c r="AN111" s="523"/>
      <c r="AO111" s="524"/>
      <c r="AP111" s="510">
        <f t="shared" si="395"/>
        <v>0</v>
      </c>
      <c r="AQ111" s="523"/>
      <c r="AR111" s="524"/>
      <c r="AS111" s="510">
        <f t="shared" si="396"/>
        <v>0</v>
      </c>
      <c r="AT111" s="523"/>
      <c r="AU111" s="524"/>
      <c r="AV111" s="510">
        <f t="shared" si="397"/>
        <v>0</v>
      </c>
      <c r="AW111" s="523"/>
      <c r="AX111" s="524"/>
      <c r="AY111" s="510">
        <f t="shared" si="398"/>
        <v>0</v>
      </c>
      <c r="AZ111" s="523"/>
      <c r="BA111" s="524"/>
      <c r="BB111" s="510">
        <f t="shared" si="399"/>
        <v>0</v>
      </c>
      <c r="BC111" s="523"/>
      <c r="BD111" s="524"/>
      <c r="BE111" s="510">
        <f t="shared" si="400"/>
        <v>0</v>
      </c>
      <c r="BF111" s="523"/>
      <c r="BG111" s="524"/>
      <c r="BH111" s="510">
        <f t="shared" si="401"/>
        <v>0</v>
      </c>
      <c r="BI111" s="523"/>
      <c r="BJ111" s="524"/>
      <c r="BK111" s="510">
        <f t="shared" si="402"/>
        <v>0</v>
      </c>
      <c r="BL111" s="523"/>
      <c r="BM111" s="524"/>
      <c r="BN111" s="510">
        <f t="shared" si="403"/>
        <v>0</v>
      </c>
      <c r="BO111" s="523"/>
      <c r="BP111" s="524"/>
      <c r="BQ111" s="510">
        <f t="shared" si="404"/>
        <v>0</v>
      </c>
      <c r="BR111" s="523"/>
      <c r="BS111" s="524"/>
      <c r="BT111" s="510">
        <f t="shared" si="405"/>
        <v>0</v>
      </c>
      <c r="BU111" s="522"/>
      <c r="BV111" s="524"/>
      <c r="BW111" s="510">
        <f t="shared" si="406"/>
        <v>0</v>
      </c>
      <c r="BX111" s="522"/>
      <c r="BY111" s="524"/>
      <c r="BZ111" s="510">
        <f t="shared" si="407"/>
        <v>0</v>
      </c>
      <c r="CA111" s="522"/>
      <c r="CB111" s="524"/>
      <c r="CC111" s="510">
        <f t="shared" si="408"/>
        <v>0</v>
      </c>
      <c r="CD111" s="522"/>
      <c r="CE111" s="524"/>
      <c r="CF111" s="510">
        <f t="shared" si="409"/>
        <v>0</v>
      </c>
      <c r="CG111" s="522"/>
      <c r="CH111" s="524"/>
      <c r="CI111" s="510">
        <f t="shared" si="410"/>
        <v>0</v>
      </c>
      <c r="CJ111" s="522"/>
      <c r="CK111" s="524"/>
      <c r="CL111" s="510">
        <f t="shared" si="411"/>
        <v>0</v>
      </c>
      <c r="CM111" s="522"/>
      <c r="CN111" s="524"/>
      <c r="CO111" s="510">
        <f t="shared" si="412"/>
        <v>0</v>
      </c>
      <c r="CP111" s="522"/>
      <c r="CQ111" s="524"/>
      <c r="CR111" s="510">
        <f t="shared" si="413"/>
        <v>0</v>
      </c>
      <c r="CS111" s="522"/>
      <c r="CT111" s="524"/>
      <c r="CU111" s="510">
        <f t="shared" si="414"/>
        <v>0</v>
      </c>
      <c r="CV111" s="522"/>
      <c r="CW111" s="524"/>
      <c r="CX111" s="510">
        <f t="shared" si="415"/>
        <v>0</v>
      </c>
      <c r="CY111" s="522"/>
      <c r="CZ111" s="524"/>
      <c r="DA111" s="510">
        <f t="shared" si="416"/>
        <v>0</v>
      </c>
      <c r="DB111" s="522"/>
      <c r="DC111" s="524"/>
      <c r="DD111" s="510">
        <f t="shared" si="417"/>
        <v>0</v>
      </c>
      <c r="DE111" s="522"/>
      <c r="DF111" s="524"/>
      <c r="DG111" s="510">
        <f t="shared" si="366"/>
        <v>0</v>
      </c>
      <c r="DH111" s="1259"/>
      <c r="DI111" s="534"/>
      <c r="DJ111" s="482">
        <f t="shared" si="418"/>
        <v>0</v>
      </c>
      <c r="DK111" s="1262"/>
      <c r="DL111" s="534"/>
      <c r="DM111" s="482">
        <f t="shared" si="419"/>
        <v>0</v>
      </c>
      <c r="DN111" s="1262"/>
      <c r="DO111" s="534"/>
      <c r="DP111" s="482">
        <f t="shared" si="420"/>
        <v>0</v>
      </c>
      <c r="DQ111" s="1262"/>
      <c r="DR111" s="534"/>
      <c r="DS111" s="482">
        <f t="shared" si="370"/>
        <v>0</v>
      </c>
      <c r="DT111" s="1262"/>
      <c r="DU111" s="534"/>
      <c r="DV111" s="482">
        <f t="shared" si="424"/>
        <v>0</v>
      </c>
      <c r="DW111" s="1262"/>
      <c r="DX111" s="534"/>
      <c r="DY111" s="482">
        <f t="shared" si="372"/>
        <v>0</v>
      </c>
      <c r="DZ111" s="1262"/>
      <c r="EA111" s="534"/>
      <c r="EB111" s="482">
        <f t="shared" si="373"/>
        <v>0</v>
      </c>
      <c r="EC111" s="1262"/>
      <c r="ED111" s="534"/>
      <c r="EE111" s="482">
        <f t="shared" si="374"/>
        <v>0</v>
      </c>
      <c r="EF111" s="1262"/>
      <c r="EG111" s="534"/>
      <c r="EH111" s="482">
        <f t="shared" si="375"/>
        <v>0</v>
      </c>
      <c r="EI111" s="1262"/>
      <c r="EJ111" s="534"/>
      <c r="EK111" s="482">
        <f t="shared" si="376"/>
        <v>0</v>
      </c>
      <c r="EL111" s="1262"/>
      <c r="EM111" s="534"/>
      <c r="EN111" s="482">
        <f t="shared" si="377"/>
        <v>0</v>
      </c>
      <c r="EO111" s="1262"/>
      <c r="EP111" s="534"/>
      <c r="EQ111" s="482">
        <f t="shared" si="378"/>
        <v>0</v>
      </c>
      <c r="ER111" s="1262"/>
      <c r="ES111" s="534"/>
      <c r="ET111" s="482">
        <f t="shared" si="425"/>
        <v>0</v>
      </c>
      <c r="EU111" s="1262"/>
      <c r="EV111" s="534"/>
      <c r="EW111" s="482">
        <f t="shared" si="426"/>
        <v>0</v>
      </c>
      <c r="EX111" s="1262"/>
      <c r="EY111" s="534"/>
      <c r="EZ111" s="482">
        <f t="shared" si="427"/>
        <v>0</v>
      </c>
      <c r="FA111" s="1262"/>
      <c r="FE111"/>
      <c r="FF111"/>
      <c r="FG111"/>
      <c r="FH111"/>
      <c r="FI111"/>
      <c r="FJ111"/>
      <c r="FK111" s="35"/>
    </row>
    <row r="112" spans="2:167" s="236" customFormat="1" ht="13.35" customHeight="1" outlineLevel="2">
      <c r="B112" s="242" t="s">
        <v>876</v>
      </c>
      <c r="C112" s="242" t="s">
        <v>496</v>
      </c>
      <c r="D112" s="243"/>
      <c r="E112" s="522"/>
      <c r="F112" s="510">
        <f t="shared" si="383"/>
        <v>0</v>
      </c>
      <c r="G112" s="523"/>
      <c r="H112" s="524"/>
      <c r="I112" s="510">
        <f t="shared" si="384"/>
        <v>0</v>
      </c>
      <c r="J112" s="523"/>
      <c r="K112" s="524"/>
      <c r="L112" s="510">
        <f t="shared" si="385"/>
        <v>0</v>
      </c>
      <c r="M112" s="523"/>
      <c r="N112" s="524"/>
      <c r="O112" s="510">
        <f t="shared" si="386"/>
        <v>0</v>
      </c>
      <c r="P112" s="523"/>
      <c r="Q112" s="524"/>
      <c r="R112" s="510">
        <f t="shared" si="387"/>
        <v>0</v>
      </c>
      <c r="S112" s="523"/>
      <c r="T112" s="524"/>
      <c r="U112" s="510">
        <f t="shared" si="388"/>
        <v>0</v>
      </c>
      <c r="V112" s="523"/>
      <c r="W112" s="524"/>
      <c r="X112" s="510">
        <f t="shared" si="389"/>
        <v>0</v>
      </c>
      <c r="Y112" s="523"/>
      <c r="Z112" s="524"/>
      <c r="AA112" s="510">
        <f t="shared" si="390"/>
        <v>0</v>
      </c>
      <c r="AB112" s="523"/>
      <c r="AC112" s="524"/>
      <c r="AD112" s="510">
        <f t="shared" si="391"/>
        <v>0</v>
      </c>
      <c r="AE112" s="523"/>
      <c r="AF112" s="524"/>
      <c r="AG112" s="510">
        <f t="shared" si="392"/>
        <v>0</v>
      </c>
      <c r="AH112" s="523"/>
      <c r="AI112" s="524"/>
      <c r="AJ112" s="510">
        <f t="shared" si="393"/>
        <v>0</v>
      </c>
      <c r="AK112" s="523"/>
      <c r="AL112" s="524"/>
      <c r="AM112" s="510">
        <f t="shared" si="394"/>
        <v>0</v>
      </c>
      <c r="AN112" s="523"/>
      <c r="AO112" s="524"/>
      <c r="AP112" s="510">
        <f t="shared" si="395"/>
        <v>0</v>
      </c>
      <c r="AQ112" s="523"/>
      <c r="AR112" s="524"/>
      <c r="AS112" s="510">
        <f t="shared" si="396"/>
        <v>0</v>
      </c>
      <c r="AT112" s="523"/>
      <c r="AU112" s="524"/>
      <c r="AV112" s="510">
        <f t="shared" si="397"/>
        <v>0</v>
      </c>
      <c r="AW112" s="523"/>
      <c r="AX112" s="524"/>
      <c r="AY112" s="510">
        <f t="shared" si="398"/>
        <v>0</v>
      </c>
      <c r="AZ112" s="523"/>
      <c r="BA112" s="524"/>
      <c r="BB112" s="510">
        <f t="shared" si="399"/>
        <v>0</v>
      </c>
      <c r="BC112" s="523"/>
      <c r="BD112" s="524"/>
      <c r="BE112" s="510">
        <f t="shared" si="400"/>
        <v>0</v>
      </c>
      <c r="BF112" s="523"/>
      <c r="BG112" s="524"/>
      <c r="BH112" s="510">
        <f t="shared" si="401"/>
        <v>0</v>
      </c>
      <c r="BI112" s="523"/>
      <c r="BJ112" s="524"/>
      <c r="BK112" s="510">
        <f t="shared" si="402"/>
        <v>0</v>
      </c>
      <c r="BL112" s="523"/>
      <c r="BM112" s="524"/>
      <c r="BN112" s="510">
        <f t="shared" si="403"/>
        <v>0</v>
      </c>
      <c r="BO112" s="523"/>
      <c r="BP112" s="524"/>
      <c r="BQ112" s="510">
        <f t="shared" si="404"/>
        <v>0</v>
      </c>
      <c r="BR112" s="523"/>
      <c r="BS112" s="524"/>
      <c r="BT112" s="510">
        <f t="shared" si="405"/>
        <v>0</v>
      </c>
      <c r="BU112" s="522"/>
      <c r="BV112" s="524"/>
      <c r="BW112" s="510">
        <f t="shared" si="406"/>
        <v>0</v>
      </c>
      <c r="BX112" s="522"/>
      <c r="BY112" s="524"/>
      <c r="BZ112" s="510">
        <f t="shared" si="407"/>
        <v>0</v>
      </c>
      <c r="CA112" s="522"/>
      <c r="CB112" s="524"/>
      <c r="CC112" s="510">
        <f t="shared" si="408"/>
        <v>0</v>
      </c>
      <c r="CD112" s="522"/>
      <c r="CE112" s="524"/>
      <c r="CF112" s="510">
        <f t="shared" si="409"/>
        <v>0</v>
      </c>
      <c r="CG112" s="522"/>
      <c r="CH112" s="524"/>
      <c r="CI112" s="510">
        <f t="shared" si="410"/>
        <v>0</v>
      </c>
      <c r="CJ112" s="522"/>
      <c r="CK112" s="524"/>
      <c r="CL112" s="510">
        <f t="shared" si="411"/>
        <v>0</v>
      </c>
      <c r="CM112" s="522"/>
      <c r="CN112" s="524"/>
      <c r="CO112" s="510">
        <f t="shared" si="412"/>
        <v>0</v>
      </c>
      <c r="CP112" s="522"/>
      <c r="CQ112" s="524"/>
      <c r="CR112" s="510">
        <f t="shared" si="413"/>
        <v>0</v>
      </c>
      <c r="CS112" s="522"/>
      <c r="CT112" s="524"/>
      <c r="CU112" s="510">
        <f t="shared" si="414"/>
        <v>0</v>
      </c>
      <c r="CV112" s="522"/>
      <c r="CW112" s="524"/>
      <c r="CX112" s="510">
        <f t="shared" si="415"/>
        <v>0</v>
      </c>
      <c r="CY112" s="522"/>
      <c r="CZ112" s="524"/>
      <c r="DA112" s="510">
        <f t="shared" si="416"/>
        <v>0</v>
      </c>
      <c r="DB112" s="522"/>
      <c r="DC112" s="524"/>
      <c r="DD112" s="510">
        <f t="shared" si="417"/>
        <v>0</v>
      </c>
      <c r="DE112" s="522"/>
      <c r="DF112" s="524"/>
      <c r="DG112" s="510">
        <f t="shared" si="366"/>
        <v>0</v>
      </c>
      <c r="DH112" s="1259"/>
      <c r="DI112" s="534"/>
      <c r="DJ112" s="482">
        <f t="shared" si="418"/>
        <v>0</v>
      </c>
      <c r="DK112" s="1262"/>
      <c r="DL112" s="534"/>
      <c r="DM112" s="482">
        <f t="shared" si="419"/>
        <v>0</v>
      </c>
      <c r="DN112" s="1262"/>
      <c r="DO112" s="534"/>
      <c r="DP112" s="482">
        <f t="shared" si="420"/>
        <v>0</v>
      </c>
      <c r="DQ112" s="1262"/>
      <c r="DR112" s="534"/>
      <c r="DS112" s="482">
        <f t="shared" si="370"/>
        <v>0</v>
      </c>
      <c r="DT112" s="1262"/>
      <c r="DU112" s="534"/>
      <c r="DV112" s="482">
        <f t="shared" si="424"/>
        <v>0</v>
      </c>
      <c r="DW112" s="1262"/>
      <c r="DX112" s="534"/>
      <c r="DY112" s="482">
        <f t="shared" si="372"/>
        <v>0</v>
      </c>
      <c r="DZ112" s="1262"/>
      <c r="EA112" s="534"/>
      <c r="EB112" s="482">
        <f t="shared" si="373"/>
        <v>0</v>
      </c>
      <c r="EC112" s="1262"/>
      <c r="ED112" s="534"/>
      <c r="EE112" s="482">
        <f t="shared" si="374"/>
        <v>0</v>
      </c>
      <c r="EF112" s="1262"/>
      <c r="EG112" s="534"/>
      <c r="EH112" s="482">
        <f t="shared" si="375"/>
        <v>0</v>
      </c>
      <c r="EI112" s="1262"/>
      <c r="EJ112" s="534"/>
      <c r="EK112" s="482">
        <f t="shared" si="376"/>
        <v>0</v>
      </c>
      <c r="EL112" s="1262"/>
      <c r="EM112" s="534"/>
      <c r="EN112" s="482">
        <f t="shared" si="377"/>
        <v>0</v>
      </c>
      <c r="EO112" s="1262"/>
      <c r="EP112" s="534"/>
      <c r="EQ112" s="482">
        <f t="shared" si="378"/>
        <v>0</v>
      </c>
      <c r="ER112" s="1262"/>
      <c r="ES112" s="534"/>
      <c r="ET112" s="482">
        <f t="shared" si="425"/>
        <v>0</v>
      </c>
      <c r="EU112" s="1262"/>
      <c r="EV112" s="534"/>
      <c r="EW112" s="482">
        <f t="shared" si="426"/>
        <v>0</v>
      </c>
      <c r="EX112" s="1262"/>
      <c r="EY112" s="534"/>
      <c r="EZ112" s="482">
        <f t="shared" si="427"/>
        <v>0</v>
      </c>
      <c r="FA112" s="1262"/>
      <c r="FE112"/>
      <c r="FF112"/>
      <c r="FG112"/>
      <c r="FH112"/>
      <c r="FI112"/>
      <c r="FJ112"/>
      <c r="FK112" s="35"/>
    </row>
    <row r="113" spans="2:167" s="236" customFormat="1" ht="13.35" customHeight="1" outlineLevel="2" thickBot="1">
      <c r="B113" s="242" t="s">
        <v>47</v>
      </c>
      <c r="C113" s="242" t="s">
        <v>496</v>
      </c>
      <c r="D113" s="243"/>
      <c r="E113" s="540"/>
      <c r="F113" s="510">
        <f t="shared" si="383"/>
        <v>0</v>
      </c>
      <c r="G113" s="541"/>
      <c r="H113" s="542"/>
      <c r="I113" s="510">
        <f t="shared" si="384"/>
        <v>0</v>
      </c>
      <c r="J113" s="541"/>
      <c r="K113" s="542"/>
      <c r="L113" s="510">
        <f t="shared" si="385"/>
        <v>0</v>
      </c>
      <c r="M113" s="541"/>
      <c r="N113" s="542"/>
      <c r="O113" s="510">
        <f t="shared" si="386"/>
        <v>0</v>
      </c>
      <c r="P113" s="541"/>
      <c r="Q113" s="542"/>
      <c r="R113" s="510">
        <f t="shared" si="387"/>
        <v>0</v>
      </c>
      <c r="S113" s="541"/>
      <c r="T113" s="542"/>
      <c r="U113" s="510">
        <f t="shared" si="388"/>
        <v>0</v>
      </c>
      <c r="V113" s="541"/>
      <c r="W113" s="542"/>
      <c r="X113" s="510">
        <f t="shared" si="389"/>
        <v>0</v>
      </c>
      <c r="Y113" s="541"/>
      <c r="Z113" s="542"/>
      <c r="AA113" s="510">
        <f t="shared" si="390"/>
        <v>0</v>
      </c>
      <c r="AB113" s="541"/>
      <c r="AC113" s="542"/>
      <c r="AD113" s="510">
        <f t="shared" si="391"/>
        <v>0</v>
      </c>
      <c r="AE113" s="541"/>
      <c r="AF113" s="542"/>
      <c r="AG113" s="510">
        <f t="shared" si="392"/>
        <v>0</v>
      </c>
      <c r="AH113" s="541"/>
      <c r="AI113" s="542"/>
      <c r="AJ113" s="510">
        <f t="shared" si="393"/>
        <v>0</v>
      </c>
      <c r="AK113" s="541"/>
      <c r="AL113" s="542"/>
      <c r="AM113" s="510">
        <f t="shared" si="394"/>
        <v>0</v>
      </c>
      <c r="AN113" s="541"/>
      <c r="AO113" s="542"/>
      <c r="AP113" s="510">
        <f t="shared" si="395"/>
        <v>0</v>
      </c>
      <c r="AQ113" s="541"/>
      <c r="AR113" s="542"/>
      <c r="AS113" s="510">
        <f t="shared" si="396"/>
        <v>0</v>
      </c>
      <c r="AT113" s="541"/>
      <c r="AU113" s="542"/>
      <c r="AV113" s="510">
        <f t="shared" si="397"/>
        <v>0</v>
      </c>
      <c r="AW113" s="541"/>
      <c r="AX113" s="542"/>
      <c r="AY113" s="510">
        <f t="shared" si="398"/>
        <v>0</v>
      </c>
      <c r="AZ113" s="541"/>
      <c r="BA113" s="542"/>
      <c r="BB113" s="510">
        <f t="shared" si="399"/>
        <v>0</v>
      </c>
      <c r="BC113" s="541"/>
      <c r="BD113" s="542"/>
      <c r="BE113" s="510">
        <f t="shared" si="400"/>
        <v>0</v>
      </c>
      <c r="BF113" s="541"/>
      <c r="BG113" s="542"/>
      <c r="BH113" s="510">
        <f t="shared" si="401"/>
        <v>0</v>
      </c>
      <c r="BI113" s="541"/>
      <c r="BJ113" s="542"/>
      <c r="BK113" s="510">
        <f t="shared" si="402"/>
        <v>0</v>
      </c>
      <c r="BL113" s="541"/>
      <c r="BM113" s="542"/>
      <c r="BN113" s="510">
        <f t="shared" si="403"/>
        <v>0</v>
      </c>
      <c r="BO113" s="541"/>
      <c r="BP113" s="542"/>
      <c r="BQ113" s="510">
        <f t="shared" si="404"/>
        <v>0</v>
      </c>
      <c r="BR113" s="541"/>
      <c r="BS113" s="542"/>
      <c r="BT113" s="510">
        <f t="shared" si="405"/>
        <v>0</v>
      </c>
      <c r="BU113" s="540"/>
      <c r="BV113" s="542"/>
      <c r="BW113" s="510">
        <f t="shared" si="406"/>
        <v>0</v>
      </c>
      <c r="BX113" s="540"/>
      <c r="BY113" s="542"/>
      <c r="BZ113" s="510">
        <f t="shared" si="407"/>
        <v>0</v>
      </c>
      <c r="CA113" s="540"/>
      <c r="CB113" s="542"/>
      <c r="CC113" s="510">
        <f t="shared" si="408"/>
        <v>0</v>
      </c>
      <c r="CD113" s="540"/>
      <c r="CE113" s="542"/>
      <c r="CF113" s="510">
        <f t="shared" si="409"/>
        <v>0</v>
      </c>
      <c r="CG113" s="540"/>
      <c r="CH113" s="542"/>
      <c r="CI113" s="510">
        <f t="shared" si="410"/>
        <v>0</v>
      </c>
      <c r="CJ113" s="540"/>
      <c r="CK113" s="542"/>
      <c r="CL113" s="510">
        <f t="shared" si="411"/>
        <v>0</v>
      </c>
      <c r="CM113" s="540"/>
      <c r="CN113" s="542"/>
      <c r="CO113" s="510">
        <f t="shared" si="412"/>
        <v>0</v>
      </c>
      <c r="CP113" s="540"/>
      <c r="CQ113" s="542"/>
      <c r="CR113" s="510">
        <f t="shared" si="413"/>
        <v>0</v>
      </c>
      <c r="CS113" s="540"/>
      <c r="CT113" s="542"/>
      <c r="CU113" s="510">
        <f t="shared" si="414"/>
        <v>0</v>
      </c>
      <c r="CV113" s="540"/>
      <c r="CW113" s="542"/>
      <c r="CX113" s="510">
        <f t="shared" si="415"/>
        <v>0</v>
      </c>
      <c r="CY113" s="540"/>
      <c r="CZ113" s="542"/>
      <c r="DA113" s="510">
        <f t="shared" si="416"/>
        <v>0</v>
      </c>
      <c r="DB113" s="540"/>
      <c r="DC113" s="542"/>
      <c r="DD113" s="510">
        <f t="shared" si="417"/>
        <v>0</v>
      </c>
      <c r="DE113" s="540"/>
      <c r="DF113" s="542"/>
      <c r="DG113" s="510">
        <f t="shared" si="366"/>
        <v>0</v>
      </c>
      <c r="DH113" s="1269"/>
      <c r="DI113" s="534"/>
      <c r="DJ113" s="482">
        <f t="shared" si="418"/>
        <v>0</v>
      </c>
      <c r="DK113" s="1262"/>
      <c r="DL113" s="534"/>
      <c r="DM113" s="482">
        <f t="shared" si="419"/>
        <v>0</v>
      </c>
      <c r="DN113" s="1262"/>
      <c r="DO113" s="534"/>
      <c r="DP113" s="482">
        <f t="shared" si="420"/>
        <v>0</v>
      </c>
      <c r="DQ113" s="1262"/>
      <c r="DR113" s="534"/>
      <c r="DS113" s="482">
        <f t="shared" si="370"/>
        <v>0</v>
      </c>
      <c r="DT113" s="1262"/>
      <c r="DU113" s="534"/>
      <c r="DV113" s="482">
        <f t="shared" si="424"/>
        <v>0</v>
      </c>
      <c r="DW113" s="1262"/>
      <c r="DX113" s="534"/>
      <c r="DY113" s="482">
        <f t="shared" si="372"/>
        <v>0</v>
      </c>
      <c r="DZ113" s="1262"/>
      <c r="EA113" s="534"/>
      <c r="EB113" s="482">
        <f t="shared" si="373"/>
        <v>0</v>
      </c>
      <c r="EC113" s="1262"/>
      <c r="ED113" s="534"/>
      <c r="EE113" s="482">
        <f t="shared" si="374"/>
        <v>0</v>
      </c>
      <c r="EF113" s="1262"/>
      <c r="EG113" s="534"/>
      <c r="EH113" s="482">
        <f t="shared" si="375"/>
        <v>0</v>
      </c>
      <c r="EI113" s="1262"/>
      <c r="EJ113" s="534"/>
      <c r="EK113" s="482">
        <f t="shared" si="376"/>
        <v>0</v>
      </c>
      <c r="EL113" s="1262"/>
      <c r="EM113" s="534"/>
      <c r="EN113" s="482">
        <f t="shared" si="377"/>
        <v>0</v>
      </c>
      <c r="EO113" s="1262"/>
      <c r="EP113" s="534"/>
      <c r="EQ113" s="482">
        <f t="shared" si="378"/>
        <v>0</v>
      </c>
      <c r="ER113" s="1262"/>
      <c r="ES113" s="534"/>
      <c r="ET113" s="482">
        <f t="shared" si="425"/>
        <v>0</v>
      </c>
      <c r="EU113" s="1262"/>
      <c r="EV113" s="534"/>
      <c r="EW113" s="482">
        <f t="shared" si="426"/>
        <v>0</v>
      </c>
      <c r="EX113" s="1262"/>
      <c r="EY113" s="534"/>
      <c r="EZ113" s="482">
        <f t="shared" si="427"/>
        <v>0</v>
      </c>
      <c r="FA113" s="1262"/>
      <c r="FE113"/>
      <c r="FF113"/>
      <c r="FG113"/>
      <c r="FH113"/>
      <c r="FI113"/>
      <c r="FJ113"/>
      <c r="FK113" s="35"/>
    </row>
    <row r="114" spans="2:167" s="236" customFormat="1" ht="13.35" customHeight="1" outlineLevel="1" thickBot="1">
      <c r="B114" s="242" t="s">
        <v>877</v>
      </c>
      <c r="C114" s="242" t="s">
        <v>496</v>
      </c>
      <c r="D114" s="243"/>
      <c r="E114" s="495"/>
      <c r="F114" s="510">
        <f t="shared" si="383"/>
        <v>0</v>
      </c>
      <c r="G114" s="496"/>
      <c r="H114" s="497"/>
      <c r="I114" s="510">
        <f t="shared" si="384"/>
        <v>0</v>
      </c>
      <c r="J114" s="496"/>
      <c r="K114" s="497"/>
      <c r="L114" s="510">
        <f t="shared" si="385"/>
        <v>0</v>
      </c>
      <c r="M114" s="496"/>
      <c r="N114" s="497"/>
      <c r="O114" s="510">
        <f t="shared" si="386"/>
        <v>0</v>
      </c>
      <c r="P114" s="496"/>
      <c r="Q114" s="497"/>
      <c r="R114" s="510">
        <f t="shared" si="387"/>
        <v>0</v>
      </c>
      <c r="S114" s="496"/>
      <c r="T114" s="497"/>
      <c r="U114" s="510">
        <f t="shared" si="388"/>
        <v>0</v>
      </c>
      <c r="V114" s="496"/>
      <c r="W114" s="497"/>
      <c r="X114" s="510">
        <f t="shared" si="389"/>
        <v>0</v>
      </c>
      <c r="Y114" s="496"/>
      <c r="Z114" s="497"/>
      <c r="AA114" s="510">
        <f t="shared" si="390"/>
        <v>0</v>
      </c>
      <c r="AB114" s="496"/>
      <c r="AC114" s="497"/>
      <c r="AD114" s="510">
        <f t="shared" si="391"/>
        <v>0</v>
      </c>
      <c r="AE114" s="496"/>
      <c r="AF114" s="497"/>
      <c r="AG114" s="510">
        <f t="shared" si="392"/>
        <v>0</v>
      </c>
      <c r="AH114" s="496"/>
      <c r="AI114" s="497"/>
      <c r="AJ114" s="510">
        <f t="shared" si="393"/>
        <v>0</v>
      </c>
      <c r="AK114" s="496"/>
      <c r="AL114" s="497"/>
      <c r="AM114" s="510">
        <f t="shared" si="394"/>
        <v>0</v>
      </c>
      <c r="AN114" s="496"/>
      <c r="AO114" s="497"/>
      <c r="AP114" s="510">
        <f t="shared" si="395"/>
        <v>0</v>
      </c>
      <c r="AQ114" s="496"/>
      <c r="AR114" s="497"/>
      <c r="AS114" s="510">
        <f t="shared" si="396"/>
        <v>0</v>
      </c>
      <c r="AT114" s="496"/>
      <c r="AU114" s="497"/>
      <c r="AV114" s="510">
        <f t="shared" si="397"/>
        <v>0</v>
      </c>
      <c r="AW114" s="496"/>
      <c r="AX114" s="497"/>
      <c r="AY114" s="510">
        <f t="shared" si="398"/>
        <v>0</v>
      </c>
      <c r="AZ114" s="496"/>
      <c r="BA114" s="497"/>
      <c r="BB114" s="510">
        <f t="shared" si="399"/>
        <v>0</v>
      </c>
      <c r="BC114" s="496"/>
      <c r="BD114" s="497"/>
      <c r="BE114" s="510">
        <f t="shared" si="400"/>
        <v>0</v>
      </c>
      <c r="BF114" s="496"/>
      <c r="BG114" s="497"/>
      <c r="BH114" s="510">
        <f t="shared" si="401"/>
        <v>0</v>
      </c>
      <c r="BI114" s="496"/>
      <c r="BJ114" s="497"/>
      <c r="BK114" s="510">
        <f t="shared" si="402"/>
        <v>0</v>
      </c>
      <c r="BL114" s="496"/>
      <c r="BM114" s="497"/>
      <c r="BN114" s="510">
        <f t="shared" si="403"/>
        <v>0</v>
      </c>
      <c r="BO114" s="540"/>
      <c r="BP114" s="542"/>
      <c r="BQ114" s="510">
        <f t="shared" si="404"/>
        <v>0</v>
      </c>
      <c r="BR114" s="540"/>
      <c r="BS114" s="542"/>
      <c r="BT114" s="510">
        <f t="shared" si="405"/>
        <v>0</v>
      </c>
      <c r="BU114" s="495"/>
      <c r="BV114" s="497"/>
      <c r="BW114" s="510">
        <f t="shared" si="406"/>
        <v>0</v>
      </c>
      <c r="BX114" s="495"/>
      <c r="BY114" s="497"/>
      <c r="BZ114" s="510">
        <f t="shared" si="407"/>
        <v>0</v>
      </c>
      <c r="CA114" s="495"/>
      <c r="CB114" s="497"/>
      <c r="CC114" s="510">
        <f t="shared" si="408"/>
        <v>0</v>
      </c>
      <c r="CD114" s="495"/>
      <c r="CE114" s="497"/>
      <c r="CF114" s="510">
        <f t="shared" si="409"/>
        <v>0</v>
      </c>
      <c r="CG114" s="495"/>
      <c r="CH114" s="497"/>
      <c r="CI114" s="510">
        <f t="shared" si="410"/>
        <v>0</v>
      </c>
      <c r="CJ114" s="495"/>
      <c r="CK114" s="497"/>
      <c r="CL114" s="510">
        <f t="shared" si="411"/>
        <v>0</v>
      </c>
      <c r="CM114" s="495"/>
      <c r="CN114" s="497"/>
      <c r="CO114" s="510">
        <f t="shared" si="412"/>
        <v>0</v>
      </c>
      <c r="CP114" s="495"/>
      <c r="CQ114" s="497"/>
      <c r="CR114" s="510">
        <f t="shared" si="413"/>
        <v>0</v>
      </c>
      <c r="CS114" s="495"/>
      <c r="CT114" s="497"/>
      <c r="CU114" s="510">
        <f t="shared" si="414"/>
        <v>0</v>
      </c>
      <c r="CV114" s="495"/>
      <c r="CW114" s="497"/>
      <c r="CX114" s="510">
        <f t="shared" si="415"/>
        <v>0</v>
      </c>
      <c r="CY114" s="495"/>
      <c r="CZ114" s="497"/>
      <c r="DA114" s="510">
        <f t="shared" si="416"/>
        <v>0</v>
      </c>
      <c r="DB114" s="495"/>
      <c r="DC114" s="497"/>
      <c r="DD114" s="510">
        <f t="shared" si="417"/>
        <v>0</v>
      </c>
      <c r="DE114" s="495"/>
      <c r="DF114" s="497"/>
      <c r="DG114" s="510">
        <f t="shared" si="366"/>
        <v>0</v>
      </c>
      <c r="DH114" s="1252"/>
      <c r="DI114" s="534"/>
      <c r="DJ114" s="482">
        <f t="shared" si="418"/>
        <v>0</v>
      </c>
      <c r="DK114" s="1262"/>
      <c r="DL114" s="534"/>
      <c r="DM114" s="482">
        <f t="shared" si="419"/>
        <v>0</v>
      </c>
      <c r="DN114" s="1262"/>
      <c r="DO114" s="534"/>
      <c r="DP114" s="482">
        <f t="shared" si="420"/>
        <v>0</v>
      </c>
      <c r="DQ114" s="1262"/>
      <c r="DR114" s="534">
        <v>-0.4</v>
      </c>
      <c r="DS114" s="482">
        <f t="shared" si="370"/>
        <v>0.4</v>
      </c>
      <c r="DT114" s="1262"/>
      <c r="DU114" s="534"/>
      <c r="DV114" s="482">
        <f t="shared" si="424"/>
        <v>0</v>
      </c>
      <c r="DW114" s="1262"/>
      <c r="DX114" s="534"/>
      <c r="DY114" s="482">
        <f t="shared" si="372"/>
        <v>0</v>
      </c>
      <c r="DZ114" s="1262"/>
      <c r="EA114" s="534"/>
      <c r="EB114" s="482">
        <f t="shared" si="373"/>
        <v>0</v>
      </c>
      <c r="EC114" s="1262"/>
      <c r="ED114" s="534"/>
      <c r="EE114" s="482">
        <f t="shared" si="374"/>
        <v>0</v>
      </c>
      <c r="EF114" s="1262"/>
      <c r="EG114" s="534"/>
      <c r="EH114" s="482">
        <f t="shared" si="375"/>
        <v>0</v>
      </c>
      <c r="EI114" s="1262"/>
      <c r="EJ114" s="534"/>
      <c r="EK114" s="482">
        <f t="shared" si="376"/>
        <v>0</v>
      </c>
      <c r="EL114" s="1262"/>
      <c r="EM114" s="534"/>
      <c r="EN114" s="482">
        <f t="shared" si="377"/>
        <v>0</v>
      </c>
      <c r="EO114" s="1262"/>
      <c r="EP114" s="534"/>
      <c r="EQ114" s="482">
        <f t="shared" si="378"/>
        <v>0</v>
      </c>
      <c r="ER114" s="1262"/>
      <c r="ES114" s="534"/>
      <c r="ET114" s="482">
        <f t="shared" si="425"/>
        <v>0</v>
      </c>
      <c r="EU114" s="1262"/>
      <c r="EV114" s="534"/>
      <c r="EW114" s="482">
        <f t="shared" si="426"/>
        <v>0</v>
      </c>
      <c r="EX114" s="1262"/>
      <c r="EY114" s="534"/>
      <c r="EZ114" s="482">
        <f t="shared" si="427"/>
        <v>0</v>
      </c>
      <c r="FA114" s="1262"/>
      <c r="FE114"/>
      <c r="FF114"/>
      <c r="FG114"/>
      <c r="FH114"/>
      <c r="FI114"/>
      <c r="FJ114"/>
      <c r="FK114" s="35"/>
    </row>
    <row r="115" spans="2:167" s="501" customFormat="1" ht="13.35" customHeight="1" outlineLevel="1" thickBot="1">
      <c r="B115" s="444" t="s">
        <v>878</v>
      </c>
      <c r="C115" s="444" t="s">
        <v>496</v>
      </c>
      <c r="D115" s="1474"/>
      <c r="E115" s="877">
        <f>+E84+E92+E93+E114</f>
        <v>0</v>
      </c>
      <c r="F115" s="581">
        <f t="shared" si="383"/>
        <v>0</v>
      </c>
      <c r="G115" s="877">
        <f>+G84+G92+G93+G114</f>
        <v>0</v>
      </c>
      <c r="H115" s="877">
        <f>+H84+H92+H93+H114</f>
        <v>0</v>
      </c>
      <c r="I115" s="581">
        <f t="shared" si="384"/>
        <v>0</v>
      </c>
      <c r="J115" s="877">
        <f>+J84+J92+J93+J114</f>
        <v>0</v>
      </c>
      <c r="K115" s="877">
        <f>+K84+K92+K93+K114</f>
        <v>0</v>
      </c>
      <c r="L115" s="581">
        <f t="shared" si="385"/>
        <v>0</v>
      </c>
      <c r="M115" s="877">
        <f>+M84+M92+M93+M114</f>
        <v>0</v>
      </c>
      <c r="N115" s="877">
        <f>+N84+N92+N93+N114</f>
        <v>0</v>
      </c>
      <c r="O115" s="581">
        <f t="shared" si="386"/>
        <v>0</v>
      </c>
      <c r="P115" s="877">
        <f>+P84+P92+P93+P114</f>
        <v>0</v>
      </c>
      <c r="Q115" s="877">
        <f>+Q84+Q92+Q93+Q114</f>
        <v>0</v>
      </c>
      <c r="R115" s="581">
        <f t="shared" si="387"/>
        <v>0</v>
      </c>
      <c r="S115" s="877">
        <f>+S84+S92+S93+S114</f>
        <v>0</v>
      </c>
      <c r="T115" s="877">
        <f>+T84+T92+T93+T114</f>
        <v>0</v>
      </c>
      <c r="U115" s="581">
        <f t="shared" si="388"/>
        <v>0</v>
      </c>
      <c r="V115" s="877">
        <f>+V84+V92+V93+V114</f>
        <v>0</v>
      </c>
      <c r="W115" s="877">
        <f>+W84+W92+W93+W114</f>
        <v>0</v>
      </c>
      <c r="X115" s="581">
        <f t="shared" si="389"/>
        <v>0</v>
      </c>
      <c r="Y115" s="877">
        <f>+Y84+Y92+Y93+Y114</f>
        <v>0</v>
      </c>
      <c r="Z115" s="877">
        <f>+Z84+Z92+Z93+Z114</f>
        <v>0</v>
      </c>
      <c r="AA115" s="581">
        <f t="shared" si="390"/>
        <v>0</v>
      </c>
      <c r="AB115" s="877">
        <f>+AB84+AB92+AB93+AB114</f>
        <v>0</v>
      </c>
      <c r="AC115" s="877">
        <f>+AC84+AC92+AC93+AC114</f>
        <v>0</v>
      </c>
      <c r="AD115" s="581">
        <f t="shared" si="391"/>
        <v>0</v>
      </c>
      <c r="AE115" s="877">
        <f>+AE84+AE92+AE93+AE114</f>
        <v>0</v>
      </c>
      <c r="AF115" s="877">
        <f>+AF84+AF92+AF93+AF114</f>
        <v>0</v>
      </c>
      <c r="AG115" s="581">
        <f t="shared" si="392"/>
        <v>0</v>
      </c>
      <c r="AH115" s="877">
        <f>+AH84+AH92+AH93+AH114</f>
        <v>0</v>
      </c>
      <c r="AI115" s="877">
        <f>+AI84+AI92+AI93+AI114</f>
        <v>4.5949999999999998</v>
      </c>
      <c r="AJ115" s="581">
        <f t="shared" si="393"/>
        <v>5.7809999999999997</v>
      </c>
      <c r="AK115" s="877">
        <f>+AK84+AK92+AK93+AK114</f>
        <v>10.375999999999999</v>
      </c>
      <c r="AL115" s="877">
        <f>+AL84+AL92+AL93+AL114</f>
        <v>5.1269999999999998</v>
      </c>
      <c r="AM115" s="581">
        <f t="shared" si="394"/>
        <v>5.7359999999999998</v>
      </c>
      <c r="AN115" s="877">
        <f>+AN84+AN92+AN93+AN114</f>
        <v>10.863</v>
      </c>
      <c r="AO115" s="877">
        <f>+AO84+AO92+AO93+AO114</f>
        <v>4.5220000000000002</v>
      </c>
      <c r="AP115" s="581">
        <f t="shared" si="395"/>
        <v>6.2870000000000008</v>
      </c>
      <c r="AQ115" s="877">
        <f>+AQ84+AQ92+AQ93+AQ114</f>
        <v>10.809000000000001</v>
      </c>
      <c r="AR115" s="877">
        <f>+AR84+AR92+AR93+AR114</f>
        <v>5.4249999999999998</v>
      </c>
      <c r="AS115" s="581">
        <f t="shared" si="396"/>
        <v>7.86</v>
      </c>
      <c r="AT115" s="877">
        <f>+AT84+AT92+AT93+AT114</f>
        <v>13.285</v>
      </c>
      <c r="AU115" s="877">
        <f>+AU84+AU92+AU93+AU114</f>
        <v>6.6429999999999998</v>
      </c>
      <c r="AV115" s="581">
        <f t="shared" si="397"/>
        <v>9.6839999999999975</v>
      </c>
      <c r="AW115" s="877">
        <f>+AW84+AW92+AW93+AW114</f>
        <v>16.326999999999998</v>
      </c>
      <c r="AX115" s="877">
        <f>+AX84+AX92+AX93+AX114</f>
        <v>10.324000000000002</v>
      </c>
      <c r="AY115" s="581">
        <f t="shared" si="398"/>
        <v>9.8429999999999964</v>
      </c>
      <c r="AZ115" s="877">
        <f>+AZ84+AZ92+AZ93+AZ114</f>
        <v>20.166999999999998</v>
      </c>
      <c r="BA115" s="877">
        <f>+BA84+BA92+BA93+BA114</f>
        <v>15.873000000000001</v>
      </c>
      <c r="BB115" s="581">
        <f t="shared" si="399"/>
        <v>15.305</v>
      </c>
      <c r="BC115" s="877">
        <f>+BC84+BC92+BC93+BC114</f>
        <v>31.178000000000001</v>
      </c>
      <c r="BD115" s="877">
        <f>+BD84+BD92+BD93+BD114</f>
        <v>17.399999999999995</v>
      </c>
      <c r="BE115" s="581">
        <f t="shared" si="400"/>
        <v>22.810000000000006</v>
      </c>
      <c r="BF115" s="877">
        <f>+BF84+BF92+BF93+BF114</f>
        <v>40.21</v>
      </c>
      <c r="BG115" s="877">
        <f>+BG84+BG92+BG93+BG114</f>
        <v>27.015000000000001</v>
      </c>
      <c r="BH115" s="581">
        <f t="shared" si="401"/>
        <v>31.169000000000004</v>
      </c>
      <c r="BI115" s="877">
        <f>+BI84+BI92+BI93+BI114</f>
        <v>58.184000000000005</v>
      </c>
      <c r="BJ115" s="877">
        <f>+BJ84+BJ92+BJ93+BJ114</f>
        <v>26.880000000000003</v>
      </c>
      <c r="BK115" s="581">
        <f t="shared" si="402"/>
        <v>9.8810000000000002</v>
      </c>
      <c r="BL115" s="877">
        <f>+BL84+BL92+BL93+BL114</f>
        <v>36.761000000000003</v>
      </c>
      <c r="BM115" s="877">
        <f>+BM84+BM92+BM93+BM114</f>
        <v>29.465</v>
      </c>
      <c r="BN115" s="581">
        <f t="shared" si="403"/>
        <v>29.009000000000004</v>
      </c>
      <c r="BO115" s="877">
        <f>+BO84+BO92+BO93+BO114</f>
        <v>58.474000000000004</v>
      </c>
      <c r="BP115" s="877">
        <f>+BP84+BP92+BP93+BP114</f>
        <v>43.009</v>
      </c>
      <c r="BQ115" s="581">
        <f t="shared" si="404"/>
        <v>37.022999999999996</v>
      </c>
      <c r="BR115" s="877">
        <f>+BR84+BR92+BR93+BR114</f>
        <v>80.031999999999996</v>
      </c>
      <c r="BS115" s="877">
        <f>+BS84+BS92+BS93+BS114</f>
        <v>48.798000000000009</v>
      </c>
      <c r="BT115" s="581">
        <f t="shared" si="405"/>
        <v>51.332999999999977</v>
      </c>
      <c r="BU115" s="877">
        <f>+BU84+BU92+BU93+BU114</f>
        <v>100.13099999999999</v>
      </c>
      <c r="BV115" s="877">
        <f>+BV84+BV92+BV93+BV114</f>
        <v>57.113000000000007</v>
      </c>
      <c r="BW115" s="581">
        <f t="shared" si="406"/>
        <v>58.121000000000002</v>
      </c>
      <c r="BX115" s="877">
        <f>+BX84+BX92+BX93+BX114</f>
        <v>115.23400000000001</v>
      </c>
      <c r="BY115" s="877">
        <f>+BY84+BY92+BY93+BY114</f>
        <v>69.935999999999993</v>
      </c>
      <c r="BZ115" s="581">
        <f t="shared" si="407"/>
        <v>60.603999999999999</v>
      </c>
      <c r="CA115" s="877">
        <f>+CA84+CA92+CA93+CA114</f>
        <v>130.54</v>
      </c>
      <c r="CB115" s="877">
        <f>+CB84+CB92+CB93+CB114</f>
        <v>75.247000000000014</v>
      </c>
      <c r="CC115" s="581">
        <f t="shared" si="408"/>
        <v>79.904999999999973</v>
      </c>
      <c r="CD115" s="877">
        <f>+CD84+CD92+CD93+CD114</f>
        <v>155.15199999999999</v>
      </c>
      <c r="CE115" s="877">
        <f>+CE84+CE92+CE93+CE114</f>
        <v>87.225999999999999</v>
      </c>
      <c r="CF115" s="581">
        <f t="shared" si="409"/>
        <v>97.179000000000002</v>
      </c>
      <c r="CG115" s="877">
        <f>+CG84+CG92+CG93+CG114</f>
        <v>184.405</v>
      </c>
      <c r="CH115" s="877">
        <f>+CH84+CH92+CH93+CH114</f>
        <v>-20.389000000000017</v>
      </c>
      <c r="CI115" s="581">
        <f t="shared" si="410"/>
        <v>77.188999999999993</v>
      </c>
      <c r="CJ115" s="877">
        <f>+CJ84+CJ92+CJ93+CJ114</f>
        <v>56.799999999999983</v>
      </c>
      <c r="CK115" s="877">
        <f>+CK84+CK92+CK93+CK114</f>
        <v>77.665000000000006</v>
      </c>
      <c r="CL115" s="581">
        <f t="shared" si="411"/>
        <v>54.897999999999982</v>
      </c>
      <c r="CM115" s="877">
        <f>+CM84+CM92+CM93+CM114</f>
        <v>132.56299999999999</v>
      </c>
      <c r="CN115" s="877">
        <f>+CN84+CN92+CN93+CN114</f>
        <v>21.044999999999998</v>
      </c>
      <c r="CO115" s="581">
        <f t="shared" si="412"/>
        <v>72.663999999999987</v>
      </c>
      <c r="CP115" s="877">
        <f>+CP84+CP92+CP93+CP114</f>
        <v>93.708999999999989</v>
      </c>
      <c r="CQ115" s="877">
        <f>+CQ84+CQ92+CQ93+CQ114</f>
        <v>71.375</v>
      </c>
      <c r="CR115" s="581">
        <f t="shared" si="413"/>
        <v>74.465000000000003</v>
      </c>
      <c r="CS115" s="877">
        <f>+CS84+CS92+CS93+CS114</f>
        <v>145.84</v>
      </c>
      <c r="CT115" s="877">
        <f>+CT84+CT92+CT93+CT114</f>
        <v>94.033000000000001</v>
      </c>
      <c r="CU115" s="581">
        <f t="shared" si="414"/>
        <v>94.887999999999991</v>
      </c>
      <c r="CV115" s="877">
        <f>+CV84+CV92+CV93+CV114</f>
        <v>188.92099999999999</v>
      </c>
      <c r="CW115" s="877">
        <f>+CW84+CW92+CW93+CW114</f>
        <v>111.36944</v>
      </c>
      <c r="CX115" s="581">
        <f t="shared" si="415"/>
        <v>112.24655999999999</v>
      </c>
      <c r="CY115" s="877">
        <f>+CY84+CY92+CY93+CY114</f>
        <v>223.61599999999999</v>
      </c>
      <c r="CZ115" s="877">
        <f>+CZ84+CZ92+CZ93+CZ114</f>
        <v>110.79999999999998</v>
      </c>
      <c r="DA115" s="581">
        <f t="shared" si="416"/>
        <v>135.00000000000003</v>
      </c>
      <c r="DB115" s="877">
        <f>+DB84+DB92+DB93+DB114</f>
        <v>245.8</v>
      </c>
      <c r="DC115" s="877">
        <f>+DC84+DC92+DC93+DC114</f>
        <v>128.60000000000002</v>
      </c>
      <c r="DD115" s="581">
        <f t="shared" si="417"/>
        <v>137.29999999999995</v>
      </c>
      <c r="DE115" s="877">
        <f>+DE84+DE92+DE93+DE114</f>
        <v>265.89999999999998</v>
      </c>
      <c r="DF115" s="877">
        <f>+DF84+DF92+DF93+DF114</f>
        <v>132.69999999999996</v>
      </c>
      <c r="DG115" s="581">
        <f t="shared" si="366"/>
        <v>21.100000000000051</v>
      </c>
      <c r="DH115" s="1342">
        <f>+DH84+DH92+DH93+DH114</f>
        <v>153.80000000000001</v>
      </c>
      <c r="DI115" s="867">
        <f>+DI84+DI92+DI93+DI114</f>
        <v>125.69</v>
      </c>
      <c r="DJ115" s="562">
        <f t="shared" si="418"/>
        <v>114.94</v>
      </c>
      <c r="DK115" s="1341">
        <f>+DK84+DK92+DK93+DK114</f>
        <v>240.63</v>
      </c>
      <c r="DL115" s="867">
        <f>+DL84+DL92+DL93+DL114</f>
        <v>173.14000000000001</v>
      </c>
      <c r="DM115" s="562">
        <f t="shared" si="419"/>
        <v>131.08000000000001</v>
      </c>
      <c r="DN115" s="1341">
        <f>+DN84+DN92+DN93+DN114</f>
        <v>304.22000000000003</v>
      </c>
      <c r="DO115" s="867">
        <f>+DO84+DO92+DO93+DO114</f>
        <v>153.74</v>
      </c>
      <c r="DP115" s="562">
        <f t="shared" si="420"/>
        <v>173.81</v>
      </c>
      <c r="DQ115" s="1341">
        <f>+DQ84+DQ92+DQ93+DQ114</f>
        <v>327.55</v>
      </c>
      <c r="DR115" s="867">
        <f>+DR84+DR92+DR93+DR114</f>
        <v>202.82999999999996</v>
      </c>
      <c r="DS115" s="562">
        <f t="shared" si="370"/>
        <v>175.17999999999998</v>
      </c>
      <c r="DT115" s="1341">
        <f>+DT84+DT92+DT93+DT114</f>
        <v>378.00999999999993</v>
      </c>
      <c r="DU115" s="867">
        <f>+DU84+DU92+DU93+DU114</f>
        <v>205.08999999999997</v>
      </c>
      <c r="DV115" s="562">
        <f t="shared" si="424"/>
        <v>183.81</v>
      </c>
      <c r="DW115" s="1341">
        <f>+DW84+DW92+DW93+DW114</f>
        <v>388.9</v>
      </c>
      <c r="DX115" s="867">
        <f>+DX84+DX92+DX93+DX114</f>
        <v>161.50000000000006</v>
      </c>
      <c r="DY115" s="562">
        <f t="shared" si="372"/>
        <v>170.56495297475243</v>
      </c>
      <c r="DZ115" s="1341">
        <f>+DZ84+DZ92+DZ93+DZ114</f>
        <v>332.06495297475249</v>
      </c>
      <c r="EA115" s="867">
        <f>+EA84+EA92+EA93+EA114</f>
        <v>208.78288198280904</v>
      </c>
      <c r="EB115" s="562">
        <f t="shared" si="373"/>
        <v>215.97310037358784</v>
      </c>
      <c r="EC115" s="1341">
        <f>+EC84+EC92+EC93+EC114</f>
        <v>424.75598235639688</v>
      </c>
      <c r="ED115" s="867">
        <f>+ED84+ED92+ED93+ED114</f>
        <v>260.8416567151105</v>
      </c>
      <c r="EE115" s="562">
        <f t="shared" si="374"/>
        <v>269.01603818798242</v>
      </c>
      <c r="EF115" s="1341">
        <f>+EF84+EF92+EF93+EF114</f>
        <v>529.85769490309292</v>
      </c>
      <c r="EG115" s="867">
        <f>+EG84+EG92+EG93+EG114</f>
        <v>289.72905851376896</v>
      </c>
      <c r="EH115" s="562">
        <f t="shared" si="375"/>
        <v>298.79174864697194</v>
      </c>
      <c r="EI115" s="1341">
        <f>+EI84+EI92+EI93+EI114</f>
        <v>588.5208071607409</v>
      </c>
      <c r="EJ115" s="867">
        <f>+EJ84+EJ92+EJ93+EJ114</f>
        <v>319.50187721472264</v>
      </c>
      <c r="EK115" s="562">
        <f t="shared" si="376"/>
        <v>329.48417797070886</v>
      </c>
      <c r="EL115" s="1341">
        <f>+EL84+EL92+EL93+EL114</f>
        <v>648.9860551854315</v>
      </c>
      <c r="EM115" s="867">
        <f>+EM84+EM92+EM93+EM114</f>
        <v>350.75124275068288</v>
      </c>
      <c r="EN115" s="562">
        <f t="shared" si="377"/>
        <v>361.67728084541432</v>
      </c>
      <c r="EO115" s="1341">
        <f>+EO84+EO92+EO93+EO114</f>
        <v>712.42852359609719</v>
      </c>
      <c r="EP115" s="867">
        <f>+EP84+EP92+EP93+EP114</f>
        <v>384.01284734902202</v>
      </c>
      <c r="EQ115" s="562">
        <f t="shared" si="378"/>
        <v>395.92222887227962</v>
      </c>
      <c r="ER115" s="1341">
        <f>+ER84+ER92+ER93+ER114</f>
        <v>779.93507622130164</v>
      </c>
      <c r="ES115" s="867">
        <f>+ES84+ES92+ES93+ES114</f>
        <v>420.32850032569968</v>
      </c>
      <c r="ET115" s="562">
        <f t="shared" si="425"/>
        <v>433.30972618605028</v>
      </c>
      <c r="EU115" s="1341">
        <f>+EU84+EU92+EU93+EU114</f>
        <v>853.63822651174996</v>
      </c>
      <c r="EV115" s="867">
        <f>+EV84+EV92+EV93+EV114</f>
        <v>459.97999412878312</v>
      </c>
      <c r="EW115" s="562">
        <f t="shared" si="426"/>
        <v>474.12953031656548</v>
      </c>
      <c r="EX115" s="1341">
        <f>+EX84+EX92+EX93+EX114</f>
        <v>934.1095244453486</v>
      </c>
      <c r="EY115" s="867">
        <f>+EY84+EY92+EY93+EY114</f>
        <v>503.27613060908709</v>
      </c>
      <c r="EZ115" s="562">
        <f t="shared" si="427"/>
        <v>518.69912505376976</v>
      </c>
      <c r="FA115" s="1341">
        <f>+FA84+FA92+FA93+FA114</f>
        <v>1021.9752556628569</v>
      </c>
      <c r="FE115"/>
      <c r="FF115"/>
      <c r="FG115"/>
      <c r="FH115"/>
      <c r="FI115"/>
      <c r="FJ115"/>
      <c r="FK115" s="31"/>
    </row>
    <row r="116" spans="2:167" s="236" customFormat="1" ht="13.35" customHeight="1" outlineLevel="1">
      <c r="B116" s="242" t="s">
        <v>63</v>
      </c>
      <c r="C116" s="242" t="s">
        <v>496</v>
      </c>
      <c r="D116" s="243"/>
      <c r="E116" s="535">
        <f>+E118+E120+E122+E124+E126+E128+E130+E132+E134+E136</f>
        <v>0</v>
      </c>
      <c r="F116" s="510">
        <f t="shared" si="383"/>
        <v>0</v>
      </c>
      <c r="G116" s="536">
        <f>+G118+G120+G122+G124+G126+G128+G130+G132+G134+G136</f>
        <v>0</v>
      </c>
      <c r="H116" s="537">
        <f>+H118+H120+H122+H124+H126+H128+H130+H132+H134+H136</f>
        <v>0</v>
      </c>
      <c r="I116" s="510">
        <f t="shared" si="384"/>
        <v>0</v>
      </c>
      <c r="J116" s="536">
        <f>+J118+J120+J122+J124+J126+J128+J130+J132+J134+J136</f>
        <v>0</v>
      </c>
      <c r="K116" s="537">
        <f>+K118+K120+K122+K124+K126+K128+K130+K132+K134+K136</f>
        <v>0</v>
      </c>
      <c r="L116" s="510">
        <f t="shared" si="385"/>
        <v>0</v>
      </c>
      <c r="M116" s="536">
        <f>+M118+M120+M122+M124+M126+M128+M130+M132+M134+M136</f>
        <v>0</v>
      </c>
      <c r="N116" s="537">
        <f>+N118+N120+N122+N124+N126+N128+N130+N132+N134+N136</f>
        <v>0</v>
      </c>
      <c r="O116" s="510">
        <f t="shared" si="386"/>
        <v>0</v>
      </c>
      <c r="P116" s="536">
        <f>+P118+P120+P122+P124+P126+P128+P130+P132+P134+P136</f>
        <v>0</v>
      </c>
      <c r="Q116" s="537">
        <f>+Q118+Q120+Q122+Q124+Q126+Q128+Q130+Q132+Q134+Q136</f>
        <v>0</v>
      </c>
      <c r="R116" s="510">
        <f t="shared" si="387"/>
        <v>0</v>
      </c>
      <c r="S116" s="536">
        <f>+S118+S120+S122+S124+S126+S128+S130+S132+S134+S136</f>
        <v>0</v>
      </c>
      <c r="T116" s="537">
        <f>+T118+T120+T122+T124+T126+T128+T130+T132+T134+T136</f>
        <v>0</v>
      </c>
      <c r="U116" s="510">
        <f t="shared" si="388"/>
        <v>0</v>
      </c>
      <c r="V116" s="536">
        <f>+V118+V120+V122+V124+V126+V128+V130+V132+V134+V136</f>
        <v>0</v>
      </c>
      <c r="W116" s="537">
        <f>+W118+W120+W122+W124+W126+W128+W130+W132+W134+W136</f>
        <v>0</v>
      </c>
      <c r="X116" s="510">
        <f t="shared" si="389"/>
        <v>0</v>
      </c>
      <c r="Y116" s="536">
        <f>+Y118+Y120+Y122+Y124+Y126+Y128+Y130+Y132+Y134+Y136</f>
        <v>0</v>
      </c>
      <c r="Z116" s="537">
        <f>+Z118+Z120+Z122+Z124+Z126+Z128+Z130+Z132+Z134+Z136</f>
        <v>0</v>
      </c>
      <c r="AA116" s="510">
        <f t="shared" si="390"/>
        <v>0</v>
      </c>
      <c r="AB116" s="536">
        <f>+AB118+AB120+AB122+AB124+AB126+AB128+AB130+AB132+AB134+AB136</f>
        <v>0</v>
      </c>
      <c r="AC116" s="537">
        <f>+AC118+AC120+AC122+AC124+AC126+AC128+AC130+AC132+AC134+AC136</f>
        <v>0</v>
      </c>
      <c r="AD116" s="510">
        <f t="shared" si="391"/>
        <v>0</v>
      </c>
      <c r="AE116" s="536">
        <f>+AE118+AE120+AE122+AE124+AE126+AE128+AE130+AE132+AE134+AE136</f>
        <v>0</v>
      </c>
      <c r="AF116" s="537">
        <f>+AF118+AF120+AF122+AF124+AF126+AF128+AF130+AF132+AF134+AF136</f>
        <v>0</v>
      </c>
      <c r="AG116" s="510">
        <f t="shared" si="392"/>
        <v>0</v>
      </c>
      <c r="AH116" s="536">
        <f>+AH118+AH120+AH122+AH124+AH126+AH128+AH130+AH132+AH134+AH136</f>
        <v>0</v>
      </c>
      <c r="AI116" s="537">
        <f>+AI118+AI120+AI122+AI124+AI126+AI128+AI130+AI132+AI134+AI136</f>
        <v>0</v>
      </c>
      <c r="AJ116" s="510">
        <f t="shared" si="393"/>
        <v>0</v>
      </c>
      <c r="AK116" s="536">
        <f>+AK118+AK120+AK122+AK124+AK126+AK128+AK130+AK132+AK134+AK136</f>
        <v>0</v>
      </c>
      <c r="AL116" s="537">
        <f>+AL118+AL120+AL122+AL124+AL126+AL128+AL130+AL132+AL134+AL136</f>
        <v>0</v>
      </c>
      <c r="AM116" s="510">
        <f t="shared" si="394"/>
        <v>0</v>
      </c>
      <c r="AN116" s="536">
        <f>+AN118+AN120+AN122+AN124+AN126+AN128+AN130+AN132+AN134+AN136</f>
        <v>0</v>
      </c>
      <c r="AO116" s="537">
        <f>+AO118+AO120+AO122+AO124+AO126+AO128+AO130+AO132+AO134+AO136</f>
        <v>0</v>
      </c>
      <c r="AP116" s="510">
        <f t="shared" si="395"/>
        <v>0</v>
      </c>
      <c r="AQ116" s="536">
        <f>+AQ118+AQ120+AQ122+AQ124+AQ126+AQ128+AQ130+AQ132+AQ134+AQ136</f>
        <v>0</v>
      </c>
      <c r="AR116" s="537">
        <f>+AR118+AR120+AR122+AR124+AR126+AR128+AR130+AR132+AR134+AR136</f>
        <v>0</v>
      </c>
      <c r="AS116" s="510">
        <f t="shared" si="396"/>
        <v>0</v>
      </c>
      <c r="AT116" s="536">
        <f>+AT118+AT120+AT122+AT124+AT126+AT128+AT130+AT132+AT134+AT136</f>
        <v>0</v>
      </c>
      <c r="AU116" s="537">
        <f>+AU118+AU120+AU122+AU124+AU126+AU128+AU130+AU132+AU134+AU136</f>
        <v>0</v>
      </c>
      <c r="AV116" s="510">
        <f t="shared" si="397"/>
        <v>0</v>
      </c>
      <c r="AW116" s="536">
        <f>+AW118+AW120+AW122+AW124+AW126+AW128+AW130+AW132+AW134+AW136</f>
        <v>0</v>
      </c>
      <c r="AX116" s="537">
        <f>+AX118+AX120+AX122+AX124+AX126+AX128+AX130+AX132+AX134+AX136</f>
        <v>0</v>
      </c>
      <c r="AY116" s="510">
        <f t="shared" si="398"/>
        <v>0</v>
      </c>
      <c r="AZ116" s="536">
        <f>+AZ118+AZ120+AZ122+AZ124+AZ126+AZ128+AZ130+AZ132+AZ134+AZ136</f>
        <v>0</v>
      </c>
      <c r="BA116" s="537">
        <f>+BA118+BA120+BA122+BA124+BA126+BA128+BA130+BA132+BA134+BA136</f>
        <v>0</v>
      </c>
      <c r="BB116" s="510">
        <f t="shared" si="399"/>
        <v>0</v>
      </c>
      <c r="BC116" s="536">
        <f>+BC118+BC120+BC122+BC124+BC126+BC128+BC130+BC132+BC134+BC136</f>
        <v>0</v>
      </c>
      <c r="BD116" s="537">
        <f>+BD118+BD120+BD122+BD124+BD126+BD128+BD130+BD132+BD134+BD136</f>
        <v>0</v>
      </c>
      <c r="BE116" s="510">
        <f t="shared" si="400"/>
        <v>0</v>
      </c>
      <c r="BF116" s="536">
        <f>+BF118+BF120+BF122+BF124+BF126+BF128+BF130+BF132+BF134+BF136</f>
        <v>0</v>
      </c>
      <c r="BG116" s="537">
        <f>+BG118+BG120+BG122+BG124+BG126+BG128+BG130+BG132+BG134+BG136</f>
        <v>0</v>
      </c>
      <c r="BH116" s="510">
        <f t="shared" si="401"/>
        <v>0</v>
      </c>
      <c r="BI116" s="536">
        <f>+BI118+BI120+BI122+BI124+BI126+BI128+BI130+BI132+BI134+BI136</f>
        <v>0</v>
      </c>
      <c r="BJ116" s="537">
        <f>+BJ118+BJ120+BJ122+BJ124+BJ126+BJ128+BJ130+BJ132+BJ134+BJ136</f>
        <v>0</v>
      </c>
      <c r="BK116" s="510">
        <f t="shared" si="402"/>
        <v>0</v>
      </c>
      <c r="BL116" s="536">
        <f>+BL118+BL120+BL122+BL124+BL126+BL128+BL130+BL132+BL134+BL136</f>
        <v>0</v>
      </c>
      <c r="BM116" s="537">
        <f>+BM118+BM120+BM122+BM124+BM126+BM128+BM130+BM132+BM134+BM136</f>
        <v>0</v>
      </c>
      <c r="BN116" s="510">
        <f t="shared" si="403"/>
        <v>0</v>
      </c>
      <c r="BO116" s="535">
        <f>+BO118+BO120+BO122+BO124+BO126+BO128+BO130+BO132+BO134+BO136</f>
        <v>0</v>
      </c>
      <c r="BP116" s="537">
        <f>+BP118+BP120+BP122+BP124+BP126+BP128+BP130+BP132+BP134+BP136</f>
        <v>0</v>
      </c>
      <c r="BQ116" s="510">
        <f t="shared" si="404"/>
        <v>0</v>
      </c>
      <c r="BR116" s="535">
        <f>+BR118+BR120+BR122+BR124+BR126+BR128+BR130+BR132+BR134+BR136</f>
        <v>0</v>
      </c>
      <c r="BS116" s="537">
        <f>+BS118+BS120+BS122+BS124+BS126+BS128+BS130+BS132+BS134+BS136</f>
        <v>0</v>
      </c>
      <c r="BT116" s="510">
        <f t="shared" si="405"/>
        <v>0</v>
      </c>
      <c r="BU116" s="535">
        <f>+BU118+BU120+BU122+BU124+BU126+BU128+BU130+BU132+BU134+BU136</f>
        <v>0</v>
      </c>
      <c r="BV116" s="537">
        <f>+BV118+BV120+BV122+BV124+BV126+BV128+BV130+BV132+BV134+BV136</f>
        <v>0</v>
      </c>
      <c r="BW116" s="510">
        <f t="shared" si="406"/>
        <v>0</v>
      </c>
      <c r="BX116" s="535">
        <f>+BX118+BX120+BX122+BX124+BX126+BX128+BX130+BX132+BX134+BX136</f>
        <v>0</v>
      </c>
      <c r="BY116" s="537">
        <f>+BY118+BY120+BY122+BY124+BY126+BY128+BY130+BY132+BY134+BY136</f>
        <v>0</v>
      </c>
      <c r="BZ116" s="510">
        <f t="shared" si="407"/>
        <v>0</v>
      </c>
      <c r="CA116" s="535">
        <f>+CA118+CA120+CA122+CA124+CA126+CA128+CA130+CA132+CA134+CA136</f>
        <v>0</v>
      </c>
      <c r="CB116" s="537">
        <f>+CB118+CB120+CB122+CB124+CB126+CB128+CB130+CB132+CB134+CB136</f>
        <v>0</v>
      </c>
      <c r="CC116" s="510">
        <f t="shared" si="408"/>
        <v>0</v>
      </c>
      <c r="CD116" s="535">
        <f>+CD118+CD120+CD122+CD124+CD126+CD128+CD130+CD132+CD134+CD136</f>
        <v>0</v>
      </c>
      <c r="CE116" s="537">
        <f>+CE118+CE120+CE122+CE124+CE126+CE128+CE130+CE132+CE134+CE136</f>
        <v>0</v>
      </c>
      <c r="CF116" s="510">
        <f t="shared" si="409"/>
        <v>0</v>
      </c>
      <c r="CG116" s="535">
        <f>+CG118+CG120+CG122+CG124+CG126+CG128+CG130+CG132+CG134+CG136</f>
        <v>0</v>
      </c>
      <c r="CH116" s="537">
        <f>+CH118+CH120+CH122+CH124+CH126+CH128+CH130+CH132+CH134+CH136</f>
        <v>0</v>
      </c>
      <c r="CI116" s="510">
        <f t="shared" si="410"/>
        <v>0</v>
      </c>
      <c r="CJ116" s="535">
        <f>+CJ118+CJ120+CJ122+CJ124+CJ126+CJ128+CJ130+CJ132+CJ134+CJ136</f>
        <v>0</v>
      </c>
      <c r="CK116" s="537">
        <f>+CK118+CK120+CK122+CK124+CK126+CK128+CK130+CK132+CK134+CK136</f>
        <v>0</v>
      </c>
      <c r="CL116" s="510">
        <f t="shared" si="411"/>
        <v>0</v>
      </c>
      <c r="CM116" s="535">
        <f>+CM118+CM120+CM122+CM124+CM126+CM128+CM130+CM132+CM134+CM136</f>
        <v>0</v>
      </c>
      <c r="CN116" s="537">
        <f>+CN118+CN120+CN122+CN124+CN126+CN128+CN130+CN132+CN134+CN136</f>
        <v>0</v>
      </c>
      <c r="CO116" s="510">
        <f t="shared" si="412"/>
        <v>0</v>
      </c>
      <c r="CP116" s="535">
        <f>+CP118+CP120+CP122+CP124+CP126+CP128+CP130+CP132+CP134+CP136</f>
        <v>0</v>
      </c>
      <c r="CQ116" s="537">
        <f>+CQ118+CQ120+CQ122+CQ124+CQ126+CQ128+CQ130+CQ132+CQ134+CQ136</f>
        <v>0</v>
      </c>
      <c r="CR116" s="510">
        <f t="shared" si="413"/>
        <v>0</v>
      </c>
      <c r="CS116" s="535">
        <f>+CS118+CS120+CS122+CS124+CS126+CS128+CS130+CS132+CS134+CS136</f>
        <v>0</v>
      </c>
      <c r="CT116" s="537">
        <f>+CT118+CT120+CT122+CT124+CT126+CT128+CT130+CT132+CT134+CT136</f>
        <v>0</v>
      </c>
      <c r="CU116" s="510">
        <f t="shared" si="414"/>
        <v>0</v>
      </c>
      <c r="CV116" s="535">
        <f>+CV118+CV120+CV122+CV124+CV126+CV128+CV130+CV132+CV134+CV136</f>
        <v>0</v>
      </c>
      <c r="CW116" s="537">
        <f>+CW118+CW120+CW122+CW124+CW126+CW128+CW130+CW132+CW134+CW136</f>
        <v>0</v>
      </c>
      <c r="CX116" s="510">
        <f t="shared" si="415"/>
        <v>0</v>
      </c>
      <c r="CY116" s="535">
        <f>+CY118+CY120+CY122+CY124+CY126+CY128+CY130+CY132+CY134+CY136</f>
        <v>0</v>
      </c>
      <c r="CZ116" s="537">
        <f>+CZ118+CZ120+CZ122+CZ124+CZ126+CZ128+CZ130+CZ132+CZ134+CZ136</f>
        <v>0</v>
      </c>
      <c r="DA116" s="510">
        <f t="shared" si="416"/>
        <v>0</v>
      </c>
      <c r="DB116" s="535">
        <f>+DB118+DB120+DB122+DB124+DB126+DB128+DB130+DB132+DB134+DB136</f>
        <v>0</v>
      </c>
      <c r="DC116" s="537">
        <f>+DC118+DC120+DC122+DC124+DC126+DC128+DC130+DC132+DC134+DC136</f>
        <v>0</v>
      </c>
      <c r="DD116" s="510">
        <f t="shared" si="417"/>
        <v>0</v>
      </c>
      <c r="DE116" s="535">
        <f>+DE118+DE120+DE122+DE124+DE126+DE128+DE130+DE132+DE134+DE136</f>
        <v>0</v>
      </c>
      <c r="DF116" s="537">
        <f>+DF118+DF120+DF122+DF124+DF126+DF128+DF130+DF132+DF134+DF136</f>
        <v>0</v>
      </c>
      <c r="DG116" s="510">
        <f t="shared" ref="DG116:DG140" si="428">+DH116-DF116</f>
        <v>0</v>
      </c>
      <c r="DH116" s="1268">
        <f>+DH118+DH120+DH122+DH124+DH126+DH128+DH130+DH132+DH134+DH136</f>
        <v>0</v>
      </c>
      <c r="DI116" s="534">
        <f>+DI118+DI120+DI122+DI124+DI126+DI128+DI130+DI132+DI134+DI136</f>
        <v>0</v>
      </c>
      <c r="DJ116" s="482">
        <f t="shared" si="418"/>
        <v>0</v>
      </c>
      <c r="DK116" s="1262">
        <f>+DK118+DK120+DK122+DK124+DK126+DK128+DK130+DK132+DK134+DK136</f>
        <v>0</v>
      </c>
      <c r="DL116" s="534">
        <f>+DL118+DL120+DL122+DL124+DL126+DL128+DL130+DL132+DL134+DL136</f>
        <v>0</v>
      </c>
      <c r="DM116" s="482">
        <f t="shared" si="419"/>
        <v>0</v>
      </c>
      <c r="DN116" s="1262">
        <f>+DN118+DN120+DN122+DN124+DN126+DN128+DN130+DN132+DN134+DN136</f>
        <v>0</v>
      </c>
      <c r="DO116" s="534">
        <f>+DO118+DO120+DO122+DO124+DO126+DO128+DO130+DO132+DO134+DO136</f>
        <v>0</v>
      </c>
      <c r="DP116" s="482">
        <f t="shared" si="420"/>
        <v>0</v>
      </c>
      <c r="DQ116" s="1262">
        <f>+DQ118+DQ120+DQ122+DQ124+DQ126+DQ128+DQ130+DQ132+DQ134+DQ136</f>
        <v>0</v>
      </c>
      <c r="DR116" s="534">
        <f>+DR118+DR120+DR122+DR124+DR126+DR128+DR130+DR132+DR134+DR136</f>
        <v>0</v>
      </c>
      <c r="DS116" s="482">
        <f t="shared" si="370"/>
        <v>0</v>
      </c>
      <c r="DT116" s="1262">
        <f>+DT118+DT120+DT122+DT124+DT126+DT128+DT130+DT132+DT134+DT136</f>
        <v>0</v>
      </c>
      <c r="DU116" s="534">
        <f>+DU118+DU120+DU122+DU124+DU126+DU128+DU130+DU132+DU134+DU136</f>
        <v>0</v>
      </c>
      <c r="DV116" s="482">
        <f t="shared" si="424"/>
        <v>0</v>
      </c>
      <c r="DW116" s="1262">
        <f>+DW118+DW120+DW122+DW124+DW126+DW128+DW130+DW132+DW134+DW136</f>
        <v>0</v>
      </c>
      <c r="DX116" s="534">
        <f>+DX118+DX120+DX122+DX124+DX126+DX128+DX130+DX132+DX134+DX136</f>
        <v>0</v>
      </c>
      <c r="DY116" s="482">
        <f t="shared" si="372"/>
        <v>0</v>
      </c>
      <c r="DZ116" s="1262">
        <f>+DZ118+DZ120+DZ122+DZ124+DZ126+DZ128+DZ130+DZ132+DZ134+DZ136</f>
        <v>0</v>
      </c>
      <c r="EA116" s="534">
        <f>+EA118+EA120+EA122+EA124+EA126+EA128+EA130+EA132+EA134+EA136</f>
        <v>0</v>
      </c>
      <c r="EB116" s="482">
        <f t="shared" si="373"/>
        <v>0</v>
      </c>
      <c r="EC116" s="1262">
        <f>+EC118+EC120+EC122+EC124+EC126+EC128+EC130+EC132+EC134+EC136</f>
        <v>0</v>
      </c>
      <c r="ED116" s="534">
        <f>+ED118+ED120+ED122+ED124+ED126+ED128+ED130+ED132+ED134+ED136</f>
        <v>0</v>
      </c>
      <c r="EE116" s="482">
        <f t="shared" si="374"/>
        <v>0</v>
      </c>
      <c r="EF116" s="1262">
        <f>+EF118+EF120+EF122+EF124+EF126+EF128+EF130+EF132+EF134+EF136</f>
        <v>0</v>
      </c>
      <c r="EG116" s="534">
        <f>+EG118+EG120+EG122+EG124+EG126+EG128+EG130+EG132+EG134+EG136</f>
        <v>0</v>
      </c>
      <c r="EH116" s="482">
        <f t="shared" si="375"/>
        <v>0</v>
      </c>
      <c r="EI116" s="1262">
        <f>+EI118+EI120+EI122+EI124+EI126+EI128+EI130+EI132+EI134+EI136</f>
        <v>0</v>
      </c>
      <c r="EJ116" s="534">
        <f>+EJ118+EJ120+EJ122+EJ124+EJ126+EJ128+EJ130+EJ132+EJ134+EJ136</f>
        <v>0</v>
      </c>
      <c r="EK116" s="482">
        <f t="shared" si="376"/>
        <v>0</v>
      </c>
      <c r="EL116" s="1262">
        <f>+EL118+EL120+EL122+EL124+EL126+EL128+EL130+EL132+EL134+EL136</f>
        <v>0</v>
      </c>
      <c r="EM116" s="534">
        <f>+EM118+EM120+EM122+EM124+EM126+EM128+EM130+EM132+EM134+EM136</f>
        <v>0</v>
      </c>
      <c r="EN116" s="482">
        <f t="shared" si="377"/>
        <v>0</v>
      </c>
      <c r="EO116" s="1262">
        <f>+EO118+EO120+EO122+EO124+EO126+EO128+EO130+EO132+EO134+EO136</f>
        <v>0</v>
      </c>
      <c r="EP116" s="534">
        <f>+EP118+EP120+EP122+EP124+EP126+EP128+EP130+EP132+EP134+EP136</f>
        <v>0</v>
      </c>
      <c r="EQ116" s="482">
        <f t="shared" si="378"/>
        <v>0</v>
      </c>
      <c r="ER116" s="1262">
        <f>+ER118+ER120+ER122+ER124+ER126+ER128+ER130+ER132+ER134+ER136</f>
        <v>0</v>
      </c>
      <c r="ES116" s="534">
        <f>+ES118+ES120+ES122+ES124+ES126+ES128+ES130+ES132+ES134+ES136</f>
        <v>0</v>
      </c>
      <c r="ET116" s="482">
        <f t="shared" si="425"/>
        <v>0</v>
      </c>
      <c r="EU116" s="1262">
        <f>+EU118+EU120+EU122+EU124+EU126+EU128+EU130+EU132+EU134+EU136</f>
        <v>0</v>
      </c>
      <c r="EV116" s="534">
        <f>+EV118+EV120+EV122+EV124+EV126+EV128+EV130+EV132+EV134+EV136</f>
        <v>0</v>
      </c>
      <c r="EW116" s="482">
        <f t="shared" si="426"/>
        <v>0</v>
      </c>
      <c r="EX116" s="1262">
        <f>+EX118+EX120+EX122+EX124+EX126+EX128+EX130+EX132+EX134+EX136</f>
        <v>0</v>
      </c>
      <c r="EY116" s="534">
        <f>+EY118+EY120+EY122+EY124+EY126+EY128+EY130+EY132+EY134+EY136</f>
        <v>0</v>
      </c>
      <c r="EZ116" s="482">
        <f t="shared" si="427"/>
        <v>0</v>
      </c>
      <c r="FA116" s="1262">
        <f>+FA118+FA120+FA122+FA124+FA126+FA128+FA130+FA132+FA134+FA136</f>
        <v>0</v>
      </c>
      <c r="FE116"/>
      <c r="FF116"/>
      <c r="FG116"/>
      <c r="FH116"/>
      <c r="FI116"/>
      <c r="FJ116"/>
      <c r="FK116" s="35"/>
    </row>
    <row r="117" spans="2:167" s="236" customFormat="1" ht="13.35" customHeight="1" outlineLevel="1" thickBot="1">
      <c r="B117" s="242" t="s">
        <v>64</v>
      </c>
      <c r="C117" s="242" t="s">
        <v>496</v>
      </c>
      <c r="D117" s="243"/>
      <c r="E117" s="540">
        <f>+E119+E121+E123+E125+E127+E129+E131+E133+E135+E137</f>
        <v>0</v>
      </c>
      <c r="F117" s="482">
        <f t="shared" si="383"/>
        <v>0</v>
      </c>
      <c r="G117" s="541">
        <f>+G119+G121+G123+G125+G127+G129+G131+G133+G135+G137</f>
        <v>0</v>
      </c>
      <c r="H117" s="542">
        <f>+H119+H121+H123+H125+H127+H129+H131+H133+H135+H137</f>
        <v>0</v>
      </c>
      <c r="I117" s="482">
        <f t="shared" si="384"/>
        <v>0</v>
      </c>
      <c r="J117" s="541">
        <f>+J119+J121+J123+J125+J127+J129+J131+J133+J135+J137</f>
        <v>0</v>
      </c>
      <c r="K117" s="542">
        <f>+K119+K121+K123+K125+K127+K129+K131+K133+K135+K137</f>
        <v>0</v>
      </c>
      <c r="L117" s="482">
        <f t="shared" si="385"/>
        <v>0</v>
      </c>
      <c r="M117" s="541">
        <f>+M119+M121+M123+M125+M127+M129+M131+M133+M135+M137</f>
        <v>0</v>
      </c>
      <c r="N117" s="542">
        <f>+N119+N121+N123+N125+N127+N129+N131+N133+N135+N137</f>
        <v>0</v>
      </c>
      <c r="O117" s="482">
        <f t="shared" si="386"/>
        <v>0</v>
      </c>
      <c r="P117" s="541">
        <f>+P119+P121+P123+P125+P127+P129+P131+P133+P135+P137</f>
        <v>0</v>
      </c>
      <c r="Q117" s="542">
        <f>+Q119+Q121+Q123+Q125+Q127+Q129+Q131+Q133+Q135+Q137</f>
        <v>0</v>
      </c>
      <c r="R117" s="482">
        <f t="shared" si="387"/>
        <v>0</v>
      </c>
      <c r="S117" s="541">
        <f>+S119+S121+S123+S125+S127+S129+S131+S133+S135+S137</f>
        <v>0</v>
      </c>
      <c r="T117" s="542">
        <f>+T119+T121+T123+T125+T127+T129+T131+T133+T135+T137</f>
        <v>0</v>
      </c>
      <c r="U117" s="482">
        <f t="shared" si="388"/>
        <v>0</v>
      </c>
      <c r="V117" s="541">
        <f>+V119+V121+V123+V125+V127+V129+V131+V133+V135+V137</f>
        <v>0</v>
      </c>
      <c r="W117" s="542">
        <f>+W119+W121+W123+W125+W127+W129+W131+W133+W135+W137</f>
        <v>0</v>
      </c>
      <c r="X117" s="482">
        <f t="shared" si="389"/>
        <v>0</v>
      </c>
      <c r="Y117" s="541">
        <f>+Y119+Y121+Y123+Y125+Y127+Y129+Y131+Y133+Y135+Y137</f>
        <v>0</v>
      </c>
      <c r="Z117" s="542">
        <f>+Z119+Z121+Z123+Z125+Z127+Z129+Z131+Z133+Z135+Z137</f>
        <v>0</v>
      </c>
      <c r="AA117" s="482">
        <f t="shared" si="390"/>
        <v>0</v>
      </c>
      <c r="AB117" s="541">
        <f>+AB119+AB121+AB123+AB125+AB127+AB129+AB131+AB133+AB135+AB137</f>
        <v>0</v>
      </c>
      <c r="AC117" s="542">
        <f>+AC119+AC121+AC123+AC125+AC127+AC129+AC131+AC133+AC135+AC137</f>
        <v>0</v>
      </c>
      <c r="AD117" s="482">
        <f t="shared" si="391"/>
        <v>0</v>
      </c>
      <c r="AE117" s="541">
        <f>+AE119+AE121+AE123+AE125+AE127+AE129+AE131+AE133+AE135+AE137</f>
        <v>0</v>
      </c>
      <c r="AF117" s="542">
        <f>+AF119+AF121+AF123+AF125+AF127+AF129+AF131+AF133+AF135+AF137</f>
        <v>0</v>
      </c>
      <c r="AG117" s="482">
        <f t="shared" si="392"/>
        <v>0</v>
      </c>
      <c r="AH117" s="541">
        <f>+AH119+AH121+AH123+AH125+AH127+AH129+AH131+AH133+AH135+AH137</f>
        <v>0</v>
      </c>
      <c r="AI117" s="542">
        <f>+AI119+AI121+AI123+AI125+AI127+AI129+AI131+AI133+AI135+AI137</f>
        <v>0</v>
      </c>
      <c r="AJ117" s="482">
        <f t="shared" si="393"/>
        <v>0</v>
      </c>
      <c r="AK117" s="541">
        <f>+AK119+AK121+AK123+AK125+AK127+AK129+AK131+AK133+AK135+AK137</f>
        <v>0</v>
      </c>
      <c r="AL117" s="542">
        <f>+AL119+AL121+AL123+AL125+AL127+AL129+AL131+AL133+AL135+AL137</f>
        <v>0</v>
      </c>
      <c r="AM117" s="482">
        <f t="shared" si="394"/>
        <v>0</v>
      </c>
      <c r="AN117" s="541">
        <f>+AN119+AN121+AN123+AN125+AN127+AN129+AN131+AN133+AN135+AN137</f>
        <v>0</v>
      </c>
      <c r="AO117" s="542">
        <f>+AO119+AO121+AO123+AO125+AO127+AO129+AO131+AO133+AO135+AO137</f>
        <v>0</v>
      </c>
      <c r="AP117" s="482">
        <f t="shared" si="395"/>
        <v>0</v>
      </c>
      <c r="AQ117" s="541">
        <f>+AQ119+AQ121+AQ123+AQ125+AQ127+AQ129+AQ131+AQ133+AQ135+AQ137</f>
        <v>0</v>
      </c>
      <c r="AR117" s="542">
        <f>+AR119+AR121+AR123+AR125+AR127+AR129+AR131+AR133+AR135+AR137</f>
        <v>0</v>
      </c>
      <c r="AS117" s="482">
        <f t="shared" si="396"/>
        <v>0</v>
      </c>
      <c r="AT117" s="541">
        <f>+AT119+AT121+AT123+AT125+AT127+AT129+AT131+AT133+AT135+AT137</f>
        <v>0</v>
      </c>
      <c r="AU117" s="542">
        <f>+AU119+AU121+AU123+AU125+AU127+AU129+AU131+AU133+AU135+AU137</f>
        <v>0</v>
      </c>
      <c r="AV117" s="482">
        <f t="shared" si="397"/>
        <v>0</v>
      </c>
      <c r="AW117" s="541">
        <f>+AW119+AW121+AW123+AW125+AW127+AW129+AW131+AW133+AW135+AW137</f>
        <v>0</v>
      </c>
      <c r="AX117" s="542">
        <f>+AX119+AX121+AX123+AX125+AX127+AX129+AX131+AX133+AX135+AX137</f>
        <v>0</v>
      </c>
      <c r="AY117" s="482">
        <f t="shared" si="398"/>
        <v>0</v>
      </c>
      <c r="AZ117" s="541">
        <f>+AZ119+AZ121+AZ123+AZ125+AZ127+AZ129+AZ131+AZ133+AZ135+AZ137</f>
        <v>0</v>
      </c>
      <c r="BA117" s="542">
        <f>+BA119+BA121+BA123+BA125+BA127+BA129+BA131+BA133+BA135+BA137</f>
        <v>0</v>
      </c>
      <c r="BB117" s="482">
        <f t="shared" si="399"/>
        <v>0</v>
      </c>
      <c r="BC117" s="541">
        <f>+BC119+BC121+BC123+BC125+BC127+BC129+BC131+BC133+BC135+BC137</f>
        <v>0</v>
      </c>
      <c r="BD117" s="542">
        <f>+BD119+BD121+BD123+BD125+BD127+BD129+BD131+BD133+BD135+BD137</f>
        <v>0</v>
      </c>
      <c r="BE117" s="482">
        <f t="shared" si="400"/>
        <v>0</v>
      </c>
      <c r="BF117" s="541">
        <f>+BF119+BF121+BF123+BF125+BF127+BF129+BF131+BF133+BF135+BF137</f>
        <v>0</v>
      </c>
      <c r="BG117" s="542">
        <f>+BG119+BG121+BG123+BG125+BG127+BG129+BG131+BG133+BG135+BG137</f>
        <v>0</v>
      </c>
      <c r="BH117" s="482">
        <f t="shared" si="401"/>
        <v>0</v>
      </c>
      <c r="BI117" s="541">
        <f>+BI119+BI121+BI123+BI125+BI127+BI129+BI131+BI133+BI135+BI137</f>
        <v>0</v>
      </c>
      <c r="BJ117" s="542">
        <f>+BJ119+BJ121+BJ123+BJ125+BJ127+BJ129+BJ131+BJ133+BJ135+BJ137</f>
        <v>0</v>
      </c>
      <c r="BK117" s="482">
        <f t="shared" si="402"/>
        <v>0</v>
      </c>
      <c r="BL117" s="541">
        <f>+BL119+BL121+BL123+BL125+BL127+BL129+BL131+BL133+BL135+BL137</f>
        <v>0</v>
      </c>
      <c r="BM117" s="542">
        <f>+BM119+BM121+BM123+BM125+BM127+BM129+BM131+BM133+BM135+BM137</f>
        <v>0</v>
      </c>
      <c r="BN117" s="482">
        <f t="shared" si="403"/>
        <v>0</v>
      </c>
      <c r="BO117" s="540">
        <f>+BO119+BO121+BO123+BO125+BO127+BO129+BO131+BO133+BO135+BO137</f>
        <v>0</v>
      </c>
      <c r="BP117" s="542">
        <f>+BP119+BP121+BP123+BP125+BP127+BP129+BP131+BP133+BP135+BP137</f>
        <v>0</v>
      </c>
      <c r="BQ117" s="482">
        <f t="shared" si="404"/>
        <v>0</v>
      </c>
      <c r="BR117" s="540">
        <f>+BR119+BR121+BR123+BR125+BR127+BR129+BR131+BR133+BR135+BR137</f>
        <v>0</v>
      </c>
      <c r="BS117" s="542">
        <f>+BS119+BS121+BS123+BS125+BS127+BS129+BS131+BS133+BS135+BS137</f>
        <v>0</v>
      </c>
      <c r="BT117" s="482">
        <f t="shared" si="405"/>
        <v>0</v>
      </c>
      <c r="BU117" s="540">
        <f>+BU119+BU121+BU123+BU125+BU127+BU129+BU131+BU133+BU135+BU137</f>
        <v>0</v>
      </c>
      <c r="BV117" s="542">
        <f>+BV119+BV121+BV123+BV125+BV127+BV129+BV131+BV133+BV135+BV137</f>
        <v>0</v>
      </c>
      <c r="BW117" s="482">
        <f t="shared" si="406"/>
        <v>0</v>
      </c>
      <c r="BX117" s="540">
        <f>+BX119+BX121+BX123+BX125+BX127+BX129+BX131+BX133+BX135+BX137</f>
        <v>0</v>
      </c>
      <c r="BY117" s="542">
        <f>+BY119+BY121+BY123+BY125+BY127+BY129+BY131+BY133+BY135+BY137</f>
        <v>0</v>
      </c>
      <c r="BZ117" s="482">
        <f t="shared" si="407"/>
        <v>0</v>
      </c>
      <c r="CA117" s="540">
        <f>+CA119+CA121+CA123+CA125+CA127+CA129+CA131+CA133+CA135+CA137</f>
        <v>0</v>
      </c>
      <c r="CB117" s="542">
        <f>+CB119+CB121+CB123+CB125+CB127+CB129+CB131+CB133+CB135+CB137</f>
        <v>0</v>
      </c>
      <c r="CC117" s="482">
        <f t="shared" si="408"/>
        <v>0</v>
      </c>
      <c r="CD117" s="540">
        <f>+CD119+CD121+CD123+CD125+CD127+CD129+CD131+CD133+CD135+CD137</f>
        <v>0</v>
      </c>
      <c r="CE117" s="542">
        <f>+CE119+CE121+CE123+CE125+CE127+CE129+CE131+CE133+CE135+CE137</f>
        <v>0</v>
      </c>
      <c r="CF117" s="482">
        <f t="shared" si="409"/>
        <v>0</v>
      </c>
      <c r="CG117" s="540">
        <f>+CG119+CG121+CG123+CG125+CG127+CG129+CG131+CG133+CG135+CG137</f>
        <v>0</v>
      </c>
      <c r="CH117" s="542">
        <f>+CH119+CH121+CH123+CH125+CH127+CH129+CH131+CH133+CH135+CH137</f>
        <v>0</v>
      </c>
      <c r="CI117" s="482">
        <f t="shared" si="410"/>
        <v>0</v>
      </c>
      <c r="CJ117" s="540">
        <f>+CJ119+CJ121+CJ123+CJ125+CJ127+CJ129+CJ131+CJ133+CJ135+CJ137</f>
        <v>0</v>
      </c>
      <c r="CK117" s="542">
        <f>+CK119+CK121+CK123+CK125+CK127+CK129+CK131+CK133+CK135+CK137</f>
        <v>0</v>
      </c>
      <c r="CL117" s="482">
        <f t="shared" si="411"/>
        <v>0</v>
      </c>
      <c r="CM117" s="540">
        <f>+CM119+CM121+CM123+CM125+CM127+CM129+CM131+CM133+CM135+CM137</f>
        <v>0</v>
      </c>
      <c r="CN117" s="542">
        <f>+CN119+CN121+CN123+CN125+CN127+CN129+CN131+CN133+CN135+CN137</f>
        <v>0</v>
      </c>
      <c r="CO117" s="482">
        <f t="shared" si="412"/>
        <v>0</v>
      </c>
      <c r="CP117" s="540">
        <f>+CP119+CP121+CP123+CP125+CP127+CP129+CP131+CP133+CP135+CP137</f>
        <v>0</v>
      </c>
      <c r="CQ117" s="542">
        <f>+CQ119+CQ121+CQ123+CQ125+CQ127+CQ129+CQ131+CQ133+CQ135+CQ137</f>
        <v>0</v>
      </c>
      <c r="CR117" s="482">
        <f t="shared" si="413"/>
        <v>0</v>
      </c>
      <c r="CS117" s="540">
        <f>+CS119+CS121+CS123+CS125+CS127+CS129+CS131+CS133+CS135+CS137</f>
        <v>0</v>
      </c>
      <c r="CT117" s="542">
        <f>+CT119+CT121+CT123+CT125+CT127+CT129+CT131+CT133+CT135+CT137</f>
        <v>0</v>
      </c>
      <c r="CU117" s="482">
        <f t="shared" si="414"/>
        <v>0</v>
      </c>
      <c r="CV117" s="540">
        <f>+CV119+CV121+CV123+CV125+CV127+CV129+CV131+CV133+CV135+CV137</f>
        <v>0</v>
      </c>
      <c r="CW117" s="542">
        <f>+CW119+CW121+CW123+CW125+CW127+CW129+CW131+CW133+CW135+CW137</f>
        <v>0</v>
      </c>
      <c r="CX117" s="482">
        <f t="shared" si="415"/>
        <v>0</v>
      </c>
      <c r="CY117" s="540">
        <f>+CY119+CY121+CY123+CY125+CY127+CY129+CY131+CY133+CY135+CY137</f>
        <v>0</v>
      </c>
      <c r="CZ117" s="542">
        <f>+CZ119+CZ121+CZ123+CZ125+CZ127+CZ129+CZ131+CZ133+CZ135+CZ137</f>
        <v>0</v>
      </c>
      <c r="DA117" s="482">
        <f t="shared" si="416"/>
        <v>0</v>
      </c>
      <c r="DB117" s="540">
        <f>+DB119+DB121+DB123+DB125+DB127+DB129+DB131+DB133+DB135+DB137</f>
        <v>0</v>
      </c>
      <c r="DC117" s="542">
        <f>+DC119+DC121+DC123+DC125+DC127+DC129+DC131+DC133+DC135+DC137</f>
        <v>0</v>
      </c>
      <c r="DD117" s="482">
        <f t="shared" si="417"/>
        <v>0</v>
      </c>
      <c r="DE117" s="540">
        <f>+DE119+DE121+DE123+DE125+DE127+DE129+DE131+DE133+DE135+DE137</f>
        <v>0</v>
      </c>
      <c r="DF117" s="542">
        <f>+DF119+DF121+DF123+DF125+DF127+DF129+DF131+DF133+DF135+DF137</f>
        <v>0</v>
      </c>
      <c r="DG117" s="482">
        <f t="shared" si="428"/>
        <v>0</v>
      </c>
      <c r="DH117" s="1269">
        <f>+DH119+DH121+DH123+DH125+DH127+DH129+DH131+DH133+DH135+DH137</f>
        <v>0</v>
      </c>
      <c r="DI117" s="534">
        <f>+DI119+DI121+DI123+DI125+DI127+DI129+DI131+DI133+DI135+DI137</f>
        <v>0</v>
      </c>
      <c r="DJ117" s="482">
        <f t="shared" si="418"/>
        <v>0</v>
      </c>
      <c r="DK117" s="1262">
        <f>+DK119+DK121+DK123+DK125+DK127+DK129+DK131+DK133+DK135+DK137</f>
        <v>0</v>
      </c>
      <c r="DL117" s="534">
        <f>+DL119+DL121+DL123+DL125+DL127+DL129+DL131+DL133+DL135+DL137</f>
        <v>0</v>
      </c>
      <c r="DM117" s="482">
        <f t="shared" si="419"/>
        <v>0</v>
      </c>
      <c r="DN117" s="1262">
        <f>+DN119+DN121+DN123+DN125+DN127+DN129+DN131+DN133+DN135+DN137</f>
        <v>0</v>
      </c>
      <c r="DO117" s="534">
        <f>+DO119+DO121+DO123+DO125+DO127+DO129+DO131+DO133+DO135+DO137</f>
        <v>0</v>
      </c>
      <c r="DP117" s="482">
        <f t="shared" si="420"/>
        <v>0</v>
      </c>
      <c r="DQ117" s="1262">
        <f>+DQ119+DQ121+DQ123+DQ125+DQ127+DQ129+DQ131+DQ133+DQ135+DQ137</f>
        <v>0</v>
      </c>
      <c r="DR117" s="534">
        <f>+DR119+DR121+DR123+DR125+DR127+DR129+DR131+DR133+DR135+DR137</f>
        <v>0</v>
      </c>
      <c r="DS117" s="482">
        <f t="shared" si="370"/>
        <v>0</v>
      </c>
      <c r="DT117" s="1262">
        <f>+DT119+DT121+DT123+DT125+DT127+DT129+DT131+DT133+DT135+DT137</f>
        <v>0</v>
      </c>
      <c r="DU117" s="534">
        <f>+DU119+DU121+DU123+DU125+DU127+DU129+DU131+DU133+DU135+DU137</f>
        <v>0</v>
      </c>
      <c r="DV117" s="482">
        <f t="shared" si="424"/>
        <v>0</v>
      </c>
      <c r="DW117" s="1262">
        <f>+DW119+DW121+DW123+DW125+DW127+DW129+DW131+DW133+DW135+DW137</f>
        <v>0</v>
      </c>
      <c r="DX117" s="534">
        <f>+DX119+DX121+DX123+DX125+DX127+DX129+DX131+DX133+DX135+DX137</f>
        <v>0</v>
      </c>
      <c r="DY117" s="482">
        <f t="shared" si="372"/>
        <v>0</v>
      </c>
      <c r="DZ117" s="1262">
        <f>+DZ119+DZ121+DZ123+DZ125+DZ127+DZ129+DZ131+DZ133+DZ135+DZ137</f>
        <v>0</v>
      </c>
      <c r="EA117" s="534">
        <f>+EA119+EA121+EA123+EA125+EA127+EA129+EA131+EA133+EA135+EA137</f>
        <v>0</v>
      </c>
      <c r="EB117" s="482">
        <f t="shared" si="373"/>
        <v>0</v>
      </c>
      <c r="EC117" s="1262">
        <f>+EC119+EC121+EC123+EC125+EC127+EC129+EC131+EC133+EC135+EC137</f>
        <v>0</v>
      </c>
      <c r="ED117" s="534">
        <f>+ED119+ED121+ED123+ED125+ED127+ED129+ED131+ED133+ED135+ED137</f>
        <v>0</v>
      </c>
      <c r="EE117" s="482">
        <f t="shared" si="374"/>
        <v>0</v>
      </c>
      <c r="EF117" s="1262">
        <f>+EF119+EF121+EF123+EF125+EF127+EF129+EF131+EF133+EF135+EF137</f>
        <v>0</v>
      </c>
      <c r="EG117" s="534">
        <f>+EG119+EG121+EG123+EG125+EG127+EG129+EG131+EG133+EG135+EG137</f>
        <v>0</v>
      </c>
      <c r="EH117" s="482">
        <f t="shared" si="375"/>
        <v>0</v>
      </c>
      <c r="EI117" s="1262">
        <f>+EI119+EI121+EI123+EI125+EI127+EI129+EI131+EI133+EI135+EI137</f>
        <v>0</v>
      </c>
      <c r="EJ117" s="534">
        <f>+EJ119+EJ121+EJ123+EJ125+EJ127+EJ129+EJ131+EJ133+EJ135+EJ137</f>
        <v>0</v>
      </c>
      <c r="EK117" s="482">
        <f t="shared" si="376"/>
        <v>0</v>
      </c>
      <c r="EL117" s="1262">
        <f>+EL119+EL121+EL123+EL125+EL127+EL129+EL131+EL133+EL135+EL137</f>
        <v>0</v>
      </c>
      <c r="EM117" s="534">
        <f>+EM119+EM121+EM123+EM125+EM127+EM129+EM131+EM133+EM135+EM137</f>
        <v>0</v>
      </c>
      <c r="EN117" s="482">
        <f t="shared" si="377"/>
        <v>0</v>
      </c>
      <c r="EO117" s="1262">
        <f>+EO119+EO121+EO123+EO125+EO127+EO129+EO131+EO133+EO135+EO137</f>
        <v>0</v>
      </c>
      <c r="EP117" s="534">
        <f>+EP119+EP121+EP123+EP125+EP127+EP129+EP131+EP133+EP135+EP137</f>
        <v>0</v>
      </c>
      <c r="EQ117" s="482">
        <f t="shared" si="378"/>
        <v>0</v>
      </c>
      <c r="ER117" s="1262">
        <f>+ER119+ER121+ER123+ER125+ER127+ER129+ER131+ER133+ER135+ER137</f>
        <v>0</v>
      </c>
      <c r="ES117" s="534">
        <f>+ES119+ES121+ES123+ES125+ES127+ES129+ES131+ES133+ES135+ES137</f>
        <v>0</v>
      </c>
      <c r="ET117" s="482">
        <f t="shared" si="425"/>
        <v>0</v>
      </c>
      <c r="EU117" s="1262">
        <f>+EU119+EU121+EU123+EU125+EU127+EU129+EU131+EU133+EU135+EU137</f>
        <v>0</v>
      </c>
      <c r="EV117" s="534">
        <f>+EV119+EV121+EV123+EV125+EV127+EV129+EV131+EV133+EV135+EV137</f>
        <v>0</v>
      </c>
      <c r="EW117" s="482">
        <f t="shared" si="426"/>
        <v>0</v>
      </c>
      <c r="EX117" s="1262">
        <f>+EX119+EX121+EX123+EX125+EX127+EX129+EX131+EX133+EX135+EX137</f>
        <v>0</v>
      </c>
      <c r="EY117" s="534">
        <f>+EY119+EY121+EY123+EY125+EY127+EY129+EY131+EY133+EY135+EY137</f>
        <v>0</v>
      </c>
      <c r="EZ117" s="482">
        <f t="shared" si="427"/>
        <v>0</v>
      </c>
      <c r="FA117" s="1262">
        <f>+FA119+FA121+FA123+FA125+FA127+FA129+FA131+FA133+FA135+FA137</f>
        <v>0</v>
      </c>
      <c r="FE117"/>
      <c r="FF117"/>
      <c r="FG117"/>
      <c r="FH117"/>
      <c r="FI117"/>
      <c r="FJ117"/>
      <c r="FK117" s="35"/>
    </row>
    <row r="118" spans="2:167" s="236" customFormat="1" ht="13.35" hidden="1" customHeight="1" outlineLevel="2">
      <c r="B118" s="242" t="s">
        <v>65</v>
      </c>
      <c r="C118" s="242" t="s">
        <v>496</v>
      </c>
      <c r="D118" s="243"/>
      <c r="E118" s="535"/>
      <c r="F118" s="510">
        <f t="shared" si="383"/>
        <v>0</v>
      </c>
      <c r="G118" s="536"/>
      <c r="H118" s="537"/>
      <c r="I118" s="510">
        <f t="shared" si="384"/>
        <v>0</v>
      </c>
      <c r="J118" s="536"/>
      <c r="K118" s="537"/>
      <c r="L118" s="510">
        <f t="shared" si="385"/>
        <v>0</v>
      </c>
      <c r="M118" s="536"/>
      <c r="N118" s="537"/>
      <c r="O118" s="510">
        <f t="shared" si="386"/>
        <v>0</v>
      </c>
      <c r="P118" s="536"/>
      <c r="Q118" s="537"/>
      <c r="R118" s="510">
        <f t="shared" si="387"/>
        <v>0</v>
      </c>
      <c r="S118" s="536"/>
      <c r="T118" s="537"/>
      <c r="U118" s="510">
        <f t="shared" si="388"/>
        <v>0</v>
      </c>
      <c r="V118" s="536"/>
      <c r="W118" s="537"/>
      <c r="X118" s="510">
        <f t="shared" si="389"/>
        <v>0</v>
      </c>
      <c r="Y118" s="536"/>
      <c r="Z118" s="537"/>
      <c r="AA118" s="510">
        <f t="shared" si="390"/>
        <v>0</v>
      </c>
      <c r="AB118" s="536"/>
      <c r="AC118" s="537"/>
      <c r="AD118" s="510">
        <f t="shared" si="391"/>
        <v>0</v>
      </c>
      <c r="AE118" s="536"/>
      <c r="AF118" s="537"/>
      <c r="AG118" s="510">
        <f t="shared" si="392"/>
        <v>0</v>
      </c>
      <c r="AH118" s="536"/>
      <c r="AI118" s="537"/>
      <c r="AJ118" s="510">
        <f t="shared" si="393"/>
        <v>0</v>
      </c>
      <c r="AK118" s="536"/>
      <c r="AL118" s="537"/>
      <c r="AM118" s="510">
        <f t="shared" si="394"/>
        <v>0</v>
      </c>
      <c r="AN118" s="536"/>
      <c r="AO118" s="537"/>
      <c r="AP118" s="510">
        <f t="shared" si="395"/>
        <v>0</v>
      </c>
      <c r="AQ118" s="536"/>
      <c r="AR118" s="537"/>
      <c r="AS118" s="510">
        <f t="shared" si="396"/>
        <v>0</v>
      </c>
      <c r="AT118" s="536"/>
      <c r="AU118" s="537"/>
      <c r="AV118" s="510">
        <f t="shared" si="397"/>
        <v>0</v>
      </c>
      <c r="AW118" s="536"/>
      <c r="AX118" s="537"/>
      <c r="AY118" s="510">
        <f t="shared" si="398"/>
        <v>0</v>
      </c>
      <c r="AZ118" s="536"/>
      <c r="BA118" s="537"/>
      <c r="BB118" s="510">
        <f t="shared" si="399"/>
        <v>0</v>
      </c>
      <c r="BC118" s="536"/>
      <c r="BD118" s="537"/>
      <c r="BE118" s="510">
        <f t="shared" si="400"/>
        <v>0</v>
      </c>
      <c r="BF118" s="536"/>
      <c r="BG118" s="537"/>
      <c r="BH118" s="510">
        <f t="shared" si="401"/>
        <v>0</v>
      </c>
      <c r="BI118" s="536"/>
      <c r="BJ118" s="537"/>
      <c r="BK118" s="510">
        <f t="shared" si="402"/>
        <v>0</v>
      </c>
      <c r="BL118" s="536"/>
      <c r="BM118" s="537"/>
      <c r="BN118" s="510">
        <f t="shared" si="403"/>
        <v>0</v>
      </c>
      <c r="BO118" s="535"/>
      <c r="BP118" s="537"/>
      <c r="BQ118" s="510">
        <f t="shared" si="404"/>
        <v>0</v>
      </c>
      <c r="BR118" s="535"/>
      <c r="BS118" s="537"/>
      <c r="BT118" s="510">
        <f t="shared" si="405"/>
        <v>0</v>
      </c>
      <c r="BU118" s="535"/>
      <c r="BV118" s="537"/>
      <c r="BW118" s="510">
        <f t="shared" si="406"/>
        <v>0</v>
      </c>
      <c r="BX118" s="535"/>
      <c r="BY118" s="537"/>
      <c r="BZ118" s="510">
        <f t="shared" si="407"/>
        <v>0</v>
      </c>
      <c r="CA118" s="535"/>
      <c r="CB118" s="537"/>
      <c r="CC118" s="510">
        <f t="shared" si="408"/>
        <v>0</v>
      </c>
      <c r="CD118" s="535"/>
      <c r="CE118" s="537"/>
      <c r="CF118" s="510">
        <f t="shared" si="409"/>
        <v>0</v>
      </c>
      <c r="CG118" s="535"/>
      <c r="CH118" s="537"/>
      <c r="CI118" s="510">
        <f t="shared" si="410"/>
        <v>0</v>
      </c>
      <c r="CJ118" s="535"/>
      <c r="CK118" s="537"/>
      <c r="CL118" s="510">
        <f t="shared" si="411"/>
        <v>0</v>
      </c>
      <c r="CM118" s="535"/>
      <c r="CN118" s="537"/>
      <c r="CO118" s="510">
        <f t="shared" si="412"/>
        <v>0</v>
      </c>
      <c r="CP118" s="535"/>
      <c r="CQ118" s="537"/>
      <c r="CR118" s="510">
        <f t="shared" si="413"/>
        <v>0</v>
      </c>
      <c r="CS118" s="535"/>
      <c r="CT118" s="537"/>
      <c r="CU118" s="510">
        <f t="shared" si="414"/>
        <v>0</v>
      </c>
      <c r="CV118" s="535"/>
      <c r="CW118" s="537"/>
      <c r="CX118" s="510">
        <f t="shared" si="415"/>
        <v>0</v>
      </c>
      <c r="CY118" s="535"/>
      <c r="CZ118" s="537"/>
      <c r="DA118" s="510">
        <f t="shared" si="416"/>
        <v>0</v>
      </c>
      <c r="DB118" s="535"/>
      <c r="DC118" s="537"/>
      <c r="DD118" s="510">
        <f t="shared" si="417"/>
        <v>0</v>
      </c>
      <c r="DE118" s="535"/>
      <c r="DF118" s="537"/>
      <c r="DG118" s="510">
        <f t="shared" si="428"/>
        <v>0</v>
      </c>
      <c r="DH118" s="1268"/>
      <c r="DI118" s="534"/>
      <c r="DJ118" s="482">
        <f t="shared" si="418"/>
        <v>0</v>
      </c>
      <c r="DK118" s="1262"/>
      <c r="DL118" s="534"/>
      <c r="DM118" s="482">
        <f t="shared" si="419"/>
        <v>0</v>
      </c>
      <c r="DN118" s="1262"/>
      <c r="DO118" s="534"/>
      <c r="DP118" s="482">
        <f t="shared" si="420"/>
        <v>0</v>
      </c>
      <c r="DQ118" s="1262"/>
      <c r="DR118" s="534"/>
      <c r="DS118" s="482">
        <f t="shared" si="370"/>
        <v>0</v>
      </c>
      <c r="DT118" s="1262"/>
      <c r="DU118" s="534"/>
      <c r="DV118" s="482">
        <f t="shared" si="424"/>
        <v>0</v>
      </c>
      <c r="DW118" s="1262"/>
      <c r="DX118" s="534"/>
      <c r="DY118" s="482">
        <f t="shared" si="372"/>
        <v>0</v>
      </c>
      <c r="DZ118" s="1262"/>
      <c r="EA118" s="534"/>
      <c r="EB118" s="482">
        <f t="shared" si="373"/>
        <v>0</v>
      </c>
      <c r="EC118" s="1262"/>
      <c r="ED118" s="534"/>
      <c r="EE118" s="482">
        <f t="shared" si="374"/>
        <v>0</v>
      </c>
      <c r="EF118" s="1262"/>
      <c r="EG118" s="534"/>
      <c r="EH118" s="482">
        <f t="shared" si="375"/>
        <v>0</v>
      </c>
      <c r="EI118" s="1262"/>
      <c r="EJ118" s="534"/>
      <c r="EK118" s="482">
        <f t="shared" si="376"/>
        <v>0</v>
      </c>
      <c r="EL118" s="1262"/>
      <c r="EM118" s="534"/>
      <c r="EN118" s="482">
        <f t="shared" si="377"/>
        <v>0</v>
      </c>
      <c r="EO118" s="1262"/>
      <c r="EP118" s="534"/>
      <c r="EQ118" s="482">
        <f t="shared" si="378"/>
        <v>0</v>
      </c>
      <c r="ER118" s="1262"/>
      <c r="ES118" s="534"/>
      <c r="ET118" s="482">
        <f t="shared" si="425"/>
        <v>0</v>
      </c>
      <c r="EU118" s="1262"/>
      <c r="EV118" s="534"/>
      <c r="EW118" s="482">
        <f t="shared" si="426"/>
        <v>0</v>
      </c>
      <c r="EX118" s="1262"/>
      <c r="EY118" s="534"/>
      <c r="EZ118" s="482">
        <f t="shared" si="427"/>
        <v>0</v>
      </c>
      <c r="FA118" s="1262"/>
      <c r="FE118"/>
      <c r="FF118"/>
      <c r="FG118"/>
      <c r="FH118"/>
      <c r="FI118"/>
      <c r="FJ118"/>
      <c r="FK118" s="35"/>
    </row>
    <row r="119" spans="2:167" s="236" customFormat="1" ht="13.35" hidden="1" customHeight="1" outlineLevel="2">
      <c r="B119" s="242" t="s">
        <v>47</v>
      </c>
      <c r="C119" s="242" t="s">
        <v>496</v>
      </c>
      <c r="D119" s="243"/>
      <c r="E119" s="522"/>
      <c r="F119" s="510">
        <f t="shared" si="383"/>
        <v>0</v>
      </c>
      <c r="G119" s="523"/>
      <c r="H119" s="524"/>
      <c r="I119" s="510">
        <f t="shared" si="384"/>
        <v>0</v>
      </c>
      <c r="J119" s="523"/>
      <c r="K119" s="524"/>
      <c r="L119" s="510">
        <f t="shared" si="385"/>
        <v>0</v>
      </c>
      <c r="M119" s="523"/>
      <c r="N119" s="524"/>
      <c r="O119" s="510">
        <f t="shared" si="386"/>
        <v>0</v>
      </c>
      <c r="P119" s="523"/>
      <c r="Q119" s="524"/>
      <c r="R119" s="510">
        <f t="shared" si="387"/>
        <v>0</v>
      </c>
      <c r="S119" s="523"/>
      <c r="T119" s="524"/>
      <c r="U119" s="510">
        <f t="shared" si="388"/>
        <v>0</v>
      </c>
      <c r="V119" s="523"/>
      <c r="W119" s="524"/>
      <c r="X119" s="510">
        <f t="shared" si="389"/>
        <v>0</v>
      </c>
      <c r="Y119" s="523"/>
      <c r="Z119" s="524"/>
      <c r="AA119" s="510">
        <f t="shared" si="390"/>
        <v>0</v>
      </c>
      <c r="AB119" s="523"/>
      <c r="AC119" s="524"/>
      <c r="AD119" s="510">
        <f t="shared" si="391"/>
        <v>0</v>
      </c>
      <c r="AE119" s="523"/>
      <c r="AF119" s="524"/>
      <c r="AG119" s="510">
        <f t="shared" si="392"/>
        <v>0</v>
      </c>
      <c r="AH119" s="523"/>
      <c r="AI119" s="524"/>
      <c r="AJ119" s="510">
        <f t="shared" si="393"/>
        <v>0</v>
      </c>
      <c r="AK119" s="523"/>
      <c r="AL119" s="524"/>
      <c r="AM119" s="510">
        <f t="shared" si="394"/>
        <v>0</v>
      </c>
      <c r="AN119" s="523"/>
      <c r="AO119" s="524"/>
      <c r="AP119" s="510">
        <f t="shared" si="395"/>
        <v>0</v>
      </c>
      <c r="AQ119" s="523"/>
      <c r="AR119" s="524"/>
      <c r="AS119" s="510">
        <f t="shared" si="396"/>
        <v>0</v>
      </c>
      <c r="AT119" s="523"/>
      <c r="AU119" s="524"/>
      <c r="AV119" s="510">
        <f t="shared" si="397"/>
        <v>0</v>
      </c>
      <c r="AW119" s="523"/>
      <c r="AX119" s="524"/>
      <c r="AY119" s="510">
        <f t="shared" si="398"/>
        <v>0</v>
      </c>
      <c r="AZ119" s="523"/>
      <c r="BA119" s="524"/>
      <c r="BB119" s="510">
        <f t="shared" si="399"/>
        <v>0</v>
      </c>
      <c r="BC119" s="523"/>
      <c r="BD119" s="524"/>
      <c r="BE119" s="510">
        <f t="shared" si="400"/>
        <v>0</v>
      </c>
      <c r="BF119" s="523"/>
      <c r="BG119" s="524"/>
      <c r="BH119" s="510">
        <f t="shared" si="401"/>
        <v>0</v>
      </c>
      <c r="BI119" s="523"/>
      <c r="BJ119" s="524"/>
      <c r="BK119" s="510">
        <f t="shared" si="402"/>
        <v>0</v>
      </c>
      <c r="BL119" s="523"/>
      <c r="BM119" s="524"/>
      <c r="BN119" s="510">
        <f t="shared" si="403"/>
        <v>0</v>
      </c>
      <c r="BO119" s="522"/>
      <c r="BP119" s="524"/>
      <c r="BQ119" s="510">
        <f t="shared" si="404"/>
        <v>0</v>
      </c>
      <c r="BR119" s="522"/>
      <c r="BS119" s="524"/>
      <c r="BT119" s="510">
        <f t="shared" si="405"/>
        <v>0</v>
      </c>
      <c r="BU119" s="522"/>
      <c r="BV119" s="524"/>
      <c r="BW119" s="510">
        <f t="shared" si="406"/>
        <v>0</v>
      </c>
      <c r="BX119" s="522"/>
      <c r="BY119" s="524"/>
      <c r="BZ119" s="510">
        <f t="shared" si="407"/>
        <v>0</v>
      </c>
      <c r="CA119" s="522"/>
      <c r="CB119" s="524"/>
      <c r="CC119" s="510">
        <f t="shared" si="408"/>
        <v>0</v>
      </c>
      <c r="CD119" s="522"/>
      <c r="CE119" s="524"/>
      <c r="CF119" s="510">
        <f t="shared" si="409"/>
        <v>0</v>
      </c>
      <c r="CG119" s="522"/>
      <c r="CH119" s="524"/>
      <c r="CI119" s="510">
        <f t="shared" si="410"/>
        <v>0</v>
      </c>
      <c r="CJ119" s="522"/>
      <c r="CK119" s="524"/>
      <c r="CL119" s="510">
        <f t="shared" si="411"/>
        <v>0</v>
      </c>
      <c r="CM119" s="522"/>
      <c r="CN119" s="524"/>
      <c r="CO119" s="510">
        <f t="shared" si="412"/>
        <v>0</v>
      </c>
      <c r="CP119" s="522"/>
      <c r="CQ119" s="524"/>
      <c r="CR119" s="510">
        <f t="shared" si="413"/>
        <v>0</v>
      </c>
      <c r="CS119" s="522"/>
      <c r="CT119" s="524"/>
      <c r="CU119" s="510">
        <f t="shared" si="414"/>
        <v>0</v>
      </c>
      <c r="CV119" s="522"/>
      <c r="CW119" s="524"/>
      <c r="CX119" s="510">
        <f t="shared" si="415"/>
        <v>0</v>
      </c>
      <c r="CY119" s="522"/>
      <c r="CZ119" s="524"/>
      <c r="DA119" s="510">
        <f t="shared" si="416"/>
        <v>0</v>
      </c>
      <c r="DB119" s="522"/>
      <c r="DC119" s="524"/>
      <c r="DD119" s="510">
        <f t="shared" si="417"/>
        <v>0</v>
      </c>
      <c r="DE119" s="522"/>
      <c r="DF119" s="524"/>
      <c r="DG119" s="510">
        <f t="shared" si="428"/>
        <v>0</v>
      </c>
      <c r="DH119" s="1259"/>
      <c r="DI119" s="534"/>
      <c r="DJ119" s="482">
        <f t="shared" si="418"/>
        <v>0</v>
      </c>
      <c r="DK119" s="1262"/>
      <c r="DL119" s="534"/>
      <c r="DM119" s="482">
        <f t="shared" si="419"/>
        <v>0</v>
      </c>
      <c r="DN119" s="1262"/>
      <c r="DO119" s="534"/>
      <c r="DP119" s="482">
        <f t="shared" si="420"/>
        <v>0</v>
      </c>
      <c r="DQ119" s="1262"/>
      <c r="DR119" s="534"/>
      <c r="DS119" s="482">
        <f t="shared" si="370"/>
        <v>0</v>
      </c>
      <c r="DT119" s="1262"/>
      <c r="DU119" s="534"/>
      <c r="DV119" s="482">
        <f t="shared" si="424"/>
        <v>0</v>
      </c>
      <c r="DW119" s="1262"/>
      <c r="DX119" s="534"/>
      <c r="DY119" s="482">
        <f t="shared" si="372"/>
        <v>0</v>
      </c>
      <c r="DZ119" s="1262"/>
      <c r="EA119" s="534"/>
      <c r="EB119" s="482">
        <f t="shared" si="373"/>
        <v>0</v>
      </c>
      <c r="EC119" s="1262"/>
      <c r="ED119" s="534"/>
      <c r="EE119" s="482">
        <f t="shared" si="374"/>
        <v>0</v>
      </c>
      <c r="EF119" s="1262"/>
      <c r="EG119" s="534"/>
      <c r="EH119" s="482">
        <f t="shared" si="375"/>
        <v>0</v>
      </c>
      <c r="EI119" s="1262"/>
      <c r="EJ119" s="534"/>
      <c r="EK119" s="482">
        <f t="shared" si="376"/>
        <v>0</v>
      </c>
      <c r="EL119" s="1262"/>
      <c r="EM119" s="534"/>
      <c r="EN119" s="482">
        <f t="shared" si="377"/>
        <v>0</v>
      </c>
      <c r="EO119" s="1262"/>
      <c r="EP119" s="534"/>
      <c r="EQ119" s="482">
        <f t="shared" si="378"/>
        <v>0</v>
      </c>
      <c r="ER119" s="1262"/>
      <c r="ES119" s="534"/>
      <c r="ET119" s="482">
        <f t="shared" si="425"/>
        <v>0</v>
      </c>
      <c r="EU119" s="1262"/>
      <c r="EV119" s="534"/>
      <c r="EW119" s="482">
        <f t="shared" si="426"/>
        <v>0</v>
      </c>
      <c r="EX119" s="1262"/>
      <c r="EY119" s="534"/>
      <c r="EZ119" s="482">
        <f t="shared" si="427"/>
        <v>0</v>
      </c>
      <c r="FA119" s="1262"/>
      <c r="FE119"/>
      <c r="FF119"/>
      <c r="FG119"/>
      <c r="FH119"/>
      <c r="FI119"/>
      <c r="FJ119"/>
      <c r="FK119" s="35"/>
    </row>
    <row r="120" spans="2:167" s="236" customFormat="1" ht="13.35" hidden="1" customHeight="1" outlineLevel="2">
      <c r="B120" s="242" t="s">
        <v>66</v>
      </c>
      <c r="C120" s="242" t="s">
        <v>496</v>
      </c>
      <c r="D120" s="243"/>
      <c r="E120" s="522"/>
      <c r="F120" s="510">
        <f t="shared" si="383"/>
        <v>0</v>
      </c>
      <c r="G120" s="523"/>
      <c r="H120" s="524"/>
      <c r="I120" s="510">
        <f t="shared" si="384"/>
        <v>0</v>
      </c>
      <c r="J120" s="523"/>
      <c r="K120" s="524"/>
      <c r="L120" s="510">
        <f t="shared" si="385"/>
        <v>0</v>
      </c>
      <c r="M120" s="523"/>
      <c r="N120" s="524"/>
      <c r="O120" s="510">
        <f t="shared" si="386"/>
        <v>0</v>
      </c>
      <c r="P120" s="523"/>
      <c r="Q120" s="524"/>
      <c r="R120" s="510">
        <f t="shared" si="387"/>
        <v>0</v>
      </c>
      <c r="S120" s="523"/>
      <c r="T120" s="524"/>
      <c r="U120" s="510">
        <f t="shared" si="388"/>
        <v>0</v>
      </c>
      <c r="V120" s="523"/>
      <c r="W120" s="524"/>
      <c r="X120" s="510">
        <f t="shared" si="389"/>
        <v>0</v>
      </c>
      <c r="Y120" s="523"/>
      <c r="Z120" s="524"/>
      <c r="AA120" s="510">
        <f t="shared" si="390"/>
        <v>0</v>
      </c>
      <c r="AB120" s="523"/>
      <c r="AC120" s="524"/>
      <c r="AD120" s="510">
        <f t="shared" si="391"/>
        <v>0</v>
      </c>
      <c r="AE120" s="523"/>
      <c r="AF120" s="524"/>
      <c r="AG120" s="510">
        <f t="shared" si="392"/>
        <v>0</v>
      </c>
      <c r="AH120" s="523"/>
      <c r="AI120" s="524"/>
      <c r="AJ120" s="510">
        <f t="shared" si="393"/>
        <v>0</v>
      </c>
      <c r="AK120" s="523"/>
      <c r="AL120" s="524"/>
      <c r="AM120" s="510">
        <f t="shared" si="394"/>
        <v>0</v>
      </c>
      <c r="AN120" s="523"/>
      <c r="AO120" s="524"/>
      <c r="AP120" s="510">
        <f t="shared" si="395"/>
        <v>0</v>
      </c>
      <c r="AQ120" s="523"/>
      <c r="AR120" s="524"/>
      <c r="AS120" s="510">
        <f t="shared" si="396"/>
        <v>0</v>
      </c>
      <c r="AT120" s="523"/>
      <c r="AU120" s="524"/>
      <c r="AV120" s="510">
        <f t="shared" si="397"/>
        <v>0</v>
      </c>
      <c r="AW120" s="523"/>
      <c r="AX120" s="524"/>
      <c r="AY120" s="510">
        <f t="shared" si="398"/>
        <v>0</v>
      </c>
      <c r="AZ120" s="523"/>
      <c r="BA120" s="524"/>
      <c r="BB120" s="510">
        <f t="shared" si="399"/>
        <v>0</v>
      </c>
      <c r="BC120" s="523"/>
      <c r="BD120" s="524"/>
      <c r="BE120" s="510">
        <f t="shared" si="400"/>
        <v>0</v>
      </c>
      <c r="BF120" s="523"/>
      <c r="BG120" s="524"/>
      <c r="BH120" s="510">
        <f t="shared" si="401"/>
        <v>0</v>
      </c>
      <c r="BI120" s="523"/>
      <c r="BJ120" s="524"/>
      <c r="BK120" s="510">
        <f t="shared" si="402"/>
        <v>0</v>
      </c>
      <c r="BL120" s="523"/>
      <c r="BM120" s="524"/>
      <c r="BN120" s="510">
        <f t="shared" si="403"/>
        <v>0</v>
      </c>
      <c r="BO120" s="522"/>
      <c r="BP120" s="524"/>
      <c r="BQ120" s="510">
        <f t="shared" si="404"/>
        <v>0</v>
      </c>
      <c r="BR120" s="522"/>
      <c r="BS120" s="524"/>
      <c r="BT120" s="510">
        <f t="shared" si="405"/>
        <v>0</v>
      </c>
      <c r="BU120" s="522"/>
      <c r="BV120" s="524"/>
      <c r="BW120" s="510">
        <f t="shared" si="406"/>
        <v>0</v>
      </c>
      <c r="BX120" s="522"/>
      <c r="BY120" s="524"/>
      <c r="BZ120" s="510">
        <f t="shared" si="407"/>
        <v>0</v>
      </c>
      <c r="CA120" s="522"/>
      <c r="CB120" s="524"/>
      <c r="CC120" s="510">
        <f t="shared" si="408"/>
        <v>0</v>
      </c>
      <c r="CD120" s="522"/>
      <c r="CE120" s="524"/>
      <c r="CF120" s="510">
        <f t="shared" si="409"/>
        <v>0</v>
      </c>
      <c r="CG120" s="522"/>
      <c r="CH120" s="524"/>
      <c r="CI120" s="510">
        <f t="shared" si="410"/>
        <v>0</v>
      </c>
      <c r="CJ120" s="522"/>
      <c r="CK120" s="524"/>
      <c r="CL120" s="510">
        <f t="shared" si="411"/>
        <v>0</v>
      </c>
      <c r="CM120" s="522"/>
      <c r="CN120" s="524"/>
      <c r="CO120" s="510">
        <f t="shared" si="412"/>
        <v>0</v>
      </c>
      <c r="CP120" s="522"/>
      <c r="CQ120" s="524"/>
      <c r="CR120" s="510">
        <f t="shared" si="413"/>
        <v>0</v>
      </c>
      <c r="CS120" s="522"/>
      <c r="CT120" s="524"/>
      <c r="CU120" s="510">
        <f t="shared" si="414"/>
        <v>0</v>
      </c>
      <c r="CV120" s="522"/>
      <c r="CW120" s="524"/>
      <c r="CX120" s="510">
        <f t="shared" si="415"/>
        <v>0</v>
      </c>
      <c r="CY120" s="522"/>
      <c r="CZ120" s="524"/>
      <c r="DA120" s="510">
        <f t="shared" si="416"/>
        <v>0</v>
      </c>
      <c r="DB120" s="522"/>
      <c r="DC120" s="524"/>
      <c r="DD120" s="510">
        <f t="shared" si="417"/>
        <v>0</v>
      </c>
      <c r="DE120" s="522"/>
      <c r="DF120" s="524"/>
      <c r="DG120" s="510">
        <f t="shared" si="428"/>
        <v>0</v>
      </c>
      <c r="DH120" s="1259"/>
      <c r="DI120" s="534"/>
      <c r="DJ120" s="482">
        <f t="shared" si="418"/>
        <v>0</v>
      </c>
      <c r="DK120" s="1262"/>
      <c r="DL120" s="534"/>
      <c r="DM120" s="482">
        <f t="shared" si="419"/>
        <v>0</v>
      </c>
      <c r="DN120" s="1262"/>
      <c r="DO120" s="534"/>
      <c r="DP120" s="482">
        <f t="shared" si="420"/>
        <v>0</v>
      </c>
      <c r="DQ120" s="1262"/>
      <c r="DR120" s="534"/>
      <c r="DS120" s="482">
        <f t="shared" si="370"/>
        <v>0</v>
      </c>
      <c r="DT120" s="1262"/>
      <c r="DU120" s="534"/>
      <c r="DV120" s="482">
        <f t="shared" si="424"/>
        <v>0</v>
      </c>
      <c r="DW120" s="1262"/>
      <c r="DX120" s="534"/>
      <c r="DY120" s="482">
        <f t="shared" si="372"/>
        <v>0</v>
      </c>
      <c r="DZ120" s="1262"/>
      <c r="EA120" s="534"/>
      <c r="EB120" s="482">
        <f t="shared" si="373"/>
        <v>0</v>
      </c>
      <c r="EC120" s="1262"/>
      <c r="ED120" s="534"/>
      <c r="EE120" s="482">
        <f t="shared" si="374"/>
        <v>0</v>
      </c>
      <c r="EF120" s="1262"/>
      <c r="EG120" s="534"/>
      <c r="EH120" s="482">
        <f t="shared" si="375"/>
        <v>0</v>
      </c>
      <c r="EI120" s="1262"/>
      <c r="EJ120" s="534"/>
      <c r="EK120" s="482">
        <f t="shared" si="376"/>
        <v>0</v>
      </c>
      <c r="EL120" s="1262"/>
      <c r="EM120" s="534"/>
      <c r="EN120" s="482">
        <f t="shared" si="377"/>
        <v>0</v>
      </c>
      <c r="EO120" s="1262"/>
      <c r="EP120" s="534"/>
      <c r="EQ120" s="482">
        <f t="shared" si="378"/>
        <v>0</v>
      </c>
      <c r="ER120" s="1262"/>
      <c r="ES120" s="534"/>
      <c r="ET120" s="482">
        <f t="shared" si="425"/>
        <v>0</v>
      </c>
      <c r="EU120" s="1262"/>
      <c r="EV120" s="534"/>
      <c r="EW120" s="482">
        <f t="shared" si="426"/>
        <v>0</v>
      </c>
      <c r="EX120" s="1262"/>
      <c r="EY120" s="534"/>
      <c r="EZ120" s="482">
        <f t="shared" si="427"/>
        <v>0</v>
      </c>
      <c r="FA120" s="1262"/>
      <c r="FE120"/>
      <c r="FF120"/>
      <c r="FG120"/>
      <c r="FH120"/>
      <c r="FI120"/>
      <c r="FJ120"/>
      <c r="FK120" s="35"/>
    </row>
    <row r="121" spans="2:167" s="236" customFormat="1" ht="13.35" hidden="1" customHeight="1" outlineLevel="2">
      <c r="B121" s="242" t="s">
        <v>47</v>
      </c>
      <c r="C121" s="242" t="s">
        <v>496</v>
      </c>
      <c r="D121" s="243"/>
      <c r="E121" s="522"/>
      <c r="F121" s="510">
        <f t="shared" si="383"/>
        <v>0</v>
      </c>
      <c r="G121" s="523"/>
      <c r="H121" s="524"/>
      <c r="I121" s="510">
        <f t="shared" si="384"/>
        <v>0</v>
      </c>
      <c r="J121" s="523"/>
      <c r="K121" s="524"/>
      <c r="L121" s="510">
        <f t="shared" si="385"/>
        <v>0</v>
      </c>
      <c r="M121" s="523"/>
      <c r="N121" s="524"/>
      <c r="O121" s="510">
        <f t="shared" si="386"/>
        <v>0</v>
      </c>
      <c r="P121" s="523"/>
      <c r="Q121" s="524"/>
      <c r="R121" s="510">
        <f t="shared" si="387"/>
        <v>0</v>
      </c>
      <c r="S121" s="523"/>
      <c r="T121" s="524"/>
      <c r="U121" s="510">
        <f t="shared" si="388"/>
        <v>0</v>
      </c>
      <c r="V121" s="523"/>
      <c r="W121" s="524"/>
      <c r="X121" s="510">
        <f t="shared" si="389"/>
        <v>0</v>
      </c>
      <c r="Y121" s="523"/>
      <c r="Z121" s="524"/>
      <c r="AA121" s="510">
        <f t="shared" si="390"/>
        <v>0</v>
      </c>
      <c r="AB121" s="523"/>
      <c r="AC121" s="524"/>
      <c r="AD121" s="510">
        <f t="shared" si="391"/>
        <v>0</v>
      </c>
      <c r="AE121" s="523"/>
      <c r="AF121" s="524"/>
      <c r="AG121" s="510">
        <f t="shared" si="392"/>
        <v>0</v>
      </c>
      <c r="AH121" s="523"/>
      <c r="AI121" s="524"/>
      <c r="AJ121" s="510">
        <f t="shared" si="393"/>
        <v>0</v>
      </c>
      <c r="AK121" s="523"/>
      <c r="AL121" s="524"/>
      <c r="AM121" s="510">
        <f t="shared" si="394"/>
        <v>0</v>
      </c>
      <c r="AN121" s="523"/>
      <c r="AO121" s="524"/>
      <c r="AP121" s="510">
        <f t="shared" si="395"/>
        <v>0</v>
      </c>
      <c r="AQ121" s="523"/>
      <c r="AR121" s="524"/>
      <c r="AS121" s="510">
        <f t="shared" si="396"/>
        <v>0</v>
      </c>
      <c r="AT121" s="523"/>
      <c r="AU121" s="524"/>
      <c r="AV121" s="510">
        <f t="shared" si="397"/>
        <v>0</v>
      </c>
      <c r="AW121" s="523"/>
      <c r="AX121" s="524"/>
      <c r="AY121" s="510">
        <f t="shared" si="398"/>
        <v>0</v>
      </c>
      <c r="AZ121" s="523"/>
      <c r="BA121" s="524"/>
      <c r="BB121" s="510">
        <f t="shared" si="399"/>
        <v>0</v>
      </c>
      <c r="BC121" s="523"/>
      <c r="BD121" s="524"/>
      <c r="BE121" s="510">
        <f t="shared" si="400"/>
        <v>0</v>
      </c>
      <c r="BF121" s="523"/>
      <c r="BG121" s="524"/>
      <c r="BH121" s="510">
        <f t="shared" si="401"/>
        <v>0</v>
      </c>
      <c r="BI121" s="523"/>
      <c r="BJ121" s="524"/>
      <c r="BK121" s="510">
        <f t="shared" si="402"/>
        <v>0</v>
      </c>
      <c r="BL121" s="523"/>
      <c r="BM121" s="524"/>
      <c r="BN121" s="510">
        <f t="shared" si="403"/>
        <v>0</v>
      </c>
      <c r="BO121" s="522"/>
      <c r="BP121" s="524"/>
      <c r="BQ121" s="510">
        <f t="shared" si="404"/>
        <v>0</v>
      </c>
      <c r="BR121" s="522"/>
      <c r="BS121" s="524"/>
      <c r="BT121" s="510">
        <f t="shared" si="405"/>
        <v>0</v>
      </c>
      <c r="BU121" s="522"/>
      <c r="BV121" s="524"/>
      <c r="BW121" s="510">
        <f t="shared" si="406"/>
        <v>0</v>
      </c>
      <c r="BX121" s="522"/>
      <c r="BY121" s="524"/>
      <c r="BZ121" s="510">
        <f t="shared" si="407"/>
        <v>0</v>
      </c>
      <c r="CA121" s="522"/>
      <c r="CB121" s="524"/>
      <c r="CC121" s="510">
        <f t="shared" si="408"/>
        <v>0</v>
      </c>
      <c r="CD121" s="522"/>
      <c r="CE121" s="524"/>
      <c r="CF121" s="510">
        <f t="shared" si="409"/>
        <v>0</v>
      </c>
      <c r="CG121" s="522"/>
      <c r="CH121" s="524"/>
      <c r="CI121" s="510">
        <f t="shared" si="410"/>
        <v>0</v>
      </c>
      <c r="CJ121" s="522"/>
      <c r="CK121" s="524"/>
      <c r="CL121" s="510">
        <f t="shared" si="411"/>
        <v>0</v>
      </c>
      <c r="CM121" s="522"/>
      <c r="CN121" s="524"/>
      <c r="CO121" s="510">
        <f t="shared" si="412"/>
        <v>0</v>
      </c>
      <c r="CP121" s="522"/>
      <c r="CQ121" s="524"/>
      <c r="CR121" s="510">
        <f t="shared" si="413"/>
        <v>0</v>
      </c>
      <c r="CS121" s="522"/>
      <c r="CT121" s="524"/>
      <c r="CU121" s="510">
        <f t="shared" si="414"/>
        <v>0</v>
      </c>
      <c r="CV121" s="522"/>
      <c r="CW121" s="524"/>
      <c r="CX121" s="510">
        <f t="shared" si="415"/>
        <v>0</v>
      </c>
      <c r="CY121" s="522"/>
      <c r="CZ121" s="524"/>
      <c r="DA121" s="510">
        <f t="shared" si="416"/>
        <v>0</v>
      </c>
      <c r="DB121" s="522"/>
      <c r="DC121" s="524"/>
      <c r="DD121" s="510">
        <f t="shared" si="417"/>
        <v>0</v>
      </c>
      <c r="DE121" s="522"/>
      <c r="DF121" s="524"/>
      <c r="DG121" s="510">
        <f t="shared" si="428"/>
        <v>0</v>
      </c>
      <c r="DH121" s="1259"/>
      <c r="DI121" s="534"/>
      <c r="DJ121" s="482">
        <f t="shared" si="418"/>
        <v>0</v>
      </c>
      <c r="DK121" s="1262"/>
      <c r="DL121" s="534"/>
      <c r="DM121" s="482">
        <f t="shared" si="419"/>
        <v>0</v>
      </c>
      <c r="DN121" s="1262"/>
      <c r="DO121" s="534"/>
      <c r="DP121" s="482">
        <f t="shared" si="420"/>
        <v>0</v>
      </c>
      <c r="DQ121" s="1262"/>
      <c r="DR121" s="534"/>
      <c r="DS121" s="482">
        <f t="shared" si="370"/>
        <v>0</v>
      </c>
      <c r="DT121" s="1262"/>
      <c r="DU121" s="534"/>
      <c r="DV121" s="482">
        <f t="shared" si="424"/>
        <v>0</v>
      </c>
      <c r="DW121" s="1262"/>
      <c r="DX121" s="534"/>
      <c r="DY121" s="482">
        <f t="shared" si="372"/>
        <v>0</v>
      </c>
      <c r="DZ121" s="1262"/>
      <c r="EA121" s="534"/>
      <c r="EB121" s="482">
        <f t="shared" si="373"/>
        <v>0</v>
      </c>
      <c r="EC121" s="1262"/>
      <c r="ED121" s="534"/>
      <c r="EE121" s="482">
        <f t="shared" si="374"/>
        <v>0</v>
      </c>
      <c r="EF121" s="1262"/>
      <c r="EG121" s="534"/>
      <c r="EH121" s="482">
        <f t="shared" si="375"/>
        <v>0</v>
      </c>
      <c r="EI121" s="1262"/>
      <c r="EJ121" s="534"/>
      <c r="EK121" s="482">
        <f t="shared" si="376"/>
        <v>0</v>
      </c>
      <c r="EL121" s="1262"/>
      <c r="EM121" s="534"/>
      <c r="EN121" s="482">
        <f t="shared" si="377"/>
        <v>0</v>
      </c>
      <c r="EO121" s="1262"/>
      <c r="EP121" s="534"/>
      <c r="EQ121" s="482">
        <f t="shared" si="378"/>
        <v>0</v>
      </c>
      <c r="ER121" s="1262"/>
      <c r="ES121" s="534"/>
      <c r="ET121" s="482">
        <f t="shared" si="425"/>
        <v>0</v>
      </c>
      <c r="EU121" s="1262"/>
      <c r="EV121" s="534"/>
      <c r="EW121" s="482">
        <f t="shared" si="426"/>
        <v>0</v>
      </c>
      <c r="EX121" s="1262"/>
      <c r="EY121" s="534"/>
      <c r="EZ121" s="482">
        <f t="shared" si="427"/>
        <v>0</v>
      </c>
      <c r="FA121" s="1262"/>
      <c r="FE121"/>
      <c r="FF121"/>
      <c r="FG121"/>
      <c r="FH121"/>
      <c r="FI121"/>
      <c r="FJ121"/>
      <c r="FK121" s="35"/>
    </row>
    <row r="122" spans="2:167" s="236" customFormat="1" ht="13.35" hidden="1" customHeight="1" outlineLevel="2">
      <c r="B122" s="242" t="s">
        <v>67</v>
      </c>
      <c r="C122" s="242" t="s">
        <v>496</v>
      </c>
      <c r="D122" s="243"/>
      <c r="E122" s="522"/>
      <c r="F122" s="510">
        <f t="shared" si="383"/>
        <v>0</v>
      </c>
      <c r="G122" s="523"/>
      <c r="H122" s="524"/>
      <c r="I122" s="510">
        <f t="shared" si="384"/>
        <v>0</v>
      </c>
      <c r="J122" s="523"/>
      <c r="K122" s="524"/>
      <c r="L122" s="510">
        <f t="shared" si="385"/>
        <v>0</v>
      </c>
      <c r="M122" s="523"/>
      <c r="N122" s="524"/>
      <c r="O122" s="510">
        <f t="shared" si="386"/>
        <v>0</v>
      </c>
      <c r="P122" s="523"/>
      <c r="Q122" s="524"/>
      <c r="R122" s="510">
        <f t="shared" si="387"/>
        <v>0</v>
      </c>
      <c r="S122" s="523"/>
      <c r="T122" s="524"/>
      <c r="U122" s="510">
        <f t="shared" si="388"/>
        <v>0</v>
      </c>
      <c r="V122" s="523"/>
      <c r="W122" s="524"/>
      <c r="X122" s="510">
        <f t="shared" si="389"/>
        <v>0</v>
      </c>
      <c r="Y122" s="523"/>
      <c r="Z122" s="524"/>
      <c r="AA122" s="510">
        <f t="shared" si="390"/>
        <v>0</v>
      </c>
      <c r="AB122" s="523"/>
      <c r="AC122" s="524"/>
      <c r="AD122" s="510">
        <f t="shared" si="391"/>
        <v>0</v>
      </c>
      <c r="AE122" s="523"/>
      <c r="AF122" s="524"/>
      <c r="AG122" s="510">
        <f t="shared" si="392"/>
        <v>0</v>
      </c>
      <c r="AH122" s="523"/>
      <c r="AI122" s="524"/>
      <c r="AJ122" s="510">
        <f t="shared" si="393"/>
        <v>0</v>
      </c>
      <c r="AK122" s="523"/>
      <c r="AL122" s="524"/>
      <c r="AM122" s="510">
        <f t="shared" si="394"/>
        <v>0</v>
      </c>
      <c r="AN122" s="523"/>
      <c r="AO122" s="524"/>
      <c r="AP122" s="510">
        <f t="shared" si="395"/>
        <v>0</v>
      </c>
      <c r="AQ122" s="523"/>
      <c r="AR122" s="524"/>
      <c r="AS122" s="510">
        <f t="shared" si="396"/>
        <v>0</v>
      </c>
      <c r="AT122" s="523"/>
      <c r="AU122" s="524"/>
      <c r="AV122" s="510">
        <f t="shared" si="397"/>
        <v>0</v>
      </c>
      <c r="AW122" s="523"/>
      <c r="AX122" s="524"/>
      <c r="AY122" s="510">
        <f t="shared" si="398"/>
        <v>0</v>
      </c>
      <c r="AZ122" s="523"/>
      <c r="BA122" s="524"/>
      <c r="BB122" s="510">
        <f t="shared" si="399"/>
        <v>0</v>
      </c>
      <c r="BC122" s="523"/>
      <c r="BD122" s="524"/>
      <c r="BE122" s="510">
        <f t="shared" si="400"/>
        <v>0</v>
      </c>
      <c r="BF122" s="523"/>
      <c r="BG122" s="524"/>
      <c r="BH122" s="510">
        <f t="shared" si="401"/>
        <v>0</v>
      </c>
      <c r="BI122" s="523"/>
      <c r="BJ122" s="524"/>
      <c r="BK122" s="510">
        <f t="shared" si="402"/>
        <v>0</v>
      </c>
      <c r="BL122" s="523"/>
      <c r="BM122" s="524"/>
      <c r="BN122" s="510">
        <f t="shared" si="403"/>
        <v>0</v>
      </c>
      <c r="BO122" s="522"/>
      <c r="BP122" s="524"/>
      <c r="BQ122" s="510">
        <f t="shared" si="404"/>
        <v>0</v>
      </c>
      <c r="BR122" s="522"/>
      <c r="BS122" s="524"/>
      <c r="BT122" s="510">
        <f t="shared" si="405"/>
        <v>0</v>
      </c>
      <c r="BU122" s="522"/>
      <c r="BV122" s="524"/>
      <c r="BW122" s="510">
        <f t="shared" si="406"/>
        <v>0</v>
      </c>
      <c r="BX122" s="522"/>
      <c r="BY122" s="524"/>
      <c r="BZ122" s="510">
        <f t="shared" si="407"/>
        <v>0</v>
      </c>
      <c r="CA122" s="522"/>
      <c r="CB122" s="524"/>
      <c r="CC122" s="510">
        <f t="shared" si="408"/>
        <v>0</v>
      </c>
      <c r="CD122" s="522"/>
      <c r="CE122" s="524"/>
      <c r="CF122" s="510">
        <f t="shared" si="409"/>
        <v>0</v>
      </c>
      <c r="CG122" s="522"/>
      <c r="CH122" s="524"/>
      <c r="CI122" s="510">
        <f t="shared" si="410"/>
        <v>0</v>
      </c>
      <c r="CJ122" s="522"/>
      <c r="CK122" s="524"/>
      <c r="CL122" s="510">
        <f t="shared" si="411"/>
        <v>0</v>
      </c>
      <c r="CM122" s="522"/>
      <c r="CN122" s="524"/>
      <c r="CO122" s="510">
        <f t="shared" si="412"/>
        <v>0</v>
      </c>
      <c r="CP122" s="522"/>
      <c r="CQ122" s="524"/>
      <c r="CR122" s="510">
        <f t="shared" si="413"/>
        <v>0</v>
      </c>
      <c r="CS122" s="522"/>
      <c r="CT122" s="524"/>
      <c r="CU122" s="510">
        <f t="shared" si="414"/>
        <v>0</v>
      </c>
      <c r="CV122" s="522"/>
      <c r="CW122" s="524"/>
      <c r="CX122" s="510">
        <f t="shared" si="415"/>
        <v>0</v>
      </c>
      <c r="CY122" s="522"/>
      <c r="CZ122" s="524"/>
      <c r="DA122" s="510">
        <f t="shared" si="416"/>
        <v>0</v>
      </c>
      <c r="DB122" s="522"/>
      <c r="DC122" s="524"/>
      <c r="DD122" s="510">
        <f t="shared" si="417"/>
        <v>0</v>
      </c>
      <c r="DE122" s="522"/>
      <c r="DF122" s="524"/>
      <c r="DG122" s="510">
        <f t="shared" si="428"/>
        <v>0</v>
      </c>
      <c r="DH122" s="1259"/>
      <c r="DI122" s="534"/>
      <c r="DJ122" s="482">
        <f t="shared" si="418"/>
        <v>0</v>
      </c>
      <c r="DK122" s="1262"/>
      <c r="DL122" s="534"/>
      <c r="DM122" s="482">
        <f t="shared" si="419"/>
        <v>0</v>
      </c>
      <c r="DN122" s="1262"/>
      <c r="DO122" s="534"/>
      <c r="DP122" s="482">
        <f t="shared" si="420"/>
        <v>0</v>
      </c>
      <c r="DQ122" s="1262"/>
      <c r="DR122" s="534"/>
      <c r="DS122" s="482">
        <f t="shared" si="370"/>
        <v>0</v>
      </c>
      <c r="DT122" s="1262"/>
      <c r="DU122" s="534"/>
      <c r="DV122" s="482">
        <f t="shared" si="424"/>
        <v>0</v>
      </c>
      <c r="DW122" s="1262"/>
      <c r="DX122" s="534"/>
      <c r="DY122" s="482">
        <f t="shared" si="372"/>
        <v>0</v>
      </c>
      <c r="DZ122" s="1262"/>
      <c r="EA122" s="534"/>
      <c r="EB122" s="482">
        <f t="shared" si="373"/>
        <v>0</v>
      </c>
      <c r="EC122" s="1262"/>
      <c r="ED122" s="534"/>
      <c r="EE122" s="482">
        <f t="shared" si="374"/>
        <v>0</v>
      </c>
      <c r="EF122" s="1262"/>
      <c r="EG122" s="534"/>
      <c r="EH122" s="482">
        <f t="shared" si="375"/>
        <v>0</v>
      </c>
      <c r="EI122" s="1262"/>
      <c r="EJ122" s="534"/>
      <c r="EK122" s="482">
        <f t="shared" si="376"/>
        <v>0</v>
      </c>
      <c r="EL122" s="1262"/>
      <c r="EM122" s="534"/>
      <c r="EN122" s="482">
        <f t="shared" si="377"/>
        <v>0</v>
      </c>
      <c r="EO122" s="1262"/>
      <c r="EP122" s="534"/>
      <c r="EQ122" s="482">
        <f t="shared" si="378"/>
        <v>0</v>
      </c>
      <c r="ER122" s="1262"/>
      <c r="ES122" s="534"/>
      <c r="ET122" s="482">
        <f t="shared" si="425"/>
        <v>0</v>
      </c>
      <c r="EU122" s="1262"/>
      <c r="EV122" s="534"/>
      <c r="EW122" s="482">
        <f t="shared" si="426"/>
        <v>0</v>
      </c>
      <c r="EX122" s="1262"/>
      <c r="EY122" s="534"/>
      <c r="EZ122" s="482">
        <f t="shared" si="427"/>
        <v>0</v>
      </c>
      <c r="FA122" s="1262"/>
      <c r="FE122"/>
      <c r="FF122"/>
      <c r="FG122"/>
      <c r="FH122"/>
      <c r="FI122"/>
      <c r="FJ122"/>
      <c r="FK122" s="35"/>
    </row>
    <row r="123" spans="2:167" s="236" customFormat="1" ht="13.35" hidden="1" customHeight="1" outlineLevel="2">
      <c r="B123" s="242" t="s">
        <v>47</v>
      </c>
      <c r="C123" s="242" t="s">
        <v>496</v>
      </c>
      <c r="D123" s="243"/>
      <c r="E123" s="522"/>
      <c r="F123" s="510">
        <f t="shared" si="383"/>
        <v>0</v>
      </c>
      <c r="G123" s="523"/>
      <c r="H123" s="524"/>
      <c r="I123" s="510">
        <f t="shared" si="384"/>
        <v>0</v>
      </c>
      <c r="J123" s="523"/>
      <c r="K123" s="524"/>
      <c r="L123" s="510">
        <f t="shared" si="385"/>
        <v>0</v>
      </c>
      <c r="M123" s="523"/>
      <c r="N123" s="524"/>
      <c r="O123" s="510">
        <f t="shared" si="386"/>
        <v>0</v>
      </c>
      <c r="P123" s="523"/>
      <c r="Q123" s="524"/>
      <c r="R123" s="510">
        <f t="shared" si="387"/>
        <v>0</v>
      </c>
      <c r="S123" s="523"/>
      <c r="T123" s="524"/>
      <c r="U123" s="510">
        <f t="shared" si="388"/>
        <v>0</v>
      </c>
      <c r="V123" s="523"/>
      <c r="W123" s="524"/>
      <c r="X123" s="510">
        <f t="shared" si="389"/>
        <v>0</v>
      </c>
      <c r="Y123" s="523"/>
      <c r="Z123" s="524"/>
      <c r="AA123" s="510">
        <f t="shared" si="390"/>
        <v>0</v>
      </c>
      <c r="AB123" s="523"/>
      <c r="AC123" s="524"/>
      <c r="AD123" s="510">
        <f t="shared" si="391"/>
        <v>0</v>
      </c>
      <c r="AE123" s="523"/>
      <c r="AF123" s="524"/>
      <c r="AG123" s="510">
        <f t="shared" si="392"/>
        <v>0</v>
      </c>
      <c r="AH123" s="523"/>
      <c r="AI123" s="524"/>
      <c r="AJ123" s="510">
        <f t="shared" si="393"/>
        <v>0</v>
      </c>
      <c r="AK123" s="523"/>
      <c r="AL123" s="524"/>
      <c r="AM123" s="510">
        <f t="shared" si="394"/>
        <v>0</v>
      </c>
      <c r="AN123" s="523"/>
      <c r="AO123" s="524"/>
      <c r="AP123" s="510">
        <f t="shared" si="395"/>
        <v>0</v>
      </c>
      <c r="AQ123" s="523"/>
      <c r="AR123" s="524"/>
      <c r="AS123" s="510">
        <f t="shared" si="396"/>
        <v>0</v>
      </c>
      <c r="AT123" s="523"/>
      <c r="AU123" s="524"/>
      <c r="AV123" s="510">
        <f t="shared" si="397"/>
        <v>0</v>
      </c>
      <c r="AW123" s="523"/>
      <c r="AX123" s="524"/>
      <c r="AY123" s="510">
        <f t="shared" si="398"/>
        <v>0</v>
      </c>
      <c r="AZ123" s="523"/>
      <c r="BA123" s="524"/>
      <c r="BB123" s="510">
        <f t="shared" si="399"/>
        <v>0</v>
      </c>
      <c r="BC123" s="523"/>
      <c r="BD123" s="524"/>
      <c r="BE123" s="510">
        <f t="shared" si="400"/>
        <v>0</v>
      </c>
      <c r="BF123" s="523"/>
      <c r="BG123" s="524"/>
      <c r="BH123" s="510">
        <f t="shared" si="401"/>
        <v>0</v>
      </c>
      <c r="BI123" s="523"/>
      <c r="BJ123" s="524"/>
      <c r="BK123" s="510">
        <f t="shared" si="402"/>
        <v>0</v>
      </c>
      <c r="BL123" s="523"/>
      <c r="BM123" s="524"/>
      <c r="BN123" s="510">
        <f t="shared" si="403"/>
        <v>0</v>
      </c>
      <c r="BO123" s="522"/>
      <c r="BP123" s="524"/>
      <c r="BQ123" s="510">
        <f t="shared" si="404"/>
        <v>0</v>
      </c>
      <c r="BR123" s="522"/>
      <c r="BS123" s="524"/>
      <c r="BT123" s="510">
        <f t="shared" si="405"/>
        <v>0</v>
      </c>
      <c r="BU123" s="522"/>
      <c r="BV123" s="524"/>
      <c r="BW123" s="510">
        <f t="shared" si="406"/>
        <v>0</v>
      </c>
      <c r="BX123" s="522"/>
      <c r="BY123" s="524"/>
      <c r="BZ123" s="510">
        <f t="shared" si="407"/>
        <v>0</v>
      </c>
      <c r="CA123" s="522"/>
      <c r="CB123" s="524"/>
      <c r="CC123" s="510">
        <f t="shared" si="408"/>
        <v>0</v>
      </c>
      <c r="CD123" s="522"/>
      <c r="CE123" s="524"/>
      <c r="CF123" s="510">
        <f t="shared" si="409"/>
        <v>0</v>
      </c>
      <c r="CG123" s="522"/>
      <c r="CH123" s="524"/>
      <c r="CI123" s="510">
        <f t="shared" si="410"/>
        <v>0</v>
      </c>
      <c r="CJ123" s="522"/>
      <c r="CK123" s="524"/>
      <c r="CL123" s="510">
        <f t="shared" si="411"/>
        <v>0</v>
      </c>
      <c r="CM123" s="522"/>
      <c r="CN123" s="524"/>
      <c r="CO123" s="510">
        <f t="shared" si="412"/>
        <v>0</v>
      </c>
      <c r="CP123" s="522"/>
      <c r="CQ123" s="524"/>
      <c r="CR123" s="510">
        <f t="shared" si="413"/>
        <v>0</v>
      </c>
      <c r="CS123" s="522"/>
      <c r="CT123" s="524"/>
      <c r="CU123" s="510">
        <f t="shared" si="414"/>
        <v>0</v>
      </c>
      <c r="CV123" s="522"/>
      <c r="CW123" s="524"/>
      <c r="CX123" s="510">
        <f t="shared" si="415"/>
        <v>0</v>
      </c>
      <c r="CY123" s="522"/>
      <c r="CZ123" s="524"/>
      <c r="DA123" s="510">
        <f t="shared" si="416"/>
        <v>0</v>
      </c>
      <c r="DB123" s="522"/>
      <c r="DC123" s="524"/>
      <c r="DD123" s="510">
        <f t="shared" si="417"/>
        <v>0</v>
      </c>
      <c r="DE123" s="522"/>
      <c r="DF123" s="524"/>
      <c r="DG123" s="510">
        <f t="shared" si="428"/>
        <v>0</v>
      </c>
      <c r="DH123" s="1259"/>
      <c r="DI123" s="534"/>
      <c r="DJ123" s="482">
        <f t="shared" si="418"/>
        <v>0</v>
      </c>
      <c r="DK123" s="1262"/>
      <c r="DL123" s="534"/>
      <c r="DM123" s="482">
        <f t="shared" si="419"/>
        <v>0</v>
      </c>
      <c r="DN123" s="1262"/>
      <c r="DO123" s="534"/>
      <c r="DP123" s="482">
        <f t="shared" si="420"/>
        <v>0</v>
      </c>
      <c r="DQ123" s="1262"/>
      <c r="DR123" s="534"/>
      <c r="DS123" s="482">
        <f t="shared" si="370"/>
        <v>0</v>
      </c>
      <c r="DT123" s="1262"/>
      <c r="DU123" s="534"/>
      <c r="DV123" s="482">
        <f t="shared" si="424"/>
        <v>0</v>
      </c>
      <c r="DW123" s="1262"/>
      <c r="DX123" s="534"/>
      <c r="DY123" s="482">
        <f t="shared" si="372"/>
        <v>0</v>
      </c>
      <c r="DZ123" s="1262"/>
      <c r="EA123" s="534"/>
      <c r="EB123" s="482">
        <f t="shared" si="373"/>
        <v>0</v>
      </c>
      <c r="EC123" s="1262"/>
      <c r="ED123" s="534"/>
      <c r="EE123" s="482">
        <f t="shared" si="374"/>
        <v>0</v>
      </c>
      <c r="EF123" s="1262"/>
      <c r="EG123" s="534"/>
      <c r="EH123" s="482">
        <f t="shared" si="375"/>
        <v>0</v>
      </c>
      <c r="EI123" s="1262"/>
      <c r="EJ123" s="534"/>
      <c r="EK123" s="482">
        <f t="shared" si="376"/>
        <v>0</v>
      </c>
      <c r="EL123" s="1262"/>
      <c r="EM123" s="534"/>
      <c r="EN123" s="482">
        <f t="shared" si="377"/>
        <v>0</v>
      </c>
      <c r="EO123" s="1262"/>
      <c r="EP123" s="534"/>
      <c r="EQ123" s="482">
        <f t="shared" si="378"/>
        <v>0</v>
      </c>
      <c r="ER123" s="1262"/>
      <c r="ES123" s="534"/>
      <c r="ET123" s="482">
        <f t="shared" si="425"/>
        <v>0</v>
      </c>
      <c r="EU123" s="1262"/>
      <c r="EV123" s="534"/>
      <c r="EW123" s="482">
        <f t="shared" si="426"/>
        <v>0</v>
      </c>
      <c r="EX123" s="1262"/>
      <c r="EY123" s="534"/>
      <c r="EZ123" s="482">
        <f t="shared" si="427"/>
        <v>0</v>
      </c>
      <c r="FA123" s="1262"/>
      <c r="FE123"/>
      <c r="FF123"/>
      <c r="FG123"/>
      <c r="FH123"/>
      <c r="FI123"/>
      <c r="FJ123"/>
      <c r="FK123" s="35"/>
    </row>
    <row r="124" spans="2:167" s="236" customFormat="1" ht="13.35" hidden="1" customHeight="1" outlineLevel="2">
      <c r="B124" s="242" t="s">
        <v>589</v>
      </c>
      <c r="C124" s="242" t="s">
        <v>496</v>
      </c>
      <c r="D124" s="243"/>
      <c r="E124" s="522"/>
      <c r="F124" s="510">
        <f t="shared" si="383"/>
        <v>0</v>
      </c>
      <c r="G124" s="523"/>
      <c r="H124" s="524"/>
      <c r="I124" s="510">
        <f t="shared" si="384"/>
        <v>0</v>
      </c>
      <c r="J124" s="523"/>
      <c r="K124" s="524"/>
      <c r="L124" s="510">
        <f t="shared" si="385"/>
        <v>0</v>
      </c>
      <c r="M124" s="523"/>
      <c r="N124" s="524"/>
      <c r="O124" s="510">
        <f t="shared" si="386"/>
        <v>0</v>
      </c>
      <c r="P124" s="523"/>
      <c r="Q124" s="524"/>
      <c r="R124" s="510">
        <f t="shared" si="387"/>
        <v>0</v>
      </c>
      <c r="S124" s="523"/>
      <c r="T124" s="524"/>
      <c r="U124" s="510">
        <f t="shared" si="388"/>
        <v>0</v>
      </c>
      <c r="V124" s="523"/>
      <c r="W124" s="524"/>
      <c r="X124" s="510">
        <f t="shared" si="389"/>
        <v>0</v>
      </c>
      <c r="Y124" s="523"/>
      <c r="Z124" s="524"/>
      <c r="AA124" s="510">
        <f t="shared" si="390"/>
        <v>0</v>
      </c>
      <c r="AB124" s="523"/>
      <c r="AC124" s="524"/>
      <c r="AD124" s="510">
        <f t="shared" si="391"/>
        <v>0</v>
      </c>
      <c r="AE124" s="523"/>
      <c r="AF124" s="524"/>
      <c r="AG124" s="510">
        <f t="shared" si="392"/>
        <v>0</v>
      </c>
      <c r="AH124" s="523"/>
      <c r="AI124" s="524"/>
      <c r="AJ124" s="510">
        <f t="shared" si="393"/>
        <v>0</v>
      </c>
      <c r="AK124" s="523"/>
      <c r="AL124" s="524"/>
      <c r="AM124" s="510">
        <f t="shared" si="394"/>
        <v>0</v>
      </c>
      <c r="AN124" s="523"/>
      <c r="AO124" s="524"/>
      <c r="AP124" s="510">
        <f t="shared" si="395"/>
        <v>0</v>
      </c>
      <c r="AQ124" s="523"/>
      <c r="AR124" s="524"/>
      <c r="AS124" s="510">
        <f t="shared" si="396"/>
        <v>0</v>
      </c>
      <c r="AT124" s="523"/>
      <c r="AU124" s="524"/>
      <c r="AV124" s="510">
        <f t="shared" si="397"/>
        <v>0</v>
      </c>
      <c r="AW124" s="523"/>
      <c r="AX124" s="524"/>
      <c r="AY124" s="510">
        <f t="shared" si="398"/>
        <v>0</v>
      </c>
      <c r="AZ124" s="523"/>
      <c r="BA124" s="524"/>
      <c r="BB124" s="510">
        <f t="shared" si="399"/>
        <v>0</v>
      </c>
      <c r="BC124" s="523"/>
      <c r="BD124" s="524"/>
      <c r="BE124" s="510">
        <f t="shared" si="400"/>
        <v>0</v>
      </c>
      <c r="BF124" s="523"/>
      <c r="BG124" s="524"/>
      <c r="BH124" s="510">
        <f t="shared" si="401"/>
        <v>0</v>
      </c>
      <c r="BI124" s="523"/>
      <c r="BJ124" s="524"/>
      <c r="BK124" s="510">
        <f t="shared" si="402"/>
        <v>0</v>
      </c>
      <c r="BL124" s="523"/>
      <c r="BM124" s="524"/>
      <c r="BN124" s="510">
        <f t="shared" si="403"/>
        <v>0</v>
      </c>
      <c r="BO124" s="522"/>
      <c r="BP124" s="524"/>
      <c r="BQ124" s="510">
        <f t="shared" si="404"/>
        <v>0</v>
      </c>
      <c r="BR124" s="522"/>
      <c r="BS124" s="524"/>
      <c r="BT124" s="510">
        <f t="shared" si="405"/>
        <v>0</v>
      </c>
      <c r="BU124" s="522"/>
      <c r="BV124" s="524"/>
      <c r="BW124" s="510">
        <f t="shared" si="406"/>
        <v>0</v>
      </c>
      <c r="BX124" s="522"/>
      <c r="BY124" s="524"/>
      <c r="BZ124" s="510">
        <f t="shared" si="407"/>
        <v>0</v>
      </c>
      <c r="CA124" s="522"/>
      <c r="CB124" s="524"/>
      <c r="CC124" s="510">
        <f t="shared" si="408"/>
        <v>0</v>
      </c>
      <c r="CD124" s="522"/>
      <c r="CE124" s="524"/>
      <c r="CF124" s="510">
        <f t="shared" si="409"/>
        <v>0</v>
      </c>
      <c r="CG124" s="522"/>
      <c r="CH124" s="524"/>
      <c r="CI124" s="510">
        <f t="shared" si="410"/>
        <v>0</v>
      </c>
      <c r="CJ124" s="522"/>
      <c r="CK124" s="524"/>
      <c r="CL124" s="510">
        <f t="shared" si="411"/>
        <v>0</v>
      </c>
      <c r="CM124" s="522"/>
      <c r="CN124" s="524"/>
      <c r="CO124" s="510">
        <f t="shared" si="412"/>
        <v>0</v>
      </c>
      <c r="CP124" s="522"/>
      <c r="CQ124" s="524"/>
      <c r="CR124" s="510">
        <f t="shared" si="413"/>
        <v>0</v>
      </c>
      <c r="CS124" s="522"/>
      <c r="CT124" s="524"/>
      <c r="CU124" s="510">
        <f t="shared" si="414"/>
        <v>0</v>
      </c>
      <c r="CV124" s="522"/>
      <c r="CW124" s="524"/>
      <c r="CX124" s="510">
        <f t="shared" si="415"/>
        <v>0</v>
      </c>
      <c r="CY124" s="522"/>
      <c r="CZ124" s="524"/>
      <c r="DA124" s="510">
        <f t="shared" si="416"/>
        <v>0</v>
      </c>
      <c r="DB124" s="522"/>
      <c r="DC124" s="524"/>
      <c r="DD124" s="510">
        <f t="shared" si="417"/>
        <v>0</v>
      </c>
      <c r="DE124" s="522"/>
      <c r="DF124" s="524"/>
      <c r="DG124" s="510">
        <f t="shared" si="428"/>
        <v>0</v>
      </c>
      <c r="DH124" s="1259"/>
      <c r="DI124" s="534"/>
      <c r="DJ124" s="482">
        <f t="shared" si="418"/>
        <v>0</v>
      </c>
      <c r="DK124" s="1262"/>
      <c r="DL124" s="534"/>
      <c r="DM124" s="482">
        <f t="shared" si="419"/>
        <v>0</v>
      </c>
      <c r="DN124" s="1262"/>
      <c r="DO124" s="534"/>
      <c r="DP124" s="482">
        <f t="shared" si="420"/>
        <v>0</v>
      </c>
      <c r="DQ124" s="1262"/>
      <c r="DR124" s="534"/>
      <c r="DS124" s="482">
        <f t="shared" si="370"/>
        <v>0</v>
      </c>
      <c r="DT124" s="1262"/>
      <c r="DU124" s="534"/>
      <c r="DV124" s="482">
        <f t="shared" si="424"/>
        <v>0</v>
      </c>
      <c r="DW124" s="1262"/>
      <c r="DX124" s="534"/>
      <c r="DY124" s="482">
        <f t="shared" si="372"/>
        <v>0</v>
      </c>
      <c r="DZ124" s="1262"/>
      <c r="EA124" s="534"/>
      <c r="EB124" s="482">
        <f t="shared" si="373"/>
        <v>0</v>
      </c>
      <c r="EC124" s="1262"/>
      <c r="ED124" s="534"/>
      <c r="EE124" s="482">
        <f t="shared" si="374"/>
        <v>0</v>
      </c>
      <c r="EF124" s="1262"/>
      <c r="EG124" s="534"/>
      <c r="EH124" s="482">
        <f t="shared" si="375"/>
        <v>0</v>
      </c>
      <c r="EI124" s="1262"/>
      <c r="EJ124" s="534"/>
      <c r="EK124" s="482">
        <f t="shared" si="376"/>
        <v>0</v>
      </c>
      <c r="EL124" s="1262"/>
      <c r="EM124" s="534"/>
      <c r="EN124" s="482">
        <f t="shared" si="377"/>
        <v>0</v>
      </c>
      <c r="EO124" s="1262"/>
      <c r="EP124" s="534"/>
      <c r="EQ124" s="482">
        <f t="shared" si="378"/>
        <v>0</v>
      </c>
      <c r="ER124" s="1262"/>
      <c r="ES124" s="534"/>
      <c r="ET124" s="482">
        <f t="shared" si="425"/>
        <v>0</v>
      </c>
      <c r="EU124" s="1262"/>
      <c r="EV124" s="534"/>
      <c r="EW124" s="482">
        <f t="shared" si="426"/>
        <v>0</v>
      </c>
      <c r="EX124" s="1262"/>
      <c r="EY124" s="534"/>
      <c r="EZ124" s="482">
        <f t="shared" si="427"/>
        <v>0</v>
      </c>
      <c r="FA124" s="1262"/>
      <c r="FE124"/>
      <c r="FF124"/>
      <c r="FG124"/>
      <c r="FH124"/>
      <c r="FI124"/>
      <c r="FJ124"/>
      <c r="FK124" s="35"/>
    </row>
    <row r="125" spans="2:167" s="236" customFormat="1" ht="13.35" hidden="1" customHeight="1" outlineLevel="2">
      <c r="B125" s="242" t="s">
        <v>47</v>
      </c>
      <c r="C125" s="242" t="s">
        <v>496</v>
      </c>
      <c r="D125" s="243"/>
      <c r="E125" s="522"/>
      <c r="F125" s="510">
        <f t="shared" si="383"/>
        <v>0</v>
      </c>
      <c r="G125" s="523"/>
      <c r="H125" s="524"/>
      <c r="I125" s="510">
        <f t="shared" si="384"/>
        <v>0</v>
      </c>
      <c r="J125" s="523"/>
      <c r="K125" s="524"/>
      <c r="L125" s="510">
        <f t="shared" si="385"/>
        <v>0</v>
      </c>
      <c r="M125" s="523"/>
      <c r="N125" s="524"/>
      <c r="O125" s="510">
        <f t="shared" si="386"/>
        <v>0</v>
      </c>
      <c r="P125" s="523"/>
      <c r="Q125" s="524"/>
      <c r="R125" s="510">
        <f t="shared" si="387"/>
        <v>0</v>
      </c>
      <c r="S125" s="523"/>
      <c r="T125" s="524"/>
      <c r="U125" s="510">
        <f t="shared" si="388"/>
        <v>0</v>
      </c>
      <c r="V125" s="523"/>
      <c r="W125" s="524"/>
      <c r="X125" s="510">
        <f t="shared" si="389"/>
        <v>0</v>
      </c>
      <c r="Y125" s="523"/>
      <c r="Z125" s="524"/>
      <c r="AA125" s="510">
        <f t="shared" si="390"/>
        <v>0</v>
      </c>
      <c r="AB125" s="523"/>
      <c r="AC125" s="524"/>
      <c r="AD125" s="510">
        <f t="shared" si="391"/>
        <v>0</v>
      </c>
      <c r="AE125" s="523"/>
      <c r="AF125" s="524"/>
      <c r="AG125" s="510">
        <f t="shared" si="392"/>
        <v>0</v>
      </c>
      <c r="AH125" s="523"/>
      <c r="AI125" s="524"/>
      <c r="AJ125" s="510">
        <f t="shared" si="393"/>
        <v>0</v>
      </c>
      <c r="AK125" s="523"/>
      <c r="AL125" s="524"/>
      <c r="AM125" s="510">
        <f t="shared" si="394"/>
        <v>0</v>
      </c>
      <c r="AN125" s="523"/>
      <c r="AO125" s="524"/>
      <c r="AP125" s="510">
        <f t="shared" si="395"/>
        <v>0</v>
      </c>
      <c r="AQ125" s="523"/>
      <c r="AR125" s="524"/>
      <c r="AS125" s="510">
        <f t="shared" si="396"/>
        <v>0</v>
      </c>
      <c r="AT125" s="523"/>
      <c r="AU125" s="524"/>
      <c r="AV125" s="510">
        <f t="shared" si="397"/>
        <v>0</v>
      </c>
      <c r="AW125" s="523"/>
      <c r="AX125" s="524"/>
      <c r="AY125" s="510">
        <f t="shared" si="398"/>
        <v>0</v>
      </c>
      <c r="AZ125" s="523"/>
      <c r="BA125" s="524"/>
      <c r="BB125" s="510">
        <f t="shared" si="399"/>
        <v>0</v>
      </c>
      <c r="BC125" s="523"/>
      <c r="BD125" s="524"/>
      <c r="BE125" s="510">
        <f t="shared" si="400"/>
        <v>0</v>
      </c>
      <c r="BF125" s="523"/>
      <c r="BG125" s="524"/>
      <c r="BH125" s="510">
        <f t="shared" si="401"/>
        <v>0</v>
      </c>
      <c r="BI125" s="523"/>
      <c r="BJ125" s="524"/>
      <c r="BK125" s="510">
        <f t="shared" si="402"/>
        <v>0</v>
      </c>
      <c r="BL125" s="523"/>
      <c r="BM125" s="524"/>
      <c r="BN125" s="510">
        <f t="shared" si="403"/>
        <v>0</v>
      </c>
      <c r="BO125" s="522"/>
      <c r="BP125" s="524"/>
      <c r="BQ125" s="510">
        <f t="shared" si="404"/>
        <v>0</v>
      </c>
      <c r="BR125" s="522"/>
      <c r="BS125" s="524"/>
      <c r="BT125" s="510">
        <f t="shared" si="405"/>
        <v>0</v>
      </c>
      <c r="BU125" s="522"/>
      <c r="BV125" s="524"/>
      <c r="BW125" s="510">
        <f t="shared" si="406"/>
        <v>0</v>
      </c>
      <c r="BX125" s="522"/>
      <c r="BY125" s="524"/>
      <c r="BZ125" s="510">
        <f t="shared" si="407"/>
        <v>0</v>
      </c>
      <c r="CA125" s="522"/>
      <c r="CB125" s="524"/>
      <c r="CC125" s="510">
        <f t="shared" si="408"/>
        <v>0</v>
      </c>
      <c r="CD125" s="522"/>
      <c r="CE125" s="524"/>
      <c r="CF125" s="510">
        <f t="shared" si="409"/>
        <v>0</v>
      </c>
      <c r="CG125" s="522"/>
      <c r="CH125" s="524"/>
      <c r="CI125" s="510">
        <f t="shared" si="410"/>
        <v>0</v>
      </c>
      <c r="CJ125" s="522"/>
      <c r="CK125" s="524"/>
      <c r="CL125" s="510">
        <f t="shared" si="411"/>
        <v>0</v>
      </c>
      <c r="CM125" s="522"/>
      <c r="CN125" s="524"/>
      <c r="CO125" s="510">
        <f t="shared" si="412"/>
        <v>0</v>
      </c>
      <c r="CP125" s="522"/>
      <c r="CQ125" s="524"/>
      <c r="CR125" s="510">
        <f t="shared" si="413"/>
        <v>0</v>
      </c>
      <c r="CS125" s="522"/>
      <c r="CT125" s="524"/>
      <c r="CU125" s="510">
        <f t="shared" si="414"/>
        <v>0</v>
      </c>
      <c r="CV125" s="522"/>
      <c r="CW125" s="524"/>
      <c r="CX125" s="510">
        <f t="shared" si="415"/>
        <v>0</v>
      </c>
      <c r="CY125" s="522"/>
      <c r="CZ125" s="524"/>
      <c r="DA125" s="510">
        <f t="shared" si="416"/>
        <v>0</v>
      </c>
      <c r="DB125" s="522"/>
      <c r="DC125" s="524"/>
      <c r="DD125" s="510">
        <f t="shared" si="417"/>
        <v>0</v>
      </c>
      <c r="DE125" s="522"/>
      <c r="DF125" s="524"/>
      <c r="DG125" s="510">
        <f t="shared" si="428"/>
        <v>0</v>
      </c>
      <c r="DH125" s="1259"/>
      <c r="DI125" s="534"/>
      <c r="DJ125" s="482">
        <f t="shared" si="418"/>
        <v>0</v>
      </c>
      <c r="DK125" s="1262"/>
      <c r="DL125" s="534"/>
      <c r="DM125" s="482">
        <f t="shared" si="419"/>
        <v>0</v>
      </c>
      <c r="DN125" s="1262"/>
      <c r="DO125" s="534"/>
      <c r="DP125" s="482">
        <f t="shared" si="420"/>
        <v>0</v>
      </c>
      <c r="DQ125" s="1262"/>
      <c r="DR125" s="534"/>
      <c r="DS125" s="482">
        <f t="shared" si="370"/>
        <v>0</v>
      </c>
      <c r="DT125" s="1262"/>
      <c r="DU125" s="534"/>
      <c r="DV125" s="482">
        <f t="shared" si="424"/>
        <v>0</v>
      </c>
      <c r="DW125" s="1262"/>
      <c r="DX125" s="534"/>
      <c r="DY125" s="482">
        <f t="shared" si="372"/>
        <v>0</v>
      </c>
      <c r="DZ125" s="1262"/>
      <c r="EA125" s="534"/>
      <c r="EB125" s="482">
        <f t="shared" si="373"/>
        <v>0</v>
      </c>
      <c r="EC125" s="1262"/>
      <c r="ED125" s="534"/>
      <c r="EE125" s="482">
        <f t="shared" si="374"/>
        <v>0</v>
      </c>
      <c r="EF125" s="1262"/>
      <c r="EG125" s="534"/>
      <c r="EH125" s="482">
        <f t="shared" si="375"/>
        <v>0</v>
      </c>
      <c r="EI125" s="1262"/>
      <c r="EJ125" s="534"/>
      <c r="EK125" s="482">
        <f t="shared" si="376"/>
        <v>0</v>
      </c>
      <c r="EL125" s="1262"/>
      <c r="EM125" s="534"/>
      <c r="EN125" s="482">
        <f t="shared" si="377"/>
        <v>0</v>
      </c>
      <c r="EO125" s="1262"/>
      <c r="EP125" s="534"/>
      <c r="EQ125" s="482">
        <f t="shared" si="378"/>
        <v>0</v>
      </c>
      <c r="ER125" s="1262"/>
      <c r="ES125" s="534"/>
      <c r="ET125" s="482">
        <f t="shared" si="425"/>
        <v>0</v>
      </c>
      <c r="EU125" s="1262"/>
      <c r="EV125" s="534"/>
      <c r="EW125" s="482">
        <f t="shared" si="426"/>
        <v>0</v>
      </c>
      <c r="EX125" s="1262"/>
      <c r="EY125" s="534"/>
      <c r="EZ125" s="482">
        <f t="shared" si="427"/>
        <v>0</v>
      </c>
      <c r="FA125" s="1262"/>
      <c r="FE125"/>
      <c r="FF125"/>
      <c r="FG125"/>
      <c r="FH125"/>
      <c r="FI125"/>
      <c r="FJ125"/>
      <c r="FK125" s="35"/>
    </row>
    <row r="126" spans="2:167" s="236" customFormat="1" ht="13.35" hidden="1" customHeight="1" outlineLevel="2">
      <c r="B126" s="242" t="s">
        <v>732</v>
      </c>
      <c r="C126" s="242" t="s">
        <v>496</v>
      </c>
      <c r="D126" s="243"/>
      <c r="E126" s="522"/>
      <c r="F126" s="510">
        <f t="shared" si="383"/>
        <v>0</v>
      </c>
      <c r="G126" s="523"/>
      <c r="H126" s="524"/>
      <c r="I126" s="510">
        <f t="shared" si="384"/>
        <v>0</v>
      </c>
      <c r="J126" s="523"/>
      <c r="K126" s="524"/>
      <c r="L126" s="510">
        <f t="shared" si="385"/>
        <v>0</v>
      </c>
      <c r="M126" s="523"/>
      <c r="N126" s="524"/>
      <c r="O126" s="510">
        <f t="shared" si="386"/>
        <v>0</v>
      </c>
      <c r="P126" s="523"/>
      <c r="Q126" s="524"/>
      <c r="R126" s="510">
        <f t="shared" si="387"/>
        <v>0</v>
      </c>
      <c r="S126" s="523"/>
      <c r="T126" s="524"/>
      <c r="U126" s="510">
        <f t="shared" si="388"/>
        <v>0</v>
      </c>
      <c r="V126" s="523"/>
      <c r="W126" s="524"/>
      <c r="X126" s="510">
        <f t="shared" si="389"/>
        <v>0</v>
      </c>
      <c r="Y126" s="523"/>
      <c r="Z126" s="524"/>
      <c r="AA126" s="510">
        <f t="shared" si="390"/>
        <v>0</v>
      </c>
      <c r="AB126" s="523"/>
      <c r="AC126" s="524"/>
      <c r="AD126" s="510">
        <f t="shared" si="391"/>
        <v>0</v>
      </c>
      <c r="AE126" s="523"/>
      <c r="AF126" s="524"/>
      <c r="AG126" s="510">
        <f t="shared" si="392"/>
        <v>0</v>
      </c>
      <c r="AH126" s="523"/>
      <c r="AI126" s="524"/>
      <c r="AJ126" s="510">
        <f t="shared" si="393"/>
        <v>0</v>
      </c>
      <c r="AK126" s="523"/>
      <c r="AL126" s="524"/>
      <c r="AM126" s="510">
        <f t="shared" si="394"/>
        <v>0</v>
      </c>
      <c r="AN126" s="523"/>
      <c r="AO126" s="524"/>
      <c r="AP126" s="510">
        <f t="shared" si="395"/>
        <v>0</v>
      </c>
      <c r="AQ126" s="523"/>
      <c r="AR126" s="524"/>
      <c r="AS126" s="510">
        <f t="shared" si="396"/>
        <v>0</v>
      </c>
      <c r="AT126" s="523"/>
      <c r="AU126" s="524"/>
      <c r="AV126" s="510">
        <f t="shared" si="397"/>
        <v>0</v>
      </c>
      <c r="AW126" s="523"/>
      <c r="AX126" s="524"/>
      <c r="AY126" s="510">
        <f t="shared" si="398"/>
        <v>0</v>
      </c>
      <c r="AZ126" s="523"/>
      <c r="BA126" s="524"/>
      <c r="BB126" s="510">
        <f t="shared" si="399"/>
        <v>0</v>
      </c>
      <c r="BC126" s="523"/>
      <c r="BD126" s="524"/>
      <c r="BE126" s="510">
        <f t="shared" si="400"/>
        <v>0</v>
      </c>
      <c r="BF126" s="523"/>
      <c r="BG126" s="524"/>
      <c r="BH126" s="510">
        <f t="shared" si="401"/>
        <v>0</v>
      </c>
      <c r="BI126" s="523"/>
      <c r="BJ126" s="524"/>
      <c r="BK126" s="510">
        <f t="shared" si="402"/>
        <v>0</v>
      </c>
      <c r="BL126" s="523"/>
      <c r="BM126" s="524"/>
      <c r="BN126" s="510">
        <f t="shared" si="403"/>
        <v>0</v>
      </c>
      <c r="BO126" s="522"/>
      <c r="BP126" s="524"/>
      <c r="BQ126" s="510">
        <f t="shared" si="404"/>
        <v>0</v>
      </c>
      <c r="BR126" s="522"/>
      <c r="BS126" s="524"/>
      <c r="BT126" s="510">
        <f t="shared" si="405"/>
        <v>0</v>
      </c>
      <c r="BU126" s="522"/>
      <c r="BV126" s="524"/>
      <c r="BW126" s="510">
        <f t="shared" si="406"/>
        <v>0</v>
      </c>
      <c r="BX126" s="522"/>
      <c r="BY126" s="524"/>
      <c r="BZ126" s="510">
        <f t="shared" si="407"/>
        <v>0</v>
      </c>
      <c r="CA126" s="522"/>
      <c r="CB126" s="524"/>
      <c r="CC126" s="510">
        <f t="shared" si="408"/>
        <v>0</v>
      </c>
      <c r="CD126" s="522"/>
      <c r="CE126" s="524"/>
      <c r="CF126" s="510">
        <f t="shared" si="409"/>
        <v>0</v>
      </c>
      <c r="CG126" s="522"/>
      <c r="CH126" s="524"/>
      <c r="CI126" s="510">
        <f t="shared" si="410"/>
        <v>0</v>
      </c>
      <c r="CJ126" s="522"/>
      <c r="CK126" s="524"/>
      <c r="CL126" s="510">
        <f t="shared" si="411"/>
        <v>0</v>
      </c>
      <c r="CM126" s="522"/>
      <c r="CN126" s="524"/>
      <c r="CO126" s="510">
        <f t="shared" si="412"/>
        <v>0</v>
      </c>
      <c r="CP126" s="522"/>
      <c r="CQ126" s="524"/>
      <c r="CR126" s="510">
        <f t="shared" si="413"/>
        <v>0</v>
      </c>
      <c r="CS126" s="522"/>
      <c r="CT126" s="524"/>
      <c r="CU126" s="510">
        <f t="shared" si="414"/>
        <v>0</v>
      </c>
      <c r="CV126" s="522"/>
      <c r="CW126" s="524"/>
      <c r="CX126" s="510">
        <f t="shared" si="415"/>
        <v>0</v>
      </c>
      <c r="CY126" s="522"/>
      <c r="CZ126" s="524"/>
      <c r="DA126" s="510">
        <f t="shared" si="416"/>
        <v>0</v>
      </c>
      <c r="DB126" s="522"/>
      <c r="DC126" s="524"/>
      <c r="DD126" s="510">
        <f t="shared" si="417"/>
        <v>0</v>
      </c>
      <c r="DE126" s="522"/>
      <c r="DF126" s="524"/>
      <c r="DG126" s="510">
        <f t="shared" si="428"/>
        <v>0</v>
      </c>
      <c r="DH126" s="1259"/>
      <c r="DI126" s="534"/>
      <c r="DJ126" s="482">
        <f t="shared" si="418"/>
        <v>0</v>
      </c>
      <c r="DK126" s="1262"/>
      <c r="DL126" s="534"/>
      <c r="DM126" s="482">
        <f t="shared" si="419"/>
        <v>0</v>
      </c>
      <c r="DN126" s="1262"/>
      <c r="DO126" s="534"/>
      <c r="DP126" s="482">
        <f t="shared" si="420"/>
        <v>0</v>
      </c>
      <c r="DQ126" s="1262"/>
      <c r="DR126" s="534"/>
      <c r="DS126" s="482">
        <f t="shared" si="370"/>
        <v>0</v>
      </c>
      <c r="DT126" s="1262"/>
      <c r="DU126" s="534"/>
      <c r="DV126" s="482">
        <f t="shared" si="424"/>
        <v>0</v>
      </c>
      <c r="DW126" s="1262"/>
      <c r="DX126" s="534"/>
      <c r="DY126" s="482">
        <f t="shared" si="372"/>
        <v>0</v>
      </c>
      <c r="DZ126" s="1262"/>
      <c r="EA126" s="534"/>
      <c r="EB126" s="482">
        <f t="shared" si="373"/>
        <v>0</v>
      </c>
      <c r="EC126" s="1262"/>
      <c r="ED126" s="534"/>
      <c r="EE126" s="482">
        <f t="shared" si="374"/>
        <v>0</v>
      </c>
      <c r="EF126" s="1262"/>
      <c r="EG126" s="534"/>
      <c r="EH126" s="482">
        <f t="shared" si="375"/>
        <v>0</v>
      </c>
      <c r="EI126" s="1262"/>
      <c r="EJ126" s="534"/>
      <c r="EK126" s="482">
        <f t="shared" si="376"/>
        <v>0</v>
      </c>
      <c r="EL126" s="1262"/>
      <c r="EM126" s="534"/>
      <c r="EN126" s="482">
        <f t="shared" si="377"/>
        <v>0</v>
      </c>
      <c r="EO126" s="1262"/>
      <c r="EP126" s="534"/>
      <c r="EQ126" s="482">
        <f t="shared" si="378"/>
        <v>0</v>
      </c>
      <c r="ER126" s="1262"/>
      <c r="ES126" s="534"/>
      <c r="ET126" s="482">
        <f t="shared" si="425"/>
        <v>0</v>
      </c>
      <c r="EU126" s="1262"/>
      <c r="EV126" s="534"/>
      <c r="EW126" s="482">
        <f t="shared" si="426"/>
        <v>0</v>
      </c>
      <c r="EX126" s="1262"/>
      <c r="EY126" s="534"/>
      <c r="EZ126" s="482">
        <f t="shared" si="427"/>
        <v>0</v>
      </c>
      <c r="FA126" s="1262"/>
      <c r="FE126"/>
      <c r="FF126"/>
      <c r="FG126"/>
      <c r="FH126"/>
      <c r="FI126"/>
      <c r="FJ126"/>
      <c r="FK126" s="35"/>
    </row>
    <row r="127" spans="2:167" s="236" customFormat="1" ht="13.35" hidden="1" customHeight="1" outlineLevel="2">
      <c r="B127" s="242" t="s">
        <v>47</v>
      </c>
      <c r="C127" s="242" t="s">
        <v>496</v>
      </c>
      <c r="D127" s="243"/>
      <c r="E127" s="522"/>
      <c r="F127" s="510">
        <f t="shared" si="383"/>
        <v>0</v>
      </c>
      <c r="G127" s="523"/>
      <c r="H127" s="524"/>
      <c r="I127" s="510">
        <f t="shared" si="384"/>
        <v>0</v>
      </c>
      <c r="J127" s="523"/>
      <c r="K127" s="524"/>
      <c r="L127" s="510">
        <f t="shared" si="385"/>
        <v>0</v>
      </c>
      <c r="M127" s="523"/>
      <c r="N127" s="524"/>
      <c r="O127" s="510">
        <f t="shared" si="386"/>
        <v>0</v>
      </c>
      <c r="P127" s="523"/>
      <c r="Q127" s="524"/>
      <c r="R127" s="510">
        <f t="shared" si="387"/>
        <v>0</v>
      </c>
      <c r="S127" s="523"/>
      <c r="T127" s="524"/>
      <c r="U127" s="510">
        <f t="shared" si="388"/>
        <v>0</v>
      </c>
      <c r="V127" s="523"/>
      <c r="W127" s="524"/>
      <c r="X127" s="510">
        <f t="shared" si="389"/>
        <v>0</v>
      </c>
      <c r="Y127" s="523"/>
      <c r="Z127" s="524"/>
      <c r="AA127" s="510">
        <f t="shared" si="390"/>
        <v>0</v>
      </c>
      <c r="AB127" s="523"/>
      <c r="AC127" s="524"/>
      <c r="AD127" s="510">
        <f t="shared" si="391"/>
        <v>0</v>
      </c>
      <c r="AE127" s="523"/>
      <c r="AF127" s="524"/>
      <c r="AG127" s="510">
        <f t="shared" si="392"/>
        <v>0</v>
      </c>
      <c r="AH127" s="523"/>
      <c r="AI127" s="524"/>
      <c r="AJ127" s="510">
        <f t="shared" si="393"/>
        <v>0</v>
      </c>
      <c r="AK127" s="523"/>
      <c r="AL127" s="524"/>
      <c r="AM127" s="510">
        <f t="shared" si="394"/>
        <v>0</v>
      </c>
      <c r="AN127" s="523"/>
      <c r="AO127" s="524"/>
      <c r="AP127" s="510">
        <f t="shared" si="395"/>
        <v>0</v>
      </c>
      <c r="AQ127" s="523"/>
      <c r="AR127" s="524"/>
      <c r="AS127" s="510">
        <f t="shared" si="396"/>
        <v>0</v>
      </c>
      <c r="AT127" s="523"/>
      <c r="AU127" s="524"/>
      <c r="AV127" s="510">
        <f t="shared" si="397"/>
        <v>0</v>
      </c>
      <c r="AW127" s="523"/>
      <c r="AX127" s="524"/>
      <c r="AY127" s="510">
        <f t="shared" si="398"/>
        <v>0</v>
      </c>
      <c r="AZ127" s="523"/>
      <c r="BA127" s="524"/>
      <c r="BB127" s="510">
        <f t="shared" si="399"/>
        <v>0</v>
      </c>
      <c r="BC127" s="523"/>
      <c r="BD127" s="524"/>
      <c r="BE127" s="510">
        <f t="shared" si="400"/>
        <v>0</v>
      </c>
      <c r="BF127" s="523"/>
      <c r="BG127" s="524"/>
      <c r="BH127" s="510">
        <f t="shared" si="401"/>
        <v>0</v>
      </c>
      <c r="BI127" s="523"/>
      <c r="BJ127" s="524"/>
      <c r="BK127" s="510">
        <f t="shared" si="402"/>
        <v>0</v>
      </c>
      <c r="BL127" s="523"/>
      <c r="BM127" s="524"/>
      <c r="BN127" s="510">
        <f t="shared" si="403"/>
        <v>0</v>
      </c>
      <c r="BO127" s="522"/>
      <c r="BP127" s="524"/>
      <c r="BQ127" s="510">
        <f t="shared" si="404"/>
        <v>0</v>
      </c>
      <c r="BR127" s="522"/>
      <c r="BS127" s="524"/>
      <c r="BT127" s="510">
        <f t="shared" si="405"/>
        <v>0</v>
      </c>
      <c r="BU127" s="522"/>
      <c r="BV127" s="524"/>
      <c r="BW127" s="510">
        <f t="shared" si="406"/>
        <v>0</v>
      </c>
      <c r="BX127" s="522"/>
      <c r="BY127" s="524"/>
      <c r="BZ127" s="510">
        <f t="shared" si="407"/>
        <v>0</v>
      </c>
      <c r="CA127" s="522"/>
      <c r="CB127" s="524"/>
      <c r="CC127" s="510">
        <f t="shared" si="408"/>
        <v>0</v>
      </c>
      <c r="CD127" s="522"/>
      <c r="CE127" s="524"/>
      <c r="CF127" s="510">
        <f t="shared" si="409"/>
        <v>0</v>
      </c>
      <c r="CG127" s="522"/>
      <c r="CH127" s="524"/>
      <c r="CI127" s="510">
        <f t="shared" si="410"/>
        <v>0</v>
      </c>
      <c r="CJ127" s="522"/>
      <c r="CK127" s="524"/>
      <c r="CL127" s="510">
        <f t="shared" si="411"/>
        <v>0</v>
      </c>
      <c r="CM127" s="522"/>
      <c r="CN127" s="524"/>
      <c r="CO127" s="510">
        <f t="shared" si="412"/>
        <v>0</v>
      </c>
      <c r="CP127" s="522"/>
      <c r="CQ127" s="524"/>
      <c r="CR127" s="510">
        <f t="shared" si="413"/>
        <v>0</v>
      </c>
      <c r="CS127" s="522"/>
      <c r="CT127" s="524"/>
      <c r="CU127" s="510">
        <f t="shared" si="414"/>
        <v>0</v>
      </c>
      <c r="CV127" s="522"/>
      <c r="CW127" s="524"/>
      <c r="CX127" s="510">
        <f t="shared" si="415"/>
        <v>0</v>
      </c>
      <c r="CY127" s="522"/>
      <c r="CZ127" s="524"/>
      <c r="DA127" s="510">
        <f t="shared" si="416"/>
        <v>0</v>
      </c>
      <c r="DB127" s="522"/>
      <c r="DC127" s="524"/>
      <c r="DD127" s="510">
        <f t="shared" si="417"/>
        <v>0</v>
      </c>
      <c r="DE127" s="522"/>
      <c r="DF127" s="524"/>
      <c r="DG127" s="510">
        <f t="shared" si="428"/>
        <v>0</v>
      </c>
      <c r="DH127" s="1259"/>
      <c r="DI127" s="534"/>
      <c r="DJ127" s="482">
        <f t="shared" si="418"/>
        <v>0</v>
      </c>
      <c r="DK127" s="1262"/>
      <c r="DL127" s="534"/>
      <c r="DM127" s="482">
        <f t="shared" si="419"/>
        <v>0</v>
      </c>
      <c r="DN127" s="1262"/>
      <c r="DO127" s="534"/>
      <c r="DP127" s="482">
        <f t="shared" si="420"/>
        <v>0</v>
      </c>
      <c r="DQ127" s="1262"/>
      <c r="DR127" s="534"/>
      <c r="DS127" s="482">
        <f t="shared" si="370"/>
        <v>0</v>
      </c>
      <c r="DT127" s="1262"/>
      <c r="DU127" s="534"/>
      <c r="DV127" s="482">
        <f t="shared" si="424"/>
        <v>0</v>
      </c>
      <c r="DW127" s="1262"/>
      <c r="DX127" s="534"/>
      <c r="DY127" s="482">
        <f t="shared" si="372"/>
        <v>0</v>
      </c>
      <c r="DZ127" s="1262"/>
      <c r="EA127" s="534"/>
      <c r="EB127" s="482">
        <f t="shared" si="373"/>
        <v>0</v>
      </c>
      <c r="EC127" s="1262"/>
      <c r="ED127" s="534"/>
      <c r="EE127" s="482">
        <f t="shared" si="374"/>
        <v>0</v>
      </c>
      <c r="EF127" s="1262"/>
      <c r="EG127" s="534"/>
      <c r="EH127" s="482">
        <f t="shared" si="375"/>
        <v>0</v>
      </c>
      <c r="EI127" s="1262"/>
      <c r="EJ127" s="534"/>
      <c r="EK127" s="482">
        <f t="shared" si="376"/>
        <v>0</v>
      </c>
      <c r="EL127" s="1262"/>
      <c r="EM127" s="534"/>
      <c r="EN127" s="482">
        <f t="shared" si="377"/>
        <v>0</v>
      </c>
      <c r="EO127" s="1262"/>
      <c r="EP127" s="534"/>
      <c r="EQ127" s="482">
        <f t="shared" si="378"/>
        <v>0</v>
      </c>
      <c r="ER127" s="1262"/>
      <c r="ES127" s="534"/>
      <c r="ET127" s="482">
        <f t="shared" si="425"/>
        <v>0</v>
      </c>
      <c r="EU127" s="1262"/>
      <c r="EV127" s="534"/>
      <c r="EW127" s="482">
        <f t="shared" si="426"/>
        <v>0</v>
      </c>
      <c r="EX127" s="1262"/>
      <c r="EY127" s="534"/>
      <c r="EZ127" s="482">
        <f t="shared" si="427"/>
        <v>0</v>
      </c>
      <c r="FA127" s="1262"/>
      <c r="FE127"/>
      <c r="FF127"/>
      <c r="FG127"/>
      <c r="FH127"/>
      <c r="FI127"/>
      <c r="FJ127"/>
      <c r="FK127" s="35"/>
    </row>
    <row r="128" spans="2:167" s="236" customFormat="1" ht="13.35" hidden="1" customHeight="1" outlineLevel="2">
      <c r="B128" s="242" t="s">
        <v>199</v>
      </c>
      <c r="C128" s="242" t="s">
        <v>496</v>
      </c>
      <c r="D128" s="243"/>
      <c r="E128" s="522"/>
      <c r="F128" s="510">
        <f t="shared" si="383"/>
        <v>0</v>
      </c>
      <c r="G128" s="523"/>
      <c r="H128" s="524"/>
      <c r="I128" s="510">
        <f t="shared" si="384"/>
        <v>0</v>
      </c>
      <c r="J128" s="523"/>
      <c r="K128" s="524"/>
      <c r="L128" s="510">
        <f t="shared" si="385"/>
        <v>0</v>
      </c>
      <c r="M128" s="523"/>
      <c r="N128" s="524"/>
      <c r="O128" s="510">
        <f t="shared" si="386"/>
        <v>0</v>
      </c>
      <c r="P128" s="523"/>
      <c r="Q128" s="524"/>
      <c r="R128" s="510">
        <f t="shared" si="387"/>
        <v>0</v>
      </c>
      <c r="S128" s="523"/>
      <c r="T128" s="524"/>
      <c r="U128" s="510">
        <f t="shared" si="388"/>
        <v>0</v>
      </c>
      <c r="V128" s="523"/>
      <c r="W128" s="524"/>
      <c r="X128" s="510">
        <f t="shared" si="389"/>
        <v>0</v>
      </c>
      <c r="Y128" s="523"/>
      <c r="Z128" s="524"/>
      <c r="AA128" s="510">
        <f t="shared" si="390"/>
        <v>0</v>
      </c>
      <c r="AB128" s="523"/>
      <c r="AC128" s="524"/>
      <c r="AD128" s="510">
        <f t="shared" si="391"/>
        <v>0</v>
      </c>
      <c r="AE128" s="523"/>
      <c r="AF128" s="524"/>
      <c r="AG128" s="510">
        <f t="shared" si="392"/>
        <v>0</v>
      </c>
      <c r="AH128" s="523"/>
      <c r="AI128" s="524"/>
      <c r="AJ128" s="510">
        <f t="shared" si="393"/>
        <v>0</v>
      </c>
      <c r="AK128" s="523"/>
      <c r="AL128" s="524"/>
      <c r="AM128" s="510">
        <f t="shared" si="394"/>
        <v>0</v>
      </c>
      <c r="AN128" s="523"/>
      <c r="AO128" s="524"/>
      <c r="AP128" s="510">
        <f t="shared" si="395"/>
        <v>0</v>
      </c>
      <c r="AQ128" s="523"/>
      <c r="AR128" s="524"/>
      <c r="AS128" s="510">
        <f t="shared" si="396"/>
        <v>0</v>
      </c>
      <c r="AT128" s="523"/>
      <c r="AU128" s="524"/>
      <c r="AV128" s="510">
        <f t="shared" si="397"/>
        <v>0</v>
      </c>
      <c r="AW128" s="523"/>
      <c r="AX128" s="524"/>
      <c r="AY128" s="510">
        <f t="shared" si="398"/>
        <v>0</v>
      </c>
      <c r="AZ128" s="523"/>
      <c r="BA128" s="524"/>
      <c r="BB128" s="510">
        <f t="shared" si="399"/>
        <v>0</v>
      </c>
      <c r="BC128" s="523"/>
      <c r="BD128" s="524"/>
      <c r="BE128" s="510">
        <f t="shared" si="400"/>
        <v>0</v>
      </c>
      <c r="BF128" s="523"/>
      <c r="BG128" s="524"/>
      <c r="BH128" s="510">
        <f t="shared" si="401"/>
        <v>0</v>
      </c>
      <c r="BI128" s="523"/>
      <c r="BJ128" s="524"/>
      <c r="BK128" s="510">
        <f t="shared" si="402"/>
        <v>0</v>
      </c>
      <c r="BL128" s="523"/>
      <c r="BM128" s="524"/>
      <c r="BN128" s="510">
        <f t="shared" si="403"/>
        <v>0</v>
      </c>
      <c r="BO128" s="522"/>
      <c r="BP128" s="524"/>
      <c r="BQ128" s="510">
        <f t="shared" si="404"/>
        <v>0</v>
      </c>
      <c r="BR128" s="522"/>
      <c r="BS128" s="524"/>
      <c r="BT128" s="510">
        <f t="shared" si="405"/>
        <v>0</v>
      </c>
      <c r="BU128" s="522"/>
      <c r="BV128" s="524"/>
      <c r="BW128" s="510">
        <f t="shared" si="406"/>
        <v>0</v>
      </c>
      <c r="BX128" s="522"/>
      <c r="BY128" s="524"/>
      <c r="BZ128" s="510">
        <f t="shared" si="407"/>
        <v>0</v>
      </c>
      <c r="CA128" s="522"/>
      <c r="CB128" s="524"/>
      <c r="CC128" s="510">
        <f t="shared" si="408"/>
        <v>0</v>
      </c>
      <c r="CD128" s="522"/>
      <c r="CE128" s="524"/>
      <c r="CF128" s="510">
        <f t="shared" si="409"/>
        <v>0</v>
      </c>
      <c r="CG128" s="522"/>
      <c r="CH128" s="524"/>
      <c r="CI128" s="510">
        <f t="shared" si="410"/>
        <v>0</v>
      </c>
      <c r="CJ128" s="522"/>
      <c r="CK128" s="524"/>
      <c r="CL128" s="510">
        <f t="shared" si="411"/>
        <v>0</v>
      </c>
      <c r="CM128" s="522"/>
      <c r="CN128" s="524"/>
      <c r="CO128" s="510">
        <f t="shared" si="412"/>
        <v>0</v>
      </c>
      <c r="CP128" s="522"/>
      <c r="CQ128" s="524"/>
      <c r="CR128" s="510">
        <f t="shared" si="413"/>
        <v>0</v>
      </c>
      <c r="CS128" s="522"/>
      <c r="CT128" s="524"/>
      <c r="CU128" s="510">
        <f t="shared" si="414"/>
        <v>0</v>
      </c>
      <c r="CV128" s="522"/>
      <c r="CW128" s="524"/>
      <c r="CX128" s="510">
        <f t="shared" si="415"/>
        <v>0</v>
      </c>
      <c r="CY128" s="522"/>
      <c r="CZ128" s="524"/>
      <c r="DA128" s="510">
        <f t="shared" si="416"/>
        <v>0</v>
      </c>
      <c r="DB128" s="522"/>
      <c r="DC128" s="524"/>
      <c r="DD128" s="510">
        <f t="shared" si="417"/>
        <v>0</v>
      </c>
      <c r="DE128" s="522"/>
      <c r="DF128" s="524"/>
      <c r="DG128" s="510">
        <f t="shared" si="428"/>
        <v>0</v>
      </c>
      <c r="DH128" s="1259"/>
      <c r="DI128" s="534"/>
      <c r="DJ128" s="482">
        <f t="shared" si="418"/>
        <v>0</v>
      </c>
      <c r="DK128" s="1262"/>
      <c r="DL128" s="534"/>
      <c r="DM128" s="482">
        <f t="shared" si="419"/>
        <v>0</v>
      </c>
      <c r="DN128" s="1262"/>
      <c r="DO128" s="534"/>
      <c r="DP128" s="482">
        <f t="shared" si="420"/>
        <v>0</v>
      </c>
      <c r="DQ128" s="1262"/>
      <c r="DR128" s="534"/>
      <c r="DS128" s="482">
        <f t="shared" si="370"/>
        <v>0</v>
      </c>
      <c r="DT128" s="1262"/>
      <c r="DU128" s="534"/>
      <c r="DV128" s="482">
        <f t="shared" si="424"/>
        <v>0</v>
      </c>
      <c r="DW128" s="1262"/>
      <c r="DX128" s="534"/>
      <c r="DY128" s="482">
        <f t="shared" si="372"/>
        <v>0</v>
      </c>
      <c r="DZ128" s="1262"/>
      <c r="EA128" s="534"/>
      <c r="EB128" s="482">
        <f t="shared" si="373"/>
        <v>0</v>
      </c>
      <c r="EC128" s="1262"/>
      <c r="ED128" s="534"/>
      <c r="EE128" s="482">
        <f t="shared" si="374"/>
        <v>0</v>
      </c>
      <c r="EF128" s="1262"/>
      <c r="EG128" s="534"/>
      <c r="EH128" s="482">
        <f t="shared" si="375"/>
        <v>0</v>
      </c>
      <c r="EI128" s="1262"/>
      <c r="EJ128" s="534"/>
      <c r="EK128" s="482">
        <f t="shared" si="376"/>
        <v>0</v>
      </c>
      <c r="EL128" s="1262"/>
      <c r="EM128" s="534"/>
      <c r="EN128" s="482">
        <f t="shared" si="377"/>
        <v>0</v>
      </c>
      <c r="EO128" s="1262"/>
      <c r="EP128" s="534"/>
      <c r="EQ128" s="482">
        <f t="shared" si="378"/>
        <v>0</v>
      </c>
      <c r="ER128" s="1262"/>
      <c r="ES128" s="534"/>
      <c r="ET128" s="482">
        <f t="shared" si="425"/>
        <v>0</v>
      </c>
      <c r="EU128" s="1262"/>
      <c r="EV128" s="534"/>
      <c r="EW128" s="482">
        <f t="shared" si="426"/>
        <v>0</v>
      </c>
      <c r="EX128" s="1262"/>
      <c r="EY128" s="534"/>
      <c r="EZ128" s="482">
        <f t="shared" si="427"/>
        <v>0</v>
      </c>
      <c r="FA128" s="1262"/>
      <c r="FE128"/>
      <c r="FF128"/>
      <c r="FG128"/>
      <c r="FH128"/>
      <c r="FI128"/>
      <c r="FJ128"/>
      <c r="FK128" s="35"/>
    </row>
    <row r="129" spans="2:167" s="236" customFormat="1" ht="13.35" hidden="1" customHeight="1" outlineLevel="2">
      <c r="B129" s="242" t="s">
        <v>47</v>
      </c>
      <c r="C129" s="242" t="s">
        <v>496</v>
      </c>
      <c r="D129" s="243"/>
      <c r="E129" s="522"/>
      <c r="F129" s="510">
        <f t="shared" si="383"/>
        <v>0</v>
      </c>
      <c r="G129" s="523"/>
      <c r="H129" s="524"/>
      <c r="I129" s="510">
        <f t="shared" si="384"/>
        <v>0</v>
      </c>
      <c r="J129" s="523"/>
      <c r="K129" s="524"/>
      <c r="L129" s="510">
        <f t="shared" si="385"/>
        <v>0</v>
      </c>
      <c r="M129" s="523"/>
      <c r="N129" s="524"/>
      <c r="O129" s="510">
        <f t="shared" si="386"/>
        <v>0</v>
      </c>
      <c r="P129" s="523"/>
      <c r="Q129" s="524"/>
      <c r="R129" s="510">
        <f t="shared" si="387"/>
        <v>0</v>
      </c>
      <c r="S129" s="523"/>
      <c r="T129" s="524"/>
      <c r="U129" s="510">
        <f t="shared" si="388"/>
        <v>0</v>
      </c>
      <c r="V129" s="523"/>
      <c r="W129" s="524"/>
      <c r="X129" s="510">
        <f t="shared" si="389"/>
        <v>0</v>
      </c>
      <c r="Y129" s="523"/>
      <c r="Z129" s="524"/>
      <c r="AA129" s="510">
        <f t="shared" si="390"/>
        <v>0</v>
      </c>
      <c r="AB129" s="523"/>
      <c r="AC129" s="524"/>
      <c r="AD129" s="510">
        <f t="shared" si="391"/>
        <v>0</v>
      </c>
      <c r="AE129" s="523"/>
      <c r="AF129" s="524"/>
      <c r="AG129" s="510">
        <f t="shared" si="392"/>
        <v>0</v>
      </c>
      <c r="AH129" s="523"/>
      <c r="AI129" s="524"/>
      <c r="AJ129" s="510">
        <f t="shared" si="393"/>
        <v>0</v>
      </c>
      <c r="AK129" s="523"/>
      <c r="AL129" s="524"/>
      <c r="AM129" s="510">
        <f t="shared" si="394"/>
        <v>0</v>
      </c>
      <c r="AN129" s="523"/>
      <c r="AO129" s="524"/>
      <c r="AP129" s="510">
        <f t="shared" si="395"/>
        <v>0</v>
      </c>
      <c r="AQ129" s="523"/>
      <c r="AR129" s="524"/>
      <c r="AS129" s="510">
        <f t="shared" si="396"/>
        <v>0</v>
      </c>
      <c r="AT129" s="523"/>
      <c r="AU129" s="524"/>
      <c r="AV129" s="510">
        <f t="shared" si="397"/>
        <v>0</v>
      </c>
      <c r="AW129" s="523"/>
      <c r="AX129" s="524"/>
      <c r="AY129" s="510">
        <f t="shared" si="398"/>
        <v>0</v>
      </c>
      <c r="AZ129" s="523"/>
      <c r="BA129" s="524"/>
      <c r="BB129" s="510">
        <f t="shared" si="399"/>
        <v>0</v>
      </c>
      <c r="BC129" s="523"/>
      <c r="BD129" s="524"/>
      <c r="BE129" s="510">
        <f t="shared" si="400"/>
        <v>0</v>
      </c>
      <c r="BF129" s="523"/>
      <c r="BG129" s="524"/>
      <c r="BH129" s="510">
        <f t="shared" si="401"/>
        <v>0</v>
      </c>
      <c r="BI129" s="523"/>
      <c r="BJ129" s="524"/>
      <c r="BK129" s="510">
        <f t="shared" si="402"/>
        <v>0</v>
      </c>
      <c r="BL129" s="523"/>
      <c r="BM129" s="524"/>
      <c r="BN129" s="510">
        <f t="shared" si="403"/>
        <v>0</v>
      </c>
      <c r="BO129" s="522"/>
      <c r="BP129" s="524"/>
      <c r="BQ129" s="510">
        <f t="shared" si="404"/>
        <v>0</v>
      </c>
      <c r="BR129" s="522"/>
      <c r="BS129" s="524"/>
      <c r="BT129" s="510">
        <f t="shared" si="405"/>
        <v>0</v>
      </c>
      <c r="BU129" s="522"/>
      <c r="BV129" s="524"/>
      <c r="BW129" s="510">
        <f t="shared" si="406"/>
        <v>0</v>
      </c>
      <c r="BX129" s="522"/>
      <c r="BY129" s="524"/>
      <c r="BZ129" s="510">
        <f t="shared" si="407"/>
        <v>0</v>
      </c>
      <c r="CA129" s="522"/>
      <c r="CB129" s="524"/>
      <c r="CC129" s="510">
        <f t="shared" si="408"/>
        <v>0</v>
      </c>
      <c r="CD129" s="522"/>
      <c r="CE129" s="524"/>
      <c r="CF129" s="510">
        <f t="shared" si="409"/>
        <v>0</v>
      </c>
      <c r="CG129" s="522"/>
      <c r="CH129" s="524"/>
      <c r="CI129" s="510">
        <f t="shared" si="410"/>
        <v>0</v>
      </c>
      <c r="CJ129" s="522"/>
      <c r="CK129" s="524"/>
      <c r="CL129" s="510">
        <f t="shared" si="411"/>
        <v>0</v>
      </c>
      <c r="CM129" s="522"/>
      <c r="CN129" s="524"/>
      <c r="CO129" s="510">
        <f t="shared" si="412"/>
        <v>0</v>
      </c>
      <c r="CP129" s="522"/>
      <c r="CQ129" s="524"/>
      <c r="CR129" s="510">
        <f t="shared" si="413"/>
        <v>0</v>
      </c>
      <c r="CS129" s="522"/>
      <c r="CT129" s="524"/>
      <c r="CU129" s="510">
        <f t="shared" si="414"/>
        <v>0</v>
      </c>
      <c r="CV129" s="522"/>
      <c r="CW129" s="524"/>
      <c r="CX129" s="510">
        <f t="shared" si="415"/>
        <v>0</v>
      </c>
      <c r="CY129" s="522"/>
      <c r="CZ129" s="524"/>
      <c r="DA129" s="510">
        <f t="shared" si="416"/>
        <v>0</v>
      </c>
      <c r="DB129" s="522"/>
      <c r="DC129" s="524"/>
      <c r="DD129" s="510">
        <f t="shared" si="417"/>
        <v>0</v>
      </c>
      <c r="DE129" s="522"/>
      <c r="DF129" s="524"/>
      <c r="DG129" s="510">
        <f t="shared" si="428"/>
        <v>0</v>
      </c>
      <c r="DH129" s="1259"/>
      <c r="DI129" s="534"/>
      <c r="DJ129" s="482">
        <f t="shared" si="418"/>
        <v>0</v>
      </c>
      <c r="DK129" s="1262"/>
      <c r="DL129" s="534"/>
      <c r="DM129" s="482">
        <f t="shared" si="419"/>
        <v>0</v>
      </c>
      <c r="DN129" s="1262"/>
      <c r="DO129" s="534"/>
      <c r="DP129" s="482">
        <f t="shared" si="420"/>
        <v>0</v>
      </c>
      <c r="DQ129" s="1262"/>
      <c r="DR129" s="534"/>
      <c r="DS129" s="482">
        <f t="shared" si="370"/>
        <v>0</v>
      </c>
      <c r="DT129" s="1262"/>
      <c r="DU129" s="534"/>
      <c r="DV129" s="482">
        <f t="shared" si="424"/>
        <v>0</v>
      </c>
      <c r="DW129" s="1262"/>
      <c r="DX129" s="534"/>
      <c r="DY129" s="482">
        <f t="shared" si="372"/>
        <v>0</v>
      </c>
      <c r="DZ129" s="1262"/>
      <c r="EA129" s="534"/>
      <c r="EB129" s="482">
        <f t="shared" si="373"/>
        <v>0</v>
      </c>
      <c r="EC129" s="1262"/>
      <c r="ED129" s="534"/>
      <c r="EE129" s="482">
        <f t="shared" si="374"/>
        <v>0</v>
      </c>
      <c r="EF129" s="1262"/>
      <c r="EG129" s="534"/>
      <c r="EH129" s="482">
        <f t="shared" si="375"/>
        <v>0</v>
      </c>
      <c r="EI129" s="1262"/>
      <c r="EJ129" s="534"/>
      <c r="EK129" s="482">
        <f t="shared" si="376"/>
        <v>0</v>
      </c>
      <c r="EL129" s="1262"/>
      <c r="EM129" s="534"/>
      <c r="EN129" s="482">
        <f t="shared" si="377"/>
        <v>0</v>
      </c>
      <c r="EO129" s="1262"/>
      <c r="EP129" s="534"/>
      <c r="EQ129" s="482">
        <f t="shared" si="378"/>
        <v>0</v>
      </c>
      <c r="ER129" s="1262"/>
      <c r="ES129" s="534"/>
      <c r="ET129" s="482">
        <f t="shared" si="425"/>
        <v>0</v>
      </c>
      <c r="EU129" s="1262"/>
      <c r="EV129" s="534"/>
      <c r="EW129" s="482">
        <f t="shared" si="426"/>
        <v>0</v>
      </c>
      <c r="EX129" s="1262"/>
      <c r="EY129" s="534"/>
      <c r="EZ129" s="482">
        <f t="shared" si="427"/>
        <v>0</v>
      </c>
      <c r="FA129" s="1262"/>
      <c r="FE129"/>
      <c r="FF129"/>
      <c r="FG129"/>
      <c r="FH129"/>
      <c r="FI129"/>
      <c r="FJ129"/>
      <c r="FK129" s="35"/>
    </row>
    <row r="130" spans="2:167" s="236" customFormat="1" ht="13.35" hidden="1" customHeight="1" outlineLevel="2">
      <c r="B130" s="242" t="s">
        <v>200</v>
      </c>
      <c r="C130" s="242" t="s">
        <v>496</v>
      </c>
      <c r="D130" s="243"/>
      <c r="E130" s="522"/>
      <c r="F130" s="510">
        <f t="shared" si="383"/>
        <v>0</v>
      </c>
      <c r="G130" s="523"/>
      <c r="H130" s="524"/>
      <c r="I130" s="510">
        <f t="shared" si="384"/>
        <v>0</v>
      </c>
      <c r="J130" s="523"/>
      <c r="K130" s="524"/>
      <c r="L130" s="510">
        <f t="shared" si="385"/>
        <v>0</v>
      </c>
      <c r="M130" s="523"/>
      <c r="N130" s="524"/>
      <c r="O130" s="510">
        <f t="shared" si="386"/>
        <v>0</v>
      </c>
      <c r="P130" s="523"/>
      <c r="Q130" s="524"/>
      <c r="R130" s="510">
        <f t="shared" si="387"/>
        <v>0</v>
      </c>
      <c r="S130" s="523"/>
      <c r="T130" s="524"/>
      <c r="U130" s="510">
        <f t="shared" si="388"/>
        <v>0</v>
      </c>
      <c r="V130" s="523"/>
      <c r="W130" s="524"/>
      <c r="X130" s="510">
        <f t="shared" si="389"/>
        <v>0</v>
      </c>
      <c r="Y130" s="523"/>
      <c r="Z130" s="524"/>
      <c r="AA130" s="510">
        <f t="shared" si="390"/>
        <v>0</v>
      </c>
      <c r="AB130" s="523"/>
      <c r="AC130" s="524"/>
      <c r="AD130" s="510">
        <f t="shared" si="391"/>
        <v>0</v>
      </c>
      <c r="AE130" s="523"/>
      <c r="AF130" s="524"/>
      <c r="AG130" s="510">
        <f t="shared" si="392"/>
        <v>0</v>
      </c>
      <c r="AH130" s="523"/>
      <c r="AI130" s="524"/>
      <c r="AJ130" s="510">
        <f t="shared" si="393"/>
        <v>0</v>
      </c>
      <c r="AK130" s="523"/>
      <c r="AL130" s="524"/>
      <c r="AM130" s="510">
        <f t="shared" si="394"/>
        <v>0</v>
      </c>
      <c r="AN130" s="523"/>
      <c r="AO130" s="524"/>
      <c r="AP130" s="510">
        <f t="shared" si="395"/>
        <v>0</v>
      </c>
      <c r="AQ130" s="523"/>
      <c r="AR130" s="524"/>
      <c r="AS130" s="510">
        <f t="shared" si="396"/>
        <v>0</v>
      </c>
      <c r="AT130" s="523"/>
      <c r="AU130" s="524"/>
      <c r="AV130" s="510">
        <f t="shared" si="397"/>
        <v>0</v>
      </c>
      <c r="AW130" s="523"/>
      <c r="AX130" s="524"/>
      <c r="AY130" s="510">
        <f t="shared" si="398"/>
        <v>0</v>
      </c>
      <c r="AZ130" s="523"/>
      <c r="BA130" s="524"/>
      <c r="BB130" s="510">
        <f t="shared" si="399"/>
        <v>0</v>
      </c>
      <c r="BC130" s="523"/>
      <c r="BD130" s="524"/>
      <c r="BE130" s="510">
        <f t="shared" si="400"/>
        <v>0</v>
      </c>
      <c r="BF130" s="523"/>
      <c r="BG130" s="524"/>
      <c r="BH130" s="510">
        <f t="shared" si="401"/>
        <v>0</v>
      </c>
      <c r="BI130" s="523"/>
      <c r="BJ130" s="524"/>
      <c r="BK130" s="510">
        <f t="shared" si="402"/>
        <v>0</v>
      </c>
      <c r="BL130" s="523"/>
      <c r="BM130" s="524"/>
      <c r="BN130" s="510">
        <f t="shared" si="403"/>
        <v>0</v>
      </c>
      <c r="BO130" s="522"/>
      <c r="BP130" s="524"/>
      <c r="BQ130" s="510">
        <f t="shared" si="404"/>
        <v>0</v>
      </c>
      <c r="BR130" s="522"/>
      <c r="BS130" s="524"/>
      <c r="BT130" s="510">
        <f t="shared" si="405"/>
        <v>0</v>
      </c>
      <c r="BU130" s="522"/>
      <c r="BV130" s="524"/>
      <c r="BW130" s="510">
        <f t="shared" si="406"/>
        <v>0</v>
      </c>
      <c r="BX130" s="522"/>
      <c r="BY130" s="524"/>
      <c r="BZ130" s="510">
        <f t="shared" si="407"/>
        <v>0</v>
      </c>
      <c r="CA130" s="522"/>
      <c r="CB130" s="524"/>
      <c r="CC130" s="510">
        <f t="shared" si="408"/>
        <v>0</v>
      </c>
      <c r="CD130" s="522"/>
      <c r="CE130" s="524"/>
      <c r="CF130" s="510">
        <f t="shared" si="409"/>
        <v>0</v>
      </c>
      <c r="CG130" s="522"/>
      <c r="CH130" s="524"/>
      <c r="CI130" s="510">
        <f t="shared" si="410"/>
        <v>0</v>
      </c>
      <c r="CJ130" s="522"/>
      <c r="CK130" s="524"/>
      <c r="CL130" s="510">
        <f t="shared" si="411"/>
        <v>0</v>
      </c>
      <c r="CM130" s="522"/>
      <c r="CN130" s="524"/>
      <c r="CO130" s="510">
        <f t="shared" si="412"/>
        <v>0</v>
      </c>
      <c r="CP130" s="522"/>
      <c r="CQ130" s="524"/>
      <c r="CR130" s="510">
        <f t="shared" si="413"/>
        <v>0</v>
      </c>
      <c r="CS130" s="522"/>
      <c r="CT130" s="524"/>
      <c r="CU130" s="510">
        <f t="shared" si="414"/>
        <v>0</v>
      </c>
      <c r="CV130" s="522"/>
      <c r="CW130" s="524"/>
      <c r="CX130" s="510">
        <f t="shared" si="415"/>
        <v>0</v>
      </c>
      <c r="CY130" s="522"/>
      <c r="CZ130" s="524"/>
      <c r="DA130" s="510">
        <f t="shared" si="416"/>
        <v>0</v>
      </c>
      <c r="DB130" s="522"/>
      <c r="DC130" s="524"/>
      <c r="DD130" s="510">
        <f t="shared" si="417"/>
        <v>0</v>
      </c>
      <c r="DE130" s="522"/>
      <c r="DF130" s="524"/>
      <c r="DG130" s="510">
        <f t="shared" si="428"/>
        <v>0</v>
      </c>
      <c r="DH130" s="1259"/>
      <c r="DI130" s="534"/>
      <c r="DJ130" s="482">
        <f t="shared" si="418"/>
        <v>0</v>
      </c>
      <c r="DK130" s="1262"/>
      <c r="DL130" s="534"/>
      <c r="DM130" s="482">
        <f t="shared" si="419"/>
        <v>0</v>
      </c>
      <c r="DN130" s="1262"/>
      <c r="DO130" s="534"/>
      <c r="DP130" s="482">
        <f t="shared" si="420"/>
        <v>0</v>
      </c>
      <c r="DQ130" s="1262"/>
      <c r="DR130" s="534"/>
      <c r="DS130" s="482">
        <f t="shared" si="370"/>
        <v>0</v>
      </c>
      <c r="DT130" s="1262"/>
      <c r="DU130" s="534"/>
      <c r="DV130" s="482">
        <f t="shared" si="424"/>
        <v>0</v>
      </c>
      <c r="DW130" s="1262"/>
      <c r="DX130" s="534"/>
      <c r="DY130" s="482">
        <f t="shared" si="372"/>
        <v>0</v>
      </c>
      <c r="DZ130" s="1262"/>
      <c r="EA130" s="534"/>
      <c r="EB130" s="482">
        <f t="shared" si="373"/>
        <v>0</v>
      </c>
      <c r="EC130" s="1262"/>
      <c r="ED130" s="534"/>
      <c r="EE130" s="482">
        <f t="shared" si="374"/>
        <v>0</v>
      </c>
      <c r="EF130" s="1262"/>
      <c r="EG130" s="534"/>
      <c r="EH130" s="482">
        <f t="shared" si="375"/>
        <v>0</v>
      </c>
      <c r="EI130" s="1262"/>
      <c r="EJ130" s="534"/>
      <c r="EK130" s="482">
        <f t="shared" si="376"/>
        <v>0</v>
      </c>
      <c r="EL130" s="1262"/>
      <c r="EM130" s="534"/>
      <c r="EN130" s="482">
        <f t="shared" si="377"/>
        <v>0</v>
      </c>
      <c r="EO130" s="1262"/>
      <c r="EP130" s="534"/>
      <c r="EQ130" s="482">
        <f t="shared" si="378"/>
        <v>0</v>
      </c>
      <c r="ER130" s="1262"/>
      <c r="ES130" s="534"/>
      <c r="ET130" s="482">
        <f t="shared" si="425"/>
        <v>0</v>
      </c>
      <c r="EU130" s="1262"/>
      <c r="EV130" s="534"/>
      <c r="EW130" s="482">
        <f t="shared" si="426"/>
        <v>0</v>
      </c>
      <c r="EX130" s="1262"/>
      <c r="EY130" s="534"/>
      <c r="EZ130" s="482">
        <f t="shared" si="427"/>
        <v>0</v>
      </c>
      <c r="FA130" s="1262"/>
      <c r="FE130"/>
      <c r="FF130"/>
      <c r="FG130"/>
      <c r="FH130"/>
      <c r="FI130"/>
      <c r="FJ130"/>
      <c r="FK130" s="35"/>
    </row>
    <row r="131" spans="2:167" s="236" customFormat="1" ht="13.35" hidden="1" customHeight="1" outlineLevel="2">
      <c r="B131" s="242" t="s">
        <v>47</v>
      </c>
      <c r="C131" s="242" t="s">
        <v>496</v>
      </c>
      <c r="D131" s="243"/>
      <c r="E131" s="522"/>
      <c r="F131" s="510">
        <f t="shared" si="383"/>
        <v>0</v>
      </c>
      <c r="G131" s="523"/>
      <c r="H131" s="524"/>
      <c r="I131" s="510">
        <f t="shared" si="384"/>
        <v>0</v>
      </c>
      <c r="J131" s="523"/>
      <c r="K131" s="524"/>
      <c r="L131" s="510">
        <f t="shared" si="385"/>
        <v>0</v>
      </c>
      <c r="M131" s="523"/>
      <c r="N131" s="524"/>
      <c r="O131" s="510">
        <f t="shared" si="386"/>
        <v>0</v>
      </c>
      <c r="P131" s="523"/>
      <c r="Q131" s="524"/>
      <c r="R131" s="510">
        <f t="shared" si="387"/>
        <v>0</v>
      </c>
      <c r="S131" s="523"/>
      <c r="T131" s="524"/>
      <c r="U131" s="510">
        <f t="shared" si="388"/>
        <v>0</v>
      </c>
      <c r="V131" s="523"/>
      <c r="W131" s="524"/>
      <c r="X131" s="510">
        <f t="shared" si="389"/>
        <v>0</v>
      </c>
      <c r="Y131" s="523"/>
      <c r="Z131" s="524"/>
      <c r="AA131" s="510">
        <f t="shared" si="390"/>
        <v>0</v>
      </c>
      <c r="AB131" s="523"/>
      <c r="AC131" s="524"/>
      <c r="AD131" s="510">
        <f t="shared" si="391"/>
        <v>0</v>
      </c>
      <c r="AE131" s="523"/>
      <c r="AF131" s="524"/>
      <c r="AG131" s="510">
        <f t="shared" si="392"/>
        <v>0</v>
      </c>
      <c r="AH131" s="523"/>
      <c r="AI131" s="524"/>
      <c r="AJ131" s="510">
        <f t="shared" si="393"/>
        <v>0</v>
      </c>
      <c r="AK131" s="523"/>
      <c r="AL131" s="524"/>
      <c r="AM131" s="510">
        <f t="shared" si="394"/>
        <v>0</v>
      </c>
      <c r="AN131" s="523"/>
      <c r="AO131" s="524"/>
      <c r="AP131" s="510">
        <f t="shared" si="395"/>
        <v>0</v>
      </c>
      <c r="AQ131" s="523"/>
      <c r="AR131" s="524"/>
      <c r="AS131" s="510">
        <f t="shared" si="396"/>
        <v>0</v>
      </c>
      <c r="AT131" s="523"/>
      <c r="AU131" s="524"/>
      <c r="AV131" s="510">
        <f t="shared" si="397"/>
        <v>0</v>
      </c>
      <c r="AW131" s="523"/>
      <c r="AX131" s="524"/>
      <c r="AY131" s="510">
        <f t="shared" si="398"/>
        <v>0</v>
      </c>
      <c r="AZ131" s="523"/>
      <c r="BA131" s="524"/>
      <c r="BB131" s="510">
        <f t="shared" si="399"/>
        <v>0</v>
      </c>
      <c r="BC131" s="523"/>
      <c r="BD131" s="524"/>
      <c r="BE131" s="510">
        <f t="shared" si="400"/>
        <v>0</v>
      </c>
      <c r="BF131" s="523"/>
      <c r="BG131" s="524"/>
      <c r="BH131" s="510">
        <f t="shared" si="401"/>
        <v>0</v>
      </c>
      <c r="BI131" s="523"/>
      <c r="BJ131" s="524"/>
      <c r="BK131" s="510">
        <f t="shared" si="402"/>
        <v>0</v>
      </c>
      <c r="BL131" s="523"/>
      <c r="BM131" s="524"/>
      <c r="BN131" s="510">
        <f t="shared" si="403"/>
        <v>0</v>
      </c>
      <c r="BO131" s="522"/>
      <c r="BP131" s="524"/>
      <c r="BQ131" s="510">
        <f t="shared" si="404"/>
        <v>0</v>
      </c>
      <c r="BR131" s="522"/>
      <c r="BS131" s="524"/>
      <c r="BT131" s="510">
        <f t="shared" si="405"/>
        <v>0</v>
      </c>
      <c r="BU131" s="522"/>
      <c r="BV131" s="524"/>
      <c r="BW131" s="510">
        <f t="shared" si="406"/>
        <v>0</v>
      </c>
      <c r="BX131" s="522"/>
      <c r="BY131" s="524"/>
      <c r="BZ131" s="510">
        <f t="shared" si="407"/>
        <v>0</v>
      </c>
      <c r="CA131" s="522"/>
      <c r="CB131" s="524"/>
      <c r="CC131" s="510">
        <f t="shared" si="408"/>
        <v>0</v>
      </c>
      <c r="CD131" s="522"/>
      <c r="CE131" s="524"/>
      <c r="CF131" s="510">
        <f t="shared" si="409"/>
        <v>0</v>
      </c>
      <c r="CG131" s="522"/>
      <c r="CH131" s="524"/>
      <c r="CI131" s="510">
        <f t="shared" si="410"/>
        <v>0</v>
      </c>
      <c r="CJ131" s="522"/>
      <c r="CK131" s="524"/>
      <c r="CL131" s="510">
        <f t="shared" si="411"/>
        <v>0</v>
      </c>
      <c r="CM131" s="522"/>
      <c r="CN131" s="524"/>
      <c r="CO131" s="510">
        <f t="shared" si="412"/>
        <v>0</v>
      </c>
      <c r="CP131" s="522"/>
      <c r="CQ131" s="524"/>
      <c r="CR131" s="510">
        <f t="shared" si="413"/>
        <v>0</v>
      </c>
      <c r="CS131" s="522"/>
      <c r="CT131" s="524"/>
      <c r="CU131" s="510">
        <f t="shared" si="414"/>
        <v>0</v>
      </c>
      <c r="CV131" s="522"/>
      <c r="CW131" s="524"/>
      <c r="CX131" s="510">
        <f t="shared" si="415"/>
        <v>0</v>
      </c>
      <c r="CY131" s="522"/>
      <c r="CZ131" s="524"/>
      <c r="DA131" s="510">
        <f t="shared" si="416"/>
        <v>0</v>
      </c>
      <c r="DB131" s="522"/>
      <c r="DC131" s="524"/>
      <c r="DD131" s="510">
        <f t="shared" si="417"/>
        <v>0</v>
      </c>
      <c r="DE131" s="522"/>
      <c r="DF131" s="524"/>
      <c r="DG131" s="510">
        <f t="shared" si="428"/>
        <v>0</v>
      </c>
      <c r="DH131" s="1259"/>
      <c r="DI131" s="534"/>
      <c r="DJ131" s="482">
        <f t="shared" si="418"/>
        <v>0</v>
      </c>
      <c r="DK131" s="1262"/>
      <c r="DL131" s="534"/>
      <c r="DM131" s="482">
        <f t="shared" si="419"/>
        <v>0</v>
      </c>
      <c r="DN131" s="1262"/>
      <c r="DO131" s="534"/>
      <c r="DP131" s="482">
        <f t="shared" si="420"/>
        <v>0</v>
      </c>
      <c r="DQ131" s="1262"/>
      <c r="DR131" s="534"/>
      <c r="DS131" s="482">
        <f t="shared" si="370"/>
        <v>0</v>
      </c>
      <c r="DT131" s="1262"/>
      <c r="DU131" s="534"/>
      <c r="DV131" s="482">
        <f t="shared" si="424"/>
        <v>0</v>
      </c>
      <c r="DW131" s="1262"/>
      <c r="DX131" s="534"/>
      <c r="DY131" s="482">
        <f t="shared" si="372"/>
        <v>0</v>
      </c>
      <c r="DZ131" s="1262"/>
      <c r="EA131" s="534"/>
      <c r="EB131" s="482">
        <f t="shared" si="373"/>
        <v>0</v>
      </c>
      <c r="EC131" s="1262"/>
      <c r="ED131" s="534"/>
      <c r="EE131" s="482">
        <f t="shared" si="374"/>
        <v>0</v>
      </c>
      <c r="EF131" s="1262"/>
      <c r="EG131" s="534"/>
      <c r="EH131" s="482">
        <f t="shared" si="375"/>
        <v>0</v>
      </c>
      <c r="EI131" s="1262"/>
      <c r="EJ131" s="534"/>
      <c r="EK131" s="482">
        <f t="shared" si="376"/>
        <v>0</v>
      </c>
      <c r="EL131" s="1262"/>
      <c r="EM131" s="534"/>
      <c r="EN131" s="482">
        <f t="shared" si="377"/>
        <v>0</v>
      </c>
      <c r="EO131" s="1262"/>
      <c r="EP131" s="534"/>
      <c r="EQ131" s="482">
        <f t="shared" si="378"/>
        <v>0</v>
      </c>
      <c r="ER131" s="1262"/>
      <c r="ES131" s="534"/>
      <c r="ET131" s="482">
        <f t="shared" si="425"/>
        <v>0</v>
      </c>
      <c r="EU131" s="1262"/>
      <c r="EV131" s="534"/>
      <c r="EW131" s="482">
        <f t="shared" si="426"/>
        <v>0</v>
      </c>
      <c r="EX131" s="1262"/>
      <c r="EY131" s="534"/>
      <c r="EZ131" s="482">
        <f t="shared" si="427"/>
        <v>0</v>
      </c>
      <c r="FA131" s="1262"/>
      <c r="FE131"/>
      <c r="FF131"/>
      <c r="FG131"/>
      <c r="FH131"/>
      <c r="FI131"/>
      <c r="FJ131"/>
      <c r="FK131" s="35"/>
    </row>
    <row r="132" spans="2:167" s="236" customFormat="1" ht="13.35" hidden="1" customHeight="1" outlineLevel="2">
      <c r="B132" s="242" t="s">
        <v>201</v>
      </c>
      <c r="C132" s="242" t="s">
        <v>496</v>
      </c>
      <c r="D132" s="243"/>
      <c r="E132" s="522"/>
      <c r="F132" s="510">
        <f t="shared" si="383"/>
        <v>0</v>
      </c>
      <c r="G132" s="523"/>
      <c r="H132" s="524"/>
      <c r="I132" s="510">
        <f t="shared" si="384"/>
        <v>0</v>
      </c>
      <c r="J132" s="523"/>
      <c r="K132" s="524"/>
      <c r="L132" s="510">
        <f t="shared" si="385"/>
        <v>0</v>
      </c>
      <c r="M132" s="523"/>
      <c r="N132" s="524"/>
      <c r="O132" s="510">
        <f t="shared" si="386"/>
        <v>0</v>
      </c>
      <c r="P132" s="523"/>
      <c r="Q132" s="524"/>
      <c r="R132" s="510">
        <f t="shared" si="387"/>
        <v>0</v>
      </c>
      <c r="S132" s="523"/>
      <c r="T132" s="524"/>
      <c r="U132" s="510">
        <f t="shared" si="388"/>
        <v>0</v>
      </c>
      <c r="V132" s="523"/>
      <c r="W132" s="524"/>
      <c r="X132" s="510">
        <f t="shared" si="389"/>
        <v>0</v>
      </c>
      <c r="Y132" s="523"/>
      <c r="Z132" s="524"/>
      <c r="AA132" s="510">
        <f t="shared" si="390"/>
        <v>0</v>
      </c>
      <c r="AB132" s="523"/>
      <c r="AC132" s="524"/>
      <c r="AD132" s="510">
        <f t="shared" si="391"/>
        <v>0</v>
      </c>
      <c r="AE132" s="523"/>
      <c r="AF132" s="524"/>
      <c r="AG132" s="510">
        <f t="shared" si="392"/>
        <v>0</v>
      </c>
      <c r="AH132" s="523"/>
      <c r="AI132" s="524"/>
      <c r="AJ132" s="510">
        <f t="shared" si="393"/>
        <v>0</v>
      </c>
      <c r="AK132" s="523"/>
      <c r="AL132" s="524"/>
      <c r="AM132" s="510">
        <f t="shared" si="394"/>
        <v>0</v>
      </c>
      <c r="AN132" s="523"/>
      <c r="AO132" s="524"/>
      <c r="AP132" s="510">
        <f t="shared" si="395"/>
        <v>0</v>
      </c>
      <c r="AQ132" s="523"/>
      <c r="AR132" s="524"/>
      <c r="AS132" s="510">
        <f t="shared" si="396"/>
        <v>0</v>
      </c>
      <c r="AT132" s="523"/>
      <c r="AU132" s="524"/>
      <c r="AV132" s="510">
        <f t="shared" si="397"/>
        <v>0</v>
      </c>
      <c r="AW132" s="523"/>
      <c r="AX132" s="524"/>
      <c r="AY132" s="510">
        <f t="shared" si="398"/>
        <v>0</v>
      </c>
      <c r="AZ132" s="523"/>
      <c r="BA132" s="524"/>
      <c r="BB132" s="510">
        <f t="shared" si="399"/>
        <v>0</v>
      </c>
      <c r="BC132" s="523"/>
      <c r="BD132" s="524"/>
      <c r="BE132" s="510">
        <f t="shared" si="400"/>
        <v>0</v>
      </c>
      <c r="BF132" s="523"/>
      <c r="BG132" s="524"/>
      <c r="BH132" s="510">
        <f t="shared" si="401"/>
        <v>0</v>
      </c>
      <c r="BI132" s="523"/>
      <c r="BJ132" s="524"/>
      <c r="BK132" s="510">
        <f t="shared" si="402"/>
        <v>0</v>
      </c>
      <c r="BL132" s="523"/>
      <c r="BM132" s="524"/>
      <c r="BN132" s="510">
        <f t="shared" si="403"/>
        <v>0</v>
      </c>
      <c r="BO132" s="522"/>
      <c r="BP132" s="524"/>
      <c r="BQ132" s="510">
        <f t="shared" si="404"/>
        <v>0</v>
      </c>
      <c r="BR132" s="522"/>
      <c r="BS132" s="524"/>
      <c r="BT132" s="510">
        <f t="shared" si="405"/>
        <v>0</v>
      </c>
      <c r="BU132" s="522"/>
      <c r="BV132" s="524"/>
      <c r="BW132" s="510">
        <f t="shared" si="406"/>
        <v>0</v>
      </c>
      <c r="BX132" s="522"/>
      <c r="BY132" s="524"/>
      <c r="BZ132" s="510">
        <f t="shared" si="407"/>
        <v>0</v>
      </c>
      <c r="CA132" s="522"/>
      <c r="CB132" s="524"/>
      <c r="CC132" s="510">
        <f t="shared" si="408"/>
        <v>0</v>
      </c>
      <c r="CD132" s="522"/>
      <c r="CE132" s="524"/>
      <c r="CF132" s="510">
        <f t="shared" si="409"/>
        <v>0</v>
      </c>
      <c r="CG132" s="522"/>
      <c r="CH132" s="524"/>
      <c r="CI132" s="510">
        <f t="shared" si="410"/>
        <v>0</v>
      </c>
      <c r="CJ132" s="522"/>
      <c r="CK132" s="524"/>
      <c r="CL132" s="510">
        <f t="shared" si="411"/>
        <v>0</v>
      </c>
      <c r="CM132" s="522"/>
      <c r="CN132" s="524"/>
      <c r="CO132" s="510">
        <f t="shared" si="412"/>
        <v>0</v>
      </c>
      <c r="CP132" s="522"/>
      <c r="CQ132" s="524"/>
      <c r="CR132" s="510">
        <f t="shared" si="413"/>
        <v>0</v>
      </c>
      <c r="CS132" s="522"/>
      <c r="CT132" s="524"/>
      <c r="CU132" s="510">
        <f t="shared" si="414"/>
        <v>0</v>
      </c>
      <c r="CV132" s="522"/>
      <c r="CW132" s="524"/>
      <c r="CX132" s="510">
        <f t="shared" si="415"/>
        <v>0</v>
      </c>
      <c r="CY132" s="522"/>
      <c r="CZ132" s="524"/>
      <c r="DA132" s="510">
        <f t="shared" si="416"/>
        <v>0</v>
      </c>
      <c r="DB132" s="522"/>
      <c r="DC132" s="524"/>
      <c r="DD132" s="510">
        <f t="shared" si="417"/>
        <v>0</v>
      </c>
      <c r="DE132" s="522"/>
      <c r="DF132" s="524"/>
      <c r="DG132" s="510">
        <f t="shared" si="428"/>
        <v>0</v>
      </c>
      <c r="DH132" s="1259"/>
      <c r="DI132" s="534"/>
      <c r="DJ132" s="482">
        <f t="shared" si="418"/>
        <v>0</v>
      </c>
      <c r="DK132" s="1262"/>
      <c r="DL132" s="534"/>
      <c r="DM132" s="482">
        <f t="shared" si="419"/>
        <v>0</v>
      </c>
      <c r="DN132" s="1262"/>
      <c r="DO132" s="534"/>
      <c r="DP132" s="482">
        <f t="shared" si="420"/>
        <v>0</v>
      </c>
      <c r="DQ132" s="1262"/>
      <c r="DR132" s="534"/>
      <c r="DS132" s="482">
        <f t="shared" si="370"/>
        <v>0</v>
      </c>
      <c r="DT132" s="1262"/>
      <c r="DU132" s="534"/>
      <c r="DV132" s="482">
        <f t="shared" si="424"/>
        <v>0</v>
      </c>
      <c r="DW132" s="1262"/>
      <c r="DX132" s="534"/>
      <c r="DY132" s="482">
        <f t="shared" si="372"/>
        <v>0</v>
      </c>
      <c r="DZ132" s="1262"/>
      <c r="EA132" s="534"/>
      <c r="EB132" s="482">
        <f t="shared" si="373"/>
        <v>0</v>
      </c>
      <c r="EC132" s="1262"/>
      <c r="ED132" s="534"/>
      <c r="EE132" s="482">
        <f t="shared" si="374"/>
        <v>0</v>
      </c>
      <c r="EF132" s="1262"/>
      <c r="EG132" s="534"/>
      <c r="EH132" s="482">
        <f t="shared" si="375"/>
        <v>0</v>
      </c>
      <c r="EI132" s="1262"/>
      <c r="EJ132" s="534"/>
      <c r="EK132" s="482">
        <f t="shared" si="376"/>
        <v>0</v>
      </c>
      <c r="EL132" s="1262"/>
      <c r="EM132" s="534"/>
      <c r="EN132" s="482">
        <f t="shared" si="377"/>
        <v>0</v>
      </c>
      <c r="EO132" s="1262"/>
      <c r="EP132" s="534"/>
      <c r="EQ132" s="482">
        <f t="shared" si="378"/>
        <v>0</v>
      </c>
      <c r="ER132" s="1262"/>
      <c r="ES132" s="534"/>
      <c r="ET132" s="482">
        <f t="shared" si="425"/>
        <v>0</v>
      </c>
      <c r="EU132" s="1262"/>
      <c r="EV132" s="534"/>
      <c r="EW132" s="482">
        <f t="shared" si="426"/>
        <v>0</v>
      </c>
      <c r="EX132" s="1262"/>
      <c r="EY132" s="534"/>
      <c r="EZ132" s="482">
        <f t="shared" si="427"/>
        <v>0</v>
      </c>
      <c r="FA132" s="1262"/>
      <c r="FE132"/>
      <c r="FF132"/>
      <c r="FG132"/>
      <c r="FH132"/>
      <c r="FI132"/>
      <c r="FJ132"/>
      <c r="FK132" s="35"/>
    </row>
    <row r="133" spans="2:167" s="236" customFormat="1" ht="13.35" hidden="1" customHeight="1" outlineLevel="2">
      <c r="B133" s="242" t="s">
        <v>47</v>
      </c>
      <c r="C133" s="242" t="s">
        <v>496</v>
      </c>
      <c r="D133" s="243"/>
      <c r="E133" s="522"/>
      <c r="F133" s="510">
        <f t="shared" si="383"/>
        <v>0</v>
      </c>
      <c r="G133" s="523"/>
      <c r="H133" s="524"/>
      <c r="I133" s="510">
        <f t="shared" si="384"/>
        <v>0</v>
      </c>
      <c r="J133" s="523"/>
      <c r="K133" s="524"/>
      <c r="L133" s="510">
        <f t="shared" si="385"/>
        <v>0</v>
      </c>
      <c r="M133" s="523"/>
      <c r="N133" s="524"/>
      <c r="O133" s="510">
        <f t="shared" si="386"/>
        <v>0</v>
      </c>
      <c r="P133" s="523"/>
      <c r="Q133" s="524"/>
      <c r="R133" s="510">
        <f t="shared" si="387"/>
        <v>0</v>
      </c>
      <c r="S133" s="523"/>
      <c r="T133" s="524"/>
      <c r="U133" s="510">
        <f t="shared" si="388"/>
        <v>0</v>
      </c>
      <c r="V133" s="523"/>
      <c r="W133" s="524"/>
      <c r="X133" s="510">
        <f t="shared" si="389"/>
        <v>0</v>
      </c>
      <c r="Y133" s="523"/>
      <c r="Z133" s="524"/>
      <c r="AA133" s="510">
        <f t="shared" si="390"/>
        <v>0</v>
      </c>
      <c r="AB133" s="523"/>
      <c r="AC133" s="524"/>
      <c r="AD133" s="510">
        <f t="shared" si="391"/>
        <v>0</v>
      </c>
      <c r="AE133" s="523"/>
      <c r="AF133" s="524"/>
      <c r="AG133" s="510">
        <f t="shared" si="392"/>
        <v>0</v>
      </c>
      <c r="AH133" s="523"/>
      <c r="AI133" s="524"/>
      <c r="AJ133" s="510">
        <f t="shared" si="393"/>
        <v>0</v>
      </c>
      <c r="AK133" s="523"/>
      <c r="AL133" s="524"/>
      <c r="AM133" s="510">
        <f t="shared" si="394"/>
        <v>0</v>
      </c>
      <c r="AN133" s="523"/>
      <c r="AO133" s="524"/>
      <c r="AP133" s="510">
        <f t="shared" si="395"/>
        <v>0</v>
      </c>
      <c r="AQ133" s="523"/>
      <c r="AR133" s="524"/>
      <c r="AS133" s="510">
        <f t="shared" si="396"/>
        <v>0</v>
      </c>
      <c r="AT133" s="523"/>
      <c r="AU133" s="524"/>
      <c r="AV133" s="510">
        <f t="shared" si="397"/>
        <v>0</v>
      </c>
      <c r="AW133" s="523"/>
      <c r="AX133" s="524"/>
      <c r="AY133" s="510">
        <f t="shared" si="398"/>
        <v>0</v>
      </c>
      <c r="AZ133" s="523"/>
      <c r="BA133" s="524"/>
      <c r="BB133" s="510">
        <f t="shared" si="399"/>
        <v>0</v>
      </c>
      <c r="BC133" s="523"/>
      <c r="BD133" s="524"/>
      <c r="BE133" s="510">
        <f t="shared" si="400"/>
        <v>0</v>
      </c>
      <c r="BF133" s="523"/>
      <c r="BG133" s="524"/>
      <c r="BH133" s="510">
        <f t="shared" si="401"/>
        <v>0</v>
      </c>
      <c r="BI133" s="523"/>
      <c r="BJ133" s="524"/>
      <c r="BK133" s="510">
        <f t="shared" si="402"/>
        <v>0</v>
      </c>
      <c r="BL133" s="523"/>
      <c r="BM133" s="524"/>
      <c r="BN133" s="510">
        <f t="shared" si="403"/>
        <v>0</v>
      </c>
      <c r="BO133" s="522"/>
      <c r="BP133" s="524"/>
      <c r="BQ133" s="510">
        <f t="shared" si="404"/>
        <v>0</v>
      </c>
      <c r="BR133" s="522"/>
      <c r="BS133" s="524"/>
      <c r="BT133" s="510">
        <f t="shared" si="405"/>
        <v>0</v>
      </c>
      <c r="BU133" s="522"/>
      <c r="BV133" s="524"/>
      <c r="BW133" s="510">
        <f t="shared" si="406"/>
        <v>0</v>
      </c>
      <c r="BX133" s="522"/>
      <c r="BY133" s="524"/>
      <c r="BZ133" s="510">
        <f t="shared" si="407"/>
        <v>0</v>
      </c>
      <c r="CA133" s="522"/>
      <c r="CB133" s="524"/>
      <c r="CC133" s="510">
        <f t="shared" si="408"/>
        <v>0</v>
      </c>
      <c r="CD133" s="522"/>
      <c r="CE133" s="524"/>
      <c r="CF133" s="510">
        <f t="shared" si="409"/>
        <v>0</v>
      </c>
      <c r="CG133" s="522"/>
      <c r="CH133" s="524"/>
      <c r="CI133" s="510">
        <f t="shared" si="410"/>
        <v>0</v>
      </c>
      <c r="CJ133" s="522"/>
      <c r="CK133" s="524"/>
      <c r="CL133" s="510">
        <f t="shared" si="411"/>
        <v>0</v>
      </c>
      <c r="CM133" s="522"/>
      <c r="CN133" s="524"/>
      <c r="CO133" s="510">
        <f t="shared" si="412"/>
        <v>0</v>
      </c>
      <c r="CP133" s="522"/>
      <c r="CQ133" s="524"/>
      <c r="CR133" s="510">
        <f t="shared" si="413"/>
        <v>0</v>
      </c>
      <c r="CS133" s="522"/>
      <c r="CT133" s="524"/>
      <c r="CU133" s="510">
        <f t="shared" si="414"/>
        <v>0</v>
      </c>
      <c r="CV133" s="522"/>
      <c r="CW133" s="524"/>
      <c r="CX133" s="510">
        <f t="shared" si="415"/>
        <v>0</v>
      </c>
      <c r="CY133" s="522"/>
      <c r="CZ133" s="524"/>
      <c r="DA133" s="510">
        <f t="shared" si="416"/>
        <v>0</v>
      </c>
      <c r="DB133" s="522"/>
      <c r="DC133" s="524"/>
      <c r="DD133" s="510">
        <f t="shared" si="417"/>
        <v>0</v>
      </c>
      <c r="DE133" s="522"/>
      <c r="DF133" s="524"/>
      <c r="DG133" s="510">
        <f t="shared" si="428"/>
        <v>0</v>
      </c>
      <c r="DH133" s="1259"/>
      <c r="DI133" s="534"/>
      <c r="DJ133" s="482">
        <f t="shared" si="418"/>
        <v>0</v>
      </c>
      <c r="DK133" s="1262"/>
      <c r="DL133" s="534"/>
      <c r="DM133" s="482">
        <f t="shared" si="419"/>
        <v>0</v>
      </c>
      <c r="DN133" s="1262"/>
      <c r="DO133" s="534"/>
      <c r="DP133" s="482">
        <f t="shared" si="420"/>
        <v>0</v>
      </c>
      <c r="DQ133" s="1262"/>
      <c r="DR133" s="534"/>
      <c r="DS133" s="482">
        <f t="shared" si="370"/>
        <v>0</v>
      </c>
      <c r="DT133" s="1262"/>
      <c r="DU133" s="534"/>
      <c r="DV133" s="482">
        <f t="shared" si="424"/>
        <v>0</v>
      </c>
      <c r="DW133" s="1262"/>
      <c r="DX133" s="534"/>
      <c r="DY133" s="482">
        <f t="shared" si="372"/>
        <v>0</v>
      </c>
      <c r="DZ133" s="1262"/>
      <c r="EA133" s="534"/>
      <c r="EB133" s="482">
        <f t="shared" si="373"/>
        <v>0</v>
      </c>
      <c r="EC133" s="1262"/>
      <c r="ED133" s="534"/>
      <c r="EE133" s="482">
        <f t="shared" si="374"/>
        <v>0</v>
      </c>
      <c r="EF133" s="1262"/>
      <c r="EG133" s="534"/>
      <c r="EH133" s="482">
        <f t="shared" si="375"/>
        <v>0</v>
      </c>
      <c r="EI133" s="1262"/>
      <c r="EJ133" s="534"/>
      <c r="EK133" s="482">
        <f t="shared" si="376"/>
        <v>0</v>
      </c>
      <c r="EL133" s="1262"/>
      <c r="EM133" s="534"/>
      <c r="EN133" s="482">
        <f t="shared" si="377"/>
        <v>0</v>
      </c>
      <c r="EO133" s="1262"/>
      <c r="EP133" s="534"/>
      <c r="EQ133" s="482">
        <f t="shared" si="378"/>
        <v>0</v>
      </c>
      <c r="ER133" s="1262"/>
      <c r="ES133" s="534"/>
      <c r="ET133" s="482">
        <f t="shared" si="425"/>
        <v>0</v>
      </c>
      <c r="EU133" s="1262"/>
      <c r="EV133" s="534"/>
      <c r="EW133" s="482">
        <f t="shared" si="426"/>
        <v>0</v>
      </c>
      <c r="EX133" s="1262"/>
      <c r="EY133" s="534"/>
      <c r="EZ133" s="482">
        <f t="shared" si="427"/>
        <v>0</v>
      </c>
      <c r="FA133" s="1262"/>
      <c r="FE133"/>
      <c r="FF133"/>
      <c r="FG133"/>
      <c r="FH133"/>
      <c r="FI133"/>
      <c r="FJ133"/>
      <c r="FK133" s="35"/>
    </row>
    <row r="134" spans="2:167" s="236" customFormat="1" ht="13.35" hidden="1" customHeight="1" outlineLevel="2">
      <c r="B134" s="242" t="s">
        <v>202</v>
      </c>
      <c r="C134" s="242" t="s">
        <v>496</v>
      </c>
      <c r="D134" s="243"/>
      <c r="E134" s="522"/>
      <c r="F134" s="510">
        <f t="shared" si="383"/>
        <v>0</v>
      </c>
      <c r="G134" s="523"/>
      <c r="H134" s="524"/>
      <c r="I134" s="510">
        <f t="shared" si="384"/>
        <v>0</v>
      </c>
      <c r="J134" s="523"/>
      <c r="K134" s="524"/>
      <c r="L134" s="510">
        <f t="shared" si="385"/>
        <v>0</v>
      </c>
      <c r="M134" s="523"/>
      <c r="N134" s="524"/>
      <c r="O134" s="510">
        <f t="shared" si="386"/>
        <v>0</v>
      </c>
      <c r="P134" s="523"/>
      <c r="Q134" s="524"/>
      <c r="R134" s="510">
        <f t="shared" si="387"/>
        <v>0</v>
      </c>
      <c r="S134" s="523"/>
      <c r="T134" s="524"/>
      <c r="U134" s="510">
        <f t="shared" si="388"/>
        <v>0</v>
      </c>
      <c r="V134" s="523"/>
      <c r="W134" s="524"/>
      <c r="X134" s="510">
        <f t="shared" si="389"/>
        <v>0</v>
      </c>
      <c r="Y134" s="523"/>
      <c r="Z134" s="524"/>
      <c r="AA134" s="510">
        <f t="shared" si="390"/>
        <v>0</v>
      </c>
      <c r="AB134" s="523"/>
      <c r="AC134" s="524"/>
      <c r="AD134" s="510">
        <f t="shared" si="391"/>
        <v>0</v>
      </c>
      <c r="AE134" s="523"/>
      <c r="AF134" s="524"/>
      <c r="AG134" s="510">
        <f t="shared" si="392"/>
        <v>0</v>
      </c>
      <c r="AH134" s="523"/>
      <c r="AI134" s="524"/>
      <c r="AJ134" s="510">
        <f t="shared" si="393"/>
        <v>0</v>
      </c>
      <c r="AK134" s="523"/>
      <c r="AL134" s="524"/>
      <c r="AM134" s="510">
        <f t="shared" si="394"/>
        <v>0</v>
      </c>
      <c r="AN134" s="523"/>
      <c r="AO134" s="524"/>
      <c r="AP134" s="510">
        <f t="shared" si="395"/>
        <v>0</v>
      </c>
      <c r="AQ134" s="523"/>
      <c r="AR134" s="524"/>
      <c r="AS134" s="510">
        <f t="shared" si="396"/>
        <v>0</v>
      </c>
      <c r="AT134" s="523"/>
      <c r="AU134" s="524"/>
      <c r="AV134" s="510">
        <f t="shared" si="397"/>
        <v>0</v>
      </c>
      <c r="AW134" s="523"/>
      <c r="AX134" s="524"/>
      <c r="AY134" s="510">
        <f t="shared" si="398"/>
        <v>0</v>
      </c>
      <c r="AZ134" s="523"/>
      <c r="BA134" s="524"/>
      <c r="BB134" s="510">
        <f t="shared" si="399"/>
        <v>0</v>
      </c>
      <c r="BC134" s="523"/>
      <c r="BD134" s="524"/>
      <c r="BE134" s="510">
        <f t="shared" si="400"/>
        <v>0</v>
      </c>
      <c r="BF134" s="523"/>
      <c r="BG134" s="524"/>
      <c r="BH134" s="510">
        <f t="shared" si="401"/>
        <v>0</v>
      </c>
      <c r="BI134" s="523"/>
      <c r="BJ134" s="524"/>
      <c r="BK134" s="510">
        <f t="shared" si="402"/>
        <v>0</v>
      </c>
      <c r="BL134" s="523"/>
      <c r="BM134" s="524"/>
      <c r="BN134" s="510">
        <f t="shared" si="403"/>
        <v>0</v>
      </c>
      <c r="BO134" s="522"/>
      <c r="BP134" s="524"/>
      <c r="BQ134" s="510">
        <f t="shared" si="404"/>
        <v>0</v>
      </c>
      <c r="BR134" s="522"/>
      <c r="BS134" s="524"/>
      <c r="BT134" s="510">
        <f t="shared" si="405"/>
        <v>0</v>
      </c>
      <c r="BU134" s="522"/>
      <c r="BV134" s="524"/>
      <c r="BW134" s="510">
        <f t="shared" si="406"/>
        <v>0</v>
      </c>
      <c r="BX134" s="522"/>
      <c r="BY134" s="524"/>
      <c r="BZ134" s="510">
        <f t="shared" si="407"/>
        <v>0</v>
      </c>
      <c r="CA134" s="522"/>
      <c r="CB134" s="524"/>
      <c r="CC134" s="510">
        <f t="shared" si="408"/>
        <v>0</v>
      </c>
      <c r="CD134" s="522"/>
      <c r="CE134" s="524"/>
      <c r="CF134" s="510">
        <f t="shared" si="409"/>
        <v>0</v>
      </c>
      <c r="CG134" s="522"/>
      <c r="CH134" s="524"/>
      <c r="CI134" s="510">
        <f t="shared" si="410"/>
        <v>0</v>
      </c>
      <c r="CJ134" s="522"/>
      <c r="CK134" s="524"/>
      <c r="CL134" s="510">
        <f t="shared" si="411"/>
        <v>0</v>
      </c>
      <c r="CM134" s="522"/>
      <c r="CN134" s="524"/>
      <c r="CO134" s="510">
        <f t="shared" si="412"/>
        <v>0</v>
      </c>
      <c r="CP134" s="522"/>
      <c r="CQ134" s="524"/>
      <c r="CR134" s="510">
        <f t="shared" si="413"/>
        <v>0</v>
      </c>
      <c r="CS134" s="522"/>
      <c r="CT134" s="524"/>
      <c r="CU134" s="510">
        <f t="shared" si="414"/>
        <v>0</v>
      </c>
      <c r="CV134" s="522"/>
      <c r="CW134" s="524"/>
      <c r="CX134" s="510">
        <f t="shared" si="415"/>
        <v>0</v>
      </c>
      <c r="CY134" s="522"/>
      <c r="CZ134" s="524"/>
      <c r="DA134" s="510">
        <f t="shared" si="416"/>
        <v>0</v>
      </c>
      <c r="DB134" s="522"/>
      <c r="DC134" s="524"/>
      <c r="DD134" s="510">
        <f t="shared" si="417"/>
        <v>0</v>
      </c>
      <c r="DE134" s="522"/>
      <c r="DF134" s="524"/>
      <c r="DG134" s="510">
        <f t="shared" si="428"/>
        <v>0</v>
      </c>
      <c r="DH134" s="1259"/>
      <c r="DI134" s="534"/>
      <c r="DJ134" s="482">
        <f t="shared" si="418"/>
        <v>0</v>
      </c>
      <c r="DK134" s="1262"/>
      <c r="DL134" s="534"/>
      <c r="DM134" s="482">
        <f t="shared" si="419"/>
        <v>0</v>
      </c>
      <c r="DN134" s="1262"/>
      <c r="DO134" s="534"/>
      <c r="DP134" s="482">
        <f t="shared" si="420"/>
        <v>0</v>
      </c>
      <c r="DQ134" s="1262"/>
      <c r="DR134" s="534"/>
      <c r="DS134" s="482">
        <f t="shared" si="370"/>
        <v>0</v>
      </c>
      <c r="DT134" s="1262"/>
      <c r="DU134" s="534"/>
      <c r="DV134" s="482">
        <f t="shared" si="424"/>
        <v>0</v>
      </c>
      <c r="DW134" s="1262"/>
      <c r="DX134" s="534"/>
      <c r="DY134" s="482">
        <f t="shared" si="372"/>
        <v>0</v>
      </c>
      <c r="DZ134" s="1262"/>
      <c r="EA134" s="534"/>
      <c r="EB134" s="482">
        <f t="shared" si="373"/>
        <v>0</v>
      </c>
      <c r="EC134" s="1262"/>
      <c r="ED134" s="534"/>
      <c r="EE134" s="482">
        <f t="shared" si="374"/>
        <v>0</v>
      </c>
      <c r="EF134" s="1262"/>
      <c r="EG134" s="534"/>
      <c r="EH134" s="482">
        <f t="shared" si="375"/>
        <v>0</v>
      </c>
      <c r="EI134" s="1262"/>
      <c r="EJ134" s="534"/>
      <c r="EK134" s="482">
        <f t="shared" si="376"/>
        <v>0</v>
      </c>
      <c r="EL134" s="1262"/>
      <c r="EM134" s="534"/>
      <c r="EN134" s="482">
        <f t="shared" si="377"/>
        <v>0</v>
      </c>
      <c r="EO134" s="1262"/>
      <c r="EP134" s="534"/>
      <c r="EQ134" s="482">
        <f t="shared" si="378"/>
        <v>0</v>
      </c>
      <c r="ER134" s="1262"/>
      <c r="ES134" s="534"/>
      <c r="ET134" s="482">
        <f t="shared" si="425"/>
        <v>0</v>
      </c>
      <c r="EU134" s="1262"/>
      <c r="EV134" s="534"/>
      <c r="EW134" s="482">
        <f t="shared" si="426"/>
        <v>0</v>
      </c>
      <c r="EX134" s="1262"/>
      <c r="EY134" s="534"/>
      <c r="EZ134" s="482">
        <f t="shared" si="427"/>
        <v>0</v>
      </c>
      <c r="FA134" s="1262"/>
      <c r="FE134"/>
      <c r="FF134"/>
      <c r="FG134"/>
      <c r="FH134"/>
      <c r="FI134"/>
      <c r="FJ134"/>
      <c r="FK134" s="35"/>
    </row>
    <row r="135" spans="2:167" s="236" customFormat="1" ht="13.35" hidden="1" customHeight="1" outlineLevel="2">
      <c r="B135" s="242" t="s">
        <v>47</v>
      </c>
      <c r="C135" s="242" t="s">
        <v>496</v>
      </c>
      <c r="D135" s="243"/>
      <c r="E135" s="522"/>
      <c r="F135" s="510">
        <f t="shared" si="383"/>
        <v>0</v>
      </c>
      <c r="G135" s="523"/>
      <c r="H135" s="524"/>
      <c r="I135" s="510">
        <f t="shared" si="384"/>
        <v>0</v>
      </c>
      <c r="J135" s="523"/>
      <c r="K135" s="524"/>
      <c r="L135" s="510">
        <f t="shared" si="385"/>
        <v>0</v>
      </c>
      <c r="M135" s="523"/>
      <c r="N135" s="524"/>
      <c r="O135" s="510">
        <f t="shared" si="386"/>
        <v>0</v>
      </c>
      <c r="P135" s="523"/>
      <c r="Q135" s="524"/>
      <c r="R135" s="510">
        <f t="shared" si="387"/>
        <v>0</v>
      </c>
      <c r="S135" s="523"/>
      <c r="T135" s="524"/>
      <c r="U135" s="510">
        <f t="shared" si="388"/>
        <v>0</v>
      </c>
      <c r="V135" s="523"/>
      <c r="W135" s="524"/>
      <c r="X135" s="510">
        <f t="shared" si="389"/>
        <v>0</v>
      </c>
      <c r="Y135" s="523"/>
      <c r="Z135" s="524"/>
      <c r="AA135" s="510">
        <f t="shared" si="390"/>
        <v>0</v>
      </c>
      <c r="AB135" s="523"/>
      <c r="AC135" s="524"/>
      <c r="AD135" s="510">
        <f t="shared" si="391"/>
        <v>0</v>
      </c>
      <c r="AE135" s="523"/>
      <c r="AF135" s="524"/>
      <c r="AG135" s="510">
        <f t="shared" si="392"/>
        <v>0</v>
      </c>
      <c r="AH135" s="523"/>
      <c r="AI135" s="524"/>
      <c r="AJ135" s="510">
        <f t="shared" si="393"/>
        <v>0</v>
      </c>
      <c r="AK135" s="523"/>
      <c r="AL135" s="524"/>
      <c r="AM135" s="510">
        <f t="shared" si="394"/>
        <v>0</v>
      </c>
      <c r="AN135" s="523"/>
      <c r="AO135" s="524"/>
      <c r="AP135" s="510">
        <f t="shared" si="395"/>
        <v>0</v>
      </c>
      <c r="AQ135" s="523"/>
      <c r="AR135" s="524"/>
      <c r="AS135" s="510">
        <f t="shared" si="396"/>
        <v>0</v>
      </c>
      <c r="AT135" s="523"/>
      <c r="AU135" s="524"/>
      <c r="AV135" s="510">
        <f t="shared" si="397"/>
        <v>0</v>
      </c>
      <c r="AW135" s="523"/>
      <c r="AX135" s="524"/>
      <c r="AY135" s="510">
        <f t="shared" si="398"/>
        <v>0</v>
      </c>
      <c r="AZ135" s="523"/>
      <c r="BA135" s="524"/>
      <c r="BB135" s="510">
        <f t="shared" si="399"/>
        <v>0</v>
      </c>
      <c r="BC135" s="523"/>
      <c r="BD135" s="524"/>
      <c r="BE135" s="510">
        <f t="shared" si="400"/>
        <v>0</v>
      </c>
      <c r="BF135" s="523"/>
      <c r="BG135" s="524"/>
      <c r="BH135" s="510">
        <f t="shared" si="401"/>
        <v>0</v>
      </c>
      <c r="BI135" s="523"/>
      <c r="BJ135" s="524"/>
      <c r="BK135" s="510">
        <f t="shared" si="402"/>
        <v>0</v>
      </c>
      <c r="BL135" s="523"/>
      <c r="BM135" s="524"/>
      <c r="BN135" s="510">
        <f t="shared" si="403"/>
        <v>0</v>
      </c>
      <c r="BO135" s="522"/>
      <c r="BP135" s="524"/>
      <c r="BQ135" s="510">
        <f t="shared" si="404"/>
        <v>0</v>
      </c>
      <c r="BR135" s="522"/>
      <c r="BS135" s="524"/>
      <c r="BT135" s="510">
        <f t="shared" si="405"/>
        <v>0</v>
      </c>
      <c r="BU135" s="522"/>
      <c r="BV135" s="524"/>
      <c r="BW135" s="510">
        <f t="shared" si="406"/>
        <v>0</v>
      </c>
      <c r="BX135" s="522"/>
      <c r="BY135" s="524"/>
      <c r="BZ135" s="510">
        <f t="shared" si="407"/>
        <v>0</v>
      </c>
      <c r="CA135" s="522"/>
      <c r="CB135" s="524"/>
      <c r="CC135" s="510">
        <f t="shared" si="408"/>
        <v>0</v>
      </c>
      <c r="CD135" s="522"/>
      <c r="CE135" s="524"/>
      <c r="CF135" s="510">
        <f t="shared" si="409"/>
        <v>0</v>
      </c>
      <c r="CG135" s="522"/>
      <c r="CH135" s="524"/>
      <c r="CI135" s="510">
        <f t="shared" si="410"/>
        <v>0</v>
      </c>
      <c r="CJ135" s="522"/>
      <c r="CK135" s="524"/>
      <c r="CL135" s="510">
        <f t="shared" si="411"/>
        <v>0</v>
      </c>
      <c r="CM135" s="522"/>
      <c r="CN135" s="524"/>
      <c r="CO135" s="510">
        <f t="shared" si="412"/>
        <v>0</v>
      </c>
      <c r="CP135" s="522"/>
      <c r="CQ135" s="524"/>
      <c r="CR135" s="510">
        <f t="shared" si="413"/>
        <v>0</v>
      </c>
      <c r="CS135" s="522"/>
      <c r="CT135" s="524"/>
      <c r="CU135" s="510">
        <f t="shared" si="414"/>
        <v>0</v>
      </c>
      <c r="CV135" s="522"/>
      <c r="CW135" s="524"/>
      <c r="CX135" s="510">
        <f t="shared" si="415"/>
        <v>0</v>
      </c>
      <c r="CY135" s="522"/>
      <c r="CZ135" s="524"/>
      <c r="DA135" s="510">
        <f t="shared" si="416"/>
        <v>0</v>
      </c>
      <c r="DB135" s="522"/>
      <c r="DC135" s="524"/>
      <c r="DD135" s="510">
        <f t="shared" si="417"/>
        <v>0</v>
      </c>
      <c r="DE135" s="522"/>
      <c r="DF135" s="524"/>
      <c r="DG135" s="510">
        <f t="shared" si="428"/>
        <v>0</v>
      </c>
      <c r="DH135" s="1259"/>
      <c r="DI135" s="534"/>
      <c r="DJ135" s="482">
        <f t="shared" si="418"/>
        <v>0</v>
      </c>
      <c r="DK135" s="1262"/>
      <c r="DL135" s="534"/>
      <c r="DM135" s="482">
        <f t="shared" si="419"/>
        <v>0</v>
      </c>
      <c r="DN135" s="1262"/>
      <c r="DO135" s="534"/>
      <c r="DP135" s="482">
        <f t="shared" si="420"/>
        <v>0</v>
      </c>
      <c r="DQ135" s="1262"/>
      <c r="DR135" s="534"/>
      <c r="DS135" s="482">
        <f t="shared" si="370"/>
        <v>0</v>
      </c>
      <c r="DT135" s="1262"/>
      <c r="DU135" s="534"/>
      <c r="DV135" s="482">
        <f t="shared" si="424"/>
        <v>0</v>
      </c>
      <c r="DW135" s="1262"/>
      <c r="DX135" s="534"/>
      <c r="DY135" s="482">
        <f t="shared" si="372"/>
        <v>0</v>
      </c>
      <c r="DZ135" s="1262"/>
      <c r="EA135" s="534"/>
      <c r="EB135" s="482">
        <f t="shared" si="373"/>
        <v>0</v>
      </c>
      <c r="EC135" s="1262"/>
      <c r="ED135" s="534"/>
      <c r="EE135" s="482">
        <f t="shared" si="374"/>
        <v>0</v>
      </c>
      <c r="EF135" s="1262"/>
      <c r="EG135" s="534"/>
      <c r="EH135" s="482">
        <f t="shared" si="375"/>
        <v>0</v>
      </c>
      <c r="EI135" s="1262"/>
      <c r="EJ135" s="534"/>
      <c r="EK135" s="482">
        <f t="shared" si="376"/>
        <v>0</v>
      </c>
      <c r="EL135" s="1262"/>
      <c r="EM135" s="534"/>
      <c r="EN135" s="482">
        <f t="shared" si="377"/>
        <v>0</v>
      </c>
      <c r="EO135" s="1262"/>
      <c r="EP135" s="534"/>
      <c r="EQ135" s="482">
        <f t="shared" si="378"/>
        <v>0</v>
      </c>
      <c r="ER135" s="1262"/>
      <c r="ES135" s="534"/>
      <c r="ET135" s="482">
        <f t="shared" si="425"/>
        <v>0</v>
      </c>
      <c r="EU135" s="1262"/>
      <c r="EV135" s="534"/>
      <c r="EW135" s="482">
        <f t="shared" si="426"/>
        <v>0</v>
      </c>
      <c r="EX135" s="1262"/>
      <c r="EY135" s="534"/>
      <c r="EZ135" s="482">
        <f t="shared" si="427"/>
        <v>0</v>
      </c>
      <c r="FA135" s="1262"/>
      <c r="FE135"/>
      <c r="FF135"/>
      <c r="FG135"/>
      <c r="FH135"/>
      <c r="FI135"/>
      <c r="FJ135"/>
      <c r="FK135" s="35"/>
    </row>
    <row r="136" spans="2:167" s="236" customFormat="1" ht="13.35" hidden="1" customHeight="1" outlineLevel="2">
      <c r="B136" s="242" t="s">
        <v>434</v>
      </c>
      <c r="C136" s="242" t="s">
        <v>496</v>
      </c>
      <c r="D136" s="243"/>
      <c r="E136" s="522"/>
      <c r="F136" s="510">
        <f t="shared" si="383"/>
        <v>0</v>
      </c>
      <c r="G136" s="523"/>
      <c r="H136" s="524"/>
      <c r="I136" s="510">
        <f t="shared" si="384"/>
        <v>0</v>
      </c>
      <c r="J136" s="523"/>
      <c r="K136" s="524"/>
      <c r="L136" s="510">
        <f t="shared" si="385"/>
        <v>0</v>
      </c>
      <c r="M136" s="523"/>
      <c r="N136" s="524"/>
      <c r="O136" s="510">
        <f t="shared" si="386"/>
        <v>0</v>
      </c>
      <c r="P136" s="523"/>
      <c r="Q136" s="524"/>
      <c r="R136" s="510">
        <f t="shared" si="387"/>
        <v>0</v>
      </c>
      <c r="S136" s="523"/>
      <c r="T136" s="524"/>
      <c r="U136" s="510">
        <f t="shared" si="388"/>
        <v>0</v>
      </c>
      <c r="V136" s="523"/>
      <c r="W136" s="524"/>
      <c r="X136" s="510">
        <f t="shared" si="389"/>
        <v>0</v>
      </c>
      <c r="Y136" s="523"/>
      <c r="Z136" s="524"/>
      <c r="AA136" s="510">
        <f t="shared" si="390"/>
        <v>0</v>
      </c>
      <c r="AB136" s="523"/>
      <c r="AC136" s="524"/>
      <c r="AD136" s="510">
        <f t="shared" si="391"/>
        <v>0</v>
      </c>
      <c r="AE136" s="523"/>
      <c r="AF136" s="524"/>
      <c r="AG136" s="510">
        <f t="shared" si="392"/>
        <v>0</v>
      </c>
      <c r="AH136" s="523"/>
      <c r="AI136" s="524"/>
      <c r="AJ136" s="510">
        <f t="shared" si="393"/>
        <v>0</v>
      </c>
      <c r="AK136" s="523"/>
      <c r="AL136" s="524"/>
      <c r="AM136" s="510">
        <f t="shared" si="394"/>
        <v>0</v>
      </c>
      <c r="AN136" s="523"/>
      <c r="AO136" s="524"/>
      <c r="AP136" s="510">
        <f t="shared" si="395"/>
        <v>0</v>
      </c>
      <c r="AQ136" s="523"/>
      <c r="AR136" s="524"/>
      <c r="AS136" s="510">
        <f t="shared" si="396"/>
        <v>0</v>
      </c>
      <c r="AT136" s="523"/>
      <c r="AU136" s="524"/>
      <c r="AV136" s="510">
        <f t="shared" si="397"/>
        <v>0</v>
      </c>
      <c r="AW136" s="523"/>
      <c r="AX136" s="524"/>
      <c r="AY136" s="510">
        <f t="shared" si="398"/>
        <v>0</v>
      </c>
      <c r="AZ136" s="523"/>
      <c r="BA136" s="524"/>
      <c r="BB136" s="510">
        <f t="shared" si="399"/>
        <v>0</v>
      </c>
      <c r="BC136" s="523"/>
      <c r="BD136" s="524"/>
      <c r="BE136" s="510">
        <f t="shared" si="400"/>
        <v>0</v>
      </c>
      <c r="BF136" s="523"/>
      <c r="BG136" s="524"/>
      <c r="BH136" s="510">
        <f t="shared" si="401"/>
        <v>0</v>
      </c>
      <c r="BI136" s="523"/>
      <c r="BJ136" s="524"/>
      <c r="BK136" s="510">
        <f t="shared" si="402"/>
        <v>0</v>
      </c>
      <c r="BL136" s="523"/>
      <c r="BM136" s="524"/>
      <c r="BN136" s="510">
        <f t="shared" si="403"/>
        <v>0</v>
      </c>
      <c r="BO136" s="522"/>
      <c r="BP136" s="524"/>
      <c r="BQ136" s="510">
        <f t="shared" si="404"/>
        <v>0</v>
      </c>
      <c r="BR136" s="522"/>
      <c r="BS136" s="524"/>
      <c r="BT136" s="510">
        <f t="shared" si="405"/>
        <v>0</v>
      </c>
      <c r="BU136" s="522"/>
      <c r="BV136" s="524"/>
      <c r="BW136" s="510">
        <f t="shared" si="406"/>
        <v>0</v>
      </c>
      <c r="BX136" s="522"/>
      <c r="BY136" s="524"/>
      <c r="BZ136" s="510">
        <f t="shared" si="407"/>
        <v>0</v>
      </c>
      <c r="CA136" s="522"/>
      <c r="CB136" s="524"/>
      <c r="CC136" s="510">
        <f t="shared" si="408"/>
        <v>0</v>
      </c>
      <c r="CD136" s="522"/>
      <c r="CE136" s="524"/>
      <c r="CF136" s="510">
        <f t="shared" si="409"/>
        <v>0</v>
      </c>
      <c r="CG136" s="522"/>
      <c r="CH136" s="524"/>
      <c r="CI136" s="510">
        <f t="shared" si="410"/>
        <v>0</v>
      </c>
      <c r="CJ136" s="522"/>
      <c r="CK136" s="524"/>
      <c r="CL136" s="510">
        <f t="shared" si="411"/>
        <v>0</v>
      </c>
      <c r="CM136" s="522"/>
      <c r="CN136" s="524"/>
      <c r="CO136" s="510">
        <f t="shared" si="412"/>
        <v>0</v>
      </c>
      <c r="CP136" s="522"/>
      <c r="CQ136" s="524"/>
      <c r="CR136" s="510">
        <f t="shared" si="413"/>
        <v>0</v>
      </c>
      <c r="CS136" s="522"/>
      <c r="CT136" s="524"/>
      <c r="CU136" s="510">
        <f t="shared" si="414"/>
        <v>0</v>
      </c>
      <c r="CV136" s="522"/>
      <c r="CW136" s="524"/>
      <c r="CX136" s="510">
        <f t="shared" si="415"/>
        <v>0</v>
      </c>
      <c r="CY136" s="522"/>
      <c r="CZ136" s="524"/>
      <c r="DA136" s="510">
        <f t="shared" si="416"/>
        <v>0</v>
      </c>
      <c r="DB136" s="522"/>
      <c r="DC136" s="524"/>
      <c r="DD136" s="510">
        <f t="shared" si="417"/>
        <v>0</v>
      </c>
      <c r="DE136" s="522"/>
      <c r="DF136" s="524"/>
      <c r="DG136" s="510">
        <f t="shared" si="428"/>
        <v>0</v>
      </c>
      <c r="DH136" s="1259"/>
      <c r="DI136" s="534"/>
      <c r="DJ136" s="482">
        <f t="shared" si="418"/>
        <v>0</v>
      </c>
      <c r="DK136" s="1262"/>
      <c r="DL136" s="534"/>
      <c r="DM136" s="482">
        <f t="shared" si="419"/>
        <v>0</v>
      </c>
      <c r="DN136" s="1262"/>
      <c r="DO136" s="534"/>
      <c r="DP136" s="482">
        <f t="shared" si="420"/>
        <v>0</v>
      </c>
      <c r="DQ136" s="1262"/>
      <c r="DR136" s="534"/>
      <c r="DS136" s="482">
        <f t="shared" si="370"/>
        <v>0</v>
      </c>
      <c r="DT136" s="1262"/>
      <c r="DU136" s="534"/>
      <c r="DV136" s="482">
        <f t="shared" si="424"/>
        <v>0</v>
      </c>
      <c r="DW136" s="1262"/>
      <c r="DX136" s="534"/>
      <c r="DY136" s="482">
        <f t="shared" si="372"/>
        <v>0</v>
      </c>
      <c r="DZ136" s="1262"/>
      <c r="EA136" s="534"/>
      <c r="EB136" s="482">
        <f t="shared" si="373"/>
        <v>0</v>
      </c>
      <c r="EC136" s="1262"/>
      <c r="ED136" s="534"/>
      <c r="EE136" s="482">
        <f t="shared" si="374"/>
        <v>0</v>
      </c>
      <c r="EF136" s="1262"/>
      <c r="EG136" s="534"/>
      <c r="EH136" s="482">
        <f t="shared" si="375"/>
        <v>0</v>
      </c>
      <c r="EI136" s="1262"/>
      <c r="EJ136" s="534"/>
      <c r="EK136" s="482">
        <f t="shared" si="376"/>
        <v>0</v>
      </c>
      <c r="EL136" s="1262"/>
      <c r="EM136" s="534"/>
      <c r="EN136" s="482">
        <f t="shared" si="377"/>
        <v>0</v>
      </c>
      <c r="EO136" s="1262"/>
      <c r="EP136" s="534"/>
      <c r="EQ136" s="482">
        <f t="shared" si="378"/>
        <v>0</v>
      </c>
      <c r="ER136" s="1262"/>
      <c r="ES136" s="534"/>
      <c r="ET136" s="482">
        <f t="shared" si="425"/>
        <v>0</v>
      </c>
      <c r="EU136" s="1262"/>
      <c r="EV136" s="534"/>
      <c r="EW136" s="482">
        <f t="shared" si="426"/>
        <v>0</v>
      </c>
      <c r="EX136" s="1262"/>
      <c r="EY136" s="534"/>
      <c r="EZ136" s="482">
        <f t="shared" si="427"/>
        <v>0</v>
      </c>
      <c r="FA136" s="1262"/>
      <c r="FE136"/>
      <c r="FF136"/>
      <c r="FG136"/>
      <c r="FH136"/>
      <c r="FI136"/>
      <c r="FJ136"/>
      <c r="FK136" s="35"/>
    </row>
    <row r="137" spans="2:167" s="236" customFormat="1" ht="13.35" hidden="1" customHeight="1" outlineLevel="2" thickBot="1">
      <c r="B137" s="242" t="s">
        <v>47</v>
      </c>
      <c r="C137" s="242" t="s">
        <v>496</v>
      </c>
      <c r="D137" s="243"/>
      <c r="E137" s="540"/>
      <c r="F137" s="510">
        <f t="shared" si="383"/>
        <v>0</v>
      </c>
      <c r="G137" s="541"/>
      <c r="H137" s="542"/>
      <c r="I137" s="510">
        <f t="shared" si="384"/>
        <v>0</v>
      </c>
      <c r="J137" s="541"/>
      <c r="K137" s="542"/>
      <c r="L137" s="510">
        <f t="shared" si="385"/>
        <v>0</v>
      </c>
      <c r="M137" s="541"/>
      <c r="N137" s="542"/>
      <c r="O137" s="510">
        <f t="shared" si="386"/>
        <v>0</v>
      </c>
      <c r="P137" s="541"/>
      <c r="Q137" s="542"/>
      <c r="R137" s="510">
        <f t="shared" si="387"/>
        <v>0</v>
      </c>
      <c r="S137" s="541"/>
      <c r="T137" s="542"/>
      <c r="U137" s="510">
        <f t="shared" si="388"/>
        <v>0</v>
      </c>
      <c r="V137" s="541"/>
      <c r="W137" s="542"/>
      <c r="X137" s="510">
        <f t="shared" si="389"/>
        <v>0</v>
      </c>
      <c r="Y137" s="541"/>
      <c r="Z137" s="542"/>
      <c r="AA137" s="510">
        <f t="shared" si="390"/>
        <v>0</v>
      </c>
      <c r="AB137" s="541"/>
      <c r="AC137" s="542"/>
      <c r="AD137" s="510">
        <f t="shared" si="391"/>
        <v>0</v>
      </c>
      <c r="AE137" s="541"/>
      <c r="AF137" s="542"/>
      <c r="AG137" s="510">
        <f t="shared" si="392"/>
        <v>0</v>
      </c>
      <c r="AH137" s="541"/>
      <c r="AI137" s="542"/>
      <c r="AJ137" s="510">
        <f t="shared" si="393"/>
        <v>0</v>
      </c>
      <c r="AK137" s="541"/>
      <c r="AL137" s="542"/>
      <c r="AM137" s="510">
        <f t="shared" si="394"/>
        <v>0</v>
      </c>
      <c r="AN137" s="541"/>
      <c r="AO137" s="542"/>
      <c r="AP137" s="510">
        <f t="shared" si="395"/>
        <v>0</v>
      </c>
      <c r="AQ137" s="541"/>
      <c r="AR137" s="542"/>
      <c r="AS137" s="510">
        <f t="shared" si="396"/>
        <v>0</v>
      </c>
      <c r="AT137" s="541"/>
      <c r="AU137" s="542"/>
      <c r="AV137" s="510">
        <f t="shared" si="397"/>
        <v>0</v>
      </c>
      <c r="AW137" s="541"/>
      <c r="AX137" s="542"/>
      <c r="AY137" s="510">
        <f t="shared" si="398"/>
        <v>0</v>
      </c>
      <c r="AZ137" s="541"/>
      <c r="BA137" s="542"/>
      <c r="BB137" s="510">
        <f t="shared" si="399"/>
        <v>0</v>
      </c>
      <c r="BC137" s="541"/>
      <c r="BD137" s="542"/>
      <c r="BE137" s="510">
        <f t="shared" si="400"/>
        <v>0</v>
      </c>
      <c r="BF137" s="541"/>
      <c r="BG137" s="542"/>
      <c r="BH137" s="510">
        <f t="shared" si="401"/>
        <v>0</v>
      </c>
      <c r="BI137" s="541"/>
      <c r="BJ137" s="542"/>
      <c r="BK137" s="510">
        <f t="shared" si="402"/>
        <v>0</v>
      </c>
      <c r="BL137" s="541"/>
      <c r="BM137" s="542"/>
      <c r="BN137" s="510">
        <f t="shared" si="403"/>
        <v>0</v>
      </c>
      <c r="BO137" s="540"/>
      <c r="BP137" s="542"/>
      <c r="BQ137" s="510">
        <f t="shared" si="404"/>
        <v>0</v>
      </c>
      <c r="BR137" s="540"/>
      <c r="BS137" s="542"/>
      <c r="BT137" s="510">
        <f t="shared" si="405"/>
        <v>0</v>
      </c>
      <c r="BU137" s="540"/>
      <c r="BV137" s="542"/>
      <c r="BW137" s="510">
        <f t="shared" si="406"/>
        <v>0</v>
      </c>
      <c r="BX137" s="540"/>
      <c r="BY137" s="542"/>
      <c r="BZ137" s="510">
        <f t="shared" si="407"/>
        <v>0</v>
      </c>
      <c r="CA137" s="540"/>
      <c r="CB137" s="542"/>
      <c r="CC137" s="510">
        <f t="shared" si="408"/>
        <v>0</v>
      </c>
      <c r="CD137" s="540"/>
      <c r="CE137" s="542"/>
      <c r="CF137" s="510">
        <f t="shared" si="409"/>
        <v>0</v>
      </c>
      <c r="CG137" s="540"/>
      <c r="CH137" s="542"/>
      <c r="CI137" s="510">
        <f t="shared" si="410"/>
        <v>0</v>
      </c>
      <c r="CJ137" s="540"/>
      <c r="CK137" s="542"/>
      <c r="CL137" s="510">
        <f t="shared" si="411"/>
        <v>0</v>
      </c>
      <c r="CM137" s="540"/>
      <c r="CN137" s="542"/>
      <c r="CO137" s="510">
        <f t="shared" si="412"/>
        <v>0</v>
      </c>
      <c r="CP137" s="540"/>
      <c r="CQ137" s="542"/>
      <c r="CR137" s="510">
        <f t="shared" si="413"/>
        <v>0</v>
      </c>
      <c r="CS137" s="540"/>
      <c r="CT137" s="542"/>
      <c r="CU137" s="510">
        <f t="shared" si="414"/>
        <v>0</v>
      </c>
      <c r="CV137" s="540"/>
      <c r="CW137" s="542"/>
      <c r="CX137" s="510">
        <f t="shared" si="415"/>
        <v>0</v>
      </c>
      <c r="CY137" s="540"/>
      <c r="CZ137" s="542"/>
      <c r="DA137" s="510">
        <f t="shared" si="416"/>
        <v>0</v>
      </c>
      <c r="DB137" s="540"/>
      <c r="DC137" s="542"/>
      <c r="DD137" s="510">
        <f t="shared" si="417"/>
        <v>0</v>
      </c>
      <c r="DE137" s="540"/>
      <c r="DF137" s="542"/>
      <c r="DG137" s="510">
        <f t="shared" si="428"/>
        <v>0</v>
      </c>
      <c r="DH137" s="1269"/>
      <c r="DI137" s="534"/>
      <c r="DJ137" s="482">
        <f t="shared" si="418"/>
        <v>0</v>
      </c>
      <c r="DK137" s="1262"/>
      <c r="DL137" s="534"/>
      <c r="DM137" s="482">
        <f t="shared" si="419"/>
        <v>0</v>
      </c>
      <c r="DN137" s="1262"/>
      <c r="DO137" s="534"/>
      <c r="DP137" s="482">
        <f t="shared" si="420"/>
        <v>0</v>
      </c>
      <c r="DQ137" s="1262"/>
      <c r="DR137" s="534"/>
      <c r="DS137" s="482">
        <f t="shared" si="370"/>
        <v>0</v>
      </c>
      <c r="DT137" s="1262"/>
      <c r="DU137" s="534"/>
      <c r="DV137" s="482">
        <f t="shared" si="424"/>
        <v>0</v>
      </c>
      <c r="DW137" s="1262"/>
      <c r="DX137" s="534"/>
      <c r="DY137" s="482">
        <f t="shared" si="372"/>
        <v>0</v>
      </c>
      <c r="DZ137" s="1262"/>
      <c r="EA137" s="534"/>
      <c r="EB137" s="482">
        <f t="shared" si="373"/>
        <v>0</v>
      </c>
      <c r="EC137" s="1262"/>
      <c r="ED137" s="534"/>
      <c r="EE137" s="482">
        <f t="shared" si="374"/>
        <v>0</v>
      </c>
      <c r="EF137" s="1262"/>
      <c r="EG137" s="534"/>
      <c r="EH137" s="482">
        <f t="shared" si="375"/>
        <v>0</v>
      </c>
      <c r="EI137" s="1262"/>
      <c r="EJ137" s="534"/>
      <c r="EK137" s="482">
        <f t="shared" si="376"/>
        <v>0</v>
      </c>
      <c r="EL137" s="1262"/>
      <c r="EM137" s="534"/>
      <c r="EN137" s="482">
        <f t="shared" si="377"/>
        <v>0</v>
      </c>
      <c r="EO137" s="1262"/>
      <c r="EP137" s="534"/>
      <c r="EQ137" s="482">
        <f t="shared" si="378"/>
        <v>0</v>
      </c>
      <c r="ER137" s="1262"/>
      <c r="ES137" s="534"/>
      <c r="ET137" s="482">
        <f t="shared" si="425"/>
        <v>0</v>
      </c>
      <c r="EU137" s="1262"/>
      <c r="EV137" s="534"/>
      <c r="EW137" s="482">
        <f t="shared" si="426"/>
        <v>0</v>
      </c>
      <c r="EX137" s="1262"/>
      <c r="EY137" s="534"/>
      <c r="EZ137" s="482">
        <f t="shared" si="427"/>
        <v>0</v>
      </c>
      <c r="FA137" s="1262"/>
      <c r="FE137"/>
      <c r="FF137"/>
      <c r="FG137"/>
      <c r="FH137"/>
      <c r="FI137"/>
      <c r="FJ137"/>
      <c r="FK137" s="35"/>
    </row>
    <row r="138" spans="2:167" s="236" customFormat="1" ht="13.35" customHeight="1" outlineLevel="1" collapsed="1" thickBot="1">
      <c r="B138" s="242" t="s">
        <v>435</v>
      </c>
      <c r="C138" s="242" t="s">
        <v>496</v>
      </c>
      <c r="D138" s="243"/>
      <c r="E138" s="495"/>
      <c r="F138" s="482">
        <f t="shared" si="383"/>
        <v>0</v>
      </c>
      <c r="G138" s="496"/>
      <c r="H138" s="497"/>
      <c r="I138" s="482">
        <f t="shared" si="384"/>
        <v>0</v>
      </c>
      <c r="J138" s="496"/>
      <c r="K138" s="497"/>
      <c r="L138" s="482">
        <f t="shared" si="385"/>
        <v>0</v>
      </c>
      <c r="M138" s="496"/>
      <c r="N138" s="497"/>
      <c r="O138" s="482">
        <f t="shared" si="386"/>
        <v>0</v>
      </c>
      <c r="P138" s="496"/>
      <c r="Q138" s="497"/>
      <c r="R138" s="482">
        <f t="shared" si="387"/>
        <v>0</v>
      </c>
      <c r="S138" s="496"/>
      <c r="T138" s="497"/>
      <c r="U138" s="482">
        <f t="shared" si="388"/>
        <v>0</v>
      </c>
      <c r="V138" s="496"/>
      <c r="W138" s="497"/>
      <c r="X138" s="482">
        <f t="shared" si="389"/>
        <v>0</v>
      </c>
      <c r="Y138" s="496"/>
      <c r="Z138" s="497"/>
      <c r="AA138" s="482">
        <f t="shared" si="390"/>
        <v>0</v>
      </c>
      <c r="AB138" s="496"/>
      <c r="AC138" s="497"/>
      <c r="AD138" s="482">
        <f t="shared" si="391"/>
        <v>0</v>
      </c>
      <c r="AE138" s="496"/>
      <c r="AF138" s="497"/>
      <c r="AG138" s="482">
        <f t="shared" si="392"/>
        <v>0</v>
      </c>
      <c r="AH138" s="496"/>
      <c r="AI138" s="497"/>
      <c r="AJ138" s="482">
        <f t="shared" si="393"/>
        <v>0</v>
      </c>
      <c r="AK138" s="496"/>
      <c r="AL138" s="497"/>
      <c r="AM138" s="482">
        <f t="shared" si="394"/>
        <v>0</v>
      </c>
      <c r="AN138" s="496"/>
      <c r="AO138" s="497"/>
      <c r="AP138" s="482">
        <f t="shared" si="395"/>
        <v>0</v>
      </c>
      <c r="AQ138" s="496"/>
      <c r="AR138" s="497"/>
      <c r="AS138" s="482">
        <f t="shared" si="396"/>
        <v>0</v>
      </c>
      <c r="AT138" s="496"/>
      <c r="AU138" s="497"/>
      <c r="AV138" s="482">
        <f t="shared" si="397"/>
        <v>0</v>
      </c>
      <c r="AW138" s="496"/>
      <c r="AX138" s="498">
        <v>0</v>
      </c>
      <c r="AY138" s="482">
        <f t="shared" si="398"/>
        <v>0</v>
      </c>
      <c r="AZ138" s="499">
        <v>0</v>
      </c>
      <c r="BA138" s="498">
        <v>0</v>
      </c>
      <c r="BB138" s="482">
        <f t="shared" si="399"/>
        <v>0</v>
      </c>
      <c r="BC138" s="499">
        <v>0</v>
      </c>
      <c r="BD138" s="498">
        <v>0</v>
      </c>
      <c r="BE138" s="482">
        <f t="shared" si="400"/>
        <v>0</v>
      </c>
      <c r="BF138" s="499">
        <v>0</v>
      </c>
      <c r="BG138" s="498">
        <v>0</v>
      </c>
      <c r="BH138" s="482">
        <f t="shared" si="401"/>
        <v>0</v>
      </c>
      <c r="BI138" s="499">
        <v>0</v>
      </c>
      <c r="BJ138" s="498">
        <v>0</v>
      </c>
      <c r="BK138" s="482">
        <f t="shared" si="402"/>
        <v>0</v>
      </c>
      <c r="BL138" s="499">
        <v>0</v>
      </c>
      <c r="BM138" s="498">
        <v>0</v>
      </c>
      <c r="BN138" s="482">
        <f t="shared" si="403"/>
        <v>0</v>
      </c>
      <c r="BO138" s="557">
        <v>0</v>
      </c>
      <c r="BP138" s="497">
        <f>BO138</f>
        <v>0</v>
      </c>
      <c r="BQ138" s="482">
        <f t="shared" si="404"/>
        <v>0</v>
      </c>
      <c r="BR138" s="495">
        <f>BP138</f>
        <v>0</v>
      </c>
      <c r="BS138" s="497">
        <f>BR138</f>
        <v>0</v>
      </c>
      <c r="BT138" s="482">
        <f t="shared" si="405"/>
        <v>0</v>
      </c>
      <c r="BU138" s="495">
        <f>BS138</f>
        <v>0</v>
      </c>
      <c r="BV138" s="497">
        <f>BU138</f>
        <v>0</v>
      </c>
      <c r="BW138" s="482">
        <f t="shared" si="406"/>
        <v>0</v>
      </c>
      <c r="BX138" s="495">
        <f>BV138</f>
        <v>0</v>
      </c>
      <c r="BY138" s="497">
        <f>BX138</f>
        <v>0</v>
      </c>
      <c r="BZ138" s="482">
        <f t="shared" si="407"/>
        <v>0</v>
      </c>
      <c r="CA138" s="495">
        <f>BY138</f>
        <v>0</v>
      </c>
      <c r="CB138" s="497">
        <f>CA138</f>
        <v>0</v>
      </c>
      <c r="CC138" s="482">
        <f t="shared" si="408"/>
        <v>0</v>
      </c>
      <c r="CD138" s="495">
        <f>CB138</f>
        <v>0</v>
      </c>
      <c r="CE138" s="497">
        <f>CD138</f>
        <v>0</v>
      </c>
      <c r="CF138" s="482">
        <f t="shared" si="409"/>
        <v>0</v>
      </c>
      <c r="CG138" s="495">
        <f>CE138</f>
        <v>0</v>
      </c>
      <c r="CH138" s="497">
        <f>CG138</f>
        <v>0</v>
      </c>
      <c r="CI138" s="482">
        <f t="shared" si="410"/>
        <v>0</v>
      </c>
      <c r="CJ138" s="495">
        <f>CH138</f>
        <v>0</v>
      </c>
      <c r="CK138" s="497">
        <f>CJ138</f>
        <v>0</v>
      </c>
      <c r="CL138" s="482">
        <f t="shared" si="411"/>
        <v>0</v>
      </c>
      <c r="CM138" s="495">
        <f>CK138</f>
        <v>0</v>
      </c>
      <c r="CN138" s="497">
        <f>CM138</f>
        <v>0</v>
      </c>
      <c r="CO138" s="482">
        <f t="shared" si="412"/>
        <v>0</v>
      </c>
      <c r="CP138" s="495">
        <f>CN138</f>
        <v>0</v>
      </c>
      <c r="CQ138" s="497">
        <f>CP138</f>
        <v>0</v>
      </c>
      <c r="CR138" s="482">
        <f t="shared" si="413"/>
        <v>0</v>
      </c>
      <c r="CS138" s="495">
        <f>CQ138</f>
        <v>0</v>
      </c>
      <c r="CT138" s="497">
        <f>CS138</f>
        <v>0</v>
      </c>
      <c r="CU138" s="482">
        <f t="shared" si="414"/>
        <v>0</v>
      </c>
      <c r="CV138" s="495">
        <f>CT138</f>
        <v>0</v>
      </c>
      <c r="CW138" s="497">
        <f>CV138</f>
        <v>0</v>
      </c>
      <c r="CX138" s="482">
        <f t="shared" si="415"/>
        <v>0</v>
      </c>
      <c r="CY138" s="495">
        <f>CW138</f>
        <v>0</v>
      </c>
      <c r="CZ138" s="497">
        <f>CY138</f>
        <v>0</v>
      </c>
      <c r="DA138" s="482">
        <f t="shared" si="416"/>
        <v>0</v>
      </c>
      <c r="DB138" s="495">
        <f>CZ138</f>
        <v>0</v>
      </c>
      <c r="DC138" s="497">
        <f>DB138</f>
        <v>0</v>
      </c>
      <c r="DD138" s="482">
        <f t="shared" si="417"/>
        <v>0</v>
      </c>
      <c r="DE138" s="495">
        <f>DC138</f>
        <v>0</v>
      </c>
      <c r="DF138" s="497">
        <f>DE138</f>
        <v>0</v>
      </c>
      <c r="DG138" s="482">
        <f t="shared" si="428"/>
        <v>0</v>
      </c>
      <c r="DH138" s="1252">
        <f>DF138</f>
        <v>0</v>
      </c>
      <c r="DI138" s="534">
        <f>DH138</f>
        <v>0</v>
      </c>
      <c r="DJ138" s="482">
        <f t="shared" si="418"/>
        <v>0</v>
      </c>
      <c r="DK138" s="1262">
        <f>DI138</f>
        <v>0</v>
      </c>
      <c r="DL138" s="534">
        <f>DK138</f>
        <v>0</v>
      </c>
      <c r="DM138" s="482">
        <f t="shared" si="419"/>
        <v>0</v>
      </c>
      <c r="DN138" s="1262">
        <f>DL138</f>
        <v>0</v>
      </c>
      <c r="DO138" s="534">
        <f>DN138</f>
        <v>0</v>
      </c>
      <c r="DP138" s="482">
        <f t="shared" si="420"/>
        <v>0</v>
      </c>
      <c r="DQ138" s="1262">
        <f>DO138</f>
        <v>0</v>
      </c>
      <c r="DR138" s="534">
        <f>DQ138</f>
        <v>0</v>
      </c>
      <c r="DS138" s="482">
        <f t="shared" si="370"/>
        <v>0</v>
      </c>
      <c r="DT138" s="1262">
        <f>DR138</f>
        <v>0</v>
      </c>
      <c r="DU138" s="534">
        <f>DT138</f>
        <v>0</v>
      </c>
      <c r="DV138" s="482">
        <f t="shared" si="424"/>
        <v>0</v>
      </c>
      <c r="DW138" s="1262">
        <f>DU138</f>
        <v>0</v>
      </c>
      <c r="DX138" s="534">
        <f>DW138</f>
        <v>0</v>
      </c>
      <c r="DY138" s="482">
        <f t="shared" si="372"/>
        <v>0</v>
      </c>
      <c r="DZ138" s="1262">
        <f>DX138</f>
        <v>0</v>
      </c>
      <c r="EA138" s="534">
        <f>DZ138</f>
        <v>0</v>
      </c>
      <c r="EB138" s="482">
        <f t="shared" si="373"/>
        <v>0</v>
      </c>
      <c r="EC138" s="1262">
        <f>EA138</f>
        <v>0</v>
      </c>
      <c r="ED138" s="534">
        <f>EC138</f>
        <v>0</v>
      </c>
      <c r="EE138" s="482">
        <f t="shared" si="374"/>
        <v>0</v>
      </c>
      <c r="EF138" s="1262">
        <f>ED138</f>
        <v>0</v>
      </c>
      <c r="EG138" s="534">
        <f>EF138</f>
        <v>0</v>
      </c>
      <c r="EH138" s="482">
        <f t="shared" si="375"/>
        <v>0</v>
      </c>
      <c r="EI138" s="1262">
        <f>EG138</f>
        <v>0</v>
      </c>
      <c r="EJ138" s="534">
        <f>EI138</f>
        <v>0</v>
      </c>
      <c r="EK138" s="482">
        <f t="shared" si="376"/>
        <v>0</v>
      </c>
      <c r="EL138" s="1262">
        <f>EJ138</f>
        <v>0</v>
      </c>
      <c r="EM138" s="534">
        <f>EL138</f>
        <v>0</v>
      </c>
      <c r="EN138" s="482">
        <f t="shared" si="377"/>
        <v>0</v>
      </c>
      <c r="EO138" s="1262">
        <f>EM138</f>
        <v>0</v>
      </c>
      <c r="EP138" s="534">
        <f>EO138</f>
        <v>0</v>
      </c>
      <c r="EQ138" s="482">
        <f t="shared" si="378"/>
        <v>0</v>
      </c>
      <c r="ER138" s="1262">
        <f>EP138</f>
        <v>0</v>
      </c>
      <c r="ES138" s="534">
        <f>ER138</f>
        <v>0</v>
      </c>
      <c r="ET138" s="482">
        <f t="shared" si="425"/>
        <v>0</v>
      </c>
      <c r="EU138" s="1262">
        <f>ES138</f>
        <v>0</v>
      </c>
      <c r="EV138" s="534">
        <f>EU138</f>
        <v>0</v>
      </c>
      <c r="EW138" s="482">
        <f t="shared" si="426"/>
        <v>0</v>
      </c>
      <c r="EX138" s="1262">
        <f>EV138</f>
        <v>0</v>
      </c>
      <c r="EY138" s="534">
        <f>EX138</f>
        <v>0</v>
      </c>
      <c r="EZ138" s="482">
        <f t="shared" si="427"/>
        <v>0</v>
      </c>
      <c r="FA138" s="1262">
        <f>EY138</f>
        <v>0</v>
      </c>
      <c r="FE138"/>
      <c r="FF138"/>
      <c r="FG138"/>
      <c r="FH138"/>
      <c r="FI138"/>
      <c r="FJ138"/>
      <c r="FK138" s="35"/>
    </row>
    <row r="139" spans="2:167" s="236" customFormat="1" ht="13.35" customHeight="1" outlineLevel="1">
      <c r="B139" s="242" t="s">
        <v>436</v>
      </c>
      <c r="C139" s="242" t="s">
        <v>496</v>
      </c>
      <c r="D139" s="243"/>
      <c r="E139" s="533">
        <f>+E115+E116+E117+E138</f>
        <v>0</v>
      </c>
      <c r="F139" s="509">
        <f t="shared" si="383"/>
        <v>0</v>
      </c>
      <c r="G139" s="533">
        <f>+G115+G116+G117+G138</f>
        <v>0</v>
      </c>
      <c r="H139" s="533">
        <f>+H115+H116+H117+H138</f>
        <v>0</v>
      </c>
      <c r="I139" s="509">
        <f t="shared" si="384"/>
        <v>0</v>
      </c>
      <c r="J139" s="533">
        <f>+J115+J116+J117+J138</f>
        <v>0</v>
      </c>
      <c r="K139" s="533">
        <f>+K115+K116+K117+K138</f>
        <v>0</v>
      </c>
      <c r="L139" s="509">
        <f t="shared" si="385"/>
        <v>0</v>
      </c>
      <c r="M139" s="533">
        <f>+M115+M116+M117+M138</f>
        <v>0</v>
      </c>
      <c r="N139" s="533">
        <f>+N115+N116+N117+N138</f>
        <v>0</v>
      </c>
      <c r="O139" s="509">
        <f t="shared" si="386"/>
        <v>0</v>
      </c>
      <c r="P139" s="533">
        <f>+P115+P116+P117+P138</f>
        <v>0</v>
      </c>
      <c r="Q139" s="533">
        <f>+Q115+Q116+Q117+Q138</f>
        <v>0</v>
      </c>
      <c r="R139" s="509">
        <f t="shared" si="387"/>
        <v>0</v>
      </c>
      <c r="S139" s="533">
        <f>+S115+S116+S117+S138</f>
        <v>0</v>
      </c>
      <c r="T139" s="533">
        <f>+T115+T116+T117+T138</f>
        <v>0</v>
      </c>
      <c r="U139" s="509">
        <f t="shared" si="388"/>
        <v>0</v>
      </c>
      <c r="V139" s="533">
        <f>+V115+V116+V117+V138</f>
        <v>0</v>
      </c>
      <c r="W139" s="533">
        <f>+W115+W116+W117+W138</f>
        <v>0</v>
      </c>
      <c r="X139" s="509">
        <f t="shared" si="389"/>
        <v>0</v>
      </c>
      <c r="Y139" s="533">
        <f>+Y115+Y116+Y117+Y138</f>
        <v>0</v>
      </c>
      <c r="Z139" s="533">
        <f>+Z115+Z116+Z117+Z138</f>
        <v>0</v>
      </c>
      <c r="AA139" s="509">
        <f t="shared" si="390"/>
        <v>0</v>
      </c>
      <c r="AB139" s="533">
        <f>+AB115+AB116+AB117+AB138</f>
        <v>0</v>
      </c>
      <c r="AC139" s="533">
        <f>+AC115+AC116+AC117+AC138</f>
        <v>0</v>
      </c>
      <c r="AD139" s="509">
        <f t="shared" si="391"/>
        <v>0</v>
      </c>
      <c r="AE139" s="533">
        <f>+AE115+AE116+AE117+AE138</f>
        <v>0</v>
      </c>
      <c r="AF139" s="533">
        <f>+AF115+AF116+AF117+AF138</f>
        <v>0</v>
      </c>
      <c r="AG139" s="509">
        <f t="shared" si="392"/>
        <v>0</v>
      </c>
      <c r="AH139" s="533">
        <f>+AH115+AH116+AH117+AH138</f>
        <v>0</v>
      </c>
      <c r="AI139" s="533">
        <f>+AI115+AI116+AI117+AI138</f>
        <v>4.5949999999999998</v>
      </c>
      <c r="AJ139" s="509">
        <f t="shared" si="393"/>
        <v>5.7809999999999997</v>
      </c>
      <c r="AK139" s="533">
        <f>+AK115+AK116+AK117+AK138</f>
        <v>10.375999999999999</v>
      </c>
      <c r="AL139" s="533">
        <f>+AL115+AL116+AL117+AL138</f>
        <v>5.1269999999999998</v>
      </c>
      <c r="AM139" s="509">
        <f t="shared" si="394"/>
        <v>5.7359999999999998</v>
      </c>
      <c r="AN139" s="533">
        <f>+AN115+AN116+AN117+AN138</f>
        <v>10.863</v>
      </c>
      <c r="AO139" s="533">
        <f>+AO115+AO116+AO117+AO138</f>
        <v>4.5220000000000002</v>
      </c>
      <c r="AP139" s="509">
        <f t="shared" si="395"/>
        <v>6.2870000000000008</v>
      </c>
      <c r="AQ139" s="533">
        <f>+AQ115+AQ116+AQ117+AQ138</f>
        <v>10.809000000000001</v>
      </c>
      <c r="AR139" s="533">
        <f>+AR115+AR116+AR117+AR138</f>
        <v>5.4249999999999998</v>
      </c>
      <c r="AS139" s="509">
        <f t="shared" si="396"/>
        <v>7.86</v>
      </c>
      <c r="AT139" s="533">
        <f>+AT115+AT116+AT117+AT138</f>
        <v>13.285</v>
      </c>
      <c r="AU139" s="533">
        <f>+AU115+AU116+AU117+AU138</f>
        <v>6.6429999999999998</v>
      </c>
      <c r="AV139" s="509">
        <f t="shared" si="397"/>
        <v>9.6839999999999975</v>
      </c>
      <c r="AW139" s="533">
        <f>+AW115+AW116+AW117+AW138</f>
        <v>16.326999999999998</v>
      </c>
      <c r="AX139" s="533">
        <f>+AX115+AX116+AX117+AX138</f>
        <v>10.324000000000002</v>
      </c>
      <c r="AY139" s="482">
        <f t="shared" si="398"/>
        <v>9.8429999999999964</v>
      </c>
      <c r="AZ139" s="533">
        <f>+AZ115+AZ116+AZ117+AZ138</f>
        <v>20.166999999999998</v>
      </c>
      <c r="BA139" s="533">
        <f>+BA115+BA116+BA117+BA138</f>
        <v>15.873000000000001</v>
      </c>
      <c r="BB139" s="509">
        <f t="shared" si="399"/>
        <v>15.305</v>
      </c>
      <c r="BC139" s="533">
        <f>+BC115+BC116+BC117+BC138</f>
        <v>31.178000000000001</v>
      </c>
      <c r="BD139" s="533">
        <f>+BD115+BD116+BD117+BD138</f>
        <v>17.399999999999995</v>
      </c>
      <c r="BE139" s="509">
        <f t="shared" si="400"/>
        <v>22.810000000000006</v>
      </c>
      <c r="BF139" s="533">
        <f>+BF115+BF116+BF117+BF138</f>
        <v>40.21</v>
      </c>
      <c r="BG139" s="533">
        <f>+BG115+BG116+BG117+BG138</f>
        <v>27.015000000000001</v>
      </c>
      <c r="BH139" s="509">
        <f t="shared" si="401"/>
        <v>31.169000000000004</v>
      </c>
      <c r="BI139" s="533">
        <f>+BI115+BI116+BI117+BI138</f>
        <v>58.184000000000005</v>
      </c>
      <c r="BJ139" s="533">
        <f>+BJ115+BJ116+BJ117+BJ138</f>
        <v>26.880000000000003</v>
      </c>
      <c r="BK139" s="509">
        <f t="shared" si="402"/>
        <v>9.8810000000000002</v>
      </c>
      <c r="BL139" s="533">
        <f>+BL115+BL116+BL117+BL138</f>
        <v>36.761000000000003</v>
      </c>
      <c r="BM139" s="533">
        <f>+BM115+BM116+BM117+BM138</f>
        <v>29.465</v>
      </c>
      <c r="BN139" s="509">
        <f t="shared" si="403"/>
        <v>29.009000000000004</v>
      </c>
      <c r="BO139" s="533">
        <f>+BO115+BO116+BO117+BO138</f>
        <v>58.474000000000004</v>
      </c>
      <c r="BP139" s="533">
        <f>+BP115+BP116+BP117+BP138</f>
        <v>43.009</v>
      </c>
      <c r="BQ139" s="509">
        <f t="shared" si="404"/>
        <v>37.022999999999996</v>
      </c>
      <c r="BR139" s="533">
        <f>+BR115+BR116+BR117+BR138</f>
        <v>80.031999999999996</v>
      </c>
      <c r="BS139" s="533">
        <f>+BS115+BS116+BS117+BS138</f>
        <v>48.798000000000009</v>
      </c>
      <c r="BT139" s="509">
        <f t="shared" si="405"/>
        <v>51.332999999999977</v>
      </c>
      <c r="BU139" s="533">
        <f>+BU115+BU116+BU117+BU138</f>
        <v>100.13099999999999</v>
      </c>
      <c r="BV139" s="533">
        <f>+BV115+BV116+BV117+BV138</f>
        <v>57.113000000000007</v>
      </c>
      <c r="BW139" s="509">
        <f t="shared" si="406"/>
        <v>58.121000000000002</v>
      </c>
      <c r="BX139" s="533">
        <f>+BX115+BX116+BX117+BX138</f>
        <v>115.23400000000001</v>
      </c>
      <c r="BY139" s="533">
        <f>+BY115+BY116+BY117+BY138</f>
        <v>69.935999999999993</v>
      </c>
      <c r="BZ139" s="509">
        <f t="shared" si="407"/>
        <v>60.603999999999999</v>
      </c>
      <c r="CA139" s="533">
        <f>+CA115+CA116+CA117+CA138</f>
        <v>130.54</v>
      </c>
      <c r="CB139" s="533">
        <f>+CB115+CB116+CB117+CB138</f>
        <v>75.247000000000014</v>
      </c>
      <c r="CC139" s="509">
        <f t="shared" si="408"/>
        <v>79.904999999999973</v>
      </c>
      <c r="CD139" s="533">
        <f>+CD115+CD116+CD117+CD138</f>
        <v>155.15199999999999</v>
      </c>
      <c r="CE139" s="533">
        <f>+CE115+CE116+CE117+CE138</f>
        <v>87.225999999999999</v>
      </c>
      <c r="CF139" s="509">
        <f t="shared" si="409"/>
        <v>97.179000000000002</v>
      </c>
      <c r="CG139" s="533">
        <f>+CG115+CG116+CG117+CG138</f>
        <v>184.405</v>
      </c>
      <c r="CH139" s="533">
        <f>+CH115+CH116+CH117+CH138</f>
        <v>-20.389000000000017</v>
      </c>
      <c r="CI139" s="509">
        <f t="shared" si="410"/>
        <v>77.188999999999993</v>
      </c>
      <c r="CJ139" s="533">
        <f>+CJ115+CJ116+CJ117+CJ138</f>
        <v>56.799999999999983</v>
      </c>
      <c r="CK139" s="533">
        <f>+CK115+CK116+CK117+CK138</f>
        <v>77.665000000000006</v>
      </c>
      <c r="CL139" s="509">
        <f t="shared" si="411"/>
        <v>54.897999999999982</v>
      </c>
      <c r="CM139" s="533">
        <f>+CM115+CM116+CM117+CM138</f>
        <v>132.56299999999999</v>
      </c>
      <c r="CN139" s="533">
        <f>+CN115+CN116+CN117+CN138</f>
        <v>21.044999999999998</v>
      </c>
      <c r="CO139" s="509">
        <f t="shared" si="412"/>
        <v>72.663999999999987</v>
      </c>
      <c r="CP139" s="533">
        <f>+CP115+CP116+CP117+CP138</f>
        <v>93.708999999999989</v>
      </c>
      <c r="CQ139" s="533">
        <f>+CQ115+CQ116+CQ117+CQ138</f>
        <v>71.375</v>
      </c>
      <c r="CR139" s="509">
        <f t="shared" si="413"/>
        <v>74.465000000000003</v>
      </c>
      <c r="CS139" s="533">
        <f>+CS115+CS116+CS117+CS138</f>
        <v>145.84</v>
      </c>
      <c r="CT139" s="533">
        <f>+CT115+CT116+CT117+CT138</f>
        <v>94.033000000000001</v>
      </c>
      <c r="CU139" s="509">
        <f t="shared" si="414"/>
        <v>94.887999999999991</v>
      </c>
      <c r="CV139" s="533">
        <f>+CV115+CV116+CV117+CV138</f>
        <v>188.92099999999999</v>
      </c>
      <c r="CW139" s="533">
        <f>+CW115+CW116+CW117+CW138</f>
        <v>111.36944</v>
      </c>
      <c r="CX139" s="509">
        <f t="shared" si="415"/>
        <v>112.24655999999999</v>
      </c>
      <c r="CY139" s="533">
        <f>+CY115+CY116+CY117+CY138</f>
        <v>223.61599999999999</v>
      </c>
      <c r="CZ139" s="533">
        <f>+CZ115+CZ116+CZ117+CZ138</f>
        <v>110.79999999999998</v>
      </c>
      <c r="DA139" s="509">
        <f t="shared" si="416"/>
        <v>135.00000000000003</v>
      </c>
      <c r="DB139" s="533">
        <f>+DB115+DB116+DB117+DB138</f>
        <v>245.8</v>
      </c>
      <c r="DC139" s="533">
        <f>+DC115+DC116+DC117+DC138</f>
        <v>128.60000000000002</v>
      </c>
      <c r="DD139" s="509">
        <f t="shared" si="417"/>
        <v>137.29999999999995</v>
      </c>
      <c r="DE139" s="533">
        <f>+DE115+DE116+DE117+DE138</f>
        <v>265.89999999999998</v>
      </c>
      <c r="DF139" s="533">
        <f>+DF115+DF116+DF117+DF138</f>
        <v>132.69999999999996</v>
      </c>
      <c r="DG139" s="509">
        <f t="shared" si="428"/>
        <v>21.100000000000051</v>
      </c>
      <c r="DH139" s="1261">
        <f>+DH115+DH116+DH117+DH138</f>
        <v>153.80000000000001</v>
      </c>
      <c r="DI139" s="534">
        <f>+DI115+DI116+DI117+DI138</f>
        <v>125.69</v>
      </c>
      <c r="DJ139" s="482">
        <f t="shared" si="418"/>
        <v>114.94</v>
      </c>
      <c r="DK139" s="1262">
        <f>+DK115+DK116+DK117+DK138</f>
        <v>240.63</v>
      </c>
      <c r="DL139" s="534">
        <f>+DL115+DL116+DL117+DL138</f>
        <v>173.14000000000001</v>
      </c>
      <c r="DM139" s="482">
        <f t="shared" si="419"/>
        <v>131.08000000000001</v>
      </c>
      <c r="DN139" s="1262">
        <f>+DN115+DN116+DN117+DN138</f>
        <v>304.22000000000003</v>
      </c>
      <c r="DO139" s="534">
        <f>+DO115+DO116+DO117+DO138</f>
        <v>153.74</v>
      </c>
      <c r="DP139" s="482">
        <f t="shared" si="420"/>
        <v>173.81</v>
      </c>
      <c r="DQ139" s="1262">
        <f>+DQ115+DQ116+DQ117+DQ138</f>
        <v>327.55</v>
      </c>
      <c r="DR139" s="534">
        <f>+DR115+DR116+DR117+DR138</f>
        <v>202.82999999999996</v>
      </c>
      <c r="DS139" s="482">
        <f t="shared" si="370"/>
        <v>175.17999999999998</v>
      </c>
      <c r="DT139" s="1262">
        <f>+DT115+DT116+DT117+DT138</f>
        <v>378.00999999999993</v>
      </c>
      <c r="DU139" s="534">
        <f>+DU115+DU116+DU117+DU138</f>
        <v>205.08999999999997</v>
      </c>
      <c r="DV139" s="482">
        <f t="shared" si="424"/>
        <v>183.81</v>
      </c>
      <c r="DW139" s="1262">
        <f>+DW115+DW116+DW117+DW138</f>
        <v>388.9</v>
      </c>
      <c r="DX139" s="534">
        <f>+DX115+DX116+DX117+DX138</f>
        <v>161.50000000000006</v>
      </c>
      <c r="DY139" s="482">
        <f t="shared" si="372"/>
        <v>170.56495297475243</v>
      </c>
      <c r="DZ139" s="1262">
        <f>+DZ115+DZ116+DZ117+DZ138</f>
        <v>332.06495297475249</v>
      </c>
      <c r="EA139" s="534">
        <f>+EA115+EA116+EA117+EA138</f>
        <v>208.78288198280904</v>
      </c>
      <c r="EB139" s="482">
        <f t="shared" si="373"/>
        <v>215.97310037358784</v>
      </c>
      <c r="EC139" s="1262">
        <f>+EC115+EC116+EC117+EC138</f>
        <v>424.75598235639688</v>
      </c>
      <c r="ED139" s="534">
        <f>+ED115+ED116+ED117+ED138</f>
        <v>260.8416567151105</v>
      </c>
      <c r="EE139" s="482">
        <f t="shared" si="374"/>
        <v>269.01603818798242</v>
      </c>
      <c r="EF139" s="1262">
        <f>+EF115+EF116+EF117+EF138</f>
        <v>529.85769490309292</v>
      </c>
      <c r="EG139" s="534">
        <f>+EG115+EG116+EG117+EG138</f>
        <v>289.72905851376896</v>
      </c>
      <c r="EH139" s="482">
        <f t="shared" si="375"/>
        <v>298.79174864697194</v>
      </c>
      <c r="EI139" s="1262">
        <f>+EI115+EI116+EI117+EI138</f>
        <v>588.5208071607409</v>
      </c>
      <c r="EJ139" s="534">
        <f>+EJ115+EJ116+EJ117+EJ138</f>
        <v>319.50187721472264</v>
      </c>
      <c r="EK139" s="482">
        <f t="shared" si="376"/>
        <v>329.48417797070886</v>
      </c>
      <c r="EL139" s="1262">
        <f>+EL115+EL116+EL117+EL138</f>
        <v>648.9860551854315</v>
      </c>
      <c r="EM139" s="534">
        <f>+EM115+EM116+EM117+EM138</f>
        <v>350.75124275068288</v>
      </c>
      <c r="EN139" s="482">
        <f t="shared" si="377"/>
        <v>361.67728084541432</v>
      </c>
      <c r="EO139" s="1262">
        <f>+EO115+EO116+EO117+EO138</f>
        <v>712.42852359609719</v>
      </c>
      <c r="EP139" s="534">
        <f>+EP115+EP116+EP117+EP138</f>
        <v>384.01284734902202</v>
      </c>
      <c r="EQ139" s="482">
        <f t="shared" si="378"/>
        <v>395.92222887227962</v>
      </c>
      <c r="ER139" s="1262">
        <f>+ER115+ER116+ER117+ER138</f>
        <v>779.93507622130164</v>
      </c>
      <c r="ES139" s="534">
        <f>+ES115+ES116+ES117+ES138</f>
        <v>420.32850032569968</v>
      </c>
      <c r="ET139" s="482">
        <f t="shared" si="425"/>
        <v>433.30972618605028</v>
      </c>
      <c r="EU139" s="1262">
        <f>+EU115+EU116+EU117+EU138</f>
        <v>853.63822651174996</v>
      </c>
      <c r="EV139" s="534">
        <f>+EV115+EV116+EV117+EV138</f>
        <v>459.97999412878312</v>
      </c>
      <c r="EW139" s="482">
        <f t="shared" si="426"/>
        <v>474.12953031656548</v>
      </c>
      <c r="EX139" s="1262">
        <f>+EX115+EX116+EX117+EX138</f>
        <v>934.1095244453486</v>
      </c>
      <c r="EY139" s="534">
        <f>+EY115+EY116+EY117+EY138</f>
        <v>503.27613060908709</v>
      </c>
      <c r="EZ139" s="482">
        <f t="shared" si="427"/>
        <v>518.69912505376976</v>
      </c>
      <c r="FA139" s="1262">
        <f>+FA115+FA116+FA117+FA138</f>
        <v>1021.9752556628569</v>
      </c>
      <c r="FE139"/>
      <c r="FF139"/>
      <c r="FG139"/>
      <c r="FH139"/>
      <c r="FI139"/>
      <c r="FJ139"/>
      <c r="FK139" s="35"/>
    </row>
    <row r="140" spans="2:167" s="236" customFormat="1" ht="13.35" customHeight="1" outlineLevel="1">
      <c r="B140" s="242" t="s">
        <v>18</v>
      </c>
      <c r="C140" s="242" t="s">
        <v>496</v>
      </c>
      <c r="D140" s="243"/>
      <c r="E140" s="534"/>
      <c r="F140" s="482"/>
      <c r="G140" s="534"/>
      <c r="H140" s="534"/>
      <c r="I140" s="482"/>
      <c r="J140" s="534"/>
      <c r="K140" s="534"/>
      <c r="L140" s="482"/>
      <c r="M140" s="534"/>
      <c r="N140" s="534"/>
      <c r="O140" s="482"/>
      <c r="P140" s="534"/>
      <c r="Q140" s="534"/>
      <c r="R140" s="482"/>
      <c r="S140" s="534"/>
      <c r="T140" s="534"/>
      <c r="U140" s="482"/>
      <c r="V140" s="534"/>
      <c r="W140" s="534"/>
      <c r="X140" s="482"/>
      <c r="Y140" s="534"/>
      <c r="Z140" s="534"/>
      <c r="AA140" s="482"/>
      <c r="AB140" s="534"/>
      <c r="AC140" s="534"/>
      <c r="AD140" s="482"/>
      <c r="AE140" s="534"/>
      <c r="AF140" s="534"/>
      <c r="AG140" s="482"/>
      <c r="AH140" s="534"/>
      <c r="AI140" s="534"/>
      <c r="AJ140" s="482"/>
      <c r="AK140" s="482">
        <f t="shared" ref="AK140:AW140" si="429">+((AK139+AK411)/AK400)*100</f>
        <v>20.751999999999999</v>
      </c>
      <c r="AL140" s="482">
        <f t="shared" si="429"/>
        <v>10.06053538936006</v>
      </c>
      <c r="AM140" s="482">
        <f t="shared" si="429"/>
        <v>11.234398149575945</v>
      </c>
      <c r="AN140" s="482">
        <f t="shared" si="429"/>
        <v>21.294933538936004</v>
      </c>
      <c r="AO140" s="482">
        <f t="shared" si="429"/>
        <v>8.8943827293754811</v>
      </c>
      <c r="AP140" s="482">
        <f t="shared" si="429"/>
        <v>12.095518818428001</v>
      </c>
      <c r="AQ140" s="482">
        <f t="shared" si="429"/>
        <v>20.995875540158526</v>
      </c>
      <c r="AR140" s="482">
        <f t="shared" si="429"/>
        <v>10.625024388370395</v>
      </c>
      <c r="AS140" s="482">
        <f t="shared" si="429"/>
        <v>15.303164252507012</v>
      </c>
      <c r="AT140" s="482">
        <f t="shared" si="429"/>
        <v>25.92729010448679</v>
      </c>
      <c r="AU140" s="482">
        <f t="shared" si="429"/>
        <v>12.988364920252424</v>
      </c>
      <c r="AV140" s="482">
        <f t="shared" si="429"/>
        <v>18.857261554466451</v>
      </c>
      <c r="AW140" s="482">
        <f t="shared" si="429"/>
        <v>31.888805858894791</v>
      </c>
      <c r="AX140" s="482">
        <f>+((AX139)/AX385)*100</f>
        <v>20.203127140369077</v>
      </c>
      <c r="AY140" s="482">
        <f t="shared" si="398"/>
        <v>19.22501137719</v>
      </c>
      <c r="AZ140" s="482">
        <f>+((AZ139)/AZ385)*100</f>
        <v>39.428138517559077</v>
      </c>
      <c r="BA140" s="482">
        <f>+((BA139)/BA385)*100</f>
        <v>30.515155928063592</v>
      </c>
      <c r="BB140" s="482">
        <f t="shared" si="399"/>
        <v>29.422527567171144</v>
      </c>
      <c r="BC140" s="482">
        <f>+((BC139)/BC385)*100</f>
        <v>59.937683495234737</v>
      </c>
      <c r="BD140" s="482">
        <f>+((BD139)/BD385)*100</f>
        <v>33.45037182683572</v>
      </c>
      <c r="BE140" s="482">
        <f t="shared" si="400"/>
        <v>43.1398928286238</v>
      </c>
      <c r="BF140" s="482">
        <f>+((BF139)/BF385)*100</f>
        <v>76.590264655459521</v>
      </c>
      <c r="BG140" s="482">
        <f>+((BG139)/BG385)*100</f>
        <v>51.457000737807491</v>
      </c>
      <c r="BH140" s="482">
        <f t="shared" si="401"/>
        <v>58.178192415457374</v>
      </c>
      <c r="BI140" s="482">
        <f>+((BI139)/BI385)*100</f>
        <v>109.63519315326486</v>
      </c>
      <c r="BJ140" s="482">
        <f>+((BJ139)/BJ385)*100</f>
        <v>49.629175160523985</v>
      </c>
      <c r="BK140" s="482">
        <f t="shared" si="402"/>
        <v>15.933771638218815</v>
      </c>
      <c r="BL140" s="482">
        <f>+((35.51)/BL385)*100</f>
        <v>65.5629467987428</v>
      </c>
      <c r="BM140" s="482">
        <f>+((BM139)/BM385)*100</f>
        <v>54.401921358066929</v>
      </c>
      <c r="BN140" s="482">
        <f t="shared" si="403"/>
        <v>53.559997850879469</v>
      </c>
      <c r="BO140" s="482">
        <f>+((BO139)/BO385)*100</f>
        <v>107.9619192089464</v>
      </c>
      <c r="BP140" s="482">
        <f>+((BP139)/BP385)*100</f>
        <v>79.408526580319034</v>
      </c>
      <c r="BQ140" s="482">
        <f t="shared" si="404"/>
        <v>68.356434225002943</v>
      </c>
      <c r="BR140" s="482">
        <f>+((BR139)/BR385)*100</f>
        <v>147.76496080532198</v>
      </c>
      <c r="BS140" s="482">
        <f>+((BS139)/BS385)*100</f>
        <v>89.176507094482929</v>
      </c>
      <c r="BT140" s="482">
        <f t="shared" si="405"/>
        <v>93.809124117404195</v>
      </c>
      <c r="BU140" s="482">
        <f>+((BU139)/BU385)*100</f>
        <v>182.98563121188712</v>
      </c>
      <c r="BV140" s="482">
        <f>+((BV139)/BV385)*100</f>
        <v>102.67902489714211</v>
      </c>
      <c r="BW140" s="482">
        <f t="shared" si="406"/>
        <v>104.49122977337552</v>
      </c>
      <c r="BX140" s="482">
        <f>+((BX139)/BX385)*100</f>
        <v>207.17025467051764</v>
      </c>
      <c r="BY140" s="482">
        <f>+((BY139)/BY385)*100</f>
        <v>125.46101352284806</v>
      </c>
      <c r="BZ140" s="482">
        <f t="shared" si="407"/>
        <v>107.43094132679862</v>
      </c>
      <c r="CA140" s="482">
        <f>+((CA139)/CA385)*100</f>
        <v>232.89195484964668</v>
      </c>
      <c r="CB140" s="482">
        <f>+((CB139)/CB385)*100</f>
        <v>134.04276043685184</v>
      </c>
      <c r="CC140" s="482">
        <f t="shared" si="408"/>
        <v>141.97560701000248</v>
      </c>
      <c r="CD140" s="482">
        <f>+((CD139)/CD385)*100</f>
        <v>276.01836744685431</v>
      </c>
      <c r="CE140" s="482">
        <f>+((CE139)/CE385)*100</f>
        <v>154.28059311059133</v>
      </c>
      <c r="CF140" s="482">
        <f t="shared" si="409"/>
        <v>173.45931599523567</v>
      </c>
      <c r="CG140" s="482">
        <f>+((CG139)/CG385)*100</f>
        <v>327.739909105827</v>
      </c>
      <c r="CH140" s="482">
        <f>+((CH139)/CH385)*100</f>
        <v>-35.908832038688089</v>
      </c>
      <c r="CI140" s="482">
        <f t="shared" si="410"/>
        <v>135.68147688081473</v>
      </c>
      <c r="CJ140" s="482">
        <f>+((CJ139)/CJ385)*100</f>
        <v>99.772644842126624</v>
      </c>
      <c r="CK140" s="482">
        <f>+((CK139)/CK385)*100</f>
        <v>136.56596720883465</v>
      </c>
      <c r="CL140" s="482">
        <f t="shared" si="411"/>
        <v>96.449311100399996</v>
      </c>
      <c r="CM140" s="482">
        <f>+((CM139)/CM385)*100</f>
        <v>233.01527830923465</v>
      </c>
      <c r="CN140" s="482">
        <f>+((CN139)/CN385)*100</f>
        <v>36.97009963042197</v>
      </c>
      <c r="CO140" s="482">
        <f t="shared" si="412"/>
        <v>127.72246136746074</v>
      </c>
      <c r="CP140" s="482">
        <f>+((CP139)/CP385)*100</f>
        <v>164.69256099788271</v>
      </c>
      <c r="CQ140" s="482">
        <f>+((CQ139)/CQ385)*100</f>
        <v>125.33969251763217</v>
      </c>
      <c r="CR140" s="482">
        <f t="shared" si="413"/>
        <v>130.97254105578355</v>
      </c>
      <c r="CS140" s="482">
        <f>+((CS139)/CS385)*100</f>
        <v>256.31223357341571</v>
      </c>
      <c r="CT140" s="482">
        <f>+((CT139)/CT385)*100</f>
        <v>165.09392637014196</v>
      </c>
      <c r="CU140" s="482">
        <f t="shared" si="414"/>
        <v>165.19179199154888</v>
      </c>
      <c r="CV140" s="482">
        <f>+((CV139)/CV385)*100</f>
        <v>330.28571836169084</v>
      </c>
      <c r="CW140" s="482">
        <f>+((CW139)/CW385)*100</f>
        <v>194.70432346821806</v>
      </c>
      <c r="CX140" s="482">
        <f t="shared" si="415"/>
        <v>196.23776977270197</v>
      </c>
      <c r="CY140" s="482">
        <f>+((CY139)/CY385)*100</f>
        <v>390.94209324092003</v>
      </c>
      <c r="CZ140" s="482">
        <f>+((CZ139)/CZ385)*100</f>
        <v>192.66842058688505</v>
      </c>
      <c r="DA140" s="482">
        <f t="shared" si="416"/>
        <v>234.45462247538907</v>
      </c>
      <c r="DB140" s="482">
        <f>+((DB139)/DB385)*100</f>
        <v>427.12304306227412</v>
      </c>
      <c r="DC140" s="482">
        <f>+((DC139)/DC385)*100</f>
        <v>223.02742947759086</v>
      </c>
      <c r="DD140" s="482">
        <f t="shared" si="417"/>
        <v>237.67813685230678</v>
      </c>
      <c r="DE140" s="482">
        <f>+((DE139)/DE385)*100</f>
        <v>460.70556632989764</v>
      </c>
      <c r="DF140" s="482">
        <f>+((DF139)/DF385)*100</f>
        <v>229.6251899144809</v>
      </c>
      <c r="DG140" s="482">
        <f t="shared" si="428"/>
        <v>4.5140747195504503</v>
      </c>
      <c r="DH140" s="1244">
        <f>+((DH139)/DH385)*100</f>
        <v>234.13926463403135</v>
      </c>
      <c r="DI140" s="482">
        <f>+((DI139)/DI385)*100</f>
        <v>191.24102706580132</v>
      </c>
      <c r="DJ140" s="482">
        <f t="shared" si="418"/>
        <v>174.76912520981503</v>
      </c>
      <c r="DK140" s="1244">
        <f>+((DK139)/DK385)*100</f>
        <v>366.01015227561635</v>
      </c>
      <c r="DL140" s="482">
        <f>+((DL139)/DL385)*100</f>
        <v>263.26788646338991</v>
      </c>
      <c r="DM140" s="482">
        <f t="shared" si="419"/>
        <v>199.2458833250106</v>
      </c>
      <c r="DN140" s="1244">
        <f>+((DN139)/DN385)*100</f>
        <v>462.51376978840051</v>
      </c>
      <c r="DO140" s="482">
        <f>+((DO139)/DO385)*100</f>
        <v>233.72120198372048</v>
      </c>
      <c r="DP140" s="482">
        <f t="shared" si="420"/>
        <v>265.04806144683539</v>
      </c>
      <c r="DQ140" s="1244">
        <f>+((DQ139)/DQ385)*100</f>
        <v>498.76926343055584</v>
      </c>
      <c r="DR140" s="482">
        <f>+((DR139)/DR385)*100</f>
        <v>309.32575753890217</v>
      </c>
      <c r="DS140" s="482">
        <f t="shared" si="370"/>
        <v>267.84019775900583</v>
      </c>
      <c r="DT140" s="1244">
        <f>+((DT139)/DT385)*100</f>
        <v>577.165955297908</v>
      </c>
      <c r="DU140" s="482">
        <f>+((DU139)/DU385)*100</f>
        <v>313.14241890967958</v>
      </c>
      <c r="DV140" s="482">
        <f t="shared" si="424"/>
        <v>281.0592393820134</v>
      </c>
      <c r="DW140" s="1244">
        <f>+((DW139)/DW385)*100</f>
        <v>594.20165829169298</v>
      </c>
      <c r="DX140" s="482">
        <f>+((DX139)/DX385)*100</f>
        <v>247.19120744918121</v>
      </c>
      <c r="DY140" s="482">
        <f t="shared" si="372"/>
        <v>262.4581338977365</v>
      </c>
      <c r="DZ140" s="1244">
        <f>+((DZ139)/DZ385)*100</f>
        <v>509.64934134691771</v>
      </c>
      <c r="EA140" s="482">
        <f>+((EA139)/EA385)*100</f>
        <v>321.58328863433661</v>
      </c>
      <c r="EB140" s="482">
        <f t="shared" si="373"/>
        <v>334.94854488759296</v>
      </c>
      <c r="EC140" s="1244">
        <f>+((EC139)/EC385)*100</f>
        <v>656.53183352192957</v>
      </c>
      <c r="ED140" s="482">
        <f>+((ED139)/ED385)*100</f>
        <v>404.55637276110679</v>
      </c>
      <c r="EE140" s="482">
        <f t="shared" si="374"/>
        <v>419.99141542937173</v>
      </c>
      <c r="EF140" s="1244">
        <f>+((EF139)/EF385)*100</f>
        <v>824.54778819047851</v>
      </c>
      <c r="EG140" s="482">
        <f>+((EG139)/EG385)*100</f>
        <v>450.86719824976808</v>
      </c>
      <c r="EH140" s="482">
        <f t="shared" si="375"/>
        <v>464.97027002973891</v>
      </c>
      <c r="EI140" s="1244">
        <f>+((EI139)/EI385)*100</f>
        <v>915.83746827950699</v>
      </c>
      <c r="EJ140" s="482">
        <f>+((EJ139)/EJ385)*100</f>
        <v>497.19871715421152</v>
      </c>
      <c r="EK140" s="482">
        <f t="shared" si="376"/>
        <v>512.73285790290049</v>
      </c>
      <c r="EL140" s="1244">
        <f>+((EL139)/EL385)*100</f>
        <v>1009.931575057112</v>
      </c>
      <c r="EM140" s="482">
        <f>+((EM139)/EM385)*100</f>
        <v>545.82799154786596</v>
      </c>
      <c r="EN140" s="482">
        <f t="shared" si="377"/>
        <v>562.83074649765206</v>
      </c>
      <c r="EO140" s="1244">
        <f>+((EO139)/EO385)*100</f>
        <v>1108.658738045518</v>
      </c>
      <c r="EP140" s="482">
        <f>+((EP139)/EP385)*100</f>
        <v>597.58864873383516</v>
      </c>
      <c r="EQ140" s="482">
        <f t="shared" si="378"/>
        <v>616.1216516291023</v>
      </c>
      <c r="ER140" s="1244">
        <f>+((ER139)/ER385)*100</f>
        <v>1213.7103003629375</v>
      </c>
      <c r="ES140" s="482">
        <f>+((ES139)/ES385)*100</f>
        <v>654.10191942265476</v>
      </c>
      <c r="ET140" s="482">
        <f t="shared" si="425"/>
        <v>674.30289257849574</v>
      </c>
      <c r="EU140" s="1244">
        <f>+((EU139)/EU385)*100</f>
        <v>1328.4048120011505</v>
      </c>
      <c r="EV140" s="482">
        <f>+((EV139)/EV385)*100</f>
        <v>715.80632011039143</v>
      </c>
      <c r="EW140" s="482">
        <f t="shared" si="426"/>
        <v>737.8253808502584</v>
      </c>
      <c r="EX140" s="1244">
        <f>+((EX139)/EX385)*100</f>
        <v>1453.6317009606498</v>
      </c>
      <c r="EY140" s="482">
        <f>+((EY139)/EY385)*100</f>
        <v>783.18239847150107</v>
      </c>
      <c r="EZ140" s="482">
        <f t="shared" si="427"/>
        <v>807.18317467795578</v>
      </c>
      <c r="FA140" s="1244">
        <f>+((FA139)/FA385)*100</f>
        <v>1590.3655731494568</v>
      </c>
      <c r="FE140"/>
      <c r="FF140"/>
      <c r="FG140"/>
      <c r="FH140"/>
      <c r="FI140"/>
      <c r="FJ140"/>
      <c r="FK140" s="35"/>
    </row>
    <row r="141" spans="2:167" s="236" customFormat="1" ht="13.35" customHeight="1" outlineLevel="1">
      <c r="B141" s="242"/>
      <c r="C141" s="242"/>
      <c r="D141" s="243"/>
      <c r="E141" s="534"/>
      <c r="F141" s="482"/>
      <c r="G141" s="534"/>
      <c r="H141" s="534"/>
      <c r="I141" s="482"/>
      <c r="J141" s="558"/>
      <c r="K141" s="558"/>
      <c r="L141" s="558"/>
      <c r="M141" s="558"/>
      <c r="N141" s="558"/>
      <c r="O141" s="558"/>
      <c r="P141" s="558"/>
      <c r="Q141" s="558"/>
      <c r="R141" s="558"/>
      <c r="S141" s="558"/>
      <c r="T141" s="558"/>
      <c r="U141" s="558"/>
      <c r="V141" s="558"/>
      <c r="W141" s="558"/>
      <c r="X141" s="558"/>
      <c r="Y141" s="558"/>
      <c r="Z141" s="558"/>
      <c r="AA141" s="558"/>
      <c r="AB141" s="558"/>
      <c r="AC141" s="558"/>
      <c r="AD141" s="558"/>
      <c r="AE141" s="558"/>
      <c r="AF141" s="558"/>
      <c r="AG141" s="558"/>
      <c r="AH141" s="558"/>
      <c r="AI141" s="558"/>
      <c r="AJ141" s="558"/>
      <c r="AK141" s="558"/>
      <c r="AL141" s="558"/>
      <c r="AM141" s="558"/>
      <c r="AN141" s="558">
        <f t="shared" ref="AN141:BV141" si="430">(AN140-AK140)/AK140</f>
        <v>2.6162950025829069E-2</v>
      </c>
      <c r="AO141" s="558">
        <f t="shared" si="430"/>
        <v>-0.11591357863696725</v>
      </c>
      <c r="AP141" s="558">
        <f t="shared" si="430"/>
        <v>7.6650360561109368E-2</v>
      </c>
      <c r="AQ141" s="558">
        <f t="shared" si="430"/>
        <v>-1.4043622077085868E-2</v>
      </c>
      <c r="AR141" s="558">
        <f t="shared" si="430"/>
        <v>0.19457692699450893</v>
      </c>
      <c r="AS141" s="558">
        <f t="shared" si="430"/>
        <v>0.26519287698449412</v>
      </c>
      <c r="AT141" s="558">
        <f t="shared" si="430"/>
        <v>0.23487539516492251</v>
      </c>
      <c r="AU141" s="558">
        <f t="shared" si="430"/>
        <v>0.22243153949545941</v>
      </c>
      <c r="AV141" s="558">
        <f t="shared" si="430"/>
        <v>0.23224590962468405</v>
      </c>
      <c r="AW141" s="558">
        <f t="shared" si="430"/>
        <v>0.22993208045974478</v>
      </c>
      <c r="AX141" s="558">
        <f t="shared" si="430"/>
        <v>0.55547886623256626</v>
      </c>
      <c r="AY141" s="558">
        <f t="shared" si="430"/>
        <v>1.9501761783457149E-2</v>
      </c>
      <c r="AZ141" s="558">
        <f t="shared" si="430"/>
        <v>0.23642568153932075</v>
      </c>
      <c r="BA141" s="558">
        <f t="shared" si="430"/>
        <v>0.51041745745832756</v>
      </c>
      <c r="BB141" s="558">
        <f t="shared" si="430"/>
        <v>0.53042965696656197</v>
      </c>
      <c r="BC141" s="558">
        <f t="shared" si="430"/>
        <v>0.52017533033018692</v>
      </c>
      <c r="BD141" s="558">
        <f t="shared" si="430"/>
        <v>9.6188789127986243E-2</v>
      </c>
      <c r="BE141" s="558">
        <f t="shared" si="430"/>
        <v>0.46621981167784238</v>
      </c>
      <c r="BF141" s="558">
        <f t="shared" si="430"/>
        <v>0.27783157755085286</v>
      </c>
      <c r="BG141" s="558">
        <f t="shared" si="430"/>
        <v>0.53830878186310227</v>
      </c>
      <c r="BH141" s="558">
        <f t="shared" si="430"/>
        <v>0.34859380959925551</v>
      </c>
      <c r="BI141" s="558">
        <f t="shared" si="430"/>
        <v>0.43145076788097808</v>
      </c>
      <c r="BJ141" s="534">
        <f t="shared" si="430"/>
        <v>-3.5521416932109098E-2</v>
      </c>
      <c r="BK141" s="558">
        <f t="shared" si="430"/>
        <v>-0.72612123242960414</v>
      </c>
      <c r="BL141" s="558">
        <f t="shared" si="430"/>
        <v>-0.4019899549309055</v>
      </c>
      <c r="BM141" s="558">
        <f t="shared" si="430"/>
        <v>9.6168154761904628E-2</v>
      </c>
      <c r="BN141" s="558">
        <f t="shared" si="430"/>
        <v>2.3614136732329101</v>
      </c>
      <c r="BO141" s="558">
        <f t="shared" si="430"/>
        <v>0.64669107293720085</v>
      </c>
      <c r="BP141" s="558">
        <f t="shared" si="430"/>
        <v>0.45966400814525693</v>
      </c>
      <c r="BQ141" s="558">
        <f t="shared" si="430"/>
        <v>0.27625909200592907</v>
      </c>
      <c r="BR141" s="558">
        <f t="shared" si="430"/>
        <v>0.36867667681362642</v>
      </c>
      <c r="BS141" s="558">
        <f t="shared" si="430"/>
        <v>0.12300921493970693</v>
      </c>
      <c r="BT141" s="558">
        <f t="shared" si="430"/>
        <v>0.37235251049843887</v>
      </c>
      <c r="BU141" s="558">
        <f t="shared" si="430"/>
        <v>0.2383560366044277</v>
      </c>
      <c r="BV141" s="558">
        <f t="shared" si="430"/>
        <v>0.15141339622500805</v>
      </c>
      <c r="BW141" s="558">
        <f t="shared" ref="BW141:DQ141" si="431">(BW140-BT140)/BT140</f>
        <v>0.11387064698101684</v>
      </c>
      <c r="BX141" s="558">
        <f t="shared" si="431"/>
        <v>0.13216678980999372</v>
      </c>
      <c r="BY141" s="558">
        <f t="shared" si="431"/>
        <v>0.22187577889961094</v>
      </c>
      <c r="BZ141" s="558">
        <f t="shared" si="431"/>
        <v>2.8133572164849154E-2</v>
      </c>
      <c r="CA141" s="558">
        <f t="shared" si="431"/>
        <v>0.12415730347021432</v>
      </c>
      <c r="CB141" s="558">
        <f t="shared" si="431"/>
        <v>6.8401702433568551E-2</v>
      </c>
      <c r="CC141" s="558">
        <f t="shared" si="431"/>
        <v>0.32155229449326905</v>
      </c>
      <c r="CD141" s="558">
        <f t="shared" si="431"/>
        <v>0.18517776891455837</v>
      </c>
      <c r="CE141" s="558">
        <f t="shared" si="431"/>
        <v>0.15098042302160455</v>
      </c>
      <c r="CF141" s="558">
        <f t="shared" si="431"/>
        <v>0.22175435378145697</v>
      </c>
      <c r="CG141" s="558">
        <f t="shared" si="431"/>
        <v>0.18738441987535978</v>
      </c>
      <c r="CH141" s="558">
        <f t="shared" si="431"/>
        <v>-1.2327501555101488</v>
      </c>
      <c r="CI141" s="558">
        <f t="shared" si="431"/>
        <v>-0.21779077645768286</v>
      </c>
      <c r="CJ141" s="558">
        <f t="shared" si="431"/>
        <v>-0.69557370930401363</v>
      </c>
      <c r="CK141" s="558">
        <f t="shared" si="431"/>
        <v>-4.8031303012500883</v>
      </c>
      <c r="CL141" s="558">
        <f t="shared" si="431"/>
        <v>-0.28914901784918684</v>
      </c>
      <c r="CM141" s="558">
        <f t="shared" si="431"/>
        <v>1.3354625777230023</v>
      </c>
      <c r="CN141" s="558">
        <f t="shared" si="431"/>
        <v>-0.72928760813528426</v>
      </c>
      <c r="CO141" s="558">
        <f t="shared" si="431"/>
        <v>0.32424441305243334</v>
      </c>
      <c r="CP141" s="558">
        <f t="shared" si="431"/>
        <v>-0.29321131990616012</v>
      </c>
      <c r="CQ141" s="558">
        <f t="shared" si="431"/>
        <v>2.3902990192239733</v>
      </c>
      <c r="CR141" s="558">
        <f t="shared" si="431"/>
        <v>2.5446422293509144E-2</v>
      </c>
      <c r="CS141" s="558">
        <f t="shared" si="431"/>
        <v>0.55630729172224647</v>
      </c>
      <c r="CT141" s="558">
        <f t="shared" si="431"/>
        <v>0.31717194333245513</v>
      </c>
      <c r="CU141" s="558">
        <f t="shared" si="431"/>
        <v>0.26127042095938824</v>
      </c>
      <c r="CV141" s="558">
        <f t="shared" si="431"/>
        <v>0.28860692194423426</v>
      </c>
      <c r="CW141" s="558">
        <f t="shared" si="431"/>
        <v>0.17935485422818856</v>
      </c>
      <c r="CX141" s="558">
        <f t="shared" si="431"/>
        <v>0.18793898538700626</v>
      </c>
      <c r="CY141" s="558">
        <f t="shared" si="431"/>
        <v>0.18364819157213852</v>
      </c>
      <c r="CZ141" s="558">
        <f t="shared" si="431"/>
        <v>-1.04563825038294E-2</v>
      </c>
      <c r="DA141" s="558">
        <f t="shared" si="431"/>
        <v>0.19474769177693405</v>
      </c>
      <c r="DB141" s="558">
        <f t="shared" si="431"/>
        <v>9.2548104813715726E-2</v>
      </c>
      <c r="DC141" s="558">
        <f t="shared" si="431"/>
        <v>0.15757127607227786</v>
      </c>
      <c r="DD141" s="558">
        <f t="shared" si="431"/>
        <v>1.3748990499242901E-2</v>
      </c>
      <c r="DE141" s="558">
        <f t="shared" si="431"/>
        <v>7.8624939143653774E-2</v>
      </c>
      <c r="DF141" s="558">
        <f t="shared" si="431"/>
        <v>2.9582730932891665E-2</v>
      </c>
      <c r="DG141" s="558">
        <f>(DG140-DD140)/DD140</f>
        <v>-0.98100761483856846</v>
      </c>
      <c r="DH141" s="1271">
        <f>(DH140-DE140)/DE140</f>
        <v>-0.49178112498347559</v>
      </c>
      <c r="DI141" s="558">
        <f>(DI140-DF140)/DF140</f>
        <v>-0.16716007012547254</v>
      </c>
      <c r="DJ141" s="558">
        <f>(DJ140-DG140)/DG140</f>
        <v>37.716489218242273</v>
      </c>
      <c r="DK141" s="1271">
        <f t="shared" si="431"/>
        <v>0.56321560524119807</v>
      </c>
      <c r="DL141" s="558">
        <f t="shared" si="431"/>
        <v>0.37662869993270809</v>
      </c>
      <c r="DM141" s="558">
        <f t="shared" si="431"/>
        <v>0.14005195760870554</v>
      </c>
      <c r="DN141" s="1271">
        <f t="shared" si="431"/>
        <v>0.26366377247403266</v>
      </c>
      <c r="DO141" s="558">
        <f t="shared" si="431"/>
        <v>-0.11223049220542972</v>
      </c>
      <c r="DP141" s="558">
        <f t="shared" si="431"/>
        <v>0.33025614895384336</v>
      </c>
      <c r="DQ141" s="1271">
        <f t="shared" si="431"/>
        <v>7.8387922717938055E-2</v>
      </c>
      <c r="DR141" s="558">
        <f t="shared" ref="DR141:DU141" si="432">(DR140-DO140)/DO140</f>
        <v>0.3234818018796935</v>
      </c>
      <c r="DS141" s="558">
        <f t="shared" si="432"/>
        <v>1.053445287216523E-2</v>
      </c>
      <c r="DT141" s="1271">
        <f t="shared" si="432"/>
        <v>0.15718027876885685</v>
      </c>
      <c r="DU141" s="558">
        <f t="shared" si="432"/>
        <v>1.2338647130921226E-2</v>
      </c>
      <c r="DV141" s="558">
        <f t="shared" ref="DV141" si="433">(DV140-DS140)/DS140</f>
        <v>4.9354210957168E-2</v>
      </c>
      <c r="DW141" s="1271">
        <f t="shared" ref="DW141:DX141" si="434">(DW140-DT140)/DT140</f>
        <v>2.9516125886170624E-2</v>
      </c>
      <c r="DX141" s="558">
        <f t="shared" si="434"/>
        <v>-0.21061091528299408</v>
      </c>
      <c r="DY141" s="558">
        <f t="shared" ref="DY141:EC141" si="435">(DY140-DV140)/DV140</f>
        <v>-6.6182152649301204E-2</v>
      </c>
      <c r="DZ141" s="1271">
        <f t="shared" si="435"/>
        <v>-0.14229565967193689</v>
      </c>
      <c r="EA141" s="558">
        <f t="shared" si="435"/>
        <v>0.30094954409108299</v>
      </c>
      <c r="EB141" s="558">
        <f t="shared" si="435"/>
        <v>0.27619799742271056</v>
      </c>
      <c r="EC141" s="1271">
        <f t="shared" si="435"/>
        <v>0.28820304522875684</v>
      </c>
      <c r="ED141" s="558">
        <f t="shared" ref="ED141:EL141" si="436">(ED140-EA140)/EA140</f>
        <v>0.25801429072739085</v>
      </c>
      <c r="EE141" s="558">
        <f t="shared" si="436"/>
        <v>0.25389831315827549</v>
      </c>
      <c r="EF141" s="1271">
        <f t="shared" si="436"/>
        <v>0.25591440671998555</v>
      </c>
      <c r="EG141" s="558">
        <f t="shared" si="436"/>
        <v>0.11447310833985587</v>
      </c>
      <c r="EH141" s="558">
        <f t="shared" si="436"/>
        <v>0.10709469991043448</v>
      </c>
      <c r="EI141" s="1271">
        <f t="shared" si="436"/>
        <v>0.11071484442323151</v>
      </c>
      <c r="EJ141" s="558">
        <f t="shared" si="436"/>
        <v>0.10276089962698295</v>
      </c>
      <c r="EK141" s="558">
        <f t="shared" si="436"/>
        <v>0.10272181030005799</v>
      </c>
      <c r="EL141" s="1271">
        <f t="shared" si="436"/>
        <v>0.10274105399331421</v>
      </c>
      <c r="EM141" s="558">
        <f t="shared" ref="EM141:ER141" si="437">(EM140-EJ140)/EJ140</f>
        <v>9.7806516219492878E-2</v>
      </c>
      <c r="EN141" s="558">
        <f t="shared" si="437"/>
        <v>9.7707583632642717E-2</v>
      </c>
      <c r="EO141" s="1271">
        <f t="shared" si="437"/>
        <v>9.7756289066239913E-2</v>
      </c>
      <c r="EP141" s="558">
        <f t="shared" si="437"/>
        <v>9.4829612968704055E-2</v>
      </c>
      <c r="EQ141" s="558">
        <f t="shared" si="437"/>
        <v>9.4683713466376093E-2</v>
      </c>
      <c r="ER141" s="1271">
        <f t="shared" si="437"/>
        <v>9.4755544436169278E-2</v>
      </c>
      <c r="ES141" s="558">
        <f t="shared" ref="ES141" si="438">(ES140-EP140)/EP140</f>
        <v>9.45688490043433E-2</v>
      </c>
      <c r="ET141" s="558">
        <f t="shared" ref="ET141" si="439">(ET140-EQ140)/EQ140</f>
        <v>9.4431417554560859E-2</v>
      </c>
      <c r="EU141" s="1271">
        <f t="shared" ref="EU141" si="440">(EU140-ER140)/ER140</f>
        <v>9.4499084010340684E-2</v>
      </c>
      <c r="EV141" s="558">
        <f t="shared" ref="EV141" si="441">(EV140-ES140)/ES140</f>
        <v>9.4334535422553503E-2</v>
      </c>
      <c r="EW141" s="558">
        <f t="shared" ref="EW141" si="442">(EW140-ET140)/ET140</f>
        <v>9.4204680079090705E-2</v>
      </c>
      <c r="EX141" s="1271">
        <f t="shared" ref="EX141" si="443">(EX140-EU140)/EU140</f>
        <v>9.4268620399570541E-2</v>
      </c>
      <c r="EY141" s="558">
        <f t="shared" ref="EY141" si="444">(EY140-EV140)/EV140</f>
        <v>9.4126129468539668E-2</v>
      </c>
      <c r="EZ141" s="558">
        <f t="shared" ref="EZ141" si="445">(EZ140-EW140)/EW140</f>
        <v>9.4002992615638326E-2</v>
      </c>
      <c r="FA141" s="1271">
        <f t="shared" ref="FA141" si="446">(FA140-EX140)/EX140</f>
        <v>9.40636284269563E-2</v>
      </c>
      <c r="FE141"/>
      <c r="FF141"/>
      <c r="FG141"/>
      <c r="FH141"/>
      <c r="FI141"/>
      <c r="FJ141"/>
      <c r="FK141" s="35"/>
    </row>
    <row r="142" spans="2:167" s="236" customFormat="1" ht="13.35" customHeight="1" outlineLevel="1" thickBot="1">
      <c r="B142" s="242" t="s">
        <v>437</v>
      </c>
      <c r="C142" s="242" t="s">
        <v>496</v>
      </c>
      <c r="D142" s="243"/>
      <c r="E142" s="534"/>
      <c r="F142" s="482">
        <f>+E146</f>
        <v>0</v>
      </c>
      <c r="G142" s="482">
        <f>+E142</f>
        <v>0</v>
      </c>
      <c r="H142" s="534">
        <f>+G146</f>
        <v>0</v>
      </c>
      <c r="I142" s="482">
        <f>+H146</f>
        <v>0</v>
      </c>
      <c r="J142" s="482">
        <f>+G146</f>
        <v>0</v>
      </c>
      <c r="K142" s="534">
        <f>+J146</f>
        <v>0</v>
      </c>
      <c r="L142" s="482">
        <f>+K146</f>
        <v>0</v>
      </c>
      <c r="M142" s="482">
        <f>+J146</f>
        <v>0</v>
      </c>
      <c r="N142" s="534">
        <f>+M146</f>
        <v>0</v>
      </c>
      <c r="O142" s="482">
        <f>+N146</f>
        <v>0</v>
      </c>
      <c r="P142" s="482">
        <f>+M146</f>
        <v>0</v>
      </c>
      <c r="Q142" s="534">
        <f>+P146</f>
        <v>0</v>
      </c>
      <c r="R142" s="482">
        <f>+Q146</f>
        <v>0</v>
      </c>
      <c r="S142" s="482">
        <f>+P146</f>
        <v>0</v>
      </c>
      <c r="T142" s="534">
        <f>+S146</f>
        <v>0</v>
      </c>
      <c r="U142" s="482">
        <f>+T146</f>
        <v>0</v>
      </c>
      <c r="V142" s="482">
        <f>+S146</f>
        <v>0</v>
      </c>
      <c r="W142" s="534">
        <f>+V146</f>
        <v>0</v>
      </c>
      <c r="X142" s="482">
        <f>+W146</f>
        <v>0</v>
      </c>
      <c r="Y142" s="482">
        <f>+V146</f>
        <v>0</v>
      </c>
      <c r="Z142" s="534">
        <f>+Y146</f>
        <v>0</v>
      </c>
      <c r="AA142" s="482">
        <f>+Z146</f>
        <v>0</v>
      </c>
      <c r="AB142" s="482">
        <f>+Y146</f>
        <v>0</v>
      </c>
      <c r="AC142" s="534">
        <f>+AB146</f>
        <v>0</v>
      </c>
      <c r="AD142" s="482">
        <f>+AC146</f>
        <v>0</v>
      </c>
      <c r="AE142" s="482">
        <f>+AB146</f>
        <v>0</v>
      </c>
      <c r="AF142" s="534">
        <f>+AE146</f>
        <v>0</v>
      </c>
      <c r="AG142" s="482">
        <f>+AF146</f>
        <v>0</v>
      </c>
      <c r="AH142" s="482">
        <f>+AE146</f>
        <v>0</v>
      </c>
      <c r="AI142" s="534">
        <f>+AH146</f>
        <v>0</v>
      </c>
      <c r="AJ142" s="482">
        <f>+AI146</f>
        <v>4.5949999999999998</v>
      </c>
      <c r="AK142" s="482">
        <f>+AH146</f>
        <v>0</v>
      </c>
      <c r="AL142" s="534">
        <f>+AK146</f>
        <v>10.375999999999999</v>
      </c>
      <c r="AM142" s="482">
        <f>+AL146</f>
        <v>13.003</v>
      </c>
      <c r="AN142" s="482">
        <f>+AK146</f>
        <v>10.375999999999999</v>
      </c>
      <c r="AO142" s="534">
        <f>+AN146</f>
        <v>14.988999999999997</v>
      </c>
      <c r="AP142" s="482">
        <f>+AO146</f>
        <v>17.010999999999996</v>
      </c>
      <c r="AQ142" s="482">
        <f>+AN146</f>
        <v>14.988999999999997</v>
      </c>
      <c r="AR142" s="534">
        <f>+AQ146</f>
        <v>19.547999999999998</v>
      </c>
      <c r="AS142" s="482">
        <f>+AR146</f>
        <v>21.972999999999999</v>
      </c>
      <c r="AT142" s="482">
        <f>+AQ146</f>
        <v>19.547999999999998</v>
      </c>
      <c r="AU142" s="534">
        <f>+AT146</f>
        <v>25.082999999999998</v>
      </c>
      <c r="AV142" s="482">
        <f>+AU146</f>
        <v>27.683</v>
      </c>
      <c r="AW142" s="482">
        <f>+AT146</f>
        <v>25.082999999999998</v>
      </c>
      <c r="AX142" s="534">
        <f>+AW146</f>
        <v>27.259999999999998</v>
      </c>
      <c r="AY142" s="482">
        <f>+AX146</f>
        <v>29.914000000000001</v>
      </c>
      <c r="AZ142" s="482">
        <f>+AW146</f>
        <v>27.259999999999998</v>
      </c>
      <c r="BA142" s="534">
        <f>+AZ146</f>
        <v>32.079999999999991</v>
      </c>
      <c r="BB142" s="482">
        <f>+BA146</f>
        <v>37.54999999999999</v>
      </c>
      <c r="BC142" s="482">
        <f>+AZ146</f>
        <v>32.079999999999991</v>
      </c>
      <c r="BD142" s="534">
        <f>+BC146</f>
        <v>41.930999999999997</v>
      </c>
      <c r="BE142" s="482">
        <f>+BD146</f>
        <v>48.407354609999992</v>
      </c>
      <c r="BF142" s="482">
        <f>+BC146</f>
        <v>41.930999999999997</v>
      </c>
      <c r="BG142" s="534">
        <f>+BF146</f>
        <v>54.840924599999994</v>
      </c>
      <c r="BH142" s="482">
        <f>+BG146</f>
        <v>64.53087674999999</v>
      </c>
      <c r="BI142" s="482">
        <f>54.524-0.116+0.311</f>
        <v>54.719000000000001</v>
      </c>
      <c r="BJ142" s="534">
        <f>BI146</f>
        <v>95.825999999999993</v>
      </c>
      <c r="BK142" s="482">
        <f>+BJ146</f>
        <v>98.758999999999986</v>
      </c>
      <c r="BL142" s="482">
        <f>BJ142</f>
        <v>95.825999999999993</v>
      </c>
      <c r="BM142" s="534">
        <f>+BL146</f>
        <v>87.499999999999986</v>
      </c>
      <c r="BN142" s="482">
        <f>+BM146</f>
        <v>93.133999999999986</v>
      </c>
      <c r="BO142" s="482">
        <f>+BL146</f>
        <v>87.499999999999986</v>
      </c>
      <c r="BP142" s="534">
        <f>+BO146</f>
        <v>103.142</v>
      </c>
      <c r="BQ142" s="482">
        <f>+BP146</f>
        <v>121.721</v>
      </c>
      <c r="BR142" s="482">
        <f>+BO146</f>
        <v>103.142</v>
      </c>
      <c r="BS142" s="534">
        <f>+BR146</f>
        <v>134.07799999999997</v>
      </c>
      <c r="BT142" s="482">
        <f>+BS146</f>
        <v>152.70099999999996</v>
      </c>
      <c r="BU142" s="482">
        <f>+BR146</f>
        <v>134.07799999999997</v>
      </c>
      <c r="BV142" s="534">
        <f>+BU146</f>
        <v>173.82599999999994</v>
      </c>
      <c r="BW142" s="482">
        <f>+BV146</f>
        <v>192.02299999999994</v>
      </c>
      <c r="BX142" s="482">
        <f>+BU146</f>
        <v>173.82599999999994</v>
      </c>
      <c r="BY142" s="534">
        <f>+BX146</f>
        <v>211.20799999999994</v>
      </c>
      <c r="BZ142" s="482">
        <f>+BY146</f>
        <v>233.53199999999995</v>
      </c>
      <c r="CA142" s="482">
        <f>+BX146</f>
        <v>211.20799999999994</v>
      </c>
      <c r="CB142" s="534">
        <f>+CA146</f>
        <v>252.23199999999991</v>
      </c>
      <c r="CC142" s="482">
        <f>+CB146</f>
        <v>274.09499999999991</v>
      </c>
      <c r="CD142" s="482">
        <f>+CA146</f>
        <v>252.23199999999991</v>
      </c>
      <c r="CE142" s="534">
        <f>+CD146</f>
        <v>300.2949999999999</v>
      </c>
      <c r="CF142" s="482">
        <f>+CE146</f>
        <v>328.1169999999999</v>
      </c>
      <c r="CG142" s="482">
        <f>+CD146</f>
        <v>300.2949999999999</v>
      </c>
      <c r="CH142" s="534">
        <f>+CG146</f>
        <v>365.75199999999995</v>
      </c>
      <c r="CI142" s="482">
        <f>+CH146</f>
        <v>277.19199999999995</v>
      </c>
      <c r="CJ142" s="482">
        <f>+CG146</f>
        <v>365.75199999999995</v>
      </c>
      <c r="CK142" s="534">
        <f>+CJ146</f>
        <v>286.06599999999992</v>
      </c>
      <c r="CL142" s="482">
        <f>+CK146</f>
        <v>292.51499999999993</v>
      </c>
      <c r="CM142" s="482">
        <f>+CJ146</f>
        <v>286.06599999999992</v>
      </c>
      <c r="CN142" s="534">
        <f>+CM146</f>
        <v>276.11799999999994</v>
      </c>
      <c r="CO142" s="482">
        <f>+CN146</f>
        <v>224.72099999999995</v>
      </c>
      <c r="CP142" s="482">
        <f>+CM146</f>
        <v>276.11799999999994</v>
      </c>
      <c r="CQ142" s="534">
        <f>+CP146</f>
        <v>224.91599999999994</v>
      </c>
      <c r="CR142" s="482">
        <f>+CQ146</f>
        <v>223.82199999999995</v>
      </c>
      <c r="CS142" s="482">
        <f>+CP146</f>
        <v>224.91599999999994</v>
      </c>
      <c r="CT142" s="534">
        <f>+CS146</f>
        <v>246.91299999999995</v>
      </c>
      <c r="CU142" s="482">
        <f>+CT146</f>
        <v>283.77799999999996</v>
      </c>
      <c r="CV142" s="482">
        <f>+CS146</f>
        <v>246.91299999999995</v>
      </c>
      <c r="CW142" s="534">
        <f>+CV146</f>
        <v>315.74099999999993</v>
      </c>
      <c r="CX142" s="482">
        <f>+CW146</f>
        <v>358.22743999999994</v>
      </c>
      <c r="CY142" s="482">
        <f>+CV146</f>
        <v>315.74099999999993</v>
      </c>
      <c r="CZ142" s="534">
        <f>+CY146</f>
        <v>393.81899999999996</v>
      </c>
      <c r="DA142" s="482">
        <f>+CZ146</f>
        <v>424.11899999999991</v>
      </c>
      <c r="DB142" s="482">
        <f>+CY146</f>
        <v>393.81899999999996</v>
      </c>
      <c r="DC142" s="534">
        <f>+DB146</f>
        <v>478.51899999999989</v>
      </c>
      <c r="DD142" s="482">
        <f>+DC146</f>
        <v>623.21899999999994</v>
      </c>
      <c r="DE142" s="482">
        <f>+DB146</f>
        <v>478.51899999999989</v>
      </c>
      <c r="DF142" s="534">
        <f>+DE146</f>
        <v>562.61899999999991</v>
      </c>
      <c r="DG142" s="482">
        <f>+DF146</f>
        <v>594.1189999999998</v>
      </c>
      <c r="DH142" s="1244">
        <f>+DE146</f>
        <v>562.61899999999991</v>
      </c>
      <c r="DI142" s="534">
        <f>+DH146</f>
        <v>522.71899999999982</v>
      </c>
      <c r="DJ142" s="482">
        <f>+DI146</f>
        <v>648.40899999999988</v>
      </c>
      <c r="DK142" s="1244">
        <f>+DH146</f>
        <v>522.71899999999982</v>
      </c>
      <c r="DL142" s="534">
        <f>+DK146</f>
        <v>687.7489999999998</v>
      </c>
      <c r="DM142" s="482">
        <f>+DL146</f>
        <v>768.78899999999976</v>
      </c>
      <c r="DN142" s="1244">
        <f>+DK146</f>
        <v>687.7489999999998</v>
      </c>
      <c r="DO142" s="534">
        <f>+DN146</f>
        <v>797.96899999999982</v>
      </c>
      <c r="DP142" s="482">
        <f>+DO146</f>
        <v>856.30899999999986</v>
      </c>
      <c r="DQ142" s="1244">
        <f>+DN146</f>
        <v>797.96899999999982</v>
      </c>
      <c r="DR142" s="534">
        <f>+DQ146</f>
        <v>928.1189999999998</v>
      </c>
      <c r="DS142" s="482">
        <f>+DR146</f>
        <v>1016.2489999999998</v>
      </c>
      <c r="DT142" s="1244">
        <f>+DQ146</f>
        <v>928.1189999999998</v>
      </c>
      <c r="DU142" s="534">
        <f>+DT146</f>
        <v>1060.4289999999996</v>
      </c>
      <c r="DV142" s="482">
        <f>+DU146</f>
        <v>1128.0189999999996</v>
      </c>
      <c r="DW142" s="1244">
        <f>+DT146</f>
        <v>1060.4289999999996</v>
      </c>
      <c r="DX142" s="534">
        <f>+DW146</f>
        <v>1171.1289999999997</v>
      </c>
      <c r="DY142" s="482">
        <f>+DX146</f>
        <v>1192.0289999999998</v>
      </c>
      <c r="DZ142" s="1244">
        <f>+DW146</f>
        <v>1171.1289999999997</v>
      </c>
      <c r="EA142" s="534">
        <f>+DZ146</f>
        <v>1225.1027614489867</v>
      </c>
      <c r="EB142" s="482">
        <f>+EA146</f>
        <v>1280.8335240621414</v>
      </c>
      <c r="EC142" s="1244">
        <f>+DZ146</f>
        <v>1225.1027614489867</v>
      </c>
      <c r="ED142" s="534">
        <f>+EC146</f>
        <v>1331.7158612553321</v>
      </c>
      <c r="EE142" s="482">
        <f>+ED146</f>
        <v>1422.9666925050694</v>
      </c>
      <c r="EF142" s="1244">
        <f>+EC146</f>
        <v>1331.7158612553321</v>
      </c>
      <c r="EG142" s="534">
        <f>+EF146</f>
        <v>1508.4146032750052</v>
      </c>
      <c r="EH142" s="482">
        <f>+EG146</f>
        <v>1609.4245709161053</v>
      </c>
      <c r="EI142" s="1244">
        <f>+EF146</f>
        <v>1508.4146032750052</v>
      </c>
      <c r="EJ142" s="534">
        <f>+EI146</f>
        <v>1703.6234241808097</v>
      </c>
      <c r="EK142" s="482">
        <f>+EJ146</f>
        <v>1812.1327648318947</v>
      </c>
      <c r="EL142" s="1244">
        <f>+EI146</f>
        <v>1703.6234241808097</v>
      </c>
      <c r="EM142" s="534">
        <f>+EL146</f>
        <v>1915.9998974335649</v>
      </c>
      <c r="EN142" s="482">
        <f>+EM146</f>
        <v>2034.0850683049916</v>
      </c>
      <c r="EO142" s="1244">
        <f>+EL146</f>
        <v>1915.9998974335649</v>
      </c>
      <c r="EP142" s="534">
        <f>+EO146</f>
        <v>2148.0784865740861</v>
      </c>
      <c r="EQ142" s="482">
        <f>+EP146</f>
        <v>2276.6920223672319</v>
      </c>
      <c r="ER142" s="1244">
        <f>+EO146</f>
        <v>2148.0784865740861</v>
      </c>
      <c r="ES142" s="534">
        <f>+ER146</f>
        <v>2401.4426238364854</v>
      </c>
      <c r="ET142" s="482">
        <f>+ES146</f>
        <v>2542.1896573714421</v>
      </c>
      <c r="EU142" s="1244">
        <f>+ER146</f>
        <v>2401.4426238364854</v>
      </c>
      <c r="EV142" s="534">
        <f>+EU146</f>
        <v>2678.6833674683276</v>
      </c>
      <c r="EW142" s="482">
        <f>+EV146</f>
        <v>2832.6806205753342</v>
      </c>
      <c r="EX142" s="1244">
        <f>+EU146</f>
        <v>2678.6833674683276</v>
      </c>
      <c r="EY142" s="534">
        <f>+EX146</f>
        <v>2981.994133818991</v>
      </c>
      <c r="EZ142" s="482">
        <f>+EY146</f>
        <v>3150.4625171786224</v>
      </c>
      <c r="FA142" s="1244">
        <f>+EX146</f>
        <v>2981.994133818991</v>
      </c>
      <c r="FE142"/>
      <c r="FF142"/>
      <c r="FG142"/>
      <c r="FH142"/>
      <c r="FI142"/>
      <c r="FJ142"/>
      <c r="FK142" s="35"/>
    </row>
    <row r="143" spans="2:167" s="236" customFormat="1" ht="13.35" customHeight="1" outlineLevel="1">
      <c r="B143" s="242" t="s">
        <v>183</v>
      </c>
      <c r="C143" s="242" t="s">
        <v>496</v>
      </c>
      <c r="D143" s="243"/>
      <c r="E143" s="559">
        <f t="shared" ref="E143:N143" si="447">+E142+E139</f>
        <v>0</v>
      </c>
      <c r="F143" s="559">
        <f t="shared" si="447"/>
        <v>0</v>
      </c>
      <c r="G143" s="559">
        <f t="shared" si="447"/>
        <v>0</v>
      </c>
      <c r="H143" s="559">
        <f t="shared" si="447"/>
        <v>0</v>
      </c>
      <c r="I143" s="559">
        <f t="shared" si="447"/>
        <v>0</v>
      </c>
      <c r="J143" s="559">
        <f t="shared" si="447"/>
        <v>0</v>
      </c>
      <c r="K143" s="559">
        <f t="shared" si="447"/>
        <v>0</v>
      </c>
      <c r="L143" s="559">
        <f t="shared" si="447"/>
        <v>0</v>
      </c>
      <c r="M143" s="559">
        <f t="shared" si="447"/>
        <v>0</v>
      </c>
      <c r="N143" s="559">
        <f t="shared" si="447"/>
        <v>0</v>
      </c>
      <c r="O143" s="559">
        <f t="shared" ref="O143:X143" si="448">+O142+O139</f>
        <v>0</v>
      </c>
      <c r="P143" s="559">
        <f t="shared" si="448"/>
        <v>0</v>
      </c>
      <c r="Q143" s="559">
        <f t="shared" si="448"/>
        <v>0</v>
      </c>
      <c r="R143" s="559">
        <f t="shared" si="448"/>
        <v>0</v>
      </c>
      <c r="S143" s="559">
        <f t="shared" si="448"/>
        <v>0</v>
      </c>
      <c r="T143" s="559">
        <f t="shared" si="448"/>
        <v>0</v>
      </c>
      <c r="U143" s="559">
        <f t="shared" si="448"/>
        <v>0</v>
      </c>
      <c r="V143" s="559">
        <f t="shared" si="448"/>
        <v>0</v>
      </c>
      <c r="W143" s="559">
        <f t="shared" si="448"/>
        <v>0</v>
      </c>
      <c r="X143" s="559">
        <f t="shared" si="448"/>
        <v>0</v>
      </c>
      <c r="Y143" s="559">
        <f t="shared" ref="Y143:AH143" si="449">+Y142+Y139</f>
        <v>0</v>
      </c>
      <c r="Z143" s="559">
        <f t="shared" si="449"/>
        <v>0</v>
      </c>
      <c r="AA143" s="559">
        <f t="shared" si="449"/>
        <v>0</v>
      </c>
      <c r="AB143" s="559">
        <f t="shared" si="449"/>
        <v>0</v>
      </c>
      <c r="AC143" s="559">
        <f t="shared" si="449"/>
        <v>0</v>
      </c>
      <c r="AD143" s="559">
        <f t="shared" si="449"/>
        <v>0</v>
      </c>
      <c r="AE143" s="559">
        <f t="shared" si="449"/>
        <v>0</v>
      </c>
      <c r="AF143" s="559">
        <f t="shared" si="449"/>
        <v>0</v>
      </c>
      <c r="AG143" s="559">
        <f t="shared" si="449"/>
        <v>0</v>
      </c>
      <c r="AH143" s="559">
        <f t="shared" si="449"/>
        <v>0</v>
      </c>
      <c r="AI143" s="559">
        <f t="shared" ref="AI143:AR143" si="450">+AI142+AI139</f>
        <v>4.5949999999999998</v>
      </c>
      <c r="AJ143" s="559">
        <f t="shared" si="450"/>
        <v>10.375999999999999</v>
      </c>
      <c r="AK143" s="559">
        <f t="shared" si="450"/>
        <v>10.375999999999999</v>
      </c>
      <c r="AL143" s="559">
        <f t="shared" si="450"/>
        <v>15.503</v>
      </c>
      <c r="AM143" s="559">
        <f t="shared" si="450"/>
        <v>18.739000000000001</v>
      </c>
      <c r="AN143" s="559">
        <f t="shared" si="450"/>
        <v>21.238999999999997</v>
      </c>
      <c r="AO143" s="559">
        <f t="shared" si="450"/>
        <v>19.510999999999996</v>
      </c>
      <c r="AP143" s="559">
        <f t="shared" si="450"/>
        <v>23.297999999999995</v>
      </c>
      <c r="AQ143" s="559">
        <f t="shared" si="450"/>
        <v>25.797999999999998</v>
      </c>
      <c r="AR143" s="559">
        <f t="shared" si="450"/>
        <v>24.972999999999999</v>
      </c>
      <c r="AS143" s="559">
        <f t="shared" ref="AS143:BB143" si="451">+AS142+AS139</f>
        <v>29.832999999999998</v>
      </c>
      <c r="AT143" s="559">
        <f t="shared" si="451"/>
        <v>32.832999999999998</v>
      </c>
      <c r="AU143" s="559">
        <f t="shared" si="451"/>
        <v>31.725999999999999</v>
      </c>
      <c r="AV143" s="559">
        <f t="shared" si="451"/>
        <v>37.366999999999997</v>
      </c>
      <c r="AW143" s="559">
        <f t="shared" si="451"/>
        <v>41.41</v>
      </c>
      <c r="AX143" s="559">
        <f t="shared" si="451"/>
        <v>37.584000000000003</v>
      </c>
      <c r="AY143" s="559">
        <f t="shared" si="451"/>
        <v>39.756999999999998</v>
      </c>
      <c r="AZ143" s="559">
        <f t="shared" si="451"/>
        <v>47.426999999999992</v>
      </c>
      <c r="BA143" s="559">
        <f t="shared" si="451"/>
        <v>47.952999999999989</v>
      </c>
      <c r="BB143" s="559">
        <f t="shared" si="451"/>
        <v>52.85499999999999</v>
      </c>
      <c r="BC143" s="559">
        <f t="shared" ref="BC143:BO143" si="452">+BC142+BC139</f>
        <v>63.257999999999996</v>
      </c>
      <c r="BD143" s="559">
        <f t="shared" si="452"/>
        <v>59.330999999999989</v>
      </c>
      <c r="BE143" s="559">
        <f t="shared" si="452"/>
        <v>71.217354610000001</v>
      </c>
      <c r="BF143" s="559">
        <f t="shared" si="452"/>
        <v>82.140999999999991</v>
      </c>
      <c r="BG143" s="559">
        <f t="shared" si="452"/>
        <v>81.855924599999994</v>
      </c>
      <c r="BH143" s="559">
        <f t="shared" si="452"/>
        <v>95.699876749999987</v>
      </c>
      <c r="BI143" s="559">
        <f t="shared" si="452"/>
        <v>112.90300000000001</v>
      </c>
      <c r="BJ143" s="559">
        <f t="shared" si="452"/>
        <v>122.70599999999999</v>
      </c>
      <c r="BK143" s="559">
        <f t="shared" si="452"/>
        <v>108.63999999999999</v>
      </c>
      <c r="BL143" s="559">
        <f t="shared" si="452"/>
        <v>132.58699999999999</v>
      </c>
      <c r="BM143" s="559">
        <f t="shared" si="452"/>
        <v>116.96499999999999</v>
      </c>
      <c r="BN143" s="559">
        <f t="shared" si="452"/>
        <v>122.14299999999999</v>
      </c>
      <c r="BO143" s="559">
        <f t="shared" si="452"/>
        <v>145.97399999999999</v>
      </c>
      <c r="BP143" s="559">
        <f t="shared" ref="BP143:DK143" si="453">+BP142+BP139</f>
        <v>146.15100000000001</v>
      </c>
      <c r="BQ143" s="559">
        <f t="shared" si="453"/>
        <v>158.744</v>
      </c>
      <c r="BR143" s="559">
        <f t="shared" si="453"/>
        <v>183.17399999999998</v>
      </c>
      <c r="BS143" s="559">
        <f t="shared" si="453"/>
        <v>182.87599999999998</v>
      </c>
      <c r="BT143" s="559">
        <f t="shared" si="453"/>
        <v>204.03399999999993</v>
      </c>
      <c r="BU143" s="559">
        <f t="shared" si="453"/>
        <v>234.20899999999995</v>
      </c>
      <c r="BV143" s="559">
        <f t="shared" si="453"/>
        <v>230.93899999999994</v>
      </c>
      <c r="BW143" s="559">
        <f t="shared" si="453"/>
        <v>250.14399999999995</v>
      </c>
      <c r="BX143" s="559">
        <f t="shared" si="453"/>
        <v>289.05999999999995</v>
      </c>
      <c r="BY143" s="559">
        <f t="shared" si="453"/>
        <v>281.14399999999995</v>
      </c>
      <c r="BZ143" s="559">
        <f t="shared" si="453"/>
        <v>294.13599999999997</v>
      </c>
      <c r="CA143" s="559">
        <f t="shared" si="453"/>
        <v>341.74799999999993</v>
      </c>
      <c r="CB143" s="559">
        <f t="shared" si="453"/>
        <v>327.47899999999993</v>
      </c>
      <c r="CC143" s="559">
        <f t="shared" si="453"/>
        <v>353.99999999999989</v>
      </c>
      <c r="CD143" s="559">
        <f t="shared" si="453"/>
        <v>407.3839999999999</v>
      </c>
      <c r="CE143" s="559">
        <f t="shared" si="453"/>
        <v>387.5209999999999</v>
      </c>
      <c r="CF143" s="559">
        <f t="shared" si="453"/>
        <v>425.29599999999994</v>
      </c>
      <c r="CG143" s="559">
        <f t="shared" si="453"/>
        <v>484.69999999999993</v>
      </c>
      <c r="CH143" s="559">
        <f t="shared" si="453"/>
        <v>345.36299999999994</v>
      </c>
      <c r="CI143" s="559">
        <f t="shared" si="453"/>
        <v>354.38099999999997</v>
      </c>
      <c r="CJ143" s="559">
        <f t="shared" si="453"/>
        <v>422.55199999999991</v>
      </c>
      <c r="CK143" s="559">
        <f t="shared" si="453"/>
        <v>363.73099999999994</v>
      </c>
      <c r="CL143" s="559">
        <f t="shared" si="453"/>
        <v>347.4129999999999</v>
      </c>
      <c r="CM143" s="559">
        <f t="shared" si="453"/>
        <v>418.62899999999991</v>
      </c>
      <c r="CN143" s="559">
        <f t="shared" si="453"/>
        <v>297.16299999999995</v>
      </c>
      <c r="CO143" s="559">
        <f t="shared" si="453"/>
        <v>297.38499999999993</v>
      </c>
      <c r="CP143" s="559">
        <f t="shared" si="453"/>
        <v>369.82699999999994</v>
      </c>
      <c r="CQ143" s="559">
        <f t="shared" si="453"/>
        <v>296.29099999999994</v>
      </c>
      <c r="CR143" s="559">
        <f t="shared" si="453"/>
        <v>298.28699999999992</v>
      </c>
      <c r="CS143" s="559">
        <f t="shared" si="453"/>
        <v>370.75599999999997</v>
      </c>
      <c r="CT143" s="559">
        <f t="shared" si="453"/>
        <v>340.94599999999997</v>
      </c>
      <c r="CU143" s="559">
        <f t="shared" si="453"/>
        <v>378.66599999999994</v>
      </c>
      <c r="CV143" s="559">
        <f t="shared" si="453"/>
        <v>435.83399999999995</v>
      </c>
      <c r="CW143" s="559">
        <f t="shared" si="453"/>
        <v>427.11043999999993</v>
      </c>
      <c r="CX143" s="559">
        <f t="shared" si="453"/>
        <v>470.47399999999993</v>
      </c>
      <c r="CY143" s="559">
        <f t="shared" si="453"/>
        <v>539.35699999999997</v>
      </c>
      <c r="CZ143" s="559">
        <f t="shared" si="453"/>
        <v>504.61899999999991</v>
      </c>
      <c r="DA143" s="559">
        <f t="shared" si="453"/>
        <v>559.11899999999991</v>
      </c>
      <c r="DB143" s="559">
        <f t="shared" si="453"/>
        <v>639.61899999999991</v>
      </c>
      <c r="DC143" s="559">
        <f t="shared" si="453"/>
        <v>607.11899999999991</v>
      </c>
      <c r="DD143" s="559">
        <f t="shared" si="453"/>
        <v>760.51899999999989</v>
      </c>
      <c r="DE143" s="559">
        <f t="shared" si="453"/>
        <v>744.41899999999987</v>
      </c>
      <c r="DF143" s="559">
        <f t="shared" si="453"/>
        <v>695.31899999999985</v>
      </c>
      <c r="DG143" s="559">
        <f t="shared" si="453"/>
        <v>615.21899999999982</v>
      </c>
      <c r="DH143" s="1267">
        <f t="shared" si="453"/>
        <v>716.41899999999987</v>
      </c>
      <c r="DI143" s="482">
        <f t="shared" si="453"/>
        <v>648.40899999999988</v>
      </c>
      <c r="DJ143" s="482">
        <f t="shared" si="453"/>
        <v>763.34899999999993</v>
      </c>
      <c r="DK143" s="1244">
        <f t="shared" si="453"/>
        <v>763.34899999999982</v>
      </c>
      <c r="DL143" s="482">
        <f t="shared" ref="DL143:DQ143" si="454">+DL142+DL139</f>
        <v>860.88899999999978</v>
      </c>
      <c r="DM143" s="482">
        <f t="shared" si="454"/>
        <v>899.8689999999998</v>
      </c>
      <c r="DN143" s="1244">
        <f t="shared" si="454"/>
        <v>991.96899999999982</v>
      </c>
      <c r="DO143" s="482">
        <f t="shared" si="454"/>
        <v>951.70899999999983</v>
      </c>
      <c r="DP143" s="482">
        <f t="shared" si="454"/>
        <v>1030.1189999999999</v>
      </c>
      <c r="DQ143" s="1244">
        <f t="shared" si="454"/>
        <v>1125.5189999999998</v>
      </c>
      <c r="DR143" s="482">
        <f t="shared" ref="DR143:DU143" si="455">+DR142+DR139</f>
        <v>1130.9489999999998</v>
      </c>
      <c r="DS143" s="482">
        <f t="shared" si="455"/>
        <v>1191.4289999999999</v>
      </c>
      <c r="DT143" s="1244">
        <f t="shared" si="455"/>
        <v>1306.1289999999997</v>
      </c>
      <c r="DU143" s="482">
        <f t="shared" si="455"/>
        <v>1265.5189999999996</v>
      </c>
      <c r="DV143" s="482">
        <f t="shared" ref="DV143:DX143" si="456">+DV142+DV139</f>
        <v>1311.8289999999995</v>
      </c>
      <c r="DW143" s="1244">
        <f t="shared" si="456"/>
        <v>1449.3289999999997</v>
      </c>
      <c r="DX143" s="482">
        <f t="shared" si="456"/>
        <v>1332.6289999999997</v>
      </c>
      <c r="DY143" s="482">
        <f t="shared" ref="DY143:EC143" si="457">+DY142+DY139</f>
        <v>1362.5939529747523</v>
      </c>
      <c r="DZ143" s="1244">
        <f t="shared" si="457"/>
        <v>1503.1939529747522</v>
      </c>
      <c r="EA143" s="482">
        <f t="shared" si="457"/>
        <v>1433.8856434317959</v>
      </c>
      <c r="EB143" s="482">
        <f t="shared" si="457"/>
        <v>1496.8066244357292</v>
      </c>
      <c r="EC143" s="1244">
        <f t="shared" si="457"/>
        <v>1649.8587438053837</v>
      </c>
      <c r="ED143" s="482">
        <f t="shared" ref="ED143:EL143" si="458">+ED142+ED139</f>
        <v>1592.5575179704426</v>
      </c>
      <c r="EE143" s="482">
        <f t="shared" si="458"/>
        <v>1691.982730693052</v>
      </c>
      <c r="EF143" s="1244">
        <f t="shared" si="458"/>
        <v>1861.5735561584252</v>
      </c>
      <c r="EG143" s="482">
        <f t="shared" si="458"/>
        <v>1798.1436617887741</v>
      </c>
      <c r="EH143" s="482">
        <f t="shared" si="458"/>
        <v>1908.2163195630771</v>
      </c>
      <c r="EI143" s="1244">
        <f t="shared" si="458"/>
        <v>2096.9354104357462</v>
      </c>
      <c r="EJ143" s="482">
        <f t="shared" si="458"/>
        <v>2023.1253013955325</v>
      </c>
      <c r="EK143" s="482">
        <f t="shared" si="458"/>
        <v>2141.6169428026037</v>
      </c>
      <c r="EL143" s="1244">
        <f t="shared" si="458"/>
        <v>2352.6094793662414</v>
      </c>
      <c r="EM143" s="482">
        <f t="shared" ref="EM143:ER143" si="459">+EM142+EM139</f>
        <v>2266.7511401842476</v>
      </c>
      <c r="EN143" s="482">
        <f t="shared" si="459"/>
        <v>2395.762349150406</v>
      </c>
      <c r="EO143" s="1244">
        <f t="shared" si="459"/>
        <v>2628.4284210296619</v>
      </c>
      <c r="EP143" s="482">
        <f t="shared" si="459"/>
        <v>2532.0913339231083</v>
      </c>
      <c r="EQ143" s="482">
        <f t="shared" si="459"/>
        <v>2672.6142512395113</v>
      </c>
      <c r="ER143" s="1244">
        <f t="shared" si="459"/>
        <v>2928.0135627953878</v>
      </c>
      <c r="ES143" s="482">
        <f t="shared" ref="ES143:EX143" si="460">+ES142+ES139</f>
        <v>2821.7711241621851</v>
      </c>
      <c r="ET143" s="482">
        <f t="shared" si="460"/>
        <v>2975.4993835574924</v>
      </c>
      <c r="EU143" s="1244">
        <f t="shared" si="460"/>
        <v>3255.0808503482353</v>
      </c>
      <c r="EV143" s="482">
        <f t="shared" si="460"/>
        <v>3138.6633615971105</v>
      </c>
      <c r="EW143" s="482">
        <f t="shared" si="460"/>
        <v>3306.8101508918999</v>
      </c>
      <c r="EX143" s="1244">
        <f t="shared" si="460"/>
        <v>3612.7928919136762</v>
      </c>
      <c r="EY143" s="482">
        <f t="shared" ref="EY143:FA143" si="461">+EY142+EY139</f>
        <v>3485.270264428078</v>
      </c>
      <c r="EZ143" s="482">
        <f t="shared" si="461"/>
        <v>3669.1616422323923</v>
      </c>
      <c r="FA143" s="1244">
        <f t="shared" si="461"/>
        <v>4003.9693894818479</v>
      </c>
      <c r="FE143"/>
      <c r="FF143"/>
      <c r="FG143"/>
      <c r="FH143"/>
      <c r="FI143"/>
      <c r="FJ143"/>
      <c r="FK143" s="35"/>
    </row>
    <row r="144" spans="2:167" s="236" customFormat="1" ht="13.35" customHeight="1" outlineLevel="1" thickBot="1">
      <c r="B144" s="242" t="s">
        <v>184</v>
      </c>
      <c r="C144" s="242" t="s">
        <v>496</v>
      </c>
      <c r="D144" s="243"/>
      <c r="E144" s="482">
        <f>+E349</f>
        <v>0</v>
      </c>
      <c r="F144" s="482">
        <f>+G144-E144</f>
        <v>0</v>
      </c>
      <c r="G144" s="482">
        <f>+G349</f>
        <v>0</v>
      </c>
      <c r="H144" s="482">
        <f>+H349</f>
        <v>0</v>
      </c>
      <c r="I144" s="482">
        <f>+J144-H144</f>
        <v>0</v>
      </c>
      <c r="J144" s="482">
        <f>+J349</f>
        <v>0</v>
      </c>
      <c r="K144" s="482">
        <f>+K349</f>
        <v>0</v>
      </c>
      <c r="L144" s="482">
        <f>+M144-K144</f>
        <v>0</v>
      </c>
      <c r="M144" s="482">
        <f>+M349</f>
        <v>0</v>
      </c>
      <c r="N144" s="482">
        <f>+N349</f>
        <v>0</v>
      </c>
      <c r="O144" s="482">
        <f>+P144-N144</f>
        <v>0</v>
      </c>
      <c r="P144" s="482">
        <f>+P349</f>
        <v>0</v>
      </c>
      <c r="Q144" s="482">
        <f>+Q349</f>
        <v>0</v>
      </c>
      <c r="R144" s="482">
        <f>+S144-Q144</f>
        <v>0</v>
      </c>
      <c r="S144" s="482">
        <f>+S349</f>
        <v>0</v>
      </c>
      <c r="T144" s="482">
        <f>+T349</f>
        <v>0</v>
      </c>
      <c r="U144" s="482">
        <f>+V144-T144</f>
        <v>0</v>
      </c>
      <c r="V144" s="482">
        <f>+V349</f>
        <v>0</v>
      </c>
      <c r="W144" s="482">
        <f>+W349</f>
        <v>0</v>
      </c>
      <c r="X144" s="482">
        <f>+Y144-W144</f>
        <v>0</v>
      </c>
      <c r="Y144" s="482">
        <f>+Y349</f>
        <v>0</v>
      </c>
      <c r="Z144" s="482">
        <f>+Z349</f>
        <v>0</v>
      </c>
      <c r="AA144" s="482">
        <f>+AB144-Z144</f>
        <v>0</v>
      </c>
      <c r="AB144" s="482">
        <f>+AB349</f>
        <v>0</v>
      </c>
      <c r="AC144" s="482">
        <f>+AC349</f>
        <v>0</v>
      </c>
      <c r="AD144" s="482">
        <f>+AE144-AC144</f>
        <v>0</v>
      </c>
      <c r="AE144" s="482">
        <f>+AE349</f>
        <v>0</v>
      </c>
      <c r="AF144" s="482">
        <f>+AF349</f>
        <v>0</v>
      </c>
      <c r="AG144" s="482">
        <f>+AH144-AF144</f>
        <v>0</v>
      </c>
      <c r="AH144" s="482">
        <f>+AH349</f>
        <v>0</v>
      </c>
      <c r="AI144" s="482">
        <f>+AI349</f>
        <v>0</v>
      </c>
      <c r="AJ144" s="482">
        <f>+AK144-AI144</f>
        <v>0</v>
      </c>
      <c r="AK144" s="482">
        <f>+AK349</f>
        <v>0</v>
      </c>
      <c r="AL144" s="482">
        <f>+AL349</f>
        <v>2.5</v>
      </c>
      <c r="AM144" s="482">
        <f>+AN144-AL144</f>
        <v>3.75</v>
      </c>
      <c r="AN144" s="482">
        <f>+AN349</f>
        <v>6.25</v>
      </c>
      <c r="AO144" s="482">
        <f>+AO349</f>
        <v>2.5</v>
      </c>
      <c r="AP144" s="482">
        <f>+AQ144-AO144</f>
        <v>3.75</v>
      </c>
      <c r="AQ144" s="482">
        <f>+AQ349</f>
        <v>6.25</v>
      </c>
      <c r="AR144" s="482">
        <f>+AR349</f>
        <v>3</v>
      </c>
      <c r="AS144" s="482">
        <f>+AT144-AR144</f>
        <v>4.75</v>
      </c>
      <c r="AT144" s="482">
        <f>+AT349</f>
        <v>7.75</v>
      </c>
      <c r="AU144" s="482">
        <f>+AU349</f>
        <v>4.0430000000000001</v>
      </c>
      <c r="AV144" s="482">
        <f>+AW144-AU144</f>
        <v>10.106999999999999</v>
      </c>
      <c r="AW144" s="482">
        <f>+AW349</f>
        <v>14.15</v>
      </c>
      <c r="AX144" s="482">
        <f>+AX349</f>
        <v>7.67</v>
      </c>
      <c r="AY144" s="482">
        <f>+AZ144-AX144</f>
        <v>7.6769999999999996</v>
      </c>
      <c r="AZ144" s="482">
        <f>+AZ349</f>
        <v>15.347</v>
      </c>
      <c r="BA144" s="482">
        <f>+BA349</f>
        <v>10.403</v>
      </c>
      <c r="BB144" s="482">
        <f>+BC144-BA144</f>
        <v>10.924000000000001</v>
      </c>
      <c r="BC144" s="482">
        <f>+BC349</f>
        <v>21.327000000000002</v>
      </c>
      <c r="BD144" s="482">
        <f>+BD349</f>
        <v>10.923645389999999</v>
      </c>
      <c r="BE144" s="482">
        <f>+BF144-BD144</f>
        <v>16.37643001</v>
      </c>
      <c r="BF144" s="482">
        <f>+BF349</f>
        <v>27.300075400000001</v>
      </c>
      <c r="BG144" s="482">
        <f>+BG349</f>
        <v>17.325047850000001</v>
      </c>
      <c r="BH144" s="482">
        <f>+BI144-BG144</f>
        <v>15.946952149999998</v>
      </c>
      <c r="BI144" s="482">
        <f>+BI349</f>
        <v>33.271999999999998</v>
      </c>
      <c r="BJ144" s="482">
        <f>+BJ349</f>
        <v>23.355</v>
      </c>
      <c r="BK144" s="482">
        <f>+BL144-BJ144</f>
        <v>18.956999999999997</v>
      </c>
      <c r="BL144" s="482">
        <f>-BL209</f>
        <v>42.311999999999998</v>
      </c>
      <c r="BM144" s="482">
        <f>-BM209</f>
        <v>23.831</v>
      </c>
      <c r="BN144" s="482">
        <f>+BO144-BM144</f>
        <v>19.001000000000001</v>
      </c>
      <c r="BO144" s="482">
        <f>-BO209</f>
        <v>42.832000000000001</v>
      </c>
      <c r="BP144" s="482">
        <f>-BP209</f>
        <v>24.43</v>
      </c>
      <c r="BQ144" s="482">
        <f>+BR144-BP144</f>
        <v>24.665999999999997</v>
      </c>
      <c r="BR144" s="482">
        <f>-BR209</f>
        <v>49.095999999999997</v>
      </c>
      <c r="BS144" s="482">
        <f>-BS209</f>
        <v>30.175000000000001</v>
      </c>
      <c r="BT144" s="482">
        <f>+BU144-BS144</f>
        <v>30.208000000000002</v>
      </c>
      <c r="BU144" s="482">
        <f>-BU209</f>
        <v>60.383000000000003</v>
      </c>
      <c r="BV144" s="482">
        <f>-BV209</f>
        <v>38.915999999999997</v>
      </c>
      <c r="BW144" s="482">
        <f>+BX144-BV144</f>
        <v>38.936000000000007</v>
      </c>
      <c r="BX144" s="482">
        <f>-BX209</f>
        <v>77.852000000000004</v>
      </c>
      <c r="BY144" s="482">
        <f>-BY209</f>
        <v>47.612000000000002</v>
      </c>
      <c r="BZ144" s="482">
        <f>+CA144-BY144</f>
        <v>41.904000000000003</v>
      </c>
      <c r="CA144" s="482">
        <f>-CA209</f>
        <v>89.516000000000005</v>
      </c>
      <c r="CB144" s="482">
        <f>-CB209</f>
        <v>53.384</v>
      </c>
      <c r="CC144" s="482">
        <f>+CD144-CB144</f>
        <v>53.704999999999998</v>
      </c>
      <c r="CD144" s="482">
        <f>-CD209</f>
        <v>107.089</v>
      </c>
      <c r="CE144" s="482">
        <f>-CE209</f>
        <v>59.404000000000003</v>
      </c>
      <c r="CF144" s="482">
        <f>+CG144-CE144</f>
        <v>59.54399999999999</v>
      </c>
      <c r="CG144" s="482">
        <f>-CG209</f>
        <v>118.94799999999999</v>
      </c>
      <c r="CH144" s="482">
        <f>-CH209</f>
        <v>68.171000000000006</v>
      </c>
      <c r="CI144" s="482">
        <f>+CJ144-CH144</f>
        <v>68.314999999999984</v>
      </c>
      <c r="CJ144" s="482">
        <f>-CJ209</f>
        <v>136.48599999999999</v>
      </c>
      <c r="CK144" s="482">
        <f>-CK209</f>
        <v>71.215999999999994</v>
      </c>
      <c r="CL144" s="482">
        <f>+CM144-CK144</f>
        <v>71.295000000000002</v>
      </c>
      <c r="CM144" s="482">
        <f>-CM209</f>
        <v>142.511</v>
      </c>
      <c r="CN144" s="482">
        <f>-CN209</f>
        <v>72.441999999999993</v>
      </c>
      <c r="CO144" s="482">
        <f>+CP144-CN144</f>
        <v>72.469000000000008</v>
      </c>
      <c r="CP144" s="482">
        <f>-CP209</f>
        <v>144.911</v>
      </c>
      <c r="CQ144" s="482">
        <f>-CQ209</f>
        <v>72.468999999999994</v>
      </c>
      <c r="CR144" s="482">
        <f>+CS144-CQ144</f>
        <v>51.374000000000009</v>
      </c>
      <c r="CS144" s="482">
        <f>-CS209</f>
        <v>123.843</v>
      </c>
      <c r="CT144" s="482">
        <f>-CT209</f>
        <v>57.167999999999999</v>
      </c>
      <c r="CU144" s="482">
        <f>+CV144-CT144</f>
        <v>62.925000000000004</v>
      </c>
      <c r="CV144" s="482">
        <f>-CV209</f>
        <v>120.093</v>
      </c>
      <c r="CW144" s="482">
        <f>-CW209</f>
        <v>68.882999999999996</v>
      </c>
      <c r="CX144" s="482">
        <f>+CY144-CW144</f>
        <v>76.655000000000015</v>
      </c>
      <c r="CY144" s="482">
        <f>-CY209</f>
        <v>145.53800000000001</v>
      </c>
      <c r="CZ144" s="482">
        <f>-CZ209</f>
        <v>80.5</v>
      </c>
      <c r="DA144" s="482">
        <f>+DB144-CZ144</f>
        <v>80.599999999999994</v>
      </c>
      <c r="DB144" s="482">
        <f>-DB209</f>
        <v>161.1</v>
      </c>
      <c r="DC144" s="482">
        <f>-DC209</f>
        <v>-16.100000000000023</v>
      </c>
      <c r="DD144" s="482">
        <f>+DE144-DC144</f>
        <v>197.90000000000003</v>
      </c>
      <c r="DE144" s="482">
        <f>-DE209</f>
        <v>181.8</v>
      </c>
      <c r="DF144" s="482">
        <f>-DF209</f>
        <v>101.2</v>
      </c>
      <c r="DG144" s="482">
        <f>+DH144-DF144</f>
        <v>92.499999999999986</v>
      </c>
      <c r="DH144" s="1244">
        <f>-DH209</f>
        <v>193.7</v>
      </c>
      <c r="DI144" s="482">
        <f>-DI209</f>
        <v>0</v>
      </c>
      <c r="DJ144" s="482">
        <f>+DK144-DI144</f>
        <v>75.599999999999994</v>
      </c>
      <c r="DK144" s="1244">
        <f>-DK209</f>
        <v>75.599999999999994</v>
      </c>
      <c r="DL144" s="482">
        <f>-DL209</f>
        <v>92.1</v>
      </c>
      <c r="DM144" s="482">
        <f>+DN144-DL144</f>
        <v>101.9</v>
      </c>
      <c r="DN144" s="1244">
        <f>-DN209</f>
        <v>194</v>
      </c>
      <c r="DO144" s="482">
        <f>-DO209</f>
        <v>95.4</v>
      </c>
      <c r="DP144" s="482">
        <f>+DQ144-DO144</f>
        <v>102</v>
      </c>
      <c r="DQ144" s="1244">
        <f>-DQ209</f>
        <v>197.4</v>
      </c>
      <c r="DR144" s="482">
        <f>-DR209</f>
        <v>114.7</v>
      </c>
      <c r="DS144" s="482">
        <f>+DT144-DR144</f>
        <v>131</v>
      </c>
      <c r="DT144" s="1244">
        <f>-DT209</f>
        <v>245.7</v>
      </c>
      <c r="DU144" s="482">
        <f>-DU209</f>
        <v>137.5</v>
      </c>
      <c r="DV144" s="482">
        <f>+DW144-DU144</f>
        <v>140.69999999999999</v>
      </c>
      <c r="DW144" s="1244">
        <f>-DW209</f>
        <v>278.2</v>
      </c>
      <c r="DX144" s="482">
        <f>-DX209</f>
        <v>140.6</v>
      </c>
      <c r="DY144" s="482">
        <f>+DZ144-DX144</f>
        <v>137.49119152576546</v>
      </c>
      <c r="DZ144" s="1244">
        <f>-DZ209</f>
        <v>278.09119152576545</v>
      </c>
      <c r="EA144" s="482">
        <f>-EA209</f>
        <v>153.05211936965441</v>
      </c>
      <c r="EB144" s="482">
        <f>+EC144-EA144</f>
        <v>165.09076318039718</v>
      </c>
      <c r="EC144" s="1244">
        <f>-EC209</f>
        <v>318.14288255005158</v>
      </c>
      <c r="ED144" s="482">
        <f>-ED209</f>
        <v>169.59082546537329</v>
      </c>
      <c r="EE144" s="482">
        <f>+EF144-ED144</f>
        <v>183.56812741804666</v>
      </c>
      <c r="EF144" s="1244">
        <f>-EF209</f>
        <v>353.15895288341994</v>
      </c>
      <c r="EG144" s="482">
        <f>-EG209</f>
        <v>188.71909087266894</v>
      </c>
      <c r="EH144" s="482">
        <f>+EI144-EG144</f>
        <v>204.59289538226764</v>
      </c>
      <c r="EI144" s="1244">
        <f>-EI209</f>
        <v>393.31198625493658</v>
      </c>
      <c r="EJ144" s="482">
        <f>-EJ209</f>
        <v>210.99253656363774</v>
      </c>
      <c r="EK144" s="482">
        <f>+EL144-EJ144</f>
        <v>225.61704536903866</v>
      </c>
      <c r="EL144" s="1244">
        <f>-EL209</f>
        <v>436.60958193267641</v>
      </c>
      <c r="EM144" s="482">
        <f>-EM209</f>
        <v>232.66607187925595</v>
      </c>
      <c r="EN144" s="482">
        <f>+EO144-EM144</f>
        <v>247.68386257631968</v>
      </c>
      <c r="EO144" s="1244">
        <f>-EO209</f>
        <v>480.34993445557564</v>
      </c>
      <c r="EP144" s="482">
        <f>-EP209</f>
        <v>255.39931155587664</v>
      </c>
      <c r="EQ144" s="482">
        <f>+ER144-EP144</f>
        <v>271.17162740302575</v>
      </c>
      <c r="ER144" s="1244">
        <f>-ER209</f>
        <v>526.57093895890239</v>
      </c>
      <c r="ES144" s="482">
        <f>-ES209</f>
        <v>279.58146679074309</v>
      </c>
      <c r="ET144" s="482">
        <f>+EU144-ES144</f>
        <v>296.81601608916446</v>
      </c>
      <c r="EU144" s="1244">
        <f>-EU209</f>
        <v>576.39748287990756</v>
      </c>
      <c r="EV144" s="482">
        <f>-EV209</f>
        <v>305.98274102177641</v>
      </c>
      <c r="EW144" s="482">
        <f>+EX144-EV144</f>
        <v>324.81601707290895</v>
      </c>
      <c r="EX144" s="1244">
        <f>-EX209</f>
        <v>630.79875809468535</v>
      </c>
      <c r="EY144" s="482">
        <f>-EY209</f>
        <v>334.80774724945576</v>
      </c>
      <c r="EZ144" s="482">
        <f>+FA144-EY144</f>
        <v>355.38969154936905</v>
      </c>
      <c r="FA144" s="1244">
        <f>-FA209</f>
        <v>690.19743879882481</v>
      </c>
      <c r="FE144"/>
      <c r="FF144"/>
      <c r="FG144"/>
      <c r="FH144"/>
      <c r="FI144"/>
      <c r="FJ144"/>
      <c r="FK144" s="35"/>
    </row>
    <row r="145" spans="1:167" s="236" customFormat="1" ht="13.35" customHeight="1" outlineLevel="1" thickBot="1">
      <c r="B145" s="242" t="s">
        <v>185</v>
      </c>
      <c r="C145" s="242" t="s">
        <v>496</v>
      </c>
      <c r="D145" s="243"/>
      <c r="E145" s="503"/>
      <c r="F145" s="482">
        <f>+G145-E145</f>
        <v>0</v>
      </c>
      <c r="G145" s="504"/>
      <c r="H145" s="505"/>
      <c r="I145" s="482">
        <f>+J145-H145</f>
        <v>0</v>
      </c>
      <c r="J145" s="504"/>
      <c r="K145" s="505"/>
      <c r="L145" s="482">
        <f>+M145-K145</f>
        <v>0</v>
      </c>
      <c r="M145" s="504"/>
      <c r="N145" s="505"/>
      <c r="O145" s="482">
        <f>+P145-N145</f>
        <v>0</v>
      </c>
      <c r="P145" s="504"/>
      <c r="Q145" s="505"/>
      <c r="R145" s="482">
        <f>+S145-Q145</f>
        <v>0</v>
      </c>
      <c r="S145" s="504"/>
      <c r="T145" s="505"/>
      <c r="U145" s="482">
        <f>+V145-T145</f>
        <v>0</v>
      </c>
      <c r="V145" s="504"/>
      <c r="W145" s="505"/>
      <c r="X145" s="482">
        <f>+Y145-W145</f>
        <v>0</v>
      </c>
      <c r="Y145" s="504"/>
      <c r="Z145" s="505"/>
      <c r="AA145" s="482">
        <f>+AB145-Z145</f>
        <v>0</v>
      </c>
      <c r="AB145" s="504"/>
      <c r="AC145" s="505"/>
      <c r="AD145" s="482">
        <f>+AE145-AC145</f>
        <v>0</v>
      </c>
      <c r="AE145" s="504"/>
      <c r="AF145" s="505"/>
      <c r="AG145" s="482">
        <f>+AH145-AF145</f>
        <v>0</v>
      </c>
      <c r="AH145" s="504"/>
      <c r="AI145" s="505"/>
      <c r="AJ145" s="482">
        <f>+AK145-AI145</f>
        <v>0</v>
      </c>
      <c r="AK145" s="504"/>
      <c r="AL145" s="505"/>
      <c r="AM145" s="482">
        <f>+AN145-AL145</f>
        <v>0</v>
      </c>
      <c r="AN145" s="504"/>
      <c r="AO145" s="505"/>
      <c r="AP145" s="482">
        <f>+AQ145-AO145</f>
        <v>0</v>
      </c>
      <c r="AQ145" s="504"/>
      <c r="AR145" s="505"/>
      <c r="AS145" s="482">
        <f>+AT145-AR145</f>
        <v>0</v>
      </c>
      <c r="AT145" s="504"/>
      <c r="AU145" s="505"/>
      <c r="AV145" s="482">
        <f>+AW145-AU145</f>
        <v>0</v>
      </c>
      <c r="AW145" s="504"/>
      <c r="AX145" s="506">
        <v>0</v>
      </c>
      <c r="AY145" s="482">
        <f>+AZ145-AX145</f>
        <v>0</v>
      </c>
      <c r="AZ145" s="507">
        <v>0</v>
      </c>
      <c r="BA145" s="506">
        <v>0</v>
      </c>
      <c r="BB145" s="482">
        <f>+BC145-BA145</f>
        <v>0</v>
      </c>
      <c r="BC145" s="507">
        <v>0</v>
      </c>
      <c r="BD145" s="506">
        <v>0</v>
      </c>
      <c r="BE145" s="482">
        <f>+BF145-BD145</f>
        <v>0</v>
      </c>
      <c r="BF145" s="507">
        <v>0</v>
      </c>
      <c r="BG145" s="506">
        <v>0</v>
      </c>
      <c r="BH145" s="482">
        <f>+BI145-BG145</f>
        <v>0</v>
      </c>
      <c r="BI145" s="507">
        <v>0</v>
      </c>
      <c r="BJ145" s="506">
        <v>-0.59199999999999997</v>
      </c>
      <c r="BK145" s="482">
        <f>+BL145-BJ145</f>
        <v>-2.1829999999999998</v>
      </c>
      <c r="BL145" s="504">
        <f>-2.778+0.003</f>
        <v>-2.7749999999999999</v>
      </c>
      <c r="BM145" s="506">
        <v>0</v>
      </c>
      <c r="BN145" s="482">
        <f>+BO145-BM145</f>
        <v>0</v>
      </c>
      <c r="BO145" s="508">
        <v>0</v>
      </c>
      <c r="BP145" s="505">
        <f>BM145</f>
        <v>0</v>
      </c>
      <c r="BQ145" s="482">
        <f>+BR145-BP145</f>
        <v>0</v>
      </c>
      <c r="BR145" s="503">
        <f>BP145</f>
        <v>0</v>
      </c>
      <c r="BS145" s="505">
        <f>BP145</f>
        <v>0</v>
      </c>
      <c r="BT145" s="482">
        <f>+BU145-BS145</f>
        <v>0</v>
      </c>
      <c r="BU145" s="503">
        <f>BS145</f>
        <v>0</v>
      </c>
      <c r="BV145" s="505">
        <f>BS145</f>
        <v>0</v>
      </c>
      <c r="BW145" s="482">
        <f>+BX145-BV145</f>
        <v>0</v>
      </c>
      <c r="BX145" s="503">
        <f>BV145</f>
        <v>0</v>
      </c>
      <c r="BY145" s="505">
        <f>BV145</f>
        <v>0</v>
      </c>
      <c r="BZ145" s="482">
        <f>+CA145-BY145</f>
        <v>0</v>
      </c>
      <c r="CA145" s="503">
        <f>BY145</f>
        <v>0</v>
      </c>
      <c r="CB145" s="505">
        <f>BY145</f>
        <v>0</v>
      </c>
      <c r="CC145" s="482">
        <f>+CD145-CB145</f>
        <v>0</v>
      </c>
      <c r="CD145" s="503">
        <f>CB145</f>
        <v>0</v>
      </c>
      <c r="CE145" s="505">
        <f>CB145</f>
        <v>0</v>
      </c>
      <c r="CF145" s="482">
        <f>+CG145-CE145</f>
        <v>0</v>
      </c>
      <c r="CG145" s="503">
        <f>CE145</f>
        <v>0</v>
      </c>
      <c r="CH145" s="505">
        <f>CE145</f>
        <v>0</v>
      </c>
      <c r="CI145" s="482">
        <f>+CJ145-CH145</f>
        <v>0</v>
      </c>
      <c r="CJ145" s="503">
        <f>CH145</f>
        <v>0</v>
      </c>
      <c r="CK145" s="505">
        <f>CH145</f>
        <v>0</v>
      </c>
      <c r="CL145" s="482">
        <f>+CM145-CK145</f>
        <v>0</v>
      </c>
      <c r="CM145" s="503">
        <f>CK145</f>
        <v>0</v>
      </c>
      <c r="CN145" s="505">
        <f>CK145</f>
        <v>0</v>
      </c>
      <c r="CO145" s="482">
        <f>+CP145-CN145</f>
        <v>0</v>
      </c>
      <c r="CP145" s="503">
        <f>CN145</f>
        <v>0</v>
      </c>
      <c r="CQ145" s="505">
        <f>CN145</f>
        <v>0</v>
      </c>
      <c r="CR145" s="482">
        <f>+CS145-CQ145</f>
        <v>0</v>
      </c>
      <c r="CS145" s="503">
        <f>CQ145</f>
        <v>0</v>
      </c>
      <c r="CT145" s="505">
        <f>CQ145</f>
        <v>0</v>
      </c>
      <c r="CU145" s="482">
        <f>+CV145-CT145</f>
        <v>0</v>
      </c>
      <c r="CV145" s="503">
        <f>CT145</f>
        <v>0</v>
      </c>
      <c r="CW145" s="505">
        <f>CT145</f>
        <v>0</v>
      </c>
      <c r="CX145" s="482">
        <f>+CY145-CW145</f>
        <v>0</v>
      </c>
      <c r="CY145" s="503">
        <f>CW145</f>
        <v>0</v>
      </c>
      <c r="CZ145" s="505">
        <f>CW145</f>
        <v>0</v>
      </c>
      <c r="DA145" s="482">
        <f>+DB145-CZ145</f>
        <v>0</v>
      </c>
      <c r="DB145" s="503">
        <f>CZ145</f>
        <v>0</v>
      </c>
      <c r="DC145" s="505">
        <f>CZ145</f>
        <v>0</v>
      </c>
      <c r="DD145" s="482">
        <f>+DE145-DC145</f>
        <v>0</v>
      </c>
      <c r="DE145" s="503">
        <f>DC145</f>
        <v>0</v>
      </c>
      <c r="DF145" s="505">
        <f>DC145</f>
        <v>0</v>
      </c>
      <c r="DG145" s="482">
        <f>+DH145-DF145</f>
        <v>0</v>
      </c>
      <c r="DH145" s="1254">
        <f>DF145</f>
        <v>0</v>
      </c>
      <c r="DI145" s="482">
        <f>DF145</f>
        <v>0</v>
      </c>
      <c r="DJ145" s="482">
        <f>+DK145-DI145</f>
        <v>0</v>
      </c>
      <c r="DK145" s="1244">
        <f>DI145</f>
        <v>0</v>
      </c>
      <c r="DL145" s="482">
        <f>DI145</f>
        <v>0</v>
      </c>
      <c r="DM145" s="482">
        <f>+DN145-DL145</f>
        <v>0</v>
      </c>
      <c r="DN145" s="1244">
        <f>DL145</f>
        <v>0</v>
      </c>
      <c r="DO145" s="482">
        <f>DL145</f>
        <v>0</v>
      </c>
      <c r="DP145" s="482">
        <f>+DQ145-DO145</f>
        <v>0</v>
      </c>
      <c r="DQ145" s="1244">
        <f>DO145</f>
        <v>0</v>
      </c>
      <c r="DR145" s="482">
        <f>DO145</f>
        <v>0</v>
      </c>
      <c r="DS145" s="482">
        <f>+DT145-DR145</f>
        <v>0</v>
      </c>
      <c r="DT145" s="1244">
        <f>DR145</f>
        <v>0</v>
      </c>
      <c r="DU145" s="482">
        <f>DR145</f>
        <v>0</v>
      </c>
      <c r="DV145" s="482">
        <f>+DW145-DU145</f>
        <v>0</v>
      </c>
      <c r="DW145" s="1244">
        <f>DU145</f>
        <v>0</v>
      </c>
      <c r="DX145" s="482">
        <f>DU145</f>
        <v>0</v>
      </c>
      <c r="DY145" s="482">
        <f>+DZ145-DX145</f>
        <v>0</v>
      </c>
      <c r="DZ145" s="1244">
        <f>DX145</f>
        <v>0</v>
      </c>
      <c r="EA145" s="482">
        <f>DX145</f>
        <v>0</v>
      </c>
      <c r="EB145" s="482">
        <f>+EC145-EA145</f>
        <v>0</v>
      </c>
      <c r="EC145" s="1244">
        <f>EA145</f>
        <v>0</v>
      </c>
      <c r="ED145" s="482">
        <f>EA145</f>
        <v>0</v>
      </c>
      <c r="EE145" s="482">
        <f>+EF145-ED145</f>
        <v>0</v>
      </c>
      <c r="EF145" s="1244">
        <f>ED145</f>
        <v>0</v>
      </c>
      <c r="EG145" s="482">
        <f>ED145</f>
        <v>0</v>
      </c>
      <c r="EH145" s="482">
        <f>+EI145-EG145</f>
        <v>0</v>
      </c>
      <c r="EI145" s="1244">
        <f>EG145</f>
        <v>0</v>
      </c>
      <c r="EJ145" s="482">
        <f>EG145</f>
        <v>0</v>
      </c>
      <c r="EK145" s="482">
        <f>+EL145-EJ145</f>
        <v>0</v>
      </c>
      <c r="EL145" s="1244">
        <f>EJ145</f>
        <v>0</v>
      </c>
      <c r="EM145" s="482">
        <f>EJ145</f>
        <v>0</v>
      </c>
      <c r="EN145" s="482">
        <f>+EO145-EM145</f>
        <v>0</v>
      </c>
      <c r="EO145" s="1244">
        <f>EM145</f>
        <v>0</v>
      </c>
      <c r="EP145" s="482">
        <f>EM145</f>
        <v>0</v>
      </c>
      <c r="EQ145" s="482">
        <f>+ER145-EP145</f>
        <v>0</v>
      </c>
      <c r="ER145" s="1244">
        <f>EP145</f>
        <v>0</v>
      </c>
      <c r="ES145" s="482">
        <f>EP145</f>
        <v>0</v>
      </c>
      <c r="ET145" s="482">
        <f>+EU145-ES145</f>
        <v>0</v>
      </c>
      <c r="EU145" s="1244">
        <f>ES145</f>
        <v>0</v>
      </c>
      <c r="EV145" s="482">
        <f>ES145</f>
        <v>0</v>
      </c>
      <c r="EW145" s="482">
        <f>+EX145-EV145</f>
        <v>0</v>
      </c>
      <c r="EX145" s="1244">
        <f>EV145</f>
        <v>0</v>
      </c>
      <c r="EY145" s="482">
        <f>EV145</f>
        <v>0</v>
      </c>
      <c r="EZ145" s="482">
        <f>+FA145-EY145</f>
        <v>0</v>
      </c>
      <c r="FA145" s="1244">
        <f>EY145</f>
        <v>0</v>
      </c>
      <c r="FE145"/>
      <c r="FF145"/>
      <c r="FG145"/>
      <c r="FH145"/>
      <c r="FI145"/>
      <c r="FJ145"/>
      <c r="FK145" s="35"/>
    </row>
    <row r="146" spans="1:167" s="236" customFormat="1" ht="13.35" customHeight="1" outlineLevel="1">
      <c r="B146" s="242" t="s">
        <v>186</v>
      </c>
      <c r="C146" s="242" t="s">
        <v>496</v>
      </c>
      <c r="D146" s="243"/>
      <c r="E146" s="509">
        <f t="shared" ref="E146:N146" si="462">+E143-E144+E145</f>
        <v>0</v>
      </c>
      <c r="F146" s="509">
        <f t="shared" si="462"/>
        <v>0</v>
      </c>
      <c r="G146" s="509">
        <f t="shared" si="462"/>
        <v>0</v>
      </c>
      <c r="H146" s="509">
        <f t="shared" si="462"/>
        <v>0</v>
      </c>
      <c r="I146" s="509">
        <f t="shared" si="462"/>
        <v>0</v>
      </c>
      <c r="J146" s="509">
        <f t="shared" si="462"/>
        <v>0</v>
      </c>
      <c r="K146" s="509">
        <f t="shared" si="462"/>
        <v>0</v>
      </c>
      <c r="L146" s="509">
        <f t="shared" si="462"/>
        <v>0</v>
      </c>
      <c r="M146" s="509">
        <f t="shared" si="462"/>
        <v>0</v>
      </c>
      <c r="N146" s="509">
        <f t="shared" si="462"/>
        <v>0</v>
      </c>
      <c r="O146" s="509">
        <f t="shared" ref="O146:X146" si="463">+O143-O144+O145</f>
        <v>0</v>
      </c>
      <c r="P146" s="509">
        <f t="shared" si="463"/>
        <v>0</v>
      </c>
      <c r="Q146" s="509">
        <f t="shared" si="463"/>
        <v>0</v>
      </c>
      <c r="R146" s="509">
        <f t="shared" si="463"/>
        <v>0</v>
      </c>
      <c r="S146" s="509">
        <f t="shared" si="463"/>
        <v>0</v>
      </c>
      <c r="T146" s="509">
        <f t="shared" si="463"/>
        <v>0</v>
      </c>
      <c r="U146" s="509">
        <f t="shared" si="463"/>
        <v>0</v>
      </c>
      <c r="V146" s="509">
        <f t="shared" si="463"/>
        <v>0</v>
      </c>
      <c r="W146" s="509">
        <f t="shared" si="463"/>
        <v>0</v>
      </c>
      <c r="X146" s="509">
        <f t="shared" si="463"/>
        <v>0</v>
      </c>
      <c r="Y146" s="509">
        <f t="shared" ref="Y146:AH146" si="464">+Y143-Y144+Y145</f>
        <v>0</v>
      </c>
      <c r="Z146" s="509">
        <f t="shared" si="464"/>
        <v>0</v>
      </c>
      <c r="AA146" s="509">
        <f t="shared" si="464"/>
        <v>0</v>
      </c>
      <c r="AB146" s="509">
        <f t="shared" si="464"/>
        <v>0</v>
      </c>
      <c r="AC146" s="509">
        <f t="shared" si="464"/>
        <v>0</v>
      </c>
      <c r="AD146" s="509">
        <f t="shared" si="464"/>
        <v>0</v>
      </c>
      <c r="AE146" s="509">
        <f t="shared" si="464"/>
        <v>0</v>
      </c>
      <c r="AF146" s="509">
        <f t="shared" si="464"/>
        <v>0</v>
      </c>
      <c r="AG146" s="509">
        <f t="shared" si="464"/>
        <v>0</v>
      </c>
      <c r="AH146" s="509">
        <f t="shared" si="464"/>
        <v>0</v>
      </c>
      <c r="AI146" s="509">
        <f t="shared" ref="AI146:AR146" si="465">+AI143-AI144+AI145</f>
        <v>4.5949999999999998</v>
      </c>
      <c r="AJ146" s="509">
        <f t="shared" si="465"/>
        <v>10.375999999999999</v>
      </c>
      <c r="AK146" s="509">
        <f t="shared" si="465"/>
        <v>10.375999999999999</v>
      </c>
      <c r="AL146" s="509">
        <f t="shared" si="465"/>
        <v>13.003</v>
      </c>
      <c r="AM146" s="509">
        <f t="shared" si="465"/>
        <v>14.989000000000001</v>
      </c>
      <c r="AN146" s="509">
        <f t="shared" si="465"/>
        <v>14.988999999999997</v>
      </c>
      <c r="AO146" s="509">
        <f t="shared" si="465"/>
        <v>17.010999999999996</v>
      </c>
      <c r="AP146" s="509">
        <f t="shared" si="465"/>
        <v>19.547999999999995</v>
      </c>
      <c r="AQ146" s="509">
        <f t="shared" si="465"/>
        <v>19.547999999999998</v>
      </c>
      <c r="AR146" s="509">
        <f t="shared" si="465"/>
        <v>21.972999999999999</v>
      </c>
      <c r="AS146" s="509">
        <f t="shared" ref="AS146:BB146" si="466">+AS143-AS144+AS145</f>
        <v>25.082999999999998</v>
      </c>
      <c r="AT146" s="509">
        <f t="shared" si="466"/>
        <v>25.082999999999998</v>
      </c>
      <c r="AU146" s="509">
        <f t="shared" si="466"/>
        <v>27.683</v>
      </c>
      <c r="AV146" s="509">
        <f t="shared" si="466"/>
        <v>27.259999999999998</v>
      </c>
      <c r="AW146" s="509">
        <f t="shared" si="466"/>
        <v>27.259999999999998</v>
      </c>
      <c r="AX146" s="509">
        <f t="shared" si="466"/>
        <v>29.914000000000001</v>
      </c>
      <c r="AY146" s="509">
        <f t="shared" si="466"/>
        <v>32.08</v>
      </c>
      <c r="AZ146" s="509">
        <f t="shared" si="466"/>
        <v>32.079999999999991</v>
      </c>
      <c r="BA146" s="509">
        <f t="shared" si="466"/>
        <v>37.54999999999999</v>
      </c>
      <c r="BB146" s="509">
        <f t="shared" si="466"/>
        <v>41.93099999999999</v>
      </c>
      <c r="BC146" s="509">
        <f t="shared" ref="BC146:BO146" si="467">+BC143-BC144+BC145</f>
        <v>41.930999999999997</v>
      </c>
      <c r="BD146" s="509">
        <f t="shared" si="467"/>
        <v>48.407354609999992</v>
      </c>
      <c r="BE146" s="509">
        <f t="shared" si="467"/>
        <v>54.840924600000001</v>
      </c>
      <c r="BF146" s="509">
        <f t="shared" si="467"/>
        <v>54.840924599999994</v>
      </c>
      <c r="BG146" s="509">
        <f t="shared" si="467"/>
        <v>64.53087674999999</v>
      </c>
      <c r="BH146" s="509">
        <f t="shared" si="467"/>
        <v>79.752924599999986</v>
      </c>
      <c r="BI146" s="509">
        <f>+BI143-BI144+BI145+(15.75+0.311+0.134)</f>
        <v>95.825999999999993</v>
      </c>
      <c r="BJ146" s="509">
        <f t="shared" si="467"/>
        <v>98.758999999999986</v>
      </c>
      <c r="BK146" s="509">
        <f t="shared" si="467"/>
        <v>87.5</v>
      </c>
      <c r="BL146" s="509">
        <f t="shared" si="467"/>
        <v>87.499999999999986</v>
      </c>
      <c r="BM146" s="509">
        <f t="shared" si="467"/>
        <v>93.133999999999986</v>
      </c>
      <c r="BN146" s="509">
        <f t="shared" si="467"/>
        <v>103.14199999999998</v>
      </c>
      <c r="BO146" s="509">
        <f t="shared" si="467"/>
        <v>103.142</v>
      </c>
      <c r="BP146" s="509">
        <f t="shared" ref="BP146:DK146" si="468">+BP143-BP144+BP145</f>
        <v>121.721</v>
      </c>
      <c r="BQ146" s="509">
        <f t="shared" si="468"/>
        <v>134.078</v>
      </c>
      <c r="BR146" s="509">
        <f t="shared" si="468"/>
        <v>134.07799999999997</v>
      </c>
      <c r="BS146" s="509">
        <f t="shared" si="468"/>
        <v>152.70099999999996</v>
      </c>
      <c r="BT146" s="509">
        <f t="shared" si="468"/>
        <v>173.82599999999994</v>
      </c>
      <c r="BU146" s="509">
        <f t="shared" si="468"/>
        <v>173.82599999999994</v>
      </c>
      <c r="BV146" s="509">
        <f t="shared" si="468"/>
        <v>192.02299999999994</v>
      </c>
      <c r="BW146" s="509">
        <f t="shared" si="468"/>
        <v>211.20799999999994</v>
      </c>
      <c r="BX146" s="509">
        <f t="shared" si="468"/>
        <v>211.20799999999994</v>
      </c>
      <c r="BY146" s="509">
        <f t="shared" si="468"/>
        <v>233.53199999999995</v>
      </c>
      <c r="BZ146" s="509">
        <f t="shared" si="468"/>
        <v>252.23199999999997</v>
      </c>
      <c r="CA146" s="509">
        <f t="shared" si="468"/>
        <v>252.23199999999991</v>
      </c>
      <c r="CB146" s="509">
        <f t="shared" si="468"/>
        <v>274.09499999999991</v>
      </c>
      <c r="CC146" s="509">
        <f t="shared" si="468"/>
        <v>300.2949999999999</v>
      </c>
      <c r="CD146" s="509">
        <f t="shared" si="468"/>
        <v>300.2949999999999</v>
      </c>
      <c r="CE146" s="509">
        <f t="shared" si="468"/>
        <v>328.1169999999999</v>
      </c>
      <c r="CF146" s="509">
        <f t="shared" si="468"/>
        <v>365.75199999999995</v>
      </c>
      <c r="CG146" s="509">
        <f t="shared" si="468"/>
        <v>365.75199999999995</v>
      </c>
      <c r="CH146" s="509">
        <f t="shared" si="468"/>
        <v>277.19199999999995</v>
      </c>
      <c r="CI146" s="509">
        <f t="shared" si="468"/>
        <v>286.06599999999997</v>
      </c>
      <c r="CJ146" s="509">
        <f t="shared" si="468"/>
        <v>286.06599999999992</v>
      </c>
      <c r="CK146" s="509">
        <f t="shared" si="468"/>
        <v>292.51499999999993</v>
      </c>
      <c r="CL146" s="509">
        <f t="shared" si="468"/>
        <v>276.11799999999988</v>
      </c>
      <c r="CM146" s="509">
        <f t="shared" si="468"/>
        <v>276.11799999999994</v>
      </c>
      <c r="CN146" s="509">
        <f t="shared" si="468"/>
        <v>224.72099999999995</v>
      </c>
      <c r="CO146" s="509">
        <f t="shared" si="468"/>
        <v>224.91599999999994</v>
      </c>
      <c r="CP146" s="509">
        <f t="shared" si="468"/>
        <v>224.91599999999994</v>
      </c>
      <c r="CQ146" s="509">
        <f t="shared" si="468"/>
        <v>223.82199999999995</v>
      </c>
      <c r="CR146" s="509">
        <f t="shared" si="468"/>
        <v>246.9129999999999</v>
      </c>
      <c r="CS146" s="509">
        <f t="shared" si="468"/>
        <v>246.91299999999995</v>
      </c>
      <c r="CT146" s="509">
        <f t="shared" si="468"/>
        <v>283.77799999999996</v>
      </c>
      <c r="CU146" s="509">
        <f t="shared" si="468"/>
        <v>315.74099999999993</v>
      </c>
      <c r="CV146" s="509">
        <f t="shared" si="468"/>
        <v>315.74099999999993</v>
      </c>
      <c r="CW146" s="509">
        <f t="shared" si="468"/>
        <v>358.22743999999994</v>
      </c>
      <c r="CX146" s="509">
        <f t="shared" si="468"/>
        <v>393.8189999999999</v>
      </c>
      <c r="CY146" s="509">
        <f t="shared" si="468"/>
        <v>393.81899999999996</v>
      </c>
      <c r="CZ146" s="509">
        <f t="shared" si="468"/>
        <v>424.11899999999991</v>
      </c>
      <c r="DA146" s="509">
        <f t="shared" si="468"/>
        <v>478.51899999999989</v>
      </c>
      <c r="DB146" s="509">
        <f t="shared" si="468"/>
        <v>478.51899999999989</v>
      </c>
      <c r="DC146" s="509">
        <f t="shared" si="468"/>
        <v>623.21899999999994</v>
      </c>
      <c r="DD146" s="509">
        <f t="shared" si="468"/>
        <v>562.61899999999991</v>
      </c>
      <c r="DE146" s="509">
        <f t="shared" si="468"/>
        <v>562.61899999999991</v>
      </c>
      <c r="DF146" s="509">
        <f t="shared" si="468"/>
        <v>594.1189999999998</v>
      </c>
      <c r="DG146" s="509">
        <f t="shared" si="468"/>
        <v>522.71899999999982</v>
      </c>
      <c r="DH146" s="1255">
        <f t="shared" si="468"/>
        <v>522.71899999999982</v>
      </c>
      <c r="DI146" s="482">
        <f t="shared" si="468"/>
        <v>648.40899999999988</v>
      </c>
      <c r="DJ146" s="482">
        <f t="shared" si="468"/>
        <v>687.74899999999991</v>
      </c>
      <c r="DK146" s="1244">
        <f t="shared" si="468"/>
        <v>687.7489999999998</v>
      </c>
      <c r="DL146" s="482">
        <f t="shared" ref="DL146:DQ146" si="469">+DL143-DL144+DL145</f>
        <v>768.78899999999976</v>
      </c>
      <c r="DM146" s="482">
        <f t="shared" si="469"/>
        <v>797.96899999999982</v>
      </c>
      <c r="DN146" s="1244">
        <f t="shared" si="469"/>
        <v>797.96899999999982</v>
      </c>
      <c r="DO146" s="482">
        <f t="shared" si="469"/>
        <v>856.30899999999986</v>
      </c>
      <c r="DP146" s="482">
        <f t="shared" si="469"/>
        <v>928.11899999999991</v>
      </c>
      <c r="DQ146" s="1244">
        <f t="shared" si="469"/>
        <v>928.1189999999998</v>
      </c>
      <c r="DR146" s="482">
        <f t="shared" ref="DR146:DU146" si="470">+DR143-DR144+DR145</f>
        <v>1016.2489999999998</v>
      </c>
      <c r="DS146" s="482">
        <f t="shared" si="470"/>
        <v>1060.4289999999999</v>
      </c>
      <c r="DT146" s="1244">
        <f t="shared" si="470"/>
        <v>1060.4289999999996</v>
      </c>
      <c r="DU146" s="482">
        <f t="shared" si="470"/>
        <v>1128.0189999999996</v>
      </c>
      <c r="DV146" s="482">
        <f t="shared" ref="DV146:DX146" si="471">+DV143-DV144+DV145</f>
        <v>1171.1289999999995</v>
      </c>
      <c r="DW146" s="1244">
        <f t="shared" si="471"/>
        <v>1171.1289999999997</v>
      </c>
      <c r="DX146" s="482">
        <f t="shared" si="471"/>
        <v>1192.0289999999998</v>
      </c>
      <c r="DY146" s="482">
        <f t="shared" ref="DY146:EC146" si="472">+DY143-DY144+DY145</f>
        <v>1225.1027614489867</v>
      </c>
      <c r="DZ146" s="1244">
        <f t="shared" si="472"/>
        <v>1225.1027614489867</v>
      </c>
      <c r="EA146" s="482">
        <f t="shared" si="472"/>
        <v>1280.8335240621414</v>
      </c>
      <c r="EB146" s="482">
        <f t="shared" si="472"/>
        <v>1331.7158612553321</v>
      </c>
      <c r="EC146" s="1244">
        <f t="shared" si="472"/>
        <v>1331.7158612553321</v>
      </c>
      <c r="ED146" s="482">
        <f t="shared" ref="ED146:EL146" si="473">+ED143-ED144+ED145</f>
        <v>1422.9666925050694</v>
      </c>
      <c r="EE146" s="482">
        <f t="shared" si="473"/>
        <v>1508.4146032750052</v>
      </c>
      <c r="EF146" s="1244">
        <f t="shared" si="473"/>
        <v>1508.4146032750052</v>
      </c>
      <c r="EG146" s="482">
        <f t="shared" si="473"/>
        <v>1609.4245709161053</v>
      </c>
      <c r="EH146" s="482">
        <f t="shared" si="473"/>
        <v>1703.6234241808095</v>
      </c>
      <c r="EI146" s="1244">
        <f t="shared" si="473"/>
        <v>1703.6234241808097</v>
      </c>
      <c r="EJ146" s="482">
        <f t="shared" si="473"/>
        <v>1812.1327648318947</v>
      </c>
      <c r="EK146" s="482">
        <f t="shared" si="473"/>
        <v>1915.9998974335651</v>
      </c>
      <c r="EL146" s="1244">
        <f t="shared" si="473"/>
        <v>1915.9998974335649</v>
      </c>
      <c r="EM146" s="482">
        <f t="shared" ref="EM146:ER146" si="474">+EM143-EM144+EM145</f>
        <v>2034.0850683049916</v>
      </c>
      <c r="EN146" s="482">
        <f t="shared" si="474"/>
        <v>2148.0784865740861</v>
      </c>
      <c r="EO146" s="1244">
        <f t="shared" si="474"/>
        <v>2148.0784865740861</v>
      </c>
      <c r="EP146" s="482">
        <f t="shared" si="474"/>
        <v>2276.6920223672319</v>
      </c>
      <c r="EQ146" s="482">
        <f t="shared" si="474"/>
        <v>2401.4426238364854</v>
      </c>
      <c r="ER146" s="1244">
        <f t="shared" si="474"/>
        <v>2401.4426238364854</v>
      </c>
      <c r="ES146" s="482">
        <f t="shared" ref="ES146:EX146" si="475">+ES143-ES144+ES145</f>
        <v>2542.1896573714421</v>
      </c>
      <c r="ET146" s="482">
        <f t="shared" si="475"/>
        <v>2678.683367468328</v>
      </c>
      <c r="EU146" s="1244">
        <f t="shared" si="475"/>
        <v>2678.6833674683276</v>
      </c>
      <c r="EV146" s="482">
        <f t="shared" si="475"/>
        <v>2832.6806205753342</v>
      </c>
      <c r="EW146" s="482">
        <f t="shared" si="475"/>
        <v>2981.994133818991</v>
      </c>
      <c r="EX146" s="1244">
        <f t="shared" si="475"/>
        <v>2981.994133818991</v>
      </c>
      <c r="EY146" s="482">
        <f t="shared" ref="EY146:FA146" si="476">+EY143-EY144+EY145</f>
        <v>3150.4625171786224</v>
      </c>
      <c r="EZ146" s="482">
        <f t="shared" si="476"/>
        <v>3313.7719506830231</v>
      </c>
      <c r="FA146" s="1244">
        <f t="shared" si="476"/>
        <v>3313.7719506830231</v>
      </c>
      <c r="FE146"/>
      <c r="FF146"/>
      <c r="FG146"/>
      <c r="FH146"/>
      <c r="FI146"/>
      <c r="FJ146"/>
      <c r="FK146" s="35"/>
    </row>
    <row r="147" spans="1:167" s="236" customFormat="1" ht="13.35" customHeight="1" outlineLevel="1">
      <c r="B147" s="242" t="s">
        <v>983</v>
      </c>
      <c r="C147" s="242"/>
      <c r="D147" s="243"/>
      <c r="E147" s="243"/>
      <c r="F147" s="243"/>
      <c r="G147" s="243"/>
      <c r="H147" s="243"/>
      <c r="I147" s="243"/>
      <c r="J147" s="243"/>
      <c r="K147" s="243"/>
      <c r="L147" s="243"/>
      <c r="M147" s="243"/>
      <c r="N147" s="243"/>
      <c r="O147" s="243"/>
      <c r="P147" s="243"/>
      <c r="Q147" s="482"/>
      <c r="R147" s="482"/>
      <c r="S147" s="482"/>
      <c r="T147" s="482"/>
      <c r="U147" s="482"/>
      <c r="V147" s="482"/>
      <c r="W147" s="482"/>
      <c r="X147" s="482"/>
      <c r="Y147" s="482"/>
      <c r="Z147" s="482"/>
      <c r="AA147" s="482"/>
      <c r="AB147" s="482"/>
      <c r="AC147" s="482"/>
      <c r="AD147" s="482"/>
      <c r="AE147" s="482"/>
      <c r="AF147" s="482"/>
      <c r="AG147" s="482"/>
      <c r="AH147" s="482"/>
      <c r="AI147" s="482"/>
      <c r="AJ147" s="482"/>
      <c r="AK147" s="482"/>
      <c r="AL147" s="482"/>
      <c r="AM147" s="482"/>
      <c r="AN147" s="482"/>
      <c r="AO147" s="482"/>
      <c r="AP147" s="482"/>
      <c r="AQ147" s="482"/>
      <c r="AR147" s="482"/>
      <c r="AS147" s="482"/>
      <c r="AT147" s="482"/>
      <c r="AU147" s="560"/>
      <c r="AV147" s="560"/>
      <c r="AW147" s="560"/>
      <c r="AX147" s="560"/>
      <c r="AY147" s="560"/>
      <c r="AZ147" s="560"/>
      <c r="BA147" s="560"/>
      <c r="BB147" s="560"/>
      <c r="BC147" s="560"/>
      <c r="BD147" s="560"/>
      <c r="BE147" s="560"/>
      <c r="BF147" s="560"/>
      <c r="BG147" s="560"/>
      <c r="BH147" s="560"/>
      <c r="BI147" s="560"/>
      <c r="BJ147" s="560"/>
      <c r="BK147" s="560"/>
      <c r="BL147" s="560"/>
      <c r="BM147" s="560"/>
      <c r="BN147" s="560"/>
      <c r="BO147" s="560"/>
      <c r="BP147" s="560"/>
      <c r="BQ147" s="560"/>
      <c r="BR147" s="560"/>
      <c r="BS147" s="560"/>
      <c r="BT147" s="560"/>
      <c r="BU147" s="560"/>
      <c r="BV147" s="560"/>
      <c r="BW147" s="560"/>
      <c r="BX147" s="560"/>
      <c r="BY147" s="560"/>
      <c r="BZ147" s="560"/>
      <c r="CA147" s="560"/>
      <c r="CB147" s="560"/>
      <c r="CC147" s="560"/>
      <c r="CD147" s="560"/>
      <c r="CE147" s="560"/>
      <c r="CF147" s="560"/>
      <c r="CG147" s="560"/>
      <c r="CH147" s="560"/>
      <c r="CI147" s="560"/>
      <c r="CJ147" s="560"/>
      <c r="CK147" s="560"/>
      <c r="CL147" s="560"/>
      <c r="CM147" s="560"/>
      <c r="CN147" s="560"/>
      <c r="CO147" s="560"/>
      <c r="CP147" s="560"/>
      <c r="CQ147" s="560"/>
      <c r="CR147" s="560"/>
      <c r="CS147" s="560"/>
      <c r="CT147" s="560"/>
      <c r="CU147" s="560"/>
      <c r="CV147" s="560"/>
      <c r="CW147" s="560"/>
      <c r="CX147" s="560"/>
      <c r="CY147" s="560"/>
      <c r="CZ147" s="561">
        <f>CZ115/$DB$115</f>
        <v>0.45077298616761585</v>
      </c>
      <c r="DA147" s="561">
        <f>DA115/$DB$115</f>
        <v>0.54922701383238415</v>
      </c>
      <c r="DB147" s="560"/>
      <c r="DC147" s="561"/>
      <c r="DD147" s="561"/>
      <c r="DE147" s="189">
        <f t="shared" ref="DE147:DQ147" si="477">DE90/DE30</f>
        <v>0.18678557236195173</v>
      </c>
      <c r="DF147" s="189">
        <f t="shared" si="477"/>
        <v>0.17626037876498754</v>
      </c>
      <c r="DG147" s="189">
        <f t="shared" si="477"/>
        <v>-0.64830171647883028</v>
      </c>
      <c r="DH147" s="1066">
        <f>DH90/DH30</f>
        <v>-0.17983170061237738</v>
      </c>
      <c r="DI147" s="65">
        <f t="shared" si="477"/>
        <v>0.16844725511302477</v>
      </c>
      <c r="DJ147" s="65">
        <f t="shared" si="477"/>
        <v>0.14944326617179218</v>
      </c>
      <c r="DK147" s="1066">
        <f t="shared" si="477"/>
        <v>0.15887419871794872</v>
      </c>
      <c r="DL147" s="65">
        <f t="shared" si="477"/>
        <v>0.19658827829901304</v>
      </c>
      <c r="DM147" s="65">
        <f t="shared" si="477"/>
        <v>0.1580231996133398</v>
      </c>
      <c r="DN147" s="1066">
        <f t="shared" si="477"/>
        <v>0.17722501971728449</v>
      </c>
      <c r="DO147" s="65">
        <f t="shared" si="477"/>
        <v>0.17373714544016272</v>
      </c>
      <c r="DP147" s="65">
        <f t="shared" si="477"/>
        <v>0.16972031963470322</v>
      </c>
      <c r="DQ147" s="1066">
        <f t="shared" si="477"/>
        <v>0.17155622126956252</v>
      </c>
      <c r="DR147" s="65">
        <f>DR90/DR30</f>
        <v>0.18537096040054618</v>
      </c>
      <c r="DS147" s="65">
        <f>DS90/DS30</f>
        <v>0.17956204379562035</v>
      </c>
      <c r="DT147" s="1066">
        <f>DT90/DT30</f>
        <v>0.1824163535516192</v>
      </c>
      <c r="DU147" s="65">
        <f t="shared" ref="DU147:ER147" si="478">DU90/DU30</f>
        <v>0.1823464659652356</v>
      </c>
      <c r="DV147" s="65">
        <f>DV90/DV30</f>
        <v>0.17212967785452662</v>
      </c>
      <c r="DW147" s="1066">
        <f>DW90/DW30</f>
        <v>0.17723955443643041</v>
      </c>
      <c r="DX147" s="65">
        <f t="shared" ref="DX147" si="479">DX90/DX30</f>
        <v>0.16689513365318714</v>
      </c>
      <c r="DY147" s="65">
        <f t="shared" si="478"/>
        <v>0.16185177514872556</v>
      </c>
      <c r="DZ147" s="1066">
        <f t="shared" si="478"/>
        <v>0.16419743924877478</v>
      </c>
      <c r="EA147" s="65">
        <f t="shared" si="478"/>
        <v>0.16794018449462497</v>
      </c>
      <c r="EB147" s="65">
        <f t="shared" si="478"/>
        <v>0.1679314775946561</v>
      </c>
      <c r="EC147" s="1066">
        <f t="shared" si="478"/>
        <v>0.1679357649984527</v>
      </c>
      <c r="ED147" s="65">
        <f t="shared" si="478"/>
        <v>0.17288167005159374</v>
      </c>
      <c r="EE147" s="65">
        <f t="shared" si="478"/>
        <v>0.17294969676105057</v>
      </c>
      <c r="EF147" s="1066">
        <f t="shared" si="478"/>
        <v>0.17291620145845327</v>
      </c>
      <c r="EG147" s="65">
        <f t="shared" si="478"/>
        <v>0.17617227251341977</v>
      </c>
      <c r="EH147" s="65">
        <f t="shared" si="478"/>
        <v>0.17623157978522</v>
      </c>
      <c r="EI147" s="1066">
        <f t="shared" si="478"/>
        <v>0.1762023777992496</v>
      </c>
      <c r="EJ147" s="65">
        <f t="shared" si="478"/>
        <v>0.1782347648864484</v>
      </c>
      <c r="EK147" s="65">
        <f t="shared" si="478"/>
        <v>0.17828844650715314</v>
      </c>
      <c r="EL147" s="1066">
        <f t="shared" si="478"/>
        <v>0.1782620145050208</v>
      </c>
      <c r="EM147" s="65">
        <f t="shared" si="478"/>
        <v>0.17951127184329571</v>
      </c>
      <c r="EN147" s="65">
        <f t="shared" si="478"/>
        <v>0.1795491557843896</v>
      </c>
      <c r="EO147" s="1066">
        <f t="shared" si="478"/>
        <v>0.17953050231605855</v>
      </c>
      <c r="EP147" s="65">
        <f t="shared" si="478"/>
        <v>0.18030665713368368</v>
      </c>
      <c r="EQ147" s="65">
        <f t="shared" si="478"/>
        <v>0.18032067578331051</v>
      </c>
      <c r="ER147" s="1066">
        <f t="shared" si="478"/>
        <v>0.18031377321643635</v>
      </c>
      <c r="ES147" s="65">
        <f t="shared" ref="ES147:EX147" si="480">ES90/ES30</f>
        <v>0.18106243134553845</v>
      </c>
      <c r="ET147" s="65">
        <f t="shared" si="480"/>
        <v>0.18105377322194946</v>
      </c>
      <c r="EU147" s="1066">
        <f t="shared" si="480"/>
        <v>0.18105803634847512</v>
      </c>
      <c r="EV147" s="65">
        <f t="shared" si="480"/>
        <v>0.18178245109082364</v>
      </c>
      <c r="EW147" s="65">
        <f t="shared" si="480"/>
        <v>0.1817521889958123</v>
      </c>
      <c r="EX147" s="1066">
        <f t="shared" si="480"/>
        <v>0.18176708958467991</v>
      </c>
      <c r="EY147" s="65">
        <f t="shared" ref="EY147:FA147" si="481">EY90/EY30</f>
        <v>0.18247057763055688</v>
      </c>
      <c r="EZ147" s="65">
        <f t="shared" si="481"/>
        <v>0.18241966850996491</v>
      </c>
      <c r="FA147" s="1066">
        <f t="shared" si="481"/>
        <v>0.1824447353758005</v>
      </c>
      <c r="FE147"/>
      <c r="FF147"/>
      <c r="FG147"/>
      <c r="FH147"/>
      <c r="FI147"/>
      <c r="FJ147"/>
      <c r="FK147" s="35"/>
    </row>
    <row r="148" spans="1:167" s="1360" customFormat="1" ht="16.5" customHeight="1">
      <c r="A148" s="453" t="s">
        <v>187</v>
      </c>
      <c r="B148" s="453"/>
      <c r="C148" s="454" t="s">
        <v>933</v>
      </c>
      <c r="D148" s="455"/>
      <c r="E148" s="455" t="str">
        <f t="shared" ref="E148:M148" si="482">+E4</f>
        <v>1h85</v>
      </c>
      <c r="F148" s="455" t="str">
        <f t="shared" si="482"/>
        <v>2h85</v>
      </c>
      <c r="G148" s="455" t="str">
        <f t="shared" si="482"/>
        <v>1985</v>
      </c>
      <c r="H148" s="455" t="str">
        <f t="shared" si="482"/>
        <v>1h86</v>
      </c>
      <c r="I148" s="455" t="str">
        <f t="shared" si="482"/>
        <v>2h86</v>
      </c>
      <c r="J148" s="455" t="str">
        <f t="shared" si="482"/>
        <v>1986</v>
      </c>
      <c r="K148" s="455" t="str">
        <f t="shared" si="482"/>
        <v>1h87</v>
      </c>
      <c r="L148" s="455" t="str">
        <f t="shared" si="482"/>
        <v>2h87</v>
      </c>
      <c r="M148" s="455" t="str">
        <f t="shared" si="482"/>
        <v>1987</v>
      </c>
      <c r="N148" s="455" t="str">
        <f t="shared" ref="N148:W148" si="483">+N4</f>
        <v>1h88</v>
      </c>
      <c r="O148" s="455" t="str">
        <f t="shared" si="483"/>
        <v>2h88</v>
      </c>
      <c r="P148" s="455" t="str">
        <f t="shared" si="483"/>
        <v>1988</v>
      </c>
      <c r="Q148" s="455" t="str">
        <f t="shared" si="483"/>
        <v>1h89</v>
      </c>
      <c r="R148" s="455" t="str">
        <f t="shared" si="483"/>
        <v>2h89</v>
      </c>
      <c r="S148" s="455" t="str">
        <f t="shared" si="483"/>
        <v>1989</v>
      </c>
      <c r="T148" s="455" t="str">
        <f t="shared" si="483"/>
        <v>1h90</v>
      </c>
      <c r="U148" s="455" t="str">
        <f t="shared" si="483"/>
        <v>2h90</v>
      </c>
      <c r="V148" s="455" t="str">
        <f t="shared" si="483"/>
        <v>1990</v>
      </c>
      <c r="W148" s="455" t="str">
        <f t="shared" si="483"/>
        <v>1h91</v>
      </c>
      <c r="X148" s="455" t="str">
        <f t="shared" ref="X148:AG148" si="484">+X4</f>
        <v>2h91</v>
      </c>
      <c r="Y148" s="455" t="str">
        <f t="shared" si="484"/>
        <v>1991</v>
      </c>
      <c r="Z148" s="455" t="str">
        <f t="shared" si="484"/>
        <v>1h92</v>
      </c>
      <c r="AA148" s="455" t="str">
        <f t="shared" si="484"/>
        <v>2h92</v>
      </c>
      <c r="AB148" s="455" t="str">
        <f t="shared" si="484"/>
        <v>1992</v>
      </c>
      <c r="AC148" s="455" t="str">
        <f t="shared" si="484"/>
        <v>1h93</v>
      </c>
      <c r="AD148" s="455" t="str">
        <f t="shared" si="484"/>
        <v>2h93</v>
      </c>
      <c r="AE148" s="455" t="str">
        <f t="shared" si="484"/>
        <v>1993</v>
      </c>
      <c r="AF148" s="455" t="str">
        <f t="shared" si="484"/>
        <v>1h94</v>
      </c>
      <c r="AG148" s="455" t="str">
        <f t="shared" si="484"/>
        <v>2h94</v>
      </c>
      <c r="AH148" s="455" t="str">
        <f t="shared" ref="AH148:AQ148" si="485">+AH4</f>
        <v>1994</v>
      </c>
      <c r="AI148" s="455" t="str">
        <f t="shared" si="485"/>
        <v>1h95</v>
      </c>
      <c r="AJ148" s="455" t="str">
        <f t="shared" si="485"/>
        <v>2h95</v>
      </c>
      <c r="AK148" s="455" t="str">
        <f t="shared" si="485"/>
        <v>1995</v>
      </c>
      <c r="AL148" s="455" t="str">
        <f t="shared" si="485"/>
        <v>1h96</v>
      </c>
      <c r="AM148" s="455" t="str">
        <f t="shared" si="485"/>
        <v>2h96</v>
      </c>
      <c r="AN148" s="455" t="str">
        <f t="shared" si="485"/>
        <v>1996</v>
      </c>
      <c r="AO148" s="455" t="str">
        <f t="shared" si="485"/>
        <v>1h97</v>
      </c>
      <c r="AP148" s="455" t="str">
        <f t="shared" si="485"/>
        <v>2h97</v>
      </c>
      <c r="AQ148" s="455" t="str">
        <f t="shared" si="485"/>
        <v>FY97</v>
      </c>
      <c r="AR148" s="455" t="str">
        <f t="shared" ref="AR148:BA148" si="486">+AR4</f>
        <v>1H98</v>
      </c>
      <c r="AS148" s="455" t="str">
        <f t="shared" si="486"/>
        <v>2H98</v>
      </c>
      <c r="AT148" s="455" t="str">
        <f t="shared" si="486"/>
        <v>FY98</v>
      </c>
      <c r="AU148" s="455" t="str">
        <f t="shared" si="486"/>
        <v>1H99</v>
      </c>
      <c r="AV148" s="455" t="str">
        <f t="shared" si="486"/>
        <v>2H99</v>
      </c>
      <c r="AW148" s="455" t="str">
        <f t="shared" si="486"/>
        <v>FY99</v>
      </c>
      <c r="AX148" s="455" t="str">
        <f t="shared" si="486"/>
        <v>1H00</v>
      </c>
      <c r="AY148" s="455" t="str">
        <f t="shared" si="486"/>
        <v>2H00</v>
      </c>
      <c r="AZ148" s="455" t="str">
        <f t="shared" si="486"/>
        <v>FY00</v>
      </c>
      <c r="BA148" s="455" t="str">
        <f t="shared" si="486"/>
        <v>1H01</v>
      </c>
      <c r="BB148" s="455" t="str">
        <f t="shared" ref="BB148:BO148" si="487">+BB4</f>
        <v>2H01</v>
      </c>
      <c r="BC148" s="455" t="str">
        <f t="shared" si="487"/>
        <v>FY01</v>
      </c>
      <c r="BD148" s="455" t="str">
        <f t="shared" si="487"/>
        <v>1H02</v>
      </c>
      <c r="BE148" s="455" t="str">
        <f t="shared" si="487"/>
        <v>2H02</v>
      </c>
      <c r="BF148" s="455" t="str">
        <f t="shared" si="487"/>
        <v>FY02</v>
      </c>
      <c r="BG148" s="455" t="str">
        <f t="shared" si="487"/>
        <v>1H03</v>
      </c>
      <c r="BH148" s="455" t="str">
        <f t="shared" si="487"/>
        <v>2H03</v>
      </c>
      <c r="BI148" s="455" t="str">
        <f t="shared" si="487"/>
        <v>FY03</v>
      </c>
      <c r="BJ148" s="455" t="str">
        <f t="shared" si="487"/>
        <v>1H04</v>
      </c>
      <c r="BK148" s="455" t="str">
        <f t="shared" si="487"/>
        <v>2H04</v>
      </c>
      <c r="BL148" s="455" t="str">
        <f t="shared" si="487"/>
        <v>FY04</v>
      </c>
      <c r="BM148" s="455" t="str">
        <f t="shared" si="487"/>
        <v>1H05</v>
      </c>
      <c r="BN148" s="455" t="str">
        <f t="shared" si="487"/>
        <v>2H05</v>
      </c>
      <c r="BO148" s="455" t="str">
        <f t="shared" si="487"/>
        <v>FY05</v>
      </c>
      <c r="BP148" s="455" t="str">
        <f t="shared" ref="BP148:DK148" si="488">+BP4</f>
        <v>1H06</v>
      </c>
      <c r="BQ148" s="455" t="str">
        <f t="shared" si="488"/>
        <v>2H06</v>
      </c>
      <c r="BR148" s="455" t="str">
        <f t="shared" si="488"/>
        <v>FY06</v>
      </c>
      <c r="BS148" s="455" t="str">
        <f t="shared" si="488"/>
        <v>1H07</v>
      </c>
      <c r="BT148" s="455" t="str">
        <f t="shared" si="488"/>
        <v>2H07</v>
      </c>
      <c r="BU148" s="455" t="str">
        <f t="shared" si="488"/>
        <v>FY07</v>
      </c>
      <c r="BV148" s="455" t="str">
        <f t="shared" si="488"/>
        <v>1H08</v>
      </c>
      <c r="BW148" s="455" t="str">
        <f t="shared" si="488"/>
        <v>2H08</v>
      </c>
      <c r="BX148" s="455" t="str">
        <f t="shared" si="488"/>
        <v>FY08</v>
      </c>
      <c r="BY148" s="455" t="str">
        <f t="shared" si="488"/>
        <v>1H09</v>
      </c>
      <c r="BZ148" s="455" t="str">
        <f t="shared" si="488"/>
        <v>2H09</v>
      </c>
      <c r="CA148" s="455" t="str">
        <f t="shared" si="488"/>
        <v>FY09</v>
      </c>
      <c r="CB148" s="455" t="str">
        <f t="shared" si="488"/>
        <v>1H10</v>
      </c>
      <c r="CC148" s="455" t="str">
        <f t="shared" si="488"/>
        <v>2H10</v>
      </c>
      <c r="CD148" s="455" t="str">
        <f t="shared" si="488"/>
        <v>FY10</v>
      </c>
      <c r="CE148" s="455" t="str">
        <f t="shared" si="488"/>
        <v>1H11</v>
      </c>
      <c r="CF148" s="455" t="str">
        <f t="shared" si="488"/>
        <v>2H11</v>
      </c>
      <c r="CG148" s="455" t="str">
        <f t="shared" si="488"/>
        <v>FY11</v>
      </c>
      <c r="CH148" s="455" t="str">
        <f t="shared" si="488"/>
        <v>1H12</v>
      </c>
      <c r="CI148" s="455" t="str">
        <f t="shared" si="488"/>
        <v>2H12</v>
      </c>
      <c r="CJ148" s="455" t="str">
        <f t="shared" si="488"/>
        <v>FY12</v>
      </c>
      <c r="CK148" s="455" t="str">
        <f t="shared" si="488"/>
        <v>1H13</v>
      </c>
      <c r="CL148" s="455" t="str">
        <f t="shared" si="488"/>
        <v>2H13</v>
      </c>
      <c r="CM148" s="455" t="str">
        <f t="shared" si="488"/>
        <v>FY13</v>
      </c>
      <c r="CN148" s="455" t="str">
        <f t="shared" si="488"/>
        <v>1H14</v>
      </c>
      <c r="CO148" s="455" t="str">
        <f t="shared" si="488"/>
        <v>2H14</v>
      </c>
      <c r="CP148" s="455" t="str">
        <f t="shared" si="488"/>
        <v>FY14</v>
      </c>
      <c r="CQ148" s="455" t="str">
        <f t="shared" si="488"/>
        <v>1H15</v>
      </c>
      <c r="CR148" s="455" t="str">
        <f t="shared" si="488"/>
        <v>2H15</v>
      </c>
      <c r="CS148" s="455" t="str">
        <f t="shared" si="488"/>
        <v>FY15</v>
      </c>
      <c r="CT148" s="455" t="str">
        <f t="shared" si="488"/>
        <v>1H16</v>
      </c>
      <c r="CU148" s="455" t="str">
        <f t="shared" si="488"/>
        <v>2H16</v>
      </c>
      <c r="CV148" s="455" t="str">
        <f t="shared" si="488"/>
        <v>FY16</v>
      </c>
      <c r="CW148" s="455" t="str">
        <f t="shared" si="488"/>
        <v>1H17</v>
      </c>
      <c r="CX148" s="455" t="str">
        <f t="shared" si="488"/>
        <v>2H17</v>
      </c>
      <c r="CY148" s="455" t="str">
        <f t="shared" si="488"/>
        <v>FY17</v>
      </c>
      <c r="CZ148" s="455" t="str">
        <f t="shared" si="488"/>
        <v>1H18</v>
      </c>
      <c r="DA148" s="455" t="str">
        <f t="shared" si="488"/>
        <v>2H18</v>
      </c>
      <c r="DB148" s="455" t="str">
        <f t="shared" si="488"/>
        <v>FY18</v>
      </c>
      <c r="DC148" s="455" t="str">
        <f t="shared" si="488"/>
        <v>1H19</v>
      </c>
      <c r="DD148" s="455" t="str">
        <f t="shared" si="488"/>
        <v>2H19</v>
      </c>
      <c r="DE148" s="455" t="str">
        <f t="shared" si="488"/>
        <v>FY19</v>
      </c>
      <c r="DF148" s="455" t="str">
        <f t="shared" si="488"/>
        <v>1H20</v>
      </c>
      <c r="DG148" s="455" t="str">
        <f t="shared" si="488"/>
        <v>2H20</v>
      </c>
      <c r="DH148" s="1243" t="str">
        <f t="shared" si="488"/>
        <v>FY20</v>
      </c>
      <c r="DI148" s="455" t="str">
        <f t="shared" si="488"/>
        <v>1H21</v>
      </c>
      <c r="DJ148" s="455" t="str">
        <f t="shared" si="488"/>
        <v>2H21</v>
      </c>
      <c r="DK148" s="1243" t="str">
        <f t="shared" si="488"/>
        <v>FY21</v>
      </c>
      <c r="DL148" s="455" t="str">
        <f t="shared" ref="DL148:DQ148" si="489">+DL4</f>
        <v>1H22</v>
      </c>
      <c r="DM148" s="455" t="str">
        <f t="shared" si="489"/>
        <v>2H22</v>
      </c>
      <c r="DN148" s="1243" t="str">
        <f t="shared" si="489"/>
        <v>FY22</v>
      </c>
      <c r="DO148" s="455" t="str">
        <f t="shared" si="489"/>
        <v>1H23</v>
      </c>
      <c r="DP148" s="455" t="str">
        <f t="shared" si="489"/>
        <v>2H23</v>
      </c>
      <c r="DQ148" s="1243" t="str">
        <f t="shared" si="489"/>
        <v>FY23</v>
      </c>
      <c r="DR148" s="455" t="str">
        <f t="shared" ref="DR148:DW148" si="490">+DR4</f>
        <v>1H24</v>
      </c>
      <c r="DS148" s="455" t="str">
        <f t="shared" si="490"/>
        <v>2H24</v>
      </c>
      <c r="DT148" s="1243" t="str">
        <f t="shared" si="490"/>
        <v>FY24</v>
      </c>
      <c r="DU148" s="455" t="str">
        <f t="shared" si="490"/>
        <v>1H25</v>
      </c>
      <c r="DV148" s="455" t="str">
        <f t="shared" si="490"/>
        <v>2H25</v>
      </c>
      <c r="DW148" s="1243" t="str">
        <f t="shared" si="490"/>
        <v>FY25</v>
      </c>
      <c r="DX148" s="455" t="str">
        <f t="shared" ref="DX148:EC148" si="491">+DX4</f>
        <v>1H26</v>
      </c>
      <c r="DY148" s="455" t="str">
        <f t="shared" si="491"/>
        <v>2H26E</v>
      </c>
      <c r="DZ148" s="1243" t="str">
        <f t="shared" si="491"/>
        <v>FY26E</v>
      </c>
      <c r="EA148" s="455" t="str">
        <f t="shared" si="491"/>
        <v>1H27E</v>
      </c>
      <c r="EB148" s="455" t="str">
        <f t="shared" si="491"/>
        <v>2H27E</v>
      </c>
      <c r="EC148" s="1243" t="str">
        <f t="shared" si="491"/>
        <v>FY27E</v>
      </c>
      <c r="ED148" s="455" t="str">
        <f t="shared" ref="ED148:EL148" si="492">+ED4</f>
        <v>1H28E</v>
      </c>
      <c r="EE148" s="455" t="str">
        <f t="shared" si="492"/>
        <v>2H28E</v>
      </c>
      <c r="EF148" s="1243" t="str">
        <f t="shared" si="492"/>
        <v>FY28E</v>
      </c>
      <c r="EG148" s="455" t="str">
        <f t="shared" si="492"/>
        <v>1H29E</v>
      </c>
      <c r="EH148" s="455" t="str">
        <f t="shared" si="492"/>
        <v>2H29E</v>
      </c>
      <c r="EI148" s="1243" t="str">
        <f t="shared" si="492"/>
        <v>FY29E</v>
      </c>
      <c r="EJ148" s="455" t="str">
        <f t="shared" si="492"/>
        <v>1H30E</v>
      </c>
      <c r="EK148" s="455" t="str">
        <f t="shared" si="492"/>
        <v>2H30E</v>
      </c>
      <c r="EL148" s="1243" t="str">
        <f t="shared" si="492"/>
        <v>FY30E</v>
      </c>
      <c r="EM148" s="455" t="str">
        <f t="shared" ref="EM148:ER148" si="493">+EM4</f>
        <v>1H31E</v>
      </c>
      <c r="EN148" s="455" t="str">
        <f t="shared" si="493"/>
        <v>2H31E</v>
      </c>
      <c r="EO148" s="1243" t="str">
        <f t="shared" si="493"/>
        <v>FY31E</v>
      </c>
      <c r="EP148" s="455" t="str">
        <f t="shared" si="493"/>
        <v>1H32E</v>
      </c>
      <c r="EQ148" s="455" t="str">
        <f t="shared" si="493"/>
        <v>2H32E</v>
      </c>
      <c r="ER148" s="1243" t="str">
        <f t="shared" si="493"/>
        <v>FY32E</v>
      </c>
      <c r="ES148" s="455" t="str">
        <f t="shared" ref="ES148:EX148" si="494">+ES4</f>
        <v>1H33E</v>
      </c>
      <c r="ET148" s="455" t="str">
        <f t="shared" si="494"/>
        <v>2H33E</v>
      </c>
      <c r="EU148" s="1243" t="str">
        <f t="shared" si="494"/>
        <v>FY33E</v>
      </c>
      <c r="EV148" s="455" t="str">
        <f t="shared" si="494"/>
        <v>1H34E</v>
      </c>
      <c r="EW148" s="455" t="str">
        <f t="shared" si="494"/>
        <v>2H34E</v>
      </c>
      <c r="EX148" s="1243" t="str">
        <f t="shared" si="494"/>
        <v>FY34E</v>
      </c>
      <c r="EY148" s="455" t="str">
        <f t="shared" ref="EY148:FA148" si="495">+EY4</f>
        <v>1H35E</v>
      </c>
      <c r="EZ148" s="455" t="str">
        <f t="shared" si="495"/>
        <v>2H35E</v>
      </c>
      <c r="FA148" s="1243" t="str">
        <f t="shared" si="495"/>
        <v>FY35E</v>
      </c>
      <c r="FE148"/>
      <c r="FF148"/>
      <c r="FG148"/>
      <c r="FH148"/>
      <c r="FI148"/>
      <c r="FJ148"/>
      <c r="FK148" s="35"/>
    </row>
    <row r="149" spans="1:167" s="236" customFormat="1" ht="13.35" customHeight="1">
      <c r="B149" s="242" t="s">
        <v>188</v>
      </c>
      <c r="C149" s="242"/>
      <c r="D149" s="243"/>
      <c r="E149" s="241"/>
      <c r="F149" s="241"/>
      <c r="G149" s="241"/>
      <c r="H149" s="241"/>
      <c r="I149" s="241"/>
      <c r="J149" s="241"/>
      <c r="K149" s="241"/>
      <c r="L149" s="241"/>
      <c r="M149" s="241"/>
      <c r="N149" s="241"/>
      <c r="O149" s="241"/>
      <c r="P149" s="241"/>
      <c r="Q149" s="241"/>
      <c r="R149" s="241"/>
      <c r="S149" s="241"/>
      <c r="T149" s="241"/>
      <c r="U149" s="241"/>
      <c r="V149" s="241"/>
      <c r="W149" s="241"/>
      <c r="X149" s="241"/>
      <c r="Y149" s="241"/>
      <c r="Z149" s="241"/>
      <c r="AA149" s="241"/>
      <c r="AB149" s="241"/>
      <c r="AC149" s="241"/>
      <c r="AD149" s="241"/>
      <c r="AE149" s="241"/>
      <c r="AF149" s="241"/>
      <c r="AG149" s="241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41"/>
      <c r="BU149" s="241"/>
      <c r="BV149" s="241"/>
      <c r="BW149" s="241"/>
      <c r="BX149" s="241"/>
      <c r="BY149" s="241"/>
      <c r="BZ149" s="241"/>
      <c r="CA149" s="241"/>
      <c r="CB149" s="241"/>
      <c r="CC149" s="241"/>
      <c r="CD149" s="241"/>
      <c r="CE149" s="241"/>
      <c r="CF149" s="241"/>
      <c r="CG149" s="241"/>
      <c r="CH149" s="241"/>
      <c r="CI149" s="241"/>
      <c r="CJ149" s="241"/>
      <c r="CK149" s="241"/>
      <c r="CL149" s="241"/>
      <c r="CM149" s="241"/>
      <c r="CN149" s="241"/>
      <c r="CO149" s="241"/>
      <c r="CP149" s="241"/>
      <c r="CQ149" s="241"/>
      <c r="CR149" s="241"/>
      <c r="CS149" s="241">
        <f>(PL_NPAT_att_15/PL_NPAT_att_11)^(1/4)-1</f>
        <v>-5.1401800257916297E-2</v>
      </c>
      <c r="CT149" s="241"/>
      <c r="CU149" s="241"/>
      <c r="CV149" s="241"/>
      <c r="CW149" s="241"/>
      <c r="CX149" s="241"/>
      <c r="CY149" s="241"/>
      <c r="CZ149" s="241"/>
      <c r="DA149" s="241"/>
      <c r="DB149" s="241"/>
      <c r="DC149" s="241"/>
      <c r="DD149" s="241"/>
      <c r="DE149" s="241"/>
      <c r="DF149" s="241"/>
      <c r="DG149" s="241"/>
      <c r="DH149" s="1272"/>
      <c r="DI149" s="241"/>
      <c r="DJ149" s="241"/>
      <c r="DK149" s="1272"/>
      <c r="DL149" s="241"/>
      <c r="DM149" s="241"/>
      <c r="DN149" s="1272"/>
      <c r="DO149" s="241"/>
      <c r="DP149" s="241"/>
      <c r="DQ149" s="1272"/>
      <c r="DR149" s="241"/>
      <c r="DS149" s="241"/>
      <c r="DT149" s="1272"/>
      <c r="DU149" s="241"/>
      <c r="DV149" s="1649">
        <f>+DW149+DW94</f>
        <v>-26.390000000000086</v>
      </c>
      <c r="DW149" s="1648">
        <f>388.9-DW115</f>
        <v>0</v>
      </c>
      <c r="DX149" s="241"/>
      <c r="DY149" s="241"/>
      <c r="DZ149" s="1272"/>
      <c r="EA149" s="241"/>
      <c r="EB149" s="241"/>
      <c r="EC149" s="1272"/>
      <c r="ED149" s="241"/>
      <c r="EE149" s="241"/>
      <c r="EF149" s="1272"/>
      <c r="EG149" s="241"/>
      <c r="EH149" s="241"/>
      <c r="EI149" s="1272"/>
      <c r="EJ149" s="241"/>
      <c r="EK149" s="241"/>
      <c r="EL149" s="1272"/>
      <c r="EM149" s="241"/>
      <c r="EN149" s="241"/>
      <c r="EO149" s="1272"/>
      <c r="EP149" s="241"/>
      <c r="EQ149" s="241"/>
      <c r="ER149" s="1272"/>
      <c r="ES149" s="241"/>
      <c r="ET149" s="241"/>
      <c r="EU149" s="1272"/>
      <c r="EV149" s="241"/>
      <c r="EW149" s="241"/>
      <c r="EX149" s="1272"/>
      <c r="EY149" s="241"/>
      <c r="EZ149" s="241"/>
      <c r="FA149" s="1272"/>
      <c r="FE149"/>
      <c r="FF149"/>
      <c r="FG149"/>
      <c r="FH149"/>
      <c r="FI149"/>
      <c r="FJ149"/>
      <c r="FK149" s="35"/>
    </row>
    <row r="150" spans="1:167" s="236" customFormat="1" ht="13.35" customHeight="1" outlineLevel="1">
      <c r="B150" s="242" t="s">
        <v>189</v>
      </c>
      <c r="C150" s="242" t="s">
        <v>460</v>
      </c>
      <c r="D150" s="243"/>
      <c r="E150" s="293"/>
      <c r="F150" s="293"/>
      <c r="G150" s="293"/>
      <c r="H150" s="293"/>
      <c r="I150" s="293"/>
      <c r="J150" s="293"/>
      <c r="K150" s="293"/>
      <c r="L150" s="293"/>
      <c r="M150" s="293"/>
      <c r="N150" s="293"/>
      <c r="O150" s="293"/>
      <c r="P150" s="293"/>
      <c r="Q150" s="293"/>
      <c r="R150" s="293"/>
      <c r="S150" s="293"/>
      <c r="T150" s="293"/>
      <c r="U150" s="293"/>
      <c r="V150" s="293"/>
      <c r="W150" s="293"/>
      <c r="X150" s="293"/>
      <c r="Y150" s="293"/>
      <c r="Z150" s="293"/>
      <c r="AA150" s="293"/>
      <c r="AB150" s="293"/>
      <c r="AC150" s="293"/>
      <c r="AD150" s="293"/>
      <c r="AE150" s="293"/>
      <c r="AF150" s="293"/>
      <c r="AG150" s="293"/>
      <c r="AH150" s="293"/>
      <c r="AI150" s="293"/>
      <c r="AJ150" s="293"/>
      <c r="AK150" s="293"/>
      <c r="AL150" s="293">
        <f t="shared" ref="AL150:AU150" si="496">+(AL30-AI30)/AI30</f>
        <v>8.0359253131647337E-2</v>
      </c>
      <c r="AM150" s="293">
        <f t="shared" si="496"/>
        <v>2.8634805404315372E-2</v>
      </c>
      <c r="AN150" s="293">
        <f t="shared" si="496"/>
        <v>5.4170738466475084E-2</v>
      </c>
      <c r="AO150" s="293">
        <f t="shared" si="496"/>
        <v>-8.9723255305184837E-2</v>
      </c>
      <c r="AP150" s="293">
        <f t="shared" si="496"/>
        <v>8.1748676730052622E-2</v>
      </c>
      <c r="AQ150" s="293">
        <f t="shared" si="496"/>
        <v>-5.0086475268074568E-3</v>
      </c>
      <c r="AR150" s="293">
        <f t="shared" si="496"/>
        <v>0.29774386397091962</v>
      </c>
      <c r="AS150" s="293">
        <f t="shared" si="496"/>
        <v>0.25563092217677202</v>
      </c>
      <c r="AT150" s="293">
        <f t="shared" si="496"/>
        <v>0.27512410829752615</v>
      </c>
      <c r="AU150" s="293">
        <f t="shared" si="496"/>
        <v>0.4497198944395574</v>
      </c>
      <c r="AV150" s="293">
        <f t="shared" ref="AV150:BE150" si="497">+(AV30-AS30)/AS30</f>
        <v>0.33105154639175272</v>
      </c>
      <c r="AW150" s="293">
        <f t="shared" si="497"/>
        <v>0.38695500447119902</v>
      </c>
      <c r="AX150" s="293">
        <f t="shared" si="497"/>
        <v>5.865069860279444E-2</v>
      </c>
      <c r="AY150" s="293">
        <f t="shared" si="497"/>
        <v>0.20608463969266974</v>
      </c>
      <c r="AZ150" s="293">
        <f t="shared" si="497"/>
        <v>0.13348692021606992</v>
      </c>
      <c r="BA150" s="293">
        <f t="shared" si="497"/>
        <v>0.55672870976500044</v>
      </c>
      <c r="BB150" s="293">
        <f t="shared" si="497"/>
        <v>0.50145132288723371</v>
      </c>
      <c r="BC150" s="293">
        <f t="shared" si="497"/>
        <v>0.52687329180482534</v>
      </c>
      <c r="BD150" s="293">
        <f t="shared" si="497"/>
        <v>0.16352414541508406</v>
      </c>
      <c r="BE150" s="293">
        <f t="shared" si="497"/>
        <v>0.16434993113949217</v>
      </c>
      <c r="BF150" s="293">
        <f t="shared" ref="BF150:BO150" si="498">+(BF30-BC30)/BC30</f>
        <v>0.1639627278963797</v>
      </c>
      <c r="BG150" s="293">
        <f t="shared" si="498"/>
        <v>0.22101011783320154</v>
      </c>
      <c r="BH150" s="293">
        <f t="shared" si="498"/>
        <v>2.4016280231566808E-2</v>
      </c>
      <c r="BI150" s="293">
        <f t="shared" si="498"/>
        <v>0.11635005327848044</v>
      </c>
      <c r="BJ150" s="293">
        <f t="shared" si="498"/>
        <v>-0.1690502983802217</v>
      </c>
      <c r="BK150" s="293">
        <f t="shared" si="498"/>
        <v>-8.0654302830290139E-2</v>
      </c>
      <c r="BL150" s="293">
        <f t="shared" si="498"/>
        <v>-0.12597111989091289</v>
      </c>
      <c r="BM150" s="293">
        <f t="shared" si="498"/>
        <v>0.35566900310248062</v>
      </c>
      <c r="BN150" s="293">
        <f t="shared" si="498"/>
        <v>0.43428825608890054</v>
      </c>
      <c r="BO150" s="293">
        <f t="shared" si="498"/>
        <v>0.39597009372712333</v>
      </c>
      <c r="BP150" s="293">
        <f t="shared" ref="BP150:DK150" si="499">+(BP30-BM30)/BM30</f>
        <v>0.28366959756390842</v>
      </c>
      <c r="BQ150" s="293">
        <f t="shared" si="499"/>
        <v>0.3070814348192768</v>
      </c>
      <c r="BR150" s="293">
        <f t="shared" si="499"/>
        <v>0.2960001833989559</v>
      </c>
      <c r="BS150" s="293">
        <f t="shared" si="499"/>
        <v>0.24441367468042283</v>
      </c>
      <c r="BT150" s="293">
        <f t="shared" si="499"/>
        <v>0.12910412921532891</v>
      </c>
      <c r="BU150" s="293">
        <f t="shared" si="499"/>
        <v>0.18316297450399124</v>
      </c>
      <c r="BV150" s="293">
        <f t="shared" si="499"/>
        <v>8.131000828405871E-2</v>
      </c>
      <c r="BW150" s="293">
        <f t="shared" si="499"/>
        <v>7.6921433437904974E-2</v>
      </c>
      <c r="BX150" s="293">
        <f t="shared" si="499"/>
        <v>7.9085373456076483E-2</v>
      </c>
      <c r="BY150" s="293">
        <f t="shared" si="499"/>
        <v>0.19008669054621391</v>
      </c>
      <c r="BZ150" s="293">
        <f t="shared" si="499"/>
        <v>0.11480086054697784</v>
      </c>
      <c r="CA150" s="293">
        <f t="shared" si="499"/>
        <v>0.15199969808758274</v>
      </c>
      <c r="CB150" s="293">
        <f t="shared" si="499"/>
        <v>-2.2864981618521865E-2</v>
      </c>
      <c r="CC150" s="293">
        <f t="shared" si="499"/>
        <v>0.14519174079392752</v>
      </c>
      <c r="CD150" s="293">
        <f t="shared" si="499"/>
        <v>5.9409329860475583E-2</v>
      </c>
      <c r="CE150" s="293">
        <f t="shared" si="499"/>
        <v>9.3085088004857514E-2</v>
      </c>
      <c r="CF150" s="293">
        <f t="shared" si="499"/>
        <v>0.12364429898104126</v>
      </c>
      <c r="CG150" s="293">
        <f t="shared" si="499"/>
        <v>0.10925713214067466</v>
      </c>
      <c r="CH150" s="293">
        <f t="shared" si="499"/>
        <v>3.5045700938852647E-2</v>
      </c>
      <c r="CI150" s="293">
        <f t="shared" si="499"/>
        <v>-9.7130949084935331E-2</v>
      </c>
      <c r="CJ150" s="293">
        <f t="shared" si="499"/>
        <v>-3.5809893299901523E-2</v>
      </c>
      <c r="CK150" s="293">
        <f t="shared" si="499"/>
        <v>8.3232017626549831E-3</v>
      </c>
      <c r="CL150" s="293">
        <f t="shared" si="499"/>
        <v>-8.4463346391437738E-2</v>
      </c>
      <c r="CM150" s="293">
        <f t="shared" si="499"/>
        <v>-3.8253262570542158E-2</v>
      </c>
      <c r="CN150" s="293">
        <f t="shared" si="499"/>
        <v>-6.0560200356027848E-2</v>
      </c>
      <c r="CO150" s="293">
        <f t="shared" si="499"/>
        <v>0.20481444333562115</v>
      </c>
      <c r="CP150" s="293">
        <f t="shared" si="499"/>
        <v>6.6250510683668842E-2</v>
      </c>
      <c r="CQ150" s="293">
        <f t="shared" si="499"/>
        <v>0.23283485975398027</v>
      </c>
      <c r="CR150" s="293">
        <f t="shared" si="499"/>
        <v>0.16760814385268497</v>
      </c>
      <c r="CS150" s="293">
        <f t="shared" si="499"/>
        <v>0.19761537975948909</v>
      </c>
      <c r="CT150" s="293">
        <f t="shared" si="499"/>
        <v>0.27314570377301389</v>
      </c>
      <c r="CU150" s="293">
        <f t="shared" si="499"/>
        <v>0.17139491680572355</v>
      </c>
      <c r="CV150" s="293">
        <f t="shared" si="499"/>
        <v>0.21958146289520389</v>
      </c>
      <c r="CW150" s="293">
        <f t="shared" si="499"/>
        <v>9.1436548358365496E-2</v>
      </c>
      <c r="CX150" s="293">
        <f t="shared" si="499"/>
        <v>0.12953143607912951</v>
      </c>
      <c r="CY150" s="293">
        <f t="shared" si="499"/>
        <v>0.11069832736694502</v>
      </c>
      <c r="CZ150" s="293">
        <f t="shared" si="499"/>
        <v>4.9114219081113068E-2</v>
      </c>
      <c r="DA150" s="293">
        <f t="shared" si="499"/>
        <v>9.2516051077024319E-2</v>
      </c>
      <c r="DB150" s="293">
        <f t="shared" si="499"/>
        <v>7.1431432364229469E-2</v>
      </c>
      <c r="DC150" s="293">
        <f t="shared" si="499"/>
        <v>9.733893141318091E-2</v>
      </c>
      <c r="DD150" s="293">
        <f t="shared" si="499"/>
        <v>2.5477214833959372E-2</v>
      </c>
      <c r="DE150" s="293">
        <f t="shared" si="499"/>
        <v>5.9660489732381521E-2</v>
      </c>
      <c r="DF150" s="293">
        <f t="shared" si="499"/>
        <v>7.3621222738557909E-2</v>
      </c>
      <c r="DG150" s="293">
        <f>+(DG30-DD30)/DD30</f>
        <v>-0.20774113193492152</v>
      </c>
      <c r="DH150" s="1248">
        <f>+(DH30-DE30)/DE30</f>
        <v>-6.9143402324233341E-2</v>
      </c>
      <c r="DI150" s="293">
        <f>+(DI30-DF30)/DF30</f>
        <v>-1.2835617949218022E-2</v>
      </c>
      <c r="DJ150" s="293">
        <f>+(DJ30-DG30)/DG30</f>
        <v>0.31827173830627914</v>
      </c>
      <c r="DK150" s="1248">
        <f t="shared" si="499"/>
        <v>0.13015507694962797</v>
      </c>
      <c r="DL150" s="293">
        <f t="shared" ref="DL150:DQ150" si="500">+(DL30-DI30)/DI30</f>
        <v>0.10427879440258359</v>
      </c>
      <c r="DM150" s="293">
        <f t="shared" si="500"/>
        <v>9.7030752916224733E-2</v>
      </c>
      <c r="DN150" s="1248">
        <f t="shared" si="500"/>
        <v>0.10062767094017097</v>
      </c>
      <c r="DO150" s="293">
        <f t="shared" si="500"/>
        <v>7.8225904715486835E-2</v>
      </c>
      <c r="DP150" s="293">
        <f t="shared" si="500"/>
        <v>0.27017883035282764</v>
      </c>
      <c r="DQ150" s="1248">
        <f t="shared" si="500"/>
        <v>0.17460413759631147</v>
      </c>
      <c r="DR150" s="293">
        <f t="shared" ref="DR150:DW150" si="501">+(DR30-DO30)/DO30</f>
        <v>0.24138320714204983</v>
      </c>
      <c r="DS150" s="293">
        <f t="shared" si="501"/>
        <v>8.1716133942161637E-2</v>
      </c>
      <c r="DT150" s="1248">
        <f t="shared" si="501"/>
        <v>0.15469242291203977</v>
      </c>
      <c r="DU150" s="293">
        <f t="shared" si="501"/>
        <v>6.6809285389167139E-2</v>
      </c>
      <c r="DV150" s="293">
        <f t="shared" si="501"/>
        <v>2.9997361709611675E-2</v>
      </c>
      <c r="DW150" s="1248">
        <f t="shared" si="501"/>
        <v>4.8085525138665021E-2</v>
      </c>
      <c r="DX150" s="293">
        <f t="shared" ref="DX150:EC150" si="502">+(DX30-DU30)/DU30</f>
        <v>-4.0020821066824143E-3</v>
      </c>
      <c r="DY150" s="293">
        <f t="shared" si="502"/>
        <v>0.14613938647570016</v>
      </c>
      <c r="DZ150" s="1248">
        <f t="shared" si="502"/>
        <v>7.1046865619992627E-2</v>
      </c>
      <c r="EA150" s="293">
        <f t="shared" si="502"/>
        <v>0.19264942546524683</v>
      </c>
      <c r="EB150" s="293">
        <f t="shared" si="502"/>
        <v>6.8966874070581566E-2</v>
      </c>
      <c r="EC150" s="1248">
        <f t="shared" si="502"/>
        <v>0.12649158113876038</v>
      </c>
      <c r="ED150" s="293">
        <f t="shared" ref="ED150:EL150" si="503">+(ED30-EA30)/EA30</f>
        <v>8.3851838261880834E-2</v>
      </c>
      <c r="EE150" s="293">
        <f t="shared" si="503"/>
        <v>8.3981603008816644E-2</v>
      </c>
      <c r="EF150" s="1248">
        <f t="shared" si="503"/>
        <v>8.3917704965808429E-2</v>
      </c>
      <c r="EG150" s="293">
        <f t="shared" si="503"/>
        <v>8.99999999999999E-2</v>
      </c>
      <c r="EH150" s="293">
        <f t="shared" si="503"/>
        <v>8.9999999999999886E-2</v>
      </c>
      <c r="EI150" s="1248">
        <f t="shared" si="503"/>
        <v>8.9999999999999886E-2</v>
      </c>
      <c r="EJ150" s="293">
        <f t="shared" si="503"/>
        <v>9.0000000000000066E-2</v>
      </c>
      <c r="EK150" s="293">
        <f t="shared" si="503"/>
        <v>9.0000000000000094E-2</v>
      </c>
      <c r="EL150" s="1248">
        <f t="shared" si="503"/>
        <v>9.000000000000008E-2</v>
      </c>
      <c r="EM150" s="293">
        <f t="shared" ref="EM150:ER150" si="504">+(EM30-EJ30)/EJ30</f>
        <v>9.0000000000000135E-2</v>
      </c>
      <c r="EN150" s="293">
        <f t="shared" si="504"/>
        <v>9.0000000000000205E-2</v>
      </c>
      <c r="EO150" s="1248">
        <f t="shared" si="504"/>
        <v>9.0000000000000163E-2</v>
      </c>
      <c r="EP150" s="293">
        <f t="shared" si="504"/>
        <v>0.09</v>
      </c>
      <c r="EQ150" s="293">
        <f t="shared" si="504"/>
        <v>9.0000000000000066E-2</v>
      </c>
      <c r="ER150" s="1248">
        <f t="shared" si="504"/>
        <v>9.0000000000000038E-2</v>
      </c>
      <c r="ES150" s="293">
        <f t="shared" ref="ES150" si="505">+(ES30-EP30)/EP30</f>
        <v>9.0000000000000205E-2</v>
      </c>
      <c r="ET150" s="293">
        <f t="shared" ref="ET150" si="506">+(ET30-EQ30)/EQ30</f>
        <v>9.0000000000000094E-2</v>
      </c>
      <c r="EU150" s="1248">
        <f t="shared" ref="EU150" si="507">+(EU30-ER30)/ER30</f>
        <v>9.0000000000000149E-2</v>
      </c>
      <c r="EV150" s="293">
        <f t="shared" ref="EV150" si="508">+(EV30-ES30)/ES30</f>
        <v>9.0000000000000135E-2</v>
      </c>
      <c r="EW150" s="293">
        <f t="shared" ref="EW150" si="509">+(EW30-ET30)/ET30</f>
        <v>9.0000000000000038E-2</v>
      </c>
      <c r="EX150" s="1248">
        <f t="shared" ref="EX150" si="510">+(EX30-EU30)/EU30</f>
        <v>9.000000000000008E-2</v>
      </c>
      <c r="EY150" s="293">
        <f t="shared" ref="EY150" si="511">+(EY30-EV30)/EV30</f>
        <v>8.9999999999999941E-2</v>
      </c>
      <c r="EZ150" s="293">
        <f t="shared" ref="EZ150" si="512">+(EZ30-EW30)/EW30</f>
        <v>9.0000000000000191E-2</v>
      </c>
      <c r="FA150" s="1248">
        <f t="shared" ref="FA150" si="513">+(FA30-EX30)/EX30</f>
        <v>9.0000000000000066E-2</v>
      </c>
      <c r="FE150"/>
      <c r="FF150"/>
      <c r="FG150"/>
      <c r="FH150"/>
      <c r="FI150"/>
      <c r="FJ150"/>
      <c r="FK150" s="35"/>
    </row>
    <row r="151" spans="1:167" s="236" customFormat="1" ht="13.35" customHeight="1" outlineLevel="1">
      <c r="B151" s="242" t="s">
        <v>190</v>
      </c>
      <c r="C151" s="242" t="s">
        <v>460</v>
      </c>
      <c r="D151" s="243"/>
      <c r="E151" s="293"/>
      <c r="F151" s="293"/>
      <c r="G151" s="293"/>
      <c r="H151" s="293"/>
      <c r="I151" s="293"/>
      <c r="J151" s="293"/>
      <c r="K151" s="293"/>
      <c r="L151" s="293"/>
      <c r="M151" s="293"/>
      <c r="N151" s="293"/>
      <c r="O151" s="293"/>
      <c r="P151" s="293"/>
      <c r="Q151" s="293"/>
      <c r="R151" s="293"/>
      <c r="S151" s="293"/>
      <c r="T151" s="293"/>
      <c r="U151" s="293"/>
      <c r="V151" s="293"/>
      <c r="W151" s="293"/>
      <c r="X151" s="293"/>
      <c r="Y151" s="293"/>
      <c r="Z151" s="293"/>
      <c r="AA151" s="293"/>
      <c r="AB151" s="293"/>
      <c r="AC151" s="293"/>
      <c r="AD151" s="293"/>
      <c r="AE151" s="293"/>
      <c r="AF151" s="293"/>
      <c r="AG151" s="293"/>
      <c r="AH151" s="293"/>
      <c r="AI151" s="293"/>
      <c r="AJ151" s="293"/>
      <c r="AK151" s="293"/>
      <c r="AL151" s="293">
        <f t="shared" ref="AL151:AU151" si="514">+(AL55-AI55)/AI55</f>
        <v>0.16025641025641035</v>
      </c>
      <c r="AM151" s="293">
        <f t="shared" si="514"/>
        <v>-4.0999753755232612E-2</v>
      </c>
      <c r="AN151" s="293">
        <f t="shared" si="514"/>
        <v>4.5192172321554362E-2</v>
      </c>
      <c r="AO151" s="293">
        <f t="shared" si="514"/>
        <v>-7.8481371299050889E-2</v>
      </c>
      <c r="AP151" s="293">
        <f t="shared" si="514"/>
        <v>0.20374887662087565</v>
      </c>
      <c r="AQ151" s="293">
        <f t="shared" si="514"/>
        <v>6.9571659482758577E-2</v>
      </c>
      <c r="AR151" s="293">
        <f t="shared" si="514"/>
        <v>0.25918524212144489</v>
      </c>
      <c r="AS151" s="293">
        <f t="shared" si="514"/>
        <v>0.17886092150170679</v>
      </c>
      <c r="AT151" s="293">
        <f t="shared" si="514"/>
        <v>0.21176248347081436</v>
      </c>
      <c r="AU151" s="293">
        <f t="shared" si="514"/>
        <v>0.22781101208643631</v>
      </c>
      <c r="AV151" s="293">
        <f t="shared" ref="AV151:BE151" si="515">+(AV55-AS55)/AS55</f>
        <v>0.4252239211073911</v>
      </c>
      <c r="AW151" s="293">
        <f t="shared" si="515"/>
        <v>0.34119725628767378</v>
      </c>
      <c r="AX151" s="293">
        <f t="shared" si="515"/>
        <v>0.67196977229790233</v>
      </c>
      <c r="AY151" s="293">
        <f t="shared" si="515"/>
        <v>0.30749698470132658</v>
      </c>
      <c r="AZ151" s="293">
        <f t="shared" si="515"/>
        <v>0.44951569159240606</v>
      </c>
      <c r="BA151" s="293">
        <f t="shared" si="515"/>
        <v>0.47160273565269101</v>
      </c>
      <c r="BB151" s="293">
        <f t="shared" si="515"/>
        <v>0.17886099917463699</v>
      </c>
      <c r="BC151" s="293">
        <f t="shared" si="515"/>
        <v>0.3104351544958836</v>
      </c>
      <c r="BD151" s="293">
        <f t="shared" si="515"/>
        <v>0.14461507375227312</v>
      </c>
      <c r="BE151" s="293">
        <f t="shared" si="515"/>
        <v>0.29374819817964698</v>
      </c>
      <c r="BF151" s="293">
        <f t="shared" ref="BF151:BO151" si="516">+(BF55-BC55)/BC55</f>
        <v>0.21847591074123948</v>
      </c>
      <c r="BG151" s="293">
        <f t="shared" si="516"/>
        <v>0.41176055219164293</v>
      </c>
      <c r="BH151" s="293">
        <f t="shared" si="516"/>
        <v>0.52491763095484412</v>
      </c>
      <c r="BI151" s="293">
        <f t="shared" si="516"/>
        <v>0.47126571471617246</v>
      </c>
      <c r="BJ151" s="293">
        <f t="shared" si="516"/>
        <v>-1.875656479767919E-2</v>
      </c>
      <c r="BK151" s="293">
        <f t="shared" si="516"/>
        <v>-0.67273448427029603</v>
      </c>
      <c r="BL151" s="293">
        <f t="shared" si="516"/>
        <v>-0.37520053704104034</v>
      </c>
      <c r="BM151" s="293">
        <f t="shared" si="516"/>
        <v>0.15694260373126726</v>
      </c>
      <c r="BN151" s="293">
        <f t="shared" si="516"/>
        <v>2.0268035976270959</v>
      </c>
      <c r="BO151" s="293">
        <f t="shared" si="516"/>
        <v>0.69076539253000191</v>
      </c>
      <c r="BP151" s="293">
        <f t="shared" ref="BP151:DK151" si="517">+(BP55-BM55)/BM55</f>
        <v>0.477311879595892</v>
      </c>
      <c r="BQ151" s="293">
        <f t="shared" si="517"/>
        <v>0.21200728327207746</v>
      </c>
      <c r="BR151" s="293">
        <f t="shared" si="517"/>
        <v>0.34172007108621899</v>
      </c>
      <c r="BS151" s="293">
        <f t="shared" si="517"/>
        <v>0.21066673824350449</v>
      </c>
      <c r="BT151" s="293">
        <f t="shared" si="517"/>
        <v>0.55989998469863256</v>
      </c>
      <c r="BU151" s="293">
        <f t="shared" si="517"/>
        <v>0.37189737661753847</v>
      </c>
      <c r="BV151" s="293">
        <f t="shared" si="517"/>
        <v>0.11423028052817469</v>
      </c>
      <c r="BW151" s="293">
        <f t="shared" si="517"/>
        <v>9.460124050681451E-2</v>
      </c>
      <c r="BX151" s="293">
        <f t="shared" si="517"/>
        <v>0.10392627267407838</v>
      </c>
      <c r="BY151" s="293">
        <f t="shared" si="517"/>
        <v>5.4901901827985197E-2</v>
      </c>
      <c r="BZ151" s="293">
        <f t="shared" si="517"/>
        <v>3.3212706988778727E-2</v>
      </c>
      <c r="CA151" s="293">
        <f t="shared" si="517"/>
        <v>4.3612617340096832E-2</v>
      </c>
      <c r="CB151" s="293">
        <f t="shared" si="517"/>
        <v>0.16897798363181002</v>
      </c>
      <c r="CC151" s="293">
        <f t="shared" si="517"/>
        <v>0.29002168342203827</v>
      </c>
      <c r="CD151" s="293">
        <f t="shared" si="517"/>
        <v>0.23135370691100068</v>
      </c>
      <c r="CE151" s="293">
        <f t="shared" si="517"/>
        <v>0.12526874780376218</v>
      </c>
      <c r="CF151" s="293">
        <f t="shared" si="517"/>
        <v>8.5423606569401123E-2</v>
      </c>
      <c r="CG151" s="293">
        <f t="shared" si="517"/>
        <v>0.10375763075400099</v>
      </c>
      <c r="CH151" s="293">
        <f t="shared" si="517"/>
        <v>-2.8957525881734909E-2</v>
      </c>
      <c r="CI151" s="293">
        <f t="shared" si="517"/>
        <v>-0.17296147320490879</v>
      </c>
      <c r="CJ151" s="293">
        <f t="shared" si="517"/>
        <v>-0.10540929389562592</v>
      </c>
      <c r="CK151" s="293">
        <f t="shared" si="517"/>
        <v>-3.0600438021068073E-3</v>
      </c>
      <c r="CL151" s="293">
        <f t="shared" si="517"/>
        <v>-0.30685738680814523</v>
      </c>
      <c r="CM151" s="293">
        <f t="shared" si="517"/>
        <v>-0.15216719300883919</v>
      </c>
      <c r="CN151" s="293">
        <f t="shared" si="517"/>
        <v>-0.47533769560868161</v>
      </c>
      <c r="CO151" s="293">
        <f t="shared" si="517"/>
        <v>0.35043280772963542</v>
      </c>
      <c r="CP151" s="293">
        <f t="shared" si="517"/>
        <v>-0.14398825390099584</v>
      </c>
      <c r="CQ151" s="293">
        <f t="shared" si="517"/>
        <v>0.8135395698929142</v>
      </c>
      <c r="CR151" s="293">
        <f t="shared" si="517"/>
        <v>4.4345099109900143E-2</v>
      </c>
      <c r="CS151" s="293">
        <f t="shared" si="517"/>
        <v>0.32662105653948209</v>
      </c>
      <c r="CT151" s="293">
        <f t="shared" si="517"/>
        <v>0.26385817877792023</v>
      </c>
      <c r="CU151" s="293">
        <f t="shared" si="517"/>
        <v>0.22386897131968672</v>
      </c>
      <c r="CV151" s="293">
        <f t="shared" si="517"/>
        <v>0.24393034567112898</v>
      </c>
      <c r="CW151" s="293">
        <f t="shared" si="517"/>
        <v>0.174016699581347</v>
      </c>
      <c r="CX151" s="293">
        <f t="shared" si="517"/>
        <v>0.21246989960845042</v>
      </c>
      <c r="CY151" s="293">
        <f t="shared" si="517"/>
        <v>0.19287005388814291</v>
      </c>
      <c r="CZ151" s="293">
        <f t="shared" si="517"/>
        <v>2.5334823921373473E-2</v>
      </c>
      <c r="DA151" s="293">
        <f t="shared" si="517"/>
        <v>0.21269875524389695</v>
      </c>
      <c r="DB151" s="293">
        <f t="shared" si="517"/>
        <v>0.11870753357255336</v>
      </c>
      <c r="DC151" s="293">
        <f t="shared" si="517"/>
        <v>0.10571008799155177</v>
      </c>
      <c r="DD151" s="293">
        <f t="shared" si="517"/>
        <v>-1.6431386719244084E-2</v>
      </c>
      <c r="DE151" s="293">
        <f t="shared" si="517"/>
        <v>3.9726868792472711E-2</v>
      </c>
      <c r="DF151" s="293">
        <f t="shared" si="517"/>
        <v>0.11989022514146405</v>
      </c>
      <c r="DG151" s="293">
        <f>+(DG55-DD55)/DD55</f>
        <v>-0.67238926273096189</v>
      </c>
      <c r="DH151" s="1248">
        <f>+(DH55-DE55)/DE55</f>
        <v>-0.28499706809705944</v>
      </c>
      <c r="DI151" s="293">
        <f>+(DI55-DF55)/DF55</f>
        <v>-1.4443631097758919E-2</v>
      </c>
      <c r="DJ151" s="293">
        <f>+(DJ55-DG55)/DG55</f>
        <v>1.9401990521874946</v>
      </c>
      <c r="DK151" s="1248">
        <f t="shared" si="517"/>
        <v>0.44324847038745241</v>
      </c>
      <c r="DL151" s="293">
        <f t="shared" ref="DL151:DQ151" si="518">+(DL55-DI55)/DI55</f>
        <v>0.22786832556211312</v>
      </c>
      <c r="DM151" s="293">
        <f t="shared" si="518"/>
        <v>9.1313917444170389E-2</v>
      </c>
      <c r="DN151" s="1248">
        <f t="shared" si="518"/>
        <v>0.16272838002436057</v>
      </c>
      <c r="DO151" s="293">
        <f t="shared" si="518"/>
        <v>-8.8391502276176065E-2</v>
      </c>
      <c r="DP151" s="293">
        <f t="shared" si="518"/>
        <v>0.2877866167524567</v>
      </c>
      <c r="DQ151" s="1248">
        <f t="shared" si="518"/>
        <v>8.0033521893986978E-2</v>
      </c>
      <c r="DR151" s="293">
        <f t="shared" ref="DR151:DW151" si="519">+(DR55-DO55)/DO55</f>
        <v>0.31210986267166019</v>
      </c>
      <c r="DS151" s="293">
        <f t="shared" si="519"/>
        <v>0.10719476744186067</v>
      </c>
      <c r="DT151" s="1248">
        <f t="shared" si="519"/>
        <v>0.20271580989330748</v>
      </c>
      <c r="DU151" s="293">
        <f t="shared" si="519"/>
        <v>4.8208055819854261E-2</v>
      </c>
      <c r="DV151" s="293">
        <f t="shared" si="519"/>
        <v>3.0193633081719497E-2</v>
      </c>
      <c r="DW151" s="1248">
        <f t="shared" si="519"/>
        <v>3.9354838709677382E-2</v>
      </c>
      <c r="DX151" s="293">
        <f t="shared" ref="DX151:EC151" si="520">+(DX55-DU55)/DU55</f>
        <v>-7.2919818456883237E-2</v>
      </c>
      <c r="DY151" s="293">
        <f t="shared" si="520"/>
        <v>0.11542945078609751</v>
      </c>
      <c r="DZ151" s="1248">
        <f t="shared" si="520"/>
        <v>1.8828840164115603E-2</v>
      </c>
      <c r="EA151" s="293">
        <f t="shared" si="520"/>
        <v>0.21400333730248219</v>
      </c>
      <c r="EB151" s="293">
        <f t="shared" si="520"/>
        <v>9.4745695210545766E-2</v>
      </c>
      <c r="EC151" s="1248">
        <f t="shared" si="520"/>
        <v>0.15040249324478153</v>
      </c>
      <c r="ED151" s="293">
        <f t="shared" ref="ED151:EL151" si="521">+(ED55-EA55)/EA55</f>
        <v>8.921880416526147E-2</v>
      </c>
      <c r="EE151" s="293">
        <f t="shared" si="521"/>
        <v>8.9701302514809761E-2</v>
      </c>
      <c r="EF151" s="1248">
        <f t="shared" si="521"/>
        <v>8.9463674358989581E-2</v>
      </c>
      <c r="EG151" s="293">
        <f t="shared" si="521"/>
        <v>0.10623643648834591</v>
      </c>
      <c r="EH151" s="293">
        <f t="shared" si="521"/>
        <v>0.10623643648834652</v>
      </c>
      <c r="EI151" s="1248">
        <f t="shared" si="521"/>
        <v>0.10623643648834621</v>
      </c>
      <c r="EJ151" s="293">
        <f t="shared" si="521"/>
        <v>9.999883206957004E-2</v>
      </c>
      <c r="EK151" s="293">
        <f t="shared" si="521"/>
        <v>9.9998832069569832E-2</v>
      </c>
      <c r="EL151" s="1248">
        <f t="shared" si="521"/>
        <v>9.9998832069569929E-2</v>
      </c>
      <c r="EM151" s="293">
        <f t="shared" ref="EM151:ER151" si="522">+(EM55-EJ55)/EJ55</f>
        <v>9.3963177646407464E-2</v>
      </c>
      <c r="EN151" s="293">
        <f t="shared" si="522"/>
        <v>9.3963177646406895E-2</v>
      </c>
      <c r="EO151" s="1248">
        <f t="shared" si="522"/>
        <v>9.3963177646407173E-2</v>
      </c>
      <c r="EP151" s="293">
        <f t="shared" si="522"/>
        <v>8.9999999999999872E-2</v>
      </c>
      <c r="EQ151" s="293">
        <f t="shared" si="522"/>
        <v>9.0000000000000219E-2</v>
      </c>
      <c r="ER151" s="1248">
        <f t="shared" si="522"/>
        <v>9.0000000000000052E-2</v>
      </c>
      <c r="ES151" s="293">
        <f t="shared" ref="ES151" si="523">+(ES55-EP55)/EP55</f>
        <v>9.0000000000000191E-2</v>
      </c>
      <c r="ET151" s="293">
        <f t="shared" ref="ET151" si="524">+(ET55-EQ55)/EQ55</f>
        <v>9.0000000000000316E-2</v>
      </c>
      <c r="EU151" s="1248">
        <f t="shared" ref="EU151" si="525">+(EU55-ER55)/ER55</f>
        <v>9.0000000000000246E-2</v>
      </c>
      <c r="EV151" s="293">
        <f t="shared" ref="EV151" si="526">+(EV55-ES55)/ES55</f>
        <v>9.0000000000000024E-2</v>
      </c>
      <c r="EW151" s="293">
        <f t="shared" ref="EW151" si="527">+(EW55-ET55)/ET55</f>
        <v>9.0000000000000024E-2</v>
      </c>
      <c r="EX151" s="1248">
        <f t="shared" ref="EX151" si="528">+(EX55-EU55)/EU55</f>
        <v>9.0000000000000024E-2</v>
      </c>
      <c r="EY151" s="293">
        <f t="shared" ref="EY151" si="529">+(EY55-EV55)/EV55</f>
        <v>8.9999999999999913E-2</v>
      </c>
      <c r="EZ151" s="293">
        <f t="shared" ref="EZ151" si="530">+(EZ55-EW55)/EW55</f>
        <v>8.9999999999999969E-2</v>
      </c>
      <c r="FA151" s="1248">
        <f t="shared" ref="FA151" si="531">+(FA55-EX55)/EX55</f>
        <v>8.9999999999999941E-2</v>
      </c>
      <c r="FE151"/>
      <c r="FF151"/>
      <c r="FG151"/>
      <c r="FH151"/>
      <c r="FI151"/>
      <c r="FJ151"/>
      <c r="FK151" s="35"/>
    </row>
    <row r="152" spans="1:167" s="236" customFormat="1" ht="13.35" customHeight="1" outlineLevel="1">
      <c r="B152" s="242" t="s">
        <v>691</v>
      </c>
      <c r="C152" s="242" t="s">
        <v>460</v>
      </c>
      <c r="D152" s="243"/>
      <c r="E152" s="293"/>
      <c r="F152" s="293"/>
      <c r="G152" s="293"/>
      <c r="H152" s="293"/>
      <c r="I152" s="293"/>
      <c r="J152" s="293"/>
      <c r="K152" s="293"/>
      <c r="L152" s="293"/>
      <c r="M152" s="293"/>
      <c r="N152" s="293"/>
      <c r="O152" s="293"/>
      <c r="P152" s="293"/>
      <c r="Q152" s="293"/>
      <c r="R152" s="293"/>
      <c r="S152" s="293"/>
      <c r="T152" s="293"/>
      <c r="U152" s="293"/>
      <c r="V152" s="293"/>
      <c r="W152" s="293"/>
      <c r="X152" s="293"/>
      <c r="Y152" s="293"/>
      <c r="Z152" s="293"/>
      <c r="AA152" s="293"/>
      <c r="AB152" s="293"/>
      <c r="AC152" s="293"/>
      <c r="AD152" s="293"/>
      <c r="AE152" s="293"/>
      <c r="AF152" s="293"/>
      <c r="AG152" s="293"/>
      <c r="AH152" s="293"/>
      <c r="AI152" s="293"/>
      <c r="AJ152" s="293"/>
      <c r="AK152" s="293"/>
      <c r="AL152" s="293">
        <f t="shared" ref="AL152:AU152" si="532">+(AL60-AI60)/AI60</f>
        <v>0.22040498442367595</v>
      </c>
      <c r="AM152" s="293">
        <f t="shared" si="532"/>
        <v>-2.2117123382946021E-2</v>
      </c>
      <c r="AN152" s="293">
        <f t="shared" si="532"/>
        <v>7.8945233265720144E-2</v>
      </c>
      <c r="AO152" s="293">
        <f t="shared" si="532"/>
        <v>-8.4237396298659797E-2</v>
      </c>
      <c r="AP152" s="293">
        <f t="shared" si="532"/>
        <v>0.21536273115220486</v>
      </c>
      <c r="AQ152" s="293">
        <f t="shared" si="532"/>
        <v>7.4146488193713389E-2</v>
      </c>
      <c r="AR152" s="293">
        <f t="shared" si="532"/>
        <v>0.28693379790940754</v>
      </c>
      <c r="AS152" s="293">
        <f t="shared" si="532"/>
        <v>0.18082865168539344</v>
      </c>
      <c r="AT152" s="293">
        <f t="shared" si="532"/>
        <v>0.22346681601792229</v>
      </c>
      <c r="AU152" s="293">
        <f t="shared" si="532"/>
        <v>0.23757953160958439</v>
      </c>
      <c r="AV152" s="293">
        <f t="shared" ref="AV152:BE152" si="533">+(AV60-AS60)/AS60</f>
        <v>0.38180196253345189</v>
      </c>
      <c r="AW152" s="293">
        <f t="shared" si="533"/>
        <v>0.32084000915541283</v>
      </c>
      <c r="AX152" s="293">
        <f t="shared" si="533"/>
        <v>0.7146138700503174</v>
      </c>
      <c r="AY152" s="293">
        <f t="shared" si="533"/>
        <v>0.3696291514238576</v>
      </c>
      <c r="AZ152" s="293">
        <f t="shared" si="533"/>
        <v>0.50626001819520861</v>
      </c>
      <c r="BA152" s="293">
        <f t="shared" si="533"/>
        <v>0.47706539074960136</v>
      </c>
      <c r="BB152" s="293">
        <f t="shared" si="533"/>
        <v>0.17104849691002402</v>
      </c>
      <c r="BC152" s="293">
        <f t="shared" si="533"/>
        <v>0.30901090051482644</v>
      </c>
      <c r="BD152" s="293">
        <f t="shared" si="533"/>
        <v>0.12080507925538793</v>
      </c>
      <c r="BE152" s="293">
        <f t="shared" si="533"/>
        <v>0.29874776386404328</v>
      </c>
      <c r="BF152" s="293">
        <f t="shared" ref="BF152:BO152" si="534">+(BF60-BC60)/BC60</f>
        <v>0.2082262210796916</v>
      </c>
      <c r="BG152" s="293">
        <f t="shared" si="534"/>
        <v>0.39992292870905577</v>
      </c>
      <c r="BH152" s="293">
        <f t="shared" si="534"/>
        <v>0.50898760330578519</v>
      </c>
      <c r="BI152" s="293">
        <f t="shared" si="534"/>
        <v>0.45751954900891068</v>
      </c>
      <c r="BJ152" s="293">
        <f t="shared" si="534"/>
        <v>-2.0645232327681128E-2</v>
      </c>
      <c r="BK152" s="293">
        <f t="shared" si="534"/>
        <v>-0.70835900595604828</v>
      </c>
      <c r="BL152" s="293">
        <f t="shared" si="534"/>
        <v>-0.39664874171854914</v>
      </c>
      <c r="BM152" s="293">
        <f t="shared" si="534"/>
        <v>0.13730395188037567</v>
      </c>
      <c r="BN152" s="293">
        <f t="shared" si="534"/>
        <v>2.5643192488262887</v>
      </c>
      <c r="BO152" s="293">
        <f t="shared" si="534"/>
        <v>0.77871293271020292</v>
      </c>
      <c r="BP152" s="293">
        <f t="shared" ref="BP152:DK152" si="535">+(BP60-BM60)/BM60</f>
        <v>0.53547685539875922</v>
      </c>
      <c r="BQ152" s="293">
        <f t="shared" si="535"/>
        <v>0.10350807867931179</v>
      </c>
      <c r="BR152" s="293">
        <f t="shared" si="535"/>
        <v>0.30671394524210899</v>
      </c>
      <c r="BS152" s="293">
        <f t="shared" si="535"/>
        <v>0.22296797038467744</v>
      </c>
      <c r="BT152" s="293">
        <f t="shared" si="535"/>
        <v>0.5948634292876035</v>
      </c>
      <c r="BU152" s="293">
        <f t="shared" si="535"/>
        <v>0.389289749726416</v>
      </c>
      <c r="BV152" s="293">
        <f t="shared" si="535"/>
        <v>0.11473619099008993</v>
      </c>
      <c r="BW152" s="293">
        <f t="shared" si="535"/>
        <v>5.1166909902830508E-2</v>
      </c>
      <c r="BX152" s="293">
        <f t="shared" si="535"/>
        <v>8.2099492801885485E-2</v>
      </c>
      <c r="BY152" s="293">
        <f t="shared" si="535"/>
        <v>5.700050766815018E-2</v>
      </c>
      <c r="BZ152" s="293">
        <f t="shared" si="535"/>
        <v>0.13498119163175962</v>
      </c>
      <c r="CA152" s="293">
        <f t="shared" si="535"/>
        <v>9.5891627015126782E-2</v>
      </c>
      <c r="CB152" s="293">
        <f t="shared" si="535"/>
        <v>0.15200661238258006</v>
      </c>
      <c r="CC152" s="293">
        <f t="shared" si="535"/>
        <v>0.32471823181314419</v>
      </c>
      <c r="CD152" s="293">
        <f t="shared" si="535"/>
        <v>0.24121506682867558</v>
      </c>
      <c r="CE152" s="293">
        <f t="shared" si="535"/>
        <v>8.8919699819659151E-2</v>
      </c>
      <c r="CF152" s="293">
        <f t="shared" si="535"/>
        <v>9.3288293976510114E-3</v>
      </c>
      <c r="CG152" s="293">
        <f t="shared" si="535"/>
        <v>4.5043986738716076E-2</v>
      </c>
      <c r="CH152" s="293">
        <f t="shared" si="535"/>
        <v>-3.2366061491064996E-2</v>
      </c>
      <c r="CI152" s="293">
        <f t="shared" si="535"/>
        <v>-0.16634346214597354</v>
      </c>
      <c r="CJ152" s="293">
        <f t="shared" si="535"/>
        <v>-0.1036990778325943</v>
      </c>
      <c r="CK152" s="293">
        <f t="shared" si="535"/>
        <v>-3.4322837109151266E-3</v>
      </c>
      <c r="CL152" s="293">
        <f t="shared" si="535"/>
        <v>-0.3381763949987337</v>
      </c>
      <c r="CM152" s="293">
        <f t="shared" si="535"/>
        <v>-0.16920204192542973</v>
      </c>
      <c r="CN152" s="293">
        <f t="shared" si="535"/>
        <v>-0.54363302277910641</v>
      </c>
      <c r="CO152" s="293">
        <f t="shared" si="535"/>
        <v>0.42024405107782115</v>
      </c>
      <c r="CP152" s="293">
        <f t="shared" si="535"/>
        <v>-0.16339036117633912</v>
      </c>
      <c r="CQ152" s="293">
        <f t="shared" si="535"/>
        <v>1.0325346017263508</v>
      </c>
      <c r="CR152" s="293">
        <f t="shared" si="535"/>
        <v>5.7011104665906066E-2</v>
      </c>
      <c r="CS152" s="293">
        <f t="shared" si="535"/>
        <v>0.37922800997086259</v>
      </c>
      <c r="CT152" s="293">
        <f t="shared" si="535"/>
        <v>0.30369876384809086</v>
      </c>
      <c r="CU152" s="293">
        <f t="shared" si="535"/>
        <v>0.24274787821289673</v>
      </c>
      <c r="CV152" s="293">
        <f t="shared" si="535"/>
        <v>0.27241616629537929</v>
      </c>
      <c r="CW152" s="293">
        <f t="shared" si="535"/>
        <v>0.19417105072270097</v>
      </c>
      <c r="CX152" s="293">
        <f t="shared" si="535"/>
        <v>0.21013916148195436</v>
      </c>
      <c r="CY152" s="293">
        <f t="shared" si="535"/>
        <v>0.20217547638269029</v>
      </c>
      <c r="CZ152" s="293">
        <f t="shared" si="535"/>
        <v>2.5183214511787264E-2</v>
      </c>
      <c r="DA152" s="293">
        <f t="shared" si="535"/>
        <v>0.18057436622324233</v>
      </c>
      <c r="DB152" s="293">
        <f t="shared" si="535"/>
        <v>0.10359301987019104</v>
      </c>
      <c r="DC152" s="293">
        <f t="shared" si="535"/>
        <v>0.10393464060283894</v>
      </c>
      <c r="DD152" s="293">
        <f t="shared" si="535"/>
        <v>-3.0653968334237787E-2</v>
      </c>
      <c r="DE152" s="293">
        <f t="shared" si="535"/>
        <v>3.1284443168771658E-2</v>
      </c>
      <c r="DF152" s="293">
        <f t="shared" si="535"/>
        <v>0.11075224881236918</v>
      </c>
      <c r="DG152" s="293">
        <f>+(DG60-DD60)/DD60</f>
        <v>-0.78762894599156519</v>
      </c>
      <c r="DH152" s="1248">
        <f>+(DH60-DE60)/DE60</f>
        <v>-0.34506370033913214</v>
      </c>
      <c r="DI152" s="293">
        <f>+(DI60-DF60)/DF60</f>
        <v>-4.47762313450226E-2</v>
      </c>
      <c r="DJ152" s="293">
        <f>+(DJ60-DG60)/DG60</f>
        <v>3.4892001848946648</v>
      </c>
      <c r="DK152" s="1248">
        <f t="shared" si="535"/>
        <v>0.53664216956196142</v>
      </c>
      <c r="DL152" s="293">
        <f t="shared" ref="DL152:DQ152" si="536">+(DL60-DI60)/DI60</f>
        <v>0.26022896698615539</v>
      </c>
      <c r="DM152" s="293">
        <f t="shared" si="536"/>
        <v>0.12502301495972409</v>
      </c>
      <c r="DN152" s="1248">
        <f t="shared" si="536"/>
        <v>0.19524336283185847</v>
      </c>
      <c r="DO152" s="293">
        <f t="shared" si="536"/>
        <v>-7.9536571865585493E-2</v>
      </c>
      <c r="DP152" s="293">
        <f t="shared" si="536"/>
        <v>0.26351078356663221</v>
      </c>
      <c r="DQ152" s="1248">
        <f t="shared" si="536"/>
        <v>7.5659416936603538E-2</v>
      </c>
      <c r="DR152" s="293">
        <f t="shared" ref="DR152:DW152" si="537">+(DR60-DO60)/DO60</f>
        <v>0.32395213154186153</v>
      </c>
      <c r="DS152" s="293">
        <f t="shared" si="537"/>
        <v>0.13247359878244785</v>
      </c>
      <c r="DT152" s="1248">
        <f t="shared" si="537"/>
        <v>0.22219832221983224</v>
      </c>
      <c r="DU152" s="293">
        <f t="shared" si="537"/>
        <v>6.1656825659890911E-2</v>
      </c>
      <c r="DV152" s="293">
        <f t="shared" si="537"/>
        <v>2.7939709987453879E-2</v>
      </c>
      <c r="DW152" s="1248">
        <f t="shared" si="537"/>
        <v>4.5054558254135707E-2</v>
      </c>
      <c r="DX152" s="293">
        <f t="shared" ref="DX152:EC152" si="538">+(DX60-DU60)/DU60</f>
        <v>-9.765448951998984E-2</v>
      </c>
      <c r="DY152" s="293">
        <f t="shared" si="538"/>
        <v>9.7072948915441104E-2</v>
      </c>
      <c r="DZ152" s="1248">
        <f t="shared" si="538"/>
        <v>-3.3412159612948899E-3</v>
      </c>
      <c r="EA152" s="293">
        <f t="shared" si="538"/>
        <v>0.21632962302923148</v>
      </c>
      <c r="EB152" s="293">
        <f t="shared" si="538"/>
        <v>9.7574057972683759E-2</v>
      </c>
      <c r="EC152" s="1248">
        <f t="shared" si="538"/>
        <v>0.15301724200864325</v>
      </c>
      <c r="ED152" s="293">
        <f t="shared" ref="ED152:EL152" si="539">+(ED60-EA60)/EA60</f>
        <v>0.11577814174153954</v>
      </c>
      <c r="EE152" s="293">
        <f t="shared" si="539"/>
        <v>0.11631094600398402</v>
      </c>
      <c r="EF152" s="1248">
        <f t="shared" si="539"/>
        <v>0.11604853782609217</v>
      </c>
      <c r="EG152" s="293">
        <f t="shared" si="539"/>
        <v>0.10754302458211168</v>
      </c>
      <c r="EH152" s="293">
        <f t="shared" si="539"/>
        <v>0.1075430245821125</v>
      </c>
      <c r="EI152" s="1248">
        <f t="shared" si="539"/>
        <v>0.1075430245821121</v>
      </c>
      <c r="EJ152" s="293">
        <f t="shared" si="539"/>
        <v>0.10079071894391997</v>
      </c>
      <c r="EK152" s="293">
        <f t="shared" si="539"/>
        <v>0.10079071894391978</v>
      </c>
      <c r="EL152" s="1248">
        <f t="shared" si="539"/>
        <v>0.10079071894391987</v>
      </c>
      <c r="EM152" s="293">
        <f t="shared" ref="EM152:ER152" si="540">+(EM60-EJ60)/EJ60</f>
        <v>9.4273976314101393E-2</v>
      </c>
      <c r="EN152" s="293">
        <f t="shared" si="540"/>
        <v>9.4273976314101129E-2</v>
      </c>
      <c r="EO152" s="1248">
        <f t="shared" si="540"/>
        <v>9.4273976314101199E-2</v>
      </c>
      <c r="EP152" s="293">
        <f t="shared" si="540"/>
        <v>8.9999999999999858E-2</v>
      </c>
      <c r="EQ152" s="293">
        <f t="shared" si="540"/>
        <v>9.0000000000000233E-2</v>
      </c>
      <c r="ER152" s="1248">
        <f t="shared" si="540"/>
        <v>9.0000000000000108E-2</v>
      </c>
      <c r="ES152" s="293">
        <f t="shared" ref="ES152" si="541">+(ES60-EP60)/EP60</f>
        <v>9.0000000000000191E-2</v>
      </c>
      <c r="ET152" s="293">
        <f t="shared" ref="ET152" si="542">+(ET60-EQ60)/EQ60</f>
        <v>9.0000000000000038E-2</v>
      </c>
      <c r="EU152" s="1248">
        <f t="shared" ref="EU152" si="543">+(EU60-ER60)/ER60</f>
        <v>9.0000000000000122E-2</v>
      </c>
      <c r="EV152" s="293">
        <f t="shared" ref="EV152" si="544">+(EV60-ES60)/ES60</f>
        <v>0.09</v>
      </c>
      <c r="EW152" s="293">
        <f t="shared" ref="EW152" si="545">+(EW60-ET60)/ET60</f>
        <v>9.0000000000000274E-2</v>
      </c>
      <c r="EX152" s="1248">
        <f t="shared" ref="EX152" si="546">+(EX60-EU60)/EU60</f>
        <v>9.0000000000000135E-2</v>
      </c>
      <c r="EY152" s="293">
        <f t="shared" ref="EY152" si="547">+(EY60-EV60)/EV60</f>
        <v>8.9999999999999983E-2</v>
      </c>
      <c r="EZ152" s="293">
        <f t="shared" ref="EZ152" si="548">+(EZ60-EW60)/EW60</f>
        <v>8.9999999999999719E-2</v>
      </c>
      <c r="FA152" s="1248">
        <f t="shared" ref="FA152" si="549">+(FA60-EX60)/EX60</f>
        <v>8.9999999999999858E-2</v>
      </c>
      <c r="FE152"/>
      <c r="FF152"/>
      <c r="FG152"/>
      <c r="FH152"/>
      <c r="FI152"/>
      <c r="FJ152"/>
      <c r="FK152" s="35"/>
    </row>
    <row r="153" spans="1:167" s="236" customFormat="1" ht="13.35" customHeight="1" outlineLevel="1">
      <c r="B153" s="242" t="s">
        <v>692</v>
      </c>
      <c r="C153" s="242" t="s">
        <v>460</v>
      </c>
      <c r="D153" s="243"/>
      <c r="E153" s="293"/>
      <c r="F153" s="293"/>
      <c r="G153" s="293"/>
      <c r="H153" s="293"/>
      <c r="I153" s="293"/>
      <c r="J153" s="293"/>
      <c r="K153" s="293"/>
      <c r="L153" s="293"/>
      <c r="M153" s="293"/>
      <c r="N153" s="293"/>
      <c r="O153" s="293"/>
      <c r="P153" s="293"/>
      <c r="Q153" s="293"/>
      <c r="R153" s="293"/>
      <c r="S153" s="293"/>
      <c r="T153" s="293"/>
      <c r="U153" s="293"/>
      <c r="V153" s="293"/>
      <c r="W153" s="293"/>
      <c r="X153" s="293"/>
      <c r="Y153" s="293"/>
      <c r="Z153" s="293"/>
      <c r="AA153" s="293"/>
      <c r="AB153" s="293"/>
      <c r="AC153" s="293"/>
      <c r="AD153" s="293"/>
      <c r="AE153" s="293"/>
      <c r="AF153" s="293"/>
      <c r="AG153" s="293"/>
      <c r="AH153" s="293"/>
      <c r="AI153" s="293"/>
      <c r="AJ153" s="293"/>
      <c r="AK153" s="293"/>
      <c r="AL153" s="293">
        <f t="shared" ref="AL153:AU153" si="550">+(AL68-AI68)/AI68</f>
        <v>0.22040498442367595</v>
      </c>
      <c r="AM153" s="293">
        <f t="shared" si="550"/>
        <v>-2.2117123382946021E-2</v>
      </c>
      <c r="AN153" s="293">
        <f t="shared" si="550"/>
        <v>7.8945233265720144E-2</v>
      </c>
      <c r="AO153" s="293">
        <f t="shared" si="550"/>
        <v>-8.4237396298659797E-2</v>
      </c>
      <c r="AP153" s="293">
        <f t="shared" si="550"/>
        <v>0.21536273115220486</v>
      </c>
      <c r="AQ153" s="293">
        <f t="shared" si="550"/>
        <v>7.4146488193713389E-2</v>
      </c>
      <c r="AR153" s="293">
        <f t="shared" si="550"/>
        <v>0.28693379790940754</v>
      </c>
      <c r="AS153" s="293">
        <f t="shared" si="550"/>
        <v>0.18082865168539344</v>
      </c>
      <c r="AT153" s="293">
        <f t="shared" si="550"/>
        <v>0.22346681601792229</v>
      </c>
      <c r="AU153" s="293">
        <f t="shared" si="550"/>
        <v>0.23757953160958439</v>
      </c>
      <c r="AV153" s="293">
        <f t="shared" ref="AV153:BE153" si="551">+(AV68-AS68)/AS68</f>
        <v>0.38180196253345189</v>
      </c>
      <c r="AW153" s="293">
        <f t="shared" si="551"/>
        <v>0.32084000915541283</v>
      </c>
      <c r="AX153" s="293">
        <f t="shared" si="551"/>
        <v>0.7146138700503174</v>
      </c>
      <c r="AY153" s="293">
        <f t="shared" si="551"/>
        <v>0.3696291514238576</v>
      </c>
      <c r="AZ153" s="293">
        <f t="shared" si="551"/>
        <v>0.50626001819520861</v>
      </c>
      <c r="BA153" s="293">
        <f t="shared" si="551"/>
        <v>0.47706539074960136</v>
      </c>
      <c r="BB153" s="293">
        <f t="shared" si="551"/>
        <v>0.17104849691002402</v>
      </c>
      <c r="BC153" s="293">
        <f t="shared" si="551"/>
        <v>0.30901090051482644</v>
      </c>
      <c r="BD153" s="293">
        <f t="shared" si="551"/>
        <v>0.12080507925538793</v>
      </c>
      <c r="BE153" s="293">
        <f t="shared" si="551"/>
        <v>0.29874776386404328</v>
      </c>
      <c r="BF153" s="293">
        <f t="shared" ref="BF153:BO153" si="552">+(BF68-BC68)/BC68</f>
        <v>0.2082262210796916</v>
      </c>
      <c r="BG153" s="293">
        <f t="shared" si="552"/>
        <v>0.39992292870905577</v>
      </c>
      <c r="BH153" s="293">
        <f t="shared" si="552"/>
        <v>0.50898760330578519</v>
      </c>
      <c r="BI153" s="293">
        <f t="shared" si="552"/>
        <v>0.45751954900891068</v>
      </c>
      <c r="BJ153" s="293">
        <f t="shared" si="552"/>
        <v>-2.0645232327681128E-2</v>
      </c>
      <c r="BK153" s="293">
        <f t="shared" si="552"/>
        <v>-0.77446886196115994</v>
      </c>
      <c r="BL153" s="293">
        <f t="shared" si="552"/>
        <v>-0.43279392132153854</v>
      </c>
      <c r="BM153" s="293">
        <f t="shared" si="552"/>
        <v>0.13730395188037567</v>
      </c>
      <c r="BN153" s="293">
        <f t="shared" si="552"/>
        <v>3.2570069816857181</v>
      </c>
      <c r="BO153" s="293">
        <f t="shared" si="552"/>
        <v>0.81551219726798763</v>
      </c>
      <c r="BP153" s="293">
        <f t="shared" ref="BP153:DK153" si="553">+(BP68-BM68)/BM68</f>
        <v>0.53547685539875922</v>
      </c>
      <c r="BQ153" s="293">
        <f t="shared" si="553"/>
        <v>0.10208689864993367</v>
      </c>
      <c r="BR153" s="293">
        <f t="shared" si="553"/>
        <v>0.31455746047131528</v>
      </c>
      <c r="BS153" s="293">
        <f t="shared" si="553"/>
        <v>0.22296797038467744</v>
      </c>
      <c r="BT153" s="293">
        <f t="shared" si="553"/>
        <v>0.67356093773588921</v>
      </c>
      <c r="BU153" s="293">
        <f t="shared" si="553"/>
        <v>0.41553222669751227</v>
      </c>
      <c r="BV153" s="293">
        <f t="shared" si="553"/>
        <v>0.11473619099008993</v>
      </c>
      <c r="BW153" s="293">
        <f t="shared" si="553"/>
        <v>6.4821258279852786E-2</v>
      </c>
      <c r="BX153" s="293">
        <f t="shared" si="553"/>
        <v>8.9516281310839357E-2</v>
      </c>
      <c r="BY153" s="293">
        <f t="shared" si="553"/>
        <v>5.5914333951192899E-2</v>
      </c>
      <c r="BZ153" s="293">
        <f t="shared" si="553"/>
        <v>3.1224282325604064E-2</v>
      </c>
      <c r="CA153" s="293">
        <f t="shared" si="553"/>
        <v>4.3722247787293313E-2</v>
      </c>
      <c r="CB153" s="293">
        <f t="shared" si="553"/>
        <v>0.15319163209857226</v>
      </c>
      <c r="CC153" s="293">
        <f t="shared" si="553"/>
        <v>0.36388602009200993</v>
      </c>
      <c r="CD153" s="293">
        <f t="shared" si="553"/>
        <v>0.25598786108963895</v>
      </c>
      <c r="CE153" s="293">
        <f t="shared" si="553"/>
        <v>8.8919699819659151E-2</v>
      </c>
      <c r="CF153" s="293">
        <f t="shared" si="553"/>
        <v>0.10043540365188344</v>
      </c>
      <c r="CG153" s="293">
        <f t="shared" si="553"/>
        <v>9.5020788504321774E-2</v>
      </c>
      <c r="CH153" s="293">
        <f t="shared" si="553"/>
        <v>-3.2366061491064996E-2</v>
      </c>
      <c r="CI153" s="293">
        <f t="shared" si="553"/>
        <v>-0.16634346214597354</v>
      </c>
      <c r="CJ153" s="293">
        <f t="shared" si="553"/>
        <v>-0.1036990778325943</v>
      </c>
      <c r="CK153" s="293">
        <f t="shared" si="553"/>
        <v>-3.4322837109151266E-3</v>
      </c>
      <c r="CL153" s="293">
        <f t="shared" si="553"/>
        <v>-0.3381763949987337</v>
      </c>
      <c r="CM153" s="293">
        <f t="shared" si="553"/>
        <v>-0.16920204192542973</v>
      </c>
      <c r="CN153" s="293">
        <f t="shared" si="553"/>
        <v>-0.54363302277910641</v>
      </c>
      <c r="CO153" s="293">
        <f t="shared" si="553"/>
        <v>0.42024405107782115</v>
      </c>
      <c r="CP153" s="293">
        <f t="shared" si="553"/>
        <v>-0.16339036117633912</v>
      </c>
      <c r="CQ153" s="293">
        <f t="shared" si="553"/>
        <v>1.0325346017263508</v>
      </c>
      <c r="CR153" s="293">
        <f t="shared" si="553"/>
        <v>5.7011104665906066E-2</v>
      </c>
      <c r="CS153" s="293">
        <f t="shared" si="553"/>
        <v>0.37922800997086259</v>
      </c>
      <c r="CT153" s="293">
        <f t="shared" si="553"/>
        <v>0.30369876384809086</v>
      </c>
      <c r="CU153" s="293">
        <f t="shared" si="553"/>
        <v>0.24274787821289673</v>
      </c>
      <c r="CV153" s="293">
        <f t="shared" si="553"/>
        <v>0.27241616629537929</v>
      </c>
      <c r="CW153" s="293">
        <f t="shared" si="553"/>
        <v>0.19417105072270097</v>
      </c>
      <c r="CX153" s="293">
        <f t="shared" si="553"/>
        <v>0.21013916148195436</v>
      </c>
      <c r="CY153" s="293">
        <f t="shared" si="553"/>
        <v>0.20217547638269029</v>
      </c>
      <c r="CZ153" s="293">
        <f t="shared" si="553"/>
        <v>2.5183214511787264E-2</v>
      </c>
      <c r="DA153" s="293">
        <f t="shared" si="553"/>
        <v>0.18057436622324233</v>
      </c>
      <c r="DB153" s="293">
        <f t="shared" si="553"/>
        <v>0.10359301987019104</v>
      </c>
      <c r="DC153" s="293">
        <f t="shared" si="553"/>
        <v>0.10393464060283894</v>
      </c>
      <c r="DD153" s="293">
        <f t="shared" si="553"/>
        <v>-3.0653968334237787E-2</v>
      </c>
      <c r="DE153" s="293">
        <f t="shared" si="553"/>
        <v>3.1284443168771658E-2</v>
      </c>
      <c r="DF153" s="293">
        <f t="shared" si="553"/>
        <v>3.7870892880165763E-2</v>
      </c>
      <c r="DG153" s="293">
        <f>+(DG68-DD68)/DD68</f>
        <v>-0.87265386377795517</v>
      </c>
      <c r="DH153" s="1248">
        <f>+(DH68-DE68)/DE68</f>
        <v>-0.42410639313441856</v>
      </c>
      <c r="DI153" s="293">
        <f>+(DI68-DF68)/DF68</f>
        <v>-4.1932585924552963E-2</v>
      </c>
      <c r="DJ153" s="293">
        <f>+(DJ68-DG68)/DG68</f>
        <v>5.8102118144283974</v>
      </c>
      <c r="DK153" s="1248">
        <f t="shared" si="553"/>
        <v>0.61464705741205994</v>
      </c>
      <c r="DL153" s="293">
        <f t="shared" ref="DL153:DQ153" si="554">+(DL68-DI68)/DI68</f>
        <v>0.26704545454545453</v>
      </c>
      <c r="DM153" s="293">
        <f t="shared" si="554"/>
        <v>0.14674256799494023</v>
      </c>
      <c r="DN153" s="1248">
        <f t="shared" si="554"/>
        <v>0.2101167315175099</v>
      </c>
      <c r="DO153" s="293">
        <f t="shared" si="554"/>
        <v>-8.9686098654708515E-2</v>
      </c>
      <c r="DP153" s="293">
        <f t="shared" si="554"/>
        <v>0.27744070601213461</v>
      </c>
      <c r="DQ153" s="1248">
        <f t="shared" si="554"/>
        <v>7.4944348256245394E-2</v>
      </c>
      <c r="DR153" s="293">
        <f t="shared" ref="DR153:DW153" si="555">+(DR68-DO68)/DO68</f>
        <v>0.34088669950738881</v>
      </c>
      <c r="DS153" s="293">
        <f t="shared" si="555"/>
        <v>0.13514680483592428</v>
      </c>
      <c r="DT153" s="1248">
        <f t="shared" si="555"/>
        <v>0.23124712379199264</v>
      </c>
      <c r="DU153" s="293">
        <f t="shared" si="555"/>
        <v>5.326965466568722E-2</v>
      </c>
      <c r="DV153" s="293">
        <f t="shared" si="555"/>
        <v>1.6736401673639857E-2</v>
      </c>
      <c r="DW153" s="1248">
        <f t="shared" si="555"/>
        <v>3.5320500840964261E-2</v>
      </c>
      <c r="DX153" s="293">
        <f t="shared" ref="DX153:EC153" si="556">+(DX68-DU68)/DU68</f>
        <v>-0.11126613184513411</v>
      </c>
      <c r="DY153" s="293">
        <f t="shared" si="556"/>
        <v>0.10505214103879491</v>
      </c>
      <c r="DZ153" s="1248">
        <f t="shared" si="556"/>
        <v>-6.8945175096210088E-3</v>
      </c>
      <c r="EA153" s="293">
        <f t="shared" si="556"/>
        <v>0.23701322096519284</v>
      </c>
      <c r="EB153" s="293">
        <f t="shared" si="556"/>
        <v>9.952415781282288E-2</v>
      </c>
      <c r="EC153" s="1248">
        <f t="shared" si="556"/>
        <v>0.1631982016649903</v>
      </c>
      <c r="ED153" s="293">
        <f t="shared" ref="ED153:EL153" si="557">+(ED68-EA68)/EA68</f>
        <v>0.11789320915332104</v>
      </c>
      <c r="EE153" s="293">
        <f t="shared" si="557"/>
        <v>0.1184535311470319</v>
      </c>
      <c r="EF153" s="1248">
        <f t="shared" si="557"/>
        <v>0.11817756705988441</v>
      </c>
      <c r="EG153" s="293">
        <f t="shared" si="557"/>
        <v>0.10866983187400234</v>
      </c>
      <c r="EH153" s="293">
        <f t="shared" si="557"/>
        <v>0.10866983187400307</v>
      </c>
      <c r="EI153" s="1248">
        <f t="shared" si="557"/>
        <v>0.10866983187400271</v>
      </c>
      <c r="EJ153" s="293">
        <f t="shared" si="557"/>
        <v>0.1014721467099599</v>
      </c>
      <c r="EK153" s="293">
        <f t="shared" si="557"/>
        <v>0.10147214670995965</v>
      </c>
      <c r="EL153" s="1248">
        <f t="shared" si="557"/>
        <v>0.10147214670995977</v>
      </c>
      <c r="EM153" s="293">
        <f t="shared" ref="EM153:ER153" si="558">+(EM68-EJ68)/EJ68</f>
        <v>9.4541064411372208E-2</v>
      </c>
      <c r="EN153" s="293">
        <f t="shared" si="558"/>
        <v>9.4541064411371806E-2</v>
      </c>
      <c r="EO153" s="1248">
        <f t="shared" si="558"/>
        <v>9.4541064411372014E-2</v>
      </c>
      <c r="EP153" s="293">
        <f t="shared" si="558"/>
        <v>8.9999999999999816E-2</v>
      </c>
      <c r="EQ153" s="293">
        <f t="shared" si="558"/>
        <v>9.0000000000000385E-2</v>
      </c>
      <c r="ER153" s="1248">
        <f t="shared" si="558"/>
        <v>9.0000000000000108E-2</v>
      </c>
      <c r="ES153" s="293">
        <f t="shared" ref="ES153" si="559">+(ES68-EP68)/EP68</f>
        <v>9.0000000000000302E-2</v>
      </c>
      <c r="ET153" s="293">
        <f t="shared" ref="ET153" si="560">+(ET68-EQ68)/EQ68</f>
        <v>9.0000000000000163E-2</v>
      </c>
      <c r="EU153" s="1248">
        <f t="shared" ref="EU153" si="561">+(EU68-ER68)/ER68</f>
        <v>9.0000000000000233E-2</v>
      </c>
      <c r="EV153" s="293">
        <f t="shared" ref="EV153" si="562">+(EV68-ES68)/ES68</f>
        <v>8.9999999999999913E-2</v>
      </c>
      <c r="EW153" s="293">
        <f t="shared" ref="EW153" si="563">+(EW68-ET68)/ET68</f>
        <v>9.0000000000000233E-2</v>
      </c>
      <c r="EX153" s="1248">
        <f t="shared" ref="EX153" si="564">+(EX68-EU68)/EU68</f>
        <v>9.000000000000008E-2</v>
      </c>
      <c r="EY153" s="293">
        <f t="shared" ref="EY153" si="565">+(EY68-EV68)/EV68</f>
        <v>8.9999999999999955E-2</v>
      </c>
      <c r="EZ153" s="293">
        <f t="shared" ref="EZ153" si="566">+(EZ68-EW68)/EW68</f>
        <v>8.9999999999999622E-2</v>
      </c>
      <c r="FA153" s="1248">
        <f t="shared" ref="FA153" si="567">+(FA68-EX68)/EX68</f>
        <v>8.9999999999999789E-2</v>
      </c>
      <c r="FE153"/>
      <c r="FF153"/>
      <c r="FG153"/>
      <c r="FH153"/>
      <c r="FI153"/>
      <c r="FJ153"/>
      <c r="FK153" s="35"/>
    </row>
    <row r="154" spans="1:167" s="236" customFormat="1" ht="13.35" customHeight="1" outlineLevel="1">
      <c r="B154" s="242" t="s">
        <v>693</v>
      </c>
      <c r="C154" s="242" t="s">
        <v>460</v>
      </c>
      <c r="D154" s="243"/>
      <c r="E154" s="293"/>
      <c r="F154" s="293"/>
      <c r="G154" s="293"/>
      <c r="H154" s="293"/>
      <c r="I154" s="293"/>
      <c r="J154" s="293"/>
      <c r="K154" s="293"/>
      <c r="L154" s="293"/>
      <c r="M154" s="293"/>
      <c r="N154" s="293"/>
      <c r="O154" s="293"/>
      <c r="P154" s="293"/>
      <c r="Q154" s="293"/>
      <c r="R154" s="293"/>
      <c r="S154" s="293"/>
      <c r="T154" s="293"/>
      <c r="U154" s="293"/>
      <c r="V154" s="293"/>
      <c r="W154" s="293"/>
      <c r="X154" s="293"/>
      <c r="Y154" s="293"/>
      <c r="Z154" s="293"/>
      <c r="AA154" s="293"/>
      <c r="AB154" s="293"/>
      <c r="AC154" s="293"/>
      <c r="AD154" s="293"/>
      <c r="AE154" s="293"/>
      <c r="AF154" s="293"/>
      <c r="AG154" s="293"/>
      <c r="AH154" s="293"/>
      <c r="AI154" s="293"/>
      <c r="AJ154" s="293"/>
      <c r="AK154" s="293"/>
      <c r="AL154" s="293">
        <f t="shared" ref="AL154:AU154" si="568">+(AL72-AI72)/AI72</f>
        <v>0.22040498442367595</v>
      </c>
      <c r="AM154" s="293">
        <f t="shared" si="568"/>
        <v>-2.2117123382946021E-2</v>
      </c>
      <c r="AN154" s="293">
        <f t="shared" si="568"/>
        <v>7.8945233265720144E-2</v>
      </c>
      <c r="AO154" s="293">
        <f t="shared" si="568"/>
        <v>-8.4237396298659797E-2</v>
      </c>
      <c r="AP154" s="293">
        <f t="shared" si="568"/>
        <v>0.21536273115220486</v>
      </c>
      <c r="AQ154" s="293">
        <f t="shared" si="568"/>
        <v>7.4146488193713389E-2</v>
      </c>
      <c r="AR154" s="293">
        <f t="shared" si="568"/>
        <v>0.28693379790940754</v>
      </c>
      <c r="AS154" s="293">
        <f t="shared" si="568"/>
        <v>0.18082865168539344</v>
      </c>
      <c r="AT154" s="293">
        <f t="shared" si="568"/>
        <v>0.22346681601792229</v>
      </c>
      <c r="AU154" s="293">
        <f t="shared" si="568"/>
        <v>0.23757953160958439</v>
      </c>
      <c r="AV154" s="293">
        <f t="shared" ref="AV154:BE154" si="569">+(AV72-AS72)/AS72</f>
        <v>0.38180196253345189</v>
      </c>
      <c r="AW154" s="293">
        <f t="shared" si="569"/>
        <v>0.32084000915541283</v>
      </c>
      <c r="AX154" s="293">
        <f t="shared" si="569"/>
        <v>0.7146138700503174</v>
      </c>
      <c r="AY154" s="293">
        <f t="shared" si="569"/>
        <v>0.3696291514238576</v>
      </c>
      <c r="AZ154" s="293">
        <f t="shared" si="569"/>
        <v>0.50626001819520861</v>
      </c>
      <c r="BA154" s="293">
        <f t="shared" si="569"/>
        <v>0.47706539074960136</v>
      </c>
      <c r="BB154" s="293">
        <f t="shared" si="569"/>
        <v>0.17104849691002402</v>
      </c>
      <c r="BC154" s="293">
        <f t="shared" si="569"/>
        <v>0.30901090051482644</v>
      </c>
      <c r="BD154" s="293">
        <f t="shared" si="569"/>
        <v>0.12080507925538793</v>
      </c>
      <c r="BE154" s="293">
        <f t="shared" si="569"/>
        <v>0.29874776386404328</v>
      </c>
      <c r="BF154" s="293">
        <f t="shared" ref="BF154:BO154" si="570">+(BF72-BC72)/BC72</f>
        <v>0.2082262210796916</v>
      </c>
      <c r="BG154" s="293">
        <f t="shared" si="570"/>
        <v>0.39992292870905577</v>
      </c>
      <c r="BH154" s="293">
        <f t="shared" si="570"/>
        <v>0.50898760330578519</v>
      </c>
      <c r="BI154" s="293">
        <f t="shared" si="570"/>
        <v>0.45751954900891068</v>
      </c>
      <c r="BJ154" s="293">
        <f t="shared" si="570"/>
        <v>-2.0645232327681128E-2</v>
      </c>
      <c r="BK154" s="293">
        <f t="shared" si="570"/>
        <v>-0.77446886196115994</v>
      </c>
      <c r="BL154" s="293">
        <f t="shared" si="570"/>
        <v>-0.43279392132153854</v>
      </c>
      <c r="BM154" s="293">
        <f t="shared" si="570"/>
        <v>0.13730395188037567</v>
      </c>
      <c r="BN154" s="293">
        <f t="shared" si="570"/>
        <v>3.2570069816857181</v>
      </c>
      <c r="BO154" s="293">
        <f t="shared" si="570"/>
        <v>0.81551219726798763</v>
      </c>
      <c r="BP154" s="293">
        <f t="shared" ref="BP154:DK154" si="571">+(BP72-BM72)/BM72</f>
        <v>0.53547685539875922</v>
      </c>
      <c r="BQ154" s="293">
        <f t="shared" si="571"/>
        <v>0.10208689864993367</v>
      </c>
      <c r="BR154" s="293">
        <f t="shared" si="571"/>
        <v>0.31455746047131528</v>
      </c>
      <c r="BS154" s="293">
        <f t="shared" si="571"/>
        <v>0.22296797038467744</v>
      </c>
      <c r="BT154" s="293">
        <f t="shared" si="571"/>
        <v>0.67356093773588921</v>
      </c>
      <c r="BU154" s="293">
        <f t="shared" si="571"/>
        <v>0.41553222669751227</v>
      </c>
      <c r="BV154" s="293">
        <f t="shared" si="571"/>
        <v>0.11473619099008993</v>
      </c>
      <c r="BW154" s="293">
        <f t="shared" si="571"/>
        <v>6.4821258279852786E-2</v>
      </c>
      <c r="BX154" s="293">
        <f t="shared" si="571"/>
        <v>8.9516281310839357E-2</v>
      </c>
      <c r="BY154" s="293">
        <f t="shared" si="571"/>
        <v>5.5914333951192899E-2</v>
      </c>
      <c r="BZ154" s="293">
        <f t="shared" si="571"/>
        <v>3.1224282325604064E-2</v>
      </c>
      <c r="CA154" s="293">
        <f t="shared" si="571"/>
        <v>4.3722247787293313E-2</v>
      </c>
      <c r="CB154" s="293">
        <f t="shared" si="571"/>
        <v>0.15319163209857226</v>
      </c>
      <c r="CC154" s="293">
        <f t="shared" si="571"/>
        <v>0.36388602009200993</v>
      </c>
      <c r="CD154" s="293">
        <f t="shared" si="571"/>
        <v>0.25598786108963895</v>
      </c>
      <c r="CE154" s="293">
        <f t="shared" si="571"/>
        <v>8.8919699819659151E-2</v>
      </c>
      <c r="CF154" s="293">
        <f t="shared" si="571"/>
        <v>0.10043540365188344</v>
      </c>
      <c r="CG154" s="293">
        <f t="shared" si="571"/>
        <v>9.5020788504321774E-2</v>
      </c>
      <c r="CH154" s="293">
        <f t="shared" si="571"/>
        <v>-3.2366061491064996E-2</v>
      </c>
      <c r="CI154" s="293">
        <f t="shared" si="571"/>
        <v>-0.16634346214597354</v>
      </c>
      <c r="CJ154" s="293">
        <f t="shared" si="571"/>
        <v>-0.1036990778325943</v>
      </c>
      <c r="CK154" s="293">
        <f t="shared" si="571"/>
        <v>-3.4322837109151266E-3</v>
      </c>
      <c r="CL154" s="293">
        <f t="shared" si="571"/>
        <v>-0.3381763949987337</v>
      </c>
      <c r="CM154" s="293">
        <f t="shared" si="571"/>
        <v>-0.16920204192542973</v>
      </c>
      <c r="CN154" s="293">
        <f t="shared" si="571"/>
        <v>-0.54363302277910641</v>
      </c>
      <c r="CO154" s="293">
        <f t="shared" si="571"/>
        <v>0.42024405107782115</v>
      </c>
      <c r="CP154" s="293">
        <f t="shared" si="571"/>
        <v>-0.16339036117633912</v>
      </c>
      <c r="CQ154" s="293">
        <f t="shared" si="571"/>
        <v>1.0325346017263508</v>
      </c>
      <c r="CR154" s="293">
        <f t="shared" si="571"/>
        <v>5.7011104665906066E-2</v>
      </c>
      <c r="CS154" s="293">
        <f t="shared" si="571"/>
        <v>0.37922800997086259</v>
      </c>
      <c r="CT154" s="293">
        <f t="shared" si="571"/>
        <v>0.30369876384809086</v>
      </c>
      <c r="CU154" s="293">
        <f t="shared" si="571"/>
        <v>0.24274787821289673</v>
      </c>
      <c r="CV154" s="293">
        <f t="shared" si="571"/>
        <v>0.27241616629537929</v>
      </c>
      <c r="CW154" s="293">
        <f t="shared" si="571"/>
        <v>0.19417105072270097</v>
      </c>
      <c r="CX154" s="293">
        <f t="shared" si="571"/>
        <v>0.21013916148195436</v>
      </c>
      <c r="CY154" s="293">
        <f t="shared" si="571"/>
        <v>0.20217547638269029</v>
      </c>
      <c r="CZ154" s="293">
        <f t="shared" si="571"/>
        <v>2.5183214511787264E-2</v>
      </c>
      <c r="DA154" s="293">
        <f t="shared" si="571"/>
        <v>0.18057436622324233</v>
      </c>
      <c r="DB154" s="293">
        <f t="shared" si="571"/>
        <v>0.10359301987019104</v>
      </c>
      <c r="DC154" s="293">
        <f t="shared" si="571"/>
        <v>0.10393464060283894</v>
      </c>
      <c r="DD154" s="293">
        <f t="shared" si="571"/>
        <v>-3.0653968334237787E-2</v>
      </c>
      <c r="DE154" s="293">
        <f t="shared" si="571"/>
        <v>3.1284443168771658E-2</v>
      </c>
      <c r="DF154" s="293">
        <f t="shared" si="571"/>
        <v>3.7870892880165763E-2</v>
      </c>
      <c r="DG154" s="293">
        <f>+(DG72-DD72)/DD72</f>
        <v>-0.87265386377795517</v>
      </c>
      <c r="DH154" s="1248">
        <f>+(DH72-DE72)/DE72</f>
        <v>-0.42410639313441856</v>
      </c>
      <c r="DI154" s="293">
        <f>+(DI72-DF72)/DF72</f>
        <v>-4.1932585924552963E-2</v>
      </c>
      <c r="DJ154" s="293">
        <f>+(DJ72-DG72)/DG72</f>
        <v>5.8102118144283974</v>
      </c>
      <c r="DK154" s="1248">
        <f t="shared" si="571"/>
        <v>0.61464705741205994</v>
      </c>
      <c r="DL154" s="293">
        <f t="shared" ref="DL154:DQ154" si="572">+(DL72-DI72)/DI72</f>
        <v>0.26704545454545453</v>
      </c>
      <c r="DM154" s="293">
        <f t="shared" si="572"/>
        <v>0.14674256799494023</v>
      </c>
      <c r="DN154" s="1248">
        <f t="shared" si="572"/>
        <v>0.2101167315175099</v>
      </c>
      <c r="DO154" s="293">
        <f t="shared" si="572"/>
        <v>-8.9686098654708515E-2</v>
      </c>
      <c r="DP154" s="293">
        <f t="shared" si="572"/>
        <v>0.27744070601213461</v>
      </c>
      <c r="DQ154" s="1248">
        <f t="shared" si="572"/>
        <v>7.4944348256245394E-2</v>
      </c>
      <c r="DR154" s="293">
        <f t="shared" ref="DR154:DW154" si="573">+(DR72-DO72)/DO72</f>
        <v>0.34088669950738881</v>
      </c>
      <c r="DS154" s="293">
        <f t="shared" si="573"/>
        <v>0.13514680483592428</v>
      </c>
      <c r="DT154" s="1248">
        <f t="shared" si="573"/>
        <v>0.23124712379199264</v>
      </c>
      <c r="DU154" s="293">
        <f t="shared" si="573"/>
        <v>5.326965466568722E-2</v>
      </c>
      <c r="DV154" s="293">
        <f t="shared" si="573"/>
        <v>1.6736401673639857E-2</v>
      </c>
      <c r="DW154" s="1248">
        <f t="shared" si="573"/>
        <v>3.5320500840964261E-2</v>
      </c>
      <c r="DX154" s="293">
        <f t="shared" ref="DX154:EC154" si="574">+(DX72-DU72)/DU72</f>
        <v>-0.11126613184513411</v>
      </c>
      <c r="DY154" s="293">
        <f t="shared" si="574"/>
        <v>0.10505214103879491</v>
      </c>
      <c r="DZ154" s="1248">
        <f t="shared" si="574"/>
        <v>-6.8945175096210088E-3</v>
      </c>
      <c r="EA154" s="293">
        <f t="shared" si="574"/>
        <v>0.23701322096519284</v>
      </c>
      <c r="EB154" s="293">
        <f t="shared" si="574"/>
        <v>9.952415781282288E-2</v>
      </c>
      <c r="EC154" s="1248">
        <f t="shared" si="574"/>
        <v>0.1631982016649903</v>
      </c>
      <c r="ED154" s="293">
        <f t="shared" ref="ED154:EL154" si="575">+(ED72-EA72)/EA72</f>
        <v>0.11789320915332104</v>
      </c>
      <c r="EE154" s="293">
        <f t="shared" si="575"/>
        <v>0.1184535311470319</v>
      </c>
      <c r="EF154" s="1248">
        <f t="shared" si="575"/>
        <v>0.11817756705988441</v>
      </c>
      <c r="EG154" s="293">
        <f t="shared" si="575"/>
        <v>0.10866983187400234</v>
      </c>
      <c r="EH154" s="293">
        <f t="shared" si="575"/>
        <v>0.10866983187400307</v>
      </c>
      <c r="EI154" s="1248">
        <f t="shared" si="575"/>
        <v>0.10866983187400271</v>
      </c>
      <c r="EJ154" s="293">
        <f t="shared" si="575"/>
        <v>0.1014721467099599</v>
      </c>
      <c r="EK154" s="293">
        <f t="shared" si="575"/>
        <v>0.10147214670995965</v>
      </c>
      <c r="EL154" s="1248">
        <f t="shared" si="575"/>
        <v>0.10147214670995977</v>
      </c>
      <c r="EM154" s="293">
        <f t="shared" ref="EM154:ER154" si="576">+(EM72-EJ72)/EJ72</f>
        <v>9.4541064411372208E-2</v>
      </c>
      <c r="EN154" s="293">
        <f t="shared" si="576"/>
        <v>9.4541064411371806E-2</v>
      </c>
      <c r="EO154" s="1248">
        <f t="shared" si="576"/>
        <v>9.4541064411372014E-2</v>
      </c>
      <c r="EP154" s="293">
        <f t="shared" si="576"/>
        <v>8.9999999999999816E-2</v>
      </c>
      <c r="EQ154" s="293">
        <f t="shared" si="576"/>
        <v>9.0000000000000385E-2</v>
      </c>
      <c r="ER154" s="1248">
        <f t="shared" si="576"/>
        <v>9.0000000000000108E-2</v>
      </c>
      <c r="ES154" s="293">
        <f t="shared" ref="ES154" si="577">+(ES72-EP72)/EP72</f>
        <v>9.0000000000000302E-2</v>
      </c>
      <c r="ET154" s="293">
        <f t="shared" ref="ET154" si="578">+(ET72-EQ72)/EQ72</f>
        <v>9.0000000000000163E-2</v>
      </c>
      <c r="EU154" s="1248">
        <f t="shared" ref="EU154" si="579">+(EU72-ER72)/ER72</f>
        <v>9.0000000000000233E-2</v>
      </c>
      <c r="EV154" s="293">
        <f t="shared" ref="EV154" si="580">+(EV72-ES72)/ES72</f>
        <v>8.9999999999999913E-2</v>
      </c>
      <c r="EW154" s="293">
        <f t="shared" ref="EW154" si="581">+(EW72-ET72)/ET72</f>
        <v>9.0000000000000233E-2</v>
      </c>
      <c r="EX154" s="1248">
        <f t="shared" ref="EX154" si="582">+(EX72-EU72)/EU72</f>
        <v>9.000000000000008E-2</v>
      </c>
      <c r="EY154" s="293">
        <f t="shared" ref="EY154" si="583">+(EY72-EV72)/EV72</f>
        <v>8.9999999999999955E-2</v>
      </c>
      <c r="EZ154" s="293">
        <f t="shared" ref="EZ154" si="584">+(EZ72-EW72)/EW72</f>
        <v>8.9999999999999622E-2</v>
      </c>
      <c r="FA154" s="1248">
        <f t="shared" ref="FA154" si="585">+(FA72-EX72)/EX72</f>
        <v>8.9999999999999789E-2</v>
      </c>
      <c r="FE154"/>
      <c r="FF154"/>
      <c r="FG154"/>
      <c r="FH154"/>
      <c r="FI154"/>
      <c r="FJ154"/>
      <c r="FK154" s="35"/>
    </row>
    <row r="155" spans="1:167" s="236" customFormat="1" ht="13.35" customHeight="1" outlineLevel="1">
      <c r="B155" s="242" t="s">
        <v>610</v>
      </c>
      <c r="C155" s="242" t="s">
        <v>460</v>
      </c>
      <c r="D155" s="243"/>
      <c r="E155" s="293"/>
      <c r="F155" s="293"/>
      <c r="G155" s="293"/>
      <c r="H155" s="293"/>
      <c r="I155" s="293"/>
      <c r="J155" s="293"/>
      <c r="K155" s="293"/>
      <c r="L155" s="293"/>
      <c r="M155" s="293"/>
      <c r="N155" s="293"/>
      <c r="O155" s="293"/>
      <c r="P155" s="293"/>
      <c r="Q155" s="293"/>
      <c r="R155" s="293"/>
      <c r="S155" s="293"/>
      <c r="T155" s="293"/>
      <c r="U155" s="293"/>
      <c r="V155" s="293"/>
      <c r="W155" s="293"/>
      <c r="X155" s="293"/>
      <c r="Y155" s="293"/>
      <c r="Z155" s="293"/>
      <c r="AA155" s="293"/>
      <c r="AB155" s="293"/>
      <c r="AC155" s="293"/>
      <c r="AD155" s="293"/>
      <c r="AE155" s="293"/>
      <c r="AF155" s="293"/>
      <c r="AG155" s="293"/>
      <c r="AH155" s="293"/>
      <c r="AI155" s="293"/>
      <c r="AJ155" s="293"/>
      <c r="AK155" s="293"/>
      <c r="AL155" s="293">
        <f t="shared" ref="AL155:AU155" si="586">+(AL84-AI84)/AI84</f>
        <v>0.11577801958650709</v>
      </c>
      <c r="AM155" s="293">
        <f t="shared" si="586"/>
        <v>-7.7841203943954211E-3</v>
      </c>
      <c r="AN155" s="293">
        <f t="shared" si="586"/>
        <v>4.6935235158057066E-2</v>
      </c>
      <c r="AO155" s="293">
        <f t="shared" si="586"/>
        <v>-0.11800273064170072</v>
      </c>
      <c r="AP155" s="293">
        <f t="shared" si="586"/>
        <v>9.6059972105997399E-2</v>
      </c>
      <c r="AQ155" s="293">
        <f t="shared" si="586"/>
        <v>-4.9710024855011041E-3</v>
      </c>
      <c r="AR155" s="293">
        <f t="shared" si="586"/>
        <v>0.19969040247678008</v>
      </c>
      <c r="AS155" s="293">
        <f t="shared" si="586"/>
        <v>0.25019882296802914</v>
      </c>
      <c r="AT155" s="293">
        <f t="shared" si="586"/>
        <v>0.22906836895179933</v>
      </c>
      <c r="AU155" s="293">
        <f t="shared" si="586"/>
        <v>0.22451612903225807</v>
      </c>
      <c r="AV155" s="293">
        <f t="shared" ref="AV155:BE155" si="587">+(AV84-AS84)/AS84</f>
        <v>0.23206106870228971</v>
      </c>
      <c r="AW155" s="293">
        <f t="shared" si="587"/>
        <v>0.22898005269100474</v>
      </c>
      <c r="AX155" s="293">
        <f t="shared" si="587"/>
        <v>0.55411711576095168</v>
      </c>
      <c r="AY155" s="293">
        <f t="shared" si="587"/>
        <v>0.42420487401900059</v>
      </c>
      <c r="AZ155" s="293">
        <f t="shared" si="587"/>
        <v>0.47706253445213465</v>
      </c>
      <c r="BA155" s="293">
        <f t="shared" si="587"/>
        <v>0.53748547074777209</v>
      </c>
      <c r="BB155" s="293">
        <f t="shared" si="587"/>
        <v>0.10970127610208831</v>
      </c>
      <c r="BC155" s="293">
        <f t="shared" si="587"/>
        <v>0.29283463260905629</v>
      </c>
      <c r="BD155" s="293">
        <f t="shared" si="587"/>
        <v>0.31040131040131014</v>
      </c>
      <c r="BE155" s="293">
        <f t="shared" si="587"/>
        <v>0.49036262659261698</v>
      </c>
      <c r="BF155" s="293">
        <f t="shared" ref="BF155:BO155" si="588">+(BF84-BC84)/BC84</f>
        <v>0.39874270318814542</v>
      </c>
      <c r="BG155" s="293">
        <f t="shared" si="588"/>
        <v>0.29879807692307714</v>
      </c>
      <c r="BH155" s="293">
        <f t="shared" si="588"/>
        <v>0.36646207803594921</v>
      </c>
      <c r="BI155" s="293">
        <f t="shared" si="588"/>
        <v>0.33418940609951858</v>
      </c>
      <c r="BJ155" s="293">
        <f t="shared" si="588"/>
        <v>-4.9972237645751622E-3</v>
      </c>
      <c r="BK155" s="293">
        <f t="shared" si="588"/>
        <v>-0.68298630049087239</v>
      </c>
      <c r="BL155" s="293">
        <f t="shared" si="588"/>
        <v>-0.36819400522480406</v>
      </c>
      <c r="BM155" s="293">
        <f t="shared" si="588"/>
        <v>9.6168154761904656E-2</v>
      </c>
      <c r="BN155" s="293">
        <f t="shared" si="588"/>
        <v>1.9358364538002231</v>
      </c>
      <c r="BO155" s="293">
        <f t="shared" si="588"/>
        <v>0.59065313783629392</v>
      </c>
      <c r="BP155" s="293">
        <f t="shared" ref="BP155:DK155" si="589">+(BP84-BM84)/BM84</f>
        <v>0.4596640081452571</v>
      </c>
      <c r="BQ155" s="293">
        <f t="shared" si="589"/>
        <v>0.27625909200592891</v>
      </c>
      <c r="BR155" s="293">
        <f t="shared" si="589"/>
        <v>0.36867667681362642</v>
      </c>
      <c r="BS155" s="293">
        <f t="shared" si="589"/>
        <v>0.13459973493919897</v>
      </c>
      <c r="BT155" s="293">
        <f t="shared" si="589"/>
        <v>0.38651648974961461</v>
      </c>
      <c r="BU155" s="293">
        <f t="shared" si="589"/>
        <v>0.25113704518192709</v>
      </c>
      <c r="BV155" s="293">
        <f t="shared" si="589"/>
        <v>0.17039632771834903</v>
      </c>
      <c r="BW155" s="293">
        <f t="shared" si="589"/>
        <v>0.13223462490016225</v>
      </c>
      <c r="BX155" s="293">
        <f t="shared" si="589"/>
        <v>0.15083240954349827</v>
      </c>
      <c r="BY155" s="293">
        <f t="shared" si="589"/>
        <v>0.22451981160156154</v>
      </c>
      <c r="BZ155" s="293">
        <f t="shared" si="589"/>
        <v>4.272121952478445E-2</v>
      </c>
      <c r="CA155" s="293">
        <f t="shared" si="589"/>
        <v>0.13282538139785116</v>
      </c>
      <c r="CB155" s="293">
        <f t="shared" si="589"/>
        <v>7.5940860215054071E-2</v>
      </c>
      <c r="CC155" s="293">
        <f t="shared" si="589"/>
        <v>0.31847732822915936</v>
      </c>
      <c r="CD155" s="293">
        <f t="shared" si="589"/>
        <v>0.18853991113834837</v>
      </c>
      <c r="CE155" s="293">
        <f t="shared" si="589"/>
        <v>0.10217018618682455</v>
      </c>
      <c r="CF155" s="293">
        <f t="shared" si="589"/>
        <v>0.21618171578749809</v>
      </c>
      <c r="CG155" s="293">
        <f t="shared" si="589"/>
        <v>0.16088738785191309</v>
      </c>
      <c r="CH155" s="293">
        <f t="shared" si="589"/>
        <v>-3.3616687767528922E-2</v>
      </c>
      <c r="CI155" s="293">
        <f t="shared" si="589"/>
        <v>-0.19784109735642472</v>
      </c>
      <c r="CJ155" s="293">
        <f t="shared" si="589"/>
        <v>-0.1222225923581732</v>
      </c>
      <c r="CK155" s="293">
        <f t="shared" si="589"/>
        <v>-3.0968096123373118E-2</v>
      </c>
      <c r="CL155" s="293">
        <f t="shared" si="589"/>
        <v>-0.29575513450412455</v>
      </c>
      <c r="CM155" s="293">
        <f t="shared" si="589"/>
        <v>-0.16152435167615437</v>
      </c>
      <c r="CN155" s="293">
        <f t="shared" si="589"/>
        <v>-0.52629884761475576</v>
      </c>
      <c r="CO155" s="293">
        <f t="shared" si="589"/>
        <v>0.32427410834638809</v>
      </c>
      <c r="CP155" s="293">
        <f t="shared" si="589"/>
        <v>-0.17405309173751346</v>
      </c>
      <c r="CQ155" s="293">
        <f t="shared" si="589"/>
        <v>0.9400652351182387</v>
      </c>
      <c r="CR155" s="293">
        <f t="shared" si="589"/>
        <v>2.4277854195323453E-2</v>
      </c>
      <c r="CS155" s="293">
        <f t="shared" si="589"/>
        <v>0.33199378938715873</v>
      </c>
      <c r="CT155" s="293">
        <f t="shared" si="589"/>
        <v>0.31745008756567428</v>
      </c>
      <c r="CU155" s="293">
        <f t="shared" si="589"/>
        <v>0.27426307661317378</v>
      </c>
      <c r="CV155" s="293">
        <f t="shared" si="589"/>
        <v>0.29539906747120126</v>
      </c>
      <c r="CW155" s="293">
        <f t="shared" si="589"/>
        <v>0.18436548871140979</v>
      </c>
      <c r="CX155" s="293">
        <f t="shared" si="589"/>
        <v>0.18293735772700445</v>
      </c>
      <c r="CY155" s="293">
        <f t="shared" si="589"/>
        <v>0.1836481915721386</v>
      </c>
      <c r="CZ155" s="293">
        <f t="shared" si="589"/>
        <v>-5.1130723113990192E-3</v>
      </c>
      <c r="DA155" s="293">
        <f t="shared" si="589"/>
        <v>0.20270946388022976</v>
      </c>
      <c r="DB155" s="293">
        <f t="shared" si="589"/>
        <v>9.9205781339439164E-2</v>
      </c>
      <c r="DC155" s="293">
        <f t="shared" si="589"/>
        <v>0.16064981949458523</v>
      </c>
      <c r="DD155" s="293">
        <f t="shared" si="589"/>
        <v>1.7037037037036486E-2</v>
      </c>
      <c r="DE155" s="293">
        <f t="shared" si="589"/>
        <v>8.1773799837265931E-2</v>
      </c>
      <c r="DF155" s="293">
        <f t="shared" si="589"/>
        <v>3.1881804043545389E-2</v>
      </c>
      <c r="DG155" s="293">
        <f>+(DG84-DD84)/DD84</f>
        <v>-0.84632192279679497</v>
      </c>
      <c r="DH155" s="1248">
        <f>+(DH84-DE84)/DE84</f>
        <v>-0.4215870628055659</v>
      </c>
      <c r="DI155" s="293">
        <f>+(DI84-DF84)/DF84</f>
        <v>-5.2825923134890464E-2</v>
      </c>
      <c r="DJ155" s="293">
        <f>+(DJ84-DG84)/DG84</f>
        <v>4.4473933649288968</v>
      </c>
      <c r="DK155" s="1248">
        <f t="shared" si="589"/>
        <v>0.56456436931079312</v>
      </c>
      <c r="DL155" s="293">
        <f t="shared" ref="DL155:DQ155" si="590">+(DL84-DI84)/DI84</f>
        <v>0.2836343384517464</v>
      </c>
      <c r="DM155" s="293">
        <f t="shared" si="590"/>
        <v>0.13781103184270058</v>
      </c>
      <c r="DN155" s="1248">
        <f t="shared" si="590"/>
        <v>0.21397996924739229</v>
      </c>
      <c r="DO155" s="293">
        <f t="shared" si="590"/>
        <v>-4.7105491508615309E-2</v>
      </c>
      <c r="DP155" s="293">
        <f t="shared" si="590"/>
        <v>0.36419941887138724</v>
      </c>
      <c r="DQ155" s="1248">
        <f t="shared" si="590"/>
        <v>0.13703272627687263</v>
      </c>
      <c r="DR155" s="293">
        <f t="shared" ref="DR155:DW155" si="591">+(DR84-DO84)/DO84</f>
        <v>0.32450891114869229</v>
      </c>
      <c r="DS155" s="293">
        <f t="shared" si="591"/>
        <v>0.14444257608878397</v>
      </c>
      <c r="DT155" s="1248">
        <f t="shared" si="591"/>
        <v>0.22778864970645762</v>
      </c>
      <c r="DU155" s="293">
        <f t="shared" si="591"/>
        <v>4.9403329568334743E-2</v>
      </c>
      <c r="DV155" s="293">
        <f t="shared" si="591"/>
        <v>-1.2635909491624403E-2</v>
      </c>
      <c r="DW155" s="1248">
        <f t="shared" si="591"/>
        <v>1.8341874892719975E-2</v>
      </c>
      <c r="DX155" s="293">
        <f t="shared" ref="DX155:EC155" si="592">+(DX84-DU84)/DU84</f>
        <v>-8.839908278347107E-2</v>
      </c>
      <c r="DY155" s="293">
        <f t="shared" si="592"/>
        <v>7.7703139755715925E-2</v>
      </c>
      <c r="DZ155" s="1248">
        <f t="shared" si="592"/>
        <v>-7.7657709678720654E-3</v>
      </c>
      <c r="EA155" s="293">
        <f t="shared" si="592"/>
        <v>0.20011746397745891</v>
      </c>
      <c r="EB155" s="293">
        <f t="shared" si="592"/>
        <v>0.10912090088266757</v>
      </c>
      <c r="EC155" s="1248">
        <f t="shared" si="592"/>
        <v>0.15213870757284598</v>
      </c>
      <c r="ED155" s="293">
        <f t="shared" ref="ED155:EL155" si="593">+(ED84-EA84)/EA84</f>
        <v>0.11574318231858907</v>
      </c>
      <c r="EE155" s="293">
        <f t="shared" si="593"/>
        <v>0.1163737270712738</v>
      </c>
      <c r="EF155" s="1248">
        <f t="shared" si="593"/>
        <v>0.1160632295209952</v>
      </c>
      <c r="EG155" s="293">
        <f t="shared" si="593"/>
        <v>0.11074688821735665</v>
      </c>
      <c r="EH155" s="293">
        <f t="shared" si="593"/>
        <v>0.11068377431899773</v>
      </c>
      <c r="EI155" s="1248">
        <f t="shared" si="593"/>
        <v>0.11071484442323147</v>
      </c>
      <c r="EJ155" s="293">
        <f t="shared" si="593"/>
        <v>0.10276089962698294</v>
      </c>
      <c r="EK155" s="293">
        <f t="shared" si="593"/>
        <v>0.10272181030005818</v>
      </c>
      <c r="EL155" s="1248">
        <f t="shared" si="593"/>
        <v>0.1027410539933143</v>
      </c>
      <c r="EM155" s="293">
        <f t="shared" ref="EM155:ER155" si="594">+(EM84-EJ84)/EJ84</f>
        <v>9.7806516219493017E-2</v>
      </c>
      <c r="EN155" s="293">
        <f t="shared" si="594"/>
        <v>9.770758363264237E-2</v>
      </c>
      <c r="EO155" s="1248">
        <f t="shared" si="594"/>
        <v>9.7756289066239802E-2</v>
      </c>
      <c r="EP155" s="293">
        <f t="shared" si="594"/>
        <v>9.4829612968703847E-2</v>
      </c>
      <c r="EQ155" s="293">
        <f t="shared" si="594"/>
        <v>9.468371346637626E-2</v>
      </c>
      <c r="ER155" s="1248">
        <f t="shared" si="594"/>
        <v>9.4755544436169264E-2</v>
      </c>
      <c r="ES155" s="293">
        <f t="shared" ref="ES155" si="595">+(ES84-EP84)/EP84</f>
        <v>9.4568849004343453E-2</v>
      </c>
      <c r="ET155" s="293">
        <f t="shared" ref="ET155" si="596">+(ET84-EQ84)/EQ84</f>
        <v>9.4431417554560901E-2</v>
      </c>
      <c r="EU155" s="1248">
        <f t="shared" ref="EU155" si="597">+(EU84-ER84)/ER84</f>
        <v>9.4499084010340781E-2</v>
      </c>
      <c r="EV155" s="293">
        <f t="shared" ref="EV155" si="598">+(EV84-ES84)/ES84</f>
        <v>9.4334535422553337E-2</v>
      </c>
      <c r="EW155" s="293">
        <f t="shared" ref="EW155" si="599">+(EW84-ET84)/ET84</f>
        <v>9.4204680079090553E-2</v>
      </c>
      <c r="EX155" s="1248">
        <f t="shared" ref="EX155" si="600">+(EX84-EU84)/EU84</f>
        <v>9.4268620399570388E-2</v>
      </c>
      <c r="EY155" s="293">
        <f t="shared" ref="EY155" si="601">+(EY84-EV84)/EV84</f>
        <v>9.4126129468539696E-2</v>
      </c>
      <c r="EZ155" s="293">
        <f t="shared" ref="EZ155" si="602">+(EZ84-EW84)/EW84</f>
        <v>9.4002992615638561E-2</v>
      </c>
      <c r="FA155" s="1248">
        <f t="shared" ref="FA155" si="603">+(FA84-EX84)/EX84</f>
        <v>9.4063628426956439E-2</v>
      </c>
      <c r="FE155"/>
      <c r="FF155"/>
      <c r="FG155"/>
      <c r="FH155"/>
      <c r="FI155"/>
      <c r="FJ155"/>
      <c r="FK155" s="35"/>
    </row>
    <row r="156" spans="1:167" s="236" customFormat="1" ht="13.35" customHeight="1" outlineLevel="1">
      <c r="B156" s="242" t="s">
        <v>763</v>
      </c>
      <c r="C156" s="242" t="s">
        <v>460</v>
      </c>
      <c r="D156" s="243"/>
      <c r="E156" s="293"/>
      <c r="F156" s="293"/>
      <c r="G156" s="293"/>
      <c r="H156" s="293"/>
      <c r="I156" s="293"/>
      <c r="J156" s="293"/>
      <c r="K156" s="293"/>
      <c r="L156" s="293"/>
      <c r="M156" s="293"/>
      <c r="N156" s="293"/>
      <c r="O156" s="293"/>
      <c r="P156" s="293"/>
      <c r="Q156" s="293"/>
      <c r="R156" s="293"/>
      <c r="S156" s="293"/>
      <c r="T156" s="293"/>
      <c r="U156" s="293"/>
      <c r="V156" s="293"/>
      <c r="W156" s="293"/>
      <c r="X156" s="293"/>
      <c r="Y156" s="293"/>
      <c r="Z156" s="293"/>
      <c r="AA156" s="293"/>
      <c r="AB156" s="293"/>
      <c r="AC156" s="293"/>
      <c r="AD156" s="293"/>
      <c r="AE156" s="293"/>
      <c r="AF156" s="293"/>
      <c r="AG156" s="293"/>
      <c r="AH156" s="293"/>
      <c r="AI156" s="293"/>
      <c r="AJ156" s="293"/>
      <c r="AK156" s="293"/>
      <c r="AL156" s="293">
        <f t="shared" ref="AL156:AU156" si="604">+(AL90-AI90)/AI90</f>
        <v>0.11577801958650709</v>
      </c>
      <c r="AM156" s="293">
        <f t="shared" si="604"/>
        <v>-7.7841203943954211E-3</v>
      </c>
      <c r="AN156" s="293">
        <f t="shared" si="604"/>
        <v>4.6935235158057066E-2</v>
      </c>
      <c r="AO156" s="293">
        <f t="shared" si="604"/>
        <v>-0.11800273064170072</v>
      </c>
      <c r="AP156" s="293">
        <f t="shared" si="604"/>
        <v>9.6059972105997399E-2</v>
      </c>
      <c r="AQ156" s="293">
        <f t="shared" si="604"/>
        <v>-4.9710024855011041E-3</v>
      </c>
      <c r="AR156" s="293">
        <f t="shared" si="604"/>
        <v>0.19969040247678008</v>
      </c>
      <c r="AS156" s="293">
        <f t="shared" si="604"/>
        <v>0.25019882296802914</v>
      </c>
      <c r="AT156" s="293">
        <f t="shared" si="604"/>
        <v>0.22906836895179933</v>
      </c>
      <c r="AU156" s="293">
        <f t="shared" si="604"/>
        <v>0.22451612903225807</v>
      </c>
      <c r="AV156" s="293">
        <f t="shared" ref="AV156:BE156" si="605">+(AV90-AS90)/AS90</f>
        <v>0.23206106870228971</v>
      </c>
      <c r="AW156" s="293">
        <f t="shared" si="605"/>
        <v>0.22898005269100474</v>
      </c>
      <c r="AX156" s="293">
        <f t="shared" si="605"/>
        <v>0.55411711576095168</v>
      </c>
      <c r="AY156" s="293">
        <f t="shared" si="605"/>
        <v>0.42420487401900059</v>
      </c>
      <c r="AZ156" s="293">
        <f t="shared" si="605"/>
        <v>0.47706253445213465</v>
      </c>
      <c r="BA156" s="293">
        <f t="shared" si="605"/>
        <v>0.53748547074777209</v>
      </c>
      <c r="BB156" s="293">
        <f t="shared" si="605"/>
        <v>0.10970127610208831</v>
      </c>
      <c r="BC156" s="293">
        <f t="shared" si="605"/>
        <v>0.29283463260905629</v>
      </c>
      <c r="BD156" s="293">
        <f t="shared" si="605"/>
        <v>0.31040131040131014</v>
      </c>
      <c r="BE156" s="293">
        <f t="shared" si="605"/>
        <v>0.49036262659261698</v>
      </c>
      <c r="BF156" s="293">
        <f t="shared" ref="BF156:BO156" si="606">+(BF90-BC90)/BC90</f>
        <v>0.39874270318814542</v>
      </c>
      <c r="BG156" s="293">
        <f t="shared" si="606"/>
        <v>0.29879807692307714</v>
      </c>
      <c r="BH156" s="293">
        <f t="shared" si="606"/>
        <v>0.36646207803594921</v>
      </c>
      <c r="BI156" s="293">
        <f t="shared" si="606"/>
        <v>0.33418940609951858</v>
      </c>
      <c r="BJ156" s="293">
        <f t="shared" si="606"/>
        <v>-4.9972237645751622E-3</v>
      </c>
      <c r="BK156" s="293">
        <f t="shared" si="606"/>
        <v>-0.59004138727581901</v>
      </c>
      <c r="BL156" s="293">
        <f t="shared" si="606"/>
        <v>-0.31840368486181769</v>
      </c>
      <c r="BM156" s="293">
        <f t="shared" si="606"/>
        <v>9.6168154761904656E-2</v>
      </c>
      <c r="BN156" s="293">
        <f t="shared" si="606"/>
        <v>1.2702300829550797</v>
      </c>
      <c r="BO156" s="293">
        <f t="shared" si="606"/>
        <v>0.47445660396389133</v>
      </c>
      <c r="BP156" s="293">
        <f t="shared" ref="BP156:DK156" si="607">+(BP90-BM90)/BM90</f>
        <v>0.4596640081452571</v>
      </c>
      <c r="BQ156" s="293">
        <f t="shared" si="607"/>
        <v>0.27625909200592891</v>
      </c>
      <c r="BR156" s="293">
        <f t="shared" si="607"/>
        <v>0.36867667681362642</v>
      </c>
      <c r="BS156" s="293">
        <f t="shared" si="607"/>
        <v>0.13459973493919897</v>
      </c>
      <c r="BT156" s="293">
        <f t="shared" si="607"/>
        <v>0.38651648974961461</v>
      </c>
      <c r="BU156" s="293">
        <f t="shared" si="607"/>
        <v>0.25113704518192709</v>
      </c>
      <c r="BV156" s="293">
        <f t="shared" si="607"/>
        <v>0.17039632771834903</v>
      </c>
      <c r="BW156" s="293">
        <f t="shared" si="607"/>
        <v>0.13223462490016225</v>
      </c>
      <c r="BX156" s="293">
        <f t="shared" si="607"/>
        <v>0.15083240954349827</v>
      </c>
      <c r="BY156" s="293">
        <f t="shared" si="607"/>
        <v>0.22451981160156154</v>
      </c>
      <c r="BZ156" s="293">
        <f t="shared" si="607"/>
        <v>4.272121952478445E-2</v>
      </c>
      <c r="CA156" s="293">
        <f t="shared" si="607"/>
        <v>0.13282538139785116</v>
      </c>
      <c r="CB156" s="293">
        <f t="shared" si="607"/>
        <v>7.5940860215054071E-2</v>
      </c>
      <c r="CC156" s="293">
        <f t="shared" si="607"/>
        <v>0.31847732822915936</v>
      </c>
      <c r="CD156" s="293">
        <f t="shared" si="607"/>
        <v>0.18853991113834837</v>
      </c>
      <c r="CE156" s="293">
        <f t="shared" si="607"/>
        <v>0.10217018618682455</v>
      </c>
      <c r="CF156" s="293">
        <f t="shared" si="607"/>
        <v>0.21618171578749809</v>
      </c>
      <c r="CG156" s="293">
        <f t="shared" si="607"/>
        <v>0.16088738785191309</v>
      </c>
      <c r="CH156" s="293">
        <f t="shared" si="607"/>
        <v>-3.3616687767528922E-2</v>
      </c>
      <c r="CI156" s="293">
        <f t="shared" si="607"/>
        <v>-0.19784109735642472</v>
      </c>
      <c r="CJ156" s="293">
        <f t="shared" si="607"/>
        <v>-0.1222225923581732</v>
      </c>
      <c r="CK156" s="293">
        <f t="shared" si="607"/>
        <v>-3.0968096123373118E-2</v>
      </c>
      <c r="CL156" s="293">
        <f t="shared" si="607"/>
        <v>-0.29575513450412455</v>
      </c>
      <c r="CM156" s="293">
        <f t="shared" si="607"/>
        <v>-0.16152435167615437</v>
      </c>
      <c r="CN156" s="293">
        <f t="shared" si="607"/>
        <v>-0.52629884761475576</v>
      </c>
      <c r="CO156" s="293">
        <f t="shared" si="607"/>
        <v>0.32427410834638809</v>
      </c>
      <c r="CP156" s="293">
        <f t="shared" si="607"/>
        <v>-0.17405309173751346</v>
      </c>
      <c r="CQ156" s="293">
        <f t="shared" si="607"/>
        <v>0.9400652351182387</v>
      </c>
      <c r="CR156" s="293">
        <f t="shared" si="607"/>
        <v>2.4277854195323453E-2</v>
      </c>
      <c r="CS156" s="293">
        <f t="shared" si="607"/>
        <v>0.33199378938715873</v>
      </c>
      <c r="CT156" s="293">
        <f t="shared" si="607"/>
        <v>0.31745008756567428</v>
      </c>
      <c r="CU156" s="293">
        <f t="shared" si="607"/>
        <v>0.27426307661317378</v>
      </c>
      <c r="CV156" s="293">
        <f t="shared" si="607"/>
        <v>0.29539906747120126</v>
      </c>
      <c r="CW156" s="293">
        <f t="shared" si="607"/>
        <v>0.18436548871140979</v>
      </c>
      <c r="CX156" s="293">
        <f t="shared" si="607"/>
        <v>0.18293735772700445</v>
      </c>
      <c r="CY156" s="293">
        <f t="shared" si="607"/>
        <v>0.1836481915721386</v>
      </c>
      <c r="CZ156" s="293">
        <f t="shared" si="607"/>
        <v>-5.1130723113990192E-3</v>
      </c>
      <c r="DA156" s="293">
        <f t="shared" si="607"/>
        <v>0.20270946388022976</v>
      </c>
      <c r="DB156" s="293">
        <f t="shared" si="607"/>
        <v>9.9205781339439164E-2</v>
      </c>
      <c r="DC156" s="293">
        <f t="shared" si="607"/>
        <v>0.16064981949458523</v>
      </c>
      <c r="DD156" s="293">
        <f t="shared" si="607"/>
        <v>1.7037037037036486E-2</v>
      </c>
      <c r="DE156" s="293">
        <f t="shared" si="607"/>
        <v>8.1773799837265931E-2</v>
      </c>
      <c r="DF156" s="293">
        <f t="shared" si="607"/>
        <v>3.1881804043545389E-2</v>
      </c>
      <c r="DG156" s="293">
        <f>+(DG90-DD90)/DD90</f>
        <v>-3.7021121631463956</v>
      </c>
      <c r="DH156" s="1248">
        <f>+(DH90-DE90)/DE90</f>
        <v>-1.8962015795411811</v>
      </c>
      <c r="DI156" s="293">
        <f>+(DI90-DF90)/DF90</f>
        <v>-5.6593820648078108E-2</v>
      </c>
      <c r="DJ156" s="293">
        <f>+(DJ90-DG90)/DG90</f>
        <v>-1.3038814016172506</v>
      </c>
      <c r="DK156" s="1248">
        <f t="shared" si="607"/>
        <v>-1.9984473352916492</v>
      </c>
      <c r="DL156" s="293">
        <f t="shared" ref="DL156:DQ156" si="608">+(DL90-DI90)/DI90</f>
        <v>0.28876108315360655</v>
      </c>
      <c r="DM156" s="293">
        <f t="shared" si="608"/>
        <v>0.16001419194607053</v>
      </c>
      <c r="DN156" s="1248">
        <f t="shared" si="608"/>
        <v>0.227756062707519</v>
      </c>
      <c r="DO156" s="293">
        <f t="shared" si="608"/>
        <v>-4.7105491508615309E-2</v>
      </c>
      <c r="DP156" s="293">
        <f t="shared" si="608"/>
        <v>0.36419941887138724</v>
      </c>
      <c r="DQ156" s="1248">
        <f t="shared" si="608"/>
        <v>0.13703272627687263</v>
      </c>
      <c r="DR156" s="293">
        <f t="shared" ref="DR156:DW156" si="609">+(DR90-DO90)/DO90</f>
        <v>0.32450891114869229</v>
      </c>
      <c r="DS156" s="293">
        <f t="shared" si="609"/>
        <v>0.14444257608878397</v>
      </c>
      <c r="DT156" s="1248">
        <f t="shared" si="609"/>
        <v>0.22778864970645762</v>
      </c>
      <c r="DU156" s="293">
        <f t="shared" si="609"/>
        <v>4.9403329568334743E-2</v>
      </c>
      <c r="DV156" s="293">
        <f t="shared" si="609"/>
        <v>-1.2635909491624403E-2</v>
      </c>
      <c r="DW156" s="1248">
        <f t="shared" si="609"/>
        <v>1.8341874892719975E-2</v>
      </c>
      <c r="DX156" s="293">
        <f t="shared" ref="DX156:EC156" si="610">+(DX90-DU90)/DU90</f>
        <v>-8.839908278347107E-2</v>
      </c>
      <c r="DY156" s="293">
        <f t="shared" si="610"/>
        <v>7.7703139755715925E-2</v>
      </c>
      <c r="DZ156" s="1248">
        <f t="shared" si="610"/>
        <v>-7.7657709678720654E-3</v>
      </c>
      <c r="EA156" s="293">
        <f t="shared" si="610"/>
        <v>0.20011746397745891</v>
      </c>
      <c r="EB156" s="293">
        <f t="shared" si="610"/>
        <v>0.10912090088266757</v>
      </c>
      <c r="EC156" s="1248">
        <f t="shared" si="610"/>
        <v>0.15213870757284598</v>
      </c>
      <c r="ED156" s="293">
        <f t="shared" ref="ED156:EL156" si="611">+(ED90-EA90)/EA90</f>
        <v>0.11574318231858907</v>
      </c>
      <c r="EE156" s="293">
        <f t="shared" si="611"/>
        <v>0.1163737270712738</v>
      </c>
      <c r="EF156" s="1248">
        <f t="shared" si="611"/>
        <v>0.1160632295209952</v>
      </c>
      <c r="EG156" s="293">
        <f t="shared" si="611"/>
        <v>0.11074688821735665</v>
      </c>
      <c r="EH156" s="293">
        <f t="shared" si="611"/>
        <v>0.11068377431899773</v>
      </c>
      <c r="EI156" s="1248">
        <f t="shared" si="611"/>
        <v>0.11071484442323147</v>
      </c>
      <c r="EJ156" s="293">
        <f t="shared" si="611"/>
        <v>0.10276089962698294</v>
      </c>
      <c r="EK156" s="293">
        <f t="shared" si="611"/>
        <v>0.10272181030005818</v>
      </c>
      <c r="EL156" s="1248">
        <f t="shared" si="611"/>
        <v>0.1027410539933143</v>
      </c>
      <c r="EM156" s="293">
        <f t="shared" ref="EM156:ER156" si="612">+(EM90-EJ90)/EJ90</f>
        <v>9.7806516219493017E-2</v>
      </c>
      <c r="EN156" s="293">
        <f t="shared" si="612"/>
        <v>9.770758363264237E-2</v>
      </c>
      <c r="EO156" s="1248">
        <f t="shared" si="612"/>
        <v>9.7756289066239802E-2</v>
      </c>
      <c r="EP156" s="293">
        <f t="shared" si="612"/>
        <v>9.4829612968703847E-2</v>
      </c>
      <c r="EQ156" s="293">
        <f t="shared" si="612"/>
        <v>9.468371346637626E-2</v>
      </c>
      <c r="ER156" s="1248">
        <f t="shared" si="612"/>
        <v>9.4755544436169264E-2</v>
      </c>
      <c r="ES156" s="293">
        <f t="shared" ref="ES156" si="613">+(ES90-EP90)/EP90</f>
        <v>9.4568849004343453E-2</v>
      </c>
      <c r="ET156" s="293">
        <f t="shared" ref="ET156" si="614">+(ET90-EQ90)/EQ90</f>
        <v>9.4431417554560901E-2</v>
      </c>
      <c r="EU156" s="1248">
        <f t="shared" ref="EU156" si="615">+(EU90-ER90)/ER90</f>
        <v>9.4499084010340781E-2</v>
      </c>
      <c r="EV156" s="293">
        <f t="shared" ref="EV156" si="616">+(EV90-ES90)/ES90</f>
        <v>9.4334535422553337E-2</v>
      </c>
      <c r="EW156" s="293">
        <f t="shared" ref="EW156" si="617">+(EW90-ET90)/ET90</f>
        <v>9.4204680079090553E-2</v>
      </c>
      <c r="EX156" s="1248">
        <f t="shared" ref="EX156" si="618">+(EX90-EU90)/EU90</f>
        <v>9.4268620399570388E-2</v>
      </c>
      <c r="EY156" s="293">
        <f t="shared" ref="EY156" si="619">+(EY90-EV90)/EV90</f>
        <v>9.4126129468539696E-2</v>
      </c>
      <c r="EZ156" s="293">
        <f t="shared" ref="EZ156" si="620">+(EZ90-EW90)/EW90</f>
        <v>9.4002992615638561E-2</v>
      </c>
      <c r="FA156" s="1248">
        <f t="shared" ref="FA156" si="621">+(FA90-EX90)/EX90</f>
        <v>9.4063628426956439E-2</v>
      </c>
      <c r="FE156"/>
      <c r="FF156"/>
      <c r="FG156"/>
      <c r="FH156"/>
      <c r="FI156"/>
      <c r="FJ156"/>
      <c r="FK156" s="35"/>
    </row>
    <row r="157" spans="1:167" s="236" customFormat="1" ht="13.35" customHeight="1">
      <c r="B157" s="242" t="s">
        <v>611</v>
      </c>
      <c r="C157" s="242"/>
      <c r="D157" s="243"/>
      <c r="E157" s="293"/>
      <c r="F157" s="293"/>
      <c r="G157" s="293"/>
      <c r="H157" s="293"/>
      <c r="I157" s="293"/>
      <c r="J157" s="293"/>
      <c r="K157" s="293"/>
      <c r="L157" s="293"/>
      <c r="M157" s="293"/>
      <c r="N157" s="293"/>
      <c r="O157" s="293"/>
      <c r="P157" s="293"/>
      <c r="Q157" s="293"/>
      <c r="R157" s="293"/>
      <c r="S157" s="293"/>
      <c r="T157" s="293"/>
      <c r="U157" s="293"/>
      <c r="V157" s="293"/>
      <c r="W157" s="293"/>
      <c r="X157" s="293"/>
      <c r="Y157" s="293"/>
      <c r="Z157" s="293"/>
      <c r="AA157" s="293"/>
      <c r="AB157" s="293"/>
      <c r="AC157" s="293"/>
      <c r="AD157" s="293"/>
      <c r="AE157" s="293"/>
      <c r="AF157" s="293"/>
      <c r="AG157" s="293"/>
      <c r="AH157" s="293"/>
      <c r="AI157" s="293"/>
      <c r="AJ157" s="293"/>
      <c r="AK157" s="293"/>
      <c r="AL157" s="293"/>
      <c r="AM157" s="293"/>
      <c r="AN157" s="293"/>
      <c r="AO157" s="293"/>
      <c r="AP157" s="293"/>
      <c r="AQ157" s="293"/>
      <c r="AR157" s="293"/>
      <c r="AS157" s="293"/>
      <c r="AT157" s="293"/>
      <c r="AU157" s="293"/>
      <c r="AV157" s="293"/>
      <c r="AW157" s="293"/>
      <c r="AX157" s="293"/>
      <c r="AY157" s="293"/>
      <c r="AZ157" s="293"/>
      <c r="BA157" s="293"/>
      <c r="BB157" s="293"/>
      <c r="BC157" s="293"/>
      <c r="BD157" s="293"/>
      <c r="BE157" s="293"/>
      <c r="BF157" s="293"/>
      <c r="BG157" s="293"/>
      <c r="BH157" s="293"/>
      <c r="BI157" s="293"/>
      <c r="BJ157" s="293"/>
      <c r="BK157" s="293"/>
      <c r="BL157" s="293"/>
      <c r="BM157" s="293"/>
      <c r="BN157" s="293"/>
      <c r="BO157" s="293"/>
      <c r="BP157" s="293"/>
      <c r="BQ157" s="293"/>
      <c r="BR157" s="293"/>
      <c r="BS157" s="293"/>
      <c r="BT157" s="293"/>
      <c r="BU157" s="293"/>
      <c r="BV157" s="293"/>
      <c r="BW157" s="293"/>
      <c r="BX157" s="293"/>
      <c r="BY157" s="293"/>
      <c r="BZ157" s="293"/>
      <c r="CA157" s="293"/>
      <c r="CB157" s="293"/>
      <c r="CC157" s="293"/>
      <c r="CD157" s="293"/>
      <c r="CE157" s="293"/>
      <c r="CF157" s="293"/>
      <c r="CG157" s="293"/>
      <c r="CH157" s="293"/>
      <c r="CI157" s="293"/>
      <c r="CJ157" s="293"/>
      <c r="CK157" s="293"/>
      <c r="CL157" s="293"/>
      <c r="CM157" s="293"/>
      <c r="CN157" s="293"/>
      <c r="CO157" s="293"/>
      <c r="CP157" s="293"/>
      <c r="CQ157" s="293"/>
      <c r="CR157" s="293"/>
      <c r="CS157" s="293"/>
      <c r="CT157" s="293"/>
      <c r="CU157" s="293"/>
      <c r="CV157" s="293"/>
      <c r="CW157" s="293"/>
      <c r="CX157" s="293"/>
      <c r="CY157" s="293"/>
      <c r="CZ157" s="293"/>
      <c r="DA157" s="293"/>
      <c r="DB157" s="293"/>
      <c r="DC157" s="293"/>
      <c r="DD157" s="293"/>
      <c r="DE157" s="293"/>
      <c r="DF157" s="293"/>
      <c r="DG157" s="293"/>
      <c r="DH157" s="1248"/>
      <c r="DI157" s="293"/>
      <c r="DJ157" s="293"/>
      <c r="DK157" s="1248"/>
      <c r="DL157" s="293"/>
      <c r="DM157" s="293"/>
      <c r="DN157" s="1248"/>
      <c r="DO157" s="293"/>
      <c r="DP157" s="293"/>
      <c r="DQ157" s="1248"/>
      <c r="DR157" s="293"/>
      <c r="DS157" s="293"/>
      <c r="DT157" s="1248"/>
      <c r="DU157" s="293"/>
      <c r="DV157" s="293"/>
      <c r="DW157" s="1248"/>
      <c r="DX157" s="293"/>
      <c r="DY157" s="293"/>
      <c r="DZ157" s="1248"/>
      <c r="EA157" s="293"/>
      <c r="EB157" s="293"/>
      <c r="EC157" s="1248"/>
      <c r="ED157" s="293"/>
      <c r="EE157" s="293"/>
      <c r="EF157" s="1248"/>
      <c r="EG157" s="293"/>
      <c r="EH157" s="293"/>
      <c r="EI157" s="1248"/>
      <c r="EJ157" s="293"/>
      <c r="EK157" s="293"/>
      <c r="EL157" s="1248"/>
      <c r="EM157" s="293"/>
      <c r="EN157" s="293"/>
      <c r="EO157" s="1248"/>
      <c r="EP157" s="293"/>
      <c r="EQ157" s="293"/>
      <c r="ER157" s="1248"/>
      <c r="ES157" s="293"/>
      <c r="ET157" s="293"/>
      <c r="EU157" s="1248"/>
      <c r="EV157" s="293"/>
      <c r="EW157" s="293"/>
      <c r="EX157" s="1248"/>
      <c r="EY157" s="293"/>
      <c r="EZ157" s="293"/>
      <c r="FA157" s="1248"/>
      <c r="FE157"/>
      <c r="FF157"/>
      <c r="FG157"/>
      <c r="FH157"/>
      <c r="FI157"/>
      <c r="FJ157"/>
      <c r="FK157" s="35"/>
    </row>
    <row r="158" spans="1:167" s="236" customFormat="1" ht="13.35" customHeight="1">
      <c r="B158" s="242" t="s">
        <v>612</v>
      </c>
      <c r="C158" s="242" t="s">
        <v>460</v>
      </c>
      <c r="D158" s="243"/>
      <c r="E158" s="293"/>
      <c r="F158" s="293"/>
      <c r="G158" s="293"/>
      <c r="H158" s="293"/>
      <c r="I158" s="293"/>
      <c r="J158" s="293"/>
      <c r="K158" s="293"/>
      <c r="L158" s="293"/>
      <c r="M158" s="293"/>
      <c r="N158" s="293"/>
      <c r="O158" s="293"/>
      <c r="P158" s="293"/>
      <c r="Q158" s="293"/>
      <c r="R158" s="293"/>
      <c r="S158" s="293"/>
      <c r="T158" s="293"/>
      <c r="U158" s="293"/>
      <c r="V158" s="293"/>
      <c r="W158" s="293"/>
      <c r="X158" s="293"/>
      <c r="Y158" s="293"/>
      <c r="Z158" s="293"/>
      <c r="AA158" s="293"/>
      <c r="AB158" s="293"/>
      <c r="AC158" s="293"/>
      <c r="AD158" s="293"/>
      <c r="AE158" s="293"/>
      <c r="AF158" s="293"/>
      <c r="AG158" s="293"/>
      <c r="AH158" s="293"/>
      <c r="AI158" s="293">
        <f t="shared" ref="AI158:AR158" si="622">+AI55/AI30</f>
        <v>0.17974474119593475</v>
      </c>
      <c r="AJ158" s="293">
        <f t="shared" si="622"/>
        <v>0.23397574395759507</v>
      </c>
      <c r="AK158" s="293">
        <f t="shared" si="622"/>
        <v>0.20720234535668963</v>
      </c>
      <c r="AL158" s="293">
        <f t="shared" si="622"/>
        <v>0.19303762852767448</v>
      </c>
      <c r="AM158" s="293">
        <f t="shared" si="622"/>
        <v>0.21813649984596856</v>
      </c>
      <c r="AN158" s="293">
        <f t="shared" si="622"/>
        <v>0.20543756485645104</v>
      </c>
      <c r="AO158" s="293">
        <f t="shared" si="622"/>
        <v>0.19542163607414306</v>
      </c>
      <c r="AP158" s="293">
        <f t="shared" si="622"/>
        <v>0.24273805208926635</v>
      </c>
      <c r="AQ158" s="293">
        <f t="shared" si="622"/>
        <v>0.22083628829279825</v>
      </c>
      <c r="AR158" s="293">
        <f t="shared" si="622"/>
        <v>0.18961525996573914</v>
      </c>
      <c r="AS158" s="293">
        <f t="shared" ref="AS158:BB158" si="623">+AS55/AS30</f>
        <v>0.22789690721649497</v>
      </c>
      <c r="AT158" s="293">
        <f t="shared" si="623"/>
        <v>0.20986281053021882</v>
      </c>
      <c r="AU158" s="293">
        <f t="shared" si="623"/>
        <v>0.16059081836327344</v>
      </c>
      <c r="AV158" s="293">
        <f t="shared" si="623"/>
        <v>0.24402069521036002</v>
      </c>
      <c r="AW158" s="293">
        <f t="shared" si="623"/>
        <v>0.20293911826452063</v>
      </c>
      <c r="AX158" s="293">
        <f t="shared" si="623"/>
        <v>0.25362756040906215</v>
      </c>
      <c r="AY158" s="293">
        <f t="shared" si="623"/>
        <v>0.26453891600308249</v>
      </c>
      <c r="AZ158" s="293">
        <f t="shared" si="623"/>
        <v>0.25952080356275753</v>
      </c>
      <c r="BA158" s="293">
        <f t="shared" si="623"/>
        <v>0.23975854584915898</v>
      </c>
      <c r="BB158" s="293">
        <f t="shared" si="623"/>
        <v>0.20770211200739072</v>
      </c>
      <c r="BC158" s="293">
        <f t="shared" ref="BC158:BO158" si="624">+BC55/BC30</f>
        <v>0.22273307558459141</v>
      </c>
      <c r="BD158" s="293">
        <f t="shared" si="624"/>
        <v>0.23586209768080943</v>
      </c>
      <c r="BE158" s="293">
        <f t="shared" si="624"/>
        <v>0.23078477181227772</v>
      </c>
      <c r="BF158" s="293">
        <f t="shared" si="624"/>
        <v>0.23316458561832309</v>
      </c>
      <c r="BG158" s="293">
        <f t="shared" si="624"/>
        <v>0.27270929241261721</v>
      </c>
      <c r="BH158" s="293">
        <f t="shared" si="624"/>
        <v>0.34367399648455715</v>
      </c>
      <c r="BI158" s="293">
        <f t="shared" si="624"/>
        <v>0.30729345127792734</v>
      </c>
      <c r="BJ158" s="293">
        <f t="shared" si="624"/>
        <v>0.32203417652948996</v>
      </c>
      <c r="BK158" s="293">
        <f t="shared" si="624"/>
        <v>0.12233988590871141</v>
      </c>
      <c r="BL158" s="293">
        <f t="shared" si="624"/>
        <v>0.21966869482080639</v>
      </c>
      <c r="BM158" s="293">
        <f t="shared" si="624"/>
        <v>0.27482745259487074</v>
      </c>
      <c r="BN158" s="293">
        <f t="shared" si="624"/>
        <v>0.25817600139286379</v>
      </c>
      <c r="BO158" s="293">
        <f t="shared" si="624"/>
        <v>0.26605743826046091</v>
      </c>
      <c r="BP158" s="293">
        <f t="shared" ref="BP158:DK158" si="625">+BP55/BP30</f>
        <v>0.31628532866087927</v>
      </c>
      <c r="BQ158" s="293">
        <f t="shared" si="625"/>
        <v>0.2393968621377271</v>
      </c>
      <c r="BR158" s="293">
        <f t="shared" si="625"/>
        <v>0.27544332905850616</v>
      </c>
      <c r="BS158" s="293">
        <f t="shared" si="625"/>
        <v>0.30770806765883379</v>
      </c>
      <c r="BT158" s="293">
        <f t="shared" si="625"/>
        <v>0.33073580365440691</v>
      </c>
      <c r="BU158" s="293">
        <f t="shared" si="625"/>
        <v>0.31938117460156479</v>
      </c>
      <c r="BV158" s="293">
        <f t="shared" si="625"/>
        <v>0.31707617974642538</v>
      </c>
      <c r="BW158" s="293">
        <f t="shared" si="625"/>
        <v>0.33616548962576315</v>
      </c>
      <c r="BX158" s="293">
        <f t="shared" si="625"/>
        <v>0.32673343399230659</v>
      </c>
      <c r="BY158" s="293">
        <f t="shared" si="625"/>
        <v>0.28105873941446907</v>
      </c>
      <c r="BZ158" s="293">
        <f t="shared" si="625"/>
        <v>0.31156278024581452</v>
      </c>
      <c r="CA158" s="293">
        <f t="shared" si="625"/>
        <v>0.2959923815842051</v>
      </c>
      <c r="CB158" s="293">
        <f t="shared" si="625"/>
        <v>0.3362395905399394</v>
      </c>
      <c r="CC158" s="293">
        <f t="shared" si="625"/>
        <v>0.35096545665419754</v>
      </c>
      <c r="CD158" s="293">
        <f t="shared" si="625"/>
        <v>0.34403257174365953</v>
      </c>
      <c r="CE158" s="293">
        <f t="shared" si="625"/>
        <v>0.34613947913197218</v>
      </c>
      <c r="CF158" s="293">
        <f t="shared" si="625"/>
        <v>0.33902738801623505</v>
      </c>
      <c r="CG158" s="293">
        <f t="shared" si="625"/>
        <v>0.34232691887874273</v>
      </c>
      <c r="CH158" s="293">
        <f t="shared" si="625"/>
        <v>0.32473555119492697</v>
      </c>
      <c r="CI158" s="293">
        <f t="shared" si="625"/>
        <v>0.31055302122047346</v>
      </c>
      <c r="CJ158" s="293">
        <f t="shared" si="625"/>
        <v>0.31761628536759384</v>
      </c>
      <c r="CK158" s="293">
        <f t="shared" si="625"/>
        <v>0.32106951979110904</v>
      </c>
      <c r="CL158" s="293">
        <f t="shared" si="625"/>
        <v>0.23511623681580954</v>
      </c>
      <c r="CM158" s="293">
        <f t="shared" si="625"/>
        <v>0.27999627790685816</v>
      </c>
      <c r="CN158" s="293">
        <f t="shared" si="625"/>
        <v>0.17931226054852842</v>
      </c>
      <c r="CO158" s="293">
        <f t="shared" si="625"/>
        <v>0.26353326155930901</v>
      </c>
      <c r="CP158" s="293">
        <f t="shared" si="625"/>
        <v>0.22478779644249949</v>
      </c>
      <c r="CQ158" s="293">
        <f t="shared" si="625"/>
        <v>0.26377407914681938</v>
      </c>
      <c r="CR158" s="293">
        <f t="shared" si="625"/>
        <v>0.23571235915997155</v>
      </c>
      <c r="CS158" s="293">
        <f t="shared" si="625"/>
        <v>0.24900166535404575</v>
      </c>
      <c r="CT158" s="293">
        <f t="shared" si="625"/>
        <v>0.26184986234596636</v>
      </c>
      <c r="CU158" s="293">
        <f t="shared" si="625"/>
        <v>0.24627137986829392</v>
      </c>
      <c r="CV158" s="293">
        <f t="shared" si="625"/>
        <v>0.25397297112178252</v>
      </c>
      <c r="CW158" s="293">
        <f t="shared" si="625"/>
        <v>0.28166191762556181</v>
      </c>
      <c r="CX158" s="293">
        <f t="shared" si="625"/>
        <v>0.26435442670090209</v>
      </c>
      <c r="CY158" s="293">
        <f t="shared" si="625"/>
        <v>0.272762409273066</v>
      </c>
      <c r="CZ158" s="293">
        <f t="shared" si="625"/>
        <v>0.2752777223502994</v>
      </c>
      <c r="DA158" s="293">
        <f t="shared" si="625"/>
        <v>0.29343485057941388</v>
      </c>
      <c r="DB158" s="293">
        <f t="shared" si="625"/>
        <v>0.28479784418481319</v>
      </c>
      <c r="DC158" s="293">
        <f t="shared" si="625"/>
        <v>0.27737770518182442</v>
      </c>
      <c r="DD158" s="293">
        <f t="shared" si="625"/>
        <v>0.28144292715403812</v>
      </c>
      <c r="DE158" s="293">
        <f t="shared" si="625"/>
        <v>0.2794404185513284</v>
      </c>
      <c r="DF158" s="293">
        <f t="shared" si="625"/>
        <v>0.28933163216813518</v>
      </c>
      <c r="DG158" s="293">
        <f t="shared" si="625"/>
        <v>0.11638080503822992</v>
      </c>
      <c r="DH158" s="1248">
        <f t="shared" si="625"/>
        <v>0.21464178161841713</v>
      </c>
      <c r="DI158" s="293">
        <f t="shared" si="625"/>
        <v>0.28886033369214215</v>
      </c>
      <c r="DJ158" s="293">
        <f t="shared" si="625"/>
        <v>0.2595691940615058</v>
      </c>
      <c r="DK158" s="1248">
        <f t="shared" si="625"/>
        <v>0.27410523504273504</v>
      </c>
      <c r="DL158" s="293">
        <f t="shared" ref="DL158:DQ158" si="626">+DL55/DL30</f>
        <v>0.32118922870720118</v>
      </c>
      <c r="DM158" s="293">
        <f t="shared" si="626"/>
        <v>0.2582165297245046</v>
      </c>
      <c r="DN158" s="1248">
        <f t="shared" si="626"/>
        <v>0.28957107322696113</v>
      </c>
      <c r="DO158" s="293">
        <f t="shared" si="626"/>
        <v>0.27155610803480618</v>
      </c>
      <c r="DP158" s="293">
        <f t="shared" si="626"/>
        <v>0.26179604261796041</v>
      </c>
      <c r="DQ158" s="1248">
        <f t="shared" si="626"/>
        <v>0.26625690821755071</v>
      </c>
      <c r="DR158" s="293">
        <f t="shared" ref="DR158:DW158" si="627">+DR55/DR30</f>
        <v>0.28702776513427397</v>
      </c>
      <c r="DS158" s="293">
        <f t="shared" si="627"/>
        <v>0.26796236039046695</v>
      </c>
      <c r="DT158" s="1248">
        <f t="shared" si="627"/>
        <v>0.27733047056718552</v>
      </c>
      <c r="DU158" s="293">
        <f t="shared" si="627"/>
        <v>0.28202305677153999</v>
      </c>
      <c r="DV158" s="293">
        <f t="shared" si="627"/>
        <v>0.26801342201654699</v>
      </c>
      <c r="DW158" s="1248">
        <f t="shared" si="627"/>
        <v>0.27502027228884812</v>
      </c>
      <c r="DX158" s="293">
        <f t="shared" ref="DX158:EC158" si="628">+DX55/DX30</f>
        <v>0.26250856751199458</v>
      </c>
      <c r="DY158" s="293">
        <f t="shared" si="628"/>
        <v>0.26083220562070597</v>
      </c>
      <c r="DZ158" s="1248">
        <f t="shared" si="628"/>
        <v>0.26161188089138276</v>
      </c>
      <c r="EA158" s="293">
        <f t="shared" si="628"/>
        <v>0.26720867861545933</v>
      </c>
      <c r="EB158" s="293">
        <f t="shared" si="628"/>
        <v>0.26712234139510471</v>
      </c>
      <c r="EC158" s="1248">
        <f t="shared" si="628"/>
        <v>0.26716485509431576</v>
      </c>
      <c r="ED158" s="293">
        <f t="shared" ref="ED158:EL158" si="629">+ED55/ED30</f>
        <v>0.26853182982173157</v>
      </c>
      <c r="EE158" s="293">
        <f t="shared" si="629"/>
        <v>0.26853182982173152</v>
      </c>
      <c r="EF158" s="1248">
        <f t="shared" si="629"/>
        <v>0.26853182982173152</v>
      </c>
      <c r="EG158" s="293">
        <f t="shared" si="629"/>
        <v>0.27253182982173146</v>
      </c>
      <c r="EH158" s="293">
        <f t="shared" si="629"/>
        <v>0.27253182982173157</v>
      </c>
      <c r="EI158" s="1248">
        <f t="shared" si="629"/>
        <v>0.27253182982173152</v>
      </c>
      <c r="EJ158" s="293">
        <f t="shared" si="629"/>
        <v>0.27503182982173158</v>
      </c>
      <c r="EK158" s="293">
        <f t="shared" si="629"/>
        <v>0.27503182982173158</v>
      </c>
      <c r="EL158" s="1248">
        <f t="shared" si="629"/>
        <v>0.27503182982173158</v>
      </c>
      <c r="EM158" s="293">
        <f t="shared" ref="EM158:ER158" si="630">+EM55/EM30</f>
        <v>0.27603182982173158</v>
      </c>
      <c r="EN158" s="293">
        <f t="shared" si="630"/>
        <v>0.27603182982173141</v>
      </c>
      <c r="EO158" s="1248">
        <f t="shared" si="630"/>
        <v>0.27603182982173147</v>
      </c>
      <c r="EP158" s="293">
        <f t="shared" si="630"/>
        <v>0.27603182982173152</v>
      </c>
      <c r="EQ158" s="293">
        <f t="shared" si="630"/>
        <v>0.27603182982173147</v>
      </c>
      <c r="ER158" s="1248">
        <f t="shared" si="630"/>
        <v>0.27603182982173147</v>
      </c>
      <c r="ES158" s="293">
        <f t="shared" ref="ES158:EX158" si="631">+ES55/ES30</f>
        <v>0.27603182982173152</v>
      </c>
      <c r="ET158" s="293">
        <f t="shared" si="631"/>
        <v>0.27603182982173152</v>
      </c>
      <c r="EU158" s="1248">
        <f t="shared" si="631"/>
        <v>0.27603182982173152</v>
      </c>
      <c r="EV158" s="293">
        <f t="shared" si="631"/>
        <v>0.27603182982173152</v>
      </c>
      <c r="EW158" s="293">
        <f t="shared" si="631"/>
        <v>0.27603182982173152</v>
      </c>
      <c r="EX158" s="1248">
        <f t="shared" si="631"/>
        <v>0.27603182982173152</v>
      </c>
      <c r="EY158" s="293">
        <f t="shared" ref="EY158:FA158" si="632">+EY55/EY30</f>
        <v>0.27603182982173147</v>
      </c>
      <c r="EZ158" s="293">
        <f t="shared" si="632"/>
        <v>0.27603182982173147</v>
      </c>
      <c r="FA158" s="1248">
        <f t="shared" si="632"/>
        <v>0.27603182982173147</v>
      </c>
      <c r="FE158"/>
      <c r="FF158"/>
      <c r="FG158"/>
      <c r="FH158"/>
      <c r="FI158"/>
      <c r="FJ158"/>
      <c r="FK158" s="35"/>
    </row>
    <row r="159" spans="1:167" s="236" customFormat="1" ht="13.35" customHeight="1">
      <c r="B159" s="242" t="s">
        <v>613</v>
      </c>
      <c r="C159" s="242" t="s">
        <v>460</v>
      </c>
      <c r="D159" s="243"/>
      <c r="E159" s="293"/>
      <c r="F159" s="293"/>
      <c r="G159" s="293"/>
      <c r="H159" s="293"/>
      <c r="I159" s="293"/>
      <c r="J159" s="293"/>
      <c r="K159" s="293"/>
      <c r="L159" s="293"/>
      <c r="M159" s="293"/>
      <c r="N159" s="293"/>
      <c r="O159" s="293"/>
      <c r="P159" s="293"/>
      <c r="Q159" s="293"/>
      <c r="R159" s="293"/>
      <c r="S159" s="293"/>
      <c r="T159" s="293"/>
      <c r="U159" s="293"/>
      <c r="V159" s="293"/>
      <c r="W159" s="293"/>
      <c r="X159" s="293"/>
      <c r="Y159" s="293"/>
      <c r="Z159" s="293"/>
      <c r="AA159" s="293"/>
      <c r="AB159" s="293"/>
      <c r="AC159" s="293"/>
      <c r="AD159" s="293"/>
      <c r="AE159" s="293"/>
      <c r="AF159" s="293"/>
      <c r="AG159" s="293"/>
      <c r="AH159" s="293"/>
      <c r="AI159" s="293">
        <f t="shared" ref="AI159:AR159" si="633">+AI60/AI30</f>
        <v>0.15173717797211062</v>
      </c>
      <c r="AJ159" s="293">
        <f t="shared" si="633"/>
        <v>0.20709820528332318</v>
      </c>
      <c r="AK159" s="293">
        <f t="shared" si="633"/>
        <v>0.17976692288618892</v>
      </c>
      <c r="AL159" s="293">
        <f t="shared" si="633"/>
        <v>0.1714066943775979</v>
      </c>
      <c r="AM159" s="293">
        <f t="shared" si="633"/>
        <v>0.19688016355336485</v>
      </c>
      <c r="AN159" s="293">
        <f t="shared" si="633"/>
        <v>0.18399169837426493</v>
      </c>
      <c r="AO159" s="293">
        <f t="shared" si="633"/>
        <v>0.17243969117072733</v>
      </c>
      <c r="AP159" s="293">
        <f t="shared" si="633"/>
        <v>0.22119815668202766</v>
      </c>
      <c r="AQ159" s="293">
        <f t="shared" si="633"/>
        <v>0.19862889880828224</v>
      </c>
      <c r="AR159" s="293">
        <f t="shared" si="633"/>
        <v>0.17100328718922173</v>
      </c>
      <c r="AS159" s="293">
        <f t="shared" ref="AS159:BB159" si="634">+AS60/AS30</f>
        <v>0.20802061855670112</v>
      </c>
      <c r="AT159" s="293">
        <f t="shared" si="634"/>
        <v>0.1905821282906934</v>
      </c>
      <c r="AU159" s="293">
        <f t="shared" si="634"/>
        <v>0.14598003992015968</v>
      </c>
      <c r="AV159" s="293">
        <f t="shared" si="634"/>
        <v>0.21595204163826753</v>
      </c>
      <c r="AW159" s="293">
        <f t="shared" si="634"/>
        <v>0.18149723622239169</v>
      </c>
      <c r="AX159" s="293">
        <f t="shared" si="634"/>
        <v>0.23643247156776978</v>
      </c>
      <c r="AY159" s="293">
        <f t="shared" si="634"/>
        <v>0.2452350372463396</v>
      </c>
      <c r="AZ159" s="293">
        <f t="shared" si="634"/>
        <v>0.24118675342332718</v>
      </c>
      <c r="BA159" s="293">
        <f t="shared" si="634"/>
        <v>0.22433338500891406</v>
      </c>
      <c r="BB159" s="293">
        <f t="shared" si="634"/>
        <v>0.19126968512356396</v>
      </c>
      <c r="BC159" s="293">
        <f t="shared" ref="BC159:BO159" si="635">+BC60/BC30</f>
        <v>0.20677294637705521</v>
      </c>
      <c r="BD159" s="293">
        <f t="shared" si="635"/>
        <v>0.21609693134030061</v>
      </c>
      <c r="BE159" s="293">
        <f t="shared" si="635"/>
        <v>0.21334743894913158</v>
      </c>
      <c r="BF159" s="293">
        <f t="shared" si="635"/>
        <v>0.21463616457390874</v>
      </c>
      <c r="BG159" s="293">
        <f t="shared" si="635"/>
        <v>0.24776129582267686</v>
      </c>
      <c r="BH159" s="293">
        <f t="shared" si="635"/>
        <v>0.31438820533055928</v>
      </c>
      <c r="BI159" s="293">
        <f t="shared" si="635"/>
        <v>0.28023146043844621</v>
      </c>
      <c r="BJ159" s="293">
        <f t="shared" si="635"/>
        <v>0.29201070273642049</v>
      </c>
      <c r="BK159" s="293">
        <f t="shared" si="635"/>
        <v>9.9732330287257268E-2</v>
      </c>
      <c r="BL159" s="293">
        <f t="shared" si="635"/>
        <v>0.19344670194934818</v>
      </c>
      <c r="BM159" s="293">
        <f t="shared" si="635"/>
        <v>0.24497493521904437</v>
      </c>
      <c r="BN159" s="293">
        <f t="shared" si="635"/>
        <v>0.24784269345027587</v>
      </c>
      <c r="BO159" s="293">
        <f t="shared" si="635"/>
        <v>0.2464853309491469</v>
      </c>
      <c r="BP159" s="293">
        <f t="shared" ref="BP159:DK159" si="636">+BP60/BP30</f>
        <v>0.29302972033886304</v>
      </c>
      <c r="BQ159" s="293">
        <f t="shared" si="636"/>
        <v>0.20924206187798428</v>
      </c>
      <c r="BR159" s="293">
        <f t="shared" si="636"/>
        <v>0.24852297351081234</v>
      </c>
      <c r="BS159" s="293">
        <f t="shared" si="636"/>
        <v>0.28797976881541482</v>
      </c>
      <c r="BT159" s="293">
        <f t="shared" si="636"/>
        <v>0.29555512527426897</v>
      </c>
      <c r="BU159" s="293">
        <f t="shared" si="636"/>
        <v>0.29181983134220912</v>
      </c>
      <c r="BV159" s="293">
        <f t="shared" si="636"/>
        <v>0.29688199324163683</v>
      </c>
      <c r="BW159" s="293">
        <f t="shared" si="636"/>
        <v>0.28848693887418198</v>
      </c>
      <c r="BX159" s="293">
        <f>+BX60/BX30</f>
        <v>0.29263494738471668</v>
      </c>
      <c r="BY159" s="293">
        <f t="shared" si="636"/>
        <v>0.26368198221754391</v>
      </c>
      <c r="BZ159" s="293">
        <f t="shared" si="636"/>
        <v>0.29370918272611057</v>
      </c>
      <c r="CA159" s="293">
        <f t="shared" si="636"/>
        <v>0.27838218112670171</v>
      </c>
      <c r="CB159" s="293">
        <f t="shared" si="636"/>
        <v>0.31087145723618498</v>
      </c>
      <c r="CC159" s="293">
        <f t="shared" si="636"/>
        <v>0.33975263298570235</v>
      </c>
      <c r="CD159" s="293">
        <f t="shared" si="636"/>
        <v>0.32615547910702108</v>
      </c>
      <c r="CE159" s="293">
        <f t="shared" si="636"/>
        <v>0.30968682823584748</v>
      </c>
      <c r="CF159" s="293">
        <f t="shared" si="636"/>
        <v>0.30518744023104299</v>
      </c>
      <c r="CG159" s="293">
        <f t="shared" si="636"/>
        <v>0.30727485296840223</v>
      </c>
      <c r="CH159" s="293">
        <f t="shared" si="636"/>
        <v>0.28951715372411019</v>
      </c>
      <c r="CI159" s="293">
        <f t="shared" si="636"/>
        <v>0.28179225388408852</v>
      </c>
      <c r="CJ159" s="293">
        <f t="shared" si="636"/>
        <v>0.28563945238664085</v>
      </c>
      <c r="CK159" s="293">
        <f t="shared" si="636"/>
        <v>0.28614183250864711</v>
      </c>
      <c r="CL159" s="293">
        <f t="shared" si="636"/>
        <v>0.20370212879181596</v>
      </c>
      <c r="CM159" s="293">
        <f t="shared" si="636"/>
        <v>0.24674757350634188</v>
      </c>
      <c r="CN159" s="293">
        <f t="shared" si="636"/>
        <v>0.13900377992065879</v>
      </c>
      <c r="CO159" s="293">
        <f t="shared" si="636"/>
        <v>0.24012555477629971</v>
      </c>
      <c r="CP159" s="293">
        <f t="shared" si="636"/>
        <v>0.19360497020479148</v>
      </c>
      <c r="CQ159" s="293">
        <f t="shared" si="636"/>
        <v>0.22917099579409533</v>
      </c>
      <c r="CR159" s="293">
        <f t="shared" si="636"/>
        <v>0.21738061630429459</v>
      </c>
      <c r="CS159" s="293">
        <f t="shared" si="636"/>
        <v>0.22296423567109502</v>
      </c>
      <c r="CT159" s="293">
        <f t="shared" si="636"/>
        <v>0.23467066105723994</v>
      </c>
      <c r="CU159" s="293">
        <f t="shared" si="636"/>
        <v>0.23062188148591592</v>
      </c>
      <c r="CV159" s="293">
        <f t="shared" si="636"/>
        <v>0.23262349142311639</v>
      </c>
      <c r="CW159" s="293">
        <f t="shared" si="636"/>
        <v>0.25675969007087091</v>
      </c>
      <c r="CX159" s="293">
        <f t="shared" si="636"/>
        <v>0.24707994958469279</v>
      </c>
      <c r="CY159" s="293">
        <f t="shared" si="636"/>
        <v>0.25178236945971316</v>
      </c>
      <c r="CZ159" s="293">
        <f t="shared" si="636"/>
        <v>0.25090282796324787</v>
      </c>
      <c r="DA159" s="293">
        <f t="shared" si="636"/>
        <v>0.26699493760284737</v>
      </c>
      <c r="DB159" s="293">
        <f t="shared" si="636"/>
        <v>0.25934022193933326</v>
      </c>
      <c r="DC159" s="293">
        <f t="shared" si="636"/>
        <v>0.25241091451767023</v>
      </c>
      <c r="DD159" s="293">
        <f t="shared" si="636"/>
        <v>0.25238053025105323</v>
      </c>
      <c r="DE159" s="293">
        <f t="shared" si="636"/>
        <v>0.25239549739324213</v>
      </c>
      <c r="DF159" s="293">
        <f t="shared" si="636"/>
        <v>0.26114050745954936</v>
      </c>
      <c r="DG159" s="293">
        <f t="shared" si="636"/>
        <v>6.7652533005438206E-2</v>
      </c>
      <c r="DH159" s="1248">
        <f t="shared" si="636"/>
        <v>0.17758156683482204</v>
      </c>
      <c r="DI159" s="293">
        <f t="shared" si="636"/>
        <v>0.25269106566200217</v>
      </c>
      <c r="DJ159" s="293">
        <f t="shared" si="636"/>
        <v>0.23038176033934246</v>
      </c>
      <c r="DK159" s="1248">
        <f t="shared" si="636"/>
        <v>0.24145299145299146</v>
      </c>
      <c r="DL159" s="293">
        <f t="shared" ref="DL159:DQ159" si="637">+DL60/DL30</f>
        <v>0.28837699524795901</v>
      </c>
      <c r="DM159" s="293">
        <f t="shared" si="637"/>
        <v>0.23626027066215566</v>
      </c>
      <c r="DN159" s="1248">
        <f t="shared" si="637"/>
        <v>0.26220954923254264</v>
      </c>
      <c r="DO159" s="293">
        <f t="shared" si="637"/>
        <v>0.24618261950502879</v>
      </c>
      <c r="DP159" s="293">
        <f t="shared" si="637"/>
        <v>0.23501997716894979</v>
      </c>
      <c r="DQ159" s="1248">
        <f t="shared" si="637"/>
        <v>0.24012189453024121</v>
      </c>
      <c r="DR159" s="293">
        <f t="shared" ref="DR159:DW159" si="638">+DR60/DR30</f>
        <v>0.26255712335002268</v>
      </c>
      <c r="DS159" s="293">
        <f t="shared" si="638"/>
        <v>0.24604784099903265</v>
      </c>
      <c r="DT159" s="1248">
        <f t="shared" si="638"/>
        <v>0.25415995705850775</v>
      </c>
      <c r="DU159" s="293">
        <f t="shared" si="638"/>
        <v>0.26128902883376426</v>
      </c>
      <c r="DV159" s="293">
        <f t="shared" si="638"/>
        <v>0.2455563050178875</v>
      </c>
      <c r="DW159" s="1248">
        <f t="shared" si="638"/>
        <v>0.25342494985275915</v>
      </c>
      <c r="DX159" s="293">
        <f t="shared" ref="DX159:EC159" si="639">+DX60/DX30</f>
        <v>0.23672035640849903</v>
      </c>
      <c r="DY159" s="293">
        <f t="shared" si="639"/>
        <v>0.23504399451721039</v>
      </c>
      <c r="DZ159" s="1248">
        <f t="shared" si="639"/>
        <v>0.23582366978788721</v>
      </c>
      <c r="EA159" s="293">
        <f t="shared" si="639"/>
        <v>0.24142046751196383</v>
      </c>
      <c r="EB159" s="293">
        <f t="shared" si="639"/>
        <v>0.24133413029160911</v>
      </c>
      <c r="EC159" s="1248">
        <f t="shared" si="639"/>
        <v>0.24137664399082021</v>
      </c>
      <c r="ED159" s="293">
        <f t="shared" ref="ED159:EL159" si="640">+ED60/ED30</f>
        <v>0.24853182982173158</v>
      </c>
      <c r="EE159" s="293">
        <f t="shared" si="640"/>
        <v>0.24853182982173147</v>
      </c>
      <c r="EF159" s="1248">
        <f t="shared" si="640"/>
        <v>0.24853182982173153</v>
      </c>
      <c r="EG159" s="293">
        <f t="shared" si="640"/>
        <v>0.25253182982173145</v>
      </c>
      <c r="EH159" s="293">
        <f t="shared" si="640"/>
        <v>0.25253182982173156</v>
      </c>
      <c r="EI159" s="1248">
        <f t="shared" si="640"/>
        <v>0.2525318298217315</v>
      </c>
      <c r="EJ159" s="293">
        <f t="shared" si="640"/>
        <v>0.25503182982173156</v>
      </c>
      <c r="EK159" s="293">
        <f t="shared" si="640"/>
        <v>0.25503182982173156</v>
      </c>
      <c r="EL159" s="1248">
        <f t="shared" si="640"/>
        <v>0.25503182982173156</v>
      </c>
      <c r="EM159" s="293">
        <f t="shared" ref="EM159:ER159" si="641">+EM60/EM30</f>
        <v>0.25603182982173156</v>
      </c>
      <c r="EN159" s="293">
        <f t="shared" si="641"/>
        <v>0.2560318298217315</v>
      </c>
      <c r="EO159" s="1248">
        <f t="shared" si="641"/>
        <v>0.2560318298217315</v>
      </c>
      <c r="EP159" s="293">
        <f t="shared" si="641"/>
        <v>0.2560318298217315</v>
      </c>
      <c r="EQ159" s="293">
        <f t="shared" si="641"/>
        <v>0.2560318298217315</v>
      </c>
      <c r="ER159" s="1248">
        <f t="shared" si="641"/>
        <v>0.2560318298217315</v>
      </c>
      <c r="ES159" s="293">
        <f t="shared" ref="ES159:EX159" si="642">+ES60/ES30</f>
        <v>0.2560318298217315</v>
      </c>
      <c r="ET159" s="293">
        <f t="shared" si="642"/>
        <v>0.2560318298217315</v>
      </c>
      <c r="EU159" s="1248">
        <f t="shared" si="642"/>
        <v>0.2560318298217315</v>
      </c>
      <c r="EV159" s="293">
        <f t="shared" si="642"/>
        <v>0.2560318298217315</v>
      </c>
      <c r="EW159" s="293">
        <f t="shared" si="642"/>
        <v>0.25603182982173156</v>
      </c>
      <c r="EX159" s="1248">
        <f t="shared" si="642"/>
        <v>0.2560318298217315</v>
      </c>
      <c r="EY159" s="293">
        <f t="shared" ref="EY159:FA159" si="643">+EY60/EY30</f>
        <v>0.2560318298217315</v>
      </c>
      <c r="EZ159" s="293">
        <f t="shared" si="643"/>
        <v>0.25603182982173145</v>
      </c>
      <c r="FA159" s="1248">
        <f t="shared" si="643"/>
        <v>0.25603182982173145</v>
      </c>
      <c r="FE159"/>
      <c r="FF159"/>
      <c r="FG159"/>
      <c r="FH159"/>
      <c r="FI159"/>
      <c r="FJ159"/>
      <c r="FK159" s="35"/>
    </row>
    <row r="160" spans="1:167" s="236" customFormat="1" ht="13.35" customHeight="1">
      <c r="B160" s="242" t="s">
        <v>614</v>
      </c>
      <c r="C160" s="242" t="s">
        <v>460</v>
      </c>
      <c r="D160" s="243"/>
      <c r="E160" s="293"/>
      <c r="F160" s="293"/>
      <c r="G160" s="293"/>
      <c r="H160" s="293"/>
      <c r="I160" s="293"/>
      <c r="J160" s="293"/>
      <c r="K160" s="293"/>
      <c r="L160" s="293"/>
      <c r="M160" s="293"/>
      <c r="N160" s="293"/>
      <c r="O160" s="293"/>
      <c r="P160" s="293"/>
      <c r="Q160" s="293"/>
      <c r="R160" s="293"/>
      <c r="S160" s="293"/>
      <c r="T160" s="293"/>
      <c r="U160" s="293"/>
      <c r="V160" s="293"/>
      <c r="W160" s="293"/>
      <c r="X160" s="293"/>
      <c r="Y160" s="293"/>
      <c r="Z160" s="293"/>
      <c r="AA160" s="293"/>
      <c r="AB160" s="293"/>
      <c r="AC160" s="293"/>
      <c r="AD160" s="293"/>
      <c r="AE160" s="293"/>
      <c r="AF160" s="293"/>
      <c r="AG160" s="293"/>
      <c r="AH160" s="293"/>
      <c r="AI160" s="293">
        <f t="shared" ref="AI160:AR160" si="644">+AI68/AI30</f>
        <v>0.15173717797211062</v>
      </c>
      <c r="AJ160" s="293">
        <f t="shared" si="644"/>
        <v>0.20709820528332318</v>
      </c>
      <c r="AK160" s="293">
        <f t="shared" si="644"/>
        <v>0.17976692288618892</v>
      </c>
      <c r="AL160" s="293">
        <f t="shared" si="644"/>
        <v>0.1714066943775979</v>
      </c>
      <c r="AM160" s="293">
        <f t="shared" si="644"/>
        <v>0.19688016355336485</v>
      </c>
      <c r="AN160" s="293">
        <f t="shared" si="644"/>
        <v>0.18399169837426493</v>
      </c>
      <c r="AO160" s="293">
        <f t="shared" si="644"/>
        <v>0.17243969117072733</v>
      </c>
      <c r="AP160" s="293">
        <f t="shared" si="644"/>
        <v>0.22119815668202766</v>
      </c>
      <c r="AQ160" s="293">
        <f t="shared" si="644"/>
        <v>0.19862889880828224</v>
      </c>
      <c r="AR160" s="293">
        <f t="shared" si="644"/>
        <v>0.17100328718922173</v>
      </c>
      <c r="AS160" s="293">
        <f t="shared" ref="AS160:BB160" si="645">+AS68/AS30</f>
        <v>0.20802061855670112</v>
      </c>
      <c r="AT160" s="293">
        <f t="shared" si="645"/>
        <v>0.1905821282906934</v>
      </c>
      <c r="AU160" s="293">
        <f t="shared" si="645"/>
        <v>0.14598003992015968</v>
      </c>
      <c r="AV160" s="293">
        <f t="shared" si="645"/>
        <v>0.21595204163826753</v>
      </c>
      <c r="AW160" s="293">
        <f t="shared" si="645"/>
        <v>0.18149723622239169</v>
      </c>
      <c r="AX160" s="293">
        <f t="shared" si="645"/>
        <v>0.23643247156776978</v>
      </c>
      <c r="AY160" s="293">
        <f t="shared" si="645"/>
        <v>0.2452350372463396</v>
      </c>
      <c r="AZ160" s="293">
        <f t="shared" si="645"/>
        <v>0.24118675342332718</v>
      </c>
      <c r="BA160" s="293">
        <f t="shared" si="645"/>
        <v>0.22433338500891406</v>
      </c>
      <c r="BB160" s="293">
        <f t="shared" si="645"/>
        <v>0.19126968512356396</v>
      </c>
      <c r="BC160" s="293">
        <f t="shared" ref="BC160:BO160" si="646">+BC68/BC30</f>
        <v>0.20677294637705521</v>
      </c>
      <c r="BD160" s="293">
        <f t="shared" si="646"/>
        <v>0.21609693134030061</v>
      </c>
      <c r="BE160" s="293">
        <f t="shared" si="646"/>
        <v>0.21334743894913158</v>
      </c>
      <c r="BF160" s="293">
        <f t="shared" si="646"/>
        <v>0.21463616457390874</v>
      </c>
      <c r="BG160" s="293">
        <f t="shared" si="646"/>
        <v>0.24776129582267686</v>
      </c>
      <c r="BH160" s="293">
        <f t="shared" si="646"/>
        <v>0.31438820533055928</v>
      </c>
      <c r="BI160" s="293">
        <f t="shared" si="646"/>
        <v>0.28023146043844621</v>
      </c>
      <c r="BJ160" s="293">
        <f t="shared" si="646"/>
        <v>0.29201070273642049</v>
      </c>
      <c r="BK160" s="293">
        <f t="shared" si="646"/>
        <v>7.7124774665803128E-2</v>
      </c>
      <c r="BL160" s="293">
        <f t="shared" si="646"/>
        <v>0.1818578211944108</v>
      </c>
      <c r="BM160" s="293">
        <f t="shared" si="646"/>
        <v>0.24497493521904437</v>
      </c>
      <c r="BN160" s="293">
        <f t="shared" si="646"/>
        <v>0.22890845185370579</v>
      </c>
      <c r="BO160" s="293">
        <f t="shared" si="646"/>
        <v>0.23651301272903377</v>
      </c>
      <c r="BP160" s="293">
        <f t="shared" ref="BP160:DK160" si="647">+BP68/BP30</f>
        <v>0.29302972033886304</v>
      </c>
      <c r="BQ160" s="293">
        <f t="shared" si="647"/>
        <v>0.1930078716274394</v>
      </c>
      <c r="BR160" s="293">
        <f t="shared" si="647"/>
        <v>0.2398996152655552</v>
      </c>
      <c r="BS160" s="293">
        <f t="shared" si="647"/>
        <v>0.28797976881541482</v>
      </c>
      <c r="BT160" s="293">
        <f t="shared" si="647"/>
        <v>0.28607674551301282</v>
      </c>
      <c r="BU160" s="293">
        <f t="shared" si="647"/>
        <v>0.28701509758035643</v>
      </c>
      <c r="BV160" s="293">
        <f t="shared" si="647"/>
        <v>0.29688199324163683</v>
      </c>
      <c r="BW160" s="293">
        <f t="shared" si="647"/>
        <v>0.2828624175018204</v>
      </c>
      <c r="BX160" s="293">
        <f t="shared" si="647"/>
        <v>0.28978951016107551</v>
      </c>
      <c r="BY160" s="293">
        <f t="shared" si="647"/>
        <v>0.26341102261379529</v>
      </c>
      <c r="BZ160" s="293">
        <f t="shared" si="647"/>
        <v>0.26165623279307476</v>
      </c>
      <c r="CA160" s="293">
        <f t="shared" si="647"/>
        <v>0.26255194288037165</v>
      </c>
      <c r="CB160" s="293">
        <f t="shared" si="647"/>
        <v>0.31087145723618498</v>
      </c>
      <c r="CC160" s="293">
        <f t="shared" si="647"/>
        <v>0.31162404099160573</v>
      </c>
      <c r="CD160" s="293">
        <f t="shared" si="647"/>
        <v>0.31126972726082824</v>
      </c>
      <c r="CE160" s="293">
        <f t="shared" si="647"/>
        <v>0.30968682823584748</v>
      </c>
      <c r="CF160" s="293">
        <f t="shared" si="647"/>
        <v>0.30518744023104299</v>
      </c>
      <c r="CG160" s="293">
        <f t="shared" si="647"/>
        <v>0.30727485296840223</v>
      </c>
      <c r="CH160" s="293">
        <f t="shared" si="647"/>
        <v>0.28951715372411019</v>
      </c>
      <c r="CI160" s="293">
        <f t="shared" si="647"/>
        <v>0.28179225388408852</v>
      </c>
      <c r="CJ160" s="293">
        <f t="shared" si="647"/>
        <v>0.28563945238664085</v>
      </c>
      <c r="CK160" s="293">
        <f t="shared" si="647"/>
        <v>0.28614183250864711</v>
      </c>
      <c r="CL160" s="293">
        <f t="shared" si="647"/>
        <v>0.20370212879181596</v>
      </c>
      <c r="CM160" s="293">
        <f t="shared" si="647"/>
        <v>0.24674757350634188</v>
      </c>
      <c r="CN160" s="293">
        <f t="shared" si="647"/>
        <v>0.13900377992065879</v>
      </c>
      <c r="CO160" s="293">
        <f t="shared" si="647"/>
        <v>0.24012555477629971</v>
      </c>
      <c r="CP160" s="293">
        <f t="shared" si="647"/>
        <v>0.19360497020479148</v>
      </c>
      <c r="CQ160" s="293">
        <f t="shared" si="647"/>
        <v>0.22917099579409533</v>
      </c>
      <c r="CR160" s="293">
        <f t="shared" si="647"/>
        <v>0.21738061630429459</v>
      </c>
      <c r="CS160" s="293">
        <f t="shared" si="647"/>
        <v>0.22296423567109502</v>
      </c>
      <c r="CT160" s="293">
        <f t="shared" si="647"/>
        <v>0.23467066105723994</v>
      </c>
      <c r="CU160" s="293">
        <f t="shared" si="647"/>
        <v>0.23062188148591592</v>
      </c>
      <c r="CV160" s="293">
        <f t="shared" si="647"/>
        <v>0.23262349142311639</v>
      </c>
      <c r="CW160" s="293">
        <f t="shared" si="647"/>
        <v>0.25675969007087091</v>
      </c>
      <c r="CX160" s="293">
        <f t="shared" si="647"/>
        <v>0.24707994958469279</v>
      </c>
      <c r="CY160" s="293">
        <f t="shared" si="647"/>
        <v>0.25178236945971316</v>
      </c>
      <c r="CZ160" s="293">
        <f t="shared" si="647"/>
        <v>0.25090282796324787</v>
      </c>
      <c r="DA160" s="293">
        <f t="shared" si="647"/>
        <v>0.26699493760284737</v>
      </c>
      <c r="DB160" s="293">
        <f t="shared" si="647"/>
        <v>0.25934022193933326</v>
      </c>
      <c r="DC160" s="293">
        <f t="shared" si="647"/>
        <v>0.25241091451767023</v>
      </c>
      <c r="DD160" s="293">
        <f t="shared" si="647"/>
        <v>0.25238053025105323</v>
      </c>
      <c r="DE160" s="293">
        <f t="shared" si="647"/>
        <v>0.25239549739324213</v>
      </c>
      <c r="DF160" s="293">
        <f t="shared" si="647"/>
        <v>0.24400592655473893</v>
      </c>
      <c r="DG160" s="293">
        <f t="shared" si="647"/>
        <v>4.0567151319664971E-2</v>
      </c>
      <c r="DH160" s="1248">
        <f t="shared" si="647"/>
        <v>0.15614967301446317</v>
      </c>
      <c r="DI160" s="293">
        <f t="shared" si="647"/>
        <v>0.23681377825618946</v>
      </c>
      <c r="DJ160" s="293">
        <f t="shared" si="647"/>
        <v>0.20957051961823961</v>
      </c>
      <c r="DK160" s="1248">
        <f t="shared" si="647"/>
        <v>0.22309027777777776</v>
      </c>
      <c r="DL160" s="293">
        <f t="shared" ref="DL160:DQ160" si="648">+DL68/DL30</f>
        <v>0.27171926404289021</v>
      </c>
      <c r="DM160" s="293">
        <f t="shared" si="648"/>
        <v>0.21906718221362981</v>
      </c>
      <c r="DN160" s="1248">
        <f t="shared" si="648"/>
        <v>0.24528301886792453</v>
      </c>
      <c r="DO160" s="293">
        <f t="shared" si="648"/>
        <v>0.22940445248050625</v>
      </c>
      <c r="DP160" s="293">
        <f t="shared" si="648"/>
        <v>0.22031963470319635</v>
      </c>
      <c r="DQ160" s="1248">
        <f t="shared" si="648"/>
        <v>0.22447187645266256</v>
      </c>
      <c r="DR160" s="293">
        <f t="shared" ref="DR160:DW160" si="649">+DR68/DR30</f>
        <v>0.24779244424214833</v>
      </c>
      <c r="DS160" s="293">
        <f t="shared" si="649"/>
        <v>0.2312021809867206</v>
      </c>
      <c r="DT160" s="1248">
        <f t="shared" si="649"/>
        <v>0.23935408838790478</v>
      </c>
      <c r="DU160" s="293">
        <f t="shared" si="649"/>
        <v>0.24464753517821636</v>
      </c>
      <c r="DV160" s="293">
        <f t="shared" si="649"/>
        <v>0.2282255103696178</v>
      </c>
      <c r="DW160" s="1248">
        <f t="shared" si="649"/>
        <v>0.23643890572318724</v>
      </c>
      <c r="DX160" s="293">
        <f t="shared" ref="DX160:EC160" si="650">+DX68/DX30</f>
        <v>0.2183002056202879</v>
      </c>
      <c r="DY160" s="293">
        <f t="shared" si="650"/>
        <v>0.22004399451721038</v>
      </c>
      <c r="DZ160" s="1248">
        <f t="shared" si="650"/>
        <v>0.21923295897215503</v>
      </c>
      <c r="EA160" s="293">
        <f t="shared" si="650"/>
        <v>0.22642046751196382</v>
      </c>
      <c r="EB160" s="293">
        <f t="shared" si="650"/>
        <v>0.22633413029160915</v>
      </c>
      <c r="EC160" s="1248">
        <f t="shared" si="650"/>
        <v>0.22637664399082022</v>
      </c>
      <c r="ED160" s="293">
        <f t="shared" ref="ED160:EL160" si="651">+ED68/ED30</f>
        <v>0.23353182982173157</v>
      </c>
      <c r="EE160" s="293">
        <f t="shared" si="651"/>
        <v>0.23353182982173146</v>
      </c>
      <c r="EF160" s="1248">
        <f t="shared" si="651"/>
        <v>0.23353182982173151</v>
      </c>
      <c r="EG160" s="293">
        <f t="shared" si="651"/>
        <v>0.23753182982173146</v>
      </c>
      <c r="EH160" s="293">
        <f t="shared" si="651"/>
        <v>0.23753182982173152</v>
      </c>
      <c r="EI160" s="1248">
        <f t="shared" si="651"/>
        <v>0.23753182982173149</v>
      </c>
      <c r="EJ160" s="293">
        <f t="shared" si="651"/>
        <v>0.24003182982173157</v>
      </c>
      <c r="EK160" s="293">
        <f t="shared" si="651"/>
        <v>0.24003182982173157</v>
      </c>
      <c r="EL160" s="1248">
        <f t="shared" si="651"/>
        <v>0.24003182982173157</v>
      </c>
      <c r="EM160" s="293">
        <f t="shared" ref="EM160:ER160" si="652">+EM68/EM30</f>
        <v>0.24103182982173155</v>
      </c>
      <c r="EN160" s="293">
        <f t="shared" si="652"/>
        <v>0.24103182982173144</v>
      </c>
      <c r="EO160" s="1248">
        <f t="shared" si="652"/>
        <v>0.24103182982173149</v>
      </c>
      <c r="EP160" s="293">
        <f t="shared" si="652"/>
        <v>0.24103182982173152</v>
      </c>
      <c r="EQ160" s="293">
        <f t="shared" si="652"/>
        <v>0.24103182982173152</v>
      </c>
      <c r="ER160" s="1248">
        <f t="shared" si="652"/>
        <v>0.24103182982173152</v>
      </c>
      <c r="ES160" s="293">
        <f t="shared" ref="ES160:EX160" si="653">+ES68/ES30</f>
        <v>0.24103182982173155</v>
      </c>
      <c r="ET160" s="293">
        <f t="shared" si="653"/>
        <v>0.24103182982173152</v>
      </c>
      <c r="EU160" s="1248">
        <f t="shared" si="653"/>
        <v>0.24103182982173152</v>
      </c>
      <c r="EV160" s="293">
        <f t="shared" si="653"/>
        <v>0.24103182982173149</v>
      </c>
      <c r="EW160" s="293">
        <f t="shared" si="653"/>
        <v>0.24103182982173157</v>
      </c>
      <c r="EX160" s="1248">
        <f t="shared" si="653"/>
        <v>0.24103182982173152</v>
      </c>
      <c r="EY160" s="293">
        <f t="shared" ref="EY160:FA160" si="654">+EY68/EY30</f>
        <v>0.24103182982173149</v>
      </c>
      <c r="EZ160" s="293">
        <f t="shared" si="654"/>
        <v>0.24103182982173144</v>
      </c>
      <c r="FA160" s="1248">
        <f t="shared" si="654"/>
        <v>0.24103182982173146</v>
      </c>
      <c r="FE160"/>
      <c r="FF160"/>
      <c r="FG160"/>
      <c r="FH160"/>
      <c r="FI160"/>
      <c r="FJ160"/>
      <c r="FK160" s="35"/>
    </row>
    <row r="161" spans="2:167" s="236" customFormat="1" ht="13.35" customHeight="1">
      <c r="B161" s="242" t="s">
        <v>180</v>
      </c>
      <c r="C161" s="242" t="s">
        <v>460</v>
      </c>
      <c r="D161" s="243"/>
      <c r="E161" s="293"/>
      <c r="F161" s="293"/>
      <c r="G161" s="293"/>
      <c r="H161" s="293"/>
      <c r="I161" s="293"/>
      <c r="J161" s="293"/>
      <c r="K161" s="293"/>
      <c r="L161" s="293"/>
      <c r="M161" s="293"/>
      <c r="N161" s="293"/>
      <c r="O161" s="293"/>
      <c r="P161" s="293"/>
      <c r="Q161" s="293"/>
      <c r="R161" s="293"/>
      <c r="S161" s="293"/>
      <c r="T161" s="293"/>
      <c r="U161" s="293"/>
      <c r="V161" s="293"/>
      <c r="W161" s="293"/>
      <c r="X161" s="293"/>
      <c r="Y161" s="293"/>
      <c r="Z161" s="293"/>
      <c r="AA161" s="293"/>
      <c r="AB161" s="293"/>
      <c r="AC161" s="293"/>
      <c r="AD161" s="293"/>
      <c r="AE161" s="293"/>
      <c r="AF161" s="293"/>
      <c r="AG161" s="293"/>
      <c r="AH161" s="293"/>
      <c r="AI161" s="293">
        <f t="shared" ref="AI161:AR161" si="655">+AI72/AI30</f>
        <v>0.15173717797211062</v>
      </c>
      <c r="AJ161" s="293">
        <f t="shared" si="655"/>
        <v>0.20709820528332318</v>
      </c>
      <c r="AK161" s="293">
        <f t="shared" si="655"/>
        <v>0.17976692288618892</v>
      </c>
      <c r="AL161" s="293">
        <f t="shared" si="655"/>
        <v>0.1714066943775979</v>
      </c>
      <c r="AM161" s="293">
        <f t="shared" si="655"/>
        <v>0.19688016355336485</v>
      </c>
      <c r="AN161" s="293">
        <f t="shared" si="655"/>
        <v>0.18399169837426493</v>
      </c>
      <c r="AO161" s="293">
        <f t="shared" si="655"/>
        <v>0.17243969117072733</v>
      </c>
      <c r="AP161" s="293">
        <f t="shared" si="655"/>
        <v>0.22119815668202766</v>
      </c>
      <c r="AQ161" s="293">
        <f t="shared" si="655"/>
        <v>0.19862889880828224</v>
      </c>
      <c r="AR161" s="293">
        <f t="shared" si="655"/>
        <v>0.17100328718922173</v>
      </c>
      <c r="AS161" s="293">
        <f t="shared" ref="AS161:BB161" si="656">+AS72/AS30</f>
        <v>0.20802061855670112</v>
      </c>
      <c r="AT161" s="293">
        <f t="shared" si="656"/>
        <v>0.1905821282906934</v>
      </c>
      <c r="AU161" s="293">
        <f t="shared" si="656"/>
        <v>0.14598003992015968</v>
      </c>
      <c r="AV161" s="293">
        <f t="shared" si="656"/>
        <v>0.21595204163826753</v>
      </c>
      <c r="AW161" s="293">
        <f t="shared" si="656"/>
        <v>0.18149723622239169</v>
      </c>
      <c r="AX161" s="293">
        <f t="shared" si="656"/>
        <v>0.23643247156776978</v>
      </c>
      <c r="AY161" s="293">
        <f t="shared" si="656"/>
        <v>0.2452350372463396</v>
      </c>
      <c r="AZ161" s="293">
        <f t="shared" si="656"/>
        <v>0.24118675342332718</v>
      </c>
      <c r="BA161" s="293">
        <f t="shared" si="656"/>
        <v>0.22433338500891406</v>
      </c>
      <c r="BB161" s="293">
        <f t="shared" si="656"/>
        <v>0.19126968512356396</v>
      </c>
      <c r="BC161" s="293">
        <f t="shared" ref="BC161:BO161" si="657">+BC72/BC30</f>
        <v>0.20677294637705521</v>
      </c>
      <c r="BD161" s="293">
        <f t="shared" si="657"/>
        <v>0.21609693134030061</v>
      </c>
      <c r="BE161" s="293">
        <f t="shared" si="657"/>
        <v>0.21334743894913158</v>
      </c>
      <c r="BF161" s="293">
        <f t="shared" si="657"/>
        <v>0.21463616457390874</v>
      </c>
      <c r="BG161" s="293">
        <f t="shared" si="657"/>
        <v>0.24776129582267686</v>
      </c>
      <c r="BH161" s="293">
        <f t="shared" si="657"/>
        <v>0.31438820533055928</v>
      </c>
      <c r="BI161" s="293">
        <f t="shared" si="657"/>
        <v>0.28023146043844621</v>
      </c>
      <c r="BJ161" s="293">
        <f t="shared" si="657"/>
        <v>0.29201070273642049</v>
      </c>
      <c r="BK161" s="293">
        <f t="shared" si="657"/>
        <v>7.7124774665803128E-2</v>
      </c>
      <c r="BL161" s="293">
        <f t="shared" si="657"/>
        <v>0.1818578211944108</v>
      </c>
      <c r="BM161" s="293">
        <f t="shared" si="657"/>
        <v>0.24497493521904437</v>
      </c>
      <c r="BN161" s="293">
        <f t="shared" si="657"/>
        <v>0.22890845185370579</v>
      </c>
      <c r="BO161" s="293">
        <f t="shared" si="657"/>
        <v>0.23651301272903377</v>
      </c>
      <c r="BP161" s="293">
        <f t="shared" ref="BP161:DK161" si="658">+BP72/BP30</f>
        <v>0.29302972033886304</v>
      </c>
      <c r="BQ161" s="293">
        <f t="shared" si="658"/>
        <v>0.1930078716274394</v>
      </c>
      <c r="BR161" s="293">
        <f t="shared" si="658"/>
        <v>0.2398996152655552</v>
      </c>
      <c r="BS161" s="293">
        <f t="shared" si="658"/>
        <v>0.28797976881541482</v>
      </c>
      <c r="BT161" s="293">
        <f t="shared" si="658"/>
        <v>0.28607674551301282</v>
      </c>
      <c r="BU161" s="293">
        <f t="shared" si="658"/>
        <v>0.28701509758035643</v>
      </c>
      <c r="BV161" s="293">
        <f t="shared" si="658"/>
        <v>0.29688199324163683</v>
      </c>
      <c r="BW161" s="293">
        <f t="shared" si="658"/>
        <v>0.2828624175018204</v>
      </c>
      <c r="BX161" s="293">
        <f t="shared" si="658"/>
        <v>0.28978951016107551</v>
      </c>
      <c r="BY161" s="293">
        <f t="shared" si="658"/>
        <v>0.26341102261379529</v>
      </c>
      <c r="BZ161" s="293">
        <f t="shared" si="658"/>
        <v>0.26165623279307476</v>
      </c>
      <c r="CA161" s="293">
        <f t="shared" si="658"/>
        <v>0.26255194288037165</v>
      </c>
      <c r="CB161" s="293">
        <f t="shared" si="658"/>
        <v>0.31087145723618498</v>
      </c>
      <c r="CC161" s="293">
        <f t="shared" si="658"/>
        <v>0.31162404099160573</v>
      </c>
      <c r="CD161" s="293">
        <f t="shared" si="658"/>
        <v>0.31126972726082824</v>
      </c>
      <c r="CE161" s="293">
        <f t="shared" si="658"/>
        <v>0.30968682823584748</v>
      </c>
      <c r="CF161" s="293">
        <f t="shared" si="658"/>
        <v>0.30518744023104299</v>
      </c>
      <c r="CG161" s="293">
        <f t="shared" si="658"/>
        <v>0.30727485296840223</v>
      </c>
      <c r="CH161" s="293">
        <f t="shared" si="658"/>
        <v>0.28951715372411019</v>
      </c>
      <c r="CI161" s="293">
        <f t="shared" si="658"/>
        <v>0.28179225388408852</v>
      </c>
      <c r="CJ161" s="293">
        <f t="shared" si="658"/>
        <v>0.28563945238664085</v>
      </c>
      <c r="CK161" s="293">
        <f t="shared" si="658"/>
        <v>0.28614183250864711</v>
      </c>
      <c r="CL161" s="293">
        <f t="shared" si="658"/>
        <v>0.20370212879181596</v>
      </c>
      <c r="CM161" s="293">
        <f t="shared" si="658"/>
        <v>0.24674757350634188</v>
      </c>
      <c r="CN161" s="293">
        <f t="shared" si="658"/>
        <v>0.13900377992065879</v>
      </c>
      <c r="CO161" s="293">
        <f t="shared" si="658"/>
        <v>0.24012555477629971</v>
      </c>
      <c r="CP161" s="293">
        <f t="shared" si="658"/>
        <v>0.19360497020479148</v>
      </c>
      <c r="CQ161" s="293">
        <f t="shared" si="658"/>
        <v>0.22917099579409533</v>
      </c>
      <c r="CR161" s="293">
        <f t="shared" si="658"/>
        <v>0.21738061630429459</v>
      </c>
      <c r="CS161" s="293">
        <f t="shared" si="658"/>
        <v>0.22296423567109502</v>
      </c>
      <c r="CT161" s="293">
        <f t="shared" si="658"/>
        <v>0.23467066105723994</v>
      </c>
      <c r="CU161" s="293">
        <f t="shared" si="658"/>
        <v>0.23062188148591592</v>
      </c>
      <c r="CV161" s="293">
        <f t="shared" si="658"/>
        <v>0.23262349142311639</v>
      </c>
      <c r="CW161" s="293">
        <f t="shared" si="658"/>
        <v>0.25675969007087091</v>
      </c>
      <c r="CX161" s="293">
        <f t="shared" si="658"/>
        <v>0.24707994958469279</v>
      </c>
      <c r="CY161" s="293">
        <f t="shared" si="658"/>
        <v>0.25178236945971316</v>
      </c>
      <c r="CZ161" s="293">
        <f t="shared" si="658"/>
        <v>0.25090282796324787</v>
      </c>
      <c r="DA161" s="293">
        <f t="shared" si="658"/>
        <v>0.26699493760284737</v>
      </c>
      <c r="DB161" s="293">
        <f t="shared" si="658"/>
        <v>0.25934022193933326</v>
      </c>
      <c r="DC161" s="293">
        <f t="shared" si="658"/>
        <v>0.25241091451767023</v>
      </c>
      <c r="DD161" s="293">
        <f t="shared" si="658"/>
        <v>0.25238053025105323</v>
      </c>
      <c r="DE161" s="293">
        <f t="shared" si="658"/>
        <v>0.25239549739324213</v>
      </c>
      <c r="DF161" s="293">
        <f t="shared" si="658"/>
        <v>0.24400592655473893</v>
      </c>
      <c r="DG161" s="293">
        <f t="shared" si="658"/>
        <v>4.0567151319664971E-2</v>
      </c>
      <c r="DH161" s="1248">
        <f t="shared" si="658"/>
        <v>0.15614967301446317</v>
      </c>
      <c r="DI161" s="293">
        <f t="shared" si="658"/>
        <v>0.23681377825618946</v>
      </c>
      <c r="DJ161" s="293">
        <f t="shared" si="658"/>
        <v>0.20957051961823961</v>
      </c>
      <c r="DK161" s="1248">
        <f t="shared" si="658"/>
        <v>0.22309027777777776</v>
      </c>
      <c r="DL161" s="293">
        <f t="shared" ref="DL161:DQ161" si="659">+DL72/DL30</f>
        <v>0.27171926404289021</v>
      </c>
      <c r="DM161" s="293">
        <f t="shared" si="659"/>
        <v>0.21906718221362981</v>
      </c>
      <c r="DN161" s="1248">
        <f t="shared" si="659"/>
        <v>0.24528301886792453</v>
      </c>
      <c r="DO161" s="293">
        <f t="shared" si="659"/>
        <v>0.22940445248050625</v>
      </c>
      <c r="DP161" s="293">
        <f t="shared" si="659"/>
        <v>0.22031963470319635</v>
      </c>
      <c r="DQ161" s="1248">
        <f t="shared" si="659"/>
        <v>0.22447187645266256</v>
      </c>
      <c r="DR161" s="293">
        <f t="shared" ref="DR161:DW161" si="660">+DR72/DR30</f>
        <v>0.24779244424214833</v>
      </c>
      <c r="DS161" s="293">
        <f t="shared" si="660"/>
        <v>0.2312021809867206</v>
      </c>
      <c r="DT161" s="1248">
        <f t="shared" si="660"/>
        <v>0.23935408838790478</v>
      </c>
      <c r="DU161" s="293">
        <f t="shared" si="660"/>
        <v>0.24464753517821636</v>
      </c>
      <c r="DV161" s="293">
        <f t="shared" si="660"/>
        <v>0.2282255103696178</v>
      </c>
      <c r="DW161" s="1248">
        <f t="shared" si="660"/>
        <v>0.23643890572318724</v>
      </c>
      <c r="DX161" s="293">
        <f t="shared" ref="DX161:EC161" si="661">+DX72/DX30</f>
        <v>0.2183002056202879</v>
      </c>
      <c r="DY161" s="293">
        <f t="shared" si="661"/>
        <v>0.22004399451721038</v>
      </c>
      <c r="DZ161" s="1248">
        <f t="shared" si="661"/>
        <v>0.21923295897215503</v>
      </c>
      <c r="EA161" s="293">
        <f t="shared" si="661"/>
        <v>0.22642046751196382</v>
      </c>
      <c r="EB161" s="293">
        <f t="shared" si="661"/>
        <v>0.22633413029160915</v>
      </c>
      <c r="EC161" s="1248">
        <f t="shared" si="661"/>
        <v>0.22637664399082022</v>
      </c>
      <c r="ED161" s="293">
        <f t="shared" ref="ED161:EL161" si="662">+ED72/ED30</f>
        <v>0.23353182982173157</v>
      </c>
      <c r="EE161" s="293">
        <f t="shared" si="662"/>
        <v>0.23353182982173146</v>
      </c>
      <c r="EF161" s="1248">
        <f t="shared" si="662"/>
        <v>0.23353182982173151</v>
      </c>
      <c r="EG161" s="293">
        <f t="shared" si="662"/>
        <v>0.23753182982173146</v>
      </c>
      <c r="EH161" s="293">
        <f t="shared" si="662"/>
        <v>0.23753182982173152</v>
      </c>
      <c r="EI161" s="1248">
        <f t="shared" si="662"/>
        <v>0.23753182982173149</v>
      </c>
      <c r="EJ161" s="293">
        <f t="shared" si="662"/>
        <v>0.24003182982173157</v>
      </c>
      <c r="EK161" s="293">
        <f t="shared" si="662"/>
        <v>0.24003182982173157</v>
      </c>
      <c r="EL161" s="1248">
        <f t="shared" si="662"/>
        <v>0.24003182982173157</v>
      </c>
      <c r="EM161" s="293">
        <f t="shared" ref="EM161:ER161" si="663">+EM72/EM30</f>
        <v>0.24103182982173155</v>
      </c>
      <c r="EN161" s="293">
        <f t="shared" si="663"/>
        <v>0.24103182982173144</v>
      </c>
      <c r="EO161" s="1248">
        <f t="shared" si="663"/>
        <v>0.24103182982173149</v>
      </c>
      <c r="EP161" s="293">
        <f t="shared" si="663"/>
        <v>0.24103182982173152</v>
      </c>
      <c r="EQ161" s="293">
        <f t="shared" si="663"/>
        <v>0.24103182982173152</v>
      </c>
      <c r="ER161" s="1248">
        <f t="shared" si="663"/>
        <v>0.24103182982173152</v>
      </c>
      <c r="ES161" s="293">
        <f t="shared" ref="ES161:EX161" si="664">+ES72/ES30</f>
        <v>0.24103182982173155</v>
      </c>
      <c r="ET161" s="293">
        <f t="shared" si="664"/>
        <v>0.24103182982173152</v>
      </c>
      <c r="EU161" s="1248">
        <f t="shared" si="664"/>
        <v>0.24103182982173152</v>
      </c>
      <c r="EV161" s="293">
        <f t="shared" si="664"/>
        <v>0.24103182982173149</v>
      </c>
      <c r="EW161" s="293">
        <f t="shared" si="664"/>
        <v>0.24103182982173157</v>
      </c>
      <c r="EX161" s="1248">
        <f t="shared" si="664"/>
        <v>0.24103182982173152</v>
      </c>
      <c r="EY161" s="293">
        <f t="shared" ref="EY161:FA161" si="665">+EY72/EY30</f>
        <v>0.24103182982173149</v>
      </c>
      <c r="EZ161" s="293">
        <f t="shared" si="665"/>
        <v>0.24103182982173144</v>
      </c>
      <c r="FA161" s="1248">
        <f t="shared" si="665"/>
        <v>0.24103182982173146</v>
      </c>
      <c r="FE161"/>
      <c r="FF161"/>
      <c r="FG161"/>
      <c r="FH161"/>
      <c r="FI161"/>
      <c r="FJ161"/>
      <c r="FK161" s="35"/>
    </row>
    <row r="162" spans="2:167" s="236" customFormat="1" ht="13.35" customHeight="1">
      <c r="B162" s="242" t="s">
        <v>763</v>
      </c>
      <c r="C162" s="242" t="s">
        <v>460</v>
      </c>
      <c r="D162" s="243"/>
      <c r="E162" s="293"/>
      <c r="F162" s="293"/>
      <c r="G162" s="293"/>
      <c r="H162" s="293"/>
      <c r="I162" s="293"/>
      <c r="J162" s="293"/>
      <c r="K162" s="293"/>
      <c r="L162" s="293"/>
      <c r="M162" s="293"/>
      <c r="N162" s="293"/>
      <c r="O162" s="293"/>
      <c r="P162" s="293"/>
      <c r="Q162" s="293"/>
      <c r="R162" s="293"/>
      <c r="S162" s="293"/>
      <c r="T162" s="293"/>
      <c r="U162" s="293"/>
      <c r="V162" s="293"/>
      <c r="W162" s="293"/>
      <c r="X162" s="293"/>
      <c r="Y162" s="293"/>
      <c r="Z162" s="293"/>
      <c r="AA162" s="293"/>
      <c r="AB162" s="293"/>
      <c r="AC162" s="293"/>
      <c r="AD162" s="293"/>
      <c r="AE162" s="293"/>
      <c r="AF162" s="293"/>
      <c r="AG162" s="293"/>
      <c r="AH162" s="293"/>
      <c r="AI162" s="293">
        <f t="shared" ref="AI162:AR162" si="666">+AI90/AI30</f>
        <v>0.13575395887497047</v>
      </c>
      <c r="AJ162" s="293">
        <f t="shared" si="666"/>
        <v>0.16653703223576177</v>
      </c>
      <c r="AK162" s="293">
        <f t="shared" si="666"/>
        <v>0.15133968291010921</v>
      </c>
      <c r="AL162" s="293">
        <f t="shared" si="666"/>
        <v>0.14020455042660249</v>
      </c>
      <c r="AM162" s="293">
        <f t="shared" si="666"/>
        <v>0.16064077071722627</v>
      </c>
      <c r="AN162" s="293">
        <f t="shared" si="666"/>
        <v>0.15030093393289518</v>
      </c>
      <c r="AO162" s="293">
        <f t="shared" si="666"/>
        <v>0.1358488298735242</v>
      </c>
      <c r="AP162" s="293">
        <f t="shared" si="666"/>
        <v>0.16276601253041995</v>
      </c>
      <c r="AQ162" s="293">
        <f t="shared" si="666"/>
        <v>0.15030662049977059</v>
      </c>
      <c r="AR162" s="293">
        <f t="shared" si="666"/>
        <v>0.12558451780175009</v>
      </c>
      <c r="AS162" s="293">
        <f t="shared" ref="AS162:BB162" si="667">+AS90/AS30</f>
        <v>0.16206185567010312</v>
      </c>
      <c r="AT162" s="293">
        <f t="shared" si="667"/>
        <v>0.14487775087788177</v>
      </c>
      <c r="AU162" s="293">
        <f t="shared" si="667"/>
        <v>0.10607584830339321</v>
      </c>
      <c r="AV162" s="293">
        <f t="shared" si="667"/>
        <v>0.15000929425614967</v>
      </c>
      <c r="AW162" s="293">
        <f t="shared" si="667"/>
        <v>0.12837609391339899</v>
      </c>
      <c r="AX162" s="293">
        <f t="shared" si="667"/>
        <v>0.1557211378925458</v>
      </c>
      <c r="AY162" s="293">
        <f t="shared" si="667"/>
        <v>0.17713845363472902</v>
      </c>
      <c r="AZ162" s="293">
        <f t="shared" si="667"/>
        <v>0.16728866937665618</v>
      </c>
      <c r="BA162" s="293">
        <f t="shared" si="667"/>
        <v>0.15379621734749246</v>
      </c>
      <c r="BB162" s="293">
        <f t="shared" si="667"/>
        <v>0.13092050674490818</v>
      </c>
      <c r="BC162" s="293">
        <f t="shared" ref="BC162:BO162" si="668">+BC90/BC30</f>
        <v>0.14164671461217296</v>
      </c>
      <c r="BD162" s="293">
        <f t="shared" si="668"/>
        <v>0.17321064246158968</v>
      </c>
      <c r="BE162" s="293">
        <f t="shared" si="668"/>
        <v>0.1675776543536395</v>
      </c>
      <c r="BF162" s="293">
        <f t="shared" si="668"/>
        <v>0.17021791484030116</v>
      </c>
      <c r="BG162" s="293">
        <f t="shared" si="668"/>
        <v>0.18424552429667521</v>
      </c>
      <c r="BH162" s="293">
        <f t="shared" si="668"/>
        <v>0.22361803637407185</v>
      </c>
      <c r="BI162" s="293">
        <f t="shared" si="668"/>
        <v>0.20343344638299363</v>
      </c>
      <c r="BJ162" s="293">
        <f t="shared" si="668"/>
        <v>0.22062082437334826</v>
      </c>
      <c r="BK162" s="293">
        <f t="shared" si="668"/>
        <v>9.971672272383196E-2</v>
      </c>
      <c r="BL162" s="293">
        <f t="shared" si="668"/>
        <v>0.15864405694832809</v>
      </c>
      <c r="BM162" s="293">
        <f t="shared" si="668"/>
        <v>0.17838979972392413</v>
      </c>
      <c r="BN162" s="293">
        <f t="shared" si="668"/>
        <v>0.15783431450428201</v>
      </c>
      <c r="BO162" s="293">
        <f t="shared" si="668"/>
        <v>0.16756360218474006</v>
      </c>
      <c r="BP162" s="293">
        <f t="shared" ref="BP162:DK162" si="669">+BP90/BP30</f>
        <v>0.20284750107925578</v>
      </c>
      <c r="BQ162" s="293">
        <f t="shared" si="669"/>
        <v>0.15411241683228777</v>
      </c>
      <c r="BR162" s="293">
        <f t="shared" si="669"/>
        <v>0.1769601556626719</v>
      </c>
      <c r="BS162" s="293">
        <f t="shared" si="669"/>
        <v>0.18494711657416282</v>
      </c>
      <c r="BT162" s="293">
        <f t="shared" si="669"/>
        <v>0.18924685658676105</v>
      </c>
      <c r="BU162" s="293">
        <f t="shared" si="669"/>
        <v>0.18712671968419706</v>
      </c>
      <c r="BV162" s="293">
        <f t="shared" si="669"/>
        <v>0.20018442851925722</v>
      </c>
      <c r="BW162" s="293">
        <f t="shared" si="669"/>
        <v>0.19896701563178709</v>
      </c>
      <c r="BX162" s="293">
        <f t="shared" si="669"/>
        <v>0.19956854110107261</v>
      </c>
      <c r="BY162" s="293">
        <f t="shared" si="669"/>
        <v>0.20597642225833138</v>
      </c>
      <c r="BZ162" s="293">
        <f t="shared" si="669"/>
        <v>0.18610241212317505</v>
      </c>
      <c r="CA162" s="293">
        <f t="shared" si="669"/>
        <v>0.19624684716770427</v>
      </c>
      <c r="CB162" s="293">
        <f t="shared" si="669"/>
        <v>0.22680432568647069</v>
      </c>
      <c r="CC162" s="293">
        <f t="shared" si="669"/>
        <v>0.21426264473672921</v>
      </c>
      <c r="CD162" s="293">
        <f t="shared" si="669"/>
        <v>0.22016722311158329</v>
      </c>
      <c r="CE162" s="293">
        <f t="shared" si="669"/>
        <v>0.22868939354584236</v>
      </c>
      <c r="CF162" s="293">
        <f t="shared" si="669"/>
        <v>0.23190818583904829</v>
      </c>
      <c r="CG162" s="293">
        <f t="shared" si="669"/>
        <v>0.23041488318887071</v>
      </c>
      <c r="CH162" s="293">
        <f t="shared" si="669"/>
        <v>0.21351870106489368</v>
      </c>
      <c r="CI162" s="293">
        <f t="shared" si="669"/>
        <v>0.20604008485856648</v>
      </c>
      <c r="CJ162" s="293">
        <f t="shared" si="669"/>
        <v>0.20976462778675867</v>
      </c>
      <c r="CK162" s="293">
        <f t="shared" si="669"/>
        <v>0.20519852468383559</v>
      </c>
      <c r="CL162" s="293">
        <f t="shared" si="669"/>
        <v>0.15848920005120687</v>
      </c>
      <c r="CM162" s="293">
        <f t="shared" si="669"/>
        <v>0.18287822088069547</v>
      </c>
      <c r="CN162" s="293">
        <f t="shared" si="669"/>
        <v>0.10346887330867045</v>
      </c>
      <c r="CO162" s="293">
        <f t="shared" si="669"/>
        <v>0.17420370849744027</v>
      </c>
      <c r="CP162" s="293">
        <f t="shared" si="669"/>
        <v>0.1416624888911934</v>
      </c>
      <c r="CQ162" s="293">
        <f t="shared" si="669"/>
        <v>0.16282502269854957</v>
      </c>
      <c r="CR162" s="293">
        <f t="shared" si="669"/>
        <v>0.15281924991021503</v>
      </c>
      <c r="CS162" s="293">
        <f t="shared" si="669"/>
        <v>0.1575577256114491</v>
      </c>
      <c r="CT162" s="293">
        <f t="shared" si="669"/>
        <v>0.1684911945085055</v>
      </c>
      <c r="CU162" s="293">
        <f t="shared" si="669"/>
        <v>0.16623934828684633</v>
      </c>
      <c r="CV162" s="293">
        <f t="shared" si="669"/>
        <v>0.16735260172406577</v>
      </c>
      <c r="CW162" s="293">
        <f t="shared" si="669"/>
        <v>0.18283715734807224</v>
      </c>
      <c r="CX162" s="293">
        <f t="shared" si="669"/>
        <v>0.174099391244322</v>
      </c>
      <c r="CY162" s="293">
        <f t="shared" si="669"/>
        <v>0.17834419977490459</v>
      </c>
      <c r="CZ162" s="293">
        <f t="shared" si="669"/>
        <v>0.17338655261070005</v>
      </c>
      <c r="DA162" s="293">
        <f t="shared" si="669"/>
        <v>0.19165941342363896</v>
      </c>
      <c r="DB162" s="293">
        <f t="shared" si="669"/>
        <v>0.18296735520289359</v>
      </c>
      <c r="DC162" s="293">
        <f t="shared" si="669"/>
        <v>0.18339007687555026</v>
      </c>
      <c r="DD162" s="293">
        <f t="shared" si="669"/>
        <v>0.19008196294268276</v>
      </c>
      <c r="DE162" s="293">
        <f t="shared" si="669"/>
        <v>0.18678557236195173</v>
      </c>
      <c r="DF162" s="293">
        <f t="shared" si="669"/>
        <v>0.17626037876498754</v>
      </c>
      <c r="DG162" s="293">
        <f t="shared" si="669"/>
        <v>-0.64830171647883028</v>
      </c>
      <c r="DH162" s="1248">
        <f t="shared" si="669"/>
        <v>-0.17983170061237738</v>
      </c>
      <c r="DI162" s="293">
        <f t="shared" si="669"/>
        <v>0.16844725511302477</v>
      </c>
      <c r="DJ162" s="293">
        <f t="shared" si="669"/>
        <v>0.14944326617179218</v>
      </c>
      <c r="DK162" s="1248">
        <f t="shared" si="669"/>
        <v>0.15887419871794872</v>
      </c>
      <c r="DL162" s="293">
        <f t="shared" ref="DL162:DQ162" si="670">+DL90/DL30</f>
        <v>0.19658827829901304</v>
      </c>
      <c r="DM162" s="293">
        <f t="shared" si="670"/>
        <v>0.1580231996133398</v>
      </c>
      <c r="DN162" s="1248">
        <f t="shared" si="670"/>
        <v>0.17722501971728449</v>
      </c>
      <c r="DO162" s="293">
        <f t="shared" si="670"/>
        <v>0.17373714544016272</v>
      </c>
      <c r="DP162" s="293">
        <f t="shared" si="670"/>
        <v>0.16972031963470322</v>
      </c>
      <c r="DQ162" s="1248">
        <f t="shared" si="670"/>
        <v>0.17155622126956252</v>
      </c>
      <c r="DR162" s="293">
        <f t="shared" ref="DR162:DW162" si="671">+DR90/DR30</f>
        <v>0.18537096040054618</v>
      </c>
      <c r="DS162" s="293">
        <f t="shared" si="671"/>
        <v>0.17956204379562035</v>
      </c>
      <c r="DT162" s="1248">
        <f t="shared" si="671"/>
        <v>0.1824163535516192</v>
      </c>
      <c r="DU162" s="293">
        <f t="shared" si="671"/>
        <v>0.1823464659652356</v>
      </c>
      <c r="DV162" s="293">
        <f t="shared" si="671"/>
        <v>0.17212967785452662</v>
      </c>
      <c r="DW162" s="1248">
        <f t="shared" si="671"/>
        <v>0.17723955443643041</v>
      </c>
      <c r="DX162" s="293">
        <f t="shared" ref="DX162:EC162" si="672">+DX90/DX30</f>
        <v>0.16689513365318714</v>
      </c>
      <c r="DY162" s="293">
        <f t="shared" si="672"/>
        <v>0.16185177514872556</v>
      </c>
      <c r="DZ162" s="1248">
        <f t="shared" si="672"/>
        <v>0.16419743924877478</v>
      </c>
      <c r="EA162" s="293">
        <f t="shared" si="672"/>
        <v>0.16794018449462497</v>
      </c>
      <c r="EB162" s="293">
        <f t="shared" si="672"/>
        <v>0.1679314775946561</v>
      </c>
      <c r="EC162" s="1248">
        <f t="shared" si="672"/>
        <v>0.1679357649984527</v>
      </c>
      <c r="ED162" s="293">
        <f t="shared" ref="ED162:EL162" si="673">+ED90/ED30</f>
        <v>0.17288167005159374</v>
      </c>
      <c r="EE162" s="293">
        <f t="shared" si="673"/>
        <v>0.17294969676105057</v>
      </c>
      <c r="EF162" s="1248">
        <f t="shared" si="673"/>
        <v>0.17291620145845327</v>
      </c>
      <c r="EG162" s="293">
        <f t="shared" si="673"/>
        <v>0.17617227251341977</v>
      </c>
      <c r="EH162" s="293">
        <f t="shared" si="673"/>
        <v>0.17623157978522</v>
      </c>
      <c r="EI162" s="1248">
        <f t="shared" si="673"/>
        <v>0.1762023777992496</v>
      </c>
      <c r="EJ162" s="293">
        <f t="shared" si="673"/>
        <v>0.1782347648864484</v>
      </c>
      <c r="EK162" s="293">
        <f t="shared" si="673"/>
        <v>0.17828844650715314</v>
      </c>
      <c r="EL162" s="1248">
        <f t="shared" si="673"/>
        <v>0.1782620145050208</v>
      </c>
      <c r="EM162" s="293">
        <f t="shared" ref="EM162:ER162" si="674">+EM90/EM30</f>
        <v>0.17951127184329571</v>
      </c>
      <c r="EN162" s="293">
        <f t="shared" si="674"/>
        <v>0.1795491557843896</v>
      </c>
      <c r="EO162" s="1248">
        <f t="shared" si="674"/>
        <v>0.17953050231605855</v>
      </c>
      <c r="EP162" s="293">
        <f t="shared" si="674"/>
        <v>0.18030665713368368</v>
      </c>
      <c r="EQ162" s="293">
        <f t="shared" si="674"/>
        <v>0.18032067578331051</v>
      </c>
      <c r="ER162" s="1248">
        <f t="shared" si="674"/>
        <v>0.18031377321643635</v>
      </c>
      <c r="ES162" s="293">
        <f t="shared" ref="ES162:EX162" si="675">+ES90/ES30</f>
        <v>0.18106243134553845</v>
      </c>
      <c r="ET162" s="293">
        <f t="shared" si="675"/>
        <v>0.18105377322194946</v>
      </c>
      <c r="EU162" s="1248">
        <f t="shared" si="675"/>
        <v>0.18105803634847512</v>
      </c>
      <c r="EV162" s="293">
        <f t="shared" si="675"/>
        <v>0.18178245109082364</v>
      </c>
      <c r="EW162" s="293">
        <f t="shared" si="675"/>
        <v>0.1817521889958123</v>
      </c>
      <c r="EX162" s="1248">
        <f t="shared" si="675"/>
        <v>0.18176708958467991</v>
      </c>
      <c r="EY162" s="293">
        <f t="shared" ref="EY162:FA162" si="676">+EY90/EY30</f>
        <v>0.18247057763055688</v>
      </c>
      <c r="EZ162" s="293">
        <f t="shared" si="676"/>
        <v>0.18241966850996491</v>
      </c>
      <c r="FA162" s="1248">
        <f t="shared" si="676"/>
        <v>0.1824447353758005</v>
      </c>
      <c r="FE162"/>
      <c r="FF162"/>
      <c r="FG162"/>
      <c r="FH162"/>
      <c r="FI162"/>
      <c r="FJ162"/>
      <c r="FK162" s="35"/>
    </row>
    <row r="163" spans="2:167" s="236" customFormat="1" ht="13.35" customHeight="1">
      <c r="B163" s="242" t="s">
        <v>610</v>
      </c>
      <c r="C163" s="242" t="s">
        <v>460</v>
      </c>
      <c r="D163" s="243"/>
      <c r="E163" s="293"/>
      <c r="F163" s="293"/>
      <c r="G163" s="293"/>
      <c r="H163" s="293"/>
      <c r="I163" s="293"/>
      <c r="J163" s="293"/>
      <c r="K163" s="293"/>
      <c r="L163" s="293"/>
      <c r="M163" s="293"/>
      <c r="N163" s="293"/>
      <c r="O163" s="293"/>
      <c r="P163" s="293"/>
      <c r="Q163" s="293"/>
      <c r="R163" s="293"/>
      <c r="S163" s="293"/>
      <c r="T163" s="293"/>
      <c r="U163" s="293"/>
      <c r="V163" s="293"/>
      <c r="W163" s="293"/>
      <c r="X163" s="293"/>
      <c r="Y163" s="293"/>
      <c r="Z163" s="293"/>
      <c r="AA163" s="293"/>
      <c r="AB163" s="293"/>
      <c r="AC163" s="293"/>
      <c r="AD163" s="293"/>
      <c r="AE163" s="293"/>
      <c r="AF163" s="293"/>
      <c r="AG163" s="293"/>
      <c r="AH163" s="293"/>
      <c r="AI163" s="293">
        <f t="shared" ref="AI163:AR163" si="677">+AI84/AI30</f>
        <v>0.13575395887497047</v>
      </c>
      <c r="AJ163" s="293">
        <f t="shared" si="677"/>
        <v>0.16653703223576177</v>
      </c>
      <c r="AK163" s="293">
        <f t="shared" si="677"/>
        <v>0.15133968291010921</v>
      </c>
      <c r="AL163" s="293">
        <f t="shared" si="677"/>
        <v>0.14020455042660249</v>
      </c>
      <c r="AM163" s="293">
        <f t="shared" si="677"/>
        <v>0.16064077071722627</v>
      </c>
      <c r="AN163" s="293">
        <f t="shared" si="677"/>
        <v>0.15030093393289518</v>
      </c>
      <c r="AO163" s="293">
        <f t="shared" si="677"/>
        <v>0.1358488298735242</v>
      </c>
      <c r="AP163" s="293">
        <f t="shared" si="677"/>
        <v>0.16276601253041995</v>
      </c>
      <c r="AQ163" s="293">
        <f t="shared" si="677"/>
        <v>0.15030662049977059</v>
      </c>
      <c r="AR163" s="293">
        <f t="shared" si="677"/>
        <v>0.12558451780175009</v>
      </c>
      <c r="AS163" s="293">
        <f t="shared" ref="AS163:BB163" si="678">+AS84/AS30</f>
        <v>0.16206185567010312</v>
      </c>
      <c r="AT163" s="293">
        <f t="shared" si="678"/>
        <v>0.14487775087788177</v>
      </c>
      <c r="AU163" s="293">
        <f t="shared" si="678"/>
        <v>0.10607584830339321</v>
      </c>
      <c r="AV163" s="293">
        <f t="shared" si="678"/>
        <v>0.15000929425614967</v>
      </c>
      <c r="AW163" s="293">
        <f t="shared" si="678"/>
        <v>0.12837609391339899</v>
      </c>
      <c r="AX163" s="293">
        <f t="shared" si="678"/>
        <v>0.1557211378925458</v>
      </c>
      <c r="AY163" s="293">
        <f t="shared" si="678"/>
        <v>0.17713845363472902</v>
      </c>
      <c r="AZ163" s="293">
        <f t="shared" si="678"/>
        <v>0.16728866937665618</v>
      </c>
      <c r="BA163" s="293">
        <f t="shared" si="678"/>
        <v>0.15379621734749246</v>
      </c>
      <c r="BB163" s="293">
        <f t="shared" si="678"/>
        <v>0.13092050674490818</v>
      </c>
      <c r="BC163" s="293">
        <f t="shared" ref="BC163:BO163" si="679">+BC84/BC30</f>
        <v>0.14164671461217296</v>
      </c>
      <c r="BD163" s="293">
        <f t="shared" si="679"/>
        <v>0.17321064246158968</v>
      </c>
      <c r="BE163" s="293">
        <f t="shared" si="679"/>
        <v>0.1675776543536395</v>
      </c>
      <c r="BF163" s="293">
        <f t="shared" si="679"/>
        <v>0.17021791484030116</v>
      </c>
      <c r="BG163" s="293">
        <f t="shared" si="679"/>
        <v>0.18424552429667521</v>
      </c>
      <c r="BH163" s="293">
        <f t="shared" si="679"/>
        <v>0.22361803637407185</v>
      </c>
      <c r="BI163" s="293">
        <f t="shared" si="679"/>
        <v>0.20343344638299363</v>
      </c>
      <c r="BJ163" s="293">
        <f t="shared" si="679"/>
        <v>0.22062082437334826</v>
      </c>
      <c r="BK163" s="293">
        <f t="shared" si="679"/>
        <v>7.7109167102377807E-2</v>
      </c>
      <c r="BL163" s="293">
        <f t="shared" si="679"/>
        <v>0.1470551761933907</v>
      </c>
      <c r="BM163" s="293">
        <f t="shared" si="679"/>
        <v>0.17838979972392413</v>
      </c>
      <c r="BN163" s="293">
        <f t="shared" si="679"/>
        <v>0.15783431450428201</v>
      </c>
      <c r="BO163" s="293">
        <f t="shared" si="679"/>
        <v>0.16756360218474006</v>
      </c>
      <c r="BP163" s="293">
        <f t="shared" ref="BP163:DK163" si="680">+BP84/BP30</f>
        <v>0.20284750107925578</v>
      </c>
      <c r="BQ163" s="293">
        <f t="shared" si="680"/>
        <v>0.15411241683228777</v>
      </c>
      <c r="BR163" s="293">
        <f t="shared" si="680"/>
        <v>0.1769601556626719</v>
      </c>
      <c r="BS163" s="293">
        <f t="shared" si="680"/>
        <v>0.18494711657416282</v>
      </c>
      <c r="BT163" s="293">
        <f t="shared" si="680"/>
        <v>0.18924685658676105</v>
      </c>
      <c r="BU163" s="293">
        <f t="shared" si="680"/>
        <v>0.18712671968419706</v>
      </c>
      <c r="BV163" s="293">
        <f t="shared" si="680"/>
        <v>0.20018442851925722</v>
      </c>
      <c r="BW163" s="293">
        <f t="shared" si="680"/>
        <v>0.19896701563178709</v>
      </c>
      <c r="BX163" s="293">
        <f t="shared" si="680"/>
        <v>0.19956854110107261</v>
      </c>
      <c r="BY163" s="293">
        <f t="shared" si="680"/>
        <v>0.20597642225833138</v>
      </c>
      <c r="BZ163" s="293">
        <f t="shared" si="680"/>
        <v>0.18610241212317505</v>
      </c>
      <c r="CA163" s="293">
        <f t="shared" si="680"/>
        <v>0.19624684716770427</v>
      </c>
      <c r="CB163" s="293">
        <f t="shared" si="680"/>
        <v>0.22680432568647069</v>
      </c>
      <c r="CC163" s="293">
        <f t="shared" si="680"/>
        <v>0.21426264473672921</v>
      </c>
      <c r="CD163" s="293">
        <f t="shared" si="680"/>
        <v>0.22016722311158329</v>
      </c>
      <c r="CE163" s="293">
        <f t="shared" si="680"/>
        <v>0.22868939354584236</v>
      </c>
      <c r="CF163" s="293">
        <f t="shared" si="680"/>
        <v>0.23190818583904829</v>
      </c>
      <c r="CG163" s="293">
        <f t="shared" si="680"/>
        <v>0.23041488318887071</v>
      </c>
      <c r="CH163" s="293">
        <f t="shared" si="680"/>
        <v>0.21351870106489368</v>
      </c>
      <c r="CI163" s="293">
        <f t="shared" si="680"/>
        <v>0.20604008485856648</v>
      </c>
      <c r="CJ163" s="293">
        <f t="shared" si="680"/>
        <v>0.20976462778675867</v>
      </c>
      <c r="CK163" s="293">
        <f t="shared" si="680"/>
        <v>0.20519852468383559</v>
      </c>
      <c r="CL163" s="293">
        <f t="shared" si="680"/>
        <v>0.15848920005120687</v>
      </c>
      <c r="CM163" s="293">
        <f t="shared" si="680"/>
        <v>0.18287822088069547</v>
      </c>
      <c r="CN163" s="293">
        <f t="shared" si="680"/>
        <v>0.10346887330867045</v>
      </c>
      <c r="CO163" s="293">
        <f t="shared" si="680"/>
        <v>0.17420370849744027</v>
      </c>
      <c r="CP163" s="293">
        <f t="shared" si="680"/>
        <v>0.1416624888911934</v>
      </c>
      <c r="CQ163" s="293">
        <f t="shared" si="680"/>
        <v>0.16282502269854957</v>
      </c>
      <c r="CR163" s="293">
        <f t="shared" si="680"/>
        <v>0.15281924991021503</v>
      </c>
      <c r="CS163" s="293">
        <f t="shared" si="680"/>
        <v>0.1575577256114491</v>
      </c>
      <c r="CT163" s="293">
        <f t="shared" si="680"/>
        <v>0.1684911945085055</v>
      </c>
      <c r="CU163" s="293">
        <f t="shared" si="680"/>
        <v>0.16623934828684633</v>
      </c>
      <c r="CV163" s="293">
        <f t="shared" si="680"/>
        <v>0.16735260172406577</v>
      </c>
      <c r="CW163" s="293">
        <f t="shared" si="680"/>
        <v>0.18283715734807224</v>
      </c>
      <c r="CX163" s="293">
        <f t="shared" si="680"/>
        <v>0.174099391244322</v>
      </c>
      <c r="CY163" s="293">
        <f t="shared" si="680"/>
        <v>0.17834419977490459</v>
      </c>
      <c r="CZ163" s="293">
        <f t="shared" si="680"/>
        <v>0.17338655261070005</v>
      </c>
      <c r="DA163" s="293">
        <f t="shared" si="680"/>
        <v>0.19165941342363896</v>
      </c>
      <c r="DB163" s="293">
        <f t="shared" si="680"/>
        <v>0.18296735520289359</v>
      </c>
      <c r="DC163" s="293">
        <f t="shared" si="680"/>
        <v>0.18339007687555026</v>
      </c>
      <c r="DD163" s="293">
        <f t="shared" si="680"/>
        <v>0.19008196294268276</v>
      </c>
      <c r="DE163" s="293">
        <f t="shared" si="680"/>
        <v>0.18678557236195173</v>
      </c>
      <c r="DF163" s="293">
        <f t="shared" si="680"/>
        <v>0.17626037876498754</v>
      </c>
      <c r="DG163" s="293">
        <f t="shared" si="680"/>
        <v>3.6871067972246235E-2</v>
      </c>
      <c r="DH163" s="1248">
        <f t="shared" si="680"/>
        <v>0.11606427005532371</v>
      </c>
      <c r="DI163" s="293">
        <f t="shared" si="680"/>
        <v>0.16912002152852532</v>
      </c>
      <c r="DJ163" s="293">
        <f t="shared" si="680"/>
        <v>0.15235949098621421</v>
      </c>
      <c r="DK163" s="1248">
        <f t="shared" si="680"/>
        <v>0.16067708333333333</v>
      </c>
      <c r="DL163" s="293">
        <f t="shared" ref="DL163:DQ163" si="681">+DL84/DL30</f>
        <v>0.19658827829901304</v>
      </c>
      <c r="DM163" s="293">
        <f t="shared" si="681"/>
        <v>0.1580231996133398</v>
      </c>
      <c r="DN163" s="1248">
        <f t="shared" si="681"/>
        <v>0.17722501971728449</v>
      </c>
      <c r="DO163" s="293">
        <f t="shared" si="681"/>
        <v>0.17373714544016272</v>
      </c>
      <c r="DP163" s="293">
        <f t="shared" si="681"/>
        <v>0.16972031963470322</v>
      </c>
      <c r="DQ163" s="1248">
        <f t="shared" si="681"/>
        <v>0.17155622126956252</v>
      </c>
      <c r="DR163" s="293">
        <f t="shared" ref="DR163:DW163" si="682">+DR84/DR30</f>
        <v>0.18537096040054618</v>
      </c>
      <c r="DS163" s="293">
        <f t="shared" si="682"/>
        <v>0.17956204379562035</v>
      </c>
      <c r="DT163" s="1248">
        <f t="shared" si="682"/>
        <v>0.1824163535516192</v>
      </c>
      <c r="DU163" s="293">
        <f t="shared" si="682"/>
        <v>0.1823464659652356</v>
      </c>
      <c r="DV163" s="293">
        <f t="shared" si="682"/>
        <v>0.17212967785452662</v>
      </c>
      <c r="DW163" s="1248">
        <f t="shared" si="682"/>
        <v>0.17723955443643041</v>
      </c>
      <c r="DX163" s="293">
        <f t="shared" ref="DX163:EC163" si="683">+DX84/DX30</f>
        <v>0.16689513365318714</v>
      </c>
      <c r="DY163" s="293">
        <f t="shared" si="683"/>
        <v>0.16185177514872556</v>
      </c>
      <c r="DZ163" s="1248">
        <f t="shared" si="683"/>
        <v>0.16419743924877478</v>
      </c>
      <c r="EA163" s="293">
        <f t="shared" si="683"/>
        <v>0.16794018449462497</v>
      </c>
      <c r="EB163" s="293">
        <f t="shared" si="683"/>
        <v>0.1679314775946561</v>
      </c>
      <c r="EC163" s="1248">
        <f t="shared" si="683"/>
        <v>0.1679357649984527</v>
      </c>
      <c r="ED163" s="293">
        <f t="shared" ref="ED163:EL163" si="684">+ED84/ED30</f>
        <v>0.17288167005159374</v>
      </c>
      <c r="EE163" s="293">
        <f t="shared" si="684"/>
        <v>0.17294969676105057</v>
      </c>
      <c r="EF163" s="1248">
        <f t="shared" si="684"/>
        <v>0.17291620145845327</v>
      </c>
      <c r="EG163" s="293">
        <f t="shared" si="684"/>
        <v>0.17617227251341977</v>
      </c>
      <c r="EH163" s="293">
        <f t="shared" si="684"/>
        <v>0.17623157978522</v>
      </c>
      <c r="EI163" s="1248">
        <f t="shared" si="684"/>
        <v>0.1762023777992496</v>
      </c>
      <c r="EJ163" s="293">
        <f t="shared" si="684"/>
        <v>0.1782347648864484</v>
      </c>
      <c r="EK163" s="293">
        <f t="shared" si="684"/>
        <v>0.17828844650715314</v>
      </c>
      <c r="EL163" s="1248">
        <f t="shared" si="684"/>
        <v>0.1782620145050208</v>
      </c>
      <c r="EM163" s="293">
        <f t="shared" ref="EM163:ER163" si="685">+EM84/EM30</f>
        <v>0.17951127184329571</v>
      </c>
      <c r="EN163" s="293">
        <f t="shared" si="685"/>
        <v>0.1795491557843896</v>
      </c>
      <c r="EO163" s="1248">
        <f t="shared" si="685"/>
        <v>0.17953050231605855</v>
      </c>
      <c r="EP163" s="293">
        <f t="shared" si="685"/>
        <v>0.18030665713368368</v>
      </c>
      <c r="EQ163" s="293">
        <f t="shared" si="685"/>
        <v>0.18032067578331051</v>
      </c>
      <c r="ER163" s="1248">
        <f t="shared" si="685"/>
        <v>0.18031377321643635</v>
      </c>
      <c r="ES163" s="293">
        <f t="shared" ref="ES163:EX163" si="686">+ES84/ES30</f>
        <v>0.18106243134553845</v>
      </c>
      <c r="ET163" s="293">
        <f t="shared" si="686"/>
        <v>0.18105377322194946</v>
      </c>
      <c r="EU163" s="1248">
        <f t="shared" si="686"/>
        <v>0.18105803634847512</v>
      </c>
      <c r="EV163" s="293">
        <f t="shared" si="686"/>
        <v>0.18178245109082364</v>
      </c>
      <c r="EW163" s="293">
        <f t="shared" si="686"/>
        <v>0.1817521889958123</v>
      </c>
      <c r="EX163" s="1248">
        <f t="shared" si="686"/>
        <v>0.18176708958467991</v>
      </c>
      <c r="EY163" s="293">
        <f t="shared" ref="EY163:FA163" si="687">+EY84/EY30</f>
        <v>0.18247057763055688</v>
      </c>
      <c r="EZ163" s="293">
        <f t="shared" si="687"/>
        <v>0.18241966850996491</v>
      </c>
      <c r="FA163" s="1248">
        <f t="shared" si="687"/>
        <v>0.1824447353758005</v>
      </c>
      <c r="FE163"/>
      <c r="FF163"/>
      <c r="FG163"/>
      <c r="FH163"/>
      <c r="FI163"/>
      <c r="FJ163"/>
      <c r="FK163" s="35"/>
    </row>
    <row r="164" spans="2:167" s="236" customFormat="1" ht="13.35" customHeight="1">
      <c r="B164" s="242" t="s">
        <v>894</v>
      </c>
      <c r="C164" s="242"/>
      <c r="D164" s="243"/>
      <c r="E164" s="293"/>
      <c r="F164" s="293"/>
      <c r="G164" s="293"/>
      <c r="H164" s="293"/>
      <c r="I164" s="293"/>
      <c r="J164" s="293"/>
      <c r="K164" s="293"/>
      <c r="L164" s="293"/>
      <c r="M164" s="293"/>
      <c r="N164" s="293"/>
      <c r="O164" s="293"/>
      <c r="P164" s="293"/>
      <c r="Q164" s="293"/>
      <c r="R164" s="293"/>
      <c r="S164" s="293"/>
      <c r="T164" s="293"/>
      <c r="U164" s="293"/>
      <c r="V164" s="293"/>
      <c r="W164" s="293"/>
      <c r="X164" s="293"/>
      <c r="Y164" s="293"/>
      <c r="Z164" s="293"/>
      <c r="AA164" s="293"/>
      <c r="AB164" s="293"/>
      <c r="AC164" s="293"/>
      <c r="AD164" s="293"/>
      <c r="AE164" s="293"/>
      <c r="AF164" s="293"/>
      <c r="AG164" s="293"/>
      <c r="AH164" s="293"/>
      <c r="AI164" s="293"/>
      <c r="AJ164" s="293"/>
      <c r="AK164" s="293"/>
      <c r="AL164" s="293"/>
      <c r="AM164" s="293"/>
      <c r="AN164" s="293"/>
      <c r="AO164" s="293"/>
      <c r="AP164" s="293"/>
      <c r="AQ164" s="293"/>
      <c r="AR164" s="293"/>
      <c r="AS164" s="293"/>
      <c r="AT164" s="293"/>
      <c r="AU164" s="293"/>
      <c r="AV164" s="293"/>
      <c r="AW164" s="293"/>
      <c r="AX164" s="293"/>
      <c r="AY164" s="293"/>
      <c r="AZ164" s="293"/>
      <c r="BA164" s="293"/>
      <c r="BB164" s="293"/>
      <c r="BC164" s="293"/>
      <c r="BD164" s="293"/>
      <c r="BE164" s="293"/>
      <c r="BF164" s="293"/>
      <c r="BG164" s="293"/>
      <c r="BH164" s="293"/>
      <c r="BI164" s="293"/>
      <c r="BJ164" s="293"/>
      <c r="BK164" s="293"/>
      <c r="BL164" s="293"/>
      <c r="BM164" s="293"/>
      <c r="BN164" s="293"/>
      <c r="BO164" s="293"/>
      <c r="BP164" s="293"/>
      <c r="BQ164" s="293"/>
      <c r="BR164" s="293"/>
      <c r="BS164" s="293"/>
      <c r="BT164" s="293"/>
      <c r="BU164" s="293"/>
      <c r="BV164" s="293"/>
      <c r="BW164" s="293"/>
      <c r="BX164" s="293"/>
      <c r="BY164" s="293"/>
      <c r="BZ164" s="293"/>
      <c r="CA164" s="293"/>
      <c r="CB164" s="293"/>
      <c r="CC164" s="293"/>
      <c r="CD164" s="293"/>
      <c r="CE164" s="293"/>
      <c r="CF164" s="293"/>
      <c r="CG164" s="293"/>
      <c r="CH164" s="293"/>
      <c r="CI164" s="293"/>
      <c r="CJ164" s="293"/>
      <c r="CK164" s="293"/>
      <c r="CL164" s="293"/>
      <c r="CM164" s="293"/>
      <c r="CN164" s="293"/>
      <c r="CO164" s="293"/>
      <c r="CP164" s="293"/>
      <c r="CQ164" s="293"/>
      <c r="CR164" s="293"/>
      <c r="CS164" s="293"/>
      <c r="CT164" s="293"/>
      <c r="CU164" s="293"/>
      <c r="CV164" s="293"/>
      <c r="CW164" s="293"/>
      <c r="CX164" s="293"/>
      <c r="CY164" s="293"/>
      <c r="CZ164" s="293"/>
      <c r="DA164" s="293"/>
      <c r="DB164" s="293"/>
      <c r="DC164" s="293"/>
      <c r="DD164" s="293"/>
      <c r="DE164" s="293"/>
      <c r="DF164" s="293"/>
      <c r="DG164" s="293"/>
      <c r="DH164" s="1248"/>
      <c r="DI164" s="293"/>
      <c r="DJ164" s="293"/>
      <c r="DK164" s="1248"/>
      <c r="DL164" s="293"/>
      <c r="DM164" s="293"/>
      <c r="DN164" s="1248"/>
      <c r="DO164" s="293"/>
      <c r="DP164" s="293"/>
      <c r="DQ164" s="1248"/>
      <c r="DR164" s="293"/>
      <c r="DS164" s="293"/>
      <c r="DT164" s="1248"/>
      <c r="DU164" s="293"/>
      <c r="DV164" s="293"/>
      <c r="DW164" s="1248"/>
      <c r="DX164" s="293"/>
      <c r="DY164" s="293"/>
      <c r="DZ164" s="1248"/>
      <c r="EA164" s="293"/>
      <c r="EB164" s="293"/>
      <c r="EC164" s="1248"/>
      <c r="ED164" s="293"/>
      <c r="EE164" s="293"/>
      <c r="EF164" s="1248"/>
      <c r="EG164" s="293"/>
      <c r="EH164" s="293"/>
      <c r="EI164" s="1248"/>
      <c r="EJ164" s="293"/>
      <c r="EK164" s="293"/>
      <c r="EL164" s="1248"/>
      <c r="EM164" s="293"/>
      <c r="EN164" s="293"/>
      <c r="EO164" s="1248"/>
      <c r="EP164" s="293"/>
      <c r="EQ164" s="293"/>
      <c r="ER164" s="1248"/>
      <c r="ES164" s="293"/>
      <c r="ET164" s="293"/>
      <c r="EU164" s="1248"/>
      <c r="EV164" s="293"/>
      <c r="EW164" s="293"/>
      <c r="EX164" s="1248"/>
      <c r="EY164" s="293"/>
      <c r="EZ164" s="293"/>
      <c r="FA164" s="1248"/>
      <c r="FE164"/>
      <c r="FF164"/>
      <c r="FG164"/>
      <c r="FH164"/>
      <c r="FI164"/>
      <c r="FJ164"/>
      <c r="FK164" s="35"/>
    </row>
    <row r="165" spans="2:167" s="236" customFormat="1" ht="13.35" customHeight="1" outlineLevel="1">
      <c r="B165" s="242" t="s">
        <v>895</v>
      </c>
      <c r="C165" s="242" t="s">
        <v>496</v>
      </c>
      <c r="D165" s="243"/>
      <c r="E165" s="482">
        <f>+E30/6</f>
        <v>0</v>
      </c>
      <c r="F165" s="482">
        <f>+F30/6</f>
        <v>0</v>
      </c>
      <c r="G165" s="482">
        <f>+G30/12</f>
        <v>0</v>
      </c>
      <c r="H165" s="482">
        <f>+H30/6</f>
        <v>0</v>
      </c>
      <c r="I165" s="482">
        <f>+I30/6</f>
        <v>0</v>
      </c>
      <c r="J165" s="482">
        <f>+J30/12</f>
        <v>0</v>
      </c>
      <c r="K165" s="482">
        <f>+K30/6</f>
        <v>0</v>
      </c>
      <c r="L165" s="482">
        <f>+L30/6</f>
        <v>0</v>
      </c>
      <c r="M165" s="482">
        <f>+M30/12</f>
        <v>0</v>
      </c>
      <c r="N165" s="482">
        <f>+N30/6</f>
        <v>0</v>
      </c>
      <c r="O165" s="482">
        <f>+O30/6</f>
        <v>0</v>
      </c>
      <c r="P165" s="482">
        <f>+P30/12</f>
        <v>0</v>
      </c>
      <c r="Q165" s="482">
        <f>+Q30/6</f>
        <v>0</v>
      </c>
      <c r="R165" s="482">
        <f>+R30/6</f>
        <v>0</v>
      </c>
      <c r="S165" s="482">
        <f>+S30/12</f>
        <v>0</v>
      </c>
      <c r="T165" s="482">
        <f>+T30/6</f>
        <v>0</v>
      </c>
      <c r="U165" s="482">
        <f>+U30/6</f>
        <v>0</v>
      </c>
      <c r="V165" s="482">
        <f>+V30/12</f>
        <v>0</v>
      </c>
      <c r="W165" s="482">
        <f>+W30/6</f>
        <v>0</v>
      </c>
      <c r="X165" s="482">
        <f>+X30/6</f>
        <v>0</v>
      </c>
      <c r="Y165" s="482">
        <f>+Y30/12</f>
        <v>0</v>
      </c>
      <c r="Z165" s="482">
        <f>+Z30/6</f>
        <v>0</v>
      </c>
      <c r="AA165" s="482">
        <f>+AA30/6</f>
        <v>0</v>
      </c>
      <c r="AB165" s="482">
        <f>+AB30/12</f>
        <v>0</v>
      </c>
      <c r="AC165" s="482">
        <f>+AC30/6</f>
        <v>0</v>
      </c>
      <c r="AD165" s="482">
        <f>+AD30/6</f>
        <v>0</v>
      </c>
      <c r="AE165" s="482">
        <f>+AE30/12</f>
        <v>0</v>
      </c>
      <c r="AF165" s="482">
        <f>+AF30/6</f>
        <v>0</v>
      </c>
      <c r="AG165" s="482">
        <f>+AG30/6</f>
        <v>0</v>
      </c>
      <c r="AH165" s="482">
        <f>+AH30/12</f>
        <v>0</v>
      </c>
      <c r="AI165" s="482">
        <f>+AI30/6</f>
        <v>5.6413333333333329</v>
      </c>
      <c r="AJ165" s="482">
        <f>+AJ30/6</f>
        <v>5.7855000000000016</v>
      </c>
      <c r="AK165" s="482">
        <f>+AK30/12</f>
        <v>5.7134166666666673</v>
      </c>
      <c r="AL165" s="482">
        <f>+AL30/6</f>
        <v>6.094666666666666</v>
      </c>
      <c r="AM165" s="482">
        <f>+AM30/6</f>
        <v>5.9511666666666683</v>
      </c>
      <c r="AN165" s="482">
        <f>+AN30/12</f>
        <v>6.0229166666666671</v>
      </c>
      <c r="AO165" s="482">
        <f>+AO30/6</f>
        <v>5.5478333333333332</v>
      </c>
      <c r="AP165" s="482">
        <f>+AP30/6</f>
        <v>6.437666666666666</v>
      </c>
      <c r="AQ165" s="482">
        <f>+AQ30/12</f>
        <v>5.99275</v>
      </c>
      <c r="AR165" s="482">
        <f>+AR30/6</f>
        <v>7.1996666666666664</v>
      </c>
      <c r="AS165" s="482">
        <f>+AS30/6</f>
        <v>8.0833333333333321</v>
      </c>
      <c r="AT165" s="482">
        <f>+AT30/12</f>
        <v>7.6414999999999997</v>
      </c>
      <c r="AU165" s="482">
        <f>+AU30/6</f>
        <v>10.4375</v>
      </c>
      <c r="AV165" s="482">
        <f>+AV30/6</f>
        <v>10.759333333333332</v>
      </c>
      <c r="AW165" s="482">
        <f>+AW30/12</f>
        <v>10.598416666666667</v>
      </c>
      <c r="AX165" s="482">
        <f>+AX30/6</f>
        <v>11.049666666666667</v>
      </c>
      <c r="AY165" s="482">
        <f>+AY30/6</f>
        <v>12.976666666666665</v>
      </c>
      <c r="AZ165" s="482">
        <f>+AZ30/12</f>
        <v>12.013166666666665</v>
      </c>
      <c r="BA165" s="482">
        <f>+BA30/6</f>
        <v>17.201333333333334</v>
      </c>
      <c r="BB165" s="482">
        <f>+BB30/6</f>
        <v>19.483833333333333</v>
      </c>
      <c r="BC165" s="482">
        <f>+BC30/12</f>
        <v>18.342583333333334</v>
      </c>
      <c r="BD165" s="482">
        <f>+BD30/6</f>
        <v>20.014166666666664</v>
      </c>
      <c r="BE165" s="482">
        <f>+BE30/6</f>
        <v>22.686000000000007</v>
      </c>
      <c r="BF165" s="482">
        <f>+BF30/12</f>
        <v>21.350083333333334</v>
      </c>
      <c r="BG165" s="482">
        <f>+BG30/6</f>
        <v>24.4375</v>
      </c>
      <c r="BH165" s="482">
        <f>+BH30/6</f>
        <v>23.230833333333333</v>
      </c>
      <c r="BI165" s="482">
        <f>+BI30/12</f>
        <v>23.834166666666665</v>
      </c>
      <c r="BJ165" s="482">
        <f>+BJ30/6</f>
        <v>20.306333333333331</v>
      </c>
      <c r="BK165" s="482">
        <f>+BK30/6</f>
        <v>21.357166666666668</v>
      </c>
      <c r="BL165" s="482">
        <f>+BL30/12</f>
        <v>20.83175</v>
      </c>
      <c r="BM165" s="482">
        <f>+BM30/6</f>
        <v>27.52866666666667</v>
      </c>
      <c r="BN165" s="482">
        <f>+BN30/6</f>
        <v>30.632333333333332</v>
      </c>
      <c r="BO165" s="482">
        <f>+BO30/12</f>
        <v>29.080500000000001</v>
      </c>
      <c r="BP165" s="482">
        <f>+BP30/6</f>
        <v>35.337712461470986</v>
      </c>
      <c r="BQ165" s="482">
        <f>+BQ30/6</f>
        <v>40.038954205195687</v>
      </c>
      <c r="BR165" s="482">
        <f>+BR30/12</f>
        <v>37.68833333333334</v>
      </c>
      <c r="BS165" s="482">
        <f>+BS30/6</f>
        <v>43.974732618979282</v>
      </c>
      <c r="BT165" s="482">
        <f>+BT30/6</f>
        <v>45.208148522549912</v>
      </c>
      <c r="BU165" s="482">
        <f>+BU30/12</f>
        <v>44.591440570764597</v>
      </c>
      <c r="BV165" s="482">
        <f>+BV30/6</f>
        <v>47.550318492517754</v>
      </c>
      <c r="BW165" s="482">
        <f>+BW30/6</f>
        <v>48.685624109978157</v>
      </c>
      <c r="BX165" s="482">
        <f>+BX30/12</f>
        <v>48.117971301247955</v>
      </c>
      <c r="BY165" s="482">
        <f>+BY30/6</f>
        <v>56.589001169178886</v>
      </c>
      <c r="BZ165" s="482">
        <f>+BZ30/6</f>
        <v>54.274775654070339</v>
      </c>
      <c r="CA165" s="482">
        <f>+CA30/12</f>
        <v>55.431888411624612</v>
      </c>
      <c r="CB165" s="482">
        <f>+CB30/6</f>
        <v>55.295094697635101</v>
      </c>
      <c r="CC165" s="482">
        <f>+CC30/6</f>
        <v>62.15502481248469</v>
      </c>
      <c r="CD165" s="482">
        <f>+CD30/12</f>
        <v>58.725059755059895</v>
      </c>
      <c r="CE165" s="482">
        <f>+CE30/6</f>
        <v>60.442243453801389</v>
      </c>
      <c r="CF165" s="482">
        <f>+CF30/6</f>
        <v>69.840139283573578</v>
      </c>
      <c r="CG165" s="482">
        <f>+CG30/12</f>
        <v>65.141191368687487</v>
      </c>
      <c r="CH165" s="482">
        <f>+CH30/6</f>
        <v>62.560484241956637</v>
      </c>
      <c r="CI165" s="482">
        <f>+CI30/6</f>
        <v>63.056500270736002</v>
      </c>
      <c r="CJ165" s="482">
        <f>+CJ30/12</f>
        <v>62.808492256346319</v>
      </c>
      <c r="CK165" s="482">
        <f>+CK30/6</f>
        <v>63.081187774671839</v>
      </c>
      <c r="CL165" s="482">
        <f>+CL30/6</f>
        <v>57.73053724613704</v>
      </c>
      <c r="CM165" s="482">
        <f>+CM30/12</f>
        <v>60.40586251040444</v>
      </c>
      <c r="CN165" s="482">
        <f>+CN30/6</f>
        <v>59.2609784043415</v>
      </c>
      <c r="CO165" s="482">
        <f>+CO30/6</f>
        <v>69.554585095670944</v>
      </c>
      <c r="CP165" s="482">
        <f>+CP30/12</f>
        <v>64.407781750006222</v>
      </c>
      <c r="CQ165" s="482">
        <f>+CQ30/6</f>
        <v>73.059000000000012</v>
      </c>
      <c r="CR165" s="482">
        <f>+CR30/6</f>
        <v>81.212499999999977</v>
      </c>
      <c r="CS165" s="482">
        <f>+CS30/12</f>
        <v>77.135749999999987</v>
      </c>
      <c r="CT165" s="482">
        <f>+CT30/6</f>
        <v>93.014751971952634</v>
      </c>
      <c r="CU165" s="482">
        <f>+CU30/6</f>
        <v>95.131909681084792</v>
      </c>
      <c r="CV165" s="482">
        <f>+CV30/12</f>
        <v>94.073330826518713</v>
      </c>
      <c r="CW165" s="482">
        <f>+CW30/6</f>
        <v>101.51969983867745</v>
      </c>
      <c r="CX165" s="482">
        <f>+CX30/6</f>
        <v>107.45448255902575</v>
      </c>
      <c r="CY165" s="482">
        <f>+CY30/12</f>
        <v>104.4870911988516</v>
      </c>
      <c r="CZ165" s="482">
        <f>+CZ30/6</f>
        <v>106.50576061760309</v>
      </c>
      <c r="DA165" s="482">
        <f>+DA30/6</f>
        <v>117.3957469559118</v>
      </c>
      <c r="DB165" s="482">
        <f>+DB30/12</f>
        <v>111.95075378675745</v>
      </c>
      <c r="DC165" s="482">
        <f>+DC30/6</f>
        <v>116.87291754546862</v>
      </c>
      <c r="DD165" s="482">
        <f>+DD30/6</f>
        <v>120.38666362170069</v>
      </c>
      <c r="DE165" s="482">
        <f>+DE30/12</f>
        <v>118.62979058358466</v>
      </c>
      <c r="DF165" s="482">
        <f>+DF30/6</f>
        <v>125.47724464018869</v>
      </c>
      <c r="DG165" s="482">
        <f>+DG30/6</f>
        <v>95.377401851059957</v>
      </c>
      <c r="DH165" s="1244">
        <f>+DH30/12</f>
        <v>110.42732324562432</v>
      </c>
      <c r="DI165" s="482">
        <f>+DI30/6</f>
        <v>123.86666666666666</v>
      </c>
      <c r="DJ165" s="482">
        <f>+DJ30/6</f>
        <v>125.73333333333333</v>
      </c>
      <c r="DK165" s="1244">
        <f>+DK30/12</f>
        <v>124.8</v>
      </c>
      <c r="DL165" s="482">
        <f>+DL30/6</f>
        <v>136.78333333333333</v>
      </c>
      <c r="DM165" s="482">
        <f>+DM30/6</f>
        <v>137.93333333333331</v>
      </c>
      <c r="DN165" s="1244">
        <f>+DN30/12</f>
        <v>137.35833333333332</v>
      </c>
      <c r="DO165" s="482">
        <f>+DO30/6</f>
        <v>147.48333333333335</v>
      </c>
      <c r="DP165" s="482">
        <f>+DP30/6</f>
        <v>175.20000000000002</v>
      </c>
      <c r="DQ165" s="1244">
        <f>+DQ30/12</f>
        <v>161.34166666666667</v>
      </c>
      <c r="DR165" s="482">
        <f>+DR30/6</f>
        <v>183.08333333333334</v>
      </c>
      <c r="DS165" s="482">
        <f>+DS30/6</f>
        <v>189.51666666666674</v>
      </c>
      <c r="DT165" s="1244">
        <f>+DT30/12</f>
        <v>186.30000000000004</v>
      </c>
      <c r="DU165" s="482">
        <f>+DU30/6</f>
        <v>195.31500000000003</v>
      </c>
      <c r="DV165" s="482">
        <f>+DV30/6</f>
        <v>195.20166666666663</v>
      </c>
      <c r="DW165" s="1244">
        <f>+DW30/12</f>
        <v>195.25833333333333</v>
      </c>
      <c r="DX165" s="482">
        <f>+DX30/6</f>
        <v>194.53333333333333</v>
      </c>
      <c r="DY165" s="482">
        <f>+DY30/6</f>
        <v>223.72831847236742</v>
      </c>
      <c r="DZ165" s="1244">
        <f>+DZ30/12</f>
        <v>209.13082590285038</v>
      </c>
      <c r="EA165" s="482">
        <f>+EA30/6</f>
        <v>232.01006823383935</v>
      </c>
      <c r="EB165" s="482">
        <f>+EB30/6</f>
        <v>239.15816123847415</v>
      </c>
      <c r="EC165" s="1244">
        <f>+EC30/12</f>
        <v>235.58411473615675</v>
      </c>
      <c r="ED165" s="482">
        <f>+ED30/6</f>
        <v>251.46453895051118</v>
      </c>
      <c r="EE165" s="482">
        <f>+EE30/6</f>
        <v>259.24304699192226</v>
      </c>
      <c r="EF165" s="1244">
        <f>+EF30/12</f>
        <v>255.35379297121673</v>
      </c>
      <c r="EG165" s="482">
        <f>+EG30/6</f>
        <v>274.09634745605717</v>
      </c>
      <c r="EH165" s="482">
        <f>+EH30/6</f>
        <v>282.57492122119521</v>
      </c>
      <c r="EI165" s="1244">
        <f>+EI30/12</f>
        <v>278.33563433862622</v>
      </c>
      <c r="EJ165" s="482">
        <f>+EJ30/6</f>
        <v>298.76501872710236</v>
      </c>
      <c r="EK165" s="482">
        <f>+EK30/6</f>
        <v>308.00666413110281</v>
      </c>
      <c r="EL165" s="1244">
        <f>+EL30/12</f>
        <v>303.38584142910258</v>
      </c>
      <c r="EM165" s="482">
        <f>+EM30/6</f>
        <v>325.65387041254161</v>
      </c>
      <c r="EN165" s="482">
        <f>+EN30/6</f>
        <v>335.72726390290217</v>
      </c>
      <c r="EO165" s="1244">
        <f>+EO30/12</f>
        <v>330.69056715772189</v>
      </c>
      <c r="EP165" s="482">
        <f>+EP30/6</f>
        <v>354.96271874967033</v>
      </c>
      <c r="EQ165" s="482">
        <f>+EQ30/6</f>
        <v>365.94271765416335</v>
      </c>
      <c r="ER165" s="1244">
        <f>+ER30/12</f>
        <v>360.45271820191687</v>
      </c>
      <c r="ES165" s="482">
        <f>+ES30/6</f>
        <v>386.90936343714071</v>
      </c>
      <c r="ET165" s="482">
        <f>+ET30/6</f>
        <v>398.87756224303808</v>
      </c>
      <c r="EU165" s="1244">
        <f>+EU30/12</f>
        <v>392.8934628400894</v>
      </c>
      <c r="EV165" s="482">
        <f>+EV30/6</f>
        <v>421.73120614648343</v>
      </c>
      <c r="EW165" s="482">
        <f>+EW30/6</f>
        <v>434.77654284491155</v>
      </c>
      <c r="EX165" s="1244">
        <f>+EX30/12</f>
        <v>428.25387449569752</v>
      </c>
      <c r="EY165" s="482">
        <f>+EY30/6</f>
        <v>459.68701469966692</v>
      </c>
      <c r="EZ165" s="482">
        <f>+EZ30/6</f>
        <v>473.90643170095365</v>
      </c>
      <c r="FA165" s="1244">
        <f>+FA30/12</f>
        <v>466.79672320031028</v>
      </c>
      <c r="FE165"/>
      <c r="FF165"/>
      <c r="FG165"/>
      <c r="FH165"/>
      <c r="FI165"/>
      <c r="FJ165"/>
      <c r="FK165" s="35"/>
    </row>
    <row r="166" spans="2:167" s="236" customFormat="1" ht="13.35" customHeight="1" outlineLevel="1">
      <c r="B166" s="242" t="s">
        <v>896</v>
      </c>
      <c r="C166" s="242" t="s">
        <v>460</v>
      </c>
      <c r="D166" s="243"/>
      <c r="E166" s="293"/>
      <c r="F166" s="293"/>
      <c r="G166" s="293"/>
      <c r="H166" s="293"/>
      <c r="I166" s="293"/>
      <c r="J166" s="293"/>
      <c r="K166" s="293"/>
      <c r="L166" s="293"/>
      <c r="M166" s="293"/>
      <c r="N166" s="293"/>
      <c r="O166" s="293"/>
      <c r="P166" s="293"/>
      <c r="Q166" s="293"/>
      <c r="R166" s="293"/>
      <c r="S166" s="293"/>
      <c r="T166" s="293"/>
      <c r="U166" s="293"/>
      <c r="V166" s="293"/>
      <c r="W166" s="293"/>
      <c r="X166" s="293"/>
      <c r="Y166" s="293"/>
      <c r="Z166" s="293"/>
      <c r="AA166" s="293"/>
      <c r="AB166" s="293"/>
      <c r="AC166" s="293"/>
      <c r="AD166" s="293"/>
      <c r="AE166" s="293"/>
      <c r="AF166" s="293"/>
      <c r="AG166" s="293"/>
      <c r="AH166" s="293"/>
      <c r="AI166" s="293">
        <f>+(AI76*2)/(((AH269+AH290)+(AI269+AI290))/2)</f>
        <v>1.1946985252940079E-2</v>
      </c>
      <c r="AJ166" s="293">
        <f>+(AJ76*2)/(((AI269+AI290)+(AJ269+AJ290))/2)</f>
        <v>0</v>
      </c>
      <c r="AK166" s="293">
        <f>+(AK76)/(((AH269+AH290)+(AK269+AK290))/2)</f>
        <v>2.4150943396226417E-2</v>
      </c>
      <c r="AL166" s="293">
        <f>+(AL76*2)/(((AK269+AK290)+(AL269+AL290))/2)</f>
        <v>0.11271477663230241</v>
      </c>
      <c r="AM166" s="293">
        <f>+(AM76*2)/(((AL269+AL290)+(AM269+AM290))/2)</f>
        <v>3.5634743875278388E-2</v>
      </c>
      <c r="AN166" s="293">
        <f>+(AN76)/(((AK269+AK290)+(AN269+AN290))/2)</f>
        <v>2.9411764705882353E-2</v>
      </c>
      <c r="AO166" s="293">
        <f>+(AO76*2)/(((AN269+AN290)+(AO269+AO290))/2)</f>
        <v>3.7582211086752269E-2</v>
      </c>
      <c r="AP166" s="293">
        <f>+(AP76*2)/(((AO269+AO290)+(AP269+AP290))/2)</f>
        <v>4.9259027342934664E-2</v>
      </c>
      <c r="AQ166" s="293">
        <f>+(AQ76)/(((AN269+AN290)+(AQ269+AQ290))/2)</f>
        <v>3.8220651999357633E-2</v>
      </c>
      <c r="AR166" s="293">
        <f>+(AR76*2)/(((AQ269+AQ290)+(AR269+AR290))/2)</f>
        <v>3.7132987910189985E-2</v>
      </c>
      <c r="AS166" s="293">
        <f>+(AS76*2)/(((AR269+AR290)+(AS269+AS290))/2)</f>
        <v>3.9737730975561304E-2</v>
      </c>
      <c r="AT166" s="293">
        <f>+(AT76)/(((AQ269+AQ290)+(AT269+AT290))/2)</f>
        <v>3.6956089807272011E-2</v>
      </c>
      <c r="AU166" s="293">
        <f>+(AU76*2)/(((AT269+AT290)+(AU269+AU290))/2)</f>
        <v>3.5333087964666915E-2</v>
      </c>
      <c r="AV166" s="293">
        <f>+(AV76*2)/(((AU269+AU290)+(AV269+AV290))/2)</f>
        <v>4.4020067972163783E-2</v>
      </c>
      <c r="AW166" s="293">
        <f>+(AW76)/(((AT269+AT290)+(AW269+AW290))/2)</f>
        <v>3.7546528564492636E-2</v>
      </c>
      <c r="AX166" s="293">
        <f>+(AX76*2)/(((AW269+AW290)+(AX269+AX290))/2)</f>
        <v>2.4841132293471978E-2</v>
      </c>
      <c r="AY166" s="293">
        <f>+(AY76*2)/(((AX269+AX290)+(AY269+AY290))/2)</f>
        <v>3.4083162917518749E-2</v>
      </c>
      <c r="AZ166" s="293">
        <f>+(AZ76)/(((AW269+AW290)+(AZ269+AZ290))/2)</f>
        <v>3.1697341513292433E-2</v>
      </c>
      <c r="BA166" s="293">
        <f>+(BA76*2)/(((AZ269+AZ290)+(BA269+BA290))/2)</f>
        <v>2.0781379883624274E-2</v>
      </c>
      <c r="BB166" s="293">
        <f>+(BB76*2)/(((BA269+BA290)+(BB269+BB290))/2)</f>
        <v>6.5150888797023562E-2</v>
      </c>
      <c r="BC166" s="293">
        <f>+(BC76)/(((AZ269+AZ290)+(BC269+BC290))/2)</f>
        <v>3.6709384042992968E-2</v>
      </c>
      <c r="BD166" s="293">
        <f>+(BD76*2)/(((BC269+BC290)+(BD269+BD290))/2)</f>
        <v>4.0408938457186731E-2</v>
      </c>
      <c r="BE166" s="293">
        <f>+(BE76*2)/(((BD269+BD290)+(BE269+BE290))/2)</f>
        <v>9.157975069956753E-2</v>
      </c>
      <c r="BF166" s="293">
        <f>+(BF76)/(((BC269+BC290)+(BF269+BF290))/2)</f>
        <v>6.7764650422792477E-2</v>
      </c>
      <c r="BG166" s="293">
        <f>+(BG76*2)/(((BF269+BF290)+(BG269+BG290))/2)</f>
        <v>5.4767776407727092E-2</v>
      </c>
      <c r="BH166" s="293">
        <f>+(BH76*2)/(((BG269+BG290)+(BH269+BH290))/2)</f>
        <v>3.5443549745628515E-2</v>
      </c>
      <c r="BI166" s="293">
        <f>+(BI76)/(((BF269+BF290)+(BI269+BI290))/2)</f>
        <v>4.0553277122551398E-2</v>
      </c>
      <c r="BJ166" s="293">
        <f>+(BJ76*2)/(((BI269+BI290)+(BJ269+BJ290))/2)</f>
        <v>3.7985334775814401E-2</v>
      </c>
      <c r="BK166" s="293">
        <f>+(BK76*2)/(((BJ269+BJ290)+(BK269+BK290))/2)</f>
        <v>3.1721219284366248E-2</v>
      </c>
      <c r="BL166" s="293">
        <f>+(BL76)/(((BI269+BI290)+(BL269+BL290))/2)</f>
        <v>3.9684869837541596E-2</v>
      </c>
      <c r="BM166" s="293">
        <f>+(BM76*2)/(((BL269+BL290)+(BM269+BM290))/2)</f>
        <v>3.3365250055240478E-2</v>
      </c>
      <c r="BN166" s="293">
        <f>+(BN76*2)/(((BM269+BM290)+(BN269+BN290))/2)</f>
        <v>4.2764763562693577E-2</v>
      </c>
      <c r="BO166" s="293">
        <f>+(BO76)/(((BL269+BL290)+(BO269+BO290))/2)</f>
        <v>2.5580430271923121E-2</v>
      </c>
      <c r="BP166" s="293">
        <f>+(BP76*2)/(((BO269+BO290)+(BP269+BP290))/2)</f>
        <v>3.0454327303611046E-2</v>
      </c>
      <c r="BQ166" s="293">
        <f>+(BQ76*2)/(((BP269+BP290)+(BQ269+BQ290))/2)</f>
        <v>3.4387589364504867E-2</v>
      </c>
      <c r="BR166" s="293">
        <f>+(BR76)/(((BO269+BO290)+(BR269+BR290))/2)</f>
        <v>3.202722138422142E-2</v>
      </c>
      <c r="BS166" s="293">
        <f>+(BS76*2)/(((BR269+BR290)+(BS269+BS290))/2)</f>
        <v>6.1720315347516597E-2</v>
      </c>
      <c r="BT166" s="293">
        <f>+(BT76*2)/(((BS269+BS290)+(BT269+BT290))/2)</f>
        <v>6.1670727897532016E-2</v>
      </c>
      <c r="BU166" s="293">
        <f>+(BU76)/(((BR269+BR290)+(BU269+BU290))/2)</f>
        <v>6.228461318363554E-2</v>
      </c>
      <c r="BV166" s="293">
        <f>+(BV76*2)/(((BU269+BU290)+(BV269+BV290))/2)</f>
        <v>5.7121108167527211E-2</v>
      </c>
      <c r="BW166" s="293">
        <f>+(BW76*2)/(((BV269+BV290)+(BW269+BW290))/2)</f>
        <v>6.8229425356857498E-2</v>
      </c>
      <c r="BX166" s="293">
        <f>+(BX76)/(((BU269+BU290)+(BX269+BX290))/2)</f>
        <v>6.5182502331432052E-2</v>
      </c>
      <c r="BY166" s="293">
        <f>+(BY76*2)/(((BX269+BX290)+(BY269+BY290))/2)</f>
        <v>0.10212168002418243</v>
      </c>
      <c r="BZ166" s="293">
        <f>+(BZ76*2)/(((BY269+BY290)+(BZ269+BZ290))/2)</f>
        <v>-5.4327400345766863E-3</v>
      </c>
      <c r="CA166" s="293">
        <f>+(CA76)/(((BX269+BX290)+(CA269+CA290))/2)</f>
        <v>4.9368874907269523E-2</v>
      </c>
      <c r="CB166" s="293">
        <f>+(CB76*2)/(((CA269+CA290)+(CB269+CB290))/2)</f>
        <v>7.107803907238569E-2</v>
      </c>
      <c r="CC166" s="293">
        <f>+(CC76*2)/(((CB269+CB290)+(CC269+CC290))/2)</f>
        <v>8.7179367237905578E-2</v>
      </c>
      <c r="CD166" s="293">
        <f>+(CD76)/(((CA269+CA290)+(CD269+CD290))/2)</f>
        <v>7.1856322105360707E-2</v>
      </c>
      <c r="CE166" s="293">
        <f>+(CE76*2)/(((CD269+CD290)+(CE269+CE290))/2)</f>
        <v>8.4281032139716675E-2</v>
      </c>
      <c r="CF166" s="293">
        <f>+(CF76*2)/(((CE269+CE290)+(CF269+CF290))/2)</f>
        <v>0.10162804911929767</v>
      </c>
      <c r="CG166" s="293">
        <f>+(CG76)/(((CD269+CD290)+(CG269+CG290))/2)</f>
        <v>7.8858884819255182E-2</v>
      </c>
      <c r="CH166" s="293">
        <f>+(CH76*2)/(((CG269+CG290)+(CH269+CH290))/2)</f>
        <v>7.7205531061030036E-2</v>
      </c>
      <c r="CI166" s="293">
        <f>+(CI76*2)/(((CH269+CH290)+(CI269+CI290))/2)</f>
        <v>8.9091518605430783E-2</v>
      </c>
      <c r="CJ166" s="293">
        <f>+(CJ76)/(((CG269+CG290)+(CJ269+CJ290))/2)</f>
        <v>9.5562185344023887E-2</v>
      </c>
      <c r="CK166" s="293">
        <f>+(CK76*2)/(((CJ269+CJ290)+(CK269+CK290))/2)</f>
        <v>6.0060291070286695E-2</v>
      </c>
      <c r="CL166" s="293">
        <f>+(CL76*2)/(((CK269+CK290)+(CL269+CL290))/2)</f>
        <v>4.8070897860531724E-2</v>
      </c>
      <c r="CM166" s="293">
        <f>+(CM76)/(((CJ269+CJ290)+(CM269+CM290))/2)</f>
        <v>5.8287209760270346E-2</v>
      </c>
      <c r="CN166" s="293">
        <f>+(CN76*2)/(((CM269+CM290)+(CN269+CN290))/2)</f>
        <v>4.7783462284835813E-2</v>
      </c>
      <c r="CO166" s="293">
        <f>+(CO76*2)/(((CN269+CN290)+(CO269+CO290))/2)</f>
        <v>4.7966946711059728E-2</v>
      </c>
      <c r="CP166" s="489">
        <f>+(CP76)/(((CM269+CM290)+(CP269+CP290))/2)</f>
        <v>5.0509458571554651E-2</v>
      </c>
      <c r="CQ166" s="293">
        <f>+(CQ76*2)/(((CP269+CP290)+(CQ269+CQ290))/2)</f>
        <v>4.7378353597937989E-2</v>
      </c>
      <c r="CR166" s="293">
        <f>+(CR76*2)/(((CQ269+CQ290)+(CR269+CR290))/2)</f>
        <v>4.3845853574885685E-2</v>
      </c>
      <c r="CS166" s="293">
        <f>+(CS76)/(((CP269+CP290)+(CS269+CS290))/2)</f>
        <v>4.6209283622807851E-2</v>
      </c>
      <c r="CT166" s="293">
        <f>+(CT76*2)/(((CS269+CS290)+(CT269+CT290))/2)</f>
        <v>4.5220560607199208E-2</v>
      </c>
      <c r="CU166" s="293">
        <f>+(CU76*2)/(((CT269+CT290)+(CU269+CU290))/2)</f>
        <v>3.9296076544662134E-2</v>
      </c>
      <c r="CV166" s="293">
        <f>+(CV76)/(((CS269+CS290)+(CV269+CV290))/2)</f>
        <v>4.3384760154600702E-2</v>
      </c>
      <c r="CW166" s="293">
        <f>+(CW76*2)/(((CV269+CV290)+(CW269+CW290))/2)</f>
        <v>4.0297781928809805E-2</v>
      </c>
      <c r="CX166" s="293">
        <f>+(CX76*2)/(((CW269+CW290)+(CX269+CX290))/2)</f>
        <v>3.921743897023923E-2</v>
      </c>
      <c r="CY166" s="293">
        <f>+(CY76)/(((CV269+CV290)+(CY269+CY290))/2)</f>
        <v>3.6543656832298141E-2</v>
      </c>
      <c r="CZ166" s="293">
        <f>+(CZ76*2)/(((CY269+CY290)+(CZ269+CZ290))/2)</f>
        <v>3.44E-2</v>
      </c>
      <c r="DA166" s="293">
        <f>+(DA76*2)/(((CZ269+CZ290)+(DA269+DA290))/2)</f>
        <v>4.6146242532550424E-2</v>
      </c>
      <c r="DB166" s="293">
        <f>+(DB76)/(((CY269+CY290)+(DB269+DB290))/2)</f>
        <v>4.6369284985625522E-2</v>
      </c>
      <c r="DC166" s="293">
        <f>+(DC76*2)/(((DB269+DB290)+(DC269+DC290))/2)</f>
        <v>3.8375439718580116E-2</v>
      </c>
      <c r="DD166" s="293">
        <f>+(DD76*2)/(((DC269+DC290)+(DD269+DD290))/2)</f>
        <v>2.5389497980380829E-2</v>
      </c>
      <c r="DE166" s="293">
        <f>+(DE76)/(((DB269+DB290)+(DE269+DE290))/2)</f>
        <v>3.15821439416945E-2</v>
      </c>
      <c r="DF166" s="293">
        <f>+(DF76*2)/(((DE269+DE290)+(DF269+DF290))/2)</f>
        <v>2.1189501565133637E-2</v>
      </c>
      <c r="DG166" s="293">
        <f>+(DG76*2)/(((DF269+DF290)+(DG269+DG290))/2)</f>
        <v>1.3500000000000002E-2</v>
      </c>
      <c r="DH166" s="1248">
        <f>+(DH76)/(((DE269+DE290)+(DH269+DH290))/2)</f>
        <v>1.4010007639419406E-2</v>
      </c>
      <c r="DI166" s="293">
        <f>+(DI76*2)/(((DH269+DH290)+(DI269+DI290))/2)</f>
        <v>2.6214219633373313E-2</v>
      </c>
      <c r="DJ166" s="293">
        <f>+(DJ76*2)/(((DI269+DI290)+(DJ269+DJ290))/2)</f>
        <v>3.8003465982028251E-2</v>
      </c>
      <c r="DK166" s="1248">
        <f>+(DK76)/(((DH269+DH290)+(DK269+DK290))/2)</f>
        <v>2.0488685074338677E-2</v>
      </c>
      <c r="DL166" s="293">
        <f>+(DL76*2)/(((DK269+DK290)+(DL269+DL290))/2)</f>
        <v>3.4225729729729745E-2</v>
      </c>
      <c r="DM166" s="293">
        <f>+(DM76*2)/(((DL269+DL290)+(DM269+DM290))/2)</f>
        <v>4.0338956714761391E-2</v>
      </c>
      <c r="DN166" s="1248">
        <f>+(DN76)/(((DK269+DK290)+(DN269+DN290))/2)</f>
        <v>3.8815182648401843E-2</v>
      </c>
      <c r="DO166" s="293">
        <f>+(DO76*2)/(((DN269+DN290)+(DO269+DO290))/2)</f>
        <v>6.4073659117997644E-2</v>
      </c>
      <c r="DP166" s="293">
        <f>+(DP76*2)/(((DO269+DO290)+(DP269+DP290))/2)</f>
        <v>0.14151186440677968</v>
      </c>
      <c r="DQ166" s="1248">
        <f>+(DQ76)/(((DN269+DN290)+(DQ269+DQ290))/2)</f>
        <v>0.13169272300469487</v>
      </c>
      <c r="DR166" s="293">
        <f>IFERROR(+(DR76*2)/(((DQ269+DQ290)+(DR269+DR290))/2),)</f>
        <v>0</v>
      </c>
      <c r="DS166" s="293">
        <v>0</v>
      </c>
      <c r="DT166" s="1248">
        <v>0</v>
      </c>
      <c r="DU166" s="293">
        <v>0</v>
      </c>
      <c r="DV166" s="293">
        <v>0</v>
      </c>
      <c r="DW166" s="1248">
        <v>0</v>
      </c>
      <c r="DX166" s="293">
        <v>0</v>
      </c>
      <c r="DY166" s="293">
        <v>0</v>
      </c>
      <c r="DZ166" s="1248">
        <v>0</v>
      </c>
      <c r="EA166" s="293">
        <v>0</v>
      </c>
      <c r="EB166" s="293">
        <v>0</v>
      </c>
      <c r="EC166" s="1248">
        <v>0</v>
      </c>
      <c r="ED166" s="293">
        <v>0</v>
      </c>
      <c r="EE166" s="293">
        <v>0</v>
      </c>
      <c r="EF166" s="1248">
        <v>0</v>
      </c>
      <c r="EG166" s="293">
        <v>0</v>
      </c>
      <c r="EH166" s="293">
        <v>0</v>
      </c>
      <c r="EI166" s="1248">
        <v>0</v>
      </c>
      <c r="EJ166" s="293">
        <v>0</v>
      </c>
      <c r="EK166" s="293">
        <v>0</v>
      </c>
      <c r="EL166" s="1248">
        <v>0</v>
      </c>
      <c r="EM166" s="293">
        <v>0</v>
      </c>
      <c r="EN166" s="293">
        <v>0</v>
      </c>
      <c r="EO166" s="1248">
        <v>0</v>
      </c>
      <c r="EP166" s="293">
        <v>0</v>
      </c>
      <c r="EQ166" s="293">
        <v>0</v>
      </c>
      <c r="ER166" s="1248">
        <v>0</v>
      </c>
      <c r="ES166" s="293">
        <v>0</v>
      </c>
      <c r="ET166" s="293">
        <v>0</v>
      </c>
      <c r="EU166" s="1248">
        <v>0</v>
      </c>
      <c r="EV166" s="293">
        <v>0</v>
      </c>
      <c r="EW166" s="293">
        <v>0</v>
      </c>
      <c r="EX166" s="1248">
        <v>0</v>
      </c>
      <c r="EY166" s="293">
        <v>0</v>
      </c>
      <c r="EZ166" s="293">
        <v>0</v>
      </c>
      <c r="FA166" s="1248">
        <v>0</v>
      </c>
      <c r="FE166"/>
      <c r="FF166"/>
      <c r="FG166"/>
      <c r="FH166"/>
      <c r="FI166"/>
      <c r="FJ166"/>
      <c r="FK166" s="35"/>
    </row>
    <row r="167" spans="2:167" s="236" customFormat="1" ht="13.35" customHeight="1" outlineLevel="1">
      <c r="B167" s="242" t="s">
        <v>636</v>
      </c>
      <c r="C167" s="242"/>
      <c r="D167" s="243"/>
      <c r="E167" s="293"/>
      <c r="F167" s="293"/>
      <c r="G167" s="293"/>
      <c r="H167" s="293"/>
      <c r="I167" s="293"/>
      <c r="J167" s="293"/>
      <c r="K167" s="293"/>
      <c r="L167" s="293"/>
      <c r="M167" s="293"/>
      <c r="N167" s="293"/>
      <c r="O167" s="293"/>
      <c r="P167" s="293"/>
      <c r="Q167" s="293"/>
      <c r="R167" s="293"/>
      <c r="S167" s="293"/>
      <c r="T167" s="293"/>
      <c r="U167" s="293"/>
      <c r="V167" s="293"/>
      <c r="W167" s="293"/>
      <c r="X167" s="293"/>
      <c r="Y167" s="293"/>
      <c r="Z167" s="293"/>
      <c r="AA167" s="293"/>
      <c r="AB167" s="293"/>
      <c r="AC167" s="293"/>
      <c r="AD167" s="293"/>
      <c r="AE167" s="293"/>
      <c r="AF167" s="293"/>
      <c r="AG167" s="293"/>
      <c r="AH167" s="293"/>
      <c r="AI167" s="293"/>
      <c r="AJ167" s="293"/>
      <c r="AK167" s="293"/>
      <c r="AL167" s="293"/>
      <c r="AM167" s="293"/>
      <c r="AN167" s="293"/>
      <c r="AO167" s="293"/>
      <c r="AP167" s="293"/>
      <c r="AQ167" s="293"/>
      <c r="AR167" s="293"/>
      <c r="AS167" s="293"/>
      <c r="AT167" s="293"/>
      <c r="AU167" s="293"/>
      <c r="AV167" s="293"/>
      <c r="AW167" s="293"/>
      <c r="AX167" s="293"/>
      <c r="AY167" s="293"/>
      <c r="AZ167" s="293"/>
      <c r="BA167" s="293"/>
      <c r="BB167" s="293"/>
      <c r="BC167" s="293"/>
      <c r="BD167" s="293"/>
      <c r="BE167" s="293"/>
      <c r="BF167" s="293"/>
      <c r="BG167" s="293"/>
      <c r="BH167" s="293"/>
      <c r="BI167" s="293"/>
      <c r="BJ167" s="293"/>
      <c r="BK167" s="293"/>
      <c r="BL167" s="293"/>
      <c r="BM167" s="293"/>
      <c r="BN167" s="293"/>
      <c r="BO167" s="293"/>
      <c r="BP167" s="293"/>
      <c r="BQ167" s="293"/>
      <c r="BR167" s="293"/>
      <c r="BS167" s="293"/>
      <c r="BT167" s="293"/>
      <c r="BU167" s="293"/>
      <c r="BV167" s="293"/>
      <c r="BW167" s="293"/>
      <c r="BX167" s="293"/>
      <c r="BY167" s="293"/>
      <c r="BZ167" s="293"/>
      <c r="CA167" s="293"/>
      <c r="CB167" s="293"/>
      <c r="CC167" s="293"/>
      <c r="CD167" s="293"/>
      <c r="CE167" s="293"/>
      <c r="CF167" s="293"/>
      <c r="CG167" s="293"/>
      <c r="CH167" s="293"/>
      <c r="CI167" s="293"/>
      <c r="CJ167" s="293"/>
      <c r="CK167" s="293"/>
      <c r="CL167" s="293"/>
      <c r="CM167" s="293"/>
      <c r="CN167" s="293"/>
      <c r="CO167" s="293"/>
      <c r="CP167" s="293"/>
      <c r="CQ167" s="293"/>
      <c r="CR167" s="293"/>
      <c r="CS167" s="293"/>
      <c r="CT167" s="293"/>
      <c r="CU167" s="293"/>
      <c r="CV167" s="293"/>
      <c r="CW167" s="293"/>
      <c r="CX167" s="293"/>
      <c r="CY167" s="293"/>
      <c r="CZ167" s="293"/>
      <c r="DA167" s="293"/>
      <c r="DB167" s="293"/>
      <c r="DC167" s="293"/>
      <c r="DD167" s="293"/>
      <c r="DE167" s="293"/>
      <c r="DF167" s="293"/>
      <c r="DG167" s="293"/>
      <c r="DH167" s="1248"/>
      <c r="DI167" s="293"/>
      <c r="DJ167" s="293"/>
      <c r="DK167" s="1248"/>
      <c r="DL167" s="293"/>
      <c r="DM167" s="293"/>
      <c r="DN167" s="1248"/>
      <c r="DO167" s="293"/>
      <c r="DP167" s="293"/>
      <c r="DQ167" s="1248"/>
      <c r="DR167" s="293"/>
      <c r="DS167" s="293"/>
      <c r="DT167" s="1248"/>
      <c r="DU167" s="293"/>
      <c r="DV167" s="293"/>
      <c r="DW167" s="1248"/>
      <c r="DX167" s="293"/>
      <c r="DY167" s="293"/>
      <c r="DZ167" s="1248"/>
      <c r="EA167" s="293"/>
      <c r="EB167" s="293"/>
      <c r="EC167" s="1248"/>
      <c r="ED167" s="293"/>
      <c r="EE167" s="293"/>
      <c r="EF167" s="1248"/>
      <c r="EG167" s="293"/>
      <c r="EH167" s="293"/>
      <c r="EI167" s="1248"/>
      <c r="EJ167" s="293"/>
      <c r="EK167" s="293"/>
      <c r="EL167" s="1248"/>
      <c r="EM167" s="293"/>
      <c r="EN167" s="293"/>
      <c r="EO167" s="1248"/>
      <c r="EP167" s="293"/>
      <c r="EQ167" s="293"/>
      <c r="ER167" s="1248"/>
      <c r="ES167" s="293"/>
      <c r="ET167" s="293"/>
      <c r="EU167" s="1248"/>
      <c r="EV167" s="293"/>
      <c r="EW167" s="293"/>
      <c r="EX167" s="1248"/>
      <c r="EY167" s="293"/>
      <c r="EZ167" s="293"/>
      <c r="FA167" s="1248"/>
      <c r="FE167"/>
      <c r="FF167"/>
      <c r="FG167"/>
      <c r="FH167"/>
      <c r="FI167"/>
      <c r="FJ167"/>
      <c r="FK167" s="35"/>
    </row>
    <row r="168" spans="2:167" s="236" customFormat="1" ht="13.35" customHeight="1" outlineLevel="1">
      <c r="B168" s="242" t="s">
        <v>724</v>
      </c>
      <c r="C168" s="242" t="s">
        <v>460</v>
      </c>
      <c r="D168" s="243"/>
      <c r="E168" s="293"/>
      <c r="F168" s="293"/>
      <c r="G168" s="293"/>
      <c r="H168" s="293"/>
      <c r="I168" s="293"/>
      <c r="J168" s="293"/>
      <c r="K168" s="293"/>
      <c r="L168" s="293"/>
      <c r="M168" s="293"/>
      <c r="N168" s="293"/>
      <c r="O168" s="293"/>
      <c r="P168" s="293"/>
      <c r="Q168" s="293"/>
      <c r="R168" s="293"/>
      <c r="S168" s="293"/>
      <c r="T168" s="293"/>
      <c r="U168" s="293"/>
      <c r="V168" s="293"/>
      <c r="W168" s="293"/>
      <c r="X168" s="293"/>
      <c r="Y168" s="293"/>
      <c r="Z168" s="293"/>
      <c r="AA168" s="293"/>
      <c r="AB168" s="293"/>
      <c r="AC168" s="293"/>
      <c r="AD168" s="293"/>
      <c r="AE168" s="293"/>
      <c r="AF168" s="293"/>
      <c r="AG168" s="293"/>
      <c r="AH168" s="293"/>
      <c r="AI168" s="293"/>
      <c r="AJ168" s="293">
        <f>+(AJ30-AI30)/AI30</f>
        <v>2.5555424249586657E-2</v>
      </c>
      <c r="AK168" s="293"/>
      <c r="AL168" s="293">
        <f>+(AL30-AJ30)/AJ30</f>
        <v>5.3438193184109389E-2</v>
      </c>
      <c r="AM168" s="293">
        <f>+(AM30-AL30)/AL30</f>
        <v>-2.3545176110260066E-2</v>
      </c>
      <c r="AN168" s="293"/>
      <c r="AO168" s="293">
        <f>+(AO30-AM30)/AM30</f>
        <v>-6.777382586047577E-2</v>
      </c>
      <c r="AP168" s="293">
        <f>+(AP30-AO30)/AO30</f>
        <v>0.1603929461952113</v>
      </c>
      <c r="AQ168" s="293"/>
      <c r="AR168" s="293">
        <f>+(AR30-AP30)/AP30</f>
        <v>0.11836586755035476</v>
      </c>
      <c r="AS168" s="293">
        <f>+(AS30-AR30)/AR30</f>
        <v>0.12273716375758119</v>
      </c>
      <c r="AT168" s="293"/>
      <c r="AU168" s="293">
        <f>+(AU30-AS30)/AS30</f>
        <v>0.29123711340206204</v>
      </c>
      <c r="AV168" s="293">
        <f>+(AV30-AU30)/AU30</f>
        <v>3.0834331337325306E-2</v>
      </c>
      <c r="AW168" s="293"/>
      <c r="AX168" s="293">
        <f>+(AX30-AV30)/AV30</f>
        <v>2.6984323687960911E-2</v>
      </c>
      <c r="AY168" s="293">
        <f>+(AY30-AX30)/AX30</f>
        <v>0.17439440103773843</v>
      </c>
      <c r="AZ168" s="293"/>
      <c r="BA168" s="293">
        <f>+(BA30-AY30)/AY30</f>
        <v>0.32555869509375823</v>
      </c>
      <c r="BB168" s="293">
        <f>+(BB30-BA30)/BA30</f>
        <v>0.13269320207735827</v>
      </c>
      <c r="BC168" s="293"/>
      <c r="BD168" s="293">
        <f>+(BD30-BB30)/BB30</f>
        <v>2.7219147498353358E-2</v>
      </c>
      <c r="BE168" s="293">
        <f>+(BE30-BD30)/BD30</f>
        <v>0.13349710621643043</v>
      </c>
      <c r="BF168" s="293"/>
      <c r="BG168" s="293">
        <f>+(BG30-BE30)/BE30</f>
        <v>7.7206206470950917E-2</v>
      </c>
      <c r="BH168" s="293">
        <f>+(BH30-BG30)/BG30</f>
        <v>-4.937766410912197E-2</v>
      </c>
      <c r="BI168" s="293"/>
      <c r="BJ168" s="293">
        <f>+(BJ30-BH30)/BH30</f>
        <v>-0.12588872547261182</v>
      </c>
      <c r="BK168" s="293">
        <f>+(BK30-BJ30)/BJ30</f>
        <v>5.1749043812275373E-2</v>
      </c>
      <c r="BL168" s="293"/>
      <c r="BM168" s="293">
        <f>+(BM30-BK30)/BK30</f>
        <v>0.28896623303652968</v>
      </c>
      <c r="BN168" s="293">
        <f>+(BN30-BM30)/BM30</f>
        <v>0.1127430799409098</v>
      </c>
      <c r="BO168" s="293"/>
      <c r="BP168" s="293">
        <f>+(BP30-BN30)/BN30</f>
        <v>0.1536082503717528</v>
      </c>
      <c r="BQ168" s="293">
        <f>+(BQ30-BP30)/BP30</f>
        <v>0.13303752326499652</v>
      </c>
      <c r="BR168" s="293"/>
      <c r="BS168" s="293">
        <f>+(BS30-BQ30)/BQ30</f>
        <v>9.829873162053919E-2</v>
      </c>
      <c r="BT168" s="293">
        <f>+(BT30-BS30)/BS30</f>
        <v>2.8048286598070057E-2</v>
      </c>
      <c r="BU168" s="293"/>
      <c r="BV168" s="293">
        <f>+(BV30-BT30)/BT30</f>
        <v>5.1808579791750652E-2</v>
      </c>
      <c r="BW168" s="293">
        <f>+(BW30-BV30)/BV30</f>
        <v>2.3875878300143222E-2</v>
      </c>
      <c r="BX168" s="293"/>
      <c r="BY168" s="293">
        <f>+(BY30-BW30)/BW30</f>
        <v>0.16233492337178293</v>
      </c>
      <c r="BZ168" s="293">
        <f>+(BZ30-BY30)/BY30</f>
        <v>-4.089532360166459E-2</v>
      </c>
      <c r="CA168" s="293"/>
      <c r="CB168" s="293">
        <f>+(CB30-BZ30)/BZ30</f>
        <v>1.8799138849839539E-2</v>
      </c>
      <c r="CC168" s="293">
        <f>+(CC30-CB30)/CB30</f>
        <v>0.12406037375215817</v>
      </c>
      <c r="CD168" s="293"/>
      <c r="CE168" s="293">
        <f>+(CE30-CC30)/CC30</f>
        <v>-2.7556603248901947E-2</v>
      </c>
      <c r="CF168" s="293">
        <f>+(CF30-CE30)/CE30</f>
        <v>0.15548555600778466</v>
      </c>
      <c r="CG168" s="293"/>
      <c r="CH168" s="293">
        <f>+(CH30-CF30)/CF30</f>
        <v>-0.1042331117362064</v>
      </c>
      <c r="CI168" s="293">
        <f>+(CI30-CH30)/CH30</f>
        <v>7.928583590577595E-3</v>
      </c>
      <c r="CJ168" s="293"/>
      <c r="CK168" s="293">
        <f>+(CK30-CI30)/CI30</f>
        <v>3.91514020439451E-4</v>
      </c>
      <c r="CL168" s="293">
        <f>+(CL30-CK30)/CK30</f>
        <v>-8.482165154606007E-2</v>
      </c>
      <c r="CM168" s="293"/>
      <c r="CN168" s="293">
        <f>+(CN30-CL30)/CL30</f>
        <v>2.6510079954380917E-2</v>
      </c>
      <c r="CO168" s="293">
        <f>+(CO30-CN30)/CN30</f>
        <v>0.17369957379197315</v>
      </c>
      <c r="CP168" s="293"/>
      <c r="CQ168" s="293">
        <f>+(CQ30-CO30)/CO30</f>
        <v>5.0383664851264796E-2</v>
      </c>
      <c r="CR168" s="293">
        <f>+(CR30-CQ30)/CQ30</f>
        <v>0.1116015822828121</v>
      </c>
      <c r="CS168" s="293"/>
      <c r="CT168" s="293">
        <f>+(CT30-CR30)/CR30</f>
        <v>0.14532555914363743</v>
      </c>
      <c r="CU168" s="293">
        <f>+(CU30-CT30)/CT30</f>
        <v>2.276152614770793E-2</v>
      </c>
      <c r="CV168" s="293"/>
      <c r="CW168" s="293">
        <f>+(CW30-CU30)/CU30</f>
        <v>6.7146661714315867E-2</v>
      </c>
      <c r="CX168" s="293">
        <f>+(CX30-CW30)/CW30</f>
        <v>5.8459419499655017E-2</v>
      </c>
      <c r="CY168" s="293"/>
      <c r="CZ168" s="293">
        <f>+(CZ30-CX30)/CX30</f>
        <v>-8.8290587682232774E-3</v>
      </c>
      <c r="DA168" s="293">
        <f>+(DA30-CZ30)/CZ30</f>
        <v>0.1022478622297997</v>
      </c>
      <c r="DB168" s="293"/>
      <c r="DC168" s="293">
        <f>+(DC30-DA30)/DA30</f>
        <v>-4.4535634722740382E-3</v>
      </c>
      <c r="DD168" s="293">
        <f>+(DD30-DC30)/DC30</f>
        <v>3.006467323676653E-2</v>
      </c>
      <c r="DE168" s="293"/>
      <c r="DF168" s="293">
        <f>+(DF30-DD30)/DD30</f>
        <v>4.228525706538782E-2</v>
      </c>
      <c r="DG168" s="293">
        <f>+(DG30-DF30)/DF30</f>
        <v>-0.23988287976390704</v>
      </c>
      <c r="DH168" s="1248"/>
      <c r="DI168" s="293">
        <f>+(DI30-DG30)/DG30</f>
        <v>0.29870036573333325</v>
      </c>
      <c r="DJ168" s="293">
        <f>+(DJ30-DI30)/DI30</f>
        <v>1.5069967707212119E-2</v>
      </c>
      <c r="DK168" s="1248"/>
      <c r="DL168" s="293">
        <f>+(DL30-DJ30)/DJ30</f>
        <v>8.7884411452810271E-2</v>
      </c>
      <c r="DM168" s="293">
        <f>+(DM30-DL30)/DL30</f>
        <v>8.4074570488605616E-3</v>
      </c>
      <c r="DN168" s="1248"/>
      <c r="DO168" s="293">
        <f>+(DO30-DM30)/DM30</f>
        <v>6.9236346060899207E-2</v>
      </c>
      <c r="DP168" s="293">
        <f>+(DP30-DO30)/DO30</f>
        <v>0.18793083964289742</v>
      </c>
      <c r="DQ168" s="1248"/>
      <c r="DR168" s="293">
        <f>+(DR30-DP30)/DP30</f>
        <v>4.4996194824961901E-2</v>
      </c>
      <c r="DS168" s="293">
        <f>+(DS30-DR30)/DR30</f>
        <v>3.5138825671370381E-2</v>
      </c>
      <c r="DT168" s="1248"/>
      <c r="DU168" s="293">
        <f>+(DU30-DS30)/DS30</f>
        <v>3.0595374197519766E-2</v>
      </c>
      <c r="DV168" s="293">
        <f>+(DV30-DU30)/DU30</f>
        <v>-5.8025923934865132E-4</v>
      </c>
      <c r="DW168" s="1248"/>
      <c r="DX168" s="293">
        <f>+(DX30-DV30)/DV30</f>
        <v>-3.4238095644673152E-3</v>
      </c>
      <c r="DY168" s="293">
        <f>+(DY30-DX30)/DX30</f>
        <v>0.15007703121504842</v>
      </c>
      <c r="DZ168" s="1248"/>
      <c r="EA168" s="293">
        <f>+(EA30-DY30)/DY30</f>
        <v>3.7016993727125351E-2</v>
      </c>
      <c r="EB168" s="293">
        <f>+(EB30-EA30)/EA30</f>
        <v>3.0809408656482743E-2</v>
      </c>
      <c r="EC168" s="1248"/>
      <c r="ED168" s="293">
        <f>+(ED30-EB30)/EB30</f>
        <v>5.1457067776022297E-2</v>
      </c>
      <c r="EE168" s="293">
        <f>+(EE30-ED30)/ED30</f>
        <v>3.0932822869875466E-2</v>
      </c>
      <c r="EF168" s="1248"/>
      <c r="EG168" s="293">
        <f>+(EG30-EE30)/EE30</f>
        <v>5.7294884613039325E-2</v>
      </c>
      <c r="EH168" s="293">
        <f>+(EH30-EG30)/EG30</f>
        <v>3.0932822869875462E-2</v>
      </c>
      <c r="EI168" s="1248"/>
      <c r="EJ168" s="293">
        <f>+(EJ30-EH30)/EH30</f>
        <v>5.7294884613039505E-2</v>
      </c>
      <c r="EK168" s="293">
        <f>+(EK30-EJ30)/EJ30</f>
        <v>3.0932822869875486E-2</v>
      </c>
      <c r="EL168" s="1248"/>
      <c r="EM168" s="293">
        <f>+(EM30-EK30)/EK30</f>
        <v>5.729488461303954E-2</v>
      </c>
      <c r="EN168" s="293">
        <f>+(EN30-EM30)/EM30</f>
        <v>3.0932822869875559E-2</v>
      </c>
      <c r="EO168" s="1248"/>
      <c r="EP168" s="293">
        <f>+(EP30-EN30)/EN30</f>
        <v>5.7294884613039332E-2</v>
      </c>
      <c r="EQ168" s="293">
        <f>+(EQ30-EP30)/EP30</f>
        <v>3.0932822869875632E-2</v>
      </c>
      <c r="ER168" s="1248"/>
      <c r="ES168" s="293">
        <f>+(ES30-EQ30)/EQ30</f>
        <v>5.7294884613039457E-2</v>
      </c>
      <c r="ET168" s="293">
        <f>+(ET30-ES30)/ES30</f>
        <v>3.0932822869875538E-2</v>
      </c>
      <c r="EU168" s="1248"/>
      <c r="EV168" s="293">
        <f>+(EV30-ET30)/ET30</f>
        <v>5.7294884613039491E-2</v>
      </c>
      <c r="EW168" s="293">
        <f>+(EW30-EV30)/EV30</f>
        <v>3.0932822869875441E-2</v>
      </c>
      <c r="EX168" s="1248"/>
      <c r="EY168" s="293">
        <f>+(EY30-EW30)/EW30</f>
        <v>5.7294884613039408E-2</v>
      </c>
      <c r="EZ168" s="293">
        <f>+(EZ30-EY30)/EY30</f>
        <v>3.0932822869875667E-2</v>
      </c>
      <c r="FA168" s="1248"/>
      <c r="FE168"/>
      <c r="FF168"/>
      <c r="FG168"/>
      <c r="FH168"/>
      <c r="FI168"/>
      <c r="FJ168"/>
      <c r="FK168" s="35"/>
    </row>
    <row r="169" spans="2:167" s="236" customFormat="1" ht="13.35" customHeight="1" outlineLevel="1">
      <c r="B169" s="242" t="s">
        <v>725</v>
      </c>
      <c r="C169" s="242" t="s">
        <v>460</v>
      </c>
      <c r="D169" s="243"/>
      <c r="E169" s="293"/>
      <c r="F169" s="293"/>
      <c r="G169" s="293"/>
      <c r="H169" s="293"/>
      <c r="I169" s="293"/>
      <c r="J169" s="293"/>
      <c r="K169" s="293"/>
      <c r="L169" s="293"/>
      <c r="M169" s="293"/>
      <c r="N169" s="293"/>
      <c r="O169" s="293"/>
      <c r="P169" s="293"/>
      <c r="Q169" s="293"/>
      <c r="R169" s="293"/>
      <c r="S169" s="293"/>
      <c r="T169" s="293"/>
      <c r="U169" s="293"/>
      <c r="V169" s="293"/>
      <c r="W169" s="293"/>
      <c r="X169" s="293"/>
      <c r="Y169" s="293"/>
      <c r="Z169" s="293"/>
      <c r="AA169" s="293"/>
      <c r="AB169" s="293"/>
      <c r="AC169" s="293"/>
      <c r="AD169" s="293"/>
      <c r="AE169" s="293"/>
      <c r="AF169" s="293"/>
      <c r="AG169" s="293"/>
      <c r="AH169" s="293"/>
      <c r="AI169" s="293"/>
      <c r="AJ169" s="293">
        <f>+(AJ55-AI55)/AI55</f>
        <v>0.33497698882314275</v>
      </c>
      <c r="AK169" s="293"/>
      <c r="AL169" s="293">
        <f>+(AL55-AJ55)/AJ55</f>
        <v>-0.1308790938192563</v>
      </c>
      <c r="AM169" s="293">
        <f>+(AM55-AL55)/AL55</f>
        <v>0.10341408131463387</v>
      </c>
      <c r="AN169" s="293"/>
      <c r="AO169" s="293">
        <f>+(AO55-AM55)/AM55</f>
        <v>-0.16484786237000906</v>
      </c>
      <c r="AP169" s="293">
        <f>+(AP55-AO55)/AO55</f>
        <v>0.4413528055342047</v>
      </c>
      <c r="AQ169" s="293"/>
      <c r="AR169" s="293">
        <f>+(AR55-AP55)/AP55</f>
        <v>-0.12638651877133128</v>
      </c>
      <c r="AS169" s="293">
        <f>+(AS55-AR55)/AR55</f>
        <v>0.34940788670492073</v>
      </c>
      <c r="AT169" s="293"/>
      <c r="AU169" s="293">
        <f>+(AU55-AS55)/AS55</f>
        <v>-9.0111282004886037E-2</v>
      </c>
      <c r="AV169" s="293">
        <f>+(AV55-AU55)/AU55</f>
        <v>0.56637168141592942</v>
      </c>
      <c r="AW169" s="293"/>
      <c r="AX169" s="293">
        <f>+(AX55-AV55)/AV55</f>
        <v>6.7415730337078719E-2</v>
      </c>
      <c r="AY169" s="293">
        <f>+(AY55-AX55)/AX55</f>
        <v>0.22491822777282167</v>
      </c>
      <c r="AZ169" s="293"/>
      <c r="BA169" s="293">
        <f>+(BA55-AY55)/AY55</f>
        <v>0.20138855173083478</v>
      </c>
      <c r="BB169" s="293">
        <f>+(BB55-BA55)/BA55</f>
        <v>-1.875126288139041E-2</v>
      </c>
      <c r="BC169" s="293"/>
      <c r="BD169" s="293">
        <f>+(BD55-BB55)/BB55</f>
        <v>0.16648820065071473</v>
      </c>
      <c r="BE169" s="293">
        <f>+(BE55-BD55)/BD55</f>
        <v>0.10909668649707852</v>
      </c>
      <c r="BF169" s="293"/>
      <c r="BG169" s="293">
        <f>+(BG55-BE55)/BE55</f>
        <v>0.27289222786381634</v>
      </c>
      <c r="BH169" s="293">
        <f>+(BH55-BG55)/BG55</f>
        <v>0.19799429800430157</v>
      </c>
      <c r="BI169" s="293"/>
      <c r="BJ169" s="293">
        <f>+(BJ55-BH55)/BH55</f>
        <v>-0.18092812558712401</v>
      </c>
      <c r="BK169" s="293">
        <f>+(BK55-BJ55)/BJ55</f>
        <v>-0.60044347028239353</v>
      </c>
      <c r="BL169" s="293"/>
      <c r="BM169" s="293">
        <f>+(BM55-BK55)/BK55</f>
        <v>1.8955667538432084</v>
      </c>
      <c r="BN169" s="293">
        <f>+(BN55-BM55)/BM55</f>
        <v>4.532337015187099E-2</v>
      </c>
      <c r="BO169" s="293"/>
      <c r="BP169" s="293">
        <f>+(BP55-BN55)/BN55</f>
        <v>0.41325825268907845</v>
      </c>
      <c r="BQ169" s="293">
        <f>+(BQ55-BP55)/BP55</f>
        <v>-0.14240211867439695</v>
      </c>
      <c r="BR169" s="293"/>
      <c r="BS169" s="293">
        <f>+(BS55-BQ55)/BQ55</f>
        <v>0.41169511329967035</v>
      </c>
      <c r="BT169" s="293">
        <f>+(BT55-BS55)/BS55</f>
        <v>0.10498362571543569</v>
      </c>
      <c r="BU169" s="293"/>
      <c r="BV169" s="293">
        <f>+(BV55-BT55)/BT55</f>
        <v>8.3681374072417866E-3</v>
      </c>
      <c r="BW169" s="293">
        <f>+(BW55-BV55)/BV55</f>
        <v>8.5517481067280521E-2</v>
      </c>
      <c r="BX169" s="293"/>
      <c r="BY169" s="293">
        <f>+(BY55-BW55)/BW55</f>
        <v>-2.8203672233075499E-2</v>
      </c>
      <c r="BZ169" s="293">
        <f>+(BZ55-BY55)/BY55</f>
        <v>6.3198817969380441E-2</v>
      </c>
      <c r="CA169" s="293"/>
      <c r="CB169" s="293">
        <f>+(CB55-BZ55)/BZ55</f>
        <v>9.9491425192193894E-2</v>
      </c>
      <c r="CC169" s="293">
        <f>+(CC55-CB55)/CB55</f>
        <v>0.17328944443249222</v>
      </c>
      <c r="CD169" s="293"/>
      <c r="CE169" s="293">
        <f>+(CE55-CC55)/CC55</f>
        <v>-4.0928261015726726E-2</v>
      </c>
      <c r="CF169" s="293">
        <f>+(CF55-CE55)/CE55</f>
        <v>0.13174391700765123</v>
      </c>
      <c r="CG169" s="293"/>
      <c r="CH169" s="293">
        <f>+(CH55-CF55)/CF55</f>
        <v>-0.1419945276262525</v>
      </c>
      <c r="CI169" s="293">
        <f>+(CI55-CH55)/CH55</f>
        <v>-3.6091780968463445E-2</v>
      </c>
      <c r="CJ169" s="293"/>
      <c r="CK169" s="293">
        <f>+(CK55-CI55)/CI55</f>
        <v>3.4268550173318861E-2</v>
      </c>
      <c r="CL169" s="293">
        <f>+(CL55-CK55)/CK55</f>
        <v>-0.32982336833533177</v>
      </c>
      <c r="CM169" s="293"/>
      <c r="CN169" s="293">
        <f>+(CN55-CL55)/CL55</f>
        <v>-0.21712832169618215</v>
      </c>
      <c r="CO169" s="293">
        <f>+(CO55-CN55)/CN55</f>
        <v>0.72497338344836348</v>
      </c>
      <c r="CP169" s="293"/>
      <c r="CQ169" s="293">
        <f>+(CQ55-CO55)/CO55</f>
        <v>5.1343509003889488E-2</v>
      </c>
      <c r="CR169" s="293">
        <f>+(CR55-CQ55)/CQ55</f>
        <v>-6.6566349000623855E-3</v>
      </c>
      <c r="CS169" s="293"/>
      <c r="CT169" s="293">
        <f>+(CT55-CR55)/CR55</f>
        <v>0.27232759907825715</v>
      </c>
      <c r="CU169" s="293">
        <f>+(CU55-CT55)/CT55</f>
        <v>-3.808659640306198E-2</v>
      </c>
      <c r="CV169" s="293"/>
      <c r="CW169" s="293">
        <f>+(CW55-CU55)/CU55</f>
        <v>0.2205014455472592</v>
      </c>
      <c r="CX169" s="293">
        <f>+(CX55-CW55)/CW55</f>
        <v>-6.5805296405917115E-3</v>
      </c>
      <c r="CY169" s="293"/>
      <c r="CZ169" s="293">
        <f>+(CZ55-CX55)/CX55</f>
        <v>3.2126764689259166E-2</v>
      </c>
      <c r="DA169" s="293">
        <f>+(DA55-CZ55)/CZ55</f>
        <v>0.1749513690878875</v>
      </c>
      <c r="DB169" s="293"/>
      <c r="DC169" s="293">
        <f>+(DC55-DA55)/DA55</f>
        <v>-5.8931188913876158E-2</v>
      </c>
      <c r="DD169" s="293">
        <f>+(DD55-DC55)/DC55</f>
        <v>4.5161205741779294E-2</v>
      </c>
      <c r="DE169" s="293"/>
      <c r="DF169" s="293">
        <f>+(DF55-DD55)/DD55</f>
        <v>7.1499993483443103E-2</v>
      </c>
      <c r="DG169" s="293">
        <f>+(DG55-DF55)/DF55</f>
        <v>-0.69425035999862528</v>
      </c>
      <c r="DH169" s="1248"/>
      <c r="DI169" s="293">
        <f>+(DI55-DG55)/DG55</f>
        <v>2.2234097443182916</v>
      </c>
      <c r="DJ169" s="293">
        <f>+(DJ55-DI55)/DI55</f>
        <v>-8.7860593159152525E-2</v>
      </c>
      <c r="DK169" s="1248"/>
      <c r="DL169" s="293">
        <f>+(DL55-DJ55)/DJ55</f>
        <v>0.34614107926197168</v>
      </c>
      <c r="DM169" s="293">
        <f>+(DM55-DL55)/DL55</f>
        <v>-0.18930197268588783</v>
      </c>
      <c r="DN169" s="1248"/>
      <c r="DO169" s="293">
        <f>+(DO55-DM55)/DM55</f>
        <v>0.12447356106691634</v>
      </c>
      <c r="DP169" s="293">
        <f>+(DP55-DO55)/DO55</f>
        <v>0.14523512276321254</v>
      </c>
      <c r="DQ169" s="1248"/>
      <c r="DR169" s="293">
        <f>+(DR55-DP55)/DP55</f>
        <v>0.14571220930232545</v>
      </c>
      <c r="DS169" s="293">
        <f>+(DS55-DR55)/DR55</f>
        <v>-3.3618775769108503E-2</v>
      </c>
      <c r="DT169" s="1248"/>
      <c r="DU169" s="293">
        <f>+(DU55-DS55)/DS55</f>
        <v>8.4673449294387762E-2</v>
      </c>
      <c r="DV169" s="293">
        <f>+(DV55-DU55)/DU55</f>
        <v>-5.0226928895612775E-2</v>
      </c>
      <c r="DW169" s="1248"/>
      <c r="DX169" s="293">
        <f>+(DX55-DV55)/DV55</f>
        <v>-2.3892959541254817E-2</v>
      </c>
      <c r="DY169" s="293">
        <f>+(DY55-DX55)/DX55</f>
        <v>0.14273271736865495</v>
      </c>
      <c r="DZ169" s="1248"/>
      <c r="EA169" s="293">
        <f>+(EA55-DY55)/DY55</f>
        <v>6.2368582653291399E-2</v>
      </c>
      <c r="EB169" s="293">
        <f>+(EB55-EA55)/EA55</f>
        <v>3.0476346049684321E-2</v>
      </c>
      <c r="EC169" s="1248"/>
      <c r="ED169" s="293">
        <f>+(ED55-EB55)/EB55</f>
        <v>5.7005149454197067E-2</v>
      </c>
      <c r="EE169" s="293">
        <f>+(EE55-ED55)/ED55</f>
        <v>3.093282286987525E-2</v>
      </c>
      <c r="EF169" s="1248"/>
      <c r="EG169" s="293">
        <f>+(EG55-EE55)/EE55</f>
        <v>7.3044151808886112E-2</v>
      </c>
      <c r="EH169" s="293">
        <f>+(EH55-EG55)/EG55</f>
        <v>3.0932822869875823E-2</v>
      </c>
      <c r="EI169" s="1248"/>
      <c r="EJ169" s="293">
        <f>+(EJ55-EH55)/EH55</f>
        <v>6.6993704795847514E-2</v>
      </c>
      <c r="EK169" s="293">
        <f>+(EK55-EJ55)/EJ55</f>
        <v>3.0932822869875622E-2</v>
      </c>
      <c r="EL169" s="1248"/>
      <c r="EM169" s="293">
        <f>+(EM55-EK55)/EK55</f>
        <v>6.1139148330800155E-2</v>
      </c>
      <c r="EN169" s="293">
        <f>+(EN55-EM55)/EM55</f>
        <v>3.0932822869875077E-2</v>
      </c>
      <c r="EO169" s="1248"/>
      <c r="EP169" s="293">
        <f>+(EP55-EN55)/EN55</f>
        <v>5.7294884613039707E-2</v>
      </c>
      <c r="EQ169" s="293">
        <f>+(EQ55-EP55)/EP55</f>
        <v>3.093282286987541E-2</v>
      </c>
      <c r="ER169" s="1248"/>
      <c r="ES169" s="293">
        <f>+(ES55-EQ55)/EQ55</f>
        <v>5.7294884613039679E-2</v>
      </c>
      <c r="ET169" s="293">
        <f>+(ET55-ES55)/ES55</f>
        <v>3.0932822869875521E-2</v>
      </c>
      <c r="EU169" s="1248"/>
      <c r="EV169" s="293">
        <f>+(EV55-ET55)/ET55</f>
        <v>5.7294884613039401E-2</v>
      </c>
      <c r="EW169" s="293">
        <f>+(EW55-EV55)/EV55</f>
        <v>3.0932822869875524E-2</v>
      </c>
      <c r="EX169" s="1248"/>
      <c r="EY169" s="293">
        <f>+(EY55-EW55)/EW55</f>
        <v>5.729488461303929E-2</v>
      </c>
      <c r="EZ169" s="293">
        <f>+(EZ55-EY55)/EY55</f>
        <v>3.0932822869875566E-2</v>
      </c>
      <c r="FA169" s="1248"/>
      <c r="FE169"/>
      <c r="FF169"/>
      <c r="FG169"/>
      <c r="FH169"/>
      <c r="FI169"/>
      <c r="FJ169"/>
      <c r="FK169" s="35"/>
    </row>
    <row r="170" spans="2:167" s="236" customFormat="1" ht="13.35" customHeight="1" outlineLevel="1">
      <c r="B170" s="242" t="s">
        <v>830</v>
      </c>
      <c r="C170" s="242" t="s">
        <v>460</v>
      </c>
      <c r="D170" s="243"/>
      <c r="E170" s="293"/>
      <c r="F170" s="293"/>
      <c r="G170" s="293"/>
      <c r="H170" s="293"/>
      <c r="I170" s="293"/>
      <c r="J170" s="293"/>
      <c r="K170" s="293"/>
      <c r="L170" s="293"/>
      <c r="M170" s="293"/>
      <c r="N170" s="293"/>
      <c r="O170" s="293"/>
      <c r="P170" s="293"/>
      <c r="Q170" s="293"/>
      <c r="R170" s="293"/>
      <c r="S170" s="293"/>
      <c r="T170" s="293"/>
      <c r="U170" s="293"/>
      <c r="V170" s="293"/>
      <c r="W170" s="293"/>
      <c r="X170" s="293"/>
      <c r="Y170" s="293"/>
      <c r="Z170" s="293"/>
      <c r="AA170" s="293"/>
      <c r="AB170" s="293"/>
      <c r="AC170" s="293"/>
      <c r="AD170" s="293"/>
      <c r="AE170" s="293"/>
      <c r="AF170" s="293"/>
      <c r="AG170" s="293"/>
      <c r="AH170" s="293"/>
      <c r="AI170" s="293"/>
      <c r="AJ170" s="293">
        <f>+(AJ60-AI60)/AI60</f>
        <v>0.39972741433021786</v>
      </c>
      <c r="AK170" s="293"/>
      <c r="AL170" s="293">
        <f>+(AL60-AJ60)/AJ60</f>
        <v>-0.12811239393517868</v>
      </c>
      <c r="AM170" s="293">
        <f>+(AM60-AL60)/AL60</f>
        <v>0.12156987874920237</v>
      </c>
      <c r="AN170" s="293"/>
      <c r="AO170" s="293">
        <f>+(AO60-AM60)/AM60</f>
        <v>-0.18349928876244664</v>
      </c>
      <c r="AP170" s="293">
        <f>+(AP60-AO60)/AO60</f>
        <v>0.48850174216027875</v>
      </c>
      <c r="AQ170" s="293"/>
      <c r="AR170" s="293">
        <f>+(AR60-AP60)/AP60</f>
        <v>-0.13541666666666677</v>
      </c>
      <c r="AS170" s="293">
        <f>+(AS60-AR60)/AR60</f>
        <v>0.36577771761202149</v>
      </c>
      <c r="AT170" s="293"/>
      <c r="AU170" s="293">
        <f>+(AU60-AS60)/AS60</f>
        <v>-9.386460501536352E-2</v>
      </c>
      <c r="AV170" s="293">
        <f>+(AV60-AU60)/AU60</f>
        <v>0.52493983810982281</v>
      </c>
      <c r="AW170" s="293"/>
      <c r="AX170" s="293">
        <f>+(AX60-AV60)/AV60</f>
        <v>0.12438132128254802</v>
      </c>
      <c r="AY170" s="293">
        <f>+(AY60-AX60)/AX60</f>
        <v>0.21811802232854843</v>
      </c>
      <c r="AZ170" s="293"/>
      <c r="BA170" s="293">
        <f>+(BA60-AY60)/AY60</f>
        <v>0.21257986802136825</v>
      </c>
      <c r="BB170" s="293">
        <f>+(BB60-BA60)/BA60</f>
        <v>-3.4250421111735249E-2</v>
      </c>
      <c r="BC170" s="293"/>
      <c r="BD170" s="293">
        <f>+(BD60-BB60)/BB60</f>
        <v>0.16055456171735261</v>
      </c>
      <c r="BE170" s="293">
        <f>+(BE60-BD60)/BD60</f>
        <v>0.11907514450867066</v>
      </c>
      <c r="BF170" s="293"/>
      <c r="BG170" s="293">
        <f>+(BG60-BE60)/BE60</f>
        <v>0.25096418732782344</v>
      </c>
      <c r="BH170" s="293">
        <f>+(BH60-BG60)/BG60</f>
        <v>0.20625963444175319</v>
      </c>
      <c r="BI170" s="293"/>
      <c r="BJ170" s="293">
        <f>+(BJ60-BH60)/BH60</f>
        <v>-0.18810615914744092</v>
      </c>
      <c r="BK170" s="293">
        <f>+(BK60-BJ60)/BJ60</f>
        <v>-0.64078925178481061</v>
      </c>
      <c r="BL170" s="293"/>
      <c r="BM170" s="293">
        <f>+(BM60-BK60)/BK60</f>
        <v>2.1661189358372437</v>
      </c>
      <c r="BN170" s="293">
        <f>+(BN60-BM60)/BM60</f>
        <v>0.12576922126387066</v>
      </c>
      <c r="BO170" s="293"/>
      <c r="BP170" s="293">
        <f>+(BP60-BN60)/BN60</f>
        <v>0.36393572181243405</v>
      </c>
      <c r="BQ170" s="293">
        <f>+(BQ60-BP60)/BP60</f>
        <v>-0.19093835506196663</v>
      </c>
      <c r="BR170" s="293"/>
      <c r="BS170" s="293">
        <f>+(BS60-BQ60)/BQ60</f>
        <v>0.51158811944217852</v>
      </c>
      <c r="BT170" s="293">
        <f>+(BT60-BS60)/BS60</f>
        <v>5.5091270415750605E-2</v>
      </c>
      <c r="BU170" s="293"/>
      <c r="BV170" s="293">
        <f>+(BV60-BT60)/BT60</f>
        <v>5.6530579151542693E-2</v>
      </c>
      <c r="BW170" s="293">
        <f>+(BW60-BV60)/BV60</f>
        <v>-5.0766815031700547E-3</v>
      </c>
      <c r="BX170" s="293"/>
      <c r="BY170" s="293">
        <f>+(BY60-BW60)/BW60</f>
        <v>6.2393943349432136E-2</v>
      </c>
      <c r="BZ170" s="293">
        <f>+(BZ60-BY60)/BY60</f>
        <v>6.8324230137720945E-2</v>
      </c>
      <c r="CA170" s="293"/>
      <c r="CB170" s="293">
        <f>+(CB60-BZ60)/BZ60</f>
        <v>7.8330510423854513E-2</v>
      </c>
      <c r="CC170" s="293">
        <f>+(CC60-CB60)/CB60</f>
        <v>0.22848998429288916</v>
      </c>
      <c r="CD170" s="293"/>
      <c r="CE170" s="293">
        <f>+(CE60-CC60)/CC60</f>
        <v>-0.11361125142063389</v>
      </c>
      <c r="CF170" s="293">
        <f>+(CF60-CE60)/CE60</f>
        <v>0.13869770009527257</v>
      </c>
      <c r="CG170" s="293"/>
      <c r="CH170" s="293">
        <f>+(CH60-CF60)/CF60</f>
        <v>-0.15022754640852001</v>
      </c>
      <c r="CI170" s="293">
        <f>+(CI60-CH60)/CH60</f>
        <v>-1.8964977823582262E-2</v>
      </c>
      <c r="CJ170" s="293"/>
      <c r="CK170" s="293">
        <f>+(CK60-CI60)/CI60</f>
        <v>1.5832965960999014E-2</v>
      </c>
      <c r="CL170" s="293">
        <f>+(CL60-CK60)/CK60</f>
        <v>-0.34849170367771293</v>
      </c>
      <c r="CM170" s="293"/>
      <c r="CN170" s="293">
        <f>+(CN60-CL60)/CL60</f>
        <v>-0.29952238552133692</v>
      </c>
      <c r="CO170" s="293">
        <f>+(CO60-CN60)/CN60</f>
        <v>1.0275366717248358</v>
      </c>
      <c r="CP170" s="293"/>
      <c r="CQ170" s="293">
        <f>+(CQ60-CO60)/CO60</f>
        <v>2.4650256990238887E-3</v>
      </c>
      <c r="CR170" s="293">
        <f>+(CR60-CQ60)/CQ60</f>
        <v>5.4411952106605335E-2</v>
      </c>
      <c r="CS170" s="293"/>
      <c r="CT170" s="293">
        <f>+(CT60-CR60)/CR60</f>
        <v>0.23642259673122676</v>
      </c>
      <c r="CU170" s="293">
        <f>+(CU60-CT60)/CT60</f>
        <v>5.1157925278883919E-3</v>
      </c>
      <c r="CV170" s="293"/>
      <c r="CW170" s="293">
        <f>+(CW60-CU60)/CU60</f>
        <v>0.18809301336250464</v>
      </c>
      <c r="CX170" s="293">
        <f>+(CX60-CW60)/CW60</f>
        <v>1.8555910919007407E-2</v>
      </c>
      <c r="CY170" s="293"/>
      <c r="CZ170" s="293">
        <f>+(CZ60-CX60)/CX60</f>
        <v>6.506568291180276E-3</v>
      </c>
      <c r="DA170" s="293">
        <f>+(DA60-CZ60)/CZ60</f>
        <v>0.17294253551428848</v>
      </c>
      <c r="DB170" s="293"/>
      <c r="DC170" s="293">
        <f>+(DC60-DA60)/DA60</f>
        <v>-5.8833142137856169E-2</v>
      </c>
      <c r="DD170" s="293">
        <f>+(DD60-DC60)/DC60</f>
        <v>2.9940677966101826E-2</v>
      </c>
      <c r="DE170" s="293"/>
      <c r="DF170" s="293">
        <f>+(DF60-DD60)/DD60</f>
        <v>7.8462354750228724E-2</v>
      </c>
      <c r="DG170" s="293">
        <f>+(DG60-DF60)/DF60</f>
        <v>-0.80307977086727356</v>
      </c>
      <c r="DH170" s="1248"/>
      <c r="DI170" s="293">
        <f>+(DI60-DG60)/DG60</f>
        <v>3.8508158499609801</v>
      </c>
      <c r="DJ170" s="293">
        <f>+(DJ60-DI60)/DI60</f>
        <v>-7.4547390841320851E-2</v>
      </c>
      <c r="DK170" s="1248"/>
      <c r="DL170" s="293">
        <f>+(DL60-DJ60)/DJ60</f>
        <v>0.36174338319907973</v>
      </c>
      <c r="DM170" s="293">
        <f>+(DM60-DL60)/DL60</f>
        <v>-0.173836253702397</v>
      </c>
      <c r="DN170" s="1248"/>
      <c r="DO170" s="293">
        <f>+(DO60-DM60)/DM60</f>
        <v>0.11414163627901749</v>
      </c>
      <c r="DP170" s="293">
        <f>+(DP60-DO60)/DO60</f>
        <v>0.13406656965668573</v>
      </c>
      <c r="DQ170" s="1248"/>
      <c r="DR170" s="293">
        <f>+(DR60-DP60)/DP60</f>
        <v>0.1674377562709212</v>
      </c>
      <c r="DS170" s="293">
        <f>+(DS60-DR60)/DR60</f>
        <v>-2.9949483217124422E-2</v>
      </c>
      <c r="DT170" s="1248"/>
      <c r="DU170" s="293">
        <f>+(DU60-DS60)/DS60</f>
        <v>9.4434575614498015E-2</v>
      </c>
      <c r="DV170" s="293">
        <f>+(DV60-DU60)/DU60</f>
        <v>-6.0757277875389586E-2</v>
      </c>
      <c r="DW170" s="1248"/>
      <c r="DX170" s="293">
        <f>+(DX60-DV60)/DV60</f>
        <v>-3.9284000584148326E-2</v>
      </c>
      <c r="DY170" s="293">
        <f>+(DY60-DX60)/DX60</f>
        <v>0.14193263106110351</v>
      </c>
      <c r="DZ170" s="1248"/>
      <c r="EA170" s="293">
        <f>+(EA60-DY60)/DY60</f>
        <v>6.5150070980104127E-2</v>
      </c>
      <c r="EB170" s="293">
        <f>+(EB60-EA60)/EA60</f>
        <v>3.0440768747961026E-2</v>
      </c>
      <c r="EC170" s="1248"/>
      <c r="ED170" s="293">
        <f>+(ED60-EB60)/EB60</f>
        <v>8.2816378759225387E-2</v>
      </c>
      <c r="EE170" s="293">
        <f>+(EE60-ED60)/ED60</f>
        <v>3.0932822869875039E-2</v>
      </c>
      <c r="EF170" s="1248"/>
      <c r="EG170" s="293">
        <f>+(EG60-EE60)/EE60</f>
        <v>7.4311536128000871E-2</v>
      </c>
      <c r="EH170" s="293">
        <f>+(EH60-EG60)/EG60</f>
        <v>3.0932822869875799E-2</v>
      </c>
      <c r="EI170" s="1248"/>
      <c r="EJ170" s="293">
        <f>+(EJ60-EH60)/EH60</f>
        <v>6.7761831347629559E-2</v>
      </c>
      <c r="EK170" s="293">
        <f>+(EK60-EJ60)/EJ60</f>
        <v>3.0932822869875615E-2</v>
      </c>
      <c r="EL170" s="1248"/>
      <c r="EM170" s="293">
        <f>+(EM60-EK60)/EK60</f>
        <v>6.144062157988029E-2</v>
      </c>
      <c r="EN170" s="293">
        <f>+(EN60-EM60)/EM60</f>
        <v>3.0932822869875365E-2</v>
      </c>
      <c r="EO170" s="1248"/>
      <c r="EP170" s="293">
        <f>+(EP60-EN60)/EN60</f>
        <v>5.7294884613039401E-2</v>
      </c>
      <c r="EQ170" s="293">
        <f>+(EQ60-EP60)/EP60</f>
        <v>3.0932822869875708E-2</v>
      </c>
      <c r="ER170" s="1248"/>
      <c r="ES170" s="293">
        <f>+(ES60-EQ60)/EQ60</f>
        <v>5.7294884613039374E-2</v>
      </c>
      <c r="ET170" s="293">
        <f>+(ET60-ES60)/ES60</f>
        <v>3.0932822869875566E-2</v>
      </c>
      <c r="EU170" s="1248"/>
      <c r="EV170" s="293">
        <f>+(EV60-ET60)/ET60</f>
        <v>5.7294884613039332E-2</v>
      </c>
      <c r="EW170" s="293">
        <f>+(EW60-EV60)/EV60</f>
        <v>3.0932822869875826E-2</v>
      </c>
      <c r="EX170" s="1248"/>
      <c r="EY170" s="293">
        <f>+(EY60-EW60)/EW60</f>
        <v>5.7294884613039054E-2</v>
      </c>
      <c r="EZ170" s="293">
        <f>+(EZ60-EY60)/EY60</f>
        <v>3.0932822869875573E-2</v>
      </c>
      <c r="FA170" s="1248"/>
      <c r="FE170"/>
      <c r="FF170"/>
      <c r="FG170"/>
      <c r="FH170"/>
      <c r="FI170"/>
      <c r="FJ170"/>
      <c r="FK170" s="35"/>
    </row>
    <row r="171" spans="2:167" s="236" customFormat="1" ht="13.35" customHeight="1" outlineLevel="1">
      <c r="B171" s="242" t="s">
        <v>848</v>
      </c>
      <c r="C171" s="242" t="s">
        <v>460</v>
      </c>
      <c r="D171" s="243"/>
      <c r="E171" s="293"/>
      <c r="F171" s="293"/>
      <c r="G171" s="293"/>
      <c r="H171" s="293"/>
      <c r="I171" s="293"/>
      <c r="J171" s="293"/>
      <c r="K171" s="293"/>
      <c r="L171" s="293"/>
      <c r="M171" s="293"/>
      <c r="N171" s="293"/>
      <c r="O171" s="293"/>
      <c r="P171" s="293"/>
      <c r="Q171" s="293"/>
      <c r="R171" s="293"/>
      <c r="S171" s="293"/>
      <c r="T171" s="293"/>
      <c r="U171" s="293"/>
      <c r="V171" s="293"/>
      <c r="W171" s="293"/>
      <c r="X171" s="293"/>
      <c r="Y171" s="293"/>
      <c r="Z171" s="293"/>
      <c r="AA171" s="293"/>
      <c r="AB171" s="293"/>
      <c r="AC171" s="293"/>
      <c r="AD171" s="293"/>
      <c r="AE171" s="293"/>
      <c r="AF171" s="293"/>
      <c r="AG171" s="293"/>
      <c r="AH171" s="293"/>
      <c r="AI171" s="293"/>
      <c r="AJ171" s="293">
        <f>+(AJ68-AI68)/AI68</f>
        <v>0.39972741433021786</v>
      </c>
      <c r="AK171" s="293"/>
      <c r="AL171" s="293">
        <f>+(AL68-AJ68)/AJ68</f>
        <v>-0.12811239393517868</v>
      </c>
      <c r="AM171" s="293">
        <f>+(AM68-AL68)/AL68</f>
        <v>0.12156987874920237</v>
      </c>
      <c r="AN171" s="293"/>
      <c r="AO171" s="293">
        <f>+(AO68-AM68)/AM68</f>
        <v>-0.18349928876244664</v>
      </c>
      <c r="AP171" s="293">
        <f>+(AP68-AO68)/AO68</f>
        <v>0.48850174216027875</v>
      </c>
      <c r="AQ171" s="293"/>
      <c r="AR171" s="293">
        <f>+(AR68-AP68)/AP68</f>
        <v>-0.13541666666666677</v>
      </c>
      <c r="AS171" s="293">
        <f>+(AS68-AR68)/AR68</f>
        <v>0.36577771761202149</v>
      </c>
      <c r="AT171" s="293"/>
      <c r="AU171" s="293">
        <f>+(AU68-AS68)/AS68</f>
        <v>-9.386460501536352E-2</v>
      </c>
      <c r="AV171" s="293">
        <f>+(AV68-AU68)/AU68</f>
        <v>0.52493983810982281</v>
      </c>
      <c r="AW171" s="293"/>
      <c r="AX171" s="293">
        <f>+(AX68-AV68)/AV68</f>
        <v>0.12438132128254802</v>
      </c>
      <c r="AY171" s="293">
        <f>+(AY68-AX68)/AX68</f>
        <v>0.21811802232854843</v>
      </c>
      <c r="AZ171" s="293"/>
      <c r="BA171" s="293">
        <f>+(BA68-AY68)/AY68</f>
        <v>0.21257986802136825</v>
      </c>
      <c r="BB171" s="293">
        <f>+(BB68-BA68)/BA68</f>
        <v>-3.4250421111735249E-2</v>
      </c>
      <c r="BC171" s="293"/>
      <c r="BD171" s="293">
        <f>+(BD68-BB68)/BB68</f>
        <v>0.16055456171735261</v>
      </c>
      <c r="BE171" s="293">
        <f>+(BE68-BD68)/BD68</f>
        <v>0.11907514450867066</v>
      </c>
      <c r="BF171" s="293"/>
      <c r="BG171" s="293">
        <f>+(BG68-BE68)/BE68</f>
        <v>0.25096418732782344</v>
      </c>
      <c r="BH171" s="293">
        <f>+(BH68-BG68)/BG68</f>
        <v>0.20625963444175319</v>
      </c>
      <c r="BI171" s="293"/>
      <c r="BJ171" s="293">
        <f>+(BJ68-BH68)/BH68</f>
        <v>-0.18810615914744092</v>
      </c>
      <c r="BK171" s="293">
        <f>+(BK68-BJ68)/BJ68</f>
        <v>-0.72221597616504551</v>
      </c>
      <c r="BL171" s="293"/>
      <c r="BM171" s="293">
        <f>+(BM68-BK68)/BK68</f>
        <v>3.0942021653344085</v>
      </c>
      <c r="BN171" s="293">
        <f>+(BN68-BM68)/BM68</f>
        <v>3.9764723327484236E-2</v>
      </c>
      <c r="BO171" s="293"/>
      <c r="BP171" s="293">
        <f>+(BP68-BN68)/BN68</f>
        <v>0.47675413576725617</v>
      </c>
      <c r="BQ171" s="293">
        <f>+(BQ68-BP68)/BP68</f>
        <v>-0.25370996298084647</v>
      </c>
      <c r="BR171" s="293"/>
      <c r="BS171" s="293">
        <f>+(BS68-BQ68)/BQ68</f>
        <v>0.63873013134341228</v>
      </c>
      <c r="BT171" s="293">
        <f>+(BT68-BS68)/BS68</f>
        <v>2.1254754352947113E-2</v>
      </c>
      <c r="BU171" s="293"/>
      <c r="BV171" s="293">
        <f>+(BV68-BT68)/BT68</f>
        <v>9.1535864326400471E-2</v>
      </c>
      <c r="BW171" s="293">
        <f>+(BW68-BV68)/BV68</f>
        <v>-2.4474327339700917E-2</v>
      </c>
      <c r="BX171" s="293"/>
      <c r="BY171" s="293">
        <f>+(BY68-BW68)/BW68</f>
        <v>8.2405479982572458E-2</v>
      </c>
      <c r="BZ171" s="293">
        <f>+(BZ68-BY68)/BY68</f>
        <v>-4.7284680836789973E-2</v>
      </c>
      <c r="CA171" s="293"/>
      <c r="CB171" s="293">
        <f>+(CB68-BZ68)/BZ68</f>
        <v>0.21042625105623874</v>
      </c>
      <c r="CC171" s="293">
        <f>+(CC68-CB68)/CB68</f>
        <v>0.12678159359305002</v>
      </c>
      <c r="CD171" s="293"/>
      <c r="CE171" s="293">
        <f>+(CE68-CC68)/CC68</f>
        <v>-3.3601803569277257E-2</v>
      </c>
      <c r="CF171" s="293">
        <f>+(CF68-CE68)/CE68</f>
        <v>0.13869770009527257</v>
      </c>
      <c r="CG171" s="293"/>
      <c r="CH171" s="293">
        <f>+(CH68-CF68)/CF68</f>
        <v>-0.15022754640852001</v>
      </c>
      <c r="CI171" s="293">
        <f>+(CI68-CH68)/CH68</f>
        <v>-1.8964977823582262E-2</v>
      </c>
      <c r="CJ171" s="293"/>
      <c r="CK171" s="293">
        <f>+(CK68-CI68)/CI68</f>
        <v>1.5832965960999014E-2</v>
      </c>
      <c r="CL171" s="293">
        <f>+(CL68-CK68)/CK68</f>
        <v>-0.34849170367771293</v>
      </c>
      <c r="CM171" s="293"/>
      <c r="CN171" s="293">
        <f>+(CN68-CL68)/CL68</f>
        <v>-0.29952238552133692</v>
      </c>
      <c r="CO171" s="293">
        <f>+(CO68-CN68)/CN68</f>
        <v>1.0275366717248358</v>
      </c>
      <c r="CP171" s="293"/>
      <c r="CQ171" s="293">
        <f>+(CQ68-CO68)/CO68</f>
        <v>2.4650256990238887E-3</v>
      </c>
      <c r="CR171" s="293">
        <f>+(CR68-CQ68)/CQ68</f>
        <v>5.4411952106605335E-2</v>
      </c>
      <c r="CS171" s="293"/>
      <c r="CT171" s="293">
        <f>+(CT68-CR68)/CR68</f>
        <v>0.23642259673122676</v>
      </c>
      <c r="CU171" s="293">
        <f>+(CU68-CT68)/CT68</f>
        <v>5.1157925278883919E-3</v>
      </c>
      <c r="CV171" s="293"/>
      <c r="CW171" s="293">
        <f>+(CW68-CU68)/CU68</f>
        <v>0.18809301336250464</v>
      </c>
      <c r="CX171" s="293">
        <f>+(CX68-CW68)/CW68</f>
        <v>1.8555910919007407E-2</v>
      </c>
      <c r="CY171" s="293"/>
      <c r="CZ171" s="293">
        <f>+(CZ68-CX68)/CX68</f>
        <v>6.506568291180276E-3</v>
      </c>
      <c r="DA171" s="293">
        <f>+(DA68-CZ68)/CZ68</f>
        <v>0.17294253551428848</v>
      </c>
      <c r="DB171" s="293"/>
      <c r="DC171" s="293">
        <f>+(DC68-DA68)/DA68</f>
        <v>-5.8833142137856169E-2</v>
      </c>
      <c r="DD171" s="293">
        <f>+(DD68-DC68)/DC68</f>
        <v>2.9940677966101826E-2</v>
      </c>
      <c r="DE171" s="293"/>
      <c r="DF171" s="293">
        <f>+(DF68-DD68)/DD68</f>
        <v>7.6996812376847823E-3</v>
      </c>
      <c r="DG171" s="293">
        <f>+(DG68-DF68)/DF68</f>
        <v>-0.87362689639274793</v>
      </c>
      <c r="DH171" s="1248"/>
      <c r="DI171" s="293">
        <f>+(DI68-DG68)/DG68</f>
        <v>6.5812604638798113</v>
      </c>
      <c r="DJ171" s="293">
        <f>+(DJ68-DI68)/DI68</f>
        <v>-0.10170454545454564</v>
      </c>
      <c r="DK171" s="1248"/>
      <c r="DL171" s="293">
        <f>+(DL68-DJ68)/DJ68</f>
        <v>0.41049968374446583</v>
      </c>
      <c r="DM171" s="293">
        <f>+(DM68-DL68)/DL68</f>
        <v>-0.18699551569506723</v>
      </c>
      <c r="DN171" s="1248"/>
      <c r="DO171" s="293">
        <f>+(DO68-DM68)/DM68</f>
        <v>0.11969111969111962</v>
      </c>
      <c r="DP171" s="293">
        <f>+(DP68-DO68)/DO68</f>
        <v>0.14088669950738927</v>
      </c>
      <c r="DQ171" s="1248"/>
      <c r="DR171" s="293">
        <f>+(DR68-DP68)/DP68</f>
        <v>0.17530224525043137</v>
      </c>
      <c r="DS171" s="293">
        <f>+(DS68-DR68)/DR68</f>
        <v>-3.4166054371784875E-2</v>
      </c>
      <c r="DT171" s="1248"/>
      <c r="DU171" s="293">
        <f>+(DU68-DS68)/DS68</f>
        <v>9.0528718143780482E-2</v>
      </c>
      <c r="DV171" s="293">
        <f>+(DV68-DU68)/DU68</f>
        <v>-6.7666550401116077E-2</v>
      </c>
      <c r="DW171" s="1248"/>
      <c r="DX171" s="293">
        <f>+(DX68-DV68)/DV68</f>
        <v>-4.6763935652824433E-2</v>
      </c>
      <c r="DY171" s="293">
        <f>+(DY68-DX68)/DX68</f>
        <v>0.1592638826517655</v>
      </c>
      <c r="DZ171" s="1248"/>
      <c r="EA171" s="293">
        <f>+(EA68-DY68)/DY68</f>
        <v>6.7067851829886338E-2</v>
      </c>
      <c r="EB171" s="293">
        <f>+(EB68-EA68)/EA68</f>
        <v>3.0416346933588235E-2</v>
      </c>
      <c r="EC171" s="1248"/>
      <c r="ED171" s="293">
        <f>+(ED68-EB68)/EB68</f>
        <v>8.4894676292796428E-2</v>
      </c>
      <c r="EE171" s="293">
        <f>+(EE68-ED68)/ED68</f>
        <v>3.0932822869875018E-2</v>
      </c>
      <c r="EF171" s="1248"/>
      <c r="EG171" s="293">
        <f>+(EG68-EE68)/EE68</f>
        <v>7.5404533913010677E-2</v>
      </c>
      <c r="EH171" s="293">
        <f>+(EH68-EG68)/EG68</f>
        <v>3.0932822869875701E-2</v>
      </c>
      <c r="EI171" s="1248"/>
      <c r="EJ171" s="293">
        <f>+(EJ68-EH68)/EH68</f>
        <v>6.8422813082737274E-2</v>
      </c>
      <c r="EK171" s="293">
        <f>+(EK68-EJ68)/EJ68</f>
        <v>3.0932822869875472E-2</v>
      </c>
      <c r="EL171" s="1248"/>
      <c r="EM171" s="293">
        <f>+(EM68-EK68)/EK68</f>
        <v>6.1699695780784533E-2</v>
      </c>
      <c r="EN171" s="293">
        <f>+(EN68-EM68)/EM68</f>
        <v>3.0932822869875094E-2</v>
      </c>
      <c r="EO171" s="1248"/>
      <c r="EP171" s="293">
        <f>+(EP68-EN68)/EN68</f>
        <v>5.7294884613039637E-2</v>
      </c>
      <c r="EQ171" s="293">
        <f>+(EQ68-EP68)/EP68</f>
        <v>3.0932822869875636E-2</v>
      </c>
      <c r="ER171" s="1248"/>
      <c r="ES171" s="293">
        <f>+(ES68-EQ68)/EQ68</f>
        <v>5.7294884613039554E-2</v>
      </c>
      <c r="ET171" s="293">
        <f>+(ET68-ES68)/ES68</f>
        <v>3.09328228698755E-2</v>
      </c>
      <c r="EU171" s="1248"/>
      <c r="EV171" s="293">
        <f>+(EV68-ET68)/ET68</f>
        <v>5.7294884613039311E-2</v>
      </c>
      <c r="EW171" s="293">
        <f>+(EW68-EV68)/EV68</f>
        <v>3.0932822869875806E-2</v>
      </c>
      <c r="EX171" s="1248"/>
      <c r="EY171" s="293">
        <f>+(EY68-EW68)/EW68</f>
        <v>5.729488461303904E-2</v>
      </c>
      <c r="EZ171" s="293">
        <f>+(EZ68-EY68)/EY68</f>
        <v>3.093282286987549E-2</v>
      </c>
      <c r="FA171" s="1248"/>
      <c r="FE171"/>
      <c r="FF171"/>
      <c r="FG171"/>
      <c r="FH171"/>
      <c r="FI171"/>
      <c r="FJ171"/>
      <c r="FK171" s="35"/>
    </row>
    <row r="172" spans="2:167" s="236" customFormat="1" ht="13.35" customHeight="1" outlineLevel="1">
      <c r="B172" s="242" t="s">
        <v>849</v>
      </c>
      <c r="C172" s="242" t="s">
        <v>460</v>
      </c>
      <c r="D172" s="243"/>
      <c r="E172" s="293"/>
      <c r="F172" s="293"/>
      <c r="G172" s="293"/>
      <c r="H172" s="293"/>
      <c r="I172" s="293"/>
      <c r="J172" s="293"/>
      <c r="K172" s="293"/>
      <c r="L172" s="293"/>
      <c r="M172" s="293"/>
      <c r="N172" s="293"/>
      <c r="O172" s="293"/>
      <c r="P172" s="293"/>
      <c r="Q172" s="293"/>
      <c r="R172" s="293"/>
      <c r="S172" s="293"/>
      <c r="T172" s="293"/>
      <c r="U172" s="293"/>
      <c r="V172" s="293"/>
      <c r="W172" s="293"/>
      <c r="X172" s="293"/>
      <c r="Y172" s="293"/>
      <c r="Z172" s="293"/>
      <c r="AA172" s="293"/>
      <c r="AB172" s="293"/>
      <c r="AC172" s="293"/>
      <c r="AD172" s="293"/>
      <c r="AE172" s="293"/>
      <c r="AF172" s="293"/>
      <c r="AG172" s="293"/>
      <c r="AH172" s="293"/>
      <c r="AI172" s="293"/>
      <c r="AJ172" s="293">
        <f>+(AJ72-AI72)/AI72</f>
        <v>0.39972741433021786</v>
      </c>
      <c r="AK172" s="293"/>
      <c r="AL172" s="293">
        <f>+(AL72-AJ72)/AJ72</f>
        <v>-0.12811239393517868</v>
      </c>
      <c r="AM172" s="293">
        <f>+(AM72-AL72)/AL72</f>
        <v>0.12156987874920237</v>
      </c>
      <c r="AN172" s="293"/>
      <c r="AO172" s="293">
        <f>+(AO72-AM72)/AM72</f>
        <v>-0.18349928876244664</v>
      </c>
      <c r="AP172" s="293">
        <f>+(AP72-AO72)/AO72</f>
        <v>0.48850174216027875</v>
      </c>
      <c r="AQ172" s="293"/>
      <c r="AR172" s="293">
        <f>+(AR72-AP72)/AP72</f>
        <v>-0.13541666666666677</v>
      </c>
      <c r="AS172" s="293">
        <f>+(AS72-AR72)/AR72</f>
        <v>0.36577771761202149</v>
      </c>
      <c r="AT172" s="293"/>
      <c r="AU172" s="293">
        <f>+(AU72-AS72)/AS72</f>
        <v>-9.386460501536352E-2</v>
      </c>
      <c r="AV172" s="293">
        <f>+(AV72-AU72)/AU72</f>
        <v>0.52493983810982281</v>
      </c>
      <c r="AW172" s="293"/>
      <c r="AX172" s="293">
        <f>+(AX72-AV72)/AV72</f>
        <v>0.12438132128254802</v>
      </c>
      <c r="AY172" s="293">
        <f>+(AY72-AX72)/AX72</f>
        <v>0.21811802232854843</v>
      </c>
      <c r="AZ172" s="293"/>
      <c r="BA172" s="293">
        <f>+(BA72-AY72)/AY72</f>
        <v>0.21257986802136825</v>
      </c>
      <c r="BB172" s="293">
        <f>+(BB72-BA72)/BA72</f>
        <v>-3.4250421111735249E-2</v>
      </c>
      <c r="BC172" s="293"/>
      <c r="BD172" s="293">
        <f>+(BD72-BB72)/BB72</f>
        <v>0.16055456171735261</v>
      </c>
      <c r="BE172" s="293">
        <f>+(BE72-BD72)/BD72</f>
        <v>0.11907514450867066</v>
      </c>
      <c r="BF172" s="293"/>
      <c r="BG172" s="293">
        <f>+(BG72-BE72)/BE72</f>
        <v>0.25096418732782344</v>
      </c>
      <c r="BH172" s="293">
        <f>+(BH72-BG72)/BG72</f>
        <v>0.20625963444175319</v>
      </c>
      <c r="BI172" s="293"/>
      <c r="BJ172" s="293">
        <f>+(BJ72-BH72)/BH72</f>
        <v>-0.18810615914744092</v>
      </c>
      <c r="BK172" s="293">
        <f>+(BK72-BJ72)/BJ72</f>
        <v>-0.72221597616504551</v>
      </c>
      <c r="BL172" s="293"/>
      <c r="BM172" s="293">
        <f>+(BM72-BK72)/BK72</f>
        <v>3.0942021653344085</v>
      </c>
      <c r="BN172" s="293">
        <f>+(BN72-BM72)/BM72</f>
        <v>3.9764723327484236E-2</v>
      </c>
      <c r="BO172" s="293"/>
      <c r="BP172" s="293">
        <f>+(BP72-BN72)/BN72</f>
        <v>0.47675413576725617</v>
      </c>
      <c r="BQ172" s="293">
        <f>+(BQ72-BP72)/BP72</f>
        <v>-0.25370996298084647</v>
      </c>
      <c r="BR172" s="293"/>
      <c r="BS172" s="293">
        <f>+(BS72-BQ72)/BQ72</f>
        <v>0.63873013134341228</v>
      </c>
      <c r="BT172" s="293">
        <f>+(BT72-BS72)/BS72</f>
        <v>2.1254754352947113E-2</v>
      </c>
      <c r="BU172" s="293"/>
      <c r="BV172" s="293">
        <f>+(BV72-BT72)/BT72</f>
        <v>9.1535864326400471E-2</v>
      </c>
      <c r="BW172" s="293">
        <f>+(BW72-BV72)/BV72</f>
        <v>-2.4474327339700917E-2</v>
      </c>
      <c r="BX172" s="293"/>
      <c r="BY172" s="293">
        <f>+(BY72-BW72)/BW72</f>
        <v>8.2405479982572458E-2</v>
      </c>
      <c r="BZ172" s="293">
        <f>+(BZ72-BY72)/BY72</f>
        <v>-4.7284680836789973E-2</v>
      </c>
      <c r="CA172" s="293"/>
      <c r="CB172" s="293">
        <f>+(CB72-BZ72)/BZ72</f>
        <v>0.21042625105623874</v>
      </c>
      <c r="CC172" s="293">
        <f>+(CC72-CB72)/CB72</f>
        <v>0.12678159359305002</v>
      </c>
      <c r="CD172" s="293"/>
      <c r="CE172" s="293">
        <f>+(CE72-CC72)/CC72</f>
        <v>-3.3601803569277257E-2</v>
      </c>
      <c r="CF172" s="293">
        <f>+(CF72-CE72)/CE72</f>
        <v>0.13869770009527257</v>
      </c>
      <c r="CG172" s="293"/>
      <c r="CH172" s="293">
        <f>+(CH72-CF72)/CF72</f>
        <v>-0.15022754640852001</v>
      </c>
      <c r="CI172" s="293">
        <f>+(CI72-CH72)/CH72</f>
        <v>-1.8964977823582262E-2</v>
      </c>
      <c r="CJ172" s="293"/>
      <c r="CK172" s="293">
        <f>+(CK72-CI72)/CI72</f>
        <v>1.5832965960999014E-2</v>
      </c>
      <c r="CL172" s="293">
        <f>+(CL72-CK72)/CK72</f>
        <v>-0.34849170367771293</v>
      </c>
      <c r="CM172" s="293"/>
      <c r="CN172" s="293">
        <f>+(CN72-CL72)/CL72</f>
        <v>-0.29952238552133692</v>
      </c>
      <c r="CO172" s="293">
        <f>+(CO72-CN72)/CN72</f>
        <v>1.0275366717248358</v>
      </c>
      <c r="CP172" s="293"/>
      <c r="CQ172" s="293">
        <f>+(CQ72-CO72)/CO72</f>
        <v>2.4650256990238887E-3</v>
      </c>
      <c r="CR172" s="293">
        <f>+(CR72-CQ72)/CQ72</f>
        <v>5.4411952106605335E-2</v>
      </c>
      <c r="CS172" s="293"/>
      <c r="CT172" s="293">
        <f>+(CT72-CR72)/CR72</f>
        <v>0.23642259673122676</v>
      </c>
      <c r="CU172" s="293">
        <f>+(CU72-CT72)/CT72</f>
        <v>5.1157925278883919E-3</v>
      </c>
      <c r="CV172" s="293"/>
      <c r="CW172" s="293">
        <f>+(CW72-CU72)/CU72</f>
        <v>0.18809301336250464</v>
      </c>
      <c r="CX172" s="293">
        <f>+(CX72-CW72)/CW72</f>
        <v>1.8555910919007407E-2</v>
      </c>
      <c r="CY172" s="293"/>
      <c r="CZ172" s="293">
        <f>+(CZ72-CX72)/CX72</f>
        <v>6.506568291180276E-3</v>
      </c>
      <c r="DA172" s="293">
        <f>+(DA72-CZ72)/CZ72</f>
        <v>0.17294253551428848</v>
      </c>
      <c r="DB172" s="293"/>
      <c r="DC172" s="293">
        <f>+(DC72-DA72)/DA72</f>
        <v>-5.8833142137856169E-2</v>
      </c>
      <c r="DD172" s="293">
        <f>+(DD72-DC72)/DC72</f>
        <v>2.9940677966101826E-2</v>
      </c>
      <c r="DE172" s="293"/>
      <c r="DF172" s="293">
        <f>+(DF72-DD72)/DD72</f>
        <v>7.6996812376847823E-3</v>
      </c>
      <c r="DG172" s="293">
        <f>+(DG72-DF72)/DF72</f>
        <v>-0.87362689639274793</v>
      </c>
      <c r="DH172" s="1248"/>
      <c r="DI172" s="293">
        <f>+(DI72-DG72)/DG72</f>
        <v>6.5812604638798113</v>
      </c>
      <c r="DJ172" s="293">
        <f>+(DJ72-DI72)/DI72</f>
        <v>-0.10170454545454564</v>
      </c>
      <c r="DK172" s="1248"/>
      <c r="DL172" s="293">
        <f>+(DL72-DJ72)/DJ72</f>
        <v>0.41049968374446583</v>
      </c>
      <c r="DM172" s="293">
        <f>+(DM72-DL72)/DL72</f>
        <v>-0.18699551569506723</v>
      </c>
      <c r="DN172" s="1248"/>
      <c r="DO172" s="293">
        <f>+(DO72-DM72)/DM72</f>
        <v>0.11969111969111962</v>
      </c>
      <c r="DP172" s="293">
        <f>+(DP72-DO72)/DO72</f>
        <v>0.14088669950738927</v>
      </c>
      <c r="DQ172" s="1248"/>
      <c r="DR172" s="293">
        <f>+(DR72-DP72)/DP72</f>
        <v>0.17530224525043137</v>
      </c>
      <c r="DS172" s="293">
        <f>+(DS72-DR72)/DR72</f>
        <v>-3.4166054371784875E-2</v>
      </c>
      <c r="DT172" s="1248"/>
      <c r="DU172" s="293">
        <f>+(DU72-DS72)/DS72</f>
        <v>9.0528718143780482E-2</v>
      </c>
      <c r="DV172" s="293">
        <f>+(DV72-DU72)/DU72</f>
        <v>-6.7666550401116077E-2</v>
      </c>
      <c r="DW172" s="1248"/>
      <c r="DX172" s="293">
        <f>+(DX72-DV72)/DV72</f>
        <v>-4.6763935652824433E-2</v>
      </c>
      <c r="DY172" s="293">
        <f>+(DY72-DX72)/DX72</f>
        <v>0.1592638826517655</v>
      </c>
      <c r="DZ172" s="1248"/>
      <c r="EA172" s="293">
        <f>+(EA72-DY72)/DY72</f>
        <v>6.7067851829886338E-2</v>
      </c>
      <c r="EB172" s="293">
        <f>+(EB72-EA72)/EA72</f>
        <v>3.0416346933588235E-2</v>
      </c>
      <c r="EC172" s="1248"/>
      <c r="ED172" s="293">
        <f>+(ED72-EB72)/EB72</f>
        <v>8.4894676292796428E-2</v>
      </c>
      <c r="EE172" s="293">
        <f>+(EE72-ED72)/ED72</f>
        <v>3.0932822869875018E-2</v>
      </c>
      <c r="EF172" s="1248"/>
      <c r="EG172" s="293">
        <f>+(EG72-EE72)/EE72</f>
        <v>7.5404533913010677E-2</v>
      </c>
      <c r="EH172" s="293">
        <f>+(EH72-EG72)/EG72</f>
        <v>3.0932822869875701E-2</v>
      </c>
      <c r="EI172" s="1248"/>
      <c r="EJ172" s="293">
        <f>+(EJ72-EH72)/EH72</f>
        <v>6.8422813082737274E-2</v>
      </c>
      <c r="EK172" s="293">
        <f>+(EK72-EJ72)/EJ72</f>
        <v>3.0932822869875472E-2</v>
      </c>
      <c r="EL172" s="1248"/>
      <c r="EM172" s="293">
        <f>+(EM72-EK72)/EK72</f>
        <v>6.1699695780784533E-2</v>
      </c>
      <c r="EN172" s="293">
        <f>+(EN72-EM72)/EM72</f>
        <v>3.0932822869875094E-2</v>
      </c>
      <c r="EO172" s="1248"/>
      <c r="EP172" s="293">
        <f>+(EP72-EN72)/EN72</f>
        <v>5.7294884613039637E-2</v>
      </c>
      <c r="EQ172" s="293">
        <f>+(EQ72-EP72)/EP72</f>
        <v>3.0932822869875636E-2</v>
      </c>
      <c r="ER172" s="1248"/>
      <c r="ES172" s="293">
        <f>+(ES72-EQ72)/EQ72</f>
        <v>5.7294884613039554E-2</v>
      </c>
      <c r="ET172" s="293">
        <f>+(ET72-ES72)/ES72</f>
        <v>3.09328228698755E-2</v>
      </c>
      <c r="EU172" s="1248"/>
      <c r="EV172" s="293">
        <f>+(EV72-ET72)/ET72</f>
        <v>5.7294884613039311E-2</v>
      </c>
      <c r="EW172" s="293">
        <f>+(EW72-EV72)/EV72</f>
        <v>3.0932822869875806E-2</v>
      </c>
      <c r="EX172" s="1248"/>
      <c r="EY172" s="293">
        <f>+(EY72-EW72)/EW72</f>
        <v>5.729488461303904E-2</v>
      </c>
      <c r="EZ172" s="293">
        <f>+(EZ72-EY72)/EY72</f>
        <v>3.093282286987549E-2</v>
      </c>
      <c r="FA172" s="1248"/>
      <c r="FE172"/>
      <c r="FF172"/>
      <c r="FG172"/>
      <c r="FH172"/>
      <c r="FI172"/>
      <c r="FJ172"/>
      <c r="FK172" s="35"/>
    </row>
    <row r="173" spans="2:167" s="236" customFormat="1" ht="13.35" customHeight="1" outlineLevel="1">
      <c r="B173" s="242" t="s">
        <v>137</v>
      </c>
      <c r="C173" s="242" t="s">
        <v>460</v>
      </c>
      <c r="D173" s="243"/>
      <c r="E173" s="293"/>
      <c r="F173" s="293"/>
      <c r="G173" s="293"/>
      <c r="H173" s="293"/>
      <c r="I173" s="293"/>
      <c r="J173" s="293"/>
      <c r="K173" s="293"/>
      <c r="L173" s="293"/>
      <c r="M173" s="293"/>
      <c r="N173" s="293"/>
      <c r="O173" s="293"/>
      <c r="P173" s="293"/>
      <c r="Q173" s="293"/>
      <c r="R173" s="293"/>
      <c r="S173" s="293"/>
      <c r="T173" s="293"/>
      <c r="U173" s="293"/>
      <c r="V173" s="293"/>
      <c r="W173" s="293"/>
      <c r="X173" s="293"/>
      <c r="Y173" s="293"/>
      <c r="Z173" s="293"/>
      <c r="AA173" s="293"/>
      <c r="AB173" s="293"/>
      <c r="AC173" s="293"/>
      <c r="AD173" s="293"/>
      <c r="AE173" s="293"/>
      <c r="AF173" s="293"/>
      <c r="AG173" s="293"/>
      <c r="AH173" s="293"/>
      <c r="AI173" s="293"/>
      <c r="AJ173" s="293">
        <f>+(AJ90-AI90)/AI90</f>
        <v>0.25810663764961916</v>
      </c>
      <c r="AK173" s="293"/>
      <c r="AL173" s="293">
        <f>+(AL90-AJ90)/AJ90</f>
        <v>-0.11312921639854695</v>
      </c>
      <c r="AM173" s="293">
        <f>+(AM90-AL90)/AL90</f>
        <v>0.11878291398478642</v>
      </c>
      <c r="AN173" s="293"/>
      <c r="AO173" s="293">
        <f>+(AO90-AM90)/AM90</f>
        <v>-0.21164574616457454</v>
      </c>
      <c r="AP173" s="293">
        <f>+(AP90-AO90)/AO90</f>
        <v>0.39031402034498019</v>
      </c>
      <c r="AQ173" s="293"/>
      <c r="AR173" s="293">
        <f>+(AR90-AP90)/AP90</f>
        <v>-0.13710831875298249</v>
      </c>
      <c r="AS173" s="293">
        <f>+(AS90-AR90)/AR90</f>
        <v>0.44884792626728121</v>
      </c>
      <c r="AT173" s="293"/>
      <c r="AU173" s="293">
        <f>+(AU90-AS90)/AS90</f>
        <v>-0.15483460559796444</v>
      </c>
      <c r="AV173" s="293">
        <f>+(AV90-AU90)/AU90</f>
        <v>0.45777510161071772</v>
      </c>
      <c r="AW173" s="293"/>
      <c r="AX173" s="293">
        <f>+(AX90-AV90)/AV90</f>
        <v>6.6088393225940137E-2</v>
      </c>
      <c r="AY173" s="293">
        <f>+(AY90-AX90)/AX90</f>
        <v>0.33591631150716739</v>
      </c>
      <c r="AZ173" s="293"/>
      <c r="BA173" s="293">
        <f>+(BA90-AY90)/AY90</f>
        <v>0.1508845707656615</v>
      </c>
      <c r="BB173" s="293">
        <f>+(BB90-BA90)/BA90</f>
        <v>-3.578403578403587E-2</v>
      </c>
      <c r="BC173" s="293"/>
      <c r="BD173" s="293">
        <f>+(BD90-BB90)/BB90</f>
        <v>0.35903299575302172</v>
      </c>
      <c r="BE173" s="293">
        <f>+(BE90-BD90)/BD90</f>
        <v>9.6634615384615638E-2</v>
      </c>
      <c r="BF173" s="293"/>
      <c r="BG173" s="293">
        <f>+(BG90-BE90)/BE90</f>
        <v>0.1843489697501095</v>
      </c>
      <c r="BH173" s="293">
        <f>+(BH90-BG90)/BG90</f>
        <v>0.15376642605959664</v>
      </c>
      <c r="BI173" s="293"/>
      <c r="BJ173" s="293">
        <f>+(BJ90-BH90)/BH90</f>
        <v>-0.13760467130803045</v>
      </c>
      <c r="BK173" s="293">
        <f>+(BK90-BJ90)/BJ90</f>
        <v>-0.5246279761904763</v>
      </c>
      <c r="BL173" s="293"/>
      <c r="BM173" s="293">
        <f>+(BM90-BK90)/BK90</f>
        <v>1.30591641884489</v>
      </c>
      <c r="BN173" s="293">
        <f>+(BN90-BM90)/BM90</f>
        <v>-1.5475988460885659E-2</v>
      </c>
      <c r="BO173" s="293"/>
      <c r="BP173" s="293">
        <f>+(BP90-BN90)/BN90</f>
        <v>0.48260884553069716</v>
      </c>
      <c r="BQ173" s="293">
        <f>+(BQ90-BP90)/BP90</f>
        <v>-0.13918017159199247</v>
      </c>
      <c r="BR173" s="293"/>
      <c r="BS173" s="293">
        <f>+(BS90-BQ90)/BQ90</f>
        <v>0.31804553925937967</v>
      </c>
      <c r="BT173" s="293">
        <f>+(BT90-BS90)/BS90</f>
        <v>5.1948850362719123E-2</v>
      </c>
      <c r="BU173" s="293"/>
      <c r="BV173" s="293">
        <f>+(BV90-BT90)/BT90</f>
        <v>0.11259813375411591</v>
      </c>
      <c r="BW173" s="293">
        <f>+(BW90-BV90)/BV90</f>
        <v>1.7649221718347756E-2</v>
      </c>
      <c r="BX173" s="293"/>
      <c r="BY173" s="293">
        <f>+(BY90-BW90)/BW90</f>
        <v>0.20328280655873077</v>
      </c>
      <c r="BZ173" s="293">
        <f>+(BZ90-BY90)/BY90</f>
        <v>-0.13343628460306559</v>
      </c>
      <c r="CA173" s="293"/>
      <c r="CB173" s="293">
        <f>+(CB90-BZ90)/BZ90</f>
        <v>0.24161771500231033</v>
      </c>
      <c r="CC173" s="293">
        <f>+(CC90-CB90)/CB90</f>
        <v>6.1902800111631795E-2</v>
      </c>
      <c r="CD173" s="293"/>
      <c r="CE173" s="293">
        <f>+(CE90-CC90)/CC90</f>
        <v>3.792003003566774E-2</v>
      </c>
      <c r="CF173" s="293">
        <f>+(CF90-CE90)/CE90</f>
        <v>0.17174896002893833</v>
      </c>
      <c r="CG173" s="293"/>
      <c r="CH173" s="293">
        <f>+(CH90-CF90)/CF90</f>
        <v>-0.17526420317146718</v>
      </c>
      <c r="CI173" s="293">
        <f>+(CI90-CH90)/CH90</f>
        <v>-2.7374698990604622E-2</v>
      </c>
      <c r="CJ173" s="293"/>
      <c r="CK173" s="293">
        <f>+(CK90-CI90)/CI90</f>
        <v>-3.6945338858029413E-3</v>
      </c>
      <c r="CL173" s="293">
        <f>+(CL90-CK90)/CK90</f>
        <v>-0.29314362969162455</v>
      </c>
      <c r="CM173" s="293"/>
      <c r="CN173" s="293">
        <f>+(CN90-CL90)/CL90</f>
        <v>-0.32984808189733666</v>
      </c>
      <c r="CO173" s="293">
        <f>+(CO90-CN90)/CN90</f>
        <v>0.97608045664582743</v>
      </c>
      <c r="CP173" s="293"/>
      <c r="CQ173" s="293">
        <f>+(CQ90-CO90)/CO90</f>
        <v>-1.8225584594222681E-2</v>
      </c>
      <c r="CR173" s="293">
        <f>+(CR90-CQ90)/CQ90</f>
        <v>4.3292469352014057E-2</v>
      </c>
      <c r="CS173" s="293"/>
      <c r="CT173" s="293">
        <f>+(CT90-CR90)/CR90</f>
        <v>0.26278117236285498</v>
      </c>
      <c r="CU173" s="293">
        <f>+(CU90-CT90)/CT90</f>
        <v>9.0925526145075632E-3</v>
      </c>
      <c r="CV173" s="293"/>
      <c r="CW173" s="293">
        <f>+(CW90-CU90)/CU90</f>
        <v>0.17369361773880795</v>
      </c>
      <c r="CX173" s="293">
        <f>+(CX90-CW90)/CW90</f>
        <v>7.875769151752858E-3</v>
      </c>
      <c r="CY173" s="293"/>
      <c r="CZ173" s="293">
        <f>+(CZ90-CX90)/CX90</f>
        <v>-1.2887343719041416E-2</v>
      </c>
      <c r="DA173" s="293">
        <f>+(DA90-CZ90)/CZ90</f>
        <v>0.21841155234657084</v>
      </c>
      <c r="DB173" s="293"/>
      <c r="DC173" s="293">
        <f>+(DC90-DA90)/DA90</f>
        <v>-4.740740740740744E-2</v>
      </c>
      <c r="DD173" s="293">
        <f>+(DD90-DC90)/DC90</f>
        <v>6.7651632970450473E-2</v>
      </c>
      <c r="DE173" s="293"/>
      <c r="DF173" s="293">
        <f>+(DF90-DD90)/DD90</f>
        <v>-3.3503277494537478E-2</v>
      </c>
      <c r="DG173" s="293">
        <f>+(DG90-DF90)/DF90</f>
        <v>-3.7957799547852304</v>
      </c>
      <c r="DH173" s="1248"/>
      <c r="DI173" s="293">
        <f>+(DI90-DG90)/DG90</f>
        <v>-1.3374393530997304</v>
      </c>
      <c r="DJ173" s="293">
        <f>+(DJ90-DI90)/DI90</f>
        <v>-9.9448837766594689E-2</v>
      </c>
      <c r="DK173" s="1248"/>
      <c r="DL173" s="293">
        <f>+(DL90-DJ90)/DJ90</f>
        <v>0.43108036189462473</v>
      </c>
      <c r="DM173" s="293">
        <f>+(DM90-DL90)/DL90</f>
        <v>-0.1894136605925375</v>
      </c>
      <c r="DN173" s="1248"/>
      <c r="DO173" s="293">
        <f>+(DO90-DM90)/DM90</f>
        <v>0.17556201254014381</v>
      </c>
      <c r="DP173" s="293">
        <f>+(DP90-DO90)/DO90</f>
        <v>0.16046572134773002</v>
      </c>
      <c r="DQ173" s="1248"/>
      <c r="DR173" s="293">
        <f>+(DR90-DP90)/DP90</f>
        <v>0.1413597892494812</v>
      </c>
      <c r="DS173" s="293">
        <f>+(DS90-DR90)/DR90</f>
        <v>2.7009772626823722E-3</v>
      </c>
      <c r="DT173" s="1248"/>
      <c r="DU173" s="293">
        <f>+(DU90-DS90)/DS90</f>
        <v>4.6576550102850389E-2</v>
      </c>
      <c r="DV173" s="293">
        <f>+(DV90-DU90)/DU90</f>
        <v>-5.6577284851887608E-2</v>
      </c>
      <c r="DW173" s="1248"/>
      <c r="DX173" s="293">
        <f>+(DX90-DV90)/DV90</f>
        <v>-3.3730158730159047E-2</v>
      </c>
      <c r="DY173" s="293">
        <f>+(DY90-DX90)/DX90</f>
        <v>0.11532316722152157</v>
      </c>
      <c r="DZ173" s="1248"/>
      <c r="EA173" s="293">
        <f>+(EA90-DY90)/DY90</f>
        <v>7.6026661373111953E-2</v>
      </c>
      <c r="EB173" s="293">
        <f>+(EB90-EA90)/EA90</f>
        <v>3.0755966090398015E-2</v>
      </c>
      <c r="EC173" s="1248"/>
      <c r="ED173" s="293">
        <f>+(ED90-EB90)/EB90</f>
        <v>8.24513454436194E-2</v>
      </c>
      <c r="EE173" s="293">
        <f>+(EE90-ED90)/ED90</f>
        <v>3.1338481651341135E-2</v>
      </c>
      <c r="EF173" s="1248"/>
      <c r="EG173" s="293">
        <f>+(EG90-EE90)/EE90</f>
        <v>7.699548497295447E-2</v>
      </c>
      <c r="EH173" s="293">
        <f>+(EH90-EG90)/EG90</f>
        <v>3.1279879828734147E-2</v>
      </c>
      <c r="EI173" s="1248"/>
      <c r="EJ173" s="293">
        <f>+(EJ90-EH90)/EH90</f>
        <v>6.9312919990371313E-2</v>
      </c>
      <c r="EK173" s="293">
        <f>+(EK90-EJ90)/EJ90</f>
        <v>3.1243324274046649E-2</v>
      </c>
      <c r="EL173" s="1248"/>
      <c r="EM173" s="293">
        <f>+(EM90-EK90)/EK90</f>
        <v>6.4546543360466502E-2</v>
      </c>
      <c r="EN173" s="293">
        <f>+(EN90-EM90)/EM90</f>
        <v>3.1150390256771705E-2</v>
      </c>
      <c r="EO173" s="1248"/>
      <c r="EP173" s="293">
        <f>+(EP90-EN90)/EN90</f>
        <v>6.1755514339741531E-2</v>
      </c>
      <c r="EQ173" s="293">
        <f>+(EQ90-EP90)/EP90</f>
        <v>3.1012976793543007E-2</v>
      </c>
      <c r="ER173" s="1248"/>
      <c r="ES173" s="293">
        <f>+(ES90-EQ90)/EQ90</f>
        <v>6.1644105012586374E-2</v>
      </c>
      <c r="ET173" s="293">
        <f>+(ET90-ES90)/ES90</f>
        <v>3.0883525267241814E-2</v>
      </c>
      <c r="EU173" s="1248"/>
      <c r="EV173" s="293">
        <f>+(EV90-ET90)/ET90</f>
        <v>6.155012530524509E-2</v>
      </c>
      <c r="EW173" s="293">
        <f>+(EW90-EV90)/EV90</f>
        <v>3.0761199113848496E-2</v>
      </c>
      <c r="EX173" s="1248"/>
      <c r="EY173" s="293">
        <f>+(EY90-EW90)/EW90</f>
        <v>6.147391889524597E-2</v>
      </c>
      <c r="EZ173" s="293">
        <f>+(EZ90-EY90)/EY90</f>
        <v>3.0645193575974047E-2</v>
      </c>
      <c r="FA173" s="1248"/>
      <c r="FE173"/>
      <c r="FF173"/>
      <c r="FG173"/>
      <c r="FH173"/>
      <c r="FI173"/>
      <c r="FJ173"/>
      <c r="FK173" s="35"/>
    </row>
    <row r="174" spans="2:167" s="236" customFormat="1" ht="13.35" customHeight="1" outlineLevel="1">
      <c r="B174" s="242" t="s">
        <v>211</v>
      </c>
      <c r="C174" s="242" t="s">
        <v>460</v>
      </c>
      <c r="D174" s="243"/>
      <c r="E174" s="293"/>
      <c r="F174" s="293"/>
      <c r="G174" s="293"/>
      <c r="H174" s="293"/>
      <c r="I174" s="293"/>
      <c r="J174" s="293"/>
      <c r="K174" s="293"/>
      <c r="L174" s="293"/>
      <c r="M174" s="293"/>
      <c r="N174" s="293"/>
      <c r="O174" s="293"/>
      <c r="P174" s="293"/>
      <c r="Q174" s="293"/>
      <c r="R174" s="293"/>
      <c r="S174" s="293"/>
      <c r="T174" s="293"/>
      <c r="U174" s="293"/>
      <c r="V174" s="293"/>
      <c r="W174" s="293"/>
      <c r="X174" s="293"/>
      <c r="Y174" s="293"/>
      <c r="Z174" s="293"/>
      <c r="AA174" s="293"/>
      <c r="AB174" s="293"/>
      <c r="AC174" s="293"/>
      <c r="AD174" s="293"/>
      <c r="AE174" s="293"/>
      <c r="AF174" s="293"/>
      <c r="AG174" s="293"/>
      <c r="AH174" s="293"/>
      <c r="AI174" s="293"/>
      <c r="AJ174" s="293">
        <f>+(AJ84-AI84)/AI84</f>
        <v>0.25810663764961916</v>
      </c>
      <c r="AK174" s="293"/>
      <c r="AL174" s="293">
        <f>+(AL84-AJ84)/AJ84</f>
        <v>-0.11312921639854695</v>
      </c>
      <c r="AM174" s="293">
        <f>+(AM84-AL84)/AL84</f>
        <v>0.11878291398478642</v>
      </c>
      <c r="AN174" s="293"/>
      <c r="AO174" s="293">
        <f>+(AO84-AM84)/AM84</f>
        <v>-0.21164574616457454</v>
      </c>
      <c r="AP174" s="293">
        <f>+(AP84-AO84)/AO84</f>
        <v>0.39031402034498019</v>
      </c>
      <c r="AQ174" s="293"/>
      <c r="AR174" s="293">
        <f>+(AR84-AP84)/AP84</f>
        <v>-0.13710831875298249</v>
      </c>
      <c r="AS174" s="293">
        <f>+(AS84-AR84)/AR84</f>
        <v>0.44884792626728121</v>
      </c>
      <c r="AT174" s="293"/>
      <c r="AU174" s="293">
        <f>+(AU84-AS84)/AS84</f>
        <v>-0.15483460559796444</v>
      </c>
      <c r="AV174" s="293">
        <f>+(AV84-AU84)/AU84</f>
        <v>0.45777510161071772</v>
      </c>
      <c r="AW174" s="293"/>
      <c r="AX174" s="293">
        <f>+(AX84-AV84)/AV84</f>
        <v>6.6088393225940137E-2</v>
      </c>
      <c r="AY174" s="293">
        <f>+(AY84-AX84)/AX84</f>
        <v>0.33591631150716739</v>
      </c>
      <c r="AZ174" s="293"/>
      <c r="BA174" s="293">
        <f>+(BA84-AY84)/AY84</f>
        <v>0.1508845707656615</v>
      </c>
      <c r="BB174" s="293">
        <f>+(BB84-BA84)/BA84</f>
        <v>-3.578403578403587E-2</v>
      </c>
      <c r="BC174" s="293"/>
      <c r="BD174" s="293">
        <f>+(BD84-BB84)/BB84</f>
        <v>0.35903299575302172</v>
      </c>
      <c r="BE174" s="293">
        <f>+(BE84-BD84)/BD84</f>
        <v>9.6634615384615638E-2</v>
      </c>
      <c r="BF174" s="293"/>
      <c r="BG174" s="293">
        <f>+(BG84-BE84)/BE84</f>
        <v>0.1843489697501095</v>
      </c>
      <c r="BH174" s="293">
        <f>+(BH84-BG84)/BG84</f>
        <v>0.15376642605959664</v>
      </c>
      <c r="BI174" s="293"/>
      <c r="BJ174" s="293">
        <f>+(BJ84-BH84)/BH84</f>
        <v>-0.13760467130803045</v>
      </c>
      <c r="BK174" s="293">
        <f>+(BK84-BJ84)/BJ84</f>
        <v>-0.63240327380952388</v>
      </c>
      <c r="BL174" s="293"/>
      <c r="BM174" s="293">
        <f>+(BM84-BK84)/BK84</f>
        <v>1.9819856289849205</v>
      </c>
      <c r="BN174" s="293">
        <f>+(BN84-BM84)/BM84</f>
        <v>-1.5475988460885659E-2</v>
      </c>
      <c r="BO174" s="293"/>
      <c r="BP174" s="293">
        <f>+(BP84-BN84)/BN84</f>
        <v>0.48260884553069716</v>
      </c>
      <c r="BQ174" s="293">
        <f>+(BQ84-BP84)/BP84</f>
        <v>-0.13918017159199247</v>
      </c>
      <c r="BR174" s="293"/>
      <c r="BS174" s="293">
        <f>+(BS84-BQ84)/BQ84</f>
        <v>0.31804553925937967</v>
      </c>
      <c r="BT174" s="293">
        <f>+(BT84-BS84)/BS84</f>
        <v>5.1948850362719123E-2</v>
      </c>
      <c r="BU174" s="293"/>
      <c r="BV174" s="293">
        <f>+(BV84-BT84)/BT84</f>
        <v>0.11259813375411591</v>
      </c>
      <c r="BW174" s="293">
        <f>+(BW84-BV84)/BV84</f>
        <v>1.7649221718347756E-2</v>
      </c>
      <c r="BX174" s="293"/>
      <c r="BY174" s="293">
        <f>+(BY84-BW84)/BW84</f>
        <v>0.20328280655873077</v>
      </c>
      <c r="BZ174" s="293">
        <f>+(BZ84-BY84)/BY84</f>
        <v>-0.13343628460306559</v>
      </c>
      <c r="CA174" s="293"/>
      <c r="CB174" s="293">
        <f>+(CB84-BZ84)/BZ84</f>
        <v>0.24161771500231033</v>
      </c>
      <c r="CC174" s="293">
        <f>+(CC84-CB84)/CB84</f>
        <v>6.1902800111631795E-2</v>
      </c>
      <c r="CD174" s="293"/>
      <c r="CE174" s="293">
        <f>+(CE84-CC84)/CC84</f>
        <v>3.792003003566774E-2</v>
      </c>
      <c r="CF174" s="293">
        <f>+(CF84-CE84)/CE84</f>
        <v>0.17174896002893833</v>
      </c>
      <c r="CG174" s="293"/>
      <c r="CH174" s="293">
        <f>+(CH84-CF84)/CF84</f>
        <v>-0.17526420317146718</v>
      </c>
      <c r="CI174" s="293">
        <f>+(CI84-CH84)/CH84</f>
        <v>-2.7374698990604622E-2</v>
      </c>
      <c r="CJ174" s="293"/>
      <c r="CK174" s="293">
        <f>+(CK84-CI84)/CI84</f>
        <v>-3.6945338858029413E-3</v>
      </c>
      <c r="CL174" s="293">
        <f>+(CL84-CK84)/CK84</f>
        <v>-0.29314362969162455</v>
      </c>
      <c r="CM174" s="293"/>
      <c r="CN174" s="293">
        <f>+(CN84-CL84)/CL84</f>
        <v>-0.32984808189733666</v>
      </c>
      <c r="CO174" s="293">
        <f>+(CO84-CN84)/CN84</f>
        <v>0.97608045664582743</v>
      </c>
      <c r="CP174" s="293"/>
      <c r="CQ174" s="293">
        <f>+(CQ84-CO84)/CO84</f>
        <v>-1.8225584594222681E-2</v>
      </c>
      <c r="CR174" s="293">
        <f>+(CR84-CQ84)/CQ84</f>
        <v>4.3292469352014057E-2</v>
      </c>
      <c r="CS174" s="293"/>
      <c r="CT174" s="293">
        <f>+(CT84-CR84)/CR84</f>
        <v>0.26278117236285498</v>
      </c>
      <c r="CU174" s="293">
        <f>+(CU84-CT84)/CT84</f>
        <v>9.0925526145075632E-3</v>
      </c>
      <c r="CV174" s="293"/>
      <c r="CW174" s="293">
        <f>+(CW84-CU84)/CU84</f>
        <v>0.17369361773880795</v>
      </c>
      <c r="CX174" s="293">
        <f>+(CX84-CW84)/CW84</f>
        <v>7.875769151752858E-3</v>
      </c>
      <c r="CY174" s="293"/>
      <c r="CZ174" s="293">
        <f>+(CZ84-CX84)/CX84</f>
        <v>-1.2887343719041416E-2</v>
      </c>
      <c r="DA174" s="293">
        <f>+(DA84-CZ84)/CZ84</f>
        <v>0.21841155234657084</v>
      </c>
      <c r="DB174" s="293"/>
      <c r="DC174" s="293">
        <f>+(DC84-DA84)/DA84</f>
        <v>-4.740740740740744E-2</v>
      </c>
      <c r="DD174" s="293">
        <f>+(DD84-DC84)/DC84</f>
        <v>6.7651632970450473E-2</v>
      </c>
      <c r="DE174" s="293"/>
      <c r="DF174" s="293">
        <f>+(DF84-DD84)/DD84</f>
        <v>-3.3503277494537478E-2</v>
      </c>
      <c r="DG174" s="293">
        <f>+(DG84-DF84)/DF84</f>
        <v>-0.84099472494348115</v>
      </c>
      <c r="DH174" s="1248"/>
      <c r="DI174" s="293">
        <f>+(DI84-DG84)/DG84</f>
        <v>4.9568720379146773</v>
      </c>
      <c r="DJ174" s="293">
        <f>+(DJ84-DI84)/DI84</f>
        <v>-8.5527886068899675E-2</v>
      </c>
      <c r="DK174" s="1248"/>
      <c r="DL174" s="293">
        <f>+(DL84-DJ84)/DJ84</f>
        <v>0.40368888115538548</v>
      </c>
      <c r="DM174" s="293">
        <f>+(DM84-DL84)/DL84</f>
        <v>-0.1894136605925375</v>
      </c>
      <c r="DN174" s="1248"/>
      <c r="DO174" s="293">
        <f>+(DO84-DM84)/DM84</f>
        <v>0.17556201254014381</v>
      </c>
      <c r="DP174" s="293">
        <f>+(DP84-DO84)/DO84</f>
        <v>0.16046572134773002</v>
      </c>
      <c r="DQ174" s="1248"/>
      <c r="DR174" s="293">
        <f>+(DR84-DP84)/DP84</f>
        <v>0.1413597892494812</v>
      </c>
      <c r="DS174" s="293">
        <f>+(DS84-DR84)/DR84</f>
        <v>2.7009772626823722E-3</v>
      </c>
      <c r="DT174" s="1248"/>
      <c r="DU174" s="293">
        <f>+(DU84-DS84)/DS84</f>
        <v>4.6576550102850389E-2</v>
      </c>
      <c r="DV174" s="293">
        <f>+(DV84-DU84)/DU84</f>
        <v>-5.6577284851887608E-2</v>
      </c>
      <c r="DW174" s="1248"/>
      <c r="DX174" s="293">
        <f>+(DX84-DV84)/DV84</f>
        <v>-3.3730158730159047E-2</v>
      </c>
      <c r="DY174" s="293">
        <f>+(DY84-DX84)/DX84</f>
        <v>0.11532316722152157</v>
      </c>
      <c r="DZ174" s="1248"/>
      <c r="EA174" s="293">
        <f>+(EA84-DY84)/DY84</f>
        <v>7.6026661373111953E-2</v>
      </c>
      <c r="EB174" s="293">
        <f>+(EB84-EA84)/EA84</f>
        <v>3.0755966090398015E-2</v>
      </c>
      <c r="EC174" s="1248"/>
      <c r="ED174" s="293">
        <f>+(ED84-EB84)/EB84</f>
        <v>8.24513454436194E-2</v>
      </c>
      <c r="EE174" s="293">
        <f>+(EE84-ED84)/ED84</f>
        <v>3.1338481651341135E-2</v>
      </c>
      <c r="EF174" s="1248"/>
      <c r="EG174" s="293">
        <f>+(EG84-EE84)/EE84</f>
        <v>7.699548497295447E-2</v>
      </c>
      <c r="EH174" s="293">
        <f>+(EH84-EG84)/EG84</f>
        <v>3.1279879828734147E-2</v>
      </c>
      <c r="EI174" s="1248"/>
      <c r="EJ174" s="293">
        <f>+(EJ84-EH84)/EH84</f>
        <v>6.9312919990371313E-2</v>
      </c>
      <c r="EK174" s="293">
        <f>+(EK84-EJ84)/EJ84</f>
        <v>3.1243324274046649E-2</v>
      </c>
      <c r="EL174" s="1248"/>
      <c r="EM174" s="293">
        <f>+(EM84-EK84)/EK84</f>
        <v>6.4546543360466502E-2</v>
      </c>
      <c r="EN174" s="293">
        <f>+(EN84-EM84)/EM84</f>
        <v>3.1150390256771705E-2</v>
      </c>
      <c r="EO174" s="1248"/>
      <c r="EP174" s="293">
        <f>+(EP84-EN84)/EN84</f>
        <v>6.1755514339741531E-2</v>
      </c>
      <c r="EQ174" s="293">
        <f>+(EQ84-EP84)/EP84</f>
        <v>3.1012976793543007E-2</v>
      </c>
      <c r="ER174" s="1248"/>
      <c r="ES174" s="293">
        <f>+(ES84-EQ84)/EQ84</f>
        <v>6.1644105012586374E-2</v>
      </c>
      <c r="ET174" s="293">
        <f>+(ET84-ES84)/ES84</f>
        <v>3.0883525267241814E-2</v>
      </c>
      <c r="EU174" s="1248"/>
      <c r="EV174" s="293">
        <f>+(EV84-ET84)/ET84</f>
        <v>6.155012530524509E-2</v>
      </c>
      <c r="EW174" s="293">
        <f>+(EW84-EV84)/EV84</f>
        <v>3.0761199113848496E-2</v>
      </c>
      <c r="EX174" s="1248"/>
      <c r="EY174" s="293">
        <f>+(EY84-EW84)/EW84</f>
        <v>6.147391889524597E-2</v>
      </c>
      <c r="EZ174" s="293">
        <f>+(EZ84-EY84)/EY84</f>
        <v>3.0645193575974047E-2</v>
      </c>
      <c r="FA174" s="1248"/>
      <c r="FE174"/>
      <c r="FF174"/>
      <c r="FG174"/>
      <c r="FH174"/>
      <c r="FI174"/>
      <c r="FJ174"/>
      <c r="FK174" s="35"/>
    </row>
    <row r="175" spans="2:167" s="236" customFormat="1" ht="13.35" customHeight="1" outlineLevel="1">
      <c r="B175" s="242" t="s">
        <v>195</v>
      </c>
      <c r="C175" s="242" t="s">
        <v>460</v>
      </c>
      <c r="D175" s="243"/>
      <c r="E175" s="293"/>
      <c r="F175" s="293"/>
      <c r="G175" s="293"/>
      <c r="H175" s="293"/>
      <c r="I175" s="293"/>
      <c r="J175" s="293"/>
      <c r="K175" s="293"/>
      <c r="L175" s="293"/>
      <c r="M175" s="293"/>
      <c r="N175" s="293"/>
      <c r="O175" s="293"/>
      <c r="P175" s="293"/>
      <c r="Q175" s="293"/>
      <c r="R175" s="293"/>
      <c r="S175" s="293"/>
      <c r="T175" s="293"/>
      <c r="U175" s="293"/>
      <c r="V175" s="293"/>
      <c r="W175" s="293"/>
      <c r="X175" s="293"/>
      <c r="Y175" s="293"/>
      <c r="Z175" s="293"/>
      <c r="AA175" s="293"/>
      <c r="AB175" s="293"/>
      <c r="AC175" s="293"/>
      <c r="AD175" s="293"/>
      <c r="AE175" s="293"/>
      <c r="AF175" s="293"/>
      <c r="AG175" s="293"/>
      <c r="AH175" s="293"/>
      <c r="AI175" s="293">
        <f>+AI30/AK30</f>
        <v>0.49369174895348661</v>
      </c>
      <c r="AJ175" s="293">
        <f>+AJ30/AK30</f>
        <v>0.50630825104651334</v>
      </c>
      <c r="AK175" s="293"/>
      <c r="AL175" s="293">
        <f>+AL30/AN30</f>
        <v>0.50595641646489098</v>
      </c>
      <c r="AM175" s="293">
        <f>+AM30/AN30</f>
        <v>0.49404358353510902</v>
      </c>
      <c r="AN175" s="293"/>
      <c r="AO175" s="293">
        <f>+AO30/AQ30</f>
        <v>0.46287875627494335</v>
      </c>
      <c r="AP175" s="293">
        <f>+AP30/AQ30</f>
        <v>0.53712124372505665</v>
      </c>
      <c r="AQ175" s="293"/>
      <c r="AR175" s="293">
        <f>+AR30/AT30</f>
        <v>0.47108988200396962</v>
      </c>
      <c r="AS175" s="293">
        <f>+AS30/AT30</f>
        <v>0.52891011799603038</v>
      </c>
      <c r="AT175" s="293"/>
      <c r="AU175" s="293">
        <f>+AU30/AW30</f>
        <v>0.4924084572381095</v>
      </c>
      <c r="AV175" s="293">
        <f>+AV30/AW30</f>
        <v>0.50759154276189056</v>
      </c>
      <c r="AW175" s="293"/>
      <c r="AX175" s="293">
        <f>+AX30/AZ30</f>
        <v>0.45989816728866945</v>
      </c>
      <c r="AY175" s="293">
        <f>+AY30/AZ30</f>
        <v>0.54010183271133061</v>
      </c>
      <c r="AZ175" s="293"/>
      <c r="BA175" s="293">
        <f>+BA30/BC30</f>
        <v>0.46889069605789807</v>
      </c>
      <c r="BB175" s="293">
        <f>+BB30/BC30</f>
        <v>0.53110930394210187</v>
      </c>
      <c r="BC175" s="293"/>
      <c r="BD175" s="293">
        <f>+BD30/BF30</f>
        <v>0.46871401750968961</v>
      </c>
      <c r="BE175" s="293">
        <f>+BE30/BF30</f>
        <v>0.53128598249031045</v>
      </c>
      <c r="BF175" s="293"/>
      <c r="BG175" s="293">
        <f>+BG30/BI30</f>
        <v>0.51265690010838783</v>
      </c>
      <c r="BH175" s="293">
        <f>+BH30/BI30</f>
        <v>0.48734309989161217</v>
      </c>
      <c r="BI175" s="293"/>
      <c r="BJ175" s="293">
        <f>+BJ30/BL30</f>
        <v>0.48738904156715906</v>
      </c>
      <c r="BK175" s="293">
        <f>+BK30/BL30</f>
        <v>0.51261095843284088</v>
      </c>
      <c r="BL175" s="293"/>
      <c r="BM175" s="293">
        <f>+BM30/BO30</f>
        <v>0.47331831754382953</v>
      </c>
      <c r="BN175" s="293">
        <f>+BN30/BO30</f>
        <v>0.52668168245617042</v>
      </c>
      <c r="BO175" s="293"/>
      <c r="BP175" s="293">
        <f>+BP30/BR30</f>
        <v>0.46881500634331114</v>
      </c>
      <c r="BQ175" s="293">
        <f>+BQ30/BR30</f>
        <v>0.53118499365668892</v>
      </c>
      <c r="BR175" s="293"/>
      <c r="BS175" s="293">
        <f>+BS30/BU30</f>
        <v>0.49308490661109472</v>
      </c>
      <c r="BT175" s="293">
        <f>+BT30/BU30</f>
        <v>0.50691509338890528</v>
      </c>
      <c r="BU175" s="293"/>
      <c r="BV175" s="293">
        <f>+BV30/BX30</f>
        <v>0.49410144699184899</v>
      </c>
      <c r="BW175" s="293">
        <f>+BW30/BX30</f>
        <v>0.50589855300815101</v>
      </c>
      <c r="BX175" s="293"/>
      <c r="BY175" s="293">
        <f>+BY30/CA30</f>
        <v>0.51043724822219494</v>
      </c>
      <c r="BZ175" s="293">
        <f>+BZ30/CA30</f>
        <v>0.48956275177780506</v>
      </c>
      <c r="CA175" s="293"/>
      <c r="CB175" s="293">
        <f>+CB30/CD30</f>
        <v>0.4707964106658124</v>
      </c>
      <c r="CC175" s="293">
        <f>+CC30/CD30</f>
        <v>0.52920358933418765</v>
      </c>
      <c r="CD175" s="293"/>
      <c r="CE175" s="293">
        <f>+CE30/CG30</f>
        <v>0.46393259152806332</v>
      </c>
      <c r="CF175" s="293">
        <f>+CF30/CG30</f>
        <v>0.53606740847193668</v>
      </c>
      <c r="CG175" s="293"/>
      <c r="CH175" s="293">
        <f>+CH30/CJ30</f>
        <v>0.49802568087944649</v>
      </c>
      <c r="CI175" s="293">
        <f>+CI30/CJ30</f>
        <v>0.50197431912055346</v>
      </c>
      <c r="CJ175" s="293"/>
      <c r="CK175" s="293">
        <f>+CK30/CM30</f>
        <v>0.52214458293519606</v>
      </c>
      <c r="CL175" s="293">
        <f>+CL30/CM30</f>
        <v>0.47785541706480394</v>
      </c>
      <c r="CM175" s="293"/>
      <c r="CN175" s="293">
        <f>+CN30/CP30</f>
        <v>0.46004517462158812</v>
      </c>
      <c r="CO175" s="293">
        <f>+CO30/CP30</f>
        <v>0.53995482537841188</v>
      </c>
      <c r="CP175" s="293"/>
      <c r="CQ175" s="293">
        <f>+CQ30/CS30</f>
        <v>0.4735741857698928</v>
      </c>
      <c r="CR175" s="293">
        <f>+CR30/CS30</f>
        <v>0.52642581423010726</v>
      </c>
      <c r="CS175" s="293"/>
      <c r="CT175" s="293">
        <f>+CT30/CV30</f>
        <v>0.49437365061242372</v>
      </c>
      <c r="CU175" s="293">
        <f>+CU30/CV30</f>
        <v>0.50562634938757622</v>
      </c>
      <c r="CV175" s="293"/>
      <c r="CW175" s="293">
        <f>+CW30/CY30</f>
        <v>0.48580020112471672</v>
      </c>
      <c r="CX175" s="293">
        <f>+CX30/CY30</f>
        <v>0.51419979887528333</v>
      </c>
      <c r="CY175" s="293"/>
      <c r="CZ175" s="293">
        <f>+CZ30/DB30</f>
        <v>0.47568130188955265</v>
      </c>
      <c r="DA175" s="293">
        <f>+DA30/DB30</f>
        <v>0.5243186981104474</v>
      </c>
      <c r="DB175" s="293"/>
      <c r="DC175" s="293">
        <f>+DC30/DE30</f>
        <v>0.49259514397912485</v>
      </c>
      <c r="DD175" s="293">
        <f>+DD30/DE30</f>
        <v>0.50740485602087515</v>
      </c>
      <c r="DE175" s="293"/>
      <c r="DF175" s="293">
        <f>+DF30/DH30</f>
        <v>0.56814401070416565</v>
      </c>
      <c r="DG175" s="293">
        <f>+DG30/DH30</f>
        <v>0.43185598929583435</v>
      </c>
      <c r="DH175" s="1248"/>
      <c r="DI175" s="293">
        <f>+DI30/DK30</f>
        <v>0.49626068376068372</v>
      </c>
      <c r="DJ175" s="293">
        <f>+DJ30/DK30</f>
        <v>0.50373931623931623</v>
      </c>
      <c r="DK175" s="1248"/>
      <c r="DL175" s="293">
        <f>+DL30/DN30</f>
        <v>0.49790693441727846</v>
      </c>
      <c r="DM175" s="293">
        <f>+DM30/DN30</f>
        <v>0.5020930655827216</v>
      </c>
      <c r="DN175" s="1248"/>
      <c r="DO175" s="293">
        <f>+DO30/DQ30</f>
        <v>0.4570528381798461</v>
      </c>
      <c r="DP175" s="293">
        <f>+DP30/DQ30</f>
        <v>0.5429471618201539</v>
      </c>
      <c r="DQ175" s="1248"/>
      <c r="DR175" s="293">
        <f>+DR30/DT30</f>
        <v>0.49136697083556979</v>
      </c>
      <c r="DS175" s="293">
        <f>+DS30/DT30</f>
        <v>0.50863302916443021</v>
      </c>
      <c r="DT175" s="1248"/>
      <c r="DU175" s="293">
        <f>+DU30/DW30</f>
        <v>0.50014510690964964</v>
      </c>
      <c r="DV175" s="293">
        <f>+DV30/DW30</f>
        <v>0.49985489309035031</v>
      </c>
      <c r="DW175" s="1248"/>
      <c r="DX175" s="293">
        <f>+DX30/DZ30</f>
        <v>0.46509961526117111</v>
      </c>
      <c r="DY175" s="293">
        <f>+DY30/DZ30</f>
        <v>0.53490038473882895</v>
      </c>
      <c r="DZ175" s="1248"/>
      <c r="EA175" s="293">
        <f>+EA30/EC30</f>
        <v>0.49241450021721506</v>
      </c>
      <c r="EB175" s="293">
        <f>+EB30/EC30</f>
        <v>0.507585499782785</v>
      </c>
      <c r="EC175" s="1248"/>
      <c r="ED175" s="293">
        <f>+ED30/EF30</f>
        <v>0.49238457753955522</v>
      </c>
      <c r="EE175" s="293">
        <f>+EE30/EF30</f>
        <v>0.50761542246044478</v>
      </c>
      <c r="EF175" s="1248"/>
      <c r="EG175" s="293">
        <f>+EG30/EI30</f>
        <v>0.49238457753955522</v>
      </c>
      <c r="EH175" s="293">
        <f>+EH30/EI30</f>
        <v>0.50761542246044478</v>
      </c>
      <c r="EI175" s="1248"/>
      <c r="EJ175" s="293">
        <f>+EJ30/EL30</f>
        <v>0.49238457753955522</v>
      </c>
      <c r="EK175" s="293">
        <f>+EK30/EL30</f>
        <v>0.50761542246044478</v>
      </c>
      <c r="EL175" s="1248"/>
      <c r="EM175" s="293">
        <f>+EM30/EO30</f>
        <v>0.49238457753955522</v>
      </c>
      <c r="EN175" s="293">
        <f>+EN30/EO30</f>
        <v>0.50761542246044478</v>
      </c>
      <c r="EO175" s="1248"/>
      <c r="EP175" s="293">
        <f>+EP30/ER30</f>
        <v>0.49238457753955522</v>
      </c>
      <c r="EQ175" s="293">
        <f>+EQ30/ER30</f>
        <v>0.50761542246044478</v>
      </c>
      <c r="ER175" s="1248"/>
      <c r="ES175" s="293">
        <f>+ES30/EU30</f>
        <v>0.49238457753955522</v>
      </c>
      <c r="ET175" s="293">
        <f>+ET30/EU30</f>
        <v>0.50761542246044478</v>
      </c>
      <c r="EU175" s="1248"/>
      <c r="EV175" s="293">
        <f>+EV30/EX30</f>
        <v>0.49238457753955522</v>
      </c>
      <c r="EW175" s="293">
        <f>+EW30/EX30</f>
        <v>0.50761542246044478</v>
      </c>
      <c r="EX175" s="1248"/>
      <c r="EY175" s="293">
        <f>+EY30/FA30</f>
        <v>0.49238457753955517</v>
      </c>
      <c r="EZ175" s="293">
        <f>+EZ30/FA30</f>
        <v>0.50761542246044478</v>
      </c>
      <c r="FA175" s="1248"/>
      <c r="FE175"/>
      <c r="FF175"/>
      <c r="FG175"/>
      <c r="FH175"/>
      <c r="FI175"/>
      <c r="FJ175"/>
      <c r="FK175" s="35"/>
    </row>
    <row r="176" spans="2:167" s="236" customFormat="1" ht="13.35" customHeight="1">
      <c r="B176" s="242" t="s">
        <v>196</v>
      </c>
      <c r="C176" s="242" t="s">
        <v>460</v>
      </c>
      <c r="D176" s="243"/>
      <c r="E176" s="482"/>
      <c r="F176" s="482"/>
      <c r="G176" s="293"/>
      <c r="H176" s="293"/>
      <c r="I176" s="293"/>
      <c r="J176" s="293"/>
      <c r="K176" s="293"/>
      <c r="L176" s="293"/>
      <c r="M176" s="293"/>
      <c r="N176" s="293"/>
      <c r="O176" s="293"/>
      <c r="P176" s="293"/>
      <c r="Q176" s="293"/>
      <c r="R176" s="293"/>
      <c r="S176" s="293"/>
      <c r="T176" s="293"/>
      <c r="U176" s="293"/>
      <c r="V176" s="293"/>
      <c r="W176" s="293"/>
      <c r="X176" s="293"/>
      <c r="Y176" s="293"/>
      <c r="Z176" s="293"/>
      <c r="AA176" s="293"/>
      <c r="AB176" s="293"/>
      <c r="AC176" s="293"/>
      <c r="AD176" s="293"/>
      <c r="AE176" s="293"/>
      <c r="AF176" s="293"/>
      <c r="AG176" s="293"/>
      <c r="AH176" s="293"/>
      <c r="AI176" s="293">
        <f>+AI72/AK72</f>
        <v>0.41671399594320491</v>
      </c>
      <c r="AJ176" s="293">
        <f>+AJ72/AK72</f>
        <v>0.58328600405679509</v>
      </c>
      <c r="AK176" s="293"/>
      <c r="AL176" s="293">
        <f>+AL72/AN72</f>
        <v>0.47134907504887952</v>
      </c>
      <c r="AM176" s="293">
        <f>+AM72/AN72</f>
        <v>0.52865092495112054</v>
      </c>
      <c r="AN176" s="293"/>
      <c r="AO176" s="293">
        <f>+AO72/AQ72</f>
        <v>0.40184822178661439</v>
      </c>
      <c r="AP176" s="293">
        <f>+AP72/AQ72</f>
        <v>0.59815177821338561</v>
      </c>
      <c r="AQ176" s="293"/>
      <c r="AR176" s="293">
        <f>+AR72/AT72</f>
        <v>0.42269398031586164</v>
      </c>
      <c r="AS176" s="293">
        <f>+AS72/AT72</f>
        <v>0.57730601968413831</v>
      </c>
      <c r="AT176" s="293"/>
      <c r="AU176" s="293">
        <f>+AU72/AW72</f>
        <v>0.39604904041935624</v>
      </c>
      <c r="AV176" s="293">
        <f>+AV72/AW72</f>
        <v>0.60395095958064371</v>
      </c>
      <c r="AW176" s="293"/>
      <c r="AX176" s="293">
        <f>+AX72/AZ72</f>
        <v>0.45083263826972308</v>
      </c>
      <c r="AY176" s="293">
        <f>+AY72/AZ72</f>
        <v>0.54916736173027692</v>
      </c>
      <c r="AZ176" s="293"/>
      <c r="BA176" s="293">
        <f>+BA72/BC72</f>
        <v>0.50871179662953447</v>
      </c>
      <c r="BB176" s="293">
        <f>+BB72/BC72</f>
        <v>0.49128820337046553</v>
      </c>
      <c r="BC176" s="293"/>
      <c r="BD176" s="293">
        <f>+BD72/BF72</f>
        <v>0.47190398254228039</v>
      </c>
      <c r="BE176" s="293">
        <f>+BE72/BF72</f>
        <v>0.52809601745771961</v>
      </c>
      <c r="BF176" s="293"/>
      <c r="BG176" s="293">
        <f>+BG72/BI72</f>
        <v>0.45325581105191576</v>
      </c>
      <c r="BH176" s="293">
        <f>+BH72/BI72</f>
        <v>0.5467441889480843</v>
      </c>
      <c r="BI176" s="293"/>
      <c r="BJ176" s="293">
        <f>+BJ72/BL72</f>
        <v>0.78260487010844437</v>
      </c>
      <c r="BK176" s="293">
        <f>+BK72/BL72</f>
        <v>0.2173951298915556</v>
      </c>
      <c r="BL176" s="293"/>
      <c r="BM176" s="293">
        <f>+BM72/BO72</f>
        <v>0.49025262010056342</v>
      </c>
      <c r="BN176" s="293">
        <f>+BN72/BO72</f>
        <v>0.50974737989943653</v>
      </c>
      <c r="BO176" s="293"/>
      <c r="BP176" s="293">
        <f>+BP72/BR72</f>
        <v>0.57264256154548043</v>
      </c>
      <c r="BQ176" s="293">
        <f>+BQ72/BR72</f>
        <v>0.42735743845451951</v>
      </c>
      <c r="BR176" s="293"/>
      <c r="BS176" s="293">
        <f>+BS72/BU72</f>
        <v>0.49474218816129606</v>
      </c>
      <c r="BT176" s="293">
        <f>+BT72/BU72</f>
        <v>0.505257811838704</v>
      </c>
      <c r="BU176" s="293"/>
      <c r="BV176" s="293">
        <f>+BV72/BX72</f>
        <v>0.50619438351989199</v>
      </c>
      <c r="BW176" s="293">
        <f>+BW72/BX72</f>
        <v>0.49380561648010801</v>
      </c>
      <c r="BX176" s="293"/>
      <c r="BY176" s="293">
        <f>+BY72/CA72</f>
        <v>0.51210741790489278</v>
      </c>
      <c r="BZ176" s="293">
        <f>+BZ72/CA72</f>
        <v>0.48789258209510727</v>
      </c>
      <c r="CA176" s="293"/>
      <c r="CB176" s="293">
        <f>+CB72/CD72</f>
        <v>0.470194026040337</v>
      </c>
      <c r="CC176" s="293">
        <f>+CC72/CD72</f>
        <v>0.529805973959663</v>
      </c>
      <c r="CD176" s="293"/>
      <c r="CE176" s="293">
        <f>+CE72/CG72</f>
        <v>0.46757426257832185</v>
      </c>
      <c r="CF176" s="293">
        <f>+CF72/CG72</f>
        <v>0.5324257374216782</v>
      </c>
      <c r="CG176" s="293"/>
      <c r="CH176" s="293">
        <f>+CH72/CJ72</f>
        <v>0.50478663365646781</v>
      </c>
      <c r="CI176" s="293">
        <f>+CI72/CJ72</f>
        <v>0.49521336634353219</v>
      </c>
      <c r="CJ176" s="293"/>
      <c r="CK176" s="293">
        <f>+CK72/CM72</f>
        <v>0.60550710052555068</v>
      </c>
      <c r="CL176" s="293">
        <f>+CL72/CM72</f>
        <v>0.39449289947444932</v>
      </c>
      <c r="CM176" s="293"/>
      <c r="CN176" s="293">
        <f>+CN72/CP72</f>
        <v>0.33030153171696652</v>
      </c>
      <c r="CO176" s="293">
        <f>+CO72/CP72</f>
        <v>0.66969846828303348</v>
      </c>
      <c r="CP176" s="293"/>
      <c r="CQ176" s="293">
        <f>+CQ72/CS72</f>
        <v>0.48675729274968171</v>
      </c>
      <c r="CR176" s="293">
        <f>+CR72/CS72</f>
        <v>0.51324270725031829</v>
      </c>
      <c r="CS176" s="293"/>
      <c r="CT176" s="293">
        <f>+CT72/CV72</f>
        <v>0.49872431493808173</v>
      </c>
      <c r="CU176" s="293">
        <f>+CU72/CV72</f>
        <v>0.50127568506191822</v>
      </c>
      <c r="CV176" s="293"/>
      <c r="CW176" s="293">
        <f>+CW72/CY72</f>
        <v>0.49540366684454151</v>
      </c>
      <c r="CX176" s="293">
        <f>+CX72/CY72</f>
        <v>0.50459633315545849</v>
      </c>
      <c r="CY176" s="293"/>
      <c r="CZ176" s="293">
        <f>+CZ72/DB72</f>
        <v>0.46020545120551087</v>
      </c>
      <c r="DA176" s="293">
        <f>+DA72/DB72</f>
        <v>0.53979454879448907</v>
      </c>
      <c r="DB176" s="293"/>
      <c r="DC176" s="293">
        <f>+DC72/DE72</f>
        <v>0.49262523326639751</v>
      </c>
      <c r="DD176" s="293">
        <f>+DD72/DE72</f>
        <v>0.50737476673360249</v>
      </c>
      <c r="DE176" s="293"/>
      <c r="DF176" s="293">
        <f>+DF72/DH72</f>
        <v>0.88780529009212183</v>
      </c>
      <c r="DG176" s="293">
        <f>+DG72/DH72</f>
        <v>0.11219470990787817</v>
      </c>
      <c r="DH176" s="1248"/>
      <c r="DI176" s="293">
        <f>+DI72/DK72</f>
        <v>0.52678838671056571</v>
      </c>
      <c r="DJ176" s="293">
        <f>+DJ72/DK72</f>
        <v>0.47321161328943423</v>
      </c>
      <c r="DK176" s="1248"/>
      <c r="DL176" s="293">
        <f>+DL72/DN72</f>
        <v>0.55157061587929757</v>
      </c>
      <c r="DM176" s="293">
        <f>+DM72/DN72</f>
        <v>0.44842938412070249</v>
      </c>
      <c r="DN176" s="1248"/>
      <c r="DO176" s="293">
        <f>+DO72/DQ72</f>
        <v>0.46709618039576623</v>
      </c>
      <c r="DP176" s="293">
        <f>+DP72/DQ72</f>
        <v>0.53290381960423383</v>
      </c>
      <c r="DQ176" s="1248"/>
      <c r="DR176" s="293">
        <f>+DR72/DT72</f>
        <v>0.50868996449261805</v>
      </c>
      <c r="DS176" s="293">
        <f>+DS72/DT72</f>
        <v>0.49131003550738195</v>
      </c>
      <c r="DT176" s="1248"/>
      <c r="DU176" s="293"/>
      <c r="DV176" s="293"/>
      <c r="DW176" s="1248"/>
      <c r="DX176" s="293">
        <f>+DX72/DZ72</f>
        <v>0.46312079224513875</v>
      </c>
      <c r="DY176" s="293">
        <f>+DY72/DZ72</f>
        <v>0.5368792077548612</v>
      </c>
      <c r="DZ176" s="1248"/>
      <c r="EA176" s="293">
        <f>+EA72/EC72</f>
        <v>0.49250982514509301</v>
      </c>
      <c r="EB176" s="293">
        <f>+EB72/EC72</f>
        <v>0.50749017485490699</v>
      </c>
      <c r="EC176" s="1248"/>
      <c r="ED176" s="293">
        <f>+ED72/EF72</f>
        <v>0.49238457753955533</v>
      </c>
      <c r="EE176" s="293">
        <f>+EE72/EF72</f>
        <v>0.50761542246044467</v>
      </c>
      <c r="EF176" s="1248"/>
      <c r="EG176" s="293">
        <f>+EG72/EI72</f>
        <v>0.49238457753955517</v>
      </c>
      <c r="EH176" s="293">
        <f>+EH72/EI72</f>
        <v>0.50761542246044478</v>
      </c>
      <c r="EI176" s="1248"/>
      <c r="EJ176" s="293">
        <f>+EJ72/EL72</f>
        <v>0.49238457753955522</v>
      </c>
      <c r="EK176" s="293">
        <f>+EK72/EL72</f>
        <v>0.50761542246044478</v>
      </c>
      <c r="EL176" s="1248"/>
      <c r="EM176" s="293">
        <f>+EM72/EO72</f>
        <v>0.49238457753955533</v>
      </c>
      <c r="EN176" s="293">
        <f>+EN72/EO72</f>
        <v>0.50761542246044467</v>
      </c>
      <c r="EO176" s="1248"/>
      <c r="EP176" s="293">
        <f>+EP72/ER72</f>
        <v>0.49238457753955522</v>
      </c>
      <c r="EQ176" s="293">
        <f>+EQ72/ER72</f>
        <v>0.50761542246044478</v>
      </c>
      <c r="ER176" s="1248"/>
      <c r="ES176" s="293">
        <f>+ES72/EU72</f>
        <v>0.49238457753955522</v>
      </c>
      <c r="ET176" s="293">
        <f>+ET72/EU72</f>
        <v>0.50761542246044478</v>
      </c>
      <c r="EU176" s="1248"/>
      <c r="EV176" s="293">
        <f>+EV72/EX72</f>
        <v>0.49238457753955517</v>
      </c>
      <c r="EW176" s="293">
        <f>+EW72/EX72</f>
        <v>0.50761542246044489</v>
      </c>
      <c r="EX176" s="1248"/>
      <c r="EY176" s="293">
        <f>+EY72/FA72</f>
        <v>0.49238457753955522</v>
      </c>
      <c r="EZ176" s="293">
        <f>+EZ72/FA72</f>
        <v>0.50761542246044478</v>
      </c>
      <c r="FA176" s="1248"/>
      <c r="FE176"/>
      <c r="FF176"/>
      <c r="FG176"/>
      <c r="FH176"/>
      <c r="FI176"/>
      <c r="FJ176"/>
      <c r="FK176" s="35"/>
    </row>
    <row r="177" spans="1:167" s="450" customFormat="1" ht="16.5" customHeight="1">
      <c r="A177" s="453" t="s">
        <v>212</v>
      </c>
      <c r="B177" s="449"/>
      <c r="C177" s="454" t="s">
        <v>933</v>
      </c>
      <c r="D177" s="455"/>
      <c r="E177" s="455" t="str">
        <f t="shared" ref="E177:AI177" si="688">+E4</f>
        <v>1h85</v>
      </c>
      <c r="F177" s="455" t="str">
        <f t="shared" si="688"/>
        <v>2h85</v>
      </c>
      <c r="G177" s="455" t="str">
        <f t="shared" si="688"/>
        <v>1985</v>
      </c>
      <c r="H177" s="455" t="str">
        <f t="shared" si="688"/>
        <v>1h86</v>
      </c>
      <c r="I177" s="455" t="str">
        <f t="shared" si="688"/>
        <v>2h86</v>
      </c>
      <c r="J177" s="455" t="str">
        <f t="shared" si="688"/>
        <v>1986</v>
      </c>
      <c r="K177" s="455" t="str">
        <f t="shared" si="688"/>
        <v>1h87</v>
      </c>
      <c r="L177" s="455" t="str">
        <f t="shared" si="688"/>
        <v>2h87</v>
      </c>
      <c r="M177" s="455" t="str">
        <f t="shared" si="688"/>
        <v>1987</v>
      </c>
      <c r="N177" s="455" t="str">
        <f t="shared" si="688"/>
        <v>1h88</v>
      </c>
      <c r="O177" s="455" t="str">
        <f t="shared" si="688"/>
        <v>2h88</v>
      </c>
      <c r="P177" s="455" t="str">
        <f t="shared" si="688"/>
        <v>1988</v>
      </c>
      <c r="Q177" s="455" t="str">
        <f t="shared" si="688"/>
        <v>1h89</v>
      </c>
      <c r="R177" s="455" t="str">
        <f t="shared" si="688"/>
        <v>2h89</v>
      </c>
      <c r="S177" s="455" t="str">
        <f t="shared" si="688"/>
        <v>1989</v>
      </c>
      <c r="T177" s="455" t="str">
        <f t="shared" si="688"/>
        <v>1h90</v>
      </c>
      <c r="U177" s="455" t="str">
        <f t="shared" si="688"/>
        <v>2h90</v>
      </c>
      <c r="V177" s="455" t="str">
        <f t="shared" si="688"/>
        <v>1990</v>
      </c>
      <c r="W177" s="455" t="str">
        <f t="shared" si="688"/>
        <v>1h91</v>
      </c>
      <c r="X177" s="455" t="str">
        <f t="shared" si="688"/>
        <v>2h91</v>
      </c>
      <c r="Y177" s="455" t="str">
        <f t="shared" si="688"/>
        <v>1991</v>
      </c>
      <c r="Z177" s="455" t="str">
        <f t="shared" si="688"/>
        <v>1h92</v>
      </c>
      <c r="AA177" s="455" t="str">
        <f t="shared" si="688"/>
        <v>2h92</v>
      </c>
      <c r="AB177" s="455" t="str">
        <f t="shared" si="688"/>
        <v>1992</v>
      </c>
      <c r="AC177" s="455" t="str">
        <f t="shared" si="688"/>
        <v>1h93</v>
      </c>
      <c r="AD177" s="455" t="str">
        <f t="shared" si="688"/>
        <v>2h93</v>
      </c>
      <c r="AE177" s="455" t="str">
        <f t="shared" si="688"/>
        <v>1993</v>
      </c>
      <c r="AF177" s="455" t="str">
        <f t="shared" si="688"/>
        <v>1h94</v>
      </c>
      <c r="AG177" s="455" t="str">
        <f t="shared" si="688"/>
        <v>2h94</v>
      </c>
      <c r="AH177" s="455" t="str">
        <f t="shared" si="688"/>
        <v>1994</v>
      </c>
      <c r="AI177" s="455" t="str">
        <f t="shared" si="688"/>
        <v>1h95</v>
      </c>
      <c r="AJ177" s="455" t="str">
        <f t="shared" ref="AJ177:BO177" si="689">+AJ4</f>
        <v>2h95</v>
      </c>
      <c r="AK177" s="455" t="str">
        <f t="shared" si="689"/>
        <v>1995</v>
      </c>
      <c r="AL177" s="455" t="str">
        <f t="shared" si="689"/>
        <v>1h96</v>
      </c>
      <c r="AM177" s="455" t="str">
        <f t="shared" si="689"/>
        <v>2h96</v>
      </c>
      <c r="AN177" s="455" t="str">
        <f t="shared" si="689"/>
        <v>1996</v>
      </c>
      <c r="AO177" s="455" t="str">
        <f t="shared" si="689"/>
        <v>1h97</v>
      </c>
      <c r="AP177" s="455" t="str">
        <f t="shared" si="689"/>
        <v>2h97</v>
      </c>
      <c r="AQ177" s="455" t="str">
        <f t="shared" si="689"/>
        <v>FY97</v>
      </c>
      <c r="AR177" s="455" t="str">
        <f t="shared" si="689"/>
        <v>1H98</v>
      </c>
      <c r="AS177" s="455" t="str">
        <f t="shared" si="689"/>
        <v>2H98</v>
      </c>
      <c r="AT177" s="455" t="str">
        <f t="shared" si="689"/>
        <v>FY98</v>
      </c>
      <c r="AU177" s="455" t="str">
        <f t="shared" si="689"/>
        <v>1H99</v>
      </c>
      <c r="AV177" s="455" t="str">
        <f t="shared" si="689"/>
        <v>2H99</v>
      </c>
      <c r="AW177" s="455" t="str">
        <f t="shared" si="689"/>
        <v>FY99</v>
      </c>
      <c r="AX177" s="455" t="str">
        <f t="shared" si="689"/>
        <v>1H00</v>
      </c>
      <c r="AY177" s="455" t="str">
        <f t="shared" si="689"/>
        <v>2H00</v>
      </c>
      <c r="AZ177" s="455" t="str">
        <f t="shared" si="689"/>
        <v>FY00</v>
      </c>
      <c r="BA177" s="455" t="str">
        <f t="shared" si="689"/>
        <v>1H01</v>
      </c>
      <c r="BB177" s="455" t="str">
        <f t="shared" si="689"/>
        <v>2H01</v>
      </c>
      <c r="BC177" s="455" t="str">
        <f t="shared" si="689"/>
        <v>FY01</v>
      </c>
      <c r="BD177" s="455" t="str">
        <f t="shared" si="689"/>
        <v>1H02</v>
      </c>
      <c r="BE177" s="455" t="str">
        <f t="shared" si="689"/>
        <v>2H02</v>
      </c>
      <c r="BF177" s="455" t="str">
        <f t="shared" si="689"/>
        <v>FY02</v>
      </c>
      <c r="BG177" s="455" t="str">
        <f t="shared" si="689"/>
        <v>1H03</v>
      </c>
      <c r="BH177" s="455" t="str">
        <f t="shared" si="689"/>
        <v>2H03</v>
      </c>
      <c r="BI177" s="455" t="str">
        <f t="shared" si="689"/>
        <v>FY03</v>
      </c>
      <c r="BJ177" s="455" t="str">
        <f t="shared" si="689"/>
        <v>1H04</v>
      </c>
      <c r="BK177" s="455" t="str">
        <f t="shared" si="689"/>
        <v>2H04</v>
      </c>
      <c r="BL177" s="455" t="str">
        <f t="shared" si="689"/>
        <v>FY04</v>
      </c>
      <c r="BM177" s="455" t="str">
        <f t="shared" si="689"/>
        <v>1H05</v>
      </c>
      <c r="BN177" s="455" t="str">
        <f t="shared" si="689"/>
        <v>2H05</v>
      </c>
      <c r="BO177" s="455" t="str">
        <f t="shared" si="689"/>
        <v>FY05</v>
      </c>
      <c r="BP177" s="455" t="str">
        <f t="shared" ref="BP177:CU177" si="690">+BP4</f>
        <v>1H06</v>
      </c>
      <c r="BQ177" s="455" t="str">
        <f t="shared" si="690"/>
        <v>2H06</v>
      </c>
      <c r="BR177" s="455" t="str">
        <f t="shared" si="690"/>
        <v>FY06</v>
      </c>
      <c r="BS177" s="455" t="str">
        <f t="shared" si="690"/>
        <v>1H07</v>
      </c>
      <c r="BT177" s="455" t="str">
        <f t="shared" si="690"/>
        <v>2H07</v>
      </c>
      <c r="BU177" s="455" t="str">
        <f t="shared" si="690"/>
        <v>FY07</v>
      </c>
      <c r="BV177" s="455" t="str">
        <f t="shared" si="690"/>
        <v>1H08</v>
      </c>
      <c r="BW177" s="455" t="str">
        <f t="shared" si="690"/>
        <v>2H08</v>
      </c>
      <c r="BX177" s="455" t="str">
        <f t="shared" si="690"/>
        <v>FY08</v>
      </c>
      <c r="BY177" s="455" t="str">
        <f t="shared" si="690"/>
        <v>1H09</v>
      </c>
      <c r="BZ177" s="455" t="str">
        <f t="shared" si="690"/>
        <v>2H09</v>
      </c>
      <c r="CA177" s="455" t="str">
        <f t="shared" si="690"/>
        <v>FY09</v>
      </c>
      <c r="CB177" s="455" t="str">
        <f t="shared" si="690"/>
        <v>1H10</v>
      </c>
      <c r="CC177" s="455" t="str">
        <f t="shared" si="690"/>
        <v>2H10</v>
      </c>
      <c r="CD177" s="455" t="str">
        <f t="shared" si="690"/>
        <v>FY10</v>
      </c>
      <c r="CE177" s="455" t="str">
        <f t="shared" si="690"/>
        <v>1H11</v>
      </c>
      <c r="CF177" s="455" t="str">
        <f t="shared" si="690"/>
        <v>2H11</v>
      </c>
      <c r="CG177" s="455" t="str">
        <f t="shared" si="690"/>
        <v>FY11</v>
      </c>
      <c r="CH177" s="455" t="str">
        <f t="shared" si="690"/>
        <v>1H12</v>
      </c>
      <c r="CI177" s="455" t="str">
        <f t="shared" si="690"/>
        <v>2H12</v>
      </c>
      <c r="CJ177" s="455" t="str">
        <f t="shared" si="690"/>
        <v>FY12</v>
      </c>
      <c r="CK177" s="455" t="str">
        <f t="shared" si="690"/>
        <v>1H13</v>
      </c>
      <c r="CL177" s="455" t="str">
        <f t="shared" si="690"/>
        <v>2H13</v>
      </c>
      <c r="CM177" s="455" t="str">
        <f t="shared" si="690"/>
        <v>FY13</v>
      </c>
      <c r="CN177" s="455" t="str">
        <f t="shared" si="690"/>
        <v>1H14</v>
      </c>
      <c r="CO177" s="455" t="str">
        <f t="shared" si="690"/>
        <v>2H14</v>
      </c>
      <c r="CP177" s="455" t="str">
        <f t="shared" si="690"/>
        <v>FY14</v>
      </c>
      <c r="CQ177" s="455" t="str">
        <f t="shared" si="690"/>
        <v>1H15</v>
      </c>
      <c r="CR177" s="455" t="str">
        <f t="shared" si="690"/>
        <v>2H15</v>
      </c>
      <c r="CS177" s="455" t="str">
        <f t="shared" si="690"/>
        <v>FY15</v>
      </c>
      <c r="CT177" s="455" t="str">
        <f t="shared" si="690"/>
        <v>1H16</v>
      </c>
      <c r="CU177" s="455" t="str">
        <f t="shared" si="690"/>
        <v>2H16</v>
      </c>
      <c r="CV177" s="455" t="str">
        <f t="shared" ref="CV177:DQ177" si="691">+CV4</f>
        <v>FY16</v>
      </c>
      <c r="CW177" s="455" t="str">
        <f t="shared" si="691"/>
        <v>1H17</v>
      </c>
      <c r="CX177" s="455" t="str">
        <f t="shared" si="691"/>
        <v>2H17</v>
      </c>
      <c r="CY177" s="455" t="str">
        <f t="shared" si="691"/>
        <v>FY17</v>
      </c>
      <c r="CZ177" s="455" t="str">
        <f t="shared" si="691"/>
        <v>1H18</v>
      </c>
      <c r="DA177" s="455" t="str">
        <f t="shared" si="691"/>
        <v>2H18</v>
      </c>
      <c r="DB177" s="455" t="str">
        <f t="shared" si="691"/>
        <v>FY18</v>
      </c>
      <c r="DC177" s="455" t="str">
        <f t="shared" si="691"/>
        <v>1H19</v>
      </c>
      <c r="DD177" s="455" t="str">
        <f t="shared" si="691"/>
        <v>2H19</v>
      </c>
      <c r="DE177" s="455" t="str">
        <f t="shared" si="691"/>
        <v>FY19</v>
      </c>
      <c r="DF177" s="455" t="str">
        <f t="shared" si="691"/>
        <v>1H20</v>
      </c>
      <c r="DG177" s="455" t="str">
        <f t="shared" si="691"/>
        <v>2H20</v>
      </c>
      <c r="DH177" s="1243" t="str">
        <f t="shared" si="691"/>
        <v>FY20</v>
      </c>
      <c r="DI177" s="455" t="str">
        <f t="shared" si="691"/>
        <v>1H21</v>
      </c>
      <c r="DJ177" s="455" t="str">
        <f t="shared" si="691"/>
        <v>2H21</v>
      </c>
      <c r="DK177" s="1243" t="str">
        <f t="shared" si="691"/>
        <v>FY21</v>
      </c>
      <c r="DL177" s="455" t="str">
        <f t="shared" si="691"/>
        <v>1H22</v>
      </c>
      <c r="DM177" s="455" t="str">
        <f t="shared" si="691"/>
        <v>2H22</v>
      </c>
      <c r="DN177" s="1243" t="str">
        <f t="shared" si="691"/>
        <v>FY22</v>
      </c>
      <c r="DO177" s="455" t="str">
        <f t="shared" si="691"/>
        <v>1H23</v>
      </c>
      <c r="DP177" s="455" t="str">
        <f t="shared" si="691"/>
        <v>2H23</v>
      </c>
      <c r="DQ177" s="1243" t="str">
        <f t="shared" si="691"/>
        <v>FY23</v>
      </c>
      <c r="DR177" s="455" t="str">
        <f t="shared" ref="DR177:DW177" si="692">+DR4</f>
        <v>1H24</v>
      </c>
      <c r="DS177" s="455" t="str">
        <f t="shared" si="692"/>
        <v>2H24</v>
      </c>
      <c r="DT177" s="1243" t="str">
        <f t="shared" si="692"/>
        <v>FY24</v>
      </c>
      <c r="DU177" s="455" t="str">
        <f t="shared" si="692"/>
        <v>1H25</v>
      </c>
      <c r="DV177" s="455" t="str">
        <f t="shared" si="692"/>
        <v>2H25</v>
      </c>
      <c r="DW177" s="1243" t="str">
        <f t="shared" si="692"/>
        <v>FY25</v>
      </c>
      <c r="DX177" s="455" t="str">
        <f t="shared" ref="DX177:EC177" si="693">+DX4</f>
        <v>1H26</v>
      </c>
      <c r="DY177" s="455" t="str">
        <f t="shared" si="693"/>
        <v>2H26E</v>
      </c>
      <c r="DZ177" s="1243" t="str">
        <f t="shared" si="693"/>
        <v>FY26E</v>
      </c>
      <c r="EA177" s="455" t="str">
        <f t="shared" si="693"/>
        <v>1H27E</v>
      </c>
      <c r="EB177" s="455" t="str">
        <f t="shared" si="693"/>
        <v>2H27E</v>
      </c>
      <c r="EC177" s="1243" t="str">
        <f t="shared" si="693"/>
        <v>FY27E</v>
      </c>
      <c r="ED177" s="455" t="str">
        <f t="shared" ref="ED177:EL177" si="694">+ED4</f>
        <v>1H28E</v>
      </c>
      <c r="EE177" s="455" t="str">
        <f t="shared" si="694"/>
        <v>2H28E</v>
      </c>
      <c r="EF177" s="1243" t="str">
        <f t="shared" si="694"/>
        <v>FY28E</v>
      </c>
      <c r="EG177" s="455" t="str">
        <f t="shared" si="694"/>
        <v>1H29E</v>
      </c>
      <c r="EH177" s="455" t="str">
        <f t="shared" si="694"/>
        <v>2H29E</v>
      </c>
      <c r="EI177" s="1243" t="str">
        <f t="shared" si="694"/>
        <v>FY29E</v>
      </c>
      <c r="EJ177" s="455" t="str">
        <f t="shared" si="694"/>
        <v>1H30E</v>
      </c>
      <c r="EK177" s="455" t="str">
        <f t="shared" si="694"/>
        <v>2H30E</v>
      </c>
      <c r="EL177" s="1243" t="str">
        <f t="shared" si="694"/>
        <v>FY30E</v>
      </c>
      <c r="EM177" s="455" t="str">
        <f t="shared" ref="EM177:ER177" si="695">+EM4</f>
        <v>1H31E</v>
      </c>
      <c r="EN177" s="455" t="str">
        <f t="shared" si="695"/>
        <v>2H31E</v>
      </c>
      <c r="EO177" s="1243" t="str">
        <f t="shared" si="695"/>
        <v>FY31E</v>
      </c>
      <c r="EP177" s="455" t="str">
        <f t="shared" si="695"/>
        <v>1H32E</v>
      </c>
      <c r="EQ177" s="455" t="str">
        <f t="shared" si="695"/>
        <v>2H32E</v>
      </c>
      <c r="ER177" s="1243" t="str">
        <f t="shared" si="695"/>
        <v>FY32E</v>
      </c>
      <c r="ES177" s="455" t="str">
        <f t="shared" ref="ES177:EX177" si="696">+ES4</f>
        <v>1H33E</v>
      </c>
      <c r="ET177" s="455" t="str">
        <f t="shared" si="696"/>
        <v>2H33E</v>
      </c>
      <c r="EU177" s="1243" t="str">
        <f t="shared" si="696"/>
        <v>FY33E</v>
      </c>
      <c r="EV177" s="455" t="str">
        <f t="shared" si="696"/>
        <v>1H34E</v>
      </c>
      <c r="EW177" s="455" t="str">
        <f t="shared" si="696"/>
        <v>2H34E</v>
      </c>
      <c r="EX177" s="1243" t="str">
        <f t="shared" si="696"/>
        <v>FY34E</v>
      </c>
      <c r="EY177" s="455" t="str">
        <f t="shared" ref="EY177:FA177" si="697">+EY4</f>
        <v>1H35E</v>
      </c>
      <c r="EZ177" s="455" t="str">
        <f t="shared" si="697"/>
        <v>2H35E</v>
      </c>
      <c r="FA177" s="1243" t="str">
        <f t="shared" si="697"/>
        <v>FY35E</v>
      </c>
      <c r="FE177"/>
      <c r="FF177"/>
      <c r="FG177"/>
      <c r="FH177"/>
      <c r="FI177"/>
      <c r="FJ177"/>
      <c r="FK177" s="35"/>
    </row>
    <row r="178" spans="1:167" s="236" customFormat="1" ht="13.35" customHeight="1">
      <c r="B178" s="236" t="s">
        <v>461</v>
      </c>
      <c r="C178" s="242" t="s">
        <v>496</v>
      </c>
      <c r="AU178" s="560">
        <f>AU72</f>
        <v>9.1419999999999995</v>
      </c>
      <c r="AV178" s="482">
        <f>+AW178-AU178</f>
        <v>13.940999999999999</v>
      </c>
      <c r="AW178" s="560">
        <f>AW72</f>
        <v>23.082999999999998</v>
      </c>
      <c r="AX178" s="560">
        <f>AX72</f>
        <v>15.675000000000001</v>
      </c>
      <c r="AY178" s="482">
        <f>+AZ178-AX178</f>
        <v>19.093999999999998</v>
      </c>
      <c r="AZ178" s="560">
        <f>AZ72</f>
        <v>34.768999999999998</v>
      </c>
      <c r="BA178" s="560">
        <f>BA72</f>
        <v>23.153000000000002</v>
      </c>
      <c r="BB178" s="482">
        <f>+BC178-BA178</f>
        <v>22.359999999999996</v>
      </c>
      <c r="BC178" s="560">
        <f>BC72</f>
        <v>45.512999999999998</v>
      </c>
      <c r="BD178" s="560">
        <f>BD72</f>
        <v>25.95</v>
      </c>
      <c r="BE178" s="482">
        <f>+BF178-BD178</f>
        <v>29.040000000000003</v>
      </c>
      <c r="BF178" s="560">
        <f>BF72</f>
        <v>54.99</v>
      </c>
      <c r="BG178" s="560">
        <f>BG72</f>
        <v>36.327999999999996</v>
      </c>
      <c r="BH178" s="482">
        <f>+BI178-BG178</f>
        <v>43.821000000000005</v>
      </c>
      <c r="BI178" s="560">
        <f>BI72</f>
        <v>80.149000000000001</v>
      </c>
      <c r="BJ178" s="560">
        <f>BJ72</f>
        <v>35.577999999999996</v>
      </c>
      <c r="BK178" s="482">
        <f>+BL178-BJ178</f>
        <v>9.8830000000000098</v>
      </c>
      <c r="BL178" s="560">
        <f>BL72</f>
        <v>45.461000000000006</v>
      </c>
      <c r="BM178" s="560">
        <f>BM72</f>
        <v>40.463000000000001</v>
      </c>
      <c r="BN178" s="482">
        <f>+BO178-BM178</f>
        <v>42.071999999999996</v>
      </c>
      <c r="BO178" s="560">
        <f>BO72</f>
        <v>82.534999999999997</v>
      </c>
      <c r="BP178" s="560">
        <f>BP72</f>
        <v>62.129999999999995</v>
      </c>
      <c r="BQ178" s="482">
        <f>+BR178-BP178</f>
        <v>46.367000000000004</v>
      </c>
      <c r="BR178" s="560">
        <f>BR72</f>
        <v>108.497</v>
      </c>
      <c r="BS178" s="560">
        <f>BS72</f>
        <v>75.983000000000004</v>
      </c>
      <c r="BT178" s="482">
        <f>+BU178-BS178</f>
        <v>77.597999999999985</v>
      </c>
      <c r="BU178" s="560">
        <f>BU72</f>
        <v>153.58099999999999</v>
      </c>
      <c r="BV178" s="560">
        <f>BV72</f>
        <v>84.701000000000008</v>
      </c>
      <c r="BW178" s="482">
        <f>+BX178-BV178</f>
        <v>82.628</v>
      </c>
      <c r="BX178" s="560">
        <f>BX72</f>
        <v>167.32900000000001</v>
      </c>
      <c r="BY178" s="560">
        <f>BY72</f>
        <v>89.436999999999998</v>
      </c>
      <c r="BZ178" s="482">
        <f>+CA178-BY178</f>
        <v>85.208000000000013</v>
      </c>
      <c r="CA178" s="560">
        <f>CA72</f>
        <v>174.64500000000001</v>
      </c>
      <c r="CB178" s="560">
        <f>CB72</f>
        <v>103.13800000000001</v>
      </c>
      <c r="CC178" s="482">
        <f>+CD178-CB178</f>
        <v>116.214</v>
      </c>
      <c r="CD178" s="560">
        <f>CD72</f>
        <v>219.352</v>
      </c>
      <c r="CE178" s="560">
        <f>CE72</f>
        <v>112.30900000000001</v>
      </c>
      <c r="CF178" s="482">
        <f>+CG178-CE178</f>
        <v>127.88599999999998</v>
      </c>
      <c r="CG178" s="560">
        <f>CG72</f>
        <v>240.19499999999999</v>
      </c>
      <c r="CH178" s="560">
        <f>CH72</f>
        <v>108.67399999999999</v>
      </c>
      <c r="CI178" s="482">
        <f>+CJ178-CH178</f>
        <v>106.61300000000001</v>
      </c>
      <c r="CJ178" s="560">
        <f>CJ72</f>
        <v>215.28700000000001</v>
      </c>
      <c r="CK178" s="560">
        <f>CK72</f>
        <v>108.301</v>
      </c>
      <c r="CL178" s="482">
        <f>+CM178-CK178</f>
        <v>70.559000000000012</v>
      </c>
      <c r="CM178" s="560">
        <f>CM72</f>
        <v>178.86</v>
      </c>
      <c r="CN178" s="560">
        <f>CN72</f>
        <v>49.424999999999997</v>
      </c>
      <c r="CO178" s="482">
        <f>+CP178-CN178</f>
        <v>100.211</v>
      </c>
      <c r="CP178" s="560">
        <f>CP72</f>
        <v>149.636</v>
      </c>
      <c r="CQ178" s="560">
        <f>CQ72</f>
        <v>100.45802269032488</v>
      </c>
      <c r="CR178" s="482">
        <f>+CS178-CQ178</f>
        <v>105.92413980967511</v>
      </c>
      <c r="CS178" s="560">
        <f>CS72</f>
        <v>206.38216249999999</v>
      </c>
      <c r="CT178" s="560">
        <f>CT72</f>
        <v>130.96700000000001</v>
      </c>
      <c r="CU178" s="482">
        <f>+CV178-CT178</f>
        <v>131.63699999999997</v>
      </c>
      <c r="CV178" s="560">
        <f>CV72</f>
        <v>262.60399999999998</v>
      </c>
      <c r="CW178" s="560">
        <f>CW72</f>
        <v>156.39699999999999</v>
      </c>
      <c r="CX178" s="482">
        <f>+CY178-CW178</f>
        <v>159.29908879999999</v>
      </c>
      <c r="CY178" s="560">
        <f>CY72</f>
        <v>315.69608879999998</v>
      </c>
      <c r="CZ178" s="560">
        <f>CZ72</f>
        <v>160.33557919999998</v>
      </c>
      <c r="DA178" s="482">
        <f>+DB178-CZ178</f>
        <v>188.06442079999999</v>
      </c>
      <c r="DB178" s="560">
        <f>DB72</f>
        <v>348.4</v>
      </c>
      <c r="DC178" s="560">
        <f>DC72</f>
        <v>177</v>
      </c>
      <c r="DD178" s="482">
        <f>+DE178-DC178</f>
        <v>182.29950000000002</v>
      </c>
      <c r="DE178" s="560">
        <f>DE72</f>
        <v>359.29950000000002</v>
      </c>
      <c r="DF178" s="560">
        <f>DF72</f>
        <v>183.70314803978934</v>
      </c>
      <c r="DG178" s="482">
        <f>+DH178-DF178</f>
        <v>23.215136960210657</v>
      </c>
      <c r="DH178" s="1273">
        <f>DH72</f>
        <v>206.918285</v>
      </c>
      <c r="DI178" s="560">
        <f>DI72</f>
        <v>176</v>
      </c>
      <c r="DJ178" s="482">
        <f>+DK178-DI178</f>
        <v>158.09999999999997</v>
      </c>
      <c r="DK178" s="1273">
        <f>DK72</f>
        <v>334.09999999999997</v>
      </c>
      <c r="DL178" s="560">
        <f>DL72</f>
        <v>223</v>
      </c>
      <c r="DM178" s="482">
        <f>+DN178-DL178</f>
        <v>181.3</v>
      </c>
      <c r="DN178" s="1273">
        <f>DN72</f>
        <v>404.3</v>
      </c>
      <c r="DO178" s="560">
        <f>DO72</f>
        <v>203</v>
      </c>
      <c r="DP178" s="482">
        <f>+DQ178-DO178</f>
        <v>231.60000000000002</v>
      </c>
      <c r="DQ178" s="1273">
        <f>DQ72</f>
        <v>434.6</v>
      </c>
      <c r="DR178" s="560">
        <f>DR72</f>
        <v>272.19999999999993</v>
      </c>
      <c r="DS178" s="482">
        <f>+DT178-DR178</f>
        <v>262.90000000000009</v>
      </c>
      <c r="DT178" s="1273">
        <f>DT72</f>
        <v>535.1</v>
      </c>
      <c r="DU178" s="560">
        <f>DU72</f>
        <v>286.7</v>
      </c>
      <c r="DV178" s="482">
        <f>+DW178-DU178</f>
        <v>267.3</v>
      </c>
      <c r="DW178" s="1273">
        <f>DW72</f>
        <v>554</v>
      </c>
      <c r="DX178" s="560">
        <f>DX72</f>
        <v>254.80000000000004</v>
      </c>
      <c r="DY178" s="560">
        <f>DY72</f>
        <v>295.38043729966989</v>
      </c>
      <c r="DZ178" s="1273">
        <f>SUM(DX178:DY178)</f>
        <v>550.18043729966996</v>
      </c>
      <c r="EA178" s="560">
        <f>EA72</f>
        <v>315.19096870193118</v>
      </c>
      <c r="EB178" s="482">
        <f>+EC178-EA178</f>
        <v>324.77792655630287</v>
      </c>
      <c r="EC178" s="1273">
        <f>EC72</f>
        <v>639.96889525823406</v>
      </c>
      <c r="ED178" s="560">
        <f>ED72</f>
        <v>352.34984349834582</v>
      </c>
      <c r="EE178" s="482">
        <f>+EF178-ED178</f>
        <v>363.24901879550833</v>
      </c>
      <c r="EF178" s="1273">
        <f>EF72</f>
        <v>715.59886229385415</v>
      </c>
      <c r="EG178" s="560">
        <f>EG72</f>
        <v>390.6396417521421</v>
      </c>
      <c r="EH178" s="482">
        <f>+EI178-EG178</f>
        <v>402.72322859641281</v>
      </c>
      <c r="EI178" s="1273">
        <f>EI72</f>
        <v>793.36287034855491</v>
      </c>
      <c r="EJ178" s="560">
        <f>EJ72</f>
        <v>430.27868479074164</v>
      </c>
      <c r="EK178" s="482">
        <f>+EL178-EJ178</f>
        <v>443.58841913205663</v>
      </c>
      <c r="EL178" s="1273">
        <f>EL72</f>
        <v>873.86710392279826</v>
      </c>
      <c r="EM178" s="560">
        <f>EM72</f>
        <v>470.95768964438366</v>
      </c>
      <c r="EN178" s="482">
        <f>+EO178-EM178</f>
        <v>485.52574043735899</v>
      </c>
      <c r="EO178" s="1273">
        <f>EO72</f>
        <v>956.48343008174265</v>
      </c>
      <c r="EP178" s="560">
        <f>EP72</f>
        <v>513.34388171237811</v>
      </c>
      <c r="EQ178" s="482">
        <f>+ER178-EP178</f>
        <v>529.22305707672149</v>
      </c>
      <c r="ER178" s="1273">
        <f>ER72</f>
        <v>1042.5669387890996</v>
      </c>
      <c r="ES178" s="560">
        <f>ES72</f>
        <v>559.54483106649229</v>
      </c>
      <c r="ET178" s="482">
        <f>+EU178-ES178</f>
        <v>576.85313221362651</v>
      </c>
      <c r="EU178" s="1273">
        <f>EU72</f>
        <v>1136.3979632801188</v>
      </c>
      <c r="EV178" s="560">
        <f>EV72</f>
        <v>609.90386586247655</v>
      </c>
      <c r="EW178" s="482">
        <f>+EX178-EV178</f>
        <v>628.76991411285303</v>
      </c>
      <c r="EX178" s="1273">
        <f>EX72</f>
        <v>1238.6737799753296</v>
      </c>
      <c r="EY178" s="560">
        <f>EY72</f>
        <v>664.79521379009941</v>
      </c>
      <c r="EZ178" s="482">
        <f>+FA178-EY178</f>
        <v>685.35920638300956</v>
      </c>
      <c r="FA178" s="1273">
        <f>FA72</f>
        <v>1350.154420173109</v>
      </c>
      <c r="FE178"/>
      <c r="FF178"/>
      <c r="FG178"/>
      <c r="FH178"/>
      <c r="FI178"/>
      <c r="FJ178"/>
      <c r="FK178" s="35"/>
    </row>
    <row r="179" spans="1:167" s="236" customFormat="1" ht="13.35" customHeight="1">
      <c r="B179" s="242" t="s">
        <v>971</v>
      </c>
      <c r="C179" s="242" t="s">
        <v>496</v>
      </c>
      <c r="D179" s="243"/>
      <c r="E179" s="482"/>
      <c r="F179" s="482"/>
      <c r="G179" s="482"/>
      <c r="H179" s="482"/>
      <c r="I179" s="482"/>
      <c r="J179" s="482"/>
      <c r="K179" s="482"/>
      <c r="L179" s="482"/>
      <c r="M179" s="482"/>
      <c r="N179" s="482"/>
      <c r="O179" s="482"/>
      <c r="P179" s="482"/>
      <c r="Q179" s="482"/>
      <c r="R179" s="482"/>
      <c r="S179" s="482"/>
      <c r="T179" s="482"/>
      <c r="U179" s="482"/>
      <c r="V179" s="482"/>
      <c r="W179" s="482"/>
      <c r="X179" s="482"/>
      <c r="Y179" s="482"/>
      <c r="Z179" s="482"/>
      <c r="AA179" s="482"/>
      <c r="AB179" s="482"/>
      <c r="AC179" s="482"/>
      <c r="AD179" s="482"/>
      <c r="AE179" s="482"/>
      <c r="AF179" s="482"/>
      <c r="AG179" s="482"/>
      <c r="AH179" s="482"/>
      <c r="AI179" s="482"/>
      <c r="AJ179" s="482"/>
      <c r="AK179" s="482"/>
      <c r="AL179" s="482"/>
      <c r="AM179" s="482"/>
      <c r="AN179" s="482"/>
      <c r="AO179" s="482"/>
      <c r="AP179" s="482"/>
      <c r="AQ179" s="482"/>
      <c r="AR179" s="482"/>
      <c r="AS179" s="482"/>
      <c r="AT179" s="482"/>
      <c r="AU179" s="482">
        <f>AU57+AU62</f>
        <v>0.91500000000000004</v>
      </c>
      <c r="AV179" s="482">
        <f>+AW179-AU179</f>
        <v>1.8119999999999998</v>
      </c>
      <c r="AW179" s="482">
        <f>AW57+AW62</f>
        <v>2.7269999999999999</v>
      </c>
      <c r="AX179" s="482">
        <f>AX57+AX62</f>
        <v>1.1399999999999999</v>
      </c>
      <c r="AY179" s="482">
        <f>+AZ179-AX179</f>
        <v>1.5029999999999999</v>
      </c>
      <c r="AZ179" s="482">
        <f>AZ57+AZ62</f>
        <v>2.6429999999999998</v>
      </c>
      <c r="BA179" s="482">
        <f>BA57+BA62</f>
        <v>1.5920000000000001</v>
      </c>
      <c r="BB179" s="482">
        <f>+BC179-BA179</f>
        <v>1.9209999999999998</v>
      </c>
      <c r="BC179" s="482">
        <f>BC57+BC62</f>
        <v>3.5129999999999999</v>
      </c>
      <c r="BD179" s="482">
        <f>BD57+BD62</f>
        <v>2.3734999999999999</v>
      </c>
      <c r="BE179" s="482">
        <f>+BF179-BD179</f>
        <v>2.3734999999999999</v>
      </c>
      <c r="BF179" s="482">
        <f>BF57+BF62</f>
        <v>4.7469999999999999</v>
      </c>
      <c r="BG179" s="482">
        <f>BG57+BG62</f>
        <v>3.6579999999999999</v>
      </c>
      <c r="BH179" s="482">
        <f>+BI179-BG179</f>
        <v>4.0820000000000007</v>
      </c>
      <c r="BI179" s="482">
        <f>BI57+BI62</f>
        <v>7.74</v>
      </c>
      <c r="BJ179" s="482">
        <f>BJ57+BJ62</f>
        <v>3.6579999999999999</v>
      </c>
      <c r="BK179" s="482">
        <f>+BL179-BJ179</f>
        <v>5.7940000000000005</v>
      </c>
      <c r="BL179" s="482">
        <f>BL57+BL62</f>
        <v>9.452</v>
      </c>
      <c r="BM179" s="482">
        <f>BM57+BM62</f>
        <v>4.9307999999999996</v>
      </c>
      <c r="BN179" s="482">
        <f>+BO179-BM179</f>
        <v>5.3792000000000009</v>
      </c>
      <c r="BO179" s="482">
        <f>BO57+BO62</f>
        <v>10.31</v>
      </c>
      <c r="BP179" s="482">
        <f>BP57+BP62</f>
        <v>4.9307999999999996</v>
      </c>
      <c r="BQ179" s="482">
        <f>+BR179-BP179</f>
        <v>11.1442</v>
      </c>
      <c r="BR179" s="482">
        <f>BR57+BR62</f>
        <v>16.074999999999999</v>
      </c>
      <c r="BS179" s="482">
        <f>BS57+BS62</f>
        <v>5.2052799999999992</v>
      </c>
      <c r="BT179" s="482">
        <f>+BU179-BS179</f>
        <v>12.113720000000022</v>
      </c>
      <c r="BU179" s="482">
        <f>BU57+BU62</f>
        <v>17.31900000000002</v>
      </c>
      <c r="BV179" s="482">
        <f>BV57+BV62</f>
        <v>5.7614399999999995</v>
      </c>
      <c r="BW179" s="482">
        <f>+BX179-BV179</f>
        <v>15.57056</v>
      </c>
      <c r="BX179" s="482">
        <f>BX57+BX62</f>
        <v>21.332000000000001</v>
      </c>
      <c r="BY179" s="482">
        <f>BY57+BY62</f>
        <v>5.992</v>
      </c>
      <c r="BZ179" s="482">
        <f>+CA179-BY179</f>
        <v>16.251999999999999</v>
      </c>
      <c r="CA179" s="482">
        <f>CA57+CA62</f>
        <v>22.244</v>
      </c>
      <c r="CB179" s="482">
        <f>CB57+CB62</f>
        <v>8.4163999999999994</v>
      </c>
      <c r="CC179" s="482">
        <f>+CD179-CB179</f>
        <v>14.671600000000002</v>
      </c>
      <c r="CD179" s="482">
        <f>CD57+CD62</f>
        <v>23.088000000000001</v>
      </c>
      <c r="CE179" s="482">
        <f>CE57+CE62</f>
        <v>13.21968</v>
      </c>
      <c r="CF179" s="482">
        <f>+CG179-CE179</f>
        <v>14.180320000000034</v>
      </c>
      <c r="CG179" s="482">
        <f>CG57+CG62</f>
        <v>27.400000000000034</v>
      </c>
      <c r="CH179" s="482">
        <f>CH57+CH62</f>
        <v>13.21968</v>
      </c>
      <c r="CI179" s="482">
        <f>+CJ179-CH179</f>
        <v>10.881319999999999</v>
      </c>
      <c r="CJ179" s="482">
        <f>CJ57+CJ62</f>
        <v>24.100999999999999</v>
      </c>
      <c r="CK179" s="482">
        <f>CK57+CK62</f>
        <v>13.21968</v>
      </c>
      <c r="CL179" s="482">
        <f>+CM179-CK179</f>
        <v>10.881319999999999</v>
      </c>
      <c r="CM179" s="482">
        <f>CM57+CM62</f>
        <v>24.100999999999999</v>
      </c>
      <c r="CN179" s="482">
        <f>CN57+CN62</f>
        <v>14.332319999999999</v>
      </c>
      <c r="CO179" s="482">
        <f>+CP179-CN179</f>
        <v>9.7686799999999998</v>
      </c>
      <c r="CP179" s="482">
        <f>CP57+CP62</f>
        <v>24.100999999999999</v>
      </c>
      <c r="CQ179" s="482">
        <f>CQ57+CQ62</f>
        <v>15.1684</v>
      </c>
      <c r="CR179" s="482">
        <f>+CS179-CQ179</f>
        <v>8.932599999999999</v>
      </c>
      <c r="CS179" s="482">
        <f>CS57+CS62</f>
        <v>24.100999999999999</v>
      </c>
      <c r="CT179" s="482">
        <f>CT57+CT62</f>
        <v>15.1684</v>
      </c>
      <c r="CU179" s="482">
        <f>+CV179-CT179</f>
        <v>8.932599999999999</v>
      </c>
      <c r="CV179" s="482">
        <f>CV57+CV62</f>
        <v>24.100999999999999</v>
      </c>
      <c r="CW179" s="482">
        <f>CW57+CW62</f>
        <v>15.1684</v>
      </c>
      <c r="CX179" s="482">
        <f>+CY179-CW179</f>
        <v>11.137320000000001</v>
      </c>
      <c r="CY179" s="482">
        <f>CY57+CY62</f>
        <v>26.305720000000001</v>
      </c>
      <c r="CZ179" s="482">
        <f>CZ57+CZ62</f>
        <v>15.5764</v>
      </c>
      <c r="DA179" s="482">
        <f>+DB179-CZ179</f>
        <v>18.623600000000003</v>
      </c>
      <c r="DB179" s="482">
        <f>DB57+DB62</f>
        <v>34.200000000000003</v>
      </c>
      <c r="DC179" s="482">
        <f>DC57+DC62</f>
        <v>17.507649999999998</v>
      </c>
      <c r="DD179" s="482">
        <f>+DE179-DC179</f>
        <v>20.992350000000002</v>
      </c>
      <c r="DE179" s="482">
        <f>DE57+DE62</f>
        <v>38.5</v>
      </c>
      <c r="DF179" s="482">
        <f>DF57+DF62</f>
        <v>34.124067910447756</v>
      </c>
      <c r="DG179" s="482">
        <f>+DH179-DF179</f>
        <v>43.385455899076057</v>
      </c>
      <c r="DH179" s="1244">
        <f>DH57+DH62</f>
        <v>77.509523809523813</v>
      </c>
      <c r="DI179" s="482">
        <f>DI57+DI62</f>
        <v>38.680999999999997</v>
      </c>
      <c r="DJ179" s="482">
        <f>+DK179-DI179</f>
        <v>37.719000000000008</v>
      </c>
      <c r="DK179" s="1244">
        <f>DK57+DK62</f>
        <v>76.400000000000006</v>
      </c>
      <c r="DL179" s="482">
        <f>DL57+DL62</f>
        <v>40.6</v>
      </c>
      <c r="DM179" s="482">
        <f>+DN179-DL179</f>
        <v>32.4</v>
      </c>
      <c r="DN179" s="1244">
        <f>DN57+DN62</f>
        <v>73</v>
      </c>
      <c r="DO179" s="482">
        <f>DO57+DO62</f>
        <v>37.299999999999997</v>
      </c>
      <c r="DP179" s="482">
        <f>+DQ179-DO179</f>
        <v>43.600000000000009</v>
      </c>
      <c r="DQ179" s="1244">
        <f>DQ57+DQ62</f>
        <v>80.900000000000006</v>
      </c>
      <c r="DR179" s="482">
        <f>DR57+DR62</f>
        <v>43.1</v>
      </c>
      <c r="DS179" s="482">
        <f>+DT179-DR179</f>
        <v>41.800000000000004</v>
      </c>
      <c r="DT179" s="1244">
        <f>DT57+DT62</f>
        <v>84.9</v>
      </c>
      <c r="DU179" s="482">
        <f>DU57+DU62</f>
        <v>43.8</v>
      </c>
      <c r="DV179" s="482">
        <f>+DW179-DU179</f>
        <v>46.600000000000009</v>
      </c>
      <c r="DW179" s="1244">
        <f>DW57+DW62</f>
        <v>90.4</v>
      </c>
      <c r="DX179" s="482">
        <f>DX57+DX62</f>
        <v>51.6</v>
      </c>
      <c r="DY179" s="482">
        <f>DY57+DY62</f>
        <v>54.752867302086031</v>
      </c>
      <c r="DZ179" s="1273">
        <f>SUM(DX179:DY179)</f>
        <v>106.35286730208603</v>
      </c>
      <c r="EA179" s="482">
        <f>EA57+EA62</f>
        <v>56.779653847549476</v>
      </c>
      <c r="EB179" s="482">
        <f>+EC179-EA179</f>
        <v>58.529001406312254</v>
      </c>
      <c r="EC179" s="1244">
        <f>EC57+EC62</f>
        <v>115.30865525386173</v>
      </c>
      <c r="ED179" s="482">
        <f>ED57+ED62</f>
        <v>52.807553179607353</v>
      </c>
      <c r="EE179" s="482">
        <f>+EF179-ED179</f>
        <v>54.441039868303662</v>
      </c>
      <c r="EF179" s="1244">
        <f>EF57+EF62</f>
        <v>107.24859304791102</v>
      </c>
      <c r="EG179" s="482">
        <f>EG57+EG62</f>
        <v>57.560232965772002</v>
      </c>
      <c r="EH179" s="482">
        <f>+EI179-EG179</f>
        <v>59.340733456450991</v>
      </c>
      <c r="EI179" s="1244">
        <f>EI57+EI62</f>
        <v>116.90096642222299</v>
      </c>
      <c r="EJ179" s="482">
        <f>EJ57+EJ62</f>
        <v>62.740653932691487</v>
      </c>
      <c r="EK179" s="482">
        <f>+EL179-EJ179</f>
        <v>64.681399467531605</v>
      </c>
      <c r="EL179" s="1244">
        <f>EL57+EL62</f>
        <v>127.42205340022309</v>
      </c>
      <c r="EM179" s="482">
        <f>EM57+EM62</f>
        <v>68.387312786633728</v>
      </c>
      <c r="EN179" s="482">
        <f>+EO179-EM179</f>
        <v>70.502725419609462</v>
      </c>
      <c r="EO179" s="1244">
        <f>EO57+EO62</f>
        <v>138.89003820624319</v>
      </c>
      <c r="EP179" s="482">
        <f>EP57+EP62</f>
        <v>74.542170937430768</v>
      </c>
      <c r="EQ179" s="482">
        <f>+ER179-EP179</f>
        <v>76.847970707374316</v>
      </c>
      <c r="ER179" s="1244">
        <f>ER57+ER62</f>
        <v>151.39014164480508</v>
      </c>
      <c r="ES179" s="482">
        <f>ES57+ES62</f>
        <v>81.250966321799552</v>
      </c>
      <c r="ET179" s="482">
        <f>+EU179-ES179</f>
        <v>83.76428807103801</v>
      </c>
      <c r="EU179" s="1244">
        <f>EU57+EU62</f>
        <v>165.01525439283756</v>
      </c>
      <c r="EV179" s="482">
        <f>EV57+EV62</f>
        <v>88.563553290761519</v>
      </c>
      <c r="EW179" s="482">
        <f>+EX179-EV179</f>
        <v>91.303073997431426</v>
      </c>
      <c r="EX179" s="1244">
        <f>EX57+EX62</f>
        <v>179.86662728819294</v>
      </c>
      <c r="EY179" s="482">
        <f>EY57+EY62</f>
        <v>96.534273086930057</v>
      </c>
      <c r="EZ179" s="482">
        <f>+FA179-EY179</f>
        <v>99.520350657200254</v>
      </c>
      <c r="FA179" s="1244">
        <f>FA57+FA62</f>
        <v>196.05462374413031</v>
      </c>
      <c r="FE179"/>
      <c r="FF179"/>
      <c r="FG179"/>
      <c r="FH179"/>
      <c r="FI179"/>
      <c r="FJ179"/>
      <c r="FK179" s="35"/>
    </row>
    <row r="180" spans="1:167" s="236" customFormat="1" ht="13.35" customHeight="1" thickBot="1">
      <c r="B180" s="242" t="s">
        <v>970</v>
      </c>
      <c r="C180" s="242" t="s">
        <v>496</v>
      </c>
      <c r="D180" s="243"/>
      <c r="E180" s="482">
        <f>+E72</f>
        <v>0</v>
      </c>
      <c r="F180" s="482">
        <f>+G180-E180</f>
        <v>0</v>
      </c>
      <c r="G180" s="482">
        <f>+G72</f>
        <v>0</v>
      </c>
      <c r="H180" s="482">
        <f>+H72</f>
        <v>0</v>
      </c>
      <c r="I180" s="482">
        <f>+J180-H180</f>
        <v>0</v>
      </c>
      <c r="J180" s="482">
        <f>+J72</f>
        <v>0</v>
      </c>
      <c r="K180" s="482">
        <f>+K72</f>
        <v>0</v>
      </c>
      <c r="L180" s="482">
        <f>+M180-K180</f>
        <v>0</v>
      </c>
      <c r="M180" s="482">
        <f>+M72</f>
        <v>0</v>
      </c>
      <c r="N180" s="482">
        <f>+N72</f>
        <v>0</v>
      </c>
      <c r="O180" s="482">
        <f>+P180-N180</f>
        <v>0</v>
      </c>
      <c r="P180" s="482">
        <f>+P72</f>
        <v>0</v>
      </c>
      <c r="Q180" s="482">
        <f>+Q72</f>
        <v>0</v>
      </c>
      <c r="R180" s="482">
        <f>+S180-Q180</f>
        <v>0</v>
      </c>
      <c r="S180" s="482">
        <f>+S72</f>
        <v>0</v>
      </c>
      <c r="T180" s="482">
        <f>+T72</f>
        <v>0</v>
      </c>
      <c r="U180" s="482">
        <f>+V180-T180</f>
        <v>0</v>
      </c>
      <c r="V180" s="482">
        <f>+V72</f>
        <v>0</v>
      </c>
      <c r="W180" s="482">
        <f>+W72</f>
        <v>0</v>
      </c>
      <c r="X180" s="482">
        <f>+Y180-W180</f>
        <v>0</v>
      </c>
      <c r="Y180" s="482">
        <f>+Y72</f>
        <v>0</v>
      </c>
      <c r="Z180" s="482">
        <f>+Z72</f>
        <v>0</v>
      </c>
      <c r="AA180" s="482">
        <f>+AB180-Z180</f>
        <v>0</v>
      </c>
      <c r="AB180" s="482">
        <f>+AB72</f>
        <v>0</v>
      </c>
      <c r="AC180" s="482">
        <f>+AC72</f>
        <v>0</v>
      </c>
      <c r="AD180" s="482">
        <f>+AE180-AC180</f>
        <v>0</v>
      </c>
      <c r="AE180" s="482">
        <f>+AE72</f>
        <v>0</v>
      </c>
      <c r="AF180" s="482">
        <f>+AF72</f>
        <v>0</v>
      </c>
      <c r="AG180" s="482">
        <f>+AH180-AF180</f>
        <v>0</v>
      </c>
      <c r="AH180" s="482">
        <f>+AH72</f>
        <v>0</v>
      </c>
      <c r="AI180" s="482">
        <f>+AI72</f>
        <v>5.1360000000000001</v>
      </c>
      <c r="AJ180" s="482">
        <f>+AK180-AI180</f>
        <v>7.1889999999999992</v>
      </c>
      <c r="AK180" s="482">
        <f>+AK72</f>
        <v>12.324999999999999</v>
      </c>
      <c r="AL180" s="482">
        <f>+AL72</f>
        <v>6.2679999999999998</v>
      </c>
      <c r="AM180" s="482">
        <f>+AN180-AL180</f>
        <v>7.03</v>
      </c>
      <c r="AN180" s="482">
        <f>+AN72</f>
        <v>13.298</v>
      </c>
      <c r="AO180" s="482">
        <f>+AO72</f>
        <v>5.74</v>
      </c>
      <c r="AP180" s="482">
        <f>+AQ180-AO180</f>
        <v>8.5440000000000005</v>
      </c>
      <c r="AQ180" s="482">
        <f>+AQ72</f>
        <v>14.284000000000001</v>
      </c>
      <c r="AR180" s="482">
        <f>+AR72</f>
        <v>7.3869999999999996</v>
      </c>
      <c r="AS180" s="482">
        <f>+AT180-AR180</f>
        <v>10.089000000000002</v>
      </c>
      <c r="AT180" s="482">
        <f>+AT72</f>
        <v>17.476000000000003</v>
      </c>
      <c r="AU180" s="562">
        <f>AU55</f>
        <v>10.056999999999999</v>
      </c>
      <c r="AV180" s="562">
        <f>+AW180-AU180</f>
        <v>15.753</v>
      </c>
      <c r="AW180" s="562">
        <f>AW55</f>
        <v>25.81</v>
      </c>
      <c r="AX180" s="562">
        <f>AX55</f>
        <v>16.815000000000001</v>
      </c>
      <c r="AY180" s="562">
        <f>+AZ180-AX180</f>
        <v>20.596999999999998</v>
      </c>
      <c r="AZ180" s="562">
        <f>AZ55</f>
        <v>37.411999999999999</v>
      </c>
      <c r="BA180" s="562">
        <f>BA55</f>
        <v>24.745000000000001</v>
      </c>
      <c r="BB180" s="562">
        <f>+BC180-BA180</f>
        <v>24.280999999999995</v>
      </c>
      <c r="BC180" s="562">
        <f>BC55</f>
        <v>49.025999999999996</v>
      </c>
      <c r="BD180" s="562">
        <f>BD55</f>
        <v>28.323499999999999</v>
      </c>
      <c r="BE180" s="562">
        <f>+BF180-BD180</f>
        <v>31.413500000000003</v>
      </c>
      <c r="BF180" s="562">
        <f>BF55</f>
        <v>59.737000000000002</v>
      </c>
      <c r="BG180" s="562">
        <f>BG55</f>
        <v>39.985999999999997</v>
      </c>
      <c r="BH180" s="562">
        <f>+BI180-BG180</f>
        <v>47.902999999999999</v>
      </c>
      <c r="BI180" s="562">
        <f>BI55</f>
        <v>87.888999999999996</v>
      </c>
      <c r="BJ180" s="562">
        <f>BJ55</f>
        <v>39.235999999999997</v>
      </c>
      <c r="BK180" s="562">
        <f>+BL180-BJ180</f>
        <v>15.677000000000007</v>
      </c>
      <c r="BL180" s="562">
        <f>BL55</f>
        <v>54.913000000000004</v>
      </c>
      <c r="BM180" s="562">
        <f>BM55</f>
        <v>45.393799999999999</v>
      </c>
      <c r="BN180" s="562">
        <f>+BO180-BM180</f>
        <v>47.4512</v>
      </c>
      <c r="BO180" s="562">
        <f>BO55</f>
        <v>92.844999999999999</v>
      </c>
      <c r="BP180" s="562">
        <f>BP55</f>
        <v>67.0608</v>
      </c>
      <c r="BQ180" s="562">
        <f>+BR180-BP180</f>
        <v>57.511200000000002</v>
      </c>
      <c r="BR180" s="562">
        <f>BR55</f>
        <v>124.572</v>
      </c>
      <c r="BS180" s="562">
        <f>BS55</f>
        <v>81.188280000000006</v>
      </c>
      <c r="BT180" s="562">
        <f>+BU180-BS180</f>
        <v>89.71172</v>
      </c>
      <c r="BU180" s="562">
        <f>BU55</f>
        <v>170.9</v>
      </c>
      <c r="BV180" s="562">
        <f>BV55</f>
        <v>90.462440000000001</v>
      </c>
      <c r="BW180" s="562">
        <f>+BX180-BV180</f>
        <v>98.198560000000001</v>
      </c>
      <c r="BX180" s="562">
        <f>BX55</f>
        <v>188.661</v>
      </c>
      <c r="BY180" s="562">
        <f>BY55</f>
        <v>95.429000000000002</v>
      </c>
      <c r="BZ180" s="562">
        <f>+CA180-BY180</f>
        <v>101.46000000000001</v>
      </c>
      <c r="CA180" s="562">
        <f>CA55</f>
        <v>196.88900000000001</v>
      </c>
      <c r="CB180" s="562">
        <f>CB55</f>
        <v>111.5544</v>
      </c>
      <c r="CC180" s="562">
        <f>+CD180-CB180</f>
        <v>130.88560000000001</v>
      </c>
      <c r="CD180" s="562">
        <f>CD55</f>
        <v>242.44000000000003</v>
      </c>
      <c r="CE180" s="562">
        <f>CE55</f>
        <v>125.52868000000001</v>
      </c>
      <c r="CF180" s="562">
        <f>+CG180-CE180</f>
        <v>142.06632000000002</v>
      </c>
      <c r="CG180" s="562">
        <f>CG55</f>
        <v>267.59500000000003</v>
      </c>
      <c r="CH180" s="562">
        <f>CH55</f>
        <v>121.89367999999999</v>
      </c>
      <c r="CI180" s="562">
        <f>+CJ180-CH180</f>
        <v>117.49432000000002</v>
      </c>
      <c r="CJ180" s="562">
        <f>CJ55</f>
        <v>239.38800000000001</v>
      </c>
      <c r="CK180" s="562">
        <f>CK55</f>
        <v>121.52068</v>
      </c>
      <c r="CL180" s="562">
        <f>+CM180-CK180</f>
        <v>81.440320000000014</v>
      </c>
      <c r="CM180" s="562">
        <f>CM55</f>
        <v>202.96100000000001</v>
      </c>
      <c r="CN180" s="562">
        <f>CN55</f>
        <v>63.757319999999993</v>
      </c>
      <c r="CO180" s="562">
        <f>+CP180-CN180</f>
        <v>109.97968</v>
      </c>
      <c r="CP180" s="562">
        <f>CP55</f>
        <v>173.73699999999999</v>
      </c>
      <c r="CQ180" s="562">
        <f>CQ55</f>
        <v>115.62642269032489</v>
      </c>
      <c r="CR180" s="562">
        <f>+CS180-CQ180</f>
        <v>114.8567398096751</v>
      </c>
      <c r="CS180" s="562">
        <f>CS55</f>
        <v>230.48316249999999</v>
      </c>
      <c r="CT180" s="562">
        <f>CT55</f>
        <v>146.1354</v>
      </c>
      <c r="CU180" s="562">
        <f>+CV180-CT180</f>
        <v>140.56959999999998</v>
      </c>
      <c r="CV180" s="562">
        <f>CV55</f>
        <v>286.70499999999998</v>
      </c>
      <c r="CW180" s="562">
        <f>CW55</f>
        <v>171.56539999999998</v>
      </c>
      <c r="CX180" s="562">
        <f>+CY180-CW180</f>
        <v>170.43640880000001</v>
      </c>
      <c r="CY180" s="562">
        <f>CY55</f>
        <v>342.00180879999999</v>
      </c>
      <c r="CZ180" s="562">
        <f>CZ55</f>
        <v>175.91197919999999</v>
      </c>
      <c r="DA180" s="562">
        <f>+DB180-CZ180</f>
        <v>206.68802079999998</v>
      </c>
      <c r="DB180" s="562">
        <f>DB55</f>
        <v>382.59999999999997</v>
      </c>
      <c r="DC180" s="562">
        <f>DC55</f>
        <v>194.50765000000001</v>
      </c>
      <c r="DD180" s="562">
        <f>+DE180-DC180</f>
        <v>203.29185000000001</v>
      </c>
      <c r="DE180" s="562">
        <f>DE55</f>
        <v>397.79950000000002</v>
      </c>
      <c r="DF180" s="562">
        <f>DF55</f>
        <v>217.8272159502371</v>
      </c>
      <c r="DG180" s="562">
        <f>+DH180-DF180</f>
        <v>66.600592859286706</v>
      </c>
      <c r="DH180" s="1274">
        <f>DH55</f>
        <v>284.42780880952381</v>
      </c>
      <c r="DI180" s="562">
        <f>DI55</f>
        <v>214.68100000000001</v>
      </c>
      <c r="DJ180" s="562">
        <f>+DK180-DI180</f>
        <v>195.81899999999999</v>
      </c>
      <c r="DK180" s="1274">
        <f>DK55</f>
        <v>410.5</v>
      </c>
      <c r="DL180" s="562">
        <f>DL55</f>
        <v>263.60000000000002</v>
      </c>
      <c r="DM180" s="562">
        <f>+DN180-DL180</f>
        <v>213.7</v>
      </c>
      <c r="DN180" s="1274">
        <f>DN55</f>
        <v>477.3</v>
      </c>
      <c r="DO180" s="562">
        <f>DO55</f>
        <v>240.3</v>
      </c>
      <c r="DP180" s="562">
        <f>+DQ180-DO180</f>
        <v>275.2</v>
      </c>
      <c r="DQ180" s="1274">
        <f>DQ55</f>
        <v>515.5</v>
      </c>
      <c r="DR180" s="562">
        <f>DR55</f>
        <v>315.29999999999995</v>
      </c>
      <c r="DS180" s="562">
        <f>+DT180-DR180</f>
        <v>304.70000000000005</v>
      </c>
      <c r="DT180" s="1274">
        <f>DT55</f>
        <v>620</v>
      </c>
      <c r="DU180" s="562">
        <f>DU55</f>
        <v>330.5</v>
      </c>
      <c r="DV180" s="562">
        <f>+DW180-DU180</f>
        <v>313.89999999999998</v>
      </c>
      <c r="DW180" s="1274">
        <f>DW55</f>
        <v>644.4</v>
      </c>
      <c r="DX180" s="562">
        <f>DX55</f>
        <v>306.40000000000009</v>
      </c>
      <c r="DY180" s="562">
        <f>+DZ180-DX180</f>
        <v>350.13330460175598</v>
      </c>
      <c r="DZ180" s="1274">
        <f>DZ55</f>
        <v>656.53330460175607</v>
      </c>
      <c r="EA180" s="562">
        <f>EA55</f>
        <v>371.97062254948065</v>
      </c>
      <c r="EB180" s="562">
        <f>+EC180-EA180</f>
        <v>383.30692796261513</v>
      </c>
      <c r="EC180" s="1274">
        <f>EC55</f>
        <v>755.27755051209579</v>
      </c>
      <c r="ED180" s="562">
        <f>ED55</f>
        <v>405.15739667795316</v>
      </c>
      <c r="EE180" s="562">
        <f>+EF180-ED180</f>
        <v>417.69005866381207</v>
      </c>
      <c r="EF180" s="1274">
        <f>EF55</f>
        <v>822.84745534176523</v>
      </c>
      <c r="EG180" s="562">
        <f>EG55</f>
        <v>448.1998747179141</v>
      </c>
      <c r="EH180" s="562">
        <f>+EI180-EG180</f>
        <v>462.06396205286387</v>
      </c>
      <c r="EI180" s="1274">
        <f>EI55</f>
        <v>910.26383677077797</v>
      </c>
      <c r="EJ180" s="562">
        <f>EJ55</f>
        <v>493.01933872343312</v>
      </c>
      <c r="EK180" s="562">
        <f>+EL180-EJ180</f>
        <v>508.26981859958829</v>
      </c>
      <c r="EL180" s="1274">
        <f>EL55</f>
        <v>1001.2891573230214</v>
      </c>
      <c r="EM180" s="562">
        <f>EM55</f>
        <v>539.34500243101741</v>
      </c>
      <c r="EN180" s="562">
        <f>+EO180-EM180</f>
        <v>556.02846585696841</v>
      </c>
      <c r="EO180" s="1274">
        <f>EO55</f>
        <v>1095.3734682879858</v>
      </c>
      <c r="EP180" s="562">
        <f>EP55</f>
        <v>587.8860526498089</v>
      </c>
      <c r="EQ180" s="562">
        <f>+ER180-EP180</f>
        <v>606.07102778409569</v>
      </c>
      <c r="ER180" s="1274">
        <f>ER55</f>
        <v>1193.9570804339046</v>
      </c>
      <c r="ES180" s="562">
        <f>ES55</f>
        <v>640.79579738829182</v>
      </c>
      <c r="ET180" s="562">
        <f>+EU180-ES180</f>
        <v>660.61742028466449</v>
      </c>
      <c r="EU180" s="1274">
        <f>EU55</f>
        <v>1301.4132176729563</v>
      </c>
      <c r="EV180" s="562">
        <f>EV55</f>
        <v>698.4674191532381</v>
      </c>
      <c r="EW180" s="562">
        <f>+EX180-EV180</f>
        <v>720.07298811028431</v>
      </c>
      <c r="EX180" s="1274">
        <f>EX55</f>
        <v>1418.5404072635224</v>
      </c>
      <c r="EY180" s="562">
        <f>EY55</f>
        <v>761.32948687702947</v>
      </c>
      <c r="EZ180" s="562">
        <f>+FA180-EY180</f>
        <v>784.87955704020987</v>
      </c>
      <c r="FA180" s="1274">
        <f>FA55</f>
        <v>1546.2090439172393</v>
      </c>
      <c r="FE180"/>
      <c r="FF180"/>
      <c r="FG180"/>
      <c r="FH180"/>
      <c r="FI180"/>
      <c r="FJ180"/>
      <c r="FK180" s="35"/>
    </row>
    <row r="181" spans="1:167" s="236" customFormat="1" ht="13.35" customHeight="1" thickBot="1">
      <c r="B181" s="242" t="s">
        <v>964</v>
      </c>
      <c r="C181" s="242" t="s">
        <v>496</v>
      </c>
      <c r="D181" s="243"/>
      <c r="E181" s="503"/>
      <c r="F181" s="482">
        <f t="shared" ref="F181:F214" si="698">+G181-E181</f>
        <v>0</v>
      </c>
      <c r="G181" s="563"/>
      <c r="H181" s="505"/>
      <c r="I181" s="482">
        <f t="shared" ref="I181:I214" si="699">+J181-H181</f>
        <v>0</v>
      </c>
      <c r="J181" s="563"/>
      <c r="K181" s="505"/>
      <c r="L181" s="482">
        <f t="shared" ref="L181:L214" si="700">+M181-K181</f>
        <v>0</v>
      </c>
      <c r="M181" s="563"/>
      <c r="N181" s="505"/>
      <c r="O181" s="482">
        <f t="shared" ref="O181:O214" si="701">+P181-N181</f>
        <v>0</v>
      </c>
      <c r="P181" s="563"/>
      <c r="Q181" s="564"/>
      <c r="R181" s="482">
        <f t="shared" ref="R181:R214" si="702">+S181-Q181</f>
        <v>0</v>
      </c>
      <c r="S181" s="563"/>
      <c r="T181" s="564"/>
      <c r="U181" s="482">
        <f t="shared" ref="U181:U214" si="703">+V181-T181</f>
        <v>0</v>
      </c>
      <c r="V181" s="563"/>
      <c r="W181" s="564"/>
      <c r="X181" s="482">
        <f t="shared" ref="X181:X214" si="704">+Y181-W181</f>
        <v>0</v>
      </c>
      <c r="Y181" s="563"/>
      <c r="Z181" s="564"/>
      <c r="AA181" s="482">
        <f t="shared" ref="AA181:AA214" si="705">+AB181-Z181</f>
        <v>0</v>
      </c>
      <c r="AB181" s="563"/>
      <c r="AC181" s="564"/>
      <c r="AD181" s="482">
        <f t="shared" ref="AD181:AD214" si="706">+AE181-AC181</f>
        <v>0</v>
      </c>
      <c r="AE181" s="563"/>
      <c r="AF181" s="564"/>
      <c r="AG181" s="482">
        <f t="shared" ref="AG181:AG214" si="707">+AH181-AF181</f>
        <v>0</v>
      </c>
      <c r="AH181" s="563"/>
      <c r="AI181" s="564"/>
      <c r="AJ181" s="482">
        <f t="shared" ref="AJ181:AJ214" si="708">+AK181-AI181</f>
        <v>0</v>
      </c>
      <c r="AK181" s="563"/>
      <c r="AL181" s="564">
        <f>0.071-0.041</f>
        <v>2.9999999999999992E-2</v>
      </c>
      <c r="AM181" s="482">
        <f t="shared" ref="AM181:AM214" si="709">+AN181-AL181</f>
        <v>0.26</v>
      </c>
      <c r="AN181" s="563">
        <f>0.367-0.077</f>
        <v>0.28999999999999998</v>
      </c>
      <c r="AO181" s="564">
        <f>0.332-0.06</f>
        <v>0.27200000000000002</v>
      </c>
      <c r="AP181" s="482">
        <f t="shared" ref="AP181:AP214" si="710">+AQ181-AO181</f>
        <v>0.34199999999999997</v>
      </c>
      <c r="AQ181" s="563">
        <f>0.733-0.119</f>
        <v>0.61399999999999999</v>
      </c>
      <c r="AR181" s="565">
        <v>0.32600000000000001</v>
      </c>
      <c r="AS181" s="482">
        <f t="shared" ref="AS181:AS214" si="711">+AT181-AR181</f>
        <v>0.193</v>
      </c>
      <c r="AT181" s="563">
        <f>0.612-0.093</f>
        <v>0.51900000000000002</v>
      </c>
      <c r="AU181" s="565">
        <v>0.34499999999999997</v>
      </c>
      <c r="AV181" s="482">
        <f t="shared" ref="AV181:AV214" si="712">+AW181-AU181</f>
        <v>0.50800000000000001</v>
      </c>
      <c r="AW181" s="563">
        <f>0.969-0.116</f>
        <v>0.85299999999999998</v>
      </c>
      <c r="AX181" s="564">
        <f>0.758-0.043</f>
        <v>0.71499999999999997</v>
      </c>
      <c r="AY181" s="482">
        <f t="shared" ref="AY181:AY214" si="713">+AZ181-AX181</f>
        <v>0.61</v>
      </c>
      <c r="AZ181" s="563">
        <f>1.417-0.092</f>
        <v>1.325</v>
      </c>
      <c r="BA181" s="564">
        <f>0.555-0.025</f>
        <v>0.53</v>
      </c>
      <c r="BB181" s="482">
        <f t="shared" ref="BB181:BB214" si="714">+BC181-BA181</f>
        <v>0.39599999999999991</v>
      </c>
      <c r="BC181" s="563">
        <f>1.148-0.222</f>
        <v>0.92599999999999993</v>
      </c>
      <c r="BD181" s="565">
        <v>0</v>
      </c>
      <c r="BE181" s="482">
        <f t="shared" ref="BE181:BE214" si="715">+BF181-BD181</f>
        <v>-0.29499999999999998</v>
      </c>
      <c r="BF181" s="566">
        <v>-0.29499999999999998</v>
      </c>
      <c r="BG181" s="564">
        <f>-0.533+0.161</f>
        <v>-0.372</v>
      </c>
      <c r="BH181" s="482">
        <f t="shared" ref="BH181:BH214" si="716">+BI181-BG181</f>
        <v>0.17199999999999993</v>
      </c>
      <c r="BI181" s="563">
        <f>0.596-0.796</f>
        <v>-0.20000000000000007</v>
      </c>
      <c r="BJ181" s="564">
        <f>0.995-0.292</f>
        <v>0.70300000000000007</v>
      </c>
      <c r="BK181" s="482">
        <f t="shared" ref="BK181:BK214" si="717">+BL181-BJ181</f>
        <v>0.99999999999999978</v>
      </c>
      <c r="BL181" s="563">
        <f>2.514-0.811</f>
        <v>1.7029999999999998</v>
      </c>
      <c r="BM181" s="564">
        <f>0.9-0.396</f>
        <v>0.504</v>
      </c>
      <c r="BN181" s="482">
        <f t="shared" ref="BN181:BN214" si="718">+BO181-BM181</f>
        <v>-0.79800000000000004</v>
      </c>
      <c r="BO181" s="567">
        <f>2.634-2.928</f>
        <v>-0.29400000000000004</v>
      </c>
      <c r="BP181" s="564">
        <f>2.216-3.03</f>
        <v>-0.81399999999999961</v>
      </c>
      <c r="BQ181" s="482">
        <f t="shared" ref="BQ181:BQ214" si="719">+BR181-BP181</f>
        <v>-1.7610000000000006</v>
      </c>
      <c r="BR181" s="567">
        <f>3.816-6.391</f>
        <v>-2.5750000000000002</v>
      </c>
      <c r="BS181" s="564">
        <f>-3.781+1.096</f>
        <v>-2.6850000000000001</v>
      </c>
      <c r="BT181" s="482">
        <f t="shared" ref="BT181:BT214" si="720">+BU181-BS181</f>
        <v>-3.8539999999999996</v>
      </c>
      <c r="BU181" s="567">
        <f>2.353-8.892</f>
        <v>-6.5389999999999997</v>
      </c>
      <c r="BV181" s="564">
        <f>0.754-5.365</f>
        <v>-4.6110000000000007</v>
      </c>
      <c r="BW181" s="482">
        <f t="shared" ref="BW181:BW214" si="721">+BX181-BV181</f>
        <v>-6.0413999999999994</v>
      </c>
      <c r="BX181" s="567">
        <f>1.1576-11.81</f>
        <v>-10.6524</v>
      </c>
      <c r="BY181" s="564">
        <f>0.825-5.393</f>
        <v>-4.5679999999999996</v>
      </c>
      <c r="BZ181" s="482">
        <f t="shared" ref="BZ181:BZ214" si="722">+CA181-BY181</f>
        <v>-3.4890000000000008</v>
      </c>
      <c r="CA181" s="567">
        <f>1.302-9.359</f>
        <v>-8.0570000000000004</v>
      </c>
      <c r="CB181" s="564">
        <f>0.868-5.884</f>
        <v>-5.016</v>
      </c>
      <c r="CC181" s="482">
        <f t="shared" ref="CC181:CC214" si="723">+CD181-CB181</f>
        <v>-2.8469999999999995</v>
      </c>
      <c r="CD181" s="567">
        <f>1.51-9.373</f>
        <v>-7.8629999999999995</v>
      </c>
      <c r="CE181" s="564">
        <f>0.405-5.008</f>
        <v>-4.6029999999999998</v>
      </c>
      <c r="CF181" s="482">
        <f t="shared" ref="CF181:CF214" si="724">+CG181-CE181</f>
        <v>-1.4550000000000001</v>
      </c>
      <c r="CG181" s="567">
        <f>0.821-6.879</f>
        <v>-6.0579999999999998</v>
      </c>
      <c r="CH181" s="564">
        <f>0.415-2.787</f>
        <v>-2.3719999999999999</v>
      </c>
      <c r="CI181" s="482">
        <f t="shared" ref="CI181:CI214" si="725">+CJ181-CH181</f>
        <v>-1.854000000000001</v>
      </c>
      <c r="CJ181" s="567">
        <f>1.746-5.972</f>
        <v>-4.2260000000000009</v>
      </c>
      <c r="CK181" s="564">
        <f>0.307-3.248</f>
        <v>-2.9410000000000003</v>
      </c>
      <c r="CL181" s="482">
        <f t="shared" ref="CL181:CL214" si="726">+CM181-CK181</f>
        <v>-3.2819999999999996</v>
      </c>
      <c r="CM181" s="567">
        <f>(-CM74)</f>
        <v>-6.2229999999999999</v>
      </c>
      <c r="CN181" s="564">
        <f>0.166-4.821</f>
        <v>-4.6549999999999994</v>
      </c>
      <c r="CO181" s="482">
        <f t="shared" ref="CO181:CO214" si="727">+CP181-CN181</f>
        <v>-5.5590000000000011</v>
      </c>
      <c r="CP181" s="567">
        <f>0.344-10.558</f>
        <v>-10.214</v>
      </c>
      <c r="CQ181" s="564">
        <f>0.099-5.436</f>
        <v>-5.3369999999999997</v>
      </c>
      <c r="CR181" s="482">
        <f t="shared" ref="CR181:CR214" si="728">+CS181-CQ181</f>
        <v>-1.9930000000000003</v>
      </c>
      <c r="CS181" s="567">
        <f>0.297-7.627</f>
        <v>-7.33</v>
      </c>
      <c r="CT181" s="564">
        <f>0.113-6.375</f>
        <v>-6.2619999999999996</v>
      </c>
      <c r="CU181" s="482">
        <f t="shared" ref="CU181:CU214" si="729">+CV181-CT181</f>
        <v>-4.028999999999999</v>
      </c>
      <c r="CV181" s="567">
        <f>0.454-10.745</f>
        <v>-10.290999999999999</v>
      </c>
      <c r="CW181" s="567">
        <f>0.272-3.576</f>
        <v>-3.3040000000000003</v>
      </c>
      <c r="CX181" s="482">
        <f t="shared" ref="CX181:CX214" si="730">+CY181-CW181</f>
        <v>-4.5910000000000002</v>
      </c>
      <c r="CY181" s="567">
        <f>0.704-8.599</f>
        <v>-7.8950000000000005</v>
      </c>
      <c r="CZ181" s="564">
        <f>0.2-3.9</f>
        <v>-3.6999999999999997</v>
      </c>
      <c r="DA181" s="482">
        <f t="shared" ref="DA181:DA214" si="731">+DB181-CZ181</f>
        <v>-4.2000000000000011</v>
      </c>
      <c r="DB181" s="567">
        <f>0.6-8.5</f>
        <v>-7.9</v>
      </c>
      <c r="DC181" s="564">
        <f>0.3-3</f>
        <v>-2.7</v>
      </c>
      <c r="DD181" s="482">
        <f t="shared" ref="DD181:DD214" si="732">+DE181-DC181</f>
        <v>5.6</v>
      </c>
      <c r="DE181" s="567">
        <f>7.4+0.7-5.2</f>
        <v>2.8999999999999995</v>
      </c>
      <c r="DF181" s="564">
        <f>0.2-2.2</f>
        <v>-2</v>
      </c>
      <c r="DG181" s="482">
        <f>+DH181-DF181</f>
        <v>-0.90000000000000036</v>
      </c>
      <c r="DH181" s="1275">
        <f>-8.9+6</f>
        <v>-2.9000000000000004</v>
      </c>
      <c r="DI181" s="568">
        <f>-DI76+DI75</f>
        <v>-1.32531</v>
      </c>
      <c r="DJ181" s="482">
        <f t="shared" ref="DJ181:DJ214" si="733">+DK181-DI181</f>
        <v>-0.38023500000000032</v>
      </c>
      <c r="DK181" s="1276">
        <f>-DK76+DK75</f>
        <v>-1.7055450000000003</v>
      </c>
      <c r="DL181" s="568">
        <f>-DL76+DL75</f>
        <v>8.5299999999997045E-3</v>
      </c>
      <c r="DM181" s="482">
        <f t="shared" ref="DM181:DM214" si="734">+DN181-DL181</f>
        <v>0.69136499999999956</v>
      </c>
      <c r="DN181" s="1276">
        <f>-DN76+DN75</f>
        <v>0.69989499999999927</v>
      </c>
      <c r="DO181" s="568">
        <f>-DO76+DO75</f>
        <v>5.3560549999999996</v>
      </c>
      <c r="DP181" s="482">
        <f t="shared" ref="DP181:DP214" si="735">+DQ181-DO181</f>
        <v>8.3388899999999992</v>
      </c>
      <c r="DQ181" s="1276">
        <f>-DQ76+DQ75</f>
        <v>13.694944999999999</v>
      </c>
      <c r="DR181" s="568">
        <f>-DR76+DR75</f>
        <v>9.4</v>
      </c>
      <c r="DS181" s="482">
        <f t="shared" ref="DS181:DS214" si="736">+DT181-DR181</f>
        <v>9.6</v>
      </c>
      <c r="DT181" s="1276">
        <f>-DT76+DT75</f>
        <v>19</v>
      </c>
      <c r="DU181" s="568">
        <f>-DU76+DU75</f>
        <v>7.4</v>
      </c>
      <c r="DV181" s="482">
        <f t="shared" ref="DV181" si="737">+DW181-DU181</f>
        <v>4.2999999999999989</v>
      </c>
      <c r="DW181" s="1276">
        <f>-DW76+DW75</f>
        <v>11.7</v>
      </c>
      <c r="DX181" s="568">
        <f>-DX76+DX75</f>
        <v>8.4</v>
      </c>
      <c r="DY181" s="568">
        <f>-DY76+DY75</f>
        <v>3.4394999999999989</v>
      </c>
      <c r="DZ181" s="1276">
        <f>SUM(DX181:DY181)</f>
        <v>11.839499999999999</v>
      </c>
      <c r="EA181" s="568">
        <f>-EA76+EA75</f>
        <v>2.8195406084808758</v>
      </c>
      <c r="EB181" s="482">
        <f t="shared" ref="EB181:EB210" si="738">+EC181-EA181</f>
        <v>2.8195406084808758</v>
      </c>
      <c r="EC181" s="1276">
        <f>-EC76+EC75</f>
        <v>5.6390812169617517</v>
      </c>
      <c r="ED181" s="568">
        <f>-ED76+ED75</f>
        <v>1.739032121801505</v>
      </c>
      <c r="EE181" s="482">
        <f t="shared" ref="EE181:EE210" si="739">+EF181-ED181</f>
        <v>1.739032121801505</v>
      </c>
      <c r="EF181" s="1276">
        <f>-EF76+EF75</f>
        <v>3.47806424360301</v>
      </c>
      <c r="EG181" s="568">
        <f>-EG76+EG75</f>
        <v>1.9657695995498594</v>
      </c>
      <c r="EH181" s="482">
        <f>+EI181-EG181</f>
        <v>1.9657695995498594</v>
      </c>
      <c r="EI181" s="1276">
        <f>-EI76+EI75</f>
        <v>3.9315391990997188</v>
      </c>
      <c r="EJ181" s="568">
        <f>-EJ76+EJ75</f>
        <v>2.0238181622219305</v>
      </c>
      <c r="EK181" s="482">
        <f>+EL181-EJ181</f>
        <v>2.0238181622219305</v>
      </c>
      <c r="EL181" s="1276">
        <f>-EL76+EL75</f>
        <v>4.0476363244438609</v>
      </c>
      <c r="EM181" s="568">
        <f>-EM76+EM75</f>
        <v>3.0106340231934903</v>
      </c>
      <c r="EN181" s="482">
        <f>+EO181-EM181</f>
        <v>3.0106340231934903</v>
      </c>
      <c r="EO181" s="1276">
        <f>-EO76+EO75</f>
        <v>6.0212680463869805</v>
      </c>
      <c r="EP181" s="568">
        <f>-EP76+EP75</f>
        <v>4.9732480863178985</v>
      </c>
      <c r="EQ181" s="482">
        <f>+ER181-EP181</f>
        <v>4.9732480863178985</v>
      </c>
      <c r="ER181" s="1276">
        <f>-ER76+ER75</f>
        <v>9.946496172635797</v>
      </c>
      <c r="ES181" s="568">
        <f>-ES76+ES75</f>
        <v>7.1931693677738942</v>
      </c>
      <c r="ET181" s="482">
        <f>+EU181-ES181</f>
        <v>7.1931693677738942</v>
      </c>
      <c r="EU181" s="1276">
        <f>-EU76+EU75</f>
        <v>14.386338735547788</v>
      </c>
      <c r="EV181" s="568">
        <f>-EV76+EV75</f>
        <v>9.7027929759009393</v>
      </c>
      <c r="EW181" s="482">
        <f>+EX181-EV181</f>
        <v>9.7027929759009393</v>
      </c>
      <c r="EX181" s="1276">
        <f>-EX76+EX75</f>
        <v>19.405585951801879</v>
      </c>
      <c r="EY181" s="568">
        <f>-EY76+EY75</f>
        <v>12.539627022016708</v>
      </c>
      <c r="EZ181" s="482">
        <f>+FA181-EY181</f>
        <v>12.539627022016708</v>
      </c>
      <c r="FA181" s="1276">
        <f>-FA76+FA75</f>
        <v>25.079254044033416</v>
      </c>
      <c r="FE181"/>
      <c r="FF181"/>
      <c r="FG181"/>
      <c r="FH181"/>
      <c r="FI181"/>
      <c r="FJ181"/>
      <c r="FK181" s="35"/>
    </row>
    <row r="182" spans="1:167" s="236" customFormat="1" ht="13.35" customHeight="1" thickBot="1">
      <c r="B182" s="242" t="s">
        <v>965</v>
      </c>
      <c r="C182" s="242" t="s">
        <v>496</v>
      </c>
      <c r="D182" s="243"/>
      <c r="E182" s="482"/>
      <c r="F182" s="482"/>
      <c r="G182" s="568"/>
      <c r="H182" s="482"/>
      <c r="I182" s="482"/>
      <c r="J182" s="568"/>
      <c r="K182" s="482"/>
      <c r="L182" s="482"/>
      <c r="M182" s="568"/>
      <c r="N182" s="482"/>
      <c r="O182" s="482"/>
      <c r="P182" s="568"/>
      <c r="Q182" s="568"/>
      <c r="R182" s="482"/>
      <c r="S182" s="568"/>
      <c r="T182" s="568"/>
      <c r="U182" s="482"/>
      <c r="V182" s="568"/>
      <c r="W182" s="568"/>
      <c r="X182" s="482"/>
      <c r="Y182" s="568"/>
      <c r="Z182" s="568"/>
      <c r="AA182" s="482"/>
      <c r="AB182" s="568"/>
      <c r="AC182" s="568"/>
      <c r="AD182" s="482"/>
      <c r="AE182" s="568"/>
      <c r="AF182" s="568"/>
      <c r="AG182" s="482"/>
      <c r="AH182" s="568"/>
      <c r="AI182" s="568"/>
      <c r="AJ182" s="482"/>
      <c r="AK182" s="568"/>
      <c r="AL182" s="568"/>
      <c r="AM182" s="482"/>
      <c r="AN182" s="568"/>
      <c r="AO182" s="568"/>
      <c r="AP182" s="482"/>
      <c r="AQ182" s="568"/>
      <c r="AR182" s="569"/>
      <c r="AS182" s="482"/>
      <c r="AT182" s="568"/>
      <c r="AU182" s="569"/>
      <c r="AV182" s="482"/>
      <c r="AW182" s="568"/>
      <c r="AX182" s="568"/>
      <c r="AY182" s="482"/>
      <c r="AZ182" s="568"/>
      <c r="BA182" s="568"/>
      <c r="BB182" s="482"/>
      <c r="BC182" s="568"/>
      <c r="BD182" s="569"/>
      <c r="BE182" s="482"/>
      <c r="BF182" s="569"/>
      <c r="BG182" s="568"/>
      <c r="BH182" s="482"/>
      <c r="BI182" s="568"/>
      <c r="BJ182" s="568"/>
      <c r="BK182" s="482"/>
      <c r="BL182" s="568"/>
      <c r="BM182" s="568"/>
      <c r="BN182" s="482"/>
      <c r="BO182" s="568"/>
      <c r="BP182" s="568"/>
      <c r="BQ182" s="482"/>
      <c r="BR182" s="568"/>
      <c r="BS182" s="568"/>
      <c r="BT182" s="482"/>
      <c r="BU182" s="568"/>
      <c r="BV182" s="568"/>
      <c r="BW182" s="482"/>
      <c r="BX182" s="568"/>
      <c r="BY182" s="568"/>
      <c r="BZ182" s="482"/>
      <c r="CA182" s="568"/>
      <c r="CB182" s="568"/>
      <c r="CC182" s="482"/>
      <c r="CD182" s="568"/>
      <c r="CE182" s="568"/>
      <c r="CF182" s="482"/>
      <c r="CG182" s="568"/>
      <c r="CH182" s="568"/>
      <c r="CI182" s="482"/>
      <c r="CJ182" s="568"/>
      <c r="CK182" s="568"/>
      <c r="CL182" s="482"/>
      <c r="CM182" s="568"/>
      <c r="CN182" s="568"/>
      <c r="CO182" s="482"/>
      <c r="CP182" s="568"/>
      <c r="CQ182" s="568"/>
      <c r="CR182" s="482"/>
      <c r="CS182" s="568"/>
      <c r="CT182" s="568"/>
      <c r="CU182" s="482"/>
      <c r="CV182" s="568"/>
      <c r="CW182" s="568"/>
      <c r="CX182" s="482"/>
      <c r="CY182" s="568"/>
      <c r="CZ182" s="568"/>
      <c r="DA182" s="482"/>
      <c r="DB182" s="568"/>
      <c r="DC182" s="568"/>
      <c r="DD182" s="482"/>
      <c r="DE182" s="568"/>
      <c r="DF182" s="568">
        <f>-PL_Int_Cap_H1_20</f>
        <v>-2.8</v>
      </c>
      <c r="DG182" s="482">
        <f>DH182-DF182</f>
        <v>-3.2</v>
      </c>
      <c r="DH182" s="1276">
        <v>-6</v>
      </c>
      <c r="DI182" s="568">
        <f>-DI78</f>
        <v>-3.17469</v>
      </c>
      <c r="DJ182" s="482">
        <f>DK182-DI182</f>
        <v>-3.5197649999999996</v>
      </c>
      <c r="DK182" s="1276">
        <f>-DK78</f>
        <v>-6.6944549999999996</v>
      </c>
      <c r="DL182" s="568">
        <f>-DL78</f>
        <v>-3.5085299999999995</v>
      </c>
      <c r="DM182" s="482">
        <f>DN182-DL182</f>
        <v>-3.3913649999999995</v>
      </c>
      <c r="DN182" s="1276">
        <f>-DN78</f>
        <v>-6.899894999999999</v>
      </c>
      <c r="DO182" s="568">
        <f>-DO78</f>
        <v>-3.3560549999999996</v>
      </c>
      <c r="DP182" s="482">
        <f>DQ182-DO182</f>
        <v>-3.2388899999999996</v>
      </c>
      <c r="DQ182" s="1276">
        <f>-DQ78</f>
        <v>-6.5949449999999992</v>
      </c>
      <c r="DR182" s="568">
        <f>-DR78</f>
        <v>-4.3</v>
      </c>
      <c r="DS182" s="482">
        <f>DT182-DR182</f>
        <v>-4.8999999999999995</v>
      </c>
      <c r="DT182" s="1276">
        <f>-DT78</f>
        <v>-9.1999999999999993</v>
      </c>
      <c r="DU182" s="568">
        <f>-DU78</f>
        <v>-5.7</v>
      </c>
      <c r="DV182" s="482">
        <f>DW182-DU182</f>
        <v>-5.3</v>
      </c>
      <c r="DW182" s="1276">
        <f>-DW78</f>
        <v>-11</v>
      </c>
      <c r="DX182" s="568">
        <f>-DX78</f>
        <v>-6.3</v>
      </c>
      <c r="DY182" s="568">
        <f>-DY78</f>
        <v>-6.3</v>
      </c>
      <c r="DZ182" s="1276">
        <f>SUM(DX182:DY182)</f>
        <v>-12.6</v>
      </c>
      <c r="EA182" s="568">
        <f>-EA78</f>
        <v>-6.3</v>
      </c>
      <c r="EB182" s="482">
        <f>EC182-EA182</f>
        <v>-6.3</v>
      </c>
      <c r="EC182" s="1276">
        <f>-EC78</f>
        <v>-12.6</v>
      </c>
      <c r="ED182" s="568">
        <f>-ED78</f>
        <v>-6.3</v>
      </c>
      <c r="EE182" s="482">
        <f>EF182-ED182</f>
        <v>-6.3</v>
      </c>
      <c r="EF182" s="1276">
        <f>-EF78</f>
        <v>-12.6</v>
      </c>
      <c r="EG182" s="568">
        <f>-EG78</f>
        <v>-6.3</v>
      </c>
      <c r="EH182" s="482">
        <f>EI182-EG182</f>
        <v>-6.3</v>
      </c>
      <c r="EI182" s="1276">
        <f>-EI78</f>
        <v>-12.6</v>
      </c>
      <c r="EJ182" s="568">
        <f>-EJ78</f>
        <v>-6.3</v>
      </c>
      <c r="EK182" s="482">
        <f>EL182-EJ182</f>
        <v>-6.3</v>
      </c>
      <c r="EL182" s="1276">
        <f>-EL78</f>
        <v>-12.6</v>
      </c>
      <c r="EM182" s="568">
        <f>-EM78</f>
        <v>-6.3</v>
      </c>
      <c r="EN182" s="482">
        <f>EO182-EM182</f>
        <v>-6.3</v>
      </c>
      <c r="EO182" s="1276">
        <f>-EO78</f>
        <v>-12.6</v>
      </c>
      <c r="EP182" s="568">
        <f>-EP78</f>
        <v>-6.3</v>
      </c>
      <c r="EQ182" s="482">
        <f>ER182-EP182</f>
        <v>-6.3</v>
      </c>
      <c r="ER182" s="1276">
        <f>-ER78</f>
        <v>-12.6</v>
      </c>
      <c r="ES182" s="568">
        <f>-ES78</f>
        <v>-6.3</v>
      </c>
      <c r="ET182" s="482">
        <f>EU182-ES182</f>
        <v>-6.3</v>
      </c>
      <c r="EU182" s="1276">
        <f>-EU78</f>
        <v>-12.6</v>
      </c>
      <c r="EV182" s="568">
        <f>-EV78</f>
        <v>-6.3</v>
      </c>
      <c r="EW182" s="482">
        <f>EX182-EV182</f>
        <v>-6.3</v>
      </c>
      <c r="EX182" s="1276">
        <f>-EX78</f>
        <v>-12.6</v>
      </c>
      <c r="EY182" s="568">
        <f>-EY78</f>
        <v>-6.3</v>
      </c>
      <c r="EZ182" s="482">
        <f>FA182-EY182</f>
        <v>-6.3</v>
      </c>
      <c r="FA182" s="1276">
        <f>-FA78</f>
        <v>-12.6</v>
      </c>
      <c r="FE182"/>
      <c r="FF182"/>
      <c r="FG182"/>
      <c r="FH182"/>
      <c r="FI182"/>
      <c r="FJ182"/>
      <c r="FK182" s="35"/>
    </row>
    <row r="183" spans="1:167" s="236" customFormat="1" ht="13.35" customHeight="1" thickBot="1">
      <c r="B183" s="242" t="s">
        <v>544</v>
      </c>
      <c r="C183" s="242" t="s">
        <v>496</v>
      </c>
      <c r="D183" s="243"/>
      <c r="E183" s="503"/>
      <c r="F183" s="482">
        <f t="shared" si="698"/>
        <v>0</v>
      </c>
      <c r="G183" s="563"/>
      <c r="H183" s="505"/>
      <c r="I183" s="482">
        <f t="shared" si="699"/>
        <v>0</v>
      </c>
      <c r="J183" s="563"/>
      <c r="K183" s="505"/>
      <c r="L183" s="482">
        <f t="shared" si="700"/>
        <v>0</v>
      </c>
      <c r="M183" s="563"/>
      <c r="N183" s="505"/>
      <c r="O183" s="482">
        <f t="shared" si="701"/>
        <v>0</v>
      </c>
      <c r="P183" s="563"/>
      <c r="Q183" s="505"/>
      <c r="R183" s="482">
        <f t="shared" si="702"/>
        <v>0</v>
      </c>
      <c r="S183" s="563"/>
      <c r="T183" s="505"/>
      <c r="U183" s="482">
        <f t="shared" si="703"/>
        <v>0</v>
      </c>
      <c r="V183" s="563"/>
      <c r="W183" s="505"/>
      <c r="X183" s="482">
        <f t="shared" si="704"/>
        <v>0</v>
      </c>
      <c r="Y183" s="563"/>
      <c r="Z183" s="505"/>
      <c r="AA183" s="482">
        <f t="shared" si="705"/>
        <v>0</v>
      </c>
      <c r="AB183" s="563"/>
      <c r="AC183" s="505"/>
      <c r="AD183" s="482">
        <f t="shared" si="706"/>
        <v>0</v>
      </c>
      <c r="AE183" s="563"/>
      <c r="AF183" s="505"/>
      <c r="AG183" s="482">
        <f t="shared" si="707"/>
        <v>0</v>
      </c>
      <c r="AH183" s="563"/>
      <c r="AI183" s="505"/>
      <c r="AJ183" s="482">
        <f t="shared" si="708"/>
        <v>0</v>
      </c>
      <c r="AK183" s="563"/>
      <c r="AL183" s="506">
        <v>-2.1549999999999998</v>
      </c>
      <c r="AM183" s="482">
        <f t="shared" si="709"/>
        <v>-1.4140000000000001</v>
      </c>
      <c r="AN183" s="566">
        <v>-3.569</v>
      </c>
      <c r="AO183" s="506">
        <v>-2.9089999999999998</v>
      </c>
      <c r="AP183" s="482">
        <f t="shared" si="710"/>
        <v>-1.3900000000000006</v>
      </c>
      <c r="AQ183" s="566">
        <v>-4.2990000000000004</v>
      </c>
      <c r="AR183" s="506">
        <v>-2.7949999999999999</v>
      </c>
      <c r="AS183" s="482">
        <f t="shared" si="711"/>
        <v>-1.0489999999999999</v>
      </c>
      <c r="AT183" s="566">
        <v>-3.8439999999999999</v>
      </c>
      <c r="AU183" s="565">
        <v>-4.8109999999999999</v>
      </c>
      <c r="AV183" s="482">
        <f t="shared" si="712"/>
        <v>-3.8230000000000004</v>
      </c>
      <c r="AW183" s="566">
        <v>-8.6340000000000003</v>
      </c>
      <c r="AX183" s="565">
        <v>-5.9450000000000003</v>
      </c>
      <c r="AY183" s="482">
        <f t="shared" si="713"/>
        <v>-6.3219999999999992</v>
      </c>
      <c r="AZ183" s="566">
        <v>-12.266999999999999</v>
      </c>
      <c r="BA183" s="565">
        <v>-7.484</v>
      </c>
      <c r="BB183" s="482">
        <f t="shared" si="714"/>
        <v>-8.7099999999999991</v>
      </c>
      <c r="BC183" s="566">
        <v>-16.193999999999999</v>
      </c>
      <c r="BD183" s="565">
        <v>-4.9000000000000004</v>
      </c>
      <c r="BE183" s="482">
        <f t="shared" si="715"/>
        <v>-7.472999999999999</v>
      </c>
      <c r="BF183" s="566">
        <v>-12.372999999999999</v>
      </c>
      <c r="BG183" s="565">
        <v>-8.5150000000000006</v>
      </c>
      <c r="BH183" s="482">
        <f t="shared" si="716"/>
        <v>-8.5079999999999991</v>
      </c>
      <c r="BI183" s="566">
        <v>-17.023</v>
      </c>
      <c r="BJ183" s="565">
        <v>-12.71</v>
      </c>
      <c r="BK183" s="482">
        <f t="shared" si="717"/>
        <v>-8.8269999999999982</v>
      </c>
      <c r="BL183" s="566">
        <v>-21.536999999999999</v>
      </c>
      <c r="BM183" s="565">
        <v>-11.492000000000001</v>
      </c>
      <c r="BN183" s="482">
        <f t="shared" si="718"/>
        <v>-7.8780000000000001</v>
      </c>
      <c r="BO183" s="570">
        <v>-19.37</v>
      </c>
      <c r="BP183" s="565">
        <v>-13.954000000000001</v>
      </c>
      <c r="BQ183" s="482">
        <f t="shared" si="719"/>
        <v>-13.474</v>
      </c>
      <c r="BR183" s="570">
        <v>-27.428000000000001</v>
      </c>
      <c r="BS183" s="565">
        <v>-31.998999999999999</v>
      </c>
      <c r="BT183" s="482">
        <f t="shared" si="720"/>
        <v>-24.128000000000004</v>
      </c>
      <c r="BU183" s="567">
        <f>-56.127</f>
        <v>-56.127000000000002</v>
      </c>
      <c r="BV183" s="565">
        <v>-30.03</v>
      </c>
      <c r="BW183" s="482">
        <f t="shared" si="721"/>
        <v>-23.336999999999996</v>
      </c>
      <c r="BX183" s="570">
        <v>-53.366999999999997</v>
      </c>
      <c r="BY183" s="565">
        <v>-23.978999999999999</v>
      </c>
      <c r="BZ183" s="482">
        <f t="shared" si="722"/>
        <v>-21.972999999999999</v>
      </c>
      <c r="CA183" s="570">
        <v>-45.951999999999998</v>
      </c>
      <c r="CB183" s="565">
        <v>-9.0289999999999999</v>
      </c>
      <c r="CC183" s="482">
        <f t="shared" si="723"/>
        <v>-42.007000000000005</v>
      </c>
      <c r="CD183" s="567">
        <f>-51.036</f>
        <v>-51.036000000000001</v>
      </c>
      <c r="CE183" s="565">
        <v>-22.779</v>
      </c>
      <c r="CF183" s="482">
        <f t="shared" si="724"/>
        <v>-27.814000000000004</v>
      </c>
      <c r="CG183" s="567">
        <f>-50.593</f>
        <v>-50.593000000000004</v>
      </c>
      <c r="CH183" s="564">
        <f>-25.039</f>
        <v>-25.039000000000001</v>
      </c>
      <c r="CI183" s="482">
        <f t="shared" si="725"/>
        <v>-16.079000000000001</v>
      </c>
      <c r="CJ183" s="570">
        <v>-41.118000000000002</v>
      </c>
      <c r="CK183" s="565">
        <v>-30.754999999999999</v>
      </c>
      <c r="CL183" s="482">
        <f t="shared" si="726"/>
        <v>-9.3189999999999991</v>
      </c>
      <c r="CM183" s="567">
        <f>(-CM80)</f>
        <v>-40.073999999999998</v>
      </c>
      <c r="CN183" s="565">
        <v>-14.692</v>
      </c>
      <c r="CO183" s="482">
        <f t="shared" si="727"/>
        <v>-9.8780000000000001</v>
      </c>
      <c r="CP183" s="570">
        <v>-24.57</v>
      </c>
      <c r="CQ183" s="564">
        <f>+-20.875</f>
        <v>-20.875</v>
      </c>
      <c r="CR183" s="482">
        <f t="shared" si="728"/>
        <v>-11.335999999999999</v>
      </c>
      <c r="CS183" s="570">
        <v>-32.210999999999999</v>
      </c>
      <c r="CT183" s="564">
        <f>+-48.119</f>
        <v>-48.119</v>
      </c>
      <c r="CU183" s="482">
        <f t="shared" si="729"/>
        <v>-32.566000000000003</v>
      </c>
      <c r="CV183" s="570">
        <v>-80.685000000000002</v>
      </c>
      <c r="CW183" s="564">
        <f>+-37.67</f>
        <v>-37.67</v>
      </c>
      <c r="CX183" s="482">
        <f t="shared" si="730"/>
        <v>-40.783999999999992</v>
      </c>
      <c r="CY183" s="570">
        <v>-78.453999999999994</v>
      </c>
      <c r="CZ183" s="564">
        <f>+-55.2</f>
        <v>-55.2</v>
      </c>
      <c r="DA183" s="482">
        <f t="shared" si="731"/>
        <v>-46.099999999999994</v>
      </c>
      <c r="DB183" s="567">
        <f>-101.3</f>
        <v>-101.3</v>
      </c>
      <c r="DC183" s="564">
        <v>-46.7</v>
      </c>
      <c r="DD183" s="482">
        <f t="shared" si="732"/>
        <v>-44</v>
      </c>
      <c r="DE183" s="567">
        <v>-90.7</v>
      </c>
      <c r="DF183" s="564">
        <v>-58.3</v>
      </c>
      <c r="DG183" s="482">
        <f t="shared" ref="DG183:DG211" si="740">+DH183-DF183</f>
        <v>-21.799999999999997</v>
      </c>
      <c r="DH183" s="1359">
        <v>-80.099999999999994</v>
      </c>
      <c r="DI183" s="1367">
        <v>-42.9</v>
      </c>
      <c r="DJ183" s="482">
        <f t="shared" si="733"/>
        <v>28.5</v>
      </c>
      <c r="DK183" s="1366">
        <v>-14.4</v>
      </c>
      <c r="DL183" s="1367">
        <v>-45.9</v>
      </c>
      <c r="DM183" s="482">
        <f t="shared" si="734"/>
        <v>19.799999999999997</v>
      </c>
      <c r="DN183" s="1366">
        <v>-26.1</v>
      </c>
      <c r="DO183" s="1367">
        <v>-50.6</v>
      </c>
      <c r="DP183" s="482">
        <f t="shared" si="735"/>
        <v>-28.699999999999996</v>
      </c>
      <c r="DQ183" s="1366">
        <v>-79.3</v>
      </c>
      <c r="DR183" s="1367">
        <v>-62.4</v>
      </c>
      <c r="DS183" s="482">
        <f t="shared" si="736"/>
        <v>-69.099999999999994</v>
      </c>
      <c r="DT183" s="1366">
        <v>-131.5</v>
      </c>
      <c r="DU183" s="1367">
        <v>-79.2</v>
      </c>
      <c r="DV183" s="482">
        <f t="shared" ref="DV183:DV211" si="741">+DW183-DU183</f>
        <v>-76.8</v>
      </c>
      <c r="DW183" s="1366">
        <v>-156</v>
      </c>
      <c r="DX183" s="1367">
        <v>-79.3</v>
      </c>
      <c r="DY183" s="568">
        <f>IF(DY5="A","",-DY80)</f>
        <v>-75.254984324917501</v>
      </c>
      <c r="DZ183" s="1276">
        <f>SUM(DX183:DY183)</f>
        <v>-154.55498432491748</v>
      </c>
      <c r="EA183" s="568">
        <f>IF(EA5="A","",-EA80)</f>
        <v>-77.92762732760302</v>
      </c>
      <c r="EB183" s="482">
        <f t="shared" si="738"/>
        <v>-80.324366791195942</v>
      </c>
      <c r="EC183" s="1276">
        <f>IF(EC5="A","",-EC80)</f>
        <v>-158.25199411879896</v>
      </c>
      <c r="ED183" s="568">
        <f>IF(ED5="A","",-ED80)</f>
        <v>-86.947218905036834</v>
      </c>
      <c r="EE183" s="482">
        <f t="shared" si="739"/>
        <v>-89.672012729327463</v>
      </c>
      <c r="EF183" s="1276">
        <f>IF(EF5="A","",-EF80)</f>
        <v>-176.6192316343643</v>
      </c>
      <c r="EG183" s="568">
        <f>IF(EG5="A","",-EG80)</f>
        <v>-96.576352837922983</v>
      </c>
      <c r="EH183" s="482">
        <f t="shared" ref="EH183:EH210" si="742">+EI183-EG183</f>
        <v>-99.597249548990661</v>
      </c>
      <c r="EI183" s="1276">
        <f>IF(EI5="A","",-EI80)</f>
        <v>-196.17360238691364</v>
      </c>
      <c r="EJ183" s="568">
        <f>IF(EJ5="A","",-EJ80)</f>
        <v>-106.50062573824088</v>
      </c>
      <c r="EK183" s="482">
        <f t="shared" ref="EK183:EK210" si="743">+EL183-EJ183</f>
        <v>-109.82805932356963</v>
      </c>
      <c r="EL183" s="1276">
        <f>IF(EL5="A","",-EL80)</f>
        <v>-216.32868506181052</v>
      </c>
      <c r="EM183" s="568">
        <f>IF(EM5="A","",-EM80)</f>
        <v>-116.91708091689429</v>
      </c>
      <c r="EN183" s="482">
        <f t="shared" ref="EN183:EN210" si="744">+EO183-EM183</f>
        <v>-120.55909361513812</v>
      </c>
      <c r="EO183" s="1276">
        <f>IF(EO5="A","",-EO80)</f>
        <v>-237.47617453203242</v>
      </c>
      <c r="EP183" s="568">
        <f>IF(EP5="A","",-EP80)</f>
        <v>-128.00428244967401</v>
      </c>
      <c r="EQ183" s="482">
        <f t="shared" ref="EQ183:EQ210" si="745">+ER183-EP183</f>
        <v>-131.97407629075985</v>
      </c>
      <c r="ER183" s="1276">
        <f>IF(ER5="A","",-ER80)</f>
        <v>-259.97835874043386</v>
      </c>
      <c r="ES183" s="568">
        <f>IF(ES5="A","",-ES80)</f>
        <v>-140.10950010856655</v>
      </c>
      <c r="ET183" s="482">
        <f t="shared" ref="ET183:ET210" si="746">+EU183-ES183</f>
        <v>-144.4365753953501</v>
      </c>
      <c r="EU183" s="1276">
        <f>IF(EU5="A","",-EU80)</f>
        <v>-284.54607550391665</v>
      </c>
      <c r="EV183" s="568">
        <f>IF(EV5="A","",-EV80)</f>
        <v>-153.32666470959438</v>
      </c>
      <c r="EW183" s="482">
        <f t="shared" ref="EW183:EW210" si="747">+EX183-EV183</f>
        <v>-158.0431767721885</v>
      </c>
      <c r="EX183" s="1276">
        <f>IF(EX5="A","",-EX80)</f>
        <v>-311.36984148178288</v>
      </c>
      <c r="EY183" s="568">
        <f>IF(EY5="A","",-EY80)</f>
        <v>-167.75871020302904</v>
      </c>
      <c r="EZ183" s="482">
        <f t="shared" ref="EZ183:EZ210" si="748">+FA183-EY183</f>
        <v>-172.89970835125658</v>
      </c>
      <c r="FA183" s="1276">
        <f>IF(FA5="A","",-FA80)</f>
        <v>-340.65841855428562</v>
      </c>
      <c r="FE183"/>
      <c r="FF183"/>
      <c r="FG183"/>
      <c r="FH183"/>
      <c r="FI183"/>
      <c r="FJ183"/>
      <c r="FK183" s="35"/>
    </row>
    <row r="184" spans="1:167" s="236" customFormat="1" ht="13.35" customHeight="1" thickBot="1">
      <c r="B184" s="242" t="s">
        <v>545</v>
      </c>
      <c r="C184" s="242" t="s">
        <v>496</v>
      </c>
      <c r="D184" s="243"/>
      <c r="E184" s="509">
        <f>+E180+E181+E183</f>
        <v>0</v>
      </c>
      <c r="F184" s="509">
        <f t="shared" si="698"/>
        <v>0</v>
      </c>
      <c r="G184" s="509">
        <f>+G180+G181+G183</f>
        <v>0</v>
      </c>
      <c r="H184" s="509">
        <f>+H180+H181+H183</f>
        <v>0</v>
      </c>
      <c r="I184" s="509">
        <f t="shared" si="699"/>
        <v>0</v>
      </c>
      <c r="J184" s="509">
        <f>+J180+J181+J183</f>
        <v>0</v>
      </c>
      <c r="K184" s="509">
        <f>+K180+K181+K183</f>
        <v>0</v>
      </c>
      <c r="L184" s="509">
        <f t="shared" si="700"/>
        <v>0</v>
      </c>
      <c r="M184" s="509">
        <f>+M180+M181+M183</f>
        <v>0</v>
      </c>
      <c r="N184" s="509">
        <f>+N180+N181+N183</f>
        <v>0</v>
      </c>
      <c r="O184" s="509">
        <f t="shared" si="701"/>
        <v>0</v>
      </c>
      <c r="P184" s="509">
        <f>+P180+P181+P183</f>
        <v>0</v>
      </c>
      <c r="Q184" s="509">
        <f>+Q180+Q181+Q183</f>
        <v>0</v>
      </c>
      <c r="R184" s="509">
        <f t="shared" si="702"/>
        <v>0</v>
      </c>
      <c r="S184" s="509">
        <f>+S180+S181+S183</f>
        <v>0</v>
      </c>
      <c r="T184" s="509">
        <f>+T180+T181+T183</f>
        <v>0</v>
      </c>
      <c r="U184" s="509">
        <f t="shared" si="703"/>
        <v>0</v>
      </c>
      <c r="V184" s="509">
        <f>+V180+V181+V183</f>
        <v>0</v>
      </c>
      <c r="W184" s="509">
        <f>+W180+W181+W183</f>
        <v>0</v>
      </c>
      <c r="X184" s="509">
        <f t="shared" si="704"/>
        <v>0</v>
      </c>
      <c r="Y184" s="509">
        <f>+Y180+Y181+Y183</f>
        <v>0</v>
      </c>
      <c r="Z184" s="509">
        <f>+Z180+Z181+Z183</f>
        <v>0</v>
      </c>
      <c r="AA184" s="509">
        <f t="shared" si="705"/>
        <v>0</v>
      </c>
      <c r="AB184" s="509">
        <f>+AB180+AB181+AB183</f>
        <v>0</v>
      </c>
      <c r="AC184" s="509">
        <f>+AC180+AC181+AC183</f>
        <v>0</v>
      </c>
      <c r="AD184" s="509">
        <f t="shared" si="706"/>
        <v>0</v>
      </c>
      <c r="AE184" s="509">
        <f>+AE180+AE181+AE183</f>
        <v>0</v>
      </c>
      <c r="AF184" s="509">
        <f>+AF180+AF181+AF183</f>
        <v>0</v>
      </c>
      <c r="AG184" s="509">
        <f t="shared" si="707"/>
        <v>0</v>
      </c>
      <c r="AH184" s="509">
        <f>+AH180+AH181+AH183</f>
        <v>0</v>
      </c>
      <c r="AI184" s="509">
        <f>+AI180+AI181+AI183</f>
        <v>5.1360000000000001</v>
      </c>
      <c r="AJ184" s="509">
        <f t="shared" si="708"/>
        <v>7.1889999999999992</v>
      </c>
      <c r="AK184" s="509">
        <f>+AK180+AK181+AK183</f>
        <v>12.324999999999999</v>
      </c>
      <c r="AL184" s="509">
        <f>+AL180+AL181+AL183</f>
        <v>4.1430000000000007</v>
      </c>
      <c r="AM184" s="509">
        <f t="shared" si="709"/>
        <v>5.8759999999999977</v>
      </c>
      <c r="AN184" s="509">
        <f>+AN180+AN181+AN183</f>
        <v>10.018999999999998</v>
      </c>
      <c r="AO184" s="509">
        <f>+AO180+AO181+AO183</f>
        <v>3.1030000000000006</v>
      </c>
      <c r="AP184" s="509">
        <f t="shared" si="710"/>
        <v>7.4959999999999996</v>
      </c>
      <c r="AQ184" s="509">
        <f>+AQ180+AQ181+AQ183</f>
        <v>10.599</v>
      </c>
      <c r="AR184" s="509">
        <f>+AR180+AR181+AR183</f>
        <v>4.9179999999999993</v>
      </c>
      <c r="AS184" s="509">
        <f t="shared" si="711"/>
        <v>9.2330000000000023</v>
      </c>
      <c r="AT184" s="509">
        <f>+AT180+AT181+AT183</f>
        <v>14.151000000000002</v>
      </c>
      <c r="AU184" s="509">
        <f>+AU180+AU181+AU183</f>
        <v>5.5909999999999993</v>
      </c>
      <c r="AV184" s="509">
        <f t="shared" si="712"/>
        <v>12.438000000000001</v>
      </c>
      <c r="AW184" s="509">
        <f>+AW180+AW181+AW183</f>
        <v>18.029</v>
      </c>
      <c r="AX184" s="509">
        <f>+AX180+AX181+AX183</f>
        <v>11.585000000000001</v>
      </c>
      <c r="AY184" s="509">
        <f t="shared" si="713"/>
        <v>14.885000000000002</v>
      </c>
      <c r="AZ184" s="509">
        <f>+AZ180+AZ181+AZ183</f>
        <v>26.470000000000002</v>
      </c>
      <c r="BA184" s="509">
        <f>+BA180+BA181+BA183</f>
        <v>17.791000000000004</v>
      </c>
      <c r="BB184" s="509">
        <f t="shared" si="714"/>
        <v>15.966999999999992</v>
      </c>
      <c r="BC184" s="509">
        <f>+BC180+BC181+BC183</f>
        <v>33.757999999999996</v>
      </c>
      <c r="BD184" s="509">
        <f>+BD180+BD181+BD183</f>
        <v>23.423499999999997</v>
      </c>
      <c r="BE184" s="509">
        <f t="shared" si="715"/>
        <v>23.645500000000006</v>
      </c>
      <c r="BF184" s="509">
        <f>+BF180+BF181+BF183</f>
        <v>47.069000000000003</v>
      </c>
      <c r="BG184" s="509">
        <f>+BG180+BG181+BG183</f>
        <v>31.098999999999997</v>
      </c>
      <c r="BH184" s="509">
        <f t="shared" si="716"/>
        <v>39.567</v>
      </c>
      <c r="BI184" s="509">
        <f>+BI180+BI181+BI183</f>
        <v>70.665999999999997</v>
      </c>
      <c r="BJ184" s="509">
        <f>+BJ180+BJ181+BJ183</f>
        <v>27.228999999999999</v>
      </c>
      <c r="BK184" s="509">
        <f t="shared" si="717"/>
        <v>7.8500000000000085</v>
      </c>
      <c r="BL184" s="509">
        <f>+BL180+BL181+BL183</f>
        <v>35.079000000000008</v>
      </c>
      <c r="BM184" s="509">
        <f>+BM180+BM181+BM183</f>
        <v>34.405799999999999</v>
      </c>
      <c r="BN184" s="509">
        <f t="shared" si="718"/>
        <v>38.775199999999998</v>
      </c>
      <c r="BO184" s="509">
        <f>+BO180+BO181+BO183</f>
        <v>73.180999999999997</v>
      </c>
      <c r="BP184" s="509">
        <f>+BP180+BP181+BP183</f>
        <v>52.292800000000007</v>
      </c>
      <c r="BQ184" s="509">
        <f t="shared" si="719"/>
        <v>42.276199999999996</v>
      </c>
      <c r="BR184" s="509">
        <f>+BR180+BR181+BR183</f>
        <v>94.569000000000003</v>
      </c>
      <c r="BS184" s="509">
        <f>+BS180+BS181+BS183</f>
        <v>46.504280000000008</v>
      </c>
      <c r="BT184" s="509">
        <f t="shared" si="720"/>
        <v>61.72972</v>
      </c>
      <c r="BU184" s="509">
        <f>+BU180+BU181+BU183</f>
        <v>108.23400000000001</v>
      </c>
      <c r="BV184" s="509">
        <f>+BV180+BV181+BV183</f>
        <v>55.821439999999996</v>
      </c>
      <c r="BW184" s="509">
        <f t="shared" si="721"/>
        <v>68.820160000000016</v>
      </c>
      <c r="BX184" s="509">
        <f>+BX180+BX181+BX183</f>
        <v>124.64160000000001</v>
      </c>
      <c r="BY184" s="509">
        <f>+BY180+BY181+BY183</f>
        <v>66.882000000000005</v>
      </c>
      <c r="BZ184" s="509">
        <f t="shared" si="722"/>
        <v>75.998000000000019</v>
      </c>
      <c r="CA184" s="509">
        <f>+CA180+CA181+CA183</f>
        <v>142.88000000000002</v>
      </c>
      <c r="CB184" s="509">
        <f>+CB180+CB181+CB183</f>
        <v>97.509399999999999</v>
      </c>
      <c r="CC184" s="509">
        <f t="shared" si="723"/>
        <v>86.031600000000026</v>
      </c>
      <c r="CD184" s="509">
        <f>+CD180+CD181+CD183</f>
        <v>183.54100000000003</v>
      </c>
      <c r="CE184" s="509">
        <f>+CE180+CE181+CE183</f>
        <v>98.146680000000018</v>
      </c>
      <c r="CF184" s="509">
        <f t="shared" si="724"/>
        <v>112.79732</v>
      </c>
      <c r="CG184" s="509">
        <f>+CG180+CG181+CG183</f>
        <v>210.94400000000002</v>
      </c>
      <c r="CH184" s="509">
        <f>+CH180+CH181+CH183</f>
        <v>94.482679999999988</v>
      </c>
      <c r="CI184" s="509">
        <f t="shared" si="725"/>
        <v>99.561320000000023</v>
      </c>
      <c r="CJ184" s="509">
        <f>+CJ180+CJ181+CJ183</f>
        <v>194.04400000000001</v>
      </c>
      <c r="CK184" s="509">
        <f>+CK180+CK181+CK183</f>
        <v>87.824680000000001</v>
      </c>
      <c r="CL184" s="509">
        <f t="shared" si="726"/>
        <v>68.839319999999987</v>
      </c>
      <c r="CM184" s="509">
        <f>+CM180+CM181+CM183</f>
        <v>156.66399999999999</v>
      </c>
      <c r="CN184" s="509">
        <f>+CN180+CN181+CN183</f>
        <v>44.410319999999992</v>
      </c>
      <c r="CO184" s="509">
        <f t="shared" si="727"/>
        <v>94.542680000000018</v>
      </c>
      <c r="CP184" s="509">
        <f>+CP180+CP181+CP183</f>
        <v>138.953</v>
      </c>
      <c r="CQ184" s="509">
        <f>+CQ180+CQ181+CQ183</f>
        <v>89.414422690324884</v>
      </c>
      <c r="CR184" s="509">
        <f t="shared" si="728"/>
        <v>101.52773980967511</v>
      </c>
      <c r="CS184" s="509">
        <f>+CS180+CS181+CS183</f>
        <v>190.94216249999999</v>
      </c>
      <c r="CT184" s="509">
        <f>+CT180+CT181+CT183</f>
        <v>91.754400000000004</v>
      </c>
      <c r="CU184" s="509">
        <f t="shared" si="729"/>
        <v>103.97459999999998</v>
      </c>
      <c r="CV184" s="509">
        <f>+CV180+CV181+CV183</f>
        <v>195.72899999999998</v>
      </c>
      <c r="CW184" s="509">
        <f>+CW180+CW181+CW183</f>
        <v>130.59139999999996</v>
      </c>
      <c r="CX184" s="509">
        <f t="shared" si="730"/>
        <v>125.06140880000004</v>
      </c>
      <c r="CY184" s="509">
        <f>+CY180+CY181+CY183</f>
        <v>255.6528088</v>
      </c>
      <c r="CZ184" s="509">
        <f>+CZ180+CZ181+CZ183</f>
        <v>117.0119792</v>
      </c>
      <c r="DA184" s="509">
        <f t="shared" si="731"/>
        <v>156.38802079999999</v>
      </c>
      <c r="DB184" s="509">
        <f>+DB180+DB181+DB183</f>
        <v>273.39999999999998</v>
      </c>
      <c r="DC184" s="509">
        <f>+DC180+DC181+DC183</f>
        <v>145.10765000000004</v>
      </c>
      <c r="DD184" s="509">
        <f t="shared" si="732"/>
        <v>164.89184999999998</v>
      </c>
      <c r="DE184" s="509">
        <f>+DE180+DE181+DE183</f>
        <v>309.99950000000001</v>
      </c>
      <c r="DF184" s="509">
        <f>+DF180+DF181+DF183+DF182</f>
        <v>154.72721595023711</v>
      </c>
      <c r="DG184" s="509">
        <f t="shared" si="740"/>
        <v>40.700592859286729</v>
      </c>
      <c r="DH184" s="1255">
        <f>+DH180+DH181+DH183+DH182</f>
        <v>195.42780880952384</v>
      </c>
      <c r="DI184" s="482">
        <f>+DI180+DI181+DI183+DI182</f>
        <v>167.28100000000001</v>
      </c>
      <c r="DJ184" s="482">
        <f t="shared" si="733"/>
        <v>220.41900000000004</v>
      </c>
      <c r="DK184" s="1244">
        <f>+DK180+DK181+DK183+DK182</f>
        <v>387.70000000000005</v>
      </c>
      <c r="DL184" s="482">
        <f>+DL180+DL181+DL183+DL182</f>
        <v>214.20000000000002</v>
      </c>
      <c r="DM184" s="482">
        <f t="shared" si="734"/>
        <v>230.79999999999998</v>
      </c>
      <c r="DN184" s="1244">
        <f>+DN180+DN181+DN183+DN182</f>
        <v>445</v>
      </c>
      <c r="DO184" s="482">
        <f>+DO180+DO181+DO183+DO182</f>
        <v>191.70000000000002</v>
      </c>
      <c r="DP184" s="482">
        <f t="shared" si="735"/>
        <v>251.59999999999994</v>
      </c>
      <c r="DQ184" s="1244">
        <f>+DQ180+DQ181+DQ183+DQ182</f>
        <v>443.29999999999995</v>
      </c>
      <c r="DR184" s="482">
        <f>+DR180+DR181+DR183+DR182</f>
        <v>257.99999999999994</v>
      </c>
      <c r="DS184" s="482">
        <f t="shared" si="736"/>
        <v>240.30000000000007</v>
      </c>
      <c r="DT184" s="1244">
        <f>+DT180+DT181+DT183+DT182</f>
        <v>498.3</v>
      </c>
      <c r="DU184" s="482">
        <f>+DU180+DU181+DU183+DU182</f>
        <v>253</v>
      </c>
      <c r="DV184" s="482">
        <f t="shared" si="741"/>
        <v>236.10000000000002</v>
      </c>
      <c r="DW184" s="1244">
        <f>+DW180+DW181+DW183+DW182</f>
        <v>489.1</v>
      </c>
      <c r="DX184" s="482">
        <f>+DX180+DX181+DX183+DX182</f>
        <v>229.20000000000005</v>
      </c>
      <c r="DY184" s="482">
        <f>+DY180+DY181+DY183+DY182</f>
        <v>272.01782027683845</v>
      </c>
      <c r="DZ184" s="1244">
        <f>+DZ180+DZ181+DZ183+DZ182</f>
        <v>501.21782027683855</v>
      </c>
      <c r="EA184" s="482">
        <f>+EA180+EA181+EA183+EA182</f>
        <v>290.56253583035846</v>
      </c>
      <c r="EB184" s="482">
        <f t="shared" si="738"/>
        <v>299.50210177990004</v>
      </c>
      <c r="EC184" s="1244">
        <f>+EC180+EC181+EC183+EC182</f>
        <v>590.0646376102585</v>
      </c>
      <c r="ED184" s="482">
        <f>+ED180+ED181+ED183+ED182</f>
        <v>313.64920989471784</v>
      </c>
      <c r="EE184" s="482">
        <f t="shared" si="739"/>
        <v>323.45707805628615</v>
      </c>
      <c r="EF184" s="1244">
        <f>+EF180+EF181+EF183+EF182</f>
        <v>637.10628795100399</v>
      </c>
      <c r="EG184" s="482">
        <f>+EG180+EG181+EG183+EG182</f>
        <v>347.28929147954096</v>
      </c>
      <c r="EH184" s="482">
        <f t="shared" si="742"/>
        <v>358.132482103423</v>
      </c>
      <c r="EI184" s="1244">
        <f>+EI180+EI181+EI183+EI182</f>
        <v>705.42177358296397</v>
      </c>
      <c r="EJ184" s="482">
        <f>+EJ180+EJ181+EJ183+EJ182</f>
        <v>382.24253114741413</v>
      </c>
      <c r="EK184" s="482">
        <f t="shared" si="743"/>
        <v>394.16557743824063</v>
      </c>
      <c r="EL184" s="1244">
        <f>+EL180+EL181+EL183+EL182</f>
        <v>776.40810858565476</v>
      </c>
      <c r="EM184" s="482">
        <f>+EM180+EM181+EM183+EM182</f>
        <v>419.13855553731656</v>
      </c>
      <c r="EN184" s="482">
        <f t="shared" si="744"/>
        <v>432.18000626502368</v>
      </c>
      <c r="EO184" s="1244">
        <f>+EO180+EO181+EO183+EO182</f>
        <v>851.31856180234024</v>
      </c>
      <c r="EP184" s="482">
        <f>+EP180+EP181+EP183+EP182</f>
        <v>458.55501828645276</v>
      </c>
      <c r="EQ184" s="482">
        <f t="shared" si="745"/>
        <v>472.77019957965376</v>
      </c>
      <c r="ER184" s="1244">
        <f>+ER180+ER181+ER183+ER182</f>
        <v>931.32521786610653</v>
      </c>
      <c r="ES184" s="482">
        <f>+ES180+ES181+ES183+ES182</f>
        <v>501.57946664749915</v>
      </c>
      <c r="ET184" s="482">
        <f t="shared" si="746"/>
        <v>517.07401425708827</v>
      </c>
      <c r="EU184" s="1244">
        <f>+EU180+EU181+EU183+EU182</f>
        <v>1018.6534809045874</v>
      </c>
      <c r="EV184" s="482">
        <f>+EV180+EV181+EV183+EV182</f>
        <v>548.54354741954467</v>
      </c>
      <c r="EW184" s="482">
        <f t="shared" si="747"/>
        <v>565.43260431399676</v>
      </c>
      <c r="EX184" s="1244">
        <f>+EX180+EX181+EX183+EX182</f>
        <v>1113.9761517335414</v>
      </c>
      <c r="EY184" s="482">
        <f>+EY180+EY181+EY183+EY182</f>
        <v>599.81040369601715</v>
      </c>
      <c r="EZ184" s="482">
        <f t="shared" si="748"/>
        <v>618.21947571097007</v>
      </c>
      <c r="FA184" s="1244">
        <f>+FA180+FA181+FA183+FA182</f>
        <v>1218.0298794069872</v>
      </c>
      <c r="FE184"/>
      <c r="FF184"/>
      <c r="FG184"/>
      <c r="FH184"/>
      <c r="FI184"/>
      <c r="FJ184"/>
      <c r="FK184" s="35"/>
    </row>
    <row r="185" spans="1:167" s="236" customFormat="1" ht="13.35" customHeight="1">
      <c r="B185" s="242" t="s">
        <v>546</v>
      </c>
      <c r="C185" s="242" t="s">
        <v>496</v>
      </c>
      <c r="D185" s="243"/>
      <c r="E185" s="511"/>
      <c r="F185" s="482">
        <f t="shared" si="698"/>
        <v>0</v>
      </c>
      <c r="G185" s="571"/>
      <c r="H185" s="513"/>
      <c r="I185" s="482">
        <f t="shared" si="699"/>
        <v>0</v>
      </c>
      <c r="J185" s="571"/>
      <c r="K185" s="513"/>
      <c r="L185" s="482">
        <f t="shared" si="700"/>
        <v>0</v>
      </c>
      <c r="M185" s="571"/>
      <c r="N185" s="513"/>
      <c r="O185" s="482">
        <f t="shared" si="701"/>
        <v>0</v>
      </c>
      <c r="P185" s="571"/>
      <c r="Q185" s="513"/>
      <c r="R185" s="482">
        <f t="shared" si="702"/>
        <v>0</v>
      </c>
      <c r="S185" s="571"/>
      <c r="T185" s="513"/>
      <c r="U185" s="482">
        <f t="shared" si="703"/>
        <v>0</v>
      </c>
      <c r="V185" s="571"/>
      <c r="W185" s="513"/>
      <c r="X185" s="482">
        <f t="shared" si="704"/>
        <v>0</v>
      </c>
      <c r="Y185" s="571"/>
      <c r="Z185" s="513"/>
      <c r="AA185" s="482">
        <f t="shared" si="705"/>
        <v>0</v>
      </c>
      <c r="AB185" s="571"/>
      <c r="AC185" s="513"/>
      <c r="AD185" s="482">
        <f t="shared" si="706"/>
        <v>0</v>
      </c>
      <c r="AE185" s="571"/>
      <c r="AF185" s="513"/>
      <c r="AG185" s="482">
        <f t="shared" si="707"/>
        <v>0</v>
      </c>
      <c r="AH185" s="571"/>
      <c r="AI185" s="513"/>
      <c r="AJ185" s="482">
        <f t="shared" si="708"/>
        <v>0</v>
      </c>
      <c r="AK185" s="571"/>
      <c r="AL185" s="514">
        <v>0.8</v>
      </c>
      <c r="AM185" s="482">
        <f t="shared" si="709"/>
        <v>0.82899999999999996</v>
      </c>
      <c r="AN185" s="572">
        <v>1.629</v>
      </c>
      <c r="AO185" s="513"/>
      <c r="AP185" s="482">
        <f t="shared" si="710"/>
        <v>-5.827</v>
      </c>
      <c r="AQ185" s="572">
        <v>-5.827</v>
      </c>
      <c r="AR185" s="573">
        <f>-((AR231-AQ231)+(AR236-AQ236)-(AR266-AQ266))</f>
        <v>-3.722999999999999</v>
      </c>
      <c r="AS185" s="482">
        <f t="shared" si="711"/>
        <v>-1.878000000000001</v>
      </c>
      <c r="AT185" s="572">
        <v>-5.601</v>
      </c>
      <c r="AU185" s="573">
        <f>-((AU231-AT231)+(AU236-AT236)-(AU266-AT266))</f>
        <v>-1.3410000000000011</v>
      </c>
      <c r="AV185" s="482">
        <f t="shared" si="712"/>
        <v>7.8450000000000006</v>
      </c>
      <c r="AW185" s="571">
        <f>-((AW231-AT231)+(AW236-AT236)-(AW266-AT266))</f>
        <v>6.5039999999999996</v>
      </c>
      <c r="AX185" s="573">
        <f>-((AX231-AW231)+(AX236-AW236)-(AX266-AW266))</f>
        <v>-3.3839999999999986</v>
      </c>
      <c r="AY185" s="482">
        <f t="shared" si="713"/>
        <v>-10.054999999999998</v>
      </c>
      <c r="AZ185" s="571">
        <f>-((AZ231-AW231)+(AZ236-AW236)-(AZ266-AW266))</f>
        <v>-13.438999999999997</v>
      </c>
      <c r="BA185" s="573">
        <f>-((BA231-AZ231)+(BA236-AZ236)-(BA266-AZ266))</f>
        <v>-11.568000000000003</v>
      </c>
      <c r="BB185" s="482">
        <f t="shared" si="714"/>
        <v>-3.5220000000000002</v>
      </c>
      <c r="BC185" s="571">
        <f>-((BC231-AZ231)+(BC236-AZ236)-(BC266-AZ266))</f>
        <v>-15.090000000000003</v>
      </c>
      <c r="BD185" s="573">
        <f>-((BD231-BC231)+(BD236-BC236)-(BD266-BC266))</f>
        <v>-27.292999999999996</v>
      </c>
      <c r="BE185" s="482">
        <f t="shared" si="715"/>
        <v>-18.167000000000012</v>
      </c>
      <c r="BF185" s="571">
        <f>-((BF231-BC231)+(BF236-BC236)-(BF266-BC266))</f>
        <v>-45.460000000000008</v>
      </c>
      <c r="BG185" s="573">
        <f>(-((BG231-BF231)+(BG236-BF236)-(BG266-BF266))+BG582+BG583+BG596)</f>
        <v>15.540000000000017</v>
      </c>
      <c r="BH185" s="482">
        <f t="shared" si="716"/>
        <v>-25.273000000000014</v>
      </c>
      <c r="BI185" s="571">
        <f>(-((BI231-BF231)+(BI236-BF236)-(BI266-BF266))+BI582+BI583+BI596)</f>
        <v>-9.732999999999997</v>
      </c>
      <c r="BJ185" s="573">
        <f>(-((BJ231-BI231)+(BJ236-BI236)-(BJ266-BI266))+BJ582+BJ583+BJ596)</f>
        <v>23.109000000000005</v>
      </c>
      <c r="BK185" s="482">
        <f t="shared" si="717"/>
        <v>-37.534000000000006</v>
      </c>
      <c r="BL185" s="571">
        <f>(((BL231-BI231)+(BL236-BI236)-(BL266-BI266))+BL582+BL583+BL596)</f>
        <v>-14.424999999999997</v>
      </c>
      <c r="BM185" s="573">
        <f>(-((BM231-BL231)+(BM236-BL236)-(BM266-BL266))+BM582+BM583+BM596)</f>
        <v>1.6190000000000175</v>
      </c>
      <c r="BN185" s="482">
        <f t="shared" si="718"/>
        <v>-16.135000000000012</v>
      </c>
      <c r="BO185" s="574">
        <f>(-((BO231-BL231)+(BO236-BL236)-(BO266-BL266))+BO582+BO583+BO596)</f>
        <v>-14.515999999999995</v>
      </c>
      <c r="BP185" s="573">
        <f>(-((BP231-BO231)+(BP236-BO236)-(BP266-BO266))+BP582+BP583+BP596)</f>
        <v>-17.97399999999999</v>
      </c>
      <c r="BQ185" s="482">
        <f t="shared" si="719"/>
        <v>-16.539000000000016</v>
      </c>
      <c r="BR185" s="574">
        <f>(-((BR231-BO231)+(BR236-BO236)-(BR266-BO266))+BR582+BR583+BR596)</f>
        <v>-34.513000000000005</v>
      </c>
      <c r="BS185" s="573">
        <f>(-((BS231-BR231)+(BS236-BR236)-(BS266-BR266))+BS582+BS583+BS596)</f>
        <v>-7.8369999999999962</v>
      </c>
      <c r="BT185" s="482">
        <f t="shared" si="720"/>
        <v>-36.340999999999987</v>
      </c>
      <c r="BU185" s="574">
        <f>(-((BU231-BR231)+(BU236-BR236)-(BU266-BR266))+BU582+BU583+BU596)</f>
        <v>-44.177999999999983</v>
      </c>
      <c r="BV185" s="573">
        <f>(-((BV231-BU231)+(BV236-BU236)-(BV266-BU266))+BV582+BV583+BV596)</f>
        <v>-22.591000000000008</v>
      </c>
      <c r="BW185" s="482">
        <f t="shared" si="721"/>
        <v>-15.970999999999989</v>
      </c>
      <c r="BX185" s="574">
        <f>(-((BX231-BU231)+(BX236-BU236)-(BX266-BU266))+BX582+BX583+BX596)</f>
        <v>-38.561999999999998</v>
      </c>
      <c r="BY185" s="573">
        <f>(-((BY231-BX231)+(BY236-BX236)-(BY266-BX266))+BY582+BY583+BY596)</f>
        <v>30.60199999999999</v>
      </c>
      <c r="BZ185" s="482">
        <f t="shared" si="722"/>
        <v>-33.316000000000003</v>
      </c>
      <c r="CA185" s="574">
        <f>(-((CA231-BX231)+(CA236-BX236)-(CA266-BX266))+CA582+CA583+CA596)</f>
        <v>-2.7140000000000128</v>
      </c>
      <c r="CB185" s="573">
        <f>(-((CB231-CA231)+(CB236-CA236)-(CB266-CA266))+CB582+CB583+CB596)</f>
        <v>-31.216000000000015</v>
      </c>
      <c r="CC185" s="482">
        <f t="shared" si="723"/>
        <v>1.2010000000000289</v>
      </c>
      <c r="CD185" s="574">
        <f>(-((CD231-CA231)+(CD236-CA236)-(CD266-CA266))+CD582+CD583+CD596)</f>
        <v>-30.014999999999986</v>
      </c>
      <c r="CE185" s="573">
        <f>(-((CE231-CD231)+(CE236-CD236)-(CE266-CD266))+CE582+CE583+CE596)</f>
        <v>-26.344999999999999</v>
      </c>
      <c r="CF185" s="482">
        <f t="shared" si="724"/>
        <v>11.32399999999997</v>
      </c>
      <c r="CG185" s="574">
        <f>(-((CG231-CD231)+(CG236-CD236)-(CG266-CD266))+CG582+CG583+CG596)</f>
        <v>-15.021000000000029</v>
      </c>
      <c r="CH185" s="573">
        <f>(-((CH231-CG231)+(CH236-CG236)-(CH266-CG266))+CH582+CH583+CH596)</f>
        <v>53.610000000000014</v>
      </c>
      <c r="CI185" s="482">
        <f t="shared" si="725"/>
        <v>15.579999999999998</v>
      </c>
      <c r="CJ185" s="574">
        <f>(-((CJ231-CG231)+(CJ236-CG236)-(CJ266-CG266))+CJ582+CJ583+CJ596)</f>
        <v>69.190000000000012</v>
      </c>
      <c r="CK185" s="573">
        <f>(-((CK231-CJ231)+(CK236-CJ236)-(CK266-CJ266))+CK582+CK583+CK596)</f>
        <v>-44.665999999999997</v>
      </c>
      <c r="CL185" s="482">
        <f t="shared" si="726"/>
        <v>-3.7019999999999982</v>
      </c>
      <c r="CM185" s="574">
        <f>(-((CM231-CJ231)+(CM236-CJ236)-(CM266-CJ266))+CM582+CM583+CM596)</f>
        <v>-48.367999999999995</v>
      </c>
      <c r="CN185" s="573">
        <f>(-((CN231-CM231)+(CN236-CM236)-(CN266-CM266))+CN582+CN583+CN596)</f>
        <v>1.8900000000000006</v>
      </c>
      <c r="CO185" s="482">
        <f t="shared" si="727"/>
        <v>-28.278999999999996</v>
      </c>
      <c r="CP185" s="574">
        <f>(-((CP231-CM231)+(CP236-CM236)-(CP266-CM266))+CP582+CP583+CP596)</f>
        <v>-26.388999999999996</v>
      </c>
      <c r="CQ185" s="573">
        <f>(-((CQ231-CP231)+(CQ236-CP236)-(CQ266-CP266))+CQ582+CQ583+CQ596)</f>
        <v>-15.872000000000014</v>
      </c>
      <c r="CR185" s="482">
        <f t="shared" si="728"/>
        <v>-18.805999999999983</v>
      </c>
      <c r="CS185" s="574">
        <f>(-((CS231-CP231)+(CS236-CP236)-(CS266-CP266))+CS582+CS583+CS596)</f>
        <v>-34.677999999999997</v>
      </c>
      <c r="CT185" s="573">
        <f>(-((CT231-CS231)+(CT236-CS236)-(CT266-CS266))+CT582+CT583+CT596)</f>
        <v>-17.894999999999996</v>
      </c>
      <c r="CU185" s="482">
        <f t="shared" si="729"/>
        <v>-19.633000000000038</v>
      </c>
      <c r="CV185" s="574">
        <f>(-((CV231-CS231)+(CV236-CS236)-(CV266-CS266))+CV582+CV583+CV596)</f>
        <v>-37.528000000000034</v>
      </c>
      <c r="CW185" s="573">
        <f>(-((CW231-CV231)+(CW236-CV236)-(CW266-CV266))+CW582+CW583+CW596)</f>
        <v>-19.772999999999982</v>
      </c>
      <c r="CX185" s="482">
        <f t="shared" si="730"/>
        <v>17.231999999999999</v>
      </c>
      <c r="CY185" s="574">
        <f>-((CY231-CV231)+(CY236-CV236)-(CY266-CV266))+CY582+CY583+CY596</f>
        <v>-2.5409999999999826</v>
      </c>
      <c r="CZ185" s="573">
        <f>(-((CZ231-CY231)+(CZ236-CY236)-(CZ266-CY266))+CZ582+CZ583+CZ596)</f>
        <v>-25.630999999999986</v>
      </c>
      <c r="DA185" s="482">
        <f t="shared" si="731"/>
        <v>21.700000000000003</v>
      </c>
      <c r="DB185" s="574">
        <f>(-((DB231-CY231)+(DB236-CY236)-(DB266-CY266))+DB582+DB583+DB596)</f>
        <v>-3.9309999999999832</v>
      </c>
      <c r="DC185" s="573">
        <f>(-((DC231-DB231)+(DC236-DB236)-(DC266-DB266))+DC582+DC583+DC596)</f>
        <v>17.399999999999977</v>
      </c>
      <c r="DD185" s="482">
        <f t="shared" si="732"/>
        <v>-28.099999999999966</v>
      </c>
      <c r="DE185" s="574">
        <f>(-((DE231-DB231)+(DE236-DB236)-(DE266-DB266))+DE582+DE583+DE596)</f>
        <v>-10.699999999999989</v>
      </c>
      <c r="DF185" s="573">
        <f>(-((DF231-DE231)+(DF236-DE236)-(DF266-DE266))+DF582+DF583+DF596)</f>
        <v>-8.1000000000000227</v>
      </c>
      <c r="DG185" s="482">
        <f t="shared" si="740"/>
        <v>62.400000000000006</v>
      </c>
      <c r="DH185" s="1277">
        <f>(-((DH231-DE231)+(DH236-DE236)-(DH266-DE266))+DH582+DH583+DH596)</f>
        <v>54.299999999999983</v>
      </c>
      <c r="DI185" s="568">
        <f>(-((DI231-DH231)+(DI236-DH236)-(DI266-DH266))+DI582+DI583+DI596)</f>
        <v>6.9000000000000057</v>
      </c>
      <c r="DJ185" s="482">
        <f t="shared" si="733"/>
        <v>-16.400000000000006</v>
      </c>
      <c r="DK185" s="1276">
        <f>(-((DK231-DH231)+(DK236-DH236)-(DK266-DH266))+DK582+DK583+DK596)</f>
        <v>-9.5</v>
      </c>
      <c r="DL185" s="568">
        <f>(-((DL231-DK231)+(DL236-DK236)-(DL266-DK266))+DL582+DL583+DL596)</f>
        <v>-76.399999999999977</v>
      </c>
      <c r="DM185" s="482">
        <f t="shared" si="734"/>
        <v>-0.40000000000000568</v>
      </c>
      <c r="DN185" s="1276">
        <f>-((DN231-DK231)+(DN236-DK236)-(DN266-DK266))+DN582+DN583+DN596</f>
        <v>-76.799999999999983</v>
      </c>
      <c r="DO185" s="568">
        <f>(-((DO231-DN231)+(DO236-DN236)-(DO266-DN266))+DO582+DO583+DO596)</f>
        <v>-89.1</v>
      </c>
      <c r="DP185" s="482">
        <f t="shared" si="735"/>
        <v>-3.2000000000000455</v>
      </c>
      <c r="DQ185" s="1276">
        <f>(-((DQ231-DN231)+(DQ236-DN236)-(DQ266-DN266))+DQ582+DQ583+DQ596)</f>
        <v>-92.30000000000004</v>
      </c>
      <c r="DR185" s="568">
        <f>(-((DR231-DQ231)+(DR236-DQ236)-(DR266-DQ266))+DR582+DR583+DR596)</f>
        <v>-41.599999999999994</v>
      </c>
      <c r="DS185" s="482">
        <f t="shared" si="736"/>
        <v>-58.900000000000006</v>
      </c>
      <c r="DT185" s="1276">
        <f>(-((DT231-DQ231)+(DT236-DQ236)-(DT266-DQ266))+DT582+DT583+DT596)</f>
        <v>-100.5</v>
      </c>
      <c r="DU185" s="568">
        <f>(-((DU231-DT231)+(DU236-DT236)-(DU266-DT266))+DU582+DU583+DU596)</f>
        <v>-98.100000000000023</v>
      </c>
      <c r="DV185" s="482">
        <f t="shared" si="741"/>
        <v>-109.69999999999993</v>
      </c>
      <c r="DW185" s="1276">
        <f>(-((DW231-DT231)+(DW236-DT236)-(DW266-DT266))+DW582+DW583+DW596)</f>
        <v>-207.79999999999995</v>
      </c>
      <c r="DX185" s="568">
        <f>(-((DX231-DW231)+(DX236-DW236)-(DX266-DW266))+DX582+DX583+DX596)</f>
        <v>-47.60000000000008</v>
      </c>
      <c r="DY185" s="568">
        <f>IF(DY5="A","",-((DY231-DX231)+(DY236-DX236)-(DY266-DX266))+DY582+DY583+DY596)</f>
        <v>-63.879586414770927</v>
      </c>
      <c r="DZ185" s="1276">
        <f>SUM(DX185:DY185)</f>
        <v>-111.47958641477101</v>
      </c>
      <c r="EA185" s="568">
        <f>IF(EA5="A","",-((EA231-DZ231)+(EA236-DZ236)-(EA266-DZ266))+EA582+EA583+EA596)</f>
        <v>7.4609243968277497</v>
      </c>
      <c r="EB185" s="482">
        <f t="shared" si="738"/>
        <v>-13.724338568898645</v>
      </c>
      <c r="EC185" s="1276">
        <f>IF(EC5="A","",-((EC231-DZ231)+(EC236-DZ236)-(EC266-DZ266))+EC582+EC583+EC596)</f>
        <v>-6.2634141720708953</v>
      </c>
      <c r="ED185" s="568">
        <f>IF(ED5="A","",-((ED231-EC231)+(ED236-EC236)-(ED266-EC266))+ED582+ED583+ED596)</f>
        <v>-30.805084309059794</v>
      </c>
      <c r="EE185" s="482">
        <f t="shared" si="739"/>
        <v>-14.468024957024454</v>
      </c>
      <c r="EF185" s="1276">
        <f>IF(EF5="A","",-((EF231-EC231)+(EF236-EC236)-(EF266-EC266))+EF582+EF583+EF596)</f>
        <v>-45.273109266084248</v>
      </c>
      <c r="EG185" s="568">
        <f>IF(EG5="A","",-((EG231-EF231)+(EG236-EF236)-(EG266-EF266))+EG582+EG583+EG596)</f>
        <v>-36.830740988879597</v>
      </c>
      <c r="EH185" s="482">
        <f t="shared" si="742"/>
        <v>-15.261432777248672</v>
      </c>
      <c r="EI185" s="1276">
        <f>IF(EI5="A","",-((EI231-EF231)+(EI236-EF236)-(EI266-EF266))+EI582+EI583+EI596)</f>
        <v>-52.092173766128269</v>
      </c>
      <c r="EJ185" s="568">
        <f>IF(EJ5="A","",-((EJ231-EI231)+(EJ236-EI236)-(EJ266-EI266))+EJ582+EJ583+EJ596)</f>
        <v>-37.693981551261743</v>
      </c>
      <c r="EK185" s="482">
        <f t="shared" si="743"/>
        <v>-16.080463002960698</v>
      </c>
      <c r="EL185" s="1276">
        <f>IF(EL5="A","",-((EL231-EI231)+(EL236-EI236)-(EL266-EI266))+EL582+EL583+EL596)</f>
        <v>-53.774444554222441</v>
      </c>
      <c r="EM185" s="568">
        <f>IF(EM5="A","",-((EM231-EL231)+(EM236-EL236)-(EM266-EL266))+EM582+EM583+EM596)</f>
        <v>-38.414276412862762</v>
      </c>
      <c r="EN185" s="482">
        <f t="shared" si="744"/>
        <v>-16.923301063805695</v>
      </c>
      <c r="EO185" s="1276">
        <f>IF(EO5="A","",-((EO231-EL231)+(EO236-EL236)-(EO266-EL266))+EO582+EO583+EO596)</f>
        <v>-55.337577476668457</v>
      </c>
      <c r="EP185" s="568">
        <f>IF(EP5="A","",-((EP231-EO231)+(EP236-EO236)-(EP266-EO266))+EP582+EP583+EP596)</f>
        <v>-38.958903098986355</v>
      </c>
      <c r="EQ185" s="482">
        <f t="shared" si="745"/>
        <v>-17.787598225278828</v>
      </c>
      <c r="ER185" s="1276">
        <f>IF(ER5="A","",-((ER231-EO231)+(ER236-EO236)-(ER266-EO266))+ER582+ER583+ER596)</f>
        <v>-56.746501324265182</v>
      </c>
      <c r="ES185" s="568">
        <f>IF(ES5="A","",-((ES231-ER231)+(ES236-ER236)-(ES266-ER266))+ES582+ES583+ES596)</f>
        <v>-39.290406949668522</v>
      </c>
      <c r="ET185" s="482">
        <f t="shared" si="746"/>
        <v>-18.670390137199774</v>
      </c>
      <c r="EU185" s="1276">
        <f>IF(EU5="A","",-((EU231-ER231)+(EU236-ER236)-(EU266-ER266))+EU582+EU583+EU596)</f>
        <v>-57.960797086868297</v>
      </c>
      <c r="EV185" s="568">
        <f>IF(EV5="A","",-((EV231-EU231)+(EV236-EU236)-(EV266-EU266))+EV582+EV583+EV596)</f>
        <v>-39.366014378371233</v>
      </c>
      <c r="EW185" s="482">
        <f t="shared" si="747"/>
        <v>-19.568005047642146</v>
      </c>
      <c r="EX185" s="1276">
        <f>IF(EX5="A","",-((EX231-EU231)+(EX236-EU236)-(EX266-EU266))+EX582+EX583+EX596)</f>
        <v>-58.934019426013379</v>
      </c>
      <c r="EY185" s="568">
        <f>IF(EY5="A","",-((EY231-EX231)+(EY236-EX236)-(EY266-EX266))+EY582+EY583+EY596)</f>
        <v>-39.136978847948171</v>
      </c>
      <c r="EZ185" s="482">
        <f t="shared" si="748"/>
        <v>-20.475960481853008</v>
      </c>
      <c r="FA185" s="1276">
        <f>IF(FA5="A","",-((FA231-EX231)+(FA236-EX236)-(FA266-EX266))+FA582+FA583+FA596)</f>
        <v>-59.612939329801179</v>
      </c>
      <c r="FE185"/>
      <c r="FF185"/>
      <c r="FG185"/>
      <c r="FH185"/>
      <c r="FI185"/>
      <c r="FJ185"/>
      <c r="FK185" s="35"/>
    </row>
    <row r="186" spans="1:167" s="236" customFormat="1" ht="13.35" customHeight="1" thickBot="1">
      <c r="B186" s="242" t="s">
        <v>547</v>
      </c>
      <c r="C186" s="242" t="s">
        <v>496</v>
      </c>
      <c r="D186" s="243"/>
      <c r="E186" s="528"/>
      <c r="F186" s="482">
        <f t="shared" si="698"/>
        <v>0</v>
      </c>
      <c r="G186" s="575"/>
      <c r="H186" s="530"/>
      <c r="I186" s="482">
        <f t="shared" si="699"/>
        <v>0</v>
      </c>
      <c r="J186" s="575"/>
      <c r="K186" s="530"/>
      <c r="L186" s="482">
        <f t="shared" si="700"/>
        <v>0</v>
      </c>
      <c r="M186" s="575"/>
      <c r="N186" s="530"/>
      <c r="O186" s="482">
        <f t="shared" si="701"/>
        <v>0</v>
      </c>
      <c r="P186" s="575"/>
      <c r="Q186" s="530"/>
      <c r="R186" s="482">
        <f t="shared" si="702"/>
        <v>0</v>
      </c>
      <c r="S186" s="575"/>
      <c r="T186" s="530"/>
      <c r="U186" s="482">
        <f t="shared" si="703"/>
        <v>0</v>
      </c>
      <c r="V186" s="575"/>
      <c r="W186" s="530"/>
      <c r="X186" s="482">
        <f t="shared" si="704"/>
        <v>0</v>
      </c>
      <c r="Y186" s="575"/>
      <c r="Z186" s="530"/>
      <c r="AA186" s="482">
        <f t="shared" si="705"/>
        <v>0</v>
      </c>
      <c r="AB186" s="575"/>
      <c r="AC186" s="530"/>
      <c r="AD186" s="482">
        <f t="shared" si="706"/>
        <v>0</v>
      </c>
      <c r="AE186" s="575"/>
      <c r="AF186" s="530"/>
      <c r="AG186" s="482">
        <f t="shared" si="707"/>
        <v>0</v>
      </c>
      <c r="AH186" s="575"/>
      <c r="AI186" s="530"/>
      <c r="AJ186" s="482">
        <f t="shared" si="708"/>
        <v>0</v>
      </c>
      <c r="AK186" s="575"/>
      <c r="AL186" s="531">
        <v>1.4</v>
      </c>
      <c r="AM186" s="482">
        <f t="shared" si="709"/>
        <v>1.363</v>
      </c>
      <c r="AN186" s="576">
        <v>2.7629999999999999</v>
      </c>
      <c r="AO186" s="530"/>
      <c r="AP186" s="482">
        <f t="shared" si="710"/>
        <v>-0.41699999999999998</v>
      </c>
      <c r="AQ186" s="576">
        <v>-0.41699999999999998</v>
      </c>
      <c r="AR186" s="577">
        <f>((AR276-AQ276)+(AR297-AQ297))</f>
        <v>0.10599999999999932</v>
      </c>
      <c r="AS186" s="482">
        <f t="shared" si="711"/>
        <v>5.7390000000000008</v>
      </c>
      <c r="AT186" s="576">
        <v>5.8449999999999998</v>
      </c>
      <c r="AU186" s="577">
        <f>((AU276-AT276)+(AU297-AT297))</f>
        <v>1.6649999999999989</v>
      </c>
      <c r="AV186" s="482">
        <f t="shared" si="712"/>
        <v>6.4589999999999996</v>
      </c>
      <c r="AW186" s="575">
        <f>((AW276-AT276)+(AW297-AT297))</f>
        <v>8.1239999999999988</v>
      </c>
      <c r="AX186" s="577">
        <f>((AX276-AW276)+(AX297-AW297))</f>
        <v>-1.6029999999999993</v>
      </c>
      <c r="AY186" s="482">
        <f t="shared" si="713"/>
        <v>0.66800000000000082</v>
      </c>
      <c r="AZ186" s="575">
        <f>((AZ276-AW276)+(AZ297-AW297))</f>
        <v>-0.9349999999999985</v>
      </c>
      <c r="BA186" s="577">
        <f>((BA276-AZ276)+(BA297-AZ297))</f>
        <v>8.3390000000000022</v>
      </c>
      <c r="BB186" s="482">
        <f t="shared" si="714"/>
        <v>-1.6430000000000033</v>
      </c>
      <c r="BC186" s="575">
        <f>((BC276-AZ276)+(BC297-AZ297))</f>
        <v>6.6959999999999988</v>
      </c>
      <c r="BD186" s="577">
        <f>((BD276-BC276)+(BD297-BC297))</f>
        <v>-5.1329999999999991</v>
      </c>
      <c r="BE186" s="482">
        <f t="shared" si="715"/>
        <v>11.404000000000002</v>
      </c>
      <c r="BF186" s="575">
        <f>((BF276-BC276)+(BF297-BC297))</f>
        <v>6.2710000000000026</v>
      </c>
      <c r="BG186" s="577">
        <f>(((BG276-BF276)+(BG297-BF297))+BG598+BG603)</f>
        <v>-12.244000000000003</v>
      </c>
      <c r="BH186" s="482">
        <f t="shared" si="716"/>
        <v>3.985000000000003</v>
      </c>
      <c r="BI186" s="575">
        <f>(((BI276-BF276)+(BI297-BF297))+BI598+BI603)</f>
        <v>-8.2590000000000003</v>
      </c>
      <c r="BJ186" s="577">
        <f>(((BJ276-BI276)+(BJ297-BI297))+BJ598+BJ603)</f>
        <v>1.9109999999999996</v>
      </c>
      <c r="BK186" s="482">
        <f t="shared" si="717"/>
        <v>-2.8870000000000022</v>
      </c>
      <c r="BL186" s="575">
        <f>(((BL276-BI276)+(BL297-BI297))+BL598+BL603)</f>
        <v>-0.97600000000000287</v>
      </c>
      <c r="BM186" s="577">
        <f>(((BM276-BL276)+(BM297-BL297))+BM598+BM603)</f>
        <v>7.7439999999999998</v>
      </c>
      <c r="BN186" s="482">
        <f t="shared" si="718"/>
        <v>4.9710000000000036</v>
      </c>
      <c r="BO186" s="578">
        <f>(((BO276-BL276)+(BO297-BL297))+BO598+BO603)</f>
        <v>12.715000000000003</v>
      </c>
      <c r="BP186" s="577">
        <f>(((BP276-BO276)+(BP297-BO297))+BP598+BP603)</f>
        <v>6.200000000000002</v>
      </c>
      <c r="BQ186" s="482">
        <f t="shared" si="719"/>
        <v>9.1679999999999957</v>
      </c>
      <c r="BR186" s="578">
        <f>(((BR276-BO276)+(BR297-BO297))+BR598+BR603)</f>
        <v>15.367999999999999</v>
      </c>
      <c r="BS186" s="577">
        <f>(((BS276-BR276)+(BS297-BR297))+BS598+BS603)</f>
        <v>-12.964000000000006</v>
      </c>
      <c r="BT186" s="482">
        <f t="shared" si="720"/>
        <v>-29.682999999999993</v>
      </c>
      <c r="BU186" s="578">
        <f>(((BU276-BR276)+(BU297-BR297))+BU598+BU603)</f>
        <v>-42.646999999999998</v>
      </c>
      <c r="BV186" s="577">
        <f>(((BV276-BU276)+(BV297-BU297))+BV598+BV603)</f>
        <v>2.9249999999999998</v>
      </c>
      <c r="BW186" s="482">
        <f t="shared" si="721"/>
        <v>-7.3140000000000009</v>
      </c>
      <c r="BX186" s="578">
        <f>(((BX276-BU276)+(BX297-BU297))+BX598+BX603)</f>
        <v>-4.3890000000000011</v>
      </c>
      <c r="BY186" s="577">
        <f>(((BY276-BX276)+(BY297-BX297))+BY598+BY603)</f>
        <v>18.545999999999999</v>
      </c>
      <c r="BZ186" s="482">
        <f t="shared" si="722"/>
        <v>-15.262999999999998</v>
      </c>
      <c r="CA186" s="578">
        <f>(((CA276-BX276)+(CA297-BX297))+CA598+CA603)</f>
        <v>3.2830000000000021</v>
      </c>
      <c r="CB186" s="577">
        <f>(((CB276-CA276)+(CB297-CA297))+CB598+CB603)</f>
        <v>63.610999999999997</v>
      </c>
      <c r="CC186" s="482">
        <f t="shared" si="723"/>
        <v>-54.094999999999999</v>
      </c>
      <c r="CD186" s="578">
        <f>(((CD276-CA276)+(CD297-CA297))+CD598+CD603)</f>
        <v>9.516</v>
      </c>
      <c r="CE186" s="577">
        <f>(((CE276-CD276)+(CE297-CD297))+CE598+CE603)</f>
        <v>20.354999999999997</v>
      </c>
      <c r="CF186" s="482">
        <f t="shared" si="724"/>
        <v>-16.037999999999997</v>
      </c>
      <c r="CG186" s="578">
        <f>(((CG276-CD276)+(CG297-CD297))+CG598+CG603)</f>
        <v>4.3169999999999984</v>
      </c>
      <c r="CH186" s="577">
        <f>(((CH276-CG276)+(CH297-CG297))+CH598+CH603)</f>
        <v>17.661999999999999</v>
      </c>
      <c r="CI186" s="482">
        <f t="shared" si="725"/>
        <v>8.3679999999999986</v>
      </c>
      <c r="CJ186" s="578">
        <f>(((CJ276-CG276)+(CJ297-CG297))+CJ598+CJ603)</f>
        <v>26.029999999999998</v>
      </c>
      <c r="CK186" s="577">
        <f>(((CK276-CJ276)+(CK297-CJ297))+CK598+CK603)</f>
        <v>-12.059999999999993</v>
      </c>
      <c r="CL186" s="482">
        <f t="shared" si="726"/>
        <v>-1.1640000000000033</v>
      </c>
      <c r="CM186" s="578">
        <f>(((CM276-CJ276)+(CM297-CJ297))+CM598+CM603)</f>
        <v>-13.223999999999997</v>
      </c>
      <c r="CN186" s="577">
        <f>(((CN276-CM276)+(CN297-CM297))+CN598+CN603)</f>
        <v>15.089999999999996</v>
      </c>
      <c r="CO186" s="482">
        <f t="shared" si="727"/>
        <v>5.3490000000000002</v>
      </c>
      <c r="CP186" s="578">
        <f>(((CP276-CM276)+(CP297-CM297))+CP598+CP603)</f>
        <v>20.438999999999997</v>
      </c>
      <c r="CQ186" s="577">
        <f>(((CQ276-CP276)+(CQ297-CP297))+CQ598+CQ603)</f>
        <v>12.651</v>
      </c>
      <c r="CR186" s="482">
        <f t="shared" si="728"/>
        <v>81.90600000000002</v>
      </c>
      <c r="CS186" s="578">
        <f>(((CS276-CP276)+(CS297-CP297))+CS598+CS603)</f>
        <v>94.557000000000016</v>
      </c>
      <c r="CT186" s="577">
        <f>(((CT276-CS276)+(CT297-CS297))+CT598+CT603)</f>
        <v>-9.9230000000000018</v>
      </c>
      <c r="CU186" s="482">
        <f t="shared" si="729"/>
        <v>14.875999999999991</v>
      </c>
      <c r="CV186" s="578">
        <f>(((CV276-CS276)+(CV297-CS297))+CV598+CV603)</f>
        <v>4.9529999999999887</v>
      </c>
      <c r="CW186" s="577">
        <f>(((CW276-CV276)+(CW297-CV297))+CW598+CW603)</f>
        <v>16.017000000000024</v>
      </c>
      <c r="CX186" s="482">
        <f t="shared" si="730"/>
        <v>1.1029999999999944</v>
      </c>
      <c r="CY186" s="578">
        <f>((CY276-CV276)+(CY297-CV297))+CY598+CY603</f>
        <v>17.120000000000019</v>
      </c>
      <c r="CZ186" s="577">
        <f>(((CZ276-CY276)+(CZ297-CY297))+CZ598+CZ603)</f>
        <v>1.0729999999999933</v>
      </c>
      <c r="DA186" s="482">
        <f t="shared" si="731"/>
        <v>-1.0999999999999943</v>
      </c>
      <c r="DB186" s="578">
        <f>(((DB276-CY276)+(DB297-CY297))+DB598+DB603)</f>
        <v>-2.7000000000001023E-2</v>
      </c>
      <c r="DC186" s="577">
        <f>(((DC276-DB276)+(DC297-DB297))+DC598+DC603)</f>
        <v>9.5999999999999801</v>
      </c>
      <c r="DD186" s="482">
        <f t="shared" si="732"/>
        <v>6.4000000000000128</v>
      </c>
      <c r="DE186" s="578">
        <f>(((DE276-DB276)+(DE297-DB297))+DE598+DE603)</f>
        <v>15.999999999999993</v>
      </c>
      <c r="DF186" s="577">
        <f>(((DF276-DE276)+(DF297-DE297))+DF598+DF603)</f>
        <v>-16.899999999999984</v>
      </c>
      <c r="DG186" s="482">
        <f t="shared" si="740"/>
        <v>67.999999999999972</v>
      </c>
      <c r="DH186" s="1278">
        <f>(((DH276-DE276)+(DH297-DE297))+DH598+DH603)</f>
        <v>51.099999999999987</v>
      </c>
      <c r="DI186" s="568">
        <f>(((DI276-DH276)+(DI297-DH297))+DI598+DI603)</f>
        <v>-59.399999999999977</v>
      </c>
      <c r="DJ186" s="482">
        <f t="shared" si="733"/>
        <v>27.800000000000011</v>
      </c>
      <c r="DK186" s="1276">
        <f>(((DK276-DH276)+(DK297-DH297))+DK598+DK603)</f>
        <v>-31.599999999999966</v>
      </c>
      <c r="DL186" s="568">
        <f>(((DL276-DK276)+(DL297-DK297))+DL598+DL603)</f>
        <v>-16.000000000000028</v>
      </c>
      <c r="DM186" s="482">
        <f t="shared" si="734"/>
        <v>3.6000000000000085</v>
      </c>
      <c r="DN186" s="1276">
        <f>((DN276-DK276)+(DN297-DK297))+DN598+DN603</f>
        <v>-12.40000000000002</v>
      </c>
      <c r="DO186" s="568">
        <f>((DO276-DN276)+(DO297-DN297))+DO598+DO603</f>
        <v>-5.5999999999999943</v>
      </c>
      <c r="DP186" s="482">
        <f t="shared" si="735"/>
        <v>53.400000000000013</v>
      </c>
      <c r="DQ186" s="1276">
        <f>(((DQ276-DN276)+(DQ297-DN297))+DQ598+DQ603)</f>
        <v>47.800000000000018</v>
      </c>
      <c r="DR186" s="568">
        <f>((DR276-DQ276)+(DR297-DQ297))+DR598+DR603</f>
        <v>-39.600000000000009</v>
      </c>
      <c r="DS186" s="482">
        <f t="shared" si="736"/>
        <v>63.79999999999999</v>
      </c>
      <c r="DT186" s="1276">
        <f>(((DT276-DQ276)+(DT297-DQ297))+DT598+DT603)</f>
        <v>24.199999999999982</v>
      </c>
      <c r="DU186" s="568">
        <f>((DU276-DT276)+(DU297-DT297))+DU598+DU603</f>
        <v>-10.5</v>
      </c>
      <c r="DV186" s="482">
        <f t="shared" si="741"/>
        <v>-24.899999999999991</v>
      </c>
      <c r="DW186" s="1276">
        <f>(((DW276-DT276)+(DW297-DT297))+DW598+DW603)</f>
        <v>-35.399999999999991</v>
      </c>
      <c r="DX186" s="568">
        <f>((DX276-DW276)+(DX297-DW297))+DX598+DX603</f>
        <v>1.5999999999999943</v>
      </c>
      <c r="DY186" s="1367">
        <v>0</v>
      </c>
      <c r="DZ186" s="1276">
        <f>SUM(DX186:DY186)</f>
        <v>1.5999999999999943</v>
      </c>
      <c r="EA186" s="568">
        <f>IF(EA5="A","",((EA276-DZ276)+(EA297-DZ297))+EA598+EA603)</f>
        <v>0</v>
      </c>
      <c r="EB186" s="482">
        <f t="shared" si="738"/>
        <v>0</v>
      </c>
      <c r="EC186" s="1276">
        <f>IF(EC5="A","",((EC276-DZ276)+(EC297-DZ297))+EC598+EC603)</f>
        <v>0</v>
      </c>
      <c r="ED186" s="568">
        <f>IF(ED5="A","",((ED276-EC276)+(ED297-EC297))+ED598+ED603)</f>
        <v>0</v>
      </c>
      <c r="EE186" s="482">
        <f t="shared" si="739"/>
        <v>0</v>
      </c>
      <c r="EF186" s="1276">
        <f>IF(EF5="A","",((EF276-EC276)+(EF297-EC297))+EF598+EF603)</f>
        <v>0</v>
      </c>
      <c r="EG186" s="568">
        <f>IF(EG5="A","",((EG276-EF276)+(EG297-EF297))+EG598+EG603)</f>
        <v>0</v>
      </c>
      <c r="EH186" s="482">
        <f t="shared" si="742"/>
        <v>0</v>
      </c>
      <c r="EI186" s="1276">
        <f>IF(EI5="A","",((EI276-EF276)+(EI297-EF297))+EI598+EI603)</f>
        <v>0</v>
      </c>
      <c r="EJ186" s="568">
        <f>IF(EJ5="A","",((EJ276-EI276)+(EJ297-EI297))+EJ598+EJ603)</f>
        <v>0</v>
      </c>
      <c r="EK186" s="482">
        <f t="shared" si="743"/>
        <v>0</v>
      </c>
      <c r="EL186" s="1276">
        <f>IF(EL5="A","",((EL276-EI276)+(EL297-EI297))+EL598+EL603)</f>
        <v>0</v>
      </c>
      <c r="EM186" s="568">
        <f>IF(EM5="A","",((EM276-EL276)+(EM297-EL297))+EM598+EM603)</f>
        <v>0</v>
      </c>
      <c r="EN186" s="482">
        <f t="shared" si="744"/>
        <v>0</v>
      </c>
      <c r="EO186" s="1276">
        <f>IF(EO5="A","",((EO276-EL276)+(EO297-EL297))+EO598+EO603)</f>
        <v>0</v>
      </c>
      <c r="EP186" s="568">
        <f>IF(EP5="A","",((EP276-EO276)+(EP297-EO297))+EP598+EP603)</f>
        <v>0</v>
      </c>
      <c r="EQ186" s="482">
        <f t="shared" si="745"/>
        <v>0</v>
      </c>
      <c r="ER186" s="1276">
        <f>IF(ER5="A","",((ER276-EO276)+(ER297-EO297))+ER598+ER603)</f>
        <v>0</v>
      </c>
      <c r="ES186" s="568">
        <f>IF(ES5="A","",((ES276-ER276)+(ES297-ER297))+ES598+ES603)</f>
        <v>0</v>
      </c>
      <c r="ET186" s="482">
        <f t="shared" si="746"/>
        <v>0</v>
      </c>
      <c r="EU186" s="1276">
        <f>IF(EU5="A","",((EU276-ER276)+(EU297-ER297))+EU598+EU603)</f>
        <v>0</v>
      </c>
      <c r="EV186" s="568">
        <f>IF(EV5="A","",((EV276-EU276)+(EV297-EU297))+EV598+EV603)</f>
        <v>0</v>
      </c>
      <c r="EW186" s="482">
        <f t="shared" si="747"/>
        <v>0</v>
      </c>
      <c r="EX186" s="1276">
        <f>IF(EX5="A","",((EX276-EU276)+(EX297-EU297))+EX598+EX603)</f>
        <v>0</v>
      </c>
      <c r="EY186" s="568">
        <f>IF(EY5="A","",((EY276-EX276)+(EY297-EX297))+EY598+EY603)</f>
        <v>0</v>
      </c>
      <c r="EZ186" s="482">
        <f t="shared" si="748"/>
        <v>0</v>
      </c>
      <c r="FA186" s="1276">
        <f>IF(FA5="A","",((FA276-EX276)+(FA297-EX297))+FA598+FA603)</f>
        <v>0</v>
      </c>
      <c r="FE186"/>
      <c r="FF186"/>
      <c r="FG186"/>
      <c r="FH186"/>
      <c r="FI186"/>
      <c r="FJ186"/>
      <c r="FK186" s="35"/>
    </row>
    <row r="187" spans="1:167" s="236" customFormat="1" ht="13.35" customHeight="1" thickBot="1">
      <c r="B187" s="242" t="s">
        <v>412</v>
      </c>
      <c r="C187" s="242" t="s">
        <v>496</v>
      </c>
      <c r="D187" s="243"/>
      <c r="E187" s="482">
        <f>E188-E184-E185-E186</f>
        <v>0</v>
      </c>
      <c r="F187" s="482">
        <f t="shared" si="698"/>
        <v>0</v>
      </c>
      <c r="G187" s="482">
        <f>G188-G184-G185-G186</f>
        <v>0</v>
      </c>
      <c r="H187" s="482">
        <f>H188-H184-H185-H186</f>
        <v>0</v>
      </c>
      <c r="I187" s="482">
        <f t="shared" si="699"/>
        <v>0</v>
      </c>
      <c r="J187" s="482">
        <f>J188-J184-J185-J186</f>
        <v>0</v>
      </c>
      <c r="K187" s="482">
        <f>K188-K184-K185-K186</f>
        <v>0</v>
      </c>
      <c r="L187" s="482">
        <f t="shared" si="700"/>
        <v>0</v>
      </c>
      <c r="M187" s="482">
        <f>M188-M184-M185-M186</f>
        <v>0</v>
      </c>
      <c r="N187" s="482">
        <f>N188-N184-N185-N186</f>
        <v>0</v>
      </c>
      <c r="O187" s="482">
        <f t="shared" si="701"/>
        <v>0</v>
      </c>
      <c r="P187" s="482">
        <f>P188-P184-P185-P186</f>
        <v>0</v>
      </c>
      <c r="Q187" s="482">
        <f>Q188-Q184-Q185-Q186</f>
        <v>0</v>
      </c>
      <c r="R187" s="482">
        <f t="shared" si="702"/>
        <v>0</v>
      </c>
      <c r="S187" s="482">
        <f>S188-S184-S185-S186</f>
        <v>0</v>
      </c>
      <c r="T187" s="482">
        <f>T188-T184-T185-T186</f>
        <v>0</v>
      </c>
      <c r="U187" s="482">
        <f t="shared" si="703"/>
        <v>0</v>
      </c>
      <c r="V187" s="482">
        <f>V188-V184-V185-V186</f>
        <v>0</v>
      </c>
      <c r="W187" s="482">
        <f>W188-W184-W185-W186</f>
        <v>0</v>
      </c>
      <c r="X187" s="482">
        <f t="shared" si="704"/>
        <v>0</v>
      </c>
      <c r="Y187" s="482">
        <f>Y188-Y184-Y185-Y186</f>
        <v>0</v>
      </c>
      <c r="Z187" s="482">
        <f>Z188-Z184-Z185-Z186</f>
        <v>0</v>
      </c>
      <c r="AA187" s="482">
        <f t="shared" si="705"/>
        <v>0</v>
      </c>
      <c r="AB187" s="482">
        <f>AB188-AB184-AB185-AB186</f>
        <v>0</v>
      </c>
      <c r="AC187" s="482">
        <f>AC188-AC184-AC185-AC186</f>
        <v>0</v>
      </c>
      <c r="AD187" s="482">
        <f t="shared" si="706"/>
        <v>0</v>
      </c>
      <c r="AE187" s="482">
        <f>AE188-AE184-AE185-AE186</f>
        <v>0</v>
      </c>
      <c r="AF187" s="482">
        <f>AF188-AF184-AF185-AF186</f>
        <v>0</v>
      </c>
      <c r="AG187" s="482">
        <f t="shared" si="707"/>
        <v>0</v>
      </c>
      <c r="AH187" s="482">
        <f>AH188-AH184-AH185-AH186</f>
        <v>0</v>
      </c>
      <c r="AI187" s="482">
        <f>AI188-AI184-AI185-AI186</f>
        <v>-5.1360000000000001</v>
      </c>
      <c r="AJ187" s="482">
        <f t="shared" si="708"/>
        <v>-7.1889999999999992</v>
      </c>
      <c r="AK187" s="482">
        <f>AK188-AK184-AK185-AK186</f>
        <v>-12.324999999999999</v>
      </c>
      <c r="AL187" s="482">
        <f>AL188-AL184-AL185-AL186</f>
        <v>3.2260000000000004</v>
      </c>
      <c r="AM187" s="482">
        <f t="shared" si="709"/>
        <v>-1.4319999999999999</v>
      </c>
      <c r="AN187" s="482">
        <f>AN188-AN184-AN185-AN186</f>
        <v>1.7940000000000005</v>
      </c>
      <c r="AO187" s="482">
        <f>AO188-AO184-AO185-AO186</f>
        <v>-1.0730000000000008</v>
      </c>
      <c r="AP187" s="482">
        <f t="shared" si="710"/>
        <v>2.9510000000000005</v>
      </c>
      <c r="AQ187" s="482">
        <f>AQ188-AQ184-AQ185-AQ186</f>
        <v>1.8779999999999994</v>
      </c>
      <c r="AR187" s="482">
        <f>AR188-AR184-AR185-AR186</f>
        <v>2.7000000000000006</v>
      </c>
      <c r="AS187" s="482">
        <f t="shared" si="711"/>
        <v>-2.8430000000000013</v>
      </c>
      <c r="AT187" s="482">
        <f>AT188-AT184-AT185-AT186</f>
        <v>-0.14300000000000068</v>
      </c>
      <c r="AU187" s="482">
        <f>AU188-AU184-AU185-AU186</f>
        <v>2.9880000000000031</v>
      </c>
      <c r="AV187" s="482">
        <f t="shared" si="712"/>
        <v>-9.8460000000000019</v>
      </c>
      <c r="AW187" s="482">
        <f>AW188-AW184-AW185-AW186</f>
        <v>-6.8579999999999988</v>
      </c>
      <c r="AX187" s="482">
        <f>AX188-AX184-AX185-AX186</f>
        <v>1.6049999999999964</v>
      </c>
      <c r="AY187" s="482">
        <f t="shared" si="713"/>
        <v>-2.6410000000000036</v>
      </c>
      <c r="AZ187" s="482">
        <f>AZ188-AZ184-AZ185-AZ186</f>
        <v>-1.0360000000000069</v>
      </c>
      <c r="BA187" s="482">
        <f>BA188-BA184-BA185-BA186</f>
        <v>-4.8500000000000032</v>
      </c>
      <c r="BB187" s="482">
        <f t="shared" si="714"/>
        <v>-0.75299999999998857</v>
      </c>
      <c r="BC187" s="482">
        <f>BC188-BC184-BC185-BC186</f>
        <v>-5.6029999999999918</v>
      </c>
      <c r="BD187" s="482">
        <f>BD188-BD184-BD185-BD186</f>
        <v>-1.0145000000000053</v>
      </c>
      <c r="BE187" s="482">
        <f t="shared" si="715"/>
        <v>-5.9674999999999887</v>
      </c>
      <c r="BF187" s="482">
        <f>BF188-BF184-BF185-BF186</f>
        <v>-6.981999999999994</v>
      </c>
      <c r="BG187" s="482">
        <f>BG188-BG184-BG185-BG186</f>
        <v>12.11999999999999</v>
      </c>
      <c r="BH187" s="482">
        <f t="shared" si="716"/>
        <v>14.023000000000003</v>
      </c>
      <c r="BI187" s="482">
        <f>BI188-BI184-BI185-BI186</f>
        <v>26.142999999999994</v>
      </c>
      <c r="BJ187" s="482">
        <f>BJ188-BJ184-BJ185-BJ186</f>
        <v>-39.287000000000006</v>
      </c>
      <c r="BK187" s="482">
        <f t="shared" si="717"/>
        <v>68.578999999999994</v>
      </c>
      <c r="BL187" s="482">
        <f>BL188-BL184-BL185-BL186</f>
        <v>29.291999999999991</v>
      </c>
      <c r="BM187" s="482">
        <f>BM188-BM184-BM185-BM186</f>
        <v>-9.0738000000000163</v>
      </c>
      <c r="BN187" s="482">
        <f t="shared" si="718"/>
        <v>40.702800000000011</v>
      </c>
      <c r="BO187" s="482">
        <f>BO188-BO184-BO185-BO186</f>
        <v>31.628999999999991</v>
      </c>
      <c r="BP187" s="482">
        <f>BP188-BP184-BP185-BP186</f>
        <v>-16.496800000000022</v>
      </c>
      <c r="BQ187" s="482">
        <f t="shared" si="719"/>
        <v>-7.3721999999999746</v>
      </c>
      <c r="BR187" s="482">
        <f>BR188-BR184-BR185-BR186</f>
        <v>-23.868999999999996</v>
      </c>
      <c r="BS187" s="482">
        <f>BS188-BS184-BS185-BS186</f>
        <v>-7.8092800000000082</v>
      </c>
      <c r="BT187" s="482">
        <f t="shared" si="720"/>
        <v>65.236279999999979</v>
      </c>
      <c r="BU187" s="482">
        <f>BU188-BU184-BU185-BU186</f>
        <v>57.426999999999971</v>
      </c>
      <c r="BV187" s="482">
        <f>BV188-BV184-BV185-BV186</f>
        <v>-6.1174399999999869</v>
      </c>
      <c r="BW187" s="482">
        <f t="shared" si="721"/>
        <v>8.9748399999999755</v>
      </c>
      <c r="BX187" s="482">
        <f>BX188-BX184-BX185-BX186</f>
        <v>2.8573999999999895</v>
      </c>
      <c r="BY187" s="482">
        <f>BY188-BY184-BY185-BY186</f>
        <v>-58.62</v>
      </c>
      <c r="BZ187" s="482">
        <f t="shared" si="722"/>
        <v>61.798999999999971</v>
      </c>
      <c r="CA187" s="482">
        <f>CA188-CA184-CA185-CA186</f>
        <v>3.1789999999999727</v>
      </c>
      <c r="CB187" s="482">
        <f>CB188-CB184-CB185-CB186</f>
        <v>-44.525399999999976</v>
      </c>
      <c r="CC187" s="482">
        <f t="shared" si="723"/>
        <v>61.029399999999931</v>
      </c>
      <c r="CD187" s="482">
        <f>CD188-CD184-CD185-CD186</f>
        <v>16.503999999999955</v>
      </c>
      <c r="CE187" s="482">
        <f>CE188-CE184-CE185-CE186</f>
        <v>-1.6166800000000094</v>
      </c>
      <c r="CF187" s="482">
        <f t="shared" si="724"/>
        <v>2.6536800000000103</v>
      </c>
      <c r="CG187" s="482">
        <f>CG188-CG184-CG185-CG186</f>
        <v>1.0370000000000008</v>
      </c>
      <c r="CH187" s="482">
        <f>CH188-CH184-CH185-CH186</f>
        <v>-98.389679999999998</v>
      </c>
      <c r="CI187" s="482">
        <f t="shared" si="725"/>
        <v>-22.594320000000025</v>
      </c>
      <c r="CJ187" s="482">
        <f>CJ188-CJ184-CJ185-CJ186</f>
        <v>-120.98400000000002</v>
      </c>
      <c r="CK187" s="482">
        <f>CK188-CK184-CK185-CK186</f>
        <v>-2.58368000000001</v>
      </c>
      <c r="CL187" s="482">
        <f t="shared" si="726"/>
        <v>-22.761319999999984</v>
      </c>
      <c r="CM187" s="482">
        <f>CM188-CM184-CM185-CM186</f>
        <v>-25.344999999999992</v>
      </c>
      <c r="CN187" s="482">
        <f>CN188-CN184-CN185-CN186</f>
        <v>-27.779319999999991</v>
      </c>
      <c r="CO187" s="482">
        <f t="shared" si="727"/>
        <v>6.1933199999999893</v>
      </c>
      <c r="CP187" s="482">
        <f>CP188-CP184-CP185-CP186</f>
        <v>-21.586000000000002</v>
      </c>
      <c r="CQ187" s="482">
        <f>CQ188-CQ184-CQ185-CQ186</f>
        <v>3.7485773096751238</v>
      </c>
      <c r="CR187" s="482">
        <f t="shared" si="728"/>
        <v>-65.868739809675148</v>
      </c>
      <c r="CS187" s="482">
        <f>CS188-CS184-CS185-CS186</f>
        <v>-62.120162500000021</v>
      </c>
      <c r="CT187" s="482">
        <f>CT188-CT184-CT185-CT186</f>
        <v>9.6036000000000001</v>
      </c>
      <c r="CU187" s="482">
        <f t="shared" si="729"/>
        <v>12.35540000000006</v>
      </c>
      <c r="CV187" s="482">
        <f>CV188-CV184-CV185-CV186</f>
        <v>21.95900000000006</v>
      </c>
      <c r="CW187" s="482">
        <f>CW188-CW184-CW185-CW186</f>
        <v>-24.548400000000001</v>
      </c>
      <c r="CX187" s="482">
        <f t="shared" si="730"/>
        <v>14.088591199999954</v>
      </c>
      <c r="CY187" s="482">
        <f>CY188-CY184-CY185-CY186</f>
        <v>-10.459808800000047</v>
      </c>
      <c r="CZ187" s="482">
        <f>CZ188-CZ184-CZ185-CZ186</f>
        <v>0.2460207999999966</v>
      </c>
      <c r="DA187" s="482">
        <f t="shared" si="731"/>
        <v>-11.588020799999967</v>
      </c>
      <c r="DB187" s="482">
        <f>DB188-DB184-DB185-DB186</f>
        <v>-11.34199999999997</v>
      </c>
      <c r="DC187" s="482">
        <f>DC188-DC184-DC185-DC186</f>
        <v>-8.0076499999999982</v>
      </c>
      <c r="DD187" s="482">
        <f t="shared" si="732"/>
        <v>-11.291850000000018</v>
      </c>
      <c r="DE187" s="482">
        <f>DE188-DE184-DE185-DE186</f>
        <v>-19.299500000000016</v>
      </c>
      <c r="DF187" s="482">
        <f>DF188-DF184-DF185-DF186</f>
        <v>-2.9272159502371053</v>
      </c>
      <c r="DG187" s="482">
        <f t="shared" si="740"/>
        <v>-455.70059285928664</v>
      </c>
      <c r="DH187" s="1244">
        <f>DH188-DH184-DH185-DH186</f>
        <v>-458.62780880952374</v>
      </c>
      <c r="DI187" s="482">
        <f>DI188-DI184-DI185-DI186</f>
        <v>-27.281000000000034</v>
      </c>
      <c r="DJ187" s="482">
        <f t="shared" si="733"/>
        <v>-48.019000000000034</v>
      </c>
      <c r="DK187" s="1244">
        <f>DK188-DK184-DK185-DK186</f>
        <v>-75.300000000000068</v>
      </c>
      <c r="DL187" s="482">
        <f>DL188-DL184-DL185-DL186</f>
        <v>3.1999999999999886</v>
      </c>
      <c r="DM187" s="482">
        <f t="shared" si="734"/>
        <v>17.500000000000014</v>
      </c>
      <c r="DN187" s="1244">
        <f>DN188-DN184-DN185-DN186</f>
        <v>20.700000000000003</v>
      </c>
      <c r="DO187" s="482">
        <f>DO188-DO184-DO185-DO186</f>
        <v>-7.9000000000000341</v>
      </c>
      <c r="DP187" s="482">
        <f t="shared" si="735"/>
        <v>-28.499999999999922</v>
      </c>
      <c r="DQ187" s="1244">
        <f>DQ188-DQ184-DQ185-DQ186</f>
        <v>-36.399999999999956</v>
      </c>
      <c r="DR187" s="482">
        <f>DR188-DR184-DR185-DR186</f>
        <v>-19.699999999999946</v>
      </c>
      <c r="DS187" s="482">
        <f t="shared" si="736"/>
        <v>-13.500000000000036</v>
      </c>
      <c r="DT187" s="1244">
        <f>DT188-DT184-DT185-DT186</f>
        <v>-33.199999999999982</v>
      </c>
      <c r="DU187" s="482">
        <f>DU188-DU184-DU185-DU186</f>
        <v>-34.499999999999972</v>
      </c>
      <c r="DV187" s="482">
        <f t="shared" si="741"/>
        <v>26.199999999999889</v>
      </c>
      <c r="DW187" s="1244">
        <f>DW188-DW184-DW185-DW186</f>
        <v>-8.3000000000000824</v>
      </c>
      <c r="DX187" s="482">
        <f>DX188-DX184-DX185-DX186</f>
        <v>-46.399999999999949</v>
      </c>
      <c r="DY187" s="1373">
        <f>+DY92</f>
        <v>-46.7</v>
      </c>
      <c r="DZ187" s="1276">
        <f>SUM(DX187:DY187)</f>
        <v>-93.099999999999952</v>
      </c>
      <c r="EA187" s="482">
        <f>EA188-EA184-EA185-EA186</f>
        <v>0</v>
      </c>
      <c r="EB187" s="482">
        <f t="shared" si="738"/>
        <v>5.6843418860808015E-14</v>
      </c>
      <c r="EC187" s="1244">
        <f>EC188-EC184-EC185-EC186</f>
        <v>5.6843418860808015E-14</v>
      </c>
      <c r="ED187" s="482">
        <f>ED188-ED184-ED185-ED186</f>
        <v>0</v>
      </c>
      <c r="EE187" s="482">
        <f t="shared" si="739"/>
        <v>0</v>
      </c>
      <c r="EF187" s="1244">
        <f>EF188-EF184-EF185-EF186</f>
        <v>0</v>
      </c>
      <c r="EG187" s="482">
        <f>EG188-EG184-EG185-EG186</f>
        <v>0</v>
      </c>
      <c r="EH187" s="482">
        <f t="shared" si="742"/>
        <v>5.6843418860808015E-14</v>
      </c>
      <c r="EI187" s="1244">
        <f>EI188-EI184-EI185-EI186</f>
        <v>5.6843418860808015E-14</v>
      </c>
      <c r="EJ187" s="482">
        <f>EJ188-EJ184-EJ185-EJ186</f>
        <v>0</v>
      </c>
      <c r="EK187" s="482">
        <f t="shared" si="743"/>
        <v>0</v>
      </c>
      <c r="EL187" s="1244">
        <f>EL188-EL184-EL185-EL186</f>
        <v>0</v>
      </c>
      <c r="EM187" s="482">
        <f>EM188-EM184-EM185-EM186</f>
        <v>0</v>
      </c>
      <c r="EN187" s="482">
        <f t="shared" si="744"/>
        <v>0</v>
      </c>
      <c r="EO187" s="1244">
        <f>EO188-EO184-EO185-EO186</f>
        <v>0</v>
      </c>
      <c r="EP187" s="482">
        <f>EP188-EP184-EP185-EP186</f>
        <v>0</v>
      </c>
      <c r="EQ187" s="482">
        <f t="shared" si="745"/>
        <v>0</v>
      </c>
      <c r="ER187" s="1244">
        <f>ER188-ER184-ER185-ER186</f>
        <v>0</v>
      </c>
      <c r="ES187" s="482">
        <f>ES188-ES184-ES185-ES186</f>
        <v>0</v>
      </c>
      <c r="ET187" s="482">
        <f t="shared" si="746"/>
        <v>0</v>
      </c>
      <c r="EU187" s="1244">
        <f>EU188-EU184-EU185-EU186</f>
        <v>0</v>
      </c>
      <c r="EV187" s="482">
        <f>EV188-EV184-EV185-EV186</f>
        <v>0</v>
      </c>
      <c r="EW187" s="482">
        <f t="shared" si="747"/>
        <v>-1.1368683772161603E-13</v>
      </c>
      <c r="EX187" s="1244">
        <f>EX188-EX184-EX185-EX186</f>
        <v>-1.1368683772161603E-13</v>
      </c>
      <c r="EY187" s="482">
        <f>EY188-EY184-EY185-EY186</f>
        <v>0</v>
      </c>
      <c r="EZ187" s="482">
        <f t="shared" si="748"/>
        <v>1.1368683772161603E-13</v>
      </c>
      <c r="FA187" s="1244">
        <f>FA188-FA184-FA185-FA186</f>
        <v>1.1368683772161603E-13</v>
      </c>
      <c r="FE187"/>
      <c r="FF187"/>
      <c r="FG187"/>
      <c r="FH187"/>
      <c r="FI187"/>
      <c r="FJ187"/>
      <c r="FK187" s="35"/>
    </row>
    <row r="188" spans="1:167" s="501" customFormat="1" ht="13.35" customHeight="1" thickBot="1">
      <c r="B188" s="444" t="s">
        <v>210</v>
      </c>
      <c r="C188" s="444" t="s">
        <v>496</v>
      </c>
      <c r="D188" s="1474"/>
      <c r="E188" s="1475"/>
      <c r="F188" s="581">
        <f t="shared" si="698"/>
        <v>0</v>
      </c>
      <c r="G188" s="1476"/>
      <c r="H188" s="1477"/>
      <c r="I188" s="581">
        <f t="shared" si="699"/>
        <v>0</v>
      </c>
      <c r="J188" s="1476"/>
      <c r="K188" s="1477"/>
      <c r="L188" s="581">
        <f t="shared" si="700"/>
        <v>0</v>
      </c>
      <c r="M188" s="1476"/>
      <c r="N188" s="1477"/>
      <c r="O188" s="581">
        <f t="shared" si="701"/>
        <v>0</v>
      </c>
      <c r="P188" s="1476"/>
      <c r="Q188" s="1477"/>
      <c r="R188" s="581">
        <f t="shared" si="702"/>
        <v>0</v>
      </c>
      <c r="S188" s="1476"/>
      <c r="T188" s="1477"/>
      <c r="U188" s="581">
        <f t="shared" si="703"/>
        <v>0</v>
      </c>
      <c r="V188" s="1476"/>
      <c r="W188" s="1477"/>
      <c r="X188" s="581">
        <f t="shared" si="704"/>
        <v>0</v>
      </c>
      <c r="Y188" s="1476"/>
      <c r="Z188" s="1477"/>
      <c r="AA188" s="581">
        <f t="shared" si="705"/>
        <v>0</v>
      </c>
      <c r="AB188" s="1476"/>
      <c r="AC188" s="1477"/>
      <c r="AD188" s="581">
        <f t="shared" si="706"/>
        <v>0</v>
      </c>
      <c r="AE188" s="1476"/>
      <c r="AF188" s="1477"/>
      <c r="AG188" s="581">
        <f t="shared" si="707"/>
        <v>0</v>
      </c>
      <c r="AH188" s="1476"/>
      <c r="AI188" s="1477"/>
      <c r="AJ188" s="581">
        <f t="shared" si="708"/>
        <v>0</v>
      </c>
      <c r="AK188" s="1476"/>
      <c r="AL188" s="1478">
        <v>9.5690000000000008</v>
      </c>
      <c r="AM188" s="581">
        <f t="shared" si="709"/>
        <v>6.6359999999999975</v>
      </c>
      <c r="AN188" s="1479">
        <v>16.204999999999998</v>
      </c>
      <c r="AO188" s="1478">
        <v>2.0299999999999998</v>
      </c>
      <c r="AP188" s="581">
        <f t="shared" si="710"/>
        <v>4.2029999999999994</v>
      </c>
      <c r="AQ188" s="1479">
        <v>6.2329999999999997</v>
      </c>
      <c r="AR188" s="1478">
        <v>4.0010000000000003</v>
      </c>
      <c r="AS188" s="581">
        <f t="shared" si="711"/>
        <v>10.251000000000001</v>
      </c>
      <c r="AT188" s="1479">
        <v>14.252000000000001</v>
      </c>
      <c r="AU188" s="580">
        <v>8.9030000000000005</v>
      </c>
      <c r="AV188" s="581">
        <f t="shared" si="712"/>
        <v>16.896000000000001</v>
      </c>
      <c r="AW188" s="1479">
        <v>25.798999999999999</v>
      </c>
      <c r="AX188" s="580">
        <v>8.2029999999999994</v>
      </c>
      <c r="AY188" s="581">
        <f t="shared" si="713"/>
        <v>2.8570000000000011</v>
      </c>
      <c r="AZ188" s="1479">
        <v>11.06</v>
      </c>
      <c r="BA188" s="580">
        <v>9.7119999999999997</v>
      </c>
      <c r="BB188" s="581">
        <f t="shared" si="714"/>
        <v>10.048999999999999</v>
      </c>
      <c r="BC188" s="1479">
        <v>19.760999999999999</v>
      </c>
      <c r="BD188" s="580">
        <v>-10.016999999999999</v>
      </c>
      <c r="BE188" s="581">
        <f t="shared" si="715"/>
        <v>10.914999999999999</v>
      </c>
      <c r="BF188" s="1479">
        <v>0.89800000000000002</v>
      </c>
      <c r="BG188" s="580">
        <v>46.515000000000001</v>
      </c>
      <c r="BH188" s="581">
        <f t="shared" si="716"/>
        <v>32.301999999999992</v>
      </c>
      <c r="BI188" s="1479">
        <v>78.816999999999993</v>
      </c>
      <c r="BJ188" s="580">
        <v>12.962</v>
      </c>
      <c r="BK188" s="581">
        <f t="shared" si="717"/>
        <v>36.007999999999996</v>
      </c>
      <c r="BL188" s="1479">
        <v>48.97</v>
      </c>
      <c r="BM188" s="580">
        <v>34.695</v>
      </c>
      <c r="BN188" s="581">
        <f t="shared" si="718"/>
        <v>68.313999999999993</v>
      </c>
      <c r="BO188" s="579">
        <v>103.009</v>
      </c>
      <c r="BP188" s="580">
        <v>24.021999999999998</v>
      </c>
      <c r="BQ188" s="581">
        <f t="shared" si="719"/>
        <v>27.533000000000001</v>
      </c>
      <c r="BR188" s="579">
        <v>51.555</v>
      </c>
      <c r="BS188" s="580">
        <v>17.893999999999998</v>
      </c>
      <c r="BT188" s="581">
        <f t="shared" si="720"/>
        <v>60.942</v>
      </c>
      <c r="BU188" s="579">
        <v>78.835999999999999</v>
      </c>
      <c r="BV188" s="580">
        <v>30.038</v>
      </c>
      <c r="BW188" s="581">
        <f t="shared" si="721"/>
        <v>54.510000000000005</v>
      </c>
      <c r="BX188" s="1480">
        <v>84.548000000000002</v>
      </c>
      <c r="BY188" s="580">
        <v>57.41</v>
      </c>
      <c r="BZ188" s="581">
        <f t="shared" si="722"/>
        <v>89.217999999999989</v>
      </c>
      <c r="CA188" s="579">
        <v>146.62799999999999</v>
      </c>
      <c r="CB188" s="580">
        <v>85.379000000000005</v>
      </c>
      <c r="CC188" s="581">
        <f t="shared" si="723"/>
        <v>94.166999999999987</v>
      </c>
      <c r="CD188" s="579">
        <v>179.54599999999999</v>
      </c>
      <c r="CE188" s="580">
        <v>90.54</v>
      </c>
      <c r="CF188" s="581">
        <f t="shared" si="724"/>
        <v>110.73699999999998</v>
      </c>
      <c r="CG188" s="579">
        <v>201.27699999999999</v>
      </c>
      <c r="CH188" s="580">
        <v>67.364999999999995</v>
      </c>
      <c r="CI188" s="581">
        <f t="shared" si="725"/>
        <v>100.91500000000001</v>
      </c>
      <c r="CJ188" s="579">
        <v>168.28</v>
      </c>
      <c r="CK188" s="580">
        <v>28.515000000000001</v>
      </c>
      <c r="CL188" s="581">
        <f t="shared" si="726"/>
        <v>41.212000000000003</v>
      </c>
      <c r="CM188" s="579">
        <v>69.727000000000004</v>
      </c>
      <c r="CN188" s="580">
        <v>33.610999999999997</v>
      </c>
      <c r="CO188" s="581">
        <f t="shared" si="727"/>
        <v>77.806000000000012</v>
      </c>
      <c r="CP188" s="579">
        <v>111.417</v>
      </c>
      <c r="CQ188" s="580">
        <v>89.941999999999993</v>
      </c>
      <c r="CR188" s="581">
        <f t="shared" si="728"/>
        <v>98.759</v>
      </c>
      <c r="CS188" s="579">
        <v>188.70099999999999</v>
      </c>
      <c r="CT188" s="580">
        <v>73.540000000000006</v>
      </c>
      <c r="CU188" s="581">
        <f t="shared" si="729"/>
        <v>111.57299999999999</v>
      </c>
      <c r="CV188" s="579">
        <v>185.113</v>
      </c>
      <c r="CW188" s="580">
        <v>102.28700000000001</v>
      </c>
      <c r="CX188" s="581">
        <f t="shared" si="730"/>
        <v>157.48499999999999</v>
      </c>
      <c r="CY188" s="579">
        <v>259.77199999999999</v>
      </c>
      <c r="CZ188" s="582">
        <v>92.7</v>
      </c>
      <c r="DA188" s="581">
        <f t="shared" si="731"/>
        <v>165.40000000000003</v>
      </c>
      <c r="DB188" s="583">
        <v>258.10000000000002</v>
      </c>
      <c r="DC188" s="582">
        <v>164.1</v>
      </c>
      <c r="DD188" s="581">
        <f t="shared" si="732"/>
        <v>131.9</v>
      </c>
      <c r="DE188" s="583">
        <v>296</v>
      </c>
      <c r="DF188" s="580">
        <v>126.8</v>
      </c>
      <c r="DG188" s="581">
        <f t="shared" si="740"/>
        <v>-284.60000000000002</v>
      </c>
      <c r="DH188" s="1363">
        <v>-157.80000000000001</v>
      </c>
      <c r="DI188" s="1465">
        <v>87.5</v>
      </c>
      <c r="DJ188" s="562">
        <f t="shared" si="733"/>
        <v>183.8</v>
      </c>
      <c r="DK188" s="1469">
        <v>271.3</v>
      </c>
      <c r="DL188" s="1465">
        <v>125</v>
      </c>
      <c r="DM188" s="562">
        <f t="shared" si="734"/>
        <v>251.5</v>
      </c>
      <c r="DN188" s="1469">
        <v>376.5</v>
      </c>
      <c r="DO188" s="1465">
        <v>89.1</v>
      </c>
      <c r="DP188" s="562">
        <f t="shared" si="735"/>
        <v>273.29999999999995</v>
      </c>
      <c r="DQ188" s="1469">
        <v>362.4</v>
      </c>
      <c r="DR188" s="1465">
        <v>157.1</v>
      </c>
      <c r="DS188" s="562">
        <f t="shared" si="736"/>
        <v>231.70000000000002</v>
      </c>
      <c r="DT188" s="1469">
        <v>388.8</v>
      </c>
      <c r="DU188" s="1465">
        <v>109.9</v>
      </c>
      <c r="DV188" s="562">
        <f t="shared" si="741"/>
        <v>127.69999999999999</v>
      </c>
      <c r="DW188" s="1469">
        <v>237.6</v>
      </c>
      <c r="DX188" s="1465">
        <v>136.80000000000001</v>
      </c>
      <c r="DY188" s="1466">
        <f>IF(DY5="A","",+(DY184+DY185+DY186)+DY187)</f>
        <v>161.43823386206753</v>
      </c>
      <c r="DZ188" s="1473">
        <f>SUM(DX188:DY188)</f>
        <v>298.23823386206755</v>
      </c>
      <c r="EA188" s="1466">
        <f>IF(EA5="A","",+(EA184+EA185+EA186)+(EA92+EA93)-(EA94+EA95))</f>
        <v>298.02346022718621</v>
      </c>
      <c r="EB188" s="562">
        <f t="shared" si="738"/>
        <v>285.77776321100146</v>
      </c>
      <c r="EC188" s="1473">
        <f>IF(EC5="A","",+(EC184+EC185+EC186)+(EC92+EC93)-(EC94+EC95))</f>
        <v>583.80122343818766</v>
      </c>
      <c r="ED188" s="1466">
        <f>IF(ED5="A","",+(ED184+ED185+ED186)+(ED92+ED93)-(ED94+ED95))</f>
        <v>282.84412558565805</v>
      </c>
      <c r="EE188" s="562">
        <f t="shared" si="739"/>
        <v>308.9890530992617</v>
      </c>
      <c r="EF188" s="1473">
        <f>IF(EF5="A","",+(EF184+EF185+EF186)+(EF92+EF93)-(EF94+EF95))</f>
        <v>591.83317868491974</v>
      </c>
      <c r="EG188" s="1466">
        <f>IF(EG5="A","",+(EG184+EG185+EG186)+(EG92+EG93)-(EG94+EG95))</f>
        <v>310.45855049066137</v>
      </c>
      <c r="EH188" s="562">
        <f t="shared" si="742"/>
        <v>342.87104932617439</v>
      </c>
      <c r="EI188" s="1473">
        <f>IF(EI5="A","",+(EI184+EI185+EI186)+(EI92+EI93)-(EI94+EI95))</f>
        <v>653.32959981683575</v>
      </c>
      <c r="EJ188" s="1466">
        <f>IF(EJ5="A","",+(EJ184+EJ185+EJ186)+(EJ92+EJ93)-(EJ94+EJ95))</f>
        <v>344.54854959615238</v>
      </c>
      <c r="EK188" s="562">
        <f t="shared" si="743"/>
        <v>378.08511443527993</v>
      </c>
      <c r="EL188" s="1473">
        <f>IF(EL5="A","",+(EL184+EL185+EL186)+(EL92+EL93)-(EL94+EL95))</f>
        <v>722.63366403143232</v>
      </c>
      <c r="EM188" s="1466">
        <f>IF(EM5="A","",+(EM184+EM185+EM186)+(EM92+EM93)-(EM94+EM95))</f>
        <v>380.7242791244538</v>
      </c>
      <c r="EN188" s="562">
        <f t="shared" si="744"/>
        <v>415.25670520121798</v>
      </c>
      <c r="EO188" s="1473">
        <f>IF(EO5="A","",+(EO184+EO185+EO186)+(EO92+EO93)-(EO94+EO95))</f>
        <v>795.98098432567178</v>
      </c>
      <c r="EP188" s="1466">
        <f>IF(EP5="A","",+(EP184+EP185+EP186)+(EP92+EP93)-(EP94+EP95))</f>
        <v>419.59611518746641</v>
      </c>
      <c r="EQ188" s="562">
        <f t="shared" si="745"/>
        <v>454.98260135437494</v>
      </c>
      <c r="ER188" s="1473">
        <f>IF(ER5="A","",+(ER184+ER185+ER186)+(ER92+ER93)-(ER94+ER95))</f>
        <v>874.57871654184135</v>
      </c>
      <c r="ES188" s="1466">
        <f>IF(ES5="A","",+(ES184+ES185+ES186)+(ES92+ES93)-(ES94+ES95))</f>
        <v>462.28905969783062</v>
      </c>
      <c r="ET188" s="562">
        <f t="shared" si="746"/>
        <v>498.40362411988843</v>
      </c>
      <c r="EU188" s="1473">
        <f>IF(EU5="A","",+(EU184+EU185+EU186)+(EU92+EU93)-(EU94+EU95))</f>
        <v>960.69268381771906</v>
      </c>
      <c r="EV188" s="1466">
        <f>IF(EV5="A","",+(EV184+EV185+EV186)+(EV92+EV93)-(EV94+EV95))</f>
        <v>509.17753304117343</v>
      </c>
      <c r="EW188" s="562">
        <f t="shared" si="747"/>
        <v>545.8645992663545</v>
      </c>
      <c r="EX188" s="1473">
        <f>IF(EX5="A","",+(EX184+EX185+EX186)+(EX92+EX93)-(EX94+EX95))</f>
        <v>1055.0421323075279</v>
      </c>
      <c r="EY188" s="1466">
        <f>IF(EY5="A","",+(EY184+EY185+EY186)+(EY92+EY93)-(EY94+EY95))</f>
        <v>560.67342484806898</v>
      </c>
      <c r="EZ188" s="562">
        <f t="shared" si="748"/>
        <v>597.74351522911718</v>
      </c>
      <c r="FA188" s="1473">
        <f>IF(FA5="A","",+(FA184+FA185+FA186)+(FA92+FA93)-(FA94+FA95))</f>
        <v>1158.4169400771862</v>
      </c>
      <c r="FE188"/>
      <c r="FF188"/>
      <c r="FG188"/>
      <c r="FH188"/>
      <c r="FI188"/>
      <c r="FJ188"/>
      <c r="FK188" s="31"/>
    </row>
    <row r="189" spans="1:167" s="443" customFormat="1" ht="13.35" customHeight="1">
      <c r="B189" s="1483" t="s">
        <v>60</v>
      </c>
      <c r="C189" s="1483" t="s">
        <v>496</v>
      </c>
      <c r="D189" s="1484"/>
      <c r="E189" s="1485">
        <f>+SUM(E190:E191)</f>
        <v>0</v>
      </c>
      <c r="F189" s="1485">
        <f t="shared" si="698"/>
        <v>0</v>
      </c>
      <c r="G189" s="1485">
        <f>+SUM(G190:G191)</f>
        <v>0</v>
      </c>
      <c r="H189" s="1485">
        <f>+SUM(H190:H191)</f>
        <v>0</v>
      </c>
      <c r="I189" s="1485">
        <f t="shared" si="699"/>
        <v>0</v>
      </c>
      <c r="J189" s="1485">
        <f>+SUM(J190:J191)</f>
        <v>0</v>
      </c>
      <c r="K189" s="1485">
        <f>+SUM(K190:K191)</f>
        <v>0</v>
      </c>
      <c r="L189" s="1485">
        <f t="shared" si="700"/>
        <v>0</v>
      </c>
      <c r="M189" s="1485">
        <f>+SUM(M190:M191)</f>
        <v>0</v>
      </c>
      <c r="N189" s="1485">
        <f>+SUM(N190:N191)</f>
        <v>0</v>
      </c>
      <c r="O189" s="1485">
        <f t="shared" si="701"/>
        <v>0</v>
      </c>
      <c r="P189" s="1485">
        <f>+SUM(P190:P191)</f>
        <v>0</v>
      </c>
      <c r="Q189" s="1485">
        <f>+SUM(Q190:Q191)</f>
        <v>0</v>
      </c>
      <c r="R189" s="1485">
        <f t="shared" si="702"/>
        <v>0</v>
      </c>
      <c r="S189" s="1485">
        <f>+SUM(S190:S191)</f>
        <v>0</v>
      </c>
      <c r="T189" s="1485">
        <f>+SUM(T190:T191)</f>
        <v>0</v>
      </c>
      <c r="U189" s="1485">
        <f t="shared" si="703"/>
        <v>0</v>
      </c>
      <c r="V189" s="1485">
        <f>+SUM(V190:V191)</f>
        <v>0</v>
      </c>
      <c r="W189" s="1485">
        <f>+SUM(W190:W191)</f>
        <v>0</v>
      </c>
      <c r="X189" s="1485">
        <f t="shared" si="704"/>
        <v>0</v>
      </c>
      <c r="Y189" s="1485">
        <f>+SUM(Y190:Y191)</f>
        <v>0</v>
      </c>
      <c r="Z189" s="1485">
        <f>+SUM(Z190:Z191)</f>
        <v>0</v>
      </c>
      <c r="AA189" s="1485">
        <f t="shared" si="705"/>
        <v>0</v>
      </c>
      <c r="AB189" s="1485">
        <f>+SUM(AB190:AB191)</f>
        <v>0</v>
      </c>
      <c r="AC189" s="1485">
        <f>+SUM(AC190:AC191)</f>
        <v>0</v>
      </c>
      <c r="AD189" s="1485">
        <f t="shared" si="706"/>
        <v>0</v>
      </c>
      <c r="AE189" s="1485">
        <f>+SUM(AE190:AE191)</f>
        <v>0</v>
      </c>
      <c r="AF189" s="1485">
        <f>+SUM(AF190:AF191)</f>
        <v>0</v>
      </c>
      <c r="AG189" s="1485">
        <f t="shared" si="707"/>
        <v>0</v>
      </c>
      <c r="AH189" s="1485">
        <f>+SUM(AH190:AH191)</f>
        <v>0</v>
      </c>
      <c r="AI189" s="1485">
        <f>+SUM(AI190:AI191)</f>
        <v>0</v>
      </c>
      <c r="AJ189" s="1485">
        <f t="shared" si="708"/>
        <v>0</v>
      </c>
      <c r="AK189" s="1485">
        <f>+SUM(AK190:AK191)</f>
        <v>0</v>
      </c>
      <c r="AL189" s="1485">
        <f>+SUM(AL190:AL191)</f>
        <v>-0.58599999999999997</v>
      </c>
      <c r="AM189" s="1485">
        <f t="shared" si="709"/>
        <v>-0.9880000000000001</v>
      </c>
      <c r="AN189" s="1485">
        <f>+SUM(AN190:AN191)</f>
        <v>-1.5740000000000001</v>
      </c>
      <c r="AO189" s="1485">
        <f>+SUM(AO190:AO191)</f>
        <v>-1.0389999999999999</v>
      </c>
      <c r="AP189" s="1485">
        <f t="shared" si="710"/>
        <v>-0.99</v>
      </c>
      <c r="AQ189" s="1485">
        <f>+SUM(AQ190:AQ191)</f>
        <v>-2.0289999999999999</v>
      </c>
      <c r="AR189" s="1485">
        <f>+SUM(AR190:AR191)</f>
        <v>-1.073</v>
      </c>
      <c r="AS189" s="1485">
        <f t="shared" si="711"/>
        <v>-1.222</v>
      </c>
      <c r="AT189" s="1485">
        <f>+SUM(AT190:AT191)</f>
        <v>-2.2949999999999999</v>
      </c>
      <c r="AU189" s="1485">
        <f>+SUM(AU190:AU191)</f>
        <v>-2.29</v>
      </c>
      <c r="AV189" s="1485">
        <f t="shared" si="712"/>
        <v>-2.0250000000000004</v>
      </c>
      <c r="AW189" s="1485">
        <f>+SUM(AW190:AW191)</f>
        <v>-4.3150000000000004</v>
      </c>
      <c r="AX189" s="1485">
        <f>+SUM(AX190:AX191)</f>
        <v>-3.524</v>
      </c>
      <c r="AY189" s="1485">
        <f t="shared" si="713"/>
        <v>-2.2549999999999999</v>
      </c>
      <c r="AZ189" s="1485">
        <f>+SUM(AZ190:AZ191)</f>
        <v>-5.7789999999999999</v>
      </c>
      <c r="BA189" s="1485">
        <f>+SUM(BA190:BA191)</f>
        <v>-2.9460000000000002</v>
      </c>
      <c r="BB189" s="1485">
        <f t="shared" si="714"/>
        <v>-2.5909999999999997</v>
      </c>
      <c r="BC189" s="1485">
        <f>+SUM(BC190:BC191)</f>
        <v>-5.5369999999999999</v>
      </c>
      <c r="BD189" s="1485">
        <f>+SUM(BD190:BD191)</f>
        <v>-5.5949999999999998</v>
      </c>
      <c r="BE189" s="1485">
        <f t="shared" si="715"/>
        <v>-11.535</v>
      </c>
      <c r="BF189" s="1485">
        <f>+SUM(BF190:BF191)</f>
        <v>-17.13</v>
      </c>
      <c r="BG189" s="1485">
        <f>+SUM(BG190:BG191)</f>
        <v>-7.8120000000000003</v>
      </c>
      <c r="BH189" s="1485">
        <f t="shared" si="716"/>
        <v>-2.6870000000000003</v>
      </c>
      <c r="BI189" s="1485">
        <f>+SUM(BI190:BI191)</f>
        <v>-10.499000000000001</v>
      </c>
      <c r="BJ189" s="1485">
        <f>+SUM(BJ190:BJ191)</f>
        <v>-8.4060000000000006</v>
      </c>
      <c r="BK189" s="1485">
        <f t="shared" si="717"/>
        <v>-4.9260000000000002</v>
      </c>
      <c r="BL189" s="1485">
        <f>+SUM(BL190:BL191)</f>
        <v>-13.332000000000001</v>
      </c>
      <c r="BM189" s="1485">
        <f>+SUM(BM190:BM191)</f>
        <v>-19.141999999999999</v>
      </c>
      <c r="BN189" s="1485">
        <f t="shared" si="718"/>
        <v>11.106999999999999</v>
      </c>
      <c r="BO189" s="1485">
        <f>+SUM(BO190:BO191)</f>
        <v>-8.0350000000000001</v>
      </c>
      <c r="BP189" s="1485">
        <f>+SUM(BP190:BP191)</f>
        <v>-4.1020000000000003</v>
      </c>
      <c r="BQ189" s="1485">
        <f t="shared" si="719"/>
        <v>-10.933</v>
      </c>
      <c r="BR189" s="1485">
        <f>+SUM(BR190:BR191)</f>
        <v>-15.035</v>
      </c>
      <c r="BS189" s="1485">
        <f>+SUM(BS190:BS191)</f>
        <v>-12.495999999999999</v>
      </c>
      <c r="BT189" s="1485">
        <f t="shared" si="720"/>
        <v>-13.905000000000001</v>
      </c>
      <c r="BU189" s="1485">
        <f>+SUM(BU190:BU191)</f>
        <v>-26.401</v>
      </c>
      <c r="BV189" s="1485">
        <f>+SUM(BV190:BV191)</f>
        <v>-14.832000000000001</v>
      </c>
      <c r="BW189" s="1485">
        <f t="shared" si="721"/>
        <v>-12.817999999999998</v>
      </c>
      <c r="BX189" s="1485">
        <f>+SUM(BX190:BX191)</f>
        <v>-27.65</v>
      </c>
      <c r="BY189" s="1485">
        <f>+SUM(BY190:BY191)</f>
        <v>-10.117000000000001</v>
      </c>
      <c r="BZ189" s="1485">
        <f t="shared" si="722"/>
        <v>-19.113999999999997</v>
      </c>
      <c r="CA189" s="1485">
        <f>+SUM(CA190:CA191)</f>
        <v>-29.230999999999998</v>
      </c>
      <c r="CB189" s="1485">
        <f>+SUM(CB190:CB191)</f>
        <v>-31.454999999999998</v>
      </c>
      <c r="CC189" s="1485">
        <f t="shared" si="723"/>
        <v>-54.131999999999991</v>
      </c>
      <c r="CD189" s="1485">
        <f>+SUM(CD190:CD191)</f>
        <v>-85.586999999999989</v>
      </c>
      <c r="CE189" s="1485">
        <f>+SUM(CE190:CE191)</f>
        <v>-60.041000000000004</v>
      </c>
      <c r="CF189" s="1485">
        <f t="shared" si="724"/>
        <v>-26.259999999999998</v>
      </c>
      <c r="CG189" s="1485">
        <f>+SUM(CG190:CG191)</f>
        <v>-86.301000000000002</v>
      </c>
      <c r="CH189" s="1485">
        <f>+SUM(CH190:CH191)</f>
        <v>-9.6829999999999998</v>
      </c>
      <c r="CI189" s="1485">
        <f t="shared" si="725"/>
        <v>-21.131999999999998</v>
      </c>
      <c r="CJ189" s="1485">
        <f>+SUM(CJ190:CJ191)</f>
        <v>-30.814999999999998</v>
      </c>
      <c r="CK189" s="1485">
        <f>+SUM(CK190:CK191)</f>
        <v>-30.501000000000001</v>
      </c>
      <c r="CL189" s="1485">
        <f t="shared" si="726"/>
        <v>-19.918000000000003</v>
      </c>
      <c r="CM189" s="1485">
        <f>+SUM(CM190:CM191)</f>
        <v>-50.419000000000004</v>
      </c>
      <c r="CN189" s="1485">
        <f>+SUM(CN190:CN191)</f>
        <v>-13.907999999999999</v>
      </c>
      <c r="CO189" s="1485">
        <f t="shared" si="727"/>
        <v>-18.037999999999997</v>
      </c>
      <c r="CP189" s="1485">
        <f>+SUM(CP190:CP191)</f>
        <v>-31.945999999999998</v>
      </c>
      <c r="CQ189" s="1485">
        <f>+SUM(CQ190:CQ191)</f>
        <v>-10.451000000000001</v>
      </c>
      <c r="CR189" s="1485">
        <f t="shared" si="728"/>
        <v>-17.975999999999999</v>
      </c>
      <c r="CS189" s="1485">
        <f>+SUM(CS190:CS191)</f>
        <v>-28.427</v>
      </c>
      <c r="CT189" s="1485">
        <f>+SUM(CT190:CT191)</f>
        <v>-16.760999999999999</v>
      </c>
      <c r="CU189" s="1485">
        <f t="shared" si="729"/>
        <v>-19.653000000000002</v>
      </c>
      <c r="CV189" s="1485">
        <f>+SUM(CV190:CV191)</f>
        <v>-36.414000000000001</v>
      </c>
      <c r="CW189" s="1485">
        <f>+SUM(CW190:CW191)</f>
        <v>-17.186999999999998</v>
      </c>
      <c r="CX189" s="1485">
        <f t="shared" si="730"/>
        <v>-45.655000000000001</v>
      </c>
      <c r="CY189" s="1485">
        <f>+SUM(CY190:CY191)</f>
        <v>-62.841999999999999</v>
      </c>
      <c r="CZ189" s="1485">
        <f>+SUM(CZ190:CZ191)</f>
        <v>-20.2</v>
      </c>
      <c r="DA189" s="1485">
        <f t="shared" si="731"/>
        <v>-24.400000000000002</v>
      </c>
      <c r="DB189" s="1485">
        <f>+SUM(DB190:DB191)</f>
        <v>-44.6</v>
      </c>
      <c r="DC189" s="1485">
        <f>+SUM(DC190:DC191)</f>
        <v>-66.900000000000006</v>
      </c>
      <c r="DD189" s="1485">
        <f t="shared" si="732"/>
        <v>-19.699999999999989</v>
      </c>
      <c r="DE189" s="1485">
        <f>+SUM(DE190:DE191)</f>
        <v>-86.6</v>
      </c>
      <c r="DF189" s="1485">
        <f>+SUM(DF190:DF191)</f>
        <v>-49.8</v>
      </c>
      <c r="DG189" s="1485">
        <f t="shared" si="740"/>
        <v>-61.600000000000009</v>
      </c>
      <c r="DH189" s="1486">
        <f>+SUM(DH190:DH191)</f>
        <v>-111.4</v>
      </c>
      <c r="DI189" s="1485">
        <f>+SUM(DI190:DI191)</f>
        <v>-19.2</v>
      </c>
      <c r="DJ189" s="1485">
        <f t="shared" si="733"/>
        <v>-47.5</v>
      </c>
      <c r="DK189" s="1486">
        <f>+SUM(DK190:DK191)</f>
        <v>-66.7</v>
      </c>
      <c r="DL189" s="1485">
        <f>+SUM(DL190:DL191)</f>
        <v>-20.9</v>
      </c>
      <c r="DM189" s="1485">
        <f t="shared" si="734"/>
        <v>-56.300000000000004</v>
      </c>
      <c r="DN189" s="1486">
        <f>+SUM(DN190:DN191)</f>
        <v>-77.2</v>
      </c>
      <c r="DO189" s="1485">
        <f>+SUM(DO190:DO191)</f>
        <v>-42.7</v>
      </c>
      <c r="DP189" s="1485">
        <f t="shared" si="735"/>
        <v>-53.2</v>
      </c>
      <c r="DQ189" s="1486">
        <f>+SUM(DQ190:DQ191)</f>
        <v>-95.9</v>
      </c>
      <c r="DR189" s="1485">
        <f>+SUM(DR190:DR191)</f>
        <v>-42.7</v>
      </c>
      <c r="DS189" s="1485">
        <f t="shared" si="736"/>
        <v>-47.099999999999994</v>
      </c>
      <c r="DT189" s="1486">
        <f>+SUM(DT190:DT191)</f>
        <v>-89.8</v>
      </c>
      <c r="DU189" s="1485">
        <f>+SUM(DU190:DU191)</f>
        <v>-43.900000000000006</v>
      </c>
      <c r="DV189" s="1485">
        <f t="shared" si="741"/>
        <v>-58.699999999999989</v>
      </c>
      <c r="DW189" s="1486">
        <f>+SUM(DW190:DW191)</f>
        <v>-102.6</v>
      </c>
      <c r="DX189" s="1485">
        <f>+SUM(DX190:DX191)</f>
        <v>-40.299999999999997</v>
      </c>
      <c r="DY189" s="1485">
        <f>+SUM(DY190:DY191)</f>
        <v>-61.749015898373408</v>
      </c>
      <c r="DZ189" s="1486">
        <f>SUM(DX189:DY189)</f>
        <v>-102.0490158983734</v>
      </c>
      <c r="EA189" s="1485">
        <f>+SUM(EA190:EA191)</f>
        <v>-54.290355966718408</v>
      </c>
      <c r="EB189" s="1485">
        <f t="shared" si="738"/>
        <v>-55.963009729802948</v>
      </c>
      <c r="EC189" s="1486">
        <f>+SUM(EC190:EC191)</f>
        <v>-110.25336569652136</v>
      </c>
      <c r="ED189" s="1485">
        <f>+SUM(ED190:ED191)</f>
        <v>-56.579521263865018</v>
      </c>
      <c r="EE189" s="1485">
        <f t="shared" si="739"/>
        <v>-58.329685573182502</v>
      </c>
      <c r="EF189" s="1486">
        <f>+SUM(EF190:EF191)</f>
        <v>-114.90920683704752</v>
      </c>
      <c r="EG189" s="1485">
        <f>+SUM(EG190:EG191)</f>
        <v>-61.671678177612861</v>
      </c>
      <c r="EH189" s="1485">
        <f t="shared" si="742"/>
        <v>-63.579357274768924</v>
      </c>
      <c r="EI189" s="1486">
        <f>+SUM(EI190:EI191)</f>
        <v>-125.25103545238179</v>
      </c>
      <c r="EJ189" s="1485">
        <f>+SUM(EJ190:EJ191)</f>
        <v>-67.222129213598024</v>
      </c>
      <c r="EK189" s="1485">
        <f t="shared" si="743"/>
        <v>-69.301499429498122</v>
      </c>
      <c r="EL189" s="1486">
        <f>+SUM(EL190:EL191)</f>
        <v>-136.52362864309615</v>
      </c>
      <c r="EM189" s="1485">
        <f>+SUM(EM190:EM191)</f>
        <v>-73.272120842821849</v>
      </c>
      <c r="EN189" s="1485">
        <f t="shared" si="744"/>
        <v>-75.538634378152992</v>
      </c>
      <c r="EO189" s="1486">
        <f>+SUM(EO190:EO191)</f>
        <v>-148.81075522097484</v>
      </c>
      <c r="EP189" s="1485">
        <f>+SUM(EP190:EP191)</f>
        <v>-79.866611718675827</v>
      </c>
      <c r="EQ189" s="1485">
        <f t="shared" si="745"/>
        <v>-82.337111472186749</v>
      </c>
      <c r="ER189" s="1486">
        <f>+SUM(ER190:ER191)</f>
        <v>-162.20372319086258</v>
      </c>
      <c r="ES189" s="1485">
        <f>+SUM(ES190:ES191)</f>
        <v>-87.054606773356667</v>
      </c>
      <c r="ET189" s="1485">
        <f t="shared" si="746"/>
        <v>-89.747451504683553</v>
      </c>
      <c r="EU189" s="1486">
        <f>+SUM(EU190:EU191)</f>
        <v>-176.80205827804022</v>
      </c>
      <c r="EV189" s="1485">
        <f>+SUM(EV190:EV191)</f>
        <v>-94.889521382958776</v>
      </c>
      <c r="EW189" s="1485">
        <f t="shared" si="747"/>
        <v>-97.824722140105081</v>
      </c>
      <c r="EX189" s="1486">
        <f>+SUM(EX190:EX191)</f>
        <v>-192.71424352306386</v>
      </c>
      <c r="EY189" s="1485">
        <f>+SUM(EY190:EY191)</f>
        <v>-103.42957830742506</v>
      </c>
      <c r="EZ189" s="1485">
        <f t="shared" si="748"/>
        <v>-106.62894713271456</v>
      </c>
      <c r="FA189" s="1486">
        <f>+SUM(FA190:FA191)</f>
        <v>-210.05852544013962</v>
      </c>
      <c r="FE189"/>
      <c r="FF189"/>
      <c r="FG189"/>
      <c r="FH189"/>
      <c r="FI189"/>
      <c r="FJ189"/>
      <c r="FK189" s="1487"/>
    </row>
    <row r="190" spans="1:167" s="236" customFormat="1" ht="13.35" customHeight="1" outlineLevel="1">
      <c r="B190" s="242" t="s">
        <v>61</v>
      </c>
      <c r="C190" s="242" t="s">
        <v>496</v>
      </c>
      <c r="D190" s="243"/>
      <c r="E190" s="516"/>
      <c r="F190" s="482">
        <f t="shared" si="698"/>
        <v>0</v>
      </c>
      <c r="G190" s="586"/>
      <c r="H190" s="518"/>
      <c r="I190" s="482">
        <f t="shared" si="699"/>
        <v>0</v>
      </c>
      <c r="J190" s="586"/>
      <c r="K190" s="518"/>
      <c r="L190" s="482">
        <f t="shared" si="700"/>
        <v>0</v>
      </c>
      <c r="M190" s="586"/>
      <c r="N190" s="518"/>
      <c r="O190" s="482">
        <f t="shared" si="701"/>
        <v>0</v>
      </c>
      <c r="P190" s="586"/>
      <c r="Q190" s="518"/>
      <c r="R190" s="482">
        <f t="shared" si="702"/>
        <v>0</v>
      </c>
      <c r="S190" s="586"/>
      <c r="T190" s="518"/>
      <c r="U190" s="482">
        <f t="shared" si="703"/>
        <v>0</v>
      </c>
      <c r="V190" s="586"/>
      <c r="W190" s="518"/>
      <c r="X190" s="482">
        <f t="shared" si="704"/>
        <v>0</v>
      </c>
      <c r="Y190" s="586"/>
      <c r="Z190" s="518"/>
      <c r="AA190" s="482">
        <f t="shared" si="705"/>
        <v>0</v>
      </c>
      <c r="AB190" s="586"/>
      <c r="AC190" s="518"/>
      <c r="AD190" s="482">
        <f t="shared" si="706"/>
        <v>0</v>
      </c>
      <c r="AE190" s="586"/>
      <c r="AF190" s="518"/>
      <c r="AG190" s="482">
        <f t="shared" si="707"/>
        <v>0</v>
      </c>
      <c r="AH190" s="586"/>
      <c r="AI190" s="518"/>
      <c r="AJ190" s="482">
        <f t="shared" si="708"/>
        <v>0</v>
      </c>
      <c r="AK190" s="586"/>
      <c r="AL190" s="519">
        <v>-0.58599999999999997</v>
      </c>
      <c r="AM190" s="482">
        <f t="shared" si="709"/>
        <v>-0.9880000000000001</v>
      </c>
      <c r="AN190" s="587">
        <v>-1.5740000000000001</v>
      </c>
      <c r="AO190" s="519">
        <v>-1.0389999999999999</v>
      </c>
      <c r="AP190" s="482">
        <f t="shared" si="710"/>
        <v>-0.99</v>
      </c>
      <c r="AQ190" s="587">
        <v>-2.0289999999999999</v>
      </c>
      <c r="AR190" s="519">
        <v>-1.073</v>
      </c>
      <c r="AS190" s="482">
        <f t="shared" si="711"/>
        <v>-1.222</v>
      </c>
      <c r="AT190" s="587">
        <v>-2.2949999999999999</v>
      </c>
      <c r="AU190" s="1481"/>
      <c r="AV190" s="482">
        <f t="shared" si="712"/>
        <v>0</v>
      </c>
      <c r="AW190" s="586"/>
      <c r="AX190" s="1482">
        <v>-3.524</v>
      </c>
      <c r="AY190" s="482">
        <f t="shared" si="713"/>
        <v>-2.2549999999999999</v>
      </c>
      <c r="AZ190" s="587">
        <v>-5.7789999999999999</v>
      </c>
      <c r="BA190" s="1482">
        <v>-2.9460000000000002</v>
      </c>
      <c r="BB190" s="482">
        <f t="shared" si="714"/>
        <v>-2.5909999999999997</v>
      </c>
      <c r="BC190" s="587">
        <v>-5.5369999999999999</v>
      </c>
      <c r="BD190" s="1482">
        <v>-5.5949999999999998</v>
      </c>
      <c r="BE190" s="482">
        <f t="shared" si="715"/>
        <v>-11.535</v>
      </c>
      <c r="BF190" s="587">
        <v>-17.13</v>
      </c>
      <c r="BG190" s="1482">
        <v>-7.8120000000000003</v>
      </c>
      <c r="BH190" s="482">
        <f t="shared" si="716"/>
        <v>-2.6870000000000003</v>
      </c>
      <c r="BI190" s="587">
        <v>-10.499000000000001</v>
      </c>
      <c r="BJ190" s="1482">
        <v>-8.4060000000000006</v>
      </c>
      <c r="BK190" s="482">
        <f t="shared" si="717"/>
        <v>-4.9260000000000002</v>
      </c>
      <c r="BL190" s="587">
        <v>-13.332000000000001</v>
      </c>
      <c r="BM190" s="1482">
        <v>-3.2320000000000002</v>
      </c>
      <c r="BN190" s="482">
        <f t="shared" si="718"/>
        <v>-1.7599999999999998</v>
      </c>
      <c r="BO190" s="589">
        <v>-4.992</v>
      </c>
      <c r="BP190" s="1482">
        <v>-4.1020000000000003</v>
      </c>
      <c r="BQ190" s="482">
        <f t="shared" si="719"/>
        <v>-10.227</v>
      </c>
      <c r="BR190" s="589">
        <v>-14.329000000000001</v>
      </c>
      <c r="BS190" s="1481">
        <f>-9.065</f>
        <v>-9.0649999999999995</v>
      </c>
      <c r="BT190" s="482">
        <f t="shared" si="720"/>
        <v>-9.5310000000000006</v>
      </c>
      <c r="BU190" s="589">
        <v>-18.596</v>
      </c>
      <c r="BV190" s="1482">
        <v>-7.88</v>
      </c>
      <c r="BW190" s="482">
        <f t="shared" si="721"/>
        <v>-9.9510000000000005</v>
      </c>
      <c r="BX190" s="589">
        <v>-17.831</v>
      </c>
      <c r="BY190" s="1482">
        <v>-8.0129999999999999</v>
      </c>
      <c r="BZ190" s="482">
        <f t="shared" si="722"/>
        <v>-14.530999999999997</v>
      </c>
      <c r="CA190" s="588">
        <f>-19.9-2.644</f>
        <v>-22.543999999999997</v>
      </c>
      <c r="CB190" s="1481"/>
      <c r="CC190" s="482">
        <f t="shared" si="723"/>
        <v>-21.890999999999998</v>
      </c>
      <c r="CD190" s="588">
        <f>-17.506-4.385</f>
        <v>-21.890999999999998</v>
      </c>
      <c r="CE190" s="1482">
        <v>0</v>
      </c>
      <c r="CF190" s="482">
        <f t="shared" si="724"/>
        <v>-45.344000000000001</v>
      </c>
      <c r="CG190" s="588">
        <f>-39.918-5.426</f>
        <v>-45.344000000000001</v>
      </c>
      <c r="CH190" s="1482">
        <v>-9.6829999999999998</v>
      </c>
      <c r="CI190" s="482">
        <f t="shared" si="725"/>
        <v>-21.131999999999998</v>
      </c>
      <c r="CJ190" s="588">
        <f>-20.843-9.972</f>
        <v>-30.814999999999998</v>
      </c>
      <c r="CK190" s="1481">
        <f>-9.624-7.572-13.305</f>
        <v>-30.501000000000001</v>
      </c>
      <c r="CL190" s="482">
        <f t="shared" si="726"/>
        <v>-19.918000000000003</v>
      </c>
      <c r="CM190" s="588">
        <f>-21.074-14.477-14.868</f>
        <v>-50.419000000000004</v>
      </c>
      <c r="CN190" s="1482">
        <v>0</v>
      </c>
      <c r="CO190" s="482">
        <f t="shared" si="727"/>
        <v>-31.945999999999998</v>
      </c>
      <c r="CP190" s="588">
        <f>-23.497-6.997-1.452</f>
        <v>-31.945999999999998</v>
      </c>
      <c r="CQ190" s="1482">
        <v>0</v>
      </c>
      <c r="CR190" s="482">
        <f t="shared" si="728"/>
        <v>-28.427</v>
      </c>
      <c r="CS190" s="588">
        <f>+-23.897+-4.53</f>
        <v>-28.427</v>
      </c>
      <c r="CT190" s="1481">
        <f>+-13.427-3.334</f>
        <v>-16.760999999999999</v>
      </c>
      <c r="CU190" s="482">
        <f t="shared" si="729"/>
        <v>-19.653000000000002</v>
      </c>
      <c r="CV190" s="588">
        <f>+-28.858-7.556</f>
        <v>-36.414000000000001</v>
      </c>
      <c r="CW190" s="1481">
        <f>+-15.011-2.176</f>
        <v>-17.186999999999998</v>
      </c>
      <c r="CX190" s="482">
        <f t="shared" si="730"/>
        <v>-18.096000000000004</v>
      </c>
      <c r="CY190" s="588">
        <f>-26.031-9.252</f>
        <v>-35.283000000000001</v>
      </c>
      <c r="CZ190" s="1481">
        <f>+-10-5.1</f>
        <v>-15.1</v>
      </c>
      <c r="DA190" s="482">
        <f t="shared" si="731"/>
        <v>-26.9</v>
      </c>
      <c r="DB190" s="588">
        <f>-25.8-16.2</f>
        <v>-42</v>
      </c>
      <c r="DC190" s="1481">
        <f>-22.7-13.3</f>
        <v>-36</v>
      </c>
      <c r="DD190" s="482">
        <f t="shared" si="732"/>
        <v>-50.599999999999994</v>
      </c>
      <c r="DE190" s="588">
        <f>-59.9-26.7</f>
        <v>-86.6</v>
      </c>
      <c r="DF190" s="1481">
        <v>0</v>
      </c>
      <c r="DG190" s="482">
        <f t="shared" si="740"/>
        <v>0</v>
      </c>
      <c r="DH190" s="1279">
        <f>IF(Assumptions!DH178&lt;&gt;"",-(Assumptions!DH178*(Model!DH57+Model!DH65)),0)</f>
        <v>0</v>
      </c>
      <c r="DI190" s="568">
        <f>IF(Assumptions!DI178&lt;&gt;"",-(Assumptions!DI178*(Model!DI57)),0)</f>
        <v>0</v>
      </c>
      <c r="DJ190" s="482">
        <f>+DK190-DI190</f>
        <v>0</v>
      </c>
      <c r="DK190" s="1276">
        <f>IF(Assumptions!DK178&lt;&gt;"",-(Assumptions!DK178*(Model!DK57)),0)</f>
        <v>0</v>
      </c>
      <c r="DL190" s="568">
        <f>IF(Assumptions!DL178&lt;&gt;"",-(Assumptions!DL178*(Model!DL57)),0)</f>
        <v>0</v>
      </c>
      <c r="DM190" s="482">
        <f t="shared" si="734"/>
        <v>0</v>
      </c>
      <c r="DN190" s="1276">
        <f>IF(Assumptions!DN178&lt;&gt;"",-(Assumptions!DN178*(Model!DN57)),0)</f>
        <v>0</v>
      </c>
      <c r="DO190" s="568">
        <f>IF(Assumptions!DO178&lt;&gt;"",-(Assumptions!DO178*(Model!DO57)),0)</f>
        <v>0</v>
      </c>
      <c r="DP190" s="482">
        <f t="shared" si="735"/>
        <v>0</v>
      </c>
      <c r="DQ190" s="1276">
        <f>IF(Assumptions!DQ178&lt;&gt;"",-(Assumptions!DQ178*(Model!DQ57)),0)</f>
        <v>0</v>
      </c>
      <c r="DR190" s="568">
        <f>IF(Assumptions!DR178&lt;&gt;"",-(Assumptions!DR178*(Model!DR57)),0)</f>
        <v>0</v>
      </c>
      <c r="DS190" s="482">
        <f t="shared" si="736"/>
        <v>0</v>
      </c>
      <c r="DT190" s="1276">
        <f>IF(Assumptions!DT178&lt;&gt;"",-(Assumptions!DT178*(Model!DT57)),0)</f>
        <v>0</v>
      </c>
      <c r="DU190" s="568">
        <f>IF(Assumptions!DU178&lt;&gt;"",-(Assumptions!DU178*(Model!DU57)),0)</f>
        <v>0</v>
      </c>
      <c r="DV190" s="482">
        <f t="shared" si="741"/>
        <v>0</v>
      </c>
      <c r="DW190" s="1276">
        <f>IF(Assumptions!DW178&lt;&gt;"",-(Assumptions!DW178*(Model!DW57)),0)</f>
        <v>0</v>
      </c>
      <c r="DX190" s="568">
        <f>IF(Assumptions!DX178&lt;&gt;"",-(Assumptions!DX178*(Model!DX57)),0)</f>
        <v>0</v>
      </c>
      <c r="DY190" s="482">
        <f t="shared" ref="DY190:DY208" si="749">+DZ190-DX190</f>
        <v>0</v>
      </c>
      <c r="DZ190" s="1276">
        <f>IF(Assumptions!DZ178&lt;&gt;"",-(Assumptions!DZ178*(Model!DZ57)),0)</f>
        <v>0</v>
      </c>
      <c r="EA190" s="568">
        <f>IF(Assumptions!EA178&lt;&gt;"",-(Assumptions!EA178*(Model!EA57)),0)</f>
        <v>0</v>
      </c>
      <c r="EB190" s="482">
        <f t="shared" si="738"/>
        <v>0</v>
      </c>
      <c r="EC190" s="1276">
        <f>IF(Assumptions!EC178&lt;&gt;"",-(Assumptions!EC178*(Model!EC57)),0)</f>
        <v>0</v>
      </c>
      <c r="ED190" s="568">
        <f>IF(Assumptions!ED178&lt;&gt;"",-(Assumptions!ED178*(Model!ED57)),0)</f>
        <v>0</v>
      </c>
      <c r="EE190" s="482">
        <f t="shared" si="739"/>
        <v>0</v>
      </c>
      <c r="EF190" s="1276">
        <f>IF(Assumptions!EF178&lt;&gt;"",-(Assumptions!EF178*(Model!EF57)),0)</f>
        <v>0</v>
      </c>
      <c r="EG190" s="568">
        <f>IF(Assumptions!EG178&lt;&gt;"",-(Assumptions!EG178*(Model!EG57)),0)</f>
        <v>0</v>
      </c>
      <c r="EH190" s="482">
        <f t="shared" si="742"/>
        <v>0</v>
      </c>
      <c r="EI190" s="1276">
        <f>IF(Assumptions!EI178&lt;&gt;"",-(Assumptions!EI178*(Model!EI57)),0)</f>
        <v>0</v>
      </c>
      <c r="EJ190" s="568">
        <f>IF(Assumptions!EJ178&lt;&gt;"",-(Assumptions!EJ178*(Model!EJ57)),0)</f>
        <v>0</v>
      </c>
      <c r="EK190" s="482">
        <f t="shared" si="743"/>
        <v>0</v>
      </c>
      <c r="EL190" s="1276">
        <f>IF(Assumptions!EL178&lt;&gt;"",-(Assumptions!EL178*(Model!EL57)),0)</f>
        <v>0</v>
      </c>
      <c r="EM190" s="568">
        <f>IF(Assumptions!EM178&lt;&gt;"",-(Assumptions!EM178*(Model!EM57)),0)</f>
        <v>0</v>
      </c>
      <c r="EN190" s="482">
        <f t="shared" si="744"/>
        <v>0</v>
      </c>
      <c r="EO190" s="1276">
        <f>IF(Assumptions!EO178&lt;&gt;"",-(Assumptions!EO178*(Model!EO57)),0)</f>
        <v>0</v>
      </c>
      <c r="EP190" s="568">
        <f>IF(Assumptions!EP178&lt;&gt;"",-(Assumptions!EP178*(Model!EP57)),0)</f>
        <v>0</v>
      </c>
      <c r="EQ190" s="482">
        <f t="shared" si="745"/>
        <v>0</v>
      </c>
      <c r="ER190" s="1276">
        <f>IF(Assumptions!ER178&lt;&gt;"",-(Assumptions!ER178*(Model!ER57)),0)</f>
        <v>0</v>
      </c>
      <c r="ES190" s="568">
        <f>IF(Assumptions!ES178&lt;&gt;"",-(Assumptions!ES178*(Model!ES57)),0)</f>
        <v>0</v>
      </c>
      <c r="ET190" s="482">
        <f t="shared" si="746"/>
        <v>0</v>
      </c>
      <c r="EU190" s="1276">
        <f>IF(Assumptions!EU178&lt;&gt;"",-(Assumptions!EU178*(Model!EU57)),0)</f>
        <v>0</v>
      </c>
      <c r="EV190" s="568">
        <f>IF(Assumptions!EV178&lt;&gt;"",-(Assumptions!EV178*(Model!EV57)),0)</f>
        <v>0</v>
      </c>
      <c r="EW190" s="482">
        <f t="shared" si="747"/>
        <v>0</v>
      </c>
      <c r="EX190" s="1276">
        <f>IF(Assumptions!EX178&lt;&gt;"",-(Assumptions!EX178*(Model!EX57)),0)</f>
        <v>0</v>
      </c>
      <c r="EY190" s="568">
        <f>IF(Assumptions!EY178&lt;&gt;"",-(Assumptions!EY178*(Model!EY57)),0)</f>
        <v>0</v>
      </c>
      <c r="EZ190" s="482">
        <f t="shared" si="748"/>
        <v>0</v>
      </c>
      <c r="FA190" s="1276">
        <f>IF(Assumptions!FA178&lt;&gt;"",-(Assumptions!FA178*(Model!FA57)),0)</f>
        <v>0</v>
      </c>
      <c r="FE190"/>
      <c r="FF190"/>
      <c r="FG190"/>
      <c r="FH190"/>
      <c r="FI190"/>
      <c r="FJ190"/>
      <c r="FK190" s="35"/>
    </row>
    <row r="191" spans="1:167" s="236" customFormat="1" ht="13.35" customHeight="1" outlineLevel="1" thickBot="1">
      <c r="B191" s="242" t="s">
        <v>62</v>
      </c>
      <c r="C191" s="242" t="s">
        <v>496</v>
      </c>
      <c r="D191" s="243"/>
      <c r="E191" s="528"/>
      <c r="F191" s="482">
        <f t="shared" si="698"/>
        <v>0</v>
      </c>
      <c r="G191" s="575"/>
      <c r="H191" s="530"/>
      <c r="I191" s="482">
        <f t="shared" si="699"/>
        <v>0</v>
      </c>
      <c r="J191" s="575"/>
      <c r="K191" s="530"/>
      <c r="L191" s="482">
        <f t="shared" si="700"/>
        <v>0</v>
      </c>
      <c r="M191" s="575"/>
      <c r="N191" s="530"/>
      <c r="O191" s="482">
        <f t="shared" si="701"/>
        <v>0</v>
      </c>
      <c r="P191" s="575"/>
      <c r="Q191" s="530"/>
      <c r="R191" s="482">
        <f t="shared" si="702"/>
        <v>0</v>
      </c>
      <c r="S191" s="575"/>
      <c r="T191" s="530"/>
      <c r="U191" s="482">
        <f t="shared" si="703"/>
        <v>0</v>
      </c>
      <c r="V191" s="575"/>
      <c r="W191" s="530"/>
      <c r="X191" s="482">
        <f t="shared" si="704"/>
        <v>0</v>
      </c>
      <c r="Y191" s="575"/>
      <c r="Z191" s="530"/>
      <c r="AA191" s="482">
        <f t="shared" si="705"/>
        <v>0</v>
      </c>
      <c r="AB191" s="575"/>
      <c r="AC191" s="530"/>
      <c r="AD191" s="482">
        <f t="shared" si="706"/>
        <v>0</v>
      </c>
      <c r="AE191" s="575"/>
      <c r="AF191" s="530"/>
      <c r="AG191" s="482">
        <f t="shared" si="707"/>
        <v>0</v>
      </c>
      <c r="AH191" s="575"/>
      <c r="AI191" s="530"/>
      <c r="AJ191" s="482">
        <f t="shared" si="708"/>
        <v>0</v>
      </c>
      <c r="AK191" s="575"/>
      <c r="AL191" s="530"/>
      <c r="AM191" s="482">
        <f t="shared" si="709"/>
        <v>0</v>
      </c>
      <c r="AN191" s="575"/>
      <c r="AO191" s="530"/>
      <c r="AP191" s="482">
        <f t="shared" si="710"/>
        <v>0</v>
      </c>
      <c r="AQ191" s="575"/>
      <c r="AR191" s="530"/>
      <c r="AS191" s="482">
        <f t="shared" si="711"/>
        <v>0</v>
      </c>
      <c r="AT191" s="575"/>
      <c r="AU191" s="531">
        <v>-2.29</v>
      </c>
      <c r="AV191" s="482">
        <f t="shared" si="712"/>
        <v>-2.0250000000000004</v>
      </c>
      <c r="AW191" s="576">
        <v>-4.3150000000000004</v>
      </c>
      <c r="AX191" s="531">
        <v>0</v>
      </c>
      <c r="AY191" s="482">
        <f t="shared" si="713"/>
        <v>0</v>
      </c>
      <c r="AZ191" s="576">
        <v>0</v>
      </c>
      <c r="BA191" s="531">
        <v>0</v>
      </c>
      <c r="BB191" s="482">
        <f t="shared" si="714"/>
        <v>0</v>
      </c>
      <c r="BC191" s="576">
        <v>0</v>
      </c>
      <c r="BD191" s="531">
        <v>0</v>
      </c>
      <c r="BE191" s="482">
        <f t="shared" si="715"/>
        <v>0</v>
      </c>
      <c r="BF191" s="576">
        <v>0</v>
      </c>
      <c r="BG191" s="531">
        <v>0</v>
      </c>
      <c r="BH191" s="482">
        <f t="shared" si="716"/>
        <v>0</v>
      </c>
      <c r="BI191" s="576">
        <v>0</v>
      </c>
      <c r="BJ191" s="531">
        <v>0</v>
      </c>
      <c r="BK191" s="482">
        <f t="shared" si="717"/>
        <v>0</v>
      </c>
      <c r="BL191" s="576">
        <v>0</v>
      </c>
      <c r="BM191" s="531">
        <v>-15.91</v>
      </c>
      <c r="BN191" s="482">
        <f t="shared" si="718"/>
        <v>12.867000000000001</v>
      </c>
      <c r="BO191" s="585">
        <v>-3.0430000000000001</v>
      </c>
      <c r="BP191" s="531">
        <v>0</v>
      </c>
      <c r="BQ191" s="482">
        <f t="shared" si="719"/>
        <v>-0.70599999999999996</v>
      </c>
      <c r="BR191" s="585">
        <v>-0.70599999999999996</v>
      </c>
      <c r="BS191" s="530">
        <f>-3.431</f>
        <v>-3.431</v>
      </c>
      <c r="BT191" s="482">
        <f t="shared" si="720"/>
        <v>-4.3739999999999997</v>
      </c>
      <c r="BU191" s="578">
        <f>-7.805</f>
        <v>-7.8049999999999997</v>
      </c>
      <c r="BV191" s="531">
        <v>-6.952</v>
      </c>
      <c r="BW191" s="482">
        <f t="shared" si="721"/>
        <v>-2.8670000000000009</v>
      </c>
      <c r="BX191" s="585">
        <v>-9.8190000000000008</v>
      </c>
      <c r="BY191" s="531">
        <v>-2.1040000000000001</v>
      </c>
      <c r="BZ191" s="482">
        <f t="shared" si="722"/>
        <v>-4.5830000000000002</v>
      </c>
      <c r="CA191" s="585">
        <v>-6.6870000000000003</v>
      </c>
      <c r="CB191" s="530">
        <f>-6.415-1.857-23.183</f>
        <v>-31.454999999999998</v>
      </c>
      <c r="CC191" s="482">
        <f t="shared" si="723"/>
        <v>-32.241</v>
      </c>
      <c r="CD191" s="585">
        <v>-63.695999999999998</v>
      </c>
      <c r="CE191" s="530">
        <f>-36.027-21.26-2.754</f>
        <v>-60.041000000000004</v>
      </c>
      <c r="CF191" s="482">
        <f t="shared" si="724"/>
        <v>19.084000000000003</v>
      </c>
      <c r="CG191" s="585">
        <v>-40.957000000000001</v>
      </c>
      <c r="CH191" s="531">
        <v>0</v>
      </c>
      <c r="CI191" s="482">
        <f t="shared" si="725"/>
        <v>0</v>
      </c>
      <c r="CJ191" s="585">
        <v>0</v>
      </c>
      <c r="CK191" s="531">
        <v>0</v>
      </c>
      <c r="CL191" s="482">
        <f t="shared" si="726"/>
        <v>0</v>
      </c>
      <c r="CM191" s="578">
        <f>IF(Assumptions!CM179&lt;&gt;"",-Assumptions!CM179,0)</f>
        <v>0</v>
      </c>
      <c r="CN191" s="530">
        <f>-10.247-3.661</f>
        <v>-13.907999999999999</v>
      </c>
      <c r="CO191" s="482">
        <f t="shared" si="727"/>
        <v>13.907999999999999</v>
      </c>
      <c r="CP191" s="585">
        <v>0</v>
      </c>
      <c r="CQ191" s="530">
        <f>+-7.768-2.683</f>
        <v>-10.451000000000001</v>
      </c>
      <c r="CR191" s="482">
        <f t="shared" si="728"/>
        <v>10.451000000000001</v>
      </c>
      <c r="CS191" s="578"/>
      <c r="CT191" s="530"/>
      <c r="CU191" s="482">
        <f t="shared" si="729"/>
        <v>0</v>
      </c>
      <c r="CV191" s="578"/>
      <c r="CW191" s="530"/>
      <c r="CX191" s="482">
        <f t="shared" si="730"/>
        <v>-27.559000000000001</v>
      </c>
      <c r="CY191" s="585">
        <v>-27.559000000000001</v>
      </c>
      <c r="CZ191" s="530">
        <f>+-1.4-3.7</f>
        <v>-5.0999999999999996</v>
      </c>
      <c r="DA191" s="482">
        <f t="shared" si="731"/>
        <v>2.4999999999999996</v>
      </c>
      <c r="DB191" s="578">
        <f>-2.6</f>
        <v>-2.6</v>
      </c>
      <c r="DC191" s="530">
        <f>-0.6-22.2-8.1</f>
        <v>-30.9</v>
      </c>
      <c r="DD191" s="482">
        <f t="shared" si="732"/>
        <v>30.9</v>
      </c>
      <c r="DE191" s="578">
        <v>0</v>
      </c>
      <c r="DF191" s="530">
        <f>IF(Assumptions!DF179&lt;&gt;"",-Assumptions!DF179,0)</f>
        <v>-49.8</v>
      </c>
      <c r="DG191" s="482">
        <f t="shared" si="740"/>
        <v>-61.600000000000009</v>
      </c>
      <c r="DH191" s="1278">
        <v>-111.4</v>
      </c>
      <c r="DI191" s="482">
        <v>-19.2</v>
      </c>
      <c r="DJ191" s="482">
        <f t="shared" si="733"/>
        <v>-47.5</v>
      </c>
      <c r="DK191" s="1276">
        <f>IF(Assumptions!DK179&lt;&gt;"",-Assumptions!DK179,0)</f>
        <v>-66.7</v>
      </c>
      <c r="DL191" s="482">
        <v>-20.9</v>
      </c>
      <c r="DM191" s="482">
        <f t="shared" si="734"/>
        <v>-56.300000000000004</v>
      </c>
      <c r="DN191" s="1276">
        <f>IF(Assumptions!DN179&lt;&gt;"",-Assumptions!DN179,0)</f>
        <v>-77.2</v>
      </c>
      <c r="DO191" s="482">
        <f>IF(Assumptions!DO179&lt;&gt;"",-Assumptions!DO179,0)</f>
        <v>-42.7</v>
      </c>
      <c r="DP191" s="482">
        <f t="shared" si="735"/>
        <v>-53.2</v>
      </c>
      <c r="DQ191" s="1276">
        <f>IF(Assumptions!DQ179&lt;&gt;"",-Assumptions!DQ179,0)</f>
        <v>-95.9</v>
      </c>
      <c r="DR191" s="482">
        <f>IF(Assumptions!DR179&lt;&gt;"",-Assumptions!DR179,0)</f>
        <v>-42.7</v>
      </c>
      <c r="DS191" s="482">
        <f t="shared" si="736"/>
        <v>-47.099999999999994</v>
      </c>
      <c r="DT191" s="1276">
        <f>IF(Assumptions!DT179&lt;&gt;"",-Assumptions!DT179,0)</f>
        <v>-89.8</v>
      </c>
      <c r="DU191" s="482">
        <f>IF(Assumptions!DU179&lt;&gt;"",-Assumptions!DU179,0)</f>
        <v>-43.900000000000006</v>
      </c>
      <c r="DV191" s="482">
        <f t="shared" si="741"/>
        <v>-58.699999999999989</v>
      </c>
      <c r="DW191" s="1276">
        <f>IF(Assumptions!DW179&lt;&gt;"",-Assumptions!DW179,0)</f>
        <v>-102.6</v>
      </c>
      <c r="DX191" s="482">
        <f>IF(Assumptions!DX179&lt;&gt;"",-Assumptions!DX179,0)</f>
        <v>-40.299999999999997</v>
      </c>
      <c r="DY191" s="482">
        <f>IF(Assumptions!DY179&lt;&gt;"",-Assumptions!DY179,0)</f>
        <v>-61.749015898373408</v>
      </c>
      <c r="DZ191" s="1276">
        <f>SUM(DX191:DY191)</f>
        <v>-102.0490158983734</v>
      </c>
      <c r="EA191" s="482">
        <f>IF(Assumptions!EA179&lt;&gt;"",-Assumptions!EA179,0)</f>
        <v>-54.290355966718408</v>
      </c>
      <c r="EB191" s="482">
        <f t="shared" si="738"/>
        <v>-55.963009729802948</v>
      </c>
      <c r="EC191" s="1276">
        <f>IF(Assumptions!EC179&lt;&gt;"",-Assumptions!EC179,0)</f>
        <v>-110.25336569652136</v>
      </c>
      <c r="ED191" s="482">
        <f>IF(Assumptions!ED179&lt;&gt;"",-Assumptions!ED179,0)</f>
        <v>-56.579521263865018</v>
      </c>
      <c r="EE191" s="482">
        <f t="shared" si="739"/>
        <v>-58.329685573182502</v>
      </c>
      <c r="EF191" s="1276">
        <f>IF(Assumptions!EF179&lt;&gt;"",-Assumptions!EF179,0)</f>
        <v>-114.90920683704752</v>
      </c>
      <c r="EG191" s="482">
        <f>IF(Assumptions!EG179&lt;&gt;"",-Assumptions!EG179,0)</f>
        <v>-61.671678177612861</v>
      </c>
      <c r="EH191" s="482">
        <f t="shared" si="742"/>
        <v>-63.579357274768924</v>
      </c>
      <c r="EI191" s="1276">
        <f>IF(Assumptions!EI179&lt;&gt;"",-Assumptions!EI179,0)</f>
        <v>-125.25103545238179</v>
      </c>
      <c r="EJ191" s="482">
        <f>IF(Assumptions!EJ179&lt;&gt;"",-Assumptions!EJ179,0)</f>
        <v>-67.222129213598024</v>
      </c>
      <c r="EK191" s="482">
        <f t="shared" si="743"/>
        <v>-69.301499429498122</v>
      </c>
      <c r="EL191" s="1276">
        <f>IF(Assumptions!EL179&lt;&gt;"",-Assumptions!EL179,0)</f>
        <v>-136.52362864309615</v>
      </c>
      <c r="EM191" s="482">
        <f>IF(Assumptions!EM179&lt;&gt;"",-Assumptions!EM179,0)</f>
        <v>-73.272120842821849</v>
      </c>
      <c r="EN191" s="482">
        <f t="shared" si="744"/>
        <v>-75.538634378152992</v>
      </c>
      <c r="EO191" s="1276">
        <f>IF(Assumptions!EO179&lt;&gt;"",-Assumptions!EO179,0)</f>
        <v>-148.81075522097484</v>
      </c>
      <c r="EP191" s="482">
        <f>IF(Assumptions!EP179&lt;&gt;"",-Assumptions!EP179,0)</f>
        <v>-79.866611718675827</v>
      </c>
      <c r="EQ191" s="482">
        <f t="shared" si="745"/>
        <v>-82.337111472186749</v>
      </c>
      <c r="ER191" s="1276">
        <f>IF(Assumptions!ER179&lt;&gt;"",-Assumptions!ER179,0)</f>
        <v>-162.20372319086258</v>
      </c>
      <c r="ES191" s="482">
        <f>IF(Assumptions!ES179&lt;&gt;"",-Assumptions!ES179,0)</f>
        <v>-87.054606773356667</v>
      </c>
      <c r="ET191" s="482">
        <f t="shared" si="746"/>
        <v>-89.747451504683553</v>
      </c>
      <c r="EU191" s="1276">
        <f>IF(Assumptions!EU179&lt;&gt;"",-Assumptions!EU179,0)</f>
        <v>-176.80205827804022</v>
      </c>
      <c r="EV191" s="482">
        <f>IF(Assumptions!EV179&lt;&gt;"",-Assumptions!EV179,0)</f>
        <v>-94.889521382958776</v>
      </c>
      <c r="EW191" s="482">
        <f t="shared" si="747"/>
        <v>-97.824722140105081</v>
      </c>
      <c r="EX191" s="1276">
        <f>IF(Assumptions!EX179&lt;&gt;"",-Assumptions!EX179,0)</f>
        <v>-192.71424352306386</v>
      </c>
      <c r="EY191" s="482">
        <f>IF(Assumptions!EY179&lt;&gt;"",-Assumptions!EY179,0)</f>
        <v>-103.42957830742506</v>
      </c>
      <c r="EZ191" s="482">
        <f t="shared" si="748"/>
        <v>-106.62894713271456</v>
      </c>
      <c r="FA191" s="1276">
        <f>IF(Assumptions!FA179&lt;&gt;"",-Assumptions!FA179,0)</f>
        <v>-210.05852544013962</v>
      </c>
      <c r="FE191"/>
      <c r="FF191"/>
      <c r="FG191"/>
      <c r="FH191"/>
      <c r="FI191"/>
      <c r="FJ191"/>
      <c r="FK191" s="35"/>
    </row>
    <row r="192" spans="1:167" s="236" customFormat="1" ht="13.35" customHeight="1" thickBot="1">
      <c r="B192" s="242" t="s">
        <v>873</v>
      </c>
      <c r="C192" s="242" t="s">
        <v>496</v>
      </c>
      <c r="D192" s="243"/>
      <c r="E192" s="503"/>
      <c r="F192" s="482">
        <f t="shared" si="698"/>
        <v>0</v>
      </c>
      <c r="G192" s="563"/>
      <c r="H192" s="505"/>
      <c r="I192" s="482">
        <f t="shared" si="699"/>
        <v>0</v>
      </c>
      <c r="J192" s="563"/>
      <c r="K192" s="505"/>
      <c r="L192" s="482">
        <f t="shared" si="700"/>
        <v>0</v>
      </c>
      <c r="M192" s="563"/>
      <c r="N192" s="505"/>
      <c r="O192" s="482">
        <f t="shared" si="701"/>
        <v>0</v>
      </c>
      <c r="P192" s="563"/>
      <c r="Q192" s="505"/>
      <c r="R192" s="482">
        <f t="shared" si="702"/>
        <v>0</v>
      </c>
      <c r="S192" s="563"/>
      <c r="T192" s="505"/>
      <c r="U192" s="482">
        <f t="shared" si="703"/>
        <v>0</v>
      </c>
      <c r="V192" s="563"/>
      <c r="W192" s="505"/>
      <c r="X192" s="482">
        <f t="shared" si="704"/>
        <v>0</v>
      </c>
      <c r="Y192" s="563"/>
      <c r="Z192" s="505"/>
      <c r="AA192" s="482">
        <f t="shared" si="705"/>
        <v>0</v>
      </c>
      <c r="AB192" s="563"/>
      <c r="AC192" s="505"/>
      <c r="AD192" s="482">
        <f t="shared" si="706"/>
        <v>0</v>
      </c>
      <c r="AE192" s="563"/>
      <c r="AF192" s="505"/>
      <c r="AG192" s="482">
        <f t="shared" si="707"/>
        <v>0</v>
      </c>
      <c r="AH192" s="563"/>
      <c r="AI192" s="505"/>
      <c r="AJ192" s="482">
        <f t="shared" si="708"/>
        <v>0</v>
      </c>
      <c r="AK192" s="563"/>
      <c r="AL192" s="505"/>
      <c r="AM192" s="482">
        <f t="shared" si="709"/>
        <v>0</v>
      </c>
      <c r="AN192" s="563"/>
      <c r="AO192" s="505"/>
      <c r="AP192" s="482">
        <f t="shared" si="710"/>
        <v>0</v>
      </c>
      <c r="AQ192" s="563"/>
      <c r="AR192" s="505"/>
      <c r="AS192" s="482">
        <f t="shared" si="711"/>
        <v>0</v>
      </c>
      <c r="AT192" s="563"/>
      <c r="AU192" s="505"/>
      <c r="AV192" s="482">
        <f t="shared" si="712"/>
        <v>3.6999999999999998E-2</v>
      </c>
      <c r="AW192" s="566">
        <v>3.6999999999999998E-2</v>
      </c>
      <c r="AX192" s="505"/>
      <c r="AY192" s="482">
        <f t="shared" si="713"/>
        <v>1.2999999999999999E-2</v>
      </c>
      <c r="AZ192" s="566">
        <v>1.2999999999999999E-2</v>
      </c>
      <c r="BA192" s="505"/>
      <c r="BB192" s="482">
        <f t="shared" si="714"/>
        <v>0</v>
      </c>
      <c r="BC192" s="563"/>
      <c r="BD192" s="505">
        <f>IF(Assumptions!BD181&lt;&gt;"",Assumptions!BD181,0)</f>
        <v>0</v>
      </c>
      <c r="BE192" s="482">
        <f t="shared" si="715"/>
        <v>0</v>
      </c>
      <c r="BF192" s="563">
        <f>IF(Assumptions!BF181&lt;&gt;"",Assumptions!BF181,0)</f>
        <v>0</v>
      </c>
      <c r="BG192" s="505">
        <f>IF(Assumptions!BG181&lt;&gt;"",Assumptions!BG181,0)</f>
        <v>0</v>
      </c>
      <c r="BH192" s="482">
        <f t="shared" si="716"/>
        <v>0</v>
      </c>
      <c r="BI192" s="563">
        <f>IF(Assumptions!BI181&lt;&gt;"",Assumptions!BI181,0)</f>
        <v>0</v>
      </c>
      <c r="BJ192" s="505">
        <f>IF(Assumptions!BJ181&lt;&gt;"",Assumptions!BJ181,0)</f>
        <v>0</v>
      </c>
      <c r="BK192" s="482">
        <f t="shared" si="717"/>
        <v>7.1999999999999995E-2</v>
      </c>
      <c r="BL192" s="576">
        <v>7.1999999999999995E-2</v>
      </c>
      <c r="BM192" s="530">
        <f>IF(Assumptions!BM181&lt;&gt;"",Assumptions!BM181,0)</f>
        <v>0</v>
      </c>
      <c r="BN192" s="482">
        <f t="shared" si="718"/>
        <v>2.7E-2</v>
      </c>
      <c r="BO192" s="570">
        <v>2.7E-2</v>
      </c>
      <c r="BP192" s="506">
        <v>0</v>
      </c>
      <c r="BQ192" s="482">
        <f t="shared" si="719"/>
        <v>0.57199999999999995</v>
      </c>
      <c r="BR192" s="570">
        <v>0.57199999999999995</v>
      </c>
      <c r="BS192" s="505">
        <f>IF(Assumptions!BS181&lt;&gt;"",Assumptions!BS181,0)</f>
        <v>0</v>
      </c>
      <c r="BT192" s="482">
        <f t="shared" si="720"/>
        <v>0</v>
      </c>
      <c r="BU192" s="570">
        <v>0</v>
      </c>
      <c r="BV192" s="505">
        <f>IF(Assumptions!BV181&lt;&gt;"",Assumptions!BV181,0)</f>
        <v>0</v>
      </c>
      <c r="BW192" s="482">
        <f t="shared" si="721"/>
        <v>4.0000000000000001E-3</v>
      </c>
      <c r="BX192" s="570">
        <v>4.0000000000000001E-3</v>
      </c>
      <c r="BY192" s="505">
        <f>IF(Assumptions!BY181&lt;&gt;"",Assumptions!BY181,0)</f>
        <v>0</v>
      </c>
      <c r="BZ192" s="482">
        <f t="shared" si="722"/>
        <v>0.156</v>
      </c>
      <c r="CA192" s="570">
        <v>0.156</v>
      </c>
      <c r="CB192" s="505">
        <f>IF(Assumptions!CB181&lt;&gt;"",Assumptions!CB181,0)</f>
        <v>0</v>
      </c>
      <c r="CC192" s="482">
        <f t="shared" si="723"/>
        <v>0</v>
      </c>
      <c r="CD192" s="567">
        <f>IF(Assumptions!CD181&lt;&gt;"",Assumptions!CD181,0)</f>
        <v>0</v>
      </c>
      <c r="CE192" s="506">
        <v>130.30199999999999</v>
      </c>
      <c r="CF192" s="482">
        <f t="shared" si="724"/>
        <v>0</v>
      </c>
      <c r="CG192" s="570">
        <v>130.30199999999999</v>
      </c>
      <c r="CH192" s="505">
        <f>IF(Assumptions!CH181&lt;&gt;"",Assumptions!CH181,0)</f>
        <v>0</v>
      </c>
      <c r="CI192" s="482">
        <f t="shared" si="725"/>
        <v>0</v>
      </c>
      <c r="CJ192" s="567">
        <f>IF(Assumptions!CJ181&lt;&gt;"",Assumptions!CJ181,0)</f>
        <v>0</v>
      </c>
      <c r="CK192" s="505">
        <f>IF(Assumptions!CK181&lt;&gt;"",Assumptions!CK181,0)</f>
        <v>0</v>
      </c>
      <c r="CL192" s="482">
        <f t="shared" si="726"/>
        <v>0</v>
      </c>
      <c r="CM192" s="567">
        <f>IF(Assumptions!CM181&lt;&gt;"",Assumptions!CM181,0)</f>
        <v>0</v>
      </c>
      <c r="CN192" s="505">
        <f>IF(Assumptions!CN181&lt;&gt;"",Assumptions!CN181,0)</f>
        <v>0</v>
      </c>
      <c r="CO192" s="482">
        <f t="shared" si="727"/>
        <v>0</v>
      </c>
      <c r="CP192" s="567">
        <f>IF(Assumptions!CP181&lt;&gt;"",Assumptions!CP181,0)</f>
        <v>0</v>
      </c>
      <c r="CQ192" s="505">
        <f>IF(Assumptions!CQ181&lt;&gt;"",Assumptions!CQ181,0)</f>
        <v>0</v>
      </c>
      <c r="CR192" s="482">
        <f t="shared" si="728"/>
        <v>0</v>
      </c>
      <c r="CS192" s="567">
        <f>IF(Assumptions!CS181&lt;&gt;"",Assumptions!CS181,0)</f>
        <v>0</v>
      </c>
      <c r="CT192" s="505">
        <f>IF(Assumptions!CT181&lt;&gt;"",Assumptions!CT181,0)</f>
        <v>0</v>
      </c>
      <c r="CU192" s="482">
        <f t="shared" si="729"/>
        <v>0</v>
      </c>
      <c r="CV192" s="567">
        <f>IF(Assumptions!CV181&lt;&gt;"",Assumptions!CV181,0)</f>
        <v>0</v>
      </c>
      <c r="CW192" s="505">
        <f>IF(Assumptions!CW181&lt;&gt;"",Assumptions!CW181,0)</f>
        <v>0</v>
      </c>
      <c r="CX192" s="482">
        <f t="shared" si="730"/>
        <v>0</v>
      </c>
      <c r="CY192" s="567">
        <f>IF(Assumptions!CY181&lt;&gt;"",Assumptions!CY181,0)</f>
        <v>0</v>
      </c>
      <c r="CZ192" s="505">
        <f>IF(Assumptions!CZ181&lt;&gt;"",Assumptions!CZ181,0)</f>
        <v>0</v>
      </c>
      <c r="DA192" s="482">
        <f t="shared" si="731"/>
        <v>0</v>
      </c>
      <c r="DB192" s="567">
        <v>0</v>
      </c>
      <c r="DC192" s="505">
        <f>IF(Assumptions!DC181&lt;&gt;"",Assumptions!DC181,0)</f>
        <v>0</v>
      </c>
      <c r="DD192" s="482">
        <f t="shared" si="732"/>
        <v>0</v>
      </c>
      <c r="DE192" s="567">
        <f>IF(Assumptions!DE181&lt;&gt;"",Assumptions!DE181,0)</f>
        <v>0</v>
      </c>
      <c r="DF192" s="505">
        <f>IF(Assumptions!DF181&lt;&gt;"",Assumptions!DF181,0)</f>
        <v>0</v>
      </c>
      <c r="DG192" s="482">
        <f t="shared" si="740"/>
        <v>0</v>
      </c>
      <c r="DH192" s="1275">
        <f>IF(Assumptions!DH181&lt;&gt;"",Assumptions!DH181,0)</f>
        <v>0</v>
      </c>
      <c r="DI192" s="482">
        <f>IF(Assumptions!DI181&lt;&gt;"",Assumptions!DI181,0)</f>
        <v>0</v>
      </c>
      <c r="DJ192" s="482">
        <f t="shared" si="733"/>
        <v>0</v>
      </c>
      <c r="DK192" s="1276">
        <f>IF(Assumptions!DK181&lt;&gt;"",Assumptions!DK181,0)</f>
        <v>0</v>
      </c>
      <c r="DL192" s="482">
        <f>IF(Assumptions!DL181&lt;&gt;"",Assumptions!DL181,0)</f>
        <v>0</v>
      </c>
      <c r="DM192" s="482">
        <f t="shared" si="734"/>
        <v>0</v>
      </c>
      <c r="DN192" s="1276">
        <f>IF(Assumptions!DN181&lt;&gt;"",Assumptions!DN181,0)</f>
        <v>0</v>
      </c>
      <c r="DO192" s="482">
        <f>IF(Assumptions!DO181&lt;&gt;"",Assumptions!DO181,0)</f>
        <v>0</v>
      </c>
      <c r="DP192" s="482">
        <f t="shared" si="735"/>
        <v>0</v>
      </c>
      <c r="DQ192" s="1276">
        <f>IF(Assumptions!DQ181&lt;&gt;"",Assumptions!DQ181,0)</f>
        <v>0</v>
      </c>
      <c r="DR192" s="482">
        <f>IF(Assumptions!DR181&lt;&gt;"",Assumptions!DR181,0)</f>
        <v>0</v>
      </c>
      <c r="DS192" s="482">
        <f t="shared" si="736"/>
        <v>0</v>
      </c>
      <c r="DT192" s="1276">
        <f>IF(Assumptions!DT181&lt;&gt;"",Assumptions!DT181,0)</f>
        <v>0</v>
      </c>
      <c r="DU192" s="482">
        <f>IF(Assumptions!DU181&lt;&gt;"",Assumptions!DU181,0)</f>
        <v>0</v>
      </c>
      <c r="DV192" s="482">
        <f t="shared" si="741"/>
        <v>0</v>
      </c>
      <c r="DW192" s="1276">
        <f>IF(Assumptions!DW181&lt;&gt;"",Assumptions!DW181,0)</f>
        <v>0</v>
      </c>
      <c r="DX192" s="482">
        <f>IF(Assumptions!DX181&lt;&gt;"",Assumptions!DX181,0)</f>
        <v>0</v>
      </c>
      <c r="DY192" s="482">
        <f t="shared" si="749"/>
        <v>0</v>
      </c>
      <c r="DZ192" s="1276">
        <f>IF(Assumptions!DZ181&lt;&gt;"",Assumptions!DZ181,0)</f>
        <v>0</v>
      </c>
      <c r="EA192" s="482">
        <f>IF(Assumptions!EA181&lt;&gt;"",Assumptions!EA181,0)</f>
        <v>0</v>
      </c>
      <c r="EB192" s="482">
        <f t="shared" si="738"/>
        <v>0</v>
      </c>
      <c r="EC192" s="1276">
        <f>IF(Assumptions!EC181&lt;&gt;"",Assumptions!EC181,0)</f>
        <v>0</v>
      </c>
      <c r="ED192" s="482">
        <f>IF(Assumptions!ED181&lt;&gt;"",Assumptions!ED181,0)</f>
        <v>0</v>
      </c>
      <c r="EE192" s="482">
        <f t="shared" si="739"/>
        <v>0</v>
      </c>
      <c r="EF192" s="1276">
        <f>IF(Assumptions!EF181&lt;&gt;"",Assumptions!EF181,0)</f>
        <v>0</v>
      </c>
      <c r="EG192" s="482">
        <f>IF(Assumptions!EG181&lt;&gt;"",Assumptions!EG181,0)</f>
        <v>0</v>
      </c>
      <c r="EH192" s="482">
        <f t="shared" si="742"/>
        <v>0</v>
      </c>
      <c r="EI192" s="1276">
        <f>IF(Assumptions!EI181&lt;&gt;"",Assumptions!EI181,0)</f>
        <v>0</v>
      </c>
      <c r="EJ192" s="482">
        <f>IF(Assumptions!EJ181&lt;&gt;"",Assumptions!EJ181,0)</f>
        <v>0</v>
      </c>
      <c r="EK192" s="482">
        <f t="shared" si="743"/>
        <v>0</v>
      </c>
      <c r="EL192" s="1276">
        <f>IF(Assumptions!EL181&lt;&gt;"",Assumptions!EL181,0)</f>
        <v>0</v>
      </c>
      <c r="EM192" s="482">
        <f>IF(Assumptions!EM181&lt;&gt;"",Assumptions!EM181,0)</f>
        <v>0</v>
      </c>
      <c r="EN192" s="482">
        <f t="shared" si="744"/>
        <v>0</v>
      </c>
      <c r="EO192" s="1276">
        <f>IF(Assumptions!EO181&lt;&gt;"",Assumptions!EO181,0)</f>
        <v>0</v>
      </c>
      <c r="EP192" s="482">
        <f>IF(Assumptions!EP181&lt;&gt;"",Assumptions!EP181,0)</f>
        <v>0</v>
      </c>
      <c r="EQ192" s="482">
        <f t="shared" si="745"/>
        <v>0</v>
      </c>
      <c r="ER192" s="1276">
        <f>IF(Assumptions!ER181&lt;&gt;"",Assumptions!ER181,0)</f>
        <v>0</v>
      </c>
      <c r="ES192" s="482">
        <f>IF(Assumptions!ES181&lt;&gt;"",Assumptions!ES181,0)</f>
        <v>0</v>
      </c>
      <c r="ET192" s="482">
        <f t="shared" si="746"/>
        <v>0</v>
      </c>
      <c r="EU192" s="1276">
        <f>IF(Assumptions!EU181&lt;&gt;"",Assumptions!EU181,0)</f>
        <v>0</v>
      </c>
      <c r="EV192" s="482">
        <f>IF(Assumptions!EV181&lt;&gt;"",Assumptions!EV181,0)</f>
        <v>0</v>
      </c>
      <c r="EW192" s="482">
        <f t="shared" si="747"/>
        <v>0</v>
      </c>
      <c r="EX192" s="1276">
        <f>IF(Assumptions!EX181&lt;&gt;"",Assumptions!EX181,0)</f>
        <v>0</v>
      </c>
      <c r="EY192" s="482">
        <f>IF(Assumptions!EY181&lt;&gt;"",Assumptions!EY181,0)</f>
        <v>0</v>
      </c>
      <c r="EZ192" s="482">
        <f t="shared" si="748"/>
        <v>0</v>
      </c>
      <c r="FA192" s="1276">
        <f>IF(Assumptions!FA181&lt;&gt;"",Assumptions!FA181,0)</f>
        <v>0</v>
      </c>
      <c r="FE192"/>
      <c r="FF192"/>
      <c r="FG192"/>
      <c r="FH192"/>
      <c r="FI192"/>
      <c r="FJ192"/>
      <c r="FK192" s="35"/>
    </row>
    <row r="193" spans="2:167" s="236" customFormat="1" ht="13.35" customHeight="1" thickBot="1">
      <c r="B193" s="242" t="s">
        <v>874</v>
      </c>
      <c r="C193" s="242" t="s">
        <v>496</v>
      </c>
      <c r="D193" s="243"/>
      <c r="E193" s="482">
        <f>+SUM(E194:E195)</f>
        <v>0</v>
      </c>
      <c r="F193" s="482">
        <f t="shared" si="698"/>
        <v>0</v>
      </c>
      <c r="G193" s="482">
        <f>+SUM(G194:G195)</f>
        <v>0</v>
      </c>
      <c r="H193" s="482">
        <f>+SUM(H194:H195)</f>
        <v>0</v>
      </c>
      <c r="I193" s="482">
        <f t="shared" si="699"/>
        <v>0</v>
      </c>
      <c r="J193" s="482">
        <f>+SUM(J194:J195)</f>
        <v>0</v>
      </c>
      <c r="K193" s="482">
        <f>+SUM(K194:K195)</f>
        <v>0</v>
      </c>
      <c r="L193" s="482">
        <f t="shared" si="700"/>
        <v>0</v>
      </c>
      <c r="M193" s="482">
        <f>+SUM(M194:M195)</f>
        <v>0</v>
      </c>
      <c r="N193" s="482">
        <f>+SUM(N194:N195)</f>
        <v>0</v>
      </c>
      <c r="O193" s="482">
        <f t="shared" si="701"/>
        <v>0</v>
      </c>
      <c r="P193" s="482">
        <f>+SUM(P194:P195)</f>
        <v>0</v>
      </c>
      <c r="Q193" s="482">
        <f>+SUM(Q194:Q195)</f>
        <v>0</v>
      </c>
      <c r="R193" s="482">
        <f t="shared" si="702"/>
        <v>0</v>
      </c>
      <c r="S193" s="482">
        <f>+SUM(S194:S195)</f>
        <v>0</v>
      </c>
      <c r="T193" s="482">
        <f>+SUM(T194:T195)</f>
        <v>0</v>
      </c>
      <c r="U193" s="482">
        <f t="shared" si="703"/>
        <v>0</v>
      </c>
      <c r="V193" s="482">
        <f>+SUM(V194:V195)</f>
        <v>0</v>
      </c>
      <c r="W193" s="482">
        <f>+SUM(W194:W195)</f>
        <v>0</v>
      </c>
      <c r="X193" s="482">
        <f t="shared" si="704"/>
        <v>0</v>
      </c>
      <c r="Y193" s="482">
        <f>+SUM(Y194:Y195)</f>
        <v>0</v>
      </c>
      <c r="Z193" s="482">
        <f>+SUM(Z194:Z195)</f>
        <v>0</v>
      </c>
      <c r="AA193" s="482">
        <f t="shared" si="705"/>
        <v>0</v>
      </c>
      <c r="AB193" s="482">
        <f>+SUM(AB194:AB195)</f>
        <v>0</v>
      </c>
      <c r="AC193" s="482">
        <f>+SUM(AC194:AC195)</f>
        <v>0</v>
      </c>
      <c r="AD193" s="482">
        <f t="shared" si="706"/>
        <v>0</v>
      </c>
      <c r="AE193" s="482">
        <f>+SUM(AE194:AE195)</f>
        <v>0</v>
      </c>
      <c r="AF193" s="482">
        <f>+SUM(AF194:AF195)</f>
        <v>0</v>
      </c>
      <c r="AG193" s="482">
        <f t="shared" si="707"/>
        <v>0</v>
      </c>
      <c r="AH193" s="482">
        <f>+SUM(AH194:AH195)</f>
        <v>0</v>
      </c>
      <c r="AI193" s="482">
        <f>+SUM(AI194:AI195)</f>
        <v>0</v>
      </c>
      <c r="AJ193" s="482">
        <f t="shared" si="708"/>
        <v>0</v>
      </c>
      <c r="AK193" s="482">
        <f>+SUM(AK194:AK195)</f>
        <v>0</v>
      </c>
      <c r="AL193" s="482">
        <f>+SUM(AL194:AL195)</f>
        <v>0</v>
      </c>
      <c r="AM193" s="482">
        <f t="shared" si="709"/>
        <v>0</v>
      </c>
      <c r="AN193" s="482">
        <f>+SUM(AN194:AN195)</f>
        <v>0</v>
      </c>
      <c r="AO193" s="482">
        <f>+SUM(AO194:AO195)</f>
        <v>0</v>
      </c>
      <c r="AP193" s="482">
        <f t="shared" si="710"/>
        <v>0</v>
      </c>
      <c r="AQ193" s="482">
        <f>+SUM(AQ194:AQ195)</f>
        <v>0</v>
      </c>
      <c r="AR193" s="482">
        <f>+SUM(AR194:AR195)</f>
        <v>0</v>
      </c>
      <c r="AS193" s="482">
        <f t="shared" si="711"/>
        <v>0</v>
      </c>
      <c r="AT193" s="482">
        <f>+SUM(AT194:AT195)</f>
        <v>0</v>
      </c>
      <c r="AU193" s="482">
        <f>+SUM(AU194:AU195)</f>
        <v>0</v>
      </c>
      <c r="AV193" s="482">
        <f t="shared" si="712"/>
        <v>0</v>
      </c>
      <c r="AW193" s="482">
        <f>+SUM(AW194:AW195)</f>
        <v>0</v>
      </c>
      <c r="AX193" s="482">
        <f>+SUM(AX194:AX195)</f>
        <v>0</v>
      </c>
      <c r="AY193" s="482">
        <f t="shared" si="713"/>
        <v>0</v>
      </c>
      <c r="AZ193" s="482">
        <f>+SUM(AZ194:AZ195)</f>
        <v>0</v>
      </c>
      <c r="BA193" s="482">
        <f>+SUM(BA194:BA195)</f>
        <v>0</v>
      </c>
      <c r="BB193" s="482">
        <f t="shared" si="714"/>
        <v>0</v>
      </c>
      <c r="BC193" s="482">
        <f>+SUM(BC194:BC195)</f>
        <v>0</v>
      </c>
      <c r="BD193" s="482">
        <f>+SUM(BD194:BD195)</f>
        <v>0</v>
      </c>
      <c r="BE193" s="482">
        <f t="shared" si="715"/>
        <v>0</v>
      </c>
      <c r="BF193" s="482">
        <f>+SUM(BF194:BF195)</f>
        <v>0</v>
      </c>
      <c r="BG193" s="482">
        <f>+SUM(BG194:BG195)</f>
        <v>0</v>
      </c>
      <c r="BH193" s="482">
        <f t="shared" si="716"/>
        <v>0</v>
      </c>
      <c r="BI193" s="482">
        <f>+SUM(BI194:BI195)</f>
        <v>0</v>
      </c>
      <c r="BJ193" s="482">
        <f>+SUM(BJ194:BJ195)</f>
        <v>0</v>
      </c>
      <c r="BK193" s="482">
        <f t="shared" si="717"/>
        <v>0</v>
      </c>
      <c r="BL193" s="482">
        <f>+SUM(BL194:BL195)</f>
        <v>0</v>
      </c>
      <c r="BM193" s="482">
        <f>+SUM(BM194:BM195)</f>
        <v>-0.83799999999999997</v>
      </c>
      <c r="BN193" s="482">
        <f t="shared" si="718"/>
        <v>-194.77500000000001</v>
      </c>
      <c r="BO193" s="482">
        <f>+SUM(BO194:BO195)</f>
        <v>-195.613</v>
      </c>
      <c r="BP193" s="482">
        <f>+SUM(BP194:BP195)</f>
        <v>0</v>
      </c>
      <c r="BQ193" s="482">
        <f t="shared" si="719"/>
        <v>0</v>
      </c>
      <c r="BR193" s="482">
        <f>+SUM(BR194:BR195)</f>
        <v>0</v>
      </c>
      <c r="BS193" s="482">
        <f>+SUM(BS194:BS195)</f>
        <v>-2.3740000000000001</v>
      </c>
      <c r="BT193" s="482">
        <f t="shared" si="720"/>
        <v>-15.551</v>
      </c>
      <c r="BU193" s="482">
        <f>+SUM(BU194:BU195)</f>
        <v>-17.925000000000001</v>
      </c>
      <c r="BV193" s="482">
        <f>+SUM(BV194:BV195)</f>
        <v>-9.2859999999999996</v>
      </c>
      <c r="BW193" s="482">
        <f t="shared" si="721"/>
        <v>-1.0109999999999992</v>
      </c>
      <c r="BX193" s="482">
        <f>+SUM(BX194:BX195)</f>
        <v>-10.296999999999999</v>
      </c>
      <c r="BY193" s="482">
        <f>+SUM(BY194:BY195)</f>
        <v>0</v>
      </c>
      <c r="BZ193" s="482">
        <f t="shared" si="722"/>
        <v>0</v>
      </c>
      <c r="CA193" s="482">
        <f>+SUM(CA194:CA195)</f>
        <v>0</v>
      </c>
      <c r="CB193" s="482">
        <f>+SUM(CB194:CB195)</f>
        <v>0</v>
      </c>
      <c r="CC193" s="482">
        <f t="shared" si="723"/>
        <v>0</v>
      </c>
      <c r="CD193" s="482">
        <f>+SUM(CD194:CD195)</f>
        <v>0</v>
      </c>
      <c r="CE193" s="482">
        <f>+SUM(CE194:CE195)</f>
        <v>0</v>
      </c>
      <c r="CF193" s="482">
        <f t="shared" si="724"/>
        <v>0</v>
      </c>
      <c r="CG193" s="482">
        <f>+SUM(CG194:CG195)</f>
        <v>0</v>
      </c>
      <c r="CH193" s="482">
        <f>+SUM(CH194:CH195)</f>
        <v>-3.8330000000000002</v>
      </c>
      <c r="CI193" s="482">
        <f t="shared" si="725"/>
        <v>-2.7959999999999994</v>
      </c>
      <c r="CJ193" s="482">
        <f>+SUM(CJ194:CJ195)</f>
        <v>-6.6289999999999996</v>
      </c>
      <c r="CK193" s="482">
        <f>+SUM(CK194:CK195)</f>
        <v>0</v>
      </c>
      <c r="CL193" s="482">
        <f t="shared" si="726"/>
        <v>0</v>
      </c>
      <c r="CM193" s="482">
        <f>+SUM(CM194:CM195)</f>
        <v>0</v>
      </c>
      <c r="CN193" s="482">
        <f>+SUM(CN194:CN195)</f>
        <v>0</v>
      </c>
      <c r="CO193" s="482">
        <f t="shared" si="727"/>
        <v>0</v>
      </c>
      <c r="CP193" s="482">
        <f>+SUM(CP194:CP195)</f>
        <v>0</v>
      </c>
      <c r="CQ193" s="482">
        <f>+SUM(CQ194:CQ195)</f>
        <v>0</v>
      </c>
      <c r="CR193" s="482">
        <f t="shared" si="728"/>
        <v>0</v>
      </c>
      <c r="CS193" s="482">
        <f>+SUM(CS194:CS195)</f>
        <v>0</v>
      </c>
      <c r="CT193" s="482">
        <f>+SUM(CT194:CT195)</f>
        <v>0</v>
      </c>
      <c r="CU193" s="482">
        <f t="shared" si="729"/>
        <v>0</v>
      </c>
      <c r="CV193" s="482">
        <f>+SUM(CV194:CV195)</f>
        <v>0</v>
      </c>
      <c r="CW193" s="482">
        <f>+SUM(CW194:CW195)</f>
        <v>0</v>
      </c>
      <c r="CX193" s="482">
        <f t="shared" si="730"/>
        <v>-63.709000000000003</v>
      </c>
      <c r="CY193" s="482">
        <f>+SUM(CY194:CY195)</f>
        <v>-63.709000000000003</v>
      </c>
      <c r="CZ193" s="482">
        <f>+SUM(CZ194:CZ195)</f>
        <v>0</v>
      </c>
      <c r="DA193" s="482">
        <f t="shared" si="731"/>
        <v>-6</v>
      </c>
      <c r="DB193" s="482">
        <f>+SUM(DB194:DB195)</f>
        <v>-6</v>
      </c>
      <c r="DC193" s="482">
        <f>+SUM(DC194:DC195)</f>
        <v>0</v>
      </c>
      <c r="DD193" s="482">
        <f t="shared" si="732"/>
        <v>-23.2</v>
      </c>
      <c r="DE193" s="482">
        <f>+SUM(DE194:DE195)</f>
        <v>-23.2</v>
      </c>
      <c r="DF193" s="482">
        <f>+SUM(DF194:DF195)</f>
        <v>0</v>
      </c>
      <c r="DG193" s="482">
        <f t="shared" si="740"/>
        <v>-14.2</v>
      </c>
      <c r="DH193" s="1244">
        <f>+SUM(DH194:DH195)</f>
        <v>-14.2</v>
      </c>
      <c r="DI193" s="482">
        <f>+SUM(DI194:DI195)</f>
        <v>-31.700000000000003</v>
      </c>
      <c r="DJ193" s="482">
        <f t="shared" si="733"/>
        <v>13.300000000000004</v>
      </c>
      <c r="DK193" s="1244">
        <f>+SUM(DK194:DK195)</f>
        <v>-18.399999999999999</v>
      </c>
      <c r="DL193" s="482">
        <f>+SUM(DL194:DL195)</f>
        <v>-59.5</v>
      </c>
      <c r="DM193" s="482">
        <f t="shared" si="734"/>
        <v>-2.2000000000000028</v>
      </c>
      <c r="DN193" s="1244">
        <f>+SUM(DN194:DN195)</f>
        <v>-61.7</v>
      </c>
      <c r="DO193" s="482">
        <f>+SUM(DO194:DO195)</f>
        <v>-65.3</v>
      </c>
      <c r="DP193" s="482">
        <f t="shared" si="735"/>
        <v>35.5</v>
      </c>
      <c r="DQ193" s="1244">
        <f>+SUM(DQ194:DQ195)</f>
        <v>-29.8</v>
      </c>
      <c r="DR193" s="482">
        <f>+SUM(DR194:DR195)</f>
        <v>-5.0999999999999996</v>
      </c>
      <c r="DS193" s="482">
        <f t="shared" si="736"/>
        <v>-10.8</v>
      </c>
      <c r="DT193" s="1244">
        <f>+SUM(DT194:DT195)</f>
        <v>-15.9</v>
      </c>
      <c r="DU193" s="482">
        <f>+SUM(DU194:DU195)</f>
        <v>-7.3</v>
      </c>
      <c r="DV193" s="482">
        <f t="shared" si="741"/>
        <v>-5.3</v>
      </c>
      <c r="DW193" s="1244">
        <f>+SUM(DW194:DW195)</f>
        <v>-12.6</v>
      </c>
      <c r="DX193" s="482">
        <f>+SUM(DX194:DX195)</f>
        <v>-13.8</v>
      </c>
      <c r="DY193" s="482">
        <f t="shared" si="749"/>
        <v>0</v>
      </c>
      <c r="DZ193" s="1244">
        <f>+SUM(DZ194:DZ195)</f>
        <v>-13.8</v>
      </c>
      <c r="EA193" s="482">
        <f>+SUM(EA194:EA195)</f>
        <v>0</v>
      </c>
      <c r="EB193" s="482">
        <f t="shared" si="738"/>
        <v>0</v>
      </c>
      <c r="EC193" s="1244">
        <f>+SUM(EC194:EC195)</f>
        <v>0</v>
      </c>
      <c r="ED193" s="482">
        <f>+SUM(ED194:ED195)</f>
        <v>0</v>
      </c>
      <c r="EE193" s="482">
        <f t="shared" si="739"/>
        <v>0</v>
      </c>
      <c r="EF193" s="1244">
        <f>+SUM(EF194:EF195)</f>
        <v>0</v>
      </c>
      <c r="EG193" s="482">
        <f>+SUM(EG194:EG195)</f>
        <v>0</v>
      </c>
      <c r="EH193" s="482">
        <f t="shared" si="742"/>
        <v>0</v>
      </c>
      <c r="EI193" s="1244">
        <f>+SUM(EI194:EI195)</f>
        <v>0</v>
      </c>
      <c r="EJ193" s="482">
        <f>+SUM(EJ194:EJ195)</f>
        <v>0</v>
      </c>
      <c r="EK193" s="482">
        <f t="shared" si="743"/>
        <v>0</v>
      </c>
      <c r="EL193" s="1244">
        <f>+SUM(EL194:EL195)</f>
        <v>0</v>
      </c>
      <c r="EM193" s="482">
        <f>+SUM(EM194:EM195)</f>
        <v>0</v>
      </c>
      <c r="EN193" s="482">
        <f t="shared" si="744"/>
        <v>0</v>
      </c>
      <c r="EO193" s="1244">
        <f>+SUM(EO194:EO195)</f>
        <v>0</v>
      </c>
      <c r="EP193" s="482">
        <f>+SUM(EP194:EP195)</f>
        <v>0</v>
      </c>
      <c r="EQ193" s="482">
        <f t="shared" si="745"/>
        <v>0</v>
      </c>
      <c r="ER193" s="1244">
        <f>+SUM(ER194:ER195)</f>
        <v>0</v>
      </c>
      <c r="ES193" s="482">
        <f>+SUM(ES194:ES195)</f>
        <v>0</v>
      </c>
      <c r="ET193" s="482">
        <f t="shared" si="746"/>
        <v>0</v>
      </c>
      <c r="EU193" s="1244">
        <f>+SUM(EU194:EU195)</f>
        <v>0</v>
      </c>
      <c r="EV193" s="482">
        <f>+SUM(EV194:EV195)</f>
        <v>0</v>
      </c>
      <c r="EW193" s="482">
        <f t="shared" si="747"/>
        <v>0</v>
      </c>
      <c r="EX193" s="1244">
        <f>+SUM(EX194:EX195)</f>
        <v>0</v>
      </c>
      <c r="EY193" s="482">
        <f>+SUM(EY194:EY195)</f>
        <v>0</v>
      </c>
      <c r="EZ193" s="482">
        <f t="shared" si="748"/>
        <v>0</v>
      </c>
      <c r="FA193" s="1244">
        <f>+SUM(FA194:FA195)</f>
        <v>0</v>
      </c>
      <c r="FE193"/>
      <c r="FF193"/>
      <c r="FG193"/>
      <c r="FH193"/>
      <c r="FI193"/>
      <c r="FJ193"/>
      <c r="FK193" s="35"/>
    </row>
    <row r="194" spans="2:167" s="236" customFormat="1" ht="13.35" customHeight="1" outlineLevel="1">
      <c r="B194" s="242" t="s">
        <v>85</v>
      </c>
      <c r="C194" s="242" t="s">
        <v>496</v>
      </c>
      <c r="D194" s="243"/>
      <c r="E194" s="511"/>
      <c r="F194" s="510">
        <f t="shared" si="698"/>
        <v>0</v>
      </c>
      <c r="G194" s="571"/>
      <c r="H194" s="513"/>
      <c r="I194" s="510">
        <f t="shared" si="699"/>
        <v>0</v>
      </c>
      <c r="J194" s="571"/>
      <c r="K194" s="513"/>
      <c r="L194" s="510">
        <f t="shared" si="700"/>
        <v>0</v>
      </c>
      <c r="M194" s="571"/>
      <c r="N194" s="513"/>
      <c r="O194" s="510">
        <f t="shared" si="701"/>
        <v>0</v>
      </c>
      <c r="P194" s="571"/>
      <c r="Q194" s="513"/>
      <c r="R194" s="510">
        <f t="shared" si="702"/>
        <v>0</v>
      </c>
      <c r="S194" s="571"/>
      <c r="T194" s="513"/>
      <c r="U194" s="510">
        <f t="shared" si="703"/>
        <v>0</v>
      </c>
      <c r="V194" s="571"/>
      <c r="W194" s="513"/>
      <c r="X194" s="510">
        <f t="shared" si="704"/>
        <v>0</v>
      </c>
      <c r="Y194" s="571"/>
      <c r="Z194" s="513"/>
      <c r="AA194" s="510">
        <f t="shared" si="705"/>
        <v>0</v>
      </c>
      <c r="AB194" s="571"/>
      <c r="AC194" s="513"/>
      <c r="AD194" s="510">
        <f t="shared" si="706"/>
        <v>0</v>
      </c>
      <c r="AE194" s="571"/>
      <c r="AF194" s="513"/>
      <c r="AG194" s="510">
        <f t="shared" si="707"/>
        <v>0</v>
      </c>
      <c r="AH194" s="571"/>
      <c r="AI194" s="513"/>
      <c r="AJ194" s="510">
        <f t="shared" si="708"/>
        <v>0</v>
      </c>
      <c r="AK194" s="571"/>
      <c r="AL194" s="513"/>
      <c r="AM194" s="510">
        <f t="shared" si="709"/>
        <v>0</v>
      </c>
      <c r="AN194" s="571"/>
      <c r="AO194" s="513"/>
      <c r="AP194" s="510">
        <f t="shared" si="710"/>
        <v>0</v>
      </c>
      <c r="AQ194" s="571"/>
      <c r="AR194" s="513"/>
      <c r="AS194" s="510">
        <f t="shared" si="711"/>
        <v>0</v>
      </c>
      <c r="AT194" s="571"/>
      <c r="AU194" s="513"/>
      <c r="AV194" s="510">
        <f t="shared" si="712"/>
        <v>0</v>
      </c>
      <c r="AW194" s="571"/>
      <c r="AX194" s="514">
        <v>0</v>
      </c>
      <c r="AY194" s="510">
        <f t="shared" si="713"/>
        <v>0</v>
      </c>
      <c r="AZ194" s="572">
        <v>0</v>
      </c>
      <c r="BA194" s="514">
        <v>0</v>
      </c>
      <c r="BB194" s="510">
        <f t="shared" si="714"/>
        <v>0</v>
      </c>
      <c r="BC194" s="572">
        <v>0</v>
      </c>
      <c r="BD194" s="513">
        <f>IF(Assumptions!BD183&lt;&gt;"",-Assumptions!BD183,0)</f>
        <v>0</v>
      </c>
      <c r="BE194" s="510">
        <f t="shared" si="715"/>
        <v>0</v>
      </c>
      <c r="BF194" s="571">
        <f>IF(Assumptions!BF183&lt;&gt;"",-Assumptions!BF183,0)</f>
        <v>0</v>
      </c>
      <c r="BG194" s="513">
        <f>IF(Assumptions!BG183&lt;&gt;"",-Assumptions!BG183,0)</f>
        <v>0</v>
      </c>
      <c r="BH194" s="510">
        <f t="shared" si="716"/>
        <v>0</v>
      </c>
      <c r="BI194" s="571">
        <f>IF(Assumptions!BI183&lt;&gt;"",-Assumptions!BI183,0)</f>
        <v>0</v>
      </c>
      <c r="BJ194" s="513">
        <f>IF(Assumptions!BJ183&lt;&gt;"",-Assumptions!BJ183,0)</f>
        <v>0</v>
      </c>
      <c r="BK194" s="510">
        <f t="shared" si="717"/>
        <v>0</v>
      </c>
      <c r="BL194" s="571">
        <f>IF(Assumptions!BL183&lt;&gt;"",-Assumptions!BL183,0)</f>
        <v>0</v>
      </c>
      <c r="BM194" s="514">
        <v>-0.83799999999999997</v>
      </c>
      <c r="BN194" s="510">
        <f t="shared" si="718"/>
        <v>0.83799999999999997</v>
      </c>
      <c r="BO194" s="574">
        <f>IF(Assumptions!BO183&lt;&gt;"",-Assumptions!BO183,0)</f>
        <v>0</v>
      </c>
      <c r="BP194" s="514">
        <v>0</v>
      </c>
      <c r="BQ194" s="510">
        <f t="shared" si="719"/>
        <v>0</v>
      </c>
      <c r="BR194" s="574">
        <f>IF(Assumptions!BR183&lt;&gt;"",-Assumptions!BR183,0)</f>
        <v>0</v>
      </c>
      <c r="BS194" s="513">
        <f>IF(Assumptions!BS183&lt;&gt;"",-Assumptions!BS183,0)</f>
        <v>0</v>
      </c>
      <c r="BT194" s="510">
        <f t="shared" si="720"/>
        <v>0</v>
      </c>
      <c r="BU194" s="574">
        <f>IF(Assumptions!BU183&lt;&gt;"",-Assumptions!BU183,0)</f>
        <v>0</v>
      </c>
      <c r="BV194" s="513">
        <f>IF(Assumptions!BV183&lt;&gt;"",-Assumptions!BV183,0)</f>
        <v>0</v>
      </c>
      <c r="BW194" s="510">
        <f t="shared" si="721"/>
        <v>0</v>
      </c>
      <c r="BX194" s="584">
        <v>0</v>
      </c>
      <c r="BY194" s="513">
        <f>IF(Assumptions!BY183&lt;&gt;"",-Assumptions!BY183,0)</f>
        <v>0</v>
      </c>
      <c r="BZ194" s="510">
        <f t="shared" si="722"/>
        <v>0</v>
      </c>
      <c r="CA194" s="574">
        <f>IF(Assumptions!CA183&lt;&gt;"",-Assumptions!CA183,0)</f>
        <v>0</v>
      </c>
      <c r="CB194" s="513">
        <f>IF(Assumptions!CB183&lt;&gt;"",-Assumptions!CB183,0)</f>
        <v>0</v>
      </c>
      <c r="CC194" s="510">
        <f t="shared" si="723"/>
        <v>0</v>
      </c>
      <c r="CD194" s="584">
        <v>0</v>
      </c>
      <c r="CE194" s="513">
        <f>IF(Assumptions!CE183&lt;&gt;"",-Assumptions!CE183,0)</f>
        <v>0</v>
      </c>
      <c r="CF194" s="510">
        <f t="shared" si="724"/>
        <v>0</v>
      </c>
      <c r="CG194" s="574">
        <f>IF(Assumptions!CG183&lt;&gt;"",-Assumptions!CG183,0)</f>
        <v>0</v>
      </c>
      <c r="CH194" s="514">
        <v>-3.8330000000000002</v>
      </c>
      <c r="CI194" s="510">
        <f t="shared" si="725"/>
        <v>-2.7959999999999994</v>
      </c>
      <c r="CJ194" s="584">
        <v>-6.6289999999999996</v>
      </c>
      <c r="CK194" s="513">
        <f>IF(Assumptions!CK183&lt;&gt;"",-Assumptions!CK183,0)</f>
        <v>0</v>
      </c>
      <c r="CL194" s="510">
        <f t="shared" si="726"/>
        <v>0</v>
      </c>
      <c r="CM194" s="574">
        <f>IF(Assumptions!CM183&lt;&gt;"",-Assumptions!CM183,0)</f>
        <v>0</v>
      </c>
      <c r="CN194" s="513">
        <f>IF(Assumptions!CN183&lt;&gt;"",-Assumptions!CN183,0)</f>
        <v>0</v>
      </c>
      <c r="CO194" s="510">
        <f t="shared" si="727"/>
        <v>0</v>
      </c>
      <c r="CP194" s="574">
        <f>IF(Assumptions!CP183&lt;&gt;"",-Assumptions!CP183,0)</f>
        <v>0</v>
      </c>
      <c r="CQ194" s="513">
        <f>IF(Assumptions!CQ183&lt;&gt;"",-Assumptions!CQ183,0)</f>
        <v>0</v>
      </c>
      <c r="CR194" s="510">
        <f t="shared" si="728"/>
        <v>0</v>
      </c>
      <c r="CS194" s="574">
        <f>IF(Assumptions!CS183&lt;&gt;"",-Assumptions!CS183,0)</f>
        <v>0</v>
      </c>
      <c r="CT194" s="513">
        <f>IF(Assumptions!CT183&lt;&gt;"",-Assumptions!CT183,0)</f>
        <v>0</v>
      </c>
      <c r="CU194" s="510">
        <f t="shared" si="729"/>
        <v>0</v>
      </c>
      <c r="CV194" s="574">
        <f>IF(Assumptions!CV183&lt;&gt;"",-Assumptions!CV183,0)</f>
        <v>0</v>
      </c>
      <c r="CW194" s="513">
        <f>IF(Assumptions!CW183&lt;&gt;"",-Assumptions!CW183,0)</f>
        <v>0</v>
      </c>
      <c r="CX194" s="510">
        <f t="shared" si="730"/>
        <v>0</v>
      </c>
      <c r="CY194" s="574">
        <f>IF(Assumptions!CY183&lt;&gt;"",-Assumptions!CY183,0)</f>
        <v>0</v>
      </c>
      <c r="CZ194" s="513">
        <f>IF(Assumptions!CZ183&lt;&gt;"",-Assumptions!CZ183,0)</f>
        <v>0</v>
      </c>
      <c r="DA194" s="510">
        <f t="shared" si="731"/>
        <v>0</v>
      </c>
      <c r="DB194" s="574">
        <v>0</v>
      </c>
      <c r="DC194" s="513">
        <f>IF(Assumptions!DC183&lt;&gt;"",-Assumptions!DC183,0)</f>
        <v>0</v>
      </c>
      <c r="DD194" s="510">
        <f t="shared" si="732"/>
        <v>0</v>
      </c>
      <c r="DE194" s="574">
        <f>IF(Assumptions!DE183&lt;&gt;"",-Assumptions!DE183,0)</f>
        <v>0</v>
      </c>
      <c r="DF194" s="513">
        <f>IF(Assumptions!DF183&lt;&gt;"",-Assumptions!DF183,0)</f>
        <v>0</v>
      </c>
      <c r="DG194" s="510">
        <f t="shared" si="740"/>
        <v>0</v>
      </c>
      <c r="DH194" s="1277">
        <f>IF(Assumptions!DH183&lt;&gt;"",-Assumptions!DH183,0)</f>
        <v>0</v>
      </c>
      <c r="DI194" s="482">
        <f>IF(Assumptions!DI183&lt;&gt;"",-Assumptions!DI183,0)</f>
        <v>0</v>
      </c>
      <c r="DJ194" s="482">
        <f t="shared" si="733"/>
        <v>0</v>
      </c>
      <c r="DK194" s="1276">
        <f>IF(Assumptions!DK183&lt;&gt;"",-Assumptions!DK183,0)</f>
        <v>0</v>
      </c>
      <c r="DL194" s="482">
        <f>IF(Assumptions!DL183&lt;&gt;"",-Assumptions!DL183,0)</f>
        <v>0</v>
      </c>
      <c r="DM194" s="482">
        <f t="shared" si="734"/>
        <v>0</v>
      </c>
      <c r="DN194" s="1276">
        <f>IF(Assumptions!DN183&lt;&gt;"",-Assumptions!DN183,0)</f>
        <v>0</v>
      </c>
      <c r="DO194" s="482">
        <f>IF(Assumptions!DO183&lt;&gt;"",-Assumptions!DO183,0)</f>
        <v>0</v>
      </c>
      <c r="DP194" s="482">
        <f t="shared" si="735"/>
        <v>0</v>
      </c>
      <c r="DQ194" s="1276">
        <f>IF(Assumptions!DQ183&lt;&gt;"",-Assumptions!DQ183,0)</f>
        <v>0</v>
      </c>
      <c r="DR194" s="482">
        <f>IF(Assumptions!DR183&lt;&gt;"",-Assumptions!DR183,0)</f>
        <v>0</v>
      </c>
      <c r="DS194" s="482">
        <f t="shared" si="736"/>
        <v>0</v>
      </c>
      <c r="DT194" s="1276">
        <f>IF(Assumptions!DT183&lt;&gt;"",-Assumptions!DT183,0)</f>
        <v>0</v>
      </c>
      <c r="DU194" s="482">
        <f>IF(Assumptions!DU183&lt;&gt;"",-Assumptions!DU183,0)</f>
        <v>0</v>
      </c>
      <c r="DV194" s="482">
        <f t="shared" si="741"/>
        <v>0</v>
      </c>
      <c r="DW194" s="1276">
        <f>IF(Assumptions!DW183&lt;&gt;"",-Assumptions!DW183,0)</f>
        <v>0</v>
      </c>
      <c r="DX194" s="482">
        <f>IF(Assumptions!DX183&lt;&gt;"",-Assumptions!DX183,0)</f>
        <v>0</v>
      </c>
      <c r="DY194" s="482">
        <f t="shared" si="749"/>
        <v>0</v>
      </c>
      <c r="DZ194" s="1276">
        <f>IF(Assumptions!DZ183&lt;&gt;"",-Assumptions!DZ183,0)</f>
        <v>0</v>
      </c>
      <c r="EA194" s="482">
        <f>IF(Assumptions!EA183&lt;&gt;"",-Assumptions!EA183,0)</f>
        <v>0</v>
      </c>
      <c r="EB194" s="482">
        <f t="shared" si="738"/>
        <v>0</v>
      </c>
      <c r="EC194" s="1276">
        <f>IF(Assumptions!EC183&lt;&gt;"",-Assumptions!EC183,0)</f>
        <v>0</v>
      </c>
      <c r="ED194" s="482">
        <f>IF(Assumptions!ED183&lt;&gt;"",-Assumptions!ED183,0)</f>
        <v>0</v>
      </c>
      <c r="EE194" s="482">
        <f t="shared" si="739"/>
        <v>0</v>
      </c>
      <c r="EF194" s="1276">
        <f>IF(Assumptions!EF183&lt;&gt;"",-Assumptions!EF183,0)</f>
        <v>0</v>
      </c>
      <c r="EG194" s="482">
        <f>IF(Assumptions!EG183&lt;&gt;"",-Assumptions!EG183,0)</f>
        <v>0</v>
      </c>
      <c r="EH194" s="482">
        <f t="shared" si="742"/>
        <v>0</v>
      </c>
      <c r="EI194" s="1276">
        <f>IF(Assumptions!EI183&lt;&gt;"",-Assumptions!EI183,0)</f>
        <v>0</v>
      </c>
      <c r="EJ194" s="482">
        <f>IF(Assumptions!EJ183&lt;&gt;"",-Assumptions!EJ183,0)</f>
        <v>0</v>
      </c>
      <c r="EK194" s="482">
        <f t="shared" si="743"/>
        <v>0</v>
      </c>
      <c r="EL194" s="1276">
        <f>IF(Assumptions!EL183&lt;&gt;"",-Assumptions!EL183,0)</f>
        <v>0</v>
      </c>
      <c r="EM194" s="482">
        <f>IF(Assumptions!EM183&lt;&gt;"",-Assumptions!EM183,0)</f>
        <v>0</v>
      </c>
      <c r="EN194" s="482">
        <f t="shared" si="744"/>
        <v>0</v>
      </c>
      <c r="EO194" s="1276">
        <f>IF(Assumptions!EO183&lt;&gt;"",-Assumptions!EO183,0)</f>
        <v>0</v>
      </c>
      <c r="EP194" s="482">
        <f>IF(Assumptions!EP183&lt;&gt;"",-Assumptions!EP183,0)</f>
        <v>0</v>
      </c>
      <c r="EQ194" s="482">
        <f t="shared" si="745"/>
        <v>0</v>
      </c>
      <c r="ER194" s="1276">
        <f>IF(Assumptions!ER183&lt;&gt;"",-Assumptions!ER183,0)</f>
        <v>0</v>
      </c>
      <c r="ES194" s="482">
        <f>IF(Assumptions!ES183&lt;&gt;"",-Assumptions!ES183,0)</f>
        <v>0</v>
      </c>
      <c r="ET194" s="482">
        <f t="shared" si="746"/>
        <v>0</v>
      </c>
      <c r="EU194" s="1276">
        <f>IF(Assumptions!EU183&lt;&gt;"",-Assumptions!EU183,0)</f>
        <v>0</v>
      </c>
      <c r="EV194" s="482">
        <f>IF(Assumptions!EV183&lt;&gt;"",-Assumptions!EV183,0)</f>
        <v>0</v>
      </c>
      <c r="EW194" s="482">
        <f t="shared" si="747"/>
        <v>0</v>
      </c>
      <c r="EX194" s="1276">
        <f>IF(Assumptions!EX183&lt;&gt;"",-Assumptions!EX183,0)</f>
        <v>0</v>
      </c>
      <c r="EY194" s="482">
        <f>IF(Assumptions!EY183&lt;&gt;"",-Assumptions!EY183,0)</f>
        <v>0</v>
      </c>
      <c r="EZ194" s="482">
        <f t="shared" si="748"/>
        <v>0</v>
      </c>
      <c r="FA194" s="1276">
        <f>IF(Assumptions!FA183&lt;&gt;"",-Assumptions!FA183,0)</f>
        <v>0</v>
      </c>
      <c r="FE194"/>
      <c r="FF194"/>
      <c r="FG194"/>
      <c r="FH194"/>
      <c r="FI194"/>
      <c r="FJ194"/>
      <c r="FK194" s="35"/>
    </row>
    <row r="195" spans="2:167" s="236" customFormat="1" ht="13.35" customHeight="1" outlineLevel="1" thickBot="1">
      <c r="B195" s="242" t="s">
        <v>58</v>
      </c>
      <c r="C195" s="242" t="s">
        <v>496</v>
      </c>
      <c r="D195" s="243"/>
      <c r="E195" s="528"/>
      <c r="F195" s="482">
        <f t="shared" si="698"/>
        <v>0</v>
      </c>
      <c r="G195" s="575"/>
      <c r="H195" s="530"/>
      <c r="I195" s="482">
        <f t="shared" si="699"/>
        <v>0</v>
      </c>
      <c r="J195" s="575"/>
      <c r="K195" s="530"/>
      <c r="L195" s="482">
        <f t="shared" si="700"/>
        <v>0</v>
      </c>
      <c r="M195" s="575"/>
      <c r="N195" s="530"/>
      <c r="O195" s="482">
        <f t="shared" si="701"/>
        <v>0</v>
      </c>
      <c r="P195" s="575"/>
      <c r="Q195" s="530"/>
      <c r="R195" s="482">
        <f t="shared" si="702"/>
        <v>0</v>
      </c>
      <c r="S195" s="575"/>
      <c r="T195" s="530"/>
      <c r="U195" s="482">
        <f t="shared" si="703"/>
        <v>0</v>
      </c>
      <c r="V195" s="575"/>
      <c r="W195" s="530"/>
      <c r="X195" s="482">
        <f t="shared" si="704"/>
        <v>0</v>
      </c>
      <c r="Y195" s="575"/>
      <c r="Z195" s="530"/>
      <c r="AA195" s="482">
        <f t="shared" si="705"/>
        <v>0</v>
      </c>
      <c r="AB195" s="575"/>
      <c r="AC195" s="530"/>
      <c r="AD195" s="482">
        <f t="shared" si="706"/>
        <v>0</v>
      </c>
      <c r="AE195" s="575"/>
      <c r="AF195" s="530"/>
      <c r="AG195" s="482">
        <f t="shared" si="707"/>
        <v>0</v>
      </c>
      <c r="AH195" s="575"/>
      <c r="AI195" s="530"/>
      <c r="AJ195" s="482">
        <f t="shared" si="708"/>
        <v>0</v>
      </c>
      <c r="AK195" s="575"/>
      <c r="AL195" s="530"/>
      <c r="AM195" s="482">
        <f t="shared" si="709"/>
        <v>0</v>
      </c>
      <c r="AN195" s="575"/>
      <c r="AO195" s="530"/>
      <c r="AP195" s="482">
        <f t="shared" si="710"/>
        <v>0</v>
      </c>
      <c r="AQ195" s="575"/>
      <c r="AR195" s="530"/>
      <c r="AS195" s="482">
        <f t="shared" si="711"/>
        <v>0</v>
      </c>
      <c r="AT195" s="575"/>
      <c r="AU195" s="530"/>
      <c r="AV195" s="482">
        <f t="shared" si="712"/>
        <v>0</v>
      </c>
      <c r="AW195" s="575"/>
      <c r="AX195" s="531">
        <v>0</v>
      </c>
      <c r="AY195" s="482">
        <f t="shared" si="713"/>
        <v>0</v>
      </c>
      <c r="AZ195" s="576">
        <v>0</v>
      </c>
      <c r="BA195" s="531">
        <v>0</v>
      </c>
      <c r="BB195" s="482">
        <f t="shared" si="714"/>
        <v>0</v>
      </c>
      <c r="BC195" s="576">
        <v>0</v>
      </c>
      <c r="BD195" s="530">
        <f>IF(Assumptions!BD184&lt;&gt;"",-Assumptions!BD184,0)</f>
        <v>0</v>
      </c>
      <c r="BE195" s="482">
        <f t="shared" si="715"/>
        <v>0</v>
      </c>
      <c r="BF195" s="575">
        <f>IF(Assumptions!BF184&lt;&gt;"",-Assumptions!BF184,0)</f>
        <v>0</v>
      </c>
      <c r="BG195" s="530">
        <f>IF(Assumptions!BG184&lt;&gt;"",-Assumptions!BG184,0)</f>
        <v>0</v>
      </c>
      <c r="BH195" s="482">
        <f t="shared" si="716"/>
        <v>0</v>
      </c>
      <c r="BI195" s="575">
        <f>IF(Assumptions!BI184&lt;&gt;"",-Assumptions!BI184,0)</f>
        <v>0</v>
      </c>
      <c r="BJ195" s="530">
        <f>IF(Assumptions!BJ184&lt;&gt;"",-Assumptions!BJ184,0)</f>
        <v>0</v>
      </c>
      <c r="BK195" s="482">
        <f t="shared" si="717"/>
        <v>0</v>
      </c>
      <c r="BL195" s="575">
        <f>IF(Assumptions!BL184&lt;&gt;"",-Assumptions!BL184,0)</f>
        <v>0</v>
      </c>
      <c r="BM195" s="530">
        <f>IF(Assumptions!BM184&lt;&gt;"",-Assumptions!BM184,0)</f>
        <v>0</v>
      </c>
      <c r="BN195" s="482">
        <f t="shared" si="718"/>
        <v>-195.613</v>
      </c>
      <c r="BO195" s="578">
        <f>-192.208-3.405</f>
        <v>-195.613</v>
      </c>
      <c r="BP195" s="531">
        <v>0</v>
      </c>
      <c r="BQ195" s="482">
        <f t="shared" si="719"/>
        <v>0</v>
      </c>
      <c r="BR195" s="578">
        <f>IF(Assumptions!BR184&lt;&gt;"",-Assumptions!BR184,0)</f>
        <v>0</v>
      </c>
      <c r="BS195" s="530">
        <f>-0.374-2</f>
        <v>-2.3740000000000001</v>
      </c>
      <c r="BT195" s="482">
        <f t="shared" si="720"/>
        <v>-15.551</v>
      </c>
      <c r="BU195" s="578">
        <f>-9.972-7.953</f>
        <v>-17.925000000000001</v>
      </c>
      <c r="BV195" s="531">
        <v>-9.2859999999999996</v>
      </c>
      <c r="BW195" s="482">
        <f t="shared" si="721"/>
        <v>-1.0109999999999992</v>
      </c>
      <c r="BX195" s="578">
        <f>-1.011-9.286</f>
        <v>-10.296999999999999</v>
      </c>
      <c r="BY195" s="530">
        <f>IF(Assumptions!BY184&lt;&gt;"",-Assumptions!BY184,0)</f>
        <v>0</v>
      </c>
      <c r="BZ195" s="482">
        <f t="shared" si="722"/>
        <v>0</v>
      </c>
      <c r="CA195" s="578">
        <f>IF(Assumptions!CA184&lt;&gt;"",-Assumptions!CA184,0)</f>
        <v>0</v>
      </c>
      <c r="CB195" s="530">
        <f>IF(Assumptions!CB184&lt;&gt;"",-Assumptions!CB184,0)</f>
        <v>0</v>
      </c>
      <c r="CC195" s="482">
        <f t="shared" si="723"/>
        <v>0</v>
      </c>
      <c r="CD195" s="578">
        <f>IF(Assumptions!CD184&lt;&gt;"",-Assumptions!CD184,0)</f>
        <v>0</v>
      </c>
      <c r="CE195" s="530">
        <f>IF(Assumptions!CE184&lt;&gt;"",-Assumptions!CE184,0)</f>
        <v>0</v>
      </c>
      <c r="CF195" s="482">
        <f t="shared" si="724"/>
        <v>0</v>
      </c>
      <c r="CG195" s="578">
        <f>IF(Assumptions!CG184&lt;&gt;"",-Assumptions!CG184,0)</f>
        <v>0</v>
      </c>
      <c r="CH195" s="530">
        <f>IF(Assumptions!CH184&lt;&gt;"",-Assumptions!CH184,0)</f>
        <v>0</v>
      </c>
      <c r="CI195" s="482">
        <f t="shared" si="725"/>
        <v>0</v>
      </c>
      <c r="CJ195" s="578">
        <f>IF(Assumptions!CJ184&lt;&gt;"",-Assumptions!CJ184,0)</f>
        <v>0</v>
      </c>
      <c r="CK195" s="530">
        <f>IF(Assumptions!CK184&lt;&gt;"",-Assumptions!CK184,0)</f>
        <v>0</v>
      </c>
      <c r="CL195" s="482">
        <f t="shared" si="726"/>
        <v>0</v>
      </c>
      <c r="CM195" s="578">
        <f>IF(Assumptions!CM184&lt;&gt;"",-Assumptions!CM184,0)</f>
        <v>0</v>
      </c>
      <c r="CN195" s="530">
        <f>IF(Assumptions!CN184&lt;&gt;"",-Assumptions!CN184,0)</f>
        <v>0</v>
      </c>
      <c r="CO195" s="482">
        <f t="shared" si="727"/>
        <v>0</v>
      </c>
      <c r="CP195" s="578">
        <f>IF(Assumptions!CP184&lt;&gt;"",-Assumptions!CP184,0)</f>
        <v>0</v>
      </c>
      <c r="CQ195" s="530">
        <f>IF(Assumptions!CQ184&lt;&gt;"",-Assumptions!CQ184,0)</f>
        <v>0</v>
      </c>
      <c r="CR195" s="482">
        <f t="shared" si="728"/>
        <v>0</v>
      </c>
      <c r="CS195" s="578">
        <f>IF(Assumptions!CS184&lt;&gt;"",-Assumptions!CS184,0)</f>
        <v>0</v>
      </c>
      <c r="CT195" s="530">
        <f>IF(Assumptions!CT184&lt;&gt;"",-Assumptions!CT184,0)</f>
        <v>0</v>
      </c>
      <c r="CU195" s="482">
        <f t="shared" si="729"/>
        <v>0</v>
      </c>
      <c r="CV195" s="578">
        <f>IF(Assumptions!CV184&lt;&gt;"",-Assumptions!CV184,0)</f>
        <v>0</v>
      </c>
      <c r="CW195" s="530">
        <f>IF(Assumptions!CW184&lt;&gt;"",-Assumptions!CW184,0)</f>
        <v>0</v>
      </c>
      <c r="CX195" s="482">
        <f t="shared" si="730"/>
        <v>-63.709000000000003</v>
      </c>
      <c r="CY195" s="585">
        <v>-63.709000000000003</v>
      </c>
      <c r="CZ195" s="530">
        <f>IF(Assumptions!CZ184&lt;&gt;"",-Assumptions!CZ184,0)</f>
        <v>0</v>
      </c>
      <c r="DA195" s="482">
        <f t="shared" si="731"/>
        <v>-6</v>
      </c>
      <c r="DB195" s="578">
        <v>-6</v>
      </c>
      <c r="DC195" s="530">
        <f>IF(Assumptions!DC184&lt;&gt;"",-Assumptions!DC184,0)</f>
        <v>0</v>
      </c>
      <c r="DD195" s="482">
        <f t="shared" si="732"/>
        <v>-23.2</v>
      </c>
      <c r="DE195" s="578">
        <v>-23.2</v>
      </c>
      <c r="DF195" s="530">
        <f>IF(Assumptions!DF184&lt;&gt;"",-Assumptions!DF184,0)</f>
        <v>0</v>
      </c>
      <c r="DG195" s="482">
        <f t="shared" si="740"/>
        <v>-14.2</v>
      </c>
      <c r="DH195" s="1362">
        <v>-14.2</v>
      </c>
      <c r="DI195" s="1373">
        <f>-1.7-15.6-14.4</f>
        <v>-31.700000000000003</v>
      </c>
      <c r="DJ195" s="482">
        <f t="shared" si="733"/>
        <v>13.300000000000004</v>
      </c>
      <c r="DK195" s="1366">
        <v>-18.399999999999999</v>
      </c>
      <c r="DL195" s="1373">
        <f>-1.6-15.6-42.3</f>
        <v>-59.5</v>
      </c>
      <c r="DM195" s="482">
        <f t="shared" si="734"/>
        <v>-2.2000000000000028</v>
      </c>
      <c r="DN195" s="1366">
        <f>-138.9+77.2</f>
        <v>-61.7</v>
      </c>
      <c r="DO195" s="1373">
        <f>-8.3-14.1-17.9-25</f>
        <v>-65.3</v>
      </c>
      <c r="DP195" s="482">
        <f t="shared" si="735"/>
        <v>35.5</v>
      </c>
      <c r="DQ195" s="1366">
        <v>-29.8</v>
      </c>
      <c r="DR195" s="1373">
        <v>-5.0999999999999996</v>
      </c>
      <c r="DS195" s="482">
        <f t="shared" si="736"/>
        <v>-10.8</v>
      </c>
      <c r="DT195" s="1366">
        <v>-15.9</v>
      </c>
      <c r="DU195" s="1373">
        <v>-7.3</v>
      </c>
      <c r="DV195" s="482">
        <f t="shared" si="741"/>
        <v>-5.3</v>
      </c>
      <c r="DW195" s="1366">
        <v>-12.6</v>
      </c>
      <c r="DX195" s="1373">
        <v>-13.8</v>
      </c>
      <c r="DY195" s="482">
        <v>0</v>
      </c>
      <c r="DZ195" s="1276">
        <f>SUM(DX195:DY195)</f>
        <v>-13.8</v>
      </c>
      <c r="EA195" s="482">
        <f>IF(Assumptions!EA184&lt;&gt;"",-Assumptions!EA184,0)</f>
        <v>0</v>
      </c>
      <c r="EB195" s="482">
        <f t="shared" si="738"/>
        <v>0</v>
      </c>
      <c r="EC195" s="1276">
        <f>IF(Assumptions!EC184&lt;&gt;"",-Assumptions!EC184,0)</f>
        <v>0</v>
      </c>
      <c r="ED195" s="482">
        <f>IF(Assumptions!ED184&lt;&gt;"",-Assumptions!ED184,0)</f>
        <v>0</v>
      </c>
      <c r="EE195" s="482">
        <f t="shared" si="739"/>
        <v>0</v>
      </c>
      <c r="EF195" s="1276">
        <f>IF(Assumptions!EF184&lt;&gt;"",-Assumptions!EF184,0)</f>
        <v>0</v>
      </c>
      <c r="EG195" s="482">
        <f>IF(Assumptions!EG184&lt;&gt;"",-Assumptions!EG184,0)</f>
        <v>0</v>
      </c>
      <c r="EH195" s="482">
        <f t="shared" si="742"/>
        <v>0</v>
      </c>
      <c r="EI195" s="1276">
        <f>IF(Assumptions!EI184&lt;&gt;"",-Assumptions!EI184,0)</f>
        <v>0</v>
      </c>
      <c r="EJ195" s="482">
        <f>IF(Assumptions!EJ184&lt;&gt;"",-Assumptions!EJ184,0)</f>
        <v>0</v>
      </c>
      <c r="EK195" s="482">
        <f t="shared" si="743"/>
        <v>0</v>
      </c>
      <c r="EL195" s="1276">
        <f>IF(Assumptions!EL184&lt;&gt;"",-Assumptions!EL184,0)</f>
        <v>0</v>
      </c>
      <c r="EM195" s="482">
        <f>IF(Assumptions!EM184&lt;&gt;"",-Assumptions!EM184,0)</f>
        <v>0</v>
      </c>
      <c r="EN195" s="482">
        <f t="shared" si="744"/>
        <v>0</v>
      </c>
      <c r="EO195" s="1276">
        <f>IF(Assumptions!EO184&lt;&gt;"",-Assumptions!EO184,0)</f>
        <v>0</v>
      </c>
      <c r="EP195" s="482">
        <f>IF(Assumptions!EP184&lt;&gt;"",-Assumptions!EP184,0)</f>
        <v>0</v>
      </c>
      <c r="EQ195" s="482">
        <f t="shared" si="745"/>
        <v>0</v>
      </c>
      <c r="ER195" s="1276">
        <f>IF(Assumptions!ER184&lt;&gt;"",-Assumptions!ER184,0)</f>
        <v>0</v>
      </c>
      <c r="ES195" s="482">
        <f>IF(Assumptions!ES184&lt;&gt;"",-Assumptions!ES184,0)</f>
        <v>0</v>
      </c>
      <c r="ET195" s="482">
        <f t="shared" si="746"/>
        <v>0</v>
      </c>
      <c r="EU195" s="1276">
        <f>IF(Assumptions!EU184&lt;&gt;"",-Assumptions!EU184,0)</f>
        <v>0</v>
      </c>
      <c r="EV195" s="482">
        <f>IF(Assumptions!EV184&lt;&gt;"",-Assumptions!EV184,0)</f>
        <v>0</v>
      </c>
      <c r="EW195" s="482">
        <f t="shared" si="747"/>
        <v>0</v>
      </c>
      <c r="EX195" s="1276">
        <f>IF(Assumptions!EX184&lt;&gt;"",-Assumptions!EX184,0)</f>
        <v>0</v>
      </c>
      <c r="EY195" s="482">
        <f>IF(Assumptions!EY184&lt;&gt;"",-Assumptions!EY184,0)</f>
        <v>0</v>
      </c>
      <c r="EZ195" s="482">
        <f t="shared" si="748"/>
        <v>0</v>
      </c>
      <c r="FA195" s="1276">
        <f>IF(Assumptions!FA184&lt;&gt;"",-Assumptions!FA184,0)</f>
        <v>0</v>
      </c>
      <c r="FE195"/>
      <c r="FF195"/>
      <c r="FG195"/>
      <c r="FH195"/>
      <c r="FI195"/>
      <c r="FJ195"/>
      <c r="FK195" s="35"/>
    </row>
    <row r="196" spans="2:167" s="236" customFormat="1" ht="13.35" customHeight="1" thickBot="1">
      <c r="B196" s="242" t="s">
        <v>59</v>
      </c>
      <c r="C196" s="242" t="s">
        <v>496</v>
      </c>
      <c r="D196" s="243"/>
      <c r="E196" s="482">
        <f>+SUM(E197:E198)</f>
        <v>0</v>
      </c>
      <c r="F196" s="482">
        <f t="shared" si="698"/>
        <v>0</v>
      </c>
      <c r="G196" s="482">
        <f>+SUM(G197:G198)</f>
        <v>0</v>
      </c>
      <c r="H196" s="482">
        <f>+SUM(H197:H198)</f>
        <v>0</v>
      </c>
      <c r="I196" s="482">
        <f t="shared" si="699"/>
        <v>0</v>
      </c>
      <c r="J196" s="482">
        <f>+SUM(J197:J198)</f>
        <v>0</v>
      </c>
      <c r="K196" s="482">
        <f>+SUM(K197:K198)</f>
        <v>0</v>
      </c>
      <c r="L196" s="482">
        <f t="shared" si="700"/>
        <v>0</v>
      </c>
      <c r="M196" s="482">
        <f>+SUM(M197:M198)</f>
        <v>0</v>
      </c>
      <c r="N196" s="482">
        <f>+SUM(N197:N198)</f>
        <v>0</v>
      </c>
      <c r="O196" s="482">
        <f t="shared" si="701"/>
        <v>0</v>
      </c>
      <c r="P196" s="482">
        <f>+SUM(P197:P198)</f>
        <v>0</v>
      </c>
      <c r="Q196" s="482">
        <f>+SUM(Q197:Q198)</f>
        <v>0</v>
      </c>
      <c r="R196" s="482">
        <f t="shared" si="702"/>
        <v>0</v>
      </c>
      <c r="S196" s="482">
        <f>+SUM(S197:S198)</f>
        <v>0</v>
      </c>
      <c r="T196" s="482">
        <f>+SUM(T197:T198)</f>
        <v>0</v>
      </c>
      <c r="U196" s="482">
        <f t="shared" si="703"/>
        <v>0</v>
      </c>
      <c r="V196" s="482">
        <f>+SUM(V197:V198)</f>
        <v>0</v>
      </c>
      <c r="W196" s="482">
        <f>+SUM(W197:W198)</f>
        <v>0</v>
      </c>
      <c r="X196" s="482">
        <f t="shared" si="704"/>
        <v>0</v>
      </c>
      <c r="Y196" s="482">
        <f>+SUM(Y197:Y198)</f>
        <v>0</v>
      </c>
      <c r="Z196" s="482">
        <f>+SUM(Z197:Z198)</f>
        <v>0</v>
      </c>
      <c r="AA196" s="482">
        <f t="shared" si="705"/>
        <v>0</v>
      </c>
      <c r="AB196" s="482">
        <f>+SUM(AB197:AB198)</f>
        <v>0</v>
      </c>
      <c r="AC196" s="482">
        <f>+SUM(AC197:AC198)</f>
        <v>0</v>
      </c>
      <c r="AD196" s="482">
        <f t="shared" si="706"/>
        <v>0</v>
      </c>
      <c r="AE196" s="482">
        <f>+SUM(AE197:AE198)</f>
        <v>0</v>
      </c>
      <c r="AF196" s="482">
        <f>+SUM(AF197:AF198)</f>
        <v>0</v>
      </c>
      <c r="AG196" s="482">
        <f t="shared" si="707"/>
        <v>0</v>
      </c>
      <c r="AH196" s="482">
        <f>+SUM(AH197:AH198)</f>
        <v>0</v>
      </c>
      <c r="AI196" s="482">
        <f>+SUM(AI197:AI198)</f>
        <v>0</v>
      </c>
      <c r="AJ196" s="482">
        <f t="shared" si="708"/>
        <v>0</v>
      </c>
      <c r="AK196" s="482">
        <f>+SUM(AK197:AK198)</f>
        <v>0</v>
      </c>
      <c r="AL196" s="482">
        <f>+SUM(AL197:AL198)</f>
        <v>9.2999999999999999E-2</v>
      </c>
      <c r="AM196" s="482">
        <f t="shared" si="709"/>
        <v>4.6000000000000013E-2</v>
      </c>
      <c r="AN196" s="482">
        <f>+SUM(AN197:AN198)</f>
        <v>0.13900000000000001</v>
      </c>
      <c r="AO196" s="482">
        <f>+SUM(AO197:AO198)</f>
        <v>1.4E-2</v>
      </c>
      <c r="AP196" s="482">
        <f t="shared" si="710"/>
        <v>8.9999999999999993E-3</v>
      </c>
      <c r="AQ196" s="482">
        <f>+SUM(AQ197:AQ198)</f>
        <v>2.3E-2</v>
      </c>
      <c r="AR196" s="482">
        <f>+SUM(AR197:AR198)</f>
        <v>3.7999999999999999E-2</v>
      </c>
      <c r="AS196" s="482">
        <f t="shared" si="711"/>
        <v>3.3999999999999996E-2</v>
      </c>
      <c r="AT196" s="482">
        <f>+SUM(AT197:AT198)</f>
        <v>7.1999999999999995E-2</v>
      </c>
      <c r="AU196" s="482">
        <f>+SUM(AU197:AU198)</f>
        <v>0</v>
      </c>
      <c r="AV196" s="482">
        <f t="shared" si="712"/>
        <v>0</v>
      </c>
      <c r="AW196" s="482">
        <f>+SUM(AW197:AW198)</f>
        <v>0</v>
      </c>
      <c r="AX196" s="482">
        <f>+SUM(AX197:AX198)</f>
        <v>0</v>
      </c>
      <c r="AY196" s="482">
        <f t="shared" si="713"/>
        <v>0</v>
      </c>
      <c r="AZ196" s="482">
        <f>+SUM(AZ197:AZ198)</f>
        <v>0</v>
      </c>
      <c r="BA196" s="482">
        <f>+SUM(BA197:BA198)</f>
        <v>0</v>
      </c>
      <c r="BB196" s="482">
        <f t="shared" si="714"/>
        <v>0</v>
      </c>
      <c r="BC196" s="482">
        <f>+SUM(BC197:BC198)</f>
        <v>0</v>
      </c>
      <c r="BD196" s="482">
        <f>+SUM(BD197:BD198)</f>
        <v>0</v>
      </c>
      <c r="BE196" s="482">
        <f t="shared" si="715"/>
        <v>0</v>
      </c>
      <c r="BF196" s="482">
        <f>+SUM(BF197:BF198)</f>
        <v>0</v>
      </c>
      <c r="BG196" s="482">
        <f>+SUM(BG197:BG198)</f>
        <v>0</v>
      </c>
      <c r="BH196" s="482">
        <f t="shared" si="716"/>
        <v>0</v>
      </c>
      <c r="BI196" s="482">
        <f>+SUM(BI197:BI198)</f>
        <v>0</v>
      </c>
      <c r="BJ196" s="482">
        <f>+SUM(BJ197:BJ198)</f>
        <v>0</v>
      </c>
      <c r="BK196" s="482">
        <f t="shared" si="717"/>
        <v>0</v>
      </c>
      <c r="BL196" s="482">
        <f>+SUM(BL197:BL198)</f>
        <v>0</v>
      </c>
      <c r="BM196" s="482">
        <f>+SUM(BM197:BM198)</f>
        <v>0</v>
      </c>
      <c r="BN196" s="482">
        <f t="shared" si="718"/>
        <v>0</v>
      </c>
      <c r="BO196" s="482">
        <f>+SUM(BO197:BO198)</f>
        <v>0</v>
      </c>
      <c r="BP196" s="482">
        <f>+SUM(BP197:BP198)</f>
        <v>0</v>
      </c>
      <c r="BQ196" s="482">
        <f t="shared" si="719"/>
        <v>0</v>
      </c>
      <c r="BR196" s="482">
        <f>+SUM(BR197:BR198)</f>
        <v>0</v>
      </c>
      <c r="BS196" s="482">
        <f>+SUM(BS197:BS198)</f>
        <v>0</v>
      </c>
      <c r="BT196" s="482">
        <f t="shared" si="720"/>
        <v>7.5739999999999998</v>
      </c>
      <c r="BU196" s="482">
        <f>+SUM(BU197:BU198)</f>
        <v>7.5739999999999998</v>
      </c>
      <c r="BV196" s="482">
        <f>+SUM(BV197:BV198)</f>
        <v>0</v>
      </c>
      <c r="BW196" s="482">
        <f t="shared" si="721"/>
        <v>0</v>
      </c>
      <c r="BX196" s="482">
        <f>+SUM(BX197:BX198)</f>
        <v>0</v>
      </c>
      <c r="BY196" s="482">
        <f>+SUM(BY197:BY198)</f>
        <v>0</v>
      </c>
      <c r="BZ196" s="482">
        <f t="shared" si="722"/>
        <v>0</v>
      </c>
      <c r="CA196" s="482">
        <f>+SUM(CA197:CA198)</f>
        <v>0</v>
      </c>
      <c r="CB196" s="482">
        <f>+SUM(CB197:CB198)</f>
        <v>0</v>
      </c>
      <c r="CC196" s="482">
        <f t="shared" si="723"/>
        <v>0</v>
      </c>
      <c r="CD196" s="482">
        <f>+SUM(CD197:CD198)</f>
        <v>0</v>
      </c>
      <c r="CE196" s="482">
        <f>+SUM(CE197:CE198)</f>
        <v>0</v>
      </c>
      <c r="CF196" s="482">
        <f t="shared" si="724"/>
        <v>0</v>
      </c>
      <c r="CG196" s="482">
        <f>+SUM(CG197:CG198)</f>
        <v>0</v>
      </c>
      <c r="CH196" s="482">
        <f>+SUM(CH197:CH198)</f>
        <v>0</v>
      </c>
      <c r="CI196" s="482">
        <f t="shared" si="725"/>
        <v>0</v>
      </c>
      <c r="CJ196" s="482">
        <f>+SUM(CJ197:CJ198)</f>
        <v>0</v>
      </c>
      <c r="CK196" s="482">
        <f>+SUM(CK197:CK198)</f>
        <v>0</v>
      </c>
      <c r="CL196" s="482">
        <f t="shared" si="726"/>
        <v>0</v>
      </c>
      <c r="CM196" s="482">
        <f>+SUM(CM197:CM198)</f>
        <v>0</v>
      </c>
      <c r="CN196" s="482">
        <f>+SUM(CN197:CN198)</f>
        <v>0</v>
      </c>
      <c r="CO196" s="482">
        <f t="shared" si="727"/>
        <v>0</v>
      </c>
      <c r="CP196" s="482">
        <f>+SUM(CP197:CP198)</f>
        <v>0</v>
      </c>
      <c r="CQ196" s="482">
        <f>+SUM(CQ197:CQ198)</f>
        <v>0</v>
      </c>
      <c r="CR196" s="482">
        <f t="shared" si="728"/>
        <v>0</v>
      </c>
      <c r="CS196" s="482">
        <f>+SUM(CS197:CS198)</f>
        <v>0</v>
      </c>
      <c r="CT196" s="482">
        <f>+SUM(CT197:CT198)</f>
        <v>0</v>
      </c>
      <c r="CU196" s="482">
        <f t="shared" si="729"/>
        <v>-12.58</v>
      </c>
      <c r="CV196" s="482">
        <f>+SUM(CV197:CV198)</f>
        <v>-12.58</v>
      </c>
      <c r="CW196" s="482">
        <f>+SUM(CW197:CW198)</f>
        <v>0</v>
      </c>
      <c r="CX196" s="482">
        <f t="shared" si="730"/>
        <v>-0.82100000000000006</v>
      </c>
      <c r="CY196" s="482">
        <f>+SUM(CY197:CY198)</f>
        <v>-0.82100000000000006</v>
      </c>
      <c r="CZ196" s="482">
        <f>+SUM(CZ197:CZ198)</f>
        <v>0.3</v>
      </c>
      <c r="DA196" s="482">
        <f t="shared" si="731"/>
        <v>0</v>
      </c>
      <c r="DB196" s="482">
        <f>+SUM(DB197:DB198)</f>
        <v>0.3</v>
      </c>
      <c r="DC196" s="482">
        <f>+SUM(DC197:DC198)</f>
        <v>1.3</v>
      </c>
      <c r="DD196" s="482">
        <f t="shared" si="732"/>
        <v>-1.3</v>
      </c>
      <c r="DE196" s="482">
        <f>+SUM(DE197:DE198)</f>
        <v>0</v>
      </c>
      <c r="DF196" s="482">
        <f>+SUM(DF197:DF198)</f>
        <v>0</v>
      </c>
      <c r="DG196" s="482">
        <f t="shared" si="740"/>
        <v>0</v>
      </c>
      <c r="DH196" s="1244">
        <f>+SUM(DH197:DH198)</f>
        <v>0</v>
      </c>
      <c r="DI196" s="482">
        <f>+SUM(DI197:DI198)</f>
        <v>0</v>
      </c>
      <c r="DJ196" s="482">
        <f t="shared" si="733"/>
        <v>0</v>
      </c>
      <c r="DK196" s="1244">
        <f>+SUM(DK197:DK198)</f>
        <v>0</v>
      </c>
      <c r="DL196" s="482">
        <f>+SUM(DL197:DL198)</f>
        <v>0</v>
      </c>
      <c r="DM196" s="482">
        <f t="shared" si="734"/>
        <v>0</v>
      </c>
      <c r="DN196" s="1244">
        <f>+SUM(DN197:DN198)</f>
        <v>0</v>
      </c>
      <c r="DO196" s="482">
        <f>+SUM(DO197:DO198)</f>
        <v>0</v>
      </c>
      <c r="DP196" s="482">
        <f t="shared" si="735"/>
        <v>0</v>
      </c>
      <c r="DQ196" s="1244">
        <f>+SUM(DQ197:DQ198)</f>
        <v>0</v>
      </c>
      <c r="DR196" s="482">
        <f>+SUM(DR197:DR198)</f>
        <v>0</v>
      </c>
      <c r="DS196" s="482">
        <f t="shared" si="736"/>
        <v>0</v>
      </c>
      <c r="DT196" s="1244">
        <f>+SUM(DT197:DT198)</f>
        <v>0</v>
      </c>
      <c r="DU196" s="482">
        <f>+SUM(DU197:DU198)</f>
        <v>0</v>
      </c>
      <c r="DV196" s="482">
        <f t="shared" si="741"/>
        <v>0</v>
      </c>
      <c r="DW196" s="1244">
        <f>+SUM(DW197:DW198)</f>
        <v>0</v>
      </c>
      <c r="DX196" s="482">
        <f>+SUM(DX197:DX198)</f>
        <v>0</v>
      </c>
      <c r="DY196" s="482">
        <f t="shared" si="749"/>
        <v>0</v>
      </c>
      <c r="DZ196" s="1244">
        <f>+SUM(DZ197:DZ198)</f>
        <v>0</v>
      </c>
      <c r="EA196" s="482">
        <f>+SUM(EA197:EA198)</f>
        <v>0</v>
      </c>
      <c r="EB196" s="482">
        <f t="shared" si="738"/>
        <v>0</v>
      </c>
      <c r="EC196" s="1244">
        <f>+SUM(EC197:EC198)</f>
        <v>0</v>
      </c>
      <c r="ED196" s="482">
        <f>+SUM(ED197:ED198)</f>
        <v>0</v>
      </c>
      <c r="EE196" s="482">
        <f t="shared" si="739"/>
        <v>0</v>
      </c>
      <c r="EF196" s="1244">
        <f>+SUM(EF197:EF198)</f>
        <v>0</v>
      </c>
      <c r="EG196" s="482">
        <f>+SUM(EG197:EG198)</f>
        <v>0</v>
      </c>
      <c r="EH196" s="482">
        <f t="shared" si="742"/>
        <v>0</v>
      </c>
      <c r="EI196" s="1244">
        <f>+SUM(EI197:EI198)</f>
        <v>0</v>
      </c>
      <c r="EJ196" s="482">
        <f>+SUM(EJ197:EJ198)</f>
        <v>0</v>
      </c>
      <c r="EK196" s="482">
        <f t="shared" si="743"/>
        <v>0</v>
      </c>
      <c r="EL196" s="1244">
        <f>+SUM(EL197:EL198)</f>
        <v>0</v>
      </c>
      <c r="EM196" s="482">
        <f>+SUM(EM197:EM198)</f>
        <v>0</v>
      </c>
      <c r="EN196" s="482">
        <f t="shared" si="744"/>
        <v>0</v>
      </c>
      <c r="EO196" s="1244">
        <f>+SUM(EO197:EO198)</f>
        <v>0</v>
      </c>
      <c r="EP196" s="482">
        <f>+SUM(EP197:EP198)</f>
        <v>0</v>
      </c>
      <c r="EQ196" s="482">
        <f t="shared" si="745"/>
        <v>0</v>
      </c>
      <c r="ER196" s="1244">
        <f>+SUM(ER197:ER198)</f>
        <v>0</v>
      </c>
      <c r="ES196" s="482">
        <f>+SUM(ES197:ES198)</f>
        <v>0</v>
      </c>
      <c r="ET196" s="482">
        <f t="shared" si="746"/>
        <v>0</v>
      </c>
      <c r="EU196" s="1244">
        <f>+SUM(EU197:EU198)</f>
        <v>0</v>
      </c>
      <c r="EV196" s="482">
        <f>+SUM(EV197:EV198)</f>
        <v>0</v>
      </c>
      <c r="EW196" s="482">
        <f t="shared" si="747"/>
        <v>0</v>
      </c>
      <c r="EX196" s="1244">
        <f>+SUM(EX197:EX198)</f>
        <v>0</v>
      </c>
      <c r="EY196" s="482">
        <f>+SUM(EY197:EY198)</f>
        <v>0</v>
      </c>
      <c r="EZ196" s="482">
        <f t="shared" si="748"/>
        <v>0</v>
      </c>
      <c r="FA196" s="1244">
        <f>+SUM(FA197:FA198)</f>
        <v>0</v>
      </c>
      <c r="FE196"/>
      <c r="FF196"/>
      <c r="FG196"/>
      <c r="FH196"/>
      <c r="FI196"/>
      <c r="FJ196"/>
      <c r="FK196" s="35"/>
    </row>
    <row r="197" spans="2:167" s="236" customFormat="1" ht="13.35" customHeight="1" outlineLevel="1">
      <c r="B197" s="242" t="s">
        <v>85</v>
      </c>
      <c r="C197" s="242" t="s">
        <v>496</v>
      </c>
      <c r="D197" s="243"/>
      <c r="E197" s="511"/>
      <c r="F197" s="510">
        <f t="shared" si="698"/>
        <v>0</v>
      </c>
      <c r="G197" s="571"/>
      <c r="H197" s="513"/>
      <c r="I197" s="510">
        <f t="shared" si="699"/>
        <v>0</v>
      </c>
      <c r="J197" s="571"/>
      <c r="K197" s="513"/>
      <c r="L197" s="510">
        <f t="shared" si="700"/>
        <v>0</v>
      </c>
      <c r="M197" s="571"/>
      <c r="N197" s="513"/>
      <c r="O197" s="510">
        <f t="shared" si="701"/>
        <v>0</v>
      </c>
      <c r="P197" s="571"/>
      <c r="Q197" s="513"/>
      <c r="R197" s="510">
        <f t="shared" si="702"/>
        <v>0</v>
      </c>
      <c r="S197" s="571"/>
      <c r="T197" s="513"/>
      <c r="U197" s="510">
        <f t="shared" si="703"/>
        <v>0</v>
      </c>
      <c r="V197" s="571"/>
      <c r="W197" s="513"/>
      <c r="X197" s="510">
        <f t="shared" si="704"/>
        <v>0</v>
      </c>
      <c r="Y197" s="571"/>
      <c r="Z197" s="513"/>
      <c r="AA197" s="510">
        <f t="shared" si="705"/>
        <v>0</v>
      </c>
      <c r="AB197" s="571"/>
      <c r="AC197" s="513"/>
      <c r="AD197" s="510">
        <f t="shared" si="706"/>
        <v>0</v>
      </c>
      <c r="AE197" s="571"/>
      <c r="AF197" s="513"/>
      <c r="AG197" s="510">
        <f t="shared" si="707"/>
        <v>0</v>
      </c>
      <c r="AH197" s="571"/>
      <c r="AI197" s="513"/>
      <c r="AJ197" s="510">
        <f t="shared" si="708"/>
        <v>0</v>
      </c>
      <c r="AK197" s="571"/>
      <c r="AL197" s="513"/>
      <c r="AM197" s="510">
        <f t="shared" si="709"/>
        <v>0</v>
      </c>
      <c r="AN197" s="571"/>
      <c r="AO197" s="513"/>
      <c r="AP197" s="510">
        <f t="shared" si="710"/>
        <v>0</v>
      </c>
      <c r="AQ197" s="571"/>
      <c r="AR197" s="513"/>
      <c r="AS197" s="510">
        <f t="shared" si="711"/>
        <v>0</v>
      </c>
      <c r="AT197" s="571"/>
      <c r="AU197" s="513"/>
      <c r="AV197" s="510">
        <f t="shared" si="712"/>
        <v>0</v>
      </c>
      <c r="AW197" s="571"/>
      <c r="AX197" s="514">
        <v>0</v>
      </c>
      <c r="AY197" s="510">
        <f t="shared" si="713"/>
        <v>0</v>
      </c>
      <c r="AZ197" s="572">
        <v>0</v>
      </c>
      <c r="BA197" s="514">
        <v>0</v>
      </c>
      <c r="BB197" s="510">
        <f t="shared" si="714"/>
        <v>0</v>
      </c>
      <c r="BC197" s="572">
        <v>0</v>
      </c>
      <c r="BD197" s="513">
        <f>IF(Assumptions!BD186&lt;&gt;"",Assumptions!BD186,0)</f>
        <v>0</v>
      </c>
      <c r="BE197" s="510">
        <f t="shared" si="715"/>
        <v>0</v>
      </c>
      <c r="BF197" s="571">
        <f>IF(Assumptions!BF186&lt;&gt;"",Assumptions!BF186,0)</f>
        <v>0</v>
      </c>
      <c r="BG197" s="513">
        <f>IF(Assumptions!BG186&lt;&gt;"",Assumptions!BG186,0)</f>
        <v>0</v>
      </c>
      <c r="BH197" s="510">
        <f t="shared" si="716"/>
        <v>0</v>
      </c>
      <c r="BI197" s="571">
        <f>IF(Assumptions!BI186&lt;&gt;"",Assumptions!BI186,0)</f>
        <v>0</v>
      </c>
      <c r="BJ197" s="513">
        <f>IF(Assumptions!BJ186&lt;&gt;"",Assumptions!BJ186,0)</f>
        <v>0</v>
      </c>
      <c r="BK197" s="510">
        <f t="shared" si="717"/>
        <v>0</v>
      </c>
      <c r="BL197" s="571">
        <f>IF(Assumptions!BL186&lt;&gt;"",Assumptions!BL186,0)</f>
        <v>0</v>
      </c>
      <c r="BM197" s="513">
        <f>IF(Assumptions!BM186&lt;&gt;"",Assumptions!BM186,0)</f>
        <v>0</v>
      </c>
      <c r="BN197" s="510">
        <f t="shared" si="718"/>
        <v>0</v>
      </c>
      <c r="BO197" s="574">
        <f>IF(Assumptions!BO186&lt;&gt;"",Assumptions!BO186,0)</f>
        <v>0</v>
      </c>
      <c r="BP197" s="514">
        <v>0</v>
      </c>
      <c r="BQ197" s="510">
        <f t="shared" si="719"/>
        <v>0</v>
      </c>
      <c r="BR197" s="574">
        <f>IF(Assumptions!BR186&lt;&gt;"",Assumptions!BR186,0)</f>
        <v>0</v>
      </c>
      <c r="BS197" s="513">
        <f>IF(Assumptions!BS186&lt;&gt;"",Assumptions!BS186,0)</f>
        <v>0</v>
      </c>
      <c r="BT197" s="510">
        <f t="shared" si="720"/>
        <v>7.5739999999999998</v>
      </c>
      <c r="BU197" s="574">
        <f>7.574</f>
        <v>7.5739999999999998</v>
      </c>
      <c r="BV197" s="513">
        <f>IF(Assumptions!BV186&lt;&gt;"",Assumptions!BV186,0)</f>
        <v>0</v>
      </c>
      <c r="BW197" s="510">
        <f t="shared" si="721"/>
        <v>0</v>
      </c>
      <c r="BX197" s="574">
        <f>IF(Assumptions!BX186&lt;&gt;"",Assumptions!BX186,0)</f>
        <v>0</v>
      </c>
      <c r="BY197" s="513">
        <f>IF(Assumptions!BY186&lt;&gt;"",Assumptions!BY186,0)</f>
        <v>0</v>
      </c>
      <c r="BZ197" s="510">
        <f t="shared" si="722"/>
        <v>0</v>
      </c>
      <c r="CA197" s="574">
        <f>IF(Assumptions!CA186&lt;&gt;"",Assumptions!CA186,0)</f>
        <v>0</v>
      </c>
      <c r="CB197" s="513">
        <f>IF(Assumptions!CB186&lt;&gt;"",Assumptions!CB186,0)</f>
        <v>0</v>
      </c>
      <c r="CC197" s="510">
        <f t="shared" si="723"/>
        <v>0</v>
      </c>
      <c r="CD197" s="574">
        <f>IF(Assumptions!CD186&lt;&gt;"",Assumptions!CD186,0)</f>
        <v>0</v>
      </c>
      <c r="CE197" s="513">
        <f>IF(Assumptions!CE186&lt;&gt;"",Assumptions!CE186,0)</f>
        <v>0</v>
      </c>
      <c r="CF197" s="510">
        <f t="shared" si="724"/>
        <v>0</v>
      </c>
      <c r="CG197" s="574">
        <f>IF(Assumptions!CG186&lt;&gt;"",Assumptions!CG186,0)</f>
        <v>0</v>
      </c>
      <c r="CH197" s="513">
        <f>IF(Assumptions!CH186&lt;&gt;"",Assumptions!CH186,0)</f>
        <v>0</v>
      </c>
      <c r="CI197" s="510">
        <f t="shared" si="725"/>
        <v>0</v>
      </c>
      <c r="CJ197" s="574">
        <f>IF(Assumptions!CJ186&lt;&gt;"",Assumptions!CJ186,0)</f>
        <v>0</v>
      </c>
      <c r="CK197" s="513">
        <f>IF(Assumptions!CK186&lt;&gt;"",Assumptions!CK186,0)</f>
        <v>0</v>
      </c>
      <c r="CL197" s="510">
        <f t="shared" si="726"/>
        <v>0</v>
      </c>
      <c r="CM197" s="574">
        <f>IF(Assumptions!CM186&lt;&gt;"",Assumptions!CM186,0)</f>
        <v>0</v>
      </c>
      <c r="CN197" s="513">
        <f>IF(Assumptions!CN186&lt;&gt;"",Assumptions!CN186,0)</f>
        <v>0</v>
      </c>
      <c r="CO197" s="510">
        <f t="shared" si="727"/>
        <v>0</v>
      </c>
      <c r="CP197" s="574">
        <f>IF(Assumptions!CP186&lt;&gt;"",Assumptions!CP186,0)</f>
        <v>0</v>
      </c>
      <c r="CQ197" s="513">
        <f>IF(Assumptions!CQ186&lt;&gt;"",Assumptions!CQ186,0)</f>
        <v>0</v>
      </c>
      <c r="CR197" s="510">
        <f t="shared" si="728"/>
        <v>0</v>
      </c>
      <c r="CS197" s="574">
        <f>IF(Assumptions!CS186&lt;&gt;"",Assumptions!CS186,0)</f>
        <v>0</v>
      </c>
      <c r="CT197" s="513">
        <f>IF(Assumptions!CT186&lt;&gt;"",Assumptions!CT186,0)</f>
        <v>0</v>
      </c>
      <c r="CU197" s="510">
        <f t="shared" si="729"/>
        <v>0</v>
      </c>
      <c r="CV197" s="574">
        <f>IF(Assumptions!CV186&lt;&gt;"",Assumptions!CV186,0)</f>
        <v>0</v>
      </c>
      <c r="CW197" s="513">
        <f>IF(Assumptions!CW186&lt;&gt;"",Assumptions!CW186,0)</f>
        <v>0</v>
      </c>
      <c r="CX197" s="510">
        <f t="shared" si="730"/>
        <v>0</v>
      </c>
      <c r="CY197" s="574">
        <f>IF(Assumptions!CY186&lt;&gt;"",Assumptions!CY186,0)</f>
        <v>0</v>
      </c>
      <c r="CZ197" s="513">
        <v>0.3</v>
      </c>
      <c r="DA197" s="510">
        <f t="shared" si="731"/>
        <v>0</v>
      </c>
      <c r="DB197" s="574">
        <v>0.3</v>
      </c>
      <c r="DC197" s="513">
        <v>1.3</v>
      </c>
      <c r="DD197" s="510">
        <f t="shared" si="732"/>
        <v>-1.3</v>
      </c>
      <c r="DE197" s="574">
        <v>0</v>
      </c>
      <c r="DF197" s="513">
        <f>IF(Assumptions!DF186&lt;&gt;"",Assumptions!DF186,0)</f>
        <v>0</v>
      </c>
      <c r="DG197" s="510">
        <f t="shared" si="740"/>
        <v>0</v>
      </c>
      <c r="DH197" s="1277">
        <f>IF(Assumptions!DH186&lt;&gt;"",Assumptions!DH186,0)</f>
        <v>0</v>
      </c>
      <c r="DI197" s="482">
        <f>IF(Assumptions!DI186&lt;&gt;"",Assumptions!DI186,0)</f>
        <v>0</v>
      </c>
      <c r="DJ197" s="482">
        <f t="shared" si="733"/>
        <v>0</v>
      </c>
      <c r="DK197" s="1276">
        <f>IF(Assumptions!DK186&lt;&gt;"",Assumptions!DK186,0)</f>
        <v>0</v>
      </c>
      <c r="DL197" s="482">
        <f>IF(Assumptions!DL186&lt;&gt;"",Assumptions!DL186,0)</f>
        <v>0</v>
      </c>
      <c r="DM197" s="482">
        <f t="shared" si="734"/>
        <v>0</v>
      </c>
      <c r="DN197" s="1276">
        <f>IF(Assumptions!DN186&lt;&gt;"",Assumptions!DN186,0)</f>
        <v>0</v>
      </c>
      <c r="DO197" s="482">
        <f>IF(Assumptions!DO186&lt;&gt;"",Assumptions!DO186,0)</f>
        <v>0</v>
      </c>
      <c r="DP197" s="482">
        <f t="shared" si="735"/>
        <v>0</v>
      </c>
      <c r="DQ197" s="1276">
        <f>IF(Assumptions!DQ186&lt;&gt;"",Assumptions!DQ186,0)</f>
        <v>0</v>
      </c>
      <c r="DR197" s="482">
        <f>IF(Assumptions!DR186&lt;&gt;"",Assumptions!DR186,0)</f>
        <v>0</v>
      </c>
      <c r="DS197" s="482">
        <f t="shared" si="736"/>
        <v>0</v>
      </c>
      <c r="DT197" s="1276">
        <f>IF(Assumptions!DT186&lt;&gt;"",Assumptions!DT186,0)</f>
        <v>0</v>
      </c>
      <c r="DU197" s="482">
        <f>IF(Assumptions!DU186&lt;&gt;"",Assumptions!DU186,0)</f>
        <v>0</v>
      </c>
      <c r="DV197" s="482">
        <f t="shared" si="741"/>
        <v>0</v>
      </c>
      <c r="DW197" s="1276">
        <f>IF(Assumptions!DW186&lt;&gt;"",Assumptions!DW186,0)</f>
        <v>0</v>
      </c>
      <c r="DX197" s="482">
        <f>IF(Assumptions!DX186&lt;&gt;"",Assumptions!DX186,0)</f>
        <v>0</v>
      </c>
      <c r="DY197" s="482">
        <f t="shared" si="749"/>
        <v>0</v>
      </c>
      <c r="DZ197" s="1276">
        <f>IF(Assumptions!DZ186&lt;&gt;"",Assumptions!DZ186,0)</f>
        <v>0</v>
      </c>
      <c r="EA197" s="482">
        <f>IF(Assumptions!EA186&lt;&gt;"",Assumptions!EA186,0)</f>
        <v>0</v>
      </c>
      <c r="EB197" s="482">
        <f t="shared" si="738"/>
        <v>0</v>
      </c>
      <c r="EC197" s="1276">
        <f>IF(Assumptions!EC186&lt;&gt;"",Assumptions!EC186,0)</f>
        <v>0</v>
      </c>
      <c r="ED197" s="482">
        <f>IF(Assumptions!ED186&lt;&gt;"",Assumptions!ED186,0)</f>
        <v>0</v>
      </c>
      <c r="EE197" s="482">
        <f t="shared" si="739"/>
        <v>0</v>
      </c>
      <c r="EF197" s="1276">
        <f>IF(Assumptions!EF186&lt;&gt;"",Assumptions!EF186,0)</f>
        <v>0</v>
      </c>
      <c r="EG197" s="482">
        <f>IF(Assumptions!EG186&lt;&gt;"",Assumptions!EG186,0)</f>
        <v>0</v>
      </c>
      <c r="EH197" s="482">
        <f t="shared" si="742"/>
        <v>0</v>
      </c>
      <c r="EI197" s="1276">
        <f>IF(Assumptions!EI186&lt;&gt;"",Assumptions!EI186,0)</f>
        <v>0</v>
      </c>
      <c r="EJ197" s="482">
        <f>IF(Assumptions!EJ186&lt;&gt;"",Assumptions!EJ186,0)</f>
        <v>0</v>
      </c>
      <c r="EK197" s="482">
        <f t="shared" si="743"/>
        <v>0</v>
      </c>
      <c r="EL197" s="1276">
        <f>IF(Assumptions!EL186&lt;&gt;"",Assumptions!EL186,0)</f>
        <v>0</v>
      </c>
      <c r="EM197" s="482">
        <f>IF(Assumptions!EM186&lt;&gt;"",Assumptions!EM186,0)</f>
        <v>0</v>
      </c>
      <c r="EN197" s="482">
        <f t="shared" si="744"/>
        <v>0</v>
      </c>
      <c r="EO197" s="1276">
        <f>IF(Assumptions!EO186&lt;&gt;"",Assumptions!EO186,0)</f>
        <v>0</v>
      </c>
      <c r="EP197" s="482">
        <f>IF(Assumptions!EP186&lt;&gt;"",Assumptions!EP186,0)</f>
        <v>0</v>
      </c>
      <c r="EQ197" s="482">
        <f t="shared" si="745"/>
        <v>0</v>
      </c>
      <c r="ER197" s="1276">
        <f>IF(Assumptions!ER186&lt;&gt;"",Assumptions!ER186,0)</f>
        <v>0</v>
      </c>
      <c r="ES197" s="482">
        <f>IF(Assumptions!ES186&lt;&gt;"",Assumptions!ES186,0)</f>
        <v>0</v>
      </c>
      <c r="ET197" s="482">
        <f t="shared" si="746"/>
        <v>0</v>
      </c>
      <c r="EU197" s="1276">
        <f>IF(Assumptions!EU186&lt;&gt;"",Assumptions!EU186,0)</f>
        <v>0</v>
      </c>
      <c r="EV197" s="482">
        <f>IF(Assumptions!EV186&lt;&gt;"",Assumptions!EV186,0)</f>
        <v>0</v>
      </c>
      <c r="EW197" s="482">
        <f t="shared" si="747"/>
        <v>0</v>
      </c>
      <c r="EX197" s="1276">
        <f>IF(Assumptions!EX186&lt;&gt;"",Assumptions!EX186,0)</f>
        <v>0</v>
      </c>
      <c r="EY197" s="482">
        <f>IF(Assumptions!EY186&lt;&gt;"",Assumptions!EY186,0)</f>
        <v>0</v>
      </c>
      <c r="EZ197" s="482">
        <f t="shared" si="748"/>
        <v>0</v>
      </c>
      <c r="FA197" s="1276">
        <f>IF(Assumptions!FA186&lt;&gt;"",Assumptions!FA186,0)</f>
        <v>0</v>
      </c>
      <c r="FE197"/>
      <c r="FF197"/>
      <c r="FG197"/>
      <c r="FH197"/>
      <c r="FI197"/>
      <c r="FJ197"/>
      <c r="FK197" s="35"/>
    </row>
    <row r="198" spans="2:167" s="236" customFormat="1" ht="13.35" customHeight="1" outlineLevel="1" thickBot="1">
      <c r="B198" s="242" t="s">
        <v>58</v>
      </c>
      <c r="C198" s="242" t="s">
        <v>496</v>
      </c>
      <c r="D198" s="243"/>
      <c r="E198" s="528"/>
      <c r="F198" s="482">
        <f t="shared" si="698"/>
        <v>0</v>
      </c>
      <c r="G198" s="575"/>
      <c r="H198" s="530"/>
      <c r="I198" s="482">
        <f t="shared" si="699"/>
        <v>0</v>
      </c>
      <c r="J198" s="575"/>
      <c r="K198" s="530"/>
      <c r="L198" s="482">
        <f t="shared" si="700"/>
        <v>0</v>
      </c>
      <c r="M198" s="575"/>
      <c r="N198" s="530"/>
      <c r="O198" s="482">
        <f t="shared" si="701"/>
        <v>0</v>
      </c>
      <c r="P198" s="575"/>
      <c r="Q198" s="530"/>
      <c r="R198" s="482">
        <f t="shared" si="702"/>
        <v>0</v>
      </c>
      <c r="S198" s="575"/>
      <c r="T198" s="530"/>
      <c r="U198" s="482">
        <f t="shared" si="703"/>
        <v>0</v>
      </c>
      <c r="V198" s="575"/>
      <c r="W198" s="530"/>
      <c r="X198" s="482">
        <f t="shared" si="704"/>
        <v>0</v>
      </c>
      <c r="Y198" s="575"/>
      <c r="Z198" s="530"/>
      <c r="AA198" s="482">
        <f t="shared" si="705"/>
        <v>0</v>
      </c>
      <c r="AB198" s="575"/>
      <c r="AC198" s="530"/>
      <c r="AD198" s="482">
        <f t="shared" si="706"/>
        <v>0</v>
      </c>
      <c r="AE198" s="575"/>
      <c r="AF198" s="530"/>
      <c r="AG198" s="482">
        <f t="shared" si="707"/>
        <v>0</v>
      </c>
      <c r="AH198" s="575"/>
      <c r="AI198" s="530"/>
      <c r="AJ198" s="482">
        <f t="shared" si="708"/>
        <v>0</v>
      </c>
      <c r="AK198" s="575"/>
      <c r="AL198" s="531">
        <v>9.2999999999999999E-2</v>
      </c>
      <c r="AM198" s="482">
        <f t="shared" si="709"/>
        <v>4.6000000000000013E-2</v>
      </c>
      <c r="AN198" s="576">
        <v>0.13900000000000001</v>
      </c>
      <c r="AO198" s="531">
        <v>1.4E-2</v>
      </c>
      <c r="AP198" s="482">
        <f t="shared" si="710"/>
        <v>8.9999999999999993E-3</v>
      </c>
      <c r="AQ198" s="576">
        <v>2.3E-2</v>
      </c>
      <c r="AR198" s="531">
        <v>3.7999999999999999E-2</v>
      </c>
      <c r="AS198" s="482">
        <f t="shared" si="711"/>
        <v>3.3999999999999996E-2</v>
      </c>
      <c r="AT198" s="576">
        <v>7.1999999999999995E-2</v>
      </c>
      <c r="AU198" s="530"/>
      <c r="AV198" s="482">
        <f t="shared" si="712"/>
        <v>0</v>
      </c>
      <c r="AW198" s="575"/>
      <c r="AX198" s="531">
        <v>0</v>
      </c>
      <c r="AY198" s="482">
        <f t="shared" si="713"/>
        <v>0</v>
      </c>
      <c r="AZ198" s="576">
        <v>0</v>
      </c>
      <c r="BA198" s="531">
        <v>0</v>
      </c>
      <c r="BB198" s="482">
        <f t="shared" si="714"/>
        <v>0</v>
      </c>
      <c r="BC198" s="576">
        <v>0</v>
      </c>
      <c r="BD198" s="530">
        <f>IF(Assumptions!BD187&lt;&gt;"",Assumptions!BD187,0)</f>
        <v>0</v>
      </c>
      <c r="BE198" s="482">
        <f t="shared" si="715"/>
        <v>0</v>
      </c>
      <c r="BF198" s="575">
        <f>IF(Assumptions!BF187&lt;&gt;"",Assumptions!BF187,0)</f>
        <v>0</v>
      </c>
      <c r="BG198" s="530">
        <f>IF(Assumptions!BG187&lt;&gt;"",Assumptions!BG187,0)</f>
        <v>0</v>
      </c>
      <c r="BH198" s="482">
        <f t="shared" si="716"/>
        <v>0</v>
      </c>
      <c r="BI198" s="575">
        <f>IF(Assumptions!BI187&lt;&gt;"",Assumptions!BI187,0)</f>
        <v>0</v>
      </c>
      <c r="BJ198" s="530">
        <f>IF(Assumptions!BJ187&lt;&gt;"",Assumptions!BJ187,0)</f>
        <v>0</v>
      </c>
      <c r="BK198" s="482">
        <f t="shared" si="717"/>
        <v>0</v>
      </c>
      <c r="BL198" s="575">
        <f>IF(Assumptions!BL187&lt;&gt;"",Assumptions!BL187,0)</f>
        <v>0</v>
      </c>
      <c r="BM198" s="530">
        <f>IF(Assumptions!BM187&lt;&gt;"",Assumptions!BM187,0)</f>
        <v>0</v>
      </c>
      <c r="BN198" s="482">
        <f t="shared" si="718"/>
        <v>0</v>
      </c>
      <c r="BO198" s="578">
        <f>IF(Assumptions!BO187&lt;&gt;"",Assumptions!BO187,0)</f>
        <v>0</v>
      </c>
      <c r="BP198" s="531">
        <v>0</v>
      </c>
      <c r="BQ198" s="482">
        <f t="shared" si="719"/>
        <v>0</v>
      </c>
      <c r="BR198" s="578">
        <f>IF(Assumptions!BR187&lt;&gt;"",Assumptions!BR187,0)</f>
        <v>0</v>
      </c>
      <c r="BS198" s="530">
        <f>IF(Assumptions!BS187&lt;&gt;"",Assumptions!BS187,0)</f>
        <v>0</v>
      </c>
      <c r="BT198" s="482">
        <f t="shared" si="720"/>
        <v>0</v>
      </c>
      <c r="BU198" s="578">
        <f>IF(Assumptions!BU187&lt;&gt;"",Assumptions!BU187,0)</f>
        <v>0</v>
      </c>
      <c r="BV198" s="530">
        <f>IF(Assumptions!BV187&lt;&gt;"",Assumptions!BV187,0)</f>
        <v>0</v>
      </c>
      <c r="BW198" s="482">
        <f t="shared" si="721"/>
        <v>0</v>
      </c>
      <c r="BX198" s="578">
        <f>IF(Assumptions!BX187&lt;&gt;"",Assumptions!BX187,0)</f>
        <v>0</v>
      </c>
      <c r="BY198" s="530">
        <f>IF(Assumptions!BY187&lt;&gt;"",Assumptions!BY187,0)</f>
        <v>0</v>
      </c>
      <c r="BZ198" s="482">
        <f t="shared" si="722"/>
        <v>0</v>
      </c>
      <c r="CA198" s="578">
        <f>IF(Assumptions!CA187&lt;&gt;"",Assumptions!CA187,0)</f>
        <v>0</v>
      </c>
      <c r="CB198" s="530">
        <f>IF(Assumptions!CB187&lt;&gt;"",Assumptions!CB187,0)</f>
        <v>0</v>
      </c>
      <c r="CC198" s="482">
        <f t="shared" si="723"/>
        <v>0</v>
      </c>
      <c r="CD198" s="578">
        <f>IF(Assumptions!CD187&lt;&gt;"",Assumptions!CD187,0)</f>
        <v>0</v>
      </c>
      <c r="CE198" s="530">
        <f>IF(Assumptions!CE187&lt;&gt;"",Assumptions!CE187,0)</f>
        <v>0</v>
      </c>
      <c r="CF198" s="482">
        <f t="shared" si="724"/>
        <v>0</v>
      </c>
      <c r="CG198" s="578">
        <f>IF(Assumptions!CG187&lt;&gt;"",Assumptions!CG187,0)</f>
        <v>0</v>
      </c>
      <c r="CH198" s="530">
        <f>IF(Assumptions!CH187&lt;&gt;"",Assumptions!CH187,0)</f>
        <v>0</v>
      </c>
      <c r="CI198" s="482">
        <f t="shared" si="725"/>
        <v>0</v>
      </c>
      <c r="CJ198" s="578">
        <f>IF(Assumptions!CJ187&lt;&gt;"",Assumptions!CJ187,0)</f>
        <v>0</v>
      </c>
      <c r="CK198" s="530">
        <f>IF(Assumptions!CK187&lt;&gt;"",Assumptions!CK187,0)</f>
        <v>0</v>
      </c>
      <c r="CL198" s="482">
        <f t="shared" si="726"/>
        <v>0</v>
      </c>
      <c r="CM198" s="578">
        <f>IF(Assumptions!CM187&lt;&gt;"",Assumptions!CM187,0)</f>
        <v>0</v>
      </c>
      <c r="CN198" s="530">
        <f>IF(Assumptions!CN187&lt;&gt;"",Assumptions!CN187,0)</f>
        <v>0</v>
      </c>
      <c r="CO198" s="482">
        <f t="shared" si="727"/>
        <v>0</v>
      </c>
      <c r="CP198" s="578">
        <f>IF(Assumptions!CP187&lt;&gt;"",Assumptions!CP187,0)</f>
        <v>0</v>
      </c>
      <c r="CQ198" s="530">
        <f>IF(Assumptions!CQ187&lt;&gt;"",Assumptions!CQ187,0)</f>
        <v>0</v>
      </c>
      <c r="CR198" s="482">
        <f t="shared" si="728"/>
        <v>0</v>
      </c>
      <c r="CS198" s="578">
        <f>IF(Assumptions!CS187&lt;&gt;"",Assumptions!CS187,0)</f>
        <v>0</v>
      </c>
      <c r="CT198" s="530">
        <f>IF(Assumptions!CT187&lt;&gt;"",Assumptions!CT187,0)</f>
        <v>0</v>
      </c>
      <c r="CU198" s="482">
        <f t="shared" si="729"/>
        <v>-12.58</v>
      </c>
      <c r="CV198" s="578">
        <f>1.175-13.755</f>
        <v>-12.58</v>
      </c>
      <c r="CW198" s="530">
        <f>IF(Assumptions!CW187&lt;&gt;"",Assumptions!CW187,0)</f>
        <v>0</v>
      </c>
      <c r="CX198" s="482">
        <f t="shared" si="730"/>
        <v>-0.82100000000000006</v>
      </c>
      <c r="CY198" s="578">
        <f>0.628-1.449</f>
        <v>-0.82100000000000006</v>
      </c>
      <c r="CZ198" s="530">
        <f>IF(Assumptions!CZ187&lt;&gt;"",Assumptions!CZ187,0)</f>
        <v>0</v>
      </c>
      <c r="DA198" s="482">
        <f t="shared" si="731"/>
        <v>0</v>
      </c>
      <c r="DB198" s="578">
        <v>0</v>
      </c>
      <c r="DC198" s="530">
        <f>IF(Assumptions!DC187&lt;&gt;"",Assumptions!DC187,0)</f>
        <v>0</v>
      </c>
      <c r="DD198" s="482">
        <f t="shared" si="732"/>
        <v>0</v>
      </c>
      <c r="DE198" s="578">
        <v>0</v>
      </c>
      <c r="DF198" s="530">
        <f>IF(Assumptions!DF187&lt;&gt;"",Assumptions!DF187,0)</f>
        <v>0</v>
      </c>
      <c r="DG198" s="482">
        <f t="shared" si="740"/>
        <v>0</v>
      </c>
      <c r="DH198" s="1278">
        <f>IF(Assumptions!DH187&lt;&gt;"",Assumptions!DH187,0)</f>
        <v>0</v>
      </c>
      <c r="DI198" s="482">
        <f>IF(Assumptions!DI187&lt;&gt;"",Assumptions!DI187,0)</f>
        <v>0</v>
      </c>
      <c r="DJ198" s="482">
        <f t="shared" si="733"/>
        <v>0</v>
      </c>
      <c r="DK198" s="1276">
        <f>IF(Assumptions!DK187&lt;&gt;"",Assumptions!DK187,0)</f>
        <v>0</v>
      </c>
      <c r="DL198" s="482">
        <f>IF(Assumptions!DL187&lt;&gt;"",Assumptions!DL187,0)</f>
        <v>0</v>
      </c>
      <c r="DM198" s="482">
        <f t="shared" si="734"/>
        <v>0</v>
      </c>
      <c r="DN198" s="1276">
        <f>IF(Assumptions!DN187&lt;&gt;"",Assumptions!DN187,0)</f>
        <v>0</v>
      </c>
      <c r="DO198" s="482">
        <f>IF(Assumptions!DO187&lt;&gt;"",Assumptions!DO187,0)</f>
        <v>0</v>
      </c>
      <c r="DP198" s="482">
        <f t="shared" si="735"/>
        <v>0</v>
      </c>
      <c r="DQ198" s="1276">
        <f>IF(Assumptions!DQ187&lt;&gt;"",Assumptions!DQ187,0)</f>
        <v>0</v>
      </c>
      <c r="DR198" s="482">
        <f>IF(Assumptions!DR187&lt;&gt;"",Assumptions!DR187,0)</f>
        <v>0</v>
      </c>
      <c r="DS198" s="482">
        <f t="shared" si="736"/>
        <v>0</v>
      </c>
      <c r="DT198" s="1276">
        <f>IF(Assumptions!DT187&lt;&gt;"",Assumptions!DT187,0)</f>
        <v>0</v>
      </c>
      <c r="DU198" s="482">
        <f>IF(Assumptions!DU187&lt;&gt;"",Assumptions!DU187,0)</f>
        <v>0</v>
      </c>
      <c r="DV198" s="482">
        <f t="shared" si="741"/>
        <v>0</v>
      </c>
      <c r="DW198" s="1276">
        <f>IF(Assumptions!DW187&lt;&gt;"",Assumptions!DW187,0)</f>
        <v>0</v>
      </c>
      <c r="DX198" s="482">
        <f>IF(Assumptions!DX187&lt;&gt;"",Assumptions!DX187,0)</f>
        <v>0</v>
      </c>
      <c r="DY198" s="482">
        <f t="shared" si="749"/>
        <v>0</v>
      </c>
      <c r="DZ198" s="1276">
        <f>IF(Assumptions!DZ187&lt;&gt;"",Assumptions!DZ187,0)</f>
        <v>0</v>
      </c>
      <c r="EA198" s="482">
        <f>IF(Assumptions!EA187&lt;&gt;"",Assumptions!EA187,0)</f>
        <v>0</v>
      </c>
      <c r="EB198" s="482">
        <f t="shared" si="738"/>
        <v>0</v>
      </c>
      <c r="EC198" s="1276">
        <f>IF(Assumptions!EC187&lt;&gt;"",Assumptions!EC187,0)</f>
        <v>0</v>
      </c>
      <c r="ED198" s="482">
        <f>IF(Assumptions!ED187&lt;&gt;"",Assumptions!ED187,0)</f>
        <v>0</v>
      </c>
      <c r="EE198" s="482">
        <f t="shared" si="739"/>
        <v>0</v>
      </c>
      <c r="EF198" s="1276">
        <f>IF(Assumptions!EF187&lt;&gt;"",Assumptions!EF187,0)</f>
        <v>0</v>
      </c>
      <c r="EG198" s="482">
        <f>IF(Assumptions!EG187&lt;&gt;"",Assumptions!EG187,0)</f>
        <v>0</v>
      </c>
      <c r="EH198" s="482">
        <f t="shared" si="742"/>
        <v>0</v>
      </c>
      <c r="EI198" s="1276">
        <f>IF(Assumptions!EI187&lt;&gt;"",Assumptions!EI187,0)</f>
        <v>0</v>
      </c>
      <c r="EJ198" s="482">
        <f>IF(Assumptions!EJ187&lt;&gt;"",Assumptions!EJ187,0)</f>
        <v>0</v>
      </c>
      <c r="EK198" s="482">
        <f t="shared" si="743"/>
        <v>0</v>
      </c>
      <c r="EL198" s="1276">
        <f>IF(Assumptions!EL187&lt;&gt;"",Assumptions!EL187,0)</f>
        <v>0</v>
      </c>
      <c r="EM198" s="482">
        <f>IF(Assumptions!EM187&lt;&gt;"",Assumptions!EM187,0)</f>
        <v>0</v>
      </c>
      <c r="EN198" s="482">
        <f t="shared" si="744"/>
        <v>0</v>
      </c>
      <c r="EO198" s="1276">
        <f>IF(Assumptions!EO187&lt;&gt;"",Assumptions!EO187,0)</f>
        <v>0</v>
      </c>
      <c r="EP198" s="482">
        <f>IF(Assumptions!EP187&lt;&gt;"",Assumptions!EP187,0)</f>
        <v>0</v>
      </c>
      <c r="EQ198" s="482">
        <f t="shared" si="745"/>
        <v>0</v>
      </c>
      <c r="ER198" s="1276">
        <f>IF(Assumptions!ER187&lt;&gt;"",Assumptions!ER187,0)</f>
        <v>0</v>
      </c>
      <c r="ES198" s="482">
        <f>IF(Assumptions!ES187&lt;&gt;"",Assumptions!ES187,0)</f>
        <v>0</v>
      </c>
      <c r="ET198" s="482">
        <f t="shared" si="746"/>
        <v>0</v>
      </c>
      <c r="EU198" s="1276">
        <f>IF(Assumptions!EU187&lt;&gt;"",Assumptions!EU187,0)</f>
        <v>0</v>
      </c>
      <c r="EV198" s="482">
        <f>IF(Assumptions!EV187&lt;&gt;"",Assumptions!EV187,0)</f>
        <v>0</v>
      </c>
      <c r="EW198" s="482">
        <f t="shared" si="747"/>
        <v>0</v>
      </c>
      <c r="EX198" s="1276">
        <f>IF(Assumptions!EX187&lt;&gt;"",Assumptions!EX187,0)</f>
        <v>0</v>
      </c>
      <c r="EY198" s="482">
        <f>IF(Assumptions!EY187&lt;&gt;"",Assumptions!EY187,0)</f>
        <v>0</v>
      </c>
      <c r="EZ198" s="482">
        <f t="shared" si="748"/>
        <v>0</v>
      </c>
      <c r="FA198" s="1276">
        <f>IF(Assumptions!FA187&lt;&gt;"",Assumptions!FA187,0)</f>
        <v>0</v>
      </c>
      <c r="FE198"/>
      <c r="FF198"/>
      <c r="FG198"/>
      <c r="FH198"/>
      <c r="FI198"/>
      <c r="FJ198"/>
      <c r="FK198" s="35"/>
    </row>
    <row r="199" spans="2:167" s="236" customFormat="1" ht="13.35" customHeight="1" thickBot="1">
      <c r="B199" s="242" t="s">
        <v>10</v>
      </c>
      <c r="C199" s="242" t="s">
        <v>496</v>
      </c>
      <c r="D199" s="243"/>
      <c r="E199" s="482">
        <f>+SUM(E200:E202)</f>
        <v>0</v>
      </c>
      <c r="F199" s="482">
        <f t="shared" si="698"/>
        <v>0</v>
      </c>
      <c r="G199" s="482">
        <f>+SUM(G200:G202)</f>
        <v>0</v>
      </c>
      <c r="H199" s="482">
        <f>+SUM(H200:H202)</f>
        <v>0</v>
      </c>
      <c r="I199" s="482">
        <f t="shared" si="699"/>
        <v>0</v>
      </c>
      <c r="J199" s="482">
        <f>+SUM(J200:J202)</f>
        <v>0</v>
      </c>
      <c r="K199" s="482">
        <f>+SUM(K200:K202)</f>
        <v>0</v>
      </c>
      <c r="L199" s="482">
        <f t="shared" si="700"/>
        <v>0</v>
      </c>
      <c r="M199" s="482">
        <f>+SUM(M200:M202)</f>
        <v>0</v>
      </c>
      <c r="N199" s="482">
        <f>+SUM(N200:N202)</f>
        <v>0</v>
      </c>
      <c r="O199" s="482">
        <f t="shared" si="701"/>
        <v>0</v>
      </c>
      <c r="P199" s="482">
        <f>+SUM(P200:P202)</f>
        <v>0</v>
      </c>
      <c r="Q199" s="482">
        <f>+SUM(Q200:Q202)</f>
        <v>0</v>
      </c>
      <c r="R199" s="482">
        <f t="shared" si="702"/>
        <v>0</v>
      </c>
      <c r="S199" s="482">
        <f>+SUM(S200:S202)</f>
        <v>0</v>
      </c>
      <c r="T199" s="482">
        <f>+SUM(T200:T202)</f>
        <v>0</v>
      </c>
      <c r="U199" s="482">
        <f t="shared" si="703"/>
        <v>0</v>
      </c>
      <c r="V199" s="482">
        <f>+SUM(V200:V202)</f>
        <v>0</v>
      </c>
      <c r="W199" s="482">
        <f>+SUM(W200:W202)</f>
        <v>0</v>
      </c>
      <c r="X199" s="482">
        <f t="shared" si="704"/>
        <v>0</v>
      </c>
      <c r="Y199" s="482">
        <f>+SUM(Y200:Y202)</f>
        <v>0</v>
      </c>
      <c r="Z199" s="482">
        <f>+SUM(Z200:Z202)</f>
        <v>0</v>
      </c>
      <c r="AA199" s="482">
        <f t="shared" si="705"/>
        <v>0</v>
      </c>
      <c r="AB199" s="482">
        <f>+SUM(AB200:AB202)</f>
        <v>0</v>
      </c>
      <c r="AC199" s="482">
        <f>+SUM(AC200:AC202)</f>
        <v>0</v>
      </c>
      <c r="AD199" s="482">
        <f t="shared" si="706"/>
        <v>0</v>
      </c>
      <c r="AE199" s="482">
        <f>+SUM(AE200:AE202)</f>
        <v>0</v>
      </c>
      <c r="AF199" s="482">
        <f>+SUM(AF200:AF202)</f>
        <v>0</v>
      </c>
      <c r="AG199" s="482">
        <f t="shared" si="707"/>
        <v>0</v>
      </c>
      <c r="AH199" s="482">
        <f>+SUM(AH200:AH202)</f>
        <v>0</v>
      </c>
      <c r="AI199" s="482">
        <f>+SUM(AI200:AI202)</f>
        <v>0</v>
      </c>
      <c r="AJ199" s="482">
        <f t="shared" si="708"/>
        <v>0</v>
      </c>
      <c r="AK199" s="482">
        <f>+SUM(AK200:AK202)</f>
        <v>0</v>
      </c>
      <c r="AL199" s="482">
        <f>+SUM(AL200:AL202)</f>
        <v>0</v>
      </c>
      <c r="AM199" s="482">
        <f t="shared" si="709"/>
        <v>0</v>
      </c>
      <c r="AN199" s="482">
        <f>+SUM(AN200:AN202)</f>
        <v>0</v>
      </c>
      <c r="AO199" s="482">
        <f>+SUM(AO200:AO202)</f>
        <v>0</v>
      </c>
      <c r="AP199" s="482">
        <f t="shared" si="710"/>
        <v>0</v>
      </c>
      <c r="AQ199" s="482">
        <f>+SUM(AQ200:AQ202)</f>
        <v>0</v>
      </c>
      <c r="AR199" s="482">
        <f>+SUM(AR200:AR202)</f>
        <v>0</v>
      </c>
      <c r="AS199" s="482">
        <f t="shared" si="711"/>
        <v>0</v>
      </c>
      <c r="AT199" s="482">
        <f>+SUM(AT200:AT202)</f>
        <v>0</v>
      </c>
      <c r="AU199" s="482">
        <f>+SUM(AU200:AU202)</f>
        <v>0</v>
      </c>
      <c r="AV199" s="482">
        <f t="shared" si="712"/>
        <v>0</v>
      </c>
      <c r="AW199" s="482">
        <f>+SUM(AW200:AW202)</f>
        <v>0</v>
      </c>
      <c r="AX199" s="482">
        <f>+SUM(AX200:AX202)</f>
        <v>0</v>
      </c>
      <c r="AY199" s="482">
        <f t="shared" si="713"/>
        <v>0</v>
      </c>
      <c r="AZ199" s="482">
        <f>+SUM(AZ200:AZ202)</f>
        <v>0</v>
      </c>
      <c r="BA199" s="482">
        <f>+SUM(BA200:BA202)</f>
        <v>0</v>
      </c>
      <c r="BB199" s="482">
        <f t="shared" si="714"/>
        <v>0</v>
      </c>
      <c r="BC199" s="482">
        <f>+SUM(BC200:BC202)</f>
        <v>0</v>
      </c>
      <c r="BD199" s="482">
        <f>+SUM(BD200:BD202)</f>
        <v>0</v>
      </c>
      <c r="BE199" s="482">
        <f t="shared" si="715"/>
        <v>0</v>
      </c>
      <c r="BF199" s="482">
        <f>+SUM(BF200:BF202)</f>
        <v>0</v>
      </c>
      <c r="BG199" s="482">
        <f>+SUM(BG200:BG202)</f>
        <v>0</v>
      </c>
      <c r="BH199" s="482">
        <f t="shared" si="716"/>
        <v>0</v>
      </c>
      <c r="BI199" s="482">
        <f>+SUM(BI200:BI202)</f>
        <v>0</v>
      </c>
      <c r="BJ199" s="482">
        <f>+SUM(BJ200:BJ202)</f>
        <v>0</v>
      </c>
      <c r="BK199" s="482">
        <f t="shared" si="717"/>
        <v>0</v>
      </c>
      <c r="BL199" s="482">
        <f>+SUM(BL200:BL202)</f>
        <v>0</v>
      </c>
      <c r="BM199" s="482">
        <f>+SUM(BM200:BM202)</f>
        <v>0</v>
      </c>
      <c r="BN199" s="482">
        <f t="shared" si="718"/>
        <v>-4.375</v>
      </c>
      <c r="BO199" s="482">
        <f>+SUM(BO200:BO202)</f>
        <v>-4.375</v>
      </c>
      <c r="BP199" s="482">
        <f>+SUM(BP200:BP202)</f>
        <v>0</v>
      </c>
      <c r="BQ199" s="482">
        <f t="shared" si="719"/>
        <v>-0.17899999999999999</v>
      </c>
      <c r="BR199" s="482">
        <f>+SUM(BR200:BR202)</f>
        <v>-0.17899999999999999</v>
      </c>
      <c r="BS199" s="482">
        <f>+SUM(BS200:BS202)</f>
        <v>0</v>
      </c>
      <c r="BT199" s="482">
        <f t="shared" si="720"/>
        <v>-0.375</v>
      </c>
      <c r="BU199" s="482">
        <f>+SUM(BU200:BU202)</f>
        <v>-0.375</v>
      </c>
      <c r="BV199" s="482">
        <f>+SUM(BV200:BV202)</f>
        <v>-1.5</v>
      </c>
      <c r="BW199" s="482">
        <f t="shared" si="721"/>
        <v>0</v>
      </c>
      <c r="BX199" s="482">
        <f>+SUM(BX200:BX202)</f>
        <v>-1.5</v>
      </c>
      <c r="BY199" s="482">
        <f>+SUM(BY200:BY202)</f>
        <v>0</v>
      </c>
      <c r="BZ199" s="482">
        <f t="shared" si="722"/>
        <v>-17.437000000000001</v>
      </c>
      <c r="CA199" s="482">
        <f>+SUM(CA200:CA202)</f>
        <v>-17.437000000000001</v>
      </c>
      <c r="CB199" s="482">
        <f>+SUM(CB200:CB202)</f>
        <v>-5.2519999999999998</v>
      </c>
      <c r="CC199" s="482">
        <f t="shared" si="723"/>
        <v>-1.5339999999999998</v>
      </c>
      <c r="CD199" s="482">
        <f>+SUM(CD200:CD202)</f>
        <v>-6.7859999999999996</v>
      </c>
      <c r="CE199" s="482">
        <f>+SUM(CE200:CE202)</f>
        <v>-3.6920000000000002</v>
      </c>
      <c r="CF199" s="482">
        <f t="shared" si="724"/>
        <v>-0.52099999999999991</v>
      </c>
      <c r="CG199" s="482">
        <f>+SUM(CG200:CG202)</f>
        <v>-4.2130000000000001</v>
      </c>
      <c r="CH199" s="482">
        <f>+SUM(CH200:CH202)</f>
        <v>-3.7519999999999998</v>
      </c>
      <c r="CI199" s="482">
        <f t="shared" si="725"/>
        <v>3.7519999999999998</v>
      </c>
      <c r="CJ199" s="482">
        <f>+SUM(CJ200:CJ202)</f>
        <v>0</v>
      </c>
      <c r="CK199" s="482">
        <f>+SUM(CK200:CK202)</f>
        <v>0</v>
      </c>
      <c r="CL199" s="482">
        <f t="shared" si="726"/>
        <v>0</v>
      </c>
      <c r="CM199" s="482">
        <f>+SUM(CM200:CM202)</f>
        <v>0</v>
      </c>
      <c r="CN199" s="482">
        <f>+SUM(CN200:CN202)</f>
        <v>0</v>
      </c>
      <c r="CO199" s="482">
        <f t="shared" si="727"/>
        <v>0</v>
      </c>
      <c r="CP199" s="482">
        <f>+SUM(CP200:CP202)</f>
        <v>0</v>
      </c>
      <c r="CQ199" s="482">
        <f>+SUM(CQ200:CQ202)</f>
        <v>0</v>
      </c>
      <c r="CR199" s="482">
        <f t="shared" si="728"/>
        <v>0</v>
      </c>
      <c r="CS199" s="482">
        <f>+SUM(CS200:CS202)</f>
        <v>0</v>
      </c>
      <c r="CT199" s="482">
        <f>+SUM(CT200:CT202)</f>
        <v>0</v>
      </c>
      <c r="CU199" s="482">
        <f t="shared" si="729"/>
        <v>-1.1399999999999999</v>
      </c>
      <c r="CV199" s="482">
        <f>+SUM(CV200:CV202)</f>
        <v>-1.1399999999999999</v>
      </c>
      <c r="CW199" s="482">
        <f>+SUM(CW200:CW202)</f>
        <v>0</v>
      </c>
      <c r="CX199" s="482">
        <f t="shared" si="730"/>
        <v>-8.2279999999999998</v>
      </c>
      <c r="CY199" s="482">
        <f>+SUM(CY200:CY202)</f>
        <v>-8.2279999999999998</v>
      </c>
      <c r="CZ199" s="482">
        <f>+SUM(CZ200:CZ202)</f>
        <v>0</v>
      </c>
      <c r="DA199" s="482">
        <f t="shared" si="731"/>
        <v>-5.0999999999999996</v>
      </c>
      <c r="DB199" s="482">
        <f>+SUM(DB200:DB202)</f>
        <v>-5.0999999999999996</v>
      </c>
      <c r="DC199" s="482">
        <f>+SUM(DC200:DC202)</f>
        <v>0</v>
      </c>
      <c r="DD199" s="482">
        <f t="shared" si="732"/>
        <v>-28</v>
      </c>
      <c r="DE199" s="482">
        <f>+SUM(DE200:DE202)</f>
        <v>-28</v>
      </c>
      <c r="DF199" s="482">
        <f>+SUM(DF200:DF202)</f>
        <v>-10.8</v>
      </c>
      <c r="DG199" s="482">
        <f t="shared" si="740"/>
        <v>-8.3000000000000007</v>
      </c>
      <c r="DH199" s="1244">
        <f>+SUM(DH200:DH202)</f>
        <v>-19.100000000000001</v>
      </c>
      <c r="DI199" s="482">
        <f>+SUM(DI200:DI202)</f>
        <v>0</v>
      </c>
      <c r="DJ199" s="482">
        <f t="shared" si="733"/>
        <v>0</v>
      </c>
      <c r="DK199" s="1244">
        <f>+SUM(DK200:DK202)</f>
        <v>0</v>
      </c>
      <c r="DL199" s="482">
        <f>+SUM(DL200:DL202)</f>
        <v>0</v>
      </c>
      <c r="DM199" s="482">
        <f t="shared" si="734"/>
        <v>0</v>
      </c>
      <c r="DN199" s="1244">
        <f>+SUM(DN200:DN202)</f>
        <v>0</v>
      </c>
      <c r="DO199" s="482">
        <f>+SUM(DO200:DO202)</f>
        <v>0</v>
      </c>
      <c r="DP199" s="482">
        <f t="shared" si="735"/>
        <v>0</v>
      </c>
      <c r="DQ199" s="1244">
        <f>+SUM(DQ200:DQ202)</f>
        <v>0</v>
      </c>
      <c r="DR199" s="482">
        <f>+SUM(DR200:DR202)</f>
        <v>0</v>
      </c>
      <c r="DS199" s="482">
        <f t="shared" si="736"/>
        <v>0</v>
      </c>
      <c r="DT199" s="1244">
        <f>+SUM(DT200:DT202)</f>
        <v>0</v>
      </c>
      <c r="DU199" s="482">
        <f>+SUM(DU200:DU202)</f>
        <v>0</v>
      </c>
      <c r="DV199" s="482">
        <f t="shared" si="741"/>
        <v>0</v>
      </c>
      <c r="DW199" s="1244">
        <f>+SUM(DW200:DW202)</f>
        <v>0</v>
      </c>
      <c r="DX199" s="482">
        <f>+SUM(DX200:DX202)</f>
        <v>0</v>
      </c>
      <c r="DY199" s="482">
        <f t="shared" si="749"/>
        <v>0</v>
      </c>
      <c r="DZ199" s="1244">
        <f>+SUM(DZ200:DZ202)</f>
        <v>0</v>
      </c>
      <c r="EA199" s="482">
        <f>+SUM(EA200:EA202)</f>
        <v>0</v>
      </c>
      <c r="EB199" s="482">
        <f t="shared" si="738"/>
        <v>0</v>
      </c>
      <c r="EC199" s="1244">
        <f>+SUM(EC200:EC202)</f>
        <v>0</v>
      </c>
      <c r="ED199" s="482">
        <f>+SUM(ED200:ED202)</f>
        <v>0</v>
      </c>
      <c r="EE199" s="482">
        <f t="shared" si="739"/>
        <v>0</v>
      </c>
      <c r="EF199" s="1244">
        <f>+SUM(EF200:EF202)</f>
        <v>0</v>
      </c>
      <c r="EG199" s="482">
        <f>+SUM(EG200:EG202)</f>
        <v>0</v>
      </c>
      <c r="EH199" s="482">
        <f t="shared" si="742"/>
        <v>0</v>
      </c>
      <c r="EI199" s="1244">
        <f>+SUM(EI200:EI202)</f>
        <v>0</v>
      </c>
      <c r="EJ199" s="482">
        <f>+SUM(EJ200:EJ202)</f>
        <v>0</v>
      </c>
      <c r="EK199" s="482">
        <f t="shared" si="743"/>
        <v>0</v>
      </c>
      <c r="EL199" s="1244">
        <f>+SUM(EL200:EL202)</f>
        <v>0</v>
      </c>
      <c r="EM199" s="482">
        <f>+SUM(EM200:EM202)</f>
        <v>0</v>
      </c>
      <c r="EN199" s="482">
        <f t="shared" si="744"/>
        <v>0</v>
      </c>
      <c r="EO199" s="1244">
        <f>+SUM(EO200:EO202)</f>
        <v>0</v>
      </c>
      <c r="EP199" s="482">
        <f>+SUM(EP200:EP202)</f>
        <v>0</v>
      </c>
      <c r="EQ199" s="482">
        <f t="shared" si="745"/>
        <v>0</v>
      </c>
      <c r="ER199" s="1244">
        <f>+SUM(ER200:ER202)</f>
        <v>0</v>
      </c>
      <c r="ES199" s="482">
        <f>+SUM(ES200:ES202)</f>
        <v>0</v>
      </c>
      <c r="ET199" s="482">
        <f t="shared" si="746"/>
        <v>0</v>
      </c>
      <c r="EU199" s="1244">
        <f>+SUM(EU200:EU202)</f>
        <v>0</v>
      </c>
      <c r="EV199" s="482">
        <f>+SUM(EV200:EV202)</f>
        <v>0</v>
      </c>
      <c r="EW199" s="482">
        <f t="shared" si="747"/>
        <v>0</v>
      </c>
      <c r="EX199" s="1244">
        <f>+SUM(EX200:EX202)</f>
        <v>0</v>
      </c>
      <c r="EY199" s="482">
        <f>+SUM(EY200:EY202)</f>
        <v>0</v>
      </c>
      <c r="EZ199" s="482">
        <f t="shared" si="748"/>
        <v>0</v>
      </c>
      <c r="FA199" s="1244">
        <f>+SUM(FA200:FA202)</f>
        <v>0</v>
      </c>
      <c r="FE199"/>
      <c r="FF199"/>
      <c r="FG199"/>
      <c r="FH199"/>
      <c r="FI199"/>
      <c r="FJ199"/>
      <c r="FK199" s="35"/>
    </row>
    <row r="200" spans="2:167" s="236" customFormat="1" ht="13.35" customHeight="1" outlineLevel="1">
      <c r="B200" s="242" t="s">
        <v>11</v>
      </c>
      <c r="C200" s="242" t="s">
        <v>496</v>
      </c>
      <c r="D200" s="243"/>
      <c r="E200" s="511"/>
      <c r="F200" s="510">
        <f t="shared" si="698"/>
        <v>0</v>
      </c>
      <c r="G200" s="571"/>
      <c r="H200" s="513"/>
      <c r="I200" s="510">
        <f t="shared" si="699"/>
        <v>0</v>
      </c>
      <c r="J200" s="571"/>
      <c r="K200" s="513"/>
      <c r="L200" s="510">
        <f t="shared" si="700"/>
        <v>0</v>
      </c>
      <c r="M200" s="571"/>
      <c r="N200" s="513"/>
      <c r="O200" s="510">
        <f t="shared" si="701"/>
        <v>0</v>
      </c>
      <c r="P200" s="571"/>
      <c r="Q200" s="513"/>
      <c r="R200" s="510">
        <f t="shared" si="702"/>
        <v>0</v>
      </c>
      <c r="S200" s="571"/>
      <c r="T200" s="513"/>
      <c r="U200" s="510">
        <f t="shared" si="703"/>
        <v>0</v>
      </c>
      <c r="V200" s="571"/>
      <c r="W200" s="513"/>
      <c r="X200" s="510">
        <f t="shared" si="704"/>
        <v>0</v>
      </c>
      <c r="Y200" s="571"/>
      <c r="Z200" s="513"/>
      <c r="AA200" s="510">
        <f t="shared" si="705"/>
        <v>0</v>
      </c>
      <c r="AB200" s="571"/>
      <c r="AC200" s="513"/>
      <c r="AD200" s="510">
        <f t="shared" si="706"/>
        <v>0</v>
      </c>
      <c r="AE200" s="571"/>
      <c r="AF200" s="513"/>
      <c r="AG200" s="510">
        <f t="shared" si="707"/>
        <v>0</v>
      </c>
      <c r="AH200" s="571"/>
      <c r="AI200" s="513"/>
      <c r="AJ200" s="510">
        <f t="shared" si="708"/>
        <v>0</v>
      </c>
      <c r="AK200" s="571"/>
      <c r="AL200" s="513"/>
      <c r="AM200" s="510">
        <f t="shared" si="709"/>
        <v>0</v>
      </c>
      <c r="AN200" s="571"/>
      <c r="AO200" s="513"/>
      <c r="AP200" s="510">
        <f t="shared" si="710"/>
        <v>0</v>
      </c>
      <c r="AQ200" s="571"/>
      <c r="AR200" s="513"/>
      <c r="AS200" s="510">
        <f t="shared" si="711"/>
        <v>0</v>
      </c>
      <c r="AT200" s="571"/>
      <c r="AU200" s="513"/>
      <c r="AV200" s="510">
        <f t="shared" si="712"/>
        <v>0</v>
      </c>
      <c r="AW200" s="571"/>
      <c r="AX200" s="514">
        <v>0</v>
      </c>
      <c r="AY200" s="510">
        <f t="shared" si="713"/>
        <v>0</v>
      </c>
      <c r="AZ200" s="572">
        <v>0</v>
      </c>
      <c r="BA200" s="514">
        <v>0</v>
      </c>
      <c r="BB200" s="510">
        <f t="shared" si="714"/>
        <v>0</v>
      </c>
      <c r="BC200" s="572">
        <v>0</v>
      </c>
      <c r="BD200" s="513">
        <f>IF(Assumptions!BD190&lt;&gt;"",Assumptions!BD190,0)</f>
        <v>0</v>
      </c>
      <c r="BE200" s="510">
        <f t="shared" si="715"/>
        <v>0</v>
      </c>
      <c r="BF200" s="571">
        <f>IF(Assumptions!BF190&lt;&gt;"",Assumptions!BF190,0)</f>
        <v>0</v>
      </c>
      <c r="BG200" s="513">
        <f>IF(Assumptions!BG190&lt;&gt;"",Assumptions!BG190,0)</f>
        <v>0</v>
      </c>
      <c r="BH200" s="510">
        <f t="shared" si="716"/>
        <v>0</v>
      </c>
      <c r="BI200" s="571">
        <f>IF(Assumptions!BI190&lt;&gt;"",Assumptions!BI190,0)</f>
        <v>0</v>
      </c>
      <c r="BJ200" s="513">
        <f>IF(Assumptions!BJ190&lt;&gt;"",Assumptions!BJ190,0)</f>
        <v>0</v>
      </c>
      <c r="BK200" s="510">
        <f t="shared" si="717"/>
        <v>0</v>
      </c>
      <c r="BL200" s="571">
        <f>IF(Assumptions!BL190&lt;&gt;"",Assumptions!BL190,0)</f>
        <v>0</v>
      </c>
      <c r="BM200" s="513">
        <f>IF(Assumptions!BM190&lt;&gt;"",Assumptions!BM190,0)</f>
        <v>0</v>
      </c>
      <c r="BN200" s="510">
        <f t="shared" si="718"/>
        <v>0</v>
      </c>
      <c r="BO200" s="574">
        <f>IF(Assumptions!BO190&lt;&gt;"",Assumptions!BO190,0)</f>
        <v>0</v>
      </c>
      <c r="BP200" s="514">
        <v>0</v>
      </c>
      <c r="BQ200" s="510">
        <f t="shared" si="719"/>
        <v>0</v>
      </c>
      <c r="BR200" s="574">
        <f>IF(Assumptions!BR190&lt;&gt;"",Assumptions!BR190,0)</f>
        <v>0</v>
      </c>
      <c r="BS200" s="513">
        <f>IF(Assumptions!BS190&lt;&gt;"",Assumptions!BS190,0)</f>
        <v>0</v>
      </c>
      <c r="BT200" s="510">
        <f t="shared" si="720"/>
        <v>0</v>
      </c>
      <c r="BU200" s="574">
        <f>IF(Assumptions!BU190&lt;&gt;"",Assumptions!BU190,0)</f>
        <v>0</v>
      </c>
      <c r="BV200" s="513">
        <f>IF(Assumptions!BV190&lt;&gt;"",Assumptions!BV190,0)</f>
        <v>0</v>
      </c>
      <c r="BW200" s="510">
        <f t="shared" si="721"/>
        <v>0</v>
      </c>
      <c r="BX200" s="574">
        <f>IF(Assumptions!BX190&lt;&gt;"",Assumptions!BX190,0)</f>
        <v>0</v>
      </c>
      <c r="BY200" s="513">
        <f>IF(Assumptions!BY190&lt;&gt;"",Assumptions!BY190,0)</f>
        <v>0</v>
      </c>
      <c r="BZ200" s="510">
        <f t="shared" si="722"/>
        <v>0</v>
      </c>
      <c r="CA200" s="574">
        <f>IF(Assumptions!CA190&lt;&gt;"",Assumptions!CA190,0)</f>
        <v>0</v>
      </c>
      <c r="CB200" s="513">
        <f>IF(Assumptions!CB190&lt;&gt;"",Assumptions!CB190,0)</f>
        <v>0</v>
      </c>
      <c r="CC200" s="510">
        <f t="shared" si="723"/>
        <v>0</v>
      </c>
      <c r="CD200" s="574">
        <f>IF(Assumptions!CD190&lt;&gt;"",Assumptions!CD190,0)</f>
        <v>0</v>
      </c>
      <c r="CE200" s="513">
        <f>IF(Assumptions!CE190&lt;&gt;"",Assumptions!CE190,0)</f>
        <v>0</v>
      </c>
      <c r="CF200" s="510">
        <f t="shared" si="724"/>
        <v>0</v>
      </c>
      <c r="CG200" s="574">
        <f>IF(Assumptions!CG190&lt;&gt;"",Assumptions!CG190,0)</f>
        <v>0</v>
      </c>
      <c r="CH200" s="513">
        <f>IF(Assumptions!CH190&lt;&gt;"",Assumptions!CH190,0)</f>
        <v>0</v>
      </c>
      <c r="CI200" s="510">
        <f t="shared" si="725"/>
        <v>0</v>
      </c>
      <c r="CJ200" s="574">
        <f>IF(Assumptions!CJ190&lt;&gt;"",Assumptions!CJ190,0)</f>
        <v>0</v>
      </c>
      <c r="CK200" s="513">
        <f>IF(Assumptions!CK190&lt;&gt;"",Assumptions!CK190,0)</f>
        <v>0</v>
      </c>
      <c r="CL200" s="510">
        <f t="shared" si="726"/>
        <v>0</v>
      </c>
      <c r="CM200" s="574">
        <f>IF(Assumptions!CM190&lt;&gt;"",Assumptions!CM190,0)</f>
        <v>0</v>
      </c>
      <c r="CN200" s="513">
        <f>IF(Assumptions!CN190&lt;&gt;"",Assumptions!CN190,0)</f>
        <v>0</v>
      </c>
      <c r="CO200" s="510">
        <f t="shared" si="727"/>
        <v>0</v>
      </c>
      <c r="CP200" s="574">
        <f>IF(Assumptions!CP190&lt;&gt;"",Assumptions!CP190,0)</f>
        <v>0</v>
      </c>
      <c r="CQ200" s="513">
        <f>IF(Assumptions!CQ190&lt;&gt;"",Assumptions!CQ190,0)</f>
        <v>0</v>
      </c>
      <c r="CR200" s="510">
        <f t="shared" si="728"/>
        <v>0</v>
      </c>
      <c r="CS200" s="574">
        <f>IF(Assumptions!CS190&lt;&gt;"",Assumptions!CS190,0)</f>
        <v>0</v>
      </c>
      <c r="CT200" s="513">
        <f>IF(Assumptions!CT190&lt;&gt;"",Assumptions!CT190,0)</f>
        <v>0</v>
      </c>
      <c r="CU200" s="510">
        <f t="shared" si="729"/>
        <v>0</v>
      </c>
      <c r="CV200" s="574">
        <f>IF(Assumptions!CV190&lt;&gt;"",Assumptions!CV190,0)</f>
        <v>0</v>
      </c>
      <c r="CW200" s="513">
        <f>IF(Assumptions!CW190&lt;&gt;"",Assumptions!CW190,0)</f>
        <v>0</v>
      </c>
      <c r="CX200" s="510">
        <f t="shared" si="730"/>
        <v>0</v>
      </c>
      <c r="CY200" s="574">
        <f>IF(Assumptions!CY190&lt;&gt;"",Assumptions!CY190,0)</f>
        <v>0</v>
      </c>
      <c r="CZ200" s="513">
        <f>IF(Assumptions!CZ190&lt;&gt;"",Assumptions!CZ190,0)</f>
        <v>0</v>
      </c>
      <c r="DA200" s="510">
        <f t="shared" si="731"/>
        <v>0</v>
      </c>
      <c r="DB200" s="574">
        <f>IF(Assumptions!DB190&lt;&gt;"",Assumptions!DB190,0)</f>
        <v>0</v>
      </c>
      <c r="DC200" s="513">
        <f>IF(Assumptions!DC190&lt;&gt;"",Assumptions!DC190,0)</f>
        <v>0</v>
      </c>
      <c r="DD200" s="510">
        <f t="shared" si="732"/>
        <v>0</v>
      </c>
      <c r="DE200" s="574">
        <f>IF(Assumptions!DE190&lt;&gt;"",Assumptions!DE190,0)</f>
        <v>0</v>
      </c>
      <c r="DF200" s="513">
        <f>IF(Assumptions!DF190&lt;&gt;"",Assumptions!DF190,0)</f>
        <v>0</v>
      </c>
      <c r="DG200" s="510">
        <f t="shared" si="740"/>
        <v>0</v>
      </c>
      <c r="DH200" s="1277">
        <f>IF(Assumptions!DH190&lt;&gt;"",Assumptions!DH190,0)</f>
        <v>0</v>
      </c>
      <c r="DI200" s="482">
        <f>IF(Assumptions!DI190&lt;&gt;"",Assumptions!DI190,0)</f>
        <v>0</v>
      </c>
      <c r="DJ200" s="482">
        <f t="shared" si="733"/>
        <v>0</v>
      </c>
      <c r="DK200" s="1276">
        <f>IF(Assumptions!DK190&lt;&gt;"",Assumptions!DK190,0)</f>
        <v>0</v>
      </c>
      <c r="DL200" s="482">
        <f>IF(Assumptions!DL190&lt;&gt;"",Assumptions!DL190,0)</f>
        <v>0</v>
      </c>
      <c r="DM200" s="482">
        <f t="shared" si="734"/>
        <v>0</v>
      </c>
      <c r="DN200" s="1276">
        <f>IF(Assumptions!DN190&lt;&gt;"",Assumptions!DN190,0)</f>
        <v>0</v>
      </c>
      <c r="DO200" s="482">
        <f>IF(Assumptions!DO190&lt;&gt;"",Assumptions!DO190,0)</f>
        <v>0</v>
      </c>
      <c r="DP200" s="482">
        <f t="shared" si="735"/>
        <v>0</v>
      </c>
      <c r="DQ200" s="1276">
        <f>IF(Assumptions!DQ190&lt;&gt;"",Assumptions!DQ190,0)</f>
        <v>0</v>
      </c>
      <c r="DR200" s="482">
        <f>IF(Assumptions!DR190&lt;&gt;"",Assumptions!DR190,0)</f>
        <v>0</v>
      </c>
      <c r="DS200" s="482">
        <f t="shared" si="736"/>
        <v>0</v>
      </c>
      <c r="DT200" s="1276">
        <f>IF(Assumptions!DT190&lt;&gt;"",Assumptions!DT190,0)</f>
        <v>0</v>
      </c>
      <c r="DU200" s="482">
        <f>IF(Assumptions!DU190&lt;&gt;"",Assumptions!DU190,0)</f>
        <v>0</v>
      </c>
      <c r="DV200" s="482">
        <f t="shared" si="741"/>
        <v>0</v>
      </c>
      <c r="DW200" s="1276">
        <f>IF(Assumptions!DW190&lt;&gt;"",Assumptions!DW190,0)</f>
        <v>0</v>
      </c>
      <c r="DX200" s="482">
        <f>IF(Assumptions!DX190&lt;&gt;"",Assumptions!DX190,0)</f>
        <v>0</v>
      </c>
      <c r="DY200" s="482">
        <f t="shared" si="749"/>
        <v>0</v>
      </c>
      <c r="DZ200" s="1276">
        <f>IF(Assumptions!DZ190&lt;&gt;"",Assumptions!DZ190,0)</f>
        <v>0</v>
      </c>
      <c r="EA200" s="482">
        <f>IF(Assumptions!EA190&lt;&gt;"",Assumptions!EA190,0)</f>
        <v>0</v>
      </c>
      <c r="EB200" s="482">
        <f t="shared" si="738"/>
        <v>0</v>
      </c>
      <c r="EC200" s="1276">
        <f>IF(Assumptions!EC190&lt;&gt;"",Assumptions!EC190,0)</f>
        <v>0</v>
      </c>
      <c r="ED200" s="482">
        <f>IF(Assumptions!ED190&lt;&gt;"",Assumptions!ED190,0)</f>
        <v>0</v>
      </c>
      <c r="EE200" s="482">
        <f t="shared" si="739"/>
        <v>0</v>
      </c>
      <c r="EF200" s="1276">
        <f>IF(Assumptions!EF190&lt;&gt;"",Assumptions!EF190,0)</f>
        <v>0</v>
      </c>
      <c r="EG200" s="482">
        <f>IF(Assumptions!EG190&lt;&gt;"",Assumptions!EG190,0)</f>
        <v>0</v>
      </c>
      <c r="EH200" s="482">
        <f t="shared" si="742"/>
        <v>0</v>
      </c>
      <c r="EI200" s="1276">
        <f>IF(Assumptions!EI190&lt;&gt;"",Assumptions!EI190,0)</f>
        <v>0</v>
      </c>
      <c r="EJ200" s="482">
        <f>IF(Assumptions!EJ190&lt;&gt;"",Assumptions!EJ190,0)</f>
        <v>0</v>
      </c>
      <c r="EK200" s="482">
        <f t="shared" si="743"/>
        <v>0</v>
      </c>
      <c r="EL200" s="1276">
        <f>IF(Assumptions!EL190&lt;&gt;"",Assumptions!EL190,0)</f>
        <v>0</v>
      </c>
      <c r="EM200" s="482">
        <f>IF(Assumptions!EM190&lt;&gt;"",Assumptions!EM190,0)</f>
        <v>0</v>
      </c>
      <c r="EN200" s="482">
        <f t="shared" si="744"/>
        <v>0</v>
      </c>
      <c r="EO200" s="1276">
        <f>IF(Assumptions!EO190&lt;&gt;"",Assumptions!EO190,0)</f>
        <v>0</v>
      </c>
      <c r="EP200" s="482">
        <f>IF(Assumptions!EP190&lt;&gt;"",Assumptions!EP190,0)</f>
        <v>0</v>
      </c>
      <c r="EQ200" s="482">
        <f t="shared" si="745"/>
        <v>0</v>
      </c>
      <c r="ER200" s="1276">
        <f>IF(Assumptions!ER190&lt;&gt;"",Assumptions!ER190,0)</f>
        <v>0</v>
      </c>
      <c r="ES200" s="482">
        <f>IF(Assumptions!ES190&lt;&gt;"",Assumptions!ES190,0)</f>
        <v>0</v>
      </c>
      <c r="ET200" s="482">
        <f t="shared" si="746"/>
        <v>0</v>
      </c>
      <c r="EU200" s="1276">
        <f>IF(Assumptions!EU190&lt;&gt;"",Assumptions!EU190,0)</f>
        <v>0</v>
      </c>
      <c r="EV200" s="482">
        <f>IF(Assumptions!EV190&lt;&gt;"",Assumptions!EV190,0)</f>
        <v>0</v>
      </c>
      <c r="EW200" s="482">
        <f t="shared" si="747"/>
        <v>0</v>
      </c>
      <c r="EX200" s="1276">
        <f>IF(Assumptions!EX190&lt;&gt;"",Assumptions!EX190,0)</f>
        <v>0</v>
      </c>
      <c r="EY200" s="482">
        <f>IF(Assumptions!EY190&lt;&gt;"",Assumptions!EY190,0)</f>
        <v>0</v>
      </c>
      <c r="EZ200" s="482">
        <f t="shared" si="748"/>
        <v>0</v>
      </c>
      <c r="FA200" s="1276">
        <f>IF(Assumptions!FA190&lt;&gt;"",Assumptions!FA190,0)</f>
        <v>0</v>
      </c>
      <c r="FE200"/>
      <c r="FF200"/>
      <c r="FG200"/>
      <c r="FH200"/>
      <c r="FI200"/>
      <c r="FJ200"/>
      <c r="FK200" s="35"/>
    </row>
    <row r="201" spans="2:167" s="236" customFormat="1" ht="13.35" customHeight="1" outlineLevel="1">
      <c r="B201" s="242" t="s">
        <v>12</v>
      </c>
      <c r="C201" s="242" t="s">
        <v>496</v>
      </c>
      <c r="D201" s="243"/>
      <c r="E201" s="516"/>
      <c r="F201" s="510">
        <f t="shared" si="698"/>
        <v>0</v>
      </c>
      <c r="G201" s="586"/>
      <c r="H201" s="518"/>
      <c r="I201" s="510">
        <f t="shared" si="699"/>
        <v>0</v>
      </c>
      <c r="J201" s="586"/>
      <c r="K201" s="518"/>
      <c r="L201" s="510">
        <f t="shared" si="700"/>
        <v>0</v>
      </c>
      <c r="M201" s="586"/>
      <c r="N201" s="518"/>
      <c r="O201" s="510">
        <f t="shared" si="701"/>
        <v>0</v>
      </c>
      <c r="P201" s="586"/>
      <c r="Q201" s="518"/>
      <c r="R201" s="510">
        <f t="shared" si="702"/>
        <v>0</v>
      </c>
      <c r="S201" s="586"/>
      <c r="T201" s="518"/>
      <c r="U201" s="510">
        <f t="shared" si="703"/>
        <v>0</v>
      </c>
      <c r="V201" s="586"/>
      <c r="W201" s="518"/>
      <c r="X201" s="510">
        <f t="shared" si="704"/>
        <v>0</v>
      </c>
      <c r="Y201" s="586"/>
      <c r="Z201" s="518"/>
      <c r="AA201" s="510">
        <f t="shared" si="705"/>
        <v>0</v>
      </c>
      <c r="AB201" s="586"/>
      <c r="AC201" s="518"/>
      <c r="AD201" s="510">
        <f t="shared" si="706"/>
        <v>0</v>
      </c>
      <c r="AE201" s="586"/>
      <c r="AF201" s="518"/>
      <c r="AG201" s="510">
        <f t="shared" si="707"/>
        <v>0</v>
      </c>
      <c r="AH201" s="586"/>
      <c r="AI201" s="518"/>
      <c r="AJ201" s="510">
        <f t="shared" si="708"/>
        <v>0</v>
      </c>
      <c r="AK201" s="586"/>
      <c r="AL201" s="518"/>
      <c r="AM201" s="510">
        <f t="shared" si="709"/>
        <v>0</v>
      </c>
      <c r="AN201" s="586"/>
      <c r="AO201" s="518"/>
      <c r="AP201" s="510">
        <f t="shared" si="710"/>
        <v>0</v>
      </c>
      <c r="AQ201" s="586"/>
      <c r="AR201" s="518"/>
      <c r="AS201" s="510">
        <f t="shared" si="711"/>
        <v>0</v>
      </c>
      <c r="AT201" s="586"/>
      <c r="AU201" s="518"/>
      <c r="AV201" s="510">
        <f t="shared" si="712"/>
        <v>0</v>
      </c>
      <c r="AW201" s="586"/>
      <c r="AX201" s="519">
        <v>0</v>
      </c>
      <c r="AY201" s="510">
        <f t="shared" si="713"/>
        <v>0</v>
      </c>
      <c r="AZ201" s="587">
        <v>0</v>
      </c>
      <c r="BA201" s="519">
        <v>0</v>
      </c>
      <c r="BB201" s="510">
        <f t="shared" si="714"/>
        <v>0</v>
      </c>
      <c r="BC201" s="587">
        <v>0</v>
      </c>
      <c r="BD201" s="518">
        <f>IF(Assumptions!BD191&lt;&gt;"",Assumptions!BD191,0)</f>
        <v>0</v>
      </c>
      <c r="BE201" s="510">
        <f t="shared" si="715"/>
        <v>0</v>
      </c>
      <c r="BF201" s="586">
        <f>IF(Assumptions!BF191&lt;&gt;"",Assumptions!BF191,0)</f>
        <v>0</v>
      </c>
      <c r="BG201" s="518">
        <f>IF(Assumptions!BG191&lt;&gt;"",Assumptions!BG191,0)</f>
        <v>0</v>
      </c>
      <c r="BH201" s="510">
        <f t="shared" si="716"/>
        <v>0</v>
      </c>
      <c r="BI201" s="586">
        <f>IF(Assumptions!BI191&lt;&gt;"",Assumptions!BI191,0)</f>
        <v>0</v>
      </c>
      <c r="BJ201" s="518">
        <f>IF(Assumptions!BJ191&lt;&gt;"",Assumptions!BJ191,0)</f>
        <v>0</v>
      </c>
      <c r="BK201" s="510">
        <f t="shared" si="717"/>
        <v>0</v>
      </c>
      <c r="BL201" s="586">
        <f>IF(Assumptions!BL191&lt;&gt;"",Assumptions!BL191,0)</f>
        <v>0</v>
      </c>
      <c r="BM201" s="518">
        <f>IF(Assumptions!BM191&lt;&gt;"",Assumptions!BM191,0)</f>
        <v>0</v>
      </c>
      <c r="BN201" s="510">
        <f t="shared" si="718"/>
        <v>0</v>
      </c>
      <c r="BO201" s="588">
        <f>IF(Assumptions!BO191&lt;&gt;"",Assumptions!BO191,0)</f>
        <v>0</v>
      </c>
      <c r="BP201" s="519">
        <v>0</v>
      </c>
      <c r="BQ201" s="510">
        <f t="shared" si="719"/>
        <v>0</v>
      </c>
      <c r="BR201" s="588">
        <f>IF(Assumptions!BR191&lt;&gt;"",Assumptions!BR191,0)</f>
        <v>0</v>
      </c>
      <c r="BS201" s="518">
        <f>IF(Assumptions!BS191&lt;&gt;"",Assumptions!BS191,0)</f>
        <v>0</v>
      </c>
      <c r="BT201" s="510">
        <f t="shared" si="720"/>
        <v>0</v>
      </c>
      <c r="BU201" s="588">
        <f>IF(Assumptions!BU191&lt;&gt;"",Assumptions!BU191,0)</f>
        <v>0</v>
      </c>
      <c r="BV201" s="518">
        <f>IF(Assumptions!BV191&lt;&gt;"",Assumptions!BV191,0)</f>
        <v>0</v>
      </c>
      <c r="BW201" s="510">
        <f t="shared" si="721"/>
        <v>0</v>
      </c>
      <c r="BX201" s="588">
        <f>IF(Assumptions!BX191&lt;&gt;"",Assumptions!BX191,0)</f>
        <v>0</v>
      </c>
      <c r="BY201" s="518">
        <f>IF(Assumptions!BY191&lt;&gt;"",Assumptions!BY191,0)</f>
        <v>0</v>
      </c>
      <c r="BZ201" s="510">
        <f t="shared" si="722"/>
        <v>0</v>
      </c>
      <c r="CA201" s="588">
        <f>IF(Assumptions!CA191&lt;&gt;"",Assumptions!CA191,0)</f>
        <v>0</v>
      </c>
      <c r="CB201" s="518">
        <f>IF(Assumptions!CB191&lt;&gt;"",Assumptions!CB191,0)</f>
        <v>0</v>
      </c>
      <c r="CC201" s="510">
        <f t="shared" si="723"/>
        <v>0</v>
      </c>
      <c r="CD201" s="588">
        <f>IF(Assumptions!CD191&lt;&gt;"",Assumptions!CD191,0)</f>
        <v>0</v>
      </c>
      <c r="CE201" s="518">
        <f>IF(Assumptions!CE191&lt;&gt;"",Assumptions!CE191,0)</f>
        <v>0</v>
      </c>
      <c r="CF201" s="510">
        <f t="shared" si="724"/>
        <v>0</v>
      </c>
      <c r="CG201" s="588">
        <f>IF(Assumptions!CG191&lt;&gt;"",Assumptions!CG191,0)</f>
        <v>0</v>
      </c>
      <c r="CH201" s="518">
        <f>IF(Assumptions!CH191&lt;&gt;"",Assumptions!CH191,0)</f>
        <v>0</v>
      </c>
      <c r="CI201" s="510">
        <f t="shared" si="725"/>
        <v>0</v>
      </c>
      <c r="CJ201" s="588">
        <f>IF(Assumptions!CJ191&lt;&gt;"",Assumptions!CJ191,0)</f>
        <v>0</v>
      </c>
      <c r="CK201" s="518">
        <f>IF(Assumptions!CK191&lt;&gt;"",Assumptions!CK191,0)</f>
        <v>0</v>
      </c>
      <c r="CL201" s="510">
        <f t="shared" si="726"/>
        <v>0</v>
      </c>
      <c r="CM201" s="588">
        <f>IF(Assumptions!CM191&lt;&gt;"",Assumptions!CM191,0)</f>
        <v>0</v>
      </c>
      <c r="CN201" s="518">
        <f>IF(Assumptions!CN191&lt;&gt;"",Assumptions!CN191,0)</f>
        <v>0</v>
      </c>
      <c r="CO201" s="510">
        <f t="shared" si="727"/>
        <v>0</v>
      </c>
      <c r="CP201" s="588">
        <f>IF(Assumptions!CP191&lt;&gt;"",Assumptions!CP191,0)</f>
        <v>0</v>
      </c>
      <c r="CQ201" s="518">
        <f>IF(Assumptions!CQ191&lt;&gt;"",Assumptions!CQ191,0)</f>
        <v>0</v>
      </c>
      <c r="CR201" s="510">
        <f t="shared" si="728"/>
        <v>0</v>
      </c>
      <c r="CS201" s="588">
        <f>IF(Assumptions!CS191&lt;&gt;"",Assumptions!CS191,0)</f>
        <v>0</v>
      </c>
      <c r="CT201" s="518">
        <f>IF(Assumptions!CT191&lt;&gt;"",Assumptions!CT191,0)</f>
        <v>0</v>
      </c>
      <c r="CU201" s="510">
        <f t="shared" si="729"/>
        <v>0</v>
      </c>
      <c r="CV201" s="588">
        <f>IF(Assumptions!CV191&lt;&gt;"",Assumptions!CV191,0)</f>
        <v>0</v>
      </c>
      <c r="CW201" s="518">
        <f>IF(Assumptions!CW191&lt;&gt;"",Assumptions!CW191,0)</f>
        <v>0</v>
      </c>
      <c r="CX201" s="510">
        <f t="shared" si="730"/>
        <v>0</v>
      </c>
      <c r="CY201" s="588">
        <f>IF(Assumptions!CY191&lt;&gt;"",Assumptions!CY191,0)</f>
        <v>0</v>
      </c>
      <c r="CZ201" s="518">
        <f>IF(Assumptions!CZ191&lt;&gt;"",Assumptions!CZ191,0)</f>
        <v>0</v>
      </c>
      <c r="DA201" s="510">
        <f t="shared" si="731"/>
        <v>0</v>
      </c>
      <c r="DB201" s="588">
        <f>IF(Assumptions!DB191&lt;&gt;"",Assumptions!DB191,0)</f>
        <v>0</v>
      </c>
      <c r="DC201" s="518">
        <f>IF(Assumptions!DC191&lt;&gt;"",Assumptions!DC191,0)</f>
        <v>0</v>
      </c>
      <c r="DD201" s="510">
        <f t="shared" si="732"/>
        <v>0</v>
      </c>
      <c r="DE201" s="588">
        <f>IF(Assumptions!DE191&lt;&gt;"",Assumptions!DE191,0)</f>
        <v>0</v>
      </c>
      <c r="DF201" s="518">
        <f>IF(Assumptions!DF191&lt;&gt;"",Assumptions!DF191,0)</f>
        <v>0</v>
      </c>
      <c r="DG201" s="510">
        <f t="shared" si="740"/>
        <v>0</v>
      </c>
      <c r="DH201" s="1279">
        <f>IF(Assumptions!DH191&lt;&gt;"",Assumptions!DH191,0)</f>
        <v>0</v>
      </c>
      <c r="DI201" s="482">
        <f>IF(Assumptions!DI191&lt;&gt;"",Assumptions!DI191,0)</f>
        <v>0</v>
      </c>
      <c r="DJ201" s="482">
        <f t="shared" si="733"/>
        <v>0</v>
      </c>
      <c r="DK201" s="1276">
        <f>IF(Assumptions!DK191&lt;&gt;"",Assumptions!DK191,0)</f>
        <v>0</v>
      </c>
      <c r="DL201" s="482">
        <f>IF(Assumptions!DL191&lt;&gt;"",Assumptions!DL191,0)</f>
        <v>0</v>
      </c>
      <c r="DM201" s="482">
        <f t="shared" si="734"/>
        <v>0</v>
      </c>
      <c r="DN201" s="1276">
        <f>IF(Assumptions!DN191&lt;&gt;"",Assumptions!DN191,0)</f>
        <v>0</v>
      </c>
      <c r="DO201" s="482">
        <f>IF(Assumptions!DO191&lt;&gt;"",Assumptions!DO191,0)</f>
        <v>0</v>
      </c>
      <c r="DP201" s="482">
        <f t="shared" si="735"/>
        <v>0</v>
      </c>
      <c r="DQ201" s="1276">
        <f>IF(Assumptions!DQ191&lt;&gt;"",Assumptions!DQ191,0)</f>
        <v>0</v>
      </c>
      <c r="DR201" s="482">
        <f>IF(Assumptions!DR191&lt;&gt;"",Assumptions!DR191,0)</f>
        <v>0</v>
      </c>
      <c r="DS201" s="482">
        <f t="shared" si="736"/>
        <v>0</v>
      </c>
      <c r="DT201" s="1276">
        <f>IF(Assumptions!DT191&lt;&gt;"",Assumptions!DT191,0)</f>
        <v>0</v>
      </c>
      <c r="DU201" s="482">
        <f>IF(Assumptions!DU191&lt;&gt;"",Assumptions!DU191,0)</f>
        <v>0</v>
      </c>
      <c r="DV201" s="482">
        <f t="shared" si="741"/>
        <v>0</v>
      </c>
      <c r="DW201" s="1276">
        <f>IF(Assumptions!DW191&lt;&gt;"",Assumptions!DW191,0)</f>
        <v>0</v>
      </c>
      <c r="DX201" s="482">
        <f>IF(Assumptions!DX191&lt;&gt;"",Assumptions!DX191,0)</f>
        <v>0</v>
      </c>
      <c r="DY201" s="482">
        <f t="shared" si="749"/>
        <v>0</v>
      </c>
      <c r="DZ201" s="1276">
        <f>IF(Assumptions!DZ191&lt;&gt;"",Assumptions!DZ191,0)</f>
        <v>0</v>
      </c>
      <c r="EA201" s="482">
        <f>IF(Assumptions!EA191&lt;&gt;"",Assumptions!EA191,0)</f>
        <v>0</v>
      </c>
      <c r="EB201" s="482">
        <f t="shared" si="738"/>
        <v>0</v>
      </c>
      <c r="EC201" s="1276">
        <f>IF(Assumptions!EC191&lt;&gt;"",Assumptions!EC191,0)</f>
        <v>0</v>
      </c>
      <c r="ED201" s="482">
        <f>IF(Assumptions!ED191&lt;&gt;"",Assumptions!ED191,0)</f>
        <v>0</v>
      </c>
      <c r="EE201" s="482">
        <f t="shared" si="739"/>
        <v>0</v>
      </c>
      <c r="EF201" s="1276">
        <f>IF(Assumptions!EF191&lt;&gt;"",Assumptions!EF191,0)</f>
        <v>0</v>
      </c>
      <c r="EG201" s="482">
        <f>IF(Assumptions!EG191&lt;&gt;"",Assumptions!EG191,0)</f>
        <v>0</v>
      </c>
      <c r="EH201" s="482">
        <f t="shared" si="742"/>
        <v>0</v>
      </c>
      <c r="EI201" s="1276">
        <f>IF(Assumptions!EI191&lt;&gt;"",Assumptions!EI191,0)</f>
        <v>0</v>
      </c>
      <c r="EJ201" s="482">
        <f>IF(Assumptions!EJ191&lt;&gt;"",Assumptions!EJ191,0)</f>
        <v>0</v>
      </c>
      <c r="EK201" s="482">
        <f t="shared" si="743"/>
        <v>0</v>
      </c>
      <c r="EL201" s="1276">
        <f>IF(Assumptions!EL191&lt;&gt;"",Assumptions!EL191,0)</f>
        <v>0</v>
      </c>
      <c r="EM201" s="482">
        <f>IF(Assumptions!EM191&lt;&gt;"",Assumptions!EM191,0)</f>
        <v>0</v>
      </c>
      <c r="EN201" s="482">
        <f t="shared" si="744"/>
        <v>0</v>
      </c>
      <c r="EO201" s="1276">
        <f>IF(Assumptions!EO191&lt;&gt;"",Assumptions!EO191,0)</f>
        <v>0</v>
      </c>
      <c r="EP201" s="482">
        <f>IF(Assumptions!EP191&lt;&gt;"",Assumptions!EP191,0)</f>
        <v>0</v>
      </c>
      <c r="EQ201" s="482">
        <f t="shared" si="745"/>
        <v>0</v>
      </c>
      <c r="ER201" s="1276">
        <f>IF(Assumptions!ER191&lt;&gt;"",Assumptions!ER191,0)</f>
        <v>0</v>
      </c>
      <c r="ES201" s="482">
        <f>IF(Assumptions!ES191&lt;&gt;"",Assumptions!ES191,0)</f>
        <v>0</v>
      </c>
      <c r="ET201" s="482">
        <f t="shared" si="746"/>
        <v>0</v>
      </c>
      <c r="EU201" s="1276">
        <f>IF(Assumptions!EU191&lt;&gt;"",Assumptions!EU191,0)</f>
        <v>0</v>
      </c>
      <c r="EV201" s="482">
        <f>IF(Assumptions!EV191&lt;&gt;"",Assumptions!EV191,0)</f>
        <v>0</v>
      </c>
      <c r="EW201" s="482">
        <f t="shared" si="747"/>
        <v>0</v>
      </c>
      <c r="EX201" s="1276">
        <f>IF(Assumptions!EX191&lt;&gt;"",Assumptions!EX191,0)</f>
        <v>0</v>
      </c>
      <c r="EY201" s="482">
        <f>IF(Assumptions!EY191&lt;&gt;"",Assumptions!EY191,0)</f>
        <v>0</v>
      </c>
      <c r="EZ201" s="482">
        <f t="shared" si="748"/>
        <v>0</v>
      </c>
      <c r="FA201" s="1276">
        <f>IF(Assumptions!FA191&lt;&gt;"",Assumptions!FA191,0)</f>
        <v>0</v>
      </c>
      <c r="FE201"/>
      <c r="FF201"/>
      <c r="FG201"/>
      <c r="FH201"/>
      <c r="FI201"/>
      <c r="FJ201"/>
      <c r="FK201" s="35"/>
    </row>
    <row r="202" spans="2:167" s="236" customFormat="1" ht="13.35" customHeight="1" outlineLevel="1" thickBot="1">
      <c r="B202" s="242" t="s">
        <v>13</v>
      </c>
      <c r="C202" s="242" t="s">
        <v>496</v>
      </c>
      <c r="D202" s="243"/>
      <c r="E202" s="516"/>
      <c r="F202" s="482">
        <f t="shared" si="698"/>
        <v>0</v>
      </c>
      <c r="G202" s="586"/>
      <c r="H202" s="518"/>
      <c r="I202" s="482">
        <f t="shared" si="699"/>
        <v>0</v>
      </c>
      <c r="J202" s="586"/>
      <c r="K202" s="518"/>
      <c r="L202" s="482">
        <f t="shared" si="700"/>
        <v>0</v>
      </c>
      <c r="M202" s="586"/>
      <c r="N202" s="518"/>
      <c r="O202" s="482">
        <f t="shared" si="701"/>
        <v>0</v>
      </c>
      <c r="P202" s="586"/>
      <c r="Q202" s="518"/>
      <c r="R202" s="482">
        <f t="shared" si="702"/>
        <v>0</v>
      </c>
      <c r="S202" s="586"/>
      <c r="T202" s="518"/>
      <c r="U202" s="482">
        <f t="shared" si="703"/>
        <v>0</v>
      </c>
      <c r="V202" s="586"/>
      <c r="W202" s="518"/>
      <c r="X202" s="482">
        <f t="shared" si="704"/>
        <v>0</v>
      </c>
      <c r="Y202" s="586"/>
      <c r="Z202" s="518"/>
      <c r="AA202" s="482">
        <f t="shared" si="705"/>
        <v>0</v>
      </c>
      <c r="AB202" s="586"/>
      <c r="AC202" s="518"/>
      <c r="AD202" s="482">
        <f t="shared" si="706"/>
        <v>0</v>
      </c>
      <c r="AE202" s="586"/>
      <c r="AF202" s="518"/>
      <c r="AG202" s="482">
        <f t="shared" si="707"/>
        <v>0</v>
      </c>
      <c r="AH202" s="586"/>
      <c r="AI202" s="518"/>
      <c r="AJ202" s="482">
        <f t="shared" si="708"/>
        <v>0</v>
      </c>
      <c r="AK202" s="586"/>
      <c r="AL202" s="518"/>
      <c r="AM202" s="482">
        <f t="shared" si="709"/>
        <v>0</v>
      </c>
      <c r="AN202" s="586"/>
      <c r="AO202" s="518"/>
      <c r="AP202" s="482">
        <f t="shared" si="710"/>
        <v>0</v>
      </c>
      <c r="AQ202" s="586"/>
      <c r="AR202" s="518"/>
      <c r="AS202" s="482">
        <f t="shared" si="711"/>
        <v>0</v>
      </c>
      <c r="AT202" s="586"/>
      <c r="AU202" s="518"/>
      <c r="AV202" s="482">
        <f t="shared" si="712"/>
        <v>0</v>
      </c>
      <c r="AW202" s="586"/>
      <c r="AX202" s="519">
        <v>0</v>
      </c>
      <c r="AY202" s="482">
        <f t="shared" si="713"/>
        <v>0</v>
      </c>
      <c r="AZ202" s="587">
        <v>0</v>
      </c>
      <c r="BA202" s="519">
        <v>0</v>
      </c>
      <c r="BB202" s="482">
        <f t="shared" si="714"/>
        <v>0</v>
      </c>
      <c r="BC202" s="587">
        <v>0</v>
      </c>
      <c r="BD202" s="519">
        <v>0</v>
      </c>
      <c r="BE202" s="482">
        <f t="shared" si="715"/>
        <v>0</v>
      </c>
      <c r="BF202" s="587">
        <v>0</v>
      </c>
      <c r="BG202" s="518">
        <f>IF(Assumptions!BG192&lt;&gt;"",Assumptions!BG192,0)</f>
        <v>0</v>
      </c>
      <c r="BH202" s="482">
        <f t="shared" si="716"/>
        <v>0</v>
      </c>
      <c r="BI202" s="586">
        <f>IF(Assumptions!BI192&lt;&gt;"",Assumptions!BI192,0)</f>
        <v>0</v>
      </c>
      <c r="BJ202" s="518">
        <f>IF(Assumptions!BJ192&lt;&gt;"",Assumptions!BJ192,0)</f>
        <v>0</v>
      </c>
      <c r="BK202" s="482">
        <f t="shared" si="717"/>
        <v>0</v>
      </c>
      <c r="BL202" s="586">
        <f>IF(Assumptions!BL192&lt;&gt;"",Assumptions!BL192,0)</f>
        <v>0</v>
      </c>
      <c r="BM202" s="518">
        <f>IF(Assumptions!BM192&lt;&gt;"",Assumptions!BM192,0)</f>
        <v>0</v>
      </c>
      <c r="BN202" s="482">
        <f t="shared" si="718"/>
        <v>-4.375</v>
      </c>
      <c r="BO202" s="589">
        <v>-4.375</v>
      </c>
      <c r="BP202" s="519">
        <v>0</v>
      </c>
      <c r="BQ202" s="482">
        <f t="shared" si="719"/>
        <v>-0.17899999999999999</v>
      </c>
      <c r="BR202" s="589">
        <v>-0.17899999999999999</v>
      </c>
      <c r="BS202" s="518">
        <f>IF(Assumptions!BS192&lt;&gt;"",Assumptions!BS192,0)</f>
        <v>0</v>
      </c>
      <c r="BT202" s="482">
        <f t="shared" si="720"/>
        <v>-0.375</v>
      </c>
      <c r="BU202" s="588">
        <f>-0.375</f>
        <v>-0.375</v>
      </c>
      <c r="BV202" s="519">
        <v>-1.5</v>
      </c>
      <c r="BW202" s="482">
        <f t="shared" si="721"/>
        <v>0</v>
      </c>
      <c r="BX202" s="589">
        <v>-1.5</v>
      </c>
      <c r="BY202" s="518">
        <f>IF(Assumptions!BY192&lt;&gt;"",Assumptions!BY192,0)</f>
        <v>0</v>
      </c>
      <c r="BZ202" s="482">
        <f t="shared" si="722"/>
        <v>-17.437000000000001</v>
      </c>
      <c r="CA202" s="589">
        <v>-17.437000000000001</v>
      </c>
      <c r="CB202" s="518">
        <f>-5.252</f>
        <v>-5.2519999999999998</v>
      </c>
      <c r="CC202" s="482">
        <f t="shared" si="723"/>
        <v>-1.5339999999999998</v>
      </c>
      <c r="CD202" s="589">
        <v>-6.7859999999999996</v>
      </c>
      <c r="CE202" s="519">
        <v>-3.6920000000000002</v>
      </c>
      <c r="CF202" s="482">
        <f t="shared" si="724"/>
        <v>-0.52099999999999991</v>
      </c>
      <c r="CG202" s="589">
        <v>-4.2130000000000001</v>
      </c>
      <c r="CH202" s="519">
        <v>-3.7519999999999998</v>
      </c>
      <c r="CI202" s="482">
        <f t="shared" si="725"/>
        <v>3.7519999999999998</v>
      </c>
      <c r="CJ202" s="588">
        <f>IF(Assumptions!CJ192&lt;&gt;"",Assumptions!CJ192,0)</f>
        <v>0</v>
      </c>
      <c r="CK202" s="518">
        <f>IF(Assumptions!CK192&lt;&gt;"",Assumptions!CK192,0)</f>
        <v>0</v>
      </c>
      <c r="CL202" s="482">
        <f t="shared" si="726"/>
        <v>0</v>
      </c>
      <c r="CM202" s="588">
        <f>IF(Assumptions!CM192&lt;&gt;"",Assumptions!CM192,0)</f>
        <v>0</v>
      </c>
      <c r="CN202" s="518">
        <f>IF(Assumptions!CN192&lt;&gt;"",Assumptions!CN192,0)</f>
        <v>0</v>
      </c>
      <c r="CO202" s="482">
        <f t="shared" si="727"/>
        <v>0</v>
      </c>
      <c r="CP202" s="588">
        <f>IF(Assumptions!CP192&lt;&gt;"",Assumptions!CP192,0)</f>
        <v>0</v>
      </c>
      <c r="CQ202" s="518">
        <f>IF(Assumptions!CQ192&lt;&gt;"",Assumptions!CQ192,0)</f>
        <v>0</v>
      </c>
      <c r="CR202" s="482">
        <f t="shared" si="728"/>
        <v>0</v>
      </c>
      <c r="CS202" s="588">
        <f>IF(Assumptions!CS192&lt;&gt;"",Assumptions!CS192,0)</f>
        <v>0</v>
      </c>
      <c r="CT202" s="518">
        <f>IF(Assumptions!CT192&lt;&gt;"",Assumptions!CT192,0)</f>
        <v>0</v>
      </c>
      <c r="CU202" s="482">
        <f t="shared" si="729"/>
        <v>-1.1399999999999999</v>
      </c>
      <c r="CV202" s="589">
        <v>-1.1399999999999999</v>
      </c>
      <c r="CW202" s="518">
        <f>IF(Assumptions!CW192&lt;&gt;"",Assumptions!CW192,0)</f>
        <v>0</v>
      </c>
      <c r="CX202" s="482">
        <f t="shared" si="730"/>
        <v>-8.2279999999999998</v>
      </c>
      <c r="CY202" s="589">
        <v>-8.2279999999999998</v>
      </c>
      <c r="CZ202" s="518">
        <f>IF(Assumptions!CZ192&lt;&gt;"",Assumptions!CZ192,0)</f>
        <v>0</v>
      </c>
      <c r="DA202" s="482">
        <f t="shared" si="731"/>
        <v>-5.0999999999999996</v>
      </c>
      <c r="DB202" s="588">
        <v>-5.0999999999999996</v>
      </c>
      <c r="DC202" s="518">
        <f>IF(Assumptions!DC192&lt;&gt;"",Assumptions!DC192,0)</f>
        <v>0</v>
      </c>
      <c r="DD202" s="482">
        <f t="shared" si="732"/>
        <v>-28</v>
      </c>
      <c r="DE202" s="588">
        <v>-28</v>
      </c>
      <c r="DF202" s="518">
        <v>-10.8</v>
      </c>
      <c r="DG202" s="482">
        <f t="shared" si="740"/>
        <v>-8.3000000000000007</v>
      </c>
      <c r="DH202" s="1279">
        <v>-19.100000000000001</v>
      </c>
      <c r="DI202" s="482">
        <v>0</v>
      </c>
      <c r="DJ202" s="482">
        <f t="shared" si="733"/>
        <v>0</v>
      </c>
      <c r="DK202" s="1244">
        <v>0</v>
      </c>
      <c r="DL202" s="482">
        <f>IF(Assumptions!DL192&lt;&gt;"",Assumptions!DL192,0)</f>
        <v>0</v>
      </c>
      <c r="DM202" s="482">
        <f t="shared" si="734"/>
        <v>0</v>
      </c>
      <c r="DN202" s="1276">
        <f>IF(Assumptions!DN192&lt;&gt;"",Assumptions!DN192,0)</f>
        <v>0</v>
      </c>
      <c r="DO202" s="482">
        <f>IF(Assumptions!DO192&lt;&gt;"",Assumptions!DO192,0)</f>
        <v>0</v>
      </c>
      <c r="DP202" s="482">
        <f t="shared" si="735"/>
        <v>0</v>
      </c>
      <c r="DQ202" s="1276">
        <f>IF(Assumptions!DQ192&lt;&gt;"",Assumptions!DQ192,0)</f>
        <v>0</v>
      </c>
      <c r="DR202" s="482">
        <f>IF(Assumptions!DR192&lt;&gt;"",Assumptions!DR192,0)</f>
        <v>0</v>
      </c>
      <c r="DS202" s="482">
        <f t="shared" si="736"/>
        <v>0</v>
      </c>
      <c r="DT202" s="1276">
        <f>IF(Assumptions!DT192&lt;&gt;"",Assumptions!DT192,0)</f>
        <v>0</v>
      </c>
      <c r="DU202" s="482">
        <f>IF(Assumptions!DU192&lt;&gt;"",Assumptions!DU192,0)</f>
        <v>0</v>
      </c>
      <c r="DV202" s="482">
        <f t="shared" si="741"/>
        <v>0</v>
      </c>
      <c r="DW202" s="1276">
        <f>IF(Assumptions!DW192&lt;&gt;"",Assumptions!DW192,0)</f>
        <v>0</v>
      </c>
      <c r="DX202" s="482">
        <f>IF(Assumptions!DX192&lt;&gt;"",Assumptions!DX192,0)</f>
        <v>0</v>
      </c>
      <c r="DY202" s="482">
        <f t="shared" si="749"/>
        <v>0</v>
      </c>
      <c r="DZ202" s="1276">
        <f>IF(Assumptions!DZ192&lt;&gt;"",Assumptions!DZ192,0)</f>
        <v>0</v>
      </c>
      <c r="EA202" s="482">
        <f>IF(Assumptions!EA192&lt;&gt;"",Assumptions!EA192,0)</f>
        <v>0</v>
      </c>
      <c r="EB202" s="482">
        <f t="shared" si="738"/>
        <v>0</v>
      </c>
      <c r="EC202" s="1276">
        <f>IF(Assumptions!EC192&lt;&gt;"",Assumptions!EC192,0)</f>
        <v>0</v>
      </c>
      <c r="ED202" s="482">
        <f>IF(Assumptions!ED192&lt;&gt;"",Assumptions!ED192,0)</f>
        <v>0</v>
      </c>
      <c r="EE202" s="482">
        <f t="shared" si="739"/>
        <v>0</v>
      </c>
      <c r="EF202" s="1276">
        <f>IF(Assumptions!EF192&lt;&gt;"",Assumptions!EF192,0)</f>
        <v>0</v>
      </c>
      <c r="EG202" s="482">
        <f>IF(Assumptions!EG192&lt;&gt;"",Assumptions!EG192,0)</f>
        <v>0</v>
      </c>
      <c r="EH202" s="482">
        <f t="shared" si="742"/>
        <v>0</v>
      </c>
      <c r="EI202" s="1276">
        <f>IF(Assumptions!EI192&lt;&gt;"",Assumptions!EI192,0)</f>
        <v>0</v>
      </c>
      <c r="EJ202" s="482">
        <f>IF(Assumptions!EJ192&lt;&gt;"",Assumptions!EJ192,0)</f>
        <v>0</v>
      </c>
      <c r="EK202" s="482">
        <f t="shared" si="743"/>
        <v>0</v>
      </c>
      <c r="EL202" s="1276">
        <f>IF(Assumptions!EL192&lt;&gt;"",Assumptions!EL192,0)</f>
        <v>0</v>
      </c>
      <c r="EM202" s="482">
        <f>IF(Assumptions!EM192&lt;&gt;"",Assumptions!EM192,0)</f>
        <v>0</v>
      </c>
      <c r="EN202" s="482">
        <f t="shared" si="744"/>
        <v>0</v>
      </c>
      <c r="EO202" s="1276">
        <f>IF(Assumptions!EO192&lt;&gt;"",Assumptions!EO192,0)</f>
        <v>0</v>
      </c>
      <c r="EP202" s="482">
        <f>IF(Assumptions!EP192&lt;&gt;"",Assumptions!EP192,0)</f>
        <v>0</v>
      </c>
      <c r="EQ202" s="482">
        <f t="shared" si="745"/>
        <v>0</v>
      </c>
      <c r="ER202" s="1276">
        <f>IF(Assumptions!ER192&lt;&gt;"",Assumptions!ER192,0)</f>
        <v>0</v>
      </c>
      <c r="ES202" s="482">
        <f>IF(Assumptions!ES192&lt;&gt;"",Assumptions!ES192,0)</f>
        <v>0</v>
      </c>
      <c r="ET202" s="482">
        <f t="shared" si="746"/>
        <v>0</v>
      </c>
      <c r="EU202" s="1276">
        <f>IF(Assumptions!EU192&lt;&gt;"",Assumptions!EU192,0)</f>
        <v>0</v>
      </c>
      <c r="EV202" s="482">
        <f>IF(Assumptions!EV192&lt;&gt;"",Assumptions!EV192,0)</f>
        <v>0</v>
      </c>
      <c r="EW202" s="482">
        <f t="shared" si="747"/>
        <v>0</v>
      </c>
      <c r="EX202" s="1276">
        <f>IF(Assumptions!EX192&lt;&gt;"",Assumptions!EX192,0)</f>
        <v>0</v>
      </c>
      <c r="EY202" s="482">
        <f>IF(Assumptions!EY192&lt;&gt;"",Assumptions!EY192,0)</f>
        <v>0</v>
      </c>
      <c r="EZ202" s="482">
        <f t="shared" si="748"/>
        <v>0</v>
      </c>
      <c r="FA202" s="1276">
        <f>IF(Assumptions!FA192&lt;&gt;"",Assumptions!FA192,0)</f>
        <v>0</v>
      </c>
      <c r="FE202"/>
      <c r="FF202"/>
      <c r="FG202"/>
      <c r="FH202"/>
      <c r="FI202"/>
      <c r="FJ202"/>
      <c r="FK202" s="35"/>
    </row>
    <row r="203" spans="2:167" s="236" customFormat="1" ht="13.35" customHeight="1">
      <c r="B203" s="242" t="s">
        <v>416</v>
      </c>
      <c r="C203" s="242" t="s">
        <v>496</v>
      </c>
      <c r="D203" s="243"/>
      <c r="E203" s="511"/>
      <c r="F203" s="482">
        <f t="shared" si="698"/>
        <v>0</v>
      </c>
      <c r="G203" s="571"/>
      <c r="H203" s="513"/>
      <c r="I203" s="482">
        <f t="shared" si="699"/>
        <v>0</v>
      </c>
      <c r="J203" s="571"/>
      <c r="K203" s="513"/>
      <c r="L203" s="482">
        <f t="shared" si="700"/>
        <v>0</v>
      </c>
      <c r="M203" s="571"/>
      <c r="N203" s="513"/>
      <c r="O203" s="482">
        <f t="shared" si="701"/>
        <v>0</v>
      </c>
      <c r="P203" s="571"/>
      <c r="Q203" s="513"/>
      <c r="R203" s="482">
        <f t="shared" si="702"/>
        <v>0</v>
      </c>
      <c r="S203" s="571"/>
      <c r="T203" s="513"/>
      <c r="U203" s="482">
        <f t="shared" si="703"/>
        <v>0</v>
      </c>
      <c r="V203" s="571"/>
      <c r="W203" s="513"/>
      <c r="X203" s="482">
        <f t="shared" si="704"/>
        <v>0</v>
      </c>
      <c r="Y203" s="571"/>
      <c r="Z203" s="513"/>
      <c r="AA203" s="482">
        <f t="shared" si="705"/>
        <v>0</v>
      </c>
      <c r="AB203" s="571"/>
      <c r="AC203" s="513"/>
      <c r="AD203" s="482">
        <f t="shared" si="706"/>
        <v>0</v>
      </c>
      <c r="AE203" s="571"/>
      <c r="AF203" s="513"/>
      <c r="AG203" s="482">
        <f t="shared" si="707"/>
        <v>0</v>
      </c>
      <c r="AH203" s="571"/>
      <c r="AI203" s="513"/>
      <c r="AJ203" s="482">
        <f t="shared" si="708"/>
        <v>0</v>
      </c>
      <c r="AK203" s="571"/>
      <c r="AL203" s="513"/>
      <c r="AM203" s="482">
        <f t="shared" si="709"/>
        <v>0</v>
      </c>
      <c r="AN203" s="571"/>
      <c r="AO203" s="513"/>
      <c r="AP203" s="482">
        <f t="shared" si="710"/>
        <v>0</v>
      </c>
      <c r="AQ203" s="571"/>
      <c r="AR203" s="513"/>
      <c r="AS203" s="482">
        <f t="shared" si="711"/>
        <v>0</v>
      </c>
      <c r="AT203" s="571"/>
      <c r="AU203" s="513"/>
      <c r="AV203" s="482">
        <f t="shared" si="712"/>
        <v>0</v>
      </c>
      <c r="AW203" s="571"/>
      <c r="AX203" s="514">
        <v>0</v>
      </c>
      <c r="AY203" s="482">
        <f t="shared" si="713"/>
        <v>0</v>
      </c>
      <c r="AZ203" s="572">
        <v>0</v>
      </c>
      <c r="BA203" s="514">
        <v>0</v>
      </c>
      <c r="BB203" s="482">
        <f t="shared" si="714"/>
        <v>0</v>
      </c>
      <c r="BC203" s="572">
        <v>0</v>
      </c>
      <c r="BD203" s="513">
        <f>IF(Assumptions!BD193&lt;&gt;"",Assumptions!BD193,0)</f>
        <v>0</v>
      </c>
      <c r="BE203" s="482">
        <f t="shared" si="715"/>
        <v>0</v>
      </c>
      <c r="BF203" s="571">
        <f>IF(Assumptions!BF193&lt;&gt;"",Assumptions!BF193,0)</f>
        <v>0</v>
      </c>
      <c r="BG203" s="513">
        <f>IF(Assumptions!BG193&lt;&gt;"",Assumptions!BG193,0)</f>
        <v>0</v>
      </c>
      <c r="BH203" s="482">
        <f t="shared" si="716"/>
        <v>0</v>
      </c>
      <c r="BI203" s="571">
        <f>IF(Assumptions!BI193&lt;&gt;"",Assumptions!BI193,0)</f>
        <v>0</v>
      </c>
      <c r="BJ203" s="513">
        <f>IF(Assumptions!BJ193&lt;&gt;"",Assumptions!BJ193,0)</f>
        <v>0</v>
      </c>
      <c r="BK203" s="482">
        <f t="shared" si="717"/>
        <v>0</v>
      </c>
      <c r="BL203" s="571">
        <f>IF(Assumptions!BL193&lt;&gt;"",Assumptions!BL193,0)</f>
        <v>0</v>
      </c>
      <c r="BM203" s="513">
        <f>IF(Assumptions!BM193&lt;&gt;"",Assumptions!BM193,0)</f>
        <v>0</v>
      </c>
      <c r="BN203" s="482">
        <f t="shared" si="718"/>
        <v>0</v>
      </c>
      <c r="BO203" s="574">
        <f>IF(Assumptions!BO193&lt;&gt;"",Assumptions!BO193,0)</f>
        <v>0</v>
      </c>
      <c r="BP203" s="514">
        <v>0</v>
      </c>
      <c r="BQ203" s="482">
        <f t="shared" si="719"/>
        <v>0</v>
      </c>
      <c r="BR203" s="574">
        <f>IF(Assumptions!BR193&lt;&gt;"",Assumptions!BR193,0)</f>
        <v>0</v>
      </c>
      <c r="BS203" s="513">
        <f>IF(Assumptions!BS193&lt;&gt;"",Assumptions!BS193,0)</f>
        <v>0</v>
      </c>
      <c r="BT203" s="482">
        <f t="shared" si="720"/>
        <v>0</v>
      </c>
      <c r="BU203" s="574">
        <f>IF(Assumptions!BU193&lt;&gt;"",Assumptions!BU193,0)</f>
        <v>0</v>
      </c>
      <c r="BV203" s="513">
        <f>IF(Assumptions!BV193&lt;&gt;"",Assumptions!BV193,0)</f>
        <v>0</v>
      </c>
      <c r="BW203" s="482">
        <f t="shared" si="721"/>
        <v>0</v>
      </c>
      <c r="BX203" s="574">
        <f>IF(Assumptions!BX193&lt;&gt;"",Assumptions!BX193,0)</f>
        <v>0</v>
      </c>
      <c r="BY203" s="513">
        <f>IF(Assumptions!BY193&lt;&gt;"",Assumptions!BY193,0)</f>
        <v>0</v>
      </c>
      <c r="BZ203" s="482">
        <f t="shared" si="722"/>
        <v>0</v>
      </c>
      <c r="CA203" s="574">
        <f>IF(Assumptions!CA193&lt;&gt;"",Assumptions!CA193,0)</f>
        <v>0</v>
      </c>
      <c r="CB203" s="513">
        <f>IF(Assumptions!CB193&lt;&gt;"",Assumptions!CB193,0)</f>
        <v>0</v>
      </c>
      <c r="CC203" s="482">
        <f t="shared" si="723"/>
        <v>0</v>
      </c>
      <c r="CD203" s="574">
        <f>IF(Assumptions!CD193&lt;&gt;"",Assumptions!CD193,0)</f>
        <v>0</v>
      </c>
      <c r="CE203" s="513">
        <f>IF(Assumptions!CE193&lt;&gt;"",Assumptions!CE193,0)</f>
        <v>0</v>
      </c>
      <c r="CF203" s="482">
        <f t="shared" si="724"/>
        <v>0</v>
      </c>
      <c r="CG203" s="574">
        <f>IF(Assumptions!CG193&lt;&gt;"",Assumptions!CG193,0)</f>
        <v>0</v>
      </c>
      <c r="CH203" s="513">
        <f>IF(Assumptions!CH193&lt;&gt;"",Assumptions!CH193,0)</f>
        <v>0</v>
      </c>
      <c r="CI203" s="482">
        <f t="shared" si="725"/>
        <v>0</v>
      </c>
      <c r="CJ203" s="574">
        <f>IF(Assumptions!CJ193&lt;&gt;"",Assumptions!CJ193,0)</f>
        <v>0</v>
      </c>
      <c r="CK203" s="513">
        <f>IF(Assumptions!CK193&lt;&gt;"",Assumptions!CK193,0)</f>
        <v>0</v>
      </c>
      <c r="CL203" s="482">
        <f t="shared" si="726"/>
        <v>0</v>
      </c>
      <c r="CM203" s="574">
        <f>IF(Assumptions!CM193&lt;&gt;"",Assumptions!CM193,0)</f>
        <v>0</v>
      </c>
      <c r="CN203" s="513">
        <f>IF(Assumptions!CN193&lt;&gt;"",Assumptions!CN193,0)</f>
        <v>0</v>
      </c>
      <c r="CO203" s="482">
        <f t="shared" si="727"/>
        <v>0</v>
      </c>
      <c r="CP203" s="574">
        <f>IF(Assumptions!CP193&lt;&gt;"",Assumptions!CP193,0)</f>
        <v>0</v>
      </c>
      <c r="CQ203" s="513">
        <f>IF(Assumptions!CQ193&lt;&gt;"",Assumptions!CQ193,0)</f>
        <v>0</v>
      </c>
      <c r="CR203" s="482">
        <f t="shared" si="728"/>
        <v>0</v>
      </c>
      <c r="CS203" s="574">
        <f>IF(Assumptions!CS193&lt;&gt;"",Assumptions!CS193,0)</f>
        <v>0</v>
      </c>
      <c r="CT203" s="513">
        <f>IF(Assumptions!CT193&lt;&gt;"",Assumptions!CT193,0)</f>
        <v>0</v>
      </c>
      <c r="CU203" s="482">
        <f t="shared" si="729"/>
        <v>0</v>
      </c>
      <c r="CV203" s="574">
        <f>IF(Assumptions!CV193&lt;&gt;"",Assumptions!CV193,0)</f>
        <v>0</v>
      </c>
      <c r="CW203" s="513">
        <f>IF(Assumptions!CW193&lt;&gt;"",Assumptions!CW193,0)</f>
        <v>0</v>
      </c>
      <c r="CX203" s="482">
        <f t="shared" si="730"/>
        <v>0</v>
      </c>
      <c r="CY203" s="574">
        <f>IF(Assumptions!CY193&lt;&gt;"",Assumptions!CY193,0)</f>
        <v>0</v>
      </c>
      <c r="CZ203" s="513">
        <f>IF(Assumptions!CZ193&lt;&gt;"",Assumptions!CZ193,0)</f>
        <v>0</v>
      </c>
      <c r="DA203" s="482">
        <f t="shared" si="731"/>
        <v>0</v>
      </c>
      <c r="DB203" s="574">
        <f>IF(Assumptions!DB193&lt;&gt;"",Assumptions!DB193,0)</f>
        <v>0</v>
      </c>
      <c r="DC203" s="513">
        <f>IF(Assumptions!DC193&lt;&gt;"",Assumptions!DC193,0)</f>
        <v>0</v>
      </c>
      <c r="DD203" s="482">
        <f t="shared" si="732"/>
        <v>0</v>
      </c>
      <c r="DE203" s="574">
        <f>IF(Assumptions!DE193&lt;&gt;"",Assumptions!DE193,0)</f>
        <v>0</v>
      </c>
      <c r="DF203" s="513">
        <f>IF(Assumptions!DF193&lt;&gt;"",Assumptions!DF193,0)</f>
        <v>0</v>
      </c>
      <c r="DG203" s="482">
        <f t="shared" si="740"/>
        <v>0</v>
      </c>
      <c r="DH203" s="1277">
        <f>IF(Assumptions!DH193&lt;&gt;"",Assumptions!DH193,0)</f>
        <v>0</v>
      </c>
      <c r="DI203" s="482">
        <f>IF(Assumptions!DI193&lt;&gt;"",Assumptions!DI193,0)</f>
        <v>0</v>
      </c>
      <c r="DJ203" s="482">
        <f t="shared" si="733"/>
        <v>0</v>
      </c>
      <c r="DK203" s="1276">
        <f>IF(Assumptions!DK193&lt;&gt;"",Assumptions!DK193,0)</f>
        <v>0</v>
      </c>
      <c r="DL203" s="482">
        <f>IF(Assumptions!DL193&lt;&gt;"",Assumptions!DL193,0)</f>
        <v>0</v>
      </c>
      <c r="DM203" s="482">
        <f t="shared" si="734"/>
        <v>0</v>
      </c>
      <c r="DN203" s="1276">
        <f>IF(Assumptions!DN193&lt;&gt;"",Assumptions!DN193,0)</f>
        <v>0</v>
      </c>
      <c r="DO203" s="482">
        <f>IF(Assumptions!DO193&lt;&gt;"",Assumptions!DO193,0)</f>
        <v>0</v>
      </c>
      <c r="DP203" s="482">
        <f t="shared" si="735"/>
        <v>0</v>
      </c>
      <c r="DQ203" s="1276">
        <f>IF(Assumptions!DQ193&lt;&gt;"",Assumptions!DQ193,0)</f>
        <v>0</v>
      </c>
      <c r="DR203" s="482">
        <f>IF(Assumptions!DR193&lt;&gt;"",Assumptions!DR193,0)</f>
        <v>0</v>
      </c>
      <c r="DS203" s="482">
        <f t="shared" si="736"/>
        <v>0</v>
      </c>
      <c r="DT203" s="1276">
        <f>IF(Assumptions!DT193&lt;&gt;"",Assumptions!DT193,0)</f>
        <v>0</v>
      </c>
      <c r="DU203" s="482">
        <f>IF(Assumptions!DU193&lt;&gt;"",Assumptions!DU193,0)</f>
        <v>0</v>
      </c>
      <c r="DV203" s="482">
        <f t="shared" si="741"/>
        <v>0</v>
      </c>
      <c r="DW203" s="1276">
        <f>IF(Assumptions!DW193&lt;&gt;"",Assumptions!DW193,0)</f>
        <v>0</v>
      </c>
      <c r="DX203" s="482">
        <f>IF(Assumptions!DX193&lt;&gt;"",Assumptions!DX193,0)</f>
        <v>0</v>
      </c>
      <c r="DY203" s="482">
        <f t="shared" si="749"/>
        <v>0</v>
      </c>
      <c r="DZ203" s="1276">
        <f>IF(Assumptions!DZ193&lt;&gt;"",Assumptions!DZ193,0)</f>
        <v>0</v>
      </c>
      <c r="EA203" s="482">
        <f>IF(Assumptions!EA193&lt;&gt;"",Assumptions!EA193,0)</f>
        <v>0</v>
      </c>
      <c r="EB203" s="482">
        <f t="shared" si="738"/>
        <v>0</v>
      </c>
      <c r="EC203" s="1276">
        <f>IF(Assumptions!EC193&lt;&gt;"",Assumptions!EC193,0)</f>
        <v>0</v>
      </c>
      <c r="ED203" s="482">
        <f>IF(Assumptions!ED193&lt;&gt;"",Assumptions!ED193,0)</f>
        <v>0</v>
      </c>
      <c r="EE203" s="482">
        <f t="shared" si="739"/>
        <v>0</v>
      </c>
      <c r="EF203" s="1276">
        <f>IF(Assumptions!EF193&lt;&gt;"",Assumptions!EF193,0)</f>
        <v>0</v>
      </c>
      <c r="EG203" s="482">
        <f>IF(Assumptions!EG193&lt;&gt;"",Assumptions!EG193,0)</f>
        <v>0</v>
      </c>
      <c r="EH203" s="482">
        <f t="shared" si="742"/>
        <v>0</v>
      </c>
      <c r="EI203" s="1276">
        <f>IF(Assumptions!EI193&lt;&gt;"",Assumptions!EI193,0)</f>
        <v>0</v>
      </c>
      <c r="EJ203" s="482">
        <f>IF(Assumptions!EJ193&lt;&gt;"",Assumptions!EJ193,0)</f>
        <v>0</v>
      </c>
      <c r="EK203" s="482">
        <f t="shared" si="743"/>
        <v>0</v>
      </c>
      <c r="EL203" s="1276">
        <f>IF(Assumptions!EL193&lt;&gt;"",Assumptions!EL193,0)</f>
        <v>0</v>
      </c>
      <c r="EM203" s="482">
        <f>IF(Assumptions!EM193&lt;&gt;"",Assumptions!EM193,0)</f>
        <v>0</v>
      </c>
      <c r="EN203" s="482">
        <f t="shared" si="744"/>
        <v>0</v>
      </c>
      <c r="EO203" s="1276">
        <f>IF(Assumptions!EO193&lt;&gt;"",Assumptions!EO193,0)</f>
        <v>0</v>
      </c>
      <c r="EP203" s="482">
        <f>IF(Assumptions!EP193&lt;&gt;"",Assumptions!EP193,0)</f>
        <v>0</v>
      </c>
      <c r="EQ203" s="482">
        <f t="shared" si="745"/>
        <v>0</v>
      </c>
      <c r="ER203" s="1276">
        <f>IF(Assumptions!ER193&lt;&gt;"",Assumptions!ER193,0)</f>
        <v>0</v>
      </c>
      <c r="ES203" s="482">
        <f>IF(Assumptions!ES193&lt;&gt;"",Assumptions!ES193,0)</f>
        <v>0</v>
      </c>
      <c r="ET203" s="482">
        <f t="shared" si="746"/>
        <v>0</v>
      </c>
      <c r="EU203" s="1276">
        <f>IF(Assumptions!EU193&lt;&gt;"",Assumptions!EU193,0)</f>
        <v>0</v>
      </c>
      <c r="EV203" s="482">
        <f>IF(Assumptions!EV193&lt;&gt;"",Assumptions!EV193,0)</f>
        <v>0</v>
      </c>
      <c r="EW203" s="482">
        <f t="shared" si="747"/>
        <v>0</v>
      </c>
      <c r="EX203" s="1276">
        <f>IF(Assumptions!EX193&lt;&gt;"",Assumptions!EX193,0)</f>
        <v>0</v>
      </c>
      <c r="EY203" s="482">
        <f>IF(Assumptions!EY193&lt;&gt;"",Assumptions!EY193,0)</f>
        <v>0</v>
      </c>
      <c r="EZ203" s="482">
        <f t="shared" si="748"/>
        <v>0</v>
      </c>
      <c r="FA203" s="1276">
        <f>IF(Assumptions!FA193&lt;&gt;"",Assumptions!FA193,0)</f>
        <v>0</v>
      </c>
      <c r="FE203"/>
      <c r="FF203"/>
      <c r="FG203"/>
      <c r="FH203"/>
      <c r="FI203"/>
      <c r="FJ203"/>
      <c r="FK203" s="35"/>
    </row>
    <row r="204" spans="2:167" s="236" customFormat="1" ht="13.35" customHeight="1">
      <c r="B204" s="1483" t="s">
        <v>417</v>
      </c>
      <c r="C204" s="1483" t="s">
        <v>496</v>
      </c>
      <c r="D204" s="1484"/>
      <c r="E204" s="1488"/>
      <c r="F204" s="1485">
        <f t="shared" si="698"/>
        <v>0</v>
      </c>
      <c r="G204" s="1489"/>
      <c r="H204" s="1490"/>
      <c r="I204" s="1485">
        <f t="shared" si="699"/>
        <v>0</v>
      </c>
      <c r="J204" s="1489"/>
      <c r="K204" s="1490"/>
      <c r="L204" s="1485">
        <f t="shared" si="700"/>
        <v>0</v>
      </c>
      <c r="M204" s="1489"/>
      <c r="N204" s="1490"/>
      <c r="O204" s="1485">
        <f t="shared" si="701"/>
        <v>0</v>
      </c>
      <c r="P204" s="1489"/>
      <c r="Q204" s="1490"/>
      <c r="R204" s="1485">
        <f t="shared" si="702"/>
        <v>0</v>
      </c>
      <c r="S204" s="1489"/>
      <c r="T204" s="1490"/>
      <c r="U204" s="1485">
        <f t="shared" si="703"/>
        <v>0</v>
      </c>
      <c r="V204" s="1489"/>
      <c r="W204" s="1490"/>
      <c r="X204" s="1485">
        <f t="shared" si="704"/>
        <v>0</v>
      </c>
      <c r="Y204" s="1489"/>
      <c r="Z204" s="1490"/>
      <c r="AA204" s="1485">
        <f t="shared" si="705"/>
        <v>0</v>
      </c>
      <c r="AB204" s="1489"/>
      <c r="AC204" s="1490"/>
      <c r="AD204" s="1485">
        <f t="shared" si="706"/>
        <v>0</v>
      </c>
      <c r="AE204" s="1489"/>
      <c r="AF204" s="1490"/>
      <c r="AG204" s="1485">
        <f t="shared" si="707"/>
        <v>0</v>
      </c>
      <c r="AH204" s="1489"/>
      <c r="AI204" s="1490"/>
      <c r="AJ204" s="1485">
        <f t="shared" si="708"/>
        <v>0</v>
      </c>
      <c r="AK204" s="1489"/>
      <c r="AL204" s="1490"/>
      <c r="AM204" s="1485">
        <f t="shared" si="709"/>
        <v>0</v>
      </c>
      <c r="AN204" s="1489"/>
      <c r="AO204" s="1490"/>
      <c r="AP204" s="1485">
        <f t="shared" si="710"/>
        <v>0</v>
      </c>
      <c r="AQ204" s="1489"/>
      <c r="AR204" s="1490"/>
      <c r="AS204" s="1485">
        <f t="shared" si="711"/>
        <v>0</v>
      </c>
      <c r="AT204" s="1489"/>
      <c r="AU204" s="1490"/>
      <c r="AV204" s="1485">
        <f t="shared" si="712"/>
        <v>0</v>
      </c>
      <c r="AW204" s="1489"/>
      <c r="AX204" s="1491">
        <v>0</v>
      </c>
      <c r="AY204" s="1485">
        <f t="shared" si="713"/>
        <v>0</v>
      </c>
      <c r="AZ204" s="1492">
        <v>0</v>
      </c>
      <c r="BA204" s="1491">
        <v>0</v>
      </c>
      <c r="BB204" s="1485">
        <f t="shared" si="714"/>
        <v>0</v>
      </c>
      <c r="BC204" s="1492">
        <v>0</v>
      </c>
      <c r="BD204" s="1490">
        <f>IF(Assumptions!BD194&lt;&gt;"",Assumptions!BD194,0)</f>
        <v>0</v>
      </c>
      <c r="BE204" s="1485">
        <f t="shared" si="715"/>
        <v>0</v>
      </c>
      <c r="BF204" s="1489">
        <f>IF(Assumptions!BF194&lt;&gt;"",Assumptions!BF194,0)</f>
        <v>0</v>
      </c>
      <c r="BG204" s="1490">
        <f>IF(Assumptions!BG194&lt;&gt;"",Assumptions!BG194,0)</f>
        <v>0</v>
      </c>
      <c r="BH204" s="1485">
        <f t="shared" si="716"/>
        <v>0</v>
      </c>
      <c r="BI204" s="1489">
        <f>IF(Assumptions!BI194&lt;&gt;"",Assumptions!BI194,0)</f>
        <v>0</v>
      </c>
      <c r="BJ204" s="1490">
        <f>IF(Assumptions!BJ194&lt;&gt;"",Assumptions!BJ194,0)</f>
        <v>0</v>
      </c>
      <c r="BK204" s="1485">
        <f t="shared" si="717"/>
        <v>0</v>
      </c>
      <c r="BL204" s="1489">
        <f>IF(Assumptions!BL194&lt;&gt;"",Assumptions!BL194,0)</f>
        <v>0</v>
      </c>
      <c r="BM204" s="1490">
        <f>IF(Assumptions!BM194&lt;&gt;"",Assumptions!BM194,0)</f>
        <v>0</v>
      </c>
      <c r="BN204" s="1485">
        <f t="shared" si="718"/>
        <v>0</v>
      </c>
      <c r="BO204" s="1493">
        <f>IF(Assumptions!BO194&lt;&gt;"",Assumptions!BO194,0)</f>
        <v>0</v>
      </c>
      <c r="BP204" s="1491">
        <v>0</v>
      </c>
      <c r="BQ204" s="1485">
        <f t="shared" si="719"/>
        <v>0</v>
      </c>
      <c r="BR204" s="1493">
        <f>IF(Assumptions!BR194&lt;&gt;"",Assumptions!BR194,0)</f>
        <v>0</v>
      </c>
      <c r="BS204" s="1490">
        <f>IF(Assumptions!BS194&lt;&gt;"",Assumptions!BS194,0)</f>
        <v>0</v>
      </c>
      <c r="BT204" s="1485">
        <f t="shared" si="720"/>
        <v>0</v>
      </c>
      <c r="BU204" s="1493">
        <f>IF(Assumptions!BU194&lt;&gt;"",Assumptions!BU194,0)</f>
        <v>0</v>
      </c>
      <c r="BV204" s="1490">
        <f>IF(Assumptions!BV194&lt;&gt;"",Assumptions!BV194,0)</f>
        <v>0</v>
      </c>
      <c r="BW204" s="1485">
        <f t="shared" si="721"/>
        <v>0</v>
      </c>
      <c r="BX204" s="1493">
        <f>IF(Assumptions!BX194&lt;&gt;"",Assumptions!BX194,0)</f>
        <v>0</v>
      </c>
      <c r="BY204" s="1490">
        <f>IF(Assumptions!BY194&lt;&gt;"",Assumptions!BY194,0)</f>
        <v>0</v>
      </c>
      <c r="BZ204" s="1485">
        <f t="shared" si="722"/>
        <v>0</v>
      </c>
      <c r="CA204" s="1493">
        <f>IF(Assumptions!CA194&lt;&gt;"",Assumptions!CA194,0)</f>
        <v>0</v>
      </c>
      <c r="CB204" s="1490">
        <f>IF(Assumptions!CB194&lt;&gt;"",Assumptions!CB194,0)</f>
        <v>0</v>
      </c>
      <c r="CC204" s="1485">
        <f t="shared" si="723"/>
        <v>0</v>
      </c>
      <c r="CD204" s="1493">
        <f>IF(Assumptions!CD194&lt;&gt;"",Assumptions!CD194,0)</f>
        <v>0</v>
      </c>
      <c r="CE204" s="1490">
        <f>IF(Assumptions!CE194&lt;&gt;"",Assumptions!CE194,0)</f>
        <v>0</v>
      </c>
      <c r="CF204" s="1485">
        <f t="shared" si="724"/>
        <v>0</v>
      </c>
      <c r="CG204" s="1493">
        <f>IF(Assumptions!CG194&lt;&gt;"",Assumptions!CG194,0)</f>
        <v>0</v>
      </c>
      <c r="CH204" s="1490">
        <f>IF(Assumptions!CH194&lt;&gt;"",Assumptions!CH194,0)</f>
        <v>0</v>
      </c>
      <c r="CI204" s="1485">
        <f t="shared" si="725"/>
        <v>0</v>
      </c>
      <c r="CJ204" s="1493">
        <f>IF(Assumptions!CJ194&lt;&gt;"",Assumptions!CJ194,0)</f>
        <v>0</v>
      </c>
      <c r="CK204" s="1490">
        <f>IF(Assumptions!CK194&lt;&gt;"",Assumptions!CK194,0)</f>
        <v>0</v>
      </c>
      <c r="CL204" s="1485">
        <f t="shared" si="726"/>
        <v>0</v>
      </c>
      <c r="CM204" s="1493">
        <f>IF(Assumptions!CM194&lt;&gt;"",Assumptions!CM194,0)</f>
        <v>0</v>
      </c>
      <c r="CN204" s="1490">
        <f>IF(Assumptions!CN194&lt;&gt;"",Assumptions!CN194,0)</f>
        <v>0</v>
      </c>
      <c r="CO204" s="1485">
        <f t="shared" si="727"/>
        <v>0</v>
      </c>
      <c r="CP204" s="1493">
        <f>IF(Assumptions!CP194&lt;&gt;"",Assumptions!CP194,0)</f>
        <v>0</v>
      </c>
      <c r="CQ204" s="1490">
        <f>IF(Assumptions!CQ194&lt;&gt;"",Assumptions!CQ194,0)</f>
        <v>0</v>
      </c>
      <c r="CR204" s="1485">
        <f t="shared" si="728"/>
        <v>0</v>
      </c>
      <c r="CS204" s="1493">
        <f>IF(Assumptions!CS194&lt;&gt;"",Assumptions!CS194,0)</f>
        <v>0</v>
      </c>
      <c r="CT204" s="1490">
        <f>IF(Assumptions!CT194&lt;&gt;"",Assumptions!CT194,0)</f>
        <v>0</v>
      </c>
      <c r="CU204" s="1485">
        <f t="shared" si="729"/>
        <v>0</v>
      </c>
      <c r="CV204" s="1493">
        <f>IF(Assumptions!CV194&lt;&gt;"",Assumptions!CV194,0)</f>
        <v>0</v>
      </c>
      <c r="CW204" s="1490">
        <f>IF(Assumptions!CW194&lt;&gt;"",Assumptions!CW194,0)</f>
        <v>0</v>
      </c>
      <c r="CX204" s="1485">
        <f t="shared" si="730"/>
        <v>0</v>
      </c>
      <c r="CY204" s="1493">
        <f>IF(Assumptions!CY194&lt;&gt;"",Assumptions!CY194,0)</f>
        <v>0</v>
      </c>
      <c r="CZ204" s="1490">
        <f>IF(Assumptions!CZ194&lt;&gt;"",Assumptions!CZ194,0)</f>
        <v>0</v>
      </c>
      <c r="DA204" s="1485">
        <f t="shared" si="731"/>
        <v>0</v>
      </c>
      <c r="DB204" s="1493">
        <f>IF(Assumptions!DB194&lt;&gt;"",Assumptions!DB194,0)</f>
        <v>0</v>
      </c>
      <c r="DC204" s="1490">
        <f>IF(Assumptions!DC194&lt;&gt;"",Assumptions!DC194,0)</f>
        <v>0</v>
      </c>
      <c r="DD204" s="1485">
        <f t="shared" si="732"/>
        <v>0</v>
      </c>
      <c r="DE204" s="1493">
        <f>IF(Assumptions!DE194&lt;&gt;"",Assumptions!DE194,0)</f>
        <v>0</v>
      </c>
      <c r="DF204" s="1490">
        <f>IF(Assumptions!DF194&lt;&gt;"",Assumptions!DF194,0)</f>
        <v>0</v>
      </c>
      <c r="DG204" s="1485">
        <f t="shared" si="740"/>
        <v>-365</v>
      </c>
      <c r="DH204" s="1517">
        <v>-365</v>
      </c>
      <c r="DI204" s="1485">
        <v>340</v>
      </c>
      <c r="DJ204" s="1485">
        <f t="shared" si="733"/>
        <v>25</v>
      </c>
      <c r="DK204" s="1494">
        <v>365</v>
      </c>
      <c r="DL204" s="1485">
        <f>IF(Assumptions!DL194&lt;&gt;"",Assumptions!DL194,0)</f>
        <v>0</v>
      </c>
      <c r="DM204" s="1485">
        <f t="shared" si="734"/>
        <v>0</v>
      </c>
      <c r="DN204" s="1494">
        <f>IF(Assumptions!DN194&lt;&gt;"",Assumptions!DN194,0)</f>
        <v>0</v>
      </c>
      <c r="DO204" s="1485">
        <f>IF(Assumptions!DO194&lt;&gt;"",Assumptions!DO194,0)</f>
        <v>0</v>
      </c>
      <c r="DP204" s="1485">
        <f t="shared" si="735"/>
        <v>0</v>
      </c>
      <c r="DQ204" s="1494">
        <f>IF(Assumptions!DQ194&lt;&gt;"",Assumptions!DQ194,0)</f>
        <v>0</v>
      </c>
      <c r="DR204" s="1485">
        <f>IF(Assumptions!DR194&lt;&gt;"",Assumptions!DR194,0)</f>
        <v>0</v>
      </c>
      <c r="DS204" s="1485">
        <f t="shared" si="736"/>
        <v>0</v>
      </c>
      <c r="DT204" s="1494">
        <f>IF(Assumptions!DT194&lt;&gt;"",Assumptions!DT194,0)</f>
        <v>0</v>
      </c>
      <c r="DU204" s="1485">
        <f>IF(Assumptions!DU194&lt;&gt;"",Assumptions!DU194,0)</f>
        <v>0</v>
      </c>
      <c r="DV204" s="1485">
        <f t="shared" si="741"/>
        <v>0</v>
      </c>
      <c r="DW204" s="1494">
        <f>IF(Assumptions!DW194&lt;&gt;"",Assumptions!DW194,0)</f>
        <v>0</v>
      </c>
      <c r="DX204" s="1485">
        <f>IF(Assumptions!DX194&lt;&gt;"",Assumptions!DX194,0)</f>
        <v>0</v>
      </c>
      <c r="DY204" s="1485">
        <f t="shared" si="749"/>
        <v>0</v>
      </c>
      <c r="DZ204" s="1494">
        <f>IF(Assumptions!DZ194&lt;&gt;"",Assumptions!DZ194,0)</f>
        <v>0</v>
      </c>
      <c r="EA204" s="1485">
        <f>IF(Assumptions!EA194&lt;&gt;"",Assumptions!EA194,0)</f>
        <v>0</v>
      </c>
      <c r="EB204" s="1485">
        <f t="shared" si="738"/>
        <v>0</v>
      </c>
      <c r="EC204" s="1494">
        <f>IF(Assumptions!EC194&lt;&gt;"",Assumptions!EC194,0)</f>
        <v>0</v>
      </c>
      <c r="ED204" s="1485">
        <f>IF(Assumptions!ED194&lt;&gt;"",Assumptions!ED194,0)</f>
        <v>0</v>
      </c>
      <c r="EE204" s="1485">
        <f t="shared" si="739"/>
        <v>0</v>
      </c>
      <c r="EF204" s="1494">
        <f>IF(Assumptions!EF194&lt;&gt;"",Assumptions!EF194,0)</f>
        <v>0</v>
      </c>
      <c r="EG204" s="1485">
        <f>IF(Assumptions!EG194&lt;&gt;"",Assumptions!EG194,0)</f>
        <v>0</v>
      </c>
      <c r="EH204" s="1485">
        <f t="shared" si="742"/>
        <v>0</v>
      </c>
      <c r="EI204" s="1494">
        <f>IF(Assumptions!EI194&lt;&gt;"",Assumptions!EI194,0)</f>
        <v>0</v>
      </c>
      <c r="EJ204" s="1485">
        <f>IF(Assumptions!EJ194&lt;&gt;"",Assumptions!EJ194,0)</f>
        <v>0</v>
      </c>
      <c r="EK204" s="1485">
        <f t="shared" si="743"/>
        <v>0</v>
      </c>
      <c r="EL204" s="1494">
        <f>IF(Assumptions!EL194&lt;&gt;"",Assumptions!EL194,0)</f>
        <v>0</v>
      </c>
      <c r="EM204" s="1485">
        <f>IF(Assumptions!EM194&lt;&gt;"",Assumptions!EM194,0)</f>
        <v>0</v>
      </c>
      <c r="EN204" s="1485">
        <f t="shared" si="744"/>
        <v>0</v>
      </c>
      <c r="EO204" s="1494">
        <f>IF(Assumptions!EO194&lt;&gt;"",Assumptions!EO194,0)</f>
        <v>0</v>
      </c>
      <c r="EP204" s="1485">
        <f>IF(Assumptions!EP194&lt;&gt;"",Assumptions!EP194,0)</f>
        <v>0</v>
      </c>
      <c r="EQ204" s="1485">
        <f t="shared" si="745"/>
        <v>0</v>
      </c>
      <c r="ER204" s="1494">
        <f>IF(Assumptions!ER194&lt;&gt;"",Assumptions!ER194,0)</f>
        <v>0</v>
      </c>
      <c r="ES204" s="1485">
        <f>IF(Assumptions!ES194&lt;&gt;"",Assumptions!ES194,0)</f>
        <v>0</v>
      </c>
      <c r="ET204" s="1485">
        <f t="shared" si="746"/>
        <v>0</v>
      </c>
      <c r="EU204" s="1494">
        <f>IF(Assumptions!EU194&lt;&gt;"",Assumptions!EU194,0)</f>
        <v>0</v>
      </c>
      <c r="EV204" s="1485">
        <f>IF(Assumptions!EV194&lt;&gt;"",Assumptions!EV194,0)</f>
        <v>0</v>
      </c>
      <c r="EW204" s="1485">
        <f t="shared" si="747"/>
        <v>0</v>
      </c>
      <c r="EX204" s="1494">
        <f>IF(Assumptions!EX194&lt;&gt;"",Assumptions!EX194,0)</f>
        <v>0</v>
      </c>
      <c r="EY204" s="1485">
        <f>IF(Assumptions!EY194&lt;&gt;"",Assumptions!EY194,0)</f>
        <v>0</v>
      </c>
      <c r="EZ204" s="1485">
        <f t="shared" si="748"/>
        <v>0</v>
      </c>
      <c r="FA204" s="1494">
        <f>IF(Assumptions!FA194&lt;&gt;"",Assumptions!FA194,0)</f>
        <v>0</v>
      </c>
      <c r="FE204"/>
      <c r="FF204"/>
      <c r="FG204"/>
      <c r="FH204"/>
      <c r="FI204"/>
      <c r="FJ204"/>
      <c r="FK204" s="35"/>
    </row>
    <row r="205" spans="2:167" s="236" customFormat="1" ht="13.35" customHeight="1">
      <c r="B205" s="444" t="s">
        <v>418</v>
      </c>
      <c r="C205" s="444" t="s">
        <v>496</v>
      </c>
      <c r="D205" s="1474"/>
      <c r="E205" s="562">
        <f>+E189+E192+E193+E196+E199+E203+E204</f>
        <v>0</v>
      </c>
      <c r="F205" s="562">
        <f t="shared" si="698"/>
        <v>0</v>
      </c>
      <c r="G205" s="562">
        <f>+G189+G192+G193+G196+G199+G203+G204</f>
        <v>0</v>
      </c>
      <c r="H205" s="562">
        <f>+H189+H192+H193+H196+H199+H203+H204</f>
        <v>0</v>
      </c>
      <c r="I205" s="562">
        <f t="shared" si="699"/>
        <v>0</v>
      </c>
      <c r="J205" s="562">
        <f>+J189+J192+J193+J196+J199+J203+J204</f>
        <v>0</v>
      </c>
      <c r="K205" s="562">
        <f>+K189+K192+K193+K196+K199+K203+K204</f>
        <v>0</v>
      </c>
      <c r="L205" s="562">
        <f t="shared" si="700"/>
        <v>0</v>
      </c>
      <c r="M205" s="562">
        <f>+M189+M192+M193+M196+M199+M203+M204</f>
        <v>0</v>
      </c>
      <c r="N205" s="562">
        <f>+N189+N192+N193+N196+N199+N203+N204</f>
        <v>0</v>
      </c>
      <c r="O205" s="562">
        <f t="shared" si="701"/>
        <v>0</v>
      </c>
      <c r="P205" s="562">
        <f>+P189+P192+P193+P196+P199+P203+P204</f>
        <v>0</v>
      </c>
      <c r="Q205" s="562">
        <f>+Q189+Q192+Q193+Q196+Q199+Q203+Q204</f>
        <v>0</v>
      </c>
      <c r="R205" s="562">
        <f t="shared" si="702"/>
        <v>0</v>
      </c>
      <c r="S205" s="562">
        <f>+S189+S192+S193+S196+S199+S203+S204</f>
        <v>0</v>
      </c>
      <c r="T205" s="562">
        <f>+T189+T192+T193+T196+T199+T203+T204</f>
        <v>0</v>
      </c>
      <c r="U205" s="562">
        <f t="shared" si="703"/>
        <v>0</v>
      </c>
      <c r="V205" s="562">
        <f>+V189+V192+V193+V196+V199+V203+V204</f>
        <v>0</v>
      </c>
      <c r="W205" s="562">
        <f>+W189+W192+W193+W196+W199+W203+W204</f>
        <v>0</v>
      </c>
      <c r="X205" s="562">
        <f t="shared" si="704"/>
        <v>0</v>
      </c>
      <c r="Y205" s="562">
        <f>+Y189+Y192+Y193+Y196+Y199+Y203+Y204</f>
        <v>0</v>
      </c>
      <c r="Z205" s="562">
        <f>+Z189+Z192+Z193+Z196+Z199+Z203+Z204</f>
        <v>0</v>
      </c>
      <c r="AA205" s="562">
        <f t="shared" si="705"/>
        <v>0</v>
      </c>
      <c r="AB205" s="562">
        <f>+AB189+AB192+AB193+AB196+AB199+AB203+AB204</f>
        <v>0</v>
      </c>
      <c r="AC205" s="562">
        <f>+AC189+AC192+AC193+AC196+AC199+AC203+AC204</f>
        <v>0</v>
      </c>
      <c r="AD205" s="562">
        <f t="shared" si="706"/>
        <v>0</v>
      </c>
      <c r="AE205" s="562">
        <f>+AE189+AE192+AE193+AE196+AE199+AE203+AE204</f>
        <v>0</v>
      </c>
      <c r="AF205" s="562">
        <f>+AF189+AF192+AF193+AF196+AF199+AF203+AF204</f>
        <v>0</v>
      </c>
      <c r="AG205" s="562">
        <f t="shared" si="707"/>
        <v>0</v>
      </c>
      <c r="AH205" s="562">
        <f>+AH189+AH192+AH193+AH196+AH199+AH203+AH204</f>
        <v>0</v>
      </c>
      <c r="AI205" s="562">
        <f>+AI189+AI192+AI193+AI196+AI199+AI203+AI204</f>
        <v>0</v>
      </c>
      <c r="AJ205" s="562">
        <f t="shared" si="708"/>
        <v>0</v>
      </c>
      <c r="AK205" s="562">
        <f>+AK189+AK192+AK193+AK196+AK199+AK203+AK204</f>
        <v>0</v>
      </c>
      <c r="AL205" s="562">
        <f>+AL189+AL192+AL193+AL196+AL199+AL203+AL204</f>
        <v>-0.49299999999999999</v>
      </c>
      <c r="AM205" s="562">
        <f t="shared" si="709"/>
        <v>-0.94200000000000006</v>
      </c>
      <c r="AN205" s="562">
        <f>+AN189+AN192+AN193+AN196+AN199+AN203+AN204</f>
        <v>-1.4350000000000001</v>
      </c>
      <c r="AO205" s="562">
        <f>+AO189+AO192+AO193+AO196+AO199+AO203+AO204</f>
        <v>-1.0249999999999999</v>
      </c>
      <c r="AP205" s="562">
        <f t="shared" si="710"/>
        <v>-0.98099999999999987</v>
      </c>
      <c r="AQ205" s="562">
        <f>+AQ189+AQ192+AQ193+AQ196+AQ199+AQ203+AQ204</f>
        <v>-2.0059999999999998</v>
      </c>
      <c r="AR205" s="562">
        <f>+AR189+AR192+AR193+AR196+AR199+AR203+AR204</f>
        <v>-1.0349999999999999</v>
      </c>
      <c r="AS205" s="562">
        <f t="shared" si="711"/>
        <v>-1.1879999999999999</v>
      </c>
      <c r="AT205" s="562">
        <f>+AT189+AT192+AT193+AT196+AT199+AT203+AT204</f>
        <v>-2.2229999999999999</v>
      </c>
      <c r="AU205" s="562">
        <f>+AU189+AU192+AU193+AU196+AU199+AU203+AU204</f>
        <v>-2.29</v>
      </c>
      <c r="AV205" s="562">
        <f t="shared" si="712"/>
        <v>-1.9880000000000004</v>
      </c>
      <c r="AW205" s="562">
        <f>+AW189+AW192+AW193+AW196+AW199+AW203+AW204</f>
        <v>-4.2780000000000005</v>
      </c>
      <c r="AX205" s="562">
        <f>+AX189+AX192+AX193+AX196+AX199+AX203+AX204</f>
        <v>-3.524</v>
      </c>
      <c r="AY205" s="562">
        <f t="shared" si="713"/>
        <v>-2.242</v>
      </c>
      <c r="AZ205" s="562">
        <f>+AZ189+AZ192+AZ193+AZ196+AZ199+AZ203+AZ204</f>
        <v>-5.766</v>
      </c>
      <c r="BA205" s="562">
        <f>+BA189+BA192+BA193+BA196+BA199+BA203+BA204</f>
        <v>-2.9460000000000002</v>
      </c>
      <c r="BB205" s="562">
        <f t="shared" si="714"/>
        <v>-2.5909999999999997</v>
      </c>
      <c r="BC205" s="562">
        <f>+BC189+BC192+BC193+BC196+BC199+BC203+BC204</f>
        <v>-5.5369999999999999</v>
      </c>
      <c r="BD205" s="562">
        <f>+BD189+BD192+BD193+BD196+BD199+BD203+BD204</f>
        <v>-5.5949999999999998</v>
      </c>
      <c r="BE205" s="562">
        <f t="shared" si="715"/>
        <v>-11.535</v>
      </c>
      <c r="BF205" s="562">
        <f>+BF189+BF192+BF193+BF196+BF199+BF203+BF204</f>
        <v>-17.13</v>
      </c>
      <c r="BG205" s="562">
        <f>+BG189+BG192+BG193+BG196+BG199+BG203+BG204</f>
        <v>-7.8120000000000003</v>
      </c>
      <c r="BH205" s="562">
        <f t="shared" si="716"/>
        <v>-2.6870000000000003</v>
      </c>
      <c r="BI205" s="562">
        <f>+BI189+BI192+BI193+BI196+BI199+BI203+BI204</f>
        <v>-10.499000000000001</v>
      </c>
      <c r="BJ205" s="562">
        <f>+BJ189+BJ192+BJ193+BJ196+BJ199+BJ203+BJ204</f>
        <v>-8.4060000000000006</v>
      </c>
      <c r="BK205" s="562">
        <f t="shared" si="717"/>
        <v>-4.854000000000001</v>
      </c>
      <c r="BL205" s="562">
        <f>+BL189+BL192+BL193+BL196+BL199+BL203+BL204</f>
        <v>-13.260000000000002</v>
      </c>
      <c r="BM205" s="562">
        <f>+BM189+BM192+BM193+BM196+BM199+BM203+BM204</f>
        <v>-19.98</v>
      </c>
      <c r="BN205" s="562">
        <f t="shared" si="718"/>
        <v>-188.01600000000002</v>
      </c>
      <c r="BO205" s="562">
        <f>+BO189+BO192+BO193+BO196+BO199+BO203+BO204</f>
        <v>-207.99600000000001</v>
      </c>
      <c r="BP205" s="562">
        <f>+BP189+BP192+BP193+BP196+BP199+BP203+BP204</f>
        <v>-4.1020000000000003</v>
      </c>
      <c r="BQ205" s="562">
        <f t="shared" si="719"/>
        <v>-10.540000000000001</v>
      </c>
      <c r="BR205" s="562">
        <f>+BR189+BR192+BR193+BR196+BR199+BR203+BR204</f>
        <v>-14.642000000000001</v>
      </c>
      <c r="BS205" s="562">
        <f>+BS189+BS192+BS193+BS196+BS199+BS203+BS204</f>
        <v>-14.87</v>
      </c>
      <c r="BT205" s="562">
        <f t="shared" si="720"/>
        <v>-22.257000000000005</v>
      </c>
      <c r="BU205" s="562">
        <f>+BU189+BU192+BU193+BU196+BU199+BU203+BU204</f>
        <v>-37.127000000000002</v>
      </c>
      <c r="BV205" s="562">
        <f>+BV189+BV192+BV193+BV196+BV199+BV203+BV204</f>
        <v>-25.618000000000002</v>
      </c>
      <c r="BW205" s="562">
        <f t="shared" si="721"/>
        <v>-13.824999999999996</v>
      </c>
      <c r="BX205" s="562">
        <f>+BX189+BX192+BX193+BX196+BX199+BX203+BX204</f>
        <v>-39.442999999999998</v>
      </c>
      <c r="BY205" s="562">
        <f>+BY189+BY192+BY193+BY196+BY199+BY203+BY204</f>
        <v>-10.117000000000001</v>
      </c>
      <c r="BZ205" s="562">
        <f t="shared" si="722"/>
        <v>-36.394999999999996</v>
      </c>
      <c r="CA205" s="562">
        <f>+CA189+CA192+CA193+CA196+CA199+CA203+CA204</f>
        <v>-46.512</v>
      </c>
      <c r="CB205" s="562">
        <f>+CB189+CB192+CB193+CB196+CB199+CB203+CB204</f>
        <v>-36.707000000000001</v>
      </c>
      <c r="CC205" s="562">
        <f t="shared" si="723"/>
        <v>-55.66599999999999</v>
      </c>
      <c r="CD205" s="562">
        <f>+CD189+CD192+CD193+CD196+CD199+CD203+CD204</f>
        <v>-92.37299999999999</v>
      </c>
      <c r="CE205" s="562">
        <f>+CE189+CE192+CE193+CE196+CE199+CE203+CE204</f>
        <v>66.568999999999988</v>
      </c>
      <c r="CF205" s="562">
        <f t="shared" si="724"/>
        <v>-26.780999999999999</v>
      </c>
      <c r="CG205" s="562">
        <f>+CG189+CG192+CG193+CG196+CG199+CG203+CG204</f>
        <v>39.78799999999999</v>
      </c>
      <c r="CH205" s="562">
        <f>+CH189+CH192+CH193+CH196+CH199+CH203+CH204</f>
        <v>-17.268000000000001</v>
      </c>
      <c r="CI205" s="562">
        <f t="shared" si="725"/>
        <v>-20.175999999999995</v>
      </c>
      <c r="CJ205" s="562">
        <f>+CJ189+CJ192+CJ193+CJ196+CJ199+CJ203+CJ204</f>
        <v>-37.443999999999996</v>
      </c>
      <c r="CK205" s="562">
        <f>+CK189+CK192+CK193+CK196+CK199+CK203+CK204</f>
        <v>-30.501000000000001</v>
      </c>
      <c r="CL205" s="562">
        <f t="shared" si="726"/>
        <v>-19.918000000000003</v>
      </c>
      <c r="CM205" s="562">
        <f>+CM189+CM192+CM193+CM196+CM199+CM203+CM204</f>
        <v>-50.419000000000004</v>
      </c>
      <c r="CN205" s="562">
        <f>+CN189+CN192+CN193+CN196+CN199+CN203+CN204</f>
        <v>-13.907999999999999</v>
      </c>
      <c r="CO205" s="562">
        <f t="shared" si="727"/>
        <v>-18.037999999999997</v>
      </c>
      <c r="CP205" s="562">
        <f>+CP189+CP192+CP193+CP196+CP199+CP203+CP204</f>
        <v>-31.945999999999998</v>
      </c>
      <c r="CQ205" s="562">
        <f>+CQ189+CQ192+CQ193+CQ196+CQ199+CQ203+CQ204</f>
        <v>-10.451000000000001</v>
      </c>
      <c r="CR205" s="562">
        <f t="shared" si="728"/>
        <v>-17.975999999999999</v>
      </c>
      <c r="CS205" s="562">
        <f>+CS189+CS192+CS193+CS196+CS199+CS203+CS204</f>
        <v>-28.427</v>
      </c>
      <c r="CT205" s="562">
        <f>+CT189+CT192+CT193+CT196+CT199+CT203+CT204</f>
        <v>-16.760999999999999</v>
      </c>
      <c r="CU205" s="562">
        <f t="shared" si="729"/>
        <v>-33.373000000000005</v>
      </c>
      <c r="CV205" s="562">
        <f>+CV189+CV192+CV193+CV196+CV199+CV203+CV204</f>
        <v>-50.134</v>
      </c>
      <c r="CW205" s="562">
        <f>+CW189+CW192+CW193+CW196+CW199+CW203+CW204</f>
        <v>-17.186999999999998</v>
      </c>
      <c r="CX205" s="562">
        <f t="shared" si="730"/>
        <v>-118.413</v>
      </c>
      <c r="CY205" s="562">
        <f>+CY189+CY192+CY193+CY196+CY199+CY203+CY204</f>
        <v>-135.6</v>
      </c>
      <c r="CZ205" s="562">
        <f>+CZ189+CZ192+CZ193+CZ196+CZ199+CZ203+CZ204</f>
        <v>-19.899999999999999</v>
      </c>
      <c r="DA205" s="562">
        <f t="shared" si="731"/>
        <v>-35.500000000000007</v>
      </c>
      <c r="DB205" s="562">
        <f>+DB189+DB192+DB193+DB196+DB199+DB203+DB204</f>
        <v>-55.400000000000006</v>
      </c>
      <c r="DC205" s="562">
        <f>+DC189+DC192+DC193+DC196+DC199+DC203+DC204</f>
        <v>-65.600000000000009</v>
      </c>
      <c r="DD205" s="562">
        <f t="shared" si="732"/>
        <v>-72.2</v>
      </c>
      <c r="DE205" s="562">
        <f>+DE189+DE192+DE193+DE196+DE199+DE203+DE204</f>
        <v>-137.80000000000001</v>
      </c>
      <c r="DF205" s="562">
        <f>+DF189+DF192+DF193+DF196+DF199+DF203+DF204</f>
        <v>-60.599999999999994</v>
      </c>
      <c r="DG205" s="562">
        <f t="shared" si="740"/>
        <v>-449.1</v>
      </c>
      <c r="DH205" s="1274">
        <f>+DH189+DH192+DH193+DH196+DH199+DH203+DH204</f>
        <v>-509.70000000000005</v>
      </c>
      <c r="DI205" s="562">
        <f>+DI189+DI192+DI193+DI196+DI199+DI203+DI204</f>
        <v>289.10000000000002</v>
      </c>
      <c r="DJ205" s="562">
        <f t="shared" si="733"/>
        <v>-9.2000000000000455</v>
      </c>
      <c r="DK205" s="1274">
        <f>+DK189+DK192+DK193+DK196+DK199+DK203+DK204</f>
        <v>279.89999999999998</v>
      </c>
      <c r="DL205" s="562">
        <f>+DL189+DL192+DL193+DL196+DL199+DL203+DL204</f>
        <v>-80.400000000000006</v>
      </c>
      <c r="DM205" s="562">
        <f t="shared" si="734"/>
        <v>-58.5</v>
      </c>
      <c r="DN205" s="1274">
        <f>+DN189+DN192+DN193+DN196+DN199+DN203+DN204</f>
        <v>-138.9</v>
      </c>
      <c r="DO205" s="562">
        <f>+DO189+DO192+DO193+DO196+DO199+DO203+DO204</f>
        <v>-108</v>
      </c>
      <c r="DP205" s="562">
        <f t="shared" si="735"/>
        <v>-17.700000000000003</v>
      </c>
      <c r="DQ205" s="1274">
        <f>+DQ189+DQ192+DQ193+DQ196+DQ199+DQ203+DQ204</f>
        <v>-125.7</v>
      </c>
      <c r="DR205" s="562">
        <f>+DR189+DR192+DR193+DR196+DR199+DR203+DR204</f>
        <v>-47.800000000000004</v>
      </c>
      <c r="DS205" s="562">
        <f t="shared" si="736"/>
        <v>-57.9</v>
      </c>
      <c r="DT205" s="1274">
        <f>+DT189+DT192+DT193+DT196+DT199+DT203+DT204</f>
        <v>-105.7</v>
      </c>
      <c r="DU205" s="562">
        <f>+DU189+DU192+DU193+DU196+DU199+DU203+DU204</f>
        <v>-51.2</v>
      </c>
      <c r="DV205" s="562">
        <f t="shared" si="741"/>
        <v>-63.999999999999986</v>
      </c>
      <c r="DW205" s="1274">
        <f>+DW189+DW192+DW193+DW196+DW199+DW203+DW204</f>
        <v>-115.19999999999999</v>
      </c>
      <c r="DX205" s="562">
        <f>+DX189+DX192+DX193+DX196+DX199+DX203+DX204</f>
        <v>-54.099999999999994</v>
      </c>
      <c r="DY205" s="562">
        <f>+DY189+DY192+DY193+DY196+DY199+DY203+DY204</f>
        <v>-61.749015898373408</v>
      </c>
      <c r="DZ205" s="1274">
        <f>SUM(DX205:DY205)</f>
        <v>-115.84901589837341</v>
      </c>
      <c r="EA205" s="562">
        <f>+EA189+EA192+EA193+EA196+EA199+EA203+EA204</f>
        <v>-54.290355966718408</v>
      </c>
      <c r="EB205" s="562">
        <f t="shared" si="738"/>
        <v>-55.963009729802948</v>
      </c>
      <c r="EC205" s="1274">
        <f>+EC189+EC192+EC193+EC196+EC199+EC203+EC204</f>
        <v>-110.25336569652136</v>
      </c>
      <c r="ED205" s="562">
        <f>+ED189+ED192+ED193+ED196+ED199+ED203+ED204</f>
        <v>-56.579521263865018</v>
      </c>
      <c r="EE205" s="562">
        <f t="shared" si="739"/>
        <v>-58.329685573182502</v>
      </c>
      <c r="EF205" s="1274">
        <f>+EF189+EF192+EF193+EF196+EF199+EF203+EF204</f>
        <v>-114.90920683704752</v>
      </c>
      <c r="EG205" s="562">
        <f>+EG189+EG192+EG193+EG196+EG199+EG203+EG204</f>
        <v>-61.671678177612861</v>
      </c>
      <c r="EH205" s="562">
        <f t="shared" si="742"/>
        <v>-63.579357274768924</v>
      </c>
      <c r="EI205" s="1274">
        <f>+EI189+EI192+EI193+EI196+EI199+EI203+EI204</f>
        <v>-125.25103545238179</v>
      </c>
      <c r="EJ205" s="562">
        <f>+EJ189+EJ192+EJ193+EJ196+EJ199+EJ203+EJ204</f>
        <v>-67.222129213598024</v>
      </c>
      <c r="EK205" s="562">
        <f t="shared" si="743"/>
        <v>-69.301499429498122</v>
      </c>
      <c r="EL205" s="1274">
        <f>+EL189+EL192+EL193+EL196+EL199+EL203+EL204</f>
        <v>-136.52362864309615</v>
      </c>
      <c r="EM205" s="562">
        <f>+EM189+EM192+EM193+EM196+EM199+EM203+EM204</f>
        <v>-73.272120842821849</v>
      </c>
      <c r="EN205" s="562">
        <f t="shared" si="744"/>
        <v>-75.538634378152992</v>
      </c>
      <c r="EO205" s="1274">
        <f>+EO189+EO192+EO193+EO196+EO199+EO203+EO204</f>
        <v>-148.81075522097484</v>
      </c>
      <c r="EP205" s="562">
        <f>+EP189+EP192+EP193+EP196+EP199+EP203+EP204</f>
        <v>-79.866611718675827</v>
      </c>
      <c r="EQ205" s="562">
        <f t="shared" si="745"/>
        <v>-82.337111472186749</v>
      </c>
      <c r="ER205" s="1274">
        <f>+ER189+ER192+ER193+ER196+ER199+ER203+ER204</f>
        <v>-162.20372319086258</v>
      </c>
      <c r="ES205" s="562">
        <f>+ES189+ES192+ES193+ES196+ES199+ES203+ES204</f>
        <v>-87.054606773356667</v>
      </c>
      <c r="ET205" s="562">
        <f t="shared" si="746"/>
        <v>-89.747451504683553</v>
      </c>
      <c r="EU205" s="1274">
        <f>+EU189+EU192+EU193+EU196+EU199+EU203+EU204</f>
        <v>-176.80205827804022</v>
      </c>
      <c r="EV205" s="562">
        <f>+EV189+EV192+EV193+EV196+EV199+EV203+EV204</f>
        <v>-94.889521382958776</v>
      </c>
      <c r="EW205" s="562">
        <f t="shared" si="747"/>
        <v>-97.824722140105081</v>
      </c>
      <c r="EX205" s="1274">
        <f>+EX189+EX192+EX193+EX196+EX199+EX203+EX204</f>
        <v>-192.71424352306386</v>
      </c>
      <c r="EY205" s="562">
        <f>+EY189+EY192+EY193+EY196+EY199+EY203+EY204</f>
        <v>-103.42957830742506</v>
      </c>
      <c r="EZ205" s="562">
        <f t="shared" si="748"/>
        <v>-106.62894713271456</v>
      </c>
      <c r="FA205" s="1274">
        <f>+FA189+FA192+FA193+FA196+FA199+FA203+FA204</f>
        <v>-210.05852544013962</v>
      </c>
      <c r="FE205"/>
      <c r="FF205"/>
      <c r="FG205"/>
      <c r="FH205"/>
      <c r="FI205"/>
      <c r="FJ205"/>
      <c r="FK205" s="35"/>
    </row>
    <row r="206" spans="2:167" s="236" customFormat="1" ht="13.35" customHeight="1" thickBot="1">
      <c r="B206" s="242" t="s">
        <v>419</v>
      </c>
      <c r="C206" s="242" t="s">
        <v>496</v>
      </c>
      <c r="D206" s="243"/>
      <c r="E206" s="482">
        <f>+SUM(E207:E208)</f>
        <v>0</v>
      </c>
      <c r="F206" s="482">
        <f t="shared" si="698"/>
        <v>0</v>
      </c>
      <c r="G206" s="482">
        <f>+SUM(G207:G208)</f>
        <v>0</v>
      </c>
      <c r="H206" s="482">
        <f>+SUM(H207:H208)</f>
        <v>0</v>
      </c>
      <c r="I206" s="482">
        <f t="shared" si="699"/>
        <v>0</v>
      </c>
      <c r="J206" s="482">
        <f>+SUM(J207:J208)</f>
        <v>0</v>
      </c>
      <c r="K206" s="482">
        <f>+SUM(K207:K208)</f>
        <v>0</v>
      </c>
      <c r="L206" s="482">
        <f t="shared" si="700"/>
        <v>0</v>
      </c>
      <c r="M206" s="482">
        <f>+SUM(M207:M208)</f>
        <v>0</v>
      </c>
      <c r="N206" s="482">
        <f>+SUM(N207:N208)</f>
        <v>0</v>
      </c>
      <c r="O206" s="482">
        <f t="shared" si="701"/>
        <v>0</v>
      </c>
      <c r="P206" s="482">
        <f>+SUM(P207:P208)</f>
        <v>0</v>
      </c>
      <c r="Q206" s="482">
        <f>+SUM(Q207:Q208)</f>
        <v>0</v>
      </c>
      <c r="R206" s="482">
        <f t="shared" si="702"/>
        <v>0</v>
      </c>
      <c r="S206" s="482">
        <f>+SUM(S207:S208)</f>
        <v>0</v>
      </c>
      <c r="T206" s="482">
        <f>+SUM(T207:T208)</f>
        <v>0</v>
      </c>
      <c r="U206" s="482">
        <f t="shared" si="703"/>
        <v>0</v>
      </c>
      <c r="V206" s="482">
        <f>+SUM(V207:V208)</f>
        <v>0</v>
      </c>
      <c r="W206" s="482">
        <f>+SUM(W207:W208)</f>
        <v>0</v>
      </c>
      <c r="X206" s="482">
        <f t="shared" si="704"/>
        <v>0</v>
      </c>
      <c r="Y206" s="482">
        <f>+SUM(Y207:Y208)</f>
        <v>0</v>
      </c>
      <c r="Z206" s="482">
        <f>+SUM(Z207:Z208)</f>
        <v>0</v>
      </c>
      <c r="AA206" s="482">
        <f t="shared" si="705"/>
        <v>0</v>
      </c>
      <c r="AB206" s="482">
        <f>+SUM(AB207:AB208)</f>
        <v>0</v>
      </c>
      <c r="AC206" s="482">
        <f>+SUM(AC207:AC208)</f>
        <v>0</v>
      </c>
      <c r="AD206" s="482">
        <f t="shared" si="706"/>
        <v>0</v>
      </c>
      <c r="AE206" s="482">
        <f>+SUM(AE207:AE208)</f>
        <v>0</v>
      </c>
      <c r="AF206" s="482">
        <f>+SUM(AF207:AF208)</f>
        <v>0</v>
      </c>
      <c r="AG206" s="482">
        <f t="shared" si="707"/>
        <v>0</v>
      </c>
      <c r="AH206" s="482">
        <f>+SUM(AH207:AH208)</f>
        <v>0</v>
      </c>
      <c r="AI206" s="482">
        <f>+SUM(AI207:AI208)</f>
        <v>0</v>
      </c>
      <c r="AJ206" s="482">
        <f t="shared" si="708"/>
        <v>0</v>
      </c>
      <c r="AK206" s="482">
        <f>+SUM(AK207:AK208)</f>
        <v>0</v>
      </c>
      <c r="AL206" s="482">
        <f>+SUM(AL207:AL208)</f>
        <v>0</v>
      </c>
      <c r="AM206" s="482">
        <f t="shared" si="709"/>
        <v>0</v>
      </c>
      <c r="AN206" s="482">
        <f>+SUM(AN207:AN208)</f>
        <v>0</v>
      </c>
      <c r="AO206" s="482">
        <f>+SUM(AO207:AO208)</f>
        <v>0</v>
      </c>
      <c r="AP206" s="482">
        <f t="shared" si="710"/>
        <v>0</v>
      </c>
      <c r="AQ206" s="482">
        <f>+SUM(AQ207:AQ208)</f>
        <v>0</v>
      </c>
      <c r="AR206" s="482">
        <f>+SUM(AR207:AR208)</f>
        <v>0</v>
      </c>
      <c r="AS206" s="482">
        <f t="shared" si="711"/>
        <v>0</v>
      </c>
      <c r="AT206" s="482">
        <f>+SUM(AT207:AT208)</f>
        <v>0</v>
      </c>
      <c r="AU206" s="482">
        <f>+SUM(AU207:AU208)</f>
        <v>1.383</v>
      </c>
      <c r="AV206" s="482">
        <f t="shared" si="712"/>
        <v>0</v>
      </c>
      <c r="AW206" s="482">
        <f>+SUM(AW207:AW208)</f>
        <v>1.383</v>
      </c>
      <c r="AX206" s="482">
        <f>+SUM(AX207:AX208)</f>
        <v>1.5469999999999999</v>
      </c>
      <c r="AY206" s="482">
        <f t="shared" si="713"/>
        <v>3.400000000000003E-2</v>
      </c>
      <c r="AZ206" s="482">
        <f>+SUM(AZ207:AZ208)</f>
        <v>1.581</v>
      </c>
      <c r="BA206" s="482">
        <f>+SUM(BA207:BA208)</f>
        <v>2.919</v>
      </c>
      <c r="BB206" s="482">
        <f t="shared" si="714"/>
        <v>0</v>
      </c>
      <c r="BC206" s="482">
        <f>+SUM(BC207:BC208)</f>
        <v>2.919</v>
      </c>
      <c r="BD206" s="482">
        <f>+SUM(BD207:BD208)</f>
        <v>4.0759999999999996</v>
      </c>
      <c r="BE206" s="482">
        <f t="shared" si="715"/>
        <v>0</v>
      </c>
      <c r="BF206" s="482">
        <f>+SUM(BF207:BF208)</f>
        <v>4.0759999999999996</v>
      </c>
      <c r="BG206" s="482">
        <f>+SUM(BG207:BG208)</f>
        <v>8.1300000000000008</v>
      </c>
      <c r="BH206" s="482">
        <f t="shared" si="716"/>
        <v>0</v>
      </c>
      <c r="BI206" s="482">
        <f>+SUM(BI207:BI208)</f>
        <v>8.1300000000000008</v>
      </c>
      <c r="BJ206" s="482">
        <f>+SUM(BJ207:BJ208)</f>
        <v>27.657</v>
      </c>
      <c r="BK206" s="482">
        <f t="shared" si="717"/>
        <v>0</v>
      </c>
      <c r="BL206" s="482">
        <f>+SUM(BL207:BL208)</f>
        <v>27.657</v>
      </c>
      <c r="BM206" s="482">
        <f>+SUM(BM207:BM208)</f>
        <v>0</v>
      </c>
      <c r="BN206" s="482">
        <f t="shared" si="718"/>
        <v>0</v>
      </c>
      <c r="BO206" s="482">
        <f>+SUM(BO207:BO208)</f>
        <v>0</v>
      </c>
      <c r="BP206" s="482">
        <f>+SUM(BP207:BP208)</f>
        <v>0</v>
      </c>
      <c r="BQ206" s="482">
        <f t="shared" si="719"/>
        <v>17.288</v>
      </c>
      <c r="BR206" s="482">
        <f>+SUM(BR207:BR208)</f>
        <v>17.288</v>
      </c>
      <c r="BS206" s="482">
        <f>+SUM(BS207:BS208)</f>
        <v>3.335</v>
      </c>
      <c r="BT206" s="482">
        <f t="shared" si="720"/>
        <v>0</v>
      </c>
      <c r="BU206" s="482">
        <f>+SUM(BU207:BU208)</f>
        <v>3.335</v>
      </c>
      <c r="BV206" s="482">
        <f>+SUM(BV207:BV208)</f>
        <v>12.973000000000001</v>
      </c>
      <c r="BW206" s="482">
        <f t="shared" si="721"/>
        <v>9.9999999999944578E-4</v>
      </c>
      <c r="BX206" s="482">
        <f>+SUM(BX207:BX208)</f>
        <v>12.974</v>
      </c>
      <c r="BY206" s="482">
        <f>+SUM(BY207:BY208)</f>
        <v>14.413</v>
      </c>
      <c r="BZ206" s="482">
        <f t="shared" si="722"/>
        <v>4.9999999999998934E-2</v>
      </c>
      <c r="CA206" s="482">
        <f>+SUM(CA207:CA208)</f>
        <v>14.462999999999999</v>
      </c>
      <c r="CB206" s="482">
        <f>+SUM(CB207:CB208)</f>
        <v>12.516999999999999</v>
      </c>
      <c r="CC206" s="482">
        <f t="shared" si="723"/>
        <v>7.0640000000000001</v>
      </c>
      <c r="CD206" s="482">
        <f>+SUM(CD207:CD208)</f>
        <v>19.581</v>
      </c>
      <c r="CE206" s="482">
        <f>+SUM(CE207:CE208)</f>
        <v>5.4880000000000004</v>
      </c>
      <c r="CF206" s="482">
        <f t="shared" si="724"/>
        <v>-2.7670000000000003</v>
      </c>
      <c r="CG206" s="482">
        <f>+SUM(CG207:CG208)</f>
        <v>2.7210000000000001</v>
      </c>
      <c r="CH206" s="482">
        <f>+SUM(CH207:CH208)</f>
        <v>1.534</v>
      </c>
      <c r="CI206" s="482">
        <f t="shared" si="725"/>
        <v>-0.13500000000000001</v>
      </c>
      <c r="CJ206" s="482">
        <f>+SUM(CJ207:CJ208)</f>
        <v>1.399</v>
      </c>
      <c r="CK206" s="482">
        <f>+SUM(CK207:CK208)</f>
        <v>-2.69</v>
      </c>
      <c r="CL206" s="482">
        <f t="shared" si="726"/>
        <v>0.34200000000000008</v>
      </c>
      <c r="CM206" s="482">
        <f>+SUM(CM207:CM208)</f>
        <v>-2.3479999999999999</v>
      </c>
      <c r="CN206" s="482">
        <f>+SUM(CN207:CN208)</f>
        <v>0</v>
      </c>
      <c r="CO206" s="482">
        <f t="shared" si="727"/>
        <v>0</v>
      </c>
      <c r="CP206" s="482">
        <f>+SUM(CP207:CP208)</f>
        <v>0</v>
      </c>
      <c r="CQ206" s="482">
        <f>+SUM(CQ207:CQ208)</f>
        <v>0</v>
      </c>
      <c r="CR206" s="482">
        <f t="shared" si="728"/>
        <v>0</v>
      </c>
      <c r="CS206" s="482">
        <f>+SUM(CS207:CS208)</f>
        <v>0</v>
      </c>
      <c r="CT206" s="482">
        <f>+SUM(CT207:CT208)</f>
        <v>0</v>
      </c>
      <c r="CU206" s="482">
        <f t="shared" si="729"/>
        <v>0</v>
      </c>
      <c r="CV206" s="482">
        <f>+SUM(CV207:CV208)</f>
        <v>0</v>
      </c>
      <c r="CW206" s="482">
        <f>+SUM(CW207:CW208)</f>
        <v>9.0079999999999991</v>
      </c>
      <c r="CX206" s="482">
        <f t="shared" si="730"/>
        <v>-9.0079999999999991</v>
      </c>
      <c r="CY206" s="482">
        <f>+SUM(CY207:CY208)</f>
        <v>0</v>
      </c>
      <c r="CZ206" s="482">
        <f>+SUM(CZ207:CZ208)</f>
        <v>0</v>
      </c>
      <c r="DA206" s="482">
        <f t="shared" si="731"/>
        <v>0</v>
      </c>
      <c r="DB206" s="482">
        <f>+SUM(DB207:DB208)</f>
        <v>0</v>
      </c>
      <c r="DC206" s="482">
        <f>+SUM(DC207:DC208)</f>
        <v>0</v>
      </c>
      <c r="DD206" s="482">
        <f t="shared" si="732"/>
        <v>0</v>
      </c>
      <c r="DE206" s="482">
        <f>+SUM(DE207:DE208)</f>
        <v>0</v>
      </c>
      <c r="DF206" s="482">
        <f>+SUM(DF207:DF208)</f>
        <v>0</v>
      </c>
      <c r="DG206" s="482">
        <f t="shared" si="740"/>
        <v>1075.6000000000001</v>
      </c>
      <c r="DH206" s="1244">
        <f>+SUM(DH207:DH208)</f>
        <v>1075.6000000000001</v>
      </c>
      <c r="DI206" s="482">
        <f>+SUM(DI207:DI208)</f>
        <v>2</v>
      </c>
      <c r="DJ206" s="482">
        <f t="shared" si="733"/>
        <v>0.39999999999999991</v>
      </c>
      <c r="DK206" s="1244">
        <f>+SUM(DK207:DK208)</f>
        <v>2.4</v>
      </c>
      <c r="DL206" s="482">
        <f>+SUM(DL207:DL208)</f>
        <v>-1.2</v>
      </c>
      <c r="DM206" s="482">
        <f t="shared" si="734"/>
        <v>9.9999999999999867E-2</v>
      </c>
      <c r="DN206" s="1244">
        <f>+SUM(DN207:DN208)</f>
        <v>-1.1000000000000001</v>
      </c>
      <c r="DO206" s="482">
        <f>+SUM(DO207:DO208)</f>
        <v>0</v>
      </c>
      <c r="DP206" s="482">
        <f t="shared" si="735"/>
        <v>-10.7</v>
      </c>
      <c r="DQ206" s="1244">
        <f>+SUM(DQ207:DQ208)</f>
        <v>-10.7</v>
      </c>
      <c r="DR206" s="482">
        <f>+SUM(DR207:DR208)</f>
        <v>-2.5</v>
      </c>
      <c r="DS206" s="482">
        <f t="shared" si="736"/>
        <v>-0.29999999999999982</v>
      </c>
      <c r="DT206" s="1244">
        <f>+SUM(DT207:DT208)</f>
        <v>-2.8</v>
      </c>
      <c r="DU206" s="482">
        <f>+SUM(DU207:DU208)</f>
        <v>-43.6</v>
      </c>
      <c r="DV206" s="482">
        <f t="shared" si="741"/>
        <v>-9</v>
      </c>
      <c r="DW206" s="1244">
        <f>+SUM(DW207:DW208)</f>
        <v>-52.6</v>
      </c>
      <c r="DX206" s="482">
        <f>+SUM(DX207:DX208)</f>
        <v>-23.6</v>
      </c>
      <c r="DY206" s="482">
        <f>+SUM(DY207:DY208)</f>
        <v>-37.5</v>
      </c>
      <c r="DZ206" s="1244">
        <f>SUM(DX206:DY206)</f>
        <v>-61.1</v>
      </c>
      <c r="EA206" s="482">
        <f>+SUM(EA207:EA208)</f>
        <v>-50</v>
      </c>
      <c r="EB206" s="482">
        <f t="shared" si="738"/>
        <v>-50</v>
      </c>
      <c r="EC206" s="1244">
        <f>+SUM(EC207:EC208)</f>
        <v>-100</v>
      </c>
      <c r="ED206" s="482">
        <f>+SUM(ED207:ED208)</f>
        <v>-50</v>
      </c>
      <c r="EE206" s="482">
        <f t="shared" si="739"/>
        <v>-50</v>
      </c>
      <c r="EF206" s="1244">
        <f>+SUM(EF207:EF208)</f>
        <v>-100</v>
      </c>
      <c r="EG206" s="482">
        <f>+SUM(EG207:EG208)</f>
        <v>-50</v>
      </c>
      <c r="EH206" s="482">
        <f t="shared" si="742"/>
        <v>-50</v>
      </c>
      <c r="EI206" s="1244">
        <f>+SUM(EI207:EI208)</f>
        <v>-100</v>
      </c>
      <c r="EJ206" s="482">
        <f>+SUM(EJ207:EJ208)</f>
        <v>0</v>
      </c>
      <c r="EK206" s="482">
        <f t="shared" si="743"/>
        <v>0</v>
      </c>
      <c r="EL206" s="1244">
        <f>+SUM(EL207:EL208)</f>
        <v>0</v>
      </c>
      <c r="EM206" s="482">
        <f>+SUM(EM207:EM208)</f>
        <v>0</v>
      </c>
      <c r="EN206" s="482">
        <f t="shared" si="744"/>
        <v>0</v>
      </c>
      <c r="EO206" s="1244">
        <f>+SUM(EO207:EO208)</f>
        <v>0</v>
      </c>
      <c r="EP206" s="482">
        <f>+SUM(EP207:EP208)</f>
        <v>0</v>
      </c>
      <c r="EQ206" s="482">
        <f t="shared" si="745"/>
        <v>0</v>
      </c>
      <c r="ER206" s="1244">
        <f>+SUM(ER207:ER208)</f>
        <v>0</v>
      </c>
      <c r="ES206" s="482">
        <f>+SUM(ES207:ES208)</f>
        <v>0</v>
      </c>
      <c r="ET206" s="482">
        <f t="shared" si="746"/>
        <v>0</v>
      </c>
      <c r="EU206" s="1244">
        <f>+SUM(EU207:EU208)</f>
        <v>0</v>
      </c>
      <c r="EV206" s="482">
        <f>+SUM(EV207:EV208)</f>
        <v>0</v>
      </c>
      <c r="EW206" s="482">
        <f t="shared" si="747"/>
        <v>0</v>
      </c>
      <c r="EX206" s="1244">
        <f>+SUM(EX207:EX208)</f>
        <v>0</v>
      </c>
      <c r="EY206" s="482">
        <f>+SUM(EY207:EY208)</f>
        <v>0</v>
      </c>
      <c r="EZ206" s="482">
        <f t="shared" si="748"/>
        <v>0</v>
      </c>
      <c r="FA206" s="1244">
        <f>+SUM(FA207:FA208)</f>
        <v>0</v>
      </c>
      <c r="FE206"/>
      <c r="FF206"/>
      <c r="FG206"/>
      <c r="FH206"/>
      <c r="FI206"/>
      <c r="FJ206"/>
      <c r="FK206" s="35"/>
    </row>
    <row r="207" spans="2:167" s="236" customFormat="1" ht="13.35" customHeight="1" outlineLevel="1">
      <c r="B207" s="242" t="s">
        <v>816</v>
      </c>
      <c r="C207" s="242" t="s">
        <v>496</v>
      </c>
      <c r="D207" s="243"/>
      <c r="E207" s="511"/>
      <c r="F207" s="510">
        <f t="shared" si="698"/>
        <v>0</v>
      </c>
      <c r="G207" s="571"/>
      <c r="H207" s="513"/>
      <c r="I207" s="510">
        <f t="shared" si="699"/>
        <v>0</v>
      </c>
      <c r="J207" s="571"/>
      <c r="K207" s="513"/>
      <c r="L207" s="510">
        <f t="shared" si="700"/>
        <v>0</v>
      </c>
      <c r="M207" s="571"/>
      <c r="N207" s="513"/>
      <c r="O207" s="510">
        <f t="shared" si="701"/>
        <v>0</v>
      </c>
      <c r="P207" s="571"/>
      <c r="Q207" s="513"/>
      <c r="R207" s="510">
        <f t="shared" si="702"/>
        <v>0</v>
      </c>
      <c r="S207" s="571"/>
      <c r="T207" s="513"/>
      <c r="U207" s="510">
        <f t="shared" si="703"/>
        <v>0</v>
      </c>
      <c r="V207" s="571"/>
      <c r="W207" s="513"/>
      <c r="X207" s="510">
        <f t="shared" si="704"/>
        <v>0</v>
      </c>
      <c r="Y207" s="571"/>
      <c r="Z207" s="513"/>
      <c r="AA207" s="510">
        <f t="shared" si="705"/>
        <v>0</v>
      </c>
      <c r="AB207" s="571"/>
      <c r="AC207" s="513"/>
      <c r="AD207" s="510">
        <f t="shared" si="706"/>
        <v>0</v>
      </c>
      <c r="AE207" s="571"/>
      <c r="AF207" s="513"/>
      <c r="AG207" s="510">
        <f t="shared" si="707"/>
        <v>0</v>
      </c>
      <c r="AH207" s="571"/>
      <c r="AI207" s="513"/>
      <c r="AJ207" s="510">
        <f t="shared" si="708"/>
        <v>0</v>
      </c>
      <c r="AK207" s="571"/>
      <c r="AL207" s="513"/>
      <c r="AM207" s="510">
        <f t="shared" si="709"/>
        <v>0</v>
      </c>
      <c r="AN207" s="571"/>
      <c r="AO207" s="513"/>
      <c r="AP207" s="510">
        <f t="shared" si="710"/>
        <v>0</v>
      </c>
      <c r="AQ207" s="571"/>
      <c r="AR207" s="513"/>
      <c r="AS207" s="510">
        <f t="shared" si="711"/>
        <v>0</v>
      </c>
      <c r="AT207" s="571"/>
      <c r="AU207" s="514">
        <v>1.383</v>
      </c>
      <c r="AV207" s="510">
        <f t="shared" si="712"/>
        <v>0</v>
      </c>
      <c r="AW207" s="572">
        <v>1.383</v>
      </c>
      <c r="AX207" s="514">
        <v>1.5469999999999999</v>
      </c>
      <c r="AY207" s="510">
        <f t="shared" si="713"/>
        <v>3.400000000000003E-2</v>
      </c>
      <c r="AZ207" s="572">
        <v>1.581</v>
      </c>
      <c r="BA207" s="514">
        <v>2.919</v>
      </c>
      <c r="BB207" s="510">
        <f t="shared" si="714"/>
        <v>0</v>
      </c>
      <c r="BC207" s="572">
        <v>2.919</v>
      </c>
      <c r="BD207" s="514">
        <v>4.0759999999999996</v>
      </c>
      <c r="BE207" s="510">
        <f t="shared" si="715"/>
        <v>0</v>
      </c>
      <c r="BF207" s="572">
        <v>4.0759999999999996</v>
      </c>
      <c r="BG207" s="514">
        <v>8.1300000000000008</v>
      </c>
      <c r="BH207" s="510">
        <f t="shared" si="716"/>
        <v>0</v>
      </c>
      <c r="BI207" s="571">
        <f>8.13</f>
        <v>8.1300000000000008</v>
      </c>
      <c r="BJ207" s="514">
        <v>27.657</v>
      </c>
      <c r="BK207" s="510">
        <f t="shared" si="717"/>
        <v>0</v>
      </c>
      <c r="BL207" s="572">
        <v>27.657</v>
      </c>
      <c r="BM207" s="514">
        <v>0</v>
      </c>
      <c r="BN207" s="510">
        <f t="shared" si="718"/>
        <v>0</v>
      </c>
      <c r="BO207" s="574">
        <f>IF(Assumptions!BO197&lt;&gt;"",Assumptions!BO197,0)</f>
        <v>0</v>
      </c>
      <c r="BP207" s="513">
        <f>IF(Assumptions!BP197&lt;&gt;"",Assumptions!BP197,0)</f>
        <v>0</v>
      </c>
      <c r="BQ207" s="510">
        <f t="shared" si="719"/>
        <v>17.288</v>
      </c>
      <c r="BR207" s="584">
        <v>17.288</v>
      </c>
      <c r="BS207" s="514">
        <v>3.335</v>
      </c>
      <c r="BT207" s="510">
        <f t="shared" si="720"/>
        <v>0</v>
      </c>
      <c r="BU207" s="584">
        <v>3.335</v>
      </c>
      <c r="BV207" s="514">
        <v>12.973000000000001</v>
      </c>
      <c r="BW207" s="510">
        <f t="shared" si="721"/>
        <v>9.9999999999944578E-4</v>
      </c>
      <c r="BX207" s="584">
        <v>12.974</v>
      </c>
      <c r="BY207" s="514">
        <v>14.413</v>
      </c>
      <c r="BZ207" s="510">
        <f t="shared" si="722"/>
        <v>4.9999999999998934E-2</v>
      </c>
      <c r="CA207" s="584">
        <v>14.462999999999999</v>
      </c>
      <c r="CB207" s="514">
        <v>12.516999999999999</v>
      </c>
      <c r="CC207" s="510">
        <f t="shared" si="723"/>
        <v>7.0640000000000001</v>
      </c>
      <c r="CD207" s="584">
        <v>19.581</v>
      </c>
      <c r="CE207" s="514">
        <v>5.4880000000000004</v>
      </c>
      <c r="CF207" s="510">
        <f t="shared" si="724"/>
        <v>-2.7670000000000003</v>
      </c>
      <c r="CG207" s="584">
        <v>2.7210000000000001</v>
      </c>
      <c r="CH207" s="514">
        <v>1.534</v>
      </c>
      <c r="CI207" s="510">
        <f t="shared" si="725"/>
        <v>-0.13500000000000001</v>
      </c>
      <c r="CJ207" s="584">
        <v>1.399</v>
      </c>
      <c r="CK207" s="514">
        <v>-2.69</v>
      </c>
      <c r="CL207" s="510">
        <f t="shared" si="726"/>
        <v>0.34200000000000008</v>
      </c>
      <c r="CM207" s="584">
        <v>-2.3479999999999999</v>
      </c>
      <c r="CN207" s="513">
        <f>IF(Assumptions!CN197&lt;&gt;"",Assumptions!CN197,0)</f>
        <v>0</v>
      </c>
      <c r="CO207" s="510">
        <f t="shared" si="727"/>
        <v>0</v>
      </c>
      <c r="CP207" s="574">
        <f>IF(Assumptions!CP197&lt;&gt;"",Assumptions!CP197,0)</f>
        <v>0</v>
      </c>
      <c r="CQ207" s="513">
        <f>IF(Assumptions!CQ197&lt;&gt;"",Assumptions!CQ197,0)</f>
        <v>0</v>
      </c>
      <c r="CR207" s="510">
        <f t="shared" si="728"/>
        <v>0</v>
      </c>
      <c r="CS207" s="574">
        <f>IF(Assumptions!CS197&lt;&gt;"",Assumptions!CS197,0)</f>
        <v>0</v>
      </c>
      <c r="CT207" s="513">
        <f>IF(Assumptions!CT197&lt;&gt;"",Assumptions!CT197,0)</f>
        <v>0</v>
      </c>
      <c r="CU207" s="510">
        <f t="shared" si="729"/>
        <v>0</v>
      </c>
      <c r="CV207" s="574">
        <f>IF(Assumptions!CV197&lt;&gt;"",Assumptions!CV197,0)</f>
        <v>0</v>
      </c>
      <c r="CW207" s="514">
        <v>9.0079999999999991</v>
      </c>
      <c r="CX207" s="510">
        <f t="shared" si="730"/>
        <v>-9.0079999999999991</v>
      </c>
      <c r="CY207" s="574">
        <f>IF(Assumptions!CY197&lt;&gt;"",Assumptions!CY197,0)</f>
        <v>0</v>
      </c>
      <c r="CZ207" s="513">
        <f>IF(Assumptions!CZ197&lt;&gt;"",Assumptions!CZ197,0)</f>
        <v>0</v>
      </c>
      <c r="DA207" s="510">
        <f t="shared" si="731"/>
        <v>0</v>
      </c>
      <c r="DB207" s="574">
        <f>IF(Assumptions!DB197&lt;&gt;"",Assumptions!DB197,0)</f>
        <v>0</v>
      </c>
      <c r="DC207" s="513">
        <f>IF(Assumptions!DC197&lt;&gt;"",Assumptions!DC197,0)</f>
        <v>0</v>
      </c>
      <c r="DD207" s="510">
        <f t="shared" si="732"/>
        <v>0</v>
      </c>
      <c r="DE207" s="574">
        <f>IF(Assumptions!DE197&lt;&gt;"",Assumptions!DE197,0)</f>
        <v>0</v>
      </c>
      <c r="DF207" s="513">
        <f>IF(Assumptions!DF197&lt;&gt;"",Assumptions!DF197,0)</f>
        <v>0</v>
      </c>
      <c r="DG207" s="510">
        <f t="shared" si="740"/>
        <v>1075.6000000000001</v>
      </c>
      <c r="DH207" s="1277">
        <f>856.2+219.4</f>
        <v>1075.6000000000001</v>
      </c>
      <c r="DI207" s="1373">
        <v>2</v>
      </c>
      <c r="DJ207" s="482">
        <f t="shared" si="733"/>
        <v>0.39999999999999991</v>
      </c>
      <c r="DK207" s="1366">
        <v>2.4</v>
      </c>
      <c r="DL207" s="1373">
        <v>-1.2</v>
      </c>
      <c r="DM207" s="482">
        <f t="shared" si="734"/>
        <v>9.9999999999999867E-2</v>
      </c>
      <c r="DN207" s="1366">
        <v>-1.1000000000000001</v>
      </c>
      <c r="DO207" s="1373">
        <v>0</v>
      </c>
      <c r="DP207" s="482">
        <f t="shared" si="735"/>
        <v>-10.7</v>
      </c>
      <c r="DQ207" s="1366">
        <v>-10.7</v>
      </c>
      <c r="DR207" s="1373">
        <v>-2.5</v>
      </c>
      <c r="DS207" s="482">
        <f t="shared" si="736"/>
        <v>-0.29999999999999982</v>
      </c>
      <c r="DT207" s="1366">
        <v>-2.8</v>
      </c>
      <c r="DU207" s="1373">
        <f>-24.3-19.3</f>
        <v>-43.6</v>
      </c>
      <c r="DV207" s="482">
        <f t="shared" si="741"/>
        <v>-9</v>
      </c>
      <c r="DW207" s="1366">
        <f>-24.3-28.3</f>
        <v>-52.6</v>
      </c>
      <c r="DX207" s="1373">
        <f>-23.5-0.1</f>
        <v>-23.6</v>
      </c>
      <c r="DY207" s="482">
        <v>-37.5</v>
      </c>
      <c r="DZ207" s="1276">
        <f>+SUM(DX207:DY207)</f>
        <v>-61.1</v>
      </c>
      <c r="EA207" s="482">
        <v>-50</v>
      </c>
      <c r="EB207" s="482">
        <f>+EA207</f>
        <v>-50</v>
      </c>
      <c r="EC207" s="1276">
        <f>+SUM(EA207:EB207)</f>
        <v>-100</v>
      </c>
      <c r="ED207" s="482">
        <v>-50</v>
      </c>
      <c r="EE207" s="482">
        <f>+ED207</f>
        <v>-50</v>
      </c>
      <c r="EF207" s="1276">
        <f>+SUM(ED207:EE207)</f>
        <v>-100</v>
      </c>
      <c r="EG207" s="482">
        <v>-50</v>
      </c>
      <c r="EH207" s="482">
        <f>+EG207</f>
        <v>-50</v>
      </c>
      <c r="EI207" s="1276">
        <f>+SUM(EG207:EH207)</f>
        <v>-100</v>
      </c>
      <c r="EJ207" s="482">
        <f>IF(Assumptions!EJ197&lt;&gt;"",Assumptions!EJ197,0)</f>
        <v>0</v>
      </c>
      <c r="EK207" s="482">
        <f t="shared" si="743"/>
        <v>0</v>
      </c>
      <c r="EL207" s="1276">
        <f>IF(Assumptions!EL197&lt;&gt;"",Assumptions!EL197,0)</f>
        <v>0</v>
      </c>
      <c r="EM207" s="482">
        <f>IF(Assumptions!EM197&lt;&gt;"",Assumptions!EM197,0)</f>
        <v>0</v>
      </c>
      <c r="EN207" s="482">
        <f t="shared" si="744"/>
        <v>0</v>
      </c>
      <c r="EO207" s="1276">
        <f>IF(Assumptions!EO197&lt;&gt;"",Assumptions!EO197,0)</f>
        <v>0</v>
      </c>
      <c r="EP207" s="482">
        <f>IF(Assumptions!EP197&lt;&gt;"",Assumptions!EP197,0)</f>
        <v>0</v>
      </c>
      <c r="EQ207" s="482">
        <f t="shared" si="745"/>
        <v>0</v>
      </c>
      <c r="ER207" s="1276">
        <f>IF(Assumptions!ER197&lt;&gt;"",Assumptions!ER197,0)</f>
        <v>0</v>
      </c>
      <c r="ES207" s="482">
        <f>IF(Assumptions!ES197&lt;&gt;"",Assumptions!ES197,0)</f>
        <v>0</v>
      </c>
      <c r="ET207" s="482">
        <f t="shared" si="746"/>
        <v>0</v>
      </c>
      <c r="EU207" s="1276">
        <f>IF(Assumptions!EU197&lt;&gt;"",Assumptions!EU197,0)</f>
        <v>0</v>
      </c>
      <c r="EV207" s="482">
        <f>IF(Assumptions!EV197&lt;&gt;"",Assumptions!EV197,0)</f>
        <v>0</v>
      </c>
      <c r="EW207" s="482">
        <f t="shared" si="747"/>
        <v>0</v>
      </c>
      <c r="EX207" s="1276">
        <f>IF(Assumptions!EX197&lt;&gt;"",Assumptions!EX197,0)</f>
        <v>0</v>
      </c>
      <c r="EY207" s="482">
        <f>IF(Assumptions!EY197&lt;&gt;"",Assumptions!EY197,0)</f>
        <v>0</v>
      </c>
      <c r="EZ207" s="482">
        <f t="shared" si="748"/>
        <v>0</v>
      </c>
      <c r="FA207" s="1276">
        <f>IF(Assumptions!FA197&lt;&gt;"",Assumptions!FA197,0)</f>
        <v>0</v>
      </c>
      <c r="FE207"/>
      <c r="FF207"/>
      <c r="FG207"/>
      <c r="FH207"/>
      <c r="FI207"/>
      <c r="FJ207"/>
      <c r="FK207" s="35"/>
    </row>
    <row r="208" spans="2:167" s="236" customFormat="1" ht="13.35" customHeight="1" outlineLevel="1">
      <c r="B208" s="242" t="s">
        <v>817</v>
      </c>
      <c r="C208" s="242" t="s">
        <v>496</v>
      </c>
      <c r="D208" s="243"/>
      <c r="E208" s="516"/>
      <c r="F208" s="482">
        <f t="shared" si="698"/>
        <v>0</v>
      </c>
      <c r="G208" s="586"/>
      <c r="H208" s="518"/>
      <c r="I208" s="482">
        <f t="shared" si="699"/>
        <v>0</v>
      </c>
      <c r="J208" s="586"/>
      <c r="K208" s="518"/>
      <c r="L208" s="482">
        <f t="shared" si="700"/>
        <v>0</v>
      </c>
      <c r="M208" s="586"/>
      <c r="N208" s="518"/>
      <c r="O208" s="482">
        <f t="shared" si="701"/>
        <v>0</v>
      </c>
      <c r="P208" s="586"/>
      <c r="Q208" s="518"/>
      <c r="R208" s="482">
        <f t="shared" si="702"/>
        <v>0</v>
      </c>
      <c r="S208" s="586"/>
      <c r="T208" s="518"/>
      <c r="U208" s="482">
        <f t="shared" si="703"/>
        <v>0</v>
      </c>
      <c r="V208" s="586"/>
      <c r="W208" s="518"/>
      <c r="X208" s="482">
        <f t="shared" si="704"/>
        <v>0</v>
      </c>
      <c r="Y208" s="586"/>
      <c r="Z208" s="518"/>
      <c r="AA208" s="482">
        <f t="shared" si="705"/>
        <v>0</v>
      </c>
      <c r="AB208" s="586"/>
      <c r="AC208" s="518"/>
      <c r="AD208" s="482">
        <f t="shared" si="706"/>
        <v>0</v>
      </c>
      <c r="AE208" s="586"/>
      <c r="AF208" s="518"/>
      <c r="AG208" s="482">
        <f t="shared" si="707"/>
        <v>0</v>
      </c>
      <c r="AH208" s="586"/>
      <c r="AI208" s="518"/>
      <c r="AJ208" s="482">
        <f t="shared" si="708"/>
        <v>0</v>
      </c>
      <c r="AK208" s="586"/>
      <c r="AL208" s="518"/>
      <c r="AM208" s="482">
        <f t="shared" si="709"/>
        <v>0</v>
      </c>
      <c r="AN208" s="586"/>
      <c r="AO208" s="518"/>
      <c r="AP208" s="482">
        <f t="shared" si="710"/>
        <v>0</v>
      </c>
      <c r="AQ208" s="586"/>
      <c r="AR208" s="518"/>
      <c r="AS208" s="482">
        <f t="shared" si="711"/>
        <v>0</v>
      </c>
      <c r="AT208" s="586"/>
      <c r="AU208" s="518"/>
      <c r="AV208" s="482">
        <f t="shared" si="712"/>
        <v>0</v>
      </c>
      <c r="AW208" s="586"/>
      <c r="AX208" s="519">
        <v>0</v>
      </c>
      <c r="AY208" s="482">
        <f t="shared" si="713"/>
        <v>0</v>
      </c>
      <c r="AZ208" s="587">
        <v>0</v>
      </c>
      <c r="BA208" s="519">
        <v>0</v>
      </c>
      <c r="BB208" s="482">
        <f t="shared" si="714"/>
        <v>0</v>
      </c>
      <c r="BC208" s="587">
        <v>0</v>
      </c>
      <c r="BD208" s="519">
        <v>0</v>
      </c>
      <c r="BE208" s="482">
        <f t="shared" si="715"/>
        <v>0</v>
      </c>
      <c r="BF208" s="586">
        <f>IF(Assumptions!BF198&lt;&gt;"",Assumptions!BF198,0)</f>
        <v>0</v>
      </c>
      <c r="BG208" s="518">
        <f>IF(Assumptions!BG198&lt;&gt;"",Assumptions!BG198,0)</f>
        <v>0</v>
      </c>
      <c r="BH208" s="482">
        <f t="shared" si="716"/>
        <v>0</v>
      </c>
      <c r="BI208" s="586">
        <f>IF(Assumptions!BI198&lt;&gt;"",Assumptions!BI198,0)</f>
        <v>0</v>
      </c>
      <c r="BJ208" s="518">
        <f>IF(Assumptions!BJ198&lt;&gt;"",Assumptions!BJ198,0)</f>
        <v>0</v>
      </c>
      <c r="BK208" s="482">
        <f t="shared" si="717"/>
        <v>0</v>
      </c>
      <c r="BL208" s="586">
        <f>IF(Assumptions!BL198&lt;&gt;"",Assumptions!BL198,0)</f>
        <v>0</v>
      </c>
      <c r="BM208" s="519">
        <v>0</v>
      </c>
      <c r="BN208" s="482">
        <f t="shared" si="718"/>
        <v>0</v>
      </c>
      <c r="BO208" s="588">
        <f>IF(Assumptions!BO198&lt;&gt;"",Assumptions!BO198,0)</f>
        <v>0</v>
      </c>
      <c r="BP208" s="518">
        <f>IF(Assumptions!BP198&lt;&gt;"",Assumptions!BP198,0)</f>
        <v>0</v>
      </c>
      <c r="BQ208" s="482">
        <f t="shared" si="719"/>
        <v>0</v>
      </c>
      <c r="BR208" s="588">
        <f>IF(Assumptions!BR198&lt;&gt;"",Assumptions!BR198,0)</f>
        <v>0</v>
      </c>
      <c r="BS208" s="518">
        <f>IF(Assumptions!BS198&lt;&gt;"",Assumptions!BS198,0)</f>
        <v>0</v>
      </c>
      <c r="BT208" s="482">
        <f t="shared" si="720"/>
        <v>0</v>
      </c>
      <c r="BU208" s="588">
        <f>IF(Assumptions!BU198&lt;&gt;"",Assumptions!BU198,0)</f>
        <v>0</v>
      </c>
      <c r="BV208" s="518">
        <f>IF(Assumptions!BV198&lt;&gt;"",Assumptions!BV198,0)</f>
        <v>0</v>
      </c>
      <c r="BW208" s="482">
        <f t="shared" si="721"/>
        <v>0</v>
      </c>
      <c r="BX208" s="588">
        <f>IF(Assumptions!BX198&lt;&gt;"",Assumptions!BX198,0)</f>
        <v>0</v>
      </c>
      <c r="BY208" s="518">
        <f>IF(Assumptions!BY198&lt;&gt;"",Assumptions!BY198,0)</f>
        <v>0</v>
      </c>
      <c r="BZ208" s="482">
        <f t="shared" si="722"/>
        <v>0</v>
      </c>
      <c r="CA208" s="588">
        <f>IF(Assumptions!CA198&lt;&gt;"",Assumptions!CA198,0)</f>
        <v>0</v>
      </c>
      <c r="CB208" s="518">
        <f>IF(Assumptions!CB198&lt;&gt;"",Assumptions!CB198,0)</f>
        <v>0</v>
      </c>
      <c r="CC208" s="482">
        <f t="shared" si="723"/>
        <v>0</v>
      </c>
      <c r="CD208" s="588">
        <f>IF(Assumptions!CD198&lt;&gt;"",Assumptions!CD198,0)</f>
        <v>0</v>
      </c>
      <c r="CE208" s="518">
        <f>IF(Assumptions!CE198&lt;&gt;"",Assumptions!CE198,0)</f>
        <v>0</v>
      </c>
      <c r="CF208" s="482">
        <f t="shared" si="724"/>
        <v>0</v>
      </c>
      <c r="CG208" s="588">
        <f>IF(Assumptions!CG198&lt;&gt;"",Assumptions!CG198,0)</f>
        <v>0</v>
      </c>
      <c r="CH208" s="518">
        <f>IF(Assumptions!CH198&lt;&gt;"",Assumptions!CH198,0)</f>
        <v>0</v>
      </c>
      <c r="CI208" s="482">
        <f t="shared" si="725"/>
        <v>0</v>
      </c>
      <c r="CJ208" s="588">
        <f>IF(Assumptions!CJ198&lt;&gt;"",Assumptions!CJ198,0)</f>
        <v>0</v>
      </c>
      <c r="CK208" s="518">
        <f>IF(Assumptions!CK198&lt;&gt;"",Assumptions!CK198,0)</f>
        <v>0</v>
      </c>
      <c r="CL208" s="482">
        <f t="shared" si="726"/>
        <v>0</v>
      </c>
      <c r="CM208" s="588">
        <f>IF(Assumptions!CM198&lt;&gt;"",Assumptions!CM198,0)</f>
        <v>0</v>
      </c>
      <c r="CN208" s="518">
        <f>IF(Assumptions!CN198&lt;&gt;"",Assumptions!CN198,0)</f>
        <v>0</v>
      </c>
      <c r="CO208" s="482">
        <f t="shared" si="727"/>
        <v>0</v>
      </c>
      <c r="CP208" s="588">
        <f>IF(Assumptions!CP198&lt;&gt;"",Assumptions!CP198,0)</f>
        <v>0</v>
      </c>
      <c r="CQ208" s="518">
        <f>IF(Assumptions!CQ198&lt;&gt;"",Assumptions!CQ198,0)</f>
        <v>0</v>
      </c>
      <c r="CR208" s="482">
        <f t="shared" si="728"/>
        <v>0</v>
      </c>
      <c r="CS208" s="588">
        <f>IF(Assumptions!CS198&lt;&gt;"",Assumptions!CS198,0)</f>
        <v>0</v>
      </c>
      <c r="CT208" s="518">
        <f>IF(Assumptions!CT198&lt;&gt;"",Assumptions!CT198,0)</f>
        <v>0</v>
      </c>
      <c r="CU208" s="482">
        <f t="shared" si="729"/>
        <v>0</v>
      </c>
      <c r="CV208" s="588">
        <f>IF(Assumptions!CV198&lt;&gt;"",Assumptions!CV198,0)</f>
        <v>0</v>
      </c>
      <c r="CW208" s="518">
        <f>IF(Assumptions!CW198&lt;&gt;"",Assumptions!CW198,0)</f>
        <v>0</v>
      </c>
      <c r="CX208" s="482">
        <f t="shared" si="730"/>
        <v>0</v>
      </c>
      <c r="CY208" s="588">
        <f>IF(Assumptions!CY198&lt;&gt;"",Assumptions!CY198,0)</f>
        <v>0</v>
      </c>
      <c r="CZ208" s="518">
        <f>IF(Assumptions!CZ198&lt;&gt;"",Assumptions!CZ198,0)</f>
        <v>0</v>
      </c>
      <c r="DA208" s="482">
        <f t="shared" si="731"/>
        <v>0</v>
      </c>
      <c r="DB208" s="588">
        <f>IF(Assumptions!DB198&lt;&gt;"",Assumptions!DB198,0)</f>
        <v>0</v>
      </c>
      <c r="DC208" s="518">
        <f>IF(Assumptions!DC198&lt;&gt;"",Assumptions!DC198,0)</f>
        <v>0</v>
      </c>
      <c r="DD208" s="482">
        <f t="shared" si="732"/>
        <v>0</v>
      </c>
      <c r="DE208" s="588">
        <f>IF(Assumptions!DE198&lt;&gt;"",Assumptions!DE198,0)</f>
        <v>0</v>
      </c>
      <c r="DF208" s="518">
        <f>IF(Assumptions!DF198&lt;&gt;"",Assumptions!DF198,0)</f>
        <v>0</v>
      </c>
      <c r="DG208" s="482">
        <f t="shared" si="740"/>
        <v>0</v>
      </c>
      <c r="DH208" s="1279">
        <f>IF(Assumptions!DH198&lt;&gt;"",Assumptions!DH198,0)</f>
        <v>0</v>
      </c>
      <c r="DI208" s="482">
        <f>IF(Assumptions!DI198&lt;&gt;"",Assumptions!DI198,0)</f>
        <v>0</v>
      </c>
      <c r="DJ208" s="482">
        <f t="shared" si="733"/>
        <v>0</v>
      </c>
      <c r="DK208" s="1276">
        <f>IF(Assumptions!DK198&lt;&gt;"",Assumptions!DK198,0)</f>
        <v>0</v>
      </c>
      <c r="DL208" s="482">
        <f>IF(Assumptions!DL198&lt;&gt;"",Assumptions!DL198,0)</f>
        <v>0</v>
      </c>
      <c r="DM208" s="482">
        <f t="shared" si="734"/>
        <v>0</v>
      </c>
      <c r="DN208" s="1276">
        <f>IF(Assumptions!DN198&lt;&gt;"",Assumptions!DN198,0)</f>
        <v>0</v>
      </c>
      <c r="DO208" s="482">
        <f>IF(Assumptions!DO198&lt;&gt;"",Assumptions!DO198,0)</f>
        <v>0</v>
      </c>
      <c r="DP208" s="482">
        <f t="shared" si="735"/>
        <v>0</v>
      </c>
      <c r="DQ208" s="1276">
        <f>IF(Assumptions!DQ198&lt;&gt;"",Assumptions!DQ198,0)</f>
        <v>0</v>
      </c>
      <c r="DR208" s="482">
        <f>IF(Assumptions!DR198&lt;&gt;"",Assumptions!DR198,0)</f>
        <v>0</v>
      </c>
      <c r="DS208" s="482">
        <f t="shared" si="736"/>
        <v>0</v>
      </c>
      <c r="DT208" s="1276">
        <f>IF(Assumptions!DT198&lt;&gt;"",Assumptions!DT198,0)</f>
        <v>0</v>
      </c>
      <c r="DU208" s="482">
        <f>IF(Assumptions!DU198&lt;&gt;"",Assumptions!DU198,0)</f>
        <v>0</v>
      </c>
      <c r="DV208" s="482">
        <f t="shared" si="741"/>
        <v>0</v>
      </c>
      <c r="DW208" s="1276">
        <f>IF(Assumptions!DW198&lt;&gt;"",Assumptions!DW198,0)</f>
        <v>0</v>
      </c>
      <c r="DX208" s="482">
        <f>IF(Assumptions!DX198&lt;&gt;"",Assumptions!DX198,0)</f>
        <v>0</v>
      </c>
      <c r="DY208" s="482">
        <f t="shared" si="749"/>
        <v>0</v>
      </c>
      <c r="DZ208" s="1276">
        <f>IF(Assumptions!DZ198&lt;&gt;"",Assumptions!DZ198,0)</f>
        <v>0</v>
      </c>
      <c r="EA208" s="482">
        <f>IF(Assumptions!EA198&lt;&gt;"",Assumptions!EA198,0)</f>
        <v>0</v>
      </c>
      <c r="EB208" s="482">
        <f t="shared" si="738"/>
        <v>0</v>
      </c>
      <c r="EC208" s="1276">
        <f>IF(Assumptions!EC198&lt;&gt;"",Assumptions!EC198,0)</f>
        <v>0</v>
      </c>
      <c r="ED208" s="482">
        <f>IF(Assumptions!ED198&lt;&gt;"",Assumptions!ED198,0)</f>
        <v>0</v>
      </c>
      <c r="EE208" s="482">
        <f t="shared" si="739"/>
        <v>0</v>
      </c>
      <c r="EF208" s="1276">
        <f>IF(Assumptions!EF198&lt;&gt;"",Assumptions!EF198,0)</f>
        <v>0</v>
      </c>
      <c r="EG208" s="482">
        <f>IF(Assumptions!EG198&lt;&gt;"",Assumptions!EG198,0)</f>
        <v>0</v>
      </c>
      <c r="EH208" s="482">
        <f t="shared" si="742"/>
        <v>0</v>
      </c>
      <c r="EI208" s="1276">
        <f>IF(Assumptions!EI198&lt;&gt;"",Assumptions!EI198,0)</f>
        <v>0</v>
      </c>
      <c r="EJ208" s="482">
        <f>IF(Assumptions!EJ198&lt;&gt;"",Assumptions!EJ198,0)</f>
        <v>0</v>
      </c>
      <c r="EK208" s="482">
        <f t="shared" si="743"/>
        <v>0</v>
      </c>
      <c r="EL208" s="1276">
        <f>IF(Assumptions!EL198&lt;&gt;"",Assumptions!EL198,0)</f>
        <v>0</v>
      </c>
      <c r="EM208" s="482">
        <f>IF(Assumptions!EM198&lt;&gt;"",Assumptions!EM198,0)</f>
        <v>0</v>
      </c>
      <c r="EN208" s="482">
        <f t="shared" si="744"/>
        <v>0</v>
      </c>
      <c r="EO208" s="1276">
        <f>IF(Assumptions!EO198&lt;&gt;"",Assumptions!EO198,0)</f>
        <v>0</v>
      </c>
      <c r="EP208" s="482">
        <f>IF(Assumptions!EP198&lt;&gt;"",Assumptions!EP198,0)</f>
        <v>0</v>
      </c>
      <c r="EQ208" s="482">
        <f t="shared" si="745"/>
        <v>0</v>
      </c>
      <c r="ER208" s="1276">
        <f>IF(Assumptions!ER198&lt;&gt;"",Assumptions!ER198,0)</f>
        <v>0</v>
      </c>
      <c r="ES208" s="482">
        <f>IF(Assumptions!ES198&lt;&gt;"",Assumptions!ES198,0)</f>
        <v>0</v>
      </c>
      <c r="ET208" s="482">
        <f t="shared" si="746"/>
        <v>0</v>
      </c>
      <c r="EU208" s="1276">
        <f>IF(Assumptions!EU198&lt;&gt;"",Assumptions!EU198,0)</f>
        <v>0</v>
      </c>
      <c r="EV208" s="482">
        <f>IF(Assumptions!EV198&lt;&gt;"",Assumptions!EV198,0)</f>
        <v>0</v>
      </c>
      <c r="EW208" s="482">
        <f t="shared" si="747"/>
        <v>0</v>
      </c>
      <c r="EX208" s="1276">
        <f>IF(Assumptions!EX198&lt;&gt;"",Assumptions!EX198,0)</f>
        <v>0</v>
      </c>
      <c r="EY208" s="482">
        <f>IF(Assumptions!EY198&lt;&gt;"",Assumptions!EY198,0)</f>
        <v>0</v>
      </c>
      <c r="EZ208" s="482">
        <f t="shared" si="748"/>
        <v>0</v>
      </c>
      <c r="FA208" s="1276">
        <f>IF(Assumptions!FA198&lt;&gt;"",Assumptions!FA198,0)</f>
        <v>0</v>
      </c>
      <c r="FE208"/>
      <c r="FF208"/>
      <c r="FG208"/>
      <c r="FH208"/>
      <c r="FI208"/>
      <c r="FJ208"/>
      <c r="FK208" s="35"/>
    </row>
    <row r="209" spans="2:167" s="236" customFormat="1" ht="13.35" customHeight="1">
      <c r="B209" s="242" t="s">
        <v>818</v>
      </c>
      <c r="C209" s="242" t="s">
        <v>496</v>
      </c>
      <c r="D209" s="243"/>
      <c r="E209" s="516"/>
      <c r="F209" s="482">
        <f t="shared" si="698"/>
        <v>0</v>
      </c>
      <c r="G209" s="517"/>
      <c r="H209" s="518"/>
      <c r="I209" s="482">
        <f t="shared" si="699"/>
        <v>0</v>
      </c>
      <c r="J209" s="517"/>
      <c r="K209" s="518"/>
      <c r="L209" s="482">
        <f t="shared" si="700"/>
        <v>0</v>
      </c>
      <c r="M209" s="517"/>
      <c r="N209" s="518"/>
      <c r="O209" s="482">
        <f t="shared" si="701"/>
        <v>0</v>
      </c>
      <c r="P209" s="517"/>
      <c r="Q209" s="518"/>
      <c r="R209" s="482">
        <f t="shared" si="702"/>
        <v>0</v>
      </c>
      <c r="S209" s="517"/>
      <c r="T209" s="518"/>
      <c r="U209" s="482">
        <f t="shared" si="703"/>
        <v>0</v>
      </c>
      <c r="V209" s="517"/>
      <c r="W209" s="518"/>
      <c r="X209" s="482">
        <f t="shared" si="704"/>
        <v>0</v>
      </c>
      <c r="Y209" s="517"/>
      <c r="Z209" s="518"/>
      <c r="AA209" s="482">
        <f t="shared" si="705"/>
        <v>0</v>
      </c>
      <c r="AB209" s="517"/>
      <c r="AC209" s="518"/>
      <c r="AD209" s="482">
        <f t="shared" si="706"/>
        <v>0</v>
      </c>
      <c r="AE209" s="517"/>
      <c r="AF209" s="518"/>
      <c r="AG209" s="482">
        <f t="shared" si="707"/>
        <v>0</v>
      </c>
      <c r="AH209" s="517"/>
      <c r="AI209" s="518"/>
      <c r="AJ209" s="482">
        <f t="shared" si="708"/>
        <v>0</v>
      </c>
      <c r="AK209" s="517"/>
      <c r="AL209" s="518"/>
      <c r="AM209" s="482">
        <f t="shared" si="709"/>
        <v>-2.5</v>
      </c>
      <c r="AN209" s="520">
        <v>-2.5</v>
      </c>
      <c r="AO209" s="519">
        <v>-3.75</v>
      </c>
      <c r="AP209" s="482">
        <f t="shared" si="710"/>
        <v>-2.5</v>
      </c>
      <c r="AQ209" s="520">
        <v>-6.25</v>
      </c>
      <c r="AR209" s="519">
        <v>-3.75</v>
      </c>
      <c r="AS209" s="482">
        <f t="shared" si="711"/>
        <v>-3</v>
      </c>
      <c r="AT209" s="520">
        <v>-6.75</v>
      </c>
      <c r="AU209" s="519">
        <v>-4.75</v>
      </c>
      <c r="AV209" s="482">
        <f t="shared" si="712"/>
        <v>-4.0429999999999993</v>
      </c>
      <c r="AW209" s="520">
        <v>-8.7929999999999993</v>
      </c>
      <c r="AX209" s="519">
        <v>-10.106999999999999</v>
      </c>
      <c r="AY209" s="482">
        <f t="shared" si="713"/>
        <v>-7.6700000000000017</v>
      </c>
      <c r="AZ209" s="520">
        <v>-17.777000000000001</v>
      </c>
      <c r="BA209" s="519">
        <v>-7.6769999999999996</v>
      </c>
      <c r="BB209" s="482">
        <f t="shared" si="714"/>
        <v>-10.402999999999999</v>
      </c>
      <c r="BC209" s="520">
        <v>-18.079999999999998</v>
      </c>
      <c r="BD209" s="519">
        <v>-10.923999999999999</v>
      </c>
      <c r="BE209" s="482">
        <f t="shared" si="715"/>
        <v>-11.024000000000001</v>
      </c>
      <c r="BF209" s="520">
        <v>-21.948</v>
      </c>
      <c r="BG209" s="519">
        <v>-15.759</v>
      </c>
      <c r="BH209" s="482">
        <f t="shared" si="716"/>
        <v>-17.512999999999998</v>
      </c>
      <c r="BI209" s="520">
        <v>-33.271999999999998</v>
      </c>
      <c r="BJ209" s="519">
        <v>-23.55</v>
      </c>
      <c r="BK209" s="482">
        <f t="shared" si="717"/>
        <v>-18.761999999999997</v>
      </c>
      <c r="BL209" s="520">
        <v>-42.311999999999998</v>
      </c>
      <c r="BM209" s="519">
        <v>-23.831</v>
      </c>
      <c r="BN209" s="482">
        <f t="shared" si="718"/>
        <v>-19.001000000000001</v>
      </c>
      <c r="BO209" s="521">
        <v>-42.832000000000001</v>
      </c>
      <c r="BP209" s="519">
        <v>-24.43</v>
      </c>
      <c r="BQ209" s="482">
        <f t="shared" si="719"/>
        <v>-24.665999999999997</v>
      </c>
      <c r="BR209" s="521">
        <v>-49.095999999999997</v>
      </c>
      <c r="BS209" s="519">
        <v>-30.175000000000001</v>
      </c>
      <c r="BT209" s="482">
        <f t="shared" si="720"/>
        <v>-30.208000000000002</v>
      </c>
      <c r="BU209" s="521">
        <v>-60.383000000000003</v>
      </c>
      <c r="BV209" s="519">
        <v>-38.915999999999997</v>
      </c>
      <c r="BW209" s="482">
        <f t="shared" si="721"/>
        <v>-38.936000000000007</v>
      </c>
      <c r="BX209" s="521">
        <v>-77.852000000000004</v>
      </c>
      <c r="BY209" s="518">
        <f>-44.682-2.93</f>
        <v>-47.612000000000002</v>
      </c>
      <c r="BZ209" s="482">
        <f t="shared" si="722"/>
        <v>-41.904000000000003</v>
      </c>
      <c r="CA209" s="521">
        <v>-89.516000000000005</v>
      </c>
      <c r="CB209" s="519">
        <v>-53.384</v>
      </c>
      <c r="CC209" s="482">
        <f t="shared" si="723"/>
        <v>-53.704999999999998</v>
      </c>
      <c r="CD209" s="521">
        <v>-107.089</v>
      </c>
      <c r="CE209" s="518">
        <f>-59.404</f>
        <v>-59.404000000000003</v>
      </c>
      <c r="CF209" s="482">
        <f t="shared" si="724"/>
        <v>-59.54399999999999</v>
      </c>
      <c r="CG209" s="521">
        <v>-118.94799999999999</v>
      </c>
      <c r="CH209" s="519">
        <v>-68.171000000000006</v>
      </c>
      <c r="CI209" s="482">
        <f t="shared" si="725"/>
        <v>-68.314999999999984</v>
      </c>
      <c r="CJ209" s="521">
        <v>-136.48599999999999</v>
      </c>
      <c r="CK209" s="519">
        <v>-71.215999999999994</v>
      </c>
      <c r="CL209" s="482">
        <f t="shared" si="726"/>
        <v>-71.295000000000002</v>
      </c>
      <c r="CM209" s="521">
        <v>-142.511</v>
      </c>
      <c r="CN209" s="519">
        <v>-72.441999999999993</v>
      </c>
      <c r="CO209" s="482">
        <f t="shared" si="727"/>
        <v>-72.469000000000008</v>
      </c>
      <c r="CP209" s="521">
        <v>-144.911</v>
      </c>
      <c r="CQ209" s="518">
        <f>+-72.469</f>
        <v>-72.468999999999994</v>
      </c>
      <c r="CR209" s="482">
        <f t="shared" si="728"/>
        <v>-51.374000000000009</v>
      </c>
      <c r="CS209" s="516">
        <f>+-123.843</f>
        <v>-123.843</v>
      </c>
      <c r="CT209" s="518">
        <f>+-57.168</f>
        <v>-57.167999999999999</v>
      </c>
      <c r="CU209" s="482">
        <f t="shared" si="729"/>
        <v>-62.925000000000004</v>
      </c>
      <c r="CV209" s="521">
        <v>-120.093</v>
      </c>
      <c r="CW209" s="518">
        <f>+-68.883</f>
        <v>-68.882999999999996</v>
      </c>
      <c r="CX209" s="482">
        <f t="shared" si="730"/>
        <v>-76.655000000000015</v>
      </c>
      <c r="CY209" s="516">
        <f>+-145.538</f>
        <v>-145.53800000000001</v>
      </c>
      <c r="CZ209" s="518">
        <v>-80.5</v>
      </c>
      <c r="DA209" s="482">
        <f t="shared" si="731"/>
        <v>-80.599999999999994</v>
      </c>
      <c r="DB209" s="516">
        <v>-161.1</v>
      </c>
      <c r="DC209" s="518">
        <f>-285+301.1</f>
        <v>16.100000000000023</v>
      </c>
      <c r="DD209" s="482">
        <f t="shared" si="732"/>
        <v>-197.90000000000003</v>
      </c>
      <c r="DE209" s="521">
        <v>-181.8</v>
      </c>
      <c r="DF209" s="518">
        <v>-101.2</v>
      </c>
      <c r="DG209" s="482">
        <f t="shared" si="740"/>
        <v>-92.499999999999986</v>
      </c>
      <c r="DH209" s="1365">
        <v>-193.7</v>
      </c>
      <c r="DI209" s="1373">
        <v>0</v>
      </c>
      <c r="DJ209" s="482">
        <f t="shared" si="733"/>
        <v>-75.599999999999994</v>
      </c>
      <c r="DK209" s="1374">
        <v>-75.599999999999994</v>
      </c>
      <c r="DL209" s="1373">
        <v>-92.1</v>
      </c>
      <c r="DM209" s="482">
        <f t="shared" si="734"/>
        <v>-101.9</v>
      </c>
      <c r="DN209" s="1374">
        <v>-194</v>
      </c>
      <c r="DO209" s="1373">
        <v>-95.4</v>
      </c>
      <c r="DP209" s="482">
        <f t="shared" si="735"/>
        <v>-102</v>
      </c>
      <c r="DQ209" s="1374">
        <v>-197.4</v>
      </c>
      <c r="DR209" s="1373">
        <v>-114.7</v>
      </c>
      <c r="DS209" s="482">
        <f t="shared" si="736"/>
        <v>-131</v>
      </c>
      <c r="DT209" s="1374">
        <v>-245.7</v>
      </c>
      <c r="DU209" s="1373">
        <v>-137.5</v>
      </c>
      <c r="DV209" s="482">
        <f t="shared" si="741"/>
        <v>-140.69999999999999</v>
      </c>
      <c r="DW209" s="1374">
        <v>-278.2</v>
      </c>
      <c r="DX209" s="1373">
        <v>-140.6</v>
      </c>
      <c r="DY209" s="482">
        <f>-DX349</f>
        <v>-137.49119152576549</v>
      </c>
      <c r="DZ209" s="1244">
        <f>SUM(DX209:DY209)</f>
        <v>-278.09119152576545</v>
      </c>
      <c r="EA209" s="482">
        <f>IF(EA5="A",0,IF(EA90=0,0,-(DY349-DY355)-DY83))</f>
        <v>-153.05211936965441</v>
      </c>
      <c r="EB209" s="482">
        <f t="shared" si="738"/>
        <v>-165.09076318039718</v>
      </c>
      <c r="EC209" s="1244">
        <f>IF(EC5="A",0,IF(EC90=0,0,(EA209)-(EA349-EA355)-DZ83))</f>
        <v>-318.14288255005158</v>
      </c>
      <c r="ED209" s="482">
        <f>IF(ED5="A",0,IF(ED90=0,0,-(EB349-EB355)-EB83))</f>
        <v>-169.59082546537329</v>
      </c>
      <c r="EE209" s="482">
        <f t="shared" si="739"/>
        <v>-183.56812741804666</v>
      </c>
      <c r="EF209" s="1244">
        <f>IF(EF5="A",0,IF(EF90=0,0,(ED209)-(ED349-ED355)-EC83))</f>
        <v>-353.15895288341994</v>
      </c>
      <c r="EG209" s="482">
        <f>IF(EG5="A",0,IF(EG90=0,0,-(EE349-EE355)-EE83))</f>
        <v>-188.71909087266894</v>
      </c>
      <c r="EH209" s="482">
        <f t="shared" si="742"/>
        <v>-204.59289538226764</v>
      </c>
      <c r="EI209" s="1244">
        <f>IF(EI5="A",0,IF(EI90=0,0,(EG209)-(EG349-EG355)-EF83))</f>
        <v>-393.31198625493658</v>
      </c>
      <c r="EJ209" s="482">
        <f>IF(EJ5="A",0,IF(EJ90=0,0,-(EH349-EH355)-EH83))</f>
        <v>-210.99253656363774</v>
      </c>
      <c r="EK209" s="482">
        <f t="shared" si="743"/>
        <v>-225.61704536903866</v>
      </c>
      <c r="EL209" s="1244">
        <f>IF(EL5="A",0,IF(EL90=0,0,(EJ209)-(EJ349-EJ355)-EI83))</f>
        <v>-436.60958193267641</v>
      </c>
      <c r="EM209" s="482">
        <f>IF(EM5="A",0,IF(EM90=0,0,-(EK349-EK355)-EK83))</f>
        <v>-232.66607187925595</v>
      </c>
      <c r="EN209" s="482">
        <f t="shared" si="744"/>
        <v>-247.68386257631968</v>
      </c>
      <c r="EO209" s="1244">
        <f>IF(EO5="A",0,IF(EO90=0,0,(EM209)-(EM349-EM355)-EL83))</f>
        <v>-480.34993445557564</v>
      </c>
      <c r="EP209" s="482">
        <f>IF(EP5="A",0,IF(EP90=0,0,-(EN349-EN355)-EN83))</f>
        <v>-255.39931155587664</v>
      </c>
      <c r="EQ209" s="482">
        <f t="shared" si="745"/>
        <v>-271.17162740302575</v>
      </c>
      <c r="ER209" s="1244">
        <f>IF(ER5="A",0,IF(ER90=0,0,(EP209)-(EP349-EP355)-EO83))</f>
        <v>-526.57093895890239</v>
      </c>
      <c r="ES209" s="482">
        <f>IF(ES5="A",0,IF(ES90=0,0,-(EQ349-EQ355)-EQ83))</f>
        <v>-279.58146679074309</v>
      </c>
      <c r="ET209" s="482">
        <f t="shared" si="746"/>
        <v>-296.81601608916446</v>
      </c>
      <c r="EU209" s="1244">
        <f>IF(EU5="A",0,IF(EU90=0,0,(ES209)-(ES349-ES355)-ER83))</f>
        <v>-576.39748287990756</v>
      </c>
      <c r="EV209" s="482">
        <f>IF(EV5="A",0,IF(EV90=0,0,-(ET349-ET355)-ET83))</f>
        <v>-305.98274102177641</v>
      </c>
      <c r="EW209" s="482">
        <f t="shared" si="747"/>
        <v>-324.81601707290895</v>
      </c>
      <c r="EX209" s="1244">
        <f>IF(EX5="A",0,IF(EX90=0,0,(EV209)-(EV349-EV355)-EU83))</f>
        <v>-630.79875809468535</v>
      </c>
      <c r="EY209" s="482">
        <f>IF(EY5="A",0,IF(EY90=0,0,-(EW349-EW355)-EW83))</f>
        <v>-334.80774724945576</v>
      </c>
      <c r="EZ209" s="482">
        <f t="shared" si="748"/>
        <v>-355.38969154936905</v>
      </c>
      <c r="FA209" s="1244">
        <f>IF(FA5="A",0,IF(FA90=0,0,(EY209)-(EY349-EY355)-EX83))</f>
        <v>-690.19743879882481</v>
      </c>
      <c r="FE209"/>
      <c r="FF209"/>
      <c r="FG209"/>
      <c r="FH209"/>
      <c r="FI209"/>
      <c r="FJ209"/>
      <c r="FK209" s="35"/>
    </row>
    <row r="210" spans="2:167" s="236" customFormat="1" ht="13.35" customHeight="1">
      <c r="B210" s="242" t="s">
        <v>819</v>
      </c>
      <c r="C210" s="242" t="s">
        <v>496</v>
      </c>
      <c r="D210" s="243"/>
      <c r="E210" s="516"/>
      <c r="F210" s="482">
        <f t="shared" si="698"/>
        <v>0</v>
      </c>
      <c r="G210" s="586"/>
      <c r="H210" s="518"/>
      <c r="I210" s="482">
        <f t="shared" si="699"/>
        <v>0</v>
      </c>
      <c r="J210" s="586"/>
      <c r="K210" s="518"/>
      <c r="L210" s="482">
        <f t="shared" si="700"/>
        <v>0</v>
      </c>
      <c r="M210" s="586"/>
      <c r="N210" s="518"/>
      <c r="O210" s="482">
        <f t="shared" si="701"/>
        <v>0</v>
      </c>
      <c r="P210" s="586"/>
      <c r="Q210" s="518"/>
      <c r="R210" s="482">
        <f t="shared" si="702"/>
        <v>0</v>
      </c>
      <c r="S210" s="586"/>
      <c r="T210" s="518"/>
      <c r="U210" s="482">
        <f t="shared" si="703"/>
        <v>0</v>
      </c>
      <c r="V210" s="586"/>
      <c r="W210" s="518"/>
      <c r="X210" s="482">
        <f t="shared" si="704"/>
        <v>0</v>
      </c>
      <c r="Y210" s="586"/>
      <c r="Z210" s="518"/>
      <c r="AA210" s="482">
        <f t="shared" si="705"/>
        <v>0</v>
      </c>
      <c r="AB210" s="586"/>
      <c r="AC210" s="518"/>
      <c r="AD210" s="482">
        <f t="shared" si="706"/>
        <v>0</v>
      </c>
      <c r="AE210" s="586"/>
      <c r="AF210" s="518"/>
      <c r="AG210" s="482">
        <f t="shared" si="707"/>
        <v>0</v>
      </c>
      <c r="AH210" s="586"/>
      <c r="AI210" s="518"/>
      <c r="AJ210" s="482">
        <f t="shared" si="708"/>
        <v>0</v>
      </c>
      <c r="AK210" s="586"/>
      <c r="AL210" s="518">
        <f>0.391-0.261</f>
        <v>0.13</v>
      </c>
      <c r="AM210" s="482">
        <f t="shared" si="709"/>
        <v>2.528</v>
      </c>
      <c r="AN210" s="586">
        <f>2.788-0.13</f>
        <v>2.6579999999999999</v>
      </c>
      <c r="AO210" s="518">
        <f>0.358-0.438</f>
        <v>-8.0000000000000016E-2</v>
      </c>
      <c r="AP210" s="482">
        <f t="shared" si="710"/>
        <v>-0.17699999999999999</v>
      </c>
      <c r="AQ210" s="587">
        <v>-0.25700000000000001</v>
      </c>
      <c r="AR210" s="518"/>
      <c r="AS210" s="482">
        <f t="shared" si="711"/>
        <v>0</v>
      </c>
      <c r="AT210" s="586"/>
      <c r="AU210" s="518"/>
      <c r="AV210" s="482">
        <f t="shared" si="712"/>
        <v>0</v>
      </c>
      <c r="AW210" s="586"/>
      <c r="AX210" s="519">
        <v>0</v>
      </c>
      <c r="AY210" s="482">
        <f t="shared" si="713"/>
        <v>0</v>
      </c>
      <c r="AZ210" s="587">
        <v>0</v>
      </c>
      <c r="BA210" s="519">
        <v>0</v>
      </c>
      <c r="BB210" s="482">
        <f t="shared" si="714"/>
        <v>0</v>
      </c>
      <c r="BC210" s="587">
        <v>0</v>
      </c>
      <c r="BD210" s="519">
        <v>5.2770000000000001</v>
      </c>
      <c r="BE210" s="482">
        <f t="shared" si="715"/>
        <v>8.8440000000000012</v>
      </c>
      <c r="BF210" s="587">
        <v>14.121</v>
      </c>
      <c r="BG210" s="519">
        <v>-10</v>
      </c>
      <c r="BH210" s="482">
        <f t="shared" si="716"/>
        <v>0</v>
      </c>
      <c r="BI210" s="587">
        <v>-10</v>
      </c>
      <c r="BJ210" s="519">
        <v>17.995999999999999</v>
      </c>
      <c r="BK210" s="482">
        <f t="shared" si="717"/>
        <v>-7.1159999999999979</v>
      </c>
      <c r="BL210" s="587">
        <v>10.88</v>
      </c>
      <c r="BM210" s="519">
        <v>4.2619999999999996</v>
      </c>
      <c r="BN210" s="482">
        <f t="shared" si="718"/>
        <v>-6.3620000000000001</v>
      </c>
      <c r="BO210" s="589">
        <v>-2.1</v>
      </c>
      <c r="BP210" s="519">
        <v>3.0030000000000001</v>
      </c>
      <c r="BQ210" s="482">
        <f t="shared" si="719"/>
        <v>-32.79</v>
      </c>
      <c r="BR210" s="589">
        <v>-29.786999999999999</v>
      </c>
      <c r="BS210" s="518">
        <f>-14.804+22.86</f>
        <v>8.0559999999999992</v>
      </c>
      <c r="BT210" s="482">
        <f t="shared" si="720"/>
        <v>49.766000000000005</v>
      </c>
      <c r="BU210" s="588">
        <f>57.822</f>
        <v>57.822000000000003</v>
      </c>
      <c r="BV210" s="518">
        <f>-33.743+31.083</f>
        <v>-2.6600000000000037</v>
      </c>
      <c r="BW210" s="482">
        <f t="shared" si="721"/>
        <v>2.6600000000000037</v>
      </c>
      <c r="BX210" s="588">
        <f>IF(Assumptions!BX200&lt;&gt;"",Assumptions!BX200,0)</f>
        <v>0</v>
      </c>
      <c r="BY210" s="519">
        <v>-54</v>
      </c>
      <c r="BZ210" s="482">
        <f t="shared" si="722"/>
        <v>54</v>
      </c>
      <c r="CA210" s="588">
        <f>IF(Assumptions!CA200&lt;&gt;"",Assumptions!CA200,0)</f>
        <v>0</v>
      </c>
      <c r="CB210" s="519">
        <v>-65</v>
      </c>
      <c r="CC210" s="482">
        <f t="shared" si="723"/>
        <v>191.31399999999999</v>
      </c>
      <c r="CD210" s="588">
        <f>61.814+64.5</f>
        <v>126.31399999999999</v>
      </c>
      <c r="CE210" s="518">
        <f>-63-98.344</f>
        <v>-161.34399999999999</v>
      </c>
      <c r="CF210" s="482">
        <f t="shared" si="724"/>
        <v>67.533000000000001</v>
      </c>
      <c r="CG210" s="588">
        <f>129-149+24.533-98.344</f>
        <v>-93.810999999999993</v>
      </c>
      <c r="CH210" s="519">
        <v>20</v>
      </c>
      <c r="CI210" s="482">
        <f t="shared" si="725"/>
        <v>-297.48599999999999</v>
      </c>
      <c r="CJ210" s="588">
        <f>-141-136.486</f>
        <v>-277.48599999999999</v>
      </c>
      <c r="CK210" s="518">
        <f>-5+82</f>
        <v>77</v>
      </c>
      <c r="CL210" s="482">
        <f t="shared" si="726"/>
        <v>-77</v>
      </c>
      <c r="CM210" s="588">
        <f>IF(Assumptions!CM200&lt;&gt;"",Assumptions!CM200,0)</f>
        <v>0</v>
      </c>
      <c r="CN210" s="518">
        <f>IF(Assumptions!CN200&lt;&gt;"",Assumptions!CN200,0)</f>
        <v>0</v>
      </c>
      <c r="CO210" s="482">
        <f t="shared" si="727"/>
        <v>-79.5</v>
      </c>
      <c r="CP210" s="589">
        <v>-79.5</v>
      </c>
      <c r="CQ210" s="518">
        <f>IF(Assumptions!CQ200&lt;&gt;"",Assumptions!CQ200,0)</f>
        <v>0</v>
      </c>
      <c r="CR210" s="482">
        <f t="shared" si="728"/>
        <v>-148.70099999999999</v>
      </c>
      <c r="CS210" s="588">
        <f>+-148.701</f>
        <v>-148.70099999999999</v>
      </c>
      <c r="CT210" s="518">
        <f>IF(Assumptions!CT200&lt;&gt;"",Assumptions!CT200,0)</f>
        <v>0</v>
      </c>
      <c r="CU210" s="482">
        <f t="shared" si="729"/>
        <v>0</v>
      </c>
      <c r="CV210" s="588">
        <f>IF(Assumptions!CV200&lt;&gt;"",Assumptions!CV200,0)</f>
        <v>0</v>
      </c>
      <c r="CW210" s="518">
        <f>IF(Assumptions!CW200&lt;&gt;"",Assumptions!CW200,0)</f>
        <v>0</v>
      </c>
      <c r="CX210" s="482">
        <f t="shared" si="730"/>
        <v>26.211999999999989</v>
      </c>
      <c r="CY210" s="588">
        <f>+-193+219.212</f>
        <v>26.211999999999989</v>
      </c>
      <c r="CZ210" s="518">
        <f>IF(Assumptions!CZ200&lt;&gt;"",Assumptions!CZ200,0)</f>
        <v>0</v>
      </c>
      <c r="DA210" s="482">
        <f t="shared" si="731"/>
        <v>-71.199999999999989</v>
      </c>
      <c r="DB210" s="588">
        <f>-321.2+250</f>
        <v>-71.199999999999989</v>
      </c>
      <c r="DC210" s="518">
        <v>-285</v>
      </c>
      <c r="DD210" s="482">
        <f t="shared" si="732"/>
        <v>318.5</v>
      </c>
      <c r="DE210" s="589">
        <f>-405.6+439.1</f>
        <v>33.5</v>
      </c>
      <c r="DF210" s="518">
        <f>152.1-100</f>
        <v>52.099999999999994</v>
      </c>
      <c r="DG210" s="482">
        <f t="shared" si="740"/>
        <v>238.79999999999998</v>
      </c>
      <c r="DH210" s="1279">
        <f>420.9-130</f>
        <v>290.89999999999998</v>
      </c>
      <c r="DI210" s="482">
        <f>-339.2+1.7</f>
        <v>-337.5</v>
      </c>
      <c r="DJ210" s="482">
        <f t="shared" si="733"/>
        <v>-65.600000000000023</v>
      </c>
      <c r="DK210" s="1276">
        <v>-403.1</v>
      </c>
      <c r="DL210" s="482">
        <v>2.4</v>
      </c>
      <c r="DM210" s="482">
        <f t="shared" si="734"/>
        <v>-2.4</v>
      </c>
      <c r="DN210" s="1276">
        <f>IF(Assumptions!DN200&lt;&gt;"",Assumptions!DN200,0)</f>
        <v>0</v>
      </c>
      <c r="DO210" s="482">
        <f>IF(Assumptions!DO200&lt;&gt;"",Assumptions!DO200,0)</f>
        <v>0</v>
      </c>
      <c r="DP210" s="482">
        <f t="shared" si="735"/>
        <v>0</v>
      </c>
      <c r="DQ210" s="1276">
        <f>IF(Assumptions!DQ200&lt;&gt;"",Assumptions!DQ200,0)</f>
        <v>0</v>
      </c>
      <c r="DR210" s="482">
        <f>IF(Assumptions!DR200&lt;&gt;"",Assumptions!DR200,0)</f>
        <v>0</v>
      </c>
      <c r="DS210" s="482">
        <f t="shared" si="736"/>
        <v>0</v>
      </c>
      <c r="DT210" s="1276">
        <f>IF(Assumptions!DT200&lt;&gt;"",Assumptions!DT200,0)</f>
        <v>0</v>
      </c>
      <c r="DU210" s="482">
        <f>IF(Assumptions!DU200&lt;&gt;"",Assumptions!DU200,0)</f>
        <v>0</v>
      </c>
      <c r="DV210" s="482">
        <f t="shared" si="741"/>
        <v>0</v>
      </c>
      <c r="DW210" s="1276">
        <f>IF(Assumptions!DW200&lt;&gt;"",Assumptions!DW200,0)</f>
        <v>0</v>
      </c>
      <c r="DX210" s="1373">
        <f>85-70</f>
        <v>15</v>
      </c>
      <c r="DY210" s="482">
        <v>0</v>
      </c>
      <c r="DZ210" s="1276">
        <f>SUM(DX210:DY210)</f>
        <v>15</v>
      </c>
      <c r="EA210" s="482">
        <f>IF(Assumptions!EA200&lt;&gt;"",Assumptions!EA200,0)</f>
        <v>0</v>
      </c>
      <c r="EB210" s="482">
        <f t="shared" si="738"/>
        <v>0</v>
      </c>
      <c r="EC210" s="1276">
        <f>IF(Assumptions!EC200&lt;&gt;"",Assumptions!EC200,0)</f>
        <v>0</v>
      </c>
      <c r="ED210" s="482">
        <f>IF(Assumptions!ED200&lt;&gt;"",Assumptions!ED200,0)</f>
        <v>0</v>
      </c>
      <c r="EE210" s="482">
        <f t="shared" si="739"/>
        <v>0</v>
      </c>
      <c r="EF210" s="1276">
        <f>IF(Assumptions!EF200&lt;&gt;"",Assumptions!EF200,0)</f>
        <v>0</v>
      </c>
      <c r="EG210" s="482">
        <f>IF(Assumptions!EG200&lt;&gt;"",Assumptions!EG200,0)</f>
        <v>0</v>
      </c>
      <c r="EH210" s="482">
        <f t="shared" si="742"/>
        <v>0</v>
      </c>
      <c r="EI210" s="1276">
        <f>IF(Assumptions!EI200&lt;&gt;"",Assumptions!EI200,0)</f>
        <v>0</v>
      </c>
      <c r="EJ210" s="482">
        <f>IF(Assumptions!EJ200&lt;&gt;"",Assumptions!EJ200,0)</f>
        <v>0</v>
      </c>
      <c r="EK210" s="482">
        <f t="shared" si="743"/>
        <v>0</v>
      </c>
      <c r="EL210" s="1276">
        <f>IF(Assumptions!EL200&lt;&gt;"",Assumptions!EL200,0)</f>
        <v>0</v>
      </c>
      <c r="EM210" s="482">
        <f>IF(Assumptions!EM200&lt;&gt;"",Assumptions!EM200,0)</f>
        <v>0</v>
      </c>
      <c r="EN210" s="482">
        <f t="shared" si="744"/>
        <v>0</v>
      </c>
      <c r="EO210" s="1276">
        <f>IF(Assumptions!EO200&lt;&gt;"",Assumptions!EO200,0)</f>
        <v>0</v>
      </c>
      <c r="EP210" s="482">
        <f>IF(Assumptions!EP200&lt;&gt;"",Assumptions!EP200,0)</f>
        <v>0</v>
      </c>
      <c r="EQ210" s="482">
        <f t="shared" si="745"/>
        <v>0</v>
      </c>
      <c r="ER210" s="1276">
        <f>IF(Assumptions!ER200&lt;&gt;"",Assumptions!ER200,0)</f>
        <v>0</v>
      </c>
      <c r="ES210" s="482">
        <f>IF(Assumptions!ES200&lt;&gt;"",Assumptions!ES200,0)</f>
        <v>0</v>
      </c>
      <c r="ET210" s="482">
        <f t="shared" si="746"/>
        <v>0</v>
      </c>
      <c r="EU210" s="1276">
        <f>IF(Assumptions!EU200&lt;&gt;"",Assumptions!EU200,0)</f>
        <v>0</v>
      </c>
      <c r="EV210" s="482">
        <f>IF(Assumptions!EV200&lt;&gt;"",Assumptions!EV200,0)</f>
        <v>0</v>
      </c>
      <c r="EW210" s="482">
        <f t="shared" si="747"/>
        <v>0</v>
      </c>
      <c r="EX210" s="1276">
        <f>IF(Assumptions!EX200&lt;&gt;"",Assumptions!EX200,0)</f>
        <v>0</v>
      </c>
      <c r="EY210" s="482">
        <f>IF(Assumptions!EY200&lt;&gt;"",Assumptions!EY200,0)</f>
        <v>0</v>
      </c>
      <c r="EZ210" s="482">
        <f t="shared" si="748"/>
        <v>0</v>
      </c>
      <c r="FA210" s="1276">
        <f>IF(Assumptions!FA200&lt;&gt;"",Assumptions!FA200,0)</f>
        <v>0</v>
      </c>
      <c r="FE210"/>
      <c r="FF210"/>
      <c r="FG210"/>
      <c r="FH210"/>
      <c r="FI210"/>
      <c r="FJ210"/>
      <c r="FK210" s="35"/>
    </row>
    <row r="211" spans="2:167" s="236" customFormat="1" ht="13.35" customHeight="1" thickBot="1">
      <c r="B211" s="242" t="s">
        <v>554</v>
      </c>
      <c r="C211" s="242" t="s">
        <v>496</v>
      </c>
      <c r="D211" s="243"/>
      <c r="E211" s="528"/>
      <c r="F211" s="482">
        <f t="shared" si="698"/>
        <v>0</v>
      </c>
      <c r="G211" s="575"/>
      <c r="H211" s="530"/>
      <c r="I211" s="482">
        <f t="shared" si="699"/>
        <v>0</v>
      </c>
      <c r="J211" s="575"/>
      <c r="K211" s="530"/>
      <c r="L211" s="482">
        <f t="shared" si="700"/>
        <v>0</v>
      </c>
      <c r="M211" s="575"/>
      <c r="N211" s="530"/>
      <c r="O211" s="482">
        <f t="shared" si="701"/>
        <v>0</v>
      </c>
      <c r="P211" s="575"/>
      <c r="Q211" s="530"/>
      <c r="R211" s="482">
        <f t="shared" si="702"/>
        <v>0</v>
      </c>
      <c r="S211" s="575"/>
      <c r="T211" s="530"/>
      <c r="U211" s="482">
        <f t="shared" si="703"/>
        <v>0</v>
      </c>
      <c r="V211" s="575"/>
      <c r="W211" s="530"/>
      <c r="X211" s="482">
        <f t="shared" si="704"/>
        <v>0</v>
      </c>
      <c r="Y211" s="575"/>
      <c r="Z211" s="530"/>
      <c r="AA211" s="482">
        <f t="shared" si="705"/>
        <v>0</v>
      </c>
      <c r="AB211" s="575"/>
      <c r="AC211" s="530"/>
      <c r="AD211" s="482">
        <f t="shared" si="706"/>
        <v>0</v>
      </c>
      <c r="AE211" s="575"/>
      <c r="AF211" s="530"/>
      <c r="AG211" s="482">
        <f t="shared" si="707"/>
        <v>0</v>
      </c>
      <c r="AH211" s="575"/>
      <c r="AI211" s="530"/>
      <c r="AJ211" s="482">
        <f t="shared" si="708"/>
        <v>0</v>
      </c>
      <c r="AK211" s="575"/>
      <c r="AL211" s="530"/>
      <c r="AM211" s="482">
        <f t="shared" si="709"/>
        <v>0</v>
      </c>
      <c r="AN211" s="575"/>
      <c r="AO211" s="530"/>
      <c r="AP211" s="482">
        <f t="shared" si="710"/>
        <v>0</v>
      </c>
      <c r="AQ211" s="575"/>
      <c r="AR211" s="530"/>
      <c r="AS211" s="482">
        <f t="shared" si="711"/>
        <v>0</v>
      </c>
      <c r="AT211" s="575"/>
      <c r="AU211" s="577"/>
      <c r="AV211" s="482">
        <f t="shared" si="712"/>
        <v>0</v>
      </c>
      <c r="AW211" s="575"/>
      <c r="AX211" s="590">
        <v>0</v>
      </c>
      <c r="AY211" s="482">
        <f t="shared" si="713"/>
        <v>-2.5289999999999999</v>
      </c>
      <c r="AZ211" s="576">
        <v>-2.5289999999999999</v>
      </c>
      <c r="BA211" s="590">
        <v>0.31900000000000001</v>
      </c>
      <c r="BB211" s="482">
        <f t="shared" si="714"/>
        <v>7.7190000000000003</v>
      </c>
      <c r="BC211" s="576">
        <v>8.0380000000000003</v>
      </c>
      <c r="BD211" s="590">
        <v>0</v>
      </c>
      <c r="BE211" s="482">
        <f t="shared" si="715"/>
        <v>0</v>
      </c>
      <c r="BF211" s="576">
        <v>0</v>
      </c>
      <c r="BG211" s="590">
        <v>0</v>
      </c>
      <c r="BH211" s="482">
        <f t="shared" si="716"/>
        <v>1.984</v>
      </c>
      <c r="BI211" s="576">
        <v>1.984</v>
      </c>
      <c r="BJ211" s="590">
        <v>-4.383</v>
      </c>
      <c r="BK211" s="482">
        <f t="shared" si="717"/>
        <v>4.383</v>
      </c>
      <c r="BL211" s="576">
        <v>0</v>
      </c>
      <c r="BM211" s="577" t="str">
        <f>IF(BM5="A","",BM216-BM188-BM205-BM206-BM209-BM210-BM213)</f>
        <v/>
      </c>
      <c r="BN211" s="482">
        <f t="shared" si="718"/>
        <v>178.81200000000001</v>
      </c>
      <c r="BO211" s="585">
        <v>178.81200000000001</v>
      </c>
      <c r="BP211" s="590">
        <v>-18.215</v>
      </c>
      <c r="BQ211" s="482">
        <f t="shared" si="719"/>
        <v>21.893000000000001</v>
      </c>
      <c r="BR211" s="585">
        <v>3.6779999999999999</v>
      </c>
      <c r="BS211" s="577">
        <v>0</v>
      </c>
      <c r="BT211" s="482">
        <f t="shared" si="720"/>
        <v>-38.487000000000002</v>
      </c>
      <c r="BU211" s="578">
        <f>-38.487</f>
        <v>-38.487000000000002</v>
      </c>
      <c r="BV211" s="590">
        <v>0</v>
      </c>
      <c r="BW211" s="482">
        <f t="shared" si="721"/>
        <v>-25.685000000000002</v>
      </c>
      <c r="BX211" s="578">
        <f>64.938-90.623</f>
        <v>-25.685000000000002</v>
      </c>
      <c r="BY211" s="590">
        <v>60.423999999999999</v>
      </c>
      <c r="BZ211" s="482">
        <f t="shared" si="722"/>
        <v>-43.57200000000001</v>
      </c>
      <c r="CA211" s="578">
        <f>100.424-269.569+208-34+11.997</f>
        <v>16.85199999999999</v>
      </c>
      <c r="CB211" s="590">
        <v>53.469000000000001</v>
      </c>
      <c r="CC211" s="482">
        <f t="shared" si="723"/>
        <v>-211.96899999999999</v>
      </c>
      <c r="CD211" s="585">
        <v>-158.5</v>
      </c>
      <c r="CE211" s="577">
        <f>61+24.533</f>
        <v>85.533000000000001</v>
      </c>
      <c r="CF211" s="482">
        <f t="shared" si="724"/>
        <v>-85.533000000000001</v>
      </c>
      <c r="CG211" s="585">
        <v>0</v>
      </c>
      <c r="CH211" s="577" t="str">
        <f>IF(CH5="A","",CH216-CH188-CH205-CH206-CH209-CH210-CH213)</f>
        <v/>
      </c>
      <c r="CI211" s="482">
        <f t="shared" si="725"/>
        <v>0</v>
      </c>
      <c r="CJ211" s="585">
        <v>0</v>
      </c>
      <c r="CK211" s="590">
        <v>0</v>
      </c>
      <c r="CL211" s="482">
        <f t="shared" si="726"/>
        <v>106</v>
      </c>
      <c r="CM211" s="578">
        <f>195-89</f>
        <v>106</v>
      </c>
      <c r="CN211" s="577">
        <f>-18.5+74.5</f>
        <v>56</v>
      </c>
      <c r="CO211" s="482">
        <f t="shared" si="727"/>
        <v>90.5</v>
      </c>
      <c r="CP211" s="585">
        <v>146.5</v>
      </c>
      <c r="CQ211" s="577">
        <f>+-79.382+72.382</f>
        <v>-7</v>
      </c>
      <c r="CR211" s="482">
        <f t="shared" si="728"/>
        <v>130.70099999999999</v>
      </c>
      <c r="CS211" s="585">
        <v>123.70099999999999</v>
      </c>
      <c r="CT211" s="577" t="str">
        <f>IF(CT5="A","",CT216-CT188-CT205-CT206-CT209-CT210-CT213)</f>
        <v/>
      </c>
      <c r="CU211" s="482">
        <f t="shared" si="729"/>
        <v>-20</v>
      </c>
      <c r="CV211" s="578">
        <f>312.971-332.971</f>
        <v>-20</v>
      </c>
      <c r="CW211" s="577">
        <f>108-128</f>
        <v>-20</v>
      </c>
      <c r="CX211" s="482">
        <f t="shared" si="730"/>
        <v>20</v>
      </c>
      <c r="CY211" s="585">
        <v>0</v>
      </c>
      <c r="CZ211" s="577">
        <f>90-65</f>
        <v>25</v>
      </c>
      <c r="DA211" s="482">
        <f t="shared" si="731"/>
        <v>-25.4</v>
      </c>
      <c r="DB211" s="578">
        <v>-0.4</v>
      </c>
      <c r="DC211" s="578">
        <v>0</v>
      </c>
      <c r="DD211" s="482">
        <f t="shared" si="732"/>
        <v>0</v>
      </c>
      <c r="DE211" s="578">
        <v>0</v>
      </c>
      <c r="DF211" s="577">
        <v>0</v>
      </c>
      <c r="DG211" s="482">
        <f t="shared" si="740"/>
        <v>0</v>
      </c>
      <c r="DH211" s="1281">
        <v>0</v>
      </c>
      <c r="DI211" s="568">
        <v>0</v>
      </c>
      <c r="DJ211" s="482">
        <f t="shared" si="733"/>
        <v>0</v>
      </c>
      <c r="DK211" s="1276">
        <v>0</v>
      </c>
      <c r="DL211" s="568" t="str">
        <f>IF(DL5="A","",DL216-DL188-DL205-DL206-DL209-DL210-DL213-DL212)</f>
        <v/>
      </c>
      <c r="DM211" s="482">
        <f t="shared" si="734"/>
        <v>0</v>
      </c>
      <c r="DN211" s="1276" t="str">
        <f>IF(DN5="A","",DN216-DN188-DN205-DN206-DN209-DN210-DN213-DN212)</f>
        <v/>
      </c>
      <c r="DO211" s="568" t="str">
        <f>IF(DO5="A","",DO216-DO188-DO205-DO206-DO209-DO210-DO213-DO212)</f>
        <v/>
      </c>
      <c r="DP211" s="482">
        <f t="shared" si="735"/>
        <v>0</v>
      </c>
      <c r="DQ211" s="1276">
        <v>0</v>
      </c>
      <c r="DR211" s="568" t="str">
        <f>IF(DR5="A","",DR216-DR188-DR205-DR206-DR209-DR210-DR213-DR212)</f>
        <v/>
      </c>
      <c r="DS211" s="482">
        <f t="shared" si="736"/>
        <v>0</v>
      </c>
      <c r="DT211" s="1276">
        <v>0</v>
      </c>
      <c r="DU211" s="568">
        <v>0</v>
      </c>
      <c r="DV211" s="482">
        <f t="shared" si="741"/>
        <v>0</v>
      </c>
      <c r="DW211" s="1276">
        <v>0</v>
      </c>
      <c r="DX211" s="568">
        <v>0</v>
      </c>
      <c r="DY211" s="482">
        <f t="shared" ref="DY211:EX211" si="750">+DX211</f>
        <v>0</v>
      </c>
      <c r="DZ211" s="1276">
        <f t="shared" si="750"/>
        <v>0</v>
      </c>
      <c r="EA211" s="568">
        <f t="shared" si="750"/>
        <v>0</v>
      </c>
      <c r="EB211" s="482">
        <f t="shared" si="750"/>
        <v>0</v>
      </c>
      <c r="EC211" s="1276">
        <f t="shared" si="750"/>
        <v>0</v>
      </c>
      <c r="ED211" s="568">
        <f t="shared" si="750"/>
        <v>0</v>
      </c>
      <c r="EE211" s="482">
        <f t="shared" si="750"/>
        <v>0</v>
      </c>
      <c r="EF211" s="1276">
        <f t="shared" si="750"/>
        <v>0</v>
      </c>
      <c r="EG211" s="568">
        <f t="shared" si="750"/>
        <v>0</v>
      </c>
      <c r="EH211" s="482">
        <f t="shared" si="750"/>
        <v>0</v>
      </c>
      <c r="EI211" s="1276">
        <f t="shared" si="750"/>
        <v>0</v>
      </c>
      <c r="EJ211" s="568">
        <f t="shared" si="750"/>
        <v>0</v>
      </c>
      <c r="EK211" s="482">
        <f t="shared" si="750"/>
        <v>0</v>
      </c>
      <c r="EL211" s="1276">
        <f t="shared" si="750"/>
        <v>0</v>
      </c>
      <c r="EM211" s="568">
        <f t="shared" si="750"/>
        <v>0</v>
      </c>
      <c r="EN211" s="482">
        <f t="shared" si="750"/>
        <v>0</v>
      </c>
      <c r="EO211" s="1276">
        <f t="shared" si="750"/>
        <v>0</v>
      </c>
      <c r="EP211" s="568">
        <f t="shared" si="750"/>
        <v>0</v>
      </c>
      <c r="EQ211" s="482">
        <f t="shared" si="750"/>
        <v>0</v>
      </c>
      <c r="ER211" s="1276">
        <f t="shared" si="750"/>
        <v>0</v>
      </c>
      <c r="ES211" s="568">
        <f t="shared" si="750"/>
        <v>0</v>
      </c>
      <c r="ET211" s="482">
        <f t="shared" si="750"/>
        <v>0</v>
      </c>
      <c r="EU211" s="1276">
        <f t="shared" si="750"/>
        <v>0</v>
      </c>
      <c r="EV211" s="568">
        <f t="shared" si="750"/>
        <v>0</v>
      </c>
      <c r="EW211" s="482">
        <f t="shared" si="750"/>
        <v>0</v>
      </c>
      <c r="EX211" s="1276">
        <f t="shared" si="750"/>
        <v>0</v>
      </c>
      <c r="EY211" s="568">
        <f t="shared" ref="EY211" si="751">+EX211</f>
        <v>0</v>
      </c>
      <c r="EZ211" s="482">
        <f t="shared" ref="EZ211" si="752">+EY211</f>
        <v>0</v>
      </c>
      <c r="FA211" s="1276">
        <f t="shared" ref="FA211" si="753">+EZ211</f>
        <v>0</v>
      </c>
      <c r="FE211"/>
      <c r="FF211"/>
      <c r="FG211"/>
      <c r="FH211"/>
      <c r="FI211"/>
      <c r="FJ211"/>
      <c r="FK211" s="35"/>
    </row>
    <row r="212" spans="2:167" s="236" customFormat="1" ht="13.35" customHeight="1">
      <c r="B212" s="242" t="s">
        <v>969</v>
      </c>
      <c r="C212" s="242" t="s">
        <v>496</v>
      </c>
      <c r="D212" s="243"/>
      <c r="E212" s="482"/>
      <c r="F212" s="482"/>
      <c r="G212" s="568"/>
      <c r="H212" s="482"/>
      <c r="I212" s="482"/>
      <c r="J212" s="568"/>
      <c r="K212" s="482"/>
      <c r="L212" s="482"/>
      <c r="M212" s="568"/>
      <c r="N212" s="482"/>
      <c r="O212" s="482"/>
      <c r="P212" s="568"/>
      <c r="Q212" s="482"/>
      <c r="R212" s="482"/>
      <c r="S212" s="568"/>
      <c r="T212" s="482"/>
      <c r="U212" s="482"/>
      <c r="V212" s="568"/>
      <c r="W212" s="482"/>
      <c r="X212" s="482"/>
      <c r="Y212" s="568"/>
      <c r="Z212" s="482"/>
      <c r="AA212" s="482"/>
      <c r="AB212" s="568"/>
      <c r="AC212" s="482"/>
      <c r="AD212" s="482"/>
      <c r="AE212" s="568"/>
      <c r="AF212" s="482"/>
      <c r="AG212" s="482"/>
      <c r="AH212" s="568"/>
      <c r="AI212" s="482"/>
      <c r="AJ212" s="482"/>
      <c r="AK212" s="568"/>
      <c r="AL212" s="482"/>
      <c r="AM212" s="482"/>
      <c r="AN212" s="568"/>
      <c r="AO212" s="482"/>
      <c r="AP212" s="482"/>
      <c r="AQ212" s="568"/>
      <c r="AR212" s="482"/>
      <c r="AS212" s="482"/>
      <c r="AT212" s="568"/>
      <c r="AU212" s="568"/>
      <c r="AV212" s="482"/>
      <c r="AW212" s="568"/>
      <c r="AX212" s="569"/>
      <c r="AY212" s="482"/>
      <c r="AZ212" s="569"/>
      <c r="BA212" s="569"/>
      <c r="BB212" s="482"/>
      <c r="BC212" s="569"/>
      <c r="BD212" s="569"/>
      <c r="BE212" s="482"/>
      <c r="BF212" s="569"/>
      <c r="BG212" s="569"/>
      <c r="BH212" s="482"/>
      <c r="BI212" s="569"/>
      <c r="BJ212" s="569"/>
      <c r="BK212" s="482"/>
      <c r="BL212" s="569"/>
      <c r="BM212" s="568"/>
      <c r="BN212" s="482"/>
      <c r="BO212" s="569"/>
      <c r="BP212" s="569"/>
      <c r="BQ212" s="482"/>
      <c r="BR212" s="569"/>
      <c r="BS212" s="568"/>
      <c r="BT212" s="482"/>
      <c r="BU212" s="568"/>
      <c r="BV212" s="569"/>
      <c r="BW212" s="482"/>
      <c r="BX212" s="568"/>
      <c r="BY212" s="569"/>
      <c r="BZ212" s="482"/>
      <c r="CA212" s="568"/>
      <c r="CB212" s="569"/>
      <c r="CC212" s="482"/>
      <c r="CD212" s="569"/>
      <c r="CE212" s="568"/>
      <c r="CF212" s="482"/>
      <c r="CG212" s="569"/>
      <c r="CH212" s="568"/>
      <c r="CI212" s="482"/>
      <c r="CJ212" s="569"/>
      <c r="CK212" s="569"/>
      <c r="CL212" s="482"/>
      <c r="CM212" s="568"/>
      <c r="CN212" s="568"/>
      <c r="CO212" s="482"/>
      <c r="CP212" s="569"/>
      <c r="CQ212" s="568"/>
      <c r="CR212" s="482"/>
      <c r="CS212" s="569"/>
      <c r="CT212" s="568"/>
      <c r="CU212" s="482"/>
      <c r="CV212" s="568"/>
      <c r="CW212" s="568"/>
      <c r="CX212" s="482"/>
      <c r="CY212" s="569"/>
      <c r="CZ212" s="568"/>
      <c r="DA212" s="482"/>
      <c r="DB212" s="568"/>
      <c r="DC212" s="568"/>
      <c r="DD212" s="482"/>
      <c r="DE212" s="568"/>
      <c r="DF212" s="568">
        <f>Assumptions!DF132</f>
        <v>-12.6</v>
      </c>
      <c r="DG212" s="482">
        <f>DH212-DF212</f>
        <v>-12.000000000000002</v>
      </c>
      <c r="DH212" s="1366">
        <v>-24.6</v>
      </c>
      <c r="DI212" s="1367">
        <v>-10.5</v>
      </c>
      <c r="DJ212" s="482">
        <f>DK212-DI212</f>
        <v>-10</v>
      </c>
      <c r="DK212" s="1366">
        <v>-20.5</v>
      </c>
      <c r="DL212" s="1367">
        <v>-12.4</v>
      </c>
      <c r="DM212" s="482">
        <f>DN212-DL212</f>
        <v>-13.200000000000001</v>
      </c>
      <c r="DN212" s="1366">
        <v>-25.6</v>
      </c>
      <c r="DO212" s="1367">
        <v>-15.3</v>
      </c>
      <c r="DP212" s="482">
        <f>DQ212-DO212</f>
        <v>-16.099999999999998</v>
      </c>
      <c r="DQ212" s="1366">
        <v>-31.4</v>
      </c>
      <c r="DR212" s="1367">
        <v>-17.3</v>
      </c>
      <c r="DS212" s="482">
        <f>DT212-DR212</f>
        <v>-15.099999999999998</v>
      </c>
      <c r="DT212" s="1366">
        <v>-32.4</v>
      </c>
      <c r="DU212" s="1367">
        <v>-16.5</v>
      </c>
      <c r="DV212" s="482">
        <f>DW212-DU212</f>
        <v>-19.700000000000003</v>
      </c>
      <c r="DW212" s="1366">
        <v>-36.200000000000003</v>
      </c>
      <c r="DX212" s="1367">
        <v>-18.899999999999999</v>
      </c>
      <c r="DY212" s="568">
        <f>Assumptions!DY132</f>
        <v>-11.5592786404785</v>
      </c>
      <c r="DZ212" s="1276">
        <f>SUM(DX212:DY212)</f>
        <v>-30.459278640478498</v>
      </c>
      <c r="EA212" s="568">
        <f>Assumptions!EA132</f>
        <v>-12.005760606490462</v>
      </c>
      <c r="EB212" s="482">
        <f>EC212-EA212</f>
        <v>-12.005760606490462</v>
      </c>
      <c r="EC212" s="1276">
        <f>Assumptions!EC132</f>
        <v>-24.011521212980924</v>
      </c>
      <c r="ED212" s="568">
        <f>Assumptions!ED132</f>
        <v>-12.463404621652721</v>
      </c>
      <c r="EE212" s="482">
        <f>EF212-ED212</f>
        <v>-12.463404621652721</v>
      </c>
      <c r="EF212" s="1276">
        <f>Assumptions!EF132</f>
        <v>-24.926809243305442</v>
      </c>
      <c r="EG212" s="568">
        <f>Assumptions!EG132</f>
        <v>-12.932489737194036</v>
      </c>
      <c r="EH212" s="482">
        <f>EI212-EG212</f>
        <v>-12.932489737194036</v>
      </c>
      <c r="EI212" s="1276">
        <f>Assumptions!EI132</f>
        <v>-25.864979474388072</v>
      </c>
      <c r="EJ212" s="568">
        <f>Assumptions!EJ132</f>
        <v>-13.413301980623885</v>
      </c>
      <c r="EK212" s="482">
        <f>EL212-EJ212</f>
        <v>-13.413301980623885</v>
      </c>
      <c r="EL212" s="1276">
        <f>Assumptions!EL132</f>
        <v>-26.82660396124777</v>
      </c>
      <c r="EM212" s="568">
        <f>Assumptions!EM132</f>
        <v>-13.906134530139479</v>
      </c>
      <c r="EN212" s="482">
        <f>EO212-EM212</f>
        <v>-13.906134530139479</v>
      </c>
      <c r="EO212" s="1276">
        <f>Assumptions!EO132</f>
        <v>-27.812269060278958</v>
      </c>
      <c r="EP212" s="568">
        <f>Assumptions!EP132</f>
        <v>-14.411287893392963</v>
      </c>
      <c r="EQ212" s="482">
        <f>ER212-EP212</f>
        <v>-14.411287893392963</v>
      </c>
      <c r="ER212" s="1276">
        <f>Assumptions!ER132</f>
        <v>-28.822575786785926</v>
      </c>
      <c r="ES212" s="568">
        <f>Assumptions!ES132</f>
        <v>-14.929070090727784</v>
      </c>
      <c r="ET212" s="482">
        <f>EU212-ES212</f>
        <v>-14.929070090727784</v>
      </c>
      <c r="EU212" s="1276">
        <f>Assumptions!EU132</f>
        <v>-29.858140181455568</v>
      </c>
      <c r="EV212" s="568">
        <f>Assumptions!EV132</f>
        <v>-15.459796842995978</v>
      </c>
      <c r="EW212" s="482">
        <f>EX212-EV212</f>
        <v>-15.459796842995978</v>
      </c>
      <c r="EX212" s="1276">
        <f>Assumptions!EX132</f>
        <v>-30.919593685991956</v>
      </c>
      <c r="EY212" s="568">
        <f>Assumptions!EY132</f>
        <v>-16.003791764070876</v>
      </c>
      <c r="EZ212" s="482">
        <f>FA212-EY212</f>
        <v>-16.003791764070876</v>
      </c>
      <c r="FA212" s="1276">
        <f>Assumptions!FA132</f>
        <v>-32.007583528141751</v>
      </c>
      <c r="FE212"/>
      <c r="FF212"/>
      <c r="FG212"/>
      <c r="FH212"/>
      <c r="FI212"/>
      <c r="FJ212"/>
      <c r="FK212" s="35"/>
    </row>
    <row r="213" spans="2:167" s="236" customFormat="1" ht="13.35" customHeight="1">
      <c r="B213" s="1483" t="s">
        <v>804</v>
      </c>
      <c r="C213" s="1483" t="s">
        <v>496</v>
      </c>
      <c r="D213" s="1484"/>
      <c r="E213" s="1495">
        <f>IF(E5="A",E214-E211-E210-E209-E206,((-(E241-D241))+(-(E246-D246))+(-(E251-D251))+(-(E258-D258))+(E283-D283)+(E289-D289)+(E303-D303)))</f>
        <v>0</v>
      </c>
      <c r="F213" s="1485">
        <f t="shared" si="698"/>
        <v>0</v>
      </c>
      <c r="G213" s="1495">
        <f>IF(G5="A",G214-G211-G210-G209-G206,((-(G241-D241))+(-(G246-D246))+(-(G251-D251))+(-(G258-D258))+(G283-D283)+(G289-D289)+(G303-D303)))</f>
        <v>0</v>
      </c>
      <c r="H213" s="1495">
        <f>IF(H5="A",H214-H211-H210-H209-H206,((-(H241-G241))+(-(H246-G246))+(-(H251-G251))+(-(H258-G258))+(H283-G283)+(H289-G289)+(H303-G303)))</f>
        <v>0</v>
      </c>
      <c r="I213" s="1485">
        <f t="shared" si="699"/>
        <v>0</v>
      </c>
      <c r="J213" s="1495">
        <f>IF(J5="A",J214-J211-J210-J209-J206,((-(J241-G241))+(-(J246-G246))+(-(J251-G251))+(-(J258-G258))+(J283-G283)+(J289-G289)+(J303-G303)))</f>
        <v>0</v>
      </c>
      <c r="K213" s="1495">
        <f>IF(K5="A",K214-K211-K210-K209-K206,((-(K241-J241))+(-(K246-J246))+(-(K251-J251))+(-(K258-J258))+(K283-J283)+(K289-J289)+(K303-J303)))</f>
        <v>0</v>
      </c>
      <c r="L213" s="1485">
        <f t="shared" si="700"/>
        <v>0</v>
      </c>
      <c r="M213" s="1495">
        <f>IF(M5="A",M214-M211-M210-M209-M206,((-(M241-J241))+(-(M246-J246))+(-(M251-J251))+(-(M258-J258))+(M283-J283)+(M289-J289)+(M303-J303)))</f>
        <v>0</v>
      </c>
      <c r="N213" s="1495">
        <f>IF(N5="A",N214-N211-N210-N209-N206,((-(N241-M241))+(-(N246-M246))+(-(N251-M251))+(-(N258-M258))+(N283-M283)+(N289-M289)+(N303-M303)))</f>
        <v>0</v>
      </c>
      <c r="O213" s="1485">
        <f t="shared" si="701"/>
        <v>0</v>
      </c>
      <c r="P213" s="1495">
        <f>IF(P5="A",P214-P211-P210-P209-P206,((-(P241-M241))+(-(P246-M246))+(-(P251-M251))+(-(P258-M258))+(P283-M283)+(P289-M289)+(P303-M303)))</f>
        <v>0</v>
      </c>
      <c r="Q213" s="1495">
        <f>IF(Q5="A",Q214-Q211-Q210-Q209-Q206,((-(Q241-P241))+(-(Q246-P246))+(-(Q251-P251))+(-(Q258-P258))+(Q283-P283)+(Q289-P289)+(Q303-P303)))</f>
        <v>0</v>
      </c>
      <c r="R213" s="1485">
        <f t="shared" si="702"/>
        <v>0</v>
      </c>
      <c r="S213" s="1495">
        <f>IF(S5="A",S214-S211-S210-S209-S206,((-(S241-P241))+(-(S246-P246))+(-(S251-P251))+(-(S258-P258))+(S283-P283)+(S289-P289)+(S303-P303)))</f>
        <v>0</v>
      </c>
      <c r="T213" s="1495">
        <f>IF(T5="A",T214-T211-T210-T209-T206,((-(T241-S241))+(-(T246-S246))+(-(T251-S251))+(-(T258-S258))+(T283-S283)+(T289-S289)+(T303-S303)))</f>
        <v>0</v>
      </c>
      <c r="U213" s="1485">
        <f t="shared" si="703"/>
        <v>0</v>
      </c>
      <c r="V213" s="1495">
        <f>IF(V5="A",V214-V211-V210-V209-V206,((-(V241-S241))+(-(V246-S246))+(-(V251-S251))+(-(V258-S258))+(V283-S283)+(V289-S289)+(V303-S303)))</f>
        <v>0</v>
      </c>
      <c r="W213" s="1495">
        <f>IF(W5="A",W214-W211-W210-W209-W206,((-(W241-V241))+(-(W246-V246))+(-(W251-V251))+(-(W258-V258))+(W283-V283)+(W289-V289)+(W303-V303)))</f>
        <v>0</v>
      </c>
      <c r="X213" s="1485">
        <f t="shared" si="704"/>
        <v>0</v>
      </c>
      <c r="Y213" s="1495">
        <f>IF(Y5="A",Y214-Y211-Y210-Y209-Y206,((-(Y241-V241))+(-(Y246-V246))+(-(Y251-V251))+(-(Y258-V258))+(Y283-V283)+(Y289-V289)+(Y303-V303)))</f>
        <v>0</v>
      </c>
      <c r="Z213" s="1495">
        <f>IF(Z5="A",Z214-Z211-Z210-Z209-Z206,((-(Z241-Y241))+(-(Z246-Y246))+(-(Z251-Y251))+(-(Z258-Y258))+(Z283-Y283)+(Z289-Y289)+(Z303-Y303)))</f>
        <v>0</v>
      </c>
      <c r="AA213" s="1485">
        <f t="shared" si="705"/>
        <v>0</v>
      </c>
      <c r="AB213" s="1495">
        <f>IF(AB5="A",AB214-AB211-AB210-AB209-AB206,((-(AB241-Y241))+(-(AB246-Y246))+(-(AB251-Y251))+(-(AB258-Y258))+(AB283-Y283)+(AB289-Y289)+(AB303-Y303)))</f>
        <v>0</v>
      </c>
      <c r="AC213" s="1495">
        <f>IF(AC5="A",AC214-AC211-AC210-AC209-AC206,((-(AC241-AB241))+(-(AC246-AB246))+(-(AC251-AB251))+(-(AC258-AB258))+(AC283-AB283)+(AC289-AB289)+(AC303-AB303)))</f>
        <v>0</v>
      </c>
      <c r="AD213" s="1485">
        <f t="shared" si="706"/>
        <v>0</v>
      </c>
      <c r="AE213" s="1495">
        <f>IF(AE5="A",AE214-AE211-AE210-AE209-AE206,((-(AE241-AB241))+(-(AE246-AB246))+(-(AE251-AB251))+(-(AE258-AB258))+(AE283-AB283)+(AE289-AB289)+(AE303-AB303)))</f>
        <v>0</v>
      </c>
      <c r="AF213" s="1495">
        <f>IF(AF5="A",AF214-AF211-AF210-AF209-AF206,((-(AF241-AE241))+(-(AF246-AE246))+(-(AF251-AE251))+(-(AF258-AE258))+(AF283-AE283)+(AF289-AE289)+(AF303-AE303)))</f>
        <v>0</v>
      </c>
      <c r="AG213" s="1485">
        <f t="shared" si="707"/>
        <v>0</v>
      </c>
      <c r="AH213" s="1495">
        <f>IF(AH5="A",AH214-AH211-AH210-AH209-AH206,((-(AH241-AE241))+(-(AH246-AE246))+(-(AH251-AE251))+(-(AH258-AE258))+(AH283-AE283)+(AH289-AE289)+(AH303-AE303)))</f>
        <v>0</v>
      </c>
      <c r="AI213" s="1495">
        <f>IF(AI5="A",AI214-AI211-AI210-AI209-AI206,((-(AI241-AH241))+(-(AI246-AH246))+(-(AI251-AH251))+(-(AI258-AH258))+(AI283-AH283)+(AI289-AH289)+(AI303-AH303)))</f>
        <v>0</v>
      </c>
      <c r="AJ213" s="1485">
        <f t="shared" si="708"/>
        <v>0</v>
      </c>
      <c r="AK213" s="1495">
        <f>IF(AK5="A",AK214-AK211-AK210-AK209-AK206,((-(AK241-AH241))+(-(AK246-AH246))+(-(AK251-AH251))+(-(AK258-AH258))+(AK283-AH283)+(AK289-AH289)+(AK303-AH303)))</f>
        <v>0</v>
      </c>
      <c r="AL213" s="1495">
        <f>IF(AL5="A",AL214-AL211-AL210-AL209-AL206,((-(AL241-AK241))+(-(AL246-AK246))+(-(AL251-AK251))+(-(AL258-AK258))+(AL283-AK283)+(AL289-AK289)+(AL303-AK303)))</f>
        <v>-1.3322676295501878E-15</v>
      </c>
      <c r="AM213" s="1485">
        <f t="shared" si="709"/>
        <v>3.9968028886505635E-15</v>
      </c>
      <c r="AN213" s="1495">
        <f>IF(AN5="A",AN214-AN211-AN210-AN209-AN206,((-(AN241-AK241))+(-(AN246-AK246))+(-(AN251-AK251))+(-(AN258-AK258))+(AN283-AK283)+(AN289-AK289)+(AN303-AK303)))</f>
        <v>2.6645352591003757E-15</v>
      </c>
      <c r="AO213" s="1495">
        <f>IF(AO5="A",AO214-AO211-AO210-AO209-AO206,((-(AO241-AN241))+(-(AO246-AN246))+(-(AO251-AN251))+(-(AO258-AN258))+(AO283-AN283)+(AO289-AN289)+(AO303-AN303))+AO584+AO586+AO590+AO594+AO599+AO601+AO604)</f>
        <v>-4.4408920985006262E-16</v>
      </c>
      <c r="AP213" s="1485">
        <f t="shared" si="710"/>
        <v>-3.4999999999999698E-2</v>
      </c>
      <c r="AQ213" s="1495">
        <f>IF(AQ5="A",AQ214-AQ211-AQ210-AQ209-AQ206,((-(AQ241-AN241))+(-(AQ246-AN246))+(-(AQ251-AN251))+(-(AQ258-AN258))+(AQ283-AN283)+(AQ289-AN289)+(AQ303-AN303))+AQ584+AQ586+AQ590+AQ594+AQ599+AQ601+AQ604+150-65)</f>
        <v>-3.5000000000000142E-2</v>
      </c>
      <c r="AR213" s="1495">
        <f>IF(AR5="A",AR214-AR211-AR210-AR209-AR206,((-(AR241-AQ241))+(-(AR246-AQ246))+(-(AR251-AQ251))+(-(AR258-AQ258))+(AR283-AQ283)+(AR289-AQ289)+(AR303-AQ303))+AR584+AR586+AR590+AR594+AR599+AR601+AR604)</f>
        <v>0</v>
      </c>
      <c r="AS213" s="1485">
        <f t="shared" si="711"/>
        <v>-8.8817841970012523E-16</v>
      </c>
      <c r="AT213" s="1495">
        <f>IF(AT5="A",AT214-AT211-AT210-AT209-AT206,((-(AT241-AQ241))+(-(AT246-AQ246))+(-(AT251-AQ251))+(-(AT258-AQ258))+(AT283-AQ283)+(AT289-AQ289)+(AT303-AQ303))+AT584+AT586+AT590+AT594+AT599+AT601+AT604)</f>
        <v>-8.8817841970012523E-16</v>
      </c>
      <c r="AU213" s="1495">
        <f>IF(AU5="A",AU214-AU211-AU210-AU209-AU206,((-(AU241-AT241))+(-(AU246-AT246))+(-(AU251-AT251))+(-(AU258-AT258))+(AU283-AT283)+(AU289-AT289)+(AU303-AT303))+AU584+AU586+AU590+AU594+AU599+AU601+AU604)</f>
        <v>0</v>
      </c>
      <c r="AV213" s="1485">
        <f t="shared" si="712"/>
        <v>8.8817841970012523E-16</v>
      </c>
      <c r="AW213" s="1495">
        <f>IF(AW5="A",AW214-AW211-AW210-AW209-AW206,((-(AW241-AT241))+(-(AW246-AT246))+(-(AW251-AT251))+(-(AW258-AT258))+(AW283-AT283)+(AW289-AT289)+(AW303-AT303))+AW584+AW586+AW590+AW594+AW599+AW601+AW604)</f>
        <v>8.8817841970012523E-16</v>
      </c>
      <c r="AX213" s="1495">
        <f>IF(AX5="A",AX214-AX211-AX210-AX209-AX206,((-(AX241-AW241))+(-(AX246-AW246))+(-(AX251-AW251))+(-(AX258-AW258))+(AX283-AW283)+(AX289-AW289)+(AX303-AW303))+AX584+AX586+AX590+AX594+AX599+AX601+AX604)</f>
        <v>6.6613381477509392E-16</v>
      </c>
      <c r="AY213" s="1485">
        <f t="shared" si="713"/>
        <v>2.0000000000002016E-2</v>
      </c>
      <c r="AZ213" s="1495">
        <f>IF(AZ5="A",AZ214-AZ211-AZ210-AZ209-AZ206,((-(AZ241-AW241))+(-(AZ246-AW246))+(-(AZ251-AW251))+(-(AZ258-AW258))+(AZ283-AW283)+(AZ289-AW289)+(AZ303-AW303))+AZ584+AZ586+AZ590+AZ594+AZ599+AZ601+AZ604)</f>
        <v>2.0000000000002682E-2</v>
      </c>
      <c r="BA213" s="1495">
        <f>IF(BA5="A",BA214-BA211-BA210-BA209-BA206,((-(BA241-AZ241))+(-(BA246-AZ246))+(-(BA251-AZ251))+(-(BA258-AZ258))+(BA283-AZ283)+(BA289-AZ289)+(BA303-AZ303))+BA584+BA586+BA590+BA594+BA599+BA601+BA604)</f>
        <v>-4.4408920985006262E-16</v>
      </c>
      <c r="BB213" s="1485">
        <f t="shared" si="714"/>
        <v>-2.6645352591003757E-15</v>
      </c>
      <c r="BC213" s="1495">
        <f>IF(BC5="A",BC214-BC211-BC210-BC209-BC206,((-(BC241-AZ241))+(-(BC246-AZ246))+(-(BC251-AZ251))+(-(BC258-AZ258))+(BC283-AZ283)+(BC289-AZ289)+(BC303-AZ303))+BC584+BC586+BC590+BC594+BC599+BC601+BC604)</f>
        <v>-3.1086244689504383E-15</v>
      </c>
      <c r="BD213" s="1495">
        <f>IF(BD5="A",BD214-BD211-BD210-BD209-BD206,((-(BD241-BC241))+(-(BD246-BC246))+(-(BD251-BC251))+(-(BD258-BC258))+(BD283-BC283)+(BD289-BC289)+(BD303-BC303))+BD584+BD586+BD590+BD594+BD599+BD601+BD604)</f>
        <v>-8.8817841970012523E-16</v>
      </c>
      <c r="BE213" s="1485">
        <f t="shared" si="715"/>
        <v>1.7763568394002505E-15</v>
      </c>
      <c r="BF213" s="1495">
        <f>IF(BF5="A",BF214-BF211-BF210-BF209-BF206,((-(BF241-BC241))+(-(BF246-BC246))+(-(BF251-BC251))+(-(BF258-BC258))+(BF283-BC283)+(BF289-BC289)+(BF303-BC303))+BF584+BF586+BF590+BF594+BF599+BF601+BF604)</f>
        <v>8.8817841970012523E-16</v>
      </c>
      <c r="BG213" s="1495">
        <f>IF(BG5="A",BG214-BG211-BG210-BG209-BG206,((-(BG241-BF241))+(-(BG246-BF246))+(-(BG251-BF251))+(-(BG258-BF258))+(BG283-BF283)+(BG289-BF289)+(BG303-BF303))+BG584+BG586+BG590+BG594+BG599+BG601+BG604)</f>
        <v>-16.074000000000005</v>
      </c>
      <c r="BH213" s="1485">
        <f t="shared" si="716"/>
        <v>16.074000000000005</v>
      </c>
      <c r="BI213" s="1495">
        <f>IF(BI5="A",BI214-BI211-BI210-BI209-BI206,((-(BI241-BF241))+(-(BI246-BF246))+(-(BI251-BF251))+(-(BI258-BF258))+(BI283-BF283)+(BI289-BF289)+(BI303-BF303))+BI584+BI586+BI590+BI594+BI599+BI601+BI604)</f>
        <v>1.7763568394002505E-15</v>
      </c>
      <c r="BJ213" s="1495">
        <f>IF(BJ5="A",BJ214-BJ211-BJ210-BJ209-BJ206,((-(BJ241-BI241))+(-(BJ246-BI246))+(-(BJ251-BI251))+(-(BJ258-BI258))+(BJ283-BI283)+(BJ289-BI289)+(BJ303-BI303))+BJ584+BJ586+BJ590+BJ594+BJ599+BJ601+BJ604)</f>
        <v>0.19500000000000028</v>
      </c>
      <c r="BK213" s="1485">
        <f t="shared" si="717"/>
        <v>-0.19500000000000384</v>
      </c>
      <c r="BL213" s="1495">
        <f>IF(BL5="A",BL214-BL211-BL210-BL209-BL206,((-(BL241-BI241))+(-(BL246-BI246))+(-(BL251-BI251))+(-(BL258-BI258))+(BL283-BI283)+(BL289-BI289)+(BL303-BI303))+BL584+BL586+BL590+BL594+BL599+BL601+BL604)</f>
        <v>-3.5527136788005009E-15</v>
      </c>
      <c r="BM213" s="1495">
        <f>IF(BM5="A",BM214-BM211-BM210-BM209-BM206,((-(BM241-BL241))+(-(BM246-BL246))+(-(BM251-BL251))+(-(BM258-BL258))+(BM283-BL283)+(BM289-BL289)+(BM303-BL303))+BM584+BM586+BM590+BM594+BM599+BM601+BM604)</f>
        <v>0</v>
      </c>
      <c r="BN213" s="1485">
        <f t="shared" si="718"/>
        <v>-1.4210854715202004E-14</v>
      </c>
      <c r="BO213" s="1495">
        <f>IF(BO5="A",BO214-BO211-BO210-BO209-BO206,((-(BO241-BL241))+(-(BO246-BL246))+(-(BO251-BL251))+(-(BO258-BL258))+(BO283-BL283)+(BO289-BL289)+(BO303-BL303))+BO584+BO586+BO590+BO594+BO599+BO601+BO604)</f>
        <v>-1.4210854715202004E-14</v>
      </c>
      <c r="BP213" s="1495">
        <f>IF(BP5="A",BP214-BP211-BP210-BP209-BP206,((-(BP241-BO241))+(-(BP246-BO246))+(-(BP251-BO251))+(-(BP258-BO258))+(BP283-BO283)+(BP289-BO289)+(BP303-BO303))+BP584+BP586+BP590+BP594+BP599+BP601+BP604)</f>
        <v>17.288</v>
      </c>
      <c r="BQ213" s="1485">
        <f t="shared" si="719"/>
        <v>-17.287999999999997</v>
      </c>
      <c r="BR213" s="1495">
        <f>IF(BR5="A",BR214-BR211-BR210-BR209-BR206,((-(BR241-BO241))+(-(BR246-BO246))+(-(BR251-BO251))+(-(BR258-BO258))+(BR283-BO283)+(BR289-BO289)+(BR303-BO303))+BR584+BR586+BR590+BR594+BR599+BR601+BR604)</f>
        <v>3.5527136788005009E-15</v>
      </c>
      <c r="BS213" s="1495">
        <f>IF(BS5="A",BS214-BS211-BS210-BS209-BS206,((-(BS241-BR241))+(-(BS246-BR246))+(-(BS251-BR251))+(-(BS258-BR258))+(BS283-BR283)+(BS289-BR289)+(BS303-BR303))+BS584+BS586+BS590+BS594+BS599+BS601+BS604)</f>
        <v>4.4408920985006262E-15</v>
      </c>
      <c r="BT213" s="1485">
        <f t="shared" si="720"/>
        <v>-2.0000000000000036</v>
      </c>
      <c r="BU213" s="1495">
        <f>IF(BU5="A",BU214-BU211-BU210-BU209-BU206,((-(BU241-BR241))+(-(BU246-BR246))+(-(BU251-BR251))+(-(BU258-BR258))+(BU283-BR283)+(BU289-BR289)+(BU303-BR303))+BU584+BU586+BU590+BU594+BU599+BU601+BU604)</f>
        <v>-1.9999999999999991</v>
      </c>
      <c r="BV213" s="1495">
        <f>IF(BV5="A",BV214-BV211-BV210-BV209-BV206,((-(BV241-BU241))+(-(BV246-BU246))+(-(BV251-BU251))+(-(BV258-BU258))+(BV283-BU283)+(BV289-BU289)+(BV303-BU303))+BV584+BV586+BV590+BV594+BV599+BV601+BV604)</f>
        <v>-1.7763568394002505E-15</v>
      </c>
      <c r="BW213" s="1485">
        <f t="shared" si="721"/>
        <v>1.7763568394002505E-15</v>
      </c>
      <c r="BX213" s="1496">
        <v>0</v>
      </c>
      <c r="BY213" s="1495">
        <f>IF(BY5="A",BY214-BY211-BY210-BY209-BY206,((-(BY241-BX241))+(-(BY246-BX246))+(-(BY251-BX251))+(-(BY258-BX258))+(BY283-BX283)+(BY289-BX289)+(BY303-BX303))+BY584+BY586+BY590+BY594+BY599+BY601+BY604)</f>
        <v>3.5527136788005009E-15</v>
      </c>
      <c r="BZ213" s="1485">
        <f t="shared" si="722"/>
        <v>-3.5527136788005009E-15</v>
      </c>
      <c r="CA213" s="1496">
        <v>0</v>
      </c>
      <c r="CB213" s="1495">
        <f>IF(CB5="A",CB214-CB211-CB210-CB209-CB206,((-(CB241-CA241))+(-(CB246-CA246))+(-(CB251-CA251))+(-(CB258-CA258))+(CB283-CA283)+(CB289-CA289)+(CB303-CA303))+CB584+CB586+CB590+CB594+CB599+CB601+CB604)</f>
        <v>-3.5527136788005009E-15</v>
      </c>
      <c r="CC213" s="1485">
        <f t="shared" si="723"/>
        <v>-7.1054273576010019E-15</v>
      </c>
      <c r="CD213" s="1495">
        <f>IF(CD5="A",CD214-CD211-CD210-CD209-CD206,((-(CD241-CA241))+(-(CD246-CA246))+(-(CD251-CA251))+(-(CD258-CA258))+(CD283-CA283)+(CD289-CA289)+(CD303-CA303))+CD584+CD586+CD590+CD594+CD599+CD601+CD604)</f>
        <v>-1.0658141036401503E-14</v>
      </c>
      <c r="CE213" s="1495">
        <f>IF(CE5="A",CE214-CE211-CE210-CE209-CE206,((-(CE241-CD241))+(-(CE246-CD246))+(-(CE251-CD251))+(-(CE258-CD258))+(CE283-CD283)+(CE289-CD289)+(CE303-CD303))+CE584+CE586+CE590+CE594+CE599+CE601+CE604)</f>
        <v>-4.8310000000000111</v>
      </c>
      <c r="CF213" s="1485">
        <f t="shared" si="724"/>
        <v>4.8310000000000146</v>
      </c>
      <c r="CG213" s="1495">
        <f>IF(CG5="A",CG214-CG211-CG210-CG209-CG206,((-(CG241-CD241))+(-(CG246-CD246))+(-(CG251-CD251))+(-(CG258-CD258))+(CG283-CD283)+(CG289-CD289)+(CG303-CD303))+CG584+CG586+CG590+CG594+CG599+CG601+CG604)</f>
        <v>3.5527136788005009E-15</v>
      </c>
      <c r="CH213" s="1495">
        <f>IF(CH5="A",CH214-CH211-CH210-CH209-CH206,((-(CH241-CG241))+(-(CH246-CG246))+(-(CH251-CG251))+(-(CH258-CG258))+(CH283-CG283)+(CH289-CG289)+(CH303-CG303))+CH584+CH586+CH590+CH594+CH599+CH601+CH604)</f>
        <v>5.9952043329758453E-15</v>
      </c>
      <c r="CI213" s="1485">
        <f t="shared" si="725"/>
        <v>279.48599999999999</v>
      </c>
      <c r="CJ213" s="1495">
        <f>IF(CJ5="A",CJ214-CJ211-CJ210-CJ209-CJ206,((-(CJ241-CG241))+(-(CJ246-CG246))+(-(CJ251-CG251))+(-(CJ258-CG258))+(CJ283-CG283)+(CJ289-CG289)+(CJ303-CG303))+CJ584+CJ586+CJ590+CJ594+CJ599+CJ601+CJ604)</f>
        <v>279.48599999999999</v>
      </c>
      <c r="CK213" s="1495">
        <f>IF(CK5="A",CK214-CK211-CK210-CK209-CK206,((-(CK241-CJ241))+(-(CK246-CJ246))+(-(CK251-CJ251))+(-(CK258-CJ258))+(CK283-CJ283)+(CK289-CJ289)+(CK303-CJ303))+CK584+CK586+CK590+CK594+CK599+CK601+CK604)</f>
        <v>-0.90600000000000369</v>
      </c>
      <c r="CL213" s="1485">
        <f t="shared" si="726"/>
        <v>0.90599999999999037</v>
      </c>
      <c r="CM213" s="1495">
        <f>IF(CM5="A",CM214-CM211-CM210-CM209-CM206,((-(CM241-CJ241))+(-(CM246-CJ246))+(-(CM251-CJ251))+(-(CM258-CJ258))+(CM283-CJ283)+(CM289-CJ289)+(CM303-CJ303))+CM584+CM586+CM590+CM594+CM599+CM601+CM604)</f>
        <v>-1.3322676295501878E-14</v>
      </c>
      <c r="CN213" s="1495">
        <f>IF(CN5="A",CN214-CN211-CN210-CN209-CN206,((-(CN241-CM241))+(-(CN246-CM246))+(-(CN251-CM251))+(-(CN258-CM258))+(CN283-CM283)+(CN289-CM289)+(CN303-CM303))+CN584+CN586+CN590+CN594+CN599+CN601+CN604)</f>
        <v>-1.4210854715202004E-14</v>
      </c>
      <c r="CO213" s="1485">
        <f t="shared" si="727"/>
        <v>1.4210854715202004E-14</v>
      </c>
      <c r="CP213" s="1495">
        <f>IF(CP5="A",CP214-CP211-CP210-CP209-CP206,((-(CP241-CM241))+(-(CP246-CM246))+(-(CP251-CM251))+(-(CP258-CM258))+(CP283-CM283)+(CP289-CM289)+(CP303-CM303))+CP584+CP586+CP590+CP594+CP599+CP601+CP604)</f>
        <v>0</v>
      </c>
      <c r="CQ213" s="1495">
        <f>IF(CQ5="A",CQ214-CQ211-CQ210-CQ209-CQ206,((-(CQ241-CP241))+(-(CQ246-CP246))+(-(CQ251-CP251))+(-(CQ258-CP258))+(CQ283-CP283)+(CQ289-CP289)+(CQ303-CP303))+CQ584+CQ586+CQ590+CQ594+CQ599+CQ601+CQ604)</f>
        <v>0</v>
      </c>
      <c r="CR213" s="1485">
        <f t="shared" si="728"/>
        <v>1.4210854715202004E-14</v>
      </c>
      <c r="CS213" s="1495">
        <f>IF(CS5="A",CS214-CS211-CS210-CS209-CS206,((-(CS241-CP241))+(-(CS246-CP246))+(-(CS251-CP251))+(-(CS258-CP258))+(CS283-CP283)+(CS289-CP289)+(CS303-CP303))+CS584+CS586+CS590+CS594+CS599+CS601+CS604)</f>
        <v>1.4210854715202004E-14</v>
      </c>
      <c r="CT213" s="1495">
        <f>IF(CT5="A",CT214-CT211-CT210-CT209-CT206,((-(CT241-CS241))+(-(CT246-CS246))+(-(CT251-CS251))+(-(CT258-CS258))+(CT283-CS283)+(CT289-CS289)+(CT303-CS303))+CT584+CT586+CT590+CT594+CT599+CT601+CT604)</f>
        <v>7.5379999999999896</v>
      </c>
      <c r="CU213" s="1485">
        <f t="shared" si="729"/>
        <v>1.6650000000000276</v>
      </c>
      <c r="CV213" s="1495">
        <f>IF(CV5="A",CV214-CV211-CV210-CV209-CV206,((-(CV241-CS241))+(-(CV246-CS246))+(-(CV251-CS251))+(-(CV258-CS258))+(CV283-CS283)+(CV289-CS289)+(CV303-CS303))+CV584+CV586+CV590+CV594+CV599+CV601+CV604)</f>
        <v>9.2030000000000172</v>
      </c>
      <c r="CW213" s="1495">
        <f>IF(CW5="A",CW214-CW211-CW210-CW209-CW206,((-(CW241-CV241))+(-(CW246-CV246))+(-(CW251-CV251))+(-(CW258-CV258))+(CW283-CV283)+(CW289-CV289)+(CW303-CV303))+CW584+CW586+CW590+CW594+CW599+CW601+CW604)</f>
        <v>-1.7763568394002505E-14</v>
      </c>
      <c r="CX213" s="1485">
        <f t="shared" si="730"/>
        <v>11.039000000000033</v>
      </c>
      <c r="CY213" s="1495">
        <f>IF(CY5="A",CY214-CY211-CY210-CY209-CY206,((-(CY241-CV241))+(-(CY246-CV246))+(-(CY251-CV251))+(-(CY258-CV258))+(CY283-CV283)+(CY289-CV289)+(CY303-CV303))+CY584+CY586+CY590+CY594+CY599+CY601+CY604)</f>
        <v>11.039000000000016</v>
      </c>
      <c r="CZ213" s="1495">
        <f>IF(CZ5="A",CZ214-CZ211-CZ210-CZ209-CZ206,((-(CZ241-CY241))+(-(CZ246-CY246))+(-(CZ251-CY251))+(-(CZ258-CY258))+(CZ283-CY283)+(CZ289-CY289)+(CZ303-CY303))+CZ584+CZ586+CZ590+CZ594+CZ599+CZ601+CZ604)</f>
        <v>0.30000000000001137</v>
      </c>
      <c r="DA213" s="1485">
        <f t="shared" si="731"/>
        <v>-0.30000000000003979</v>
      </c>
      <c r="DB213" s="1495">
        <f>IF(DB5="A",DB214-DB211-DB210-DB209-DB206,((-(DB241-CY241))+(-(DB246-CY246))+(-(DB251-CY251))+(-(DB258-CY258))+(DB283-CY283)+(DB289-CY289)+(DB303-CY303))+DB584+DB586+DB590+DB594+DB599+DB601+DB604)</f>
        <v>-2.8421709430404007E-14</v>
      </c>
      <c r="DC213" s="1495">
        <f>IF(DC5="A",DC214-DC211-DC210-DC209-DC206,((-(DC241-DB241))+(-(DC246-DB246))+(-(DC251-DB251))+(-(DC258-DB258))+(DC283-DB283)+(DC289-DB289)+(DC303-DB303))+DC584+DC586+DC590+DC594+DC599+DC601+DC604)</f>
        <v>200.8</v>
      </c>
      <c r="DD213" s="1485">
        <f t="shared" si="732"/>
        <v>-193.39999999999998</v>
      </c>
      <c r="DE213" s="1495">
        <f>IF(DE5="A",DE214-DE211-DE210-DE209-DE206,((-(DE241-DB241))+(-(DE246-DB246))+(-(DE251-DB251))+(-(DE258-DB258))+(DE283-DB283)+(DE289-DB289)+(DE303-DB303))+DE584+DE586+DE590+DE594+DE599+DE601+DE604)</f>
        <v>7.4000000000000341</v>
      </c>
      <c r="DF213" s="1495">
        <f>IF(DF5="A",DF214-DF212-DF211-DF210-DF209-DF206,((-(DF241-DE241))+(-(DF246-DE246))+(-(DF251-DE251))+(-(DF258-DE258))+(DF283-DE283)+(DF289-DE289)+(DF303-DE303))+DF584+DF586+DF590+DF594+DF599+DF601+DF604)</f>
        <v>6.2999999999999972</v>
      </c>
      <c r="DG213" s="1485">
        <f>+DH213-DF213</f>
        <v>-2.7000623958883807E-13</v>
      </c>
      <c r="DH213" s="1494">
        <f>IF(DH5="A",DH214-DH212-DH211-DH210-DH209-DH206,((-(DH241-DE241))+(-(DH246-DE246))+(-(DH251-DE251))+(-(DH258-DE258))+(DH283-DE283)+(DH289-DE289)+(DH303-DE303))+DH584+DH586+DH590+DH594+DH599+DH601+DH604)</f>
        <v>6.2999999999997272</v>
      </c>
      <c r="DI213" s="1495">
        <f>IF(DI5="A",DI214-DI212-DI211-DI210-DI209-DI206,((-(DI241-DH241))+(-(DI246-DH246))+(-(DI251-DH251))+(-(DI258-DH258))+(DI283-DH283)+(DI289-DH289)+(DI303-DH303))+DI584+DI586+DI590+DI594+DI599+DI601+DI604)</f>
        <v>0</v>
      </c>
      <c r="DJ213" s="1485">
        <f>+DK213-DI213</f>
        <v>-4.1999999999999833</v>
      </c>
      <c r="DK213" s="1494">
        <f>IF(DK5="A",DK214-DK212-DK211-DK210-DK209-DK206,((-(DK241-DH241))+(-(DK246-DH246))+(-(DK251-DH251))+(-(DK258-DH258))+(DK283-DH283)+(DK289-DH289)+(DK303-DH303))+DK584+DK586+DK590+DK594+DK599+DK601+DK604)</f>
        <v>-4.1999999999999833</v>
      </c>
      <c r="DL213" s="1495">
        <f>IF(DL5="A",DL214-DL212-DL211-DL210-DL209-DL206,((-(DL241-DK241))+(-(DL246-DK246))+(-(DL251-DK251))+(-(DL258-DK258))+(DL283-DK283)+(DL289-DK289)+(DL303-DK303))+DL584+DL586+DL590+DL594+DL599+DL601+DL604)</f>
        <v>1.1324274851176597E-14</v>
      </c>
      <c r="DM213" s="1485">
        <f>+DN213-DL213</f>
        <v>-3.397282455352979E-14</v>
      </c>
      <c r="DN213" s="1494">
        <f>IF(DN5="A",DN214-DN212-DN211-DN210-DN209-DN206,((-(DN241-DK241))+(-(DN246-DK246))+(-(DN251-DK251))+(-(DN258-DK258))+(DN283-DK283)+(DN289-DK289)+(DN303-DK303))+DN584+DN586+DN590+DN594+DN599+DN601+DN604)</f>
        <v>-2.2648549702353193E-14</v>
      </c>
      <c r="DO213" s="1495">
        <f>IF(DO5="A",DO214-DO212-DO211-DO210-DO209-DO206,((-(DO241-DN241))+(-(DO246-DN246))+(-(DO251-DN251))+(-(DO258-DN258))+(DO283-DN283)+(DO289-DN289)+(DO303-DN303))+DO584+DO586+DO590+DO594+DO599+DO601+DO604)</f>
        <v>22.399999999999991</v>
      </c>
      <c r="DP213" s="1485">
        <f>+DQ213-DO213</f>
        <v>-93.299999999999983</v>
      </c>
      <c r="DQ213" s="1494">
        <f>IF(DQ5="A",DQ214-DQ212-DQ211-DQ210-DQ209-DQ206,((-(DQ241-DN241))+(-(DQ246-DN246))+(-(DQ251-DN251))+(-(DQ258-DN258))+(DQ283-DN283)+(DQ289-DN289)+(DQ303-DN303))+DQ584+DQ586+DQ590+DQ594+DQ599+DQ601+DQ604)</f>
        <v>-70.899999999999991</v>
      </c>
      <c r="DR213" s="1495">
        <f>IF(DR5="A",DR214-DR212-DR211-DR210-DR209-DR206,((-(DR241-DQ241))+(-(DR246-DQ246))+(-(DR251-DQ251))+(-(DR258-DQ258))+(DR283-DQ283)+(DR289-DQ289)+(DR303-DQ303))+DR584+DR586+DR590+DR594+DR599+DR601+DR604)</f>
        <v>-42.899999999999963</v>
      </c>
      <c r="DS213" s="1485">
        <f>+DT213-DR213</f>
        <v>-8.5265128291212022E-14</v>
      </c>
      <c r="DT213" s="1494">
        <f>IF(DT5="A",DT214-DT212-DT211-DT210-DT209-DT206,((-(DT241-DQ241))+(-(DT246-DQ246))+(-(DT251-DQ251))+(-(DT258-DQ258))+(DT283-DQ283)+(DT289-DQ289)+(DT303-DQ303))+DT584+DT586+DT590+DT594+DT599+DT601+DT604)</f>
        <v>-42.900000000000048</v>
      </c>
      <c r="DU213" s="1495">
        <v>0</v>
      </c>
      <c r="DV213" s="1485">
        <f>+DW213-DU213</f>
        <v>-2.1316282072803006E-14</v>
      </c>
      <c r="DW213" s="1494">
        <f>IF(DW5="A",DW214-DW212-DW211-DW210-DW209-DW206,((-(DW241-DT241))+(-(DW246-DT246))+(-(DW251-DT251))+(-(DW258-DT258))+(DW283-DT283)+(DW289-DT289)+(DW303-DT303))+DW584+DW586+DW590+DW594+DW599+DW601+DW604)</f>
        <v>-2.1316282072803006E-14</v>
      </c>
      <c r="DX213" s="1495">
        <v>0</v>
      </c>
      <c r="DY213" s="1485">
        <v>0</v>
      </c>
      <c r="DZ213" s="1494">
        <f>SUM(DX213:DY213)</f>
        <v>0</v>
      </c>
      <c r="EA213" s="1495">
        <f>IF(EA5="A",EA214-EA212-EA211-EA210-EA209-EA206,((-(EA241-DZ241))+(-(EA246-DZ246))+(-(EA251-DZ251))+(-(EA258-DZ258))+(EA283-DZ283)+(EA289-DZ289)+(EA303-DZ303))+EA584+EA586+EA590+EA594+EA599+EA601+EA604)</f>
        <v>0</v>
      </c>
      <c r="EB213" s="1485">
        <f>+EC213-EA213</f>
        <v>0</v>
      </c>
      <c r="EC213" s="1494">
        <f>IF(EC5="A",EC214-EC212-EC211-EC210-EC209-EC206,((-(EC241-DZ241))+(-(EC246-DZ246))+(-(EC251-DZ251))+(-(EC258-DZ258))+(EC283-DZ283)+(EC289-DZ289)+(EC303-DZ303))+EC584+EC586+EC590+EC594+EC599+EC601+EC604)</f>
        <v>0</v>
      </c>
      <c r="ED213" s="1495">
        <f>IF(ED5="A",ED214-ED212-ED211-ED210-ED209-ED206,((-(ED241-EC241))+(-(ED246-EC246))+(-(ED251-EC251))+(-(ED258-EC258))+(ED283-EC283)+(ED289-EC289)+(ED303-EC303))+ED584+ED586+ED590+ED594+ED599+ED601+ED604)</f>
        <v>0</v>
      </c>
      <c r="EE213" s="1485">
        <f>+EF213-ED213</f>
        <v>0</v>
      </c>
      <c r="EF213" s="1494">
        <f>IF(EF5="A",EF214-EF212-EF211-EF210-EF209-EF206,((-(EF241-EC241))+(-(EF246-EC246))+(-(EF251-EC251))+(-(EF258-EC258))+(EF283-EC283)+(EF289-EC289)+(EF303-EC303))+EF584+EF586+EF590+EF594+EF599+EF601+EF604)</f>
        <v>0</v>
      </c>
      <c r="EG213" s="1495">
        <f>IF(EG5="A",EG214-EG212-EG211-EG210-EG209-EG206,((-(EG241-EF241))+(-(EG246-EF246))+(-(EG251-EF251))+(-(EG258-EF258))+(EG283-EF283)+(EG289-EF289)+(EG303-EF303))+EG584+EG586+EG590+EG594+EG599+EG601+EG604)</f>
        <v>0</v>
      </c>
      <c r="EH213" s="1485">
        <f>+EI213-EG213</f>
        <v>0</v>
      </c>
      <c r="EI213" s="1494">
        <f>IF(EI5="A",EI214-EI212-EI211-EI210-EI209-EI206,((-(EI241-EF241))+(-(EI246-EF246))+(-(EI251-EF251))+(-(EI258-EF258))+(EI283-EF283)+(EI289-EF289)+(EI303-EF303))+EI584+EI586+EI590+EI594+EI599+EI601+EI604)</f>
        <v>0</v>
      </c>
      <c r="EJ213" s="1495">
        <f>IF(EJ5="A",EJ214-EJ212-EJ211-EJ210-EJ209-EJ206,((-(EJ241-EI241))+(-(EJ246-EI246))+(-(EJ251-EI251))+(-(EJ258-EI258))+(EJ283-EI283)+(EJ289-EI289)+(EJ303-EI303))+EJ584+EJ586+EJ590+EJ594+EJ599+EJ601+EJ604)</f>
        <v>0</v>
      </c>
      <c r="EK213" s="1485">
        <f>+EL213-EJ213</f>
        <v>0</v>
      </c>
      <c r="EL213" s="1494">
        <f>IF(EL5="A",EL214-EL212-EL211-EL210-EL209-EL206,((-(EL241-EI241))+(-(EL246-EI246))+(-(EL251-EI251))+(-(EL258-EI258))+(EL283-EI283)+(EL289-EI289)+(EL303-EI303))+EL584+EL586+EL590+EL594+EL599+EL601+EL604)</f>
        <v>0</v>
      </c>
      <c r="EM213" s="1495">
        <f>IF(EM5="A",EM214-EM212-EM211-EM210-EM209-EM206,((-(EM241-EL241))+(-(EM246-EL246))+(-(EM251-EL251))+(-(EM258-EL258))+(EM283-EL283)+(EM289-EL289)+(EM303-EL303))+EM584+EM586+EM590+EM594+EM599+EM601+EM604)</f>
        <v>0</v>
      </c>
      <c r="EN213" s="1485">
        <f>+EO213-EM213</f>
        <v>0</v>
      </c>
      <c r="EO213" s="1494">
        <f>IF(EO5="A",EO214-EO212-EO211-EO210-EO209-EO206,((-(EO241-EL241))+(-(EO246-EL246))+(-(EO251-EL251))+(-(EO258-EL258))+(EO283-EL283)+(EO289-EL289)+(EO303-EL303))+EO584+EO586+EO590+EO594+EO599+EO601+EO604)</f>
        <v>0</v>
      </c>
      <c r="EP213" s="1495">
        <f>IF(EP5="A",EP214-EP212-EP211-EP210-EP209-EP206,((-(EP241-EO241))+(-(EP246-EO246))+(-(EP251-EO251))+(-(EP258-EO258))+(EP283-EO283)+(EP289-EO289)+(EP303-EO303))+EP584+EP586+EP590+EP594+EP599+EP601+EP604)</f>
        <v>0</v>
      </c>
      <c r="EQ213" s="1485">
        <f>+ER213-EP213</f>
        <v>0</v>
      </c>
      <c r="ER213" s="1494">
        <f>IF(ER5="A",ER214-ER212-ER211-ER210-ER209-ER206,((-(ER241-EO241))+(-(ER246-EO246))+(-(ER251-EO251))+(-(ER258-EO258))+(ER283-EO283)+(ER289-EO289)+(ER303-EO303))+ER584+ER586+ER590+ER594+ER599+ER601+ER604)</f>
        <v>0</v>
      </c>
      <c r="ES213" s="1495">
        <f>IF(ES5="A",ES214-ES212-ES211-ES210-ES209-ES206,((-(ES241-ER241))+(-(ES246-ER246))+(-(ES251-ER251))+(-(ES258-ER258))+(ES283-ER283)+(ES289-ER289)+(ES303-ER303))+ES584+ES586+ES590+ES594+ES599+ES601+ES604)</f>
        <v>0</v>
      </c>
      <c r="ET213" s="1485">
        <f>+EU213-ES213</f>
        <v>0</v>
      </c>
      <c r="EU213" s="1494">
        <f>IF(EU5="A",EU214-EU212-EU211-EU210-EU209-EU206,((-(EU241-ER241))+(-(EU246-ER246))+(-(EU251-ER251))+(-(EU258-ER258))+(EU283-ER283)+(EU289-ER289)+(EU303-ER303))+EU584+EU586+EU590+EU594+EU599+EU601+EU604)</f>
        <v>0</v>
      </c>
      <c r="EV213" s="1495">
        <f>IF(EV5="A",EV214-EV212-EV211-EV210-EV209-EV206,((-(EV241-EU241))+(-(EV246-EU246))+(-(EV251-EU251))+(-(EV258-EU258))+(EV283-EU283)+(EV289-EU289)+(EV303-EU303))+EV584+EV586+EV590+EV594+EV599+EV601+EV604)</f>
        <v>0</v>
      </c>
      <c r="EW213" s="1485">
        <f>+EX213-EV213</f>
        <v>0</v>
      </c>
      <c r="EX213" s="1494">
        <f>IF(EX5="A",EX214-EX212-EX211-EX210-EX209-EX206,((-(EX241-EU241))+(-(EX246-EU246))+(-(EX251-EU251))+(-(EX258-EU258))+(EX283-EU283)+(EX289-EU289)+(EX303-EU303))+EX584+EX586+EX590+EX594+EX599+EX601+EX604)</f>
        <v>0</v>
      </c>
      <c r="EY213" s="1495">
        <f>IF(EY5="A",EY214-EY212-EY211-EY210-EY209-EY206,((-(EY241-EX241))+(-(EY246-EX246))+(-(EY251-EX251))+(-(EY258-EX258))+(EY283-EX283)+(EY289-EX289)+(EY303-EX303))+EY584+EY586+EY590+EY594+EY599+EY601+EY604)</f>
        <v>0</v>
      </c>
      <c r="EZ213" s="1485">
        <f>+FA213-EY213</f>
        <v>0</v>
      </c>
      <c r="FA213" s="1494">
        <f>IF(FA5="A",FA214-FA212-FA211-FA210-FA209-FA206,((-(FA241-EX241))+(-(FA246-EX246))+(-(FA251-EX251))+(-(FA258-EX258))+(FA283-EX283)+(FA289-EX289)+(FA303-EX303))+FA584+FA586+FA590+FA594+FA599+FA601+FA604)</f>
        <v>0</v>
      </c>
      <c r="FE213"/>
      <c r="FF213"/>
      <c r="FG213"/>
      <c r="FH213"/>
      <c r="FI213"/>
      <c r="FJ213"/>
      <c r="FK213" s="35"/>
    </row>
    <row r="214" spans="2:167" s="236" customFormat="1" ht="13.35" customHeight="1">
      <c r="B214" s="444" t="s">
        <v>805</v>
      </c>
      <c r="C214" s="444" t="s">
        <v>496</v>
      </c>
      <c r="D214" s="1474"/>
      <c r="E214" s="562">
        <f>IF(E5="A",E216-E188-E205,E206+E209+E210+E211+E213)</f>
        <v>0</v>
      </c>
      <c r="F214" s="562">
        <f t="shared" si="698"/>
        <v>0</v>
      </c>
      <c r="G214" s="562">
        <f>IF(G5="A",G216-G188-G205,G206+G209+G210+G211+G213)</f>
        <v>0</v>
      </c>
      <c r="H214" s="562">
        <f>IF(H5="A",H216-H188-H205,H206+H209+H210+H211+H213)</f>
        <v>0</v>
      </c>
      <c r="I214" s="562">
        <f t="shared" si="699"/>
        <v>0</v>
      </c>
      <c r="J214" s="562">
        <f>IF(J5="A",J216-J188-J205,J206+J209+J210+J211+J213)</f>
        <v>0</v>
      </c>
      <c r="K214" s="562">
        <f>IF(K5="A",K216-K188-K205,K206+K209+K210+K211+K213)</f>
        <v>0</v>
      </c>
      <c r="L214" s="562">
        <f t="shared" si="700"/>
        <v>0</v>
      </c>
      <c r="M214" s="562">
        <f>IF(M5="A",M216-M188-M205,M206+M209+M210+M211+M213)</f>
        <v>0</v>
      </c>
      <c r="N214" s="562">
        <f>IF(N5="A",N216-N188-N205,N206+N209+N210+N211+N213)</f>
        <v>0</v>
      </c>
      <c r="O214" s="562">
        <f t="shared" si="701"/>
        <v>0</v>
      </c>
      <c r="P214" s="562">
        <f>IF(P5="A",P216-P188-P205,P206+P209+P210+P211+P213)</f>
        <v>0</v>
      </c>
      <c r="Q214" s="562">
        <f>IF(Q5="A",Q216-Q188-Q205,Q206+Q209+Q210+Q211+Q213)</f>
        <v>0</v>
      </c>
      <c r="R214" s="562">
        <f t="shared" si="702"/>
        <v>0</v>
      </c>
      <c r="S214" s="562">
        <f>IF(S5="A",S216-S188-S205,S206+S209+S210+S211+S213)</f>
        <v>0</v>
      </c>
      <c r="T214" s="562">
        <f>IF(T5="A",T216-T188-T205,T206+T209+T210+T211+T213)</f>
        <v>0</v>
      </c>
      <c r="U214" s="562">
        <f t="shared" si="703"/>
        <v>0</v>
      </c>
      <c r="V214" s="562">
        <f>IF(V5="A",V216-V188-V205,V206+V209+V210+V211+V213)</f>
        <v>0</v>
      </c>
      <c r="W214" s="562">
        <f>IF(W5="A",W216-W188-W205,W206+W209+W210+W211+W213)</f>
        <v>0</v>
      </c>
      <c r="X214" s="562">
        <f t="shared" si="704"/>
        <v>0</v>
      </c>
      <c r="Y214" s="562">
        <f>IF(Y5="A",Y216-Y188-Y205,Y206+Y209+Y210+Y211+Y213)</f>
        <v>0</v>
      </c>
      <c r="Z214" s="562">
        <f>IF(Z5="A",Z216-Z188-Z205,Z206+Z209+Z210+Z211+Z213)</f>
        <v>0</v>
      </c>
      <c r="AA214" s="562">
        <f t="shared" si="705"/>
        <v>0</v>
      </c>
      <c r="AB214" s="562">
        <f>IF(AB5="A",AB216-AB188-AB205,AB206+AB209+AB210+AB211+AB213)</f>
        <v>0</v>
      </c>
      <c r="AC214" s="562">
        <f>IF(AC5="A",AC216-AC188-AC205,AC206+AC209+AC210+AC211+AC213)</f>
        <v>0</v>
      </c>
      <c r="AD214" s="562">
        <f t="shared" si="706"/>
        <v>0</v>
      </c>
      <c r="AE214" s="562">
        <f>IF(AE5="A",AE216-AE188-AE205,AE206+AE209+AE210+AE211+AE213)</f>
        <v>0</v>
      </c>
      <c r="AF214" s="562">
        <f>IF(AF5="A",AF216-AF188-AF205,AF206+AF209+AF210+AF211+AF213)</f>
        <v>0</v>
      </c>
      <c r="AG214" s="562">
        <f t="shared" si="707"/>
        <v>0</v>
      </c>
      <c r="AH214" s="562">
        <f>IF(AH5="A",AH216-AH188-AH205,AH206+AH209+AH210+AH211+AH213)</f>
        <v>0</v>
      </c>
      <c r="AI214" s="562">
        <f>IF(AI5="A",AI216-AI188-AI205,AI206+AI209+AI210+AI211+AI213)</f>
        <v>0</v>
      </c>
      <c r="AJ214" s="562">
        <f t="shared" si="708"/>
        <v>0</v>
      </c>
      <c r="AK214" s="562">
        <f>IF(AK5="A",AK216-AK188-AK205,AK206+AK209+AK210+AK211+AK213)</f>
        <v>0</v>
      </c>
      <c r="AL214" s="562">
        <f>IF(AL5="A",AL216-AL188-AL205,AL206+AL209+AL210+AL211+AL213)</f>
        <v>0.12999999999999867</v>
      </c>
      <c r="AM214" s="562">
        <f t="shared" si="709"/>
        <v>2.8000000000003911E-2</v>
      </c>
      <c r="AN214" s="562">
        <f>IF(AN5="A",AN216-AN188-AN205,AN206+AN209+AN210+AN211+AN213)</f>
        <v>0.15800000000000258</v>
      </c>
      <c r="AO214" s="562">
        <f>IF(AO5="A",AO216-AO188-AO205,AO206+AO209+AO210+AO211+AO213)</f>
        <v>-3.8300000000000005</v>
      </c>
      <c r="AP214" s="562">
        <f t="shared" si="710"/>
        <v>-2.7119999999999993</v>
      </c>
      <c r="AQ214" s="562">
        <f>IF(AQ5="A",AQ216-AQ188-AQ205,AQ206+AQ209+AQ210+AQ211+AQ213)</f>
        <v>-6.5419999999999998</v>
      </c>
      <c r="AR214" s="562">
        <f>IF(AR5="A",AR216-AR188-AR205,AR206+AR209+AR210+AR211+AR213)</f>
        <v>-3.75</v>
      </c>
      <c r="AS214" s="562">
        <f t="shared" si="711"/>
        <v>-3.0000000000000009</v>
      </c>
      <c r="AT214" s="562">
        <f>IF(AT5="A",AT216-AT188-AT205,AT206+AT209+AT210+AT211+AT213)</f>
        <v>-6.7500000000000009</v>
      </c>
      <c r="AU214" s="562">
        <f>IF(AU5="A",AU216-AU188-AU205,AU206+AU209+AU210+AU211+AU213)</f>
        <v>-3.367</v>
      </c>
      <c r="AV214" s="562">
        <f t="shared" si="712"/>
        <v>-4.0429999999999984</v>
      </c>
      <c r="AW214" s="562">
        <f>IF(AW5="A",AW216-AW188-AW205,AW206+AW209+AW210+AW211+AW213)</f>
        <v>-7.4099999999999984</v>
      </c>
      <c r="AX214" s="562">
        <f>IF(AX5="A",AX216-AX188-AX205,AX206+AX209+AX210+AX211+AX213)</f>
        <v>-8.5599999999999987</v>
      </c>
      <c r="AY214" s="562">
        <f t="shared" si="713"/>
        <v>-10.145</v>
      </c>
      <c r="AZ214" s="562">
        <f>IF(AZ5="A",AZ216-AZ188-AZ205,AZ206+AZ209+AZ210+AZ211+AZ213)</f>
        <v>-18.704999999999998</v>
      </c>
      <c r="BA214" s="562">
        <f>IF(BA5="A",BA216-BA188-BA205,BA206+BA209+BA210+BA211+BA213)</f>
        <v>-4.4390000000000001</v>
      </c>
      <c r="BB214" s="562">
        <f t="shared" si="714"/>
        <v>-2.6840000000000002</v>
      </c>
      <c r="BC214" s="562">
        <f>IF(BC5="A",BC216-BC188-BC205,BC206+BC209+BC210+BC211+BC213)</f>
        <v>-7.1230000000000002</v>
      </c>
      <c r="BD214" s="562">
        <f>IF(BD5="A",BD216-BD188-BD205,BD206+BD209+BD210+BD211+BD213)</f>
        <v>-1.5710000000000006</v>
      </c>
      <c r="BE214" s="562">
        <f t="shared" si="715"/>
        <v>-2.1800000000000006</v>
      </c>
      <c r="BF214" s="562">
        <f>IF(BF5="A",BF216-BF188-BF205,BF206+BF209+BF210+BF211+BF213)</f>
        <v>-3.7510000000000012</v>
      </c>
      <c r="BG214" s="562">
        <f>IF(BG5="A",BG216-BG188-BG205,BG206+BG209+BG210+BG211+BG213)</f>
        <v>-33.703000000000003</v>
      </c>
      <c r="BH214" s="562">
        <f t="shared" si="716"/>
        <v>0.54500000000000881</v>
      </c>
      <c r="BI214" s="562">
        <f>IF(BI5="A",BI216-BI188-BI205,BI206+BI209+BI210+BI211+BI213)</f>
        <v>-33.157999999999994</v>
      </c>
      <c r="BJ214" s="562">
        <f>IF(BJ5="A",BJ216-BJ188-BJ205,BJ206+BJ209+BJ210+BJ211+BJ213)</f>
        <v>17.914999999999999</v>
      </c>
      <c r="BK214" s="562">
        <f t="shared" si="717"/>
        <v>-21.689999999999998</v>
      </c>
      <c r="BL214" s="562">
        <f>IF(BL5="A",BL216-BL188-BL205,BL206+BL209+BL210+BL211+BL213)</f>
        <v>-3.7749999999999986</v>
      </c>
      <c r="BM214" s="562">
        <f>IF(BM5="A",BM216-BM188-BM205,BM206+BM209+BM210+BM211+BM213)</f>
        <v>-19.568999999999999</v>
      </c>
      <c r="BN214" s="562">
        <f t="shared" si="718"/>
        <v>153.44899999999998</v>
      </c>
      <c r="BO214" s="562">
        <f>IF(BO5="A",BO216-BO188-BO205,BO206+BO209+BO210+BO211+BO213)</f>
        <v>133.88</v>
      </c>
      <c r="BP214" s="562">
        <f>IF(BP5="A",BP216-BP188-BP205,BP206+BP209+BP210+BP211+BP213)</f>
        <v>-22.353999999999999</v>
      </c>
      <c r="BQ214" s="562">
        <f t="shared" si="719"/>
        <v>-35.562999999999995</v>
      </c>
      <c r="BR214" s="562">
        <f>IF(BR5="A",BR216-BR188-BR205,BR206+BR209+BR210+BR211+BR213)</f>
        <v>-57.916999999999994</v>
      </c>
      <c r="BS214" s="562">
        <f>IF(BS5="A",BS216-BS188-BS205,BS206+BS209+BS210+BS211+BS213)</f>
        <v>-18.783999999999999</v>
      </c>
      <c r="BT214" s="562">
        <f t="shared" si="720"/>
        <v>-20.929000000000002</v>
      </c>
      <c r="BU214" s="562">
        <f>IF(BU5="A",BU216-BU188-BU205,BU206+BU209+BU210+BU211+BU213)</f>
        <v>-39.713000000000001</v>
      </c>
      <c r="BV214" s="562">
        <f>IF(BV5="A",BV216-BV188-BV205,BV206+BV209+BV210+BV211+BV213)</f>
        <v>-28.603000000000002</v>
      </c>
      <c r="BW214" s="562">
        <f t="shared" si="721"/>
        <v>-61.96</v>
      </c>
      <c r="BX214" s="562">
        <f>C_CNC_08-C_ICF_08-C_OCF_08</f>
        <v>-90.563000000000002</v>
      </c>
      <c r="BY214" s="562">
        <f>IF(BY5="A",BY216-BY188-BY205,BY206+BY209+BY210+BY211+BY213)</f>
        <v>-26.774999999999995</v>
      </c>
      <c r="BZ214" s="562">
        <f t="shared" si="722"/>
        <v>-31.425999999999998</v>
      </c>
      <c r="CA214" s="562">
        <f>C_CNC_09-C_ICF_09-C_OCF_09</f>
        <v>-58.200999999999993</v>
      </c>
      <c r="CB214" s="562">
        <f>IF(CB5="A",CB216-CB188-CB205,CB206+CB209+CB210+CB211+CB213)</f>
        <v>-52.398000000000003</v>
      </c>
      <c r="CC214" s="562">
        <f t="shared" si="723"/>
        <v>-67.296000000000021</v>
      </c>
      <c r="CD214" s="562">
        <f>IF(CD5="A",CD216-CD188-CD205,CD206+CD209+CD210+CD211+CD213)</f>
        <v>-119.69400000000002</v>
      </c>
      <c r="CE214" s="562">
        <f>IF(CE5="A",CE216-CE188-CE205,CE206+CE209+CE210+CE211+CE213)</f>
        <v>-134.55799999999999</v>
      </c>
      <c r="CF214" s="562">
        <f t="shared" si="724"/>
        <v>-75.47999999999999</v>
      </c>
      <c r="CG214" s="562">
        <f>IF(CG5="A",CG216-CG188-CG205,CG206+CG209+CG210+CG211+CG213)</f>
        <v>-210.03799999999998</v>
      </c>
      <c r="CH214" s="562">
        <f>IF(CH5="A",CH216-CH188-CH205,CH206+CH209+CH210+CH211+CH213)</f>
        <v>-46.636999999999993</v>
      </c>
      <c r="CI214" s="562">
        <f t="shared" si="725"/>
        <v>-86.450000000000017</v>
      </c>
      <c r="CJ214" s="562">
        <f>IF(CJ5="A",CJ216-CJ188-CJ205,CJ206+CJ209+CJ210+CJ211+CJ213)</f>
        <v>-133.08700000000002</v>
      </c>
      <c r="CK214" s="562">
        <f>IF(CK5="A",CK216-CK188-CK205,CK206+CK209+CK210+CK211+CK213)</f>
        <v>2.1880000000000024</v>
      </c>
      <c r="CL214" s="562">
        <f t="shared" si="726"/>
        <v>-41.047000000000004</v>
      </c>
      <c r="CM214" s="562">
        <f>IF(CM5="A",CM216-CM188-CM205,CM206+CM209+CM210+CM211+CM213)</f>
        <v>-38.859000000000002</v>
      </c>
      <c r="CN214" s="562">
        <f>IF(CN5="A",CN216-CN188-CN205,CN206+CN209+CN210+CN211+CN213)</f>
        <v>-16.442</v>
      </c>
      <c r="CO214" s="562">
        <f t="shared" si="727"/>
        <v>-61.469000000000001</v>
      </c>
      <c r="CP214" s="562">
        <f>IF(CP5="A",CP216-CP188-CP205,CP206+CP209+CP210+CP211+CP213)</f>
        <v>-77.911000000000001</v>
      </c>
      <c r="CQ214" s="562">
        <f>IF(CQ5="A",CQ216-CQ188-CQ205,CQ206+CQ209+CQ210+CQ211+CQ213)</f>
        <v>-79.468999999999994</v>
      </c>
      <c r="CR214" s="562">
        <f t="shared" si="728"/>
        <v>-69.373999999999995</v>
      </c>
      <c r="CS214" s="562">
        <f>IF(CS5="A",CS216-CS188-CS205,CS206+CS209+CS210+CS211+CS213)</f>
        <v>-148.84299999999999</v>
      </c>
      <c r="CT214" s="562">
        <f>IF(CT5="A",CT216-CT188-CT205,CT206+CT209+CT210+CT211+CT213)</f>
        <v>-49.63000000000001</v>
      </c>
      <c r="CU214" s="562">
        <f t="shared" si="729"/>
        <v>-81.259999999999977</v>
      </c>
      <c r="CV214" s="562">
        <f>IF(CV5="A",CV216-CV188-CV205,CV206+CV209+CV210+CV211+CV213)</f>
        <v>-130.88999999999999</v>
      </c>
      <c r="CW214" s="562">
        <f>IF(CW5="A",CW216-CW188-CW205,CW206+CW209+CW210+CW211+CW213)</f>
        <v>-79.875000000000014</v>
      </c>
      <c r="CX214" s="562">
        <f t="shared" si="730"/>
        <v>-28.411999999999992</v>
      </c>
      <c r="CY214" s="562">
        <f>IF(CY5="A",CY216-CY188-CY205,CY206+CY209+CY210+CY211+CY213)</f>
        <v>-108.28700000000001</v>
      </c>
      <c r="CZ214" s="562">
        <f>IF(CZ5="A",CZ216-CZ188-CZ205,CZ206+CZ209+CZ210+CZ211+CZ213)</f>
        <v>-55.199999999999996</v>
      </c>
      <c r="DA214" s="562">
        <f t="shared" si="731"/>
        <v>-177.50000000000003</v>
      </c>
      <c r="DB214" s="562">
        <f>IF(DB5="A",DB216-DB188-DB205,DB206+DB209+DB210+DB211+DB213)</f>
        <v>-232.70000000000002</v>
      </c>
      <c r="DC214" s="562">
        <f>IF(DC5="A",DC216-DC188-DC205,DC206+DC209+DC210+DC211+DC213)</f>
        <v>-68.09999999999998</v>
      </c>
      <c r="DD214" s="562">
        <f t="shared" si="732"/>
        <v>-72.8</v>
      </c>
      <c r="DE214" s="562">
        <f>IF(DE5="A",DE216-DE188-DE205,DE206+DE209+DE210+DE211+DE213)</f>
        <v>-140.89999999999998</v>
      </c>
      <c r="DF214" s="562">
        <f>IF(DF5="A",DF216-DF188-DF205,DF206+DF209+DF210+DF211+DF212+DF213)</f>
        <v>-55.400000000000006</v>
      </c>
      <c r="DG214" s="562">
        <f>+DH214-DF214</f>
        <v>1209.9000000000001</v>
      </c>
      <c r="DH214" s="1274">
        <f>IF(DH5="A",DH216-DH188-DH205,DH206+DH209+DH210+DH211+DH212+DH213)</f>
        <v>1154.5</v>
      </c>
      <c r="DI214" s="562">
        <f>IF(DI5="A",DI216-DI188-DI205,DI206+DI209+DI210+DI211+DI212+DI213)</f>
        <v>-346</v>
      </c>
      <c r="DJ214" s="562">
        <f t="shared" si="733"/>
        <v>-155</v>
      </c>
      <c r="DK214" s="1274">
        <f>DK216-DK205-DK188</f>
        <v>-501</v>
      </c>
      <c r="DL214" s="562">
        <f>IF(DL5="A",DL216-DL188-DL205,DL206+DL209+DL210+DL211+DL212+DL213)</f>
        <v>-103.29999999999998</v>
      </c>
      <c r="DM214" s="562">
        <f t="shared" si="734"/>
        <v>-117.40000000000003</v>
      </c>
      <c r="DN214" s="1274">
        <f>IF(DN5="A",DN216-DN188-DN205,DN206+DN209+DN210+DN211+DN212+DN213)</f>
        <v>-220.70000000000002</v>
      </c>
      <c r="DO214" s="562">
        <f>IF(DO5="A",DO216-DO188-DO205,DO206+DO209+DO210+DO211+DO212+DO213)</f>
        <v>-88.300000000000011</v>
      </c>
      <c r="DP214" s="562">
        <f t="shared" si="735"/>
        <v>-222.09999999999997</v>
      </c>
      <c r="DQ214" s="1274">
        <f>IF(DQ5="A",DQ216-DQ188-DQ205,DQ206+DQ209+DQ210+DQ211+DQ212+DQ213)</f>
        <v>-310.39999999999998</v>
      </c>
      <c r="DR214" s="562">
        <f>IF(DR5="A",DR216-DR188-DR205,DR206+DR209+DR210+DR211+DR212+DR213)</f>
        <v>-177.39999999999998</v>
      </c>
      <c r="DS214" s="562">
        <f t="shared" si="736"/>
        <v>-146.40000000000003</v>
      </c>
      <c r="DT214" s="1274">
        <f>IF(DT5="A",DT216-DT188-DT205,DT206+DT209+DT210+DT211+DT212+DT213)</f>
        <v>-323.8</v>
      </c>
      <c r="DU214" s="562">
        <f t="shared" ref="DU214:EX214" si="754">+SUM(DU207:DU213)</f>
        <v>-197.6</v>
      </c>
      <c r="DV214" s="562">
        <f t="shared" ref="DV214" si="755">+DW214-DU214</f>
        <v>-169.4</v>
      </c>
      <c r="DW214" s="1274">
        <f>IF(DW5="A",DW216-DW188-DW205,DW206+DW209+DW210+DW211+DW212+DW213)</f>
        <v>-367</v>
      </c>
      <c r="DX214" s="562">
        <f t="shared" ref="DX214" si="756">+SUM(DX207:DX213)</f>
        <v>-168.1</v>
      </c>
      <c r="DY214" s="562">
        <f t="shared" si="754"/>
        <v>-186.550470166244</v>
      </c>
      <c r="DZ214" s="1274">
        <f t="shared" si="754"/>
        <v>-354.65047016624396</v>
      </c>
      <c r="EA214" s="562">
        <f t="shared" si="754"/>
        <v>-215.05787997614487</v>
      </c>
      <c r="EB214" s="562">
        <f t="shared" si="754"/>
        <v>-227.09652378688764</v>
      </c>
      <c r="EC214" s="1274">
        <f t="shared" si="754"/>
        <v>-442.15440376303252</v>
      </c>
      <c r="ED214" s="562">
        <f t="shared" si="754"/>
        <v>-232.05423008702601</v>
      </c>
      <c r="EE214" s="562">
        <f t="shared" si="754"/>
        <v>-246.03153203969939</v>
      </c>
      <c r="EF214" s="1274">
        <f t="shared" si="754"/>
        <v>-478.0857621267254</v>
      </c>
      <c r="EG214" s="562">
        <f t="shared" si="754"/>
        <v>-251.65158060986298</v>
      </c>
      <c r="EH214" s="562">
        <f t="shared" si="754"/>
        <v>-267.5253851194617</v>
      </c>
      <c r="EI214" s="1274">
        <f t="shared" si="754"/>
        <v>-519.17696572932471</v>
      </c>
      <c r="EJ214" s="562">
        <f t="shared" si="754"/>
        <v>-224.40583854426163</v>
      </c>
      <c r="EK214" s="562">
        <f t="shared" si="754"/>
        <v>-239.03034734966255</v>
      </c>
      <c r="EL214" s="1274">
        <f t="shared" si="754"/>
        <v>-463.43618589392418</v>
      </c>
      <c r="EM214" s="562">
        <f t="shared" si="754"/>
        <v>-246.57220640939542</v>
      </c>
      <c r="EN214" s="562">
        <f t="shared" si="754"/>
        <v>-261.58999710645918</v>
      </c>
      <c r="EO214" s="1274">
        <f t="shared" si="754"/>
        <v>-508.16220351585457</v>
      </c>
      <c r="EP214" s="562">
        <f t="shared" si="754"/>
        <v>-269.8105994492696</v>
      </c>
      <c r="EQ214" s="562">
        <f t="shared" si="754"/>
        <v>-285.58291529641872</v>
      </c>
      <c r="ER214" s="1274">
        <f t="shared" si="754"/>
        <v>-555.39351474568832</v>
      </c>
      <c r="ES214" s="562">
        <f t="shared" si="754"/>
        <v>-294.5105368814709</v>
      </c>
      <c r="ET214" s="562">
        <f t="shared" si="754"/>
        <v>-311.74508617989227</v>
      </c>
      <c r="EU214" s="1274">
        <f t="shared" si="754"/>
        <v>-606.25562306136317</v>
      </c>
      <c r="EV214" s="562">
        <f t="shared" si="754"/>
        <v>-321.44253786477236</v>
      </c>
      <c r="EW214" s="562">
        <f t="shared" si="754"/>
        <v>-340.27581391590491</v>
      </c>
      <c r="EX214" s="1274">
        <f t="shared" si="754"/>
        <v>-661.71835178067727</v>
      </c>
      <c r="EY214" s="562">
        <f t="shared" ref="EY214:FA214" si="757">+SUM(EY207:EY213)</f>
        <v>-350.81153901352661</v>
      </c>
      <c r="EZ214" s="562">
        <f t="shared" si="757"/>
        <v>-371.3934833134399</v>
      </c>
      <c r="FA214" s="1274">
        <f t="shared" si="757"/>
        <v>-722.20502232696651</v>
      </c>
      <c r="FE214"/>
      <c r="FF214"/>
      <c r="FG214"/>
      <c r="FH214"/>
      <c r="FI214"/>
      <c r="FJ214"/>
      <c r="FK214" s="35"/>
    </row>
    <row r="215" spans="2:167" s="236" customFormat="1" ht="13.35" customHeight="1" thickBot="1">
      <c r="B215" s="242"/>
      <c r="C215" s="242"/>
      <c r="D215" s="243"/>
      <c r="E215" s="482"/>
      <c r="F215" s="482"/>
      <c r="G215" s="568"/>
      <c r="H215" s="482"/>
      <c r="I215" s="482"/>
      <c r="J215" s="568"/>
      <c r="K215" s="482"/>
      <c r="L215" s="482"/>
      <c r="M215" s="568"/>
      <c r="N215" s="482"/>
      <c r="O215" s="482"/>
      <c r="P215" s="568"/>
      <c r="Q215" s="482"/>
      <c r="R215" s="482"/>
      <c r="S215" s="568"/>
      <c r="T215" s="482"/>
      <c r="U215" s="482"/>
      <c r="V215" s="568"/>
      <c r="W215" s="482"/>
      <c r="X215" s="482"/>
      <c r="Y215" s="568"/>
      <c r="Z215" s="482"/>
      <c r="AA215" s="482"/>
      <c r="AB215" s="568"/>
      <c r="AC215" s="482"/>
      <c r="AD215" s="482"/>
      <c r="AE215" s="568"/>
      <c r="AF215" s="482"/>
      <c r="AG215" s="482"/>
      <c r="AH215" s="568"/>
      <c r="AI215" s="482"/>
      <c r="AJ215" s="482"/>
      <c r="AK215" s="568"/>
      <c r="AL215" s="482"/>
      <c r="AM215" s="482"/>
      <c r="AN215" s="568"/>
      <c r="AO215" s="482"/>
      <c r="AP215" s="482"/>
      <c r="AQ215" s="568"/>
      <c r="AR215" s="482"/>
      <c r="AS215" s="482"/>
      <c r="AT215" s="568"/>
      <c r="AU215" s="482"/>
      <c r="AV215" s="482"/>
      <c r="AW215" s="568"/>
      <c r="AX215" s="482"/>
      <c r="AY215" s="482"/>
      <c r="AZ215" s="568"/>
      <c r="BA215" s="482"/>
      <c r="BB215" s="482"/>
      <c r="BC215" s="568"/>
      <c r="BD215" s="482"/>
      <c r="BE215" s="482"/>
      <c r="BF215" s="568"/>
      <c r="BG215" s="482"/>
      <c r="BH215" s="482"/>
      <c r="BI215" s="568"/>
      <c r="BJ215" s="482"/>
      <c r="BK215" s="482"/>
      <c r="BL215" s="568"/>
      <c r="BM215" s="482"/>
      <c r="BN215" s="482"/>
      <c r="BO215" s="568"/>
      <c r="BP215" s="482"/>
      <c r="BQ215" s="482"/>
      <c r="BR215" s="568"/>
      <c r="BS215" s="482"/>
      <c r="BT215" s="482"/>
      <c r="BU215" s="568"/>
      <c r="BV215" s="482"/>
      <c r="BW215" s="482"/>
      <c r="BX215" s="568"/>
      <c r="BY215" s="482"/>
      <c r="BZ215" s="482"/>
      <c r="CA215" s="568"/>
      <c r="CB215" s="482"/>
      <c r="CC215" s="482"/>
      <c r="CD215" s="568"/>
      <c r="CE215" s="482"/>
      <c r="CF215" s="482"/>
      <c r="CG215" s="568"/>
      <c r="CH215" s="482"/>
      <c r="CI215" s="482"/>
      <c r="CJ215" s="568"/>
      <c r="CK215" s="482"/>
      <c r="CL215" s="482"/>
      <c r="CM215" s="568"/>
      <c r="CN215" s="482"/>
      <c r="CO215" s="482"/>
      <c r="CP215" s="568"/>
      <c r="CQ215" s="482"/>
      <c r="CR215" s="482"/>
      <c r="CS215" s="568"/>
      <c r="CT215" s="482"/>
      <c r="CU215" s="482"/>
      <c r="CV215" s="568"/>
      <c r="CW215" s="482"/>
      <c r="CX215" s="482"/>
      <c r="CY215" s="568"/>
      <c r="CZ215" s="482"/>
      <c r="DA215" s="482"/>
      <c r="DB215" s="568"/>
      <c r="DC215" s="482"/>
      <c r="DD215" s="482"/>
      <c r="DE215" s="568"/>
      <c r="DF215" s="482"/>
      <c r="DG215" s="482"/>
      <c r="DH215" s="1276"/>
      <c r="DI215" s="482"/>
      <c r="DJ215" s="482"/>
      <c r="DK215" s="1276"/>
      <c r="DL215" s="482"/>
      <c r="DM215" s="482"/>
      <c r="DN215" s="1276"/>
      <c r="DO215" s="482"/>
      <c r="DP215" s="482"/>
      <c r="DQ215" s="1276"/>
      <c r="DR215" s="482"/>
      <c r="DS215" s="482"/>
      <c r="DT215" s="1276"/>
      <c r="DU215" s="482"/>
      <c r="DV215" s="482"/>
      <c r="DW215" s="1276"/>
      <c r="DX215" s="482"/>
      <c r="DY215" s="482"/>
      <c r="DZ215" s="1276"/>
      <c r="EA215" s="482"/>
      <c r="EB215" s="482"/>
      <c r="EC215" s="1276"/>
      <c r="ED215" s="482"/>
      <c r="EE215" s="482"/>
      <c r="EF215" s="1276"/>
      <c r="EG215" s="482"/>
      <c r="EH215" s="482"/>
      <c r="EI215" s="1276"/>
      <c r="EJ215" s="482"/>
      <c r="EK215" s="482"/>
      <c r="EL215" s="1276"/>
      <c r="EM215" s="482"/>
      <c r="EN215" s="482"/>
      <c r="EO215" s="1276"/>
      <c r="EP215" s="482"/>
      <c r="EQ215" s="482"/>
      <c r="ER215" s="1276"/>
      <c r="ES215" s="482"/>
      <c r="ET215" s="482"/>
      <c r="EU215" s="1276"/>
      <c r="EV215" s="482"/>
      <c r="EW215" s="482"/>
      <c r="EX215" s="1276"/>
      <c r="EY215" s="482"/>
      <c r="EZ215" s="482"/>
      <c r="FA215" s="1276"/>
      <c r="FE215"/>
      <c r="FF215"/>
      <c r="FG215"/>
      <c r="FH215"/>
      <c r="FI215"/>
      <c r="FJ215"/>
      <c r="FK215" s="35"/>
    </row>
    <row r="216" spans="2:167" s="236" customFormat="1" ht="13.5" thickBot="1">
      <c r="B216" s="242" t="s">
        <v>806</v>
      </c>
      <c r="C216" s="242" t="s">
        <v>496</v>
      </c>
      <c r="D216" s="243"/>
      <c r="E216" s="503"/>
      <c r="F216" s="509">
        <f>+G216-E216</f>
        <v>0</v>
      </c>
      <c r="G216" s="496"/>
      <c r="H216" s="505"/>
      <c r="I216" s="509">
        <f>+J216-H216</f>
        <v>0</v>
      </c>
      <c r="J216" s="496"/>
      <c r="K216" s="505"/>
      <c r="L216" s="509">
        <f>+M216-K216</f>
        <v>0</v>
      </c>
      <c r="M216" s="496"/>
      <c r="N216" s="505"/>
      <c r="O216" s="509">
        <f>+P216-N216</f>
        <v>0</v>
      </c>
      <c r="P216" s="496"/>
      <c r="Q216" s="505"/>
      <c r="R216" s="509">
        <f>+S216-Q216</f>
        <v>0</v>
      </c>
      <c r="S216" s="496"/>
      <c r="T216" s="505"/>
      <c r="U216" s="509">
        <f>+V216-T216</f>
        <v>0</v>
      </c>
      <c r="V216" s="496"/>
      <c r="W216" s="505"/>
      <c r="X216" s="509">
        <f>+Y216-W216</f>
        <v>0</v>
      </c>
      <c r="Y216" s="496"/>
      <c r="Z216" s="505"/>
      <c r="AA216" s="509">
        <f>+AB216-Z216</f>
        <v>0</v>
      </c>
      <c r="AB216" s="496"/>
      <c r="AC216" s="505"/>
      <c r="AD216" s="509">
        <f>+AE216-AC216</f>
        <v>0</v>
      </c>
      <c r="AE216" s="496"/>
      <c r="AF216" s="505"/>
      <c r="AG216" s="509">
        <f>+AH216-AF216</f>
        <v>0</v>
      </c>
      <c r="AH216" s="496"/>
      <c r="AI216" s="505"/>
      <c r="AJ216" s="509">
        <f>+AK216-AI216</f>
        <v>0</v>
      </c>
      <c r="AK216" s="499">
        <v>0</v>
      </c>
      <c r="AL216" s="506">
        <v>9.2059999999999995</v>
      </c>
      <c r="AM216" s="509">
        <f>+AN216-AL216</f>
        <v>5.7220000000000013</v>
      </c>
      <c r="AN216" s="499">
        <v>14.928000000000001</v>
      </c>
      <c r="AO216" s="506">
        <v>-2.8250000000000002</v>
      </c>
      <c r="AP216" s="509">
        <f>+AQ216-AO216</f>
        <v>0.51000000000000023</v>
      </c>
      <c r="AQ216" s="499">
        <v>-2.3149999999999999</v>
      </c>
      <c r="AR216" s="506">
        <v>-0.78400000000000003</v>
      </c>
      <c r="AS216" s="509">
        <f>+AT216-AR216</f>
        <v>6.0629999999999997</v>
      </c>
      <c r="AT216" s="499">
        <v>5.2789999999999999</v>
      </c>
      <c r="AU216" s="506">
        <v>3.246</v>
      </c>
      <c r="AV216" s="509">
        <f>+AW216-AU216</f>
        <v>10.865</v>
      </c>
      <c r="AW216" s="499">
        <v>14.111000000000001</v>
      </c>
      <c r="AX216" s="506">
        <v>-3.8809999999999998</v>
      </c>
      <c r="AY216" s="509">
        <f>+AZ216-AX216</f>
        <v>-9.5299999999999994</v>
      </c>
      <c r="AZ216" s="499">
        <v>-13.411</v>
      </c>
      <c r="BA216" s="506">
        <v>2.327</v>
      </c>
      <c r="BB216" s="509">
        <f>+BC216-BA216</f>
        <v>4.774</v>
      </c>
      <c r="BC216" s="499">
        <v>7.101</v>
      </c>
      <c r="BD216" s="506">
        <v>-17.183</v>
      </c>
      <c r="BE216" s="509">
        <f>+BF216-BD216</f>
        <v>-2.8000000000000007</v>
      </c>
      <c r="BF216" s="499">
        <v>-19.983000000000001</v>
      </c>
      <c r="BG216" s="505">
        <f>IF(Assumptions!BG203&lt;&gt;"",Assumptions!BG203,0)</f>
        <v>5</v>
      </c>
      <c r="BH216" s="509">
        <f>+BI216-BG216</f>
        <v>30.159999999999997</v>
      </c>
      <c r="BI216" s="499">
        <v>35.159999999999997</v>
      </c>
      <c r="BJ216" s="506">
        <v>22.471</v>
      </c>
      <c r="BK216" s="509">
        <f>+BL216-BJ216</f>
        <v>9.4639999999999986</v>
      </c>
      <c r="BL216" s="499">
        <v>31.934999999999999</v>
      </c>
      <c r="BM216" s="506">
        <v>-4.8540000000000001</v>
      </c>
      <c r="BN216" s="509">
        <f>+BO216-BM216</f>
        <v>33.747</v>
      </c>
      <c r="BO216" s="557">
        <v>28.893000000000001</v>
      </c>
      <c r="BP216" s="506">
        <v>-2.4340000000000002</v>
      </c>
      <c r="BQ216" s="509">
        <f>+BR216-BP216</f>
        <v>-18.57</v>
      </c>
      <c r="BR216" s="557">
        <v>-21.004000000000001</v>
      </c>
      <c r="BS216" s="506">
        <v>-15.76</v>
      </c>
      <c r="BT216" s="509">
        <f>+BU216-BS216</f>
        <v>17.756</v>
      </c>
      <c r="BU216" s="557">
        <v>1.996</v>
      </c>
      <c r="BV216" s="506">
        <v>-24.183</v>
      </c>
      <c r="BW216" s="509">
        <f>+BX216-BV216</f>
        <v>-21.274999999999999</v>
      </c>
      <c r="BX216" s="557">
        <v>-45.457999999999998</v>
      </c>
      <c r="BY216" s="506">
        <v>20.518000000000001</v>
      </c>
      <c r="BZ216" s="509">
        <f>+CA216-BY216</f>
        <v>21.396999999999998</v>
      </c>
      <c r="CA216" s="557">
        <v>41.914999999999999</v>
      </c>
      <c r="CB216" s="506">
        <v>-3.726</v>
      </c>
      <c r="CC216" s="509">
        <f>+CD216-CB216</f>
        <v>-28.795000000000002</v>
      </c>
      <c r="CD216" s="557">
        <v>-32.521000000000001</v>
      </c>
      <c r="CE216" s="506">
        <v>22.550999999999998</v>
      </c>
      <c r="CF216" s="509">
        <f>+CG216-CE216</f>
        <v>8.4760000000000026</v>
      </c>
      <c r="CG216" s="557">
        <v>31.027000000000001</v>
      </c>
      <c r="CH216" s="506">
        <v>3.46</v>
      </c>
      <c r="CI216" s="509">
        <f>+CJ216-CH216</f>
        <v>-5.7110000000000003</v>
      </c>
      <c r="CJ216" s="557">
        <v>-2.2509999999999999</v>
      </c>
      <c r="CK216" s="505">
        <v>0.20200000000000001</v>
      </c>
      <c r="CL216" s="509">
        <f>+CM216-CK216</f>
        <v>-19.753</v>
      </c>
      <c r="CM216" s="557">
        <v>-19.550999999999998</v>
      </c>
      <c r="CN216" s="506">
        <v>3.2610000000000001</v>
      </c>
      <c r="CO216" s="509">
        <f>+CP216-CN216</f>
        <v>-1.7010000000000001</v>
      </c>
      <c r="CP216" s="557">
        <v>1.56</v>
      </c>
      <c r="CQ216" s="506">
        <v>2.1999999999999999E-2</v>
      </c>
      <c r="CR216" s="509">
        <f>+CS216-CQ216</f>
        <v>11.408999999999999</v>
      </c>
      <c r="CS216" s="557">
        <v>11.430999999999999</v>
      </c>
      <c r="CT216" s="506">
        <v>7.149</v>
      </c>
      <c r="CU216" s="509">
        <f>+CV216-CT216</f>
        <v>-3.0599999999999996</v>
      </c>
      <c r="CV216" s="557">
        <v>4.0890000000000004</v>
      </c>
      <c r="CW216" s="506">
        <v>5.2249999999999996</v>
      </c>
      <c r="CX216" s="509">
        <f>+CY216-CW216</f>
        <v>10.66</v>
      </c>
      <c r="CY216" s="557">
        <v>15.885</v>
      </c>
      <c r="CZ216" s="505">
        <v>17.600000000000001</v>
      </c>
      <c r="DA216" s="509">
        <f>+DB216-CZ216</f>
        <v>-47.6</v>
      </c>
      <c r="DB216" s="495">
        <v>-30</v>
      </c>
      <c r="DC216" s="505">
        <v>30.4</v>
      </c>
      <c r="DD216" s="509">
        <f>+DE216-DC216</f>
        <v>-13.099999999999998</v>
      </c>
      <c r="DE216" s="495">
        <v>17.3</v>
      </c>
      <c r="DF216" s="505">
        <v>10.8</v>
      </c>
      <c r="DG216" s="509">
        <f>+DH216-DF216</f>
        <v>476.2</v>
      </c>
      <c r="DH216" s="1369">
        <v>487</v>
      </c>
      <c r="DI216" s="1373">
        <v>30.6</v>
      </c>
      <c r="DJ216" s="482">
        <f>+DK216-DI216</f>
        <v>19.600000000000001</v>
      </c>
      <c r="DK216" s="1470">
        <f>50.2</f>
        <v>50.2</v>
      </c>
      <c r="DL216" s="1373">
        <v>-58.7</v>
      </c>
      <c r="DM216" s="482">
        <f>+DN216-DL216</f>
        <v>75.599999999999994</v>
      </c>
      <c r="DN216" s="1470">
        <v>16.899999999999999</v>
      </c>
      <c r="DO216" s="1373">
        <v>-107.2</v>
      </c>
      <c r="DP216" s="482">
        <f>+DQ216-DO216</f>
        <v>33.5</v>
      </c>
      <c r="DQ216" s="1470">
        <v>-73.7</v>
      </c>
      <c r="DR216" s="1373">
        <v>-68.099999999999994</v>
      </c>
      <c r="DS216" s="482">
        <f>+DT216-DR216</f>
        <v>27.399999999999991</v>
      </c>
      <c r="DT216" s="1470">
        <v>-40.700000000000003</v>
      </c>
      <c r="DU216" s="1373">
        <v>-138.80000000000001</v>
      </c>
      <c r="DV216" s="482">
        <f>+DW216-DU216</f>
        <v>-105.79999999999998</v>
      </c>
      <c r="DW216" s="1470">
        <v>-244.6</v>
      </c>
      <c r="DX216" s="1373">
        <v>-85.4</v>
      </c>
      <c r="DY216" s="482">
        <f t="shared" ref="DY216:EX216" si="758">+DY188+DY205+DY214</f>
        <v>-86.861252202549878</v>
      </c>
      <c r="DZ216" s="1262">
        <f t="shared" si="758"/>
        <v>-172.26125220254983</v>
      </c>
      <c r="EA216" s="482">
        <f t="shared" si="758"/>
        <v>28.675224284322923</v>
      </c>
      <c r="EB216" s="482">
        <f t="shared" si="758"/>
        <v>2.7182296943108781</v>
      </c>
      <c r="EC216" s="1262">
        <f t="shared" si="758"/>
        <v>31.393453978633772</v>
      </c>
      <c r="ED216" s="482">
        <f t="shared" si="758"/>
        <v>-5.7896257652329837</v>
      </c>
      <c r="EE216" s="482">
        <f t="shared" si="758"/>
        <v>4.6278354863798086</v>
      </c>
      <c r="EF216" s="1262">
        <f t="shared" si="758"/>
        <v>-1.1617902788531751</v>
      </c>
      <c r="EG216" s="482">
        <f t="shared" si="758"/>
        <v>-2.8647082968144844</v>
      </c>
      <c r="EH216" s="482">
        <f t="shared" si="758"/>
        <v>11.766306931943745</v>
      </c>
      <c r="EI216" s="1262">
        <f t="shared" si="758"/>
        <v>8.9015986351292895</v>
      </c>
      <c r="EJ216" s="482">
        <f t="shared" si="758"/>
        <v>52.920581838292748</v>
      </c>
      <c r="EK216" s="482">
        <f t="shared" si="758"/>
        <v>69.753267656119277</v>
      </c>
      <c r="EL216" s="1262">
        <f t="shared" si="758"/>
        <v>122.67384949441202</v>
      </c>
      <c r="EM216" s="482">
        <f t="shared" si="758"/>
        <v>60.879951872236546</v>
      </c>
      <c r="EN216" s="482">
        <f t="shared" si="758"/>
        <v>78.128073716605797</v>
      </c>
      <c r="EO216" s="1262">
        <f t="shared" si="758"/>
        <v>139.00802558884243</v>
      </c>
      <c r="EP216" s="482">
        <f t="shared" si="758"/>
        <v>69.918904019520994</v>
      </c>
      <c r="EQ216" s="482">
        <f t="shared" si="758"/>
        <v>87.062574585769482</v>
      </c>
      <c r="ER216" s="1262">
        <f t="shared" si="758"/>
        <v>156.98147860529048</v>
      </c>
      <c r="ES216" s="482">
        <f t="shared" si="758"/>
        <v>80.723916043003044</v>
      </c>
      <c r="ET216" s="482">
        <f t="shared" si="758"/>
        <v>96.911086435312598</v>
      </c>
      <c r="EU216" s="1262">
        <f t="shared" si="758"/>
        <v>177.63500247831564</v>
      </c>
      <c r="EV216" s="482">
        <f t="shared" si="758"/>
        <v>92.845473793442295</v>
      </c>
      <c r="EW216" s="482">
        <f t="shared" si="758"/>
        <v>107.76406321034449</v>
      </c>
      <c r="EX216" s="1262">
        <f t="shared" si="758"/>
        <v>200.60953700378684</v>
      </c>
      <c r="EY216" s="482">
        <f t="shared" ref="EY216:FA216" si="759">+EY188+EY205+EY214</f>
        <v>106.4323075271173</v>
      </c>
      <c r="EZ216" s="482">
        <f t="shared" si="759"/>
        <v>119.72108478296275</v>
      </c>
      <c r="FA216" s="1262">
        <f t="shared" si="759"/>
        <v>226.15339231007999</v>
      </c>
      <c r="FE216"/>
      <c r="FF216"/>
      <c r="FG216"/>
      <c r="FH216"/>
      <c r="FI216"/>
      <c r="FJ216"/>
      <c r="FK216" s="35"/>
    </row>
    <row r="217" spans="2:167" s="450" customFormat="1" ht="5.0999999999999996" customHeight="1">
      <c r="C217" s="488"/>
      <c r="E217" s="591"/>
      <c r="F217" s="568"/>
      <c r="G217" s="568"/>
      <c r="H217" s="591"/>
      <c r="I217" s="568"/>
      <c r="J217" s="568"/>
      <c r="K217" s="568"/>
      <c r="L217" s="568"/>
      <c r="M217" s="568"/>
      <c r="N217" s="568"/>
      <c r="O217" s="568"/>
      <c r="P217" s="568"/>
      <c r="Q217" s="568"/>
      <c r="R217" s="568"/>
      <c r="S217" s="568"/>
      <c r="T217" s="568"/>
      <c r="U217" s="568"/>
      <c r="V217" s="568"/>
      <c r="W217" s="568"/>
      <c r="X217" s="568"/>
      <c r="Y217" s="568"/>
      <c r="Z217" s="568"/>
      <c r="AA217" s="568"/>
      <c r="AB217" s="568"/>
      <c r="AC217" s="568"/>
      <c r="AD217" s="568"/>
      <c r="AE217" s="568"/>
      <c r="AF217" s="568"/>
      <c r="AG217" s="568"/>
      <c r="AH217" s="568"/>
      <c r="AI217" s="568"/>
      <c r="AJ217" s="568"/>
      <c r="AK217" s="568"/>
      <c r="AL217" s="568"/>
      <c r="AM217" s="568"/>
      <c r="AN217" s="568"/>
      <c r="AO217" s="568"/>
      <c r="AP217" s="568"/>
      <c r="AQ217" s="568"/>
      <c r="AR217" s="568"/>
      <c r="AS217" s="568"/>
      <c r="AT217" s="568"/>
      <c r="AU217" s="568"/>
      <c r="AV217" s="568"/>
      <c r="AW217" s="568"/>
      <c r="AX217" s="568"/>
      <c r="AY217" s="568"/>
      <c r="AZ217" s="568"/>
      <c r="BA217" s="568"/>
      <c r="BB217" s="568"/>
      <c r="BC217" s="568"/>
      <c r="BD217" s="568"/>
      <c r="BE217" s="568"/>
      <c r="BF217" s="568"/>
      <c r="BG217" s="568"/>
      <c r="BH217" s="568"/>
      <c r="BI217" s="568"/>
      <c r="BJ217" s="568"/>
      <c r="BK217" s="568"/>
      <c r="BL217" s="568"/>
      <c r="BM217" s="568"/>
      <c r="BN217" s="568"/>
      <c r="BO217" s="568"/>
      <c r="BP217" s="568"/>
      <c r="BQ217" s="568"/>
      <c r="BR217" s="568"/>
      <c r="BS217" s="568"/>
      <c r="BT217" s="568"/>
      <c r="BU217" s="568"/>
      <c r="BV217" s="568"/>
      <c r="BW217" s="568"/>
      <c r="BX217" s="568"/>
      <c r="BY217" s="568"/>
      <c r="BZ217" s="568"/>
      <c r="CA217" s="568"/>
      <c r="CB217" s="568"/>
      <c r="CC217" s="568"/>
      <c r="CD217" s="568"/>
      <c r="CE217" s="568"/>
      <c r="CF217" s="568"/>
      <c r="CG217" s="568"/>
      <c r="CH217" s="568"/>
      <c r="CI217" s="568"/>
      <c r="CJ217" s="568"/>
      <c r="CK217" s="568"/>
      <c r="CL217" s="568"/>
      <c r="CM217" s="568"/>
      <c r="CN217" s="568"/>
      <c r="CO217" s="568"/>
      <c r="CP217" s="568"/>
      <c r="CQ217" s="568"/>
      <c r="CR217" s="568"/>
      <c r="CS217" s="568"/>
      <c r="CT217" s="568"/>
      <c r="CU217" s="568"/>
      <c r="CV217" s="568"/>
      <c r="CW217" s="568"/>
      <c r="CX217" s="568"/>
      <c r="CY217" s="568"/>
      <c r="CZ217" s="568"/>
      <c r="DA217" s="568"/>
      <c r="DB217" s="568"/>
      <c r="DC217" s="568"/>
      <c r="DD217" s="568"/>
      <c r="DE217" s="568"/>
      <c r="DF217" s="568"/>
      <c r="DG217" s="568"/>
      <c r="DH217" s="1276"/>
      <c r="DI217" s="568"/>
      <c r="DJ217" s="568"/>
      <c r="DK217" s="1276"/>
      <c r="DL217" s="568"/>
      <c r="DM217" s="568"/>
      <c r="DN217" s="1276"/>
      <c r="DO217" s="568"/>
      <c r="DP217" s="568"/>
      <c r="DQ217" s="1276"/>
      <c r="DR217" s="568"/>
      <c r="DS217" s="568"/>
      <c r="DT217" s="1276"/>
      <c r="DU217" s="568"/>
      <c r="DV217" s="568"/>
      <c r="DW217" s="1276"/>
      <c r="DX217" s="568"/>
      <c r="DY217" s="568"/>
      <c r="DZ217" s="1276"/>
      <c r="EA217" s="568"/>
      <c r="EB217" s="568"/>
      <c r="EC217" s="1276"/>
      <c r="ED217" s="568"/>
      <c r="EE217" s="568"/>
      <c r="EF217" s="1276"/>
      <c r="EG217" s="568"/>
      <c r="EH217" s="568"/>
      <c r="EI217" s="1276"/>
      <c r="EJ217" s="568"/>
      <c r="EK217" s="568"/>
      <c r="EL217" s="1276"/>
      <c r="EM217" s="568"/>
      <c r="EN217" s="568"/>
      <c r="EO217" s="1276"/>
      <c r="EP217" s="568"/>
      <c r="EQ217" s="568"/>
      <c r="ER217" s="1276"/>
      <c r="ES217" s="568"/>
      <c r="ET217" s="568"/>
      <c r="EU217" s="1276"/>
      <c r="EV217" s="568"/>
      <c r="EW217" s="568"/>
      <c r="EX217" s="1276"/>
      <c r="EY217" s="568"/>
      <c r="EZ217" s="568"/>
      <c r="FA217" s="1276"/>
      <c r="FE217"/>
      <c r="FF217"/>
      <c r="FG217"/>
      <c r="FH217"/>
      <c r="FI217"/>
      <c r="FJ217"/>
      <c r="FK217" s="35"/>
    </row>
    <row r="218" spans="2:167" s="450" customFormat="1" ht="13.35" customHeight="1">
      <c r="B218" s="592" t="s">
        <v>807</v>
      </c>
      <c r="C218" s="242"/>
      <c r="D218" s="243"/>
      <c r="E218" s="482"/>
      <c r="F218" s="482"/>
      <c r="G218" s="568"/>
      <c r="H218" s="568"/>
      <c r="I218" s="568"/>
      <c r="J218" s="568"/>
      <c r="K218" s="568"/>
      <c r="L218" s="568"/>
      <c r="M218" s="568"/>
      <c r="N218" s="568"/>
      <c r="O218" s="568"/>
      <c r="P218" s="568"/>
      <c r="Q218" s="568"/>
      <c r="R218" s="568"/>
      <c r="S218" s="568"/>
      <c r="T218" s="568"/>
      <c r="U218" s="568"/>
      <c r="V218" s="568"/>
      <c r="W218" s="568"/>
      <c r="X218" s="568"/>
      <c r="Y218" s="568"/>
      <c r="Z218" s="568"/>
      <c r="AA218" s="568"/>
      <c r="AB218" s="568"/>
      <c r="AC218" s="568"/>
      <c r="AD218" s="568"/>
      <c r="AE218" s="568"/>
      <c r="AF218" s="568"/>
      <c r="AG218" s="568"/>
      <c r="AH218" s="568"/>
      <c r="AI218" s="568"/>
      <c r="AJ218" s="568"/>
      <c r="AK218" s="568"/>
      <c r="AL218" s="568"/>
      <c r="AM218" s="568"/>
      <c r="AN218" s="568"/>
      <c r="AO218" s="568"/>
      <c r="AP218" s="568"/>
      <c r="AQ218" s="568"/>
      <c r="AR218" s="568"/>
      <c r="AS218" s="568"/>
      <c r="AT218" s="568"/>
      <c r="AU218" s="568"/>
      <c r="AV218" s="568"/>
      <c r="AW218" s="568"/>
      <c r="AX218" s="568"/>
      <c r="AY218" s="568"/>
      <c r="AZ218" s="568"/>
      <c r="BA218" s="568"/>
      <c r="BB218" s="568"/>
      <c r="BC218" s="568"/>
      <c r="BD218" s="568"/>
      <c r="BE218" s="568"/>
      <c r="BF218" s="568"/>
      <c r="BG218" s="568"/>
      <c r="BH218" s="568"/>
      <c r="BI218" s="568"/>
      <c r="BJ218" s="568"/>
      <c r="BK218" s="568"/>
      <c r="BL218" s="568"/>
      <c r="BM218" s="568"/>
      <c r="BN218" s="568"/>
      <c r="BO218" s="568"/>
      <c r="BP218" s="568"/>
      <c r="BQ218" s="568"/>
      <c r="BR218" s="568"/>
      <c r="BS218" s="568"/>
      <c r="BT218" s="568"/>
      <c r="BU218" s="568"/>
      <c r="BV218" s="568"/>
      <c r="BW218" s="568"/>
      <c r="BX218" s="568"/>
      <c r="BY218" s="568"/>
      <c r="BZ218" s="568"/>
      <c r="CA218" s="568"/>
      <c r="CB218" s="568"/>
      <c r="CC218" s="568"/>
      <c r="CD218" s="568"/>
      <c r="CE218" s="568"/>
      <c r="CF218" s="568"/>
      <c r="CG218" s="568"/>
      <c r="CH218" s="568"/>
      <c r="CI218" s="568"/>
      <c r="CJ218" s="568"/>
      <c r="CK218" s="568"/>
      <c r="CL218" s="568"/>
      <c r="CM218" s="568"/>
      <c r="CN218" s="568"/>
      <c r="CO218" s="568"/>
      <c r="CP218" s="568"/>
      <c r="CQ218" s="568"/>
      <c r="CR218" s="568"/>
      <c r="CS218" s="568"/>
      <c r="CT218" s="568"/>
      <c r="CU218" s="568"/>
      <c r="CV218" s="568"/>
      <c r="CW218" s="568"/>
      <c r="CX218" s="568"/>
      <c r="CY218" s="568"/>
      <c r="CZ218" s="568"/>
      <c r="DA218" s="568"/>
      <c r="DB218" s="568"/>
      <c r="DC218" s="568"/>
      <c r="DD218" s="568"/>
      <c r="DE218" s="568"/>
      <c r="DF218" s="568"/>
      <c r="DG218" s="568"/>
      <c r="DH218" s="1276"/>
      <c r="DI218" s="568"/>
      <c r="DJ218" s="568"/>
      <c r="DK218" s="1276"/>
      <c r="DL218" s="568"/>
      <c r="DM218" s="568"/>
      <c r="DN218" s="1276"/>
      <c r="DO218" s="568"/>
      <c r="DP218" s="568"/>
      <c r="DQ218" s="1276"/>
      <c r="DR218" s="568"/>
      <c r="DS218" s="482"/>
      <c r="DT218" s="1276"/>
      <c r="DU218" s="568"/>
      <c r="DV218" s="482"/>
      <c r="DW218" s="1276"/>
      <c r="DX218" s="568"/>
      <c r="DY218" s="568"/>
      <c r="DZ218" s="1276"/>
      <c r="EA218" s="568"/>
      <c r="EB218" s="568"/>
      <c r="EC218" s="1276"/>
      <c r="ED218" s="568"/>
      <c r="EE218" s="568"/>
      <c r="EF218" s="1276"/>
      <c r="EG218" s="568"/>
      <c r="EH218" s="568"/>
      <c r="EI218" s="1276"/>
      <c r="EJ218" s="568"/>
      <c r="EK218" s="568"/>
      <c r="EL218" s="1276"/>
      <c r="EM218" s="568"/>
      <c r="EN218" s="568"/>
      <c r="EO218" s="1276"/>
      <c r="EP218" s="568"/>
      <c r="EQ218" s="568"/>
      <c r="ER218" s="1276"/>
      <c r="ES218" s="568"/>
      <c r="ET218" s="568"/>
      <c r="EU218" s="1276"/>
      <c r="EV218" s="568"/>
      <c r="EW218" s="568"/>
      <c r="EX218" s="1276"/>
      <c r="EY218" s="568"/>
      <c r="EZ218" s="568"/>
      <c r="FA218" s="1276"/>
      <c r="FE218"/>
      <c r="FF218"/>
      <c r="FG218"/>
      <c r="FH218"/>
      <c r="FI218"/>
      <c r="FJ218"/>
      <c r="FK218" s="35"/>
    </row>
    <row r="219" spans="2:167" s="450" customFormat="1" ht="13.35" customHeight="1">
      <c r="B219" s="242" t="s">
        <v>210</v>
      </c>
      <c r="C219" s="242" t="s">
        <v>496</v>
      </c>
      <c r="D219" s="243"/>
      <c r="E219" s="482">
        <f>+E188</f>
        <v>0</v>
      </c>
      <c r="F219" s="482">
        <f>+G219-E219</f>
        <v>0</v>
      </c>
      <c r="G219" s="482">
        <f>+G188</f>
        <v>0</v>
      </c>
      <c r="H219" s="482">
        <f>+H188</f>
        <v>0</v>
      </c>
      <c r="I219" s="482">
        <f>+J219-H219</f>
        <v>0</v>
      </c>
      <c r="J219" s="482">
        <f>+J188</f>
        <v>0</v>
      </c>
      <c r="K219" s="482">
        <f>+K188</f>
        <v>0</v>
      </c>
      <c r="L219" s="482">
        <f>+M219-K219</f>
        <v>0</v>
      </c>
      <c r="M219" s="482">
        <f>+M188</f>
        <v>0</v>
      </c>
      <c r="N219" s="482">
        <f>+N188</f>
        <v>0</v>
      </c>
      <c r="O219" s="482">
        <f>+P219-N219</f>
        <v>0</v>
      </c>
      <c r="P219" s="482">
        <f>+P188</f>
        <v>0</v>
      </c>
      <c r="Q219" s="482">
        <f>+Q188</f>
        <v>0</v>
      </c>
      <c r="R219" s="482">
        <f>+S219-Q219</f>
        <v>0</v>
      </c>
      <c r="S219" s="482">
        <f>+S188</f>
        <v>0</v>
      </c>
      <c r="T219" s="482">
        <f>+T188</f>
        <v>0</v>
      </c>
      <c r="U219" s="482">
        <f>+V219-T219</f>
        <v>0</v>
      </c>
      <c r="V219" s="482">
        <f>+V188</f>
        <v>0</v>
      </c>
      <c r="W219" s="482">
        <f>+W188</f>
        <v>0</v>
      </c>
      <c r="X219" s="482">
        <f>+Y219-W219</f>
        <v>0</v>
      </c>
      <c r="Y219" s="482">
        <f>+Y188</f>
        <v>0</v>
      </c>
      <c r="Z219" s="482">
        <f>+Z188</f>
        <v>0</v>
      </c>
      <c r="AA219" s="482">
        <f>+AB219-Z219</f>
        <v>0</v>
      </c>
      <c r="AB219" s="482">
        <f>+AB188</f>
        <v>0</v>
      </c>
      <c r="AC219" s="482">
        <f>+AC188</f>
        <v>0</v>
      </c>
      <c r="AD219" s="482">
        <f>+AE219-AC219</f>
        <v>0</v>
      </c>
      <c r="AE219" s="482">
        <f>+AE188</f>
        <v>0</v>
      </c>
      <c r="AF219" s="482">
        <f>+AF188</f>
        <v>0</v>
      </c>
      <c r="AG219" s="482">
        <f>+AH219-AF219</f>
        <v>0</v>
      </c>
      <c r="AH219" s="482">
        <f>+AH188</f>
        <v>0</v>
      </c>
      <c r="AI219" s="482">
        <f>+AI188</f>
        <v>0</v>
      </c>
      <c r="AJ219" s="482">
        <f>+AK219-AI219</f>
        <v>0</v>
      </c>
      <c r="AK219" s="482">
        <f>+AK188</f>
        <v>0</v>
      </c>
      <c r="AL219" s="482">
        <f>+AL188</f>
        <v>9.5690000000000008</v>
      </c>
      <c r="AM219" s="482">
        <f>+AN219-AL219</f>
        <v>6.6359999999999975</v>
      </c>
      <c r="AN219" s="482">
        <f>+AN188</f>
        <v>16.204999999999998</v>
      </c>
      <c r="AO219" s="482">
        <f>+AO188</f>
        <v>2.0299999999999998</v>
      </c>
      <c r="AP219" s="482">
        <f>+AQ219-AO219</f>
        <v>4.2029999999999994</v>
      </c>
      <c r="AQ219" s="482">
        <f>+AQ188</f>
        <v>6.2329999999999997</v>
      </c>
      <c r="AR219" s="482">
        <f>+AR188</f>
        <v>4.0010000000000003</v>
      </c>
      <c r="AS219" s="482">
        <f>+AT219-AR219</f>
        <v>10.251000000000001</v>
      </c>
      <c r="AT219" s="482">
        <f>+AT188</f>
        <v>14.252000000000001</v>
      </c>
      <c r="AU219" s="482">
        <f>+AU188</f>
        <v>8.9030000000000005</v>
      </c>
      <c r="AV219" s="482">
        <f>+AW219-AU219</f>
        <v>16.896000000000001</v>
      </c>
      <c r="AW219" s="482">
        <f>+AW188</f>
        <v>25.798999999999999</v>
      </c>
      <c r="AX219" s="482">
        <f>+AX188</f>
        <v>8.2029999999999994</v>
      </c>
      <c r="AY219" s="482">
        <f>+AZ219-AX219</f>
        <v>2.8570000000000011</v>
      </c>
      <c r="AZ219" s="482">
        <f>+AZ188</f>
        <v>11.06</v>
      </c>
      <c r="BA219" s="482">
        <f>+BA188</f>
        <v>9.7119999999999997</v>
      </c>
      <c r="BB219" s="482">
        <f>+BC219-BA219</f>
        <v>10.048999999999999</v>
      </c>
      <c r="BC219" s="482">
        <f>+BC188</f>
        <v>19.760999999999999</v>
      </c>
      <c r="BD219" s="482">
        <f>+BD188</f>
        <v>-10.016999999999999</v>
      </c>
      <c r="BE219" s="482">
        <f>+BF219-BD219</f>
        <v>10.914999999999999</v>
      </c>
      <c r="BF219" s="482">
        <f>+BF188</f>
        <v>0.89800000000000002</v>
      </c>
      <c r="BG219" s="482">
        <f>+BG188</f>
        <v>46.515000000000001</v>
      </c>
      <c r="BH219" s="482">
        <f>+BI219-BG219</f>
        <v>32.301999999999992</v>
      </c>
      <c r="BI219" s="482">
        <f>+BI188</f>
        <v>78.816999999999993</v>
      </c>
      <c r="BJ219" s="482">
        <f>+BJ188</f>
        <v>12.962</v>
      </c>
      <c r="BK219" s="482">
        <f>+BL219-BJ219</f>
        <v>36.007999999999996</v>
      </c>
      <c r="BL219" s="482">
        <f>+BL188</f>
        <v>48.97</v>
      </c>
      <c r="BM219" s="482">
        <f>+BM188</f>
        <v>34.695</v>
      </c>
      <c r="BN219" s="482">
        <f>+BO219-BM219</f>
        <v>68.313999999999993</v>
      </c>
      <c r="BO219" s="482">
        <f>+BO188</f>
        <v>103.009</v>
      </c>
      <c r="BP219" s="482">
        <f>+BP188</f>
        <v>24.021999999999998</v>
      </c>
      <c r="BQ219" s="482">
        <f>+BR219-BP219</f>
        <v>27.533000000000001</v>
      </c>
      <c r="BR219" s="482">
        <f>+BR188</f>
        <v>51.555</v>
      </c>
      <c r="BS219" s="482">
        <f>+BS188</f>
        <v>17.893999999999998</v>
      </c>
      <c r="BT219" s="482">
        <f>+BU219-BS219</f>
        <v>60.942</v>
      </c>
      <c r="BU219" s="482">
        <f>+BU188</f>
        <v>78.835999999999999</v>
      </c>
      <c r="BV219" s="482">
        <f>+BV188</f>
        <v>30.038</v>
      </c>
      <c r="BW219" s="482">
        <f>+BX219-BV219</f>
        <v>54.510000000000005</v>
      </c>
      <c r="BX219" s="482">
        <f>+BX188</f>
        <v>84.548000000000002</v>
      </c>
      <c r="BY219" s="482">
        <f>+BY188</f>
        <v>57.41</v>
      </c>
      <c r="BZ219" s="482">
        <f>+CA219-BY219</f>
        <v>89.217999999999989</v>
      </c>
      <c r="CA219" s="482">
        <f>+CA188</f>
        <v>146.62799999999999</v>
      </c>
      <c r="CB219" s="482">
        <f>+CB188</f>
        <v>85.379000000000005</v>
      </c>
      <c r="CC219" s="482">
        <f>+CD219-CB219</f>
        <v>94.166999999999987</v>
      </c>
      <c r="CD219" s="482">
        <f>+CD188</f>
        <v>179.54599999999999</v>
      </c>
      <c r="CE219" s="482">
        <f>+CE188</f>
        <v>90.54</v>
      </c>
      <c r="CF219" s="482">
        <f>+CG219-CE219</f>
        <v>110.73699999999998</v>
      </c>
      <c r="CG219" s="482">
        <f>+CG188</f>
        <v>201.27699999999999</v>
      </c>
      <c r="CH219" s="482">
        <f>+CH188</f>
        <v>67.364999999999995</v>
      </c>
      <c r="CI219" s="482">
        <f>+CJ219-CH219</f>
        <v>100.91500000000001</v>
      </c>
      <c r="CJ219" s="482">
        <f>+CJ188</f>
        <v>168.28</v>
      </c>
      <c r="CK219" s="482">
        <f>+CK188</f>
        <v>28.515000000000001</v>
      </c>
      <c r="CL219" s="482">
        <f>+CM219-CK219</f>
        <v>41.212000000000003</v>
      </c>
      <c r="CM219" s="482">
        <f>+CM188</f>
        <v>69.727000000000004</v>
      </c>
      <c r="CN219" s="482">
        <f>+CN188</f>
        <v>33.610999999999997</v>
      </c>
      <c r="CO219" s="482">
        <f>+CP219-CN219</f>
        <v>77.806000000000012</v>
      </c>
      <c r="CP219" s="482">
        <f>+CP188</f>
        <v>111.417</v>
      </c>
      <c r="CQ219" s="482">
        <f>+CQ188</f>
        <v>89.941999999999993</v>
      </c>
      <c r="CR219" s="482">
        <f>+CS219-CQ219</f>
        <v>98.759</v>
      </c>
      <c r="CS219" s="482">
        <f>+CS188</f>
        <v>188.70099999999999</v>
      </c>
      <c r="CT219" s="482">
        <f>+CT188</f>
        <v>73.540000000000006</v>
      </c>
      <c r="CU219" s="482">
        <f>+CV219-CT219</f>
        <v>111.57299999999999</v>
      </c>
      <c r="CV219" s="482">
        <f>+CV188</f>
        <v>185.113</v>
      </c>
      <c r="CW219" s="482">
        <f>+CW188</f>
        <v>102.28700000000001</v>
      </c>
      <c r="CX219" s="482">
        <f>+CY219-CW219</f>
        <v>157.48499999999999</v>
      </c>
      <c r="CY219" s="482">
        <f>+CY188</f>
        <v>259.77199999999999</v>
      </c>
      <c r="CZ219" s="482">
        <f>+CZ188</f>
        <v>92.7</v>
      </c>
      <c r="DA219" s="482">
        <f>+DB219-CZ219</f>
        <v>165.40000000000003</v>
      </c>
      <c r="DB219" s="482">
        <f>+DB188</f>
        <v>258.10000000000002</v>
      </c>
      <c r="DC219" s="482">
        <f>+DC188</f>
        <v>164.1</v>
      </c>
      <c r="DD219" s="482">
        <f>+DE219-DC219</f>
        <v>131.9</v>
      </c>
      <c r="DE219" s="482">
        <f>+DE188</f>
        <v>296</v>
      </c>
      <c r="DF219" s="482">
        <f>+DF188</f>
        <v>126.8</v>
      </c>
      <c r="DG219" s="482">
        <f>+DH219-DF219</f>
        <v>-284.60000000000002</v>
      </c>
      <c r="DH219" s="1244">
        <f>+DH188</f>
        <v>-157.80000000000001</v>
      </c>
      <c r="DI219" s="482">
        <f>+DI188</f>
        <v>87.5</v>
      </c>
      <c r="DJ219" s="482">
        <f>+DK219-DI219</f>
        <v>183.8</v>
      </c>
      <c r="DK219" s="1244">
        <f>+DK188</f>
        <v>271.3</v>
      </c>
      <c r="DL219" s="482">
        <f>+DL188</f>
        <v>125</v>
      </c>
      <c r="DM219" s="482">
        <f>+DN219-DL219</f>
        <v>251.5</v>
      </c>
      <c r="DN219" s="1244">
        <f>+DN188</f>
        <v>376.5</v>
      </c>
      <c r="DO219" s="482">
        <f>+DO188</f>
        <v>89.1</v>
      </c>
      <c r="DP219" s="482">
        <f>+DQ219-DO219</f>
        <v>273.29999999999995</v>
      </c>
      <c r="DQ219" s="1244">
        <f>+DQ188</f>
        <v>362.4</v>
      </c>
      <c r="DR219" s="482">
        <f>+DR188</f>
        <v>157.1</v>
      </c>
      <c r="DS219" s="482">
        <f>+DT219-DR219</f>
        <v>231.70000000000002</v>
      </c>
      <c r="DT219" s="1244">
        <f>+DT188</f>
        <v>388.8</v>
      </c>
      <c r="DU219" s="482">
        <f>+DU188</f>
        <v>109.9</v>
      </c>
      <c r="DV219" s="482">
        <f>+DW219-DU219</f>
        <v>127.69999999999999</v>
      </c>
      <c r="DW219" s="1244">
        <f>+DW188</f>
        <v>237.6</v>
      </c>
      <c r="DX219" s="482">
        <f>+DX188</f>
        <v>136.80000000000001</v>
      </c>
      <c r="DY219" s="482">
        <f>+DY188</f>
        <v>161.43823386206753</v>
      </c>
      <c r="DZ219" s="1244">
        <f>SUM(DX219:DY219)</f>
        <v>298.23823386206755</v>
      </c>
      <c r="EA219" s="482">
        <f>+EA188</f>
        <v>298.02346022718621</v>
      </c>
      <c r="EB219" s="482">
        <f>+EC219-EA219</f>
        <v>285.77776321100146</v>
      </c>
      <c r="EC219" s="1244">
        <f>+EC188</f>
        <v>583.80122343818766</v>
      </c>
      <c r="ED219" s="482">
        <f>+ED188</f>
        <v>282.84412558565805</v>
      </c>
      <c r="EE219" s="482">
        <f>+EF219-ED219</f>
        <v>308.9890530992617</v>
      </c>
      <c r="EF219" s="1244">
        <f>+EF188</f>
        <v>591.83317868491974</v>
      </c>
      <c r="EG219" s="482">
        <f>+EG188</f>
        <v>310.45855049066137</v>
      </c>
      <c r="EH219" s="482">
        <f>+EI219-EG219</f>
        <v>342.87104932617439</v>
      </c>
      <c r="EI219" s="1244">
        <f>+EI188</f>
        <v>653.32959981683575</v>
      </c>
      <c r="EJ219" s="482">
        <f>+EJ188</f>
        <v>344.54854959615238</v>
      </c>
      <c r="EK219" s="482">
        <f>+EL219-EJ219</f>
        <v>378.08511443527993</v>
      </c>
      <c r="EL219" s="1244">
        <f>+EL188</f>
        <v>722.63366403143232</v>
      </c>
      <c r="EM219" s="482">
        <f>+EM188</f>
        <v>380.7242791244538</v>
      </c>
      <c r="EN219" s="482">
        <f>+EO219-EM219</f>
        <v>415.25670520121798</v>
      </c>
      <c r="EO219" s="1244">
        <f>+EO188</f>
        <v>795.98098432567178</v>
      </c>
      <c r="EP219" s="482">
        <f>+EP188</f>
        <v>419.59611518746641</v>
      </c>
      <c r="EQ219" s="482">
        <f>+ER219-EP219</f>
        <v>454.98260135437494</v>
      </c>
      <c r="ER219" s="1244">
        <f>+ER188</f>
        <v>874.57871654184135</v>
      </c>
      <c r="ES219" s="482">
        <f>+ES188</f>
        <v>462.28905969783062</v>
      </c>
      <c r="ET219" s="482">
        <f>+EU219-ES219</f>
        <v>498.40362411988843</v>
      </c>
      <c r="EU219" s="1244">
        <f>+EU188</f>
        <v>960.69268381771906</v>
      </c>
      <c r="EV219" s="482">
        <f>+EV188</f>
        <v>509.17753304117343</v>
      </c>
      <c r="EW219" s="482">
        <f>+EX219-EV219</f>
        <v>545.8645992663545</v>
      </c>
      <c r="EX219" s="1244">
        <f>+EX188</f>
        <v>1055.0421323075279</v>
      </c>
      <c r="EY219" s="482">
        <f>+EY188</f>
        <v>560.67342484806898</v>
      </c>
      <c r="EZ219" s="482">
        <f>+FA219-EY219</f>
        <v>597.74351522911718</v>
      </c>
      <c r="FA219" s="1244">
        <f>+FA188</f>
        <v>1158.4169400771862</v>
      </c>
      <c r="FE219"/>
      <c r="FF219"/>
      <c r="FG219"/>
      <c r="FH219"/>
      <c r="FI219"/>
      <c r="FJ219"/>
      <c r="FK219" s="35"/>
    </row>
    <row r="220" spans="2:167" s="450" customFormat="1" ht="13.35" customHeight="1">
      <c r="B220" s="242" t="s">
        <v>808</v>
      </c>
      <c r="C220" s="242" t="s">
        <v>496</v>
      </c>
      <c r="D220" s="243"/>
      <c r="E220" s="482">
        <f>-E190</f>
        <v>0</v>
      </c>
      <c r="F220" s="482">
        <f>+G220-E220</f>
        <v>0</v>
      </c>
      <c r="G220" s="482">
        <f>-G190</f>
        <v>0</v>
      </c>
      <c r="H220" s="482">
        <f>-H190</f>
        <v>0</v>
      </c>
      <c r="I220" s="482">
        <f>+J220-H220</f>
        <v>0</v>
      </c>
      <c r="J220" s="482">
        <f>-J190</f>
        <v>0</v>
      </c>
      <c r="K220" s="482">
        <f>-K190</f>
        <v>0</v>
      </c>
      <c r="L220" s="482">
        <f>+M220-K220</f>
        <v>0</v>
      </c>
      <c r="M220" s="482">
        <f>-M190</f>
        <v>0</v>
      </c>
      <c r="N220" s="482">
        <f>-N190</f>
        <v>0</v>
      </c>
      <c r="O220" s="482">
        <f>+P220-N220</f>
        <v>0</v>
      </c>
      <c r="P220" s="482">
        <f>-P190</f>
        <v>0</v>
      </c>
      <c r="Q220" s="482">
        <f>-Q190</f>
        <v>0</v>
      </c>
      <c r="R220" s="482">
        <f>+S220-Q220</f>
        <v>0</v>
      </c>
      <c r="S220" s="482">
        <f>-S190</f>
        <v>0</v>
      </c>
      <c r="T220" s="482">
        <f>-T190</f>
        <v>0</v>
      </c>
      <c r="U220" s="482">
        <f>+V220-T220</f>
        <v>0</v>
      </c>
      <c r="V220" s="482">
        <f>-V190</f>
        <v>0</v>
      </c>
      <c r="W220" s="482">
        <f>-W190</f>
        <v>0</v>
      </c>
      <c r="X220" s="482">
        <f>+Y220-W220</f>
        <v>0</v>
      </c>
      <c r="Y220" s="482">
        <f>-Y190</f>
        <v>0</v>
      </c>
      <c r="Z220" s="482">
        <f>-Z190</f>
        <v>0</v>
      </c>
      <c r="AA220" s="482">
        <f>+AB220-Z220</f>
        <v>0</v>
      </c>
      <c r="AB220" s="482">
        <f>-AB190</f>
        <v>0</v>
      </c>
      <c r="AC220" s="482">
        <f>-AC190</f>
        <v>0</v>
      </c>
      <c r="AD220" s="482">
        <f>+AE220-AC220</f>
        <v>0</v>
      </c>
      <c r="AE220" s="482">
        <f>-AE190</f>
        <v>0</v>
      </c>
      <c r="AF220" s="482">
        <f>-AF190</f>
        <v>0</v>
      </c>
      <c r="AG220" s="482">
        <f>+AH220-AF220</f>
        <v>0</v>
      </c>
      <c r="AH220" s="482">
        <f>-AH190</f>
        <v>0</v>
      </c>
      <c r="AI220" s="482">
        <f>-AI190</f>
        <v>0</v>
      </c>
      <c r="AJ220" s="482">
        <f>+AK220-AI220</f>
        <v>0</v>
      </c>
      <c r="AK220" s="482">
        <f>-AK190</f>
        <v>0</v>
      </c>
      <c r="AL220" s="482">
        <f>-AL190</f>
        <v>0.58599999999999997</v>
      </c>
      <c r="AM220" s="482">
        <f>+AN220-AL220</f>
        <v>0.9880000000000001</v>
      </c>
      <c r="AN220" s="482">
        <f>-AN190</f>
        <v>1.5740000000000001</v>
      </c>
      <c r="AO220" s="482">
        <f>-AO190</f>
        <v>1.0389999999999999</v>
      </c>
      <c r="AP220" s="482">
        <f>+AQ220-AO220</f>
        <v>0.99</v>
      </c>
      <c r="AQ220" s="482">
        <f>-AQ190</f>
        <v>2.0289999999999999</v>
      </c>
      <c r="AR220" s="482">
        <f>-AR190</f>
        <v>1.073</v>
      </c>
      <c r="AS220" s="482">
        <f>+AT220-AR220</f>
        <v>1.222</v>
      </c>
      <c r="AT220" s="482">
        <f>-AT190</f>
        <v>2.2949999999999999</v>
      </c>
      <c r="AU220" s="482">
        <f>-AU190</f>
        <v>0</v>
      </c>
      <c r="AV220" s="482">
        <f>+AW220-AU220</f>
        <v>0</v>
      </c>
      <c r="AW220" s="482">
        <f>-AW190</f>
        <v>0</v>
      </c>
      <c r="AX220" s="482">
        <f>-AX190</f>
        <v>3.524</v>
      </c>
      <c r="AY220" s="482">
        <f>+AZ220-AX220</f>
        <v>2.2549999999999999</v>
      </c>
      <c r="AZ220" s="482">
        <f>-AZ190</f>
        <v>5.7789999999999999</v>
      </c>
      <c r="BA220" s="482">
        <f>-BA190</f>
        <v>2.9460000000000002</v>
      </c>
      <c r="BB220" s="482">
        <f>+BC220-BA220</f>
        <v>2.5909999999999997</v>
      </c>
      <c r="BC220" s="482">
        <f>-BC190</f>
        <v>5.5369999999999999</v>
      </c>
      <c r="BD220" s="482">
        <f>-BD190</f>
        <v>5.5949999999999998</v>
      </c>
      <c r="BE220" s="482">
        <f>+BF220-BD220</f>
        <v>11.535</v>
      </c>
      <c r="BF220" s="482">
        <f>-BF190</f>
        <v>17.13</v>
      </c>
      <c r="BG220" s="482">
        <f>-BG190</f>
        <v>7.8120000000000003</v>
      </c>
      <c r="BH220" s="482">
        <f>+BI220-BG220</f>
        <v>2.6870000000000003</v>
      </c>
      <c r="BI220" s="482">
        <f>-BI190</f>
        <v>10.499000000000001</v>
      </c>
      <c r="BJ220" s="482">
        <f>-BJ189</f>
        <v>8.4060000000000006</v>
      </c>
      <c r="BK220" s="482">
        <f>+BL220-BJ220</f>
        <v>4.9260000000000002</v>
      </c>
      <c r="BL220" s="482">
        <f>-BL189</f>
        <v>13.332000000000001</v>
      </c>
      <c r="BM220" s="482">
        <f>-BM189</f>
        <v>19.141999999999999</v>
      </c>
      <c r="BN220" s="482">
        <f>+BO220-BM220</f>
        <v>-11.106999999999999</v>
      </c>
      <c r="BO220" s="482">
        <f>-BO189</f>
        <v>8.0350000000000001</v>
      </c>
      <c r="BP220" s="482">
        <f>-BP189</f>
        <v>4.1020000000000003</v>
      </c>
      <c r="BQ220" s="482">
        <f>+BR220-BP220</f>
        <v>10.933</v>
      </c>
      <c r="BR220" s="482">
        <f>-BR189</f>
        <v>15.035</v>
      </c>
      <c r="BS220" s="482">
        <f>-BS189</f>
        <v>12.495999999999999</v>
      </c>
      <c r="BT220" s="482">
        <f>+BU220-BS220</f>
        <v>13.905000000000001</v>
      </c>
      <c r="BU220" s="482">
        <f>-BU189</f>
        <v>26.401</v>
      </c>
      <c r="BV220" s="482">
        <f>-BV189</f>
        <v>14.832000000000001</v>
      </c>
      <c r="BW220" s="482">
        <f>+BX220-BV220</f>
        <v>12.817999999999998</v>
      </c>
      <c r="BX220" s="482">
        <f>-BX189</f>
        <v>27.65</v>
      </c>
      <c r="BY220" s="482">
        <f>-BY189</f>
        <v>10.117000000000001</v>
      </c>
      <c r="BZ220" s="482">
        <f>+CA220-BY220</f>
        <v>19.113999999999997</v>
      </c>
      <c r="CA220" s="482">
        <f>-CA189</f>
        <v>29.230999999999998</v>
      </c>
      <c r="CB220" s="482">
        <f>-CB189</f>
        <v>31.454999999999998</v>
      </c>
      <c r="CC220" s="482">
        <f>+CD220-CB220</f>
        <v>54.131999999999991</v>
      </c>
      <c r="CD220" s="482">
        <f>-CD189</f>
        <v>85.586999999999989</v>
      </c>
      <c r="CE220" s="482">
        <f>-CE189</f>
        <v>60.041000000000004</v>
      </c>
      <c r="CF220" s="482">
        <f>+CG220-CE220</f>
        <v>26.259999999999998</v>
      </c>
      <c r="CG220" s="482">
        <f>-CG189</f>
        <v>86.301000000000002</v>
      </c>
      <c r="CH220" s="482">
        <f>-CH189</f>
        <v>9.6829999999999998</v>
      </c>
      <c r="CI220" s="482">
        <f>+CJ220-CH220</f>
        <v>21.131999999999998</v>
      </c>
      <c r="CJ220" s="482">
        <f>-CJ189</f>
        <v>30.814999999999998</v>
      </c>
      <c r="CK220" s="482">
        <f>-CK189</f>
        <v>30.501000000000001</v>
      </c>
      <c r="CL220" s="482">
        <f>+CM220-CK220</f>
        <v>19.918000000000003</v>
      </c>
      <c r="CM220" s="482">
        <f>-CM189</f>
        <v>50.419000000000004</v>
      </c>
      <c r="CN220" s="482">
        <f>-CN189</f>
        <v>13.907999999999999</v>
      </c>
      <c r="CO220" s="482">
        <f>+CP220-CN220</f>
        <v>18.037999999999997</v>
      </c>
      <c r="CP220" s="482">
        <f>-CP189</f>
        <v>31.945999999999998</v>
      </c>
      <c r="CQ220" s="482">
        <f>-CQ189</f>
        <v>10.451000000000001</v>
      </c>
      <c r="CR220" s="482">
        <f>+CS220-CQ220</f>
        <v>17.975999999999999</v>
      </c>
      <c r="CS220" s="482">
        <f>-CS189</f>
        <v>28.427</v>
      </c>
      <c r="CT220" s="482">
        <f>-CT189</f>
        <v>16.760999999999999</v>
      </c>
      <c r="CU220" s="482">
        <f>+CV220-CT220</f>
        <v>19.653000000000002</v>
      </c>
      <c r="CV220" s="482">
        <f>-CV189</f>
        <v>36.414000000000001</v>
      </c>
      <c r="CW220" s="482">
        <f>-CW189</f>
        <v>17.186999999999998</v>
      </c>
      <c r="CX220" s="482">
        <f>+CY220-CW220</f>
        <v>45.655000000000001</v>
      </c>
      <c r="CY220" s="482">
        <f>-CY189</f>
        <v>62.841999999999999</v>
      </c>
      <c r="CZ220" s="482">
        <f>-CZ189</f>
        <v>20.2</v>
      </c>
      <c r="DA220" s="482">
        <f>+DB220-CZ220</f>
        <v>24.400000000000002</v>
      </c>
      <c r="DB220" s="482">
        <f>-DB189</f>
        <v>44.6</v>
      </c>
      <c r="DC220" s="482">
        <f>-DC189</f>
        <v>66.900000000000006</v>
      </c>
      <c r="DD220" s="482">
        <f>+DE220-DC220</f>
        <v>19.699999999999989</v>
      </c>
      <c r="DE220" s="482">
        <f>-DE189</f>
        <v>86.6</v>
      </c>
      <c r="DF220" s="482">
        <f>-DF189</f>
        <v>49.8</v>
      </c>
      <c r="DG220" s="482">
        <f>+DH220-DF220</f>
        <v>61.600000000000009</v>
      </c>
      <c r="DH220" s="1244">
        <f>-DH189</f>
        <v>111.4</v>
      </c>
      <c r="DI220" s="482">
        <f>-DI189</f>
        <v>19.2</v>
      </c>
      <c r="DJ220" s="482">
        <f>+DK220-DI220</f>
        <v>47.5</v>
      </c>
      <c r="DK220" s="1244">
        <f>-DK189</f>
        <v>66.7</v>
      </c>
      <c r="DL220" s="482">
        <f>-DL189</f>
        <v>20.9</v>
      </c>
      <c r="DM220" s="482">
        <f>+DN220-DL220</f>
        <v>56.300000000000004</v>
      </c>
      <c r="DN220" s="1244">
        <f>-DN189</f>
        <v>77.2</v>
      </c>
      <c r="DO220" s="482">
        <f>-DO189</f>
        <v>42.7</v>
      </c>
      <c r="DP220" s="482">
        <f>+DQ220-DO220</f>
        <v>53.2</v>
      </c>
      <c r="DQ220" s="1244">
        <f>-DQ189</f>
        <v>95.9</v>
      </c>
      <c r="DR220" s="482">
        <f>-DR189</f>
        <v>42.7</v>
      </c>
      <c r="DS220" s="482">
        <f>+DT220-DR220</f>
        <v>47.099999999999994</v>
      </c>
      <c r="DT220" s="1244">
        <f>-DT189</f>
        <v>89.8</v>
      </c>
      <c r="DU220" s="482">
        <f>-DU189</f>
        <v>43.900000000000006</v>
      </c>
      <c r="DV220" s="482">
        <f>+DW220-DU220</f>
        <v>58.699999999999989</v>
      </c>
      <c r="DW220" s="1244">
        <f>-DW189</f>
        <v>102.6</v>
      </c>
      <c r="DX220" s="482">
        <f>-DX189</f>
        <v>40.299999999999997</v>
      </c>
      <c r="DY220" s="482">
        <f>-DY189</f>
        <v>61.749015898373408</v>
      </c>
      <c r="DZ220" s="1244">
        <f>SUM(DX220:DY220)</f>
        <v>102.0490158983734</v>
      </c>
      <c r="EA220" s="482">
        <f>-EA189</f>
        <v>54.290355966718408</v>
      </c>
      <c r="EB220" s="482">
        <f>+EC220-EA220</f>
        <v>55.963009729802948</v>
      </c>
      <c r="EC220" s="1244">
        <f>-EC189</f>
        <v>110.25336569652136</v>
      </c>
      <c r="ED220" s="482">
        <f>-ED189</f>
        <v>56.579521263865018</v>
      </c>
      <c r="EE220" s="482">
        <f>+EF220-ED220</f>
        <v>58.329685573182502</v>
      </c>
      <c r="EF220" s="1244">
        <f>-EF189</f>
        <v>114.90920683704752</v>
      </c>
      <c r="EG220" s="482">
        <f>-EG189</f>
        <v>61.671678177612861</v>
      </c>
      <c r="EH220" s="482">
        <f>+EI220-EG220</f>
        <v>63.579357274768924</v>
      </c>
      <c r="EI220" s="1244">
        <f>-EI189</f>
        <v>125.25103545238179</v>
      </c>
      <c r="EJ220" s="482">
        <f>-EJ189</f>
        <v>67.222129213598024</v>
      </c>
      <c r="EK220" s="482">
        <f>+EL220-EJ220</f>
        <v>69.301499429498122</v>
      </c>
      <c r="EL220" s="1244">
        <f>-EL189</f>
        <v>136.52362864309615</v>
      </c>
      <c r="EM220" s="482">
        <f>-EM189</f>
        <v>73.272120842821849</v>
      </c>
      <c r="EN220" s="482">
        <f>+EO220-EM220</f>
        <v>75.538634378152992</v>
      </c>
      <c r="EO220" s="1244">
        <f>-EO189</f>
        <v>148.81075522097484</v>
      </c>
      <c r="EP220" s="482">
        <f>-EP189</f>
        <v>79.866611718675827</v>
      </c>
      <c r="EQ220" s="482">
        <f>+ER220-EP220</f>
        <v>82.337111472186749</v>
      </c>
      <c r="ER220" s="1244">
        <f>-ER189</f>
        <v>162.20372319086258</v>
      </c>
      <c r="ES220" s="482">
        <f>-ES189</f>
        <v>87.054606773356667</v>
      </c>
      <c r="ET220" s="482">
        <f>+EU220-ES220</f>
        <v>89.747451504683553</v>
      </c>
      <c r="EU220" s="1244">
        <f>-EU189</f>
        <v>176.80205827804022</v>
      </c>
      <c r="EV220" s="482">
        <f>-EV189</f>
        <v>94.889521382958776</v>
      </c>
      <c r="EW220" s="482">
        <f>+EX220-EV220</f>
        <v>97.824722140105081</v>
      </c>
      <c r="EX220" s="1244">
        <f>-EX189</f>
        <v>192.71424352306386</v>
      </c>
      <c r="EY220" s="482">
        <f>-EY189</f>
        <v>103.42957830742506</v>
      </c>
      <c r="EZ220" s="482">
        <f>+FA220-EY220</f>
        <v>106.62894713271456</v>
      </c>
      <c r="FA220" s="1244">
        <f>-FA189</f>
        <v>210.05852544013962</v>
      </c>
      <c r="FE220"/>
      <c r="FF220"/>
      <c r="FG220"/>
      <c r="FH220"/>
      <c r="FI220"/>
      <c r="FJ220"/>
      <c r="FK220" s="35"/>
    </row>
    <row r="221" spans="2:167" s="450" customFormat="1" ht="13.35" customHeight="1">
      <c r="B221" s="242" t="s">
        <v>818</v>
      </c>
      <c r="C221" s="242" t="s">
        <v>496</v>
      </c>
      <c r="D221" s="243"/>
      <c r="E221" s="482">
        <f>-E209</f>
        <v>0</v>
      </c>
      <c r="F221" s="482">
        <f>+G221-E221</f>
        <v>0</v>
      </c>
      <c r="G221" s="482">
        <f>-G209</f>
        <v>0</v>
      </c>
      <c r="H221" s="482">
        <f>-H209</f>
        <v>0</v>
      </c>
      <c r="I221" s="482">
        <f>+J221-H221</f>
        <v>0</v>
      </c>
      <c r="J221" s="482">
        <f>-J209</f>
        <v>0</v>
      </c>
      <c r="K221" s="482">
        <f>-K209</f>
        <v>0</v>
      </c>
      <c r="L221" s="482">
        <f>+M221-K221</f>
        <v>0</v>
      </c>
      <c r="M221" s="482">
        <f>-M209</f>
        <v>0</v>
      </c>
      <c r="N221" s="482">
        <f>-N209</f>
        <v>0</v>
      </c>
      <c r="O221" s="482">
        <f>+P221-N221</f>
        <v>0</v>
      </c>
      <c r="P221" s="482">
        <f>-P209</f>
        <v>0</v>
      </c>
      <c r="Q221" s="482">
        <f>-Q209</f>
        <v>0</v>
      </c>
      <c r="R221" s="482">
        <f>+S221-Q221</f>
        <v>0</v>
      </c>
      <c r="S221" s="482">
        <f>-S209</f>
        <v>0</v>
      </c>
      <c r="T221" s="482">
        <f>-T209</f>
        <v>0</v>
      </c>
      <c r="U221" s="482">
        <f>+V221-T221</f>
        <v>0</v>
      </c>
      <c r="V221" s="482">
        <f>-V209</f>
        <v>0</v>
      </c>
      <c r="W221" s="482">
        <f>-W209</f>
        <v>0</v>
      </c>
      <c r="X221" s="482">
        <f>+Y221-W221</f>
        <v>0</v>
      </c>
      <c r="Y221" s="482">
        <f>-Y209</f>
        <v>0</v>
      </c>
      <c r="Z221" s="482">
        <f>-Z209</f>
        <v>0</v>
      </c>
      <c r="AA221" s="482">
        <f>+AB221-Z221</f>
        <v>0</v>
      </c>
      <c r="AB221" s="482">
        <f>-AB209</f>
        <v>0</v>
      </c>
      <c r="AC221" s="482">
        <f>-AC209</f>
        <v>0</v>
      </c>
      <c r="AD221" s="482">
        <f>+AE221-AC221</f>
        <v>0</v>
      </c>
      <c r="AE221" s="482">
        <f>-AE209</f>
        <v>0</v>
      </c>
      <c r="AF221" s="482">
        <f>-AF209</f>
        <v>0</v>
      </c>
      <c r="AG221" s="482">
        <f>+AH221-AF221</f>
        <v>0</v>
      </c>
      <c r="AH221" s="482">
        <f>-AH209</f>
        <v>0</v>
      </c>
      <c r="AI221" s="482">
        <f>-AI209</f>
        <v>0</v>
      </c>
      <c r="AJ221" s="482">
        <f>+AK221-AI221</f>
        <v>0</v>
      </c>
      <c r="AK221" s="482">
        <f>-AK209</f>
        <v>0</v>
      </c>
      <c r="AL221" s="482">
        <f>+AL349</f>
        <v>2.5</v>
      </c>
      <c r="AM221" s="482">
        <f>+AN221-AL221</f>
        <v>3.75</v>
      </c>
      <c r="AN221" s="482">
        <f>+AN349</f>
        <v>6.25</v>
      </c>
      <c r="AO221" s="482">
        <f>+AO349</f>
        <v>2.5</v>
      </c>
      <c r="AP221" s="482">
        <f>+AQ221-AO221</f>
        <v>3.75</v>
      </c>
      <c r="AQ221" s="482">
        <f>+AQ349</f>
        <v>6.25</v>
      </c>
      <c r="AR221" s="482">
        <f>+AR349</f>
        <v>3</v>
      </c>
      <c r="AS221" s="482">
        <f>+AT221-AR221</f>
        <v>4.75</v>
      </c>
      <c r="AT221" s="482">
        <f>+AT349</f>
        <v>7.75</v>
      </c>
      <c r="AU221" s="482">
        <f>+AU349</f>
        <v>4.0430000000000001</v>
      </c>
      <c r="AV221" s="482">
        <f>+AW221-AU221</f>
        <v>10.106999999999999</v>
      </c>
      <c r="AW221" s="482">
        <f>+AW349</f>
        <v>14.15</v>
      </c>
      <c r="AX221" s="482">
        <f>+AX349</f>
        <v>7.67</v>
      </c>
      <c r="AY221" s="482">
        <f>+AZ221-AX221</f>
        <v>7.6769999999999996</v>
      </c>
      <c r="AZ221" s="482">
        <f>+AZ349</f>
        <v>15.347</v>
      </c>
      <c r="BA221" s="482">
        <f>+BA349</f>
        <v>10.403</v>
      </c>
      <c r="BB221" s="482">
        <f>+BC221-BA221</f>
        <v>10.924000000000001</v>
      </c>
      <c r="BC221" s="482">
        <f>+BC349</f>
        <v>21.327000000000002</v>
      </c>
      <c r="BD221" s="482">
        <f>+BD349</f>
        <v>10.923645389999999</v>
      </c>
      <c r="BE221" s="482">
        <f>+BF221-BD221</f>
        <v>16.37643001</v>
      </c>
      <c r="BF221" s="482">
        <f>+BF349</f>
        <v>27.300075400000001</v>
      </c>
      <c r="BG221" s="482">
        <f>+BG349</f>
        <v>17.325047850000001</v>
      </c>
      <c r="BH221" s="482">
        <f>+BI221-BG221</f>
        <v>15.946952149999998</v>
      </c>
      <c r="BI221" s="482">
        <f>+BI349</f>
        <v>33.271999999999998</v>
      </c>
      <c r="BJ221" s="482">
        <f>+BJ349</f>
        <v>23.355</v>
      </c>
      <c r="BK221" s="482">
        <f>+BL221-BJ221</f>
        <v>19.432735099999999</v>
      </c>
      <c r="BL221" s="482">
        <f>+BL349</f>
        <v>42.787735099999999</v>
      </c>
      <c r="BM221" s="482">
        <f>+BM349</f>
        <v>17.8733577</v>
      </c>
      <c r="BN221" s="482">
        <f>+BO221-BM221</f>
        <v>24.372760500000005</v>
      </c>
      <c r="BO221" s="482">
        <f>+BO349</f>
        <v>42.246118200000005</v>
      </c>
      <c r="BP221" s="482">
        <f>+BP349</f>
        <v>24.372760500000002</v>
      </c>
      <c r="BQ221" s="482">
        <f>+BR221-BP221</f>
        <v>29.788929499999998</v>
      </c>
      <c r="BR221" s="482">
        <f>+BR349</f>
        <v>54.16169</v>
      </c>
      <c r="BS221" s="482">
        <f>+BS349</f>
        <v>30.096379500000001</v>
      </c>
      <c r="BT221" s="482">
        <f>+BU221-BS221</f>
        <v>38.304483000000005</v>
      </c>
      <c r="BU221" s="482">
        <f>+BU349</f>
        <v>68.400862500000002</v>
      </c>
      <c r="BV221" s="482">
        <f>+BV349</f>
        <v>38.935994999999998</v>
      </c>
      <c r="BW221" s="482">
        <f>+BX221-BV221</f>
        <v>44.498280000000001</v>
      </c>
      <c r="BX221" s="482">
        <f>+BX349</f>
        <v>83.434275</v>
      </c>
      <c r="BY221" s="482">
        <f>+BY349</f>
        <v>44.594570400000002</v>
      </c>
      <c r="BZ221" s="482">
        <f>+CA221-BY221</f>
        <v>53.495979850000005</v>
      </c>
      <c r="CA221" s="482">
        <f>+CA349</f>
        <v>98.090550250000007</v>
      </c>
      <c r="CB221" s="482">
        <f>+CB349</f>
        <v>53.327764521081463</v>
      </c>
      <c r="CC221" s="482">
        <f>+CD221-CB221</f>
        <v>59.06801892924112</v>
      </c>
      <c r="CD221" s="482">
        <f>+CD349</f>
        <v>112.39578345032258</v>
      </c>
      <c r="CE221" s="482">
        <f>+CE349</f>
        <v>59.364109350000007</v>
      </c>
      <c r="CF221" s="482">
        <f>+CG221-CE221</f>
        <v>67.23360989999999</v>
      </c>
      <c r="CG221" s="482">
        <f>+CG349</f>
        <v>126.59771925</v>
      </c>
      <c r="CH221" s="482">
        <f>+CH349</f>
        <v>68.1358836</v>
      </c>
      <c r="CI221" s="482">
        <f>+CJ221-CH221</f>
        <v>71.357989118791579</v>
      </c>
      <c r="CJ221" s="482">
        <f>+CJ349</f>
        <v>139.49387271879158</v>
      </c>
      <c r="CK221" s="482">
        <f>+CK349</f>
        <v>71.087440000000001</v>
      </c>
      <c r="CL221" s="482">
        <f>+CM221-CK221</f>
        <v>72.565258421597449</v>
      </c>
      <c r="CM221" s="482">
        <f>+CM349</f>
        <v>143.65269842159745</v>
      </c>
      <c r="CN221" s="482">
        <f>+CN349</f>
        <v>72.290833850575538</v>
      </c>
      <c r="CO221" s="482">
        <f>+CP221-CN221</f>
        <v>72.409827975564369</v>
      </c>
      <c r="CP221" s="482">
        <f>+CP349</f>
        <v>144.70066182613991</v>
      </c>
      <c r="CQ221" s="482">
        <f>+CQ349</f>
        <v>51.250724099999978</v>
      </c>
      <c r="CR221" s="482">
        <f>+CS221-CQ221</f>
        <v>56.871928901986145</v>
      </c>
      <c r="CS221" s="482">
        <f>+CS349</f>
        <v>108.12265300198612</v>
      </c>
      <c r="CT221" s="482">
        <f>+CT349</f>
        <v>62.344895881247602</v>
      </c>
      <c r="CU221" s="482">
        <f>+CV221-CT221</f>
        <v>69.079888047168993</v>
      </c>
      <c r="CV221" s="482">
        <f>+CV349</f>
        <v>131.42478392841659</v>
      </c>
      <c r="CW221" s="482">
        <f>+CW349</f>
        <v>77.644526419616042</v>
      </c>
      <c r="CX221" s="482">
        <f>+CY221-CW221</f>
        <v>78.313756228703383</v>
      </c>
      <c r="CY221" s="482">
        <f>+CY349</f>
        <v>155.95828264831943</v>
      </c>
      <c r="CZ221" s="482">
        <f>+CZ349</f>
        <v>80.511377799999991</v>
      </c>
      <c r="DA221" s="482">
        <f>+DB221-CZ221</f>
        <v>92.132082200000013</v>
      </c>
      <c r="DB221" s="482">
        <f>+DB349</f>
        <v>172.64346</v>
      </c>
      <c r="DC221" s="482">
        <f>+DC349</f>
        <v>89.007599266646366</v>
      </c>
      <c r="DD221" s="482">
        <f>+DE221-DC221</f>
        <v>101.43490690841057</v>
      </c>
      <c r="DE221" s="482">
        <f>+DE349</f>
        <v>190.44250617505693</v>
      </c>
      <c r="DF221" s="482">
        <f>+DF349</f>
        <v>92.535131359645334</v>
      </c>
      <c r="DG221" s="482">
        <f>+DH221-DF221</f>
        <v>12.645878660402502</v>
      </c>
      <c r="DH221" s="1244">
        <f>+DH349</f>
        <v>105.18101002004784</v>
      </c>
      <c r="DI221" s="482">
        <f>+DI349</f>
        <v>75.790715974351983</v>
      </c>
      <c r="DJ221" s="482">
        <f>+DK221-DI221</f>
        <v>94.963212373276335</v>
      </c>
      <c r="DK221" s="1244">
        <f>+DK349</f>
        <v>170.75392834762832</v>
      </c>
      <c r="DL221" s="482">
        <f>+DL349</f>
        <v>97.144075368127616</v>
      </c>
      <c r="DM221" s="482">
        <f>+DN221-DL221</f>
        <v>112.20931611261271</v>
      </c>
      <c r="DN221" s="1244">
        <f>+DN349</f>
        <v>209.35339148074033</v>
      </c>
      <c r="DO221" s="482">
        <f>+DO349</f>
        <v>110.69280000000001</v>
      </c>
      <c r="DP221" s="482">
        <f>+DQ221-DO221</f>
        <v>125.16816575607297</v>
      </c>
      <c r="DQ221" s="1244">
        <f>+DQ349</f>
        <v>235.86096575607297</v>
      </c>
      <c r="DR221" s="482">
        <f>+DR349</f>
        <v>139.28100368441969</v>
      </c>
      <c r="DS221" s="482">
        <f>+DT221-DR221</f>
        <v>143.94262725958654</v>
      </c>
      <c r="DT221" s="1244">
        <f>+DT349</f>
        <v>283.22363094400623</v>
      </c>
      <c r="DU221" s="482">
        <f>+DU349</f>
        <v>149.29379100562795</v>
      </c>
      <c r="DV221" s="482">
        <f>+DW221-DU221</f>
        <v>142.23020472778126</v>
      </c>
      <c r="DW221" s="1244">
        <f>+DW349</f>
        <v>291.52399573340921</v>
      </c>
      <c r="DX221" s="482">
        <f>+DX349</f>
        <v>137.49119152576549</v>
      </c>
      <c r="DY221" s="482">
        <f>+DY349</f>
        <v>153.05211936965441</v>
      </c>
      <c r="DZ221" s="1244">
        <f>SUM(DX221:DY221)</f>
        <v>290.54331089541989</v>
      </c>
      <c r="EA221" s="482">
        <f>+EA349</f>
        <v>165.0907631803972</v>
      </c>
      <c r="EB221" s="482">
        <f>+EC221-EA221</f>
        <v>169.59082546537329</v>
      </c>
      <c r="EC221" s="1244">
        <f>+EC349</f>
        <v>334.68158864577049</v>
      </c>
      <c r="ED221" s="482">
        <f>+ED349</f>
        <v>183.56812741804666</v>
      </c>
      <c r="EE221" s="482">
        <f>+EF221-ED221</f>
        <v>188.71909087266894</v>
      </c>
      <c r="EF221" s="1244">
        <f>+EF349</f>
        <v>372.2872182907156</v>
      </c>
      <c r="EG221" s="482">
        <f>+EG349</f>
        <v>204.59289538226764</v>
      </c>
      <c r="EH221" s="482">
        <f>+EI221-EG221</f>
        <v>210.99253656363774</v>
      </c>
      <c r="EI221" s="1244">
        <f>+EI349</f>
        <v>415.58543194590538</v>
      </c>
      <c r="EJ221" s="482">
        <f>+EJ349</f>
        <v>225.61704536903866</v>
      </c>
      <c r="EK221" s="482">
        <f>+EL221-EJ221</f>
        <v>232.66607187925595</v>
      </c>
      <c r="EL221" s="1244">
        <f>+EL349</f>
        <v>458.28311724829462</v>
      </c>
      <c r="EM221" s="482">
        <f>+EM349</f>
        <v>247.68386257631965</v>
      </c>
      <c r="EN221" s="482">
        <f>+EO221-EM221</f>
        <v>255.39931155587664</v>
      </c>
      <c r="EO221" s="1244">
        <f>+EO349</f>
        <v>503.08317413219629</v>
      </c>
      <c r="EP221" s="482">
        <f>+EP349</f>
        <v>271.1716274030257</v>
      </c>
      <c r="EQ221" s="482">
        <f>+ER221-EP221</f>
        <v>279.58146679074309</v>
      </c>
      <c r="ER221" s="1244">
        <f>+ER349</f>
        <v>550.75309419376879</v>
      </c>
      <c r="ES221" s="482">
        <f>+ES349</f>
        <v>296.81601608916446</v>
      </c>
      <c r="ET221" s="482">
        <f>+EU221-ES221</f>
        <v>305.98274102177641</v>
      </c>
      <c r="EU221" s="1244">
        <f>+EU349</f>
        <v>602.79875711094087</v>
      </c>
      <c r="EV221" s="482">
        <f>+EV349</f>
        <v>324.81601707290901</v>
      </c>
      <c r="EW221" s="482">
        <f>+EX221-EV221</f>
        <v>334.80774724945576</v>
      </c>
      <c r="EX221" s="1244">
        <f>+EX349</f>
        <v>659.62376432236476</v>
      </c>
      <c r="EY221" s="482">
        <f>+EY349</f>
        <v>355.38969154936899</v>
      </c>
      <c r="EZ221" s="482">
        <f>+FA221-EY221</f>
        <v>366.2806774418051</v>
      </c>
      <c r="FA221" s="1244">
        <f>+FA349</f>
        <v>721.67036899117409</v>
      </c>
      <c r="FE221"/>
      <c r="FF221"/>
      <c r="FG221"/>
      <c r="FH221"/>
      <c r="FI221"/>
      <c r="FJ221"/>
      <c r="FK221" s="35"/>
    </row>
    <row r="222" spans="2:167" s="450" customFormat="1" ht="13.35" customHeight="1">
      <c r="B222" s="242" t="s">
        <v>809</v>
      </c>
      <c r="C222" s="242" t="s">
        <v>496</v>
      </c>
      <c r="D222" s="243"/>
      <c r="E222" s="509">
        <f>+E219+E220+E221</f>
        <v>0</v>
      </c>
      <c r="F222" s="509">
        <f>+G222-E222</f>
        <v>0</v>
      </c>
      <c r="G222" s="509">
        <f>+G219+G220+G221</f>
        <v>0</v>
      </c>
      <c r="H222" s="509">
        <f>+H219+H220+H221</f>
        <v>0</v>
      </c>
      <c r="I222" s="509">
        <f>+J222-H222</f>
        <v>0</v>
      </c>
      <c r="J222" s="509">
        <f>+J219+J220+J221</f>
        <v>0</v>
      </c>
      <c r="K222" s="509">
        <f>+K219+K220+K221</f>
        <v>0</v>
      </c>
      <c r="L222" s="509">
        <f>+M222-K222</f>
        <v>0</v>
      </c>
      <c r="M222" s="509">
        <f>+M219+M220+M221</f>
        <v>0</v>
      </c>
      <c r="N222" s="509">
        <f>+N219+N220+N221</f>
        <v>0</v>
      </c>
      <c r="O222" s="509">
        <f>+P222-N222</f>
        <v>0</v>
      </c>
      <c r="P222" s="509">
        <f>+P219+P220+P221</f>
        <v>0</v>
      </c>
      <c r="Q222" s="509">
        <f>+Q219+Q220+Q221</f>
        <v>0</v>
      </c>
      <c r="R222" s="509">
        <f>+S222-Q222</f>
        <v>0</v>
      </c>
      <c r="S222" s="509">
        <f>+S219+S220+S221</f>
        <v>0</v>
      </c>
      <c r="T222" s="509">
        <f>+T219+T220+T221</f>
        <v>0</v>
      </c>
      <c r="U222" s="509">
        <f>+V222-T222</f>
        <v>0</v>
      </c>
      <c r="V222" s="509">
        <f>+V219+V220+V221</f>
        <v>0</v>
      </c>
      <c r="W222" s="509">
        <f>+W219+W220+W221</f>
        <v>0</v>
      </c>
      <c r="X222" s="509">
        <f>+Y222-W222</f>
        <v>0</v>
      </c>
      <c r="Y222" s="509">
        <f>+Y219+Y220+Y221</f>
        <v>0</v>
      </c>
      <c r="Z222" s="509">
        <f>+Z219+Z220+Z221</f>
        <v>0</v>
      </c>
      <c r="AA222" s="509">
        <f>+AB222-Z222</f>
        <v>0</v>
      </c>
      <c r="AB222" s="509">
        <f>+AB219+AB220+AB221</f>
        <v>0</v>
      </c>
      <c r="AC222" s="509">
        <f>+AC219+AC220+AC221</f>
        <v>0</v>
      </c>
      <c r="AD222" s="509">
        <f>+AE222-AC222</f>
        <v>0</v>
      </c>
      <c r="AE222" s="509">
        <f>+AE219+AE220+AE221</f>
        <v>0</v>
      </c>
      <c r="AF222" s="509">
        <f>+AF219+AF220+AF221</f>
        <v>0</v>
      </c>
      <c r="AG222" s="509">
        <f>+AH222-AF222</f>
        <v>0</v>
      </c>
      <c r="AH222" s="509">
        <f>+AH219+AH220+AH221</f>
        <v>0</v>
      </c>
      <c r="AI222" s="509">
        <f>+AI219+AI220+AI221</f>
        <v>0</v>
      </c>
      <c r="AJ222" s="509">
        <f>+AK222-AI222</f>
        <v>0</v>
      </c>
      <c r="AK222" s="509">
        <f>+AK219+AK220+AK221</f>
        <v>0</v>
      </c>
      <c r="AL222" s="509">
        <f>+AL219+AL220+AL221</f>
        <v>12.655000000000001</v>
      </c>
      <c r="AM222" s="509">
        <f>+AN222-AL222</f>
        <v>11.373999999999999</v>
      </c>
      <c r="AN222" s="509">
        <f>+AN219+AN220+AN221</f>
        <v>24.029</v>
      </c>
      <c r="AO222" s="509">
        <f>+AO219+AO220+AO221</f>
        <v>5.569</v>
      </c>
      <c r="AP222" s="509">
        <f>+AQ222-AO222</f>
        <v>8.9430000000000014</v>
      </c>
      <c r="AQ222" s="509">
        <f>+AQ219+AQ220+AQ221</f>
        <v>14.512</v>
      </c>
      <c r="AR222" s="509">
        <f>+AR219+AR220+AR221</f>
        <v>8.0739999999999998</v>
      </c>
      <c r="AS222" s="509">
        <f>+AT222-AR222</f>
        <v>16.222999999999999</v>
      </c>
      <c r="AT222" s="509">
        <f>+AT219+AT220+AT221</f>
        <v>24.297000000000001</v>
      </c>
      <c r="AU222" s="509">
        <f>+AU219+AU220+AU221</f>
        <v>12.946000000000002</v>
      </c>
      <c r="AV222" s="509">
        <f>+AW222-AU222</f>
        <v>27.002999999999997</v>
      </c>
      <c r="AW222" s="509">
        <f>+AW219+AW220+AW221</f>
        <v>39.948999999999998</v>
      </c>
      <c r="AX222" s="509">
        <f>+AX219+AX220+AX221</f>
        <v>19.396999999999998</v>
      </c>
      <c r="AY222" s="509">
        <f>+AZ222-AX222</f>
        <v>12.789000000000001</v>
      </c>
      <c r="AZ222" s="509">
        <f>+AZ219+AZ220+AZ221</f>
        <v>32.186</v>
      </c>
      <c r="BA222" s="509">
        <f>+BA219+BA220+BA221</f>
        <v>23.061</v>
      </c>
      <c r="BB222" s="509">
        <f>+BC222-BA222</f>
        <v>23.564</v>
      </c>
      <c r="BC222" s="509">
        <f>+BC219+BC220+BC221</f>
        <v>46.625</v>
      </c>
      <c r="BD222" s="509">
        <f>+BD219+BD220+BD221</f>
        <v>6.5016453899999993</v>
      </c>
      <c r="BE222" s="509">
        <f>+BF222-BD222</f>
        <v>38.826430010000003</v>
      </c>
      <c r="BF222" s="509">
        <f>+BF219+BF220+BF221</f>
        <v>45.328075400000003</v>
      </c>
      <c r="BG222" s="509">
        <f>+BG219+BG220+BG221</f>
        <v>71.652047850000002</v>
      </c>
      <c r="BH222" s="509">
        <f>+BI222-BG222</f>
        <v>50.935952149999991</v>
      </c>
      <c r="BI222" s="509">
        <f>+BI219+BI220+BI221</f>
        <v>122.58799999999999</v>
      </c>
      <c r="BJ222" s="509">
        <f>+BJ219+BJ220+BJ221</f>
        <v>44.722999999999999</v>
      </c>
      <c r="BK222" s="509">
        <f>+BL222-BJ222</f>
        <v>60.3667351</v>
      </c>
      <c r="BL222" s="509">
        <f>+BL219+BL220+BL221</f>
        <v>105.0897351</v>
      </c>
      <c r="BM222" s="509">
        <f>+BM219+BM220+BM221</f>
        <v>71.710357700000003</v>
      </c>
      <c r="BN222" s="509">
        <f>+BO222-BM222</f>
        <v>81.579760499999992</v>
      </c>
      <c r="BO222" s="509">
        <f>+BO219+BO220+BO221</f>
        <v>153.29011819999999</v>
      </c>
      <c r="BP222" s="509">
        <f>+BP219+BP220+BP221</f>
        <v>52.496760500000001</v>
      </c>
      <c r="BQ222" s="509">
        <f>+BR222-BP222</f>
        <v>68.254929500000003</v>
      </c>
      <c r="BR222" s="509">
        <f>+BR219+BR220+BR221</f>
        <v>120.75169</v>
      </c>
      <c r="BS222" s="509">
        <f>+BS219+BS220+BS221</f>
        <v>60.486379499999998</v>
      </c>
      <c r="BT222" s="509">
        <f>+BU222-BS222</f>
        <v>113.15148299999998</v>
      </c>
      <c r="BU222" s="509">
        <f>+BU219+BU220+BU221</f>
        <v>173.63786249999998</v>
      </c>
      <c r="BV222" s="509">
        <f>+BV219+BV220+BV221</f>
        <v>83.805994999999996</v>
      </c>
      <c r="BW222" s="509">
        <f>+BX222-BV222</f>
        <v>111.82628</v>
      </c>
      <c r="BX222" s="509">
        <f>+BX219+BX220+BX221</f>
        <v>195.63227499999999</v>
      </c>
      <c r="BY222" s="509">
        <f>+BY219+BY220+BY221</f>
        <v>112.1215704</v>
      </c>
      <c r="BZ222" s="509">
        <f>+CA222-BY222</f>
        <v>161.82797985000002</v>
      </c>
      <c r="CA222" s="509">
        <f>+CA219+CA220+CA221</f>
        <v>273.94955025000002</v>
      </c>
      <c r="CB222" s="509">
        <f>+CB219+CB220+CB221</f>
        <v>170.16176452108147</v>
      </c>
      <c r="CC222" s="509">
        <f>+CD222-CB222</f>
        <v>207.36701892924111</v>
      </c>
      <c r="CD222" s="581">
        <f>+CD219+CD220+CD221</f>
        <v>377.52878345032258</v>
      </c>
      <c r="CE222" s="581">
        <f>+CE219+CE220+CE221</f>
        <v>209.94510935000002</v>
      </c>
      <c r="CF222" s="581">
        <f>+CG222-CE222</f>
        <v>204.23060989999996</v>
      </c>
      <c r="CG222" s="581">
        <f>+CG219+CG220+CG221</f>
        <v>414.17571924999999</v>
      </c>
      <c r="CH222" s="581">
        <f>+CH219+CH220+CH221</f>
        <v>145.1838836</v>
      </c>
      <c r="CI222" s="581">
        <f>+CJ222-CH222</f>
        <v>193.40498911879155</v>
      </c>
      <c r="CJ222" s="581">
        <f>+CJ219+CJ220+CJ221</f>
        <v>338.58887271879155</v>
      </c>
      <c r="CK222" s="581">
        <f>+CK219+CK220+CK221</f>
        <v>130.10344000000001</v>
      </c>
      <c r="CL222" s="581">
        <f>+CM222-CK222</f>
        <v>133.69525842159746</v>
      </c>
      <c r="CM222" s="581">
        <f>+CM219+CM220+CM221</f>
        <v>263.79869842159746</v>
      </c>
      <c r="CN222" s="581">
        <f>+CN219+CN220+CN221</f>
        <v>119.80983385057553</v>
      </c>
      <c r="CO222" s="581">
        <f>+CP222-CN222</f>
        <v>168.25382797556435</v>
      </c>
      <c r="CP222" s="581">
        <f>+CP219+CP220+CP221</f>
        <v>288.06366182613988</v>
      </c>
      <c r="CQ222" s="581">
        <f>+CQ219+CQ220+CQ221</f>
        <v>151.64372409999999</v>
      </c>
      <c r="CR222" s="581">
        <f>+CS222-CQ222</f>
        <v>173.60692890198612</v>
      </c>
      <c r="CS222" s="581">
        <f>+CS219+CS220+CS221</f>
        <v>325.25065300198611</v>
      </c>
      <c r="CT222" s="581">
        <f>+CT219+CT220+CT221</f>
        <v>152.64589588124761</v>
      </c>
      <c r="CU222" s="581">
        <f>+CV222-CT222</f>
        <v>200.30588804716899</v>
      </c>
      <c r="CV222" s="581">
        <f>+CV219+CV220+CV221</f>
        <v>352.9517839284166</v>
      </c>
      <c r="CW222" s="581">
        <f>+CW219+CW220+CW221</f>
        <v>197.11852641961605</v>
      </c>
      <c r="CX222" s="581">
        <f>+CY222-CW222</f>
        <v>281.45375622870336</v>
      </c>
      <c r="CY222" s="581">
        <f>+CY219+CY220+CY221</f>
        <v>478.5722826483194</v>
      </c>
      <c r="CZ222" s="581">
        <f>+CZ219+CZ220+CZ221</f>
        <v>193.4113778</v>
      </c>
      <c r="DA222" s="581">
        <f>+DB222-CZ222</f>
        <v>281.93208220000008</v>
      </c>
      <c r="DB222" s="581">
        <f>+DB219+DB220+DB221</f>
        <v>475.34346000000005</v>
      </c>
      <c r="DC222" s="581">
        <f>+DC219+DC220+DC221</f>
        <v>320.00759926664637</v>
      </c>
      <c r="DD222" s="581">
        <f>+DE222-DC222</f>
        <v>253.03490690841056</v>
      </c>
      <c r="DE222" s="581">
        <f>+DE219+DE220+DE221</f>
        <v>573.04250617505693</v>
      </c>
      <c r="DF222" s="581">
        <f>+DF219+DF220+DF221</f>
        <v>269.13513135964536</v>
      </c>
      <c r="DG222" s="581">
        <f>+DH222-DF222</f>
        <v>-210.35412133959753</v>
      </c>
      <c r="DH222" s="1280">
        <f>+DH219+DH220+DH221</f>
        <v>58.78101002004783</v>
      </c>
      <c r="DI222" s="562">
        <f>+DI219+DI220+DI221</f>
        <v>182.49071597435199</v>
      </c>
      <c r="DJ222" s="562">
        <f>+DK222-DI222</f>
        <v>326.2632123732763</v>
      </c>
      <c r="DK222" s="1274">
        <f>+DK219+DK220+DK221</f>
        <v>508.75392834762829</v>
      </c>
      <c r="DL222" s="562">
        <f>+DL219+DL220+DL221</f>
        <v>243.04407536812761</v>
      </c>
      <c r="DM222" s="562">
        <f>+DN222-DL222</f>
        <v>420.00931611261268</v>
      </c>
      <c r="DN222" s="1274">
        <f>+DN219+DN220+DN221</f>
        <v>663.05339148074029</v>
      </c>
      <c r="DO222" s="562">
        <f>+DO219+DO220+DO221</f>
        <v>242.49280000000002</v>
      </c>
      <c r="DP222" s="562">
        <f>+DQ222-DO222</f>
        <v>451.66816575607299</v>
      </c>
      <c r="DQ222" s="1274">
        <f>+DQ219+DQ220+DQ221</f>
        <v>694.16096575607298</v>
      </c>
      <c r="DR222" s="562">
        <f>+DR219+DR220+DR221</f>
        <v>339.08100368441967</v>
      </c>
      <c r="DS222" s="562">
        <f>+DT222-DR222</f>
        <v>422.74262725958658</v>
      </c>
      <c r="DT222" s="1274">
        <f>+DT219+DT220+DT221</f>
        <v>761.82363094400625</v>
      </c>
      <c r="DU222" s="562">
        <f>+DU219+DU220+DU221</f>
        <v>303.09379100562796</v>
      </c>
      <c r="DV222" s="562">
        <f>+DW222-DU222</f>
        <v>328.63020472778123</v>
      </c>
      <c r="DW222" s="1274">
        <f>+DW219+DW220+DW221</f>
        <v>631.7239957334092</v>
      </c>
      <c r="DX222" s="562">
        <f>+DX219+DX220+DX221</f>
        <v>314.59119152576551</v>
      </c>
      <c r="DY222" s="562">
        <f>+DY219+DY220+DY221</f>
        <v>376.23936913009538</v>
      </c>
      <c r="DZ222" s="1274">
        <f>SUM(DX222:DY222)</f>
        <v>690.83056065586084</v>
      </c>
      <c r="EA222" s="562">
        <f>+EA219+EA220+EA221</f>
        <v>517.40457937430176</v>
      </c>
      <c r="EB222" s="562">
        <f>+EC222-EA222</f>
        <v>511.3315984061777</v>
      </c>
      <c r="EC222" s="1274">
        <f>+EC219+EC220+EC221</f>
        <v>1028.7361777804795</v>
      </c>
      <c r="ED222" s="562">
        <f>+ED219+ED220+ED221</f>
        <v>522.99177426756967</v>
      </c>
      <c r="EE222" s="562">
        <f>+EF222-ED222</f>
        <v>556.03782954511314</v>
      </c>
      <c r="EF222" s="1274">
        <f>+EF219+EF220+EF221</f>
        <v>1079.0296038126828</v>
      </c>
      <c r="EG222" s="562">
        <f>+EG219+EG220+EG221</f>
        <v>576.72312405054186</v>
      </c>
      <c r="EH222" s="562">
        <f>+EI222-EG222</f>
        <v>617.44294316458104</v>
      </c>
      <c r="EI222" s="1274">
        <f>+EI219+EI220+EI221</f>
        <v>1194.1660672151229</v>
      </c>
      <c r="EJ222" s="562">
        <f>+EJ219+EJ220+EJ221</f>
        <v>637.38772417878909</v>
      </c>
      <c r="EK222" s="562">
        <f>+EL222-EJ222</f>
        <v>680.05268574403408</v>
      </c>
      <c r="EL222" s="1274">
        <f>+EL219+EL220+EL221</f>
        <v>1317.4404099228232</v>
      </c>
      <c r="EM222" s="562">
        <f>+EM219+EM220+EM221</f>
        <v>701.68026254359529</v>
      </c>
      <c r="EN222" s="562">
        <f>+EO222-EM222</f>
        <v>746.19465113524757</v>
      </c>
      <c r="EO222" s="1274">
        <f>+EO219+EO220+EO221</f>
        <v>1447.8749136788429</v>
      </c>
      <c r="EP222" s="562">
        <f>+EP219+EP220+EP221</f>
        <v>770.63435430916797</v>
      </c>
      <c r="EQ222" s="562">
        <f>+ER222-EP222</f>
        <v>816.90117961730493</v>
      </c>
      <c r="ER222" s="1274">
        <f>+ER219+ER220+ER221</f>
        <v>1587.5355339264729</v>
      </c>
      <c r="ES222" s="562">
        <f>+ES219+ES220+ES221</f>
        <v>846.15968256035171</v>
      </c>
      <c r="ET222" s="562">
        <f>+EU222-ES222</f>
        <v>894.13381664634835</v>
      </c>
      <c r="EU222" s="1274">
        <f>+EU219+EU220+EU221</f>
        <v>1740.2934992067001</v>
      </c>
      <c r="EV222" s="562">
        <f>+EV219+EV220+EV221</f>
        <v>928.88307149704133</v>
      </c>
      <c r="EW222" s="562">
        <f>+EX222-EV222</f>
        <v>978.49706865591543</v>
      </c>
      <c r="EX222" s="1274">
        <f>+EX219+EX220+EX221</f>
        <v>1907.3801401529568</v>
      </c>
      <c r="EY222" s="562">
        <f>+EY219+EY220+EY221</f>
        <v>1019.492694704863</v>
      </c>
      <c r="EZ222" s="562">
        <f>+FA222-EY222</f>
        <v>1070.6531398036368</v>
      </c>
      <c r="FA222" s="1274">
        <f>+FA219+FA220+FA221</f>
        <v>2090.1458345084998</v>
      </c>
      <c r="FE222"/>
      <c r="FF222"/>
      <c r="FG222"/>
      <c r="FH222"/>
      <c r="FI222"/>
      <c r="FJ222"/>
      <c r="FK222" s="35"/>
    </row>
    <row r="223" spans="2:167" s="450" customFormat="1" ht="13.35" customHeight="1" outlineLevel="1">
      <c r="B223" s="242"/>
      <c r="C223" s="242"/>
      <c r="D223" s="243"/>
      <c r="E223" s="482"/>
      <c r="F223" s="482"/>
      <c r="G223" s="568"/>
      <c r="H223" s="568"/>
      <c r="I223" s="568"/>
      <c r="J223" s="568"/>
      <c r="K223" s="568"/>
      <c r="L223" s="568"/>
      <c r="M223" s="568"/>
      <c r="N223" s="568"/>
      <c r="O223" s="568"/>
      <c r="P223" s="568"/>
      <c r="Q223" s="568"/>
      <c r="R223" s="568"/>
      <c r="S223" s="568"/>
      <c r="T223" s="568"/>
      <c r="U223" s="568"/>
      <c r="V223" s="568"/>
      <c r="W223" s="568"/>
      <c r="X223" s="568"/>
      <c r="Y223" s="568"/>
      <c r="Z223" s="568"/>
      <c r="AA223" s="568"/>
      <c r="AB223" s="568"/>
      <c r="AC223" s="568"/>
      <c r="AD223" s="568"/>
      <c r="AE223" s="568"/>
      <c r="AF223" s="568"/>
      <c r="AG223" s="568"/>
      <c r="AH223" s="568"/>
      <c r="AI223" s="568"/>
      <c r="AJ223" s="568"/>
      <c r="AK223" s="568"/>
      <c r="AL223" s="568"/>
      <c r="AM223" s="568"/>
      <c r="AN223" s="568"/>
      <c r="AO223" s="568"/>
      <c r="AP223" s="568"/>
      <c r="AQ223" s="568"/>
      <c r="AR223" s="568"/>
      <c r="AS223" s="568"/>
      <c r="AT223" s="568"/>
      <c r="AU223" s="568"/>
      <c r="AV223" s="568"/>
      <c r="AW223" s="568"/>
      <c r="AX223" s="568"/>
      <c r="AY223" s="568"/>
      <c r="AZ223" s="568"/>
      <c r="BA223" s="568"/>
      <c r="BB223" s="568"/>
      <c r="BC223" s="568"/>
      <c r="BD223" s="568"/>
      <c r="BE223" s="568"/>
      <c r="BF223" s="568"/>
      <c r="BG223" s="568"/>
      <c r="BH223" s="568"/>
      <c r="BI223" s="568"/>
      <c r="BJ223" s="568"/>
      <c r="BK223" s="568"/>
      <c r="BL223" s="568"/>
      <c r="BM223" s="568"/>
      <c r="BN223" s="568"/>
      <c r="BO223" s="568"/>
      <c r="BP223" s="568"/>
      <c r="BQ223" s="568"/>
      <c r="BR223" s="568"/>
      <c r="BS223" s="568"/>
      <c r="BT223" s="568"/>
      <c r="BU223" s="568"/>
      <c r="BV223" s="568"/>
      <c r="BW223" s="568"/>
      <c r="BX223" s="568"/>
      <c r="BY223" s="568"/>
      <c r="BZ223" s="568"/>
      <c r="CA223" s="568"/>
      <c r="CB223" s="568"/>
      <c r="CC223" s="568"/>
      <c r="CD223" s="568"/>
      <c r="CE223" s="568"/>
      <c r="CF223" s="568"/>
      <c r="CG223" s="568"/>
      <c r="CH223" s="568"/>
      <c r="CI223" s="568"/>
      <c r="CJ223" s="568"/>
      <c r="CK223" s="568"/>
      <c r="CL223" s="568"/>
      <c r="CM223" s="568"/>
      <c r="CN223" s="568"/>
      <c r="CO223" s="568"/>
      <c r="CP223" s="568"/>
      <c r="CQ223" s="568"/>
      <c r="CR223" s="568"/>
      <c r="CS223" s="568"/>
      <c r="CT223" s="568"/>
      <c r="CU223" s="568"/>
      <c r="CV223" s="568"/>
      <c r="CW223" s="568"/>
      <c r="CX223" s="568"/>
      <c r="CY223" s="568"/>
      <c r="CZ223" s="568"/>
      <c r="DA223" s="568"/>
      <c r="DB223" s="568"/>
      <c r="DC223" s="568"/>
      <c r="DD223" s="568"/>
      <c r="DE223" s="568"/>
      <c r="DF223" s="568"/>
      <c r="DG223" s="568"/>
      <c r="DH223" s="1276"/>
      <c r="DI223" s="568"/>
      <c r="DJ223" s="568"/>
      <c r="DK223" s="1276"/>
      <c r="DL223" s="568"/>
      <c r="DM223" s="568"/>
      <c r="DN223" s="1276"/>
      <c r="DO223" s="568"/>
      <c r="DP223" s="568"/>
      <c r="DQ223" s="1276"/>
      <c r="DR223" s="568"/>
      <c r="DS223" s="568"/>
      <c r="DT223" s="1276"/>
      <c r="DU223" s="568"/>
      <c r="DV223" s="568"/>
      <c r="DW223" s="1276"/>
      <c r="DX223" s="568"/>
      <c r="DY223" s="568"/>
      <c r="DZ223" s="1276"/>
      <c r="EA223" s="568"/>
      <c r="EB223" s="568"/>
      <c r="EC223" s="1276"/>
      <c r="ED223" s="568"/>
      <c r="EE223" s="568"/>
      <c r="EF223" s="1276"/>
      <c r="EG223" s="568"/>
      <c r="EH223" s="568"/>
      <c r="EI223" s="1276"/>
      <c r="EJ223" s="568"/>
      <c r="EK223" s="568"/>
      <c r="EL223" s="1276"/>
      <c r="EM223" s="568"/>
      <c r="EN223" s="568"/>
      <c r="EO223" s="1276"/>
      <c r="EP223" s="568"/>
      <c r="EQ223" s="568"/>
      <c r="ER223" s="1276"/>
      <c r="ES223" s="568"/>
      <c r="ET223" s="568"/>
      <c r="EU223" s="1276"/>
      <c r="EV223" s="568"/>
      <c r="EW223" s="568"/>
      <c r="EX223" s="1276"/>
      <c r="EY223" s="568"/>
      <c r="EZ223" s="568"/>
      <c r="FA223" s="1276"/>
      <c r="FE223"/>
      <c r="FF223"/>
      <c r="FG223"/>
      <c r="FH223"/>
      <c r="FI223"/>
      <c r="FJ223"/>
      <c r="FK223" s="35"/>
    </row>
    <row r="224" spans="2:167" s="236" customFormat="1" ht="13.35" customHeight="1" outlineLevel="1" thickBot="1">
      <c r="B224" s="242" t="s">
        <v>592</v>
      </c>
      <c r="C224" s="242" t="s">
        <v>496</v>
      </c>
      <c r="D224" s="243"/>
      <c r="E224" s="482"/>
      <c r="F224" s="482">
        <f>+E226</f>
        <v>0</v>
      </c>
      <c r="G224" s="482">
        <f>+E224</f>
        <v>0</v>
      </c>
      <c r="H224" s="482">
        <f>+G226</f>
        <v>0</v>
      </c>
      <c r="I224" s="482">
        <f>+H226</f>
        <v>0</v>
      </c>
      <c r="J224" s="482">
        <f>+G226</f>
        <v>0</v>
      </c>
      <c r="K224" s="482">
        <f>+J226</f>
        <v>0</v>
      </c>
      <c r="L224" s="482">
        <f>+K226</f>
        <v>0</v>
      </c>
      <c r="M224" s="482">
        <f>+J226</f>
        <v>0</v>
      </c>
      <c r="N224" s="482">
        <f>+M226</f>
        <v>0</v>
      </c>
      <c r="O224" s="482">
        <f>+N226</f>
        <v>0</v>
      </c>
      <c r="P224" s="482">
        <f>+M226</f>
        <v>0</v>
      </c>
      <c r="Q224" s="482">
        <f>+P226</f>
        <v>0</v>
      </c>
      <c r="R224" s="482">
        <f>+Q226</f>
        <v>0</v>
      </c>
      <c r="S224" s="482">
        <f>+P226</f>
        <v>0</v>
      </c>
      <c r="T224" s="482">
        <f>+S226</f>
        <v>0</v>
      </c>
      <c r="U224" s="482">
        <f>+T226</f>
        <v>0</v>
      </c>
      <c r="V224" s="482">
        <f>+S226</f>
        <v>0</v>
      </c>
      <c r="W224" s="482">
        <f>+V226</f>
        <v>0</v>
      </c>
      <c r="X224" s="482">
        <f>+W226</f>
        <v>0</v>
      </c>
      <c r="Y224" s="482">
        <f>+V226</f>
        <v>0</v>
      </c>
      <c r="Z224" s="482">
        <f>+Y226</f>
        <v>0</v>
      </c>
      <c r="AA224" s="482">
        <f>+Z226</f>
        <v>0</v>
      </c>
      <c r="AB224" s="482">
        <f>+Y226</f>
        <v>0</v>
      </c>
      <c r="AC224" s="482">
        <f>+AB226</f>
        <v>0</v>
      </c>
      <c r="AD224" s="482">
        <f>+AC226</f>
        <v>0</v>
      </c>
      <c r="AE224" s="482">
        <f>+AB226</f>
        <v>0</v>
      </c>
      <c r="AF224" s="482">
        <f>+AE226</f>
        <v>0</v>
      </c>
      <c r="AG224" s="482">
        <f>+AF226</f>
        <v>0</v>
      </c>
      <c r="AH224" s="482">
        <f>+AE226</f>
        <v>0</v>
      </c>
      <c r="AI224" s="482">
        <f>+AH226</f>
        <v>0</v>
      </c>
      <c r="AJ224" s="482">
        <f>+AI226</f>
        <v>0</v>
      </c>
      <c r="AK224" s="482">
        <f>+AH226</f>
        <v>0</v>
      </c>
      <c r="AL224" s="482">
        <f>+AK226</f>
        <v>0</v>
      </c>
      <c r="AM224" s="482">
        <f>+AL226</f>
        <v>9.2059999999999995</v>
      </c>
      <c r="AN224" s="482">
        <f>+AK226</f>
        <v>0</v>
      </c>
      <c r="AO224" s="482">
        <f>+AN226</f>
        <v>14.928000000000001</v>
      </c>
      <c r="AP224" s="482">
        <f>+AO226</f>
        <v>12.103000000000002</v>
      </c>
      <c r="AQ224" s="482">
        <f>+AN226</f>
        <v>14.928000000000001</v>
      </c>
      <c r="AR224" s="482">
        <f>+AQ226</f>
        <v>12.613000000000001</v>
      </c>
      <c r="AS224" s="482">
        <f>+AR226</f>
        <v>12.450000000000001</v>
      </c>
      <c r="AT224" s="482">
        <f>+AQ226</f>
        <v>12.613000000000001</v>
      </c>
      <c r="AU224" s="482">
        <f>+AT226</f>
        <v>18.882000000000001</v>
      </c>
      <c r="AV224" s="482">
        <f>+AU226</f>
        <v>22.702999999999999</v>
      </c>
      <c r="AW224" s="482">
        <f>+AT226</f>
        <v>18.882000000000001</v>
      </c>
      <c r="AX224" s="482">
        <f>+AW226</f>
        <v>32.49</v>
      </c>
      <c r="AY224" s="482">
        <f>+AX226</f>
        <v>29.367000000000001</v>
      </c>
      <c r="AZ224" s="482">
        <f>+AW226</f>
        <v>32.49</v>
      </c>
      <c r="BA224" s="482">
        <f>+AZ226</f>
        <v>20.794</v>
      </c>
      <c r="BB224" s="482">
        <f>+BA226</f>
        <v>23.685000000000002</v>
      </c>
      <c r="BC224" s="482">
        <f>+AZ226</f>
        <v>20.794</v>
      </c>
      <c r="BD224" s="482">
        <f>+BC226</f>
        <v>29.373000000000001</v>
      </c>
      <c r="BE224" s="482">
        <f>+BD226</f>
        <v>12.084000000000001</v>
      </c>
      <c r="BF224" s="482">
        <f>+BC226</f>
        <v>29.373000000000001</v>
      </c>
      <c r="BG224" s="482">
        <f>+BF226</f>
        <v>8.4730000000000008</v>
      </c>
      <c r="BH224" s="482">
        <f>+BG226</f>
        <v>13.071000000000002</v>
      </c>
      <c r="BI224" s="482">
        <f>+BF226</f>
        <v>8.4730000000000008</v>
      </c>
      <c r="BJ224" s="482">
        <f>+BI226</f>
        <v>42.016999999999996</v>
      </c>
      <c r="BK224" s="482">
        <f>+BJ226</f>
        <v>63.634</v>
      </c>
      <c r="BL224" s="482">
        <f>+BI226</f>
        <v>42.016999999999996</v>
      </c>
      <c r="BM224" s="492">
        <v>74.090999999999994</v>
      </c>
      <c r="BN224" s="482">
        <f>+BM226</f>
        <v>69.696999999999989</v>
      </c>
      <c r="BO224" s="482">
        <f>+BL226</f>
        <v>73.501000000000005</v>
      </c>
      <c r="BP224" s="492">
        <v>106.077</v>
      </c>
      <c r="BQ224" s="482">
        <f>+BP226</f>
        <v>104.431</v>
      </c>
      <c r="BR224" s="482">
        <f>+BO226</f>
        <v>103.03700000000001</v>
      </c>
      <c r="BS224" s="482">
        <f>+BR226</f>
        <v>84.736000000000004</v>
      </c>
      <c r="BT224" s="482">
        <f>+BS226</f>
        <v>68.975999999999999</v>
      </c>
      <c r="BU224" s="492">
        <v>85.325999999999993</v>
      </c>
      <c r="BV224" s="482">
        <f>+BU226</f>
        <v>81.736999999999995</v>
      </c>
      <c r="BW224" s="482">
        <f>+BV226</f>
        <v>59.038999999999994</v>
      </c>
      <c r="BX224" s="482">
        <f>+BU226</f>
        <v>81.736999999999995</v>
      </c>
      <c r="BY224" s="492">
        <v>36.686999999999998</v>
      </c>
      <c r="BZ224" s="482">
        <f>+BY226</f>
        <v>62.86</v>
      </c>
      <c r="CA224" s="492">
        <v>36.686999999999998</v>
      </c>
      <c r="CB224" s="492">
        <v>80.016000000000005</v>
      </c>
      <c r="CC224" s="482">
        <f>+CB226</f>
        <v>73.655000000000001</v>
      </c>
      <c r="CD224" s="492">
        <v>80.016000000000005</v>
      </c>
      <c r="CE224" s="482">
        <f>+CD226</f>
        <v>42.808000000000007</v>
      </c>
      <c r="CF224" s="482">
        <f>+CE226</f>
        <v>63.558000000000007</v>
      </c>
      <c r="CG224" s="482">
        <f>+CD226</f>
        <v>42.808000000000007</v>
      </c>
      <c r="CH224" s="482">
        <f>+CG226</f>
        <v>72.423000000000002</v>
      </c>
      <c r="CI224" s="482">
        <f>+CH226</f>
        <v>74.947999999999993</v>
      </c>
      <c r="CJ224" s="482">
        <f>+CG226</f>
        <v>72.423000000000002</v>
      </c>
      <c r="CK224" s="482">
        <f>+CJ226</f>
        <v>68.48599999999999</v>
      </c>
      <c r="CL224" s="482">
        <f>+CK226</f>
        <v>69.8</v>
      </c>
      <c r="CM224" s="482">
        <f>+CJ226</f>
        <v>68.48599999999999</v>
      </c>
      <c r="CN224" s="482">
        <f>+CM226</f>
        <v>52.688999999999986</v>
      </c>
      <c r="CO224" s="482">
        <f>+CN226</f>
        <v>59.949999999999989</v>
      </c>
      <c r="CP224" s="482">
        <f>+CM226</f>
        <v>52.688999999999986</v>
      </c>
      <c r="CQ224" s="482">
        <f>+CP226</f>
        <v>56.126999999999988</v>
      </c>
      <c r="CR224" s="482">
        <f>+CQ226</f>
        <v>58.870999999999988</v>
      </c>
      <c r="CS224" s="482">
        <f>+CP226</f>
        <v>56.126999999999988</v>
      </c>
      <c r="CT224" s="482">
        <f>+CS226</f>
        <v>72.207999999999998</v>
      </c>
      <c r="CU224" s="482">
        <f>+CT226</f>
        <v>80.251000000000005</v>
      </c>
      <c r="CV224" s="482">
        <f>+CS226</f>
        <v>72.207999999999998</v>
      </c>
      <c r="CW224" s="482">
        <f>+CV226</f>
        <v>75.417000000000002</v>
      </c>
      <c r="CX224" s="482">
        <f>+CW226</f>
        <v>79.408000000000001</v>
      </c>
      <c r="CY224" s="482">
        <f>+CV226</f>
        <v>75.417000000000002</v>
      </c>
      <c r="CZ224" s="482">
        <f>+CY226</f>
        <v>89.54</v>
      </c>
      <c r="DA224" s="482">
        <f>+CZ226</f>
        <v>106.94000000000001</v>
      </c>
      <c r="DB224" s="482">
        <f>+CY226</f>
        <v>89.54</v>
      </c>
      <c r="DC224" s="482">
        <f>+DB226</f>
        <v>61.540000000000006</v>
      </c>
      <c r="DD224" s="482">
        <f>+DC226</f>
        <v>92.34</v>
      </c>
      <c r="DE224" s="482">
        <f>+DB226</f>
        <v>61.540000000000006</v>
      </c>
      <c r="DF224" s="482">
        <f>+DE226</f>
        <v>78.64</v>
      </c>
      <c r="DG224" s="482">
        <f>+DF226</f>
        <v>89.44</v>
      </c>
      <c r="DH224" s="1244">
        <f>+DE226</f>
        <v>78.64</v>
      </c>
      <c r="DI224" s="482">
        <f>+DH226</f>
        <v>565.64</v>
      </c>
      <c r="DJ224" s="482">
        <f>+DI226</f>
        <v>588.34</v>
      </c>
      <c r="DK224" s="1244">
        <f>+DH226</f>
        <v>565.64</v>
      </c>
      <c r="DL224" s="482">
        <f>+DK226</f>
        <v>609.64</v>
      </c>
      <c r="DM224" s="482">
        <f>+DL226</f>
        <v>553.14</v>
      </c>
      <c r="DN224" s="1244">
        <f>+DK226</f>
        <v>609.64</v>
      </c>
      <c r="DO224" s="482">
        <f>+DN226</f>
        <v>629.33999999999992</v>
      </c>
      <c r="DP224" s="482">
        <f>+DO226</f>
        <v>521.7399999999999</v>
      </c>
      <c r="DQ224" s="1244">
        <f>+DN226</f>
        <v>629.33999999999992</v>
      </c>
      <c r="DR224" s="482">
        <f>+DQ226</f>
        <v>555.53999999999985</v>
      </c>
      <c r="DS224" s="482">
        <f>+DR226</f>
        <v>485.23999999999984</v>
      </c>
      <c r="DT224" s="1244">
        <f>+DQ226</f>
        <v>555.53999999999985</v>
      </c>
      <c r="DU224" s="482">
        <f>+DT226</f>
        <v>513.63999999999976</v>
      </c>
      <c r="DV224" s="482">
        <f>+DU226</f>
        <v>383.13999999999976</v>
      </c>
      <c r="DW224" s="1244">
        <f>+DT226</f>
        <v>513.63999999999976</v>
      </c>
      <c r="DX224" s="482">
        <f>+DW226</f>
        <v>275.63999999999976</v>
      </c>
      <c r="DY224" s="482">
        <f>+DX226</f>
        <v>187.03999999999976</v>
      </c>
      <c r="DZ224" s="1244">
        <f>+DW226</f>
        <v>275.63999999999976</v>
      </c>
      <c r="EA224" s="482">
        <f>+DZ226</f>
        <v>100.17874779744993</v>
      </c>
      <c r="EB224" s="482">
        <f>+EA226</f>
        <v>128.85397208177284</v>
      </c>
      <c r="EC224" s="1244">
        <f>+DZ226</f>
        <v>100.17874779744993</v>
      </c>
      <c r="ED224" s="482">
        <f>+EC226</f>
        <v>131.57220177608372</v>
      </c>
      <c r="EE224" s="482">
        <f>+ED226</f>
        <v>125.78257601085073</v>
      </c>
      <c r="EF224" s="1244">
        <f>+EC226</f>
        <v>131.57220177608372</v>
      </c>
      <c r="EG224" s="482">
        <f>+EF226</f>
        <v>130.41041149723054</v>
      </c>
      <c r="EH224" s="482">
        <f>+EG226</f>
        <v>127.54570320041606</v>
      </c>
      <c r="EI224" s="1244">
        <f>+EF226</f>
        <v>130.41041149723054</v>
      </c>
      <c r="EJ224" s="482">
        <f>+EI226</f>
        <v>139.31201013235983</v>
      </c>
      <c r="EK224" s="482">
        <f>+EJ226</f>
        <v>192.23259197065258</v>
      </c>
      <c r="EL224" s="1244">
        <f>+EI226</f>
        <v>139.31201013235983</v>
      </c>
      <c r="EM224" s="482">
        <f>+EL226</f>
        <v>261.98585962677186</v>
      </c>
      <c r="EN224" s="482">
        <f>+EM226</f>
        <v>322.86581149900837</v>
      </c>
      <c r="EO224" s="1244">
        <f>+EL226</f>
        <v>261.98585962677186</v>
      </c>
      <c r="EP224" s="482">
        <f>+EO226</f>
        <v>400.99388521561428</v>
      </c>
      <c r="EQ224" s="482">
        <f>+EP226</f>
        <v>470.91278923513528</v>
      </c>
      <c r="ER224" s="1244">
        <f>+EO226</f>
        <v>400.99388521561428</v>
      </c>
      <c r="ES224" s="482">
        <f>+ER226</f>
        <v>557.9753638209047</v>
      </c>
      <c r="ET224" s="482">
        <f>+ES226</f>
        <v>638.6992798639078</v>
      </c>
      <c r="EU224" s="1244">
        <f>+ER226</f>
        <v>557.9753638209047</v>
      </c>
      <c r="EV224" s="482">
        <f>+EU226</f>
        <v>735.61036629922035</v>
      </c>
      <c r="EW224" s="482">
        <f>+EV226</f>
        <v>828.45584009266258</v>
      </c>
      <c r="EX224" s="1244">
        <f>+EU226</f>
        <v>735.61036629922035</v>
      </c>
      <c r="EY224" s="482">
        <f>+EX226</f>
        <v>936.21990330300719</v>
      </c>
      <c r="EZ224" s="482">
        <f>+EY226</f>
        <v>1042.6522108301244</v>
      </c>
      <c r="FA224" s="1244">
        <f>+EX226</f>
        <v>936.21990330300719</v>
      </c>
      <c r="FE224"/>
      <c r="FF224"/>
      <c r="FG224"/>
      <c r="FH224"/>
      <c r="FI224"/>
      <c r="FJ224"/>
      <c r="FK224" s="35"/>
    </row>
    <row r="225" spans="1:167" s="236" customFormat="1" ht="13.35" customHeight="1" outlineLevel="1" thickBot="1">
      <c r="B225" s="242" t="s">
        <v>90</v>
      </c>
      <c r="C225" s="242" t="s">
        <v>496</v>
      </c>
      <c r="D225" s="243"/>
      <c r="E225" s="503"/>
      <c r="F225" s="482">
        <f>+G225-E225</f>
        <v>0</v>
      </c>
      <c r="G225" s="504"/>
      <c r="H225" s="505"/>
      <c r="I225" s="482">
        <f>+J225-H225</f>
        <v>0</v>
      </c>
      <c r="J225" s="504"/>
      <c r="K225" s="505"/>
      <c r="L225" s="482">
        <f>+M225-K225</f>
        <v>0</v>
      </c>
      <c r="M225" s="504"/>
      <c r="N225" s="505"/>
      <c r="O225" s="482">
        <f>+P225-N225</f>
        <v>0</v>
      </c>
      <c r="P225" s="504"/>
      <c r="Q225" s="505"/>
      <c r="R225" s="482">
        <f>+S225-Q225</f>
        <v>0</v>
      </c>
      <c r="S225" s="504"/>
      <c r="T225" s="505"/>
      <c r="U225" s="482">
        <f>+V225-T225</f>
        <v>0</v>
      </c>
      <c r="V225" s="504"/>
      <c r="W225" s="505"/>
      <c r="X225" s="482">
        <f>+Y225-W225</f>
        <v>0</v>
      </c>
      <c r="Y225" s="504"/>
      <c r="Z225" s="505"/>
      <c r="AA225" s="482">
        <f>+AB225-Z225</f>
        <v>0</v>
      </c>
      <c r="AB225" s="504"/>
      <c r="AC225" s="505"/>
      <c r="AD225" s="482">
        <f>+AE225-AC225</f>
        <v>0</v>
      </c>
      <c r="AE225" s="504"/>
      <c r="AF225" s="505"/>
      <c r="AG225" s="482">
        <f>+AH225-AF225</f>
        <v>0</v>
      </c>
      <c r="AH225" s="504"/>
      <c r="AI225" s="505"/>
      <c r="AJ225" s="482">
        <f>+AK225-AI225</f>
        <v>0</v>
      </c>
      <c r="AK225" s="504"/>
      <c r="AL225" s="505"/>
      <c r="AM225" s="482">
        <f>+AN225-AL225</f>
        <v>0</v>
      </c>
      <c r="AN225" s="504"/>
      <c r="AO225" s="505"/>
      <c r="AP225" s="482">
        <f>+AQ225-AO225</f>
        <v>0</v>
      </c>
      <c r="AQ225" s="504"/>
      <c r="AR225" s="506">
        <v>0.621</v>
      </c>
      <c r="AS225" s="482">
        <f>+AT225-AR225</f>
        <v>0.36899999999999999</v>
      </c>
      <c r="AT225" s="507">
        <v>0.99</v>
      </c>
      <c r="AU225" s="506">
        <v>0.57499999999999996</v>
      </c>
      <c r="AV225" s="482">
        <f>+AW225-AU225</f>
        <v>-1.0779999999999998</v>
      </c>
      <c r="AW225" s="507">
        <v>-0.503</v>
      </c>
      <c r="AX225" s="506">
        <v>0.75800000000000001</v>
      </c>
      <c r="AY225" s="482">
        <f>+AZ225-AX225</f>
        <v>0.95699999999999985</v>
      </c>
      <c r="AZ225" s="504">
        <f>1.371+0.344</f>
        <v>1.7149999999999999</v>
      </c>
      <c r="BA225" s="506">
        <v>0.56399999999999995</v>
      </c>
      <c r="BB225" s="482">
        <f>+BC225-BA225</f>
        <v>0.91400000000000003</v>
      </c>
      <c r="BC225" s="507">
        <v>1.478</v>
      </c>
      <c r="BD225" s="506">
        <v>-0.106</v>
      </c>
      <c r="BE225" s="482">
        <f>+BF225-BD225</f>
        <v>-0.81100000000000005</v>
      </c>
      <c r="BF225" s="507">
        <v>-0.91700000000000004</v>
      </c>
      <c r="BG225" s="506">
        <v>-0.40200000000000002</v>
      </c>
      <c r="BH225" s="482">
        <f>+BI225-BG225</f>
        <v>-1.214</v>
      </c>
      <c r="BI225" s="507">
        <v>-1.6160000000000001</v>
      </c>
      <c r="BJ225" s="506">
        <v>-0.85399999999999998</v>
      </c>
      <c r="BK225" s="482">
        <f>+BL225-BJ225</f>
        <v>0.40299999999999997</v>
      </c>
      <c r="BL225" s="507">
        <v>-0.45100000000000001</v>
      </c>
      <c r="BM225" s="506">
        <v>0.46</v>
      </c>
      <c r="BN225" s="482">
        <f>+BO225-BM225</f>
        <v>0.183</v>
      </c>
      <c r="BO225" s="508">
        <v>0.64300000000000002</v>
      </c>
      <c r="BP225" s="506">
        <v>0.78800000000000003</v>
      </c>
      <c r="BQ225" s="482">
        <f>+BR225-BP225</f>
        <v>1.9149999999999998</v>
      </c>
      <c r="BR225" s="508">
        <v>2.7029999999999998</v>
      </c>
      <c r="BS225" s="506">
        <v>0</v>
      </c>
      <c r="BT225" s="482">
        <f>+BU225-BS225</f>
        <v>-5.585</v>
      </c>
      <c r="BU225" s="508">
        <v>-5.585</v>
      </c>
      <c r="BV225" s="506">
        <v>1.4850000000000001</v>
      </c>
      <c r="BW225" s="482">
        <f>+BX225-BV225</f>
        <v>-1.4850000000000001</v>
      </c>
      <c r="BX225" s="503"/>
      <c r="BY225" s="506">
        <v>5.6550000000000002</v>
      </c>
      <c r="BZ225" s="482">
        <f>+CA225-BY225</f>
        <v>-4.2410000000000005</v>
      </c>
      <c r="CA225" s="508">
        <v>1.4139999999999999</v>
      </c>
      <c r="CB225" s="506">
        <v>-2.6349999999999998</v>
      </c>
      <c r="CC225" s="482">
        <f>+CD225-CB225</f>
        <v>-2.0520000000000005</v>
      </c>
      <c r="CD225" s="508">
        <v>-4.6870000000000003</v>
      </c>
      <c r="CE225" s="506">
        <v>-1.8009999999999999</v>
      </c>
      <c r="CF225" s="482">
        <f>+CG225-CE225</f>
        <v>0.38900000000000001</v>
      </c>
      <c r="CG225" s="508">
        <v>-1.4119999999999999</v>
      </c>
      <c r="CH225" s="506">
        <v>-0.93500000000000005</v>
      </c>
      <c r="CI225" s="482">
        <f>+CJ225-CH225</f>
        <v>-0.75099999999999989</v>
      </c>
      <c r="CJ225" s="508">
        <v>-1.6859999999999999</v>
      </c>
      <c r="CK225" s="506">
        <v>1.1120000000000099</v>
      </c>
      <c r="CL225" s="482">
        <f>+CM225-CK225</f>
        <v>2.6419999999999901</v>
      </c>
      <c r="CM225" s="508">
        <v>3.754</v>
      </c>
      <c r="CN225" s="505">
        <v>4</v>
      </c>
      <c r="CO225" s="482">
        <f>+CP225-CN225</f>
        <v>-2.1219999999999999</v>
      </c>
      <c r="CP225" s="508">
        <v>1.8779999999999999</v>
      </c>
      <c r="CQ225" s="506">
        <v>2.722</v>
      </c>
      <c r="CR225" s="482">
        <f>+CS225-CQ225</f>
        <v>1.9280000000000004</v>
      </c>
      <c r="CS225" s="508">
        <v>4.6500000000000004</v>
      </c>
      <c r="CT225" s="506">
        <v>0.89400000000000002</v>
      </c>
      <c r="CU225" s="482">
        <f>+CV225-CT225</f>
        <v>-1.774</v>
      </c>
      <c r="CV225" s="508">
        <v>-0.88</v>
      </c>
      <c r="CW225" s="506">
        <v>-1.234</v>
      </c>
      <c r="CX225" s="482">
        <f>+CY225-CW225</f>
        <v>-0.52800000000000002</v>
      </c>
      <c r="CY225" s="508">
        <v>-1.762</v>
      </c>
      <c r="CZ225" s="505">
        <v>-0.2</v>
      </c>
      <c r="DA225" s="482">
        <f>+DB225-CZ225</f>
        <v>2.2000000000000002</v>
      </c>
      <c r="DB225" s="503">
        <v>2</v>
      </c>
      <c r="DC225" s="505">
        <v>0.4</v>
      </c>
      <c r="DD225" s="482">
        <f>+DE225-DC225</f>
        <v>-0.60000000000000009</v>
      </c>
      <c r="DE225" s="503">
        <v>-0.2</v>
      </c>
      <c r="DF225" s="505">
        <v>0</v>
      </c>
      <c r="DG225" s="482">
        <f>+DH225-DF225</f>
        <v>0</v>
      </c>
      <c r="DH225" s="1254"/>
      <c r="DI225" s="1373">
        <v>-7.9</v>
      </c>
      <c r="DJ225" s="482">
        <f>+DK225-DI225</f>
        <v>1.7000000000000002</v>
      </c>
      <c r="DK225" s="1374">
        <v>-6.2</v>
      </c>
      <c r="DL225" s="1373">
        <v>2.2000000000000002</v>
      </c>
      <c r="DM225" s="482">
        <f>+DN225-DL225</f>
        <v>0.59999999999999964</v>
      </c>
      <c r="DN225" s="1374">
        <v>2.8</v>
      </c>
      <c r="DO225" s="1373">
        <v>-0.4</v>
      </c>
      <c r="DP225" s="482">
        <f>+DQ225-DO225</f>
        <v>0.30000000000000004</v>
      </c>
      <c r="DQ225" s="1374">
        <v>-0.1</v>
      </c>
      <c r="DR225" s="1373">
        <v>-2.2000000000000002</v>
      </c>
      <c r="DS225" s="482">
        <f>+DT225-DR225</f>
        <v>1.0000000000000002</v>
      </c>
      <c r="DT225" s="1374">
        <v>-1.2</v>
      </c>
      <c r="DU225" s="1373">
        <v>8.3000000000000007</v>
      </c>
      <c r="DV225" s="482">
        <f>+DW225-DU225</f>
        <v>-1.7000000000000011</v>
      </c>
      <c r="DW225" s="1374">
        <v>6.6</v>
      </c>
      <c r="DX225" s="1373">
        <v>-3.2</v>
      </c>
      <c r="DY225" s="482">
        <v>0</v>
      </c>
      <c r="DZ225" s="1244">
        <f>SUM(DX225:DY225)</f>
        <v>-3.2</v>
      </c>
      <c r="EA225" s="482"/>
      <c r="EB225" s="482">
        <f>+EC225-EA225</f>
        <v>0</v>
      </c>
      <c r="EC225" s="1244"/>
      <c r="ED225" s="482"/>
      <c r="EE225" s="482">
        <f>+EF225-ED225</f>
        <v>0</v>
      </c>
      <c r="EF225" s="1244"/>
      <c r="EG225" s="482"/>
      <c r="EH225" s="482">
        <f>+EI225-EG225</f>
        <v>0</v>
      </c>
      <c r="EI225" s="1244"/>
      <c r="EJ225" s="482"/>
      <c r="EK225" s="482">
        <f>+EL225-EJ225</f>
        <v>0</v>
      </c>
      <c r="EL225" s="1244"/>
      <c r="EM225" s="482"/>
      <c r="EN225" s="482">
        <f>+EO225-EM225</f>
        <v>0</v>
      </c>
      <c r="EO225" s="1244"/>
      <c r="EP225" s="482"/>
      <c r="EQ225" s="482">
        <f>+ER225-EP225</f>
        <v>0</v>
      </c>
      <c r="ER225" s="1244"/>
      <c r="ES225" s="482"/>
      <c r="ET225" s="482">
        <f>+EU225-ES225</f>
        <v>0</v>
      </c>
      <c r="EU225" s="1244"/>
      <c r="EV225" s="482"/>
      <c r="EW225" s="482">
        <f>+EX225-EV225</f>
        <v>0</v>
      </c>
      <c r="EX225" s="1244"/>
      <c r="EY225" s="482"/>
      <c r="EZ225" s="482">
        <f>+FA225-EY225</f>
        <v>0</v>
      </c>
      <c r="FA225" s="1244"/>
      <c r="FE225"/>
      <c r="FF225"/>
      <c r="FG225"/>
      <c r="FH225"/>
      <c r="FI225"/>
      <c r="FJ225"/>
      <c r="FK225" s="35"/>
    </row>
    <row r="226" spans="1:167" s="236" customFormat="1" ht="13.35" customHeight="1" outlineLevel="1">
      <c r="B226" s="242" t="s">
        <v>91</v>
      </c>
      <c r="C226" s="242" t="s">
        <v>496</v>
      </c>
      <c r="D226" s="243"/>
      <c r="E226" s="509">
        <f>+E224+E216+E225</f>
        <v>0</v>
      </c>
      <c r="F226" s="509">
        <f>+G226</f>
        <v>0</v>
      </c>
      <c r="G226" s="509">
        <f>+G224+G216+G225</f>
        <v>0</v>
      </c>
      <c r="H226" s="509">
        <f>+H224+H216+H225</f>
        <v>0</v>
      </c>
      <c r="I226" s="509">
        <f>+J226</f>
        <v>0</v>
      </c>
      <c r="J226" s="509">
        <f>+J224+J216+J225</f>
        <v>0</v>
      </c>
      <c r="K226" s="509">
        <f>+K224+K216+K225</f>
        <v>0</v>
      </c>
      <c r="L226" s="509">
        <f>+M226</f>
        <v>0</v>
      </c>
      <c r="M226" s="509">
        <f>+M224+M216+M225</f>
        <v>0</v>
      </c>
      <c r="N226" s="509">
        <f>+N224+N216+N225</f>
        <v>0</v>
      </c>
      <c r="O226" s="509">
        <f>+P226</f>
        <v>0</v>
      </c>
      <c r="P226" s="509">
        <f>+P224+P216+P225</f>
        <v>0</v>
      </c>
      <c r="Q226" s="509">
        <f>+Q224+Q216+Q225</f>
        <v>0</v>
      </c>
      <c r="R226" s="509">
        <f>+S226</f>
        <v>0</v>
      </c>
      <c r="S226" s="509">
        <f>+S224+S216+S225</f>
        <v>0</v>
      </c>
      <c r="T226" s="509">
        <f>+T224+T216+T225</f>
        <v>0</v>
      </c>
      <c r="U226" s="509">
        <f>+V226</f>
        <v>0</v>
      </c>
      <c r="V226" s="509">
        <f>+V224+V216+V225</f>
        <v>0</v>
      </c>
      <c r="W226" s="509">
        <f>+W224+W216+W225</f>
        <v>0</v>
      </c>
      <c r="X226" s="509">
        <f>+Y226</f>
        <v>0</v>
      </c>
      <c r="Y226" s="509">
        <f>+Y224+Y216+Y225</f>
        <v>0</v>
      </c>
      <c r="Z226" s="509">
        <f>+Z224+Z216+Z225</f>
        <v>0</v>
      </c>
      <c r="AA226" s="509">
        <f>+AB226</f>
        <v>0</v>
      </c>
      <c r="AB226" s="509">
        <f>+AB224+AB216+AB225</f>
        <v>0</v>
      </c>
      <c r="AC226" s="509">
        <f>+AC224+AC216+AC225</f>
        <v>0</v>
      </c>
      <c r="AD226" s="509">
        <f>+AE226</f>
        <v>0</v>
      </c>
      <c r="AE226" s="509">
        <f>+AE224+AE216+AE225</f>
        <v>0</v>
      </c>
      <c r="AF226" s="509">
        <f>+AF224+AF216+AF225</f>
        <v>0</v>
      </c>
      <c r="AG226" s="509">
        <f>+AH226</f>
        <v>0</v>
      </c>
      <c r="AH226" s="509">
        <f>+AH224+AH216+AH225</f>
        <v>0</v>
      </c>
      <c r="AI226" s="509">
        <f>+AI224+AI216+AI225</f>
        <v>0</v>
      </c>
      <c r="AJ226" s="509">
        <f>+AK226</f>
        <v>0</v>
      </c>
      <c r="AK226" s="509">
        <f>+AK224+AK216+AK225</f>
        <v>0</v>
      </c>
      <c r="AL226" s="509">
        <f>+AL224+AL216+AL225</f>
        <v>9.2059999999999995</v>
      </c>
      <c r="AM226" s="509">
        <f>+AN226</f>
        <v>14.928000000000001</v>
      </c>
      <c r="AN226" s="509">
        <f>+AN224+AN216+AN225</f>
        <v>14.928000000000001</v>
      </c>
      <c r="AO226" s="509">
        <f>+AO224+AO216+AO225</f>
        <v>12.103000000000002</v>
      </c>
      <c r="AP226" s="509">
        <f>+AQ226</f>
        <v>12.613000000000001</v>
      </c>
      <c r="AQ226" s="509">
        <f>+AQ224+AQ216+AQ225</f>
        <v>12.613000000000001</v>
      </c>
      <c r="AR226" s="509">
        <f>+AR224+AR216+AR225</f>
        <v>12.450000000000001</v>
      </c>
      <c r="AS226" s="509">
        <f>+AT226</f>
        <v>18.882000000000001</v>
      </c>
      <c r="AT226" s="509">
        <f>+AT224+AT216+AT225</f>
        <v>18.882000000000001</v>
      </c>
      <c r="AU226" s="509">
        <f>+AU224+AU216+AU225</f>
        <v>22.702999999999999</v>
      </c>
      <c r="AV226" s="509">
        <f>+AW226</f>
        <v>32.49</v>
      </c>
      <c r="AW226" s="509">
        <f>+AW224+AW216+AW225</f>
        <v>32.49</v>
      </c>
      <c r="AX226" s="509">
        <f>+AX224+AX216+AX225</f>
        <v>29.367000000000001</v>
      </c>
      <c r="AY226" s="509">
        <f>+AZ226</f>
        <v>20.794</v>
      </c>
      <c r="AZ226" s="509">
        <f>+AZ224+AZ216+AZ225</f>
        <v>20.794</v>
      </c>
      <c r="BA226" s="509">
        <f>+BA224+BA216+BA225</f>
        <v>23.685000000000002</v>
      </c>
      <c r="BB226" s="509">
        <f>+BC226</f>
        <v>29.373000000000001</v>
      </c>
      <c r="BC226" s="509">
        <f>+BC224+BC216+BC225</f>
        <v>29.373000000000001</v>
      </c>
      <c r="BD226" s="509">
        <f>+BD224+BD216+BD225</f>
        <v>12.084000000000001</v>
      </c>
      <c r="BE226" s="509">
        <f>+BF226</f>
        <v>8.4730000000000008</v>
      </c>
      <c r="BF226" s="509">
        <f>+BF224+BF216+BF225</f>
        <v>8.4730000000000008</v>
      </c>
      <c r="BG226" s="509">
        <f>+BG224+BG216+BG225</f>
        <v>13.071000000000002</v>
      </c>
      <c r="BH226" s="509">
        <f>+BI226</f>
        <v>42.016999999999996</v>
      </c>
      <c r="BI226" s="509">
        <f>+BI224+BI216+BI225</f>
        <v>42.016999999999996</v>
      </c>
      <c r="BJ226" s="509">
        <f>+BJ224+BJ216+BJ225</f>
        <v>63.634</v>
      </c>
      <c r="BK226" s="509">
        <f>+BL226</f>
        <v>73.501000000000005</v>
      </c>
      <c r="BL226" s="509">
        <f>+BL224+BL216+BL225</f>
        <v>73.501000000000005</v>
      </c>
      <c r="BM226" s="509">
        <f>+BM224+BM216+BM225</f>
        <v>69.696999999999989</v>
      </c>
      <c r="BN226" s="509">
        <f>+BO226</f>
        <v>103.03700000000001</v>
      </c>
      <c r="BO226" s="509">
        <f>+BO224+BO216+BO225</f>
        <v>103.03700000000001</v>
      </c>
      <c r="BP226" s="509">
        <f>+BP224+BP216+BP225</f>
        <v>104.431</v>
      </c>
      <c r="BQ226" s="509">
        <f>+BR226</f>
        <v>84.736000000000004</v>
      </c>
      <c r="BR226" s="509">
        <f>+BR224+BR216+BR225</f>
        <v>84.736000000000004</v>
      </c>
      <c r="BS226" s="509">
        <f>+BS224+BS216+BS225</f>
        <v>68.975999999999999</v>
      </c>
      <c r="BT226" s="509">
        <f>+BU226</f>
        <v>81.736999999999995</v>
      </c>
      <c r="BU226" s="509">
        <f>+BU224+BU216+BU225</f>
        <v>81.736999999999995</v>
      </c>
      <c r="BV226" s="509">
        <f>+BV224+BV216+BV225</f>
        <v>59.038999999999994</v>
      </c>
      <c r="BW226" s="509">
        <f>+BX226</f>
        <v>36.278999999999996</v>
      </c>
      <c r="BX226" s="509">
        <f>+BX224+BX216+BX225</f>
        <v>36.278999999999996</v>
      </c>
      <c r="BY226" s="509">
        <f>+BY224+BY216+BY225</f>
        <v>62.86</v>
      </c>
      <c r="BZ226" s="509">
        <f>+CA226</f>
        <v>80.016000000000005</v>
      </c>
      <c r="CA226" s="509">
        <f>+CA224+CA216+CA225</f>
        <v>80.016000000000005</v>
      </c>
      <c r="CB226" s="509">
        <f>+CB224+CB216+CB225</f>
        <v>73.655000000000001</v>
      </c>
      <c r="CC226" s="509">
        <f>+CD226</f>
        <v>42.808000000000007</v>
      </c>
      <c r="CD226" s="509">
        <f>+CD224+CD216+CD225</f>
        <v>42.808000000000007</v>
      </c>
      <c r="CE226" s="509">
        <f>+CE224+CE216+CE225</f>
        <v>63.558000000000007</v>
      </c>
      <c r="CF226" s="509">
        <f>+CG226</f>
        <v>72.423000000000002</v>
      </c>
      <c r="CG226" s="509">
        <f>+CG224+CG216+CG225</f>
        <v>72.423000000000002</v>
      </c>
      <c r="CH226" s="509">
        <f>+CH224+CH216+CH225</f>
        <v>74.947999999999993</v>
      </c>
      <c r="CI226" s="509">
        <f>+CJ226</f>
        <v>68.48599999999999</v>
      </c>
      <c r="CJ226" s="509">
        <f>+CJ224+CJ216+CJ225</f>
        <v>68.48599999999999</v>
      </c>
      <c r="CK226" s="509">
        <f>+CK224+CK216+CK225</f>
        <v>69.8</v>
      </c>
      <c r="CL226" s="509">
        <f>+CM226</f>
        <v>52.688999999999986</v>
      </c>
      <c r="CM226" s="509">
        <f>+CM224+CM216+CM225</f>
        <v>52.688999999999986</v>
      </c>
      <c r="CN226" s="509">
        <f>+CN224+CN216+CN225</f>
        <v>59.949999999999989</v>
      </c>
      <c r="CO226" s="509">
        <f>+CP226</f>
        <v>56.126999999999988</v>
      </c>
      <c r="CP226" s="509">
        <f>+CP224+CP216+CP225</f>
        <v>56.126999999999988</v>
      </c>
      <c r="CQ226" s="509">
        <f>+CQ224+CQ216+CQ225</f>
        <v>58.870999999999988</v>
      </c>
      <c r="CR226" s="509">
        <f>+CS226</f>
        <v>72.207999999999998</v>
      </c>
      <c r="CS226" s="509">
        <f>+CS224+CS216+CS225</f>
        <v>72.207999999999998</v>
      </c>
      <c r="CT226" s="509">
        <f>+CT224+CT216+CT225</f>
        <v>80.251000000000005</v>
      </c>
      <c r="CU226" s="509">
        <f>+CV226</f>
        <v>75.417000000000002</v>
      </c>
      <c r="CV226" s="509">
        <f>+CV224+CV216+CV225</f>
        <v>75.417000000000002</v>
      </c>
      <c r="CW226" s="509">
        <f>+CW224+CW216+CW225</f>
        <v>79.408000000000001</v>
      </c>
      <c r="CX226" s="509">
        <f>+CY226</f>
        <v>89.54</v>
      </c>
      <c r="CY226" s="509">
        <f>+CY224+CY216+CY225</f>
        <v>89.54</v>
      </c>
      <c r="CZ226" s="509">
        <f>+CZ224+CZ216+CZ225</f>
        <v>106.94000000000001</v>
      </c>
      <c r="DA226" s="509">
        <f>+DB226</f>
        <v>61.540000000000006</v>
      </c>
      <c r="DB226" s="509">
        <f>+DB224+DB216+DB225</f>
        <v>61.540000000000006</v>
      </c>
      <c r="DC226" s="509">
        <f>+DC224+DC216+DC225</f>
        <v>92.34</v>
      </c>
      <c r="DD226" s="509">
        <f>+DE226</f>
        <v>78.64</v>
      </c>
      <c r="DE226" s="509">
        <f>+DE224+DE216+DE225</f>
        <v>78.64</v>
      </c>
      <c r="DF226" s="509">
        <f>+DF224+DF216+DF225</f>
        <v>89.44</v>
      </c>
      <c r="DG226" s="509">
        <f>+DH226</f>
        <v>565.64</v>
      </c>
      <c r="DH226" s="1255">
        <f>+DH224+DH216+DH225</f>
        <v>565.64</v>
      </c>
      <c r="DI226" s="482">
        <f>+DI224+DI216+DI225</f>
        <v>588.34</v>
      </c>
      <c r="DJ226" s="482">
        <f>+DK226</f>
        <v>609.64</v>
      </c>
      <c r="DK226" s="1244">
        <f>+DK224+DK216+DK225</f>
        <v>609.64</v>
      </c>
      <c r="DL226" s="482">
        <f>+DL224+DL216+DL225</f>
        <v>553.14</v>
      </c>
      <c r="DM226" s="482">
        <f>+DN226</f>
        <v>629.33999999999992</v>
      </c>
      <c r="DN226" s="1244">
        <f>+DN224+DN216+DN225</f>
        <v>629.33999999999992</v>
      </c>
      <c r="DO226" s="482">
        <f>+DO224+DO216+DO225</f>
        <v>521.7399999999999</v>
      </c>
      <c r="DP226" s="482">
        <f>+DQ226</f>
        <v>555.53999999999985</v>
      </c>
      <c r="DQ226" s="1244">
        <f>+DQ224+DQ216+DQ225</f>
        <v>555.53999999999985</v>
      </c>
      <c r="DR226" s="482">
        <f>+DR224+DR216+DR225</f>
        <v>485.23999999999984</v>
      </c>
      <c r="DS226" s="482">
        <f>+DT226</f>
        <v>513.63999999999976</v>
      </c>
      <c r="DT226" s="1244">
        <f>+DT224+DT216+DT225</f>
        <v>513.63999999999976</v>
      </c>
      <c r="DU226" s="482">
        <f>+DU224+DU216+DU225</f>
        <v>383.13999999999976</v>
      </c>
      <c r="DV226" s="482">
        <f>+DW226</f>
        <v>275.63999999999976</v>
      </c>
      <c r="DW226" s="1244">
        <f>+DW224+DW216+DW225</f>
        <v>275.63999999999976</v>
      </c>
      <c r="DX226" s="482">
        <f>+DX224+DX216+DX225</f>
        <v>187.03999999999976</v>
      </c>
      <c r="DY226" s="482">
        <f>+DZ226</f>
        <v>100.17874779744993</v>
      </c>
      <c r="DZ226" s="1244">
        <f>+DZ224+DZ216+DZ225</f>
        <v>100.17874779744993</v>
      </c>
      <c r="EA226" s="482">
        <f>+EA224+EA216+EA225</f>
        <v>128.85397208177284</v>
      </c>
      <c r="EB226" s="482">
        <f>+EC226</f>
        <v>131.57220177608372</v>
      </c>
      <c r="EC226" s="1244">
        <f>+EC224+EC216+EC225</f>
        <v>131.57220177608372</v>
      </c>
      <c r="ED226" s="482">
        <f>+ED224+ED216+ED225</f>
        <v>125.78257601085073</v>
      </c>
      <c r="EE226" s="482">
        <f>+EF226</f>
        <v>130.41041149723054</v>
      </c>
      <c r="EF226" s="1244">
        <f>+EF224+EF216+EF225</f>
        <v>130.41041149723054</v>
      </c>
      <c r="EG226" s="482">
        <f>+EG224+EG216+EG225</f>
        <v>127.54570320041606</v>
      </c>
      <c r="EH226" s="482">
        <f>+EI226</f>
        <v>139.31201013235983</v>
      </c>
      <c r="EI226" s="1244">
        <f>+EI224+EI216+EI225</f>
        <v>139.31201013235983</v>
      </c>
      <c r="EJ226" s="482">
        <f>+EJ224+EJ216+EJ225</f>
        <v>192.23259197065258</v>
      </c>
      <c r="EK226" s="482">
        <f>+EL226</f>
        <v>261.98585962677186</v>
      </c>
      <c r="EL226" s="1244">
        <f>+EL224+EL216+EL225</f>
        <v>261.98585962677186</v>
      </c>
      <c r="EM226" s="482">
        <f>+EM224+EM216+EM225</f>
        <v>322.86581149900837</v>
      </c>
      <c r="EN226" s="482">
        <f>+EO226</f>
        <v>400.99388521561428</v>
      </c>
      <c r="EO226" s="1244">
        <f>+EO224+EO216+EO225</f>
        <v>400.99388521561428</v>
      </c>
      <c r="EP226" s="482">
        <f>+EP224+EP216+EP225</f>
        <v>470.91278923513528</v>
      </c>
      <c r="EQ226" s="482">
        <f>+ER226</f>
        <v>557.9753638209047</v>
      </c>
      <c r="ER226" s="1244">
        <f>+ER224+ER216+ER225</f>
        <v>557.9753638209047</v>
      </c>
      <c r="ES226" s="482">
        <f>+ES224+ES216+ES225</f>
        <v>638.6992798639078</v>
      </c>
      <c r="ET226" s="482">
        <f>+EU226</f>
        <v>735.61036629922035</v>
      </c>
      <c r="EU226" s="1244">
        <f>+EU224+EU216+EU225</f>
        <v>735.61036629922035</v>
      </c>
      <c r="EV226" s="482">
        <f>+EV224+EV216+EV225</f>
        <v>828.45584009266258</v>
      </c>
      <c r="EW226" s="482">
        <f>+EX226</f>
        <v>936.21990330300719</v>
      </c>
      <c r="EX226" s="1244">
        <f>+EX224+EX216+EX225</f>
        <v>936.21990330300719</v>
      </c>
      <c r="EY226" s="482">
        <f>+EY224+EY216+EY225</f>
        <v>1042.6522108301244</v>
      </c>
      <c r="EZ226" s="482">
        <f>+FA226</f>
        <v>1162.3732956130871</v>
      </c>
      <c r="FA226" s="1244">
        <f>+FA224+FA216+FA225</f>
        <v>1162.3732956130871</v>
      </c>
      <c r="FE226"/>
      <c r="FF226"/>
      <c r="FG226"/>
      <c r="FH226"/>
      <c r="FI226"/>
      <c r="FJ226"/>
      <c r="FK226" s="35"/>
    </row>
    <row r="227" spans="1:167" s="236" customFormat="1" ht="13.35" customHeight="1" outlineLevel="1">
      <c r="B227" s="242" t="s">
        <v>120</v>
      </c>
      <c r="C227" s="242"/>
      <c r="D227" s="243"/>
      <c r="E227" s="482"/>
      <c r="F227" s="482"/>
      <c r="G227" s="482"/>
      <c r="H227" s="482"/>
      <c r="I227" s="482"/>
      <c r="J227" s="482"/>
      <c r="K227" s="482"/>
      <c r="L227" s="482"/>
      <c r="M227" s="482"/>
      <c r="N227" s="482"/>
      <c r="O227" s="482"/>
      <c r="P227" s="482"/>
      <c r="Q227" s="482"/>
      <c r="R227" s="482"/>
      <c r="S227" s="482"/>
      <c r="T227" s="482"/>
      <c r="U227" s="482"/>
      <c r="V227" s="482"/>
      <c r="W227" s="482"/>
      <c r="X227" s="482"/>
      <c r="Y227" s="482"/>
      <c r="Z227" s="482"/>
      <c r="AA227" s="482"/>
      <c r="AB227" s="482"/>
      <c r="AC227" s="482"/>
      <c r="AD227" s="482"/>
      <c r="AE227" s="482"/>
      <c r="AF227" s="482"/>
      <c r="AG227" s="482"/>
      <c r="AH227" s="482"/>
      <c r="AI227" s="482"/>
      <c r="AJ227" s="482"/>
      <c r="AK227" s="482"/>
      <c r="AL227" s="482"/>
      <c r="AM227" s="482"/>
      <c r="AN227" s="482"/>
      <c r="AO227" s="482"/>
      <c r="AP227" s="482"/>
      <c r="AQ227" s="482"/>
      <c r="AR227" s="482"/>
      <c r="AS227" s="482"/>
      <c r="AT227" s="482"/>
      <c r="AU227" s="482"/>
      <c r="AV227" s="482"/>
      <c r="AW227" s="482"/>
      <c r="AX227" s="482"/>
      <c r="AY227" s="482"/>
      <c r="AZ227" s="482"/>
      <c r="BA227" s="482"/>
      <c r="BB227" s="482"/>
      <c r="BC227" s="482"/>
      <c r="BD227" s="482"/>
      <c r="BE227" s="482"/>
      <c r="BF227" s="482"/>
      <c r="BG227" s="482"/>
      <c r="BH227" s="482"/>
      <c r="BI227" s="482"/>
      <c r="BJ227" s="492">
        <v>43.768000000000001</v>
      </c>
      <c r="BK227" s="492">
        <v>0.69399999999999995</v>
      </c>
      <c r="BL227" s="492">
        <v>0.57099999999999995</v>
      </c>
      <c r="BM227" s="482"/>
      <c r="BN227" s="492">
        <v>0.72799999999999998</v>
      </c>
      <c r="BO227" s="492">
        <v>0.59499999999999997</v>
      </c>
      <c r="BP227" s="482"/>
      <c r="BQ227" s="492">
        <v>-0.70299999999999996</v>
      </c>
      <c r="BR227" s="492">
        <v>-0.70299999999999996</v>
      </c>
      <c r="BS227" s="492">
        <v>-1.7709999999999999</v>
      </c>
      <c r="BT227" s="482">
        <f>-BS227</f>
        <v>1.7709999999999999</v>
      </c>
      <c r="BU227" s="482"/>
      <c r="BV227" s="492">
        <v>1.363</v>
      </c>
      <c r="BW227" s="482">
        <f>-BV227</f>
        <v>-1.363</v>
      </c>
      <c r="BX227" s="482"/>
      <c r="BY227" s="482"/>
      <c r="BZ227" s="482"/>
      <c r="CA227" s="482"/>
      <c r="CB227" s="482"/>
      <c r="CC227" s="482"/>
      <c r="CD227" s="482"/>
      <c r="CE227" s="482"/>
      <c r="CF227" s="482"/>
      <c r="CG227" s="482"/>
      <c r="CH227" s="482"/>
      <c r="CI227" s="482"/>
      <c r="CJ227" s="482"/>
      <c r="CK227" s="482"/>
      <c r="CL227" s="482"/>
      <c r="CM227" s="482"/>
      <c r="CN227" s="482"/>
      <c r="CO227" s="482"/>
      <c r="CP227" s="482"/>
      <c r="CQ227" s="482"/>
      <c r="CR227" s="482"/>
      <c r="CS227" s="482"/>
      <c r="CT227" s="482"/>
      <c r="CU227" s="482"/>
      <c r="CV227" s="482"/>
      <c r="CW227" s="482"/>
      <c r="CX227" s="482"/>
      <c r="CY227" s="482"/>
      <c r="CZ227" s="482"/>
      <c r="DA227" s="482"/>
      <c r="DB227" s="482"/>
      <c r="DC227" s="482"/>
      <c r="DD227" s="482"/>
      <c r="DE227" s="482"/>
      <c r="DF227" s="482"/>
      <c r="DG227" s="482"/>
      <c r="DH227" s="1244"/>
      <c r="DI227" s="482"/>
      <c r="DJ227" s="482"/>
      <c r="DK227" s="1244"/>
      <c r="DL227" s="482"/>
      <c r="DM227" s="482"/>
      <c r="DN227" s="1244"/>
      <c r="DO227" s="482"/>
      <c r="DP227" s="482"/>
      <c r="DQ227" s="1244"/>
      <c r="DR227" s="482"/>
      <c r="DS227" s="482"/>
      <c r="DT227" s="1244"/>
      <c r="DU227" s="482"/>
      <c r="DV227" s="482"/>
      <c r="DW227" s="1244"/>
      <c r="DX227" s="482"/>
      <c r="DY227" s="482"/>
      <c r="DZ227" s="1244"/>
      <c r="EA227" s="482"/>
      <c r="EB227" s="482"/>
      <c r="EC227" s="1244"/>
      <c r="ED227" s="482"/>
      <c r="EE227" s="482"/>
      <c r="EF227" s="1244"/>
      <c r="EG227" s="482"/>
      <c r="EH227" s="482"/>
      <c r="EI227" s="1244"/>
      <c r="EJ227" s="482"/>
      <c r="EK227" s="482"/>
      <c r="EL227" s="1244"/>
      <c r="EM227" s="482"/>
      <c r="EN227" s="482"/>
      <c r="EO227" s="1244"/>
      <c r="EP227" s="482"/>
      <c r="EQ227" s="482"/>
      <c r="ER227" s="1244"/>
      <c r="ES227" s="482"/>
      <c r="ET227" s="482"/>
      <c r="EU227" s="1244"/>
      <c r="EV227" s="482"/>
      <c r="EW227" s="482"/>
      <c r="EX227" s="1244"/>
      <c r="EY227" s="482"/>
      <c r="EZ227" s="482"/>
      <c r="FA227" s="1244"/>
      <c r="FE227"/>
      <c r="FF227"/>
      <c r="FG227"/>
      <c r="FH227"/>
      <c r="FI227"/>
      <c r="FJ227"/>
      <c r="FK227" s="35"/>
    </row>
    <row r="228" spans="1:167" s="450" customFormat="1" ht="16.5" customHeight="1">
      <c r="A228" s="453" t="s">
        <v>92</v>
      </c>
      <c r="B228" s="449"/>
      <c r="C228" s="454" t="s">
        <v>933</v>
      </c>
      <c r="D228" s="455"/>
      <c r="E228" s="455" t="str">
        <f t="shared" ref="E228:AJ228" si="760">+E4</f>
        <v>1h85</v>
      </c>
      <c r="F228" s="455" t="str">
        <f t="shared" si="760"/>
        <v>2h85</v>
      </c>
      <c r="G228" s="455" t="str">
        <f t="shared" si="760"/>
        <v>1985</v>
      </c>
      <c r="H228" s="455" t="str">
        <f t="shared" si="760"/>
        <v>1h86</v>
      </c>
      <c r="I228" s="455" t="str">
        <f t="shared" si="760"/>
        <v>2h86</v>
      </c>
      <c r="J228" s="455" t="str">
        <f t="shared" si="760"/>
        <v>1986</v>
      </c>
      <c r="K228" s="455" t="str">
        <f t="shared" si="760"/>
        <v>1h87</v>
      </c>
      <c r="L228" s="455" t="str">
        <f t="shared" si="760"/>
        <v>2h87</v>
      </c>
      <c r="M228" s="455" t="str">
        <f t="shared" si="760"/>
        <v>1987</v>
      </c>
      <c r="N228" s="455" t="str">
        <f t="shared" si="760"/>
        <v>1h88</v>
      </c>
      <c r="O228" s="455" t="str">
        <f t="shared" si="760"/>
        <v>2h88</v>
      </c>
      <c r="P228" s="455" t="str">
        <f t="shared" si="760"/>
        <v>1988</v>
      </c>
      <c r="Q228" s="455" t="str">
        <f t="shared" si="760"/>
        <v>1h89</v>
      </c>
      <c r="R228" s="455" t="str">
        <f t="shared" si="760"/>
        <v>2h89</v>
      </c>
      <c r="S228" s="455" t="str">
        <f t="shared" si="760"/>
        <v>1989</v>
      </c>
      <c r="T228" s="455" t="str">
        <f t="shared" si="760"/>
        <v>1h90</v>
      </c>
      <c r="U228" s="455" t="str">
        <f t="shared" si="760"/>
        <v>2h90</v>
      </c>
      <c r="V228" s="455" t="str">
        <f t="shared" si="760"/>
        <v>1990</v>
      </c>
      <c r="W228" s="455" t="str">
        <f t="shared" si="760"/>
        <v>1h91</v>
      </c>
      <c r="X228" s="455" t="str">
        <f t="shared" si="760"/>
        <v>2h91</v>
      </c>
      <c r="Y228" s="455" t="str">
        <f t="shared" si="760"/>
        <v>1991</v>
      </c>
      <c r="Z228" s="455" t="str">
        <f t="shared" si="760"/>
        <v>1h92</v>
      </c>
      <c r="AA228" s="455" t="str">
        <f t="shared" si="760"/>
        <v>2h92</v>
      </c>
      <c r="AB228" s="455" t="str">
        <f t="shared" si="760"/>
        <v>1992</v>
      </c>
      <c r="AC228" s="455" t="str">
        <f t="shared" si="760"/>
        <v>1h93</v>
      </c>
      <c r="AD228" s="455" t="str">
        <f t="shared" si="760"/>
        <v>2h93</v>
      </c>
      <c r="AE228" s="455" t="str">
        <f t="shared" si="760"/>
        <v>1993</v>
      </c>
      <c r="AF228" s="455" t="str">
        <f t="shared" si="760"/>
        <v>1h94</v>
      </c>
      <c r="AG228" s="455" t="str">
        <f t="shared" si="760"/>
        <v>2h94</v>
      </c>
      <c r="AH228" s="455" t="str">
        <f t="shared" si="760"/>
        <v>1994</v>
      </c>
      <c r="AI228" s="455" t="str">
        <f t="shared" si="760"/>
        <v>1h95</v>
      </c>
      <c r="AJ228" s="455" t="str">
        <f t="shared" si="760"/>
        <v>2h95</v>
      </c>
      <c r="AK228" s="455" t="str">
        <f t="shared" ref="AK228:BP228" si="761">+AK4</f>
        <v>1995</v>
      </c>
      <c r="AL228" s="455" t="str">
        <f t="shared" si="761"/>
        <v>1h96</v>
      </c>
      <c r="AM228" s="455" t="str">
        <f t="shared" si="761"/>
        <v>2h96</v>
      </c>
      <c r="AN228" s="455" t="str">
        <f t="shared" si="761"/>
        <v>1996</v>
      </c>
      <c r="AO228" s="455" t="str">
        <f t="shared" si="761"/>
        <v>1h97</v>
      </c>
      <c r="AP228" s="455" t="str">
        <f t="shared" si="761"/>
        <v>2h97</v>
      </c>
      <c r="AQ228" s="455" t="str">
        <f t="shared" si="761"/>
        <v>FY97</v>
      </c>
      <c r="AR228" s="455" t="str">
        <f t="shared" si="761"/>
        <v>1H98</v>
      </c>
      <c r="AS228" s="455" t="str">
        <f t="shared" si="761"/>
        <v>2H98</v>
      </c>
      <c r="AT228" s="455" t="str">
        <f t="shared" si="761"/>
        <v>FY98</v>
      </c>
      <c r="AU228" s="455" t="str">
        <f t="shared" si="761"/>
        <v>1H99</v>
      </c>
      <c r="AV228" s="455" t="str">
        <f t="shared" si="761"/>
        <v>2H99</v>
      </c>
      <c r="AW228" s="455" t="str">
        <f t="shared" si="761"/>
        <v>FY99</v>
      </c>
      <c r="AX228" s="455" t="str">
        <f t="shared" si="761"/>
        <v>1H00</v>
      </c>
      <c r="AY228" s="455" t="str">
        <f t="shared" si="761"/>
        <v>2H00</v>
      </c>
      <c r="AZ228" s="455" t="str">
        <f t="shared" si="761"/>
        <v>FY00</v>
      </c>
      <c r="BA228" s="455" t="str">
        <f t="shared" si="761"/>
        <v>1H01</v>
      </c>
      <c r="BB228" s="455" t="str">
        <f t="shared" si="761"/>
        <v>2H01</v>
      </c>
      <c r="BC228" s="455" t="str">
        <f t="shared" si="761"/>
        <v>FY01</v>
      </c>
      <c r="BD228" s="455" t="str">
        <f t="shared" si="761"/>
        <v>1H02</v>
      </c>
      <c r="BE228" s="455" t="str">
        <f t="shared" si="761"/>
        <v>2H02</v>
      </c>
      <c r="BF228" s="455" t="str">
        <f t="shared" si="761"/>
        <v>FY02</v>
      </c>
      <c r="BG228" s="455" t="str">
        <f t="shared" si="761"/>
        <v>1H03</v>
      </c>
      <c r="BH228" s="455" t="str">
        <f t="shared" si="761"/>
        <v>2H03</v>
      </c>
      <c r="BI228" s="455" t="str">
        <f t="shared" si="761"/>
        <v>FY03</v>
      </c>
      <c r="BJ228" s="455" t="str">
        <f t="shared" si="761"/>
        <v>1H04</v>
      </c>
      <c r="BK228" s="455" t="str">
        <f t="shared" si="761"/>
        <v>2H04</v>
      </c>
      <c r="BL228" s="455" t="str">
        <f t="shared" si="761"/>
        <v>FY04</v>
      </c>
      <c r="BM228" s="455" t="str">
        <f t="shared" si="761"/>
        <v>1H05</v>
      </c>
      <c r="BN228" s="455" t="str">
        <f t="shared" si="761"/>
        <v>2H05</v>
      </c>
      <c r="BO228" s="455" t="str">
        <f t="shared" si="761"/>
        <v>FY05</v>
      </c>
      <c r="BP228" s="455" t="str">
        <f t="shared" si="761"/>
        <v>1H06</v>
      </c>
      <c r="BQ228" s="455" t="str">
        <f t="shared" ref="BQ228:CV228" si="762">+BQ4</f>
        <v>2H06</v>
      </c>
      <c r="BR228" s="455" t="str">
        <f t="shared" si="762"/>
        <v>FY06</v>
      </c>
      <c r="BS228" s="455" t="str">
        <f t="shared" si="762"/>
        <v>1H07</v>
      </c>
      <c r="BT228" s="455" t="str">
        <f t="shared" si="762"/>
        <v>2H07</v>
      </c>
      <c r="BU228" s="455" t="str">
        <f t="shared" si="762"/>
        <v>FY07</v>
      </c>
      <c r="BV228" s="455" t="str">
        <f t="shared" si="762"/>
        <v>1H08</v>
      </c>
      <c r="BW228" s="455" t="str">
        <f t="shared" si="762"/>
        <v>2H08</v>
      </c>
      <c r="BX228" s="455" t="str">
        <f t="shared" si="762"/>
        <v>FY08</v>
      </c>
      <c r="BY228" s="455" t="str">
        <f t="shared" si="762"/>
        <v>1H09</v>
      </c>
      <c r="BZ228" s="455" t="str">
        <f t="shared" si="762"/>
        <v>2H09</v>
      </c>
      <c r="CA228" s="455" t="str">
        <f t="shared" si="762"/>
        <v>FY09</v>
      </c>
      <c r="CB228" s="455" t="str">
        <f t="shared" si="762"/>
        <v>1H10</v>
      </c>
      <c r="CC228" s="455" t="str">
        <f t="shared" si="762"/>
        <v>2H10</v>
      </c>
      <c r="CD228" s="455" t="str">
        <f t="shared" si="762"/>
        <v>FY10</v>
      </c>
      <c r="CE228" s="455" t="str">
        <f t="shared" si="762"/>
        <v>1H11</v>
      </c>
      <c r="CF228" s="455" t="str">
        <f t="shared" si="762"/>
        <v>2H11</v>
      </c>
      <c r="CG228" s="455" t="str">
        <f t="shared" si="762"/>
        <v>FY11</v>
      </c>
      <c r="CH228" s="455" t="str">
        <f t="shared" si="762"/>
        <v>1H12</v>
      </c>
      <c r="CI228" s="455" t="str">
        <f t="shared" si="762"/>
        <v>2H12</v>
      </c>
      <c r="CJ228" s="455" t="str">
        <f t="shared" si="762"/>
        <v>FY12</v>
      </c>
      <c r="CK228" s="455" t="str">
        <f t="shared" si="762"/>
        <v>1H13</v>
      </c>
      <c r="CL228" s="455" t="str">
        <f t="shared" si="762"/>
        <v>2H13</v>
      </c>
      <c r="CM228" s="455" t="str">
        <f t="shared" si="762"/>
        <v>FY13</v>
      </c>
      <c r="CN228" s="455" t="str">
        <f t="shared" si="762"/>
        <v>1H14</v>
      </c>
      <c r="CO228" s="455" t="str">
        <f t="shared" si="762"/>
        <v>2H14</v>
      </c>
      <c r="CP228" s="455" t="str">
        <f t="shared" si="762"/>
        <v>FY14</v>
      </c>
      <c r="CQ228" s="455" t="str">
        <f t="shared" si="762"/>
        <v>1H15</v>
      </c>
      <c r="CR228" s="455" t="str">
        <f t="shared" si="762"/>
        <v>2H15</v>
      </c>
      <c r="CS228" s="455" t="str">
        <f t="shared" si="762"/>
        <v>FY15</v>
      </c>
      <c r="CT228" s="455" t="str">
        <f t="shared" si="762"/>
        <v>1H16</v>
      </c>
      <c r="CU228" s="455" t="str">
        <f t="shared" si="762"/>
        <v>2H16</v>
      </c>
      <c r="CV228" s="455" t="str">
        <f t="shared" si="762"/>
        <v>FY16</v>
      </c>
      <c r="CW228" s="455" t="str">
        <f t="shared" ref="CW228:EF228" si="763">+CW4</f>
        <v>1H17</v>
      </c>
      <c r="CX228" s="455" t="str">
        <f t="shared" si="763"/>
        <v>2H17</v>
      </c>
      <c r="CY228" s="455" t="str">
        <f t="shared" si="763"/>
        <v>FY17</v>
      </c>
      <c r="CZ228" s="455" t="str">
        <f t="shared" si="763"/>
        <v>1H18</v>
      </c>
      <c r="DA228" s="455" t="str">
        <f t="shared" si="763"/>
        <v>2H18</v>
      </c>
      <c r="DB228" s="455" t="str">
        <f t="shared" si="763"/>
        <v>FY18</v>
      </c>
      <c r="DC228" s="455" t="str">
        <f t="shared" si="763"/>
        <v>1H19</v>
      </c>
      <c r="DD228" s="455" t="str">
        <f t="shared" si="763"/>
        <v>2H19</v>
      </c>
      <c r="DE228" s="455" t="str">
        <f t="shared" si="763"/>
        <v>FY19</v>
      </c>
      <c r="DF228" s="455" t="str">
        <f t="shared" si="763"/>
        <v>1H20</v>
      </c>
      <c r="DG228" s="455" t="str">
        <f t="shared" si="763"/>
        <v>2H20</v>
      </c>
      <c r="DH228" s="1243" t="str">
        <f t="shared" si="763"/>
        <v>FY20</v>
      </c>
      <c r="DI228" s="455" t="str">
        <f t="shared" si="763"/>
        <v>1H21</v>
      </c>
      <c r="DJ228" s="455" t="str">
        <f t="shared" si="763"/>
        <v>2H21</v>
      </c>
      <c r="DK228" s="1243" t="str">
        <f t="shared" si="763"/>
        <v>FY21</v>
      </c>
      <c r="DL228" s="455" t="str">
        <f t="shared" si="763"/>
        <v>1H22</v>
      </c>
      <c r="DM228" s="455" t="str">
        <f t="shared" si="763"/>
        <v>2H22</v>
      </c>
      <c r="DN228" s="1243" t="str">
        <f t="shared" si="763"/>
        <v>FY22</v>
      </c>
      <c r="DO228" s="455" t="str">
        <f t="shared" si="763"/>
        <v>1H23</v>
      </c>
      <c r="DP228" s="455" t="str">
        <f t="shared" si="763"/>
        <v>2H23</v>
      </c>
      <c r="DQ228" s="1243" t="str">
        <f t="shared" si="763"/>
        <v>FY23</v>
      </c>
      <c r="DR228" s="455" t="str">
        <f t="shared" si="763"/>
        <v>1H24</v>
      </c>
      <c r="DS228" s="455" t="str">
        <f t="shared" si="763"/>
        <v>2H24</v>
      </c>
      <c r="DT228" s="1243" t="str">
        <f t="shared" si="763"/>
        <v>FY24</v>
      </c>
      <c r="DU228" s="455" t="str">
        <f t="shared" si="763"/>
        <v>1H25</v>
      </c>
      <c r="DV228" s="455" t="str">
        <f t="shared" si="763"/>
        <v>2H25</v>
      </c>
      <c r="DW228" s="1243" t="str">
        <f t="shared" si="763"/>
        <v>FY25</v>
      </c>
      <c r="DX228" s="455" t="str">
        <f t="shared" ref="DX228" si="764">+DX4</f>
        <v>1H26</v>
      </c>
      <c r="DY228" s="455" t="str">
        <f t="shared" si="763"/>
        <v>2H26E</v>
      </c>
      <c r="DZ228" s="1243" t="str">
        <f t="shared" si="763"/>
        <v>FY26E</v>
      </c>
      <c r="EA228" s="455" t="str">
        <f t="shared" si="763"/>
        <v>1H27E</v>
      </c>
      <c r="EB228" s="455" t="str">
        <f t="shared" si="763"/>
        <v>2H27E</v>
      </c>
      <c r="EC228" s="1243" t="str">
        <f t="shared" si="763"/>
        <v>FY27E</v>
      </c>
      <c r="ED228" s="455" t="str">
        <f t="shared" si="763"/>
        <v>1H28E</v>
      </c>
      <c r="EE228" s="455" t="str">
        <f t="shared" si="763"/>
        <v>2H28E</v>
      </c>
      <c r="EF228" s="1243" t="str">
        <f t="shared" si="763"/>
        <v>FY28E</v>
      </c>
      <c r="EG228" s="455" t="str">
        <f t="shared" ref="EG228:EL228" si="765">+EG4</f>
        <v>1H29E</v>
      </c>
      <c r="EH228" s="455" t="str">
        <f t="shared" si="765"/>
        <v>2H29E</v>
      </c>
      <c r="EI228" s="1243" t="str">
        <f t="shared" si="765"/>
        <v>FY29E</v>
      </c>
      <c r="EJ228" s="455" t="str">
        <f t="shared" si="765"/>
        <v>1H30E</v>
      </c>
      <c r="EK228" s="455" t="str">
        <f t="shared" si="765"/>
        <v>2H30E</v>
      </c>
      <c r="EL228" s="1243" t="str">
        <f t="shared" si="765"/>
        <v>FY30E</v>
      </c>
      <c r="EM228" s="455" t="str">
        <f t="shared" ref="EM228:ER228" si="766">+EM4</f>
        <v>1H31E</v>
      </c>
      <c r="EN228" s="455" t="str">
        <f t="shared" si="766"/>
        <v>2H31E</v>
      </c>
      <c r="EO228" s="1243" t="str">
        <f t="shared" si="766"/>
        <v>FY31E</v>
      </c>
      <c r="EP228" s="455" t="str">
        <f t="shared" si="766"/>
        <v>1H32E</v>
      </c>
      <c r="EQ228" s="455" t="str">
        <f t="shared" si="766"/>
        <v>2H32E</v>
      </c>
      <c r="ER228" s="1243" t="str">
        <f t="shared" si="766"/>
        <v>FY32E</v>
      </c>
      <c r="ES228" s="455" t="str">
        <f t="shared" ref="ES228:EX228" si="767">+ES4</f>
        <v>1H33E</v>
      </c>
      <c r="ET228" s="455" t="str">
        <f t="shared" si="767"/>
        <v>2H33E</v>
      </c>
      <c r="EU228" s="1243" t="str">
        <f t="shared" si="767"/>
        <v>FY33E</v>
      </c>
      <c r="EV228" s="455" t="str">
        <f t="shared" si="767"/>
        <v>1H34E</v>
      </c>
      <c r="EW228" s="455" t="str">
        <f t="shared" si="767"/>
        <v>2H34E</v>
      </c>
      <c r="EX228" s="1243" t="str">
        <f t="shared" si="767"/>
        <v>FY34E</v>
      </c>
      <c r="EY228" s="455" t="str">
        <f t="shared" ref="EY228:FA228" si="768">+EY4</f>
        <v>1H35E</v>
      </c>
      <c r="EZ228" s="455" t="str">
        <f t="shared" si="768"/>
        <v>2H35E</v>
      </c>
      <c r="FA228" s="1243" t="str">
        <f t="shared" si="768"/>
        <v>FY35E</v>
      </c>
      <c r="FE228"/>
      <c r="FF228"/>
      <c r="FG228"/>
      <c r="FH228"/>
      <c r="FI228"/>
      <c r="FJ228"/>
      <c r="FK228" s="35"/>
    </row>
    <row r="229" spans="1:167" s="235" customFormat="1" ht="5.0999999999999996" customHeight="1" thickBot="1">
      <c r="B229" s="401"/>
      <c r="C229" s="593"/>
      <c r="D229" s="594"/>
      <c r="E229" s="595"/>
      <c r="F229" s="595"/>
      <c r="G229" s="594"/>
      <c r="H229" s="595"/>
      <c r="I229" s="595"/>
      <c r="J229" s="594"/>
      <c r="K229" s="595"/>
      <c r="L229" s="595"/>
      <c r="M229" s="594"/>
      <c r="N229" s="595"/>
      <c r="O229" s="595"/>
      <c r="P229" s="594"/>
      <c r="Q229" s="596"/>
      <c r="R229" s="596"/>
      <c r="S229" s="597"/>
      <c r="T229" s="596"/>
      <c r="U229" s="596"/>
      <c r="V229" s="598"/>
      <c r="W229" s="596"/>
      <c r="X229" s="596"/>
      <c r="Y229" s="597"/>
      <c r="Z229" s="596"/>
      <c r="AA229" s="596"/>
      <c r="AB229" s="597"/>
      <c r="AC229" s="596"/>
      <c r="AD229" s="596"/>
      <c r="AE229" s="597"/>
      <c r="AF229" s="596"/>
      <c r="AG229" s="596"/>
      <c r="AH229" s="597"/>
      <c r="AI229" s="596"/>
      <c r="AJ229" s="596"/>
      <c r="AK229" s="597"/>
      <c r="AL229" s="596"/>
      <c r="AM229" s="596"/>
      <c r="AN229" s="598"/>
      <c r="AO229" s="596"/>
      <c r="AP229" s="596"/>
      <c r="AQ229" s="597"/>
      <c r="AR229" s="596"/>
      <c r="AS229" s="596"/>
      <c r="AT229" s="598"/>
      <c r="AU229" s="599"/>
      <c r="AV229" s="599"/>
      <c r="AW229" s="600"/>
      <c r="AX229" s="599"/>
      <c r="AY229" s="599"/>
      <c r="AZ229" s="600"/>
      <c r="BA229" s="599"/>
      <c r="BB229" s="599"/>
      <c r="BC229" s="600"/>
      <c r="BD229" s="599"/>
      <c r="BE229" s="599"/>
      <c r="BF229" s="600"/>
      <c r="BG229" s="599"/>
      <c r="BH229" s="599"/>
      <c r="BI229" s="600"/>
      <c r="BJ229" s="599"/>
      <c r="BK229" s="599"/>
      <c r="BL229" s="600"/>
      <c r="BM229" s="599"/>
      <c r="BN229" s="599"/>
      <c r="BO229" s="600"/>
      <c r="BP229" s="599"/>
      <c r="BQ229" s="599"/>
      <c r="BR229" s="600"/>
      <c r="BS229" s="599"/>
      <c r="BT229" s="599"/>
      <c r="BU229" s="600"/>
      <c r="BV229" s="599"/>
      <c r="BW229" s="599"/>
      <c r="BX229" s="600"/>
      <c r="BY229" s="599"/>
      <c r="BZ229" s="599"/>
      <c r="CA229" s="600"/>
      <c r="CB229" s="599"/>
      <c r="CC229" s="599"/>
      <c r="CD229" s="560"/>
      <c r="CE229" s="560"/>
      <c r="CF229" s="560"/>
      <c r="CG229" s="560"/>
      <c r="CH229" s="560"/>
      <c r="CI229" s="560"/>
      <c r="CJ229" s="560"/>
      <c r="CK229" s="560"/>
      <c r="CL229" s="560"/>
      <c r="CM229" s="560"/>
      <c r="CN229" s="560"/>
      <c r="CO229" s="560"/>
      <c r="CP229" s="560"/>
      <c r="CQ229" s="560"/>
      <c r="CR229" s="560"/>
      <c r="CS229" s="560"/>
      <c r="CT229" s="560"/>
      <c r="CU229" s="560"/>
      <c r="CV229" s="560"/>
      <c r="CW229" s="560"/>
      <c r="CX229" s="560"/>
      <c r="CY229" s="560"/>
      <c r="CZ229" s="560"/>
      <c r="DA229" s="560"/>
      <c r="DB229" s="560"/>
      <c r="DC229" s="560"/>
      <c r="DD229" s="560"/>
      <c r="DE229" s="560"/>
      <c r="DF229" s="560"/>
      <c r="DG229" s="560"/>
      <c r="DH229" s="1273"/>
      <c r="DI229" s="560"/>
      <c r="DJ229" s="560"/>
      <c r="DK229" s="1273"/>
      <c r="DL229" s="560"/>
      <c r="DM229" s="560"/>
      <c r="DN229" s="1273"/>
      <c r="DO229" s="560"/>
      <c r="DP229" s="560"/>
      <c r="DQ229" s="1273"/>
      <c r="DR229" s="560"/>
      <c r="DS229" s="560"/>
      <c r="DT229" s="1273"/>
      <c r="DU229" s="560"/>
      <c r="DV229" s="560"/>
      <c r="DW229" s="1273"/>
      <c r="DX229" s="560"/>
      <c r="DY229" s="560"/>
      <c r="DZ229" s="1273"/>
      <c r="EA229" s="560"/>
      <c r="EB229" s="560"/>
      <c r="EC229" s="1273"/>
      <c r="ED229" s="560"/>
      <c r="EE229" s="560"/>
      <c r="EF229" s="1273"/>
      <c r="EG229" s="560"/>
      <c r="EH229" s="560"/>
      <c r="EI229" s="1273"/>
      <c r="EJ229" s="560"/>
      <c r="EK229" s="560"/>
      <c r="EL229" s="1273"/>
      <c r="EM229" s="560"/>
      <c r="EN229" s="560"/>
      <c r="EO229" s="1273"/>
      <c r="EP229" s="560"/>
      <c r="EQ229" s="560"/>
      <c r="ER229" s="1273"/>
      <c r="ES229" s="560"/>
      <c r="ET229" s="560"/>
      <c r="EU229" s="1273"/>
      <c r="EV229" s="560"/>
      <c r="EW229" s="560"/>
      <c r="EX229" s="1273"/>
      <c r="EY229" s="560"/>
      <c r="EZ229" s="560"/>
      <c r="FA229" s="1273"/>
      <c r="FE229"/>
      <c r="FF229"/>
      <c r="FG229"/>
      <c r="FH229"/>
      <c r="FI229"/>
      <c r="FJ229"/>
      <c r="FK229" s="35"/>
    </row>
    <row r="230" spans="1:167" s="236" customFormat="1" ht="13.35" customHeight="1" thickBot="1">
      <c r="B230" s="485" t="s">
        <v>93</v>
      </c>
      <c r="C230" s="242" t="s">
        <v>496</v>
      </c>
      <c r="D230" s="243"/>
      <c r="E230" s="503"/>
      <c r="F230" s="482">
        <f t="shared" ref="F230:F244" si="769">+G230</f>
        <v>0</v>
      </c>
      <c r="G230" s="504"/>
      <c r="H230" s="505"/>
      <c r="I230" s="482">
        <f t="shared" ref="I230:I244" si="770">+J230</f>
        <v>0</v>
      </c>
      <c r="J230" s="504"/>
      <c r="K230" s="505"/>
      <c r="L230" s="482">
        <f t="shared" ref="L230:L244" si="771">+M230</f>
        <v>0</v>
      </c>
      <c r="M230" s="504"/>
      <c r="N230" s="505"/>
      <c r="O230" s="482">
        <f t="shared" ref="O230:O244" si="772">+P230</f>
        <v>0</v>
      </c>
      <c r="P230" s="504"/>
      <c r="Q230" s="505"/>
      <c r="R230" s="482">
        <f t="shared" ref="R230:R244" si="773">+S230</f>
        <v>0</v>
      </c>
      <c r="S230" s="504"/>
      <c r="T230" s="505"/>
      <c r="U230" s="482">
        <f t="shared" ref="U230:U244" si="774">+V230</f>
        <v>0</v>
      </c>
      <c r="V230" s="504"/>
      <c r="W230" s="505"/>
      <c r="X230" s="482">
        <f t="shared" ref="X230:X244" si="775">+Y230</f>
        <v>0</v>
      </c>
      <c r="Y230" s="504"/>
      <c r="Z230" s="505"/>
      <c r="AA230" s="482">
        <f t="shared" ref="AA230:AA244" si="776">+AB230</f>
        <v>0</v>
      </c>
      <c r="AB230" s="504"/>
      <c r="AC230" s="505"/>
      <c r="AD230" s="482">
        <f t="shared" ref="AD230:AD244" si="777">+AE230</f>
        <v>0</v>
      </c>
      <c r="AE230" s="504"/>
      <c r="AF230" s="505"/>
      <c r="AG230" s="482">
        <f t="shared" ref="AG230:AG244" si="778">+AH230</f>
        <v>0</v>
      </c>
      <c r="AH230" s="504"/>
      <c r="AI230" s="506">
        <v>3.911</v>
      </c>
      <c r="AJ230" s="482">
        <f t="shared" ref="AJ230:AJ244" si="779">+AK230</f>
        <v>2.1960000000000002</v>
      </c>
      <c r="AK230" s="507">
        <v>2.1960000000000002</v>
      </c>
      <c r="AL230" s="506">
        <v>9.6859999999999999</v>
      </c>
      <c r="AM230" s="482">
        <f t="shared" ref="AM230:AM244" si="780">+AN230</f>
        <v>16.079000000000001</v>
      </c>
      <c r="AN230" s="507">
        <v>16.079000000000001</v>
      </c>
      <c r="AO230" s="506">
        <v>11.972</v>
      </c>
      <c r="AP230" s="482">
        <f t="shared" ref="AP230:AP244" si="781">+AQ230</f>
        <v>12.958</v>
      </c>
      <c r="AQ230" s="507">
        <v>12.958</v>
      </c>
      <c r="AR230" s="506">
        <v>12.795</v>
      </c>
      <c r="AS230" s="482">
        <f t="shared" ref="AS230:AS244" si="782">+AT230</f>
        <v>19.227</v>
      </c>
      <c r="AT230" s="507">
        <v>19.227</v>
      </c>
      <c r="AU230" s="506">
        <v>23.047999999999998</v>
      </c>
      <c r="AV230" s="482">
        <f t="shared" ref="AV230:AV244" si="783">+AW230</f>
        <v>33.831000000000003</v>
      </c>
      <c r="AW230" s="507">
        <v>33.831000000000003</v>
      </c>
      <c r="AX230" s="506">
        <v>29.712</v>
      </c>
      <c r="AY230" s="482">
        <f t="shared" ref="AY230:AY244" si="784">+AZ230</f>
        <v>23.201000000000001</v>
      </c>
      <c r="AZ230" s="507">
        <v>23.201000000000001</v>
      </c>
      <c r="BA230" s="506">
        <v>26.359000000000002</v>
      </c>
      <c r="BB230" s="482">
        <f t="shared" ref="BB230:BB244" si="785">+BC230</f>
        <v>31.024999999999999</v>
      </c>
      <c r="BC230" s="507">
        <v>31.024999999999999</v>
      </c>
      <c r="BD230" s="506">
        <v>12.083</v>
      </c>
      <c r="BE230" s="482">
        <f t="shared" ref="BE230:BE244" si="786">+BF230</f>
        <v>10.539</v>
      </c>
      <c r="BF230" s="507">
        <v>10.539</v>
      </c>
      <c r="BG230" s="506">
        <v>31.178000000000001</v>
      </c>
      <c r="BH230" s="482">
        <f t="shared" ref="BH230:BH244" si="787">+BI230</f>
        <v>43.890999999999998</v>
      </c>
      <c r="BI230" s="507">
        <v>43.890999999999998</v>
      </c>
      <c r="BJ230" s="506">
        <v>65.385000000000005</v>
      </c>
      <c r="BK230" s="482">
        <f t="shared" ref="BK230:BK244" si="788">+BL230</f>
        <v>75.945999999999998</v>
      </c>
      <c r="BL230" s="507">
        <v>75.945999999999998</v>
      </c>
      <c r="BM230" s="506">
        <v>71.418999999999997</v>
      </c>
      <c r="BN230" s="482">
        <f t="shared" ref="BN230:BN244" si="789">+BO230</f>
        <v>106.077</v>
      </c>
      <c r="BO230" s="508">
        <v>106.077</v>
      </c>
      <c r="BP230" s="506">
        <v>104.431</v>
      </c>
      <c r="BQ230" s="482">
        <f t="shared" ref="BQ230:BQ244" si="790">+BR230</f>
        <v>87.072999999999993</v>
      </c>
      <c r="BR230" s="508">
        <v>87.072999999999993</v>
      </c>
      <c r="BS230" s="506">
        <v>69.542000000000002</v>
      </c>
      <c r="BT230" s="482">
        <f t="shared" ref="BT230:BT244" si="791">+BU230</f>
        <v>83.382000000000005</v>
      </c>
      <c r="BU230" s="508">
        <v>83.382000000000005</v>
      </c>
      <c r="BV230" s="506">
        <v>62.048000000000002</v>
      </c>
      <c r="BW230" s="482">
        <f t="shared" ref="BW230:BW244" si="792">+BX230</f>
        <v>36.686999999999998</v>
      </c>
      <c r="BX230" s="508">
        <v>36.686999999999998</v>
      </c>
      <c r="BY230" s="506">
        <v>62.86</v>
      </c>
      <c r="BZ230" s="482">
        <f t="shared" ref="BZ230:BZ244" si="793">+CA230</f>
        <v>80.016000000000005</v>
      </c>
      <c r="CA230" s="508">
        <v>80.016000000000005</v>
      </c>
      <c r="CB230" s="506">
        <v>73.655000000000001</v>
      </c>
      <c r="CC230" s="482">
        <f t="shared" ref="CC230:CC244" si="794">+CD230</f>
        <v>42.808</v>
      </c>
      <c r="CD230" s="508">
        <v>42.808</v>
      </c>
      <c r="CE230" s="506">
        <v>63.558</v>
      </c>
      <c r="CF230" s="482">
        <f t="shared" ref="CF230:CF244" si="795">+CG230</f>
        <v>72.423000000000002</v>
      </c>
      <c r="CG230" s="508">
        <v>72.423000000000002</v>
      </c>
      <c r="CH230" s="506">
        <v>74.947999999999993</v>
      </c>
      <c r="CI230" s="482">
        <f t="shared" ref="CI230:CI244" si="796">+CJ230</f>
        <v>68.486000000000004</v>
      </c>
      <c r="CJ230" s="508">
        <v>68.486000000000004</v>
      </c>
      <c r="CK230" s="601">
        <v>69.796000000000006</v>
      </c>
      <c r="CL230" s="482">
        <f t="shared" ref="CL230:CL244" si="797">+CM230</f>
        <v>52.689</v>
      </c>
      <c r="CM230" s="508">
        <v>52.689</v>
      </c>
      <c r="CN230" s="506">
        <v>59.991999999999997</v>
      </c>
      <c r="CO230" s="482">
        <f t="shared" ref="CO230:CO244" si="798">+CP230</f>
        <v>56.127000000000002</v>
      </c>
      <c r="CP230" s="508">
        <v>56.127000000000002</v>
      </c>
      <c r="CQ230" s="506">
        <v>58.871000000000002</v>
      </c>
      <c r="CR230" s="482">
        <f t="shared" ref="CR230:CR244" si="799">+CS230</f>
        <v>72.207999999999998</v>
      </c>
      <c r="CS230" s="508">
        <v>72.207999999999998</v>
      </c>
      <c r="CT230" s="506">
        <v>80.251000000000005</v>
      </c>
      <c r="CU230" s="482">
        <f t="shared" ref="CU230:CU244" si="800">+CV230</f>
        <v>75.417000000000002</v>
      </c>
      <c r="CV230" s="508">
        <v>75.417000000000002</v>
      </c>
      <c r="CW230" s="506">
        <v>79.408000000000001</v>
      </c>
      <c r="CX230" s="482">
        <f t="shared" ref="CX230:CX244" si="801">+CY230</f>
        <v>89.54</v>
      </c>
      <c r="CY230" s="508">
        <v>89.54</v>
      </c>
      <c r="CZ230" s="505">
        <v>106.9</v>
      </c>
      <c r="DA230" s="482">
        <f t="shared" ref="DA230:DA244" si="802">+DB230</f>
        <v>61.5</v>
      </c>
      <c r="DB230" s="503">
        <v>61.5</v>
      </c>
      <c r="DC230" s="505">
        <v>92.3</v>
      </c>
      <c r="DD230" s="482">
        <f t="shared" ref="DD230:DD244" si="803">+DE230</f>
        <v>78.599999999999994</v>
      </c>
      <c r="DE230" s="508">
        <v>78.599999999999994</v>
      </c>
      <c r="DF230" s="506">
        <v>89.4</v>
      </c>
      <c r="DG230" s="482">
        <f t="shared" ref="DG230:DG244" si="804">+DH230</f>
        <v>565</v>
      </c>
      <c r="DH230" s="1370">
        <f>565</f>
        <v>565</v>
      </c>
      <c r="DI230" s="1373">
        <v>587.70000000000005</v>
      </c>
      <c r="DJ230" s="482">
        <f t="shared" ref="DJ230:DJ244" si="805">+DK230</f>
        <v>609.6</v>
      </c>
      <c r="DK230" s="1374">
        <v>609.6</v>
      </c>
      <c r="DL230" s="1373">
        <v>553.1</v>
      </c>
      <c r="DM230" s="482">
        <f t="shared" ref="DM230:DM244" si="806">+DN230</f>
        <v>629.29999999999995</v>
      </c>
      <c r="DN230" s="1374">
        <v>629.29999999999995</v>
      </c>
      <c r="DO230" s="1373">
        <f>521.7+25</f>
        <v>546.70000000000005</v>
      </c>
      <c r="DP230" s="482">
        <f t="shared" ref="DP230:DP244" si="807">+DQ230</f>
        <v>555.5</v>
      </c>
      <c r="DQ230" s="1374">
        <v>555.5</v>
      </c>
      <c r="DR230" s="1373">
        <v>485.2</v>
      </c>
      <c r="DS230" s="482">
        <f t="shared" ref="DS230:DS244" si="808">+DT230</f>
        <v>513.6</v>
      </c>
      <c r="DT230" s="1374">
        <v>513.6</v>
      </c>
      <c r="DU230" s="1373">
        <v>383.1</v>
      </c>
      <c r="DV230" s="482">
        <f t="shared" ref="DV230:DV244" si="809">+DW230</f>
        <v>275.7</v>
      </c>
      <c r="DW230" s="1374">
        <v>275.7</v>
      </c>
      <c r="DX230" s="1373">
        <v>187.1</v>
      </c>
      <c r="DY230" s="482">
        <f t="shared" ref="DY230:DY244" si="810">+DZ230</f>
        <v>100.23874779745012</v>
      </c>
      <c r="DZ230" s="1244">
        <f>IF(DZ5="A","",+DX230+DY216+DY581)</f>
        <v>100.23874779745012</v>
      </c>
      <c r="EA230" s="482">
        <f>IF(EA5="A","",+DZ230+EA216+EA581)</f>
        <v>128.91397208177304</v>
      </c>
      <c r="EB230" s="482">
        <f t="shared" ref="EB230:EB244" si="811">+EC230</f>
        <v>131.63220177608389</v>
      </c>
      <c r="EC230" s="1244">
        <f>IF(EC5="A","",+DZ230+EC216+EC581)</f>
        <v>131.63220177608389</v>
      </c>
      <c r="ED230" s="482">
        <f>IF(ED5="A","",+EC230+ED216+ED581)</f>
        <v>125.84257601085091</v>
      </c>
      <c r="EE230" s="482">
        <f t="shared" ref="EE230:EE244" si="812">+EF230</f>
        <v>130.47041149723071</v>
      </c>
      <c r="EF230" s="1244">
        <f>IF(EF5="A","",+EC230+EF216+EF581)</f>
        <v>130.47041149723071</v>
      </c>
      <c r="EG230" s="482">
        <f>IF(EG5="A","",+EF230+EG216+EG581)</f>
        <v>127.60570320041623</v>
      </c>
      <c r="EH230" s="482">
        <f t="shared" ref="EH230:EH244" si="813">+EI230</f>
        <v>139.37201013236</v>
      </c>
      <c r="EI230" s="1244">
        <f>IF(EI5="A","",+EF230+EI216+EI581)</f>
        <v>139.37201013236</v>
      </c>
      <c r="EJ230" s="482">
        <f>IF(EJ5="A","",+EI230+EJ216+EJ581)</f>
        <v>192.29259197065275</v>
      </c>
      <c r="EK230" s="482">
        <f t="shared" ref="EK230:EK244" si="814">+EL230</f>
        <v>262.04585962677203</v>
      </c>
      <c r="EL230" s="1244">
        <f>IF(EL5="A","",+EI230+EL216+EL581)</f>
        <v>262.04585962677203</v>
      </c>
      <c r="EM230" s="482">
        <f>IF(EM5="A","",+EL230+EM216+EM581)</f>
        <v>322.92581149900855</v>
      </c>
      <c r="EN230" s="482">
        <f t="shared" ref="EN230:EN244" si="815">+EO230</f>
        <v>401.05388521561446</v>
      </c>
      <c r="EO230" s="1244">
        <f>IF(EO5="A","",+EL230+EO216+EO581)</f>
        <v>401.05388521561446</v>
      </c>
      <c r="EP230" s="482">
        <f>IF(EP5="A","",+EO230+EP216+EP581)</f>
        <v>470.97278923513545</v>
      </c>
      <c r="EQ230" s="482">
        <f t="shared" ref="EQ230:EQ244" si="816">+ER230</f>
        <v>558.03536382090488</v>
      </c>
      <c r="ER230" s="1244">
        <f>IF(ER5="A","",+EO230+ER216+ER581)</f>
        <v>558.03536382090488</v>
      </c>
      <c r="ES230" s="482">
        <f>IF(ES5="A","",+ER230+ES216+ES581)</f>
        <v>638.75927986390798</v>
      </c>
      <c r="ET230" s="482">
        <f t="shared" ref="ET230:ET244" si="817">+EU230</f>
        <v>735.67036629922052</v>
      </c>
      <c r="EU230" s="1244">
        <f>IF(EU5="A","",+ER230+EU216+EU581)</f>
        <v>735.67036629922052</v>
      </c>
      <c r="EV230" s="482">
        <f>IF(EV5="A","",+EU230+EV216+EV581)</f>
        <v>828.51584009266276</v>
      </c>
      <c r="EW230" s="482">
        <f t="shared" ref="EW230:EW244" si="818">+EX230</f>
        <v>936.27990330300736</v>
      </c>
      <c r="EX230" s="1244">
        <f>IF(EX5="A","",+EU230+EX216+EX581)</f>
        <v>936.27990330300736</v>
      </c>
      <c r="EY230" s="482">
        <f>IF(EY5="A","",+EX230+EY216+EY581)</f>
        <v>1042.7122108301246</v>
      </c>
      <c r="EZ230" s="482">
        <f t="shared" ref="EZ230:EZ244" si="819">+FA230</f>
        <v>1162.4332956130875</v>
      </c>
      <c r="FA230" s="1244">
        <f>IF(FA5="A","",+EX230+FA216+FA581)</f>
        <v>1162.4332956130875</v>
      </c>
      <c r="FB230" s="1571">
        <f>+DV230-DU230</f>
        <v>-107.40000000000003</v>
      </c>
      <c r="FE230"/>
      <c r="FF230"/>
      <c r="FG230"/>
      <c r="FH230"/>
      <c r="FI230"/>
      <c r="FJ230"/>
      <c r="FK230" s="35"/>
    </row>
    <row r="231" spans="1:167" s="236" customFormat="1" ht="13.35" customHeight="1" thickBot="1">
      <c r="B231" s="242" t="s">
        <v>94</v>
      </c>
      <c r="C231" s="242" t="s">
        <v>496</v>
      </c>
      <c r="D231" s="243"/>
      <c r="E231" s="482">
        <f>+SUM(E232:E234)</f>
        <v>0</v>
      </c>
      <c r="F231" s="482">
        <f t="shared" si="769"/>
        <v>0</v>
      </c>
      <c r="G231" s="482">
        <f>+SUM(G232:G234)</f>
        <v>0</v>
      </c>
      <c r="H231" s="482">
        <f>+SUM(H232:H234)</f>
        <v>0</v>
      </c>
      <c r="I231" s="482">
        <f t="shared" si="770"/>
        <v>0</v>
      </c>
      <c r="J231" s="482">
        <f>+SUM(J232:J234)</f>
        <v>0</v>
      </c>
      <c r="K231" s="482">
        <f>+SUM(K232:K234)</f>
        <v>0</v>
      </c>
      <c r="L231" s="482">
        <f t="shared" si="771"/>
        <v>0</v>
      </c>
      <c r="M231" s="482">
        <f>+SUM(M232:M234)</f>
        <v>0</v>
      </c>
      <c r="N231" s="482">
        <f>+SUM(N232:N234)</f>
        <v>0</v>
      </c>
      <c r="O231" s="482">
        <f t="shared" si="772"/>
        <v>0</v>
      </c>
      <c r="P231" s="482">
        <f>+SUM(P232:P234)</f>
        <v>0</v>
      </c>
      <c r="Q231" s="482">
        <f>+SUM(Q232:Q234)</f>
        <v>0</v>
      </c>
      <c r="R231" s="482">
        <f t="shared" si="773"/>
        <v>0</v>
      </c>
      <c r="S231" s="482">
        <f>+SUM(S232:S234)</f>
        <v>0</v>
      </c>
      <c r="T231" s="482">
        <f>+SUM(T232:T234)</f>
        <v>0</v>
      </c>
      <c r="U231" s="482">
        <f t="shared" si="774"/>
        <v>0</v>
      </c>
      <c r="V231" s="482">
        <f>+SUM(V232:V234)</f>
        <v>0</v>
      </c>
      <c r="W231" s="482">
        <f>+SUM(W232:W234)</f>
        <v>0</v>
      </c>
      <c r="X231" s="482">
        <f t="shared" si="775"/>
        <v>0</v>
      </c>
      <c r="Y231" s="482">
        <f>+SUM(Y232:Y234)</f>
        <v>0</v>
      </c>
      <c r="Z231" s="482">
        <f>+SUM(Z232:Z234)</f>
        <v>0</v>
      </c>
      <c r="AA231" s="482">
        <f t="shared" si="776"/>
        <v>0</v>
      </c>
      <c r="AB231" s="482">
        <f>+SUM(AB232:AB234)</f>
        <v>0</v>
      </c>
      <c r="AC231" s="482">
        <f>+SUM(AC232:AC234)</f>
        <v>0</v>
      </c>
      <c r="AD231" s="482">
        <f t="shared" si="777"/>
        <v>0</v>
      </c>
      <c r="AE231" s="482">
        <f>+SUM(AE232:AE234)</f>
        <v>0</v>
      </c>
      <c r="AF231" s="482">
        <f>+SUM(AF232:AF234)</f>
        <v>0</v>
      </c>
      <c r="AG231" s="482">
        <f t="shared" si="778"/>
        <v>0</v>
      </c>
      <c r="AH231" s="482">
        <f>+SUM(AH232:AH234)</f>
        <v>0</v>
      </c>
      <c r="AI231" s="482">
        <f>+SUM(AI232:AI234)</f>
        <v>14.250999999999999</v>
      </c>
      <c r="AJ231" s="482">
        <f t="shared" si="779"/>
        <v>14.057</v>
      </c>
      <c r="AK231" s="482">
        <f>+SUM(AK232:AK234)</f>
        <v>14.057</v>
      </c>
      <c r="AL231" s="482">
        <f>+SUM(AL232:AL234)</f>
        <v>12.795999999999999</v>
      </c>
      <c r="AM231" s="482">
        <f t="shared" si="780"/>
        <v>11.786</v>
      </c>
      <c r="AN231" s="482">
        <f>+SUM(AN232:AN234)</f>
        <v>11.786</v>
      </c>
      <c r="AO231" s="482">
        <f>+SUM(AO232:AO234)</f>
        <v>10.887</v>
      </c>
      <c r="AP231" s="482">
        <f t="shared" si="781"/>
        <v>15.481999999999999</v>
      </c>
      <c r="AQ231" s="482">
        <f>+SUM(AQ232:AQ234)</f>
        <v>15.481999999999999</v>
      </c>
      <c r="AR231" s="482">
        <f>+SUM(AR232:AR234)</f>
        <v>19.084</v>
      </c>
      <c r="AS231" s="482">
        <f t="shared" si="782"/>
        <v>18.248000000000001</v>
      </c>
      <c r="AT231" s="482">
        <f>+SUM(AT232:AT234)</f>
        <v>18.248000000000001</v>
      </c>
      <c r="AU231" s="482">
        <f>+SUM(AU232:AU234)</f>
        <v>21.007000000000001</v>
      </c>
      <c r="AV231" s="482">
        <f t="shared" si="783"/>
        <v>17.013000000000002</v>
      </c>
      <c r="AW231" s="482">
        <f>+SUM(AW232:AW234)</f>
        <v>17.013000000000002</v>
      </c>
      <c r="AX231" s="482">
        <f>+SUM(AX232:AX234)</f>
        <v>21.832000000000001</v>
      </c>
      <c r="AY231" s="482">
        <f t="shared" si="784"/>
        <v>31.789000000000001</v>
      </c>
      <c r="AZ231" s="482">
        <f>+SUM(AZ232:AZ234)</f>
        <v>31.789000000000001</v>
      </c>
      <c r="BA231" s="482">
        <f>+SUM(BA232:BA234)</f>
        <v>41.575000000000003</v>
      </c>
      <c r="BB231" s="482">
        <f t="shared" si="785"/>
        <v>42.511000000000003</v>
      </c>
      <c r="BC231" s="482">
        <f>+SUM(BC232:BC234)</f>
        <v>42.511000000000003</v>
      </c>
      <c r="BD231" s="482">
        <f>+SUM(BD232:BD234)</f>
        <v>52.823</v>
      </c>
      <c r="BE231" s="482">
        <f t="shared" si="786"/>
        <v>69.284000000000006</v>
      </c>
      <c r="BF231" s="482">
        <f>+SUM(BF232:BF234)</f>
        <v>69.284000000000006</v>
      </c>
      <c r="BG231" s="482">
        <f>+SUM(BG232:BG234)</f>
        <v>61.485999999999997</v>
      </c>
      <c r="BH231" s="482">
        <f t="shared" si="787"/>
        <v>78.578000000000003</v>
      </c>
      <c r="BI231" s="482">
        <f>+SUM(BI232:BI234)</f>
        <v>78.578000000000003</v>
      </c>
      <c r="BJ231" s="482">
        <f>+SUM(BJ232:BJ234)</f>
        <v>53.914000000000001</v>
      </c>
      <c r="BK231" s="482">
        <f t="shared" si="788"/>
        <v>66.656000000000006</v>
      </c>
      <c r="BL231" s="482">
        <f>+SUM(BL232:BL234)</f>
        <v>66.656000000000006</v>
      </c>
      <c r="BM231" s="482">
        <f>+SUM(BM232:BM234)</f>
        <v>74.924999999999997</v>
      </c>
      <c r="BN231" s="482">
        <f t="shared" si="789"/>
        <v>91.373000000000005</v>
      </c>
      <c r="BO231" s="482">
        <f>+SUM(BO232:BO234)</f>
        <v>91.373000000000005</v>
      </c>
      <c r="BP231" s="482">
        <f>+SUM(BP232:BP234)</f>
        <v>104.00999999999999</v>
      </c>
      <c r="BQ231" s="482">
        <f t="shared" si="790"/>
        <v>109.38800000000001</v>
      </c>
      <c r="BR231" s="482">
        <f>+SUM(BR232:BR234)</f>
        <v>109.38800000000001</v>
      </c>
      <c r="BS231" s="482">
        <f>+SUM(BS232:BS234)</f>
        <v>112.235</v>
      </c>
      <c r="BT231" s="482">
        <f t="shared" si="791"/>
        <v>143.07599999999999</v>
      </c>
      <c r="BU231" s="482">
        <f>+SUM(BU232:BU234)</f>
        <v>143.07599999999999</v>
      </c>
      <c r="BV231" s="482">
        <f>+SUM(BV232:BV234)</f>
        <v>158.07</v>
      </c>
      <c r="BW231" s="482">
        <f t="shared" si="792"/>
        <v>173.26599999999999</v>
      </c>
      <c r="BX231" s="482">
        <f>+SUM(BX232:BX234)</f>
        <v>173.26599999999999</v>
      </c>
      <c r="BY231" s="482">
        <f>+SUM(BY232:BY234)</f>
        <v>209.57300000000001</v>
      </c>
      <c r="BZ231" s="482">
        <f t="shared" si="793"/>
        <v>173.256</v>
      </c>
      <c r="CA231" s="482">
        <f>+SUM(CA232:CA234)</f>
        <v>173.256</v>
      </c>
      <c r="CB231" s="482">
        <f>+SUM(CB232:CB234)</f>
        <v>200.51400000000001</v>
      </c>
      <c r="CC231" s="482">
        <f t="shared" si="794"/>
        <v>210.69</v>
      </c>
      <c r="CD231" s="482">
        <f>+SUM(CD232:CD234)</f>
        <v>210.69</v>
      </c>
      <c r="CE231" s="482">
        <f>+SUM(CE232:CE234)</f>
        <v>246.08099999999999</v>
      </c>
      <c r="CF231" s="482">
        <f t="shared" si="795"/>
        <v>238.27600000000001</v>
      </c>
      <c r="CG231" s="482">
        <f>+SUM(CG232:CG234)</f>
        <v>238.27600000000001</v>
      </c>
      <c r="CH231" s="482">
        <f>+SUM(CH232:CH234)</f>
        <v>190.083</v>
      </c>
      <c r="CI231" s="482">
        <f t="shared" si="796"/>
        <v>189.08500000000001</v>
      </c>
      <c r="CJ231" s="482">
        <f>+SUM(CJ232:CJ234)</f>
        <v>189.08500000000001</v>
      </c>
      <c r="CK231" s="482">
        <f>+SUM(CK232:CK234)</f>
        <v>200.047</v>
      </c>
      <c r="CL231" s="482">
        <f t="shared" si="797"/>
        <v>203.74799999999999</v>
      </c>
      <c r="CM231" s="482">
        <f>+SUM(CM232:CM234)</f>
        <v>203.74799999999999</v>
      </c>
      <c r="CN231" s="482">
        <f>+SUM(CN232:CN234)</f>
        <v>200.733</v>
      </c>
      <c r="CO231" s="482">
        <f t="shared" si="798"/>
        <v>214.953</v>
      </c>
      <c r="CP231" s="482">
        <f>+SUM(CP232:CP234)</f>
        <v>214.953</v>
      </c>
      <c r="CQ231" s="482">
        <f>+SUM(CQ232:CQ234)</f>
        <v>227.32900000000001</v>
      </c>
      <c r="CR231" s="482">
        <f t="shared" si="799"/>
        <v>249.744</v>
      </c>
      <c r="CS231" s="482">
        <f>+SUM(CS232:CS234)</f>
        <v>249.744</v>
      </c>
      <c r="CT231" s="482">
        <f>+SUM(CT232:CT234)</f>
        <v>271.733</v>
      </c>
      <c r="CU231" s="482">
        <f t="shared" si="800"/>
        <v>281.92500000000001</v>
      </c>
      <c r="CV231" s="482">
        <f>+SUM(CV232:CV234)</f>
        <v>281.92500000000001</v>
      </c>
      <c r="CW231" s="482">
        <f>+SUM(CW232:CW234)</f>
        <v>297.89800000000002</v>
      </c>
      <c r="CX231" s="482">
        <f t="shared" si="801"/>
        <v>292.13900000000001</v>
      </c>
      <c r="CY231" s="482">
        <f>+SUM(CY232:CY234)</f>
        <v>292.13900000000001</v>
      </c>
      <c r="CZ231" s="482">
        <f>+SUM(CZ232:CZ234)</f>
        <v>288.7</v>
      </c>
      <c r="DA231" s="482">
        <f t="shared" si="802"/>
        <v>316.7</v>
      </c>
      <c r="DB231" s="482">
        <f>+SUM(DB232:DB234)</f>
        <v>316.7</v>
      </c>
      <c r="DC231" s="482">
        <f>+SUM(DC232:DC234)</f>
        <v>293.8</v>
      </c>
      <c r="DD231" s="482">
        <f t="shared" si="803"/>
        <v>319.7</v>
      </c>
      <c r="DE231" s="482">
        <f>+SUM(DE232:DE234)</f>
        <v>319.7</v>
      </c>
      <c r="DF231" s="482">
        <f>+SUM(DF232:DF234)</f>
        <v>317</v>
      </c>
      <c r="DG231" s="482">
        <f t="shared" si="804"/>
        <v>235.5</v>
      </c>
      <c r="DH231" s="1244">
        <f>+SUM(DH232:DH234)</f>
        <v>235.5</v>
      </c>
      <c r="DI231" s="482">
        <f>+SUM(DI232:DI234)</f>
        <v>242.6</v>
      </c>
      <c r="DJ231" s="482">
        <f t="shared" si="805"/>
        <v>296.3</v>
      </c>
      <c r="DK231" s="1244">
        <f>+SUM(DK232:DK234)</f>
        <v>296.3</v>
      </c>
      <c r="DL231" s="482">
        <f>+SUM(DL232:DL234)</f>
        <v>317.7</v>
      </c>
      <c r="DM231" s="482">
        <f t="shared" si="806"/>
        <v>348.5</v>
      </c>
      <c r="DN231" s="1244">
        <f>+SUM(DN232:DN234)</f>
        <v>348.5</v>
      </c>
      <c r="DO231" s="482">
        <f>+SUM(DO232:DO234)</f>
        <v>390.9</v>
      </c>
      <c r="DP231" s="482">
        <f t="shared" si="807"/>
        <v>437.5</v>
      </c>
      <c r="DQ231" s="1244">
        <f>+SUM(DQ232:DQ234)</f>
        <v>437.5</v>
      </c>
      <c r="DR231" s="482">
        <f>+SUM(DR232:DR234)</f>
        <v>445.8</v>
      </c>
      <c r="DS231" s="482">
        <f t="shared" si="808"/>
        <v>490.7</v>
      </c>
      <c r="DT231" s="1244">
        <f>+SUM(DT232:DT234)</f>
        <v>490.7</v>
      </c>
      <c r="DU231" s="482">
        <f>+SUM(DU232:DU234)</f>
        <v>501.6</v>
      </c>
      <c r="DV231" s="482">
        <f t="shared" si="809"/>
        <v>585.9</v>
      </c>
      <c r="DW231" s="1244">
        <f>+SUM(DW232:DW234)</f>
        <v>585.9</v>
      </c>
      <c r="DX231" s="482">
        <f>+SUM(DX232:DX234)</f>
        <v>549.70000000000005</v>
      </c>
      <c r="DY231" s="482">
        <f t="shared" si="810"/>
        <v>590.94867202945613</v>
      </c>
      <c r="DZ231" s="1244">
        <f>+SUM(DZ232:DZ234)</f>
        <v>590.94867202945613</v>
      </c>
      <c r="EA231" s="482">
        <f>+SUM(EA232:EA234)</f>
        <v>612.50658013733596</v>
      </c>
      <c r="EB231" s="482">
        <f t="shared" si="811"/>
        <v>621.9420629034538</v>
      </c>
      <c r="EC231" s="1244">
        <f>+SUM(EC232:EC234)</f>
        <v>621.9420629034538</v>
      </c>
      <c r="ED231" s="482">
        <f>+SUM(ED232:ED234)</f>
        <v>648.7785104923189</v>
      </c>
      <c r="EE231" s="482">
        <f t="shared" si="812"/>
        <v>658.8127858657391</v>
      </c>
      <c r="EF231" s="1244">
        <f>+SUM(EF232:EF234)</f>
        <v>658.8127858657391</v>
      </c>
      <c r="EG231" s="482">
        <f>+SUM(EG232:EG234)</f>
        <v>690.72279558926402</v>
      </c>
      <c r="EH231" s="482">
        <f t="shared" si="813"/>
        <v>701.40579853333804</v>
      </c>
      <c r="EI231" s="1244">
        <f>+SUM(EI232:EI234)</f>
        <v>701.40579853333804</v>
      </c>
      <c r="EJ231" s="482">
        <f>+SUM(EJ232:EJ234)</f>
        <v>734.96194606867175</v>
      </c>
      <c r="EK231" s="482">
        <f t="shared" si="814"/>
        <v>746.32916991559227</v>
      </c>
      <c r="EL231" s="1244">
        <f>+SUM(EL232:EL234)</f>
        <v>746.32916991559227</v>
      </c>
      <c r="EM231" s="482">
        <f>+SUM(EM232:EM234)</f>
        <v>781.56928899009972</v>
      </c>
      <c r="EN231" s="482">
        <f t="shared" si="815"/>
        <v>793.65736117853237</v>
      </c>
      <c r="EO231" s="1244">
        <f>+SUM(EO232:EO234)</f>
        <v>793.65736117853237</v>
      </c>
      <c r="EP231" s="482">
        <f>+SUM(EP232:EP234)</f>
        <v>830.61276187422845</v>
      </c>
      <c r="EQ231" s="482">
        <f t="shared" si="816"/>
        <v>843.45936059248538</v>
      </c>
      <c r="ER231" s="1244">
        <f>+SUM(ER232:ER234)</f>
        <v>843.45936059248538</v>
      </c>
      <c r="ES231" s="482">
        <f>+SUM(ES232:ES234)</f>
        <v>882.15334863668079</v>
      </c>
      <c r="ET231" s="482">
        <f t="shared" si="817"/>
        <v>895.79709527540376</v>
      </c>
      <c r="EU231" s="1244">
        <f>+SUM(EU232:EU234)</f>
        <v>895.79709527540376</v>
      </c>
      <c r="EV231" s="482">
        <f>+SUM(EV232:EV234)</f>
        <v>936.24327764519307</v>
      </c>
      <c r="EW231" s="482">
        <f t="shared" si="818"/>
        <v>950.72360138044826</v>
      </c>
      <c r="EX231" s="1244">
        <f>+SUM(EX232:EX234)</f>
        <v>950.72360138044826</v>
      </c>
      <c r="EY231" s="482">
        <f>+SUM(EY232:EY234)</f>
        <v>992.92395175128036</v>
      </c>
      <c r="EZ231" s="482">
        <f t="shared" si="819"/>
        <v>1008.2809221126701</v>
      </c>
      <c r="FA231" s="1244">
        <f>+SUM(FA232:FA234)</f>
        <v>1008.2809221126701</v>
      </c>
      <c r="FB231" s="1571"/>
      <c r="FE231"/>
      <c r="FF231"/>
      <c r="FG231"/>
      <c r="FH231"/>
      <c r="FI231"/>
      <c r="FJ231"/>
      <c r="FK231" s="35"/>
    </row>
    <row r="232" spans="1:167" s="236" customFormat="1" ht="13.35" customHeight="1" outlineLevel="1">
      <c r="B232" s="242" t="s">
        <v>148</v>
      </c>
      <c r="C232" s="242" t="s">
        <v>496</v>
      </c>
      <c r="D232" s="243"/>
      <c r="E232" s="511"/>
      <c r="F232" s="510">
        <f t="shared" si="769"/>
        <v>0</v>
      </c>
      <c r="G232" s="512"/>
      <c r="H232" s="513"/>
      <c r="I232" s="510">
        <f t="shared" si="770"/>
        <v>0</v>
      </c>
      <c r="J232" s="512"/>
      <c r="K232" s="513"/>
      <c r="L232" s="510">
        <f t="shared" si="771"/>
        <v>0</v>
      </c>
      <c r="M232" s="512"/>
      <c r="N232" s="513"/>
      <c r="O232" s="510">
        <f t="shared" si="772"/>
        <v>0</v>
      </c>
      <c r="P232" s="512"/>
      <c r="Q232" s="513"/>
      <c r="R232" s="510">
        <f t="shared" si="773"/>
        <v>0</v>
      </c>
      <c r="S232" s="512"/>
      <c r="T232" s="513"/>
      <c r="U232" s="510">
        <f t="shared" si="774"/>
        <v>0</v>
      </c>
      <c r="V232" s="512"/>
      <c r="W232" s="513"/>
      <c r="X232" s="510">
        <f t="shared" si="775"/>
        <v>0</v>
      </c>
      <c r="Y232" s="512"/>
      <c r="Z232" s="513"/>
      <c r="AA232" s="510">
        <f t="shared" si="776"/>
        <v>0</v>
      </c>
      <c r="AB232" s="512"/>
      <c r="AC232" s="513"/>
      <c r="AD232" s="510">
        <f t="shared" si="777"/>
        <v>0</v>
      </c>
      <c r="AE232" s="512"/>
      <c r="AF232" s="513"/>
      <c r="AG232" s="510">
        <f t="shared" si="778"/>
        <v>0</v>
      </c>
      <c r="AH232" s="512"/>
      <c r="AI232" s="514">
        <v>14.250999999999999</v>
      </c>
      <c r="AJ232" s="510">
        <f t="shared" si="779"/>
        <v>14.057</v>
      </c>
      <c r="AK232" s="515">
        <v>14.057</v>
      </c>
      <c r="AL232" s="514">
        <v>12.795999999999999</v>
      </c>
      <c r="AM232" s="510">
        <f t="shared" si="780"/>
        <v>11.786</v>
      </c>
      <c r="AN232" s="515">
        <v>11.786</v>
      </c>
      <c r="AO232" s="514">
        <v>10.887</v>
      </c>
      <c r="AP232" s="510">
        <f t="shared" si="781"/>
        <v>15.481999999999999</v>
      </c>
      <c r="AQ232" s="515">
        <v>15.481999999999999</v>
      </c>
      <c r="AR232" s="514">
        <v>19.084</v>
      </c>
      <c r="AS232" s="510">
        <f t="shared" si="782"/>
        <v>18.248000000000001</v>
      </c>
      <c r="AT232" s="515">
        <v>18.248000000000001</v>
      </c>
      <c r="AU232" s="514">
        <v>21.007000000000001</v>
      </c>
      <c r="AV232" s="510">
        <f t="shared" si="783"/>
        <v>17.013000000000002</v>
      </c>
      <c r="AW232" s="515">
        <v>17.013000000000002</v>
      </c>
      <c r="AX232" s="514">
        <v>21.832000000000001</v>
      </c>
      <c r="AY232" s="510">
        <f t="shared" si="784"/>
        <v>31.789000000000001</v>
      </c>
      <c r="AZ232" s="515">
        <v>31.789000000000001</v>
      </c>
      <c r="BA232" s="514">
        <v>41.575000000000003</v>
      </c>
      <c r="BB232" s="510">
        <f t="shared" si="785"/>
        <v>42.511000000000003</v>
      </c>
      <c r="BC232" s="515">
        <v>42.511000000000003</v>
      </c>
      <c r="BD232" s="514">
        <v>52.823</v>
      </c>
      <c r="BE232" s="510">
        <f t="shared" si="786"/>
        <v>69.284000000000006</v>
      </c>
      <c r="BF232" s="515">
        <v>69.284000000000006</v>
      </c>
      <c r="BG232" s="514">
        <v>61.485999999999997</v>
      </c>
      <c r="BH232" s="510">
        <f t="shared" si="787"/>
        <v>78.578000000000003</v>
      </c>
      <c r="BI232" s="515">
        <v>78.578000000000003</v>
      </c>
      <c r="BJ232" s="514">
        <v>53.914000000000001</v>
      </c>
      <c r="BK232" s="510">
        <f t="shared" si="788"/>
        <v>66.656000000000006</v>
      </c>
      <c r="BL232" s="515">
        <v>66.656000000000006</v>
      </c>
      <c r="BM232" s="513">
        <f>55.538+19.387</f>
        <v>74.924999999999997</v>
      </c>
      <c r="BN232" s="510">
        <f t="shared" si="789"/>
        <v>91.373000000000005</v>
      </c>
      <c r="BO232" s="548">
        <v>91.373000000000005</v>
      </c>
      <c r="BP232" s="513">
        <f>94.579+9.431</f>
        <v>104.00999999999999</v>
      </c>
      <c r="BQ232" s="510">
        <f t="shared" si="790"/>
        <v>109.38800000000001</v>
      </c>
      <c r="BR232" s="548">
        <v>109.38800000000001</v>
      </c>
      <c r="BS232" s="514">
        <v>112.235</v>
      </c>
      <c r="BT232" s="510">
        <f t="shared" si="791"/>
        <v>143.07599999999999</v>
      </c>
      <c r="BU232" s="548">
        <v>143.07599999999999</v>
      </c>
      <c r="BV232" s="514">
        <v>158.07</v>
      </c>
      <c r="BW232" s="510">
        <f t="shared" si="792"/>
        <v>173.26599999999999</v>
      </c>
      <c r="BX232" s="548">
        <v>173.26599999999999</v>
      </c>
      <c r="BY232" s="514">
        <v>209.57300000000001</v>
      </c>
      <c r="BZ232" s="510">
        <f t="shared" si="793"/>
        <v>173.256</v>
      </c>
      <c r="CA232" s="548">
        <v>173.256</v>
      </c>
      <c r="CB232" s="514">
        <v>200.51400000000001</v>
      </c>
      <c r="CC232" s="510">
        <f t="shared" si="794"/>
        <v>210.69</v>
      </c>
      <c r="CD232" s="548">
        <v>210.69</v>
      </c>
      <c r="CE232" s="514">
        <v>246.08099999999999</v>
      </c>
      <c r="CF232" s="510">
        <f t="shared" si="795"/>
        <v>238.27600000000001</v>
      </c>
      <c r="CG232" s="548">
        <v>238.27600000000001</v>
      </c>
      <c r="CH232" s="514">
        <v>190.083</v>
      </c>
      <c r="CI232" s="510">
        <f t="shared" si="796"/>
        <v>189.08500000000001</v>
      </c>
      <c r="CJ232" s="548">
        <v>189.08500000000001</v>
      </c>
      <c r="CK232" s="514">
        <v>200.047</v>
      </c>
      <c r="CL232" s="510">
        <f t="shared" si="797"/>
        <v>203.74799999999999</v>
      </c>
      <c r="CM232" s="548">
        <v>203.74799999999999</v>
      </c>
      <c r="CN232" s="514">
        <v>200.733</v>
      </c>
      <c r="CO232" s="510">
        <f t="shared" si="798"/>
        <v>214.953</v>
      </c>
      <c r="CP232" s="548">
        <v>214.953</v>
      </c>
      <c r="CQ232" s="514">
        <v>227.32900000000001</v>
      </c>
      <c r="CR232" s="510">
        <f t="shared" si="799"/>
        <v>249.744</v>
      </c>
      <c r="CS232" s="548">
        <v>249.744</v>
      </c>
      <c r="CT232" s="514">
        <v>271.733</v>
      </c>
      <c r="CU232" s="510">
        <f t="shared" si="800"/>
        <v>281.92500000000001</v>
      </c>
      <c r="CV232" s="548">
        <v>281.92500000000001</v>
      </c>
      <c r="CW232" s="514">
        <v>297.89800000000002</v>
      </c>
      <c r="CX232" s="510">
        <f t="shared" si="801"/>
        <v>292.13900000000001</v>
      </c>
      <c r="CY232" s="548">
        <v>292.13900000000001</v>
      </c>
      <c r="CZ232" s="513">
        <v>288.7</v>
      </c>
      <c r="DA232" s="510">
        <f t="shared" si="802"/>
        <v>316.7</v>
      </c>
      <c r="DB232" s="511">
        <v>316.7</v>
      </c>
      <c r="DC232" s="513">
        <v>293.8</v>
      </c>
      <c r="DD232" s="510">
        <f t="shared" si="803"/>
        <v>319.7</v>
      </c>
      <c r="DE232" s="548">
        <v>319.7</v>
      </c>
      <c r="DF232" s="514">
        <v>317</v>
      </c>
      <c r="DG232" s="510">
        <f t="shared" si="804"/>
        <v>235.5</v>
      </c>
      <c r="DH232" s="1371">
        <f>235.5</f>
        <v>235.5</v>
      </c>
      <c r="DI232" s="1373">
        <v>242.6</v>
      </c>
      <c r="DJ232" s="482">
        <f t="shared" si="805"/>
        <v>296.3</v>
      </c>
      <c r="DK232" s="1374">
        <v>296.3</v>
      </c>
      <c r="DL232" s="1373">
        <v>317.7</v>
      </c>
      <c r="DM232" s="482">
        <f t="shared" si="806"/>
        <v>348.5</v>
      </c>
      <c r="DN232" s="1374">
        <v>348.5</v>
      </c>
      <c r="DO232" s="1373">
        <v>390.9</v>
      </c>
      <c r="DP232" s="482">
        <f t="shared" si="807"/>
        <v>437.5</v>
      </c>
      <c r="DQ232" s="1374">
        <v>437.5</v>
      </c>
      <c r="DR232" s="1373">
        <v>445.8</v>
      </c>
      <c r="DS232" s="482">
        <f t="shared" si="808"/>
        <v>490.7</v>
      </c>
      <c r="DT232" s="1374">
        <v>490.7</v>
      </c>
      <c r="DU232" s="1373">
        <v>501.6</v>
      </c>
      <c r="DV232" s="482">
        <f t="shared" si="809"/>
        <v>585.9</v>
      </c>
      <c r="DW232" s="1374">
        <v>585.9</v>
      </c>
      <c r="DX232" s="1373">
        <v>549.70000000000005</v>
      </c>
      <c r="DY232" s="482">
        <f t="shared" si="810"/>
        <v>590.94867202945613</v>
      </c>
      <c r="DZ232" s="1244">
        <f>Assumptions!DZ169*DZ30</f>
        <v>590.94867202945613</v>
      </c>
      <c r="EA232" s="482">
        <f>Assumptions!EA169*(EA30*2)</f>
        <v>612.50658013733596</v>
      </c>
      <c r="EB232" s="482">
        <f t="shared" si="811"/>
        <v>621.9420629034538</v>
      </c>
      <c r="EC232" s="1244">
        <f>Assumptions!EC169*EC30</f>
        <v>621.9420629034538</v>
      </c>
      <c r="ED232" s="482">
        <f>Assumptions!ED169*(ED30*2)</f>
        <v>648.7785104923189</v>
      </c>
      <c r="EE232" s="482">
        <f t="shared" si="812"/>
        <v>658.8127858657391</v>
      </c>
      <c r="EF232" s="1244">
        <f>Assumptions!EF169*EF30</f>
        <v>658.8127858657391</v>
      </c>
      <c r="EG232" s="482">
        <f>Assumptions!EG169*(EG30*2)</f>
        <v>690.72279558926402</v>
      </c>
      <c r="EH232" s="482">
        <f t="shared" si="813"/>
        <v>701.40579853333804</v>
      </c>
      <c r="EI232" s="1244">
        <f>Assumptions!EI169*EI30</f>
        <v>701.40579853333804</v>
      </c>
      <c r="EJ232" s="482">
        <f>Assumptions!EJ169*(EJ30*2)</f>
        <v>734.96194606867175</v>
      </c>
      <c r="EK232" s="482">
        <f t="shared" si="814"/>
        <v>746.32916991559227</v>
      </c>
      <c r="EL232" s="1244">
        <f>Assumptions!EL169*EL30</f>
        <v>746.32916991559227</v>
      </c>
      <c r="EM232" s="482">
        <f>Assumptions!EM169*(EM30*2)</f>
        <v>781.56928899009972</v>
      </c>
      <c r="EN232" s="482">
        <f t="shared" si="815"/>
        <v>793.65736117853237</v>
      </c>
      <c r="EO232" s="1244">
        <f>Assumptions!EO169*EO30</f>
        <v>793.65736117853237</v>
      </c>
      <c r="EP232" s="482">
        <f>Assumptions!EP169*(EP30*2)</f>
        <v>830.61276187422845</v>
      </c>
      <c r="EQ232" s="482">
        <f t="shared" si="816"/>
        <v>843.45936059248538</v>
      </c>
      <c r="ER232" s="1244">
        <f>Assumptions!ER169*ER30</f>
        <v>843.45936059248538</v>
      </c>
      <c r="ES232" s="482">
        <f>Assumptions!ES169*(ES30*2)</f>
        <v>882.15334863668079</v>
      </c>
      <c r="ET232" s="482">
        <f t="shared" si="817"/>
        <v>895.79709527540376</v>
      </c>
      <c r="EU232" s="1244">
        <f>Assumptions!EU169*EU30</f>
        <v>895.79709527540376</v>
      </c>
      <c r="EV232" s="482">
        <f>Assumptions!EV169*(EV30*2)</f>
        <v>936.24327764519307</v>
      </c>
      <c r="EW232" s="482">
        <f t="shared" si="818"/>
        <v>950.72360138044826</v>
      </c>
      <c r="EX232" s="1244">
        <f>Assumptions!EX169*EX30</f>
        <v>950.72360138044826</v>
      </c>
      <c r="EY232" s="482">
        <f>Assumptions!EY169*(EY30*2)</f>
        <v>992.92395175128036</v>
      </c>
      <c r="EZ232" s="482">
        <f t="shared" si="819"/>
        <v>1008.2809221126701</v>
      </c>
      <c r="FA232" s="1244">
        <f>Assumptions!FA169*FA30</f>
        <v>1008.2809221126701</v>
      </c>
      <c r="FB232" s="1571"/>
      <c r="FE232"/>
      <c r="FF232"/>
      <c r="FG232"/>
      <c r="FH232"/>
      <c r="FI232"/>
      <c r="FJ232"/>
      <c r="FK232" s="35"/>
    </row>
    <row r="233" spans="1:167" s="236" customFormat="1" ht="13.35" customHeight="1" outlineLevel="1">
      <c r="B233" s="242" t="s">
        <v>149</v>
      </c>
      <c r="C233" s="242" t="s">
        <v>496</v>
      </c>
      <c r="D233" s="243"/>
      <c r="E233" s="516"/>
      <c r="F233" s="482">
        <f t="shared" si="769"/>
        <v>0</v>
      </c>
      <c r="G233" s="517"/>
      <c r="H233" s="518"/>
      <c r="I233" s="482">
        <f t="shared" si="770"/>
        <v>0</v>
      </c>
      <c r="J233" s="517"/>
      <c r="K233" s="518"/>
      <c r="L233" s="482">
        <f t="shared" si="771"/>
        <v>0</v>
      </c>
      <c r="M233" s="517"/>
      <c r="N233" s="518"/>
      <c r="O233" s="482">
        <f t="shared" si="772"/>
        <v>0</v>
      </c>
      <c r="P233" s="517"/>
      <c r="Q233" s="518"/>
      <c r="R233" s="482">
        <f t="shared" si="773"/>
        <v>0</v>
      </c>
      <c r="S233" s="517"/>
      <c r="T233" s="518"/>
      <c r="U233" s="482">
        <f t="shared" si="774"/>
        <v>0</v>
      </c>
      <c r="V233" s="517"/>
      <c r="W233" s="518"/>
      <c r="X233" s="482">
        <f t="shared" si="775"/>
        <v>0</v>
      </c>
      <c r="Y233" s="517"/>
      <c r="Z233" s="518"/>
      <c r="AA233" s="482">
        <f t="shared" si="776"/>
        <v>0</v>
      </c>
      <c r="AB233" s="517"/>
      <c r="AC233" s="518"/>
      <c r="AD233" s="482">
        <f t="shared" si="777"/>
        <v>0</v>
      </c>
      <c r="AE233" s="517"/>
      <c r="AF233" s="518"/>
      <c r="AG233" s="482">
        <f t="shared" si="778"/>
        <v>0</v>
      </c>
      <c r="AH233" s="517"/>
      <c r="AI233" s="518"/>
      <c r="AJ233" s="482">
        <f t="shared" si="779"/>
        <v>0</v>
      </c>
      <c r="AK233" s="517"/>
      <c r="AL233" s="518"/>
      <c r="AM233" s="482">
        <f t="shared" si="780"/>
        <v>0</v>
      </c>
      <c r="AN233" s="517"/>
      <c r="AO233" s="518"/>
      <c r="AP233" s="482">
        <f t="shared" si="781"/>
        <v>0</v>
      </c>
      <c r="AQ233" s="517"/>
      <c r="AR233" s="518"/>
      <c r="AS233" s="482">
        <f t="shared" si="782"/>
        <v>0</v>
      </c>
      <c r="AT233" s="517"/>
      <c r="AU233" s="518"/>
      <c r="AV233" s="482">
        <f t="shared" si="783"/>
        <v>0</v>
      </c>
      <c r="AW233" s="517"/>
      <c r="AX233" s="518"/>
      <c r="AY233" s="482">
        <f t="shared" si="784"/>
        <v>0</v>
      </c>
      <c r="AZ233" s="517"/>
      <c r="BA233" s="518"/>
      <c r="BB233" s="482">
        <f t="shared" si="785"/>
        <v>0</v>
      </c>
      <c r="BC233" s="517"/>
      <c r="BD233" s="518"/>
      <c r="BE233" s="482">
        <f t="shared" si="786"/>
        <v>0</v>
      </c>
      <c r="BF233" s="517"/>
      <c r="BG233" s="518"/>
      <c r="BH233" s="482">
        <f t="shared" si="787"/>
        <v>0</v>
      </c>
      <c r="BI233" s="517"/>
      <c r="BJ233" s="518"/>
      <c r="BK233" s="482">
        <f t="shared" si="788"/>
        <v>0</v>
      </c>
      <c r="BL233" s="517"/>
      <c r="BM233" s="518"/>
      <c r="BN233" s="482">
        <f t="shared" si="789"/>
        <v>0</v>
      </c>
      <c r="BO233" s="516"/>
      <c r="BP233" s="518"/>
      <c r="BQ233" s="482">
        <f t="shared" si="790"/>
        <v>0</v>
      </c>
      <c r="BR233" s="516"/>
      <c r="BS233" s="518"/>
      <c r="BT233" s="482">
        <f t="shared" si="791"/>
        <v>0</v>
      </c>
      <c r="BU233" s="516"/>
      <c r="BV233" s="518"/>
      <c r="BW233" s="482">
        <f t="shared" si="792"/>
        <v>0</v>
      </c>
      <c r="BX233" s="516"/>
      <c r="BY233" s="518"/>
      <c r="BZ233" s="482">
        <f t="shared" si="793"/>
        <v>0</v>
      </c>
      <c r="CA233" s="516"/>
      <c r="CB233" s="518"/>
      <c r="CC233" s="482">
        <f t="shared" si="794"/>
        <v>0</v>
      </c>
      <c r="CD233" s="516"/>
      <c r="CE233" s="518"/>
      <c r="CF233" s="482">
        <f t="shared" si="795"/>
        <v>0</v>
      </c>
      <c r="CG233" s="516"/>
      <c r="CH233" s="518"/>
      <c r="CI233" s="482">
        <f t="shared" si="796"/>
        <v>0</v>
      </c>
      <c r="CJ233" s="516"/>
      <c r="CK233" s="518"/>
      <c r="CL233" s="482">
        <f t="shared" si="797"/>
        <v>0</v>
      </c>
      <c r="CM233" s="516"/>
      <c r="CN233" s="518"/>
      <c r="CO233" s="482">
        <f t="shared" si="798"/>
        <v>0</v>
      </c>
      <c r="CP233" s="516"/>
      <c r="CQ233" s="518"/>
      <c r="CR233" s="482">
        <f t="shared" si="799"/>
        <v>0</v>
      </c>
      <c r="CS233" s="516"/>
      <c r="CT233" s="518"/>
      <c r="CU233" s="482">
        <f t="shared" si="800"/>
        <v>0</v>
      </c>
      <c r="CV233" s="516"/>
      <c r="CW233" s="518"/>
      <c r="CX233" s="482">
        <f t="shared" si="801"/>
        <v>0</v>
      </c>
      <c r="CY233" s="516"/>
      <c r="CZ233" s="518"/>
      <c r="DA233" s="482">
        <f t="shared" si="802"/>
        <v>0</v>
      </c>
      <c r="DB233" s="516"/>
      <c r="DC233" s="518"/>
      <c r="DD233" s="482">
        <f t="shared" si="803"/>
        <v>0</v>
      </c>
      <c r="DE233" s="516"/>
      <c r="DF233" s="518"/>
      <c r="DG233" s="482">
        <f t="shared" si="804"/>
        <v>0</v>
      </c>
      <c r="DH233" s="1258"/>
      <c r="DI233" s="482"/>
      <c r="DJ233" s="482">
        <f t="shared" si="805"/>
        <v>0</v>
      </c>
      <c r="DK233" s="1244"/>
      <c r="DL233" s="482"/>
      <c r="DM233" s="482">
        <f t="shared" si="806"/>
        <v>0</v>
      </c>
      <c r="DN233" s="1244"/>
      <c r="DO233" s="482"/>
      <c r="DP233" s="482">
        <f t="shared" si="807"/>
        <v>0</v>
      </c>
      <c r="DQ233" s="1244"/>
      <c r="DR233" s="482"/>
      <c r="DS233" s="482">
        <f t="shared" si="808"/>
        <v>0</v>
      </c>
      <c r="DT233" s="1244"/>
      <c r="DU233" s="482"/>
      <c r="DV233" s="482">
        <f t="shared" si="809"/>
        <v>0</v>
      </c>
      <c r="DW233" s="1244"/>
      <c r="DX233" s="482"/>
      <c r="DY233" s="482">
        <f t="shared" si="810"/>
        <v>0</v>
      </c>
      <c r="DZ233" s="1244"/>
      <c r="EA233" s="482"/>
      <c r="EB233" s="482">
        <f t="shared" si="811"/>
        <v>0</v>
      </c>
      <c r="EC233" s="1244"/>
      <c r="ED233" s="482"/>
      <c r="EE233" s="482">
        <f t="shared" si="812"/>
        <v>0</v>
      </c>
      <c r="EF233" s="1244"/>
      <c r="EG233" s="482"/>
      <c r="EH233" s="482">
        <f t="shared" si="813"/>
        <v>0</v>
      </c>
      <c r="EI233" s="1244"/>
      <c r="EJ233" s="482"/>
      <c r="EK233" s="482">
        <f t="shared" si="814"/>
        <v>0</v>
      </c>
      <c r="EL233" s="1244"/>
      <c r="EM233" s="482"/>
      <c r="EN233" s="482">
        <f t="shared" si="815"/>
        <v>0</v>
      </c>
      <c r="EO233" s="1244"/>
      <c r="EP233" s="482"/>
      <c r="EQ233" s="482">
        <f t="shared" si="816"/>
        <v>0</v>
      </c>
      <c r="ER233" s="1244"/>
      <c r="ES233" s="482"/>
      <c r="ET233" s="482">
        <f t="shared" si="817"/>
        <v>0</v>
      </c>
      <c r="EU233" s="1244"/>
      <c r="EV233" s="482"/>
      <c r="EW233" s="482">
        <f t="shared" si="818"/>
        <v>0</v>
      </c>
      <c r="EX233" s="1244"/>
      <c r="EY233" s="482"/>
      <c r="EZ233" s="482">
        <f t="shared" si="819"/>
        <v>0</v>
      </c>
      <c r="FA233" s="1244"/>
      <c r="FB233" s="1571"/>
      <c r="FE233"/>
      <c r="FF233"/>
      <c r="FG233"/>
      <c r="FH233"/>
      <c r="FI233"/>
      <c r="FJ233"/>
      <c r="FK233" s="35"/>
    </row>
    <row r="234" spans="1:167" s="236" customFormat="1" ht="13.35" customHeight="1" outlineLevel="1" thickBot="1">
      <c r="B234" s="242" t="s">
        <v>150</v>
      </c>
      <c r="C234" s="242" t="s">
        <v>496</v>
      </c>
      <c r="D234" s="243"/>
      <c r="E234" s="528"/>
      <c r="F234" s="482">
        <f t="shared" si="769"/>
        <v>0</v>
      </c>
      <c r="G234" s="529"/>
      <c r="H234" s="530"/>
      <c r="I234" s="482">
        <f t="shared" si="770"/>
        <v>0</v>
      </c>
      <c r="J234" s="529"/>
      <c r="K234" s="530"/>
      <c r="L234" s="482">
        <f t="shared" si="771"/>
        <v>0</v>
      </c>
      <c r="M234" s="529"/>
      <c r="N234" s="530"/>
      <c r="O234" s="482">
        <f t="shared" si="772"/>
        <v>0</v>
      </c>
      <c r="P234" s="529"/>
      <c r="Q234" s="530"/>
      <c r="R234" s="482">
        <f t="shared" si="773"/>
        <v>0</v>
      </c>
      <c r="S234" s="529"/>
      <c r="T234" s="530"/>
      <c r="U234" s="482">
        <f t="shared" si="774"/>
        <v>0</v>
      </c>
      <c r="V234" s="529"/>
      <c r="W234" s="530"/>
      <c r="X234" s="482">
        <f t="shared" si="775"/>
        <v>0</v>
      </c>
      <c r="Y234" s="529"/>
      <c r="Z234" s="530"/>
      <c r="AA234" s="482">
        <f t="shared" si="776"/>
        <v>0</v>
      </c>
      <c r="AB234" s="529"/>
      <c r="AC234" s="530"/>
      <c r="AD234" s="482">
        <f t="shared" si="777"/>
        <v>0</v>
      </c>
      <c r="AE234" s="529"/>
      <c r="AF234" s="530"/>
      <c r="AG234" s="482">
        <f t="shared" si="778"/>
        <v>0</v>
      </c>
      <c r="AH234" s="529"/>
      <c r="AI234" s="530"/>
      <c r="AJ234" s="482">
        <f t="shared" si="779"/>
        <v>0</v>
      </c>
      <c r="AK234" s="529"/>
      <c r="AL234" s="530"/>
      <c r="AM234" s="482">
        <f t="shared" si="780"/>
        <v>0</v>
      </c>
      <c r="AN234" s="529"/>
      <c r="AO234" s="530"/>
      <c r="AP234" s="482">
        <f t="shared" si="781"/>
        <v>0</v>
      </c>
      <c r="AQ234" s="529"/>
      <c r="AR234" s="530"/>
      <c r="AS234" s="482">
        <f t="shared" si="782"/>
        <v>0</v>
      </c>
      <c r="AT234" s="517"/>
      <c r="AU234" s="530"/>
      <c r="AV234" s="482">
        <f t="shared" si="783"/>
        <v>0</v>
      </c>
      <c r="AW234" s="529"/>
      <c r="AX234" s="530"/>
      <c r="AY234" s="482">
        <f t="shared" si="784"/>
        <v>0</v>
      </c>
      <c r="AZ234" s="529"/>
      <c r="BA234" s="530"/>
      <c r="BB234" s="482">
        <f t="shared" si="785"/>
        <v>0</v>
      </c>
      <c r="BC234" s="529"/>
      <c r="BD234" s="530"/>
      <c r="BE234" s="482">
        <f t="shared" si="786"/>
        <v>0</v>
      </c>
      <c r="BF234" s="529"/>
      <c r="BG234" s="530"/>
      <c r="BH234" s="482">
        <f t="shared" si="787"/>
        <v>0</v>
      </c>
      <c r="BI234" s="529"/>
      <c r="BJ234" s="530"/>
      <c r="BK234" s="482">
        <f t="shared" si="788"/>
        <v>0</v>
      </c>
      <c r="BL234" s="529"/>
      <c r="BM234" s="530"/>
      <c r="BN234" s="482">
        <f t="shared" si="789"/>
        <v>0</v>
      </c>
      <c r="BO234" s="528"/>
      <c r="BP234" s="530"/>
      <c r="BQ234" s="482">
        <f t="shared" si="790"/>
        <v>0</v>
      </c>
      <c r="BR234" s="528"/>
      <c r="BS234" s="530"/>
      <c r="BT234" s="482">
        <f t="shared" si="791"/>
        <v>0</v>
      </c>
      <c r="BU234" s="528"/>
      <c r="BV234" s="530"/>
      <c r="BW234" s="482">
        <f t="shared" si="792"/>
        <v>0</v>
      </c>
      <c r="BX234" s="528"/>
      <c r="BY234" s="530"/>
      <c r="BZ234" s="482">
        <f t="shared" si="793"/>
        <v>0</v>
      </c>
      <c r="CA234" s="528"/>
      <c r="CB234" s="530"/>
      <c r="CC234" s="482">
        <f t="shared" si="794"/>
        <v>0</v>
      </c>
      <c r="CD234" s="528"/>
      <c r="CE234" s="530"/>
      <c r="CF234" s="482">
        <f t="shared" si="795"/>
        <v>0</v>
      </c>
      <c r="CG234" s="528"/>
      <c r="CH234" s="530"/>
      <c r="CI234" s="482">
        <f t="shared" si="796"/>
        <v>0</v>
      </c>
      <c r="CJ234" s="528"/>
      <c r="CK234" s="530"/>
      <c r="CL234" s="482">
        <f t="shared" si="797"/>
        <v>0</v>
      </c>
      <c r="CM234" s="528"/>
      <c r="CN234" s="530"/>
      <c r="CO234" s="482">
        <f t="shared" si="798"/>
        <v>0</v>
      </c>
      <c r="CP234" s="528"/>
      <c r="CQ234" s="530"/>
      <c r="CR234" s="482">
        <f t="shared" si="799"/>
        <v>0</v>
      </c>
      <c r="CS234" s="528"/>
      <c r="CT234" s="530"/>
      <c r="CU234" s="482">
        <f t="shared" si="800"/>
        <v>0</v>
      </c>
      <c r="CV234" s="528"/>
      <c r="CW234" s="530"/>
      <c r="CX234" s="482">
        <f t="shared" si="801"/>
        <v>0</v>
      </c>
      <c r="CY234" s="528"/>
      <c r="CZ234" s="530"/>
      <c r="DA234" s="482">
        <f t="shared" si="802"/>
        <v>0</v>
      </c>
      <c r="DB234" s="528"/>
      <c r="DC234" s="530"/>
      <c r="DD234" s="482">
        <f t="shared" si="803"/>
        <v>0</v>
      </c>
      <c r="DE234" s="528"/>
      <c r="DF234" s="530"/>
      <c r="DG234" s="482">
        <f t="shared" si="804"/>
        <v>0</v>
      </c>
      <c r="DH234" s="1260"/>
      <c r="DI234" s="482"/>
      <c r="DJ234" s="482">
        <f t="shared" si="805"/>
        <v>0</v>
      </c>
      <c r="DK234" s="1244"/>
      <c r="DL234" s="482"/>
      <c r="DM234" s="482">
        <f t="shared" si="806"/>
        <v>0</v>
      </c>
      <c r="DN234" s="1244"/>
      <c r="DO234" s="482"/>
      <c r="DP234" s="482">
        <f t="shared" si="807"/>
        <v>0</v>
      </c>
      <c r="DQ234" s="1244"/>
      <c r="DR234" s="482"/>
      <c r="DS234" s="482">
        <f t="shared" si="808"/>
        <v>0</v>
      </c>
      <c r="DT234" s="1244"/>
      <c r="DU234" s="482"/>
      <c r="DV234" s="482">
        <f t="shared" si="809"/>
        <v>0</v>
      </c>
      <c r="DW234" s="1244"/>
      <c r="DX234" s="482"/>
      <c r="DY234" s="482">
        <f t="shared" si="810"/>
        <v>0</v>
      </c>
      <c r="DZ234" s="1244"/>
      <c r="EA234" s="482"/>
      <c r="EB234" s="482">
        <f t="shared" si="811"/>
        <v>0</v>
      </c>
      <c r="EC234" s="1244"/>
      <c r="ED234" s="482"/>
      <c r="EE234" s="482">
        <f t="shared" si="812"/>
        <v>0</v>
      </c>
      <c r="EF234" s="1244"/>
      <c r="EG234" s="482"/>
      <c r="EH234" s="482">
        <f t="shared" si="813"/>
        <v>0</v>
      </c>
      <c r="EI234" s="1244"/>
      <c r="EJ234" s="482"/>
      <c r="EK234" s="482">
        <f t="shared" si="814"/>
        <v>0</v>
      </c>
      <c r="EL234" s="1244"/>
      <c r="EM234" s="482"/>
      <c r="EN234" s="482">
        <f t="shared" si="815"/>
        <v>0</v>
      </c>
      <c r="EO234" s="1244"/>
      <c r="EP234" s="482"/>
      <c r="EQ234" s="482">
        <f t="shared" si="816"/>
        <v>0</v>
      </c>
      <c r="ER234" s="1244"/>
      <c r="ES234" s="482"/>
      <c r="ET234" s="482">
        <f t="shared" si="817"/>
        <v>0</v>
      </c>
      <c r="EU234" s="1244"/>
      <c r="EV234" s="482"/>
      <c r="EW234" s="482">
        <f t="shared" si="818"/>
        <v>0</v>
      </c>
      <c r="EX234" s="1244"/>
      <c r="EY234" s="482"/>
      <c r="EZ234" s="482">
        <f t="shared" si="819"/>
        <v>0</v>
      </c>
      <c r="FA234" s="1244"/>
      <c r="FB234" s="1571"/>
      <c r="FE234"/>
      <c r="FF234"/>
      <c r="FG234"/>
      <c r="FH234"/>
      <c r="FI234"/>
      <c r="FJ234"/>
      <c r="FK234" s="35"/>
    </row>
    <row r="235" spans="1:167" s="236" customFormat="1" ht="13.35" customHeight="1" thickBot="1">
      <c r="B235" s="485" t="s">
        <v>151</v>
      </c>
      <c r="C235" s="242" t="s">
        <v>496</v>
      </c>
      <c r="D235" s="243"/>
      <c r="E235" s="503"/>
      <c r="F235" s="482">
        <f t="shared" si="769"/>
        <v>0</v>
      </c>
      <c r="G235" s="504"/>
      <c r="H235" s="505"/>
      <c r="I235" s="482">
        <f t="shared" si="770"/>
        <v>0</v>
      </c>
      <c r="J235" s="504"/>
      <c r="K235" s="505"/>
      <c r="L235" s="482">
        <f t="shared" si="771"/>
        <v>0</v>
      </c>
      <c r="M235" s="504"/>
      <c r="N235" s="505"/>
      <c r="O235" s="482">
        <f t="shared" si="772"/>
        <v>0</v>
      </c>
      <c r="P235" s="504"/>
      <c r="Q235" s="505"/>
      <c r="R235" s="482">
        <f t="shared" si="773"/>
        <v>0</v>
      </c>
      <c r="S235" s="504"/>
      <c r="T235" s="505"/>
      <c r="U235" s="482">
        <f t="shared" si="774"/>
        <v>0</v>
      </c>
      <c r="V235" s="504"/>
      <c r="W235" s="505"/>
      <c r="X235" s="482">
        <f t="shared" si="775"/>
        <v>0</v>
      </c>
      <c r="Y235" s="504"/>
      <c r="Z235" s="505"/>
      <c r="AA235" s="482">
        <f t="shared" si="776"/>
        <v>0</v>
      </c>
      <c r="AB235" s="504"/>
      <c r="AC235" s="505"/>
      <c r="AD235" s="482">
        <f t="shared" si="777"/>
        <v>0</v>
      </c>
      <c r="AE235" s="504"/>
      <c r="AF235" s="505"/>
      <c r="AG235" s="482">
        <f t="shared" si="778"/>
        <v>0</v>
      </c>
      <c r="AH235" s="504"/>
      <c r="AI235" s="505"/>
      <c r="AJ235" s="482">
        <f t="shared" si="779"/>
        <v>0</v>
      </c>
      <c r="AK235" s="504"/>
      <c r="AL235" s="505"/>
      <c r="AM235" s="482">
        <f t="shared" si="780"/>
        <v>0</v>
      </c>
      <c r="AN235" s="504"/>
      <c r="AO235" s="505"/>
      <c r="AP235" s="482">
        <f t="shared" si="781"/>
        <v>0</v>
      </c>
      <c r="AQ235" s="504"/>
      <c r="AR235" s="506">
        <v>0</v>
      </c>
      <c r="AS235" s="482">
        <f t="shared" si="782"/>
        <v>0</v>
      </c>
      <c r="AT235" s="507">
        <v>0</v>
      </c>
      <c r="AU235" s="506">
        <v>0</v>
      </c>
      <c r="AV235" s="482">
        <f t="shared" si="783"/>
        <v>0</v>
      </c>
      <c r="AW235" s="507">
        <v>0</v>
      </c>
      <c r="AX235" s="506">
        <v>0</v>
      </c>
      <c r="AY235" s="482">
        <f t="shared" si="784"/>
        <v>0</v>
      </c>
      <c r="AZ235" s="507">
        <v>0</v>
      </c>
      <c r="BA235" s="506">
        <v>0</v>
      </c>
      <c r="BB235" s="482">
        <f t="shared" si="785"/>
        <v>0</v>
      </c>
      <c r="BC235" s="507">
        <v>0</v>
      </c>
      <c r="BD235" s="506">
        <v>0</v>
      </c>
      <c r="BE235" s="482">
        <f t="shared" si="786"/>
        <v>0</v>
      </c>
      <c r="BF235" s="507">
        <v>0</v>
      </c>
      <c r="BG235" s="506">
        <v>0</v>
      </c>
      <c r="BH235" s="482">
        <f t="shared" si="787"/>
        <v>0</v>
      </c>
      <c r="BI235" s="507">
        <v>0</v>
      </c>
      <c r="BJ235" s="506">
        <v>0</v>
      </c>
      <c r="BK235" s="482">
        <f t="shared" si="788"/>
        <v>0</v>
      </c>
      <c r="BL235" s="507">
        <v>0</v>
      </c>
      <c r="BM235" s="505" t="str">
        <f>IF(BM5="A","",BL235-BM197-BM194-BM575)</f>
        <v/>
      </c>
      <c r="BN235" s="482" t="str">
        <f t="shared" si="789"/>
        <v/>
      </c>
      <c r="BO235" s="503" t="str">
        <f>IF(BO5="A","",BL235-BO197-BO194-BO575)</f>
        <v/>
      </c>
      <c r="BP235" s="505" t="str">
        <f>IF(BP5="A","",BO235-BP197-BP194-BP575)</f>
        <v/>
      </c>
      <c r="BQ235" s="482" t="str">
        <f t="shared" si="790"/>
        <v/>
      </c>
      <c r="BR235" s="503" t="str">
        <f>IF(BR5="A","",BO235-BR197-BR194-BR575)</f>
        <v/>
      </c>
      <c r="BS235" s="505" t="str">
        <f>IF(BS5="A","",BR235-BS197-BS194-BS575)</f>
        <v/>
      </c>
      <c r="BT235" s="482" t="str">
        <f t="shared" si="791"/>
        <v/>
      </c>
      <c r="BU235" s="503" t="str">
        <f>IF(BU5="A","",BR235-BU197-BU194-BU575)</f>
        <v/>
      </c>
      <c r="BV235" s="505" t="str">
        <f>IF(BV5="A","",BU235-BV197-BV194-BV575)</f>
        <v/>
      </c>
      <c r="BW235" s="482" t="str">
        <f t="shared" si="792"/>
        <v/>
      </c>
      <c r="BX235" s="503" t="str">
        <f>IF(BX5="A","",BU235-BX197-BX194-BX575)</f>
        <v/>
      </c>
      <c r="BY235" s="505" t="str">
        <f>IF(BY5="A","",BX235-BY197-BY194-BY575)</f>
        <v/>
      </c>
      <c r="BZ235" s="482" t="str">
        <f t="shared" si="793"/>
        <v/>
      </c>
      <c r="CA235" s="503" t="str">
        <f>IF(CA5="A","",BX235-CA197-CA194-CA575)</f>
        <v/>
      </c>
      <c r="CB235" s="505"/>
      <c r="CC235" s="482">
        <f t="shared" si="794"/>
        <v>74.325999999999993</v>
      </c>
      <c r="CD235" s="508">
        <v>74.325999999999993</v>
      </c>
      <c r="CE235" s="505" t="str">
        <f>IF(CE5="A","",CD235-CE197-CE194-CE575)</f>
        <v/>
      </c>
      <c r="CF235" s="482"/>
      <c r="CG235" s="503"/>
      <c r="CH235" s="505" t="str">
        <f>IF(CH5="A","",CG235-CH197-CH194-CH575)</f>
        <v/>
      </c>
      <c r="CI235" s="482" t="str">
        <f t="shared" si="796"/>
        <v/>
      </c>
      <c r="CJ235" s="503" t="str">
        <f>IF(CJ5="A","",CG235-CJ197-CJ194-CJ575)</f>
        <v/>
      </c>
      <c r="CK235" s="505" t="str">
        <f>IF(CK5="A","",CJ235-CK197-CK194-CK575)</f>
        <v/>
      </c>
      <c r="CL235" s="482" t="str">
        <f t="shared" si="797"/>
        <v/>
      </c>
      <c r="CM235" s="503" t="str">
        <f>IF(CM5="A","",CJ235-CM197-CM194-CM575)</f>
        <v/>
      </c>
      <c r="CN235" s="505" t="str">
        <f>IF(CN5="A","",CM235-CN197-CN194-CN575)</f>
        <v/>
      </c>
      <c r="CO235" s="482" t="str">
        <f t="shared" si="798"/>
        <v/>
      </c>
      <c r="CP235" s="503" t="str">
        <f>IF(CP5="A","",CM235-CP197-CP194-CP575)</f>
        <v/>
      </c>
      <c r="CQ235" s="505" t="str">
        <f>IF(CQ5="A","",CP235-CQ197-CQ194-CQ575)</f>
        <v/>
      </c>
      <c r="CR235" s="482" t="str">
        <f t="shared" si="799"/>
        <v/>
      </c>
      <c r="CS235" s="503" t="str">
        <f>IF(CS5="A","",CP235-CS197-CS194-CS575)</f>
        <v/>
      </c>
      <c r="CT235" s="505" t="str">
        <f>IF(CT5="A","",CS235-CT197-CT194-CT575)</f>
        <v/>
      </c>
      <c r="CU235" s="482" t="str">
        <f t="shared" si="800"/>
        <v/>
      </c>
      <c r="CV235" s="503" t="str">
        <f>IF(CV5="A","",CS235-CV197-CV194-CV575)</f>
        <v/>
      </c>
      <c r="CW235" s="505" t="str">
        <f>IF(CW5="A","",CV235-CW197-CW194-CW575)</f>
        <v/>
      </c>
      <c r="CX235" s="482" t="str">
        <f t="shared" si="801"/>
        <v/>
      </c>
      <c r="CY235" s="503" t="str">
        <f>IF(CY5="A","",CV235-CY197-CY194-CY575)</f>
        <v/>
      </c>
      <c r="CZ235" s="505" t="str">
        <f>IF(CZ5="A","",CY235-CZ197-CZ194-CZ575)</f>
        <v/>
      </c>
      <c r="DA235" s="482" t="str">
        <f t="shared" si="802"/>
        <v/>
      </c>
      <c r="DB235" s="503" t="str">
        <f>IF(DB5="A","",CY235-DB197-DB194-DB575)</f>
        <v/>
      </c>
      <c r="DC235" s="505" t="str">
        <f>IF(DC5="A","",DB235-DC197-DC194-DC575)</f>
        <v/>
      </c>
      <c r="DD235" s="482" t="str">
        <f t="shared" si="803"/>
        <v/>
      </c>
      <c r="DE235" s="503" t="str">
        <f>IF(DE5="A","",DB235-DE197-DE194-DE575)</f>
        <v/>
      </c>
      <c r="DF235" s="505" t="str">
        <f>IF(DF5="A","",DE235-DF197-DF194-DF575)</f>
        <v/>
      </c>
      <c r="DG235" s="482" t="str">
        <f t="shared" si="804"/>
        <v/>
      </c>
      <c r="DH235" s="1254" t="str">
        <f>IF(DH5="A","",DE235-DH197-DH194-DH575)</f>
        <v/>
      </c>
      <c r="DI235" s="482" t="str">
        <f>IF(DI5="A","",DH235-DI197-DI194-DI575)</f>
        <v/>
      </c>
      <c r="DJ235" s="482" t="str">
        <f t="shared" si="805"/>
        <v/>
      </c>
      <c r="DK235" s="1244" t="str">
        <f>IF(DK5="A","",DH235-DK197-DK194-DK575)</f>
        <v/>
      </c>
      <c r="DL235" s="482" t="str">
        <f>IF(DL5="A","",DK235-DL197-DL194-DL575)</f>
        <v/>
      </c>
      <c r="DM235" s="482" t="str">
        <f t="shared" si="806"/>
        <v/>
      </c>
      <c r="DN235" s="1244" t="str">
        <f>IF(DN5="A","",DK235-DN197-DN194-DN575)</f>
        <v/>
      </c>
      <c r="DO235" s="482" t="str">
        <f>IF(DO5="A","",DN235-DO197-DO194-DO575)</f>
        <v/>
      </c>
      <c r="DP235" s="482" t="str">
        <f t="shared" si="807"/>
        <v/>
      </c>
      <c r="DQ235" s="1244" t="str">
        <f>IF(DQ5="A","",DN235-DQ197-DQ194-DQ575)</f>
        <v/>
      </c>
      <c r="DR235" s="482" t="str">
        <f>IF(DR5="A","",DQ235-DR197-DR194-DR575)</f>
        <v/>
      </c>
      <c r="DS235" s="482" t="str">
        <f t="shared" si="808"/>
        <v/>
      </c>
      <c r="DT235" s="1244" t="str">
        <f>IF(DT5="A","",DQ235-DT197-DT194-DT575)</f>
        <v/>
      </c>
      <c r="DU235" s="482" t="str">
        <f>IF(DU5="A","",DT235-DU197-DU194-DU575)</f>
        <v/>
      </c>
      <c r="DV235" s="482" t="str">
        <f t="shared" si="809"/>
        <v/>
      </c>
      <c r="DW235" s="1244" t="str">
        <f>IF(DW5="A","",DT235-DW197-DW194-DW575)</f>
        <v/>
      </c>
      <c r="DX235" s="482" t="str">
        <f>IF(DX5="A","",DW235-DX197-DX194-DX575)</f>
        <v/>
      </c>
      <c r="DY235" s="482">
        <f t="shared" si="810"/>
        <v>0</v>
      </c>
      <c r="DZ235" s="1244">
        <f>IF(DZ5="A","",DW235-DZ197-DZ194-DZ575)</f>
        <v>0</v>
      </c>
      <c r="EA235" s="482">
        <f>IF(EA5="A","",DZ235-EA197-EA194-EA575)</f>
        <v>0</v>
      </c>
      <c r="EB235" s="482">
        <f t="shared" si="811"/>
        <v>0</v>
      </c>
      <c r="EC235" s="1244">
        <f>IF(EC5="A","",DZ235-EC197-EC194-EC575)</f>
        <v>0</v>
      </c>
      <c r="ED235" s="482">
        <f>IF(ED5="A","",EC235-ED197-ED194-ED575)</f>
        <v>0</v>
      </c>
      <c r="EE235" s="482">
        <f t="shared" si="812"/>
        <v>0</v>
      </c>
      <c r="EF235" s="1244">
        <f>IF(EF5="A","",EC235-EF197-EF194-EF575)</f>
        <v>0</v>
      </c>
      <c r="EG235" s="482">
        <f>IF(EG5="A","",EF235-EG197-EG194-EG575)</f>
        <v>0</v>
      </c>
      <c r="EH235" s="482">
        <f t="shared" si="813"/>
        <v>0</v>
      </c>
      <c r="EI235" s="1244">
        <f>IF(EI5="A","",EF235-EI197-EI194-EI575)</f>
        <v>0</v>
      </c>
      <c r="EJ235" s="482">
        <f>IF(EJ5="A","",EI235-EJ197-EJ194-EJ575)</f>
        <v>0</v>
      </c>
      <c r="EK235" s="482">
        <f t="shared" si="814"/>
        <v>0</v>
      </c>
      <c r="EL235" s="1244">
        <f>IF(EL5="A","",EI235-EL197-EL194-EL575)</f>
        <v>0</v>
      </c>
      <c r="EM235" s="482">
        <f>IF(EM5="A","",EL235-EM197-EM194-EM575)</f>
        <v>0</v>
      </c>
      <c r="EN235" s="482">
        <f t="shared" si="815"/>
        <v>0</v>
      </c>
      <c r="EO235" s="1244">
        <f>IF(EO5="A","",EL235-EO197-EO194-EO575)</f>
        <v>0</v>
      </c>
      <c r="EP235" s="482">
        <f>IF(EP5="A","",EO235-EP197-EP194-EP575)</f>
        <v>0</v>
      </c>
      <c r="EQ235" s="482">
        <f t="shared" si="816"/>
        <v>0</v>
      </c>
      <c r="ER235" s="1244">
        <f>IF(ER5="A","",EO235-ER197-ER194-ER575)</f>
        <v>0</v>
      </c>
      <c r="ES235" s="482">
        <f>IF(ES5="A","",ER235-ES197-ES194-ES575)</f>
        <v>0</v>
      </c>
      <c r="ET235" s="482">
        <f t="shared" si="817"/>
        <v>0</v>
      </c>
      <c r="EU235" s="1244">
        <f>IF(EU5="A","",ER235-EU197-EU194-EU575)</f>
        <v>0</v>
      </c>
      <c r="EV235" s="482">
        <f>IF(EV5="A","",EU235-EV197-EV194-EV575)</f>
        <v>0</v>
      </c>
      <c r="EW235" s="482">
        <f t="shared" si="818"/>
        <v>0</v>
      </c>
      <c r="EX235" s="1244">
        <f>IF(EX5="A","",EU235-EX197-EX194-EX575)</f>
        <v>0</v>
      </c>
      <c r="EY235" s="482">
        <f>IF(EY5="A","",EX235-EY197-EY194-EY575)</f>
        <v>0</v>
      </c>
      <c r="EZ235" s="482">
        <f t="shared" si="819"/>
        <v>0</v>
      </c>
      <c r="FA235" s="1244">
        <f>IF(FA5="A","",EX235-FA197-FA194-FA575)</f>
        <v>0</v>
      </c>
      <c r="FB235" s="1571"/>
      <c r="FE235"/>
      <c r="FF235"/>
      <c r="FG235"/>
      <c r="FH235"/>
      <c r="FI235"/>
      <c r="FJ235"/>
      <c r="FK235" s="35"/>
    </row>
    <row r="236" spans="1:167" s="236" customFormat="1" ht="13.35" customHeight="1" thickBot="1">
      <c r="B236" s="485" t="s">
        <v>152</v>
      </c>
      <c r="C236" s="242" t="s">
        <v>496</v>
      </c>
      <c r="D236" s="243"/>
      <c r="E236" s="482">
        <f>+SUM(E237:E240)</f>
        <v>0</v>
      </c>
      <c r="F236" s="482">
        <f t="shared" si="769"/>
        <v>0</v>
      </c>
      <c r="G236" s="482">
        <f>+SUM(G237:G240)</f>
        <v>0</v>
      </c>
      <c r="H236" s="482">
        <f>+SUM(H237:H240)</f>
        <v>0</v>
      </c>
      <c r="I236" s="482">
        <f t="shared" si="770"/>
        <v>0</v>
      </c>
      <c r="J236" s="482">
        <f>+SUM(J237:J240)</f>
        <v>0</v>
      </c>
      <c r="K236" s="482">
        <f>+SUM(K237:K240)</f>
        <v>0</v>
      </c>
      <c r="L236" s="482">
        <f t="shared" si="771"/>
        <v>0</v>
      </c>
      <c r="M236" s="482">
        <f>+SUM(M237:M240)</f>
        <v>0</v>
      </c>
      <c r="N236" s="482">
        <f>+SUM(N237:N240)</f>
        <v>0</v>
      </c>
      <c r="O236" s="482">
        <f t="shared" si="772"/>
        <v>0</v>
      </c>
      <c r="P236" s="482">
        <f>+SUM(P237:P240)</f>
        <v>0</v>
      </c>
      <c r="Q236" s="482">
        <f>+SUM(Q237:Q240)</f>
        <v>0</v>
      </c>
      <c r="R236" s="482">
        <f t="shared" si="773"/>
        <v>0</v>
      </c>
      <c r="S236" s="482">
        <f>+SUM(S237:S240)</f>
        <v>0</v>
      </c>
      <c r="T236" s="482">
        <f>+SUM(T237:T240)</f>
        <v>0</v>
      </c>
      <c r="U236" s="482">
        <f t="shared" si="774"/>
        <v>0</v>
      </c>
      <c r="V236" s="482">
        <f>+SUM(V237:V240)</f>
        <v>0</v>
      </c>
      <c r="W236" s="482">
        <f>+SUM(W237:W240)</f>
        <v>0</v>
      </c>
      <c r="X236" s="482">
        <f t="shared" si="775"/>
        <v>0</v>
      </c>
      <c r="Y236" s="482">
        <f>+SUM(Y237:Y240)</f>
        <v>0</v>
      </c>
      <c r="Z236" s="482">
        <f>+SUM(Z237:Z240)</f>
        <v>0</v>
      </c>
      <c r="AA236" s="482">
        <f t="shared" si="776"/>
        <v>0</v>
      </c>
      <c r="AB236" s="482">
        <f>+SUM(AB237:AB240)</f>
        <v>0</v>
      </c>
      <c r="AC236" s="482">
        <f>+SUM(AC237:AC240)</f>
        <v>0</v>
      </c>
      <c r="AD236" s="482">
        <f t="shared" si="777"/>
        <v>0</v>
      </c>
      <c r="AE236" s="482">
        <f>+SUM(AE237:AE240)</f>
        <v>0</v>
      </c>
      <c r="AF236" s="482">
        <f>+SUM(AF237:AF240)</f>
        <v>0</v>
      </c>
      <c r="AG236" s="482">
        <f t="shared" si="778"/>
        <v>0</v>
      </c>
      <c r="AH236" s="482">
        <f>+SUM(AH237:AH240)</f>
        <v>0</v>
      </c>
      <c r="AI236" s="482">
        <f>+SUM(AI237:AI240)</f>
        <v>11.6</v>
      </c>
      <c r="AJ236" s="482">
        <f t="shared" si="779"/>
        <v>7.9420000000000002</v>
      </c>
      <c r="AK236" s="482">
        <f>+SUM(AK237:AK240)</f>
        <v>7.9420000000000002</v>
      </c>
      <c r="AL236" s="482">
        <f>+SUM(AL237:AL240)</f>
        <v>5.9320000000000004</v>
      </c>
      <c r="AM236" s="482">
        <f t="shared" si="780"/>
        <v>5.8</v>
      </c>
      <c r="AN236" s="482">
        <f>+SUM(AN237:AN240)</f>
        <v>5.8</v>
      </c>
      <c r="AO236" s="482">
        <f>+SUM(AO237:AO240)</f>
        <v>6.907</v>
      </c>
      <c r="AP236" s="482">
        <f t="shared" si="781"/>
        <v>8.0890000000000004</v>
      </c>
      <c r="AQ236" s="482">
        <f>+SUM(AQ237:AQ240)</f>
        <v>8.0890000000000004</v>
      </c>
      <c r="AR236" s="482">
        <f>+SUM(AR237:AR240)</f>
        <v>12.605</v>
      </c>
      <c r="AS236" s="482">
        <f t="shared" si="782"/>
        <v>13.628</v>
      </c>
      <c r="AT236" s="482">
        <f>+SUM(AT237:AT240)</f>
        <v>13.628</v>
      </c>
      <c r="AU236" s="482">
        <f>+SUM(AU237:AU240)</f>
        <v>14.836</v>
      </c>
      <c r="AV236" s="482">
        <f t="shared" si="783"/>
        <v>11.361000000000001</v>
      </c>
      <c r="AW236" s="482">
        <f>+SUM(AW237:AW240)</f>
        <v>11.361000000000001</v>
      </c>
      <c r="AX236" s="482">
        <f>+SUM(AX237:AX240)</f>
        <v>14.06</v>
      </c>
      <c r="AY236" s="482">
        <f t="shared" si="784"/>
        <v>14.068</v>
      </c>
      <c r="AZ236" s="482">
        <f>+SUM(AZ237:AZ240)</f>
        <v>14.068</v>
      </c>
      <c r="BA236" s="482">
        <f>+SUM(BA237:BA240)</f>
        <v>17.45</v>
      </c>
      <c r="BB236" s="482">
        <f t="shared" si="785"/>
        <v>27.068000000000001</v>
      </c>
      <c r="BC236" s="482">
        <f>+SUM(BC237:BC240)</f>
        <v>27.068000000000001</v>
      </c>
      <c r="BD236" s="482">
        <f>+SUM(BD237:BD240)</f>
        <v>36.802</v>
      </c>
      <c r="BE236" s="482">
        <f t="shared" si="786"/>
        <v>36.380000000000003</v>
      </c>
      <c r="BF236" s="482">
        <f>+SUM(BF237:BF240)</f>
        <v>36.380000000000003</v>
      </c>
      <c r="BG236" s="482">
        <f>+SUM(BG237:BG240)</f>
        <v>40.646999999999998</v>
      </c>
      <c r="BH236" s="482">
        <f t="shared" si="787"/>
        <v>45.023000000000003</v>
      </c>
      <c r="BI236" s="482">
        <f>+SUM(BI237:BI240)</f>
        <v>45.023000000000003</v>
      </c>
      <c r="BJ236" s="482">
        <f>+SUM(BJ237:BJ240)</f>
        <v>48.984999999999999</v>
      </c>
      <c r="BK236" s="482">
        <f t="shared" si="788"/>
        <v>44.837000000000003</v>
      </c>
      <c r="BL236" s="482">
        <f>+SUM(BL237:BL240)</f>
        <v>44.837000000000003</v>
      </c>
      <c r="BM236" s="482">
        <f>+SUM(BM237:BM240)</f>
        <v>40.747999999999998</v>
      </c>
      <c r="BN236" s="482">
        <f t="shared" si="789"/>
        <v>49.518000000000001</v>
      </c>
      <c r="BO236" s="482">
        <f>+SUM(BO237:BO240)</f>
        <v>49.518000000000001</v>
      </c>
      <c r="BP236" s="482">
        <f>+SUM(BP237:BP240)</f>
        <v>56.734999999999999</v>
      </c>
      <c r="BQ236" s="482">
        <f t="shared" si="790"/>
        <v>76.822000000000003</v>
      </c>
      <c r="BR236" s="482">
        <f>+SUM(BR237:BR240)</f>
        <v>76.822000000000003</v>
      </c>
      <c r="BS236" s="482">
        <f>+SUM(BS237:BS240)</f>
        <v>85.9</v>
      </c>
      <c r="BT236" s="482">
        <f t="shared" si="791"/>
        <v>91.89</v>
      </c>
      <c r="BU236" s="482">
        <f>+SUM(BU237:BU240)</f>
        <v>91.89</v>
      </c>
      <c r="BV236" s="482">
        <f>+SUM(BV237:BV240)</f>
        <v>99.507000000000005</v>
      </c>
      <c r="BW236" s="482">
        <f t="shared" si="792"/>
        <v>99.168999999999997</v>
      </c>
      <c r="BX236" s="482">
        <f>+SUM(BX237:BX240)</f>
        <v>99.168999999999997</v>
      </c>
      <c r="BY236" s="482">
        <f>+SUM(BY237:BY240)</f>
        <v>96.19</v>
      </c>
      <c r="BZ236" s="482">
        <f t="shared" si="793"/>
        <v>105.944</v>
      </c>
      <c r="CA236" s="482">
        <f>+SUM(CA237:CA240)</f>
        <v>105.944</v>
      </c>
      <c r="CB236" s="482">
        <f>+SUM(CB237:CB240)</f>
        <v>97.367000000000004</v>
      </c>
      <c r="CC236" s="482">
        <f t="shared" si="794"/>
        <v>104.407</v>
      </c>
      <c r="CD236" s="482">
        <f>+SUM(CD237:CD240)</f>
        <v>104.407</v>
      </c>
      <c r="CE236" s="482">
        <f>+SUM(CE237:CE240)</f>
        <v>107.199</v>
      </c>
      <c r="CF236" s="482">
        <f t="shared" si="795"/>
        <v>106.126</v>
      </c>
      <c r="CG236" s="482">
        <f>+SUM(CG237:CG240)</f>
        <v>106.126</v>
      </c>
      <c r="CH236" s="482">
        <f>+SUM(CH237:CH240)</f>
        <v>92.524000000000001</v>
      </c>
      <c r="CI236" s="482">
        <f t="shared" si="796"/>
        <v>101.298</v>
      </c>
      <c r="CJ236" s="482">
        <f>+SUM(CJ237:CJ240)</f>
        <v>101.298</v>
      </c>
      <c r="CK236" s="482">
        <f>+SUM(CK237:CK240)</f>
        <v>115.715</v>
      </c>
      <c r="CL236" s="482">
        <f t="shared" si="797"/>
        <v>131.57400000000001</v>
      </c>
      <c r="CM236" s="482">
        <f>+SUM(CM237:CM240)</f>
        <v>131.57400000000001</v>
      </c>
      <c r="CN236" s="482">
        <f>+SUM(CN237:CN240)</f>
        <v>140.721</v>
      </c>
      <c r="CO236" s="482">
        <f t="shared" si="798"/>
        <v>128.613</v>
      </c>
      <c r="CP236" s="482">
        <f>+SUM(CP237:CP240)</f>
        <v>128.613</v>
      </c>
      <c r="CQ236" s="482">
        <f>+SUM(CQ237:CQ240)</f>
        <v>138.495</v>
      </c>
      <c r="CR236" s="482">
        <f t="shared" si="799"/>
        <v>149.714</v>
      </c>
      <c r="CS236" s="482">
        <f>+SUM(CS237:CS240)</f>
        <v>149.714</v>
      </c>
      <c r="CT236" s="482">
        <f>+SUM(CT237:CT240)</f>
        <v>153.05699999999999</v>
      </c>
      <c r="CU236" s="482">
        <f t="shared" si="800"/>
        <v>165.55700000000002</v>
      </c>
      <c r="CV236" s="482">
        <f>+SUM(CV237:CV240)</f>
        <v>165.55700000000002</v>
      </c>
      <c r="CW236" s="482">
        <f>+SUM(CW237:CW240)</f>
        <v>168.59199999999998</v>
      </c>
      <c r="CX236" s="482">
        <f t="shared" si="801"/>
        <v>178.441</v>
      </c>
      <c r="CY236" s="482">
        <f>+SUM(CY237:CY240)</f>
        <v>178.441</v>
      </c>
      <c r="CZ236" s="482">
        <f>+SUM(CZ237:CZ240)</f>
        <v>193.3</v>
      </c>
      <c r="DA236" s="482">
        <f t="shared" si="802"/>
        <v>167.4</v>
      </c>
      <c r="DB236" s="482">
        <f>+SUM(DB237:DB240)</f>
        <v>167.4</v>
      </c>
      <c r="DC236" s="482">
        <f>+SUM(DC237:DC240)</f>
        <v>176.5</v>
      </c>
      <c r="DD236" s="482">
        <f t="shared" si="803"/>
        <v>195.4</v>
      </c>
      <c r="DE236" s="482">
        <f>+SUM(DE237:DE240)</f>
        <v>195.4</v>
      </c>
      <c r="DF236" s="482">
        <f>+SUM(DF237:DF240)</f>
        <v>204</v>
      </c>
      <c r="DG236" s="482">
        <f t="shared" si="804"/>
        <v>223.8</v>
      </c>
      <c r="DH236" s="1244">
        <f>+SUM(DH237:DH240)</f>
        <v>223.8</v>
      </c>
      <c r="DI236" s="482">
        <f>+SUM(DI237:DI240)</f>
        <v>196.8</v>
      </c>
      <c r="DJ236" s="482">
        <f t="shared" si="805"/>
        <v>216.1</v>
      </c>
      <c r="DK236" s="1244">
        <f>+SUM(DK237:DK240)</f>
        <v>216.1</v>
      </c>
      <c r="DL236" s="482">
        <f>+SUM(DL237:DL240)</f>
        <v>238</v>
      </c>
      <c r="DM236" s="482">
        <f t="shared" si="806"/>
        <v>270.2</v>
      </c>
      <c r="DN236" s="1244">
        <f>+SUM(DN237:DN240)</f>
        <v>270.2</v>
      </c>
      <c r="DO236" s="482">
        <f>+SUM(DO237:DO240)</f>
        <v>285.7</v>
      </c>
      <c r="DP236" s="482">
        <f t="shared" si="807"/>
        <v>311.5</v>
      </c>
      <c r="DQ236" s="1244">
        <f>+SUM(DQ237:DQ240)</f>
        <v>311.5</v>
      </c>
      <c r="DR236" s="482">
        <f>+SUM(DR237:DR240)</f>
        <v>321.5</v>
      </c>
      <c r="DS236" s="482">
        <f t="shared" si="808"/>
        <v>391.6</v>
      </c>
      <c r="DT236" s="1244">
        <f>+SUM(DT237:DT240)</f>
        <v>391.6</v>
      </c>
      <c r="DU236" s="482">
        <f>+SUM(DU237:DU240)</f>
        <v>461.1</v>
      </c>
      <c r="DV236" s="482">
        <f t="shared" si="809"/>
        <v>499.4</v>
      </c>
      <c r="DW236" s="1244">
        <f>+SUM(DW237:DW240)</f>
        <v>499.4</v>
      </c>
      <c r="DX236" s="482">
        <f>+SUM(DX237:DX240)</f>
        <v>566.1</v>
      </c>
      <c r="DY236" s="482">
        <f t="shared" si="810"/>
        <v>608.5793036854194</v>
      </c>
      <c r="DZ236" s="1244">
        <f>+SUM(DZ237:DZ240)</f>
        <v>608.5793036854194</v>
      </c>
      <c r="EA236" s="482">
        <f>+SUM(EA237:EA240)</f>
        <v>612.50658013733596</v>
      </c>
      <c r="EB236" s="482">
        <f t="shared" si="811"/>
        <v>621.9420629034538</v>
      </c>
      <c r="EC236" s="1244">
        <f>+SUM(EC237:EC240)</f>
        <v>621.9420629034538</v>
      </c>
      <c r="ED236" s="482">
        <f>+SUM(ED237:ED240)</f>
        <v>648.7785104923189</v>
      </c>
      <c r="EE236" s="482">
        <f t="shared" si="812"/>
        <v>658.8127858657391</v>
      </c>
      <c r="EF236" s="1244">
        <f>+SUM(EF237:EF240)</f>
        <v>658.8127858657391</v>
      </c>
      <c r="EG236" s="482">
        <f>+SUM(EG237:EG240)</f>
        <v>690.72279558926402</v>
      </c>
      <c r="EH236" s="482">
        <f t="shared" si="813"/>
        <v>701.40579853333804</v>
      </c>
      <c r="EI236" s="1244">
        <f>+SUM(EI237:EI240)</f>
        <v>701.40579853333804</v>
      </c>
      <c r="EJ236" s="482">
        <f>+SUM(EJ237:EJ240)</f>
        <v>734.96194606867175</v>
      </c>
      <c r="EK236" s="482">
        <f t="shared" si="814"/>
        <v>746.32916991559227</v>
      </c>
      <c r="EL236" s="1244">
        <f>+SUM(EL237:EL240)</f>
        <v>746.32916991559227</v>
      </c>
      <c r="EM236" s="482">
        <f>+SUM(EM237:EM240)</f>
        <v>781.56928899009972</v>
      </c>
      <c r="EN236" s="482">
        <f t="shared" si="815"/>
        <v>793.65736117853237</v>
      </c>
      <c r="EO236" s="1244">
        <f>+SUM(EO237:EO240)</f>
        <v>793.65736117853237</v>
      </c>
      <c r="EP236" s="482">
        <f>+SUM(EP237:EP240)</f>
        <v>830.61276187422845</v>
      </c>
      <c r="EQ236" s="482">
        <f t="shared" si="816"/>
        <v>843.45936059248538</v>
      </c>
      <c r="ER236" s="1244">
        <f>+SUM(ER237:ER240)</f>
        <v>843.45936059248538</v>
      </c>
      <c r="ES236" s="482">
        <f>+SUM(ES237:ES240)</f>
        <v>882.15334863668079</v>
      </c>
      <c r="ET236" s="482">
        <f t="shared" si="817"/>
        <v>895.79709527540376</v>
      </c>
      <c r="EU236" s="1244">
        <f>+SUM(EU237:EU240)</f>
        <v>895.79709527540376</v>
      </c>
      <c r="EV236" s="482">
        <f>+SUM(EV237:EV240)</f>
        <v>936.24327764519307</v>
      </c>
      <c r="EW236" s="482">
        <f t="shared" si="818"/>
        <v>950.72360138044826</v>
      </c>
      <c r="EX236" s="1244">
        <f>+SUM(EX237:EX240)</f>
        <v>950.72360138044826</v>
      </c>
      <c r="EY236" s="482">
        <f>+SUM(EY237:EY240)</f>
        <v>992.92395175128036</v>
      </c>
      <c r="EZ236" s="482">
        <f t="shared" si="819"/>
        <v>1008.2809221126701</v>
      </c>
      <c r="FA236" s="1244">
        <f>+SUM(FA237:FA240)</f>
        <v>1008.2809221126701</v>
      </c>
      <c r="FB236" s="1571"/>
      <c r="FE236"/>
      <c r="FF236"/>
      <c r="FG236"/>
      <c r="FH236"/>
      <c r="FI236"/>
      <c r="FJ236"/>
      <c r="FK236" s="35"/>
    </row>
    <row r="237" spans="1:167" s="236" customFormat="1" ht="13.35" customHeight="1" outlineLevel="1">
      <c r="B237" s="242" t="s">
        <v>708</v>
      </c>
      <c r="C237" s="242" t="s">
        <v>496</v>
      </c>
      <c r="D237" s="243"/>
      <c r="E237" s="511"/>
      <c r="F237" s="510">
        <f t="shared" si="769"/>
        <v>0</v>
      </c>
      <c r="G237" s="512"/>
      <c r="H237" s="513"/>
      <c r="I237" s="510">
        <f t="shared" si="770"/>
        <v>0</v>
      </c>
      <c r="J237" s="512"/>
      <c r="K237" s="513"/>
      <c r="L237" s="510">
        <f t="shared" si="771"/>
        <v>0</v>
      </c>
      <c r="M237" s="512"/>
      <c r="N237" s="513"/>
      <c r="O237" s="510">
        <f t="shared" si="772"/>
        <v>0</v>
      </c>
      <c r="P237" s="512"/>
      <c r="Q237" s="513"/>
      <c r="R237" s="510">
        <f t="shared" si="773"/>
        <v>0</v>
      </c>
      <c r="S237" s="512"/>
      <c r="T237" s="513"/>
      <c r="U237" s="510">
        <f t="shared" si="774"/>
        <v>0</v>
      </c>
      <c r="V237" s="512"/>
      <c r="W237" s="513"/>
      <c r="X237" s="510">
        <f t="shared" si="775"/>
        <v>0</v>
      </c>
      <c r="Y237" s="512"/>
      <c r="Z237" s="513"/>
      <c r="AA237" s="510">
        <f t="shared" si="776"/>
        <v>0</v>
      </c>
      <c r="AB237" s="512"/>
      <c r="AC237" s="513"/>
      <c r="AD237" s="510">
        <f t="shared" si="777"/>
        <v>0</v>
      </c>
      <c r="AE237" s="512"/>
      <c r="AF237" s="513"/>
      <c r="AG237" s="510">
        <f t="shared" si="778"/>
        <v>0</v>
      </c>
      <c r="AH237" s="512"/>
      <c r="AI237" s="513"/>
      <c r="AJ237" s="510">
        <f t="shared" si="779"/>
        <v>0</v>
      </c>
      <c r="AK237" s="512"/>
      <c r="AL237" s="513"/>
      <c r="AM237" s="510">
        <f t="shared" si="780"/>
        <v>0</v>
      </c>
      <c r="AN237" s="512"/>
      <c r="AO237" s="513"/>
      <c r="AP237" s="510">
        <f t="shared" si="781"/>
        <v>0</v>
      </c>
      <c r="AQ237" s="512"/>
      <c r="AR237" s="513"/>
      <c r="AS237" s="510">
        <f t="shared" si="782"/>
        <v>0</v>
      </c>
      <c r="AT237" s="512"/>
      <c r="AU237" s="513"/>
      <c r="AV237" s="510">
        <f t="shared" si="783"/>
        <v>0</v>
      </c>
      <c r="AW237" s="512"/>
      <c r="AX237" s="513"/>
      <c r="AY237" s="510">
        <f t="shared" si="784"/>
        <v>0</v>
      </c>
      <c r="AZ237" s="512"/>
      <c r="BA237" s="513"/>
      <c r="BB237" s="510">
        <f t="shared" si="785"/>
        <v>0</v>
      </c>
      <c r="BC237" s="512"/>
      <c r="BD237" s="513"/>
      <c r="BE237" s="510">
        <f t="shared" si="786"/>
        <v>0</v>
      </c>
      <c r="BF237" s="512"/>
      <c r="BG237" s="513"/>
      <c r="BH237" s="510">
        <f t="shared" si="787"/>
        <v>0</v>
      </c>
      <c r="BI237" s="512"/>
      <c r="BJ237" s="513"/>
      <c r="BK237" s="510">
        <f t="shared" si="788"/>
        <v>0</v>
      </c>
      <c r="BL237" s="512"/>
      <c r="BM237" s="513"/>
      <c r="BN237" s="510">
        <f t="shared" si="789"/>
        <v>0</v>
      </c>
      <c r="BO237" s="511"/>
      <c r="BP237" s="513"/>
      <c r="BQ237" s="510">
        <f t="shared" si="790"/>
        <v>0</v>
      </c>
      <c r="BR237" s="511"/>
      <c r="BS237" s="513"/>
      <c r="BT237" s="510">
        <f t="shared" si="791"/>
        <v>0</v>
      </c>
      <c r="BU237" s="511"/>
      <c r="BV237" s="513"/>
      <c r="BW237" s="510">
        <f t="shared" si="792"/>
        <v>0</v>
      </c>
      <c r="BX237" s="511"/>
      <c r="BY237" s="513"/>
      <c r="BZ237" s="510">
        <f t="shared" si="793"/>
        <v>0</v>
      </c>
      <c r="CA237" s="511"/>
      <c r="CB237" s="513"/>
      <c r="CC237" s="510">
        <f t="shared" si="794"/>
        <v>0</v>
      </c>
      <c r="CD237" s="511"/>
      <c r="CE237" s="513"/>
      <c r="CF237" s="510">
        <f t="shared" si="795"/>
        <v>0</v>
      </c>
      <c r="CG237" s="511"/>
      <c r="CH237" s="513"/>
      <c r="CI237" s="510">
        <f t="shared" si="796"/>
        <v>0</v>
      </c>
      <c r="CJ237" s="511"/>
      <c r="CK237" s="513"/>
      <c r="CL237" s="510">
        <f t="shared" si="797"/>
        <v>0</v>
      </c>
      <c r="CM237" s="511"/>
      <c r="CN237" s="513"/>
      <c r="CO237" s="510">
        <f t="shared" si="798"/>
        <v>0</v>
      </c>
      <c r="CP237" s="511"/>
      <c r="CQ237" s="513"/>
      <c r="CR237" s="510">
        <f t="shared" si="799"/>
        <v>0</v>
      </c>
      <c r="CS237" s="511"/>
      <c r="CT237" s="513"/>
      <c r="CU237" s="510">
        <f t="shared" si="800"/>
        <v>0</v>
      </c>
      <c r="CV237" s="511"/>
      <c r="CW237" s="513"/>
      <c r="CX237" s="510">
        <f t="shared" si="801"/>
        <v>0</v>
      </c>
      <c r="CY237" s="511"/>
      <c r="CZ237" s="513"/>
      <c r="DA237" s="510">
        <f t="shared" si="802"/>
        <v>0</v>
      </c>
      <c r="DB237" s="511"/>
      <c r="DC237" s="513"/>
      <c r="DD237" s="510">
        <f t="shared" si="803"/>
        <v>0</v>
      </c>
      <c r="DE237" s="511"/>
      <c r="DF237" s="513"/>
      <c r="DG237" s="510">
        <f t="shared" si="804"/>
        <v>0</v>
      </c>
      <c r="DH237" s="1257"/>
      <c r="DI237" s="482"/>
      <c r="DJ237" s="482">
        <f t="shared" si="805"/>
        <v>0</v>
      </c>
      <c r="DK237" s="1244"/>
      <c r="DL237" s="482"/>
      <c r="DM237" s="482">
        <f t="shared" si="806"/>
        <v>0</v>
      </c>
      <c r="DN237" s="1244"/>
      <c r="DO237" s="482"/>
      <c r="DP237" s="482">
        <f t="shared" si="807"/>
        <v>0</v>
      </c>
      <c r="DQ237" s="1244"/>
      <c r="DR237" s="482"/>
      <c r="DS237" s="482">
        <f t="shared" si="808"/>
        <v>0</v>
      </c>
      <c r="DT237" s="1244"/>
      <c r="DU237" s="482"/>
      <c r="DV237" s="482">
        <f t="shared" si="809"/>
        <v>0</v>
      </c>
      <c r="DW237" s="1244"/>
      <c r="DX237" s="482"/>
      <c r="DY237" s="482">
        <f t="shared" si="810"/>
        <v>0</v>
      </c>
      <c r="DZ237" s="1244"/>
      <c r="EA237" s="482"/>
      <c r="EB237" s="482">
        <f t="shared" si="811"/>
        <v>0</v>
      </c>
      <c r="EC237" s="1244"/>
      <c r="ED237" s="482"/>
      <c r="EE237" s="482">
        <f t="shared" si="812"/>
        <v>0</v>
      </c>
      <c r="EF237" s="1244"/>
      <c r="EG237" s="482"/>
      <c r="EH237" s="482">
        <f t="shared" si="813"/>
        <v>0</v>
      </c>
      <c r="EI237" s="1244"/>
      <c r="EJ237" s="482"/>
      <c r="EK237" s="482">
        <f t="shared" si="814"/>
        <v>0</v>
      </c>
      <c r="EL237" s="1244"/>
      <c r="EM237" s="482"/>
      <c r="EN237" s="482">
        <f t="shared" si="815"/>
        <v>0</v>
      </c>
      <c r="EO237" s="1244"/>
      <c r="EP237" s="482"/>
      <c r="EQ237" s="482">
        <f t="shared" si="816"/>
        <v>0</v>
      </c>
      <c r="ER237" s="1244"/>
      <c r="ES237" s="482"/>
      <c r="ET237" s="482">
        <f t="shared" si="817"/>
        <v>0</v>
      </c>
      <c r="EU237" s="1244"/>
      <c r="EV237" s="482"/>
      <c r="EW237" s="482">
        <f t="shared" si="818"/>
        <v>0</v>
      </c>
      <c r="EX237" s="1244"/>
      <c r="EY237" s="482"/>
      <c r="EZ237" s="482">
        <f t="shared" si="819"/>
        <v>0</v>
      </c>
      <c r="FA237" s="1244"/>
      <c r="FB237" s="1571"/>
      <c r="FE237"/>
      <c r="FF237"/>
      <c r="FG237"/>
      <c r="FH237"/>
      <c r="FI237"/>
      <c r="FJ237"/>
      <c r="FK237" s="35"/>
    </row>
    <row r="238" spans="1:167" s="236" customFormat="1" ht="13.35" customHeight="1" outlineLevel="1">
      <c r="B238" s="242" t="s">
        <v>709</v>
      </c>
      <c r="C238" s="242" t="s">
        <v>496</v>
      </c>
      <c r="D238" s="243"/>
      <c r="E238" s="516"/>
      <c r="F238" s="482">
        <f t="shared" si="769"/>
        <v>0</v>
      </c>
      <c r="G238" s="517"/>
      <c r="H238" s="518"/>
      <c r="I238" s="482">
        <f t="shared" si="770"/>
        <v>0</v>
      </c>
      <c r="J238" s="517"/>
      <c r="K238" s="518"/>
      <c r="L238" s="482">
        <f t="shared" si="771"/>
        <v>0</v>
      </c>
      <c r="M238" s="517"/>
      <c r="N238" s="518"/>
      <c r="O238" s="482">
        <f t="shared" si="772"/>
        <v>0</v>
      </c>
      <c r="P238" s="517"/>
      <c r="Q238" s="518"/>
      <c r="R238" s="482">
        <f t="shared" si="773"/>
        <v>0</v>
      </c>
      <c r="S238" s="517"/>
      <c r="T238" s="518"/>
      <c r="U238" s="482">
        <f t="shared" si="774"/>
        <v>0</v>
      </c>
      <c r="V238" s="517"/>
      <c r="W238" s="518"/>
      <c r="X238" s="482">
        <f t="shared" si="775"/>
        <v>0</v>
      </c>
      <c r="Y238" s="517"/>
      <c r="Z238" s="518"/>
      <c r="AA238" s="482">
        <f t="shared" si="776"/>
        <v>0</v>
      </c>
      <c r="AB238" s="517"/>
      <c r="AC238" s="518"/>
      <c r="AD238" s="482">
        <f t="shared" si="777"/>
        <v>0</v>
      </c>
      <c r="AE238" s="517"/>
      <c r="AF238" s="518"/>
      <c r="AG238" s="482">
        <f t="shared" si="778"/>
        <v>0</v>
      </c>
      <c r="AH238" s="517"/>
      <c r="AI238" s="518"/>
      <c r="AJ238" s="482">
        <f t="shared" si="779"/>
        <v>0</v>
      </c>
      <c r="AK238" s="517"/>
      <c r="AL238" s="518"/>
      <c r="AM238" s="482">
        <f t="shared" si="780"/>
        <v>0</v>
      </c>
      <c r="AN238" s="517"/>
      <c r="AO238" s="518"/>
      <c r="AP238" s="482">
        <f t="shared" si="781"/>
        <v>0</v>
      </c>
      <c r="AQ238" s="517"/>
      <c r="AR238" s="518"/>
      <c r="AS238" s="482">
        <f t="shared" si="782"/>
        <v>0</v>
      </c>
      <c r="AT238" s="517"/>
      <c r="AU238" s="518"/>
      <c r="AV238" s="482">
        <f t="shared" si="783"/>
        <v>0</v>
      </c>
      <c r="AW238" s="517"/>
      <c r="AX238" s="518"/>
      <c r="AY238" s="482">
        <f t="shared" si="784"/>
        <v>0</v>
      </c>
      <c r="AZ238" s="517"/>
      <c r="BA238" s="518"/>
      <c r="BB238" s="482">
        <f t="shared" si="785"/>
        <v>0</v>
      </c>
      <c r="BC238" s="517"/>
      <c r="BD238" s="518"/>
      <c r="BE238" s="482">
        <f t="shared" si="786"/>
        <v>0</v>
      </c>
      <c r="BF238" s="517"/>
      <c r="BG238" s="518"/>
      <c r="BH238" s="482">
        <f t="shared" si="787"/>
        <v>0</v>
      </c>
      <c r="BI238" s="517"/>
      <c r="BJ238" s="518"/>
      <c r="BK238" s="482">
        <f t="shared" si="788"/>
        <v>0</v>
      </c>
      <c r="BL238" s="517"/>
      <c r="BM238" s="518"/>
      <c r="BN238" s="482">
        <f t="shared" si="789"/>
        <v>0</v>
      </c>
      <c r="BO238" s="516"/>
      <c r="BP238" s="518"/>
      <c r="BQ238" s="482">
        <f t="shared" si="790"/>
        <v>0</v>
      </c>
      <c r="BR238" s="516"/>
      <c r="BS238" s="518"/>
      <c r="BT238" s="482">
        <f t="shared" si="791"/>
        <v>0</v>
      </c>
      <c r="BU238" s="516"/>
      <c r="BV238" s="518"/>
      <c r="BW238" s="482">
        <f t="shared" si="792"/>
        <v>0</v>
      </c>
      <c r="BX238" s="516"/>
      <c r="BY238" s="518"/>
      <c r="BZ238" s="482">
        <f t="shared" si="793"/>
        <v>0</v>
      </c>
      <c r="CA238" s="516"/>
      <c r="CB238" s="518"/>
      <c r="CC238" s="482">
        <f t="shared" si="794"/>
        <v>0</v>
      </c>
      <c r="CD238" s="516"/>
      <c r="CE238" s="518"/>
      <c r="CF238" s="482">
        <f t="shared" si="795"/>
        <v>0</v>
      </c>
      <c r="CG238" s="516"/>
      <c r="CH238" s="518"/>
      <c r="CI238" s="482">
        <f t="shared" si="796"/>
        <v>0</v>
      </c>
      <c r="CJ238" s="516"/>
      <c r="CK238" s="518"/>
      <c r="CL238" s="482">
        <f t="shared" si="797"/>
        <v>0</v>
      </c>
      <c r="CM238" s="516"/>
      <c r="CN238" s="518"/>
      <c r="CO238" s="482">
        <f t="shared" si="798"/>
        <v>0</v>
      </c>
      <c r="CP238" s="516"/>
      <c r="CQ238" s="518"/>
      <c r="CR238" s="482">
        <f t="shared" si="799"/>
        <v>0</v>
      </c>
      <c r="CS238" s="516"/>
      <c r="CT238" s="518"/>
      <c r="CU238" s="482">
        <f t="shared" si="800"/>
        <v>0</v>
      </c>
      <c r="CV238" s="516"/>
      <c r="CW238" s="518"/>
      <c r="CX238" s="482">
        <f t="shared" si="801"/>
        <v>0</v>
      </c>
      <c r="CY238" s="516"/>
      <c r="CZ238" s="518"/>
      <c r="DA238" s="482">
        <f t="shared" si="802"/>
        <v>0</v>
      </c>
      <c r="DB238" s="516"/>
      <c r="DC238" s="518"/>
      <c r="DD238" s="482">
        <f t="shared" si="803"/>
        <v>0</v>
      </c>
      <c r="DE238" s="516"/>
      <c r="DF238" s="518"/>
      <c r="DG238" s="482">
        <f t="shared" si="804"/>
        <v>0</v>
      </c>
      <c r="DH238" s="1258"/>
      <c r="DI238" s="482"/>
      <c r="DJ238" s="482">
        <f t="shared" si="805"/>
        <v>0</v>
      </c>
      <c r="DK238" s="1244"/>
      <c r="DL238" s="482"/>
      <c r="DM238" s="482">
        <f t="shared" si="806"/>
        <v>0</v>
      </c>
      <c r="DN238" s="1244"/>
      <c r="DO238" s="482"/>
      <c r="DP238" s="482">
        <f t="shared" si="807"/>
        <v>0</v>
      </c>
      <c r="DQ238" s="1244"/>
      <c r="DR238" s="482"/>
      <c r="DS238" s="482">
        <f t="shared" si="808"/>
        <v>0</v>
      </c>
      <c r="DT238" s="1244"/>
      <c r="DU238" s="482"/>
      <c r="DV238" s="482">
        <f t="shared" si="809"/>
        <v>0</v>
      </c>
      <c r="DW238" s="1244"/>
      <c r="DX238" s="482"/>
      <c r="DY238" s="482">
        <f t="shared" si="810"/>
        <v>0</v>
      </c>
      <c r="DZ238" s="1244"/>
      <c r="EA238" s="482"/>
      <c r="EB238" s="482">
        <f t="shared" si="811"/>
        <v>0</v>
      </c>
      <c r="EC238" s="1244"/>
      <c r="ED238" s="482"/>
      <c r="EE238" s="482">
        <f t="shared" si="812"/>
        <v>0</v>
      </c>
      <c r="EF238" s="1244"/>
      <c r="EG238" s="482"/>
      <c r="EH238" s="482">
        <f t="shared" si="813"/>
        <v>0</v>
      </c>
      <c r="EI238" s="1244"/>
      <c r="EJ238" s="482"/>
      <c r="EK238" s="482">
        <f t="shared" si="814"/>
        <v>0</v>
      </c>
      <c r="EL238" s="1244"/>
      <c r="EM238" s="482"/>
      <c r="EN238" s="482">
        <f t="shared" si="815"/>
        <v>0</v>
      </c>
      <c r="EO238" s="1244"/>
      <c r="EP238" s="482"/>
      <c r="EQ238" s="482">
        <f t="shared" si="816"/>
        <v>0</v>
      </c>
      <c r="ER238" s="1244"/>
      <c r="ES238" s="482"/>
      <c r="ET238" s="482">
        <f t="shared" si="817"/>
        <v>0</v>
      </c>
      <c r="EU238" s="1244"/>
      <c r="EV238" s="482"/>
      <c r="EW238" s="482">
        <f t="shared" si="818"/>
        <v>0</v>
      </c>
      <c r="EX238" s="1244"/>
      <c r="EY238" s="482"/>
      <c r="EZ238" s="482">
        <f t="shared" si="819"/>
        <v>0</v>
      </c>
      <c r="FA238" s="1244"/>
      <c r="FB238" s="1571"/>
      <c r="FE238"/>
      <c r="FF238"/>
      <c r="FG238"/>
      <c r="FH238"/>
      <c r="FI238"/>
      <c r="FJ238"/>
      <c r="FK238" s="35"/>
    </row>
    <row r="239" spans="1:167" s="236" customFormat="1" ht="13.35" customHeight="1" outlineLevel="1" thickBot="1">
      <c r="B239" s="242" t="s">
        <v>710</v>
      </c>
      <c r="C239" s="242" t="s">
        <v>496</v>
      </c>
      <c r="D239" s="243"/>
      <c r="E239" s="516"/>
      <c r="F239" s="482">
        <f t="shared" si="769"/>
        <v>0</v>
      </c>
      <c r="G239" s="517"/>
      <c r="H239" s="518"/>
      <c r="I239" s="482">
        <f t="shared" si="770"/>
        <v>0</v>
      </c>
      <c r="J239" s="517"/>
      <c r="K239" s="518"/>
      <c r="L239" s="482">
        <f t="shared" si="771"/>
        <v>0</v>
      </c>
      <c r="M239" s="517"/>
      <c r="N239" s="518"/>
      <c r="O239" s="482">
        <f t="shared" si="772"/>
        <v>0</v>
      </c>
      <c r="P239" s="517"/>
      <c r="Q239" s="518"/>
      <c r="R239" s="482">
        <f t="shared" si="773"/>
        <v>0</v>
      </c>
      <c r="S239" s="517"/>
      <c r="T239" s="518"/>
      <c r="U239" s="482">
        <f t="shared" si="774"/>
        <v>0</v>
      </c>
      <c r="V239" s="517"/>
      <c r="W239" s="518"/>
      <c r="X239" s="482">
        <f t="shared" si="775"/>
        <v>0</v>
      </c>
      <c r="Y239" s="517"/>
      <c r="Z239" s="518"/>
      <c r="AA239" s="482">
        <f t="shared" si="776"/>
        <v>0</v>
      </c>
      <c r="AB239" s="517"/>
      <c r="AC239" s="518"/>
      <c r="AD239" s="482">
        <f t="shared" si="777"/>
        <v>0</v>
      </c>
      <c r="AE239" s="517"/>
      <c r="AF239" s="518"/>
      <c r="AG239" s="482">
        <f t="shared" si="778"/>
        <v>0</v>
      </c>
      <c r="AH239" s="517"/>
      <c r="AI239" s="518"/>
      <c r="AJ239" s="482">
        <f t="shared" si="779"/>
        <v>0</v>
      </c>
      <c r="AK239" s="517"/>
      <c r="AL239" s="518"/>
      <c r="AM239" s="482">
        <f t="shared" si="780"/>
        <v>0</v>
      </c>
      <c r="AN239" s="517"/>
      <c r="AO239" s="518"/>
      <c r="AP239" s="482">
        <f t="shared" si="781"/>
        <v>0</v>
      </c>
      <c r="AQ239" s="517"/>
      <c r="AR239" s="518"/>
      <c r="AS239" s="482">
        <f t="shared" si="782"/>
        <v>0</v>
      </c>
      <c r="AT239" s="517"/>
      <c r="AU239" s="518"/>
      <c r="AV239" s="482">
        <f t="shared" si="783"/>
        <v>0</v>
      </c>
      <c r="AW239" s="517"/>
      <c r="AX239" s="518"/>
      <c r="AY239" s="482">
        <f t="shared" si="784"/>
        <v>0</v>
      </c>
      <c r="AZ239" s="517"/>
      <c r="BA239" s="518"/>
      <c r="BB239" s="482">
        <f t="shared" si="785"/>
        <v>0</v>
      </c>
      <c r="BC239" s="517"/>
      <c r="BD239" s="518"/>
      <c r="BE239" s="482">
        <f t="shared" si="786"/>
        <v>0</v>
      </c>
      <c r="BF239" s="517"/>
      <c r="BG239" s="518"/>
      <c r="BH239" s="482">
        <f t="shared" si="787"/>
        <v>0</v>
      </c>
      <c r="BI239" s="517"/>
      <c r="BJ239" s="518"/>
      <c r="BK239" s="482">
        <f t="shared" si="788"/>
        <v>0</v>
      </c>
      <c r="BL239" s="517"/>
      <c r="BM239" s="518"/>
      <c r="BN239" s="482">
        <f t="shared" si="789"/>
        <v>0</v>
      </c>
      <c r="BO239" s="516"/>
      <c r="BP239" s="518"/>
      <c r="BQ239" s="482">
        <f t="shared" si="790"/>
        <v>0</v>
      </c>
      <c r="BR239" s="516"/>
      <c r="BS239" s="518"/>
      <c r="BT239" s="482">
        <f t="shared" si="791"/>
        <v>0</v>
      </c>
      <c r="BU239" s="516"/>
      <c r="BV239" s="518"/>
      <c r="BW239" s="482">
        <f t="shared" si="792"/>
        <v>0</v>
      </c>
      <c r="BX239" s="516"/>
      <c r="BY239" s="518"/>
      <c r="BZ239" s="482">
        <f t="shared" si="793"/>
        <v>0</v>
      </c>
      <c r="CA239" s="516"/>
      <c r="CB239" s="518"/>
      <c r="CC239" s="482">
        <f t="shared" si="794"/>
        <v>0</v>
      </c>
      <c r="CD239" s="516"/>
      <c r="CE239" s="518"/>
      <c r="CF239" s="482">
        <f t="shared" si="795"/>
        <v>0</v>
      </c>
      <c r="CG239" s="516"/>
      <c r="CH239" s="518"/>
      <c r="CI239" s="482">
        <f t="shared" si="796"/>
        <v>0</v>
      </c>
      <c r="CJ239" s="516"/>
      <c r="CK239" s="518"/>
      <c r="CL239" s="482">
        <f t="shared" si="797"/>
        <v>0</v>
      </c>
      <c r="CM239" s="516"/>
      <c r="CN239" s="518"/>
      <c r="CO239" s="482">
        <f t="shared" si="798"/>
        <v>0</v>
      </c>
      <c r="CP239" s="516"/>
      <c r="CQ239" s="518"/>
      <c r="CR239" s="482">
        <f t="shared" si="799"/>
        <v>0</v>
      </c>
      <c r="CS239" s="516"/>
      <c r="CT239" s="518"/>
      <c r="CU239" s="482">
        <f t="shared" si="800"/>
        <v>0</v>
      </c>
      <c r="CV239" s="516"/>
      <c r="CW239" s="518"/>
      <c r="CX239" s="482">
        <f t="shared" si="801"/>
        <v>0</v>
      </c>
      <c r="CY239" s="516"/>
      <c r="CZ239" s="518"/>
      <c r="DA239" s="482">
        <f t="shared" si="802"/>
        <v>0</v>
      </c>
      <c r="DB239" s="516"/>
      <c r="DC239" s="518"/>
      <c r="DD239" s="482">
        <f t="shared" si="803"/>
        <v>0</v>
      </c>
      <c r="DE239" s="516"/>
      <c r="DF239" s="518"/>
      <c r="DG239" s="482">
        <f t="shared" si="804"/>
        <v>0</v>
      </c>
      <c r="DH239" s="1258"/>
      <c r="DI239" s="482"/>
      <c r="DJ239" s="482">
        <f t="shared" si="805"/>
        <v>0</v>
      </c>
      <c r="DK239" s="1244"/>
      <c r="DL239" s="482"/>
      <c r="DM239" s="482">
        <f t="shared" si="806"/>
        <v>0</v>
      </c>
      <c r="DN239" s="1244"/>
      <c r="DO239" s="482"/>
      <c r="DP239" s="482">
        <f t="shared" si="807"/>
        <v>0</v>
      </c>
      <c r="DQ239" s="1244"/>
      <c r="DR239" s="482"/>
      <c r="DS239" s="482">
        <f t="shared" si="808"/>
        <v>0</v>
      </c>
      <c r="DT239" s="1244"/>
      <c r="DU239" s="482"/>
      <c r="DV239" s="482">
        <f t="shared" si="809"/>
        <v>0</v>
      </c>
      <c r="DW239" s="1244"/>
      <c r="DX239" s="482"/>
      <c r="DY239" s="482">
        <f t="shared" si="810"/>
        <v>0</v>
      </c>
      <c r="DZ239" s="1244"/>
      <c r="EA239" s="482"/>
      <c r="EB239" s="482">
        <f t="shared" si="811"/>
        <v>0</v>
      </c>
      <c r="EC239" s="1244"/>
      <c r="ED239" s="482"/>
      <c r="EE239" s="482">
        <f t="shared" si="812"/>
        <v>0</v>
      </c>
      <c r="EF239" s="1244"/>
      <c r="EG239" s="482"/>
      <c r="EH239" s="482">
        <f t="shared" si="813"/>
        <v>0</v>
      </c>
      <c r="EI239" s="1244"/>
      <c r="EJ239" s="482"/>
      <c r="EK239" s="482">
        <f t="shared" si="814"/>
        <v>0</v>
      </c>
      <c r="EL239" s="1244"/>
      <c r="EM239" s="482"/>
      <c r="EN239" s="482">
        <f t="shared" si="815"/>
        <v>0</v>
      </c>
      <c r="EO239" s="1244"/>
      <c r="EP239" s="482"/>
      <c r="EQ239" s="482">
        <f t="shared" si="816"/>
        <v>0</v>
      </c>
      <c r="ER239" s="1244"/>
      <c r="ES239" s="482"/>
      <c r="ET239" s="482">
        <f t="shared" si="817"/>
        <v>0</v>
      </c>
      <c r="EU239" s="1244"/>
      <c r="EV239" s="482"/>
      <c r="EW239" s="482">
        <f t="shared" si="818"/>
        <v>0</v>
      </c>
      <c r="EX239" s="1244"/>
      <c r="EY239" s="482"/>
      <c r="EZ239" s="482">
        <f t="shared" si="819"/>
        <v>0</v>
      </c>
      <c r="FA239" s="1244"/>
      <c r="FB239" s="1571"/>
      <c r="FE239"/>
      <c r="FF239"/>
      <c r="FG239"/>
      <c r="FH239"/>
      <c r="FI239"/>
      <c r="FJ239"/>
      <c r="FK239" s="35"/>
    </row>
    <row r="240" spans="1:167" s="236" customFormat="1" ht="13.35" customHeight="1" outlineLevel="1">
      <c r="B240" s="242" t="s">
        <v>711</v>
      </c>
      <c r="C240" s="242" t="s">
        <v>496</v>
      </c>
      <c r="D240" s="243"/>
      <c r="E240" s="511"/>
      <c r="F240" s="510">
        <f t="shared" si="769"/>
        <v>0</v>
      </c>
      <c r="G240" s="512"/>
      <c r="H240" s="513"/>
      <c r="I240" s="510">
        <f t="shared" si="770"/>
        <v>0</v>
      </c>
      <c r="J240" s="512"/>
      <c r="K240" s="513"/>
      <c r="L240" s="510">
        <f t="shared" si="771"/>
        <v>0</v>
      </c>
      <c r="M240" s="512"/>
      <c r="N240" s="513"/>
      <c r="O240" s="510">
        <f t="shared" si="772"/>
        <v>0</v>
      </c>
      <c r="P240" s="512"/>
      <c r="Q240" s="513"/>
      <c r="R240" s="510">
        <f t="shared" si="773"/>
        <v>0</v>
      </c>
      <c r="S240" s="512"/>
      <c r="T240" s="513"/>
      <c r="U240" s="510">
        <f t="shared" si="774"/>
        <v>0</v>
      </c>
      <c r="V240" s="512"/>
      <c r="W240" s="513"/>
      <c r="X240" s="510">
        <f t="shared" si="775"/>
        <v>0</v>
      </c>
      <c r="Y240" s="512"/>
      <c r="Z240" s="513"/>
      <c r="AA240" s="510">
        <f t="shared" si="776"/>
        <v>0</v>
      </c>
      <c r="AB240" s="512"/>
      <c r="AC240" s="513"/>
      <c r="AD240" s="510">
        <f t="shared" si="777"/>
        <v>0</v>
      </c>
      <c r="AE240" s="512"/>
      <c r="AF240" s="513"/>
      <c r="AG240" s="510">
        <f t="shared" si="778"/>
        <v>0</v>
      </c>
      <c r="AH240" s="512"/>
      <c r="AI240" s="514">
        <v>11.6</v>
      </c>
      <c r="AJ240" s="510">
        <f t="shared" si="779"/>
        <v>7.9420000000000002</v>
      </c>
      <c r="AK240" s="515">
        <v>7.9420000000000002</v>
      </c>
      <c r="AL240" s="514">
        <v>5.9320000000000004</v>
      </c>
      <c r="AM240" s="510">
        <f t="shared" si="780"/>
        <v>5.8</v>
      </c>
      <c r="AN240" s="515">
        <v>5.8</v>
      </c>
      <c r="AO240" s="514">
        <v>6.907</v>
      </c>
      <c r="AP240" s="510">
        <f t="shared" si="781"/>
        <v>8.0890000000000004</v>
      </c>
      <c r="AQ240" s="515">
        <v>8.0890000000000004</v>
      </c>
      <c r="AR240" s="514">
        <v>12.605</v>
      </c>
      <c r="AS240" s="510">
        <f t="shared" si="782"/>
        <v>13.628</v>
      </c>
      <c r="AT240" s="515">
        <v>13.628</v>
      </c>
      <c r="AU240" s="514">
        <v>14.836</v>
      </c>
      <c r="AV240" s="510">
        <f t="shared" si="783"/>
        <v>11.361000000000001</v>
      </c>
      <c r="AW240" s="515">
        <v>11.361000000000001</v>
      </c>
      <c r="AX240" s="514">
        <v>14.06</v>
      </c>
      <c r="AY240" s="510">
        <f t="shared" si="784"/>
        <v>14.068</v>
      </c>
      <c r="AZ240" s="515">
        <v>14.068</v>
      </c>
      <c r="BA240" s="514">
        <v>17.45</v>
      </c>
      <c r="BB240" s="510">
        <f t="shared" si="785"/>
        <v>27.068000000000001</v>
      </c>
      <c r="BC240" s="515">
        <v>27.068000000000001</v>
      </c>
      <c r="BD240" s="514">
        <v>36.802</v>
      </c>
      <c r="BE240" s="510">
        <f t="shared" si="786"/>
        <v>36.380000000000003</v>
      </c>
      <c r="BF240" s="515">
        <v>36.380000000000003</v>
      </c>
      <c r="BG240" s="514">
        <v>40.646999999999998</v>
      </c>
      <c r="BH240" s="510">
        <f t="shared" si="787"/>
        <v>45.023000000000003</v>
      </c>
      <c r="BI240" s="515">
        <v>45.023000000000003</v>
      </c>
      <c r="BJ240" s="514">
        <v>48.984999999999999</v>
      </c>
      <c r="BK240" s="510">
        <f t="shared" si="788"/>
        <v>44.837000000000003</v>
      </c>
      <c r="BL240" s="515">
        <v>44.837000000000003</v>
      </c>
      <c r="BM240" s="513">
        <v>40.747999999999998</v>
      </c>
      <c r="BN240" s="510">
        <f t="shared" si="789"/>
        <v>49.518000000000001</v>
      </c>
      <c r="BO240" s="548">
        <v>49.518000000000001</v>
      </c>
      <c r="BP240" s="513">
        <v>56.734999999999999</v>
      </c>
      <c r="BQ240" s="510">
        <f t="shared" si="790"/>
        <v>76.822000000000003</v>
      </c>
      <c r="BR240" s="548">
        <v>76.822000000000003</v>
      </c>
      <c r="BS240" s="514">
        <v>85.9</v>
      </c>
      <c r="BT240" s="510">
        <f t="shared" si="791"/>
        <v>91.89</v>
      </c>
      <c r="BU240" s="548">
        <v>91.89</v>
      </c>
      <c r="BV240" s="514">
        <v>99.507000000000005</v>
      </c>
      <c r="BW240" s="510">
        <f t="shared" si="792"/>
        <v>99.168999999999997</v>
      </c>
      <c r="BX240" s="548">
        <v>99.168999999999997</v>
      </c>
      <c r="BY240" s="514">
        <v>96.19</v>
      </c>
      <c r="BZ240" s="510">
        <f t="shared" si="793"/>
        <v>105.944</v>
      </c>
      <c r="CA240" s="548">
        <v>105.944</v>
      </c>
      <c r="CB240" s="514">
        <v>97.367000000000004</v>
      </c>
      <c r="CC240" s="510">
        <f t="shared" si="794"/>
        <v>104.407</v>
      </c>
      <c r="CD240" s="548">
        <v>104.407</v>
      </c>
      <c r="CE240" s="514">
        <v>107.199</v>
      </c>
      <c r="CF240" s="510">
        <f t="shared" si="795"/>
        <v>106.126</v>
      </c>
      <c r="CG240" s="548">
        <v>106.126</v>
      </c>
      <c r="CH240" s="514">
        <v>92.524000000000001</v>
      </c>
      <c r="CI240" s="510">
        <f t="shared" si="796"/>
        <v>101.298</v>
      </c>
      <c r="CJ240" s="548">
        <v>101.298</v>
      </c>
      <c r="CK240" s="514">
        <v>115.715</v>
      </c>
      <c r="CL240" s="510">
        <f t="shared" si="797"/>
        <v>131.57400000000001</v>
      </c>
      <c r="CM240" s="548">
        <v>131.57400000000001</v>
      </c>
      <c r="CN240" s="514">
        <v>140.721</v>
      </c>
      <c r="CO240" s="510">
        <f t="shared" si="798"/>
        <v>128.613</v>
      </c>
      <c r="CP240" s="548">
        <f>128.613</f>
        <v>128.613</v>
      </c>
      <c r="CQ240" s="514">
        <v>138.495</v>
      </c>
      <c r="CR240" s="510">
        <f t="shared" si="799"/>
        <v>149.714</v>
      </c>
      <c r="CS240" s="548">
        <f>3.853+145.861</f>
        <v>149.714</v>
      </c>
      <c r="CT240" s="514">
        <f>150.784+2.273</f>
        <v>153.05699999999999</v>
      </c>
      <c r="CU240" s="510">
        <f t="shared" si="800"/>
        <v>165.55700000000002</v>
      </c>
      <c r="CV240" s="548">
        <f>11.454+154.103</f>
        <v>165.55700000000002</v>
      </c>
      <c r="CW240" s="514">
        <f>14.045+154.547</f>
        <v>168.59199999999998</v>
      </c>
      <c r="CX240" s="510">
        <f t="shared" si="801"/>
        <v>178.441</v>
      </c>
      <c r="CY240" s="548">
        <f>160.011+18.43</f>
        <v>178.441</v>
      </c>
      <c r="CZ240" s="513">
        <f>16+177.3</f>
        <v>193.3</v>
      </c>
      <c r="DA240" s="510">
        <f t="shared" si="802"/>
        <v>167.4</v>
      </c>
      <c r="DB240" s="511">
        <v>167.4</v>
      </c>
      <c r="DC240" s="513">
        <v>176.5</v>
      </c>
      <c r="DD240" s="510">
        <f t="shared" si="803"/>
        <v>195.4</v>
      </c>
      <c r="DE240" s="548">
        <v>195.4</v>
      </c>
      <c r="DF240" s="514">
        <v>204</v>
      </c>
      <c r="DG240" s="510">
        <f t="shared" si="804"/>
        <v>223.8</v>
      </c>
      <c r="DH240" s="1371">
        <v>223.8</v>
      </c>
      <c r="DI240" s="1373">
        <v>196.8</v>
      </c>
      <c r="DJ240" s="482">
        <f t="shared" si="805"/>
        <v>216.1</v>
      </c>
      <c r="DK240" s="1374">
        <v>216.1</v>
      </c>
      <c r="DL240" s="1373">
        <v>238</v>
      </c>
      <c r="DM240" s="482">
        <f t="shared" si="806"/>
        <v>270.2</v>
      </c>
      <c r="DN240" s="1374">
        <v>270.2</v>
      </c>
      <c r="DO240" s="1373">
        <v>285.7</v>
      </c>
      <c r="DP240" s="482">
        <f t="shared" si="807"/>
        <v>311.5</v>
      </c>
      <c r="DQ240" s="1374">
        <v>311.5</v>
      </c>
      <c r="DR240" s="1373">
        <v>321.5</v>
      </c>
      <c r="DS240" s="482">
        <f t="shared" si="808"/>
        <v>391.6</v>
      </c>
      <c r="DT240" s="1374">
        <v>391.6</v>
      </c>
      <c r="DU240" s="1373">
        <v>461.1</v>
      </c>
      <c r="DV240" s="482">
        <f t="shared" si="809"/>
        <v>499.4</v>
      </c>
      <c r="DW240" s="1374">
        <v>499.4</v>
      </c>
      <c r="DX240" s="1373">
        <v>566.1</v>
      </c>
      <c r="DY240" s="482">
        <f t="shared" si="810"/>
        <v>608.5793036854194</v>
      </c>
      <c r="DZ240" s="1244">
        <f>(Assumptions!DZ170*DZ30)</f>
        <v>608.5793036854194</v>
      </c>
      <c r="EA240" s="482">
        <f>(Assumptions!EA170*EA30)*2</f>
        <v>612.50658013733596</v>
      </c>
      <c r="EB240" s="482">
        <f t="shared" si="811"/>
        <v>621.9420629034538</v>
      </c>
      <c r="EC240" s="1244">
        <f>(Assumptions!EC170*EC30)</f>
        <v>621.9420629034538</v>
      </c>
      <c r="ED240" s="482">
        <f>(Assumptions!ED170*ED30)*2</f>
        <v>648.7785104923189</v>
      </c>
      <c r="EE240" s="482">
        <f t="shared" si="812"/>
        <v>658.8127858657391</v>
      </c>
      <c r="EF240" s="1244">
        <f>(Assumptions!EF170*EF30)</f>
        <v>658.8127858657391</v>
      </c>
      <c r="EG240" s="482">
        <f>(Assumptions!EG170*EG30)*2</f>
        <v>690.72279558926402</v>
      </c>
      <c r="EH240" s="482">
        <f t="shared" si="813"/>
        <v>701.40579853333804</v>
      </c>
      <c r="EI240" s="1244">
        <f>(Assumptions!EI170*EI30)</f>
        <v>701.40579853333804</v>
      </c>
      <c r="EJ240" s="482">
        <f>(Assumptions!EJ170*EJ30)*2</f>
        <v>734.96194606867175</v>
      </c>
      <c r="EK240" s="482">
        <f t="shared" si="814"/>
        <v>746.32916991559227</v>
      </c>
      <c r="EL240" s="1244">
        <f>(Assumptions!EL170*EL30)</f>
        <v>746.32916991559227</v>
      </c>
      <c r="EM240" s="482">
        <f>(Assumptions!EM170*EM30)*2</f>
        <v>781.56928899009972</v>
      </c>
      <c r="EN240" s="482">
        <f t="shared" si="815"/>
        <v>793.65736117853237</v>
      </c>
      <c r="EO240" s="1244">
        <f>(Assumptions!EO170*EO30)</f>
        <v>793.65736117853237</v>
      </c>
      <c r="EP240" s="482">
        <f>(Assumptions!EP170*EP30)*2</f>
        <v>830.61276187422845</v>
      </c>
      <c r="EQ240" s="482">
        <f t="shared" si="816"/>
        <v>843.45936059248538</v>
      </c>
      <c r="ER240" s="1244">
        <f>(Assumptions!ER170*ER30)</f>
        <v>843.45936059248538</v>
      </c>
      <c r="ES240" s="482">
        <f>(Assumptions!ES170*ES30)*2</f>
        <v>882.15334863668079</v>
      </c>
      <c r="ET240" s="482">
        <f t="shared" si="817"/>
        <v>895.79709527540376</v>
      </c>
      <c r="EU240" s="1244">
        <f>(Assumptions!EU170*EU30)</f>
        <v>895.79709527540376</v>
      </c>
      <c r="EV240" s="482">
        <f>(Assumptions!EV170*EV30)*2</f>
        <v>936.24327764519307</v>
      </c>
      <c r="EW240" s="482">
        <f t="shared" si="818"/>
        <v>950.72360138044826</v>
      </c>
      <c r="EX240" s="1244">
        <f>(Assumptions!EX170*EX30)</f>
        <v>950.72360138044826</v>
      </c>
      <c r="EY240" s="482">
        <f>(Assumptions!EY170*EY30)*2</f>
        <v>992.92395175128036</v>
      </c>
      <c r="EZ240" s="482">
        <f t="shared" si="819"/>
        <v>1008.2809221126701</v>
      </c>
      <c r="FA240" s="1244">
        <f>(Assumptions!FA170*FA30)</f>
        <v>1008.2809221126701</v>
      </c>
      <c r="FB240" s="1571"/>
      <c r="FE240"/>
      <c r="FF240"/>
      <c r="FG240"/>
      <c r="FH240"/>
      <c r="FI240"/>
      <c r="FJ240"/>
      <c r="FK240" s="35"/>
    </row>
    <row r="241" spans="2:167" s="236" customFormat="1" ht="13.35" customHeight="1" thickBot="1">
      <c r="B241" s="485" t="s">
        <v>712</v>
      </c>
      <c r="C241" s="242" t="s">
        <v>496</v>
      </c>
      <c r="D241" s="243"/>
      <c r="E241" s="482">
        <f>+SUM(E242:E243)</f>
        <v>0</v>
      </c>
      <c r="F241" s="482">
        <f t="shared" si="769"/>
        <v>0</v>
      </c>
      <c r="G241" s="482">
        <f>+SUM(G242:G243)</f>
        <v>0</v>
      </c>
      <c r="H241" s="482">
        <f>+SUM(H242:H243)</f>
        <v>0</v>
      </c>
      <c r="I241" s="482">
        <f t="shared" si="770"/>
        <v>0</v>
      </c>
      <c r="J241" s="482">
        <f>+SUM(J242:J243)</f>
        <v>0</v>
      </c>
      <c r="K241" s="482">
        <f>+SUM(K242:K243)</f>
        <v>0</v>
      </c>
      <c r="L241" s="482">
        <f t="shared" si="771"/>
        <v>0</v>
      </c>
      <c r="M241" s="482">
        <f>+SUM(M242:M243)</f>
        <v>0</v>
      </c>
      <c r="N241" s="482">
        <f>+SUM(N242:N243)</f>
        <v>0</v>
      </c>
      <c r="O241" s="482">
        <f t="shared" si="772"/>
        <v>0</v>
      </c>
      <c r="P241" s="482">
        <f>+SUM(P242:P243)</f>
        <v>0</v>
      </c>
      <c r="Q241" s="482">
        <f>+SUM(Q242:Q243)</f>
        <v>0</v>
      </c>
      <c r="R241" s="482">
        <f t="shared" si="773"/>
        <v>0</v>
      </c>
      <c r="S241" s="482">
        <f>+SUM(S242:S243)</f>
        <v>0</v>
      </c>
      <c r="T241" s="482">
        <f>+SUM(T242:T243)</f>
        <v>0</v>
      </c>
      <c r="U241" s="482">
        <f t="shared" si="774"/>
        <v>0</v>
      </c>
      <c r="V241" s="482">
        <f>+SUM(V242:V243)</f>
        <v>0</v>
      </c>
      <c r="W241" s="482">
        <f>+SUM(W242:W243)</f>
        <v>0</v>
      </c>
      <c r="X241" s="482">
        <f t="shared" si="775"/>
        <v>0</v>
      </c>
      <c r="Y241" s="482">
        <f>+SUM(Y242:Y243)</f>
        <v>0</v>
      </c>
      <c r="Z241" s="482">
        <f>+SUM(Z242:Z243)</f>
        <v>0</v>
      </c>
      <c r="AA241" s="482">
        <f t="shared" si="776"/>
        <v>0</v>
      </c>
      <c r="AB241" s="482">
        <f>+SUM(AB242:AB243)</f>
        <v>0</v>
      </c>
      <c r="AC241" s="482">
        <f>+SUM(AC242:AC243)</f>
        <v>0</v>
      </c>
      <c r="AD241" s="482">
        <f t="shared" si="777"/>
        <v>0</v>
      </c>
      <c r="AE241" s="482">
        <f>+SUM(AE242:AE243)</f>
        <v>0</v>
      </c>
      <c r="AF241" s="482">
        <f>+SUM(AF242:AF243)</f>
        <v>0</v>
      </c>
      <c r="AG241" s="482">
        <f t="shared" si="778"/>
        <v>0</v>
      </c>
      <c r="AH241" s="482">
        <f>+SUM(AH242:AH243)</f>
        <v>0</v>
      </c>
      <c r="AI241" s="482">
        <f>+SUM(AI242:AI243)</f>
        <v>0.67500000000000004</v>
      </c>
      <c r="AJ241" s="482">
        <f t="shared" si="779"/>
        <v>0.82699999999999996</v>
      </c>
      <c r="AK241" s="482">
        <f>+SUM(AK242:AK243)</f>
        <v>0.82699999999999996</v>
      </c>
      <c r="AL241" s="482">
        <f>+SUM(AL242:AL243)</f>
        <v>0.38400000000000001</v>
      </c>
      <c r="AM241" s="482">
        <f t="shared" si="780"/>
        <v>1.5580000000000001</v>
      </c>
      <c r="AN241" s="482">
        <f>+SUM(AN242:AN243)</f>
        <v>1.5580000000000001</v>
      </c>
      <c r="AO241" s="482">
        <f>+SUM(AO242:AO243)</f>
        <v>1.6930000000000001</v>
      </c>
      <c r="AP241" s="482">
        <f t="shared" si="781"/>
        <v>1.6619999999999999</v>
      </c>
      <c r="AQ241" s="482">
        <f>+SUM(AQ242:AQ243)</f>
        <v>1.6619999999999999</v>
      </c>
      <c r="AR241" s="482">
        <f>+SUM(AR242:AR243)</f>
        <v>1.855</v>
      </c>
      <c r="AS241" s="482">
        <f t="shared" si="782"/>
        <v>1.4630000000000001</v>
      </c>
      <c r="AT241" s="482">
        <f>+SUM(AT242:AT243)</f>
        <v>1.4630000000000001</v>
      </c>
      <c r="AU241" s="482">
        <f>+SUM(AU242:AU243)</f>
        <v>1.9370000000000001</v>
      </c>
      <c r="AV241" s="482">
        <f t="shared" si="783"/>
        <v>1.806</v>
      </c>
      <c r="AW241" s="482">
        <f>+SUM(AW242:AW243)</f>
        <v>1.806</v>
      </c>
      <c r="AX241" s="482">
        <f>+SUM(AX242:AX243)</f>
        <v>2.3130000000000002</v>
      </c>
      <c r="AY241" s="482">
        <f t="shared" si="784"/>
        <v>2.9129999999999998</v>
      </c>
      <c r="AZ241" s="482">
        <f>+SUM(AZ242:AZ243)</f>
        <v>2.9129999999999998</v>
      </c>
      <c r="BA241" s="482">
        <f>+SUM(BA242:BA243)</f>
        <v>3.7069999999999999</v>
      </c>
      <c r="BB241" s="482">
        <f t="shared" si="785"/>
        <v>5.8339999999999996</v>
      </c>
      <c r="BC241" s="482">
        <f>+SUM(BC242:BC243)</f>
        <v>5.8339999999999996</v>
      </c>
      <c r="BD241" s="482">
        <f>+SUM(BD242:BD243)</f>
        <v>8.2870000000000008</v>
      </c>
      <c r="BE241" s="482">
        <f t="shared" si="786"/>
        <v>6.976</v>
      </c>
      <c r="BF241" s="482">
        <f>+SUM(BF242:BF243)</f>
        <v>6.976</v>
      </c>
      <c r="BG241" s="482">
        <f>+SUM(BG242:BG243)</f>
        <v>14.584999999999999</v>
      </c>
      <c r="BH241" s="482">
        <f t="shared" si="787"/>
        <v>11.99</v>
      </c>
      <c r="BI241" s="482">
        <f>+SUM(BI242:BI243)</f>
        <v>11.99</v>
      </c>
      <c r="BJ241" s="482">
        <f>+SUM(BJ242:BJ243)</f>
        <v>51.292000000000002</v>
      </c>
      <c r="BK241" s="482">
        <f t="shared" si="788"/>
        <v>12.963000000000001</v>
      </c>
      <c r="BL241" s="482">
        <f>+SUM(BL242:BL243)</f>
        <v>12.963000000000001</v>
      </c>
      <c r="BM241" s="482">
        <f>+SUM(BM242:BM243)</f>
        <v>14.226000000000001</v>
      </c>
      <c r="BN241" s="482">
        <f t="shared" si="789"/>
        <v>4.1859999999999999</v>
      </c>
      <c r="BO241" s="482">
        <f>+SUM(BO242:BO243)</f>
        <v>4.1859999999999999</v>
      </c>
      <c r="BP241" s="482">
        <f>+SUM(BP242:BP243)</f>
        <v>12.863</v>
      </c>
      <c r="BQ241" s="482">
        <f t="shared" si="790"/>
        <v>5.92</v>
      </c>
      <c r="BR241" s="482">
        <f>+SUM(BR242:BR243)</f>
        <v>5.92</v>
      </c>
      <c r="BS241" s="482">
        <f>+SUM(BS242:BS243)</f>
        <v>30.96</v>
      </c>
      <c r="BT241" s="482">
        <f t="shared" si="791"/>
        <v>5.39</v>
      </c>
      <c r="BU241" s="482">
        <f>+SUM(BU242:BU243)</f>
        <v>5.39</v>
      </c>
      <c r="BV241" s="482">
        <f>+SUM(BV242:BV243)</f>
        <v>5.6479999999999997</v>
      </c>
      <c r="BW241" s="482">
        <f t="shared" si="792"/>
        <v>12.974</v>
      </c>
      <c r="BX241" s="482">
        <f>+SUM(BX242:BX243)</f>
        <v>12.974</v>
      </c>
      <c r="BY241" s="482">
        <f>+SUM(BY242:BY243)</f>
        <v>13.2</v>
      </c>
      <c r="BZ241" s="482">
        <f t="shared" si="793"/>
        <v>12.103</v>
      </c>
      <c r="CA241" s="482">
        <f>+SUM(CA242:CA243)</f>
        <v>12.103</v>
      </c>
      <c r="CB241" s="482">
        <f>+SUM(CB242:CB243)</f>
        <v>49.101000000000006</v>
      </c>
      <c r="CC241" s="482">
        <f t="shared" si="794"/>
        <v>15.657</v>
      </c>
      <c r="CD241" s="482">
        <f>+SUM(CD242:CD243)</f>
        <v>15.657</v>
      </c>
      <c r="CE241" s="482">
        <f>+SUM(CE242:CE243)</f>
        <v>16.033999999999999</v>
      </c>
      <c r="CF241" s="482">
        <f t="shared" si="795"/>
        <v>13.058999999999999</v>
      </c>
      <c r="CG241" s="482">
        <f>+SUM(CG242:CG243)</f>
        <v>13.058999999999999</v>
      </c>
      <c r="CH241" s="482">
        <f>+SUM(CH242:CH243)</f>
        <v>19.859000000000002</v>
      </c>
      <c r="CI241" s="482">
        <f t="shared" si="796"/>
        <v>15.012</v>
      </c>
      <c r="CJ241" s="482">
        <f>+SUM(CJ242:CJ243)</f>
        <v>15.012</v>
      </c>
      <c r="CK241" s="482">
        <f>+SUM(CK242:CK243)</f>
        <v>14.714</v>
      </c>
      <c r="CL241" s="482">
        <f t="shared" si="797"/>
        <v>17.210999999999999</v>
      </c>
      <c r="CM241" s="482">
        <f>+SUM(CM242:CM243)</f>
        <v>17.210999999999999</v>
      </c>
      <c r="CN241" s="482">
        <f>+SUM(CN242:CN243)</f>
        <v>27.177</v>
      </c>
      <c r="CO241" s="482">
        <f t="shared" si="798"/>
        <v>21.186</v>
      </c>
      <c r="CP241" s="482">
        <f>+SUM(CP242:CP243)</f>
        <v>21.186</v>
      </c>
      <c r="CQ241" s="482">
        <f>+SUM(CQ242:CQ243)</f>
        <v>23.173000000000002</v>
      </c>
      <c r="CR241" s="482">
        <f t="shared" si="799"/>
        <v>17.36</v>
      </c>
      <c r="CS241" s="482">
        <f>+SUM(CS242:CS243)</f>
        <v>17.36</v>
      </c>
      <c r="CT241" s="482">
        <f>+SUM(CT242:CT243)</f>
        <v>20.939999999999998</v>
      </c>
      <c r="CU241" s="482">
        <f t="shared" si="800"/>
        <v>20.128999999999998</v>
      </c>
      <c r="CV241" s="482">
        <f>+SUM(CV242:CV243)</f>
        <v>20.128999999999998</v>
      </c>
      <c r="CW241" s="482">
        <f>+SUM(CW242:CW243)</f>
        <v>25.806999999999999</v>
      </c>
      <c r="CX241" s="482">
        <f t="shared" si="801"/>
        <v>25.84</v>
      </c>
      <c r="CY241" s="482">
        <f>+SUM(CY242:CY243)</f>
        <v>25.84</v>
      </c>
      <c r="CZ241" s="482">
        <f>+SUM(CZ242:CZ243)</f>
        <v>32.1</v>
      </c>
      <c r="DA241" s="482">
        <f t="shared" si="802"/>
        <v>38.6</v>
      </c>
      <c r="DB241" s="482">
        <f>+SUM(DB242:DB243)</f>
        <v>38.6</v>
      </c>
      <c r="DC241" s="482">
        <f>+SUM(DC242:DC243)</f>
        <v>44</v>
      </c>
      <c r="DD241" s="482">
        <f t="shared" si="803"/>
        <v>41.3</v>
      </c>
      <c r="DE241" s="482">
        <f>+SUM(DE242:DE243)</f>
        <v>41.3</v>
      </c>
      <c r="DF241" s="482">
        <f>+SUM(DF242:DF243)</f>
        <v>43.5</v>
      </c>
      <c r="DG241" s="482">
        <f t="shared" si="804"/>
        <v>453.20000000000005</v>
      </c>
      <c r="DH241" s="1244">
        <f>+SUM(DH242:DH243)</f>
        <v>453.20000000000005</v>
      </c>
      <c r="DI241" s="482">
        <f>+SUM(DI242:DI243)</f>
        <v>156.4</v>
      </c>
      <c r="DJ241" s="482">
        <f t="shared" si="805"/>
        <v>108.00000000000001</v>
      </c>
      <c r="DK241" s="1244">
        <f>+SUM(DK242:DK243)</f>
        <v>108.00000000000001</v>
      </c>
      <c r="DL241" s="482">
        <f>+SUM(DL242:DL243)</f>
        <v>93.2</v>
      </c>
      <c r="DM241" s="482">
        <f t="shared" si="806"/>
        <v>79</v>
      </c>
      <c r="DN241" s="1244">
        <f>+SUM(DN242:DN243)</f>
        <v>79</v>
      </c>
      <c r="DO241" s="482">
        <f>+SUM(DO242:DO243)</f>
        <v>92.100000000000009</v>
      </c>
      <c r="DP241" s="482">
        <f t="shared" si="807"/>
        <v>57</v>
      </c>
      <c r="DQ241" s="1244">
        <f>+SUM(DQ242:DQ243)</f>
        <v>57</v>
      </c>
      <c r="DR241" s="482">
        <f>+SUM(DR242:DR243)</f>
        <v>74.900000000000006</v>
      </c>
      <c r="DS241" s="482">
        <f t="shared" si="808"/>
        <v>56.2</v>
      </c>
      <c r="DT241" s="1244">
        <f>+SUM(DT242:DT243)</f>
        <v>56.2</v>
      </c>
      <c r="DU241" s="482">
        <f>+SUM(DU242:DU243)</f>
        <v>64.8</v>
      </c>
      <c r="DV241" s="482">
        <f t="shared" si="809"/>
        <v>55.800000000000004</v>
      </c>
      <c r="DW241" s="1244">
        <f>+SUM(DW242:DW243)</f>
        <v>55.800000000000004</v>
      </c>
      <c r="DX241" s="482">
        <f>+SUM(DX242:DX243)</f>
        <v>70</v>
      </c>
      <c r="DY241" s="482">
        <f t="shared" si="810"/>
        <v>70</v>
      </c>
      <c r="DZ241" s="1244">
        <f>+SUM(DZ242:DZ243)</f>
        <v>70</v>
      </c>
      <c r="EA241" s="482">
        <f>+SUM(EA242:EA243)</f>
        <v>70</v>
      </c>
      <c r="EB241" s="482">
        <f t="shared" si="811"/>
        <v>70</v>
      </c>
      <c r="EC241" s="1244">
        <f>+SUM(EC242:EC243)</f>
        <v>70</v>
      </c>
      <c r="ED241" s="482">
        <f>+SUM(ED242:ED243)</f>
        <v>70</v>
      </c>
      <c r="EE241" s="482">
        <f t="shared" si="812"/>
        <v>70</v>
      </c>
      <c r="EF241" s="1244">
        <f>+SUM(EF242:EF243)</f>
        <v>70</v>
      </c>
      <c r="EG241" s="482">
        <f>+SUM(EG242:EG243)</f>
        <v>70</v>
      </c>
      <c r="EH241" s="482">
        <f t="shared" si="813"/>
        <v>70</v>
      </c>
      <c r="EI241" s="1244">
        <f>+SUM(EI242:EI243)</f>
        <v>70</v>
      </c>
      <c r="EJ241" s="482">
        <f>+SUM(EJ242:EJ243)</f>
        <v>70</v>
      </c>
      <c r="EK241" s="482">
        <f t="shared" si="814"/>
        <v>70</v>
      </c>
      <c r="EL241" s="1244">
        <f>+SUM(EL242:EL243)</f>
        <v>70</v>
      </c>
      <c r="EM241" s="482">
        <f>+SUM(EM242:EM243)</f>
        <v>70</v>
      </c>
      <c r="EN241" s="482">
        <f t="shared" si="815"/>
        <v>70</v>
      </c>
      <c r="EO241" s="1244">
        <f>+SUM(EO242:EO243)</f>
        <v>70</v>
      </c>
      <c r="EP241" s="482">
        <f>+SUM(EP242:EP243)</f>
        <v>70</v>
      </c>
      <c r="EQ241" s="482">
        <f t="shared" si="816"/>
        <v>70</v>
      </c>
      <c r="ER241" s="1244">
        <f>+SUM(ER242:ER243)</f>
        <v>70</v>
      </c>
      <c r="ES241" s="482">
        <f>+SUM(ES242:ES243)</f>
        <v>70</v>
      </c>
      <c r="ET241" s="482">
        <f t="shared" si="817"/>
        <v>70</v>
      </c>
      <c r="EU241" s="1244">
        <f>+SUM(EU242:EU243)</f>
        <v>70</v>
      </c>
      <c r="EV241" s="482">
        <f>+SUM(EV242:EV243)</f>
        <v>70</v>
      </c>
      <c r="EW241" s="482">
        <f t="shared" si="818"/>
        <v>70</v>
      </c>
      <c r="EX241" s="1244">
        <f>+SUM(EX242:EX243)</f>
        <v>70</v>
      </c>
      <c r="EY241" s="482">
        <f>+SUM(EY242:EY243)</f>
        <v>70</v>
      </c>
      <c r="EZ241" s="482">
        <f t="shared" si="819"/>
        <v>70</v>
      </c>
      <c r="FA241" s="1244">
        <f>+SUM(FA242:FA243)</f>
        <v>70</v>
      </c>
      <c r="FB241" s="1571"/>
      <c r="FE241"/>
      <c r="FF241"/>
      <c r="FG241"/>
      <c r="FH241"/>
      <c r="FI241"/>
      <c r="FJ241"/>
      <c r="FK241" s="35"/>
    </row>
    <row r="242" spans="2:167" s="236" customFormat="1" ht="13.35" customHeight="1" outlineLevel="1" thickBot="1">
      <c r="B242" s="242" t="s">
        <v>713</v>
      </c>
      <c r="C242" s="242" t="s">
        <v>496</v>
      </c>
      <c r="D242" s="243"/>
      <c r="E242" s="511"/>
      <c r="F242" s="510">
        <f t="shared" si="769"/>
        <v>0</v>
      </c>
      <c r="G242" s="512"/>
      <c r="H242" s="513"/>
      <c r="I242" s="510">
        <f t="shared" si="770"/>
        <v>0</v>
      </c>
      <c r="J242" s="512"/>
      <c r="K242" s="513"/>
      <c r="L242" s="510">
        <f t="shared" si="771"/>
        <v>0</v>
      </c>
      <c r="M242" s="512"/>
      <c r="N242" s="513"/>
      <c r="O242" s="510">
        <f t="shared" si="772"/>
        <v>0</v>
      </c>
      <c r="P242" s="512"/>
      <c r="Q242" s="513"/>
      <c r="R242" s="510">
        <f t="shared" si="773"/>
        <v>0</v>
      </c>
      <c r="S242" s="512"/>
      <c r="T242" s="513"/>
      <c r="U242" s="510">
        <f t="shared" si="774"/>
        <v>0</v>
      </c>
      <c r="V242" s="512"/>
      <c r="W242" s="513"/>
      <c r="X242" s="510">
        <f t="shared" si="775"/>
        <v>0</v>
      </c>
      <c r="Y242" s="512"/>
      <c r="Z242" s="513"/>
      <c r="AA242" s="510">
        <f t="shared" si="776"/>
        <v>0</v>
      </c>
      <c r="AB242" s="512"/>
      <c r="AC242" s="513"/>
      <c r="AD242" s="510">
        <f t="shared" si="777"/>
        <v>0</v>
      </c>
      <c r="AE242" s="512"/>
      <c r="AF242" s="513"/>
      <c r="AG242" s="510">
        <f t="shared" si="778"/>
        <v>0</v>
      </c>
      <c r="AH242" s="512"/>
      <c r="AI242" s="514"/>
      <c r="AJ242" s="510">
        <f t="shared" si="779"/>
        <v>0</v>
      </c>
      <c r="AK242" s="515"/>
      <c r="AL242" s="514"/>
      <c r="AM242" s="510">
        <f t="shared" si="780"/>
        <v>0</v>
      </c>
      <c r="AN242" s="515"/>
      <c r="AO242" s="514"/>
      <c r="AP242" s="510">
        <f t="shared" si="781"/>
        <v>0</v>
      </c>
      <c r="AQ242" s="515"/>
      <c r="AR242" s="514"/>
      <c r="AS242" s="510">
        <f t="shared" si="782"/>
        <v>0</v>
      </c>
      <c r="AT242" s="515"/>
      <c r="AU242" s="514"/>
      <c r="AV242" s="510">
        <f t="shared" si="783"/>
        <v>0</v>
      </c>
      <c r="AW242" s="515"/>
      <c r="AX242" s="514">
        <v>0</v>
      </c>
      <c r="AY242" s="510">
        <f t="shared" si="784"/>
        <v>0</v>
      </c>
      <c r="AZ242" s="515">
        <v>0</v>
      </c>
      <c r="BA242" s="514">
        <v>0</v>
      </c>
      <c r="BB242" s="510">
        <f t="shared" si="785"/>
        <v>0</v>
      </c>
      <c r="BC242" s="515">
        <v>0</v>
      </c>
      <c r="BD242" s="514">
        <v>0</v>
      </c>
      <c r="BE242" s="510">
        <f t="shared" si="786"/>
        <v>0</v>
      </c>
      <c r="BF242" s="515">
        <f>IF(Assumptions!BF207&lt;&gt;"",Assumptions!BF207,0)</f>
        <v>0</v>
      </c>
      <c r="BG242" s="514">
        <f>IF(Assumptions!BG207&lt;&gt;"",Assumptions!BG207,0)</f>
        <v>0</v>
      </c>
      <c r="BH242" s="510">
        <f t="shared" si="787"/>
        <v>0</v>
      </c>
      <c r="BI242" s="515">
        <f>IF(Assumptions!BI207&lt;&gt;"",Assumptions!BI207,0)</f>
        <v>0</v>
      </c>
      <c r="BJ242" s="514">
        <f>IF(Assumptions!BJ207&lt;&gt;"",Assumptions!BJ207,0)</f>
        <v>0</v>
      </c>
      <c r="BK242" s="510">
        <f t="shared" si="788"/>
        <v>0.80700000000000005</v>
      </c>
      <c r="BL242" s="515">
        <v>0.80700000000000005</v>
      </c>
      <c r="BM242" s="513">
        <f>IF(Assumptions!BM207&lt;&gt;"",Assumptions!BM207,0)</f>
        <v>0</v>
      </c>
      <c r="BN242" s="510">
        <f t="shared" si="789"/>
        <v>0</v>
      </c>
      <c r="BO242" s="548">
        <f>IF(Assumptions!BO207&lt;&gt;"",Assumptions!BO207,0)</f>
        <v>0</v>
      </c>
      <c r="BP242" s="513">
        <f>IF(Assumptions!BP207&lt;&gt;"",Assumptions!BP207,0)</f>
        <v>0</v>
      </c>
      <c r="BQ242" s="510">
        <f t="shared" si="790"/>
        <v>0</v>
      </c>
      <c r="BR242" s="548">
        <f>IF(Assumptions!BR207&lt;&gt;"",Assumptions!BR207,0)</f>
        <v>0</v>
      </c>
      <c r="BS242" s="514">
        <f>IF(Assumptions!BS207&lt;&gt;"",Assumptions!BS207,0)</f>
        <v>0</v>
      </c>
      <c r="BT242" s="510">
        <f t="shared" si="791"/>
        <v>0</v>
      </c>
      <c r="BU242" s="548">
        <f>IF(Assumptions!BU207&lt;&gt;"",Assumptions!BU207,0)</f>
        <v>0</v>
      </c>
      <c r="BV242" s="514">
        <f>IF(Assumptions!BV207&lt;&gt;"",Assumptions!BV207,0)</f>
        <v>0</v>
      </c>
      <c r="BW242" s="510">
        <f t="shared" si="792"/>
        <v>0</v>
      </c>
      <c r="BX242" s="548">
        <f>IF(Assumptions!BX207&lt;&gt;"",Assumptions!BX207,0)</f>
        <v>0</v>
      </c>
      <c r="BY242" s="514">
        <f>IF(Assumptions!BY207&lt;&gt;"",Assumptions!BY207,0)</f>
        <v>0</v>
      </c>
      <c r="BZ242" s="510">
        <f t="shared" si="793"/>
        <v>0</v>
      </c>
      <c r="CA242" s="548">
        <f>IF(Assumptions!CA207&lt;&gt;"",Assumptions!CA207,0)</f>
        <v>0</v>
      </c>
      <c r="CB242" s="514">
        <v>9.3230000000000004</v>
      </c>
      <c r="CC242" s="510">
        <f t="shared" si="794"/>
        <v>0</v>
      </c>
      <c r="CD242" s="548">
        <f>IF(Assumptions!CD207&lt;&gt;"",Assumptions!CD207,0)</f>
        <v>0</v>
      </c>
      <c r="CE242" s="514">
        <v>8.0850000000000009</v>
      </c>
      <c r="CF242" s="510">
        <f t="shared" si="795"/>
        <v>13.058999999999999</v>
      </c>
      <c r="CG242" s="548">
        <f>3.936+9.123</f>
        <v>13.058999999999999</v>
      </c>
      <c r="CH242" s="514">
        <v>8.5939999999999994</v>
      </c>
      <c r="CI242" s="510">
        <f t="shared" si="796"/>
        <v>9.2490000000000006</v>
      </c>
      <c r="CJ242" s="548">
        <v>9.2490000000000006</v>
      </c>
      <c r="CK242" s="514">
        <v>7.0010000000000003</v>
      </c>
      <c r="CL242" s="510">
        <f t="shared" si="797"/>
        <v>11.004</v>
      </c>
      <c r="CM242" s="548">
        <v>11.004</v>
      </c>
      <c r="CN242" s="514">
        <v>10.298999999999999</v>
      </c>
      <c r="CO242" s="510">
        <f t="shared" si="798"/>
        <v>8.6</v>
      </c>
      <c r="CP242" s="548">
        <v>8.6</v>
      </c>
      <c r="CQ242" s="514">
        <v>9.7590000000000003</v>
      </c>
      <c r="CR242" s="510">
        <f t="shared" si="799"/>
        <v>3.6059999999999999</v>
      </c>
      <c r="CS242" s="548">
        <v>3.6059999999999999</v>
      </c>
      <c r="CT242" s="514">
        <v>5.1820000000000004</v>
      </c>
      <c r="CU242" s="510">
        <f t="shared" si="800"/>
        <v>6.2080000000000002</v>
      </c>
      <c r="CV242" s="548">
        <v>6.2080000000000002</v>
      </c>
      <c r="CW242" s="514">
        <v>6.5519999999999996</v>
      </c>
      <c r="CX242" s="510">
        <f t="shared" si="801"/>
        <v>18.562000000000001</v>
      </c>
      <c r="CY242" s="548">
        <v>18.562000000000001</v>
      </c>
      <c r="CZ242" s="513">
        <v>21.5</v>
      </c>
      <c r="DA242" s="510">
        <f t="shared" si="802"/>
        <v>25.3</v>
      </c>
      <c r="DB242" s="511">
        <v>25.3</v>
      </c>
      <c r="DC242" s="513">
        <v>28.9</v>
      </c>
      <c r="DD242" s="510">
        <f t="shared" si="803"/>
        <v>26.9</v>
      </c>
      <c r="DE242" s="548">
        <v>26.9</v>
      </c>
      <c r="DF242" s="514">
        <v>30.8</v>
      </c>
      <c r="DG242" s="510">
        <f t="shared" si="804"/>
        <v>17.600000000000001</v>
      </c>
      <c r="DH242" s="1371">
        <v>17.600000000000001</v>
      </c>
      <c r="DI242" s="1373">
        <v>28.1</v>
      </c>
      <c r="DJ242" s="482">
        <f t="shared" si="805"/>
        <v>21.2</v>
      </c>
      <c r="DK242" s="1374">
        <v>21.2</v>
      </c>
      <c r="DL242" s="1373">
        <v>33.5</v>
      </c>
      <c r="DM242" s="482">
        <f t="shared" si="806"/>
        <v>28.7</v>
      </c>
      <c r="DN242" s="1374">
        <v>28.7</v>
      </c>
      <c r="DO242" s="1373">
        <v>45.2</v>
      </c>
      <c r="DP242" s="482">
        <f t="shared" si="807"/>
        <v>33.299999999999997</v>
      </c>
      <c r="DQ242" s="1374">
        <v>33.299999999999997</v>
      </c>
      <c r="DR242" s="1373">
        <v>54.2</v>
      </c>
      <c r="DS242" s="482">
        <f t="shared" si="808"/>
        <v>37.200000000000003</v>
      </c>
      <c r="DT242" s="1374">
        <v>37.200000000000003</v>
      </c>
      <c r="DU242" s="1373">
        <v>50.3</v>
      </c>
      <c r="DV242" s="482">
        <f t="shared" si="809"/>
        <v>37.1</v>
      </c>
      <c r="DW242" s="1374">
        <v>37.1</v>
      </c>
      <c r="DX242" s="1373">
        <v>44.7</v>
      </c>
      <c r="DY242" s="482">
        <f t="shared" si="810"/>
        <v>44.7</v>
      </c>
      <c r="DZ242" s="1244">
        <f>IF(Assumptions!DZ207&lt;&gt;"",Assumptions!DZ207,0)</f>
        <v>44.7</v>
      </c>
      <c r="EA242" s="482">
        <f>IF(Assumptions!EA207&lt;&gt;"",Assumptions!EA207,0)</f>
        <v>44.7</v>
      </c>
      <c r="EB242" s="482">
        <f t="shared" si="811"/>
        <v>44.7</v>
      </c>
      <c r="EC242" s="1244">
        <f>IF(Assumptions!EC207&lt;&gt;"",Assumptions!EC207,0)</f>
        <v>44.7</v>
      </c>
      <c r="ED242" s="482">
        <f>IF(Assumptions!ED207&lt;&gt;"",Assumptions!ED207,0)</f>
        <v>44.7</v>
      </c>
      <c r="EE242" s="482">
        <f t="shared" si="812"/>
        <v>44.7</v>
      </c>
      <c r="EF242" s="1244">
        <f>IF(Assumptions!EF207&lt;&gt;"",Assumptions!EF207,0)</f>
        <v>44.7</v>
      </c>
      <c r="EG242" s="482">
        <f>IF(Assumptions!EG207&lt;&gt;"",Assumptions!EG207,0)</f>
        <v>44.7</v>
      </c>
      <c r="EH242" s="482">
        <f t="shared" si="813"/>
        <v>44.7</v>
      </c>
      <c r="EI242" s="1244">
        <f>IF(Assumptions!EI207&lt;&gt;"",Assumptions!EI207,0)</f>
        <v>44.7</v>
      </c>
      <c r="EJ242" s="482">
        <f>IF(Assumptions!EJ207&lt;&gt;"",Assumptions!EJ207,0)</f>
        <v>44.7</v>
      </c>
      <c r="EK242" s="482">
        <f t="shared" si="814"/>
        <v>44.7</v>
      </c>
      <c r="EL242" s="1244">
        <f>IF(Assumptions!EL207&lt;&gt;"",Assumptions!EL207,0)</f>
        <v>44.7</v>
      </c>
      <c r="EM242" s="482">
        <f>IF(Assumptions!EM207&lt;&gt;"",Assumptions!EM207,0)</f>
        <v>44.7</v>
      </c>
      <c r="EN242" s="482">
        <f t="shared" si="815"/>
        <v>44.7</v>
      </c>
      <c r="EO242" s="1244">
        <f>IF(Assumptions!EO207&lt;&gt;"",Assumptions!EO207,0)</f>
        <v>44.7</v>
      </c>
      <c r="EP242" s="482">
        <f>IF(Assumptions!EP207&lt;&gt;"",Assumptions!EP207,0)</f>
        <v>44.7</v>
      </c>
      <c r="EQ242" s="482">
        <f t="shared" si="816"/>
        <v>44.7</v>
      </c>
      <c r="ER242" s="1244">
        <f>IF(Assumptions!ER207&lt;&gt;"",Assumptions!ER207,0)</f>
        <v>44.7</v>
      </c>
      <c r="ES242" s="482">
        <f>IF(Assumptions!ES207&lt;&gt;"",Assumptions!ES207,0)</f>
        <v>44.7</v>
      </c>
      <c r="ET242" s="482">
        <f t="shared" si="817"/>
        <v>44.7</v>
      </c>
      <c r="EU242" s="1244">
        <f>IF(Assumptions!EU207&lt;&gt;"",Assumptions!EU207,0)</f>
        <v>44.7</v>
      </c>
      <c r="EV242" s="482">
        <f>IF(Assumptions!EV207&lt;&gt;"",Assumptions!EV207,0)</f>
        <v>44.7</v>
      </c>
      <c r="EW242" s="482">
        <f t="shared" si="818"/>
        <v>44.7</v>
      </c>
      <c r="EX242" s="1244">
        <f>IF(Assumptions!EX207&lt;&gt;"",Assumptions!EX207,0)</f>
        <v>44.7</v>
      </c>
      <c r="EY242" s="482">
        <f>IF(Assumptions!EY207&lt;&gt;"",Assumptions!EY207,0)</f>
        <v>44.7</v>
      </c>
      <c r="EZ242" s="482">
        <f t="shared" si="819"/>
        <v>44.7</v>
      </c>
      <c r="FA242" s="1244">
        <f>IF(Assumptions!FA207&lt;&gt;"",Assumptions!FA207,0)</f>
        <v>44.7</v>
      </c>
      <c r="FB242" s="1571"/>
      <c r="FE242"/>
      <c r="FF242"/>
      <c r="FG242"/>
      <c r="FH242"/>
      <c r="FI242"/>
      <c r="FJ242"/>
      <c r="FK242" s="35"/>
    </row>
    <row r="243" spans="2:167" s="236" customFormat="1" ht="13.35" customHeight="1" outlineLevel="1">
      <c r="B243" s="1483" t="s">
        <v>711</v>
      </c>
      <c r="C243" s="1483" t="s">
        <v>496</v>
      </c>
      <c r="D243" s="1484"/>
      <c r="E243" s="1518"/>
      <c r="F243" s="1519">
        <f t="shared" si="769"/>
        <v>0</v>
      </c>
      <c r="G243" s="1520"/>
      <c r="H243" s="1521"/>
      <c r="I243" s="1519">
        <f t="shared" si="770"/>
        <v>0</v>
      </c>
      <c r="J243" s="1520"/>
      <c r="K243" s="1521"/>
      <c r="L243" s="1519">
        <f t="shared" si="771"/>
        <v>0</v>
      </c>
      <c r="M243" s="1520"/>
      <c r="N243" s="1521"/>
      <c r="O243" s="1519">
        <f t="shared" si="772"/>
        <v>0</v>
      </c>
      <c r="P243" s="1520"/>
      <c r="Q243" s="1521"/>
      <c r="R243" s="1519">
        <f t="shared" si="773"/>
        <v>0</v>
      </c>
      <c r="S243" s="1520"/>
      <c r="T243" s="1521"/>
      <c r="U243" s="1519">
        <f t="shared" si="774"/>
        <v>0</v>
      </c>
      <c r="V243" s="1520"/>
      <c r="W243" s="1521"/>
      <c r="X243" s="1519">
        <f t="shared" si="775"/>
        <v>0</v>
      </c>
      <c r="Y243" s="1520"/>
      <c r="Z243" s="1521"/>
      <c r="AA243" s="1519">
        <f t="shared" si="776"/>
        <v>0</v>
      </c>
      <c r="AB243" s="1520"/>
      <c r="AC243" s="1521"/>
      <c r="AD243" s="1519">
        <f t="shared" si="777"/>
        <v>0</v>
      </c>
      <c r="AE243" s="1520"/>
      <c r="AF243" s="1521"/>
      <c r="AG243" s="1519">
        <f t="shared" si="778"/>
        <v>0</v>
      </c>
      <c r="AH243" s="1520"/>
      <c r="AI243" s="1522">
        <v>0.67500000000000004</v>
      </c>
      <c r="AJ243" s="1519">
        <f t="shared" si="779"/>
        <v>0.82699999999999996</v>
      </c>
      <c r="AK243" s="1523">
        <v>0.82699999999999996</v>
      </c>
      <c r="AL243" s="1522">
        <v>0.38400000000000001</v>
      </c>
      <c r="AM243" s="1519">
        <f t="shared" si="780"/>
        <v>1.5580000000000001</v>
      </c>
      <c r="AN243" s="1523">
        <v>1.5580000000000001</v>
      </c>
      <c r="AO243" s="1522">
        <v>1.6930000000000001</v>
      </c>
      <c r="AP243" s="1519">
        <f t="shared" si="781"/>
        <v>1.6619999999999999</v>
      </c>
      <c r="AQ243" s="1523">
        <v>1.6619999999999999</v>
      </c>
      <c r="AR243" s="1522">
        <v>1.855</v>
      </c>
      <c r="AS243" s="1519">
        <f t="shared" si="782"/>
        <v>1.4630000000000001</v>
      </c>
      <c r="AT243" s="1523">
        <v>1.4630000000000001</v>
      </c>
      <c r="AU243" s="1522">
        <v>1.9370000000000001</v>
      </c>
      <c r="AV243" s="1519">
        <f t="shared" si="783"/>
        <v>1.806</v>
      </c>
      <c r="AW243" s="1523">
        <v>1.806</v>
      </c>
      <c r="AX243" s="1522">
        <v>2.3130000000000002</v>
      </c>
      <c r="AY243" s="1519">
        <f t="shared" si="784"/>
        <v>2.9129999999999998</v>
      </c>
      <c r="AZ243" s="1523">
        <v>2.9129999999999998</v>
      </c>
      <c r="BA243" s="1522">
        <v>3.7069999999999999</v>
      </c>
      <c r="BB243" s="1519">
        <f t="shared" si="785"/>
        <v>5.8339999999999996</v>
      </c>
      <c r="BC243" s="1523">
        <v>5.8339999999999996</v>
      </c>
      <c r="BD243" s="1522">
        <v>8.2870000000000008</v>
      </c>
      <c r="BE243" s="1519">
        <f t="shared" si="786"/>
        <v>6.976</v>
      </c>
      <c r="BF243" s="1523">
        <v>6.976</v>
      </c>
      <c r="BG243" s="1522">
        <f>3.552+11.033</f>
        <v>14.584999999999999</v>
      </c>
      <c r="BH243" s="1519">
        <f t="shared" si="787"/>
        <v>11.99</v>
      </c>
      <c r="BI243" s="1523">
        <v>11.99</v>
      </c>
      <c r="BJ243" s="1522">
        <f>35.809+15.483</f>
        <v>51.292000000000002</v>
      </c>
      <c r="BK243" s="1519">
        <f t="shared" si="788"/>
        <v>12.156000000000001</v>
      </c>
      <c r="BL243" s="1523">
        <v>12.156000000000001</v>
      </c>
      <c r="BM243" s="1521">
        <f>0.269+13.957</f>
        <v>14.226000000000001</v>
      </c>
      <c r="BN243" s="1519">
        <f t="shared" si="789"/>
        <v>4.1859999999999999</v>
      </c>
      <c r="BO243" s="1524">
        <v>4.1859999999999999</v>
      </c>
      <c r="BP243" s="1521">
        <v>12.863</v>
      </c>
      <c r="BQ243" s="1519">
        <f t="shared" si="790"/>
        <v>5.92</v>
      </c>
      <c r="BR243" s="1524">
        <v>5.92</v>
      </c>
      <c r="BS243" s="1522">
        <f>12.251+18.709</f>
        <v>30.96</v>
      </c>
      <c r="BT243" s="1519">
        <f t="shared" si="791"/>
        <v>5.39</v>
      </c>
      <c r="BU243" s="1524">
        <v>5.39</v>
      </c>
      <c r="BV243" s="1522">
        <v>5.6479999999999997</v>
      </c>
      <c r="BW243" s="1519">
        <f t="shared" si="792"/>
        <v>12.974</v>
      </c>
      <c r="BX243" s="1524">
        <f>4.157+8.817</f>
        <v>12.974</v>
      </c>
      <c r="BY243" s="1522">
        <f>5.781+7.419</f>
        <v>13.2</v>
      </c>
      <c r="BZ243" s="1519">
        <f t="shared" si="793"/>
        <v>12.103</v>
      </c>
      <c r="CA243" s="1524">
        <f>3.898+8.205</f>
        <v>12.103</v>
      </c>
      <c r="CB243" s="1522">
        <f>5.965+33.813</f>
        <v>39.778000000000006</v>
      </c>
      <c r="CC243" s="1519">
        <f t="shared" si="794"/>
        <v>15.657</v>
      </c>
      <c r="CD243" s="1524">
        <f>7.695+7.962</f>
        <v>15.657</v>
      </c>
      <c r="CE243" s="1522">
        <v>7.9489999999999998</v>
      </c>
      <c r="CF243" s="1519">
        <f t="shared" si="795"/>
        <v>0</v>
      </c>
      <c r="CG243" s="1524">
        <v>0</v>
      </c>
      <c r="CH243" s="1522">
        <v>11.265000000000001</v>
      </c>
      <c r="CI243" s="1519">
        <f t="shared" si="796"/>
        <v>5.7629999999999999</v>
      </c>
      <c r="CJ243" s="1524">
        <v>5.7629999999999999</v>
      </c>
      <c r="CK243" s="1522">
        <v>7.7130000000000001</v>
      </c>
      <c r="CL243" s="1519">
        <f t="shared" si="797"/>
        <v>6.2069999999999999</v>
      </c>
      <c r="CM243" s="1524">
        <v>6.2069999999999999</v>
      </c>
      <c r="CN243" s="1522">
        <v>16.878</v>
      </c>
      <c r="CO243" s="1519">
        <f t="shared" si="798"/>
        <v>12.586</v>
      </c>
      <c r="CP243" s="1524">
        <v>12.586</v>
      </c>
      <c r="CQ243" s="1522">
        <v>13.414</v>
      </c>
      <c r="CR243" s="1519">
        <f t="shared" si="799"/>
        <v>13.754</v>
      </c>
      <c r="CS243" s="1524">
        <v>13.754</v>
      </c>
      <c r="CT243" s="1522">
        <v>15.757999999999999</v>
      </c>
      <c r="CU243" s="1519">
        <f t="shared" si="800"/>
        <v>13.920999999999999</v>
      </c>
      <c r="CV243" s="1524">
        <v>13.920999999999999</v>
      </c>
      <c r="CW243" s="1522">
        <v>19.254999999999999</v>
      </c>
      <c r="CX243" s="1519">
        <f t="shared" si="801"/>
        <v>7.2779999999999996</v>
      </c>
      <c r="CY243" s="1524">
        <v>7.2779999999999996</v>
      </c>
      <c r="CZ243" s="1521">
        <v>10.6</v>
      </c>
      <c r="DA243" s="1519">
        <f t="shared" si="802"/>
        <v>13.3</v>
      </c>
      <c r="DB243" s="1518">
        <f>9.6+3.7</f>
        <v>13.3</v>
      </c>
      <c r="DC243" s="1521">
        <f>3+12.1</f>
        <v>15.1</v>
      </c>
      <c r="DD243" s="1519">
        <f t="shared" si="803"/>
        <v>14.399999999999999</v>
      </c>
      <c r="DE243" s="1524">
        <f>2.2+12.2</f>
        <v>14.399999999999999</v>
      </c>
      <c r="DF243" s="1522">
        <f>5+7.7</f>
        <v>12.7</v>
      </c>
      <c r="DG243" s="1519">
        <f t="shared" si="804"/>
        <v>435.6</v>
      </c>
      <c r="DH243" s="1525">
        <f>69.4+1.2+365</f>
        <v>435.6</v>
      </c>
      <c r="DI243" s="1526">
        <f>84.9+18.4+25</f>
        <v>128.30000000000001</v>
      </c>
      <c r="DJ243" s="1485">
        <f t="shared" si="805"/>
        <v>86.800000000000011</v>
      </c>
      <c r="DK243" s="1527">
        <f>69.2+17.6</f>
        <v>86.800000000000011</v>
      </c>
      <c r="DL243" s="1526">
        <f>50.1+9.6</f>
        <v>59.7</v>
      </c>
      <c r="DM243" s="1485">
        <f t="shared" si="806"/>
        <v>50.3</v>
      </c>
      <c r="DN243" s="1527">
        <f>8.4+41.9</f>
        <v>50.3</v>
      </c>
      <c r="DO243" s="1526">
        <f>5.2+41.7</f>
        <v>46.900000000000006</v>
      </c>
      <c r="DP243" s="1485">
        <f t="shared" si="807"/>
        <v>23.7</v>
      </c>
      <c r="DQ243" s="1527">
        <f>3.7+20</f>
        <v>23.7</v>
      </c>
      <c r="DR243" s="1526">
        <f>12.7+8</f>
        <v>20.7</v>
      </c>
      <c r="DS243" s="1485">
        <f t="shared" si="808"/>
        <v>19</v>
      </c>
      <c r="DT243" s="1527">
        <f>7.7+11.3</f>
        <v>19</v>
      </c>
      <c r="DU243" s="1526">
        <f>2.4+12.1</f>
        <v>14.5</v>
      </c>
      <c r="DV243" s="1485">
        <f t="shared" si="809"/>
        <v>18.700000000000003</v>
      </c>
      <c r="DW243" s="1527">
        <f>6.9+11.8</f>
        <v>18.700000000000003</v>
      </c>
      <c r="DX243" s="1526">
        <f>10.4+14.9</f>
        <v>25.3</v>
      </c>
      <c r="DY243" s="1485">
        <f t="shared" si="810"/>
        <v>25.3</v>
      </c>
      <c r="DZ243" s="1486">
        <f>IF(Assumptions!DZ208&lt;&gt;"",Assumptions!DZ208,0)</f>
        <v>25.3</v>
      </c>
      <c r="EA243" s="1485">
        <f>IF(Assumptions!EA208&lt;&gt;"",Assumptions!EA208,0)</f>
        <v>25.3</v>
      </c>
      <c r="EB243" s="1485">
        <f t="shared" si="811"/>
        <v>25.3</v>
      </c>
      <c r="EC243" s="1486">
        <f>IF(Assumptions!EC208&lt;&gt;"",Assumptions!EC208,0)</f>
        <v>25.3</v>
      </c>
      <c r="ED243" s="1485">
        <f>IF(Assumptions!ED208&lt;&gt;"",Assumptions!ED208,0)</f>
        <v>25.3</v>
      </c>
      <c r="EE243" s="1485">
        <f t="shared" si="812"/>
        <v>25.3</v>
      </c>
      <c r="EF243" s="1486">
        <f>IF(Assumptions!EF208&lt;&gt;"",Assumptions!EF208,0)</f>
        <v>25.3</v>
      </c>
      <c r="EG243" s="1485">
        <f>IF(Assumptions!EG208&lt;&gt;"",Assumptions!EG208,0)</f>
        <v>25.3</v>
      </c>
      <c r="EH243" s="1485">
        <f t="shared" si="813"/>
        <v>25.3</v>
      </c>
      <c r="EI243" s="1486">
        <f>IF(Assumptions!EI208&lt;&gt;"",Assumptions!EI208,0)</f>
        <v>25.3</v>
      </c>
      <c r="EJ243" s="1485">
        <f>IF(Assumptions!EJ208&lt;&gt;"",Assumptions!EJ208,0)</f>
        <v>25.3</v>
      </c>
      <c r="EK243" s="1485">
        <f t="shared" si="814"/>
        <v>25.3</v>
      </c>
      <c r="EL243" s="1486">
        <f>IF(Assumptions!EL208&lt;&gt;"",Assumptions!EL208,0)</f>
        <v>25.3</v>
      </c>
      <c r="EM243" s="1485">
        <f>IF(Assumptions!EM208&lt;&gt;"",Assumptions!EM208,0)</f>
        <v>25.3</v>
      </c>
      <c r="EN243" s="1485">
        <f t="shared" si="815"/>
        <v>25.3</v>
      </c>
      <c r="EO243" s="1486">
        <f>IF(Assumptions!EO208&lt;&gt;"",Assumptions!EO208,0)</f>
        <v>25.3</v>
      </c>
      <c r="EP243" s="1485">
        <f>IF(Assumptions!EP208&lt;&gt;"",Assumptions!EP208,0)</f>
        <v>25.3</v>
      </c>
      <c r="EQ243" s="1485">
        <f t="shared" si="816"/>
        <v>25.3</v>
      </c>
      <c r="ER243" s="1486">
        <f>IF(Assumptions!ER208&lt;&gt;"",Assumptions!ER208,0)</f>
        <v>25.3</v>
      </c>
      <c r="ES243" s="1485">
        <f>IF(Assumptions!ES208&lt;&gt;"",Assumptions!ES208,0)</f>
        <v>25.3</v>
      </c>
      <c r="ET243" s="1485">
        <f t="shared" si="817"/>
        <v>25.3</v>
      </c>
      <c r="EU243" s="1486">
        <f>IF(Assumptions!EU208&lt;&gt;"",Assumptions!EU208,0)</f>
        <v>25.3</v>
      </c>
      <c r="EV243" s="1485">
        <f>IF(Assumptions!EV208&lt;&gt;"",Assumptions!EV208,0)</f>
        <v>25.3</v>
      </c>
      <c r="EW243" s="1485">
        <f t="shared" si="818"/>
        <v>25.3</v>
      </c>
      <c r="EX243" s="1486">
        <f>IF(Assumptions!EX208&lt;&gt;"",Assumptions!EX208,0)</f>
        <v>25.3</v>
      </c>
      <c r="EY243" s="1485">
        <f>IF(Assumptions!EY208&lt;&gt;"",Assumptions!EY208,0)</f>
        <v>25.3</v>
      </c>
      <c r="EZ243" s="1485">
        <f t="shared" si="819"/>
        <v>25.3</v>
      </c>
      <c r="FA243" s="1486">
        <f>IF(Assumptions!FA208&lt;&gt;"",Assumptions!FA208,0)</f>
        <v>25.3</v>
      </c>
      <c r="FB243" s="1571"/>
      <c r="FE243"/>
      <c r="FF243"/>
      <c r="FG243"/>
      <c r="FH243"/>
      <c r="FI243"/>
      <c r="FJ243"/>
      <c r="FK243" s="35"/>
    </row>
    <row r="244" spans="2:167" s="236" customFormat="1">
      <c r="B244" s="444" t="s">
        <v>714</v>
      </c>
      <c r="C244" s="242" t="s">
        <v>496</v>
      </c>
      <c r="D244" s="243"/>
      <c r="E244" s="482">
        <f>+E230+E231+E235+E236+E241</f>
        <v>0</v>
      </c>
      <c r="F244" s="482">
        <f t="shared" si="769"/>
        <v>0</v>
      </c>
      <c r="G244" s="482">
        <f>+G230+G231+G235+G236+G241</f>
        <v>0</v>
      </c>
      <c r="H244" s="482">
        <f>+H230+H231+H235+H236+H241</f>
        <v>0</v>
      </c>
      <c r="I244" s="482">
        <f t="shared" si="770"/>
        <v>0</v>
      </c>
      <c r="J244" s="482">
        <f>+J230+J231+J235+J236+J241</f>
        <v>0</v>
      </c>
      <c r="K244" s="482">
        <f>+K230+K231+K235+K236+K241</f>
        <v>0</v>
      </c>
      <c r="L244" s="482">
        <f t="shared" si="771"/>
        <v>0</v>
      </c>
      <c r="M244" s="482">
        <f>+M230+M231+M235+M236+M241</f>
        <v>0</v>
      </c>
      <c r="N244" s="482">
        <f>+N230+N231+N235+N236+N241</f>
        <v>0</v>
      </c>
      <c r="O244" s="482">
        <f t="shared" si="772"/>
        <v>0</v>
      </c>
      <c r="P244" s="482">
        <f>+P230+P231+P235+P236+P241</f>
        <v>0</v>
      </c>
      <c r="Q244" s="482">
        <f>+Q230+Q231+Q235+Q236+Q241</f>
        <v>0</v>
      </c>
      <c r="R244" s="482">
        <f t="shared" si="773"/>
        <v>0</v>
      </c>
      <c r="S244" s="482">
        <f>+S230+S231+S235+S236+S241</f>
        <v>0</v>
      </c>
      <c r="T244" s="482">
        <f>+T230+T231+T235+T236+T241</f>
        <v>0</v>
      </c>
      <c r="U244" s="482">
        <f t="shared" si="774"/>
        <v>0</v>
      </c>
      <c r="V244" s="482">
        <f>+V230+V231+V235+V236+V241</f>
        <v>0</v>
      </c>
      <c r="W244" s="482">
        <f>+W230+W231+W235+W236+W241</f>
        <v>0</v>
      </c>
      <c r="X244" s="482">
        <f t="shared" si="775"/>
        <v>0</v>
      </c>
      <c r="Y244" s="482">
        <f>+Y230+Y231+Y235+Y236+Y241</f>
        <v>0</v>
      </c>
      <c r="Z244" s="482">
        <f>+Z230+Z231+Z235+Z236+Z241</f>
        <v>0</v>
      </c>
      <c r="AA244" s="482">
        <f t="shared" si="776"/>
        <v>0</v>
      </c>
      <c r="AB244" s="482">
        <f>+AB230+AB231+AB235+AB236+AB241</f>
        <v>0</v>
      </c>
      <c r="AC244" s="482">
        <f>+AC230+AC231+AC235+AC236+AC241</f>
        <v>0</v>
      </c>
      <c r="AD244" s="482">
        <f t="shared" si="777"/>
        <v>0</v>
      </c>
      <c r="AE244" s="482">
        <f>+AE230+AE231+AE235+AE236+AE241</f>
        <v>0</v>
      </c>
      <c r="AF244" s="482">
        <f>+AF230+AF231+AF235+AF236+AF241</f>
        <v>0</v>
      </c>
      <c r="AG244" s="482">
        <f t="shared" si="778"/>
        <v>0</v>
      </c>
      <c r="AH244" s="482">
        <f>+AH230+AH231+AH235+AH236+AH241</f>
        <v>0</v>
      </c>
      <c r="AI244" s="482">
        <f>+AI230+AI231+AI235+AI236+AI241</f>
        <v>30.437000000000001</v>
      </c>
      <c r="AJ244" s="482">
        <f t="shared" si="779"/>
        <v>25.021999999999998</v>
      </c>
      <c r="AK244" s="482">
        <f>+AK230+AK231+AK235+AK236+AK241</f>
        <v>25.021999999999998</v>
      </c>
      <c r="AL244" s="482">
        <f>+AL230+AL231+AL235+AL236+AL241</f>
        <v>28.798000000000002</v>
      </c>
      <c r="AM244" s="482">
        <f t="shared" si="780"/>
        <v>35.222999999999999</v>
      </c>
      <c r="AN244" s="482">
        <f>+AN230+AN231+AN235+AN236+AN241</f>
        <v>35.222999999999999</v>
      </c>
      <c r="AO244" s="482">
        <f>+AO230+AO231+AO235+AO236+AO241</f>
        <v>31.459000000000003</v>
      </c>
      <c r="AP244" s="482">
        <f t="shared" si="781"/>
        <v>38.190999999999995</v>
      </c>
      <c r="AQ244" s="482">
        <f>+AQ230+AQ231+AQ235+AQ236+AQ241</f>
        <v>38.190999999999995</v>
      </c>
      <c r="AR244" s="482">
        <f>+AR230+AR231+AR235+AR236+AR241</f>
        <v>46.338999999999992</v>
      </c>
      <c r="AS244" s="482">
        <f t="shared" si="782"/>
        <v>52.566000000000003</v>
      </c>
      <c r="AT244" s="482">
        <f>+AT230+AT231+AT235+AT236+AT241</f>
        <v>52.566000000000003</v>
      </c>
      <c r="AU244" s="482">
        <f>+AU230+AU231+AU235+AU236+AU241</f>
        <v>60.827999999999996</v>
      </c>
      <c r="AV244" s="482">
        <f t="shared" si="783"/>
        <v>64.01100000000001</v>
      </c>
      <c r="AW244" s="482">
        <f>+AW230+AW231+AW235+AW236+AW241</f>
        <v>64.01100000000001</v>
      </c>
      <c r="AX244" s="482">
        <f>+AX230+AX231+AX235+AX236+AX241</f>
        <v>67.917000000000002</v>
      </c>
      <c r="AY244" s="482">
        <f t="shared" si="784"/>
        <v>71.971000000000004</v>
      </c>
      <c r="AZ244" s="482">
        <f>+AZ230+AZ231+AZ235+AZ236+AZ241</f>
        <v>71.971000000000004</v>
      </c>
      <c r="BA244" s="482">
        <f>+BA230+BA231+BA235+BA236+BA241</f>
        <v>89.090999999999994</v>
      </c>
      <c r="BB244" s="482">
        <f t="shared" si="785"/>
        <v>106.438</v>
      </c>
      <c r="BC244" s="482">
        <f>+BC230+BC231+BC235+BC236+BC241</f>
        <v>106.438</v>
      </c>
      <c r="BD244" s="482">
        <f>+BD230+BD231+BD235+BD236+BD241</f>
        <v>109.995</v>
      </c>
      <c r="BE244" s="482">
        <f t="shared" si="786"/>
        <v>123.179</v>
      </c>
      <c r="BF244" s="482">
        <f>+BF230+BF231+BF235+BF236+BF241</f>
        <v>123.179</v>
      </c>
      <c r="BG244" s="482">
        <f>+BG230+BG231+BG235+BG236+BG241</f>
        <v>147.89600000000002</v>
      </c>
      <c r="BH244" s="482">
        <f t="shared" si="787"/>
        <v>179.482</v>
      </c>
      <c r="BI244" s="482">
        <f>+BI230+BI231+BI235+BI236+BI241</f>
        <v>179.482</v>
      </c>
      <c r="BJ244" s="482">
        <f>+BJ230+BJ231+BJ235+BJ236+BJ241</f>
        <v>219.57599999999999</v>
      </c>
      <c r="BK244" s="482">
        <f t="shared" si="788"/>
        <v>200.40200000000002</v>
      </c>
      <c r="BL244" s="482">
        <f>+BL230+BL231+BL235+BL236+BL241</f>
        <v>200.40200000000002</v>
      </c>
      <c r="BM244" s="482">
        <f>+BM230+BM231+BM235+BM236+BM241</f>
        <v>201.31799999999998</v>
      </c>
      <c r="BN244" s="482">
        <f t="shared" si="789"/>
        <v>251.154</v>
      </c>
      <c r="BO244" s="482">
        <f>+BO230+BO231+BO235+BO236+BO241</f>
        <v>251.154</v>
      </c>
      <c r="BP244" s="482">
        <f>+BP230+BP231+BP235+BP236+BP241</f>
        <v>278.03899999999999</v>
      </c>
      <c r="BQ244" s="482">
        <f t="shared" si="790"/>
        <v>279.20300000000003</v>
      </c>
      <c r="BR244" s="482">
        <f>+BR230+BR231+BR235+BR236+BR241</f>
        <v>279.20300000000003</v>
      </c>
      <c r="BS244" s="482">
        <f>+BS230+BS231+BS235+BS236+BS241</f>
        <v>298.637</v>
      </c>
      <c r="BT244" s="482">
        <f t="shared" si="791"/>
        <v>323.738</v>
      </c>
      <c r="BU244" s="482">
        <f>+BU230+BU231+BU235+BU236+BU241</f>
        <v>323.738</v>
      </c>
      <c r="BV244" s="482">
        <f>+BV230+BV231+BV235+BV236+BV241</f>
        <v>325.27300000000002</v>
      </c>
      <c r="BW244" s="482">
        <f t="shared" si="792"/>
        <v>322.09599999999995</v>
      </c>
      <c r="BX244" s="482">
        <f>+BX230+BX231+BX235+BX236+BX241</f>
        <v>322.09599999999995</v>
      </c>
      <c r="BY244" s="482">
        <f>+BY230+BY231+BY235+BY236+BY241</f>
        <v>381.82299999999998</v>
      </c>
      <c r="BZ244" s="482">
        <f t="shared" si="793"/>
        <v>371.31900000000002</v>
      </c>
      <c r="CA244" s="482">
        <f>+CA230+CA231+CA235+CA236+CA241</f>
        <v>371.31900000000002</v>
      </c>
      <c r="CB244" s="482">
        <f>+CB230+CB231+CB235+CB236+CB241</f>
        <v>420.637</v>
      </c>
      <c r="CC244" s="482">
        <f t="shared" si="794"/>
        <v>447.88799999999992</v>
      </c>
      <c r="CD244" s="562">
        <f>+CD230+CD231+CD235+CD236+CD241</f>
        <v>447.88799999999992</v>
      </c>
      <c r="CE244" s="562">
        <f>+CE230+CE231+CE235+CE236+CE241</f>
        <v>432.87200000000001</v>
      </c>
      <c r="CF244" s="562">
        <f t="shared" si="795"/>
        <v>429.88400000000007</v>
      </c>
      <c r="CG244" s="562">
        <f>+CG230+CG231+CG235+CG236+CG241</f>
        <v>429.88400000000007</v>
      </c>
      <c r="CH244" s="562">
        <f>+CH230+CH231+CH235+CH236+CH241</f>
        <v>377.41399999999999</v>
      </c>
      <c r="CI244" s="562">
        <f t="shared" si="796"/>
        <v>373.88100000000003</v>
      </c>
      <c r="CJ244" s="562">
        <f>+CJ230+CJ231+CJ235+CJ236+CJ241</f>
        <v>373.88100000000003</v>
      </c>
      <c r="CK244" s="562">
        <f>+CK230+CK231+CK235+CK236+CK241</f>
        <v>400.27199999999999</v>
      </c>
      <c r="CL244" s="562">
        <f t="shared" si="797"/>
        <v>405.22200000000004</v>
      </c>
      <c r="CM244" s="562">
        <f>+CM230+CM231+CM235+CM236+CM241</f>
        <v>405.22200000000004</v>
      </c>
      <c r="CN244" s="562">
        <f>+CN230+CN231+CN235+CN236+CN241</f>
        <v>428.62300000000005</v>
      </c>
      <c r="CO244" s="562">
        <f t="shared" si="798"/>
        <v>420.87899999999996</v>
      </c>
      <c r="CP244" s="562">
        <f>+CP230+CP231+CP235+CP236+CP241</f>
        <v>420.87899999999996</v>
      </c>
      <c r="CQ244" s="562">
        <f>+CQ230+CQ231+CQ235+CQ236+CQ241</f>
        <v>447.86799999999999</v>
      </c>
      <c r="CR244" s="562">
        <f t="shared" si="799"/>
        <v>489.02600000000001</v>
      </c>
      <c r="CS244" s="562">
        <f>+CS230+CS231+CS235+CS236+CS241</f>
        <v>489.02600000000001</v>
      </c>
      <c r="CT244" s="562">
        <f>+CT230+CT231+CT235+CT236+CT241</f>
        <v>525.98099999999999</v>
      </c>
      <c r="CU244" s="562">
        <f t="shared" si="800"/>
        <v>543.02800000000002</v>
      </c>
      <c r="CV244" s="562">
        <f>+CV230+CV231+CV235+CV236+CV241</f>
        <v>543.02800000000002</v>
      </c>
      <c r="CW244" s="562">
        <f>+CW230+CW231+CW235+CW236+CW241</f>
        <v>571.70500000000004</v>
      </c>
      <c r="CX244" s="562">
        <f t="shared" si="801"/>
        <v>585.96</v>
      </c>
      <c r="CY244" s="562">
        <f>+CY230+CY231+CY235+CY236+CY241</f>
        <v>585.96</v>
      </c>
      <c r="CZ244" s="562">
        <f>+CZ230+CZ231+CZ235+CZ236+CZ241</f>
        <v>621.00000000000011</v>
      </c>
      <c r="DA244" s="562">
        <f t="shared" si="802"/>
        <v>584.20000000000005</v>
      </c>
      <c r="DB244" s="562">
        <f>+DB230+DB231+DB235+DB236+DB241</f>
        <v>584.20000000000005</v>
      </c>
      <c r="DC244" s="562">
        <f>+DC230+DC231+DC235+DC236+DC241</f>
        <v>606.6</v>
      </c>
      <c r="DD244" s="562">
        <f t="shared" si="803"/>
        <v>634.99999999999989</v>
      </c>
      <c r="DE244" s="562">
        <f>+DE230+DE231+DE235+DE236+DE241</f>
        <v>634.99999999999989</v>
      </c>
      <c r="DF244" s="562">
        <f>+DF230+DF231+DF235+DF236+DF241</f>
        <v>653.9</v>
      </c>
      <c r="DG244" s="562">
        <f t="shared" si="804"/>
        <v>1477.5</v>
      </c>
      <c r="DH244" s="1274">
        <f>+DH230+DH231+DH235+DH236+DH241</f>
        <v>1477.5</v>
      </c>
      <c r="DI244" s="562">
        <f>+DI230+DI231+DI235+DI236+DI241</f>
        <v>1183.5000000000002</v>
      </c>
      <c r="DJ244" s="562">
        <f t="shared" si="805"/>
        <v>1230</v>
      </c>
      <c r="DK244" s="1274">
        <f>+DK230+DK231+DK235+DK236+DK241</f>
        <v>1230</v>
      </c>
      <c r="DL244" s="562">
        <f>+DL230+DL231+DL235+DL236+DL241</f>
        <v>1202</v>
      </c>
      <c r="DM244" s="562">
        <f t="shared" si="806"/>
        <v>1327</v>
      </c>
      <c r="DN244" s="1274">
        <f>+DN230+DN231+DN235+DN236+DN241</f>
        <v>1327</v>
      </c>
      <c r="DO244" s="562">
        <f>+DO230+DO231+DO235+DO236+DO241</f>
        <v>1315.3999999999999</v>
      </c>
      <c r="DP244" s="562">
        <f t="shared" si="807"/>
        <v>1361.5</v>
      </c>
      <c r="DQ244" s="1274">
        <f>+DQ230+DQ231+DQ235+DQ236+DQ241</f>
        <v>1361.5</v>
      </c>
      <c r="DR244" s="562">
        <f>+DR230+DR231+DR235+DR236+DR241</f>
        <v>1327.4</v>
      </c>
      <c r="DS244" s="562">
        <f t="shared" si="808"/>
        <v>1452.1000000000001</v>
      </c>
      <c r="DT244" s="1274">
        <f>+DT230+DT231+DT235+DT236+DT241</f>
        <v>1452.1000000000001</v>
      </c>
      <c r="DU244" s="562">
        <f>+DU230+DU231+DU235+DU236+DU241</f>
        <v>1410.6000000000001</v>
      </c>
      <c r="DV244" s="562">
        <f t="shared" si="809"/>
        <v>1416.8</v>
      </c>
      <c r="DW244" s="1274">
        <f>+DW230+DW231+DW235+DW236+DW241</f>
        <v>1416.8</v>
      </c>
      <c r="DX244" s="562">
        <f>+DX230+DX231+DX235+DX236+DX241</f>
        <v>1372.9</v>
      </c>
      <c r="DY244" s="562">
        <f t="shared" si="810"/>
        <v>1369.7667235123258</v>
      </c>
      <c r="DZ244" s="1274">
        <f>+DZ230+DZ231+DZ235+DZ236+DZ241</f>
        <v>1369.7667235123258</v>
      </c>
      <c r="EA244" s="562">
        <f>+EA230+EA231+EA235+EA236+EA241</f>
        <v>1423.9271323564449</v>
      </c>
      <c r="EB244" s="562">
        <f t="shared" si="811"/>
        <v>1445.5163275829914</v>
      </c>
      <c r="EC244" s="1274">
        <f>+EC230+EC231+EC235+EC236+EC241</f>
        <v>1445.5163275829914</v>
      </c>
      <c r="ED244" s="562">
        <f>+ED230+ED231+ED235+ED236+ED241</f>
        <v>1493.3995969954888</v>
      </c>
      <c r="EE244" s="562">
        <f t="shared" si="812"/>
        <v>1518.095983228709</v>
      </c>
      <c r="EF244" s="1274">
        <f>+EF230+EF231+EF235+EF236+EF241</f>
        <v>1518.095983228709</v>
      </c>
      <c r="EG244" s="562">
        <f>+EG230+EG231+EG235+EG236+EG241</f>
        <v>1579.0512943789442</v>
      </c>
      <c r="EH244" s="562">
        <f t="shared" si="813"/>
        <v>1612.183607199036</v>
      </c>
      <c r="EI244" s="1274">
        <f>+EI230+EI231+EI235+EI236+EI241</f>
        <v>1612.183607199036</v>
      </c>
      <c r="EJ244" s="562">
        <f>+EJ230+EJ231+EJ235+EJ236+EJ241</f>
        <v>1732.2164841079962</v>
      </c>
      <c r="EK244" s="562">
        <f t="shared" si="814"/>
        <v>1824.7041994579565</v>
      </c>
      <c r="EL244" s="1274">
        <f>+EL230+EL231+EL235+EL236+EL241</f>
        <v>1824.7041994579565</v>
      </c>
      <c r="EM244" s="562">
        <f>+EM230+EM231+EM235+EM236+EM241</f>
        <v>1956.0643894792079</v>
      </c>
      <c r="EN244" s="562">
        <f t="shared" si="815"/>
        <v>2058.3686075726791</v>
      </c>
      <c r="EO244" s="1274">
        <f>+EO230+EO231+EO235+EO236+EO241</f>
        <v>2058.3686075726791</v>
      </c>
      <c r="EP244" s="562">
        <f>+EP230+EP231+EP235+EP236+EP241</f>
        <v>2202.1983129835926</v>
      </c>
      <c r="EQ244" s="562">
        <f t="shared" si="816"/>
        <v>2314.9540850058756</v>
      </c>
      <c r="ER244" s="1274">
        <f>+ER230+ER231+ER235+ER236+ER241</f>
        <v>2314.9540850058756</v>
      </c>
      <c r="ES244" s="562">
        <f>+ES230+ES231+ES235+ES236+ES241</f>
        <v>2473.0659771372693</v>
      </c>
      <c r="ET244" s="562">
        <f t="shared" si="817"/>
        <v>2597.2645568500284</v>
      </c>
      <c r="EU244" s="1274">
        <f>+EU230+EU231+EU235+EU236+EU241</f>
        <v>2597.2645568500284</v>
      </c>
      <c r="EV244" s="562">
        <f>+EV230+EV231+EV235+EV236+EV241</f>
        <v>2771.0023953830487</v>
      </c>
      <c r="EW244" s="562">
        <f t="shared" si="818"/>
        <v>2907.7271060639036</v>
      </c>
      <c r="EX244" s="1274">
        <f>+EX230+EX231+EX235+EX236+EX241</f>
        <v>2907.7271060639036</v>
      </c>
      <c r="EY244" s="562">
        <f>+EY230+EY231+EY235+EY236+EY241</f>
        <v>3098.5601143326853</v>
      </c>
      <c r="EZ244" s="562">
        <f t="shared" si="819"/>
        <v>3248.9951398384273</v>
      </c>
      <c r="FA244" s="1274">
        <f>+FA230+FA231+FA235+FA236+FA241</f>
        <v>3248.9951398384273</v>
      </c>
      <c r="FB244" s="1571"/>
      <c r="FE244"/>
      <c r="FF244"/>
      <c r="FG244"/>
      <c r="FH244"/>
      <c r="FI244"/>
      <c r="FJ244"/>
      <c r="FK244" s="35"/>
    </row>
    <row r="245" spans="2:167" s="236" customFormat="1" ht="13.5" thickBot="1">
      <c r="B245" s="242"/>
      <c r="C245" s="242"/>
      <c r="D245" s="243"/>
      <c r="E245" s="482"/>
      <c r="F245" s="482"/>
      <c r="G245" s="482"/>
      <c r="H245" s="482"/>
      <c r="I245" s="482"/>
      <c r="J245" s="482"/>
      <c r="K245" s="482"/>
      <c r="L245" s="482"/>
      <c r="M245" s="482"/>
      <c r="N245" s="482"/>
      <c r="O245" s="482"/>
      <c r="P245" s="482"/>
      <c r="Q245" s="482"/>
      <c r="R245" s="482"/>
      <c r="S245" s="482"/>
      <c r="T245" s="482"/>
      <c r="U245" s="482"/>
      <c r="V245" s="482"/>
      <c r="W245" s="482"/>
      <c r="X245" s="482"/>
      <c r="Y245" s="482"/>
      <c r="Z245" s="482"/>
      <c r="AA245" s="482"/>
      <c r="AB245" s="482"/>
      <c r="AC245" s="482"/>
      <c r="AD245" s="482"/>
      <c r="AE245" s="482"/>
      <c r="AF245" s="482"/>
      <c r="AG245" s="482"/>
      <c r="AH245" s="482"/>
      <c r="AI245" s="482"/>
      <c r="AJ245" s="482"/>
      <c r="AK245" s="482"/>
      <c r="AL245" s="482"/>
      <c r="AM245" s="482"/>
      <c r="AN245" s="482"/>
      <c r="AO245" s="482"/>
      <c r="AP245" s="482"/>
      <c r="AQ245" s="482"/>
      <c r="AR245" s="482"/>
      <c r="AS245" s="482"/>
      <c r="AT245" s="482"/>
      <c r="AU245" s="482"/>
      <c r="AV245" s="482"/>
      <c r="AW245" s="482"/>
      <c r="AX245" s="482"/>
      <c r="AY245" s="482"/>
      <c r="AZ245" s="482"/>
      <c r="BA245" s="482"/>
      <c r="BB245" s="482"/>
      <c r="BC245" s="482"/>
      <c r="BD245" s="482"/>
      <c r="BE245" s="482"/>
      <c r="BF245" s="482"/>
      <c r="BG245" s="482"/>
      <c r="BH245" s="482"/>
      <c r="BI245" s="482"/>
      <c r="BJ245" s="482"/>
      <c r="BK245" s="482"/>
      <c r="BL245" s="482"/>
      <c r="BM245" s="482"/>
      <c r="BN245" s="482"/>
      <c r="BO245" s="482"/>
      <c r="BP245" s="482"/>
      <c r="BQ245" s="482"/>
      <c r="BR245" s="482"/>
      <c r="BS245" s="482"/>
      <c r="BT245" s="482"/>
      <c r="BU245" s="482"/>
      <c r="BV245" s="482"/>
      <c r="BW245" s="482"/>
      <c r="BX245" s="482"/>
      <c r="BY245" s="482"/>
      <c r="BZ245" s="482"/>
      <c r="CA245" s="482"/>
      <c r="CB245" s="482"/>
      <c r="CC245" s="482"/>
      <c r="CD245" s="482"/>
      <c r="CE245" s="482"/>
      <c r="CF245" s="482"/>
      <c r="CG245" s="482"/>
      <c r="CH245" s="482"/>
      <c r="CI245" s="482"/>
      <c r="CJ245" s="482"/>
      <c r="CK245" s="482"/>
      <c r="CL245" s="482"/>
      <c r="CM245" s="482"/>
      <c r="CN245" s="482"/>
      <c r="CO245" s="482"/>
      <c r="CP245" s="482"/>
      <c r="CQ245" s="482"/>
      <c r="CR245" s="482"/>
      <c r="CS245" s="482"/>
      <c r="CT245" s="482"/>
      <c r="CU245" s="482"/>
      <c r="CV245" s="482"/>
      <c r="CW245" s="482"/>
      <c r="CX245" s="482"/>
      <c r="CY245" s="482"/>
      <c r="CZ245" s="482"/>
      <c r="DA245" s="482"/>
      <c r="DB245" s="482"/>
      <c r="DC245" s="482"/>
      <c r="DD245" s="482"/>
      <c r="DE245" s="482"/>
      <c r="DF245" s="482"/>
      <c r="DG245" s="482"/>
      <c r="DH245" s="1244"/>
      <c r="DI245" s="482"/>
      <c r="DJ245" s="482"/>
      <c r="DK245" s="1244"/>
      <c r="DL245" s="482"/>
      <c r="DM245" s="482"/>
      <c r="DN245" s="1244"/>
      <c r="DO245" s="482"/>
      <c r="DP245" s="482"/>
      <c r="DQ245" s="1244"/>
      <c r="DR245" s="482"/>
      <c r="DS245" s="482"/>
      <c r="DT245" s="1244"/>
      <c r="DU245" s="482"/>
      <c r="DV245" s="482"/>
      <c r="DW245" s="1244"/>
      <c r="DX245" s="482"/>
      <c r="DY245" s="482"/>
      <c r="DZ245" s="1244"/>
      <c r="EA245" s="482"/>
      <c r="EB245" s="482"/>
      <c r="EC245" s="1244"/>
      <c r="ED245" s="482"/>
      <c r="EE245" s="482"/>
      <c r="EF245" s="1244"/>
      <c r="EG245" s="482"/>
      <c r="EH245" s="482"/>
      <c r="EI245" s="1244"/>
      <c r="EJ245" s="482"/>
      <c r="EK245" s="482"/>
      <c r="EL245" s="1244"/>
      <c r="EM245" s="482"/>
      <c r="EN245" s="482"/>
      <c r="EO245" s="1244"/>
      <c r="EP245" s="482"/>
      <c r="EQ245" s="482"/>
      <c r="ER245" s="1244"/>
      <c r="ES245" s="482"/>
      <c r="ET245" s="482"/>
      <c r="EU245" s="1244"/>
      <c r="EV245" s="482"/>
      <c r="EW245" s="482"/>
      <c r="EX245" s="1244"/>
      <c r="EY245" s="482"/>
      <c r="EZ245" s="482"/>
      <c r="FA245" s="1244"/>
      <c r="FB245" s="1571"/>
      <c r="FE245"/>
      <c r="FF245"/>
      <c r="FG245"/>
      <c r="FH245"/>
      <c r="FI245"/>
      <c r="FJ245"/>
      <c r="FK245" s="35"/>
    </row>
    <row r="246" spans="2:167" s="236" customFormat="1" ht="13.35" customHeight="1" outlineLevel="1">
      <c r="B246" s="242" t="s">
        <v>715</v>
      </c>
      <c r="C246" s="242" t="s">
        <v>496</v>
      </c>
      <c r="D246" s="243"/>
      <c r="E246" s="511"/>
      <c r="F246" s="510">
        <f t="shared" ref="F246:F264" si="820">+G246</f>
        <v>0</v>
      </c>
      <c r="G246" s="512"/>
      <c r="H246" s="513"/>
      <c r="I246" s="510">
        <f t="shared" ref="I246:I264" si="821">+J246</f>
        <v>0</v>
      </c>
      <c r="J246" s="512"/>
      <c r="K246" s="513"/>
      <c r="L246" s="510">
        <f t="shared" ref="L246:L264" si="822">+M246</f>
        <v>0</v>
      </c>
      <c r="M246" s="512"/>
      <c r="N246" s="513"/>
      <c r="O246" s="510">
        <f t="shared" ref="O246:O264" si="823">+P246</f>
        <v>0</v>
      </c>
      <c r="P246" s="512"/>
      <c r="Q246" s="513"/>
      <c r="R246" s="510">
        <f t="shared" ref="R246:R264" si="824">+S246</f>
        <v>0</v>
      </c>
      <c r="S246" s="512"/>
      <c r="T246" s="513"/>
      <c r="U246" s="510">
        <f t="shared" ref="U246:U264" si="825">+V246</f>
        <v>0</v>
      </c>
      <c r="V246" s="512"/>
      <c r="W246" s="513"/>
      <c r="X246" s="510">
        <f t="shared" ref="X246:X264" si="826">+Y246</f>
        <v>0</v>
      </c>
      <c r="Y246" s="512"/>
      <c r="Z246" s="513"/>
      <c r="AA246" s="510">
        <f t="shared" ref="AA246:AA264" si="827">+AB246</f>
        <v>0</v>
      </c>
      <c r="AB246" s="512"/>
      <c r="AC246" s="513"/>
      <c r="AD246" s="510">
        <f t="shared" ref="AD246:AD264" si="828">+AE246</f>
        <v>0</v>
      </c>
      <c r="AE246" s="512"/>
      <c r="AF246" s="513"/>
      <c r="AG246" s="510">
        <f t="shared" ref="AG246:AG264" si="829">+AH246</f>
        <v>0</v>
      </c>
      <c r="AH246" s="512"/>
      <c r="AI246" s="514">
        <v>0.32900000000000001</v>
      </c>
      <c r="AJ246" s="510">
        <f t="shared" ref="AJ246:AJ264" si="830">+AK246</f>
        <v>0.38700000000000001</v>
      </c>
      <c r="AK246" s="515">
        <v>0.38700000000000001</v>
      </c>
      <c r="AL246" s="514">
        <v>0.30499999999999999</v>
      </c>
      <c r="AM246" s="510">
        <f t="shared" ref="AM246:AM264" si="831">+AN246</f>
        <v>0.26700000000000002</v>
      </c>
      <c r="AN246" s="515">
        <v>0.26700000000000002</v>
      </c>
      <c r="AO246" s="514">
        <v>0.22</v>
      </c>
      <c r="AP246" s="510">
        <f t="shared" ref="AP246:AP264" si="832">+AQ246</f>
        <v>0.32600000000000001</v>
      </c>
      <c r="AQ246" s="515">
        <v>0.32600000000000001</v>
      </c>
      <c r="AR246" s="514">
        <v>0.32600000000000001</v>
      </c>
      <c r="AS246" s="510">
        <f t="shared" ref="AS246:AS264" si="833">+AT246</f>
        <v>0.32400000000000001</v>
      </c>
      <c r="AT246" s="515">
        <v>0.32400000000000001</v>
      </c>
      <c r="AU246" s="514">
        <v>0.38200000000000001</v>
      </c>
      <c r="AV246" s="510">
        <f t="shared" ref="AV246:AV264" si="834">+AW246</f>
        <v>0.34399999999999997</v>
      </c>
      <c r="AW246" s="515">
        <v>0.34399999999999997</v>
      </c>
      <c r="AX246" s="514">
        <v>0.439</v>
      </c>
      <c r="AY246" s="510">
        <f t="shared" ref="AY246:AY264" si="835">+AZ246</f>
        <v>0.46300000000000002</v>
      </c>
      <c r="AZ246" s="515">
        <v>0.46300000000000002</v>
      </c>
      <c r="BA246" s="514">
        <v>0.254</v>
      </c>
      <c r="BB246" s="510">
        <f t="shared" ref="BB246:BB264" si="836">+BC246</f>
        <v>0.251</v>
      </c>
      <c r="BC246" s="515">
        <v>0.251</v>
      </c>
      <c r="BD246" s="514">
        <v>0.224</v>
      </c>
      <c r="BE246" s="510">
        <f t="shared" ref="BE246:BE264" si="837">+BF246</f>
        <v>0.215</v>
      </c>
      <c r="BF246" s="515">
        <v>0.215</v>
      </c>
      <c r="BG246" s="514">
        <v>0.34899999999999998</v>
      </c>
      <c r="BH246" s="510">
        <f t="shared" ref="BH246:BH264" si="838">+BI246</f>
        <v>9.7959999999999994</v>
      </c>
      <c r="BI246" s="515">
        <v>9.7959999999999994</v>
      </c>
      <c r="BJ246" s="514">
        <v>11.782</v>
      </c>
      <c r="BK246" s="510">
        <f t="shared" ref="BK246:BK264" si="839">+BL246</f>
        <v>9.6329999999999991</v>
      </c>
      <c r="BL246" s="515">
        <v>9.6329999999999991</v>
      </c>
      <c r="BM246" s="513">
        <v>11.175000000000001</v>
      </c>
      <c r="BN246" s="510">
        <f t="shared" ref="BN246:BN264" si="840">+BO246</f>
        <v>9.9380000000000006</v>
      </c>
      <c r="BO246" s="548">
        <f>9.938</f>
        <v>9.9380000000000006</v>
      </c>
      <c r="BP246" s="513">
        <f>4.253+0.16</f>
        <v>4.4130000000000003</v>
      </c>
      <c r="BQ246" s="510">
        <f t="shared" ref="BQ246:BQ264" si="841">+BR246</f>
        <v>0</v>
      </c>
      <c r="BR246" s="548">
        <v>0</v>
      </c>
      <c r="BS246" s="514">
        <v>0</v>
      </c>
      <c r="BT246" s="510">
        <f t="shared" ref="BT246:BT264" si="842">+BU246</f>
        <v>6.6550000000000002</v>
      </c>
      <c r="BU246" s="548">
        <f>6.178+0.477</f>
        <v>6.6550000000000002</v>
      </c>
      <c r="BV246" s="514">
        <f>2.263+0.093</f>
        <v>2.3559999999999999</v>
      </c>
      <c r="BW246" s="510">
        <f t="shared" ref="BW246:BW264" si="843">+BX246</f>
        <v>15.962999999999999</v>
      </c>
      <c r="BX246" s="548">
        <v>15.962999999999999</v>
      </c>
      <c r="BY246" s="514">
        <v>0.61899999999999999</v>
      </c>
      <c r="BZ246" s="510">
        <f t="shared" ref="BZ246:BZ264" si="844">+CA246</f>
        <v>31.085999999999999</v>
      </c>
      <c r="CA246" s="548">
        <v>31.085999999999999</v>
      </c>
      <c r="CB246" s="514">
        <v>29.965</v>
      </c>
      <c r="CC246" s="510">
        <f t="shared" ref="CC246:CC264" si="845">+CD246</f>
        <v>25.143000000000001</v>
      </c>
      <c r="CD246" s="548">
        <v>25.143000000000001</v>
      </c>
      <c r="CE246" s="514">
        <v>37.595999999999997</v>
      </c>
      <c r="CF246" s="510">
        <f t="shared" ref="CF246:CF264" si="846">+CG246</f>
        <v>17.184000000000001</v>
      </c>
      <c r="CG246" s="548">
        <v>17.184000000000001</v>
      </c>
      <c r="CH246" s="514">
        <v>30.417000000000002</v>
      </c>
      <c r="CI246" s="510">
        <f t="shared" ref="CI246:CI264" si="847">+CJ246</f>
        <v>11.84</v>
      </c>
      <c r="CJ246" s="548">
        <v>11.84</v>
      </c>
      <c r="CK246" s="514">
        <v>17.748000000000001</v>
      </c>
      <c r="CL246" s="510">
        <f t="shared" ref="CL246:CL264" si="848">+CM246</f>
        <v>0.94399999999999995</v>
      </c>
      <c r="CM246" s="548">
        <v>0.94399999999999995</v>
      </c>
      <c r="CN246" s="514">
        <v>0.40500000000000003</v>
      </c>
      <c r="CO246" s="510">
        <f t="shared" ref="CO246:CO264" si="849">+CP246</f>
        <v>5.5049999999999999</v>
      </c>
      <c r="CP246" s="548">
        <v>5.5049999999999999</v>
      </c>
      <c r="CQ246" s="514">
        <v>1.0609999999999999</v>
      </c>
      <c r="CR246" s="510">
        <f t="shared" ref="CR246:CR264" si="850">+CS246</f>
        <v>1.9729999999999999</v>
      </c>
      <c r="CS246" s="548">
        <f>1.91+0.063</f>
        <v>1.9729999999999999</v>
      </c>
      <c r="CT246" s="514">
        <f>2.728+1.61</f>
        <v>4.3380000000000001</v>
      </c>
      <c r="CU246" s="510">
        <f t="shared" ref="CU246:CU264" si="851">+CV246</f>
        <v>12.219999999999999</v>
      </c>
      <c r="CV246" s="548">
        <f>1.507+10.713</f>
        <v>12.219999999999999</v>
      </c>
      <c r="CW246" s="514">
        <f>1.23+7.978</f>
        <v>9.2080000000000002</v>
      </c>
      <c r="CX246" s="510">
        <f t="shared" ref="CX246:CX264" si="852">+CY246</f>
        <v>8.6660000000000004</v>
      </c>
      <c r="CY246" s="548">
        <f>0.906+7.76</f>
        <v>8.6660000000000004</v>
      </c>
      <c r="CZ246" s="513">
        <f>0.6+5.5</f>
        <v>6.1</v>
      </c>
      <c r="DA246" s="510">
        <f t="shared" ref="DA246:DA264" si="853">+DB246</f>
        <v>2.5</v>
      </c>
      <c r="DB246" s="511">
        <f>2.1+0.4</f>
        <v>2.5</v>
      </c>
      <c r="DC246" s="513">
        <f>2.2+0.3</f>
        <v>2.5</v>
      </c>
      <c r="DD246" s="510">
        <f t="shared" ref="DD246:DD264" si="854">+DE246</f>
        <v>5.4</v>
      </c>
      <c r="DE246" s="548">
        <f>3.3+2.1</f>
        <v>5.4</v>
      </c>
      <c r="DF246" s="514">
        <f>3.4+6.4</f>
        <v>9.8000000000000007</v>
      </c>
      <c r="DG246" s="510">
        <f t="shared" ref="DG246:DG264" si="855">+DH246</f>
        <v>7.1</v>
      </c>
      <c r="DH246" s="1371">
        <f>5+2.1</f>
        <v>7.1</v>
      </c>
      <c r="DI246" s="1373">
        <f>9.6+24.2</f>
        <v>33.799999999999997</v>
      </c>
      <c r="DJ246" s="482">
        <f t="shared" ref="DJ246:DJ264" si="856">+DK246</f>
        <v>30.6</v>
      </c>
      <c r="DK246" s="1374">
        <f>27.3+3.3</f>
        <v>30.6</v>
      </c>
      <c r="DL246" s="1373">
        <f>1.7+59</f>
        <v>60.7</v>
      </c>
      <c r="DM246" s="482">
        <f t="shared" ref="DM246:DM264" si="857">+DN246</f>
        <v>71.2</v>
      </c>
      <c r="DN246" s="1374">
        <f>68.8+2.4</f>
        <v>71.2</v>
      </c>
      <c r="DO246" s="1373">
        <f>83+3</f>
        <v>86</v>
      </c>
      <c r="DP246" s="482">
        <f t="shared" ref="DP246:DP264" si="858">+DQ246</f>
        <v>93.3</v>
      </c>
      <c r="DQ246" s="1374">
        <f>0.9+1.6+90.8</f>
        <v>93.3</v>
      </c>
      <c r="DR246" s="1373">
        <f>0.3+5.8+95.9</f>
        <v>102</v>
      </c>
      <c r="DS246" s="482">
        <f t="shared" ref="DS246:DS264" si="859">+DT246</f>
        <v>102.7</v>
      </c>
      <c r="DT246" s="1374">
        <f>1.3+3.5+97.9</f>
        <v>102.7</v>
      </c>
      <c r="DU246" s="1373">
        <f>0.4+0.2+105.2</f>
        <v>105.8</v>
      </c>
      <c r="DV246" s="482">
        <f t="shared" ref="DV246:DV261" si="860">+DW246</f>
        <v>123.6</v>
      </c>
      <c r="DW246" s="1374">
        <f>7.8+5.3+110.5</f>
        <v>123.6</v>
      </c>
      <c r="DX246" s="1373">
        <f>3.8+7.4+30.6</f>
        <v>41.8</v>
      </c>
      <c r="DY246" s="482">
        <f t="shared" ref="DY246:DY264" si="861">+DZ246</f>
        <v>41.8</v>
      </c>
      <c r="DZ246" s="1244">
        <f>IF(Assumptions!DZ209&lt;&gt;"",Assumptions!DZ209,0)</f>
        <v>41.8</v>
      </c>
      <c r="EA246" s="482">
        <f>IF(Assumptions!EA209&lt;&gt;"",Assumptions!EA209,0)</f>
        <v>41.8</v>
      </c>
      <c r="EB246" s="482">
        <f t="shared" ref="EB246:EB264" si="862">+EC246</f>
        <v>41.8</v>
      </c>
      <c r="EC246" s="1244">
        <f>IF(Assumptions!EC209&lt;&gt;"",Assumptions!EC209,0)</f>
        <v>41.8</v>
      </c>
      <c r="ED246" s="482">
        <f>IF(Assumptions!ED209&lt;&gt;"",Assumptions!ED209,0)</f>
        <v>41.8</v>
      </c>
      <c r="EE246" s="482">
        <f t="shared" ref="EE246:EE264" si="863">+EF246</f>
        <v>41.8</v>
      </c>
      <c r="EF246" s="1244">
        <f>IF(Assumptions!EF209&lt;&gt;"",Assumptions!EF209,0)</f>
        <v>41.8</v>
      </c>
      <c r="EG246" s="482">
        <f>IF(Assumptions!EG209&lt;&gt;"",Assumptions!EG209,0)</f>
        <v>41.8</v>
      </c>
      <c r="EH246" s="482">
        <f t="shared" ref="EH246:EH261" si="864">+EI246</f>
        <v>41.8</v>
      </c>
      <c r="EI246" s="1244">
        <f>IF(Assumptions!EI209&lt;&gt;"",Assumptions!EI209,0)</f>
        <v>41.8</v>
      </c>
      <c r="EJ246" s="482">
        <f>IF(Assumptions!EJ209&lt;&gt;"",Assumptions!EJ209,0)</f>
        <v>41.8</v>
      </c>
      <c r="EK246" s="482">
        <f t="shared" ref="EK246:EK261" si="865">+EL246</f>
        <v>41.8</v>
      </c>
      <c r="EL246" s="1244">
        <f>IF(Assumptions!EL209&lt;&gt;"",Assumptions!EL209,0)</f>
        <v>41.8</v>
      </c>
      <c r="EM246" s="482">
        <f>IF(Assumptions!EM209&lt;&gt;"",Assumptions!EM209,0)</f>
        <v>41.8</v>
      </c>
      <c r="EN246" s="482">
        <f t="shared" ref="EN246:EN261" si="866">+EO246</f>
        <v>41.8</v>
      </c>
      <c r="EO246" s="1244">
        <f>IF(Assumptions!EO209&lt;&gt;"",Assumptions!EO209,0)</f>
        <v>41.8</v>
      </c>
      <c r="EP246" s="482">
        <f>IF(Assumptions!EP209&lt;&gt;"",Assumptions!EP209,0)</f>
        <v>41.8</v>
      </c>
      <c r="EQ246" s="482">
        <f t="shared" ref="EQ246:EQ261" si="867">+ER246</f>
        <v>41.8</v>
      </c>
      <c r="ER246" s="1244">
        <f>IF(Assumptions!ER209&lt;&gt;"",Assumptions!ER209,0)</f>
        <v>41.8</v>
      </c>
      <c r="ES246" s="482">
        <f>IF(Assumptions!ES209&lt;&gt;"",Assumptions!ES209,0)</f>
        <v>41.8</v>
      </c>
      <c r="ET246" s="482">
        <f t="shared" ref="ET246:ET261" si="868">+EU246</f>
        <v>41.8</v>
      </c>
      <c r="EU246" s="1244">
        <f>IF(Assumptions!EU209&lt;&gt;"",Assumptions!EU209,0)</f>
        <v>41.8</v>
      </c>
      <c r="EV246" s="482">
        <f>IF(Assumptions!EV209&lt;&gt;"",Assumptions!EV209,0)</f>
        <v>41.8</v>
      </c>
      <c r="EW246" s="482">
        <f t="shared" ref="EW246:EW261" si="869">+EX246</f>
        <v>41.8</v>
      </c>
      <c r="EX246" s="1244">
        <f>IF(Assumptions!EX209&lt;&gt;"",Assumptions!EX209,0)</f>
        <v>41.8</v>
      </c>
      <c r="EY246" s="482">
        <f>IF(Assumptions!EY209&lt;&gt;"",Assumptions!EY209,0)</f>
        <v>41.8</v>
      </c>
      <c r="EZ246" s="482">
        <f t="shared" ref="EZ246:EZ261" si="870">+FA246</f>
        <v>41.8</v>
      </c>
      <c r="FA246" s="1244">
        <f>IF(Assumptions!FA209&lt;&gt;"",Assumptions!FA209,0)</f>
        <v>41.8</v>
      </c>
      <c r="FB246" s="1571"/>
      <c r="FE246"/>
      <c r="FF246"/>
      <c r="FG246"/>
      <c r="FH246"/>
      <c r="FI246"/>
      <c r="FJ246"/>
      <c r="FK246" s="35"/>
    </row>
    <row r="247" spans="2:167" s="236" customFormat="1" ht="13.35" customHeight="1" thickBot="1">
      <c r="B247" s="242" t="s">
        <v>716</v>
      </c>
      <c r="C247" s="242" t="s">
        <v>496</v>
      </c>
      <c r="D247" s="243"/>
      <c r="E247" s="482">
        <f>+SUM(E248:E249)</f>
        <v>0</v>
      </c>
      <c r="F247" s="482">
        <f t="shared" si="820"/>
        <v>0</v>
      </c>
      <c r="G247" s="482">
        <f>+SUM(G248:G249)</f>
        <v>0</v>
      </c>
      <c r="H247" s="482">
        <f>+SUM(H248:H249)</f>
        <v>0</v>
      </c>
      <c r="I247" s="482">
        <f t="shared" si="821"/>
        <v>0</v>
      </c>
      <c r="J247" s="482">
        <f>+SUM(J248:J249)</f>
        <v>0</v>
      </c>
      <c r="K247" s="482">
        <f>+SUM(K248:K249)</f>
        <v>0</v>
      </c>
      <c r="L247" s="482">
        <f t="shared" si="822"/>
        <v>0</v>
      </c>
      <c r="M247" s="482">
        <f>+SUM(M248:M249)</f>
        <v>0</v>
      </c>
      <c r="N247" s="482">
        <f>+SUM(N248:N249)</f>
        <v>0</v>
      </c>
      <c r="O247" s="482">
        <f t="shared" si="823"/>
        <v>0</v>
      </c>
      <c r="P247" s="482">
        <f>+SUM(P248:P249)</f>
        <v>0</v>
      </c>
      <c r="Q247" s="482">
        <f>+SUM(Q248:Q249)</f>
        <v>0</v>
      </c>
      <c r="R247" s="482">
        <f t="shared" si="824"/>
        <v>0</v>
      </c>
      <c r="S247" s="482">
        <f>+SUM(S248:S249)</f>
        <v>0</v>
      </c>
      <c r="T247" s="482">
        <f>+SUM(T248:T249)</f>
        <v>0</v>
      </c>
      <c r="U247" s="482">
        <f t="shared" si="825"/>
        <v>0</v>
      </c>
      <c r="V247" s="482">
        <f>+SUM(V248:V249)</f>
        <v>0</v>
      </c>
      <c r="W247" s="482">
        <f>+SUM(W248:W249)</f>
        <v>0</v>
      </c>
      <c r="X247" s="482">
        <f t="shared" si="826"/>
        <v>0</v>
      </c>
      <c r="Y247" s="482">
        <f>+SUM(Y248:Y249)</f>
        <v>0</v>
      </c>
      <c r="Z247" s="482">
        <f>+SUM(Z248:Z249)</f>
        <v>0</v>
      </c>
      <c r="AA247" s="482">
        <f t="shared" si="827"/>
        <v>0</v>
      </c>
      <c r="AB247" s="482">
        <f>+SUM(AB248:AB249)</f>
        <v>0</v>
      </c>
      <c r="AC247" s="482">
        <f>+SUM(AC248:AC249)</f>
        <v>0</v>
      </c>
      <c r="AD247" s="482">
        <f t="shared" si="828"/>
        <v>0</v>
      </c>
      <c r="AE247" s="482">
        <f>+SUM(AE248:AE249)</f>
        <v>0</v>
      </c>
      <c r="AF247" s="482">
        <f>+SUM(AF248:AF249)</f>
        <v>0</v>
      </c>
      <c r="AG247" s="482">
        <f t="shared" si="829"/>
        <v>0</v>
      </c>
      <c r="AH247" s="482">
        <f>+SUM(AH248:AH249)</f>
        <v>0</v>
      </c>
      <c r="AI247" s="482">
        <f>+SUM(AI248:AI249)</f>
        <v>7.0410000000000004</v>
      </c>
      <c r="AJ247" s="482">
        <f t="shared" si="830"/>
        <v>6.3949999999999996</v>
      </c>
      <c r="AK247" s="482">
        <f>+SUM(AK248:AK249)</f>
        <v>6.3949999999999996</v>
      </c>
      <c r="AL247" s="482">
        <f>+SUM(AL248:AL249)</f>
        <v>6.12</v>
      </c>
      <c r="AM247" s="482">
        <f t="shared" si="831"/>
        <v>6.2039999999999997</v>
      </c>
      <c r="AN247" s="482">
        <f>+SUM(AN248:AN249)</f>
        <v>6.2039999999999997</v>
      </c>
      <c r="AO247" s="482">
        <f>+SUM(AO248:AO249)</f>
        <v>6.3339999999999996</v>
      </c>
      <c r="AP247" s="482">
        <f t="shared" si="832"/>
        <v>6.2910000000000004</v>
      </c>
      <c r="AQ247" s="482">
        <f>+SUM(AQ248:AQ249)</f>
        <v>6.2910000000000004</v>
      </c>
      <c r="AR247" s="482">
        <f>+SUM(AR248:AR249)</f>
        <v>6.5220000000000002</v>
      </c>
      <c r="AS247" s="482">
        <f t="shared" si="833"/>
        <v>6.7439999999999998</v>
      </c>
      <c r="AT247" s="482">
        <f>+SUM(AT248:AT249)</f>
        <v>6.7439999999999998</v>
      </c>
      <c r="AU247" s="482">
        <f>+SUM(AU248:AU249)</f>
        <v>6.4210000000000003</v>
      </c>
      <c r="AV247" s="482">
        <f t="shared" si="834"/>
        <v>7.2220000000000004</v>
      </c>
      <c r="AW247" s="482">
        <f>+SUM(AW248:AW249)</f>
        <v>7.2220000000000004</v>
      </c>
      <c r="AX247" s="482">
        <f>+SUM(AX248:AX249)</f>
        <v>9.5969999999999995</v>
      </c>
      <c r="AY247" s="482">
        <f t="shared" si="835"/>
        <v>10.311</v>
      </c>
      <c r="AZ247" s="482">
        <f>+SUM(AZ248:AZ249)</f>
        <v>10.311</v>
      </c>
      <c r="BA247" s="482">
        <f>+SUM(BA248:BA249)</f>
        <v>12.006</v>
      </c>
      <c r="BB247" s="482">
        <f t="shared" si="836"/>
        <v>12.541</v>
      </c>
      <c r="BC247" s="482">
        <f>+SUM(BC248:BC249)</f>
        <v>12.541</v>
      </c>
      <c r="BD247" s="482">
        <f>+SUM(BD248:BD249)</f>
        <v>16.093</v>
      </c>
      <c r="BE247" s="482">
        <f t="shared" si="837"/>
        <v>24.925000000000001</v>
      </c>
      <c r="BF247" s="482">
        <f>+SUM(BF248:BF249)</f>
        <v>24.925000000000001</v>
      </c>
      <c r="BG247" s="482">
        <f>+SUM(BG248:BG249)</f>
        <v>28.425999999999998</v>
      </c>
      <c r="BH247" s="482">
        <f t="shared" si="838"/>
        <v>27.335999999999999</v>
      </c>
      <c r="BI247" s="482">
        <f>+SUM(BI248:BI249)</f>
        <v>27.335999999999999</v>
      </c>
      <c r="BJ247" s="482">
        <f>+SUM(BJ248:BJ249)</f>
        <v>30.905000000000001</v>
      </c>
      <c r="BK247" s="482">
        <f t="shared" si="839"/>
        <v>29.523</v>
      </c>
      <c r="BL247" s="482">
        <f>+SUM(BL248:BL249)</f>
        <v>29.523</v>
      </c>
      <c r="BM247" s="482">
        <f>+SUM(BM248:BM249)</f>
        <v>27.792999999999999</v>
      </c>
      <c r="BN247" s="482">
        <f t="shared" si="840"/>
        <v>24.623999999999999</v>
      </c>
      <c r="BO247" s="482">
        <f>+SUM(BO248:BO249)</f>
        <v>24.623999999999999</v>
      </c>
      <c r="BP247" s="482">
        <f>+SUM(BP248:BP249)</f>
        <v>25.187999999999999</v>
      </c>
      <c r="BQ247" s="482">
        <f t="shared" si="841"/>
        <v>30.832999999999998</v>
      </c>
      <c r="BR247" s="482">
        <f>+SUM(BR248:BR249)</f>
        <v>30.832999999999998</v>
      </c>
      <c r="BS247" s="482">
        <f>+SUM(BS248:BS249)</f>
        <v>35.052</v>
      </c>
      <c r="BT247" s="482">
        <f t="shared" si="842"/>
        <v>40.564999999999998</v>
      </c>
      <c r="BU247" s="482">
        <f>+SUM(BU248:BU249)</f>
        <v>40.564999999999998</v>
      </c>
      <c r="BV247" s="482">
        <f>+SUM(BV248:BV249)</f>
        <v>41.218000000000004</v>
      </c>
      <c r="BW247" s="482">
        <f t="shared" si="843"/>
        <v>43.219000000000001</v>
      </c>
      <c r="BX247" s="482">
        <f>+SUM(BX248:BX249)</f>
        <v>43.219000000000001</v>
      </c>
      <c r="BY247" s="482">
        <f>+SUM(BY248:BY249)</f>
        <v>46.058999999999997</v>
      </c>
      <c r="BZ247" s="482">
        <f t="shared" si="844"/>
        <v>46.793999999999997</v>
      </c>
      <c r="CA247" s="482">
        <f>+SUM(CA248:CA249)</f>
        <v>46.793999999999997</v>
      </c>
      <c r="CB247" s="482">
        <f>+SUM(CB248:CB249)</f>
        <v>44.802999999999997</v>
      </c>
      <c r="CC247" s="482">
        <f t="shared" si="845"/>
        <v>49.597000000000001</v>
      </c>
      <c r="CD247" s="482">
        <f>+SUM(CD248:CD249)</f>
        <v>49.597000000000001</v>
      </c>
      <c r="CE247" s="482">
        <f>+SUM(CE248:CE249)</f>
        <v>60.308</v>
      </c>
      <c r="CF247" s="482">
        <f t="shared" si="846"/>
        <v>69.356999999999999</v>
      </c>
      <c r="CG247" s="482">
        <f>+SUM(CG248:CG249)</f>
        <v>69.356999999999999</v>
      </c>
      <c r="CH247" s="482">
        <f>+SUM(CH248:CH249)</f>
        <v>56.448</v>
      </c>
      <c r="CI247" s="482">
        <f t="shared" si="847"/>
        <v>59.610999999999997</v>
      </c>
      <c r="CJ247" s="482">
        <f>+SUM(CJ248:CJ249)</f>
        <v>59.610999999999997</v>
      </c>
      <c r="CK247" s="482">
        <f>+SUM(CK248:CK249)</f>
        <v>62.262</v>
      </c>
      <c r="CL247" s="482">
        <f t="shared" si="848"/>
        <v>65.897999999999996</v>
      </c>
      <c r="CM247" s="482">
        <f>+SUM(CM248:CM249)</f>
        <v>65.897999999999996</v>
      </c>
      <c r="CN247" s="482">
        <f>+SUM(CN248:CN249)</f>
        <v>67.864000000000004</v>
      </c>
      <c r="CO247" s="482">
        <f t="shared" si="849"/>
        <v>75.775999999999996</v>
      </c>
      <c r="CP247" s="482">
        <f>+SUM(CP248:CP249)</f>
        <v>75.775999999999996</v>
      </c>
      <c r="CQ247" s="482">
        <f>+SUM(CQ248:CQ249)</f>
        <v>75.122</v>
      </c>
      <c r="CR247" s="482">
        <f t="shared" si="850"/>
        <v>80.808999999999997</v>
      </c>
      <c r="CS247" s="482">
        <f>+SUM(CS248:CS249)</f>
        <v>80.808999999999997</v>
      </c>
      <c r="CT247" s="482">
        <f>+SUM(CT248:CT249)</f>
        <v>80.533000000000001</v>
      </c>
      <c r="CU247" s="482">
        <f t="shared" si="851"/>
        <v>86.878</v>
      </c>
      <c r="CV247" s="482">
        <f>+SUM(CV248:CV249)</f>
        <v>86.878</v>
      </c>
      <c r="CW247" s="482">
        <f>+SUM(CW248:CW249)</f>
        <v>91.82</v>
      </c>
      <c r="CX247" s="482">
        <f t="shared" si="852"/>
        <v>120.107</v>
      </c>
      <c r="CY247" s="482">
        <f>+SUM(CY248:CY249)</f>
        <v>120.107</v>
      </c>
      <c r="CZ247" s="482">
        <f>+SUM(CZ248:CZ249)</f>
        <v>121</v>
      </c>
      <c r="DA247" s="482">
        <f t="shared" si="853"/>
        <v>128.4</v>
      </c>
      <c r="DB247" s="482">
        <f>+SUM(DB248:DB249)</f>
        <v>128.4</v>
      </c>
      <c r="DC247" s="482">
        <f>+SUM(DC248:DC249)</f>
        <v>140.9</v>
      </c>
      <c r="DD247" s="482">
        <f t="shared" si="854"/>
        <v>166.5</v>
      </c>
      <c r="DE247" s="482">
        <f>+SUM(DE248:DE249)</f>
        <v>166.5</v>
      </c>
      <c r="DF247" s="482">
        <f>+SUM(DF248:DF249)</f>
        <v>190.9</v>
      </c>
      <c r="DG247" s="482">
        <f t="shared" si="855"/>
        <v>230.5</v>
      </c>
      <c r="DH247" s="1244">
        <f>+SUM(DH248:DH249)</f>
        <v>230.5</v>
      </c>
      <c r="DI247" s="482">
        <f>+SUM(DI248:DI249)</f>
        <v>228.6</v>
      </c>
      <c r="DJ247" s="482">
        <f t="shared" si="856"/>
        <v>239.5</v>
      </c>
      <c r="DK247" s="1244">
        <f>+SUM(DK248:DK249)</f>
        <v>239.5</v>
      </c>
      <c r="DL247" s="482">
        <f>+SUM(DL248:DL249)</f>
        <v>248</v>
      </c>
      <c r="DM247" s="482">
        <f t="shared" si="857"/>
        <v>260.2</v>
      </c>
      <c r="DN247" s="1244">
        <f>+SUM(DN248:DN249)</f>
        <v>260.2</v>
      </c>
      <c r="DO247" s="482">
        <f>+SUM(DO248:DO249)</f>
        <v>263</v>
      </c>
      <c r="DP247" s="482">
        <f t="shared" si="858"/>
        <v>276.7</v>
      </c>
      <c r="DQ247" s="1244">
        <f>+SUM(DQ248:DQ249)</f>
        <v>276.7</v>
      </c>
      <c r="DR247" s="482">
        <f>+SUM(DR248:DR249)</f>
        <v>279.7</v>
      </c>
      <c r="DS247" s="482">
        <f t="shared" si="859"/>
        <v>304.8</v>
      </c>
      <c r="DT247" s="1244">
        <f>+SUM(DT248:DT249)</f>
        <v>304.8</v>
      </c>
      <c r="DU247" s="482">
        <f>+SUM(DU248:DU249)</f>
        <v>323.39999999999998</v>
      </c>
      <c r="DV247" s="482">
        <f t="shared" si="860"/>
        <v>332.7</v>
      </c>
      <c r="DW247" s="1244">
        <f>+SUM(DW248:DW249)</f>
        <v>332.7</v>
      </c>
      <c r="DX247" s="482">
        <f>+SUM(DX248:DX249)</f>
        <v>337.3</v>
      </c>
      <c r="DY247" s="482">
        <f t="shared" si="861"/>
        <v>364.43169725880045</v>
      </c>
      <c r="DZ247" s="1244">
        <f>+SUM(DZ248:DZ249)</f>
        <v>364.43169725880045</v>
      </c>
      <c r="EA247" s="482">
        <f>+SUM(EA248:EA249)</f>
        <v>382.82330551901498</v>
      </c>
      <c r="EB247" s="482">
        <f t="shared" si="862"/>
        <v>401.78154835396828</v>
      </c>
      <c r="EC247" s="1244">
        <f>+SUM(EC248:EC249)</f>
        <v>401.78154835396828</v>
      </c>
      <c r="ED247" s="482">
        <f>+SUM(ED248:ED249)</f>
        <v>428.185324943772</v>
      </c>
      <c r="EE247" s="482">
        <f t="shared" si="863"/>
        <v>455.40584487792381</v>
      </c>
      <c r="EF247" s="1244">
        <f>+SUM(EF248:EF249)</f>
        <v>455.40584487792381</v>
      </c>
      <c r="EG247" s="482">
        <f>+SUM(EG248:EG249)</f>
        <v>484.18596136080981</v>
      </c>
      <c r="EH247" s="482">
        <f t="shared" si="864"/>
        <v>513.85632808903529</v>
      </c>
      <c r="EI247" s="1244">
        <f>+SUM(EI248:EI249)</f>
        <v>513.85632808903529</v>
      </c>
      <c r="EJ247" s="482">
        <f>+SUM(EJ248:EJ249)</f>
        <v>545.226655055381</v>
      </c>
      <c r="EK247" s="482">
        <f t="shared" si="865"/>
        <v>577.56735478914675</v>
      </c>
      <c r="EL247" s="1244">
        <f>+SUM(EL248:EL249)</f>
        <v>577.56735478914675</v>
      </c>
      <c r="EM247" s="482">
        <f>+SUM(EM248:EM249)</f>
        <v>611.76101118246368</v>
      </c>
      <c r="EN247" s="482">
        <f t="shared" si="866"/>
        <v>647.01237389226833</v>
      </c>
      <c r="EO247" s="1244">
        <f>+SUM(EO248:EO249)</f>
        <v>647.01237389226833</v>
      </c>
      <c r="EP247" s="482">
        <f>+SUM(EP248:EP249)</f>
        <v>684.28345936098367</v>
      </c>
      <c r="EQ247" s="482">
        <f t="shared" si="867"/>
        <v>722.70744471467083</v>
      </c>
      <c r="ER247" s="1244">
        <f>+SUM(ER248:ER249)</f>
        <v>722.70744471467083</v>
      </c>
      <c r="ES247" s="482">
        <f>+SUM(ES248:ES249)</f>
        <v>763.33292787557059</v>
      </c>
      <c r="ET247" s="482">
        <f t="shared" si="868"/>
        <v>805.21507191108958</v>
      </c>
      <c r="EU247" s="1244">
        <f>+SUM(EU248:EU249)</f>
        <v>805.21507191108958</v>
      </c>
      <c r="EV247" s="482">
        <f>+SUM(EV248:EV249)</f>
        <v>849.49684855647024</v>
      </c>
      <c r="EW247" s="482">
        <f t="shared" si="869"/>
        <v>895.148385555186</v>
      </c>
      <c r="EX247" s="1244">
        <f>+SUM(EX248:EX249)</f>
        <v>895.148385555186</v>
      </c>
      <c r="EY247" s="482">
        <f>+SUM(EY248:EY249)</f>
        <v>943.41552209865108</v>
      </c>
      <c r="EZ247" s="482">
        <f t="shared" si="870"/>
        <v>993.17569742725118</v>
      </c>
      <c r="FA247" s="1244">
        <f>+SUM(FA248:FA249)</f>
        <v>993.17569742725118</v>
      </c>
      <c r="FB247" s="1571"/>
      <c r="FE247"/>
      <c r="FF247"/>
      <c r="FG247"/>
      <c r="FH247"/>
      <c r="FI247"/>
      <c r="FJ247"/>
      <c r="FK247" s="35"/>
    </row>
    <row r="248" spans="2:167" s="236" customFormat="1" ht="13.35" customHeight="1" outlineLevel="1" thickBot="1">
      <c r="B248" s="242" t="s">
        <v>717</v>
      </c>
      <c r="C248" s="242" t="s">
        <v>496</v>
      </c>
      <c r="D248" s="243"/>
      <c r="E248" s="511"/>
      <c r="F248" s="482">
        <f t="shared" si="820"/>
        <v>0</v>
      </c>
      <c r="G248" s="512"/>
      <c r="H248" s="513"/>
      <c r="I248" s="482">
        <f t="shared" si="821"/>
        <v>0</v>
      </c>
      <c r="J248" s="512"/>
      <c r="K248" s="513"/>
      <c r="L248" s="482">
        <f t="shared" si="822"/>
        <v>0</v>
      </c>
      <c r="M248" s="512"/>
      <c r="N248" s="513"/>
      <c r="O248" s="482">
        <f t="shared" si="823"/>
        <v>0</v>
      </c>
      <c r="P248" s="512"/>
      <c r="Q248" s="513"/>
      <c r="R248" s="482">
        <f t="shared" si="824"/>
        <v>0</v>
      </c>
      <c r="S248" s="512"/>
      <c r="T248" s="513"/>
      <c r="U248" s="482">
        <f t="shared" si="825"/>
        <v>0</v>
      </c>
      <c r="V248" s="512"/>
      <c r="W248" s="513"/>
      <c r="X248" s="482">
        <f t="shared" si="826"/>
        <v>0</v>
      </c>
      <c r="Y248" s="512"/>
      <c r="Z248" s="513"/>
      <c r="AA248" s="482">
        <f t="shared" si="827"/>
        <v>0</v>
      </c>
      <c r="AB248" s="512"/>
      <c r="AC248" s="513"/>
      <c r="AD248" s="482">
        <f t="shared" si="828"/>
        <v>0</v>
      </c>
      <c r="AE248" s="512"/>
      <c r="AF248" s="513"/>
      <c r="AG248" s="482">
        <f t="shared" si="829"/>
        <v>0</v>
      </c>
      <c r="AH248" s="512"/>
      <c r="AI248" s="513"/>
      <c r="AJ248" s="482">
        <f t="shared" si="830"/>
        <v>0</v>
      </c>
      <c r="AK248" s="512"/>
      <c r="AL248" s="513"/>
      <c r="AM248" s="482">
        <f t="shared" si="831"/>
        <v>0</v>
      </c>
      <c r="AN248" s="512"/>
      <c r="AO248" s="513"/>
      <c r="AP248" s="482">
        <f t="shared" si="832"/>
        <v>0</v>
      </c>
      <c r="AQ248" s="512"/>
      <c r="AR248" s="513"/>
      <c r="AS248" s="482">
        <f t="shared" si="833"/>
        <v>0</v>
      </c>
      <c r="AT248" s="512"/>
      <c r="AU248" s="513"/>
      <c r="AV248" s="482">
        <f t="shared" si="834"/>
        <v>0</v>
      </c>
      <c r="AW248" s="512"/>
      <c r="AX248" s="514">
        <v>0</v>
      </c>
      <c r="AY248" s="482">
        <f t="shared" si="835"/>
        <v>0</v>
      </c>
      <c r="AZ248" s="515">
        <v>0</v>
      </c>
      <c r="BA248" s="514">
        <v>0</v>
      </c>
      <c r="BB248" s="482">
        <f t="shared" si="836"/>
        <v>0</v>
      </c>
      <c r="BC248" s="515">
        <v>0</v>
      </c>
      <c r="BD248" s="514">
        <v>0</v>
      </c>
      <c r="BE248" s="482">
        <f t="shared" si="837"/>
        <v>0</v>
      </c>
      <c r="BF248" s="515">
        <v>0</v>
      </c>
      <c r="BG248" s="514">
        <v>0</v>
      </c>
      <c r="BH248" s="482">
        <f t="shared" si="838"/>
        <v>0</v>
      </c>
      <c r="BI248" s="515">
        <v>0</v>
      </c>
      <c r="BJ248" s="514">
        <v>0</v>
      </c>
      <c r="BK248" s="482">
        <f t="shared" si="839"/>
        <v>0</v>
      </c>
      <c r="BL248" s="515">
        <v>0</v>
      </c>
      <c r="BM248" s="513" t="str">
        <f>IF(BM5="A","",+BL248-BM58+BM588)</f>
        <v/>
      </c>
      <c r="BN248" s="482" t="str">
        <f t="shared" si="840"/>
        <v/>
      </c>
      <c r="BO248" s="511" t="str">
        <f>IF(BO5="A","",+BL248-BO58+BO588)</f>
        <v/>
      </c>
      <c r="BP248" s="513" t="str">
        <f>IF(BP5="A","",+BO248-BP58+BP588)</f>
        <v/>
      </c>
      <c r="BQ248" s="482" t="str">
        <f t="shared" si="841"/>
        <v/>
      </c>
      <c r="BR248" s="511" t="str">
        <f>IF(BR5="A","",+BO248-BR58+BR588)</f>
        <v/>
      </c>
      <c r="BS248" s="513" t="str">
        <f>IF(BS5="A","",+BR248-BS58+BS588)</f>
        <v/>
      </c>
      <c r="BT248" s="482" t="str">
        <f t="shared" si="842"/>
        <v/>
      </c>
      <c r="BU248" s="511" t="str">
        <f>IF(BU5="A","",+BR248-BU58+BU588)</f>
        <v/>
      </c>
      <c r="BV248" s="513" t="str">
        <f>IF(BV5="A","",+BU248-BV58+BV588)</f>
        <v/>
      </c>
      <c r="BW248" s="482" t="str">
        <f t="shared" si="843"/>
        <v/>
      </c>
      <c r="BX248" s="511" t="str">
        <f>IF(BX5="A","",+BU248-BX58+BX588)</f>
        <v/>
      </c>
      <c r="BY248" s="513" t="str">
        <f>IF(BY5="A","",+BX248-BY58+BY588)</f>
        <v/>
      </c>
      <c r="BZ248" s="482" t="str">
        <f t="shared" si="844"/>
        <v/>
      </c>
      <c r="CA248" s="511" t="str">
        <f>IF(CA5="A","",+BX248-CA58+CA588)</f>
        <v/>
      </c>
      <c r="CB248" s="513" t="str">
        <f>IF(CB5="A","",+CA248-CB58+CB588)</f>
        <v/>
      </c>
      <c r="CC248" s="482" t="str">
        <f t="shared" si="845"/>
        <v/>
      </c>
      <c r="CD248" s="511" t="str">
        <f>IF(CD5="A","",+CA248-CD58+CD588)</f>
        <v/>
      </c>
      <c r="CE248" s="513" t="str">
        <f>IF(CE5="A","",+CD248-CE58+CE588)</f>
        <v/>
      </c>
      <c r="CF248" s="482" t="str">
        <f t="shared" si="846"/>
        <v/>
      </c>
      <c r="CG248" s="511" t="str">
        <f>IF(CG5="A","",+CD248-CG58+CG588)</f>
        <v/>
      </c>
      <c r="CH248" s="513" t="str">
        <f>IF(CH5="A","",+CG248-CH58+CH588)</f>
        <v/>
      </c>
      <c r="CI248" s="482" t="str">
        <f t="shared" si="847"/>
        <v/>
      </c>
      <c r="CJ248" s="511" t="str">
        <f>IF(CJ5="A","",+CG248-CJ58+CJ588)</f>
        <v/>
      </c>
      <c r="CK248" s="513" t="str">
        <f>IF(CK5="A","",+CJ248-CK58+CK588)</f>
        <v/>
      </c>
      <c r="CL248" s="482" t="str">
        <f t="shared" si="848"/>
        <v/>
      </c>
      <c r="CM248" s="511" t="str">
        <f>IF(CM5="A","",+CJ248-CM58+CM588)</f>
        <v/>
      </c>
      <c r="CN248" s="513" t="str">
        <f>IF(CN5="A","",+CM248-CN58+CN588)</f>
        <v/>
      </c>
      <c r="CO248" s="482" t="str">
        <f t="shared" si="849"/>
        <v/>
      </c>
      <c r="CP248" s="511" t="str">
        <f>IF(CP5="A","",+CM248-CP58+CP588)</f>
        <v/>
      </c>
      <c r="CQ248" s="513" t="str">
        <f>IF(CQ5="A","",+CP248-CQ58+CQ588)</f>
        <v/>
      </c>
      <c r="CR248" s="482" t="str">
        <f t="shared" si="850"/>
        <v/>
      </c>
      <c r="CS248" s="511" t="str">
        <f>IF(CS5="A","",+CP248-CS58+CS588)</f>
        <v/>
      </c>
      <c r="CT248" s="513" t="str">
        <f>IF(CT5="A","",+CS248-CT58+CT588)</f>
        <v/>
      </c>
      <c r="CU248" s="482" t="str">
        <f t="shared" si="851"/>
        <v/>
      </c>
      <c r="CV248" s="511" t="str">
        <f>IF(CV5="A","",+CS248-CV58+CV588)</f>
        <v/>
      </c>
      <c r="CW248" s="513" t="str">
        <f>IF(CW5="A","",+CV248-CW58+CW588)</f>
        <v/>
      </c>
      <c r="CX248" s="482" t="str">
        <f t="shared" si="852"/>
        <v/>
      </c>
      <c r="CY248" s="511" t="str">
        <f>IF(CY5="A","",+CV248-CY58+CY588)</f>
        <v/>
      </c>
      <c r="CZ248" s="513" t="str">
        <f>IF(CZ5="A","",+CY248-CZ58+CZ588)</f>
        <v/>
      </c>
      <c r="DA248" s="482" t="str">
        <f t="shared" si="853"/>
        <v/>
      </c>
      <c r="DB248" s="511" t="str">
        <f>IF(DB5="A","",+CY248-DB58+DB588)</f>
        <v/>
      </c>
      <c r="DC248" s="513" t="str">
        <f>IF(DC5="A","",+DB248-DC58+DC588)</f>
        <v/>
      </c>
      <c r="DD248" s="482" t="str">
        <f t="shared" si="854"/>
        <v/>
      </c>
      <c r="DE248" s="511" t="str">
        <f>IF(DE5="A","",+DB248-DE58+DE588)</f>
        <v/>
      </c>
      <c r="DF248" s="513"/>
      <c r="DG248" s="482" t="str">
        <f t="shared" si="855"/>
        <v/>
      </c>
      <c r="DH248" s="1257" t="str">
        <f>IF(DH5="A","",+DE248-DH58+DH588)</f>
        <v/>
      </c>
      <c r="DI248" s="482" t="str">
        <f>IF(DI5="A","",+DH248-DI58+DI588)</f>
        <v/>
      </c>
      <c r="DJ248" s="482" t="str">
        <f t="shared" si="856"/>
        <v/>
      </c>
      <c r="DK248" s="1244" t="str">
        <f>IF(DK5="A","",+DH248-DK58+DK588)</f>
        <v/>
      </c>
      <c r="DL248" s="482" t="str">
        <f>IF(DL5="A","",+DK248-DL58+DL588)</f>
        <v/>
      </c>
      <c r="DM248" s="482" t="str">
        <f t="shared" si="857"/>
        <v/>
      </c>
      <c r="DN248" s="1244" t="str">
        <f>IF(DN5="A","",+DK248-DN58+DN588)</f>
        <v/>
      </c>
      <c r="DO248" s="482" t="str">
        <f>IF(DO5="A","",+DN248-DO58+DO588)</f>
        <v/>
      </c>
      <c r="DP248" s="482" t="str">
        <f t="shared" si="858"/>
        <v/>
      </c>
      <c r="DQ248" s="1244" t="str">
        <f>IF(DQ5="A","",+DN248-DQ58+DQ588)</f>
        <v/>
      </c>
      <c r="DR248" s="482" t="str">
        <f>IF(DR5="A","",+DQ248-DR58+DR588)</f>
        <v/>
      </c>
      <c r="DS248" s="482" t="str">
        <f t="shared" si="859"/>
        <v/>
      </c>
      <c r="DT248" s="1244" t="str">
        <f>IF(DT5="A","",+DQ248-DT58+DT588)</f>
        <v/>
      </c>
      <c r="DU248" s="482" t="str">
        <f>IF(DU5="A","",+DT248-DU58+DU588)</f>
        <v/>
      </c>
      <c r="DV248" s="482" t="str">
        <f t="shared" si="860"/>
        <v/>
      </c>
      <c r="DW248" s="1244" t="str">
        <f>IF(DW5="A","",+DT248-DW58+DW588)</f>
        <v/>
      </c>
      <c r="DX248" s="482" t="str">
        <f>IF(DX5="A","",+DW248-DX58+DX588)</f>
        <v/>
      </c>
      <c r="DY248" s="482">
        <f t="shared" si="861"/>
        <v>0</v>
      </c>
      <c r="DZ248" s="1244">
        <f>IF(DZ5="A","",+DW248-DZ58+DZ588)</f>
        <v>0</v>
      </c>
      <c r="EA248" s="482">
        <f>IF(EA5="A","",+DZ248-EA58+EA588)</f>
        <v>0</v>
      </c>
      <c r="EB248" s="482">
        <f t="shared" si="862"/>
        <v>0</v>
      </c>
      <c r="EC248" s="1244">
        <f>IF(EC5="A","",+DZ248-EC58+EC588)</f>
        <v>0</v>
      </c>
      <c r="ED248" s="482">
        <f>IF(ED5="A","",+EC248-ED58+ED588)</f>
        <v>0</v>
      </c>
      <c r="EE248" s="482">
        <f t="shared" si="863"/>
        <v>0</v>
      </c>
      <c r="EF248" s="1244">
        <f>IF(EF5="A","",+EC248-EF58+EF588)</f>
        <v>0</v>
      </c>
      <c r="EG248" s="482">
        <f>IF(EG5="A","",+EF248-EG58+EG588)</f>
        <v>0</v>
      </c>
      <c r="EH248" s="482">
        <f t="shared" si="864"/>
        <v>0</v>
      </c>
      <c r="EI248" s="1244">
        <f>IF(EI5="A","",+EF248-EI58+EI588)</f>
        <v>0</v>
      </c>
      <c r="EJ248" s="482">
        <f>IF(EJ5="A","",+EI248-EJ58+EJ588)</f>
        <v>0</v>
      </c>
      <c r="EK248" s="482">
        <f t="shared" si="865"/>
        <v>0</v>
      </c>
      <c r="EL248" s="1244">
        <f>IF(EL5="A","",+EI248-EL58+EL588)</f>
        <v>0</v>
      </c>
      <c r="EM248" s="482">
        <f>IF(EM5="A","",+EL248-EM58+EM588)</f>
        <v>0</v>
      </c>
      <c r="EN248" s="482">
        <f t="shared" si="866"/>
        <v>0</v>
      </c>
      <c r="EO248" s="1244">
        <f>IF(EO5="A","",+EL248-EO58+EO588)</f>
        <v>0</v>
      </c>
      <c r="EP248" s="482">
        <f>IF(EP5="A","",+EO248-EP58+EP588)</f>
        <v>0</v>
      </c>
      <c r="EQ248" s="482">
        <f t="shared" si="867"/>
        <v>0</v>
      </c>
      <c r="ER248" s="1244">
        <f>IF(ER5="A","",+EO248-ER58+ER588)</f>
        <v>0</v>
      </c>
      <c r="ES248" s="482">
        <f>IF(ES5="A","",+ER248-ES58+ES588)</f>
        <v>0</v>
      </c>
      <c r="ET248" s="482">
        <f t="shared" si="868"/>
        <v>0</v>
      </c>
      <c r="EU248" s="1244">
        <f>IF(EU5="A","",+ER248-EU58+EU588)</f>
        <v>0</v>
      </c>
      <c r="EV248" s="482">
        <f>IF(EV5="A","",+EU248-EV58+EV588)</f>
        <v>0</v>
      </c>
      <c r="EW248" s="482">
        <f t="shared" si="869"/>
        <v>0</v>
      </c>
      <c r="EX248" s="1244">
        <f>IF(EX5="A","",+EU248-EX58+EX588)</f>
        <v>0</v>
      </c>
      <c r="EY248" s="482">
        <f>IF(EY5="A","",+EX248-EY58+EY588)</f>
        <v>0</v>
      </c>
      <c r="EZ248" s="482">
        <f t="shared" si="870"/>
        <v>0</v>
      </c>
      <c r="FA248" s="1244">
        <f>IF(FA5="A","",+EX248-FA58+FA588)</f>
        <v>0</v>
      </c>
      <c r="FB248" s="1571"/>
      <c r="FE248"/>
      <c r="FF248"/>
      <c r="FG248"/>
      <c r="FH248"/>
      <c r="FI248"/>
      <c r="FJ248"/>
      <c r="FK248" s="35"/>
    </row>
    <row r="249" spans="2:167" s="236" customFormat="1" ht="13.35" customHeight="1" outlineLevel="1" thickBot="1">
      <c r="B249" s="242" t="s">
        <v>718</v>
      </c>
      <c r="C249" s="242" t="s">
        <v>496</v>
      </c>
      <c r="D249" s="243"/>
      <c r="E249" s="511"/>
      <c r="F249" s="510">
        <f t="shared" si="820"/>
        <v>0</v>
      </c>
      <c r="G249" s="512"/>
      <c r="H249" s="513"/>
      <c r="I249" s="510">
        <f t="shared" si="821"/>
        <v>0</v>
      </c>
      <c r="J249" s="512"/>
      <c r="K249" s="513"/>
      <c r="L249" s="510">
        <f t="shared" si="822"/>
        <v>0</v>
      </c>
      <c r="M249" s="512"/>
      <c r="N249" s="513"/>
      <c r="O249" s="510">
        <f t="shared" si="823"/>
        <v>0</v>
      </c>
      <c r="P249" s="512"/>
      <c r="Q249" s="513"/>
      <c r="R249" s="510">
        <f t="shared" si="824"/>
        <v>0</v>
      </c>
      <c r="S249" s="512"/>
      <c r="T249" s="513"/>
      <c r="U249" s="510">
        <f t="shared" si="825"/>
        <v>0</v>
      </c>
      <c r="V249" s="512"/>
      <c r="W249" s="513"/>
      <c r="X249" s="510">
        <f t="shared" si="826"/>
        <v>0</v>
      </c>
      <c r="Y249" s="512"/>
      <c r="Z249" s="513"/>
      <c r="AA249" s="510">
        <f t="shared" si="827"/>
        <v>0</v>
      </c>
      <c r="AB249" s="512"/>
      <c r="AC249" s="513"/>
      <c r="AD249" s="510">
        <f t="shared" si="828"/>
        <v>0</v>
      </c>
      <c r="AE249" s="512"/>
      <c r="AF249" s="513"/>
      <c r="AG249" s="510">
        <f t="shared" si="829"/>
        <v>0</v>
      </c>
      <c r="AH249" s="512"/>
      <c r="AI249" s="514">
        <v>7.0410000000000004</v>
      </c>
      <c r="AJ249" s="510">
        <f t="shared" si="830"/>
        <v>6.3949999999999996</v>
      </c>
      <c r="AK249" s="515">
        <v>6.3949999999999996</v>
      </c>
      <c r="AL249" s="514">
        <v>6.12</v>
      </c>
      <c r="AM249" s="510">
        <f t="shared" si="831"/>
        <v>6.2039999999999997</v>
      </c>
      <c r="AN249" s="515">
        <v>6.2039999999999997</v>
      </c>
      <c r="AO249" s="514">
        <v>6.3339999999999996</v>
      </c>
      <c r="AP249" s="510">
        <f t="shared" si="832"/>
        <v>6.2910000000000004</v>
      </c>
      <c r="AQ249" s="515">
        <v>6.2910000000000004</v>
      </c>
      <c r="AR249" s="514">
        <v>6.5220000000000002</v>
      </c>
      <c r="AS249" s="510">
        <f t="shared" si="833"/>
        <v>6.7439999999999998</v>
      </c>
      <c r="AT249" s="515">
        <v>6.7439999999999998</v>
      </c>
      <c r="AU249" s="514">
        <v>6.4210000000000003</v>
      </c>
      <c r="AV249" s="510">
        <f t="shared" si="834"/>
        <v>7.2220000000000004</v>
      </c>
      <c r="AW249" s="515">
        <v>7.2220000000000004</v>
      </c>
      <c r="AX249" s="514">
        <v>9.5969999999999995</v>
      </c>
      <c r="AY249" s="510">
        <f t="shared" si="835"/>
        <v>10.311</v>
      </c>
      <c r="AZ249" s="515">
        <v>10.311</v>
      </c>
      <c r="BA249" s="514">
        <v>12.006</v>
      </c>
      <c r="BB249" s="510">
        <f t="shared" si="836"/>
        <v>12.541</v>
      </c>
      <c r="BC249" s="515">
        <v>12.541</v>
      </c>
      <c r="BD249" s="514">
        <v>16.093</v>
      </c>
      <c r="BE249" s="510">
        <f t="shared" si="837"/>
        <v>24.925000000000001</v>
      </c>
      <c r="BF249" s="515">
        <v>24.925000000000001</v>
      </c>
      <c r="BG249" s="514">
        <v>28.425999999999998</v>
      </c>
      <c r="BH249" s="510">
        <f t="shared" si="838"/>
        <v>27.335999999999999</v>
      </c>
      <c r="BI249" s="515">
        <v>27.335999999999999</v>
      </c>
      <c r="BJ249" s="514">
        <v>30.905000000000001</v>
      </c>
      <c r="BK249" s="510">
        <f t="shared" si="839"/>
        <v>29.523</v>
      </c>
      <c r="BL249" s="515">
        <v>29.523</v>
      </c>
      <c r="BM249" s="513">
        <v>27.792999999999999</v>
      </c>
      <c r="BN249" s="510">
        <f t="shared" si="840"/>
        <v>24.623999999999999</v>
      </c>
      <c r="BO249" s="548">
        <v>24.623999999999999</v>
      </c>
      <c r="BP249" s="513">
        <v>25.187999999999999</v>
      </c>
      <c r="BQ249" s="510">
        <f t="shared" si="841"/>
        <v>30.832999999999998</v>
      </c>
      <c r="BR249" s="548">
        <v>30.832999999999998</v>
      </c>
      <c r="BS249" s="514">
        <v>35.052</v>
      </c>
      <c r="BT249" s="510">
        <f t="shared" si="842"/>
        <v>40.564999999999998</v>
      </c>
      <c r="BU249" s="548">
        <v>40.564999999999998</v>
      </c>
      <c r="BV249" s="514">
        <v>41.218000000000004</v>
      </c>
      <c r="BW249" s="510">
        <f t="shared" si="843"/>
        <v>43.219000000000001</v>
      </c>
      <c r="BX249" s="548">
        <v>43.219000000000001</v>
      </c>
      <c r="BY249" s="514">
        <v>46.058999999999997</v>
      </c>
      <c r="BZ249" s="510">
        <f t="shared" si="844"/>
        <v>46.793999999999997</v>
      </c>
      <c r="CA249" s="548">
        <v>46.793999999999997</v>
      </c>
      <c r="CB249" s="514">
        <v>44.802999999999997</v>
      </c>
      <c r="CC249" s="510">
        <f t="shared" si="845"/>
        <v>49.597000000000001</v>
      </c>
      <c r="CD249" s="548">
        <v>49.597000000000001</v>
      </c>
      <c r="CE249" s="514">
        <v>60.308</v>
      </c>
      <c r="CF249" s="510">
        <f t="shared" si="846"/>
        <v>69.356999999999999</v>
      </c>
      <c r="CG249" s="548">
        <v>69.356999999999999</v>
      </c>
      <c r="CH249" s="514">
        <v>56.448</v>
      </c>
      <c r="CI249" s="510">
        <f t="shared" si="847"/>
        <v>59.610999999999997</v>
      </c>
      <c r="CJ249" s="548">
        <v>59.610999999999997</v>
      </c>
      <c r="CK249" s="514">
        <v>62.262</v>
      </c>
      <c r="CL249" s="510">
        <f t="shared" si="848"/>
        <v>65.897999999999996</v>
      </c>
      <c r="CM249" s="548">
        <v>65.897999999999996</v>
      </c>
      <c r="CN249" s="514">
        <v>67.864000000000004</v>
      </c>
      <c r="CO249" s="510">
        <f t="shared" si="849"/>
        <v>75.775999999999996</v>
      </c>
      <c r="CP249" s="548">
        <v>75.775999999999996</v>
      </c>
      <c r="CQ249" s="514">
        <v>75.122</v>
      </c>
      <c r="CR249" s="510">
        <f t="shared" si="850"/>
        <v>80.808999999999997</v>
      </c>
      <c r="CS249" s="548">
        <v>80.808999999999997</v>
      </c>
      <c r="CT249" s="514">
        <v>80.533000000000001</v>
      </c>
      <c r="CU249" s="510">
        <f t="shared" si="851"/>
        <v>86.878</v>
      </c>
      <c r="CV249" s="548">
        <v>86.878</v>
      </c>
      <c r="CW249" s="514">
        <v>91.82</v>
      </c>
      <c r="CX249" s="510">
        <f t="shared" si="852"/>
        <v>120.107</v>
      </c>
      <c r="CY249" s="548">
        <v>120.107</v>
      </c>
      <c r="CZ249" s="513">
        <v>121</v>
      </c>
      <c r="DA249" s="510">
        <f t="shared" si="853"/>
        <v>128.4</v>
      </c>
      <c r="DB249" s="511">
        <v>128.4</v>
      </c>
      <c r="DC249" s="513">
        <v>140.9</v>
      </c>
      <c r="DD249" s="510">
        <f t="shared" si="854"/>
        <v>166.5</v>
      </c>
      <c r="DE249" s="548">
        <v>166.5</v>
      </c>
      <c r="DF249" s="514">
        <f>190.9</f>
        <v>190.9</v>
      </c>
      <c r="DG249" s="510">
        <f t="shared" si="855"/>
        <v>230.5</v>
      </c>
      <c r="DH249" s="1371">
        <v>230.5</v>
      </c>
      <c r="DI249" s="1373">
        <v>228.6</v>
      </c>
      <c r="DJ249" s="482">
        <f t="shared" si="856"/>
        <v>239.5</v>
      </c>
      <c r="DK249" s="1374">
        <v>239.5</v>
      </c>
      <c r="DL249" s="1373">
        <v>248</v>
      </c>
      <c r="DM249" s="482">
        <f t="shared" si="857"/>
        <v>260.2</v>
      </c>
      <c r="DN249" s="1374">
        <v>260.2</v>
      </c>
      <c r="DO249" s="1373">
        <v>263</v>
      </c>
      <c r="DP249" s="482">
        <f t="shared" si="858"/>
        <v>276.7</v>
      </c>
      <c r="DQ249" s="1374">
        <v>276.7</v>
      </c>
      <c r="DR249" s="1373">
        <v>279.7</v>
      </c>
      <c r="DS249" s="482">
        <f t="shared" si="859"/>
        <v>304.8</v>
      </c>
      <c r="DT249" s="1374">
        <v>304.8</v>
      </c>
      <c r="DU249" s="1373">
        <v>323.39999999999998</v>
      </c>
      <c r="DV249" s="482">
        <f t="shared" si="860"/>
        <v>332.7</v>
      </c>
      <c r="DW249" s="1374">
        <v>332.7</v>
      </c>
      <c r="DX249" s="1373">
        <v>337.3</v>
      </c>
      <c r="DY249" s="482">
        <f t="shared" si="861"/>
        <v>364.43169725880045</v>
      </c>
      <c r="DZ249" s="1244">
        <f>IF(DZ5="A","",+DX249-DY59-DY189-(DY192+DY46)+DY589)</f>
        <v>364.43169725880045</v>
      </c>
      <c r="EA249" s="482">
        <f>IF(EA5="A","",+DZ249-EA59-EA189-(EA192+EA46)+EA589)</f>
        <v>382.82330551901498</v>
      </c>
      <c r="EB249" s="482">
        <f t="shared" si="862"/>
        <v>401.78154835396828</v>
      </c>
      <c r="EC249" s="1244">
        <f>IF(EC5="A","",+DZ249-EC59-EC189-(EC192+EC46)+EC589)</f>
        <v>401.78154835396828</v>
      </c>
      <c r="ED249" s="482">
        <f>IF(ED5="A","",+EC249-ED59-ED189-(ED192+ED46)+ED589)</f>
        <v>428.185324943772</v>
      </c>
      <c r="EE249" s="482">
        <f t="shared" si="863"/>
        <v>455.40584487792381</v>
      </c>
      <c r="EF249" s="1244">
        <f>IF(EF5="A","",+EC249-EF59-EF189-(EF192+EF46)+EF589)</f>
        <v>455.40584487792381</v>
      </c>
      <c r="EG249" s="482">
        <f>IF(EG5="A","",+EF249-EG59-EG189-(EG192+EG46)+EG589)</f>
        <v>484.18596136080981</v>
      </c>
      <c r="EH249" s="482">
        <f t="shared" si="864"/>
        <v>513.85632808903529</v>
      </c>
      <c r="EI249" s="1244">
        <f>IF(EI5="A","",+EF249-EI59-EI189-(EI192+EI46)+EI589)</f>
        <v>513.85632808903529</v>
      </c>
      <c r="EJ249" s="482">
        <f>IF(EJ5="A","",+EI249-EJ59-EJ189-(EJ192+EJ46)+EJ589)</f>
        <v>545.226655055381</v>
      </c>
      <c r="EK249" s="482">
        <f t="shared" si="865"/>
        <v>577.56735478914675</v>
      </c>
      <c r="EL249" s="1244">
        <f>IF(EL5="A","",+EI249-EL59-EL189-(EL192+EL46)+EL589)</f>
        <v>577.56735478914675</v>
      </c>
      <c r="EM249" s="482">
        <f>IF(EM5="A","",+EL249-EM59-EM189-(EM192+EM46)+EM589)</f>
        <v>611.76101118246368</v>
      </c>
      <c r="EN249" s="482">
        <f t="shared" si="866"/>
        <v>647.01237389226833</v>
      </c>
      <c r="EO249" s="1244">
        <f>IF(EO5="A","",+EL249-EO59-EO189-(EO192+EO46)+EO589)</f>
        <v>647.01237389226833</v>
      </c>
      <c r="EP249" s="482">
        <f>IF(EP5="A","",+EO249-EP59-EP189-(EP192+EP46)+EP589)</f>
        <v>684.28345936098367</v>
      </c>
      <c r="EQ249" s="482">
        <f t="shared" si="867"/>
        <v>722.70744471467083</v>
      </c>
      <c r="ER249" s="1244">
        <f>IF(ER5="A","",+EO249-ER59-ER189-(ER192+ER46)+ER589)</f>
        <v>722.70744471467083</v>
      </c>
      <c r="ES249" s="482">
        <f>IF(ES5="A","",+ER249-ES59-ES189-(ES192+ES46)+ES589)</f>
        <v>763.33292787557059</v>
      </c>
      <c r="ET249" s="482">
        <f t="shared" si="868"/>
        <v>805.21507191108958</v>
      </c>
      <c r="EU249" s="1244">
        <f>IF(EU5="A","",+ER249-EU59-EU189-(EU192+EU46)+EU589)</f>
        <v>805.21507191108958</v>
      </c>
      <c r="EV249" s="482">
        <f>IF(EV5="A","",+EU249-EV59-EV189-(EV192+EV46)+EV589)</f>
        <v>849.49684855647024</v>
      </c>
      <c r="EW249" s="482">
        <f t="shared" si="869"/>
        <v>895.148385555186</v>
      </c>
      <c r="EX249" s="1244">
        <f>IF(EX5="A","",+EU249-EX59-EX189-(EX192+EX46)+EX589)</f>
        <v>895.148385555186</v>
      </c>
      <c r="EY249" s="482">
        <f>IF(EY5="A","",+EX249-EY59-EY189-(EY192+EY46)+EY589)</f>
        <v>943.41552209865108</v>
      </c>
      <c r="EZ249" s="482">
        <f t="shared" si="870"/>
        <v>993.17569742725118</v>
      </c>
      <c r="FA249" s="1244">
        <f>IF(FA5="A","",+EX249-FA59-FA189-(FA192+FA46)+FA589)</f>
        <v>993.17569742725118</v>
      </c>
      <c r="FB249" s="1571"/>
      <c r="FE249"/>
      <c r="FF249"/>
      <c r="FG249"/>
      <c r="FH249"/>
      <c r="FI249"/>
      <c r="FJ249"/>
      <c r="FK249" s="35"/>
    </row>
    <row r="250" spans="2:167" s="236" customFormat="1" ht="13.35" customHeight="1">
      <c r="B250" s="242" t="s">
        <v>719</v>
      </c>
      <c r="C250" s="242" t="s">
        <v>496</v>
      </c>
      <c r="D250" s="243"/>
      <c r="E250" s="511"/>
      <c r="F250" s="482">
        <f t="shared" si="820"/>
        <v>0</v>
      </c>
      <c r="G250" s="512"/>
      <c r="H250" s="513"/>
      <c r="I250" s="482">
        <f t="shared" si="821"/>
        <v>0</v>
      </c>
      <c r="J250" s="512"/>
      <c r="K250" s="513"/>
      <c r="L250" s="482">
        <f t="shared" si="822"/>
        <v>0</v>
      </c>
      <c r="M250" s="512"/>
      <c r="N250" s="513"/>
      <c r="O250" s="482">
        <f t="shared" si="823"/>
        <v>0</v>
      </c>
      <c r="P250" s="512"/>
      <c r="Q250" s="513"/>
      <c r="R250" s="482">
        <f t="shared" si="824"/>
        <v>0</v>
      </c>
      <c r="S250" s="512"/>
      <c r="T250" s="513"/>
      <c r="U250" s="482">
        <f t="shared" si="825"/>
        <v>0</v>
      </c>
      <c r="V250" s="512"/>
      <c r="W250" s="513"/>
      <c r="X250" s="482">
        <f t="shared" si="826"/>
        <v>0</v>
      </c>
      <c r="Y250" s="512"/>
      <c r="Z250" s="513"/>
      <c r="AA250" s="482">
        <f t="shared" si="827"/>
        <v>0</v>
      </c>
      <c r="AB250" s="512"/>
      <c r="AC250" s="513"/>
      <c r="AD250" s="482">
        <f t="shared" si="828"/>
        <v>0</v>
      </c>
      <c r="AE250" s="512"/>
      <c r="AF250" s="513"/>
      <c r="AG250" s="482">
        <f t="shared" si="829"/>
        <v>0</v>
      </c>
      <c r="AH250" s="512"/>
      <c r="AI250" s="513"/>
      <c r="AJ250" s="482">
        <f t="shared" si="830"/>
        <v>0</v>
      </c>
      <c r="AK250" s="512"/>
      <c r="AL250" s="513"/>
      <c r="AM250" s="482">
        <f t="shared" si="831"/>
        <v>0</v>
      </c>
      <c r="AN250" s="512"/>
      <c r="AO250" s="513"/>
      <c r="AP250" s="482">
        <f t="shared" si="832"/>
        <v>0</v>
      </c>
      <c r="AQ250" s="512"/>
      <c r="AR250" s="513"/>
      <c r="AS250" s="482">
        <f t="shared" si="833"/>
        <v>0</v>
      </c>
      <c r="AT250" s="512"/>
      <c r="AU250" s="513"/>
      <c r="AV250" s="482">
        <f t="shared" si="834"/>
        <v>0</v>
      </c>
      <c r="AW250" s="512"/>
      <c r="AX250" s="514">
        <v>0</v>
      </c>
      <c r="AY250" s="482">
        <f t="shared" si="835"/>
        <v>0</v>
      </c>
      <c r="AZ250" s="515">
        <v>0</v>
      </c>
      <c r="BA250" s="514">
        <v>0</v>
      </c>
      <c r="BB250" s="482">
        <f t="shared" si="836"/>
        <v>0</v>
      </c>
      <c r="BC250" s="515">
        <v>0</v>
      </c>
      <c r="BD250" s="514">
        <v>0</v>
      </c>
      <c r="BE250" s="482">
        <f t="shared" si="837"/>
        <v>0</v>
      </c>
      <c r="BF250" s="515">
        <v>0</v>
      </c>
      <c r="BG250" s="514">
        <v>0</v>
      </c>
      <c r="BH250" s="482">
        <f t="shared" si="838"/>
        <v>0</v>
      </c>
      <c r="BI250" s="515">
        <v>0</v>
      </c>
      <c r="BJ250" s="514">
        <v>0</v>
      </c>
      <c r="BK250" s="482">
        <f t="shared" si="839"/>
        <v>0</v>
      </c>
      <c r="BL250" s="515">
        <v>0</v>
      </c>
      <c r="BM250" s="513" t="str">
        <f>IF(BM5="A","",BL250-BM198-BM195-BM576-BM203+(BM94+BM95)+Assumptions!BM100)</f>
        <v/>
      </c>
      <c r="BN250" s="482">
        <f t="shared" si="840"/>
        <v>0.187</v>
      </c>
      <c r="BO250" s="548">
        <v>0.187</v>
      </c>
      <c r="BP250" s="514">
        <v>0</v>
      </c>
      <c r="BQ250" s="482">
        <f t="shared" si="841"/>
        <v>0.38300000000000001</v>
      </c>
      <c r="BR250" s="548">
        <v>0.38300000000000001</v>
      </c>
      <c r="BS250" s="513" t="str">
        <f>IF(BS5="A","",BR250-BS198-BS195-BS576-BS203+(BS94+BS95)+Assumptions!BS100)</f>
        <v/>
      </c>
      <c r="BT250" s="482" t="str">
        <f t="shared" si="842"/>
        <v/>
      </c>
      <c r="BU250" s="511" t="str">
        <f>IF(BU5="A","",BR250-BU198-BU195-BU576-BU203+(BU94+BU95)+Assumptions!BU100)</f>
        <v/>
      </c>
      <c r="BV250" s="513" t="str">
        <f>IF(BV5="A","",BU250-BV198-BV195-BV576-BV203+(BV94+BV95)+Assumptions!BV100)</f>
        <v/>
      </c>
      <c r="BW250" s="482">
        <f t="shared" si="843"/>
        <v>0</v>
      </c>
      <c r="BX250" s="511"/>
      <c r="BY250" s="513" t="str">
        <f>IF(BY5="A","",BX250-BY198-BY195-BY576-BY203+(BY94+BY95)+Assumptions!BY100)</f>
        <v/>
      </c>
      <c r="BZ250" s="482" t="str">
        <f t="shared" si="844"/>
        <v/>
      </c>
      <c r="CA250" s="511" t="str">
        <f>IF(CA5="A","",BX250-CA198-CA195-CA576-CA203+(CA94+CA95)+Assumptions!CA100)</f>
        <v/>
      </c>
      <c r="CB250" s="513">
        <f>(CA250-CB198-CB195-CB576-CB203+(CB94+CB95)+Assumptions!CB100)</f>
        <v>0</v>
      </c>
      <c r="CC250" s="482">
        <f t="shared" si="845"/>
        <v>0</v>
      </c>
      <c r="CD250" s="511">
        <f>(CA250-CD198-CD195-CD576-CD203+(CD94+CD95)+Assumptions!CD100)</f>
        <v>0</v>
      </c>
      <c r="CE250" s="514">
        <v>0</v>
      </c>
      <c r="CF250" s="482">
        <f t="shared" si="846"/>
        <v>0</v>
      </c>
      <c r="CG250" s="548">
        <v>0</v>
      </c>
      <c r="CH250" s="514">
        <v>0</v>
      </c>
      <c r="CI250" s="482">
        <f t="shared" si="847"/>
        <v>0</v>
      </c>
      <c r="CJ250" s="548">
        <v>0</v>
      </c>
      <c r="CK250" s="513" t="str">
        <f>IF(CK5="A","",CJ250-CK198-CK195-CK576-CK203+(CK94+CK95)+Assumptions!CK100)</f>
        <v/>
      </c>
      <c r="CL250" s="482" t="str">
        <f t="shared" si="848"/>
        <v/>
      </c>
      <c r="CM250" s="511" t="str">
        <f>IF(CM5="A","",CJ250-CM198-CM195-CM576-CM203+(CM94+CM95)+Assumptions!CM100)</f>
        <v/>
      </c>
      <c r="CN250" s="513" t="str">
        <f>IF(CN5="A","",CM250-CN198-CN195-CN576-CN203+(CN94+CN95)+Assumptions!CN100)</f>
        <v/>
      </c>
      <c r="CO250" s="482" t="str">
        <f t="shared" si="849"/>
        <v/>
      </c>
      <c r="CP250" s="511" t="str">
        <f>IF(CP5="A","",CM250-CP198-CP195-CP576-CP203+(CP94+CP95)+Assumptions!CP100)</f>
        <v/>
      </c>
      <c r="CQ250" s="513" t="str">
        <f>IF(CQ5="A","",CP250-CQ198-CQ195-CQ576-CQ203+(CQ94+CQ95)+Assumptions!CQ100)</f>
        <v/>
      </c>
      <c r="CR250" s="482" t="str">
        <f t="shared" si="850"/>
        <v/>
      </c>
      <c r="CS250" s="511" t="str">
        <f>IF(CS5="A","",CP250-CS198-CS195-CS576-CS203+(CS94+CS95)+Assumptions!CS100)</f>
        <v/>
      </c>
      <c r="CT250" s="513" t="str">
        <f>IF(CT5="A","",CS250-CT198-CT195-CT576-CT203+(CT94+CT95)+Assumptions!CT100)</f>
        <v/>
      </c>
      <c r="CU250" s="482">
        <f t="shared" si="851"/>
        <v>13.755000000000001</v>
      </c>
      <c r="CV250" s="548">
        <v>13.755000000000001</v>
      </c>
      <c r="CW250" s="514">
        <v>13.755000000000001</v>
      </c>
      <c r="CX250" s="482">
        <f t="shared" si="852"/>
        <v>15.064</v>
      </c>
      <c r="CY250" s="548">
        <v>15.064</v>
      </c>
      <c r="CZ250" s="513">
        <v>17.600000000000001</v>
      </c>
      <c r="DA250" s="482">
        <f t="shared" si="853"/>
        <v>15.8</v>
      </c>
      <c r="DB250" s="511">
        <v>15.8</v>
      </c>
      <c r="DC250" s="513">
        <v>33.1</v>
      </c>
      <c r="DD250" s="482">
        <f t="shared" si="854"/>
        <v>47.8</v>
      </c>
      <c r="DE250" s="548">
        <v>47.8</v>
      </c>
      <c r="DF250" s="514">
        <v>83</v>
      </c>
      <c r="DG250" s="511">
        <f>B_IVT_20</f>
        <v>94.9</v>
      </c>
      <c r="DH250" s="1371">
        <f>25.9+69</f>
        <v>94.9</v>
      </c>
      <c r="DI250" s="1373">
        <f>132.1+0</f>
        <v>132.1</v>
      </c>
      <c r="DJ250" s="482">
        <f t="shared" si="856"/>
        <v>199.5</v>
      </c>
      <c r="DK250" s="1374">
        <v>199.5</v>
      </c>
      <c r="DL250" s="1373">
        <v>180.9</v>
      </c>
      <c r="DM250" s="482">
        <f t="shared" si="857"/>
        <v>119.1</v>
      </c>
      <c r="DN250" s="1374">
        <v>119.1</v>
      </c>
      <c r="DO250" s="1373">
        <v>88.4</v>
      </c>
      <c r="DP250" s="482">
        <f t="shared" si="858"/>
        <v>93.8</v>
      </c>
      <c r="DQ250" s="1374">
        <v>93.8</v>
      </c>
      <c r="DR250" s="1373">
        <v>56.2</v>
      </c>
      <c r="DS250" s="482">
        <f t="shared" si="859"/>
        <v>80.5</v>
      </c>
      <c r="DT250" s="1374">
        <v>80.5</v>
      </c>
      <c r="DU250" s="1373">
        <v>91.2</v>
      </c>
      <c r="DV250" s="482">
        <f t="shared" si="860"/>
        <v>76.900000000000006</v>
      </c>
      <c r="DW250" s="1374">
        <v>76.900000000000006</v>
      </c>
      <c r="DX250" s="1373">
        <v>42</v>
      </c>
      <c r="DY250" s="482">
        <f t="shared" si="861"/>
        <v>42</v>
      </c>
      <c r="DZ250" s="1244">
        <f>IF(DZ5="A","",DX250-DY198-DY195-DY576-DY203+Assumptions!DY100)</f>
        <v>42</v>
      </c>
      <c r="EA250" s="482">
        <f>IF(EA5="A","",DZ250-EA198-EA195-EA576-EA203+(EA94+EA95)+Assumptions!EA100)</f>
        <v>17</v>
      </c>
      <c r="EB250" s="482">
        <f t="shared" si="862"/>
        <v>-8</v>
      </c>
      <c r="EC250" s="1244">
        <f>IF(EC5="A","",DZ250-EC198-EC195-EC576-EC203+(EC94+EC95)+Assumptions!EC100)</f>
        <v>-8</v>
      </c>
      <c r="ED250" s="482">
        <f>IF(ED5="A","",EC250-ED198-ED195-ED576-ED203+(ED94+ED95)+Assumptions!ED100)</f>
        <v>-8</v>
      </c>
      <c r="EE250" s="482">
        <f t="shared" si="863"/>
        <v>-8</v>
      </c>
      <c r="EF250" s="1244">
        <f>IF(EF5="A","",EC250-EF198-EF195-EF576-EF203+(EF94+EF95)+Assumptions!EF100)</f>
        <v>-8</v>
      </c>
      <c r="EG250" s="482">
        <f>IF(EG5="A","",EF250-EG198-EG195-EG576-EG203+(EG94+EG95)+Assumptions!EG100)</f>
        <v>-8</v>
      </c>
      <c r="EH250" s="482">
        <f t="shared" si="864"/>
        <v>-8</v>
      </c>
      <c r="EI250" s="1244">
        <f>IF(EI5="A","",EF250-EI198-EI195-EI576-EI203+(EI94+EI95)+Assumptions!EI100)</f>
        <v>-8</v>
      </c>
      <c r="EJ250" s="482">
        <f>IF(EJ5="A","",EI250-EJ198-EJ195-EJ576-EJ203+(EJ94+EJ95)+Assumptions!EJ100)</f>
        <v>-8</v>
      </c>
      <c r="EK250" s="482">
        <f t="shared" si="865"/>
        <v>-8</v>
      </c>
      <c r="EL250" s="1244">
        <f>IF(EL5="A","",EI250-EL198-EL195-EL576-EL203+(EL94+EL95)+Assumptions!EL100)</f>
        <v>-8</v>
      </c>
      <c r="EM250" s="482">
        <f>IF(EM5="A","",EL250-EM198-EM195-EM576-EM203+(EM94+EM95)+Assumptions!EM100)</f>
        <v>-8</v>
      </c>
      <c r="EN250" s="482">
        <f t="shared" si="866"/>
        <v>-8</v>
      </c>
      <c r="EO250" s="1244">
        <f>IF(EO5="A","",EL250-EO198-EO195-EO576-EO203+(EO94+EO95)+Assumptions!EO100)</f>
        <v>-8</v>
      </c>
      <c r="EP250" s="482">
        <f>IF(EP5="A","",EO250-EP198-EP195-EP576-EP203+(EP94+EP95)+Assumptions!EP100)</f>
        <v>-8</v>
      </c>
      <c r="EQ250" s="482">
        <f t="shared" si="867"/>
        <v>-8</v>
      </c>
      <c r="ER250" s="1244">
        <f>IF(ER5="A","",EO250-ER198-ER195-ER576-ER203+(ER94+ER95)+Assumptions!ER100)</f>
        <v>-8</v>
      </c>
      <c r="ES250" s="482">
        <f>IF(ES5="A","",ER250-ES198-ES195-ES576-ES203+(ES94+ES95)+Assumptions!ES100)</f>
        <v>-8</v>
      </c>
      <c r="ET250" s="482">
        <f t="shared" si="868"/>
        <v>-8</v>
      </c>
      <c r="EU250" s="1244">
        <f>IF(EU5="A","",ER250-EU198-EU195-EU576-EU203+(EU94+EU95)+Assumptions!EU100)</f>
        <v>-8</v>
      </c>
      <c r="EV250" s="482">
        <f>IF(EV5="A","",EU250-EV198-EV195-EV576-EV203+(EV94+EV95)+Assumptions!EV100)</f>
        <v>-8</v>
      </c>
      <c r="EW250" s="482">
        <f t="shared" si="869"/>
        <v>-8</v>
      </c>
      <c r="EX250" s="1244">
        <f>IF(EX5="A","",EU250-EX198-EX195-EX576-EX203+(EX94+EX95)+Assumptions!EX100)</f>
        <v>-8</v>
      </c>
      <c r="EY250" s="482">
        <f>IF(EY5="A","",EX250-EY198-EY195-EY576-EY203+(EY94+EY95)+Assumptions!EY100)</f>
        <v>-8</v>
      </c>
      <c r="EZ250" s="482">
        <f t="shared" si="870"/>
        <v>-8</v>
      </c>
      <c r="FA250" s="1244">
        <f>IF(FA5="A","",EX250-FA198-FA195-FA576-FA203+(FA94+FA95)+Assumptions!FA100)</f>
        <v>-8</v>
      </c>
      <c r="FB250" s="1571"/>
      <c r="FE250"/>
      <c r="FF250"/>
      <c r="FG250"/>
      <c r="FH250"/>
      <c r="FI250"/>
      <c r="FJ250"/>
      <c r="FK250" s="35"/>
    </row>
    <row r="251" spans="2:167" s="236" customFormat="1" ht="13.35" customHeight="1" thickBot="1">
      <c r="B251" s="242" t="s">
        <v>720</v>
      </c>
      <c r="C251" s="242" t="s">
        <v>496</v>
      </c>
      <c r="D251" s="243"/>
      <c r="E251" s="528"/>
      <c r="F251" s="482">
        <f t="shared" si="820"/>
        <v>0</v>
      </c>
      <c r="G251" s="529"/>
      <c r="H251" s="530"/>
      <c r="I251" s="482">
        <f t="shared" si="821"/>
        <v>0</v>
      </c>
      <c r="J251" s="529"/>
      <c r="K251" s="530"/>
      <c r="L251" s="482">
        <f t="shared" si="822"/>
        <v>0</v>
      </c>
      <c r="M251" s="529"/>
      <c r="N251" s="530"/>
      <c r="O251" s="482">
        <f t="shared" si="823"/>
        <v>0</v>
      </c>
      <c r="P251" s="529"/>
      <c r="Q251" s="530"/>
      <c r="R251" s="482">
        <f t="shared" si="824"/>
        <v>0</v>
      </c>
      <c r="S251" s="529"/>
      <c r="T251" s="530"/>
      <c r="U251" s="482">
        <f t="shared" si="825"/>
        <v>0</v>
      </c>
      <c r="V251" s="529"/>
      <c r="W251" s="530"/>
      <c r="X251" s="482">
        <f t="shared" si="826"/>
        <v>0</v>
      </c>
      <c r="Y251" s="529"/>
      <c r="Z251" s="530"/>
      <c r="AA251" s="482">
        <f t="shared" si="827"/>
        <v>0</v>
      </c>
      <c r="AB251" s="529"/>
      <c r="AC251" s="530"/>
      <c r="AD251" s="482">
        <f t="shared" si="828"/>
        <v>0</v>
      </c>
      <c r="AE251" s="529"/>
      <c r="AF251" s="530"/>
      <c r="AG251" s="482">
        <f t="shared" si="829"/>
        <v>0</v>
      </c>
      <c r="AH251" s="529"/>
      <c r="AI251" s="530"/>
      <c r="AJ251" s="482">
        <f t="shared" si="830"/>
        <v>0</v>
      </c>
      <c r="AK251" s="529"/>
      <c r="AL251" s="530"/>
      <c r="AM251" s="482">
        <f t="shared" si="831"/>
        <v>0</v>
      </c>
      <c r="AN251" s="529"/>
      <c r="AO251" s="530"/>
      <c r="AP251" s="482">
        <f t="shared" si="832"/>
        <v>0</v>
      </c>
      <c r="AQ251" s="529"/>
      <c r="AR251" s="530"/>
      <c r="AS251" s="482">
        <f t="shared" si="833"/>
        <v>0</v>
      </c>
      <c r="AT251" s="529"/>
      <c r="AU251" s="530"/>
      <c r="AV251" s="482">
        <f t="shared" si="834"/>
        <v>0</v>
      </c>
      <c r="AW251" s="529"/>
      <c r="AX251" s="531">
        <v>0</v>
      </c>
      <c r="AY251" s="482">
        <f t="shared" si="835"/>
        <v>0</v>
      </c>
      <c r="AZ251" s="532">
        <v>0</v>
      </c>
      <c r="BA251" s="531">
        <v>0</v>
      </c>
      <c r="BB251" s="482">
        <f t="shared" si="836"/>
        <v>0</v>
      </c>
      <c r="BC251" s="532">
        <v>0</v>
      </c>
      <c r="BD251" s="531">
        <v>0</v>
      </c>
      <c r="BE251" s="482">
        <f t="shared" si="837"/>
        <v>0</v>
      </c>
      <c r="BF251" s="529">
        <f>IF(Assumptions!BF210&lt;&gt;"",Assumptions!BF210,0)</f>
        <v>0</v>
      </c>
      <c r="BG251" s="530">
        <f>IF(Assumptions!BG210&lt;&gt;"",Assumptions!BG210,0)</f>
        <v>0</v>
      </c>
      <c r="BH251" s="482">
        <f t="shared" si="838"/>
        <v>0</v>
      </c>
      <c r="BI251" s="529">
        <f>IF(Assumptions!BI210&lt;&gt;"",Assumptions!BI210,0)</f>
        <v>0</v>
      </c>
      <c r="BJ251" s="530">
        <f>IF(Assumptions!BJ210&lt;&gt;"",Assumptions!BJ210,0)</f>
        <v>0</v>
      </c>
      <c r="BK251" s="482">
        <f t="shared" si="839"/>
        <v>0</v>
      </c>
      <c r="BL251" s="529">
        <f>IF(Assumptions!BL210&lt;&gt;"",Assumptions!BL210,0)</f>
        <v>0</v>
      </c>
      <c r="BM251" s="530">
        <f>IF(Assumptions!BM210&lt;&gt;"",Assumptions!BM210,0)</f>
        <v>0</v>
      </c>
      <c r="BN251" s="482">
        <f t="shared" si="840"/>
        <v>0</v>
      </c>
      <c r="BO251" s="528">
        <f>IF(Assumptions!BO210&lt;&gt;"",Assumptions!BO210,0)</f>
        <v>0</v>
      </c>
      <c r="BP251" s="530">
        <f>IF(Assumptions!BP210&lt;&gt;"",Assumptions!BP210,0)</f>
        <v>0</v>
      </c>
      <c r="BQ251" s="482">
        <f t="shared" si="841"/>
        <v>0</v>
      </c>
      <c r="BR251" s="528">
        <f>IF(Assumptions!BR210&lt;&gt;"",Assumptions!BR210,0)</f>
        <v>0</v>
      </c>
      <c r="BS251" s="530">
        <f>IF(Assumptions!BS210&lt;&gt;"",Assumptions!BS210,0)</f>
        <v>0</v>
      </c>
      <c r="BT251" s="482">
        <f t="shared" si="842"/>
        <v>0</v>
      </c>
      <c r="BU251" s="528">
        <f>IF(Assumptions!BU210&lt;&gt;"",Assumptions!BU210,0)</f>
        <v>0</v>
      </c>
      <c r="BV251" s="530">
        <f>IF(Assumptions!BV210&lt;&gt;"",Assumptions!BV210,0)</f>
        <v>0</v>
      </c>
      <c r="BW251" s="482">
        <f t="shared" si="843"/>
        <v>0</v>
      </c>
      <c r="BX251" s="528">
        <f>IF(Assumptions!BX210&lt;&gt;"",Assumptions!BX210,0)</f>
        <v>0</v>
      </c>
      <c r="BY251" s="530">
        <f>IF(Assumptions!BY210&lt;&gt;"",Assumptions!BY210,0)</f>
        <v>0</v>
      </c>
      <c r="BZ251" s="482">
        <f t="shared" si="844"/>
        <v>0</v>
      </c>
      <c r="CA251" s="528">
        <f>IF(Assumptions!CA210&lt;&gt;"",Assumptions!CA210,0)</f>
        <v>0</v>
      </c>
      <c r="CB251" s="530">
        <f>IF(Assumptions!CB210&lt;&gt;"",Assumptions!CB210,0)</f>
        <v>0</v>
      </c>
      <c r="CC251" s="482">
        <f t="shared" si="845"/>
        <v>0</v>
      </c>
      <c r="CD251" s="528">
        <f>IF(Assumptions!CD210&lt;&gt;"",Assumptions!CD210,0)</f>
        <v>0</v>
      </c>
      <c r="CE251" s="530">
        <f>IF(Assumptions!CE210&lt;&gt;"",Assumptions!CE210,0)</f>
        <v>0</v>
      </c>
      <c r="CF251" s="482">
        <f t="shared" si="846"/>
        <v>0</v>
      </c>
      <c r="CG251" s="528">
        <f>IF(Assumptions!CG210&lt;&gt;"",Assumptions!CG210,0)</f>
        <v>0</v>
      </c>
      <c r="CH251" s="530">
        <f>IF(Assumptions!CH210&lt;&gt;"",Assumptions!CH210,0)</f>
        <v>0</v>
      </c>
      <c r="CI251" s="482">
        <f t="shared" si="847"/>
        <v>0</v>
      </c>
      <c r="CJ251" s="528">
        <f>IF(Assumptions!CJ210&lt;&gt;"",Assumptions!CJ210,0)</f>
        <v>0</v>
      </c>
      <c r="CK251" s="530">
        <f>IF(Assumptions!CK210&lt;&gt;"",Assumptions!CK210,0)</f>
        <v>0</v>
      </c>
      <c r="CL251" s="482">
        <f t="shared" si="848"/>
        <v>0</v>
      </c>
      <c r="CM251" s="528">
        <f>IF(Assumptions!CM210&lt;&gt;"",Assumptions!CM210,0)</f>
        <v>0</v>
      </c>
      <c r="CN251" s="530">
        <f>IF(Assumptions!CN210&lt;&gt;"",Assumptions!CN210,0)</f>
        <v>0</v>
      </c>
      <c r="CO251" s="482">
        <f t="shared" si="849"/>
        <v>0</v>
      </c>
      <c r="CP251" s="528">
        <f>IF(Assumptions!CP210&lt;&gt;"",Assumptions!CP210,0)</f>
        <v>0</v>
      </c>
      <c r="CQ251" s="530">
        <f>IF(Assumptions!CQ210&lt;&gt;"",Assumptions!CQ210,0)</f>
        <v>0</v>
      </c>
      <c r="CR251" s="482">
        <f t="shared" si="850"/>
        <v>0</v>
      </c>
      <c r="CS251" s="528">
        <f>IF(Assumptions!CS210&lt;&gt;"",Assumptions!CS210,0)</f>
        <v>0</v>
      </c>
      <c r="CT251" s="530">
        <f>IF(Assumptions!CT210&lt;&gt;"",Assumptions!CT210,0)</f>
        <v>0</v>
      </c>
      <c r="CU251" s="482">
        <f t="shared" si="851"/>
        <v>0</v>
      </c>
      <c r="CV251" s="528">
        <f>IF(Assumptions!CV210&lt;&gt;"",Assumptions!CV210,0)</f>
        <v>0</v>
      </c>
      <c r="CW251" s="530">
        <f>IF(Assumptions!CW210&lt;&gt;"",Assumptions!CW210,0)</f>
        <v>0</v>
      </c>
      <c r="CX251" s="482">
        <f t="shared" si="852"/>
        <v>0</v>
      </c>
      <c r="CY251" s="528">
        <f>IF(Assumptions!CY210&lt;&gt;"",Assumptions!CY210,0)</f>
        <v>0</v>
      </c>
      <c r="CZ251" s="530">
        <f>IF(Assumptions!CZ210&lt;&gt;"",Assumptions!CZ210,0)</f>
        <v>0</v>
      </c>
      <c r="DA251" s="482">
        <f t="shared" si="853"/>
        <v>0</v>
      </c>
      <c r="DB251" s="528">
        <f>IF(Assumptions!DB210&lt;&gt;"",Assumptions!DB210,0)</f>
        <v>0</v>
      </c>
      <c r="DC251" s="530">
        <f>IF(Assumptions!DC210&lt;&gt;"",Assumptions!DC210,0)</f>
        <v>0</v>
      </c>
      <c r="DD251" s="482">
        <f t="shared" si="854"/>
        <v>0</v>
      </c>
      <c r="DE251" s="528">
        <f>IF(Assumptions!DE210&lt;&gt;"",Assumptions!DE210,0)</f>
        <v>0</v>
      </c>
      <c r="DF251" s="530">
        <f>IF(Assumptions!DF210&lt;&gt;"",Assumptions!DF210,0)</f>
        <v>0</v>
      </c>
      <c r="DG251" s="482">
        <f t="shared" si="855"/>
        <v>0</v>
      </c>
      <c r="DH251" s="1260">
        <f>IF(Assumptions!DH210&lt;&gt;"",Assumptions!DH210,0)</f>
        <v>0</v>
      </c>
      <c r="DI251" s="482">
        <f>IF(Assumptions!DI210&lt;&gt;"",Assumptions!DI210,0)</f>
        <v>0</v>
      </c>
      <c r="DJ251" s="482">
        <f t="shared" si="856"/>
        <v>0</v>
      </c>
      <c r="DK251" s="1244">
        <f>IF(Assumptions!DK210&lt;&gt;"",Assumptions!DK210,0)</f>
        <v>0</v>
      </c>
      <c r="DL251" s="482">
        <f>IF(Assumptions!DL210&lt;&gt;"",Assumptions!DL210,0)</f>
        <v>0</v>
      </c>
      <c r="DM251" s="482">
        <f t="shared" si="857"/>
        <v>0</v>
      </c>
      <c r="DN251" s="1244">
        <f>IF(Assumptions!DN210&lt;&gt;"",Assumptions!DN210,0)</f>
        <v>0</v>
      </c>
      <c r="DO251" s="482">
        <f>IF(Assumptions!DO210&lt;&gt;"",Assumptions!DO210,0)</f>
        <v>0</v>
      </c>
      <c r="DP251" s="482">
        <f t="shared" si="858"/>
        <v>0</v>
      </c>
      <c r="DQ251" s="1244">
        <f>IF(Assumptions!DQ210&lt;&gt;"",Assumptions!DQ210,0)</f>
        <v>0</v>
      </c>
      <c r="DR251" s="482">
        <f>IF(Assumptions!DR210&lt;&gt;"",Assumptions!DR210,0)</f>
        <v>0</v>
      </c>
      <c r="DS251" s="482">
        <f t="shared" si="859"/>
        <v>0</v>
      </c>
      <c r="DT251" s="1244">
        <f>IF(Assumptions!DT210&lt;&gt;"",Assumptions!DT210,0)</f>
        <v>0</v>
      </c>
      <c r="DU251" s="482">
        <f>IF(Assumptions!DU210&lt;&gt;"",Assumptions!DU210,0)</f>
        <v>0</v>
      </c>
      <c r="DV251" s="482">
        <f t="shared" si="860"/>
        <v>0</v>
      </c>
      <c r="DW251" s="1244">
        <f>IF(Assumptions!DW210&lt;&gt;"",Assumptions!DW210,0)</f>
        <v>0</v>
      </c>
      <c r="DX251" s="482">
        <f>IF(Assumptions!DX210&lt;&gt;"",Assumptions!DX210,0)</f>
        <v>0</v>
      </c>
      <c r="DY251" s="482">
        <f t="shared" si="861"/>
        <v>0</v>
      </c>
      <c r="DZ251" s="1244">
        <f>IF(Assumptions!DZ210&lt;&gt;"",Assumptions!DZ210,0)</f>
        <v>0</v>
      </c>
      <c r="EA251" s="482">
        <f>IF(Assumptions!EA210&lt;&gt;"",Assumptions!EA210,0)</f>
        <v>0</v>
      </c>
      <c r="EB251" s="482">
        <f t="shared" si="862"/>
        <v>0</v>
      </c>
      <c r="EC251" s="1244">
        <f>IF(Assumptions!EC210&lt;&gt;"",Assumptions!EC210,0)</f>
        <v>0</v>
      </c>
      <c r="ED251" s="482">
        <f>IF(Assumptions!ED210&lt;&gt;"",Assumptions!ED210,0)</f>
        <v>0</v>
      </c>
      <c r="EE251" s="482">
        <f t="shared" si="863"/>
        <v>0</v>
      </c>
      <c r="EF251" s="1244">
        <f>IF(Assumptions!EF210&lt;&gt;"",Assumptions!EF210,0)</f>
        <v>0</v>
      </c>
      <c r="EG251" s="482">
        <f>IF(Assumptions!EG210&lt;&gt;"",Assumptions!EG210,0)</f>
        <v>0</v>
      </c>
      <c r="EH251" s="482">
        <f t="shared" si="864"/>
        <v>0</v>
      </c>
      <c r="EI251" s="1244">
        <f>IF(Assumptions!EI210&lt;&gt;"",Assumptions!EI210,0)</f>
        <v>0</v>
      </c>
      <c r="EJ251" s="482">
        <f>IF(Assumptions!EJ210&lt;&gt;"",Assumptions!EJ210,0)</f>
        <v>0</v>
      </c>
      <c r="EK251" s="482">
        <f t="shared" si="865"/>
        <v>0</v>
      </c>
      <c r="EL251" s="1244">
        <f>IF(Assumptions!EL210&lt;&gt;"",Assumptions!EL210,0)</f>
        <v>0</v>
      </c>
      <c r="EM251" s="482">
        <f>IF(Assumptions!EM210&lt;&gt;"",Assumptions!EM210,0)</f>
        <v>0</v>
      </c>
      <c r="EN251" s="482">
        <f t="shared" si="866"/>
        <v>0</v>
      </c>
      <c r="EO251" s="1244">
        <f>IF(Assumptions!EO210&lt;&gt;"",Assumptions!EO210,0)</f>
        <v>0</v>
      </c>
      <c r="EP251" s="482">
        <f>IF(Assumptions!EP210&lt;&gt;"",Assumptions!EP210,0)</f>
        <v>0</v>
      </c>
      <c r="EQ251" s="482">
        <f t="shared" si="867"/>
        <v>0</v>
      </c>
      <c r="ER251" s="1244">
        <f>IF(Assumptions!ER210&lt;&gt;"",Assumptions!ER210,0)</f>
        <v>0</v>
      </c>
      <c r="ES251" s="482">
        <f>IF(Assumptions!ES210&lt;&gt;"",Assumptions!ES210,0)</f>
        <v>0</v>
      </c>
      <c r="ET251" s="482">
        <f t="shared" si="868"/>
        <v>0</v>
      </c>
      <c r="EU251" s="1244">
        <f>IF(Assumptions!EU210&lt;&gt;"",Assumptions!EU210,0)</f>
        <v>0</v>
      </c>
      <c r="EV251" s="482">
        <f>IF(Assumptions!EV210&lt;&gt;"",Assumptions!EV210,0)</f>
        <v>0</v>
      </c>
      <c r="EW251" s="482">
        <f t="shared" si="869"/>
        <v>0</v>
      </c>
      <c r="EX251" s="1244">
        <f>IF(Assumptions!EX210&lt;&gt;"",Assumptions!EX210,0)</f>
        <v>0</v>
      </c>
      <c r="EY251" s="482">
        <f>IF(Assumptions!EY210&lt;&gt;"",Assumptions!EY210,0)</f>
        <v>0</v>
      </c>
      <c r="EZ251" s="482">
        <f t="shared" si="870"/>
        <v>0</v>
      </c>
      <c r="FA251" s="1244">
        <f>IF(Assumptions!FA210&lt;&gt;"",Assumptions!FA210,0)</f>
        <v>0</v>
      </c>
      <c r="FB251" s="1571"/>
      <c r="FE251"/>
      <c r="FF251"/>
      <c r="FG251"/>
      <c r="FH251"/>
      <c r="FI251"/>
      <c r="FJ251"/>
      <c r="FK251" s="35"/>
    </row>
    <row r="252" spans="2:167" s="236" customFormat="1" ht="13.35" customHeight="1" thickBot="1">
      <c r="B252" s="242" t="s">
        <v>132</v>
      </c>
      <c r="C252" s="242" t="s">
        <v>496</v>
      </c>
      <c r="D252" s="243"/>
      <c r="E252" s="482">
        <f>+E253+E254+E255</f>
        <v>0</v>
      </c>
      <c r="F252" s="482">
        <f t="shared" si="820"/>
        <v>0</v>
      </c>
      <c r="G252" s="482">
        <f>+G253+G254+G255</f>
        <v>0</v>
      </c>
      <c r="H252" s="482">
        <f>+H253+H254+H255</f>
        <v>0</v>
      </c>
      <c r="I252" s="482">
        <f t="shared" si="821"/>
        <v>0</v>
      </c>
      <c r="J252" s="482">
        <f>+J253+J254+J255</f>
        <v>0</v>
      </c>
      <c r="K252" s="482">
        <f>+K253+K254+K255</f>
        <v>0</v>
      </c>
      <c r="L252" s="482">
        <f t="shared" si="822"/>
        <v>0</v>
      </c>
      <c r="M252" s="482">
        <f>+M253+M254+M255</f>
        <v>0</v>
      </c>
      <c r="N252" s="482">
        <f>+N253+N254+N255</f>
        <v>0</v>
      </c>
      <c r="O252" s="482">
        <f t="shared" si="823"/>
        <v>0</v>
      </c>
      <c r="P252" s="482">
        <f>+P253+P254+P255</f>
        <v>0</v>
      </c>
      <c r="Q252" s="482">
        <f>+Q253+Q254+Q255</f>
        <v>0</v>
      </c>
      <c r="R252" s="482">
        <f t="shared" si="824"/>
        <v>0</v>
      </c>
      <c r="S252" s="482">
        <f>+S253+S254+S255</f>
        <v>0</v>
      </c>
      <c r="T252" s="482">
        <f>+T253+T254+T255</f>
        <v>0</v>
      </c>
      <c r="U252" s="482">
        <f t="shared" si="825"/>
        <v>0</v>
      </c>
      <c r="V252" s="482">
        <f>+V253+V254+V255</f>
        <v>0</v>
      </c>
      <c r="W252" s="482">
        <f>+W253+W254+W255</f>
        <v>0</v>
      </c>
      <c r="X252" s="482">
        <f t="shared" si="826"/>
        <v>0</v>
      </c>
      <c r="Y252" s="482">
        <f>+Y253+Y254+Y255</f>
        <v>0</v>
      </c>
      <c r="Z252" s="482">
        <f>+Z253+Z254+Z255</f>
        <v>0</v>
      </c>
      <c r="AA252" s="482">
        <f t="shared" si="827"/>
        <v>0</v>
      </c>
      <c r="AB252" s="482">
        <f>+AB253+AB254+AB255</f>
        <v>0</v>
      </c>
      <c r="AC252" s="482">
        <f>+AC253+AC254+AC255</f>
        <v>0</v>
      </c>
      <c r="AD252" s="482">
        <f t="shared" si="828"/>
        <v>0</v>
      </c>
      <c r="AE252" s="482">
        <f>+AE253+AE254+AE255</f>
        <v>0</v>
      </c>
      <c r="AF252" s="482">
        <f>+AF253+AF254+AF255</f>
        <v>0</v>
      </c>
      <c r="AG252" s="482">
        <f t="shared" si="829"/>
        <v>0</v>
      </c>
      <c r="AH252" s="482">
        <f>+AH253+AH254+AH255</f>
        <v>0</v>
      </c>
      <c r="AI252" s="482">
        <f>+AI253+AI254+AI255</f>
        <v>0</v>
      </c>
      <c r="AJ252" s="482">
        <f t="shared" si="830"/>
        <v>0</v>
      </c>
      <c r="AK252" s="482">
        <f>+AK253+AK254+AK255</f>
        <v>0</v>
      </c>
      <c r="AL252" s="482">
        <f>+AL253+AL254+AL255</f>
        <v>0</v>
      </c>
      <c r="AM252" s="482">
        <f t="shared" si="831"/>
        <v>0</v>
      </c>
      <c r="AN252" s="482">
        <f>+AN253+AN254+AN255</f>
        <v>0</v>
      </c>
      <c r="AO252" s="482">
        <f>+AO253+AO254+AO255</f>
        <v>0</v>
      </c>
      <c r="AP252" s="482">
        <f t="shared" si="832"/>
        <v>0</v>
      </c>
      <c r="AQ252" s="482">
        <f>+AQ253+AQ254+AQ255</f>
        <v>0</v>
      </c>
      <c r="AR252" s="482">
        <f>+AR253+AR254+AR255</f>
        <v>0</v>
      </c>
      <c r="AS252" s="482">
        <f t="shared" si="833"/>
        <v>0</v>
      </c>
      <c r="AT252" s="482">
        <f>+AT253+AT254+AT255</f>
        <v>0</v>
      </c>
      <c r="AU252" s="482">
        <f>+AU253+AU254+AU255</f>
        <v>0</v>
      </c>
      <c r="AV252" s="482">
        <f t="shared" si="834"/>
        <v>0</v>
      </c>
      <c r="AW252" s="482">
        <f>+AW253+AW254+AW255</f>
        <v>0</v>
      </c>
      <c r="AX252" s="482">
        <f>+AX253+AX254+AX255</f>
        <v>0</v>
      </c>
      <c r="AY252" s="482">
        <f t="shared" si="835"/>
        <v>0</v>
      </c>
      <c r="AZ252" s="482">
        <f>+AZ253+AZ254+AZ255</f>
        <v>0</v>
      </c>
      <c r="BA252" s="482">
        <f>+BA253+BA254+BA255</f>
        <v>0</v>
      </c>
      <c r="BB252" s="482">
        <f t="shared" si="836"/>
        <v>0</v>
      </c>
      <c r="BC252" s="482">
        <f>+BC253+BC254+BC255</f>
        <v>0</v>
      </c>
      <c r="BD252" s="482">
        <f>+BD253+BD254+BD255</f>
        <v>0</v>
      </c>
      <c r="BE252" s="482">
        <f t="shared" si="837"/>
        <v>0</v>
      </c>
      <c r="BF252" s="482">
        <f>+BF253+BF254+BF255</f>
        <v>0</v>
      </c>
      <c r="BG252" s="482">
        <f>+BG253+BG254+BG255</f>
        <v>0</v>
      </c>
      <c r="BH252" s="482">
        <f t="shared" si="838"/>
        <v>0</v>
      </c>
      <c r="BI252" s="482">
        <f>+BI253+BI254+BI255</f>
        <v>0</v>
      </c>
      <c r="BJ252" s="482">
        <f>+BJ253+BJ254+BJ255</f>
        <v>6.8090000000000002</v>
      </c>
      <c r="BK252" s="482">
        <f t="shared" si="839"/>
        <v>7.19</v>
      </c>
      <c r="BL252" s="482">
        <f>+BL253+BL254+BL255</f>
        <v>7.19</v>
      </c>
      <c r="BM252" s="482">
        <f>+BM253+BM254+BM255</f>
        <v>21.742000000000001</v>
      </c>
      <c r="BN252" s="482">
        <f t="shared" si="840"/>
        <v>194.32900000000001</v>
      </c>
      <c r="BO252" s="482">
        <f>+BO253+BO254+BO255</f>
        <v>194.32900000000001</v>
      </c>
      <c r="BP252" s="482">
        <f>+BP253+BP254+BP255</f>
        <v>193.12</v>
      </c>
      <c r="BQ252" s="482">
        <f t="shared" si="841"/>
        <v>205.238</v>
      </c>
      <c r="BR252" s="482">
        <f>+BR253+BR254+BR255</f>
        <v>205.238</v>
      </c>
      <c r="BS252" s="482">
        <f>+BS253+BS254+BS255</f>
        <v>202.32300000000001</v>
      </c>
      <c r="BT252" s="482">
        <f t="shared" si="842"/>
        <v>196.268</v>
      </c>
      <c r="BU252" s="482">
        <f>+BU253+BU254+BU255</f>
        <v>196.268</v>
      </c>
      <c r="BV252" s="482">
        <f>+BV253+BV254+BV255</f>
        <v>212.262</v>
      </c>
      <c r="BW252" s="482">
        <f t="shared" si="843"/>
        <v>208.959</v>
      </c>
      <c r="BX252" s="482">
        <f>+BX253+BX254+BX255</f>
        <v>208.959</v>
      </c>
      <c r="BY252" s="482">
        <f>+BY253+BY254+BY255</f>
        <v>222.07400000000001</v>
      </c>
      <c r="BZ252" s="482">
        <f t="shared" si="844"/>
        <v>208.27500000000001</v>
      </c>
      <c r="CA252" s="482">
        <f>+CA253+CA254+CA255</f>
        <v>208.27500000000001</v>
      </c>
      <c r="CB252" s="482">
        <f>+CB253+CB254+CB255</f>
        <v>222.29899999999998</v>
      </c>
      <c r="CC252" s="482">
        <f t="shared" si="845"/>
        <v>211.839</v>
      </c>
      <c r="CD252" s="482">
        <f>+CD253+CD254+CD255</f>
        <v>211.839</v>
      </c>
      <c r="CE252" s="482">
        <f>+CE253+CE254+CE255</f>
        <v>205.39499999999998</v>
      </c>
      <c r="CF252" s="482">
        <f t="shared" si="846"/>
        <v>208.55</v>
      </c>
      <c r="CG252" s="482">
        <f>+CG253+CG254+CG255</f>
        <v>208.55</v>
      </c>
      <c r="CH252" s="482">
        <f>+CH253+CH254+CH255</f>
        <v>195.81</v>
      </c>
      <c r="CI252" s="482">
        <f t="shared" si="847"/>
        <v>257.20999999999998</v>
      </c>
      <c r="CJ252" s="482">
        <f>+CJ253+CJ254+CJ255</f>
        <v>257.20999999999998</v>
      </c>
      <c r="CK252" s="482">
        <f>+CK253+CK254+CK255</f>
        <v>219.846</v>
      </c>
      <c r="CL252" s="482">
        <f t="shared" si="848"/>
        <v>235.774</v>
      </c>
      <c r="CM252" s="482">
        <f>+CM253+CM254+CM255</f>
        <v>235.774</v>
      </c>
      <c r="CN252" s="482">
        <f>+CN253+CN254+CN255</f>
        <v>248.89400000000001</v>
      </c>
      <c r="CO252" s="482">
        <f t="shared" si="849"/>
        <v>234.11500000000001</v>
      </c>
      <c r="CP252" s="482">
        <f>+CP253+CP254+CP255</f>
        <v>234.11500000000001</v>
      </c>
      <c r="CQ252" s="482">
        <f>+CQ253+CQ254+CQ255</f>
        <v>231.304</v>
      </c>
      <c r="CR252" s="482">
        <f t="shared" si="850"/>
        <v>228.53100000000001</v>
      </c>
      <c r="CS252" s="482">
        <f>+CS253+CS254+CS255</f>
        <v>228.53100000000001</v>
      </c>
      <c r="CT252" s="482">
        <f>+CT253+CT254+CT255</f>
        <v>234.72499999999999</v>
      </c>
      <c r="CU252" s="482">
        <f t="shared" si="851"/>
        <v>224.33799999999999</v>
      </c>
      <c r="CV252" s="482">
        <f>+CV253+CV254+CV255</f>
        <v>224.33799999999999</v>
      </c>
      <c r="CW252" s="482">
        <f>+CW253+CW254+CW255</f>
        <v>212.04900000000001</v>
      </c>
      <c r="CX252" s="482">
        <f t="shared" si="852"/>
        <v>339.976</v>
      </c>
      <c r="CY252" s="482">
        <f>+CY253+CY254+CY255</f>
        <v>339.976</v>
      </c>
      <c r="CZ252" s="482">
        <f>+CZ253+CZ254+CZ255</f>
        <v>343.9</v>
      </c>
      <c r="DA252" s="482">
        <f t="shared" si="853"/>
        <v>345.3</v>
      </c>
      <c r="DB252" s="482">
        <f>+DB253+DB254+DB255</f>
        <v>345.3</v>
      </c>
      <c r="DC252" s="482">
        <f>+DC253+DC254+DC255</f>
        <v>368.8</v>
      </c>
      <c r="DD252" s="482">
        <f t="shared" si="854"/>
        <v>424.4</v>
      </c>
      <c r="DE252" s="482">
        <f>+DE253+DE254+DE255</f>
        <v>424.4</v>
      </c>
      <c r="DF252" s="482">
        <f>+DF253+DF254+DF255</f>
        <v>428.2</v>
      </c>
      <c r="DG252" s="482">
        <f t="shared" si="855"/>
        <v>410.3</v>
      </c>
      <c r="DH252" s="1244">
        <f>+DH253+DH254+DH255</f>
        <v>410.3</v>
      </c>
      <c r="DI252" s="482">
        <f>+DI253+DI254+DI255</f>
        <v>407.3</v>
      </c>
      <c r="DJ252" s="482">
        <f t="shared" si="856"/>
        <v>402.8</v>
      </c>
      <c r="DK252" s="1244">
        <f>+DK253+DK254+DK255</f>
        <v>402.8</v>
      </c>
      <c r="DL252" s="482">
        <f>+DL253+DL254+DL255</f>
        <v>388.3</v>
      </c>
      <c r="DM252" s="482">
        <f t="shared" si="857"/>
        <v>392.5</v>
      </c>
      <c r="DN252" s="1244">
        <f>+DN253+DN254+DN255</f>
        <v>392.5</v>
      </c>
      <c r="DO252" s="482">
        <f>+DO253+DO254+DO255</f>
        <v>408.3</v>
      </c>
      <c r="DP252" s="482">
        <f t="shared" si="858"/>
        <v>444.1</v>
      </c>
      <c r="DQ252" s="1244">
        <f>+DQ253+DQ254+DQ255</f>
        <v>444.1</v>
      </c>
      <c r="DR252" s="482">
        <f>+DR253+DR254+DR255</f>
        <v>458.7</v>
      </c>
      <c r="DS252" s="482">
        <f t="shared" si="859"/>
        <v>451</v>
      </c>
      <c r="DT252" s="1244">
        <f>+DT253+DT254+DT255</f>
        <v>451</v>
      </c>
      <c r="DU252" s="482">
        <f>+DU253+DU254+DU255</f>
        <v>467.8</v>
      </c>
      <c r="DV252" s="482">
        <f t="shared" si="860"/>
        <v>500.8</v>
      </c>
      <c r="DW252" s="1244">
        <f>+DW253+DW254+DW255</f>
        <v>500.8</v>
      </c>
      <c r="DX252" s="482">
        <f>+DX253+DX254+DX255</f>
        <v>505.1</v>
      </c>
      <c r="DY252" s="482">
        <f t="shared" si="861"/>
        <v>505.1</v>
      </c>
      <c r="DZ252" s="1244">
        <f>+DZ253+DZ254+DZ255</f>
        <v>505.1</v>
      </c>
      <c r="EA252" s="482">
        <f>+EA253+EA254+EA255</f>
        <v>505.1</v>
      </c>
      <c r="EB252" s="482">
        <f t="shared" si="862"/>
        <v>505.1</v>
      </c>
      <c r="EC252" s="1244">
        <f>+EC253+EC254+EC255</f>
        <v>505.1</v>
      </c>
      <c r="ED252" s="482">
        <f>+ED253+ED254+ED255</f>
        <v>505.1</v>
      </c>
      <c r="EE252" s="482">
        <f t="shared" si="863"/>
        <v>505.1</v>
      </c>
      <c r="EF252" s="1244">
        <f>+EF253+EF254+EF255</f>
        <v>505.1</v>
      </c>
      <c r="EG252" s="482">
        <f>+EG253+EG254+EG255</f>
        <v>505.1</v>
      </c>
      <c r="EH252" s="482">
        <f t="shared" si="864"/>
        <v>505.1</v>
      </c>
      <c r="EI252" s="1244">
        <f>+EI253+EI254+EI255</f>
        <v>505.1</v>
      </c>
      <c r="EJ252" s="482">
        <f>+EJ253+EJ254+EJ255</f>
        <v>505.1</v>
      </c>
      <c r="EK252" s="482">
        <f t="shared" si="865"/>
        <v>505.1</v>
      </c>
      <c r="EL252" s="1244">
        <f>+EL253+EL254+EL255</f>
        <v>505.1</v>
      </c>
      <c r="EM252" s="482">
        <f>+EM253+EM254+EM255</f>
        <v>505.1</v>
      </c>
      <c r="EN252" s="482">
        <f t="shared" si="866"/>
        <v>505.1</v>
      </c>
      <c r="EO252" s="1244">
        <f>+EO253+EO254+EO255</f>
        <v>505.1</v>
      </c>
      <c r="EP252" s="482">
        <f>+EP253+EP254+EP255</f>
        <v>505.1</v>
      </c>
      <c r="EQ252" s="482">
        <f t="shared" si="867"/>
        <v>505.1</v>
      </c>
      <c r="ER252" s="1244">
        <f>+ER253+ER254+ER255</f>
        <v>505.1</v>
      </c>
      <c r="ES252" s="482">
        <f>+ES253+ES254+ES255</f>
        <v>505.1</v>
      </c>
      <c r="ET252" s="482">
        <f t="shared" si="868"/>
        <v>505.1</v>
      </c>
      <c r="EU252" s="1244">
        <f>+EU253+EU254+EU255</f>
        <v>505.1</v>
      </c>
      <c r="EV252" s="482">
        <f>+EV253+EV254+EV255</f>
        <v>505.1</v>
      </c>
      <c r="EW252" s="482">
        <f t="shared" si="869"/>
        <v>505.1</v>
      </c>
      <c r="EX252" s="1244">
        <f>+EX253+EX254+EX255</f>
        <v>505.1</v>
      </c>
      <c r="EY252" s="482">
        <f>+EY253+EY254+EY255</f>
        <v>505.1</v>
      </c>
      <c r="EZ252" s="482">
        <f t="shared" si="870"/>
        <v>505.1</v>
      </c>
      <c r="FA252" s="1244">
        <f>+FA253+FA254+FA255</f>
        <v>505.1</v>
      </c>
      <c r="FB252" s="1571"/>
      <c r="FE252"/>
      <c r="FF252"/>
      <c r="FG252"/>
      <c r="FH252"/>
      <c r="FI252"/>
      <c r="FJ252"/>
      <c r="FK252" s="35"/>
    </row>
    <row r="253" spans="2:167" s="236" customFormat="1" ht="13.35" customHeight="1" outlineLevel="1">
      <c r="B253" s="242" t="s">
        <v>11</v>
      </c>
      <c r="C253" s="242" t="s">
        <v>496</v>
      </c>
      <c r="D253" s="243"/>
      <c r="E253" s="511"/>
      <c r="F253" s="510">
        <f t="shared" si="820"/>
        <v>0</v>
      </c>
      <c r="G253" s="512"/>
      <c r="H253" s="513"/>
      <c r="I253" s="510">
        <f t="shared" si="821"/>
        <v>0</v>
      </c>
      <c r="J253" s="512"/>
      <c r="K253" s="513"/>
      <c r="L253" s="510">
        <f t="shared" si="822"/>
        <v>0</v>
      </c>
      <c r="M253" s="512"/>
      <c r="N253" s="513"/>
      <c r="O253" s="510">
        <f t="shared" si="823"/>
        <v>0</v>
      </c>
      <c r="P253" s="512"/>
      <c r="Q253" s="513"/>
      <c r="R253" s="510">
        <f t="shared" si="824"/>
        <v>0</v>
      </c>
      <c r="S253" s="512"/>
      <c r="T253" s="513"/>
      <c r="U253" s="510">
        <f t="shared" si="825"/>
        <v>0</v>
      </c>
      <c r="V253" s="512"/>
      <c r="W253" s="513"/>
      <c r="X253" s="510">
        <f t="shared" si="826"/>
        <v>0</v>
      </c>
      <c r="Y253" s="512"/>
      <c r="Z253" s="513"/>
      <c r="AA253" s="510">
        <f t="shared" si="827"/>
        <v>0</v>
      </c>
      <c r="AB253" s="512"/>
      <c r="AC253" s="513"/>
      <c r="AD253" s="510">
        <f t="shared" si="828"/>
        <v>0</v>
      </c>
      <c r="AE253" s="512"/>
      <c r="AF253" s="513"/>
      <c r="AG253" s="510">
        <f t="shared" si="829"/>
        <v>0</v>
      </c>
      <c r="AH253" s="512"/>
      <c r="AI253" s="513"/>
      <c r="AJ253" s="510">
        <f t="shared" si="830"/>
        <v>0</v>
      </c>
      <c r="AK253" s="512"/>
      <c r="AL253" s="513"/>
      <c r="AM253" s="510">
        <f t="shared" si="831"/>
        <v>0</v>
      </c>
      <c r="AN253" s="512"/>
      <c r="AO253" s="513"/>
      <c r="AP253" s="510">
        <f t="shared" si="832"/>
        <v>0</v>
      </c>
      <c r="AQ253" s="512"/>
      <c r="AR253" s="513"/>
      <c r="AS253" s="510">
        <f t="shared" si="833"/>
        <v>0</v>
      </c>
      <c r="AT253" s="512"/>
      <c r="AU253" s="513"/>
      <c r="AV253" s="510">
        <f t="shared" si="834"/>
        <v>0</v>
      </c>
      <c r="AW253" s="512"/>
      <c r="AX253" s="514">
        <v>0</v>
      </c>
      <c r="AY253" s="510">
        <f t="shared" si="835"/>
        <v>0</v>
      </c>
      <c r="AZ253" s="515">
        <v>0</v>
      </c>
      <c r="BA253" s="514">
        <v>0</v>
      </c>
      <c r="BB253" s="510">
        <f t="shared" si="836"/>
        <v>0</v>
      </c>
      <c r="BC253" s="515">
        <v>0</v>
      </c>
      <c r="BD253" s="514">
        <v>0</v>
      </c>
      <c r="BE253" s="510">
        <f t="shared" si="837"/>
        <v>0</v>
      </c>
      <c r="BF253" s="515">
        <v>0</v>
      </c>
      <c r="BG253" s="514">
        <v>0</v>
      </c>
      <c r="BH253" s="510">
        <f t="shared" si="838"/>
        <v>0</v>
      </c>
      <c r="BI253" s="515">
        <v>0</v>
      </c>
      <c r="BJ253" s="514">
        <v>0</v>
      </c>
      <c r="BK253" s="510">
        <f t="shared" si="839"/>
        <v>0</v>
      </c>
      <c r="BL253" s="515">
        <v>0</v>
      </c>
      <c r="BM253" s="514">
        <v>21.742000000000001</v>
      </c>
      <c r="BN253" s="510">
        <f t="shared" si="840"/>
        <v>194.32900000000001</v>
      </c>
      <c r="BO253" s="548">
        <v>194.32900000000001</v>
      </c>
      <c r="BP253" s="514">
        <v>193.12</v>
      </c>
      <c r="BQ253" s="510">
        <f t="shared" si="841"/>
        <v>205.238</v>
      </c>
      <c r="BR253" s="548">
        <v>205.238</v>
      </c>
      <c r="BS253" s="514">
        <v>202.32300000000001</v>
      </c>
      <c r="BT253" s="510">
        <f t="shared" si="842"/>
        <v>196.268</v>
      </c>
      <c r="BU253" s="548">
        <v>196.268</v>
      </c>
      <c r="BV253" s="514">
        <v>212.262</v>
      </c>
      <c r="BW253" s="510">
        <f t="shared" si="843"/>
        <v>182.40100000000001</v>
      </c>
      <c r="BX253" s="548">
        <v>182.40100000000001</v>
      </c>
      <c r="BY253" s="514">
        <v>222.07400000000001</v>
      </c>
      <c r="BZ253" s="510">
        <f t="shared" si="844"/>
        <v>173.59899999999999</v>
      </c>
      <c r="CA253" s="548">
        <v>173.59899999999999</v>
      </c>
      <c r="CB253" s="514">
        <v>169.02799999999999</v>
      </c>
      <c r="CC253" s="510">
        <f t="shared" si="845"/>
        <v>159.87700000000001</v>
      </c>
      <c r="CD253" s="548">
        <v>159.87700000000001</v>
      </c>
      <c r="CE253" s="514">
        <v>154.55099999999999</v>
      </c>
      <c r="CF253" s="510">
        <f t="shared" si="846"/>
        <v>208.55</v>
      </c>
      <c r="CG253" s="548">
        <v>208.55</v>
      </c>
      <c r="CH253" s="514">
        <v>153.81</v>
      </c>
      <c r="CI253" s="510">
        <f t="shared" si="847"/>
        <v>206.715</v>
      </c>
      <c r="CJ253" s="548">
        <v>206.715</v>
      </c>
      <c r="CK253" s="514">
        <v>158.27500000000001</v>
      </c>
      <c r="CL253" s="510">
        <f t="shared" si="848"/>
        <v>172.75899999999999</v>
      </c>
      <c r="CM253" s="548">
        <v>172.75899999999999</v>
      </c>
      <c r="CN253" s="513">
        <f>248.894-B_NCA_OthInt_H1_14</f>
        <v>185.87900000000002</v>
      </c>
      <c r="CO253" s="510">
        <f t="shared" si="849"/>
        <v>234.11500000000001</v>
      </c>
      <c r="CP253" s="548">
        <v>234.11500000000001</v>
      </c>
      <c r="CQ253" s="514">
        <v>231.304</v>
      </c>
      <c r="CR253" s="510">
        <f t="shared" si="850"/>
        <v>228.53100000000001</v>
      </c>
      <c r="CS253" s="548">
        <v>228.53100000000001</v>
      </c>
      <c r="CT253" s="514">
        <v>234.72499999999999</v>
      </c>
      <c r="CU253" s="510">
        <f t="shared" si="851"/>
        <v>224.33799999999999</v>
      </c>
      <c r="CV253" s="548">
        <v>224.33799999999999</v>
      </c>
      <c r="CW253" s="514">
        <v>212.04900000000001</v>
      </c>
      <c r="CX253" s="510">
        <f t="shared" si="852"/>
        <v>339.976</v>
      </c>
      <c r="CY253" s="548">
        <v>339.976</v>
      </c>
      <c r="CZ253" s="513">
        <v>343.9</v>
      </c>
      <c r="DA253" s="510" t="str">
        <f t="shared" si="853"/>
        <v/>
      </c>
      <c r="DB253" s="511" t="str">
        <f>IF(DB5="A","",+CY253-DB70-DB200+DB592)</f>
        <v/>
      </c>
      <c r="DC253" s="513" t="str">
        <f>IF(DC5="A","",+DB253-DC70-DC200+DC592)</f>
        <v/>
      </c>
      <c r="DD253" s="510" t="str">
        <f t="shared" si="854"/>
        <v/>
      </c>
      <c r="DE253" s="511" t="str">
        <f>IF(DE5="A","",+DB253-DE70-DE200+DE592)</f>
        <v/>
      </c>
      <c r="DF253" s="513" t="str">
        <f>IF(DF5="A","",+DE253-DF70-DF200+DF592)</f>
        <v/>
      </c>
      <c r="DG253" s="510" t="str">
        <f t="shared" si="855"/>
        <v/>
      </c>
      <c r="DH253" s="1257" t="str">
        <f>IF(DH5="A","",+DE253-DH70-DH200+DH592)</f>
        <v/>
      </c>
      <c r="DI253" s="482" t="str">
        <f>IF(DI5="A","",+DH253-DI70-DI200+DI592)</f>
        <v/>
      </c>
      <c r="DJ253" s="482" t="str">
        <f t="shared" si="856"/>
        <v/>
      </c>
      <c r="DK253" s="1244" t="str">
        <f>IF(DK5="A","",+DH253-DK70-DK200+DK592)</f>
        <v/>
      </c>
      <c r="DL253" s="482" t="str">
        <f>IF(DL5="A","",+DK253-DL70-DL200+DL592)</f>
        <v/>
      </c>
      <c r="DM253" s="482" t="str">
        <f t="shared" si="857"/>
        <v/>
      </c>
      <c r="DN253" s="1244" t="str">
        <f>IF(DN5="A","",+DK253-DN70-DN200+DN592)</f>
        <v/>
      </c>
      <c r="DO253" s="482" t="str">
        <f>IF(DO5="A","",+DN253-DO70-DO200+DO592)</f>
        <v/>
      </c>
      <c r="DP253" s="482" t="str">
        <f t="shared" si="858"/>
        <v/>
      </c>
      <c r="DQ253" s="1244" t="str">
        <f>IF(DQ5="A","",+DN253-DQ70-DQ200+DQ592)</f>
        <v/>
      </c>
      <c r="DR253" s="482" t="str">
        <f>IF(DR5="A","",+DQ253-DR70-DR200+DR592)</f>
        <v/>
      </c>
      <c r="DS253" s="482" t="str">
        <f t="shared" si="859"/>
        <v/>
      </c>
      <c r="DT253" s="1244" t="str">
        <f>IF(DT5="A","",+DQ253-DT70-DT200+DT592)</f>
        <v/>
      </c>
      <c r="DU253" s="482" t="str">
        <f>IF(DU5="A","",+DT253-DU70-DU200+DU592)</f>
        <v/>
      </c>
      <c r="DV253" s="482" t="str">
        <f t="shared" si="860"/>
        <v/>
      </c>
      <c r="DW253" s="1244" t="str">
        <f>IF(DW5="A","",+DT253-DW70-DW200+DW592)</f>
        <v/>
      </c>
      <c r="DX253" s="482" t="str">
        <f>IF(DX5="A","",+DW253-DX70-DX200+DX592)</f>
        <v/>
      </c>
      <c r="DY253" s="482">
        <f t="shared" si="861"/>
        <v>0</v>
      </c>
      <c r="DZ253" s="1244">
        <f>IF(DZ5="A","",+DW253-DZ70-DZ200+DZ592)</f>
        <v>0</v>
      </c>
      <c r="EA253" s="482">
        <f>IF(EA5="A","",+DZ253-EA70-EA200+EA592)</f>
        <v>0</v>
      </c>
      <c r="EB253" s="482">
        <f t="shared" si="862"/>
        <v>0</v>
      </c>
      <c r="EC253" s="1244">
        <f>IF(EC5="A","",+DZ253-EC70-EC200+EC592)</f>
        <v>0</v>
      </c>
      <c r="ED253" s="482">
        <f>IF(ED5="A","",+EC253-ED70-ED200+ED592)</f>
        <v>0</v>
      </c>
      <c r="EE253" s="482">
        <f t="shared" si="863"/>
        <v>0</v>
      </c>
      <c r="EF253" s="1244">
        <f>IF(EF5="A","",+EC253-EF70-EF200+EF592)</f>
        <v>0</v>
      </c>
      <c r="EG253" s="482">
        <f>IF(EG5="A","",+EF253-EG70-EG200+EG592)</f>
        <v>0</v>
      </c>
      <c r="EH253" s="482">
        <f t="shared" si="864"/>
        <v>0</v>
      </c>
      <c r="EI253" s="1244">
        <f>IF(EI5="A","",+EF253-EI70-EI200+EI592)</f>
        <v>0</v>
      </c>
      <c r="EJ253" s="482">
        <f>IF(EJ5="A","",+EI253-EJ70-EJ200+EJ592)</f>
        <v>0</v>
      </c>
      <c r="EK253" s="482">
        <f t="shared" si="865"/>
        <v>0</v>
      </c>
      <c r="EL253" s="1244">
        <f>IF(EL5="A","",+EI253-EL70-EL200+EL592)</f>
        <v>0</v>
      </c>
      <c r="EM253" s="482">
        <f>IF(EM5="A","",+EL253-EM70-EM200+EM592)</f>
        <v>0</v>
      </c>
      <c r="EN253" s="482">
        <f t="shared" si="866"/>
        <v>0</v>
      </c>
      <c r="EO253" s="1244">
        <f>IF(EO5="A","",+EL253-EO70-EO200+EO592)</f>
        <v>0</v>
      </c>
      <c r="EP253" s="482">
        <f>IF(EP5="A","",+EO253-EP70-EP200+EP592)</f>
        <v>0</v>
      </c>
      <c r="EQ253" s="482">
        <f t="shared" si="867"/>
        <v>0</v>
      </c>
      <c r="ER253" s="1244">
        <f>IF(ER5="A","",+EO253-ER70-ER200+ER592)</f>
        <v>0</v>
      </c>
      <c r="ES253" s="482">
        <f>IF(ES5="A","",+ER253-ES70-ES200+ES592)</f>
        <v>0</v>
      </c>
      <c r="ET253" s="482">
        <f t="shared" si="868"/>
        <v>0</v>
      </c>
      <c r="EU253" s="1244">
        <f>IF(EU5="A","",+ER253-EU70-EU200+EU592)</f>
        <v>0</v>
      </c>
      <c r="EV253" s="482">
        <f>IF(EV5="A","",+EU253-EV70-EV200+EV592)</f>
        <v>0</v>
      </c>
      <c r="EW253" s="482">
        <f t="shared" si="869"/>
        <v>0</v>
      </c>
      <c r="EX253" s="1244">
        <f>IF(EX5="A","",+EU253-EX70-EX200+EX592)</f>
        <v>0</v>
      </c>
      <c r="EY253" s="482">
        <f>IF(EY5="A","",+EX253-EY70-EY200+EY592)</f>
        <v>0</v>
      </c>
      <c r="EZ253" s="482">
        <f t="shared" si="870"/>
        <v>0</v>
      </c>
      <c r="FA253" s="1244">
        <f>IF(FA5="A","",+EX253-FA70-FA200+FA592)</f>
        <v>0</v>
      </c>
      <c r="FB253" s="1571"/>
      <c r="FE253"/>
      <c r="FF253"/>
      <c r="FG253"/>
      <c r="FH253"/>
      <c r="FI253"/>
      <c r="FJ253"/>
      <c r="FK253" s="35"/>
    </row>
    <row r="254" spans="2:167" s="236" customFormat="1" ht="13.35" customHeight="1" outlineLevel="1" thickBot="1">
      <c r="B254" s="242" t="s">
        <v>133</v>
      </c>
      <c r="C254" s="242" t="s">
        <v>496</v>
      </c>
      <c r="D254" s="243"/>
      <c r="E254" s="528"/>
      <c r="F254" s="482">
        <f t="shared" si="820"/>
        <v>0</v>
      </c>
      <c r="G254" s="529"/>
      <c r="H254" s="530"/>
      <c r="I254" s="482">
        <f t="shared" si="821"/>
        <v>0</v>
      </c>
      <c r="J254" s="529"/>
      <c r="K254" s="530"/>
      <c r="L254" s="482">
        <f t="shared" si="822"/>
        <v>0</v>
      </c>
      <c r="M254" s="529"/>
      <c r="N254" s="530"/>
      <c r="O254" s="482">
        <f t="shared" si="823"/>
        <v>0</v>
      </c>
      <c r="P254" s="529"/>
      <c r="Q254" s="530"/>
      <c r="R254" s="482">
        <f t="shared" si="824"/>
        <v>0</v>
      </c>
      <c r="S254" s="529"/>
      <c r="T254" s="530"/>
      <c r="U254" s="482">
        <f t="shared" si="825"/>
        <v>0</v>
      </c>
      <c r="V254" s="529"/>
      <c r="W254" s="530"/>
      <c r="X254" s="482">
        <f t="shared" si="826"/>
        <v>0</v>
      </c>
      <c r="Y254" s="529"/>
      <c r="Z254" s="530"/>
      <c r="AA254" s="482">
        <f t="shared" si="827"/>
        <v>0</v>
      </c>
      <c r="AB254" s="529"/>
      <c r="AC254" s="530"/>
      <c r="AD254" s="482">
        <f t="shared" si="828"/>
        <v>0</v>
      </c>
      <c r="AE254" s="529"/>
      <c r="AF254" s="530"/>
      <c r="AG254" s="482">
        <f t="shared" si="829"/>
        <v>0</v>
      </c>
      <c r="AH254" s="529"/>
      <c r="AI254" s="530"/>
      <c r="AJ254" s="482">
        <f t="shared" si="830"/>
        <v>0</v>
      </c>
      <c r="AK254" s="529"/>
      <c r="AL254" s="530"/>
      <c r="AM254" s="482">
        <f t="shared" si="831"/>
        <v>0</v>
      </c>
      <c r="AN254" s="529"/>
      <c r="AO254" s="530"/>
      <c r="AP254" s="482">
        <f t="shared" si="832"/>
        <v>0</v>
      </c>
      <c r="AQ254" s="529"/>
      <c r="AR254" s="530"/>
      <c r="AS254" s="482">
        <f t="shared" si="833"/>
        <v>0</v>
      </c>
      <c r="AT254" s="529"/>
      <c r="AU254" s="530"/>
      <c r="AV254" s="482">
        <f t="shared" si="834"/>
        <v>0</v>
      </c>
      <c r="AW254" s="529"/>
      <c r="AX254" s="531">
        <v>0</v>
      </c>
      <c r="AY254" s="482">
        <f t="shared" si="835"/>
        <v>0</v>
      </c>
      <c r="AZ254" s="532">
        <v>0</v>
      </c>
      <c r="BA254" s="531">
        <v>0</v>
      </c>
      <c r="BB254" s="482">
        <f t="shared" si="836"/>
        <v>0</v>
      </c>
      <c r="BC254" s="532">
        <v>0</v>
      </c>
      <c r="BD254" s="531">
        <v>0</v>
      </c>
      <c r="BE254" s="482">
        <f t="shared" si="837"/>
        <v>0</v>
      </c>
      <c r="BF254" s="532">
        <v>0</v>
      </c>
      <c r="BG254" s="531">
        <v>0</v>
      </c>
      <c r="BH254" s="482">
        <f t="shared" si="838"/>
        <v>0</v>
      </c>
      <c r="BI254" s="532">
        <v>0</v>
      </c>
      <c r="BJ254" s="531">
        <v>0</v>
      </c>
      <c r="BK254" s="482">
        <f t="shared" si="839"/>
        <v>0</v>
      </c>
      <c r="BL254" s="532">
        <v>0</v>
      </c>
      <c r="BM254" s="530" t="str">
        <f>IF(BM5="A","",+BL254-BM63-BM201)</f>
        <v/>
      </c>
      <c r="BN254" s="482" t="str">
        <f t="shared" si="840"/>
        <v/>
      </c>
      <c r="BO254" s="528" t="str">
        <f>IF(BO5="A","",+BL254-BO63-BO201)</f>
        <v/>
      </c>
      <c r="BP254" s="530" t="str">
        <f>IF(BP5="A","",+BO254-BP63-BP201)</f>
        <v/>
      </c>
      <c r="BQ254" s="482" t="str">
        <f t="shared" si="841"/>
        <v/>
      </c>
      <c r="BR254" s="528" t="str">
        <f>IF(BR5="A","",+BO254-BR63-BR201)</f>
        <v/>
      </c>
      <c r="BS254" s="530" t="str">
        <f>IF(BS5="A","",+BR254-BS63-BS201)</f>
        <v/>
      </c>
      <c r="BT254" s="482" t="str">
        <f t="shared" si="842"/>
        <v/>
      </c>
      <c r="BU254" s="528" t="str">
        <f>IF(BU5="A","",+BR254-BU63-BU201)</f>
        <v/>
      </c>
      <c r="BV254" s="530" t="str">
        <f>IF(BV5="A","",+BU254-BV63-BV201)</f>
        <v/>
      </c>
      <c r="BW254" s="482" t="str">
        <f t="shared" si="843"/>
        <v/>
      </c>
      <c r="BX254" s="528" t="str">
        <f>IF(BX5="A","",+BU254-BX63-BX201)</f>
        <v/>
      </c>
      <c r="BY254" s="530" t="str">
        <f>IF(BY5="A","",+BX254-BY63-BY201)</f>
        <v/>
      </c>
      <c r="BZ254" s="482" t="str">
        <f t="shared" si="844"/>
        <v/>
      </c>
      <c r="CA254" s="528" t="str">
        <f>IF(CA5="A","",+BX254-CA63-CA201)</f>
        <v/>
      </c>
      <c r="CB254" s="530" t="str">
        <f>IF(CB5="A","",+CA254-CB63-CB201)</f>
        <v/>
      </c>
      <c r="CC254" s="482" t="str">
        <f t="shared" si="845"/>
        <v/>
      </c>
      <c r="CD254" s="528" t="str">
        <f>IF(CD5="A","",+CA254-CD63-CD201)</f>
        <v/>
      </c>
      <c r="CE254" s="530" t="str">
        <f>IF(CE5="A","",+CD254-CE63-CE201)</f>
        <v/>
      </c>
      <c r="CF254" s="482" t="str">
        <f t="shared" si="846"/>
        <v/>
      </c>
      <c r="CG254" s="528" t="str">
        <f>IF(CG5="A","",+CD254-CG63-CG201)</f>
        <v/>
      </c>
      <c r="CH254" s="530" t="str">
        <f>IF(CH5="A","",+CG254-CH63-CH201)</f>
        <v/>
      </c>
      <c r="CI254" s="482" t="str">
        <f t="shared" si="847"/>
        <v/>
      </c>
      <c r="CJ254" s="528" t="str">
        <f>IF(CJ5="A","",+CG254-CJ63-CJ201)</f>
        <v/>
      </c>
      <c r="CK254" s="530" t="str">
        <f>IF(CK5="A","",+CJ254-CK63-CK201)</f>
        <v/>
      </c>
      <c r="CL254" s="482" t="str">
        <f t="shared" si="848"/>
        <v/>
      </c>
      <c r="CM254" s="528" t="str">
        <f>IF(CM5="A","",+CJ254-CM63-CM201)</f>
        <v/>
      </c>
      <c r="CN254" s="530" t="str">
        <f>IF(CN5="A","",+CM254-CN63-CN201)</f>
        <v/>
      </c>
      <c r="CO254" s="482" t="str">
        <f t="shared" si="849"/>
        <v/>
      </c>
      <c r="CP254" s="528" t="str">
        <f>IF(CP5="A","",+CM254-CP63-CP201)</f>
        <v/>
      </c>
      <c r="CQ254" s="530" t="str">
        <f>IF(CQ5="A","",+CP254-CQ63-CQ201)</f>
        <v/>
      </c>
      <c r="CR254" s="482" t="str">
        <f t="shared" si="850"/>
        <v/>
      </c>
      <c r="CS254" s="528" t="str">
        <f>IF(CS5="A","",+CP254-CS63-CS201)</f>
        <v/>
      </c>
      <c r="CT254" s="530" t="str">
        <f>IF(CT5="A","",+CS254-CT63-CT201)</f>
        <v/>
      </c>
      <c r="CU254" s="482" t="str">
        <f t="shared" si="851"/>
        <v/>
      </c>
      <c r="CV254" s="528" t="str">
        <f>IF(CV5="A","",+CS254-CV63-CV201)</f>
        <v/>
      </c>
      <c r="CW254" s="530" t="str">
        <f>IF(CW5="A","",+CV254-CW63-CW201)</f>
        <v/>
      </c>
      <c r="CX254" s="482" t="str">
        <f t="shared" si="852"/>
        <v/>
      </c>
      <c r="CY254" s="528" t="str">
        <f>IF(CY5="A","",+CV254-CY63-CY201)</f>
        <v/>
      </c>
      <c r="CZ254" s="530" t="str">
        <f>IF(CZ5="A","",+CY254-CZ63-CZ201)</f>
        <v/>
      </c>
      <c r="DA254" s="482">
        <f t="shared" si="853"/>
        <v>345.3</v>
      </c>
      <c r="DB254" s="528">
        <v>345.3</v>
      </c>
      <c r="DC254" s="530">
        <v>368.8</v>
      </c>
      <c r="DD254" s="482">
        <f t="shared" si="854"/>
        <v>424.4</v>
      </c>
      <c r="DE254" s="549">
        <v>424.4</v>
      </c>
      <c r="DF254" s="531">
        <v>428.2</v>
      </c>
      <c r="DG254" s="528">
        <f>B_NCA_Brand_20</f>
        <v>410.3</v>
      </c>
      <c r="DH254" s="1372">
        <v>410.3</v>
      </c>
      <c r="DI254" s="1373">
        <v>407.3</v>
      </c>
      <c r="DJ254" s="482">
        <f t="shared" si="856"/>
        <v>402.8</v>
      </c>
      <c r="DK254" s="1374">
        <v>402.8</v>
      </c>
      <c r="DL254" s="1373">
        <v>388.3</v>
      </c>
      <c r="DM254" s="482">
        <f t="shared" si="857"/>
        <v>392.5</v>
      </c>
      <c r="DN254" s="1374">
        <v>392.5</v>
      </c>
      <c r="DO254" s="1373">
        <v>408.3</v>
      </c>
      <c r="DP254" s="482">
        <f t="shared" si="858"/>
        <v>444.1</v>
      </c>
      <c r="DQ254" s="1374">
        <v>444.1</v>
      </c>
      <c r="DR254" s="1373">
        <v>458.7</v>
      </c>
      <c r="DS254" s="482">
        <f t="shared" si="859"/>
        <v>451</v>
      </c>
      <c r="DT254" s="1374">
        <v>451</v>
      </c>
      <c r="DU254" s="1373">
        <v>467.8</v>
      </c>
      <c r="DV254" s="482">
        <f t="shared" si="860"/>
        <v>500.8</v>
      </c>
      <c r="DW254" s="1374">
        <v>500.8</v>
      </c>
      <c r="DX254" s="1373">
        <v>505.1</v>
      </c>
      <c r="DY254" s="482">
        <f>+DX254</f>
        <v>505.1</v>
      </c>
      <c r="DZ254" s="1244">
        <f>IF(DZ5="A","",+DX254-DY63-DY201)</f>
        <v>505.1</v>
      </c>
      <c r="EA254" s="482">
        <f>IF(EA5="A","",+DZ254-EA63-EA201)</f>
        <v>505.1</v>
      </c>
      <c r="EB254" s="482">
        <f t="shared" si="862"/>
        <v>505.1</v>
      </c>
      <c r="EC254" s="1244">
        <f>IF(EC5="A","",+DZ254-EC63-EC201)</f>
        <v>505.1</v>
      </c>
      <c r="ED254" s="482">
        <f>IF(ED5="A","",+EC254-ED63-ED201)</f>
        <v>505.1</v>
      </c>
      <c r="EE254" s="482">
        <f t="shared" si="863"/>
        <v>505.1</v>
      </c>
      <c r="EF254" s="1244">
        <f>IF(EF5="A","",+EC254-EF63-EF201)</f>
        <v>505.1</v>
      </c>
      <c r="EG254" s="482">
        <f>IF(EG5="A","",+EF254-EG63-EG201)</f>
        <v>505.1</v>
      </c>
      <c r="EH254" s="482">
        <f t="shared" si="864"/>
        <v>505.1</v>
      </c>
      <c r="EI254" s="1244">
        <f>IF(EI5="A","",+EF254-EI63-EI201)</f>
        <v>505.1</v>
      </c>
      <c r="EJ254" s="482">
        <f>IF(EJ5="A","",+EI254-EJ63-EJ201)</f>
        <v>505.1</v>
      </c>
      <c r="EK254" s="482">
        <f t="shared" si="865"/>
        <v>505.1</v>
      </c>
      <c r="EL254" s="1244">
        <f>IF(EL5="A","",+EI254-EL63-EL201)</f>
        <v>505.1</v>
      </c>
      <c r="EM254" s="482">
        <f>IF(EM5="A","",+EL254-EM63-EM201)</f>
        <v>505.1</v>
      </c>
      <c r="EN254" s="482">
        <f t="shared" si="866"/>
        <v>505.1</v>
      </c>
      <c r="EO254" s="1244">
        <f>IF(EO5="A","",+EL254-EO63-EO201)</f>
        <v>505.1</v>
      </c>
      <c r="EP254" s="482">
        <f>IF(EP5="A","",+EO254-EP63-EP201)</f>
        <v>505.1</v>
      </c>
      <c r="EQ254" s="482">
        <f t="shared" si="867"/>
        <v>505.1</v>
      </c>
      <c r="ER254" s="1244">
        <f>IF(ER5="A","",+EO254-ER63-ER201)</f>
        <v>505.1</v>
      </c>
      <c r="ES254" s="482">
        <f>IF(ES5="A","",+ER254-ES63-ES201)</f>
        <v>505.1</v>
      </c>
      <c r="ET254" s="482">
        <f t="shared" si="868"/>
        <v>505.1</v>
      </c>
      <c r="EU254" s="1244">
        <f>IF(EU5="A","",+ER254-EU63-EU201)</f>
        <v>505.1</v>
      </c>
      <c r="EV254" s="482">
        <f>IF(EV5="A","",+EU254-EV63-EV201)</f>
        <v>505.1</v>
      </c>
      <c r="EW254" s="482">
        <f t="shared" si="869"/>
        <v>505.1</v>
      </c>
      <c r="EX254" s="1244">
        <f>IF(EX5="A","",+EU254-EX63-EX201)</f>
        <v>505.1</v>
      </c>
      <c r="EY254" s="482">
        <f>IF(EY5="A","",+EX254-EY63-EY201)</f>
        <v>505.1</v>
      </c>
      <c r="EZ254" s="482">
        <f t="shared" si="870"/>
        <v>505.1</v>
      </c>
      <c r="FA254" s="1244">
        <f>IF(FA5="A","",+EX254-FA63-FA201)</f>
        <v>505.1</v>
      </c>
      <c r="FB254" s="1571"/>
      <c r="FE254"/>
      <c r="FF254"/>
      <c r="FG254"/>
      <c r="FH254"/>
      <c r="FI254"/>
      <c r="FJ254"/>
      <c r="FK254" s="35"/>
    </row>
    <row r="255" spans="2:167" s="236" customFormat="1" ht="12.6" customHeight="1" outlineLevel="1" thickBot="1">
      <c r="B255" s="242" t="s">
        <v>134</v>
      </c>
      <c r="C255" s="242" t="s">
        <v>496</v>
      </c>
      <c r="D255" s="243"/>
      <c r="E255" s="482">
        <f>+SUM(E256:E257)</f>
        <v>0</v>
      </c>
      <c r="F255" s="482">
        <f t="shared" si="820"/>
        <v>0</v>
      </c>
      <c r="G255" s="482">
        <f>+SUM(G256:G257)</f>
        <v>0</v>
      </c>
      <c r="H255" s="482">
        <f>+SUM(H256:H257)</f>
        <v>0</v>
      </c>
      <c r="I255" s="482">
        <f t="shared" si="821"/>
        <v>0</v>
      </c>
      <c r="J255" s="482">
        <f>+SUM(J256:J257)</f>
        <v>0</v>
      </c>
      <c r="K255" s="482">
        <f>+SUM(K256:K257)</f>
        <v>0</v>
      </c>
      <c r="L255" s="482">
        <f t="shared" si="822"/>
        <v>0</v>
      </c>
      <c r="M255" s="482">
        <f>+SUM(M256:M257)</f>
        <v>0</v>
      </c>
      <c r="N255" s="482">
        <f>+SUM(N256:N257)</f>
        <v>0</v>
      </c>
      <c r="O255" s="482">
        <f t="shared" si="823"/>
        <v>0</v>
      </c>
      <c r="P255" s="482">
        <f>+SUM(P256:P257)</f>
        <v>0</v>
      </c>
      <c r="Q255" s="482">
        <f>+SUM(Q256:Q257)</f>
        <v>0</v>
      </c>
      <c r="R255" s="482">
        <f t="shared" si="824"/>
        <v>0</v>
      </c>
      <c r="S255" s="482">
        <f>+SUM(S256:S257)</f>
        <v>0</v>
      </c>
      <c r="T255" s="482">
        <f>+SUM(T256:T257)</f>
        <v>0</v>
      </c>
      <c r="U255" s="482">
        <f t="shared" si="825"/>
        <v>0</v>
      </c>
      <c r="V255" s="482">
        <f>+SUM(V256:V257)</f>
        <v>0</v>
      </c>
      <c r="W255" s="482">
        <f>+SUM(W256:W257)</f>
        <v>0</v>
      </c>
      <c r="X255" s="482">
        <f t="shared" si="826"/>
        <v>0</v>
      </c>
      <c r="Y255" s="482">
        <f>+SUM(Y256:Y257)</f>
        <v>0</v>
      </c>
      <c r="Z255" s="482">
        <f>+SUM(Z256:Z257)</f>
        <v>0</v>
      </c>
      <c r="AA255" s="482">
        <f t="shared" si="827"/>
        <v>0</v>
      </c>
      <c r="AB255" s="482">
        <f>+SUM(AB256:AB257)</f>
        <v>0</v>
      </c>
      <c r="AC255" s="482">
        <f>+SUM(AC256:AC257)</f>
        <v>0</v>
      </c>
      <c r="AD255" s="482">
        <f t="shared" si="828"/>
        <v>0</v>
      </c>
      <c r="AE255" s="482">
        <f>+SUM(AE256:AE257)</f>
        <v>0</v>
      </c>
      <c r="AF255" s="482">
        <f>+SUM(AF256:AF257)</f>
        <v>0</v>
      </c>
      <c r="AG255" s="482">
        <f t="shared" si="829"/>
        <v>0</v>
      </c>
      <c r="AH255" s="482">
        <f>+SUM(AH256:AH257)</f>
        <v>0</v>
      </c>
      <c r="AI255" s="482">
        <f>+SUM(AI256:AI257)</f>
        <v>0</v>
      </c>
      <c r="AJ255" s="482">
        <f t="shared" si="830"/>
        <v>0</v>
      </c>
      <c r="AK255" s="482">
        <f>+SUM(AK256:AK257)</f>
        <v>0</v>
      </c>
      <c r="AL255" s="482">
        <f>+SUM(AL256:AL257)</f>
        <v>0</v>
      </c>
      <c r="AM255" s="482">
        <f t="shared" si="831"/>
        <v>0</v>
      </c>
      <c r="AN255" s="482">
        <f>+SUM(AN256:AN257)</f>
        <v>0</v>
      </c>
      <c r="AO255" s="482">
        <f>+SUM(AO256:AO257)</f>
        <v>0</v>
      </c>
      <c r="AP255" s="482">
        <f t="shared" si="832"/>
        <v>0</v>
      </c>
      <c r="AQ255" s="482">
        <f>+SUM(AQ256:AQ257)</f>
        <v>0</v>
      </c>
      <c r="AR255" s="482">
        <f>+SUM(AR256:AR257)</f>
        <v>0</v>
      </c>
      <c r="AS255" s="482">
        <f t="shared" si="833"/>
        <v>0</v>
      </c>
      <c r="AT255" s="482">
        <f>+SUM(AT256:AT257)</f>
        <v>0</v>
      </c>
      <c r="AU255" s="482">
        <f>+SUM(AU256:AU257)</f>
        <v>0</v>
      </c>
      <c r="AV255" s="482">
        <f t="shared" si="834"/>
        <v>0</v>
      </c>
      <c r="AW255" s="482">
        <f>+SUM(AW256:AW257)</f>
        <v>0</v>
      </c>
      <c r="AX255" s="482">
        <f>+SUM(AX256:AX257)</f>
        <v>0</v>
      </c>
      <c r="AY255" s="482">
        <f t="shared" si="835"/>
        <v>0</v>
      </c>
      <c r="AZ255" s="482">
        <f>+SUM(AZ256:AZ257)</f>
        <v>0</v>
      </c>
      <c r="BA255" s="482">
        <f>+SUM(BA256:BA257)</f>
        <v>0</v>
      </c>
      <c r="BB255" s="482">
        <f t="shared" si="836"/>
        <v>0</v>
      </c>
      <c r="BC255" s="482">
        <f>+SUM(BC256:BC257)</f>
        <v>0</v>
      </c>
      <c r="BD255" s="482">
        <f>+SUM(BD256:BD257)</f>
        <v>0</v>
      </c>
      <c r="BE255" s="482">
        <f t="shared" si="837"/>
        <v>0</v>
      </c>
      <c r="BF255" s="482">
        <f>+SUM(BF256:BF257)</f>
        <v>0</v>
      </c>
      <c r="BG255" s="482">
        <f>+SUM(BG256:BG257)</f>
        <v>0</v>
      </c>
      <c r="BH255" s="482">
        <f t="shared" si="838"/>
        <v>0</v>
      </c>
      <c r="BI255" s="482">
        <f>+SUM(BI256:BI257)</f>
        <v>0</v>
      </c>
      <c r="BJ255" s="482">
        <f>+SUM(BJ256:BJ257)</f>
        <v>6.8090000000000002</v>
      </c>
      <c r="BK255" s="482">
        <f t="shared" si="839"/>
        <v>7.19</v>
      </c>
      <c r="BL255" s="482">
        <f>+SUM(BL256:BL257)</f>
        <v>7.19</v>
      </c>
      <c r="BM255" s="482">
        <f>+SUM(BM256:BM257)</f>
        <v>0</v>
      </c>
      <c r="BN255" s="482">
        <f t="shared" si="840"/>
        <v>0</v>
      </c>
      <c r="BO255" s="482">
        <f>+SUM(BO256:BO257)</f>
        <v>0</v>
      </c>
      <c r="BP255" s="482">
        <f>+SUM(BP256:BP257)</f>
        <v>0</v>
      </c>
      <c r="BQ255" s="482">
        <f t="shared" si="841"/>
        <v>0</v>
      </c>
      <c r="BR255" s="482">
        <f>+SUM(BR256:BR257)</f>
        <v>0</v>
      </c>
      <c r="BS255" s="482">
        <f>+SUM(BS256:BS257)</f>
        <v>0</v>
      </c>
      <c r="BT255" s="482">
        <f t="shared" si="842"/>
        <v>0</v>
      </c>
      <c r="BU255" s="482">
        <f>+SUM(BU256:BU257)</f>
        <v>0</v>
      </c>
      <c r="BV255" s="482">
        <f>+SUM(BV256:BV257)</f>
        <v>0</v>
      </c>
      <c r="BW255" s="482">
        <f t="shared" si="843"/>
        <v>26.557999999999993</v>
      </c>
      <c r="BX255" s="482">
        <f>208.959-B_NCA_GW_08</f>
        <v>26.557999999999993</v>
      </c>
      <c r="BY255" s="482">
        <f>+SUM(BY256:BY257)</f>
        <v>0</v>
      </c>
      <c r="BZ255" s="482">
        <f t="shared" si="844"/>
        <v>34.676000000000016</v>
      </c>
      <c r="CA255" s="482">
        <f>208.275-B_NCA_GW_09</f>
        <v>34.676000000000016</v>
      </c>
      <c r="CB255" s="482">
        <f>+SUM(CB256:CB257)</f>
        <v>53.271000000000001</v>
      </c>
      <c r="CC255" s="482">
        <f t="shared" si="845"/>
        <v>51.962000000000003</v>
      </c>
      <c r="CD255" s="482">
        <f>+SUM(CD256:CD257)</f>
        <v>51.962000000000003</v>
      </c>
      <c r="CE255" s="482">
        <f>+SUM(CE256:CE257)</f>
        <v>50.844000000000001</v>
      </c>
      <c r="CF255" s="482">
        <f t="shared" si="846"/>
        <v>0</v>
      </c>
      <c r="CG255" s="482">
        <f>+SUM(CG256:CG257)</f>
        <v>0</v>
      </c>
      <c r="CH255" s="482">
        <f>+SUM(CH256:CH257)</f>
        <v>42</v>
      </c>
      <c r="CI255" s="482">
        <f t="shared" si="847"/>
        <v>50.494999999999997</v>
      </c>
      <c r="CJ255" s="482">
        <f>+SUM(CJ256:CJ257)</f>
        <v>50.494999999999997</v>
      </c>
      <c r="CK255" s="482">
        <f>+SUM(CK256:CK257)</f>
        <v>61.570999999999998</v>
      </c>
      <c r="CL255" s="482">
        <f t="shared" si="848"/>
        <v>63.015000000000001</v>
      </c>
      <c r="CM255" s="482">
        <f>+SUM(CM256:CM257)</f>
        <v>63.015000000000001</v>
      </c>
      <c r="CN255" s="482">
        <f>+SUM(CN256:CN257)</f>
        <v>63.015000000000001</v>
      </c>
      <c r="CO255" s="482">
        <f t="shared" si="849"/>
        <v>0</v>
      </c>
      <c r="CP255" s="482">
        <f>+SUM(CP256:CP257)</f>
        <v>0</v>
      </c>
      <c r="CQ255" s="482">
        <f>+SUM(CQ256:CQ257)</f>
        <v>0</v>
      </c>
      <c r="CR255" s="482">
        <f t="shared" si="850"/>
        <v>0</v>
      </c>
      <c r="CS255" s="482">
        <f>+SUM(CS256:CS257)</f>
        <v>0</v>
      </c>
      <c r="CT255" s="482">
        <f>+SUM(CT256:CT257)</f>
        <v>0</v>
      </c>
      <c r="CU255" s="482">
        <f t="shared" si="851"/>
        <v>0</v>
      </c>
      <c r="CV255" s="482">
        <f>+SUM(CV256:CV257)</f>
        <v>0</v>
      </c>
      <c r="CW255" s="482">
        <f>+SUM(CW256:CW257)</f>
        <v>0</v>
      </c>
      <c r="CX255" s="482">
        <f t="shared" si="852"/>
        <v>0</v>
      </c>
      <c r="CY255" s="482">
        <f>+SUM(CY256:CY257)</f>
        <v>0</v>
      </c>
      <c r="CZ255" s="482">
        <f>+SUM(CZ256:CZ257)</f>
        <v>0</v>
      </c>
      <c r="DA255" s="482">
        <f t="shared" si="853"/>
        <v>0</v>
      </c>
      <c r="DB255" s="482">
        <f>+SUM(DB256:DB257)</f>
        <v>0</v>
      </c>
      <c r="DC255" s="482">
        <f>+SUM(DC256:DC257)</f>
        <v>0</v>
      </c>
      <c r="DD255" s="482">
        <f t="shared" si="854"/>
        <v>0</v>
      </c>
      <c r="DE255" s="482">
        <f>+SUM(DE256:DE257)</f>
        <v>0</v>
      </c>
      <c r="DF255" s="482">
        <f>+SUM(DF256:DF257)</f>
        <v>0</v>
      </c>
      <c r="DG255" s="482">
        <f t="shared" si="855"/>
        <v>0</v>
      </c>
      <c r="DH255" s="1244">
        <f>+SUM(DH256:DH257)</f>
        <v>0</v>
      </c>
      <c r="DI255" s="482">
        <f>+SUM(DI256:DI257)</f>
        <v>0</v>
      </c>
      <c r="DJ255" s="482">
        <f t="shared" si="856"/>
        <v>0</v>
      </c>
      <c r="DK255" s="1244">
        <f>+SUM(DK256:DK257)</f>
        <v>0</v>
      </c>
      <c r="DL255" s="482">
        <f>+SUM(DL256:DL257)</f>
        <v>0</v>
      </c>
      <c r="DM255" s="482">
        <f t="shared" si="857"/>
        <v>0</v>
      </c>
      <c r="DN255" s="1244">
        <f>+SUM(DN256:DN257)</f>
        <v>0</v>
      </c>
      <c r="DO255" s="482">
        <f>+SUM(DO256:DO257)</f>
        <v>0</v>
      </c>
      <c r="DP255" s="482">
        <f t="shared" si="858"/>
        <v>0</v>
      </c>
      <c r="DQ255" s="1244">
        <f>+SUM(DQ256:DQ257)</f>
        <v>0</v>
      </c>
      <c r="DR255" s="482">
        <f>+SUM(DR256:DR257)</f>
        <v>0</v>
      </c>
      <c r="DS255" s="482">
        <f t="shared" si="859"/>
        <v>0</v>
      </c>
      <c r="DT255" s="1244">
        <f>+SUM(DT256:DT257)</f>
        <v>0</v>
      </c>
      <c r="DU255" s="482">
        <f>+SUM(DU256:DU257)</f>
        <v>0</v>
      </c>
      <c r="DV255" s="482">
        <f t="shared" si="860"/>
        <v>0</v>
      </c>
      <c r="DW255" s="1244">
        <f>+SUM(DW256:DW257)</f>
        <v>0</v>
      </c>
      <c r="DX255" s="482">
        <f>+SUM(DX256:DX257)</f>
        <v>0</v>
      </c>
      <c r="DY255" s="482">
        <f t="shared" si="861"/>
        <v>0</v>
      </c>
      <c r="DZ255" s="1244">
        <f>+SUM(DZ256:DZ257)</f>
        <v>0</v>
      </c>
      <c r="EA255" s="482">
        <f>+SUM(EA256:EA257)</f>
        <v>0</v>
      </c>
      <c r="EB255" s="482">
        <f t="shared" si="862"/>
        <v>0</v>
      </c>
      <c r="EC255" s="1244">
        <f>+SUM(EC256:EC257)</f>
        <v>0</v>
      </c>
      <c r="ED255" s="482">
        <f>+SUM(ED256:ED257)</f>
        <v>0</v>
      </c>
      <c r="EE255" s="482">
        <f t="shared" si="863"/>
        <v>0</v>
      </c>
      <c r="EF255" s="1244">
        <f>+SUM(EF256:EF257)</f>
        <v>0</v>
      </c>
      <c r="EG255" s="482">
        <f>+SUM(EG256:EG257)</f>
        <v>0</v>
      </c>
      <c r="EH255" s="482">
        <f t="shared" si="864"/>
        <v>0</v>
      </c>
      <c r="EI255" s="1244">
        <f>+SUM(EI256:EI257)</f>
        <v>0</v>
      </c>
      <c r="EJ255" s="482">
        <f>+SUM(EJ256:EJ257)</f>
        <v>0</v>
      </c>
      <c r="EK255" s="482">
        <f t="shared" si="865"/>
        <v>0</v>
      </c>
      <c r="EL255" s="1244">
        <f>+SUM(EL256:EL257)</f>
        <v>0</v>
      </c>
      <c r="EM255" s="482">
        <f>+SUM(EM256:EM257)</f>
        <v>0</v>
      </c>
      <c r="EN255" s="482">
        <f t="shared" si="866"/>
        <v>0</v>
      </c>
      <c r="EO255" s="1244">
        <f>+SUM(EO256:EO257)</f>
        <v>0</v>
      </c>
      <c r="EP255" s="482">
        <f>+SUM(EP256:EP257)</f>
        <v>0</v>
      </c>
      <c r="EQ255" s="482">
        <f t="shared" si="867"/>
        <v>0</v>
      </c>
      <c r="ER255" s="1244">
        <f>+SUM(ER256:ER257)</f>
        <v>0</v>
      </c>
      <c r="ES255" s="482">
        <f>+SUM(ES256:ES257)</f>
        <v>0</v>
      </c>
      <c r="ET255" s="482">
        <f t="shared" si="868"/>
        <v>0</v>
      </c>
      <c r="EU255" s="1244">
        <f>+SUM(EU256:EU257)</f>
        <v>0</v>
      </c>
      <c r="EV255" s="482">
        <f>+SUM(EV256:EV257)</f>
        <v>0</v>
      </c>
      <c r="EW255" s="482">
        <f t="shared" si="869"/>
        <v>0</v>
      </c>
      <c r="EX255" s="1244">
        <f>+SUM(EX256:EX257)</f>
        <v>0</v>
      </c>
      <c r="EY255" s="482">
        <f>+SUM(EY256:EY257)</f>
        <v>0</v>
      </c>
      <c r="EZ255" s="482">
        <f t="shared" si="870"/>
        <v>0</v>
      </c>
      <c r="FA255" s="1244">
        <f>+SUM(FA256:FA257)</f>
        <v>0</v>
      </c>
      <c r="FB255" s="1571"/>
      <c r="FE255"/>
      <c r="FF255"/>
      <c r="FG255"/>
      <c r="FH255"/>
      <c r="FI255"/>
      <c r="FJ255"/>
      <c r="FK255" s="35"/>
    </row>
    <row r="256" spans="2:167" s="236" customFormat="1" ht="12.6" customHeight="1" outlineLevel="2">
      <c r="B256" s="242" t="s">
        <v>135</v>
      </c>
      <c r="C256" s="242" t="s">
        <v>496</v>
      </c>
      <c r="D256" s="243"/>
      <c r="E256" s="511"/>
      <c r="F256" s="510">
        <f t="shared" si="820"/>
        <v>0</v>
      </c>
      <c r="G256" s="512"/>
      <c r="H256" s="513"/>
      <c r="I256" s="510">
        <f t="shared" si="821"/>
        <v>0</v>
      </c>
      <c r="J256" s="512"/>
      <c r="K256" s="513"/>
      <c r="L256" s="510">
        <f t="shared" si="822"/>
        <v>0</v>
      </c>
      <c r="M256" s="512"/>
      <c r="N256" s="513"/>
      <c r="O256" s="510">
        <f t="shared" si="823"/>
        <v>0</v>
      </c>
      <c r="P256" s="512"/>
      <c r="Q256" s="513"/>
      <c r="R256" s="510">
        <f t="shared" si="824"/>
        <v>0</v>
      </c>
      <c r="S256" s="512"/>
      <c r="T256" s="513"/>
      <c r="U256" s="510">
        <f t="shared" si="825"/>
        <v>0</v>
      </c>
      <c r="V256" s="512"/>
      <c r="W256" s="513"/>
      <c r="X256" s="510">
        <f t="shared" si="826"/>
        <v>0</v>
      </c>
      <c r="Y256" s="512"/>
      <c r="Z256" s="513"/>
      <c r="AA256" s="510">
        <f t="shared" si="827"/>
        <v>0</v>
      </c>
      <c r="AB256" s="512"/>
      <c r="AC256" s="513"/>
      <c r="AD256" s="510">
        <f t="shared" si="828"/>
        <v>0</v>
      </c>
      <c r="AE256" s="512"/>
      <c r="AF256" s="513"/>
      <c r="AG256" s="510">
        <f t="shared" si="829"/>
        <v>0</v>
      </c>
      <c r="AH256" s="512"/>
      <c r="AI256" s="513"/>
      <c r="AJ256" s="510">
        <f t="shared" si="830"/>
        <v>0</v>
      </c>
      <c r="AK256" s="512"/>
      <c r="AL256" s="513"/>
      <c r="AM256" s="510">
        <f t="shared" si="831"/>
        <v>0</v>
      </c>
      <c r="AN256" s="512"/>
      <c r="AO256" s="513"/>
      <c r="AP256" s="510">
        <f t="shared" si="832"/>
        <v>0</v>
      </c>
      <c r="AQ256" s="512"/>
      <c r="AR256" s="513"/>
      <c r="AS256" s="510">
        <f t="shared" si="833"/>
        <v>0</v>
      </c>
      <c r="AT256" s="512"/>
      <c r="AU256" s="513"/>
      <c r="AV256" s="510">
        <f t="shared" si="834"/>
        <v>0</v>
      </c>
      <c r="AW256" s="512"/>
      <c r="AX256" s="514">
        <v>0</v>
      </c>
      <c r="AY256" s="510">
        <f t="shared" si="835"/>
        <v>0</v>
      </c>
      <c r="AZ256" s="515">
        <v>0</v>
      </c>
      <c r="BA256" s="514">
        <v>0</v>
      </c>
      <c r="BB256" s="510">
        <f t="shared" si="836"/>
        <v>0</v>
      </c>
      <c r="BC256" s="515">
        <v>0</v>
      </c>
      <c r="BD256" s="514">
        <v>0</v>
      </c>
      <c r="BE256" s="510">
        <f t="shared" si="837"/>
        <v>0</v>
      </c>
      <c r="BF256" s="515">
        <v>0</v>
      </c>
      <c r="BG256" s="514">
        <v>0</v>
      </c>
      <c r="BH256" s="510">
        <f t="shared" si="838"/>
        <v>0</v>
      </c>
      <c r="BI256" s="515">
        <v>0</v>
      </c>
      <c r="BJ256" s="514">
        <v>6.8090000000000002</v>
      </c>
      <c r="BK256" s="510">
        <f t="shared" si="839"/>
        <v>7.19</v>
      </c>
      <c r="BL256" s="515">
        <v>7.19</v>
      </c>
      <c r="BM256" s="514">
        <v>0</v>
      </c>
      <c r="BN256" s="510">
        <f t="shared" si="840"/>
        <v>0</v>
      </c>
      <c r="BO256" s="511">
        <f>BM256</f>
        <v>0</v>
      </c>
      <c r="BP256" s="513">
        <f>BO256</f>
        <v>0</v>
      </c>
      <c r="BQ256" s="510">
        <f t="shared" si="841"/>
        <v>0</v>
      </c>
      <c r="BR256" s="511">
        <f>BP256</f>
        <v>0</v>
      </c>
      <c r="BS256" s="513">
        <f>BR256</f>
        <v>0</v>
      </c>
      <c r="BT256" s="510">
        <f t="shared" si="842"/>
        <v>0</v>
      </c>
      <c r="BU256" s="511">
        <f>BS256</f>
        <v>0</v>
      </c>
      <c r="BV256" s="513">
        <f>BU256</f>
        <v>0</v>
      </c>
      <c r="BW256" s="510">
        <f t="shared" si="843"/>
        <v>0</v>
      </c>
      <c r="BX256" s="511">
        <f>BV256</f>
        <v>0</v>
      </c>
      <c r="BY256" s="513">
        <f>BX256</f>
        <v>0</v>
      </c>
      <c r="BZ256" s="510">
        <f t="shared" si="844"/>
        <v>0</v>
      </c>
      <c r="CA256" s="511">
        <f>BY256</f>
        <v>0</v>
      </c>
      <c r="CB256" s="513">
        <f>CA256</f>
        <v>0</v>
      </c>
      <c r="CC256" s="510">
        <f t="shared" si="845"/>
        <v>0</v>
      </c>
      <c r="CD256" s="511">
        <f>CB256</f>
        <v>0</v>
      </c>
      <c r="CE256" s="513">
        <f>CD256</f>
        <v>0</v>
      </c>
      <c r="CF256" s="510">
        <f t="shared" si="846"/>
        <v>0</v>
      </c>
      <c r="CG256" s="511">
        <f>CE256</f>
        <v>0</v>
      </c>
      <c r="CH256" s="513">
        <f>CG256</f>
        <v>0</v>
      </c>
      <c r="CI256" s="510">
        <f t="shared" si="847"/>
        <v>0</v>
      </c>
      <c r="CJ256" s="511">
        <f>CH256</f>
        <v>0</v>
      </c>
      <c r="CK256" s="513">
        <f>CJ256</f>
        <v>0</v>
      </c>
      <c r="CL256" s="510">
        <f t="shared" si="848"/>
        <v>0</v>
      </c>
      <c r="CM256" s="511">
        <f>CK256</f>
        <v>0</v>
      </c>
      <c r="CN256" s="513">
        <f>CM256</f>
        <v>0</v>
      </c>
      <c r="CO256" s="510">
        <f t="shared" si="849"/>
        <v>0</v>
      </c>
      <c r="CP256" s="548">
        <v>0</v>
      </c>
      <c r="CQ256" s="513">
        <f>CP256</f>
        <v>0</v>
      </c>
      <c r="CR256" s="510">
        <f t="shared" si="850"/>
        <v>0</v>
      </c>
      <c r="CS256" s="511">
        <f>CQ256</f>
        <v>0</v>
      </c>
      <c r="CT256" s="513">
        <f>CS256</f>
        <v>0</v>
      </c>
      <c r="CU256" s="510">
        <f t="shared" si="851"/>
        <v>0</v>
      </c>
      <c r="CV256" s="511">
        <f>CT256</f>
        <v>0</v>
      </c>
      <c r="CW256" s="513">
        <f>CV256</f>
        <v>0</v>
      </c>
      <c r="CX256" s="510">
        <f t="shared" si="852"/>
        <v>0</v>
      </c>
      <c r="CY256" s="511">
        <f>CW256</f>
        <v>0</v>
      </c>
      <c r="CZ256" s="513">
        <f>CY256</f>
        <v>0</v>
      </c>
      <c r="DA256" s="510">
        <f t="shared" si="853"/>
        <v>0</v>
      </c>
      <c r="DB256" s="511">
        <f>CZ256</f>
        <v>0</v>
      </c>
      <c r="DC256" s="513">
        <f>DB256</f>
        <v>0</v>
      </c>
      <c r="DD256" s="510">
        <f t="shared" si="854"/>
        <v>0</v>
      </c>
      <c r="DE256" s="511">
        <f>DC256</f>
        <v>0</v>
      </c>
      <c r="DF256" s="513">
        <f>DE256</f>
        <v>0</v>
      </c>
      <c r="DG256" s="510">
        <f t="shared" si="855"/>
        <v>0</v>
      </c>
      <c r="DH256" s="1257">
        <f>DF256</f>
        <v>0</v>
      </c>
      <c r="DI256" s="482">
        <f>DH256</f>
        <v>0</v>
      </c>
      <c r="DJ256" s="482">
        <f t="shared" si="856"/>
        <v>0</v>
      </c>
      <c r="DK256" s="1244">
        <v>0</v>
      </c>
      <c r="DL256" s="482">
        <f>DK256</f>
        <v>0</v>
      </c>
      <c r="DM256" s="482">
        <f t="shared" si="857"/>
        <v>0</v>
      </c>
      <c r="DN256" s="1244">
        <f>DL256</f>
        <v>0</v>
      </c>
      <c r="DO256" s="482">
        <f>DN256</f>
        <v>0</v>
      </c>
      <c r="DP256" s="482">
        <f t="shared" si="858"/>
        <v>0</v>
      </c>
      <c r="DQ256" s="1244">
        <f>DO256</f>
        <v>0</v>
      </c>
      <c r="DR256" s="482">
        <f>DQ256</f>
        <v>0</v>
      </c>
      <c r="DS256" s="482">
        <f t="shared" si="859"/>
        <v>0</v>
      </c>
      <c r="DT256" s="1244">
        <f>DR256</f>
        <v>0</v>
      </c>
      <c r="DU256" s="482">
        <f>DT256</f>
        <v>0</v>
      </c>
      <c r="DV256" s="482">
        <f t="shared" si="860"/>
        <v>0</v>
      </c>
      <c r="DW256" s="1244">
        <f>DU256</f>
        <v>0</v>
      </c>
      <c r="DX256" s="482">
        <f>DW256</f>
        <v>0</v>
      </c>
      <c r="DY256" s="482">
        <f t="shared" si="861"/>
        <v>0</v>
      </c>
      <c r="DZ256" s="1244">
        <f>DX256</f>
        <v>0</v>
      </c>
      <c r="EA256" s="482">
        <f>DZ256</f>
        <v>0</v>
      </c>
      <c r="EB256" s="482">
        <f t="shared" si="862"/>
        <v>0</v>
      </c>
      <c r="EC256" s="1244">
        <f>EA256</f>
        <v>0</v>
      </c>
      <c r="ED256" s="482">
        <f>EC256</f>
        <v>0</v>
      </c>
      <c r="EE256" s="482">
        <f t="shared" si="863"/>
        <v>0</v>
      </c>
      <c r="EF256" s="1244">
        <f>ED256</f>
        <v>0</v>
      </c>
      <c r="EG256" s="482">
        <f>EF256</f>
        <v>0</v>
      </c>
      <c r="EH256" s="482">
        <f t="shared" si="864"/>
        <v>0</v>
      </c>
      <c r="EI256" s="1244">
        <f>EG256</f>
        <v>0</v>
      </c>
      <c r="EJ256" s="482">
        <f>EI256</f>
        <v>0</v>
      </c>
      <c r="EK256" s="482">
        <f t="shared" si="865"/>
        <v>0</v>
      </c>
      <c r="EL256" s="1244">
        <f>EJ256</f>
        <v>0</v>
      </c>
      <c r="EM256" s="482">
        <f>EL256</f>
        <v>0</v>
      </c>
      <c r="EN256" s="482">
        <f t="shared" si="866"/>
        <v>0</v>
      </c>
      <c r="EO256" s="1244">
        <f>EM256</f>
        <v>0</v>
      </c>
      <c r="EP256" s="482">
        <f>EO256</f>
        <v>0</v>
      </c>
      <c r="EQ256" s="482">
        <f t="shared" si="867"/>
        <v>0</v>
      </c>
      <c r="ER256" s="1244">
        <f>EP256</f>
        <v>0</v>
      </c>
      <c r="ES256" s="482">
        <f>ER256</f>
        <v>0</v>
      </c>
      <c r="ET256" s="482">
        <f t="shared" si="868"/>
        <v>0</v>
      </c>
      <c r="EU256" s="1244">
        <f>ES256</f>
        <v>0</v>
      </c>
      <c r="EV256" s="482">
        <f>EU256</f>
        <v>0</v>
      </c>
      <c r="EW256" s="482">
        <f t="shared" si="869"/>
        <v>0</v>
      </c>
      <c r="EX256" s="1244">
        <f>EV256</f>
        <v>0</v>
      </c>
      <c r="EY256" s="482">
        <f>EX256</f>
        <v>0</v>
      </c>
      <c r="EZ256" s="482">
        <f t="shared" si="870"/>
        <v>0</v>
      </c>
      <c r="FA256" s="1244">
        <f>EY256</f>
        <v>0</v>
      </c>
      <c r="FB256" s="1571"/>
      <c r="FE256"/>
      <c r="FF256"/>
      <c r="FG256"/>
      <c r="FH256"/>
      <c r="FI256"/>
      <c r="FJ256"/>
      <c r="FK256" s="35"/>
    </row>
    <row r="257" spans="2:167" s="236" customFormat="1" ht="12.6" customHeight="1" outlineLevel="2" thickBot="1">
      <c r="B257" s="242" t="s">
        <v>814</v>
      </c>
      <c r="C257" s="242" t="s">
        <v>496</v>
      </c>
      <c r="D257" s="243"/>
      <c r="E257" s="528"/>
      <c r="F257" s="510">
        <f t="shared" si="820"/>
        <v>0</v>
      </c>
      <c r="G257" s="529"/>
      <c r="H257" s="530"/>
      <c r="I257" s="510">
        <f t="shared" si="821"/>
        <v>0</v>
      </c>
      <c r="J257" s="529"/>
      <c r="K257" s="530"/>
      <c r="L257" s="510">
        <f t="shared" si="822"/>
        <v>0</v>
      </c>
      <c r="M257" s="529"/>
      <c r="N257" s="530"/>
      <c r="O257" s="510">
        <f t="shared" si="823"/>
        <v>0</v>
      </c>
      <c r="P257" s="529"/>
      <c r="Q257" s="530"/>
      <c r="R257" s="510">
        <f t="shared" si="824"/>
        <v>0</v>
      </c>
      <c r="S257" s="529"/>
      <c r="T257" s="530"/>
      <c r="U257" s="510">
        <f t="shared" si="825"/>
        <v>0</v>
      </c>
      <c r="V257" s="529"/>
      <c r="W257" s="530"/>
      <c r="X257" s="510">
        <f t="shared" si="826"/>
        <v>0</v>
      </c>
      <c r="Y257" s="529"/>
      <c r="Z257" s="530"/>
      <c r="AA257" s="510">
        <f t="shared" si="827"/>
        <v>0</v>
      </c>
      <c r="AB257" s="529"/>
      <c r="AC257" s="530"/>
      <c r="AD257" s="510">
        <f t="shared" si="828"/>
        <v>0</v>
      </c>
      <c r="AE257" s="529"/>
      <c r="AF257" s="530"/>
      <c r="AG257" s="510">
        <f t="shared" si="829"/>
        <v>0</v>
      </c>
      <c r="AH257" s="529"/>
      <c r="AI257" s="530"/>
      <c r="AJ257" s="510">
        <f t="shared" si="830"/>
        <v>0</v>
      </c>
      <c r="AK257" s="529"/>
      <c r="AL257" s="530"/>
      <c r="AM257" s="510">
        <f t="shared" si="831"/>
        <v>0</v>
      </c>
      <c r="AN257" s="529"/>
      <c r="AO257" s="530"/>
      <c r="AP257" s="510">
        <f t="shared" si="832"/>
        <v>0</v>
      </c>
      <c r="AQ257" s="529"/>
      <c r="AR257" s="530"/>
      <c r="AS257" s="510">
        <f t="shared" si="833"/>
        <v>0</v>
      </c>
      <c r="AT257" s="529"/>
      <c r="AU257" s="530"/>
      <c r="AV257" s="510">
        <f t="shared" si="834"/>
        <v>0</v>
      </c>
      <c r="AW257" s="529"/>
      <c r="AX257" s="531">
        <v>0</v>
      </c>
      <c r="AY257" s="510">
        <f t="shared" si="835"/>
        <v>0</v>
      </c>
      <c r="AZ257" s="532">
        <v>0</v>
      </c>
      <c r="BA257" s="531">
        <v>0</v>
      </c>
      <c r="BB257" s="510">
        <f t="shared" si="836"/>
        <v>0</v>
      </c>
      <c r="BC257" s="532">
        <v>0</v>
      </c>
      <c r="BD257" s="531">
        <v>0</v>
      </c>
      <c r="BE257" s="510">
        <f t="shared" si="837"/>
        <v>0</v>
      </c>
      <c r="BF257" s="532">
        <v>0</v>
      </c>
      <c r="BG257" s="531">
        <v>0</v>
      </c>
      <c r="BH257" s="510">
        <f t="shared" si="838"/>
        <v>0</v>
      </c>
      <c r="BI257" s="532">
        <v>0</v>
      </c>
      <c r="BJ257" s="531">
        <v>0</v>
      </c>
      <c r="BK257" s="510">
        <f t="shared" si="839"/>
        <v>0</v>
      </c>
      <c r="BL257" s="532">
        <v>0</v>
      </c>
      <c r="BM257" s="530" t="str">
        <f>IF(BM5="A","",+BL255-BM66-BM67-BM202)</f>
        <v/>
      </c>
      <c r="BN257" s="510">
        <f t="shared" si="840"/>
        <v>0</v>
      </c>
      <c r="BO257" s="549">
        <v>0</v>
      </c>
      <c r="BP257" s="530" t="str">
        <f>IF(BP5="A","",+BO255-BP66-BP67-BP202)</f>
        <v/>
      </c>
      <c r="BQ257" s="510" t="str">
        <f t="shared" si="841"/>
        <v/>
      </c>
      <c r="BR257" s="528" t="str">
        <f>IF(BR5="A","",+BO255-BR66-BR67-BR202)</f>
        <v/>
      </c>
      <c r="BS257" s="530" t="str">
        <f>IF(BS5="A","",+BR255-BS66-BS67-BS202)</f>
        <v/>
      </c>
      <c r="BT257" s="510" t="str">
        <f t="shared" si="842"/>
        <v/>
      </c>
      <c r="BU257" s="528" t="str">
        <f>IF(BU5="A","",+BR255-BU66-BU67-BU202)</f>
        <v/>
      </c>
      <c r="BV257" s="530" t="str">
        <f>IF(BV5="A","",+BU255-BV66-BV67-BV202)</f>
        <v/>
      </c>
      <c r="BW257" s="510">
        <f t="shared" si="843"/>
        <v>0</v>
      </c>
      <c r="BX257" s="528"/>
      <c r="BY257" s="530" t="str">
        <f>IF(BY5="A","",+BX255-BY66-BY67-BY202)</f>
        <v/>
      </c>
      <c r="BZ257" s="510">
        <f t="shared" si="844"/>
        <v>0</v>
      </c>
      <c r="CA257" s="549">
        <v>0</v>
      </c>
      <c r="CB257" s="531">
        <v>53.271000000000001</v>
      </c>
      <c r="CC257" s="510">
        <f t="shared" si="845"/>
        <v>51.962000000000003</v>
      </c>
      <c r="CD257" s="549">
        <v>51.962000000000003</v>
      </c>
      <c r="CE257" s="531">
        <v>50.844000000000001</v>
      </c>
      <c r="CF257" s="510" t="str">
        <f t="shared" si="846"/>
        <v/>
      </c>
      <c r="CG257" s="528" t="str">
        <f>IF(CG5="A","",+CD255-CG66-CG67-CG202)</f>
        <v/>
      </c>
      <c r="CH257" s="531">
        <v>42</v>
      </c>
      <c r="CI257" s="510">
        <f t="shared" si="847"/>
        <v>50.494999999999997</v>
      </c>
      <c r="CJ257" s="549">
        <v>50.494999999999997</v>
      </c>
      <c r="CK257" s="531">
        <v>61.570999999999998</v>
      </c>
      <c r="CL257" s="510">
        <f t="shared" si="848"/>
        <v>63.015000000000001</v>
      </c>
      <c r="CM257" s="528">
        <f>34.078+27.327+1.61</f>
        <v>63.015000000000001</v>
      </c>
      <c r="CN257" s="530">
        <f>B_NCA_OthInt_13</f>
        <v>63.015000000000001</v>
      </c>
      <c r="CO257" s="510">
        <f t="shared" si="849"/>
        <v>0</v>
      </c>
      <c r="CP257" s="549">
        <v>0</v>
      </c>
      <c r="CQ257" s="530" t="str">
        <f>IF(CQ5="A","",+CP255-CQ66-CQ67-CQ202)</f>
        <v/>
      </c>
      <c r="CR257" s="510" t="str">
        <f t="shared" si="850"/>
        <v/>
      </c>
      <c r="CS257" s="528" t="str">
        <f>IF(CS5="A","",+CP255-CS66-CS67-CS202)</f>
        <v/>
      </c>
      <c r="CT257" s="530" t="str">
        <f>IF(CT5="A","",+CS255-CT66-CT67-CT202)</f>
        <v/>
      </c>
      <c r="CU257" s="510" t="str">
        <f t="shared" si="851"/>
        <v/>
      </c>
      <c r="CV257" s="528" t="str">
        <f>IF(CV5="A","",+CS255-CV66-CV67-CV202)</f>
        <v/>
      </c>
      <c r="CW257" s="530" t="str">
        <f>IF(CW5="A","",+CV255-CW66-CW67-CW202)</f>
        <v/>
      </c>
      <c r="CX257" s="510" t="str">
        <f t="shared" si="852"/>
        <v/>
      </c>
      <c r="CY257" s="528" t="str">
        <f>IF(CY5="A","",+CV255-CY66-CY67-CY202)</f>
        <v/>
      </c>
      <c r="CZ257" s="530" t="str">
        <f>IF(CZ5="A","",+CY255-CZ66-CZ67-CZ202)</f>
        <v/>
      </c>
      <c r="DA257" s="510" t="str">
        <f t="shared" si="853"/>
        <v/>
      </c>
      <c r="DB257" s="528" t="str">
        <f>IF(DB5="A","",+CY255-DB66-DB67-DB202)</f>
        <v/>
      </c>
      <c r="DC257" s="530" t="str">
        <f>IF(DC5="A","",+DB255-DC66-DC67-DC202)</f>
        <v/>
      </c>
      <c r="DD257" s="510" t="str">
        <f t="shared" si="854"/>
        <v/>
      </c>
      <c r="DE257" s="528" t="str">
        <f>IF(DE5="A","",+DB255-DE66-DE67-DE202)</f>
        <v/>
      </c>
      <c r="DF257" s="530">
        <v>0</v>
      </c>
      <c r="DG257" s="528" t="str">
        <f>IF(DG5="A","",+DF255-DG66-DG67-DG202)</f>
        <v/>
      </c>
      <c r="DH257" s="1260" t="str">
        <f>B_NCA_OthInt_H2_20</f>
        <v/>
      </c>
      <c r="DI257" s="482" t="str">
        <f>IF(DI5="A","",+DH255-DI66-DI67-DI202)</f>
        <v/>
      </c>
      <c r="DJ257" s="482">
        <f t="shared" si="856"/>
        <v>0</v>
      </c>
      <c r="DK257" s="1244">
        <v>0</v>
      </c>
      <c r="DL257" s="482" t="str">
        <f>IF(DL5="A","",+DK255-DL66-DL67-DL202)</f>
        <v/>
      </c>
      <c r="DM257" s="482" t="str">
        <f t="shared" si="857"/>
        <v/>
      </c>
      <c r="DN257" s="1244" t="str">
        <f>IF(DN5="A","",+DK255-DN66-DN67-DN202)</f>
        <v/>
      </c>
      <c r="DO257" s="482" t="str">
        <f>IF(DO5="A","",+DN255-DO66-DO67-DO202)</f>
        <v/>
      </c>
      <c r="DP257" s="482" t="str">
        <f t="shared" si="858"/>
        <v/>
      </c>
      <c r="DQ257" s="1244" t="str">
        <f>IF(DQ5="A","",+DN255-DQ66-DQ67-DQ202)</f>
        <v/>
      </c>
      <c r="DR257" s="482" t="str">
        <f>IF(DR5="A","",+DQ255-DR66-DR67-DR202)</f>
        <v/>
      </c>
      <c r="DS257" s="482" t="str">
        <f t="shared" si="859"/>
        <v/>
      </c>
      <c r="DT257" s="1244" t="str">
        <f>IF(DT5="A","",+DQ255-DT66-DT67-DT202)</f>
        <v/>
      </c>
      <c r="DU257" s="482" t="str">
        <f>IF(DU5="A","",+DT255-DU66-DU67-DU202)</f>
        <v/>
      </c>
      <c r="DV257" s="482" t="str">
        <f t="shared" si="860"/>
        <v/>
      </c>
      <c r="DW257" s="1244" t="str">
        <f>IF(DW5="A","",+DT255-DW66-DW67-DW202)</f>
        <v/>
      </c>
      <c r="DX257" s="482" t="str">
        <f>IF(DX5="A","",+DW255-DX66-DX67-DX202)</f>
        <v/>
      </c>
      <c r="DY257" s="482">
        <f t="shared" si="861"/>
        <v>0</v>
      </c>
      <c r="DZ257" s="1244">
        <f>IF(DZ5="A","",+DW255-DZ66-DZ67-DZ202)</f>
        <v>0</v>
      </c>
      <c r="EA257" s="482">
        <f>IF(EA5="A","",+DZ255-EA66-EA67-EA202)</f>
        <v>0</v>
      </c>
      <c r="EB257" s="482">
        <f t="shared" si="862"/>
        <v>0</v>
      </c>
      <c r="EC257" s="1244">
        <f>IF(EC5="A","",+DZ255-EC66-EC67-EC202)</f>
        <v>0</v>
      </c>
      <c r="ED257" s="482">
        <f>IF(ED5="A","",+EC255-ED66-ED67-ED202)</f>
        <v>0</v>
      </c>
      <c r="EE257" s="482">
        <f t="shared" si="863"/>
        <v>0</v>
      </c>
      <c r="EF257" s="1244">
        <f>IF(EF5="A","",+EC255-EF66-EF67-EF202)</f>
        <v>0</v>
      </c>
      <c r="EG257" s="482">
        <f>IF(EG5="A","",+EF255-EG66-EG67-EG202)</f>
        <v>0</v>
      </c>
      <c r="EH257" s="482">
        <f t="shared" si="864"/>
        <v>0</v>
      </c>
      <c r="EI257" s="1244">
        <f>IF(EI5="A","",+EF255-EI66-EI67-EI202)</f>
        <v>0</v>
      </c>
      <c r="EJ257" s="482">
        <f>IF(EJ5="A","",+EI255-EJ66-EJ67-EJ202)</f>
        <v>0</v>
      </c>
      <c r="EK257" s="482">
        <f t="shared" si="865"/>
        <v>0</v>
      </c>
      <c r="EL257" s="1244">
        <f>IF(EL5="A","",+EI255-EL66-EL67-EL202)</f>
        <v>0</v>
      </c>
      <c r="EM257" s="482">
        <f>IF(EM5="A","",+EL255-EM66-EM67-EM202)</f>
        <v>0</v>
      </c>
      <c r="EN257" s="482">
        <f t="shared" si="866"/>
        <v>0</v>
      </c>
      <c r="EO257" s="1244">
        <f>IF(EO5="A","",+EL255-EO66-EO67-EO202)</f>
        <v>0</v>
      </c>
      <c r="EP257" s="482">
        <f>IF(EP5="A","",+EO255-EP66-EP67-EP202)</f>
        <v>0</v>
      </c>
      <c r="EQ257" s="482">
        <f t="shared" si="867"/>
        <v>0</v>
      </c>
      <c r="ER257" s="1244">
        <f>IF(ER5="A","",+EO255-ER66-ER67-ER202)</f>
        <v>0</v>
      </c>
      <c r="ES257" s="482">
        <f>IF(ES5="A","",+ER255-ES66-ES67-ES202)</f>
        <v>0</v>
      </c>
      <c r="ET257" s="482">
        <f t="shared" si="868"/>
        <v>0</v>
      </c>
      <c r="EU257" s="1244">
        <f>IF(EU5="A","",+ER255-EU66-EU67-EU202)</f>
        <v>0</v>
      </c>
      <c r="EV257" s="482">
        <f>IF(EV5="A","",+EU255-EV66-EV67-EV202)</f>
        <v>0</v>
      </c>
      <c r="EW257" s="482">
        <f t="shared" si="869"/>
        <v>0</v>
      </c>
      <c r="EX257" s="1244">
        <f>IF(EX5="A","",+EU255-EX66-EX67-EX202)</f>
        <v>0</v>
      </c>
      <c r="EY257" s="482">
        <f>IF(EY5="A","",+EX255-EY66-EY67-EY202)</f>
        <v>0</v>
      </c>
      <c r="EZ257" s="482">
        <f t="shared" si="870"/>
        <v>0</v>
      </c>
      <c r="FA257" s="1244">
        <f>IF(FA5="A","",+EX255-FA66-FA67-FA202)</f>
        <v>0</v>
      </c>
      <c r="FB257" s="1571"/>
      <c r="FE257"/>
      <c r="FF257"/>
      <c r="FG257"/>
      <c r="FH257"/>
      <c r="FI257"/>
      <c r="FJ257"/>
      <c r="FK257" s="35"/>
    </row>
    <row r="258" spans="2:167" s="236" customFormat="1" ht="12.6" customHeight="1" thickBot="1">
      <c r="B258" s="242" t="s">
        <v>203</v>
      </c>
      <c r="C258" s="242" t="s">
        <v>496</v>
      </c>
      <c r="D258" s="243"/>
      <c r="E258" s="482">
        <f>+SUM(E259:E261)</f>
        <v>0</v>
      </c>
      <c r="F258" s="482">
        <f t="shared" si="820"/>
        <v>0</v>
      </c>
      <c r="G258" s="482">
        <f>+SUM(G259:G261)</f>
        <v>0</v>
      </c>
      <c r="H258" s="482">
        <f>+SUM(H259:H261)</f>
        <v>0</v>
      </c>
      <c r="I258" s="482">
        <f t="shared" si="821"/>
        <v>0</v>
      </c>
      <c r="J258" s="482">
        <f>+SUM(J259:J261)</f>
        <v>0</v>
      </c>
      <c r="K258" s="482">
        <f>+SUM(K259:K261)</f>
        <v>0</v>
      </c>
      <c r="L258" s="482">
        <f t="shared" si="822"/>
        <v>0</v>
      </c>
      <c r="M258" s="482">
        <f>+SUM(M259:M261)</f>
        <v>0</v>
      </c>
      <c r="N258" s="482">
        <f>+SUM(N259:N261)</f>
        <v>0</v>
      </c>
      <c r="O258" s="482">
        <f t="shared" si="823"/>
        <v>0</v>
      </c>
      <c r="P258" s="482">
        <f>+SUM(P259:P261)</f>
        <v>0</v>
      </c>
      <c r="Q258" s="482">
        <f>+SUM(Q259:Q261)</f>
        <v>0</v>
      </c>
      <c r="R258" s="482">
        <f t="shared" si="824"/>
        <v>0</v>
      </c>
      <c r="S258" s="482">
        <f>+SUM(S259:S261)</f>
        <v>0</v>
      </c>
      <c r="T258" s="482">
        <f>+SUM(T259:T261)</f>
        <v>0</v>
      </c>
      <c r="U258" s="482">
        <f t="shared" si="825"/>
        <v>0</v>
      </c>
      <c r="V258" s="482">
        <f>+SUM(V259:V261)</f>
        <v>0</v>
      </c>
      <c r="W258" s="482">
        <f>+SUM(W259:W261)</f>
        <v>0</v>
      </c>
      <c r="X258" s="482">
        <f t="shared" si="826"/>
        <v>0</v>
      </c>
      <c r="Y258" s="482">
        <f>+SUM(Y259:Y261)</f>
        <v>0</v>
      </c>
      <c r="Z258" s="482">
        <f>+SUM(Z259:Z261)</f>
        <v>0</v>
      </c>
      <c r="AA258" s="482">
        <f t="shared" si="827"/>
        <v>0</v>
      </c>
      <c r="AB258" s="482">
        <f>+SUM(AB259:AB261)</f>
        <v>0</v>
      </c>
      <c r="AC258" s="482">
        <f>+SUM(AC259:AC261)</f>
        <v>0</v>
      </c>
      <c r="AD258" s="482">
        <f t="shared" si="828"/>
        <v>0</v>
      </c>
      <c r="AE258" s="482">
        <f>+SUM(AE259:AE261)</f>
        <v>0</v>
      </c>
      <c r="AF258" s="482">
        <f>+SUM(AF259:AF261)</f>
        <v>0</v>
      </c>
      <c r="AG258" s="482">
        <f t="shared" si="829"/>
        <v>0</v>
      </c>
      <c r="AH258" s="482">
        <f>+SUM(AH259:AH261)</f>
        <v>0</v>
      </c>
      <c r="AI258" s="482">
        <f>+SUM(AI259:AI261)</f>
        <v>5.1470000000000002</v>
      </c>
      <c r="AJ258" s="482">
        <f t="shared" si="830"/>
        <v>5.7960000000000003</v>
      </c>
      <c r="AK258" s="482">
        <f>+SUM(AK259:AK261)</f>
        <v>5.7960000000000003</v>
      </c>
      <c r="AL258" s="482">
        <f>+SUM(AL259:AL261)</f>
        <v>5.6360000000000001</v>
      </c>
      <c r="AM258" s="482">
        <f t="shared" si="831"/>
        <v>6.548</v>
      </c>
      <c r="AN258" s="482">
        <f>+SUM(AN259:AN261)</f>
        <v>6.548</v>
      </c>
      <c r="AO258" s="482">
        <f>+SUM(AO259:AO261)</f>
        <v>6.9729999999999999</v>
      </c>
      <c r="AP258" s="482">
        <f t="shared" si="832"/>
        <v>6.4790000000000001</v>
      </c>
      <c r="AQ258" s="482">
        <f>+SUM(AQ259:AQ261)</f>
        <v>6.4790000000000001</v>
      </c>
      <c r="AR258" s="482">
        <f>+SUM(AR259:AR261)</f>
        <v>7.2489999999999997</v>
      </c>
      <c r="AS258" s="482">
        <f t="shared" si="833"/>
        <v>9.4789999999999992</v>
      </c>
      <c r="AT258" s="482">
        <f>+SUM(AT259:AT261)</f>
        <v>9.4789999999999992</v>
      </c>
      <c r="AU258" s="482">
        <f>+SUM(AU259:AU261)</f>
        <v>10.98</v>
      </c>
      <c r="AV258" s="482">
        <f t="shared" si="834"/>
        <v>11.362</v>
      </c>
      <c r="AW258" s="482">
        <f>+SUM(AW259:AW261)</f>
        <v>11.362</v>
      </c>
      <c r="AX258" s="482">
        <f>+SUM(AX259:AX261)</f>
        <v>11.583</v>
      </c>
      <c r="AY258" s="482">
        <f t="shared" si="835"/>
        <v>11.026</v>
      </c>
      <c r="AZ258" s="482">
        <f>+SUM(AZ259:AZ261)</f>
        <v>11.026</v>
      </c>
      <c r="BA258" s="482">
        <f>+SUM(BA259:BA261)</f>
        <v>13.195</v>
      </c>
      <c r="BB258" s="482">
        <f t="shared" si="836"/>
        <v>9.8179999999999996</v>
      </c>
      <c r="BC258" s="482">
        <f>+SUM(BC259:BC261)</f>
        <v>9.8179999999999996</v>
      </c>
      <c r="BD258" s="482">
        <f>+SUM(BD259:BD261)</f>
        <v>10.244999999999999</v>
      </c>
      <c r="BE258" s="482">
        <f t="shared" si="837"/>
        <v>12.109</v>
      </c>
      <c r="BF258" s="482">
        <f>+SUM(BF259:BF261)</f>
        <v>12.109</v>
      </c>
      <c r="BG258" s="482">
        <f>+SUM(BG259:BG261)</f>
        <v>14.446</v>
      </c>
      <c r="BH258" s="482">
        <f t="shared" si="838"/>
        <v>13.965</v>
      </c>
      <c r="BI258" s="482">
        <f>+SUM(BI259:BI261)</f>
        <v>13.965</v>
      </c>
      <c r="BJ258" s="482">
        <f>+SUM(BJ259:BJ261)</f>
        <v>11.092000000000001</v>
      </c>
      <c r="BK258" s="482">
        <f t="shared" si="839"/>
        <v>17.791</v>
      </c>
      <c r="BL258" s="482">
        <f>+SUM(BL259:BL261)</f>
        <v>17.791</v>
      </c>
      <c r="BM258" s="482">
        <f>+SUM(BM259:BM261)</f>
        <v>19.466000000000001</v>
      </c>
      <c r="BN258" s="482">
        <f t="shared" si="840"/>
        <v>22.463999999999999</v>
      </c>
      <c r="BO258" s="482">
        <f>+SUM(BO259:BO261)</f>
        <v>22.463999999999999</v>
      </c>
      <c r="BP258" s="482">
        <f>+SUM(BP259:BP261)</f>
        <v>26.61</v>
      </c>
      <c r="BQ258" s="482">
        <f t="shared" si="841"/>
        <v>30.266999999999999</v>
      </c>
      <c r="BR258" s="482">
        <f>+SUM(BR259:BR261)</f>
        <v>30.266999999999999</v>
      </c>
      <c r="BS258" s="482">
        <f>+SUM(BS259:BS261)</f>
        <v>29.751000000000001</v>
      </c>
      <c r="BT258" s="482">
        <f t="shared" si="842"/>
        <v>18.510999999999999</v>
      </c>
      <c r="BU258" s="482">
        <f>+SUM(BU259:BU261)</f>
        <v>18.510999999999999</v>
      </c>
      <c r="BV258" s="482">
        <f>+SUM(BV259:BV261)</f>
        <v>29.888999999999999</v>
      </c>
      <c r="BW258" s="482">
        <f t="shared" si="843"/>
        <v>17.678999999999998</v>
      </c>
      <c r="BX258" s="482">
        <f>+SUM(BX259:BX261)</f>
        <v>17.678999999999998</v>
      </c>
      <c r="BY258" s="482">
        <f>+SUM(BY259:BY261)</f>
        <v>70.319999999999993</v>
      </c>
      <c r="BZ258" s="482">
        <f t="shared" si="844"/>
        <v>21.899000000000001</v>
      </c>
      <c r="CA258" s="482">
        <f>+SUM(CA259:CA261)</f>
        <v>21.899000000000001</v>
      </c>
      <c r="CB258" s="482">
        <f>+SUM(CB259:CB261)</f>
        <v>22.097999999999999</v>
      </c>
      <c r="CC258" s="482">
        <f t="shared" si="845"/>
        <v>17.251999999999999</v>
      </c>
      <c r="CD258" s="482">
        <f>+SUM(CD259:CD261)</f>
        <v>17.251999999999999</v>
      </c>
      <c r="CE258" s="482">
        <f>+SUM(CE259:CE261)</f>
        <v>15.02</v>
      </c>
      <c r="CF258" s="482">
        <f t="shared" si="846"/>
        <v>16.071999999999999</v>
      </c>
      <c r="CG258" s="482">
        <f>+SUM(CG259:CG261)</f>
        <v>16.071999999999999</v>
      </c>
      <c r="CH258" s="482">
        <f>+SUM(CH259:CH261)</f>
        <v>37.718000000000004</v>
      </c>
      <c r="CI258" s="482">
        <f t="shared" si="847"/>
        <v>0</v>
      </c>
      <c r="CJ258" s="482">
        <f>+SUM(CJ259:CJ261)</f>
        <v>0</v>
      </c>
      <c r="CK258" s="482">
        <f>+SUM(CK259:CK261)</f>
        <v>42.232999999999997</v>
      </c>
      <c r="CL258" s="482">
        <f t="shared" si="848"/>
        <v>56.662999999999997</v>
      </c>
      <c r="CM258" s="482">
        <f>+SUM(CM259:CM261)</f>
        <v>56.662999999999997</v>
      </c>
      <c r="CN258" s="482">
        <f>+SUM(CN259:CN261)</f>
        <v>65.888999999999996</v>
      </c>
      <c r="CO258" s="482">
        <f t="shared" si="849"/>
        <v>52.761000000000003</v>
      </c>
      <c r="CP258" s="482">
        <f>+SUM(CP259:CP261)</f>
        <v>52.761000000000003</v>
      </c>
      <c r="CQ258" s="482">
        <f>+SUM(CQ259:CQ261)</f>
        <v>72.403000000000006</v>
      </c>
      <c r="CR258" s="482">
        <f t="shared" si="850"/>
        <v>68.716999999999999</v>
      </c>
      <c r="CS258" s="482">
        <f>+SUM(CS259:CS261)</f>
        <v>68.716999999999999</v>
      </c>
      <c r="CT258" s="482">
        <f>+SUM(CT259:CT261)</f>
        <v>78.557000000000002</v>
      </c>
      <c r="CU258" s="482">
        <f t="shared" si="851"/>
        <v>77.144000000000005</v>
      </c>
      <c r="CV258" s="482">
        <f>+SUM(CV259:CV261)</f>
        <v>77.144000000000005</v>
      </c>
      <c r="CW258" s="482">
        <f>+SUM(CW259:CW261)</f>
        <v>85.126999999999995</v>
      </c>
      <c r="CX258" s="482">
        <f t="shared" si="852"/>
        <v>66.585999999999999</v>
      </c>
      <c r="CY258" s="482">
        <f>+SUM(CY259:CY261)</f>
        <v>66.585999999999999</v>
      </c>
      <c r="CZ258" s="482">
        <f>+SUM(CZ259:CZ261)</f>
        <v>74.8</v>
      </c>
      <c r="DA258" s="482">
        <f t="shared" si="853"/>
        <v>80.7</v>
      </c>
      <c r="DB258" s="482">
        <f>+SUM(DB259:DB261)</f>
        <v>80.7</v>
      </c>
      <c r="DC258" s="482">
        <f>+SUM(DC259:DC261)</f>
        <v>97</v>
      </c>
      <c r="DD258" s="482">
        <f t="shared" si="854"/>
        <v>100.1</v>
      </c>
      <c r="DE258" s="482">
        <f>+SUM(DE259:DE261)</f>
        <v>100.1</v>
      </c>
      <c r="DF258" s="482">
        <f>+SUM(DF259:DF261)</f>
        <v>108.3</v>
      </c>
      <c r="DG258" s="482">
        <f t="shared" si="855"/>
        <v>147.1</v>
      </c>
      <c r="DH258" s="1244">
        <f>+SUM(DH259:DH261)</f>
        <v>147.1</v>
      </c>
      <c r="DI258" s="482">
        <f>+SUM(DI259:DI261)</f>
        <v>179.8</v>
      </c>
      <c r="DJ258" s="482">
        <f t="shared" si="856"/>
        <v>146.80000000000001</v>
      </c>
      <c r="DK258" s="1244">
        <f>+SUM(DK259:DK261)</f>
        <v>146.80000000000001</v>
      </c>
      <c r="DL258" s="482">
        <f>+SUM(DL259:DL261)</f>
        <v>165.5</v>
      </c>
      <c r="DM258" s="482">
        <f t="shared" si="857"/>
        <v>116.1</v>
      </c>
      <c r="DN258" s="1244">
        <f>+SUM(DN259:DN261)</f>
        <v>116.1</v>
      </c>
      <c r="DO258" s="482">
        <f>+SUM(DO259:DO261)</f>
        <v>128.5</v>
      </c>
      <c r="DP258" s="482">
        <f t="shared" si="858"/>
        <v>128.80000000000001</v>
      </c>
      <c r="DQ258" s="1244">
        <f>+SUM(DQ259:DQ261)</f>
        <v>128.80000000000001</v>
      </c>
      <c r="DR258" s="482">
        <f>+SUM(DR259:DR261)</f>
        <v>130.30000000000001</v>
      </c>
      <c r="DS258" s="482">
        <f t="shared" si="859"/>
        <v>141.6</v>
      </c>
      <c r="DT258" s="1244">
        <f>+SUM(DT259:DT261)</f>
        <v>141.6</v>
      </c>
      <c r="DU258" s="482">
        <f>+SUM(DU259:DU261)</f>
        <v>173.1</v>
      </c>
      <c r="DV258" s="482">
        <f t="shared" si="860"/>
        <v>170.7</v>
      </c>
      <c r="DW258" s="1244">
        <f>+SUM(DW259:DW261)</f>
        <v>170.7</v>
      </c>
      <c r="DX258" s="482">
        <f>+SUM(DX259:DX261)</f>
        <v>298.79999999999995</v>
      </c>
      <c r="DY258" s="482">
        <f t="shared" si="861"/>
        <v>298.79999999999995</v>
      </c>
      <c r="DZ258" s="1244">
        <f>+SUM(DZ259:DZ261)</f>
        <v>298.79999999999995</v>
      </c>
      <c r="EA258" s="482">
        <f>+SUM(EA259:EA261)</f>
        <v>298.79999999999995</v>
      </c>
      <c r="EB258" s="482">
        <f t="shared" si="862"/>
        <v>298.79999999999995</v>
      </c>
      <c r="EC258" s="1244">
        <f>+SUM(EC259:EC261)</f>
        <v>298.79999999999995</v>
      </c>
      <c r="ED258" s="482">
        <f>+SUM(ED259:ED261)</f>
        <v>298.79999999999995</v>
      </c>
      <c r="EE258" s="482">
        <f t="shared" si="863"/>
        <v>298.79999999999995</v>
      </c>
      <c r="EF258" s="1244">
        <f>+SUM(EF259:EF261)</f>
        <v>298.79999999999995</v>
      </c>
      <c r="EG258" s="482">
        <f>+SUM(EG259:EG261)</f>
        <v>298.79999999999995</v>
      </c>
      <c r="EH258" s="482">
        <f t="shared" si="864"/>
        <v>298.79999999999995</v>
      </c>
      <c r="EI258" s="1244">
        <f>+SUM(EI259:EI261)</f>
        <v>298.79999999999995</v>
      </c>
      <c r="EJ258" s="482">
        <f>+SUM(EJ259:EJ261)</f>
        <v>298.79999999999995</v>
      </c>
      <c r="EK258" s="482">
        <f t="shared" si="865"/>
        <v>298.79999999999995</v>
      </c>
      <c r="EL258" s="1244">
        <f>+SUM(EL259:EL261)</f>
        <v>298.79999999999995</v>
      </c>
      <c r="EM258" s="482">
        <f>+SUM(EM259:EM261)</f>
        <v>298.79999999999995</v>
      </c>
      <c r="EN258" s="482">
        <f t="shared" si="866"/>
        <v>298.79999999999995</v>
      </c>
      <c r="EO258" s="1244">
        <f>+SUM(EO259:EO261)</f>
        <v>298.79999999999995</v>
      </c>
      <c r="EP258" s="482">
        <f>+SUM(EP259:EP261)</f>
        <v>298.79999999999995</v>
      </c>
      <c r="EQ258" s="482">
        <f t="shared" si="867"/>
        <v>298.79999999999995</v>
      </c>
      <c r="ER258" s="1244">
        <f>+SUM(ER259:ER261)</f>
        <v>298.79999999999995</v>
      </c>
      <c r="ES258" s="482">
        <f>+SUM(ES259:ES261)</f>
        <v>298.79999999999995</v>
      </c>
      <c r="ET258" s="482">
        <f t="shared" si="868"/>
        <v>298.79999999999995</v>
      </c>
      <c r="EU258" s="1244">
        <f>+SUM(EU259:EU261)</f>
        <v>298.79999999999995</v>
      </c>
      <c r="EV258" s="482">
        <f>+SUM(EV259:EV261)</f>
        <v>298.79999999999995</v>
      </c>
      <c r="EW258" s="482">
        <f t="shared" si="869"/>
        <v>298.79999999999995</v>
      </c>
      <c r="EX258" s="1244">
        <f>+SUM(EX259:EX261)</f>
        <v>298.79999999999995</v>
      </c>
      <c r="EY258" s="482">
        <f>+SUM(EY259:EY261)</f>
        <v>298.79999999999995</v>
      </c>
      <c r="EZ258" s="482">
        <f t="shared" si="870"/>
        <v>298.79999999999995</v>
      </c>
      <c r="FA258" s="1244">
        <f>+SUM(FA259:FA261)</f>
        <v>298.79999999999995</v>
      </c>
      <c r="FB258" s="1571"/>
      <c r="FE258"/>
      <c r="FF258"/>
      <c r="FG258"/>
      <c r="FH258"/>
      <c r="FI258"/>
      <c r="FJ258"/>
      <c r="FK258" s="35"/>
    </row>
    <row r="259" spans="2:167" s="236" customFormat="1" ht="12.6" customHeight="1" outlineLevel="1">
      <c r="B259" s="242" t="s">
        <v>204</v>
      </c>
      <c r="C259" s="242" t="s">
        <v>496</v>
      </c>
      <c r="D259" s="243"/>
      <c r="E259" s="511"/>
      <c r="F259" s="510">
        <f t="shared" si="820"/>
        <v>0</v>
      </c>
      <c r="G259" s="512"/>
      <c r="H259" s="513"/>
      <c r="I259" s="510">
        <f t="shared" si="821"/>
        <v>0</v>
      </c>
      <c r="J259" s="512"/>
      <c r="K259" s="513"/>
      <c r="L259" s="510">
        <f t="shared" si="822"/>
        <v>0</v>
      </c>
      <c r="M259" s="512"/>
      <c r="N259" s="513"/>
      <c r="O259" s="510">
        <f t="shared" si="823"/>
        <v>0</v>
      </c>
      <c r="P259" s="512"/>
      <c r="Q259" s="513"/>
      <c r="R259" s="510">
        <f t="shared" si="824"/>
        <v>0</v>
      </c>
      <c r="S259" s="512"/>
      <c r="T259" s="513"/>
      <c r="U259" s="510">
        <f t="shared" si="825"/>
        <v>0</v>
      </c>
      <c r="V259" s="512"/>
      <c r="W259" s="513"/>
      <c r="X259" s="510">
        <f t="shared" si="826"/>
        <v>0</v>
      </c>
      <c r="Y259" s="512"/>
      <c r="Z259" s="513"/>
      <c r="AA259" s="510">
        <f t="shared" si="827"/>
        <v>0</v>
      </c>
      <c r="AB259" s="512"/>
      <c r="AC259" s="513"/>
      <c r="AD259" s="510">
        <f t="shared" si="828"/>
        <v>0</v>
      </c>
      <c r="AE259" s="512"/>
      <c r="AF259" s="513"/>
      <c r="AG259" s="510">
        <f t="shared" si="829"/>
        <v>0</v>
      </c>
      <c r="AH259" s="512"/>
      <c r="AI259" s="513"/>
      <c r="AJ259" s="510">
        <f t="shared" si="830"/>
        <v>0</v>
      </c>
      <c r="AK259" s="512"/>
      <c r="AL259" s="513"/>
      <c r="AM259" s="510">
        <f t="shared" si="831"/>
        <v>0</v>
      </c>
      <c r="AN259" s="512"/>
      <c r="AO259" s="513"/>
      <c r="AP259" s="510">
        <f t="shared" si="832"/>
        <v>0</v>
      </c>
      <c r="AQ259" s="512"/>
      <c r="AR259" s="513"/>
      <c r="AS259" s="510">
        <f t="shared" si="833"/>
        <v>0</v>
      </c>
      <c r="AT259" s="512"/>
      <c r="AU259" s="513"/>
      <c r="AV259" s="510">
        <f t="shared" si="834"/>
        <v>0</v>
      </c>
      <c r="AW259" s="512"/>
      <c r="AX259" s="514">
        <v>0</v>
      </c>
      <c r="AY259" s="510">
        <f t="shared" si="835"/>
        <v>0</v>
      </c>
      <c r="AZ259" s="515">
        <v>0</v>
      </c>
      <c r="BA259" s="514">
        <v>0</v>
      </c>
      <c r="BB259" s="510">
        <f t="shared" si="836"/>
        <v>0</v>
      </c>
      <c r="BC259" s="515">
        <v>0</v>
      </c>
      <c r="BD259" s="513">
        <f>IF(Assumptions!BD212&lt;&gt;"",Assumptions!BD212,0)</f>
        <v>0</v>
      </c>
      <c r="BE259" s="510">
        <f t="shared" si="837"/>
        <v>0</v>
      </c>
      <c r="BF259" s="512">
        <f>IF(Assumptions!BF212&lt;&gt;"",Assumptions!BF212,0)</f>
        <v>0</v>
      </c>
      <c r="BG259" s="513">
        <f>IF(Assumptions!BG212&lt;&gt;"",Assumptions!BG212,0)</f>
        <v>0</v>
      </c>
      <c r="BH259" s="510">
        <f t="shared" si="838"/>
        <v>0</v>
      </c>
      <c r="BI259" s="515">
        <v>0</v>
      </c>
      <c r="BJ259" s="513">
        <f>IF(Assumptions!BJ212&lt;&gt;"",Assumptions!BJ212,0)</f>
        <v>0</v>
      </c>
      <c r="BK259" s="510">
        <f t="shared" si="839"/>
        <v>0</v>
      </c>
      <c r="BL259" s="512">
        <f>IF(Assumptions!BL212&lt;&gt;"",Assumptions!BL212,0)</f>
        <v>0</v>
      </c>
      <c r="BM259" s="513">
        <f>IF(Assumptions!BM212&lt;&gt;"",Assumptions!BM212,0)</f>
        <v>0</v>
      </c>
      <c r="BN259" s="510">
        <f t="shared" si="840"/>
        <v>0</v>
      </c>
      <c r="BO259" s="511">
        <f>IF(Assumptions!BO212&lt;&gt;"",Assumptions!BO212,0)</f>
        <v>0</v>
      </c>
      <c r="BP259" s="513">
        <f>IF(Assumptions!BP212&lt;&gt;"",Assumptions!BP212,0)</f>
        <v>0</v>
      </c>
      <c r="BQ259" s="510">
        <f t="shared" si="841"/>
        <v>0</v>
      </c>
      <c r="BR259" s="511">
        <f>IF(Assumptions!BR212&lt;&gt;"",Assumptions!BR212,0)</f>
        <v>0</v>
      </c>
      <c r="BS259" s="513">
        <f>IF(Assumptions!BS212&lt;&gt;"",Assumptions!BS212,0)</f>
        <v>0</v>
      </c>
      <c r="BT259" s="510">
        <f t="shared" si="842"/>
        <v>0</v>
      </c>
      <c r="BU259" s="511">
        <f>IF(Assumptions!BU212&lt;&gt;"",Assumptions!BU212,0)</f>
        <v>0</v>
      </c>
      <c r="BV259" s="513">
        <f>IF(Assumptions!BV212&lt;&gt;"",Assumptions!BV212,0)</f>
        <v>0</v>
      </c>
      <c r="BW259" s="510">
        <f t="shared" si="843"/>
        <v>0</v>
      </c>
      <c r="BX259" s="511">
        <f>IF(Assumptions!BX212&lt;&gt;"",Assumptions!BX212,0)</f>
        <v>0</v>
      </c>
      <c r="BY259" s="513">
        <f>IF(Assumptions!BY212&lt;&gt;"",Assumptions!BY212,0)</f>
        <v>0</v>
      </c>
      <c r="BZ259" s="510">
        <f t="shared" si="844"/>
        <v>0</v>
      </c>
      <c r="CA259" s="511">
        <f>IF(Assumptions!CA212&lt;&gt;"",Assumptions!CA212,0)</f>
        <v>0</v>
      </c>
      <c r="CB259" s="513">
        <f>IF(Assumptions!CB212&lt;&gt;"",Assumptions!CB212,0)</f>
        <v>0</v>
      </c>
      <c r="CC259" s="510">
        <f t="shared" si="845"/>
        <v>0</v>
      </c>
      <c r="CD259" s="511">
        <f>IF(Assumptions!CD212&lt;&gt;"",Assumptions!CD212,0)</f>
        <v>0</v>
      </c>
      <c r="CE259" s="513">
        <f>IF(Assumptions!CE212&lt;&gt;"",Assumptions!CE212,0)</f>
        <v>0</v>
      </c>
      <c r="CF259" s="510">
        <f t="shared" si="846"/>
        <v>0</v>
      </c>
      <c r="CG259" s="511">
        <f>IF(Assumptions!CG212&lt;&gt;"",Assumptions!CG212,0)</f>
        <v>0</v>
      </c>
      <c r="CH259" s="513">
        <f>IF(Assumptions!CH212&lt;&gt;"",Assumptions!CH212,0)</f>
        <v>0</v>
      </c>
      <c r="CI259" s="510">
        <f t="shared" si="847"/>
        <v>0</v>
      </c>
      <c r="CJ259" s="511">
        <f>IF(Assumptions!CJ212&lt;&gt;"",Assumptions!CJ212,0)</f>
        <v>0</v>
      </c>
      <c r="CK259" s="513">
        <f>IF(Assumptions!CK212&lt;&gt;"",Assumptions!CK212,0)</f>
        <v>0</v>
      </c>
      <c r="CL259" s="510">
        <f t="shared" si="848"/>
        <v>0</v>
      </c>
      <c r="CM259" s="511">
        <f>IF(Assumptions!CM212&lt;&gt;"",Assumptions!CM212,0)</f>
        <v>0</v>
      </c>
      <c r="CN259" s="513">
        <f>IF(Assumptions!CN212&lt;&gt;"",Assumptions!CN212,0)</f>
        <v>0</v>
      </c>
      <c r="CO259" s="510">
        <f t="shared" si="849"/>
        <v>0</v>
      </c>
      <c r="CP259" s="511">
        <f>IF(Assumptions!CP212&lt;&gt;"",Assumptions!CP212,0)</f>
        <v>0</v>
      </c>
      <c r="CQ259" s="513">
        <f>IF(Assumptions!CQ212&lt;&gt;"",Assumptions!CQ212,0)</f>
        <v>0</v>
      </c>
      <c r="CR259" s="510">
        <f t="shared" si="850"/>
        <v>0</v>
      </c>
      <c r="CS259" s="511">
        <f>IF(Assumptions!CS212&lt;&gt;"",Assumptions!CS212,0)</f>
        <v>0</v>
      </c>
      <c r="CT259" s="513">
        <f>IF(Assumptions!CT212&lt;&gt;"",Assumptions!CT212,0)</f>
        <v>0</v>
      </c>
      <c r="CU259" s="510">
        <f t="shared" si="851"/>
        <v>0</v>
      </c>
      <c r="CV259" s="511">
        <f>IF(Assumptions!CV212&lt;&gt;"",Assumptions!CV212,0)</f>
        <v>0</v>
      </c>
      <c r="CW259" s="513">
        <f>IF(Assumptions!CW212&lt;&gt;"",Assumptions!CW212,0)</f>
        <v>0</v>
      </c>
      <c r="CX259" s="510">
        <f t="shared" si="852"/>
        <v>0</v>
      </c>
      <c r="CY259" s="511">
        <f>IF(Assumptions!CY212&lt;&gt;"",Assumptions!CY212,0)</f>
        <v>0</v>
      </c>
      <c r="CZ259" s="513">
        <f>IF(Assumptions!CZ212&lt;&gt;"",Assumptions!CZ212,0)</f>
        <v>0</v>
      </c>
      <c r="DA259" s="510">
        <f t="shared" si="853"/>
        <v>0</v>
      </c>
      <c r="DB259" s="511">
        <f>IF(Assumptions!DB212&lt;&gt;"",Assumptions!DB212,0)</f>
        <v>0</v>
      </c>
      <c r="DC259" s="513">
        <f>IF(Assumptions!DC212&lt;&gt;"",Assumptions!DC212,0)</f>
        <v>0</v>
      </c>
      <c r="DD259" s="510">
        <f t="shared" si="854"/>
        <v>0</v>
      </c>
      <c r="DE259" s="511">
        <f>IF(Assumptions!DE212&lt;&gt;"",Assumptions!DE212,0)</f>
        <v>0</v>
      </c>
      <c r="DF259" s="513">
        <f>IF(Assumptions!DF212&lt;&gt;"",Assumptions!DF212,0)</f>
        <v>0</v>
      </c>
      <c r="DG259" s="510">
        <f t="shared" si="855"/>
        <v>0</v>
      </c>
      <c r="DH259" s="1257">
        <f>IF(Assumptions!DH212&lt;&gt;"",Assumptions!DH212,0)</f>
        <v>0</v>
      </c>
      <c r="DI259" s="482">
        <f>IF(Assumptions!DI212&lt;&gt;"",Assumptions!DI212,0)</f>
        <v>0</v>
      </c>
      <c r="DJ259" s="482">
        <f t="shared" si="856"/>
        <v>0</v>
      </c>
      <c r="DK259" s="1244">
        <f>IF(Assumptions!DK212&lt;&gt;"",Assumptions!DK212,0)</f>
        <v>0</v>
      </c>
      <c r="DL259" s="482">
        <f>IF(Assumptions!DL212&lt;&gt;"",Assumptions!DL212,0)</f>
        <v>0</v>
      </c>
      <c r="DM259" s="482">
        <f t="shared" si="857"/>
        <v>0</v>
      </c>
      <c r="DN259" s="1244">
        <f>IF(Assumptions!DN212&lt;&gt;"",Assumptions!DN212,0)</f>
        <v>0</v>
      </c>
      <c r="DO259" s="482">
        <f>IF(Assumptions!DO212&lt;&gt;"",Assumptions!DO212,0)</f>
        <v>0</v>
      </c>
      <c r="DP259" s="482">
        <f t="shared" si="858"/>
        <v>0</v>
      </c>
      <c r="DQ259" s="1244">
        <f>IF(Assumptions!DQ212&lt;&gt;"",Assumptions!DQ212,0)</f>
        <v>0</v>
      </c>
      <c r="DR259" s="482">
        <f>IF(Assumptions!DR212&lt;&gt;"",Assumptions!DR212,0)</f>
        <v>0</v>
      </c>
      <c r="DS259" s="482">
        <f t="shared" si="859"/>
        <v>0</v>
      </c>
      <c r="DT259" s="1244">
        <f>IF(Assumptions!DT212&lt;&gt;"",Assumptions!DT212,0)</f>
        <v>0</v>
      </c>
      <c r="DU259" s="482">
        <f>IF(Assumptions!DU212&lt;&gt;"",Assumptions!DU212,0)</f>
        <v>0</v>
      </c>
      <c r="DV259" s="482">
        <f t="shared" si="860"/>
        <v>0</v>
      </c>
      <c r="DW259" s="1244">
        <f>IF(Assumptions!DW212&lt;&gt;"",Assumptions!DW212,0)</f>
        <v>0</v>
      </c>
      <c r="DX259" s="482">
        <f>IF(Assumptions!DX212&lt;&gt;"",Assumptions!DX212,0)</f>
        <v>0</v>
      </c>
      <c r="DY259" s="482">
        <f t="shared" si="861"/>
        <v>0</v>
      </c>
      <c r="DZ259" s="1244">
        <f>IF(Assumptions!DZ212&lt;&gt;"",Assumptions!DZ212,0)</f>
        <v>0</v>
      </c>
      <c r="EA259" s="482">
        <f>IF(Assumptions!EA212&lt;&gt;"",Assumptions!EA212,0)</f>
        <v>0</v>
      </c>
      <c r="EB259" s="482">
        <f t="shared" si="862"/>
        <v>0</v>
      </c>
      <c r="EC259" s="1244">
        <f>IF(Assumptions!EC212&lt;&gt;"",Assumptions!EC212,0)</f>
        <v>0</v>
      </c>
      <c r="ED259" s="482">
        <f>IF(Assumptions!ED212&lt;&gt;"",Assumptions!ED212,0)</f>
        <v>0</v>
      </c>
      <c r="EE259" s="482">
        <f t="shared" si="863"/>
        <v>0</v>
      </c>
      <c r="EF259" s="1244">
        <f>IF(Assumptions!EF212&lt;&gt;"",Assumptions!EF212,0)</f>
        <v>0</v>
      </c>
      <c r="EG259" s="482">
        <f>IF(Assumptions!EG212&lt;&gt;"",Assumptions!EG212,0)</f>
        <v>0</v>
      </c>
      <c r="EH259" s="482">
        <f t="shared" si="864"/>
        <v>0</v>
      </c>
      <c r="EI259" s="1244">
        <f>IF(Assumptions!EI212&lt;&gt;"",Assumptions!EI212,0)</f>
        <v>0</v>
      </c>
      <c r="EJ259" s="482">
        <f>IF(Assumptions!EJ212&lt;&gt;"",Assumptions!EJ212,0)</f>
        <v>0</v>
      </c>
      <c r="EK259" s="482">
        <f t="shared" si="865"/>
        <v>0</v>
      </c>
      <c r="EL259" s="1244">
        <f>IF(Assumptions!EL212&lt;&gt;"",Assumptions!EL212,0)</f>
        <v>0</v>
      </c>
      <c r="EM259" s="482">
        <f>IF(Assumptions!EM212&lt;&gt;"",Assumptions!EM212,0)</f>
        <v>0</v>
      </c>
      <c r="EN259" s="482">
        <f t="shared" si="866"/>
        <v>0</v>
      </c>
      <c r="EO259" s="1244">
        <f>IF(Assumptions!EO212&lt;&gt;"",Assumptions!EO212,0)</f>
        <v>0</v>
      </c>
      <c r="EP259" s="482">
        <f>IF(Assumptions!EP212&lt;&gt;"",Assumptions!EP212,0)</f>
        <v>0</v>
      </c>
      <c r="EQ259" s="482">
        <f t="shared" si="867"/>
        <v>0</v>
      </c>
      <c r="ER259" s="1244">
        <f>IF(Assumptions!ER212&lt;&gt;"",Assumptions!ER212,0)</f>
        <v>0</v>
      </c>
      <c r="ES259" s="482">
        <f>IF(Assumptions!ES212&lt;&gt;"",Assumptions!ES212,0)</f>
        <v>0</v>
      </c>
      <c r="ET259" s="482">
        <f t="shared" si="868"/>
        <v>0</v>
      </c>
      <c r="EU259" s="1244">
        <f>IF(Assumptions!EU212&lt;&gt;"",Assumptions!EU212,0)</f>
        <v>0</v>
      </c>
      <c r="EV259" s="482">
        <f>IF(Assumptions!EV212&lt;&gt;"",Assumptions!EV212,0)</f>
        <v>0</v>
      </c>
      <c r="EW259" s="482">
        <f t="shared" si="869"/>
        <v>0</v>
      </c>
      <c r="EX259" s="1244">
        <f>IF(Assumptions!EX212&lt;&gt;"",Assumptions!EX212,0)</f>
        <v>0</v>
      </c>
      <c r="EY259" s="482">
        <f>IF(Assumptions!EY212&lt;&gt;"",Assumptions!EY212,0)</f>
        <v>0</v>
      </c>
      <c r="EZ259" s="482">
        <f t="shared" si="870"/>
        <v>0</v>
      </c>
      <c r="FA259" s="1244">
        <f>IF(Assumptions!FA212&lt;&gt;"",Assumptions!FA212,0)</f>
        <v>0</v>
      </c>
      <c r="FB259" s="1571"/>
      <c r="FE259"/>
      <c r="FF259"/>
      <c r="FG259"/>
      <c r="FH259"/>
      <c r="FI259"/>
      <c r="FJ259"/>
      <c r="FK259" s="35"/>
    </row>
    <row r="260" spans="2:167" s="236" customFormat="1" ht="13.35" customHeight="1" outlineLevel="1">
      <c r="B260" s="242" t="s">
        <v>205</v>
      </c>
      <c r="C260" s="242" t="s">
        <v>496</v>
      </c>
      <c r="D260" s="243"/>
      <c r="E260" s="516"/>
      <c r="F260" s="482">
        <f t="shared" si="820"/>
        <v>0</v>
      </c>
      <c r="G260" s="517"/>
      <c r="H260" s="518"/>
      <c r="I260" s="482">
        <f t="shared" si="821"/>
        <v>0</v>
      </c>
      <c r="J260" s="517"/>
      <c r="K260" s="518"/>
      <c r="L260" s="482">
        <f t="shared" si="822"/>
        <v>0</v>
      </c>
      <c r="M260" s="517"/>
      <c r="N260" s="518"/>
      <c r="O260" s="482">
        <f t="shared" si="823"/>
        <v>0</v>
      </c>
      <c r="P260" s="517"/>
      <c r="Q260" s="518"/>
      <c r="R260" s="482">
        <f t="shared" si="824"/>
        <v>0</v>
      </c>
      <c r="S260" s="517"/>
      <c r="T260" s="518"/>
      <c r="U260" s="482">
        <f t="shared" si="825"/>
        <v>0</v>
      </c>
      <c r="V260" s="517"/>
      <c r="W260" s="518"/>
      <c r="X260" s="482">
        <f t="shared" si="826"/>
        <v>0</v>
      </c>
      <c r="Y260" s="517"/>
      <c r="Z260" s="518"/>
      <c r="AA260" s="482">
        <f t="shared" si="827"/>
        <v>0</v>
      </c>
      <c r="AB260" s="517"/>
      <c r="AC260" s="518"/>
      <c r="AD260" s="482">
        <f t="shared" si="828"/>
        <v>0</v>
      </c>
      <c r="AE260" s="517"/>
      <c r="AF260" s="518"/>
      <c r="AG260" s="482">
        <f t="shared" si="829"/>
        <v>0</v>
      </c>
      <c r="AH260" s="517"/>
      <c r="AI260" s="519">
        <v>5.1470000000000002</v>
      </c>
      <c r="AJ260" s="482">
        <f t="shared" si="830"/>
        <v>5.7960000000000003</v>
      </c>
      <c r="AK260" s="520">
        <v>5.7960000000000003</v>
      </c>
      <c r="AL260" s="519">
        <v>5.6360000000000001</v>
      </c>
      <c r="AM260" s="482">
        <f t="shared" si="831"/>
        <v>6.548</v>
      </c>
      <c r="AN260" s="520">
        <v>6.548</v>
      </c>
      <c r="AO260" s="519">
        <v>6.9729999999999999</v>
      </c>
      <c r="AP260" s="482">
        <f t="shared" si="832"/>
        <v>6.4790000000000001</v>
      </c>
      <c r="AQ260" s="520">
        <v>6.4790000000000001</v>
      </c>
      <c r="AR260" s="519">
        <v>7.2489999999999997</v>
      </c>
      <c r="AS260" s="482">
        <f t="shared" si="833"/>
        <v>9.4789999999999992</v>
      </c>
      <c r="AT260" s="520">
        <v>9.4789999999999992</v>
      </c>
      <c r="AU260" s="519">
        <v>10.98</v>
      </c>
      <c r="AV260" s="482">
        <f t="shared" si="834"/>
        <v>11.362</v>
      </c>
      <c r="AW260" s="520">
        <v>11.362</v>
      </c>
      <c r="AX260" s="519">
        <v>11.583</v>
      </c>
      <c r="AY260" s="482">
        <f t="shared" si="835"/>
        <v>11.026</v>
      </c>
      <c r="AZ260" s="520">
        <v>11.026</v>
      </c>
      <c r="BA260" s="519">
        <v>13.195</v>
      </c>
      <c r="BB260" s="482">
        <f t="shared" si="836"/>
        <v>9.8179999999999996</v>
      </c>
      <c r="BC260" s="520">
        <v>9.8179999999999996</v>
      </c>
      <c r="BD260" s="519">
        <v>10.244999999999999</v>
      </c>
      <c r="BE260" s="482">
        <f t="shared" si="837"/>
        <v>12.109</v>
      </c>
      <c r="BF260" s="520">
        <v>12.109</v>
      </c>
      <c r="BG260" s="519">
        <v>14.446</v>
      </c>
      <c r="BH260" s="482">
        <f t="shared" si="838"/>
        <v>13.965</v>
      </c>
      <c r="BI260" s="520">
        <v>13.965</v>
      </c>
      <c r="BJ260" s="519">
        <v>11.092000000000001</v>
      </c>
      <c r="BK260" s="482">
        <f t="shared" si="839"/>
        <v>17.791</v>
      </c>
      <c r="BL260" s="520">
        <v>17.791</v>
      </c>
      <c r="BM260" s="519">
        <v>19.466000000000001</v>
      </c>
      <c r="BN260" s="482">
        <f t="shared" si="840"/>
        <v>22.463999999999999</v>
      </c>
      <c r="BO260" s="521">
        <v>22.463999999999999</v>
      </c>
      <c r="BP260" s="519">
        <v>26.61</v>
      </c>
      <c r="BQ260" s="482">
        <f t="shared" si="841"/>
        <v>30.266999999999999</v>
      </c>
      <c r="BR260" s="521">
        <v>30.266999999999999</v>
      </c>
      <c r="BS260" s="518">
        <f>0.187+1.567+27.997</f>
        <v>29.751000000000001</v>
      </c>
      <c r="BT260" s="482">
        <f t="shared" si="842"/>
        <v>18.510999999999999</v>
      </c>
      <c r="BU260" s="521">
        <v>18.510999999999999</v>
      </c>
      <c r="BV260" s="519">
        <v>29.888999999999999</v>
      </c>
      <c r="BW260" s="482">
        <f t="shared" si="843"/>
        <v>17.678999999999998</v>
      </c>
      <c r="BX260" s="521">
        <v>17.678999999999998</v>
      </c>
      <c r="BY260" s="519">
        <v>70.319999999999993</v>
      </c>
      <c r="BZ260" s="482">
        <f t="shared" si="844"/>
        <v>21.899000000000001</v>
      </c>
      <c r="CA260" s="521">
        <v>21.899000000000001</v>
      </c>
      <c r="CB260" s="519">
        <v>22.097999999999999</v>
      </c>
      <c r="CC260" s="482">
        <f t="shared" si="845"/>
        <v>17.251999999999999</v>
      </c>
      <c r="CD260" s="521">
        <v>17.251999999999999</v>
      </c>
      <c r="CE260" s="519">
        <v>15.02</v>
      </c>
      <c r="CF260" s="482">
        <f t="shared" si="846"/>
        <v>16.071999999999999</v>
      </c>
      <c r="CG260" s="521">
        <v>16.071999999999999</v>
      </c>
      <c r="CH260" s="519">
        <v>37.718000000000004</v>
      </c>
      <c r="CI260" s="482">
        <f t="shared" si="847"/>
        <v>0</v>
      </c>
      <c r="CJ260" s="521">
        <v>0</v>
      </c>
      <c r="CK260" s="519">
        <v>42.232999999999997</v>
      </c>
      <c r="CL260" s="482">
        <f t="shared" si="848"/>
        <v>56.662999999999997</v>
      </c>
      <c r="CM260" s="521">
        <v>56.662999999999997</v>
      </c>
      <c r="CN260" s="519">
        <v>65.888999999999996</v>
      </c>
      <c r="CO260" s="482">
        <f t="shared" si="849"/>
        <v>52.761000000000003</v>
      </c>
      <c r="CP260" s="521">
        <v>52.761000000000003</v>
      </c>
      <c r="CQ260" s="519">
        <v>72.403000000000006</v>
      </c>
      <c r="CR260" s="482">
        <f t="shared" si="850"/>
        <v>68.716999999999999</v>
      </c>
      <c r="CS260" s="521">
        <v>68.716999999999999</v>
      </c>
      <c r="CT260" s="519">
        <v>78.557000000000002</v>
      </c>
      <c r="CU260" s="482">
        <f t="shared" si="851"/>
        <v>77.144000000000005</v>
      </c>
      <c r="CV260" s="521">
        <v>77.144000000000005</v>
      </c>
      <c r="CW260" s="519">
        <v>85.126999999999995</v>
      </c>
      <c r="CX260" s="482">
        <f t="shared" si="852"/>
        <v>66.585999999999999</v>
      </c>
      <c r="CY260" s="521">
        <v>66.585999999999999</v>
      </c>
      <c r="CZ260" s="518">
        <v>74.8</v>
      </c>
      <c r="DA260" s="482">
        <f t="shared" si="853"/>
        <v>80.7</v>
      </c>
      <c r="DB260" s="516">
        <v>80.7</v>
      </c>
      <c r="DC260" s="518">
        <v>97</v>
      </c>
      <c r="DD260" s="482">
        <f t="shared" si="854"/>
        <v>100.1</v>
      </c>
      <c r="DE260" s="521">
        <v>100.1</v>
      </c>
      <c r="DF260" s="519">
        <v>108.3</v>
      </c>
      <c r="DG260" s="482">
        <f t="shared" si="855"/>
        <v>147.1</v>
      </c>
      <c r="DH260" s="1365">
        <v>147.1</v>
      </c>
      <c r="DI260" s="1373">
        <v>179.8</v>
      </c>
      <c r="DJ260" s="482">
        <f t="shared" si="856"/>
        <v>146.80000000000001</v>
      </c>
      <c r="DK260" s="1374">
        <v>146.80000000000001</v>
      </c>
      <c r="DL260" s="1373">
        <v>165.5</v>
      </c>
      <c r="DM260" s="482">
        <f t="shared" si="857"/>
        <v>116.1</v>
      </c>
      <c r="DN260" s="1374">
        <v>116.1</v>
      </c>
      <c r="DO260" s="1373">
        <v>124.8</v>
      </c>
      <c r="DP260" s="482">
        <f t="shared" si="858"/>
        <v>125.3</v>
      </c>
      <c r="DQ260" s="1374">
        <v>125.3</v>
      </c>
      <c r="DR260" s="1373">
        <v>127.2</v>
      </c>
      <c r="DS260" s="482">
        <f t="shared" si="859"/>
        <v>138.69999999999999</v>
      </c>
      <c r="DT260" s="1374">
        <v>138.69999999999999</v>
      </c>
      <c r="DU260" s="1373">
        <v>170.6</v>
      </c>
      <c r="DV260" s="482">
        <f t="shared" si="860"/>
        <v>168.7</v>
      </c>
      <c r="DW260" s="1374">
        <v>168.7</v>
      </c>
      <c r="DX260" s="1373">
        <v>180.2</v>
      </c>
      <c r="DY260" s="482">
        <f t="shared" si="861"/>
        <v>180.2</v>
      </c>
      <c r="DZ260" s="1244">
        <f>+DX260</f>
        <v>180.2</v>
      </c>
      <c r="EA260" s="482">
        <f>+DZ260</f>
        <v>180.2</v>
      </c>
      <c r="EB260" s="482">
        <f t="shared" si="862"/>
        <v>180.2</v>
      </c>
      <c r="EC260" s="1244">
        <f>+EA260</f>
        <v>180.2</v>
      </c>
      <c r="ED260" s="482">
        <f>+EC260</f>
        <v>180.2</v>
      </c>
      <c r="EE260" s="482">
        <f t="shared" si="863"/>
        <v>180.2</v>
      </c>
      <c r="EF260" s="1244">
        <f>+ED260</f>
        <v>180.2</v>
      </c>
      <c r="EG260" s="482">
        <f>+EF260</f>
        <v>180.2</v>
      </c>
      <c r="EH260" s="482">
        <f t="shared" si="864"/>
        <v>180.2</v>
      </c>
      <c r="EI260" s="1244">
        <f>+EG260</f>
        <v>180.2</v>
      </c>
      <c r="EJ260" s="482">
        <f>+EI260</f>
        <v>180.2</v>
      </c>
      <c r="EK260" s="482">
        <f t="shared" si="865"/>
        <v>180.2</v>
      </c>
      <c r="EL260" s="1244">
        <f>+EJ260</f>
        <v>180.2</v>
      </c>
      <c r="EM260" s="482">
        <f>+EL260</f>
        <v>180.2</v>
      </c>
      <c r="EN260" s="482">
        <f t="shared" si="866"/>
        <v>180.2</v>
      </c>
      <c r="EO260" s="1244">
        <f>+EM260</f>
        <v>180.2</v>
      </c>
      <c r="EP260" s="482">
        <f>+EO260</f>
        <v>180.2</v>
      </c>
      <c r="EQ260" s="482">
        <f t="shared" si="867"/>
        <v>180.2</v>
      </c>
      <c r="ER260" s="1244">
        <f>+EP260</f>
        <v>180.2</v>
      </c>
      <c r="ES260" s="482">
        <f>+ER260</f>
        <v>180.2</v>
      </c>
      <c r="ET260" s="482">
        <f t="shared" si="868"/>
        <v>180.2</v>
      </c>
      <c r="EU260" s="1244">
        <f>+ES260</f>
        <v>180.2</v>
      </c>
      <c r="EV260" s="482">
        <f>+EU260</f>
        <v>180.2</v>
      </c>
      <c r="EW260" s="482">
        <f t="shared" si="869"/>
        <v>180.2</v>
      </c>
      <c r="EX260" s="1244">
        <f>+EV260</f>
        <v>180.2</v>
      </c>
      <c r="EY260" s="482">
        <f>+EX260</f>
        <v>180.2</v>
      </c>
      <c r="EZ260" s="482">
        <f t="shared" si="870"/>
        <v>180.2</v>
      </c>
      <c r="FA260" s="1244">
        <f>+EY260</f>
        <v>180.2</v>
      </c>
      <c r="FB260" s="1571"/>
      <c r="FE260"/>
      <c r="FF260"/>
      <c r="FG260"/>
      <c r="FH260"/>
      <c r="FI260"/>
      <c r="FJ260"/>
      <c r="FK260" s="35"/>
    </row>
    <row r="261" spans="2:167" s="236" customFormat="1" ht="13.35" customHeight="1" outlineLevel="1" thickBot="1">
      <c r="B261" s="242" t="s">
        <v>711</v>
      </c>
      <c r="C261" s="242" t="s">
        <v>496</v>
      </c>
      <c r="D261" s="243"/>
      <c r="E261" s="528"/>
      <c r="F261" s="482">
        <f t="shared" si="820"/>
        <v>0</v>
      </c>
      <c r="G261" s="529"/>
      <c r="H261" s="530"/>
      <c r="I261" s="482">
        <f t="shared" si="821"/>
        <v>0</v>
      </c>
      <c r="J261" s="529"/>
      <c r="K261" s="530"/>
      <c r="L261" s="482">
        <f t="shared" si="822"/>
        <v>0</v>
      </c>
      <c r="M261" s="529"/>
      <c r="N261" s="530"/>
      <c r="O261" s="482">
        <f t="shared" si="823"/>
        <v>0</v>
      </c>
      <c r="P261" s="529"/>
      <c r="Q261" s="530"/>
      <c r="R261" s="482">
        <f t="shared" si="824"/>
        <v>0</v>
      </c>
      <c r="S261" s="529"/>
      <c r="T261" s="530"/>
      <c r="U261" s="482">
        <f t="shared" si="825"/>
        <v>0</v>
      </c>
      <c r="V261" s="529"/>
      <c r="W261" s="530"/>
      <c r="X261" s="482">
        <f t="shared" si="826"/>
        <v>0</v>
      </c>
      <c r="Y261" s="529"/>
      <c r="Z261" s="530"/>
      <c r="AA261" s="482">
        <f t="shared" si="827"/>
        <v>0</v>
      </c>
      <c r="AB261" s="529"/>
      <c r="AC261" s="530"/>
      <c r="AD261" s="482">
        <f t="shared" si="828"/>
        <v>0</v>
      </c>
      <c r="AE261" s="529"/>
      <c r="AF261" s="530"/>
      <c r="AG261" s="482">
        <f t="shared" si="829"/>
        <v>0</v>
      </c>
      <c r="AH261" s="529"/>
      <c r="AI261" s="530"/>
      <c r="AJ261" s="482">
        <f t="shared" si="830"/>
        <v>0</v>
      </c>
      <c r="AK261" s="529"/>
      <c r="AL261" s="530"/>
      <c r="AM261" s="482">
        <f t="shared" si="831"/>
        <v>0</v>
      </c>
      <c r="AN261" s="529"/>
      <c r="AO261" s="530"/>
      <c r="AP261" s="482">
        <f t="shared" si="832"/>
        <v>0</v>
      </c>
      <c r="AQ261" s="529"/>
      <c r="AR261" s="530"/>
      <c r="AS261" s="482">
        <f t="shared" si="833"/>
        <v>0</v>
      </c>
      <c r="AT261" s="529"/>
      <c r="AU261" s="530"/>
      <c r="AV261" s="482">
        <f t="shared" si="834"/>
        <v>0</v>
      </c>
      <c r="AW261" s="529"/>
      <c r="AX261" s="531">
        <v>0</v>
      </c>
      <c r="AY261" s="482">
        <f t="shared" si="835"/>
        <v>0</v>
      </c>
      <c r="AZ261" s="532">
        <v>0</v>
      </c>
      <c r="BA261" s="531">
        <v>0</v>
      </c>
      <c r="BB261" s="482">
        <f t="shared" si="836"/>
        <v>0</v>
      </c>
      <c r="BC261" s="532">
        <v>0</v>
      </c>
      <c r="BD261" s="530">
        <f>IF(Assumptions!BD214&lt;&gt;"",Assumptions!BD214,0)</f>
        <v>0</v>
      </c>
      <c r="BE261" s="482">
        <f t="shared" si="837"/>
        <v>0</v>
      </c>
      <c r="BF261" s="529">
        <f>IF(Assumptions!BF214&lt;&gt;"",Assumptions!BF214,0)</f>
        <v>0</v>
      </c>
      <c r="BG261" s="530">
        <f>IF(Assumptions!BG214&lt;&gt;"",Assumptions!BG214,0)</f>
        <v>0</v>
      </c>
      <c r="BH261" s="482">
        <f t="shared" si="838"/>
        <v>0</v>
      </c>
      <c r="BI261" s="529">
        <f>IF(Assumptions!BI214&lt;&gt;"",Assumptions!BI214,0)</f>
        <v>0</v>
      </c>
      <c r="BJ261" s="530">
        <f>IF(Assumptions!BJ214&lt;&gt;"",Assumptions!BJ214,0)</f>
        <v>0</v>
      </c>
      <c r="BK261" s="482">
        <f t="shared" si="839"/>
        <v>0</v>
      </c>
      <c r="BL261" s="529">
        <f>IF(Assumptions!BL214&lt;&gt;"",Assumptions!BL214,0)</f>
        <v>0</v>
      </c>
      <c r="BM261" s="530">
        <f>IF(Assumptions!BM214&lt;&gt;"",Assumptions!BM214,0)</f>
        <v>0</v>
      </c>
      <c r="BN261" s="482">
        <f t="shared" si="840"/>
        <v>0</v>
      </c>
      <c r="BO261" s="528">
        <f>IF(Assumptions!BO214&lt;&gt;"",Assumptions!BO214,0)</f>
        <v>0</v>
      </c>
      <c r="BP261" s="530">
        <f>IF(Assumptions!BP214&lt;&gt;"",Assumptions!BP214,0)</f>
        <v>0</v>
      </c>
      <c r="BQ261" s="482">
        <f t="shared" si="841"/>
        <v>0</v>
      </c>
      <c r="BR261" s="528">
        <f>IF(Assumptions!BR214&lt;&gt;"",Assumptions!BR214,0)</f>
        <v>0</v>
      </c>
      <c r="BS261" s="530">
        <f>IF(Assumptions!BS214&lt;&gt;"",Assumptions!BS214,0)</f>
        <v>0</v>
      </c>
      <c r="BT261" s="482">
        <f t="shared" si="842"/>
        <v>0</v>
      </c>
      <c r="BU261" s="528">
        <f>IF(Assumptions!BU214&lt;&gt;"",Assumptions!BU214,0)</f>
        <v>0</v>
      </c>
      <c r="BV261" s="530">
        <f>IF(Assumptions!BV214&lt;&gt;"",Assumptions!BV214,0)</f>
        <v>0</v>
      </c>
      <c r="BW261" s="482">
        <f t="shared" si="843"/>
        <v>0</v>
      </c>
      <c r="BX261" s="528">
        <f>IF(Assumptions!BX214&lt;&gt;"",Assumptions!BX214,0)</f>
        <v>0</v>
      </c>
      <c r="BY261" s="530">
        <f>IF(Assumptions!BY214&lt;&gt;"",Assumptions!BY214,0)</f>
        <v>0</v>
      </c>
      <c r="BZ261" s="482">
        <f t="shared" si="844"/>
        <v>0</v>
      </c>
      <c r="CA261" s="528">
        <f>IF(Assumptions!CA214&lt;&gt;"",Assumptions!CA214,0)</f>
        <v>0</v>
      </c>
      <c r="CB261" s="530">
        <f>IF(Assumptions!CB214&lt;&gt;"",Assumptions!CB214,0)</f>
        <v>0</v>
      </c>
      <c r="CC261" s="482">
        <f t="shared" si="845"/>
        <v>0</v>
      </c>
      <c r="CD261" s="528">
        <f>IF(Assumptions!CD214&lt;&gt;"",Assumptions!CD214,0)</f>
        <v>0</v>
      </c>
      <c r="CE261" s="530">
        <f>IF(Assumptions!CE214&lt;&gt;"",Assumptions!CE214,0)</f>
        <v>0</v>
      </c>
      <c r="CF261" s="482">
        <f t="shared" si="846"/>
        <v>0</v>
      </c>
      <c r="CG261" s="528">
        <f>IF(Assumptions!CG214&lt;&gt;"",Assumptions!CG214,0)</f>
        <v>0</v>
      </c>
      <c r="CH261" s="530">
        <f>IF(Assumptions!CH214&lt;&gt;"",Assumptions!CH214,0)</f>
        <v>0</v>
      </c>
      <c r="CI261" s="482">
        <f t="shared" si="847"/>
        <v>0</v>
      </c>
      <c r="CJ261" s="528">
        <f>IF(Assumptions!CJ214&lt;&gt;"",Assumptions!CJ214,0)</f>
        <v>0</v>
      </c>
      <c r="CK261" s="530">
        <f>IF(Assumptions!CK214&lt;&gt;"",Assumptions!CK214,0)</f>
        <v>0</v>
      </c>
      <c r="CL261" s="482">
        <f t="shared" si="848"/>
        <v>0</v>
      </c>
      <c r="CM261" s="528">
        <f>IF(Assumptions!CM214&lt;&gt;"",Assumptions!CM214,0)</f>
        <v>0</v>
      </c>
      <c r="CN261" s="530">
        <f>IF(Assumptions!CN214&lt;&gt;"",Assumptions!CN214,0)</f>
        <v>0</v>
      </c>
      <c r="CO261" s="482">
        <f t="shared" si="849"/>
        <v>0</v>
      </c>
      <c r="CP261" s="528">
        <f>IF(Assumptions!CP214&lt;&gt;"",Assumptions!CP214,0)</f>
        <v>0</v>
      </c>
      <c r="CQ261" s="530">
        <f>IF(Assumptions!CQ214&lt;&gt;"",Assumptions!CQ214,0)</f>
        <v>0</v>
      </c>
      <c r="CR261" s="482">
        <f t="shared" si="850"/>
        <v>0</v>
      </c>
      <c r="CS261" s="528">
        <f>IF(Assumptions!CS214&lt;&gt;"",Assumptions!CS214,0)</f>
        <v>0</v>
      </c>
      <c r="CT261" s="530">
        <f>IF(Assumptions!CT214&lt;&gt;"",Assumptions!CT214,0)</f>
        <v>0</v>
      </c>
      <c r="CU261" s="482">
        <f t="shared" si="851"/>
        <v>0</v>
      </c>
      <c r="CV261" s="528">
        <f>IF(Assumptions!CV214&lt;&gt;"",Assumptions!CV214,0)</f>
        <v>0</v>
      </c>
      <c r="CW261" s="530">
        <f>IF(Assumptions!CW214&lt;&gt;"",Assumptions!CW214,0)</f>
        <v>0</v>
      </c>
      <c r="CX261" s="482">
        <f t="shared" si="852"/>
        <v>0</v>
      </c>
      <c r="CY261" s="528">
        <f>IF(Assumptions!CY214&lt;&gt;"",Assumptions!CY214,0)</f>
        <v>0</v>
      </c>
      <c r="CZ261" s="530">
        <f>IF(Assumptions!CZ214&lt;&gt;"",Assumptions!CZ214,0)</f>
        <v>0</v>
      </c>
      <c r="DA261" s="482">
        <f t="shared" si="853"/>
        <v>0</v>
      </c>
      <c r="DB261" s="528">
        <f>IF(Assumptions!DB214&lt;&gt;"",Assumptions!DB214,0)</f>
        <v>0</v>
      </c>
      <c r="DC261" s="530">
        <f>IF(Assumptions!DC214&lt;&gt;"",Assumptions!DC214,0)</f>
        <v>0</v>
      </c>
      <c r="DD261" s="482">
        <f t="shared" si="854"/>
        <v>0</v>
      </c>
      <c r="DE261" s="528">
        <f>IF(Assumptions!DE214&lt;&gt;"",Assumptions!DE214,0)</f>
        <v>0</v>
      </c>
      <c r="DF261" s="530">
        <f>IF(Assumptions!DF214&lt;&gt;"",Assumptions!DF214,0)</f>
        <v>0</v>
      </c>
      <c r="DG261" s="482">
        <f t="shared" si="855"/>
        <v>0</v>
      </c>
      <c r="DH261" s="1260">
        <f>IF(Assumptions!DH214&lt;&gt;"",Assumptions!DH214,0)</f>
        <v>0</v>
      </c>
      <c r="DI261" s="482">
        <f>IF(Assumptions!DI214&lt;&gt;"",Assumptions!DI214,0)</f>
        <v>0</v>
      </c>
      <c r="DJ261" s="482">
        <f t="shared" si="856"/>
        <v>0</v>
      </c>
      <c r="DK261" s="1244">
        <f>IF(Assumptions!DK214&lt;&gt;"",Assumptions!DK214,0)</f>
        <v>0</v>
      </c>
      <c r="DL261" s="482">
        <f>IF(Assumptions!DL214&lt;&gt;"",Assumptions!DL214,0)</f>
        <v>0</v>
      </c>
      <c r="DM261" s="482">
        <f t="shared" si="857"/>
        <v>0</v>
      </c>
      <c r="DN261" s="1244">
        <f>IF(Assumptions!DN214&lt;&gt;"",Assumptions!DN214,0)</f>
        <v>0</v>
      </c>
      <c r="DO261" s="1373">
        <v>3.7</v>
      </c>
      <c r="DP261" s="482">
        <f t="shared" si="858"/>
        <v>3.5</v>
      </c>
      <c r="DQ261" s="1374">
        <v>3.5</v>
      </c>
      <c r="DR261" s="1373">
        <v>3.1</v>
      </c>
      <c r="DS261" s="482">
        <f t="shared" si="859"/>
        <v>2.9</v>
      </c>
      <c r="DT261" s="1374">
        <v>2.9</v>
      </c>
      <c r="DU261" s="1373">
        <v>2.5</v>
      </c>
      <c r="DV261" s="482">
        <f t="shared" si="860"/>
        <v>2</v>
      </c>
      <c r="DW261" s="1374">
        <v>2</v>
      </c>
      <c r="DX261" s="1373">
        <v>118.6</v>
      </c>
      <c r="DY261" s="482">
        <f t="shared" si="861"/>
        <v>118.6</v>
      </c>
      <c r="DZ261" s="1244">
        <f>IF(Assumptions!DZ214&lt;&gt;"",Assumptions!DZ214,0)</f>
        <v>118.6</v>
      </c>
      <c r="EA261" s="482">
        <f>IF(Assumptions!EA214&lt;&gt;"",Assumptions!EA214,0)</f>
        <v>118.6</v>
      </c>
      <c r="EB261" s="482">
        <f t="shared" si="862"/>
        <v>118.6</v>
      </c>
      <c r="EC261" s="1244">
        <f>IF(Assumptions!EC214&lt;&gt;"",Assumptions!EC214,0)</f>
        <v>118.6</v>
      </c>
      <c r="ED261" s="482">
        <f>IF(Assumptions!ED214&lt;&gt;"",Assumptions!ED214,0)</f>
        <v>118.6</v>
      </c>
      <c r="EE261" s="482">
        <f t="shared" si="863"/>
        <v>118.6</v>
      </c>
      <c r="EF261" s="1244">
        <f>IF(Assumptions!EF214&lt;&gt;"",Assumptions!EF214,0)</f>
        <v>118.6</v>
      </c>
      <c r="EG261" s="482">
        <f>IF(Assumptions!EG214&lt;&gt;"",Assumptions!EG214,0)</f>
        <v>118.6</v>
      </c>
      <c r="EH261" s="482">
        <f t="shared" si="864"/>
        <v>118.6</v>
      </c>
      <c r="EI261" s="1244">
        <f>IF(Assumptions!EI214&lt;&gt;"",Assumptions!EI214,0)</f>
        <v>118.6</v>
      </c>
      <c r="EJ261" s="482">
        <f>IF(Assumptions!EJ214&lt;&gt;"",Assumptions!EJ214,0)</f>
        <v>118.6</v>
      </c>
      <c r="EK261" s="482">
        <f t="shared" si="865"/>
        <v>118.6</v>
      </c>
      <c r="EL261" s="1244">
        <f>IF(Assumptions!EL214&lt;&gt;"",Assumptions!EL214,0)</f>
        <v>118.6</v>
      </c>
      <c r="EM261" s="482">
        <f>IF(Assumptions!EM214&lt;&gt;"",Assumptions!EM214,0)</f>
        <v>118.6</v>
      </c>
      <c r="EN261" s="482">
        <f t="shared" si="866"/>
        <v>118.6</v>
      </c>
      <c r="EO261" s="1244">
        <f>IF(Assumptions!EO214&lt;&gt;"",Assumptions!EO214,0)</f>
        <v>118.6</v>
      </c>
      <c r="EP261" s="482">
        <f>IF(Assumptions!EP214&lt;&gt;"",Assumptions!EP214,0)</f>
        <v>118.6</v>
      </c>
      <c r="EQ261" s="482">
        <f t="shared" si="867"/>
        <v>118.6</v>
      </c>
      <c r="ER261" s="1244">
        <f>IF(Assumptions!ER214&lt;&gt;"",Assumptions!ER214,0)</f>
        <v>118.6</v>
      </c>
      <c r="ES261" s="482">
        <f>IF(Assumptions!ES214&lt;&gt;"",Assumptions!ES214,0)</f>
        <v>118.6</v>
      </c>
      <c r="ET261" s="482">
        <f t="shared" si="868"/>
        <v>118.6</v>
      </c>
      <c r="EU261" s="1244">
        <f>IF(Assumptions!EU214&lt;&gt;"",Assumptions!EU214,0)</f>
        <v>118.6</v>
      </c>
      <c r="EV261" s="482">
        <f>IF(Assumptions!EV214&lt;&gt;"",Assumptions!EV214,0)</f>
        <v>118.6</v>
      </c>
      <c r="EW261" s="482">
        <f t="shared" si="869"/>
        <v>118.6</v>
      </c>
      <c r="EX261" s="1244">
        <f>IF(Assumptions!EX214&lt;&gt;"",Assumptions!EX214,0)</f>
        <v>118.6</v>
      </c>
      <c r="EY261" s="482">
        <f>IF(Assumptions!EY214&lt;&gt;"",Assumptions!EY214,0)</f>
        <v>118.6</v>
      </c>
      <c r="EZ261" s="482">
        <f t="shared" si="870"/>
        <v>118.6</v>
      </c>
      <c r="FA261" s="1244">
        <f>IF(Assumptions!FA214&lt;&gt;"",Assumptions!FA214,0)</f>
        <v>118.6</v>
      </c>
      <c r="FB261" s="1571"/>
      <c r="FE261"/>
      <c r="FF261"/>
      <c r="FG261"/>
      <c r="FH261"/>
      <c r="FI261"/>
      <c r="FJ261"/>
      <c r="FK261" s="35"/>
    </row>
    <row r="262" spans="2:167" s="236" customFormat="1" ht="13.35" customHeight="1" outlineLevel="1">
      <c r="B262" s="1483" t="s">
        <v>961</v>
      </c>
      <c r="C262" s="1483"/>
      <c r="D262" s="1484"/>
      <c r="E262" s="1485"/>
      <c r="F262" s="1485"/>
      <c r="G262" s="1485"/>
      <c r="H262" s="1485"/>
      <c r="I262" s="1485"/>
      <c r="J262" s="1485"/>
      <c r="K262" s="1485"/>
      <c r="L262" s="1485"/>
      <c r="M262" s="1485"/>
      <c r="N262" s="1485"/>
      <c r="O262" s="1485"/>
      <c r="P262" s="1485"/>
      <c r="Q262" s="1485"/>
      <c r="R262" s="1485"/>
      <c r="S262" s="1485"/>
      <c r="T262" s="1485"/>
      <c r="U262" s="1485"/>
      <c r="V262" s="1485"/>
      <c r="W262" s="1485"/>
      <c r="X262" s="1485"/>
      <c r="Y262" s="1485"/>
      <c r="Z262" s="1485"/>
      <c r="AA262" s="1485"/>
      <c r="AB262" s="1485"/>
      <c r="AC262" s="1485"/>
      <c r="AD262" s="1485"/>
      <c r="AE262" s="1485"/>
      <c r="AF262" s="1485"/>
      <c r="AG262" s="1485"/>
      <c r="AH262" s="1485"/>
      <c r="AI262" s="1485"/>
      <c r="AJ262" s="1485"/>
      <c r="AK262" s="1485"/>
      <c r="AL262" s="1485"/>
      <c r="AM262" s="1485"/>
      <c r="AN262" s="1485"/>
      <c r="AO262" s="1485"/>
      <c r="AP262" s="1485"/>
      <c r="AQ262" s="1485"/>
      <c r="AR262" s="1485"/>
      <c r="AS262" s="1485"/>
      <c r="AT262" s="1485"/>
      <c r="AU262" s="1485"/>
      <c r="AV262" s="1485"/>
      <c r="AW262" s="1485"/>
      <c r="AX262" s="1528"/>
      <c r="AY262" s="1485"/>
      <c r="AZ262" s="1528"/>
      <c r="BA262" s="1528"/>
      <c r="BB262" s="1485"/>
      <c r="BC262" s="1528"/>
      <c r="BD262" s="1485"/>
      <c r="BE262" s="1485"/>
      <c r="BF262" s="1485"/>
      <c r="BG262" s="1485"/>
      <c r="BH262" s="1485"/>
      <c r="BI262" s="1485"/>
      <c r="BJ262" s="1485"/>
      <c r="BK262" s="1485"/>
      <c r="BL262" s="1485"/>
      <c r="BM262" s="1485"/>
      <c r="BN262" s="1485"/>
      <c r="BO262" s="1485"/>
      <c r="BP262" s="1485"/>
      <c r="BQ262" s="1485"/>
      <c r="BR262" s="1485"/>
      <c r="BS262" s="1485"/>
      <c r="BT262" s="1485"/>
      <c r="BU262" s="1485"/>
      <c r="BV262" s="1485"/>
      <c r="BW262" s="1485"/>
      <c r="BX262" s="1485"/>
      <c r="BY262" s="1485"/>
      <c r="BZ262" s="1485"/>
      <c r="CA262" s="1485"/>
      <c r="CB262" s="1485"/>
      <c r="CC262" s="1485"/>
      <c r="CD262" s="1485"/>
      <c r="CE262" s="1485"/>
      <c r="CF262" s="1485"/>
      <c r="CG262" s="1485"/>
      <c r="CH262" s="1485"/>
      <c r="CI262" s="1485"/>
      <c r="CJ262" s="1485"/>
      <c r="CK262" s="1485"/>
      <c r="CL262" s="1485"/>
      <c r="CM262" s="1485"/>
      <c r="CN262" s="1485"/>
      <c r="CO262" s="1485"/>
      <c r="CP262" s="1485"/>
      <c r="CQ262" s="1485"/>
      <c r="CR262" s="1485"/>
      <c r="CS262" s="1485"/>
      <c r="CT262" s="1485"/>
      <c r="CU262" s="1485"/>
      <c r="CV262" s="1485"/>
      <c r="CW262" s="1485"/>
      <c r="CX262" s="1485"/>
      <c r="CY262" s="1485"/>
      <c r="CZ262" s="1485"/>
      <c r="DA262" s="1485"/>
      <c r="DB262" s="1485"/>
      <c r="DC262" s="1485"/>
      <c r="DD262" s="1485"/>
      <c r="DE262" s="1485"/>
      <c r="DF262" s="1485">
        <v>168.8</v>
      </c>
      <c r="DG262" s="1485">
        <f>DH262</f>
        <v>208.3</v>
      </c>
      <c r="DH262" s="1527">
        <v>208.3</v>
      </c>
      <c r="DI262" s="1526">
        <v>195.3</v>
      </c>
      <c r="DJ262" s="1485">
        <f>DK262</f>
        <v>189</v>
      </c>
      <c r="DK262" s="1527">
        <v>189</v>
      </c>
      <c r="DL262" s="1526">
        <v>186.6</v>
      </c>
      <c r="DM262" s="1485">
        <f>DN262</f>
        <v>179</v>
      </c>
      <c r="DN262" s="1486">
        <v>179</v>
      </c>
      <c r="DO262" s="1526">
        <v>177.1</v>
      </c>
      <c r="DP262" s="1485">
        <f>DQ262</f>
        <v>170.5</v>
      </c>
      <c r="DQ262" s="1527">
        <v>170.5</v>
      </c>
      <c r="DR262" s="1526">
        <v>176.2</v>
      </c>
      <c r="DS262" s="1485">
        <f>DT262</f>
        <v>212.4</v>
      </c>
      <c r="DT262" s="1527">
        <v>212.4</v>
      </c>
      <c r="DU262" s="1526">
        <v>214.2</v>
      </c>
      <c r="DV262" s="1485">
        <f>DW262</f>
        <v>203.5</v>
      </c>
      <c r="DW262" s="1527">
        <v>203.5</v>
      </c>
      <c r="DX262" s="1526">
        <v>195.8</v>
      </c>
      <c r="DY262" s="1485">
        <f>DZ262</f>
        <v>175.66445133748695</v>
      </c>
      <c r="DZ262" s="1486">
        <f>DX262-DY65</f>
        <v>175.66445133748695</v>
      </c>
      <c r="EA262" s="1485">
        <f>DZ262-EA65</f>
        <v>154.78354519644142</v>
      </c>
      <c r="EB262" s="1485">
        <f>EC262</f>
        <v>133.25931068497874</v>
      </c>
      <c r="EC262" s="1486">
        <f>DZ262-EC65</f>
        <v>133.25931068497874</v>
      </c>
      <c r="ED262" s="1485">
        <f>EC262-ED65</f>
        <v>110.62750217943274</v>
      </c>
      <c r="EE262" s="1485">
        <f>EF262</f>
        <v>87.295627950159741</v>
      </c>
      <c r="EF262" s="1486">
        <f>EC262-EF65</f>
        <v>87.295627950159741</v>
      </c>
      <c r="EG262" s="1485">
        <f>EF262-EG65</f>
        <v>62.626956679114599</v>
      </c>
      <c r="EH262" s="1485">
        <f>EI262</f>
        <v>37.195213769207029</v>
      </c>
      <c r="EI262" s="1486">
        <f>EF262-EI65</f>
        <v>37.195213769207029</v>
      </c>
      <c r="EJ262" s="1485">
        <f>EI262-EJ65</f>
        <v>10.306362083767819</v>
      </c>
      <c r="EK262" s="1485">
        <f>EL262</f>
        <v>-17.414237688031434</v>
      </c>
      <c r="EL262" s="1486">
        <f>EI262-EL65</f>
        <v>-17.414237688031434</v>
      </c>
      <c r="EM262" s="1485">
        <f>EL262-EM65</f>
        <v>-46.723086025160171</v>
      </c>
      <c r="EN262" s="1485">
        <f>EO262</f>
        <v>-76.938539776421365</v>
      </c>
      <c r="EO262" s="1486">
        <f>EL262-EO65</f>
        <v>-76.938539776421365</v>
      </c>
      <c r="EP262" s="1485">
        <f>EO262-EP65</f>
        <v>-108.88518446389169</v>
      </c>
      <c r="EQ262" s="1485">
        <f>ER262</f>
        <v>-141.82002905276642</v>
      </c>
      <c r="ER262" s="1486">
        <f>EO262-ER65</f>
        <v>-141.82002905276642</v>
      </c>
      <c r="ES262" s="1485">
        <f>ER262-ES65</f>
        <v>-176.64187176210908</v>
      </c>
      <c r="ET262" s="1485">
        <f>EU262</f>
        <v>-212.54085236398251</v>
      </c>
      <c r="EU262" s="1486">
        <f>ER262-EU65</f>
        <v>-212.54085236398251</v>
      </c>
      <c r="EV262" s="1485">
        <f>EU262-EV65</f>
        <v>-250.49666091716603</v>
      </c>
      <c r="EW262" s="1485">
        <f>EX262</f>
        <v>-289.62654977320807</v>
      </c>
      <c r="EX262" s="1486">
        <f>EU262-EX65</f>
        <v>-289.62654977320807</v>
      </c>
      <c r="EY262" s="1485">
        <f>EX262-EY65</f>
        <v>-330.99838109617809</v>
      </c>
      <c r="EZ262" s="1485">
        <f>FA262</f>
        <v>-373.64995994926392</v>
      </c>
      <c r="FA262" s="1486">
        <f>EX262-FA65</f>
        <v>-373.64995994926392</v>
      </c>
      <c r="FB262" s="1571">
        <f>+DV262-DU262</f>
        <v>-10.699999999999989</v>
      </c>
      <c r="FE262"/>
      <c r="FF262"/>
      <c r="FG262"/>
      <c r="FH262"/>
      <c r="FI262"/>
      <c r="FJ262"/>
      <c r="FK262" s="35"/>
    </row>
    <row r="263" spans="2:167" s="236" customFormat="1" ht="13.35" customHeight="1">
      <c r="B263" s="444" t="s">
        <v>773</v>
      </c>
      <c r="C263" s="242" t="s">
        <v>496</v>
      </c>
      <c r="D263" s="243"/>
      <c r="E263" s="482">
        <f>+E246+E247+E250+E251+E252+E258</f>
        <v>0</v>
      </c>
      <c r="F263" s="482">
        <f t="shared" si="820"/>
        <v>0</v>
      </c>
      <c r="G263" s="482">
        <f>+G246+G247+G250+G251+G252+G258</f>
        <v>0</v>
      </c>
      <c r="H263" s="482">
        <f>+H246+H247+H250+H251+H252+H258</f>
        <v>0</v>
      </c>
      <c r="I263" s="482">
        <f t="shared" si="821"/>
        <v>0</v>
      </c>
      <c r="J263" s="482">
        <f>+J246+J247+J250+J251+J252+J258</f>
        <v>0</v>
      </c>
      <c r="K263" s="482">
        <f>+K246+K247+K250+K251+K252+K258</f>
        <v>0</v>
      </c>
      <c r="L263" s="482">
        <f t="shared" si="822"/>
        <v>0</v>
      </c>
      <c r="M263" s="482">
        <f>+M246+M247+M250+M251+M252+M258</f>
        <v>0</v>
      </c>
      <c r="N263" s="482">
        <f>+N246+N247+N250+N251+N252+N258</f>
        <v>0</v>
      </c>
      <c r="O263" s="482">
        <f t="shared" si="823"/>
        <v>0</v>
      </c>
      <c r="P263" s="482">
        <f>+P246+P247+P250+P251+P252+P258</f>
        <v>0</v>
      </c>
      <c r="Q263" s="482">
        <f>+Q246+Q247+Q250+Q251+Q252+Q258</f>
        <v>0</v>
      </c>
      <c r="R263" s="482">
        <f t="shared" si="824"/>
        <v>0</v>
      </c>
      <c r="S263" s="482">
        <f>+S246+S247+S250+S251+S252+S258</f>
        <v>0</v>
      </c>
      <c r="T263" s="482">
        <f>+T246+T247+T250+T251+T252+T258</f>
        <v>0</v>
      </c>
      <c r="U263" s="482">
        <f t="shared" si="825"/>
        <v>0</v>
      </c>
      <c r="V263" s="482">
        <f>+V246+V247+V250+V251+V252+V258</f>
        <v>0</v>
      </c>
      <c r="W263" s="482">
        <f>+W246+W247+W250+W251+W252+W258</f>
        <v>0</v>
      </c>
      <c r="X263" s="482">
        <f t="shared" si="826"/>
        <v>0</v>
      </c>
      <c r="Y263" s="482">
        <f>+Y246+Y247+Y250+Y251+Y252+Y258</f>
        <v>0</v>
      </c>
      <c r="Z263" s="482">
        <f>+Z246+Z247+Z250+Z251+Z252+Z258</f>
        <v>0</v>
      </c>
      <c r="AA263" s="482">
        <f t="shared" si="827"/>
        <v>0</v>
      </c>
      <c r="AB263" s="482">
        <f>+AB246+AB247+AB250+AB251+AB252+AB258</f>
        <v>0</v>
      </c>
      <c r="AC263" s="482">
        <f>+AC246+AC247+AC250+AC251+AC252+AC258</f>
        <v>0</v>
      </c>
      <c r="AD263" s="482">
        <f t="shared" si="828"/>
        <v>0</v>
      </c>
      <c r="AE263" s="482">
        <f>+AE246+AE247+AE250+AE251+AE252+AE258</f>
        <v>0</v>
      </c>
      <c r="AF263" s="482">
        <f>+AF246+AF247+AF250+AF251+AF252+AF258</f>
        <v>0</v>
      </c>
      <c r="AG263" s="482">
        <f t="shared" si="829"/>
        <v>0</v>
      </c>
      <c r="AH263" s="482">
        <f>+AH246+AH247+AH250+AH251+AH252+AH258</f>
        <v>0</v>
      </c>
      <c r="AI263" s="482">
        <f>+AI246+AI247+AI250+AI251+AI252+AI258</f>
        <v>12.516999999999999</v>
      </c>
      <c r="AJ263" s="482">
        <f t="shared" si="830"/>
        <v>12.577999999999999</v>
      </c>
      <c r="AK263" s="482">
        <f>+AK246+AK247+AK250+AK251+AK252+AK258</f>
        <v>12.577999999999999</v>
      </c>
      <c r="AL263" s="482">
        <f>+AL246+AL247+AL250+AL251+AL252+AL258</f>
        <v>12.061</v>
      </c>
      <c r="AM263" s="482">
        <f t="shared" si="831"/>
        <v>13.019</v>
      </c>
      <c r="AN263" s="482">
        <f>+AN246+AN247+AN250+AN251+AN252+AN258</f>
        <v>13.019</v>
      </c>
      <c r="AO263" s="482">
        <f>+AO246+AO247+AO250+AO251+AO252+AO258</f>
        <v>13.526999999999999</v>
      </c>
      <c r="AP263" s="482">
        <f t="shared" si="832"/>
        <v>13.096</v>
      </c>
      <c r="AQ263" s="482">
        <f>+AQ246+AQ247+AQ250+AQ251+AQ252+AQ258</f>
        <v>13.096</v>
      </c>
      <c r="AR263" s="482">
        <f>+AR246+AR247+AR250+AR251+AR252+AR258</f>
        <v>14.097</v>
      </c>
      <c r="AS263" s="482">
        <f t="shared" si="833"/>
        <v>16.546999999999997</v>
      </c>
      <c r="AT263" s="482">
        <f>+AT246+AT247+AT250+AT251+AT252+AT258</f>
        <v>16.546999999999997</v>
      </c>
      <c r="AU263" s="482">
        <f>+AU246+AU247+AU250+AU251+AU252+AU258</f>
        <v>17.783000000000001</v>
      </c>
      <c r="AV263" s="482">
        <f t="shared" si="834"/>
        <v>18.928000000000001</v>
      </c>
      <c r="AW263" s="482">
        <f>+AW246+AW247+AW250+AW251+AW252+AW258</f>
        <v>18.928000000000001</v>
      </c>
      <c r="AX263" s="482">
        <f>+AX246+AX247+AX250+AX251+AX252+AX258</f>
        <v>21.619</v>
      </c>
      <c r="AY263" s="482">
        <f t="shared" si="835"/>
        <v>21.799999999999997</v>
      </c>
      <c r="AZ263" s="482">
        <f>+AZ246+AZ247+AZ250+AZ251+AZ252+AZ258</f>
        <v>21.799999999999997</v>
      </c>
      <c r="BA263" s="482">
        <f>+BA246+BA247+BA250+BA251+BA252+BA258</f>
        <v>25.454999999999998</v>
      </c>
      <c r="BB263" s="482">
        <f t="shared" si="836"/>
        <v>22.61</v>
      </c>
      <c r="BC263" s="482">
        <f>+BC246+BC247+BC250+BC251+BC252+BC258</f>
        <v>22.61</v>
      </c>
      <c r="BD263" s="482">
        <f>+BD246+BD247+BD250+BD251+BD252+BD258</f>
        <v>26.561999999999998</v>
      </c>
      <c r="BE263" s="482">
        <f t="shared" si="837"/>
        <v>37.249000000000002</v>
      </c>
      <c r="BF263" s="482">
        <f>+BF246+BF247+BF250+BF251+BF252+BF258</f>
        <v>37.249000000000002</v>
      </c>
      <c r="BG263" s="482">
        <f>+BG246+BG247+BG250+BG251+BG252+BG258</f>
        <v>43.220999999999997</v>
      </c>
      <c r="BH263" s="482">
        <f t="shared" si="838"/>
        <v>51.096999999999994</v>
      </c>
      <c r="BI263" s="482">
        <f>+BI246+BI247+BI250+BI251+BI252+BI258</f>
        <v>51.096999999999994</v>
      </c>
      <c r="BJ263" s="482">
        <f>+BJ246+BJ247+BJ250+BJ251+BJ252+BJ258</f>
        <v>60.587999999999994</v>
      </c>
      <c r="BK263" s="482">
        <f t="shared" si="839"/>
        <v>64.137</v>
      </c>
      <c r="BL263" s="482">
        <f>+BL246+BL247+BL250+BL251+BL252+BL258</f>
        <v>64.137</v>
      </c>
      <c r="BM263" s="482">
        <f>+BM246+BM247+BM250+BM251+BM252+BM258</f>
        <v>80.176000000000016</v>
      </c>
      <c r="BN263" s="482">
        <f t="shared" si="840"/>
        <v>251.542</v>
      </c>
      <c r="BO263" s="482">
        <f>+BO246+BO247+BO250+BO251+BO252+BO258</f>
        <v>251.542</v>
      </c>
      <c r="BP263" s="482">
        <f>+BP246+BP247+BP250+BP251+BP252+BP258</f>
        <v>249.33100000000002</v>
      </c>
      <c r="BQ263" s="482">
        <f t="shared" si="841"/>
        <v>266.721</v>
      </c>
      <c r="BR263" s="482">
        <f>+BR246+BR247+BR250+BR251+BR252+BR258</f>
        <v>266.721</v>
      </c>
      <c r="BS263" s="482">
        <f>+BS246+BS247+BS250+BS251+BS252+BS258</f>
        <v>267.12599999999998</v>
      </c>
      <c r="BT263" s="482">
        <f t="shared" si="842"/>
        <v>261.99900000000002</v>
      </c>
      <c r="BU263" s="482">
        <f>+BU246+BU247+BU250+BU251+BU252+BU258</f>
        <v>261.99900000000002</v>
      </c>
      <c r="BV263" s="482">
        <f>+BV246+BV247+BV250+BV251+BV252+BV258</f>
        <v>285.72500000000002</v>
      </c>
      <c r="BW263" s="482">
        <f t="shared" si="843"/>
        <v>285.82</v>
      </c>
      <c r="BX263" s="482">
        <f>+BX246+BX247+BX250+BX251+BX252+BX258</f>
        <v>285.82</v>
      </c>
      <c r="BY263" s="482">
        <f>+BY246+BY247+BY250+BY251+BY252+BY258</f>
        <v>339.072</v>
      </c>
      <c r="BZ263" s="482">
        <f t="shared" si="844"/>
        <v>308.05399999999997</v>
      </c>
      <c r="CA263" s="482">
        <f>+CA246+CA247+CA250+CA251+CA252+CA258</f>
        <v>308.05399999999997</v>
      </c>
      <c r="CB263" s="482">
        <f>+CB246+CB247+CB250+CB251+CB252+CB258</f>
        <v>319.16500000000002</v>
      </c>
      <c r="CC263" s="482">
        <f t="shared" si="845"/>
        <v>303.83100000000002</v>
      </c>
      <c r="CD263" s="562">
        <f>+CD246+CD247+CD250+CD251+CD252+CD258</f>
        <v>303.83100000000002</v>
      </c>
      <c r="CE263" s="562">
        <f>+CE246+CE247+CE250+CE251+CE252+CE258</f>
        <v>318.31899999999996</v>
      </c>
      <c r="CF263" s="562">
        <f t="shared" si="846"/>
        <v>311.16300000000001</v>
      </c>
      <c r="CG263" s="562">
        <f>+CG246+CG247+CG250+CG251+CG252+CG258</f>
        <v>311.16300000000001</v>
      </c>
      <c r="CH263" s="562">
        <f>+CH246+CH247+CH250+CH251+CH252+CH258</f>
        <v>320.39300000000003</v>
      </c>
      <c r="CI263" s="562">
        <f t="shared" si="847"/>
        <v>328.66099999999994</v>
      </c>
      <c r="CJ263" s="562">
        <f>+CJ246+CJ247+CJ250+CJ251+CJ252+CJ258</f>
        <v>328.66099999999994</v>
      </c>
      <c r="CK263" s="562">
        <f>+CK246+CK247+CK250+CK251+CK252+CK258</f>
        <v>342.089</v>
      </c>
      <c r="CL263" s="562">
        <f t="shared" si="848"/>
        <v>359.279</v>
      </c>
      <c r="CM263" s="562">
        <f>+CM246+CM247+CM250+CM251+CM252+CM258</f>
        <v>359.279</v>
      </c>
      <c r="CN263" s="562">
        <f>+CN246+CN247+CN250+CN251+CN252+CN258</f>
        <v>383.05200000000002</v>
      </c>
      <c r="CO263" s="562">
        <f t="shared" si="849"/>
        <v>368.15700000000004</v>
      </c>
      <c r="CP263" s="562">
        <f>+CP246+CP247+CP250+CP251+CP252+CP258</f>
        <v>368.15700000000004</v>
      </c>
      <c r="CQ263" s="562">
        <f>+CQ246+CQ247+CQ250+CQ251+CQ252+CQ258</f>
        <v>379.89</v>
      </c>
      <c r="CR263" s="562">
        <f t="shared" si="850"/>
        <v>380.03</v>
      </c>
      <c r="CS263" s="562">
        <f>+CS246+CS247+CS250+CS251+CS252+CS258</f>
        <v>380.03</v>
      </c>
      <c r="CT263" s="562">
        <f>+CT246+CT247+CT250+CT251+CT252+CT258</f>
        <v>398.15300000000002</v>
      </c>
      <c r="CU263" s="562">
        <f t="shared" si="851"/>
        <v>414.33499999999998</v>
      </c>
      <c r="CV263" s="562">
        <f>+CV246+CV247+CV250+CV251+CV252+CV258</f>
        <v>414.33499999999998</v>
      </c>
      <c r="CW263" s="562">
        <f>+CW246+CW247+CW250+CW251+CW252+CW258</f>
        <v>411.959</v>
      </c>
      <c r="CX263" s="562">
        <f t="shared" si="852"/>
        <v>550.399</v>
      </c>
      <c r="CY263" s="562">
        <f>+CY246+CY247+CY250+CY251+CY252+CY258</f>
        <v>550.399</v>
      </c>
      <c r="CZ263" s="562">
        <f>+CZ246+CZ247+CZ250+CZ251+CZ252+CZ258</f>
        <v>563.4</v>
      </c>
      <c r="DA263" s="562">
        <f t="shared" si="853"/>
        <v>572.70000000000005</v>
      </c>
      <c r="DB263" s="562">
        <f>+DB246+DB247+DB250+DB251+DB252+DB258</f>
        <v>572.70000000000005</v>
      </c>
      <c r="DC263" s="562">
        <f>+DC246+DC247+DC250+DC251+DC252+DC258</f>
        <v>642.29999999999995</v>
      </c>
      <c r="DD263" s="562">
        <f t="shared" si="854"/>
        <v>744.19999999999993</v>
      </c>
      <c r="DE263" s="562">
        <f>+DE246+DE247+DE250+DE251+DE252+DE258</f>
        <v>744.19999999999993</v>
      </c>
      <c r="DF263" s="562">
        <f>+DF246+DF247+DF250+DF251+DF252+DF258+DF262</f>
        <v>989</v>
      </c>
      <c r="DG263" s="562">
        <f t="shared" si="855"/>
        <v>1098.2</v>
      </c>
      <c r="DH263" s="1274">
        <f>+DH246+DH247+DH250+DH251+DH252+DH258+DH262</f>
        <v>1098.2</v>
      </c>
      <c r="DI263" s="562">
        <f>+DI246+DI247+DI250+DI251+DI252+DI258+DI262</f>
        <v>1176.8999999999999</v>
      </c>
      <c r="DJ263" s="562">
        <f>+DK263</f>
        <v>1208.2</v>
      </c>
      <c r="DK263" s="1274">
        <f>+DK246+DK247+DK250+DK251+DK252+DK258+DK262</f>
        <v>1208.2</v>
      </c>
      <c r="DL263" s="562">
        <f>+DL246+DL247+DL250+DL251+DL252+DL258+DL262</f>
        <v>1230</v>
      </c>
      <c r="DM263" s="562">
        <f>+DN263</f>
        <v>1138.0999999999999</v>
      </c>
      <c r="DN263" s="1274">
        <f>+DN246+DN247+DN250+DN251+DN252+DN258+DN262</f>
        <v>1138.0999999999999</v>
      </c>
      <c r="DO263" s="562">
        <f>+DO246+DO247+DO250+DO251+DO252+DO258+DO262</f>
        <v>1151.3</v>
      </c>
      <c r="DP263" s="562">
        <f>+DQ263</f>
        <v>1207.2</v>
      </c>
      <c r="DQ263" s="1274">
        <f>+DQ246+DQ247+DQ250+DQ251+DQ252+DQ258+DQ262</f>
        <v>1207.2</v>
      </c>
      <c r="DR263" s="562">
        <f>+DR246+DR247+DR250+DR251+DR252+DR258+DR262</f>
        <v>1203.0999999999999</v>
      </c>
      <c r="DS263" s="562">
        <f>+DT263</f>
        <v>1293</v>
      </c>
      <c r="DT263" s="1274">
        <f>+DT246+DT247+DT250+DT251+DT252+DT258+DT262</f>
        <v>1293</v>
      </c>
      <c r="DU263" s="562">
        <f>+DU246+DU247+DU250+DU251+DU252+DU258+DU262</f>
        <v>1375.5</v>
      </c>
      <c r="DV263" s="562">
        <f>+DW263</f>
        <v>1408.2</v>
      </c>
      <c r="DW263" s="1274">
        <f>+DW246+DW247+DW250+DW251+DW252+DW258+DW262</f>
        <v>1408.2</v>
      </c>
      <c r="DX263" s="562">
        <f>+DX246+DX247+DX250+DX251+DX252+DX258+DX262</f>
        <v>1420.8</v>
      </c>
      <c r="DY263" s="562">
        <f>+DZ263</f>
        <v>1427.7961485962874</v>
      </c>
      <c r="DZ263" s="1274">
        <f>+DZ246+DZ247+DZ250+DZ251+DZ252+DZ258+DZ262</f>
        <v>1427.7961485962874</v>
      </c>
      <c r="EA263" s="562">
        <f>+EA246+EA247+EA250+EA251+EA252+EA258+EA262</f>
        <v>1400.3068507154562</v>
      </c>
      <c r="EB263" s="562">
        <f>+EC263</f>
        <v>1372.7408590389471</v>
      </c>
      <c r="EC263" s="1274">
        <f>+EC246+EC247+EC250+EC251+EC252+EC258+EC262</f>
        <v>1372.7408590389471</v>
      </c>
      <c r="ED263" s="562">
        <f>+ED246+ED247+ED250+ED251+ED252+ED258+ED262</f>
        <v>1376.5128271232047</v>
      </c>
      <c r="EE263" s="562">
        <f>+EF263</f>
        <v>1380.4014728280836</v>
      </c>
      <c r="EF263" s="1274">
        <f>+EF246+EF247+EF250+EF251+EF252+EF258+EF262</f>
        <v>1380.4014728280836</v>
      </c>
      <c r="EG263" s="562">
        <f>+EG246+EG247+EG250+EG251+EG252+EG258+EG262</f>
        <v>1384.5129180399242</v>
      </c>
      <c r="EH263" s="562">
        <f>+EI263</f>
        <v>1388.7515418582423</v>
      </c>
      <c r="EI263" s="1274">
        <f>+EI246+EI247+EI250+EI251+EI252+EI258+EI262</f>
        <v>1388.7515418582423</v>
      </c>
      <c r="EJ263" s="562">
        <f>+EJ246+EJ247+EJ250+EJ251+EJ252+EJ258+EJ262</f>
        <v>1393.2330171391488</v>
      </c>
      <c r="EK263" s="562">
        <f>+EL263</f>
        <v>1397.8531171011152</v>
      </c>
      <c r="EL263" s="1274">
        <f>+EL246+EL247+EL250+EL251+EL252+EL258+EL262</f>
        <v>1397.8531171011152</v>
      </c>
      <c r="EM263" s="562">
        <f>+EM246+EM247+EM250+EM251+EM252+EM258+EM262</f>
        <v>1402.7379251573034</v>
      </c>
      <c r="EN263" s="562">
        <f>+EO263</f>
        <v>1407.773834115847</v>
      </c>
      <c r="EO263" s="1274">
        <f>+EO246+EO247+EO250+EO251+EO252+EO258+EO262</f>
        <v>1407.773834115847</v>
      </c>
      <c r="EP263" s="562">
        <f>+EP246+EP247+EP250+EP251+EP252+EP258+EP262</f>
        <v>1413.0982748970921</v>
      </c>
      <c r="EQ263" s="562">
        <f>+ER263</f>
        <v>1418.5874156619043</v>
      </c>
      <c r="ER263" s="1274">
        <f>+ER246+ER247+ER250+ER251+ER252+ER258+ER262</f>
        <v>1418.5874156619043</v>
      </c>
      <c r="ES263" s="562">
        <f>+ES246+ES247+ES250+ES251+ES252+ES258+ES262</f>
        <v>1424.3910561134614</v>
      </c>
      <c r="ET263" s="562">
        <f>+EU263</f>
        <v>1430.374219547107</v>
      </c>
      <c r="EU263" s="1274">
        <f>+EU246+EU247+EU250+EU251+EU252+EU258+EU262</f>
        <v>1430.374219547107</v>
      </c>
      <c r="EV263" s="562">
        <f>+EV246+EV247+EV250+EV251+EV252+EV258+EV262</f>
        <v>1436.700187639304</v>
      </c>
      <c r="EW263" s="562">
        <f>+EX263</f>
        <v>1443.2218357819779</v>
      </c>
      <c r="EX263" s="1274">
        <f>+EX246+EX247+EX250+EX251+EX252+EX258+EX262</f>
        <v>1443.2218357819779</v>
      </c>
      <c r="EY263" s="562">
        <f>+EY246+EY247+EY250+EY251+EY252+EY258+EY262</f>
        <v>1450.1171410024729</v>
      </c>
      <c r="EZ263" s="562">
        <f>+FA263</f>
        <v>1457.2257374779874</v>
      </c>
      <c r="FA263" s="1274">
        <f>+FA246+FA247+FA250+FA251+FA252+FA258+FA262</f>
        <v>1457.2257374779874</v>
      </c>
      <c r="FB263" s="1571"/>
      <c r="FE263"/>
      <c r="FF263"/>
      <c r="FG263"/>
      <c r="FH263"/>
      <c r="FI263"/>
      <c r="FJ263"/>
      <c r="FK263" s="35"/>
    </row>
    <row r="264" spans="2:167" s="236" customFormat="1" ht="13.35" customHeight="1">
      <c r="B264" s="444" t="s">
        <v>774</v>
      </c>
      <c r="C264" s="242" t="s">
        <v>496</v>
      </c>
      <c r="D264" s="243"/>
      <c r="E264" s="509">
        <f>+E244+E263</f>
        <v>0</v>
      </c>
      <c r="F264" s="509">
        <f t="shared" si="820"/>
        <v>0</v>
      </c>
      <c r="G264" s="509">
        <f>+G244+G263</f>
        <v>0</v>
      </c>
      <c r="H264" s="509">
        <f>+H244+H263</f>
        <v>0</v>
      </c>
      <c r="I264" s="509">
        <f t="shared" si="821"/>
        <v>0</v>
      </c>
      <c r="J264" s="509">
        <f>+J244+J263</f>
        <v>0</v>
      </c>
      <c r="K264" s="509">
        <f>+K244+K263</f>
        <v>0</v>
      </c>
      <c r="L264" s="509">
        <f t="shared" si="822"/>
        <v>0</v>
      </c>
      <c r="M264" s="509">
        <f>+M244+M263</f>
        <v>0</v>
      </c>
      <c r="N264" s="509">
        <f>+N244+N263</f>
        <v>0</v>
      </c>
      <c r="O264" s="509">
        <f t="shared" si="823"/>
        <v>0</v>
      </c>
      <c r="P264" s="509">
        <f>+P244+P263</f>
        <v>0</v>
      </c>
      <c r="Q264" s="509">
        <f>+Q244+Q263</f>
        <v>0</v>
      </c>
      <c r="R264" s="509">
        <f t="shared" si="824"/>
        <v>0</v>
      </c>
      <c r="S264" s="509">
        <f>+S244+S263</f>
        <v>0</v>
      </c>
      <c r="T264" s="509">
        <f>+T244+T263</f>
        <v>0</v>
      </c>
      <c r="U264" s="509">
        <f t="shared" si="825"/>
        <v>0</v>
      </c>
      <c r="V264" s="509">
        <f>+V244+V263</f>
        <v>0</v>
      </c>
      <c r="W264" s="509">
        <f>+W244+W263</f>
        <v>0</v>
      </c>
      <c r="X264" s="509">
        <f t="shared" si="826"/>
        <v>0</v>
      </c>
      <c r="Y264" s="509">
        <f>+Y244+Y263</f>
        <v>0</v>
      </c>
      <c r="Z264" s="509">
        <f>+Z244+Z263</f>
        <v>0</v>
      </c>
      <c r="AA264" s="509">
        <f t="shared" si="827"/>
        <v>0</v>
      </c>
      <c r="AB264" s="509">
        <f>+AB244+AB263</f>
        <v>0</v>
      </c>
      <c r="AC264" s="509">
        <f>+AC244+AC263</f>
        <v>0</v>
      </c>
      <c r="AD264" s="509">
        <f t="shared" si="828"/>
        <v>0</v>
      </c>
      <c r="AE264" s="509">
        <f>+AE244+AE263</f>
        <v>0</v>
      </c>
      <c r="AF264" s="509">
        <f>+AF244+AF263</f>
        <v>0</v>
      </c>
      <c r="AG264" s="509">
        <f t="shared" si="829"/>
        <v>0</v>
      </c>
      <c r="AH264" s="509">
        <f>+AH244+AH263</f>
        <v>0</v>
      </c>
      <c r="AI264" s="509">
        <f>+AI244+AI263</f>
        <v>42.954000000000001</v>
      </c>
      <c r="AJ264" s="509">
        <f t="shared" si="830"/>
        <v>37.599999999999994</v>
      </c>
      <c r="AK264" s="509">
        <f>+AK244+AK263</f>
        <v>37.599999999999994</v>
      </c>
      <c r="AL264" s="509">
        <f>+AL244+AL263</f>
        <v>40.859000000000002</v>
      </c>
      <c r="AM264" s="509">
        <f t="shared" si="831"/>
        <v>48.241999999999997</v>
      </c>
      <c r="AN264" s="509">
        <f>+AN244+AN263</f>
        <v>48.241999999999997</v>
      </c>
      <c r="AO264" s="509">
        <f>+AO244+AO263</f>
        <v>44.986000000000004</v>
      </c>
      <c r="AP264" s="509">
        <f t="shared" si="832"/>
        <v>51.286999999999992</v>
      </c>
      <c r="AQ264" s="509">
        <f>+AQ244+AQ263</f>
        <v>51.286999999999992</v>
      </c>
      <c r="AR264" s="509">
        <f>+AR244+AR263</f>
        <v>60.435999999999993</v>
      </c>
      <c r="AS264" s="509">
        <f t="shared" si="833"/>
        <v>69.113</v>
      </c>
      <c r="AT264" s="509">
        <f>+AT244+AT263</f>
        <v>69.113</v>
      </c>
      <c r="AU264" s="509">
        <f>+AU244+AU263</f>
        <v>78.61099999999999</v>
      </c>
      <c r="AV264" s="509">
        <f t="shared" si="834"/>
        <v>82.939000000000007</v>
      </c>
      <c r="AW264" s="509">
        <f>+AW244+AW263</f>
        <v>82.939000000000007</v>
      </c>
      <c r="AX264" s="509">
        <f>+AX244+AX263</f>
        <v>89.536000000000001</v>
      </c>
      <c r="AY264" s="509">
        <f t="shared" si="835"/>
        <v>93.771000000000001</v>
      </c>
      <c r="AZ264" s="509">
        <f>+AZ244+AZ263</f>
        <v>93.771000000000001</v>
      </c>
      <c r="BA264" s="509">
        <f>+BA244+BA263</f>
        <v>114.54599999999999</v>
      </c>
      <c r="BB264" s="509">
        <f t="shared" si="836"/>
        <v>129.048</v>
      </c>
      <c r="BC264" s="509">
        <f>+BC244+BC263</f>
        <v>129.048</v>
      </c>
      <c r="BD264" s="509">
        <f>+BD244+BD263</f>
        <v>136.55700000000002</v>
      </c>
      <c r="BE264" s="509">
        <f t="shared" si="837"/>
        <v>160.428</v>
      </c>
      <c r="BF264" s="509">
        <f>+BF244+BF263</f>
        <v>160.428</v>
      </c>
      <c r="BG264" s="509">
        <f>+BG244+BG263</f>
        <v>191.11700000000002</v>
      </c>
      <c r="BH264" s="509">
        <f t="shared" si="838"/>
        <v>230.57900000000001</v>
      </c>
      <c r="BI264" s="509">
        <f>+BI244+BI263</f>
        <v>230.57900000000001</v>
      </c>
      <c r="BJ264" s="509">
        <f>+BJ244+BJ263</f>
        <v>280.16399999999999</v>
      </c>
      <c r="BK264" s="509">
        <f t="shared" si="839"/>
        <v>264.53899999999999</v>
      </c>
      <c r="BL264" s="509">
        <f>+BL244+BL263</f>
        <v>264.53899999999999</v>
      </c>
      <c r="BM264" s="509">
        <f>+BM244+BM263</f>
        <v>281.49400000000003</v>
      </c>
      <c r="BN264" s="509">
        <f t="shared" si="840"/>
        <v>502.69600000000003</v>
      </c>
      <c r="BO264" s="509">
        <f>+BO244+BO263</f>
        <v>502.69600000000003</v>
      </c>
      <c r="BP264" s="509">
        <f>+BP244+BP263</f>
        <v>527.37</v>
      </c>
      <c r="BQ264" s="509">
        <f t="shared" si="841"/>
        <v>545.92399999999998</v>
      </c>
      <c r="BR264" s="509">
        <f>+BR244+BR263</f>
        <v>545.92399999999998</v>
      </c>
      <c r="BS264" s="602">
        <f>+BS244+BS263</f>
        <v>565.76299999999992</v>
      </c>
      <c r="BT264" s="509">
        <f t="shared" si="842"/>
        <v>585.73700000000008</v>
      </c>
      <c r="BU264" s="509">
        <f>+BU244+BU263</f>
        <v>585.73700000000008</v>
      </c>
      <c r="BV264" s="509">
        <f>+BV244+BV263</f>
        <v>610.99800000000005</v>
      </c>
      <c r="BW264" s="509">
        <f t="shared" si="843"/>
        <v>607.91599999999994</v>
      </c>
      <c r="BX264" s="509">
        <f>+BX244+BX263</f>
        <v>607.91599999999994</v>
      </c>
      <c r="BY264" s="509">
        <f>+BY244+BY263</f>
        <v>720.89499999999998</v>
      </c>
      <c r="BZ264" s="509">
        <f t="shared" si="844"/>
        <v>679.37300000000005</v>
      </c>
      <c r="CA264" s="509">
        <f>+CA244+CA263</f>
        <v>679.37300000000005</v>
      </c>
      <c r="CB264" s="509">
        <f>+CB244+CB263</f>
        <v>739.80200000000002</v>
      </c>
      <c r="CC264" s="509">
        <f t="shared" si="845"/>
        <v>751.71899999999994</v>
      </c>
      <c r="CD264" s="581">
        <f>+CD244+CD263</f>
        <v>751.71899999999994</v>
      </c>
      <c r="CE264" s="581">
        <f>+CE244+CE263</f>
        <v>751.19100000000003</v>
      </c>
      <c r="CF264" s="581">
        <f t="shared" si="846"/>
        <v>741.04700000000003</v>
      </c>
      <c r="CG264" s="581">
        <f>+CG244+CG263</f>
        <v>741.04700000000003</v>
      </c>
      <c r="CH264" s="581">
        <f>+CH244+CH263</f>
        <v>697.80700000000002</v>
      </c>
      <c r="CI264" s="581">
        <f t="shared" si="847"/>
        <v>702.54199999999992</v>
      </c>
      <c r="CJ264" s="581">
        <f>+CJ244+CJ263</f>
        <v>702.54199999999992</v>
      </c>
      <c r="CK264" s="581">
        <f>+CK244+CK263</f>
        <v>742.36099999999999</v>
      </c>
      <c r="CL264" s="581">
        <f t="shared" si="848"/>
        <v>764.50099999999998</v>
      </c>
      <c r="CM264" s="581">
        <f>+CM244+CM263</f>
        <v>764.50099999999998</v>
      </c>
      <c r="CN264" s="581">
        <f>+CN244+CN263</f>
        <v>811.67500000000007</v>
      </c>
      <c r="CO264" s="581">
        <f t="shared" si="849"/>
        <v>789.03600000000006</v>
      </c>
      <c r="CP264" s="581">
        <f>+CP244+CP263</f>
        <v>789.03600000000006</v>
      </c>
      <c r="CQ264" s="581">
        <f>+CQ244+CQ263</f>
        <v>827.75800000000004</v>
      </c>
      <c r="CR264" s="581">
        <f t="shared" si="850"/>
        <v>869.05600000000004</v>
      </c>
      <c r="CS264" s="581">
        <f>+CS244+CS263</f>
        <v>869.05600000000004</v>
      </c>
      <c r="CT264" s="581">
        <f>+CT244+CT263</f>
        <v>924.13400000000001</v>
      </c>
      <c r="CU264" s="581">
        <f t="shared" si="851"/>
        <v>957.36300000000006</v>
      </c>
      <c r="CV264" s="581">
        <f>+CV244+CV263</f>
        <v>957.36300000000006</v>
      </c>
      <c r="CW264" s="581">
        <f>+CW244+CW263</f>
        <v>983.66399999999999</v>
      </c>
      <c r="CX264" s="581">
        <f t="shared" si="852"/>
        <v>1136.3589999999999</v>
      </c>
      <c r="CY264" s="581">
        <f>+CY244+CY263</f>
        <v>1136.3589999999999</v>
      </c>
      <c r="CZ264" s="581">
        <f>+CZ244+CZ263</f>
        <v>1184.4000000000001</v>
      </c>
      <c r="DA264" s="581">
        <f t="shared" si="853"/>
        <v>1156.9000000000001</v>
      </c>
      <c r="DB264" s="581">
        <f>+DB244+DB263</f>
        <v>1156.9000000000001</v>
      </c>
      <c r="DC264" s="581">
        <f>+DC244+DC263</f>
        <v>1248.9000000000001</v>
      </c>
      <c r="DD264" s="581">
        <f t="shared" si="854"/>
        <v>1379.1999999999998</v>
      </c>
      <c r="DE264" s="581">
        <f>+DE244+DE263</f>
        <v>1379.1999999999998</v>
      </c>
      <c r="DF264" s="581">
        <f>+DF244+DF263</f>
        <v>1642.9</v>
      </c>
      <c r="DG264" s="581">
        <f t="shared" si="855"/>
        <v>2575.6999999999998</v>
      </c>
      <c r="DH264" s="1280">
        <f>+DH244+DH263</f>
        <v>2575.6999999999998</v>
      </c>
      <c r="DI264" s="562">
        <f>+DI244+DI263</f>
        <v>2360.4</v>
      </c>
      <c r="DJ264" s="562">
        <f t="shared" si="856"/>
        <v>2438.1999999999998</v>
      </c>
      <c r="DK264" s="1274">
        <f>+DK244+DK263</f>
        <v>2438.1999999999998</v>
      </c>
      <c r="DL264" s="562">
        <f>+DL244+DL263</f>
        <v>2432</v>
      </c>
      <c r="DM264" s="562">
        <f t="shared" si="857"/>
        <v>2465.1</v>
      </c>
      <c r="DN264" s="1274">
        <f>+DN244+DN263</f>
        <v>2465.1</v>
      </c>
      <c r="DO264" s="562">
        <f>+DO244+DO263</f>
        <v>2466.6999999999998</v>
      </c>
      <c r="DP264" s="562">
        <f t="shared" si="858"/>
        <v>2568.6999999999998</v>
      </c>
      <c r="DQ264" s="1274">
        <f>+DQ244+DQ263</f>
        <v>2568.6999999999998</v>
      </c>
      <c r="DR264" s="562">
        <f>+DR244+DR263</f>
        <v>2530.5</v>
      </c>
      <c r="DS264" s="562">
        <f t="shared" si="859"/>
        <v>2745.1000000000004</v>
      </c>
      <c r="DT264" s="1274">
        <f>+DT244+DT263</f>
        <v>2745.1000000000004</v>
      </c>
      <c r="DU264" s="562">
        <f>+DU244+DU263</f>
        <v>2786.1000000000004</v>
      </c>
      <c r="DV264" s="562">
        <f t="shared" ref="DV264" si="871">+DW264</f>
        <v>2825</v>
      </c>
      <c r="DW264" s="1274">
        <f>+DW244+DW263</f>
        <v>2825</v>
      </c>
      <c r="DX264" s="562">
        <f>+DX244+DX263</f>
        <v>2793.7</v>
      </c>
      <c r="DY264" s="562">
        <f t="shared" si="861"/>
        <v>2797.5628721086132</v>
      </c>
      <c r="DZ264" s="1274">
        <f>+DZ244+DZ263</f>
        <v>2797.5628721086132</v>
      </c>
      <c r="EA264" s="562">
        <f>+EA244+EA263</f>
        <v>2824.2339830719011</v>
      </c>
      <c r="EB264" s="562">
        <f t="shared" si="862"/>
        <v>2818.2571866219387</v>
      </c>
      <c r="EC264" s="1274">
        <f>+EC244+EC263</f>
        <v>2818.2571866219387</v>
      </c>
      <c r="ED264" s="562">
        <f>+ED244+ED263</f>
        <v>2869.9124241186937</v>
      </c>
      <c r="EE264" s="562">
        <f t="shared" si="863"/>
        <v>2898.4974560567925</v>
      </c>
      <c r="EF264" s="1274">
        <f>+EF244+EF263</f>
        <v>2898.4974560567925</v>
      </c>
      <c r="EG264" s="562">
        <f>+EG244+EG263</f>
        <v>2963.5642124188685</v>
      </c>
      <c r="EH264" s="562">
        <f>+EI264</f>
        <v>3000.9351490572781</v>
      </c>
      <c r="EI264" s="1274">
        <f>+EI244+EI263</f>
        <v>3000.9351490572781</v>
      </c>
      <c r="EJ264" s="562">
        <f>+EJ244+EJ263</f>
        <v>3125.4495012471452</v>
      </c>
      <c r="EK264" s="562">
        <f>+EL264</f>
        <v>3222.5573165590718</v>
      </c>
      <c r="EL264" s="1274">
        <f>+EL244+EL263</f>
        <v>3222.5573165590718</v>
      </c>
      <c r="EM264" s="562">
        <f>+EM244+EM263</f>
        <v>3358.8023146365113</v>
      </c>
      <c r="EN264" s="562">
        <f>+EO264</f>
        <v>3466.1424416885261</v>
      </c>
      <c r="EO264" s="1274">
        <f>+EO244+EO263</f>
        <v>3466.1424416885261</v>
      </c>
      <c r="EP264" s="562">
        <f>+EP244+EP263</f>
        <v>3615.2965878806845</v>
      </c>
      <c r="EQ264" s="562">
        <f>+ER264</f>
        <v>3733.5415006677799</v>
      </c>
      <c r="ER264" s="1274">
        <f>+ER244+ER263</f>
        <v>3733.5415006677799</v>
      </c>
      <c r="ES264" s="562">
        <f>+ES244+ES263</f>
        <v>3897.457033250731</v>
      </c>
      <c r="ET264" s="562">
        <f>+EU264</f>
        <v>4027.6387763971352</v>
      </c>
      <c r="EU264" s="1274">
        <f>+EU244+EU263</f>
        <v>4027.6387763971352</v>
      </c>
      <c r="EV264" s="562">
        <f>+EV244+EV263</f>
        <v>4207.7025830223529</v>
      </c>
      <c r="EW264" s="562">
        <f>+EX264</f>
        <v>4350.9489418458816</v>
      </c>
      <c r="EX264" s="1274">
        <f>+EX244+EX263</f>
        <v>4350.9489418458816</v>
      </c>
      <c r="EY264" s="562">
        <f>+EY244+EY263</f>
        <v>4548.6772553351584</v>
      </c>
      <c r="EZ264" s="562">
        <f>+FA264</f>
        <v>4706.2208773164148</v>
      </c>
      <c r="FA264" s="1274">
        <f>+FA244+FA263</f>
        <v>4706.2208773164148</v>
      </c>
      <c r="FB264" s="1571"/>
      <c r="FE264"/>
      <c r="FF264"/>
      <c r="FG264"/>
      <c r="FH264"/>
      <c r="FI264"/>
      <c r="FJ264"/>
      <c r="FK264" s="35"/>
    </row>
    <row r="265" spans="2:167" s="236" customFormat="1" ht="11.25" customHeight="1">
      <c r="B265" s="242"/>
      <c r="C265" s="242"/>
      <c r="D265" s="243"/>
      <c r="E265" s="482"/>
      <c r="F265" s="482"/>
      <c r="G265" s="482"/>
      <c r="H265" s="482"/>
      <c r="I265" s="482"/>
      <c r="J265" s="482"/>
      <c r="K265" s="482"/>
      <c r="L265" s="482"/>
      <c r="M265" s="482"/>
      <c r="N265" s="482"/>
      <c r="O265" s="482"/>
      <c r="P265" s="482"/>
      <c r="Q265" s="482"/>
      <c r="R265" s="482"/>
      <c r="S265" s="482"/>
      <c r="T265" s="482"/>
      <c r="U265" s="482"/>
      <c r="V265" s="482"/>
      <c r="W265" s="482"/>
      <c r="X265" s="482"/>
      <c r="Y265" s="482"/>
      <c r="Z265" s="482"/>
      <c r="AA265" s="482"/>
      <c r="AB265" s="482"/>
      <c r="AC265" s="482"/>
      <c r="AD265" s="482"/>
      <c r="AE265" s="482"/>
      <c r="AF265" s="482"/>
      <c r="AG265" s="482"/>
      <c r="AH265" s="482"/>
      <c r="AI265" s="482"/>
      <c r="AJ265" s="482"/>
      <c r="AK265" s="482"/>
      <c r="AL265" s="482"/>
      <c r="AM265" s="482"/>
      <c r="AN265" s="482"/>
      <c r="AO265" s="482"/>
      <c r="AP265" s="482"/>
      <c r="AQ265" s="482"/>
      <c r="AR265" s="482"/>
      <c r="AS265" s="482"/>
      <c r="AT265" s="482"/>
      <c r="AU265" s="482"/>
      <c r="AV265" s="482"/>
      <c r="AW265" s="482"/>
      <c r="AX265" s="482"/>
      <c r="AY265" s="482"/>
      <c r="AZ265" s="482"/>
      <c r="BA265" s="482"/>
      <c r="BB265" s="482"/>
      <c r="BC265" s="482"/>
      <c r="BD265" s="482"/>
      <c r="BE265" s="482"/>
      <c r="BF265" s="482"/>
      <c r="BG265" s="482"/>
      <c r="BH265" s="482"/>
      <c r="BI265" s="482"/>
      <c r="BJ265" s="482"/>
      <c r="BK265" s="482"/>
      <c r="BL265" s="482"/>
      <c r="BM265" s="482"/>
      <c r="BN265" s="482"/>
      <c r="BO265" s="482"/>
      <c r="BP265" s="482"/>
      <c r="BQ265" s="482"/>
      <c r="BR265" s="482"/>
      <c r="BS265" s="482"/>
      <c r="BT265" s="482"/>
      <c r="BU265" s="482"/>
      <c r="BV265" s="482"/>
      <c r="BW265" s="482"/>
      <c r="BX265" s="482"/>
      <c r="BY265" s="482"/>
      <c r="BZ265" s="482"/>
      <c r="CA265" s="482"/>
      <c r="CB265" s="482"/>
      <c r="CC265" s="482"/>
      <c r="CD265" s="482"/>
      <c r="CE265" s="482"/>
      <c r="CF265" s="562"/>
      <c r="CG265" s="482"/>
      <c r="CH265" s="482"/>
      <c r="CI265" s="562"/>
      <c r="CJ265" s="482"/>
      <c r="CK265" s="482"/>
      <c r="CL265" s="562"/>
      <c r="CM265" s="482"/>
      <c r="CN265" s="482"/>
      <c r="CO265" s="562"/>
      <c r="CP265" s="482"/>
      <c r="CQ265" s="482"/>
      <c r="CR265" s="562"/>
      <c r="CS265" s="482"/>
      <c r="CT265" s="482"/>
      <c r="CU265" s="562"/>
      <c r="CV265" s="482"/>
      <c r="CW265" s="482"/>
      <c r="CX265" s="562"/>
      <c r="CY265" s="482"/>
      <c r="CZ265" s="482"/>
      <c r="DA265" s="562"/>
      <c r="DB265" s="482"/>
      <c r="DC265" s="482"/>
      <c r="DD265" s="562"/>
      <c r="DE265" s="482"/>
      <c r="DF265" s="482"/>
      <c r="DG265" s="562"/>
      <c r="DH265" s="1244"/>
      <c r="DI265" s="482"/>
      <c r="DJ265" s="562"/>
      <c r="DK265" s="1244"/>
      <c r="DL265" s="482"/>
      <c r="DM265" s="562"/>
      <c r="DN265" s="1244"/>
      <c r="DO265" s="482"/>
      <c r="DP265" s="562"/>
      <c r="DQ265" s="1244"/>
      <c r="DR265" s="482"/>
      <c r="DS265" s="562"/>
      <c r="DT265" s="1244"/>
      <c r="DU265" s="482"/>
      <c r="DV265" s="562"/>
      <c r="DW265" s="1244"/>
      <c r="DX265" s="482"/>
      <c r="DY265" s="562"/>
      <c r="DZ265" s="1244"/>
      <c r="EA265" s="482"/>
      <c r="EB265" s="562"/>
      <c r="EC265" s="1244"/>
      <c r="ED265" s="482"/>
      <c r="EE265" s="562"/>
      <c r="EF265" s="1244"/>
      <c r="EG265" s="482"/>
      <c r="EH265" s="562"/>
      <c r="EI265" s="1244"/>
      <c r="EJ265" s="482"/>
      <c r="EK265" s="562"/>
      <c r="EL265" s="1244"/>
      <c r="EM265" s="482"/>
      <c r="EN265" s="562"/>
      <c r="EO265" s="1244"/>
      <c r="EP265" s="482"/>
      <c r="EQ265" s="562"/>
      <c r="ER265" s="1244"/>
      <c r="ES265" s="482"/>
      <c r="ET265" s="562"/>
      <c r="EU265" s="1244"/>
      <c r="EV265" s="482"/>
      <c r="EW265" s="562"/>
      <c r="EX265" s="1244"/>
      <c r="EY265" s="482"/>
      <c r="EZ265" s="562"/>
      <c r="FA265" s="1244"/>
      <c r="FB265" s="1571"/>
      <c r="FE265"/>
      <c r="FF265"/>
      <c r="FG265"/>
      <c r="FH265"/>
      <c r="FI265"/>
      <c r="FJ265"/>
      <c r="FK265" s="35"/>
    </row>
    <row r="266" spans="2:167" s="236" customFormat="1" ht="13.5" thickBot="1">
      <c r="B266" s="242" t="s">
        <v>775</v>
      </c>
      <c r="C266" s="242" t="s">
        <v>496</v>
      </c>
      <c r="D266" s="243"/>
      <c r="E266" s="482">
        <f>+SUM(E267:E268)</f>
        <v>0</v>
      </c>
      <c r="F266" s="482">
        <f t="shared" ref="F266:F287" si="872">+G266</f>
        <v>0</v>
      </c>
      <c r="G266" s="482">
        <f>+SUM(G267:G268)</f>
        <v>0</v>
      </c>
      <c r="H266" s="482">
        <f>+SUM(H267:H268)</f>
        <v>0</v>
      </c>
      <c r="I266" s="482">
        <f t="shared" ref="I266:I287" si="873">+J266</f>
        <v>0</v>
      </c>
      <c r="J266" s="482">
        <f>+SUM(J267:J268)</f>
        <v>0</v>
      </c>
      <c r="K266" s="482">
        <f>+SUM(K267:K268)</f>
        <v>0</v>
      </c>
      <c r="L266" s="482">
        <f t="shared" ref="L266:L287" si="874">+M266</f>
        <v>0</v>
      </c>
      <c r="M266" s="482">
        <f>+SUM(M267:M268)</f>
        <v>0</v>
      </c>
      <c r="N266" s="482">
        <f>+SUM(N267:N268)</f>
        <v>0</v>
      </c>
      <c r="O266" s="482">
        <f t="shared" ref="O266:O287" si="875">+P266</f>
        <v>0</v>
      </c>
      <c r="P266" s="482">
        <f>+SUM(P267:P268)</f>
        <v>0</v>
      </c>
      <c r="Q266" s="482">
        <f>+SUM(Q267:Q268)</f>
        <v>0</v>
      </c>
      <c r="R266" s="482">
        <f t="shared" ref="R266:R287" si="876">+S266</f>
        <v>0</v>
      </c>
      <c r="S266" s="603">
        <f>+SUM(S267:S268)</f>
        <v>0</v>
      </c>
      <c r="T266" s="482">
        <f>+SUM(T267:T268)</f>
        <v>0</v>
      </c>
      <c r="U266" s="482">
        <f t="shared" ref="U266:U287" si="877">+V266</f>
        <v>0</v>
      </c>
      <c r="V266" s="482">
        <f>+SUM(V267:V268)</f>
        <v>0</v>
      </c>
      <c r="W266" s="482">
        <f>+SUM(W267:W268)</f>
        <v>0</v>
      </c>
      <c r="X266" s="482">
        <f t="shared" ref="X266:X287" si="878">+Y266</f>
        <v>0</v>
      </c>
      <c r="Y266" s="482">
        <f>+SUM(Y267:Y268)</f>
        <v>0</v>
      </c>
      <c r="Z266" s="482">
        <f>+SUM(Z267:Z268)</f>
        <v>0</v>
      </c>
      <c r="AA266" s="482">
        <f t="shared" ref="AA266:AA287" si="879">+AB266</f>
        <v>0</v>
      </c>
      <c r="AB266" s="482">
        <f>+SUM(AB267:AB268)</f>
        <v>0</v>
      </c>
      <c r="AC266" s="482">
        <f>+SUM(AC267:AC268)</f>
        <v>0</v>
      </c>
      <c r="AD266" s="482">
        <f t="shared" ref="AD266:AD287" si="880">+AE266</f>
        <v>0</v>
      </c>
      <c r="AE266" s="482">
        <f>+SUM(AE267:AE268)</f>
        <v>0</v>
      </c>
      <c r="AF266" s="482">
        <f>+SUM(AF267:AF268)</f>
        <v>0</v>
      </c>
      <c r="AG266" s="482">
        <f t="shared" ref="AG266:AG287" si="881">+AH266</f>
        <v>0</v>
      </c>
      <c r="AH266" s="482">
        <f>+SUM(AH267:AH268)</f>
        <v>0</v>
      </c>
      <c r="AI266" s="482">
        <f>+SUM(AI267:AI268)</f>
        <v>9.0399999999999991</v>
      </c>
      <c r="AJ266" s="482">
        <f t="shared" ref="AJ266:AJ287" si="882">+AK266</f>
        <v>9.0589999999999993</v>
      </c>
      <c r="AK266" s="482">
        <f>+SUM(AK267:AK268)</f>
        <v>9.0589999999999993</v>
      </c>
      <c r="AL266" s="482">
        <f>+SUM(AL267:AL268)</f>
        <v>9.4499999999999993</v>
      </c>
      <c r="AM266" s="482">
        <f t="shared" ref="AM266:AM287" si="883">+AN266</f>
        <v>11.923</v>
      </c>
      <c r="AN266" s="482">
        <f>+SUM(AN267:AN268)</f>
        <v>11.923</v>
      </c>
      <c r="AO266" s="482">
        <f>+SUM(AO267:AO268)</f>
        <v>11.269</v>
      </c>
      <c r="AP266" s="482">
        <f t="shared" ref="AP266:AP287" si="884">+AQ266</f>
        <v>12.129</v>
      </c>
      <c r="AQ266" s="482">
        <f>+SUM(AQ267:AQ268)</f>
        <v>12.129</v>
      </c>
      <c r="AR266" s="482">
        <f>+SUM(AR267:AR268)</f>
        <v>16.524000000000001</v>
      </c>
      <c r="AS266" s="482">
        <f t="shared" ref="AS266:AS287" si="885">+AT266</f>
        <v>14.833</v>
      </c>
      <c r="AT266" s="482">
        <f>+SUM(AT267:AT268)</f>
        <v>14.833</v>
      </c>
      <c r="AU266" s="482">
        <f>+SUM(AU267:AU268)</f>
        <v>17.459</v>
      </c>
      <c r="AV266" s="482">
        <f t="shared" ref="AV266:AV287" si="886">+AW266</f>
        <v>17.835000000000001</v>
      </c>
      <c r="AW266" s="482">
        <f>+SUM(AW267:AW268)</f>
        <v>17.835000000000001</v>
      </c>
      <c r="AX266" s="482">
        <f>+SUM(AX267:AX268)</f>
        <v>21.969000000000001</v>
      </c>
      <c r="AY266" s="482">
        <f t="shared" ref="AY266:AY287" si="887">+AZ266</f>
        <v>21.879000000000001</v>
      </c>
      <c r="AZ266" s="482">
        <f>+SUM(AZ267:AZ268)</f>
        <v>21.879000000000001</v>
      </c>
      <c r="BA266" s="482">
        <f>+SUM(BA267:BA268)</f>
        <v>23.478999999999999</v>
      </c>
      <c r="BB266" s="482">
        <f t="shared" ref="BB266:BB287" si="888">+BC266</f>
        <v>30.510999999999999</v>
      </c>
      <c r="BC266" s="482">
        <f>+SUM(BC267:BC268)</f>
        <v>30.510999999999999</v>
      </c>
      <c r="BD266" s="482">
        <f>+SUM(BD267:BD268)</f>
        <v>23.263999999999999</v>
      </c>
      <c r="BE266" s="482">
        <f t="shared" ref="BE266:BE287" si="889">+BF266</f>
        <v>21.135999999999999</v>
      </c>
      <c r="BF266" s="482">
        <f>+SUM(BF267:BF268)</f>
        <v>21.135999999999999</v>
      </c>
      <c r="BG266" s="482">
        <f>+SUM(BG267:BG268)</f>
        <v>33.145000000000003</v>
      </c>
      <c r="BH266" s="482">
        <f t="shared" ref="BH266:BH287" si="890">+BI266</f>
        <v>29.34</v>
      </c>
      <c r="BI266" s="482">
        <f>+SUM(BI267:BI268)</f>
        <v>29.34</v>
      </c>
      <c r="BJ266" s="482">
        <f>+SUM(BJ267:BJ268)</f>
        <v>31.747</v>
      </c>
      <c r="BK266" s="482">
        <f t="shared" ref="BK266:BK287" si="891">+BL266</f>
        <v>31.657</v>
      </c>
      <c r="BL266" s="482">
        <f>+SUM(BL267:BL268)</f>
        <v>31.657</v>
      </c>
      <c r="BM266" s="482">
        <f>+SUM(BM267:BM268)</f>
        <v>37.456000000000003</v>
      </c>
      <c r="BN266" s="482">
        <f t="shared" ref="BN266:BN287" si="892">+BO266</f>
        <v>46.539000000000001</v>
      </c>
      <c r="BO266" s="482">
        <f>+SUM(BO267:BO268)</f>
        <v>46.539000000000001</v>
      </c>
      <c r="BP266" s="482">
        <f>+SUM(BP267:BP268)</f>
        <v>48.418999999999997</v>
      </c>
      <c r="BQ266" s="482">
        <f t="shared" ref="BQ266:BQ287" si="893">+BR266</f>
        <v>57.344999999999999</v>
      </c>
      <c r="BR266" s="482">
        <f>+SUM(BR267:BR268)</f>
        <v>57.344999999999999</v>
      </c>
      <c r="BS266" s="482">
        <f>+SUM(BS267:BS268)</f>
        <v>61.433</v>
      </c>
      <c r="BT266" s="482">
        <f t="shared" ref="BT266:BT287" si="894">+BU266</f>
        <v>61.923000000000002</v>
      </c>
      <c r="BU266" s="482">
        <f>+SUM(BU267:BU268)</f>
        <v>61.923000000000002</v>
      </c>
      <c r="BV266" s="482">
        <f>+SUM(BV267:BV268)</f>
        <v>61.942999999999998</v>
      </c>
      <c r="BW266" s="482">
        <f t="shared" ref="BW266:BW287" si="895">+BX266</f>
        <v>60.83</v>
      </c>
      <c r="BX266" s="482">
        <f>+SUM(BX267:BX268)</f>
        <v>60.83</v>
      </c>
      <c r="BY266" s="482">
        <f>+SUM(BY267:BY268)</f>
        <v>124.76</v>
      </c>
      <c r="BZ266" s="482">
        <f t="shared" ref="BZ266:BZ287" si="896">+CA266</f>
        <v>64.881</v>
      </c>
      <c r="CA266" s="482">
        <f>+SUM(CA267:CA268)</f>
        <v>64.881</v>
      </c>
      <c r="CB266" s="482">
        <f>+SUM(CB267:CB268)</f>
        <v>52.345999999999997</v>
      </c>
      <c r="CC266" s="482">
        <f t="shared" ref="CC266:CC287" si="897">+CD266</f>
        <v>70.763000000000005</v>
      </c>
      <c r="CD266" s="482">
        <f>+SUM(CD267:CD268)</f>
        <v>70.763000000000005</v>
      </c>
      <c r="CE266" s="482">
        <f>+SUM(CE267:CE268)</f>
        <v>82.600999999999999</v>
      </c>
      <c r="CF266" s="482">
        <f t="shared" ref="CF266:CF287" si="898">+CG266</f>
        <v>85.046999999999997</v>
      </c>
      <c r="CG266" s="482">
        <f>+SUM(CG267:CG268)</f>
        <v>85.046999999999997</v>
      </c>
      <c r="CH266" s="482">
        <f>+SUM(CH267:CH268)</f>
        <v>76.861999999999995</v>
      </c>
      <c r="CI266" s="482">
        <f t="shared" ref="CI266:CI287" si="899">+CJ266</f>
        <v>100.218</v>
      </c>
      <c r="CJ266" s="482">
        <f>+SUM(CJ267:CJ268)</f>
        <v>100.218</v>
      </c>
      <c r="CK266" s="482">
        <f>+SUM(CK267:CK268)</f>
        <v>80.930999999999997</v>
      </c>
      <c r="CL266" s="482">
        <f t="shared" ref="CL266:CL287" si="900">+CM266</f>
        <v>96.789000000000001</v>
      </c>
      <c r="CM266" s="482">
        <f>+SUM(CM267:CM268)</f>
        <v>96.789000000000001</v>
      </c>
      <c r="CN266" s="482">
        <f>+SUM(CN267:CN268)</f>
        <v>104.81100000000001</v>
      </c>
      <c r="CO266" s="482">
        <f t="shared" ref="CO266:CO287" si="901">+CP266</f>
        <v>78.644000000000005</v>
      </c>
      <c r="CP266" s="482">
        <f>+SUM(CP267:CP268)</f>
        <v>78.644000000000005</v>
      </c>
      <c r="CQ266" s="482">
        <f>+SUM(CQ267:CQ268)</f>
        <v>85.03</v>
      </c>
      <c r="CR266" s="482">
        <f t="shared" ref="CR266:CR287" si="902">+CS266</f>
        <v>99.858000000000004</v>
      </c>
      <c r="CS266" s="482">
        <f>+SUM(CS267:CS268)</f>
        <v>99.858000000000004</v>
      </c>
      <c r="CT266" s="482">
        <f>+SUM(CT267:CT268)</f>
        <v>107.295</v>
      </c>
      <c r="CU266" s="482">
        <f t="shared" ref="CU266:CU287" si="903">+CV266</f>
        <v>110.354</v>
      </c>
      <c r="CV266" s="482">
        <f>+SUM(CV267:CV268)</f>
        <v>110.354</v>
      </c>
      <c r="CW266" s="482">
        <f>+SUM(CW267:CW268)</f>
        <v>109.589</v>
      </c>
      <c r="CX266" s="482">
        <f t="shared" ref="CX266:CX287" si="904">+CY266</f>
        <v>130.911</v>
      </c>
      <c r="CY266" s="482">
        <f>+SUM(CY267:CY268)</f>
        <v>130.911</v>
      </c>
      <c r="CZ266" s="482">
        <f>+SUM(CZ267:CZ268)</f>
        <v>116.7</v>
      </c>
      <c r="DA266" s="482">
        <f t="shared" ref="DA266:DA287" si="905">+DB266</f>
        <v>140.5</v>
      </c>
      <c r="DB266" s="482">
        <f>+SUM(DB267:DB268)</f>
        <v>140.5</v>
      </c>
      <c r="DC266" s="482">
        <f>+SUM(DC267:DC268)</f>
        <v>144.1</v>
      </c>
      <c r="DD266" s="482">
        <f t="shared" ref="DD266:DD287" si="906">+DE266</f>
        <v>160.80000000000001</v>
      </c>
      <c r="DE266" s="482">
        <f>+SUM(DE267:DE268)</f>
        <v>160.80000000000001</v>
      </c>
      <c r="DF266" s="482">
        <f>+SUM(DF267:DF268)</f>
        <v>158.6</v>
      </c>
      <c r="DG266" s="482">
        <f t="shared" ref="DG266:DG287" si="907">+DH266</f>
        <v>159.30000000000001</v>
      </c>
      <c r="DH266" s="1244">
        <f>+SUM(DH267:DH268)</f>
        <v>159.30000000000001</v>
      </c>
      <c r="DI266" s="482">
        <f>+SUM(DI267:DI268)</f>
        <v>146.30000000000001</v>
      </c>
      <c r="DJ266" s="482">
        <f t="shared" ref="DJ266:DJ285" si="908">+DK266</f>
        <v>202.9</v>
      </c>
      <c r="DK266" s="1244">
        <f>+SUM(DK267:DK268)</f>
        <v>202.9</v>
      </c>
      <c r="DL266" s="482">
        <f>+SUM(DL267:DL268)</f>
        <v>169.8</v>
      </c>
      <c r="DM266" s="482">
        <f t="shared" ref="DM266:DM285" si="909">+DN266</f>
        <v>232.4</v>
      </c>
      <c r="DN266" s="1244">
        <f>+SUM(DN267:DN268)</f>
        <v>232.4</v>
      </c>
      <c r="DO266" s="482">
        <f>+SUM(DO267:DO268)</f>
        <v>201.2</v>
      </c>
      <c r="DP266" s="482">
        <f t="shared" ref="DP266:DP285" si="910">+DQ266</f>
        <v>270.39999999999998</v>
      </c>
      <c r="DQ266" s="1244">
        <f>+SUM(DQ267:DQ268)</f>
        <v>270.39999999999998</v>
      </c>
      <c r="DR266" s="482">
        <f>+SUM(DR267:DR268)</f>
        <v>247.1</v>
      </c>
      <c r="DS266" s="482">
        <f t="shared" ref="DS266:DS274" si="911">+DT266</f>
        <v>303.2</v>
      </c>
      <c r="DT266" s="1244">
        <f>+SUM(DT267:DT268)</f>
        <v>303.2</v>
      </c>
      <c r="DU266" s="482">
        <f>+SUM(DU267:DU268)</f>
        <v>285.5</v>
      </c>
      <c r="DV266" s="482">
        <f t="shared" ref="DV266:DV274" si="912">+DW266</f>
        <v>298.39999999999998</v>
      </c>
      <c r="DW266" s="1244">
        <f>+SUM(DW267:DW268)</f>
        <v>298.39999999999998</v>
      </c>
      <c r="DX266" s="482">
        <f>+SUM(DX267:DX268)</f>
        <v>281.3</v>
      </c>
      <c r="DY266" s="482">
        <f t="shared" ref="DY266:DY274" si="913">+DZ266</f>
        <v>301.14838930010455</v>
      </c>
      <c r="DZ266" s="1244">
        <f>+SUM(DZ267:DZ268)</f>
        <v>301.14838930010455</v>
      </c>
      <c r="EA266" s="482">
        <f>+SUM(EA267:EA268)</f>
        <v>334.09449825672868</v>
      </c>
      <c r="EB266" s="482">
        <f t="shared" ref="EB266:EB274" si="914">+EC266</f>
        <v>339.24112522006573</v>
      </c>
      <c r="EC266" s="1244">
        <f>+SUM(EC267:EC268)</f>
        <v>339.24112522006573</v>
      </c>
      <c r="ED266" s="482">
        <f>+SUM(ED267:ED268)</f>
        <v>362.10893608873613</v>
      </c>
      <c r="EE266" s="482">
        <f t="shared" ref="EE266:EE274" si="915">+EF266</f>
        <v>367.70946187855208</v>
      </c>
      <c r="EF266" s="1244">
        <f>+SUM(EF267:EF268)</f>
        <v>367.70946187855208</v>
      </c>
      <c r="EG266" s="482">
        <f>+SUM(EG267:EG268)</f>
        <v>394.69874033672232</v>
      </c>
      <c r="EH266" s="482">
        <f t="shared" ref="EH266:EH274" si="916">+EI266</f>
        <v>400.80331344762169</v>
      </c>
      <c r="EI266" s="1244">
        <f>+SUM(EI267:EI268)</f>
        <v>400.80331344762169</v>
      </c>
      <c r="EJ266" s="482">
        <f>+SUM(EJ267:EJ268)</f>
        <v>430.22162696702736</v>
      </c>
      <c r="EK266" s="482">
        <f t="shared" ref="EK266:EK274" si="917">+EL266</f>
        <v>436.87561165790771</v>
      </c>
      <c r="EL266" s="1244">
        <f>+SUM(EL267:EL268)</f>
        <v>436.87561165790771</v>
      </c>
      <c r="EM266" s="482">
        <f>+SUM(EM267:EM268)</f>
        <v>468.94157339405984</v>
      </c>
      <c r="EN266" s="482">
        <f t="shared" ref="EN266:EN274" si="918">+EO266</f>
        <v>476.19441670711944</v>
      </c>
      <c r="EO266" s="1244">
        <f>+SUM(EO267:EO268)</f>
        <v>476.19441670711944</v>
      </c>
      <c r="EP266" s="482">
        <f>+SUM(EP267:EP268)</f>
        <v>511.14631499952526</v>
      </c>
      <c r="EQ266" s="482">
        <f t="shared" ref="EQ266:EQ274" si="919">+ER266</f>
        <v>519.05191421076029</v>
      </c>
      <c r="ER266" s="1244">
        <f>+SUM(ER267:ER268)</f>
        <v>519.05191421076029</v>
      </c>
      <c r="ES266" s="482">
        <f>+SUM(ES267:ES268)</f>
        <v>557.14948334948258</v>
      </c>
      <c r="ET266" s="482">
        <f t="shared" ref="ET266:ET274" si="920">+EU266</f>
        <v>565.76658648972875</v>
      </c>
      <c r="EU266" s="1244">
        <f>+SUM(EU267:EU268)</f>
        <v>565.76658648972875</v>
      </c>
      <c r="EV266" s="482">
        <f>+SUM(EV267:EV268)</f>
        <v>607.29293685093614</v>
      </c>
      <c r="EW266" s="482">
        <f t="shared" ref="EW266:EW274" si="921">+EX266</f>
        <v>616.68557927380436</v>
      </c>
      <c r="EX266" s="1244">
        <f>+SUM(EX267:EX268)</f>
        <v>616.68557927380436</v>
      </c>
      <c r="EY266" s="482">
        <f>+SUM(EY267:EY268)</f>
        <v>661.94930116752039</v>
      </c>
      <c r="EZ266" s="482">
        <f t="shared" ref="EZ266:EZ274" si="922">+FA266</f>
        <v>672.18728140844678</v>
      </c>
      <c r="FA266" s="1244">
        <f>+SUM(FA267:FA268)</f>
        <v>672.18728140844678</v>
      </c>
      <c r="FB266" s="1571"/>
      <c r="FE266"/>
      <c r="FF266"/>
      <c r="FG266"/>
      <c r="FH266"/>
      <c r="FI266"/>
      <c r="FJ266"/>
      <c r="FK266" s="35"/>
    </row>
    <row r="267" spans="2:167" s="236" customFormat="1" outlineLevel="1">
      <c r="B267" s="242" t="s">
        <v>776</v>
      </c>
      <c r="C267" s="242" t="s">
        <v>496</v>
      </c>
      <c r="D267" s="243"/>
      <c r="E267" s="511"/>
      <c r="F267" s="510">
        <f t="shared" si="872"/>
        <v>0</v>
      </c>
      <c r="G267" s="512"/>
      <c r="H267" s="513"/>
      <c r="I267" s="510">
        <f t="shared" si="873"/>
        <v>0</v>
      </c>
      <c r="J267" s="512"/>
      <c r="K267" s="513"/>
      <c r="L267" s="510">
        <f t="shared" si="874"/>
        <v>0</v>
      </c>
      <c r="M267" s="512"/>
      <c r="N267" s="513"/>
      <c r="O267" s="510">
        <f t="shared" si="875"/>
        <v>0</v>
      </c>
      <c r="P267" s="512"/>
      <c r="Q267" s="513"/>
      <c r="R267" s="510">
        <f t="shared" si="876"/>
        <v>0</v>
      </c>
      <c r="S267" s="604"/>
      <c r="T267" s="513"/>
      <c r="U267" s="510">
        <f t="shared" si="877"/>
        <v>0</v>
      </c>
      <c r="V267" s="512"/>
      <c r="W267" s="513"/>
      <c r="X267" s="510">
        <f t="shared" si="878"/>
        <v>0</v>
      </c>
      <c r="Y267" s="512"/>
      <c r="Z267" s="513"/>
      <c r="AA267" s="510">
        <f t="shared" si="879"/>
        <v>0</v>
      </c>
      <c r="AB267" s="512"/>
      <c r="AC267" s="513"/>
      <c r="AD267" s="510">
        <f t="shared" si="880"/>
        <v>0</v>
      </c>
      <c r="AE267" s="512"/>
      <c r="AF267" s="513"/>
      <c r="AG267" s="510">
        <f t="shared" si="881"/>
        <v>0</v>
      </c>
      <c r="AH267" s="512"/>
      <c r="AI267" s="514">
        <v>9.0399999999999991</v>
      </c>
      <c r="AJ267" s="510">
        <f t="shared" si="882"/>
        <v>9.0589999999999993</v>
      </c>
      <c r="AK267" s="515">
        <v>9.0589999999999993</v>
      </c>
      <c r="AL267" s="514">
        <v>9.4499999999999993</v>
      </c>
      <c r="AM267" s="510">
        <f t="shared" si="883"/>
        <v>11.923</v>
      </c>
      <c r="AN267" s="515">
        <v>11.923</v>
      </c>
      <c r="AO267" s="514">
        <v>11.269</v>
      </c>
      <c r="AP267" s="510">
        <f t="shared" si="884"/>
        <v>12.129</v>
      </c>
      <c r="AQ267" s="515">
        <v>12.129</v>
      </c>
      <c r="AR267" s="514">
        <v>16.524000000000001</v>
      </c>
      <c r="AS267" s="510">
        <f t="shared" si="885"/>
        <v>14.833</v>
      </c>
      <c r="AT267" s="515">
        <v>14.833</v>
      </c>
      <c r="AU267" s="514">
        <v>17.459</v>
      </c>
      <c r="AV267" s="510">
        <f t="shared" si="886"/>
        <v>17.835000000000001</v>
      </c>
      <c r="AW267" s="515">
        <v>17.835000000000001</v>
      </c>
      <c r="AX267" s="514">
        <v>21.969000000000001</v>
      </c>
      <c r="AY267" s="510">
        <f t="shared" si="887"/>
        <v>21.879000000000001</v>
      </c>
      <c r="AZ267" s="515">
        <v>21.879000000000001</v>
      </c>
      <c r="BA267" s="514">
        <v>23.478999999999999</v>
      </c>
      <c r="BB267" s="510">
        <f t="shared" si="888"/>
        <v>30.510999999999999</v>
      </c>
      <c r="BC267" s="515">
        <v>30.510999999999999</v>
      </c>
      <c r="BD267" s="514">
        <v>23.263999999999999</v>
      </c>
      <c r="BE267" s="510">
        <f t="shared" si="889"/>
        <v>21.135999999999999</v>
      </c>
      <c r="BF267" s="515">
        <v>21.135999999999999</v>
      </c>
      <c r="BG267" s="514">
        <v>33.145000000000003</v>
      </c>
      <c r="BH267" s="510">
        <f t="shared" si="890"/>
        <v>29.34</v>
      </c>
      <c r="BI267" s="515">
        <v>29.34</v>
      </c>
      <c r="BJ267" s="514">
        <v>31.747</v>
      </c>
      <c r="BK267" s="510">
        <f t="shared" si="891"/>
        <v>31.657</v>
      </c>
      <c r="BL267" s="515">
        <v>31.657</v>
      </c>
      <c r="BM267" s="514">
        <v>37.456000000000003</v>
      </c>
      <c r="BN267" s="510">
        <f t="shared" si="892"/>
        <v>46.539000000000001</v>
      </c>
      <c r="BO267" s="548">
        <v>46.539000000000001</v>
      </c>
      <c r="BP267" s="514">
        <v>48.418999999999997</v>
      </c>
      <c r="BQ267" s="510">
        <f t="shared" si="893"/>
        <v>57.344999999999999</v>
      </c>
      <c r="BR267" s="548">
        <v>57.344999999999999</v>
      </c>
      <c r="BS267" s="514">
        <v>61.433</v>
      </c>
      <c r="BT267" s="510">
        <f t="shared" si="894"/>
        <v>61.923000000000002</v>
      </c>
      <c r="BU267" s="548">
        <v>61.923000000000002</v>
      </c>
      <c r="BV267" s="514">
        <v>61.942999999999998</v>
      </c>
      <c r="BW267" s="510">
        <f t="shared" si="895"/>
        <v>60.83</v>
      </c>
      <c r="BX267" s="548">
        <v>60.83</v>
      </c>
      <c r="BY267" s="514">
        <v>124.76</v>
      </c>
      <c r="BZ267" s="510">
        <f t="shared" si="896"/>
        <v>64.881</v>
      </c>
      <c r="CA267" s="548">
        <v>64.881</v>
      </c>
      <c r="CB267" s="514">
        <v>52.345999999999997</v>
      </c>
      <c r="CC267" s="510">
        <f t="shared" si="897"/>
        <v>70.763000000000005</v>
      </c>
      <c r="CD267" s="548">
        <v>70.763000000000005</v>
      </c>
      <c r="CE267" s="514">
        <v>82.600999999999999</v>
      </c>
      <c r="CF267" s="510">
        <f t="shared" si="898"/>
        <v>85.046999999999997</v>
      </c>
      <c r="CG267" s="548">
        <v>85.046999999999997</v>
      </c>
      <c r="CH267" s="514">
        <v>76.861999999999995</v>
      </c>
      <c r="CI267" s="510">
        <f t="shared" si="899"/>
        <v>100.218</v>
      </c>
      <c r="CJ267" s="548">
        <v>100.218</v>
      </c>
      <c r="CK267" s="514">
        <v>80.930999999999997</v>
      </c>
      <c r="CL267" s="510">
        <f t="shared" si="900"/>
        <v>96.789000000000001</v>
      </c>
      <c r="CM267" s="548">
        <v>96.789000000000001</v>
      </c>
      <c r="CN267" s="514">
        <v>104.81100000000001</v>
      </c>
      <c r="CO267" s="510">
        <f t="shared" si="901"/>
        <v>78.644000000000005</v>
      </c>
      <c r="CP267" s="548">
        <v>78.644000000000005</v>
      </c>
      <c r="CQ267" s="514">
        <v>85.03</v>
      </c>
      <c r="CR267" s="510">
        <f t="shared" si="902"/>
        <v>99.858000000000004</v>
      </c>
      <c r="CS267" s="548">
        <v>99.858000000000004</v>
      </c>
      <c r="CT267" s="514">
        <v>107.295</v>
      </c>
      <c r="CU267" s="510">
        <f t="shared" si="903"/>
        <v>110.354</v>
      </c>
      <c r="CV267" s="548">
        <v>110.354</v>
      </c>
      <c r="CW267" s="514">
        <v>109.589</v>
      </c>
      <c r="CX267" s="510">
        <f t="shared" si="904"/>
        <v>130.911</v>
      </c>
      <c r="CY267" s="548">
        <v>130.911</v>
      </c>
      <c r="CZ267" s="513">
        <v>116.7</v>
      </c>
      <c r="DA267" s="510">
        <f t="shared" si="905"/>
        <v>140.5</v>
      </c>
      <c r="DB267" s="511">
        <v>140.5</v>
      </c>
      <c r="DC267" s="513">
        <v>144.1</v>
      </c>
      <c r="DD267" s="510">
        <f t="shared" si="906"/>
        <v>160.80000000000001</v>
      </c>
      <c r="DE267" s="548">
        <v>160.80000000000001</v>
      </c>
      <c r="DF267" s="514">
        <v>158.6</v>
      </c>
      <c r="DG267" s="510">
        <f t="shared" si="907"/>
        <v>159.30000000000001</v>
      </c>
      <c r="DH267" s="1371">
        <v>159.30000000000001</v>
      </c>
      <c r="DI267" s="1373">
        <v>146.30000000000001</v>
      </c>
      <c r="DJ267" s="482">
        <f t="shared" si="908"/>
        <v>202.9</v>
      </c>
      <c r="DK267" s="1374">
        <v>202.9</v>
      </c>
      <c r="DL267" s="1373">
        <v>169.8</v>
      </c>
      <c r="DM267" s="482">
        <f t="shared" si="909"/>
        <v>232.4</v>
      </c>
      <c r="DN267" s="1374">
        <v>232.4</v>
      </c>
      <c r="DO267" s="1373">
        <v>201.2</v>
      </c>
      <c r="DP267" s="482">
        <f t="shared" si="910"/>
        <v>270.39999999999998</v>
      </c>
      <c r="DQ267" s="1374">
        <v>270.39999999999998</v>
      </c>
      <c r="DR267" s="1373">
        <v>247.1</v>
      </c>
      <c r="DS267" s="482">
        <f t="shared" si="911"/>
        <v>303.2</v>
      </c>
      <c r="DT267" s="1374">
        <v>303.2</v>
      </c>
      <c r="DU267" s="1373">
        <v>285.5</v>
      </c>
      <c r="DV267" s="482">
        <f t="shared" si="912"/>
        <v>298.39999999999998</v>
      </c>
      <c r="DW267" s="1374">
        <v>298.39999999999998</v>
      </c>
      <c r="DX267" s="1373">
        <v>281.3</v>
      </c>
      <c r="DY267" s="482">
        <f t="shared" si="913"/>
        <v>301.14838930010455</v>
      </c>
      <c r="DZ267" s="1244">
        <f>Assumptions!DZ171*DZ30</f>
        <v>301.14838930010455</v>
      </c>
      <c r="EA267" s="482">
        <f>Assumptions!EA171*(EA30*2)</f>
        <v>334.09449825672868</v>
      </c>
      <c r="EB267" s="482">
        <f t="shared" si="914"/>
        <v>339.24112522006573</v>
      </c>
      <c r="EC267" s="1244">
        <f>Assumptions!EC171*EC30</f>
        <v>339.24112522006573</v>
      </c>
      <c r="ED267" s="482">
        <f>Assumptions!ED171*(ED30*2)</f>
        <v>362.10893608873613</v>
      </c>
      <c r="EE267" s="482">
        <f t="shared" si="915"/>
        <v>367.70946187855208</v>
      </c>
      <c r="EF267" s="1244">
        <f>Assumptions!EF171*EF30</f>
        <v>367.70946187855208</v>
      </c>
      <c r="EG267" s="482">
        <f>Assumptions!EG171*(EG30*2)</f>
        <v>394.69874033672232</v>
      </c>
      <c r="EH267" s="482">
        <f t="shared" si="916"/>
        <v>400.80331344762169</v>
      </c>
      <c r="EI267" s="1244">
        <f>Assumptions!EI171*EI30</f>
        <v>400.80331344762169</v>
      </c>
      <c r="EJ267" s="482">
        <f>Assumptions!EJ171*(EJ30*2)</f>
        <v>430.22162696702736</v>
      </c>
      <c r="EK267" s="482">
        <f t="shared" si="917"/>
        <v>436.87561165790771</v>
      </c>
      <c r="EL267" s="1244">
        <f>Assumptions!EL171*EL30</f>
        <v>436.87561165790771</v>
      </c>
      <c r="EM267" s="482">
        <f>Assumptions!EM171*(EM30*2)</f>
        <v>468.94157339405984</v>
      </c>
      <c r="EN267" s="482">
        <f t="shared" si="918"/>
        <v>476.19441670711944</v>
      </c>
      <c r="EO267" s="1244">
        <f>Assumptions!EO171*EO30</f>
        <v>476.19441670711944</v>
      </c>
      <c r="EP267" s="482">
        <f>Assumptions!EP171*(EP30*2)</f>
        <v>511.14631499952526</v>
      </c>
      <c r="EQ267" s="482">
        <f t="shared" si="919"/>
        <v>519.05191421076029</v>
      </c>
      <c r="ER267" s="1244">
        <f>Assumptions!ER171*ER30</f>
        <v>519.05191421076029</v>
      </c>
      <c r="ES267" s="482">
        <f>Assumptions!ES171*(ES30*2)</f>
        <v>557.14948334948258</v>
      </c>
      <c r="ET267" s="482">
        <f t="shared" si="920"/>
        <v>565.76658648972875</v>
      </c>
      <c r="EU267" s="1244">
        <f>Assumptions!EU171*EU30</f>
        <v>565.76658648972875</v>
      </c>
      <c r="EV267" s="482">
        <f>Assumptions!EV171*(EV30*2)</f>
        <v>607.29293685093614</v>
      </c>
      <c r="EW267" s="482">
        <f t="shared" si="921"/>
        <v>616.68557927380436</v>
      </c>
      <c r="EX267" s="1244">
        <f>Assumptions!EX171*EX30</f>
        <v>616.68557927380436</v>
      </c>
      <c r="EY267" s="482">
        <f>Assumptions!EY171*(EY30*2)</f>
        <v>661.94930116752039</v>
      </c>
      <c r="EZ267" s="482">
        <f t="shared" si="922"/>
        <v>672.18728140844678</v>
      </c>
      <c r="FA267" s="1244">
        <f>Assumptions!FA171*FA30</f>
        <v>672.18728140844678</v>
      </c>
      <c r="FB267" s="1571">
        <f>+DV267-DU267</f>
        <v>12.899999999999977</v>
      </c>
      <c r="FE267"/>
      <c r="FF267"/>
      <c r="FG267"/>
      <c r="FH267"/>
      <c r="FI267"/>
      <c r="FJ267"/>
      <c r="FK267" s="35"/>
    </row>
    <row r="268" spans="2:167" s="236" customFormat="1" ht="13.5" outlineLevel="1" thickBot="1">
      <c r="B268" s="242" t="s">
        <v>777</v>
      </c>
      <c r="C268" s="242" t="s">
        <v>496</v>
      </c>
      <c r="D268" s="243"/>
      <c r="E268" s="528"/>
      <c r="F268" s="482">
        <f t="shared" si="872"/>
        <v>0</v>
      </c>
      <c r="G268" s="529"/>
      <c r="H268" s="530"/>
      <c r="I268" s="482">
        <f t="shared" si="873"/>
        <v>0</v>
      </c>
      <c r="J268" s="529"/>
      <c r="K268" s="530"/>
      <c r="L268" s="482">
        <f t="shared" si="874"/>
        <v>0</v>
      </c>
      <c r="M268" s="529"/>
      <c r="N268" s="530"/>
      <c r="O268" s="482">
        <f t="shared" si="875"/>
        <v>0</v>
      </c>
      <c r="P268" s="529"/>
      <c r="Q268" s="530"/>
      <c r="R268" s="482">
        <f t="shared" si="876"/>
        <v>0</v>
      </c>
      <c r="S268" s="605"/>
      <c r="T268" s="530"/>
      <c r="U268" s="482">
        <f t="shared" si="877"/>
        <v>0</v>
      </c>
      <c r="V268" s="529"/>
      <c r="W268" s="530"/>
      <c r="X268" s="482">
        <f t="shared" si="878"/>
        <v>0</v>
      </c>
      <c r="Y268" s="529"/>
      <c r="Z268" s="530"/>
      <c r="AA268" s="482">
        <f t="shared" si="879"/>
        <v>0</v>
      </c>
      <c r="AB268" s="529"/>
      <c r="AC268" s="530"/>
      <c r="AD268" s="482">
        <f t="shared" si="880"/>
        <v>0</v>
      </c>
      <c r="AE268" s="529"/>
      <c r="AF268" s="530"/>
      <c r="AG268" s="482">
        <f t="shared" si="881"/>
        <v>0</v>
      </c>
      <c r="AH268" s="529"/>
      <c r="AI268" s="530"/>
      <c r="AJ268" s="482">
        <f t="shared" si="882"/>
        <v>0</v>
      </c>
      <c r="AK268" s="529"/>
      <c r="AL268" s="530"/>
      <c r="AM268" s="482">
        <f t="shared" si="883"/>
        <v>0</v>
      </c>
      <c r="AN268" s="529"/>
      <c r="AO268" s="530"/>
      <c r="AP268" s="482">
        <f t="shared" si="884"/>
        <v>0</v>
      </c>
      <c r="AQ268" s="529"/>
      <c r="AR268" s="530"/>
      <c r="AS268" s="482">
        <f t="shared" si="885"/>
        <v>0</v>
      </c>
      <c r="AT268" s="529"/>
      <c r="AU268" s="530"/>
      <c r="AV268" s="482">
        <f t="shared" si="886"/>
        <v>0</v>
      </c>
      <c r="AW268" s="529"/>
      <c r="AX268" s="531">
        <v>0</v>
      </c>
      <c r="AY268" s="482">
        <f t="shared" si="887"/>
        <v>0</v>
      </c>
      <c r="AZ268" s="532">
        <v>0</v>
      </c>
      <c r="BA268" s="531">
        <v>0</v>
      </c>
      <c r="BB268" s="482">
        <f t="shared" si="888"/>
        <v>0</v>
      </c>
      <c r="BC268" s="532">
        <v>0</v>
      </c>
      <c r="BD268" s="531">
        <v>0</v>
      </c>
      <c r="BE268" s="482">
        <f t="shared" si="889"/>
        <v>0</v>
      </c>
      <c r="BF268" s="532">
        <v>0</v>
      </c>
      <c r="BG268" s="531">
        <v>0</v>
      </c>
      <c r="BH268" s="482">
        <f t="shared" si="890"/>
        <v>0</v>
      </c>
      <c r="BI268" s="532">
        <v>0</v>
      </c>
      <c r="BJ268" s="530">
        <f>BI268</f>
        <v>0</v>
      </c>
      <c r="BK268" s="482">
        <f t="shared" si="891"/>
        <v>0</v>
      </c>
      <c r="BL268" s="529">
        <f>BJ268</f>
        <v>0</v>
      </c>
      <c r="BM268" s="530">
        <f>BL268</f>
        <v>0</v>
      </c>
      <c r="BN268" s="482">
        <f t="shared" si="892"/>
        <v>0</v>
      </c>
      <c r="BO268" s="529">
        <f>BM268</f>
        <v>0</v>
      </c>
      <c r="BP268" s="530">
        <f>BO268</f>
        <v>0</v>
      </c>
      <c r="BQ268" s="482">
        <f t="shared" si="893"/>
        <v>0</v>
      </c>
      <c r="BR268" s="529">
        <f>BP268</f>
        <v>0</v>
      </c>
      <c r="BS268" s="530">
        <f>BR268</f>
        <v>0</v>
      </c>
      <c r="BT268" s="482">
        <f t="shared" si="894"/>
        <v>0</v>
      </c>
      <c r="BU268" s="529">
        <f>BS268</f>
        <v>0</v>
      </c>
      <c r="BV268" s="530">
        <f>BU268</f>
        <v>0</v>
      </c>
      <c r="BW268" s="482">
        <f t="shared" si="895"/>
        <v>0</v>
      </c>
      <c r="BX268" s="529">
        <f>BV268</f>
        <v>0</v>
      </c>
      <c r="BY268" s="530">
        <f>BX268</f>
        <v>0</v>
      </c>
      <c r="BZ268" s="482">
        <f t="shared" si="896"/>
        <v>0</v>
      </c>
      <c r="CA268" s="529">
        <f>BY268</f>
        <v>0</v>
      </c>
      <c r="CB268" s="530">
        <f>CA268</f>
        <v>0</v>
      </c>
      <c r="CC268" s="482">
        <f t="shared" si="897"/>
        <v>0</v>
      </c>
      <c r="CD268" s="529">
        <f>CB268</f>
        <v>0</v>
      </c>
      <c r="CE268" s="530">
        <f>CD268</f>
        <v>0</v>
      </c>
      <c r="CF268" s="482">
        <f t="shared" si="898"/>
        <v>0</v>
      </c>
      <c r="CG268" s="529">
        <f>CE268</f>
        <v>0</v>
      </c>
      <c r="CH268" s="530">
        <f>CG268</f>
        <v>0</v>
      </c>
      <c r="CI268" s="482">
        <f t="shared" si="899"/>
        <v>0</v>
      </c>
      <c r="CJ268" s="529">
        <f>CH268</f>
        <v>0</v>
      </c>
      <c r="CK268" s="530">
        <f>CJ268</f>
        <v>0</v>
      </c>
      <c r="CL268" s="482">
        <f t="shared" si="900"/>
        <v>0</v>
      </c>
      <c r="CM268" s="529">
        <f>CK268</f>
        <v>0</v>
      </c>
      <c r="CN268" s="530">
        <f>CM268</f>
        <v>0</v>
      </c>
      <c r="CO268" s="482">
        <f t="shared" si="901"/>
        <v>0</v>
      </c>
      <c r="CP268" s="529">
        <f>CN268</f>
        <v>0</v>
      </c>
      <c r="CQ268" s="530">
        <f>CP268</f>
        <v>0</v>
      </c>
      <c r="CR268" s="482">
        <f t="shared" si="902"/>
        <v>0</v>
      </c>
      <c r="CS268" s="529">
        <f>CQ268</f>
        <v>0</v>
      </c>
      <c r="CT268" s="530">
        <f>CS268</f>
        <v>0</v>
      </c>
      <c r="CU268" s="482">
        <f t="shared" si="903"/>
        <v>0</v>
      </c>
      <c r="CV268" s="529">
        <f>CT268</f>
        <v>0</v>
      </c>
      <c r="CW268" s="530">
        <f>CV268</f>
        <v>0</v>
      </c>
      <c r="CX268" s="482">
        <f t="shared" si="904"/>
        <v>0</v>
      </c>
      <c r="CY268" s="529">
        <f>CW268</f>
        <v>0</v>
      </c>
      <c r="CZ268" s="530">
        <f>CY268</f>
        <v>0</v>
      </c>
      <c r="DA268" s="482">
        <f t="shared" si="905"/>
        <v>0</v>
      </c>
      <c r="DB268" s="529">
        <f>CZ268</f>
        <v>0</v>
      </c>
      <c r="DC268" s="530">
        <f>DB268</f>
        <v>0</v>
      </c>
      <c r="DD268" s="482">
        <f t="shared" si="906"/>
        <v>0</v>
      </c>
      <c r="DE268" s="529">
        <f>DC268</f>
        <v>0</v>
      </c>
      <c r="DF268" s="530">
        <f>DE268</f>
        <v>0</v>
      </c>
      <c r="DG268" s="482">
        <f t="shared" si="907"/>
        <v>0</v>
      </c>
      <c r="DH268" s="1260">
        <f>DF268</f>
        <v>0</v>
      </c>
      <c r="DI268" s="482">
        <f>DH268</f>
        <v>0</v>
      </c>
      <c r="DJ268" s="482">
        <f t="shared" si="908"/>
        <v>0</v>
      </c>
      <c r="DK268" s="1244">
        <f>DI268</f>
        <v>0</v>
      </c>
      <c r="DL268" s="482">
        <f>DK268</f>
        <v>0</v>
      </c>
      <c r="DM268" s="482">
        <f t="shared" si="909"/>
        <v>0</v>
      </c>
      <c r="DN268" s="1244">
        <f>DL268</f>
        <v>0</v>
      </c>
      <c r="DO268" s="482">
        <f>DN268</f>
        <v>0</v>
      </c>
      <c r="DP268" s="482">
        <f t="shared" si="910"/>
        <v>0</v>
      </c>
      <c r="DQ268" s="1244">
        <f>DO268</f>
        <v>0</v>
      </c>
      <c r="DR268" s="482">
        <f>DQ268</f>
        <v>0</v>
      </c>
      <c r="DS268" s="482">
        <f t="shared" si="911"/>
        <v>0</v>
      </c>
      <c r="DT268" s="1244">
        <f>DR268</f>
        <v>0</v>
      </c>
      <c r="DU268" s="482">
        <f>DT268</f>
        <v>0</v>
      </c>
      <c r="DV268" s="482">
        <f t="shared" si="912"/>
        <v>0</v>
      </c>
      <c r="DW268" s="1244">
        <f>DU268</f>
        <v>0</v>
      </c>
      <c r="DX268" s="482">
        <f>DW268</f>
        <v>0</v>
      </c>
      <c r="DY268" s="482">
        <f t="shared" si="913"/>
        <v>0</v>
      </c>
      <c r="DZ268" s="1244">
        <f>DX268</f>
        <v>0</v>
      </c>
      <c r="EA268" s="482">
        <f>DZ268</f>
        <v>0</v>
      </c>
      <c r="EB268" s="482">
        <f t="shared" si="914"/>
        <v>0</v>
      </c>
      <c r="EC268" s="1244">
        <f>EA268</f>
        <v>0</v>
      </c>
      <c r="ED268" s="482">
        <f>EC268</f>
        <v>0</v>
      </c>
      <c r="EE268" s="482">
        <f t="shared" si="915"/>
        <v>0</v>
      </c>
      <c r="EF268" s="1244">
        <f>ED268</f>
        <v>0</v>
      </c>
      <c r="EG268" s="482">
        <f>EF268</f>
        <v>0</v>
      </c>
      <c r="EH268" s="482">
        <f t="shared" si="916"/>
        <v>0</v>
      </c>
      <c r="EI268" s="1244">
        <f>EG268</f>
        <v>0</v>
      </c>
      <c r="EJ268" s="482">
        <f>EI268</f>
        <v>0</v>
      </c>
      <c r="EK268" s="482">
        <f t="shared" si="917"/>
        <v>0</v>
      </c>
      <c r="EL268" s="1244">
        <f>EJ268</f>
        <v>0</v>
      </c>
      <c r="EM268" s="482">
        <f>EL268</f>
        <v>0</v>
      </c>
      <c r="EN268" s="482">
        <f t="shared" si="918"/>
        <v>0</v>
      </c>
      <c r="EO268" s="1244">
        <f>EM268</f>
        <v>0</v>
      </c>
      <c r="EP268" s="482">
        <f>EO268</f>
        <v>0</v>
      </c>
      <c r="EQ268" s="482">
        <f t="shared" si="919"/>
        <v>0</v>
      </c>
      <c r="ER268" s="1244">
        <f>EP268</f>
        <v>0</v>
      </c>
      <c r="ES268" s="482">
        <f>ER268</f>
        <v>0</v>
      </c>
      <c r="ET268" s="482">
        <f t="shared" si="920"/>
        <v>0</v>
      </c>
      <c r="EU268" s="1244">
        <f>ES268</f>
        <v>0</v>
      </c>
      <c r="EV268" s="482">
        <f>EU268</f>
        <v>0</v>
      </c>
      <c r="EW268" s="482">
        <f t="shared" si="921"/>
        <v>0</v>
      </c>
      <c r="EX268" s="1244">
        <f>EV268</f>
        <v>0</v>
      </c>
      <c r="EY268" s="482">
        <f>EX268</f>
        <v>0</v>
      </c>
      <c r="EZ268" s="482">
        <f t="shared" si="922"/>
        <v>0</v>
      </c>
      <c r="FA268" s="1244">
        <f>EY268</f>
        <v>0</v>
      </c>
      <c r="FB268" s="1571"/>
      <c r="FE268"/>
      <c r="FF268"/>
      <c r="FG268"/>
      <c r="FH268"/>
      <c r="FI268"/>
      <c r="FJ268"/>
      <c r="FK268" s="35"/>
    </row>
    <row r="269" spans="2:167" s="236" customFormat="1" ht="13.35" customHeight="1" thickBot="1">
      <c r="B269" s="485" t="s">
        <v>778</v>
      </c>
      <c r="C269" s="242" t="s">
        <v>496</v>
      </c>
      <c r="D269" s="243"/>
      <c r="E269" s="482">
        <f>+SUM(E270:E275)</f>
        <v>0</v>
      </c>
      <c r="F269" s="482">
        <f t="shared" si="872"/>
        <v>0</v>
      </c>
      <c r="G269" s="482">
        <f>+SUM(G270:G275)</f>
        <v>0</v>
      </c>
      <c r="H269" s="482">
        <f>+SUM(H270:H275)</f>
        <v>0</v>
      </c>
      <c r="I269" s="482">
        <f t="shared" si="873"/>
        <v>0</v>
      </c>
      <c r="J269" s="482">
        <f>+SUM(J270:J275)</f>
        <v>0</v>
      </c>
      <c r="K269" s="482">
        <f>+SUM(K270:K275)</f>
        <v>0</v>
      </c>
      <c r="L269" s="482">
        <f t="shared" si="874"/>
        <v>0</v>
      </c>
      <c r="M269" s="482">
        <f>+SUM(M270:M275)</f>
        <v>0</v>
      </c>
      <c r="N269" s="482">
        <f>+SUM(N270:N275)</f>
        <v>0</v>
      </c>
      <c r="O269" s="482">
        <f t="shared" si="875"/>
        <v>0</v>
      </c>
      <c r="P269" s="482">
        <f>+SUM(P270:P275)</f>
        <v>0</v>
      </c>
      <c r="Q269" s="482">
        <f>+SUM(Q270:Q275)</f>
        <v>0</v>
      </c>
      <c r="R269" s="482">
        <f t="shared" si="876"/>
        <v>0</v>
      </c>
      <c r="S269" s="603">
        <f>+SUM(S270:S275)</f>
        <v>0</v>
      </c>
      <c r="T269" s="482">
        <f>+SUM(T270:T275)</f>
        <v>0</v>
      </c>
      <c r="U269" s="482">
        <f t="shared" si="877"/>
        <v>0</v>
      </c>
      <c r="V269" s="482">
        <f>+SUM(V270:V275)</f>
        <v>0</v>
      </c>
      <c r="W269" s="482">
        <f>+SUM(W270:W275)</f>
        <v>0</v>
      </c>
      <c r="X269" s="482">
        <f t="shared" si="878"/>
        <v>0</v>
      </c>
      <c r="Y269" s="482">
        <f>+SUM(Y270:Y275)</f>
        <v>0</v>
      </c>
      <c r="Z269" s="482">
        <f>+SUM(Z270:Z275)</f>
        <v>0</v>
      </c>
      <c r="AA269" s="482">
        <f t="shared" si="879"/>
        <v>0</v>
      </c>
      <c r="AB269" s="482">
        <f>+SUM(AB270:AB275)</f>
        <v>0</v>
      </c>
      <c r="AC269" s="482">
        <f>+SUM(AC270:AC275)</f>
        <v>0</v>
      </c>
      <c r="AD269" s="482">
        <f t="shared" si="880"/>
        <v>0</v>
      </c>
      <c r="AE269" s="482">
        <f>+SUM(AE270:AE275)</f>
        <v>0</v>
      </c>
      <c r="AF269" s="482">
        <f>+SUM(AF270:AF275)</f>
        <v>0</v>
      </c>
      <c r="AG269" s="482">
        <f t="shared" si="881"/>
        <v>0</v>
      </c>
      <c r="AH269" s="482">
        <f>+SUM(AH270:AH275)</f>
        <v>0</v>
      </c>
      <c r="AI269" s="482">
        <f>+SUM(AI270:AI275)</f>
        <v>5.3570000000000002</v>
      </c>
      <c r="AJ269" s="482">
        <f t="shared" si="882"/>
        <v>1.325</v>
      </c>
      <c r="AK269" s="482">
        <f>+SUM(AK270:AK275)</f>
        <v>1.325</v>
      </c>
      <c r="AL269" s="482">
        <f>+SUM(AL270:AL275)</f>
        <v>0.13</v>
      </c>
      <c r="AM269" s="482">
        <f t="shared" si="883"/>
        <v>3.839</v>
      </c>
      <c r="AN269" s="482">
        <f>+SUM(AN270:AN275)</f>
        <v>3.839</v>
      </c>
      <c r="AO269" s="482">
        <f>+SUM(AO270:AO275)</f>
        <v>2.4750000000000001</v>
      </c>
      <c r="AP269" s="482">
        <f t="shared" si="884"/>
        <v>2.3159999999999998</v>
      </c>
      <c r="AQ269" s="482">
        <f>+SUM(AQ270:AQ275)</f>
        <v>2.3159999999999998</v>
      </c>
      <c r="AR269" s="482">
        <f>+SUM(AR270:AR275)</f>
        <v>2.3159999999999998</v>
      </c>
      <c r="AS269" s="482">
        <f t="shared" si="885"/>
        <v>2.7170000000000001</v>
      </c>
      <c r="AT269" s="482">
        <f>+SUM(AT270:AT275)</f>
        <v>2.7170000000000001</v>
      </c>
      <c r="AU269" s="482">
        <f>+SUM(AU270:AU275)</f>
        <v>2.7170000000000001</v>
      </c>
      <c r="AV269" s="482">
        <f t="shared" si="886"/>
        <v>3.4620000000000002</v>
      </c>
      <c r="AW269" s="482">
        <f>+SUM(AW270:AW275)</f>
        <v>3.4620000000000002</v>
      </c>
      <c r="AX269" s="482">
        <f>+SUM(AX270:AX275)</f>
        <v>3.4620000000000002</v>
      </c>
      <c r="AY269" s="482">
        <f t="shared" si="887"/>
        <v>2.4060000000000001</v>
      </c>
      <c r="AZ269" s="482">
        <f>+SUM(AZ270:AZ275)</f>
        <v>2.4060000000000001</v>
      </c>
      <c r="BA269" s="482">
        <f>+SUM(BA270:BA275)</f>
        <v>2.4060000000000001</v>
      </c>
      <c r="BB269" s="482">
        <f t="shared" si="888"/>
        <v>9.6890000000000001</v>
      </c>
      <c r="BC269" s="482">
        <f>+SUM(BC270:BC275)</f>
        <v>9.6890000000000001</v>
      </c>
      <c r="BD269" s="482">
        <f>+SUM(BD270:BD275)</f>
        <v>15.058</v>
      </c>
      <c r="BE269" s="482">
        <f t="shared" si="889"/>
        <v>24.251999999999999</v>
      </c>
      <c r="BF269" s="482">
        <f>+SUM(BF270:BF275)</f>
        <v>24.251999999999999</v>
      </c>
      <c r="BG269" s="482">
        <f>+SUM(BG270:BG275)</f>
        <v>14.676</v>
      </c>
      <c r="BH269" s="482">
        <f t="shared" si="890"/>
        <v>15.005000000000001</v>
      </c>
      <c r="BI269" s="482">
        <f>+SUM(BI270:BI275)</f>
        <v>15.005000000000001</v>
      </c>
      <c r="BJ269" s="482">
        <f>+SUM(BJ270:BJ275)</f>
        <v>26.59</v>
      </c>
      <c r="BK269" s="482">
        <f t="shared" si="891"/>
        <v>25.867000000000001</v>
      </c>
      <c r="BL269" s="482">
        <f>+SUM(BL270:BL275)</f>
        <v>25.867000000000001</v>
      </c>
      <c r="BM269" s="482">
        <f>+SUM(BM270:BM275)</f>
        <v>28.440999999999999</v>
      </c>
      <c r="BN269" s="482">
        <f t="shared" si="892"/>
        <v>64.106999999999999</v>
      </c>
      <c r="BO269" s="482">
        <f>+SUM(BO270:BO275)</f>
        <v>64.106999999999999</v>
      </c>
      <c r="BP269" s="482">
        <f>+SUM(BP270:BP275)</f>
        <v>61.817999999999998</v>
      </c>
      <c r="BQ269" s="482">
        <f t="shared" si="893"/>
        <v>70.546999999999997</v>
      </c>
      <c r="BR269" s="482">
        <f>+SUM(BR270:BR275)</f>
        <v>70.546999999999997</v>
      </c>
      <c r="BS269" s="482">
        <f>+SUM(BS270:BS275)</f>
        <v>96.69</v>
      </c>
      <c r="BT269" s="482">
        <f t="shared" si="894"/>
        <v>161.33699999999999</v>
      </c>
      <c r="BU269" s="482">
        <f>+SUM(BU270:BU275)</f>
        <v>161.33699999999999</v>
      </c>
      <c r="BV269" s="482">
        <f>+SUM(BV270:BV275)</f>
        <v>161.43299999999999</v>
      </c>
      <c r="BW269" s="482">
        <f t="shared" si="895"/>
        <v>15.438000000000001</v>
      </c>
      <c r="BX269" s="482">
        <f>+SUM(BX270:BX275)</f>
        <v>15.438000000000001</v>
      </c>
      <c r="BY269" s="482">
        <f>+SUM(BY270:BY275)</f>
        <v>16.783000000000001</v>
      </c>
      <c r="BZ269" s="482">
        <f t="shared" si="896"/>
        <v>0</v>
      </c>
      <c r="CA269" s="482">
        <f>+SUM(CA270:CA275)</f>
        <v>0</v>
      </c>
      <c r="CB269" s="482">
        <f>+SUM(CB270:CB275)</f>
        <v>0</v>
      </c>
      <c r="CC269" s="482">
        <f t="shared" si="897"/>
        <v>73.811000000000007</v>
      </c>
      <c r="CD269" s="482">
        <f>+SUM(CD270:CD275)</f>
        <v>73.811000000000007</v>
      </c>
      <c r="CE269" s="482">
        <f>+SUM(CE270:CE275)</f>
        <v>0</v>
      </c>
      <c r="CF269" s="482">
        <f t="shared" si="898"/>
        <v>60</v>
      </c>
      <c r="CG269" s="482">
        <f>+SUM(CG270:CG275)</f>
        <v>60</v>
      </c>
      <c r="CH269" s="482">
        <f>+SUM(CH270:CH275)</f>
        <v>40</v>
      </c>
      <c r="CI269" s="482">
        <f t="shared" si="899"/>
        <v>45.744</v>
      </c>
      <c r="CJ269" s="482">
        <f>+SUM(CJ270:CJ275)</f>
        <v>45.744</v>
      </c>
      <c r="CK269" s="482">
        <f>+SUM(CK270:CK275)</f>
        <v>78.372</v>
      </c>
      <c r="CL269" s="482">
        <f t="shared" si="900"/>
        <v>3.3090000000000002</v>
      </c>
      <c r="CM269" s="482">
        <f>+SUM(CM270:CM275)</f>
        <v>3.3090000000000002</v>
      </c>
      <c r="CN269" s="482">
        <f>+SUM(CN270:CN275)</f>
        <v>3.2160000000000002</v>
      </c>
      <c r="CO269" s="482">
        <f t="shared" si="901"/>
        <v>3.141</v>
      </c>
      <c r="CP269" s="482">
        <f>+SUM(CP270:CP275)</f>
        <v>3.141</v>
      </c>
      <c r="CQ269" s="482">
        <f>+SUM(CQ270:CQ275)</f>
        <v>3.0609999999999999</v>
      </c>
      <c r="CR269" s="482">
        <f t="shared" si="902"/>
        <v>168.15899999999999</v>
      </c>
      <c r="CS269" s="482">
        <f>+SUM(CS270:CS275)</f>
        <v>168.15899999999999</v>
      </c>
      <c r="CT269" s="482">
        <f>+SUM(CT270:CT275)</f>
        <v>168.42599999999999</v>
      </c>
      <c r="CU269" s="482">
        <f t="shared" si="903"/>
        <v>3.9780000000000002</v>
      </c>
      <c r="CV269" s="482">
        <f>+SUM(CV270:CV275)</f>
        <v>3.9780000000000002</v>
      </c>
      <c r="CW269" s="482">
        <f>+SUM(CW270:CW275)</f>
        <v>3.5390000000000001</v>
      </c>
      <c r="CX269" s="482">
        <f t="shared" si="904"/>
        <v>84.686999999999998</v>
      </c>
      <c r="CY269" s="482">
        <f>+SUM(CY270:CY275)</f>
        <v>84.686999999999998</v>
      </c>
      <c r="CZ269" s="482">
        <f>+SUM(CZ270:CZ275)</f>
        <v>59.6</v>
      </c>
      <c r="DA269" s="482">
        <f t="shared" si="905"/>
        <v>3.7</v>
      </c>
      <c r="DB269" s="482">
        <f>+SUM(DB270:DB275)</f>
        <v>3.7</v>
      </c>
      <c r="DC269" s="482">
        <f>+SUM(DC270:DC275)</f>
        <v>3.5</v>
      </c>
      <c r="DD269" s="482">
        <f t="shared" si="906"/>
        <v>3.3</v>
      </c>
      <c r="DE269" s="482">
        <f>+SUM(DE270:DE275)</f>
        <v>3.3</v>
      </c>
      <c r="DF269" s="482">
        <f>+SUM(DF270:DF275)</f>
        <v>3.3</v>
      </c>
      <c r="DG269" s="482">
        <f t="shared" si="907"/>
        <v>0</v>
      </c>
      <c r="DH269" s="1244">
        <f>+SUM(DH270:DH275)</f>
        <v>0</v>
      </c>
      <c r="DI269" s="482">
        <f>+SUM(DI270:DI275)</f>
        <v>0</v>
      </c>
      <c r="DJ269" s="482">
        <f t="shared" si="908"/>
        <v>0</v>
      </c>
      <c r="DK269" s="1244">
        <f>+SUM(DK270:DK275)</f>
        <v>0</v>
      </c>
      <c r="DL269" s="482">
        <f>+SUM(DL270:DL275)</f>
        <v>2.4</v>
      </c>
      <c r="DM269" s="482">
        <f t="shared" si="909"/>
        <v>42.6</v>
      </c>
      <c r="DN269" s="1244">
        <f>+SUM(DN270:DN275)</f>
        <v>42.6</v>
      </c>
      <c r="DO269" s="482">
        <f>+SUM(DO270:DO275)</f>
        <v>0</v>
      </c>
      <c r="DP269" s="482">
        <f t="shared" si="910"/>
        <v>0</v>
      </c>
      <c r="DQ269" s="1244">
        <f>+SUM(DQ270:DQ275)</f>
        <v>0</v>
      </c>
      <c r="DR269" s="482">
        <f>+SUM(DR270:DR275)</f>
        <v>0</v>
      </c>
      <c r="DS269" s="482">
        <f t="shared" si="911"/>
        <v>0</v>
      </c>
      <c r="DT269" s="1244">
        <f>+SUM(DT270:DT275)</f>
        <v>0</v>
      </c>
      <c r="DU269" s="482">
        <f>+SUM(DU270:DU275)</f>
        <v>0</v>
      </c>
      <c r="DV269" s="482">
        <f t="shared" si="912"/>
        <v>0</v>
      </c>
      <c r="DW269" s="1244">
        <f>+SUM(DW270:DW275)</f>
        <v>0</v>
      </c>
      <c r="DX269" s="482">
        <f>+SUM(DX270:DX275)</f>
        <v>0</v>
      </c>
      <c r="DY269" s="482">
        <f>+DZ269</f>
        <v>0</v>
      </c>
      <c r="DZ269" s="1244">
        <f>+SUM(DZ270:DZ275)</f>
        <v>0</v>
      </c>
      <c r="EA269" s="482">
        <f>+SUM(EA270:EA275)</f>
        <v>0</v>
      </c>
      <c r="EB269" s="482">
        <f t="shared" si="914"/>
        <v>0</v>
      </c>
      <c r="EC269" s="1244">
        <f>+SUM(EC270:EC275)</f>
        <v>0</v>
      </c>
      <c r="ED269" s="482">
        <f>+SUM(ED270:ED275)</f>
        <v>0</v>
      </c>
      <c r="EE269" s="482">
        <f t="shared" si="915"/>
        <v>0</v>
      </c>
      <c r="EF269" s="1244">
        <f>+SUM(EF270:EF275)</f>
        <v>0</v>
      </c>
      <c r="EG269" s="482">
        <f>+SUM(EG270:EG275)</f>
        <v>0</v>
      </c>
      <c r="EH269" s="482">
        <f t="shared" si="916"/>
        <v>0</v>
      </c>
      <c r="EI269" s="1244">
        <f>+SUM(EI270:EI275)</f>
        <v>0</v>
      </c>
      <c r="EJ269" s="482">
        <f>+SUM(EJ270:EJ275)</f>
        <v>0</v>
      </c>
      <c r="EK269" s="482">
        <f t="shared" si="917"/>
        <v>0</v>
      </c>
      <c r="EL269" s="1244">
        <f>+SUM(EL270:EL275)</f>
        <v>0</v>
      </c>
      <c r="EM269" s="482">
        <f>+SUM(EM270:EM275)</f>
        <v>0</v>
      </c>
      <c r="EN269" s="482">
        <f t="shared" si="918"/>
        <v>0</v>
      </c>
      <c r="EO269" s="1244">
        <f>+SUM(EO270:EO275)</f>
        <v>0</v>
      </c>
      <c r="EP269" s="482">
        <f>+SUM(EP270:EP275)</f>
        <v>0</v>
      </c>
      <c r="EQ269" s="482">
        <f t="shared" si="919"/>
        <v>0</v>
      </c>
      <c r="ER269" s="1244">
        <f>+SUM(ER270:ER275)</f>
        <v>0</v>
      </c>
      <c r="ES269" s="482">
        <f>+SUM(ES270:ES275)</f>
        <v>0</v>
      </c>
      <c r="ET269" s="482">
        <f t="shared" si="920"/>
        <v>0</v>
      </c>
      <c r="EU269" s="1244">
        <f>+SUM(EU270:EU275)</f>
        <v>0</v>
      </c>
      <c r="EV269" s="482">
        <f>+SUM(EV270:EV275)</f>
        <v>0</v>
      </c>
      <c r="EW269" s="482">
        <f t="shared" si="921"/>
        <v>0</v>
      </c>
      <c r="EX269" s="1244">
        <f>+SUM(EX270:EX275)</f>
        <v>0</v>
      </c>
      <c r="EY269" s="482">
        <f>+SUM(EY270:EY275)</f>
        <v>0</v>
      </c>
      <c r="EZ269" s="482">
        <f t="shared" si="922"/>
        <v>0</v>
      </c>
      <c r="FA269" s="1244">
        <f>+SUM(FA270:FA275)</f>
        <v>0</v>
      </c>
      <c r="FB269" s="1571"/>
      <c r="FE269"/>
      <c r="FF269"/>
      <c r="FG269"/>
      <c r="FH269"/>
      <c r="FI269"/>
      <c r="FJ269"/>
      <c r="FK269" s="35"/>
    </row>
    <row r="270" spans="2:167" s="236" customFormat="1" ht="13.35" customHeight="1" outlineLevel="1">
      <c r="B270" s="242" t="s">
        <v>779</v>
      </c>
      <c r="C270" s="242" t="s">
        <v>496</v>
      </c>
      <c r="D270" s="243"/>
      <c r="E270" s="511"/>
      <c r="F270" s="510">
        <f t="shared" si="872"/>
        <v>0</v>
      </c>
      <c r="G270" s="512"/>
      <c r="H270" s="513"/>
      <c r="I270" s="510">
        <f t="shared" si="873"/>
        <v>0</v>
      </c>
      <c r="J270" s="512"/>
      <c r="K270" s="513"/>
      <c r="L270" s="510">
        <f t="shared" si="874"/>
        <v>0</v>
      </c>
      <c r="M270" s="512"/>
      <c r="N270" s="513"/>
      <c r="O270" s="510">
        <f t="shared" si="875"/>
        <v>0</v>
      </c>
      <c r="P270" s="512"/>
      <c r="Q270" s="513"/>
      <c r="R270" s="510">
        <f t="shared" si="876"/>
        <v>0</v>
      </c>
      <c r="S270" s="604"/>
      <c r="T270" s="513"/>
      <c r="U270" s="510">
        <f t="shared" si="877"/>
        <v>0</v>
      </c>
      <c r="V270" s="512"/>
      <c r="W270" s="513"/>
      <c r="X270" s="510">
        <f t="shared" si="878"/>
        <v>0</v>
      </c>
      <c r="Y270" s="512"/>
      <c r="Z270" s="513"/>
      <c r="AA270" s="510">
        <f t="shared" si="879"/>
        <v>0</v>
      </c>
      <c r="AB270" s="512"/>
      <c r="AC270" s="513"/>
      <c r="AD270" s="510">
        <f t="shared" si="880"/>
        <v>0</v>
      </c>
      <c r="AE270" s="512"/>
      <c r="AF270" s="513"/>
      <c r="AG270" s="510">
        <f t="shared" si="881"/>
        <v>0</v>
      </c>
      <c r="AH270" s="512"/>
      <c r="AI270" s="514">
        <v>5.3570000000000002</v>
      </c>
      <c r="AJ270" s="510">
        <f t="shared" si="882"/>
        <v>1.325</v>
      </c>
      <c r="AK270" s="515">
        <v>1.325</v>
      </c>
      <c r="AL270" s="514">
        <v>0.13</v>
      </c>
      <c r="AM270" s="510">
        <f t="shared" si="883"/>
        <v>3.839</v>
      </c>
      <c r="AN270" s="515">
        <v>3.839</v>
      </c>
      <c r="AO270" s="514">
        <v>2.4750000000000001</v>
      </c>
      <c r="AP270" s="510">
        <f t="shared" si="884"/>
        <v>2.3159999999999998</v>
      </c>
      <c r="AQ270" s="515">
        <v>2.3159999999999998</v>
      </c>
      <c r="AR270" s="513"/>
      <c r="AS270" s="510">
        <f t="shared" si="885"/>
        <v>0</v>
      </c>
      <c r="AT270" s="512"/>
      <c r="AU270" s="513"/>
      <c r="AV270" s="510">
        <f t="shared" si="886"/>
        <v>0</v>
      </c>
      <c r="AW270" s="512"/>
      <c r="AX270" s="514">
        <v>0</v>
      </c>
      <c r="AY270" s="510">
        <f t="shared" si="887"/>
        <v>0</v>
      </c>
      <c r="AZ270" s="515">
        <v>0</v>
      </c>
      <c r="BA270" s="514">
        <v>0</v>
      </c>
      <c r="BB270" s="510">
        <f t="shared" si="888"/>
        <v>0</v>
      </c>
      <c r="BC270" s="515">
        <v>0</v>
      </c>
      <c r="BD270" s="514">
        <v>0</v>
      </c>
      <c r="BE270" s="510">
        <f t="shared" si="889"/>
        <v>0</v>
      </c>
      <c r="BF270" s="515">
        <v>0</v>
      </c>
      <c r="BG270" s="514">
        <v>0</v>
      </c>
      <c r="BH270" s="510">
        <f t="shared" si="890"/>
        <v>0</v>
      </c>
      <c r="BI270" s="515">
        <v>0</v>
      </c>
      <c r="BJ270" s="514">
        <v>26.59</v>
      </c>
      <c r="BK270" s="510">
        <f t="shared" si="891"/>
        <v>25.867000000000001</v>
      </c>
      <c r="BL270" s="515">
        <v>25.867000000000001</v>
      </c>
      <c r="BM270" s="514">
        <v>28.440999999999999</v>
      </c>
      <c r="BN270" s="510">
        <f t="shared" si="892"/>
        <v>64.106999999999999</v>
      </c>
      <c r="BO270" s="548">
        <v>64.106999999999999</v>
      </c>
      <c r="BP270" s="514">
        <v>61.817999999999998</v>
      </c>
      <c r="BQ270" s="510">
        <f t="shared" si="893"/>
        <v>70.546999999999997</v>
      </c>
      <c r="BR270" s="548">
        <v>70.546999999999997</v>
      </c>
      <c r="BS270" s="514">
        <v>96.69</v>
      </c>
      <c r="BT270" s="510">
        <f t="shared" si="894"/>
        <v>161.33699999999999</v>
      </c>
      <c r="BU270" s="548">
        <v>161.33699999999999</v>
      </c>
      <c r="BV270" s="514">
        <v>161.43299999999999</v>
      </c>
      <c r="BW270" s="510">
        <f t="shared" si="895"/>
        <v>15.438000000000001</v>
      </c>
      <c r="BX270" s="548">
        <v>15.438000000000001</v>
      </c>
      <c r="BY270" s="514">
        <v>16.783000000000001</v>
      </c>
      <c r="BZ270" s="510">
        <f t="shared" si="896"/>
        <v>0</v>
      </c>
      <c r="CA270" s="548">
        <v>0</v>
      </c>
      <c r="CB270" s="513">
        <f>CA270</f>
        <v>0</v>
      </c>
      <c r="CC270" s="510">
        <f t="shared" si="897"/>
        <v>0</v>
      </c>
      <c r="CD270" s="511">
        <f>CB270</f>
        <v>0</v>
      </c>
      <c r="CE270" s="513">
        <f>CD270</f>
        <v>0</v>
      </c>
      <c r="CF270" s="510">
        <f t="shared" si="898"/>
        <v>0</v>
      </c>
      <c r="CG270" s="511">
        <f>CE270</f>
        <v>0</v>
      </c>
      <c r="CH270" s="513">
        <f>CG270</f>
        <v>0</v>
      </c>
      <c r="CI270" s="510">
        <f t="shared" si="899"/>
        <v>0</v>
      </c>
      <c r="CJ270" s="511">
        <f>CH270</f>
        <v>0</v>
      </c>
      <c r="CK270" s="513">
        <f>CJ270</f>
        <v>0</v>
      </c>
      <c r="CL270" s="510">
        <f t="shared" si="900"/>
        <v>0</v>
      </c>
      <c r="CM270" s="511">
        <f>CK270</f>
        <v>0</v>
      </c>
      <c r="CN270" s="513">
        <f>CM270</f>
        <v>0</v>
      </c>
      <c r="CO270" s="510">
        <f t="shared" si="901"/>
        <v>0</v>
      </c>
      <c r="CP270" s="511">
        <f>CN270</f>
        <v>0</v>
      </c>
      <c r="CQ270" s="513">
        <f>CP270</f>
        <v>0</v>
      </c>
      <c r="CR270" s="510">
        <f t="shared" si="902"/>
        <v>0</v>
      </c>
      <c r="CS270" s="511">
        <f>CQ270</f>
        <v>0</v>
      </c>
      <c r="CT270" s="513">
        <f>CS270</f>
        <v>0</v>
      </c>
      <c r="CU270" s="510">
        <f t="shared" si="903"/>
        <v>0</v>
      </c>
      <c r="CV270" s="511">
        <f>CT270</f>
        <v>0</v>
      </c>
      <c r="CW270" s="513">
        <f>CV270</f>
        <v>0</v>
      </c>
      <c r="CX270" s="510">
        <f t="shared" si="904"/>
        <v>0</v>
      </c>
      <c r="CY270" s="511">
        <f>CW270</f>
        <v>0</v>
      </c>
      <c r="CZ270" s="513">
        <f>CY270</f>
        <v>0</v>
      </c>
      <c r="DA270" s="510">
        <f t="shared" si="905"/>
        <v>0</v>
      </c>
      <c r="DB270" s="511">
        <f>CZ270</f>
        <v>0</v>
      </c>
      <c r="DC270" s="513">
        <f>DB270</f>
        <v>0</v>
      </c>
      <c r="DD270" s="510">
        <f t="shared" si="906"/>
        <v>0</v>
      </c>
      <c r="DE270" s="511">
        <f>DC270</f>
        <v>0</v>
      </c>
      <c r="DF270" s="513">
        <f>DE270</f>
        <v>0</v>
      </c>
      <c r="DG270" s="510">
        <f t="shared" si="907"/>
        <v>0</v>
      </c>
      <c r="DH270" s="1257">
        <f>DF270</f>
        <v>0</v>
      </c>
      <c r="DI270" s="482">
        <f>DH270</f>
        <v>0</v>
      </c>
      <c r="DJ270" s="482">
        <f t="shared" si="908"/>
        <v>0</v>
      </c>
      <c r="DK270" s="1244">
        <f>DI270</f>
        <v>0</v>
      </c>
      <c r="DL270" s="482">
        <f>DK270</f>
        <v>0</v>
      </c>
      <c r="DM270" s="482">
        <f t="shared" si="909"/>
        <v>0</v>
      </c>
      <c r="DN270" s="1244">
        <f>DL270</f>
        <v>0</v>
      </c>
      <c r="DO270" s="482">
        <f>DN270</f>
        <v>0</v>
      </c>
      <c r="DP270" s="482">
        <f t="shared" si="910"/>
        <v>0</v>
      </c>
      <c r="DQ270" s="1244">
        <f>DO270</f>
        <v>0</v>
      </c>
      <c r="DR270" s="482">
        <f>DQ270</f>
        <v>0</v>
      </c>
      <c r="DS270" s="482">
        <f t="shared" si="911"/>
        <v>0</v>
      </c>
      <c r="DT270" s="1244">
        <f>DR270</f>
        <v>0</v>
      </c>
      <c r="DU270" s="482">
        <f>DT270</f>
        <v>0</v>
      </c>
      <c r="DV270" s="482">
        <f t="shared" si="912"/>
        <v>0</v>
      </c>
      <c r="DW270" s="1244">
        <f>DU270</f>
        <v>0</v>
      </c>
      <c r="DX270" s="482">
        <f>DW270</f>
        <v>0</v>
      </c>
      <c r="DY270" s="482">
        <f t="shared" si="913"/>
        <v>0</v>
      </c>
      <c r="DZ270" s="1244">
        <f>DX270</f>
        <v>0</v>
      </c>
      <c r="EA270" s="482">
        <f>DZ270</f>
        <v>0</v>
      </c>
      <c r="EB270" s="482">
        <f t="shared" si="914"/>
        <v>0</v>
      </c>
      <c r="EC270" s="1244">
        <f>EA270</f>
        <v>0</v>
      </c>
      <c r="ED270" s="482">
        <f>EC270</f>
        <v>0</v>
      </c>
      <c r="EE270" s="482">
        <f t="shared" si="915"/>
        <v>0</v>
      </c>
      <c r="EF270" s="1244">
        <f>ED270</f>
        <v>0</v>
      </c>
      <c r="EG270" s="482">
        <f>EF270</f>
        <v>0</v>
      </c>
      <c r="EH270" s="482">
        <f t="shared" si="916"/>
        <v>0</v>
      </c>
      <c r="EI270" s="1244">
        <f>EG270</f>
        <v>0</v>
      </c>
      <c r="EJ270" s="482">
        <f>EI270</f>
        <v>0</v>
      </c>
      <c r="EK270" s="482">
        <f t="shared" si="917"/>
        <v>0</v>
      </c>
      <c r="EL270" s="1244">
        <f>EJ270</f>
        <v>0</v>
      </c>
      <c r="EM270" s="482">
        <f>EL270</f>
        <v>0</v>
      </c>
      <c r="EN270" s="482">
        <f t="shared" si="918"/>
        <v>0</v>
      </c>
      <c r="EO270" s="1244">
        <f>EM270</f>
        <v>0</v>
      </c>
      <c r="EP270" s="482">
        <f>EO270</f>
        <v>0</v>
      </c>
      <c r="EQ270" s="482">
        <f t="shared" si="919"/>
        <v>0</v>
      </c>
      <c r="ER270" s="1244">
        <f>EP270</f>
        <v>0</v>
      </c>
      <c r="ES270" s="482">
        <f>ER270</f>
        <v>0</v>
      </c>
      <c r="ET270" s="482">
        <f t="shared" si="920"/>
        <v>0</v>
      </c>
      <c r="EU270" s="1244">
        <f>ES270</f>
        <v>0</v>
      </c>
      <c r="EV270" s="482">
        <f>EU270</f>
        <v>0</v>
      </c>
      <c r="EW270" s="482">
        <f t="shared" si="921"/>
        <v>0</v>
      </c>
      <c r="EX270" s="1244">
        <f>EV270</f>
        <v>0</v>
      </c>
      <c r="EY270" s="482">
        <f>EX270</f>
        <v>0</v>
      </c>
      <c r="EZ270" s="482">
        <f t="shared" si="922"/>
        <v>0</v>
      </c>
      <c r="FA270" s="1244">
        <f>EY270</f>
        <v>0</v>
      </c>
      <c r="FB270" s="292"/>
      <c r="FE270"/>
      <c r="FF270"/>
      <c r="FG270"/>
      <c r="FH270"/>
      <c r="FI270"/>
      <c r="FJ270"/>
      <c r="FK270" s="35"/>
    </row>
    <row r="271" spans="2:167" s="236" customFormat="1" ht="13.35" customHeight="1" outlineLevel="1">
      <c r="B271" s="242" t="s">
        <v>780</v>
      </c>
      <c r="C271" s="242" t="s">
        <v>496</v>
      </c>
      <c r="D271" s="243"/>
      <c r="E271" s="516"/>
      <c r="F271" s="510">
        <f t="shared" si="872"/>
        <v>0</v>
      </c>
      <c r="G271" s="517"/>
      <c r="H271" s="518"/>
      <c r="I271" s="510">
        <f t="shared" si="873"/>
        <v>0</v>
      </c>
      <c r="J271" s="517"/>
      <c r="K271" s="518"/>
      <c r="L271" s="510">
        <f t="shared" si="874"/>
        <v>0</v>
      </c>
      <c r="M271" s="517"/>
      <c r="N271" s="518"/>
      <c r="O271" s="510">
        <f t="shared" si="875"/>
        <v>0</v>
      </c>
      <c r="P271" s="517"/>
      <c r="Q271" s="518"/>
      <c r="R271" s="510">
        <f t="shared" si="876"/>
        <v>0</v>
      </c>
      <c r="S271" s="606"/>
      <c r="T271" s="518"/>
      <c r="U271" s="510">
        <f t="shared" si="877"/>
        <v>0</v>
      </c>
      <c r="V271" s="517"/>
      <c r="W271" s="518"/>
      <c r="X271" s="510">
        <f t="shared" si="878"/>
        <v>0</v>
      </c>
      <c r="Y271" s="517"/>
      <c r="Z271" s="518"/>
      <c r="AA271" s="510">
        <f t="shared" si="879"/>
        <v>0</v>
      </c>
      <c r="AB271" s="517"/>
      <c r="AC271" s="518"/>
      <c r="AD271" s="510">
        <f t="shared" si="880"/>
        <v>0</v>
      </c>
      <c r="AE271" s="517"/>
      <c r="AF271" s="518"/>
      <c r="AG271" s="510">
        <f t="shared" si="881"/>
        <v>0</v>
      </c>
      <c r="AH271" s="517"/>
      <c r="AI271" s="518"/>
      <c r="AJ271" s="510">
        <f t="shared" si="882"/>
        <v>0</v>
      </c>
      <c r="AK271" s="517"/>
      <c r="AL271" s="518"/>
      <c r="AM271" s="510">
        <f t="shared" si="883"/>
        <v>0</v>
      </c>
      <c r="AN271" s="517"/>
      <c r="AO271" s="518"/>
      <c r="AP271" s="510">
        <f t="shared" si="884"/>
        <v>0</v>
      </c>
      <c r="AQ271" s="517"/>
      <c r="AR271" s="518"/>
      <c r="AS271" s="510">
        <f t="shared" si="885"/>
        <v>0</v>
      </c>
      <c r="AT271" s="517"/>
      <c r="AU271" s="518"/>
      <c r="AV271" s="510">
        <f t="shared" si="886"/>
        <v>0</v>
      </c>
      <c r="AW271" s="517"/>
      <c r="AX271" s="519">
        <v>0</v>
      </c>
      <c r="AY271" s="482">
        <f t="shared" si="887"/>
        <v>0</v>
      </c>
      <c r="AZ271" s="520">
        <v>0</v>
      </c>
      <c r="BA271" s="519">
        <v>0</v>
      </c>
      <c r="BB271" s="510">
        <f t="shared" si="888"/>
        <v>0</v>
      </c>
      <c r="BC271" s="520">
        <v>0</v>
      </c>
      <c r="BD271" s="519">
        <v>0</v>
      </c>
      <c r="BE271" s="510">
        <f t="shared" si="889"/>
        <v>0</v>
      </c>
      <c r="BF271" s="520">
        <v>0</v>
      </c>
      <c r="BG271" s="519">
        <v>0</v>
      </c>
      <c r="BH271" s="510">
        <f t="shared" si="890"/>
        <v>0</v>
      </c>
      <c r="BI271" s="520">
        <v>0</v>
      </c>
      <c r="BJ271" s="519">
        <v>0</v>
      </c>
      <c r="BK271" s="510">
        <f t="shared" si="891"/>
        <v>0</v>
      </c>
      <c r="BL271" s="517">
        <f>B_CL_Con_Notes_H1_04</f>
        <v>0</v>
      </c>
      <c r="BM271" s="518">
        <f>BL271</f>
        <v>0</v>
      </c>
      <c r="BN271" s="510">
        <f t="shared" si="892"/>
        <v>0</v>
      </c>
      <c r="BO271" s="516">
        <f>BM271</f>
        <v>0</v>
      </c>
      <c r="BP271" s="518">
        <f>BO271</f>
        <v>0</v>
      </c>
      <c r="BQ271" s="510">
        <f t="shared" si="893"/>
        <v>0</v>
      </c>
      <c r="BR271" s="516">
        <f>BP271</f>
        <v>0</v>
      </c>
      <c r="BS271" s="518">
        <f>BR271</f>
        <v>0</v>
      </c>
      <c r="BT271" s="510">
        <f t="shared" si="894"/>
        <v>0</v>
      </c>
      <c r="BU271" s="516">
        <f>BS271</f>
        <v>0</v>
      </c>
      <c r="BV271" s="518">
        <f>BU271</f>
        <v>0</v>
      </c>
      <c r="BW271" s="510">
        <f t="shared" si="895"/>
        <v>0</v>
      </c>
      <c r="BX271" s="516">
        <f>BV271</f>
        <v>0</v>
      </c>
      <c r="BY271" s="518">
        <f>BX271</f>
        <v>0</v>
      </c>
      <c r="BZ271" s="510">
        <f t="shared" si="896"/>
        <v>0</v>
      </c>
      <c r="CA271" s="516">
        <f>BY271</f>
        <v>0</v>
      </c>
      <c r="CB271" s="518">
        <f>CA271</f>
        <v>0</v>
      </c>
      <c r="CC271" s="510">
        <f t="shared" si="897"/>
        <v>0</v>
      </c>
      <c r="CD271" s="516">
        <f>CB271</f>
        <v>0</v>
      </c>
      <c r="CE271" s="518">
        <f>CD271</f>
        <v>0</v>
      </c>
      <c r="CF271" s="510">
        <f t="shared" si="898"/>
        <v>0</v>
      </c>
      <c r="CG271" s="516">
        <f>CE271</f>
        <v>0</v>
      </c>
      <c r="CH271" s="518">
        <f>CG271</f>
        <v>0</v>
      </c>
      <c r="CI271" s="510">
        <f t="shared" si="899"/>
        <v>0</v>
      </c>
      <c r="CJ271" s="516">
        <f>CH271</f>
        <v>0</v>
      </c>
      <c r="CK271" s="518">
        <f>CJ271</f>
        <v>0</v>
      </c>
      <c r="CL271" s="510">
        <f t="shared" si="900"/>
        <v>0</v>
      </c>
      <c r="CM271" s="516">
        <f>CK271</f>
        <v>0</v>
      </c>
      <c r="CN271" s="518">
        <f>CM271</f>
        <v>0</v>
      </c>
      <c r="CO271" s="510">
        <f t="shared" si="901"/>
        <v>0</v>
      </c>
      <c r="CP271" s="516">
        <f>CN271</f>
        <v>0</v>
      </c>
      <c r="CQ271" s="518">
        <f>CP271</f>
        <v>0</v>
      </c>
      <c r="CR271" s="510">
        <f t="shared" si="902"/>
        <v>0</v>
      </c>
      <c r="CS271" s="516">
        <f>CQ271</f>
        <v>0</v>
      </c>
      <c r="CT271" s="518">
        <f>CS271</f>
        <v>0</v>
      </c>
      <c r="CU271" s="510">
        <f t="shared" si="903"/>
        <v>0</v>
      </c>
      <c r="CV271" s="516">
        <f>CT271</f>
        <v>0</v>
      </c>
      <c r="CW271" s="518">
        <f>CV271</f>
        <v>0</v>
      </c>
      <c r="CX271" s="510">
        <f t="shared" si="904"/>
        <v>0</v>
      </c>
      <c r="CY271" s="516">
        <f>CW271</f>
        <v>0</v>
      </c>
      <c r="CZ271" s="518">
        <f>CY271</f>
        <v>0</v>
      </c>
      <c r="DA271" s="510">
        <f t="shared" si="905"/>
        <v>0</v>
      </c>
      <c r="DB271" s="516">
        <f>CZ271</f>
        <v>0</v>
      </c>
      <c r="DC271" s="518">
        <f>DB271</f>
        <v>0</v>
      </c>
      <c r="DD271" s="510">
        <f t="shared" si="906"/>
        <v>0</v>
      </c>
      <c r="DE271" s="516">
        <f>DC271</f>
        <v>0</v>
      </c>
      <c r="DF271" s="518">
        <f>DE271</f>
        <v>0</v>
      </c>
      <c r="DG271" s="510">
        <f t="shared" si="907"/>
        <v>0</v>
      </c>
      <c r="DH271" s="1258">
        <f>DF271</f>
        <v>0</v>
      </c>
      <c r="DI271" s="482">
        <f>DH271</f>
        <v>0</v>
      </c>
      <c r="DJ271" s="482">
        <f t="shared" si="908"/>
        <v>0</v>
      </c>
      <c r="DK271" s="1244">
        <f>DI271</f>
        <v>0</v>
      </c>
      <c r="DL271" s="482">
        <f>DK271</f>
        <v>0</v>
      </c>
      <c r="DM271" s="482">
        <f t="shared" si="909"/>
        <v>0</v>
      </c>
      <c r="DN271" s="1244">
        <f>DL271</f>
        <v>0</v>
      </c>
      <c r="DO271" s="482">
        <f>DN271</f>
        <v>0</v>
      </c>
      <c r="DP271" s="482">
        <f t="shared" si="910"/>
        <v>0</v>
      </c>
      <c r="DQ271" s="1244">
        <f>DO271</f>
        <v>0</v>
      </c>
      <c r="DR271" s="482">
        <f>DQ271</f>
        <v>0</v>
      </c>
      <c r="DS271" s="482">
        <f t="shared" si="911"/>
        <v>0</v>
      </c>
      <c r="DT271" s="1244">
        <f>DR271</f>
        <v>0</v>
      </c>
      <c r="DU271" s="482">
        <f>DT271</f>
        <v>0</v>
      </c>
      <c r="DV271" s="482">
        <f t="shared" si="912"/>
        <v>0</v>
      </c>
      <c r="DW271" s="1244">
        <f>DU271</f>
        <v>0</v>
      </c>
      <c r="DX271" s="482">
        <f>DW271</f>
        <v>0</v>
      </c>
      <c r="DY271" s="482">
        <f t="shared" si="913"/>
        <v>0</v>
      </c>
      <c r="DZ271" s="1244">
        <f>DX271</f>
        <v>0</v>
      </c>
      <c r="EA271" s="482">
        <f>DZ271</f>
        <v>0</v>
      </c>
      <c r="EB271" s="482">
        <f t="shared" si="914"/>
        <v>0</v>
      </c>
      <c r="EC271" s="1244">
        <f>EA271</f>
        <v>0</v>
      </c>
      <c r="ED271" s="482">
        <f>EC271</f>
        <v>0</v>
      </c>
      <c r="EE271" s="482">
        <f t="shared" si="915"/>
        <v>0</v>
      </c>
      <c r="EF271" s="1244">
        <f>ED271</f>
        <v>0</v>
      </c>
      <c r="EG271" s="482">
        <f>EF271</f>
        <v>0</v>
      </c>
      <c r="EH271" s="482">
        <f t="shared" si="916"/>
        <v>0</v>
      </c>
      <c r="EI271" s="1244">
        <f>EG271</f>
        <v>0</v>
      </c>
      <c r="EJ271" s="482">
        <f>EI271</f>
        <v>0</v>
      </c>
      <c r="EK271" s="482">
        <f t="shared" si="917"/>
        <v>0</v>
      </c>
      <c r="EL271" s="1244">
        <f>EJ271</f>
        <v>0</v>
      </c>
      <c r="EM271" s="482">
        <f>EL271</f>
        <v>0</v>
      </c>
      <c r="EN271" s="482">
        <f t="shared" si="918"/>
        <v>0</v>
      </c>
      <c r="EO271" s="1244">
        <f>EM271</f>
        <v>0</v>
      </c>
      <c r="EP271" s="482">
        <f>EO271</f>
        <v>0</v>
      </c>
      <c r="EQ271" s="482">
        <f t="shared" si="919"/>
        <v>0</v>
      </c>
      <c r="ER271" s="1244">
        <f>EP271</f>
        <v>0</v>
      </c>
      <c r="ES271" s="482">
        <f>ER271</f>
        <v>0</v>
      </c>
      <c r="ET271" s="482">
        <f t="shared" si="920"/>
        <v>0</v>
      </c>
      <c r="EU271" s="1244">
        <f>ES271</f>
        <v>0</v>
      </c>
      <c r="EV271" s="482">
        <f>EU271</f>
        <v>0</v>
      </c>
      <c r="EW271" s="482">
        <f t="shared" si="921"/>
        <v>0</v>
      </c>
      <c r="EX271" s="1244">
        <f>EV271</f>
        <v>0</v>
      </c>
      <c r="EY271" s="482">
        <f>EX271</f>
        <v>0</v>
      </c>
      <c r="EZ271" s="482">
        <f t="shared" si="922"/>
        <v>0</v>
      </c>
      <c r="FA271" s="1244">
        <f>EY271</f>
        <v>0</v>
      </c>
      <c r="FB271" s="292"/>
      <c r="FE271"/>
      <c r="FF271"/>
      <c r="FG271"/>
      <c r="FH271"/>
      <c r="FI271"/>
      <c r="FJ271"/>
      <c r="FK271" s="35"/>
    </row>
    <row r="272" spans="2:167" s="236" customFormat="1" ht="13.35" customHeight="1" outlineLevel="1">
      <c r="B272" s="242" t="s">
        <v>781</v>
      </c>
      <c r="C272" s="242" t="s">
        <v>496</v>
      </c>
      <c r="D272" s="243"/>
      <c r="E272" s="516"/>
      <c r="F272" s="482">
        <f t="shared" si="872"/>
        <v>0</v>
      </c>
      <c r="G272" s="517"/>
      <c r="H272" s="518"/>
      <c r="I272" s="482">
        <f t="shared" si="873"/>
        <v>0</v>
      </c>
      <c r="J272" s="517"/>
      <c r="K272" s="518"/>
      <c r="L272" s="482">
        <f t="shared" si="874"/>
        <v>0</v>
      </c>
      <c r="M272" s="517"/>
      <c r="N272" s="518"/>
      <c r="O272" s="482">
        <f t="shared" si="875"/>
        <v>0</v>
      </c>
      <c r="P272" s="517"/>
      <c r="Q272" s="518"/>
      <c r="R272" s="482">
        <f t="shared" si="876"/>
        <v>0</v>
      </c>
      <c r="S272" s="606"/>
      <c r="T272" s="518"/>
      <c r="U272" s="482">
        <f t="shared" si="877"/>
        <v>0</v>
      </c>
      <c r="V272" s="517"/>
      <c r="W272" s="518"/>
      <c r="X272" s="482">
        <f t="shared" si="878"/>
        <v>0</v>
      </c>
      <c r="Y272" s="517"/>
      <c r="Z272" s="518"/>
      <c r="AA272" s="482">
        <f t="shared" si="879"/>
        <v>0</v>
      </c>
      <c r="AB272" s="517"/>
      <c r="AC272" s="518"/>
      <c r="AD272" s="482">
        <f t="shared" si="880"/>
        <v>0</v>
      </c>
      <c r="AE272" s="517"/>
      <c r="AF272" s="518"/>
      <c r="AG272" s="482">
        <f t="shared" si="881"/>
        <v>0</v>
      </c>
      <c r="AH272" s="517"/>
      <c r="AI272" s="518"/>
      <c r="AJ272" s="482">
        <f t="shared" si="882"/>
        <v>0</v>
      </c>
      <c r="AK272" s="517"/>
      <c r="AL272" s="518"/>
      <c r="AM272" s="482">
        <f t="shared" si="883"/>
        <v>0</v>
      </c>
      <c r="AN272" s="517"/>
      <c r="AO272" s="518"/>
      <c r="AP272" s="482">
        <f t="shared" si="884"/>
        <v>0</v>
      </c>
      <c r="AQ272" s="517"/>
      <c r="AR272" s="518"/>
      <c r="AS272" s="482">
        <f t="shared" si="885"/>
        <v>0</v>
      </c>
      <c r="AT272" s="517"/>
      <c r="AU272" s="518"/>
      <c r="AV272" s="482">
        <f t="shared" si="886"/>
        <v>0</v>
      </c>
      <c r="AW272" s="517"/>
      <c r="AX272" s="519">
        <v>0</v>
      </c>
      <c r="AY272" s="482">
        <f t="shared" si="887"/>
        <v>0</v>
      </c>
      <c r="AZ272" s="520">
        <v>0</v>
      </c>
      <c r="BA272" s="519">
        <v>0</v>
      </c>
      <c r="BB272" s="482">
        <f t="shared" si="888"/>
        <v>0</v>
      </c>
      <c r="BC272" s="520">
        <v>0</v>
      </c>
      <c r="BD272" s="519">
        <v>0</v>
      </c>
      <c r="BE272" s="482">
        <f t="shared" si="889"/>
        <v>0</v>
      </c>
      <c r="BF272" s="520">
        <v>0</v>
      </c>
      <c r="BG272" s="519">
        <v>0</v>
      </c>
      <c r="BH272" s="482">
        <f t="shared" si="890"/>
        <v>0</v>
      </c>
      <c r="BI272" s="520">
        <v>0</v>
      </c>
      <c r="BJ272" s="519">
        <v>0</v>
      </c>
      <c r="BK272" s="482">
        <f t="shared" si="891"/>
        <v>0</v>
      </c>
      <c r="BL272" s="520">
        <v>0</v>
      </c>
      <c r="BM272" s="518">
        <f>BL272</f>
        <v>0</v>
      </c>
      <c r="BN272" s="482">
        <f t="shared" si="892"/>
        <v>0</v>
      </c>
      <c r="BO272" s="516">
        <f>BM272</f>
        <v>0</v>
      </c>
      <c r="BP272" s="518">
        <f>BO272</f>
        <v>0</v>
      </c>
      <c r="BQ272" s="482">
        <f t="shared" si="893"/>
        <v>0</v>
      </c>
      <c r="BR272" s="516">
        <f>BP272</f>
        <v>0</v>
      </c>
      <c r="BS272" s="518">
        <f>BR272</f>
        <v>0</v>
      </c>
      <c r="BT272" s="482">
        <f t="shared" si="894"/>
        <v>0</v>
      </c>
      <c r="BU272" s="516">
        <f>BS272</f>
        <v>0</v>
      </c>
      <c r="BV272" s="518">
        <f>BU272</f>
        <v>0</v>
      </c>
      <c r="BW272" s="482">
        <f t="shared" si="895"/>
        <v>0</v>
      </c>
      <c r="BX272" s="516">
        <f>BV272</f>
        <v>0</v>
      </c>
      <c r="BY272" s="518">
        <f>BX272</f>
        <v>0</v>
      </c>
      <c r="BZ272" s="482">
        <f t="shared" si="896"/>
        <v>0</v>
      </c>
      <c r="CA272" s="516">
        <f>BY272</f>
        <v>0</v>
      </c>
      <c r="CB272" s="518">
        <f>CA272</f>
        <v>0</v>
      </c>
      <c r="CC272" s="482">
        <f t="shared" si="897"/>
        <v>73.811000000000007</v>
      </c>
      <c r="CD272" s="521">
        <v>73.811000000000007</v>
      </c>
      <c r="CE272" s="519">
        <v>0</v>
      </c>
      <c r="CF272" s="482">
        <f t="shared" si="898"/>
        <v>60</v>
      </c>
      <c r="CG272" s="521">
        <v>60</v>
      </c>
      <c r="CH272" s="519">
        <v>40</v>
      </c>
      <c r="CI272" s="482">
        <f t="shared" si="899"/>
        <v>45.744</v>
      </c>
      <c r="CJ272" s="521">
        <v>45.744</v>
      </c>
      <c r="CK272" s="519">
        <v>78.372</v>
      </c>
      <c r="CL272" s="482">
        <f t="shared" si="900"/>
        <v>3.3090000000000002</v>
      </c>
      <c r="CM272" s="521">
        <v>3.3090000000000002</v>
      </c>
      <c r="CN272" s="519">
        <v>3.2160000000000002</v>
      </c>
      <c r="CO272" s="482">
        <f t="shared" si="901"/>
        <v>3.141</v>
      </c>
      <c r="CP272" s="521">
        <v>3.141</v>
      </c>
      <c r="CQ272" s="519">
        <v>3.0609999999999999</v>
      </c>
      <c r="CR272" s="482">
        <f t="shared" si="902"/>
        <v>168.15899999999999</v>
      </c>
      <c r="CS272" s="521">
        <v>168.15899999999999</v>
      </c>
      <c r="CT272" s="519">
        <v>168.42599999999999</v>
      </c>
      <c r="CU272" s="482">
        <f t="shared" si="903"/>
        <v>3.9780000000000002</v>
      </c>
      <c r="CV272" s="521">
        <v>3.9780000000000002</v>
      </c>
      <c r="CW272" s="519">
        <v>3.5390000000000001</v>
      </c>
      <c r="CX272" s="482">
        <f t="shared" si="904"/>
        <v>84.686999999999998</v>
      </c>
      <c r="CY272" s="521">
        <v>84.686999999999998</v>
      </c>
      <c r="CZ272" s="518">
        <v>59.6</v>
      </c>
      <c r="DA272" s="482">
        <f t="shared" si="905"/>
        <v>3.7</v>
      </c>
      <c r="DB272" s="516">
        <v>3.7</v>
      </c>
      <c r="DC272" s="518">
        <v>3.5</v>
      </c>
      <c r="DD272" s="482">
        <f t="shared" si="906"/>
        <v>3.3</v>
      </c>
      <c r="DE272" s="516">
        <v>3.3</v>
      </c>
      <c r="DF272" s="519">
        <v>3.3</v>
      </c>
      <c r="DG272" s="482">
        <f t="shared" si="907"/>
        <v>0</v>
      </c>
      <c r="DH272" s="1283"/>
      <c r="DI272" s="482"/>
      <c r="DJ272" s="482">
        <f t="shared" si="908"/>
        <v>0</v>
      </c>
      <c r="DK272" s="1244">
        <f>DI272</f>
        <v>0</v>
      </c>
      <c r="DL272" s="482">
        <v>2.4</v>
      </c>
      <c r="DM272" s="482">
        <f t="shared" si="909"/>
        <v>42.6</v>
      </c>
      <c r="DN272" s="1244">
        <v>42.6</v>
      </c>
      <c r="DO272" s="482">
        <v>0</v>
      </c>
      <c r="DP272" s="482">
        <f t="shared" si="910"/>
        <v>0</v>
      </c>
      <c r="DQ272" s="1244">
        <f>DO272</f>
        <v>0</v>
      </c>
      <c r="DR272" s="482">
        <f>DQ272</f>
        <v>0</v>
      </c>
      <c r="DS272" s="482">
        <f t="shared" si="911"/>
        <v>0</v>
      </c>
      <c r="DT272" s="1244">
        <f>DR272</f>
        <v>0</v>
      </c>
      <c r="DU272" s="482">
        <f>DT272</f>
        <v>0</v>
      </c>
      <c r="DV272" s="482">
        <f t="shared" si="912"/>
        <v>0</v>
      </c>
      <c r="DW272" s="1244">
        <f>DU272</f>
        <v>0</v>
      </c>
      <c r="DX272" s="482">
        <f>DW272</f>
        <v>0</v>
      </c>
      <c r="DY272" s="482">
        <f t="shared" si="913"/>
        <v>0</v>
      </c>
      <c r="DZ272" s="1244">
        <f>DX272</f>
        <v>0</v>
      </c>
      <c r="EA272" s="482">
        <f>DZ272</f>
        <v>0</v>
      </c>
      <c r="EB272" s="482">
        <f t="shared" si="914"/>
        <v>0</v>
      </c>
      <c r="EC272" s="1244">
        <f>EA272</f>
        <v>0</v>
      </c>
      <c r="ED272" s="482">
        <f>EC272</f>
        <v>0</v>
      </c>
      <c r="EE272" s="482">
        <f t="shared" si="915"/>
        <v>0</v>
      </c>
      <c r="EF272" s="1244">
        <f>ED272</f>
        <v>0</v>
      </c>
      <c r="EG272" s="482">
        <f>EF272</f>
        <v>0</v>
      </c>
      <c r="EH272" s="482">
        <f t="shared" si="916"/>
        <v>0</v>
      </c>
      <c r="EI272" s="1244">
        <f>EG272</f>
        <v>0</v>
      </c>
      <c r="EJ272" s="482">
        <f>EI272</f>
        <v>0</v>
      </c>
      <c r="EK272" s="482">
        <f t="shared" si="917"/>
        <v>0</v>
      </c>
      <c r="EL272" s="1244">
        <f>EJ272</f>
        <v>0</v>
      </c>
      <c r="EM272" s="482">
        <f>EL272</f>
        <v>0</v>
      </c>
      <c r="EN272" s="482">
        <f t="shared" si="918"/>
        <v>0</v>
      </c>
      <c r="EO272" s="1244">
        <f>EM272</f>
        <v>0</v>
      </c>
      <c r="EP272" s="482">
        <f>EO272</f>
        <v>0</v>
      </c>
      <c r="EQ272" s="482">
        <f t="shared" si="919"/>
        <v>0</v>
      </c>
      <c r="ER272" s="1244">
        <f>EP272</f>
        <v>0</v>
      </c>
      <c r="ES272" s="482">
        <f>ER272</f>
        <v>0</v>
      </c>
      <c r="ET272" s="482">
        <f t="shared" si="920"/>
        <v>0</v>
      </c>
      <c r="EU272" s="1244">
        <f>ES272</f>
        <v>0</v>
      </c>
      <c r="EV272" s="482">
        <f>EU272</f>
        <v>0</v>
      </c>
      <c r="EW272" s="482">
        <f t="shared" si="921"/>
        <v>0</v>
      </c>
      <c r="EX272" s="1244">
        <f>EV272</f>
        <v>0</v>
      </c>
      <c r="EY272" s="482">
        <f>EX272</f>
        <v>0</v>
      </c>
      <c r="EZ272" s="482">
        <f t="shared" si="922"/>
        <v>0</v>
      </c>
      <c r="FA272" s="1244">
        <f>EY272</f>
        <v>0</v>
      </c>
      <c r="FB272" s="292"/>
      <c r="FE272"/>
      <c r="FF272"/>
      <c r="FG272"/>
      <c r="FH272"/>
      <c r="FI272"/>
      <c r="FJ272"/>
      <c r="FK272" s="35"/>
    </row>
    <row r="273" spans="2:167" s="236" customFormat="1" ht="13.35" customHeight="1" outlineLevel="1">
      <c r="B273" s="242" t="s">
        <v>782</v>
      </c>
      <c r="C273" s="242" t="s">
        <v>496</v>
      </c>
      <c r="D273" s="243"/>
      <c r="E273" s="516"/>
      <c r="F273" s="482">
        <f t="shared" si="872"/>
        <v>0</v>
      </c>
      <c r="G273" s="517"/>
      <c r="H273" s="518"/>
      <c r="I273" s="482">
        <f t="shared" si="873"/>
        <v>0</v>
      </c>
      <c r="J273" s="517"/>
      <c r="K273" s="518"/>
      <c r="L273" s="482">
        <f t="shared" si="874"/>
        <v>0</v>
      </c>
      <c r="M273" s="517"/>
      <c r="N273" s="518"/>
      <c r="O273" s="482">
        <f t="shared" si="875"/>
        <v>0</v>
      </c>
      <c r="P273" s="517"/>
      <c r="Q273" s="518"/>
      <c r="R273" s="482">
        <f t="shared" si="876"/>
        <v>0</v>
      </c>
      <c r="S273" s="606"/>
      <c r="T273" s="518"/>
      <c r="U273" s="482">
        <f t="shared" si="877"/>
        <v>0</v>
      </c>
      <c r="V273" s="517"/>
      <c r="W273" s="518"/>
      <c r="X273" s="482">
        <f t="shared" si="878"/>
        <v>0</v>
      </c>
      <c r="Y273" s="517"/>
      <c r="Z273" s="518"/>
      <c r="AA273" s="482">
        <f t="shared" si="879"/>
        <v>0</v>
      </c>
      <c r="AB273" s="517"/>
      <c r="AC273" s="518"/>
      <c r="AD273" s="482">
        <f t="shared" si="880"/>
        <v>0</v>
      </c>
      <c r="AE273" s="517"/>
      <c r="AF273" s="518"/>
      <c r="AG273" s="482">
        <f t="shared" si="881"/>
        <v>0</v>
      </c>
      <c r="AH273" s="517"/>
      <c r="AI273" s="518"/>
      <c r="AJ273" s="482">
        <f t="shared" si="882"/>
        <v>0</v>
      </c>
      <c r="AK273" s="517"/>
      <c r="AL273" s="518"/>
      <c r="AM273" s="482">
        <f t="shared" si="883"/>
        <v>0</v>
      </c>
      <c r="AN273" s="517"/>
      <c r="AO273" s="518"/>
      <c r="AP273" s="482">
        <f t="shared" si="884"/>
        <v>0</v>
      </c>
      <c r="AQ273" s="517"/>
      <c r="AR273" s="518"/>
      <c r="AS273" s="482">
        <f t="shared" si="885"/>
        <v>0</v>
      </c>
      <c r="AT273" s="517"/>
      <c r="AU273" s="518"/>
      <c r="AV273" s="482">
        <f t="shared" si="886"/>
        <v>0</v>
      </c>
      <c r="AW273" s="517"/>
      <c r="AX273" s="519">
        <v>0</v>
      </c>
      <c r="AY273" s="482">
        <f t="shared" si="887"/>
        <v>0</v>
      </c>
      <c r="AZ273" s="520">
        <v>0</v>
      </c>
      <c r="BA273" s="519">
        <v>0</v>
      </c>
      <c r="BB273" s="482">
        <f t="shared" si="888"/>
        <v>0</v>
      </c>
      <c r="BC273" s="520">
        <v>0</v>
      </c>
      <c r="BD273" s="519">
        <v>0</v>
      </c>
      <c r="BE273" s="482">
        <f t="shared" si="889"/>
        <v>0</v>
      </c>
      <c r="BF273" s="520">
        <v>0</v>
      </c>
      <c r="BG273" s="519">
        <v>0</v>
      </c>
      <c r="BH273" s="482">
        <f t="shared" si="890"/>
        <v>0</v>
      </c>
      <c r="BI273" s="520">
        <v>0</v>
      </c>
      <c r="BJ273" s="519">
        <v>0</v>
      </c>
      <c r="BK273" s="482">
        <f t="shared" si="891"/>
        <v>0</v>
      </c>
      <c r="BL273" s="520">
        <v>0</v>
      </c>
      <c r="BM273" s="518">
        <f>BL273</f>
        <v>0</v>
      </c>
      <c r="BN273" s="482">
        <f t="shared" si="892"/>
        <v>0</v>
      </c>
      <c r="BO273" s="516">
        <f>BM273</f>
        <v>0</v>
      </c>
      <c r="BP273" s="518">
        <f>BO273</f>
        <v>0</v>
      </c>
      <c r="BQ273" s="482">
        <f t="shared" si="893"/>
        <v>0</v>
      </c>
      <c r="BR273" s="516">
        <f>BP273</f>
        <v>0</v>
      </c>
      <c r="BS273" s="518">
        <f>BR273</f>
        <v>0</v>
      </c>
      <c r="BT273" s="482">
        <f t="shared" si="894"/>
        <v>0</v>
      </c>
      <c r="BU273" s="516">
        <f>BS273</f>
        <v>0</v>
      </c>
      <c r="BV273" s="518">
        <f>BU273</f>
        <v>0</v>
      </c>
      <c r="BW273" s="482">
        <f t="shared" si="895"/>
        <v>0</v>
      </c>
      <c r="BX273" s="516">
        <f>BV273</f>
        <v>0</v>
      </c>
      <c r="BY273" s="518">
        <f>BX273</f>
        <v>0</v>
      </c>
      <c r="BZ273" s="482">
        <f t="shared" si="896"/>
        <v>0</v>
      </c>
      <c r="CA273" s="516">
        <f>BY273</f>
        <v>0</v>
      </c>
      <c r="CB273" s="518">
        <f>CA273</f>
        <v>0</v>
      </c>
      <c r="CC273" s="482">
        <f t="shared" si="897"/>
        <v>0</v>
      </c>
      <c r="CD273" s="516">
        <f>CB273</f>
        <v>0</v>
      </c>
      <c r="CE273" s="518">
        <f>CD273</f>
        <v>0</v>
      </c>
      <c r="CF273" s="482">
        <f t="shared" si="898"/>
        <v>0</v>
      </c>
      <c r="CG273" s="516">
        <f>CE273</f>
        <v>0</v>
      </c>
      <c r="CH273" s="518">
        <f>CG273</f>
        <v>0</v>
      </c>
      <c r="CI273" s="482">
        <f t="shared" si="899"/>
        <v>0</v>
      </c>
      <c r="CJ273" s="516">
        <f>CH273</f>
        <v>0</v>
      </c>
      <c r="CK273" s="518">
        <f>CJ273</f>
        <v>0</v>
      </c>
      <c r="CL273" s="482">
        <f t="shared" si="900"/>
        <v>0</v>
      </c>
      <c r="CM273" s="516">
        <f>CK273</f>
        <v>0</v>
      </c>
      <c r="CN273" s="518">
        <f>CM273</f>
        <v>0</v>
      </c>
      <c r="CO273" s="482">
        <f t="shared" si="901"/>
        <v>0</v>
      </c>
      <c r="CP273" s="516">
        <f>CN273</f>
        <v>0</v>
      </c>
      <c r="CQ273" s="518">
        <f>CP273</f>
        <v>0</v>
      </c>
      <c r="CR273" s="482">
        <f t="shared" si="902"/>
        <v>0</v>
      </c>
      <c r="CS273" s="516">
        <f>CQ273</f>
        <v>0</v>
      </c>
      <c r="CT273" s="518">
        <f>CS273</f>
        <v>0</v>
      </c>
      <c r="CU273" s="482">
        <f t="shared" si="903"/>
        <v>0</v>
      </c>
      <c r="CV273" s="516">
        <f>CT273</f>
        <v>0</v>
      </c>
      <c r="CW273" s="518">
        <f>CV273</f>
        <v>0</v>
      </c>
      <c r="CX273" s="482">
        <f t="shared" si="904"/>
        <v>0</v>
      </c>
      <c r="CY273" s="516">
        <f>CW273</f>
        <v>0</v>
      </c>
      <c r="CZ273" s="518">
        <f>CY273</f>
        <v>0</v>
      </c>
      <c r="DA273" s="482">
        <f t="shared" si="905"/>
        <v>0</v>
      </c>
      <c r="DB273" s="516">
        <f>CZ273</f>
        <v>0</v>
      </c>
      <c r="DC273" s="518">
        <f>DB273</f>
        <v>0</v>
      </c>
      <c r="DD273" s="482">
        <f t="shared" si="906"/>
        <v>0</v>
      </c>
      <c r="DE273" s="516">
        <f>DC273</f>
        <v>0</v>
      </c>
      <c r="DF273" s="518">
        <f>DE273</f>
        <v>0</v>
      </c>
      <c r="DG273" s="482">
        <f t="shared" si="907"/>
        <v>0</v>
      </c>
      <c r="DH273" s="1258">
        <f>DF273</f>
        <v>0</v>
      </c>
      <c r="DI273" s="482">
        <f>DH273</f>
        <v>0</v>
      </c>
      <c r="DJ273" s="482">
        <f t="shared" si="908"/>
        <v>0</v>
      </c>
      <c r="DK273" s="1244">
        <f>DI273</f>
        <v>0</v>
      </c>
      <c r="DL273" s="482">
        <f>DK273</f>
        <v>0</v>
      </c>
      <c r="DM273" s="482">
        <f t="shared" si="909"/>
        <v>0</v>
      </c>
      <c r="DN273" s="1244">
        <f>DL273</f>
        <v>0</v>
      </c>
      <c r="DO273" s="482">
        <f>DN273</f>
        <v>0</v>
      </c>
      <c r="DP273" s="482">
        <f t="shared" si="910"/>
        <v>0</v>
      </c>
      <c r="DQ273" s="1244">
        <f>DO273</f>
        <v>0</v>
      </c>
      <c r="DR273" s="482">
        <f>DQ273</f>
        <v>0</v>
      </c>
      <c r="DS273" s="482">
        <f t="shared" si="911"/>
        <v>0</v>
      </c>
      <c r="DT273" s="1244">
        <f>DR273</f>
        <v>0</v>
      </c>
      <c r="DU273" s="482">
        <f>DT273</f>
        <v>0</v>
      </c>
      <c r="DV273" s="482">
        <f t="shared" si="912"/>
        <v>0</v>
      </c>
      <c r="DW273" s="1244">
        <f>DU273</f>
        <v>0</v>
      </c>
      <c r="DX273" s="482">
        <f>DW273</f>
        <v>0</v>
      </c>
      <c r="DY273" s="482">
        <f t="shared" si="913"/>
        <v>0</v>
      </c>
      <c r="DZ273" s="1244">
        <f>DX273</f>
        <v>0</v>
      </c>
      <c r="EA273" s="482">
        <f>DZ273</f>
        <v>0</v>
      </c>
      <c r="EB273" s="482">
        <f t="shared" si="914"/>
        <v>0</v>
      </c>
      <c r="EC273" s="1244">
        <f>EA273</f>
        <v>0</v>
      </c>
      <c r="ED273" s="482">
        <f>EC273</f>
        <v>0</v>
      </c>
      <c r="EE273" s="482">
        <f t="shared" si="915"/>
        <v>0</v>
      </c>
      <c r="EF273" s="1244">
        <f>ED273</f>
        <v>0</v>
      </c>
      <c r="EG273" s="482">
        <f>EF273</f>
        <v>0</v>
      </c>
      <c r="EH273" s="482">
        <f t="shared" si="916"/>
        <v>0</v>
      </c>
      <c r="EI273" s="1244">
        <f>EG273</f>
        <v>0</v>
      </c>
      <c r="EJ273" s="482">
        <f>EI273</f>
        <v>0</v>
      </c>
      <c r="EK273" s="482">
        <f t="shared" si="917"/>
        <v>0</v>
      </c>
      <c r="EL273" s="1244">
        <f>EJ273</f>
        <v>0</v>
      </c>
      <c r="EM273" s="482">
        <f>EL273</f>
        <v>0</v>
      </c>
      <c r="EN273" s="482">
        <f t="shared" si="918"/>
        <v>0</v>
      </c>
      <c r="EO273" s="1244">
        <f>EM273</f>
        <v>0</v>
      </c>
      <c r="EP273" s="482">
        <f>EO273</f>
        <v>0</v>
      </c>
      <c r="EQ273" s="482">
        <f t="shared" si="919"/>
        <v>0</v>
      </c>
      <c r="ER273" s="1244">
        <f>EP273</f>
        <v>0</v>
      </c>
      <c r="ES273" s="482">
        <f>ER273</f>
        <v>0</v>
      </c>
      <c r="ET273" s="482">
        <f t="shared" si="920"/>
        <v>0</v>
      </c>
      <c r="EU273" s="1244">
        <f>ES273</f>
        <v>0</v>
      </c>
      <c r="EV273" s="482">
        <f>EU273</f>
        <v>0</v>
      </c>
      <c r="EW273" s="482">
        <f t="shared" si="921"/>
        <v>0</v>
      </c>
      <c r="EX273" s="1244">
        <f>EV273</f>
        <v>0</v>
      </c>
      <c r="EY273" s="482">
        <f>EX273</f>
        <v>0</v>
      </c>
      <c r="EZ273" s="482">
        <f t="shared" si="922"/>
        <v>0</v>
      </c>
      <c r="FA273" s="1244">
        <f>EY273</f>
        <v>0</v>
      </c>
      <c r="FB273" s="292"/>
      <c r="FE273"/>
      <c r="FF273"/>
      <c r="FG273"/>
      <c r="FH273"/>
      <c r="FI273"/>
      <c r="FJ273"/>
      <c r="FK273" s="35"/>
    </row>
    <row r="274" spans="2:167" s="236" customFormat="1" ht="13.35" customHeight="1" outlineLevel="1">
      <c r="B274" s="242" t="s">
        <v>783</v>
      </c>
      <c r="C274" s="242" t="s">
        <v>496</v>
      </c>
      <c r="D274" s="243"/>
      <c r="E274" s="516"/>
      <c r="F274" s="482">
        <f t="shared" si="872"/>
        <v>0</v>
      </c>
      <c r="G274" s="517"/>
      <c r="H274" s="518"/>
      <c r="I274" s="482">
        <f t="shared" si="873"/>
        <v>0</v>
      </c>
      <c r="J274" s="517"/>
      <c r="K274" s="518"/>
      <c r="L274" s="482">
        <f t="shared" si="874"/>
        <v>0</v>
      </c>
      <c r="M274" s="517"/>
      <c r="N274" s="518"/>
      <c r="O274" s="482">
        <f t="shared" si="875"/>
        <v>0</v>
      </c>
      <c r="P274" s="517"/>
      <c r="Q274" s="518"/>
      <c r="R274" s="482">
        <f t="shared" si="876"/>
        <v>0</v>
      </c>
      <c r="S274" s="606"/>
      <c r="T274" s="518"/>
      <c r="U274" s="482">
        <f t="shared" si="877"/>
        <v>0</v>
      </c>
      <c r="V274" s="517"/>
      <c r="W274" s="518"/>
      <c r="X274" s="482">
        <f t="shared" si="878"/>
        <v>0</v>
      </c>
      <c r="Y274" s="517"/>
      <c r="Z274" s="518"/>
      <c r="AA274" s="482">
        <f t="shared" si="879"/>
        <v>0</v>
      </c>
      <c r="AB274" s="517"/>
      <c r="AC274" s="518"/>
      <c r="AD274" s="482">
        <f t="shared" si="880"/>
        <v>0</v>
      </c>
      <c r="AE274" s="517"/>
      <c r="AF274" s="518"/>
      <c r="AG274" s="482">
        <f t="shared" si="881"/>
        <v>0</v>
      </c>
      <c r="AH274" s="517"/>
      <c r="AI274" s="518"/>
      <c r="AJ274" s="482">
        <f t="shared" si="882"/>
        <v>0</v>
      </c>
      <c r="AK274" s="517"/>
      <c r="AL274" s="518"/>
      <c r="AM274" s="482">
        <f t="shared" si="883"/>
        <v>0</v>
      </c>
      <c r="AN274" s="517"/>
      <c r="AO274" s="518"/>
      <c r="AP274" s="482">
        <f t="shared" si="884"/>
        <v>0</v>
      </c>
      <c r="AQ274" s="517"/>
      <c r="AR274" s="518"/>
      <c r="AS274" s="482">
        <f t="shared" si="885"/>
        <v>0</v>
      </c>
      <c r="AT274" s="517"/>
      <c r="AU274" s="518"/>
      <c r="AV274" s="482">
        <f t="shared" si="886"/>
        <v>0</v>
      </c>
      <c r="AW274" s="517"/>
      <c r="AX274" s="519">
        <v>0</v>
      </c>
      <c r="AY274" s="482">
        <f t="shared" si="887"/>
        <v>0</v>
      </c>
      <c r="AZ274" s="520">
        <v>0</v>
      </c>
      <c r="BA274" s="519">
        <v>0</v>
      </c>
      <c r="BB274" s="482">
        <f t="shared" si="888"/>
        <v>0</v>
      </c>
      <c r="BC274" s="520">
        <v>0</v>
      </c>
      <c r="BD274" s="519">
        <v>0</v>
      </c>
      <c r="BE274" s="482">
        <f t="shared" si="889"/>
        <v>0</v>
      </c>
      <c r="BF274" s="520">
        <v>0</v>
      </c>
      <c r="BG274" s="519">
        <v>0</v>
      </c>
      <c r="BH274" s="482">
        <f t="shared" si="890"/>
        <v>0</v>
      </c>
      <c r="BI274" s="520">
        <v>0</v>
      </c>
      <c r="BJ274" s="519">
        <v>0</v>
      </c>
      <c r="BK274" s="482">
        <f t="shared" si="891"/>
        <v>0</v>
      </c>
      <c r="BL274" s="520">
        <v>0</v>
      </c>
      <c r="BM274" s="518">
        <f>BL274</f>
        <v>0</v>
      </c>
      <c r="BN274" s="482">
        <f t="shared" si="892"/>
        <v>0</v>
      </c>
      <c r="BO274" s="516">
        <f>BM274</f>
        <v>0</v>
      </c>
      <c r="BP274" s="518">
        <f>BO274</f>
        <v>0</v>
      </c>
      <c r="BQ274" s="482">
        <f t="shared" si="893"/>
        <v>0</v>
      </c>
      <c r="BR274" s="516">
        <f>BP274</f>
        <v>0</v>
      </c>
      <c r="BS274" s="518">
        <f>BR274</f>
        <v>0</v>
      </c>
      <c r="BT274" s="482">
        <f t="shared" si="894"/>
        <v>0</v>
      </c>
      <c r="BU274" s="516">
        <f>BS274</f>
        <v>0</v>
      </c>
      <c r="BV274" s="518">
        <f>BU274</f>
        <v>0</v>
      </c>
      <c r="BW274" s="482">
        <f t="shared" si="895"/>
        <v>0</v>
      </c>
      <c r="BX274" s="516">
        <f>BV274</f>
        <v>0</v>
      </c>
      <c r="BY274" s="518">
        <f>BX274</f>
        <v>0</v>
      </c>
      <c r="BZ274" s="482">
        <f t="shared" si="896"/>
        <v>0</v>
      </c>
      <c r="CA274" s="516">
        <f>BY274</f>
        <v>0</v>
      </c>
      <c r="CB274" s="518">
        <f>CA274</f>
        <v>0</v>
      </c>
      <c r="CC274" s="482">
        <f t="shared" si="897"/>
        <v>0</v>
      </c>
      <c r="CD274" s="516">
        <f>CB274</f>
        <v>0</v>
      </c>
      <c r="CE274" s="518">
        <f>CD274</f>
        <v>0</v>
      </c>
      <c r="CF274" s="482">
        <f t="shared" si="898"/>
        <v>0</v>
      </c>
      <c r="CG274" s="516">
        <f>CE274</f>
        <v>0</v>
      </c>
      <c r="CH274" s="518">
        <f>CG274</f>
        <v>0</v>
      </c>
      <c r="CI274" s="482">
        <f t="shared" si="899"/>
        <v>0</v>
      </c>
      <c r="CJ274" s="516">
        <f>CH274</f>
        <v>0</v>
      </c>
      <c r="CK274" s="518">
        <f>CJ274</f>
        <v>0</v>
      </c>
      <c r="CL274" s="482">
        <f t="shared" si="900"/>
        <v>0</v>
      </c>
      <c r="CM274" s="516">
        <f>CK274</f>
        <v>0</v>
      </c>
      <c r="CN274" s="518">
        <f>CM274</f>
        <v>0</v>
      </c>
      <c r="CO274" s="482">
        <f t="shared" si="901"/>
        <v>0</v>
      </c>
      <c r="CP274" s="516">
        <f>CN274</f>
        <v>0</v>
      </c>
      <c r="CQ274" s="518">
        <f>CP274</f>
        <v>0</v>
      </c>
      <c r="CR274" s="482">
        <f t="shared" si="902"/>
        <v>0</v>
      </c>
      <c r="CS274" s="516">
        <f>CQ274</f>
        <v>0</v>
      </c>
      <c r="CT274" s="518">
        <f>CS274</f>
        <v>0</v>
      </c>
      <c r="CU274" s="482">
        <f t="shared" si="903"/>
        <v>0</v>
      </c>
      <c r="CV274" s="516">
        <f>CT274</f>
        <v>0</v>
      </c>
      <c r="CW274" s="518">
        <f>CV274</f>
        <v>0</v>
      </c>
      <c r="CX274" s="482">
        <f t="shared" si="904"/>
        <v>0</v>
      </c>
      <c r="CY274" s="516">
        <f>CW274</f>
        <v>0</v>
      </c>
      <c r="CZ274" s="518">
        <f>CY274</f>
        <v>0</v>
      </c>
      <c r="DA274" s="482">
        <f t="shared" si="905"/>
        <v>0</v>
      </c>
      <c r="DB274" s="516">
        <f>CZ274</f>
        <v>0</v>
      </c>
      <c r="DC274" s="518">
        <f>DB274</f>
        <v>0</v>
      </c>
      <c r="DD274" s="482">
        <f t="shared" si="906"/>
        <v>0</v>
      </c>
      <c r="DE274" s="516">
        <f>DC274</f>
        <v>0</v>
      </c>
      <c r="DF274" s="518">
        <f>DE274</f>
        <v>0</v>
      </c>
      <c r="DG274" s="482">
        <f t="shared" si="907"/>
        <v>0</v>
      </c>
      <c r="DH274" s="1258">
        <f>DF274</f>
        <v>0</v>
      </c>
      <c r="DI274" s="482">
        <f>DH274</f>
        <v>0</v>
      </c>
      <c r="DJ274" s="482">
        <f t="shared" si="908"/>
        <v>0</v>
      </c>
      <c r="DK274" s="1244">
        <f>DI274</f>
        <v>0</v>
      </c>
      <c r="DL274" s="482">
        <f>DK274</f>
        <v>0</v>
      </c>
      <c r="DM274" s="482">
        <f t="shared" si="909"/>
        <v>0</v>
      </c>
      <c r="DN274" s="1244">
        <f>DL274</f>
        <v>0</v>
      </c>
      <c r="DO274" s="482">
        <f>DN274</f>
        <v>0</v>
      </c>
      <c r="DP274" s="482">
        <f t="shared" si="910"/>
        <v>0</v>
      </c>
      <c r="DQ274" s="1244">
        <f>DO274</f>
        <v>0</v>
      </c>
      <c r="DR274" s="482">
        <f>DQ274</f>
        <v>0</v>
      </c>
      <c r="DS274" s="482">
        <f t="shared" si="911"/>
        <v>0</v>
      </c>
      <c r="DT274" s="1244">
        <f>DR274</f>
        <v>0</v>
      </c>
      <c r="DU274" s="482">
        <f>DT274</f>
        <v>0</v>
      </c>
      <c r="DV274" s="482">
        <f t="shared" si="912"/>
        <v>0</v>
      </c>
      <c r="DW274" s="1244">
        <f>DU274</f>
        <v>0</v>
      </c>
      <c r="DX274" s="482">
        <f>DW274</f>
        <v>0</v>
      </c>
      <c r="DY274" s="482">
        <f t="shared" si="913"/>
        <v>0</v>
      </c>
      <c r="DZ274" s="1244">
        <f>DX274</f>
        <v>0</v>
      </c>
      <c r="EA274" s="482">
        <f>DZ274</f>
        <v>0</v>
      </c>
      <c r="EB274" s="482">
        <f t="shared" si="914"/>
        <v>0</v>
      </c>
      <c r="EC274" s="1244">
        <f>EA274</f>
        <v>0</v>
      </c>
      <c r="ED274" s="482">
        <f>EC274</f>
        <v>0</v>
      </c>
      <c r="EE274" s="482">
        <f t="shared" si="915"/>
        <v>0</v>
      </c>
      <c r="EF274" s="1244">
        <f>ED274</f>
        <v>0</v>
      </c>
      <c r="EG274" s="482">
        <f>EF274</f>
        <v>0</v>
      </c>
      <c r="EH274" s="482">
        <f t="shared" si="916"/>
        <v>0</v>
      </c>
      <c r="EI274" s="1244">
        <f>EG274</f>
        <v>0</v>
      </c>
      <c r="EJ274" s="482">
        <f>EI274</f>
        <v>0</v>
      </c>
      <c r="EK274" s="482">
        <f t="shared" si="917"/>
        <v>0</v>
      </c>
      <c r="EL274" s="1244">
        <f>EJ274</f>
        <v>0</v>
      </c>
      <c r="EM274" s="482">
        <f>EL274</f>
        <v>0</v>
      </c>
      <c r="EN274" s="482">
        <f t="shared" si="918"/>
        <v>0</v>
      </c>
      <c r="EO274" s="1244">
        <f>EM274</f>
        <v>0</v>
      </c>
      <c r="EP274" s="482">
        <f>EO274</f>
        <v>0</v>
      </c>
      <c r="EQ274" s="482">
        <f t="shared" si="919"/>
        <v>0</v>
      </c>
      <c r="ER274" s="1244">
        <f>EP274</f>
        <v>0</v>
      </c>
      <c r="ES274" s="482">
        <f>ER274</f>
        <v>0</v>
      </c>
      <c r="ET274" s="482">
        <f t="shared" si="920"/>
        <v>0</v>
      </c>
      <c r="EU274" s="1244">
        <f>ES274</f>
        <v>0</v>
      </c>
      <c r="EV274" s="482">
        <f>EU274</f>
        <v>0</v>
      </c>
      <c r="EW274" s="482">
        <f t="shared" si="921"/>
        <v>0</v>
      </c>
      <c r="EX274" s="1244">
        <f>EV274</f>
        <v>0</v>
      </c>
      <c r="EY274" s="482">
        <f>EX274</f>
        <v>0</v>
      </c>
      <c r="EZ274" s="482">
        <f t="shared" si="922"/>
        <v>0</v>
      </c>
      <c r="FA274" s="1244">
        <f>EY274</f>
        <v>0</v>
      </c>
      <c r="FB274" s="292"/>
      <c r="FE274"/>
      <c r="FF274"/>
      <c r="FG274"/>
      <c r="FH274"/>
      <c r="FI274"/>
      <c r="FJ274"/>
      <c r="FK274" s="35"/>
    </row>
    <row r="275" spans="2:167" s="236" customFormat="1" ht="13.35" customHeight="1" outlineLevel="1" thickBot="1">
      <c r="B275" s="242" t="s">
        <v>928</v>
      </c>
      <c r="C275" s="242" t="s">
        <v>496</v>
      </c>
      <c r="D275" s="243"/>
      <c r="E275" s="528"/>
      <c r="F275" s="482">
        <f t="shared" si="872"/>
        <v>0</v>
      </c>
      <c r="G275" s="529"/>
      <c r="H275" s="530"/>
      <c r="I275" s="482">
        <f t="shared" si="873"/>
        <v>0</v>
      </c>
      <c r="J275" s="529"/>
      <c r="K275" s="530"/>
      <c r="L275" s="482">
        <f t="shared" si="874"/>
        <v>0</v>
      </c>
      <c r="M275" s="529"/>
      <c r="N275" s="530"/>
      <c r="O275" s="482">
        <f t="shared" si="875"/>
        <v>0</v>
      </c>
      <c r="P275" s="529"/>
      <c r="Q275" s="530"/>
      <c r="R275" s="482">
        <f t="shared" si="876"/>
        <v>0</v>
      </c>
      <c r="S275" s="605"/>
      <c r="T275" s="530"/>
      <c r="U275" s="482">
        <f t="shared" si="877"/>
        <v>0</v>
      </c>
      <c r="V275" s="529"/>
      <c r="W275" s="530"/>
      <c r="X275" s="482">
        <f t="shared" si="878"/>
        <v>0</v>
      </c>
      <c r="Y275" s="529"/>
      <c r="Z275" s="530"/>
      <c r="AA275" s="482">
        <f t="shared" si="879"/>
        <v>0</v>
      </c>
      <c r="AB275" s="529"/>
      <c r="AC275" s="530"/>
      <c r="AD275" s="482">
        <f t="shared" si="880"/>
        <v>0</v>
      </c>
      <c r="AE275" s="529"/>
      <c r="AF275" s="530"/>
      <c r="AG275" s="482">
        <f t="shared" si="881"/>
        <v>0</v>
      </c>
      <c r="AH275" s="529"/>
      <c r="AI275" s="530"/>
      <c r="AJ275" s="482">
        <f t="shared" si="882"/>
        <v>0</v>
      </c>
      <c r="AK275" s="529"/>
      <c r="AL275" s="530"/>
      <c r="AM275" s="482">
        <f t="shared" si="883"/>
        <v>0</v>
      </c>
      <c r="AN275" s="529"/>
      <c r="AO275" s="530"/>
      <c r="AP275" s="482">
        <f t="shared" si="884"/>
        <v>0</v>
      </c>
      <c r="AQ275" s="529"/>
      <c r="AR275" s="531">
        <v>2.3159999999999998</v>
      </c>
      <c r="AS275" s="492">
        <v>2.6509999999999998</v>
      </c>
      <c r="AT275" s="532">
        <v>2.7170000000000001</v>
      </c>
      <c r="AU275" s="531">
        <v>2.7170000000000001</v>
      </c>
      <c r="AV275" s="492">
        <v>3.0049999999999999</v>
      </c>
      <c r="AW275" s="532">
        <v>3.4620000000000002</v>
      </c>
      <c r="AX275" s="531">
        <v>3.4620000000000002</v>
      </c>
      <c r="AY275" s="492">
        <v>2.4359999999999999</v>
      </c>
      <c r="AZ275" s="532">
        <v>2.4060000000000001</v>
      </c>
      <c r="BA275" s="531">
        <v>2.4060000000000001</v>
      </c>
      <c r="BB275" s="492">
        <v>2.673</v>
      </c>
      <c r="BC275" s="532">
        <v>9.6890000000000001</v>
      </c>
      <c r="BD275" s="531">
        <v>15.058</v>
      </c>
      <c r="BE275" s="482">
        <f t="shared" si="889"/>
        <v>24.251999999999999</v>
      </c>
      <c r="BF275" s="532">
        <v>24.251999999999999</v>
      </c>
      <c r="BG275" s="531">
        <v>14.676</v>
      </c>
      <c r="BH275" s="482">
        <f t="shared" si="890"/>
        <v>15.005000000000001</v>
      </c>
      <c r="BI275" s="532">
        <v>15.005000000000001</v>
      </c>
      <c r="BJ275" s="531">
        <v>0</v>
      </c>
      <c r="BK275" s="482">
        <f t="shared" si="891"/>
        <v>0</v>
      </c>
      <c r="BL275" s="532">
        <v>0</v>
      </c>
      <c r="BM275" s="530" t="str">
        <f>IF(BM5="A","",+BL269+BM210-BM597)</f>
        <v/>
      </c>
      <c r="BN275" s="482">
        <f t="shared" si="892"/>
        <v>0</v>
      </c>
      <c r="BO275" s="549">
        <v>0</v>
      </c>
      <c r="BP275" s="531">
        <v>0</v>
      </c>
      <c r="BQ275" s="482">
        <f t="shared" si="893"/>
        <v>0</v>
      </c>
      <c r="BR275" s="549">
        <v>0</v>
      </c>
      <c r="BS275" s="530" t="str">
        <f>IF(BS5="A","",+BR269+BS210-BS597)</f>
        <v/>
      </c>
      <c r="BT275" s="482" t="str">
        <f t="shared" si="894"/>
        <v/>
      </c>
      <c r="BU275" s="528" t="str">
        <f>IF(BU5="A","",+BR269+BU210-BU597)</f>
        <v/>
      </c>
      <c r="BV275" s="530" t="str">
        <f>IF(BV5="A","",+BU269+BV210-BV597)</f>
        <v/>
      </c>
      <c r="BW275" s="482">
        <f t="shared" si="895"/>
        <v>0</v>
      </c>
      <c r="BX275" s="528"/>
      <c r="BY275" s="530"/>
      <c r="BZ275" s="482"/>
      <c r="CA275" s="528"/>
      <c r="CB275" s="530"/>
      <c r="CC275" s="482"/>
      <c r="CD275" s="528"/>
      <c r="CE275" s="530"/>
      <c r="CF275" s="482"/>
      <c r="CG275" s="528"/>
      <c r="CH275" s="530"/>
      <c r="CI275" s="482"/>
      <c r="CJ275" s="528"/>
      <c r="CK275" s="530"/>
      <c r="CL275" s="482"/>
      <c r="CM275" s="528"/>
      <c r="CN275" s="530"/>
      <c r="CO275" s="482"/>
      <c r="CP275" s="528"/>
      <c r="CQ275" s="530"/>
      <c r="CR275" s="482"/>
      <c r="CS275" s="528"/>
      <c r="CT275" s="530"/>
      <c r="CU275" s="482"/>
      <c r="CV275" s="528"/>
      <c r="CW275" s="530"/>
      <c r="CX275" s="482"/>
      <c r="CY275" s="528"/>
      <c r="CZ275" s="530"/>
      <c r="DA275" s="482"/>
      <c r="DB275" s="528"/>
      <c r="DC275" s="530"/>
      <c r="DD275" s="482"/>
      <c r="DE275" s="528"/>
      <c r="DF275" s="530"/>
      <c r="DG275" s="482"/>
      <c r="DH275" s="1260"/>
      <c r="DI275" s="482"/>
      <c r="DJ275" s="482"/>
      <c r="DK275" s="1244"/>
      <c r="DL275" s="482"/>
      <c r="DM275" s="482"/>
      <c r="DN275" s="1244"/>
      <c r="DO275" s="482"/>
      <c r="DP275" s="482"/>
      <c r="DQ275" s="1244"/>
      <c r="DR275" s="482"/>
      <c r="DS275" s="482"/>
      <c r="DT275" s="1244"/>
      <c r="DU275" s="482"/>
      <c r="DV275" s="482"/>
      <c r="DW275" s="1244"/>
      <c r="DX275" s="482"/>
      <c r="DY275" s="482"/>
      <c r="DZ275" s="1244"/>
      <c r="EA275" s="482"/>
      <c r="EB275" s="482"/>
      <c r="EC275" s="1244"/>
      <c r="ED275" s="482"/>
      <c r="EE275" s="482"/>
      <c r="EF275" s="1244"/>
      <c r="EG275" s="482"/>
      <c r="EH275" s="482"/>
      <c r="EI275" s="1244"/>
      <c r="EJ275" s="482"/>
      <c r="EK275" s="482"/>
      <c r="EL275" s="1244"/>
      <c r="EM275" s="482"/>
      <c r="EN275" s="482"/>
      <c r="EO275" s="1244"/>
      <c r="EP275" s="482"/>
      <c r="EQ275" s="482"/>
      <c r="ER275" s="1244"/>
      <c r="ES275" s="482"/>
      <c r="ET275" s="482"/>
      <c r="EU275" s="1244"/>
      <c r="EV275" s="482"/>
      <c r="EW275" s="482"/>
      <c r="EX275" s="1244"/>
      <c r="EY275" s="482"/>
      <c r="EZ275" s="482"/>
      <c r="FA275" s="1244"/>
      <c r="FB275" s="292"/>
      <c r="FE275"/>
      <c r="FF275"/>
      <c r="FG275"/>
      <c r="FH275"/>
      <c r="FI275"/>
      <c r="FJ275"/>
      <c r="FK275" s="35"/>
    </row>
    <row r="276" spans="2:167" s="236" customFormat="1" ht="13.35" customHeight="1" thickBot="1">
      <c r="B276" s="485" t="s">
        <v>728</v>
      </c>
      <c r="C276" s="242" t="s">
        <v>496</v>
      </c>
      <c r="D276" s="243"/>
      <c r="E276" s="482">
        <f>+SUM(E277:E282)</f>
        <v>0</v>
      </c>
      <c r="F276" s="482">
        <f t="shared" si="872"/>
        <v>0</v>
      </c>
      <c r="G276" s="482">
        <f>+SUM(G277:G282)</f>
        <v>0</v>
      </c>
      <c r="H276" s="482">
        <f>+SUM(H277:H282)</f>
        <v>0</v>
      </c>
      <c r="I276" s="482">
        <f t="shared" si="873"/>
        <v>0</v>
      </c>
      <c r="J276" s="482">
        <f>+SUM(J277:J282)</f>
        <v>0</v>
      </c>
      <c r="K276" s="482">
        <f>+SUM(K277:K282)</f>
        <v>0</v>
      </c>
      <c r="L276" s="482">
        <f t="shared" si="874"/>
        <v>0</v>
      </c>
      <c r="M276" s="482">
        <f>+SUM(M277:M282)</f>
        <v>0</v>
      </c>
      <c r="N276" s="482">
        <f>+SUM(N277:N282)</f>
        <v>0</v>
      </c>
      <c r="O276" s="482">
        <f t="shared" si="875"/>
        <v>0</v>
      </c>
      <c r="P276" s="482">
        <f>+SUM(P277:P282)</f>
        <v>0</v>
      </c>
      <c r="Q276" s="482">
        <f>+SUM(Q277:Q282)</f>
        <v>0</v>
      </c>
      <c r="R276" s="482">
        <f t="shared" si="876"/>
        <v>0</v>
      </c>
      <c r="S276" s="603">
        <f>+SUM(S277:S282)</f>
        <v>0</v>
      </c>
      <c r="T276" s="482">
        <f>+SUM(T277:T282)</f>
        <v>0</v>
      </c>
      <c r="U276" s="482">
        <f t="shared" si="877"/>
        <v>0</v>
      </c>
      <c r="V276" s="482">
        <f>+SUM(V277:V282)</f>
        <v>0</v>
      </c>
      <c r="W276" s="482">
        <f>+SUM(W277:W282)</f>
        <v>0</v>
      </c>
      <c r="X276" s="482">
        <f t="shared" si="878"/>
        <v>0</v>
      </c>
      <c r="Y276" s="482">
        <f>+SUM(Y277:Y282)</f>
        <v>0</v>
      </c>
      <c r="Z276" s="482">
        <f>+SUM(Z277:Z282)</f>
        <v>0</v>
      </c>
      <c r="AA276" s="482">
        <f t="shared" si="879"/>
        <v>0</v>
      </c>
      <c r="AB276" s="482">
        <f>+SUM(AB277:AB282)</f>
        <v>0</v>
      </c>
      <c r="AC276" s="482">
        <f>+SUM(AC277:AC282)</f>
        <v>0</v>
      </c>
      <c r="AD276" s="482">
        <f t="shared" si="880"/>
        <v>0</v>
      </c>
      <c r="AE276" s="482">
        <f>+SUM(AE277:AE282)</f>
        <v>0</v>
      </c>
      <c r="AF276" s="482">
        <f>+SUM(AF277:AF282)</f>
        <v>0</v>
      </c>
      <c r="AG276" s="482">
        <f t="shared" si="881"/>
        <v>0</v>
      </c>
      <c r="AH276" s="482">
        <f>+SUM(AH277:AH282)</f>
        <v>0</v>
      </c>
      <c r="AI276" s="482">
        <f>+SUM(AI277:AI282)</f>
        <v>10.092000000000001</v>
      </c>
      <c r="AJ276" s="482">
        <f t="shared" si="882"/>
        <v>10.601000000000001</v>
      </c>
      <c r="AK276" s="482">
        <f>+SUM(AK277:AK282)</f>
        <v>10.601000000000001</v>
      </c>
      <c r="AL276" s="482">
        <f>+SUM(AL277:AL282)</f>
        <v>13.407</v>
      </c>
      <c r="AM276" s="482">
        <f t="shared" si="883"/>
        <v>13.65</v>
      </c>
      <c r="AN276" s="482">
        <f>+SUM(AN277:AN282)</f>
        <v>13.65</v>
      </c>
      <c r="AO276" s="482">
        <f>+SUM(AO277:AO282)</f>
        <v>10.84</v>
      </c>
      <c r="AP276" s="482">
        <f t="shared" si="884"/>
        <v>13.17</v>
      </c>
      <c r="AQ276" s="482">
        <f>+SUM(AQ277:AQ282)</f>
        <v>13.17</v>
      </c>
      <c r="AR276" s="482">
        <f>+SUM(AR277:AR282)</f>
        <v>13.276999999999999</v>
      </c>
      <c r="AS276" s="482">
        <f t="shared" si="885"/>
        <v>19.059000000000001</v>
      </c>
      <c r="AT276" s="482">
        <f>+SUM(AT277:AT282)</f>
        <v>19.059000000000001</v>
      </c>
      <c r="AU276" s="482">
        <f>+SUM(AU277:AU282)</f>
        <v>20.686</v>
      </c>
      <c r="AV276" s="482">
        <f t="shared" si="886"/>
        <v>27.100999999999999</v>
      </c>
      <c r="AW276" s="482">
        <f>+SUM(AW277:AW282)</f>
        <v>27.100999999999999</v>
      </c>
      <c r="AX276" s="482">
        <f>+SUM(AX277:AX282)</f>
        <v>25.465</v>
      </c>
      <c r="AY276" s="482">
        <f t="shared" si="887"/>
        <v>26.108000000000001</v>
      </c>
      <c r="AZ276" s="482">
        <f>+SUM(AZ277:AZ282)</f>
        <v>26.108000000000001</v>
      </c>
      <c r="BA276" s="482">
        <f>+SUM(BA277:BA282)</f>
        <v>34.441000000000003</v>
      </c>
      <c r="BB276" s="482">
        <f t="shared" si="888"/>
        <v>32.738</v>
      </c>
      <c r="BC276" s="482">
        <f>+SUM(BC277:BC282)</f>
        <v>32.738</v>
      </c>
      <c r="BD276" s="482">
        <f>+SUM(BD277:BD282)</f>
        <v>27.518000000000001</v>
      </c>
      <c r="BE276" s="482">
        <f t="shared" si="889"/>
        <v>37.984000000000002</v>
      </c>
      <c r="BF276" s="482">
        <f>+SUM(BF277:BF282)</f>
        <v>37.984000000000002</v>
      </c>
      <c r="BG276" s="482">
        <f>+SUM(BG277:BG282)</f>
        <v>25.696999999999999</v>
      </c>
      <c r="BH276" s="482">
        <f t="shared" si="890"/>
        <v>29.545000000000002</v>
      </c>
      <c r="BI276" s="482">
        <f>+SUM(BI277:BI282)</f>
        <v>29.545000000000002</v>
      </c>
      <c r="BJ276" s="482">
        <f>+SUM(BJ277:BJ282)</f>
        <v>20.080000000000002</v>
      </c>
      <c r="BK276" s="482">
        <f t="shared" si="891"/>
        <v>27.132999999999999</v>
      </c>
      <c r="BL276" s="482">
        <f>+SUM(BL277:BL282)</f>
        <v>27.132999999999999</v>
      </c>
      <c r="BM276" s="482">
        <f>+SUM(BM277:BM282)</f>
        <v>25.353999999999999</v>
      </c>
      <c r="BN276" s="482">
        <f t="shared" si="892"/>
        <v>36.996000000000002</v>
      </c>
      <c r="BO276" s="482">
        <f>+SUM(BO277:BO282)</f>
        <v>36.996000000000002</v>
      </c>
      <c r="BP276" s="482">
        <f>+SUM(BP277:BP282)</f>
        <v>44.974000000000004</v>
      </c>
      <c r="BQ276" s="482">
        <f t="shared" si="893"/>
        <v>52.039000000000001</v>
      </c>
      <c r="BR276" s="482">
        <f>+SUM(BR277:BR282)</f>
        <v>52.039000000000001</v>
      </c>
      <c r="BS276" s="482">
        <f>+SUM(BS277:BS282)</f>
        <v>38.602999999999994</v>
      </c>
      <c r="BT276" s="482">
        <f t="shared" si="894"/>
        <v>7.9969999999999999</v>
      </c>
      <c r="BU276" s="482">
        <f>+SUM(BU277:BU282)</f>
        <v>7.9969999999999999</v>
      </c>
      <c r="BV276" s="482">
        <f>+SUM(BV277:BV282)</f>
        <v>8.5239999999999991</v>
      </c>
      <c r="BW276" s="482">
        <f t="shared" si="895"/>
        <v>2.8029999999999999</v>
      </c>
      <c r="BX276" s="482">
        <f>+SUM(BX277:BX282)</f>
        <v>2.8029999999999999</v>
      </c>
      <c r="BY276" s="482">
        <f>+SUM(BY277:BY282)</f>
        <v>18.297000000000001</v>
      </c>
      <c r="BZ276" s="482">
        <f t="shared" si="896"/>
        <v>5.3620000000000001</v>
      </c>
      <c r="CA276" s="482">
        <f>+SUM(CA277:CA282)</f>
        <v>5.3620000000000001</v>
      </c>
      <c r="CB276" s="482">
        <f>+SUM(CB277:CB282)</f>
        <v>57.594999999999999</v>
      </c>
      <c r="CC276" s="482">
        <f t="shared" si="897"/>
        <v>12.63</v>
      </c>
      <c r="CD276" s="482">
        <f>+SUM(CD277:CD282)</f>
        <v>12.63</v>
      </c>
      <c r="CE276" s="482">
        <f>+SUM(CE277:CE282)</f>
        <v>33.377000000000002</v>
      </c>
      <c r="CF276" s="482">
        <f t="shared" si="898"/>
        <v>17.288</v>
      </c>
      <c r="CG276" s="482">
        <f>+SUM(CG277:CG282)</f>
        <v>17.288</v>
      </c>
      <c r="CH276" s="482">
        <f>+SUM(CH277:CH282)</f>
        <v>6.6180000000000003</v>
      </c>
      <c r="CI276" s="482">
        <f t="shared" si="899"/>
        <v>19.526</v>
      </c>
      <c r="CJ276" s="482">
        <f>+SUM(CJ277:CJ282)</f>
        <v>19.526</v>
      </c>
      <c r="CK276" s="482">
        <f>+SUM(CK277:CK282)</f>
        <v>6.2460000000000004</v>
      </c>
      <c r="CL276" s="482">
        <f t="shared" si="900"/>
        <v>6.0019999999999998</v>
      </c>
      <c r="CM276" s="482">
        <f>+SUM(CM277:CM282)</f>
        <v>6.0019999999999998</v>
      </c>
      <c r="CN276" s="482">
        <f>+SUM(CN277:CN282)</f>
        <v>2.984</v>
      </c>
      <c r="CO276" s="482">
        <f t="shared" si="901"/>
        <v>8.4420000000000002</v>
      </c>
      <c r="CP276" s="482">
        <f>+SUM(CP277:CP282)</f>
        <v>8.4420000000000002</v>
      </c>
      <c r="CQ276" s="482">
        <f>+SUM(CQ277:CQ282)</f>
        <v>16.297000000000001</v>
      </c>
      <c r="CR276" s="482">
        <f t="shared" si="902"/>
        <v>90.52</v>
      </c>
      <c r="CS276" s="482">
        <f>+SUM(CS277:CS282)</f>
        <v>90.52</v>
      </c>
      <c r="CT276" s="482">
        <f>+SUM(CT277:CT282)</f>
        <v>82.284999999999997</v>
      </c>
      <c r="CU276" s="482">
        <f t="shared" si="903"/>
        <v>92.86099999999999</v>
      </c>
      <c r="CV276" s="482">
        <f>+SUM(CV277:CV282)</f>
        <v>92.86099999999999</v>
      </c>
      <c r="CW276" s="482">
        <f>+SUM(CW277:CW282)</f>
        <v>101.179</v>
      </c>
      <c r="CX276" s="482">
        <f t="shared" si="904"/>
        <v>103.73</v>
      </c>
      <c r="CY276" s="482">
        <f>+SUM(CY277:CY282)</f>
        <v>103.73</v>
      </c>
      <c r="CZ276" s="482">
        <f>+SUM(CZ277:CZ282)</f>
        <v>105.5</v>
      </c>
      <c r="DA276" s="482">
        <f t="shared" si="905"/>
        <v>103.9</v>
      </c>
      <c r="DB276" s="482">
        <f>+SUM(DB277:DB282)</f>
        <v>103.9</v>
      </c>
      <c r="DC276" s="482">
        <f>+SUM(DC277:DC282)</f>
        <v>114.19999999999999</v>
      </c>
      <c r="DD276" s="482">
        <f t="shared" si="906"/>
        <v>131.6</v>
      </c>
      <c r="DE276" s="482">
        <f>+SUM(DE277:DE282)</f>
        <v>131.6</v>
      </c>
      <c r="DF276" s="482">
        <f>+SUM(DF277:DF282)</f>
        <v>108.80000000000001</v>
      </c>
      <c r="DG276" s="482">
        <f t="shared" si="907"/>
        <v>191.79999999999998</v>
      </c>
      <c r="DH276" s="1244">
        <f>+SUM(DH277:DH282)</f>
        <v>191.79999999999998</v>
      </c>
      <c r="DI276" s="482">
        <f>+SUM(DI277:DI282)</f>
        <v>119.2</v>
      </c>
      <c r="DJ276" s="482">
        <f t="shared" si="908"/>
        <v>120.20000000000002</v>
      </c>
      <c r="DK276" s="1244">
        <f>+SUM(DK277:DK282)</f>
        <v>120.20000000000002</v>
      </c>
      <c r="DL276" s="482">
        <f>+SUM(DL277:DL282)</f>
        <v>111.89999999999999</v>
      </c>
      <c r="DM276" s="482">
        <f t="shared" si="909"/>
        <v>139.5</v>
      </c>
      <c r="DN276" s="1244">
        <f>+SUM(DN277:DN282)</f>
        <v>139.5</v>
      </c>
      <c r="DO276" s="482">
        <f>+SUM(DO277:DO282)</f>
        <v>133.9</v>
      </c>
      <c r="DP276" s="482">
        <f t="shared" si="910"/>
        <v>186.20000000000002</v>
      </c>
      <c r="DQ276" s="1244">
        <f>+SUM(DQ277:DQ282)</f>
        <v>186.20000000000002</v>
      </c>
      <c r="DR276" s="482">
        <f>+SUM(DR277:DR282)</f>
        <v>154.80000000000001</v>
      </c>
      <c r="DS276" s="482">
        <f>+DT276</f>
        <v>211.5</v>
      </c>
      <c r="DT276" s="1244">
        <f>+SUM(DT277:DT282)</f>
        <v>211.5</v>
      </c>
      <c r="DU276" s="482">
        <f>+SUM(DU277:DU282)</f>
        <v>195</v>
      </c>
      <c r="DV276" s="482">
        <f>+DW276</f>
        <v>168.8</v>
      </c>
      <c r="DW276" s="1244">
        <f>+SUM(DW277:DW282)</f>
        <v>168.8</v>
      </c>
      <c r="DX276" s="482">
        <f>+SUM(DX277:DX282)</f>
        <v>171</v>
      </c>
      <c r="DY276" s="482">
        <f>+DZ276</f>
        <v>171</v>
      </c>
      <c r="DZ276" s="1244">
        <f>+SUM(DZ277:DZ282)</f>
        <v>171</v>
      </c>
      <c r="EA276" s="482">
        <f>+SUM(EA277:EA282)</f>
        <v>171</v>
      </c>
      <c r="EB276" s="482">
        <f>+EC276</f>
        <v>171</v>
      </c>
      <c r="EC276" s="1244">
        <f>+SUM(EC277:EC282)</f>
        <v>171</v>
      </c>
      <c r="ED276" s="482">
        <f>+SUM(ED277:ED282)</f>
        <v>171</v>
      </c>
      <c r="EE276" s="482">
        <f>+EF276</f>
        <v>171</v>
      </c>
      <c r="EF276" s="1244">
        <f>+SUM(EF277:EF282)</f>
        <v>171</v>
      </c>
      <c r="EG276" s="482">
        <f>+SUM(EG277:EG282)</f>
        <v>171</v>
      </c>
      <c r="EH276" s="482">
        <f>+EI276</f>
        <v>171</v>
      </c>
      <c r="EI276" s="1244">
        <f>+SUM(EI277:EI282)</f>
        <v>171</v>
      </c>
      <c r="EJ276" s="482">
        <f>+SUM(EJ277:EJ282)</f>
        <v>171</v>
      </c>
      <c r="EK276" s="482">
        <f>+EL276</f>
        <v>171</v>
      </c>
      <c r="EL276" s="1244">
        <f>+SUM(EL277:EL282)</f>
        <v>171</v>
      </c>
      <c r="EM276" s="482">
        <f>+SUM(EM277:EM282)</f>
        <v>171</v>
      </c>
      <c r="EN276" s="482">
        <f>+EO276</f>
        <v>171</v>
      </c>
      <c r="EO276" s="1244">
        <f>+SUM(EO277:EO282)</f>
        <v>171</v>
      </c>
      <c r="EP276" s="482">
        <f>+SUM(EP277:EP282)</f>
        <v>171</v>
      </c>
      <c r="EQ276" s="482">
        <f>+ER276</f>
        <v>171</v>
      </c>
      <c r="ER276" s="1244">
        <f>+SUM(ER277:ER282)</f>
        <v>171</v>
      </c>
      <c r="ES276" s="482">
        <f>+SUM(ES277:ES282)</f>
        <v>171</v>
      </c>
      <c r="ET276" s="482">
        <f>+EU276</f>
        <v>171</v>
      </c>
      <c r="EU276" s="1244">
        <f>+SUM(EU277:EU282)</f>
        <v>171</v>
      </c>
      <c r="EV276" s="482">
        <f>+SUM(EV277:EV282)</f>
        <v>171</v>
      </c>
      <c r="EW276" s="482">
        <f>+EX276</f>
        <v>171</v>
      </c>
      <c r="EX276" s="1244">
        <f>+SUM(EX277:EX282)</f>
        <v>171</v>
      </c>
      <c r="EY276" s="482">
        <f>+SUM(EY277:EY282)</f>
        <v>171</v>
      </c>
      <c r="EZ276" s="482">
        <f>+FA276</f>
        <v>171</v>
      </c>
      <c r="FA276" s="1244">
        <f>+SUM(FA277:FA282)</f>
        <v>171</v>
      </c>
      <c r="FB276" s="1571"/>
      <c r="FE276"/>
      <c r="FF276"/>
      <c r="FG276"/>
      <c r="FH276"/>
      <c r="FI276"/>
      <c r="FJ276"/>
      <c r="FK276" s="35"/>
    </row>
    <row r="277" spans="2:167" s="236" customFormat="1" ht="13.35" customHeight="1" outlineLevel="1">
      <c r="B277" s="242" t="s">
        <v>729</v>
      </c>
      <c r="C277" s="242" t="s">
        <v>496</v>
      </c>
      <c r="D277" s="243"/>
      <c r="E277" s="511"/>
      <c r="F277" s="510">
        <f t="shared" si="872"/>
        <v>0</v>
      </c>
      <c r="G277" s="512"/>
      <c r="H277" s="513"/>
      <c r="I277" s="510">
        <f t="shared" si="873"/>
        <v>0</v>
      </c>
      <c r="J277" s="512"/>
      <c r="K277" s="513"/>
      <c r="L277" s="510">
        <f t="shared" si="874"/>
        <v>0</v>
      </c>
      <c r="M277" s="512"/>
      <c r="N277" s="513"/>
      <c r="O277" s="510">
        <f t="shared" si="875"/>
        <v>0</v>
      </c>
      <c r="P277" s="512"/>
      <c r="Q277" s="513"/>
      <c r="R277" s="510">
        <f t="shared" si="876"/>
        <v>0</v>
      </c>
      <c r="S277" s="604"/>
      <c r="T277" s="513"/>
      <c r="U277" s="510">
        <f t="shared" si="877"/>
        <v>0</v>
      </c>
      <c r="V277" s="512"/>
      <c r="W277" s="513"/>
      <c r="X277" s="510">
        <f t="shared" si="878"/>
        <v>0</v>
      </c>
      <c r="Y277" s="512"/>
      <c r="Z277" s="513"/>
      <c r="AA277" s="510">
        <f t="shared" si="879"/>
        <v>0</v>
      </c>
      <c r="AB277" s="512"/>
      <c r="AC277" s="513"/>
      <c r="AD277" s="510">
        <f t="shared" si="880"/>
        <v>0</v>
      </c>
      <c r="AE277" s="512"/>
      <c r="AF277" s="513"/>
      <c r="AG277" s="510">
        <f t="shared" si="881"/>
        <v>0</v>
      </c>
      <c r="AH277" s="512"/>
      <c r="AI277" s="513"/>
      <c r="AJ277" s="510">
        <f t="shared" si="882"/>
        <v>0</v>
      </c>
      <c r="AK277" s="512"/>
      <c r="AL277" s="513"/>
      <c r="AM277" s="510">
        <f t="shared" si="883"/>
        <v>0</v>
      </c>
      <c r="AN277" s="512"/>
      <c r="AO277" s="513"/>
      <c r="AP277" s="510">
        <f t="shared" si="884"/>
        <v>0</v>
      </c>
      <c r="AQ277" s="512"/>
      <c r="AR277" s="513"/>
      <c r="AS277" s="510">
        <f t="shared" si="885"/>
        <v>0</v>
      </c>
      <c r="AT277" s="512"/>
      <c r="AU277" s="513"/>
      <c r="AV277" s="510">
        <f t="shared" si="886"/>
        <v>0</v>
      </c>
      <c r="AW277" s="512"/>
      <c r="AX277" s="514">
        <v>0</v>
      </c>
      <c r="AY277" s="510">
        <f t="shared" si="887"/>
        <v>0</v>
      </c>
      <c r="AZ277" s="515">
        <v>0</v>
      </c>
      <c r="BA277" s="514">
        <v>0</v>
      </c>
      <c r="BB277" s="510">
        <f t="shared" si="888"/>
        <v>0</v>
      </c>
      <c r="BC277" s="515">
        <v>0</v>
      </c>
      <c r="BD277" s="514">
        <v>27.518000000000001</v>
      </c>
      <c r="BE277" s="510">
        <f t="shared" si="889"/>
        <v>0</v>
      </c>
      <c r="BF277" s="515">
        <v>0</v>
      </c>
      <c r="BG277" s="514">
        <v>18.66</v>
      </c>
      <c r="BH277" s="510">
        <f t="shared" si="890"/>
        <v>18.838000000000001</v>
      </c>
      <c r="BI277" s="512">
        <f>18.838</f>
        <v>18.838000000000001</v>
      </c>
      <c r="BJ277" s="514">
        <v>0</v>
      </c>
      <c r="BK277" s="510">
        <f t="shared" si="891"/>
        <v>0</v>
      </c>
      <c r="BL277" s="515">
        <v>0</v>
      </c>
      <c r="BM277" s="514">
        <v>0</v>
      </c>
      <c r="BN277" s="510">
        <f t="shared" si="892"/>
        <v>0</v>
      </c>
      <c r="BO277" s="515">
        <v>0</v>
      </c>
      <c r="BP277" s="514">
        <v>0</v>
      </c>
      <c r="BQ277" s="510">
        <f t="shared" si="893"/>
        <v>0</v>
      </c>
      <c r="BR277" s="548">
        <v>0</v>
      </c>
      <c r="BS277" s="514">
        <v>0</v>
      </c>
      <c r="BT277" s="510">
        <f t="shared" si="894"/>
        <v>0</v>
      </c>
      <c r="BU277" s="548">
        <v>0</v>
      </c>
      <c r="BV277" s="514">
        <v>0</v>
      </c>
      <c r="BW277" s="510">
        <f t="shared" si="895"/>
        <v>0</v>
      </c>
      <c r="BX277" s="548">
        <v>0</v>
      </c>
      <c r="BY277" s="513"/>
      <c r="BZ277" s="510"/>
      <c r="CA277" s="511"/>
      <c r="CB277" s="513"/>
      <c r="CC277" s="510"/>
      <c r="CD277" s="511"/>
      <c r="CE277" s="513"/>
      <c r="CF277" s="510"/>
      <c r="CG277" s="511"/>
      <c r="CH277" s="513"/>
      <c r="CI277" s="510"/>
      <c r="CJ277" s="511"/>
      <c r="CK277" s="513"/>
      <c r="CL277" s="510"/>
      <c r="CM277" s="511"/>
      <c r="CN277" s="513"/>
      <c r="CO277" s="510"/>
      <c r="CP277" s="511"/>
      <c r="CQ277" s="513"/>
      <c r="CR277" s="510"/>
      <c r="CS277" s="511"/>
      <c r="CT277" s="513"/>
      <c r="CU277" s="510"/>
      <c r="CV277" s="511"/>
      <c r="CW277" s="513"/>
      <c r="CX277" s="510"/>
      <c r="CY277" s="511"/>
      <c r="CZ277" s="513"/>
      <c r="DA277" s="510"/>
      <c r="DB277" s="511"/>
      <c r="DC277" s="513"/>
      <c r="DD277" s="510"/>
      <c r="DE277" s="511"/>
      <c r="DF277" s="513"/>
      <c r="DG277" s="510"/>
      <c r="DH277" s="1257"/>
      <c r="DI277" s="482"/>
      <c r="DJ277" s="482"/>
      <c r="DK277" s="1244"/>
      <c r="DL277" s="482"/>
      <c r="DM277" s="482"/>
      <c r="DN277" s="1244"/>
      <c r="DO277" s="482"/>
      <c r="DP277" s="482"/>
      <c r="DQ277" s="1244"/>
      <c r="DR277" s="482"/>
      <c r="DS277" s="482"/>
      <c r="DT277" s="1244"/>
      <c r="DU277" s="482"/>
      <c r="DV277" s="482"/>
      <c r="DW277" s="1244"/>
      <c r="DX277" s="482"/>
      <c r="DY277" s="482"/>
      <c r="DZ277" s="1244"/>
      <c r="EA277" s="482"/>
      <c r="EB277" s="482"/>
      <c r="EC277" s="1244"/>
      <c r="ED277" s="482"/>
      <c r="EE277" s="482"/>
      <c r="EF277" s="1244"/>
      <c r="EG277" s="482"/>
      <c r="EH277" s="482"/>
      <c r="EI277" s="1244"/>
      <c r="EJ277" s="482"/>
      <c r="EK277" s="482"/>
      <c r="EL277" s="1244"/>
      <c r="EM277" s="482"/>
      <c r="EN277" s="482"/>
      <c r="EO277" s="1244"/>
      <c r="EP277" s="482"/>
      <c r="EQ277" s="482"/>
      <c r="ER277" s="1244"/>
      <c r="ES277" s="482"/>
      <c r="ET277" s="482"/>
      <c r="EU277" s="1244"/>
      <c r="EV277" s="482"/>
      <c r="EW277" s="482"/>
      <c r="EX277" s="1244"/>
      <c r="EY277" s="482"/>
      <c r="EZ277" s="482"/>
      <c r="FA277" s="1244"/>
      <c r="FB277" s="1571"/>
      <c r="FE277"/>
      <c r="FF277"/>
      <c r="FG277"/>
      <c r="FH277"/>
      <c r="FI277"/>
      <c r="FJ277"/>
      <c r="FK277" s="35"/>
    </row>
    <row r="278" spans="2:167" s="236" customFormat="1" ht="13.35" customHeight="1" outlineLevel="1">
      <c r="B278" s="242" t="s">
        <v>730</v>
      </c>
      <c r="C278" s="242" t="s">
        <v>496</v>
      </c>
      <c r="D278" s="243"/>
      <c r="E278" s="516"/>
      <c r="F278" s="482">
        <f t="shared" si="872"/>
        <v>0</v>
      </c>
      <c r="G278" s="517"/>
      <c r="H278" s="518"/>
      <c r="I278" s="482">
        <f t="shared" si="873"/>
        <v>0</v>
      </c>
      <c r="J278" s="517"/>
      <c r="K278" s="518"/>
      <c r="L278" s="482">
        <f t="shared" si="874"/>
        <v>0</v>
      </c>
      <c r="M278" s="517"/>
      <c r="N278" s="518"/>
      <c r="O278" s="482">
        <f t="shared" si="875"/>
        <v>0</v>
      </c>
      <c r="P278" s="517"/>
      <c r="Q278" s="518"/>
      <c r="R278" s="482">
        <f t="shared" si="876"/>
        <v>0</v>
      </c>
      <c r="S278" s="606"/>
      <c r="T278" s="518"/>
      <c r="U278" s="482">
        <f t="shared" si="877"/>
        <v>0</v>
      </c>
      <c r="V278" s="517"/>
      <c r="W278" s="518"/>
      <c r="X278" s="482">
        <f t="shared" si="878"/>
        <v>0</v>
      </c>
      <c r="Y278" s="517"/>
      <c r="Z278" s="518"/>
      <c r="AA278" s="482">
        <f t="shared" si="879"/>
        <v>0</v>
      </c>
      <c r="AB278" s="517"/>
      <c r="AC278" s="518"/>
      <c r="AD278" s="482">
        <f t="shared" si="880"/>
        <v>0</v>
      </c>
      <c r="AE278" s="517"/>
      <c r="AF278" s="518"/>
      <c r="AG278" s="482">
        <f t="shared" si="881"/>
        <v>0</v>
      </c>
      <c r="AH278" s="517"/>
      <c r="AI278" s="518"/>
      <c r="AJ278" s="482">
        <f t="shared" si="882"/>
        <v>0</v>
      </c>
      <c r="AK278" s="517"/>
      <c r="AL278" s="518"/>
      <c r="AM278" s="482">
        <f t="shared" si="883"/>
        <v>0</v>
      </c>
      <c r="AN278" s="517"/>
      <c r="AO278" s="518"/>
      <c r="AP278" s="482">
        <f t="shared" si="884"/>
        <v>0</v>
      </c>
      <c r="AQ278" s="517"/>
      <c r="AR278" s="518"/>
      <c r="AS278" s="482">
        <f t="shared" si="885"/>
        <v>0</v>
      </c>
      <c r="AT278" s="517"/>
      <c r="AU278" s="518"/>
      <c r="AV278" s="482">
        <f t="shared" si="886"/>
        <v>0</v>
      </c>
      <c r="AW278" s="517"/>
      <c r="AX278" s="519">
        <v>0</v>
      </c>
      <c r="AY278" s="482">
        <f t="shared" si="887"/>
        <v>0</v>
      </c>
      <c r="AZ278" s="520">
        <v>0</v>
      </c>
      <c r="BA278" s="519">
        <v>0</v>
      </c>
      <c r="BB278" s="482">
        <f t="shared" si="888"/>
        <v>0</v>
      </c>
      <c r="BC278" s="520">
        <v>0</v>
      </c>
      <c r="BD278" s="519">
        <v>0</v>
      </c>
      <c r="BE278" s="482">
        <f t="shared" si="889"/>
        <v>3.835</v>
      </c>
      <c r="BF278" s="520">
        <v>3.835</v>
      </c>
      <c r="BG278" s="519">
        <v>7.0369999999999999</v>
      </c>
      <c r="BH278" s="482">
        <f t="shared" si="890"/>
        <v>10.707000000000001</v>
      </c>
      <c r="BI278" s="520">
        <v>10.707000000000001</v>
      </c>
      <c r="BJ278" s="519">
        <v>4.78</v>
      </c>
      <c r="BK278" s="482">
        <f t="shared" si="891"/>
        <v>4.7809999999999997</v>
      </c>
      <c r="BL278" s="520">
        <v>4.7809999999999997</v>
      </c>
      <c r="BM278" s="519">
        <v>5.407</v>
      </c>
      <c r="BN278" s="482">
        <f t="shared" si="892"/>
        <v>12.455</v>
      </c>
      <c r="BO278" s="520">
        <v>12.455</v>
      </c>
      <c r="BP278" s="519">
        <v>21.736000000000001</v>
      </c>
      <c r="BQ278" s="482">
        <f t="shared" si="893"/>
        <v>24.981000000000002</v>
      </c>
      <c r="BR278" s="521">
        <v>24.981000000000002</v>
      </c>
      <c r="BS278" s="519">
        <v>16.978999999999999</v>
      </c>
      <c r="BT278" s="482">
        <f t="shared" si="894"/>
        <v>7.9969999999999999</v>
      </c>
      <c r="BU278" s="521">
        <v>7.9969999999999999</v>
      </c>
      <c r="BV278" s="519">
        <v>8.5239999999999991</v>
      </c>
      <c r="BW278" s="482">
        <f t="shared" si="895"/>
        <v>2.8029999999999999</v>
      </c>
      <c r="BX278" s="521">
        <v>2.8029999999999999</v>
      </c>
      <c r="BY278" s="519">
        <v>18.297000000000001</v>
      </c>
      <c r="BZ278" s="482">
        <f t="shared" si="896"/>
        <v>5.3620000000000001</v>
      </c>
      <c r="CA278" s="521">
        <v>5.3620000000000001</v>
      </c>
      <c r="CB278" s="519">
        <v>25.873999999999999</v>
      </c>
      <c r="CC278" s="482">
        <f t="shared" si="897"/>
        <v>12.63</v>
      </c>
      <c r="CD278" s="521">
        <v>12.63</v>
      </c>
      <c r="CE278" s="519">
        <v>33.377000000000002</v>
      </c>
      <c r="CF278" s="482">
        <f>+CG278</f>
        <v>17.288</v>
      </c>
      <c r="CG278" s="521">
        <v>17.288</v>
      </c>
      <c r="CH278" s="519">
        <v>6.6180000000000003</v>
      </c>
      <c r="CI278" s="482">
        <f t="shared" si="899"/>
        <v>19.526</v>
      </c>
      <c r="CJ278" s="521">
        <v>19.526</v>
      </c>
      <c r="CK278" s="519">
        <v>6.2460000000000004</v>
      </c>
      <c r="CL278" s="482">
        <f>+CM278</f>
        <v>6.0019999999999998</v>
      </c>
      <c r="CM278" s="521">
        <v>6.0019999999999998</v>
      </c>
      <c r="CN278" s="519">
        <v>2.984</v>
      </c>
      <c r="CO278" s="482">
        <f>+CP278</f>
        <v>8.4420000000000002</v>
      </c>
      <c r="CP278" s="521">
        <v>8.4420000000000002</v>
      </c>
      <c r="CQ278" s="519">
        <v>16.297000000000001</v>
      </c>
      <c r="CR278" s="482">
        <f>+CS278</f>
        <v>20.645</v>
      </c>
      <c r="CS278" s="521">
        <v>20.645</v>
      </c>
      <c r="CT278" s="519">
        <v>14.459</v>
      </c>
      <c r="CU278" s="482">
        <f>+CV278</f>
        <v>13.701000000000001</v>
      </c>
      <c r="CV278" s="521">
        <v>13.701000000000001</v>
      </c>
      <c r="CW278" s="519">
        <v>25.440999999999999</v>
      </c>
      <c r="CX278" s="482">
        <f>+CY278</f>
        <v>26.326000000000001</v>
      </c>
      <c r="CY278" s="521">
        <v>26.326000000000001</v>
      </c>
      <c r="CZ278" s="518">
        <v>26.6</v>
      </c>
      <c r="DA278" s="482">
        <f>+DB278</f>
        <v>22.1</v>
      </c>
      <c r="DB278" s="516">
        <v>22.1</v>
      </c>
      <c r="DC278" s="518">
        <v>32.799999999999997</v>
      </c>
      <c r="DD278" s="482">
        <f>+DE278</f>
        <v>34.799999999999997</v>
      </c>
      <c r="DE278" s="516">
        <v>34.799999999999997</v>
      </c>
      <c r="DF278" s="519">
        <v>22.7</v>
      </c>
      <c r="DG278" s="482">
        <f>+DH278</f>
        <v>7.2</v>
      </c>
      <c r="DH278" s="1365">
        <v>7.2</v>
      </c>
      <c r="DI278" s="1373">
        <v>10.199999999999999</v>
      </c>
      <c r="DJ278" s="482">
        <f>+DK278</f>
        <v>12.9</v>
      </c>
      <c r="DK278" s="1374">
        <v>12.9</v>
      </c>
      <c r="DL278" s="1373">
        <v>16.100000000000001</v>
      </c>
      <c r="DM278" s="482">
        <f>+DN278</f>
        <v>15.2</v>
      </c>
      <c r="DN278" s="1374">
        <v>15.2</v>
      </c>
      <c r="DO278" s="1373">
        <v>18.5</v>
      </c>
      <c r="DP278" s="482">
        <f>+DQ278</f>
        <v>17.5</v>
      </c>
      <c r="DQ278" s="1374">
        <v>17.5</v>
      </c>
      <c r="DR278" s="1373">
        <v>21.3</v>
      </c>
      <c r="DS278" s="482">
        <f t="shared" ref="DS278:DS285" si="923">+DT278</f>
        <v>17.600000000000001</v>
      </c>
      <c r="DT278" s="1374">
        <v>17.600000000000001</v>
      </c>
      <c r="DU278" s="1373">
        <v>35</v>
      </c>
      <c r="DV278" s="482">
        <f t="shared" ref="DV278:DV285" si="924">+DW278</f>
        <v>26.4</v>
      </c>
      <c r="DW278" s="1374">
        <v>26.4</v>
      </c>
      <c r="DX278" s="1373">
        <v>19.3</v>
      </c>
      <c r="DY278" s="482">
        <f t="shared" ref="DY278:DY285" si="925">+DZ278</f>
        <v>19.3</v>
      </c>
      <c r="DZ278" s="1244">
        <f>DX278</f>
        <v>19.3</v>
      </c>
      <c r="EA278" s="482">
        <f>DZ278</f>
        <v>19.3</v>
      </c>
      <c r="EB278" s="482">
        <f t="shared" ref="EB278:EB285" si="926">+EC278</f>
        <v>19.3</v>
      </c>
      <c r="EC278" s="1244">
        <f>EA278</f>
        <v>19.3</v>
      </c>
      <c r="ED278" s="482">
        <f>EC278</f>
        <v>19.3</v>
      </c>
      <c r="EE278" s="482">
        <f t="shared" ref="EE278:EE285" si="927">+EF278</f>
        <v>19.3</v>
      </c>
      <c r="EF278" s="1244">
        <f>ED278</f>
        <v>19.3</v>
      </c>
      <c r="EG278" s="482">
        <f>EF278</f>
        <v>19.3</v>
      </c>
      <c r="EH278" s="482">
        <f t="shared" ref="EH278:EH285" si="928">+EI278</f>
        <v>19.3</v>
      </c>
      <c r="EI278" s="1244">
        <f>EG278</f>
        <v>19.3</v>
      </c>
      <c r="EJ278" s="482">
        <f>EI278</f>
        <v>19.3</v>
      </c>
      <c r="EK278" s="482">
        <f t="shared" ref="EK278:EK285" si="929">+EL278</f>
        <v>19.3</v>
      </c>
      <c r="EL278" s="1244">
        <f>EJ278</f>
        <v>19.3</v>
      </c>
      <c r="EM278" s="482">
        <f>EL278</f>
        <v>19.3</v>
      </c>
      <c r="EN278" s="482">
        <f t="shared" ref="EN278:EN285" si="930">+EO278</f>
        <v>19.3</v>
      </c>
      <c r="EO278" s="1244">
        <f>EM278</f>
        <v>19.3</v>
      </c>
      <c r="EP278" s="482">
        <f>EO278</f>
        <v>19.3</v>
      </c>
      <c r="EQ278" s="482">
        <f t="shared" ref="EQ278:EQ285" si="931">+ER278</f>
        <v>19.3</v>
      </c>
      <c r="ER278" s="1244">
        <f>EP278</f>
        <v>19.3</v>
      </c>
      <c r="ES278" s="482">
        <f>ER278</f>
        <v>19.3</v>
      </c>
      <c r="ET278" s="482">
        <f t="shared" ref="ET278:ET285" si="932">+EU278</f>
        <v>19.3</v>
      </c>
      <c r="EU278" s="1244">
        <f>ES278</f>
        <v>19.3</v>
      </c>
      <c r="EV278" s="482">
        <f>EU278</f>
        <v>19.3</v>
      </c>
      <c r="EW278" s="482">
        <f t="shared" ref="EW278:EW285" si="933">+EX278</f>
        <v>19.3</v>
      </c>
      <c r="EX278" s="1244">
        <f>EV278</f>
        <v>19.3</v>
      </c>
      <c r="EY278" s="482">
        <f>EX278</f>
        <v>19.3</v>
      </c>
      <c r="EZ278" s="482">
        <f t="shared" ref="EZ278:EZ285" si="934">+FA278</f>
        <v>19.3</v>
      </c>
      <c r="FA278" s="1244">
        <f>EY278</f>
        <v>19.3</v>
      </c>
      <c r="FB278" s="1571"/>
      <c r="FE278"/>
      <c r="FF278"/>
      <c r="FG278"/>
      <c r="FH278"/>
      <c r="FI278"/>
      <c r="FJ278"/>
      <c r="FK278" s="35"/>
    </row>
    <row r="279" spans="2:167" s="236" customFormat="1" ht="13.35" customHeight="1" outlineLevel="1">
      <c r="B279" s="242" t="s">
        <v>731</v>
      </c>
      <c r="C279" s="242" t="s">
        <v>496</v>
      </c>
      <c r="D279" s="243"/>
      <c r="E279" s="516"/>
      <c r="F279" s="482">
        <f t="shared" si="872"/>
        <v>0</v>
      </c>
      <c r="G279" s="517"/>
      <c r="H279" s="518"/>
      <c r="I279" s="482">
        <f t="shared" si="873"/>
        <v>0</v>
      </c>
      <c r="J279" s="517"/>
      <c r="K279" s="518"/>
      <c r="L279" s="482">
        <f t="shared" si="874"/>
        <v>0</v>
      </c>
      <c r="M279" s="517"/>
      <c r="N279" s="518"/>
      <c r="O279" s="482">
        <f t="shared" si="875"/>
        <v>0</v>
      </c>
      <c r="P279" s="517"/>
      <c r="Q279" s="518"/>
      <c r="R279" s="482">
        <f t="shared" si="876"/>
        <v>0</v>
      </c>
      <c r="S279" s="606"/>
      <c r="T279" s="518"/>
      <c r="U279" s="482">
        <f t="shared" si="877"/>
        <v>0</v>
      </c>
      <c r="V279" s="517"/>
      <c r="W279" s="518"/>
      <c r="X279" s="482">
        <f t="shared" si="878"/>
        <v>0</v>
      </c>
      <c r="Y279" s="517"/>
      <c r="Z279" s="518"/>
      <c r="AA279" s="482">
        <f t="shared" si="879"/>
        <v>0</v>
      </c>
      <c r="AB279" s="517"/>
      <c r="AC279" s="518"/>
      <c r="AD279" s="482">
        <f t="shared" si="880"/>
        <v>0</v>
      </c>
      <c r="AE279" s="517"/>
      <c r="AF279" s="518"/>
      <c r="AG279" s="482">
        <f t="shared" si="881"/>
        <v>0</v>
      </c>
      <c r="AH279" s="517"/>
      <c r="AI279" s="518"/>
      <c r="AJ279" s="482">
        <f t="shared" si="882"/>
        <v>0</v>
      </c>
      <c r="AK279" s="517"/>
      <c r="AL279" s="518"/>
      <c r="AM279" s="482">
        <f t="shared" si="883"/>
        <v>0</v>
      </c>
      <c r="AN279" s="517"/>
      <c r="AO279" s="518"/>
      <c r="AP279" s="482">
        <f t="shared" si="884"/>
        <v>0</v>
      </c>
      <c r="AQ279" s="517"/>
      <c r="AR279" s="518"/>
      <c r="AS279" s="482">
        <f t="shared" si="885"/>
        <v>0</v>
      </c>
      <c r="AT279" s="517"/>
      <c r="AU279" s="518"/>
      <c r="AV279" s="482">
        <f t="shared" si="886"/>
        <v>0</v>
      </c>
      <c r="AW279" s="517"/>
      <c r="AX279" s="519">
        <v>0</v>
      </c>
      <c r="AY279" s="482">
        <f t="shared" si="887"/>
        <v>0</v>
      </c>
      <c r="AZ279" s="520">
        <v>0</v>
      </c>
      <c r="BA279" s="519">
        <v>0</v>
      </c>
      <c r="BB279" s="482">
        <f t="shared" si="888"/>
        <v>0</v>
      </c>
      <c r="BC279" s="520">
        <v>0</v>
      </c>
      <c r="BD279" s="519">
        <v>0</v>
      </c>
      <c r="BE279" s="482">
        <f t="shared" si="889"/>
        <v>0</v>
      </c>
      <c r="BF279" s="520">
        <v>0</v>
      </c>
      <c r="BG279" s="519">
        <v>0</v>
      </c>
      <c r="BH279" s="482">
        <f t="shared" si="890"/>
        <v>0</v>
      </c>
      <c r="BI279" s="520">
        <v>0</v>
      </c>
      <c r="BJ279" s="519">
        <v>0</v>
      </c>
      <c r="BK279" s="482">
        <f t="shared" si="891"/>
        <v>0</v>
      </c>
      <c r="BL279" s="520">
        <v>0</v>
      </c>
      <c r="BM279" s="519">
        <v>0</v>
      </c>
      <c r="BN279" s="482">
        <f t="shared" si="892"/>
        <v>0</v>
      </c>
      <c r="BO279" s="520">
        <f>BM279</f>
        <v>0</v>
      </c>
      <c r="BP279" s="519">
        <f>BO279</f>
        <v>0</v>
      </c>
      <c r="BQ279" s="482">
        <f t="shared" si="893"/>
        <v>0</v>
      </c>
      <c r="BR279" s="521">
        <f>BP279</f>
        <v>0</v>
      </c>
      <c r="BS279" s="519">
        <f>BR279</f>
        <v>0</v>
      </c>
      <c r="BT279" s="482">
        <f t="shared" si="894"/>
        <v>0</v>
      </c>
      <c r="BU279" s="521">
        <f>BS279</f>
        <v>0</v>
      </c>
      <c r="BV279" s="519">
        <f>BU279</f>
        <v>0</v>
      </c>
      <c r="BW279" s="482">
        <f t="shared" si="895"/>
        <v>0</v>
      </c>
      <c r="BX279" s="521">
        <f>BV279</f>
        <v>0</v>
      </c>
      <c r="BY279" s="519">
        <f>BX279</f>
        <v>0</v>
      </c>
      <c r="BZ279" s="482">
        <f t="shared" si="896"/>
        <v>0</v>
      </c>
      <c r="CA279" s="521">
        <f>BY279</f>
        <v>0</v>
      </c>
      <c r="CB279" s="519">
        <f>CA279</f>
        <v>0</v>
      </c>
      <c r="CC279" s="482">
        <f t="shared" si="897"/>
        <v>0</v>
      </c>
      <c r="CD279" s="521">
        <f>CB279</f>
        <v>0</v>
      </c>
      <c r="CE279" s="519">
        <f>CD279</f>
        <v>0</v>
      </c>
      <c r="CF279" s="482">
        <f t="shared" si="898"/>
        <v>0</v>
      </c>
      <c r="CG279" s="521">
        <f>CE279</f>
        <v>0</v>
      </c>
      <c r="CH279" s="519">
        <f>CG279</f>
        <v>0</v>
      </c>
      <c r="CI279" s="482">
        <f t="shared" si="899"/>
        <v>0</v>
      </c>
      <c r="CJ279" s="521">
        <f>CH279</f>
        <v>0</v>
      </c>
      <c r="CK279" s="519">
        <f>CJ279</f>
        <v>0</v>
      </c>
      <c r="CL279" s="482">
        <f t="shared" si="900"/>
        <v>0</v>
      </c>
      <c r="CM279" s="521">
        <f>CK279</f>
        <v>0</v>
      </c>
      <c r="CN279" s="519">
        <f>CM279</f>
        <v>0</v>
      </c>
      <c r="CO279" s="482">
        <f t="shared" si="901"/>
        <v>0</v>
      </c>
      <c r="CP279" s="521">
        <f>CN279</f>
        <v>0</v>
      </c>
      <c r="CQ279" s="519">
        <f>CP279</f>
        <v>0</v>
      </c>
      <c r="CR279" s="482">
        <f t="shared" si="902"/>
        <v>43.222999999999999</v>
      </c>
      <c r="CS279" s="521">
        <v>43.222999999999999</v>
      </c>
      <c r="CT279" s="519">
        <v>37.177</v>
      </c>
      <c r="CU279" s="482">
        <f t="shared" si="903"/>
        <v>45.484999999999999</v>
      </c>
      <c r="CV279" s="521">
        <v>45.484999999999999</v>
      </c>
      <c r="CW279" s="519">
        <v>42.546999999999997</v>
      </c>
      <c r="CX279" s="482">
        <f t="shared" si="904"/>
        <v>52.411999999999999</v>
      </c>
      <c r="CY279" s="521">
        <v>52.411999999999999</v>
      </c>
      <c r="CZ279" s="518">
        <v>49</v>
      </c>
      <c r="DA279" s="482">
        <f t="shared" si="905"/>
        <v>57.3</v>
      </c>
      <c r="DB279" s="516">
        <v>57.3</v>
      </c>
      <c r="DC279" s="518">
        <v>53.9</v>
      </c>
      <c r="DD279" s="482">
        <f t="shared" si="906"/>
        <v>69.5</v>
      </c>
      <c r="DE279" s="516">
        <v>69.5</v>
      </c>
      <c r="DF279" s="519">
        <v>63</v>
      </c>
      <c r="DG279" s="482">
        <f t="shared" si="907"/>
        <v>54.4</v>
      </c>
      <c r="DH279" s="1365">
        <v>54.4</v>
      </c>
      <c r="DI279" s="1373">
        <v>67.5</v>
      </c>
      <c r="DJ279" s="482">
        <f t="shared" si="908"/>
        <v>87.9</v>
      </c>
      <c r="DK279" s="1374">
        <v>87.9</v>
      </c>
      <c r="DL279" s="1373">
        <v>76</v>
      </c>
      <c r="DM279" s="482">
        <f t="shared" si="909"/>
        <v>101.6</v>
      </c>
      <c r="DN279" s="1374">
        <v>101.6</v>
      </c>
      <c r="DO279" s="1373">
        <v>90.9</v>
      </c>
      <c r="DP279" s="482">
        <f t="shared" si="910"/>
        <v>146.4</v>
      </c>
      <c r="DQ279" s="1374">
        <v>146.4</v>
      </c>
      <c r="DR279" s="1373">
        <v>106.5</v>
      </c>
      <c r="DS279" s="482">
        <f t="shared" si="923"/>
        <v>150.5</v>
      </c>
      <c r="DT279" s="1374">
        <v>150.5</v>
      </c>
      <c r="DU279" s="1373">
        <v>123.9</v>
      </c>
      <c r="DV279" s="482">
        <f t="shared" si="924"/>
        <v>113.4</v>
      </c>
      <c r="DW279" s="1374">
        <v>113.4</v>
      </c>
      <c r="DX279" s="1373">
        <v>127.8</v>
      </c>
      <c r="DY279" s="482">
        <f t="shared" si="925"/>
        <v>127.8</v>
      </c>
      <c r="DZ279" s="1244">
        <f>DX279</f>
        <v>127.8</v>
      </c>
      <c r="EA279" s="482">
        <f>DZ279</f>
        <v>127.8</v>
      </c>
      <c r="EB279" s="482">
        <f t="shared" si="926"/>
        <v>127.8</v>
      </c>
      <c r="EC279" s="1244">
        <f>EA279</f>
        <v>127.8</v>
      </c>
      <c r="ED279" s="482">
        <f>EC279</f>
        <v>127.8</v>
      </c>
      <c r="EE279" s="482">
        <f t="shared" si="927"/>
        <v>127.8</v>
      </c>
      <c r="EF279" s="1244">
        <f>ED279</f>
        <v>127.8</v>
      </c>
      <c r="EG279" s="482">
        <f>EF279</f>
        <v>127.8</v>
      </c>
      <c r="EH279" s="482">
        <f t="shared" si="928"/>
        <v>127.8</v>
      </c>
      <c r="EI279" s="1244">
        <f>EG279</f>
        <v>127.8</v>
      </c>
      <c r="EJ279" s="482">
        <f>EI279</f>
        <v>127.8</v>
      </c>
      <c r="EK279" s="482">
        <f t="shared" si="929"/>
        <v>127.8</v>
      </c>
      <c r="EL279" s="1244">
        <f>EJ279</f>
        <v>127.8</v>
      </c>
      <c r="EM279" s="482">
        <f>EL279</f>
        <v>127.8</v>
      </c>
      <c r="EN279" s="482">
        <f t="shared" si="930"/>
        <v>127.8</v>
      </c>
      <c r="EO279" s="1244">
        <f>EM279</f>
        <v>127.8</v>
      </c>
      <c r="EP279" s="482">
        <f>EO279</f>
        <v>127.8</v>
      </c>
      <c r="EQ279" s="482">
        <f t="shared" si="931"/>
        <v>127.8</v>
      </c>
      <c r="ER279" s="1244">
        <f>EP279</f>
        <v>127.8</v>
      </c>
      <c r="ES279" s="482">
        <f>ER279</f>
        <v>127.8</v>
      </c>
      <c r="ET279" s="482">
        <f t="shared" si="932"/>
        <v>127.8</v>
      </c>
      <c r="EU279" s="1244">
        <f>ES279</f>
        <v>127.8</v>
      </c>
      <c r="EV279" s="482">
        <f>EU279</f>
        <v>127.8</v>
      </c>
      <c r="EW279" s="482">
        <f t="shared" si="933"/>
        <v>127.8</v>
      </c>
      <c r="EX279" s="1244">
        <f>EV279</f>
        <v>127.8</v>
      </c>
      <c r="EY279" s="482">
        <f>EX279</f>
        <v>127.8</v>
      </c>
      <c r="EZ279" s="482">
        <f t="shared" si="934"/>
        <v>127.8</v>
      </c>
      <c r="FA279" s="1244">
        <f>EY279</f>
        <v>127.8</v>
      </c>
      <c r="FB279" s="1571"/>
      <c r="FE279"/>
      <c r="FF279"/>
      <c r="FG279"/>
      <c r="FH279"/>
      <c r="FI279"/>
      <c r="FJ279"/>
      <c r="FK279" s="35"/>
    </row>
    <row r="280" spans="2:167" s="236" customFormat="1" ht="13.35" customHeight="1" outlineLevel="1">
      <c r="B280" s="242" t="s">
        <v>904</v>
      </c>
      <c r="C280" s="242" t="s">
        <v>496</v>
      </c>
      <c r="D280" s="243"/>
      <c r="E280" s="516"/>
      <c r="F280" s="482">
        <f t="shared" si="872"/>
        <v>0</v>
      </c>
      <c r="G280" s="517"/>
      <c r="H280" s="518"/>
      <c r="I280" s="482">
        <f t="shared" si="873"/>
        <v>0</v>
      </c>
      <c r="J280" s="517"/>
      <c r="K280" s="518"/>
      <c r="L280" s="482">
        <f t="shared" si="874"/>
        <v>0</v>
      </c>
      <c r="M280" s="517"/>
      <c r="N280" s="518"/>
      <c r="O280" s="482">
        <f t="shared" si="875"/>
        <v>0</v>
      </c>
      <c r="P280" s="517"/>
      <c r="Q280" s="518"/>
      <c r="R280" s="482">
        <f t="shared" si="876"/>
        <v>0</v>
      </c>
      <c r="S280" s="606"/>
      <c r="T280" s="518"/>
      <c r="U280" s="482">
        <f t="shared" si="877"/>
        <v>0</v>
      </c>
      <c r="V280" s="517"/>
      <c r="W280" s="518"/>
      <c r="X280" s="482">
        <f t="shared" si="878"/>
        <v>0</v>
      </c>
      <c r="Y280" s="517"/>
      <c r="Z280" s="518"/>
      <c r="AA280" s="482">
        <f t="shared" si="879"/>
        <v>0</v>
      </c>
      <c r="AB280" s="517"/>
      <c r="AC280" s="518"/>
      <c r="AD280" s="482">
        <f t="shared" si="880"/>
        <v>0</v>
      </c>
      <c r="AE280" s="517"/>
      <c r="AF280" s="518"/>
      <c r="AG280" s="482">
        <f t="shared" si="881"/>
        <v>0</v>
      </c>
      <c r="AH280" s="517"/>
      <c r="AI280" s="518"/>
      <c r="AJ280" s="482">
        <f t="shared" si="882"/>
        <v>0</v>
      </c>
      <c r="AK280" s="517"/>
      <c r="AL280" s="518"/>
      <c r="AM280" s="482">
        <f t="shared" si="883"/>
        <v>0</v>
      </c>
      <c r="AN280" s="517"/>
      <c r="AO280" s="518"/>
      <c r="AP280" s="482">
        <f t="shared" si="884"/>
        <v>0</v>
      </c>
      <c r="AQ280" s="517"/>
      <c r="AR280" s="518"/>
      <c r="AS280" s="482">
        <f t="shared" si="885"/>
        <v>0</v>
      </c>
      <c r="AT280" s="517"/>
      <c r="AU280" s="518"/>
      <c r="AV280" s="482">
        <f t="shared" si="886"/>
        <v>0</v>
      </c>
      <c r="AW280" s="517"/>
      <c r="AX280" s="519">
        <v>0</v>
      </c>
      <c r="AY280" s="482">
        <f t="shared" si="887"/>
        <v>0</v>
      </c>
      <c r="AZ280" s="520">
        <v>0</v>
      </c>
      <c r="BA280" s="519">
        <v>0</v>
      </c>
      <c r="BB280" s="482">
        <f t="shared" si="888"/>
        <v>0</v>
      </c>
      <c r="BC280" s="520">
        <v>0</v>
      </c>
      <c r="BD280" s="519">
        <v>0</v>
      </c>
      <c r="BE280" s="482">
        <f t="shared" si="889"/>
        <v>0</v>
      </c>
      <c r="BF280" s="520">
        <v>0</v>
      </c>
      <c r="BG280" s="519">
        <v>0</v>
      </c>
      <c r="BH280" s="482">
        <f t="shared" si="890"/>
        <v>0</v>
      </c>
      <c r="BI280" s="520">
        <v>0</v>
      </c>
      <c r="BJ280" s="519">
        <v>0</v>
      </c>
      <c r="BK280" s="482">
        <f t="shared" si="891"/>
        <v>0</v>
      </c>
      <c r="BL280" s="520">
        <v>0</v>
      </c>
      <c r="BM280" s="519">
        <v>0</v>
      </c>
      <c r="BN280" s="482">
        <f t="shared" si="892"/>
        <v>0</v>
      </c>
      <c r="BO280" s="517">
        <f>BM280</f>
        <v>0</v>
      </c>
      <c r="BP280" s="518">
        <f>BO280</f>
        <v>0</v>
      </c>
      <c r="BQ280" s="482">
        <f t="shared" si="893"/>
        <v>0</v>
      </c>
      <c r="BR280" s="516">
        <f>BP280</f>
        <v>0</v>
      </c>
      <c r="BS280" s="518">
        <f>BR280</f>
        <v>0</v>
      </c>
      <c r="BT280" s="482">
        <f t="shared" si="894"/>
        <v>0</v>
      </c>
      <c r="BU280" s="516">
        <f>BS280</f>
        <v>0</v>
      </c>
      <c r="BV280" s="518">
        <f>BU280</f>
        <v>0</v>
      </c>
      <c r="BW280" s="482">
        <f t="shared" si="895"/>
        <v>0</v>
      </c>
      <c r="BX280" s="516">
        <f>BV280</f>
        <v>0</v>
      </c>
      <c r="BY280" s="518">
        <f>BX280</f>
        <v>0</v>
      </c>
      <c r="BZ280" s="482">
        <f t="shared" si="896"/>
        <v>0</v>
      </c>
      <c r="CA280" s="516">
        <f>BY280</f>
        <v>0</v>
      </c>
      <c r="CB280" s="518">
        <f>CA280</f>
        <v>0</v>
      </c>
      <c r="CC280" s="482">
        <f t="shared" si="897"/>
        <v>0</v>
      </c>
      <c r="CD280" s="516">
        <f>CB280</f>
        <v>0</v>
      </c>
      <c r="CE280" s="518">
        <f>CD280</f>
        <v>0</v>
      </c>
      <c r="CF280" s="482">
        <f t="shared" si="898"/>
        <v>0</v>
      </c>
      <c r="CG280" s="516">
        <f>CE280</f>
        <v>0</v>
      </c>
      <c r="CH280" s="518">
        <f>CG280</f>
        <v>0</v>
      </c>
      <c r="CI280" s="482">
        <f t="shared" si="899"/>
        <v>0</v>
      </c>
      <c r="CJ280" s="516">
        <f>CH280</f>
        <v>0</v>
      </c>
      <c r="CK280" s="518">
        <f>CJ280</f>
        <v>0</v>
      </c>
      <c r="CL280" s="482">
        <f t="shared" si="900"/>
        <v>0</v>
      </c>
      <c r="CM280" s="516">
        <f>CK280</f>
        <v>0</v>
      </c>
      <c r="CN280" s="518">
        <f>CM280</f>
        <v>0</v>
      </c>
      <c r="CO280" s="482">
        <f t="shared" si="901"/>
        <v>0</v>
      </c>
      <c r="CP280" s="516">
        <f>CN280</f>
        <v>0</v>
      </c>
      <c r="CQ280" s="518">
        <f>CP280</f>
        <v>0</v>
      </c>
      <c r="CR280" s="482">
        <f t="shared" si="902"/>
        <v>0</v>
      </c>
      <c r="CS280" s="516">
        <f>CQ280</f>
        <v>0</v>
      </c>
      <c r="CT280" s="518">
        <f>CS280</f>
        <v>0</v>
      </c>
      <c r="CU280" s="482">
        <f t="shared" si="903"/>
        <v>0</v>
      </c>
      <c r="CV280" s="516">
        <f>CT280</f>
        <v>0</v>
      </c>
      <c r="CW280" s="518">
        <f>CV280</f>
        <v>0</v>
      </c>
      <c r="CX280" s="482">
        <f t="shared" si="904"/>
        <v>0</v>
      </c>
      <c r="CY280" s="516">
        <f>CW280</f>
        <v>0</v>
      </c>
      <c r="CZ280" s="518">
        <f>CY280</f>
        <v>0</v>
      </c>
      <c r="DA280" s="482">
        <f t="shared" si="905"/>
        <v>0</v>
      </c>
      <c r="DB280" s="516">
        <f>CZ280</f>
        <v>0</v>
      </c>
      <c r="DC280" s="518">
        <f>DB280</f>
        <v>0</v>
      </c>
      <c r="DD280" s="482">
        <f t="shared" si="906"/>
        <v>0</v>
      </c>
      <c r="DE280" s="516">
        <f>DC280</f>
        <v>0</v>
      </c>
      <c r="DF280" s="518">
        <f>DE280</f>
        <v>0</v>
      </c>
      <c r="DG280" s="482">
        <f t="shared" si="907"/>
        <v>0</v>
      </c>
      <c r="DH280" s="1258">
        <f>DF280</f>
        <v>0</v>
      </c>
      <c r="DI280" s="482">
        <f>DH280</f>
        <v>0</v>
      </c>
      <c r="DJ280" s="482">
        <f t="shared" si="908"/>
        <v>0</v>
      </c>
      <c r="DK280" s="1244">
        <f>DI280</f>
        <v>0</v>
      </c>
      <c r="DL280" s="482">
        <f>DK280</f>
        <v>0</v>
      </c>
      <c r="DM280" s="482">
        <f t="shared" si="909"/>
        <v>0</v>
      </c>
      <c r="DN280" s="1244">
        <f>DL280</f>
        <v>0</v>
      </c>
      <c r="DO280" s="482">
        <f>DN280</f>
        <v>0</v>
      </c>
      <c r="DP280" s="482">
        <f t="shared" si="910"/>
        <v>0</v>
      </c>
      <c r="DQ280" s="1244">
        <f>DO280</f>
        <v>0</v>
      </c>
      <c r="DR280" s="482">
        <f>DQ280</f>
        <v>0</v>
      </c>
      <c r="DS280" s="482">
        <f t="shared" si="923"/>
        <v>0</v>
      </c>
      <c r="DT280" s="1244">
        <f>DR280</f>
        <v>0</v>
      </c>
      <c r="DU280" s="482">
        <f>DT280</f>
        <v>0</v>
      </c>
      <c r="DV280" s="482">
        <f t="shared" si="924"/>
        <v>0</v>
      </c>
      <c r="DW280" s="1244">
        <f>DU280</f>
        <v>0</v>
      </c>
      <c r="DX280" s="482">
        <f>DW280</f>
        <v>0</v>
      </c>
      <c r="DY280" s="482">
        <f t="shared" si="925"/>
        <v>0</v>
      </c>
      <c r="DZ280" s="1244">
        <f>DX280</f>
        <v>0</v>
      </c>
      <c r="EA280" s="482">
        <f>DZ280</f>
        <v>0</v>
      </c>
      <c r="EB280" s="482">
        <f t="shared" si="926"/>
        <v>0</v>
      </c>
      <c r="EC280" s="1244">
        <f>EA280</f>
        <v>0</v>
      </c>
      <c r="ED280" s="482">
        <f>EC280</f>
        <v>0</v>
      </c>
      <c r="EE280" s="482">
        <f t="shared" si="927"/>
        <v>0</v>
      </c>
      <c r="EF280" s="1244">
        <f>ED280</f>
        <v>0</v>
      </c>
      <c r="EG280" s="482">
        <f>EF280</f>
        <v>0</v>
      </c>
      <c r="EH280" s="482">
        <f t="shared" si="928"/>
        <v>0</v>
      </c>
      <c r="EI280" s="1244">
        <f>EG280</f>
        <v>0</v>
      </c>
      <c r="EJ280" s="482">
        <f>EI280</f>
        <v>0</v>
      </c>
      <c r="EK280" s="482">
        <f t="shared" si="929"/>
        <v>0</v>
      </c>
      <c r="EL280" s="1244">
        <f>EJ280</f>
        <v>0</v>
      </c>
      <c r="EM280" s="482">
        <f>EL280</f>
        <v>0</v>
      </c>
      <c r="EN280" s="482">
        <f t="shared" si="930"/>
        <v>0</v>
      </c>
      <c r="EO280" s="1244">
        <f>EM280</f>
        <v>0</v>
      </c>
      <c r="EP280" s="482">
        <f>EO280</f>
        <v>0</v>
      </c>
      <c r="EQ280" s="482">
        <f t="shared" si="931"/>
        <v>0</v>
      </c>
      <c r="ER280" s="1244">
        <f>EP280</f>
        <v>0</v>
      </c>
      <c r="ES280" s="482">
        <f>ER280</f>
        <v>0</v>
      </c>
      <c r="ET280" s="482">
        <f t="shared" si="932"/>
        <v>0</v>
      </c>
      <c r="EU280" s="1244">
        <f>ES280</f>
        <v>0</v>
      </c>
      <c r="EV280" s="482">
        <f>EU280</f>
        <v>0</v>
      </c>
      <c r="EW280" s="482">
        <f t="shared" si="933"/>
        <v>0</v>
      </c>
      <c r="EX280" s="1244">
        <f>EV280</f>
        <v>0</v>
      </c>
      <c r="EY280" s="482">
        <f>EX280</f>
        <v>0</v>
      </c>
      <c r="EZ280" s="482">
        <f t="shared" si="934"/>
        <v>0</v>
      </c>
      <c r="FA280" s="1244">
        <f>EY280</f>
        <v>0</v>
      </c>
      <c r="FB280" s="1571"/>
      <c r="FE280"/>
      <c r="FF280"/>
      <c r="FG280"/>
      <c r="FH280"/>
      <c r="FI280"/>
      <c r="FJ280"/>
      <c r="FK280" s="35"/>
    </row>
    <row r="281" spans="2:167" s="236" customFormat="1" ht="14.1" customHeight="1" outlineLevel="1">
      <c r="B281" s="242" t="s">
        <v>905</v>
      </c>
      <c r="C281" s="242" t="s">
        <v>496</v>
      </c>
      <c r="D281" s="243"/>
      <c r="E281" s="516"/>
      <c r="F281" s="482">
        <f t="shared" si="872"/>
        <v>0</v>
      </c>
      <c r="G281" s="517"/>
      <c r="H281" s="518"/>
      <c r="I281" s="482">
        <f t="shared" si="873"/>
        <v>0</v>
      </c>
      <c r="J281" s="517"/>
      <c r="K281" s="518"/>
      <c r="L281" s="482">
        <f t="shared" si="874"/>
        <v>0</v>
      </c>
      <c r="M281" s="517"/>
      <c r="N281" s="518"/>
      <c r="O281" s="482">
        <f t="shared" si="875"/>
        <v>0</v>
      </c>
      <c r="P281" s="517"/>
      <c r="Q281" s="518"/>
      <c r="R281" s="482">
        <f t="shared" si="876"/>
        <v>0</v>
      </c>
      <c r="S281" s="606"/>
      <c r="T281" s="518"/>
      <c r="U281" s="482">
        <f t="shared" si="877"/>
        <v>0</v>
      </c>
      <c r="V281" s="517"/>
      <c r="W281" s="518"/>
      <c r="X281" s="482">
        <f t="shared" si="878"/>
        <v>0</v>
      </c>
      <c r="Y281" s="517"/>
      <c r="Z281" s="518"/>
      <c r="AA281" s="482">
        <f t="shared" si="879"/>
        <v>0</v>
      </c>
      <c r="AB281" s="517"/>
      <c r="AC281" s="518"/>
      <c r="AD281" s="482">
        <f t="shared" si="880"/>
        <v>0</v>
      </c>
      <c r="AE281" s="517"/>
      <c r="AF281" s="518"/>
      <c r="AG281" s="482">
        <f t="shared" si="881"/>
        <v>0</v>
      </c>
      <c r="AH281" s="517"/>
      <c r="AI281" s="518"/>
      <c r="AJ281" s="482">
        <f t="shared" si="882"/>
        <v>0</v>
      </c>
      <c r="AK281" s="517"/>
      <c r="AL281" s="518"/>
      <c r="AM281" s="482">
        <f t="shared" si="883"/>
        <v>0</v>
      </c>
      <c r="AN281" s="517"/>
      <c r="AO281" s="518"/>
      <c r="AP281" s="482">
        <f t="shared" si="884"/>
        <v>0</v>
      </c>
      <c r="AQ281" s="517"/>
      <c r="AR281" s="518"/>
      <c r="AS281" s="482">
        <f t="shared" si="885"/>
        <v>0</v>
      </c>
      <c r="AT281" s="517"/>
      <c r="AU281" s="518"/>
      <c r="AV281" s="482">
        <f t="shared" si="886"/>
        <v>0</v>
      </c>
      <c r="AW281" s="517"/>
      <c r="AX281" s="519">
        <v>0</v>
      </c>
      <c r="AY281" s="482">
        <f t="shared" si="887"/>
        <v>0</v>
      </c>
      <c r="AZ281" s="520">
        <v>0</v>
      </c>
      <c r="BA281" s="519">
        <v>0</v>
      </c>
      <c r="BB281" s="482">
        <f t="shared" si="888"/>
        <v>0</v>
      </c>
      <c r="BC281" s="520">
        <v>0</v>
      </c>
      <c r="BD281" s="519">
        <v>0</v>
      </c>
      <c r="BE281" s="482">
        <f t="shared" si="889"/>
        <v>0</v>
      </c>
      <c r="BF281" s="520">
        <v>0</v>
      </c>
      <c r="BG281" s="519">
        <v>0</v>
      </c>
      <c r="BH281" s="482">
        <f t="shared" si="890"/>
        <v>0</v>
      </c>
      <c r="BI281" s="520">
        <v>0</v>
      </c>
      <c r="BJ281" s="519">
        <v>0</v>
      </c>
      <c r="BK281" s="482">
        <f t="shared" si="891"/>
        <v>0</v>
      </c>
      <c r="BL281" s="517">
        <f>BJ281</f>
        <v>0</v>
      </c>
      <c r="BM281" s="518">
        <f>BL281</f>
        <v>0</v>
      </c>
      <c r="BN281" s="482">
        <f t="shared" si="892"/>
        <v>0</v>
      </c>
      <c r="BO281" s="517">
        <f>BM281</f>
        <v>0</v>
      </c>
      <c r="BP281" s="518">
        <f>BO281</f>
        <v>0</v>
      </c>
      <c r="BQ281" s="482">
        <f t="shared" si="893"/>
        <v>0</v>
      </c>
      <c r="BR281" s="516">
        <f>BP281</f>
        <v>0</v>
      </c>
      <c r="BS281" s="518">
        <f>BR281</f>
        <v>0</v>
      </c>
      <c r="BT281" s="482">
        <f t="shared" si="894"/>
        <v>0</v>
      </c>
      <c r="BU281" s="516">
        <f>BS281</f>
        <v>0</v>
      </c>
      <c r="BV281" s="518">
        <f>BU281</f>
        <v>0</v>
      </c>
      <c r="BW281" s="482">
        <f t="shared" si="895"/>
        <v>0</v>
      </c>
      <c r="BX281" s="516">
        <f>BV281</f>
        <v>0</v>
      </c>
      <c r="BY281" s="518">
        <f>BX281</f>
        <v>0</v>
      </c>
      <c r="BZ281" s="482">
        <f t="shared" si="896"/>
        <v>0</v>
      </c>
      <c r="CA281" s="516">
        <f>BY281</f>
        <v>0</v>
      </c>
      <c r="CB281" s="518">
        <f>CA281</f>
        <v>0</v>
      </c>
      <c r="CC281" s="482">
        <f t="shared" si="897"/>
        <v>0</v>
      </c>
      <c r="CD281" s="516">
        <f>CB281</f>
        <v>0</v>
      </c>
      <c r="CE281" s="518">
        <f>CD281</f>
        <v>0</v>
      </c>
      <c r="CF281" s="482">
        <f t="shared" si="898"/>
        <v>0</v>
      </c>
      <c r="CG281" s="516">
        <f>CE281</f>
        <v>0</v>
      </c>
      <c r="CH281" s="518">
        <f>CG281</f>
        <v>0</v>
      </c>
      <c r="CI281" s="482">
        <f t="shared" si="899"/>
        <v>0</v>
      </c>
      <c r="CJ281" s="516">
        <f>CH281</f>
        <v>0</v>
      </c>
      <c r="CK281" s="518">
        <f>CJ281</f>
        <v>0</v>
      </c>
      <c r="CL281" s="482">
        <f t="shared" si="900"/>
        <v>0</v>
      </c>
      <c r="CM281" s="516">
        <f>CK281</f>
        <v>0</v>
      </c>
      <c r="CN281" s="518">
        <f>CM281</f>
        <v>0</v>
      </c>
      <c r="CO281" s="482">
        <f t="shared" si="901"/>
        <v>0</v>
      </c>
      <c r="CP281" s="516">
        <f>CN281</f>
        <v>0</v>
      </c>
      <c r="CQ281" s="518">
        <f>CP281</f>
        <v>0</v>
      </c>
      <c r="CR281" s="482">
        <f t="shared" si="902"/>
        <v>0</v>
      </c>
      <c r="CS281" s="516">
        <f>CQ281</f>
        <v>0</v>
      </c>
      <c r="CT281" s="518">
        <f>CS281</f>
        <v>0</v>
      </c>
      <c r="CU281" s="482">
        <f t="shared" si="903"/>
        <v>0</v>
      </c>
      <c r="CV281" s="516">
        <f>CT281</f>
        <v>0</v>
      </c>
      <c r="CW281" s="518">
        <f>CV281</f>
        <v>0</v>
      </c>
      <c r="CX281" s="482">
        <f t="shared" si="904"/>
        <v>0</v>
      </c>
      <c r="CY281" s="516">
        <f>CW281</f>
        <v>0</v>
      </c>
      <c r="CZ281" s="518">
        <f>CY281</f>
        <v>0</v>
      </c>
      <c r="DA281" s="482">
        <f t="shared" si="905"/>
        <v>0</v>
      </c>
      <c r="DB281" s="516">
        <f>CZ281</f>
        <v>0</v>
      </c>
      <c r="DC281" s="518">
        <f>DB281</f>
        <v>0</v>
      </c>
      <c r="DD281" s="482">
        <f t="shared" si="906"/>
        <v>0</v>
      </c>
      <c r="DE281" s="516">
        <f>DC281</f>
        <v>0</v>
      </c>
      <c r="DF281" s="518">
        <f>DE281</f>
        <v>0</v>
      </c>
      <c r="DG281" s="482">
        <f t="shared" si="907"/>
        <v>0</v>
      </c>
      <c r="DH281" s="1258">
        <f>DF281</f>
        <v>0</v>
      </c>
      <c r="DI281" s="482">
        <f>DH281</f>
        <v>0</v>
      </c>
      <c r="DJ281" s="482">
        <f t="shared" si="908"/>
        <v>0</v>
      </c>
      <c r="DK281" s="1244">
        <f>DI281</f>
        <v>0</v>
      </c>
      <c r="DL281" s="482">
        <f>DK281</f>
        <v>0</v>
      </c>
      <c r="DM281" s="482">
        <f t="shared" si="909"/>
        <v>0</v>
      </c>
      <c r="DN281" s="1244">
        <f>DL281</f>
        <v>0</v>
      </c>
      <c r="DO281" s="482">
        <f>DN281</f>
        <v>0</v>
      </c>
      <c r="DP281" s="482">
        <f t="shared" si="910"/>
        <v>0</v>
      </c>
      <c r="DQ281" s="1244">
        <f>DO281</f>
        <v>0</v>
      </c>
      <c r="DR281" s="482">
        <f>DQ281</f>
        <v>0</v>
      </c>
      <c r="DS281" s="482">
        <f t="shared" si="923"/>
        <v>0</v>
      </c>
      <c r="DT281" s="1244">
        <f>DR281</f>
        <v>0</v>
      </c>
      <c r="DU281" s="482">
        <f>DT281</f>
        <v>0</v>
      </c>
      <c r="DV281" s="482">
        <f t="shared" si="924"/>
        <v>0</v>
      </c>
      <c r="DW281" s="1244">
        <f>DU281</f>
        <v>0</v>
      </c>
      <c r="DX281" s="482">
        <f>DW281</f>
        <v>0</v>
      </c>
      <c r="DY281" s="482">
        <f t="shared" si="925"/>
        <v>0</v>
      </c>
      <c r="DZ281" s="1244">
        <f>DX281</f>
        <v>0</v>
      </c>
      <c r="EA281" s="482">
        <f>DZ281</f>
        <v>0</v>
      </c>
      <c r="EB281" s="482">
        <f t="shared" si="926"/>
        <v>0</v>
      </c>
      <c r="EC281" s="1244">
        <f>EA281</f>
        <v>0</v>
      </c>
      <c r="ED281" s="482">
        <f>EC281</f>
        <v>0</v>
      </c>
      <c r="EE281" s="482">
        <f t="shared" si="927"/>
        <v>0</v>
      </c>
      <c r="EF281" s="1244">
        <f>ED281</f>
        <v>0</v>
      </c>
      <c r="EG281" s="482">
        <f>EF281</f>
        <v>0</v>
      </c>
      <c r="EH281" s="482">
        <f t="shared" si="928"/>
        <v>0</v>
      </c>
      <c r="EI281" s="1244">
        <f>EG281</f>
        <v>0</v>
      </c>
      <c r="EJ281" s="482">
        <f>EI281</f>
        <v>0</v>
      </c>
      <c r="EK281" s="482">
        <f t="shared" si="929"/>
        <v>0</v>
      </c>
      <c r="EL281" s="1244">
        <f>EJ281</f>
        <v>0</v>
      </c>
      <c r="EM281" s="482">
        <f>EL281</f>
        <v>0</v>
      </c>
      <c r="EN281" s="482">
        <f t="shared" si="930"/>
        <v>0</v>
      </c>
      <c r="EO281" s="1244">
        <f>EM281</f>
        <v>0</v>
      </c>
      <c r="EP281" s="482">
        <f>EO281</f>
        <v>0</v>
      </c>
      <c r="EQ281" s="482">
        <f t="shared" si="931"/>
        <v>0</v>
      </c>
      <c r="ER281" s="1244">
        <f>EP281</f>
        <v>0</v>
      </c>
      <c r="ES281" s="482">
        <f>ER281</f>
        <v>0</v>
      </c>
      <c r="ET281" s="482">
        <f t="shared" si="932"/>
        <v>0</v>
      </c>
      <c r="EU281" s="1244">
        <f>ES281</f>
        <v>0</v>
      </c>
      <c r="EV281" s="482">
        <f>EU281</f>
        <v>0</v>
      </c>
      <c r="EW281" s="482">
        <f t="shared" si="933"/>
        <v>0</v>
      </c>
      <c r="EX281" s="1244">
        <f>EV281</f>
        <v>0</v>
      </c>
      <c r="EY281" s="482">
        <f>EX281</f>
        <v>0</v>
      </c>
      <c r="EZ281" s="482">
        <f t="shared" si="934"/>
        <v>0</v>
      </c>
      <c r="FA281" s="1244">
        <f>EY281</f>
        <v>0</v>
      </c>
      <c r="FB281" s="1571"/>
      <c r="FE281"/>
      <c r="FF281"/>
      <c r="FG281"/>
      <c r="FH281"/>
      <c r="FI281"/>
      <c r="FJ281"/>
      <c r="FK281" s="35"/>
    </row>
    <row r="282" spans="2:167" s="236" customFormat="1" ht="13.35" customHeight="1" outlineLevel="1" thickBot="1">
      <c r="B282" s="242" t="s">
        <v>906</v>
      </c>
      <c r="C282" s="242" t="s">
        <v>496</v>
      </c>
      <c r="D282" s="243"/>
      <c r="E282" s="528"/>
      <c r="F282" s="482">
        <f t="shared" si="872"/>
        <v>0</v>
      </c>
      <c r="G282" s="529"/>
      <c r="H282" s="530"/>
      <c r="I282" s="482">
        <f t="shared" si="873"/>
        <v>0</v>
      </c>
      <c r="J282" s="529"/>
      <c r="K282" s="530"/>
      <c r="L282" s="482">
        <f t="shared" si="874"/>
        <v>0</v>
      </c>
      <c r="M282" s="529"/>
      <c r="N282" s="530"/>
      <c r="O282" s="482">
        <f t="shared" si="875"/>
        <v>0</v>
      </c>
      <c r="P282" s="529"/>
      <c r="Q282" s="530"/>
      <c r="R282" s="482">
        <f t="shared" si="876"/>
        <v>0</v>
      </c>
      <c r="S282" s="605"/>
      <c r="T282" s="530"/>
      <c r="U282" s="482">
        <f t="shared" si="877"/>
        <v>0</v>
      </c>
      <c r="V282" s="529"/>
      <c r="W282" s="530"/>
      <c r="X282" s="482">
        <f t="shared" si="878"/>
        <v>0</v>
      </c>
      <c r="Y282" s="529"/>
      <c r="Z282" s="530"/>
      <c r="AA282" s="482">
        <f t="shared" si="879"/>
        <v>0</v>
      </c>
      <c r="AB282" s="529"/>
      <c r="AC282" s="530"/>
      <c r="AD282" s="482">
        <f t="shared" si="880"/>
        <v>0</v>
      </c>
      <c r="AE282" s="529"/>
      <c r="AF282" s="530"/>
      <c r="AG282" s="482">
        <f t="shared" si="881"/>
        <v>0</v>
      </c>
      <c r="AH282" s="529"/>
      <c r="AI282" s="531">
        <v>10.092000000000001</v>
      </c>
      <c r="AJ282" s="482">
        <f t="shared" si="882"/>
        <v>10.601000000000001</v>
      </c>
      <c r="AK282" s="532">
        <v>10.601000000000001</v>
      </c>
      <c r="AL282" s="531">
        <v>13.407</v>
      </c>
      <c r="AM282" s="482">
        <f t="shared" si="883"/>
        <v>13.65</v>
      </c>
      <c r="AN282" s="532">
        <v>13.65</v>
      </c>
      <c r="AO282" s="531">
        <v>10.84</v>
      </c>
      <c r="AP282" s="482">
        <f t="shared" si="884"/>
        <v>13.17</v>
      </c>
      <c r="AQ282" s="532">
        <v>13.17</v>
      </c>
      <c r="AR282" s="531">
        <v>13.276999999999999</v>
      </c>
      <c r="AS282" s="482">
        <f t="shared" si="885"/>
        <v>19.059000000000001</v>
      </c>
      <c r="AT282" s="532">
        <v>19.059000000000001</v>
      </c>
      <c r="AU282" s="531">
        <v>20.686</v>
      </c>
      <c r="AV282" s="482">
        <f t="shared" si="886"/>
        <v>27.100999999999999</v>
      </c>
      <c r="AW282" s="532">
        <v>27.100999999999999</v>
      </c>
      <c r="AX282" s="531">
        <v>25.465</v>
      </c>
      <c r="AY282" s="482">
        <f t="shared" si="887"/>
        <v>26.108000000000001</v>
      </c>
      <c r="AZ282" s="532">
        <v>26.108000000000001</v>
      </c>
      <c r="BA282" s="531">
        <v>34.441000000000003</v>
      </c>
      <c r="BB282" s="482">
        <f t="shared" si="888"/>
        <v>32.738</v>
      </c>
      <c r="BC282" s="532">
        <v>32.738</v>
      </c>
      <c r="BD282" s="531">
        <v>0</v>
      </c>
      <c r="BE282" s="482">
        <f t="shared" si="889"/>
        <v>34.149000000000001</v>
      </c>
      <c r="BF282" s="532">
        <v>34.149000000000001</v>
      </c>
      <c r="BG282" s="531">
        <v>0</v>
      </c>
      <c r="BH282" s="482">
        <f t="shared" si="890"/>
        <v>0</v>
      </c>
      <c r="BI282" s="532">
        <v>0</v>
      </c>
      <c r="BJ282" s="531">
        <v>15.3</v>
      </c>
      <c r="BK282" s="482">
        <f t="shared" si="891"/>
        <v>22.352</v>
      </c>
      <c r="BL282" s="532">
        <v>22.352</v>
      </c>
      <c r="BM282" s="531">
        <v>19.946999999999999</v>
      </c>
      <c r="BN282" s="482">
        <f t="shared" si="892"/>
        <v>24.541</v>
      </c>
      <c r="BO282" s="532">
        <v>24.541</v>
      </c>
      <c r="BP282" s="531">
        <v>23.238</v>
      </c>
      <c r="BQ282" s="482">
        <f t="shared" si="893"/>
        <v>27.058</v>
      </c>
      <c r="BR282" s="549">
        <v>27.058</v>
      </c>
      <c r="BS282" s="531">
        <v>21.623999999999999</v>
      </c>
      <c r="BT282" s="482">
        <f t="shared" si="894"/>
        <v>0</v>
      </c>
      <c r="BU282" s="528">
        <f>Assumptions!BU174*BU30</f>
        <v>0</v>
      </c>
      <c r="BV282" s="530">
        <f>Assumptions!BV174*(BV30*2)</f>
        <v>0</v>
      </c>
      <c r="BW282" s="482">
        <f t="shared" si="895"/>
        <v>0</v>
      </c>
      <c r="BX282" s="528">
        <f>Assumptions!BX174*BX30</f>
        <v>0</v>
      </c>
      <c r="BY282" s="530">
        <f>Assumptions!BY174*(BY30*2)</f>
        <v>0</v>
      </c>
      <c r="BZ282" s="482">
        <f t="shared" si="896"/>
        <v>0</v>
      </c>
      <c r="CA282" s="528">
        <f>Assumptions!CA174*CA30</f>
        <v>0</v>
      </c>
      <c r="CB282" s="531">
        <v>31.721</v>
      </c>
      <c r="CC282" s="482">
        <f t="shared" si="897"/>
        <v>0</v>
      </c>
      <c r="CD282" s="528">
        <f>Assumptions!CD174*CD30</f>
        <v>0</v>
      </c>
      <c r="CE282" s="530">
        <f>Assumptions!CE174*(CE30*2)</f>
        <v>0</v>
      </c>
      <c r="CF282" s="482">
        <f t="shared" si="898"/>
        <v>0</v>
      </c>
      <c r="CG282" s="528">
        <f>Assumptions!CG174*CG30</f>
        <v>0</v>
      </c>
      <c r="CH282" s="530">
        <f>Assumptions!CH174*(CH30*2)</f>
        <v>0</v>
      </c>
      <c r="CI282" s="482">
        <f t="shared" si="899"/>
        <v>0</v>
      </c>
      <c r="CJ282" s="528">
        <f>Assumptions!CJ174*CJ30</f>
        <v>0</v>
      </c>
      <c r="CK282" s="530">
        <f>Assumptions!CK174*(CK30*2)</f>
        <v>0</v>
      </c>
      <c r="CL282" s="482">
        <f t="shared" si="900"/>
        <v>0</v>
      </c>
      <c r="CM282" s="528">
        <f>Assumptions!CM174*CM30</f>
        <v>0</v>
      </c>
      <c r="CN282" s="530">
        <f>Assumptions!CN174*(CN30*2)</f>
        <v>0</v>
      </c>
      <c r="CO282" s="482">
        <f t="shared" si="901"/>
        <v>0</v>
      </c>
      <c r="CP282" s="528">
        <f>Assumptions!CP174*CP30</f>
        <v>0</v>
      </c>
      <c r="CQ282" s="530">
        <f>Assumptions!CQ174*(CQ30*2)</f>
        <v>0</v>
      </c>
      <c r="CR282" s="482">
        <f t="shared" si="902"/>
        <v>26.652000000000001</v>
      </c>
      <c r="CS282" s="549">
        <v>26.652000000000001</v>
      </c>
      <c r="CT282" s="531">
        <v>30.649000000000001</v>
      </c>
      <c r="CU282" s="482">
        <f t="shared" si="903"/>
        <v>33.674999999999997</v>
      </c>
      <c r="CV282" s="549">
        <v>33.674999999999997</v>
      </c>
      <c r="CW282" s="531">
        <v>33.191000000000003</v>
      </c>
      <c r="CX282" s="482">
        <f t="shared" si="904"/>
        <v>24.992000000000001</v>
      </c>
      <c r="CY282" s="549">
        <v>24.992000000000001</v>
      </c>
      <c r="CZ282" s="530">
        <v>29.9</v>
      </c>
      <c r="DA282" s="482">
        <f t="shared" si="905"/>
        <v>24.5</v>
      </c>
      <c r="DB282" s="528">
        <v>24.5</v>
      </c>
      <c r="DC282" s="530">
        <v>27.5</v>
      </c>
      <c r="DD282" s="482">
        <f t="shared" si="906"/>
        <v>27.3</v>
      </c>
      <c r="DE282" s="528">
        <v>27.3</v>
      </c>
      <c r="DF282" s="531">
        <v>23.1</v>
      </c>
      <c r="DG282" s="482">
        <f t="shared" si="907"/>
        <v>130.19999999999999</v>
      </c>
      <c r="DH282" s="1372">
        <v>130.19999999999999</v>
      </c>
      <c r="DI282" s="1373">
        <v>41.5</v>
      </c>
      <c r="DJ282" s="482">
        <f t="shared" si="908"/>
        <v>19.399999999999999</v>
      </c>
      <c r="DK282" s="1374">
        <f>19.4</f>
        <v>19.399999999999999</v>
      </c>
      <c r="DL282" s="1373">
        <v>19.8</v>
      </c>
      <c r="DM282" s="482">
        <f t="shared" si="909"/>
        <v>22.7</v>
      </c>
      <c r="DN282" s="1374">
        <v>22.7</v>
      </c>
      <c r="DO282" s="1373">
        <v>24.5</v>
      </c>
      <c r="DP282" s="482">
        <f t="shared" si="910"/>
        <v>22.3</v>
      </c>
      <c r="DQ282" s="1374">
        <v>22.3</v>
      </c>
      <c r="DR282" s="1373">
        <v>27</v>
      </c>
      <c r="DS282" s="482">
        <f t="shared" si="923"/>
        <v>43.4</v>
      </c>
      <c r="DT282" s="1374">
        <v>43.4</v>
      </c>
      <c r="DU282" s="1373">
        <v>36.1</v>
      </c>
      <c r="DV282" s="482">
        <f t="shared" si="924"/>
        <v>29</v>
      </c>
      <c r="DW282" s="1374">
        <v>29</v>
      </c>
      <c r="DX282" s="1373">
        <v>23.9</v>
      </c>
      <c r="DY282" s="482">
        <f t="shared" si="925"/>
        <v>23.9</v>
      </c>
      <c r="DZ282" s="1244">
        <f>DX282</f>
        <v>23.9</v>
      </c>
      <c r="EA282" s="482">
        <f>DZ282</f>
        <v>23.9</v>
      </c>
      <c r="EB282" s="482">
        <f t="shared" si="926"/>
        <v>23.9</v>
      </c>
      <c r="EC282" s="1244">
        <f>DZ282</f>
        <v>23.9</v>
      </c>
      <c r="ED282" s="482">
        <f>EC282</f>
        <v>23.9</v>
      </c>
      <c r="EE282" s="482">
        <f t="shared" si="927"/>
        <v>23.9</v>
      </c>
      <c r="EF282" s="1244">
        <f>EC282</f>
        <v>23.9</v>
      </c>
      <c r="EG282" s="482">
        <f>EF282</f>
        <v>23.9</v>
      </c>
      <c r="EH282" s="482">
        <f t="shared" si="928"/>
        <v>23.9</v>
      </c>
      <c r="EI282" s="1244">
        <f>EF282</f>
        <v>23.9</v>
      </c>
      <c r="EJ282" s="482">
        <f>EI282</f>
        <v>23.9</v>
      </c>
      <c r="EK282" s="482">
        <f t="shared" si="929"/>
        <v>23.9</v>
      </c>
      <c r="EL282" s="1244">
        <f>EI282</f>
        <v>23.9</v>
      </c>
      <c r="EM282" s="482">
        <f>EL282</f>
        <v>23.9</v>
      </c>
      <c r="EN282" s="482">
        <f t="shared" si="930"/>
        <v>23.9</v>
      </c>
      <c r="EO282" s="1244">
        <f>EL282</f>
        <v>23.9</v>
      </c>
      <c r="EP282" s="482">
        <f>EO282</f>
        <v>23.9</v>
      </c>
      <c r="EQ282" s="482">
        <f t="shared" si="931"/>
        <v>23.9</v>
      </c>
      <c r="ER282" s="1244">
        <f>EO282</f>
        <v>23.9</v>
      </c>
      <c r="ES282" s="482">
        <f>ER282</f>
        <v>23.9</v>
      </c>
      <c r="ET282" s="482">
        <f t="shared" si="932"/>
        <v>23.9</v>
      </c>
      <c r="EU282" s="1244">
        <f>ER282</f>
        <v>23.9</v>
      </c>
      <c r="EV282" s="482">
        <f>EU282</f>
        <v>23.9</v>
      </c>
      <c r="EW282" s="482">
        <f t="shared" si="933"/>
        <v>23.9</v>
      </c>
      <c r="EX282" s="1244">
        <f>EU282</f>
        <v>23.9</v>
      </c>
      <c r="EY282" s="482">
        <f>EX282</f>
        <v>23.9</v>
      </c>
      <c r="EZ282" s="482">
        <f t="shared" si="934"/>
        <v>23.9</v>
      </c>
      <c r="FA282" s="1244">
        <f>EX282</f>
        <v>23.9</v>
      </c>
      <c r="FB282" s="1571"/>
      <c r="FE282"/>
      <c r="FF282"/>
      <c r="FG282"/>
      <c r="FH282"/>
      <c r="FI282"/>
      <c r="FJ282"/>
      <c r="FK282" s="35"/>
    </row>
    <row r="283" spans="2:167" s="236" customFormat="1" ht="13.35" customHeight="1" thickBot="1">
      <c r="B283" s="485" t="s">
        <v>87</v>
      </c>
      <c r="C283" s="242" t="s">
        <v>496</v>
      </c>
      <c r="D283" s="243"/>
      <c r="E283" s="482">
        <f>+SUM(E284:E285)</f>
        <v>0</v>
      </c>
      <c r="F283" s="482">
        <f t="shared" si="872"/>
        <v>0</v>
      </c>
      <c r="G283" s="482">
        <f>+SUM(G284:G285)</f>
        <v>0</v>
      </c>
      <c r="H283" s="482">
        <f>+SUM(H284:H285)</f>
        <v>0</v>
      </c>
      <c r="I283" s="482">
        <f t="shared" si="873"/>
        <v>0</v>
      </c>
      <c r="J283" s="482">
        <f>+SUM(J284:J285)</f>
        <v>0</v>
      </c>
      <c r="K283" s="482">
        <f>+SUM(K284:K285)</f>
        <v>0</v>
      </c>
      <c r="L283" s="482">
        <f t="shared" si="874"/>
        <v>0</v>
      </c>
      <c r="M283" s="482">
        <f>+SUM(M284:M285)</f>
        <v>0</v>
      </c>
      <c r="N283" s="482">
        <f>+SUM(N284:N285)</f>
        <v>0</v>
      </c>
      <c r="O283" s="482">
        <f t="shared" si="875"/>
        <v>0</v>
      </c>
      <c r="P283" s="482">
        <f>+SUM(P284:P285)</f>
        <v>0</v>
      </c>
      <c r="Q283" s="482">
        <f>+SUM(Q284:Q285)</f>
        <v>0</v>
      </c>
      <c r="R283" s="482">
        <f t="shared" si="876"/>
        <v>0</v>
      </c>
      <c r="S283" s="603">
        <f>+SUM(S284:S285)</f>
        <v>0</v>
      </c>
      <c r="T283" s="482">
        <f>+SUM(T284:T285)</f>
        <v>0</v>
      </c>
      <c r="U283" s="482">
        <f t="shared" si="877"/>
        <v>0</v>
      </c>
      <c r="V283" s="482">
        <f>+SUM(V284:V285)</f>
        <v>0</v>
      </c>
      <c r="W283" s="482">
        <f>+SUM(W284:W285)</f>
        <v>0</v>
      </c>
      <c r="X283" s="482">
        <f t="shared" si="878"/>
        <v>0</v>
      </c>
      <c r="Y283" s="482">
        <f>+SUM(Y284:Y285)</f>
        <v>0</v>
      </c>
      <c r="Z283" s="482">
        <f>+SUM(Z284:Z285)</f>
        <v>0</v>
      </c>
      <c r="AA283" s="482">
        <f t="shared" si="879"/>
        <v>0</v>
      </c>
      <c r="AB283" s="482">
        <f>+SUM(AB284:AB285)</f>
        <v>0</v>
      </c>
      <c r="AC283" s="482">
        <f>+SUM(AC284:AC285)</f>
        <v>0</v>
      </c>
      <c r="AD283" s="482">
        <f t="shared" si="880"/>
        <v>0</v>
      </c>
      <c r="AE283" s="482">
        <f>+SUM(AE284:AE285)</f>
        <v>0</v>
      </c>
      <c r="AF283" s="482">
        <f>+SUM(AF284:AF285)</f>
        <v>0</v>
      </c>
      <c r="AG283" s="482">
        <f t="shared" si="881"/>
        <v>0</v>
      </c>
      <c r="AH283" s="482">
        <f>+SUM(AH284:AH285)</f>
        <v>0</v>
      </c>
      <c r="AI283" s="482">
        <f>+SUM(AI284:AI285)</f>
        <v>0</v>
      </c>
      <c r="AJ283" s="482">
        <f t="shared" si="882"/>
        <v>0</v>
      </c>
      <c r="AK283" s="482">
        <f>+SUM(AK284:AK285)</f>
        <v>0</v>
      </c>
      <c r="AL283" s="482">
        <f>+SUM(AL284:AL285)</f>
        <v>0</v>
      </c>
      <c r="AM283" s="482">
        <f t="shared" si="883"/>
        <v>0</v>
      </c>
      <c r="AN283" s="482">
        <f>+SUM(AN284:AN285)</f>
        <v>0</v>
      </c>
      <c r="AO283" s="482">
        <f>+SUM(AO284:AO285)</f>
        <v>0</v>
      </c>
      <c r="AP283" s="482">
        <f t="shared" si="884"/>
        <v>0</v>
      </c>
      <c r="AQ283" s="482">
        <f>+SUM(AQ284:AQ285)</f>
        <v>0</v>
      </c>
      <c r="AR283" s="482">
        <f>+SUM(AR284:AR285)</f>
        <v>0</v>
      </c>
      <c r="AS283" s="482">
        <f t="shared" si="885"/>
        <v>0</v>
      </c>
      <c r="AT283" s="482">
        <f>+SUM(AT284:AT285)</f>
        <v>0</v>
      </c>
      <c r="AU283" s="482">
        <f>+SUM(AU284:AU285)</f>
        <v>0</v>
      </c>
      <c r="AV283" s="482">
        <f t="shared" si="886"/>
        <v>0</v>
      </c>
      <c r="AW283" s="482">
        <f>+SUM(AW284:AW285)</f>
        <v>0</v>
      </c>
      <c r="AX283" s="482">
        <f>+SUM(AX284:AX285)</f>
        <v>0</v>
      </c>
      <c r="AY283" s="482">
        <f t="shared" si="887"/>
        <v>0</v>
      </c>
      <c r="AZ283" s="482">
        <f>+SUM(AZ284:AZ285)</f>
        <v>0</v>
      </c>
      <c r="BA283" s="482">
        <f>+SUM(BA284:BA285)</f>
        <v>0</v>
      </c>
      <c r="BB283" s="482">
        <f t="shared" si="888"/>
        <v>0</v>
      </c>
      <c r="BC283" s="482">
        <f>+SUM(BC284:BC285)</f>
        <v>0</v>
      </c>
      <c r="BD283" s="482">
        <f>+SUM(BD284:BD285)</f>
        <v>45.873999999999995</v>
      </c>
      <c r="BE283" s="482">
        <f t="shared" si="889"/>
        <v>45.873999999999995</v>
      </c>
      <c r="BF283" s="482">
        <f>+SUM(BF284:BF285)</f>
        <v>45.873999999999995</v>
      </c>
      <c r="BG283" s="482">
        <f>+SUM(BG284:BG285)</f>
        <v>51.559999999999995</v>
      </c>
      <c r="BH283" s="482">
        <f t="shared" si="890"/>
        <v>25.55</v>
      </c>
      <c r="BI283" s="482">
        <f>+SUM(BI284:BI285)</f>
        <v>25.55</v>
      </c>
      <c r="BJ283" s="482">
        <f>+SUM(BJ284:BJ285)</f>
        <v>34.149000000000001</v>
      </c>
      <c r="BK283" s="482">
        <f t="shared" si="891"/>
        <v>21.638999999999999</v>
      </c>
      <c r="BL283" s="482">
        <f>+SUM(BL284:BL285)</f>
        <v>21.638999999999999</v>
      </c>
      <c r="BM283" s="482">
        <f>+SUM(BM284:BM285)</f>
        <v>28.55</v>
      </c>
      <c r="BN283" s="482">
        <f t="shared" si="892"/>
        <v>45.396000000000001</v>
      </c>
      <c r="BO283" s="482">
        <f>+SUM(BO284:BO285)</f>
        <v>45.396000000000001</v>
      </c>
      <c r="BP283" s="482">
        <f>+SUM(BP284:BP285)</f>
        <v>30.042999999999999</v>
      </c>
      <c r="BQ283" s="482">
        <f t="shared" si="893"/>
        <v>23.524999999999999</v>
      </c>
      <c r="BR283" s="482">
        <f>+SUM(BR284:BR285)</f>
        <v>23.524999999999999</v>
      </c>
      <c r="BS283" s="482">
        <f>+SUM(BS284:BS285)</f>
        <v>19.303999999999998</v>
      </c>
      <c r="BT283" s="482">
        <f t="shared" si="894"/>
        <v>48.290999999999997</v>
      </c>
      <c r="BU283" s="482">
        <f>+SUM(BU284:BU285)</f>
        <v>48.290999999999997</v>
      </c>
      <c r="BV283" s="482">
        <f>+SUM(BV284:BV285)</f>
        <v>42.194000000000003</v>
      </c>
      <c r="BW283" s="482">
        <f t="shared" si="895"/>
        <v>45.873999999999995</v>
      </c>
      <c r="BX283" s="482">
        <f>+SUM(BX284:BX285)</f>
        <v>45.873999999999995</v>
      </c>
      <c r="BY283" s="482">
        <f>+SUM(BY284:BY285)</f>
        <v>48.866</v>
      </c>
      <c r="BZ283" s="482">
        <f t="shared" si="896"/>
        <v>46.900000000000006</v>
      </c>
      <c r="CA283" s="482">
        <f>+SUM(CA284:CA285)</f>
        <v>46.900000000000006</v>
      </c>
      <c r="CB283" s="482">
        <f>+SUM(CB284:CB285)</f>
        <v>51.917000000000002</v>
      </c>
      <c r="CC283" s="482">
        <f t="shared" si="897"/>
        <v>55.944000000000003</v>
      </c>
      <c r="CD283" s="482">
        <f>+SUM(CD284:CD285)</f>
        <v>55.944000000000003</v>
      </c>
      <c r="CE283" s="482">
        <f>+SUM(CE284:CE285)</f>
        <v>55.661000000000001</v>
      </c>
      <c r="CF283" s="482">
        <f t="shared" si="898"/>
        <v>61.125</v>
      </c>
      <c r="CG283" s="482">
        <f>+SUM(CG284:CG285)</f>
        <v>61.125</v>
      </c>
      <c r="CH283" s="482">
        <f>+SUM(CH284:CH285)</f>
        <v>94.088999999999999</v>
      </c>
      <c r="CI283" s="482">
        <f t="shared" si="899"/>
        <v>96.454999999999998</v>
      </c>
      <c r="CJ283" s="482">
        <f>+SUM(CJ284:CJ285)</f>
        <v>96.454999999999998</v>
      </c>
      <c r="CK283" s="482">
        <f>+SUM(CK284:CK285)</f>
        <v>84.915999999999997</v>
      </c>
      <c r="CL283" s="482">
        <f t="shared" si="900"/>
        <v>85.72999999999999</v>
      </c>
      <c r="CM283" s="482">
        <f>+SUM(CM284:CM285)</f>
        <v>85.72999999999999</v>
      </c>
      <c r="CN283" s="482">
        <f>+SUM(CN284:CN285)</f>
        <v>84.272000000000006</v>
      </c>
      <c r="CO283" s="482">
        <f t="shared" si="901"/>
        <v>79.350999999999999</v>
      </c>
      <c r="CP283" s="482">
        <f>+SUM(CP284:CP285)</f>
        <v>79.350999999999999</v>
      </c>
      <c r="CQ283" s="482">
        <f>+SUM(CQ284:CQ285)</f>
        <v>104.851</v>
      </c>
      <c r="CR283" s="482">
        <f t="shared" si="902"/>
        <v>44.747</v>
      </c>
      <c r="CS283" s="482">
        <f>+SUM(CS284:CS285)</f>
        <v>44.747</v>
      </c>
      <c r="CT283" s="482">
        <f>+SUM(CT284:CT285)</f>
        <v>41.953000000000003</v>
      </c>
      <c r="CU283" s="482">
        <f t="shared" si="903"/>
        <v>43.906999999999996</v>
      </c>
      <c r="CV283" s="482">
        <f>+SUM(CV284:CV285)</f>
        <v>43.906999999999996</v>
      </c>
      <c r="CW283" s="482">
        <f>+SUM(CW284:CW285)</f>
        <v>36.129999999999995</v>
      </c>
      <c r="CX283" s="482">
        <f t="shared" si="904"/>
        <v>27.286999999999999</v>
      </c>
      <c r="CY283" s="482">
        <f>+SUM(CY284:CY285)</f>
        <v>27.286999999999999</v>
      </c>
      <c r="CZ283" s="482">
        <f>+SUM(CZ284:CZ285)</f>
        <v>30.5</v>
      </c>
      <c r="DA283" s="482">
        <f t="shared" si="905"/>
        <v>39.6</v>
      </c>
      <c r="DB283" s="482">
        <f>+SUM(DB284:DB285)</f>
        <v>39.6</v>
      </c>
      <c r="DC283" s="482">
        <f>+SUM(DC284:DC285)</f>
        <v>65.800000000000011</v>
      </c>
      <c r="DD283" s="482">
        <f t="shared" si="906"/>
        <v>63.8</v>
      </c>
      <c r="DE283" s="482">
        <f>+SUM(DE284:DE285)</f>
        <v>63.8</v>
      </c>
      <c r="DF283" s="482">
        <f>+SUM(DF284:DF285)</f>
        <v>50.5</v>
      </c>
      <c r="DG283" s="482">
        <f t="shared" si="907"/>
        <v>47.3</v>
      </c>
      <c r="DH283" s="1244">
        <f>+SUM(DH284:DH285)</f>
        <v>47.3</v>
      </c>
      <c r="DI283" s="482">
        <f>+SUM(DI284:DI285)</f>
        <v>46.900000000000006</v>
      </c>
      <c r="DJ283" s="482">
        <f t="shared" si="908"/>
        <v>47.5</v>
      </c>
      <c r="DK283" s="1244">
        <f>+SUM(DK284:DK285)</f>
        <v>47.5</v>
      </c>
      <c r="DL283" s="482">
        <f>+SUM(DL284:DL285)</f>
        <v>58.9</v>
      </c>
      <c r="DM283" s="482">
        <f t="shared" si="909"/>
        <v>77</v>
      </c>
      <c r="DN283" s="1244">
        <f>+SUM(DN284:DN285)</f>
        <v>77</v>
      </c>
      <c r="DO283" s="482">
        <f>+SUM(DO284:DO285)</f>
        <v>92.7</v>
      </c>
      <c r="DP283" s="482">
        <f t="shared" si="910"/>
        <v>82.2</v>
      </c>
      <c r="DQ283" s="1244">
        <f>+SUM(DQ284:DQ285)</f>
        <v>82.2</v>
      </c>
      <c r="DR283" s="482">
        <f>+SUM(DR284:DR285)</f>
        <v>75.7</v>
      </c>
      <c r="DS283" s="482">
        <f t="shared" si="923"/>
        <v>75.2</v>
      </c>
      <c r="DT283" s="1244">
        <f>+SUM(DT284:DT285)</f>
        <v>75.2</v>
      </c>
      <c r="DU283" s="482">
        <f>+SUM(DU284:DU285)</f>
        <v>102.5</v>
      </c>
      <c r="DV283" s="482">
        <f t="shared" si="924"/>
        <v>92.9</v>
      </c>
      <c r="DW283" s="1244">
        <f>+SUM(DW284:DW285)</f>
        <v>92.9</v>
      </c>
      <c r="DX283" s="482">
        <f>+SUM(DX284:DX285)</f>
        <v>64.400000000000006</v>
      </c>
      <c r="DY283" s="482">
        <f t="shared" si="925"/>
        <v>64.400000000000006</v>
      </c>
      <c r="DZ283" s="1244">
        <f>+SUM(DZ284:DZ285)</f>
        <v>64.400000000000006</v>
      </c>
      <c r="EA283" s="482">
        <f>+SUM(EA284:EA285)</f>
        <v>64.400000000000006</v>
      </c>
      <c r="EB283" s="482">
        <f t="shared" si="926"/>
        <v>64.400000000000006</v>
      </c>
      <c r="EC283" s="1244">
        <f>+SUM(EC284:EC285)</f>
        <v>64.400000000000006</v>
      </c>
      <c r="ED283" s="482">
        <f>+SUM(ED284:ED285)</f>
        <v>64.400000000000006</v>
      </c>
      <c r="EE283" s="482">
        <f t="shared" si="927"/>
        <v>64.400000000000006</v>
      </c>
      <c r="EF283" s="1244">
        <f>+SUM(EF284:EF285)</f>
        <v>64.400000000000006</v>
      </c>
      <c r="EG283" s="482">
        <f>+SUM(EG284:EG285)</f>
        <v>64.400000000000006</v>
      </c>
      <c r="EH283" s="482">
        <f t="shared" si="928"/>
        <v>64.400000000000006</v>
      </c>
      <c r="EI283" s="1244">
        <f>+SUM(EI284:EI285)</f>
        <v>64.400000000000006</v>
      </c>
      <c r="EJ283" s="482">
        <f>+SUM(EJ284:EJ285)</f>
        <v>64.400000000000006</v>
      </c>
      <c r="EK283" s="482">
        <f t="shared" si="929"/>
        <v>64.400000000000006</v>
      </c>
      <c r="EL283" s="1244">
        <f>+SUM(EL284:EL285)</f>
        <v>64.400000000000006</v>
      </c>
      <c r="EM283" s="482">
        <f>+SUM(EM284:EM285)</f>
        <v>64.400000000000006</v>
      </c>
      <c r="EN283" s="482">
        <f t="shared" si="930"/>
        <v>64.400000000000006</v>
      </c>
      <c r="EO283" s="1244">
        <f>+SUM(EO284:EO285)</f>
        <v>64.400000000000006</v>
      </c>
      <c r="EP283" s="482">
        <f>+SUM(EP284:EP285)</f>
        <v>64.400000000000006</v>
      </c>
      <c r="EQ283" s="482">
        <f t="shared" si="931"/>
        <v>64.400000000000006</v>
      </c>
      <c r="ER283" s="1244">
        <f>+SUM(ER284:ER285)</f>
        <v>64.400000000000006</v>
      </c>
      <c r="ES283" s="482">
        <f>+SUM(ES284:ES285)</f>
        <v>64.400000000000006</v>
      </c>
      <c r="ET283" s="482">
        <f t="shared" si="932"/>
        <v>64.400000000000006</v>
      </c>
      <c r="EU283" s="1244">
        <f>+SUM(EU284:EU285)</f>
        <v>64.400000000000006</v>
      </c>
      <c r="EV283" s="482">
        <f>+SUM(EV284:EV285)</f>
        <v>64.400000000000006</v>
      </c>
      <c r="EW283" s="482">
        <f t="shared" si="933"/>
        <v>64.400000000000006</v>
      </c>
      <c r="EX283" s="1244">
        <f>+SUM(EX284:EX285)</f>
        <v>64.400000000000006</v>
      </c>
      <c r="EY283" s="482">
        <f>+SUM(EY284:EY285)</f>
        <v>64.400000000000006</v>
      </c>
      <c r="EZ283" s="482">
        <f t="shared" si="934"/>
        <v>64.400000000000006</v>
      </c>
      <c r="FA283" s="1244">
        <f>+SUM(FA284:FA285)</f>
        <v>64.400000000000006</v>
      </c>
      <c r="FB283" s="1571"/>
      <c r="FE283"/>
      <c r="FF283"/>
      <c r="FG283"/>
      <c r="FH283"/>
      <c r="FI283"/>
      <c r="FJ283"/>
      <c r="FK283" s="35"/>
    </row>
    <row r="284" spans="2:167" s="236" customFormat="1" ht="13.35" customHeight="1" outlineLevel="1">
      <c r="B284" s="242" t="s">
        <v>88</v>
      </c>
      <c r="C284" s="242" t="s">
        <v>496</v>
      </c>
      <c r="D284" s="243"/>
      <c r="E284" s="511"/>
      <c r="F284" s="510">
        <f t="shared" si="872"/>
        <v>0</v>
      </c>
      <c r="G284" s="512"/>
      <c r="H284" s="513"/>
      <c r="I284" s="510">
        <f t="shared" si="873"/>
        <v>0</v>
      </c>
      <c r="J284" s="512"/>
      <c r="K284" s="513"/>
      <c r="L284" s="510">
        <f t="shared" si="874"/>
        <v>0</v>
      </c>
      <c r="M284" s="512"/>
      <c r="N284" s="513"/>
      <c r="O284" s="510">
        <f t="shared" si="875"/>
        <v>0</v>
      </c>
      <c r="P284" s="512"/>
      <c r="Q284" s="513"/>
      <c r="R284" s="510">
        <f t="shared" si="876"/>
        <v>0</v>
      </c>
      <c r="S284" s="604"/>
      <c r="T284" s="513"/>
      <c r="U284" s="510">
        <f t="shared" si="877"/>
        <v>0</v>
      </c>
      <c r="V284" s="512"/>
      <c r="W284" s="513"/>
      <c r="X284" s="510">
        <f t="shared" si="878"/>
        <v>0</v>
      </c>
      <c r="Y284" s="512"/>
      <c r="Z284" s="513"/>
      <c r="AA284" s="510">
        <f t="shared" si="879"/>
        <v>0</v>
      </c>
      <c r="AB284" s="512"/>
      <c r="AC284" s="513"/>
      <c r="AD284" s="510">
        <f t="shared" si="880"/>
        <v>0</v>
      </c>
      <c r="AE284" s="512"/>
      <c r="AF284" s="513"/>
      <c r="AG284" s="510">
        <f t="shared" si="881"/>
        <v>0</v>
      </c>
      <c r="AH284" s="512"/>
      <c r="AI284" s="513"/>
      <c r="AJ284" s="510">
        <f t="shared" si="882"/>
        <v>0</v>
      </c>
      <c r="AK284" s="512"/>
      <c r="AL284" s="513"/>
      <c r="AM284" s="510">
        <f t="shared" si="883"/>
        <v>0</v>
      </c>
      <c r="AN284" s="512"/>
      <c r="AO284" s="513"/>
      <c r="AP284" s="510">
        <f t="shared" si="884"/>
        <v>0</v>
      </c>
      <c r="AQ284" s="512"/>
      <c r="AR284" s="513"/>
      <c r="AS284" s="510">
        <f t="shared" si="885"/>
        <v>0</v>
      </c>
      <c r="AT284" s="512"/>
      <c r="AU284" s="513"/>
      <c r="AV284" s="510">
        <f t="shared" si="886"/>
        <v>0</v>
      </c>
      <c r="AW284" s="512"/>
      <c r="AX284" s="514">
        <v>0</v>
      </c>
      <c r="AY284" s="510">
        <f t="shared" si="887"/>
        <v>0</v>
      </c>
      <c r="AZ284" s="515">
        <v>0</v>
      </c>
      <c r="BA284" s="514">
        <v>0</v>
      </c>
      <c r="BB284" s="510">
        <f t="shared" si="888"/>
        <v>0</v>
      </c>
      <c r="BC284" s="515">
        <v>0</v>
      </c>
      <c r="BD284" s="513">
        <f>IF(Assumptions!BD216&lt;&gt;"",Assumptions!BD216,0)</f>
        <v>0</v>
      </c>
      <c r="BE284" s="510">
        <f t="shared" si="889"/>
        <v>0</v>
      </c>
      <c r="BF284" s="512">
        <f>IF(Assumptions!BF216&lt;&gt;"",Assumptions!BF216,0)</f>
        <v>0</v>
      </c>
      <c r="BG284" s="513">
        <f>3.552+2.134</f>
        <v>5.6859999999999999</v>
      </c>
      <c r="BH284" s="510">
        <f t="shared" si="890"/>
        <v>0</v>
      </c>
      <c r="BI284" s="512">
        <f>IF(Assumptions!BI216&lt;&gt;"",Assumptions!BI216,0)</f>
        <v>0</v>
      </c>
      <c r="BJ284" s="514">
        <v>3.6890000000000001</v>
      </c>
      <c r="BK284" s="510">
        <f t="shared" si="891"/>
        <v>0</v>
      </c>
      <c r="BL284" s="512">
        <f>IF(Assumptions!BL216&lt;&gt;"",Assumptions!BL216,0)</f>
        <v>0</v>
      </c>
      <c r="BM284" s="514">
        <v>19.387</v>
      </c>
      <c r="BN284" s="510">
        <f t="shared" si="892"/>
        <v>0</v>
      </c>
      <c r="BO284" s="511">
        <f>IF(Assumptions!BO216&lt;&gt;"",Assumptions!BO216,0)</f>
        <v>0</v>
      </c>
      <c r="BP284" s="513">
        <f>IF(Assumptions!BP216&lt;&gt;"",Assumptions!BP216,0)</f>
        <v>0</v>
      </c>
      <c r="BQ284" s="510">
        <f t="shared" si="893"/>
        <v>0</v>
      </c>
      <c r="BR284" s="511">
        <f>IF(Assumptions!BR216&lt;&gt;"",Assumptions!BR216,0)</f>
        <v>0</v>
      </c>
      <c r="BS284" s="513">
        <f>IF(Assumptions!BS216&lt;&gt;"",Assumptions!BS216,0)</f>
        <v>0</v>
      </c>
      <c r="BT284" s="510">
        <f t="shared" si="894"/>
        <v>0</v>
      </c>
      <c r="BU284" s="511">
        <f>IF(Assumptions!BU216&lt;&gt;"",Assumptions!BU216,0)</f>
        <v>0</v>
      </c>
      <c r="BV284" s="513">
        <f>IF(Assumptions!BV216&lt;&gt;"",Assumptions!BV216,0)</f>
        <v>0</v>
      </c>
      <c r="BW284" s="510">
        <f t="shared" si="895"/>
        <v>0</v>
      </c>
      <c r="BX284" s="511">
        <f>IF(Assumptions!BX216&lt;&gt;"",Assumptions!BX216,0)</f>
        <v>0</v>
      </c>
      <c r="BY284" s="513">
        <f>IF(Assumptions!BY216&lt;&gt;"",Assumptions!BY216,0)</f>
        <v>0</v>
      </c>
      <c r="BZ284" s="510">
        <f t="shared" si="896"/>
        <v>0</v>
      </c>
      <c r="CA284" s="511">
        <f>IF(Assumptions!CA216&lt;&gt;"",Assumptions!CA216,0)</f>
        <v>0</v>
      </c>
      <c r="CB284" s="513">
        <f>IF(Assumptions!CB216&lt;&gt;"",Assumptions!CB216,0)</f>
        <v>0</v>
      </c>
      <c r="CC284" s="510">
        <f t="shared" si="897"/>
        <v>19.047999999999998</v>
      </c>
      <c r="CD284" s="548">
        <v>19.047999999999998</v>
      </c>
      <c r="CE284" s="514">
        <v>19.576000000000001</v>
      </c>
      <c r="CF284" s="510">
        <f t="shared" si="898"/>
        <v>18.731999999999999</v>
      </c>
      <c r="CG284" s="548">
        <v>18.731999999999999</v>
      </c>
      <c r="CH284" s="513">
        <f>IF(Assumptions!CH216&lt;&gt;"",Assumptions!CH216,0)</f>
        <v>0</v>
      </c>
      <c r="CI284" s="510">
        <f t="shared" si="899"/>
        <v>0</v>
      </c>
      <c r="CJ284" s="511">
        <f>IF(Assumptions!CJ216&lt;&gt;"",Assumptions!CJ216,0)</f>
        <v>0</v>
      </c>
      <c r="CK284" s="513">
        <f>IF(Assumptions!CK216&lt;&gt;"",Assumptions!CK216,0)</f>
        <v>0</v>
      </c>
      <c r="CL284" s="510">
        <f t="shared" si="900"/>
        <v>22.506</v>
      </c>
      <c r="CM284" s="548">
        <v>22.506</v>
      </c>
      <c r="CN284" s="513">
        <f>IF(Assumptions!CN216&lt;&gt;"",Assumptions!CN216,0)</f>
        <v>0</v>
      </c>
      <c r="CO284" s="510">
        <f t="shared" si="901"/>
        <v>0</v>
      </c>
      <c r="CP284" s="511">
        <f>IF(Assumptions!CP216&lt;&gt;"",Assumptions!CP216,0)</f>
        <v>0</v>
      </c>
      <c r="CQ284" s="513">
        <f>IF(Assumptions!CQ216&lt;&gt;"",Assumptions!CQ216,0)</f>
        <v>0</v>
      </c>
      <c r="CR284" s="510">
        <f t="shared" si="902"/>
        <v>0</v>
      </c>
      <c r="CS284" s="511">
        <f>IF(Assumptions!CS216&lt;&gt;"",Assumptions!CS216,0)</f>
        <v>0</v>
      </c>
      <c r="CT284" s="513">
        <f>IF(Assumptions!CT216&lt;&gt;"",Assumptions!CT216,0)</f>
        <v>0</v>
      </c>
      <c r="CU284" s="510">
        <f t="shared" si="903"/>
        <v>0</v>
      </c>
      <c r="CV284" s="511">
        <f>IF(Assumptions!CV216&lt;&gt;"",Assumptions!CV216,0)</f>
        <v>0</v>
      </c>
      <c r="CW284" s="513">
        <f>IF(Assumptions!CW216&lt;&gt;"",Assumptions!CW216,0)</f>
        <v>0</v>
      </c>
      <c r="CX284" s="510">
        <f t="shared" si="904"/>
        <v>0</v>
      </c>
      <c r="CY284" s="511">
        <f>IF(Assumptions!CY216&lt;&gt;"",Assumptions!CY216,0)</f>
        <v>0</v>
      </c>
      <c r="CZ284" s="513">
        <f>IF(Assumptions!CZ216&lt;&gt;"",Assumptions!CZ216,0)</f>
        <v>0</v>
      </c>
      <c r="DA284" s="510">
        <f t="shared" si="905"/>
        <v>0</v>
      </c>
      <c r="DB284" s="511">
        <f>IF(Assumptions!DB216&lt;&gt;"",Assumptions!DB216,0)</f>
        <v>0</v>
      </c>
      <c r="DC284" s="513">
        <f>IF(Assumptions!DC216&lt;&gt;"",Assumptions!DC216,0)</f>
        <v>0</v>
      </c>
      <c r="DD284" s="510">
        <f t="shared" si="906"/>
        <v>0</v>
      </c>
      <c r="DE284" s="511">
        <f>IF(Assumptions!DE216&lt;&gt;"",Assumptions!DE216,0)</f>
        <v>0</v>
      </c>
      <c r="DF284" s="513">
        <f>IF(Assumptions!DF216&lt;&gt;"",Assumptions!DF216,0)</f>
        <v>0</v>
      </c>
      <c r="DG284" s="510">
        <f t="shared" si="907"/>
        <v>0</v>
      </c>
      <c r="DH284" s="1257">
        <f>IF(Assumptions!DH216&lt;&gt;"",Assumptions!DH216,0)</f>
        <v>0</v>
      </c>
      <c r="DI284" s="482">
        <f>IF(Assumptions!DI216&lt;&gt;"",Assumptions!DI216,0)</f>
        <v>0</v>
      </c>
      <c r="DJ284" s="482">
        <f t="shared" si="908"/>
        <v>0</v>
      </c>
      <c r="DK284" s="1244">
        <f>IF(Assumptions!DK216&lt;&gt;"",Assumptions!DK216,0)</f>
        <v>0</v>
      </c>
      <c r="DL284" s="482">
        <f>IF(Assumptions!DL216&lt;&gt;"",Assumptions!DL216,0)</f>
        <v>0</v>
      </c>
      <c r="DM284" s="482">
        <f t="shared" si="909"/>
        <v>0</v>
      </c>
      <c r="DN284" s="1244">
        <f>IF(Assumptions!DN216&lt;&gt;"",Assumptions!DN216,0)</f>
        <v>0</v>
      </c>
      <c r="DO284" s="482">
        <f>IF(Assumptions!DO216&lt;&gt;"",Assumptions!DO216,0)</f>
        <v>0</v>
      </c>
      <c r="DP284" s="482">
        <f t="shared" si="910"/>
        <v>0</v>
      </c>
      <c r="DQ284" s="1244">
        <f>IF(Assumptions!DQ216&lt;&gt;"",Assumptions!DQ216,0)</f>
        <v>0</v>
      </c>
      <c r="DR284" s="482">
        <f>IF(Assumptions!DR216&lt;&gt;"",Assumptions!DR216,0)</f>
        <v>0</v>
      </c>
      <c r="DS284" s="482">
        <f t="shared" si="923"/>
        <v>0</v>
      </c>
      <c r="DT284" s="1244">
        <f>IF(Assumptions!DT216&lt;&gt;"",Assumptions!DT216,0)</f>
        <v>0</v>
      </c>
      <c r="DU284" s="482">
        <f>IF(Assumptions!DU216&lt;&gt;"",Assumptions!DU216,0)</f>
        <v>0</v>
      </c>
      <c r="DV284" s="482">
        <f t="shared" si="924"/>
        <v>0</v>
      </c>
      <c r="DW284" s="1244">
        <f>IF(Assumptions!DW216&lt;&gt;"",Assumptions!DW216,0)</f>
        <v>0</v>
      </c>
      <c r="DX284" s="482">
        <f>IF(Assumptions!DX216&lt;&gt;"",Assumptions!DX216,0)</f>
        <v>0</v>
      </c>
      <c r="DY284" s="482">
        <f t="shared" si="925"/>
        <v>0</v>
      </c>
      <c r="DZ284" s="1244">
        <f>IF(Assumptions!DZ216&lt;&gt;"",Assumptions!DZ216,0)</f>
        <v>0</v>
      </c>
      <c r="EA284" s="482">
        <f>IF(Assumptions!EA216&lt;&gt;"",Assumptions!EA216,0)</f>
        <v>0</v>
      </c>
      <c r="EB284" s="482">
        <f t="shared" si="926"/>
        <v>0</v>
      </c>
      <c r="EC284" s="1244">
        <f>IF(Assumptions!EC216&lt;&gt;"",Assumptions!EC216,0)</f>
        <v>0</v>
      </c>
      <c r="ED284" s="482">
        <f>IF(Assumptions!ED216&lt;&gt;"",Assumptions!ED216,0)</f>
        <v>0</v>
      </c>
      <c r="EE284" s="482">
        <f t="shared" si="927"/>
        <v>0</v>
      </c>
      <c r="EF284" s="1244">
        <f>IF(Assumptions!EF216&lt;&gt;"",Assumptions!EF216,0)</f>
        <v>0</v>
      </c>
      <c r="EG284" s="482">
        <f>IF(Assumptions!EG216&lt;&gt;"",Assumptions!EG216,0)</f>
        <v>0</v>
      </c>
      <c r="EH284" s="482">
        <f t="shared" si="928"/>
        <v>0</v>
      </c>
      <c r="EI284" s="1244">
        <f>IF(Assumptions!EI216&lt;&gt;"",Assumptions!EI216,0)</f>
        <v>0</v>
      </c>
      <c r="EJ284" s="482">
        <f>IF(Assumptions!EJ216&lt;&gt;"",Assumptions!EJ216,0)</f>
        <v>0</v>
      </c>
      <c r="EK284" s="482">
        <f t="shared" si="929"/>
        <v>0</v>
      </c>
      <c r="EL284" s="1244">
        <f>IF(Assumptions!EL216&lt;&gt;"",Assumptions!EL216,0)</f>
        <v>0</v>
      </c>
      <c r="EM284" s="482">
        <f>IF(Assumptions!EM216&lt;&gt;"",Assumptions!EM216,0)</f>
        <v>0</v>
      </c>
      <c r="EN284" s="482">
        <f t="shared" si="930"/>
        <v>0</v>
      </c>
      <c r="EO284" s="1244">
        <f>IF(Assumptions!EO216&lt;&gt;"",Assumptions!EO216,0)</f>
        <v>0</v>
      </c>
      <c r="EP284" s="482">
        <f>IF(Assumptions!EP216&lt;&gt;"",Assumptions!EP216,0)</f>
        <v>0</v>
      </c>
      <c r="EQ284" s="482">
        <f t="shared" si="931"/>
        <v>0</v>
      </c>
      <c r="ER284" s="1244">
        <f>IF(Assumptions!ER216&lt;&gt;"",Assumptions!ER216,0)</f>
        <v>0</v>
      </c>
      <c r="ES284" s="482">
        <f>IF(Assumptions!ES216&lt;&gt;"",Assumptions!ES216,0)</f>
        <v>0</v>
      </c>
      <c r="ET284" s="482">
        <f t="shared" si="932"/>
        <v>0</v>
      </c>
      <c r="EU284" s="1244">
        <f>IF(Assumptions!EU216&lt;&gt;"",Assumptions!EU216,0)</f>
        <v>0</v>
      </c>
      <c r="EV284" s="482">
        <f>IF(Assumptions!EV216&lt;&gt;"",Assumptions!EV216,0)</f>
        <v>0</v>
      </c>
      <c r="EW284" s="482">
        <f t="shared" si="933"/>
        <v>0</v>
      </c>
      <c r="EX284" s="1244">
        <f>IF(Assumptions!EX216&lt;&gt;"",Assumptions!EX216,0)</f>
        <v>0</v>
      </c>
      <c r="EY284" s="482">
        <f>IF(Assumptions!EY216&lt;&gt;"",Assumptions!EY216,0)</f>
        <v>0</v>
      </c>
      <c r="EZ284" s="482">
        <f t="shared" si="934"/>
        <v>0</v>
      </c>
      <c r="FA284" s="1244">
        <f>IF(Assumptions!FA216&lt;&gt;"",Assumptions!FA216,0)</f>
        <v>0</v>
      </c>
      <c r="FB284" s="1571"/>
      <c r="FE284"/>
      <c r="FF284"/>
      <c r="FG284"/>
      <c r="FH284"/>
      <c r="FI284"/>
      <c r="FJ284"/>
      <c r="FK284" s="35"/>
    </row>
    <row r="285" spans="2:167" s="236" customFormat="1" ht="13.35" customHeight="1" outlineLevel="1" thickBot="1">
      <c r="B285" s="242" t="s">
        <v>711</v>
      </c>
      <c r="C285" s="242" t="s">
        <v>496</v>
      </c>
      <c r="D285" s="243"/>
      <c r="E285" s="528"/>
      <c r="F285" s="482">
        <f t="shared" si="872"/>
        <v>0</v>
      </c>
      <c r="G285" s="529"/>
      <c r="H285" s="530"/>
      <c r="I285" s="482">
        <f t="shared" si="873"/>
        <v>0</v>
      </c>
      <c r="J285" s="529"/>
      <c r="K285" s="530"/>
      <c r="L285" s="482">
        <f t="shared" si="874"/>
        <v>0</v>
      </c>
      <c r="M285" s="529"/>
      <c r="N285" s="530"/>
      <c r="O285" s="482">
        <f t="shared" si="875"/>
        <v>0</v>
      </c>
      <c r="P285" s="529"/>
      <c r="Q285" s="530"/>
      <c r="R285" s="482">
        <f t="shared" si="876"/>
        <v>0</v>
      </c>
      <c r="S285" s="605"/>
      <c r="T285" s="530"/>
      <c r="U285" s="482">
        <f t="shared" si="877"/>
        <v>0</v>
      </c>
      <c r="V285" s="529"/>
      <c r="W285" s="530"/>
      <c r="X285" s="482">
        <f t="shared" si="878"/>
        <v>0</v>
      </c>
      <c r="Y285" s="529"/>
      <c r="Z285" s="530"/>
      <c r="AA285" s="482">
        <f t="shared" si="879"/>
        <v>0</v>
      </c>
      <c r="AB285" s="529"/>
      <c r="AC285" s="530"/>
      <c r="AD285" s="482">
        <f t="shared" si="880"/>
        <v>0</v>
      </c>
      <c r="AE285" s="529"/>
      <c r="AF285" s="530"/>
      <c r="AG285" s="482">
        <f t="shared" si="881"/>
        <v>0</v>
      </c>
      <c r="AH285" s="529"/>
      <c r="AI285" s="531"/>
      <c r="AJ285" s="482">
        <f t="shared" si="882"/>
        <v>0</v>
      </c>
      <c r="AK285" s="532"/>
      <c r="AL285" s="531"/>
      <c r="AM285" s="482">
        <f t="shared" si="883"/>
        <v>0</v>
      </c>
      <c r="AN285" s="532"/>
      <c r="AO285" s="531"/>
      <c r="AP285" s="482">
        <f t="shared" si="884"/>
        <v>0</v>
      </c>
      <c r="AQ285" s="532"/>
      <c r="AR285" s="531"/>
      <c r="AS285" s="482">
        <f t="shared" si="885"/>
        <v>0</v>
      </c>
      <c r="AT285" s="532"/>
      <c r="AU285" s="531"/>
      <c r="AV285" s="482">
        <f t="shared" si="886"/>
        <v>0</v>
      </c>
      <c r="AW285" s="532"/>
      <c r="AX285" s="531">
        <v>0</v>
      </c>
      <c r="AY285" s="482">
        <f t="shared" si="887"/>
        <v>0</v>
      </c>
      <c r="AZ285" s="532">
        <v>0</v>
      </c>
      <c r="BA285" s="531">
        <v>0</v>
      </c>
      <c r="BB285" s="482">
        <f t="shared" si="888"/>
        <v>0</v>
      </c>
      <c r="BC285" s="532">
        <v>0</v>
      </c>
      <c r="BD285" s="531">
        <f>IF(Assumptions!BD217&lt;&gt;"",Assumptions!BD217,0)</f>
        <v>45.873999999999995</v>
      </c>
      <c r="BE285" s="482">
        <f t="shared" si="889"/>
        <v>45.873999999999995</v>
      </c>
      <c r="BF285" s="532">
        <f>IF(Assumptions!BF217&lt;&gt;"",Assumptions!BF217,0)</f>
        <v>45.873999999999995</v>
      </c>
      <c r="BG285" s="531">
        <f>IF(Assumptions!BG217&lt;&gt;"",Assumptions!BG217,0)</f>
        <v>45.873999999999995</v>
      </c>
      <c r="BH285" s="482">
        <f t="shared" si="890"/>
        <v>25.55</v>
      </c>
      <c r="BI285" s="532">
        <v>25.55</v>
      </c>
      <c r="BJ285" s="531">
        <v>30.46</v>
      </c>
      <c r="BK285" s="482">
        <f t="shared" si="891"/>
        <v>21.638999999999999</v>
      </c>
      <c r="BL285" s="532">
        <v>21.638999999999999</v>
      </c>
      <c r="BM285" s="531">
        <v>9.1630000000000003</v>
      </c>
      <c r="BN285" s="482">
        <f t="shared" si="892"/>
        <v>45.396000000000001</v>
      </c>
      <c r="BO285" s="532">
        <v>45.396000000000001</v>
      </c>
      <c r="BP285" s="531">
        <v>30.042999999999999</v>
      </c>
      <c r="BQ285" s="482">
        <f t="shared" si="893"/>
        <v>23.524999999999999</v>
      </c>
      <c r="BR285" s="549">
        <v>23.524999999999999</v>
      </c>
      <c r="BS285" s="531">
        <v>19.303999999999998</v>
      </c>
      <c r="BT285" s="482">
        <f t="shared" si="894"/>
        <v>48.290999999999997</v>
      </c>
      <c r="BU285" s="528">
        <f>30.953+17.338</f>
        <v>48.290999999999997</v>
      </c>
      <c r="BV285" s="530">
        <f>25.63+16.564</f>
        <v>42.194000000000003</v>
      </c>
      <c r="BW285" s="482">
        <f t="shared" si="895"/>
        <v>45.873999999999995</v>
      </c>
      <c r="BX285" s="528">
        <f>31.516+14.358</f>
        <v>45.873999999999995</v>
      </c>
      <c r="BY285" s="530">
        <f>32.648+16.218</f>
        <v>48.866</v>
      </c>
      <c r="BZ285" s="482">
        <f t="shared" si="896"/>
        <v>46.900000000000006</v>
      </c>
      <c r="CA285" s="528">
        <f>32.222+14.678</f>
        <v>46.900000000000006</v>
      </c>
      <c r="CB285" s="531">
        <f>17.452+34.465</f>
        <v>51.917000000000002</v>
      </c>
      <c r="CC285" s="482">
        <f t="shared" si="897"/>
        <v>36.896000000000001</v>
      </c>
      <c r="CD285" s="528">
        <v>36.896000000000001</v>
      </c>
      <c r="CE285" s="530">
        <v>36.085000000000001</v>
      </c>
      <c r="CF285" s="482">
        <f t="shared" si="898"/>
        <v>42.393000000000001</v>
      </c>
      <c r="CG285" s="528">
        <v>42.393000000000001</v>
      </c>
      <c r="CH285" s="530">
        <f>76.557+17.532</f>
        <v>94.088999999999999</v>
      </c>
      <c r="CI285" s="482">
        <f t="shared" si="899"/>
        <v>96.454999999999998</v>
      </c>
      <c r="CJ285" s="528">
        <f>78.366+18.089</f>
        <v>96.454999999999998</v>
      </c>
      <c r="CK285" s="530">
        <f>66.391+18.525</f>
        <v>84.915999999999997</v>
      </c>
      <c r="CL285" s="482">
        <f t="shared" si="900"/>
        <v>63.223999999999997</v>
      </c>
      <c r="CM285" s="528">
        <v>63.223999999999997</v>
      </c>
      <c r="CN285" s="530">
        <f>59.009+25.263</f>
        <v>84.272000000000006</v>
      </c>
      <c r="CO285" s="482">
        <f t="shared" si="901"/>
        <v>79.350999999999999</v>
      </c>
      <c r="CP285" s="528">
        <f>57.557+15.151+6.643</f>
        <v>79.350999999999999</v>
      </c>
      <c r="CQ285" s="530">
        <f>61.677+18.497+24.677</f>
        <v>104.851</v>
      </c>
      <c r="CR285" s="482">
        <f t="shared" si="902"/>
        <v>44.747</v>
      </c>
      <c r="CS285" s="549">
        <f>20.585+24.162</f>
        <v>44.747</v>
      </c>
      <c r="CT285" s="531">
        <f>18.851+23.102</f>
        <v>41.953000000000003</v>
      </c>
      <c r="CU285" s="482">
        <f t="shared" si="903"/>
        <v>43.906999999999996</v>
      </c>
      <c r="CV285" s="549">
        <f>12.643+31.264</f>
        <v>43.906999999999996</v>
      </c>
      <c r="CW285" s="531">
        <f>10.729+25.401</f>
        <v>36.129999999999995</v>
      </c>
      <c r="CX285" s="482">
        <f t="shared" si="904"/>
        <v>27.286999999999999</v>
      </c>
      <c r="CY285" s="549">
        <f>2.041+25.246</f>
        <v>27.286999999999999</v>
      </c>
      <c r="CZ285" s="530">
        <f>3.9+26.6</f>
        <v>30.5</v>
      </c>
      <c r="DA285" s="482">
        <f t="shared" si="905"/>
        <v>39.6</v>
      </c>
      <c r="DB285" s="528">
        <f>13.1+26.5</f>
        <v>39.6</v>
      </c>
      <c r="DC285" s="530">
        <f>26.6+39.2</f>
        <v>65.800000000000011</v>
      </c>
      <c r="DD285" s="482">
        <f t="shared" si="906"/>
        <v>63.8</v>
      </c>
      <c r="DE285" s="528">
        <f>42.9+20.9</f>
        <v>63.8</v>
      </c>
      <c r="DF285" s="531">
        <f>37.5+13</f>
        <v>50.5</v>
      </c>
      <c r="DG285" s="482">
        <f t="shared" si="907"/>
        <v>47.3</v>
      </c>
      <c r="DH285" s="1372">
        <f>47+0.3</f>
        <v>47.3</v>
      </c>
      <c r="DI285" s="1373">
        <f>45.7+1.2</f>
        <v>46.900000000000006</v>
      </c>
      <c r="DJ285" s="482">
        <f t="shared" si="908"/>
        <v>47.5</v>
      </c>
      <c r="DK285" s="1374">
        <f>4.7+42.8</f>
        <v>47.5</v>
      </c>
      <c r="DL285" s="1373">
        <f>11.6+47.3</f>
        <v>58.9</v>
      </c>
      <c r="DM285" s="482">
        <f t="shared" si="909"/>
        <v>77</v>
      </c>
      <c r="DN285" s="1374">
        <f>22.3+54.7</f>
        <v>77</v>
      </c>
      <c r="DO285" s="1373">
        <f>18.2+74.5</f>
        <v>92.7</v>
      </c>
      <c r="DP285" s="482">
        <f t="shared" si="910"/>
        <v>82.2</v>
      </c>
      <c r="DQ285" s="1374">
        <f>20.6+61.6</f>
        <v>82.2</v>
      </c>
      <c r="DR285" s="1373">
        <f>5.9+69.8</f>
        <v>75.7</v>
      </c>
      <c r="DS285" s="482">
        <f t="shared" si="923"/>
        <v>75.2</v>
      </c>
      <c r="DT285" s="1374">
        <f>8.5+66.7</f>
        <v>75.2</v>
      </c>
      <c r="DU285" s="1373">
        <f>28.3+74.2</f>
        <v>102.5</v>
      </c>
      <c r="DV285" s="482">
        <f t="shared" si="924"/>
        <v>92.9</v>
      </c>
      <c r="DW285" s="1374">
        <f>12.5+80.4</f>
        <v>92.9</v>
      </c>
      <c r="DX285" s="1373">
        <f>5.7+58.7</f>
        <v>64.400000000000006</v>
      </c>
      <c r="DY285" s="482">
        <f t="shared" si="925"/>
        <v>64.400000000000006</v>
      </c>
      <c r="DZ285" s="1244">
        <f>IF(Assumptions!DZ217&lt;&gt;"",Assumptions!DZ217,0)</f>
        <v>64.400000000000006</v>
      </c>
      <c r="EA285" s="482">
        <f>IF(Assumptions!EA217&lt;&gt;"",Assumptions!EA217,0)</f>
        <v>64.400000000000006</v>
      </c>
      <c r="EB285" s="482">
        <f t="shared" si="926"/>
        <v>64.400000000000006</v>
      </c>
      <c r="EC285" s="1244">
        <f>IF(Assumptions!EC217&lt;&gt;"",Assumptions!EC217,0)</f>
        <v>64.400000000000006</v>
      </c>
      <c r="ED285" s="482">
        <f>IF(Assumptions!ED217&lt;&gt;"",Assumptions!ED217,0)</f>
        <v>64.400000000000006</v>
      </c>
      <c r="EE285" s="482">
        <f t="shared" si="927"/>
        <v>64.400000000000006</v>
      </c>
      <c r="EF285" s="1244">
        <f>IF(Assumptions!EF217&lt;&gt;"",Assumptions!EF217,0)</f>
        <v>64.400000000000006</v>
      </c>
      <c r="EG285" s="482">
        <f>IF(Assumptions!EG217&lt;&gt;"",Assumptions!EG217,0)</f>
        <v>64.400000000000006</v>
      </c>
      <c r="EH285" s="482">
        <f t="shared" si="928"/>
        <v>64.400000000000006</v>
      </c>
      <c r="EI285" s="1244">
        <f>IF(Assumptions!EI217&lt;&gt;"",Assumptions!EI217,0)</f>
        <v>64.400000000000006</v>
      </c>
      <c r="EJ285" s="482">
        <f>IF(Assumptions!EJ217&lt;&gt;"",Assumptions!EJ217,0)</f>
        <v>64.400000000000006</v>
      </c>
      <c r="EK285" s="482">
        <f t="shared" si="929"/>
        <v>64.400000000000006</v>
      </c>
      <c r="EL285" s="1244">
        <f>IF(Assumptions!EL217&lt;&gt;"",Assumptions!EL217,0)</f>
        <v>64.400000000000006</v>
      </c>
      <c r="EM285" s="482">
        <f>IF(Assumptions!EM217&lt;&gt;"",Assumptions!EM217,0)</f>
        <v>64.400000000000006</v>
      </c>
      <c r="EN285" s="482">
        <f t="shared" si="930"/>
        <v>64.400000000000006</v>
      </c>
      <c r="EO285" s="1244">
        <f>IF(Assumptions!EO217&lt;&gt;"",Assumptions!EO217,0)</f>
        <v>64.400000000000006</v>
      </c>
      <c r="EP285" s="482">
        <f>IF(Assumptions!EP217&lt;&gt;"",Assumptions!EP217,0)</f>
        <v>64.400000000000006</v>
      </c>
      <c r="EQ285" s="482">
        <f t="shared" si="931"/>
        <v>64.400000000000006</v>
      </c>
      <c r="ER285" s="1244">
        <f>IF(Assumptions!ER217&lt;&gt;"",Assumptions!ER217,0)</f>
        <v>64.400000000000006</v>
      </c>
      <c r="ES285" s="482">
        <f>IF(Assumptions!ES217&lt;&gt;"",Assumptions!ES217,0)</f>
        <v>64.400000000000006</v>
      </c>
      <c r="ET285" s="482">
        <f t="shared" si="932"/>
        <v>64.400000000000006</v>
      </c>
      <c r="EU285" s="1244">
        <f>IF(Assumptions!EU217&lt;&gt;"",Assumptions!EU217,0)</f>
        <v>64.400000000000006</v>
      </c>
      <c r="EV285" s="482">
        <f>IF(Assumptions!EV217&lt;&gt;"",Assumptions!EV217,0)</f>
        <v>64.400000000000006</v>
      </c>
      <c r="EW285" s="482">
        <f t="shared" si="933"/>
        <v>64.400000000000006</v>
      </c>
      <c r="EX285" s="1244">
        <f>IF(Assumptions!EX217&lt;&gt;"",Assumptions!EX217,0)</f>
        <v>64.400000000000006</v>
      </c>
      <c r="EY285" s="482">
        <f>IF(Assumptions!EY217&lt;&gt;"",Assumptions!EY217,0)</f>
        <v>64.400000000000006</v>
      </c>
      <c r="EZ285" s="482">
        <f t="shared" si="934"/>
        <v>64.400000000000006</v>
      </c>
      <c r="FA285" s="1244">
        <f>IF(Assumptions!FA217&lt;&gt;"",Assumptions!FA217,0)</f>
        <v>64.400000000000006</v>
      </c>
      <c r="FB285" s="1571"/>
      <c r="FE285"/>
      <c r="FF285"/>
      <c r="FG285"/>
      <c r="FH285"/>
      <c r="FI285"/>
      <c r="FJ285"/>
      <c r="FK285" s="35"/>
    </row>
    <row r="286" spans="2:167" s="236" customFormat="1" ht="13.35" customHeight="1" outlineLevel="1">
      <c r="B286" s="1483" t="s">
        <v>963</v>
      </c>
      <c r="C286" s="1483" t="s">
        <v>496</v>
      </c>
      <c r="D286" s="1484"/>
      <c r="E286" s="1485"/>
      <c r="F286" s="1485"/>
      <c r="G286" s="1485"/>
      <c r="H286" s="1485"/>
      <c r="I286" s="1485"/>
      <c r="J286" s="1485"/>
      <c r="K286" s="1485"/>
      <c r="L286" s="1485"/>
      <c r="M286" s="1485"/>
      <c r="N286" s="1485"/>
      <c r="O286" s="1485"/>
      <c r="P286" s="1485"/>
      <c r="Q286" s="1485"/>
      <c r="R286" s="1485"/>
      <c r="S286" s="1530"/>
      <c r="T286" s="1485"/>
      <c r="U286" s="1485"/>
      <c r="V286" s="1485"/>
      <c r="W286" s="1485"/>
      <c r="X286" s="1485"/>
      <c r="Y286" s="1485"/>
      <c r="Z286" s="1485"/>
      <c r="AA286" s="1485"/>
      <c r="AB286" s="1485"/>
      <c r="AC286" s="1485"/>
      <c r="AD286" s="1485"/>
      <c r="AE286" s="1485"/>
      <c r="AF286" s="1485"/>
      <c r="AG286" s="1485"/>
      <c r="AH286" s="1485"/>
      <c r="AI286" s="1485"/>
      <c r="AJ286" s="1485"/>
      <c r="AK286" s="1485"/>
      <c r="AL286" s="1485"/>
      <c r="AM286" s="1485"/>
      <c r="AN286" s="1485"/>
      <c r="AO286" s="1485"/>
      <c r="AP286" s="1485"/>
      <c r="AQ286" s="1485"/>
      <c r="AR286" s="1485"/>
      <c r="AS286" s="1485"/>
      <c r="AT286" s="1485"/>
      <c r="AU286" s="1485"/>
      <c r="AV286" s="1485"/>
      <c r="AW286" s="1485"/>
      <c r="AX286" s="1528"/>
      <c r="AY286" s="1485"/>
      <c r="AZ286" s="1528"/>
      <c r="BA286" s="1528"/>
      <c r="BB286" s="1485"/>
      <c r="BC286" s="1528"/>
      <c r="BD286" s="1485"/>
      <c r="BE286" s="1485"/>
      <c r="BF286" s="1485"/>
      <c r="BG286" s="1485"/>
      <c r="BH286" s="1485"/>
      <c r="BI286" s="1528"/>
      <c r="BJ286" s="1528"/>
      <c r="BK286" s="1485"/>
      <c r="BL286" s="1528"/>
      <c r="BM286" s="1528"/>
      <c r="BN286" s="1485"/>
      <c r="BO286" s="1528"/>
      <c r="BP286" s="1528"/>
      <c r="BQ286" s="1485"/>
      <c r="BR286" s="1528"/>
      <c r="BS286" s="1528"/>
      <c r="BT286" s="1485"/>
      <c r="BU286" s="1485"/>
      <c r="BV286" s="1485"/>
      <c r="BW286" s="1485"/>
      <c r="BX286" s="1485"/>
      <c r="BY286" s="1485"/>
      <c r="BZ286" s="1485"/>
      <c r="CA286" s="1485"/>
      <c r="CB286" s="1485"/>
      <c r="CC286" s="1485"/>
      <c r="CD286" s="1528"/>
      <c r="CE286" s="1528"/>
      <c r="CF286" s="1485"/>
      <c r="CG286" s="1528"/>
      <c r="CH286" s="1485"/>
      <c r="CI286" s="1485"/>
      <c r="CJ286" s="1485"/>
      <c r="CK286" s="1485"/>
      <c r="CL286" s="1485"/>
      <c r="CM286" s="1528"/>
      <c r="CN286" s="1485"/>
      <c r="CO286" s="1485"/>
      <c r="CP286" s="1485"/>
      <c r="CQ286" s="1485"/>
      <c r="CR286" s="1485"/>
      <c r="CS286" s="1485"/>
      <c r="CT286" s="1485"/>
      <c r="CU286" s="1485"/>
      <c r="CV286" s="1485"/>
      <c r="CW286" s="1485"/>
      <c r="CX286" s="1485"/>
      <c r="CY286" s="1485"/>
      <c r="CZ286" s="1485"/>
      <c r="DA286" s="1485"/>
      <c r="DB286" s="1485"/>
      <c r="DC286" s="1485"/>
      <c r="DD286" s="1485"/>
      <c r="DE286" s="1485"/>
      <c r="DF286" s="1528">
        <v>28.5</v>
      </c>
      <c r="DG286" s="1485">
        <f>DH286</f>
        <v>26</v>
      </c>
      <c r="DH286" s="1527">
        <v>26</v>
      </c>
      <c r="DI286" s="1526">
        <v>27.4</v>
      </c>
      <c r="DJ286" s="1485">
        <f>DK286</f>
        <v>31.9</v>
      </c>
      <c r="DK286" s="1527">
        <v>31.9</v>
      </c>
      <c r="DL286" s="1526">
        <v>34.6</v>
      </c>
      <c r="DM286" s="1485">
        <f>DN286</f>
        <v>36.1</v>
      </c>
      <c r="DN286" s="1527">
        <v>36.1</v>
      </c>
      <c r="DO286" s="1526">
        <v>36.4</v>
      </c>
      <c r="DP286" s="1485">
        <f>DQ286</f>
        <v>39.200000000000003</v>
      </c>
      <c r="DQ286" s="1527">
        <v>39.200000000000003</v>
      </c>
      <c r="DR286" s="1526">
        <v>39.799999999999997</v>
      </c>
      <c r="DS286" s="1485">
        <f>DT286</f>
        <v>41.6</v>
      </c>
      <c r="DT286" s="1527">
        <v>41.6</v>
      </c>
      <c r="DU286" s="1526">
        <v>43.1</v>
      </c>
      <c r="DV286" s="1485">
        <f>DW286</f>
        <v>42.2</v>
      </c>
      <c r="DW286" s="1527">
        <v>42.2</v>
      </c>
      <c r="DX286" s="1526">
        <f>42.2</f>
        <v>42.2</v>
      </c>
      <c r="DY286" s="1485">
        <f>DZ286</f>
        <v>42.2</v>
      </c>
      <c r="DZ286" s="1486">
        <f>DX286</f>
        <v>42.2</v>
      </c>
      <c r="EA286" s="1485">
        <f>DZ286</f>
        <v>42.2</v>
      </c>
      <c r="EB286" s="1485">
        <f>EC286</f>
        <v>42.2</v>
      </c>
      <c r="EC286" s="1486">
        <f>EA286</f>
        <v>42.2</v>
      </c>
      <c r="ED286" s="1485">
        <f>EC286</f>
        <v>42.2</v>
      </c>
      <c r="EE286" s="1485">
        <f>EF286</f>
        <v>42.2</v>
      </c>
      <c r="EF286" s="1486">
        <f>ED286</f>
        <v>42.2</v>
      </c>
      <c r="EG286" s="1485">
        <f>EF286</f>
        <v>42.2</v>
      </c>
      <c r="EH286" s="1485">
        <f>EI286</f>
        <v>42.2</v>
      </c>
      <c r="EI286" s="1486">
        <f>EG286</f>
        <v>42.2</v>
      </c>
      <c r="EJ286" s="1485">
        <f>EI286</f>
        <v>42.2</v>
      </c>
      <c r="EK286" s="1485">
        <f>EL286</f>
        <v>42.2</v>
      </c>
      <c r="EL286" s="1486">
        <f>EJ286</f>
        <v>42.2</v>
      </c>
      <c r="EM286" s="1485">
        <f>EL286</f>
        <v>42.2</v>
      </c>
      <c r="EN286" s="1485">
        <f>EO286</f>
        <v>42.2</v>
      </c>
      <c r="EO286" s="1486">
        <f>EM286</f>
        <v>42.2</v>
      </c>
      <c r="EP286" s="1485">
        <f>EO286</f>
        <v>42.2</v>
      </c>
      <c r="EQ286" s="1485">
        <f>ER286</f>
        <v>42.2</v>
      </c>
      <c r="ER286" s="1486">
        <f>EP286</f>
        <v>42.2</v>
      </c>
      <c r="ES286" s="1485">
        <f>ER286</f>
        <v>42.2</v>
      </c>
      <c r="ET286" s="1485">
        <f>EU286</f>
        <v>42.2</v>
      </c>
      <c r="EU286" s="1486">
        <f>ES286</f>
        <v>42.2</v>
      </c>
      <c r="EV286" s="1485">
        <f>EU286</f>
        <v>42.2</v>
      </c>
      <c r="EW286" s="1485">
        <f>EX286</f>
        <v>42.2</v>
      </c>
      <c r="EX286" s="1486">
        <f>EV286</f>
        <v>42.2</v>
      </c>
      <c r="EY286" s="1485">
        <f>EX286</f>
        <v>42.2</v>
      </c>
      <c r="EZ286" s="1485">
        <f>FA286</f>
        <v>42.2</v>
      </c>
      <c r="FA286" s="1486">
        <f>EY286</f>
        <v>42.2</v>
      </c>
      <c r="FB286" s="1571"/>
      <c r="FE286"/>
      <c r="FF286"/>
      <c r="FG286"/>
      <c r="FH286"/>
      <c r="FI286"/>
      <c r="FJ286"/>
      <c r="FK286" s="35"/>
    </row>
    <row r="287" spans="2:167" s="236" customFormat="1" ht="13.35" customHeight="1">
      <c r="B287" s="444" t="s">
        <v>89</v>
      </c>
      <c r="C287" s="444" t="s">
        <v>496</v>
      </c>
      <c r="D287" s="1474"/>
      <c r="E287" s="562">
        <f>+E266+E269+E276+E283</f>
        <v>0</v>
      </c>
      <c r="F287" s="562">
        <f t="shared" si="872"/>
        <v>0</v>
      </c>
      <c r="G287" s="562">
        <f>+G266+G269+G276+G283</f>
        <v>0</v>
      </c>
      <c r="H287" s="562">
        <f>+H266+H269+H276+H283</f>
        <v>0</v>
      </c>
      <c r="I287" s="562">
        <f t="shared" si="873"/>
        <v>0</v>
      </c>
      <c r="J287" s="562">
        <f>+J266+J269+J276+J283</f>
        <v>0</v>
      </c>
      <c r="K287" s="562">
        <f>+K266+K269+K276+K283</f>
        <v>0</v>
      </c>
      <c r="L287" s="562">
        <f t="shared" si="874"/>
        <v>0</v>
      </c>
      <c r="M287" s="562">
        <f>+M266+M269+M276+M283</f>
        <v>0</v>
      </c>
      <c r="N287" s="562">
        <f>+N266+N269+N276+N283</f>
        <v>0</v>
      </c>
      <c r="O287" s="562">
        <f t="shared" si="875"/>
        <v>0</v>
      </c>
      <c r="P287" s="562">
        <f>+P266+P269+P276+P283</f>
        <v>0</v>
      </c>
      <c r="Q287" s="562">
        <f>+Q266+Q269+Q276+Q283</f>
        <v>0</v>
      </c>
      <c r="R287" s="562">
        <f t="shared" si="876"/>
        <v>0</v>
      </c>
      <c r="S287" s="1529">
        <f>+S266+S269+S276+S283</f>
        <v>0</v>
      </c>
      <c r="T287" s="562">
        <f>+T266+T269+T276+T283</f>
        <v>0</v>
      </c>
      <c r="U287" s="562">
        <f t="shared" si="877"/>
        <v>0</v>
      </c>
      <c r="V287" s="562">
        <f>+V266+V269+V276+V283</f>
        <v>0</v>
      </c>
      <c r="W287" s="562">
        <f>+W266+W269+W276+W283</f>
        <v>0</v>
      </c>
      <c r="X287" s="562">
        <f t="shared" si="878"/>
        <v>0</v>
      </c>
      <c r="Y287" s="562">
        <f>+Y266+Y269+Y276+Y283</f>
        <v>0</v>
      </c>
      <c r="Z287" s="562">
        <f>+Z266+Z269+Z276+Z283</f>
        <v>0</v>
      </c>
      <c r="AA287" s="562">
        <f t="shared" si="879"/>
        <v>0</v>
      </c>
      <c r="AB287" s="562">
        <f>+AB266+AB269+AB276+AB283</f>
        <v>0</v>
      </c>
      <c r="AC287" s="562">
        <f>+AC266+AC269+AC276+AC283</f>
        <v>0</v>
      </c>
      <c r="AD287" s="562">
        <f t="shared" si="880"/>
        <v>0</v>
      </c>
      <c r="AE287" s="562">
        <f>+AE266+AE269+AE276+AE283</f>
        <v>0</v>
      </c>
      <c r="AF287" s="562">
        <f>+AF266+AF269+AF276+AF283</f>
        <v>0</v>
      </c>
      <c r="AG287" s="562">
        <f t="shared" si="881"/>
        <v>0</v>
      </c>
      <c r="AH287" s="562">
        <f>+AH266+AH269+AH276+AH283</f>
        <v>0</v>
      </c>
      <c r="AI287" s="562">
        <f>+AI266+AI269+AI276+AI283</f>
        <v>24.488999999999997</v>
      </c>
      <c r="AJ287" s="562">
        <f t="shared" si="882"/>
        <v>20.984999999999999</v>
      </c>
      <c r="AK287" s="562">
        <f>+AK266+AK269+AK276+AK283</f>
        <v>20.984999999999999</v>
      </c>
      <c r="AL287" s="562">
        <f>+AL266+AL269+AL276+AL283</f>
        <v>22.987000000000002</v>
      </c>
      <c r="AM287" s="562">
        <f t="shared" si="883"/>
        <v>29.411999999999999</v>
      </c>
      <c r="AN287" s="562">
        <f>+AN266+AN269+AN276+AN283</f>
        <v>29.411999999999999</v>
      </c>
      <c r="AO287" s="562">
        <f>+AO266+AO269+AO276+AO283</f>
        <v>24.584</v>
      </c>
      <c r="AP287" s="562">
        <f t="shared" si="884"/>
        <v>27.615000000000002</v>
      </c>
      <c r="AQ287" s="562">
        <f>+AQ266+AQ269+AQ276+AQ283</f>
        <v>27.615000000000002</v>
      </c>
      <c r="AR287" s="562">
        <f>+AR266+AR269+AR276+AR283</f>
        <v>32.116999999999997</v>
      </c>
      <c r="AS287" s="562">
        <f t="shared" si="885"/>
        <v>36.609000000000002</v>
      </c>
      <c r="AT287" s="562">
        <f>+AT266+AT269+AT276+AT283</f>
        <v>36.609000000000002</v>
      </c>
      <c r="AU287" s="562">
        <f>+AU266+AU269+AU276+AU283</f>
        <v>40.861999999999995</v>
      </c>
      <c r="AV287" s="562">
        <f t="shared" si="886"/>
        <v>48.397999999999996</v>
      </c>
      <c r="AW287" s="562">
        <f>+AW266+AW269+AW276+AW283</f>
        <v>48.397999999999996</v>
      </c>
      <c r="AX287" s="562">
        <f>+AX266+AX269+AX276+AX283</f>
        <v>50.896000000000001</v>
      </c>
      <c r="AY287" s="562">
        <f t="shared" si="887"/>
        <v>50.393000000000001</v>
      </c>
      <c r="AZ287" s="562">
        <f>+AZ266+AZ269+AZ276+AZ283</f>
        <v>50.393000000000001</v>
      </c>
      <c r="BA287" s="562">
        <f>+BA266+BA269+BA276+BA283</f>
        <v>60.326000000000001</v>
      </c>
      <c r="BB287" s="562">
        <f t="shared" si="888"/>
        <v>72.938000000000002</v>
      </c>
      <c r="BC287" s="562">
        <f>+BC266+BC269+BC276+BC283</f>
        <v>72.938000000000002</v>
      </c>
      <c r="BD287" s="562">
        <f>+BD266+BD269+BD276+BD283</f>
        <v>111.714</v>
      </c>
      <c r="BE287" s="562">
        <f t="shared" si="889"/>
        <v>129.24599999999998</v>
      </c>
      <c r="BF287" s="562">
        <f>+BF266+BF269+BF276+BF283</f>
        <v>129.24599999999998</v>
      </c>
      <c r="BG287" s="562">
        <f>+BG266+BG269+BG276+BG283</f>
        <v>125.078</v>
      </c>
      <c r="BH287" s="562">
        <f t="shared" si="890"/>
        <v>99.44</v>
      </c>
      <c r="BI287" s="562">
        <f>+BI266+BI269+BI276+BI283</f>
        <v>99.44</v>
      </c>
      <c r="BJ287" s="562">
        <f>+BJ266+BJ269+BJ276+BJ283</f>
        <v>112.566</v>
      </c>
      <c r="BK287" s="562">
        <f t="shared" si="891"/>
        <v>106.29599999999999</v>
      </c>
      <c r="BL287" s="562">
        <f>+BL266+BL269+BL276+BL283</f>
        <v>106.29599999999999</v>
      </c>
      <c r="BM287" s="562">
        <f>+BM266+BM269+BM276+BM283</f>
        <v>119.801</v>
      </c>
      <c r="BN287" s="562">
        <f t="shared" si="892"/>
        <v>193.03800000000001</v>
      </c>
      <c r="BO287" s="562">
        <f>+BO266+BO269+BO276+BO283</f>
        <v>193.03800000000001</v>
      </c>
      <c r="BP287" s="562">
        <f>+BP266+BP269+BP276+BP283</f>
        <v>185.25400000000002</v>
      </c>
      <c r="BQ287" s="562">
        <f t="shared" si="893"/>
        <v>203.45599999999999</v>
      </c>
      <c r="BR287" s="562">
        <f>+BR266+BR269+BR276+BR283</f>
        <v>203.45599999999999</v>
      </c>
      <c r="BS287" s="562">
        <f>+BS266+BS269+BS276+BS283</f>
        <v>216.03</v>
      </c>
      <c r="BT287" s="562">
        <f t="shared" si="894"/>
        <v>279.548</v>
      </c>
      <c r="BU287" s="562">
        <f>+BU266+BU269+BU276+BU283</f>
        <v>279.548</v>
      </c>
      <c r="BV287" s="562">
        <f>+BV266+BV269+BV276+BV283</f>
        <v>274.09399999999999</v>
      </c>
      <c r="BW287" s="562">
        <f t="shared" si="895"/>
        <v>124.94499999999999</v>
      </c>
      <c r="BX287" s="562">
        <f>+BX266+BX269+BX276+BX283</f>
        <v>124.94499999999999</v>
      </c>
      <c r="BY287" s="562">
        <f>+BY266+BY269+BY276+BY283</f>
        <v>208.70600000000002</v>
      </c>
      <c r="BZ287" s="562">
        <f t="shared" si="896"/>
        <v>117.143</v>
      </c>
      <c r="CA287" s="562">
        <f>+CA266+CA269+CA276+CA283</f>
        <v>117.143</v>
      </c>
      <c r="CB287" s="562">
        <f>+CB266+CB269+CB276+CB283</f>
        <v>161.858</v>
      </c>
      <c r="CC287" s="562">
        <f t="shared" si="897"/>
        <v>213.14800000000002</v>
      </c>
      <c r="CD287" s="562">
        <f>+CD266+CD269+CD276+CD283</f>
        <v>213.14800000000002</v>
      </c>
      <c r="CE287" s="562">
        <f>+CE266+CE269+CE276+CE283</f>
        <v>171.63900000000001</v>
      </c>
      <c r="CF287" s="562">
        <f t="shared" si="898"/>
        <v>223.46</v>
      </c>
      <c r="CG287" s="562">
        <f>+CG266+CG269+CG276+CG283</f>
        <v>223.46</v>
      </c>
      <c r="CH287" s="562">
        <f>+CH266+CH269+CH276+CH283</f>
        <v>217.56899999999999</v>
      </c>
      <c r="CI287" s="562">
        <f t="shared" si="899"/>
        <v>261.94299999999998</v>
      </c>
      <c r="CJ287" s="562">
        <f>+CJ266+CJ269+CJ276+CJ283</f>
        <v>261.94299999999998</v>
      </c>
      <c r="CK287" s="562">
        <f>+CK266+CK269+CK276+CK283</f>
        <v>250.465</v>
      </c>
      <c r="CL287" s="562">
        <f t="shared" si="900"/>
        <v>191.82999999999998</v>
      </c>
      <c r="CM287" s="562">
        <f>+CM266+CM269+CM276+CM283</f>
        <v>191.82999999999998</v>
      </c>
      <c r="CN287" s="562">
        <f>+CN266+CN269+CN276+CN283</f>
        <v>195.28300000000002</v>
      </c>
      <c r="CO287" s="562">
        <f t="shared" si="901"/>
        <v>169.578</v>
      </c>
      <c r="CP287" s="562">
        <f>+CP266+CP269+CP276+CP283</f>
        <v>169.578</v>
      </c>
      <c r="CQ287" s="562">
        <f>+CQ266+CQ269+CQ276+CQ283</f>
        <v>209.239</v>
      </c>
      <c r="CR287" s="562">
        <f t="shared" si="902"/>
        <v>403.28399999999999</v>
      </c>
      <c r="CS287" s="562">
        <f>+CS266+CS269+CS276+CS283</f>
        <v>403.28399999999999</v>
      </c>
      <c r="CT287" s="562">
        <f>+CT266+CT269+CT276+CT283</f>
        <v>399.95899999999995</v>
      </c>
      <c r="CU287" s="562">
        <f t="shared" si="903"/>
        <v>251.09999999999997</v>
      </c>
      <c r="CV287" s="562">
        <f>+CV266+CV269+CV276+CV283</f>
        <v>251.09999999999997</v>
      </c>
      <c r="CW287" s="562">
        <f>+CW266+CW269+CW276+CW283</f>
        <v>250.43700000000001</v>
      </c>
      <c r="CX287" s="562">
        <f t="shared" si="904"/>
        <v>346.61500000000001</v>
      </c>
      <c r="CY287" s="562">
        <f>+CY266+CY269+CY276+CY283</f>
        <v>346.61500000000001</v>
      </c>
      <c r="CZ287" s="562">
        <f>+CZ266+CZ269+CZ276+CZ283</f>
        <v>312.3</v>
      </c>
      <c r="DA287" s="562">
        <f t="shared" si="905"/>
        <v>287.7</v>
      </c>
      <c r="DB287" s="562">
        <f>+DB266+DB269+DB276+DB283</f>
        <v>287.7</v>
      </c>
      <c r="DC287" s="562">
        <f>+DC266+DC269+DC276+DC283</f>
        <v>327.59999999999997</v>
      </c>
      <c r="DD287" s="562">
        <f t="shared" si="906"/>
        <v>359.50000000000006</v>
      </c>
      <c r="DE287" s="562">
        <f>+DE266+DE269+DE276+DE283</f>
        <v>359.50000000000006</v>
      </c>
      <c r="DF287" s="562">
        <f>+DF266+DF269+DF276+DF283+DF286</f>
        <v>349.70000000000005</v>
      </c>
      <c r="DG287" s="562">
        <f t="shared" si="907"/>
        <v>424.40000000000003</v>
      </c>
      <c r="DH287" s="1274">
        <f>+DH266+DH269+DH276+DH283+DH286</f>
        <v>424.40000000000003</v>
      </c>
      <c r="DI287" s="562">
        <f>+DI266+DI269+DI276+DI283+DI286</f>
        <v>339.79999999999995</v>
      </c>
      <c r="DJ287" s="562">
        <f>+DK287</f>
        <v>402.5</v>
      </c>
      <c r="DK287" s="1274">
        <f>+DK266+DK269+DK276+DK283+DK286</f>
        <v>402.5</v>
      </c>
      <c r="DL287" s="562">
        <f>+DL266+DL269+DL276+DL283+DL286</f>
        <v>377.6</v>
      </c>
      <c r="DM287" s="562">
        <f>+DN287</f>
        <v>527.6</v>
      </c>
      <c r="DN287" s="1274">
        <f>+DN266+DN269+DN276+DN283+DN286</f>
        <v>527.6</v>
      </c>
      <c r="DO287" s="562">
        <f>+DO266+DO269+DO276+DO283+DO286</f>
        <v>464.2</v>
      </c>
      <c r="DP287" s="562">
        <f>+DQ287</f>
        <v>578.00000000000011</v>
      </c>
      <c r="DQ287" s="1274">
        <f>+DQ266+DQ269+DQ276+DQ283+DQ286</f>
        <v>578.00000000000011</v>
      </c>
      <c r="DR287" s="562">
        <f>+DR266+DR269+DR276+DR283+DR286</f>
        <v>517.4</v>
      </c>
      <c r="DS287" s="562">
        <f>+DT287</f>
        <v>631.50000000000011</v>
      </c>
      <c r="DT287" s="1274">
        <f>+DT266+DT269+DT276+DT283+DT286</f>
        <v>631.50000000000011</v>
      </c>
      <c r="DU287" s="562">
        <f>+DU266+DU269+DU276+DU283+DU286</f>
        <v>626.1</v>
      </c>
      <c r="DV287" s="562">
        <f>+DW287</f>
        <v>602.30000000000007</v>
      </c>
      <c r="DW287" s="1274">
        <f>+DW266+DW269+DW276+DW283+DW286</f>
        <v>602.30000000000007</v>
      </c>
      <c r="DX287" s="562">
        <f>+DX266+DX269+DX276+DX283+DX286</f>
        <v>558.90000000000009</v>
      </c>
      <c r="DY287" s="562">
        <f>+DZ287</f>
        <v>578.74838930010458</v>
      </c>
      <c r="DZ287" s="1274">
        <f>+DZ266+DZ269+DZ276+DZ283+DZ286</f>
        <v>578.74838930010458</v>
      </c>
      <c r="EA287" s="562">
        <f>+EA266+EA269+EA276+EA283+EA286</f>
        <v>611.69449825672871</v>
      </c>
      <c r="EB287" s="562">
        <f>+EC287</f>
        <v>616.84112522006581</v>
      </c>
      <c r="EC287" s="1274">
        <f>+EC266+EC269+EC276+EC283+EC286</f>
        <v>616.84112522006581</v>
      </c>
      <c r="ED287" s="562">
        <f>+ED266+ED269+ED276+ED283+ED286</f>
        <v>639.7089360887361</v>
      </c>
      <c r="EE287" s="562">
        <f>+EF287</f>
        <v>645.30946187855204</v>
      </c>
      <c r="EF287" s="1274">
        <f>+EF266+EF269+EF276+EF283+EF286</f>
        <v>645.30946187855204</v>
      </c>
      <c r="EG287" s="562">
        <f>+EG266+EG269+EG276+EG283+EG286</f>
        <v>672.29874033672229</v>
      </c>
      <c r="EH287" s="562">
        <f>+EI287</f>
        <v>678.40331344762171</v>
      </c>
      <c r="EI287" s="1274">
        <f>+EI266+EI269+EI276+EI283+EI286</f>
        <v>678.40331344762171</v>
      </c>
      <c r="EJ287" s="562">
        <f>+EJ266+EJ269+EJ276+EJ283+EJ286</f>
        <v>707.82162696702733</v>
      </c>
      <c r="EK287" s="562">
        <f>+EL287</f>
        <v>714.47561165790773</v>
      </c>
      <c r="EL287" s="1274">
        <f>+EL266+EL269+EL276+EL283+EL286</f>
        <v>714.47561165790773</v>
      </c>
      <c r="EM287" s="562">
        <f>+EM266+EM269+EM276+EM283+EM286</f>
        <v>746.54157339405981</v>
      </c>
      <c r="EN287" s="562">
        <f>+EO287</f>
        <v>753.79441670711947</v>
      </c>
      <c r="EO287" s="1274">
        <f>+EO266+EO269+EO276+EO283+EO286</f>
        <v>753.79441670711947</v>
      </c>
      <c r="EP287" s="562">
        <f>+EP266+EP269+EP276+EP283+EP286</f>
        <v>788.74631499952523</v>
      </c>
      <c r="EQ287" s="562">
        <f>+ER287</f>
        <v>796.65191421076031</v>
      </c>
      <c r="ER287" s="1274">
        <f>+ER266+ER269+ER276+ER283+ER286</f>
        <v>796.65191421076031</v>
      </c>
      <c r="ES287" s="562">
        <f>+ES266+ES269+ES276+ES283+ES286</f>
        <v>834.7494833494826</v>
      </c>
      <c r="ET287" s="562">
        <f>+EU287</f>
        <v>843.36658648972877</v>
      </c>
      <c r="EU287" s="1274">
        <f>+EU266+EU269+EU276+EU283+EU286</f>
        <v>843.36658648972877</v>
      </c>
      <c r="EV287" s="562">
        <f>+EV266+EV269+EV276+EV283+EV286</f>
        <v>884.89293685093617</v>
      </c>
      <c r="EW287" s="562">
        <f>+EX287</f>
        <v>894.28557927380439</v>
      </c>
      <c r="EX287" s="1274">
        <f>+EX266+EX269+EX276+EX283+EX286</f>
        <v>894.28557927380439</v>
      </c>
      <c r="EY287" s="562">
        <f>+EY266+EY269+EY276+EY283+EY286</f>
        <v>939.54930116752041</v>
      </c>
      <c r="EZ287" s="562">
        <f>+FA287</f>
        <v>949.7872814084468</v>
      </c>
      <c r="FA287" s="1274">
        <f>+FA266+FA269+FA276+FA283+FA286</f>
        <v>949.7872814084468</v>
      </c>
      <c r="FB287" s="1571"/>
      <c r="FE287"/>
      <c r="FF287"/>
      <c r="FG287"/>
      <c r="FH287"/>
      <c r="FI287"/>
      <c r="FJ287"/>
      <c r="FK287" s="35"/>
    </row>
    <row r="288" spans="2:167" s="236" customFormat="1" ht="5.0999999999999996" customHeight="1" thickBot="1">
      <c r="B288" s="242"/>
      <c r="C288" s="242"/>
      <c r="D288" s="243"/>
      <c r="E288" s="482"/>
      <c r="F288" s="482"/>
      <c r="G288" s="482"/>
      <c r="H288" s="482"/>
      <c r="I288" s="482"/>
      <c r="J288" s="482"/>
      <c r="K288" s="482"/>
      <c r="L288" s="482"/>
      <c r="M288" s="482"/>
      <c r="N288" s="482"/>
      <c r="O288" s="482"/>
      <c r="P288" s="482"/>
      <c r="Q288" s="482"/>
      <c r="R288" s="482"/>
      <c r="S288" s="603"/>
      <c r="T288" s="482"/>
      <c r="U288" s="482"/>
      <c r="V288" s="482"/>
      <c r="W288" s="482"/>
      <c r="X288" s="482"/>
      <c r="Y288" s="482"/>
      <c r="Z288" s="482"/>
      <c r="AA288" s="482"/>
      <c r="AB288" s="482"/>
      <c r="AC288" s="482"/>
      <c r="AD288" s="482"/>
      <c r="AE288" s="482"/>
      <c r="AF288" s="482"/>
      <c r="AG288" s="482"/>
      <c r="AH288" s="482"/>
      <c r="AI288" s="482"/>
      <c r="AJ288" s="482"/>
      <c r="AK288" s="482"/>
      <c r="AL288" s="482"/>
      <c r="AM288" s="482"/>
      <c r="AN288" s="482"/>
      <c r="AO288" s="482"/>
      <c r="AP288" s="482"/>
      <c r="AQ288" s="482"/>
      <c r="AR288" s="482"/>
      <c r="AS288" s="482"/>
      <c r="AT288" s="482"/>
      <c r="AU288" s="482"/>
      <c r="AV288" s="482"/>
      <c r="AW288" s="482"/>
      <c r="AX288" s="482"/>
      <c r="AY288" s="482"/>
      <c r="AZ288" s="482"/>
      <c r="BA288" s="482"/>
      <c r="BB288" s="482"/>
      <c r="BC288" s="482"/>
      <c r="BD288" s="482"/>
      <c r="BE288" s="482"/>
      <c r="BF288" s="482"/>
      <c r="BG288" s="482"/>
      <c r="BH288" s="482"/>
      <c r="BI288" s="482"/>
      <c r="BJ288" s="482"/>
      <c r="BK288" s="482"/>
      <c r="BL288" s="482"/>
      <c r="BM288" s="482"/>
      <c r="BN288" s="482"/>
      <c r="BO288" s="482"/>
      <c r="BP288" s="482"/>
      <c r="BQ288" s="482"/>
      <c r="BR288" s="482"/>
      <c r="BS288" s="482"/>
      <c r="BT288" s="482"/>
      <c r="BU288" s="482"/>
      <c r="BV288" s="482"/>
      <c r="BW288" s="482"/>
      <c r="BX288" s="482"/>
      <c r="BY288" s="482"/>
      <c r="BZ288" s="482"/>
      <c r="CA288" s="482"/>
      <c r="CB288" s="482"/>
      <c r="CC288" s="482"/>
      <c r="CD288" s="482"/>
      <c r="CE288" s="482"/>
      <c r="CF288" s="482"/>
      <c r="CG288" s="482"/>
      <c r="CH288" s="482"/>
      <c r="CI288" s="482"/>
      <c r="CJ288" s="482"/>
      <c r="CK288" s="482"/>
      <c r="CL288" s="482"/>
      <c r="CM288" s="482"/>
      <c r="CN288" s="482"/>
      <c r="CO288" s="482"/>
      <c r="CP288" s="482"/>
      <c r="CQ288" s="482"/>
      <c r="CR288" s="482"/>
      <c r="CS288" s="482"/>
      <c r="CT288" s="482"/>
      <c r="CU288" s="482"/>
      <c r="CV288" s="482"/>
      <c r="CW288" s="482"/>
      <c r="CX288" s="482"/>
      <c r="CY288" s="482"/>
      <c r="CZ288" s="482"/>
      <c r="DA288" s="482"/>
      <c r="DB288" s="482"/>
      <c r="DC288" s="482"/>
      <c r="DD288" s="482"/>
      <c r="DE288" s="482"/>
      <c r="DF288" s="482"/>
      <c r="DG288" s="482"/>
      <c r="DH288" s="1244"/>
      <c r="DI288" s="482"/>
      <c r="DJ288" s="482"/>
      <c r="DK288" s="1244"/>
      <c r="DL288" s="482"/>
      <c r="DM288" s="482"/>
      <c r="DN288" s="1244"/>
      <c r="DO288" s="482"/>
      <c r="DP288" s="482"/>
      <c r="DQ288" s="1244"/>
      <c r="DR288" s="482"/>
      <c r="DS288" s="482"/>
      <c r="DT288" s="1244"/>
      <c r="DU288" s="482"/>
      <c r="DV288" s="482"/>
      <c r="DW288" s="1244"/>
      <c r="DX288" s="482"/>
      <c r="DY288" s="482"/>
      <c r="DZ288" s="1244"/>
      <c r="EA288" s="482"/>
      <c r="EB288" s="482"/>
      <c r="EC288" s="1244"/>
      <c r="ED288" s="482"/>
      <c r="EE288" s="482"/>
      <c r="EF288" s="1244"/>
      <c r="EG288" s="482"/>
      <c r="EH288" s="482"/>
      <c r="EI288" s="1244"/>
      <c r="EJ288" s="482"/>
      <c r="EK288" s="482"/>
      <c r="EL288" s="1244"/>
      <c r="EM288" s="482"/>
      <c r="EN288" s="482"/>
      <c r="EO288" s="1244"/>
      <c r="EP288" s="482"/>
      <c r="EQ288" s="482"/>
      <c r="ER288" s="1244"/>
      <c r="ES288" s="482"/>
      <c r="ET288" s="482"/>
      <c r="EU288" s="1244"/>
      <c r="EV288" s="482"/>
      <c r="EW288" s="482"/>
      <c r="EX288" s="1244"/>
      <c r="EY288" s="482"/>
      <c r="EZ288" s="482"/>
      <c r="FA288" s="1244"/>
      <c r="FB288" s="1571"/>
      <c r="FE288"/>
      <c r="FF288"/>
      <c r="FG288"/>
      <c r="FH288"/>
      <c r="FI288"/>
      <c r="FJ288"/>
      <c r="FK288" s="35"/>
    </row>
    <row r="289" spans="2:167" s="236" customFormat="1" ht="13.35" customHeight="1" thickBot="1">
      <c r="B289" s="242" t="s">
        <v>649</v>
      </c>
      <c r="C289" s="242" t="s">
        <v>496</v>
      </c>
      <c r="D289" s="243"/>
      <c r="E289" s="503"/>
      <c r="F289" s="482">
        <f t="shared" ref="F289:F305" si="935">+G289</f>
        <v>0</v>
      </c>
      <c r="G289" s="504"/>
      <c r="H289" s="505"/>
      <c r="I289" s="482">
        <f t="shared" ref="I289:I305" si="936">+J289</f>
        <v>0</v>
      </c>
      <c r="J289" s="504"/>
      <c r="K289" s="505"/>
      <c r="L289" s="482">
        <f t="shared" ref="L289:L305" si="937">+M289</f>
        <v>0</v>
      </c>
      <c r="M289" s="504"/>
      <c r="N289" s="505"/>
      <c r="O289" s="482">
        <f t="shared" ref="O289:O305" si="938">+P289</f>
        <v>0</v>
      </c>
      <c r="P289" s="504"/>
      <c r="Q289" s="505"/>
      <c r="R289" s="482">
        <f t="shared" ref="R289:R305" si="939">+S289</f>
        <v>0</v>
      </c>
      <c r="S289" s="608"/>
      <c r="T289" s="505"/>
      <c r="U289" s="482">
        <f t="shared" ref="U289:U305" si="940">+V289</f>
        <v>0</v>
      </c>
      <c r="V289" s="504"/>
      <c r="W289" s="505"/>
      <c r="X289" s="482">
        <f t="shared" ref="X289:X305" si="941">+Y289</f>
        <v>0</v>
      </c>
      <c r="Y289" s="504"/>
      <c r="Z289" s="505"/>
      <c r="AA289" s="482">
        <f t="shared" ref="AA289:AA305" si="942">+AB289</f>
        <v>0</v>
      </c>
      <c r="AB289" s="504"/>
      <c r="AC289" s="505"/>
      <c r="AD289" s="482">
        <f t="shared" ref="AD289:AD305" si="943">+AE289</f>
        <v>0</v>
      </c>
      <c r="AE289" s="504"/>
      <c r="AF289" s="505"/>
      <c r="AG289" s="482">
        <f t="shared" ref="AG289:AG305" si="944">+AH289</f>
        <v>0</v>
      </c>
      <c r="AH289" s="504"/>
      <c r="AI289" s="506">
        <v>4.4999999999999998E-2</v>
      </c>
      <c r="AJ289" s="482">
        <f t="shared" ref="AJ289:AJ305" si="945">+AK289</f>
        <v>0.14199999999999999</v>
      </c>
      <c r="AK289" s="507">
        <v>0.14199999999999999</v>
      </c>
      <c r="AL289" s="506">
        <v>0.04</v>
      </c>
      <c r="AM289" s="482">
        <f t="shared" ref="AM289:AM305" si="946">+AN289</f>
        <v>2.1000000000000001E-2</v>
      </c>
      <c r="AN289" s="507">
        <v>2.1000000000000001E-2</v>
      </c>
      <c r="AO289" s="506">
        <v>6.0000000000000001E-3</v>
      </c>
      <c r="AP289" s="482">
        <f t="shared" ref="AP289:AP305" si="947">+AQ289</f>
        <v>0</v>
      </c>
      <c r="AQ289" s="504"/>
      <c r="AR289" s="506">
        <v>0</v>
      </c>
      <c r="AS289" s="482">
        <f t="shared" ref="AS289:AS305" si="948">+AT289</f>
        <v>0</v>
      </c>
      <c r="AT289" s="507">
        <v>0</v>
      </c>
      <c r="AU289" s="505"/>
      <c r="AV289" s="482">
        <f t="shared" ref="AV289:AV305" si="949">+AW289</f>
        <v>0</v>
      </c>
      <c r="AW289" s="504"/>
      <c r="AX289" s="506">
        <v>0</v>
      </c>
      <c r="AY289" s="482">
        <f t="shared" ref="AY289:AY305" si="950">+AZ289</f>
        <v>0</v>
      </c>
      <c r="AZ289" s="507">
        <v>0</v>
      </c>
      <c r="BA289" s="506">
        <v>0</v>
      </c>
      <c r="BB289" s="482">
        <f t="shared" ref="BB289:BB305" si="951">+BC289</f>
        <v>0</v>
      </c>
      <c r="BC289" s="507">
        <v>0</v>
      </c>
      <c r="BD289" s="506">
        <v>0</v>
      </c>
      <c r="BE289" s="482">
        <f t="shared" ref="BE289:BE305" si="952">+BF289</f>
        <v>0</v>
      </c>
      <c r="BF289" s="504">
        <f>IF(Assumptions!BF218&lt;&gt;"",Assumptions!BF218,0)</f>
        <v>0</v>
      </c>
      <c r="BG289" s="505">
        <f>IF(Assumptions!BG218&lt;&gt;"",Assumptions!BG218,0)</f>
        <v>0</v>
      </c>
      <c r="BH289" s="482">
        <f t="shared" ref="BH289:BH305" si="953">+BI289</f>
        <v>0</v>
      </c>
      <c r="BI289" s="504">
        <f>IF(Assumptions!BI218&lt;&gt;"",Assumptions!BI218,0)</f>
        <v>0</v>
      </c>
      <c r="BJ289" s="505">
        <f>IF(Assumptions!BJ218&lt;&gt;"",Assumptions!BJ218,0)</f>
        <v>0</v>
      </c>
      <c r="BK289" s="482">
        <f t="shared" ref="BK289:BK305" si="954">+BL289</f>
        <v>0</v>
      </c>
      <c r="BL289" s="504">
        <f>IF(Assumptions!BL218&lt;&gt;"",Assumptions!BL218,0)</f>
        <v>0</v>
      </c>
      <c r="BM289" s="505">
        <f>IF(Assumptions!BM218&lt;&gt;"",Assumptions!BM218,0)</f>
        <v>0</v>
      </c>
      <c r="BN289" s="482">
        <f t="shared" ref="BN289:BN305" si="955">+BO289</f>
        <v>0</v>
      </c>
      <c r="BO289" s="503">
        <f>IF(Assumptions!BO218&lt;&gt;"",Assumptions!BO218,0)</f>
        <v>0</v>
      </c>
      <c r="BP289" s="505">
        <f>IF(Assumptions!BP218&lt;&gt;"",Assumptions!BP218,0)</f>
        <v>0</v>
      </c>
      <c r="BQ289" s="482">
        <f t="shared" ref="BQ289:BQ305" si="956">+BR289</f>
        <v>0</v>
      </c>
      <c r="BR289" s="503">
        <f>IF(Assumptions!BR218&lt;&gt;"",Assumptions!BR218,0)</f>
        <v>0</v>
      </c>
      <c r="BS289" s="505">
        <f>IF(Assumptions!BS218&lt;&gt;"",Assumptions!BS218,0)</f>
        <v>0</v>
      </c>
      <c r="BT289" s="482">
        <f t="shared" ref="BT289:BT305" si="957">+BU289</f>
        <v>0</v>
      </c>
      <c r="BU289" s="503">
        <f>IF(Assumptions!BU218&lt;&gt;"",Assumptions!BU218,0)</f>
        <v>0</v>
      </c>
      <c r="BV289" s="505">
        <f>IF(Assumptions!BV218&lt;&gt;"",Assumptions!BV218,0)</f>
        <v>0</v>
      </c>
      <c r="BW289" s="482">
        <f t="shared" ref="BW289:BW305" si="958">+BX289</f>
        <v>0</v>
      </c>
      <c r="BX289" s="503">
        <f>IF(Assumptions!BX218&lt;&gt;"",Assumptions!BX218,0)</f>
        <v>0</v>
      </c>
      <c r="BY289" s="506">
        <v>38.552</v>
      </c>
      <c r="BZ289" s="482">
        <f t="shared" ref="BZ289:BZ305" si="959">+CA289</f>
        <v>5.6000000000000001E-2</v>
      </c>
      <c r="CA289" s="508">
        <v>5.6000000000000001E-2</v>
      </c>
      <c r="CB289" s="506">
        <v>9.56</v>
      </c>
      <c r="CC289" s="482">
        <f t="shared" ref="CC289:CC305" si="960">+CD289</f>
        <v>5.7240000000000002</v>
      </c>
      <c r="CD289" s="508">
        <v>5.7240000000000002</v>
      </c>
      <c r="CE289" s="505">
        <f>IF(Assumptions!CE218&lt;&gt;"",Assumptions!CE218,0)</f>
        <v>0</v>
      </c>
      <c r="CF289" s="482">
        <f t="shared" ref="CF289:CF305" si="961">+CG289</f>
        <v>0</v>
      </c>
      <c r="CG289" s="503">
        <f>IF(Assumptions!CG218&lt;&gt;"",Assumptions!CG218,0)</f>
        <v>0</v>
      </c>
      <c r="CH289" s="506">
        <v>1.9159999999999999</v>
      </c>
      <c r="CI289" s="482">
        <f t="shared" ref="CI289:CI305" si="962">+CJ289</f>
        <v>0.73499999999999999</v>
      </c>
      <c r="CJ289" s="508">
        <v>0.73499999999999999</v>
      </c>
      <c r="CK289" s="506">
        <v>0.58299999999999996</v>
      </c>
      <c r="CL289" s="482">
        <f t="shared" ref="CL289:CL305" si="963">+CM289</f>
        <v>13.242000000000001</v>
      </c>
      <c r="CM289" s="508">
        <v>13.242000000000001</v>
      </c>
      <c r="CN289" s="506">
        <v>17.401</v>
      </c>
      <c r="CO289" s="482">
        <f t="shared" ref="CO289:CO305" si="964">+CP289</f>
        <v>0</v>
      </c>
      <c r="CP289" s="503">
        <f>IF(Assumptions!CP218&lt;&gt;"",Assumptions!CP218,0)</f>
        <v>0</v>
      </c>
      <c r="CQ289" s="505">
        <f>IF(Assumptions!CQ218&lt;&gt;"",Assumptions!CQ218,0)</f>
        <v>0</v>
      </c>
      <c r="CR289" s="482">
        <f t="shared" ref="CR289:CR305" si="965">+CS289</f>
        <v>0</v>
      </c>
      <c r="CS289" s="503">
        <f>IF(Assumptions!CS218&lt;&gt;"",Assumptions!CS218,0)</f>
        <v>0</v>
      </c>
      <c r="CT289" s="505">
        <f>IF(Assumptions!CT218&lt;&gt;"",Assumptions!CT218,0)</f>
        <v>0</v>
      </c>
      <c r="CU289" s="482">
        <f t="shared" ref="CU289:CU305" si="966">+CV289</f>
        <v>0</v>
      </c>
      <c r="CV289" s="503">
        <f>IF(Assumptions!CV218&lt;&gt;"",Assumptions!CV218,0)</f>
        <v>0</v>
      </c>
      <c r="CW289" s="505">
        <f>IF(Assumptions!CW218&lt;&gt;"",Assumptions!CW218,0)</f>
        <v>0</v>
      </c>
      <c r="CX289" s="482">
        <f t="shared" ref="CX289:CX305" si="967">+CY289</f>
        <v>33.917000000000002</v>
      </c>
      <c r="CY289" s="508">
        <v>33.917000000000002</v>
      </c>
      <c r="CZ289" s="505">
        <v>33.5</v>
      </c>
      <c r="DA289" s="482">
        <f t="shared" ref="DA289:DA305" si="968">+DB289</f>
        <v>28.1</v>
      </c>
      <c r="DB289" s="503">
        <v>28.1</v>
      </c>
      <c r="DC289" s="505">
        <v>18.399999999999999</v>
      </c>
      <c r="DD289" s="482">
        <f t="shared" ref="DD289:DD305" si="969">+DE289</f>
        <v>42.4</v>
      </c>
      <c r="DE289" s="503">
        <v>42.4</v>
      </c>
      <c r="DF289" s="506">
        <v>24.1</v>
      </c>
      <c r="DG289" s="482">
        <f t="shared" ref="DG289:DG305" si="970">+DH289</f>
        <v>13.6</v>
      </c>
      <c r="DH289" s="1282">
        <f>13.6</f>
        <v>13.6</v>
      </c>
      <c r="DI289" s="482">
        <v>4.4000000000000004</v>
      </c>
      <c r="DJ289" s="482">
        <f t="shared" ref="DJ289:DJ305" si="971">+DK289</f>
        <v>0.7</v>
      </c>
      <c r="DK289" s="1244">
        <v>0.7</v>
      </c>
      <c r="DL289" s="482">
        <v>0.5</v>
      </c>
      <c r="DM289" s="482">
        <f t="shared" ref="DM289:DM305" si="972">+DN289</f>
        <v>0.3</v>
      </c>
      <c r="DN289" s="1244">
        <v>0.3</v>
      </c>
      <c r="DO289" s="482">
        <v>0.2</v>
      </c>
      <c r="DP289" s="482">
        <f t="shared" ref="DP289:DP305" si="973">+DQ289</f>
        <v>0</v>
      </c>
      <c r="DQ289" s="1244">
        <f>IF(Assumptions!DQ218&lt;&gt;"",Assumptions!DQ218,0)</f>
        <v>0</v>
      </c>
      <c r="DR289" s="482">
        <f>IF(Assumptions!DR218&lt;&gt;"",Assumptions!DR218,0)</f>
        <v>0</v>
      </c>
      <c r="DS289" s="482">
        <f>+DT289</f>
        <v>0</v>
      </c>
      <c r="DT289" s="1244">
        <f>IF(Assumptions!DT218&lt;&gt;"",Assumptions!DT218,0)</f>
        <v>0</v>
      </c>
      <c r="DU289" s="482">
        <f>IF(Assumptions!DU218&lt;&gt;"",Assumptions!DU218,0)</f>
        <v>0</v>
      </c>
      <c r="DV289" s="482">
        <f>+DW289</f>
        <v>0</v>
      </c>
      <c r="DW289" s="1244">
        <f>IF(Assumptions!DW218&lt;&gt;"",Assumptions!DW218,0)</f>
        <v>0</v>
      </c>
      <c r="DX289" s="482">
        <f>IF(Assumptions!DX218&lt;&gt;"",Assumptions!DX218,0)</f>
        <v>0</v>
      </c>
      <c r="DY289" s="482">
        <f>+DZ289</f>
        <v>0</v>
      </c>
      <c r="DZ289" s="1244">
        <f>IF(Assumptions!DZ218&lt;&gt;"",Assumptions!DZ218,0)</f>
        <v>0</v>
      </c>
      <c r="EA289" s="482">
        <f>IF(Assumptions!EA218&lt;&gt;"",Assumptions!EA218,0)</f>
        <v>0</v>
      </c>
      <c r="EB289" s="482">
        <f>+EC289</f>
        <v>0</v>
      </c>
      <c r="EC289" s="1244">
        <f>IF(Assumptions!EC218&lt;&gt;"",Assumptions!EC218,0)</f>
        <v>0</v>
      </c>
      <c r="ED289" s="482">
        <f>IF(Assumptions!ED218&lt;&gt;"",Assumptions!ED218,0)</f>
        <v>0</v>
      </c>
      <c r="EE289" s="482">
        <f>+EF289</f>
        <v>0</v>
      </c>
      <c r="EF289" s="1244">
        <f>IF(Assumptions!EF218&lt;&gt;"",Assumptions!EF218,0)</f>
        <v>0</v>
      </c>
      <c r="EG289" s="482">
        <f>IF(Assumptions!EG218&lt;&gt;"",Assumptions!EG218,0)</f>
        <v>0</v>
      </c>
      <c r="EH289" s="482">
        <f>+EI289</f>
        <v>0</v>
      </c>
      <c r="EI289" s="1244">
        <f>IF(Assumptions!EI218&lt;&gt;"",Assumptions!EI218,0)</f>
        <v>0</v>
      </c>
      <c r="EJ289" s="482">
        <f>IF(Assumptions!EJ218&lt;&gt;"",Assumptions!EJ218,0)</f>
        <v>0</v>
      </c>
      <c r="EK289" s="482">
        <f>+EL289</f>
        <v>0</v>
      </c>
      <c r="EL289" s="1244">
        <f>IF(Assumptions!EL218&lt;&gt;"",Assumptions!EL218,0)</f>
        <v>0</v>
      </c>
      <c r="EM289" s="482">
        <f>IF(Assumptions!EM218&lt;&gt;"",Assumptions!EM218,0)</f>
        <v>0</v>
      </c>
      <c r="EN289" s="482">
        <f>+EO289</f>
        <v>0</v>
      </c>
      <c r="EO289" s="1244">
        <f>IF(Assumptions!EO218&lt;&gt;"",Assumptions!EO218,0)</f>
        <v>0</v>
      </c>
      <c r="EP289" s="482">
        <f>IF(Assumptions!EP218&lt;&gt;"",Assumptions!EP218,0)</f>
        <v>0</v>
      </c>
      <c r="EQ289" s="482">
        <f>+ER289</f>
        <v>0</v>
      </c>
      <c r="ER289" s="1244">
        <f>IF(Assumptions!ER218&lt;&gt;"",Assumptions!ER218,0)</f>
        <v>0</v>
      </c>
      <c r="ES289" s="482">
        <f>IF(Assumptions!ES218&lt;&gt;"",Assumptions!ES218,0)</f>
        <v>0</v>
      </c>
      <c r="ET289" s="482">
        <f>+EU289</f>
        <v>0</v>
      </c>
      <c r="EU289" s="1244">
        <f>IF(Assumptions!EU218&lt;&gt;"",Assumptions!EU218,0)</f>
        <v>0</v>
      </c>
      <c r="EV289" s="482">
        <f>IF(Assumptions!EV218&lt;&gt;"",Assumptions!EV218,0)</f>
        <v>0</v>
      </c>
      <c r="EW289" s="482">
        <f>+EX289</f>
        <v>0</v>
      </c>
      <c r="EX289" s="1244">
        <f>IF(Assumptions!EX218&lt;&gt;"",Assumptions!EX218,0)</f>
        <v>0</v>
      </c>
      <c r="EY289" s="482">
        <f>IF(Assumptions!EY218&lt;&gt;"",Assumptions!EY218,0)</f>
        <v>0</v>
      </c>
      <c r="EZ289" s="482">
        <f>+FA289</f>
        <v>0</v>
      </c>
      <c r="FA289" s="1244">
        <f>IF(Assumptions!FA218&lt;&gt;"",Assumptions!FA218,0)</f>
        <v>0</v>
      </c>
      <c r="FB289" s="1571"/>
      <c r="FE289"/>
      <c r="FF289"/>
      <c r="FG289"/>
      <c r="FH289"/>
      <c r="FI289"/>
      <c r="FJ289"/>
      <c r="FK289" s="35"/>
    </row>
    <row r="290" spans="2:167" s="236" customFormat="1" ht="13.35" customHeight="1" thickBot="1">
      <c r="B290" s="485" t="s">
        <v>650</v>
      </c>
      <c r="C290" s="242" t="s">
        <v>496</v>
      </c>
      <c r="D290" s="243"/>
      <c r="E290" s="482">
        <f>+SUM(E291:E296)</f>
        <v>0</v>
      </c>
      <c r="F290" s="482">
        <f t="shared" si="935"/>
        <v>0</v>
      </c>
      <c r="G290" s="482">
        <f>+SUM(G291:G296)</f>
        <v>0</v>
      </c>
      <c r="H290" s="482">
        <f>+SUM(H291:H296)</f>
        <v>0</v>
      </c>
      <c r="I290" s="482">
        <f t="shared" si="936"/>
        <v>0</v>
      </c>
      <c r="J290" s="482">
        <f>+SUM(J291:J296)</f>
        <v>0</v>
      </c>
      <c r="K290" s="482">
        <f>+SUM(K291:K296)</f>
        <v>0</v>
      </c>
      <c r="L290" s="482">
        <f t="shared" si="937"/>
        <v>0</v>
      </c>
      <c r="M290" s="482">
        <f>+SUM(M291:M296)</f>
        <v>0</v>
      </c>
      <c r="N290" s="482">
        <f>+SUM(N291:N296)</f>
        <v>0</v>
      </c>
      <c r="O290" s="482">
        <f t="shared" si="938"/>
        <v>0</v>
      </c>
      <c r="P290" s="482">
        <f>+SUM(P291:P296)</f>
        <v>0</v>
      </c>
      <c r="Q290" s="482">
        <f>+SUM(Q291:Q296)</f>
        <v>0</v>
      </c>
      <c r="R290" s="482">
        <f t="shared" si="939"/>
        <v>0</v>
      </c>
      <c r="S290" s="603">
        <f>+SUM(S291:S296)</f>
        <v>0</v>
      </c>
      <c r="T290" s="482">
        <f>+SUM(T291:T296)</f>
        <v>0</v>
      </c>
      <c r="U290" s="482">
        <f t="shared" si="940"/>
        <v>0</v>
      </c>
      <c r="V290" s="482">
        <f>+SUM(V291:V296)</f>
        <v>0</v>
      </c>
      <c r="W290" s="482">
        <f>+SUM(W291:W296)</f>
        <v>0</v>
      </c>
      <c r="X290" s="482">
        <f t="shared" si="941"/>
        <v>0</v>
      </c>
      <c r="Y290" s="482">
        <f>+SUM(Y291:Y296)</f>
        <v>0</v>
      </c>
      <c r="Z290" s="482">
        <f>+SUM(Z291:Z296)</f>
        <v>0</v>
      </c>
      <c r="AA290" s="482">
        <f t="shared" si="942"/>
        <v>0</v>
      </c>
      <c r="AB290" s="482">
        <f>+SUM(AB291:AB296)</f>
        <v>0</v>
      </c>
      <c r="AC290" s="482">
        <f>+SUM(AC291:AC296)</f>
        <v>0</v>
      </c>
      <c r="AD290" s="482">
        <f t="shared" si="943"/>
        <v>0</v>
      </c>
      <c r="AE290" s="482">
        <f>+SUM(AE291:AE296)</f>
        <v>0</v>
      </c>
      <c r="AF290" s="482">
        <f>+SUM(AF291:AF296)</f>
        <v>0</v>
      </c>
      <c r="AG290" s="482">
        <f t="shared" si="944"/>
        <v>0</v>
      </c>
      <c r="AH290" s="482">
        <f>+SUM(AH291:AH296)</f>
        <v>0</v>
      </c>
      <c r="AI290" s="482">
        <f>+SUM(AI291:AI296)</f>
        <v>0</v>
      </c>
      <c r="AJ290" s="482">
        <f t="shared" si="945"/>
        <v>0</v>
      </c>
      <c r="AK290" s="482">
        <f>+SUM(AK291:AK296)</f>
        <v>0</v>
      </c>
      <c r="AL290" s="482">
        <f>+SUM(AL291:AL296)</f>
        <v>0</v>
      </c>
      <c r="AM290" s="482">
        <f t="shared" si="946"/>
        <v>7.1999999999999995E-2</v>
      </c>
      <c r="AN290" s="482">
        <f>+SUM(AN291:AN296)</f>
        <v>7.1999999999999995E-2</v>
      </c>
      <c r="AO290" s="482">
        <f>+SUM(AO291:AO296)</f>
        <v>0</v>
      </c>
      <c r="AP290" s="482">
        <f t="shared" si="947"/>
        <v>0</v>
      </c>
      <c r="AQ290" s="482">
        <f>+SUM(AQ291:AQ296)</f>
        <v>0</v>
      </c>
      <c r="AR290" s="482">
        <f>+SUM(AR291:AR296)</f>
        <v>0</v>
      </c>
      <c r="AS290" s="482">
        <f t="shared" si="948"/>
        <v>0</v>
      </c>
      <c r="AT290" s="482">
        <f>+SUM(AT291:AT296)</f>
        <v>0</v>
      </c>
      <c r="AU290" s="482">
        <f>+SUM(AU291:AU296)</f>
        <v>0</v>
      </c>
      <c r="AV290" s="482">
        <f t="shared" si="949"/>
        <v>0</v>
      </c>
      <c r="AW290" s="482">
        <f>+SUM(AW291:AW296)</f>
        <v>0</v>
      </c>
      <c r="AX290" s="482">
        <f>+SUM(AX291:AX296)</f>
        <v>0</v>
      </c>
      <c r="AY290" s="482">
        <f t="shared" si="950"/>
        <v>0</v>
      </c>
      <c r="AZ290" s="482">
        <f>+SUM(AZ291:AZ296)</f>
        <v>0</v>
      </c>
      <c r="BA290" s="482">
        <f>+SUM(BA291:BA296)</f>
        <v>0</v>
      </c>
      <c r="BB290" s="482">
        <f t="shared" si="951"/>
        <v>0</v>
      </c>
      <c r="BC290" s="482">
        <f>+SUM(BC291:BC296)</f>
        <v>0</v>
      </c>
      <c r="BD290" s="482">
        <f>+SUM(BD291:BD296)</f>
        <v>0</v>
      </c>
      <c r="BE290" s="482">
        <f t="shared" si="952"/>
        <v>0</v>
      </c>
      <c r="BF290" s="482">
        <f>+SUM(BF291:BF296)</f>
        <v>0</v>
      </c>
      <c r="BG290" s="482">
        <f>+SUM(BG291:BG296)</f>
        <v>0</v>
      </c>
      <c r="BH290" s="482">
        <f t="shared" si="953"/>
        <v>0</v>
      </c>
      <c r="BI290" s="482">
        <f>+SUM(BI291:BI296)</f>
        <v>0</v>
      </c>
      <c r="BJ290" s="482">
        <f>+SUM(BJ291:BJ296)</f>
        <v>0</v>
      </c>
      <c r="BK290" s="482">
        <f t="shared" si="954"/>
        <v>0</v>
      </c>
      <c r="BL290" s="482">
        <f>+SUM(BL291:BL296)</f>
        <v>0</v>
      </c>
      <c r="BM290" s="482">
        <f>+SUM(BM291:BM296)</f>
        <v>0</v>
      </c>
      <c r="BN290" s="482">
        <f t="shared" si="955"/>
        <v>138.95099999999999</v>
      </c>
      <c r="BO290" s="482">
        <f>+SUM(BO291:BO296)</f>
        <v>138.95099999999999</v>
      </c>
      <c r="BP290" s="482">
        <f>+SUM(BP291:BP296)</f>
        <v>133.09700000000001</v>
      </c>
      <c r="BQ290" s="482">
        <f t="shared" si="956"/>
        <v>125.49299999999999</v>
      </c>
      <c r="BR290" s="482">
        <f>+SUM(BR291:BR296)</f>
        <v>125.49299999999999</v>
      </c>
      <c r="BS290" s="482">
        <f>+SUM(BS291:BS296)</f>
        <v>104.54600000000001</v>
      </c>
      <c r="BT290" s="482">
        <f t="shared" si="957"/>
        <v>37.552</v>
      </c>
      <c r="BU290" s="482">
        <f>+SUM(BU291:BU296)</f>
        <v>37.552</v>
      </c>
      <c r="BV290" s="482">
        <f>+SUM(BV291:BV296)</f>
        <v>39.04</v>
      </c>
      <c r="BW290" s="482">
        <f t="shared" si="958"/>
        <v>154.54499999999999</v>
      </c>
      <c r="BX290" s="482">
        <f>+SUM(BX291:BX296)</f>
        <v>154.54499999999999</v>
      </c>
      <c r="BY290" s="482">
        <f>+SUM(BY291:BY296)</f>
        <v>180.44300000000001</v>
      </c>
      <c r="BZ290" s="482">
        <f t="shared" si="959"/>
        <v>188.583</v>
      </c>
      <c r="CA290" s="482">
        <f>+SUM(CA291:CA296)</f>
        <v>188.583</v>
      </c>
      <c r="CB290" s="482">
        <f>+SUM(CB291:CB296)</f>
        <v>142.54599999999999</v>
      </c>
      <c r="CC290" s="482">
        <f t="shared" si="960"/>
        <v>82.933999999999997</v>
      </c>
      <c r="CD290" s="482">
        <f>+SUM(CD291:CD296)</f>
        <v>82.933999999999997</v>
      </c>
      <c r="CE290" s="482">
        <f>+SUM(CE291:CE296)</f>
        <v>80.936000000000007</v>
      </c>
      <c r="CF290" s="482">
        <f t="shared" si="961"/>
        <v>3.04</v>
      </c>
      <c r="CG290" s="482">
        <f>+SUM(CG291:CG296)</f>
        <v>3.04</v>
      </c>
      <c r="CH290" s="482">
        <f>+SUM(CH291:CH296)</f>
        <v>43.478000000000002</v>
      </c>
      <c r="CI290" s="482">
        <f t="shared" si="962"/>
        <v>19.928000000000001</v>
      </c>
      <c r="CJ290" s="482">
        <f>+SUM(CJ291:CJ296)</f>
        <v>19.928000000000001</v>
      </c>
      <c r="CK290" s="482">
        <f>+SUM(CK291:CK296)</f>
        <v>63.947000000000003</v>
      </c>
      <c r="CL290" s="482">
        <f>+CM290</f>
        <v>167.16</v>
      </c>
      <c r="CM290" s="482">
        <f>+SUM(CM291:CM296)</f>
        <v>167.16</v>
      </c>
      <c r="CN290" s="482">
        <f>+SUM(CN291:CN296)</f>
        <v>223.10499999999999</v>
      </c>
      <c r="CO290" s="482">
        <f t="shared" si="964"/>
        <v>234.274</v>
      </c>
      <c r="CP290" s="482">
        <f>+SUM(CP291:CP296)</f>
        <v>234.274</v>
      </c>
      <c r="CQ290" s="482">
        <f>+SUM(CQ291:CQ296)</f>
        <v>227.417</v>
      </c>
      <c r="CR290" s="482">
        <f t="shared" si="965"/>
        <v>44.552</v>
      </c>
      <c r="CS290" s="482">
        <f>+SUM(CS291:CS296)</f>
        <v>44.552</v>
      </c>
      <c r="CT290" s="482">
        <f>+SUM(CT291:CT296)</f>
        <v>44.686999999999998</v>
      </c>
      <c r="CU290" s="482">
        <f t="shared" si="966"/>
        <v>189.26</v>
      </c>
      <c r="CV290" s="482">
        <f>+SUM(CV291:CV296)</f>
        <v>189.26</v>
      </c>
      <c r="CW290" s="482">
        <f>+SUM(CW291:CW296)</f>
        <v>169.39699999999999</v>
      </c>
      <c r="CX290" s="482">
        <f t="shared" si="967"/>
        <v>134.23500000000001</v>
      </c>
      <c r="CY290" s="482">
        <f>+SUM(CY291:CY296)</f>
        <v>134.23500000000001</v>
      </c>
      <c r="CZ290" s="482">
        <f>+SUM(CZ291:CZ296)</f>
        <v>184.4</v>
      </c>
      <c r="DA290" s="482">
        <f t="shared" si="968"/>
        <v>144</v>
      </c>
      <c r="DB290" s="482">
        <f>+SUM(DB291:DB296)</f>
        <v>144</v>
      </c>
      <c r="DC290" s="482">
        <f>+SUM(DC291:DC296)</f>
        <v>161.5</v>
      </c>
      <c r="DD290" s="482">
        <f t="shared" si="969"/>
        <v>178.3</v>
      </c>
      <c r="DE290" s="482">
        <f>+SUM(DE291:DE296)</f>
        <v>178.3</v>
      </c>
      <c r="DF290" s="482">
        <f>+SUM(DF291:DF296)</f>
        <v>230.4</v>
      </c>
      <c r="DG290" s="482">
        <f t="shared" si="970"/>
        <v>472.9</v>
      </c>
      <c r="DH290" s="1244">
        <f>+SUM(DH291:DH296)</f>
        <v>472.9</v>
      </c>
      <c r="DI290" s="482">
        <f>+SUM(DI291:DI296)</f>
        <v>110.8</v>
      </c>
      <c r="DJ290" s="482">
        <f t="shared" si="971"/>
        <v>45</v>
      </c>
      <c r="DK290" s="1244">
        <f>+SUM(DK291:DK296)</f>
        <v>45</v>
      </c>
      <c r="DL290" s="482">
        <f>+SUM(DL291:DL296)</f>
        <v>45.1</v>
      </c>
      <c r="DM290" s="482">
        <f t="shared" si="972"/>
        <v>0</v>
      </c>
      <c r="DN290" s="1244">
        <f>+SUM(DN291:DN296)</f>
        <v>0</v>
      </c>
      <c r="DO290" s="482">
        <f>+SUM(DO291:DO296)</f>
        <v>41.3</v>
      </c>
      <c r="DP290" s="482">
        <f t="shared" si="973"/>
        <v>0</v>
      </c>
      <c r="DQ290" s="1244">
        <f>+SUM(DQ291:DQ296)</f>
        <v>0</v>
      </c>
      <c r="DR290" s="482">
        <f>+SUM(DR291:DR296)</f>
        <v>0</v>
      </c>
      <c r="DS290" s="482">
        <f>+DT290</f>
        <v>0</v>
      </c>
      <c r="DT290" s="1244">
        <f>+SUM(DT291:DT296)</f>
        <v>0</v>
      </c>
      <c r="DU290" s="482">
        <f>+SUM(DU291:DU296)</f>
        <v>0</v>
      </c>
      <c r="DV290" s="482">
        <f>+DW290</f>
        <v>0</v>
      </c>
      <c r="DW290" s="1244">
        <f>+SUM(DW291:DW296)</f>
        <v>0</v>
      </c>
      <c r="DX290" s="482">
        <f>+SUM(DX291:DX296)</f>
        <v>0</v>
      </c>
      <c r="DY290" s="482">
        <f>+DZ290</f>
        <v>0</v>
      </c>
      <c r="DZ290" s="1244">
        <f>+SUM(DZ291:DZ296)</f>
        <v>0</v>
      </c>
      <c r="EA290" s="482">
        <f>+SUM(EA291:EA296)</f>
        <v>0</v>
      </c>
      <c r="EB290" s="482">
        <f>+EC290</f>
        <v>0</v>
      </c>
      <c r="EC290" s="1244">
        <f>+SUM(EC291:EC296)</f>
        <v>0</v>
      </c>
      <c r="ED290" s="482">
        <f>+SUM(ED291:ED296)</f>
        <v>0</v>
      </c>
      <c r="EE290" s="482">
        <f>+EF290</f>
        <v>0</v>
      </c>
      <c r="EF290" s="1244">
        <f>+SUM(EF291:EF296)</f>
        <v>0</v>
      </c>
      <c r="EG290" s="482">
        <f>+SUM(EG291:EG296)</f>
        <v>0</v>
      </c>
      <c r="EH290" s="482">
        <f>+EI290</f>
        <v>0</v>
      </c>
      <c r="EI290" s="1244">
        <f>+SUM(EI291:EI296)</f>
        <v>0</v>
      </c>
      <c r="EJ290" s="482">
        <f>+SUM(EJ291:EJ296)</f>
        <v>0</v>
      </c>
      <c r="EK290" s="482">
        <f>+EL290</f>
        <v>0</v>
      </c>
      <c r="EL290" s="1244">
        <f>+SUM(EL291:EL296)</f>
        <v>0</v>
      </c>
      <c r="EM290" s="482">
        <f>+SUM(EM291:EM296)</f>
        <v>0</v>
      </c>
      <c r="EN290" s="482">
        <f>+EO290</f>
        <v>0</v>
      </c>
      <c r="EO290" s="1244">
        <f>+SUM(EO291:EO296)</f>
        <v>0</v>
      </c>
      <c r="EP290" s="482">
        <f>+SUM(EP291:EP296)</f>
        <v>0</v>
      </c>
      <c r="EQ290" s="482">
        <f>+ER290</f>
        <v>0</v>
      </c>
      <c r="ER290" s="1244">
        <f>+SUM(ER291:ER296)</f>
        <v>0</v>
      </c>
      <c r="ES290" s="482">
        <f>+SUM(ES291:ES296)</f>
        <v>0</v>
      </c>
      <c r="ET290" s="482">
        <f>+EU290</f>
        <v>0</v>
      </c>
      <c r="EU290" s="1244">
        <f>+SUM(EU291:EU296)</f>
        <v>0</v>
      </c>
      <c r="EV290" s="482">
        <f>+SUM(EV291:EV296)</f>
        <v>0</v>
      </c>
      <c r="EW290" s="482">
        <f>+EX290</f>
        <v>0</v>
      </c>
      <c r="EX290" s="1244">
        <f>+SUM(EX291:EX296)</f>
        <v>0</v>
      </c>
      <c r="EY290" s="482">
        <f>+SUM(EY291:EY296)</f>
        <v>0</v>
      </c>
      <c r="EZ290" s="482">
        <f>+FA290</f>
        <v>0</v>
      </c>
      <c r="FA290" s="1244">
        <f>+SUM(FA291:FA296)</f>
        <v>0</v>
      </c>
      <c r="FB290" s="1571"/>
      <c r="FE290"/>
      <c r="FF290"/>
      <c r="FG290"/>
      <c r="FH290"/>
      <c r="FI290"/>
      <c r="FJ290"/>
      <c r="FK290" s="35"/>
    </row>
    <row r="291" spans="2:167" s="236" customFormat="1" ht="13.35" customHeight="1" outlineLevel="1">
      <c r="B291" s="242" t="s">
        <v>781</v>
      </c>
      <c r="C291" s="242" t="s">
        <v>496</v>
      </c>
      <c r="D291" s="243"/>
      <c r="E291" s="511"/>
      <c r="F291" s="510">
        <f t="shared" si="935"/>
        <v>0</v>
      </c>
      <c r="G291" s="512"/>
      <c r="H291" s="513"/>
      <c r="I291" s="510">
        <f t="shared" si="936"/>
        <v>0</v>
      </c>
      <c r="J291" s="512"/>
      <c r="K291" s="513"/>
      <c r="L291" s="510">
        <f t="shared" si="937"/>
        <v>0</v>
      </c>
      <c r="M291" s="512"/>
      <c r="N291" s="513"/>
      <c r="O291" s="510">
        <f t="shared" si="938"/>
        <v>0</v>
      </c>
      <c r="P291" s="512"/>
      <c r="Q291" s="513"/>
      <c r="R291" s="510">
        <f t="shared" si="939"/>
        <v>0</v>
      </c>
      <c r="S291" s="604"/>
      <c r="T291" s="513"/>
      <c r="U291" s="510">
        <f t="shared" si="940"/>
        <v>0</v>
      </c>
      <c r="V291" s="512"/>
      <c r="W291" s="513"/>
      <c r="X291" s="510">
        <f t="shared" si="941"/>
        <v>0</v>
      </c>
      <c r="Y291" s="512"/>
      <c r="Z291" s="513"/>
      <c r="AA291" s="510">
        <f t="shared" si="942"/>
        <v>0</v>
      </c>
      <c r="AB291" s="512"/>
      <c r="AC291" s="513"/>
      <c r="AD291" s="510">
        <f t="shared" si="943"/>
        <v>0</v>
      </c>
      <c r="AE291" s="512"/>
      <c r="AF291" s="513"/>
      <c r="AG291" s="510">
        <f t="shared" si="944"/>
        <v>0</v>
      </c>
      <c r="AH291" s="512"/>
      <c r="AI291" s="513"/>
      <c r="AJ291" s="510">
        <f t="shared" si="945"/>
        <v>0</v>
      </c>
      <c r="AK291" s="512"/>
      <c r="AL291" s="513"/>
      <c r="AM291" s="510">
        <f t="shared" si="946"/>
        <v>7.1999999999999995E-2</v>
      </c>
      <c r="AN291" s="515">
        <v>7.1999999999999995E-2</v>
      </c>
      <c r="AO291" s="513"/>
      <c r="AP291" s="510">
        <f t="shared" si="947"/>
        <v>0</v>
      </c>
      <c r="AQ291" s="512"/>
      <c r="AR291" s="513"/>
      <c r="AS291" s="510">
        <f t="shared" si="948"/>
        <v>0</v>
      </c>
      <c r="AT291" s="512"/>
      <c r="AU291" s="513"/>
      <c r="AV291" s="510">
        <f t="shared" si="949"/>
        <v>0</v>
      </c>
      <c r="AW291" s="512"/>
      <c r="AX291" s="514">
        <v>0</v>
      </c>
      <c r="AY291" s="510">
        <f t="shared" si="950"/>
        <v>0</v>
      </c>
      <c r="AZ291" s="515">
        <v>0</v>
      </c>
      <c r="BA291" s="514">
        <v>0</v>
      </c>
      <c r="BB291" s="510">
        <f t="shared" si="951"/>
        <v>0</v>
      </c>
      <c r="BC291" s="515">
        <v>0</v>
      </c>
      <c r="BD291" s="514">
        <v>0</v>
      </c>
      <c r="BE291" s="510">
        <f t="shared" si="952"/>
        <v>0</v>
      </c>
      <c r="BF291" s="515">
        <v>0</v>
      </c>
      <c r="BG291" s="514">
        <v>0</v>
      </c>
      <c r="BH291" s="510">
        <f t="shared" si="953"/>
        <v>0</v>
      </c>
      <c r="BI291" s="515">
        <v>0</v>
      </c>
      <c r="BJ291" s="514">
        <v>0</v>
      </c>
      <c r="BK291" s="510">
        <f t="shared" si="954"/>
        <v>0</v>
      </c>
      <c r="BL291" s="512">
        <f>BJ291</f>
        <v>0</v>
      </c>
      <c r="BM291" s="513">
        <f>BL291</f>
        <v>0</v>
      </c>
      <c r="BN291" s="510">
        <f t="shared" si="955"/>
        <v>138.95099999999999</v>
      </c>
      <c r="BO291" s="548">
        <v>138.95099999999999</v>
      </c>
      <c r="BP291" s="514">
        <v>133.09700000000001</v>
      </c>
      <c r="BQ291" s="510">
        <f t="shared" si="956"/>
        <v>125.49299999999999</v>
      </c>
      <c r="BR291" s="548">
        <v>125.49299999999999</v>
      </c>
      <c r="BS291" s="514">
        <v>104.54600000000001</v>
      </c>
      <c r="BT291" s="510">
        <f t="shared" si="957"/>
        <v>37.552</v>
      </c>
      <c r="BU291" s="548">
        <v>37.552</v>
      </c>
      <c r="BV291" s="514">
        <v>39.04</v>
      </c>
      <c r="BW291" s="510">
        <f t="shared" si="958"/>
        <v>154.54499999999999</v>
      </c>
      <c r="BX291" s="548">
        <v>154.54499999999999</v>
      </c>
      <c r="BY291" s="514">
        <v>180.44300000000001</v>
      </c>
      <c r="BZ291" s="510">
        <f t="shared" si="959"/>
        <v>188.583</v>
      </c>
      <c r="CA291" s="514">
        <v>188.583</v>
      </c>
      <c r="CB291" s="514">
        <v>142.54599999999999</v>
      </c>
      <c r="CC291" s="510">
        <f t="shared" si="960"/>
        <v>82.933999999999997</v>
      </c>
      <c r="CD291" s="514">
        <v>82.933999999999997</v>
      </c>
      <c r="CE291" s="514">
        <v>80.936000000000007</v>
      </c>
      <c r="CF291" s="510">
        <f t="shared" si="961"/>
        <v>0</v>
      </c>
      <c r="CG291" s="514">
        <v>0</v>
      </c>
      <c r="CH291" s="514">
        <v>43.478000000000002</v>
      </c>
      <c r="CI291" s="510">
        <f t="shared" si="962"/>
        <v>19.928000000000001</v>
      </c>
      <c r="CJ291" s="514">
        <v>19.928000000000001</v>
      </c>
      <c r="CK291" s="514">
        <v>63.947000000000003</v>
      </c>
      <c r="CL291" s="510">
        <f t="shared" si="963"/>
        <v>167.16</v>
      </c>
      <c r="CM291" s="514">
        <v>167.16</v>
      </c>
      <c r="CN291" s="514">
        <v>223.10499999999999</v>
      </c>
      <c r="CO291" s="510">
        <f t="shared" si="964"/>
        <v>234.274</v>
      </c>
      <c r="CP291" s="514">
        <v>234.274</v>
      </c>
      <c r="CQ291" s="514">
        <v>227.417</v>
      </c>
      <c r="CR291" s="510">
        <f t="shared" si="965"/>
        <v>44.552</v>
      </c>
      <c r="CS291" s="514">
        <v>44.552</v>
      </c>
      <c r="CT291" s="514">
        <v>44.686999999999998</v>
      </c>
      <c r="CU291" s="510">
        <f>CV291</f>
        <v>189.26</v>
      </c>
      <c r="CV291" s="514">
        <v>189.26</v>
      </c>
      <c r="CW291" s="514">
        <v>169.39699999999999</v>
      </c>
      <c r="CX291" s="510">
        <f>CY291</f>
        <v>134.23500000000001</v>
      </c>
      <c r="CY291" s="514">
        <v>134.23500000000001</v>
      </c>
      <c r="CZ291" s="513">
        <v>184.4</v>
      </c>
      <c r="DA291" s="510">
        <f>DB291</f>
        <v>144</v>
      </c>
      <c r="DB291" s="513">
        <v>144</v>
      </c>
      <c r="DC291" s="513">
        <v>161.5</v>
      </c>
      <c r="DD291" s="510">
        <f>DE291</f>
        <v>178.3</v>
      </c>
      <c r="DE291" s="513">
        <v>178.3</v>
      </c>
      <c r="DF291" s="514">
        <v>230.4</v>
      </c>
      <c r="DG291" s="510">
        <f>DH291</f>
        <v>79.900000000000006</v>
      </c>
      <c r="DH291" s="1284">
        <v>79.900000000000006</v>
      </c>
      <c r="DI291" s="482">
        <v>29.8</v>
      </c>
      <c r="DJ291" s="482">
        <f>DK291</f>
        <v>45</v>
      </c>
      <c r="DK291" s="1244">
        <v>45</v>
      </c>
      <c r="DL291" s="482">
        <v>45.1</v>
      </c>
      <c r="DM291" s="482">
        <f>DN291</f>
        <v>0</v>
      </c>
      <c r="DN291" s="1244">
        <v>0</v>
      </c>
      <c r="DO291" s="482">
        <v>41.3</v>
      </c>
      <c r="DP291" s="482">
        <f>DQ291</f>
        <v>0</v>
      </c>
      <c r="DQ291" s="1244">
        <v>0</v>
      </c>
      <c r="DR291" s="482">
        <f>DQ291</f>
        <v>0</v>
      </c>
      <c r="DS291" s="482">
        <f>DT291</f>
        <v>0</v>
      </c>
      <c r="DT291" s="1244">
        <f>+DR291</f>
        <v>0</v>
      </c>
      <c r="DU291" s="482">
        <f>DT291</f>
        <v>0</v>
      </c>
      <c r="DV291" s="482">
        <f>DW291</f>
        <v>0</v>
      </c>
      <c r="DW291" s="1244">
        <f>+DU291</f>
        <v>0</v>
      </c>
      <c r="DX291" s="482">
        <f>DW291</f>
        <v>0</v>
      </c>
      <c r="DY291" s="482">
        <f>DZ291</f>
        <v>0</v>
      </c>
      <c r="DZ291" s="1244">
        <f>+DX291</f>
        <v>0</v>
      </c>
      <c r="EA291" s="482">
        <f>DZ291</f>
        <v>0</v>
      </c>
      <c r="EB291" s="482">
        <f>EC291</f>
        <v>0</v>
      </c>
      <c r="EC291" s="1244">
        <f>+EA291</f>
        <v>0</v>
      </c>
      <c r="ED291" s="482">
        <f>EC291</f>
        <v>0</v>
      </c>
      <c r="EE291" s="482">
        <f>EF291</f>
        <v>0</v>
      </c>
      <c r="EF291" s="1244">
        <f>+ED291</f>
        <v>0</v>
      </c>
      <c r="EG291" s="482">
        <f>EF291</f>
        <v>0</v>
      </c>
      <c r="EH291" s="482">
        <f>EI291</f>
        <v>0</v>
      </c>
      <c r="EI291" s="1244">
        <f>+EG291</f>
        <v>0</v>
      </c>
      <c r="EJ291" s="482">
        <f>EI291</f>
        <v>0</v>
      </c>
      <c r="EK291" s="482">
        <f>EL291</f>
        <v>0</v>
      </c>
      <c r="EL291" s="1244">
        <f>+EJ291</f>
        <v>0</v>
      </c>
      <c r="EM291" s="482">
        <f>EL291</f>
        <v>0</v>
      </c>
      <c r="EN291" s="482">
        <f>EO291</f>
        <v>0</v>
      </c>
      <c r="EO291" s="1244">
        <f>+EM291</f>
        <v>0</v>
      </c>
      <c r="EP291" s="482">
        <f>EO291</f>
        <v>0</v>
      </c>
      <c r="EQ291" s="482">
        <f>ER291</f>
        <v>0</v>
      </c>
      <c r="ER291" s="1244">
        <f>+EP291</f>
        <v>0</v>
      </c>
      <c r="ES291" s="482">
        <f>ER291</f>
        <v>0</v>
      </c>
      <c r="ET291" s="482">
        <f>EU291</f>
        <v>0</v>
      </c>
      <c r="EU291" s="1244">
        <f>+ES291</f>
        <v>0</v>
      </c>
      <c r="EV291" s="482">
        <f>EU291</f>
        <v>0</v>
      </c>
      <c r="EW291" s="482">
        <f>EX291</f>
        <v>0</v>
      </c>
      <c r="EX291" s="1244">
        <f>+EV291</f>
        <v>0</v>
      </c>
      <c r="EY291" s="482">
        <f>EX291</f>
        <v>0</v>
      </c>
      <c r="EZ291" s="482">
        <f>FA291</f>
        <v>0</v>
      </c>
      <c r="FA291" s="1244">
        <f>+EY291</f>
        <v>0</v>
      </c>
      <c r="FB291" s="1571"/>
      <c r="FE291"/>
      <c r="FF291"/>
      <c r="FG291"/>
      <c r="FH291"/>
      <c r="FI291"/>
      <c r="FJ291"/>
      <c r="FK291" s="35"/>
    </row>
    <row r="292" spans="2:167" s="236" customFormat="1" ht="13.35" customHeight="1" outlineLevel="1">
      <c r="B292" s="242" t="s">
        <v>782</v>
      </c>
      <c r="C292" s="242" t="s">
        <v>496</v>
      </c>
      <c r="D292" s="243"/>
      <c r="E292" s="516"/>
      <c r="F292" s="482">
        <f t="shared" si="935"/>
        <v>0</v>
      </c>
      <c r="G292" s="517"/>
      <c r="H292" s="518"/>
      <c r="I292" s="482">
        <f t="shared" si="936"/>
        <v>0</v>
      </c>
      <c r="J292" s="517"/>
      <c r="K292" s="518"/>
      <c r="L292" s="482">
        <f t="shared" si="937"/>
        <v>0</v>
      </c>
      <c r="M292" s="517"/>
      <c r="N292" s="518"/>
      <c r="O292" s="482">
        <f t="shared" si="938"/>
        <v>0</v>
      </c>
      <c r="P292" s="517"/>
      <c r="Q292" s="518"/>
      <c r="R292" s="482">
        <f t="shared" si="939"/>
        <v>0</v>
      </c>
      <c r="S292" s="606"/>
      <c r="T292" s="518"/>
      <c r="U292" s="482">
        <f t="shared" si="940"/>
        <v>0</v>
      </c>
      <c r="V292" s="517"/>
      <c r="W292" s="518"/>
      <c r="X292" s="482">
        <f t="shared" si="941"/>
        <v>0</v>
      </c>
      <c r="Y292" s="517"/>
      <c r="Z292" s="518"/>
      <c r="AA292" s="482">
        <f t="shared" si="942"/>
        <v>0</v>
      </c>
      <c r="AB292" s="517"/>
      <c r="AC292" s="518"/>
      <c r="AD292" s="482">
        <f t="shared" si="943"/>
        <v>0</v>
      </c>
      <c r="AE292" s="517"/>
      <c r="AF292" s="518"/>
      <c r="AG292" s="482">
        <f t="shared" si="944"/>
        <v>0</v>
      </c>
      <c r="AH292" s="517"/>
      <c r="AI292" s="518"/>
      <c r="AJ292" s="482">
        <f t="shared" si="945"/>
        <v>0</v>
      </c>
      <c r="AK292" s="517"/>
      <c r="AL292" s="518"/>
      <c r="AM292" s="482">
        <f t="shared" si="946"/>
        <v>0</v>
      </c>
      <c r="AN292" s="517"/>
      <c r="AO292" s="518"/>
      <c r="AP292" s="482">
        <f t="shared" si="947"/>
        <v>0</v>
      </c>
      <c r="AQ292" s="517"/>
      <c r="AR292" s="518"/>
      <c r="AS292" s="482">
        <f t="shared" si="948"/>
        <v>0</v>
      </c>
      <c r="AT292" s="517"/>
      <c r="AU292" s="518"/>
      <c r="AV292" s="482">
        <f t="shared" si="949"/>
        <v>0</v>
      </c>
      <c r="AW292" s="517"/>
      <c r="AX292" s="519">
        <v>0</v>
      </c>
      <c r="AY292" s="482">
        <f t="shared" si="950"/>
        <v>0</v>
      </c>
      <c r="AZ292" s="520">
        <v>0</v>
      </c>
      <c r="BA292" s="519">
        <v>0</v>
      </c>
      <c r="BB292" s="482">
        <f t="shared" si="951"/>
        <v>0</v>
      </c>
      <c r="BC292" s="520">
        <v>0</v>
      </c>
      <c r="BD292" s="519">
        <v>0</v>
      </c>
      <c r="BE292" s="482">
        <f t="shared" si="952"/>
        <v>0</v>
      </c>
      <c r="BF292" s="520">
        <v>0</v>
      </c>
      <c r="BG292" s="519">
        <v>0</v>
      </c>
      <c r="BH292" s="482">
        <f t="shared" si="953"/>
        <v>0</v>
      </c>
      <c r="BI292" s="520">
        <v>0</v>
      </c>
      <c r="BJ292" s="519">
        <v>0</v>
      </c>
      <c r="BK292" s="482">
        <f t="shared" si="954"/>
        <v>0</v>
      </c>
      <c r="BL292" s="517">
        <f>BJ292</f>
        <v>0</v>
      </c>
      <c r="BM292" s="518">
        <f>BL292</f>
        <v>0</v>
      </c>
      <c r="BN292" s="482">
        <f t="shared" si="955"/>
        <v>0</v>
      </c>
      <c r="BO292" s="516">
        <f>BM292</f>
        <v>0</v>
      </c>
      <c r="BP292" s="518">
        <f>BO292</f>
        <v>0</v>
      </c>
      <c r="BQ292" s="482">
        <f t="shared" si="956"/>
        <v>0</v>
      </c>
      <c r="BR292" s="516">
        <f>BP292</f>
        <v>0</v>
      </c>
      <c r="BS292" s="518">
        <f>BR292</f>
        <v>0</v>
      </c>
      <c r="BT292" s="482">
        <f t="shared" si="957"/>
        <v>0</v>
      </c>
      <c r="BU292" s="516">
        <f>BS292</f>
        <v>0</v>
      </c>
      <c r="BV292" s="518">
        <f>BU292</f>
        <v>0</v>
      </c>
      <c r="BW292" s="482">
        <f t="shared" si="958"/>
        <v>0</v>
      </c>
      <c r="BX292" s="516">
        <f>BV292</f>
        <v>0</v>
      </c>
      <c r="BY292" s="518">
        <f>BX292</f>
        <v>0</v>
      </c>
      <c r="BZ292" s="482">
        <f t="shared" si="959"/>
        <v>0</v>
      </c>
      <c r="CA292" s="516">
        <f>BY292</f>
        <v>0</v>
      </c>
      <c r="CB292" s="518">
        <f>CA292</f>
        <v>0</v>
      </c>
      <c r="CC292" s="482">
        <f t="shared" si="960"/>
        <v>0</v>
      </c>
      <c r="CD292" s="516">
        <f>CB292</f>
        <v>0</v>
      </c>
      <c r="CE292" s="518">
        <f>CD292</f>
        <v>0</v>
      </c>
      <c r="CF292" s="482">
        <f t="shared" si="961"/>
        <v>0</v>
      </c>
      <c r="CG292" s="517">
        <f>CE292</f>
        <v>0</v>
      </c>
      <c r="CH292" s="518">
        <f>CG292</f>
        <v>0</v>
      </c>
      <c r="CI292" s="482">
        <f t="shared" si="962"/>
        <v>0</v>
      </c>
      <c r="CJ292" s="516">
        <f>CH292</f>
        <v>0</v>
      </c>
      <c r="CK292" s="518">
        <f>CJ292</f>
        <v>0</v>
      </c>
      <c r="CL292" s="482">
        <f t="shared" si="963"/>
        <v>0</v>
      </c>
      <c r="CM292" s="516">
        <f>CK292</f>
        <v>0</v>
      </c>
      <c r="CN292" s="518">
        <f>CM292</f>
        <v>0</v>
      </c>
      <c r="CO292" s="482">
        <f t="shared" si="964"/>
        <v>0</v>
      </c>
      <c r="CP292" s="516">
        <f>CN292</f>
        <v>0</v>
      </c>
      <c r="CQ292" s="518">
        <f>CP292</f>
        <v>0</v>
      </c>
      <c r="CR292" s="482">
        <f t="shared" si="965"/>
        <v>0</v>
      </c>
      <c r="CS292" s="516">
        <f>CQ292</f>
        <v>0</v>
      </c>
      <c r="CT292" s="518">
        <f>CS292</f>
        <v>0</v>
      </c>
      <c r="CU292" s="482">
        <f t="shared" si="966"/>
        <v>0</v>
      </c>
      <c r="CV292" s="516">
        <f>CT292</f>
        <v>0</v>
      </c>
      <c r="CW292" s="518">
        <f>CV292</f>
        <v>0</v>
      </c>
      <c r="CX292" s="482">
        <f t="shared" si="967"/>
        <v>0</v>
      </c>
      <c r="CY292" s="516">
        <f>CW292</f>
        <v>0</v>
      </c>
      <c r="CZ292" s="518">
        <f>CY292</f>
        <v>0</v>
      </c>
      <c r="DA292" s="482">
        <f t="shared" si="968"/>
        <v>0</v>
      </c>
      <c r="DB292" s="516">
        <f>CZ292</f>
        <v>0</v>
      </c>
      <c r="DC292" s="518">
        <f>DB292</f>
        <v>0</v>
      </c>
      <c r="DD292" s="482">
        <f t="shared" si="969"/>
        <v>0</v>
      </c>
      <c r="DE292" s="516">
        <f>DC292</f>
        <v>0</v>
      </c>
      <c r="DF292" s="518">
        <v>0</v>
      </c>
      <c r="DG292" s="482">
        <f t="shared" si="970"/>
        <v>393</v>
      </c>
      <c r="DH292" s="1258">
        <v>393</v>
      </c>
      <c r="DI292" s="562">
        <v>0</v>
      </c>
      <c r="DJ292" s="482">
        <f t="shared" si="971"/>
        <v>0</v>
      </c>
      <c r="DK292" s="1244">
        <f>DI292</f>
        <v>0</v>
      </c>
      <c r="DL292" s="482">
        <f>DK292</f>
        <v>0</v>
      </c>
      <c r="DM292" s="482">
        <f t="shared" si="972"/>
        <v>0</v>
      </c>
      <c r="DN292" s="1244">
        <f>DL292</f>
        <v>0</v>
      </c>
      <c r="DO292" s="482">
        <f>DN292</f>
        <v>0</v>
      </c>
      <c r="DP292" s="482">
        <f t="shared" si="973"/>
        <v>0</v>
      </c>
      <c r="DQ292" s="1244">
        <f>DO292</f>
        <v>0</v>
      </c>
      <c r="DR292" s="482">
        <f>DQ292</f>
        <v>0</v>
      </c>
      <c r="DS292" s="482">
        <f t="shared" ref="DS292:DS305" si="974">+DT292</f>
        <v>0</v>
      </c>
      <c r="DT292" s="1244">
        <f>DR292</f>
        <v>0</v>
      </c>
      <c r="DU292" s="482">
        <f>DT292</f>
        <v>0</v>
      </c>
      <c r="DV292" s="482">
        <f t="shared" ref="DV292:DV301" si="975">+DW292</f>
        <v>0</v>
      </c>
      <c r="DW292" s="1244">
        <f>DU292</f>
        <v>0</v>
      </c>
      <c r="DX292" s="482">
        <f>DW292</f>
        <v>0</v>
      </c>
      <c r="DY292" s="482">
        <f t="shared" ref="DY292:DY305" si="976">+DZ292</f>
        <v>0</v>
      </c>
      <c r="DZ292" s="1244">
        <f>DX292</f>
        <v>0</v>
      </c>
      <c r="EA292" s="482">
        <f>DZ292</f>
        <v>0</v>
      </c>
      <c r="EB292" s="482">
        <f t="shared" ref="EB292:EB305" si="977">+EC292</f>
        <v>0</v>
      </c>
      <c r="EC292" s="1244">
        <f>EA292</f>
        <v>0</v>
      </c>
      <c r="ED292" s="482">
        <f>EC292</f>
        <v>0</v>
      </c>
      <c r="EE292" s="482">
        <f t="shared" ref="EE292:EE305" si="978">+EF292</f>
        <v>0</v>
      </c>
      <c r="EF292" s="1244">
        <f>ED292</f>
        <v>0</v>
      </c>
      <c r="EG292" s="482">
        <f>EF292</f>
        <v>0</v>
      </c>
      <c r="EH292" s="482">
        <f t="shared" ref="EH292:EH301" si="979">+EI292</f>
        <v>0</v>
      </c>
      <c r="EI292" s="1244">
        <f>EG292</f>
        <v>0</v>
      </c>
      <c r="EJ292" s="482">
        <f>EI292</f>
        <v>0</v>
      </c>
      <c r="EK292" s="482">
        <f t="shared" ref="EK292:EK301" si="980">+EL292</f>
        <v>0</v>
      </c>
      <c r="EL292" s="1244">
        <f>EJ292</f>
        <v>0</v>
      </c>
      <c r="EM292" s="482">
        <f>EL292</f>
        <v>0</v>
      </c>
      <c r="EN292" s="482">
        <f t="shared" ref="EN292:EN301" si="981">+EO292</f>
        <v>0</v>
      </c>
      <c r="EO292" s="1244">
        <f>EM292</f>
        <v>0</v>
      </c>
      <c r="EP292" s="482">
        <f>EO292</f>
        <v>0</v>
      </c>
      <c r="EQ292" s="482">
        <f t="shared" ref="EQ292:EQ301" si="982">+ER292</f>
        <v>0</v>
      </c>
      <c r="ER292" s="1244">
        <f>EP292</f>
        <v>0</v>
      </c>
      <c r="ES292" s="482">
        <f>ER292</f>
        <v>0</v>
      </c>
      <c r="ET292" s="482">
        <f t="shared" ref="ET292:ET301" si="983">+EU292</f>
        <v>0</v>
      </c>
      <c r="EU292" s="1244">
        <f>ES292</f>
        <v>0</v>
      </c>
      <c r="EV292" s="482">
        <f>EU292</f>
        <v>0</v>
      </c>
      <c r="EW292" s="482">
        <f t="shared" ref="EW292:EW301" si="984">+EX292</f>
        <v>0</v>
      </c>
      <c r="EX292" s="1244">
        <f>EV292</f>
        <v>0</v>
      </c>
      <c r="EY292" s="482">
        <f>EX292</f>
        <v>0</v>
      </c>
      <c r="EZ292" s="482">
        <f t="shared" ref="EZ292:EZ301" si="985">+FA292</f>
        <v>0</v>
      </c>
      <c r="FA292" s="1244">
        <f>EY292</f>
        <v>0</v>
      </c>
      <c r="FB292" s="1571"/>
      <c r="FE292"/>
      <c r="FF292"/>
      <c r="FG292"/>
      <c r="FH292"/>
      <c r="FI292"/>
      <c r="FJ292"/>
      <c r="FK292" s="35"/>
    </row>
    <row r="293" spans="2:167" s="236" customFormat="1" ht="13.35" customHeight="1" outlineLevel="1">
      <c r="B293" s="242" t="s">
        <v>651</v>
      </c>
      <c r="C293" s="242" t="s">
        <v>496</v>
      </c>
      <c r="D293" s="243"/>
      <c r="E293" s="516"/>
      <c r="F293" s="482">
        <f t="shared" si="935"/>
        <v>0</v>
      </c>
      <c r="G293" s="517"/>
      <c r="H293" s="518"/>
      <c r="I293" s="482">
        <f t="shared" si="936"/>
        <v>0</v>
      </c>
      <c r="J293" s="517"/>
      <c r="K293" s="518"/>
      <c r="L293" s="482">
        <f t="shared" si="937"/>
        <v>0</v>
      </c>
      <c r="M293" s="517"/>
      <c r="N293" s="518"/>
      <c r="O293" s="482">
        <f t="shared" si="938"/>
        <v>0</v>
      </c>
      <c r="P293" s="517"/>
      <c r="Q293" s="518"/>
      <c r="R293" s="482">
        <f t="shared" si="939"/>
        <v>0</v>
      </c>
      <c r="S293" s="606"/>
      <c r="T293" s="518"/>
      <c r="U293" s="482">
        <f t="shared" si="940"/>
        <v>0</v>
      </c>
      <c r="V293" s="517"/>
      <c r="W293" s="518"/>
      <c r="X293" s="482">
        <f t="shared" si="941"/>
        <v>0</v>
      </c>
      <c r="Y293" s="517"/>
      <c r="Z293" s="518"/>
      <c r="AA293" s="482">
        <f t="shared" si="942"/>
        <v>0</v>
      </c>
      <c r="AB293" s="517"/>
      <c r="AC293" s="518"/>
      <c r="AD293" s="482">
        <f t="shared" si="943"/>
        <v>0</v>
      </c>
      <c r="AE293" s="517"/>
      <c r="AF293" s="518"/>
      <c r="AG293" s="482">
        <f t="shared" si="944"/>
        <v>0</v>
      </c>
      <c r="AH293" s="517"/>
      <c r="AI293" s="518"/>
      <c r="AJ293" s="482">
        <f t="shared" si="945"/>
        <v>0</v>
      </c>
      <c r="AK293" s="517"/>
      <c r="AL293" s="518"/>
      <c r="AM293" s="482">
        <f t="shared" si="946"/>
        <v>0</v>
      </c>
      <c r="AN293" s="517"/>
      <c r="AO293" s="518"/>
      <c r="AP293" s="482">
        <f t="shared" si="947"/>
        <v>0</v>
      </c>
      <c r="AQ293" s="517"/>
      <c r="AR293" s="518"/>
      <c r="AS293" s="482">
        <f t="shared" si="948"/>
        <v>0</v>
      </c>
      <c r="AT293" s="517"/>
      <c r="AU293" s="518"/>
      <c r="AV293" s="482">
        <f t="shared" si="949"/>
        <v>0</v>
      </c>
      <c r="AW293" s="517"/>
      <c r="AX293" s="519">
        <v>0</v>
      </c>
      <c r="AY293" s="482">
        <f t="shared" si="950"/>
        <v>0</v>
      </c>
      <c r="AZ293" s="520">
        <v>0</v>
      </c>
      <c r="BA293" s="519">
        <v>0</v>
      </c>
      <c r="BB293" s="482">
        <f t="shared" si="951"/>
        <v>0</v>
      </c>
      <c r="BC293" s="520">
        <v>0</v>
      </c>
      <c r="BD293" s="519">
        <v>0</v>
      </c>
      <c r="BE293" s="482">
        <f t="shared" si="952"/>
        <v>0</v>
      </c>
      <c r="BF293" s="520">
        <v>0</v>
      </c>
      <c r="BG293" s="519">
        <v>0</v>
      </c>
      <c r="BH293" s="482">
        <f t="shared" si="953"/>
        <v>0</v>
      </c>
      <c r="BI293" s="520">
        <v>0</v>
      </c>
      <c r="BJ293" s="519">
        <v>0</v>
      </c>
      <c r="BK293" s="482">
        <f t="shared" si="954"/>
        <v>0</v>
      </c>
      <c r="BL293" s="517">
        <f>BJ293</f>
        <v>0</v>
      </c>
      <c r="BM293" s="518">
        <f>BL293</f>
        <v>0</v>
      </c>
      <c r="BN293" s="482">
        <f t="shared" si="955"/>
        <v>0</v>
      </c>
      <c r="BO293" s="516">
        <f>BM293</f>
        <v>0</v>
      </c>
      <c r="BP293" s="518">
        <f>BO293</f>
        <v>0</v>
      </c>
      <c r="BQ293" s="482">
        <f t="shared" si="956"/>
        <v>0</v>
      </c>
      <c r="BR293" s="516">
        <f>BP293</f>
        <v>0</v>
      </c>
      <c r="BS293" s="518">
        <f>BR293</f>
        <v>0</v>
      </c>
      <c r="BT293" s="482">
        <f t="shared" si="957"/>
        <v>0</v>
      </c>
      <c r="BU293" s="516">
        <f>BS293</f>
        <v>0</v>
      </c>
      <c r="BV293" s="518">
        <f>BU293</f>
        <v>0</v>
      </c>
      <c r="BW293" s="482">
        <f t="shared" si="958"/>
        <v>0</v>
      </c>
      <c r="BX293" s="516">
        <f>BV293</f>
        <v>0</v>
      </c>
      <c r="BY293" s="518">
        <f>BX293</f>
        <v>0</v>
      </c>
      <c r="BZ293" s="482">
        <f t="shared" si="959"/>
        <v>0</v>
      </c>
      <c r="CA293" s="516">
        <f>BY293</f>
        <v>0</v>
      </c>
      <c r="CB293" s="518">
        <f>CA293</f>
        <v>0</v>
      </c>
      <c r="CC293" s="482">
        <f t="shared" si="960"/>
        <v>0</v>
      </c>
      <c r="CD293" s="516">
        <f>CB293</f>
        <v>0</v>
      </c>
      <c r="CE293" s="518">
        <f>CD293</f>
        <v>0</v>
      </c>
      <c r="CF293" s="482">
        <f t="shared" si="961"/>
        <v>0</v>
      </c>
      <c r="CG293" s="517">
        <f>CE293</f>
        <v>0</v>
      </c>
      <c r="CH293" s="518">
        <f>CG293</f>
        <v>0</v>
      </c>
      <c r="CI293" s="482">
        <f t="shared" si="962"/>
        <v>0</v>
      </c>
      <c r="CJ293" s="516">
        <f>CH293</f>
        <v>0</v>
      </c>
      <c r="CK293" s="518">
        <f>CJ293</f>
        <v>0</v>
      </c>
      <c r="CL293" s="482">
        <f t="shared" si="963"/>
        <v>0</v>
      </c>
      <c r="CM293" s="516">
        <f>CK293</f>
        <v>0</v>
      </c>
      <c r="CN293" s="518">
        <f>CM293</f>
        <v>0</v>
      </c>
      <c r="CO293" s="482">
        <f t="shared" si="964"/>
        <v>0</v>
      </c>
      <c r="CP293" s="516">
        <f>CN293</f>
        <v>0</v>
      </c>
      <c r="CQ293" s="518">
        <f>CP293</f>
        <v>0</v>
      </c>
      <c r="CR293" s="482">
        <f t="shared" si="965"/>
        <v>0</v>
      </c>
      <c r="CS293" s="516">
        <f>CQ293</f>
        <v>0</v>
      </c>
      <c r="CT293" s="518">
        <f>CS293</f>
        <v>0</v>
      </c>
      <c r="CU293" s="482">
        <f t="shared" si="966"/>
        <v>0</v>
      </c>
      <c r="CV293" s="516">
        <f>CT293</f>
        <v>0</v>
      </c>
      <c r="CW293" s="518">
        <f>CV293</f>
        <v>0</v>
      </c>
      <c r="CX293" s="482">
        <f t="shared" si="967"/>
        <v>0</v>
      </c>
      <c r="CY293" s="516">
        <f>CW293</f>
        <v>0</v>
      </c>
      <c r="CZ293" s="518">
        <f>CY293</f>
        <v>0</v>
      </c>
      <c r="DA293" s="482">
        <f t="shared" si="968"/>
        <v>0</v>
      </c>
      <c r="DB293" s="516">
        <f>CZ293</f>
        <v>0</v>
      </c>
      <c r="DC293" s="518">
        <f>DB293</f>
        <v>0</v>
      </c>
      <c r="DD293" s="482">
        <f t="shared" si="969"/>
        <v>0</v>
      </c>
      <c r="DE293" s="516">
        <f>DC293</f>
        <v>0</v>
      </c>
      <c r="DF293" s="518">
        <v>0</v>
      </c>
      <c r="DG293" s="482">
        <f t="shared" si="970"/>
        <v>0</v>
      </c>
      <c r="DH293" s="1258">
        <f>DF293</f>
        <v>0</v>
      </c>
      <c r="DI293" s="482">
        <f>DH293</f>
        <v>0</v>
      </c>
      <c r="DJ293" s="482">
        <f t="shared" si="971"/>
        <v>0</v>
      </c>
      <c r="DK293" s="1244">
        <f>DI293</f>
        <v>0</v>
      </c>
      <c r="DL293" s="482">
        <f>DK293</f>
        <v>0</v>
      </c>
      <c r="DM293" s="482">
        <f t="shared" si="972"/>
        <v>0</v>
      </c>
      <c r="DN293" s="1244">
        <f>DL293</f>
        <v>0</v>
      </c>
      <c r="DO293" s="482">
        <f>DN293</f>
        <v>0</v>
      </c>
      <c r="DP293" s="482">
        <f t="shared" si="973"/>
        <v>0</v>
      </c>
      <c r="DQ293" s="1244">
        <f>DO293</f>
        <v>0</v>
      </c>
      <c r="DR293" s="482">
        <f>DQ293</f>
        <v>0</v>
      </c>
      <c r="DS293" s="482">
        <f t="shared" si="974"/>
        <v>0</v>
      </c>
      <c r="DT293" s="1244">
        <f>DR293</f>
        <v>0</v>
      </c>
      <c r="DU293" s="482">
        <f>DT293</f>
        <v>0</v>
      </c>
      <c r="DV293" s="482">
        <f t="shared" si="975"/>
        <v>0</v>
      </c>
      <c r="DW293" s="1244">
        <f>DU293</f>
        <v>0</v>
      </c>
      <c r="DX293" s="482">
        <f>DW293</f>
        <v>0</v>
      </c>
      <c r="DY293" s="482">
        <f t="shared" si="976"/>
        <v>0</v>
      </c>
      <c r="DZ293" s="1244">
        <f>DX293</f>
        <v>0</v>
      </c>
      <c r="EA293" s="482">
        <f>DZ293</f>
        <v>0</v>
      </c>
      <c r="EB293" s="482">
        <f t="shared" si="977"/>
        <v>0</v>
      </c>
      <c r="EC293" s="1244">
        <f>EA293</f>
        <v>0</v>
      </c>
      <c r="ED293" s="482">
        <f>EC293</f>
        <v>0</v>
      </c>
      <c r="EE293" s="482">
        <f t="shared" si="978"/>
        <v>0</v>
      </c>
      <c r="EF293" s="1244">
        <f>ED293</f>
        <v>0</v>
      </c>
      <c r="EG293" s="482">
        <f>EF293</f>
        <v>0</v>
      </c>
      <c r="EH293" s="482">
        <f t="shared" si="979"/>
        <v>0</v>
      </c>
      <c r="EI293" s="1244">
        <f>EG293</f>
        <v>0</v>
      </c>
      <c r="EJ293" s="482">
        <f>EI293</f>
        <v>0</v>
      </c>
      <c r="EK293" s="482">
        <f t="shared" si="980"/>
        <v>0</v>
      </c>
      <c r="EL293" s="1244">
        <f>EJ293</f>
        <v>0</v>
      </c>
      <c r="EM293" s="482">
        <f>EL293</f>
        <v>0</v>
      </c>
      <c r="EN293" s="482">
        <f t="shared" si="981"/>
        <v>0</v>
      </c>
      <c r="EO293" s="1244">
        <f>EM293</f>
        <v>0</v>
      </c>
      <c r="EP293" s="482">
        <f>EO293</f>
        <v>0</v>
      </c>
      <c r="EQ293" s="482">
        <f t="shared" si="982"/>
        <v>0</v>
      </c>
      <c r="ER293" s="1244">
        <f>EP293</f>
        <v>0</v>
      </c>
      <c r="ES293" s="482">
        <f>ER293</f>
        <v>0</v>
      </c>
      <c r="ET293" s="482">
        <f t="shared" si="983"/>
        <v>0</v>
      </c>
      <c r="EU293" s="1244">
        <f>ES293</f>
        <v>0</v>
      </c>
      <c r="EV293" s="482">
        <f>EU293</f>
        <v>0</v>
      </c>
      <c r="EW293" s="482">
        <f t="shared" si="984"/>
        <v>0</v>
      </c>
      <c r="EX293" s="1244">
        <f>EV293</f>
        <v>0</v>
      </c>
      <c r="EY293" s="482">
        <f>EX293</f>
        <v>0</v>
      </c>
      <c r="EZ293" s="482">
        <f t="shared" si="985"/>
        <v>0</v>
      </c>
      <c r="FA293" s="1244">
        <f>EY293</f>
        <v>0</v>
      </c>
      <c r="FB293" s="1571"/>
      <c r="FE293"/>
      <c r="FF293"/>
      <c r="FG293"/>
      <c r="FH293"/>
      <c r="FI293"/>
      <c r="FJ293"/>
      <c r="FK293" s="35"/>
    </row>
    <row r="294" spans="2:167" s="236" customFormat="1" ht="13.35" customHeight="1" outlineLevel="1">
      <c r="B294" s="242" t="s">
        <v>783</v>
      </c>
      <c r="C294" s="242" t="s">
        <v>496</v>
      </c>
      <c r="D294" s="243"/>
      <c r="E294" s="516"/>
      <c r="F294" s="482">
        <f t="shared" si="935"/>
        <v>0</v>
      </c>
      <c r="G294" s="517"/>
      <c r="H294" s="518"/>
      <c r="I294" s="482">
        <f t="shared" si="936"/>
        <v>0</v>
      </c>
      <c r="J294" s="517"/>
      <c r="K294" s="518"/>
      <c r="L294" s="482">
        <f t="shared" si="937"/>
        <v>0</v>
      </c>
      <c r="M294" s="517"/>
      <c r="N294" s="518"/>
      <c r="O294" s="482">
        <f t="shared" si="938"/>
        <v>0</v>
      </c>
      <c r="P294" s="517"/>
      <c r="Q294" s="518"/>
      <c r="R294" s="482">
        <f t="shared" si="939"/>
        <v>0</v>
      </c>
      <c r="S294" s="606"/>
      <c r="T294" s="518"/>
      <c r="U294" s="482">
        <f t="shared" si="940"/>
        <v>0</v>
      </c>
      <c r="V294" s="517"/>
      <c r="W294" s="518"/>
      <c r="X294" s="482">
        <f t="shared" si="941"/>
        <v>0</v>
      </c>
      <c r="Y294" s="517"/>
      <c r="Z294" s="518"/>
      <c r="AA294" s="482">
        <f t="shared" si="942"/>
        <v>0</v>
      </c>
      <c r="AB294" s="517"/>
      <c r="AC294" s="518"/>
      <c r="AD294" s="482">
        <f t="shared" si="943"/>
        <v>0</v>
      </c>
      <c r="AE294" s="517"/>
      <c r="AF294" s="518"/>
      <c r="AG294" s="482">
        <f t="shared" si="944"/>
        <v>0</v>
      </c>
      <c r="AH294" s="517"/>
      <c r="AI294" s="518"/>
      <c r="AJ294" s="482">
        <f t="shared" si="945"/>
        <v>0</v>
      </c>
      <c r="AK294" s="517"/>
      <c r="AL294" s="518"/>
      <c r="AM294" s="482">
        <f t="shared" si="946"/>
        <v>0</v>
      </c>
      <c r="AN294" s="517"/>
      <c r="AO294" s="518"/>
      <c r="AP294" s="482">
        <f t="shared" si="947"/>
        <v>0</v>
      </c>
      <c r="AQ294" s="517"/>
      <c r="AR294" s="518"/>
      <c r="AS294" s="482">
        <f t="shared" si="948"/>
        <v>0</v>
      </c>
      <c r="AT294" s="517"/>
      <c r="AU294" s="518"/>
      <c r="AV294" s="482">
        <f t="shared" si="949"/>
        <v>0</v>
      </c>
      <c r="AW294" s="517"/>
      <c r="AX294" s="519">
        <v>0</v>
      </c>
      <c r="AY294" s="482">
        <f t="shared" si="950"/>
        <v>0</v>
      </c>
      <c r="AZ294" s="520">
        <v>0</v>
      </c>
      <c r="BA294" s="519">
        <v>0</v>
      </c>
      <c r="BB294" s="482">
        <f t="shared" si="951"/>
        <v>0</v>
      </c>
      <c r="BC294" s="520">
        <v>0</v>
      </c>
      <c r="BD294" s="519">
        <v>0</v>
      </c>
      <c r="BE294" s="482">
        <f t="shared" si="952"/>
        <v>0</v>
      </c>
      <c r="BF294" s="520">
        <v>0</v>
      </c>
      <c r="BG294" s="519">
        <v>0</v>
      </c>
      <c r="BH294" s="482">
        <f t="shared" si="953"/>
        <v>0</v>
      </c>
      <c r="BI294" s="520">
        <v>0</v>
      </c>
      <c r="BJ294" s="519">
        <v>0</v>
      </c>
      <c r="BK294" s="482">
        <f t="shared" si="954"/>
        <v>0</v>
      </c>
      <c r="BL294" s="517">
        <f>BJ294</f>
        <v>0</v>
      </c>
      <c r="BM294" s="518">
        <f>BL294</f>
        <v>0</v>
      </c>
      <c r="BN294" s="482">
        <f t="shared" si="955"/>
        <v>0</v>
      </c>
      <c r="BO294" s="516">
        <f>BM294</f>
        <v>0</v>
      </c>
      <c r="BP294" s="518">
        <f>BO294</f>
        <v>0</v>
      </c>
      <c r="BQ294" s="482">
        <f t="shared" si="956"/>
        <v>0</v>
      </c>
      <c r="BR294" s="516">
        <f>BP294</f>
        <v>0</v>
      </c>
      <c r="BS294" s="518">
        <f>BR294</f>
        <v>0</v>
      </c>
      <c r="BT294" s="482">
        <f t="shared" si="957"/>
        <v>0</v>
      </c>
      <c r="BU294" s="516">
        <f>BS294</f>
        <v>0</v>
      </c>
      <c r="BV294" s="518">
        <f>BU294</f>
        <v>0</v>
      </c>
      <c r="BW294" s="482">
        <f t="shared" si="958"/>
        <v>0</v>
      </c>
      <c r="BX294" s="516">
        <f>BV294</f>
        <v>0</v>
      </c>
      <c r="BY294" s="518">
        <f>BX294</f>
        <v>0</v>
      </c>
      <c r="BZ294" s="482">
        <f t="shared" si="959"/>
        <v>0</v>
      </c>
      <c r="CA294" s="516">
        <f>BY294</f>
        <v>0</v>
      </c>
      <c r="CB294" s="518">
        <f>CA294</f>
        <v>0</v>
      </c>
      <c r="CC294" s="482">
        <f t="shared" si="960"/>
        <v>0</v>
      </c>
      <c r="CD294" s="516">
        <f>CB294</f>
        <v>0</v>
      </c>
      <c r="CE294" s="518">
        <f>CD294</f>
        <v>0</v>
      </c>
      <c r="CF294" s="482">
        <f t="shared" si="961"/>
        <v>0</v>
      </c>
      <c r="CG294" s="517">
        <f>CE294</f>
        <v>0</v>
      </c>
      <c r="CH294" s="518">
        <f>CG294</f>
        <v>0</v>
      </c>
      <c r="CI294" s="482">
        <f t="shared" si="962"/>
        <v>0</v>
      </c>
      <c r="CJ294" s="516">
        <f>CH294</f>
        <v>0</v>
      </c>
      <c r="CK294" s="518">
        <f>CJ294</f>
        <v>0</v>
      </c>
      <c r="CL294" s="482">
        <f t="shared" si="963"/>
        <v>0</v>
      </c>
      <c r="CM294" s="516">
        <f>CK294</f>
        <v>0</v>
      </c>
      <c r="CN294" s="518">
        <f>CM294</f>
        <v>0</v>
      </c>
      <c r="CO294" s="482">
        <f t="shared" si="964"/>
        <v>0</v>
      </c>
      <c r="CP294" s="516">
        <f>CN294</f>
        <v>0</v>
      </c>
      <c r="CQ294" s="518">
        <f>CP294</f>
        <v>0</v>
      </c>
      <c r="CR294" s="482">
        <f t="shared" si="965"/>
        <v>0</v>
      </c>
      <c r="CS294" s="516">
        <f>CQ294</f>
        <v>0</v>
      </c>
      <c r="CT294" s="518">
        <f>CS294</f>
        <v>0</v>
      </c>
      <c r="CU294" s="482">
        <f t="shared" si="966"/>
        <v>0</v>
      </c>
      <c r="CV294" s="516">
        <f>CT294</f>
        <v>0</v>
      </c>
      <c r="CW294" s="518">
        <f>CV294</f>
        <v>0</v>
      </c>
      <c r="CX294" s="482">
        <f t="shared" si="967"/>
        <v>0</v>
      </c>
      <c r="CY294" s="516">
        <f>CW294</f>
        <v>0</v>
      </c>
      <c r="CZ294" s="518">
        <f>CY294</f>
        <v>0</v>
      </c>
      <c r="DA294" s="482">
        <f t="shared" si="968"/>
        <v>0</v>
      </c>
      <c r="DB294" s="516">
        <f>CZ294</f>
        <v>0</v>
      </c>
      <c r="DC294" s="518">
        <f>DB294</f>
        <v>0</v>
      </c>
      <c r="DD294" s="482">
        <f t="shared" si="969"/>
        <v>0</v>
      </c>
      <c r="DE294" s="516">
        <v>0</v>
      </c>
      <c r="DF294" s="518">
        <v>0</v>
      </c>
      <c r="DG294" s="482">
        <f t="shared" si="970"/>
        <v>0</v>
      </c>
      <c r="DH294" s="1258">
        <f>DF294</f>
        <v>0</v>
      </c>
      <c r="DI294" s="482">
        <f>DH294</f>
        <v>0</v>
      </c>
      <c r="DJ294" s="482">
        <f t="shared" si="971"/>
        <v>0</v>
      </c>
      <c r="DK294" s="1244">
        <f>DI294</f>
        <v>0</v>
      </c>
      <c r="DL294" s="482">
        <f>DK294</f>
        <v>0</v>
      </c>
      <c r="DM294" s="482">
        <f t="shared" si="972"/>
        <v>0</v>
      </c>
      <c r="DN294" s="1244">
        <f>DL294</f>
        <v>0</v>
      </c>
      <c r="DO294" s="482">
        <f>DN294</f>
        <v>0</v>
      </c>
      <c r="DP294" s="482">
        <f t="shared" si="973"/>
        <v>0</v>
      </c>
      <c r="DQ294" s="1244">
        <f>DO294</f>
        <v>0</v>
      </c>
      <c r="DR294" s="482">
        <f>DQ294</f>
        <v>0</v>
      </c>
      <c r="DS294" s="482">
        <f t="shared" si="974"/>
        <v>0</v>
      </c>
      <c r="DT294" s="1244">
        <f>DR294</f>
        <v>0</v>
      </c>
      <c r="DU294" s="482">
        <f>DT294</f>
        <v>0</v>
      </c>
      <c r="DV294" s="482">
        <f t="shared" si="975"/>
        <v>0</v>
      </c>
      <c r="DW294" s="1244">
        <f>DU294</f>
        <v>0</v>
      </c>
      <c r="DX294" s="482">
        <f>DW294</f>
        <v>0</v>
      </c>
      <c r="DY294" s="482">
        <f t="shared" si="976"/>
        <v>0</v>
      </c>
      <c r="DZ294" s="1244">
        <f>DX294</f>
        <v>0</v>
      </c>
      <c r="EA294" s="482">
        <f>DZ294</f>
        <v>0</v>
      </c>
      <c r="EB294" s="482">
        <f t="shared" si="977"/>
        <v>0</v>
      </c>
      <c r="EC294" s="1244">
        <f>EA294</f>
        <v>0</v>
      </c>
      <c r="ED294" s="482">
        <f>EC294</f>
        <v>0</v>
      </c>
      <c r="EE294" s="482">
        <f t="shared" si="978"/>
        <v>0</v>
      </c>
      <c r="EF294" s="1244">
        <f>ED294</f>
        <v>0</v>
      </c>
      <c r="EG294" s="482">
        <f>EF294</f>
        <v>0</v>
      </c>
      <c r="EH294" s="482">
        <f t="shared" si="979"/>
        <v>0</v>
      </c>
      <c r="EI294" s="1244">
        <f>EG294</f>
        <v>0</v>
      </c>
      <c r="EJ294" s="482">
        <f>EI294</f>
        <v>0</v>
      </c>
      <c r="EK294" s="482">
        <f t="shared" si="980"/>
        <v>0</v>
      </c>
      <c r="EL294" s="1244">
        <f>EJ294</f>
        <v>0</v>
      </c>
      <c r="EM294" s="482">
        <f>EL294</f>
        <v>0</v>
      </c>
      <c r="EN294" s="482">
        <f t="shared" si="981"/>
        <v>0</v>
      </c>
      <c r="EO294" s="1244">
        <f>EM294</f>
        <v>0</v>
      </c>
      <c r="EP294" s="482">
        <f>EO294</f>
        <v>0</v>
      </c>
      <c r="EQ294" s="482">
        <f t="shared" si="982"/>
        <v>0</v>
      </c>
      <c r="ER294" s="1244">
        <f>EP294</f>
        <v>0</v>
      </c>
      <c r="ES294" s="482">
        <f>ER294</f>
        <v>0</v>
      </c>
      <c r="ET294" s="482">
        <f t="shared" si="983"/>
        <v>0</v>
      </c>
      <c r="EU294" s="1244">
        <f>ES294</f>
        <v>0</v>
      </c>
      <c r="EV294" s="482">
        <f>EU294</f>
        <v>0</v>
      </c>
      <c r="EW294" s="482">
        <f t="shared" si="984"/>
        <v>0</v>
      </c>
      <c r="EX294" s="1244">
        <f>EV294</f>
        <v>0</v>
      </c>
      <c r="EY294" s="482">
        <f>EX294</f>
        <v>0</v>
      </c>
      <c r="EZ294" s="482">
        <f t="shared" si="985"/>
        <v>0</v>
      </c>
      <c r="FA294" s="1244">
        <f>EY294</f>
        <v>0</v>
      </c>
      <c r="FB294" s="1571"/>
      <c r="FE294"/>
      <c r="FF294"/>
      <c r="FG294"/>
      <c r="FH294"/>
      <c r="FI294"/>
      <c r="FJ294"/>
      <c r="FK294" s="35"/>
    </row>
    <row r="295" spans="2:167" s="236" customFormat="1" ht="13.35" customHeight="1" outlineLevel="1">
      <c r="B295" s="242" t="s">
        <v>46</v>
      </c>
      <c r="C295" s="242" t="s">
        <v>496</v>
      </c>
      <c r="D295" s="243"/>
      <c r="E295" s="516"/>
      <c r="F295" s="482">
        <f t="shared" si="935"/>
        <v>0</v>
      </c>
      <c r="G295" s="517"/>
      <c r="H295" s="518"/>
      <c r="I295" s="482">
        <f t="shared" si="936"/>
        <v>0</v>
      </c>
      <c r="J295" s="517"/>
      <c r="K295" s="518"/>
      <c r="L295" s="482">
        <f t="shared" si="937"/>
        <v>0</v>
      </c>
      <c r="M295" s="517"/>
      <c r="N295" s="518"/>
      <c r="O295" s="482">
        <f t="shared" si="938"/>
        <v>0</v>
      </c>
      <c r="P295" s="517"/>
      <c r="Q295" s="518"/>
      <c r="R295" s="482">
        <f t="shared" si="939"/>
        <v>0</v>
      </c>
      <c r="S295" s="606"/>
      <c r="T295" s="518"/>
      <c r="U295" s="482">
        <f t="shared" si="940"/>
        <v>0</v>
      </c>
      <c r="V295" s="517"/>
      <c r="W295" s="518"/>
      <c r="X295" s="482">
        <f t="shared" si="941"/>
        <v>0</v>
      </c>
      <c r="Y295" s="517"/>
      <c r="Z295" s="518"/>
      <c r="AA295" s="482">
        <f t="shared" si="942"/>
        <v>0</v>
      </c>
      <c r="AB295" s="517"/>
      <c r="AC295" s="518"/>
      <c r="AD295" s="482">
        <f t="shared" si="943"/>
        <v>0</v>
      </c>
      <c r="AE295" s="517"/>
      <c r="AF295" s="518"/>
      <c r="AG295" s="482">
        <f t="shared" si="944"/>
        <v>0</v>
      </c>
      <c r="AH295" s="517"/>
      <c r="AI295" s="518"/>
      <c r="AJ295" s="482">
        <f t="shared" si="945"/>
        <v>0</v>
      </c>
      <c r="AK295" s="517"/>
      <c r="AL295" s="518"/>
      <c r="AM295" s="482">
        <f t="shared" si="946"/>
        <v>0</v>
      </c>
      <c r="AN295" s="517"/>
      <c r="AO295" s="518"/>
      <c r="AP295" s="482">
        <f t="shared" si="947"/>
        <v>0</v>
      </c>
      <c r="AQ295" s="517"/>
      <c r="AR295" s="518"/>
      <c r="AS295" s="482">
        <f t="shared" si="948"/>
        <v>0</v>
      </c>
      <c r="AT295" s="520">
        <v>0</v>
      </c>
      <c r="AU295" s="518"/>
      <c r="AV295" s="482">
        <f t="shared" si="949"/>
        <v>0</v>
      </c>
      <c r="AW295" s="517"/>
      <c r="AX295" s="519">
        <v>0</v>
      </c>
      <c r="AY295" s="482">
        <f t="shared" si="950"/>
        <v>0</v>
      </c>
      <c r="AZ295" s="520">
        <v>0</v>
      </c>
      <c r="BA295" s="519">
        <v>0</v>
      </c>
      <c r="BB295" s="482">
        <f t="shared" si="951"/>
        <v>0</v>
      </c>
      <c r="BC295" s="520">
        <v>0</v>
      </c>
      <c r="BD295" s="519">
        <v>0</v>
      </c>
      <c r="BE295" s="482">
        <f t="shared" si="952"/>
        <v>0</v>
      </c>
      <c r="BF295" s="520">
        <v>0</v>
      </c>
      <c r="BG295" s="519">
        <v>0</v>
      </c>
      <c r="BH295" s="482">
        <f>+BI295</f>
        <v>0</v>
      </c>
      <c r="BI295" s="520">
        <v>0</v>
      </c>
      <c r="BJ295" s="519">
        <v>0</v>
      </c>
      <c r="BK295" s="482">
        <f t="shared" si="954"/>
        <v>0</v>
      </c>
      <c r="BL295" s="520">
        <v>0</v>
      </c>
      <c r="BM295" s="518">
        <f>(+BL290+BM211-BM602-BM291-BM292-BM293-BM294-BM296)</f>
        <v>0</v>
      </c>
      <c r="BN295" s="482">
        <f t="shared" si="955"/>
        <v>0</v>
      </c>
      <c r="BO295" s="521">
        <v>0</v>
      </c>
      <c r="BP295" s="519">
        <v>0</v>
      </c>
      <c r="BQ295" s="482" t="str">
        <f t="shared" si="956"/>
        <v/>
      </c>
      <c r="BR295" s="516" t="str">
        <f>IF(BR5="A","",+BO290+BR211-BR602-BR291-BR292-BR293-BR294-BR296)</f>
        <v/>
      </c>
      <c r="BS295" s="518" t="str">
        <f>IF(BS5="A","",+BR290+BS211-BS602-BS291-BS292-BS293-BS294-BS296)</f>
        <v/>
      </c>
      <c r="BT295" s="482" t="str">
        <f t="shared" si="957"/>
        <v/>
      </c>
      <c r="BU295" s="516" t="str">
        <f>IF(BU5="A","",+BR290+BU211-BU602-BU291-BU292-BU293-BU294-BU296)</f>
        <v/>
      </c>
      <c r="BV295" s="518" t="str">
        <f>IF(BV5="A","",+BU290+BV211-BV602-BV291-BV292-BV293-BV294-BV296)</f>
        <v/>
      </c>
      <c r="BW295" s="482">
        <f t="shared" si="958"/>
        <v>0</v>
      </c>
      <c r="BX295" s="516"/>
      <c r="BY295" s="518" t="str">
        <f>IF(BY5="A","",+BX290+BY211-BY602-BY291-BY292-BY293-BY294-BY296)</f>
        <v/>
      </c>
      <c r="BZ295" s="482">
        <f t="shared" si="959"/>
        <v>0</v>
      </c>
      <c r="CA295" s="521">
        <v>0</v>
      </c>
      <c r="CB295" s="518" t="str">
        <f>IF(CB5="A","",+CA290+CB211-CB602-CB291-CB292-CB293-CB294-CB296)</f>
        <v/>
      </c>
      <c r="CC295" s="482" t="str">
        <f t="shared" si="960"/>
        <v/>
      </c>
      <c r="CD295" s="516" t="str">
        <f>IF(CD5="A","",+CA290+CD211-CD602-CD291-CD292-CD293-CD294-CD296)</f>
        <v/>
      </c>
      <c r="CE295" s="518" t="str">
        <f>IF(CE5="A","",+CD290+CE211-CE602-CE291-CE292-CE293-CE294-CE296)</f>
        <v/>
      </c>
      <c r="CF295" s="482">
        <f t="shared" si="961"/>
        <v>3.04</v>
      </c>
      <c r="CG295" s="520">
        <v>3.04</v>
      </c>
      <c r="CH295" s="518" t="str">
        <f>IF(CH5="A","",+CG290+CH211-CH602-CH291-CH292-CH293-CH294-CH296)</f>
        <v/>
      </c>
      <c r="CI295" s="482" t="str">
        <f t="shared" si="962"/>
        <v/>
      </c>
      <c r="CJ295" s="516" t="str">
        <f>IF(CJ5="A","",+CG290+CJ211-CJ602-CJ291-CJ292-CJ293-CJ294-CJ296)</f>
        <v/>
      </c>
      <c r="CK295" s="519">
        <v>0</v>
      </c>
      <c r="CL295" s="482" t="str">
        <f>+CM295</f>
        <v/>
      </c>
      <c r="CM295" s="516" t="str">
        <f>IF(CM5="A","",+CJ290+CM211-CM602-CM291-CM292-CM293-CM294-CM296)</f>
        <v/>
      </c>
      <c r="CN295" s="518" t="str">
        <f>IF(CN5="A","",+CM290+CN211-CN602-CN291-CN292-CN293-CN294-CN296)</f>
        <v/>
      </c>
      <c r="CO295" s="482" t="str">
        <f t="shared" si="964"/>
        <v/>
      </c>
      <c r="CP295" s="516" t="str">
        <f>IF(CP5="A","",+CM290+CP211-CP602-CP291-CP292-CP293-CP294-CP296)</f>
        <v/>
      </c>
      <c r="CQ295" s="519">
        <v>0</v>
      </c>
      <c r="CR295" s="482" t="str">
        <f t="shared" si="965"/>
        <v/>
      </c>
      <c r="CS295" s="516" t="str">
        <f>IF(CS5="A","",+CP290+CS211-CS602-CS291-CS292-CS293-CS294-CS296)</f>
        <v/>
      </c>
      <c r="CT295" s="519">
        <v>0</v>
      </c>
      <c r="CU295" s="482" t="str">
        <f t="shared" si="966"/>
        <v/>
      </c>
      <c r="CV295" s="516" t="str">
        <f>IF(CV5="A","",+CS290+CV211-CV602-CV291-CV292-CV293-CV294-CV296)</f>
        <v/>
      </c>
      <c r="CW295" s="518" t="str">
        <f>IF(CW5="A","",+CV290+CW211-CW602-CW291-CW292-CW293-CW294-CW296)</f>
        <v/>
      </c>
      <c r="CX295" s="482" t="str">
        <f t="shared" si="967"/>
        <v/>
      </c>
      <c r="CY295" s="516" t="str">
        <f>IF(CY5="A","",+CV290+CY211-CY602-CY291-CY292-CY293-CY294-CY296)</f>
        <v/>
      </c>
      <c r="CZ295" s="518" t="str">
        <f>IF(CZ5="A","",+CY290+CZ211-CZ602-CZ291-CZ292-CZ293-CZ294-CZ296)</f>
        <v/>
      </c>
      <c r="DA295" s="482" t="str">
        <f t="shared" si="968"/>
        <v/>
      </c>
      <c r="DB295" s="516" t="str">
        <f>IF(DB5="A","",+CY290+DB211-DB602-DB291-DB292-DB293-DB294-DB296)</f>
        <v/>
      </c>
      <c r="DC295" s="518" t="str">
        <f>IF(DC5="A","",+DB290+DC211-DC602-DC291-DC292-DC293-DC294-DC296)</f>
        <v/>
      </c>
      <c r="DD295" s="482">
        <f t="shared" si="969"/>
        <v>0</v>
      </c>
      <c r="DE295" s="516">
        <v>0</v>
      </c>
      <c r="DF295" s="518">
        <v>0</v>
      </c>
      <c r="DG295" s="482" t="str">
        <f t="shared" si="970"/>
        <v/>
      </c>
      <c r="DH295" s="1258" t="str">
        <f>IF(DH5="A","",+DE290+DH211-DH602-DH291-DH292-DH293-DH294-DH296)</f>
        <v/>
      </c>
      <c r="DI295" s="482">
        <v>81</v>
      </c>
      <c r="DJ295" s="482">
        <f t="shared" si="971"/>
        <v>0</v>
      </c>
      <c r="DK295" s="1244">
        <v>0</v>
      </c>
      <c r="DL295" s="482" t="str">
        <f>IF(DL5="A","",+DK290+DL211-DL602-DL291-DL292-DL293-DL294-DL296)</f>
        <v/>
      </c>
      <c r="DM295" s="482" t="str">
        <f t="shared" si="972"/>
        <v/>
      </c>
      <c r="DN295" s="1244" t="str">
        <f>IF(DN5="A","",+DK290+DN211-DN602-DN291-DN292-DN293-DN294-DN296)</f>
        <v/>
      </c>
      <c r="DO295" s="482"/>
      <c r="DP295" s="482" t="str">
        <f t="shared" si="973"/>
        <v/>
      </c>
      <c r="DQ295" s="1244" t="str">
        <f>IF(DQ5="A","",+DN290+DQ211-DQ602-DQ291-DQ292-DQ293-DQ294-DQ296)</f>
        <v/>
      </c>
      <c r="DR295" s="482" t="str">
        <f>IF(DR5="A","",+DQ290+DR211-DR602-DR291-DR292-DR293-DR294-DR296)</f>
        <v/>
      </c>
      <c r="DS295" s="482" t="str">
        <f t="shared" si="974"/>
        <v/>
      </c>
      <c r="DT295" s="1244" t="str">
        <f>IF(DT5="A","",+DQ290+DT211-DT602-DT291-DT292-DT293-DT294-DT296)</f>
        <v/>
      </c>
      <c r="DU295" s="482" t="str">
        <f>IF(DU5="A","",+DT290+DU211-DU602-DU291-DU292-DU293-DU294-DU296)</f>
        <v/>
      </c>
      <c r="DV295" s="482" t="str">
        <f t="shared" si="975"/>
        <v/>
      </c>
      <c r="DW295" s="1244" t="str">
        <f>IF(DW5="A","",+DT290+DW211-DW602-DW291-DW292-DW293-DW294-DW296)</f>
        <v/>
      </c>
      <c r="DX295" s="482" t="str">
        <f>IF(DX5="A","",+DW290+DX211-DX602-DX291-DX292-DX293-DX294-DX296)</f>
        <v/>
      </c>
      <c r="DY295" s="482">
        <f t="shared" si="976"/>
        <v>0</v>
      </c>
      <c r="DZ295" s="1244">
        <f>IF(DZ5="A","",+DW290+DZ211-DZ602-DZ291-DZ292-DZ293-DZ294-DZ296)</f>
        <v>0</v>
      </c>
      <c r="EA295" s="482">
        <f>IF(EA5="A","",+DZ290+EA211-EA602-EA291-EA292-EA293-EA294-EA296)</f>
        <v>0</v>
      </c>
      <c r="EB295" s="482">
        <f t="shared" si="977"/>
        <v>0</v>
      </c>
      <c r="EC295" s="1244">
        <f>IF(EC5="A","",+DZ290+EC211-EC602-EC291-EC292-EC293-EC294-EC296)</f>
        <v>0</v>
      </c>
      <c r="ED295" s="482">
        <f>IF(ED5="A","",+EC290+ED211-ED602-ED291-ED292-ED293-ED294-ED296)</f>
        <v>0</v>
      </c>
      <c r="EE295" s="482">
        <f t="shared" si="978"/>
        <v>0</v>
      </c>
      <c r="EF295" s="1244">
        <f>IF(EF5="A","",+EC290+EF211-EF602-EF291-EF292-EF293-EF294-EF296)</f>
        <v>0</v>
      </c>
      <c r="EG295" s="482">
        <f>IF(EG5="A","",+EF290+EG211-EG602-EG291-EG292-EG293-EG294-EG296)</f>
        <v>0</v>
      </c>
      <c r="EH295" s="482">
        <f t="shared" si="979"/>
        <v>0</v>
      </c>
      <c r="EI295" s="1244">
        <f>IF(EI5="A","",+EF290+EI211-EI602-EI291-EI292-EI293-EI294-EI296)</f>
        <v>0</v>
      </c>
      <c r="EJ295" s="482">
        <f>IF(EJ5="A","",+EI290+EJ211-EJ602-EJ291-EJ292-EJ293-EJ294-EJ296)</f>
        <v>0</v>
      </c>
      <c r="EK295" s="482">
        <f t="shared" si="980"/>
        <v>0</v>
      </c>
      <c r="EL295" s="1244">
        <f>IF(EL5="A","",+EI290+EL211-EL602-EL291-EL292-EL293-EL294-EL296)</f>
        <v>0</v>
      </c>
      <c r="EM295" s="482">
        <f>IF(EM5="A","",+EL290+EM211-EM602-EM291-EM292-EM293-EM294-EM296)</f>
        <v>0</v>
      </c>
      <c r="EN295" s="482">
        <f t="shared" si="981"/>
        <v>0</v>
      </c>
      <c r="EO295" s="1244">
        <f>IF(EO5="A","",+EL290+EO211-EO602-EO291-EO292-EO293-EO294-EO296)</f>
        <v>0</v>
      </c>
      <c r="EP295" s="482">
        <f>IF(EP5="A","",+EO290+EP211-EP602-EP291-EP292-EP293-EP294-EP296)</f>
        <v>0</v>
      </c>
      <c r="EQ295" s="482">
        <f t="shared" si="982"/>
        <v>0</v>
      </c>
      <c r="ER295" s="1244">
        <f>IF(ER5="A","",+EO290+ER211-ER602-ER291-ER292-ER293-ER294-ER296)</f>
        <v>0</v>
      </c>
      <c r="ES295" s="482">
        <f>IF(ES5="A","",+ER290+ES211-ES602-ES291-ES292-ES293-ES294-ES296)</f>
        <v>0</v>
      </c>
      <c r="ET295" s="482">
        <f t="shared" si="983"/>
        <v>0</v>
      </c>
      <c r="EU295" s="1244">
        <f>IF(EU5="A","",+ER290+EU211-EU602-EU291-EU292-EU293-EU294-EU296)</f>
        <v>0</v>
      </c>
      <c r="EV295" s="482">
        <f>IF(EV5="A","",+EU290+EV211-EV602-EV291-EV292-EV293-EV294-EV296)</f>
        <v>0</v>
      </c>
      <c r="EW295" s="482">
        <f t="shared" si="984"/>
        <v>0</v>
      </c>
      <c r="EX295" s="1244">
        <f>IF(EX5="A","",+EU290+EX211-EX602-EX291-EX292-EX293-EX294-EX296)</f>
        <v>0</v>
      </c>
      <c r="EY295" s="482">
        <f>IF(EY5="A","",+EX290+EY211-EY602-EY291-EY292-EY293-EY294-EY296)</f>
        <v>0</v>
      </c>
      <c r="EZ295" s="482">
        <f t="shared" si="985"/>
        <v>0</v>
      </c>
      <c r="FA295" s="1244">
        <f>IF(FA5="A","",+EX290+FA211-FA602-FA291-FA292-FA293-FA294-FA296)</f>
        <v>0</v>
      </c>
      <c r="FB295" s="1571"/>
      <c r="FE295"/>
      <c r="FF295"/>
      <c r="FG295"/>
      <c r="FH295"/>
      <c r="FI295"/>
      <c r="FJ295"/>
      <c r="FK295" s="35"/>
    </row>
    <row r="296" spans="2:167" s="236" customFormat="1" ht="13.35" customHeight="1" outlineLevel="1" thickBot="1">
      <c r="B296" s="242" t="s">
        <v>280</v>
      </c>
      <c r="C296" s="242" t="s">
        <v>496</v>
      </c>
      <c r="D296" s="243"/>
      <c r="E296" s="528"/>
      <c r="F296" s="482">
        <f t="shared" si="935"/>
        <v>0</v>
      </c>
      <c r="G296" s="529"/>
      <c r="H296" s="530"/>
      <c r="I296" s="482">
        <f t="shared" si="936"/>
        <v>0</v>
      </c>
      <c r="J296" s="529"/>
      <c r="K296" s="530"/>
      <c r="L296" s="482">
        <f t="shared" si="937"/>
        <v>0</v>
      </c>
      <c r="M296" s="529"/>
      <c r="N296" s="530"/>
      <c r="O296" s="482">
        <f t="shared" si="938"/>
        <v>0</v>
      </c>
      <c r="P296" s="529"/>
      <c r="Q296" s="530"/>
      <c r="R296" s="482">
        <f t="shared" si="939"/>
        <v>0</v>
      </c>
      <c r="S296" s="605"/>
      <c r="T296" s="530"/>
      <c r="U296" s="482">
        <f t="shared" si="940"/>
        <v>0</v>
      </c>
      <c r="V296" s="529"/>
      <c r="W296" s="530"/>
      <c r="X296" s="482">
        <f t="shared" si="941"/>
        <v>0</v>
      </c>
      <c r="Y296" s="529"/>
      <c r="Z296" s="530"/>
      <c r="AA296" s="482">
        <f t="shared" si="942"/>
        <v>0</v>
      </c>
      <c r="AB296" s="529"/>
      <c r="AC296" s="530"/>
      <c r="AD296" s="482">
        <f t="shared" si="943"/>
        <v>0</v>
      </c>
      <c r="AE296" s="529"/>
      <c r="AF296" s="530"/>
      <c r="AG296" s="482">
        <f t="shared" si="944"/>
        <v>0</v>
      </c>
      <c r="AH296" s="529"/>
      <c r="AI296" s="530"/>
      <c r="AJ296" s="482">
        <f t="shared" si="945"/>
        <v>0</v>
      </c>
      <c r="AK296" s="529"/>
      <c r="AL296" s="530"/>
      <c r="AM296" s="482">
        <f t="shared" si="946"/>
        <v>0</v>
      </c>
      <c r="AN296" s="529"/>
      <c r="AO296" s="530"/>
      <c r="AP296" s="482">
        <f t="shared" si="947"/>
        <v>0</v>
      </c>
      <c r="AQ296" s="529"/>
      <c r="AR296" s="530"/>
      <c r="AS296" s="482">
        <f t="shared" si="948"/>
        <v>0</v>
      </c>
      <c r="AT296" s="529"/>
      <c r="AU296" s="530"/>
      <c r="AV296" s="482">
        <f t="shared" si="949"/>
        <v>0</v>
      </c>
      <c r="AW296" s="529"/>
      <c r="AX296" s="531">
        <v>0</v>
      </c>
      <c r="AY296" s="482">
        <f t="shared" si="950"/>
        <v>0</v>
      </c>
      <c r="AZ296" s="532">
        <v>0</v>
      </c>
      <c r="BA296" s="531">
        <v>0</v>
      </c>
      <c r="BB296" s="482">
        <f t="shared" si="951"/>
        <v>0</v>
      </c>
      <c r="BC296" s="532">
        <v>0</v>
      </c>
      <c r="BD296" s="531">
        <v>0</v>
      </c>
      <c r="BE296" s="482">
        <f t="shared" si="952"/>
        <v>0</v>
      </c>
      <c r="BF296" s="532">
        <v>0</v>
      </c>
      <c r="BG296" s="531">
        <v>0</v>
      </c>
      <c r="BH296" s="482">
        <f t="shared" si="953"/>
        <v>0</v>
      </c>
      <c r="BI296" s="532">
        <v>0</v>
      </c>
      <c r="BJ296" s="531">
        <v>0</v>
      </c>
      <c r="BK296" s="482">
        <f t="shared" si="954"/>
        <v>0</v>
      </c>
      <c r="BL296" s="529">
        <f>BJ296</f>
        <v>0</v>
      </c>
      <c r="BM296" s="530">
        <f>BL296</f>
        <v>0</v>
      </c>
      <c r="BN296" s="482">
        <f t="shared" si="955"/>
        <v>0</v>
      </c>
      <c r="BO296" s="528">
        <f>BM296</f>
        <v>0</v>
      </c>
      <c r="BP296" s="530">
        <f>BO296</f>
        <v>0</v>
      </c>
      <c r="BQ296" s="482">
        <f t="shared" si="956"/>
        <v>0</v>
      </c>
      <c r="BR296" s="528">
        <f>BP296</f>
        <v>0</v>
      </c>
      <c r="BS296" s="530">
        <f>BR296</f>
        <v>0</v>
      </c>
      <c r="BT296" s="482">
        <f t="shared" si="957"/>
        <v>0</v>
      </c>
      <c r="BU296" s="528">
        <f>BS296</f>
        <v>0</v>
      </c>
      <c r="BV296" s="530">
        <f>BU296</f>
        <v>0</v>
      </c>
      <c r="BW296" s="482">
        <f t="shared" si="958"/>
        <v>0</v>
      </c>
      <c r="BX296" s="528">
        <f>BV296</f>
        <v>0</v>
      </c>
      <c r="BY296" s="530">
        <f>BX296</f>
        <v>0</v>
      </c>
      <c r="BZ296" s="482">
        <f t="shared" si="959"/>
        <v>0</v>
      </c>
      <c r="CA296" s="528">
        <f>BY296</f>
        <v>0</v>
      </c>
      <c r="CB296" s="530">
        <f>CA296</f>
        <v>0</v>
      </c>
      <c r="CC296" s="482">
        <f t="shared" si="960"/>
        <v>0</v>
      </c>
      <c r="CD296" s="528">
        <f>CB296</f>
        <v>0</v>
      </c>
      <c r="CE296" s="530">
        <f>CD296</f>
        <v>0</v>
      </c>
      <c r="CF296" s="482">
        <f t="shared" si="961"/>
        <v>0</v>
      </c>
      <c r="CG296" s="529">
        <f>CE296</f>
        <v>0</v>
      </c>
      <c r="CH296" s="530">
        <f>CG296</f>
        <v>0</v>
      </c>
      <c r="CI296" s="482">
        <f t="shared" si="962"/>
        <v>0</v>
      </c>
      <c r="CJ296" s="528">
        <f>CH296</f>
        <v>0</v>
      </c>
      <c r="CK296" s="530">
        <f>CJ296</f>
        <v>0</v>
      </c>
      <c r="CL296" s="482">
        <f t="shared" si="963"/>
        <v>0</v>
      </c>
      <c r="CM296" s="528">
        <f>CK296</f>
        <v>0</v>
      </c>
      <c r="CN296" s="530">
        <f>CM296</f>
        <v>0</v>
      </c>
      <c r="CO296" s="482">
        <f t="shared" si="964"/>
        <v>0</v>
      </c>
      <c r="CP296" s="528">
        <f>CN296</f>
        <v>0</v>
      </c>
      <c r="CQ296" s="530">
        <f>CP296</f>
        <v>0</v>
      </c>
      <c r="CR296" s="482">
        <f t="shared" si="965"/>
        <v>0</v>
      </c>
      <c r="CS296" s="528">
        <f>CQ296</f>
        <v>0</v>
      </c>
      <c r="CT296" s="530">
        <f>CS296</f>
        <v>0</v>
      </c>
      <c r="CU296" s="482">
        <f t="shared" si="966"/>
        <v>0</v>
      </c>
      <c r="CV296" s="528">
        <f>CT296</f>
        <v>0</v>
      </c>
      <c r="CW296" s="530">
        <f>CV296</f>
        <v>0</v>
      </c>
      <c r="CX296" s="482">
        <f t="shared" si="967"/>
        <v>0</v>
      </c>
      <c r="CY296" s="528">
        <f>CW296</f>
        <v>0</v>
      </c>
      <c r="CZ296" s="530">
        <f>CY296</f>
        <v>0</v>
      </c>
      <c r="DA296" s="482">
        <f t="shared" si="968"/>
        <v>0</v>
      </c>
      <c r="DB296" s="528">
        <f>CZ296</f>
        <v>0</v>
      </c>
      <c r="DC296" s="530">
        <f>DB296</f>
        <v>0</v>
      </c>
      <c r="DD296" s="482">
        <f t="shared" si="969"/>
        <v>0</v>
      </c>
      <c r="DE296" s="528">
        <v>0</v>
      </c>
      <c r="DF296" s="530">
        <v>0</v>
      </c>
      <c r="DG296" s="482">
        <f t="shared" si="970"/>
        <v>0</v>
      </c>
      <c r="DH296" s="1260">
        <f>DF296</f>
        <v>0</v>
      </c>
      <c r="DI296" s="482">
        <f>DH296</f>
        <v>0</v>
      </c>
      <c r="DJ296" s="482">
        <f t="shared" si="971"/>
        <v>0</v>
      </c>
      <c r="DK296" s="1244">
        <f>DI296</f>
        <v>0</v>
      </c>
      <c r="DL296" s="482">
        <f>DK296</f>
        <v>0</v>
      </c>
      <c r="DM296" s="482">
        <f t="shared" si="972"/>
        <v>0</v>
      </c>
      <c r="DN296" s="1244">
        <f>DL296</f>
        <v>0</v>
      </c>
      <c r="DO296" s="482">
        <f>DN296</f>
        <v>0</v>
      </c>
      <c r="DP296" s="482">
        <f t="shared" si="973"/>
        <v>0</v>
      </c>
      <c r="DQ296" s="1244">
        <f>DO296</f>
        <v>0</v>
      </c>
      <c r="DR296" s="482">
        <f>DQ296</f>
        <v>0</v>
      </c>
      <c r="DS296" s="482">
        <f t="shared" si="974"/>
        <v>0</v>
      </c>
      <c r="DT296" s="1244">
        <f>DR296</f>
        <v>0</v>
      </c>
      <c r="DU296" s="482">
        <f>DT296</f>
        <v>0</v>
      </c>
      <c r="DV296" s="482">
        <f t="shared" si="975"/>
        <v>0</v>
      </c>
      <c r="DW296" s="1244">
        <f>DU296</f>
        <v>0</v>
      </c>
      <c r="DX296" s="482">
        <f>DW296</f>
        <v>0</v>
      </c>
      <c r="DY296" s="482">
        <f t="shared" si="976"/>
        <v>0</v>
      </c>
      <c r="DZ296" s="1244">
        <f>DX296</f>
        <v>0</v>
      </c>
      <c r="EA296" s="482">
        <f>DZ296</f>
        <v>0</v>
      </c>
      <c r="EB296" s="482">
        <f t="shared" si="977"/>
        <v>0</v>
      </c>
      <c r="EC296" s="1244">
        <f>EA296</f>
        <v>0</v>
      </c>
      <c r="ED296" s="482">
        <f>EC296</f>
        <v>0</v>
      </c>
      <c r="EE296" s="482">
        <f t="shared" si="978"/>
        <v>0</v>
      </c>
      <c r="EF296" s="1244">
        <f>ED296</f>
        <v>0</v>
      </c>
      <c r="EG296" s="482">
        <f>EF296</f>
        <v>0</v>
      </c>
      <c r="EH296" s="482">
        <f t="shared" si="979"/>
        <v>0</v>
      </c>
      <c r="EI296" s="1244">
        <f>EG296</f>
        <v>0</v>
      </c>
      <c r="EJ296" s="482">
        <f>EI296</f>
        <v>0</v>
      </c>
      <c r="EK296" s="482">
        <f t="shared" si="980"/>
        <v>0</v>
      </c>
      <c r="EL296" s="1244">
        <f>EJ296</f>
        <v>0</v>
      </c>
      <c r="EM296" s="482">
        <f>EL296</f>
        <v>0</v>
      </c>
      <c r="EN296" s="482">
        <f t="shared" si="981"/>
        <v>0</v>
      </c>
      <c r="EO296" s="1244">
        <f>EM296</f>
        <v>0</v>
      </c>
      <c r="EP296" s="482">
        <f>EO296</f>
        <v>0</v>
      </c>
      <c r="EQ296" s="482">
        <f t="shared" si="982"/>
        <v>0</v>
      </c>
      <c r="ER296" s="1244">
        <f>EP296</f>
        <v>0</v>
      </c>
      <c r="ES296" s="482">
        <f>ER296</f>
        <v>0</v>
      </c>
      <c r="ET296" s="482">
        <f t="shared" si="983"/>
        <v>0</v>
      </c>
      <c r="EU296" s="1244">
        <f>ES296</f>
        <v>0</v>
      </c>
      <c r="EV296" s="482">
        <f>EU296</f>
        <v>0</v>
      </c>
      <c r="EW296" s="482">
        <f t="shared" si="984"/>
        <v>0</v>
      </c>
      <c r="EX296" s="1244">
        <f>EV296</f>
        <v>0</v>
      </c>
      <c r="EY296" s="482">
        <f>EX296</f>
        <v>0</v>
      </c>
      <c r="EZ296" s="482">
        <f t="shared" si="985"/>
        <v>0</v>
      </c>
      <c r="FA296" s="1244">
        <f>EY296</f>
        <v>0</v>
      </c>
      <c r="FB296" s="1571"/>
      <c r="FE296"/>
      <c r="FF296"/>
      <c r="FG296"/>
      <c r="FH296"/>
      <c r="FI296"/>
      <c r="FJ296"/>
      <c r="FK296" s="35"/>
    </row>
    <row r="297" spans="2:167" s="236" customFormat="1" ht="13.35" customHeight="1" thickBot="1">
      <c r="B297" s="485" t="s">
        <v>281</v>
      </c>
      <c r="C297" s="242" t="s">
        <v>496</v>
      </c>
      <c r="D297" s="243"/>
      <c r="E297" s="482">
        <f>+SUM(E298:E301)</f>
        <v>0</v>
      </c>
      <c r="F297" s="482">
        <f t="shared" si="935"/>
        <v>0</v>
      </c>
      <c r="G297" s="482">
        <f>+SUM(G298:G301)</f>
        <v>0</v>
      </c>
      <c r="H297" s="482">
        <f>+SUM(H298:H301)</f>
        <v>0</v>
      </c>
      <c r="I297" s="482">
        <f t="shared" si="936"/>
        <v>0</v>
      </c>
      <c r="J297" s="482">
        <f>+SUM(J298:J301)</f>
        <v>0</v>
      </c>
      <c r="K297" s="482">
        <f>+SUM(K298:K301)</f>
        <v>0</v>
      </c>
      <c r="L297" s="482">
        <f t="shared" si="937"/>
        <v>0</v>
      </c>
      <c r="M297" s="482">
        <f>+SUM(M298:M301)</f>
        <v>0</v>
      </c>
      <c r="N297" s="482">
        <f>+SUM(N298:N301)</f>
        <v>0</v>
      </c>
      <c r="O297" s="482">
        <f t="shared" si="938"/>
        <v>0</v>
      </c>
      <c r="P297" s="482">
        <f>+SUM(P298:P301)</f>
        <v>0</v>
      </c>
      <c r="Q297" s="482">
        <f>+SUM(Q298:Q301)</f>
        <v>0</v>
      </c>
      <c r="R297" s="482">
        <f t="shared" si="939"/>
        <v>0</v>
      </c>
      <c r="S297" s="603">
        <f>+SUM(S298:S301)</f>
        <v>0</v>
      </c>
      <c r="T297" s="482">
        <f>+SUM(T298:T301)</f>
        <v>0</v>
      </c>
      <c r="U297" s="482">
        <f t="shared" si="940"/>
        <v>0</v>
      </c>
      <c r="V297" s="482">
        <f>+SUM(V298:V301)</f>
        <v>0</v>
      </c>
      <c r="W297" s="482">
        <f>+SUM(W298:W301)</f>
        <v>0</v>
      </c>
      <c r="X297" s="482">
        <f t="shared" si="941"/>
        <v>0</v>
      </c>
      <c r="Y297" s="482">
        <f>+SUM(Y298:Y301)</f>
        <v>0</v>
      </c>
      <c r="Z297" s="482">
        <f>+SUM(Z298:Z301)</f>
        <v>0</v>
      </c>
      <c r="AA297" s="482">
        <f t="shared" si="942"/>
        <v>0</v>
      </c>
      <c r="AB297" s="482">
        <f>+SUM(AB298:AB301)</f>
        <v>0</v>
      </c>
      <c r="AC297" s="482">
        <f>+SUM(AC298:AC301)</f>
        <v>0</v>
      </c>
      <c r="AD297" s="482">
        <f t="shared" si="943"/>
        <v>0</v>
      </c>
      <c r="AE297" s="482">
        <f>+SUM(AE298:AE301)</f>
        <v>0</v>
      </c>
      <c r="AF297" s="482">
        <f>+SUM(AF298:AF301)</f>
        <v>0</v>
      </c>
      <c r="AG297" s="482">
        <f t="shared" si="944"/>
        <v>0</v>
      </c>
      <c r="AH297" s="482">
        <f>+SUM(AH298:AH301)</f>
        <v>0</v>
      </c>
      <c r="AI297" s="482">
        <f>+SUM(AI298:AI301)</f>
        <v>0.42</v>
      </c>
      <c r="AJ297" s="482">
        <f t="shared" si="945"/>
        <v>0.56799999999999995</v>
      </c>
      <c r="AK297" s="482">
        <f>+SUM(AK298:AK301)</f>
        <v>0.56799999999999995</v>
      </c>
      <c r="AL297" s="482">
        <f>+SUM(AL298:AL301)</f>
        <v>0.371</v>
      </c>
      <c r="AM297" s="482">
        <f t="shared" si="946"/>
        <v>0.28199999999999997</v>
      </c>
      <c r="AN297" s="482">
        <f>+SUM(AN298:AN301)</f>
        <v>0.28199999999999997</v>
      </c>
      <c r="AO297" s="482">
        <f>+SUM(AO298:AO301)</f>
        <v>0.36499999999999999</v>
      </c>
      <c r="AP297" s="482">
        <f t="shared" si="947"/>
        <v>0.36499999999999999</v>
      </c>
      <c r="AQ297" s="482">
        <f>+SUM(AQ298:AQ301)</f>
        <v>0.36499999999999999</v>
      </c>
      <c r="AR297" s="482">
        <f>+SUM(AR298:AR301)</f>
        <v>0.36399999999999999</v>
      </c>
      <c r="AS297" s="482">
        <f t="shared" si="948"/>
        <v>0.40899999999999997</v>
      </c>
      <c r="AT297" s="482">
        <f>+SUM(AT298:AT301)</f>
        <v>0.40899999999999997</v>
      </c>
      <c r="AU297" s="482">
        <f>+SUM(AU298:AU301)</f>
        <v>0.44700000000000001</v>
      </c>
      <c r="AV297" s="482">
        <f t="shared" si="949"/>
        <v>0.49099999999999999</v>
      </c>
      <c r="AW297" s="482">
        <f>+SUM(AW298:AW301)</f>
        <v>0.49099999999999999</v>
      </c>
      <c r="AX297" s="482">
        <f>+SUM(AX298:AX301)</f>
        <v>0.52400000000000002</v>
      </c>
      <c r="AY297" s="482">
        <f t="shared" si="950"/>
        <v>0.54900000000000004</v>
      </c>
      <c r="AZ297" s="482">
        <f>+SUM(AZ298:AZ301)</f>
        <v>0.54900000000000004</v>
      </c>
      <c r="BA297" s="482">
        <f>+SUM(BA298:BA301)</f>
        <v>0.55500000000000005</v>
      </c>
      <c r="BB297" s="482">
        <f t="shared" si="951"/>
        <v>0.61499999999999999</v>
      </c>
      <c r="BC297" s="482">
        <f>+SUM(BC298:BC301)</f>
        <v>0.61499999999999999</v>
      </c>
      <c r="BD297" s="482">
        <f>+SUM(BD298:BD301)</f>
        <v>0.70199999999999996</v>
      </c>
      <c r="BE297" s="482">
        <f t="shared" si="952"/>
        <v>1.64</v>
      </c>
      <c r="BF297" s="482">
        <f>+SUM(BF298:BF301)</f>
        <v>1.64</v>
      </c>
      <c r="BG297" s="482">
        <f>+SUM(BG298:BG301)</f>
        <v>1.6830000000000001</v>
      </c>
      <c r="BH297" s="482">
        <f t="shared" si="953"/>
        <v>1.82</v>
      </c>
      <c r="BI297" s="482">
        <f>+SUM(BI298:BI301)</f>
        <v>1.82</v>
      </c>
      <c r="BJ297" s="482">
        <f>+SUM(BJ298:BJ301)</f>
        <v>13.196</v>
      </c>
      <c r="BK297" s="482">
        <f t="shared" si="954"/>
        <v>3.2559999999999998</v>
      </c>
      <c r="BL297" s="482">
        <f>+SUM(BL298:BL301)</f>
        <v>3.2559999999999998</v>
      </c>
      <c r="BM297" s="482">
        <f>+SUM(BM298:BM301)</f>
        <v>12.779</v>
      </c>
      <c r="BN297" s="482">
        <f t="shared" si="955"/>
        <v>6.1079999999999997</v>
      </c>
      <c r="BO297" s="482">
        <f>+SUM(BO298:BO301)</f>
        <v>6.1079999999999997</v>
      </c>
      <c r="BP297" s="482">
        <f>+SUM(BP298:BP301)</f>
        <v>4.33</v>
      </c>
      <c r="BQ297" s="482">
        <f t="shared" si="956"/>
        <v>6.4329999999999998</v>
      </c>
      <c r="BR297" s="482">
        <f>+SUM(BR298:BR301)</f>
        <v>6.4329999999999998</v>
      </c>
      <c r="BS297" s="482">
        <f>+SUM(BS298:BS301)</f>
        <v>6.9050000000000002</v>
      </c>
      <c r="BT297" s="482">
        <f t="shared" si="957"/>
        <v>7.8280000000000003</v>
      </c>
      <c r="BU297" s="482">
        <f>+SUM(BU298:BU301)</f>
        <v>7.8280000000000003</v>
      </c>
      <c r="BV297" s="482">
        <f>+SUM(BV298:BV301)</f>
        <v>10.226000000000001</v>
      </c>
      <c r="BW297" s="482">
        <f t="shared" si="958"/>
        <v>8.6329999999999991</v>
      </c>
      <c r="BX297" s="482">
        <f>+SUM(BX298:BX301)</f>
        <v>8.6329999999999991</v>
      </c>
      <c r="BY297" s="482">
        <f>+SUM(BY298:BY301)</f>
        <v>11.684999999999999</v>
      </c>
      <c r="BZ297" s="482">
        <f t="shared" si="959"/>
        <v>9.3570000000000011</v>
      </c>
      <c r="CA297" s="482">
        <f>+SUM(CA298:CA301)</f>
        <v>9.3570000000000011</v>
      </c>
      <c r="CB297" s="482">
        <f>+SUM(CB298:CB301)</f>
        <v>20.734999999999999</v>
      </c>
      <c r="CC297" s="482">
        <f t="shared" si="960"/>
        <v>11.605</v>
      </c>
      <c r="CD297" s="482">
        <f>+SUM(CD298:CD301)</f>
        <v>11.605</v>
      </c>
      <c r="CE297" s="482">
        <f>+SUM(CE298:CE301)</f>
        <v>11.212999999999999</v>
      </c>
      <c r="CF297" s="482">
        <f t="shared" si="961"/>
        <v>11.263999999999999</v>
      </c>
      <c r="CG297" s="482">
        <f>+SUM(CG298:CG301)</f>
        <v>11.263999999999999</v>
      </c>
      <c r="CH297" s="482">
        <f>+SUM(CH298:CH301)</f>
        <v>39.595999999999997</v>
      </c>
      <c r="CI297" s="482">
        <f t="shared" si="962"/>
        <v>35.055999999999997</v>
      </c>
      <c r="CJ297" s="482">
        <f>+SUM(CJ298:CJ301)</f>
        <v>35.055999999999997</v>
      </c>
      <c r="CK297" s="482">
        <f>+SUM(CK298:CK301)</f>
        <v>36.276000000000003</v>
      </c>
      <c r="CL297" s="482">
        <f t="shared" si="963"/>
        <v>35.356000000000002</v>
      </c>
      <c r="CM297" s="482">
        <f>+SUM(CM298:CM301)</f>
        <v>35.356000000000002</v>
      </c>
      <c r="CN297" s="482">
        <f>+SUM(CN298:CN301)</f>
        <v>53.463999999999999</v>
      </c>
      <c r="CO297" s="482">
        <f t="shared" si="964"/>
        <v>53.354999999999997</v>
      </c>
      <c r="CP297" s="482">
        <f>+SUM(CP298:CP301)</f>
        <v>53.354999999999997</v>
      </c>
      <c r="CQ297" s="482">
        <f>+SUM(CQ298:CQ301)</f>
        <v>58.150999999999996</v>
      </c>
      <c r="CR297" s="482">
        <f t="shared" si="965"/>
        <v>65.834000000000003</v>
      </c>
      <c r="CS297" s="482">
        <f>+SUM(CS298:CS301)</f>
        <v>65.834000000000003</v>
      </c>
      <c r="CT297" s="482">
        <f>+SUM(CT298:CT301)</f>
        <v>64.146000000000001</v>
      </c>
      <c r="CU297" s="482">
        <f t="shared" si="966"/>
        <v>68.445999999999998</v>
      </c>
      <c r="CV297" s="482">
        <f>+SUM(CV298:CV301)</f>
        <v>68.445999999999998</v>
      </c>
      <c r="CW297" s="482">
        <f>+SUM(CW298:CW301)</f>
        <v>76.14500000000001</v>
      </c>
      <c r="CX297" s="482">
        <f t="shared" si="967"/>
        <v>74.697000000000003</v>
      </c>
      <c r="CY297" s="482">
        <f>+SUM(CY298:CY301)</f>
        <v>74.697000000000003</v>
      </c>
      <c r="CZ297" s="482">
        <f>+SUM(CZ298:CZ301)</f>
        <v>74</v>
      </c>
      <c r="DA297" s="482">
        <f t="shared" si="968"/>
        <v>74.5</v>
      </c>
      <c r="DB297" s="482">
        <f>+SUM(DB298:DB301)</f>
        <v>74.5</v>
      </c>
      <c r="DC297" s="482">
        <f>+SUM(DC298:DC301)</f>
        <v>73.8</v>
      </c>
      <c r="DD297" s="482">
        <f t="shared" si="969"/>
        <v>62.800000000000004</v>
      </c>
      <c r="DE297" s="482">
        <f>+SUM(DE298:DE301)</f>
        <v>62.800000000000004</v>
      </c>
      <c r="DF297" s="482">
        <f>+SUM(DF298:DF301)</f>
        <v>68.7</v>
      </c>
      <c r="DG297" s="482">
        <f t="shared" si="970"/>
        <v>53.7</v>
      </c>
      <c r="DH297" s="1244">
        <f>+SUM(DH298:DH301)</f>
        <v>53.7</v>
      </c>
      <c r="DI297" s="482">
        <f>+SUM(DI298:DI301)</f>
        <v>66.900000000000006</v>
      </c>
      <c r="DJ297" s="482">
        <f t="shared" si="971"/>
        <v>93.7</v>
      </c>
      <c r="DK297" s="1244">
        <f>+SUM(DK298:DK301)</f>
        <v>93.7</v>
      </c>
      <c r="DL297" s="482">
        <f>+SUM(DL298:DL301)</f>
        <v>86</v>
      </c>
      <c r="DM297" s="482">
        <f t="shared" si="972"/>
        <v>62</v>
      </c>
      <c r="DN297" s="1244">
        <f>+SUM(DN298:DN301)</f>
        <v>62</v>
      </c>
      <c r="DO297" s="482">
        <f>+SUM(DO298:DO301)</f>
        <v>62</v>
      </c>
      <c r="DP297" s="482">
        <f t="shared" si="973"/>
        <v>63.1</v>
      </c>
      <c r="DQ297" s="1244">
        <f>+SUM(DQ298:DQ301)</f>
        <v>63.1</v>
      </c>
      <c r="DR297" s="482">
        <f>+SUM(DR298:DR301)</f>
        <v>54.9</v>
      </c>
      <c r="DS297" s="482">
        <f t="shared" si="974"/>
        <v>62</v>
      </c>
      <c r="DT297" s="1244">
        <f>+SUM(DT298:DT301)</f>
        <v>62</v>
      </c>
      <c r="DU297" s="482">
        <f>+SUM(DU298:DU301)</f>
        <v>68</v>
      </c>
      <c r="DV297" s="482">
        <f t="shared" si="975"/>
        <v>69.3</v>
      </c>
      <c r="DW297" s="1244">
        <f>+SUM(DW298:DW301)</f>
        <v>69.3</v>
      </c>
      <c r="DX297" s="482">
        <f>+SUM(DX298:DX301)</f>
        <v>68.7</v>
      </c>
      <c r="DY297" s="482">
        <f t="shared" si="976"/>
        <v>68.7</v>
      </c>
      <c r="DZ297" s="1244">
        <f>+SUM(DZ298:DZ301)</f>
        <v>68.7</v>
      </c>
      <c r="EA297" s="482">
        <f>+SUM(EA298:EA301)</f>
        <v>68.7</v>
      </c>
      <c r="EB297" s="482">
        <f t="shared" si="977"/>
        <v>68.7</v>
      </c>
      <c r="EC297" s="1244">
        <f>+SUM(EC298:EC301)</f>
        <v>68.7</v>
      </c>
      <c r="ED297" s="482">
        <f>+SUM(ED298:ED301)</f>
        <v>68.7</v>
      </c>
      <c r="EE297" s="482">
        <f t="shared" si="978"/>
        <v>68.7</v>
      </c>
      <c r="EF297" s="1244">
        <f>+SUM(EF298:EF301)</f>
        <v>68.7</v>
      </c>
      <c r="EG297" s="482">
        <f>+SUM(EG298:EG301)</f>
        <v>68.7</v>
      </c>
      <c r="EH297" s="482">
        <f t="shared" si="979"/>
        <v>68.7</v>
      </c>
      <c r="EI297" s="1244">
        <f>+SUM(EI298:EI301)</f>
        <v>68.7</v>
      </c>
      <c r="EJ297" s="482">
        <f>+SUM(EJ298:EJ301)</f>
        <v>68.7</v>
      </c>
      <c r="EK297" s="482">
        <f t="shared" si="980"/>
        <v>68.7</v>
      </c>
      <c r="EL297" s="1244">
        <f>+SUM(EL298:EL301)</f>
        <v>68.7</v>
      </c>
      <c r="EM297" s="482">
        <f>+SUM(EM298:EM301)</f>
        <v>68.7</v>
      </c>
      <c r="EN297" s="482">
        <f t="shared" si="981"/>
        <v>68.7</v>
      </c>
      <c r="EO297" s="1244">
        <f>+SUM(EO298:EO301)</f>
        <v>68.7</v>
      </c>
      <c r="EP297" s="482">
        <f>+SUM(EP298:EP301)</f>
        <v>68.7</v>
      </c>
      <c r="EQ297" s="482">
        <f t="shared" si="982"/>
        <v>68.7</v>
      </c>
      <c r="ER297" s="1244">
        <f>+SUM(ER298:ER301)</f>
        <v>68.7</v>
      </c>
      <c r="ES297" s="482">
        <f>+SUM(ES298:ES301)</f>
        <v>68.7</v>
      </c>
      <c r="ET297" s="482">
        <f t="shared" si="983"/>
        <v>68.7</v>
      </c>
      <c r="EU297" s="1244">
        <f>+SUM(EU298:EU301)</f>
        <v>68.7</v>
      </c>
      <c r="EV297" s="482">
        <f>+SUM(EV298:EV301)</f>
        <v>68.7</v>
      </c>
      <c r="EW297" s="482">
        <f t="shared" si="984"/>
        <v>68.7</v>
      </c>
      <c r="EX297" s="1244">
        <f>+SUM(EX298:EX301)</f>
        <v>68.7</v>
      </c>
      <c r="EY297" s="482">
        <f>+SUM(EY298:EY301)</f>
        <v>68.7</v>
      </c>
      <c r="EZ297" s="482">
        <f t="shared" si="985"/>
        <v>68.7</v>
      </c>
      <c r="FA297" s="1244">
        <f>+SUM(FA298:FA301)</f>
        <v>68.7</v>
      </c>
      <c r="FB297" s="1571"/>
      <c r="FE297"/>
      <c r="FF297"/>
      <c r="FG297"/>
      <c r="FH297"/>
      <c r="FI297"/>
      <c r="FJ297"/>
      <c r="FK297" s="35"/>
    </row>
    <row r="298" spans="2:167" s="236" customFormat="1" ht="13.35" customHeight="1" outlineLevel="1">
      <c r="B298" s="242" t="s">
        <v>282</v>
      </c>
      <c r="C298" s="242" t="s">
        <v>496</v>
      </c>
      <c r="D298" s="243"/>
      <c r="E298" s="511"/>
      <c r="F298" s="510">
        <f t="shared" si="935"/>
        <v>0</v>
      </c>
      <c r="G298" s="512"/>
      <c r="H298" s="513"/>
      <c r="I298" s="510">
        <f t="shared" si="936"/>
        <v>0</v>
      </c>
      <c r="J298" s="512"/>
      <c r="K298" s="513"/>
      <c r="L298" s="510">
        <f t="shared" si="937"/>
        <v>0</v>
      </c>
      <c r="M298" s="512"/>
      <c r="N298" s="513"/>
      <c r="O298" s="510">
        <f t="shared" si="938"/>
        <v>0</v>
      </c>
      <c r="P298" s="512"/>
      <c r="Q298" s="513"/>
      <c r="R298" s="510">
        <f t="shared" si="939"/>
        <v>0</v>
      </c>
      <c r="S298" s="604"/>
      <c r="T298" s="513"/>
      <c r="U298" s="510">
        <f t="shared" si="940"/>
        <v>0</v>
      </c>
      <c r="V298" s="512"/>
      <c r="W298" s="513"/>
      <c r="X298" s="510">
        <f t="shared" si="941"/>
        <v>0</v>
      </c>
      <c r="Y298" s="512"/>
      <c r="Z298" s="513"/>
      <c r="AA298" s="510">
        <f t="shared" si="942"/>
        <v>0</v>
      </c>
      <c r="AB298" s="512"/>
      <c r="AC298" s="513"/>
      <c r="AD298" s="510">
        <f t="shared" si="943"/>
        <v>0</v>
      </c>
      <c r="AE298" s="512"/>
      <c r="AF298" s="513"/>
      <c r="AG298" s="510">
        <f t="shared" si="944"/>
        <v>0</v>
      </c>
      <c r="AH298" s="512"/>
      <c r="AI298" s="513"/>
      <c r="AJ298" s="510">
        <f t="shared" si="945"/>
        <v>0</v>
      </c>
      <c r="AK298" s="512"/>
      <c r="AL298" s="513"/>
      <c r="AM298" s="510">
        <f t="shared" si="946"/>
        <v>0</v>
      </c>
      <c r="AN298" s="512"/>
      <c r="AO298" s="513"/>
      <c r="AP298" s="510">
        <f t="shared" si="947"/>
        <v>0</v>
      </c>
      <c r="AQ298" s="512"/>
      <c r="AR298" s="513"/>
      <c r="AS298" s="510">
        <f t="shared" si="948"/>
        <v>0</v>
      </c>
      <c r="AT298" s="512"/>
      <c r="AU298" s="513"/>
      <c r="AV298" s="510">
        <f t="shared" si="949"/>
        <v>0</v>
      </c>
      <c r="AW298" s="512"/>
      <c r="AX298" s="514">
        <v>0</v>
      </c>
      <c r="AY298" s="510">
        <f t="shared" si="950"/>
        <v>0</v>
      </c>
      <c r="AZ298" s="515">
        <v>0</v>
      </c>
      <c r="BA298" s="514">
        <v>0</v>
      </c>
      <c r="BB298" s="510">
        <f t="shared" si="951"/>
        <v>0</v>
      </c>
      <c r="BC298" s="515">
        <v>0</v>
      </c>
      <c r="BD298" s="514">
        <v>0</v>
      </c>
      <c r="BE298" s="510">
        <f t="shared" si="952"/>
        <v>0</v>
      </c>
      <c r="BF298" s="512">
        <f>Assumptions!BF239</f>
        <v>0</v>
      </c>
      <c r="BG298" s="514">
        <v>1.3340000000000001</v>
      </c>
      <c r="BH298" s="510">
        <f t="shared" si="953"/>
        <v>1.82</v>
      </c>
      <c r="BI298" s="515">
        <v>1.82</v>
      </c>
      <c r="BJ298" s="514">
        <v>1.4139999999999999</v>
      </c>
      <c r="BK298" s="510">
        <f t="shared" si="954"/>
        <v>0</v>
      </c>
      <c r="BL298" s="512">
        <f>Assumptions!BL239</f>
        <v>0</v>
      </c>
      <c r="BM298" s="513">
        <f>Assumptions!BM239</f>
        <v>0</v>
      </c>
      <c r="BN298" s="510">
        <f t="shared" si="955"/>
        <v>0</v>
      </c>
      <c r="BO298" s="512">
        <f>Assumptions!BO239</f>
        <v>0</v>
      </c>
      <c r="BP298" s="513">
        <f>Assumptions!BP239</f>
        <v>0</v>
      </c>
      <c r="BQ298" s="510">
        <f t="shared" si="956"/>
        <v>0</v>
      </c>
      <c r="BR298" s="511">
        <f>Assumptions!BR239</f>
        <v>0</v>
      </c>
      <c r="BS298" s="513">
        <f>Assumptions!BS239</f>
        <v>0</v>
      </c>
      <c r="BT298" s="510">
        <f t="shared" si="957"/>
        <v>0</v>
      </c>
      <c r="BU298" s="511">
        <f>Assumptions!BU239</f>
        <v>0</v>
      </c>
      <c r="BV298" s="513">
        <f>Assumptions!BV239</f>
        <v>0</v>
      </c>
      <c r="BW298" s="510">
        <f t="shared" si="958"/>
        <v>0</v>
      </c>
      <c r="BX298" s="511">
        <f>Assumptions!BX239</f>
        <v>0</v>
      </c>
      <c r="BY298" s="514">
        <v>0.86</v>
      </c>
      <c r="BZ298" s="510">
        <f t="shared" si="959"/>
        <v>0.17899999999999999</v>
      </c>
      <c r="CA298" s="548">
        <v>0.17899999999999999</v>
      </c>
      <c r="CB298" s="514">
        <v>9.3840000000000003</v>
      </c>
      <c r="CC298" s="510">
        <f t="shared" si="960"/>
        <v>11.605</v>
      </c>
      <c r="CD298" s="548">
        <v>11.605</v>
      </c>
      <c r="CE298" s="514">
        <v>11.212999999999999</v>
      </c>
      <c r="CF298" s="510">
        <f t="shared" si="961"/>
        <v>11.263999999999999</v>
      </c>
      <c r="CG298" s="548">
        <v>11.263999999999999</v>
      </c>
      <c r="CH298" s="514">
        <v>39.595999999999997</v>
      </c>
      <c r="CI298" s="510">
        <f t="shared" si="962"/>
        <v>35.055999999999997</v>
      </c>
      <c r="CJ298" s="548">
        <v>35.055999999999997</v>
      </c>
      <c r="CK298" s="514">
        <v>36.276000000000003</v>
      </c>
      <c r="CL298" s="510">
        <f t="shared" si="963"/>
        <v>35.356000000000002</v>
      </c>
      <c r="CM298" s="548">
        <v>35.356000000000002</v>
      </c>
      <c r="CN298" s="514">
        <v>53.463999999999999</v>
      </c>
      <c r="CO298" s="510">
        <f t="shared" si="964"/>
        <v>0</v>
      </c>
      <c r="CP298" s="511"/>
      <c r="CQ298" s="514">
        <v>0</v>
      </c>
      <c r="CR298" s="510">
        <f t="shared" si="965"/>
        <v>0</v>
      </c>
      <c r="CS298" s="511"/>
      <c r="CT298" s="513">
        <f>Assumptions!CT239</f>
        <v>0</v>
      </c>
      <c r="CU298" s="510">
        <f t="shared" si="966"/>
        <v>7.1219999999999999</v>
      </c>
      <c r="CV298" s="548">
        <v>7.1219999999999999</v>
      </c>
      <c r="CW298" s="514">
        <v>10.976000000000001</v>
      </c>
      <c r="CX298" s="510">
        <f t="shared" si="967"/>
        <v>5.8369999999999997</v>
      </c>
      <c r="CY298" s="548">
        <v>5.8369999999999997</v>
      </c>
      <c r="CZ298" s="513">
        <v>8.6</v>
      </c>
      <c r="DA298" s="510">
        <f t="shared" si="968"/>
        <v>8.1</v>
      </c>
      <c r="DB298" s="511">
        <v>8.1</v>
      </c>
      <c r="DC298" s="513">
        <v>5.0999999999999996</v>
      </c>
      <c r="DD298" s="510">
        <f t="shared" si="969"/>
        <v>5.5</v>
      </c>
      <c r="DE298" s="511">
        <v>5.5</v>
      </c>
      <c r="DF298" s="514">
        <v>15.8</v>
      </c>
      <c r="DG298" s="510">
        <f t="shared" si="970"/>
        <v>14.1</v>
      </c>
      <c r="DH298" s="1371">
        <v>14.1</v>
      </c>
      <c r="DI298" s="1373">
        <v>27.2</v>
      </c>
      <c r="DJ298" s="482">
        <f t="shared" si="971"/>
        <v>50.6</v>
      </c>
      <c r="DK298" s="1374">
        <v>50.6</v>
      </c>
      <c r="DL298" s="1373">
        <v>42.3</v>
      </c>
      <c r="DM298" s="482">
        <f t="shared" si="972"/>
        <v>22.4</v>
      </c>
      <c r="DN298" s="1374">
        <v>22.4</v>
      </c>
      <c r="DO298" s="1373">
        <v>23.3</v>
      </c>
      <c r="DP298" s="482">
        <f t="shared" si="973"/>
        <v>18.3</v>
      </c>
      <c r="DQ298" s="1374">
        <v>18.3</v>
      </c>
      <c r="DR298" s="1373">
        <v>17.399999999999999</v>
      </c>
      <c r="DS298" s="482">
        <f t="shared" si="974"/>
        <v>18.899999999999999</v>
      </c>
      <c r="DT298" s="1374">
        <v>18.899999999999999</v>
      </c>
      <c r="DU298" s="1373">
        <v>22.6</v>
      </c>
      <c r="DV298" s="482">
        <f t="shared" si="975"/>
        <v>18</v>
      </c>
      <c r="DW298" s="1374">
        <v>18</v>
      </c>
      <c r="DX298" s="1373">
        <v>16.7</v>
      </c>
      <c r="DY298" s="482">
        <f t="shared" si="976"/>
        <v>16.7</v>
      </c>
      <c r="DZ298" s="1244">
        <f>Assumptions!DZ239</f>
        <v>16.7</v>
      </c>
      <c r="EA298" s="482">
        <f>Assumptions!EA239</f>
        <v>16.7</v>
      </c>
      <c r="EB298" s="482">
        <f t="shared" si="977"/>
        <v>16.7</v>
      </c>
      <c r="EC298" s="1244">
        <f>Assumptions!EC239</f>
        <v>16.7</v>
      </c>
      <c r="ED298" s="482">
        <f>Assumptions!ED239</f>
        <v>16.7</v>
      </c>
      <c r="EE298" s="482">
        <f t="shared" si="978"/>
        <v>16.7</v>
      </c>
      <c r="EF298" s="1244">
        <f>Assumptions!EF239</f>
        <v>16.7</v>
      </c>
      <c r="EG298" s="482">
        <f>Assumptions!EG239</f>
        <v>16.7</v>
      </c>
      <c r="EH298" s="482">
        <f t="shared" si="979"/>
        <v>16.7</v>
      </c>
      <c r="EI298" s="1244">
        <f>Assumptions!EI239</f>
        <v>16.7</v>
      </c>
      <c r="EJ298" s="482">
        <f>Assumptions!EJ239</f>
        <v>16.7</v>
      </c>
      <c r="EK298" s="482">
        <f t="shared" si="980"/>
        <v>16.7</v>
      </c>
      <c r="EL298" s="1244">
        <f>Assumptions!EL239</f>
        <v>16.7</v>
      </c>
      <c r="EM298" s="482">
        <f>Assumptions!EM239</f>
        <v>16.7</v>
      </c>
      <c r="EN298" s="482">
        <f t="shared" si="981"/>
        <v>16.7</v>
      </c>
      <c r="EO298" s="1244">
        <f>Assumptions!EO239</f>
        <v>16.7</v>
      </c>
      <c r="EP298" s="482">
        <f>Assumptions!EP239</f>
        <v>16.7</v>
      </c>
      <c r="EQ298" s="482">
        <f t="shared" si="982"/>
        <v>16.7</v>
      </c>
      <c r="ER298" s="1244">
        <f>Assumptions!ER239</f>
        <v>16.7</v>
      </c>
      <c r="ES298" s="482">
        <f>Assumptions!ES239</f>
        <v>16.7</v>
      </c>
      <c r="ET298" s="482">
        <f t="shared" si="983"/>
        <v>16.7</v>
      </c>
      <c r="EU298" s="1244">
        <f>Assumptions!EU239</f>
        <v>16.7</v>
      </c>
      <c r="EV298" s="482">
        <f>Assumptions!EV239</f>
        <v>16.7</v>
      </c>
      <c r="EW298" s="482">
        <f t="shared" si="984"/>
        <v>16.7</v>
      </c>
      <c r="EX298" s="1244">
        <f>Assumptions!EX239</f>
        <v>16.7</v>
      </c>
      <c r="EY298" s="482">
        <f>Assumptions!EY239</f>
        <v>16.7</v>
      </c>
      <c r="EZ298" s="482">
        <f t="shared" si="985"/>
        <v>16.7</v>
      </c>
      <c r="FA298" s="1244">
        <f>Assumptions!FA239</f>
        <v>16.7</v>
      </c>
      <c r="FB298" s="1571"/>
      <c r="FE298"/>
      <c r="FF298"/>
      <c r="FG298"/>
      <c r="FH298"/>
      <c r="FI298"/>
      <c r="FJ298"/>
      <c r="FK298" s="35"/>
    </row>
    <row r="299" spans="2:167" s="236" customFormat="1" ht="13.35" customHeight="1" outlineLevel="1">
      <c r="B299" s="242" t="s">
        <v>731</v>
      </c>
      <c r="C299" s="242" t="s">
        <v>496</v>
      </c>
      <c r="D299" s="243"/>
      <c r="E299" s="516"/>
      <c r="F299" s="482">
        <f t="shared" si="935"/>
        <v>0</v>
      </c>
      <c r="G299" s="517"/>
      <c r="H299" s="518"/>
      <c r="I299" s="482">
        <f t="shared" si="936"/>
        <v>0</v>
      </c>
      <c r="J299" s="517"/>
      <c r="K299" s="518"/>
      <c r="L299" s="482">
        <f t="shared" si="937"/>
        <v>0</v>
      </c>
      <c r="M299" s="517"/>
      <c r="N299" s="518"/>
      <c r="O299" s="482">
        <f t="shared" si="938"/>
        <v>0</v>
      </c>
      <c r="P299" s="517"/>
      <c r="Q299" s="518"/>
      <c r="R299" s="482">
        <f t="shared" si="939"/>
        <v>0</v>
      </c>
      <c r="S299" s="517"/>
      <c r="T299" s="518"/>
      <c r="U299" s="482">
        <f t="shared" si="940"/>
        <v>0</v>
      </c>
      <c r="V299" s="517"/>
      <c r="W299" s="518"/>
      <c r="X299" s="482">
        <f t="shared" si="941"/>
        <v>0</v>
      </c>
      <c r="Y299" s="517"/>
      <c r="Z299" s="518"/>
      <c r="AA299" s="482">
        <f t="shared" si="942"/>
        <v>0</v>
      </c>
      <c r="AB299" s="517"/>
      <c r="AC299" s="518"/>
      <c r="AD299" s="482">
        <f t="shared" si="943"/>
        <v>0</v>
      </c>
      <c r="AE299" s="517"/>
      <c r="AF299" s="518"/>
      <c r="AG299" s="482">
        <f t="shared" si="944"/>
        <v>0</v>
      </c>
      <c r="AH299" s="517"/>
      <c r="AI299" s="518"/>
      <c r="AJ299" s="482">
        <f t="shared" si="945"/>
        <v>0</v>
      </c>
      <c r="AK299" s="517"/>
      <c r="AL299" s="518"/>
      <c r="AM299" s="482">
        <f t="shared" si="946"/>
        <v>0</v>
      </c>
      <c r="AN299" s="517"/>
      <c r="AO299" s="518"/>
      <c r="AP299" s="482">
        <f t="shared" si="947"/>
        <v>0</v>
      </c>
      <c r="AQ299" s="517"/>
      <c r="AR299" s="518"/>
      <c r="AS299" s="482">
        <f t="shared" si="948"/>
        <v>0</v>
      </c>
      <c r="AT299" s="517"/>
      <c r="AU299" s="518"/>
      <c r="AV299" s="482">
        <f t="shared" si="949"/>
        <v>0</v>
      </c>
      <c r="AW299" s="517"/>
      <c r="AX299" s="519">
        <v>0</v>
      </c>
      <c r="AY299" s="482">
        <f t="shared" si="950"/>
        <v>0</v>
      </c>
      <c r="AZ299" s="520">
        <v>0</v>
      </c>
      <c r="BA299" s="519">
        <v>0</v>
      </c>
      <c r="BB299" s="482">
        <f t="shared" si="951"/>
        <v>0</v>
      </c>
      <c r="BC299" s="520">
        <v>0</v>
      </c>
      <c r="BD299" s="519">
        <v>0</v>
      </c>
      <c r="BE299" s="482">
        <f t="shared" si="952"/>
        <v>0</v>
      </c>
      <c r="BF299" s="520">
        <v>0</v>
      </c>
      <c r="BG299" s="519">
        <v>0</v>
      </c>
      <c r="BH299" s="482">
        <f t="shared" si="953"/>
        <v>0</v>
      </c>
      <c r="BI299" s="520">
        <v>0</v>
      </c>
      <c r="BJ299" s="519">
        <v>0</v>
      </c>
      <c r="BK299" s="482">
        <f t="shared" si="954"/>
        <v>0</v>
      </c>
      <c r="BL299" s="517">
        <f>BJ299</f>
        <v>0</v>
      </c>
      <c r="BM299" s="518">
        <f>BL299</f>
        <v>0</v>
      </c>
      <c r="BN299" s="482">
        <f t="shared" si="955"/>
        <v>0</v>
      </c>
      <c r="BO299" s="517">
        <f>BM299</f>
        <v>0</v>
      </c>
      <c r="BP299" s="518">
        <f>BO299</f>
        <v>0</v>
      </c>
      <c r="BQ299" s="482">
        <f t="shared" si="956"/>
        <v>0</v>
      </c>
      <c r="BR299" s="516">
        <f>BP299</f>
        <v>0</v>
      </c>
      <c r="BS299" s="518">
        <f>BR299</f>
        <v>0</v>
      </c>
      <c r="BT299" s="482">
        <f t="shared" si="957"/>
        <v>0</v>
      </c>
      <c r="BU299" s="516">
        <f>BS299</f>
        <v>0</v>
      </c>
      <c r="BV299" s="518">
        <f>BU299</f>
        <v>0</v>
      </c>
      <c r="BW299" s="482">
        <f t="shared" si="958"/>
        <v>0</v>
      </c>
      <c r="BX299" s="516">
        <f>BV299</f>
        <v>0</v>
      </c>
      <c r="BY299" s="518">
        <f>BX299</f>
        <v>0</v>
      </c>
      <c r="BZ299" s="482">
        <f t="shared" si="959"/>
        <v>0</v>
      </c>
      <c r="CA299" s="516">
        <f>BY299</f>
        <v>0</v>
      </c>
      <c r="CB299" s="518">
        <f>CA299</f>
        <v>0</v>
      </c>
      <c r="CC299" s="482">
        <f t="shared" si="960"/>
        <v>0</v>
      </c>
      <c r="CD299" s="516">
        <f>CB299</f>
        <v>0</v>
      </c>
      <c r="CE299" s="518">
        <f>CD299</f>
        <v>0</v>
      </c>
      <c r="CF299" s="482">
        <f t="shared" si="961"/>
        <v>0</v>
      </c>
      <c r="CG299" s="516">
        <f>CE299</f>
        <v>0</v>
      </c>
      <c r="CH299" s="518">
        <f>CG299</f>
        <v>0</v>
      </c>
      <c r="CI299" s="482">
        <f t="shared" si="962"/>
        <v>0</v>
      </c>
      <c r="CJ299" s="516">
        <f>CH299</f>
        <v>0</v>
      </c>
      <c r="CK299" s="518">
        <f>CJ299</f>
        <v>0</v>
      </c>
      <c r="CL299" s="482">
        <f t="shared" si="963"/>
        <v>0</v>
      </c>
      <c r="CM299" s="516">
        <f>CK299</f>
        <v>0</v>
      </c>
      <c r="CN299" s="518">
        <f>CM299</f>
        <v>0</v>
      </c>
      <c r="CO299" s="482">
        <f t="shared" si="964"/>
        <v>8.7520000000000007</v>
      </c>
      <c r="CP299" s="516">
        <f>5.2+3.13+0.422</f>
        <v>8.7520000000000007</v>
      </c>
      <c r="CQ299" s="518">
        <f>5.337+3.376+0.427</f>
        <v>9.1399999999999988</v>
      </c>
      <c r="CR299" s="482">
        <f t="shared" si="965"/>
        <v>11.478999999999999</v>
      </c>
      <c r="CS299" s="521">
        <v>11.478999999999999</v>
      </c>
      <c r="CT299" s="519">
        <v>11.949</v>
      </c>
      <c r="CU299" s="482">
        <f t="shared" si="966"/>
        <v>13.75</v>
      </c>
      <c r="CV299" s="521">
        <v>13.75</v>
      </c>
      <c r="CW299" s="519">
        <v>13.715999999999999</v>
      </c>
      <c r="CX299" s="482">
        <f t="shared" si="967"/>
        <v>11.038</v>
      </c>
      <c r="CY299" s="521">
        <v>11.038</v>
      </c>
      <c r="CZ299" s="518">
        <v>11</v>
      </c>
      <c r="DA299" s="482">
        <f t="shared" si="968"/>
        <v>12</v>
      </c>
      <c r="DB299" s="516">
        <v>12</v>
      </c>
      <c r="DC299" s="518">
        <v>12.2</v>
      </c>
      <c r="DD299" s="482">
        <f t="shared" si="969"/>
        <v>13.1</v>
      </c>
      <c r="DE299" s="516">
        <v>13.1</v>
      </c>
      <c r="DF299" s="519">
        <v>13.5</v>
      </c>
      <c r="DG299" s="482">
        <f t="shared" si="970"/>
        <v>12.4</v>
      </c>
      <c r="DH299" s="1365">
        <v>12.4</v>
      </c>
      <c r="DI299" s="1373">
        <v>12.1</v>
      </c>
      <c r="DJ299" s="482">
        <f t="shared" si="971"/>
        <v>12.1</v>
      </c>
      <c r="DK299" s="1374">
        <v>12.1</v>
      </c>
      <c r="DL299" s="1373">
        <v>12.8</v>
      </c>
      <c r="DM299" s="482">
        <f t="shared" si="972"/>
        <v>6.4</v>
      </c>
      <c r="DN299" s="1374">
        <v>6.4</v>
      </c>
      <c r="DO299" s="1373">
        <v>6.7</v>
      </c>
      <c r="DP299" s="482">
        <f t="shared" si="973"/>
        <v>9.6999999999999993</v>
      </c>
      <c r="DQ299" s="1374">
        <v>9.6999999999999993</v>
      </c>
      <c r="DR299" s="1373">
        <v>9.6999999999999993</v>
      </c>
      <c r="DS299" s="482">
        <f t="shared" si="974"/>
        <v>7.8</v>
      </c>
      <c r="DT299" s="1374">
        <v>7.8</v>
      </c>
      <c r="DU299" s="1373">
        <v>9.1999999999999993</v>
      </c>
      <c r="DV299" s="482">
        <f t="shared" si="975"/>
        <v>11.7</v>
      </c>
      <c r="DW299" s="1374">
        <v>11.7</v>
      </c>
      <c r="DX299" s="1373">
        <v>11.9</v>
      </c>
      <c r="DY299" s="482">
        <f t="shared" si="976"/>
        <v>11.9</v>
      </c>
      <c r="DZ299" s="1244">
        <f>DX299</f>
        <v>11.9</v>
      </c>
      <c r="EA299" s="482">
        <f>DZ299</f>
        <v>11.9</v>
      </c>
      <c r="EB299" s="482">
        <f t="shared" si="977"/>
        <v>11.9</v>
      </c>
      <c r="EC299" s="1244">
        <f>EA299</f>
        <v>11.9</v>
      </c>
      <c r="ED299" s="482">
        <f>EC299</f>
        <v>11.9</v>
      </c>
      <c r="EE299" s="482">
        <f t="shared" si="978"/>
        <v>11.9</v>
      </c>
      <c r="EF299" s="1244">
        <f>ED299</f>
        <v>11.9</v>
      </c>
      <c r="EG299" s="482">
        <f>EF299</f>
        <v>11.9</v>
      </c>
      <c r="EH299" s="482">
        <f t="shared" si="979"/>
        <v>11.9</v>
      </c>
      <c r="EI299" s="1244">
        <f>EG299</f>
        <v>11.9</v>
      </c>
      <c r="EJ299" s="482">
        <f>EI299</f>
        <v>11.9</v>
      </c>
      <c r="EK299" s="482">
        <f t="shared" si="980"/>
        <v>11.9</v>
      </c>
      <c r="EL299" s="1244">
        <f>EJ299</f>
        <v>11.9</v>
      </c>
      <c r="EM299" s="482">
        <f>EL299</f>
        <v>11.9</v>
      </c>
      <c r="EN299" s="482">
        <f t="shared" si="981"/>
        <v>11.9</v>
      </c>
      <c r="EO299" s="1244">
        <f>EM299</f>
        <v>11.9</v>
      </c>
      <c r="EP299" s="482">
        <f>EO299</f>
        <v>11.9</v>
      </c>
      <c r="EQ299" s="482">
        <f t="shared" si="982"/>
        <v>11.9</v>
      </c>
      <c r="ER299" s="1244">
        <f>EP299</f>
        <v>11.9</v>
      </c>
      <c r="ES299" s="482">
        <f>ER299</f>
        <v>11.9</v>
      </c>
      <c r="ET299" s="482">
        <f t="shared" si="983"/>
        <v>11.9</v>
      </c>
      <c r="EU299" s="1244">
        <f>ES299</f>
        <v>11.9</v>
      </c>
      <c r="EV299" s="482">
        <f>EU299</f>
        <v>11.9</v>
      </c>
      <c r="EW299" s="482">
        <f t="shared" si="984"/>
        <v>11.9</v>
      </c>
      <c r="EX299" s="1244">
        <f>EV299</f>
        <v>11.9</v>
      </c>
      <c r="EY299" s="482">
        <f>EX299</f>
        <v>11.9</v>
      </c>
      <c r="EZ299" s="482">
        <f t="shared" si="985"/>
        <v>11.9</v>
      </c>
      <c r="FA299" s="1244">
        <f>EY299</f>
        <v>11.9</v>
      </c>
      <c r="FB299" s="1571"/>
      <c r="FE299"/>
      <c r="FF299"/>
      <c r="FG299"/>
      <c r="FH299"/>
      <c r="FI299"/>
      <c r="FJ299"/>
      <c r="FK299" s="35"/>
    </row>
    <row r="300" spans="2:167" s="236" customFormat="1" ht="13.35" customHeight="1" outlineLevel="1">
      <c r="B300" s="242" t="s">
        <v>904</v>
      </c>
      <c r="C300" s="242" t="s">
        <v>496</v>
      </c>
      <c r="D300" s="243"/>
      <c r="E300" s="516"/>
      <c r="F300" s="482">
        <f t="shared" si="935"/>
        <v>0</v>
      </c>
      <c r="G300" s="517"/>
      <c r="H300" s="518"/>
      <c r="I300" s="482">
        <f t="shared" si="936"/>
        <v>0</v>
      </c>
      <c r="J300" s="517"/>
      <c r="K300" s="518"/>
      <c r="L300" s="482">
        <f t="shared" si="937"/>
        <v>0</v>
      </c>
      <c r="M300" s="517"/>
      <c r="N300" s="518"/>
      <c r="O300" s="482">
        <f t="shared" si="938"/>
        <v>0</v>
      </c>
      <c r="P300" s="517"/>
      <c r="Q300" s="518"/>
      <c r="R300" s="482">
        <f t="shared" si="939"/>
        <v>0</v>
      </c>
      <c r="S300" s="517"/>
      <c r="T300" s="518"/>
      <c r="U300" s="482">
        <f t="shared" si="940"/>
        <v>0</v>
      </c>
      <c r="V300" s="517"/>
      <c r="W300" s="518"/>
      <c r="X300" s="482">
        <f t="shared" si="941"/>
        <v>0</v>
      </c>
      <c r="Y300" s="517"/>
      <c r="Z300" s="518"/>
      <c r="AA300" s="482">
        <f t="shared" si="942"/>
        <v>0</v>
      </c>
      <c r="AB300" s="517"/>
      <c r="AC300" s="518"/>
      <c r="AD300" s="482">
        <f t="shared" si="943"/>
        <v>0</v>
      </c>
      <c r="AE300" s="517"/>
      <c r="AF300" s="518"/>
      <c r="AG300" s="482">
        <f t="shared" si="944"/>
        <v>0</v>
      </c>
      <c r="AH300" s="517"/>
      <c r="AI300" s="518"/>
      <c r="AJ300" s="482">
        <f t="shared" si="945"/>
        <v>0</v>
      </c>
      <c r="AK300" s="517"/>
      <c r="AL300" s="518"/>
      <c r="AM300" s="482">
        <f t="shared" si="946"/>
        <v>0</v>
      </c>
      <c r="AN300" s="517"/>
      <c r="AO300" s="518"/>
      <c r="AP300" s="482">
        <f t="shared" si="947"/>
        <v>0</v>
      </c>
      <c r="AQ300" s="517"/>
      <c r="AR300" s="518"/>
      <c r="AS300" s="482">
        <f t="shared" si="948"/>
        <v>0</v>
      </c>
      <c r="AT300" s="517"/>
      <c r="AU300" s="518"/>
      <c r="AV300" s="482">
        <f t="shared" si="949"/>
        <v>0</v>
      </c>
      <c r="AW300" s="517"/>
      <c r="AX300" s="519">
        <v>0</v>
      </c>
      <c r="AY300" s="482">
        <f t="shared" si="950"/>
        <v>0</v>
      </c>
      <c r="AZ300" s="520">
        <v>0</v>
      </c>
      <c r="BA300" s="519">
        <v>0</v>
      </c>
      <c r="BB300" s="482">
        <f t="shared" si="951"/>
        <v>0</v>
      </c>
      <c r="BC300" s="520">
        <v>0</v>
      </c>
      <c r="BD300" s="519">
        <v>0</v>
      </c>
      <c r="BE300" s="482">
        <f t="shared" si="952"/>
        <v>0</v>
      </c>
      <c r="BF300" s="520">
        <v>0</v>
      </c>
      <c r="BG300" s="519">
        <v>0</v>
      </c>
      <c r="BH300" s="482">
        <f t="shared" si="953"/>
        <v>0</v>
      </c>
      <c r="BI300" s="520">
        <v>0</v>
      </c>
      <c r="BJ300" s="519">
        <v>0</v>
      </c>
      <c r="BK300" s="482">
        <f t="shared" si="954"/>
        <v>0</v>
      </c>
      <c r="BL300" s="517">
        <f>BJ300</f>
        <v>0</v>
      </c>
      <c r="BM300" s="518">
        <f>BL300</f>
        <v>0</v>
      </c>
      <c r="BN300" s="482">
        <f t="shared" si="955"/>
        <v>0</v>
      </c>
      <c r="BO300" s="517">
        <f>BM300</f>
        <v>0</v>
      </c>
      <c r="BP300" s="518">
        <f>BO300</f>
        <v>0</v>
      </c>
      <c r="BQ300" s="482">
        <f t="shared" si="956"/>
        <v>0</v>
      </c>
      <c r="BR300" s="516">
        <f>BP300</f>
        <v>0</v>
      </c>
      <c r="BS300" s="518">
        <f>BR300</f>
        <v>0</v>
      </c>
      <c r="BT300" s="482">
        <f t="shared" si="957"/>
        <v>0</v>
      </c>
      <c r="BU300" s="516">
        <f>BS300</f>
        <v>0</v>
      </c>
      <c r="BV300" s="518">
        <f>BU300</f>
        <v>0</v>
      </c>
      <c r="BW300" s="482">
        <f t="shared" si="958"/>
        <v>0</v>
      </c>
      <c r="BX300" s="516">
        <f>BV300</f>
        <v>0</v>
      </c>
      <c r="BY300" s="518">
        <f>BX300</f>
        <v>0</v>
      </c>
      <c r="BZ300" s="482">
        <f t="shared" si="959"/>
        <v>0</v>
      </c>
      <c r="CA300" s="516">
        <f>BY300</f>
        <v>0</v>
      </c>
      <c r="CB300" s="518">
        <f>CA300</f>
        <v>0</v>
      </c>
      <c r="CC300" s="482">
        <f t="shared" si="960"/>
        <v>0</v>
      </c>
      <c r="CD300" s="516">
        <f>CB300</f>
        <v>0</v>
      </c>
      <c r="CE300" s="518">
        <f>CD300</f>
        <v>0</v>
      </c>
      <c r="CF300" s="482">
        <f t="shared" si="961"/>
        <v>0</v>
      </c>
      <c r="CG300" s="516">
        <f>CE300</f>
        <v>0</v>
      </c>
      <c r="CH300" s="518">
        <f>CG300</f>
        <v>0</v>
      </c>
      <c r="CI300" s="482">
        <f t="shared" si="962"/>
        <v>0</v>
      </c>
      <c r="CJ300" s="516">
        <f>CH300</f>
        <v>0</v>
      </c>
      <c r="CK300" s="518">
        <f>CJ300</f>
        <v>0</v>
      </c>
      <c r="CL300" s="482">
        <f t="shared" si="963"/>
        <v>0</v>
      </c>
      <c r="CM300" s="516">
        <f>CK300</f>
        <v>0</v>
      </c>
      <c r="CN300" s="518">
        <f>CM300</f>
        <v>0</v>
      </c>
      <c r="CO300" s="482">
        <f t="shared" si="964"/>
        <v>7.2210000000000001</v>
      </c>
      <c r="CP300" s="516">
        <f>5.082+2.139</f>
        <v>7.2210000000000001</v>
      </c>
      <c r="CQ300" s="518">
        <f>7.184+2.138</f>
        <v>9.3219999999999992</v>
      </c>
      <c r="CR300" s="482">
        <f t="shared" si="965"/>
        <v>0</v>
      </c>
      <c r="CS300" s="516"/>
      <c r="CT300" s="518">
        <f>CS300</f>
        <v>0</v>
      </c>
      <c r="CU300" s="482">
        <f t="shared" si="966"/>
        <v>0</v>
      </c>
      <c r="CV300" s="516">
        <f>CT300</f>
        <v>0</v>
      </c>
      <c r="CW300" s="518">
        <f>CV300</f>
        <v>0</v>
      </c>
      <c r="CX300" s="482">
        <f t="shared" si="967"/>
        <v>0</v>
      </c>
      <c r="CY300" s="516">
        <f>CW300</f>
        <v>0</v>
      </c>
      <c r="CZ300" s="518">
        <f>CY300</f>
        <v>0</v>
      </c>
      <c r="DA300" s="482">
        <f t="shared" si="968"/>
        <v>0</v>
      </c>
      <c r="DB300" s="516">
        <f>CZ300</f>
        <v>0</v>
      </c>
      <c r="DC300" s="518">
        <f>DB300</f>
        <v>0</v>
      </c>
      <c r="DD300" s="482">
        <f t="shared" si="969"/>
        <v>0</v>
      </c>
      <c r="DE300" s="516">
        <v>0</v>
      </c>
      <c r="DF300" s="518">
        <f>DE300</f>
        <v>0</v>
      </c>
      <c r="DG300" s="482">
        <f t="shared" si="970"/>
        <v>0</v>
      </c>
      <c r="DH300" s="1258">
        <f>DF300</f>
        <v>0</v>
      </c>
      <c r="DI300" s="482">
        <f>DH300</f>
        <v>0</v>
      </c>
      <c r="DJ300" s="482">
        <f t="shared" si="971"/>
        <v>0</v>
      </c>
      <c r="DK300" s="1244">
        <f>DI300</f>
        <v>0</v>
      </c>
      <c r="DL300" s="482">
        <f>DK300</f>
        <v>0</v>
      </c>
      <c r="DM300" s="482">
        <f t="shared" si="972"/>
        <v>0</v>
      </c>
      <c r="DN300" s="1244">
        <f>DL300</f>
        <v>0</v>
      </c>
      <c r="DO300" s="482">
        <f>DN300</f>
        <v>0</v>
      </c>
      <c r="DP300" s="482">
        <f t="shared" si="973"/>
        <v>0</v>
      </c>
      <c r="DQ300" s="1244">
        <f>DO300</f>
        <v>0</v>
      </c>
      <c r="DR300" s="482">
        <f>DQ300</f>
        <v>0</v>
      </c>
      <c r="DS300" s="482">
        <f t="shared" si="974"/>
        <v>0</v>
      </c>
      <c r="DT300" s="1244">
        <f>DR300</f>
        <v>0</v>
      </c>
      <c r="DU300" s="482">
        <f>DT300</f>
        <v>0</v>
      </c>
      <c r="DV300" s="482">
        <f t="shared" si="975"/>
        <v>0</v>
      </c>
      <c r="DW300" s="1244">
        <f>DU300</f>
        <v>0</v>
      </c>
      <c r="DX300" s="482">
        <f>DW300</f>
        <v>0</v>
      </c>
      <c r="DY300" s="482">
        <f t="shared" si="976"/>
        <v>0</v>
      </c>
      <c r="DZ300" s="1244">
        <f>DX300</f>
        <v>0</v>
      </c>
      <c r="EA300" s="482">
        <f>DZ300</f>
        <v>0</v>
      </c>
      <c r="EB300" s="482">
        <f t="shared" si="977"/>
        <v>0</v>
      </c>
      <c r="EC300" s="1244">
        <f>EA300</f>
        <v>0</v>
      </c>
      <c r="ED300" s="482">
        <f>EC300</f>
        <v>0</v>
      </c>
      <c r="EE300" s="482">
        <f t="shared" si="978"/>
        <v>0</v>
      </c>
      <c r="EF300" s="1244">
        <f>ED300</f>
        <v>0</v>
      </c>
      <c r="EG300" s="482">
        <f>EF300</f>
        <v>0</v>
      </c>
      <c r="EH300" s="482">
        <f t="shared" si="979"/>
        <v>0</v>
      </c>
      <c r="EI300" s="1244">
        <f>EG300</f>
        <v>0</v>
      </c>
      <c r="EJ300" s="482">
        <f>EI300</f>
        <v>0</v>
      </c>
      <c r="EK300" s="482">
        <f t="shared" si="980"/>
        <v>0</v>
      </c>
      <c r="EL300" s="1244">
        <f>EJ300</f>
        <v>0</v>
      </c>
      <c r="EM300" s="482">
        <f>EL300</f>
        <v>0</v>
      </c>
      <c r="EN300" s="482">
        <f t="shared" si="981"/>
        <v>0</v>
      </c>
      <c r="EO300" s="1244">
        <f>EM300</f>
        <v>0</v>
      </c>
      <c r="EP300" s="482">
        <f>EO300</f>
        <v>0</v>
      </c>
      <c r="EQ300" s="482">
        <f t="shared" si="982"/>
        <v>0</v>
      </c>
      <c r="ER300" s="1244">
        <f>EP300</f>
        <v>0</v>
      </c>
      <c r="ES300" s="482">
        <f>ER300</f>
        <v>0</v>
      </c>
      <c r="ET300" s="482">
        <f t="shared" si="983"/>
        <v>0</v>
      </c>
      <c r="EU300" s="1244">
        <f>ES300</f>
        <v>0</v>
      </c>
      <c r="EV300" s="482">
        <f>EU300</f>
        <v>0</v>
      </c>
      <c r="EW300" s="482">
        <f t="shared" si="984"/>
        <v>0</v>
      </c>
      <c r="EX300" s="1244">
        <f>EV300</f>
        <v>0</v>
      </c>
      <c r="EY300" s="482">
        <f>EX300</f>
        <v>0</v>
      </c>
      <c r="EZ300" s="482">
        <f t="shared" si="985"/>
        <v>0</v>
      </c>
      <c r="FA300" s="1244">
        <f>EY300</f>
        <v>0</v>
      </c>
      <c r="FB300" s="1571"/>
      <c r="FE300"/>
      <c r="FF300"/>
      <c r="FG300"/>
      <c r="FH300"/>
      <c r="FI300"/>
      <c r="FJ300"/>
      <c r="FK300" s="35"/>
    </row>
    <row r="301" spans="2:167" s="236" customFormat="1" ht="13.35" customHeight="1" outlineLevel="1" thickBot="1">
      <c r="B301" s="242" t="s">
        <v>283</v>
      </c>
      <c r="C301" s="242" t="s">
        <v>496</v>
      </c>
      <c r="D301" s="243"/>
      <c r="E301" s="528"/>
      <c r="F301" s="482">
        <f t="shared" si="935"/>
        <v>0</v>
      </c>
      <c r="G301" s="529"/>
      <c r="H301" s="530"/>
      <c r="I301" s="482">
        <f t="shared" si="936"/>
        <v>0</v>
      </c>
      <c r="J301" s="529"/>
      <c r="K301" s="530"/>
      <c r="L301" s="482">
        <f t="shared" si="937"/>
        <v>0</v>
      </c>
      <c r="M301" s="529"/>
      <c r="N301" s="530"/>
      <c r="O301" s="482">
        <f t="shared" si="938"/>
        <v>0</v>
      </c>
      <c r="P301" s="529"/>
      <c r="Q301" s="530"/>
      <c r="R301" s="482">
        <f t="shared" si="939"/>
        <v>0</v>
      </c>
      <c r="S301" s="529"/>
      <c r="T301" s="530"/>
      <c r="U301" s="482">
        <f t="shared" si="940"/>
        <v>0</v>
      </c>
      <c r="V301" s="529"/>
      <c r="W301" s="530"/>
      <c r="X301" s="482">
        <f t="shared" si="941"/>
        <v>0</v>
      </c>
      <c r="Y301" s="529"/>
      <c r="Z301" s="530"/>
      <c r="AA301" s="482">
        <f t="shared" si="942"/>
        <v>0</v>
      </c>
      <c r="AB301" s="529"/>
      <c r="AC301" s="530"/>
      <c r="AD301" s="482">
        <f t="shared" si="943"/>
        <v>0</v>
      </c>
      <c r="AE301" s="529"/>
      <c r="AF301" s="530"/>
      <c r="AG301" s="482">
        <f t="shared" si="944"/>
        <v>0</v>
      </c>
      <c r="AH301" s="529"/>
      <c r="AI301" s="531">
        <v>0.42</v>
      </c>
      <c r="AJ301" s="482">
        <f t="shared" si="945"/>
        <v>0.56799999999999995</v>
      </c>
      <c r="AK301" s="532">
        <v>0.56799999999999995</v>
      </c>
      <c r="AL301" s="531">
        <v>0.371</v>
      </c>
      <c r="AM301" s="482">
        <f t="shared" si="946"/>
        <v>0.28199999999999997</v>
      </c>
      <c r="AN301" s="532">
        <v>0.28199999999999997</v>
      </c>
      <c r="AO301" s="531">
        <v>0.36499999999999999</v>
      </c>
      <c r="AP301" s="482">
        <f t="shared" si="947"/>
        <v>0.36499999999999999</v>
      </c>
      <c r="AQ301" s="532">
        <v>0.36499999999999999</v>
      </c>
      <c r="AR301" s="531">
        <v>0.36399999999999999</v>
      </c>
      <c r="AS301" s="482">
        <f t="shared" si="948"/>
        <v>0.40899999999999997</v>
      </c>
      <c r="AT301" s="532">
        <v>0.40899999999999997</v>
      </c>
      <c r="AU301" s="531">
        <v>0.44700000000000001</v>
      </c>
      <c r="AV301" s="482">
        <f t="shared" si="949"/>
        <v>0.49099999999999999</v>
      </c>
      <c r="AW301" s="532">
        <v>0.49099999999999999</v>
      </c>
      <c r="AX301" s="531">
        <v>0.52400000000000002</v>
      </c>
      <c r="AY301" s="482">
        <f t="shared" si="950"/>
        <v>0.54900000000000004</v>
      </c>
      <c r="AZ301" s="532">
        <v>0.54900000000000004</v>
      </c>
      <c r="BA301" s="531">
        <v>0.55500000000000005</v>
      </c>
      <c r="BB301" s="482">
        <f t="shared" si="951"/>
        <v>0.61499999999999999</v>
      </c>
      <c r="BC301" s="532">
        <v>0.61499999999999999</v>
      </c>
      <c r="BD301" s="531">
        <v>0.70199999999999996</v>
      </c>
      <c r="BE301" s="482">
        <f t="shared" si="952"/>
        <v>1.64</v>
      </c>
      <c r="BF301" s="532">
        <v>1.64</v>
      </c>
      <c r="BG301" s="531">
        <v>0.34899999999999998</v>
      </c>
      <c r="BH301" s="482">
        <f t="shared" si="953"/>
        <v>0</v>
      </c>
      <c r="BI301" s="532">
        <v>0</v>
      </c>
      <c r="BJ301" s="531">
        <v>11.782</v>
      </c>
      <c r="BK301" s="482">
        <f t="shared" si="954"/>
        <v>3.2559999999999998</v>
      </c>
      <c r="BL301" s="532">
        <v>3.2559999999999998</v>
      </c>
      <c r="BM301" s="530">
        <f>1.604+11.175</f>
        <v>12.779</v>
      </c>
      <c r="BN301" s="482">
        <f t="shared" si="955"/>
        <v>6.1079999999999997</v>
      </c>
      <c r="BO301" s="532">
        <v>6.1079999999999997</v>
      </c>
      <c r="BP301" s="531">
        <v>4.33</v>
      </c>
      <c r="BQ301" s="482">
        <f t="shared" si="956"/>
        <v>6.4329999999999998</v>
      </c>
      <c r="BR301" s="549">
        <v>6.4329999999999998</v>
      </c>
      <c r="BS301" s="531">
        <v>6.9050000000000002</v>
      </c>
      <c r="BT301" s="482">
        <f t="shared" si="957"/>
        <v>7.8280000000000003</v>
      </c>
      <c r="BU301" s="549">
        <v>7.8280000000000003</v>
      </c>
      <c r="BV301" s="531">
        <v>10.226000000000001</v>
      </c>
      <c r="BW301" s="482">
        <f t="shared" si="958"/>
        <v>8.6329999999999991</v>
      </c>
      <c r="BX301" s="549">
        <v>8.6329999999999991</v>
      </c>
      <c r="BY301" s="531">
        <v>10.824999999999999</v>
      </c>
      <c r="BZ301" s="482">
        <f t="shared" si="959"/>
        <v>9.1780000000000008</v>
      </c>
      <c r="CA301" s="549">
        <v>9.1780000000000008</v>
      </c>
      <c r="CB301" s="531">
        <v>11.351000000000001</v>
      </c>
      <c r="CC301" s="482">
        <f t="shared" si="960"/>
        <v>0</v>
      </c>
      <c r="CD301" s="549">
        <v>0</v>
      </c>
      <c r="CE301" s="531">
        <v>0</v>
      </c>
      <c r="CF301" s="482">
        <f t="shared" si="961"/>
        <v>0</v>
      </c>
      <c r="CG301" s="549">
        <v>0</v>
      </c>
      <c r="CH301" s="530">
        <f>CG301</f>
        <v>0</v>
      </c>
      <c r="CI301" s="482">
        <f t="shared" si="962"/>
        <v>0</v>
      </c>
      <c r="CJ301" s="528">
        <f>CH301</f>
        <v>0</v>
      </c>
      <c r="CK301" s="530">
        <f>CJ301</f>
        <v>0</v>
      </c>
      <c r="CL301" s="482">
        <f t="shared" si="963"/>
        <v>0</v>
      </c>
      <c r="CM301" s="528">
        <f>CK301</f>
        <v>0</v>
      </c>
      <c r="CN301" s="530">
        <f>CM301</f>
        <v>0</v>
      </c>
      <c r="CO301" s="482">
        <f t="shared" si="964"/>
        <v>37.381999999999998</v>
      </c>
      <c r="CP301" s="528">
        <f>16.049+21.333</f>
        <v>37.381999999999998</v>
      </c>
      <c r="CQ301" s="530">
        <f>15.113+24.576</f>
        <v>39.689</v>
      </c>
      <c r="CR301" s="482">
        <f t="shared" si="965"/>
        <v>54.354999999999997</v>
      </c>
      <c r="CS301" s="528">
        <f>43.394+10.961</f>
        <v>54.354999999999997</v>
      </c>
      <c r="CT301" s="530">
        <f>43.349+8.848</f>
        <v>52.196999999999996</v>
      </c>
      <c r="CU301" s="482">
        <f t="shared" si="966"/>
        <v>47.573999999999998</v>
      </c>
      <c r="CV301" s="528">
        <f>3.547+44.027</f>
        <v>47.573999999999998</v>
      </c>
      <c r="CW301" s="530">
        <f>4.953+46.5</f>
        <v>51.453000000000003</v>
      </c>
      <c r="CX301" s="482">
        <f t="shared" si="967"/>
        <v>57.821999999999996</v>
      </c>
      <c r="CY301" s="528">
        <f>3.111+54.711</f>
        <v>57.821999999999996</v>
      </c>
      <c r="CZ301" s="530">
        <f>52.6+1.8</f>
        <v>54.4</v>
      </c>
      <c r="DA301" s="482">
        <f t="shared" si="968"/>
        <v>54.4</v>
      </c>
      <c r="DB301" s="528">
        <f>CZ301</f>
        <v>54.4</v>
      </c>
      <c r="DC301" s="530">
        <v>56.5</v>
      </c>
      <c r="DD301" s="482">
        <f t="shared" si="969"/>
        <v>44.2</v>
      </c>
      <c r="DE301" s="528">
        <v>44.2</v>
      </c>
      <c r="DF301" s="531">
        <v>39.4</v>
      </c>
      <c r="DG301" s="482">
        <f t="shared" si="970"/>
        <v>27.2</v>
      </c>
      <c r="DH301" s="1372">
        <f>27.2</f>
        <v>27.2</v>
      </c>
      <c r="DI301" s="1373">
        <v>27.6</v>
      </c>
      <c r="DJ301" s="482">
        <f t="shared" si="971"/>
        <v>31</v>
      </c>
      <c r="DK301" s="1374">
        <f>31</f>
        <v>31</v>
      </c>
      <c r="DL301" s="1373">
        <v>30.9</v>
      </c>
      <c r="DM301" s="482">
        <f t="shared" si="972"/>
        <v>33.200000000000003</v>
      </c>
      <c r="DN301" s="1374">
        <v>33.200000000000003</v>
      </c>
      <c r="DO301" s="1373">
        <v>32</v>
      </c>
      <c r="DP301" s="482">
        <f t="shared" si="973"/>
        <v>35.1</v>
      </c>
      <c r="DQ301" s="1374">
        <v>35.1</v>
      </c>
      <c r="DR301" s="1373">
        <v>27.8</v>
      </c>
      <c r="DS301" s="482">
        <f t="shared" si="974"/>
        <v>35.299999999999997</v>
      </c>
      <c r="DT301" s="1374">
        <v>35.299999999999997</v>
      </c>
      <c r="DU301" s="1373">
        <v>36.200000000000003</v>
      </c>
      <c r="DV301" s="482">
        <f t="shared" si="975"/>
        <v>39.6</v>
      </c>
      <c r="DW301" s="1374">
        <v>39.6</v>
      </c>
      <c r="DX301" s="1373">
        <v>40.1</v>
      </c>
      <c r="DY301" s="482">
        <f t="shared" si="976"/>
        <v>40.1</v>
      </c>
      <c r="DZ301" s="1244">
        <f>DX301</f>
        <v>40.1</v>
      </c>
      <c r="EA301" s="482">
        <f>DZ301</f>
        <v>40.1</v>
      </c>
      <c r="EB301" s="482">
        <f t="shared" si="977"/>
        <v>40.1</v>
      </c>
      <c r="EC301" s="1244">
        <f>EA301</f>
        <v>40.1</v>
      </c>
      <c r="ED301" s="482">
        <f>EC301</f>
        <v>40.1</v>
      </c>
      <c r="EE301" s="482">
        <f t="shared" si="978"/>
        <v>40.1</v>
      </c>
      <c r="EF301" s="1244">
        <f>ED301</f>
        <v>40.1</v>
      </c>
      <c r="EG301" s="482">
        <f>EF301</f>
        <v>40.1</v>
      </c>
      <c r="EH301" s="482">
        <f t="shared" si="979"/>
        <v>40.1</v>
      </c>
      <c r="EI301" s="1244">
        <f>EG301</f>
        <v>40.1</v>
      </c>
      <c r="EJ301" s="482">
        <f>EI301</f>
        <v>40.1</v>
      </c>
      <c r="EK301" s="482">
        <f t="shared" si="980"/>
        <v>40.1</v>
      </c>
      <c r="EL301" s="1244">
        <f>EJ301</f>
        <v>40.1</v>
      </c>
      <c r="EM301" s="482">
        <f>EL301</f>
        <v>40.1</v>
      </c>
      <c r="EN301" s="482">
        <f t="shared" si="981"/>
        <v>40.1</v>
      </c>
      <c r="EO301" s="1244">
        <f>EM301</f>
        <v>40.1</v>
      </c>
      <c r="EP301" s="482">
        <f>EO301</f>
        <v>40.1</v>
      </c>
      <c r="EQ301" s="482">
        <f t="shared" si="982"/>
        <v>40.1</v>
      </c>
      <c r="ER301" s="1244">
        <f>EP301</f>
        <v>40.1</v>
      </c>
      <c r="ES301" s="482">
        <f>ER301</f>
        <v>40.1</v>
      </c>
      <c r="ET301" s="482">
        <f t="shared" si="983"/>
        <v>40.1</v>
      </c>
      <c r="EU301" s="1244">
        <f>ES301</f>
        <v>40.1</v>
      </c>
      <c r="EV301" s="482">
        <f>EU301</f>
        <v>40.1</v>
      </c>
      <c r="EW301" s="482">
        <f t="shared" si="984"/>
        <v>40.1</v>
      </c>
      <c r="EX301" s="1244">
        <f>EV301</f>
        <v>40.1</v>
      </c>
      <c r="EY301" s="482">
        <f>EX301</f>
        <v>40.1</v>
      </c>
      <c r="EZ301" s="482">
        <f t="shared" si="985"/>
        <v>40.1</v>
      </c>
      <c r="FA301" s="1244">
        <f>EY301</f>
        <v>40.1</v>
      </c>
      <c r="FB301" s="1571"/>
      <c r="FE301"/>
      <c r="FF301"/>
      <c r="FG301"/>
      <c r="FH301"/>
      <c r="FI301"/>
      <c r="FJ301"/>
      <c r="FK301" s="35"/>
    </row>
    <row r="302" spans="2:167" s="236" customFormat="1" ht="13.35" customHeight="1" outlineLevel="1" thickBot="1">
      <c r="B302" s="242" t="s">
        <v>963</v>
      </c>
      <c r="C302" s="242" t="s">
        <v>496</v>
      </c>
      <c r="D302" s="243"/>
      <c r="E302" s="528"/>
      <c r="F302" s="482"/>
      <c r="G302" s="529"/>
      <c r="H302" s="530"/>
      <c r="I302" s="482"/>
      <c r="J302" s="529"/>
      <c r="K302" s="530"/>
      <c r="L302" s="482"/>
      <c r="M302" s="529"/>
      <c r="N302" s="530"/>
      <c r="O302" s="482"/>
      <c r="P302" s="529"/>
      <c r="Q302" s="530"/>
      <c r="R302" s="482"/>
      <c r="S302" s="529"/>
      <c r="T302" s="530"/>
      <c r="U302" s="482"/>
      <c r="V302" s="529"/>
      <c r="W302" s="530"/>
      <c r="X302" s="482"/>
      <c r="Y302" s="529"/>
      <c r="Z302" s="530"/>
      <c r="AA302" s="482"/>
      <c r="AB302" s="529"/>
      <c r="AC302" s="530"/>
      <c r="AD302" s="482"/>
      <c r="AE302" s="529"/>
      <c r="AF302" s="530"/>
      <c r="AG302" s="482"/>
      <c r="AH302" s="529"/>
      <c r="AI302" s="531"/>
      <c r="AJ302" s="482"/>
      <c r="AK302" s="532"/>
      <c r="AL302" s="531"/>
      <c r="AM302" s="482"/>
      <c r="AN302" s="532"/>
      <c r="AO302" s="531"/>
      <c r="AP302" s="482"/>
      <c r="AQ302" s="532"/>
      <c r="AR302" s="531"/>
      <c r="AS302" s="482"/>
      <c r="AT302" s="532"/>
      <c r="AU302" s="531"/>
      <c r="AV302" s="482"/>
      <c r="AW302" s="532"/>
      <c r="AX302" s="531"/>
      <c r="AY302" s="482"/>
      <c r="AZ302" s="532"/>
      <c r="BA302" s="531"/>
      <c r="BB302" s="482"/>
      <c r="BC302" s="532"/>
      <c r="BD302" s="531"/>
      <c r="BE302" s="482"/>
      <c r="BF302" s="532"/>
      <c r="BG302" s="531"/>
      <c r="BH302" s="482"/>
      <c r="BI302" s="532"/>
      <c r="BJ302" s="531"/>
      <c r="BK302" s="482"/>
      <c r="BL302" s="532"/>
      <c r="BM302" s="530"/>
      <c r="BN302" s="482"/>
      <c r="BO302" s="532"/>
      <c r="BP302" s="531"/>
      <c r="BQ302" s="482"/>
      <c r="BR302" s="549"/>
      <c r="BS302" s="531"/>
      <c r="BT302" s="482"/>
      <c r="BU302" s="549"/>
      <c r="BV302" s="531"/>
      <c r="BW302" s="482"/>
      <c r="BX302" s="549"/>
      <c r="BY302" s="531"/>
      <c r="BZ302" s="482"/>
      <c r="CA302" s="549"/>
      <c r="CB302" s="531"/>
      <c r="CC302" s="482"/>
      <c r="CD302" s="549"/>
      <c r="CE302" s="531"/>
      <c r="CF302" s="482"/>
      <c r="CG302" s="549"/>
      <c r="CH302" s="530"/>
      <c r="CI302" s="482"/>
      <c r="CJ302" s="528"/>
      <c r="CK302" s="530"/>
      <c r="CL302" s="482"/>
      <c r="CM302" s="528"/>
      <c r="CN302" s="530"/>
      <c r="CO302" s="482"/>
      <c r="CP302" s="528"/>
      <c r="CQ302" s="530"/>
      <c r="CR302" s="482"/>
      <c r="CS302" s="528"/>
      <c r="CT302" s="530"/>
      <c r="CU302" s="482"/>
      <c r="CV302" s="528"/>
      <c r="CW302" s="530"/>
      <c r="CX302" s="482"/>
      <c r="CY302" s="528"/>
      <c r="CZ302" s="530"/>
      <c r="DA302" s="482"/>
      <c r="DB302" s="528"/>
      <c r="DC302" s="530"/>
      <c r="DD302" s="482"/>
      <c r="DE302" s="528"/>
      <c r="DF302" s="531">
        <v>160.19999999999999</v>
      </c>
      <c r="DG302" s="482">
        <f>DH302</f>
        <v>205.5</v>
      </c>
      <c r="DH302" s="1372">
        <v>205.5</v>
      </c>
      <c r="DI302" s="1373">
        <v>194.9</v>
      </c>
      <c r="DJ302" s="482">
        <f>+DK302</f>
        <v>187.4</v>
      </c>
      <c r="DK302" s="1374">
        <v>187.4</v>
      </c>
      <c r="DL302" s="1373">
        <v>184</v>
      </c>
      <c r="DM302" s="482">
        <f>+DN302</f>
        <v>175.2</v>
      </c>
      <c r="DN302" s="1374">
        <v>175.2</v>
      </c>
      <c r="DO302" s="1373">
        <v>172.7</v>
      </c>
      <c r="DP302" s="482">
        <f>+DQ302</f>
        <v>162.6</v>
      </c>
      <c r="DQ302" s="1374">
        <v>162.6</v>
      </c>
      <c r="DR302" s="482">
        <v>166.9</v>
      </c>
      <c r="DS302" s="482">
        <f>+DT302</f>
        <v>202.1</v>
      </c>
      <c r="DT302" s="1374">
        <v>202.1</v>
      </c>
      <c r="DU302" s="1373">
        <v>203.5</v>
      </c>
      <c r="DV302" s="482">
        <f>+DW302</f>
        <v>193.5</v>
      </c>
      <c r="DW302" s="1374">
        <v>193.5</v>
      </c>
      <c r="DX302" s="1373">
        <v>185.6</v>
      </c>
      <c r="DY302" s="482">
        <f>DX302+DY78+DY182+DY212</f>
        <v>174.04072135952148</v>
      </c>
      <c r="DZ302" s="1244">
        <f>DY302</f>
        <v>174.04072135952148</v>
      </c>
      <c r="EA302" s="482">
        <f>DZ302+EA78+EA182+EA212</f>
        <v>162.03496075303102</v>
      </c>
      <c r="EB302" s="482">
        <f>EA302+EB78+EB182+EB212</f>
        <v>150.02920014654055</v>
      </c>
      <c r="EC302" s="1244">
        <f>EB302</f>
        <v>150.02920014654055</v>
      </c>
      <c r="ED302" s="482">
        <f>EC302+ED78+ED182+ED212</f>
        <v>137.56579552488782</v>
      </c>
      <c r="EE302" s="482">
        <f>ED302+EE78+EE182+EE212</f>
        <v>125.10239090323509</v>
      </c>
      <c r="EF302" s="1244">
        <f>EE302</f>
        <v>125.10239090323509</v>
      </c>
      <c r="EG302" s="482">
        <f>EF302+EG78+EG182+EG212</f>
        <v>112.16990116604107</v>
      </c>
      <c r="EH302" s="482">
        <f>EG302+EH78+EH182+EH212</f>
        <v>99.237411428847039</v>
      </c>
      <c r="EI302" s="1244">
        <f>EH302</f>
        <v>99.237411428847039</v>
      </c>
      <c r="EJ302" s="482">
        <f>EI302+EJ78+EJ182+EJ212</f>
        <v>85.824109448223155</v>
      </c>
      <c r="EK302" s="482">
        <f>EJ302+EK78+EK182+EK212</f>
        <v>72.41080746759927</v>
      </c>
      <c r="EL302" s="1244">
        <f>EK302</f>
        <v>72.41080746759927</v>
      </c>
      <c r="EM302" s="482">
        <f>EL302+EM78+EM182+EM212</f>
        <v>58.504672937459787</v>
      </c>
      <c r="EN302" s="482">
        <f>EM302+EN78+EN182+EN212</f>
        <v>44.598538407320305</v>
      </c>
      <c r="EO302" s="1244">
        <f>EN302</f>
        <v>44.598538407320305</v>
      </c>
      <c r="EP302" s="482">
        <f>EO302+EP78+EP182+EP212</f>
        <v>30.187250513927342</v>
      </c>
      <c r="EQ302" s="482">
        <f>EP302+EQ78+EQ182+EQ212</f>
        <v>15.775962620534379</v>
      </c>
      <c r="ER302" s="1244">
        <f>EQ302</f>
        <v>15.775962620534379</v>
      </c>
      <c r="ES302" s="482">
        <f>ER302+ES78+ES182+ES212</f>
        <v>0.84689252980659546</v>
      </c>
      <c r="ET302" s="482">
        <f>ES302+ET78+ET182+ET212</f>
        <v>-14.082177560921188</v>
      </c>
      <c r="EU302" s="1244">
        <f>ET302</f>
        <v>-14.082177560921188</v>
      </c>
      <c r="EV302" s="482">
        <f>EU302+EV78+EV182+EV212</f>
        <v>-29.541974403917166</v>
      </c>
      <c r="EW302" s="482">
        <f>EV302+EW78+EW182+EW212</f>
        <v>-45.001771246913144</v>
      </c>
      <c r="EX302" s="1244">
        <f>EW302</f>
        <v>-45.001771246913144</v>
      </c>
      <c r="EY302" s="482">
        <f>EX302+EY78+EY182+EY212</f>
        <v>-61.005563010984019</v>
      </c>
      <c r="EZ302" s="482">
        <f>EY302+EZ78+EZ182+EZ212</f>
        <v>-77.009354775054902</v>
      </c>
      <c r="FA302" s="1244">
        <f>EZ302</f>
        <v>-77.009354775054902</v>
      </c>
      <c r="FB302" s="1571">
        <f>+DV302-DU302</f>
        <v>-10</v>
      </c>
      <c r="FE302"/>
      <c r="FF302"/>
      <c r="FG302"/>
      <c r="FH302"/>
      <c r="FI302"/>
      <c r="FJ302"/>
      <c r="FK302" s="35"/>
    </row>
    <row r="303" spans="2:167" s="236" customFormat="1" ht="13.35" customHeight="1">
      <c r="B303" s="1532" t="s">
        <v>37</v>
      </c>
      <c r="C303" s="1483" t="s">
        <v>496</v>
      </c>
      <c r="D303" s="1484"/>
      <c r="E303" s="1518"/>
      <c r="F303" s="1485">
        <f t="shared" si="935"/>
        <v>0</v>
      </c>
      <c r="G303" s="1520"/>
      <c r="H303" s="1521"/>
      <c r="I303" s="1485">
        <f t="shared" si="936"/>
        <v>0</v>
      </c>
      <c r="J303" s="1520"/>
      <c r="K303" s="1521"/>
      <c r="L303" s="1485">
        <f t="shared" si="937"/>
        <v>0</v>
      </c>
      <c r="M303" s="1520"/>
      <c r="N303" s="1521"/>
      <c r="O303" s="1485">
        <f t="shared" si="938"/>
        <v>0</v>
      </c>
      <c r="P303" s="1520"/>
      <c r="Q303" s="1521"/>
      <c r="R303" s="1485">
        <f t="shared" si="939"/>
        <v>0</v>
      </c>
      <c r="S303" s="1520"/>
      <c r="T303" s="1521"/>
      <c r="U303" s="1485">
        <f t="shared" si="940"/>
        <v>0</v>
      </c>
      <c r="V303" s="1520"/>
      <c r="W303" s="1521"/>
      <c r="X303" s="1485">
        <f t="shared" si="941"/>
        <v>0</v>
      </c>
      <c r="Y303" s="1520"/>
      <c r="Z303" s="1521"/>
      <c r="AA303" s="1485">
        <f t="shared" si="942"/>
        <v>0</v>
      </c>
      <c r="AB303" s="1520"/>
      <c r="AC303" s="1521"/>
      <c r="AD303" s="1485">
        <f t="shared" si="943"/>
        <v>0</v>
      </c>
      <c r="AE303" s="1520"/>
      <c r="AF303" s="1521"/>
      <c r="AG303" s="1485">
        <f t="shared" si="944"/>
        <v>0</v>
      </c>
      <c r="AH303" s="1520"/>
      <c r="AI303" s="1521"/>
      <c r="AJ303" s="1485">
        <f t="shared" si="945"/>
        <v>0</v>
      </c>
      <c r="AK303" s="1520"/>
      <c r="AL303" s="1521"/>
      <c r="AM303" s="1485">
        <f t="shared" si="946"/>
        <v>0</v>
      </c>
      <c r="AN303" s="1520"/>
      <c r="AO303" s="1521"/>
      <c r="AP303" s="1485">
        <f t="shared" si="947"/>
        <v>0</v>
      </c>
      <c r="AQ303" s="1520"/>
      <c r="AR303" s="1521"/>
      <c r="AS303" s="1485">
        <f t="shared" si="948"/>
        <v>0</v>
      </c>
      <c r="AT303" s="1523">
        <v>0</v>
      </c>
      <c r="AU303" s="1522">
        <v>0</v>
      </c>
      <c r="AV303" s="1485">
        <f t="shared" si="949"/>
        <v>0</v>
      </c>
      <c r="AW303" s="1520"/>
      <c r="AX303" s="1522">
        <v>0</v>
      </c>
      <c r="AY303" s="1485">
        <f t="shared" si="950"/>
        <v>0</v>
      </c>
      <c r="AZ303" s="1523">
        <v>0</v>
      </c>
      <c r="BA303" s="1522">
        <v>0</v>
      </c>
      <c r="BB303" s="1485">
        <f t="shared" si="951"/>
        <v>0</v>
      </c>
      <c r="BC303" s="1523">
        <v>0</v>
      </c>
      <c r="BD303" s="1521">
        <f>IF(Assumptions!BD219&lt;&gt;"",Assumptions!BD219,0)</f>
        <v>0</v>
      </c>
      <c r="BE303" s="1485">
        <f t="shared" si="952"/>
        <v>0</v>
      </c>
      <c r="BF303" s="1520">
        <f>IF(Assumptions!BF219&lt;&gt;"",Assumptions!BF219,0)</f>
        <v>0</v>
      </c>
      <c r="BG303" s="1521">
        <f>IF(Assumptions!BG219&lt;&gt;"",Assumptions!BG219,0)</f>
        <v>0</v>
      </c>
      <c r="BH303" s="1485">
        <f t="shared" si="953"/>
        <v>9.6319999999999997</v>
      </c>
      <c r="BI303" s="1523">
        <v>9.6319999999999997</v>
      </c>
      <c r="BJ303" s="1521">
        <f>IF(Assumptions!BJ219&lt;&gt;"",Assumptions!BJ219,0)</f>
        <v>0</v>
      </c>
      <c r="BK303" s="1485">
        <f t="shared" si="954"/>
        <v>9.4580000000000002</v>
      </c>
      <c r="BL303" s="1523">
        <v>9.4580000000000002</v>
      </c>
      <c r="BM303" s="1521">
        <f>IF(Assumptions!BM219&lt;&gt;"",Assumptions!BM219,0)</f>
        <v>0</v>
      </c>
      <c r="BN303" s="1485">
        <f t="shared" si="955"/>
        <v>9.9380000000000006</v>
      </c>
      <c r="BO303" s="1533">
        <v>9.9380000000000006</v>
      </c>
      <c r="BP303" s="1490">
        <f>IF(Assumptions!BP219&lt;&gt;"",Assumptions!BP219,0)</f>
        <v>0</v>
      </c>
      <c r="BQ303" s="1485">
        <f t="shared" si="956"/>
        <v>0.76400000000000001</v>
      </c>
      <c r="BR303" s="1524">
        <v>0.76400000000000001</v>
      </c>
      <c r="BS303" s="1521">
        <f>IF(Assumptions!BS219&lt;&gt;"",Assumptions!BS219,0)</f>
        <v>0</v>
      </c>
      <c r="BT303" s="1485">
        <f t="shared" si="957"/>
        <v>0</v>
      </c>
      <c r="BU303" s="1518">
        <f>IF(Assumptions!BU219&lt;&gt;"",Assumptions!BU219,0)</f>
        <v>0</v>
      </c>
      <c r="BV303" s="1521">
        <f>IF(Assumptions!BV219&lt;&gt;"",Assumptions!BV219,0)</f>
        <v>0</v>
      </c>
      <c r="BW303" s="1485">
        <f t="shared" si="958"/>
        <v>0.45200000000000001</v>
      </c>
      <c r="BX303" s="1524">
        <v>0.45200000000000001</v>
      </c>
      <c r="BY303" s="1521">
        <f>IF(Assumptions!BY219&lt;&gt;"",Assumptions!BY219,0)</f>
        <v>0</v>
      </c>
      <c r="BZ303" s="1485">
        <f t="shared" si="959"/>
        <v>0</v>
      </c>
      <c r="CA303" s="1518">
        <f>IF(Assumptions!CA219&lt;&gt;"",Assumptions!CA219,0)</f>
        <v>0</v>
      </c>
      <c r="CB303" s="1521">
        <f>IF(Assumptions!CB219&lt;&gt;"",Assumptions!CB219,0)</f>
        <v>0</v>
      </c>
      <c r="CC303" s="1485">
        <f t="shared" si="960"/>
        <v>0</v>
      </c>
      <c r="CD303" s="1518">
        <f>IF(Assumptions!CD219&lt;&gt;"",Assumptions!CD219,0)</f>
        <v>0</v>
      </c>
      <c r="CE303" s="1521">
        <f>IF(Assumptions!CE219&lt;&gt;"",Assumptions!CE219,0)</f>
        <v>0</v>
      </c>
      <c r="CF303" s="1485">
        <f t="shared" si="961"/>
        <v>0</v>
      </c>
      <c r="CG303" s="1518">
        <f>IF(Assumptions!CG219&lt;&gt;"",Assumptions!CG219,0)</f>
        <v>0</v>
      </c>
      <c r="CH303" s="1521">
        <f>IF(Assumptions!CH219&lt;&gt;"",Assumptions!CH219,0)</f>
        <v>0</v>
      </c>
      <c r="CI303" s="1485">
        <f t="shared" si="962"/>
        <v>0</v>
      </c>
      <c r="CJ303" s="1518">
        <f>IF(Assumptions!CJ219&lt;&gt;"",Assumptions!CJ219,0)</f>
        <v>0</v>
      </c>
      <c r="CK303" s="1521">
        <f>IF(Assumptions!CK219&lt;&gt;"",Assumptions!CK219,0)</f>
        <v>0</v>
      </c>
      <c r="CL303" s="1485">
        <f t="shared" si="963"/>
        <v>0</v>
      </c>
      <c r="CM303" s="1518">
        <f>IF(Assumptions!CM219&lt;&gt;"",Assumptions!CM219,0)</f>
        <v>0</v>
      </c>
      <c r="CN303" s="1521">
        <f>IF(Assumptions!CN219&lt;&gt;"",Assumptions!CN219,0)</f>
        <v>0</v>
      </c>
      <c r="CO303" s="1485">
        <f t="shared" si="964"/>
        <v>2.6240000000000001</v>
      </c>
      <c r="CP303" s="1524">
        <v>2.6240000000000001</v>
      </c>
      <c r="CQ303" s="1522">
        <v>11.505000000000001</v>
      </c>
      <c r="CR303" s="1485">
        <f t="shared" si="965"/>
        <v>0</v>
      </c>
      <c r="CS303" s="1518">
        <f>IF(Assumptions!CS219&lt;&gt;"",Assumptions!CS219,0)</f>
        <v>0</v>
      </c>
      <c r="CT303" s="1521">
        <f>IF(Assumptions!CT219&lt;&gt;"",Assumptions!CT219,0)</f>
        <v>0</v>
      </c>
      <c r="CU303" s="1485">
        <f t="shared" si="966"/>
        <v>0</v>
      </c>
      <c r="CV303" s="1518">
        <f>IF(Assumptions!CV219&lt;&gt;"",Assumptions!CV219,0)</f>
        <v>0</v>
      </c>
      <c r="CW303" s="1521">
        <f>IF(Assumptions!CW219&lt;&gt;"",Assumptions!CW219,0)</f>
        <v>0</v>
      </c>
      <c r="CX303" s="1485">
        <f t="shared" si="967"/>
        <v>3.2480000000000002</v>
      </c>
      <c r="CY303" s="1524">
        <v>3.2480000000000002</v>
      </c>
      <c r="CZ303" s="1521">
        <v>5.4</v>
      </c>
      <c r="DA303" s="1485">
        <f t="shared" si="968"/>
        <v>11.799999999999999</v>
      </c>
      <c r="DB303" s="1518">
        <f>9.2+2.6</f>
        <v>11.799999999999999</v>
      </c>
      <c r="DC303" s="1521">
        <f>12.6+1.5</f>
        <v>14.1</v>
      </c>
      <c r="DD303" s="1485">
        <f t="shared" si="969"/>
        <v>10.3</v>
      </c>
      <c r="DE303" s="1518">
        <f>7.6+2.7</f>
        <v>10.3</v>
      </c>
      <c r="DF303" s="1522">
        <f>2.3+1.5</f>
        <v>3.8</v>
      </c>
      <c r="DG303" s="1485">
        <f t="shared" si="970"/>
        <v>4</v>
      </c>
      <c r="DH303" s="1525">
        <f>2.3+1.7</f>
        <v>4</v>
      </c>
      <c r="DI303" s="1526">
        <v>2.2000000000000002</v>
      </c>
      <c r="DJ303" s="1485">
        <f t="shared" si="971"/>
        <v>7.2</v>
      </c>
      <c r="DK303" s="1527">
        <f>3.2+4</f>
        <v>7.2</v>
      </c>
      <c r="DL303" s="1526">
        <f>3.9+5.1</f>
        <v>9</v>
      </c>
      <c r="DM303" s="1485">
        <f t="shared" si="972"/>
        <v>14.3</v>
      </c>
      <c r="DN303" s="1527">
        <f>6.5+7.8</f>
        <v>14.3</v>
      </c>
      <c r="DO303" s="1526">
        <f>3.1+7.9</f>
        <v>11</v>
      </c>
      <c r="DP303" s="1485">
        <f t="shared" si="973"/>
        <v>16.200000000000003</v>
      </c>
      <c r="DQ303" s="1527">
        <f>6.4+9.8</f>
        <v>16.200000000000003</v>
      </c>
      <c r="DR303" s="1526">
        <f>0.9+8.6</f>
        <v>9.5</v>
      </c>
      <c r="DS303" s="1485">
        <f t="shared" si="974"/>
        <v>9</v>
      </c>
      <c r="DT303" s="1527">
        <f>0.4+8.6</f>
        <v>9</v>
      </c>
      <c r="DU303" s="1526">
        <f>12.5+8.4</f>
        <v>20.9</v>
      </c>
      <c r="DV303" s="1485">
        <f t="shared" ref="DV303:DV305" si="986">+DW303</f>
        <v>9.6</v>
      </c>
      <c r="DW303" s="1527">
        <f>6.1+3.5</f>
        <v>9.6</v>
      </c>
      <c r="DX303" s="1526">
        <f>0.9+27.1+14.4</f>
        <v>42.4</v>
      </c>
      <c r="DY303" s="1485">
        <f t="shared" si="976"/>
        <v>42.4</v>
      </c>
      <c r="DZ303" s="1486">
        <f>IF(Assumptions!DZ219&lt;&gt;"",Assumptions!DZ219,0)</f>
        <v>42.4</v>
      </c>
      <c r="EA303" s="1485">
        <f>IF(Assumptions!EA219&lt;&gt;"",Assumptions!EA219,0)</f>
        <v>42.4</v>
      </c>
      <c r="EB303" s="1485">
        <f t="shared" si="977"/>
        <v>42.4</v>
      </c>
      <c r="EC303" s="1486">
        <f>IF(Assumptions!EC219&lt;&gt;"",Assumptions!EC219,0)</f>
        <v>42.4</v>
      </c>
      <c r="ED303" s="1485">
        <f>IF(Assumptions!ED219&lt;&gt;"",Assumptions!ED219,0)</f>
        <v>42.4</v>
      </c>
      <c r="EE303" s="1485">
        <f t="shared" si="978"/>
        <v>42.4</v>
      </c>
      <c r="EF303" s="1486">
        <f>IF(Assumptions!EF219&lt;&gt;"",Assumptions!EF219,0)</f>
        <v>42.4</v>
      </c>
      <c r="EG303" s="1485">
        <f>IF(Assumptions!EG219&lt;&gt;"",Assumptions!EG219,0)</f>
        <v>42.4</v>
      </c>
      <c r="EH303" s="1485">
        <f>+EI303</f>
        <v>42.4</v>
      </c>
      <c r="EI303" s="1486">
        <f>IF(Assumptions!EI219&lt;&gt;"",Assumptions!EI219,0)</f>
        <v>42.4</v>
      </c>
      <c r="EJ303" s="1485">
        <f>IF(Assumptions!EJ219&lt;&gt;"",Assumptions!EJ219,0)</f>
        <v>42.4</v>
      </c>
      <c r="EK303" s="1485">
        <f>+EL303</f>
        <v>42.4</v>
      </c>
      <c r="EL303" s="1486">
        <f>IF(Assumptions!EL219&lt;&gt;"",Assumptions!EL219,0)</f>
        <v>42.4</v>
      </c>
      <c r="EM303" s="1485">
        <f>IF(Assumptions!EM219&lt;&gt;"",Assumptions!EM219,0)</f>
        <v>42.4</v>
      </c>
      <c r="EN303" s="1485">
        <f>+EO303</f>
        <v>42.4</v>
      </c>
      <c r="EO303" s="1486">
        <f>IF(Assumptions!EO219&lt;&gt;"",Assumptions!EO219,0)</f>
        <v>42.4</v>
      </c>
      <c r="EP303" s="1485">
        <f>IF(Assumptions!EP219&lt;&gt;"",Assumptions!EP219,0)</f>
        <v>42.4</v>
      </c>
      <c r="EQ303" s="1485">
        <f>+ER303</f>
        <v>42.4</v>
      </c>
      <c r="ER303" s="1486">
        <f>IF(Assumptions!ER219&lt;&gt;"",Assumptions!ER219,0)</f>
        <v>42.4</v>
      </c>
      <c r="ES303" s="1485">
        <f>IF(Assumptions!ES219&lt;&gt;"",Assumptions!ES219,0)</f>
        <v>42.4</v>
      </c>
      <c r="ET303" s="1485">
        <f>+EU303</f>
        <v>42.4</v>
      </c>
      <c r="EU303" s="1486">
        <f>IF(Assumptions!EU219&lt;&gt;"",Assumptions!EU219,0)</f>
        <v>42.4</v>
      </c>
      <c r="EV303" s="1485">
        <f>IF(Assumptions!EV219&lt;&gt;"",Assumptions!EV219,0)</f>
        <v>42.4</v>
      </c>
      <c r="EW303" s="1485">
        <f>+EX303</f>
        <v>42.4</v>
      </c>
      <c r="EX303" s="1486">
        <f>IF(Assumptions!EX219&lt;&gt;"",Assumptions!EX219,0)</f>
        <v>42.4</v>
      </c>
      <c r="EY303" s="1485">
        <f>IF(Assumptions!EY219&lt;&gt;"",Assumptions!EY219,0)</f>
        <v>42.4</v>
      </c>
      <c r="EZ303" s="1485">
        <f>+FA303</f>
        <v>42.4</v>
      </c>
      <c r="FA303" s="1486">
        <f>IF(Assumptions!FA219&lt;&gt;"",Assumptions!FA219,0)</f>
        <v>42.4</v>
      </c>
      <c r="FB303" s="1571">
        <f>+DV303-DU303</f>
        <v>-11.299999999999999</v>
      </c>
      <c r="FE303"/>
      <c r="FF303"/>
      <c r="FG303"/>
      <c r="FH303"/>
      <c r="FI303"/>
      <c r="FJ303"/>
      <c r="FK303" s="35"/>
    </row>
    <row r="304" spans="2:167" s="236" customFormat="1" ht="13.35" customHeight="1">
      <c r="B304" s="444" t="s">
        <v>921</v>
      </c>
      <c r="C304" s="444" t="s">
        <v>496</v>
      </c>
      <c r="D304" s="1474"/>
      <c r="E304" s="562">
        <f>+E289+E290+E297+E303</f>
        <v>0</v>
      </c>
      <c r="F304" s="562">
        <f t="shared" si="935"/>
        <v>0</v>
      </c>
      <c r="G304" s="562">
        <f>+G289+G290+G297+G303</f>
        <v>0</v>
      </c>
      <c r="H304" s="562">
        <f>+H289+H290+H297+H303</f>
        <v>0</v>
      </c>
      <c r="I304" s="562">
        <f t="shared" si="936"/>
        <v>0</v>
      </c>
      <c r="J304" s="562">
        <f>+J289+J290+J297+J303</f>
        <v>0</v>
      </c>
      <c r="K304" s="562">
        <f>+K289+K290+K297+K303</f>
        <v>0</v>
      </c>
      <c r="L304" s="562">
        <f t="shared" si="937"/>
        <v>0</v>
      </c>
      <c r="M304" s="562">
        <f>+M289+M290+M297+M303</f>
        <v>0</v>
      </c>
      <c r="N304" s="562">
        <f>+N289+N290+N297+N303</f>
        <v>0</v>
      </c>
      <c r="O304" s="562">
        <f t="shared" si="938"/>
        <v>0</v>
      </c>
      <c r="P304" s="562">
        <f>+P289+P290+P297+P303</f>
        <v>0</v>
      </c>
      <c r="Q304" s="562">
        <f>+Q289+Q290+Q297+Q303</f>
        <v>0</v>
      </c>
      <c r="R304" s="562">
        <f t="shared" si="939"/>
        <v>0</v>
      </c>
      <c r="S304" s="562">
        <f>+S289+S290+S297+S303</f>
        <v>0</v>
      </c>
      <c r="T304" s="562">
        <f>+T289+T290+T297+T303</f>
        <v>0</v>
      </c>
      <c r="U304" s="562">
        <f t="shared" si="940"/>
        <v>0</v>
      </c>
      <c r="V304" s="562">
        <f>+V289+V290+V297+V303</f>
        <v>0</v>
      </c>
      <c r="W304" s="562">
        <f>+W289+W290+W297+W303</f>
        <v>0</v>
      </c>
      <c r="X304" s="562">
        <f t="shared" si="941"/>
        <v>0</v>
      </c>
      <c r="Y304" s="562">
        <f>+Y289+Y290+Y297+Y303</f>
        <v>0</v>
      </c>
      <c r="Z304" s="562">
        <f>+Z289+Z290+Z297+Z303</f>
        <v>0</v>
      </c>
      <c r="AA304" s="562">
        <f t="shared" si="942"/>
        <v>0</v>
      </c>
      <c r="AB304" s="562">
        <f>+AB289+AB290+AB297+AB303</f>
        <v>0</v>
      </c>
      <c r="AC304" s="562">
        <f>+AC289+AC290+AC297+AC303</f>
        <v>0</v>
      </c>
      <c r="AD304" s="562">
        <f t="shared" si="943"/>
        <v>0</v>
      </c>
      <c r="AE304" s="562">
        <f>+AE289+AE290+AE297+AE303</f>
        <v>0</v>
      </c>
      <c r="AF304" s="562">
        <f>+AF289+AF290+AF297+AF303</f>
        <v>0</v>
      </c>
      <c r="AG304" s="562">
        <f t="shared" si="944"/>
        <v>0</v>
      </c>
      <c r="AH304" s="562">
        <f>+AH289+AH290+AH297+AH303</f>
        <v>0</v>
      </c>
      <c r="AI304" s="562">
        <f>+AI289+AI290+AI297+AI303</f>
        <v>0.46499999999999997</v>
      </c>
      <c r="AJ304" s="562">
        <f t="shared" si="945"/>
        <v>0.71</v>
      </c>
      <c r="AK304" s="562">
        <f>+AK289+AK290+AK297+AK303</f>
        <v>0.71</v>
      </c>
      <c r="AL304" s="562">
        <f>+AL289+AL290+AL297+AL303</f>
        <v>0.41099999999999998</v>
      </c>
      <c r="AM304" s="562">
        <f t="shared" si="946"/>
        <v>0.375</v>
      </c>
      <c r="AN304" s="562">
        <f>+AN289+AN290+AN297+AN303</f>
        <v>0.375</v>
      </c>
      <c r="AO304" s="562">
        <f>+AO289+AO290+AO297+AO303</f>
        <v>0.371</v>
      </c>
      <c r="AP304" s="562">
        <f t="shared" si="947"/>
        <v>0.36499999999999999</v>
      </c>
      <c r="AQ304" s="562">
        <f>+AQ289+AQ290+AQ297+AQ303</f>
        <v>0.36499999999999999</v>
      </c>
      <c r="AR304" s="562">
        <f>+AR289+AR290+AR297+AR303</f>
        <v>0.36399999999999999</v>
      </c>
      <c r="AS304" s="562">
        <f t="shared" si="948"/>
        <v>0.40899999999999997</v>
      </c>
      <c r="AT304" s="562">
        <f>+AT289+AT290+AT297+AT303</f>
        <v>0.40899999999999997</v>
      </c>
      <c r="AU304" s="562">
        <f>+AU289+AU290+AU297+AU303</f>
        <v>0.44700000000000001</v>
      </c>
      <c r="AV304" s="562">
        <f t="shared" si="949"/>
        <v>0.49099999999999999</v>
      </c>
      <c r="AW304" s="562">
        <f>+AW289+AW290+AW297+AW303</f>
        <v>0.49099999999999999</v>
      </c>
      <c r="AX304" s="562">
        <f>+AX289+AX290+AX297+AX303</f>
        <v>0.52400000000000002</v>
      </c>
      <c r="AY304" s="562">
        <f t="shared" si="950"/>
        <v>0.54900000000000004</v>
      </c>
      <c r="AZ304" s="562">
        <f>+AZ289+AZ290+AZ297+AZ303</f>
        <v>0.54900000000000004</v>
      </c>
      <c r="BA304" s="562">
        <f>+BA289+BA290+BA297+BA303</f>
        <v>0.55500000000000005</v>
      </c>
      <c r="BB304" s="562">
        <f t="shared" si="951"/>
        <v>0.61499999999999999</v>
      </c>
      <c r="BC304" s="562">
        <f>+BC289+BC290+BC297+BC303</f>
        <v>0.61499999999999999</v>
      </c>
      <c r="BD304" s="562">
        <f>+BD289+BD290+BD297+BD303</f>
        <v>0.70199999999999996</v>
      </c>
      <c r="BE304" s="562">
        <f t="shared" si="952"/>
        <v>1.64</v>
      </c>
      <c r="BF304" s="562">
        <f>+BF289+BF290+BF297+BF303</f>
        <v>1.64</v>
      </c>
      <c r="BG304" s="1531">
        <f>+BG289+BG290+BG297+BG303</f>
        <v>1.6830000000000001</v>
      </c>
      <c r="BH304" s="562">
        <f t="shared" si="953"/>
        <v>11.452</v>
      </c>
      <c r="BI304" s="562">
        <f>+BI289+BI290+BI297+BI303</f>
        <v>11.452</v>
      </c>
      <c r="BJ304" s="562">
        <f>+BJ289+BJ290+BJ297+BJ303</f>
        <v>13.196</v>
      </c>
      <c r="BK304" s="562">
        <f t="shared" si="954"/>
        <v>12.714</v>
      </c>
      <c r="BL304" s="562">
        <f>+BL289+BL290+BL297+BL303</f>
        <v>12.714</v>
      </c>
      <c r="BM304" s="562">
        <f>+BM289+BM290+BM297+BM303</f>
        <v>12.779</v>
      </c>
      <c r="BN304" s="562">
        <f t="shared" si="955"/>
        <v>154.99699999999999</v>
      </c>
      <c r="BO304" s="562">
        <f>+BO289+BO290+BO297+BO303</f>
        <v>154.99699999999999</v>
      </c>
      <c r="BP304" s="562">
        <f>+BP289+BP290+BP297+BP303</f>
        <v>137.42700000000002</v>
      </c>
      <c r="BQ304" s="562">
        <f t="shared" si="956"/>
        <v>132.69</v>
      </c>
      <c r="BR304" s="562">
        <f>+BR289+BR290+BR297+BR303</f>
        <v>132.69</v>
      </c>
      <c r="BS304" s="562">
        <f>+BS289+BS290+BS297+BS303</f>
        <v>111.45100000000001</v>
      </c>
      <c r="BT304" s="562">
        <f t="shared" si="957"/>
        <v>45.38</v>
      </c>
      <c r="BU304" s="562">
        <f>+BU289+BU290+BU297+BU303</f>
        <v>45.38</v>
      </c>
      <c r="BV304" s="562">
        <f>+BV289+BV290+BV297+BV303</f>
        <v>49.265999999999998</v>
      </c>
      <c r="BW304" s="562">
        <f t="shared" si="958"/>
        <v>163.63</v>
      </c>
      <c r="BX304" s="562">
        <f>+BX289+BX290+BX297+BX303</f>
        <v>163.63</v>
      </c>
      <c r="BY304" s="562">
        <f>+BY289+BY290+BY297+BY303</f>
        <v>230.68</v>
      </c>
      <c r="BZ304" s="562">
        <f t="shared" si="959"/>
        <v>197.99600000000001</v>
      </c>
      <c r="CA304" s="562">
        <f>+CA289+CA290+CA297+CA303</f>
        <v>197.99600000000001</v>
      </c>
      <c r="CB304" s="562">
        <f>+CB289+CB290+CB297+CB303</f>
        <v>172.84100000000001</v>
      </c>
      <c r="CC304" s="562">
        <f t="shared" si="960"/>
        <v>100.26300000000001</v>
      </c>
      <c r="CD304" s="562">
        <f>+CD289+CD290+CD297+CD303</f>
        <v>100.26300000000001</v>
      </c>
      <c r="CE304" s="562">
        <f>+CE289+CE290+CE297+CE303</f>
        <v>92.149000000000001</v>
      </c>
      <c r="CF304" s="562">
        <f t="shared" si="961"/>
        <v>14.303999999999998</v>
      </c>
      <c r="CG304" s="562">
        <f>+CG289+CG290+CG297+CG303</f>
        <v>14.303999999999998</v>
      </c>
      <c r="CH304" s="562">
        <f>+CH289+CH290+CH297+CH303</f>
        <v>84.99</v>
      </c>
      <c r="CI304" s="562">
        <f t="shared" si="962"/>
        <v>55.718999999999994</v>
      </c>
      <c r="CJ304" s="562">
        <f>+CJ289+CJ290+CJ297+CJ303</f>
        <v>55.718999999999994</v>
      </c>
      <c r="CK304" s="562">
        <f>+CK289+CK290+CK297+CK303</f>
        <v>100.80600000000001</v>
      </c>
      <c r="CL304" s="562">
        <f t="shared" si="963"/>
        <v>215.75799999999998</v>
      </c>
      <c r="CM304" s="562">
        <f>+CM289+CM290+CM297+CM303</f>
        <v>215.75799999999998</v>
      </c>
      <c r="CN304" s="562">
        <f>+CN289+CN290+CN297+CN303</f>
        <v>293.97000000000003</v>
      </c>
      <c r="CO304" s="562">
        <f t="shared" si="964"/>
        <v>290.25300000000004</v>
      </c>
      <c r="CP304" s="562">
        <f>+CP289+CP290+CP297+CP303</f>
        <v>290.25300000000004</v>
      </c>
      <c r="CQ304" s="562">
        <f>+CQ289+CQ290+CQ297+CQ303</f>
        <v>297.07299999999998</v>
      </c>
      <c r="CR304" s="562">
        <f t="shared" si="965"/>
        <v>110.386</v>
      </c>
      <c r="CS304" s="562">
        <f>+CS289+CS290+CS297+CS303</f>
        <v>110.386</v>
      </c>
      <c r="CT304" s="562">
        <f>+CT289+CT290+CT297+CT303</f>
        <v>108.833</v>
      </c>
      <c r="CU304" s="562">
        <f t="shared" si="966"/>
        <v>257.70600000000002</v>
      </c>
      <c r="CV304" s="562">
        <f>+CV289+CV290+CV297+CV303</f>
        <v>257.70600000000002</v>
      </c>
      <c r="CW304" s="562">
        <f>+CW289+CW290+CW297+CW303</f>
        <v>245.542</v>
      </c>
      <c r="CX304" s="562">
        <f t="shared" si="967"/>
        <v>246.09700000000001</v>
      </c>
      <c r="CY304" s="562">
        <f>+CY289+CY290+CY297+CY303</f>
        <v>246.09700000000001</v>
      </c>
      <c r="CZ304" s="562">
        <f>+CZ289+CZ290+CZ297+CZ303</f>
        <v>297.29999999999995</v>
      </c>
      <c r="DA304" s="562">
        <f t="shared" si="968"/>
        <v>258.39999999999998</v>
      </c>
      <c r="DB304" s="562">
        <f>+DB289+DB290+DB297+DB303</f>
        <v>258.39999999999998</v>
      </c>
      <c r="DC304" s="562">
        <f>+DC289+DC290+DC297+DC303</f>
        <v>267.8</v>
      </c>
      <c r="DD304" s="562">
        <f t="shared" si="969"/>
        <v>293.8</v>
      </c>
      <c r="DE304" s="562">
        <f>+DE289+DE290+DE297+DE303</f>
        <v>293.8</v>
      </c>
      <c r="DF304" s="562">
        <f>+DF289+DF290+DF297+DF303+DF302</f>
        <v>487.2</v>
      </c>
      <c r="DG304" s="562">
        <f t="shared" si="970"/>
        <v>749.7</v>
      </c>
      <c r="DH304" s="1274">
        <f>+DH289+DH290+DH297+DH303+DH302</f>
        <v>749.7</v>
      </c>
      <c r="DI304" s="562">
        <f>+DI289+DI290+DI297+DI303+DI302</f>
        <v>379.20000000000005</v>
      </c>
      <c r="DJ304" s="562">
        <f t="shared" si="971"/>
        <v>334</v>
      </c>
      <c r="DK304" s="1274">
        <f>+DK289+DK290+DK297+DK303+DK302</f>
        <v>334</v>
      </c>
      <c r="DL304" s="562">
        <f>+DL289+DL290+DL297+DL303+DL302</f>
        <v>324.60000000000002</v>
      </c>
      <c r="DM304" s="562">
        <f t="shared" si="972"/>
        <v>251.79999999999998</v>
      </c>
      <c r="DN304" s="1274">
        <f>+DN289+DN290+DN297+DN303+DN302</f>
        <v>251.79999999999998</v>
      </c>
      <c r="DO304" s="562">
        <f>+DO289+DO290+DO297+DO303+DO302</f>
        <v>287.2</v>
      </c>
      <c r="DP304" s="562">
        <f t="shared" si="973"/>
        <v>241.9</v>
      </c>
      <c r="DQ304" s="1274">
        <f>+DQ289+DQ290+DQ297+DQ303+DQ302</f>
        <v>241.9</v>
      </c>
      <c r="DR304" s="562">
        <f>+DR289+DR290+DR297+DR303+DR302</f>
        <v>231.3</v>
      </c>
      <c r="DS304" s="562">
        <f t="shared" si="974"/>
        <v>273.10000000000002</v>
      </c>
      <c r="DT304" s="1274">
        <f>+DT289+DT290+DT297+DT303+DT302</f>
        <v>273.10000000000002</v>
      </c>
      <c r="DU304" s="562">
        <f>+DU289+DU290+DU297+DU303+DU302</f>
        <v>292.39999999999998</v>
      </c>
      <c r="DV304" s="562">
        <f t="shared" si="986"/>
        <v>272.39999999999998</v>
      </c>
      <c r="DW304" s="1274">
        <f>+DW289+DW290+DW297+DW303+DW302</f>
        <v>272.39999999999998</v>
      </c>
      <c r="DX304" s="562">
        <f>+DX289+DX290+DX297+DX303+DX302</f>
        <v>296.7</v>
      </c>
      <c r="DY304" s="562">
        <f t="shared" si="976"/>
        <v>285.14072135952148</v>
      </c>
      <c r="DZ304" s="1274">
        <f>+DZ289+DZ290+DZ297+DZ303+DZ302</f>
        <v>285.14072135952148</v>
      </c>
      <c r="EA304" s="562">
        <f>+EA289+EA290+EA297+EA303+EA302</f>
        <v>273.13496075303101</v>
      </c>
      <c r="EB304" s="562">
        <f t="shared" si="977"/>
        <v>261.12920014654054</v>
      </c>
      <c r="EC304" s="1274">
        <f>+EC289+EC290+EC297+EC303+EC302</f>
        <v>261.12920014654054</v>
      </c>
      <c r="ED304" s="562">
        <f>+ED289+ED290+ED297+ED303+ED302</f>
        <v>248.66579552488781</v>
      </c>
      <c r="EE304" s="562">
        <f t="shared" si="978"/>
        <v>236.20239090323508</v>
      </c>
      <c r="EF304" s="1274">
        <f>+EF289+EF290+EF297+EF303+EF302</f>
        <v>236.20239090323508</v>
      </c>
      <c r="EG304" s="562">
        <f>+EG289+EG290+EG297+EG303+EG302</f>
        <v>223.26990116604105</v>
      </c>
      <c r="EH304" s="562">
        <f>+EI304</f>
        <v>210.33741142884702</v>
      </c>
      <c r="EI304" s="1274">
        <f>+EI289+EI290+EI297+EI303+EI302</f>
        <v>210.33741142884702</v>
      </c>
      <c r="EJ304" s="562">
        <f>+EJ289+EJ290+EJ297+EJ303+EJ302</f>
        <v>196.92410944822313</v>
      </c>
      <c r="EK304" s="562">
        <f>+EL304</f>
        <v>183.51080746759925</v>
      </c>
      <c r="EL304" s="1274">
        <f>+EL289+EL290+EL297+EL303+EL302</f>
        <v>183.51080746759925</v>
      </c>
      <c r="EM304" s="562">
        <f>+EM289+EM290+EM297+EM303+EM302</f>
        <v>169.60467293745978</v>
      </c>
      <c r="EN304" s="562">
        <f>+EO304</f>
        <v>155.69853840732031</v>
      </c>
      <c r="EO304" s="1274">
        <f>+EO289+EO290+EO297+EO303+EO302</f>
        <v>155.69853840732031</v>
      </c>
      <c r="EP304" s="562">
        <f>+EP289+EP290+EP297+EP303+EP302</f>
        <v>141.28725051392735</v>
      </c>
      <c r="EQ304" s="562">
        <f>+ER304</f>
        <v>126.87596262053438</v>
      </c>
      <c r="ER304" s="1274">
        <f>+ER289+ER290+ER297+ER303+ER302</f>
        <v>126.87596262053438</v>
      </c>
      <c r="ES304" s="562">
        <f>+ES289+ES290+ES297+ES303+ES302</f>
        <v>111.94689252980659</v>
      </c>
      <c r="ET304" s="562">
        <f>+EU304</f>
        <v>97.017822439078799</v>
      </c>
      <c r="EU304" s="1274">
        <f>+EU289+EU290+EU297+EU303+EU302</f>
        <v>97.017822439078799</v>
      </c>
      <c r="EV304" s="562">
        <f>+EV289+EV290+EV297+EV303+EV302</f>
        <v>81.558025596082828</v>
      </c>
      <c r="EW304" s="562">
        <f>+EX304</f>
        <v>66.098228753086858</v>
      </c>
      <c r="EX304" s="1274">
        <f>+EX289+EX290+EX297+EX303+EX302</f>
        <v>66.098228753086858</v>
      </c>
      <c r="EY304" s="562">
        <f>+EY289+EY290+EY297+EY303+EY302</f>
        <v>50.094436989015975</v>
      </c>
      <c r="EZ304" s="562">
        <f>+FA304</f>
        <v>34.090645224945092</v>
      </c>
      <c r="FA304" s="1274">
        <f>+FA289+FA290+FA297+FA303+FA302</f>
        <v>34.090645224945092</v>
      </c>
      <c r="FB304" s="1571"/>
      <c r="FE304"/>
      <c r="FF304"/>
      <c r="FG304"/>
      <c r="FH304"/>
      <c r="FI304"/>
      <c r="FJ304"/>
      <c r="FK304" s="35"/>
    </row>
    <row r="305" spans="1:167" s="236" customFormat="1" ht="13.35" customHeight="1">
      <c r="B305" s="444" t="s">
        <v>922</v>
      </c>
      <c r="C305" s="444" t="s">
        <v>496</v>
      </c>
      <c r="D305" s="1474"/>
      <c r="E305" s="581">
        <f>+E287+E304</f>
        <v>0</v>
      </c>
      <c r="F305" s="581">
        <f t="shared" si="935"/>
        <v>0</v>
      </c>
      <c r="G305" s="581">
        <f>+G287+G304</f>
        <v>0</v>
      </c>
      <c r="H305" s="581">
        <f>+H287+H304</f>
        <v>0</v>
      </c>
      <c r="I305" s="581">
        <f t="shared" si="936"/>
        <v>0</v>
      </c>
      <c r="J305" s="581">
        <f>+J287+J304</f>
        <v>0</v>
      </c>
      <c r="K305" s="581">
        <f>+K287+K304</f>
        <v>0</v>
      </c>
      <c r="L305" s="581">
        <f t="shared" si="937"/>
        <v>0</v>
      </c>
      <c r="M305" s="581">
        <f>+M287+M304</f>
        <v>0</v>
      </c>
      <c r="N305" s="581">
        <f>+N287+N304</f>
        <v>0</v>
      </c>
      <c r="O305" s="581">
        <f t="shared" si="938"/>
        <v>0</v>
      </c>
      <c r="P305" s="581">
        <f>+P287+P304</f>
        <v>0</v>
      </c>
      <c r="Q305" s="581">
        <f>+Q287+Q304</f>
        <v>0</v>
      </c>
      <c r="R305" s="581">
        <f t="shared" si="939"/>
        <v>0</v>
      </c>
      <c r="S305" s="581">
        <f>+S287+S304</f>
        <v>0</v>
      </c>
      <c r="T305" s="581">
        <f>+T287+T304</f>
        <v>0</v>
      </c>
      <c r="U305" s="581">
        <f t="shared" si="940"/>
        <v>0</v>
      </c>
      <c r="V305" s="581">
        <f>+V287+V304</f>
        <v>0</v>
      </c>
      <c r="W305" s="581">
        <f>+W287+W304</f>
        <v>0</v>
      </c>
      <c r="X305" s="581">
        <f t="shared" si="941"/>
        <v>0</v>
      </c>
      <c r="Y305" s="581">
        <f>+Y287+Y304</f>
        <v>0</v>
      </c>
      <c r="Z305" s="581">
        <f>+Z287+Z304</f>
        <v>0</v>
      </c>
      <c r="AA305" s="581">
        <f t="shared" si="942"/>
        <v>0</v>
      </c>
      <c r="AB305" s="581">
        <f>+AB287+AB304</f>
        <v>0</v>
      </c>
      <c r="AC305" s="581">
        <f>+AC287+AC304</f>
        <v>0</v>
      </c>
      <c r="AD305" s="581">
        <f t="shared" si="943"/>
        <v>0</v>
      </c>
      <c r="AE305" s="581">
        <f>+AE287+AE304</f>
        <v>0</v>
      </c>
      <c r="AF305" s="581">
        <f>+AF287+AF304</f>
        <v>0</v>
      </c>
      <c r="AG305" s="581">
        <f t="shared" si="944"/>
        <v>0</v>
      </c>
      <c r="AH305" s="581">
        <f>+AH287+AH304</f>
        <v>0</v>
      </c>
      <c r="AI305" s="581">
        <f>+AI287+AI304</f>
        <v>24.953999999999997</v>
      </c>
      <c r="AJ305" s="581">
        <f t="shared" si="945"/>
        <v>21.695</v>
      </c>
      <c r="AK305" s="581">
        <f>+AK287+AK304</f>
        <v>21.695</v>
      </c>
      <c r="AL305" s="581">
        <f>+AL287+AL304</f>
        <v>23.398000000000003</v>
      </c>
      <c r="AM305" s="581">
        <f t="shared" si="946"/>
        <v>29.786999999999999</v>
      </c>
      <c r="AN305" s="581">
        <f>+AN287+AN304</f>
        <v>29.786999999999999</v>
      </c>
      <c r="AO305" s="581">
        <f>+AO287+AO304</f>
        <v>24.954999999999998</v>
      </c>
      <c r="AP305" s="581">
        <f t="shared" si="947"/>
        <v>27.98</v>
      </c>
      <c r="AQ305" s="581">
        <f>+AQ287+AQ304</f>
        <v>27.98</v>
      </c>
      <c r="AR305" s="581">
        <f>+AR287+AR304</f>
        <v>32.480999999999995</v>
      </c>
      <c r="AS305" s="581">
        <f t="shared" si="948"/>
        <v>37.018000000000001</v>
      </c>
      <c r="AT305" s="581">
        <f>+AT287+AT304</f>
        <v>37.018000000000001</v>
      </c>
      <c r="AU305" s="581">
        <f>+AU287+AU304</f>
        <v>41.308999999999997</v>
      </c>
      <c r="AV305" s="581">
        <f t="shared" si="949"/>
        <v>48.888999999999996</v>
      </c>
      <c r="AW305" s="581">
        <f>+AW287+AW304</f>
        <v>48.888999999999996</v>
      </c>
      <c r="AX305" s="581">
        <f>+AX287+AX304</f>
        <v>51.42</v>
      </c>
      <c r="AY305" s="581">
        <f t="shared" si="950"/>
        <v>50.942</v>
      </c>
      <c r="AZ305" s="581">
        <f>+AZ287+AZ304</f>
        <v>50.942</v>
      </c>
      <c r="BA305" s="581">
        <f>+BA287+BA304</f>
        <v>60.881</v>
      </c>
      <c r="BB305" s="581">
        <f t="shared" si="951"/>
        <v>73.552999999999997</v>
      </c>
      <c r="BC305" s="581">
        <f>+BC287+BC304</f>
        <v>73.552999999999997</v>
      </c>
      <c r="BD305" s="581">
        <f>+BD287+BD304</f>
        <v>112.416</v>
      </c>
      <c r="BE305" s="581">
        <f t="shared" si="952"/>
        <v>130.88599999999997</v>
      </c>
      <c r="BF305" s="581">
        <f>+BF287+BF304</f>
        <v>130.88599999999997</v>
      </c>
      <c r="BG305" s="1497">
        <f>+BG287+BG304</f>
        <v>126.76100000000001</v>
      </c>
      <c r="BH305" s="581">
        <f t="shared" si="953"/>
        <v>110.892</v>
      </c>
      <c r="BI305" s="581">
        <f>+BI287+BI304</f>
        <v>110.892</v>
      </c>
      <c r="BJ305" s="581">
        <f>+BJ287+BJ304</f>
        <v>125.762</v>
      </c>
      <c r="BK305" s="581">
        <f t="shared" si="954"/>
        <v>119.00999999999999</v>
      </c>
      <c r="BL305" s="581">
        <f>+BL287+BL304</f>
        <v>119.00999999999999</v>
      </c>
      <c r="BM305" s="581">
        <f>+BM287+BM304</f>
        <v>132.58000000000001</v>
      </c>
      <c r="BN305" s="581">
        <f t="shared" si="955"/>
        <v>348.03499999999997</v>
      </c>
      <c r="BO305" s="581">
        <f>+BO287+BO304</f>
        <v>348.03499999999997</v>
      </c>
      <c r="BP305" s="581">
        <f>+BP287+BP304</f>
        <v>322.68100000000004</v>
      </c>
      <c r="BQ305" s="581">
        <f t="shared" si="956"/>
        <v>336.14599999999996</v>
      </c>
      <c r="BR305" s="581">
        <f>+BR287+BR304</f>
        <v>336.14599999999996</v>
      </c>
      <c r="BS305" s="581">
        <f>+BS287+BS304</f>
        <v>327.48099999999999</v>
      </c>
      <c r="BT305" s="581">
        <f t="shared" si="957"/>
        <v>324.928</v>
      </c>
      <c r="BU305" s="581">
        <f>+BU287+BU304</f>
        <v>324.928</v>
      </c>
      <c r="BV305" s="581">
        <f>+BV287+BV304</f>
        <v>323.36</v>
      </c>
      <c r="BW305" s="581">
        <f t="shared" si="958"/>
        <v>288.57499999999999</v>
      </c>
      <c r="BX305" s="581">
        <f>+BX287+BX304</f>
        <v>288.57499999999999</v>
      </c>
      <c r="BY305" s="581">
        <f>+BY287+BY304</f>
        <v>439.38600000000002</v>
      </c>
      <c r="BZ305" s="581">
        <f t="shared" si="959"/>
        <v>315.13900000000001</v>
      </c>
      <c r="CA305" s="581">
        <f>+CA287+CA304</f>
        <v>315.13900000000001</v>
      </c>
      <c r="CB305" s="581">
        <f>+CB287+CB304</f>
        <v>334.69900000000001</v>
      </c>
      <c r="CC305" s="581">
        <f t="shared" si="960"/>
        <v>313.41100000000006</v>
      </c>
      <c r="CD305" s="581">
        <f>+CD287+CD304</f>
        <v>313.41100000000006</v>
      </c>
      <c r="CE305" s="581">
        <f>+CE287+CE304</f>
        <v>263.78800000000001</v>
      </c>
      <c r="CF305" s="581">
        <f t="shared" si="961"/>
        <v>237.76400000000001</v>
      </c>
      <c r="CG305" s="581">
        <f>+CG287+CG304</f>
        <v>237.76400000000001</v>
      </c>
      <c r="CH305" s="581">
        <f>+CH287+CH304</f>
        <v>302.55899999999997</v>
      </c>
      <c r="CI305" s="581">
        <f t="shared" si="962"/>
        <v>317.66199999999998</v>
      </c>
      <c r="CJ305" s="581">
        <f>+CJ287+CJ304</f>
        <v>317.66199999999998</v>
      </c>
      <c r="CK305" s="581">
        <f>+CK287+CK304</f>
        <v>351.27100000000002</v>
      </c>
      <c r="CL305" s="581">
        <f t="shared" si="963"/>
        <v>407.58799999999997</v>
      </c>
      <c r="CM305" s="581">
        <f>+CM287+CM304</f>
        <v>407.58799999999997</v>
      </c>
      <c r="CN305" s="581">
        <f>+CN287+CN304</f>
        <v>489.25300000000004</v>
      </c>
      <c r="CO305" s="581">
        <f t="shared" si="964"/>
        <v>459.83100000000002</v>
      </c>
      <c r="CP305" s="581">
        <f>+CP287+CP304</f>
        <v>459.83100000000002</v>
      </c>
      <c r="CQ305" s="581">
        <f>+CQ287+CQ304</f>
        <v>506.31200000000001</v>
      </c>
      <c r="CR305" s="581">
        <f t="shared" si="965"/>
        <v>513.66999999999996</v>
      </c>
      <c r="CS305" s="581">
        <f>+CS287+CS304</f>
        <v>513.66999999999996</v>
      </c>
      <c r="CT305" s="581">
        <f>+CT287+CT304</f>
        <v>508.79199999999992</v>
      </c>
      <c r="CU305" s="581">
        <f t="shared" si="966"/>
        <v>508.80599999999998</v>
      </c>
      <c r="CV305" s="581">
        <f>+CV287+CV304</f>
        <v>508.80599999999998</v>
      </c>
      <c r="CW305" s="581">
        <f>+CW287+CW304</f>
        <v>495.97900000000004</v>
      </c>
      <c r="CX305" s="581">
        <f t="shared" si="967"/>
        <v>592.71199999999999</v>
      </c>
      <c r="CY305" s="581">
        <f>+CY287+CY304</f>
        <v>592.71199999999999</v>
      </c>
      <c r="CZ305" s="581">
        <f>+CZ287+CZ304</f>
        <v>609.59999999999991</v>
      </c>
      <c r="DA305" s="581">
        <f t="shared" si="968"/>
        <v>546.09999999999991</v>
      </c>
      <c r="DB305" s="581">
        <f>+DB287+DB304</f>
        <v>546.09999999999991</v>
      </c>
      <c r="DC305" s="581">
        <f>+DC287+DC304</f>
        <v>595.4</v>
      </c>
      <c r="DD305" s="581">
        <f t="shared" si="969"/>
        <v>653.30000000000007</v>
      </c>
      <c r="DE305" s="581">
        <f>+DE287+DE304</f>
        <v>653.30000000000007</v>
      </c>
      <c r="DF305" s="581">
        <f>+DF287+DF304</f>
        <v>836.90000000000009</v>
      </c>
      <c r="DG305" s="581">
        <f t="shared" si="970"/>
        <v>1174.1000000000001</v>
      </c>
      <c r="DH305" s="1280">
        <f>+DH287+DH304</f>
        <v>1174.1000000000001</v>
      </c>
      <c r="DI305" s="562">
        <f>+DI287+DI304</f>
        <v>719</v>
      </c>
      <c r="DJ305" s="562">
        <f t="shared" si="971"/>
        <v>736.5</v>
      </c>
      <c r="DK305" s="1274">
        <f>+DK287+DK304</f>
        <v>736.5</v>
      </c>
      <c r="DL305" s="562">
        <f>+DL287+DL304</f>
        <v>702.2</v>
      </c>
      <c r="DM305" s="562">
        <f t="shared" si="972"/>
        <v>779.4</v>
      </c>
      <c r="DN305" s="1274">
        <f>+DN287+DN304</f>
        <v>779.4</v>
      </c>
      <c r="DO305" s="562">
        <f>+DO287+DO304</f>
        <v>751.4</v>
      </c>
      <c r="DP305" s="562">
        <f t="shared" si="973"/>
        <v>819.90000000000009</v>
      </c>
      <c r="DQ305" s="1274">
        <f>+DQ287+DQ304</f>
        <v>819.90000000000009</v>
      </c>
      <c r="DR305" s="562">
        <f>+DR287+DR304</f>
        <v>748.7</v>
      </c>
      <c r="DS305" s="562">
        <f t="shared" si="974"/>
        <v>904.60000000000014</v>
      </c>
      <c r="DT305" s="1274">
        <f>+DT287+DT304</f>
        <v>904.60000000000014</v>
      </c>
      <c r="DU305" s="562">
        <f>+DU287+DU304</f>
        <v>918.5</v>
      </c>
      <c r="DV305" s="562">
        <f t="shared" si="986"/>
        <v>874.7</v>
      </c>
      <c r="DW305" s="1274">
        <f>+DW287+DW304</f>
        <v>874.7</v>
      </c>
      <c r="DX305" s="562">
        <f>+DX287+DX304</f>
        <v>855.60000000000014</v>
      </c>
      <c r="DY305" s="562">
        <f t="shared" si="976"/>
        <v>863.88911065962611</v>
      </c>
      <c r="DZ305" s="1274">
        <f>+DZ287+DZ304</f>
        <v>863.88911065962611</v>
      </c>
      <c r="EA305" s="562">
        <f>+EA287+EA304</f>
        <v>884.82945900975972</v>
      </c>
      <c r="EB305" s="562">
        <f t="shared" si="977"/>
        <v>877.9703253666064</v>
      </c>
      <c r="EC305" s="1274">
        <f>+EC287+EC304</f>
        <v>877.9703253666064</v>
      </c>
      <c r="ED305" s="562">
        <f>+ED287+ED304</f>
        <v>888.37473161362391</v>
      </c>
      <c r="EE305" s="562">
        <f t="shared" si="978"/>
        <v>881.51185278178718</v>
      </c>
      <c r="EF305" s="1274">
        <f>+EF287+EF304</f>
        <v>881.51185278178718</v>
      </c>
      <c r="EG305" s="562">
        <f>+EG287+EG304</f>
        <v>895.56864150276328</v>
      </c>
      <c r="EH305" s="562">
        <f>+EI305</f>
        <v>888.74072487646868</v>
      </c>
      <c r="EI305" s="1274">
        <f>+EI287+EI304</f>
        <v>888.74072487646868</v>
      </c>
      <c r="EJ305" s="562">
        <f>+EJ287+EJ304</f>
        <v>904.74573641525046</v>
      </c>
      <c r="EK305" s="562">
        <f>+EL305</f>
        <v>897.98641912550693</v>
      </c>
      <c r="EL305" s="1274">
        <f>+EL287+EL304</f>
        <v>897.98641912550693</v>
      </c>
      <c r="EM305" s="562">
        <f>+EM287+EM304</f>
        <v>916.14624633151959</v>
      </c>
      <c r="EN305" s="562">
        <f>+EO305</f>
        <v>909.49295511443984</v>
      </c>
      <c r="EO305" s="1274">
        <f>+EO287+EO304</f>
        <v>909.49295511443984</v>
      </c>
      <c r="EP305" s="562">
        <f>+EP287+EP304</f>
        <v>930.03356551345257</v>
      </c>
      <c r="EQ305" s="562">
        <f>+ER305</f>
        <v>923.52787683129463</v>
      </c>
      <c r="ER305" s="1274">
        <f>+ER287+ER304</f>
        <v>923.52787683129463</v>
      </c>
      <c r="ES305" s="562">
        <f>+ES287+ES304</f>
        <v>946.69637587928923</v>
      </c>
      <c r="ET305" s="562">
        <f>+EU305</f>
        <v>940.3844089288076</v>
      </c>
      <c r="EU305" s="1274">
        <f>+EU287+EU304</f>
        <v>940.3844089288076</v>
      </c>
      <c r="EV305" s="562">
        <f>+EV287+EV304</f>
        <v>966.45096244701904</v>
      </c>
      <c r="EW305" s="562">
        <f>+EX305</f>
        <v>960.3838080268913</v>
      </c>
      <c r="EX305" s="1274">
        <f>+EX287+EX304</f>
        <v>960.3838080268913</v>
      </c>
      <c r="EY305" s="562">
        <f>+EY287+EY304</f>
        <v>989.64373815653641</v>
      </c>
      <c r="EZ305" s="562">
        <f>+FA305</f>
        <v>983.87792663339189</v>
      </c>
      <c r="FA305" s="1274">
        <f>+FA287+FA304</f>
        <v>983.87792663339189</v>
      </c>
      <c r="FB305" s="1571"/>
      <c r="FE305"/>
      <c r="FF305"/>
      <c r="FG305"/>
      <c r="FH305"/>
      <c r="FI305"/>
      <c r="FJ305"/>
      <c r="FK305" s="35"/>
    </row>
    <row r="306" spans="1:167" s="236" customFormat="1" ht="9" customHeight="1">
      <c r="B306" s="242"/>
      <c r="C306" s="242"/>
      <c r="D306" s="243"/>
      <c r="E306" s="482"/>
      <c r="F306" s="482"/>
      <c r="G306" s="482"/>
      <c r="H306" s="482"/>
      <c r="I306" s="482"/>
      <c r="J306" s="482"/>
      <c r="K306" s="482"/>
      <c r="L306" s="482"/>
      <c r="M306" s="482"/>
      <c r="N306" s="482"/>
      <c r="O306" s="482"/>
      <c r="P306" s="482"/>
      <c r="Q306" s="482"/>
      <c r="R306" s="482"/>
      <c r="S306" s="482"/>
      <c r="T306" s="482"/>
      <c r="U306" s="482"/>
      <c r="V306" s="482"/>
      <c r="W306" s="482"/>
      <c r="X306" s="482"/>
      <c r="Y306" s="482"/>
      <c r="Z306" s="482"/>
      <c r="AA306" s="482"/>
      <c r="AB306" s="482"/>
      <c r="AC306" s="482"/>
      <c r="AD306" s="482"/>
      <c r="AE306" s="482"/>
      <c r="AF306" s="482"/>
      <c r="AG306" s="482"/>
      <c r="AH306" s="482"/>
      <c r="AI306" s="482"/>
      <c r="AJ306" s="482"/>
      <c r="AK306" s="482"/>
      <c r="AL306" s="482"/>
      <c r="AM306" s="482"/>
      <c r="AN306" s="482"/>
      <c r="AO306" s="482"/>
      <c r="AP306" s="482"/>
      <c r="AQ306" s="482"/>
      <c r="AR306" s="482"/>
      <c r="AS306" s="482"/>
      <c r="AT306" s="482"/>
      <c r="AU306" s="482"/>
      <c r="AV306" s="482"/>
      <c r="AW306" s="482"/>
      <c r="AX306" s="482"/>
      <c r="AY306" s="482"/>
      <c r="AZ306" s="482"/>
      <c r="BA306" s="482"/>
      <c r="BB306" s="482"/>
      <c r="BC306" s="482"/>
      <c r="BD306" s="482"/>
      <c r="BE306" s="482"/>
      <c r="BF306" s="482"/>
      <c r="BG306" s="482"/>
      <c r="BH306" s="482"/>
      <c r="BI306" s="482"/>
      <c r="BJ306" s="482"/>
      <c r="BK306" s="482"/>
      <c r="BL306" s="482"/>
      <c r="BM306" s="482"/>
      <c r="BN306" s="482"/>
      <c r="BO306" s="482"/>
      <c r="BP306" s="482"/>
      <c r="BQ306" s="482"/>
      <c r="BR306" s="482"/>
      <c r="BS306" s="482"/>
      <c r="BT306" s="482"/>
      <c r="BU306" s="482"/>
      <c r="BV306" s="482"/>
      <c r="BW306" s="482"/>
      <c r="BX306" s="482"/>
      <c r="BY306" s="482"/>
      <c r="BZ306" s="482"/>
      <c r="CA306" s="482"/>
      <c r="CB306" s="482"/>
      <c r="CC306" s="482"/>
      <c r="CD306" s="482"/>
      <c r="CE306" s="482"/>
      <c r="CF306" s="482"/>
      <c r="CG306" s="482"/>
      <c r="CH306" s="482"/>
      <c r="CI306" s="482"/>
      <c r="CJ306" s="482"/>
      <c r="CK306" s="482"/>
      <c r="CL306" s="482"/>
      <c r="CM306" s="482"/>
      <c r="CN306" s="482"/>
      <c r="CO306" s="482"/>
      <c r="CP306" s="482"/>
      <c r="CQ306" s="482"/>
      <c r="CR306" s="482"/>
      <c r="CS306" s="482"/>
      <c r="CT306" s="482"/>
      <c r="CU306" s="482"/>
      <c r="CV306" s="482"/>
      <c r="CW306" s="482"/>
      <c r="CX306" s="482"/>
      <c r="CY306" s="482"/>
      <c r="CZ306" s="482"/>
      <c r="DA306" s="482"/>
      <c r="DB306" s="482"/>
      <c r="DC306" s="482"/>
      <c r="DD306" s="482"/>
      <c r="DE306" s="482"/>
      <c r="DF306" s="482"/>
      <c r="DG306" s="482"/>
      <c r="DH306" s="1244"/>
      <c r="DI306" s="482"/>
      <c r="DJ306" s="482"/>
      <c r="DK306" s="1244"/>
      <c r="DL306" s="482"/>
      <c r="DM306" s="482"/>
      <c r="DN306" s="1244"/>
      <c r="DO306" s="482"/>
      <c r="DP306" s="482"/>
      <c r="DQ306" s="1244"/>
      <c r="DR306" s="482"/>
      <c r="DS306" s="482"/>
      <c r="DT306" s="1244"/>
      <c r="DU306" s="482"/>
      <c r="DV306" s="482"/>
      <c r="DW306" s="1244"/>
      <c r="DX306" s="482"/>
      <c r="DY306" s="482"/>
      <c r="DZ306" s="1244"/>
      <c r="EA306" s="482"/>
      <c r="EB306" s="482"/>
      <c r="EC306" s="1244"/>
      <c r="ED306" s="482"/>
      <c r="EE306" s="482"/>
      <c r="EF306" s="1244"/>
      <c r="EG306" s="482"/>
      <c r="EH306" s="482"/>
      <c r="EI306" s="1244"/>
      <c r="EJ306" s="482"/>
      <c r="EK306" s="482"/>
      <c r="EL306" s="1244"/>
      <c r="EM306" s="482"/>
      <c r="EN306" s="482"/>
      <c r="EO306" s="1244"/>
      <c r="EP306" s="482"/>
      <c r="EQ306" s="482"/>
      <c r="ER306" s="1244"/>
      <c r="ES306" s="482"/>
      <c r="ET306" s="482"/>
      <c r="EU306" s="1244"/>
      <c r="EV306" s="482"/>
      <c r="EW306" s="482"/>
      <c r="EX306" s="1244"/>
      <c r="EY306" s="482"/>
      <c r="EZ306" s="482"/>
      <c r="FA306" s="1244"/>
      <c r="FB306" s="1571"/>
      <c r="FE306"/>
      <c r="FF306"/>
      <c r="FG306"/>
      <c r="FH306"/>
      <c r="FI306"/>
      <c r="FJ306"/>
      <c r="FK306" s="35"/>
    </row>
    <row r="307" spans="1:167" s="236" customFormat="1" ht="13.35" customHeight="1">
      <c r="B307" s="242" t="s">
        <v>923</v>
      </c>
      <c r="C307" s="242" t="s">
        <v>496</v>
      </c>
      <c r="D307" s="243"/>
      <c r="E307" s="509">
        <f>+E264-E305</f>
        <v>0</v>
      </c>
      <c r="F307" s="509">
        <f>+G307</f>
        <v>0</v>
      </c>
      <c r="G307" s="509">
        <f>+G264-G305</f>
        <v>0</v>
      </c>
      <c r="H307" s="509">
        <f>+H264-H305</f>
        <v>0</v>
      </c>
      <c r="I307" s="509">
        <f>+J307</f>
        <v>0</v>
      </c>
      <c r="J307" s="509">
        <f>+J264-J305</f>
        <v>0</v>
      </c>
      <c r="K307" s="509">
        <f>+K264-K305</f>
        <v>0</v>
      </c>
      <c r="L307" s="509">
        <f>+M307</f>
        <v>0</v>
      </c>
      <c r="M307" s="509">
        <f>+M264-M305</f>
        <v>0</v>
      </c>
      <c r="N307" s="509">
        <f>+N264-N305</f>
        <v>0</v>
      </c>
      <c r="O307" s="509">
        <f>+P307</f>
        <v>0</v>
      </c>
      <c r="P307" s="509">
        <f>+P264-P305</f>
        <v>0</v>
      </c>
      <c r="Q307" s="509">
        <f>+Q264-Q305</f>
        <v>0</v>
      </c>
      <c r="R307" s="509">
        <f>+S307</f>
        <v>0</v>
      </c>
      <c r="S307" s="509">
        <f>+S264-S305</f>
        <v>0</v>
      </c>
      <c r="T307" s="509">
        <f>+T264-T305</f>
        <v>0</v>
      </c>
      <c r="U307" s="509">
        <f>+V307</f>
        <v>0</v>
      </c>
      <c r="V307" s="509">
        <f>+V264-V305</f>
        <v>0</v>
      </c>
      <c r="W307" s="509">
        <f>+W264-W305</f>
        <v>0</v>
      </c>
      <c r="X307" s="509">
        <f>+Y307</f>
        <v>0</v>
      </c>
      <c r="Y307" s="509">
        <f>+Y264-Y305</f>
        <v>0</v>
      </c>
      <c r="Z307" s="509">
        <f>+Z264-Z305</f>
        <v>0</v>
      </c>
      <c r="AA307" s="509">
        <f>+AB307</f>
        <v>0</v>
      </c>
      <c r="AB307" s="509">
        <f>+AB264-AB305</f>
        <v>0</v>
      </c>
      <c r="AC307" s="509">
        <f>+AC264-AC305</f>
        <v>0</v>
      </c>
      <c r="AD307" s="509">
        <f>+AE307</f>
        <v>0</v>
      </c>
      <c r="AE307" s="509">
        <f>+AE264-AE305</f>
        <v>0</v>
      </c>
      <c r="AF307" s="509">
        <f>+AF264-AF305</f>
        <v>0</v>
      </c>
      <c r="AG307" s="509">
        <f>+AH307</f>
        <v>0</v>
      </c>
      <c r="AH307" s="509">
        <f>+AH264-AH305</f>
        <v>0</v>
      </c>
      <c r="AI307" s="509">
        <f>+AI264-AI305</f>
        <v>18.000000000000004</v>
      </c>
      <c r="AJ307" s="509">
        <f>+AK307</f>
        <v>15.904999999999994</v>
      </c>
      <c r="AK307" s="509">
        <f>+AK264-AK305</f>
        <v>15.904999999999994</v>
      </c>
      <c r="AL307" s="509">
        <f>+AL264-AL305</f>
        <v>17.460999999999999</v>
      </c>
      <c r="AM307" s="509">
        <f>+AN307</f>
        <v>18.454999999999998</v>
      </c>
      <c r="AN307" s="509">
        <f>+AN264-AN305</f>
        <v>18.454999999999998</v>
      </c>
      <c r="AO307" s="509">
        <f>+AO264-AO305</f>
        <v>20.031000000000006</v>
      </c>
      <c r="AP307" s="509">
        <f>+AQ307</f>
        <v>23.306999999999992</v>
      </c>
      <c r="AQ307" s="509">
        <f>+AQ264-AQ305</f>
        <v>23.306999999999992</v>
      </c>
      <c r="AR307" s="509">
        <f>+AR264-AR305</f>
        <v>27.954999999999998</v>
      </c>
      <c r="AS307" s="509">
        <f>+AT307</f>
        <v>32.094999999999999</v>
      </c>
      <c r="AT307" s="509">
        <f>+AT264-AT305</f>
        <v>32.094999999999999</v>
      </c>
      <c r="AU307" s="509">
        <f>+AU264-AU305</f>
        <v>37.301999999999992</v>
      </c>
      <c r="AV307" s="509">
        <f>+AW307</f>
        <v>34.050000000000011</v>
      </c>
      <c r="AW307" s="509">
        <f>+AW264-AW305</f>
        <v>34.050000000000011</v>
      </c>
      <c r="AX307" s="509">
        <f>+AX264-AX305</f>
        <v>38.116</v>
      </c>
      <c r="AY307" s="509">
        <f>+AZ307</f>
        <v>42.829000000000001</v>
      </c>
      <c r="AZ307" s="509">
        <f>+AZ264-AZ305</f>
        <v>42.829000000000001</v>
      </c>
      <c r="BA307" s="509">
        <f>+BA264-BA305</f>
        <v>53.664999999999992</v>
      </c>
      <c r="BB307" s="509">
        <f>+BC307</f>
        <v>55.495000000000005</v>
      </c>
      <c r="BC307" s="509">
        <f>+BC264-BC305</f>
        <v>55.495000000000005</v>
      </c>
      <c r="BD307" s="509">
        <f>+BD264-BD305</f>
        <v>24.14100000000002</v>
      </c>
      <c r="BE307" s="509">
        <f>+BF307</f>
        <v>29.54200000000003</v>
      </c>
      <c r="BF307" s="509">
        <f>+BF264-BF305</f>
        <v>29.54200000000003</v>
      </c>
      <c r="BG307" s="602">
        <f>+BG264-BG305</f>
        <v>64.356000000000009</v>
      </c>
      <c r="BH307" s="509">
        <f>+BI307</f>
        <v>119.68700000000001</v>
      </c>
      <c r="BI307" s="509">
        <f>+BI264-BI305</f>
        <v>119.68700000000001</v>
      </c>
      <c r="BJ307" s="509">
        <f>+BJ264-BJ305</f>
        <v>154.40199999999999</v>
      </c>
      <c r="BK307" s="509">
        <f>+BL307</f>
        <v>145.529</v>
      </c>
      <c r="BL307" s="509">
        <f>+BL264-BL305</f>
        <v>145.529</v>
      </c>
      <c r="BM307" s="509">
        <f>+BM264-BM305</f>
        <v>148.91400000000002</v>
      </c>
      <c r="BN307" s="509">
        <f>+BO307</f>
        <v>154.66100000000006</v>
      </c>
      <c r="BO307" s="509">
        <f>+BO264-BO305</f>
        <v>154.66100000000006</v>
      </c>
      <c r="BP307" s="509">
        <f>+BP264-BP305</f>
        <v>204.68899999999996</v>
      </c>
      <c r="BQ307" s="509">
        <f>+BR307</f>
        <v>209.77800000000002</v>
      </c>
      <c r="BR307" s="509">
        <f>+BR264-BR305</f>
        <v>209.77800000000002</v>
      </c>
      <c r="BS307" s="602">
        <f>+BS264-BS305</f>
        <v>238.28199999999993</v>
      </c>
      <c r="BT307" s="509">
        <f>+BU307</f>
        <v>260.80900000000008</v>
      </c>
      <c r="BU307" s="509">
        <f>+BU264-BU305</f>
        <v>260.80900000000008</v>
      </c>
      <c r="BV307" s="509">
        <f>+BV264-BV305</f>
        <v>287.63800000000003</v>
      </c>
      <c r="BW307" s="509">
        <f>+BX307</f>
        <v>319.34099999999995</v>
      </c>
      <c r="BX307" s="509">
        <f>+BX264-BX305</f>
        <v>319.34099999999995</v>
      </c>
      <c r="BY307" s="509">
        <f>+BY264-BY305</f>
        <v>281.50899999999996</v>
      </c>
      <c r="BZ307" s="509">
        <f>+CA307</f>
        <v>364.23400000000004</v>
      </c>
      <c r="CA307" s="509">
        <f>+CA264-CA305</f>
        <v>364.23400000000004</v>
      </c>
      <c r="CB307" s="509">
        <f>+CB264-CB305</f>
        <v>405.10300000000001</v>
      </c>
      <c r="CC307" s="509">
        <f>+CD307</f>
        <v>438.30799999999988</v>
      </c>
      <c r="CD307" s="509">
        <f>+CD264-CD305</f>
        <v>438.30799999999988</v>
      </c>
      <c r="CE307" s="509">
        <f>+CE264-CE305</f>
        <v>487.40300000000002</v>
      </c>
      <c r="CF307" s="509">
        <f>+CG307</f>
        <v>503.28300000000002</v>
      </c>
      <c r="CG307" s="602">
        <f>+CG264-CG305</f>
        <v>503.28300000000002</v>
      </c>
      <c r="CH307" s="509">
        <f>+CH264-CH305</f>
        <v>395.24800000000005</v>
      </c>
      <c r="CI307" s="509">
        <f>+CJ307</f>
        <v>384.87999999999994</v>
      </c>
      <c r="CJ307" s="509">
        <f>+CJ264-CJ305</f>
        <v>384.87999999999994</v>
      </c>
      <c r="CK307" s="509">
        <f>+CK264-CK305</f>
        <v>391.09</v>
      </c>
      <c r="CL307" s="509">
        <f>+CM307</f>
        <v>356.91300000000001</v>
      </c>
      <c r="CM307" s="509">
        <f>+CM264-CM305</f>
        <v>356.91300000000001</v>
      </c>
      <c r="CN307" s="509">
        <f>+CN264-CN305</f>
        <v>322.42200000000003</v>
      </c>
      <c r="CO307" s="509">
        <f>+CP307</f>
        <v>329.20500000000004</v>
      </c>
      <c r="CP307" s="509">
        <f>+CP264-CP305</f>
        <v>329.20500000000004</v>
      </c>
      <c r="CQ307" s="509">
        <f>+CQ264-CQ305</f>
        <v>321.44600000000003</v>
      </c>
      <c r="CR307" s="509">
        <f>+CS307</f>
        <v>355.38600000000008</v>
      </c>
      <c r="CS307" s="509">
        <f>+CS264-CS305</f>
        <v>355.38600000000008</v>
      </c>
      <c r="CT307" s="509">
        <f>+CT264-CT305</f>
        <v>415.3420000000001</v>
      </c>
      <c r="CU307" s="509">
        <f>+CV307</f>
        <v>448.55700000000007</v>
      </c>
      <c r="CV307" s="509">
        <f>+CV264-CV305</f>
        <v>448.55700000000007</v>
      </c>
      <c r="CW307" s="509">
        <f>+CW264-CW305</f>
        <v>487.68499999999995</v>
      </c>
      <c r="CX307" s="509">
        <f>+CY307</f>
        <v>543.64699999999993</v>
      </c>
      <c r="CY307" s="509">
        <f>+CY264-CY305</f>
        <v>543.64699999999993</v>
      </c>
      <c r="CZ307" s="509">
        <f>+CZ264-CZ305</f>
        <v>574.80000000000018</v>
      </c>
      <c r="DA307" s="509">
        <f>+DB307</f>
        <v>610.80000000000018</v>
      </c>
      <c r="DB307" s="509">
        <f>+DB264-DB305</f>
        <v>610.80000000000018</v>
      </c>
      <c r="DC307" s="509">
        <f>+DC264-DC305</f>
        <v>653.50000000000011</v>
      </c>
      <c r="DD307" s="509">
        <f>+DE307</f>
        <v>725.89999999999975</v>
      </c>
      <c r="DE307" s="509">
        <f>+DE264-DE305</f>
        <v>725.89999999999975</v>
      </c>
      <c r="DF307" s="509">
        <f>+DF264-DF305</f>
        <v>806</v>
      </c>
      <c r="DG307" s="509">
        <f>+DH307</f>
        <v>1401.5999999999997</v>
      </c>
      <c r="DH307" s="1255">
        <f>+DH264-DH305</f>
        <v>1401.5999999999997</v>
      </c>
      <c r="DI307" s="482">
        <f>+DI264-DI305</f>
        <v>1641.4</v>
      </c>
      <c r="DJ307" s="482">
        <f>+DK307</f>
        <v>1701.6999999999998</v>
      </c>
      <c r="DK307" s="1244">
        <f>+DK264-DK305</f>
        <v>1701.6999999999998</v>
      </c>
      <c r="DL307" s="482">
        <f>+DL264-DL305</f>
        <v>1729.8</v>
      </c>
      <c r="DM307" s="482">
        <f>+DN307</f>
        <v>1685.6999999999998</v>
      </c>
      <c r="DN307" s="1244">
        <f>+DN264-DN305</f>
        <v>1685.6999999999998</v>
      </c>
      <c r="DO307" s="482">
        <f>+DO264-DO305</f>
        <v>1715.2999999999997</v>
      </c>
      <c r="DP307" s="482">
        <f>+DQ307</f>
        <v>1748.7999999999997</v>
      </c>
      <c r="DQ307" s="1244">
        <f>+DQ264-DQ305</f>
        <v>1748.7999999999997</v>
      </c>
      <c r="DR307" s="482">
        <f>+DR264-DR305</f>
        <v>1781.8</v>
      </c>
      <c r="DS307" s="482">
        <f>+DT307</f>
        <v>1840.5000000000002</v>
      </c>
      <c r="DT307" s="1244">
        <f>+DT264-DT305</f>
        <v>1840.5000000000002</v>
      </c>
      <c r="DU307" s="482">
        <f>+DU264-DU305</f>
        <v>1867.6000000000004</v>
      </c>
      <c r="DV307" s="482">
        <f>+DW307</f>
        <v>1950.3</v>
      </c>
      <c r="DW307" s="1244">
        <f>+DW264-DW305</f>
        <v>1950.3</v>
      </c>
      <c r="DX307" s="482">
        <f>+DX264-DX305</f>
        <v>1938.0999999999997</v>
      </c>
      <c r="DY307" s="482">
        <f>+DZ307</f>
        <v>1933.6737614489871</v>
      </c>
      <c r="DZ307" s="1244">
        <f>+DZ264-DZ305</f>
        <v>1933.6737614489871</v>
      </c>
      <c r="EA307" s="482">
        <f>+EA264-EA305</f>
        <v>1939.4045240621413</v>
      </c>
      <c r="EB307" s="482">
        <f>+EC307</f>
        <v>1940.2868612553323</v>
      </c>
      <c r="EC307" s="1244">
        <f>+EC264-EC305</f>
        <v>1940.2868612553323</v>
      </c>
      <c r="ED307" s="482">
        <f>+ED264-ED305</f>
        <v>1981.5376925050698</v>
      </c>
      <c r="EE307" s="482">
        <f>+EF307</f>
        <v>2016.9856032750054</v>
      </c>
      <c r="EF307" s="1244">
        <f>+EF264-EF305</f>
        <v>2016.9856032750054</v>
      </c>
      <c r="EG307" s="482">
        <f>+EG264-EG305</f>
        <v>2067.995570916105</v>
      </c>
      <c r="EH307" s="482">
        <f>+EI307</f>
        <v>2112.1944241808096</v>
      </c>
      <c r="EI307" s="1244">
        <f>+EI264-EI305</f>
        <v>2112.1944241808096</v>
      </c>
      <c r="EJ307" s="482">
        <f>+EJ264-EJ305</f>
        <v>2220.7037648318947</v>
      </c>
      <c r="EK307" s="482">
        <f>+EL307</f>
        <v>2324.5708974335648</v>
      </c>
      <c r="EL307" s="1244">
        <f>+EL264-EL305</f>
        <v>2324.5708974335648</v>
      </c>
      <c r="EM307" s="482">
        <f>+EM264-EM305</f>
        <v>2442.6560683049915</v>
      </c>
      <c r="EN307" s="482">
        <f>+EO307</f>
        <v>2556.649486574086</v>
      </c>
      <c r="EO307" s="1244">
        <f>+EO264-EO305</f>
        <v>2556.649486574086</v>
      </c>
      <c r="EP307" s="482">
        <f>+EP264-EP305</f>
        <v>2685.2630223672318</v>
      </c>
      <c r="EQ307" s="482">
        <f>+ER307</f>
        <v>2810.0136238364853</v>
      </c>
      <c r="ER307" s="1244">
        <f>+ER264-ER305</f>
        <v>2810.0136238364853</v>
      </c>
      <c r="ES307" s="482">
        <f>+ES264-ES305</f>
        <v>2950.760657371442</v>
      </c>
      <c r="ET307" s="482">
        <f>+EU307</f>
        <v>3087.2543674683275</v>
      </c>
      <c r="EU307" s="1244">
        <f>+EU264-EU305</f>
        <v>3087.2543674683275</v>
      </c>
      <c r="EV307" s="482">
        <f>+EV264-EV305</f>
        <v>3241.2516205753336</v>
      </c>
      <c r="EW307" s="482">
        <f>+EX307</f>
        <v>3390.56513381899</v>
      </c>
      <c r="EX307" s="1244">
        <f>+EX264-EX305</f>
        <v>3390.56513381899</v>
      </c>
      <c r="EY307" s="482">
        <f>+EY264-EY305</f>
        <v>3559.0335171786219</v>
      </c>
      <c r="EZ307" s="482">
        <f>+FA307</f>
        <v>3722.342950683023</v>
      </c>
      <c r="FA307" s="1244">
        <f>+FA264-FA305</f>
        <v>3722.342950683023</v>
      </c>
      <c r="FB307" s="1571"/>
      <c r="FE307"/>
      <c r="FF307"/>
      <c r="FG307"/>
      <c r="FH307"/>
      <c r="FI307"/>
      <c r="FJ307"/>
      <c r="FK307" s="35"/>
    </row>
    <row r="308" spans="1:167" s="236" customFormat="1" ht="8.1" customHeight="1">
      <c r="B308" s="242"/>
      <c r="C308" s="242"/>
      <c r="D308" s="243"/>
      <c r="E308" s="482"/>
      <c r="F308" s="482"/>
      <c r="G308" s="482"/>
      <c r="H308" s="482"/>
      <c r="I308" s="482"/>
      <c r="J308" s="482"/>
      <c r="K308" s="482"/>
      <c r="L308" s="482"/>
      <c r="M308" s="482"/>
      <c r="N308" s="482"/>
      <c r="O308" s="482"/>
      <c r="P308" s="482"/>
      <c r="Q308" s="482"/>
      <c r="R308" s="482"/>
      <c r="S308" s="482"/>
      <c r="T308" s="482"/>
      <c r="U308" s="482"/>
      <c r="V308" s="482"/>
      <c r="W308" s="482"/>
      <c r="X308" s="482"/>
      <c r="Y308" s="482"/>
      <c r="Z308" s="482"/>
      <c r="AA308" s="482"/>
      <c r="AB308" s="482"/>
      <c r="AC308" s="482"/>
      <c r="AD308" s="482"/>
      <c r="AE308" s="482"/>
      <c r="AF308" s="482"/>
      <c r="AG308" s="482"/>
      <c r="AH308" s="482"/>
      <c r="AI308" s="482"/>
      <c r="AJ308" s="482"/>
      <c r="AK308" s="482"/>
      <c r="AL308" s="482"/>
      <c r="AM308" s="482"/>
      <c r="AN308" s="482"/>
      <c r="AO308" s="482"/>
      <c r="AP308" s="482"/>
      <c r="AQ308" s="482"/>
      <c r="AR308" s="482"/>
      <c r="AS308" s="482"/>
      <c r="AT308" s="482"/>
      <c r="AU308" s="482"/>
      <c r="AV308" s="482"/>
      <c r="AW308" s="482"/>
      <c r="AX308" s="482"/>
      <c r="AY308" s="482"/>
      <c r="AZ308" s="482"/>
      <c r="BA308" s="482"/>
      <c r="BB308" s="482"/>
      <c r="BC308" s="482"/>
      <c r="BD308" s="482"/>
      <c r="BE308" s="482"/>
      <c r="BF308" s="482"/>
      <c r="BG308" s="482"/>
      <c r="BH308" s="482"/>
      <c r="BI308" s="482"/>
      <c r="BJ308" s="482"/>
      <c r="BK308" s="482"/>
      <c r="BL308" s="482"/>
      <c r="BM308" s="482"/>
      <c r="BN308" s="482"/>
      <c r="BO308" s="482"/>
      <c r="BP308" s="482"/>
      <c r="BQ308" s="482"/>
      <c r="BR308" s="482"/>
      <c r="BS308" s="482"/>
      <c r="BT308" s="482"/>
      <c r="BU308" s="482"/>
      <c r="BV308" s="482"/>
      <c r="BW308" s="482"/>
      <c r="BX308" s="482"/>
      <c r="BY308" s="482"/>
      <c r="BZ308" s="482"/>
      <c r="CA308" s="482"/>
      <c r="CB308" s="482"/>
      <c r="CC308" s="482"/>
      <c r="CD308" s="482"/>
      <c r="CE308" s="482"/>
      <c r="CF308" s="562"/>
      <c r="CG308" s="482"/>
      <c r="CH308" s="482"/>
      <c r="CI308" s="562"/>
      <c r="CJ308" s="482"/>
      <c r="CK308" s="482"/>
      <c r="CL308" s="562"/>
      <c r="CM308" s="482"/>
      <c r="CN308" s="482"/>
      <c r="CO308" s="562"/>
      <c r="CP308" s="482"/>
      <c r="CQ308" s="482"/>
      <c r="CR308" s="562"/>
      <c r="CS308" s="482"/>
      <c r="CT308" s="482"/>
      <c r="CU308" s="562"/>
      <c r="CV308" s="482"/>
      <c r="CW308" s="482"/>
      <c r="CX308" s="562"/>
      <c r="CY308" s="482"/>
      <c r="CZ308" s="482"/>
      <c r="DA308" s="562"/>
      <c r="DB308" s="482"/>
      <c r="DC308" s="482"/>
      <c r="DD308" s="562"/>
      <c r="DE308" s="482"/>
      <c r="DF308" s="482"/>
      <c r="DG308" s="562"/>
      <c r="DH308" s="1244"/>
      <c r="DI308" s="482"/>
      <c r="DJ308" s="562"/>
      <c r="DK308" s="1244"/>
      <c r="DL308" s="482"/>
      <c r="DM308" s="562"/>
      <c r="DN308" s="1244"/>
      <c r="DO308" s="482"/>
      <c r="DP308" s="562"/>
      <c r="DQ308" s="1244"/>
      <c r="DR308" s="482"/>
      <c r="DS308" s="562"/>
      <c r="DT308" s="1244"/>
      <c r="DU308" s="482"/>
      <c r="DV308" s="562"/>
      <c r="DW308" s="1244"/>
      <c r="DX308" s="482"/>
      <c r="DY308" s="562"/>
      <c r="DZ308" s="1244"/>
      <c r="EA308" s="482"/>
      <c r="EB308" s="562"/>
      <c r="EC308" s="1244"/>
      <c r="ED308" s="482"/>
      <c r="EE308" s="562"/>
      <c r="EF308" s="1244"/>
      <c r="EG308" s="482"/>
      <c r="EH308" s="562"/>
      <c r="EI308" s="1244"/>
      <c r="EJ308" s="482"/>
      <c r="EK308" s="562"/>
      <c r="EL308" s="1244"/>
      <c r="EM308" s="482"/>
      <c r="EN308" s="562"/>
      <c r="EO308" s="1244"/>
      <c r="EP308" s="482"/>
      <c r="EQ308" s="562"/>
      <c r="ER308" s="1244"/>
      <c r="ES308" s="482"/>
      <c r="ET308" s="562"/>
      <c r="EU308" s="1244"/>
      <c r="EV308" s="482"/>
      <c r="EW308" s="562"/>
      <c r="EX308" s="1244"/>
      <c r="EY308" s="482"/>
      <c r="EZ308" s="562"/>
      <c r="FA308" s="1244"/>
      <c r="FB308" s="1571"/>
      <c r="FE308"/>
      <c r="FF308"/>
      <c r="FG308"/>
      <c r="FH308"/>
      <c r="FI308"/>
      <c r="FJ308"/>
      <c r="FK308" s="35"/>
    </row>
    <row r="309" spans="1:167" s="236" customFormat="1" ht="14.1" customHeight="1" thickBot="1">
      <c r="A309" s="242"/>
      <c r="B309" s="242" t="s">
        <v>387</v>
      </c>
      <c r="C309" s="242" t="s">
        <v>496</v>
      </c>
      <c r="D309" s="243"/>
      <c r="E309" s="482"/>
      <c r="F309" s="482"/>
      <c r="G309" s="482"/>
      <c r="H309" s="482"/>
      <c r="I309" s="482"/>
      <c r="J309" s="482"/>
      <c r="K309" s="482"/>
      <c r="L309" s="482"/>
      <c r="M309" s="482"/>
      <c r="N309" s="482"/>
      <c r="O309" s="482"/>
      <c r="P309" s="482"/>
      <c r="Q309" s="482"/>
      <c r="R309" s="482"/>
      <c r="S309" s="482"/>
      <c r="T309" s="482"/>
      <c r="U309" s="482"/>
      <c r="V309" s="482"/>
      <c r="W309" s="482"/>
      <c r="X309" s="482"/>
      <c r="Y309" s="482"/>
      <c r="Z309" s="482"/>
      <c r="AA309" s="482"/>
      <c r="AB309" s="482"/>
      <c r="AC309" s="482"/>
      <c r="AD309" s="482"/>
      <c r="AE309" s="482"/>
      <c r="AF309" s="482"/>
      <c r="AG309" s="482"/>
      <c r="AH309" s="482"/>
      <c r="AI309" s="482"/>
      <c r="AJ309" s="482"/>
      <c r="AK309" s="482"/>
      <c r="AL309" s="482"/>
      <c r="AM309" s="482"/>
      <c r="AN309" s="482"/>
      <c r="AO309" s="482"/>
      <c r="AP309" s="482"/>
      <c r="AQ309" s="482"/>
      <c r="AR309" s="482"/>
      <c r="AS309" s="482"/>
      <c r="AT309" s="482"/>
      <c r="AU309" s="482"/>
      <c r="AV309" s="482"/>
      <c r="AW309" s="482"/>
      <c r="AX309" s="482"/>
      <c r="AY309" s="482"/>
      <c r="AZ309" s="482"/>
      <c r="BA309" s="482"/>
      <c r="BB309" s="482"/>
      <c r="BC309" s="482"/>
      <c r="BD309" s="482"/>
      <c r="BE309" s="482"/>
      <c r="BF309" s="482"/>
      <c r="BG309" s="482"/>
      <c r="BH309" s="482"/>
      <c r="BI309" s="482"/>
      <c r="BJ309" s="482"/>
      <c r="BK309" s="482"/>
      <c r="BL309" s="482"/>
      <c r="BM309" s="482"/>
      <c r="BN309" s="482"/>
      <c r="BO309" s="482"/>
      <c r="BP309" s="482"/>
      <c r="BQ309" s="482"/>
      <c r="BR309" s="482"/>
      <c r="BS309" s="482"/>
      <c r="BT309" s="482"/>
      <c r="BU309" s="482"/>
      <c r="BV309" s="482"/>
      <c r="BW309" s="482"/>
      <c r="BX309" s="482"/>
      <c r="BY309" s="482"/>
      <c r="BZ309" s="482"/>
      <c r="CA309" s="482"/>
      <c r="CB309" s="482"/>
      <c r="CC309" s="482"/>
      <c r="CD309" s="562"/>
      <c r="CE309" s="562"/>
      <c r="CF309" s="562"/>
      <c r="CG309" s="562"/>
      <c r="CH309" s="562"/>
      <c r="CI309" s="562"/>
      <c r="CJ309" s="562"/>
      <c r="CK309" s="562"/>
      <c r="CL309" s="562"/>
      <c r="CM309" s="562"/>
      <c r="CN309" s="562"/>
      <c r="CO309" s="562"/>
      <c r="CP309" s="562"/>
      <c r="CQ309" s="562"/>
      <c r="CR309" s="562"/>
      <c r="CS309" s="562"/>
      <c r="CT309" s="562"/>
      <c r="CU309" s="562"/>
      <c r="CV309" s="562"/>
      <c r="CW309" s="562"/>
      <c r="CX309" s="562"/>
      <c r="CY309" s="562"/>
      <c r="CZ309" s="562"/>
      <c r="DA309" s="562"/>
      <c r="DB309" s="562"/>
      <c r="DC309" s="562"/>
      <c r="DD309" s="562"/>
      <c r="DE309" s="562"/>
      <c r="DF309" s="562"/>
      <c r="DG309" s="562"/>
      <c r="DH309" s="1274"/>
      <c r="DI309" s="562"/>
      <c r="DJ309" s="562"/>
      <c r="DK309" s="1274"/>
      <c r="DL309" s="562"/>
      <c r="DM309" s="562"/>
      <c r="DN309" s="1274"/>
      <c r="DO309" s="562"/>
      <c r="DP309" s="562"/>
      <c r="DQ309" s="1274"/>
      <c r="DR309" s="562"/>
      <c r="DS309" s="562"/>
      <c r="DT309" s="1274"/>
      <c r="DU309" s="562"/>
      <c r="DV309" s="562"/>
      <c r="DW309" s="1274"/>
      <c r="DX309" s="562"/>
      <c r="DY309" s="562"/>
      <c r="DZ309" s="1274"/>
      <c r="EA309" s="562"/>
      <c r="EB309" s="562"/>
      <c r="EC309" s="1274"/>
      <c r="ED309" s="562"/>
      <c r="EE309" s="562"/>
      <c r="EF309" s="1274"/>
      <c r="EG309" s="562"/>
      <c r="EH309" s="562"/>
      <c r="EI309" s="1274"/>
      <c r="EJ309" s="562"/>
      <c r="EK309" s="562"/>
      <c r="EL309" s="1274"/>
      <c r="EM309" s="562"/>
      <c r="EN309" s="562"/>
      <c r="EO309" s="1274"/>
      <c r="EP309" s="562"/>
      <c r="EQ309" s="562"/>
      <c r="ER309" s="1274"/>
      <c r="ES309" s="562"/>
      <c r="ET309" s="562"/>
      <c r="EU309" s="1274"/>
      <c r="EV309" s="562"/>
      <c r="EW309" s="562"/>
      <c r="EX309" s="1274"/>
      <c r="EY309" s="562"/>
      <c r="EZ309" s="562"/>
      <c r="FA309" s="1274"/>
      <c r="FB309" s="1571"/>
      <c r="FE309"/>
      <c r="FF309"/>
      <c r="FG309"/>
      <c r="FH309"/>
      <c r="FI309"/>
      <c r="FJ309"/>
      <c r="FK309" s="35"/>
    </row>
    <row r="310" spans="1:167" s="236" customFormat="1" ht="13.35" customHeight="1">
      <c r="B310" s="242" t="s">
        <v>388</v>
      </c>
      <c r="C310" s="242" t="s">
        <v>496</v>
      </c>
      <c r="D310" s="243"/>
      <c r="E310" s="511"/>
      <c r="F310" s="482">
        <f t="shared" ref="F310:F322" si="987">+G310</f>
        <v>0</v>
      </c>
      <c r="G310" s="512"/>
      <c r="H310" s="513"/>
      <c r="I310" s="482">
        <f t="shared" ref="I310:I322" si="988">+J310</f>
        <v>0</v>
      </c>
      <c r="J310" s="512"/>
      <c r="K310" s="513"/>
      <c r="L310" s="482">
        <f t="shared" ref="L310:L322" si="989">+M310</f>
        <v>0</v>
      </c>
      <c r="M310" s="512"/>
      <c r="N310" s="513"/>
      <c r="O310" s="482">
        <f t="shared" ref="O310:O322" si="990">+P310</f>
        <v>0</v>
      </c>
      <c r="P310" s="512"/>
      <c r="Q310" s="513"/>
      <c r="R310" s="482">
        <f t="shared" ref="R310:R322" si="991">+S310</f>
        <v>0</v>
      </c>
      <c r="S310" s="512"/>
      <c r="T310" s="513"/>
      <c r="U310" s="482">
        <f t="shared" ref="U310:U322" si="992">+V310</f>
        <v>0</v>
      </c>
      <c r="V310" s="512"/>
      <c r="W310" s="513"/>
      <c r="X310" s="482">
        <f t="shared" ref="X310:X322" si="993">+Y310</f>
        <v>0</v>
      </c>
      <c r="Y310" s="512"/>
      <c r="Z310" s="513"/>
      <c r="AA310" s="482">
        <f t="shared" ref="AA310:AA322" si="994">+AB310</f>
        <v>0</v>
      </c>
      <c r="AB310" s="512"/>
      <c r="AC310" s="513"/>
      <c r="AD310" s="482">
        <f t="shared" ref="AD310:AD322" si="995">+AE310</f>
        <v>0</v>
      </c>
      <c r="AE310" s="512"/>
      <c r="AF310" s="513"/>
      <c r="AG310" s="482">
        <f t="shared" ref="AG310:AG322" si="996">+AH310</f>
        <v>0</v>
      </c>
      <c r="AH310" s="512"/>
      <c r="AI310" s="514">
        <v>5</v>
      </c>
      <c r="AJ310" s="482">
        <f t="shared" ref="AJ310:AJ322" si="997">+AK310</f>
        <v>5</v>
      </c>
      <c r="AK310" s="515">
        <v>5</v>
      </c>
      <c r="AL310" s="514">
        <v>5</v>
      </c>
      <c r="AM310" s="482">
        <f t="shared" ref="AM310:AM322" si="998">+AN310</f>
        <v>5</v>
      </c>
      <c r="AN310" s="515">
        <v>5</v>
      </c>
      <c r="AO310" s="514">
        <v>5</v>
      </c>
      <c r="AP310" s="482">
        <f t="shared" ref="AP310:AP322" si="999">+AQ310</f>
        <v>5</v>
      </c>
      <c r="AQ310" s="515">
        <v>5</v>
      </c>
      <c r="AR310" s="514">
        <v>5</v>
      </c>
      <c r="AS310" s="482">
        <f t="shared" ref="AS310:AS322" si="1000">+AT310</f>
        <v>5</v>
      </c>
      <c r="AT310" s="515">
        <v>5</v>
      </c>
      <c r="AU310" s="514">
        <v>6.383</v>
      </c>
      <c r="AV310" s="482">
        <f t="shared" ref="AV310:AV322" si="1001">+AW310</f>
        <v>6.383</v>
      </c>
      <c r="AW310" s="515">
        <v>6.383</v>
      </c>
      <c r="AX310" s="514">
        <v>7.93</v>
      </c>
      <c r="AY310" s="482">
        <f t="shared" ref="AY310:AY322" si="1002">+AZ310</f>
        <v>7.9640000000000004</v>
      </c>
      <c r="AZ310" s="515">
        <v>7.9640000000000004</v>
      </c>
      <c r="BA310" s="514">
        <v>10.882999999999999</v>
      </c>
      <c r="BB310" s="482">
        <f t="shared" ref="BB310:BB322" si="1003">+BC310</f>
        <v>10.882999999999999</v>
      </c>
      <c r="BC310" s="515">
        <v>10.882999999999999</v>
      </c>
      <c r="BD310" s="514">
        <v>14.959</v>
      </c>
      <c r="BE310" s="482">
        <f t="shared" ref="BE310:BE322" si="1004">+BF310</f>
        <v>14.959</v>
      </c>
      <c r="BF310" s="515">
        <v>14.959</v>
      </c>
      <c r="BG310" s="514">
        <v>23.088999999999999</v>
      </c>
      <c r="BH310" s="482">
        <f t="shared" ref="BH310:BH323" si="1005">+BI310</f>
        <v>23.088999999999999</v>
      </c>
      <c r="BI310" s="515">
        <v>23.088999999999999</v>
      </c>
      <c r="BJ310" s="514">
        <v>50.746000000000002</v>
      </c>
      <c r="BK310" s="482">
        <f t="shared" ref="BK310:BK322" si="1006">+BL310</f>
        <v>50.746000000000002</v>
      </c>
      <c r="BL310" s="515">
        <v>50.746000000000002</v>
      </c>
      <c r="BM310" s="514">
        <v>50.746000000000002</v>
      </c>
      <c r="BN310" s="482">
        <f t="shared" ref="BN310:BN322" si="1007">+BO310</f>
        <v>49.375</v>
      </c>
      <c r="BO310" s="515">
        <v>49.375</v>
      </c>
      <c r="BP310" s="514">
        <v>66.662999999999997</v>
      </c>
      <c r="BQ310" s="482">
        <f t="shared" ref="BQ310:BQ322" si="1008">+BR310</f>
        <v>66.662999999999997</v>
      </c>
      <c r="BR310" s="548">
        <v>66.662999999999997</v>
      </c>
      <c r="BS310" s="514">
        <v>69.998000000000005</v>
      </c>
      <c r="BT310" s="482">
        <f t="shared" ref="BT310:BT322" si="1009">+BU310</f>
        <v>69.998000000000005</v>
      </c>
      <c r="BU310" s="548">
        <v>69.998000000000005</v>
      </c>
      <c r="BV310" s="514">
        <v>82.971000000000004</v>
      </c>
      <c r="BW310" s="482">
        <f t="shared" ref="BW310:BW322" si="1010">+BX310</f>
        <v>82.971999999999994</v>
      </c>
      <c r="BX310" s="548">
        <v>82.971999999999994</v>
      </c>
      <c r="BY310" s="514">
        <v>96.114000000000004</v>
      </c>
      <c r="BZ310" s="482">
        <f t="shared" ref="BZ310:BZ322" si="1011">+CA310</f>
        <v>97.435000000000002</v>
      </c>
      <c r="CA310" s="548">
        <v>97.435000000000002</v>
      </c>
      <c r="CB310" s="514">
        <v>109.952</v>
      </c>
      <c r="CC310" s="482">
        <f t="shared" ref="CC310:CC322" si="1012">+CD310</f>
        <v>117.01600000000001</v>
      </c>
      <c r="CD310" s="548">
        <v>117.01600000000001</v>
      </c>
      <c r="CE310" s="514">
        <v>117.673</v>
      </c>
      <c r="CF310" s="482">
        <f t="shared" ref="CF310:CF322" si="1013">+CG310</f>
        <v>119.73699999999999</v>
      </c>
      <c r="CG310" s="548">
        <v>119.73699999999999</v>
      </c>
      <c r="CH310" s="514">
        <v>121.271</v>
      </c>
      <c r="CI310" s="482">
        <f t="shared" ref="CI310:CI322" si="1014">+CJ310</f>
        <v>121.136</v>
      </c>
      <c r="CJ310" s="548">
        <v>121.136</v>
      </c>
      <c r="CK310" s="514">
        <v>118.446</v>
      </c>
      <c r="CL310" s="482">
        <f t="shared" ref="CL310:CL322" si="1015">+CM310</f>
        <v>118.788</v>
      </c>
      <c r="CM310" s="548">
        <v>118.788</v>
      </c>
      <c r="CN310" s="514">
        <v>118.788</v>
      </c>
      <c r="CO310" s="482">
        <f t="shared" ref="CO310:CO322" si="1016">+CP310</f>
        <v>144.136</v>
      </c>
      <c r="CP310" s="548">
        <v>144.136</v>
      </c>
      <c r="CQ310" s="514">
        <v>144.136</v>
      </c>
      <c r="CR310" s="482">
        <f t="shared" ref="CR310:CR322" si="1017">+CS310</f>
        <v>144.136</v>
      </c>
      <c r="CS310" s="548">
        <v>144.136</v>
      </c>
      <c r="CT310" s="514">
        <v>157.18</v>
      </c>
      <c r="CU310" s="482">
        <f t="shared" ref="CU310:CU322" si="1018">+CV310</f>
        <v>158.94</v>
      </c>
      <c r="CV310" s="548">
        <v>158.94</v>
      </c>
      <c r="CW310" s="514">
        <v>169.333</v>
      </c>
      <c r="CX310" s="482">
        <f t="shared" ref="CX310:CX322" si="1019">+CY310</f>
        <v>169.36699999999999</v>
      </c>
      <c r="CY310" s="548">
        <v>169.36699999999999</v>
      </c>
      <c r="CZ310" s="513">
        <v>172.9</v>
      </c>
      <c r="DA310" s="482">
        <f t="shared" ref="DA310:DA322" si="1020">+DB310</f>
        <v>173</v>
      </c>
      <c r="DB310" s="511">
        <v>173</v>
      </c>
      <c r="DC310" s="513">
        <v>182.2</v>
      </c>
      <c r="DD310" s="482">
        <f t="shared" ref="DD310:DD322" si="1021">+DE310</f>
        <v>182.3</v>
      </c>
      <c r="DE310" s="511">
        <v>182.3</v>
      </c>
      <c r="DF310" s="513">
        <v>189.7</v>
      </c>
      <c r="DG310" s="482">
        <f t="shared" ref="DG310:DG322" si="1022">+DH310</f>
        <v>1272.4000000000001</v>
      </c>
      <c r="DH310" s="1371">
        <v>1272.4000000000001</v>
      </c>
      <c r="DI310" s="1373">
        <v>1276.2</v>
      </c>
      <c r="DJ310" s="482">
        <f t="shared" ref="DJ310:DJ322" si="1023">+DK310</f>
        <v>1276.5999999999999</v>
      </c>
      <c r="DK310" s="1374">
        <v>1276.5999999999999</v>
      </c>
      <c r="DL310" s="1373">
        <v>1276.5999999999999</v>
      </c>
      <c r="DM310" s="482">
        <f t="shared" ref="DM310:DM322" si="1024">+DN310</f>
        <v>1276.5999999999999</v>
      </c>
      <c r="DN310" s="1374">
        <v>1276.5999999999999</v>
      </c>
      <c r="DO310" s="1373">
        <v>1276.7</v>
      </c>
      <c r="DP310" s="482">
        <f t="shared" ref="DP310:DP322" si="1025">+DQ310</f>
        <v>1250.3</v>
      </c>
      <c r="DQ310" s="1374">
        <v>1250.3</v>
      </c>
      <c r="DR310" s="1373">
        <v>1204.2</v>
      </c>
      <c r="DS310" s="482">
        <f t="shared" ref="DS310:DS322" si="1026">+DT310</f>
        <v>1204.2</v>
      </c>
      <c r="DT310" s="1374">
        <v>1204.2</v>
      </c>
      <c r="DU310" s="482">
        <v>1185</v>
      </c>
      <c r="DV310" s="482">
        <f t="shared" ref="DV310:DV322" si="1027">+DW310</f>
        <v>1176</v>
      </c>
      <c r="DW310" s="1374">
        <v>1176</v>
      </c>
      <c r="DX310" s="1373">
        <v>1175.9000000000001</v>
      </c>
      <c r="DY310" s="482">
        <f t="shared" ref="DY310:DY322" si="1028">+DZ310</f>
        <v>1138.4000000000001</v>
      </c>
      <c r="DZ310" s="1244">
        <f>IF(DZ5="A","",+DX310+DY207+DY361+DY572)</f>
        <v>1138.4000000000001</v>
      </c>
      <c r="EA310" s="482">
        <f>IF(EA5="A","",+DZ310+EA207+EA361+EA572)</f>
        <v>1088.4000000000001</v>
      </c>
      <c r="EB310" s="482">
        <f t="shared" ref="EB310:EB322" si="1029">+EC310</f>
        <v>1038.4000000000001</v>
      </c>
      <c r="EC310" s="1244">
        <f>IF(EC5="A","",+DZ310+EC207+EC361+EC572)</f>
        <v>1038.4000000000001</v>
      </c>
      <c r="ED310" s="482">
        <f>IF(ED5="A","",+EC310+ED207+ED361+ED572)</f>
        <v>988.40000000000009</v>
      </c>
      <c r="EE310" s="482">
        <f t="shared" ref="EE310:EE322" si="1030">+EF310</f>
        <v>938.40000000000009</v>
      </c>
      <c r="EF310" s="1244">
        <f>IF(EF5="A","",+EC310+EF207+EF361+EF572)</f>
        <v>938.40000000000009</v>
      </c>
      <c r="EG310" s="482">
        <f>IF(EG5="A","",+EF310+EG207+EG361+EG572)</f>
        <v>888.40000000000009</v>
      </c>
      <c r="EH310" s="482">
        <f t="shared" ref="EH310:EH322" si="1031">+EI310</f>
        <v>838.40000000000009</v>
      </c>
      <c r="EI310" s="1244">
        <f>IF(EI5="A","",+EF310+EI207+EI361+EI572)</f>
        <v>838.40000000000009</v>
      </c>
      <c r="EJ310" s="482">
        <f>IF(EJ5="A","",+EI310+EJ207+EJ361+EJ572)</f>
        <v>838.40000000000009</v>
      </c>
      <c r="EK310" s="482">
        <f t="shared" ref="EK310:EK322" si="1032">+EL310</f>
        <v>838.40000000000009</v>
      </c>
      <c r="EL310" s="1244">
        <f>IF(EL5="A","",+EI310+EL207+EL361+EL572)</f>
        <v>838.40000000000009</v>
      </c>
      <c r="EM310" s="482">
        <f>IF(EM5="A","",+EL310+EM207+EM361+EM572)</f>
        <v>838.40000000000009</v>
      </c>
      <c r="EN310" s="482">
        <f t="shared" ref="EN310:EN322" si="1033">+EO310</f>
        <v>838.40000000000009</v>
      </c>
      <c r="EO310" s="1244">
        <f>IF(EO5="A","",+EL310+EO207+EO361+EO572)</f>
        <v>838.40000000000009</v>
      </c>
      <c r="EP310" s="482">
        <f>IF(EP5="A","",+EO310+EP207+EP361+EP572)</f>
        <v>838.40000000000009</v>
      </c>
      <c r="EQ310" s="482">
        <f t="shared" ref="EQ310:EQ322" si="1034">+ER310</f>
        <v>838.40000000000009</v>
      </c>
      <c r="ER310" s="1244">
        <f>IF(ER5="A","",+EO310+ER207+ER361+ER572)</f>
        <v>838.40000000000009</v>
      </c>
      <c r="ES310" s="482">
        <f>IF(ES5="A","",+ER310+ES207+ES361+ES572)</f>
        <v>838.40000000000009</v>
      </c>
      <c r="ET310" s="482">
        <f t="shared" ref="ET310:ET322" si="1035">+EU310</f>
        <v>838.40000000000009</v>
      </c>
      <c r="EU310" s="1244">
        <f>IF(EU5="A","",+ER310+EU207+EU361+EU572)</f>
        <v>838.40000000000009</v>
      </c>
      <c r="EV310" s="482">
        <f>IF(EV5="A","",+EU310+EV207+EV361+EV572)</f>
        <v>838.40000000000009</v>
      </c>
      <c r="EW310" s="482">
        <f t="shared" ref="EW310:EW322" si="1036">+EX310</f>
        <v>838.40000000000009</v>
      </c>
      <c r="EX310" s="1244">
        <f>IF(EX5="A","",+EU310+EX207+EX361+EX572)</f>
        <v>838.40000000000009</v>
      </c>
      <c r="EY310" s="482">
        <f>IF(EY5="A","",+EX310+EY207+EY361+EY572)</f>
        <v>838.40000000000009</v>
      </c>
      <c r="EZ310" s="482">
        <f t="shared" ref="EZ310:EZ322" si="1037">+FA310</f>
        <v>838.40000000000009</v>
      </c>
      <c r="FA310" s="1244">
        <f>IF(FA5="A","",+EX310+FA207+FA361+FA572)</f>
        <v>838.40000000000009</v>
      </c>
      <c r="FB310" s="1571">
        <f>+DV310-DU310</f>
        <v>-9</v>
      </c>
      <c r="FE310"/>
      <c r="FF310"/>
      <c r="FG310"/>
      <c r="FH310"/>
      <c r="FI310"/>
      <c r="FJ310"/>
      <c r="FK310" s="35"/>
    </row>
    <row r="311" spans="1:167" s="236" customFormat="1" ht="13.35" customHeight="1" thickBot="1">
      <c r="B311" s="242" t="s">
        <v>262</v>
      </c>
      <c r="C311" s="242" t="s">
        <v>496</v>
      </c>
      <c r="D311" s="243"/>
      <c r="E311" s="528"/>
      <c r="F311" s="482">
        <f t="shared" si="987"/>
        <v>0</v>
      </c>
      <c r="G311" s="529"/>
      <c r="H311" s="530"/>
      <c r="I311" s="482">
        <f t="shared" si="988"/>
        <v>0</v>
      </c>
      <c r="J311" s="529"/>
      <c r="K311" s="530"/>
      <c r="L311" s="482">
        <f t="shared" si="989"/>
        <v>0</v>
      </c>
      <c r="M311" s="529"/>
      <c r="N311" s="530"/>
      <c r="O311" s="482">
        <f t="shared" si="990"/>
        <v>0</v>
      </c>
      <c r="P311" s="529"/>
      <c r="Q311" s="530"/>
      <c r="R311" s="482">
        <f t="shared" si="991"/>
        <v>0</v>
      </c>
      <c r="S311" s="529"/>
      <c r="T311" s="530"/>
      <c r="U311" s="482">
        <f t="shared" si="992"/>
        <v>0</v>
      </c>
      <c r="V311" s="529"/>
      <c r="W311" s="530"/>
      <c r="X311" s="482">
        <f t="shared" si="993"/>
        <v>0</v>
      </c>
      <c r="Y311" s="529"/>
      <c r="Z311" s="530"/>
      <c r="AA311" s="482">
        <f t="shared" si="994"/>
        <v>0</v>
      </c>
      <c r="AB311" s="529"/>
      <c r="AC311" s="530"/>
      <c r="AD311" s="482">
        <f t="shared" si="995"/>
        <v>0</v>
      </c>
      <c r="AE311" s="529"/>
      <c r="AF311" s="530"/>
      <c r="AG311" s="482">
        <f t="shared" si="996"/>
        <v>0</v>
      </c>
      <c r="AH311" s="529"/>
      <c r="AI311" s="530"/>
      <c r="AJ311" s="482">
        <f t="shared" si="997"/>
        <v>0</v>
      </c>
      <c r="AK311" s="529"/>
      <c r="AL311" s="530"/>
      <c r="AM311" s="482">
        <f t="shared" si="998"/>
        <v>0</v>
      </c>
      <c r="AN311" s="529"/>
      <c r="AO311" s="530"/>
      <c r="AP311" s="482">
        <f t="shared" si="999"/>
        <v>0</v>
      </c>
      <c r="AQ311" s="529"/>
      <c r="AR311" s="530"/>
      <c r="AS311" s="482">
        <f t="shared" si="1000"/>
        <v>0</v>
      </c>
      <c r="AT311" s="529"/>
      <c r="AU311" s="530"/>
      <c r="AV311" s="482">
        <f t="shared" si="1001"/>
        <v>0</v>
      </c>
      <c r="AW311" s="529"/>
      <c r="AX311" s="530"/>
      <c r="AY311" s="482">
        <f t="shared" si="1002"/>
        <v>0</v>
      </c>
      <c r="AZ311" s="529"/>
      <c r="BA311" s="530"/>
      <c r="BB311" s="482">
        <f t="shared" si="1003"/>
        <v>0</v>
      </c>
      <c r="BC311" s="529"/>
      <c r="BD311" s="530"/>
      <c r="BE311" s="482">
        <f t="shared" si="1004"/>
        <v>0</v>
      </c>
      <c r="BF311" s="529"/>
      <c r="BG311" s="530"/>
      <c r="BH311" s="482">
        <f t="shared" si="1005"/>
        <v>0</v>
      </c>
      <c r="BI311" s="529"/>
      <c r="BJ311" s="530"/>
      <c r="BK311" s="482">
        <f t="shared" si="1006"/>
        <v>0</v>
      </c>
      <c r="BL311" s="529"/>
      <c r="BM311" s="530"/>
      <c r="BN311" s="482">
        <f t="shared" si="1007"/>
        <v>0</v>
      </c>
      <c r="BO311" s="529"/>
      <c r="BP311" s="530"/>
      <c r="BQ311" s="482">
        <f t="shared" si="1008"/>
        <v>0</v>
      </c>
      <c r="BR311" s="528"/>
      <c r="BS311" s="530"/>
      <c r="BT311" s="482">
        <f t="shared" si="1009"/>
        <v>0</v>
      </c>
      <c r="BU311" s="528"/>
      <c r="BV311" s="530"/>
      <c r="BW311" s="482">
        <f t="shared" si="1010"/>
        <v>0</v>
      </c>
      <c r="BX311" s="528"/>
      <c r="BY311" s="530"/>
      <c r="BZ311" s="482">
        <f t="shared" si="1011"/>
        <v>0</v>
      </c>
      <c r="CA311" s="528"/>
      <c r="CB311" s="530"/>
      <c r="CC311" s="482">
        <f t="shared" si="1012"/>
        <v>0</v>
      </c>
      <c r="CD311" s="528"/>
      <c r="CE311" s="530"/>
      <c r="CF311" s="482">
        <f t="shared" si="1013"/>
        <v>0</v>
      </c>
      <c r="CG311" s="528"/>
      <c r="CH311" s="530"/>
      <c r="CI311" s="482">
        <f t="shared" si="1014"/>
        <v>0</v>
      </c>
      <c r="CJ311" s="528"/>
      <c r="CK311" s="530"/>
      <c r="CL311" s="482">
        <f t="shared" si="1015"/>
        <v>0</v>
      </c>
      <c r="CM311" s="528"/>
      <c r="CN311" s="530"/>
      <c r="CO311" s="482">
        <f t="shared" si="1016"/>
        <v>0</v>
      </c>
      <c r="CP311" s="528"/>
      <c r="CQ311" s="530"/>
      <c r="CR311" s="482">
        <f t="shared" si="1017"/>
        <v>0</v>
      </c>
      <c r="CS311" s="528"/>
      <c r="CT311" s="530"/>
      <c r="CU311" s="482">
        <f t="shared" si="1018"/>
        <v>0</v>
      </c>
      <c r="CV311" s="528"/>
      <c r="CW311" s="530"/>
      <c r="CX311" s="482">
        <f t="shared" si="1019"/>
        <v>0</v>
      </c>
      <c r="CY311" s="528"/>
      <c r="CZ311" s="530"/>
      <c r="DA311" s="482">
        <f t="shared" si="1020"/>
        <v>0</v>
      </c>
      <c r="DB311" s="528"/>
      <c r="DC311" s="530"/>
      <c r="DD311" s="482">
        <f t="shared" si="1021"/>
        <v>0</v>
      </c>
      <c r="DE311" s="528"/>
      <c r="DF311" s="530"/>
      <c r="DG311" s="482">
        <f t="shared" si="1022"/>
        <v>0</v>
      </c>
      <c r="DH311" s="1260"/>
      <c r="DI311" s="482"/>
      <c r="DJ311" s="482">
        <f t="shared" si="1023"/>
        <v>0</v>
      </c>
      <c r="DK311" s="1244"/>
      <c r="DL311" s="482"/>
      <c r="DM311" s="482">
        <f t="shared" si="1024"/>
        <v>0</v>
      </c>
      <c r="DN311" s="1244"/>
      <c r="DO311" s="482"/>
      <c r="DP311" s="482">
        <f t="shared" si="1025"/>
        <v>0</v>
      </c>
      <c r="DQ311" s="1244"/>
      <c r="DR311" s="482"/>
      <c r="DS311" s="482">
        <f t="shared" si="1026"/>
        <v>0</v>
      </c>
      <c r="DT311" s="1244"/>
      <c r="DU311" s="482"/>
      <c r="DV311" s="482">
        <f t="shared" si="1027"/>
        <v>0</v>
      </c>
      <c r="DW311" s="1244"/>
      <c r="DX311" s="482"/>
      <c r="DY311" s="482">
        <f t="shared" si="1028"/>
        <v>0</v>
      </c>
      <c r="DZ311" s="1244"/>
      <c r="EA311" s="482"/>
      <c r="EB311" s="482">
        <f t="shared" si="1029"/>
        <v>0</v>
      </c>
      <c r="EC311" s="1244"/>
      <c r="ED311" s="482"/>
      <c r="EE311" s="482">
        <f t="shared" si="1030"/>
        <v>0</v>
      </c>
      <c r="EF311" s="1244"/>
      <c r="EG311" s="482"/>
      <c r="EH311" s="482">
        <f t="shared" si="1031"/>
        <v>0</v>
      </c>
      <c r="EI311" s="1244"/>
      <c r="EJ311" s="482"/>
      <c r="EK311" s="482">
        <f t="shared" si="1032"/>
        <v>0</v>
      </c>
      <c r="EL311" s="1244"/>
      <c r="EM311" s="482"/>
      <c r="EN311" s="482">
        <f t="shared" si="1033"/>
        <v>0</v>
      </c>
      <c r="EO311" s="1244"/>
      <c r="EP311" s="482"/>
      <c r="EQ311" s="482">
        <f t="shared" si="1034"/>
        <v>0</v>
      </c>
      <c r="ER311" s="1244"/>
      <c r="ES311" s="482"/>
      <c r="ET311" s="482">
        <f t="shared" si="1035"/>
        <v>0</v>
      </c>
      <c r="EU311" s="1244"/>
      <c r="EV311" s="482"/>
      <c r="EW311" s="482">
        <f t="shared" si="1036"/>
        <v>0</v>
      </c>
      <c r="EX311" s="1244"/>
      <c r="EY311" s="482"/>
      <c r="EZ311" s="482">
        <f t="shared" si="1037"/>
        <v>0</v>
      </c>
      <c r="FA311" s="1244"/>
      <c r="FB311" s="1571"/>
      <c r="FE311"/>
      <c r="FF311"/>
      <c r="FG311"/>
      <c r="FH311"/>
      <c r="FI311"/>
      <c r="FJ311"/>
      <c r="FK311" s="35"/>
    </row>
    <row r="312" spans="1:167" s="236" customFormat="1" ht="13.35" customHeight="1" thickBot="1">
      <c r="B312" s="485" t="s">
        <v>263</v>
      </c>
      <c r="C312" s="242" t="s">
        <v>496</v>
      </c>
      <c r="D312" s="243"/>
      <c r="E312" s="482">
        <f>+SUM(E313:E318)</f>
        <v>0</v>
      </c>
      <c r="F312" s="482">
        <f t="shared" si="987"/>
        <v>0</v>
      </c>
      <c r="G312" s="482">
        <f>+SUM(G313:G318)</f>
        <v>0</v>
      </c>
      <c r="H312" s="482">
        <f>+SUM(H313:H318)</f>
        <v>0</v>
      </c>
      <c r="I312" s="482">
        <f t="shared" si="988"/>
        <v>0</v>
      </c>
      <c r="J312" s="482">
        <f>+SUM(J313:J318)</f>
        <v>0</v>
      </c>
      <c r="K312" s="482">
        <f>+SUM(K313:K318)</f>
        <v>0</v>
      </c>
      <c r="L312" s="482">
        <f t="shared" si="989"/>
        <v>0</v>
      </c>
      <c r="M312" s="482">
        <f>+SUM(M313:M318)</f>
        <v>0</v>
      </c>
      <c r="N312" s="482">
        <f>+SUM(N313:N318)</f>
        <v>0</v>
      </c>
      <c r="O312" s="482">
        <f t="shared" si="990"/>
        <v>0</v>
      </c>
      <c r="P312" s="482">
        <f>+SUM(P313:P318)</f>
        <v>0</v>
      </c>
      <c r="Q312" s="482">
        <f>+SUM(Q313:Q318)</f>
        <v>0</v>
      </c>
      <c r="R312" s="482">
        <f t="shared" si="991"/>
        <v>0</v>
      </c>
      <c r="S312" s="482">
        <f>+SUM(S313:S318)</f>
        <v>0</v>
      </c>
      <c r="T312" s="482">
        <f>+SUM(T313:T318)</f>
        <v>0</v>
      </c>
      <c r="U312" s="482">
        <f t="shared" si="992"/>
        <v>0</v>
      </c>
      <c r="V312" s="482">
        <f>+SUM(V313:V318)</f>
        <v>0</v>
      </c>
      <c r="W312" s="482">
        <f>+SUM(W313:W318)</f>
        <v>0</v>
      </c>
      <c r="X312" s="482">
        <f t="shared" si="993"/>
        <v>0</v>
      </c>
      <c r="Y312" s="482">
        <f>+SUM(Y313:Y318)</f>
        <v>0</v>
      </c>
      <c r="Z312" s="482">
        <f>+SUM(Z313:Z318)</f>
        <v>0</v>
      </c>
      <c r="AA312" s="482">
        <f t="shared" si="994"/>
        <v>0</v>
      </c>
      <c r="AB312" s="482">
        <f>+SUM(AB313:AB318)</f>
        <v>0</v>
      </c>
      <c r="AC312" s="482">
        <f>+SUM(AC313:AC318)</f>
        <v>0</v>
      </c>
      <c r="AD312" s="482">
        <f t="shared" si="995"/>
        <v>0</v>
      </c>
      <c r="AE312" s="482">
        <f>+SUM(AE313:AE318)</f>
        <v>0</v>
      </c>
      <c r="AF312" s="482">
        <f>+SUM(AF313:AF318)</f>
        <v>0</v>
      </c>
      <c r="AG312" s="482">
        <f t="shared" si="996"/>
        <v>0</v>
      </c>
      <c r="AH312" s="482">
        <f>+SUM(AH313:AH318)</f>
        <v>0</v>
      </c>
      <c r="AI312" s="482">
        <f>+SUM(AI313:AI318)</f>
        <v>6.5</v>
      </c>
      <c r="AJ312" s="482">
        <f t="shared" si="997"/>
        <v>2.15</v>
      </c>
      <c r="AK312" s="482">
        <f>+SUM(AK313:AK318)</f>
        <v>2.15</v>
      </c>
      <c r="AL312" s="482">
        <f>+SUM(AL313:AL318)</f>
        <v>2.15</v>
      </c>
      <c r="AM312" s="482">
        <f t="shared" si="998"/>
        <v>-0.75700000000000001</v>
      </c>
      <c r="AN312" s="482">
        <f>+SUM(AN313:AN318)</f>
        <v>-0.75700000000000001</v>
      </c>
      <c r="AO312" s="482">
        <f>+SUM(AO313:AO318)</f>
        <v>-1.161</v>
      </c>
      <c r="AP312" s="482">
        <f t="shared" si="999"/>
        <v>-0.499</v>
      </c>
      <c r="AQ312" s="482">
        <f>+SUM(AQ313:AQ318)</f>
        <v>-0.499</v>
      </c>
      <c r="AR312" s="482">
        <f>+SUM(AR313:AR318)</f>
        <v>1.389</v>
      </c>
      <c r="AS312" s="482">
        <f t="shared" si="1000"/>
        <v>2.754</v>
      </c>
      <c r="AT312" s="482">
        <f>+SUM(AT313:AT318)</f>
        <v>2.754</v>
      </c>
      <c r="AU312" s="482">
        <f>+SUM(AU313:AU318)</f>
        <v>3.69</v>
      </c>
      <c r="AV312" s="482">
        <f t="shared" si="1001"/>
        <v>1.149</v>
      </c>
      <c r="AW312" s="482">
        <f>+SUM(AW313:AW318)</f>
        <v>1.149</v>
      </c>
      <c r="AX312" s="482">
        <f>+SUM(AX313:AX318)</f>
        <v>2.04</v>
      </c>
      <c r="AY312" s="482">
        <f t="shared" si="1002"/>
        <v>3.5270000000000001</v>
      </c>
      <c r="AZ312" s="482">
        <f>+SUM(AZ313:AZ318)</f>
        <v>3.5270000000000001</v>
      </c>
      <c r="BA312" s="482">
        <f>+SUM(BA313:BA318)</f>
        <v>5.7069999999999999</v>
      </c>
      <c r="BB312" s="482">
        <f t="shared" si="1003"/>
        <v>3.423</v>
      </c>
      <c r="BC312" s="482">
        <f>+SUM(BC313:BC318)</f>
        <v>3.423</v>
      </c>
      <c r="BD312" s="482">
        <f>+SUM(BD313:BD318)</f>
        <v>7.7160000000000002</v>
      </c>
      <c r="BE312" s="482">
        <f t="shared" si="1004"/>
        <v>5.9329999999999998</v>
      </c>
      <c r="BF312" s="482">
        <f>+SUM(BF313:BF318)</f>
        <v>5.9329999999999998</v>
      </c>
      <c r="BG312" s="482">
        <f>+SUM(BG313:BG318)</f>
        <v>5.3</v>
      </c>
      <c r="BH312" s="482">
        <f t="shared" si="1005"/>
        <v>1.1879999999999999</v>
      </c>
      <c r="BI312" s="482">
        <f>+SUM(BI313:BI318)</f>
        <v>1.1879999999999999</v>
      </c>
      <c r="BJ312" s="482">
        <f>+SUM(BJ313:BJ318)</f>
        <v>-1.264</v>
      </c>
      <c r="BK312" s="482">
        <f t="shared" si="1006"/>
        <v>-0.99600000000000011</v>
      </c>
      <c r="BL312" s="482">
        <f>+SUM(BL313:BL318)</f>
        <v>-0.99600000000000011</v>
      </c>
      <c r="BM312" s="482">
        <f>+SUM(BM313:BM318)</f>
        <v>-1.3939999999999999</v>
      </c>
      <c r="BN312" s="482">
        <f t="shared" si="1007"/>
        <v>-3.9169999999999998</v>
      </c>
      <c r="BO312" s="482">
        <f>+SUM(BO313:BO318)</f>
        <v>-3.9169999999999998</v>
      </c>
      <c r="BP312" s="482">
        <f>+SUM(BP313:BP318)</f>
        <v>8.7530000000000001</v>
      </c>
      <c r="BQ312" s="482">
        <f t="shared" si="1008"/>
        <v>3.01</v>
      </c>
      <c r="BR312" s="482">
        <f>+SUM(BR313:BR318)</f>
        <v>3.01</v>
      </c>
      <c r="BS312" s="482">
        <f>+SUM(BS313:BS318)</f>
        <v>9.4220000000000006</v>
      </c>
      <c r="BT312" s="482">
        <f t="shared" si="1009"/>
        <v>9.5839999999999996</v>
      </c>
      <c r="BU312" s="482">
        <f>+SUM(BU313:BU318)</f>
        <v>9.5839999999999996</v>
      </c>
      <c r="BV312" s="482">
        <f>+SUM(BV313:BV318)</f>
        <v>2.419</v>
      </c>
      <c r="BW312" s="482">
        <f t="shared" si="1010"/>
        <v>13.035</v>
      </c>
      <c r="BX312" s="482">
        <f>+SUM(BX313:BX318)</f>
        <v>13.035</v>
      </c>
      <c r="BY312" s="482">
        <f>+SUM(BY313:BY318)</f>
        <v>-66.322000000000003</v>
      </c>
      <c r="BZ312" s="482">
        <f t="shared" si="1011"/>
        <v>15.839</v>
      </c>
      <c r="CA312" s="482">
        <f>+SUM(CA313:CA318)</f>
        <v>15.839</v>
      </c>
      <c r="CB312" s="482">
        <f>+SUM(CB313:CB318)</f>
        <v>2.0009999999999999</v>
      </c>
      <c r="CC312" s="482">
        <f t="shared" si="1012"/>
        <v>22.268999999999998</v>
      </c>
      <c r="CD312" s="482">
        <f>+SUM(CD313:CD318)</f>
        <v>22.268999999999998</v>
      </c>
      <c r="CE312" s="482">
        <f>+SUM(CE313:CE318)</f>
        <v>42.884999999999998</v>
      </c>
      <c r="CF312" s="482">
        <f t="shared" si="1013"/>
        <v>23.356999999999999</v>
      </c>
      <c r="CG312" s="482">
        <f>+SUM(CG313:CG318)</f>
        <v>23.356999999999999</v>
      </c>
      <c r="CH312" s="482">
        <f>+SUM(CH313:CH318)</f>
        <v>2.3479999999999999</v>
      </c>
      <c r="CI312" s="482">
        <f t="shared" si="1014"/>
        <v>-16.762</v>
      </c>
      <c r="CJ312" s="482">
        <f>+SUM(CJ313:CJ318)</f>
        <v>-16.762</v>
      </c>
      <c r="CK312" s="482">
        <f>+SUM(CK313:CK318)</f>
        <v>-14.311</v>
      </c>
      <c r="CL312" s="482">
        <f t="shared" si="1015"/>
        <v>-32.433</v>
      </c>
      <c r="CM312" s="482">
        <f>+SUM(CM313:CM318)</f>
        <v>-32.433</v>
      </c>
      <c r="CN312" s="482">
        <f>+SUM(CN313:CN318)</f>
        <v>-13.090999999999999</v>
      </c>
      <c r="CO312" s="482">
        <f t="shared" si="1016"/>
        <v>-32.191000000000003</v>
      </c>
      <c r="CP312" s="482">
        <f>+SUM(CP313:CP318)</f>
        <v>-32.191000000000003</v>
      </c>
      <c r="CQ312" s="482">
        <f>+SUM(CQ313:CQ318)</f>
        <v>-38.856000000000002</v>
      </c>
      <c r="CR312" s="482">
        <f t="shared" si="1017"/>
        <v>-26.201000000000001</v>
      </c>
      <c r="CS312" s="482">
        <f>+SUM(CS313:CS318)</f>
        <v>-26.201000000000001</v>
      </c>
      <c r="CT312" s="482">
        <f>+SUM(CT313:CT318)</f>
        <v>-16.151</v>
      </c>
      <c r="CU312" s="482">
        <f t="shared" si="1018"/>
        <v>-14.662000000000001</v>
      </c>
      <c r="CV312" s="482">
        <f>+SUM(CV313:CV318)</f>
        <v>-14.662000000000001</v>
      </c>
      <c r="CW312" s="482">
        <f>+SUM(CW313:CW318)</f>
        <v>-28.411000000000001</v>
      </c>
      <c r="CX312" s="482">
        <f t="shared" si="1019"/>
        <v>-12.801</v>
      </c>
      <c r="CY312" s="482">
        <f>+SUM(CY313:CY318)</f>
        <v>-12.801</v>
      </c>
      <c r="CZ312" s="482">
        <f>+SUM(CZ313:CZ318)</f>
        <v>-15.5</v>
      </c>
      <c r="DA312" s="482">
        <f t="shared" si="1020"/>
        <v>-33.799999999999997</v>
      </c>
      <c r="DB312" s="482">
        <f>+SUM(DB313:DB318)</f>
        <v>-33.799999999999997</v>
      </c>
      <c r="DC312" s="482">
        <f>+SUM(DC313:DC318)</f>
        <v>-29.2</v>
      </c>
      <c r="DD312" s="482">
        <f t="shared" si="1021"/>
        <v>-15.3</v>
      </c>
      <c r="DE312" s="482">
        <f>+SUM(DE313:DE318)</f>
        <v>-15.3</v>
      </c>
      <c r="DF312" s="482">
        <f>+SUM(DF313:DF318)</f>
        <v>13</v>
      </c>
      <c r="DG312" s="482">
        <f t="shared" si="1022"/>
        <v>12.7</v>
      </c>
      <c r="DH312" s="1244">
        <f>+SUM(DH313:DH318)</f>
        <v>12.7</v>
      </c>
      <c r="DI312" s="482">
        <f>+SUM(DI313:DI318)</f>
        <v>12.6</v>
      </c>
      <c r="DJ312" s="482">
        <f t="shared" si="1023"/>
        <v>57.9</v>
      </c>
      <c r="DK312" s="1244">
        <f>+SUM(DK313:DK318)</f>
        <v>57.9</v>
      </c>
      <c r="DL312" s="482">
        <f>+SUM(DL313:DL318)</f>
        <v>20.9</v>
      </c>
      <c r="DM312" s="482">
        <f t="shared" si="1024"/>
        <v>-46.2</v>
      </c>
      <c r="DN312" s="1244">
        <f>+SUM(DN313:DN318)</f>
        <v>-46.2</v>
      </c>
      <c r="DO312" s="482">
        <f>+SUM(DO313:DO318)</f>
        <v>-62.9</v>
      </c>
      <c r="DP312" s="482">
        <f t="shared" si="1025"/>
        <v>-56.9</v>
      </c>
      <c r="DQ312" s="1244">
        <f>+SUM(DQ313:DQ318)</f>
        <v>-56.9</v>
      </c>
      <c r="DR312" s="482">
        <f>+SUM(DR313:DR318)</f>
        <v>-54.5</v>
      </c>
      <c r="DS312" s="482">
        <f t="shared" si="1026"/>
        <v>-31.6</v>
      </c>
      <c r="DT312" s="1244">
        <f>+SUM(DT313:DT318)</f>
        <v>-31.6</v>
      </c>
      <c r="DU312" s="482">
        <f>+SUM(DU313:DU318)</f>
        <v>-52.9</v>
      </c>
      <c r="DV312" s="482">
        <f t="shared" si="1027"/>
        <v>-3</v>
      </c>
      <c r="DW312" s="1244">
        <f>+SUM(DW313:DW318)</f>
        <v>-3</v>
      </c>
      <c r="DX312" s="482">
        <f>+SUM(DX313:DX318)</f>
        <v>-36</v>
      </c>
      <c r="DY312" s="482">
        <f t="shared" si="1028"/>
        <v>-36</v>
      </c>
      <c r="DZ312" s="1244">
        <f>+SUM(DZ313:DZ318)</f>
        <v>-36</v>
      </c>
      <c r="EA312" s="482">
        <f>+SUM(EA313:EA318)</f>
        <v>-36</v>
      </c>
      <c r="EB312" s="482">
        <f t="shared" si="1029"/>
        <v>-36</v>
      </c>
      <c r="EC312" s="1244">
        <f>+SUM(EC313:EC318)</f>
        <v>-36</v>
      </c>
      <c r="ED312" s="482">
        <f>+SUM(ED313:ED318)</f>
        <v>-36</v>
      </c>
      <c r="EE312" s="482">
        <f t="shared" si="1030"/>
        <v>-36</v>
      </c>
      <c r="EF312" s="1244">
        <f>+SUM(EF313:EF318)</f>
        <v>-36</v>
      </c>
      <c r="EG312" s="482">
        <f>+SUM(EG313:EG318)</f>
        <v>-36</v>
      </c>
      <c r="EH312" s="482">
        <f t="shared" si="1031"/>
        <v>-36</v>
      </c>
      <c r="EI312" s="1244">
        <f>+SUM(EI313:EI318)</f>
        <v>-36</v>
      </c>
      <c r="EJ312" s="482">
        <f>+SUM(EJ313:EJ318)</f>
        <v>-36</v>
      </c>
      <c r="EK312" s="482">
        <f t="shared" si="1032"/>
        <v>-36</v>
      </c>
      <c r="EL312" s="1244">
        <f>+SUM(EL313:EL318)</f>
        <v>-36</v>
      </c>
      <c r="EM312" s="482">
        <f>+SUM(EM313:EM318)</f>
        <v>-36</v>
      </c>
      <c r="EN312" s="482">
        <f t="shared" si="1033"/>
        <v>-36</v>
      </c>
      <c r="EO312" s="1244">
        <f>+SUM(EO313:EO318)</f>
        <v>-36</v>
      </c>
      <c r="EP312" s="482">
        <f>+SUM(EP313:EP318)</f>
        <v>-36</v>
      </c>
      <c r="EQ312" s="482">
        <f t="shared" si="1034"/>
        <v>-36</v>
      </c>
      <c r="ER312" s="1244">
        <f>+SUM(ER313:ER318)</f>
        <v>-36</v>
      </c>
      <c r="ES312" s="482">
        <f>+SUM(ES313:ES318)</f>
        <v>-36</v>
      </c>
      <c r="ET312" s="482">
        <f t="shared" si="1035"/>
        <v>-36</v>
      </c>
      <c r="EU312" s="1244">
        <f>+SUM(EU313:EU318)</f>
        <v>-36</v>
      </c>
      <c r="EV312" s="482">
        <f>+SUM(EV313:EV318)</f>
        <v>-36</v>
      </c>
      <c r="EW312" s="482">
        <f t="shared" si="1036"/>
        <v>-36</v>
      </c>
      <c r="EX312" s="1244">
        <f>+SUM(EX313:EX318)</f>
        <v>-36</v>
      </c>
      <c r="EY312" s="482">
        <f>+SUM(EY313:EY318)</f>
        <v>-36</v>
      </c>
      <c r="EZ312" s="482">
        <f t="shared" si="1037"/>
        <v>-36</v>
      </c>
      <c r="FA312" s="1244">
        <f>+SUM(FA313:FA318)</f>
        <v>-36</v>
      </c>
      <c r="FB312" s="1571">
        <f>+DV312-DU312</f>
        <v>49.9</v>
      </c>
      <c r="FE312"/>
      <c r="FF312"/>
      <c r="FG312"/>
      <c r="FH312"/>
      <c r="FI312"/>
      <c r="FJ312"/>
      <c r="FK312" s="35"/>
    </row>
    <row r="313" spans="1:167" s="236" customFormat="1" ht="13.35" customHeight="1" outlineLevel="1">
      <c r="B313" s="242" t="s">
        <v>264</v>
      </c>
      <c r="C313" s="242" t="s">
        <v>496</v>
      </c>
      <c r="D313" s="243"/>
      <c r="E313" s="511"/>
      <c r="F313" s="510">
        <f t="shared" si="987"/>
        <v>0</v>
      </c>
      <c r="G313" s="512"/>
      <c r="H313" s="513"/>
      <c r="I313" s="510">
        <f t="shared" si="988"/>
        <v>0</v>
      </c>
      <c r="J313" s="512"/>
      <c r="K313" s="513"/>
      <c r="L313" s="510">
        <f t="shared" si="989"/>
        <v>0</v>
      </c>
      <c r="M313" s="512"/>
      <c r="N313" s="513"/>
      <c r="O313" s="510">
        <f t="shared" si="990"/>
        <v>0</v>
      </c>
      <c r="P313" s="512"/>
      <c r="Q313" s="513"/>
      <c r="R313" s="510">
        <f t="shared" si="991"/>
        <v>0</v>
      </c>
      <c r="S313" s="604"/>
      <c r="T313" s="513"/>
      <c r="U313" s="510">
        <f t="shared" si="992"/>
        <v>0</v>
      </c>
      <c r="V313" s="512"/>
      <c r="W313" s="513"/>
      <c r="X313" s="510">
        <f t="shared" si="993"/>
        <v>0</v>
      </c>
      <c r="Y313" s="512"/>
      <c r="Z313" s="513"/>
      <c r="AA313" s="510">
        <f t="shared" si="994"/>
        <v>0</v>
      </c>
      <c r="AB313" s="512"/>
      <c r="AC313" s="513"/>
      <c r="AD313" s="510">
        <f t="shared" si="995"/>
        <v>0</v>
      </c>
      <c r="AE313" s="512"/>
      <c r="AF313" s="513"/>
      <c r="AG313" s="510">
        <f t="shared" si="996"/>
        <v>0</v>
      </c>
      <c r="AH313" s="512"/>
      <c r="AI313" s="513">
        <v>6.5</v>
      </c>
      <c r="AJ313" s="510">
        <f t="shared" si="997"/>
        <v>2.15</v>
      </c>
      <c r="AK313" s="512">
        <v>2.15</v>
      </c>
      <c r="AL313" s="513">
        <v>2.15</v>
      </c>
      <c r="AM313" s="510">
        <f t="shared" si="998"/>
        <v>-0.75700000000000001</v>
      </c>
      <c r="AN313" s="512">
        <v>-0.75700000000000001</v>
      </c>
      <c r="AO313" s="513">
        <v>-1.161</v>
      </c>
      <c r="AP313" s="510">
        <f t="shared" si="999"/>
        <v>-0.499</v>
      </c>
      <c r="AQ313" s="512">
        <v>-0.499</v>
      </c>
      <c r="AR313" s="513">
        <v>1.389</v>
      </c>
      <c r="AS313" s="510">
        <f t="shared" si="1000"/>
        <v>2.754</v>
      </c>
      <c r="AT313" s="512">
        <v>2.754</v>
      </c>
      <c r="AU313" s="513">
        <v>0</v>
      </c>
      <c r="AV313" s="510">
        <f t="shared" si="1001"/>
        <v>0</v>
      </c>
      <c r="AW313" s="512"/>
      <c r="AX313" s="514"/>
      <c r="AY313" s="510">
        <f t="shared" si="1002"/>
        <v>0</v>
      </c>
      <c r="AZ313" s="515"/>
      <c r="BA313" s="514"/>
      <c r="BB313" s="510">
        <f t="shared" si="1003"/>
        <v>0</v>
      </c>
      <c r="BC313" s="515"/>
      <c r="BD313" s="514">
        <v>7.7160000000000002</v>
      </c>
      <c r="BE313" s="510">
        <f t="shared" si="1004"/>
        <v>5.9329999999999998</v>
      </c>
      <c r="BF313" s="512">
        <v>5.9329999999999998</v>
      </c>
      <c r="BG313" s="514">
        <v>5.3</v>
      </c>
      <c r="BH313" s="510">
        <f t="shared" si="1005"/>
        <v>0</v>
      </c>
      <c r="BI313" s="515"/>
      <c r="BJ313" s="514">
        <v>-1.264</v>
      </c>
      <c r="BK313" s="510" t="str">
        <f t="shared" si="1006"/>
        <v/>
      </c>
      <c r="BL313" s="512" t="str">
        <f>IF(BL5="A","",BI312+BL208+BL362+BL573+Assumptions!BL102)</f>
        <v/>
      </c>
      <c r="BM313" s="513">
        <v>-1.3939999999999999</v>
      </c>
      <c r="BN313" s="510">
        <f t="shared" si="1007"/>
        <v>-3.9169999999999998</v>
      </c>
      <c r="BO313" s="512">
        <v>-3.9169999999999998</v>
      </c>
      <c r="BP313" s="513">
        <v>8.7530000000000001</v>
      </c>
      <c r="BQ313" s="510">
        <f t="shared" si="1008"/>
        <v>3.01</v>
      </c>
      <c r="BR313" s="511">
        <v>3.01</v>
      </c>
      <c r="BS313" s="513">
        <v>9.4220000000000006</v>
      </c>
      <c r="BT313" s="510">
        <f t="shared" si="1009"/>
        <v>9.5839999999999996</v>
      </c>
      <c r="BU313" s="511">
        <v>9.5839999999999996</v>
      </c>
      <c r="BV313" s="513">
        <v>2.419</v>
      </c>
      <c r="BW313" s="510">
        <f t="shared" si="1010"/>
        <v>13.035</v>
      </c>
      <c r="BX313" s="511">
        <v>13.035</v>
      </c>
      <c r="BY313" s="514">
        <v>-66.322000000000003</v>
      </c>
      <c r="BZ313" s="510">
        <f t="shared" si="1011"/>
        <v>15.839</v>
      </c>
      <c r="CA313" s="548">
        <v>15.839</v>
      </c>
      <c r="CB313" s="514">
        <v>2.0009999999999999</v>
      </c>
      <c r="CC313" s="510">
        <f t="shared" si="1012"/>
        <v>22.268999999999998</v>
      </c>
      <c r="CD313" s="548">
        <v>22.268999999999998</v>
      </c>
      <c r="CE313" s="514">
        <v>42.884999999999998</v>
      </c>
      <c r="CF313" s="510">
        <f t="shared" si="1013"/>
        <v>23.356999999999999</v>
      </c>
      <c r="CG313" s="548">
        <v>23.356999999999999</v>
      </c>
      <c r="CH313" s="514">
        <v>2.3479999999999999</v>
      </c>
      <c r="CI313" s="510">
        <f t="shared" si="1014"/>
        <v>-16.762</v>
      </c>
      <c r="CJ313" s="548">
        <v>-16.762</v>
      </c>
      <c r="CK313" s="514">
        <v>-14.311</v>
      </c>
      <c r="CL313" s="510">
        <f t="shared" si="1015"/>
        <v>-32.433</v>
      </c>
      <c r="CM313" s="548">
        <v>-32.433</v>
      </c>
      <c r="CN313" s="514">
        <v>-13.090999999999999</v>
      </c>
      <c r="CO313" s="510">
        <f t="shared" si="1016"/>
        <v>-32.191000000000003</v>
      </c>
      <c r="CP313" s="511">
        <v>-32.191000000000003</v>
      </c>
      <c r="CQ313" s="514">
        <f>+-38.856</f>
        <v>-38.856000000000002</v>
      </c>
      <c r="CR313" s="510">
        <f t="shared" si="1017"/>
        <v>-26.201000000000001</v>
      </c>
      <c r="CS313" s="511">
        <f>+-26.201</f>
        <v>-26.201000000000001</v>
      </c>
      <c r="CT313" s="513">
        <f>+-16.151</f>
        <v>-16.151</v>
      </c>
      <c r="CU313" s="510">
        <f t="shared" si="1018"/>
        <v>-14.662000000000001</v>
      </c>
      <c r="CV313" s="548">
        <v>-14.662000000000001</v>
      </c>
      <c r="CW313" s="514">
        <f>+-28.411</f>
        <v>-28.411000000000001</v>
      </c>
      <c r="CX313" s="510">
        <f t="shared" si="1019"/>
        <v>-12.801</v>
      </c>
      <c r="CY313" s="548">
        <v>-12.801</v>
      </c>
      <c r="CZ313" s="513">
        <v>-15.5</v>
      </c>
      <c r="DA313" s="510">
        <f t="shared" si="1020"/>
        <v>-33.799999999999997</v>
      </c>
      <c r="DB313" s="511">
        <v>-33.799999999999997</v>
      </c>
      <c r="DC313" s="513">
        <v>-29.2</v>
      </c>
      <c r="DD313" s="510">
        <f t="shared" si="1021"/>
        <v>-15.3</v>
      </c>
      <c r="DE313" s="511">
        <v>-15.3</v>
      </c>
      <c r="DF313" s="514">
        <v>13</v>
      </c>
      <c r="DG313" s="510">
        <f t="shared" si="1022"/>
        <v>12.7</v>
      </c>
      <c r="DH313" s="1371">
        <f>12.7</f>
        <v>12.7</v>
      </c>
      <c r="DI313" s="1373">
        <v>12.6</v>
      </c>
      <c r="DJ313" s="482">
        <f t="shared" si="1023"/>
        <v>57.9</v>
      </c>
      <c r="DK313" s="1374">
        <v>57.9</v>
      </c>
      <c r="DL313" s="1373">
        <v>20.9</v>
      </c>
      <c r="DM313" s="482">
        <f t="shared" si="1024"/>
        <v>-46.2</v>
      </c>
      <c r="DN313" s="1374">
        <v>-46.2</v>
      </c>
      <c r="DO313" s="1373">
        <v>-62.9</v>
      </c>
      <c r="DP313" s="482">
        <f t="shared" si="1025"/>
        <v>-56.9</v>
      </c>
      <c r="DQ313" s="1374">
        <v>-56.9</v>
      </c>
      <c r="DR313" s="1373">
        <v>-54.5</v>
      </c>
      <c r="DS313" s="482">
        <f t="shared" si="1026"/>
        <v>-31.6</v>
      </c>
      <c r="DT313" s="1374">
        <v>-31.6</v>
      </c>
      <c r="DU313" s="1373">
        <v>-52.9</v>
      </c>
      <c r="DV313" s="482">
        <f t="shared" si="1027"/>
        <v>-3</v>
      </c>
      <c r="DW313" s="1374">
        <v>-3</v>
      </c>
      <c r="DX313" s="1373">
        <v>-36</v>
      </c>
      <c r="DY313" s="482">
        <f t="shared" si="1028"/>
        <v>-36</v>
      </c>
      <c r="DZ313" s="1244">
        <f>IF(DZ5="A","",DX312+DY208+DY362+DY573+Assumptions!DY102)</f>
        <v>-36</v>
      </c>
      <c r="EA313" s="482">
        <f>IF(EA5="A","",DZ312+EA208+EA362+EA573+Assumptions!EA102)</f>
        <v>-36</v>
      </c>
      <c r="EB313" s="482">
        <f t="shared" si="1029"/>
        <v>-36</v>
      </c>
      <c r="EC313" s="1244">
        <f>IF(EC5="A","",DZ312+EC208+EC362+EC573+Assumptions!EC102)</f>
        <v>-36</v>
      </c>
      <c r="ED313" s="482">
        <f>IF(ED5="A","",EC312+ED208+ED362+ED573+Assumptions!ED102)</f>
        <v>-36</v>
      </c>
      <c r="EE313" s="482">
        <f t="shared" si="1030"/>
        <v>-36</v>
      </c>
      <c r="EF313" s="1244">
        <f>IF(EF5="A","",EC312+EF208+EF362+EF573+Assumptions!EF102)</f>
        <v>-36</v>
      </c>
      <c r="EG313" s="482">
        <f>IF(EG5="A","",EF312+EG208+EG362+EG573+Assumptions!EG102)</f>
        <v>-36</v>
      </c>
      <c r="EH313" s="482">
        <f t="shared" si="1031"/>
        <v>-36</v>
      </c>
      <c r="EI313" s="1244">
        <f>IF(EI5="A","",EF312+EI208+EI362+EI573+Assumptions!EI102)</f>
        <v>-36</v>
      </c>
      <c r="EJ313" s="482">
        <f>IF(EJ5="A","",EI312+EJ208+EJ362+EJ573+Assumptions!EJ102)</f>
        <v>-36</v>
      </c>
      <c r="EK313" s="482">
        <f t="shared" si="1032"/>
        <v>-36</v>
      </c>
      <c r="EL313" s="1244">
        <f>IF(EL5="A","",EI312+EL208+EL362+EL573+Assumptions!EL102)</f>
        <v>-36</v>
      </c>
      <c r="EM313" s="482">
        <f>IF(EM5="A","",EL312+EM208+EM362+EM573+Assumptions!EM102)</f>
        <v>-36</v>
      </c>
      <c r="EN313" s="482">
        <f t="shared" si="1033"/>
        <v>-36</v>
      </c>
      <c r="EO313" s="1244">
        <f>IF(EO5="A","",EL312+EO208+EO362+EO573+Assumptions!EO102)</f>
        <v>-36</v>
      </c>
      <c r="EP313" s="482">
        <f>IF(EP5="A","",EO312+EP208+EP362+EP573+Assumptions!EP102)</f>
        <v>-36</v>
      </c>
      <c r="EQ313" s="482">
        <f t="shared" si="1034"/>
        <v>-36</v>
      </c>
      <c r="ER313" s="1244">
        <f>IF(ER5="A","",EO312+ER208+ER362+ER573+Assumptions!ER102)</f>
        <v>-36</v>
      </c>
      <c r="ES313" s="482">
        <f>IF(ES5="A","",ER312+ES208+ES362+ES573+Assumptions!ES102)</f>
        <v>-36</v>
      </c>
      <c r="ET313" s="482">
        <f t="shared" si="1035"/>
        <v>-36</v>
      </c>
      <c r="EU313" s="1244">
        <f>IF(EU5="A","",ER312+EU208+EU362+EU573+Assumptions!EU102)</f>
        <v>-36</v>
      </c>
      <c r="EV313" s="482">
        <f>IF(EV5="A","",EU312+EV208+EV362+EV573+Assumptions!EV102)</f>
        <v>-36</v>
      </c>
      <c r="EW313" s="482">
        <f t="shared" si="1036"/>
        <v>-36</v>
      </c>
      <c r="EX313" s="1244">
        <f>IF(EX5="A","",EU312+EX208+EX362+EX573+Assumptions!EX102)</f>
        <v>-36</v>
      </c>
      <c r="EY313" s="482">
        <f>IF(EY5="A","",EX312+EY208+EY362+EY573+Assumptions!EY102)</f>
        <v>-36</v>
      </c>
      <c r="EZ313" s="482">
        <f t="shared" si="1037"/>
        <v>-36</v>
      </c>
      <c r="FA313" s="1244">
        <f>IF(FA5="A","",EX312+FA208+FA362+FA573+Assumptions!FA102)</f>
        <v>-36</v>
      </c>
      <c r="FE313"/>
      <c r="FF313"/>
      <c r="FG313"/>
      <c r="FH313"/>
      <c r="FI313"/>
      <c r="FJ313"/>
      <c r="FK313" s="35"/>
    </row>
    <row r="314" spans="1:167" s="236" customFormat="1" ht="13.35" customHeight="1" outlineLevel="1">
      <c r="B314" s="242" t="s">
        <v>265</v>
      </c>
      <c r="C314" s="242" t="s">
        <v>496</v>
      </c>
      <c r="D314" s="243"/>
      <c r="E314" s="516"/>
      <c r="F314" s="482">
        <f t="shared" si="987"/>
        <v>0</v>
      </c>
      <c r="G314" s="517"/>
      <c r="H314" s="518"/>
      <c r="I314" s="482">
        <f t="shared" si="988"/>
        <v>0</v>
      </c>
      <c r="J314" s="517"/>
      <c r="K314" s="518"/>
      <c r="L314" s="482">
        <f t="shared" si="989"/>
        <v>0</v>
      </c>
      <c r="M314" s="517"/>
      <c r="N314" s="518"/>
      <c r="O314" s="482">
        <f t="shared" si="990"/>
        <v>0</v>
      </c>
      <c r="P314" s="517"/>
      <c r="Q314" s="518"/>
      <c r="R314" s="482">
        <f t="shared" si="991"/>
        <v>0</v>
      </c>
      <c r="S314" s="517"/>
      <c r="T314" s="518"/>
      <c r="U314" s="482">
        <f t="shared" si="992"/>
        <v>0</v>
      </c>
      <c r="V314" s="517"/>
      <c r="W314" s="518"/>
      <c r="X314" s="482">
        <f t="shared" si="993"/>
        <v>0</v>
      </c>
      <c r="Y314" s="517"/>
      <c r="Z314" s="518"/>
      <c r="AA314" s="482">
        <f t="shared" si="994"/>
        <v>0</v>
      </c>
      <c r="AB314" s="517"/>
      <c r="AC314" s="518"/>
      <c r="AD314" s="482">
        <f t="shared" si="995"/>
        <v>0</v>
      </c>
      <c r="AE314" s="517"/>
      <c r="AF314" s="518"/>
      <c r="AG314" s="482">
        <f t="shared" si="996"/>
        <v>0</v>
      </c>
      <c r="AH314" s="517"/>
      <c r="AI314" s="518"/>
      <c r="AJ314" s="482">
        <f t="shared" si="997"/>
        <v>0</v>
      </c>
      <c r="AK314" s="517"/>
      <c r="AL314" s="518"/>
      <c r="AM314" s="482">
        <f t="shared" si="998"/>
        <v>0</v>
      </c>
      <c r="AN314" s="517"/>
      <c r="AO314" s="518"/>
      <c r="AP314" s="482">
        <f t="shared" si="999"/>
        <v>0</v>
      </c>
      <c r="AQ314" s="517"/>
      <c r="AR314" s="518"/>
      <c r="AS314" s="482">
        <f t="shared" si="1000"/>
        <v>0</v>
      </c>
      <c r="AT314" s="517"/>
      <c r="AU314" s="518"/>
      <c r="AV314" s="482">
        <f t="shared" si="1001"/>
        <v>0</v>
      </c>
      <c r="AW314" s="517"/>
      <c r="AX314" s="518"/>
      <c r="AY314" s="482">
        <f t="shared" si="1002"/>
        <v>0</v>
      </c>
      <c r="AZ314" s="517"/>
      <c r="BA314" s="518"/>
      <c r="BB314" s="482">
        <f t="shared" si="1003"/>
        <v>0</v>
      </c>
      <c r="BC314" s="517"/>
      <c r="BD314" s="518"/>
      <c r="BE314" s="482">
        <f t="shared" si="1004"/>
        <v>0</v>
      </c>
      <c r="BF314" s="517"/>
      <c r="BG314" s="518"/>
      <c r="BH314" s="482">
        <f t="shared" si="1005"/>
        <v>0</v>
      </c>
      <c r="BI314" s="517"/>
      <c r="BJ314" s="518"/>
      <c r="BK314" s="482">
        <f t="shared" si="1006"/>
        <v>0</v>
      </c>
      <c r="BL314" s="517"/>
      <c r="BM314" s="518"/>
      <c r="BN314" s="482">
        <f t="shared" si="1007"/>
        <v>0</v>
      </c>
      <c r="BO314" s="517"/>
      <c r="BP314" s="518"/>
      <c r="BQ314" s="482">
        <f t="shared" si="1008"/>
        <v>0</v>
      </c>
      <c r="BR314" s="516"/>
      <c r="BS314" s="518"/>
      <c r="BT314" s="482">
        <f t="shared" si="1009"/>
        <v>0</v>
      </c>
      <c r="BU314" s="516"/>
      <c r="BV314" s="518"/>
      <c r="BW314" s="482">
        <f t="shared" si="1010"/>
        <v>0</v>
      </c>
      <c r="BX314" s="516"/>
      <c r="BY314" s="518"/>
      <c r="BZ314" s="482">
        <f t="shared" si="1011"/>
        <v>0</v>
      </c>
      <c r="CA314" s="516"/>
      <c r="CB314" s="518"/>
      <c r="CC314" s="482">
        <f t="shared" si="1012"/>
        <v>0</v>
      </c>
      <c r="CD314" s="516"/>
      <c r="CE314" s="518"/>
      <c r="CF314" s="482">
        <f t="shared" si="1013"/>
        <v>0</v>
      </c>
      <c r="CG314" s="516"/>
      <c r="CH314" s="518"/>
      <c r="CI314" s="482">
        <f t="shared" si="1014"/>
        <v>0</v>
      </c>
      <c r="CJ314" s="516"/>
      <c r="CK314" s="518"/>
      <c r="CL314" s="482">
        <f t="shared" si="1015"/>
        <v>0</v>
      </c>
      <c r="CM314" s="516"/>
      <c r="CN314" s="518"/>
      <c r="CO314" s="482">
        <f t="shared" si="1016"/>
        <v>0</v>
      </c>
      <c r="CP314" s="516"/>
      <c r="CQ314" s="518"/>
      <c r="CR314" s="482">
        <f t="shared" si="1017"/>
        <v>0</v>
      </c>
      <c r="CS314" s="516"/>
      <c r="CT314" s="518"/>
      <c r="CU314" s="482">
        <f t="shared" si="1018"/>
        <v>0</v>
      </c>
      <c r="CV314" s="516"/>
      <c r="CW314" s="518"/>
      <c r="CX314" s="482">
        <f t="shared" si="1019"/>
        <v>0</v>
      </c>
      <c r="CY314" s="516"/>
      <c r="CZ314" s="518"/>
      <c r="DA314" s="482">
        <f t="shared" si="1020"/>
        <v>0</v>
      </c>
      <c r="DB314" s="516"/>
      <c r="DC314" s="518"/>
      <c r="DD314" s="482">
        <f t="shared" si="1021"/>
        <v>0</v>
      </c>
      <c r="DE314" s="516"/>
      <c r="DF314" s="518"/>
      <c r="DG314" s="482">
        <f t="shared" si="1022"/>
        <v>0</v>
      </c>
      <c r="DH314" s="1258">
        <v>0</v>
      </c>
      <c r="DI314" s="482"/>
      <c r="DJ314" s="482">
        <f t="shared" si="1023"/>
        <v>0</v>
      </c>
      <c r="DK314" s="1244">
        <v>0</v>
      </c>
      <c r="DL314" s="482"/>
      <c r="DM314" s="482">
        <f t="shared" si="1024"/>
        <v>0</v>
      </c>
      <c r="DN314" s="1244"/>
      <c r="DO314" s="482"/>
      <c r="DP314" s="482">
        <f t="shared" si="1025"/>
        <v>0</v>
      </c>
      <c r="DQ314" s="1244"/>
      <c r="DR314" s="482"/>
      <c r="DS314" s="482">
        <f t="shared" si="1026"/>
        <v>0</v>
      </c>
      <c r="DT314" s="1244"/>
      <c r="DU314" s="482"/>
      <c r="DV314" s="482">
        <f t="shared" si="1027"/>
        <v>0</v>
      </c>
      <c r="DW314" s="1244"/>
      <c r="DX314" s="482"/>
      <c r="DY314" s="482">
        <f t="shared" si="1028"/>
        <v>0</v>
      </c>
      <c r="DZ314" s="1244"/>
      <c r="EA314" s="482"/>
      <c r="EB314" s="482">
        <f t="shared" si="1029"/>
        <v>0</v>
      </c>
      <c r="EC314" s="1244"/>
      <c r="ED314" s="482"/>
      <c r="EE314" s="482">
        <f t="shared" si="1030"/>
        <v>0</v>
      </c>
      <c r="EF314" s="1244"/>
      <c r="EG314" s="482"/>
      <c r="EH314" s="482">
        <f t="shared" si="1031"/>
        <v>0</v>
      </c>
      <c r="EI314" s="1244"/>
      <c r="EJ314" s="482"/>
      <c r="EK314" s="482">
        <f t="shared" si="1032"/>
        <v>0</v>
      </c>
      <c r="EL314" s="1244"/>
      <c r="EM314" s="482"/>
      <c r="EN314" s="482">
        <f t="shared" si="1033"/>
        <v>0</v>
      </c>
      <c r="EO314" s="1244"/>
      <c r="EP314" s="482"/>
      <c r="EQ314" s="482">
        <f t="shared" si="1034"/>
        <v>0</v>
      </c>
      <c r="ER314" s="1244"/>
      <c r="ES314" s="482"/>
      <c r="ET314" s="482">
        <f t="shared" si="1035"/>
        <v>0</v>
      </c>
      <c r="EU314" s="1244"/>
      <c r="EV314" s="482"/>
      <c r="EW314" s="482">
        <f t="shared" si="1036"/>
        <v>0</v>
      </c>
      <c r="EX314" s="1244"/>
      <c r="EY314" s="482"/>
      <c r="EZ314" s="482">
        <f t="shared" si="1037"/>
        <v>0</v>
      </c>
      <c r="FA314" s="1244"/>
      <c r="FE314"/>
      <c r="FF314"/>
      <c r="FG314"/>
      <c r="FH314"/>
      <c r="FI314"/>
      <c r="FJ314"/>
      <c r="FK314" s="35"/>
    </row>
    <row r="315" spans="1:167" s="236" customFormat="1" ht="13.35" customHeight="1" outlineLevel="1">
      <c r="B315" s="242" t="s">
        <v>238</v>
      </c>
      <c r="C315" s="242" t="s">
        <v>496</v>
      </c>
      <c r="D315" s="243"/>
      <c r="E315" s="516"/>
      <c r="F315" s="482">
        <f t="shared" si="987"/>
        <v>0</v>
      </c>
      <c r="G315" s="517"/>
      <c r="H315" s="518"/>
      <c r="I315" s="482">
        <f t="shared" si="988"/>
        <v>0</v>
      </c>
      <c r="J315" s="517"/>
      <c r="K315" s="518"/>
      <c r="L315" s="482">
        <f t="shared" si="989"/>
        <v>0</v>
      </c>
      <c r="M315" s="517"/>
      <c r="N315" s="518"/>
      <c r="O315" s="482">
        <f t="shared" si="990"/>
        <v>0</v>
      </c>
      <c r="P315" s="517"/>
      <c r="Q315" s="518"/>
      <c r="R315" s="482">
        <f t="shared" si="991"/>
        <v>0</v>
      </c>
      <c r="S315" s="517"/>
      <c r="T315" s="518"/>
      <c r="U315" s="482">
        <f t="shared" si="992"/>
        <v>0</v>
      </c>
      <c r="V315" s="517"/>
      <c r="W315" s="518"/>
      <c r="X315" s="482">
        <f t="shared" si="993"/>
        <v>0</v>
      </c>
      <c r="Y315" s="517"/>
      <c r="Z315" s="518"/>
      <c r="AA315" s="482">
        <f t="shared" si="994"/>
        <v>0</v>
      </c>
      <c r="AB315" s="517"/>
      <c r="AC315" s="518"/>
      <c r="AD315" s="482">
        <f t="shared" si="995"/>
        <v>0</v>
      </c>
      <c r="AE315" s="517"/>
      <c r="AF315" s="518"/>
      <c r="AG315" s="482">
        <f t="shared" si="996"/>
        <v>0</v>
      </c>
      <c r="AH315" s="517"/>
      <c r="AI315" s="518"/>
      <c r="AJ315" s="482">
        <f t="shared" si="997"/>
        <v>0</v>
      </c>
      <c r="AK315" s="517"/>
      <c r="AL315" s="518"/>
      <c r="AM315" s="482">
        <f t="shared" si="998"/>
        <v>0</v>
      </c>
      <c r="AN315" s="517"/>
      <c r="AO315" s="518"/>
      <c r="AP315" s="482">
        <f t="shared" si="999"/>
        <v>0</v>
      </c>
      <c r="AQ315" s="517"/>
      <c r="AR315" s="518"/>
      <c r="AS315" s="482">
        <f t="shared" si="1000"/>
        <v>0</v>
      </c>
      <c r="AT315" s="517"/>
      <c r="AU315" s="518"/>
      <c r="AV315" s="482">
        <f t="shared" si="1001"/>
        <v>0</v>
      </c>
      <c r="AW315" s="517"/>
      <c r="AX315" s="518"/>
      <c r="AY315" s="482">
        <f t="shared" si="1002"/>
        <v>0</v>
      </c>
      <c r="AZ315" s="517"/>
      <c r="BA315" s="518"/>
      <c r="BB315" s="482">
        <f t="shared" si="1003"/>
        <v>0</v>
      </c>
      <c r="BC315" s="517"/>
      <c r="BD315" s="518"/>
      <c r="BE315" s="482">
        <f t="shared" si="1004"/>
        <v>0</v>
      </c>
      <c r="BF315" s="517"/>
      <c r="BG315" s="518"/>
      <c r="BH315" s="482">
        <f t="shared" si="1005"/>
        <v>0</v>
      </c>
      <c r="BI315" s="517"/>
      <c r="BJ315" s="518"/>
      <c r="BK315" s="482">
        <f t="shared" si="1006"/>
        <v>0</v>
      </c>
      <c r="BL315" s="517"/>
      <c r="BM315" s="518"/>
      <c r="BN315" s="482">
        <f t="shared" si="1007"/>
        <v>0</v>
      </c>
      <c r="BO315" s="517"/>
      <c r="BP315" s="518"/>
      <c r="BQ315" s="482">
        <f t="shared" si="1008"/>
        <v>0</v>
      </c>
      <c r="BR315" s="516"/>
      <c r="BS315" s="518"/>
      <c r="BT315" s="482">
        <f t="shared" si="1009"/>
        <v>0</v>
      </c>
      <c r="BU315" s="516"/>
      <c r="BV315" s="518"/>
      <c r="BW315" s="482">
        <f t="shared" si="1010"/>
        <v>0</v>
      </c>
      <c r="BX315" s="516"/>
      <c r="BY315" s="518"/>
      <c r="BZ315" s="482">
        <f t="shared" si="1011"/>
        <v>0</v>
      </c>
      <c r="CA315" s="516"/>
      <c r="CB315" s="518"/>
      <c r="CC315" s="482">
        <f t="shared" si="1012"/>
        <v>0</v>
      </c>
      <c r="CD315" s="516"/>
      <c r="CE315" s="518"/>
      <c r="CF315" s="482">
        <f t="shared" si="1013"/>
        <v>0</v>
      </c>
      <c r="CG315" s="516"/>
      <c r="CH315" s="518"/>
      <c r="CI315" s="482">
        <f t="shared" si="1014"/>
        <v>0</v>
      </c>
      <c r="CJ315" s="516"/>
      <c r="CK315" s="518"/>
      <c r="CL315" s="482">
        <f t="shared" si="1015"/>
        <v>0</v>
      </c>
      <c r="CM315" s="516"/>
      <c r="CN315" s="518"/>
      <c r="CO315" s="482">
        <f t="shared" si="1016"/>
        <v>0</v>
      </c>
      <c r="CP315" s="516"/>
      <c r="CQ315" s="518"/>
      <c r="CR315" s="482">
        <f t="shared" si="1017"/>
        <v>0</v>
      </c>
      <c r="CS315" s="516"/>
      <c r="CT315" s="518"/>
      <c r="CU315" s="482">
        <f t="shared" si="1018"/>
        <v>0</v>
      </c>
      <c r="CV315" s="516"/>
      <c r="CW315" s="518"/>
      <c r="CX315" s="482">
        <f t="shared" si="1019"/>
        <v>0</v>
      </c>
      <c r="CY315" s="516"/>
      <c r="CZ315" s="518"/>
      <c r="DA315" s="482">
        <f t="shared" si="1020"/>
        <v>0</v>
      </c>
      <c r="DB315" s="516"/>
      <c r="DC315" s="518"/>
      <c r="DD315" s="482">
        <f t="shared" si="1021"/>
        <v>0</v>
      </c>
      <c r="DE315" s="516"/>
      <c r="DF315" s="518"/>
      <c r="DG315" s="482">
        <f t="shared" si="1022"/>
        <v>0</v>
      </c>
      <c r="DH315" s="1258"/>
      <c r="DI315" s="482"/>
      <c r="DJ315" s="482">
        <f t="shared" si="1023"/>
        <v>0</v>
      </c>
      <c r="DK315" s="1244"/>
      <c r="DL315" s="482"/>
      <c r="DM315" s="482">
        <f t="shared" si="1024"/>
        <v>0</v>
      </c>
      <c r="DN315" s="1244"/>
      <c r="DO315" s="482"/>
      <c r="DP315" s="482">
        <f t="shared" si="1025"/>
        <v>0</v>
      </c>
      <c r="DQ315" s="1244"/>
      <c r="DR315" s="482"/>
      <c r="DS315" s="482">
        <f t="shared" si="1026"/>
        <v>0</v>
      </c>
      <c r="DT315" s="1244"/>
      <c r="DU315" s="482"/>
      <c r="DV315" s="482">
        <f t="shared" si="1027"/>
        <v>0</v>
      </c>
      <c r="DW315" s="1244"/>
      <c r="DX315" s="482"/>
      <c r="DY315" s="482">
        <f t="shared" si="1028"/>
        <v>0</v>
      </c>
      <c r="DZ315" s="1244"/>
      <c r="EA315" s="482"/>
      <c r="EB315" s="482">
        <f t="shared" si="1029"/>
        <v>0</v>
      </c>
      <c r="EC315" s="1244"/>
      <c r="ED315" s="482"/>
      <c r="EE315" s="482">
        <f t="shared" si="1030"/>
        <v>0</v>
      </c>
      <c r="EF315" s="1244"/>
      <c r="EG315" s="482"/>
      <c r="EH315" s="482">
        <f t="shared" si="1031"/>
        <v>0</v>
      </c>
      <c r="EI315" s="1244"/>
      <c r="EJ315" s="482"/>
      <c r="EK315" s="482">
        <f t="shared" si="1032"/>
        <v>0</v>
      </c>
      <c r="EL315" s="1244"/>
      <c r="EM315" s="482"/>
      <c r="EN315" s="482">
        <f t="shared" si="1033"/>
        <v>0</v>
      </c>
      <c r="EO315" s="1244"/>
      <c r="EP315" s="482"/>
      <c r="EQ315" s="482">
        <f t="shared" si="1034"/>
        <v>0</v>
      </c>
      <c r="ER315" s="1244"/>
      <c r="ES315" s="482"/>
      <c r="ET315" s="482">
        <f t="shared" si="1035"/>
        <v>0</v>
      </c>
      <c r="EU315" s="1244"/>
      <c r="EV315" s="482"/>
      <c r="EW315" s="482">
        <f t="shared" si="1036"/>
        <v>0</v>
      </c>
      <c r="EX315" s="1244"/>
      <c r="EY315" s="482"/>
      <c r="EZ315" s="482">
        <f t="shared" si="1037"/>
        <v>0</v>
      </c>
      <c r="FA315" s="1244"/>
      <c r="FE315"/>
      <c r="FF315"/>
      <c r="FG315"/>
      <c r="FH315"/>
      <c r="FI315"/>
      <c r="FJ315"/>
      <c r="FK315" s="35"/>
    </row>
    <row r="316" spans="1:167" s="236" customFormat="1" ht="13.35" customHeight="1" outlineLevel="1">
      <c r="B316" s="242" t="s">
        <v>239</v>
      </c>
      <c r="C316" s="242" t="s">
        <v>496</v>
      </c>
      <c r="D316" s="243"/>
      <c r="E316" s="516"/>
      <c r="F316" s="482">
        <f t="shared" si="987"/>
        <v>0</v>
      </c>
      <c r="G316" s="517"/>
      <c r="H316" s="518"/>
      <c r="I316" s="482">
        <f t="shared" si="988"/>
        <v>0</v>
      </c>
      <c r="J316" s="517"/>
      <c r="K316" s="518"/>
      <c r="L316" s="482">
        <f t="shared" si="989"/>
        <v>0</v>
      </c>
      <c r="M316" s="517"/>
      <c r="N316" s="518"/>
      <c r="O316" s="482">
        <f t="shared" si="990"/>
        <v>0</v>
      </c>
      <c r="P316" s="517"/>
      <c r="Q316" s="518"/>
      <c r="R316" s="482">
        <f t="shared" si="991"/>
        <v>0</v>
      </c>
      <c r="S316" s="517"/>
      <c r="T316" s="518"/>
      <c r="U316" s="482">
        <f t="shared" si="992"/>
        <v>0</v>
      </c>
      <c r="V316" s="517"/>
      <c r="W316" s="518"/>
      <c r="X316" s="482">
        <f t="shared" si="993"/>
        <v>0</v>
      </c>
      <c r="Y316" s="517"/>
      <c r="Z316" s="518"/>
      <c r="AA316" s="482">
        <f t="shared" si="994"/>
        <v>0</v>
      </c>
      <c r="AB316" s="517"/>
      <c r="AC316" s="518"/>
      <c r="AD316" s="482">
        <f t="shared" si="995"/>
        <v>0</v>
      </c>
      <c r="AE316" s="517"/>
      <c r="AF316" s="518"/>
      <c r="AG316" s="482">
        <f t="shared" si="996"/>
        <v>0</v>
      </c>
      <c r="AH316" s="517"/>
      <c r="AI316" s="518"/>
      <c r="AJ316" s="482">
        <f t="shared" si="997"/>
        <v>0</v>
      </c>
      <c r="AK316" s="517"/>
      <c r="AL316" s="518"/>
      <c r="AM316" s="482">
        <f t="shared" si="998"/>
        <v>0</v>
      </c>
      <c r="AN316" s="517"/>
      <c r="AO316" s="518"/>
      <c r="AP316" s="482">
        <f t="shared" si="999"/>
        <v>0</v>
      </c>
      <c r="AQ316" s="517"/>
      <c r="AR316" s="518"/>
      <c r="AS316" s="482">
        <f t="shared" si="1000"/>
        <v>0</v>
      </c>
      <c r="AT316" s="517"/>
      <c r="AU316" s="518"/>
      <c r="AV316" s="482">
        <f t="shared" si="1001"/>
        <v>0</v>
      </c>
      <c r="AW316" s="517"/>
      <c r="AX316" s="518"/>
      <c r="AY316" s="482">
        <f t="shared" si="1002"/>
        <v>0</v>
      </c>
      <c r="AZ316" s="517"/>
      <c r="BA316" s="518"/>
      <c r="BB316" s="482">
        <f t="shared" si="1003"/>
        <v>0</v>
      </c>
      <c r="BC316" s="517"/>
      <c r="BD316" s="518"/>
      <c r="BE316" s="482">
        <f t="shared" si="1004"/>
        <v>0</v>
      </c>
      <c r="BF316" s="517"/>
      <c r="BG316" s="518"/>
      <c r="BH316" s="482">
        <f t="shared" si="1005"/>
        <v>0</v>
      </c>
      <c r="BI316" s="517"/>
      <c r="BJ316" s="518"/>
      <c r="BK316" s="482">
        <f t="shared" si="1006"/>
        <v>0</v>
      </c>
      <c r="BL316" s="517"/>
      <c r="BM316" s="518"/>
      <c r="BN316" s="482">
        <f t="shared" si="1007"/>
        <v>0</v>
      </c>
      <c r="BO316" s="517"/>
      <c r="BP316" s="518"/>
      <c r="BQ316" s="482">
        <f t="shared" si="1008"/>
        <v>0</v>
      </c>
      <c r="BR316" s="516"/>
      <c r="BS316" s="518"/>
      <c r="BT316" s="482">
        <f t="shared" si="1009"/>
        <v>0</v>
      </c>
      <c r="BU316" s="516"/>
      <c r="BV316" s="518"/>
      <c r="BW316" s="482">
        <f t="shared" si="1010"/>
        <v>0</v>
      </c>
      <c r="BX316" s="516"/>
      <c r="BY316" s="518"/>
      <c r="BZ316" s="482">
        <f t="shared" si="1011"/>
        <v>0</v>
      </c>
      <c r="CA316" s="516"/>
      <c r="CB316" s="518"/>
      <c r="CC316" s="482">
        <f t="shared" si="1012"/>
        <v>0</v>
      </c>
      <c r="CD316" s="516"/>
      <c r="CE316" s="518"/>
      <c r="CF316" s="482">
        <f t="shared" si="1013"/>
        <v>0</v>
      </c>
      <c r="CG316" s="516"/>
      <c r="CH316" s="518"/>
      <c r="CI316" s="482">
        <f t="shared" si="1014"/>
        <v>0</v>
      </c>
      <c r="CJ316" s="516"/>
      <c r="CK316" s="518"/>
      <c r="CL316" s="482">
        <f t="shared" si="1015"/>
        <v>0</v>
      </c>
      <c r="CM316" s="516"/>
      <c r="CN316" s="518"/>
      <c r="CO316" s="482">
        <f t="shared" si="1016"/>
        <v>0</v>
      </c>
      <c r="CP316" s="516"/>
      <c r="CQ316" s="518"/>
      <c r="CR316" s="482">
        <f t="shared" si="1017"/>
        <v>0</v>
      </c>
      <c r="CS316" s="516"/>
      <c r="CT316" s="518"/>
      <c r="CU316" s="482">
        <f t="shared" si="1018"/>
        <v>0</v>
      </c>
      <c r="CV316" s="516"/>
      <c r="CW316" s="518"/>
      <c r="CX316" s="482">
        <f t="shared" si="1019"/>
        <v>0</v>
      </c>
      <c r="CY316" s="516"/>
      <c r="CZ316" s="518"/>
      <c r="DA316" s="482">
        <f t="shared" si="1020"/>
        <v>0</v>
      </c>
      <c r="DB316" s="516"/>
      <c r="DC316" s="518"/>
      <c r="DD316" s="482">
        <f t="shared" si="1021"/>
        <v>0</v>
      </c>
      <c r="DE316" s="516"/>
      <c r="DF316" s="518"/>
      <c r="DG316" s="482">
        <f t="shared" si="1022"/>
        <v>0</v>
      </c>
      <c r="DH316" s="1258"/>
      <c r="DI316" s="482"/>
      <c r="DJ316" s="482">
        <f t="shared" si="1023"/>
        <v>0</v>
      </c>
      <c r="DK316" s="1244"/>
      <c r="DL316" s="482"/>
      <c r="DM316" s="482">
        <f t="shared" si="1024"/>
        <v>0</v>
      </c>
      <c r="DN316" s="1244"/>
      <c r="DO316" s="482"/>
      <c r="DP316" s="482">
        <f t="shared" si="1025"/>
        <v>0</v>
      </c>
      <c r="DQ316" s="1244"/>
      <c r="DR316" s="482"/>
      <c r="DS316" s="482">
        <f t="shared" si="1026"/>
        <v>0</v>
      </c>
      <c r="DT316" s="1244"/>
      <c r="DU316" s="482"/>
      <c r="DV316" s="482">
        <f t="shared" si="1027"/>
        <v>0</v>
      </c>
      <c r="DW316" s="1244"/>
      <c r="DX316" s="482"/>
      <c r="DY316" s="482">
        <f t="shared" si="1028"/>
        <v>0</v>
      </c>
      <c r="DZ316" s="1244"/>
      <c r="EA316" s="482"/>
      <c r="EB316" s="482">
        <f t="shared" si="1029"/>
        <v>0</v>
      </c>
      <c r="EC316" s="1244"/>
      <c r="ED316" s="482"/>
      <c r="EE316" s="482">
        <f t="shared" si="1030"/>
        <v>0</v>
      </c>
      <c r="EF316" s="1244"/>
      <c r="EG316" s="482"/>
      <c r="EH316" s="482">
        <f t="shared" si="1031"/>
        <v>0</v>
      </c>
      <c r="EI316" s="1244"/>
      <c r="EJ316" s="482"/>
      <c r="EK316" s="482">
        <f t="shared" si="1032"/>
        <v>0</v>
      </c>
      <c r="EL316" s="1244"/>
      <c r="EM316" s="482"/>
      <c r="EN316" s="482">
        <f t="shared" si="1033"/>
        <v>0</v>
      </c>
      <c r="EO316" s="1244"/>
      <c r="EP316" s="482"/>
      <c r="EQ316" s="482">
        <f t="shared" si="1034"/>
        <v>0</v>
      </c>
      <c r="ER316" s="1244"/>
      <c r="ES316" s="482"/>
      <c r="ET316" s="482">
        <f t="shared" si="1035"/>
        <v>0</v>
      </c>
      <c r="EU316" s="1244"/>
      <c r="EV316" s="482"/>
      <c r="EW316" s="482">
        <f t="shared" si="1036"/>
        <v>0</v>
      </c>
      <c r="EX316" s="1244"/>
      <c r="EY316" s="482"/>
      <c r="EZ316" s="482">
        <f t="shared" si="1037"/>
        <v>0</v>
      </c>
      <c r="FA316" s="1244"/>
      <c r="FE316"/>
      <c r="FF316"/>
      <c r="FG316"/>
      <c r="FH316"/>
      <c r="FI316"/>
      <c r="FJ316"/>
      <c r="FK316" s="35"/>
    </row>
    <row r="317" spans="1:167" s="236" customFormat="1" ht="13.35" customHeight="1" outlineLevel="1">
      <c r="B317" s="242" t="s">
        <v>499</v>
      </c>
      <c r="C317" s="242" t="s">
        <v>496</v>
      </c>
      <c r="D317" s="243"/>
      <c r="E317" s="516"/>
      <c r="F317" s="482">
        <f t="shared" si="987"/>
        <v>0</v>
      </c>
      <c r="G317" s="517"/>
      <c r="H317" s="518"/>
      <c r="I317" s="482">
        <f t="shared" si="988"/>
        <v>0</v>
      </c>
      <c r="J317" s="517"/>
      <c r="K317" s="518"/>
      <c r="L317" s="482">
        <f t="shared" si="989"/>
        <v>0</v>
      </c>
      <c r="M317" s="517"/>
      <c r="N317" s="518"/>
      <c r="O317" s="482">
        <f t="shared" si="990"/>
        <v>0</v>
      </c>
      <c r="P317" s="517"/>
      <c r="Q317" s="518"/>
      <c r="R317" s="482">
        <f t="shared" si="991"/>
        <v>0</v>
      </c>
      <c r="S317" s="517"/>
      <c r="T317" s="518"/>
      <c r="U317" s="482">
        <f t="shared" si="992"/>
        <v>0</v>
      </c>
      <c r="V317" s="517"/>
      <c r="W317" s="518"/>
      <c r="X317" s="482">
        <f t="shared" si="993"/>
        <v>0</v>
      </c>
      <c r="Y317" s="517"/>
      <c r="Z317" s="518"/>
      <c r="AA317" s="482">
        <f t="shared" si="994"/>
        <v>0</v>
      </c>
      <c r="AB317" s="517"/>
      <c r="AC317" s="518"/>
      <c r="AD317" s="482">
        <f t="shared" si="995"/>
        <v>0</v>
      </c>
      <c r="AE317" s="517"/>
      <c r="AF317" s="518"/>
      <c r="AG317" s="482">
        <f t="shared" si="996"/>
        <v>0</v>
      </c>
      <c r="AH317" s="517"/>
      <c r="AI317" s="518"/>
      <c r="AJ317" s="482">
        <f t="shared" si="997"/>
        <v>0</v>
      </c>
      <c r="AK317" s="517"/>
      <c r="AL317" s="518"/>
      <c r="AM317" s="482">
        <f t="shared" si="998"/>
        <v>0</v>
      </c>
      <c r="AN317" s="517"/>
      <c r="AO317" s="518"/>
      <c r="AP317" s="482">
        <f t="shared" si="999"/>
        <v>0</v>
      </c>
      <c r="AQ317" s="517"/>
      <c r="AR317" s="518"/>
      <c r="AS317" s="482">
        <f t="shared" si="1000"/>
        <v>0</v>
      </c>
      <c r="AT317" s="517"/>
      <c r="AU317" s="518"/>
      <c r="AV317" s="482">
        <f t="shared" si="1001"/>
        <v>0</v>
      </c>
      <c r="AW317" s="517"/>
      <c r="AX317" s="518"/>
      <c r="AY317" s="482">
        <f t="shared" si="1002"/>
        <v>0</v>
      </c>
      <c r="AZ317" s="517"/>
      <c r="BA317" s="518"/>
      <c r="BB317" s="482">
        <f t="shared" si="1003"/>
        <v>0</v>
      </c>
      <c r="BC317" s="517"/>
      <c r="BD317" s="518"/>
      <c r="BE317" s="482">
        <f t="shared" si="1004"/>
        <v>0</v>
      </c>
      <c r="BF317" s="517"/>
      <c r="BG317" s="518"/>
      <c r="BH317" s="482">
        <f t="shared" si="1005"/>
        <v>1.107</v>
      </c>
      <c r="BI317" s="520">
        <v>1.107</v>
      </c>
      <c r="BJ317" s="518"/>
      <c r="BK317" s="482">
        <f t="shared" si="1006"/>
        <v>-1.08</v>
      </c>
      <c r="BL317" s="520">
        <v>-1.08</v>
      </c>
      <c r="BM317" s="518"/>
      <c r="BN317" s="482">
        <f t="shared" si="1007"/>
        <v>0</v>
      </c>
      <c r="BO317" s="517"/>
      <c r="BP317" s="518"/>
      <c r="BQ317" s="482">
        <f t="shared" si="1008"/>
        <v>0</v>
      </c>
      <c r="BR317" s="516"/>
      <c r="BS317" s="518"/>
      <c r="BT317" s="482">
        <f t="shared" si="1009"/>
        <v>0</v>
      </c>
      <c r="BU317" s="516"/>
      <c r="BV317" s="518"/>
      <c r="BW317" s="482">
        <f t="shared" si="1010"/>
        <v>0</v>
      </c>
      <c r="BX317" s="516"/>
      <c r="BY317" s="518"/>
      <c r="BZ317" s="482">
        <f t="shared" si="1011"/>
        <v>0</v>
      </c>
      <c r="CA317" s="516"/>
      <c r="CB317" s="518"/>
      <c r="CC317" s="482">
        <f t="shared" si="1012"/>
        <v>0</v>
      </c>
      <c r="CD317" s="516"/>
      <c r="CE317" s="518"/>
      <c r="CF317" s="482">
        <f t="shared" si="1013"/>
        <v>0</v>
      </c>
      <c r="CG317" s="516"/>
      <c r="CH317" s="518"/>
      <c r="CI317" s="482">
        <f t="shared" si="1014"/>
        <v>0</v>
      </c>
      <c r="CJ317" s="516"/>
      <c r="CK317" s="518"/>
      <c r="CL317" s="482">
        <f t="shared" si="1015"/>
        <v>0</v>
      </c>
      <c r="CM317" s="516"/>
      <c r="CN317" s="518"/>
      <c r="CO317" s="482">
        <f t="shared" si="1016"/>
        <v>0</v>
      </c>
      <c r="CP317" s="516"/>
      <c r="CQ317" s="518"/>
      <c r="CR317" s="482">
        <f t="shared" si="1017"/>
        <v>0</v>
      </c>
      <c r="CS317" s="516"/>
      <c r="CT317" s="518"/>
      <c r="CU317" s="482">
        <f t="shared" si="1018"/>
        <v>0</v>
      </c>
      <c r="CV317" s="516"/>
      <c r="CW317" s="518"/>
      <c r="CX317" s="482">
        <f t="shared" si="1019"/>
        <v>0</v>
      </c>
      <c r="CY317" s="516"/>
      <c r="CZ317" s="518"/>
      <c r="DA317" s="482">
        <f t="shared" si="1020"/>
        <v>0</v>
      </c>
      <c r="DB317" s="516"/>
      <c r="DC317" s="518"/>
      <c r="DD317" s="482">
        <f t="shared" si="1021"/>
        <v>0</v>
      </c>
      <c r="DE317" s="516"/>
      <c r="DF317" s="518"/>
      <c r="DG317" s="482">
        <f t="shared" si="1022"/>
        <v>0</v>
      </c>
      <c r="DH317" s="1258"/>
      <c r="DI317" s="482"/>
      <c r="DJ317" s="482">
        <f t="shared" si="1023"/>
        <v>0</v>
      </c>
      <c r="DK317" s="1244"/>
      <c r="DL317" s="482"/>
      <c r="DM317" s="482">
        <f t="shared" si="1024"/>
        <v>0</v>
      </c>
      <c r="DN317" s="1244"/>
      <c r="DO317" s="482"/>
      <c r="DP317" s="482">
        <f t="shared" si="1025"/>
        <v>0</v>
      </c>
      <c r="DQ317" s="1244"/>
      <c r="DR317" s="482"/>
      <c r="DS317" s="482">
        <f t="shared" si="1026"/>
        <v>0</v>
      </c>
      <c r="DT317" s="1244"/>
      <c r="DU317" s="482"/>
      <c r="DV317" s="482">
        <f t="shared" si="1027"/>
        <v>0</v>
      </c>
      <c r="DW317" s="1244"/>
      <c r="DX317" s="482"/>
      <c r="DY317" s="482">
        <f t="shared" si="1028"/>
        <v>0</v>
      </c>
      <c r="DZ317" s="1244"/>
      <c r="EA317" s="482"/>
      <c r="EB317" s="482">
        <f t="shared" si="1029"/>
        <v>0</v>
      </c>
      <c r="EC317" s="1244"/>
      <c r="ED317" s="482"/>
      <c r="EE317" s="482">
        <f t="shared" si="1030"/>
        <v>0</v>
      </c>
      <c r="EF317" s="1244"/>
      <c r="EG317" s="482"/>
      <c r="EH317" s="482">
        <f t="shared" si="1031"/>
        <v>0</v>
      </c>
      <c r="EI317" s="1244"/>
      <c r="EJ317" s="482"/>
      <c r="EK317" s="482">
        <f t="shared" si="1032"/>
        <v>0</v>
      </c>
      <c r="EL317" s="1244"/>
      <c r="EM317" s="482"/>
      <c r="EN317" s="482">
        <f t="shared" si="1033"/>
        <v>0</v>
      </c>
      <c r="EO317" s="1244"/>
      <c r="EP317" s="482"/>
      <c r="EQ317" s="482">
        <f t="shared" si="1034"/>
        <v>0</v>
      </c>
      <c r="ER317" s="1244"/>
      <c r="ES317" s="482"/>
      <c r="ET317" s="482">
        <f t="shared" si="1035"/>
        <v>0</v>
      </c>
      <c r="EU317" s="1244"/>
      <c r="EV317" s="482"/>
      <c r="EW317" s="482">
        <f t="shared" si="1036"/>
        <v>0</v>
      </c>
      <c r="EX317" s="1244"/>
      <c r="EY317" s="482"/>
      <c r="EZ317" s="482">
        <f t="shared" si="1037"/>
        <v>0</v>
      </c>
      <c r="FA317" s="1244"/>
      <c r="FE317"/>
      <c r="FF317"/>
      <c r="FG317"/>
      <c r="FH317"/>
      <c r="FI317"/>
      <c r="FJ317"/>
      <c r="FK317" s="35"/>
    </row>
    <row r="318" spans="1:167" s="236" customFormat="1" ht="13.35" customHeight="1" outlineLevel="1">
      <c r="B318" s="242" t="s">
        <v>500</v>
      </c>
      <c r="C318" s="242" t="s">
        <v>496</v>
      </c>
      <c r="D318" s="243"/>
      <c r="E318" s="516"/>
      <c r="F318" s="482">
        <f t="shared" si="987"/>
        <v>0</v>
      </c>
      <c r="G318" s="517"/>
      <c r="H318" s="518"/>
      <c r="I318" s="482">
        <f t="shared" si="988"/>
        <v>0</v>
      </c>
      <c r="J318" s="517"/>
      <c r="K318" s="518"/>
      <c r="L318" s="482">
        <f t="shared" si="989"/>
        <v>0</v>
      </c>
      <c r="M318" s="517"/>
      <c r="N318" s="518"/>
      <c r="O318" s="482">
        <f t="shared" si="990"/>
        <v>0</v>
      </c>
      <c r="P318" s="517"/>
      <c r="Q318" s="518"/>
      <c r="R318" s="482">
        <f t="shared" si="991"/>
        <v>0</v>
      </c>
      <c r="S318" s="517"/>
      <c r="T318" s="518"/>
      <c r="U318" s="482">
        <f t="shared" si="992"/>
        <v>0</v>
      </c>
      <c r="V318" s="517"/>
      <c r="W318" s="518"/>
      <c r="X318" s="482">
        <f t="shared" si="993"/>
        <v>0</v>
      </c>
      <c r="Y318" s="517"/>
      <c r="Z318" s="518"/>
      <c r="AA318" s="482">
        <f t="shared" si="994"/>
        <v>0</v>
      </c>
      <c r="AB318" s="517"/>
      <c r="AC318" s="518"/>
      <c r="AD318" s="482">
        <f t="shared" si="995"/>
        <v>0</v>
      </c>
      <c r="AE318" s="517"/>
      <c r="AF318" s="518"/>
      <c r="AG318" s="482">
        <f t="shared" si="996"/>
        <v>0</v>
      </c>
      <c r="AH318" s="517"/>
      <c r="AI318" s="518"/>
      <c r="AJ318" s="482">
        <f t="shared" si="997"/>
        <v>0</v>
      </c>
      <c r="AK318" s="517"/>
      <c r="AL318" s="518"/>
      <c r="AM318" s="482">
        <f t="shared" si="998"/>
        <v>0</v>
      </c>
      <c r="AN318" s="517"/>
      <c r="AO318" s="518"/>
      <c r="AP318" s="482">
        <f t="shared" si="999"/>
        <v>0</v>
      </c>
      <c r="AQ318" s="517"/>
      <c r="AR318" s="518"/>
      <c r="AS318" s="482">
        <f t="shared" si="1000"/>
        <v>0</v>
      </c>
      <c r="AT318" s="517"/>
      <c r="AU318" s="518">
        <f>3.69-SUM(AU313:AU317)</f>
        <v>3.69</v>
      </c>
      <c r="AV318" s="482">
        <f t="shared" si="1001"/>
        <v>1.149</v>
      </c>
      <c r="AW318" s="517">
        <f>1.149-SUM(AW313:AW317)</f>
        <v>1.149</v>
      </c>
      <c r="AX318" s="518">
        <f>2.04-SUM(AX313:AX317)</f>
        <v>2.04</v>
      </c>
      <c r="AY318" s="482">
        <f t="shared" si="1002"/>
        <v>3.5270000000000001</v>
      </c>
      <c r="AZ318" s="520">
        <v>3.5270000000000001</v>
      </c>
      <c r="BA318" s="519">
        <v>5.7069999999999999</v>
      </c>
      <c r="BB318" s="482">
        <f t="shared" si="1003"/>
        <v>3.423</v>
      </c>
      <c r="BC318" s="520">
        <v>3.423</v>
      </c>
      <c r="BD318" s="518"/>
      <c r="BE318" s="482">
        <f t="shared" si="1004"/>
        <v>0</v>
      </c>
      <c r="BF318" s="517"/>
      <c r="BG318" s="518"/>
      <c r="BH318" s="482">
        <f t="shared" si="1005"/>
        <v>8.1000000000000003E-2</v>
      </c>
      <c r="BI318" s="520">
        <v>8.1000000000000003E-2</v>
      </c>
      <c r="BJ318" s="518"/>
      <c r="BK318" s="482">
        <f t="shared" si="1006"/>
        <v>8.4000000000000005E-2</v>
      </c>
      <c r="BL318" s="520">
        <v>8.4000000000000005E-2</v>
      </c>
      <c r="BM318" s="518"/>
      <c r="BN318" s="482">
        <f t="shared" si="1007"/>
        <v>0</v>
      </c>
      <c r="BO318" s="517"/>
      <c r="BP318" s="518"/>
      <c r="BQ318" s="482">
        <f t="shared" si="1008"/>
        <v>0</v>
      </c>
      <c r="BR318" s="516"/>
      <c r="BS318" s="518"/>
      <c r="BT318" s="482">
        <f t="shared" si="1009"/>
        <v>0</v>
      </c>
      <c r="BU318" s="516"/>
      <c r="BV318" s="518"/>
      <c r="BW318" s="482">
        <f t="shared" si="1010"/>
        <v>0</v>
      </c>
      <c r="BX318" s="516"/>
      <c r="BY318" s="518"/>
      <c r="BZ318" s="482">
        <f t="shared" si="1011"/>
        <v>0</v>
      </c>
      <c r="CA318" s="516"/>
      <c r="CB318" s="518"/>
      <c r="CC318" s="482">
        <f t="shared" si="1012"/>
        <v>0</v>
      </c>
      <c r="CD318" s="516"/>
      <c r="CE318" s="518"/>
      <c r="CF318" s="482">
        <f t="shared" si="1013"/>
        <v>0</v>
      </c>
      <c r="CG318" s="516"/>
      <c r="CH318" s="518"/>
      <c r="CI318" s="482">
        <f t="shared" si="1014"/>
        <v>0</v>
      </c>
      <c r="CJ318" s="516"/>
      <c r="CK318" s="518"/>
      <c r="CL318" s="482">
        <f t="shared" si="1015"/>
        <v>0</v>
      </c>
      <c r="CM318" s="516"/>
      <c r="CN318" s="518"/>
      <c r="CO318" s="482">
        <f t="shared" si="1016"/>
        <v>0</v>
      </c>
      <c r="CP318" s="516"/>
      <c r="CQ318" s="518"/>
      <c r="CR318" s="482">
        <f t="shared" si="1017"/>
        <v>0</v>
      </c>
      <c r="CS318" s="516"/>
      <c r="CT318" s="518"/>
      <c r="CU318" s="482">
        <f t="shared" si="1018"/>
        <v>0</v>
      </c>
      <c r="CV318" s="516"/>
      <c r="CW318" s="518"/>
      <c r="CX318" s="482">
        <f t="shared" si="1019"/>
        <v>0</v>
      </c>
      <c r="CY318" s="516"/>
      <c r="CZ318" s="518"/>
      <c r="DA318" s="482">
        <f t="shared" si="1020"/>
        <v>0</v>
      </c>
      <c r="DB318" s="516"/>
      <c r="DC318" s="518"/>
      <c r="DD318" s="482">
        <f t="shared" si="1021"/>
        <v>0</v>
      </c>
      <c r="DE318" s="516"/>
      <c r="DF318" s="518"/>
      <c r="DG318" s="482">
        <f t="shared" si="1022"/>
        <v>0</v>
      </c>
      <c r="DH318" s="1258"/>
      <c r="DI318" s="482"/>
      <c r="DJ318" s="482">
        <f>+DK318</f>
        <v>0</v>
      </c>
      <c r="DK318" s="1244"/>
      <c r="DL318" s="482"/>
      <c r="DM318" s="482">
        <f t="shared" si="1024"/>
        <v>0</v>
      </c>
      <c r="DN318" s="1244"/>
      <c r="DO318" s="482"/>
      <c r="DP318" s="482">
        <f t="shared" si="1025"/>
        <v>0</v>
      </c>
      <c r="DQ318" s="1244"/>
      <c r="DR318" s="482"/>
      <c r="DS318" s="482">
        <f t="shared" si="1026"/>
        <v>0</v>
      </c>
      <c r="DT318" s="1244"/>
      <c r="DU318" s="482"/>
      <c r="DV318" s="482">
        <f t="shared" si="1027"/>
        <v>0</v>
      </c>
      <c r="DW318" s="1244"/>
      <c r="DX318" s="482"/>
      <c r="DY318" s="482">
        <f t="shared" si="1028"/>
        <v>0</v>
      </c>
      <c r="DZ318" s="1244"/>
      <c r="EA318" s="482"/>
      <c r="EB318" s="482">
        <f t="shared" si="1029"/>
        <v>0</v>
      </c>
      <c r="EC318" s="1244"/>
      <c r="ED318" s="482"/>
      <c r="EE318" s="482">
        <f t="shared" si="1030"/>
        <v>0</v>
      </c>
      <c r="EF318" s="1244"/>
      <c r="EG318" s="482"/>
      <c r="EH318" s="482">
        <f t="shared" si="1031"/>
        <v>0</v>
      </c>
      <c r="EI318" s="1244"/>
      <c r="EJ318" s="482"/>
      <c r="EK318" s="482">
        <f t="shared" si="1032"/>
        <v>0</v>
      </c>
      <c r="EL318" s="1244"/>
      <c r="EM318" s="482"/>
      <c r="EN318" s="482">
        <f t="shared" si="1033"/>
        <v>0</v>
      </c>
      <c r="EO318" s="1244"/>
      <c r="EP318" s="482"/>
      <c r="EQ318" s="482">
        <f t="shared" si="1034"/>
        <v>0</v>
      </c>
      <c r="ER318" s="1244"/>
      <c r="ES318" s="482"/>
      <c r="ET318" s="482">
        <f t="shared" si="1035"/>
        <v>0</v>
      </c>
      <c r="EU318" s="1244"/>
      <c r="EV318" s="482"/>
      <c r="EW318" s="482">
        <f t="shared" si="1036"/>
        <v>0</v>
      </c>
      <c r="EX318" s="1244"/>
      <c r="EY318" s="482"/>
      <c r="EZ318" s="482">
        <f t="shared" si="1037"/>
        <v>0</v>
      </c>
      <c r="FA318" s="1244"/>
      <c r="FE318"/>
      <c r="FF318"/>
      <c r="FG318"/>
      <c r="FH318"/>
      <c r="FI318"/>
      <c r="FJ318"/>
      <c r="FK318" s="35"/>
    </row>
    <row r="319" spans="1:167" s="236" customFormat="1" ht="13.35" customHeight="1">
      <c r="B319" s="1532" t="s">
        <v>501</v>
      </c>
      <c r="C319" s="1483" t="s">
        <v>496</v>
      </c>
      <c r="D319" s="1484"/>
      <c r="E319" s="1488"/>
      <c r="F319" s="1485">
        <f t="shared" si="987"/>
        <v>0</v>
      </c>
      <c r="G319" s="1534"/>
      <c r="H319" s="1490"/>
      <c r="I319" s="1485">
        <f t="shared" si="988"/>
        <v>0</v>
      </c>
      <c r="J319" s="1534"/>
      <c r="K319" s="1490"/>
      <c r="L319" s="1485">
        <f t="shared" si="989"/>
        <v>0</v>
      </c>
      <c r="M319" s="1534"/>
      <c r="N319" s="1490"/>
      <c r="O319" s="1485">
        <f t="shared" si="990"/>
        <v>0</v>
      </c>
      <c r="P319" s="1534"/>
      <c r="Q319" s="1490"/>
      <c r="R319" s="1485">
        <f t="shared" si="991"/>
        <v>0</v>
      </c>
      <c r="S319" s="1534"/>
      <c r="T319" s="1490"/>
      <c r="U319" s="1485">
        <f t="shared" si="992"/>
        <v>0</v>
      </c>
      <c r="V319" s="1534"/>
      <c r="W319" s="1490"/>
      <c r="X319" s="1485">
        <f t="shared" si="993"/>
        <v>0</v>
      </c>
      <c r="Y319" s="1534"/>
      <c r="Z319" s="1490"/>
      <c r="AA319" s="1485">
        <f t="shared" si="994"/>
        <v>0</v>
      </c>
      <c r="AB319" s="1534"/>
      <c r="AC319" s="1490"/>
      <c r="AD319" s="1485">
        <f t="shared" si="995"/>
        <v>0</v>
      </c>
      <c r="AE319" s="1534"/>
      <c r="AF319" s="1490"/>
      <c r="AG319" s="1485">
        <f t="shared" si="996"/>
        <v>0</v>
      </c>
      <c r="AH319" s="1534"/>
      <c r="AI319" s="1491">
        <v>6.5</v>
      </c>
      <c r="AJ319" s="1485">
        <f t="shared" si="997"/>
        <v>8.7550000000000008</v>
      </c>
      <c r="AK319" s="1535">
        <v>8.7550000000000008</v>
      </c>
      <c r="AL319" s="1491">
        <v>10.31</v>
      </c>
      <c r="AM319" s="1485">
        <f t="shared" si="998"/>
        <v>14.212</v>
      </c>
      <c r="AN319" s="1535">
        <v>14.212</v>
      </c>
      <c r="AO319" s="1491">
        <v>16.192</v>
      </c>
      <c r="AP319" s="1485">
        <f t="shared" si="999"/>
        <v>18.806000000000001</v>
      </c>
      <c r="AQ319" s="1535">
        <v>18.806000000000001</v>
      </c>
      <c r="AR319" s="1490">
        <f>21.231+0.335</f>
        <v>21.566000000000003</v>
      </c>
      <c r="AS319" s="1485">
        <f t="shared" si="1000"/>
        <v>24.341000000000001</v>
      </c>
      <c r="AT319" s="1535">
        <v>24.341000000000001</v>
      </c>
      <c r="AU319" s="1490">
        <f>26.941+0.29</f>
        <v>27.230999999999998</v>
      </c>
      <c r="AV319" s="1485">
        <f t="shared" si="1001"/>
        <v>26.518000000000001</v>
      </c>
      <c r="AW319" s="1535">
        <v>26.518000000000001</v>
      </c>
      <c r="AX319" s="1490">
        <f>29.172-1.03</f>
        <v>28.141999999999999</v>
      </c>
      <c r="AY319" s="1485">
        <f t="shared" si="1002"/>
        <v>31.338000000000001</v>
      </c>
      <c r="AZ319" s="1535">
        <v>31.338000000000001</v>
      </c>
      <c r="BA319" s="1490">
        <f>36.808+0.267</f>
        <v>37.075000000000003</v>
      </c>
      <c r="BB319" s="1485">
        <f t="shared" si="1003"/>
        <v>41.189</v>
      </c>
      <c r="BC319" s="1535">
        <v>41.189</v>
      </c>
      <c r="BD319" s="1491">
        <v>47.34</v>
      </c>
      <c r="BE319" s="1485">
        <f t="shared" si="1004"/>
        <v>54.524000000000001</v>
      </c>
      <c r="BF319" s="1535">
        <v>54.524000000000001</v>
      </c>
      <c r="BG319" s="1491">
        <v>81.840999999999994</v>
      </c>
      <c r="BH319" s="1485">
        <f t="shared" si="1005"/>
        <v>95.41</v>
      </c>
      <c r="BI319" s="1535">
        <v>95.41</v>
      </c>
      <c r="BJ319" s="1491">
        <v>98.343000000000004</v>
      </c>
      <c r="BK319" s="1485">
        <f t="shared" si="1006"/>
        <v>89.266999999999996</v>
      </c>
      <c r="BL319" s="1535">
        <v>89.266999999999996</v>
      </c>
      <c r="BM319" s="1491">
        <v>93.897999999999996</v>
      </c>
      <c r="BN319" s="1485">
        <f t="shared" si="1007"/>
        <v>104.462</v>
      </c>
      <c r="BO319" s="1535">
        <v>104.462</v>
      </c>
      <c r="BP319" s="1491">
        <v>125.498</v>
      </c>
      <c r="BQ319" s="1485">
        <f t="shared" si="1008"/>
        <v>137.864</v>
      </c>
      <c r="BR319" s="1533">
        <v>137.864</v>
      </c>
      <c r="BS319" s="1491">
        <v>158.67099999999999</v>
      </c>
      <c r="BT319" s="1485">
        <f t="shared" si="1009"/>
        <v>181.227</v>
      </c>
      <c r="BU319" s="1533">
        <v>181.227</v>
      </c>
      <c r="BV319" s="1491">
        <v>202.24799999999999</v>
      </c>
      <c r="BW319" s="1485">
        <f t="shared" si="1010"/>
        <v>223.334</v>
      </c>
      <c r="BX319" s="1533">
        <v>223.334</v>
      </c>
      <c r="BY319" s="1491">
        <v>251.71700000000001</v>
      </c>
      <c r="BZ319" s="1485">
        <f t="shared" si="1011"/>
        <v>250.96</v>
      </c>
      <c r="CA319" s="1533">
        <v>250.96</v>
      </c>
      <c r="CB319" s="1491">
        <v>293.14999999999998</v>
      </c>
      <c r="CC319" s="1485">
        <f t="shared" si="1012"/>
        <v>299.02300000000002</v>
      </c>
      <c r="CD319" s="1533">
        <v>299.02300000000002</v>
      </c>
      <c r="CE319" s="1491">
        <v>326.84500000000003</v>
      </c>
      <c r="CF319" s="1485">
        <f t="shared" si="1013"/>
        <v>360.18900000000002</v>
      </c>
      <c r="CG319" s="1533">
        <v>360.18900000000002</v>
      </c>
      <c r="CH319" s="1491">
        <v>271.62900000000002</v>
      </c>
      <c r="CI319" s="1485">
        <f t="shared" si="1014"/>
        <v>280.50599999999997</v>
      </c>
      <c r="CJ319" s="1533">
        <v>280.50599999999997</v>
      </c>
      <c r="CK319" s="1491">
        <v>286.95499999999998</v>
      </c>
      <c r="CL319" s="1485">
        <f t="shared" si="1015"/>
        <v>270.55799999999999</v>
      </c>
      <c r="CM319" s="1533">
        <v>270.55799999999999</v>
      </c>
      <c r="CN319" s="1491">
        <v>216.72499999999999</v>
      </c>
      <c r="CO319" s="1485">
        <f t="shared" si="1016"/>
        <v>217.26</v>
      </c>
      <c r="CP319" s="1533">
        <v>217.26</v>
      </c>
      <c r="CQ319" s="1491">
        <v>216.166</v>
      </c>
      <c r="CR319" s="1485">
        <f t="shared" si="1017"/>
        <v>237.45099999999999</v>
      </c>
      <c r="CS319" s="1533">
        <v>237.45099999999999</v>
      </c>
      <c r="CT319" s="1491">
        <v>274.31599999999997</v>
      </c>
      <c r="CU319" s="1485">
        <f t="shared" si="1018"/>
        <v>304.279</v>
      </c>
      <c r="CV319" s="1533">
        <v>304.279</v>
      </c>
      <c r="CW319" s="1491">
        <v>346.76299999999998</v>
      </c>
      <c r="CX319" s="1485">
        <f t="shared" si="1019"/>
        <v>387.08100000000002</v>
      </c>
      <c r="CY319" s="1533">
        <v>387.08100000000002</v>
      </c>
      <c r="CZ319" s="1490">
        <v>417.4</v>
      </c>
      <c r="DA319" s="1485">
        <f t="shared" si="1020"/>
        <v>471.6</v>
      </c>
      <c r="DB319" s="1488">
        <v>471.6</v>
      </c>
      <c r="DC319" s="1490">
        <v>500.5</v>
      </c>
      <c r="DD319" s="1485">
        <f t="shared" si="1021"/>
        <v>558.9</v>
      </c>
      <c r="DE319" s="1488">
        <v>558.9</v>
      </c>
      <c r="DF319" s="1490">
        <v>603.29999999999995</v>
      </c>
      <c r="DG319" s="1485">
        <f t="shared" si="1022"/>
        <v>116.4</v>
      </c>
      <c r="DH319" s="1536">
        <v>116.4</v>
      </c>
      <c r="DI319" s="1526">
        <v>352.6</v>
      </c>
      <c r="DJ319" s="1485">
        <f t="shared" si="1023"/>
        <v>367.2</v>
      </c>
      <c r="DK319" s="1527">
        <v>367.2</v>
      </c>
      <c r="DL319" s="1526">
        <v>432.3</v>
      </c>
      <c r="DM319" s="1485">
        <f t="shared" si="1024"/>
        <v>455.3</v>
      </c>
      <c r="DN319" s="1527">
        <v>455.3</v>
      </c>
      <c r="DO319" s="1526">
        <v>501.5</v>
      </c>
      <c r="DP319" s="1485">
        <f t="shared" si="1025"/>
        <v>555.4</v>
      </c>
      <c r="DQ319" s="1527">
        <v>555.4</v>
      </c>
      <c r="DR319" s="1526">
        <v>632.1</v>
      </c>
      <c r="DS319" s="1485">
        <f t="shared" si="1026"/>
        <v>667.9</v>
      </c>
      <c r="DT319" s="1527">
        <v>667.9</v>
      </c>
      <c r="DU319" s="1526">
        <v>735.5</v>
      </c>
      <c r="DV319" s="1485">
        <f t="shared" si="1027"/>
        <v>777.3</v>
      </c>
      <c r="DW319" s="1527">
        <v>777.3</v>
      </c>
      <c r="DX319" s="1526">
        <v>798.2</v>
      </c>
      <c r="DY319" s="1485">
        <f>DX319+DY115+DY209</f>
        <v>831.27376144898699</v>
      </c>
      <c r="DZ319" s="1486">
        <f>DY319</f>
        <v>831.27376144898699</v>
      </c>
      <c r="EA319" s="1485">
        <f>IF(EA5="A","",DZ319+EA79-EA80+EA92+EA93+EA116+EA117-EA82+EA145-EA144-EA83+(EA80+EA183)+(EA74+EA181+EA182)+((EA83+EA144)+(EA209-DY355))+Assumptions!EA101)</f>
        <v>887.00452406214174</v>
      </c>
      <c r="EB319" s="1485">
        <f t="shared" si="1029"/>
        <v>937.88686125533241</v>
      </c>
      <c r="EC319" s="1486">
        <f>IF(EC5="A","",DZ319+EC79-EC80+EC92+EC93+EC116+EC117-EC82+EC145-EC144-EC83+(EC80+EC183)+(EC74+EC181+EC182)+((EC83+EC144)+(EC209-DY355-EA355))+Assumptions!EC101)</f>
        <v>937.88686125533241</v>
      </c>
      <c r="ED319" s="1485">
        <f>IF(ED5="A","",EC319+ED79-ED80+ED92+ED93+ED116+ED117-ED82+ED145-ED144-ED83+(ED80+ED183)+(ED74+ED181+ED182)+((ED83+ED144)+(ED209-EB355))+Assumptions!ED101)</f>
        <v>1029.1376925050697</v>
      </c>
      <c r="EE319" s="1485">
        <f t="shared" si="1030"/>
        <v>1114.5856032750053</v>
      </c>
      <c r="EF319" s="1486">
        <f>IF(EF5="A","",EC319+EF79-EF80+EF92+EF93+EF116+EF117-EF82+EF145-EF144-EF83+(EF80+EF183)+(EF74+EF181+EF182)+((EF83+EF144)+(EF209-EB355-ED355))+Assumptions!EF101)</f>
        <v>1114.5856032750053</v>
      </c>
      <c r="EG319" s="1485">
        <f>IF(EG5="A","",EF319+EG79-EG80+EG92+EG93+EG116+EG117-EG82+EG145-EG144-EG83+(EG80+EG183)+(EG74+EG181+EG182)+((EG83+EG144)+(EG209-EE355))+Assumptions!EG101)</f>
        <v>1215.5955709161053</v>
      </c>
      <c r="EH319" s="1485">
        <f t="shared" si="1031"/>
        <v>1309.7944241808098</v>
      </c>
      <c r="EI319" s="1486">
        <f>IF(EI5="A","",EF319+EI79-EI80+EI92+EI93+EI116+EI117-EI82+EI145-EI144-EI83+(EI80+EI183)+(EI74+EI181+EI182)+((EI83+EI144)+(EI209-EE355-EG355))+Assumptions!EI101)</f>
        <v>1309.7944241808098</v>
      </c>
      <c r="EJ319" s="1485">
        <f>IF(EJ5="A","",EI319+EJ79-EJ80+EJ92+EJ93+EJ116+EJ117-EJ82+EJ145-EJ144-EJ83+(EJ80+EJ183)+(EJ74+EJ181+EJ182)+((EJ83+EJ144)+(EJ209-EH355))+Assumptions!EJ101)</f>
        <v>1418.3037648318948</v>
      </c>
      <c r="EK319" s="1485">
        <f t="shared" si="1032"/>
        <v>1522.1708974335647</v>
      </c>
      <c r="EL319" s="1486">
        <f>IF(EL5="A","",EI319+EL79-EL80+EL92+EL93+EL116+EL117-EL82+EL145-EL144-EL83+(EL80+EL183)+(EL74+EL181+EL182)+((EL83+EL144)+(EL209-EH355-EJ355))+Assumptions!EL101)</f>
        <v>1522.1708974335647</v>
      </c>
      <c r="EM319" s="1485">
        <f>IF(EM5="A","",EL319+EM79-EM80+EM92+EM93+EM116+EM117-EM82+EM145-EM144-EM83+(EM80+EM183)+(EM74+EM181+EM182)+((EM83+EM144)+(EM209-EK355))+Assumptions!EM101)</f>
        <v>1640.2560683049917</v>
      </c>
      <c r="EN319" s="1485">
        <f t="shared" si="1033"/>
        <v>1754.2494865740859</v>
      </c>
      <c r="EO319" s="1486">
        <f>IF(EO5="A","",EL319+EO79-EO80+EO92+EO93+EO116+EO117-EO82+EO145-EO144-EO83+(EO80+EO183)+(EO74+EO181+EO182)+((EO83+EO144)+(EO209-EK355-EM355))+Assumptions!EO101)</f>
        <v>1754.2494865740859</v>
      </c>
      <c r="EP319" s="1485">
        <f>IF(EP5="A","",EO319+EP79-EP80+EP92+EP93+EP116+EP117-EP82+EP145-EP144-EP83+(EP80+EP183)+(EP74+EP181+EP182)+((EP83+EP144)+(EP209-EN355))+Assumptions!EP101)</f>
        <v>1882.863022367231</v>
      </c>
      <c r="EQ319" s="1485">
        <f t="shared" si="1034"/>
        <v>2007.6136238364852</v>
      </c>
      <c r="ER319" s="1486">
        <f>IF(ER5="A","",EO319+ER79-ER80+ER92+ER93+ER116+ER117-ER82+ER145-ER144-ER83+(ER80+ER183)+(ER74+ER181+ER182)+((ER83+ER144)+(ER209-EN355-EP355))+Assumptions!ER101)</f>
        <v>2007.6136238364852</v>
      </c>
      <c r="ES319" s="1485">
        <f>IF(ES5="A","",ER319+ES79-ES80+ES92+ES93+ES116+ES117-ES82+ES145-ES144-ES83+(ES80+ES183)+(ES74+ES181+ES182)+((ES83+ES144)+(ES209-EQ355))+Assumptions!ES101)</f>
        <v>2148.3606573714419</v>
      </c>
      <c r="ET319" s="1485">
        <f t="shared" si="1035"/>
        <v>2284.8543674683278</v>
      </c>
      <c r="EU319" s="1486">
        <f>IF(EU5="A","",ER319+EU79-EU80+EU92+EU93+EU116+EU117-EU82+EU145-EU144-EU83+(EU80+EU183)+(EU74+EU181+EU182)+((EU83+EU144)+(EU209-EQ355-ES355))+Assumptions!EU101)</f>
        <v>2284.8543674683278</v>
      </c>
      <c r="EV319" s="1485">
        <f>IF(EV5="A","",EU319+EV79-EV80+EV92+EV93+EV116+EV117-EV82+EV145-EV144-EV83+(EV80+EV183)+(EV74+EV181+EV182)+((EV83+EV144)+(EV209-ET355))+Assumptions!EV101)</f>
        <v>2438.8516205753349</v>
      </c>
      <c r="EW319" s="1485">
        <f t="shared" si="1036"/>
        <v>2588.1651338189913</v>
      </c>
      <c r="EX319" s="1486">
        <f>IF(EX5="A","",EU319+EX79-EX80+EX92+EX93+EX116+EX117-EX82+EX145-EX144-EX83+(EX80+EX183)+(EX74+EX181+EX182)+((EX83+EX144)+(EX209-ET355-EV355))+Assumptions!EX101)</f>
        <v>2588.1651338189913</v>
      </c>
      <c r="EY319" s="1485">
        <f>IF(EY5="A","",EX319+EY79-EY80+EY92+EY93+EY116+EY117-EY82+EY145-EY144-EY83+(EY80+EY183)+(EY74+EY181+EY182)+((EY83+EY144)+(EY209-EW355))+Assumptions!EY101)</f>
        <v>2756.6335171786232</v>
      </c>
      <c r="EZ319" s="1485">
        <f t="shared" si="1037"/>
        <v>2919.9429506830234</v>
      </c>
      <c r="FA319" s="1486">
        <f>IF(FA5="A","",EX319+FA79-FA80+FA92+FA93+FA116+FA117-FA82+FA145-FA144-FA83+(FA80+FA183)+(FA74+FA181+FA182)+((FA83+FA144)+(FA209-EW355-EY355))+Assumptions!FA101)</f>
        <v>2919.9429506830234</v>
      </c>
      <c r="FB319" s="1571">
        <f>+DV319-DU319</f>
        <v>41.799999999999955</v>
      </c>
      <c r="FE319"/>
      <c r="FF319"/>
      <c r="FG319"/>
      <c r="FH319"/>
      <c r="FI319"/>
      <c r="FJ319"/>
      <c r="FK319" s="35"/>
    </row>
    <row r="320" spans="1:167" s="236" customFormat="1" ht="13.35" customHeight="1" thickBot="1">
      <c r="B320" s="444" t="s">
        <v>502</v>
      </c>
      <c r="C320" s="242" t="s">
        <v>496</v>
      </c>
      <c r="D320" s="243"/>
      <c r="E320" s="482">
        <f>+E310+E311+E312+E319</f>
        <v>0</v>
      </c>
      <c r="F320" s="482">
        <f t="shared" si="987"/>
        <v>0</v>
      </c>
      <c r="G320" s="482">
        <f>+G310+G311+G312+G319</f>
        <v>0</v>
      </c>
      <c r="H320" s="482">
        <f>+H310+H311+H312+H319</f>
        <v>0</v>
      </c>
      <c r="I320" s="482">
        <f t="shared" si="988"/>
        <v>0</v>
      </c>
      <c r="J320" s="482">
        <f>+J310+J311+J312+J319</f>
        <v>0</v>
      </c>
      <c r="K320" s="482">
        <f>+K310+K311+K312+K319</f>
        <v>0</v>
      </c>
      <c r="L320" s="482">
        <f t="shared" si="989"/>
        <v>0</v>
      </c>
      <c r="M320" s="482">
        <f>+M310+M311+M312+M319</f>
        <v>0</v>
      </c>
      <c r="N320" s="482">
        <f>+N310+N311+N312+N319</f>
        <v>0</v>
      </c>
      <c r="O320" s="482">
        <f t="shared" si="990"/>
        <v>0</v>
      </c>
      <c r="P320" s="482">
        <f>+P310+P311+P312+P319</f>
        <v>0</v>
      </c>
      <c r="Q320" s="482">
        <f>+Q310+Q311+Q312+Q319</f>
        <v>0</v>
      </c>
      <c r="R320" s="482">
        <f t="shared" si="991"/>
        <v>0</v>
      </c>
      <c r="S320" s="482">
        <f>+S310+S311+S312+S319</f>
        <v>0</v>
      </c>
      <c r="T320" s="482">
        <f>+T310+T311+T312+T319</f>
        <v>0</v>
      </c>
      <c r="U320" s="482">
        <f t="shared" si="992"/>
        <v>0</v>
      </c>
      <c r="V320" s="482">
        <f>+V310+V311+V312+V319</f>
        <v>0</v>
      </c>
      <c r="W320" s="482">
        <f>+W310+W311+W312+W319</f>
        <v>0</v>
      </c>
      <c r="X320" s="482">
        <f t="shared" si="993"/>
        <v>0</v>
      </c>
      <c r="Y320" s="482">
        <f>+Y310+Y311+Y312+Y319</f>
        <v>0</v>
      </c>
      <c r="Z320" s="482">
        <f>+Z310+Z311+Z312+Z319</f>
        <v>0</v>
      </c>
      <c r="AA320" s="482">
        <f t="shared" si="994"/>
        <v>0</v>
      </c>
      <c r="AB320" s="482">
        <f>+AB310+AB311+AB312+AB319</f>
        <v>0</v>
      </c>
      <c r="AC320" s="482">
        <f>+AC310+AC311+AC312+AC319</f>
        <v>0</v>
      </c>
      <c r="AD320" s="482">
        <f t="shared" si="995"/>
        <v>0</v>
      </c>
      <c r="AE320" s="482">
        <f>+AE310+AE311+AE312+AE319</f>
        <v>0</v>
      </c>
      <c r="AF320" s="482">
        <f>+AF310+AF311+AF312+AF319</f>
        <v>0</v>
      </c>
      <c r="AG320" s="482">
        <f t="shared" si="996"/>
        <v>0</v>
      </c>
      <c r="AH320" s="482">
        <f>+AH310+AH311+AH312+AH319</f>
        <v>0</v>
      </c>
      <c r="AI320" s="482">
        <f>+AI310+AI311+AI312+AI319</f>
        <v>18</v>
      </c>
      <c r="AJ320" s="482">
        <f t="shared" si="997"/>
        <v>15.905000000000001</v>
      </c>
      <c r="AK320" s="482">
        <f>+AK310+AK311+AK312+AK319</f>
        <v>15.905000000000001</v>
      </c>
      <c r="AL320" s="482">
        <f>+AL310+AL311+AL312+AL319</f>
        <v>17.46</v>
      </c>
      <c r="AM320" s="482">
        <f t="shared" si="998"/>
        <v>18.454999999999998</v>
      </c>
      <c r="AN320" s="482">
        <f>+AN310+AN311+AN312+AN319</f>
        <v>18.454999999999998</v>
      </c>
      <c r="AO320" s="482">
        <f>+AO310+AO311+AO312+AO319</f>
        <v>20.030999999999999</v>
      </c>
      <c r="AP320" s="482">
        <f t="shared" si="999"/>
        <v>23.307000000000002</v>
      </c>
      <c r="AQ320" s="482">
        <f>+AQ310+AQ311+AQ312+AQ319</f>
        <v>23.307000000000002</v>
      </c>
      <c r="AR320" s="482">
        <f>+AR310+AR311+AR312+AR319</f>
        <v>27.955000000000002</v>
      </c>
      <c r="AS320" s="482">
        <f t="shared" si="1000"/>
        <v>32.094999999999999</v>
      </c>
      <c r="AT320" s="482">
        <f>+AT310+AT311+AT312+AT319</f>
        <v>32.094999999999999</v>
      </c>
      <c r="AU320" s="482">
        <f>+AU310+AU311+AU312+AU319</f>
        <v>37.304000000000002</v>
      </c>
      <c r="AV320" s="482">
        <f t="shared" si="1001"/>
        <v>34.049999999999997</v>
      </c>
      <c r="AW320" s="482">
        <f>+AW310+AW311+AW312+AW319</f>
        <v>34.049999999999997</v>
      </c>
      <c r="AX320" s="482">
        <f>+AX310+AX311+AX312+AX319</f>
        <v>38.111999999999995</v>
      </c>
      <c r="AY320" s="482">
        <f t="shared" si="1002"/>
        <v>42.829000000000001</v>
      </c>
      <c r="AZ320" s="482">
        <f>+AZ310+AZ311+AZ312+AZ319</f>
        <v>42.829000000000001</v>
      </c>
      <c r="BA320" s="482">
        <f>+BA310+BA311+BA312+BA319</f>
        <v>53.665000000000006</v>
      </c>
      <c r="BB320" s="482">
        <f t="shared" si="1003"/>
        <v>55.494999999999997</v>
      </c>
      <c r="BC320" s="482">
        <f>+BC310+BC311+BC312+BC319</f>
        <v>55.494999999999997</v>
      </c>
      <c r="BD320" s="482">
        <f>+BD310+BD311+BD312+BD319</f>
        <v>70.015000000000001</v>
      </c>
      <c r="BE320" s="482">
        <f t="shared" si="1004"/>
        <v>75.415999999999997</v>
      </c>
      <c r="BF320" s="482">
        <f>+BF310+BF311+BF312+BF319</f>
        <v>75.415999999999997</v>
      </c>
      <c r="BG320" s="482">
        <f>+BG310+BG311+BG312+BG319</f>
        <v>110.22999999999999</v>
      </c>
      <c r="BH320" s="482">
        <f t="shared" si="1005"/>
        <v>119.687</v>
      </c>
      <c r="BI320" s="482">
        <f>+BI310+BI311+BI312+BI319</f>
        <v>119.687</v>
      </c>
      <c r="BJ320" s="482">
        <f>+BJ310+BJ311+BJ312+BJ319</f>
        <v>147.82499999999999</v>
      </c>
      <c r="BK320" s="482">
        <f t="shared" si="1006"/>
        <v>139.017</v>
      </c>
      <c r="BL320" s="482">
        <f>+BL310+BL311+BL312+BL319</f>
        <v>139.017</v>
      </c>
      <c r="BM320" s="482">
        <f>+BM310+BM311+BM312+BM319</f>
        <v>143.25</v>
      </c>
      <c r="BN320" s="482">
        <f t="shared" si="1007"/>
        <v>149.92000000000002</v>
      </c>
      <c r="BO320" s="482">
        <f>+BO310+BO311+BO312+BO319</f>
        <v>149.92000000000002</v>
      </c>
      <c r="BP320" s="482">
        <f>+BP310+BP311+BP312+BP319</f>
        <v>200.91399999999999</v>
      </c>
      <c r="BQ320" s="482">
        <f t="shared" si="1008"/>
        <v>207.53700000000001</v>
      </c>
      <c r="BR320" s="482">
        <f>+BR310+BR311+BR312+BR319</f>
        <v>207.53700000000001</v>
      </c>
      <c r="BS320" s="482">
        <f>+BS310+BS311+BS312+BS319</f>
        <v>238.09100000000001</v>
      </c>
      <c r="BT320" s="482">
        <f t="shared" si="1009"/>
        <v>260.80900000000003</v>
      </c>
      <c r="BU320" s="482">
        <f>+BU310+BU311+BU312+BU319</f>
        <v>260.80900000000003</v>
      </c>
      <c r="BV320" s="482">
        <f>+BV310+BV311+BV312+BV319</f>
        <v>287.63799999999998</v>
      </c>
      <c r="BW320" s="482">
        <f t="shared" si="1010"/>
        <v>319.34100000000001</v>
      </c>
      <c r="BX320" s="482">
        <f>+BX310+BX311+BX312+BX319</f>
        <v>319.34100000000001</v>
      </c>
      <c r="BY320" s="482">
        <f>+BY310+BY311+BY312+BY319</f>
        <v>281.50900000000001</v>
      </c>
      <c r="BZ320" s="482">
        <f t="shared" si="1011"/>
        <v>364.23400000000004</v>
      </c>
      <c r="CA320" s="482">
        <f>+CA310+CA311+CA312+CA319</f>
        <v>364.23400000000004</v>
      </c>
      <c r="CB320" s="482">
        <f>+CB310+CB311+CB312+CB319</f>
        <v>405.10299999999995</v>
      </c>
      <c r="CC320" s="482">
        <f t="shared" si="1012"/>
        <v>438.30799999999999</v>
      </c>
      <c r="CD320" s="562">
        <f>+CD310+CD311+CD312+CD319</f>
        <v>438.30799999999999</v>
      </c>
      <c r="CE320" s="562">
        <f>+CE310+CE311+CE312+CE319</f>
        <v>487.40300000000002</v>
      </c>
      <c r="CF320" s="562">
        <f t="shared" si="1013"/>
        <v>503.28300000000002</v>
      </c>
      <c r="CG320" s="562">
        <f>+CG310+CG311+CG312+CG319</f>
        <v>503.28300000000002</v>
      </c>
      <c r="CH320" s="562">
        <f>+CH310+CH311+CH312+CH319</f>
        <v>395.24800000000005</v>
      </c>
      <c r="CI320" s="562">
        <f t="shared" si="1014"/>
        <v>384.88</v>
      </c>
      <c r="CJ320" s="562">
        <f>+CJ310+CJ311+CJ312+CJ319</f>
        <v>384.88</v>
      </c>
      <c r="CK320" s="562">
        <f>+CK310+CK311+CK312+CK319</f>
        <v>391.09</v>
      </c>
      <c r="CL320" s="562">
        <f t="shared" si="1015"/>
        <v>356.91300000000001</v>
      </c>
      <c r="CM320" s="562">
        <f>+CM310+CM311+CM312+CM319</f>
        <v>356.91300000000001</v>
      </c>
      <c r="CN320" s="562">
        <f>+CN310+CN311+CN312+CN319</f>
        <v>322.42200000000003</v>
      </c>
      <c r="CO320" s="562">
        <f t="shared" si="1016"/>
        <v>329.20499999999998</v>
      </c>
      <c r="CP320" s="562">
        <f>+CP310+CP311+CP312+CP319</f>
        <v>329.20499999999998</v>
      </c>
      <c r="CQ320" s="562">
        <f>+CQ310+CQ311+CQ312+CQ319</f>
        <v>321.44600000000003</v>
      </c>
      <c r="CR320" s="562">
        <f t="shared" si="1017"/>
        <v>355.38599999999997</v>
      </c>
      <c r="CS320" s="562">
        <f>+CS310+CS311+CS312+CS319</f>
        <v>355.38599999999997</v>
      </c>
      <c r="CT320" s="562">
        <f>+CT310+CT311+CT312+CT319</f>
        <v>415.34499999999997</v>
      </c>
      <c r="CU320" s="562">
        <f t="shared" si="1018"/>
        <v>448.55700000000002</v>
      </c>
      <c r="CV320" s="562">
        <f>+CV310+CV311+CV312+CV319</f>
        <v>448.55700000000002</v>
      </c>
      <c r="CW320" s="562">
        <f>+CW310+CW311+CW312+CW319</f>
        <v>487.68499999999995</v>
      </c>
      <c r="CX320" s="562">
        <f t="shared" si="1019"/>
        <v>543.64700000000005</v>
      </c>
      <c r="CY320" s="562">
        <f>+CY310+CY311+CY312+CY319</f>
        <v>543.64700000000005</v>
      </c>
      <c r="CZ320" s="562">
        <f>+CZ310+CZ311+CZ312+CZ319</f>
        <v>574.79999999999995</v>
      </c>
      <c r="DA320" s="562">
        <f t="shared" si="1020"/>
        <v>610.79999999999995</v>
      </c>
      <c r="DB320" s="562">
        <f>+DB310+DB311+DB312+DB319</f>
        <v>610.79999999999995</v>
      </c>
      <c r="DC320" s="562">
        <f>+DC310+DC311+DC312+DC319</f>
        <v>653.5</v>
      </c>
      <c r="DD320" s="562">
        <f t="shared" si="1021"/>
        <v>725.9</v>
      </c>
      <c r="DE320" s="562">
        <f>+DE310+DE311+DE312+DE319</f>
        <v>725.9</v>
      </c>
      <c r="DF320" s="562">
        <f>+DF310+DF311+DF312+DF319</f>
        <v>806</v>
      </c>
      <c r="DG320" s="562">
        <f t="shared" si="1022"/>
        <v>1401.5000000000002</v>
      </c>
      <c r="DH320" s="1274">
        <f>+DH310+DH311+DH312+DH319</f>
        <v>1401.5000000000002</v>
      </c>
      <c r="DI320" s="562">
        <f>+DI310+DI311+DI312+DI319</f>
        <v>1641.4</v>
      </c>
      <c r="DJ320" s="562">
        <f t="shared" si="1023"/>
        <v>1701.7</v>
      </c>
      <c r="DK320" s="1274">
        <f>+DK310+DK311+DK312+DK319</f>
        <v>1701.7</v>
      </c>
      <c r="DL320" s="562">
        <f>+DL310+DL311+DL312+DL319</f>
        <v>1729.8</v>
      </c>
      <c r="DM320" s="562">
        <f t="shared" si="1024"/>
        <v>1685.6999999999998</v>
      </c>
      <c r="DN320" s="1274">
        <f>+DN310+DN311+DN312+DN319</f>
        <v>1685.6999999999998</v>
      </c>
      <c r="DO320" s="562">
        <f>+DO310+DO311+DO312+DO319</f>
        <v>1715.3</v>
      </c>
      <c r="DP320" s="562">
        <f t="shared" si="1025"/>
        <v>1748.7999999999997</v>
      </c>
      <c r="DQ320" s="1274">
        <f>+DQ310+DQ311+DQ312+DQ319</f>
        <v>1748.7999999999997</v>
      </c>
      <c r="DR320" s="562">
        <f>+DR310+DR311+DR312+DR319</f>
        <v>1781.8000000000002</v>
      </c>
      <c r="DS320" s="562">
        <f t="shared" si="1026"/>
        <v>1840.5</v>
      </c>
      <c r="DT320" s="1274">
        <f>+DT310+DT311+DT312+DT319</f>
        <v>1840.5</v>
      </c>
      <c r="DU320" s="562">
        <f>+DU310+DU311+DU312+DU319</f>
        <v>1867.6</v>
      </c>
      <c r="DV320" s="562">
        <f t="shared" si="1027"/>
        <v>1950.3</v>
      </c>
      <c r="DW320" s="1274">
        <f>+DW310+DW311+DW312+DW319</f>
        <v>1950.3</v>
      </c>
      <c r="DX320" s="562">
        <f>+DX310+DX311+DX312+DX319</f>
        <v>1938.1000000000001</v>
      </c>
      <c r="DY320" s="562">
        <f t="shared" si="1028"/>
        <v>1933.6737614489871</v>
      </c>
      <c r="DZ320" s="1274">
        <f>+DZ310+DZ311+DZ312+DZ319</f>
        <v>1933.6737614489871</v>
      </c>
      <c r="EA320" s="562">
        <f>+EA310+EA311+EA312+EA319</f>
        <v>1939.4045240621417</v>
      </c>
      <c r="EB320" s="562">
        <f t="shared" si="1029"/>
        <v>1940.2868612553325</v>
      </c>
      <c r="EC320" s="1274">
        <f>+EC310+EC311+EC312+EC319</f>
        <v>1940.2868612553325</v>
      </c>
      <c r="ED320" s="562">
        <f>+ED310+ED311+ED312+ED319</f>
        <v>1981.5376925050698</v>
      </c>
      <c r="EE320" s="562">
        <f t="shared" si="1030"/>
        <v>2016.9856032750054</v>
      </c>
      <c r="EF320" s="1274">
        <f>+EF310+EF311+EF312+EF319</f>
        <v>2016.9856032750054</v>
      </c>
      <c r="EG320" s="562">
        <f>+EG310+EG311+EG312+EG319</f>
        <v>2067.9955709161054</v>
      </c>
      <c r="EH320" s="562">
        <f t="shared" si="1031"/>
        <v>2112.1944241808096</v>
      </c>
      <c r="EI320" s="1274">
        <f>+EI310+EI311+EI312+EI319</f>
        <v>2112.1944241808096</v>
      </c>
      <c r="EJ320" s="562">
        <f>+EJ310+EJ311+EJ312+EJ319</f>
        <v>2220.7037648318947</v>
      </c>
      <c r="EK320" s="562">
        <f t="shared" si="1032"/>
        <v>2324.5708974335648</v>
      </c>
      <c r="EL320" s="1274">
        <f>+EL310+EL311+EL312+EL319</f>
        <v>2324.5708974335648</v>
      </c>
      <c r="EM320" s="562">
        <f>+EM310+EM311+EM312+EM319</f>
        <v>2442.656068304992</v>
      </c>
      <c r="EN320" s="562">
        <f t="shared" si="1033"/>
        <v>2556.649486574086</v>
      </c>
      <c r="EO320" s="1274">
        <f>+EO310+EO311+EO312+EO319</f>
        <v>2556.649486574086</v>
      </c>
      <c r="EP320" s="562">
        <f>+EP310+EP311+EP312+EP319</f>
        <v>2685.2630223672313</v>
      </c>
      <c r="EQ320" s="562">
        <f t="shared" si="1034"/>
        <v>2810.0136238364853</v>
      </c>
      <c r="ER320" s="1274">
        <f>+ER310+ER311+ER312+ER319</f>
        <v>2810.0136238364853</v>
      </c>
      <c r="ES320" s="562">
        <f>+ES310+ES311+ES312+ES319</f>
        <v>2950.760657371442</v>
      </c>
      <c r="ET320" s="562">
        <f t="shared" si="1035"/>
        <v>3087.2543674683279</v>
      </c>
      <c r="EU320" s="1274">
        <f>+EU310+EU311+EU312+EU319</f>
        <v>3087.2543674683279</v>
      </c>
      <c r="EV320" s="562">
        <f>+EV310+EV311+EV312+EV319</f>
        <v>3241.251620575335</v>
      </c>
      <c r="EW320" s="562">
        <f t="shared" si="1036"/>
        <v>3390.5651338189914</v>
      </c>
      <c r="EX320" s="1274">
        <f>+EX310+EX311+EX312+EX319</f>
        <v>3390.5651338189914</v>
      </c>
      <c r="EY320" s="562">
        <f>+EY310+EY311+EY312+EY319</f>
        <v>3559.0335171786232</v>
      </c>
      <c r="EZ320" s="562">
        <f t="shared" si="1037"/>
        <v>3722.3429506830234</v>
      </c>
      <c r="FA320" s="1274">
        <f>+FA310+FA311+FA312+FA319</f>
        <v>3722.3429506830234</v>
      </c>
      <c r="FE320"/>
      <c r="FF320"/>
      <c r="FG320"/>
      <c r="FH320"/>
      <c r="FI320"/>
      <c r="FJ320"/>
      <c r="FK320" s="35"/>
    </row>
    <row r="321" spans="1:167" s="236" customFormat="1" ht="13.35" customHeight="1" thickBot="1">
      <c r="B321" s="242" t="s">
        <v>503</v>
      </c>
      <c r="C321" s="242" t="s">
        <v>496</v>
      </c>
      <c r="D321" s="243"/>
      <c r="E321" s="503"/>
      <c r="F321" s="482">
        <f t="shared" si="987"/>
        <v>0</v>
      </c>
      <c r="G321" s="504"/>
      <c r="H321" s="505"/>
      <c r="I321" s="482">
        <f t="shared" si="988"/>
        <v>0</v>
      </c>
      <c r="J321" s="504"/>
      <c r="K321" s="505"/>
      <c r="L321" s="482">
        <f t="shared" si="989"/>
        <v>0</v>
      </c>
      <c r="M321" s="504"/>
      <c r="N321" s="505"/>
      <c r="O321" s="482">
        <f t="shared" si="990"/>
        <v>0</v>
      </c>
      <c r="P321" s="504"/>
      <c r="Q321" s="505"/>
      <c r="R321" s="482">
        <f t="shared" si="991"/>
        <v>0</v>
      </c>
      <c r="S321" s="504"/>
      <c r="T321" s="505"/>
      <c r="U321" s="482">
        <f t="shared" si="992"/>
        <v>0</v>
      </c>
      <c r="V321" s="504"/>
      <c r="W321" s="505"/>
      <c r="X321" s="482">
        <f t="shared" si="993"/>
        <v>0</v>
      </c>
      <c r="Y321" s="504"/>
      <c r="Z321" s="505"/>
      <c r="AA321" s="482">
        <f t="shared" si="994"/>
        <v>0</v>
      </c>
      <c r="AB321" s="504"/>
      <c r="AC321" s="505"/>
      <c r="AD321" s="482">
        <f t="shared" si="995"/>
        <v>0</v>
      </c>
      <c r="AE321" s="504"/>
      <c r="AF321" s="505"/>
      <c r="AG321" s="482">
        <f t="shared" si="996"/>
        <v>0</v>
      </c>
      <c r="AH321" s="504"/>
      <c r="AI321" s="505"/>
      <c r="AJ321" s="482">
        <f t="shared" si="997"/>
        <v>0</v>
      </c>
      <c r="AK321" s="504"/>
      <c r="AL321" s="505"/>
      <c r="AM321" s="482">
        <f t="shared" si="998"/>
        <v>0</v>
      </c>
      <c r="AN321" s="504"/>
      <c r="AO321" s="505"/>
      <c r="AP321" s="482">
        <f t="shared" si="999"/>
        <v>0</v>
      </c>
      <c r="AQ321" s="504"/>
      <c r="AR321" s="506">
        <v>0</v>
      </c>
      <c r="AS321" s="482">
        <f t="shared" si="1000"/>
        <v>0</v>
      </c>
      <c r="AT321" s="507">
        <v>0</v>
      </c>
      <c r="AU321" s="506">
        <v>0</v>
      </c>
      <c r="AV321" s="482">
        <f t="shared" si="1001"/>
        <v>0</v>
      </c>
      <c r="AW321" s="504"/>
      <c r="AX321" s="506">
        <v>0</v>
      </c>
      <c r="AY321" s="482">
        <f t="shared" si="1002"/>
        <v>0</v>
      </c>
      <c r="AZ321" s="507">
        <v>0</v>
      </c>
      <c r="BA321" s="506">
        <v>0</v>
      </c>
      <c r="BB321" s="482">
        <f t="shared" si="1003"/>
        <v>0</v>
      </c>
      <c r="BC321" s="507">
        <v>0</v>
      </c>
      <c r="BD321" s="506">
        <v>0</v>
      </c>
      <c r="BE321" s="482">
        <f t="shared" si="1004"/>
        <v>0</v>
      </c>
      <c r="BF321" s="507">
        <v>0</v>
      </c>
      <c r="BG321" s="506">
        <v>0</v>
      </c>
      <c r="BH321" s="482">
        <f t="shared" si="1005"/>
        <v>0</v>
      </c>
      <c r="BI321" s="507">
        <v>0</v>
      </c>
      <c r="BJ321" s="506">
        <v>6.577</v>
      </c>
      <c r="BK321" s="482">
        <f t="shared" si="1006"/>
        <v>6.5110000000000001</v>
      </c>
      <c r="BL321" s="507">
        <v>6.5110000000000001</v>
      </c>
      <c r="BM321" s="506">
        <v>5.6639999999999997</v>
      </c>
      <c r="BN321" s="482">
        <f t="shared" si="1007"/>
        <v>4.7409999999999997</v>
      </c>
      <c r="BO321" s="508">
        <v>4.7409999999999997</v>
      </c>
      <c r="BP321" s="506">
        <v>3.7749999999999999</v>
      </c>
      <c r="BQ321" s="482">
        <f t="shared" si="1008"/>
        <v>2.2410000000000001</v>
      </c>
      <c r="BR321" s="508">
        <v>2.2410000000000001</v>
      </c>
      <c r="BS321" s="506">
        <v>0.191</v>
      </c>
      <c r="BT321" s="482" t="str">
        <f t="shared" si="1009"/>
        <v/>
      </c>
      <c r="BU321" s="503" t="str">
        <f>IF(BU5="A","",+BR321+BU82)</f>
        <v/>
      </c>
      <c r="BV321" s="505" t="str">
        <f>IF(BV5="A","",+BU321+BV82)</f>
        <v/>
      </c>
      <c r="BW321" s="482" t="str">
        <f t="shared" si="1010"/>
        <v/>
      </c>
      <c r="BX321" s="503" t="str">
        <f>IF(BX5="A","",+BU321+BX82)</f>
        <v/>
      </c>
      <c r="BY321" s="505" t="str">
        <f>IF(BY5="A","",+BX321+BY82)</f>
        <v/>
      </c>
      <c r="BZ321" s="482">
        <f t="shared" si="1011"/>
        <v>0</v>
      </c>
      <c r="CA321" s="508">
        <v>0</v>
      </c>
      <c r="CB321" s="505" t="str">
        <f>IF(CB5="A","",+CA321+CB82)</f>
        <v/>
      </c>
      <c r="CC321" s="482" t="str">
        <f t="shared" si="1012"/>
        <v/>
      </c>
      <c r="CD321" s="503" t="str">
        <f>IF(CD5="A","",+CA321+CD82)</f>
        <v/>
      </c>
      <c r="CE321" s="505" t="str">
        <f>IF(CE5="A","",+CD321+CE82)</f>
        <v/>
      </c>
      <c r="CF321" s="482">
        <f t="shared" si="1013"/>
        <v>0</v>
      </c>
      <c r="CG321" s="508">
        <v>0</v>
      </c>
      <c r="CH321" s="505" t="str">
        <f>IF(CH5="A","",+CG321+CH82)</f>
        <v/>
      </c>
      <c r="CI321" s="482" t="str">
        <f t="shared" si="1014"/>
        <v/>
      </c>
      <c r="CJ321" s="503" t="str">
        <f>IF(CJ5="A","",+CG321+CJ82)</f>
        <v/>
      </c>
      <c r="CK321" s="505" t="str">
        <f>IF(CK5="A","",+CJ321+CK82)</f>
        <v/>
      </c>
      <c r="CL321" s="482" t="str">
        <f t="shared" si="1015"/>
        <v/>
      </c>
      <c r="CM321" s="503" t="str">
        <f>IF(CM5="A","",+CJ321+CM82)</f>
        <v/>
      </c>
      <c r="CN321" s="505" t="str">
        <f>IF(CN5="A","",+CM321+CN82)</f>
        <v/>
      </c>
      <c r="CO321" s="482">
        <f t="shared" si="1016"/>
        <v>0</v>
      </c>
      <c r="CP321" s="508">
        <v>0</v>
      </c>
      <c r="CQ321" s="505" t="str">
        <f>IF(CQ5="A","",+CP321+CQ82)</f>
        <v/>
      </c>
      <c r="CR321" s="482">
        <f t="shared" si="1017"/>
        <v>0</v>
      </c>
      <c r="CS321" s="508">
        <v>0</v>
      </c>
      <c r="CT321" s="505" t="str">
        <f>IF(CT5="A","",+CS321+CT82)</f>
        <v/>
      </c>
      <c r="CU321" s="482">
        <f t="shared" si="1018"/>
        <v>0</v>
      </c>
      <c r="CV321" s="508">
        <v>0</v>
      </c>
      <c r="CW321" s="506">
        <v>0</v>
      </c>
      <c r="CX321" s="482" t="str">
        <f t="shared" si="1019"/>
        <v/>
      </c>
      <c r="CY321" s="503" t="str">
        <f>IF(CY5="A","",+CV321+CY82)</f>
        <v/>
      </c>
      <c r="CZ321" s="505" t="str">
        <f>IF(CZ5="A","",+CY321+CZ82)</f>
        <v/>
      </c>
      <c r="DA321" s="482" t="str">
        <f t="shared" si="1020"/>
        <v/>
      </c>
      <c r="DB321" s="503" t="str">
        <f>IF(DB5="A","",+CY321+DB82)</f>
        <v/>
      </c>
      <c r="DC321" s="505" t="str">
        <f>IF(DC5="A","",+DB321+DC82)</f>
        <v/>
      </c>
      <c r="DD321" s="482" t="str">
        <f t="shared" si="1021"/>
        <v/>
      </c>
      <c r="DE321" s="503" t="str">
        <f>IF(DE5="A","",+DB321+DE82)</f>
        <v/>
      </c>
      <c r="DF321" s="505" t="str">
        <f>IF(DF5="A","",+DE321+DF82)</f>
        <v/>
      </c>
      <c r="DG321" s="482" t="str">
        <f t="shared" si="1022"/>
        <v/>
      </c>
      <c r="DH321" s="1254" t="str">
        <f>IF(DH5="A","",+DE321+DH82)</f>
        <v/>
      </c>
      <c r="DI321" s="482" t="str">
        <f>IF(DI5="A","",+DH321+DI82)</f>
        <v/>
      </c>
      <c r="DJ321" s="482" t="str">
        <f t="shared" si="1023"/>
        <v/>
      </c>
      <c r="DK321" s="1244" t="str">
        <f>IF(DK5="A","",+DH321+DK82)</f>
        <v/>
      </c>
      <c r="DL321" s="482" t="str">
        <f>IF(DL5="A","",+DK321+DL82)</f>
        <v/>
      </c>
      <c r="DM321" s="482" t="str">
        <f t="shared" si="1024"/>
        <v/>
      </c>
      <c r="DN321" s="1244" t="str">
        <f>IF(DN5="A","",+DK321+DN82)</f>
        <v/>
      </c>
      <c r="DO321" s="482" t="str">
        <f>IF(DO5="A","",+DN321+DO82)</f>
        <v/>
      </c>
      <c r="DP321" s="482" t="str">
        <f t="shared" si="1025"/>
        <v/>
      </c>
      <c r="DQ321" s="1244" t="str">
        <f>IF(DQ5="A","",+DN321+DQ82)</f>
        <v/>
      </c>
      <c r="DR321" s="482" t="str">
        <f>IF(DR5="A","",+DQ321+DR82)</f>
        <v/>
      </c>
      <c r="DS321" s="482" t="str">
        <f t="shared" si="1026"/>
        <v/>
      </c>
      <c r="DT321" s="1244" t="str">
        <f>IF(DT5="A","",+DQ321+DT82)</f>
        <v/>
      </c>
      <c r="DU321" s="482" t="str">
        <f>IF(DU5="A","",+DT321+DU82)</f>
        <v/>
      </c>
      <c r="DV321" s="482" t="str">
        <f t="shared" si="1027"/>
        <v/>
      </c>
      <c r="DW321" s="1244" t="str">
        <f>IF(DW5="A","",+DT321+DW82)</f>
        <v/>
      </c>
      <c r="DX321" s="482" t="str">
        <f>IF(DX5="A","",+DW321+DX82)</f>
        <v/>
      </c>
      <c r="DY321" s="482">
        <f t="shared" si="1028"/>
        <v>0</v>
      </c>
      <c r="DZ321" s="1244">
        <f>IF(DZ5="A","",+DW321+DZ82)</f>
        <v>0</v>
      </c>
      <c r="EA321" s="482">
        <f>IF(EA5="A","",+DZ321+EA82)</f>
        <v>0</v>
      </c>
      <c r="EB321" s="482">
        <f t="shared" si="1029"/>
        <v>0</v>
      </c>
      <c r="EC321" s="1244">
        <f>IF(EC5="A","",+DZ321+EC82)</f>
        <v>0</v>
      </c>
      <c r="ED321" s="482">
        <f>IF(ED5="A","",+EC321+ED82)</f>
        <v>0</v>
      </c>
      <c r="EE321" s="482">
        <f t="shared" si="1030"/>
        <v>0</v>
      </c>
      <c r="EF321" s="1244">
        <f>IF(EF5="A","",+EC321+EF82)</f>
        <v>0</v>
      </c>
      <c r="EG321" s="482">
        <f>IF(EG5="A","",+EF321+EG82)</f>
        <v>0</v>
      </c>
      <c r="EH321" s="482">
        <f t="shared" si="1031"/>
        <v>0</v>
      </c>
      <c r="EI321" s="1244">
        <f>IF(EI5="A","",+EF321+EI82)</f>
        <v>0</v>
      </c>
      <c r="EJ321" s="482">
        <f>IF(EJ5="A","",+EI321+EJ82)</f>
        <v>0</v>
      </c>
      <c r="EK321" s="482">
        <f t="shared" si="1032"/>
        <v>0</v>
      </c>
      <c r="EL321" s="1244">
        <f>IF(EL5="A","",+EI321+EL82)</f>
        <v>0</v>
      </c>
      <c r="EM321" s="482">
        <f>IF(EM5="A","",+EL321+EM82)</f>
        <v>0</v>
      </c>
      <c r="EN321" s="482">
        <f t="shared" si="1033"/>
        <v>0</v>
      </c>
      <c r="EO321" s="1244">
        <f>IF(EO5="A","",+EL321+EO82)</f>
        <v>0</v>
      </c>
      <c r="EP321" s="482">
        <f>IF(EP5="A","",+EO321+EP82)</f>
        <v>0</v>
      </c>
      <c r="EQ321" s="482">
        <f t="shared" si="1034"/>
        <v>0</v>
      </c>
      <c r="ER321" s="1244">
        <f>IF(ER5="A","",+EO321+ER82)</f>
        <v>0</v>
      </c>
      <c r="ES321" s="482">
        <f>IF(ES5="A","",+ER321+ES82)</f>
        <v>0</v>
      </c>
      <c r="ET321" s="482">
        <f t="shared" si="1035"/>
        <v>0</v>
      </c>
      <c r="EU321" s="1244">
        <f>IF(EU5="A","",+ER321+EU82)</f>
        <v>0</v>
      </c>
      <c r="EV321" s="482">
        <f>IF(EV5="A","",+EU321+EV82)</f>
        <v>0</v>
      </c>
      <c r="EW321" s="482">
        <f t="shared" si="1036"/>
        <v>0</v>
      </c>
      <c r="EX321" s="1244">
        <f>IF(EX5="A","",+EU321+EX82)</f>
        <v>0</v>
      </c>
      <c r="EY321" s="482">
        <f>IF(EY5="A","",+EX321+EY82)</f>
        <v>0</v>
      </c>
      <c r="EZ321" s="482">
        <f t="shared" si="1037"/>
        <v>0</v>
      </c>
      <c r="FA321" s="1244">
        <f>IF(FA5="A","",+EX321+FA82)</f>
        <v>0</v>
      </c>
      <c r="FE321"/>
      <c r="FF321"/>
      <c r="FG321"/>
      <c r="FH321"/>
      <c r="FI321"/>
      <c r="FJ321"/>
      <c r="FK321" s="35"/>
    </row>
    <row r="322" spans="1:167" s="236" customFormat="1" ht="13.35" customHeight="1">
      <c r="B322" s="444" t="s">
        <v>504</v>
      </c>
      <c r="C322" s="242" t="s">
        <v>496</v>
      </c>
      <c r="D322" s="243"/>
      <c r="E322" s="509">
        <f>+E320+E321</f>
        <v>0</v>
      </c>
      <c r="F322" s="509">
        <f t="shared" si="987"/>
        <v>0</v>
      </c>
      <c r="G322" s="509">
        <f>+G320+G321</f>
        <v>0</v>
      </c>
      <c r="H322" s="509">
        <f>+H320+H321</f>
        <v>0</v>
      </c>
      <c r="I322" s="509">
        <f t="shared" si="988"/>
        <v>0</v>
      </c>
      <c r="J322" s="509">
        <f>+J320+J321</f>
        <v>0</v>
      </c>
      <c r="K322" s="509">
        <f>+K320+K321</f>
        <v>0</v>
      </c>
      <c r="L322" s="509">
        <f t="shared" si="989"/>
        <v>0</v>
      </c>
      <c r="M322" s="509">
        <f>+M320+M321</f>
        <v>0</v>
      </c>
      <c r="N322" s="509">
        <f>+N320+N321</f>
        <v>0</v>
      </c>
      <c r="O322" s="509">
        <f t="shared" si="990"/>
        <v>0</v>
      </c>
      <c r="P322" s="509">
        <f>+P320+P321</f>
        <v>0</v>
      </c>
      <c r="Q322" s="509">
        <f>+Q320+Q321</f>
        <v>0</v>
      </c>
      <c r="R322" s="509">
        <f t="shared" si="991"/>
        <v>0</v>
      </c>
      <c r="S322" s="509">
        <f>+S320+S321</f>
        <v>0</v>
      </c>
      <c r="T322" s="509">
        <f>+T320+T321</f>
        <v>0</v>
      </c>
      <c r="U322" s="509">
        <f t="shared" si="992"/>
        <v>0</v>
      </c>
      <c r="V322" s="509">
        <f>+V320+V321</f>
        <v>0</v>
      </c>
      <c r="W322" s="509">
        <f>+W320+W321</f>
        <v>0</v>
      </c>
      <c r="X322" s="509">
        <f t="shared" si="993"/>
        <v>0</v>
      </c>
      <c r="Y322" s="509">
        <f>+Y320+Y321</f>
        <v>0</v>
      </c>
      <c r="Z322" s="509">
        <f>+Z320+Z321</f>
        <v>0</v>
      </c>
      <c r="AA322" s="509">
        <f t="shared" si="994"/>
        <v>0</v>
      </c>
      <c r="AB322" s="509">
        <f>+AB320+AB321</f>
        <v>0</v>
      </c>
      <c r="AC322" s="509">
        <f>+AC320+AC321</f>
        <v>0</v>
      </c>
      <c r="AD322" s="509">
        <f t="shared" si="995"/>
        <v>0</v>
      </c>
      <c r="AE322" s="509">
        <f>+AE320+AE321</f>
        <v>0</v>
      </c>
      <c r="AF322" s="509">
        <f>+AF320+AF321</f>
        <v>0</v>
      </c>
      <c r="AG322" s="509">
        <f t="shared" si="996"/>
        <v>0</v>
      </c>
      <c r="AH322" s="509">
        <f>+AH320+AH321</f>
        <v>0</v>
      </c>
      <c r="AI322" s="509">
        <f>+AI320+AI321</f>
        <v>18</v>
      </c>
      <c r="AJ322" s="509">
        <f t="shared" si="997"/>
        <v>15.905000000000001</v>
      </c>
      <c r="AK322" s="509">
        <f>+AK320+AK321</f>
        <v>15.905000000000001</v>
      </c>
      <c r="AL322" s="509">
        <f>+AL320+AL321</f>
        <v>17.46</v>
      </c>
      <c r="AM322" s="509">
        <f t="shared" si="998"/>
        <v>18.454999999999998</v>
      </c>
      <c r="AN322" s="509">
        <f>+AN320+AN321</f>
        <v>18.454999999999998</v>
      </c>
      <c r="AO322" s="509">
        <f>+AO320+AO321</f>
        <v>20.030999999999999</v>
      </c>
      <c r="AP322" s="509">
        <f t="shared" si="999"/>
        <v>23.307000000000002</v>
      </c>
      <c r="AQ322" s="509">
        <f>+AQ320+AQ321</f>
        <v>23.307000000000002</v>
      </c>
      <c r="AR322" s="509">
        <f>+AR320+AR321</f>
        <v>27.955000000000002</v>
      </c>
      <c r="AS322" s="509">
        <f t="shared" si="1000"/>
        <v>32.094999999999999</v>
      </c>
      <c r="AT322" s="509">
        <f>+AT320+AT321</f>
        <v>32.094999999999999</v>
      </c>
      <c r="AU322" s="509">
        <f>+AU320+AU321</f>
        <v>37.304000000000002</v>
      </c>
      <c r="AV322" s="509">
        <f t="shared" si="1001"/>
        <v>34.049999999999997</v>
      </c>
      <c r="AW322" s="509">
        <f>+AW320+AW321</f>
        <v>34.049999999999997</v>
      </c>
      <c r="AX322" s="509">
        <f>+AX320+AX321</f>
        <v>38.111999999999995</v>
      </c>
      <c r="AY322" s="509">
        <f t="shared" si="1002"/>
        <v>42.829000000000001</v>
      </c>
      <c r="AZ322" s="509">
        <f>+AZ320+AZ321</f>
        <v>42.829000000000001</v>
      </c>
      <c r="BA322" s="509">
        <f>+BA320+BA321</f>
        <v>53.665000000000006</v>
      </c>
      <c r="BB322" s="509">
        <f t="shared" si="1003"/>
        <v>55.494999999999997</v>
      </c>
      <c r="BC322" s="509">
        <f>+BC320+BC321</f>
        <v>55.494999999999997</v>
      </c>
      <c r="BD322" s="509">
        <f>+BD320+BD321</f>
        <v>70.015000000000001</v>
      </c>
      <c r="BE322" s="509">
        <f t="shared" si="1004"/>
        <v>75.415999999999997</v>
      </c>
      <c r="BF322" s="509">
        <f>+BF320+BF321</f>
        <v>75.415999999999997</v>
      </c>
      <c r="BG322" s="509">
        <f>+BG320+BG321</f>
        <v>110.22999999999999</v>
      </c>
      <c r="BH322" s="509">
        <f t="shared" si="1005"/>
        <v>119.687</v>
      </c>
      <c r="BI322" s="509">
        <f>+BI320+BI321</f>
        <v>119.687</v>
      </c>
      <c r="BJ322" s="509">
        <f>+BJ320+BJ321</f>
        <v>154.40199999999999</v>
      </c>
      <c r="BK322" s="509">
        <f t="shared" si="1006"/>
        <v>145.52799999999999</v>
      </c>
      <c r="BL322" s="509">
        <f>+BL320+BL321</f>
        <v>145.52799999999999</v>
      </c>
      <c r="BM322" s="509">
        <f>+BM320+BM321</f>
        <v>148.91399999999999</v>
      </c>
      <c r="BN322" s="509">
        <f t="shared" si="1007"/>
        <v>154.661</v>
      </c>
      <c r="BO322" s="509">
        <f>+BO320+BO321</f>
        <v>154.661</v>
      </c>
      <c r="BP322" s="509">
        <f>+BP320+BP321</f>
        <v>204.68899999999999</v>
      </c>
      <c r="BQ322" s="509">
        <f t="shared" si="1008"/>
        <v>209.77800000000002</v>
      </c>
      <c r="BR322" s="509">
        <f>+BR320+BR321</f>
        <v>209.77800000000002</v>
      </c>
      <c r="BS322" s="509">
        <f>+BS320+BS321</f>
        <v>238.28200000000001</v>
      </c>
      <c r="BT322" s="509">
        <f t="shared" si="1009"/>
        <v>260.80900000000003</v>
      </c>
      <c r="BU322" s="509">
        <f>+BU320+BU321</f>
        <v>260.80900000000003</v>
      </c>
      <c r="BV322" s="509">
        <f>+BV320+BV321</f>
        <v>287.63799999999998</v>
      </c>
      <c r="BW322" s="509">
        <f t="shared" si="1010"/>
        <v>319.34100000000001</v>
      </c>
      <c r="BX322" s="509">
        <f>+BX320+BX321</f>
        <v>319.34100000000001</v>
      </c>
      <c r="BY322" s="509">
        <f>+BY320+BY321</f>
        <v>281.50900000000001</v>
      </c>
      <c r="BZ322" s="509">
        <f t="shared" si="1011"/>
        <v>364.23400000000004</v>
      </c>
      <c r="CA322" s="509">
        <f>+CA320+CA321</f>
        <v>364.23400000000004</v>
      </c>
      <c r="CB322" s="509">
        <f>+CB320+CB321</f>
        <v>405.10299999999995</v>
      </c>
      <c r="CC322" s="509">
        <f t="shared" si="1012"/>
        <v>438.30799999999999</v>
      </c>
      <c r="CD322" s="581">
        <f>+CD320+CD321</f>
        <v>438.30799999999999</v>
      </c>
      <c r="CE322" s="581">
        <f>+CE320+CE321</f>
        <v>487.40300000000002</v>
      </c>
      <c r="CF322" s="581">
        <f t="shared" si="1013"/>
        <v>503.28300000000002</v>
      </c>
      <c r="CG322" s="581">
        <f>+CG320+CG321</f>
        <v>503.28300000000002</v>
      </c>
      <c r="CH322" s="581">
        <f>+CH320+CH321</f>
        <v>395.24800000000005</v>
      </c>
      <c r="CI322" s="581">
        <f t="shared" si="1014"/>
        <v>384.88</v>
      </c>
      <c r="CJ322" s="581">
        <f>+CJ320+CJ321</f>
        <v>384.88</v>
      </c>
      <c r="CK322" s="581">
        <f>+CK320+CK321</f>
        <v>391.09</v>
      </c>
      <c r="CL322" s="581">
        <f t="shared" si="1015"/>
        <v>356.91300000000001</v>
      </c>
      <c r="CM322" s="581">
        <f>+CM320+CM321</f>
        <v>356.91300000000001</v>
      </c>
      <c r="CN322" s="581">
        <f>+CN320+CN321</f>
        <v>322.42200000000003</v>
      </c>
      <c r="CO322" s="581">
        <f t="shared" si="1016"/>
        <v>329.20499999999998</v>
      </c>
      <c r="CP322" s="581">
        <f>+CP320+CP321</f>
        <v>329.20499999999998</v>
      </c>
      <c r="CQ322" s="581">
        <f>+CQ320+CQ321</f>
        <v>321.44600000000003</v>
      </c>
      <c r="CR322" s="581">
        <f t="shared" si="1017"/>
        <v>355.38599999999997</v>
      </c>
      <c r="CS322" s="581">
        <f>+CS320+CS321</f>
        <v>355.38599999999997</v>
      </c>
      <c r="CT322" s="581">
        <f>+CT320+CT321</f>
        <v>415.34499999999997</v>
      </c>
      <c r="CU322" s="581">
        <f t="shared" si="1018"/>
        <v>448.55700000000002</v>
      </c>
      <c r="CV322" s="581">
        <f>+CV320+CV321</f>
        <v>448.55700000000002</v>
      </c>
      <c r="CW322" s="581">
        <f>+CW320+CW321</f>
        <v>487.68499999999995</v>
      </c>
      <c r="CX322" s="581">
        <f t="shared" si="1019"/>
        <v>543.64700000000005</v>
      </c>
      <c r="CY322" s="581">
        <f>+CY320+CY321</f>
        <v>543.64700000000005</v>
      </c>
      <c r="CZ322" s="581">
        <f>+CZ320+CZ321</f>
        <v>574.79999999999995</v>
      </c>
      <c r="DA322" s="581">
        <f t="shared" si="1020"/>
        <v>610.79999999999995</v>
      </c>
      <c r="DB322" s="581">
        <f>+DB320+DB321</f>
        <v>610.79999999999995</v>
      </c>
      <c r="DC322" s="581">
        <f>+DC320+DC321</f>
        <v>653.5</v>
      </c>
      <c r="DD322" s="581">
        <f t="shared" si="1021"/>
        <v>725.9</v>
      </c>
      <c r="DE322" s="581">
        <f>+DE320+DE321</f>
        <v>725.9</v>
      </c>
      <c r="DF322" s="581">
        <f>+DF320+DF321</f>
        <v>806</v>
      </c>
      <c r="DG322" s="581">
        <f t="shared" si="1022"/>
        <v>1401.5000000000002</v>
      </c>
      <c r="DH322" s="1280">
        <f>+DH320+DH321</f>
        <v>1401.5000000000002</v>
      </c>
      <c r="DI322" s="562">
        <f>+DI320+DI321</f>
        <v>1641.4</v>
      </c>
      <c r="DJ322" s="562">
        <f t="shared" si="1023"/>
        <v>1701.7</v>
      </c>
      <c r="DK322" s="1274">
        <f>+DK320+DK321</f>
        <v>1701.7</v>
      </c>
      <c r="DL322" s="562">
        <f>+DL320+DL321</f>
        <v>1729.8</v>
      </c>
      <c r="DM322" s="562">
        <f t="shared" si="1024"/>
        <v>1685.6999999999998</v>
      </c>
      <c r="DN322" s="1274">
        <f>+DN320+DN321</f>
        <v>1685.6999999999998</v>
      </c>
      <c r="DO322" s="562">
        <f>+DO320+DO321</f>
        <v>1715.3</v>
      </c>
      <c r="DP322" s="562">
        <f t="shared" si="1025"/>
        <v>1748.7999999999997</v>
      </c>
      <c r="DQ322" s="1274">
        <f>+DQ320+DQ321</f>
        <v>1748.7999999999997</v>
      </c>
      <c r="DR322" s="562">
        <f>+DR320+DR321</f>
        <v>1781.8000000000002</v>
      </c>
      <c r="DS322" s="562">
        <f t="shared" si="1026"/>
        <v>1840.5</v>
      </c>
      <c r="DT322" s="1274">
        <f>+DT320+DT321</f>
        <v>1840.5</v>
      </c>
      <c r="DU322" s="562">
        <f>+DU320+DU321</f>
        <v>1867.6</v>
      </c>
      <c r="DV322" s="562">
        <f t="shared" si="1027"/>
        <v>1950.3</v>
      </c>
      <c r="DW322" s="1274">
        <f>+DW320+DW321</f>
        <v>1950.3</v>
      </c>
      <c r="DX322" s="562">
        <f>+DX320+DX321</f>
        <v>1938.1000000000001</v>
      </c>
      <c r="DY322" s="562">
        <f t="shared" si="1028"/>
        <v>1933.6737614489871</v>
      </c>
      <c r="DZ322" s="1274">
        <f>+DZ320+DZ321</f>
        <v>1933.6737614489871</v>
      </c>
      <c r="EA322" s="562">
        <f>+EA320+EA321</f>
        <v>1939.4045240621417</v>
      </c>
      <c r="EB322" s="562">
        <f t="shared" si="1029"/>
        <v>1940.2868612553325</v>
      </c>
      <c r="EC322" s="1274">
        <f>+EC320+EC321</f>
        <v>1940.2868612553325</v>
      </c>
      <c r="ED322" s="562">
        <f>+ED320+ED321</f>
        <v>1981.5376925050698</v>
      </c>
      <c r="EE322" s="562">
        <f t="shared" si="1030"/>
        <v>2016.9856032750054</v>
      </c>
      <c r="EF322" s="1274">
        <f>+EF320+EF321</f>
        <v>2016.9856032750054</v>
      </c>
      <c r="EG322" s="562">
        <f>+EG320+EG321</f>
        <v>2067.9955709161054</v>
      </c>
      <c r="EH322" s="562">
        <f t="shared" si="1031"/>
        <v>2112.1944241808096</v>
      </c>
      <c r="EI322" s="1274">
        <f>+EI320+EI321</f>
        <v>2112.1944241808096</v>
      </c>
      <c r="EJ322" s="562">
        <f>+EJ320+EJ321</f>
        <v>2220.7037648318947</v>
      </c>
      <c r="EK322" s="562">
        <f t="shared" si="1032"/>
        <v>2324.5708974335648</v>
      </c>
      <c r="EL322" s="1274">
        <f>+EL320+EL321</f>
        <v>2324.5708974335648</v>
      </c>
      <c r="EM322" s="562">
        <f>+EM320+EM321</f>
        <v>2442.656068304992</v>
      </c>
      <c r="EN322" s="562">
        <f t="shared" si="1033"/>
        <v>2556.649486574086</v>
      </c>
      <c r="EO322" s="1274">
        <f>+EO320+EO321</f>
        <v>2556.649486574086</v>
      </c>
      <c r="EP322" s="562">
        <f>+EP320+EP321</f>
        <v>2685.2630223672313</v>
      </c>
      <c r="EQ322" s="562">
        <f t="shared" si="1034"/>
        <v>2810.0136238364853</v>
      </c>
      <c r="ER322" s="1274">
        <f>+ER320+ER321</f>
        <v>2810.0136238364853</v>
      </c>
      <c r="ES322" s="562">
        <f>+ES320+ES321</f>
        <v>2950.760657371442</v>
      </c>
      <c r="ET322" s="562">
        <f t="shared" si="1035"/>
        <v>3087.2543674683279</v>
      </c>
      <c r="EU322" s="1274">
        <f>+EU320+EU321</f>
        <v>3087.2543674683279</v>
      </c>
      <c r="EV322" s="562">
        <f>+EV320+EV321</f>
        <v>3241.251620575335</v>
      </c>
      <c r="EW322" s="562">
        <f t="shared" si="1036"/>
        <v>3390.5651338189914</v>
      </c>
      <c r="EX322" s="1274">
        <f>+EX320+EX321</f>
        <v>3390.5651338189914</v>
      </c>
      <c r="EY322" s="562">
        <f>+EY320+EY321</f>
        <v>3559.0335171786232</v>
      </c>
      <c r="EZ322" s="562">
        <f t="shared" si="1037"/>
        <v>3722.3429506830234</v>
      </c>
      <c r="FA322" s="1274">
        <f>+FA320+FA321</f>
        <v>3722.3429506830234</v>
      </c>
      <c r="FE322"/>
      <c r="FF322"/>
      <c r="FG322"/>
      <c r="FH322"/>
      <c r="FI322"/>
      <c r="FJ322"/>
      <c r="FK322" s="35"/>
    </row>
    <row r="323" spans="1:167" s="236" customFormat="1" ht="13.35" customHeight="1">
      <c r="B323" s="242"/>
      <c r="C323" s="242"/>
      <c r="D323" s="243"/>
      <c r="E323" s="482"/>
      <c r="F323" s="482"/>
      <c r="G323" s="482"/>
      <c r="H323" s="482"/>
      <c r="I323" s="482"/>
      <c r="J323" s="482"/>
      <c r="K323" s="482"/>
      <c r="L323" s="482"/>
      <c r="M323" s="482"/>
      <c r="N323" s="482"/>
      <c r="O323" s="482"/>
      <c r="P323" s="482"/>
      <c r="Q323" s="482"/>
      <c r="R323" s="482"/>
      <c r="S323" s="482"/>
      <c r="T323" s="482"/>
      <c r="U323" s="482"/>
      <c r="V323" s="482"/>
      <c r="W323" s="482"/>
      <c r="X323" s="482"/>
      <c r="Y323" s="482"/>
      <c r="Z323" s="482"/>
      <c r="AA323" s="482"/>
      <c r="AB323" s="482"/>
      <c r="AC323" s="482"/>
      <c r="AD323" s="482"/>
      <c r="AE323" s="482"/>
      <c r="AF323" s="482"/>
      <c r="AG323" s="482"/>
      <c r="AH323" s="482"/>
      <c r="AI323" s="482"/>
      <c r="AJ323" s="482"/>
      <c r="AK323" s="482"/>
      <c r="AL323" s="482"/>
      <c r="AM323" s="482"/>
      <c r="AN323" s="482"/>
      <c r="AO323" s="482"/>
      <c r="AP323" s="482"/>
      <c r="AQ323" s="482"/>
      <c r="AR323" s="482"/>
      <c r="AS323" s="482"/>
      <c r="AT323" s="482"/>
      <c r="AU323" s="482"/>
      <c r="AV323" s="482"/>
      <c r="AW323" s="482"/>
      <c r="AX323" s="482"/>
      <c r="AY323" s="482"/>
      <c r="AZ323" s="482"/>
      <c r="BA323" s="482"/>
      <c r="BB323" s="482"/>
      <c r="BC323" s="482"/>
      <c r="BD323" s="482"/>
      <c r="BE323" s="482"/>
      <c r="BF323" s="482"/>
      <c r="BG323" s="482"/>
      <c r="BH323" s="482">
        <f t="shared" si="1005"/>
        <v>0</v>
      </c>
      <c r="BI323" s="482"/>
      <c r="BJ323" s="482"/>
      <c r="BK323" s="482"/>
      <c r="BL323" s="482"/>
      <c r="BM323" s="482"/>
      <c r="BN323" s="482"/>
      <c r="BO323" s="482"/>
      <c r="BP323" s="482"/>
      <c r="BQ323" s="482"/>
      <c r="BR323" s="482"/>
      <c r="BS323" s="482"/>
      <c r="BT323" s="482"/>
      <c r="BU323" s="482"/>
      <c r="BV323" s="482"/>
      <c r="BW323" s="482"/>
      <c r="BX323" s="482"/>
      <c r="BY323" s="482"/>
      <c r="BZ323" s="482"/>
      <c r="CA323" s="482"/>
      <c r="CB323" s="482"/>
      <c r="CC323" s="482"/>
      <c r="CD323" s="562"/>
      <c r="CE323" s="562"/>
      <c r="CF323" s="562"/>
      <c r="CG323" s="562"/>
      <c r="CH323" s="562"/>
      <c r="CI323" s="562"/>
      <c r="CJ323" s="562"/>
      <c r="CK323" s="562"/>
      <c r="CL323" s="562"/>
      <c r="CM323" s="562"/>
      <c r="CN323" s="562"/>
      <c r="CO323" s="562"/>
      <c r="CP323" s="562"/>
      <c r="CQ323" s="562"/>
      <c r="CR323" s="562"/>
      <c r="CS323" s="562"/>
      <c r="CT323" s="562"/>
      <c r="CU323" s="562"/>
      <c r="CV323" s="562"/>
      <c r="CW323" s="562"/>
      <c r="CX323" s="562"/>
      <c r="CY323" s="562"/>
      <c r="CZ323" s="562"/>
      <c r="DA323" s="562"/>
      <c r="DB323" s="562"/>
      <c r="DC323" s="562"/>
      <c r="DD323" s="562"/>
      <c r="DE323" s="562"/>
      <c r="DF323" s="562"/>
      <c r="DG323" s="562"/>
      <c r="DH323" s="1274"/>
      <c r="DI323" s="562"/>
      <c r="DJ323" s="562"/>
      <c r="DK323" s="1274"/>
      <c r="DL323" s="562"/>
      <c r="DM323" s="562"/>
      <c r="DN323" s="1274"/>
      <c r="DO323" s="562"/>
      <c r="DP323" s="562"/>
      <c r="DQ323" s="1274"/>
      <c r="DR323" s="562"/>
      <c r="DS323" s="562"/>
      <c r="DT323" s="1274"/>
      <c r="DU323" s="562"/>
      <c r="DV323" s="562"/>
      <c r="DW323" s="1274"/>
      <c r="DX323" s="562"/>
      <c r="DY323" s="562"/>
      <c r="DZ323" s="1274"/>
      <c r="EA323" s="562"/>
      <c r="EB323" s="562"/>
      <c r="EC323" s="1274"/>
      <c r="ED323" s="562"/>
      <c r="EE323" s="562"/>
      <c r="EF323" s="1274"/>
      <c r="EG323" s="562"/>
      <c r="EH323" s="562"/>
      <c r="EI323" s="1274"/>
      <c r="EJ323" s="562"/>
      <c r="EK323" s="562"/>
      <c r="EL323" s="1274"/>
      <c r="EM323" s="562"/>
      <c r="EN323" s="562"/>
      <c r="EO323" s="1274"/>
      <c r="EP323" s="562"/>
      <c r="EQ323" s="562"/>
      <c r="ER323" s="1274"/>
      <c r="ES323" s="562"/>
      <c r="ET323" s="562"/>
      <c r="EU323" s="1274"/>
      <c r="EV323" s="562"/>
      <c r="EW323" s="562"/>
      <c r="EX323" s="1274"/>
      <c r="EY323" s="562"/>
      <c r="EZ323" s="562"/>
      <c r="FA323" s="1274"/>
      <c r="FE323"/>
      <c r="FF323"/>
      <c r="FG323"/>
      <c r="FH323"/>
      <c r="FI323"/>
      <c r="FJ323"/>
      <c r="FK323" s="35"/>
    </row>
    <row r="324" spans="1:167" s="236" customFormat="1" ht="13.35" customHeight="1">
      <c r="B324" s="242" t="s">
        <v>646</v>
      </c>
      <c r="C324" s="242" t="s">
        <v>496</v>
      </c>
      <c r="D324" s="243"/>
      <c r="E324" s="609">
        <f t="shared" ref="E324:N324" si="1038">+E307-E322</f>
        <v>0</v>
      </c>
      <c r="F324" s="609">
        <f t="shared" si="1038"/>
        <v>0</v>
      </c>
      <c r="G324" s="609">
        <f t="shared" si="1038"/>
        <v>0</v>
      </c>
      <c r="H324" s="609">
        <f t="shared" si="1038"/>
        <v>0</v>
      </c>
      <c r="I324" s="609">
        <f t="shared" si="1038"/>
        <v>0</v>
      </c>
      <c r="J324" s="609">
        <f t="shared" si="1038"/>
        <v>0</v>
      </c>
      <c r="K324" s="609">
        <f t="shared" si="1038"/>
        <v>0</v>
      </c>
      <c r="L324" s="609">
        <f t="shared" si="1038"/>
        <v>0</v>
      </c>
      <c r="M324" s="609">
        <f t="shared" si="1038"/>
        <v>0</v>
      </c>
      <c r="N324" s="609">
        <f t="shared" si="1038"/>
        <v>0</v>
      </c>
      <c r="O324" s="609">
        <f t="shared" ref="O324:X324" si="1039">+O307-O322</f>
        <v>0</v>
      </c>
      <c r="P324" s="609">
        <f t="shared" si="1039"/>
        <v>0</v>
      </c>
      <c r="Q324" s="609">
        <f t="shared" si="1039"/>
        <v>0</v>
      </c>
      <c r="R324" s="609">
        <f t="shared" si="1039"/>
        <v>0</v>
      </c>
      <c r="S324" s="609">
        <f t="shared" si="1039"/>
        <v>0</v>
      </c>
      <c r="T324" s="609">
        <f t="shared" si="1039"/>
        <v>0</v>
      </c>
      <c r="U324" s="609">
        <f t="shared" si="1039"/>
        <v>0</v>
      </c>
      <c r="V324" s="609">
        <f t="shared" si="1039"/>
        <v>0</v>
      </c>
      <c r="W324" s="609">
        <f t="shared" si="1039"/>
        <v>0</v>
      </c>
      <c r="X324" s="609">
        <f t="shared" si="1039"/>
        <v>0</v>
      </c>
      <c r="Y324" s="609">
        <f t="shared" ref="Y324:AH324" si="1040">+Y307-Y322</f>
        <v>0</v>
      </c>
      <c r="Z324" s="609">
        <f t="shared" si="1040"/>
        <v>0</v>
      </c>
      <c r="AA324" s="609">
        <f t="shared" si="1040"/>
        <v>0</v>
      </c>
      <c r="AB324" s="609">
        <f t="shared" si="1040"/>
        <v>0</v>
      </c>
      <c r="AC324" s="609">
        <f t="shared" si="1040"/>
        <v>0</v>
      </c>
      <c r="AD324" s="609">
        <f t="shared" si="1040"/>
        <v>0</v>
      </c>
      <c r="AE324" s="609">
        <f t="shared" si="1040"/>
        <v>0</v>
      </c>
      <c r="AF324" s="609">
        <f t="shared" si="1040"/>
        <v>0</v>
      </c>
      <c r="AG324" s="609">
        <f t="shared" si="1040"/>
        <v>0</v>
      </c>
      <c r="AH324" s="609">
        <f t="shared" si="1040"/>
        <v>0</v>
      </c>
      <c r="AI324" s="609">
        <f t="shared" ref="AI324:AR324" si="1041">+AI307-AI322</f>
        <v>0</v>
      </c>
      <c r="AJ324" s="609">
        <f t="shared" si="1041"/>
        <v>0</v>
      </c>
      <c r="AK324" s="609">
        <f t="shared" si="1041"/>
        <v>0</v>
      </c>
      <c r="AL324" s="609">
        <f t="shared" si="1041"/>
        <v>9.9999999999766942E-4</v>
      </c>
      <c r="AM324" s="609">
        <f t="shared" si="1041"/>
        <v>0</v>
      </c>
      <c r="AN324" s="609">
        <f t="shared" si="1041"/>
        <v>0</v>
      </c>
      <c r="AO324" s="609">
        <f t="shared" si="1041"/>
        <v>0</v>
      </c>
      <c r="AP324" s="609">
        <f t="shared" si="1041"/>
        <v>0</v>
      </c>
      <c r="AQ324" s="609">
        <f t="shared" si="1041"/>
        <v>0</v>
      </c>
      <c r="AR324" s="609">
        <f t="shared" si="1041"/>
        <v>0</v>
      </c>
      <c r="AS324" s="609">
        <f t="shared" ref="AS324:BB324" si="1042">+AS307-AS322</f>
        <v>0</v>
      </c>
      <c r="AT324" s="609">
        <f t="shared" si="1042"/>
        <v>0</v>
      </c>
      <c r="AU324" s="609">
        <f t="shared" si="1042"/>
        <v>-2.0000000000095497E-3</v>
      </c>
      <c r="AV324" s="609">
        <f t="shared" si="1042"/>
        <v>0</v>
      </c>
      <c r="AW324" s="609">
        <f t="shared" si="1042"/>
        <v>0</v>
      </c>
      <c r="AX324" s="609">
        <f t="shared" si="1042"/>
        <v>4.0000000000048885E-3</v>
      </c>
      <c r="AY324" s="609">
        <f t="shared" si="1042"/>
        <v>0</v>
      </c>
      <c r="AZ324" s="609">
        <f t="shared" si="1042"/>
        <v>0</v>
      </c>
      <c r="BA324" s="609">
        <f t="shared" si="1042"/>
        <v>0</v>
      </c>
      <c r="BB324" s="609">
        <f t="shared" si="1042"/>
        <v>0</v>
      </c>
      <c r="BC324" s="609">
        <f t="shared" ref="BC324:BO324" si="1043">+BC307-BC322</f>
        <v>0</v>
      </c>
      <c r="BD324" s="609">
        <f t="shared" si="1043"/>
        <v>-45.873999999999981</v>
      </c>
      <c r="BE324" s="609">
        <f t="shared" si="1043"/>
        <v>-45.873999999999967</v>
      </c>
      <c r="BF324" s="609">
        <f t="shared" si="1043"/>
        <v>-45.873999999999967</v>
      </c>
      <c r="BG324" s="609">
        <f t="shared" si="1043"/>
        <v>-45.873999999999981</v>
      </c>
      <c r="BH324" s="609">
        <f t="shared" si="1043"/>
        <v>0</v>
      </c>
      <c r="BI324" s="609">
        <f t="shared" si="1043"/>
        <v>0</v>
      </c>
      <c r="BJ324" s="609">
        <f t="shared" si="1043"/>
        <v>0</v>
      </c>
      <c r="BK324" s="609">
        <f t="shared" si="1043"/>
        <v>1.0000000000047748E-3</v>
      </c>
      <c r="BL324" s="609">
        <f t="shared" si="1043"/>
        <v>1.0000000000047748E-3</v>
      </c>
      <c r="BM324" s="607">
        <f t="shared" si="1043"/>
        <v>0</v>
      </c>
      <c r="BN324" s="607">
        <f t="shared" si="1043"/>
        <v>0</v>
      </c>
      <c r="BO324" s="607">
        <f t="shared" si="1043"/>
        <v>0</v>
      </c>
      <c r="BP324" s="607">
        <f t="shared" ref="BP324:DK324" si="1044">+BP307-BP322</f>
        <v>0</v>
      </c>
      <c r="BQ324" s="607">
        <f t="shared" si="1044"/>
        <v>0</v>
      </c>
      <c r="BR324" s="609">
        <f t="shared" si="1044"/>
        <v>0</v>
      </c>
      <c r="BS324" s="609">
        <f t="shared" si="1044"/>
        <v>0</v>
      </c>
      <c r="BT324" s="609">
        <f t="shared" si="1044"/>
        <v>0</v>
      </c>
      <c r="BU324" s="609">
        <f t="shared" si="1044"/>
        <v>0</v>
      </c>
      <c r="BV324" s="609">
        <f t="shared" si="1044"/>
        <v>0</v>
      </c>
      <c r="BW324" s="609">
        <f t="shared" si="1044"/>
        <v>0</v>
      </c>
      <c r="BX324" s="609">
        <f t="shared" si="1044"/>
        <v>0</v>
      </c>
      <c r="BY324" s="609">
        <f t="shared" si="1044"/>
        <v>0</v>
      </c>
      <c r="BZ324" s="609">
        <f t="shared" si="1044"/>
        <v>0</v>
      </c>
      <c r="CA324" s="609">
        <f t="shared" si="1044"/>
        <v>0</v>
      </c>
      <c r="CB324" s="609">
        <f t="shared" si="1044"/>
        <v>0</v>
      </c>
      <c r="CC324" s="609">
        <f t="shared" si="1044"/>
        <v>0</v>
      </c>
      <c r="CD324" s="610">
        <f t="shared" si="1044"/>
        <v>0</v>
      </c>
      <c r="CE324" s="610">
        <f t="shared" si="1044"/>
        <v>0</v>
      </c>
      <c r="CF324" s="610">
        <f t="shared" si="1044"/>
        <v>0</v>
      </c>
      <c r="CG324" s="610">
        <f t="shared" si="1044"/>
        <v>0</v>
      </c>
      <c r="CH324" s="610">
        <f t="shared" si="1044"/>
        <v>0</v>
      </c>
      <c r="CI324" s="610">
        <f t="shared" si="1044"/>
        <v>0</v>
      </c>
      <c r="CJ324" s="610">
        <f t="shared" si="1044"/>
        <v>0</v>
      </c>
      <c r="CK324" s="610">
        <f t="shared" si="1044"/>
        <v>0</v>
      </c>
      <c r="CL324" s="610">
        <f t="shared" si="1044"/>
        <v>0</v>
      </c>
      <c r="CM324" s="610">
        <f t="shared" si="1044"/>
        <v>0</v>
      </c>
      <c r="CN324" s="610">
        <f t="shared" si="1044"/>
        <v>0</v>
      </c>
      <c r="CO324" s="610">
        <f t="shared" si="1044"/>
        <v>0</v>
      </c>
      <c r="CP324" s="610">
        <f t="shared" si="1044"/>
        <v>0</v>
      </c>
      <c r="CQ324" s="611">
        <f t="shared" si="1044"/>
        <v>0</v>
      </c>
      <c r="CR324" s="610">
        <f t="shared" si="1044"/>
        <v>0</v>
      </c>
      <c r="CS324" s="610">
        <f t="shared" si="1044"/>
        <v>0</v>
      </c>
      <c r="CT324" s="610">
        <f t="shared" si="1044"/>
        <v>-2.999999999872216E-3</v>
      </c>
      <c r="CU324" s="610">
        <f t="shared" si="1044"/>
        <v>0</v>
      </c>
      <c r="CV324" s="610">
        <f t="shared" si="1044"/>
        <v>0</v>
      </c>
      <c r="CW324" s="610">
        <f t="shared" si="1044"/>
        <v>0</v>
      </c>
      <c r="CX324" s="610">
        <f t="shared" si="1044"/>
        <v>0</v>
      </c>
      <c r="CY324" s="610">
        <f t="shared" si="1044"/>
        <v>0</v>
      </c>
      <c r="CZ324" s="610">
        <f t="shared" si="1044"/>
        <v>0</v>
      </c>
      <c r="DA324" s="610">
        <f t="shared" si="1044"/>
        <v>0</v>
      </c>
      <c r="DB324" s="610">
        <f t="shared" si="1044"/>
        <v>0</v>
      </c>
      <c r="DC324" s="610">
        <f t="shared" si="1044"/>
        <v>0</v>
      </c>
      <c r="DD324" s="610">
        <f t="shared" si="1044"/>
        <v>0</v>
      </c>
      <c r="DE324" s="610">
        <f t="shared" si="1044"/>
        <v>0</v>
      </c>
      <c r="DF324" s="610">
        <f t="shared" si="1044"/>
        <v>0</v>
      </c>
      <c r="DG324" s="610">
        <f t="shared" si="1044"/>
        <v>9.9999999999454303E-2</v>
      </c>
      <c r="DH324" s="1285">
        <f t="shared" si="1044"/>
        <v>9.9999999999454303E-2</v>
      </c>
      <c r="DI324" s="1467">
        <f t="shared" si="1044"/>
        <v>0</v>
      </c>
      <c r="DJ324" s="1467">
        <f t="shared" si="1044"/>
        <v>0</v>
      </c>
      <c r="DK324" s="1471">
        <f t="shared" si="1044"/>
        <v>0</v>
      </c>
      <c r="DL324" s="1467">
        <f t="shared" ref="DL324:DQ324" si="1045">+DL307-DL322</f>
        <v>0</v>
      </c>
      <c r="DM324" s="1467">
        <f t="shared" si="1045"/>
        <v>0</v>
      </c>
      <c r="DN324" s="1471">
        <f t="shared" si="1045"/>
        <v>0</v>
      </c>
      <c r="DO324" s="1467">
        <f t="shared" si="1045"/>
        <v>0</v>
      </c>
      <c r="DP324" s="1467">
        <f t="shared" si="1045"/>
        <v>0</v>
      </c>
      <c r="DQ324" s="1471">
        <f t="shared" si="1045"/>
        <v>0</v>
      </c>
      <c r="DR324" s="1467">
        <f t="shared" ref="DR324:DU324" si="1046">+DR307-DR322</f>
        <v>0</v>
      </c>
      <c r="DS324" s="1467">
        <f t="shared" si="1046"/>
        <v>0</v>
      </c>
      <c r="DT324" s="1471">
        <f t="shared" si="1046"/>
        <v>0</v>
      </c>
      <c r="DU324" s="1467">
        <f t="shared" si="1046"/>
        <v>0</v>
      </c>
      <c r="DV324" s="1467">
        <f t="shared" ref="DV324:DX324" si="1047">+DV307-DV322</f>
        <v>0</v>
      </c>
      <c r="DW324" s="1471">
        <f t="shared" si="1047"/>
        <v>0</v>
      </c>
      <c r="DX324" s="1467">
        <f t="shared" si="1047"/>
        <v>0</v>
      </c>
      <c r="DY324" s="1467">
        <f t="shared" ref="DY324:EC324" si="1048">+DY307-DY322</f>
        <v>0</v>
      </c>
      <c r="DZ324" s="1471">
        <f t="shared" si="1048"/>
        <v>0</v>
      </c>
      <c r="EA324" s="1467">
        <f t="shared" si="1048"/>
        <v>0</v>
      </c>
      <c r="EB324" s="1467">
        <f t="shared" si="1048"/>
        <v>0</v>
      </c>
      <c r="EC324" s="1471">
        <f t="shared" si="1048"/>
        <v>0</v>
      </c>
      <c r="ED324" s="1467">
        <f t="shared" ref="ED324:EL324" si="1049">+ED307-ED322</f>
        <v>0</v>
      </c>
      <c r="EE324" s="1467">
        <f t="shared" si="1049"/>
        <v>0</v>
      </c>
      <c r="EF324" s="1471">
        <f t="shared" si="1049"/>
        <v>0</v>
      </c>
      <c r="EG324" s="1467">
        <f t="shared" si="1049"/>
        <v>0</v>
      </c>
      <c r="EH324" s="1467">
        <f t="shared" si="1049"/>
        <v>0</v>
      </c>
      <c r="EI324" s="1471">
        <f t="shared" si="1049"/>
        <v>0</v>
      </c>
      <c r="EJ324" s="1467">
        <f t="shared" si="1049"/>
        <v>0</v>
      </c>
      <c r="EK324" s="1467">
        <f t="shared" si="1049"/>
        <v>0</v>
      </c>
      <c r="EL324" s="1471">
        <f t="shared" si="1049"/>
        <v>0</v>
      </c>
      <c r="EM324" s="1467">
        <f t="shared" ref="EM324:ER324" si="1050">+EM307-EM322</f>
        <v>0</v>
      </c>
      <c r="EN324" s="1467">
        <f t="shared" si="1050"/>
        <v>0</v>
      </c>
      <c r="EO324" s="1471">
        <f t="shared" si="1050"/>
        <v>0</v>
      </c>
      <c r="EP324" s="1467">
        <f t="shared" si="1050"/>
        <v>0</v>
      </c>
      <c r="EQ324" s="1467">
        <f t="shared" si="1050"/>
        <v>0</v>
      </c>
      <c r="ER324" s="1471">
        <f t="shared" si="1050"/>
        <v>0</v>
      </c>
      <c r="ES324" s="1467">
        <f t="shared" ref="ES324:EX324" si="1051">+ES307-ES322</f>
        <v>0</v>
      </c>
      <c r="ET324" s="1467">
        <f t="shared" si="1051"/>
        <v>0</v>
      </c>
      <c r="EU324" s="1471">
        <f t="shared" si="1051"/>
        <v>0</v>
      </c>
      <c r="EV324" s="1467">
        <f t="shared" si="1051"/>
        <v>0</v>
      </c>
      <c r="EW324" s="1467">
        <f t="shared" si="1051"/>
        <v>0</v>
      </c>
      <c r="EX324" s="1471">
        <f t="shared" si="1051"/>
        <v>0</v>
      </c>
      <c r="EY324" s="1467">
        <f t="shared" ref="EY324:FA324" si="1052">+EY307-EY322</f>
        <v>0</v>
      </c>
      <c r="EZ324" s="1467">
        <f t="shared" si="1052"/>
        <v>0</v>
      </c>
      <c r="FA324" s="1471">
        <f t="shared" si="1052"/>
        <v>0</v>
      </c>
      <c r="FE324"/>
      <c r="FF324"/>
      <c r="FG324"/>
      <c r="FH324"/>
      <c r="FI324"/>
      <c r="FJ324"/>
      <c r="FK324" s="35"/>
    </row>
    <row r="325" spans="1:167" s="236" customFormat="1" ht="13.35" customHeight="1">
      <c r="B325" s="242"/>
      <c r="C325" s="242"/>
      <c r="D325" s="243"/>
      <c r="E325" s="482"/>
      <c r="F325" s="482"/>
      <c r="G325" s="482"/>
      <c r="H325" s="482"/>
      <c r="I325" s="482"/>
      <c r="J325" s="482"/>
      <c r="K325" s="482"/>
      <c r="L325" s="482"/>
      <c r="M325" s="482"/>
      <c r="N325" s="482"/>
      <c r="O325" s="482"/>
      <c r="P325" s="482"/>
      <c r="Q325" s="612"/>
      <c r="R325" s="612"/>
      <c r="S325" s="612"/>
      <c r="T325" s="612"/>
      <c r="U325" s="612"/>
      <c r="V325" s="612"/>
      <c r="W325" s="612"/>
      <c r="X325" s="612"/>
      <c r="Y325" s="612"/>
      <c r="Z325" s="612"/>
      <c r="AA325" s="612"/>
      <c r="AB325" s="612"/>
      <c r="AC325" s="612"/>
      <c r="AD325" s="612"/>
      <c r="AE325" s="612"/>
      <c r="AF325" s="612"/>
      <c r="AG325" s="612"/>
      <c r="AH325" s="612"/>
      <c r="AI325" s="612"/>
      <c r="AJ325" s="612"/>
      <c r="AK325" s="612"/>
      <c r="AL325" s="612"/>
      <c r="AM325" s="612"/>
      <c r="AN325" s="612"/>
      <c r="AO325" s="612"/>
      <c r="AP325" s="612"/>
      <c r="AQ325" s="612"/>
      <c r="AR325" s="612"/>
      <c r="AS325" s="612"/>
      <c r="AT325" s="612"/>
      <c r="AU325" s="612"/>
      <c r="AV325" s="612"/>
      <c r="AW325" s="612"/>
      <c r="AX325" s="612"/>
      <c r="AY325" s="612"/>
      <c r="AZ325" s="612"/>
      <c r="BA325" s="612"/>
      <c r="BB325" s="612"/>
      <c r="BC325" s="612"/>
      <c r="BD325" s="612"/>
      <c r="BE325" s="612"/>
      <c r="BF325" s="612"/>
      <c r="BG325" s="612"/>
      <c r="BH325" s="612"/>
      <c r="BI325" s="612"/>
      <c r="BJ325" s="612"/>
      <c r="BK325" s="612"/>
      <c r="BL325" s="612"/>
      <c r="BM325" s="612"/>
      <c r="BN325" s="612"/>
      <c r="BO325" s="612"/>
      <c r="BP325" s="612"/>
      <c r="BQ325" s="612"/>
      <c r="BR325" s="612"/>
      <c r="BS325" s="612"/>
      <c r="BT325" s="612"/>
      <c r="BU325" s="612"/>
      <c r="BV325" s="612"/>
      <c r="BW325" s="612"/>
      <c r="BX325" s="612"/>
      <c r="BY325" s="612"/>
      <c r="BZ325" s="612"/>
      <c r="CA325" s="612"/>
      <c r="CB325" s="612"/>
      <c r="CC325" s="612"/>
      <c r="CD325" s="613"/>
      <c r="CE325" s="613"/>
      <c r="CF325" s="613"/>
      <c r="CG325" s="613"/>
      <c r="CH325" s="613"/>
      <c r="CI325" s="613"/>
      <c r="CJ325" s="613"/>
      <c r="CK325" s="613"/>
      <c r="CL325" s="613"/>
      <c r="CM325" s="613"/>
      <c r="CN325" s="613"/>
      <c r="CO325" s="613"/>
      <c r="CP325" s="613"/>
      <c r="CQ325" s="613"/>
      <c r="CR325" s="613"/>
      <c r="CS325" s="613"/>
      <c r="CT325" s="613"/>
      <c r="CU325" s="613"/>
      <c r="CV325" s="613"/>
      <c r="CW325" s="613"/>
      <c r="CX325" s="613"/>
      <c r="CY325" s="613"/>
      <c r="CZ325" s="613"/>
      <c r="DA325" s="613"/>
      <c r="DB325" s="613"/>
      <c r="DC325" s="613"/>
      <c r="DD325" s="613"/>
      <c r="DE325" s="613"/>
      <c r="DF325" s="613"/>
      <c r="DG325" s="613"/>
      <c r="DH325" s="1286"/>
      <c r="DI325" s="613"/>
      <c r="DJ325" s="613"/>
      <c r="DK325" s="1286"/>
      <c r="DL325" s="613"/>
      <c r="DM325" s="613"/>
      <c r="DN325" s="1286"/>
      <c r="DO325" s="613"/>
      <c r="DP325" s="613"/>
      <c r="DQ325" s="1286"/>
      <c r="DR325" s="613"/>
      <c r="DS325" s="613"/>
      <c r="DT325" s="1286"/>
      <c r="DU325" s="613"/>
      <c r="DV325" s="613"/>
      <c r="DW325" s="1286"/>
      <c r="DX325" s="613"/>
      <c r="DY325" s="613"/>
      <c r="DZ325" s="1286"/>
      <c r="EA325" s="614"/>
      <c r="EB325" s="614"/>
      <c r="EC325" s="1286"/>
      <c r="ED325" s="615"/>
      <c r="EE325" s="615"/>
      <c r="EF325" s="1286"/>
      <c r="EG325" s="615"/>
      <c r="EH325" s="615"/>
      <c r="EI325" s="1286"/>
      <c r="EJ325" s="615"/>
      <c r="EK325" s="615"/>
      <c r="EL325" s="1286"/>
      <c r="EM325" s="615"/>
      <c r="EN325" s="615"/>
      <c r="EO325" s="1286"/>
      <c r="EP325" s="615"/>
      <c r="EQ325" s="615"/>
      <c r="ER325" s="1286"/>
      <c r="ES325" s="615"/>
      <c r="ET325" s="615"/>
      <c r="EU325" s="1286"/>
      <c r="EV325" s="615"/>
      <c r="EW325" s="615"/>
      <c r="EX325" s="1286"/>
      <c r="EY325" s="615"/>
      <c r="EZ325" s="615"/>
      <c r="FA325" s="1286"/>
      <c r="FE325"/>
      <c r="FF325"/>
      <c r="FG325"/>
      <c r="FH325"/>
      <c r="FI325"/>
      <c r="FJ325"/>
      <c r="FK325" s="35"/>
    </row>
    <row r="326" spans="1:167" s="450" customFormat="1" ht="16.5" customHeight="1">
      <c r="A326" s="453" t="s">
        <v>647</v>
      </c>
      <c r="B326" s="449"/>
      <c r="C326" s="454" t="s">
        <v>933</v>
      </c>
      <c r="D326" s="455"/>
      <c r="E326" s="455" t="str">
        <f t="shared" ref="E326:AJ326" si="1053">+E4</f>
        <v>1h85</v>
      </c>
      <c r="F326" s="455" t="str">
        <f t="shared" si="1053"/>
        <v>2h85</v>
      </c>
      <c r="G326" s="455" t="str">
        <f t="shared" si="1053"/>
        <v>1985</v>
      </c>
      <c r="H326" s="455" t="str">
        <f t="shared" si="1053"/>
        <v>1h86</v>
      </c>
      <c r="I326" s="455" t="str">
        <f t="shared" si="1053"/>
        <v>2h86</v>
      </c>
      <c r="J326" s="455" t="str">
        <f t="shared" si="1053"/>
        <v>1986</v>
      </c>
      <c r="K326" s="455" t="str">
        <f t="shared" si="1053"/>
        <v>1h87</v>
      </c>
      <c r="L326" s="455" t="str">
        <f t="shared" si="1053"/>
        <v>2h87</v>
      </c>
      <c r="M326" s="455" t="str">
        <f t="shared" si="1053"/>
        <v>1987</v>
      </c>
      <c r="N326" s="455" t="str">
        <f t="shared" si="1053"/>
        <v>1h88</v>
      </c>
      <c r="O326" s="455" t="str">
        <f t="shared" si="1053"/>
        <v>2h88</v>
      </c>
      <c r="P326" s="455" t="str">
        <f t="shared" si="1053"/>
        <v>1988</v>
      </c>
      <c r="Q326" s="455" t="str">
        <f t="shared" si="1053"/>
        <v>1h89</v>
      </c>
      <c r="R326" s="455" t="str">
        <f t="shared" si="1053"/>
        <v>2h89</v>
      </c>
      <c r="S326" s="455" t="str">
        <f t="shared" si="1053"/>
        <v>1989</v>
      </c>
      <c r="T326" s="455" t="str">
        <f t="shared" si="1053"/>
        <v>1h90</v>
      </c>
      <c r="U326" s="455" t="str">
        <f t="shared" si="1053"/>
        <v>2h90</v>
      </c>
      <c r="V326" s="455" t="str">
        <f t="shared" si="1053"/>
        <v>1990</v>
      </c>
      <c r="W326" s="455" t="str">
        <f t="shared" si="1053"/>
        <v>1h91</v>
      </c>
      <c r="X326" s="455" t="str">
        <f t="shared" si="1053"/>
        <v>2h91</v>
      </c>
      <c r="Y326" s="455" t="str">
        <f t="shared" si="1053"/>
        <v>1991</v>
      </c>
      <c r="Z326" s="455" t="str">
        <f t="shared" si="1053"/>
        <v>1h92</v>
      </c>
      <c r="AA326" s="455" t="str">
        <f t="shared" si="1053"/>
        <v>2h92</v>
      </c>
      <c r="AB326" s="455" t="str">
        <f t="shared" si="1053"/>
        <v>1992</v>
      </c>
      <c r="AC326" s="455" t="str">
        <f t="shared" si="1053"/>
        <v>1h93</v>
      </c>
      <c r="AD326" s="455" t="str">
        <f t="shared" si="1053"/>
        <v>2h93</v>
      </c>
      <c r="AE326" s="455" t="str">
        <f t="shared" si="1053"/>
        <v>1993</v>
      </c>
      <c r="AF326" s="455" t="str">
        <f t="shared" si="1053"/>
        <v>1h94</v>
      </c>
      <c r="AG326" s="455" t="str">
        <f t="shared" si="1053"/>
        <v>2h94</v>
      </c>
      <c r="AH326" s="455" t="str">
        <f t="shared" si="1053"/>
        <v>1994</v>
      </c>
      <c r="AI326" s="455" t="str">
        <f t="shared" si="1053"/>
        <v>1h95</v>
      </c>
      <c r="AJ326" s="455" t="str">
        <f t="shared" si="1053"/>
        <v>2h95</v>
      </c>
      <c r="AK326" s="455" t="str">
        <f t="shared" ref="AK326:BP326" si="1054">+AK4</f>
        <v>1995</v>
      </c>
      <c r="AL326" s="455" t="str">
        <f t="shared" si="1054"/>
        <v>1h96</v>
      </c>
      <c r="AM326" s="455" t="str">
        <f t="shared" si="1054"/>
        <v>2h96</v>
      </c>
      <c r="AN326" s="455" t="str">
        <f t="shared" si="1054"/>
        <v>1996</v>
      </c>
      <c r="AO326" s="455" t="str">
        <f t="shared" si="1054"/>
        <v>1h97</v>
      </c>
      <c r="AP326" s="455" t="str">
        <f t="shared" si="1054"/>
        <v>2h97</v>
      </c>
      <c r="AQ326" s="455" t="str">
        <f t="shared" si="1054"/>
        <v>FY97</v>
      </c>
      <c r="AR326" s="455" t="str">
        <f t="shared" si="1054"/>
        <v>1H98</v>
      </c>
      <c r="AS326" s="455" t="str">
        <f t="shared" si="1054"/>
        <v>2H98</v>
      </c>
      <c r="AT326" s="455" t="str">
        <f t="shared" si="1054"/>
        <v>FY98</v>
      </c>
      <c r="AU326" s="455" t="str">
        <f t="shared" si="1054"/>
        <v>1H99</v>
      </c>
      <c r="AV326" s="455" t="str">
        <f t="shared" si="1054"/>
        <v>2H99</v>
      </c>
      <c r="AW326" s="455" t="str">
        <f t="shared" si="1054"/>
        <v>FY99</v>
      </c>
      <c r="AX326" s="455" t="str">
        <f t="shared" si="1054"/>
        <v>1H00</v>
      </c>
      <c r="AY326" s="455" t="str">
        <f t="shared" si="1054"/>
        <v>2H00</v>
      </c>
      <c r="AZ326" s="455" t="str">
        <f t="shared" si="1054"/>
        <v>FY00</v>
      </c>
      <c r="BA326" s="455" t="str">
        <f t="shared" si="1054"/>
        <v>1H01</v>
      </c>
      <c r="BB326" s="455" t="str">
        <f t="shared" si="1054"/>
        <v>2H01</v>
      </c>
      <c r="BC326" s="455" t="str">
        <f t="shared" si="1054"/>
        <v>FY01</v>
      </c>
      <c r="BD326" s="455" t="str">
        <f t="shared" si="1054"/>
        <v>1H02</v>
      </c>
      <c r="BE326" s="455" t="str">
        <f t="shared" si="1054"/>
        <v>2H02</v>
      </c>
      <c r="BF326" s="455" t="str">
        <f t="shared" si="1054"/>
        <v>FY02</v>
      </c>
      <c r="BG326" s="455" t="str">
        <f t="shared" si="1054"/>
        <v>1H03</v>
      </c>
      <c r="BH326" s="455" t="str">
        <f t="shared" si="1054"/>
        <v>2H03</v>
      </c>
      <c r="BI326" s="455" t="str">
        <f t="shared" si="1054"/>
        <v>FY03</v>
      </c>
      <c r="BJ326" s="455" t="str">
        <f t="shared" si="1054"/>
        <v>1H04</v>
      </c>
      <c r="BK326" s="455" t="str">
        <f t="shared" si="1054"/>
        <v>2H04</v>
      </c>
      <c r="BL326" s="455" t="str">
        <f t="shared" si="1054"/>
        <v>FY04</v>
      </c>
      <c r="BM326" s="455" t="str">
        <f t="shared" si="1054"/>
        <v>1H05</v>
      </c>
      <c r="BN326" s="455" t="str">
        <f t="shared" si="1054"/>
        <v>2H05</v>
      </c>
      <c r="BO326" s="455" t="str">
        <f t="shared" si="1054"/>
        <v>FY05</v>
      </c>
      <c r="BP326" s="455" t="str">
        <f t="shared" si="1054"/>
        <v>1H06</v>
      </c>
      <c r="BQ326" s="455" t="str">
        <f t="shared" ref="BQ326:CV326" si="1055">+BQ4</f>
        <v>2H06</v>
      </c>
      <c r="BR326" s="455" t="str">
        <f t="shared" si="1055"/>
        <v>FY06</v>
      </c>
      <c r="BS326" s="455" t="str">
        <f t="shared" si="1055"/>
        <v>1H07</v>
      </c>
      <c r="BT326" s="455" t="str">
        <f t="shared" si="1055"/>
        <v>2H07</v>
      </c>
      <c r="BU326" s="455" t="str">
        <f t="shared" si="1055"/>
        <v>FY07</v>
      </c>
      <c r="BV326" s="455" t="str">
        <f t="shared" si="1055"/>
        <v>1H08</v>
      </c>
      <c r="BW326" s="455" t="str">
        <f t="shared" si="1055"/>
        <v>2H08</v>
      </c>
      <c r="BX326" s="455" t="str">
        <f t="shared" si="1055"/>
        <v>FY08</v>
      </c>
      <c r="BY326" s="455" t="str">
        <f t="shared" si="1055"/>
        <v>1H09</v>
      </c>
      <c r="BZ326" s="455" t="str">
        <f t="shared" si="1055"/>
        <v>2H09</v>
      </c>
      <c r="CA326" s="455" t="str">
        <f t="shared" si="1055"/>
        <v>FY09</v>
      </c>
      <c r="CB326" s="455" t="str">
        <f t="shared" si="1055"/>
        <v>1H10</v>
      </c>
      <c r="CC326" s="455" t="str">
        <f t="shared" si="1055"/>
        <v>2H10</v>
      </c>
      <c r="CD326" s="455" t="str">
        <f t="shared" si="1055"/>
        <v>FY10</v>
      </c>
      <c r="CE326" s="455" t="str">
        <f t="shared" si="1055"/>
        <v>1H11</v>
      </c>
      <c r="CF326" s="455" t="str">
        <f t="shared" si="1055"/>
        <v>2H11</v>
      </c>
      <c r="CG326" s="455" t="str">
        <f t="shared" si="1055"/>
        <v>FY11</v>
      </c>
      <c r="CH326" s="455" t="str">
        <f t="shared" si="1055"/>
        <v>1H12</v>
      </c>
      <c r="CI326" s="455" t="str">
        <f t="shared" si="1055"/>
        <v>2H12</v>
      </c>
      <c r="CJ326" s="455" t="str">
        <f t="shared" si="1055"/>
        <v>FY12</v>
      </c>
      <c r="CK326" s="455" t="str">
        <f t="shared" si="1055"/>
        <v>1H13</v>
      </c>
      <c r="CL326" s="455" t="str">
        <f t="shared" si="1055"/>
        <v>2H13</v>
      </c>
      <c r="CM326" s="455" t="str">
        <f t="shared" si="1055"/>
        <v>FY13</v>
      </c>
      <c r="CN326" s="455" t="str">
        <f t="shared" si="1055"/>
        <v>1H14</v>
      </c>
      <c r="CO326" s="455" t="str">
        <f t="shared" si="1055"/>
        <v>2H14</v>
      </c>
      <c r="CP326" s="455" t="str">
        <f t="shared" si="1055"/>
        <v>FY14</v>
      </c>
      <c r="CQ326" s="455" t="str">
        <f t="shared" si="1055"/>
        <v>1H15</v>
      </c>
      <c r="CR326" s="455" t="str">
        <f t="shared" si="1055"/>
        <v>2H15</v>
      </c>
      <c r="CS326" s="455" t="str">
        <f t="shared" si="1055"/>
        <v>FY15</v>
      </c>
      <c r="CT326" s="455" t="str">
        <f t="shared" si="1055"/>
        <v>1H16</v>
      </c>
      <c r="CU326" s="455" t="str">
        <f t="shared" si="1055"/>
        <v>2H16</v>
      </c>
      <c r="CV326" s="455" t="str">
        <f t="shared" si="1055"/>
        <v>FY16</v>
      </c>
      <c r="CW326" s="455" t="str">
        <f t="shared" ref="CW326:EF326" si="1056">+CW4</f>
        <v>1H17</v>
      </c>
      <c r="CX326" s="455" t="str">
        <f t="shared" si="1056"/>
        <v>2H17</v>
      </c>
      <c r="CY326" s="455" t="str">
        <f t="shared" si="1056"/>
        <v>FY17</v>
      </c>
      <c r="CZ326" s="455" t="str">
        <f t="shared" si="1056"/>
        <v>1H18</v>
      </c>
      <c r="DA326" s="455" t="str">
        <f t="shared" si="1056"/>
        <v>2H18</v>
      </c>
      <c r="DB326" s="455" t="str">
        <f t="shared" si="1056"/>
        <v>FY18</v>
      </c>
      <c r="DC326" s="455" t="str">
        <f t="shared" si="1056"/>
        <v>1H19</v>
      </c>
      <c r="DD326" s="455" t="str">
        <f t="shared" si="1056"/>
        <v>2H19</v>
      </c>
      <c r="DE326" s="455" t="str">
        <f t="shared" si="1056"/>
        <v>FY19</v>
      </c>
      <c r="DF326" s="455" t="str">
        <f t="shared" si="1056"/>
        <v>1H20</v>
      </c>
      <c r="DG326" s="455" t="str">
        <f t="shared" si="1056"/>
        <v>2H20</v>
      </c>
      <c r="DH326" s="1243" t="str">
        <f t="shared" si="1056"/>
        <v>FY20</v>
      </c>
      <c r="DI326" s="455" t="str">
        <f t="shared" si="1056"/>
        <v>1H21</v>
      </c>
      <c r="DJ326" s="455" t="str">
        <f t="shared" si="1056"/>
        <v>2H21</v>
      </c>
      <c r="DK326" s="1243" t="str">
        <f t="shared" si="1056"/>
        <v>FY21</v>
      </c>
      <c r="DL326" s="455" t="str">
        <f t="shared" si="1056"/>
        <v>1H22</v>
      </c>
      <c r="DM326" s="455" t="str">
        <f t="shared" si="1056"/>
        <v>2H22</v>
      </c>
      <c r="DN326" s="1243" t="str">
        <f t="shared" si="1056"/>
        <v>FY22</v>
      </c>
      <c r="DO326" s="455" t="str">
        <f t="shared" si="1056"/>
        <v>1H23</v>
      </c>
      <c r="DP326" s="455" t="str">
        <f t="shared" si="1056"/>
        <v>2H23</v>
      </c>
      <c r="DQ326" s="1243" t="str">
        <f t="shared" si="1056"/>
        <v>FY23</v>
      </c>
      <c r="DR326" s="455" t="str">
        <f t="shared" si="1056"/>
        <v>1H24</v>
      </c>
      <c r="DS326" s="455" t="str">
        <f t="shared" si="1056"/>
        <v>2H24</v>
      </c>
      <c r="DT326" s="1243" t="str">
        <f t="shared" si="1056"/>
        <v>FY24</v>
      </c>
      <c r="DU326" s="455" t="str">
        <f t="shared" si="1056"/>
        <v>1H25</v>
      </c>
      <c r="DV326" s="455" t="str">
        <f t="shared" si="1056"/>
        <v>2H25</v>
      </c>
      <c r="DW326" s="1243" t="str">
        <f t="shared" si="1056"/>
        <v>FY25</v>
      </c>
      <c r="DX326" s="455" t="str">
        <f t="shared" si="1056"/>
        <v>1H26</v>
      </c>
      <c r="DY326" s="455" t="str">
        <f t="shared" si="1056"/>
        <v>2H26E</v>
      </c>
      <c r="DZ326" s="1243" t="str">
        <f t="shared" si="1056"/>
        <v>FY26E</v>
      </c>
      <c r="EA326" s="455" t="str">
        <f t="shared" si="1056"/>
        <v>1H27E</v>
      </c>
      <c r="EB326" s="455" t="str">
        <f t="shared" si="1056"/>
        <v>2H27E</v>
      </c>
      <c r="EC326" s="1243" t="str">
        <f t="shared" si="1056"/>
        <v>FY27E</v>
      </c>
      <c r="ED326" s="455" t="str">
        <f t="shared" si="1056"/>
        <v>1H28E</v>
      </c>
      <c r="EE326" s="455" t="str">
        <f t="shared" si="1056"/>
        <v>2H28E</v>
      </c>
      <c r="EF326" s="1243" t="str">
        <f t="shared" si="1056"/>
        <v>FY28E</v>
      </c>
      <c r="EG326" s="455" t="str">
        <f t="shared" ref="EG326:EL326" si="1057">+EG4</f>
        <v>1H29E</v>
      </c>
      <c r="EH326" s="455" t="str">
        <f t="shared" si="1057"/>
        <v>2H29E</v>
      </c>
      <c r="EI326" s="1243" t="str">
        <f t="shared" si="1057"/>
        <v>FY29E</v>
      </c>
      <c r="EJ326" s="455" t="str">
        <f t="shared" si="1057"/>
        <v>1H30E</v>
      </c>
      <c r="EK326" s="455" t="str">
        <f t="shared" si="1057"/>
        <v>2H30E</v>
      </c>
      <c r="EL326" s="1243" t="str">
        <f t="shared" si="1057"/>
        <v>FY30E</v>
      </c>
      <c r="EM326" s="455" t="str">
        <f t="shared" ref="EM326:ER326" si="1058">+EM4</f>
        <v>1H31E</v>
      </c>
      <c r="EN326" s="455" t="str">
        <f t="shared" si="1058"/>
        <v>2H31E</v>
      </c>
      <c r="EO326" s="1243" t="str">
        <f t="shared" si="1058"/>
        <v>FY31E</v>
      </c>
      <c r="EP326" s="455" t="str">
        <f t="shared" si="1058"/>
        <v>1H32E</v>
      </c>
      <c r="EQ326" s="455" t="str">
        <f t="shared" si="1058"/>
        <v>2H32E</v>
      </c>
      <c r="ER326" s="1243" t="str">
        <f t="shared" si="1058"/>
        <v>FY32E</v>
      </c>
      <c r="ES326" s="455" t="str">
        <f t="shared" ref="ES326:EX326" si="1059">+ES4</f>
        <v>1H33E</v>
      </c>
      <c r="ET326" s="455" t="str">
        <f t="shared" si="1059"/>
        <v>2H33E</v>
      </c>
      <c r="EU326" s="1243" t="str">
        <f t="shared" si="1059"/>
        <v>FY33E</v>
      </c>
      <c r="EV326" s="455" t="str">
        <f t="shared" si="1059"/>
        <v>1H34E</v>
      </c>
      <c r="EW326" s="455" t="str">
        <f t="shared" si="1059"/>
        <v>2H34E</v>
      </c>
      <c r="EX326" s="1243" t="str">
        <f t="shared" si="1059"/>
        <v>FY34E</v>
      </c>
      <c r="EY326" s="455" t="str">
        <f t="shared" ref="EY326:FA326" si="1060">+EY4</f>
        <v>1H35E</v>
      </c>
      <c r="EZ326" s="455" t="str">
        <f t="shared" si="1060"/>
        <v>2H35E</v>
      </c>
      <c r="FA326" s="1243" t="str">
        <f t="shared" si="1060"/>
        <v>FY35E</v>
      </c>
      <c r="FE326"/>
      <c r="FF326"/>
      <c r="FG326"/>
      <c r="FH326"/>
      <c r="FI326"/>
      <c r="FJ326"/>
      <c r="FK326" s="35"/>
    </row>
    <row r="327" spans="1:167" s="236" customFormat="1" ht="13.35" customHeight="1">
      <c r="B327" s="242" t="s">
        <v>648</v>
      </c>
      <c r="C327" s="242" t="s">
        <v>460</v>
      </c>
      <c r="D327" s="243"/>
      <c r="E327" s="293"/>
      <c r="F327" s="293"/>
      <c r="G327" s="293"/>
      <c r="H327" s="293"/>
      <c r="I327" s="293"/>
      <c r="J327" s="293"/>
      <c r="K327" s="293"/>
      <c r="L327" s="293"/>
      <c r="M327" s="293"/>
      <c r="N327" s="293"/>
      <c r="O327" s="293"/>
      <c r="P327" s="293"/>
      <c r="Q327" s="293"/>
      <c r="R327" s="293"/>
      <c r="S327" s="293"/>
      <c r="T327" s="293"/>
      <c r="U327" s="293"/>
      <c r="V327" s="293"/>
      <c r="W327" s="293"/>
      <c r="X327" s="293"/>
      <c r="Y327" s="293"/>
      <c r="Z327" s="293"/>
      <c r="AA327" s="293"/>
      <c r="AB327" s="293"/>
      <c r="AC327" s="293"/>
      <c r="AD327" s="293"/>
      <c r="AE327" s="293"/>
      <c r="AF327" s="293"/>
      <c r="AG327" s="293"/>
      <c r="AH327" s="293"/>
      <c r="AI327" s="293">
        <f>+((AI269+AI290)/(AI269+AI290+AI322))</f>
        <v>0.22935308472834698</v>
      </c>
      <c r="AJ327" s="293">
        <f t="shared" ref="AJ327:CA327" si="1061">+((AJ269+AJ290)/(AJ269+AJ290+AJ322))</f>
        <v>7.6900754497968654E-2</v>
      </c>
      <c r="AK327" s="293">
        <f t="shared" si="1061"/>
        <v>7.6900754497968654E-2</v>
      </c>
      <c r="AL327" s="293">
        <f t="shared" si="1061"/>
        <v>7.3905628197839688E-3</v>
      </c>
      <c r="AM327" s="293">
        <f t="shared" si="1061"/>
        <v>0.17486363229902532</v>
      </c>
      <c r="AN327" s="293">
        <f t="shared" si="1061"/>
        <v>0.17486363229902532</v>
      </c>
      <c r="AO327" s="293">
        <f t="shared" si="1061"/>
        <v>0.10997067448680352</v>
      </c>
      <c r="AP327" s="293">
        <f t="shared" si="1061"/>
        <v>9.0387542442336946E-2</v>
      </c>
      <c r="AQ327" s="293">
        <f t="shared" si="1061"/>
        <v>9.0387542442336946E-2</v>
      </c>
      <c r="AR327" s="293">
        <f t="shared" si="1061"/>
        <v>7.6508869875458352E-2</v>
      </c>
      <c r="AS327" s="293">
        <f t="shared" si="1061"/>
        <v>7.8047799609330129E-2</v>
      </c>
      <c r="AT327" s="293">
        <f t="shared" si="1061"/>
        <v>7.8047799609330129E-2</v>
      </c>
      <c r="AU327" s="293">
        <f t="shared" si="1061"/>
        <v>6.7889358087004317E-2</v>
      </c>
      <c r="AV327" s="293">
        <f t="shared" si="1061"/>
        <v>9.2290467050543834E-2</v>
      </c>
      <c r="AW327" s="293">
        <f t="shared" si="1061"/>
        <v>9.2290467050543834E-2</v>
      </c>
      <c r="AX327" s="293">
        <f t="shared" si="1061"/>
        <v>8.3273199595901293E-2</v>
      </c>
      <c r="AY327" s="293">
        <f t="shared" si="1061"/>
        <v>5.3188902398585168E-2</v>
      </c>
      <c r="AZ327" s="293">
        <f t="shared" si="1061"/>
        <v>5.3188902398585168E-2</v>
      </c>
      <c r="BA327" s="293">
        <f t="shared" si="1061"/>
        <v>4.2909882113748639E-2</v>
      </c>
      <c r="BB327" s="293">
        <f t="shared" si="1061"/>
        <v>0.1486407707412862</v>
      </c>
      <c r="BC327" s="293">
        <f t="shared" si="1061"/>
        <v>0.1486407707412862</v>
      </c>
      <c r="BD327" s="293">
        <f t="shared" si="1061"/>
        <v>0.17700092861424893</v>
      </c>
      <c r="BE327" s="293">
        <f t="shared" si="1061"/>
        <v>0.24332784845687683</v>
      </c>
      <c r="BF327" s="293">
        <f t="shared" si="1061"/>
        <v>0.24332784845687683</v>
      </c>
      <c r="BG327" s="293">
        <f t="shared" si="1061"/>
        <v>0.11749635726066003</v>
      </c>
      <c r="BH327" s="293">
        <f t="shared" si="1061"/>
        <v>0.11140231045644879</v>
      </c>
      <c r="BI327" s="293">
        <f t="shared" si="1061"/>
        <v>0.11140231045644879</v>
      </c>
      <c r="BJ327" s="293">
        <f t="shared" si="1061"/>
        <v>0.14691257072135785</v>
      </c>
      <c r="BK327" s="293">
        <f t="shared" si="1061"/>
        <v>0.15092038857609619</v>
      </c>
      <c r="BL327" s="293">
        <f t="shared" si="1061"/>
        <v>0.15092038857609619</v>
      </c>
      <c r="BM327" s="293">
        <f t="shared" si="1061"/>
        <v>0.16036198584759381</v>
      </c>
      <c r="BN327" s="293">
        <f t="shared" si="1061"/>
        <v>0.56764667238810351</v>
      </c>
      <c r="BO327" s="293">
        <f t="shared" si="1061"/>
        <v>0.56764667238810351</v>
      </c>
      <c r="BP327" s="293">
        <f t="shared" si="1061"/>
        <v>0.48777039268876188</v>
      </c>
      <c r="BQ327" s="293">
        <f t="shared" si="1061"/>
        <v>0.48307369313337506</v>
      </c>
      <c r="BR327" s="293">
        <f t="shared" si="1061"/>
        <v>0.48307369313337506</v>
      </c>
      <c r="BS327" s="293">
        <f t="shared" si="1061"/>
        <v>0.45785610600703491</v>
      </c>
      <c r="BT327" s="293">
        <f t="shared" si="1061"/>
        <v>0.43265143637779585</v>
      </c>
      <c r="BU327" s="293">
        <f t="shared" si="1061"/>
        <v>0.43265143637779585</v>
      </c>
      <c r="BV327" s="293">
        <f t="shared" si="1061"/>
        <v>0.41071190774229632</v>
      </c>
      <c r="BW327" s="293">
        <f t="shared" si="1061"/>
        <v>0.34738332883733475</v>
      </c>
      <c r="BX327" s="293">
        <f t="shared" si="1061"/>
        <v>0.34738332883733475</v>
      </c>
      <c r="BY327" s="293">
        <f t="shared" si="1061"/>
        <v>0.41197322109308909</v>
      </c>
      <c r="BZ327" s="293">
        <f t="shared" si="1061"/>
        <v>0.34113097100848921</v>
      </c>
      <c r="CA327" s="293">
        <f t="shared" si="1061"/>
        <v>0.34113097100848921</v>
      </c>
      <c r="CB327" s="293">
        <f t="shared" ref="CB327:DQ327" si="1062">+((CB269+CB290)/(CB269+CB290+CB322))</f>
        <v>0.26028715472866748</v>
      </c>
      <c r="CC327" s="293">
        <f t="shared" si="1062"/>
        <v>0.2634135110654009</v>
      </c>
      <c r="CD327" s="293">
        <f t="shared" si="1062"/>
        <v>0.2634135110654009</v>
      </c>
      <c r="CE327" s="293">
        <f t="shared" si="1062"/>
        <v>0.14240796426076691</v>
      </c>
      <c r="CF327" s="293">
        <f t="shared" si="1062"/>
        <v>0.11131456783496345</v>
      </c>
      <c r="CG327" s="293">
        <f t="shared" si="1062"/>
        <v>0.11131456783496345</v>
      </c>
      <c r="CH327" s="293">
        <f t="shared" si="1062"/>
        <v>0.17437532116492524</v>
      </c>
      <c r="CI327" s="293">
        <f t="shared" si="1062"/>
        <v>0.14575898009552726</v>
      </c>
      <c r="CJ327" s="293">
        <f t="shared" si="1062"/>
        <v>0.14575898009552726</v>
      </c>
      <c r="CK327" s="293">
        <f t="shared" si="1062"/>
        <v>0.26681027129276036</v>
      </c>
      <c r="CL327" s="293">
        <f t="shared" si="1062"/>
        <v>0.32323628792791559</v>
      </c>
      <c r="CM327" s="293">
        <f t="shared" si="1062"/>
        <v>0.32323628792791559</v>
      </c>
      <c r="CN327" s="293">
        <f t="shared" si="1062"/>
        <v>0.41243532947117317</v>
      </c>
      <c r="CO327" s="293">
        <f t="shared" si="1062"/>
        <v>0.41900215311849209</v>
      </c>
      <c r="CP327" s="293">
        <f t="shared" si="1062"/>
        <v>0.41900215311849209</v>
      </c>
      <c r="CQ327" s="293">
        <f t="shared" si="1062"/>
        <v>0.41759010298519367</v>
      </c>
      <c r="CR327" s="293">
        <f t="shared" si="1062"/>
        <v>0.37442725450055181</v>
      </c>
      <c r="CS327" s="293">
        <f t="shared" si="1062"/>
        <v>0.37442725450055181</v>
      </c>
      <c r="CT327" s="293">
        <f t="shared" si="1062"/>
        <v>0.33910460205773496</v>
      </c>
      <c r="CU327" s="293">
        <f t="shared" si="1062"/>
        <v>0.3010899118877523</v>
      </c>
      <c r="CV327" s="293">
        <f t="shared" si="1062"/>
        <v>0.3010899118877523</v>
      </c>
      <c r="CW327" s="293">
        <f t="shared" si="1062"/>
        <v>0.26177793318710729</v>
      </c>
      <c r="CX327" s="293">
        <f t="shared" si="1062"/>
        <v>0.28708484084718894</v>
      </c>
      <c r="CY327" s="293">
        <f t="shared" si="1062"/>
        <v>0.28708484084718894</v>
      </c>
      <c r="CZ327" s="293">
        <f t="shared" si="1062"/>
        <v>0.29799706888128968</v>
      </c>
      <c r="DA327" s="293">
        <f t="shared" si="1062"/>
        <v>0.19472643375082399</v>
      </c>
      <c r="DB327" s="293">
        <f t="shared" si="1062"/>
        <v>0.19472643375082399</v>
      </c>
      <c r="DC327" s="293">
        <f t="shared" si="1062"/>
        <v>0.20158827122785583</v>
      </c>
      <c r="DD327" s="293">
        <f t="shared" si="1062"/>
        <v>0.20011019283746559</v>
      </c>
      <c r="DE327" s="293">
        <f t="shared" si="1062"/>
        <v>0.20011019283746559</v>
      </c>
      <c r="DF327" s="293">
        <f t="shared" si="1062"/>
        <v>0.22477637780128884</v>
      </c>
      <c r="DG327" s="293">
        <f t="shared" si="1062"/>
        <v>0.25229406743491251</v>
      </c>
      <c r="DH327" s="1248">
        <f t="shared" si="1062"/>
        <v>0.25229406743491251</v>
      </c>
      <c r="DI327" s="293">
        <f t="shared" si="1062"/>
        <v>6.3234790549024075E-2</v>
      </c>
      <c r="DJ327" s="293">
        <f t="shared" si="1062"/>
        <v>2.5762867120856472E-2</v>
      </c>
      <c r="DK327" s="1248">
        <f t="shared" si="1062"/>
        <v>2.5762867120856472E-2</v>
      </c>
      <c r="DL327" s="293">
        <f t="shared" si="1062"/>
        <v>2.672593259438474E-2</v>
      </c>
      <c r="DM327" s="293">
        <f t="shared" si="1062"/>
        <v>2.4648498524561711E-2</v>
      </c>
      <c r="DN327" s="1248">
        <f t="shared" si="1062"/>
        <v>2.4648498524561711E-2</v>
      </c>
      <c r="DO327" s="293">
        <f t="shared" si="1062"/>
        <v>2.3511328703176591E-2</v>
      </c>
      <c r="DP327" s="293">
        <f t="shared" si="1062"/>
        <v>0</v>
      </c>
      <c r="DQ327" s="1248">
        <f t="shared" si="1062"/>
        <v>0</v>
      </c>
      <c r="DR327" s="293">
        <f t="shared" ref="DR327:DW327" si="1063">+((DR269+DR290)/(DR269+DR290+DR322))</f>
        <v>0</v>
      </c>
      <c r="DS327" s="293">
        <f t="shared" si="1063"/>
        <v>0</v>
      </c>
      <c r="DT327" s="1248">
        <f t="shared" si="1063"/>
        <v>0</v>
      </c>
      <c r="DU327" s="293">
        <f t="shared" si="1063"/>
        <v>0</v>
      </c>
      <c r="DV327" s="293">
        <f t="shared" si="1063"/>
        <v>0</v>
      </c>
      <c r="DW327" s="1248">
        <f t="shared" si="1063"/>
        <v>0</v>
      </c>
      <c r="DX327" s="293">
        <f t="shared" ref="DX327:EC327" si="1064">+((DX269+DX290)/(DX269+DX290+DX322))</f>
        <v>0</v>
      </c>
      <c r="DY327" s="293">
        <f t="shared" si="1064"/>
        <v>0</v>
      </c>
      <c r="DZ327" s="1248">
        <f t="shared" si="1064"/>
        <v>0</v>
      </c>
      <c r="EA327" s="293">
        <f t="shared" si="1064"/>
        <v>0</v>
      </c>
      <c r="EB327" s="293">
        <f t="shared" si="1064"/>
        <v>0</v>
      </c>
      <c r="EC327" s="1248">
        <f t="shared" si="1064"/>
        <v>0</v>
      </c>
      <c r="ED327" s="293">
        <f t="shared" ref="ED327:EL327" si="1065">+((ED269+ED290)/(ED269+ED290+ED322))</f>
        <v>0</v>
      </c>
      <c r="EE327" s="293">
        <f t="shared" si="1065"/>
        <v>0</v>
      </c>
      <c r="EF327" s="1248">
        <f t="shared" si="1065"/>
        <v>0</v>
      </c>
      <c r="EG327" s="293">
        <f t="shared" si="1065"/>
        <v>0</v>
      </c>
      <c r="EH327" s="293">
        <f t="shared" si="1065"/>
        <v>0</v>
      </c>
      <c r="EI327" s="1248">
        <f t="shared" si="1065"/>
        <v>0</v>
      </c>
      <c r="EJ327" s="293">
        <f t="shared" si="1065"/>
        <v>0</v>
      </c>
      <c r="EK327" s="293">
        <f t="shared" si="1065"/>
        <v>0</v>
      </c>
      <c r="EL327" s="1248">
        <f t="shared" si="1065"/>
        <v>0</v>
      </c>
      <c r="EM327" s="293">
        <f t="shared" ref="EM327:ER327" si="1066">+((EM269+EM290)/(EM269+EM290+EM322))</f>
        <v>0</v>
      </c>
      <c r="EN327" s="293">
        <f t="shared" si="1066"/>
        <v>0</v>
      </c>
      <c r="EO327" s="1248">
        <f t="shared" si="1066"/>
        <v>0</v>
      </c>
      <c r="EP327" s="293">
        <f t="shared" si="1066"/>
        <v>0</v>
      </c>
      <c r="EQ327" s="293">
        <f t="shared" si="1066"/>
        <v>0</v>
      </c>
      <c r="ER327" s="1248">
        <f t="shared" si="1066"/>
        <v>0</v>
      </c>
      <c r="ES327" s="293">
        <f t="shared" ref="ES327:EX327" si="1067">+((ES269+ES290)/(ES269+ES290+ES322))</f>
        <v>0</v>
      </c>
      <c r="ET327" s="293">
        <f t="shared" si="1067"/>
        <v>0</v>
      </c>
      <c r="EU327" s="1248">
        <f t="shared" si="1067"/>
        <v>0</v>
      </c>
      <c r="EV327" s="293">
        <f t="shared" si="1067"/>
        <v>0</v>
      </c>
      <c r="EW327" s="293">
        <f t="shared" si="1067"/>
        <v>0</v>
      </c>
      <c r="EX327" s="1248">
        <f t="shared" si="1067"/>
        <v>0</v>
      </c>
      <c r="EY327" s="293">
        <f t="shared" ref="EY327:FA327" si="1068">+((EY269+EY290)/(EY269+EY290+EY322))</f>
        <v>0</v>
      </c>
      <c r="EZ327" s="293">
        <f t="shared" si="1068"/>
        <v>0</v>
      </c>
      <c r="FA327" s="1248">
        <f t="shared" si="1068"/>
        <v>0</v>
      </c>
      <c r="FE327"/>
      <c r="FF327"/>
      <c r="FG327"/>
      <c r="FH327"/>
      <c r="FI327"/>
      <c r="FJ327"/>
      <c r="FK327" s="35"/>
    </row>
    <row r="328" spans="1:167" s="236" customFormat="1" ht="13.35" customHeight="1">
      <c r="B328" s="242" t="s">
        <v>864</v>
      </c>
      <c r="C328" s="242" t="s">
        <v>460</v>
      </c>
      <c r="D328" s="243"/>
      <c r="E328" s="293"/>
      <c r="F328" s="293"/>
      <c r="G328" s="293"/>
      <c r="H328" s="293"/>
      <c r="I328" s="293"/>
      <c r="J328" s="293"/>
      <c r="K328" s="293"/>
      <c r="L328" s="293"/>
      <c r="M328" s="293"/>
      <c r="N328" s="293"/>
      <c r="O328" s="293"/>
      <c r="P328" s="293"/>
      <c r="Q328" s="293"/>
      <c r="R328" s="293"/>
      <c r="S328" s="293"/>
      <c r="T328" s="293"/>
      <c r="U328" s="293"/>
      <c r="V328" s="293"/>
      <c r="W328" s="293"/>
      <c r="X328" s="293"/>
      <c r="Y328" s="293"/>
      <c r="Z328" s="293"/>
      <c r="AA328" s="293"/>
      <c r="AB328" s="293"/>
      <c r="AC328" s="293"/>
      <c r="AD328" s="293"/>
      <c r="AE328" s="293"/>
      <c r="AF328" s="293"/>
      <c r="AG328" s="293"/>
      <c r="AH328" s="293"/>
      <c r="AI328" s="293">
        <f>+((AI269+AI290-AI230)/((AI269+AI290-AI230)+AI322))</f>
        <v>7.4359765504473929E-2</v>
      </c>
      <c r="AJ328" s="293">
        <f t="shared" ref="AJ328:CA328" si="1069">+((AJ269+AJ290-AJ230)/((AJ269+AJ290-AJ230)+AJ322))</f>
        <v>-5.7935346547824944E-2</v>
      </c>
      <c r="AK328" s="293">
        <f t="shared" si="1069"/>
        <v>-5.7935346547824944E-2</v>
      </c>
      <c r="AL328" s="293">
        <f t="shared" si="1069"/>
        <v>-1.2090080971659916</v>
      </c>
      <c r="AM328" s="293">
        <f t="shared" si="1069"/>
        <v>-1.9354222999840951</v>
      </c>
      <c r="AN328" s="293">
        <f t="shared" si="1069"/>
        <v>-1.9354222999840951</v>
      </c>
      <c r="AO328" s="293">
        <f t="shared" si="1069"/>
        <v>-0.90155686348965258</v>
      </c>
      <c r="AP328" s="293">
        <f t="shared" si="1069"/>
        <v>-0.84026845637583869</v>
      </c>
      <c r="AQ328" s="293">
        <f t="shared" si="1069"/>
        <v>-0.84026845637583869</v>
      </c>
      <c r="AR328" s="293">
        <f t="shared" si="1069"/>
        <v>-0.59962233920805663</v>
      </c>
      <c r="AS328" s="293">
        <f t="shared" si="1069"/>
        <v>-1.0593519409688805</v>
      </c>
      <c r="AT328" s="293">
        <f t="shared" si="1069"/>
        <v>-1.0593519409688805</v>
      </c>
      <c r="AU328" s="293">
        <f t="shared" si="1069"/>
        <v>-1.197843634006952</v>
      </c>
      <c r="AV328" s="293">
        <f t="shared" si="1069"/>
        <v>-8.250203748981269</v>
      </c>
      <c r="AW328" s="293">
        <f t="shared" si="1069"/>
        <v>-8.250203748981269</v>
      </c>
      <c r="AX328" s="293">
        <f t="shared" si="1069"/>
        <v>-2.2129489124936783</v>
      </c>
      <c r="AY328" s="293">
        <f t="shared" si="1069"/>
        <v>-0.94376872106744136</v>
      </c>
      <c r="AZ328" s="293">
        <f t="shared" si="1069"/>
        <v>-0.94376872106744136</v>
      </c>
      <c r="BA328" s="293">
        <f t="shared" si="1069"/>
        <v>-0.80617259019924614</v>
      </c>
      <c r="BB328" s="293">
        <f t="shared" si="1069"/>
        <v>-0.6246084487250797</v>
      </c>
      <c r="BC328" s="293">
        <f t="shared" si="1069"/>
        <v>-0.6246084487250797</v>
      </c>
      <c r="BD328" s="293">
        <f t="shared" si="1069"/>
        <v>4.0759008083299082E-2</v>
      </c>
      <c r="BE328" s="293">
        <f t="shared" si="1069"/>
        <v>0.15385564743237332</v>
      </c>
      <c r="BF328" s="293">
        <f t="shared" si="1069"/>
        <v>0.15385564743237332</v>
      </c>
      <c r="BG328" s="293">
        <f t="shared" si="1069"/>
        <v>-0.17606264936838517</v>
      </c>
      <c r="BH328" s="293">
        <f t="shared" si="1069"/>
        <v>-0.31812424973293241</v>
      </c>
      <c r="BI328" s="293">
        <f t="shared" si="1069"/>
        <v>-0.31812424973293241</v>
      </c>
      <c r="BJ328" s="293">
        <f t="shared" si="1069"/>
        <v>-0.33557656543288905</v>
      </c>
      <c r="BK328" s="293">
        <f t="shared" si="1069"/>
        <v>-0.52466762354765362</v>
      </c>
      <c r="BL328" s="293">
        <f t="shared" si="1069"/>
        <v>-0.52466762354765362</v>
      </c>
      <c r="BM328" s="293">
        <f t="shared" si="1069"/>
        <v>-0.40569777979157223</v>
      </c>
      <c r="BN328" s="293">
        <f t="shared" si="1069"/>
        <v>0.38539274048052391</v>
      </c>
      <c r="BO328" s="293">
        <f t="shared" si="1069"/>
        <v>0.38539274048052391</v>
      </c>
      <c r="BP328" s="293">
        <f t="shared" si="1069"/>
        <v>0.30654565288830626</v>
      </c>
      <c r="BQ328" s="293">
        <f t="shared" si="1069"/>
        <v>0.34186261745282276</v>
      </c>
      <c r="BR328" s="293">
        <f t="shared" si="1069"/>
        <v>0.34186261745282276</v>
      </c>
      <c r="BS328" s="293">
        <f t="shared" si="1069"/>
        <v>0.35595281856120392</v>
      </c>
      <c r="BT328" s="293">
        <f t="shared" si="1069"/>
        <v>0.30694150660615005</v>
      </c>
      <c r="BU328" s="293">
        <f t="shared" si="1069"/>
        <v>0.30694150660615005</v>
      </c>
      <c r="BV328" s="293">
        <f t="shared" si="1069"/>
        <v>0.32489326695817283</v>
      </c>
      <c r="BW328" s="293">
        <f t="shared" si="1069"/>
        <v>0.29448763578761789</v>
      </c>
      <c r="BX328" s="293">
        <f t="shared" si="1069"/>
        <v>0.29448763578761789</v>
      </c>
      <c r="BY328" s="293">
        <f t="shared" si="1069"/>
        <v>0.32309227532311391</v>
      </c>
      <c r="BZ328" s="293">
        <f t="shared" si="1069"/>
        <v>0.22962514884697788</v>
      </c>
      <c r="CA328" s="293">
        <f t="shared" si="1069"/>
        <v>0.22962514884697788</v>
      </c>
      <c r="CB328" s="293">
        <f t="shared" ref="CB328:DQ328" si="1070">+((CB269+CB290-CB230)/((CB269+CB290-CB230)+CB322))</f>
        <v>0.14534150221310818</v>
      </c>
      <c r="CC328" s="293">
        <f t="shared" si="1070"/>
        <v>0.20631603726606851</v>
      </c>
      <c r="CD328" s="293">
        <f t="shared" si="1070"/>
        <v>0.20631603726606851</v>
      </c>
      <c r="CE328" s="293">
        <f t="shared" si="1070"/>
        <v>3.4426810834797678E-2</v>
      </c>
      <c r="CF328" s="293">
        <f t="shared" si="1070"/>
        <v>-1.89977728285078E-2</v>
      </c>
      <c r="CG328" s="293">
        <f t="shared" si="1070"/>
        <v>-1.89977728285078E-2</v>
      </c>
      <c r="CH328" s="293">
        <f t="shared" si="1070"/>
        <v>2.1125469936450262E-2</v>
      </c>
      <c r="CI328" s="293">
        <f t="shared" si="1070"/>
        <v>-7.3652196217407657E-3</v>
      </c>
      <c r="CJ328" s="293">
        <f t="shared" si="1070"/>
        <v>-7.3652196217407657E-3</v>
      </c>
      <c r="CK328" s="293">
        <f t="shared" si="1070"/>
        <v>0.15643003970984423</v>
      </c>
      <c r="CL328" s="293">
        <f t="shared" si="1070"/>
        <v>0.24811825748431093</v>
      </c>
      <c r="CM328" s="293">
        <f t="shared" si="1070"/>
        <v>0.24811825748431093</v>
      </c>
      <c r="CN328" s="293">
        <f t="shared" si="1070"/>
        <v>0.34031439321863277</v>
      </c>
      <c r="CO328" s="293">
        <f t="shared" si="1070"/>
        <v>0.35512338073195909</v>
      </c>
      <c r="CP328" s="293">
        <f t="shared" si="1070"/>
        <v>0.35512338073195909</v>
      </c>
      <c r="CQ328" s="293">
        <f t="shared" si="1070"/>
        <v>0.3480498039764488</v>
      </c>
      <c r="CR328" s="293">
        <f t="shared" si="1070"/>
        <v>0.28333558518136115</v>
      </c>
      <c r="CS328" s="293">
        <f t="shared" si="1070"/>
        <v>0.28333558518136115</v>
      </c>
      <c r="CT328" s="293">
        <f t="shared" si="1070"/>
        <v>0.24235735771341846</v>
      </c>
      <c r="CU328" s="293">
        <f t="shared" si="1070"/>
        <v>0.20802538234182824</v>
      </c>
      <c r="CV328" s="293">
        <f t="shared" si="1070"/>
        <v>0.20802538234182824</v>
      </c>
      <c r="CW328" s="293">
        <f t="shared" si="1070"/>
        <v>0.16091863051927605</v>
      </c>
      <c r="CX328" s="293">
        <f t="shared" si="1070"/>
        <v>0.19223837308644948</v>
      </c>
      <c r="CY328" s="293">
        <f t="shared" si="1070"/>
        <v>0.19223837308644948</v>
      </c>
      <c r="CZ328" s="293">
        <f t="shared" si="1070"/>
        <v>0.19258322798145808</v>
      </c>
      <c r="DA328" s="293">
        <f t="shared" si="1070"/>
        <v>0.12367288378766139</v>
      </c>
      <c r="DB328" s="293">
        <f t="shared" si="1070"/>
        <v>0.12367288378766139</v>
      </c>
      <c r="DC328" s="293">
        <f t="shared" si="1070"/>
        <v>0.10011016248967226</v>
      </c>
      <c r="DD328" s="293">
        <f t="shared" si="1070"/>
        <v>0.12426106888647609</v>
      </c>
      <c r="DE328" s="293">
        <f t="shared" si="1070"/>
        <v>0.12426106888647609</v>
      </c>
      <c r="DF328" s="293">
        <f t="shared" si="1070"/>
        <v>0.15184678522571821</v>
      </c>
      <c r="DG328" s="293">
        <f t="shared" si="1070"/>
        <v>-7.0337559187414092E-2</v>
      </c>
      <c r="DH328" s="1248">
        <f t="shared" si="1070"/>
        <v>-7.0337559187414092E-2</v>
      </c>
      <c r="DI328" s="293">
        <f t="shared" si="1070"/>
        <v>-0.40953198797767287</v>
      </c>
      <c r="DJ328" s="293">
        <f t="shared" si="1070"/>
        <v>-0.49652625098935893</v>
      </c>
      <c r="DK328" s="1248">
        <f t="shared" si="1070"/>
        <v>-0.49652625098935893</v>
      </c>
      <c r="DL328" s="293">
        <f t="shared" si="1070"/>
        <v>-0.41300441104394714</v>
      </c>
      <c r="DM328" s="293">
        <f t="shared" si="1070"/>
        <v>-0.5338489535941765</v>
      </c>
      <c r="DN328" s="1248">
        <f t="shared" si="1070"/>
        <v>-0.5338489535941765</v>
      </c>
      <c r="DO328" s="293">
        <f t="shared" si="1070"/>
        <v>-0.41772047276634439</v>
      </c>
      <c r="DP328" s="293">
        <f t="shared" si="1070"/>
        <v>-0.46551579653062947</v>
      </c>
      <c r="DQ328" s="1248">
        <f t="shared" si="1070"/>
        <v>-0.46551579653062947</v>
      </c>
      <c r="DR328" s="293">
        <f t="shared" ref="DR328:DW328" si="1071">+((DR269+DR290-DR230)/((DR269+DR290-DR230)+DR322))</f>
        <v>-0.3742094709239549</v>
      </c>
      <c r="DS328" s="293">
        <f t="shared" si="1071"/>
        <v>-0.38706760117567263</v>
      </c>
      <c r="DT328" s="1248">
        <f t="shared" si="1071"/>
        <v>-0.38706760117567263</v>
      </c>
      <c r="DU328" s="293">
        <f t="shared" si="1071"/>
        <v>-0.25806668912091613</v>
      </c>
      <c r="DV328" s="293">
        <f t="shared" si="1071"/>
        <v>-0.16463633106413472</v>
      </c>
      <c r="DW328" s="1248">
        <f t="shared" si="1071"/>
        <v>-0.16463633106413472</v>
      </c>
      <c r="DX328" s="293">
        <f t="shared" ref="DX328:EC328" si="1072">+((DX269+DX290-DX230)/((DX269+DX290-DX230)+DX322))</f>
        <v>-0.10685322672758422</v>
      </c>
      <c r="DY328" s="293">
        <f t="shared" si="1072"/>
        <v>-5.4672648362818661E-2</v>
      </c>
      <c r="DZ328" s="1248">
        <f t="shared" si="1072"/>
        <v>-5.4672648362818661E-2</v>
      </c>
      <c r="EA328" s="293">
        <f t="shared" si="1072"/>
        <v>-7.1203891089496749E-2</v>
      </c>
      <c r="EB328" s="293">
        <f t="shared" si="1072"/>
        <v>-7.2779068732769417E-2</v>
      </c>
      <c r="EC328" s="1248">
        <f t="shared" si="1072"/>
        <v>-7.2779068732769417E-2</v>
      </c>
      <c r="ED328" s="293">
        <f t="shared" ref="ED328:EL328" si="1073">+((ED269+ED290-ED230)/((ED269+ED290-ED230)+ED322))</f>
        <v>-6.7814251862985356E-2</v>
      </c>
      <c r="EE328" s="293">
        <f t="shared" si="1073"/>
        <v>-6.9159480965685069E-2</v>
      </c>
      <c r="EF328" s="1248">
        <f t="shared" si="1073"/>
        <v>-6.9159480965685069E-2</v>
      </c>
      <c r="EG328" s="293">
        <f t="shared" si="1073"/>
        <v>-6.5762919773766484E-2</v>
      </c>
      <c r="EH328" s="293">
        <f t="shared" si="1073"/>
        <v>-7.0645998920071687E-2</v>
      </c>
      <c r="EI328" s="1248">
        <f t="shared" si="1073"/>
        <v>-7.0645998920071687E-2</v>
      </c>
      <c r="EJ328" s="293">
        <f t="shared" si="1073"/>
        <v>-9.4799611904823083E-2</v>
      </c>
      <c r="EK328" s="293">
        <f t="shared" si="1073"/>
        <v>-0.12705099565987388</v>
      </c>
      <c r="EL328" s="1248">
        <f t="shared" si="1073"/>
        <v>-0.12705099565987388</v>
      </c>
      <c r="EM328" s="293">
        <f t="shared" ref="EM328:ER328" si="1074">+((EM269+EM290-EM230)/((EM269+EM290-EM230)+EM322))</f>
        <v>-0.15234287969526566</v>
      </c>
      <c r="EN328" s="293">
        <f t="shared" si="1074"/>
        <v>-0.18605246965751251</v>
      </c>
      <c r="EO328" s="1248">
        <f t="shared" si="1074"/>
        <v>-0.18605246965751251</v>
      </c>
      <c r="EP328" s="293">
        <f t="shared" si="1074"/>
        <v>-0.21269695462141305</v>
      </c>
      <c r="EQ328" s="293">
        <f t="shared" si="1074"/>
        <v>-0.24779784677719049</v>
      </c>
      <c r="ER328" s="1248">
        <f t="shared" si="1074"/>
        <v>-0.24779784677719049</v>
      </c>
      <c r="ES328" s="293">
        <f t="shared" ref="ES328:EX328" si="1075">+((ES269+ES290-ES230)/((ES269+ES290-ES230)+ES322))</f>
        <v>-0.27627980072941216</v>
      </c>
      <c r="ET328" s="293">
        <f t="shared" si="1075"/>
        <v>-0.31284035183666692</v>
      </c>
      <c r="EU328" s="1248">
        <f t="shared" si="1075"/>
        <v>-0.31284035183666692</v>
      </c>
      <c r="EV328" s="293">
        <f t="shared" si="1075"/>
        <v>-0.34339269421656959</v>
      </c>
      <c r="EW328" s="293">
        <f t="shared" si="1075"/>
        <v>-0.38148781228095713</v>
      </c>
      <c r="EX328" s="1248">
        <f t="shared" si="1075"/>
        <v>-0.38148781228095713</v>
      </c>
      <c r="EY328" s="293">
        <f t="shared" ref="EY328:FA328" si="1076">+((EY269+EY290-EY230)/((EY269+EY290-EY230)+EY322))</f>
        <v>-0.41437959778802347</v>
      </c>
      <c r="EZ328" s="293">
        <f t="shared" si="1076"/>
        <v>-0.45409153143778824</v>
      </c>
      <c r="FA328" s="1248">
        <f t="shared" si="1076"/>
        <v>-0.45409153143778824</v>
      </c>
      <c r="FE328"/>
      <c r="FF328"/>
      <c r="FG328"/>
      <c r="FH328"/>
      <c r="FI328"/>
      <c r="FJ328"/>
      <c r="FK328" s="35"/>
    </row>
    <row r="329" spans="1:167" s="236" customFormat="1" ht="13.35" customHeight="1">
      <c r="B329" s="242" t="s">
        <v>973</v>
      </c>
      <c r="C329" s="242" t="s">
        <v>496</v>
      </c>
      <c r="D329" s="243"/>
      <c r="E329" s="482">
        <f>+(E269+E290-E230)</f>
        <v>0</v>
      </c>
      <c r="F329" s="482">
        <f>+G329</f>
        <v>0</v>
      </c>
      <c r="G329" s="482">
        <f>+(G269+G290-G230)</f>
        <v>0</v>
      </c>
      <c r="H329" s="482">
        <f>+(H269+H290-H230)</f>
        <v>0</v>
      </c>
      <c r="I329" s="482">
        <f>+J329</f>
        <v>0</v>
      </c>
      <c r="J329" s="482">
        <f>+(J269+J290-J230)</f>
        <v>0</v>
      </c>
      <c r="K329" s="482">
        <f>+(K269+K290-K230)</f>
        <v>0</v>
      </c>
      <c r="L329" s="482">
        <f>+M329</f>
        <v>0</v>
      </c>
      <c r="M329" s="482">
        <f>+(M269+M290-M230)</f>
        <v>0</v>
      </c>
      <c r="N329" s="482">
        <f>+(N269+N290-N230)</f>
        <v>0</v>
      </c>
      <c r="O329" s="482">
        <f>+P329</f>
        <v>0</v>
      </c>
      <c r="P329" s="482">
        <f>+(P269+P290-P230)</f>
        <v>0</v>
      </c>
      <c r="Q329" s="482">
        <f>+(Q269+Q290-Q230)</f>
        <v>0</v>
      </c>
      <c r="R329" s="482">
        <f>+S329</f>
        <v>0</v>
      </c>
      <c r="S329" s="482">
        <f>+(S269+S290-S230)</f>
        <v>0</v>
      </c>
      <c r="T329" s="482">
        <f>+(T269+T290-T230)</f>
        <v>0</v>
      </c>
      <c r="U329" s="482">
        <f>+V329</f>
        <v>0</v>
      </c>
      <c r="V329" s="482">
        <f>+(V269+V290-V230)</f>
        <v>0</v>
      </c>
      <c r="W329" s="482">
        <f>+(W269+W290-W230)</f>
        <v>0</v>
      </c>
      <c r="X329" s="482">
        <f>+Y329</f>
        <v>0</v>
      </c>
      <c r="Y329" s="482">
        <f>+(Y269+Y290-Y230)</f>
        <v>0</v>
      </c>
      <c r="Z329" s="482">
        <f>+(Z269+Z290-Z230)</f>
        <v>0</v>
      </c>
      <c r="AA329" s="482">
        <f>+AB329</f>
        <v>0</v>
      </c>
      <c r="AB329" s="482">
        <f>+(AB269+AB290-AB230)</f>
        <v>0</v>
      </c>
      <c r="AC329" s="482">
        <f>+(AC269+AC290-AC230)</f>
        <v>0</v>
      </c>
      <c r="AD329" s="482">
        <f>+AE329</f>
        <v>0</v>
      </c>
      <c r="AE329" s="482">
        <f>+(AE269+AE290-AE230)</f>
        <v>0</v>
      </c>
      <c r="AF329" s="482">
        <f>+(AF269+AF290-AF230)</f>
        <v>0</v>
      </c>
      <c r="AG329" s="482">
        <f>+AH329</f>
        <v>0</v>
      </c>
      <c r="AH329" s="482">
        <f>+(AH269+AH290-AH230)</f>
        <v>0</v>
      </c>
      <c r="AI329" s="482">
        <f>+(AI269+AI290-AI230)</f>
        <v>1.4460000000000002</v>
      </c>
      <c r="AJ329" s="482">
        <f>+AK329</f>
        <v>-0.87100000000000022</v>
      </c>
      <c r="AK329" s="482">
        <f>+(AK269+AK290-AK230)</f>
        <v>-0.87100000000000022</v>
      </c>
      <c r="AL329" s="482">
        <f>+(AL269+AL290-AL230)</f>
        <v>-9.5559999999999992</v>
      </c>
      <c r="AM329" s="482">
        <f>+AN329</f>
        <v>-12.168000000000001</v>
      </c>
      <c r="AN329" s="482">
        <f>+(AN269+AN290-AN230)</f>
        <v>-12.168000000000001</v>
      </c>
      <c r="AO329" s="482">
        <f>+(AO269+AO290-AO230)</f>
        <v>-9.4969999999999999</v>
      </c>
      <c r="AP329" s="482">
        <f>+AQ329</f>
        <v>-10.641999999999999</v>
      </c>
      <c r="AQ329" s="482">
        <f>+(AQ269+AQ290-AQ230)</f>
        <v>-10.641999999999999</v>
      </c>
      <c r="AR329" s="482">
        <f>+(AR269+AR290-AR230)</f>
        <v>-10.478999999999999</v>
      </c>
      <c r="AS329" s="482">
        <f>+AT329</f>
        <v>-16.510000000000002</v>
      </c>
      <c r="AT329" s="482">
        <f>+(AT269+AT290-AT230)</f>
        <v>-16.510000000000002</v>
      </c>
      <c r="AU329" s="482">
        <f>+(AU269+AU290-AU230)</f>
        <v>-20.331</v>
      </c>
      <c r="AV329" s="482">
        <f>+AW329</f>
        <v>-30.369000000000003</v>
      </c>
      <c r="AW329" s="482">
        <f>+(AW269+AW290-AW230)</f>
        <v>-30.369000000000003</v>
      </c>
      <c r="AX329" s="482">
        <f>+(AX269+AX290-AX230)</f>
        <v>-26.25</v>
      </c>
      <c r="AY329" s="482">
        <f>+AZ329</f>
        <v>-20.795000000000002</v>
      </c>
      <c r="AZ329" s="482">
        <f>+(AZ269+AZ290-AZ230)</f>
        <v>-20.795000000000002</v>
      </c>
      <c r="BA329" s="482">
        <f>+(BA269+BA290-BA230)</f>
        <v>-23.953000000000003</v>
      </c>
      <c r="BB329" s="482">
        <f>+BC329</f>
        <v>-21.335999999999999</v>
      </c>
      <c r="BC329" s="482">
        <f>+(BC269+BC290-BC230)</f>
        <v>-21.335999999999999</v>
      </c>
      <c r="BD329" s="482">
        <f>+(BD269+BD290-BD230)</f>
        <v>2.9749999999999996</v>
      </c>
      <c r="BE329" s="482">
        <f>+BF329</f>
        <v>13.712999999999999</v>
      </c>
      <c r="BF329" s="482">
        <f>+(BF269+BF290-BF230)</f>
        <v>13.712999999999999</v>
      </c>
      <c r="BG329" s="482">
        <f>+(BG269+BG290-BG230)</f>
        <v>-16.502000000000002</v>
      </c>
      <c r="BH329" s="482">
        <f>+BI329</f>
        <v>-28.885999999999996</v>
      </c>
      <c r="BI329" s="482">
        <f>+(BI269+BI290-BI230)</f>
        <v>-28.885999999999996</v>
      </c>
      <c r="BJ329" s="482">
        <f>+(BJ269+BJ290-BJ230)</f>
        <v>-38.795000000000002</v>
      </c>
      <c r="BK329" s="482">
        <f>+BL329</f>
        <v>-50.078999999999994</v>
      </c>
      <c r="BL329" s="482">
        <f>+(BL269+BL290-BL230)</f>
        <v>-50.078999999999994</v>
      </c>
      <c r="BM329" s="482">
        <f>+(BM269+BM290-BM230)</f>
        <v>-42.977999999999994</v>
      </c>
      <c r="BN329" s="482">
        <f>+BO329</f>
        <v>96.980999999999995</v>
      </c>
      <c r="BO329" s="482">
        <f>+(BO269+BO290-BO230)</f>
        <v>96.980999999999995</v>
      </c>
      <c r="BP329" s="482">
        <f>+(BP269+BP290-BP230)</f>
        <v>90.484000000000023</v>
      </c>
      <c r="BQ329" s="482">
        <f>+BR329</f>
        <v>108.967</v>
      </c>
      <c r="BR329" s="482">
        <f>+(BR269+BR290-BR230)</f>
        <v>108.967</v>
      </c>
      <c r="BS329" s="482">
        <f>+(BS269+BS290-BS230)</f>
        <v>131.69399999999999</v>
      </c>
      <c r="BT329" s="482">
        <f>+BU329</f>
        <v>115.50699999999998</v>
      </c>
      <c r="BU329" s="482">
        <f>+(BU269+BU290-BU230)</f>
        <v>115.50699999999998</v>
      </c>
      <c r="BV329" s="482">
        <f>+(BV269+BV290-BV230)</f>
        <v>138.42499999999998</v>
      </c>
      <c r="BW329" s="482">
        <f>+BX329</f>
        <v>133.29599999999999</v>
      </c>
      <c r="BX329" s="482">
        <f>+(BX269+BX290-BX230)</f>
        <v>133.29599999999999</v>
      </c>
      <c r="BY329" s="482">
        <f>+(BY269+BY290-BY230)</f>
        <v>134.36599999999999</v>
      </c>
      <c r="BZ329" s="482">
        <f>+CA329</f>
        <v>108.56699999999999</v>
      </c>
      <c r="CA329" s="482">
        <f>+(CA269+CA290-CA230)</f>
        <v>108.56699999999999</v>
      </c>
      <c r="CB329" s="482">
        <f>+(CB269+CB290-CB230)</f>
        <v>68.890999999999991</v>
      </c>
      <c r="CC329" s="482">
        <f>+CD329</f>
        <v>113.93700000000001</v>
      </c>
      <c r="CD329" s="482">
        <f>+(CD269+CD290-CD230)</f>
        <v>113.93700000000001</v>
      </c>
      <c r="CE329" s="482">
        <f>+(CE269+CE290-CE230)</f>
        <v>17.378000000000007</v>
      </c>
      <c r="CF329" s="482">
        <f>+CG329</f>
        <v>-9.3830000000000027</v>
      </c>
      <c r="CG329" s="482">
        <f>+(CG269+CG290-CG230)</f>
        <v>-9.3830000000000027</v>
      </c>
      <c r="CH329" s="482">
        <f>+(CH269+CH290-CH230)</f>
        <v>8.5300000000000153</v>
      </c>
      <c r="CI329" s="482">
        <f>+CJ329</f>
        <v>-2.8140000000000072</v>
      </c>
      <c r="CJ329" s="482">
        <f>+(CJ269+CJ290-CJ230)</f>
        <v>-2.8140000000000072</v>
      </c>
      <c r="CK329" s="482">
        <f>+(CK269+CK290-CK230)</f>
        <v>72.52300000000001</v>
      </c>
      <c r="CL329" s="482">
        <f>+CM329</f>
        <v>117.78</v>
      </c>
      <c r="CM329" s="482">
        <f>+(CM269+CM290-CM230)</f>
        <v>117.78</v>
      </c>
      <c r="CN329" s="482">
        <f>+(CN269+CN290-CN230)</f>
        <v>166.32900000000001</v>
      </c>
      <c r="CO329" s="482">
        <f>+CP329</f>
        <v>181.28799999999998</v>
      </c>
      <c r="CP329" s="482">
        <f>+(CP269+CP290-CP230)</f>
        <v>181.28799999999998</v>
      </c>
      <c r="CQ329" s="482">
        <f>+(CQ269+CQ290-CQ230)</f>
        <v>171.607</v>
      </c>
      <c r="CR329" s="482">
        <f>+CS329</f>
        <v>140.50299999999999</v>
      </c>
      <c r="CS329" s="482">
        <f>+(CS269+CS290-CS230)</f>
        <v>140.50299999999999</v>
      </c>
      <c r="CT329" s="482">
        <f>+(CT269+CT290-CT230)</f>
        <v>132.86199999999999</v>
      </c>
      <c r="CU329" s="482">
        <f>+CV329</f>
        <v>117.821</v>
      </c>
      <c r="CV329" s="482">
        <f>+(CV269+CV290-CV230)</f>
        <v>117.821</v>
      </c>
      <c r="CW329" s="482">
        <f>+(CW269+CW290-CW230)</f>
        <v>93.527999999999977</v>
      </c>
      <c r="CX329" s="482">
        <f>+CY329</f>
        <v>129.38200000000001</v>
      </c>
      <c r="CY329" s="482">
        <f>+(CY269+CY290-CY230)</f>
        <v>129.38200000000001</v>
      </c>
      <c r="CZ329" s="482">
        <f>+(CZ269+CZ290-CZ230)</f>
        <v>137.1</v>
      </c>
      <c r="DA329" s="482">
        <f>+DB329</f>
        <v>86.199999999999989</v>
      </c>
      <c r="DB329" s="482">
        <f>+(DB269+DB290-DB230)</f>
        <v>86.199999999999989</v>
      </c>
      <c r="DC329" s="482">
        <f>+(DC269+DC290-DC230)</f>
        <v>72.7</v>
      </c>
      <c r="DD329" s="482">
        <f>+DE329</f>
        <v>103.00000000000003</v>
      </c>
      <c r="DE329" s="482">
        <f>+(DE269+DE290-DE230)</f>
        <v>103.00000000000003</v>
      </c>
      <c r="DF329" s="482">
        <f>+(DF269+DF290-DF230)</f>
        <v>144.30000000000001</v>
      </c>
      <c r="DG329" s="482">
        <f>+DH329</f>
        <v>-92.100000000000023</v>
      </c>
      <c r="DH329" s="1244">
        <f>+(DH269+DH290-DH230)</f>
        <v>-92.100000000000023</v>
      </c>
      <c r="DI329" s="482">
        <f>+(DI269+DI290-DI230)</f>
        <v>-476.90000000000003</v>
      </c>
      <c r="DJ329" s="482">
        <f>+DK329</f>
        <v>-564.6</v>
      </c>
      <c r="DK329" s="1244">
        <f>+(DK269+DK290-DK230)</f>
        <v>-564.6</v>
      </c>
      <c r="DL329" s="482">
        <f>+(DL269+DL290-DL230)</f>
        <v>-505.6</v>
      </c>
      <c r="DM329" s="482">
        <f>+DN329</f>
        <v>-586.69999999999993</v>
      </c>
      <c r="DN329" s="1244">
        <f>+(DN269+DN290-DN230)</f>
        <v>-586.69999999999993</v>
      </c>
      <c r="DO329" s="482">
        <f>+(DO269+DO290-DO230)</f>
        <v>-505.40000000000003</v>
      </c>
      <c r="DP329" s="482">
        <f>+DQ329</f>
        <v>-555.5</v>
      </c>
      <c r="DQ329" s="1244">
        <f>+(DQ269+DQ290-DQ230)</f>
        <v>-555.5</v>
      </c>
      <c r="DR329" s="482">
        <f>+(DR269+DR290-DR230)</f>
        <v>-485.2</v>
      </c>
      <c r="DS329" s="482">
        <f>+DT329</f>
        <v>-513.6</v>
      </c>
      <c r="DT329" s="1244">
        <f>+(DT269+DT290-DT230)</f>
        <v>-513.6</v>
      </c>
      <c r="DU329" s="482">
        <f>+(DU269+DU290-DU230)</f>
        <v>-383.1</v>
      </c>
      <c r="DV329" s="482">
        <f>+DW329</f>
        <v>-275.7</v>
      </c>
      <c r="DW329" s="1244">
        <f>+(DW269+DW290-DW230)</f>
        <v>-275.7</v>
      </c>
      <c r="DX329" s="482">
        <f>+(DX269+DX290-DX230)</f>
        <v>-187.1</v>
      </c>
      <c r="DY329" s="482">
        <f>+DZ329</f>
        <v>-100.23874779745012</v>
      </c>
      <c r="DZ329" s="1244">
        <f>+(DZ269+DZ290-DZ230)</f>
        <v>-100.23874779745012</v>
      </c>
      <c r="EA329" s="482">
        <f>+(EA269+EA290-EA230)</f>
        <v>-128.91397208177304</v>
      </c>
      <c r="EB329" s="482">
        <f>+EC329</f>
        <v>-131.63220177608389</v>
      </c>
      <c r="EC329" s="1244">
        <f>+(EC269+EC290-EC230)</f>
        <v>-131.63220177608389</v>
      </c>
      <c r="ED329" s="482">
        <f>+(ED269+ED290-ED230)</f>
        <v>-125.84257601085091</v>
      </c>
      <c r="EE329" s="482">
        <f>+EF329</f>
        <v>-130.47041149723071</v>
      </c>
      <c r="EF329" s="1244">
        <f>+(EF269+EF290-EF230)</f>
        <v>-130.47041149723071</v>
      </c>
      <c r="EG329" s="482">
        <f>+(EG269+EG290-EG230)</f>
        <v>-127.60570320041623</v>
      </c>
      <c r="EH329" s="482">
        <f>+EI329</f>
        <v>-139.37201013236</v>
      </c>
      <c r="EI329" s="1244">
        <f>+(EI269+EI290-EI230)</f>
        <v>-139.37201013236</v>
      </c>
      <c r="EJ329" s="482">
        <f>+(EJ269+EJ290-EJ230)</f>
        <v>-192.29259197065275</v>
      </c>
      <c r="EK329" s="482">
        <f>+EL329</f>
        <v>-262.04585962677203</v>
      </c>
      <c r="EL329" s="1244">
        <f>+(EL269+EL290-EL230)</f>
        <v>-262.04585962677203</v>
      </c>
      <c r="EM329" s="482">
        <f>+(EM269+EM290-EM230)</f>
        <v>-322.92581149900855</v>
      </c>
      <c r="EN329" s="482">
        <f>+EO329</f>
        <v>-401.05388521561446</v>
      </c>
      <c r="EO329" s="1244">
        <f>+(EO269+EO290-EO230)</f>
        <v>-401.05388521561446</v>
      </c>
      <c r="EP329" s="482">
        <f>+(EP269+EP290-EP230)</f>
        <v>-470.97278923513545</v>
      </c>
      <c r="EQ329" s="482">
        <f>+ER329</f>
        <v>-558.03536382090488</v>
      </c>
      <c r="ER329" s="1244">
        <f>+(ER269+ER290-ER230)</f>
        <v>-558.03536382090488</v>
      </c>
      <c r="ES329" s="482">
        <f>+(ES269+ES290-ES230)</f>
        <v>-638.75927986390798</v>
      </c>
      <c r="ET329" s="482">
        <f>+EU329</f>
        <v>-735.67036629922052</v>
      </c>
      <c r="EU329" s="1244">
        <f>+(EU269+EU290-EU230)</f>
        <v>-735.67036629922052</v>
      </c>
      <c r="EV329" s="482">
        <f>+(EV269+EV290-EV230)</f>
        <v>-828.51584009266276</v>
      </c>
      <c r="EW329" s="482">
        <f>+EX329</f>
        <v>-936.27990330300736</v>
      </c>
      <c r="EX329" s="1244">
        <f>+(EX269+EX290-EX230)</f>
        <v>-936.27990330300736</v>
      </c>
      <c r="EY329" s="482">
        <f>+(EY269+EY290-EY230)</f>
        <v>-1042.7122108301246</v>
      </c>
      <c r="EZ329" s="482">
        <f>+FA329</f>
        <v>-1162.4332956130875</v>
      </c>
      <c r="FA329" s="1244">
        <f>+(FA269+FA290-FA230)</f>
        <v>-1162.4332956130875</v>
      </c>
      <c r="FE329"/>
      <c r="FF329"/>
      <c r="FG329"/>
      <c r="FH329"/>
      <c r="FI329"/>
      <c r="FJ329"/>
      <c r="FK329" s="35"/>
    </row>
    <row r="330" spans="1:167" s="236" customFormat="1" ht="13.35" customHeight="1">
      <c r="B330" s="242" t="s">
        <v>974</v>
      </c>
      <c r="C330" s="242" t="s">
        <v>496</v>
      </c>
      <c r="D330" s="243"/>
      <c r="E330" s="482"/>
      <c r="F330" s="482"/>
      <c r="G330" s="482"/>
      <c r="H330" s="482"/>
      <c r="I330" s="482"/>
      <c r="J330" s="482"/>
      <c r="K330" s="482"/>
      <c r="L330" s="482"/>
      <c r="M330" s="482"/>
      <c r="N330" s="482"/>
      <c r="O330" s="482"/>
      <c r="P330" s="482"/>
      <c r="Q330" s="482"/>
      <c r="R330" s="482"/>
      <c r="S330" s="482"/>
      <c r="T330" s="482"/>
      <c r="U330" s="482"/>
      <c r="V330" s="482"/>
      <c r="W330" s="482"/>
      <c r="X330" s="482"/>
      <c r="Y330" s="482"/>
      <c r="Z330" s="482"/>
      <c r="AA330" s="482"/>
      <c r="AB330" s="482"/>
      <c r="AC330" s="482"/>
      <c r="AD330" s="482"/>
      <c r="AE330" s="482"/>
      <c r="AF330" s="482"/>
      <c r="AG330" s="482"/>
      <c r="AH330" s="482"/>
      <c r="AI330" s="482"/>
      <c r="AJ330" s="482"/>
      <c r="AK330" s="482"/>
      <c r="AL330" s="482"/>
      <c r="AM330" s="482"/>
      <c r="AN330" s="482"/>
      <c r="AO330" s="482"/>
      <c r="AP330" s="482"/>
      <c r="AQ330" s="482"/>
      <c r="AR330" s="482"/>
      <c r="AS330" s="482"/>
      <c r="AT330" s="482"/>
      <c r="AU330" s="482">
        <f>AU329</f>
        <v>-20.331</v>
      </c>
      <c r="AV330" s="482">
        <f t="shared" ref="AV330:DE330" si="1077">AV329</f>
        <v>-30.369000000000003</v>
      </c>
      <c r="AW330" s="482">
        <f t="shared" si="1077"/>
        <v>-30.369000000000003</v>
      </c>
      <c r="AX330" s="482">
        <f t="shared" si="1077"/>
        <v>-26.25</v>
      </c>
      <c r="AY330" s="482">
        <f t="shared" si="1077"/>
        <v>-20.795000000000002</v>
      </c>
      <c r="AZ330" s="482">
        <f t="shared" si="1077"/>
        <v>-20.795000000000002</v>
      </c>
      <c r="BA330" s="482">
        <f t="shared" si="1077"/>
        <v>-23.953000000000003</v>
      </c>
      <c r="BB330" s="482">
        <f t="shared" si="1077"/>
        <v>-21.335999999999999</v>
      </c>
      <c r="BC330" s="482">
        <f t="shared" si="1077"/>
        <v>-21.335999999999999</v>
      </c>
      <c r="BD330" s="482">
        <f t="shared" si="1077"/>
        <v>2.9749999999999996</v>
      </c>
      <c r="BE330" s="482">
        <f t="shared" si="1077"/>
        <v>13.712999999999999</v>
      </c>
      <c r="BF330" s="482">
        <f t="shared" si="1077"/>
        <v>13.712999999999999</v>
      </c>
      <c r="BG330" s="482">
        <f t="shared" si="1077"/>
        <v>-16.502000000000002</v>
      </c>
      <c r="BH330" s="482">
        <f t="shared" si="1077"/>
        <v>-28.885999999999996</v>
      </c>
      <c r="BI330" s="482">
        <f t="shared" si="1077"/>
        <v>-28.885999999999996</v>
      </c>
      <c r="BJ330" s="482">
        <f t="shared" si="1077"/>
        <v>-38.795000000000002</v>
      </c>
      <c r="BK330" s="482">
        <f t="shared" si="1077"/>
        <v>-50.078999999999994</v>
      </c>
      <c r="BL330" s="482">
        <f t="shared" si="1077"/>
        <v>-50.078999999999994</v>
      </c>
      <c r="BM330" s="482">
        <f t="shared" si="1077"/>
        <v>-42.977999999999994</v>
      </c>
      <c r="BN330" s="482">
        <f t="shared" si="1077"/>
        <v>96.980999999999995</v>
      </c>
      <c r="BO330" s="482">
        <f t="shared" si="1077"/>
        <v>96.980999999999995</v>
      </c>
      <c r="BP330" s="482">
        <f t="shared" si="1077"/>
        <v>90.484000000000023</v>
      </c>
      <c r="BQ330" s="482">
        <f t="shared" si="1077"/>
        <v>108.967</v>
      </c>
      <c r="BR330" s="482">
        <f t="shared" si="1077"/>
        <v>108.967</v>
      </c>
      <c r="BS330" s="482">
        <f t="shared" si="1077"/>
        <v>131.69399999999999</v>
      </c>
      <c r="BT330" s="482">
        <f t="shared" si="1077"/>
        <v>115.50699999999998</v>
      </c>
      <c r="BU330" s="482">
        <f t="shared" si="1077"/>
        <v>115.50699999999998</v>
      </c>
      <c r="BV330" s="482">
        <f t="shared" si="1077"/>
        <v>138.42499999999998</v>
      </c>
      <c r="BW330" s="482">
        <f t="shared" si="1077"/>
        <v>133.29599999999999</v>
      </c>
      <c r="BX330" s="482">
        <f t="shared" si="1077"/>
        <v>133.29599999999999</v>
      </c>
      <c r="BY330" s="482">
        <f t="shared" si="1077"/>
        <v>134.36599999999999</v>
      </c>
      <c r="BZ330" s="482">
        <f t="shared" si="1077"/>
        <v>108.56699999999999</v>
      </c>
      <c r="CA330" s="482">
        <f t="shared" si="1077"/>
        <v>108.56699999999999</v>
      </c>
      <c r="CB330" s="482">
        <f t="shared" si="1077"/>
        <v>68.890999999999991</v>
      </c>
      <c r="CC330" s="482">
        <f t="shared" si="1077"/>
        <v>113.93700000000001</v>
      </c>
      <c r="CD330" s="482">
        <f t="shared" si="1077"/>
        <v>113.93700000000001</v>
      </c>
      <c r="CE330" s="482">
        <f t="shared" si="1077"/>
        <v>17.378000000000007</v>
      </c>
      <c r="CF330" s="482">
        <f t="shared" si="1077"/>
        <v>-9.3830000000000027</v>
      </c>
      <c r="CG330" s="482">
        <f t="shared" si="1077"/>
        <v>-9.3830000000000027</v>
      </c>
      <c r="CH330" s="482">
        <f t="shared" si="1077"/>
        <v>8.5300000000000153</v>
      </c>
      <c r="CI330" s="482">
        <f t="shared" si="1077"/>
        <v>-2.8140000000000072</v>
      </c>
      <c r="CJ330" s="482">
        <f t="shared" si="1077"/>
        <v>-2.8140000000000072</v>
      </c>
      <c r="CK330" s="482">
        <f t="shared" si="1077"/>
        <v>72.52300000000001</v>
      </c>
      <c r="CL330" s="482">
        <f t="shared" si="1077"/>
        <v>117.78</v>
      </c>
      <c r="CM330" s="482">
        <f t="shared" si="1077"/>
        <v>117.78</v>
      </c>
      <c r="CN330" s="482">
        <f t="shared" si="1077"/>
        <v>166.32900000000001</v>
      </c>
      <c r="CO330" s="482">
        <f t="shared" si="1077"/>
        <v>181.28799999999998</v>
      </c>
      <c r="CP330" s="482">
        <f t="shared" si="1077"/>
        <v>181.28799999999998</v>
      </c>
      <c r="CQ330" s="482">
        <f t="shared" si="1077"/>
        <v>171.607</v>
      </c>
      <c r="CR330" s="482">
        <f t="shared" si="1077"/>
        <v>140.50299999999999</v>
      </c>
      <c r="CS330" s="482">
        <f t="shared" si="1077"/>
        <v>140.50299999999999</v>
      </c>
      <c r="CT330" s="482">
        <f t="shared" si="1077"/>
        <v>132.86199999999999</v>
      </c>
      <c r="CU330" s="482">
        <f t="shared" si="1077"/>
        <v>117.821</v>
      </c>
      <c r="CV330" s="482">
        <f t="shared" si="1077"/>
        <v>117.821</v>
      </c>
      <c r="CW330" s="482">
        <f t="shared" si="1077"/>
        <v>93.527999999999977</v>
      </c>
      <c r="CX330" s="482">
        <f t="shared" si="1077"/>
        <v>129.38200000000001</v>
      </c>
      <c r="CY330" s="482">
        <f t="shared" si="1077"/>
        <v>129.38200000000001</v>
      </c>
      <c r="CZ330" s="482">
        <f t="shared" si="1077"/>
        <v>137.1</v>
      </c>
      <c r="DA330" s="482">
        <f t="shared" si="1077"/>
        <v>86.199999999999989</v>
      </c>
      <c r="DB330" s="482">
        <f t="shared" si="1077"/>
        <v>86.199999999999989</v>
      </c>
      <c r="DC330" s="482">
        <f t="shared" si="1077"/>
        <v>72.7</v>
      </c>
      <c r="DD330" s="482">
        <f t="shared" si="1077"/>
        <v>103.00000000000003</v>
      </c>
      <c r="DE330" s="482">
        <f t="shared" si="1077"/>
        <v>103.00000000000003</v>
      </c>
      <c r="DF330" s="482">
        <f>B_TCB_H1_20+DF286+B_TNCB_H1_20+DF302-DF230</f>
        <v>333</v>
      </c>
      <c r="DG330" s="482">
        <f>DG269+DG286+DG290+DG302-DG230</f>
        <v>139.39999999999998</v>
      </c>
      <c r="DH330" s="1244">
        <f>DH269+DH286+DH290+DH302-DH230</f>
        <v>139.39999999999998</v>
      </c>
      <c r="DI330" s="482">
        <f>DI269+DI286+DI290+DI302-DI230</f>
        <v>-254.60000000000002</v>
      </c>
      <c r="DJ330" s="482">
        <f>DK330</f>
        <v>-345.3</v>
      </c>
      <c r="DK330" s="1244">
        <f>DK269+DK286+DK290+DK302-DK230</f>
        <v>-345.3</v>
      </c>
      <c r="DL330" s="482">
        <f>DL269+DL286+DL290+DL302-DL230</f>
        <v>-287</v>
      </c>
      <c r="DM330" s="482">
        <f>DN330</f>
        <v>-375.4</v>
      </c>
      <c r="DN330" s="1244">
        <f>DN269+DN286+DN290+DN302-DN230</f>
        <v>-375.4</v>
      </c>
      <c r="DO330" s="482">
        <f>DO269+DO286+DO290+DO302-DO230</f>
        <v>-296.30000000000007</v>
      </c>
      <c r="DP330" s="482">
        <f>DQ330</f>
        <v>-353.7</v>
      </c>
      <c r="DQ330" s="1244">
        <f>DQ269+DQ286+DQ290+DQ302-DQ230</f>
        <v>-353.7</v>
      </c>
      <c r="DR330" s="482">
        <f>DR269+DR286+DR290+DR302-DR230</f>
        <v>-278.5</v>
      </c>
      <c r="DS330" s="482">
        <f>DT330</f>
        <v>-269.90000000000003</v>
      </c>
      <c r="DT330" s="1244">
        <f>DT269+DT286+DT290+DT302-DT230</f>
        <v>-269.90000000000003</v>
      </c>
      <c r="DU330" s="482">
        <f>DU269+DU286+DU290+DU302-DU230</f>
        <v>-136.50000000000003</v>
      </c>
      <c r="DV330" s="482">
        <f>DW330</f>
        <v>-40</v>
      </c>
      <c r="DW330" s="1244">
        <f>DW269+DW286+DW290+DW302-DW230</f>
        <v>-40</v>
      </c>
      <c r="DX330" s="482">
        <f>DX269+DX286+DX290+DX302-DX230</f>
        <v>40.700000000000017</v>
      </c>
      <c r="DY330" s="482">
        <f>DZ330</f>
        <v>116.00197356207138</v>
      </c>
      <c r="DZ330" s="1244">
        <f>DZ269+DZ286+DZ290+DZ302-DZ230</f>
        <v>116.00197356207138</v>
      </c>
      <c r="EA330" s="482">
        <f>EA269+EA286+EA290+EA302-EA230</f>
        <v>75.320988671257993</v>
      </c>
      <c r="EB330" s="482">
        <f>EC330</f>
        <v>60.596998370456674</v>
      </c>
      <c r="EC330" s="1244">
        <f>EC269+EC286+EC290+EC302-EC230</f>
        <v>60.596998370456674</v>
      </c>
      <c r="ED330" s="482">
        <f>ED269+ED286+ED290+ED302-ED230</f>
        <v>53.92321951403693</v>
      </c>
      <c r="EE330" s="482">
        <f>EF330</f>
        <v>36.831979406004393</v>
      </c>
      <c r="EF330" s="1244">
        <f>EF269+EF286+EF290+EF302-EF230</f>
        <v>36.831979406004393</v>
      </c>
      <c r="EG330" s="482">
        <f>EG269+EG286+EG290+EG302-EG230</f>
        <v>26.764197965624845</v>
      </c>
      <c r="EH330" s="482">
        <f>EI330</f>
        <v>2.065401296487039</v>
      </c>
      <c r="EI330" s="1244">
        <f>EI269+EI286+EI290+EI302-EI230</f>
        <v>2.065401296487039</v>
      </c>
      <c r="EJ330" s="482">
        <f>EJ269+EJ286+EJ290+EJ302-EJ230</f>
        <v>-64.268482522429593</v>
      </c>
      <c r="EK330" s="482">
        <f>EL330</f>
        <v>-147.43505215917276</v>
      </c>
      <c r="EL330" s="1244">
        <f>EL269+EL286+EL290+EL302-EL230</f>
        <v>-147.43505215917276</v>
      </c>
      <c r="EM330" s="482">
        <f>EM269+EM286+EM290+EM302-EM230</f>
        <v>-222.22113856154874</v>
      </c>
      <c r="EN330" s="482">
        <f>EO330</f>
        <v>-314.25534680829412</v>
      </c>
      <c r="EO330" s="1244">
        <f>EO269+EO286+EO290+EO302-EO230</f>
        <v>-314.25534680829412</v>
      </c>
      <c r="EP330" s="482">
        <f>EP269+EP286+EP290+EP302-EP230</f>
        <v>-398.58553872120808</v>
      </c>
      <c r="EQ330" s="482">
        <f>ER330</f>
        <v>-500.05940120037047</v>
      </c>
      <c r="ER330" s="1244">
        <f>ER269+ER286+ER290+ER302-ER230</f>
        <v>-500.05940120037047</v>
      </c>
      <c r="ES330" s="482">
        <f>ES269+ES286+ES290+ES302-ES230</f>
        <v>-595.71238733410132</v>
      </c>
      <c r="ET330" s="482">
        <f>EU330</f>
        <v>-707.55254386014167</v>
      </c>
      <c r="EU330" s="1244">
        <f>EU269+EU286+EU290+EU302-EU230</f>
        <v>-707.55254386014167</v>
      </c>
      <c r="EV330" s="482">
        <f>EV269+EV286+EV290+EV302-EV230</f>
        <v>-815.85781449657998</v>
      </c>
      <c r="EW330" s="482">
        <f>EX330</f>
        <v>-939.08167454992054</v>
      </c>
      <c r="EX330" s="1244">
        <f>EX269+EX286+EX290+EX302-EX230</f>
        <v>-939.08167454992054</v>
      </c>
      <c r="EY330" s="482">
        <f>EY269+EY286+EY290+EY302-EY230</f>
        <v>-1061.5177738411087</v>
      </c>
      <c r="EZ330" s="482">
        <f>FA330</f>
        <v>-1197.2426503881425</v>
      </c>
      <c r="FA330" s="1244">
        <f>FA269+FA286+FA290+FA302-FA230</f>
        <v>-1197.2426503881425</v>
      </c>
      <c r="FE330"/>
      <c r="FF330"/>
      <c r="FG330"/>
      <c r="FH330"/>
      <c r="FI330"/>
      <c r="FJ330"/>
      <c r="FK330" s="35"/>
    </row>
    <row r="331" spans="1:167" s="236" customFormat="1" ht="13.35" customHeight="1">
      <c r="B331" s="242" t="s">
        <v>865</v>
      </c>
      <c r="C331" s="242" t="s">
        <v>130</v>
      </c>
      <c r="D331" s="243"/>
      <c r="E331" s="482"/>
      <c r="F331" s="482"/>
      <c r="G331" s="482"/>
      <c r="H331" s="482"/>
      <c r="I331" s="482"/>
      <c r="J331" s="482"/>
      <c r="K331" s="482"/>
      <c r="L331" s="482"/>
      <c r="M331" s="482"/>
      <c r="N331" s="482"/>
      <c r="O331" s="482"/>
      <c r="P331" s="482"/>
      <c r="Q331" s="482"/>
      <c r="R331" s="482"/>
      <c r="S331" s="482"/>
      <c r="T331" s="482"/>
      <c r="U331" s="482"/>
      <c r="V331" s="482"/>
      <c r="W331" s="482"/>
      <c r="X331" s="482"/>
      <c r="Y331" s="482"/>
      <c r="Z331" s="482"/>
      <c r="AA331" s="482"/>
      <c r="AB331" s="482"/>
      <c r="AC331" s="482"/>
      <c r="AD331" s="482"/>
      <c r="AE331" s="482"/>
      <c r="AF331" s="482"/>
      <c r="AG331" s="482"/>
      <c r="AH331" s="482"/>
      <c r="AI331" s="482">
        <f>+(AI72)/(AI74)</f>
        <v>-165.67741935483872</v>
      </c>
      <c r="AJ331" s="482"/>
      <c r="AK331" s="482">
        <f t="shared" ref="AK331:BP331" si="1078">+(AK72)/(AK74)</f>
        <v>-397.58064516129031</v>
      </c>
      <c r="AL331" s="482">
        <f t="shared" si="1078"/>
        <v>-208.93333333333339</v>
      </c>
      <c r="AM331" s="482">
        <f t="shared" si="1078"/>
        <v>-20.201149425287355</v>
      </c>
      <c r="AN331" s="482">
        <f t="shared" si="1078"/>
        <v>-35.179894179894177</v>
      </c>
      <c r="AO331" s="482">
        <f t="shared" si="1078"/>
        <v>-19.261744966442954</v>
      </c>
      <c r="AP331" s="482">
        <f t="shared" si="1078"/>
        <v>-32.486692015209123</v>
      </c>
      <c r="AQ331" s="482">
        <f t="shared" si="1078"/>
        <v>-25.461675579322637</v>
      </c>
      <c r="AR331" s="482">
        <f t="shared" si="1078"/>
        <v>-26.382142857142853</v>
      </c>
      <c r="AS331" s="482">
        <f t="shared" si="1078"/>
        <v>-40.195219123505986</v>
      </c>
      <c r="AT331" s="482">
        <f t="shared" si="1078"/>
        <v>-32.911487758945391</v>
      </c>
      <c r="AU331" s="482">
        <f t="shared" si="1078"/>
        <v>-25.536312849162005</v>
      </c>
      <c r="AV331" s="482">
        <f t="shared" si="1078"/>
        <v>-27.715705765407559</v>
      </c>
      <c r="AW331" s="482">
        <f t="shared" si="1078"/>
        <v>-26.809523809523807</v>
      </c>
      <c r="AX331" s="482">
        <f t="shared" si="1078"/>
        <v>-22.01544943820225</v>
      </c>
      <c r="AY331" s="482">
        <f t="shared" si="1078"/>
        <v>-33.26480836236933</v>
      </c>
      <c r="AZ331" s="482">
        <f t="shared" si="1078"/>
        <v>-27.036547433903575</v>
      </c>
      <c r="BA331" s="482">
        <f t="shared" si="1078"/>
        <v>-42.875925925925934</v>
      </c>
      <c r="BB331" s="482">
        <f t="shared" si="1078"/>
        <v>-56.180904522613055</v>
      </c>
      <c r="BC331" s="482">
        <f t="shared" si="1078"/>
        <v>-48.521321961620473</v>
      </c>
      <c r="BD331" s="482">
        <f t="shared" si="1078"/>
        <v>103.8</v>
      </c>
      <c r="BE331" s="482">
        <f t="shared" si="1078"/>
        <v>138.28571428571433</v>
      </c>
      <c r="BF331" s="482">
        <f t="shared" si="1078"/>
        <v>119.54347826086958</v>
      </c>
      <c r="BG331" s="482">
        <f t="shared" si="1078"/>
        <v>115.32698412698409</v>
      </c>
      <c r="BH331" s="482">
        <f t="shared" si="1078"/>
        <v>-248.9829545454545</v>
      </c>
      <c r="BI331" s="482">
        <f t="shared" si="1078"/>
        <v>576.61151079136687</v>
      </c>
      <c r="BJ331" s="482">
        <f t="shared" si="1078"/>
        <v>-46.025873221216038</v>
      </c>
      <c r="BK331" s="482">
        <f t="shared" si="1078"/>
        <v>-9.7082514734774161</v>
      </c>
      <c r="BL331" s="482">
        <f t="shared" si="1078"/>
        <v>-25.383026242322728</v>
      </c>
      <c r="BM331" s="482">
        <f t="shared" si="1078"/>
        <v>89.322295805739515</v>
      </c>
      <c r="BN331" s="482">
        <f t="shared" si="1078"/>
        <v>-186.98666666666642</v>
      </c>
      <c r="BO331" s="482">
        <f t="shared" si="1078"/>
        <v>361.99561403508807</v>
      </c>
      <c r="BP331" s="482">
        <f t="shared" si="1078"/>
        <v>1941.5624999999982</v>
      </c>
      <c r="BQ331" s="482">
        <f t="shared" ref="BQ331:CV331" si="1079">+(BQ72)/(BQ74)</f>
        <v>-125.31621621621619</v>
      </c>
      <c r="BR331" s="482">
        <f t="shared" si="1079"/>
        <v>-320.99704142011825</v>
      </c>
      <c r="BS331" s="482">
        <f t="shared" si="1079"/>
        <v>15.078983925382023</v>
      </c>
      <c r="BT331" s="482">
        <f t="shared" si="1079"/>
        <v>15.3325429756965</v>
      </c>
      <c r="BU331" s="482">
        <f t="shared" si="1079"/>
        <v>15.206039603960395</v>
      </c>
      <c r="BV331" s="482">
        <f t="shared" si="1079"/>
        <v>16.829127756805086</v>
      </c>
      <c r="BW331" s="482">
        <f t="shared" si="1079"/>
        <v>14.810539523212046</v>
      </c>
      <c r="BX331" s="482">
        <f t="shared" si="1079"/>
        <v>15.767904259329063</v>
      </c>
      <c r="BY331" s="482">
        <f t="shared" si="1079"/>
        <v>-13.729966226588887</v>
      </c>
      <c r="BZ331" s="482">
        <f t="shared" si="1079"/>
        <v>17.421386219586999</v>
      </c>
      <c r="CA331" s="482">
        <f t="shared" si="1079"/>
        <v>-107.60628465804072</v>
      </c>
      <c r="CB331" s="482">
        <f t="shared" si="1079"/>
        <v>91.923351158645218</v>
      </c>
      <c r="CC331" s="482">
        <f t="shared" si="1079"/>
        <v>13.088636107669785</v>
      </c>
      <c r="CD331" s="482">
        <f t="shared" si="1079"/>
        <v>21.933006699330068</v>
      </c>
      <c r="CE331" s="482">
        <f t="shared" si="1079"/>
        <v>63.165916760404954</v>
      </c>
      <c r="CF331" s="482">
        <f t="shared" si="1079"/>
        <v>38.989634146341459</v>
      </c>
      <c r="CG331" s="482">
        <f t="shared" si="1079"/>
        <v>47.48813760379597</v>
      </c>
      <c r="CH331" s="482">
        <f t="shared" si="1079"/>
        <v>45.603860679815355</v>
      </c>
      <c r="CI331" s="482">
        <f t="shared" si="1079"/>
        <v>55.672584856396874</v>
      </c>
      <c r="CJ331" s="482">
        <f t="shared" si="1079"/>
        <v>50.09004187994416</v>
      </c>
      <c r="CK331" s="482">
        <f t="shared" si="1079"/>
        <v>38.268904593639576</v>
      </c>
      <c r="CL331" s="482">
        <f t="shared" si="1079"/>
        <v>20.795461243737112</v>
      </c>
      <c r="CM331" s="482">
        <f t="shared" si="1079"/>
        <v>28.741764422304357</v>
      </c>
      <c r="CN331" s="482">
        <f t="shared" si="1079"/>
        <v>10.767973856209149</v>
      </c>
      <c r="CO331" s="482">
        <f t="shared" si="1079"/>
        <v>18.602376090588457</v>
      </c>
      <c r="CP331" s="482">
        <f t="shared" si="1079"/>
        <v>14.998095619925831</v>
      </c>
      <c r="CQ331" s="482">
        <f t="shared" si="1079"/>
        <v>18.425826229336309</v>
      </c>
      <c r="CR331" s="482">
        <f t="shared" si="1079"/>
        <v>22.891925501838724</v>
      </c>
      <c r="CS331" s="482">
        <f t="shared" si="1079"/>
        <v>20.47612214804553</v>
      </c>
      <c r="CT331" s="482">
        <f t="shared" si="1079"/>
        <v>27.960503842869354</v>
      </c>
      <c r="CU331" s="482">
        <f t="shared" si="1079"/>
        <v>36.025451559934304</v>
      </c>
      <c r="CV331" s="482">
        <f t="shared" si="1079"/>
        <v>31.494842887982731</v>
      </c>
      <c r="CW331" s="482">
        <f t="shared" ref="CW331:EF331" si="1080">+(CW72)/(CW74)</f>
        <v>45.770266315481408</v>
      </c>
      <c r="CX331" s="482">
        <f t="shared" si="1080"/>
        <v>46.118990571406265</v>
      </c>
      <c r="CY331" s="482">
        <f t="shared" si="1080"/>
        <v>45.945569616273907</v>
      </c>
      <c r="CZ331" s="482">
        <f t="shared" si="1080"/>
        <v>42.921209969259912</v>
      </c>
      <c r="DA331" s="482">
        <f t="shared" si="1080"/>
        <v>45.159802486818812</v>
      </c>
      <c r="DB331" s="482">
        <f t="shared" si="1080"/>
        <v>44.101265822784804</v>
      </c>
      <c r="DC331" s="482">
        <f t="shared" si="1080"/>
        <v>65.555555555555557</v>
      </c>
      <c r="DD331" s="482">
        <f t="shared" si="1080"/>
        <v>101.30564045568219</v>
      </c>
      <c r="DE331" s="482">
        <f t="shared" si="1080"/>
        <v>79.853205911767986</v>
      </c>
      <c r="DF331" s="482">
        <f t="shared" si="1080"/>
        <v>38.246405590248251</v>
      </c>
      <c r="DG331" s="482">
        <f t="shared" si="1080"/>
        <v>5.64140080504691</v>
      </c>
      <c r="DH331" s="1244">
        <f t="shared" si="1080"/>
        <v>23.201577993975295</v>
      </c>
      <c r="DI331" s="482">
        <f t="shared" si="1080"/>
        <v>39.111111111111114</v>
      </c>
      <c r="DJ331" s="482">
        <f t="shared" si="1080"/>
        <v>40.538461538461526</v>
      </c>
      <c r="DK331" s="1244">
        <f t="shared" si="1080"/>
        <v>39.773809523809518</v>
      </c>
      <c r="DL331" s="482">
        <f t="shared" si="1080"/>
        <v>63.714285714285715</v>
      </c>
      <c r="DM331" s="482">
        <f t="shared" si="1080"/>
        <v>67.148148148148167</v>
      </c>
      <c r="DN331" s="1244">
        <f t="shared" si="1080"/>
        <v>65.209677419354847</v>
      </c>
      <c r="DO331" s="482">
        <f t="shared" si="1080"/>
        <v>-101.5</v>
      </c>
      <c r="DP331" s="482">
        <f t="shared" si="1080"/>
        <v>-45.411764705882362</v>
      </c>
      <c r="DQ331" s="1244">
        <f t="shared" si="1080"/>
        <v>-61.211267605633807</v>
      </c>
      <c r="DR331" s="482">
        <f t="shared" si="1080"/>
        <v>-53.372549019607824</v>
      </c>
      <c r="DS331" s="482">
        <f t="shared" si="1080"/>
        <v>-55.936170212765973</v>
      </c>
      <c r="DT331" s="1244">
        <f t="shared" si="1080"/>
        <v>-54.602040816326529</v>
      </c>
      <c r="DU331" s="482">
        <f t="shared" si="1080"/>
        <v>-168.64705882352939</v>
      </c>
      <c r="DV331" s="482">
        <f t="shared" si="1080"/>
        <v>267.29999999999978</v>
      </c>
      <c r="DW331" s="1244">
        <f t="shared" si="1080"/>
        <v>-791.42857142857224</v>
      </c>
      <c r="DX331" s="482">
        <f t="shared" si="1080"/>
        <v>-121.33333333333331</v>
      </c>
      <c r="DY331" s="482">
        <f t="shared" si="1080"/>
        <v>103.26182041589576</v>
      </c>
      <c r="DZ331" s="1244">
        <f t="shared" si="1080"/>
        <v>723.44567692264252</v>
      </c>
      <c r="EA331" s="482">
        <f t="shared" si="1080"/>
        <v>90.560162681386458</v>
      </c>
      <c r="EB331" s="482">
        <f t="shared" si="1080"/>
        <v>93.314672007865695</v>
      </c>
      <c r="EC331" s="1244">
        <f t="shared" si="1080"/>
        <v>91.93741734462607</v>
      </c>
      <c r="ED331" s="482">
        <f t="shared" si="1080"/>
        <v>77.253305199228464</v>
      </c>
      <c r="EE331" s="482">
        <f t="shared" si="1080"/>
        <v>79.642968005068596</v>
      </c>
      <c r="EF331" s="1244">
        <f t="shared" si="1080"/>
        <v>78.448136602148537</v>
      </c>
      <c r="EG331" s="482">
        <f t="shared" ref="EG331:EL331" si="1081">+(EG72)/(EG74)</f>
        <v>90.12895154617793</v>
      </c>
      <c r="EH331" s="482">
        <f t="shared" si="1081"/>
        <v>92.916894439803471</v>
      </c>
      <c r="EI331" s="1244">
        <f t="shared" si="1081"/>
        <v>91.522922992990701</v>
      </c>
      <c r="EJ331" s="482">
        <f t="shared" si="1081"/>
        <v>100.62216741800604</v>
      </c>
      <c r="EK331" s="482">
        <f t="shared" si="1081"/>
        <v>103.73469509953017</v>
      </c>
      <c r="EL331" s="1244">
        <f t="shared" si="1081"/>
        <v>102.1784312587681</v>
      </c>
      <c r="EM331" s="482">
        <f t="shared" ref="EM331:ER331" si="1082">+(EM72)/(EM74)</f>
        <v>143.17582566522873</v>
      </c>
      <c r="EN331" s="482">
        <f t="shared" si="1082"/>
        <v>147.60465811977937</v>
      </c>
      <c r="EO331" s="1244">
        <f t="shared" si="1082"/>
        <v>145.39024189250406</v>
      </c>
      <c r="EP331" s="482">
        <f t="shared" si="1082"/>
        <v>386.91776240797549</v>
      </c>
      <c r="EQ331" s="482">
        <f t="shared" si="1082"/>
        <v>398.88622101775002</v>
      </c>
      <c r="ER331" s="1244">
        <f t="shared" si="1082"/>
        <v>392.90199171286275</v>
      </c>
      <c r="ES331" s="482">
        <f t="shared" ref="ES331:EX331" si="1083">+(ES72)/(ES74)</f>
        <v>-626.47113890737569</v>
      </c>
      <c r="ET331" s="482">
        <f t="shared" si="1083"/>
        <v>-645.84965968028678</v>
      </c>
      <c r="EU331" s="1244">
        <f t="shared" si="1083"/>
        <v>-636.16039929383123</v>
      </c>
      <c r="EV331" s="482">
        <f t="shared" si="1083"/>
        <v>-179.23625391903118</v>
      </c>
      <c r="EW331" s="482">
        <f t="shared" si="1083"/>
        <v>-184.78053721336866</v>
      </c>
      <c r="EX331" s="1244">
        <f t="shared" si="1083"/>
        <v>-182.00839556619994</v>
      </c>
      <c r="EY331" s="482">
        <f t="shared" ref="EY331:FA331" si="1084">+(EY72)/(EY74)</f>
        <v>-106.54406288137895</v>
      </c>
      <c r="EZ331" s="482">
        <f t="shared" si="1084"/>
        <v>-109.83977150632552</v>
      </c>
      <c r="FA331" s="1244">
        <f t="shared" si="1084"/>
        <v>-108.19191719385223</v>
      </c>
      <c r="FE331"/>
      <c r="FF331"/>
      <c r="FG331"/>
      <c r="FH331"/>
      <c r="FI331"/>
      <c r="FJ331"/>
      <c r="FK331" s="35"/>
    </row>
    <row r="332" spans="1:167" s="236" customFormat="1" ht="13.35" customHeight="1">
      <c r="B332" s="242" t="s">
        <v>145</v>
      </c>
      <c r="C332" s="242"/>
      <c r="D332" s="243"/>
      <c r="E332" s="482"/>
      <c r="F332" s="482"/>
      <c r="G332" s="482"/>
      <c r="H332" s="482"/>
      <c r="I332" s="482"/>
      <c r="J332" s="482"/>
      <c r="K332" s="482"/>
      <c r="L332" s="482"/>
      <c r="M332" s="482"/>
      <c r="N332" s="482"/>
      <c r="O332" s="482"/>
      <c r="P332" s="482"/>
      <c r="Q332" s="482"/>
      <c r="R332" s="482"/>
      <c r="S332" s="482"/>
      <c r="T332" s="482"/>
      <c r="U332" s="482"/>
      <c r="V332" s="482"/>
      <c r="W332" s="482"/>
      <c r="X332" s="482"/>
      <c r="Y332" s="482"/>
      <c r="Z332" s="482"/>
      <c r="AA332" s="482"/>
      <c r="AB332" s="482"/>
      <c r="AC332" s="482"/>
      <c r="AD332" s="482"/>
      <c r="AE332" s="482"/>
      <c r="AF332" s="482"/>
      <c r="AG332" s="482"/>
      <c r="AH332" s="482"/>
      <c r="AI332" s="482"/>
      <c r="AJ332" s="482"/>
      <c r="AK332" s="482"/>
      <c r="AL332" s="482"/>
      <c r="AM332" s="482"/>
      <c r="AN332" s="482"/>
      <c r="AO332" s="482"/>
      <c r="AP332" s="482"/>
      <c r="AQ332" s="482"/>
      <c r="AR332" s="482"/>
      <c r="AS332" s="482"/>
      <c r="AT332" s="482"/>
      <c r="AU332" s="482"/>
      <c r="AV332" s="482"/>
      <c r="AW332" s="482"/>
      <c r="AX332" s="482"/>
      <c r="AY332" s="482"/>
      <c r="AZ332" s="482"/>
      <c r="BA332" s="482"/>
      <c r="BB332" s="482"/>
      <c r="BC332" s="482"/>
      <c r="BD332" s="482"/>
      <c r="BE332" s="482"/>
      <c r="BF332" s="482"/>
      <c r="BG332" s="482"/>
      <c r="BH332" s="482"/>
      <c r="BI332" s="482"/>
      <c r="BJ332" s="482"/>
      <c r="BK332" s="482"/>
      <c r="BL332" s="482"/>
      <c r="BM332" s="482"/>
      <c r="BN332" s="482"/>
      <c r="BO332" s="482"/>
      <c r="BP332" s="482"/>
      <c r="BQ332" s="482"/>
      <c r="BR332" s="482"/>
      <c r="BS332" s="482"/>
      <c r="BT332" s="482"/>
      <c r="BU332" s="482"/>
      <c r="BV332" s="482"/>
      <c r="BW332" s="482"/>
      <c r="BX332" s="482"/>
      <c r="BY332" s="482"/>
      <c r="BZ332" s="482"/>
      <c r="CA332" s="482"/>
      <c r="CB332" s="482"/>
      <c r="CC332" s="482"/>
      <c r="CD332" s="482"/>
      <c r="CE332" s="482"/>
      <c r="CF332" s="482"/>
      <c r="CG332" s="482"/>
      <c r="CH332" s="482"/>
      <c r="CI332" s="482"/>
      <c r="CJ332" s="482"/>
      <c r="CK332" s="482"/>
      <c r="CL332" s="482"/>
      <c r="CM332" s="482"/>
      <c r="CN332" s="482"/>
      <c r="CO332" s="482"/>
      <c r="CP332" s="482"/>
      <c r="CQ332" s="482"/>
      <c r="CR332" s="482"/>
      <c r="CS332" s="482"/>
      <c r="CT332" s="482"/>
      <c r="CU332" s="482"/>
      <c r="CV332" s="482"/>
      <c r="CW332" s="482"/>
      <c r="CX332" s="482"/>
      <c r="CY332" s="482"/>
      <c r="CZ332" s="482"/>
      <c r="DA332" s="482"/>
      <c r="DB332" s="616">
        <f>DB329/DB55</f>
        <v>0.22530057501306847</v>
      </c>
      <c r="DC332" s="616"/>
      <c r="DD332" s="616"/>
      <c r="DE332" s="616">
        <f>DE329/DE55</f>
        <v>0.25892440789895416</v>
      </c>
      <c r="DF332" s="616"/>
      <c r="DG332" s="616"/>
      <c r="DH332" s="1287">
        <f>DH329/DH55</f>
        <v>-0.32380800029886575</v>
      </c>
      <c r="DI332" s="616"/>
      <c r="DJ332" s="616"/>
      <c r="DK332" s="1287">
        <f>DK329/DK55</f>
        <v>-1.3753958587088917</v>
      </c>
      <c r="DL332" s="616"/>
      <c r="DM332" s="616"/>
      <c r="DN332" s="1287">
        <f>DN329/DN55</f>
        <v>-1.2292059501361825</v>
      </c>
      <c r="DO332" s="482"/>
      <c r="DP332" s="482"/>
      <c r="DQ332" s="1287"/>
      <c r="DR332" s="482"/>
      <c r="DS332" s="482"/>
      <c r="DT332" s="1287"/>
      <c r="DU332" s="482"/>
      <c r="DV332" s="482"/>
      <c r="DW332" s="1287"/>
      <c r="DX332" s="482"/>
      <c r="DY332" s="482"/>
      <c r="DZ332" s="1287"/>
      <c r="EA332" s="482"/>
      <c r="EB332" s="482"/>
      <c r="EC332" s="1287"/>
      <c r="ED332" s="482"/>
      <c r="EE332" s="482"/>
      <c r="EF332" s="1287"/>
      <c r="EG332" s="482"/>
      <c r="EH332" s="482"/>
      <c r="EI332" s="1287"/>
      <c r="EJ332" s="482"/>
      <c r="EK332" s="482"/>
      <c r="EL332" s="1287"/>
      <c r="EM332" s="482"/>
      <c r="EN332" s="482"/>
      <c r="EO332" s="1287"/>
      <c r="EP332" s="482"/>
      <c r="EQ332" s="482"/>
      <c r="ER332" s="1287"/>
      <c r="ES332" s="482"/>
      <c r="ET332" s="482"/>
      <c r="EU332" s="1287"/>
      <c r="EV332" s="482"/>
      <c r="EW332" s="482"/>
      <c r="EX332" s="1287"/>
      <c r="EY332" s="482"/>
      <c r="EZ332" s="482"/>
      <c r="FA332" s="1287"/>
      <c r="FE332"/>
      <c r="FF332"/>
      <c r="FG332"/>
      <c r="FH332"/>
      <c r="FI332"/>
      <c r="FJ332"/>
      <c r="FK332" s="35"/>
    </row>
    <row r="333" spans="1:167" s="236" customFormat="1" ht="14.1" customHeight="1" outlineLevel="1">
      <c r="B333" s="242" t="s">
        <v>146</v>
      </c>
      <c r="C333" s="242" t="s">
        <v>460</v>
      </c>
      <c r="D333" s="243"/>
      <c r="E333" s="293"/>
      <c r="F333" s="293"/>
      <c r="G333" s="293"/>
      <c r="H333" s="293"/>
      <c r="I333" s="293"/>
      <c r="J333" s="293"/>
      <c r="K333" s="293"/>
      <c r="L333" s="293"/>
      <c r="M333" s="293"/>
      <c r="N333" s="293"/>
      <c r="O333" s="293"/>
      <c r="P333" s="293"/>
      <c r="Q333" s="293"/>
      <c r="R333" s="293"/>
      <c r="S333" s="293"/>
      <c r="T333" s="293"/>
      <c r="U333" s="293"/>
      <c r="V333" s="293"/>
      <c r="W333" s="293"/>
      <c r="X333" s="293"/>
      <c r="Y333" s="293"/>
      <c r="Z333" s="293"/>
      <c r="AA333" s="293"/>
      <c r="AB333" s="293"/>
      <c r="AC333" s="293"/>
      <c r="AD333" s="293"/>
      <c r="AE333" s="293"/>
      <c r="AF333" s="293"/>
      <c r="AG333" s="293"/>
      <c r="AH333" s="293"/>
      <c r="AI333" s="293">
        <f>+AI231/(AI30*2)</f>
        <v>0.2105146537461593</v>
      </c>
      <c r="AJ333" s="293">
        <f>+AJ231/(AJ30*2)</f>
        <v>0.20247457724771695</v>
      </c>
      <c r="AK333" s="293">
        <f>+AK231/(AK30)</f>
        <v>0.20502909817534748</v>
      </c>
      <c r="AL333" s="293">
        <f>+AL231/(AL30*2)</f>
        <v>0.17496171516079634</v>
      </c>
      <c r="AM333" s="293">
        <f>+AM231/(AM30*2)</f>
        <v>0.16503766768420752</v>
      </c>
      <c r="AN333" s="293">
        <f>+AN231/(AN30)</f>
        <v>0.1630716015219647</v>
      </c>
      <c r="AO333" s="293">
        <f>+AO231/(AO30*2)</f>
        <v>0.163532309910776</v>
      </c>
      <c r="AP333" s="293">
        <f>+AP231/(AP30*2)</f>
        <v>0.20040905089835861</v>
      </c>
      <c r="AQ333" s="293">
        <f>+AQ231/(AQ30)</f>
        <v>0.21528791734456915</v>
      </c>
      <c r="AR333" s="293">
        <f>+AR231/(AR30*2)</f>
        <v>0.2208898560118524</v>
      </c>
      <c r="AS333" s="293">
        <f>+AS231/(AS30*2)</f>
        <v>0.18812371134020622</v>
      </c>
      <c r="AT333" s="293">
        <f>+AT231/(AT30)</f>
        <v>0.19900106872559928</v>
      </c>
      <c r="AU333" s="293">
        <f>+AU231/(AU30*2)</f>
        <v>0.16772055888223555</v>
      </c>
      <c r="AV333" s="293">
        <f>+AV231/(AV30*2)</f>
        <v>0.13176931656236449</v>
      </c>
      <c r="AW333" s="293">
        <f>+AW231/(AW30)</f>
        <v>0.13376998136514104</v>
      </c>
      <c r="AX333" s="293">
        <f>+AX231/(AX30*2)</f>
        <v>0.16465051736100636</v>
      </c>
      <c r="AY333" s="293">
        <f>+AY231/(AY30*2)</f>
        <v>0.20414204983303369</v>
      </c>
      <c r="AZ333" s="293">
        <f>+AZ231/(AZ30)</f>
        <v>0.22051499049653855</v>
      </c>
      <c r="BA333" s="293">
        <f>+BA231/(BA30*2)</f>
        <v>0.20141365010464307</v>
      </c>
      <c r="BB333" s="293">
        <f>+BB231/(BB30*2)</f>
        <v>0.18182168122289422</v>
      </c>
      <c r="BC333" s="293">
        <f>+BC231/(BC30)</f>
        <v>0.19313437311174819</v>
      </c>
      <c r="BD333" s="293">
        <f>+BD231/(BD30*2)</f>
        <v>0.21994004246991716</v>
      </c>
      <c r="BE333" s="293">
        <f>+BE231/(BE30*2)</f>
        <v>0.25450351171059971</v>
      </c>
      <c r="BF333" s="293">
        <f>+BF231/(BF30)</f>
        <v>0.27042829653280043</v>
      </c>
      <c r="BG333" s="293">
        <f>+BG231/(BG30*2)</f>
        <v>0.20967092924126171</v>
      </c>
      <c r="BH333" s="293">
        <f>+BH231/(BH30*2)</f>
        <v>0.28187394626394524</v>
      </c>
      <c r="BI333" s="293">
        <f>+BI231/(BI30)</f>
        <v>0.27473864550190552</v>
      </c>
      <c r="BJ333" s="293">
        <f>+BJ231/(BJ30*2)</f>
        <v>0.22125281110983439</v>
      </c>
      <c r="BK333" s="293">
        <f>+BK231/(BK30*2)</f>
        <v>0.26008443691813055</v>
      </c>
      <c r="BL333" s="293">
        <f>+BL231/(BL30)</f>
        <v>0.26664426496413729</v>
      </c>
      <c r="BM333" s="293">
        <f>+BM231/(BM30*2)</f>
        <v>0.22680902332114397</v>
      </c>
      <c r="BN333" s="293">
        <f>+BN231/(BN30*2)</f>
        <v>0.24857449100623527</v>
      </c>
      <c r="BO333" s="293">
        <f>+BO231/(BO30)</f>
        <v>0.26183926227770044</v>
      </c>
      <c r="BP333" s="293">
        <f>+BP231/(BP30*2)</f>
        <v>0.24527620483216761</v>
      </c>
      <c r="BQ333" s="293">
        <f>+BQ231/(BQ30*2)</f>
        <v>0.22766994911879504</v>
      </c>
      <c r="BR333" s="293">
        <f>+BR231/(BR30)</f>
        <v>0.24186972095697165</v>
      </c>
      <c r="BS333" s="293">
        <f>+BS231/(BS30*2)</f>
        <v>0.21268842604923524</v>
      </c>
      <c r="BT333" s="293">
        <f>+BT231/(BT30*2)</f>
        <v>0.26373564035812669</v>
      </c>
      <c r="BU333" s="293">
        <f>+BU231/(BU30)</f>
        <v>0.26738315352424508</v>
      </c>
      <c r="BV333" s="293">
        <f>+BV231/(BV30*2)</f>
        <v>0.27702232955753492</v>
      </c>
      <c r="BW333" s="293">
        <f>+BW231/(BW30*2)</f>
        <v>0.29657283022020625</v>
      </c>
      <c r="BX333" s="293">
        <f>+BX231/(BX30)</f>
        <v>0.3000715313398688</v>
      </c>
      <c r="BY333" s="293">
        <f>+BY231/(BY30*2)</f>
        <v>0.30861857085010075</v>
      </c>
      <c r="BZ333" s="293">
        <f>+BZ231/(BZ30*2)</f>
        <v>0.26601676056706502</v>
      </c>
      <c r="CA333" s="293">
        <f>+CA231/(CA30)</f>
        <v>0.26046379464445973</v>
      </c>
      <c r="CB333" s="293">
        <f>+CB231/(CB30*2)</f>
        <v>0.30218774542969806</v>
      </c>
      <c r="CC333" s="293">
        <f>+CC231/(CC30*2)</f>
        <v>0.28247917289019142</v>
      </c>
      <c r="CD333" s="293">
        <f>+CD231/(CD30)</f>
        <v>0.2989779844112837</v>
      </c>
      <c r="CE333" s="293">
        <f>+CE231/(CE30*2)</f>
        <v>0.33927843885666142</v>
      </c>
      <c r="CF333" s="293">
        <f>+CF231/(CF30*2)</f>
        <v>0.28431119320524534</v>
      </c>
      <c r="CG333" s="293">
        <f>+CG231/(CG30)</f>
        <v>0.30481992908219996</v>
      </c>
      <c r="CH333" s="293">
        <f>+CH231/(CH30*2)</f>
        <v>0.25319896723843804</v>
      </c>
      <c r="CI333" s="293">
        <f>+CI231/(CI30*2)</f>
        <v>0.24988832659090762</v>
      </c>
      <c r="CJ333" s="293">
        <f>+CJ231/(CJ30)</f>
        <v>0.25087504519329074</v>
      </c>
      <c r="CK333" s="293">
        <f>+CK231/(CK30*2)</f>
        <v>0.26427186807073494</v>
      </c>
      <c r="CL333" s="293">
        <f>+CL231/(CL30*2)</f>
        <v>0.29410777744210453</v>
      </c>
      <c r="CM333" s="293">
        <f>+CM231/(CM30)</f>
        <v>0.28108198930319883</v>
      </c>
      <c r="CN333" s="293">
        <f>+CN231/(CN30*2)</f>
        <v>0.28227259236027924</v>
      </c>
      <c r="CO333" s="293">
        <f>+CO231/(CO30*2)</f>
        <v>0.25753514272799372</v>
      </c>
      <c r="CP333" s="293">
        <f>+CP231/(CP30)</f>
        <v>0.27811468604099643</v>
      </c>
      <c r="CQ333" s="293">
        <f>+CQ231/(CQ30*2)</f>
        <v>0.25929842091095323</v>
      </c>
      <c r="CR333" s="293">
        <f>+CR231/(CR30*2)</f>
        <v>0.25626596890872716</v>
      </c>
      <c r="CS333" s="293">
        <f>+CS231/(CS30)</f>
        <v>0.26981004268448811</v>
      </c>
      <c r="CT333" s="293">
        <f>+CT231/(CT30*2)</f>
        <v>0.24344973444099266</v>
      </c>
      <c r="CU333" s="293">
        <f>+CU231/(CU30*2)</f>
        <v>0.24695972233459004</v>
      </c>
      <c r="CV333" s="293">
        <f>+CV231/(CV30)</f>
        <v>0.24973868569961649</v>
      </c>
      <c r="CW333" s="293">
        <f>+CW231/(CW30*2)</f>
        <v>0.24453217821547829</v>
      </c>
      <c r="CX333" s="293">
        <f>+CX231/(CX30*2)</f>
        <v>0.22656027079460159</v>
      </c>
      <c r="CY333" s="293">
        <f>+CY231/(CY30)</f>
        <v>0.23299449135142772</v>
      </c>
      <c r="CZ333" s="293">
        <f>+CZ231/(CZ30*2)</f>
        <v>0.22588762517468008</v>
      </c>
      <c r="DA333" s="293">
        <f>+DA231/(DA30*2)</f>
        <v>0.22480939344913498</v>
      </c>
      <c r="DB333" s="293">
        <f>+DB231/(DB30)</f>
        <v>0.23574353699249959</v>
      </c>
      <c r="DC333" s="293">
        <f>+DC231/(DC30*2)</f>
        <v>0.20948679854602123</v>
      </c>
      <c r="DD333" s="293">
        <f>+DD231/(DD30*2)</f>
        <v>0.22130081410333466</v>
      </c>
      <c r="DE333" s="293">
        <f>+DE231/(DE30)</f>
        <v>0.22457821543480996</v>
      </c>
      <c r="DF333" s="293">
        <f>+DF231/(DF30*2)</f>
        <v>0.2105295405746084</v>
      </c>
      <c r="DG333" s="293">
        <f>+DG231/(DG30*2)</f>
        <v>0.20576152861289021</v>
      </c>
      <c r="DH333" s="1248">
        <f>+DH231/(DH30)</f>
        <v>0.17771869699628565</v>
      </c>
      <c r="DI333" s="293">
        <f>+DI231/(DI30*2)</f>
        <v>0.16321313240043059</v>
      </c>
      <c r="DJ333" s="293">
        <f>+DJ231/(DJ30*2)</f>
        <v>0.19638123011664901</v>
      </c>
      <c r="DK333" s="1248">
        <f>+DK231/(DK30)</f>
        <v>0.19784989316239318</v>
      </c>
      <c r="DL333" s="293">
        <f>+DL231/(DL30*2)</f>
        <v>0.19355428292920676</v>
      </c>
      <c r="DM333" s="293">
        <f>+DM231/(DM30*2)</f>
        <v>0.21054857419043019</v>
      </c>
      <c r="DN333" s="1248">
        <f>+DN231/(DN30)</f>
        <v>0.21142995813868834</v>
      </c>
      <c r="DO333" s="293">
        <f>+DO231/(DO30*2)</f>
        <v>0.22087241496214258</v>
      </c>
      <c r="DP333" s="293">
        <f>+DP231/(DP30*2)</f>
        <v>0.2080955098934551</v>
      </c>
      <c r="DQ333" s="1248">
        <f>+DQ231/(DQ30)</f>
        <v>0.22596973296833839</v>
      </c>
      <c r="DR333" s="293">
        <f>+DR231/(DR30*2)</f>
        <v>0.20291306326809286</v>
      </c>
      <c r="DS333" s="293">
        <f>+DS231/(DS30*2)</f>
        <v>0.21576818221792271</v>
      </c>
      <c r="DT333" s="1248">
        <f>+DT231/(DT30)</f>
        <v>0.21949364823760956</v>
      </c>
      <c r="DU333" s="293">
        <f>+DU231/(DU30*2)</f>
        <v>0.21401326063026394</v>
      </c>
      <c r="DV333" s="293">
        <f>+DV231/(DV30*2)</f>
        <v>0.25012593813235889</v>
      </c>
      <c r="DW333" s="1248">
        <f>+DW231/(DW30)</f>
        <v>0.25005334812854763</v>
      </c>
      <c r="DX333" s="293">
        <f>+DX231/(DX30*2)</f>
        <v>0.23547806716929404</v>
      </c>
      <c r="DY333" s="293">
        <f>+DY231/(DY30*2)</f>
        <v>0.22011394447236082</v>
      </c>
      <c r="DZ333" s="1248">
        <f>+DZ231/(DZ30)</f>
        <v>0.23547806716929406</v>
      </c>
      <c r="EA333" s="293">
        <f>+EA231/(EA30*2)</f>
        <v>0.22000000000000003</v>
      </c>
      <c r="EB333" s="293">
        <f>+EB231/(EB30*2)</f>
        <v>0.21671225842163175</v>
      </c>
      <c r="EC333" s="1248">
        <f>+EC231/(EC30)</f>
        <v>0.21999999999999997</v>
      </c>
      <c r="ED333" s="293">
        <f>+ED231/(ED30*2)</f>
        <v>0.215</v>
      </c>
      <c r="EE333" s="293">
        <f>+EE231/(EE30*2)</f>
        <v>0.21177449550082728</v>
      </c>
      <c r="EF333" s="1248">
        <f>+EF231/(EF30)</f>
        <v>0.215</v>
      </c>
      <c r="EG333" s="293">
        <f>+EG231/(EG30*2)</f>
        <v>0.21</v>
      </c>
      <c r="EH333" s="293">
        <f>+EH231/(EH30*2)</f>
        <v>0.20684950723336618</v>
      </c>
      <c r="EI333" s="1248">
        <f>+EI231/(EI30)</f>
        <v>0.21</v>
      </c>
      <c r="EJ333" s="293">
        <f>+EJ231/(EJ30*2)</f>
        <v>0.20499999999999999</v>
      </c>
      <c r="EK333" s="293">
        <f>+EK231/(EK30*2)</f>
        <v>0.20192451896590505</v>
      </c>
      <c r="EL333" s="1248">
        <f>+EL231/(EL30)</f>
        <v>0.20499999999999999</v>
      </c>
      <c r="EM333" s="293">
        <f>+EM231/(EM30*2)</f>
        <v>0.19999999999999998</v>
      </c>
      <c r="EN333" s="293">
        <f>+EN231/(EN30*2)</f>
        <v>0.19699953069844395</v>
      </c>
      <c r="EO333" s="1248">
        <f>+EO231/(EO30)</f>
        <v>0.19999999999999998</v>
      </c>
      <c r="EP333" s="293">
        <f>+EP231/(EP30*2)</f>
        <v>0.19499999999999998</v>
      </c>
      <c r="EQ333" s="293">
        <f>+EQ231/(EQ30*2)</f>
        <v>0.19207454243098285</v>
      </c>
      <c r="ER333" s="1248">
        <f>+ER231/(ER30)</f>
        <v>0.19499999999999998</v>
      </c>
      <c r="ES333" s="293">
        <f>+ES231/(ES30*2)</f>
        <v>0.18999999999999997</v>
      </c>
      <c r="ET333" s="293">
        <f>+ET231/(ET30*2)</f>
        <v>0.18714955416352175</v>
      </c>
      <c r="EU333" s="1248">
        <f>+EU231/(EU30)</f>
        <v>0.18999999999999997</v>
      </c>
      <c r="EV333" s="293">
        <f>+EV231/(EV30*2)</f>
        <v>0.18499999999999997</v>
      </c>
      <c r="EW333" s="293">
        <f>+EW231/(EW30*2)</f>
        <v>0.18222456589606065</v>
      </c>
      <c r="EX333" s="1248">
        <f>+EX231/(EX30)</f>
        <v>0.18499999999999997</v>
      </c>
      <c r="EY333" s="293">
        <f>+EY231/(EY30*2)</f>
        <v>0.17999999999999997</v>
      </c>
      <c r="EZ333" s="293">
        <f>+EZ231/(EZ30*2)</f>
        <v>0.17729957762859955</v>
      </c>
      <c r="FA333" s="1248">
        <f>+FA231/(FA30)</f>
        <v>0.17999999999999997</v>
      </c>
      <c r="FE333"/>
      <c r="FF333"/>
      <c r="FG333"/>
      <c r="FH333"/>
      <c r="FI333"/>
      <c r="FJ333"/>
      <c r="FK333" s="35"/>
    </row>
    <row r="334" spans="1:167" s="236" customFormat="1" ht="14.1" customHeight="1" outlineLevel="1">
      <c r="B334" s="242" t="s">
        <v>147</v>
      </c>
      <c r="C334" s="242" t="s">
        <v>460</v>
      </c>
      <c r="D334" s="243"/>
      <c r="E334" s="293"/>
      <c r="F334" s="293"/>
      <c r="G334" s="293"/>
      <c r="H334" s="293"/>
      <c r="I334" s="293"/>
      <c r="J334" s="293"/>
      <c r="K334" s="293"/>
      <c r="L334" s="293"/>
      <c r="M334" s="293"/>
      <c r="N334" s="293"/>
      <c r="O334" s="293"/>
      <c r="P334" s="293"/>
      <c r="Q334" s="293"/>
      <c r="R334" s="293"/>
      <c r="S334" s="293"/>
      <c r="T334" s="293"/>
      <c r="U334" s="293"/>
      <c r="V334" s="293"/>
      <c r="W334" s="293"/>
      <c r="X334" s="293"/>
      <c r="Y334" s="293"/>
      <c r="Z334" s="293"/>
      <c r="AA334" s="293"/>
      <c r="AB334" s="293"/>
      <c r="AC334" s="293"/>
      <c r="AD334" s="293"/>
      <c r="AE334" s="293"/>
      <c r="AF334" s="293"/>
      <c r="AG334" s="293"/>
      <c r="AH334" s="293"/>
      <c r="AI334" s="293">
        <f>+AI236/(AI30*2)</f>
        <v>0.17135428976601277</v>
      </c>
      <c r="AJ334" s="293">
        <f>+AJ236/(AJ30*2)</f>
        <v>0.11439518336070058</v>
      </c>
      <c r="AK334" s="293">
        <f>+AK236/(AK30)</f>
        <v>0.11583845043100303</v>
      </c>
      <c r="AL334" s="293">
        <f>+AL236/(AL30*2)</f>
        <v>8.1109166484357925E-2</v>
      </c>
      <c r="AM334" s="293">
        <f>+AM236/(AM30*2)</f>
        <v>8.1216568179908674E-2</v>
      </c>
      <c r="AN334" s="293">
        <f>+AN236/(AN30)</f>
        <v>8.024904877205119E-2</v>
      </c>
      <c r="AO334" s="293">
        <f>+AO236/(AO30*2)</f>
        <v>0.10374921140385136</v>
      </c>
      <c r="AP334" s="293">
        <f>+AP236/(AP30*2)</f>
        <v>0.10470926319059702</v>
      </c>
      <c r="AQ334" s="293">
        <f>+AQ236/(AQ30)</f>
        <v>0.11248313934893553</v>
      </c>
      <c r="AR334" s="293">
        <f>+AR236/(AR30*2)</f>
        <v>0.14589795823880736</v>
      </c>
      <c r="AS334" s="293">
        <f>+AS236/(AS30*2)</f>
        <v>0.14049484536082477</v>
      </c>
      <c r="AT334" s="293">
        <f>+AT236/(AT30)</f>
        <v>0.14861829047525574</v>
      </c>
      <c r="AU334" s="293">
        <f>+AU236/(AU30*2)</f>
        <v>0.11845109780439123</v>
      </c>
      <c r="AV334" s="293">
        <f>+AV236/(AV30*2)</f>
        <v>8.7993370097279894E-2</v>
      </c>
      <c r="AW334" s="293">
        <f>+AW236/(AW30)</f>
        <v>8.9329380960992605E-2</v>
      </c>
      <c r="AX334" s="293">
        <f>+AX236/(AX30*2)</f>
        <v>0.10603638118796947</v>
      </c>
      <c r="AY334" s="293">
        <f>+AY236/(AY30*2)</f>
        <v>9.034163883894171E-2</v>
      </c>
      <c r="AZ334" s="293">
        <f>+AZ236/(AZ30)</f>
        <v>9.7587369414115069E-2</v>
      </c>
      <c r="BA334" s="293">
        <f>+BA236/(BA30*2)</f>
        <v>8.4538020308503214E-2</v>
      </c>
      <c r="BB334" s="293">
        <f>+BB236/(BB30*2)</f>
        <v>0.11577119492228601</v>
      </c>
      <c r="BC334" s="293">
        <f>+BC236/(BC30)</f>
        <v>0.12297431750344145</v>
      </c>
      <c r="BD334" s="293">
        <f>+BD236/(BD30*2)</f>
        <v>0.15323312653537077</v>
      </c>
      <c r="BE334" s="293">
        <f>+BE236/(BE30*2)</f>
        <v>0.13363601633900493</v>
      </c>
      <c r="BF334" s="293">
        <f>+BF236/(BF30)</f>
        <v>0.14199788447351883</v>
      </c>
      <c r="BG334" s="293">
        <f>+BG236/(BG30*2)</f>
        <v>0.1386086956521739</v>
      </c>
      <c r="BH334" s="293">
        <f>+BH236/(BH30*2)</f>
        <v>0.16150590092190698</v>
      </c>
      <c r="BI334" s="293">
        <f>+BI236/(BI30)</f>
        <v>0.15741757281213944</v>
      </c>
      <c r="BJ334" s="293">
        <f>+BJ236/(BJ30*2)</f>
        <v>0.20102513173230027</v>
      </c>
      <c r="BK334" s="293">
        <f>+BK236/(BK30*2)</f>
        <v>0.17494908032432518</v>
      </c>
      <c r="BL334" s="293">
        <f>+BL236/(BL30)</f>
        <v>0.17936163148399281</v>
      </c>
      <c r="BM334" s="293">
        <f>+BM236/(BM30*2)</f>
        <v>0.12335020463516816</v>
      </c>
      <c r="BN334" s="293">
        <f>+BN236/(BN30*2)</f>
        <v>0.13471059991076967</v>
      </c>
      <c r="BO334" s="293">
        <f>+BO236/(BO30)</f>
        <v>0.14189921081136844</v>
      </c>
      <c r="BP334" s="293">
        <f>+BP236/(BP30*2)</f>
        <v>0.13379238035912921</v>
      </c>
      <c r="BQ334" s="293">
        <f>+BQ236/(BQ30*2)</f>
        <v>0.15989012351632786</v>
      </c>
      <c r="BR334" s="293">
        <f>+BR236/(BR30)</f>
        <v>0.16986246849157563</v>
      </c>
      <c r="BS334" s="293">
        <f>+BS236/(BS30*2)</f>
        <v>0.16278287341408035</v>
      </c>
      <c r="BT334" s="293">
        <f>+BT236/(BT30*2)</f>
        <v>0.16938318091439697</v>
      </c>
      <c r="BU334" s="293">
        <f>+BU236/(BU30)</f>
        <v>0.17172578194346277</v>
      </c>
      <c r="BV334" s="293">
        <f>+BV236/(BV30*2)</f>
        <v>0.17438894760094661</v>
      </c>
      <c r="BW334" s="293">
        <f>+BW236/(BW30*2)</f>
        <v>0.16974381009608139</v>
      </c>
      <c r="BX334" s="293">
        <f>+BX236/(BX30)</f>
        <v>0.17174629581939591</v>
      </c>
      <c r="BY334" s="293">
        <f>+BY236/(BY30*2)</f>
        <v>0.141650023285782</v>
      </c>
      <c r="BZ334" s="293">
        <f>+BZ236/(BZ30*2)</f>
        <v>0.16266611073508069</v>
      </c>
      <c r="CA334" s="293">
        <f>+CA236/(CA30)</f>
        <v>0.15927053758491852</v>
      </c>
      <c r="CB334" s="293">
        <f>+CB236/(CB30*2)</f>
        <v>0.14673845322148782</v>
      </c>
      <c r="CC334" s="293">
        <f>+CC236/(CC30*2)</f>
        <v>0.13998197828063133</v>
      </c>
      <c r="CD334" s="293">
        <f>+CD236/(CD30)</f>
        <v>0.14815793069642078</v>
      </c>
      <c r="CE334" s="293">
        <f>+CE236/(CE30*2)</f>
        <v>0.14779812080979535</v>
      </c>
      <c r="CF334" s="293">
        <f>+CF236/(CF30*2)</f>
        <v>0.1266296634579222</v>
      </c>
      <c r="CG334" s="293">
        <f>+CG236/(CG30)</f>
        <v>0.1357640710511237</v>
      </c>
      <c r="CH334" s="293">
        <f>+CH236/(CH30*2)</f>
        <v>0.12324606221897405</v>
      </c>
      <c r="CI334" s="293">
        <f>+CI236/(CI30*2)</f>
        <v>0.13387200310445441</v>
      </c>
      <c r="CJ334" s="293">
        <f>+CJ236/(CJ30)</f>
        <v>0.13440061521532626</v>
      </c>
      <c r="CK334" s="293">
        <f>+CK236/(CK30*2)</f>
        <v>0.1528651727534284</v>
      </c>
      <c r="CL334" s="293">
        <f>+CL236/(CL30*2)</f>
        <v>0.18992548004970586</v>
      </c>
      <c r="CM334" s="293">
        <f>+CM236/(CM30)</f>
        <v>0.18151383896077058</v>
      </c>
      <c r="CN334" s="293">
        <f>+CN236/(CN30*2)</f>
        <v>0.19788316554592847</v>
      </c>
      <c r="CO334" s="293">
        <f>+CO236/(CO30*2)</f>
        <v>0.15409120743453431</v>
      </c>
      <c r="CP334" s="293">
        <f>+CP236/(CP30)</f>
        <v>0.16640458200532524</v>
      </c>
      <c r="CQ334" s="293">
        <f>+CQ236/(CQ30*2)</f>
        <v>0.15797163935996933</v>
      </c>
      <c r="CR334" s="293">
        <f>+CR236/(CR30*2)</f>
        <v>0.15362372376994515</v>
      </c>
      <c r="CS334" s="293">
        <f>+CS236/(CS30)</f>
        <v>0.16174298774130891</v>
      </c>
      <c r="CT334" s="293">
        <f>+CT236/(CT30*2)</f>
        <v>0.13712609806072509</v>
      </c>
      <c r="CU334" s="293">
        <f>+CU236/(CU30*2)</f>
        <v>0.14502406934662668</v>
      </c>
      <c r="CV334" s="293">
        <f>+CV236/(CV30)</f>
        <v>0.14665598151413109</v>
      </c>
      <c r="CW334" s="293">
        <f>+CW236/(CW30*2)</f>
        <v>0.13839021742241944</v>
      </c>
      <c r="CX334" s="293">
        <f>+CX236/(CX30*2)</f>
        <v>0.1383849512761374</v>
      </c>
      <c r="CY334" s="293">
        <f>+CY236/(CY30)</f>
        <v>0.14231502822711145</v>
      </c>
      <c r="CZ334" s="293">
        <f>+CZ236/(CZ30*2)</f>
        <v>0.15124377535942385</v>
      </c>
      <c r="DA334" s="293">
        <f>+DA236/(DA30*2)</f>
        <v>0.11882883632265613</v>
      </c>
      <c r="DB334" s="293">
        <f>+DB236/(DB30)</f>
        <v>0.12460836151734901</v>
      </c>
      <c r="DC334" s="293">
        <f>+DC236/(DC30*2)</f>
        <v>0.12584894466770846</v>
      </c>
      <c r="DD334" s="293">
        <f>+DD236/(DD30*2)</f>
        <v>0.13525861456300153</v>
      </c>
      <c r="DE334" s="293">
        <f>+DE236/(DE30)</f>
        <v>0.1372617556958457</v>
      </c>
      <c r="DF334" s="293">
        <f>+DF236/(DF30*2)</f>
        <v>0.13548273273571013</v>
      </c>
      <c r="DG334" s="293">
        <f>+DG236/(DG30*2)</f>
        <v>0.19553898133148548</v>
      </c>
      <c r="DH334" s="1248">
        <f>+DH236/(DH30)</f>
        <v>0.16888936045761671</v>
      </c>
      <c r="DI334" s="293">
        <f>+DI236/(DI30*2)</f>
        <v>0.13240043057050593</v>
      </c>
      <c r="DJ334" s="293">
        <f>+DJ236/(DJ30*2)</f>
        <v>0.14322640509013787</v>
      </c>
      <c r="DK334" s="1248">
        <f>+DK236/(DK30)</f>
        <v>0.14429754273504275</v>
      </c>
      <c r="DL334" s="293">
        <f>+DL236/(DL30*2)</f>
        <v>0.14499817229194589</v>
      </c>
      <c r="DM334" s="293">
        <f>+DM236/(DM30*2)</f>
        <v>0.16324311261478977</v>
      </c>
      <c r="DN334" s="1248">
        <f>+DN236/(DN30)</f>
        <v>0.16392646969605049</v>
      </c>
      <c r="DO334" s="293">
        <f>+DO236/(DO30*2)</f>
        <v>0.16143067013221832</v>
      </c>
      <c r="DP334" s="293">
        <f>+DP236/(DP30*2)</f>
        <v>0.14816400304414001</v>
      </c>
      <c r="DQ334" s="1248">
        <f>+DQ236/(DQ30)</f>
        <v>0.16089044987345694</v>
      </c>
      <c r="DR334" s="293">
        <f>+DR236/(DR30*2)</f>
        <v>0.14633591260810197</v>
      </c>
      <c r="DS334" s="293">
        <f>+DS236/(DS30*2)</f>
        <v>0.1721924193122856</v>
      </c>
      <c r="DT334" s="1248">
        <f>+DT236/(DT30)</f>
        <v>0.17516550366791911</v>
      </c>
      <c r="DU334" s="293">
        <f>+DU236/(DU30*2)</f>
        <v>0.1967334818114328</v>
      </c>
      <c r="DV334" s="293">
        <f>+DV236/(DV30*2)</f>
        <v>0.21319831627120672</v>
      </c>
      <c r="DW334" s="1248">
        <f>+DW236/(DW30)</f>
        <v>0.21313644317357347</v>
      </c>
      <c r="DX334" s="293">
        <f>+DX236/(DX30*2)</f>
        <v>0.24250342700479779</v>
      </c>
      <c r="DY334" s="293">
        <f>+DY236/(DY30*2)</f>
        <v>0.22668092407823073</v>
      </c>
      <c r="DZ334" s="1248">
        <f>+DZ236/(DZ30)</f>
        <v>0.24250342700479777</v>
      </c>
      <c r="EA334" s="293">
        <f>+EA236/(EA30*2)</f>
        <v>0.22000000000000003</v>
      </c>
      <c r="EB334" s="293">
        <f>+EB236/(EB30*2)</f>
        <v>0.21671225842163175</v>
      </c>
      <c r="EC334" s="1248">
        <f>+EC236/(EC30)</f>
        <v>0.21999999999999997</v>
      </c>
      <c r="ED334" s="293">
        <f>+ED236/(ED30*2)</f>
        <v>0.215</v>
      </c>
      <c r="EE334" s="293">
        <f>+EE236/(EE30*2)</f>
        <v>0.21177449550082728</v>
      </c>
      <c r="EF334" s="1248">
        <f>+EF236/(EF30)</f>
        <v>0.215</v>
      </c>
      <c r="EG334" s="293">
        <f>+EG236/(EG30*2)</f>
        <v>0.21</v>
      </c>
      <c r="EH334" s="293">
        <f>+EH236/(EH30*2)</f>
        <v>0.20684950723336618</v>
      </c>
      <c r="EI334" s="1248">
        <f>+EI236/(EI30)</f>
        <v>0.21</v>
      </c>
      <c r="EJ334" s="293">
        <f>+EJ236/(EJ30*2)</f>
        <v>0.20499999999999999</v>
      </c>
      <c r="EK334" s="293">
        <f>+EK236/(EK30*2)</f>
        <v>0.20192451896590505</v>
      </c>
      <c r="EL334" s="1248">
        <f>+EL236/(EL30)</f>
        <v>0.20499999999999999</v>
      </c>
      <c r="EM334" s="293">
        <f>+EM236/(EM30*2)</f>
        <v>0.19999999999999998</v>
      </c>
      <c r="EN334" s="293">
        <f>+EN236/(EN30*2)</f>
        <v>0.19699953069844395</v>
      </c>
      <c r="EO334" s="1248">
        <f>+EO236/(EO30)</f>
        <v>0.19999999999999998</v>
      </c>
      <c r="EP334" s="293">
        <f>+EP236/(EP30*2)</f>
        <v>0.19499999999999998</v>
      </c>
      <c r="EQ334" s="293">
        <f>+EQ236/(EQ30*2)</f>
        <v>0.19207454243098285</v>
      </c>
      <c r="ER334" s="1248">
        <f>+ER236/(ER30)</f>
        <v>0.19499999999999998</v>
      </c>
      <c r="ES334" s="293">
        <f>+ES236/(ES30*2)</f>
        <v>0.18999999999999997</v>
      </c>
      <c r="ET334" s="293">
        <f>+ET236/(ET30*2)</f>
        <v>0.18714955416352175</v>
      </c>
      <c r="EU334" s="1248">
        <f>+EU236/(EU30)</f>
        <v>0.18999999999999997</v>
      </c>
      <c r="EV334" s="293">
        <f>+EV236/(EV30*2)</f>
        <v>0.18499999999999997</v>
      </c>
      <c r="EW334" s="293">
        <f>+EW236/(EW30*2)</f>
        <v>0.18222456589606065</v>
      </c>
      <c r="EX334" s="1248">
        <f>+EX236/(EX30)</f>
        <v>0.18499999999999997</v>
      </c>
      <c r="EY334" s="293">
        <f>+EY236/(EY30*2)</f>
        <v>0.17999999999999997</v>
      </c>
      <c r="EZ334" s="293">
        <f>+EZ236/(EZ30*2)</f>
        <v>0.17729957762859955</v>
      </c>
      <c r="FA334" s="1248">
        <f>+FA236/(FA30)</f>
        <v>0.17999999999999997</v>
      </c>
      <c r="FE334"/>
      <c r="FF334"/>
      <c r="FG334"/>
      <c r="FH334"/>
      <c r="FI334"/>
      <c r="FJ334"/>
      <c r="FK334" s="35"/>
    </row>
    <row r="335" spans="1:167" s="236" customFormat="1" ht="14.1" customHeight="1" outlineLevel="1">
      <c r="B335" s="242" t="s">
        <v>142</v>
      </c>
      <c r="C335" s="242" t="s">
        <v>460</v>
      </c>
      <c r="D335" s="243"/>
      <c r="E335" s="293"/>
      <c r="F335" s="293"/>
      <c r="G335" s="293"/>
      <c r="H335" s="293"/>
      <c r="I335" s="293"/>
      <c r="J335" s="293"/>
      <c r="K335" s="293"/>
      <c r="L335" s="293"/>
      <c r="M335" s="293"/>
      <c r="N335" s="293"/>
      <c r="O335" s="293"/>
      <c r="P335" s="293"/>
      <c r="Q335" s="293"/>
      <c r="R335" s="293"/>
      <c r="S335" s="293"/>
      <c r="T335" s="293"/>
      <c r="U335" s="293"/>
      <c r="V335" s="293"/>
      <c r="W335" s="293"/>
      <c r="X335" s="293"/>
      <c r="Y335" s="293"/>
      <c r="Z335" s="293"/>
      <c r="AA335" s="293"/>
      <c r="AB335" s="293"/>
      <c r="AC335" s="293"/>
      <c r="AD335" s="293"/>
      <c r="AE335" s="293"/>
      <c r="AF335" s="293"/>
      <c r="AG335" s="293"/>
      <c r="AH335" s="293"/>
      <c r="AI335" s="293">
        <f>+AI266/(AI30*2)</f>
        <v>0.13353817064523751</v>
      </c>
      <c r="AJ335" s="293">
        <f>+AJ266/(AJ30*2)</f>
        <v>0.13048425661855784</v>
      </c>
      <c r="AK335" s="293">
        <f>+AK266/(AK30)</f>
        <v>0.13213051151529293</v>
      </c>
      <c r="AL335" s="293">
        <f>+AL266/(AL30*2)</f>
        <v>0.12921133231240428</v>
      </c>
      <c r="AM335" s="293">
        <f>+AM266/(AM30*2)</f>
        <v>0.16695605903604332</v>
      </c>
      <c r="AN335" s="293">
        <f>+AN266/(AN30)</f>
        <v>0.16496713939813212</v>
      </c>
      <c r="AO335" s="293">
        <f>+AO266/(AO30*2)</f>
        <v>0.16927028569711899</v>
      </c>
      <c r="AP335" s="293">
        <f>+AP266/(AP30*2)</f>
        <v>0.15700564386682545</v>
      </c>
      <c r="AQ335" s="293">
        <f>+AQ266/(AQ30)</f>
        <v>0.1686621334112052</v>
      </c>
      <c r="AR335" s="293">
        <f>+AR266/(AR30*2)</f>
        <v>0.19125885457660077</v>
      </c>
      <c r="AS335" s="293">
        <f>+AS266/(AS30*2)</f>
        <v>0.15291752577319589</v>
      </c>
      <c r="AT335" s="293">
        <f>+AT266/(AT30)</f>
        <v>0.16175925320072412</v>
      </c>
      <c r="AU335" s="293">
        <f>+AU266/(AU30*2)</f>
        <v>0.13939321357285428</v>
      </c>
      <c r="AV335" s="293">
        <f>+AV266/(AV30*2)</f>
        <v>0.13813588202490862</v>
      </c>
      <c r="AW335" s="293">
        <f>+AW266/(AW30)</f>
        <v>0.14023321093559574</v>
      </c>
      <c r="AX335" s="293">
        <f>+AX266/(AX30*2)</f>
        <v>0.16568373103261033</v>
      </c>
      <c r="AY335" s="293">
        <f>+AY266/(AY30*2)</f>
        <v>0.14050218340611356</v>
      </c>
      <c r="AZ335" s="293">
        <f>+AZ266/(AZ30)</f>
        <v>0.15177097351517088</v>
      </c>
      <c r="BA335" s="293">
        <f>+BA266/(BA30*2)</f>
        <v>0.11374602743973335</v>
      </c>
      <c r="BB335" s="293">
        <f>+BB266/(BB30*2)</f>
        <v>0.13049707877471067</v>
      </c>
      <c r="BC335" s="293">
        <f>+BC266/(BC30)</f>
        <v>0.13861642534902846</v>
      </c>
      <c r="BD335" s="293">
        <f>+BD266/(BD30*2)</f>
        <v>9.686472082275055E-2</v>
      </c>
      <c r="BE335" s="293">
        <f>+BE266/(BE30*2)</f>
        <v>7.7639660289752832E-2</v>
      </c>
      <c r="BF335" s="293">
        <f>+BF266/(BF30)</f>
        <v>8.2497726394510557E-2</v>
      </c>
      <c r="BG335" s="293">
        <f>+BG266/(BG30*2)</f>
        <v>0.11302642796248935</v>
      </c>
      <c r="BH335" s="293">
        <f>+BH266/(BH30*2)</f>
        <v>0.10524805395128602</v>
      </c>
      <c r="BI335" s="293">
        <f>+BI266/(BI30)</f>
        <v>0.10258382574035874</v>
      </c>
      <c r="BJ335" s="293">
        <f>+BJ266/(BJ30*2)</f>
        <v>0.13028365534562289</v>
      </c>
      <c r="BK335" s="293">
        <f>+BK266/(BK30*2)</f>
        <v>0.12352215883817298</v>
      </c>
      <c r="BL335" s="293">
        <f>+BL266/(BL30)</f>
        <v>0.12663762445945892</v>
      </c>
      <c r="BM335" s="293">
        <f>+BM266/(BM30*2)</f>
        <v>0.11338483520209236</v>
      </c>
      <c r="BN335" s="293">
        <f>+BN266/(BN30*2)</f>
        <v>0.12660641805499637</v>
      </c>
      <c r="BO335" s="293">
        <f>+BO266/(BO30)</f>
        <v>0.13336256254190954</v>
      </c>
      <c r="BP335" s="293">
        <f>+BP266/(BP30*2)</f>
        <v>0.11418160332437961</v>
      </c>
      <c r="BQ335" s="293">
        <f>+BQ266/(BQ30*2)</f>
        <v>0.11935251793814039</v>
      </c>
      <c r="BR335" s="293">
        <f>+BR266/(BR30)</f>
        <v>0.12679653296776189</v>
      </c>
      <c r="BS335" s="293">
        <f>+BS266/(BS30*2)</f>
        <v>0.11641723239170194</v>
      </c>
      <c r="BT335" s="293">
        <f>+BT266/(BT30*2)</f>
        <v>0.11414424542128855</v>
      </c>
      <c r="BU335" s="293">
        <f>+BU266/(BU30)</f>
        <v>0.11572288165507721</v>
      </c>
      <c r="BV335" s="293">
        <f>+BV266/(BV30*2)</f>
        <v>0.10855693148467378</v>
      </c>
      <c r="BW335" s="293">
        <f>+BW266/(BW30*2)</f>
        <v>0.10412040020716787</v>
      </c>
      <c r="BX335" s="293">
        <f>+BX266/(BX30)</f>
        <v>0.10534871960687163</v>
      </c>
      <c r="BY335" s="293">
        <f>+BY266/(BY30*2)</f>
        <v>0.18372239219393036</v>
      </c>
      <c r="BZ335" s="293">
        <f>+BZ266/(BZ30*2)</f>
        <v>9.9618099473332791E-2</v>
      </c>
      <c r="CA335" s="293">
        <f>+CA266/(CA30)</f>
        <v>9.7538621810079829E-2</v>
      </c>
      <c r="CB335" s="293">
        <f>+CB266/(CB30*2)</f>
        <v>7.8888854255877258E-2</v>
      </c>
      <c r="CC335" s="293">
        <f>+CC266/(CC30*2)</f>
        <v>9.4874335332614829E-2</v>
      </c>
      <c r="CD335" s="293">
        <f>+CD266/(CD30)</f>
        <v>0.1004156775874302</v>
      </c>
      <c r="CE335" s="293">
        <f>+CE266/(CE30*2)</f>
        <v>0.11388420206354448</v>
      </c>
      <c r="CF335" s="293">
        <f>+CF266/(CF30*2)</f>
        <v>0.10147817677200599</v>
      </c>
      <c r="CG335" s="293">
        <f>+CG266/(CG30)</f>
        <v>0.10879828647725266</v>
      </c>
      <c r="CH335" s="293">
        <f>+CH266/(CH30*2)</f>
        <v>0.10238358517006163</v>
      </c>
      <c r="CI335" s="293">
        <f>+CI266/(CI30*2)</f>
        <v>0.13244471171318498</v>
      </c>
      <c r="CJ335" s="293">
        <f>+CJ266/(CJ30)</f>
        <v>0.13296768796668804</v>
      </c>
      <c r="CK335" s="293">
        <f>+CK266/(CK30*2)</f>
        <v>0.10691380802927636</v>
      </c>
      <c r="CL335" s="293">
        <f>+CL266/(CL30*2)</f>
        <v>0.13971375262993432</v>
      </c>
      <c r="CM335" s="293">
        <f>+CM266/(CM30)</f>
        <v>0.13352594706533222</v>
      </c>
      <c r="CN335" s="293">
        <f>+CN266/(CN30*2)</f>
        <v>0.14738619299205027</v>
      </c>
      <c r="CO335" s="293">
        <f>+CO266/(CO30*2)</f>
        <v>9.422335936088512E-2</v>
      </c>
      <c r="CP335" s="293">
        <f>+CP266/(CP30)</f>
        <v>0.10175271510054815</v>
      </c>
      <c r="CQ335" s="293">
        <f>+CQ266/(CQ30*2)</f>
        <v>9.6987822627374209E-2</v>
      </c>
      <c r="CR335" s="293">
        <f>+CR266/(CR30*2)</f>
        <v>0.10246575342465757</v>
      </c>
      <c r="CS335" s="293">
        <f>+CS266/(CS30)</f>
        <v>0.10788123535455352</v>
      </c>
      <c r="CT335" s="293">
        <f>+CT266/(CT30*2)</f>
        <v>9.6127225095392566E-2</v>
      </c>
      <c r="CU335" s="293">
        <f>+CU266/(CU30*2)</f>
        <v>9.6667529302159619E-2</v>
      </c>
      <c r="CV335" s="293">
        <f>+CV266/(CV30)</f>
        <v>9.7755299890735045E-2</v>
      </c>
      <c r="CW335" s="293">
        <f>+CW266/(CW30*2)</f>
        <v>8.9957088931298793E-2</v>
      </c>
      <c r="CX335" s="293">
        <f>+CX266/(CX30*2)</f>
        <v>0.10152438260551343</v>
      </c>
      <c r="CY335" s="293">
        <f>+CY266/(CY30)</f>
        <v>0.10440763423338463</v>
      </c>
      <c r="CZ335" s="293">
        <f>+CZ266/(CZ30*2)</f>
        <v>9.130961502558077E-2</v>
      </c>
      <c r="DA335" s="293">
        <f>+DA266/(DA30*2)</f>
        <v>9.9733879948226925E-2</v>
      </c>
      <c r="DB335" s="293">
        <f>+DB266/(DB30)</f>
        <v>0.10458467618391598</v>
      </c>
      <c r="DC335" s="293">
        <f>+DC266/(DC30*2)</f>
        <v>0.10274692876270135</v>
      </c>
      <c r="DD335" s="293">
        <f>+DD266/(DD30*2)</f>
        <v>0.11130801034662563</v>
      </c>
      <c r="DE335" s="293">
        <f>+DE266/(DE30)</f>
        <v>0.11295644992779932</v>
      </c>
      <c r="DF335" s="293">
        <f>+DF266/(DF30*2)</f>
        <v>0.1053311833915864</v>
      </c>
      <c r="DG335" s="293">
        <f>+DG266/(DG30*2)</f>
        <v>0.13918391298527988</v>
      </c>
      <c r="DH335" s="1248">
        <f>+DH266/(DH30)</f>
        <v>0.12021481287264674</v>
      </c>
      <c r="DI335" s="293">
        <f>+DI266/(DI30*2)</f>
        <v>9.842572658772876E-2</v>
      </c>
      <c r="DJ335" s="293">
        <f>+DJ266/(DJ30*2)</f>
        <v>0.13447773064687168</v>
      </c>
      <c r="DK335" s="1248">
        <f>+DK266/(DK30)</f>
        <v>0.13548344017094019</v>
      </c>
      <c r="DL335" s="293">
        <f>+DL266/(DL30*2)</f>
        <v>0.10344827586206896</v>
      </c>
      <c r="DM335" s="293">
        <f>+DM266/(DM30*2)</f>
        <v>0.14040599323344613</v>
      </c>
      <c r="DN335" s="1248">
        <f>+DN266/(DN30)</f>
        <v>0.14099375113753565</v>
      </c>
      <c r="DO335" s="293">
        <f>+DO266/(DO30*2)</f>
        <v>0.11368516216521639</v>
      </c>
      <c r="DP335" s="293">
        <f>+DP266/(DP30*2)</f>
        <v>0.12861491628614916</v>
      </c>
      <c r="DQ335" s="1248">
        <f>+DQ266/(DQ30)</f>
        <v>0.13966220753060274</v>
      </c>
      <c r="DR335" s="293">
        <f>+DR266/(DR30*2)</f>
        <v>0.11247155211652253</v>
      </c>
      <c r="DS335" s="293">
        <f>+DS266/(DS30*2)</f>
        <v>0.13332160759827627</v>
      </c>
      <c r="DT335" s="1248">
        <f>+DT266/(DT30)</f>
        <v>0.13562354625156556</v>
      </c>
      <c r="DU335" s="293">
        <f>+DU266/(DU30*2)</f>
        <v>0.1218117741426243</v>
      </c>
      <c r="DV335" s="293">
        <f>+DV266/(DV30*2)</f>
        <v>0.12738962269789364</v>
      </c>
      <c r="DW335" s="1248">
        <f>+DW266/(DW30)</f>
        <v>0.12735265246895139</v>
      </c>
      <c r="DX335" s="293">
        <f>+DX266/(DX30*2)</f>
        <v>0.12050205620287868</v>
      </c>
      <c r="DY335" s="293">
        <f>+DY266/(DY30*2)</f>
        <v>0.11217041847763051</v>
      </c>
      <c r="DZ335" s="1248">
        <f>+DZ266/(DZ30)</f>
        <v>0.12</v>
      </c>
      <c r="EA335" s="293">
        <f>+EA266/(EA30*2)</f>
        <v>0.12000000000000001</v>
      </c>
      <c r="EB335" s="293">
        <f>+EB266/(EB30*2)</f>
        <v>0.11820668641179914</v>
      </c>
      <c r="EC335" s="1248">
        <f>+EC266/(EC30)</f>
        <v>0.12</v>
      </c>
      <c r="ED335" s="293">
        <f>+ED266/(ED30*2)</f>
        <v>0.12000000000000001</v>
      </c>
      <c r="EE335" s="293">
        <f>+EE266/(EE30*2)</f>
        <v>0.11819971841906639</v>
      </c>
      <c r="EF335" s="1248">
        <f>+EF266/(EF30)</f>
        <v>0.12</v>
      </c>
      <c r="EG335" s="293">
        <f>+EG266/(EG30*2)</f>
        <v>0.12</v>
      </c>
      <c r="EH335" s="293">
        <f>+EH266/(EH30*2)</f>
        <v>0.11819971841906637</v>
      </c>
      <c r="EI335" s="1248">
        <f>+EI266/(EI30)</f>
        <v>0.11999999999999998</v>
      </c>
      <c r="EJ335" s="293">
        <f>+EJ266/(EJ30*2)</f>
        <v>0.12</v>
      </c>
      <c r="EK335" s="293">
        <f>+EK266/(EK30*2)</f>
        <v>0.11819971841906639</v>
      </c>
      <c r="EL335" s="1248">
        <f>+EL266/(EL30)</f>
        <v>0.12</v>
      </c>
      <c r="EM335" s="293">
        <f>+EM266/(EM30*2)</f>
        <v>0.12</v>
      </c>
      <c r="EN335" s="293">
        <f>+EN266/(EN30*2)</f>
        <v>0.11819971841906637</v>
      </c>
      <c r="EO335" s="1248">
        <f>+EO266/(EO30)</f>
        <v>0.11999999999999998</v>
      </c>
      <c r="EP335" s="293">
        <f>+EP266/(EP30*2)</f>
        <v>0.12</v>
      </c>
      <c r="EQ335" s="293">
        <f>+EQ266/(EQ30*2)</f>
        <v>0.11819971841906639</v>
      </c>
      <c r="ER335" s="1248">
        <f>+ER266/(ER30)</f>
        <v>0.12000000000000001</v>
      </c>
      <c r="ES335" s="293">
        <f>+ES266/(ES30*2)</f>
        <v>0.11999999999999998</v>
      </c>
      <c r="ET335" s="293">
        <f>+ET266/(ET30*2)</f>
        <v>0.11819971841906639</v>
      </c>
      <c r="EU335" s="1248">
        <f>+EU266/(EU30)</f>
        <v>0.12</v>
      </c>
      <c r="EV335" s="293">
        <f>+EV266/(EV30*2)</f>
        <v>0.12</v>
      </c>
      <c r="EW335" s="293">
        <f>+EW266/(EW30*2)</f>
        <v>0.11819971841906639</v>
      </c>
      <c r="EX335" s="1248">
        <f>+EX266/(EX30)</f>
        <v>0.12</v>
      </c>
      <c r="EY335" s="293">
        <f>+EY266/(EY30*2)</f>
        <v>0.12</v>
      </c>
      <c r="EZ335" s="293">
        <f>+EZ266/(EZ30*2)</f>
        <v>0.11819971841906637</v>
      </c>
      <c r="FA335" s="1248">
        <f>+FA266/(FA30)</f>
        <v>0.12</v>
      </c>
      <c r="FE335"/>
      <c r="FF335"/>
      <c r="FG335"/>
      <c r="FH335"/>
      <c r="FI335"/>
      <c r="FJ335"/>
      <c r="FK335" s="35"/>
    </row>
    <row r="336" spans="1:167" s="236" customFormat="1" ht="14.1" customHeight="1" outlineLevel="1">
      <c r="B336" s="242" t="s">
        <v>143</v>
      </c>
      <c r="C336" s="242" t="s">
        <v>460</v>
      </c>
      <c r="D336" s="243"/>
      <c r="E336" s="293"/>
      <c r="F336" s="293"/>
      <c r="G336" s="293"/>
      <c r="H336" s="293"/>
      <c r="I336" s="293"/>
      <c r="J336" s="293"/>
      <c r="K336" s="293"/>
      <c r="L336" s="293"/>
      <c r="M336" s="293"/>
      <c r="N336" s="293"/>
      <c r="O336" s="293"/>
      <c r="P336" s="293"/>
      <c r="Q336" s="293"/>
      <c r="R336" s="293"/>
      <c r="S336" s="293"/>
      <c r="T336" s="293"/>
      <c r="U336" s="293"/>
      <c r="V336" s="293"/>
      <c r="W336" s="293"/>
      <c r="X336" s="293"/>
      <c r="Y336" s="293"/>
      <c r="Z336" s="293"/>
      <c r="AA336" s="293"/>
      <c r="AB336" s="293"/>
      <c r="AC336" s="293"/>
      <c r="AD336" s="293"/>
      <c r="AE336" s="293"/>
      <c r="AF336" s="293"/>
      <c r="AG336" s="293"/>
      <c r="AH336" s="293"/>
      <c r="AI336" s="293">
        <f>+AI276/(AI30*2)</f>
        <v>0.14907823209643112</v>
      </c>
      <c r="AJ336" s="293">
        <f>+AJ276/(AJ30*2)</f>
        <v>0.15269495578025521</v>
      </c>
      <c r="AK336" s="293">
        <f>+AK276/(AK30)</f>
        <v>0.15462143200945144</v>
      </c>
      <c r="AL336" s="293">
        <f>+AL276/(AL30*2)</f>
        <v>0.18331601400131264</v>
      </c>
      <c r="AM336" s="293">
        <f>+AM276/(AM30*2)</f>
        <v>0.19113899235444026</v>
      </c>
      <c r="AN336" s="293">
        <f>+AN276/(AN30)</f>
        <v>0.18886198547215496</v>
      </c>
      <c r="AO336" s="293">
        <f>+AO276/(AO30*2)</f>
        <v>0.16282632859674948</v>
      </c>
      <c r="AP336" s="293">
        <f>+AP276/(AP30*2)</f>
        <v>0.17048102314503186</v>
      </c>
      <c r="AQ336" s="293">
        <f>+AQ276/(AQ30)</f>
        <v>0.18313795836635935</v>
      </c>
      <c r="AR336" s="293">
        <f>+AR276/(AR30*2)</f>
        <v>0.15367609611556091</v>
      </c>
      <c r="AS336" s="293">
        <f>+AS276/(AS30*2)</f>
        <v>0.19648453608247426</v>
      </c>
      <c r="AT336" s="293">
        <f>+AT276/(AT30)</f>
        <v>0.20784531832755351</v>
      </c>
      <c r="AU336" s="293">
        <f>+AU276/(AU30*2)</f>
        <v>0.16515768463073852</v>
      </c>
      <c r="AV336" s="293">
        <f>+AV276/(AV30*2)</f>
        <v>0.20990302992750481</v>
      </c>
      <c r="AW336" s="293">
        <f>+AW276/(AW30)</f>
        <v>0.21309000558259489</v>
      </c>
      <c r="AX336" s="293">
        <f>+AX276/(AX30*2)</f>
        <v>0.19204953392259191</v>
      </c>
      <c r="AY336" s="293">
        <f>+AY276/(AY30*2)</f>
        <v>0.16765990238890319</v>
      </c>
      <c r="AZ336" s="293">
        <f>+AZ276/(AZ30)</f>
        <v>0.1811068411048988</v>
      </c>
      <c r="BA336" s="293">
        <f>+BA276/(BA30*2)</f>
        <v>0.1668523757848229</v>
      </c>
      <c r="BB336" s="293">
        <f>+BB276/(BB30*2)</f>
        <v>0.14002206957905272</v>
      </c>
      <c r="BC336" s="293">
        <f>+BC276/(BC30)</f>
        <v>0.14873404782132651</v>
      </c>
      <c r="BD336" s="293">
        <f>+BD276/(BD30*2)</f>
        <v>0.11457717450139486</v>
      </c>
      <c r="BE336" s="293">
        <f>+BE276/(BE30*2)</f>
        <v>0.13952804960474885</v>
      </c>
      <c r="BF336" s="293">
        <f>+BF276/(BF30)</f>
        <v>0.14825859383843154</v>
      </c>
      <c r="BG336" s="293">
        <f>+BG276/(BG30*2)</f>
        <v>8.7628303495311172E-2</v>
      </c>
      <c r="BH336" s="293">
        <f>+BH276/(BH30*2)</f>
        <v>0.10598342719804858</v>
      </c>
      <c r="BI336" s="293">
        <f>+BI276/(BI30)</f>
        <v>0.103300583895668</v>
      </c>
      <c r="BJ336" s="293">
        <f>+BJ276/(BJ30*2)</f>
        <v>8.240450434183097E-2</v>
      </c>
      <c r="BK336" s="293">
        <f>+BK276/(BK30*2)</f>
        <v>0.10587000460423121</v>
      </c>
      <c r="BL336" s="293">
        <f>+BL276/(BL30)</f>
        <v>0.10854024905892848</v>
      </c>
      <c r="BM336" s="293">
        <f>+BM276/(BM30*2)</f>
        <v>7.6750296660450912E-2</v>
      </c>
      <c r="BN336" s="293">
        <f>+BN276/(BN30*2)</f>
        <v>0.10064528765900956</v>
      </c>
      <c r="BO336" s="293">
        <f>+BO276/(BO30)</f>
        <v>0.1060160588710648</v>
      </c>
      <c r="BP336" s="293">
        <f>+BP276/(BP30*2)</f>
        <v>0.10605761019249983</v>
      </c>
      <c r="BQ336" s="293">
        <f>+BQ276/(BQ30*2)</f>
        <v>0.10830910595488513</v>
      </c>
      <c r="BR336" s="293">
        <f>+BR276/(BR30)</f>
        <v>0.1150643435192146</v>
      </c>
      <c r="BS336" s="293">
        <f>+BS276/(BS30*2)</f>
        <v>7.3153751599577904E-2</v>
      </c>
      <c r="BT336" s="293">
        <f>+BT276/(BT30*2)</f>
        <v>1.4741074086107657E-2</v>
      </c>
      <c r="BU336" s="293">
        <f>+BU276/(BU30)</f>
        <v>1.4944945894024069E-2</v>
      </c>
      <c r="BV336" s="293">
        <f>+BV276/(BV30*2)</f>
        <v>1.4938560999230894E-2</v>
      </c>
      <c r="BW336" s="293">
        <f>+BW276/(BW30*2)</f>
        <v>4.797788620428926E-3</v>
      </c>
      <c r="BX336" s="293">
        <f>+BX276/(BX30)</f>
        <v>4.8543886414279327E-3</v>
      </c>
      <c r="BY336" s="293">
        <f>+BY276/(BY30*2)</f>
        <v>2.6944281901028724E-2</v>
      </c>
      <c r="BZ336" s="293">
        <f>+BZ276/(BZ30*2)</f>
        <v>8.2327992690619817E-3</v>
      </c>
      <c r="CA336" s="293">
        <f>+CA276/(CA30)</f>
        <v>8.0609437299925726E-3</v>
      </c>
      <c r="CB336" s="293">
        <f>+CB276/(CB30*2)</f>
        <v>8.6799441425653351E-2</v>
      </c>
      <c r="CC336" s="293">
        <f>+CC276/(CC30*2)</f>
        <v>1.6933466009792196E-2</v>
      </c>
      <c r="CD336" s="293">
        <f>+CD276/(CD30)</f>
        <v>1.7922501984500988E-2</v>
      </c>
      <c r="CE336" s="293">
        <f>+CE276/(CE30*2)</f>
        <v>4.6017760224148919E-2</v>
      </c>
      <c r="CF336" s="293">
        <f>+CF276/(CF30*2)</f>
        <v>2.0628061190100057E-2</v>
      </c>
      <c r="CG336" s="293">
        <f>+CG276/(CG30)</f>
        <v>2.2116062607954946E-2</v>
      </c>
      <c r="CH336" s="293">
        <f>+CH276/(CH30*2)</f>
        <v>8.8154688487870198E-3</v>
      </c>
      <c r="CI336" s="293">
        <f>+CI276/(CI30*2)</f>
        <v>2.5804899727710089E-2</v>
      </c>
      <c r="CJ336" s="293">
        <f>+CJ276/(CJ30)</f>
        <v>2.5906793941582858E-2</v>
      </c>
      <c r="CK336" s="293">
        <f>+CK276/(CK30*2)</f>
        <v>8.2512713910721496E-3</v>
      </c>
      <c r="CL336" s="293">
        <f>+CL276/(CL30*2)</f>
        <v>8.6638145169891795E-3</v>
      </c>
      <c r="CM336" s="293">
        <f>+CM276/(CM30)</f>
        <v>8.2801013987759357E-3</v>
      </c>
      <c r="CN336" s="293">
        <f>+CN276/(CN30*2)</f>
        <v>4.1961282679134635E-3</v>
      </c>
      <c r="CO336" s="293">
        <f>+CO276/(CO30*2)</f>
        <v>1.0114358370944918E-2</v>
      </c>
      <c r="CP336" s="293">
        <f>+CP276/(CP30)</f>
        <v>1.0922593215996482E-2</v>
      </c>
      <c r="CQ336" s="293">
        <f>+CQ276/(CQ30*2)</f>
        <v>1.858885740748345E-2</v>
      </c>
      <c r="CR336" s="293">
        <f>+CR276/(CR30*2)</f>
        <v>9.2883895131086164E-2</v>
      </c>
      <c r="CS336" s="293">
        <f>+CS276/(CS30)</f>
        <v>9.7792960246491853E-2</v>
      </c>
      <c r="CT336" s="293">
        <f>+CT276/(CT30*2)</f>
        <v>7.3720385078283018E-2</v>
      </c>
      <c r="CU336" s="293">
        <f>+CU276/(CU30*2)</f>
        <v>8.1344069435886721E-2</v>
      </c>
      <c r="CV336" s="293">
        <f>+CV276/(CV30)</f>
        <v>8.2259409746393841E-2</v>
      </c>
      <c r="CW336" s="293">
        <f>+CW276/(CW30*2)</f>
        <v>8.3053666891566499E-2</v>
      </c>
      <c r="CX336" s="293">
        <f>+CX276/(CX30*2)</f>
        <v>8.0444914542474724E-2</v>
      </c>
      <c r="CY336" s="293">
        <f>+CY276/(CY30)</f>
        <v>8.2729517756559706E-2</v>
      </c>
      <c r="CZ336" s="293">
        <f>+CZ276/(CZ30*2)</f>
        <v>8.2546395760058025E-2</v>
      </c>
      <c r="DA336" s="293">
        <f>+DA276/(DA30*2)</f>
        <v>7.3753381684133645E-2</v>
      </c>
      <c r="DB336" s="293">
        <f>+DB276/(DB30)</f>
        <v>7.7340554131735739E-2</v>
      </c>
      <c r="DC336" s="293">
        <f>+DC276/(DC30*2)</f>
        <v>8.1427475813327502E-2</v>
      </c>
      <c r="DD336" s="293">
        <f>+DD276/(DD30*2)</f>
        <v>9.1095361701591618E-2</v>
      </c>
      <c r="DE336" s="293">
        <f>+DE276/(DE30)</f>
        <v>9.2444457776731284E-2</v>
      </c>
      <c r="DF336" s="293">
        <f>+DF276/(DF30*2)</f>
        <v>7.225745745904541E-2</v>
      </c>
      <c r="DG336" s="293">
        <f>+DG276/(DG30*2)</f>
        <v>0.16757987765584856</v>
      </c>
      <c r="DH336" s="1248">
        <f>+DH276/(DH30)</f>
        <v>0.14474074770228273</v>
      </c>
      <c r="DI336" s="293">
        <f>+DI276/(DI30*2)</f>
        <v>8.019375672766417E-2</v>
      </c>
      <c r="DJ336" s="293">
        <f>+DJ276/(DJ30*2)</f>
        <v>7.9665959703075301E-2</v>
      </c>
      <c r="DK336" s="1248">
        <f>+DK276/(DK30)</f>
        <v>8.0261752136752157E-2</v>
      </c>
      <c r="DL336" s="293">
        <f>+DL276/(DL30*2)</f>
        <v>6.8173510417935901E-2</v>
      </c>
      <c r="DM336" s="293">
        <f>+DM276/(DM30*2)</f>
        <v>8.4279845335911083E-2</v>
      </c>
      <c r="DN336" s="1248">
        <f>+DN276/(DN30)</f>
        <v>8.463265182309046E-2</v>
      </c>
      <c r="DO336" s="293">
        <f>+DO276/(DO30*2)</f>
        <v>7.5658266470787661E-2</v>
      </c>
      <c r="DP336" s="293">
        <f>+DP276/(DP30*2)</f>
        <v>8.8565449010654496E-2</v>
      </c>
      <c r="DQ336" s="1248">
        <f>+DQ276/(DQ30)</f>
        <v>9.6172718351324835E-2</v>
      </c>
      <c r="DR336" s="293">
        <f>+DR276/(DR30*2)</f>
        <v>7.0459717796995905E-2</v>
      </c>
      <c r="DS336" s="293">
        <f>+DS276/(DS30*2)</f>
        <v>9.2999736170961189E-2</v>
      </c>
      <c r="DT336" s="1248">
        <f>+DT276/(DT30)</f>
        <v>9.4605475040257639E-2</v>
      </c>
      <c r="DU336" s="293">
        <f>+DU276/(DU30*2)</f>
        <v>8.3198935053631309E-2</v>
      </c>
      <c r="DV336" s="293">
        <f>+DV276/(DV30*2)</f>
        <v>7.2062226244652985E-2</v>
      </c>
      <c r="DW336" s="1248">
        <f>+DW276/(DW30)</f>
        <v>7.2041312790747311E-2</v>
      </c>
      <c r="DX336" s="293">
        <f>+DX276/(DX30*2)</f>
        <v>7.3252227553118568E-2</v>
      </c>
      <c r="DY336" s="293">
        <f>+DY276/(DY30*2)</f>
        <v>6.3693322764413529E-2</v>
      </c>
      <c r="DZ336" s="1248">
        <f>+DZ276/(DZ30)</f>
        <v>6.8139165703958407E-2</v>
      </c>
      <c r="EA336" s="293">
        <f>+EA276/(EA30*2)</f>
        <v>6.1419748325911641E-2</v>
      </c>
      <c r="EB336" s="293">
        <f>+EB276/(EB30*2)</f>
        <v>5.9584000504966067E-2</v>
      </c>
      <c r="EC336" s="1248">
        <f>+EC276/(EC30)</f>
        <v>6.0487949350741824E-2</v>
      </c>
      <c r="ED336" s="293">
        <f>+ED276/(ED30*2)</f>
        <v>5.6668029852131291E-2</v>
      </c>
      <c r="EE336" s="293">
        <f>+EE276/(EE30*2)</f>
        <v>5.496772301262149E-2</v>
      </c>
      <c r="EF336" s="1248">
        <f>+EF276/(EF30)</f>
        <v>5.5804927877481141E-2</v>
      </c>
      <c r="EG336" s="293">
        <f>+EG276/(EG30*2)</f>
        <v>5.1989018212964491E-2</v>
      </c>
      <c r="EH336" s="293">
        <f>+EH276/(EH30*2)</f>
        <v>5.0429103681304127E-2</v>
      </c>
      <c r="EI336" s="1248">
        <f>+EI276/(EI30)</f>
        <v>5.1197181538973527E-2</v>
      </c>
      <c r="EJ336" s="293">
        <f>+EJ276/(EJ30*2)</f>
        <v>4.7696346984371092E-2</v>
      </c>
      <c r="EK336" s="293">
        <f>+EK276/(EK30*2)</f>
        <v>4.6265232735141396E-2</v>
      </c>
      <c r="EL336" s="1248">
        <f>+EL276/(EL30)</f>
        <v>4.6969891320159197E-2</v>
      </c>
      <c r="EM336" s="293">
        <f>+EM276/(EM30*2)</f>
        <v>4.3758116499423017E-2</v>
      </c>
      <c r="EN336" s="293">
        <f>+EN276/(EN30*2)</f>
        <v>4.2445167646918705E-2</v>
      </c>
      <c r="EO336" s="1248">
        <f>+EO276/(EO30)</f>
        <v>4.3091643412990085E-2</v>
      </c>
      <c r="EP336" s="293">
        <f>+EP276/(EP30*2)</f>
        <v>4.0145061008644969E-2</v>
      </c>
      <c r="EQ336" s="293">
        <f>+EQ276/(EQ30*2)</f>
        <v>3.8940520776989632E-2</v>
      </c>
      <c r="ER336" s="1248">
        <f>+ER276/(ER30)</f>
        <v>3.953361781008264E-2</v>
      </c>
      <c r="ES336" s="293">
        <f>+ES276/(ES30*2)</f>
        <v>3.6830331200591704E-2</v>
      </c>
      <c r="ET336" s="293">
        <f>+ET276/(ET30*2)</f>
        <v>3.572524841925654E-2</v>
      </c>
      <c r="EU336" s="1248">
        <f>+EU276/(EU30)</f>
        <v>3.6269374137690491E-2</v>
      </c>
      <c r="EV336" s="293">
        <f>+EV276/(EV30*2)</f>
        <v>3.3789294679441931E-2</v>
      </c>
      <c r="EW336" s="293">
        <f>+EW276/(EW30*2)</f>
        <v>3.2775457265372974E-2</v>
      </c>
      <c r="EX336" s="1248">
        <f>+EX276/(EX30)</f>
        <v>3.3274655172193107E-2</v>
      </c>
      <c r="EY336" s="293">
        <f>+EY276/(EY30*2)</f>
        <v>3.0999352916919201E-2</v>
      </c>
      <c r="EZ336" s="293">
        <f>+EZ276/(EZ30*2)</f>
        <v>3.0069226848966027E-2</v>
      </c>
      <c r="FA336" s="1248">
        <f>+FA276/(FA30)</f>
        <v>3.0527206579993679E-2</v>
      </c>
      <c r="FE336"/>
      <c r="FF336"/>
      <c r="FG336"/>
      <c r="FH336"/>
      <c r="FI336"/>
      <c r="FJ336"/>
      <c r="FK336" s="35"/>
    </row>
    <row r="337" spans="1:167" s="236" customFormat="1" ht="14.1" customHeight="1" outlineLevel="1">
      <c r="B337" s="242" t="s">
        <v>144</v>
      </c>
      <c r="C337" s="242" t="s">
        <v>460</v>
      </c>
      <c r="D337" s="243"/>
      <c r="E337" s="293"/>
      <c r="F337" s="293"/>
      <c r="G337" s="293"/>
      <c r="H337" s="293"/>
      <c r="I337" s="293"/>
      <c r="J337" s="293"/>
      <c r="K337" s="293"/>
      <c r="L337" s="293"/>
      <c r="M337" s="293"/>
      <c r="N337" s="293"/>
      <c r="O337" s="293"/>
      <c r="P337" s="293"/>
      <c r="Q337" s="293"/>
      <c r="R337" s="293"/>
      <c r="S337" s="293"/>
      <c r="T337" s="293"/>
      <c r="U337" s="293"/>
      <c r="V337" s="293"/>
      <c r="W337" s="293"/>
      <c r="X337" s="293"/>
      <c r="Y337" s="293"/>
      <c r="Z337" s="293"/>
      <c r="AA337" s="293"/>
      <c r="AB337" s="293"/>
      <c r="AC337" s="293"/>
      <c r="AD337" s="293"/>
      <c r="AE337" s="293"/>
      <c r="AF337" s="293"/>
      <c r="AG337" s="293"/>
      <c r="AH337" s="293"/>
      <c r="AI337" s="293">
        <f>+AI297/(AI30*2)</f>
        <v>6.2042070432521863E-3</v>
      </c>
      <c r="AJ337" s="293">
        <f>+AJ297/(AJ30*2)</f>
        <v>8.1813729726615356E-3</v>
      </c>
      <c r="AK337" s="293">
        <f>+AK297/(AK30)</f>
        <v>8.2845932818949534E-3</v>
      </c>
      <c r="AL337" s="293">
        <f>+AL297/(AL30*2)</f>
        <v>5.0727411944869833E-3</v>
      </c>
      <c r="AM337" s="293">
        <f>+AM297/(AM30*2)</f>
        <v>3.9488055563334911E-3</v>
      </c>
      <c r="AN337" s="293">
        <f>+AN297/(AN30)</f>
        <v>3.9017640954686953E-3</v>
      </c>
      <c r="AO337" s="293">
        <f>+AO297/(AO30*2)</f>
        <v>5.4826208429717312E-3</v>
      </c>
      <c r="AP337" s="293">
        <f>+AP297/(AP30*2)</f>
        <v>4.7247967690156887E-3</v>
      </c>
      <c r="AQ337" s="293">
        <f>+AQ297/(AQ30)</f>
        <v>5.0755774338436723E-3</v>
      </c>
      <c r="AR337" s="293">
        <f>+AR297/(AR30*2)</f>
        <v>4.2131580165748412E-3</v>
      </c>
      <c r="AS337" s="293">
        <f>+AS297/(AS30*2)</f>
        <v>4.2164948453608251E-3</v>
      </c>
      <c r="AT337" s="293">
        <f>+AT297/(AT30)</f>
        <v>4.4602935723788957E-3</v>
      </c>
      <c r="AU337" s="293">
        <f>+AU297/(AU30*2)</f>
        <v>3.5688622754491018E-3</v>
      </c>
      <c r="AV337" s="293">
        <f>+AV297/(AV30*2)</f>
        <v>3.8028998079187065E-3</v>
      </c>
      <c r="AW337" s="293">
        <f>+AW297/(AW30)</f>
        <v>3.8606395609407066E-3</v>
      </c>
      <c r="AX337" s="293">
        <f>+AX297/(AX30*2)</f>
        <v>3.9518537512443818E-3</v>
      </c>
      <c r="AY337" s="293">
        <f>+AY297/(AY30*2)</f>
        <v>3.5255586950937588E-3</v>
      </c>
      <c r="AZ337" s="293">
        <f>+AZ297/(AZ30)</f>
        <v>3.8083214251030126E-3</v>
      </c>
      <c r="BA337" s="293">
        <f>+BA297/(BA30*2)</f>
        <v>2.6887450585225954E-3</v>
      </c>
      <c r="BB337" s="293">
        <f>+BB297/(BB30*2)</f>
        <v>2.6303858754694064E-3</v>
      </c>
      <c r="BC337" s="293">
        <f>+BC297/(BC30)</f>
        <v>2.7940448228393855E-3</v>
      </c>
      <c r="BD337" s="293">
        <f>+BD297/(BD30*2)</f>
        <v>2.9229295915393261E-3</v>
      </c>
      <c r="BE337" s="293">
        <f>+BE297/(BE30*2)</f>
        <v>6.0242734138528879E-3</v>
      </c>
      <c r="BF337" s="293">
        <f>+BF297/(BF30)</f>
        <v>6.4012240389381761E-3</v>
      </c>
      <c r="BG337" s="293">
        <f>+BG297/(BG30*2)</f>
        <v>5.7391304347826086E-3</v>
      </c>
      <c r="BH337" s="293">
        <f>+BH297/(BH30*2)</f>
        <v>6.5286795566237409E-3</v>
      </c>
      <c r="BI337" s="293">
        <f>+BI297/(BI30)</f>
        <v>6.3634138666480199E-3</v>
      </c>
      <c r="BJ337" s="293">
        <f>+BJ297/(BJ30*2)</f>
        <v>5.4153876458904446E-2</v>
      </c>
      <c r="BK337" s="293">
        <f>+BK297/(BK30*2)</f>
        <v>1.2704556628141997E-2</v>
      </c>
      <c r="BL337" s="293">
        <f>+BL297/(BL30)</f>
        <v>1.302498989923234E-2</v>
      </c>
      <c r="BM337" s="293">
        <f>+BM297/(BM30*2)</f>
        <v>3.8683917370982972E-2</v>
      </c>
      <c r="BN337" s="293">
        <f>+BN297/(BN30*2)</f>
        <v>1.6616429263196841E-2</v>
      </c>
      <c r="BO337" s="293">
        <f>+BO297/(BO30)</f>
        <v>1.7503137841508913E-2</v>
      </c>
      <c r="BP337" s="293">
        <f>+BP297/(BP30*2)</f>
        <v>1.0210998624394634E-2</v>
      </c>
      <c r="BQ337" s="293">
        <f>+BQ297/(BQ30*2)</f>
        <v>1.3389044343814754E-2</v>
      </c>
      <c r="BR337" s="293">
        <f>+BR297/(BR30)</f>
        <v>1.4224118869676733E-2</v>
      </c>
      <c r="BS337" s="293">
        <f>+BS297/(BS30*2)</f>
        <v>1.3085165784915306E-2</v>
      </c>
      <c r="BT337" s="293">
        <f>+BT297/(BT30*2)</f>
        <v>1.4429552075284575E-2</v>
      </c>
      <c r="BU337" s="293">
        <f>+BU297/(BU30)</f>
        <v>1.4629115475605905E-2</v>
      </c>
      <c r="BV337" s="293">
        <f>+BV297/(BV30*2)</f>
        <v>1.7921366116627774E-2</v>
      </c>
      <c r="BW337" s="293">
        <f>+BW297/(BW30*2)</f>
        <v>1.4776778152038142E-2</v>
      </c>
      <c r="BX337" s="293">
        <f>+BX297/(BX30)</f>
        <v>1.4951101370477112E-2</v>
      </c>
      <c r="BY337" s="293">
        <f>+BY297/(BY30*2)</f>
        <v>1.7207407444582205E-2</v>
      </c>
      <c r="BZ337" s="293">
        <f>+BZ297/(BZ30*2)</f>
        <v>1.436671069761525E-2</v>
      </c>
      <c r="CA337" s="293">
        <f>+CA297/(CA30)</f>
        <v>1.4066812846240303E-2</v>
      </c>
      <c r="CB337" s="293">
        <f>+CB297/(CB30*2)</f>
        <v>3.1249004565690117E-2</v>
      </c>
      <c r="CC337" s="293">
        <f>+CC297/(CC30*2)</f>
        <v>1.5559214017706923E-2</v>
      </c>
      <c r="CD337" s="293">
        <f>+CD297/(CD30)</f>
        <v>1.646798381077862E-2</v>
      </c>
      <c r="CE337" s="293">
        <f>+CE297/(CE30*2)</f>
        <v>1.5459662204313801E-2</v>
      </c>
      <c r="CF337" s="293">
        <f>+CF297/(CF30*2)</f>
        <v>1.3440217563933772E-2</v>
      </c>
      <c r="CG337" s="293">
        <f>+CG297/(CG30)</f>
        <v>1.4409725197593965E-2</v>
      </c>
      <c r="CH337" s="293">
        <f>+CH297/(CH30*2)</f>
        <v>5.274362413668341E-2</v>
      </c>
      <c r="CI337" s="293">
        <f>+CI297/(CI30*2)</f>
        <v>4.6328821307723284E-2</v>
      </c>
      <c r="CJ337" s="293">
        <f>+CJ297/(CJ30)</f>
        <v>4.6511757063204373E-2</v>
      </c>
      <c r="CK337" s="293">
        <f>+CK297/(CK30*2)</f>
        <v>4.792236967379656E-2</v>
      </c>
      <c r="CL337" s="293">
        <f>+CL297/(CL30*2)</f>
        <v>5.1035959024103544E-2</v>
      </c>
      <c r="CM337" s="293">
        <f>+CM297/(CM30)</f>
        <v>4.877561896953049E-2</v>
      </c>
      <c r="CN337" s="293">
        <f>+CN297/(CN30*2)</f>
        <v>7.518156893958626E-2</v>
      </c>
      <c r="CO337" s="293">
        <f>+CO297/(CO30*2)</f>
        <v>6.3924613940033875E-2</v>
      </c>
      <c r="CP337" s="293">
        <f>+CP297/(CP30)</f>
        <v>6.9032807514746775E-2</v>
      </c>
      <c r="CQ337" s="293">
        <f>+CQ297/(CQ30*2)</f>
        <v>6.6328811873508614E-2</v>
      </c>
      <c r="CR337" s="293">
        <f>+CR297/(CR30*2)</f>
        <v>6.7553229695757042E-2</v>
      </c>
      <c r="CS337" s="293">
        <f>+CS297/(CS30)</f>
        <v>7.1123527892924712E-2</v>
      </c>
      <c r="CT337" s="293">
        <f>+CT297/(CT30*2)</f>
        <v>5.7469378638045125E-2</v>
      </c>
      <c r="CU337" s="293">
        <f>+CU297/(CU30*2)</f>
        <v>5.995709906859395E-2</v>
      </c>
      <c r="CV337" s="293">
        <f>+CV297/(CV30)</f>
        <v>6.0631778243844817E-2</v>
      </c>
      <c r="CW337" s="293">
        <f>+CW297/(CW30*2)</f>
        <v>6.2504289086256354E-2</v>
      </c>
      <c r="CX337" s="293">
        <f>+CX297/(CX30*2)</f>
        <v>5.7929179423303133E-2</v>
      </c>
      <c r="CY337" s="293">
        <f>+CY297/(CY30)</f>
        <v>5.9574344816945346E-2</v>
      </c>
      <c r="CZ337" s="293">
        <f>+CZ297/(CZ30*2)</f>
        <v>5.7899841575775296E-2</v>
      </c>
      <c r="DA337" s="293">
        <f>+DA297/(DA30*2)</f>
        <v>5.2883801111337406E-2</v>
      </c>
      <c r="DB337" s="293">
        <f>+DB297/(DB30)</f>
        <v>5.5455931499656518E-2</v>
      </c>
      <c r="DC337" s="293">
        <f>+DC297/(DC30*2)</f>
        <v>5.2621258450293959E-2</v>
      </c>
      <c r="DD337" s="293">
        <f>+DD297/(DD30*2)</f>
        <v>4.3471038866716979E-2</v>
      </c>
      <c r="DE337" s="293">
        <f>+DE297/(DE30)</f>
        <v>4.4114832434488792E-2</v>
      </c>
      <c r="DF337" s="293">
        <f>+DF297/(DF30*2)</f>
        <v>4.5625802641878856E-2</v>
      </c>
      <c r="DG337" s="293">
        <f>+DG297/(DG30*2)</f>
        <v>4.6918870855678155E-2</v>
      </c>
      <c r="DH337" s="1248">
        <f>+DH297/(DH30)</f>
        <v>4.0524390780044758E-2</v>
      </c>
      <c r="DI337" s="293">
        <f>+DI297/(DI30*2)</f>
        <v>4.5008073196986013E-2</v>
      </c>
      <c r="DJ337" s="293">
        <f>+DJ297/(DJ30*2)</f>
        <v>6.2102332979851543E-2</v>
      </c>
      <c r="DK337" s="1248">
        <f>+DK297/(DK30)</f>
        <v>6.2566773504273504E-2</v>
      </c>
      <c r="DL337" s="293">
        <f>+DL297/(DL30*2)</f>
        <v>5.2394297550871202E-2</v>
      </c>
      <c r="DM337" s="293">
        <f>+DM297/(DM30*2)</f>
        <v>3.7457709038182699E-2</v>
      </c>
      <c r="DN337" s="1248">
        <f>+DN297/(DN30)</f>
        <v>3.7614511921373536E-2</v>
      </c>
      <c r="DO337" s="293">
        <f>+DO297/(DO30*2)</f>
        <v>3.5032207029042826E-2</v>
      </c>
      <c r="DP337" s="293">
        <f>+DP297/(DP30*2)</f>
        <v>3.0013318112633181E-2</v>
      </c>
      <c r="DQ337" s="1248">
        <f>+DQ297/(DQ30)</f>
        <v>3.259129177211921E-2</v>
      </c>
      <c r="DR337" s="293">
        <f>+DR297/(DR30*2)</f>
        <v>2.4988620846609012E-2</v>
      </c>
      <c r="DS337" s="293">
        <f>+DS297/(DS30*2)</f>
        <v>2.7262334007563092E-2</v>
      </c>
      <c r="DT337" s="1248">
        <f>+DT297/(DT30)</f>
        <v>2.773304705671855E-2</v>
      </c>
      <c r="DU337" s="293">
        <f>+DU297/(DU30*2)</f>
        <v>2.9012961967420148E-2</v>
      </c>
      <c r="DV337" s="293">
        <f>+DV297/(DV30*2)</f>
        <v>2.9584788381246747E-2</v>
      </c>
      <c r="DW337" s="1248">
        <f>+DW297/(DW30)</f>
        <v>2.9576202466817463E-2</v>
      </c>
      <c r="DX337" s="293">
        <f>+DX297/(DX30*2)</f>
        <v>2.9429403701165181E-2</v>
      </c>
      <c r="DY337" s="293">
        <f>+DY297/(DY30*2)</f>
        <v>2.5589071777281928E-2</v>
      </c>
      <c r="DZ337" s="1248">
        <f>+DZ297/(DZ30)</f>
        <v>2.7375208677555222E-2</v>
      </c>
      <c r="EA337" s="293">
        <f>+EA297/(EA30*2)</f>
        <v>2.4675653274796081E-2</v>
      </c>
      <c r="EB337" s="293">
        <f>+EB297/(EB30*2)</f>
        <v>2.3938133536205667E-2</v>
      </c>
      <c r="EC337" s="1248">
        <f>+EC297/(EC30)</f>
        <v>2.4301298949683997E-2</v>
      </c>
      <c r="ED337" s="293">
        <f>+ED297/(ED30*2)</f>
        <v>2.2766629537084325E-2</v>
      </c>
      <c r="EE337" s="293">
        <f>+EE297/(EE30*2)</f>
        <v>2.2083523806825128E-2</v>
      </c>
      <c r="EF337" s="1248">
        <f>+EF297/(EF30)</f>
        <v>2.2419874533233651E-2</v>
      </c>
      <c r="EG337" s="293">
        <f>+EG297/(EG30*2)</f>
        <v>2.0886816089068193E-2</v>
      </c>
      <c r="EH337" s="293">
        <f>+EH297/(EH30*2)</f>
        <v>2.0260113584243237E-2</v>
      </c>
      <c r="EI337" s="1248">
        <f>+EI297/(EI30)</f>
        <v>2.0568692232324454E-2</v>
      </c>
      <c r="EJ337" s="293">
        <f>+EJ297/(EJ30*2)</f>
        <v>1.9162216595475404E-2</v>
      </c>
      <c r="EK337" s="293">
        <f>+EK297/(EK30*2)</f>
        <v>1.8587260169030492E-2</v>
      </c>
      <c r="EL337" s="1248">
        <f>+EL297/(EL30)</f>
        <v>1.8870359846169221E-2</v>
      </c>
      <c r="EM337" s="293">
        <f>+EM297/(EM30*2)</f>
        <v>1.7580015225206792E-2</v>
      </c>
      <c r="EN337" s="293">
        <f>+EN297/(EN30*2)</f>
        <v>1.7052532265165586E-2</v>
      </c>
      <c r="EO337" s="1248">
        <f>+EO297/(EO30)</f>
        <v>1.7312256739604789E-2</v>
      </c>
      <c r="EP337" s="293">
        <f>+EP297/(EP30*2)</f>
        <v>1.6128454335052101E-2</v>
      </c>
      <c r="EQ337" s="293">
        <f>+EQ297/(EQ30*2)</f>
        <v>1.564452501391338E-2</v>
      </c>
      <c r="ER337" s="1248">
        <f>+ER297/(ER30)</f>
        <v>1.5882804348261274E-2</v>
      </c>
      <c r="ES337" s="293">
        <f>+ES297/(ES30*2)</f>
        <v>1.4796747096378071E-2</v>
      </c>
      <c r="ET337" s="293">
        <f>+ET297/(ET30*2)</f>
        <v>1.4352775242122365E-2</v>
      </c>
      <c r="EU337" s="1248">
        <f>+EU297/(EU30)</f>
        <v>1.4571380136019515E-2</v>
      </c>
      <c r="EV337" s="293">
        <f>+EV297/(EV30*2)</f>
        <v>1.357499733612667E-2</v>
      </c>
      <c r="EW337" s="293">
        <f>+EW297/(EW30*2)</f>
        <v>1.3167683708369142E-2</v>
      </c>
      <c r="EX337" s="1248">
        <f>+EX297/(EX30)</f>
        <v>1.3368238656898635E-2</v>
      </c>
      <c r="EY337" s="293">
        <f>+EY297/(EY30*2)</f>
        <v>1.2454125996446486E-2</v>
      </c>
      <c r="EZ337" s="293">
        <f>+EZ297/(EZ30*2)</f>
        <v>1.2080443769146E-2</v>
      </c>
      <c r="FA337" s="1248">
        <f>+FA297/(FA30)</f>
        <v>1.226443913476939E-2</v>
      </c>
      <c r="FE337"/>
      <c r="FF337"/>
      <c r="FG337"/>
      <c r="FH337"/>
      <c r="FI337"/>
      <c r="FJ337"/>
      <c r="FK337" s="35"/>
    </row>
    <row r="338" spans="1:167" s="236" customFormat="1" ht="14.1" customHeight="1" outlineLevel="1">
      <c r="B338" s="242" t="s">
        <v>169</v>
      </c>
      <c r="C338" s="242" t="s">
        <v>496</v>
      </c>
      <c r="D338" s="243"/>
      <c r="E338" s="482"/>
      <c r="F338" s="482"/>
      <c r="G338" s="482"/>
      <c r="H338" s="482">
        <f>+(G236+H236)/2</f>
        <v>0</v>
      </c>
      <c r="I338" s="482">
        <f>+(H236+I236)/2</f>
        <v>0</v>
      </c>
      <c r="J338" s="482">
        <f>+(G236+J236)/2</f>
        <v>0</v>
      </c>
      <c r="K338" s="482">
        <f>+(J236+K236)/2</f>
        <v>0</v>
      </c>
      <c r="L338" s="482">
        <f>+(K236+L236)/2</f>
        <v>0</v>
      </c>
      <c r="M338" s="482">
        <f>+(J236+M236)/2</f>
        <v>0</v>
      </c>
      <c r="N338" s="482">
        <f>+(M236+N236)/2</f>
        <v>0</v>
      </c>
      <c r="O338" s="482">
        <f>+(N236+O236)/2</f>
        <v>0</v>
      </c>
      <c r="P338" s="482">
        <f>+(M236+P236)/2</f>
        <v>0</v>
      </c>
      <c r="Q338" s="482">
        <f>+(P236+Q236)/2</f>
        <v>0</v>
      </c>
      <c r="R338" s="482">
        <f>+(Q236+R236)/2</f>
        <v>0</v>
      </c>
      <c r="S338" s="482">
        <f>+(P236+S236)/2</f>
        <v>0</v>
      </c>
      <c r="T338" s="482">
        <f>+(S236+T236)/2</f>
        <v>0</v>
      </c>
      <c r="U338" s="482">
        <f>+(T236+U236)/2</f>
        <v>0</v>
      </c>
      <c r="V338" s="482">
        <f>+(S236+V236)/2</f>
        <v>0</v>
      </c>
      <c r="W338" s="482">
        <f>+(V236+W236)/2</f>
        <v>0</v>
      </c>
      <c r="X338" s="482">
        <f>+(W236+X236)/2</f>
        <v>0</v>
      </c>
      <c r="Y338" s="482">
        <f>+(V236+Y236)/2</f>
        <v>0</v>
      </c>
      <c r="Z338" s="482">
        <f>+(Y236+Z236)/2</f>
        <v>0</v>
      </c>
      <c r="AA338" s="482">
        <f>+(Z236+AA236)/2</f>
        <v>0</v>
      </c>
      <c r="AB338" s="482">
        <f>+(Y236+AB236)/2</f>
        <v>0</v>
      </c>
      <c r="AC338" s="482">
        <f>+(AB236+AC236)/2</f>
        <v>0</v>
      </c>
      <c r="AD338" s="482">
        <f>+(AC236+AD236)/2</f>
        <v>0</v>
      </c>
      <c r="AE338" s="482">
        <f>+(AB236+AE236)/2</f>
        <v>0</v>
      </c>
      <c r="AF338" s="482">
        <f>+(AE236+AF236)/2</f>
        <v>0</v>
      </c>
      <c r="AG338" s="482">
        <f>+(AF236+AG236)/2</f>
        <v>0</v>
      </c>
      <c r="AH338" s="482">
        <f>+(AE236+AH236)/2</f>
        <v>0</v>
      </c>
      <c r="AI338" s="482">
        <f>+(AH236+AI236)/2</f>
        <v>5.8</v>
      </c>
      <c r="AJ338" s="482">
        <f>+(AI236+AJ236)/2</f>
        <v>9.7710000000000008</v>
      </c>
      <c r="AK338" s="482">
        <f>+(AH236+AK236)/2</f>
        <v>3.9710000000000001</v>
      </c>
      <c r="AL338" s="482">
        <f>+(AK236+AL236)/2</f>
        <v>6.9370000000000003</v>
      </c>
      <c r="AM338" s="482">
        <f>+(AL236+AM236)/2</f>
        <v>5.8659999999999997</v>
      </c>
      <c r="AN338" s="482">
        <f>+(AK236+AN236)/2</f>
        <v>6.8710000000000004</v>
      </c>
      <c r="AO338" s="482">
        <f>+(AN236+AO236)/2</f>
        <v>6.3535000000000004</v>
      </c>
      <c r="AP338" s="482">
        <f>+(AO236+AP236)/2</f>
        <v>7.4980000000000002</v>
      </c>
      <c r="AQ338" s="482">
        <f>+(AN236+AQ236)/2</f>
        <v>6.9444999999999997</v>
      </c>
      <c r="AR338" s="482">
        <f>+(AQ236+AR236)/2</f>
        <v>10.347000000000001</v>
      </c>
      <c r="AS338" s="482">
        <f>+(AR236+AS236)/2</f>
        <v>13.1165</v>
      </c>
      <c r="AT338" s="482">
        <f>+(AQ236+AT236)/2</f>
        <v>10.858499999999999</v>
      </c>
      <c r="AU338" s="482">
        <f>+(AT236+AU236)/2</f>
        <v>14.231999999999999</v>
      </c>
      <c r="AV338" s="482">
        <f>+(AU236+AV236)/2</f>
        <v>13.098500000000001</v>
      </c>
      <c r="AW338" s="482">
        <f>+(AT236+AW236)/2</f>
        <v>12.4945</v>
      </c>
      <c r="AX338" s="482">
        <f>+(AW236+AX236)/2</f>
        <v>12.7105</v>
      </c>
      <c r="AY338" s="482">
        <f>+(AX236+AY236)/2</f>
        <v>14.064</v>
      </c>
      <c r="AZ338" s="482">
        <f>+(AW236+AZ236)/2</f>
        <v>12.714500000000001</v>
      </c>
      <c r="BA338" s="482">
        <f>+(AZ236+BA236)/2</f>
        <v>15.759</v>
      </c>
      <c r="BB338" s="482">
        <f>+(BA236+BB236)/2</f>
        <v>22.259</v>
      </c>
      <c r="BC338" s="482">
        <f>+(AZ236+BC236)/2</f>
        <v>20.568000000000001</v>
      </c>
      <c r="BD338" s="482">
        <f>+(BC236+BD236)/2</f>
        <v>31.935000000000002</v>
      </c>
      <c r="BE338" s="482">
        <f>+(BD236+BE236)/2</f>
        <v>36.591000000000001</v>
      </c>
      <c r="BF338" s="482">
        <f>+(BC236+BF236)/2</f>
        <v>31.724000000000004</v>
      </c>
      <c r="BG338" s="482">
        <f>+(BF236+BG236)/2</f>
        <v>38.513500000000001</v>
      </c>
      <c r="BH338" s="482">
        <f>+(BG236+BH236)/2</f>
        <v>42.835000000000001</v>
      </c>
      <c r="BI338" s="482">
        <f>+(BF236+BI236)/2</f>
        <v>40.701500000000003</v>
      </c>
      <c r="BJ338" s="482">
        <f>+(BI236+BJ236)/2</f>
        <v>47.004000000000005</v>
      </c>
      <c r="BK338" s="482">
        <f>+(BJ236+BK236)/2</f>
        <v>46.911000000000001</v>
      </c>
      <c r="BL338" s="482">
        <f>+(BI236+BL236)/2</f>
        <v>44.930000000000007</v>
      </c>
      <c r="BM338" s="482">
        <f>+(BL236+BM236)/2</f>
        <v>42.792500000000004</v>
      </c>
      <c r="BN338" s="482">
        <f>+(BM236+BN236)/2</f>
        <v>45.132999999999996</v>
      </c>
      <c r="BO338" s="482">
        <f>+(BL236+BO236)/2</f>
        <v>47.177500000000002</v>
      </c>
      <c r="BP338" s="482">
        <f>+(BO236+BP236)/2</f>
        <v>53.1265</v>
      </c>
      <c r="BQ338" s="482">
        <f>+(BP236+BQ236)/2</f>
        <v>66.778500000000008</v>
      </c>
      <c r="BR338" s="482">
        <f>+(BO236+BR236)/2</f>
        <v>63.17</v>
      </c>
      <c r="BS338" s="482">
        <f>+(BR236+BS236)/2</f>
        <v>81.361000000000004</v>
      </c>
      <c r="BT338" s="482">
        <f>+(BS236+BT236)/2</f>
        <v>88.89500000000001</v>
      </c>
      <c r="BU338" s="482">
        <f>+(BR236+BU236)/2</f>
        <v>84.355999999999995</v>
      </c>
      <c r="BV338" s="482">
        <f>+(BU236+BV236)/2</f>
        <v>95.698499999999996</v>
      </c>
      <c r="BW338" s="482">
        <f>+(BV236+BW236)/2</f>
        <v>99.337999999999994</v>
      </c>
      <c r="BX338" s="482">
        <f>+(BU236+BX236)/2</f>
        <v>95.529499999999999</v>
      </c>
      <c r="BY338" s="482">
        <f>+(BX236+BY236)/2</f>
        <v>97.67949999999999</v>
      </c>
      <c r="BZ338" s="482">
        <f>+(BY236+BZ236)/2</f>
        <v>101.06700000000001</v>
      </c>
      <c r="CA338" s="482">
        <f>+(BX236+CA236)/2</f>
        <v>102.5565</v>
      </c>
      <c r="CB338" s="482">
        <f>+(CA236+CB236)/2</f>
        <v>101.6555</v>
      </c>
      <c r="CC338" s="482">
        <f>+(CB236+CC236)/2</f>
        <v>100.887</v>
      </c>
      <c r="CD338" s="482">
        <f>+(CA236+CD236)/2</f>
        <v>105.1755</v>
      </c>
      <c r="CE338" s="482">
        <f>+(CD236+CE236)/2</f>
        <v>105.803</v>
      </c>
      <c r="CF338" s="482">
        <f>+(CE236+CF236)/2</f>
        <v>106.66249999999999</v>
      </c>
      <c r="CG338" s="482">
        <f>+(CD236+CG236)/2</f>
        <v>105.26650000000001</v>
      </c>
      <c r="CH338" s="482">
        <f>+(CG236+CH236)/2</f>
        <v>99.325000000000003</v>
      </c>
      <c r="CI338" s="482">
        <f>+(CH236+CI236)/2</f>
        <v>96.911000000000001</v>
      </c>
      <c r="CJ338" s="482">
        <f>+(CG236+CJ236)/2</f>
        <v>103.712</v>
      </c>
      <c r="CK338" s="482">
        <f>+(CJ236+CK236)/2</f>
        <v>108.5065</v>
      </c>
      <c r="CL338" s="482">
        <f>+(CK236+CL236)/2</f>
        <v>123.64450000000001</v>
      </c>
      <c r="CM338" s="482">
        <f>+(CJ236+CM236)/2</f>
        <v>116.43600000000001</v>
      </c>
      <c r="CN338" s="482">
        <f>+(CM236+CN236)/2</f>
        <v>136.14750000000001</v>
      </c>
      <c r="CO338" s="482">
        <f>+(CN236+CO236)/2</f>
        <v>134.667</v>
      </c>
      <c r="CP338" s="482">
        <f>+(CM236+CP236)/2</f>
        <v>130.09350000000001</v>
      </c>
      <c r="CQ338" s="482">
        <f>+(CP236+CQ236)/2</f>
        <v>133.554</v>
      </c>
      <c r="CR338" s="482">
        <f>+(CQ236+CR236)/2</f>
        <v>144.1045</v>
      </c>
      <c r="CS338" s="482">
        <f>+(CP236+CS236)/2</f>
        <v>139.1635</v>
      </c>
      <c r="CT338" s="482">
        <f>+(CS236+CT236)/2</f>
        <v>151.38549999999998</v>
      </c>
      <c r="CU338" s="482">
        <f>+(CT236+CU236)/2</f>
        <v>159.30700000000002</v>
      </c>
      <c r="CV338" s="482">
        <f>+(CS236+CV236)/2</f>
        <v>157.63550000000001</v>
      </c>
      <c r="CW338" s="482">
        <f>+(CV236+CW236)/2</f>
        <v>167.0745</v>
      </c>
      <c r="CX338" s="482">
        <f>+(CW236+CX236)/2</f>
        <v>173.51650000000001</v>
      </c>
      <c r="CY338" s="482">
        <f>+(CV236+CY236)/2</f>
        <v>171.99900000000002</v>
      </c>
      <c r="CZ338" s="482">
        <f>+(CY236+CZ236)/2</f>
        <v>185.87049999999999</v>
      </c>
      <c r="DA338" s="482">
        <f>+(CZ236+DA236)/2</f>
        <v>180.35000000000002</v>
      </c>
      <c r="DB338" s="482">
        <f>+(CY236+DB236)/2</f>
        <v>172.9205</v>
      </c>
      <c r="DC338" s="482">
        <f>+(DB236+DC236)/2</f>
        <v>171.95</v>
      </c>
      <c r="DD338" s="482">
        <f>+(DC236+DD236)/2</f>
        <v>185.95</v>
      </c>
      <c r="DE338" s="482">
        <f>+(DB236+DE236)/2</f>
        <v>181.4</v>
      </c>
      <c r="DF338" s="482">
        <f>+(DE236+DF236)/2</f>
        <v>199.7</v>
      </c>
      <c r="DG338" s="482">
        <f>+(DF236+DG236)/2</f>
        <v>213.9</v>
      </c>
      <c r="DH338" s="1244">
        <f>+(DE236+DH236)/2</f>
        <v>209.60000000000002</v>
      </c>
      <c r="DI338" s="482">
        <f>+(DH236+DI236)/2</f>
        <v>210.3</v>
      </c>
      <c r="DJ338" s="482">
        <f>+(DI236+DJ236)/2</f>
        <v>206.45</v>
      </c>
      <c r="DK338" s="1244">
        <f>+(DH236+DK236)/2</f>
        <v>219.95</v>
      </c>
      <c r="DL338" s="482">
        <f>+(DK236+DL236)/2</f>
        <v>227.05</v>
      </c>
      <c r="DM338" s="482">
        <f>+(DL236+DM236)/2</f>
        <v>254.1</v>
      </c>
      <c r="DN338" s="1244">
        <f>+(DK236+DN236)/2</f>
        <v>243.14999999999998</v>
      </c>
      <c r="DO338" s="482">
        <f>+(DN236+DO236)/2</f>
        <v>277.95</v>
      </c>
      <c r="DP338" s="482">
        <f>+(DO236+DP236)/2</f>
        <v>298.60000000000002</v>
      </c>
      <c r="DQ338" s="1244">
        <f>+(DN236+DQ236)/2</f>
        <v>290.85000000000002</v>
      </c>
      <c r="DR338" s="482">
        <f>+(DQ236+DR236)/2</f>
        <v>316.5</v>
      </c>
      <c r="DS338" s="482">
        <f>+(DR236+DS236)/2</f>
        <v>356.55</v>
      </c>
      <c r="DT338" s="1244">
        <f>+(DQ236+DT236)/2</f>
        <v>351.55</v>
      </c>
      <c r="DU338" s="482">
        <f>+(DT236+DU236)/2</f>
        <v>426.35</v>
      </c>
      <c r="DV338" s="482">
        <f>+(DU236+DV236)/2</f>
        <v>480.25</v>
      </c>
      <c r="DW338" s="1244">
        <f>+(DT236+DW236)/2</f>
        <v>445.5</v>
      </c>
      <c r="DX338" s="482">
        <f>+(DW236+DX236)/2</f>
        <v>532.75</v>
      </c>
      <c r="DY338" s="482">
        <f>+(DX236+DY236)/2</f>
        <v>587.33965184270971</v>
      </c>
      <c r="DZ338" s="1244">
        <f>+(DW236+DZ236)/2</f>
        <v>553.98965184270969</v>
      </c>
      <c r="EA338" s="482">
        <f>+(DZ236+EA236)/2</f>
        <v>610.54294191137774</v>
      </c>
      <c r="EB338" s="482">
        <f>+(EA236+EB236)/2</f>
        <v>617.22432152039482</v>
      </c>
      <c r="EC338" s="1244">
        <f>+(DZ236+EC236)/2</f>
        <v>615.2606832944366</v>
      </c>
      <c r="ED338" s="482">
        <f>+(EC236+ED236)/2</f>
        <v>635.36028669788629</v>
      </c>
      <c r="EE338" s="482">
        <f>+(ED236+EE236)/2</f>
        <v>653.79564817902906</v>
      </c>
      <c r="EF338" s="1244">
        <f>+(EC236+EF236)/2</f>
        <v>640.37742438459645</v>
      </c>
      <c r="EG338" s="482">
        <f>+(EF236+EG236)/2</f>
        <v>674.76779072750151</v>
      </c>
      <c r="EH338" s="482">
        <f>+(EG236+EH236)/2</f>
        <v>696.06429706130098</v>
      </c>
      <c r="EI338" s="1244">
        <f>+(EF236+EI236)/2</f>
        <v>680.10929219953857</v>
      </c>
      <c r="EJ338" s="482">
        <f>+(EI236+EJ236)/2</f>
        <v>718.18387230100484</v>
      </c>
      <c r="EK338" s="482">
        <f>+(EJ236+EK236)/2</f>
        <v>740.64555799213201</v>
      </c>
      <c r="EL338" s="1244">
        <f>+(EI236+EL236)/2</f>
        <v>723.86748422446522</v>
      </c>
      <c r="EM338" s="482">
        <f>+(EL236+EM236)/2</f>
        <v>763.949229452846</v>
      </c>
      <c r="EN338" s="482">
        <f>+(EM236+EN236)/2</f>
        <v>787.6133250843161</v>
      </c>
      <c r="EO338" s="1244">
        <f>+(EL236+EO236)/2</f>
        <v>769.99326554706226</v>
      </c>
      <c r="EP338" s="482">
        <f>+(EO236+EP236)/2</f>
        <v>812.13506152638047</v>
      </c>
      <c r="EQ338" s="482">
        <f>+(EP236+EQ236)/2</f>
        <v>837.03606123335692</v>
      </c>
      <c r="ER338" s="1244">
        <f>+(EO236+ER236)/2</f>
        <v>818.55836088550882</v>
      </c>
      <c r="ES338" s="482">
        <f>+(ER236+ES236)/2</f>
        <v>862.80635461458314</v>
      </c>
      <c r="ET338" s="482">
        <f>+(ES236+ET236)/2</f>
        <v>888.97522195604233</v>
      </c>
      <c r="EU338" s="1244">
        <f>+(ER236+EU236)/2</f>
        <v>869.62822793394457</v>
      </c>
      <c r="EV338" s="482">
        <f>+(EU236+EV236)/2</f>
        <v>916.02018646029842</v>
      </c>
      <c r="EW338" s="482">
        <f>+(EV236+EW236)/2</f>
        <v>943.48343951282072</v>
      </c>
      <c r="EX338" s="1244">
        <f>+(EU236+EX236)/2</f>
        <v>923.26034832792607</v>
      </c>
      <c r="EY338" s="482">
        <f>+(EX236+EY236)/2</f>
        <v>971.82377656586436</v>
      </c>
      <c r="EZ338" s="482">
        <f>+(EY236+EZ236)/2</f>
        <v>1000.6024369319753</v>
      </c>
      <c r="FA338" s="1244">
        <f>+(EX236+FA236)/2</f>
        <v>979.50226174655916</v>
      </c>
      <c r="FE338"/>
      <c r="FF338"/>
      <c r="FG338"/>
      <c r="FH338"/>
      <c r="FI338"/>
      <c r="FJ338"/>
      <c r="FK338" s="35"/>
    </row>
    <row r="339" spans="1:167" s="236" customFormat="1" ht="14.1" customHeight="1" outlineLevel="1">
      <c r="B339" s="242" t="s">
        <v>170</v>
      </c>
      <c r="C339" s="242" t="s">
        <v>130</v>
      </c>
      <c r="D339" s="243"/>
      <c r="E339" s="482"/>
      <c r="F339" s="482"/>
      <c r="G339" s="482"/>
      <c r="H339" s="482"/>
      <c r="I339" s="482"/>
      <c r="J339" s="482"/>
      <c r="K339" s="482"/>
      <c r="L339" s="482"/>
      <c r="M339" s="482"/>
      <c r="N339" s="482"/>
      <c r="O339" s="482"/>
      <c r="P339" s="482"/>
      <c r="Q339" s="482"/>
      <c r="R339" s="482"/>
      <c r="S339" s="482"/>
      <c r="T339" s="482"/>
      <c r="U339" s="482"/>
      <c r="V339" s="482"/>
      <c r="W339" s="482"/>
      <c r="X339" s="482"/>
      <c r="Y339" s="482"/>
      <c r="Z339" s="482"/>
      <c r="AA339" s="482"/>
      <c r="AB339" s="482"/>
      <c r="AC339" s="482"/>
      <c r="AD339" s="482"/>
      <c r="AE339" s="482"/>
      <c r="AF339" s="482"/>
      <c r="AG339" s="482"/>
      <c r="AH339" s="482"/>
      <c r="AI339" s="482">
        <f t="shared" ref="AI339:BN339" si="1085">+AI30/AI338</f>
        <v>5.8358620689655174</v>
      </c>
      <c r="AJ339" s="482">
        <f t="shared" si="1085"/>
        <v>3.5526558182376426</v>
      </c>
      <c r="AK339" s="482">
        <f t="shared" si="1085"/>
        <v>17.265424326366155</v>
      </c>
      <c r="AL339" s="482">
        <f t="shared" si="1085"/>
        <v>5.2714429868819366</v>
      </c>
      <c r="AM339" s="482">
        <f t="shared" si="1085"/>
        <v>6.0871121718377106</v>
      </c>
      <c r="AN339" s="482">
        <f t="shared" si="1085"/>
        <v>10.518847329355262</v>
      </c>
      <c r="AO339" s="482">
        <f t="shared" si="1085"/>
        <v>5.2391595183756978</v>
      </c>
      <c r="AP339" s="482">
        <f t="shared" si="1085"/>
        <v>5.1515070685516129</v>
      </c>
      <c r="AQ339" s="482">
        <f t="shared" si="1085"/>
        <v>10.355389156886744</v>
      </c>
      <c r="AR339" s="482">
        <f t="shared" si="1085"/>
        <v>4.1749299313810759</v>
      </c>
      <c r="AS339" s="482">
        <f t="shared" si="1085"/>
        <v>3.6976327526398043</v>
      </c>
      <c r="AT339" s="482">
        <f t="shared" si="1085"/>
        <v>8.4448128194502008</v>
      </c>
      <c r="AU339" s="482">
        <f t="shared" si="1085"/>
        <v>4.4002951096121414</v>
      </c>
      <c r="AV339" s="482">
        <f t="shared" si="1085"/>
        <v>4.9285032637324875</v>
      </c>
      <c r="AW339" s="482">
        <f t="shared" si="1085"/>
        <v>10.178958741846412</v>
      </c>
      <c r="AX339" s="482">
        <f t="shared" si="1085"/>
        <v>5.216002517603556</v>
      </c>
      <c r="AY339" s="482">
        <f t="shared" si="1085"/>
        <v>5.5361205915813416</v>
      </c>
      <c r="AZ339" s="482">
        <f t="shared" si="1085"/>
        <v>11.338078571709463</v>
      </c>
      <c r="BA339" s="482">
        <f t="shared" si="1085"/>
        <v>6.5491465194492031</v>
      </c>
      <c r="BB339" s="482">
        <f t="shared" si="1085"/>
        <v>5.2519430342782689</v>
      </c>
      <c r="BC339" s="482">
        <f t="shared" si="1085"/>
        <v>10.701623881758069</v>
      </c>
      <c r="BD339" s="482">
        <f t="shared" si="1085"/>
        <v>3.7602943478941597</v>
      </c>
      <c r="BE339" s="482">
        <f t="shared" si="1085"/>
        <v>3.7199311306058878</v>
      </c>
      <c r="BF339" s="482">
        <f t="shared" si="1085"/>
        <v>8.0759361997226069</v>
      </c>
      <c r="BG339" s="482">
        <f t="shared" si="1085"/>
        <v>3.8071065989847717</v>
      </c>
      <c r="BH339" s="482">
        <f t="shared" si="1085"/>
        <v>3.2539978989144389</v>
      </c>
      <c r="BI339" s="482">
        <f t="shared" si="1085"/>
        <v>7.0270137464221216</v>
      </c>
      <c r="BJ339" s="482">
        <f t="shared" si="1085"/>
        <v>2.5920772700195722</v>
      </c>
      <c r="BK339" s="482">
        <f t="shared" si="1085"/>
        <v>2.7316194495960433</v>
      </c>
      <c r="BL339" s="482">
        <f t="shared" si="1085"/>
        <v>5.5637881148453143</v>
      </c>
      <c r="BM339" s="482">
        <f t="shared" si="1085"/>
        <v>3.8598352515043528</v>
      </c>
      <c r="BN339" s="482">
        <f t="shared" si="1085"/>
        <v>4.0722752752974545</v>
      </c>
      <c r="BO339" s="482">
        <f t="shared" ref="BO339:CT339" si="1086">+BO30/BO338</f>
        <v>7.3968735096179321</v>
      </c>
      <c r="BP339" s="482">
        <f t="shared" si="1086"/>
        <v>3.9909701329623806</v>
      </c>
      <c r="BQ339" s="482">
        <f t="shared" si="1086"/>
        <v>3.5974711206626999</v>
      </c>
      <c r="BR339" s="482">
        <f t="shared" si="1086"/>
        <v>7.1594111128700337</v>
      </c>
      <c r="BS339" s="482">
        <f t="shared" si="1086"/>
        <v>3.2429345228534023</v>
      </c>
      <c r="BT339" s="482">
        <f t="shared" si="1086"/>
        <v>3.0513402456302314</v>
      </c>
      <c r="BU339" s="482">
        <f t="shared" si="1086"/>
        <v>6.3433221922468483</v>
      </c>
      <c r="BV339" s="482">
        <f t="shared" si="1086"/>
        <v>2.9812579189340118</v>
      </c>
      <c r="BW339" s="482">
        <f t="shared" si="1086"/>
        <v>2.9406042467119224</v>
      </c>
      <c r="BX339" s="482">
        <f t="shared" si="1086"/>
        <v>6.0443701224749988</v>
      </c>
      <c r="BY339" s="482">
        <f t="shared" si="1086"/>
        <v>3.4760006655958859</v>
      </c>
      <c r="BZ339" s="482">
        <f t="shared" si="1086"/>
        <v>3.222106661169541</v>
      </c>
      <c r="CA339" s="482">
        <f t="shared" si="1086"/>
        <v>6.4860117197788085</v>
      </c>
      <c r="CB339" s="482">
        <f t="shared" si="1086"/>
        <v>3.2636755334026253</v>
      </c>
      <c r="CC339" s="482">
        <f t="shared" si="1086"/>
        <v>3.6965134147601586</v>
      </c>
      <c r="CD339" s="482">
        <f t="shared" si="1086"/>
        <v>6.7002364339672145</v>
      </c>
      <c r="CE339" s="482">
        <f t="shared" si="1086"/>
        <v>3.4276292801036679</v>
      </c>
      <c r="CF339" s="482">
        <f t="shared" si="1086"/>
        <v>3.9286612980329685</v>
      </c>
      <c r="CG339" s="482">
        <f t="shared" si="1086"/>
        <v>7.4258600449739447</v>
      </c>
      <c r="CH339" s="482">
        <f t="shared" si="1086"/>
        <v>3.7791382376213423</v>
      </c>
      <c r="CI339" s="482">
        <f t="shared" si="1086"/>
        <v>3.9039840846180107</v>
      </c>
      <c r="CJ339" s="482">
        <f t="shared" si="1086"/>
        <v>7.267258437559355</v>
      </c>
      <c r="CK339" s="482">
        <f t="shared" si="1086"/>
        <v>3.488151646657399</v>
      </c>
      <c r="CL339" s="482">
        <f t="shared" si="1086"/>
        <v>2.8014446536386353</v>
      </c>
      <c r="CM339" s="482">
        <f t="shared" si="1086"/>
        <v>6.2254830990832151</v>
      </c>
      <c r="CN339" s="482">
        <f t="shared" si="1086"/>
        <v>2.6116224714082077</v>
      </c>
      <c r="CO339" s="482">
        <f t="shared" si="1086"/>
        <v>3.0989589919878342</v>
      </c>
      <c r="CP339" s="482">
        <f t="shared" si="1086"/>
        <v>5.9410607063387078</v>
      </c>
      <c r="CQ339" s="482">
        <f t="shared" si="1086"/>
        <v>3.2822229210656366</v>
      </c>
      <c r="CR339" s="482">
        <f t="shared" si="1086"/>
        <v>3.3814003032521529</v>
      </c>
      <c r="CS339" s="482">
        <f t="shared" si="1086"/>
        <v>6.6513776960194297</v>
      </c>
      <c r="CT339" s="482">
        <f t="shared" si="1086"/>
        <v>3.6865387492970982</v>
      </c>
      <c r="CU339" s="482">
        <f t="shared" ref="CU339:DZ339" si="1087">+CU30/CU338</f>
        <v>3.5829653316333165</v>
      </c>
      <c r="CV339" s="482">
        <f t="shared" si="1087"/>
        <v>7.1613308545234071</v>
      </c>
      <c r="CW339" s="482">
        <f t="shared" si="1087"/>
        <v>3.6457879510761049</v>
      </c>
      <c r="CX339" s="482">
        <f t="shared" si="1087"/>
        <v>3.7156517988442279</v>
      </c>
      <c r="CY339" s="482">
        <f t="shared" si="1087"/>
        <v>7.2898394431724549</v>
      </c>
      <c r="CZ339" s="482">
        <f t="shared" si="1087"/>
        <v>3.4380634027756884</v>
      </c>
      <c r="DA339" s="482">
        <f t="shared" si="1087"/>
        <v>3.9055973481312489</v>
      </c>
      <c r="DB339" s="482">
        <f t="shared" si="1087"/>
        <v>7.7689403248376525</v>
      </c>
      <c r="DC339" s="482">
        <f t="shared" si="1087"/>
        <v>4.0781477480244943</v>
      </c>
      <c r="DD339" s="482">
        <f t="shared" si="1087"/>
        <v>3.8844849783823836</v>
      </c>
      <c r="DE339" s="482">
        <f t="shared" si="1087"/>
        <v>7.8476156946142002</v>
      </c>
      <c r="DF339" s="482">
        <f t="shared" si="1087"/>
        <v>3.769972297652139</v>
      </c>
      <c r="DG339" s="482">
        <f t="shared" si="1087"/>
        <v>2.6753829411237011</v>
      </c>
      <c r="DH339" s="1244">
        <f t="shared" si="1087"/>
        <v>6.3221749949784911</v>
      </c>
      <c r="DI339" s="482">
        <f t="shared" si="1087"/>
        <v>3.5339990489776505</v>
      </c>
      <c r="DJ339" s="482">
        <f t="shared" si="1087"/>
        <v>3.6541535480745946</v>
      </c>
      <c r="DK339" s="1244">
        <f t="shared" si="1087"/>
        <v>6.8088201864060016</v>
      </c>
      <c r="DL339" s="482">
        <f t="shared" si="1087"/>
        <v>3.6146223298832858</v>
      </c>
      <c r="DM339" s="482">
        <f t="shared" si="1087"/>
        <v>3.2569854388036203</v>
      </c>
      <c r="DN339" s="1244">
        <f t="shared" si="1087"/>
        <v>6.7789430392761671</v>
      </c>
      <c r="DO339" s="482">
        <f t="shared" si="1087"/>
        <v>3.1836661270012598</v>
      </c>
      <c r="DP339" s="482">
        <f t="shared" si="1087"/>
        <v>3.5204286671131948</v>
      </c>
      <c r="DQ339" s="1244">
        <f t="shared" si="1087"/>
        <v>6.656695891352931</v>
      </c>
      <c r="DR339" s="482">
        <f t="shared" si="1087"/>
        <v>3.4707740916271721</v>
      </c>
      <c r="DS339" s="482">
        <f t="shared" si="1087"/>
        <v>3.1891740288879551</v>
      </c>
      <c r="DT339" s="1244">
        <f t="shared" si="1087"/>
        <v>6.3592661072393692</v>
      </c>
      <c r="DU339" s="482">
        <f t="shared" si="1087"/>
        <v>2.7486572065204644</v>
      </c>
      <c r="DV339" s="482">
        <f t="shared" si="1087"/>
        <v>2.4387506507027585</v>
      </c>
      <c r="DW339" s="1244">
        <f t="shared" si="1087"/>
        <v>5.2594837261503926</v>
      </c>
      <c r="DX339" s="482">
        <f t="shared" si="1087"/>
        <v>2.1908962928202724</v>
      </c>
      <c r="DY339" s="482">
        <f t="shared" si="1087"/>
        <v>2.2855087454468217</v>
      </c>
      <c r="DZ339" s="1244">
        <f t="shared" si="1087"/>
        <v>4.5299942020338113</v>
      </c>
      <c r="EA339" s="482">
        <f t="shared" ref="EA339:EF339" si="1088">+EA30/EA338</f>
        <v>2.2800368554667498</v>
      </c>
      <c r="EB339" s="482">
        <f t="shared" si="1088"/>
        <v>2.3248419049595572</v>
      </c>
      <c r="EC339" s="1244">
        <f t="shared" si="1088"/>
        <v>4.5948155856417685</v>
      </c>
      <c r="ED339" s="482">
        <f t="shared" si="1088"/>
        <v>2.3746955314827463</v>
      </c>
      <c r="EE339" s="482">
        <f t="shared" si="1088"/>
        <v>2.3791199685770956</v>
      </c>
      <c r="EF339" s="1244">
        <f t="shared" si="1088"/>
        <v>4.7850617447973667</v>
      </c>
      <c r="EG339" s="482">
        <f t="shared" ref="EG339:EL339" si="1089">+EG30/EG338</f>
        <v>2.4372504250139735</v>
      </c>
      <c r="EH339" s="482">
        <f t="shared" si="1089"/>
        <v>2.4357656821146461</v>
      </c>
      <c r="EI339" s="1244">
        <f t="shared" si="1089"/>
        <v>4.9110159945933765</v>
      </c>
      <c r="EJ339" s="482">
        <f t="shared" si="1089"/>
        <v>2.4960044098724965</v>
      </c>
      <c r="EK339" s="482">
        <f t="shared" si="1089"/>
        <v>2.4951746011906129</v>
      </c>
      <c r="EL339" s="1244">
        <f t="shared" si="1089"/>
        <v>5.029415157457608</v>
      </c>
      <c r="EM339" s="482">
        <f t="shared" ref="EM339:ER339" si="1090">+EM30/EM338</f>
        <v>2.5576610946707596</v>
      </c>
      <c r="EN339" s="482">
        <f t="shared" si="1090"/>
        <v>2.5575539662203783</v>
      </c>
      <c r="EO339" s="1244">
        <f t="shared" si="1090"/>
        <v>5.1536643026004745</v>
      </c>
      <c r="EP339" s="482">
        <f t="shared" si="1090"/>
        <v>2.6224410364640325</v>
      </c>
      <c r="EQ339" s="482">
        <f t="shared" si="1090"/>
        <v>2.6231322730465423</v>
      </c>
      <c r="ER339" s="1244">
        <f t="shared" si="1090"/>
        <v>5.2842079747909354</v>
      </c>
      <c r="ES339" s="482">
        <f t="shared" ref="ES339:EX339" si="1091">+ES30/ES338</f>
        <v>2.6905877178661282</v>
      </c>
      <c r="ET339" s="482">
        <f t="shared" si="1091"/>
        <v>2.6921620697056614</v>
      </c>
      <c r="EU339" s="1244">
        <f t="shared" si="1091"/>
        <v>5.4215369311116648</v>
      </c>
      <c r="EV339" s="482">
        <f t="shared" si="1091"/>
        <v>2.7623706052340049</v>
      </c>
      <c r="EW339" s="482">
        <f t="shared" si="1091"/>
        <v>2.7649232067247334</v>
      </c>
      <c r="EX339" s="1244">
        <f t="shared" si="1091"/>
        <v>5.5661943061406873</v>
      </c>
      <c r="EY339" s="482">
        <f t="shared" ref="EY339:FA339" si="1092">+EY30/EY338</f>
        <v>2.8380887098115495</v>
      </c>
      <c r="EZ339" s="482">
        <f t="shared" si="1092"/>
        <v>2.8417266291337544</v>
      </c>
      <c r="FA339" s="1244">
        <f t="shared" si="1092"/>
        <v>5.7187827911857303</v>
      </c>
      <c r="FE339"/>
      <c r="FF339"/>
      <c r="FG339"/>
      <c r="FH339"/>
      <c r="FI339"/>
      <c r="FJ339"/>
      <c r="FK339" s="35"/>
    </row>
    <row r="340" spans="1:167" s="236" customFormat="1" ht="14.1" customHeight="1" outlineLevel="1">
      <c r="B340" s="242" t="s">
        <v>171</v>
      </c>
      <c r="C340" s="242" t="s">
        <v>172</v>
      </c>
      <c r="D340" s="243"/>
      <c r="E340" s="482"/>
      <c r="F340" s="482"/>
      <c r="G340" s="482"/>
      <c r="H340" s="482"/>
      <c r="I340" s="482"/>
      <c r="J340" s="482"/>
      <c r="K340" s="482"/>
      <c r="L340" s="482"/>
      <c r="M340" s="482"/>
      <c r="N340" s="482"/>
      <c r="O340" s="482"/>
      <c r="P340" s="482"/>
      <c r="Q340" s="482"/>
      <c r="R340" s="482"/>
      <c r="S340" s="482"/>
      <c r="T340" s="482"/>
      <c r="U340" s="482"/>
      <c r="V340" s="482"/>
      <c r="W340" s="482"/>
      <c r="X340" s="482"/>
      <c r="Y340" s="482"/>
      <c r="Z340" s="482"/>
      <c r="AA340" s="482"/>
      <c r="AB340" s="482"/>
      <c r="AC340" s="482"/>
      <c r="AD340" s="482"/>
      <c r="AE340" s="482"/>
      <c r="AF340" s="482"/>
      <c r="AG340" s="482"/>
      <c r="AH340" s="482"/>
      <c r="AI340" s="482">
        <f>+(AI338/(AI30*2))*365</f>
        <v>31.272157882297332</v>
      </c>
      <c r="AJ340" s="482">
        <f>+(AJ338/(AJ30*2))*365</f>
        <v>51.370019877279404</v>
      </c>
      <c r="AK340" s="482">
        <f>+(AK338/(AK30))*365</f>
        <v>21.140517203658053</v>
      </c>
      <c r="AL340" s="482">
        <f>+(AL338/(AL30*2))*365</f>
        <v>34.620501531393572</v>
      </c>
      <c r="AM340" s="482">
        <f>+(AM338/(AM30*2))*365</f>
        <v>29.981376200744943</v>
      </c>
      <c r="AN340" s="482">
        <f>+(AN338/(AN30))*365</f>
        <v>34.699619508820476</v>
      </c>
      <c r="AO340" s="482">
        <f>+(AO338/(AO30*2))*365</f>
        <v>34.833831525820891</v>
      </c>
      <c r="AP340" s="482">
        <f>+(AP338/(AP30*2))*365</f>
        <v>35.426526174079633</v>
      </c>
      <c r="AQ340" s="482">
        <f>+(AQ338/(AQ30))*365</f>
        <v>35.247347489327382</v>
      </c>
      <c r="AR340" s="482">
        <f>+(AR338/(AR30*2))*365</f>
        <v>43.713308486504012</v>
      </c>
      <c r="AS340" s="482">
        <f>+(AS338/(AS30*2))*365</f>
        <v>49.35590206185568</v>
      </c>
      <c r="AT340" s="482">
        <f>+(AT338/(AT30))*365</f>
        <v>43.221798730615717</v>
      </c>
      <c r="AU340" s="482">
        <f>+(AU338/(AU30*2))*365</f>
        <v>41.47449101796407</v>
      </c>
      <c r="AV340" s="482">
        <f>+(AV338/(AV30*2))*365</f>
        <v>37.029497645455116</v>
      </c>
      <c r="AW340" s="482">
        <f>+(AW338/(AW30))*365</f>
        <v>35.858284649436634</v>
      </c>
      <c r="AX340" s="482">
        <f>+(AX338/(AX30*2))*365</f>
        <v>34.988480044646899</v>
      </c>
      <c r="AY340" s="482">
        <f>+(AY338/(AY30*2))*365</f>
        <v>32.965322373490892</v>
      </c>
      <c r="AZ340" s="482">
        <f>+(AZ338/(AZ30))*365</f>
        <v>32.192403473966067</v>
      </c>
      <c r="BA340" s="482">
        <f>+(BA338/(BA30*2))*365</f>
        <v>27.866226455313541</v>
      </c>
      <c r="BB340" s="482">
        <f>+(BB338/(BB30*2))*365</f>
        <v>34.7490440792794</v>
      </c>
      <c r="BC340" s="482">
        <f>+(BC338/(BC30))*365</f>
        <v>34.106973299835083</v>
      </c>
      <c r="BD340" s="482">
        <f>+(BD338/(BD30*2))*365</f>
        <v>48.533434650455938</v>
      </c>
      <c r="BE340" s="482">
        <f>+(BE338/(BE30*2))*365</f>
        <v>49.060048047253794</v>
      </c>
      <c r="BF340" s="482">
        <f>+(BF338/(BF30))*365</f>
        <v>45.195998454338586</v>
      </c>
      <c r="BG340" s="482">
        <f>+(BG338/(BG30*2))*365</f>
        <v>47.936666666666667</v>
      </c>
      <c r="BH340" s="482">
        <f>+(BH338/(BH30*2))*365</f>
        <v>56.08485489830327</v>
      </c>
      <c r="BI340" s="482">
        <f>+(BI338/(BI30))*365</f>
        <v>51.942405859934972</v>
      </c>
      <c r="BJ340" s="482">
        <f>+(BJ338/(BJ30*2))*365</f>
        <v>70.406851721137912</v>
      </c>
      <c r="BK340" s="482">
        <f>+(BK338/(BK30*2))*365</f>
        <v>66.810184715513145</v>
      </c>
      <c r="BL340" s="482">
        <f>+(BL338/(BL30))*365</f>
        <v>65.602785811721702</v>
      </c>
      <c r="BM340" s="482">
        <f>+(BM338/(BM30*2))*365</f>
        <v>47.28181077906666</v>
      </c>
      <c r="BN340" s="482">
        <f>+(BN338/(BN30*2))*365</f>
        <v>44.815241520397834</v>
      </c>
      <c r="BO340" s="482">
        <f>+(BO338/(BO30))*365</f>
        <v>49.345172595611032</v>
      </c>
      <c r="BP340" s="482">
        <f>+(BP338/(BP30*2))*365</f>
        <v>45.728229959099089</v>
      </c>
      <c r="BQ340" s="482">
        <f>+(BQ338/(BQ30*2))*365</f>
        <v>50.730080625742779</v>
      </c>
      <c r="BR340" s="482">
        <f>+(BR338/(BR30))*365</f>
        <v>50.981846725334982</v>
      </c>
      <c r="BS340" s="482">
        <f>+(BS338/(BS30*2))*365</f>
        <v>56.276190195607583</v>
      </c>
      <c r="BT340" s="482">
        <f>+(BT338/(BT30*2))*365</f>
        <v>59.80978367173406</v>
      </c>
      <c r="BU340" s="482">
        <f>+(BU338/(BU30))*365</f>
        <v>57.540826232368076</v>
      </c>
      <c r="BV340" s="482">
        <f>+(BV338/(BV30*2))*365</f>
        <v>61.215770309888278</v>
      </c>
      <c r="BW340" s="482">
        <f>+(BW338/(BW30*2))*365</f>
        <v>62.062074556297375</v>
      </c>
      <c r="BX340" s="482">
        <f>+(BX338/(BX30))*365</f>
        <v>60.386771922322779</v>
      </c>
      <c r="BY340" s="482">
        <f>+(BY338/(BY30*2))*365</f>
        <v>52.502866816544262</v>
      </c>
      <c r="BZ340" s="482">
        <f>+(BZ338/(BZ30*2))*365</f>
        <v>56.639962357347052</v>
      </c>
      <c r="CA340" s="482">
        <f>+(CA338/(CA30))*365</f>
        <v>56.274952277213515</v>
      </c>
      <c r="CB340" s="482">
        <f>+(CB338/(CB30*2))*365</f>
        <v>55.918548928094616</v>
      </c>
      <c r="CC340" s="482">
        <f>+(CC338/(CC30*2))*365</f>
        <v>49.37084747786345</v>
      </c>
      <c r="CD340" s="482">
        <f>+(CD338/(CD30))*365</f>
        <v>54.475689566656577</v>
      </c>
      <c r="CE340" s="482">
        <f>+(CE338/(CE30*2))*365</f>
        <v>53.243797705707642</v>
      </c>
      <c r="CF340" s="482">
        <f>+(CF338/(CF30*2))*365</f>
        <v>46.453482791040159</v>
      </c>
      <c r="CG340" s="482">
        <f>+(CG338/(CG30))*365</f>
        <v>49.152555769892736</v>
      </c>
      <c r="CH340" s="482">
        <f>+(CH338/(CH30*2))*365</f>
        <v>48.291432735434626</v>
      </c>
      <c r="CI340" s="482">
        <f>+(CI338/(CI30*2))*365</f>
        <v>46.747116802822951</v>
      </c>
      <c r="CJ340" s="482">
        <f>+(CJ338/(CJ30))*365</f>
        <v>50.225267635119636</v>
      </c>
      <c r="CK340" s="482">
        <f>+(CK338/(CK30*2))*365</f>
        <v>52.319973007734575</v>
      </c>
      <c r="CL340" s="482">
        <f>+(CL338/(CL30*2))*365</f>
        <v>65.144960034445532</v>
      </c>
      <c r="CM340" s="482">
        <f>+(CM338/(CM30))*365</f>
        <v>58.629988097429916</v>
      </c>
      <c r="CN340" s="482">
        <f>+(CN338/(CN30*2))*365</f>
        <v>69.879931727496029</v>
      </c>
      <c r="CO340" s="482">
        <f>+(CO338/(CO30*2))*365</f>
        <v>58.890743785846283</v>
      </c>
      <c r="CP340" s="482">
        <f>+(CP338/(CP30))*365</f>
        <v>61.436840665601991</v>
      </c>
      <c r="CQ340" s="482">
        <f>+(CQ338/(CQ30*2))*365</f>
        <v>55.602560943894652</v>
      </c>
      <c r="CR340" s="482">
        <f>+(CR338/(CR30*2))*365</f>
        <v>53.97172284644197</v>
      </c>
      <c r="CS340" s="482">
        <f>+(CS338/(CS30))*365</f>
        <v>54.875849287349475</v>
      </c>
      <c r="CT340" s="482">
        <f>+(CT338/(CT30*2))*365</f>
        <v>49.504430147329046</v>
      </c>
      <c r="CU340" s="482">
        <f>+(CU338/(CU30*2))*365</f>
        <v>50.93546353595508</v>
      </c>
      <c r="CV340" s="482">
        <f>+(CV338/(CV30))*365</f>
        <v>50.968179995405492</v>
      </c>
      <c r="CW340" s="482">
        <f>+(CW338/(CW30*2))*365</f>
        <v>50.057765961438484</v>
      </c>
      <c r="CX340" s="482">
        <f>+(CX338/(CX30*2))*365</f>
        <v>49.116550710367299</v>
      </c>
      <c r="CY340" s="482">
        <f>+(CY338/(CY30))*365</f>
        <v>50.069689853300275</v>
      </c>
      <c r="CZ340" s="482">
        <f>+(CZ338/(CZ30*2))*365</f>
        <v>53.082208970509484</v>
      </c>
      <c r="DA340" s="482">
        <f>+(DA338/(DA30*2))*365</f>
        <v>46.727807229622037</v>
      </c>
      <c r="DB340" s="482">
        <f>+(DB338/(DB30))*365</f>
        <v>46.981954389980132</v>
      </c>
      <c r="DC340" s="482">
        <f>+(DC338/(DC30*2))*365</f>
        <v>44.750708232286406</v>
      </c>
      <c r="DD340" s="482">
        <f>+(DD338/(DD30*2))*365</f>
        <v>46.981775194300923</v>
      </c>
      <c r="DE340" s="482">
        <f>+(DE338/(DE30))*365</f>
        <v>46.510942202546765</v>
      </c>
      <c r="DF340" s="482">
        <f>+(DF338/(DF30*2))*365</f>
        <v>48.408843776824895</v>
      </c>
      <c r="DG340" s="482">
        <f>+(DG338/(DG30*2))*365</f>
        <v>68.214533775619898</v>
      </c>
      <c r="DH340" s="1244">
        <f>+(DH338/(DH30))*365</f>
        <v>57.733295944814607</v>
      </c>
      <c r="DI340" s="482">
        <f>+(DI338/(DI30*2))*365</f>
        <v>51.641213670613574</v>
      </c>
      <c r="DJ340" s="482">
        <f>+(DJ338/(DJ30*2))*365</f>
        <v>49.943166755037119</v>
      </c>
      <c r="DK340" s="1244">
        <f>+(DK338/(DK30))*365</f>
        <v>53.606937767094017</v>
      </c>
      <c r="DL340" s="482">
        <f>+(DL338/(DL30*2))*365</f>
        <v>50.489368831485315</v>
      </c>
      <c r="DM340" s="482">
        <f>+(DM338/(DM30*2))*365</f>
        <v>56.033409859835672</v>
      </c>
      <c r="DN340" s="1244">
        <f>+(DN338/(DN30))*365</f>
        <v>53.843202086998723</v>
      </c>
      <c r="DO340" s="482">
        <f>+(DO338/(DO30*2))*365</f>
        <v>57.323850152559601</v>
      </c>
      <c r="DP340" s="482">
        <f>+(DP338/(DP30*2))*365</f>
        <v>51.840277777777779</v>
      </c>
      <c r="DQ340" s="1244">
        <f>+(DQ338/(DQ30))*365</f>
        <v>54.832007644233251</v>
      </c>
      <c r="DR340" s="482">
        <f>+(DR338/(DR30*2))*365</f>
        <v>52.581929904415112</v>
      </c>
      <c r="DS340" s="482">
        <f>+(DS338/(DS30*2))*365</f>
        <v>57.224848298302689</v>
      </c>
      <c r="DT340" s="1244">
        <f>+(DT338/(DT30))*365</f>
        <v>57.396560207550543</v>
      </c>
      <c r="DU340" s="482">
        <f>+(DU338/(DU30*2))*365</f>
        <v>66.396056797139664</v>
      </c>
      <c r="DV340" s="482">
        <f>+(DV338/(DV30*2))*365</f>
        <v>74.833398792701573</v>
      </c>
      <c r="DW340" s="1244">
        <f>+(DW338/(DW30))*365</f>
        <v>69.398446502496697</v>
      </c>
      <c r="DX340" s="482">
        <f>+(DX338/(DX30*2))*365</f>
        <v>83.299241775188491</v>
      </c>
      <c r="DY340" s="482">
        <f>+(DY338/(DY30*2))*365</f>
        <v>79.850930504455732</v>
      </c>
      <c r="DZ340" s="1244">
        <f>+(DZ338/(DZ30))*365</f>
        <v>80.574054561952323</v>
      </c>
      <c r="EA340" s="482">
        <f>+(EA338/(EA30*2))*365</f>
        <v>80.042565786788629</v>
      </c>
      <c r="EB340" s="482">
        <f>+(EB338/(EB30*2))*365</f>
        <v>78.499961485843386</v>
      </c>
      <c r="EC340" s="1244">
        <f>+(EC338/(EC30))*365</f>
        <v>79.437355688567777</v>
      </c>
      <c r="ED340" s="482">
        <f>+(ED338/(ED30*2))*365</f>
        <v>76.851957474332735</v>
      </c>
      <c r="EE340" s="482">
        <f>+(EE338/(EE30*2))*365</f>
        <v>76.70903628670294</v>
      </c>
      <c r="EF340" s="1244">
        <f>+(EF338/(EF30))*365</f>
        <v>76.279057505757791</v>
      </c>
      <c r="EG340" s="482">
        <f>+(EG338/(EG30*2))*365</f>
        <v>74.879461760255381</v>
      </c>
      <c r="EH340" s="482">
        <f>+(EH338/(EH30*2))*365</f>
        <v>74.925105210267986</v>
      </c>
      <c r="EI340" s="1244">
        <f>+(EI338/(EI30))*365</f>
        <v>74.322706422018342</v>
      </c>
      <c r="EJ340" s="482">
        <f>+(EJ338/(EJ30*2))*365</f>
        <v>73.11685799838898</v>
      </c>
      <c r="EK340" s="482">
        <f>+(EK338/(EK30*2))*365</f>
        <v>73.141174133833033</v>
      </c>
      <c r="EL340" s="1244">
        <f>+(EL338/(EL30))*365</f>
        <v>72.573050458715585</v>
      </c>
      <c r="EM340" s="482">
        <f>+(EM338/(EM30*2))*365</f>
        <v>71.354254236522564</v>
      </c>
      <c r="EN340" s="482">
        <f>+(EN338/(EN30*2))*365</f>
        <v>71.357243057398065</v>
      </c>
      <c r="EO340" s="1244">
        <f>+(EO338/(EO30))*365</f>
        <v>70.823394495412828</v>
      </c>
      <c r="EP340" s="482">
        <f>+(EP338/(EP30*2))*365</f>
        <v>69.591650474656163</v>
      </c>
      <c r="EQ340" s="482">
        <f>+(EQ338/(EQ30*2))*365</f>
        <v>69.573311980963112</v>
      </c>
      <c r="ER340" s="1244">
        <f>+(ER338/(ER30))*365</f>
        <v>69.07373853211007</v>
      </c>
      <c r="ES340" s="482">
        <f>+(ES338/(ES30*2))*365</f>
        <v>67.829046712789761</v>
      </c>
      <c r="ET340" s="482">
        <f>+(ET338/(ET30*2))*365</f>
        <v>67.789380904528173</v>
      </c>
      <c r="EU340" s="1244">
        <f>+(EU338/(EU30))*365</f>
        <v>67.324082568807327</v>
      </c>
      <c r="EV340" s="482">
        <f>+(EV338/(EV30*2))*365</f>
        <v>66.06644295092336</v>
      </c>
      <c r="EW340" s="482">
        <f>+(EW338/(EW30*2))*365</f>
        <v>66.005449828093219</v>
      </c>
      <c r="EX340" s="1244">
        <f>+(EX338/(EX30))*365</f>
        <v>65.574426605504584</v>
      </c>
      <c r="EY340" s="482">
        <f>+(EY338/(EY30*2))*365</f>
        <v>64.303839189056944</v>
      </c>
      <c r="EZ340" s="482">
        <f>+(EZ338/(EZ30*2))*365</f>
        <v>64.221518751658252</v>
      </c>
      <c r="FA340" s="1244">
        <f>+(FA338/(FA30))*365</f>
        <v>63.82477064220182</v>
      </c>
      <c r="FE340"/>
      <c r="FF340"/>
      <c r="FG340"/>
      <c r="FH340"/>
      <c r="FI340"/>
      <c r="FJ340"/>
      <c r="FK340" s="35"/>
    </row>
    <row r="341" spans="1:167" s="236" customFormat="1" ht="14.1" customHeight="1" outlineLevel="1">
      <c r="B341" s="242" t="s">
        <v>173</v>
      </c>
      <c r="C341" s="242" t="s">
        <v>172</v>
      </c>
      <c r="D341" s="243"/>
      <c r="E341" s="482"/>
      <c r="F341" s="482"/>
      <c r="G341" s="482"/>
      <c r="H341" s="482"/>
      <c r="I341" s="482"/>
      <c r="J341" s="482"/>
      <c r="K341" s="482"/>
      <c r="L341" s="482"/>
      <c r="M341" s="482"/>
      <c r="N341" s="482"/>
      <c r="O341" s="482"/>
      <c r="P341" s="482"/>
      <c r="Q341" s="482"/>
      <c r="R341" s="482"/>
      <c r="S341" s="482"/>
      <c r="T341" s="482"/>
      <c r="U341" s="482"/>
      <c r="V341" s="482"/>
      <c r="W341" s="482"/>
      <c r="X341" s="482"/>
      <c r="Y341" s="482"/>
      <c r="Z341" s="482"/>
      <c r="AA341" s="482"/>
      <c r="AB341" s="482"/>
      <c r="AC341" s="482"/>
      <c r="AD341" s="482"/>
      <c r="AE341" s="482"/>
      <c r="AF341" s="482"/>
      <c r="AG341" s="482"/>
      <c r="AH341" s="482"/>
      <c r="AI341" s="482">
        <f>+(((AH231+AI231)/2)/(AI30*2))*365</f>
        <v>38.418924308674072</v>
      </c>
      <c r="AJ341" s="482">
        <f>+(((AI231+AJ231)/2)/(AJ30*2))*365</f>
        <v>74.413188142770707</v>
      </c>
      <c r="AK341" s="482">
        <f>+(((AH231+AK231)/2)/(AK30))*365</f>
        <v>37.417810417000915</v>
      </c>
      <c r="AL341" s="482">
        <f>+(((AK231+AL231)/2)/(AL30*2))*365</f>
        <v>67.007663804419167</v>
      </c>
      <c r="AM341" s="482">
        <f>+(((AL231+AM231)/2)/(AM30*2))*365</f>
        <v>62.819825244349836</v>
      </c>
      <c r="AN341" s="482">
        <f>+(((AK231+AN231)/2)/(AN30))*365</f>
        <v>65.255586302317525</v>
      </c>
      <c r="AO341" s="482">
        <f>+(((AN231+AO231)/2)/(AO30*2))*365</f>
        <v>62.153731186349034</v>
      </c>
      <c r="AP341" s="482">
        <f>+(((AO231+AP231)/2)/(AP30*2))*365</f>
        <v>62.294083001087351</v>
      </c>
      <c r="AQ341" s="482">
        <f>+(((AN231+AQ231)/2)/(AQ30))*365</f>
        <v>69.200422733024638</v>
      </c>
      <c r="AR341" s="482">
        <f>+(((AQ231+AR231)/2)/(AR30*2))*365</f>
        <v>73.01605398398074</v>
      </c>
      <c r="AS341" s="482">
        <f>+(((AR231+AS231)/2)/(AS30*2))*365</f>
        <v>70.238041237113407</v>
      </c>
      <c r="AT341" s="482">
        <f>+(((AQ231+AT231)/2)/(AT30))*365</f>
        <v>67.130417239198252</v>
      </c>
      <c r="AU341" s="482">
        <f>+(((AT231+AU231)/2)/(AU30*2))*365</f>
        <v>57.197904191616765</v>
      </c>
      <c r="AV341" s="482">
        <f>+(((AU231+AV231)/2)/(AV30*2))*365</f>
        <v>53.74132536092695</v>
      </c>
      <c r="AW341" s="482">
        <f>+(((AT231+AW231)/2)/(AW30))*365</f>
        <v>50.598222218727642</v>
      </c>
      <c r="AX341" s="482">
        <f>+(((AW231+AX231)/2)/(AX30*2))*365</f>
        <v>53.464753838728164</v>
      </c>
      <c r="AY341" s="482">
        <f>+(((AX231+AY231)/2)/(AY30*2))*365</f>
        <v>62.842489725147715</v>
      </c>
      <c r="AZ341" s="482">
        <f>+(((AW231+AZ231)/2)/(AZ30))*365</f>
        <v>61.781968395787963</v>
      </c>
      <c r="BA341" s="482">
        <f>+(((AZ231+BA231)/2)/(BA30*2))*365</f>
        <v>64.863818696225096</v>
      </c>
      <c r="BB341" s="482">
        <f>+(((BA231+BB231)/2)/(BB30*2))*365</f>
        <v>65.634307930506495</v>
      </c>
      <c r="BC341" s="482">
        <f>+(((AZ231+BC231)/2)/(BC30))*365</f>
        <v>61.604145181294903</v>
      </c>
      <c r="BD341" s="482">
        <f>+(((BC231+BD231)/2)/(BD30*2))*365</f>
        <v>72.442249240121583</v>
      </c>
      <c r="BE341" s="482">
        <f>+(((BD231+BE231)/2)/(BE30*2))*365</f>
        <v>81.858589364953389</v>
      </c>
      <c r="BF341" s="482">
        <f>+(((BC231+BF231)/2)/(BF30))*365</f>
        <v>79.635081439963159</v>
      </c>
      <c r="BG341" s="482">
        <f>+(((BF231+BG231)/2)/(BG30*2))*365</f>
        <v>81.382864450127883</v>
      </c>
      <c r="BH341" s="482">
        <f>+(((BG231+BH231)/2)/(BH30*2))*365</f>
        <v>91.694515191735121</v>
      </c>
      <c r="BI341" s="482">
        <f>+(((BF231+BI231)/2)/(BI30))*365</f>
        <v>94.34920107688545</v>
      </c>
      <c r="BJ341" s="482">
        <f>+(((BI231+BJ231)/2)/(BJ30*2))*365</f>
        <v>99.229263448185307</v>
      </c>
      <c r="BK341" s="482">
        <f>+(((BJ231+BK231)/2)/(BK30*2))*365</f>
        <v>85.857303949493925</v>
      </c>
      <c r="BL341" s="482">
        <f>+(((BI231+BL231)/2)/(BL30))*365</f>
        <v>106.02887819474282</v>
      </c>
      <c r="BM341" s="482">
        <f>+(((BL231+BM231)/2)/(BM30*2))*365</f>
        <v>78.217047986341512</v>
      </c>
      <c r="BN341" s="482">
        <f>+(((BM231+BN231)/2)/(BN30*2))*365</f>
        <v>82.563590215132166</v>
      </c>
      <c r="BO341" s="482">
        <f>+(((BL231+BO231)/2)/(BO30))*365</f>
        <v>82.644992635385677</v>
      </c>
      <c r="BP341" s="482">
        <f>+(((BO231+BP231)/2)/(BP30*2))*365</f>
        <v>84.087214046649564</v>
      </c>
      <c r="BQ341" s="482">
        <f>+(((BP231+BQ231)/2)/(BQ30*2))*365</f>
        <v>81.056760374763257</v>
      </c>
      <c r="BR341" s="482">
        <f>+(((BO231+BR231)/2)/(BR30))*365</f>
        <v>81.012874231636673</v>
      </c>
      <c r="BS341" s="482">
        <f>+(((BR231+BS231)/2)/(BS30*2))*365</f>
        <v>76.646661789562188</v>
      </c>
      <c r="BT341" s="482">
        <f>+(((BS231+BT231)/2)/(BT30*2))*365</f>
        <v>85.888383368097706</v>
      </c>
      <c r="BU341" s="482">
        <f>+(((BR231+BU231)/2)/(BU30))*365</f>
        <v>86.105239425343626</v>
      </c>
      <c r="BV341" s="482">
        <f>+(((BU231+BV231)/2)/(BV30*2))*365</f>
        <v>96.317519949328428</v>
      </c>
      <c r="BW341" s="482">
        <f>+(((BV231+BW231)/2)/(BW30*2))*365</f>
        <v>103.50218212157155</v>
      </c>
      <c r="BX341" s="482">
        <f>+(((BU231+BX231)/2)/(BX30))*365</f>
        <v>99.984152557332735</v>
      </c>
      <c r="BY341" s="482">
        <f>+(((BX231+BY231)/2)/(BY30*2))*365</f>
        <v>102.88824691557076</v>
      </c>
      <c r="BZ341" s="482">
        <f>+(((BY231+BZ231)/2)/(BZ30*2))*365</f>
        <v>107.27250313802139</v>
      </c>
      <c r="CA341" s="482">
        <f>+(((BX231+CA231)/2)/(CA30))*365</f>
        <v>95.072028652521212</v>
      </c>
      <c r="CB341" s="482">
        <f>+(((CA231+CB231)/2)/(CB30*2))*365</f>
        <v>102.80150131008122</v>
      </c>
      <c r="CC341" s="482">
        <f>+(((CB231+CC231)/2)/(CC30*2))*365</f>
        <v>100.61499482731851</v>
      </c>
      <c r="CD341" s="482">
        <f>+(((CA231+CD231)/2)/(CD30))*365</f>
        <v>99.432487158889316</v>
      </c>
      <c r="CE341" s="482">
        <f>+(((CD231+CE231)/2)/(CE30*2))*365</f>
        <v>114.93163105882529</v>
      </c>
      <c r="CF341" s="482">
        <f>+(((CE231+CF231)/2)/(CF30*2))*365</f>
        <v>105.47319612900428</v>
      </c>
      <c r="CG341" s="482">
        <f>+(((CD231+CG231)/2)/(CG30))*365</f>
        <v>104.81884718208384</v>
      </c>
      <c r="CH341" s="482">
        <f>+(((CG231+CH231)/2)/(CH30*2))*365</f>
        <v>104.13324860366494</v>
      </c>
      <c r="CI341" s="482">
        <f>+(((CH231+CI231)/2)/(CI30*2))*365</f>
        <v>91.449942647856147</v>
      </c>
      <c r="CJ341" s="482">
        <f>+(((CG231+CJ231)/2)/(CJ30))*365</f>
        <v>103.4804101830664</v>
      </c>
      <c r="CK341" s="482">
        <f>+(((CJ231+CK231)/2)/(CK30*2))*365</f>
        <v>93.816387665465982</v>
      </c>
      <c r="CL341" s="482">
        <f>+(((CK231+CL231)/2)/(CL30*2))*365</f>
        <v>106.37436010946273</v>
      </c>
      <c r="CM341" s="482">
        <f>+(((CJ231+CM231)/2)/(CM30))*365</f>
        <v>98.90323488559244</v>
      </c>
      <c r="CN341" s="482">
        <f>+(((CM231+CN231)/2)/(CN30*2))*365</f>
        <v>103.80324524897379</v>
      </c>
      <c r="CO341" s="482">
        <f>+(((CN231+CO231)/2)/(CO30*2))*365</f>
        <v>90.891078442986398</v>
      </c>
      <c r="CP341" s="482">
        <f>+(((CM231+CP231)/2)/(CP30))*365</f>
        <v>98.866071800390571</v>
      </c>
      <c r="CQ341" s="482">
        <f>+(((CP231+CQ231)/2)/(CQ30*2))*365</f>
        <v>92.067672474757842</v>
      </c>
      <c r="CR341" s="482">
        <f>+(((CQ231+CR231)/2)/(CR30*2))*365</f>
        <v>89.339513108614256</v>
      </c>
      <c r="CS341" s="482">
        <f>+(((CP231+CS231)/2)/(CS30))*365</f>
        <v>91.621159773516183</v>
      </c>
      <c r="CT341" s="482">
        <f>+(((CS231+CT231)/2)/(CT30*2))*365</f>
        <v>85.263851953914724</v>
      </c>
      <c r="CU341" s="482">
        <f>+(((CT231+CU231)/2)/(CU30*2))*365</f>
        <v>88.510947009201786</v>
      </c>
      <c r="CV341" s="482">
        <f>+(((CS231+CV231)/2)/(CV30))*365</f>
        <v>85.952089757628315</v>
      </c>
      <c r="CW341" s="482">
        <f>+(((CV231+CW231)/2)/(CW30*2))*365</f>
        <v>86.861382296697428</v>
      </c>
      <c r="CX341" s="482">
        <f>+(((CW231+CX231)/2)/(CX30*2))*365</f>
        <v>83.50958621080126</v>
      </c>
      <c r="CY341" s="482">
        <f>+(((CV231+CY231)/2)/(CY30))*365</f>
        <v>83.556318455179891</v>
      </c>
      <c r="CZ341" s="482">
        <f>+(((CY231+CZ231)/2)/(CZ30*2))*365</f>
        <v>82.940050132274237</v>
      </c>
      <c r="DA341" s="482">
        <f>+(((CZ231+DA231)/2)/(DA30*2))*365</f>
        <v>78.428096747472054</v>
      </c>
      <c r="DB341" s="482">
        <f>+(((CY231+DB231)/2)/(DB30))*365</f>
        <v>82.709817889842753</v>
      </c>
      <c r="DC341" s="482">
        <f>+(((DB231+DC231)/2)/(DC30*2))*365</f>
        <v>79.442591962229869</v>
      </c>
      <c r="DD341" s="482">
        <f>+(((DC231+DD231)/2)/(DD30*2))*365</f>
        <v>77.502874648302281</v>
      </c>
      <c r="DE341" s="482">
        <f>+(((DB231+DE231)/2)/(DE30))*365</f>
        <v>81.586448780873113</v>
      </c>
      <c r="DF341" s="482">
        <f>+(((DE231+DF231)/2)/(DF30*2))*365</f>
        <v>77.170532881082664</v>
      </c>
      <c r="DG341" s="482">
        <f>+(((DF231+DG231)/2)/(DG30*2))*365</f>
        <v>88.098480390439434</v>
      </c>
      <c r="DH341" s="1244">
        <f>+(((DE231+DH231)/2)/(DH30))*365</f>
        <v>76.463563713170487</v>
      </c>
      <c r="DI341" s="482">
        <f>+(((DH231+DI231)/2)/(DI30*2))*365</f>
        <v>58.701056243272348</v>
      </c>
      <c r="DJ341" s="482">
        <f>+(((DI231+DJ231)/2)/(DJ30*2))*365</f>
        <v>65.183755302226928</v>
      </c>
      <c r="DK341" s="1244">
        <f>+(((DH231+DK231)/2)/(DK30))*365</f>
        <v>64.806022970085479</v>
      </c>
      <c r="DL341" s="482">
        <f>+(((DK231+DL231)/2)/(DL30*2))*365</f>
        <v>68.267942000731082</v>
      </c>
      <c r="DM341" s="482">
        <f>+(((DL231+DM231)/2)/(DM30*2))*365</f>
        <v>73.454265345577596</v>
      </c>
      <c r="DN341" s="1244">
        <f>+(((DK231+DN231)/2)/(DN30))*365</f>
        <v>71.392343626766973</v>
      </c>
      <c r="DO341" s="482">
        <f>+(((DN231+DO231)/2)/(DO30*2))*365</f>
        <v>76.246186009718599</v>
      </c>
      <c r="DP341" s="482">
        <f>+(((DO231+DP231)/2)/(DP30*2))*365</f>
        <v>71.909722222222214</v>
      </c>
      <c r="DQ341" s="1244">
        <f>+(((DN231+DQ231)/2)/(DQ30))*365</f>
        <v>74.089664790041823</v>
      </c>
      <c r="DR341" s="482">
        <f>+(((DQ231+DR231)/2)/(DR30*2))*365</f>
        <v>73.37380518889394</v>
      </c>
      <c r="DS341" s="482">
        <f>+(((DR231+DS231)/2)/(DS30*2))*365</f>
        <v>75.152251341130921</v>
      </c>
      <c r="DT341" s="1244">
        <f>+(((DQ231+DT231)/2)/(DT30))*365</f>
        <v>75.772275899087489</v>
      </c>
      <c r="DU341" s="482">
        <f>+(((DT231+DU231)/2)/(DU30*2))*365</f>
        <v>77.266104327197937</v>
      </c>
      <c r="DV341" s="482">
        <f>+(((DU231+DV231)/2)/(DV30*2))*365</f>
        <v>84.728080361335728</v>
      </c>
      <c r="DW341" s="1244">
        <f>+(((DT231+DW231)/2)/(DW30))*365</f>
        <v>83.854508983824843</v>
      </c>
      <c r="DX341" s="482">
        <f>+(((DW231+DX231)/2)/(DX30*2))*365</f>
        <v>88.779557916381066</v>
      </c>
      <c r="DY341" s="482">
        <f>+(((DX231+DY231)/2)/(DY30*2))*365</f>
        <v>77.53763734022138</v>
      </c>
      <c r="DZ341" s="1244">
        <f>+(((DW231+DZ231)/2)/(DZ30))*365</f>
        <v>85.582346886675325</v>
      </c>
      <c r="EA341" s="482">
        <f>+(((DZ231+EA231)/2)/(EA30*2))*365</f>
        <v>78.886872307008844</v>
      </c>
      <c r="EB341" s="482">
        <f>+(((EA231+EB231)/2)/(EB30*2))*365</f>
        <v>78.499961485843386</v>
      </c>
      <c r="EC341" s="1244">
        <f>+(((DZ231+EC231)/2)/(EC30))*365</f>
        <v>78.299195234067682</v>
      </c>
      <c r="ED341" s="482">
        <f>+(((EC231+ED231)/2)/(ED30*2))*365</f>
        <v>76.851957474332735</v>
      </c>
      <c r="EE341" s="482">
        <f>+(((ED231+EE231)/2)/(EE30*2))*365</f>
        <v>76.70903628670294</v>
      </c>
      <c r="EF341" s="1244">
        <f>+(((EC231+EF231)/2)/(EF30))*365</f>
        <v>76.279057505757791</v>
      </c>
      <c r="EG341" s="482">
        <f>+(((EF231+EG231)/2)/(EG30*2))*365</f>
        <v>74.879461760255381</v>
      </c>
      <c r="EH341" s="482">
        <f>+(((EG231+EH231)/2)/(EH30*2))*365</f>
        <v>74.925105210267986</v>
      </c>
      <c r="EI341" s="1244">
        <f>+(((EF231+EI231)/2)/(EI30))*365</f>
        <v>74.322706422018342</v>
      </c>
      <c r="EJ341" s="482">
        <f>+(((EI231+EJ231)/2)/(EJ30*2))*365</f>
        <v>73.11685799838898</v>
      </c>
      <c r="EK341" s="482">
        <f>+(((EJ231+EK231)/2)/(EK30*2))*365</f>
        <v>73.141174133833033</v>
      </c>
      <c r="EL341" s="1244">
        <f>+(((EI231+EL231)/2)/(EL30))*365</f>
        <v>72.573050458715585</v>
      </c>
      <c r="EM341" s="482">
        <f>+(((EL231+EM231)/2)/(EM30*2))*365</f>
        <v>71.354254236522564</v>
      </c>
      <c r="EN341" s="482">
        <f>+(((EM231+EN231)/2)/(EN30*2))*365</f>
        <v>71.357243057398065</v>
      </c>
      <c r="EO341" s="1244">
        <f>+(((EL231+EO231)/2)/(EO30))*365</f>
        <v>70.823394495412828</v>
      </c>
      <c r="EP341" s="482">
        <f>+(((EO231+EP231)/2)/(EP30*2))*365</f>
        <v>69.591650474656163</v>
      </c>
      <c r="EQ341" s="482">
        <f>+(((EP231+EQ231)/2)/(EQ30*2))*365</f>
        <v>69.573311980963112</v>
      </c>
      <c r="ER341" s="1244">
        <f>+(((EO231+ER231)/2)/(ER30))*365</f>
        <v>69.07373853211007</v>
      </c>
      <c r="ES341" s="482">
        <f>+(((ER231+ES231)/2)/(ES30*2))*365</f>
        <v>67.829046712789761</v>
      </c>
      <c r="ET341" s="482">
        <f>+(((ES231+ET231)/2)/(ET30*2))*365</f>
        <v>67.789380904528173</v>
      </c>
      <c r="EU341" s="1244">
        <f>+(((ER231+EU231)/2)/(EU30))*365</f>
        <v>67.324082568807327</v>
      </c>
      <c r="EV341" s="482">
        <f>+(((EU231+EV231)/2)/(EV30*2))*365</f>
        <v>66.06644295092336</v>
      </c>
      <c r="EW341" s="482">
        <f>+(((EV231+EW231)/2)/(EW30*2))*365</f>
        <v>66.005449828093219</v>
      </c>
      <c r="EX341" s="1244">
        <f>+(((EU231+EX231)/2)/(EX30))*365</f>
        <v>65.574426605504584</v>
      </c>
      <c r="EY341" s="482">
        <f>+(((EX231+EY231)/2)/(EY30*2))*365</f>
        <v>64.303839189056944</v>
      </c>
      <c r="EZ341" s="482">
        <f>+(((EY231+EZ231)/2)/(EZ30*2))*365</f>
        <v>64.221518751658252</v>
      </c>
      <c r="FA341" s="1244">
        <f>+(((EX231+FA231)/2)/(FA30))*365</f>
        <v>63.82477064220182</v>
      </c>
      <c r="FE341"/>
      <c r="FF341"/>
      <c r="FG341"/>
      <c r="FH341"/>
      <c r="FI341"/>
      <c r="FJ341"/>
      <c r="FK341" s="35"/>
    </row>
    <row r="342" spans="1:167" s="236" customFormat="1" ht="14.1" customHeight="1" outlineLevel="1">
      <c r="B342" s="242" t="s">
        <v>174</v>
      </c>
      <c r="C342" s="242" t="s">
        <v>172</v>
      </c>
      <c r="D342" s="243"/>
      <c r="E342" s="482"/>
      <c r="F342" s="482"/>
      <c r="G342" s="482"/>
      <c r="H342" s="482"/>
      <c r="I342" s="482"/>
      <c r="J342" s="482"/>
      <c r="K342" s="482"/>
      <c r="L342" s="482"/>
      <c r="M342" s="482"/>
      <c r="N342" s="482"/>
      <c r="O342" s="482"/>
      <c r="P342" s="482"/>
      <c r="Q342" s="482"/>
      <c r="R342" s="482"/>
      <c r="S342" s="482"/>
      <c r="T342" s="482"/>
      <c r="U342" s="482"/>
      <c r="V342" s="482"/>
      <c r="W342" s="482"/>
      <c r="X342" s="482"/>
      <c r="Y342" s="482"/>
      <c r="Z342" s="482"/>
      <c r="AA342" s="482"/>
      <c r="AB342" s="482"/>
      <c r="AC342" s="482"/>
      <c r="AD342" s="482"/>
      <c r="AE342" s="482"/>
      <c r="AF342" s="482"/>
      <c r="AG342" s="482"/>
      <c r="AH342" s="482"/>
      <c r="AI342" s="482">
        <f>+(((AH266+AI266)/2)/(AI30*2))*365</f>
        <v>24.370716142755846</v>
      </c>
      <c r="AJ342" s="482">
        <f>+(((AI266+AJ266)/2)/(AJ30*2))*365</f>
        <v>47.576808400311101</v>
      </c>
      <c r="AK342" s="482">
        <f>+(((AH266+AK266)/2)/(AK30))*365</f>
        <v>24.11381835154096</v>
      </c>
      <c r="AL342" s="482">
        <f>+(((AK266+AL266)/2)/(AL30*2))*365</f>
        <v>46.18645400350033</v>
      </c>
      <c r="AM342" s="482">
        <f>+(((AL266+AM266)/2)/(AM30*2))*365</f>
        <v>54.619157308090834</v>
      </c>
      <c r="AN342" s="482">
        <f>+(((AK266+AN266)/2)/(AN30))*365</f>
        <v>52.981182981667232</v>
      </c>
      <c r="AO342" s="482">
        <f>+(((AN266+AO266)/2)/(AO30*2))*365</f>
        <v>63.576471295100184</v>
      </c>
      <c r="AP342" s="482">
        <f>+(((AO266+AP266)/2)/(AP30*2))*365</f>
        <v>55.275397400714546</v>
      </c>
      <c r="AQ342" s="482">
        <f>+(((AN266+AQ266)/2)/(AQ30))*365</f>
        <v>61.038894219404</v>
      </c>
      <c r="AR342" s="482">
        <f>+(((AQ266+AR266)/2)/(AR30*2))*365</f>
        <v>60.525631973702488</v>
      </c>
      <c r="AS342" s="482">
        <f>+(((AR266+AS266)/2)/(AS30*2))*365</f>
        <v>58.996417525773204</v>
      </c>
      <c r="AT342" s="482">
        <f>+(((AQ266+AT266)/2)/(AT30))*365</f>
        <v>53.660548757879127</v>
      </c>
      <c r="AU342" s="482">
        <f>+(((AT266+AU266)/2)/(AU30*2))*365</f>
        <v>47.05221556886228</v>
      </c>
      <c r="AV342" s="482">
        <f>+(((AU266+AV266)/2)/(AV30*2))*365</f>
        <v>49.888120391597994</v>
      </c>
      <c r="AW342" s="482">
        <f>+(((AT266+AW266)/2)/(AW30))*365</f>
        <v>46.877363757164979</v>
      </c>
      <c r="AX342" s="482">
        <f>+(((AW266+AX266)/2)/(AX30*2))*365</f>
        <v>54.784684304202237</v>
      </c>
      <c r="AY342" s="482">
        <f>+(((AX266+AY266)/2)/(AY30*2))*365</f>
        <v>51.388774723863349</v>
      </c>
      <c r="AZ342" s="482">
        <f>+(((AW266+AZ266)/2)/(AZ30))*365</f>
        <v>50.276814328722651</v>
      </c>
      <c r="BA342" s="482">
        <f>+(((AZ266+BA266)/2)/(BA30*2))*365</f>
        <v>40.102680993721421</v>
      </c>
      <c r="BB342" s="482">
        <f>+(((BA266+BB266)/2)/(BB30*2))*365</f>
        <v>42.1425241439484</v>
      </c>
      <c r="BC342" s="482">
        <f>+(((AZ266+BC266)/2)/(BC30))*365</f>
        <v>43.437969933351809</v>
      </c>
      <c r="BD342" s="482">
        <f>+(((BC266+BD266)/2)/(BD30*2))*365</f>
        <v>40.862462006079028</v>
      </c>
      <c r="BE342" s="482">
        <f>+(((BD266+BE266)/2)/(BE30*2))*365</f>
        <v>29.765053336859726</v>
      </c>
      <c r="BF342" s="482">
        <f>+(((BC266+BF266)/2)/(BF30))*365</f>
        <v>36.789776386509025</v>
      </c>
      <c r="BG342" s="482">
        <f>+(((BF266+BG266)/2)/(BG30*2))*365</f>
        <v>33.781014492753627</v>
      </c>
      <c r="BH342" s="482">
        <f>+(((BG266+BH266)/2)/(BH30*2))*365</f>
        <v>40.906526885963345</v>
      </c>
      <c r="BI342" s="482">
        <f>+(((BF266+BI266)/2)/(BI30))*365</f>
        <v>32.208209503164227</v>
      </c>
      <c r="BJ342" s="482">
        <f>+(((BI266+BJ266)/2)/(BJ30*2))*365</f>
        <v>45.750822813900427</v>
      </c>
      <c r="BK342" s="482">
        <f>+(((BJ266+BK266)/2)/(BK30*2))*365</f>
        <v>45.149676533248012</v>
      </c>
      <c r="BL342" s="482">
        <f>+(((BI266+BL266)/2)/(BL30))*365</f>
        <v>44.531194370772177</v>
      </c>
      <c r="BM342" s="482">
        <f>+(((BL266+BM266)/2)/(BM30*2))*365</f>
        <v>38.181781718451063</v>
      </c>
      <c r="BN342" s="482">
        <f>+(((BM266+BN266)/2)/(BN30*2))*365</f>
        <v>41.701816979879652</v>
      </c>
      <c r="BO342" s="482">
        <f>+(((BL266+BO266)/2)/(BO30))*365</f>
        <v>40.894442438518368</v>
      </c>
      <c r="BP342" s="482">
        <f>+(((BO266+BP266)/2)/(BP30*2))*365</f>
        <v>40.867187377825857</v>
      </c>
      <c r="BQ342" s="482">
        <f>+(((BP266+BQ266)/2)/(BQ30*2))*365</f>
        <v>40.173231259320424</v>
      </c>
      <c r="BR342" s="482">
        <f>+(((BO266+BR266)/2)/(BR30))*365</f>
        <v>41.920200769468885</v>
      </c>
      <c r="BS342" s="482">
        <f>+(((BR266+BS266)/2)/(BS30*2))*365</f>
        <v>41.078485509358771</v>
      </c>
      <c r="BT342" s="482">
        <f>+(((BS266+BT266)/2)/(BT30*2))*365</f>
        <v>41.497810195232717</v>
      </c>
      <c r="BU342" s="482">
        <f>+(((BR266+BU266)/2)/(BU30))*365</f>
        <v>40.677481525215015</v>
      </c>
      <c r="BV342" s="482">
        <f>+(((BU266+BV266)/2)/(BV30*2))*365</f>
        <v>39.616883259427382</v>
      </c>
      <c r="BW342" s="482">
        <f>+(((BV266+BW266)/2)/(BW30*2))*365</f>
        <v>38.351623142706202</v>
      </c>
      <c r="BX342" s="482">
        <f>+(((BU266+BX266)/2)/(BX30))*365</f>
        <v>38.797740037270628</v>
      </c>
      <c r="BY342" s="482">
        <f>+(((BX266+BY266)/2)/(BY30*2))*365</f>
        <v>49.877441287488416</v>
      </c>
      <c r="BZ342" s="482">
        <f>+(((BY266+BZ266)/2)/(BZ30*2))*365</f>
        <v>53.13929918474701</v>
      </c>
      <c r="CA342" s="482">
        <f>+(((BX266+CA266)/2)/(CA30))*365</f>
        <v>34.49016164612086</v>
      </c>
      <c r="CB342" s="482">
        <f>+(((CA266+CB266)/2)/(CB30*2))*365</f>
        <v>32.242051513168235</v>
      </c>
      <c r="CC342" s="482">
        <f>+(((CB266+CC266)/2)/(CC30*2))*365</f>
        <v>30.122789170816322</v>
      </c>
      <c r="CD342" s="482">
        <f>+(((CA266+CD266)/2)/(CD30))*365</f>
        <v>35.128430269309696</v>
      </c>
      <c r="CE342" s="482">
        <f>+(((CD266+CE266)/2)/(CE30*2))*365</f>
        <v>38.58908438956432</v>
      </c>
      <c r="CF342" s="482">
        <f>+(((CE266+CF266)/2)/(CF30*2))*365</f>
        <v>36.506895501944456</v>
      </c>
      <c r="CG342" s="482">
        <f>+(((CD266+CG266)/2)/(CG30))*365</f>
        <v>36.376528689122303</v>
      </c>
      <c r="CH342" s="482">
        <f>+(((CG266+CH266)/2)/(CH30*2))*365</f>
        <v>39.359766336579334</v>
      </c>
      <c r="CI342" s="482">
        <f>+(((CH266+CI266)/2)/(CI30*2))*365</f>
        <v>42.709183908141945</v>
      </c>
      <c r="CJ342" s="482">
        <f>+(((CG266+CJ266)/2)/(CJ30))*365</f>
        <v>44.859727940934704</v>
      </c>
      <c r="CK342" s="482">
        <f>+(((CJ266+CK266)/2)/(CK30*2))*365</f>
        <v>43.673470208596299</v>
      </c>
      <c r="CL342" s="482">
        <f>+(((CK266+CL266)/2)/(CL30*2))*365</f>
        <v>46.817942962774971</v>
      </c>
      <c r="CM342" s="482">
        <f>+(((CJ266+CM266)/2)/(CM30))*365</f>
        <v>49.600287132460636</v>
      </c>
      <c r="CN342" s="482">
        <f>+(((CM266+CN266)/2)/(CN30*2))*365</f>
        <v>51.737249072745364</v>
      </c>
      <c r="CO342" s="482">
        <f>+(((CN266+CO266)/2)/(CO30*2))*365</f>
        <v>40.113024724811687</v>
      </c>
      <c r="CP342" s="482">
        <f>+(((CM266+CP266)/2)/(CP30))*365</f>
        <v>41.424242058552323</v>
      </c>
      <c r="CQ342" s="482">
        <f>+(((CP266+CQ266)/2)/(CQ30*2))*365</f>
        <v>34.071212992239147</v>
      </c>
      <c r="CR342" s="482">
        <f>+(((CQ266+CR266)/2)/(CR30*2))*365</f>
        <v>34.623220973782779</v>
      </c>
      <c r="CS342" s="482">
        <f>+(((CP266+CS266)/2)/(CS30))*365</f>
        <v>35.194030221611477</v>
      </c>
      <c r="CT342" s="482">
        <f>+(((CS266+CT266)/2)/(CT30*2))*365</f>
        <v>33.870453967882185</v>
      </c>
      <c r="CU342" s="482">
        <f>+(((CT266+CU266)/2)/(CU30*2))*365</f>
        <v>34.794618890372327</v>
      </c>
      <c r="CV342" s="482">
        <f>+(((CS266+CV266)/2)/(CV30))*365</f>
        <v>33.983852156380308</v>
      </c>
      <c r="CW342" s="482">
        <f>+(((CV266+CW266)/2)/(CW30*2))*365</f>
        <v>32.948939601365446</v>
      </c>
      <c r="CX342" s="482">
        <f>+(((CW266+CX266)/2)/(CX30*2))*365</f>
        <v>34.038637379855331</v>
      </c>
      <c r="CY342" s="482">
        <f>+(((CV266+CY266)/2)/(CY30))*365</f>
        <v>35.116668476143722</v>
      </c>
      <c r="CZ342" s="482">
        <f>+(((CY266+CZ266)/2)/(CZ30*2))*365</f>
        <v>35.357248313736775</v>
      </c>
      <c r="DA342" s="482">
        <f>+(((CZ266+DA266)/2)/(DA30*2))*365</f>
        <v>33.31963409885995</v>
      </c>
      <c r="DB342" s="482">
        <f>+(((CY266+DB266)/2)/(DB30))*365</f>
        <v>36.870756280888898</v>
      </c>
      <c r="DC342" s="482">
        <f>+(((DB266+DC266)/2)/(DC30*2))*365</f>
        <v>37.034171453645577</v>
      </c>
      <c r="DD342" s="482">
        <f>+(((DC266+DD266)/2)/(DD30*2))*365</f>
        <v>38.51772857419293</v>
      </c>
      <c r="DE342" s="482">
        <f>+(((DB266+DE266)/2)/(DE30))*365</f>
        <v>38.626645219479997</v>
      </c>
      <c r="DF342" s="482">
        <f>+(((DE266+DF266)/2)/(DF30*2))*365</f>
        <v>38.712530551622116</v>
      </c>
      <c r="DG342" s="482">
        <f>+(((DF266+DG266)/2)/(DG30*2))*365</f>
        <v>50.690510255422062</v>
      </c>
      <c r="DH342" s="1244">
        <f>+(((DE266+DH266)/2)/(DH30))*365</f>
        <v>44.084990534196457</v>
      </c>
      <c r="DI342" s="482">
        <f>+(((DH266+DI266)/2)/(DI30*2))*365</f>
        <v>37.52152852529602</v>
      </c>
      <c r="DJ342" s="482">
        <f>+(((DI266+DJ266)/2)/(DJ30*2))*365</f>
        <v>42.238202545068937</v>
      </c>
      <c r="DK342" s="1244">
        <f>+(((DH266+DK266)/2)/(DK30))*365</f>
        <v>44.13828792735044</v>
      </c>
      <c r="DL342" s="482">
        <f>+(((DK266+DL266)/2)/(DL30*2))*365</f>
        <v>41.438863165590355</v>
      </c>
      <c r="DM342" s="482">
        <f>+(((DL266+DM266)/2)/(DM30*2))*365</f>
        <v>44.346000483325291</v>
      </c>
      <c r="DN342" s="1244">
        <f>+(((DK266+DN266)/2)/(DN30))*365</f>
        <v>48.19647515622156</v>
      </c>
      <c r="DO342" s="482">
        <f>+(((DN266+DO266)/2)/(DO30*2))*365</f>
        <v>44.7123968810035</v>
      </c>
      <c r="DP342" s="482">
        <f>+(((DO266+DP266)/2)/(DP30*2))*365</f>
        <v>40.9375</v>
      </c>
      <c r="DQ342" s="1244">
        <f>+(((DN266+DQ266)/2)/(DQ30))*365</f>
        <v>47.394762667217599</v>
      </c>
      <c r="DR342" s="482">
        <f>+(((DQ266+DR266)/2)/(DR30*2))*365</f>
        <v>42.987596722803822</v>
      </c>
      <c r="DS342" s="482">
        <f>+(((DR266+DS266)/2)/(DS30*2))*365</f>
        <v>44.160474012839664</v>
      </c>
      <c r="DT342" s="1244">
        <f>+(((DQ266+DT266)/2)/(DT30))*365</f>
        <v>46.825013419216305</v>
      </c>
      <c r="DU342" s="482">
        <f>+(((DT266+DU266)/2)/(DU30*2))*365</f>
        <v>45.839519920811675</v>
      </c>
      <c r="DV342" s="482">
        <f>+(((DU266+DV266)/2)/(DV30*2))*365</f>
        <v>45.492161952169127</v>
      </c>
      <c r="DW342" s="1244">
        <f>+(((DT266+DW266)/2)/(DW30))*365</f>
        <v>46.85758183602919</v>
      </c>
      <c r="DX342" s="482">
        <f>+(((DW266+DX266)/2)/(DX30*2))*365</f>
        <v>45.320103666895136</v>
      </c>
      <c r="DY342" s="482">
        <f>+(((DX266+DY266)/2)/(DY30*2))*365</f>
        <v>39.592972916538258</v>
      </c>
      <c r="DZ342" s="1244">
        <f>+(((DW266+DZ266)/2)/(DZ30))*365</f>
        <v>43.600132666117929</v>
      </c>
      <c r="EA342" s="482">
        <f>+(((DZ266+EA266)/2)/(EA30*2))*365</f>
        <v>41.640372140472579</v>
      </c>
      <c r="EB342" s="482">
        <f>+(((EA266+EB266)/2)/(EB30*2))*365</f>
        <v>42.818160810460022</v>
      </c>
      <c r="EC342" s="1244">
        <f>+(((DZ266+EC266)/2)/(EC30))*365</f>
        <v>41.340890963305277</v>
      </c>
      <c r="ED342" s="482">
        <f>+(((EC266+ED266)/2)/(ED30*2))*365</f>
        <v>42.416976804181502</v>
      </c>
      <c r="EE342" s="482">
        <f>+(((ED266+EE266)/2)/(EE30*2))*365</f>
        <v>42.814345834438853</v>
      </c>
      <c r="EF342" s="1244">
        <f>+(((EC266+EF266)/2)/(EF30))*365</f>
        <v>42.104485912231517</v>
      </c>
      <c r="EG342" s="482">
        <f>+(((EF266+EG266)/2)/(EG30*2))*365</f>
        <v>42.302490284793706</v>
      </c>
      <c r="EH342" s="482">
        <f>+(((EG266+EH266)/2)/(EH30*2))*365</f>
        <v>42.814345834438853</v>
      </c>
      <c r="EI342" s="1244">
        <f>+(((EF266+EI266)/2)/(EI30))*365</f>
        <v>41.991743119266054</v>
      </c>
      <c r="EJ342" s="482">
        <f>+(((EI266+EJ266)/2)/(EJ30*2))*365</f>
        <v>42.302490284793706</v>
      </c>
      <c r="EK342" s="482">
        <f>+(((EJ266+EK266)/2)/(EK30*2))*365</f>
        <v>42.814345834438846</v>
      </c>
      <c r="EL342" s="1244">
        <f>+(((EI266+EL266)/2)/(EL30))*365</f>
        <v>41.991743119266047</v>
      </c>
      <c r="EM342" s="482">
        <f>+(((EL266+EM266)/2)/(EM30*2))*365</f>
        <v>42.302490284793691</v>
      </c>
      <c r="EN342" s="482">
        <f>+(((EM266+EN266)/2)/(EN30*2))*365</f>
        <v>42.814345834438839</v>
      </c>
      <c r="EO342" s="1244">
        <f>+(((EL266+EO266)/2)/(EO30))*365</f>
        <v>41.991743119266047</v>
      </c>
      <c r="EP342" s="482">
        <f>+(((EO266+EP266)/2)/(EP30*2))*365</f>
        <v>42.302490284793699</v>
      </c>
      <c r="EQ342" s="482">
        <f>+(((EP266+EQ266)/2)/(EQ30*2))*365</f>
        <v>42.814345834438839</v>
      </c>
      <c r="ER342" s="1244">
        <f>+(((EO266+ER266)/2)/(ER30))*365</f>
        <v>41.991743119266054</v>
      </c>
      <c r="ES342" s="482">
        <f>+(((ER266+ES266)/2)/(ES30*2))*365</f>
        <v>42.302490284793699</v>
      </c>
      <c r="ET342" s="482">
        <f>+(((ES266+ET266)/2)/(ET30*2))*365</f>
        <v>42.814345834438846</v>
      </c>
      <c r="EU342" s="1244">
        <f>+(((ER266+EU266)/2)/(EU30))*365</f>
        <v>41.991743119266054</v>
      </c>
      <c r="EV342" s="482">
        <f>+(((EU266+EV266)/2)/(EV30*2))*365</f>
        <v>42.302490284793699</v>
      </c>
      <c r="EW342" s="482">
        <f>+(((EV266+EW266)/2)/(EW30*2))*365</f>
        <v>42.814345834438846</v>
      </c>
      <c r="EX342" s="1244">
        <f>+(((EU266+EX266)/2)/(EX30))*365</f>
        <v>41.991743119266054</v>
      </c>
      <c r="EY342" s="482">
        <f>+(((EX266+EY266)/2)/(EY30*2))*365</f>
        <v>42.302490284793699</v>
      </c>
      <c r="EZ342" s="482">
        <f>+(((EY266+EZ266)/2)/(EZ30*2))*365</f>
        <v>42.814345834438839</v>
      </c>
      <c r="FA342" s="1244">
        <f>+(((EX266+FA266)/2)/(FA30))*365</f>
        <v>41.991743119266047</v>
      </c>
      <c r="FE342"/>
      <c r="FF342"/>
      <c r="FG342"/>
      <c r="FH342"/>
      <c r="FI342"/>
      <c r="FJ342"/>
      <c r="FK342" s="35"/>
    </row>
    <row r="343" spans="1:167" s="236" customFormat="1" ht="14.1" customHeight="1">
      <c r="B343" s="242" t="s">
        <v>175</v>
      </c>
      <c r="C343" s="242" t="s">
        <v>460</v>
      </c>
      <c r="D343" s="243"/>
      <c r="E343" s="293"/>
      <c r="F343" s="293"/>
      <c r="G343" s="293"/>
      <c r="H343" s="293"/>
      <c r="I343" s="293"/>
      <c r="J343" s="293"/>
      <c r="K343" s="293"/>
      <c r="L343" s="293"/>
      <c r="M343" s="293"/>
      <c r="N343" s="293"/>
      <c r="O343" s="293"/>
      <c r="P343" s="293"/>
      <c r="Q343" s="293"/>
      <c r="R343" s="293"/>
      <c r="S343" s="293"/>
      <c r="T343" s="293"/>
      <c r="U343" s="293"/>
      <c r="V343" s="293"/>
      <c r="W343" s="293"/>
      <c r="X343" s="293"/>
      <c r="Y343" s="293"/>
      <c r="Z343" s="293"/>
      <c r="AA343" s="293"/>
      <c r="AB343" s="293"/>
      <c r="AC343" s="293"/>
      <c r="AD343" s="293"/>
      <c r="AE343" s="293"/>
      <c r="AF343" s="293"/>
      <c r="AG343" s="293"/>
      <c r="AH343" s="293"/>
      <c r="AI343" s="293">
        <f>+(AI72*2)/(((AH264-AH230)+(AI264-AI230))/2)</f>
        <v>0.52618907358553391</v>
      </c>
      <c r="AJ343" s="293">
        <f>+(AJ72*2)/(((AI264-AI230)+(AJ264-AJ230))/2)</f>
        <v>0.38626136714709786</v>
      </c>
      <c r="AK343" s="293">
        <f>+(AK72)/(((AH264-AH230)+(AK264-AK230))/2)</f>
        <v>0.69624901141114004</v>
      </c>
      <c r="AL343" s="293">
        <f>+(AL72*2)/(((AK264-AK230)+(AL264-AL230))/2)</f>
        <v>0.3765865088544092</v>
      </c>
      <c r="AM343" s="293">
        <f>+(AM72*2)/(((AL264-AL230)+(AM264-AM230))/2)</f>
        <v>0.44398130605027158</v>
      </c>
      <c r="AN343" s="293">
        <f>+(AN72)/(((AK264-AK230)+(AN264-AN230))/2)</f>
        <v>0.39362410644249418</v>
      </c>
      <c r="AO343" s="293">
        <f>+(AO72*2)/(((AN264-AN230)+(AO264-AO230))/2)</f>
        <v>0.3522715068198905</v>
      </c>
      <c r="AP343" s="293">
        <f>+(AP72*2)/(((AO264-AO230)+(AP264-AP230))/2)</f>
        <v>0.47903788738909225</v>
      </c>
      <c r="AQ343" s="293">
        <f>+(AQ72)/(((AN264-AN230)+(AQ264-AQ230))/2)</f>
        <v>0.40526584576973279</v>
      </c>
      <c r="AR343" s="293">
        <f>+(AR72*2)/(((AQ264-AQ230)+(AR264-AR230))/2)</f>
        <v>0.34370129114807496</v>
      </c>
      <c r="AS343" s="293">
        <f>+(AS72*2)/(((AR264-AR230)+(AS264-AS230))/2)</f>
        <v>0.41379310344827602</v>
      </c>
      <c r="AT343" s="293">
        <f>+(AT72)/(((AQ264-AQ230)+(AT264-AT230))/2)</f>
        <v>0.39621379583970989</v>
      </c>
      <c r="AU343" s="293">
        <f>+(AU72*2)/(((AT264-AT230)+(AU264-AU230))/2)</f>
        <v>0.34678375328357786</v>
      </c>
      <c r="AV343" s="293">
        <f>+(AV72*2)/(((AU264-AU230)+(AV264-AV230))/2)</f>
        <v>0.53275501332747366</v>
      </c>
      <c r="AW343" s="293">
        <f>+(AW72)/(((AT264-AT230)+(AW264-AW230))/2)</f>
        <v>0.46635149605026566</v>
      </c>
      <c r="AX343" s="293">
        <f>+(AX72*2)/(((AW264-AW230)+(AX264-AX230))/2)</f>
        <v>0.5755884404949877</v>
      </c>
      <c r="AY343" s="293">
        <f>+(AY72*2)/(((AX264-AX230)+(AY264-AY230))/2)</f>
        <v>0.58573247235302228</v>
      </c>
      <c r="AZ343" s="293">
        <f>+(AZ72)/(((AW264-AW230)+(AZ264-AZ230))/2)</f>
        <v>0.58104246394491887</v>
      </c>
      <c r="BA343" s="293">
        <f>+(BA72*2)/(((AZ264-AZ230)+(BA264-BA230))/2)</f>
        <v>0.58335695433902146</v>
      </c>
      <c r="BB343" s="293">
        <f>+(BB72*2)/(((BA264-BA230)+(BB264-BB230))/2)</f>
        <v>0.48031792062724876</v>
      </c>
      <c r="BC343" s="293">
        <f>+(BC72)/(((AZ264-AZ230)+(BC264-BC230))/2)</f>
        <v>0.53991565486111526</v>
      </c>
      <c r="BD343" s="293">
        <f>+(BD72*2)/(((BC264-BC230)+(BD264-BD230))/2)</f>
        <v>0.46652314413228041</v>
      </c>
      <c r="BE343" s="293">
        <f>+(BE72*2)/(((BD264-BD230)+(BE264-BE230))/2)</f>
        <v>0.42338070366631064</v>
      </c>
      <c r="BF343" s="293">
        <f>+(BF72)/(((BC264-BC230)+(BF264-BF230))/2)</f>
        <v>0.44362515731388558</v>
      </c>
      <c r="BG343" s="293">
        <f>+(BG72*2)/(((BF264-BF230)+(BG264-BG230))/2)</f>
        <v>0.46900861122945625</v>
      </c>
      <c r="BH343" s="293">
        <f>+(BH72*2)/(((BG264-BG230)+(BH264-BH230))/2)</f>
        <v>0.5056847850859858</v>
      </c>
      <c r="BI343" s="293">
        <f>+(BI72)/(((BF264-BF230)+(BI264-BI230))/2)</f>
        <v>0.47625951862426724</v>
      </c>
      <c r="BJ343" s="293">
        <f>+(BJ72*2)/(((BI264-BI230)+(BJ264-BJ230))/2)</f>
        <v>0.35447994480243705</v>
      </c>
      <c r="BK343" s="293">
        <f>+(BK72*2)/(((BJ264-BJ230)+(BK264-BK230))/2)</f>
        <v>9.8003827732217511E-2</v>
      </c>
      <c r="BL343" s="293">
        <f>+(BL72)/(((BI264-BI230)+(BL264-BL230))/2)</f>
        <v>0.24227712034448856</v>
      </c>
      <c r="BM343" s="293">
        <f>+(BM72*2)/(((BL264-BL230)+(BM264-BM230))/2)</f>
        <v>0.40598191979291037</v>
      </c>
      <c r="BN343" s="293">
        <f>+(BN72*2)/(((BM264-BM230)+(BN264-BN230))/2)</f>
        <v>0.27738530461814354</v>
      </c>
      <c r="BO343" s="293">
        <f>+(BO72)/(((BL264-BL230)+(BO264-BO230))/2)</f>
        <v>0.28206872039534392</v>
      </c>
      <c r="BP343" s="293">
        <f>+(BP72*2)/(((BO264-BO230)+(BP264-BP230))/2)</f>
        <v>0.30323662266734019</v>
      </c>
      <c r="BQ343" s="293">
        <f>+(BQ72*2)/(((BP264-BP230)+(BQ264-BQ230))/2)</f>
        <v>0.2103312580092766</v>
      </c>
      <c r="BR343" s="293">
        <f>+(BR72)/(((BO264-BO230)+(BR264-BR230))/2)</f>
        <v>0.25365471612096274</v>
      </c>
      <c r="BS343" s="293">
        <f>+(BS72*2)/(((BR264-BR230)+(BS264-BS230))/2)</f>
        <v>0.31822941097634527</v>
      </c>
      <c r="BT343" s="293">
        <f>+(BT72*2)/(((BS264-BS230)+(BT264-BT230))/2)</f>
        <v>0.31083462851099958</v>
      </c>
      <c r="BU343" s="293">
        <f>+(BU72)/(((BR264-BR230)+(BU264-BU230))/2)</f>
        <v>0.31955897070971251</v>
      </c>
      <c r="BV343" s="293">
        <f>+(BV72*2)/(((BU264-BU230)+(BV264-BV230))/2)</f>
        <v>0.32226994069275805</v>
      </c>
      <c r="BW343" s="293">
        <f>+(BW72*2)/(((BV264-BV230)+(BW264-BW230))/2)</f>
        <v>0.2950528442329306</v>
      </c>
      <c r="BX343" s="293">
        <f>+(BX72)/(((BU264-BU230)+(BX264-BX230))/2)</f>
        <v>0.3117203684108556</v>
      </c>
      <c r="BY343" s="293">
        <f>+(BY72*2)/(((BX264-BX230)+(BY264-BY230))/2)</f>
        <v>0.29102617501203976</v>
      </c>
      <c r="BZ343" s="293">
        <f>+(BZ72*2)/(((BY264-BY230)+(BZ264-BZ230))/2)</f>
        <v>0.27106264394874474</v>
      </c>
      <c r="CA343" s="293">
        <f>+(CA72)/(((BX264-BX230)+(CA264-CA230))/2)</f>
        <v>0.29838901199911838</v>
      </c>
      <c r="CB343" s="293">
        <f>+(CB72*2)/(((CA264-CA230)+(CB264-CB230))/2)</f>
        <v>0.32599817938149545</v>
      </c>
      <c r="CC343" s="293">
        <f>+(CC72*2)/(((CB264-CB230)+(CC264-CC230))/2)</f>
        <v>0.33806283080422789</v>
      </c>
      <c r="CD343" s="293">
        <f>+(CD72)/(((CA264-CA230)+(CD264-CD230))/2)</f>
        <v>0.33533190447217237</v>
      </c>
      <c r="CE343" s="293">
        <f>+(CE72*2)/(((CD264-CD230)+(CE264-CE230))/2)</f>
        <v>0.32167693964529587</v>
      </c>
      <c r="CF343" s="293">
        <f>+(CF72*2)/(((CE264-CE230)+(CF264-CF230))/2)</f>
        <v>0.37717335283799452</v>
      </c>
      <c r="CG343" s="293">
        <f>+(CG72)/(((CD264-CD230)+(CG264-CG230))/2)</f>
        <v>0.34873161117503371</v>
      </c>
      <c r="CH343" s="293">
        <f>+(CH72*2)/(((CG264-CG230)+(CH264-CH230))/2)</f>
        <v>0.33658669916677175</v>
      </c>
      <c r="CI343" s="293">
        <f>+(CI72*2)/(((CH264-CH230)+(CI264-CI230))/2)</f>
        <v>0.3392846771659182</v>
      </c>
      <c r="CJ343" s="293">
        <f>+(CJ72)/(((CG264-CG230)+(CJ264-CJ230))/2)</f>
        <v>0.33052937022138978</v>
      </c>
      <c r="CK343" s="293">
        <f>+(CK72*2)/(((CJ264-CJ230)+(CK264-CK230))/2)</f>
        <v>0.3315452606379356</v>
      </c>
      <c r="CL343" s="293">
        <f>+(CL72*2)/(((CK264-CK230)+(CL264-CL230))/2)</f>
        <v>0.20387221111012394</v>
      </c>
      <c r="CM343" s="293">
        <f>+(CM72)/(((CJ264-CJ230)+(CM264-CM230))/2)</f>
        <v>0.26579129602605905</v>
      </c>
      <c r="CN343" s="293">
        <f>+(CN72*2)/(((CM264-CM230)+(CN264-CN230))/2)</f>
        <v>0.13508758144031921</v>
      </c>
      <c r="CO343" s="293">
        <f>+(CO72*2)/(((CN264-CN230)+(CO264-CO230))/2)</f>
        <v>0.27000280211667582</v>
      </c>
      <c r="CP343" s="293">
        <f>+(CP72)/(((CM264-CM230)+(CP264-CP230))/2)</f>
        <v>0.20714864669372149</v>
      </c>
      <c r="CQ343" s="293">
        <f>+(CQ72*2)/(((CP264-CP230)+(CQ264-CQ230))/2)</f>
        <v>0.2675676927900324</v>
      </c>
      <c r="CR343" s="293">
        <f>+(CR72*2)/(((CQ264-CQ230)+(CR264-CR230))/2)</f>
        <v>0.27060553621059785</v>
      </c>
      <c r="CS343" s="293">
        <f>+(CS72)/(((CP264-CP230)+(CS264-CS230))/2)</f>
        <v>0.26982345888922227</v>
      </c>
      <c r="CT343" s="293">
        <f>+(CT72*2)/(((CS264-CS230)+(CT264-CT230))/2)</f>
        <v>0.31928938991217937</v>
      </c>
      <c r="CU343" s="293">
        <f>+(CU72*2)/(((CT264-CT230)+(CU264-CU230))/2)</f>
        <v>0.30509859319781962</v>
      </c>
      <c r="CV343" s="293">
        <f>+(CV72)/(((CS264-CS230)+(CV264-CV230))/2)</f>
        <v>0.31284838997518455</v>
      </c>
      <c r="CW343" s="293">
        <f>+(CW72*2)/(((CV264-CV230)+(CW264-CW230))/2)</f>
        <v>0.35023362419256049</v>
      </c>
      <c r="CX343" s="293">
        <f>+(CX72*2)/(((CW264-CW230)+(CX264-CX230))/2)</f>
        <v>0.32658731991338108</v>
      </c>
      <c r="CY343" s="293">
        <f>+(CY72)/(((CV264-CV230)+(CY264-CY230))/2)</f>
        <v>0.32735567972251672</v>
      </c>
      <c r="CZ343" s="293">
        <f>+(CZ72*2)/(((CY264-CY230)+(CZ264-CZ230))/2)</f>
        <v>0.30190490072347886</v>
      </c>
      <c r="DA343" s="293">
        <f>+(DA72*2)/(((CZ264-CZ230)+(DA264-DA230))/2)</f>
        <v>0.34619986340834824</v>
      </c>
      <c r="DB343" s="293">
        <f>+(DB72)/(((CY264-CY230)+(DB264-DB230))/2)</f>
        <v>0.32527019879853553</v>
      </c>
      <c r="DC343" s="293">
        <f>+(DC72*2)/(((DB264-DB230)+(DC264-DC230))/2)</f>
        <v>0.31438721136767317</v>
      </c>
      <c r="DD343" s="293">
        <f>+(DD72*2)/(((DC264-DC230)+(DD264-DD230))/2)</f>
        <v>0.29675972651798799</v>
      </c>
      <c r="DE343" s="293">
        <f>+(DE72)/(((DB264-DB230)+(DE264-DE230))/2)</f>
        <v>0.2999161101836394</v>
      </c>
      <c r="DF343" s="293">
        <f>+(DF72*2)/(((DE264-DE230)+(DF264-DF230))/2)</f>
        <v>0.25745860066541376</v>
      </c>
      <c r="DG343" s="293">
        <f>+(DG72*2)/(((DF264-DF230)+(DG264-DG230))/2)</f>
        <v>2.6053686056013308E-2</v>
      </c>
      <c r="DH343" s="1248">
        <f>+(DH72)/(((DE264-DE230)+(DH264-DH230))/2)</f>
        <v>0.12497706942892521</v>
      </c>
      <c r="DI343" s="293">
        <f>+(DI72*2)/(((DH264-DH230)+(DI264-DI230))/2)</f>
        <v>0.18607601628165144</v>
      </c>
      <c r="DJ343" s="293">
        <f>+(DJ72*2)/(((DI264-DI230)+(DJ264-DJ230))/2)</f>
        <v>0.17560325438036259</v>
      </c>
      <c r="DK343" s="1248">
        <f>+(DK72)/(((DH264-DH230)+(DK264-DK230))/2)</f>
        <v>0.17404214309900243</v>
      </c>
      <c r="DL343" s="293">
        <f>+(DL72*2)/(((DK264-DK230)+(DL264-DL230))/2)</f>
        <v>0.24059339177343222</v>
      </c>
      <c r="DM343" s="293">
        <f>+(DM72*2)/(((DL264-DL230)+(DM264-DM230))/2)</f>
        <v>0.19522437881928556</v>
      </c>
      <c r="DN343" s="1248">
        <f>+(DN72)/(((DK264-DK230)+(DN264-DN230))/2)</f>
        <v>0.22066368300403888</v>
      </c>
      <c r="DO343" s="293">
        <f>+(DO72*2)/(((DN264-DN230)+(DO264-DO230))/2)</f>
        <v>0.21619894563075778</v>
      </c>
      <c r="DP343" s="293">
        <f>+(DP72*2)/(((DO264-DO230)+(DP264-DP230))/2)</f>
        <v>0.23553340791213265</v>
      </c>
      <c r="DQ343" s="1248">
        <f>+(DQ72)/(((DN264-DN230)+(DQ264-DQ230))/2)</f>
        <v>0.22582488958170954</v>
      </c>
      <c r="DR343" s="293">
        <f>+(DR72*2)/(((DQ264-DQ230)+(DR264-DR230))/2)</f>
        <v>0.26827645681902174</v>
      </c>
      <c r="DS343" s="293">
        <f>+(DS72*2)/(((DR264-DR230)+(DS264-DS230))/2)</f>
        <v>0.24588477366255151</v>
      </c>
      <c r="DT343" s="1248">
        <f>+(DT72)/(((DQ264-DQ230)+(DT264-DT230))/2)</f>
        <v>0.25212618088439698</v>
      </c>
      <c r="DU343" s="293">
        <f>+(DU72*2)/(((DT264-DT230)+(DU264-DU230))/2)</f>
        <v>0.2474484841946272</v>
      </c>
      <c r="DV343" s="293">
        <f>+(DV72*2)/(((DU264-DU230)+(DV264-DV230))/2)</f>
        <v>0.21589968297558707</v>
      </c>
      <c r="DW343" s="1248">
        <f>+(DW72)/(((DT264-DT230)+(DW264-DW230))/2)</f>
        <v>0.23176037483266393</v>
      </c>
      <c r="DX343" s="293">
        <f>+(DX72*2)/(((DW264-DW230)+(DX264-DX230))/2)</f>
        <v>0.19767644834073589</v>
      </c>
      <c r="DY343" s="293">
        <f>+(DY72*2)/(((DX264-DX230)+(DY264-DY230))/2)</f>
        <v>0.22276369750144709</v>
      </c>
      <c r="DZ343" s="1248">
        <f>+(DZ72)/(((DW264-DW230)+(DZ264-DZ230))/2)</f>
        <v>0.2097274072866441</v>
      </c>
      <c r="EA343" s="293">
        <f>+(EA72*2)/(((DZ264-DZ230)+(EA264-EA230))/2)</f>
        <v>0.23379326415301926</v>
      </c>
      <c r="EB343" s="293">
        <f>+(EB72*2)/(((EA264-EA230)+(EB264-EB230))/2)</f>
        <v>0.24138331165226248</v>
      </c>
      <c r="EC343" s="1248">
        <f>+(EC72)/(((DZ264-DZ230)+(EC264-EC230))/2)</f>
        <v>0.23773214875667203</v>
      </c>
      <c r="ED343" s="293">
        <f>+(ED72*2)/(((EC264-EC230)+(ED264-ED230))/2)</f>
        <v>0.25952468649887772</v>
      </c>
      <c r="EE343" s="293">
        <f>+(EE72*2)/(((ED264-ED230)+(EE264-EE230))/2)</f>
        <v>0.26360133057800839</v>
      </c>
      <c r="EF343" s="1248">
        <f>+(EF72)/(((EC264-EC230)+(EF264-EF230))/2)</f>
        <v>0.2623811229153174</v>
      </c>
      <c r="EG343" s="293">
        <f>+(EG72*2)/(((EF264-EF230)+(EG264-EG230))/2)</f>
        <v>0.27882987063646963</v>
      </c>
      <c r="EH343" s="293">
        <f>+(EH72*2)/(((EG264-EG230)+(EH264-EH230))/2)</f>
        <v>0.28273572508681682</v>
      </c>
      <c r="EI343" s="1248">
        <f>+(EI72)/(((EF264-EF230)+(EI264-EI230))/2)</f>
        <v>0.28185457359792987</v>
      </c>
      <c r="EJ343" s="293">
        <f>+(EJ72*2)/(((EI264-EI230)+(EJ264-EJ230))/2)</f>
        <v>0.29701430351189673</v>
      </c>
      <c r="EK343" s="293">
        <f>+(EK72*2)/(((EJ264-EJ230)+(EK264-EK230))/2)</f>
        <v>0.30106099737498654</v>
      </c>
      <c r="EL343" s="1248">
        <f>+(EL72)/(((EI264-EI230)+(EL264-EL230))/2)</f>
        <v>0.30019096785349031</v>
      </c>
      <c r="EM343" s="293">
        <f>+(EM72*2)/(((EL264-EL230)+(EM264-EM230))/2)</f>
        <v>0.3141609200608837</v>
      </c>
      <c r="EN343" s="293">
        <f>+(EN72*2)/(((EM264-EM230)+(EN264-EN230))/2)</f>
        <v>0.31832717328714738</v>
      </c>
      <c r="EO343" s="1248">
        <f>+(EO72)/(((EL264-EL230)+(EO264-EO230))/2)</f>
        <v>0.31747325675579019</v>
      </c>
      <c r="EP343" s="293">
        <f>+(EP72*2)/(((EO264-EO230)+(EP264-EP230))/2)</f>
        <v>0.33068757708721036</v>
      </c>
      <c r="EQ343" s="293">
        <f>+(EQ72*2)/(((EP264-EP230)+(EQ264-EQ230))/2)</f>
        <v>0.33496031537468002</v>
      </c>
      <c r="ER343" s="1248">
        <f>+(ER72)/(((EO264-EO230)+(ER264-ER230))/2)</f>
        <v>0.33412422694430394</v>
      </c>
      <c r="ES343" s="293">
        <f>+(ES72*2)/(((ER264-ER230)+(ES264-ES230))/2)</f>
        <v>0.34785645006730986</v>
      </c>
      <c r="ET343" s="293">
        <f>+(ET72*2)/(((ES264-ES230)+(ET264-ET230))/2)</f>
        <v>0.35224089753141058</v>
      </c>
      <c r="EU343" s="1248">
        <f>+(EU72)/(((ER264-ER230)+(EU264-EU230))/2)</f>
        <v>0.3514193848097783</v>
      </c>
      <c r="EV343" s="293">
        <f>+(EV72*2)/(((EU264-EU230)+(EV264-EV230))/2)</f>
        <v>0.36569610621973364</v>
      </c>
      <c r="EW343" s="293">
        <f>+(EW72*2)/(((EV264-EV230)+(EW264-EW230))/2)</f>
        <v>0.37019915308038376</v>
      </c>
      <c r="EX343" s="1248">
        <f>+(EX72)/(((EU264-EU230)+(EX264-EX230))/2)</f>
        <v>0.36938742833828514</v>
      </c>
      <c r="EY343" s="293">
        <f>+(EY72*2)/(((EX264-EX230)+(EY264-EY230))/2)</f>
        <v>0.38423948199689689</v>
      </c>
      <c r="EZ343" s="293">
        <f>+(EZ72*2)/(((EY264-EY230)+(EZ264-EZ230))/2)</f>
        <v>0.38886993216476767</v>
      </c>
      <c r="FA343" s="1248">
        <f>+(FA72)/(((EX264-EX230)+(FA264-FA230))/2)</f>
        <v>0.38806146071090641</v>
      </c>
      <c r="FE343"/>
      <c r="FF343"/>
      <c r="FG343"/>
      <c r="FH343"/>
      <c r="FI343"/>
      <c r="FJ343"/>
      <c r="FK343" s="35"/>
    </row>
    <row r="344" spans="1:167" s="236" customFormat="1" ht="13.35" customHeight="1">
      <c r="B344" s="242" t="s">
        <v>176</v>
      </c>
      <c r="C344" s="242" t="s">
        <v>460</v>
      </c>
      <c r="D344" s="243"/>
      <c r="E344" s="293"/>
      <c r="F344" s="293"/>
      <c r="G344" s="293"/>
      <c r="H344" s="293"/>
      <c r="I344" s="293"/>
      <c r="J344" s="293"/>
      <c r="K344" s="293"/>
      <c r="L344" s="293"/>
      <c r="M344" s="293"/>
      <c r="N344" s="293"/>
      <c r="O344" s="293"/>
      <c r="P344" s="293"/>
      <c r="Q344" s="293"/>
      <c r="R344" s="293"/>
      <c r="S344" s="293"/>
      <c r="T344" s="293"/>
      <c r="U344" s="293"/>
      <c r="V344" s="293"/>
      <c r="W344" s="293"/>
      <c r="X344" s="293"/>
      <c r="Y344" s="293"/>
      <c r="Z344" s="293"/>
      <c r="AA344" s="293"/>
      <c r="AB344" s="293"/>
      <c r="AC344" s="293"/>
      <c r="AD344" s="293"/>
      <c r="AE344" s="293"/>
      <c r="AF344" s="293"/>
      <c r="AG344" s="293"/>
      <c r="AH344" s="293"/>
      <c r="AI344" s="293"/>
      <c r="AJ344" s="293">
        <f>+(AJ90)/AI320</f>
        <v>0.32116666666666666</v>
      </c>
      <c r="AK344" s="293"/>
      <c r="AL344" s="293">
        <f>+(AL90)/AK320</f>
        <v>0.32235146180446395</v>
      </c>
      <c r="AM344" s="293">
        <f>+(AM90)/AL320</f>
        <v>0.32852233676975939</v>
      </c>
      <c r="AN344" s="293">
        <f>+AN90/AK320</f>
        <v>0.68299276956931776</v>
      </c>
      <c r="AO344" s="293">
        <f>+(AO90)/AN320</f>
        <v>0.24502844757518291</v>
      </c>
      <c r="AP344" s="293">
        <f>+(AP90)/AO320</f>
        <v>0.31386351155708658</v>
      </c>
      <c r="AQ344" s="293">
        <f>+AQ90/AN320</f>
        <v>0.58569493362232472</v>
      </c>
      <c r="AR344" s="293">
        <f>+(AR90)/AQ320</f>
        <v>0.23276268932080488</v>
      </c>
      <c r="AS344" s="293">
        <f>+(AS90)/AR320</f>
        <v>0.28116615989983901</v>
      </c>
      <c r="AT344" s="293">
        <f>+AT90/AQ320</f>
        <v>0.57000042905564852</v>
      </c>
      <c r="AU344" s="293">
        <f>+(AU90)/AT320</f>
        <v>0.20697928026172302</v>
      </c>
      <c r="AV344" s="293">
        <f>+(AV90)/AU320</f>
        <v>0.25959682607763235</v>
      </c>
      <c r="AW344" s="293">
        <f>+AW90/AT320</f>
        <v>0.50870852157656954</v>
      </c>
      <c r="AX344" s="293">
        <f>+(AX90)/AW320</f>
        <v>0.30320117474302505</v>
      </c>
      <c r="AY344" s="293">
        <f>+(AY90)/AX320</f>
        <v>0.36188077246011757</v>
      </c>
      <c r="AZ344" s="293">
        <f>+AZ90/AW320</f>
        <v>0.70825256975036721</v>
      </c>
      <c r="BA344" s="293">
        <f>+(BA90)/AZ320</f>
        <v>0.3706133694459362</v>
      </c>
      <c r="BB344" s="293">
        <f>+(BB90)/BA320</f>
        <v>0.28519519239727936</v>
      </c>
      <c r="BC344" s="293">
        <f>+BC90/AZ320</f>
        <v>0.72796469681757692</v>
      </c>
      <c r="BD344" s="293">
        <f>+(BD90)/BC320</f>
        <v>0.37480854131002789</v>
      </c>
      <c r="BE344" s="293">
        <f>+(BE90)/BD320</f>
        <v>0.325787331286153</v>
      </c>
      <c r="BF344" s="293">
        <f>+BF90/BC320</f>
        <v>0.78583656185241912</v>
      </c>
      <c r="BG344" s="293">
        <f>+(BG90)/BF320</f>
        <v>0.35821311127612182</v>
      </c>
      <c r="BH344" s="293">
        <f>+(BH90)/BG320</f>
        <v>0.28276331307266633</v>
      </c>
      <c r="BI344" s="293">
        <f>+BI90/BF320</f>
        <v>0.77150737244086143</v>
      </c>
      <c r="BJ344" s="293">
        <f>+(BJ90)/BI320</f>
        <v>0.22458579461428563</v>
      </c>
      <c r="BK344" s="293">
        <f>+(BK90)/BJ320</f>
        <v>8.6440047353289362E-2</v>
      </c>
      <c r="BL344" s="293">
        <f>+BL90/BI320</f>
        <v>0.33134759831894861</v>
      </c>
      <c r="BM344" s="293">
        <f>+(BM90)/BL320</f>
        <v>0.21195249501859487</v>
      </c>
      <c r="BN344" s="293">
        <f>+(BN90)/BM320</f>
        <v>0.2025061082024433</v>
      </c>
      <c r="BO344" s="293">
        <f>+BO90/BL320</f>
        <v>0.42062481567002602</v>
      </c>
      <c r="BP344" s="293">
        <f>+(BP90)/BO320</f>
        <v>0.28687966915688362</v>
      </c>
      <c r="BQ344" s="293">
        <f>+(BQ90)/BP320</f>
        <v>0.18427287297052469</v>
      </c>
      <c r="BR344" s="293">
        <f>+BR90/BO320</f>
        <v>0.53383137673425818</v>
      </c>
      <c r="BS344" s="293">
        <f>+(BS90)/BR320</f>
        <v>0.23512915769236334</v>
      </c>
      <c r="BT344" s="293">
        <f>+(BT90)/BS320</f>
        <v>0.21560243772339138</v>
      </c>
      <c r="BU344" s="293">
        <f>+BU90/BR320</f>
        <v>0.48247300481359945</v>
      </c>
      <c r="BV344" s="293">
        <f>+(BV90)/BU320</f>
        <v>0.21898400745373051</v>
      </c>
      <c r="BW344" s="293">
        <f>+(BW90)/BV320</f>
        <v>0.20206300975531746</v>
      </c>
      <c r="BX344" s="293">
        <f>+BX90/BU320</f>
        <v>0.44183291220778426</v>
      </c>
      <c r="BY344" s="293">
        <f>+(BY90)/BX320</f>
        <v>0.21900100519507357</v>
      </c>
      <c r="BZ344" s="293">
        <f>+(BZ90)/BY320</f>
        <v>0.21528263750004439</v>
      </c>
      <c r="CA344" s="293">
        <f>+CA90/BX320</f>
        <v>0.40877932993257987</v>
      </c>
      <c r="CB344" s="293">
        <f>+(CB90)/CA320</f>
        <v>0.20658971979551607</v>
      </c>
      <c r="CC344" s="293">
        <f>+(CC90)/CB320</f>
        <v>0.19724613246507675</v>
      </c>
      <c r="CD344" s="293">
        <f>+CD90/CA320</f>
        <v>0.42596792172065201</v>
      </c>
      <c r="CE344" s="293">
        <f>+(CE90)/CD320</f>
        <v>0.18921625888644517</v>
      </c>
      <c r="CF344" s="293">
        <f>+(CF90)/CE320</f>
        <v>0.19938121021003152</v>
      </c>
      <c r="CG344" s="293">
        <f>+CG90/CD320</f>
        <v>0.41093021345720365</v>
      </c>
      <c r="CH344" s="293">
        <f>+(CH90)/CG320</f>
        <v>0.15924837516864268</v>
      </c>
      <c r="CI344" s="293">
        <f>+(CI90)/CH320</f>
        <v>0.19722553940816903</v>
      </c>
      <c r="CJ344" s="293">
        <f>+CJ90/CG320</f>
        <v>0.31413737400230085</v>
      </c>
      <c r="CK344" s="293">
        <f>+(CK90)/CJ320</f>
        <v>0.20179016836416547</v>
      </c>
      <c r="CL344" s="293">
        <f>+(CL90)/CK320</f>
        <v>0.14037178143138404</v>
      </c>
      <c r="CM344" s="293">
        <f>+CM90/CJ320</f>
        <v>0.34442683433797544</v>
      </c>
      <c r="CN344" s="293">
        <f>+(CN90)/CM320</f>
        <v>0.10307834122040944</v>
      </c>
      <c r="CO344" s="293">
        <f>+(CO90)/CN320</f>
        <v>0.22548089150244086</v>
      </c>
      <c r="CP344" s="293">
        <f>+CP90/CM320</f>
        <v>0.30676943680953062</v>
      </c>
      <c r="CQ344" s="293">
        <f>+(CQ90)/CP320</f>
        <v>0.21681019425585882</v>
      </c>
      <c r="CR344" s="293">
        <f>+(CR90)/CQ320</f>
        <v>0.23165632796799462</v>
      </c>
      <c r="CS344" s="293">
        <f>+CS90/CP320</f>
        <v>0.4430066372017436</v>
      </c>
      <c r="CT344" s="293">
        <f>+(CT90)/CS320</f>
        <v>0.26459399075934337</v>
      </c>
      <c r="CU344" s="293">
        <f>+(CU90)/CT320</f>
        <v>0.22845586199424575</v>
      </c>
      <c r="CV344" s="293">
        <f>+CV90/CS320</f>
        <v>0.53159381630114866</v>
      </c>
      <c r="CW344" s="293">
        <f>+(CW90)/CV320</f>
        <v>0.24828380785496601</v>
      </c>
      <c r="CX344" s="293">
        <f>+(CX90)/CW320</f>
        <v>0.23016201031403469</v>
      </c>
      <c r="CY344" s="293">
        <f>+CY90/CV320</f>
        <v>0.49852304166471589</v>
      </c>
      <c r="CZ344" s="293">
        <f>+(CZ90)/CY320</f>
        <v>0.20380872146815851</v>
      </c>
      <c r="DA344" s="293">
        <f>+(DA90)/CZ320</f>
        <v>0.23486430062630487</v>
      </c>
      <c r="DB344" s="293">
        <f>+DB90/CY320</f>
        <v>0.45213162217394742</v>
      </c>
      <c r="DC344" s="293">
        <f>+(DC90)/DB320</f>
        <v>0.21054354944335305</v>
      </c>
      <c r="DD344" s="293">
        <f>+(DD90)/DC320</f>
        <v>0.21009946442234118</v>
      </c>
      <c r="DE344" s="293">
        <f>+DE90/DB320</f>
        <v>0.43533071381794369</v>
      </c>
      <c r="DF344" s="293">
        <f>+(DF90)/DE320</f>
        <v>0.18280754924920783</v>
      </c>
      <c r="DG344" s="293">
        <f>+(DG90)/DF320</f>
        <v>-0.46029776674937967</v>
      </c>
      <c r="DH344" s="1248">
        <f>+DH90/DE320</f>
        <v>-0.32828213252514121</v>
      </c>
      <c r="DI344" s="293">
        <f>+(DI90)/DH320</f>
        <v>8.9325722440242575E-2</v>
      </c>
      <c r="DJ344" s="293">
        <f>+(DJ90)/DI320</f>
        <v>6.8685268673083957E-2</v>
      </c>
      <c r="DK344" s="1248">
        <f>+DK90/DH320</f>
        <v>0.16976810560114161</v>
      </c>
      <c r="DL344" s="293">
        <f>+(DL90)/DK320</f>
        <v>9.4811071281659512E-2</v>
      </c>
      <c r="DM344" s="293">
        <f>+(DM90)/DL320</f>
        <v>7.560411608278414E-2</v>
      </c>
      <c r="DN344" s="1248">
        <f>+DN90/DK320</f>
        <v>0.17166363048715991</v>
      </c>
      <c r="DO344" s="293">
        <f>+(DO90)/DN320</f>
        <v>9.1202467817523891E-2</v>
      </c>
      <c r="DP344" s="293">
        <f>+(DP90)/DO320</f>
        <v>0.1040109601818924</v>
      </c>
      <c r="DQ344" s="1248">
        <f>+DQ90/DN320</f>
        <v>0.19703980542207988</v>
      </c>
      <c r="DR344" s="293">
        <f>+(DR90)/DQ320</f>
        <v>0.11643984446477584</v>
      </c>
      <c r="DS344" s="293">
        <f>+(DS90)/DR320</f>
        <v>0.11459198563250643</v>
      </c>
      <c r="DT344" s="1248">
        <f>+DT90/DQ320</f>
        <v>0.23319419030192132</v>
      </c>
      <c r="DU344" s="293">
        <f>+(DU90)/DT320</f>
        <v>0.11610431947840259</v>
      </c>
      <c r="DV344" s="293">
        <f>+(DV90)/DU320</f>
        <v>0.10794602698650681</v>
      </c>
      <c r="DW344" s="1248">
        <f>+DW90/DT320</f>
        <v>0.22563977180114103</v>
      </c>
      <c r="DX344" s="293">
        <f>+(DX90)/DW320</f>
        <v>9.9882069425216657E-2</v>
      </c>
      <c r="DY344" s="293">
        <f>+(DY90)/DX320</f>
        <v>0.11210203445371882</v>
      </c>
      <c r="DZ344" s="1248">
        <f>+DZ90/DW320</f>
        <v>0.21128285544518921</v>
      </c>
      <c r="EA344" s="293">
        <f>+(EA90)/DZ320</f>
        <v>0.12090089168279618</v>
      </c>
      <c r="EB344" s="293">
        <f>+(EB90)/EA320</f>
        <v>0.12425107675260154</v>
      </c>
      <c r="EC344" s="1248">
        <f>+EC90/DZ320</f>
        <v>0.24552020709048733</v>
      </c>
      <c r="ED344" s="293">
        <f>+(ED90)/EC320</f>
        <v>0.13443458383589238</v>
      </c>
      <c r="EE344" s="293">
        <f>+(EE90)/ED320</f>
        <v>0.13576125208493561</v>
      </c>
      <c r="EF344" s="1248">
        <f>+EF90/EC320</f>
        <v>0.27308214341063158</v>
      </c>
      <c r="EG344" s="293">
        <f>+(EG90)/EF320</f>
        <v>0.1436445842961557</v>
      </c>
      <c r="EH344" s="293">
        <f>+(EH90)/EG320</f>
        <v>0.14448374689439475</v>
      </c>
      <c r="EI344" s="1248">
        <f>+EI90/EF320</f>
        <v>0.29178235392714363</v>
      </c>
      <c r="EJ344" s="293">
        <f>+(EJ90)/EI320</f>
        <v>0.15126537290175726</v>
      </c>
      <c r="EK344" s="293">
        <f>+(EK90)/EJ320</f>
        <v>0.14836926166766351</v>
      </c>
      <c r="EL344" s="1248">
        <f>+EL90/EI320</f>
        <v>0.30725677890051872</v>
      </c>
      <c r="EM344" s="293">
        <f>+(EM90)/EL320</f>
        <v>0.15088859760652112</v>
      </c>
      <c r="EN344" s="293">
        <f>+(EN90)/EM320</f>
        <v>0.14806721483978275</v>
      </c>
      <c r="EO344" s="1248">
        <f>+EO90/EL320</f>
        <v>0.3064774339137824</v>
      </c>
      <c r="EP344" s="293">
        <f>+(EP90)/EO320</f>
        <v>0.15020160149665249</v>
      </c>
      <c r="EQ344" s="293">
        <f>+(EQ90)/EP320</f>
        <v>0.14744262501453165</v>
      </c>
      <c r="ER344" s="1248">
        <f>+ER90/EO320</f>
        <v>0.30506140177487362</v>
      </c>
      <c r="ES344" s="293">
        <f>+(ES90)/ER320</f>
        <v>0.14958237097506635</v>
      </c>
      <c r="ET344" s="293">
        <f>+(ET90)/ES320</f>
        <v>0.14684678850640689</v>
      </c>
      <c r="EU344" s="1248">
        <f>+EU90/ER320</f>
        <v>0.3037843728836751</v>
      </c>
      <c r="EV344" s="293">
        <f>+(EV90)/EU320</f>
        <v>0.14899322808505253</v>
      </c>
      <c r="EW344" s="293">
        <f>+(EW90)/EV320</f>
        <v>0.14627976652809374</v>
      </c>
      <c r="EX344" s="1248">
        <f>+EX90/EU320</f>
        <v>0.30256966652584438</v>
      </c>
      <c r="EY344" s="293">
        <f>+(EY90)/EX320</f>
        <v>0.14843429067006828</v>
      </c>
      <c r="EZ344" s="293">
        <f>+(EZ90)/EY320</f>
        <v>0.14574156791447179</v>
      </c>
      <c r="FA344" s="1248">
        <f>+FA90/EX320</f>
        <v>0.30141737891103321</v>
      </c>
      <c r="FE344"/>
      <c r="FF344"/>
      <c r="FG344"/>
      <c r="FH344"/>
      <c r="FI344"/>
      <c r="FJ344"/>
      <c r="FK344" s="35"/>
    </row>
    <row r="345" spans="1:167" s="236" customFormat="1" ht="13.35" customHeight="1">
      <c r="B345" s="242" t="s">
        <v>605</v>
      </c>
      <c r="C345" s="242" t="s">
        <v>460</v>
      </c>
      <c r="D345" s="243"/>
      <c r="E345" s="293"/>
      <c r="F345" s="293"/>
      <c r="G345" s="293"/>
      <c r="H345" s="293"/>
      <c r="I345" s="293"/>
      <c r="J345" s="293"/>
      <c r="K345" s="293"/>
      <c r="L345" s="293"/>
      <c r="M345" s="293"/>
      <c r="N345" s="293"/>
      <c r="O345" s="293"/>
      <c r="P345" s="293"/>
      <c r="Q345" s="293"/>
      <c r="R345" s="293"/>
      <c r="S345" s="293"/>
      <c r="T345" s="293"/>
      <c r="U345" s="293"/>
      <c r="V345" s="293"/>
      <c r="W345" s="293"/>
      <c r="X345" s="293"/>
      <c r="Y345" s="293"/>
      <c r="Z345" s="293"/>
      <c r="AA345" s="293"/>
      <c r="AB345" s="293"/>
      <c r="AC345" s="293"/>
      <c r="AD345" s="293"/>
      <c r="AE345" s="293"/>
      <c r="AF345" s="293"/>
      <c r="AG345" s="293"/>
      <c r="AH345" s="293"/>
      <c r="AI345" s="293">
        <f>+(AI72*2)/(((AH320+AH290+AH269-AH230)+(AI320+AI290+AI269-AI230))/2)</f>
        <v>1.0564640543042272</v>
      </c>
      <c r="AJ345" s="293">
        <f>+(AJ72*2)/(((AI320+AI290+AI269-AI230)+(AJ320+AJ290+AJ269-AJ230))/2)</f>
        <v>0.83399071925754054</v>
      </c>
      <c r="AK345" s="293">
        <f>+(AK72)/(((AH320+AH290+AH269-AH230)+(AK320+AK290+AK269-AK230))/2)</f>
        <v>1.6396168684315551</v>
      </c>
      <c r="AL345" s="293">
        <f>+(AL72*2)/(((AK320+AK290+AK269-AK230)+(AL320+AL290+AL269-AL230))/2)</f>
        <v>1.0930333943674251</v>
      </c>
      <c r="AM345" s="293">
        <f>+(AM72*2)/(((AL320+AL290+AL269-AL230)+(AM320+AM290+AM269-AM230))/2)</f>
        <v>1.9815375942498774</v>
      </c>
      <c r="AN345" s="293">
        <f>+(AN72)/(((AK320+AK290+AK269-AK230)+(AN320+AN290+AN269-AN230))/2)</f>
        <v>1.2474086581304817</v>
      </c>
      <c r="AO345" s="293">
        <f>+(AO72*2)/(((AN320+AN290+AN269-AN230)+(AO320+AO290+AO269-AO230))/2)</f>
        <v>1.3649604660840617</v>
      </c>
      <c r="AP345" s="293">
        <f>+(AP72*2)/(((AO320+AO290+AO269-AO230)+(AP320+AP290+AP269-AP230))/2)</f>
        <v>1.4731669468511575</v>
      </c>
      <c r="AQ345" s="293">
        <f>+(AQ72)/(((AN320+AN290+AN269-AN230)+(AQ320+AQ290+AQ269-AQ230))/2)</f>
        <v>1.5073870831574505</v>
      </c>
      <c r="AR345" s="293">
        <f>+(AR72*2)/(((AQ320+AQ290+AQ269-AQ230)+(AR320+AR290+AR269-AR230))/2)</f>
        <v>0.98032580206363429</v>
      </c>
      <c r="AS345" s="293">
        <f>+(AS72*2)/(((AR320+AR290+AR269-AR230)+(AS320+AS290+AS269-AS230))/2)</f>
        <v>1.2206527328271988</v>
      </c>
      <c r="AT345" s="293">
        <f>+(AT72)/(((AQ320+AQ290+AQ269-AQ230)+(AT320+AT290+AT269-AT230))/2)</f>
        <v>1.2372389380530975</v>
      </c>
      <c r="AU345" s="293">
        <f>+(AU72*2)/(((AT320+AT290+AT269-AT230)+(AU320+AU290+AU269-AU230))/2)</f>
        <v>1.1231648135634866</v>
      </c>
      <c r="AV345" s="293">
        <f>+(AV72*2)/(((AU320+AU290+AU269-AU230)+(AV320+AV290+AV269-AV230))/2)</f>
        <v>2.6999128498111742</v>
      </c>
      <c r="AW345" s="293">
        <f>+(AW72)/(((AT320+AT290+AT269-AT230)+(AW320+AW290+AW269-AW230))/2)</f>
        <v>2.3962420845011945</v>
      </c>
      <c r="AX345" s="293">
        <f>+(AX72*2)/(((AW320+AW290+AW269-AW230)+(AX320+AX290+AX269-AX230))/2)</f>
        <v>4.0339702760084934</v>
      </c>
      <c r="AY345" s="293">
        <f>+(AY72*2)/(((AX320+AX290+AX269-AX230)+(AY320+AY290+AY269-AY230))/2)</f>
        <v>2.2532452206750055</v>
      </c>
      <c r="AZ345" s="293">
        <f>+(AZ72)/(((AW320+AW290+AW269-AW230)+(AZ320+AZ290+AZ269-AZ230))/2)</f>
        <v>2.7041804394322382</v>
      </c>
      <c r="BA345" s="293">
        <f>+(BA72*2)/(((AZ320+AZ290+AZ269-AZ230)+(BA320+BA290+BA269-BA230))/2)</f>
        <v>1.7897422022958298</v>
      </c>
      <c r="BB345" s="293">
        <f>+(BB72*2)/(((BA320+BA290+BA269-BA230)+(BB320+BB290+BB269-BB230))/2)</f>
        <v>1.4003225250896334</v>
      </c>
      <c r="BC345" s="293">
        <f>+(BC72)/(((AZ320+AZ290+AZ269-AZ230)+(BC320+BC290+BC269-BC230))/2)</f>
        <v>1.6198814798996317</v>
      </c>
      <c r="BD345" s="293">
        <f>+(BD72*2)/(((BC320+BC290+BC269-BC230)+(BD320+BD290+BD269-BD230))/2)</f>
        <v>0.96874445865103731</v>
      </c>
      <c r="BE345" s="293">
        <f>+(BE72*2)/(((BD320+BD290+BD269-BD230)+(BE320+BE290+BE269-BE230))/2)</f>
        <v>0.71651071126764909</v>
      </c>
      <c r="BF345" s="293">
        <f>+(BF72)/(((BC320+BC290+BC269-BC230)+(BF320+BF290+BF269-BF230))/2)</f>
        <v>0.89205762117967702</v>
      </c>
      <c r="BG345" s="293">
        <f>+(BG72*2)/(((BF320+BF290+BF269-BF230)+(BG320+BG290+BG269-BG230))/2)</f>
        <v>0.79467562084032883</v>
      </c>
      <c r="BH345" s="293">
        <f>+(BH72*2)/(((BG320+BG290+BG269-BG230)+(BH320+BH290+BH269-BH230))/2)</f>
        <v>0.94989947379544692</v>
      </c>
      <c r="BI345" s="293">
        <f>+(BI72)/(((BF320+BF290+BF269-BF230)+(BI320+BI290+BI269-BI230))/2)</f>
        <v>0.89089090201745125</v>
      </c>
      <c r="BJ345" s="293">
        <f>+(BJ72*2)/(((BI320+BI290+BI269-BI230)+(BJ320+BJ290+BJ269-BJ230))/2)</f>
        <v>0.71216177670131242</v>
      </c>
      <c r="BK345" s="293">
        <f>+(BK72*2)/(((BJ320+BJ290+BJ269-BJ230)+(BK320+BK290+BK269-BK230))/2)</f>
        <v>0.19968883860017805</v>
      </c>
      <c r="BL345" s="293">
        <f>+(BL72)/(((BI320+BI290+BI269-BI230)+(BL320+BL290+BL269-BL230))/2)</f>
        <v>0.50585571300608112</v>
      </c>
      <c r="BM345" s="293">
        <f>+(BM72*2)/(((BL320+BL290+BL269-BL230)+(BM320+BM290+BM269-BM230))/2)</f>
        <v>0.8554093335447388</v>
      </c>
      <c r="BN345" s="293">
        <f>+(BN72*2)/(((BM320+BM290+BM269-BM230)+(BN320+BN290+BN269-BN230))/2)</f>
        <v>0.48473815648106278</v>
      </c>
      <c r="BO345" s="293">
        <f>+(BO72)/(((BL320+BL290+BL269-BL230)+(BO320+BO290+BO269-BO230))/2)</f>
        <v>0.49151527964292419</v>
      </c>
      <c r="BP345" s="293">
        <f>+(BP72*2)/(((BO320+BO290+BO269-BO230)+(BP320+BP290+BP269-BP230))/2)</f>
        <v>0.46167650320732528</v>
      </c>
      <c r="BQ345" s="293">
        <f>+(BQ72*2)/(((BP320+BP290+BP269-BP230)+(BQ320+BQ290+BQ269-BQ230))/2)</f>
        <v>0.3050952291652273</v>
      </c>
      <c r="BR345" s="293">
        <f>+(BR72)/(((BO320+BO290+BO269-BO230)+(BR320+BR290+BR269-BR230))/2)</f>
        <v>0.38514745165555864</v>
      </c>
      <c r="BS345" s="293">
        <f>+(BS72*2)/(((BR320+BR290+BR269-BR230)+(BS320+BS290+BS269-BS230))/2)</f>
        <v>0.44286299212139496</v>
      </c>
      <c r="BT345" s="293">
        <f>+(BT72*2)/(((BS320+BS290+BS269-BS230)+(BT320+BT290+BT269-BT230))/2)</f>
        <v>0.41601874277075079</v>
      </c>
      <c r="BU345" s="293">
        <f>+(BU72)/(((BR320+BR290+BR269-BR230)+(BU320+BU290+BU269-BU230))/2)</f>
        <v>0.44335036517421544</v>
      </c>
      <c r="BV345" s="293">
        <f>+(BV72*2)/(((BU320+BU290+BU269-BU230)+(BV320+BV290+BV269-BV230))/2)</f>
        <v>0.42224933603696013</v>
      </c>
      <c r="BW345" s="293">
        <f>+(BW72*2)/(((BV320+BV290+BV269-BV230)+(BW320+BW290+BW269-BW230))/2)</f>
        <v>0.37613747581654722</v>
      </c>
      <c r="BX345" s="293">
        <f>+(BX72)/(((BU320+BU290+BU269-BU230)+(BX320+BX290+BX269-BX230))/2)</f>
        <v>0.40371167002230529</v>
      </c>
      <c r="BY345" s="293">
        <f>+(BY72*2)/(((BX320+BX290+BX269-BX230)+(BY320+BY290+BY269-BY230))/2)</f>
        <v>0.41190910430713684</v>
      </c>
      <c r="BZ345" s="293">
        <f>+(BZ72*2)/(((BY320+BY290+BY269-BY230)+(BZ320+BZ290+BZ269-BZ230))/2)</f>
        <v>0.38352785492125374</v>
      </c>
      <c r="CA345" s="293">
        <f>+(CA72)/(((BX320+BX290+BX269-BX230)+(CA320+CA290+CA269-CA230))/2)</f>
        <v>0.37743209161499752</v>
      </c>
      <c r="CB345" s="293">
        <f>+(CB72*2)/(((CA320+CA290+CA269-CA230)+(CB320+CB290+CB269-CB230))/2)</f>
        <v>0.43573529644748871</v>
      </c>
      <c r="CC345" s="293">
        <f>+(CC72*2)/(((CB320+CB290+CB269-CB230)+(CC320+CC290+CC269-CC230))/2)</f>
        <v>0.45297050687023194</v>
      </c>
      <c r="CD345" s="293">
        <f>+(CD72)/(((CA320+CA290+CA269-CA230)+(CD320+CD290+CD269-CD230))/2)</f>
        <v>0.42798469532099048</v>
      </c>
      <c r="CE345" s="293">
        <f>+(CE72*2)/(((CD320+CD290+CD269-CD230)+(CE320+CE290+CE269-CE230))/2)</f>
        <v>0.42499995269747387</v>
      </c>
      <c r="CF345" s="293">
        <f>+(CF72*2)/(((CE320+CE290+CE269-CE230)+(CF320+CF290+CF269-CF230))/2)</f>
        <v>0.51221961767571411</v>
      </c>
      <c r="CG345" s="293">
        <f>+(CG72)/(((CD320+CD290+CD269-CD230)+(CG320+CG290+CG269-CG230))/2)</f>
        <v>0.45920020647233412</v>
      </c>
      <c r="CH345" s="293">
        <f>+(CH72*2)/(((CG320+CG290+CG269-CG230)+(CH320+CH290+CH269-CH230))/2)</f>
        <v>0.48424490741669052</v>
      </c>
      <c r="CI345" s="293">
        <f>+(CI72*2)/(((CH320+CH290+CH269-CH230)+(CI320+CI290+CI269-CI230))/2)</f>
        <v>0.54266750143794451</v>
      </c>
      <c r="CJ345" s="293">
        <f>+(CJ72)/(((CG320+CG290+CG269-CG230)+(CJ320+CJ290+CJ269-CJ230))/2)</f>
        <v>0.49154190916085777</v>
      </c>
      <c r="CK345" s="293">
        <f>+(CK72*2)/(((CJ320+CJ290+CJ269-CJ230)+(CK320+CK290+CK269-CK230))/2)</f>
        <v>0.51225583229570548</v>
      </c>
      <c r="CL345" s="293">
        <f>+(CL72*2)/(((CK320+CK290+CK269-CK230)+(CL320+CL290+CL269-CL230))/2)</f>
        <v>0.3007931314517866</v>
      </c>
      <c r="CM345" s="293">
        <f>+(CM72)/(((CJ320+CJ290+CJ269-CJ230)+(CM320+CM290+CM269-CM230))/2)</f>
        <v>0.41752698250032977</v>
      </c>
      <c r="CN345" s="293">
        <f>+(CN72*2)/(((CM320+CM290+CM269-CM230)+(CN320+CN290+CN269-CN230))/2)</f>
        <v>0.20520134019206099</v>
      </c>
      <c r="CO345" s="293">
        <f>+(CO72*2)/(((CN320+CN290+CN269-CN230)+(CO320+CO290+CO269-CO230))/2)</f>
        <v>0.40114726733410455</v>
      </c>
      <c r="CP345" s="293">
        <f>+(CP72)/(((CM320+CM290+CM269-CM230)+(CP320+CP290+CP269-CP230))/2)</f>
        <v>0.30377207958700186</v>
      </c>
      <c r="CQ345" s="293">
        <f>+(CQ72*2)/(((CP320+CP290+CP269-CP230)+(CQ320+CQ290+CQ269-CQ230))/2)</f>
        <v>0.40041222899727519</v>
      </c>
      <c r="CR345" s="293">
        <f>+(CR72*2)/(((CQ320+CQ290+CQ269-CQ230)+(CR320+CR290+CR269-CR230))/2)</f>
        <v>0.42843418445035236</v>
      </c>
      <c r="CS345" s="293">
        <f>+(CS72)/(((CP320+CP290+CP269-CP230)+(CS320+CS290+CS269-CS230))/2)</f>
        <v>0.41014676832455266</v>
      </c>
      <c r="CT345" s="293">
        <f>+(CT72*2)/(((CS320+CS290+CS269-CS230)+(CT320+CT290+CT269-CT230))/2)</f>
        <v>0.50174313473090604</v>
      </c>
      <c r="CU345" s="293">
        <f>+(CU72*2)/(((CT320+CT290+CT269-CT230)+(CU320+CU290+CU269-CU230))/2)</f>
        <v>0.47241619077952768</v>
      </c>
      <c r="CV345" s="293">
        <f>+(CV72)/(((CS320+CS290+CS269-CS230)+(CV320+CV290+CV269-CV230))/2)</f>
        <v>0.49442183556488156</v>
      </c>
      <c r="CW345" s="293">
        <f>+(CW72*2)/(((CV320+CV290+CV269-CV230)+(CW320+CW290+CW269-CW230))/2)</f>
        <v>0.54513149719717213</v>
      </c>
      <c r="CX345" s="293">
        <f>+(CX72*2)/(((CW320+CW290+CW269-CW230)+(CX320+CX290+CX269-CX230))/2)</f>
        <v>0.50803302329215572</v>
      </c>
      <c r="CY345" s="293">
        <f>+(CY72)/(((CV320+CV290+CV269-CV230)+(CY320+CY290+CY269-CY230))/2)</f>
        <v>0.5094308629852824</v>
      </c>
      <c r="CZ345" s="293">
        <f>+(CZ72*2)/(((CY320+CY290+CY269-CY230)+(CZ320+CZ290+CZ269-CZ230))/2)</f>
        <v>0.46308678408784848</v>
      </c>
      <c r="DA345" s="293">
        <f>+(DA72*2)/(((CZ320+CZ290+CZ269-CZ230)+(DA320+DA290+DA269-DA230))/2)</f>
        <v>0.53393263056285045</v>
      </c>
      <c r="DB345" s="293">
        <f>+(DB72)/(((CY320+CY290+CY269-CY230)+(DB320+DB290+DB269-DB230))/2)</f>
        <v>0.5086023726505059</v>
      </c>
      <c r="DC345" s="293">
        <f>+(DC72*2)/(((DB320+DB290+DB269-DB230)+(DC320+DC290+DC269-DC230))/2)</f>
        <v>0.49747048903878582</v>
      </c>
      <c r="DD345" s="293">
        <f>+(DD72*2)/(((DC320+DC290+DC269-DC230)+(DD320+DD290+DD269-DD230))/2)</f>
        <v>0.46890746575782916</v>
      </c>
      <c r="DE345" s="293">
        <f>+(DE72)/(((DB320+DB290+DB269-DB230)+(DE320+DE290+DE269-DE230))/2)</f>
        <v>0.47093453044105116</v>
      </c>
      <c r="DF345" s="293">
        <f>+(DF72*2)/(((DE320+DE290+DE269-DE230)+(DF320+DF290+DF269-DF230))/2)</f>
        <v>0.41300168174413071</v>
      </c>
      <c r="DG345" s="293">
        <f>+(DG72*2)/(((DF320+DF290+DF269-DF230)+(DG320+DG290+DG269-DG230))/2)</f>
        <v>4.1094192964040634E-2</v>
      </c>
      <c r="DH345" s="1248">
        <f>+(DH72)/(((DE320+DE290+DE269-DE230)+(DH320+DH290+DH269-DH230))/2)</f>
        <v>0.19353531777580318</v>
      </c>
      <c r="DI345" s="293">
        <f>+(DI72*2)/(((DH320+DH290+DH269-DH230)+(DI320+DI290+DI269-DI230))/2)</f>
        <v>0.28457092040907067</v>
      </c>
      <c r="DJ345" s="293">
        <f>+(DJ72*2)/(((DI320+DI290+DI269-DI230)+(DJ320+DJ290+DJ269-DJ230))/2)</f>
        <v>0.27476538060479661</v>
      </c>
      <c r="DK345" s="1248">
        <f>+(DK72)/(((DH320+DH290+DH269-DH230)+(DK320+DK290+DK269-DK230))/2)</f>
        <v>0.27312487226650312</v>
      </c>
      <c r="DL345" s="293">
        <f>+(DL72*2)/(((DK320+DK290+DK269-DK230)+(DL320+DL290+DL269-DL230))/2)</f>
        <v>0.37775801465294545</v>
      </c>
      <c r="DM345" s="293">
        <f>+(DM72*2)/(((DL320+DL290+DL269-DL230)+(DM320+DM290+DM269-DM230))/2)</f>
        <v>0.31215564738292018</v>
      </c>
      <c r="DN345" s="1248">
        <f>+(DN72)/(((DK320+DK290+DK269-DK230)+(DN320+DN290+DN269-DN230))/2)</f>
        <v>0.36161173471669433</v>
      </c>
      <c r="DO345" s="293">
        <f>+(DO72*2)/(((DN320+DN290+DN269-DN230)+(DO320+DO290+DO269-DO230))/2)</f>
        <v>0.35168261942916546</v>
      </c>
      <c r="DP345" s="293">
        <f>+(DP72*2)/(((DO320+DO290+DO269-DO230)+(DP320+DP290+DP269-DP230))/2)</f>
        <v>0.38548601864181098</v>
      </c>
      <c r="DQ345" s="1248">
        <f>+(DQ72)/(((DN320+DN290+DN269-DN230)+(DQ320+DQ290+DQ269-DQ230))/2)</f>
        <v>0.37918248047812253</v>
      </c>
      <c r="DR345" s="293">
        <f>+(DR72*2)/(((DQ320+DQ290+DQ269-DQ230)+(DR320+DR290+DR269-DR230))/2)</f>
        <v>0.43728663801759105</v>
      </c>
      <c r="DS345" s="293">
        <f>+(DS72*2)/(((DR320+DR290+DR269-DR230)+(DS320+DS290+DS269-DS230))/2)</f>
        <v>0.4008385744234802</v>
      </c>
      <c r="DT345" s="1248">
        <f>+(DT72)/(((DQ320+DQ290+DQ269-DQ230)+(DT320+DT290+DT269-DT230))/2)</f>
        <v>0.42464883739385767</v>
      </c>
      <c r="DU345" s="293">
        <f>+(DU72*2)/(((DT320+DT290+DT269-DT230)+(DU320+DU290+DU269-DU230))/2)</f>
        <v>0.4079106494984705</v>
      </c>
      <c r="DV345" s="293">
        <f>+(DV72*2)/(((DU320+DU290+DU269-DU230)+(DV320+DV290+DV269-DV230))/2)</f>
        <v>0.33845082460194359</v>
      </c>
      <c r="DW345" s="1248">
        <f>+(DW72)/(((DT320+DT290+DT269-DT230)+(DW320+DW290+DW269-DW230))/2)</f>
        <v>0.3691487589538564</v>
      </c>
      <c r="DX345" s="293">
        <f>+(DX72*2)/(((DW320+DW290+DW269-DW230)+(DX320+DX290+DX269-DX230))/2)</f>
        <v>0.29752452125175155</v>
      </c>
      <c r="DY345" s="293">
        <f>+(DY72*2)/(((DX320+DX290+DX269-DX230)+(DY320+DY290+DY269-DY230))/2)</f>
        <v>0.32962565779510095</v>
      </c>
      <c r="DZ345" s="1248">
        <f>+(DZ72)/(((DW320+DW290+DW269-DW230)+(DZ320+DZ290+DZ269-DZ230))/2)</f>
        <v>0.31366872631466897</v>
      </c>
      <c r="EA345" s="293">
        <f>+(EA72*2)/(((DZ320+DZ290+DZ269-DZ230)+(EA320+EA290+EA269-EA230))/2)</f>
        <v>0.34599056761717673</v>
      </c>
      <c r="EB345" s="293">
        <f>+(EB72*2)/(((EA320+EA290+EA269-EA230)+(EB320+EB290+EB269-EB230))/2)</f>
        <v>0.35895539701245477</v>
      </c>
      <c r="EC345" s="1248">
        <f>+(EC72)/(((DZ320+DZ290+DZ269-DZ230)+(EC320+EC290+EC269-EC230))/2)</f>
        <v>0.35142951036024811</v>
      </c>
      <c r="ED345" s="293">
        <f>+(ED72*2)/(((EC320+EC290+EC269-EC230)+(ED320+ED290+ED269-ED230))/2)</f>
        <v>0.38462468382100989</v>
      </c>
      <c r="EE345" s="293">
        <f>+(EE72*2)/(((ED320+ED290+ED269-ED230)+(EE320+EE290+EE269-EE230))/2)</f>
        <v>0.38827215882823279</v>
      </c>
      <c r="EF345" s="1248">
        <f>+(EF72)/(((EC320+EC290+EC269-EC230)+(EF320+EF290+EF269-EF230))/2)</f>
        <v>0.38731581556415967</v>
      </c>
      <c r="EG345" s="293">
        <f>+(EG72*2)/(((EF320+EF290+EF269-EF230)+(EG320+EG290+EG269-EG230))/2)</f>
        <v>0.40830868357507449</v>
      </c>
      <c r="EH345" s="293">
        <f>+(EH72*2)/(((EG320+EG290+EG269-EG230)+(EH320+EH290+EH269-EH230))/2)</f>
        <v>0.41165487543124923</v>
      </c>
      <c r="EI345" s="1248">
        <f>+(EI72)/(((EF320+EF290+EF269-EF230)+(EI320+EI290+EI269-EI230))/2)</f>
        <v>0.41113939819665413</v>
      </c>
      <c r="EJ345" s="293">
        <f>+(EJ72*2)/(((EI320+EI290+EI269-EI230)+(EJ320+EJ290+EJ269-EJ230))/2)</f>
        <v>0.43014602916303379</v>
      </c>
      <c r="EK345" s="293">
        <f>+(EK72*2)/(((EJ320+EJ290+EJ269-EJ230)+(EK320+EK290+EK269-EK230))/2)</f>
        <v>0.43372802340481403</v>
      </c>
      <c r="EL345" s="1248">
        <f>+(EL72)/(((EI320+EI290+EI269-EI230)+(EL320+EL290+EL269-EL230))/2)</f>
        <v>0.43310625136927916</v>
      </c>
      <c r="EM345" s="293">
        <f>+(EM72*2)/(((EL320+EL290+EL269-EL230)+(EM320+EM290+EM269-EM230))/2)</f>
        <v>0.45043418583368749</v>
      </c>
      <c r="EN345" s="293">
        <f>+(EN72*2)/(((EM320+EM290+EM269-EM230)+(EN320+EN290+EN269-EN230))/2)</f>
        <v>0.45425846501048878</v>
      </c>
      <c r="EO345" s="1248">
        <f>+(EO72)/(((EL320+EL290+EL269-EL230)+(EO320+EO290+EO269-EO230))/2)</f>
        <v>0.45351165218025813</v>
      </c>
      <c r="EP345" s="293">
        <f>+(EP72*2)/(((EO320+EO290+EO269-EO230)+(EP320+EP290+EP269-EP230))/2)</f>
        <v>0.46989225911639654</v>
      </c>
      <c r="EQ345" s="293">
        <f>+(EQ72*2)/(((EP320+EP290+EP269-EP230)+(EQ320+EQ290+EQ269-EQ230))/2)</f>
        <v>0.47397334744982411</v>
      </c>
      <c r="ER345" s="1248">
        <f>+(ER72)/(((EO320+EO290+EO269-EO230)+(ER320+ER290+ER269-ER230))/2)</f>
        <v>0.47307973573655848</v>
      </c>
      <c r="ES345" s="293">
        <f>+(ES72*2)/(((ER320+ER290+ER269-ER230)+(ES320+ES290+ES269-ES230))/2)</f>
        <v>0.49040081289245974</v>
      </c>
      <c r="ET345" s="293">
        <f>+(ET72*2)/(((ES320+ES290+ES269-ES230)+(ET320+ET290+ET269-ET230))/2)</f>
        <v>0.49477222812403338</v>
      </c>
      <c r="EU345" s="1248">
        <f>+(EU72)/(((ER320+ER290+ER269-ER230)+(EU320+EU290+EU269-EU230))/2)</f>
        <v>0.49370374453789889</v>
      </c>
      <c r="EV345" s="293">
        <f>+(EV72*2)/(((EU320+EU290+EU269-EU230)+(EV320+EV290+EV269-EV230))/2)</f>
        <v>0.51205955419812232</v>
      </c>
      <c r="EW345" s="293">
        <f>+(EW72*2)/(((EV320+EV290+EV269-EV230)+(EW320+EW290+EW269-EW230))/2)</f>
        <v>0.51675956417031099</v>
      </c>
      <c r="EX345" s="1248">
        <f>+(EX72)/(((EU320+EU290+EU269-EU230)+(EX320+EX290+EX269-EX230))/2)</f>
        <v>0.51548376381477645</v>
      </c>
      <c r="EY345" s="293">
        <f>+(EY72*2)/(((EX320+EX290+EX269-EX230)+(EY320+EY290+EY269-EY230))/2)</f>
        <v>0.53498116083793668</v>
      </c>
      <c r="EZ345" s="293">
        <f>+(EZ72*2)/(((EY320+EY290+EY269-EY230)+(EZ320+EZ290+EZ269-EZ230))/2)</f>
        <v>0.54005360401608038</v>
      </c>
      <c r="FA345" s="1248">
        <f>+(FA72)/(((EX320+EX290+EX269-EX230)+(FA320+FA290+FA269-FA230))/2)</f>
        <v>0.53853288553037182</v>
      </c>
      <c r="FE345"/>
      <c r="FF345"/>
      <c r="FG345"/>
      <c r="FH345"/>
      <c r="FI345"/>
      <c r="FJ345"/>
      <c r="FK345" s="35"/>
    </row>
    <row r="346" spans="1:167" s="236" customFormat="1" ht="13.35" customHeight="1">
      <c r="B346" s="242" t="s">
        <v>838</v>
      </c>
      <c r="C346" s="242" t="s">
        <v>460</v>
      </c>
      <c r="D346" s="243"/>
      <c r="E346" s="243"/>
      <c r="F346" s="243"/>
      <c r="G346" s="243"/>
      <c r="H346" s="243"/>
      <c r="I346" s="243"/>
      <c r="J346" s="243"/>
      <c r="K346" s="243"/>
      <c r="L346" s="243"/>
      <c r="M346" s="243"/>
      <c r="N346" s="243"/>
      <c r="O346" s="243"/>
      <c r="P346" s="243"/>
      <c r="Q346" s="482"/>
      <c r="R346" s="482"/>
      <c r="S346" s="482"/>
      <c r="T346" s="482"/>
      <c r="U346" s="482"/>
      <c r="V346" s="482"/>
      <c r="W346" s="482"/>
      <c r="X346" s="482"/>
      <c r="Y346" s="482"/>
      <c r="Z346" s="482"/>
      <c r="AA346" s="482"/>
      <c r="AB346" s="482"/>
      <c r="AC346" s="482"/>
      <c r="AD346" s="482"/>
      <c r="AE346" s="482"/>
      <c r="AF346" s="482"/>
      <c r="AG346" s="482"/>
      <c r="AH346" s="482"/>
      <c r="AI346" s="482"/>
      <c r="AJ346" s="482"/>
      <c r="AK346" s="482"/>
      <c r="AL346" s="482"/>
      <c r="AM346" s="482"/>
      <c r="AN346" s="617"/>
      <c r="AO346" s="617"/>
      <c r="AP346" s="617"/>
      <c r="AQ346" s="617"/>
      <c r="AR346" s="617"/>
      <c r="AS346" s="617"/>
      <c r="AT346" s="617"/>
      <c r="AU346" s="617"/>
      <c r="AV346" s="617"/>
      <c r="AW346" s="617"/>
      <c r="AX346" s="617"/>
      <c r="AY346" s="617"/>
      <c r="AZ346" s="617"/>
      <c r="BA346" s="617"/>
      <c r="BB346" s="617"/>
      <c r="BC346" s="617"/>
      <c r="BD346" s="617"/>
      <c r="BE346" s="617"/>
      <c r="BF346" s="617"/>
      <c r="BG346" s="617"/>
      <c r="BH346" s="617"/>
      <c r="BI346" s="617"/>
      <c r="BJ346" s="617">
        <f t="shared" ref="BJ346:CZ346" si="1093">BJ644</f>
        <v>0.1666993233335719</v>
      </c>
      <c r="BK346" s="617">
        <f t="shared" si="1093"/>
        <v>7.7833811063168959E-2</v>
      </c>
      <c r="BL346" s="617">
        <f t="shared" si="1093"/>
        <v>0.25458278755299202</v>
      </c>
      <c r="BM346" s="617">
        <f t="shared" si="1093"/>
        <v>0.19705685206886364</v>
      </c>
      <c r="BN346" s="617">
        <f t="shared" si="1093"/>
        <v>0.20635418568918534</v>
      </c>
      <c r="BO346" s="617">
        <f t="shared" si="1093"/>
        <v>0.39604220626179321</v>
      </c>
      <c r="BP346" s="617">
        <f t="shared" si="1093"/>
        <v>0.20572465716389554</v>
      </c>
      <c r="BQ346" s="617">
        <f t="shared" si="1093"/>
        <v>0.18042115237675668</v>
      </c>
      <c r="BR346" s="617">
        <f t="shared" si="1093"/>
        <v>0.3806106845451831</v>
      </c>
      <c r="BS346" s="617">
        <f t="shared" si="1093"/>
        <v>0.21099105502712698</v>
      </c>
      <c r="BT346" s="617">
        <f t="shared" si="1093"/>
        <v>0.21526828400291054</v>
      </c>
      <c r="BU346" s="617">
        <f t="shared" si="1093"/>
        <v>0.40804058325120751</v>
      </c>
      <c r="BV346" s="617">
        <f t="shared" si="1093"/>
        <v>0.20579039450839864</v>
      </c>
      <c r="BW346" s="617">
        <f t="shared" si="1093"/>
        <v>0.199772581651253</v>
      </c>
      <c r="BX346" s="617">
        <f t="shared" si="1093"/>
        <v>0.38535870001615774</v>
      </c>
      <c r="BY346" s="617">
        <f t="shared" si="1093"/>
        <v>0.20213497806914113</v>
      </c>
      <c r="BZ346" s="617">
        <f t="shared" si="1093"/>
        <v>0.21297580595794158</v>
      </c>
      <c r="CA346" s="617">
        <f t="shared" si="1093"/>
        <v>0.37024190871537654</v>
      </c>
      <c r="CB346" s="617">
        <f t="shared" si="1093"/>
        <v>0.18470620634188453</v>
      </c>
      <c r="CC346" s="617">
        <f t="shared" si="1093"/>
        <v>0.22269046991465533</v>
      </c>
      <c r="CD346" s="617">
        <f t="shared" si="1093"/>
        <v>0.39340131752425306</v>
      </c>
      <c r="CE346" s="617">
        <f t="shared" si="1093"/>
        <v>0.10449358881323544</v>
      </c>
      <c r="CF346" s="617">
        <f t="shared" si="1093"/>
        <v>0.19800755917176835</v>
      </c>
      <c r="CG346" s="617">
        <f t="shared" si="1093"/>
        <v>0.30331430084039279</v>
      </c>
      <c r="CH346" s="617">
        <f t="shared" si="1093"/>
        <v>0.20704572169839322</v>
      </c>
      <c r="CI346" s="617">
        <f t="shared" si="1093"/>
        <v>0.20530918312987392</v>
      </c>
      <c r="CJ346" s="617">
        <f t="shared" si="1093"/>
        <v>0.41793901530027333</v>
      </c>
      <c r="CK346" s="617">
        <f t="shared" si="1093"/>
        <v>0.20371695355846864</v>
      </c>
      <c r="CL346" s="617">
        <f t="shared" si="1093"/>
        <v>0.161396226444112</v>
      </c>
      <c r="CM346" s="617">
        <f t="shared" si="1093"/>
        <v>0.3843751569193391</v>
      </c>
      <c r="CN346" s="617">
        <f t="shared" si="1093"/>
        <v>0.12570319252630391</v>
      </c>
      <c r="CO346" s="617">
        <f t="shared" si="1093"/>
        <v>0.23325747533032087</v>
      </c>
      <c r="CP346" s="617">
        <f t="shared" si="1093"/>
        <v>0.35613611001702083</v>
      </c>
      <c r="CQ346" s="617">
        <f t="shared" si="1093"/>
        <v>0.23471610110517005</v>
      </c>
      <c r="CR346" s="617">
        <f t="shared" si="1093"/>
        <v>0.21893189702995824</v>
      </c>
      <c r="CS346" s="617">
        <f t="shared" si="1093"/>
        <v>0.43120907107897083</v>
      </c>
      <c r="CT346" s="617">
        <f t="shared" si="1093"/>
        <v>0.23471646617711661</v>
      </c>
      <c r="CU346" s="617">
        <f t="shared" si="1093"/>
        <v>0.21091754613081184</v>
      </c>
      <c r="CV346" s="617">
        <f t="shared" si="1093"/>
        <v>0.42178421752015111</v>
      </c>
      <c r="CW346" s="617">
        <f t="shared" si="1093"/>
        <v>0.22691255583918316</v>
      </c>
      <c r="CX346" s="617">
        <f t="shared" si="1093"/>
        <v>0.20557234740980751</v>
      </c>
      <c r="CY346" s="617">
        <f t="shared" si="1093"/>
        <v>0.40922002946187369</v>
      </c>
      <c r="CZ346" s="617">
        <f t="shared" si="1093"/>
        <v>0.19122805413224805</v>
      </c>
      <c r="DA346" s="617">
        <f t="shared" ref="DA346:DQ346" si="1094">DA644</f>
        <v>0.22017687316879883</v>
      </c>
      <c r="DB346" s="617">
        <f t="shared" si="1094"/>
        <v>0.40097756205201324</v>
      </c>
      <c r="DC346" s="617">
        <f t="shared" si="1094"/>
        <v>0.18959011945580997</v>
      </c>
      <c r="DD346" s="617">
        <f t="shared" si="1094"/>
        <v>0.17950639568043195</v>
      </c>
      <c r="DE346" s="617">
        <f t="shared" si="1094"/>
        <v>0.3478047935519436</v>
      </c>
      <c r="DF346" s="617">
        <f t="shared" si="1094"/>
        <v>0.16772994813523157</v>
      </c>
      <c r="DG346" s="617">
        <f t="shared" si="1094"/>
        <v>2.759591038566513E-2</v>
      </c>
      <c r="DH346" s="1288">
        <f t="shared" si="1094"/>
        <v>0.12613502913194766</v>
      </c>
      <c r="DI346" s="617">
        <f t="shared" si="1094"/>
        <v>7.9007727139347422E-2</v>
      </c>
      <c r="DJ346" s="617">
        <f t="shared" si="1094"/>
        <v>7.0096243399281152E-2</v>
      </c>
      <c r="DK346" s="1288">
        <f t="shared" si="1094"/>
        <v>0.14380165402701883</v>
      </c>
      <c r="DL346" s="617">
        <f t="shared" si="1094"/>
        <v>9.2830714881891013E-2</v>
      </c>
      <c r="DM346" s="617">
        <f t="shared" si="1094"/>
        <v>8.1204387528491878E-2</v>
      </c>
      <c r="DN346" s="1288">
        <f t="shared" si="1094"/>
        <v>0.17948279872390305</v>
      </c>
      <c r="DO346" s="617">
        <f t="shared" si="1094"/>
        <v>9.1706919516387056E-2</v>
      </c>
      <c r="DP346" s="617">
        <f t="shared" si="1094"/>
        <v>0.101815680493357</v>
      </c>
      <c r="DQ346" s="1288">
        <f t="shared" si="1094"/>
        <v>0.19158722524483512</v>
      </c>
      <c r="DR346" s="617">
        <f t="shared" ref="DR346:DW346" si="1095">DR644</f>
        <v>0.11621687895127385</v>
      </c>
      <c r="DS346" s="617">
        <f t="shared" si="1095"/>
        <v>0.11202484225564513</v>
      </c>
      <c r="DT346" s="1288">
        <f t="shared" si="1095"/>
        <v>0.22321467750411775</v>
      </c>
      <c r="DU346" s="617">
        <f t="shared" si="1095"/>
        <v>0.11742669766963668</v>
      </c>
      <c r="DV346" s="617">
        <f t="shared" si="1095"/>
        <v>0.10931842784914496</v>
      </c>
      <c r="DW346" s="1288">
        <f t="shared" si="1095"/>
        <v>0.22278286530870797</v>
      </c>
      <c r="DX346" s="617">
        <f t="shared" ref="DX346:EC346" si="1096">DX644</f>
        <v>0.10740725807616856</v>
      </c>
      <c r="DY346" s="617">
        <f t="shared" si="1096"/>
        <v>0.12078929233284469</v>
      </c>
      <c r="DZ346" s="1288">
        <f t="shared" si="1096"/>
        <v>0.22843397044776648</v>
      </c>
      <c r="EA346" s="617">
        <f t="shared" si="1096"/>
        <v>0.1311432499566354</v>
      </c>
      <c r="EB346" s="617">
        <f t="shared" si="1096"/>
        <v>0.13683413140055059</v>
      </c>
      <c r="EC346" s="1288">
        <f t="shared" si="1096"/>
        <v>0.26961423391011824</v>
      </c>
      <c r="ED346" s="617">
        <f t="shared" ref="ED346:EL346" si="1097">ED644</f>
        <v>0.14515022144585621</v>
      </c>
      <c r="EE346" s="617">
        <f t="shared" si="1097"/>
        <v>0.14700646924199301</v>
      </c>
      <c r="EF346" s="1288">
        <f t="shared" si="1097"/>
        <v>0.28959556128519875</v>
      </c>
      <c r="EG346" s="617">
        <f t="shared" si="1097"/>
        <v>0.15396002043063647</v>
      </c>
      <c r="EH346" s="617">
        <f t="shared" si="1097"/>
        <v>0.15539567931543607</v>
      </c>
      <c r="EI346" s="1288">
        <f t="shared" si="1097"/>
        <v>0.30612175126990271</v>
      </c>
      <c r="EJ346" s="617">
        <f t="shared" si="1097"/>
        <v>0.15776712467629456</v>
      </c>
      <c r="EK346" s="617">
        <f t="shared" si="1097"/>
        <v>0.15536151299276513</v>
      </c>
      <c r="EL346" s="1288">
        <f t="shared" si="1097"/>
        <v>0.30605489825659826</v>
      </c>
      <c r="EM346" s="617">
        <f t="shared" ref="EM346:ER346" si="1098">EM644</f>
        <v>0.15680837307357734</v>
      </c>
      <c r="EN346" s="617">
        <f t="shared" si="1098"/>
        <v>0.15443751784894194</v>
      </c>
      <c r="EO346" s="1288">
        <f t="shared" si="1098"/>
        <v>0.30423232450075893</v>
      </c>
      <c r="EP346" s="617">
        <f t="shared" si="1098"/>
        <v>0.15527471170262649</v>
      </c>
      <c r="EQ346" s="617">
        <f t="shared" si="1098"/>
        <v>0.15296457580673359</v>
      </c>
      <c r="ER346" s="1288">
        <f t="shared" si="1098"/>
        <v>0.30132618276458534</v>
      </c>
      <c r="ES346" s="617">
        <f t="shared" ref="ES346:EX346" si="1099">ES644</f>
        <v>0.15382908308676962</v>
      </c>
      <c r="ET346" s="617">
        <f t="shared" si="1099"/>
        <v>0.15157583028903526</v>
      </c>
      <c r="EU346" s="1288">
        <f t="shared" si="1099"/>
        <v>0.29858615150502832</v>
      </c>
      <c r="EV346" s="617">
        <f t="shared" si="1099"/>
        <v>0.15246509321113319</v>
      </c>
      <c r="EW346" s="617">
        <f t="shared" si="1099"/>
        <v>0.15026514082903866</v>
      </c>
      <c r="EX346" s="1288">
        <f t="shared" si="1099"/>
        <v>0.29600010533200011</v>
      </c>
      <c r="EY346" s="617">
        <f t="shared" ref="EY346:FA346" si="1100">EY644</f>
        <v>0.15117664542253234</v>
      </c>
      <c r="EZ346" s="617">
        <f t="shared" si="1100"/>
        <v>0.14902664730596571</v>
      </c>
      <c r="FA346" s="1288">
        <f t="shared" si="1100"/>
        <v>0.29355647183692973</v>
      </c>
      <c r="FE346"/>
      <c r="FF346"/>
      <c r="FG346"/>
      <c r="FH346"/>
      <c r="FI346"/>
      <c r="FJ346"/>
      <c r="FK346" s="35"/>
    </row>
    <row r="347" spans="1:167" s="450" customFormat="1" ht="16.5" customHeight="1" thickBot="1">
      <c r="A347" s="453" t="s">
        <v>606</v>
      </c>
      <c r="B347" s="449"/>
      <c r="C347" s="454" t="s">
        <v>933</v>
      </c>
      <c r="D347" s="455"/>
      <c r="E347" s="455" t="str">
        <f t="shared" ref="E347:AJ347" si="1101">+E4</f>
        <v>1h85</v>
      </c>
      <c r="F347" s="455" t="str">
        <f t="shared" si="1101"/>
        <v>2h85</v>
      </c>
      <c r="G347" s="455" t="str">
        <f t="shared" si="1101"/>
        <v>1985</v>
      </c>
      <c r="H347" s="455" t="str">
        <f t="shared" si="1101"/>
        <v>1h86</v>
      </c>
      <c r="I347" s="455" t="str">
        <f t="shared" si="1101"/>
        <v>2h86</v>
      </c>
      <c r="J347" s="455" t="str">
        <f t="shared" si="1101"/>
        <v>1986</v>
      </c>
      <c r="K347" s="455" t="str">
        <f t="shared" si="1101"/>
        <v>1h87</v>
      </c>
      <c r="L347" s="455" t="str">
        <f t="shared" si="1101"/>
        <v>2h87</v>
      </c>
      <c r="M347" s="455" t="str">
        <f t="shared" si="1101"/>
        <v>1987</v>
      </c>
      <c r="N347" s="455" t="str">
        <f t="shared" si="1101"/>
        <v>1h88</v>
      </c>
      <c r="O347" s="455" t="str">
        <f t="shared" si="1101"/>
        <v>2h88</v>
      </c>
      <c r="P347" s="455" t="str">
        <f t="shared" si="1101"/>
        <v>1988</v>
      </c>
      <c r="Q347" s="455" t="str">
        <f t="shared" si="1101"/>
        <v>1h89</v>
      </c>
      <c r="R347" s="455" t="str">
        <f t="shared" si="1101"/>
        <v>2h89</v>
      </c>
      <c r="S347" s="455" t="str">
        <f t="shared" si="1101"/>
        <v>1989</v>
      </c>
      <c r="T347" s="455" t="str">
        <f t="shared" si="1101"/>
        <v>1h90</v>
      </c>
      <c r="U347" s="455" t="str">
        <f t="shared" si="1101"/>
        <v>2h90</v>
      </c>
      <c r="V347" s="455" t="str">
        <f t="shared" si="1101"/>
        <v>1990</v>
      </c>
      <c r="W347" s="455" t="str">
        <f t="shared" si="1101"/>
        <v>1h91</v>
      </c>
      <c r="X347" s="455" t="str">
        <f t="shared" si="1101"/>
        <v>2h91</v>
      </c>
      <c r="Y347" s="455" t="str">
        <f t="shared" si="1101"/>
        <v>1991</v>
      </c>
      <c r="Z347" s="455" t="str">
        <f t="shared" si="1101"/>
        <v>1h92</v>
      </c>
      <c r="AA347" s="455" t="str">
        <f t="shared" si="1101"/>
        <v>2h92</v>
      </c>
      <c r="AB347" s="455" t="str">
        <f t="shared" si="1101"/>
        <v>1992</v>
      </c>
      <c r="AC347" s="455" t="str">
        <f t="shared" si="1101"/>
        <v>1h93</v>
      </c>
      <c r="AD347" s="455" t="str">
        <f t="shared" si="1101"/>
        <v>2h93</v>
      </c>
      <c r="AE347" s="455" t="str">
        <f t="shared" si="1101"/>
        <v>1993</v>
      </c>
      <c r="AF347" s="455" t="str">
        <f t="shared" si="1101"/>
        <v>1h94</v>
      </c>
      <c r="AG347" s="455" t="str">
        <f t="shared" si="1101"/>
        <v>2h94</v>
      </c>
      <c r="AH347" s="455" t="str">
        <f t="shared" si="1101"/>
        <v>1994</v>
      </c>
      <c r="AI347" s="455" t="str">
        <f t="shared" si="1101"/>
        <v>1h95</v>
      </c>
      <c r="AJ347" s="455" t="str">
        <f t="shared" si="1101"/>
        <v>2h95</v>
      </c>
      <c r="AK347" s="455" t="str">
        <f t="shared" ref="AK347:BP347" si="1102">+AK4</f>
        <v>1995</v>
      </c>
      <c r="AL347" s="455" t="str">
        <f t="shared" si="1102"/>
        <v>1h96</v>
      </c>
      <c r="AM347" s="455" t="str">
        <f t="shared" si="1102"/>
        <v>2h96</v>
      </c>
      <c r="AN347" s="455" t="str">
        <f t="shared" si="1102"/>
        <v>1996</v>
      </c>
      <c r="AO347" s="455" t="str">
        <f t="shared" si="1102"/>
        <v>1h97</v>
      </c>
      <c r="AP347" s="455" t="str">
        <f t="shared" si="1102"/>
        <v>2h97</v>
      </c>
      <c r="AQ347" s="455" t="str">
        <f t="shared" si="1102"/>
        <v>FY97</v>
      </c>
      <c r="AR347" s="455" t="str">
        <f t="shared" si="1102"/>
        <v>1H98</v>
      </c>
      <c r="AS347" s="455" t="str">
        <f t="shared" si="1102"/>
        <v>2H98</v>
      </c>
      <c r="AT347" s="455" t="str">
        <f t="shared" si="1102"/>
        <v>FY98</v>
      </c>
      <c r="AU347" s="455" t="str">
        <f t="shared" si="1102"/>
        <v>1H99</v>
      </c>
      <c r="AV347" s="455" t="str">
        <f t="shared" si="1102"/>
        <v>2H99</v>
      </c>
      <c r="AW347" s="455" t="str">
        <f t="shared" si="1102"/>
        <v>FY99</v>
      </c>
      <c r="AX347" s="455" t="str">
        <f t="shared" si="1102"/>
        <v>1H00</v>
      </c>
      <c r="AY347" s="455" t="str">
        <f t="shared" si="1102"/>
        <v>2H00</v>
      </c>
      <c r="AZ347" s="455" t="str">
        <f t="shared" si="1102"/>
        <v>FY00</v>
      </c>
      <c r="BA347" s="455" t="str">
        <f t="shared" si="1102"/>
        <v>1H01</v>
      </c>
      <c r="BB347" s="455" t="str">
        <f t="shared" si="1102"/>
        <v>2H01</v>
      </c>
      <c r="BC347" s="455" t="str">
        <f t="shared" si="1102"/>
        <v>FY01</v>
      </c>
      <c r="BD347" s="455" t="str">
        <f t="shared" si="1102"/>
        <v>1H02</v>
      </c>
      <c r="BE347" s="455" t="str">
        <f t="shared" si="1102"/>
        <v>2H02</v>
      </c>
      <c r="BF347" s="455" t="str">
        <f t="shared" si="1102"/>
        <v>FY02</v>
      </c>
      <c r="BG347" s="455" t="str">
        <f t="shared" si="1102"/>
        <v>1H03</v>
      </c>
      <c r="BH347" s="455" t="str">
        <f t="shared" si="1102"/>
        <v>2H03</v>
      </c>
      <c r="BI347" s="455" t="str">
        <f t="shared" si="1102"/>
        <v>FY03</v>
      </c>
      <c r="BJ347" s="455" t="str">
        <f t="shared" si="1102"/>
        <v>1H04</v>
      </c>
      <c r="BK347" s="455" t="str">
        <f t="shared" si="1102"/>
        <v>2H04</v>
      </c>
      <c r="BL347" s="455" t="str">
        <f t="shared" si="1102"/>
        <v>FY04</v>
      </c>
      <c r="BM347" s="455" t="str">
        <f t="shared" si="1102"/>
        <v>1H05</v>
      </c>
      <c r="BN347" s="455" t="str">
        <f t="shared" si="1102"/>
        <v>2H05</v>
      </c>
      <c r="BO347" s="455" t="str">
        <f t="shared" si="1102"/>
        <v>FY05</v>
      </c>
      <c r="BP347" s="455" t="str">
        <f t="shared" si="1102"/>
        <v>1H06</v>
      </c>
      <c r="BQ347" s="455" t="str">
        <f t="shared" ref="BQ347:CV347" si="1103">+BQ4</f>
        <v>2H06</v>
      </c>
      <c r="BR347" s="455" t="str">
        <f t="shared" si="1103"/>
        <v>FY06</v>
      </c>
      <c r="BS347" s="455" t="str">
        <f t="shared" si="1103"/>
        <v>1H07</v>
      </c>
      <c r="BT347" s="455" t="str">
        <f t="shared" si="1103"/>
        <v>2H07</v>
      </c>
      <c r="BU347" s="455" t="str">
        <f t="shared" si="1103"/>
        <v>FY07</v>
      </c>
      <c r="BV347" s="455" t="str">
        <f t="shared" si="1103"/>
        <v>1H08</v>
      </c>
      <c r="BW347" s="455" t="str">
        <f t="shared" si="1103"/>
        <v>2H08</v>
      </c>
      <c r="BX347" s="455" t="str">
        <f t="shared" si="1103"/>
        <v>FY08</v>
      </c>
      <c r="BY347" s="455" t="str">
        <f t="shared" si="1103"/>
        <v>1H09</v>
      </c>
      <c r="BZ347" s="455" t="str">
        <f t="shared" si="1103"/>
        <v>2H09</v>
      </c>
      <c r="CA347" s="455" t="str">
        <f t="shared" si="1103"/>
        <v>FY09</v>
      </c>
      <c r="CB347" s="455" t="str">
        <f t="shared" si="1103"/>
        <v>1H10</v>
      </c>
      <c r="CC347" s="455" t="str">
        <f t="shared" si="1103"/>
        <v>2H10</v>
      </c>
      <c r="CD347" s="455" t="str">
        <f t="shared" si="1103"/>
        <v>FY10</v>
      </c>
      <c r="CE347" s="455" t="str">
        <f t="shared" si="1103"/>
        <v>1H11</v>
      </c>
      <c r="CF347" s="455" t="str">
        <f t="shared" si="1103"/>
        <v>2H11</v>
      </c>
      <c r="CG347" s="455" t="str">
        <f t="shared" si="1103"/>
        <v>FY11</v>
      </c>
      <c r="CH347" s="455" t="str">
        <f t="shared" si="1103"/>
        <v>1H12</v>
      </c>
      <c r="CI347" s="455" t="str">
        <f t="shared" si="1103"/>
        <v>2H12</v>
      </c>
      <c r="CJ347" s="455" t="str">
        <f t="shared" si="1103"/>
        <v>FY12</v>
      </c>
      <c r="CK347" s="455" t="str">
        <f t="shared" si="1103"/>
        <v>1H13</v>
      </c>
      <c r="CL347" s="455" t="str">
        <f t="shared" si="1103"/>
        <v>2H13</v>
      </c>
      <c r="CM347" s="455" t="str">
        <f t="shared" si="1103"/>
        <v>FY13</v>
      </c>
      <c r="CN347" s="455" t="str">
        <f t="shared" si="1103"/>
        <v>1H14</v>
      </c>
      <c r="CO347" s="455" t="str">
        <f t="shared" si="1103"/>
        <v>2H14</v>
      </c>
      <c r="CP347" s="455" t="str">
        <f t="shared" si="1103"/>
        <v>FY14</v>
      </c>
      <c r="CQ347" s="455" t="str">
        <f t="shared" si="1103"/>
        <v>1H15</v>
      </c>
      <c r="CR347" s="455" t="str">
        <f t="shared" si="1103"/>
        <v>2H15</v>
      </c>
      <c r="CS347" s="455" t="str">
        <f t="shared" si="1103"/>
        <v>FY15</v>
      </c>
      <c r="CT347" s="455" t="str">
        <f t="shared" si="1103"/>
        <v>1H16</v>
      </c>
      <c r="CU347" s="455" t="str">
        <f t="shared" si="1103"/>
        <v>2H16</v>
      </c>
      <c r="CV347" s="455" t="str">
        <f t="shared" si="1103"/>
        <v>FY16</v>
      </c>
      <c r="CW347" s="455" t="str">
        <f t="shared" ref="CW347:EF347" si="1104">+CW4</f>
        <v>1H17</v>
      </c>
      <c r="CX347" s="455" t="str">
        <f t="shared" si="1104"/>
        <v>2H17</v>
      </c>
      <c r="CY347" s="455" t="str">
        <f t="shared" si="1104"/>
        <v>FY17</v>
      </c>
      <c r="CZ347" s="455" t="str">
        <f t="shared" si="1104"/>
        <v>1H18</v>
      </c>
      <c r="DA347" s="455" t="str">
        <f t="shared" si="1104"/>
        <v>2H18</v>
      </c>
      <c r="DB347" s="455" t="str">
        <f t="shared" si="1104"/>
        <v>FY18</v>
      </c>
      <c r="DC347" s="455" t="str">
        <f t="shared" si="1104"/>
        <v>1H19</v>
      </c>
      <c r="DD347" s="455" t="str">
        <f t="shared" si="1104"/>
        <v>2H19</v>
      </c>
      <c r="DE347" s="455" t="str">
        <f t="shared" si="1104"/>
        <v>FY19</v>
      </c>
      <c r="DF347" s="455" t="str">
        <f t="shared" si="1104"/>
        <v>1H20</v>
      </c>
      <c r="DG347" s="455" t="str">
        <f t="shared" si="1104"/>
        <v>2H20</v>
      </c>
      <c r="DH347" s="1243" t="str">
        <f t="shared" si="1104"/>
        <v>FY20</v>
      </c>
      <c r="DI347" s="455" t="str">
        <f t="shared" si="1104"/>
        <v>1H21</v>
      </c>
      <c r="DJ347" s="455" t="str">
        <f t="shared" si="1104"/>
        <v>2H21</v>
      </c>
      <c r="DK347" s="1243" t="str">
        <f t="shared" si="1104"/>
        <v>FY21</v>
      </c>
      <c r="DL347" s="455" t="str">
        <f t="shared" si="1104"/>
        <v>1H22</v>
      </c>
      <c r="DM347" s="455" t="str">
        <f t="shared" si="1104"/>
        <v>2H22</v>
      </c>
      <c r="DN347" s="1243" t="str">
        <f t="shared" si="1104"/>
        <v>FY22</v>
      </c>
      <c r="DO347" s="455" t="str">
        <f t="shared" si="1104"/>
        <v>1H23</v>
      </c>
      <c r="DP347" s="455" t="str">
        <f t="shared" si="1104"/>
        <v>2H23</v>
      </c>
      <c r="DQ347" s="1243" t="str">
        <f t="shared" si="1104"/>
        <v>FY23</v>
      </c>
      <c r="DR347" s="455" t="str">
        <f t="shared" si="1104"/>
        <v>1H24</v>
      </c>
      <c r="DS347" s="455" t="str">
        <f t="shared" si="1104"/>
        <v>2H24</v>
      </c>
      <c r="DT347" s="1243" t="str">
        <f t="shared" si="1104"/>
        <v>FY24</v>
      </c>
      <c r="DU347" s="455" t="str">
        <f t="shared" si="1104"/>
        <v>1H25</v>
      </c>
      <c r="DV347" s="455" t="str">
        <f t="shared" si="1104"/>
        <v>2H25</v>
      </c>
      <c r="DW347" s="1243" t="str">
        <f t="shared" si="1104"/>
        <v>FY25</v>
      </c>
      <c r="DX347" s="455" t="str">
        <f t="shared" si="1104"/>
        <v>1H26</v>
      </c>
      <c r="DY347" s="455" t="str">
        <f t="shared" si="1104"/>
        <v>2H26E</v>
      </c>
      <c r="DZ347" s="1243" t="str">
        <f t="shared" si="1104"/>
        <v>FY26E</v>
      </c>
      <c r="EA347" s="455" t="str">
        <f t="shared" si="1104"/>
        <v>1H27E</v>
      </c>
      <c r="EB347" s="455" t="str">
        <f t="shared" si="1104"/>
        <v>2H27E</v>
      </c>
      <c r="EC347" s="1243" t="str">
        <f t="shared" si="1104"/>
        <v>FY27E</v>
      </c>
      <c r="ED347" s="455" t="str">
        <f t="shared" si="1104"/>
        <v>1H28E</v>
      </c>
      <c r="EE347" s="455" t="str">
        <f t="shared" si="1104"/>
        <v>2H28E</v>
      </c>
      <c r="EF347" s="1243" t="str">
        <f t="shared" si="1104"/>
        <v>FY28E</v>
      </c>
      <c r="EG347" s="455" t="str">
        <f t="shared" ref="EG347:EL347" si="1105">+EG4</f>
        <v>1H29E</v>
      </c>
      <c r="EH347" s="455" t="str">
        <f t="shared" si="1105"/>
        <v>2H29E</v>
      </c>
      <c r="EI347" s="1243" t="str">
        <f t="shared" si="1105"/>
        <v>FY29E</v>
      </c>
      <c r="EJ347" s="455" t="str">
        <f t="shared" si="1105"/>
        <v>1H30E</v>
      </c>
      <c r="EK347" s="455" t="str">
        <f t="shared" si="1105"/>
        <v>2H30E</v>
      </c>
      <c r="EL347" s="1243" t="str">
        <f t="shared" si="1105"/>
        <v>FY30E</v>
      </c>
      <c r="EM347" s="455" t="str">
        <f t="shared" ref="EM347:ER347" si="1106">+EM4</f>
        <v>1H31E</v>
      </c>
      <c r="EN347" s="455" t="str">
        <f t="shared" si="1106"/>
        <v>2H31E</v>
      </c>
      <c r="EO347" s="1243" t="str">
        <f t="shared" si="1106"/>
        <v>FY31E</v>
      </c>
      <c r="EP347" s="455" t="str">
        <f t="shared" si="1106"/>
        <v>1H32E</v>
      </c>
      <c r="EQ347" s="455" t="str">
        <f t="shared" si="1106"/>
        <v>2H32E</v>
      </c>
      <c r="ER347" s="1243" t="str">
        <f t="shared" si="1106"/>
        <v>FY32E</v>
      </c>
      <c r="ES347" s="455" t="str">
        <f t="shared" ref="ES347:EX347" si="1107">+ES4</f>
        <v>1H33E</v>
      </c>
      <c r="ET347" s="455" t="str">
        <f t="shared" si="1107"/>
        <v>2H33E</v>
      </c>
      <c r="EU347" s="1243" t="str">
        <f t="shared" si="1107"/>
        <v>FY33E</v>
      </c>
      <c r="EV347" s="455" t="str">
        <f t="shared" si="1107"/>
        <v>1H34E</v>
      </c>
      <c r="EW347" s="455" t="str">
        <f t="shared" si="1107"/>
        <v>2H34E</v>
      </c>
      <c r="EX347" s="1243" t="str">
        <f t="shared" si="1107"/>
        <v>FY34E</v>
      </c>
      <c r="EY347" s="455" t="str">
        <f t="shared" ref="EY347:FA347" si="1108">+EY4</f>
        <v>1H35E</v>
      </c>
      <c r="EZ347" s="455" t="str">
        <f t="shared" si="1108"/>
        <v>2H35E</v>
      </c>
      <c r="FA347" s="1243" t="str">
        <f t="shared" si="1108"/>
        <v>FY35E</v>
      </c>
      <c r="FE347"/>
      <c r="FF347"/>
      <c r="FG347"/>
      <c r="FH347"/>
      <c r="FI347"/>
      <c r="FJ347"/>
      <c r="FK347" s="35"/>
    </row>
    <row r="348" spans="1:167" s="236" customFormat="1" ht="13.35" customHeight="1" thickBot="1">
      <c r="B348" s="242" t="s">
        <v>617</v>
      </c>
      <c r="C348" s="242" t="s">
        <v>485</v>
      </c>
      <c r="D348" s="243"/>
      <c r="E348" s="618"/>
      <c r="F348" s="619"/>
      <c r="G348" s="612">
        <f>+E348+F348</f>
        <v>0</v>
      </c>
      <c r="H348" s="618"/>
      <c r="I348" s="619"/>
      <c r="J348" s="612">
        <f>+H348+I348</f>
        <v>0</v>
      </c>
      <c r="K348" s="618"/>
      <c r="L348" s="619"/>
      <c r="M348" s="612">
        <f>+K348+L348</f>
        <v>0</v>
      </c>
      <c r="N348" s="618"/>
      <c r="O348" s="619"/>
      <c r="P348" s="612">
        <f>+N348+O348</f>
        <v>0</v>
      </c>
      <c r="Q348" s="618"/>
      <c r="R348" s="619"/>
      <c r="S348" s="612">
        <f>+Q348+R348</f>
        <v>0</v>
      </c>
      <c r="T348" s="618"/>
      <c r="U348" s="619"/>
      <c r="V348" s="612">
        <f>+T348+U348</f>
        <v>0</v>
      </c>
      <c r="W348" s="618"/>
      <c r="X348" s="619"/>
      <c r="Y348" s="612">
        <f>+W348+X348</f>
        <v>0</v>
      </c>
      <c r="Z348" s="618"/>
      <c r="AA348" s="619"/>
      <c r="AB348" s="612">
        <f>+Z348+AA348</f>
        <v>0</v>
      </c>
      <c r="AC348" s="618"/>
      <c r="AD348" s="619"/>
      <c r="AE348" s="612">
        <f>+AC348+AD348</f>
        <v>0</v>
      </c>
      <c r="AF348" s="618"/>
      <c r="AG348" s="619"/>
      <c r="AH348" s="612">
        <f>+AF348+AG348</f>
        <v>0</v>
      </c>
      <c r="AI348" s="620">
        <v>0</v>
      </c>
      <c r="AJ348" s="621">
        <v>0</v>
      </c>
      <c r="AK348" s="612">
        <f>+AI348+AJ348</f>
        <v>0</v>
      </c>
      <c r="AL348" s="620">
        <v>5</v>
      </c>
      <c r="AM348" s="621">
        <v>7.5</v>
      </c>
      <c r="AN348" s="612">
        <f>+AL348+AM348</f>
        <v>12.5</v>
      </c>
      <c r="AO348" s="620">
        <v>5</v>
      </c>
      <c r="AP348" s="621">
        <v>7.5</v>
      </c>
      <c r="AQ348" s="612">
        <f>+AO348+AP348</f>
        <v>12.5</v>
      </c>
      <c r="AR348" s="620">
        <v>6</v>
      </c>
      <c r="AS348" s="621">
        <v>9.5</v>
      </c>
      <c r="AT348" s="612">
        <f>+AR348+AS348</f>
        <v>15.5</v>
      </c>
      <c r="AU348" s="620">
        <v>8</v>
      </c>
      <c r="AV348" s="621">
        <v>20</v>
      </c>
      <c r="AW348" s="612">
        <f>+AU348+AV348</f>
        <v>28</v>
      </c>
      <c r="AX348" s="620">
        <v>15</v>
      </c>
      <c r="AY348" s="621">
        <v>15</v>
      </c>
      <c r="AZ348" s="612">
        <f>+AX348+AY348</f>
        <v>30</v>
      </c>
      <c r="BA348" s="620">
        <v>20</v>
      </c>
      <c r="BB348" s="621">
        <v>21</v>
      </c>
      <c r="BC348" s="612">
        <f>+BA348+BB348</f>
        <v>41</v>
      </c>
      <c r="BD348" s="618">
        <f>IF(Assumptions!BD222&lt;&gt;"",Assumptions!BD222,0)</f>
        <v>21</v>
      </c>
      <c r="BE348" s="619">
        <f>IF(Assumptions!BE222&lt;&gt;"",Assumptions!BE222,0)</f>
        <v>31</v>
      </c>
      <c r="BF348" s="612">
        <f>+BD348+BE348</f>
        <v>52</v>
      </c>
      <c r="BG348" s="620">
        <v>33</v>
      </c>
      <c r="BH348" s="619">
        <f>IF(Assumptions!BH222&lt;&gt;"",Assumptions!BH222,0)</f>
        <v>44</v>
      </c>
      <c r="BI348" s="612">
        <f>+BG348+BH348</f>
        <v>77</v>
      </c>
      <c r="BJ348" s="618">
        <f>IF(Assumptions!BJ222&lt;&gt;"",Assumptions!BJ222,0)</f>
        <v>35</v>
      </c>
      <c r="BK348" s="619">
        <f>IF(Assumptions!BK222&lt;&gt;"",Assumptions!BK222,0)</f>
        <v>44</v>
      </c>
      <c r="BL348" s="612">
        <f>+BJ348+BK348</f>
        <v>79</v>
      </c>
      <c r="BM348" s="618">
        <f>IF(Assumptions!BM222&lt;&gt;"",Assumptions!BM222,0)</f>
        <v>33</v>
      </c>
      <c r="BN348" s="619">
        <f>IF(Assumptions!BN222&lt;&gt;"",Assumptions!BN222,0)</f>
        <v>45</v>
      </c>
      <c r="BO348" s="612">
        <f>+BM348+BN348</f>
        <v>78</v>
      </c>
      <c r="BP348" s="618">
        <f>IF(Assumptions!BP222&lt;&gt;"",Assumptions!BP222,0)</f>
        <v>45</v>
      </c>
      <c r="BQ348" s="619">
        <f>IF(Assumptions!BQ222&lt;&gt;"",Assumptions!BQ222,0)</f>
        <v>55</v>
      </c>
      <c r="BR348" s="612">
        <f>+BP348+BQ348</f>
        <v>100</v>
      </c>
      <c r="BS348" s="618">
        <f>IF(Assumptions!BS222&lt;&gt;"",Assumptions!BS222,0)</f>
        <v>55</v>
      </c>
      <c r="BT348" s="619">
        <f>IF(Assumptions!BT222&lt;&gt;"",Assumptions!BT222,0)</f>
        <v>70</v>
      </c>
      <c r="BU348" s="612">
        <f>+BS348+BT348</f>
        <v>125</v>
      </c>
      <c r="BV348" s="618">
        <f>IF(Assumptions!BV222&lt;&gt;"",Assumptions!BV222,0)</f>
        <v>70</v>
      </c>
      <c r="BW348" s="619">
        <f>IF(Assumptions!BW222&lt;&gt;"",Assumptions!BW222,0)</f>
        <v>80</v>
      </c>
      <c r="BX348" s="612">
        <f>+BV348+BW348</f>
        <v>150</v>
      </c>
      <c r="BY348" s="620">
        <v>80</v>
      </c>
      <c r="BZ348" s="619">
        <f>PL_ODPS_09-PL_ODPS_H1_09</f>
        <v>95</v>
      </c>
      <c r="CA348" s="622">
        <v>175</v>
      </c>
      <c r="CB348" s="618">
        <f>IF(Assumptions!CB222&lt;&gt;"",Assumptions!CB222,0)</f>
        <v>94.996488422557292</v>
      </c>
      <c r="CC348" s="619">
        <f>IF(Assumptions!CC222&lt;&gt;"",Assumptions!CC222,0)</f>
        <v>104.95775422895993</v>
      </c>
      <c r="CD348" s="613">
        <f>+CB348+CC348</f>
        <v>199.95424265151723</v>
      </c>
      <c r="CE348" s="623">
        <v>105</v>
      </c>
      <c r="CF348" s="624">
        <f>IF(Assumptions!CF222&lt;&gt;"",Assumptions!CF222,0)</f>
        <v>120</v>
      </c>
      <c r="CG348" s="613">
        <f>+CE348+CF348</f>
        <v>225</v>
      </c>
      <c r="CH348" s="623">
        <v>120</v>
      </c>
      <c r="CI348" s="624">
        <f>IF(Assumptions!CI222&lt;&gt;"",Assumptions!CI222,0)</f>
        <v>125.02944754269036</v>
      </c>
      <c r="CJ348" s="613">
        <f>+CH348+CI348</f>
        <v>245.02944754269038</v>
      </c>
      <c r="CK348" s="625">
        <f>IF(Assumptions!CK222&lt;&gt;"",Assumptions!CK222,0)</f>
        <v>125</v>
      </c>
      <c r="CL348" s="624">
        <f>IF(Assumptions!CL222&lt;&gt;"",Assumptions!CL222,0)</f>
        <v>127.50841865815565</v>
      </c>
      <c r="CM348" s="613">
        <f>+CK348+CL348</f>
        <v>252.50841865815565</v>
      </c>
      <c r="CN348" s="625">
        <f>IF(Assumptions!CN222&lt;&gt;"",Assumptions!CN222,0)</f>
        <v>126.99450367412967</v>
      </c>
      <c r="CO348" s="624">
        <f>IF(Assumptions!CO222&lt;&gt;"",Assumptions!CO222,0)</f>
        <v>127.3153552960391</v>
      </c>
      <c r="CP348" s="613">
        <f>+CN348+CO348</f>
        <v>254.30985897016876</v>
      </c>
      <c r="CQ348" s="625">
        <f>IF(Assumptions!CQ222&lt;&gt;"",Assumptions!CQ222,0)</f>
        <v>89.999999999999972</v>
      </c>
      <c r="CR348" s="624">
        <f>IF(Assumptions!CR222&lt;&gt;"",Assumptions!CR222,0)</f>
        <v>100.02440133586431</v>
      </c>
      <c r="CS348" s="613">
        <f>+CQ348+CR348</f>
        <v>190.0244013358643</v>
      </c>
      <c r="CT348" s="625">
        <f>IF(Assumptions!CT222&lt;&gt;"",Assumptions!CT222,0)</f>
        <v>109.45905852384651</v>
      </c>
      <c r="CU348" s="624">
        <f>IF(Assumptions!CU222&lt;&gt;"",Assumptions!CU222,0)</f>
        <v>120.30750617953255</v>
      </c>
      <c r="CV348" s="613">
        <f>+CT348+CU348</f>
        <v>229.76656470337906</v>
      </c>
      <c r="CW348" s="625">
        <f>IF(Assumptions!CW222&lt;&gt;"",Assumptions!CW222,0)</f>
        <v>135.7439256904006</v>
      </c>
      <c r="CX348" s="624">
        <f>IF(Assumptions!CX222&lt;&gt;"",Assumptions!CX222,0)</f>
        <v>136.91392292862966</v>
      </c>
      <c r="CY348" s="613">
        <f>+CW348+CX348</f>
        <v>272.65784861903023</v>
      </c>
      <c r="CZ348" s="625">
        <f>IF(Assumptions!CZ222&lt;&gt;"",Assumptions!CZ222,0)</f>
        <v>140</v>
      </c>
      <c r="DA348" s="624">
        <f>IF(Assumptions!DA222&lt;&gt;"",Assumptions!DA222,0)</f>
        <v>160</v>
      </c>
      <c r="DB348" s="613">
        <f>+CZ348+DA348</f>
        <v>300</v>
      </c>
      <c r="DC348" s="625">
        <f>IF(Assumptions!DC222&lt;&gt;"",Assumptions!DC222,0)</f>
        <v>154.36342199386965</v>
      </c>
      <c r="DD348" s="624">
        <f>IF(Assumptions!DD222&lt;&gt;"",Assumptions!DD222,0)</f>
        <v>175.60243983638472</v>
      </c>
      <c r="DE348" s="613">
        <f>+DC348+DD348</f>
        <v>329.96586183025437</v>
      </c>
      <c r="DF348" s="625">
        <f>IF(Assumptions!DF222&lt;&gt;"",Assumptions!DF222,0)</f>
        <v>160.12356527671443</v>
      </c>
      <c r="DG348" s="1504">
        <v>0</v>
      </c>
      <c r="DH348" s="1286">
        <f>+DF348+DG348</f>
        <v>160.12356527671443</v>
      </c>
      <c r="DI348" s="1500">
        <f>IF(Assumptions!DI222&lt;&gt;"",Assumptions!DI222,0)</f>
        <v>115.31780066025546</v>
      </c>
      <c r="DJ348" s="1500">
        <f>IF(Assumptions!DJ222&lt;&gt;"",Assumptions!DJ222,0)</f>
        <v>144.40738454597454</v>
      </c>
      <c r="DK348" s="1286">
        <f>+DI348+DJ348</f>
        <v>259.72518520622998</v>
      </c>
      <c r="DL348" s="1500">
        <f>IF(Assumptions!DL222&lt;&gt;"",Assumptions!DL222,0)</f>
        <v>147.71234494979331</v>
      </c>
      <c r="DM348" s="1500">
        <f>IF(Assumptions!DM222&lt;&gt;"",Assumptions!DM222,0)</f>
        <v>170.57319285753039</v>
      </c>
      <c r="DN348" s="1286">
        <f>+DL348+DM348</f>
        <v>318.28553780732369</v>
      </c>
      <c r="DO348" s="1500">
        <f>IF(Assumptions!DO222&lt;&gt;"",Assumptions!DO222,0)</f>
        <v>168.27926542827873</v>
      </c>
      <c r="DP348" s="1500">
        <f>IF(Assumptions!DP222&lt;&gt;"",Assumptions!DP222,0)</f>
        <v>190.87262027520498</v>
      </c>
      <c r="DQ348" s="1286">
        <f>+DO348+DP348</f>
        <v>359.15188570348369</v>
      </c>
      <c r="DR348" s="1500">
        <f>IF(Assumptions!DR222&lt;&gt;"",Assumptions!DR222,0)</f>
        <v>212.41040267939533</v>
      </c>
      <c r="DS348" s="1500">
        <f>IF(Assumptions!DS222&lt;&gt;"",Assumptions!DS222,0)</f>
        <v>220.03063728446679</v>
      </c>
      <c r="DT348" s="1286">
        <f>+DR348+DS348</f>
        <v>432.44103996386212</v>
      </c>
      <c r="DU348" s="1500">
        <f>IF(Assumptions!DU222&lt;&gt;"",Assumptions!DU222,0)</f>
        <v>227.94977250815984</v>
      </c>
      <c r="DV348" s="1500">
        <f>IF(Assumptions!DV222&lt;&gt;"",Assumptions!DV222,0)</f>
        <v>217.47075126816355</v>
      </c>
      <c r="DW348" s="1286">
        <f>+DU348+DV348</f>
        <v>445.42052377632342</v>
      </c>
      <c r="DX348" s="1500">
        <f>IF(Assumptions!DX222&lt;&gt;"",Assumptions!DX222,0)</f>
        <v>210.4434281540594</v>
      </c>
      <c r="DY348" s="1500">
        <f>IF(Assumptions!DY222&lt;&gt;"",Assumptions!DY222,0)</f>
        <v>235.47899065013735</v>
      </c>
      <c r="DZ348" s="1286">
        <f>+DX348+DY348</f>
        <v>445.92241880419675</v>
      </c>
      <c r="EA348" s="1500">
        <f>IF(Assumptions!EA222&lt;&gt;"",Assumptions!EA222,0)</f>
        <v>254.28536114888956</v>
      </c>
      <c r="EB348" s="1500">
        <f>IF(Assumptions!EB222&lt;&gt;"",Assumptions!EB222,0)</f>
        <v>263.02134238630254</v>
      </c>
      <c r="EC348" s="1286">
        <f>+EA348+EB348</f>
        <v>517.30670353519213</v>
      </c>
      <c r="ED348" s="1500">
        <f>IF(Assumptions!ED222&lt;&gt;"",Assumptions!ED222,0)</f>
        <v>284.70780594644009</v>
      </c>
      <c r="EE348" s="1500">
        <f>IF(Assumptions!EE222&lt;&gt;"",Assumptions!EE222,0)</f>
        <v>294.63378966695899</v>
      </c>
      <c r="EF348" s="1286">
        <f>+ED348+EE348</f>
        <v>579.34159561339902</v>
      </c>
      <c r="EG348" s="1500">
        <f>IF(Assumptions!EG222&lt;&gt;"",Assumptions!EG222,0)</f>
        <v>318.38099359449359</v>
      </c>
      <c r="EH348" s="1500">
        <f>IF(Assumptions!EH222&lt;&gt;"",Assumptions!EH222,0)</f>
        <v>328.33991281388234</v>
      </c>
      <c r="EI348" s="1286">
        <f>+EG348+EH348</f>
        <v>646.72090640837587</v>
      </c>
      <c r="EJ348" s="1500">
        <f>IF(Assumptions!EJ222&lt;&gt;"",Assumptions!EJ222,0)</f>
        <v>351.09811092039644</v>
      </c>
      <c r="EK348" s="1500">
        <f>IF(Assumptions!EK222&lt;&gt;"",Assumptions!EK222,0)</f>
        <v>362.0675830518876</v>
      </c>
      <c r="EL348" s="1286">
        <f>+EJ348+EK348</f>
        <v>713.16569397228409</v>
      </c>
      <c r="EM348" s="1500">
        <f>IF(Assumptions!EM222&lt;&gt;"",Assumptions!EM222,0)</f>
        <v>385.43779400076556</v>
      </c>
      <c r="EN348" s="1500">
        <f>IF(Assumptions!EN222&lt;&gt;"",Assumptions!EN222,0)</f>
        <v>397.44433170359861</v>
      </c>
      <c r="EO348" s="1286">
        <f>+EM348+EN348</f>
        <v>782.88212570436417</v>
      </c>
      <c r="EP348" s="1500">
        <f>IF(Assumptions!EP222&lt;&gt;"",Assumptions!EP222,0)</f>
        <v>421.98871082936921</v>
      </c>
      <c r="EQ348" s="1500">
        <f>IF(Assumptions!EQ222&lt;&gt;"",Assumptions!EQ222,0)</f>
        <v>435.07583692545757</v>
      </c>
      <c r="ER348" s="1286">
        <f>+EP348+EQ348</f>
        <v>857.06454775482678</v>
      </c>
      <c r="ES348" s="1500">
        <f>IF(Assumptions!ES222&lt;&gt;"",Assumptions!ES222,0)</f>
        <v>461.89569750532934</v>
      </c>
      <c r="ET348" s="1500">
        <f>IF(Assumptions!ET222&lt;&gt;"",Assumptions!ET222,0)</f>
        <v>476.1606649500655</v>
      </c>
      <c r="EU348" s="1286">
        <f>+ES348+ET348</f>
        <v>938.05636245539483</v>
      </c>
      <c r="EV348" s="1500">
        <f>IF(Assumptions!EV222&lt;&gt;"",Assumptions!EV222,0)</f>
        <v>505.46841354317081</v>
      </c>
      <c r="EW348" s="1500">
        <f>IF(Assumptions!EW222&lt;&gt;"",Assumptions!EW222,0)</f>
        <v>521.01722805793338</v>
      </c>
      <c r="EX348" s="1286">
        <f>+EV348+EW348</f>
        <v>1026.4856416011041</v>
      </c>
      <c r="EY348" s="1500">
        <f>IF(Assumptions!EY222&lt;&gt;"",Assumptions!EY222,0)</f>
        <v>553.04619887859269</v>
      </c>
      <c r="EZ348" s="1500">
        <f>IF(Assumptions!EZ222&lt;&gt;"",Assumptions!EZ222,0)</f>
        <v>569.99440669968385</v>
      </c>
      <c r="FA348" s="1286">
        <f>+EY348+EZ348</f>
        <v>1123.0406055782764</v>
      </c>
      <c r="FE348"/>
      <c r="FF348"/>
      <c r="FG348"/>
      <c r="FH348"/>
      <c r="FI348"/>
      <c r="FJ348"/>
      <c r="FK348" s="35"/>
    </row>
    <row r="349" spans="1:167" s="236" customFormat="1" ht="13.35" customHeight="1" thickBot="1">
      <c r="B349" s="242" t="s">
        <v>607</v>
      </c>
      <c r="C349" s="242" t="s">
        <v>496</v>
      </c>
      <c r="D349" s="243"/>
      <c r="E349" s="626"/>
      <c r="F349" s="612">
        <f>+G349-E349</f>
        <v>0</v>
      </c>
      <c r="G349" s="627"/>
      <c r="H349" s="628"/>
      <c r="I349" s="612">
        <f>+J349-H349</f>
        <v>0</v>
      </c>
      <c r="J349" s="627"/>
      <c r="K349" s="628"/>
      <c r="L349" s="612">
        <f>+M349-K349</f>
        <v>0</v>
      </c>
      <c r="M349" s="627"/>
      <c r="N349" s="628"/>
      <c r="O349" s="612">
        <f>+P349-N349</f>
        <v>0</v>
      </c>
      <c r="P349" s="627"/>
      <c r="Q349" s="628"/>
      <c r="R349" s="612">
        <f>+S349-Q349</f>
        <v>0</v>
      </c>
      <c r="S349" s="627"/>
      <c r="T349" s="628"/>
      <c r="U349" s="612">
        <f>+V349-T349</f>
        <v>0</v>
      </c>
      <c r="V349" s="627"/>
      <c r="W349" s="628"/>
      <c r="X349" s="612">
        <f>+Y349-W349</f>
        <v>0</v>
      </c>
      <c r="Y349" s="627"/>
      <c r="Z349" s="628"/>
      <c r="AA349" s="612">
        <f>+AB349-Z349</f>
        <v>0</v>
      </c>
      <c r="AB349" s="627"/>
      <c r="AC349" s="628"/>
      <c r="AD349" s="612">
        <f>+AE349-AC349</f>
        <v>0</v>
      </c>
      <c r="AE349" s="627"/>
      <c r="AF349" s="628"/>
      <c r="AG349" s="612">
        <f>+AH349-AF349</f>
        <v>0</v>
      </c>
      <c r="AH349" s="627"/>
      <c r="AI349" s="628"/>
      <c r="AJ349" s="612">
        <f>+AK349-AI349</f>
        <v>0</v>
      </c>
      <c r="AK349" s="627"/>
      <c r="AL349" s="629">
        <v>2.5</v>
      </c>
      <c r="AM349" s="612">
        <f>+AN349-AL349</f>
        <v>3.75</v>
      </c>
      <c r="AN349" s="630">
        <v>6.25</v>
      </c>
      <c r="AO349" s="629">
        <v>2.5</v>
      </c>
      <c r="AP349" s="612">
        <f>+AQ349-AO349</f>
        <v>3.75</v>
      </c>
      <c r="AQ349" s="630">
        <v>6.25</v>
      </c>
      <c r="AR349" s="629">
        <v>3</v>
      </c>
      <c r="AS349" s="612">
        <f>+AT349-AR349</f>
        <v>4.75</v>
      </c>
      <c r="AT349" s="631">
        <v>7.75</v>
      </c>
      <c r="AU349" s="632">
        <v>4.0430000000000001</v>
      </c>
      <c r="AV349" s="612">
        <f>+AW349-AU349</f>
        <v>10.106999999999999</v>
      </c>
      <c r="AW349" s="631">
        <v>14.15</v>
      </c>
      <c r="AX349" s="632">
        <v>7.67</v>
      </c>
      <c r="AY349" s="612">
        <f>+AZ349-AX349</f>
        <v>7.6769999999999996</v>
      </c>
      <c r="AZ349" s="631">
        <v>15.347</v>
      </c>
      <c r="BA349" s="632">
        <v>10.403</v>
      </c>
      <c r="BB349" s="612">
        <f>+BC349-BA349</f>
        <v>10.924000000000001</v>
      </c>
      <c r="BC349" s="631">
        <v>21.327000000000002</v>
      </c>
      <c r="BD349" s="633">
        <f>+(BD348/100)*BD385</f>
        <v>10.923645389999999</v>
      </c>
      <c r="BE349" s="612">
        <f>+BF349-BD349</f>
        <v>16.37643001</v>
      </c>
      <c r="BF349" s="634">
        <f>+(BF348/100)*BF385</f>
        <v>27.300075400000001</v>
      </c>
      <c r="BG349" s="635">
        <f>+(BG348/100)*BG385</f>
        <v>17.325047850000001</v>
      </c>
      <c r="BH349" s="612">
        <f>+BI349-BG349</f>
        <v>15.946952149999998</v>
      </c>
      <c r="BI349" s="632">
        <v>33.271999999999998</v>
      </c>
      <c r="BJ349" s="632">
        <v>23.355</v>
      </c>
      <c r="BK349" s="612">
        <f>+BL349-BJ349</f>
        <v>19.432735099999999</v>
      </c>
      <c r="BL349" s="634">
        <f>((+(BL348/100)*BL385))</f>
        <v>42.787735099999999</v>
      </c>
      <c r="BM349" s="635">
        <f>+(BM348/100)*BM385</f>
        <v>17.8733577</v>
      </c>
      <c r="BN349" s="612">
        <f>+BO349-BM349</f>
        <v>24.372760500000005</v>
      </c>
      <c r="BO349" s="636">
        <f>+(BO348/100)*BO385</f>
        <v>42.246118200000005</v>
      </c>
      <c r="BP349" s="635">
        <f>+(BP348/100)*BP385</f>
        <v>24.372760500000002</v>
      </c>
      <c r="BQ349" s="612">
        <f>+BR349-BP349</f>
        <v>29.788929499999998</v>
      </c>
      <c r="BR349" s="636">
        <f>+(BR348/100)*BR385</f>
        <v>54.16169</v>
      </c>
      <c r="BS349" s="635">
        <f>+(BS348/100)*BS385</f>
        <v>30.096379500000001</v>
      </c>
      <c r="BT349" s="612">
        <f>+BU349-BS349</f>
        <v>38.304483000000005</v>
      </c>
      <c r="BU349" s="636">
        <f>+(BU348/100)*BU385</f>
        <v>68.400862500000002</v>
      </c>
      <c r="BV349" s="635">
        <f>+(BV348/100)*BV385</f>
        <v>38.935994999999998</v>
      </c>
      <c r="BW349" s="612">
        <f>+BX349-BV349</f>
        <v>44.498280000000001</v>
      </c>
      <c r="BX349" s="636">
        <f>+(BX348/100)*BX385</f>
        <v>83.434275</v>
      </c>
      <c r="BY349" s="635">
        <f>+(BY348/100)*BY385</f>
        <v>44.594570400000002</v>
      </c>
      <c r="BZ349" s="612">
        <f>+CA349-BY349</f>
        <v>53.495979850000005</v>
      </c>
      <c r="CA349" s="636">
        <f>+(CA348/100)*CA385</f>
        <v>98.090550250000007</v>
      </c>
      <c r="CB349" s="635">
        <f>+(CB348/100)*CB385</f>
        <v>53.327764521081463</v>
      </c>
      <c r="CC349" s="612">
        <f>+CD349-CB349</f>
        <v>59.06801892924112</v>
      </c>
      <c r="CD349" s="636">
        <f>+(CD348/100)*CD385</f>
        <v>112.39578345032258</v>
      </c>
      <c r="CE349" s="635">
        <f>+(CE348/100)*CE385</f>
        <v>59.364109350000007</v>
      </c>
      <c r="CF349" s="612">
        <f>+CG349-CE349</f>
        <v>67.23360989999999</v>
      </c>
      <c r="CG349" s="636">
        <f>+(CG348/100)*CG385</f>
        <v>126.59771925</v>
      </c>
      <c r="CH349" s="635">
        <f>+(CH348/100)*CH385</f>
        <v>68.1358836</v>
      </c>
      <c r="CI349" s="612">
        <f>+CJ349-CH349</f>
        <v>71.357989118791579</v>
      </c>
      <c r="CJ349" s="636">
        <f>+(CJ348/100)*CJ385</f>
        <v>139.49387271879158</v>
      </c>
      <c r="CK349" s="635">
        <f>+(CK348/100)*CK385</f>
        <v>71.087440000000001</v>
      </c>
      <c r="CL349" s="612">
        <f>+CM349-CK349</f>
        <v>72.565258421597449</v>
      </c>
      <c r="CM349" s="636">
        <f>+(CM348/100)*CM385</f>
        <v>143.65269842159745</v>
      </c>
      <c r="CN349" s="635">
        <f>+(CN348/100)*CN385</f>
        <v>72.290833850575538</v>
      </c>
      <c r="CO349" s="612">
        <f>+CP349-CN349</f>
        <v>72.409827975564369</v>
      </c>
      <c r="CP349" s="636">
        <f>+(CP348/100)*CP385</f>
        <v>144.70066182613991</v>
      </c>
      <c r="CQ349" s="635">
        <f>+(CQ348/100)*CQ385</f>
        <v>51.250724099999978</v>
      </c>
      <c r="CR349" s="612">
        <f>+CS349-CQ349</f>
        <v>56.871928901986145</v>
      </c>
      <c r="CS349" s="636">
        <f>+(CS348/100)*CS385</f>
        <v>108.12265300198612</v>
      </c>
      <c r="CT349" s="635">
        <f>+(CT348/100)*CT385</f>
        <v>62.344895881247602</v>
      </c>
      <c r="CU349" s="612">
        <f>+CV349-CT349</f>
        <v>69.079888047168993</v>
      </c>
      <c r="CV349" s="636">
        <f>+(CV348/100)*CV385</f>
        <v>131.42478392841659</v>
      </c>
      <c r="CW349" s="635">
        <f>+(CW348/100)*CW385</f>
        <v>77.644526419616042</v>
      </c>
      <c r="CX349" s="612">
        <f>+CY349-CW349</f>
        <v>78.313756228703383</v>
      </c>
      <c r="CY349" s="636">
        <f>+(CY348/100)*CY385</f>
        <v>155.95828264831943</v>
      </c>
      <c r="CZ349" s="635">
        <f>+(CZ348/100)*CZ385</f>
        <v>80.511377799999991</v>
      </c>
      <c r="DA349" s="612">
        <f>+DB349-CZ349</f>
        <v>92.132082200000013</v>
      </c>
      <c r="DB349" s="636">
        <f>+(DB348/100)*DB385</f>
        <v>172.64346</v>
      </c>
      <c r="DC349" s="635">
        <f>+(DC348/100)*DC385</f>
        <v>89.007599266646366</v>
      </c>
      <c r="DD349" s="612">
        <f>+DE349-DC349</f>
        <v>101.43490690841057</v>
      </c>
      <c r="DE349" s="636">
        <f>+(DE348/100)*DE385</f>
        <v>190.44250617505693</v>
      </c>
      <c r="DF349" s="635">
        <f>+(DF348/100)*DF385</f>
        <v>92.535131359645334</v>
      </c>
      <c r="DG349" s="612">
        <f>+DH349-DF349</f>
        <v>12.645878660402502</v>
      </c>
      <c r="DH349" s="1298">
        <f>+(DH348/100)*DH385</f>
        <v>105.18101002004784</v>
      </c>
      <c r="DI349" s="612">
        <f>+(DI348/100)*DI385</f>
        <v>75.790715974351983</v>
      </c>
      <c r="DJ349" s="612">
        <f>+DK349-DI349</f>
        <v>94.963212373276335</v>
      </c>
      <c r="DK349" s="1298">
        <f>+(DK348/100)*DK385</f>
        <v>170.75392834762832</v>
      </c>
      <c r="DL349" s="612">
        <f>+(DL348/100)*DL385</f>
        <v>97.144075368127616</v>
      </c>
      <c r="DM349" s="612">
        <f>+DN349-DL349</f>
        <v>112.20931611261271</v>
      </c>
      <c r="DN349" s="1298">
        <f>+(DN348/100)*DN385</f>
        <v>209.35339148074033</v>
      </c>
      <c r="DO349" s="612">
        <f>+(DO348/100)*DO385</f>
        <v>110.69280000000001</v>
      </c>
      <c r="DP349" s="612">
        <f>+DQ349-DO349</f>
        <v>125.16816575607297</v>
      </c>
      <c r="DQ349" s="1298">
        <f>+(DQ348/100)*DQ385</f>
        <v>235.86096575607297</v>
      </c>
      <c r="DR349" s="612">
        <f>+(DR348/100)*DR385</f>
        <v>139.28100368441969</v>
      </c>
      <c r="DS349" s="612">
        <f>+DT349-DR349</f>
        <v>143.94262725958654</v>
      </c>
      <c r="DT349" s="1298">
        <f>+(DT348/100)*DT385</f>
        <v>283.22363094400623</v>
      </c>
      <c r="DU349" s="612">
        <f>+(DU348/100)*DU385</f>
        <v>149.29379100562795</v>
      </c>
      <c r="DV349" s="612">
        <f>+DW349-DU349</f>
        <v>142.23020472778126</v>
      </c>
      <c r="DW349" s="1298">
        <f>+(DW348/100)*DW385</f>
        <v>291.52399573340921</v>
      </c>
      <c r="DX349" s="612">
        <f>+(DX348/100)*DX385</f>
        <v>137.49119152576549</v>
      </c>
      <c r="DY349" s="612">
        <f>+DZ349-DX349</f>
        <v>153.05211936965441</v>
      </c>
      <c r="DZ349" s="1298">
        <f>+(DZ348/100)*DZ385</f>
        <v>290.54331089541989</v>
      </c>
      <c r="EA349" s="612">
        <f>+(EA348/100)*EA385</f>
        <v>165.0907631803972</v>
      </c>
      <c r="EB349" s="612">
        <f>+EC349-EA349</f>
        <v>169.59082546537329</v>
      </c>
      <c r="EC349" s="1298">
        <f>+(EC348/100)*EC385</f>
        <v>334.68158864577049</v>
      </c>
      <c r="ED349" s="612">
        <f>+(ED348/100)*ED385</f>
        <v>183.56812741804666</v>
      </c>
      <c r="EE349" s="612">
        <f>+EF349-ED349</f>
        <v>188.71909087266894</v>
      </c>
      <c r="EF349" s="1298">
        <f>+(EF348/100)*EF385</f>
        <v>372.2872182907156</v>
      </c>
      <c r="EG349" s="612">
        <f>+(EG348/100)*EG385</f>
        <v>204.59289538226764</v>
      </c>
      <c r="EH349" s="612">
        <f>+EI349-EG349</f>
        <v>210.99253656363774</v>
      </c>
      <c r="EI349" s="1298">
        <f>+(EI348/100)*EI385</f>
        <v>415.58543194590538</v>
      </c>
      <c r="EJ349" s="612">
        <f>+(EJ348/100)*EJ385</f>
        <v>225.61704536903866</v>
      </c>
      <c r="EK349" s="612">
        <f>+EL349-EJ349</f>
        <v>232.66607187925595</v>
      </c>
      <c r="EL349" s="1298">
        <f>+(EL348/100)*EL385</f>
        <v>458.28311724829462</v>
      </c>
      <c r="EM349" s="612">
        <f>+(EM348/100)*EM385</f>
        <v>247.68386257631965</v>
      </c>
      <c r="EN349" s="612">
        <f>+EO349-EM349</f>
        <v>255.39931155587664</v>
      </c>
      <c r="EO349" s="1298">
        <f>+(EO348/100)*EO385</f>
        <v>503.08317413219629</v>
      </c>
      <c r="EP349" s="612">
        <f>+(EP348/100)*EP385</f>
        <v>271.1716274030257</v>
      </c>
      <c r="EQ349" s="612">
        <f>+ER349-EP349</f>
        <v>279.58146679074309</v>
      </c>
      <c r="ER349" s="1298">
        <f>+(ER348/100)*ER385</f>
        <v>550.75309419376879</v>
      </c>
      <c r="ES349" s="612">
        <f>+(ES348/100)*ES385</f>
        <v>296.81601608916446</v>
      </c>
      <c r="ET349" s="612">
        <f>+EU349-ES349</f>
        <v>305.98274102177641</v>
      </c>
      <c r="EU349" s="1298">
        <f>+(EU348/100)*EU385</f>
        <v>602.79875711094087</v>
      </c>
      <c r="EV349" s="612">
        <f>+(EV348/100)*EV385</f>
        <v>324.81601707290901</v>
      </c>
      <c r="EW349" s="612">
        <f>+EX349-EV349</f>
        <v>334.80774724945576</v>
      </c>
      <c r="EX349" s="1298">
        <f>+(EX348/100)*EX385</f>
        <v>659.62376432236476</v>
      </c>
      <c r="EY349" s="612">
        <f>+(EY348/100)*EY385</f>
        <v>355.38969154936899</v>
      </c>
      <c r="EZ349" s="612">
        <f>+FA349-EY349</f>
        <v>366.2806774418051</v>
      </c>
      <c r="FA349" s="1298">
        <f>+(FA348/100)*FA385</f>
        <v>721.67036899117409</v>
      </c>
      <c r="FE349"/>
      <c r="FF349"/>
      <c r="FG349"/>
      <c r="FH349"/>
      <c r="FI349"/>
      <c r="FJ349"/>
      <c r="FK349" s="35"/>
    </row>
    <row r="350" spans="1:167" s="450" customFormat="1" ht="13.35" customHeight="1">
      <c r="B350" s="242" t="s">
        <v>608</v>
      </c>
      <c r="C350" s="242" t="s">
        <v>460</v>
      </c>
      <c r="D350" s="243"/>
      <c r="E350" s="637">
        <v>0</v>
      </c>
      <c r="F350" s="637">
        <v>0</v>
      </c>
      <c r="G350" s="637">
        <v>0</v>
      </c>
      <c r="H350" s="637">
        <v>0</v>
      </c>
      <c r="I350" s="637">
        <v>0</v>
      </c>
      <c r="J350" s="637">
        <v>0</v>
      </c>
      <c r="K350" s="637">
        <v>0</v>
      </c>
      <c r="L350" s="637">
        <v>0</v>
      </c>
      <c r="M350" s="637">
        <v>0</v>
      </c>
      <c r="N350" s="637">
        <v>0</v>
      </c>
      <c r="O350" s="637">
        <v>0</v>
      </c>
      <c r="P350" s="637">
        <v>0</v>
      </c>
      <c r="Q350" s="637">
        <v>0</v>
      </c>
      <c r="R350" s="637">
        <v>0</v>
      </c>
      <c r="S350" s="637">
        <v>0</v>
      </c>
      <c r="T350" s="637">
        <v>0</v>
      </c>
      <c r="U350" s="637">
        <v>0</v>
      </c>
      <c r="V350" s="637">
        <v>0</v>
      </c>
      <c r="W350" s="637">
        <v>0</v>
      </c>
      <c r="X350" s="637">
        <v>0</v>
      </c>
      <c r="Y350" s="637">
        <v>0</v>
      </c>
      <c r="Z350" s="637">
        <v>0</v>
      </c>
      <c r="AA350" s="637">
        <v>0</v>
      </c>
      <c r="AB350" s="637">
        <v>0</v>
      </c>
      <c r="AC350" s="637">
        <v>0</v>
      </c>
      <c r="AD350" s="637">
        <v>0</v>
      </c>
      <c r="AE350" s="637">
        <v>0</v>
      </c>
      <c r="AF350" s="637">
        <v>0</v>
      </c>
      <c r="AG350" s="637">
        <v>0</v>
      </c>
      <c r="AH350" s="637">
        <v>0</v>
      </c>
      <c r="AI350" s="637">
        <v>0</v>
      </c>
      <c r="AJ350" s="637">
        <v>0</v>
      </c>
      <c r="AK350" s="637">
        <v>0</v>
      </c>
      <c r="AL350" s="637">
        <v>5.01957634775625E-4</v>
      </c>
      <c r="AM350" s="637">
        <v>7.5293645216343739E-4</v>
      </c>
      <c r="AN350" s="637">
        <v>6.274470434695312E-4</v>
      </c>
      <c r="AO350" s="637">
        <v>5.01957634775625E-4</v>
      </c>
      <c r="AP350" s="637">
        <v>7.5293645216343739E-4</v>
      </c>
      <c r="AQ350" s="637">
        <v>6.274470434695312E-4</v>
      </c>
      <c r="AR350" s="637">
        <v>6.0234916173074996E-4</v>
      </c>
      <c r="AS350" s="637">
        <v>9.5371950607368741E-4</v>
      </c>
      <c r="AT350" s="637">
        <v>7.7803433390221863E-4</v>
      </c>
      <c r="AU350" s="637">
        <v>8.0313221564099987E-4</v>
      </c>
      <c r="AV350" s="637">
        <v>2.0078305391025E-3</v>
      </c>
      <c r="AW350" s="637">
        <v>1.40548137737175E-3</v>
      </c>
      <c r="AX350" s="637">
        <v>1.5058729043268748E-3</v>
      </c>
      <c r="AY350" s="637">
        <v>1.5058729043268748E-3</v>
      </c>
      <c r="AZ350" s="637">
        <v>1.5058729043268748E-3</v>
      </c>
      <c r="BA350" s="637">
        <v>2.0078305391025E-3</v>
      </c>
      <c r="BB350" s="637">
        <v>2.1082220660576245E-3</v>
      </c>
      <c r="BC350" s="637">
        <v>2.0580263025800623E-3</v>
      </c>
      <c r="BD350" s="637">
        <v>2.1082220660576245E-3</v>
      </c>
      <c r="BE350" s="637">
        <v>3.1121373356088745E-3</v>
      </c>
      <c r="BF350" s="637">
        <v>2.6101797008332497E-3</v>
      </c>
      <c r="BG350" s="637">
        <v>3.3129203895191249E-3</v>
      </c>
      <c r="BH350" s="637">
        <v>4.4172271860254998E-3</v>
      </c>
      <c r="BI350" s="637">
        <v>3.8650737877723119E-3</v>
      </c>
      <c r="BJ350" s="637">
        <v>3.5137034434293743E-3</v>
      </c>
      <c r="BK350" s="637">
        <v>4.4172271860254998E-3</v>
      </c>
      <c r="BL350" s="637">
        <v>3.9654653147274373E-3</v>
      </c>
      <c r="BM350" s="637">
        <v>3.3129203895191249E-3</v>
      </c>
      <c r="BN350" s="637">
        <v>4.5176187129806243E-3</v>
      </c>
      <c r="BO350" s="637">
        <v>3.9152695512498746E-3</v>
      </c>
      <c r="BP350" s="637">
        <v>4.5176187129806243E-3</v>
      </c>
      <c r="BQ350" s="637">
        <v>5.5215339825318748E-3</v>
      </c>
      <c r="BR350" s="637">
        <v>5.0195763477562496E-3</v>
      </c>
      <c r="BS350" s="637">
        <v>5.5215339825318748E-3</v>
      </c>
      <c r="BT350" s="637">
        <v>7.0274068868587487E-3</v>
      </c>
      <c r="BU350" s="637">
        <v>6.2744704346953117E-3</v>
      </c>
      <c r="BV350" s="637">
        <v>7.0274068868587487E-3</v>
      </c>
      <c r="BW350" s="637">
        <v>8.03132215641E-3</v>
      </c>
      <c r="BX350" s="637">
        <v>7.5293645216343739E-3</v>
      </c>
      <c r="BY350" s="637">
        <v>8.03132215641E-3</v>
      </c>
      <c r="BZ350" s="637">
        <v>9.5371950607368739E-3</v>
      </c>
      <c r="CA350" s="637">
        <v>8.7842586085734361E-3</v>
      </c>
      <c r="CB350" s="637">
        <v>9.5368425281153798E-3</v>
      </c>
      <c r="CC350" s="637">
        <v>1.0536869212826013E-2</v>
      </c>
      <c r="CD350" s="638">
        <v>1.0036855870470698E-2</v>
      </c>
      <c r="CE350" s="638">
        <v>1.0541110330288124E-2</v>
      </c>
      <c r="CF350" s="638">
        <v>1.2046983234614998E-2</v>
      </c>
      <c r="CG350" s="638">
        <v>1.129404678245156E-2</v>
      </c>
      <c r="CH350" s="638">
        <v>1.2046983234614998E-2</v>
      </c>
      <c r="CI350" s="638">
        <v>1.2551897153166385E-2</v>
      </c>
      <c r="CJ350" s="638">
        <v>1.2299440193890692E-2</v>
      </c>
      <c r="CK350" s="638">
        <v>1.2548940869390623E-2</v>
      </c>
      <c r="CL350" s="638">
        <v>1.2800764848725596E-2</v>
      </c>
      <c r="CM350" s="638">
        <v>1.267485285905811E-2</v>
      </c>
      <c r="CN350" s="638">
        <v>1.2749172138754108E-2</v>
      </c>
      <c r="CO350" s="638">
        <v>1.2781382923003624E-2</v>
      </c>
      <c r="CP350" s="638">
        <v>1.2765277530878865E-2</v>
      </c>
      <c r="CQ350" s="638">
        <v>9.0352374259612452E-3</v>
      </c>
      <c r="CR350" s="638">
        <v>1.0041602382879662E-2</v>
      </c>
      <c r="CS350" s="638">
        <v>9.5384199044204546E-3</v>
      </c>
      <c r="CT350" s="638">
        <v>1.098876202427934E-2</v>
      </c>
      <c r="CU350" s="638">
        <v>1.2077854249526407E-2</v>
      </c>
      <c r="CV350" s="638">
        <v>1.1533308136902874E-2</v>
      </c>
      <c r="CW350" s="638">
        <v>1.3627539974942334E-2</v>
      </c>
      <c r="CX350" s="638">
        <v>1.3744997784221429E-2</v>
      </c>
      <c r="CY350" s="638">
        <v>1.3686268879581881E-2</v>
      </c>
      <c r="CZ350" s="638">
        <v>1.4054813773717497E-2</v>
      </c>
      <c r="DA350" s="638">
        <v>1.606264431282E-2</v>
      </c>
      <c r="DB350" s="638">
        <v>1.5058729043268748E-2</v>
      </c>
      <c r="DC350" s="638">
        <v>1.5496779639982899E-2</v>
      </c>
      <c r="DD350" s="638">
        <v>1.762899707222013E-2</v>
      </c>
      <c r="DE350" s="638">
        <v>1.6562888356101514E-2</v>
      </c>
      <c r="DF350" s="638">
        <v>1.6075049219627994E-2</v>
      </c>
      <c r="DG350" s="638">
        <v>0</v>
      </c>
      <c r="DH350" s="1289">
        <v>8.0375246098139969E-3</v>
      </c>
      <c r="DI350" s="1498">
        <v>1.1576930093389766E-2</v>
      </c>
      <c r="DJ350" s="1498">
        <v>1.4497277838166301E-2</v>
      </c>
      <c r="DK350" s="1289">
        <v>1.3037103965778033E-2</v>
      </c>
      <c r="DL350" s="1498">
        <v>1.4829067859631895E-2</v>
      </c>
      <c r="DM350" s="1498">
        <v>1.7124103288578496E-2</v>
      </c>
      <c r="DN350" s="1289">
        <v>1.5976585574105195E-2</v>
      </c>
      <c r="DO350" s="1498">
        <v>1.6893812411231678E-2</v>
      </c>
      <c r="DP350" s="1498">
        <v>1.9161993803353577E-2</v>
      </c>
      <c r="DQ350" s="1289">
        <v>1.8027903107292624E-2</v>
      </c>
      <c r="DR350" s="1498">
        <v>2.1324204666137467E-2</v>
      </c>
      <c r="DS350" s="1498">
        <v>2.2089211653896879E-2</v>
      </c>
      <c r="DT350" s="1289">
        <v>2.1706708160017171E-2</v>
      </c>
      <c r="DU350" s="1498">
        <v>2.2884225731167537E-2</v>
      </c>
      <c r="DV350" s="1498">
        <v>2.1832220787889121E-2</v>
      </c>
      <c r="DW350" s="1289">
        <v>2.2358223259528329E-2</v>
      </c>
      <c r="DX350" s="1498">
        <v>2.1126737090057163E-2</v>
      </c>
      <c r="DY350" s="1498">
        <v>2.3640095437218886E-2</v>
      </c>
      <c r="DZ350" s="1289">
        <v>2.2383416263638028E-2</v>
      </c>
      <c r="EA350" s="1498">
        <v>2.5528095688072436E-2</v>
      </c>
      <c r="EB350" s="1498">
        <v>2.6405114183947649E-2</v>
      </c>
      <c r="EC350" s="1289">
        <v>2.5966604936010045E-2</v>
      </c>
      <c r="ED350" s="1498">
        <v>2.8582251375006532E-2</v>
      </c>
      <c r="EE350" s="1498">
        <v>2.9578736037241139E-2</v>
      </c>
      <c r="EF350" s="1289">
        <v>2.9080493706123835E-2</v>
      </c>
      <c r="EG350" s="1498">
        <v>3.1962754100441082E-2</v>
      </c>
      <c r="EH350" s="1498">
        <v>3.2962545207698257E-2</v>
      </c>
      <c r="EI350" s="1289">
        <v>3.2462649654069663E-2</v>
      </c>
      <c r="EJ350" s="1498">
        <v>3.5247275466358439E-2</v>
      </c>
      <c r="EK350" s="1498">
        <v>3.6348517523530528E-2</v>
      </c>
      <c r="EL350" s="1289">
        <v>3.5797896494944491E-2</v>
      </c>
      <c r="EM350" s="1498">
        <v>3.8694688685951766E-2</v>
      </c>
      <c r="EN350" s="1498">
        <v>3.9900043339383455E-2</v>
      </c>
      <c r="EO350" s="1289">
        <v>3.929736601266761E-2</v>
      </c>
      <c r="EP350" s="1498">
        <v>4.2364091037985066E-2</v>
      </c>
      <c r="EQ350" s="1498">
        <v>4.3677927610225632E-2</v>
      </c>
      <c r="ER350" s="1289">
        <v>4.3021009324105353E-2</v>
      </c>
      <c r="ES350" s="1498">
        <v>4.6370414366562522E-2</v>
      </c>
      <c r="ET350" s="1498">
        <v>4.7802496230304733E-2</v>
      </c>
      <c r="EU350" s="1289">
        <v>4.7086455298433631E-2</v>
      </c>
      <c r="EV350" s="1498">
        <v>5.0744745863183498E-2</v>
      </c>
      <c r="EW350" s="1498">
        <v>5.2305715094662524E-2</v>
      </c>
      <c r="EX350" s="1289">
        <v>5.1525230478923004E-2</v>
      </c>
      <c r="EY350" s="1498">
        <v>5.5521152382149649E-2</v>
      </c>
      <c r="EZ350" s="1498">
        <v>5.7222608844461786E-2</v>
      </c>
      <c r="FA350" s="1289">
        <v>5.6371880613305711E-2</v>
      </c>
      <c r="FE350"/>
      <c r="FF350"/>
      <c r="FG350"/>
      <c r="FH350"/>
      <c r="FI350"/>
      <c r="FJ350"/>
      <c r="FK350" s="35"/>
    </row>
    <row r="351" spans="1:167" s="450" customFormat="1" ht="13.35" customHeight="1" thickBot="1">
      <c r="B351" s="242" t="s">
        <v>609</v>
      </c>
      <c r="C351" s="242" t="s">
        <v>460</v>
      </c>
      <c r="D351" s="243"/>
      <c r="E351" s="440"/>
      <c r="F351" s="440"/>
      <c r="G351" s="440"/>
      <c r="H351" s="440"/>
      <c r="I351" s="440"/>
      <c r="J351" s="440"/>
      <c r="K351" s="440"/>
      <c r="L351" s="440"/>
      <c r="M351" s="440"/>
      <c r="N351" s="440"/>
      <c r="O351" s="440"/>
      <c r="P351" s="440"/>
      <c r="Q351" s="440"/>
      <c r="R351" s="440"/>
      <c r="S351" s="440"/>
      <c r="T351" s="440"/>
      <c r="U351" s="440"/>
      <c r="V351" s="440"/>
      <c r="W351" s="440"/>
      <c r="X351" s="440"/>
      <c r="Y351" s="440"/>
      <c r="Z351" s="440"/>
      <c r="AA351" s="440"/>
      <c r="AB351" s="440"/>
      <c r="AC351" s="440"/>
      <c r="AD351" s="440"/>
      <c r="AE351" s="440"/>
      <c r="AF351" s="440"/>
      <c r="AG351" s="440"/>
      <c r="AH351" s="440"/>
      <c r="AI351" s="440"/>
      <c r="AJ351" s="440"/>
      <c r="AK351" s="440"/>
      <c r="AL351" s="440"/>
      <c r="AM351" s="440"/>
      <c r="AN351" s="440"/>
      <c r="AO351" s="440"/>
      <c r="AP351" s="440"/>
      <c r="AQ351" s="440"/>
      <c r="AR351" s="440"/>
      <c r="AS351" s="440"/>
      <c r="AT351" s="440"/>
      <c r="AU351" s="440"/>
      <c r="AV351" s="440"/>
      <c r="AW351" s="440"/>
      <c r="AX351" s="440"/>
      <c r="AY351" s="440"/>
      <c r="AZ351" s="440"/>
      <c r="BA351" s="440"/>
      <c r="BB351" s="440"/>
      <c r="BC351" s="440"/>
      <c r="BD351" s="440"/>
      <c r="BE351" s="440"/>
      <c r="BF351" s="440"/>
      <c r="BG351" s="440"/>
      <c r="BH351" s="440"/>
      <c r="BI351" s="440"/>
      <c r="BJ351" s="635">
        <f>+(BJ348/100)*BJ385</f>
        <v>18.956591499999998</v>
      </c>
      <c r="BK351" s="440"/>
      <c r="BL351" s="440"/>
      <c r="BM351" s="440"/>
      <c r="BN351" s="440"/>
      <c r="BO351" s="440"/>
      <c r="BP351" s="440"/>
      <c r="BQ351" s="440"/>
      <c r="BR351" s="440"/>
      <c r="BS351" s="440"/>
      <c r="BT351" s="440"/>
      <c r="BU351" s="440"/>
      <c r="BV351" s="440"/>
      <c r="BW351" s="440"/>
      <c r="BX351" s="440"/>
      <c r="BY351" s="440"/>
      <c r="BZ351" s="440"/>
      <c r="CA351" s="440"/>
      <c r="CB351" s="440"/>
      <c r="CC351" s="440"/>
      <c r="CD351" s="440"/>
      <c r="CE351" s="440"/>
      <c r="CF351" s="440"/>
      <c r="CG351" s="440"/>
      <c r="CH351" s="440"/>
      <c r="CI351" s="440"/>
      <c r="CJ351" s="440"/>
      <c r="CK351" s="440"/>
      <c r="CL351" s="440"/>
      <c r="CM351" s="440"/>
      <c r="CN351" s="440"/>
      <c r="CO351" s="440"/>
      <c r="CP351" s="440"/>
      <c r="CQ351" s="440"/>
      <c r="CR351" s="440"/>
      <c r="CS351" s="440"/>
      <c r="CT351" s="440"/>
      <c r="CU351" s="440"/>
      <c r="CV351" s="440"/>
      <c r="CW351" s="440"/>
      <c r="CX351" s="440"/>
      <c r="CY351" s="440"/>
      <c r="CZ351" s="440"/>
      <c r="DA351" s="440"/>
      <c r="DB351" s="440"/>
      <c r="DC351" s="440"/>
      <c r="DD351" s="440"/>
      <c r="DE351" s="440"/>
      <c r="DF351" s="440"/>
      <c r="DG351" s="440"/>
      <c r="DH351" s="1290"/>
      <c r="DI351" s="440"/>
      <c r="DJ351" s="440"/>
      <c r="DK351" s="1290"/>
      <c r="DL351" s="440"/>
      <c r="DM351" s="440"/>
      <c r="DN351" s="1290"/>
      <c r="DO351" s="440"/>
      <c r="DP351" s="440"/>
      <c r="DQ351" s="1290"/>
      <c r="DR351" s="440"/>
      <c r="DS351" s="440"/>
      <c r="DT351" s="1290"/>
      <c r="DU351" s="440"/>
      <c r="DV351" s="440"/>
      <c r="DW351" s="1290"/>
      <c r="DX351" s="440"/>
      <c r="DY351" s="440"/>
      <c r="DZ351" s="1290"/>
      <c r="EA351" s="440"/>
      <c r="EB351" s="440"/>
      <c r="EC351" s="1290"/>
      <c r="ED351" s="440"/>
      <c r="EE351" s="440"/>
      <c r="EF351" s="1290"/>
      <c r="EG351" s="440"/>
      <c r="EH351" s="440"/>
      <c r="EI351" s="1290"/>
      <c r="EJ351" s="440"/>
      <c r="EK351" s="440"/>
      <c r="EL351" s="1290"/>
      <c r="EM351" s="440"/>
      <c r="EN351" s="440"/>
      <c r="EO351" s="1290"/>
      <c r="EP351" s="440"/>
      <c r="EQ351" s="440"/>
      <c r="ER351" s="1290"/>
      <c r="ES351" s="440"/>
      <c r="ET351" s="440"/>
      <c r="EU351" s="1290"/>
      <c r="EV351" s="440"/>
      <c r="EW351" s="440"/>
      <c r="EX351" s="1290"/>
      <c r="EY351" s="440"/>
      <c r="EZ351" s="440"/>
      <c r="FA351" s="1290"/>
      <c r="FE351"/>
      <c r="FF351"/>
      <c r="FG351"/>
      <c r="FH351"/>
      <c r="FI351"/>
      <c r="FJ351"/>
      <c r="FK351" s="35"/>
    </row>
    <row r="352" spans="1:167" s="236" customFormat="1" ht="13.35" customHeight="1" thickBot="1">
      <c r="B352" s="242" t="s">
        <v>619</v>
      </c>
      <c r="C352" s="242" t="s">
        <v>460</v>
      </c>
      <c r="D352" s="243"/>
      <c r="E352" s="639">
        <v>0</v>
      </c>
      <c r="F352" s="640">
        <v>0</v>
      </c>
      <c r="G352" s="641"/>
      <c r="H352" s="639">
        <v>0</v>
      </c>
      <c r="I352" s="640">
        <v>0</v>
      </c>
      <c r="J352" s="641"/>
      <c r="K352" s="639">
        <v>0</v>
      </c>
      <c r="L352" s="640">
        <v>0</v>
      </c>
      <c r="M352" s="641"/>
      <c r="N352" s="639">
        <v>0</v>
      </c>
      <c r="O352" s="640">
        <v>0</v>
      </c>
      <c r="P352" s="641"/>
      <c r="Q352" s="639">
        <v>0</v>
      </c>
      <c r="R352" s="640">
        <v>0</v>
      </c>
      <c r="S352" s="641"/>
      <c r="T352" s="639">
        <v>0</v>
      </c>
      <c r="U352" s="640">
        <v>0</v>
      </c>
      <c r="V352" s="641"/>
      <c r="W352" s="639">
        <v>0</v>
      </c>
      <c r="X352" s="640">
        <v>0</v>
      </c>
      <c r="Y352" s="641"/>
      <c r="Z352" s="639">
        <v>0</v>
      </c>
      <c r="AA352" s="640">
        <v>0</v>
      </c>
      <c r="AB352" s="641"/>
      <c r="AC352" s="639">
        <v>0</v>
      </c>
      <c r="AD352" s="640">
        <v>0</v>
      </c>
      <c r="AE352" s="641"/>
      <c r="AF352" s="639">
        <v>0</v>
      </c>
      <c r="AG352" s="640">
        <v>0</v>
      </c>
      <c r="AH352" s="641"/>
      <c r="AI352" s="639">
        <v>0</v>
      </c>
      <c r="AJ352" s="640">
        <v>0</v>
      </c>
      <c r="AK352" s="641"/>
      <c r="AL352" s="639">
        <v>0.39</v>
      </c>
      <c r="AM352" s="640">
        <v>0.39</v>
      </c>
      <c r="AN352" s="641">
        <f>+((((AL348)/(AL348+AM348))*AL352)+(((AM348)/(AL348+AM348))*AM352))</f>
        <v>0.39</v>
      </c>
      <c r="AO352" s="639">
        <v>1</v>
      </c>
      <c r="AP352" s="640">
        <v>0.38</v>
      </c>
      <c r="AQ352" s="641">
        <f>+((((AO348)/(AO348+AP348))*AO352)+(((AP348)/(AO348+AP348))*AP352))</f>
        <v>0.628</v>
      </c>
      <c r="AR352" s="639">
        <v>1</v>
      </c>
      <c r="AS352" s="640">
        <v>1</v>
      </c>
      <c r="AT352" s="641">
        <f>+((((AR348)/(AR348+AS348))*AR352)+(((AS348)/(AR348+AS348))*AS352))</f>
        <v>1</v>
      </c>
      <c r="AU352" s="639">
        <v>1</v>
      </c>
      <c r="AV352" s="640">
        <v>1</v>
      </c>
      <c r="AW352" s="641">
        <f>+((((AU348)/(AU348+AV348))*AU352)+(((AV348)/(AU348+AV348))*AV352))</f>
        <v>1</v>
      </c>
      <c r="AX352" s="639">
        <v>1</v>
      </c>
      <c r="AY352" s="640">
        <v>1</v>
      </c>
      <c r="AZ352" s="641">
        <f>+((((AX348)/(AX348+AY348))*AX352)+(((AY348)/(AX348+AY348))*AY352))</f>
        <v>1</v>
      </c>
      <c r="BA352" s="639">
        <v>1</v>
      </c>
      <c r="BB352" s="640">
        <v>1</v>
      </c>
      <c r="BC352" s="641">
        <f>+((((BA348)/(BA348+BB348))*BA352)+(((BB348)/(BA348+BB348))*BB352))</f>
        <v>1</v>
      </c>
      <c r="BD352" s="642">
        <f>IF(Assumptions!BD226&lt;&gt;"",Assumptions!BD226,0)</f>
        <v>1</v>
      </c>
      <c r="BE352" s="643">
        <f>IF(Assumptions!BE226&lt;&gt;"",Assumptions!BE226,0)</f>
        <v>1</v>
      </c>
      <c r="BF352" s="641">
        <f>+((((BD348)/(BD348+BE348))*BD352)+(((BE348)/(BD348+BE348))*BE352))</f>
        <v>1</v>
      </c>
      <c r="BG352" s="642">
        <f>IF(Assumptions!BG226&lt;&gt;"",Assumptions!BG226,0)</f>
        <v>1</v>
      </c>
      <c r="BH352" s="643">
        <f>IF(Assumptions!BH226&lt;&gt;"",Assumptions!BH226,0)</f>
        <v>1</v>
      </c>
      <c r="BI352" s="641">
        <f>+((((BG348)/(BG348+BH348))*BG352)+(((BH348)/(BG348+BH348))*BH352))</f>
        <v>1</v>
      </c>
      <c r="BJ352" s="642">
        <f>IF(Assumptions!BJ226&lt;&gt;"",Assumptions!BJ226,0)</f>
        <v>1</v>
      </c>
      <c r="BK352" s="643">
        <f>IF(Assumptions!BK226&lt;&gt;"",Assumptions!BK226,0)</f>
        <v>1</v>
      </c>
      <c r="BL352" s="641">
        <f>+((((BJ348)/(BJ348+BK348))*BJ352)+(((BK348)/(BJ348+BK348))*BK352))</f>
        <v>1</v>
      </c>
      <c r="BM352" s="642">
        <f>IF(Assumptions!BM226&lt;&gt;"",Assumptions!BM226,0)</f>
        <v>1</v>
      </c>
      <c r="BN352" s="643">
        <f>IF(Assumptions!BN226&lt;&gt;"",Assumptions!BN226,0)</f>
        <v>1</v>
      </c>
      <c r="BO352" s="641">
        <f>+((((BM348)/(BM348+BN348))*BM352)+(((BN348)/(BM348+BN348))*BN352))</f>
        <v>1</v>
      </c>
      <c r="BP352" s="642">
        <f>IF(Assumptions!BP226&lt;&gt;"",Assumptions!BP226,0)</f>
        <v>1</v>
      </c>
      <c r="BQ352" s="643">
        <f>IF(Assumptions!BQ226&lt;&gt;"",Assumptions!BQ226,0)</f>
        <v>1</v>
      </c>
      <c r="BR352" s="641">
        <f>+((((BP348)/(BP348+BQ348))*BP352)+(((BQ348)/(BP348+BQ348))*BQ352))</f>
        <v>1</v>
      </c>
      <c r="BS352" s="642">
        <f>IF(Assumptions!BS226&lt;&gt;"",Assumptions!BS226,0)</f>
        <v>1</v>
      </c>
      <c r="BT352" s="643">
        <f>IF(Assumptions!BT226&lt;&gt;"",Assumptions!BT226,0)</f>
        <v>1</v>
      </c>
      <c r="BU352" s="641">
        <f>+((((BS348)/(BS348+BT348))*BS352)+(((BT348)/(BS348+BT348))*BT352))</f>
        <v>1</v>
      </c>
      <c r="BV352" s="642">
        <f>IF(Assumptions!BV226&lt;&gt;"",Assumptions!BV226,0)</f>
        <v>1</v>
      </c>
      <c r="BW352" s="643">
        <f>IF(Assumptions!BW226&lt;&gt;"",Assumptions!BW226,0)</f>
        <v>1</v>
      </c>
      <c r="BX352" s="641">
        <f>+((((BV348)/(BV348+BW348))*BV352)+(((BW348)/(BV348+BW348))*BW352))</f>
        <v>1</v>
      </c>
      <c r="BY352" s="642">
        <f>IF(Assumptions!BY226&lt;&gt;"",Assumptions!BY226,0)</f>
        <v>1</v>
      </c>
      <c r="BZ352" s="643">
        <f>IF(Assumptions!BZ226&lt;&gt;"",Assumptions!BZ226,0)</f>
        <v>1</v>
      </c>
      <c r="CA352" s="641">
        <f>+((((BY348)/(BY348+BZ348))*BY352)+(((BZ348)/(BY348+BZ348))*BZ352))</f>
        <v>1</v>
      </c>
      <c r="CB352" s="642">
        <f>IF(Assumptions!CB226&lt;&gt;"",Assumptions!CB226,0)</f>
        <v>1</v>
      </c>
      <c r="CC352" s="643">
        <f>IF(Assumptions!CC226&lt;&gt;"",Assumptions!CC226,0)</f>
        <v>1</v>
      </c>
      <c r="CD352" s="641">
        <f>+((((CB348)/(CB348+CC348))*CB352)+(((CC348)/(CB348+CC348))*CC352))</f>
        <v>1</v>
      </c>
      <c r="CE352" s="639">
        <v>0.6</v>
      </c>
      <c r="CF352" s="640">
        <v>0.7</v>
      </c>
      <c r="CG352" s="641">
        <f>+((((CE348)/(CE348+CF348))*CE352)+(((CF348)/(CE348+CF348))*CF352))</f>
        <v>0.65333333333333332</v>
      </c>
      <c r="CH352" s="639">
        <v>0.6</v>
      </c>
      <c r="CI352" s="640">
        <v>0.35</v>
      </c>
      <c r="CJ352" s="641">
        <f>+((((CH348)/(CH348+CI348))*CH352)+(((CI348)/(CH348+CI348))*CI352))</f>
        <v>0.47243426372160113</v>
      </c>
      <c r="CK352" s="639">
        <v>0.4</v>
      </c>
      <c r="CL352" s="640">
        <v>0.3</v>
      </c>
      <c r="CM352" s="641">
        <f>+((((CK348)/(CK348+CL348))*CK352)+(((CL348)/(CK348+CL348))*CL352))</f>
        <v>0.34950329999461294</v>
      </c>
      <c r="CN352" s="639">
        <v>0</v>
      </c>
      <c r="CO352" s="643">
        <f>PL_Frank_H2_12</f>
        <v>0.35</v>
      </c>
      <c r="CP352" s="641">
        <f>+((((CN348)/(CN348+CO348))*CN352)+(((CO348)/(CN348+CO348))*CO352))</f>
        <v>0.17522078984299519</v>
      </c>
      <c r="CQ352" s="639">
        <v>0.69</v>
      </c>
      <c r="CR352" s="643">
        <f>+PL_Frank_H1_15</f>
        <v>0.69</v>
      </c>
      <c r="CS352" s="641">
        <f>+((((CQ348)/(CQ348+CR348))*CQ352)+(((CR348)/(CQ348+CR348))*CR352))</f>
        <v>0.69</v>
      </c>
      <c r="CT352" s="639">
        <v>1</v>
      </c>
      <c r="CU352" s="643">
        <f>+PL_Frank_H1_16</f>
        <v>1</v>
      </c>
      <c r="CV352" s="641">
        <f>+((((CT348)/(CT348+CU348))*CT352)+(((CU348)/(CT348+CU348))*CU352))</f>
        <v>1</v>
      </c>
      <c r="CW352" s="642">
        <f>+PL_Frank_H1_16</f>
        <v>1</v>
      </c>
      <c r="CX352" s="642">
        <f>+PL_Frank_H1_16</f>
        <v>1</v>
      </c>
      <c r="CY352" s="641">
        <f>+((((CW348)/(CW348+CX348))*CW352)+(((CX348)/(CW348+CX348))*CX352))</f>
        <v>1</v>
      </c>
      <c r="CZ352" s="642">
        <f>+PL_Frank_H1_16</f>
        <v>1</v>
      </c>
      <c r="DA352" s="642">
        <f>+PL_Frank_H1_16</f>
        <v>1</v>
      </c>
      <c r="DB352" s="641">
        <f>+((((CZ348)/(CZ348+DA348))*CZ352)+(((DA348)/(CZ348+DA348))*DA352))</f>
        <v>1</v>
      </c>
      <c r="DC352" s="642">
        <f>+PL_Frank_H1_16</f>
        <v>1</v>
      </c>
      <c r="DD352" s="642">
        <f>+PL_Frank_H1_16</f>
        <v>1</v>
      </c>
      <c r="DE352" s="641">
        <f>+((((DC348)/(DC348+DD348))*DC352)+(((DD348)/(DC348+DD348))*DD352))</f>
        <v>1</v>
      </c>
      <c r="DF352" s="642">
        <f>+PL_Frank_H1_16</f>
        <v>1</v>
      </c>
      <c r="DG352" s="642">
        <f>+PL_Frank_H1_16</f>
        <v>1</v>
      </c>
      <c r="DH352" s="1291">
        <f>+((((DF348)/(DF348+DG348))*DF352)+(((DG348)/(DF348+DG348))*DG352))</f>
        <v>1</v>
      </c>
      <c r="DI352" s="1501">
        <f>+PL_Frank_H1_16</f>
        <v>1</v>
      </c>
      <c r="DJ352" s="1501">
        <f>+PL_Frank_H1_16</f>
        <v>1</v>
      </c>
      <c r="DK352" s="1291">
        <f>+((((DI348)/(DI348+DJ348))*DI352)+(((DJ348)/(DI348+DJ348))*DJ352))</f>
        <v>1</v>
      </c>
      <c r="DL352" s="1501">
        <v>0</v>
      </c>
      <c r="DM352" s="1501">
        <f>+PL_Frank_H1_16</f>
        <v>1</v>
      </c>
      <c r="DN352" s="1291">
        <f>+((((DL348)/(DL348+DM348))*DL352)+(((DM348)/(DL348+DM348))*DM352))</f>
        <v>0.53591248296298033</v>
      </c>
      <c r="DO352" s="1501">
        <f>+PL_Frank_H1_16</f>
        <v>1</v>
      </c>
      <c r="DP352" s="1501">
        <f>+PL_Frank_H1_16</f>
        <v>1</v>
      </c>
      <c r="DQ352" s="1291">
        <f>+((((DO348)/(DO348+DP348))*DO352)+(((DP348)/(DO348+DP348))*DP352))</f>
        <v>1</v>
      </c>
      <c r="DR352" s="1501">
        <f>+PL_Frank_H1_16</f>
        <v>1</v>
      </c>
      <c r="DS352" s="1501">
        <f>+PL_Frank_H1_16</f>
        <v>1</v>
      </c>
      <c r="DT352" s="1291">
        <f>+((((DR348)/(DR348+DS348))*DR352)+(((DS348)/(DR348+DS348))*DS352))</f>
        <v>1</v>
      </c>
      <c r="DU352" s="1501">
        <f>+PL_Frank_H1_16</f>
        <v>1</v>
      </c>
      <c r="DV352" s="1501">
        <f>+PL_Frank_H1_16</f>
        <v>1</v>
      </c>
      <c r="DW352" s="1291">
        <f>+((((DU348)/(DU348+DV348))*DU352)+(((DV348)/(DU348+DV348))*DV352))</f>
        <v>1</v>
      </c>
      <c r="DX352" s="1501">
        <f>+PL_Frank_H1_16</f>
        <v>1</v>
      </c>
      <c r="DY352" s="1501">
        <f>+PL_Frank_H1_16</f>
        <v>1</v>
      </c>
      <c r="DZ352" s="1291">
        <f>+((((DX348)/(DX348+DY348))*DX352)+(((DY348)/(DX348+DY348))*DY352))</f>
        <v>1</v>
      </c>
      <c r="EA352" s="1501">
        <f>+PL_Frank_H1_16</f>
        <v>1</v>
      </c>
      <c r="EB352" s="1501">
        <f>+PL_Frank_H1_16</f>
        <v>1</v>
      </c>
      <c r="EC352" s="1291">
        <f>+((((EA348)/(EA348+EB348))*EA352)+(((EB348)/(EA348+EB348))*EB352))</f>
        <v>1</v>
      </c>
      <c r="ED352" s="1501">
        <f>+PL_Frank_H1_16</f>
        <v>1</v>
      </c>
      <c r="EE352" s="1501">
        <f>+PL_Frank_H1_16</f>
        <v>1</v>
      </c>
      <c r="EF352" s="1291">
        <f>+((((ED348)/(ED348+EE348))*ED352)+(((EE348)/(ED348+EE348))*EE352))</f>
        <v>1</v>
      </c>
      <c r="EG352" s="1501">
        <f>+PL_Frank_H1_16</f>
        <v>1</v>
      </c>
      <c r="EH352" s="1501">
        <f>+PL_Frank_H1_16</f>
        <v>1</v>
      </c>
      <c r="EI352" s="1291">
        <f>+((((EG348)/(EG348+EH348))*EG352)+(((EH348)/(EG348+EH348))*EH352))</f>
        <v>1</v>
      </c>
      <c r="EJ352" s="1501">
        <f>+PL_Frank_H1_16</f>
        <v>1</v>
      </c>
      <c r="EK352" s="1501">
        <f>+PL_Frank_H1_16</f>
        <v>1</v>
      </c>
      <c r="EL352" s="1291">
        <f>+((((EJ348)/(EJ348+EK348))*EJ352)+(((EK348)/(EJ348+EK348))*EK352))</f>
        <v>0.99999999999999989</v>
      </c>
      <c r="EM352" s="1501">
        <f>+PL_Frank_H1_16</f>
        <v>1</v>
      </c>
      <c r="EN352" s="1501">
        <f>+PL_Frank_H1_16</f>
        <v>1</v>
      </c>
      <c r="EO352" s="1291">
        <f>+((((EM348)/(EM348+EN348))*EM352)+(((EN348)/(EM348+EN348))*EN352))</f>
        <v>1</v>
      </c>
      <c r="EP352" s="1501">
        <f>+PL_Frank_H1_16</f>
        <v>1</v>
      </c>
      <c r="EQ352" s="1501">
        <f>+PL_Frank_H1_16</f>
        <v>1</v>
      </c>
      <c r="ER352" s="1291">
        <f>+((((EP348)/(EP348+EQ348))*EP352)+(((EQ348)/(EP348+EQ348))*EQ352))</f>
        <v>1</v>
      </c>
      <c r="ES352" s="1501">
        <f>+PL_Frank_H1_16</f>
        <v>1</v>
      </c>
      <c r="ET352" s="1501">
        <f>+PL_Frank_H1_16</f>
        <v>1</v>
      </c>
      <c r="EU352" s="1291">
        <f>+((((ES348)/(ES348+ET348))*ES352)+(((ET348)/(ES348+ET348))*ET352))</f>
        <v>1</v>
      </c>
      <c r="EV352" s="1501">
        <f>+PL_Frank_H1_16</f>
        <v>1</v>
      </c>
      <c r="EW352" s="1501">
        <f>+PL_Frank_H1_16</f>
        <v>1</v>
      </c>
      <c r="EX352" s="1291">
        <f>+((((EV348)/(EV348+EW348))*EV352)+(((EW348)/(EV348+EW348))*EW352))</f>
        <v>1</v>
      </c>
      <c r="EY352" s="1501">
        <f>+PL_Frank_H1_16</f>
        <v>1</v>
      </c>
      <c r="EZ352" s="1501">
        <f>+PL_Frank_H1_16</f>
        <v>1</v>
      </c>
      <c r="FA352" s="1291">
        <f>+((((EY348)/(EY348+EZ348))*EY352)+(((EZ348)/(EY348+EZ348))*EZ352))</f>
        <v>1</v>
      </c>
      <c r="FE352"/>
      <c r="FF352"/>
      <c r="FG352"/>
      <c r="FH352"/>
      <c r="FI352"/>
      <c r="FJ352"/>
      <c r="FK352" s="35"/>
    </row>
    <row r="353" spans="2:167" s="450" customFormat="1" ht="13.35" customHeight="1" thickBot="1">
      <c r="B353" s="592" t="s">
        <v>96</v>
      </c>
      <c r="C353" s="488"/>
      <c r="E353" s="644"/>
      <c r="F353" s="644"/>
      <c r="G353" s="644"/>
      <c r="H353" s="644"/>
      <c r="I353" s="644"/>
      <c r="J353" s="644"/>
      <c r="K353" s="644"/>
      <c r="L353" s="644"/>
      <c r="M353" s="644"/>
      <c r="N353" s="644"/>
      <c r="O353" s="644"/>
      <c r="P353" s="644"/>
      <c r="Q353" s="644"/>
      <c r="R353" s="644"/>
      <c r="S353" s="644"/>
      <c r="T353" s="644"/>
      <c r="U353" s="644"/>
      <c r="V353" s="644"/>
      <c r="W353" s="644"/>
      <c r="X353" s="644"/>
      <c r="Y353" s="644"/>
      <c r="Z353" s="644"/>
      <c r="AA353" s="644"/>
      <c r="AB353" s="644"/>
      <c r="AC353" s="644"/>
      <c r="AD353" s="644"/>
      <c r="AE353" s="644"/>
      <c r="AF353" s="644"/>
      <c r="AG353" s="644"/>
      <c r="AH353" s="644"/>
      <c r="AI353" s="644"/>
      <c r="AJ353" s="644"/>
      <c r="AK353" s="644"/>
      <c r="AL353" s="644"/>
      <c r="AM353" s="644"/>
      <c r="AN353" s="644"/>
      <c r="AO353" s="644"/>
      <c r="AP353" s="644"/>
      <c r="AQ353" s="644"/>
      <c r="AR353" s="644"/>
      <c r="AS353" s="644"/>
      <c r="AT353" s="644"/>
      <c r="AU353" s="644"/>
      <c r="AV353" s="644"/>
      <c r="AW353" s="644"/>
      <c r="AX353" s="644"/>
      <c r="AY353" s="644"/>
      <c r="AZ353" s="644"/>
      <c r="BA353" s="644"/>
      <c r="BB353" s="644"/>
      <c r="BC353" s="644"/>
      <c r="BD353" s="644"/>
      <c r="BE353" s="644"/>
      <c r="BF353" s="644"/>
      <c r="BG353" s="644"/>
      <c r="BH353" s="644"/>
      <c r="BI353" s="644"/>
      <c r="BJ353" s="644"/>
      <c r="BK353" s="644"/>
      <c r="BL353" s="644"/>
      <c r="BM353" s="644"/>
      <c r="BN353" s="644"/>
      <c r="BO353" s="644"/>
      <c r="BP353" s="644"/>
      <c r="BQ353" s="644"/>
      <c r="BR353" s="644"/>
      <c r="BS353" s="644"/>
      <c r="BT353" s="644"/>
      <c r="BU353" s="644"/>
      <c r="BV353" s="644"/>
      <c r="BW353" s="644"/>
      <c r="BX353" s="644"/>
      <c r="BY353" s="644"/>
      <c r="BZ353" s="644"/>
      <c r="CA353" s="644"/>
      <c r="CB353" s="644"/>
      <c r="CC353" s="644"/>
      <c r="CD353" s="644"/>
      <c r="CE353" s="644"/>
      <c r="CF353" s="644"/>
      <c r="CG353" s="644"/>
      <c r="CH353" s="644"/>
      <c r="CI353" s="644"/>
      <c r="CJ353" s="644"/>
      <c r="CK353" s="644"/>
      <c r="CL353" s="644"/>
      <c r="CM353" s="644"/>
      <c r="CN353" s="644"/>
      <c r="CO353" s="644"/>
      <c r="CP353" s="644"/>
      <c r="CQ353" s="644"/>
      <c r="CR353" s="644"/>
      <c r="CS353" s="644"/>
      <c r="CT353" s="644"/>
      <c r="CU353" s="644"/>
      <c r="CV353" s="644"/>
      <c r="CW353" s="644"/>
      <c r="CX353" s="644"/>
      <c r="CY353" s="644"/>
      <c r="CZ353" s="644"/>
      <c r="DA353" s="644"/>
      <c r="DB353" s="644"/>
      <c r="DC353" s="644"/>
      <c r="DD353" s="644"/>
      <c r="DE353" s="644"/>
      <c r="DF353" s="644"/>
      <c r="DG353" s="644"/>
      <c r="DH353" s="1292"/>
      <c r="DI353" s="441"/>
      <c r="DJ353" s="441"/>
      <c r="DK353" s="1292"/>
      <c r="DL353" s="441"/>
      <c r="DM353" s="441"/>
      <c r="DN353" s="1292"/>
      <c r="DO353" s="441"/>
      <c r="DP353" s="441"/>
      <c r="DQ353" s="1292"/>
      <c r="DR353" s="441"/>
      <c r="DS353" s="441"/>
      <c r="DT353" s="1292"/>
      <c r="DU353" s="441"/>
      <c r="DV353" s="441"/>
      <c r="DW353" s="1292"/>
      <c r="DX353" s="441"/>
      <c r="DY353" s="441"/>
      <c r="DZ353" s="1292"/>
      <c r="EA353" s="441"/>
      <c r="EB353" s="441"/>
      <c r="EC353" s="1292"/>
      <c r="ED353" s="441"/>
      <c r="EE353" s="441"/>
      <c r="EF353" s="1292"/>
      <c r="EG353" s="441"/>
      <c r="EH353" s="441"/>
      <c r="EI353" s="1292"/>
      <c r="EJ353" s="441"/>
      <c r="EK353" s="441"/>
      <c r="EL353" s="1292"/>
      <c r="EM353" s="441"/>
      <c r="EN353" s="441"/>
      <c r="EO353" s="1292"/>
      <c r="EP353" s="441"/>
      <c r="EQ353" s="441"/>
      <c r="ER353" s="1292"/>
      <c r="ES353" s="441"/>
      <c r="ET353" s="441"/>
      <c r="EU353" s="1292"/>
      <c r="EV353" s="441"/>
      <c r="EW353" s="441"/>
      <c r="EX353" s="1292"/>
      <c r="EY353" s="441"/>
      <c r="EZ353" s="441"/>
      <c r="FA353" s="1292"/>
      <c r="FE353"/>
      <c r="FF353"/>
      <c r="FG353"/>
      <c r="FH353"/>
      <c r="FI353"/>
      <c r="FJ353"/>
      <c r="FK353" s="35"/>
    </row>
    <row r="354" spans="2:167" s="236" customFormat="1" ht="13.35" customHeight="1" thickBot="1">
      <c r="B354" s="242" t="s">
        <v>30</v>
      </c>
      <c r="C354" s="242" t="s">
        <v>460</v>
      </c>
      <c r="D354" s="243"/>
      <c r="E354" s="645"/>
      <c r="F354" s="646"/>
      <c r="G354" s="647"/>
      <c r="H354" s="645"/>
      <c r="I354" s="646"/>
      <c r="J354" s="647"/>
      <c r="K354" s="645"/>
      <c r="L354" s="646"/>
      <c r="M354" s="647"/>
      <c r="N354" s="645"/>
      <c r="O354" s="646"/>
      <c r="P354" s="647"/>
      <c r="Q354" s="645"/>
      <c r="R354" s="646"/>
      <c r="S354" s="647"/>
      <c r="T354" s="645"/>
      <c r="U354" s="646"/>
      <c r="V354" s="647"/>
      <c r="W354" s="645"/>
      <c r="X354" s="646"/>
      <c r="Y354" s="647"/>
      <c r="Z354" s="645"/>
      <c r="AA354" s="646"/>
      <c r="AB354" s="647"/>
      <c r="AC354" s="645"/>
      <c r="AD354" s="646"/>
      <c r="AE354" s="647"/>
      <c r="AF354" s="645"/>
      <c r="AG354" s="646"/>
      <c r="AH354" s="647"/>
      <c r="AI354" s="645"/>
      <c r="AJ354" s="646"/>
      <c r="AK354" s="647"/>
      <c r="AL354" s="645"/>
      <c r="AM354" s="646"/>
      <c r="AN354" s="647"/>
      <c r="AO354" s="645"/>
      <c r="AP354" s="646"/>
      <c r="AQ354" s="647"/>
      <c r="AR354" s="645"/>
      <c r="AS354" s="646"/>
      <c r="AT354" s="647"/>
      <c r="AU354" s="645"/>
      <c r="AV354" s="646"/>
      <c r="AW354" s="647"/>
      <c r="AX354" s="645"/>
      <c r="AY354" s="646"/>
      <c r="AZ354" s="647"/>
      <c r="BA354" s="645"/>
      <c r="BB354" s="646"/>
      <c r="BC354" s="647"/>
      <c r="BD354" s="645">
        <f>IF(Assumptions!BD227&lt;&gt;"",Assumptions!BD227,0)</f>
        <v>0</v>
      </c>
      <c r="BE354" s="646">
        <f>IF(Assumptions!BE227&lt;&gt;"",Assumptions!BE227,0)</f>
        <v>0</v>
      </c>
      <c r="BF354" s="647"/>
      <c r="BG354" s="645">
        <f>IF(Assumptions!BG227&lt;&gt;"",Assumptions!BG227,0)</f>
        <v>0</v>
      </c>
      <c r="BH354" s="646">
        <f>IF(Assumptions!BH227&lt;&gt;"",Assumptions!BH227,0)</f>
        <v>0</v>
      </c>
      <c r="BI354" s="647"/>
      <c r="BJ354" s="645">
        <f>IF(Assumptions!BJ227&lt;&gt;"",Assumptions!BJ227,0)</f>
        <v>0</v>
      </c>
      <c r="BK354" s="646">
        <f>IF(Assumptions!BK227&lt;&gt;"",Assumptions!BK227,0)</f>
        <v>0</v>
      </c>
      <c r="BL354" s="647"/>
      <c r="BM354" s="645">
        <f>IF(Assumptions!BM227&lt;&gt;"",Assumptions!BM227,0)</f>
        <v>0</v>
      </c>
      <c r="BN354" s="646">
        <f>IF(Assumptions!BN227&lt;&gt;"",Assumptions!BN227,0)</f>
        <v>0</v>
      </c>
      <c r="BO354" s="647"/>
      <c r="BP354" s="645">
        <f>IF(Assumptions!BP227&lt;&gt;"",Assumptions!BP227,0)</f>
        <v>0</v>
      </c>
      <c r="BQ354" s="646">
        <f>IF(Assumptions!BQ227&lt;&gt;"",Assumptions!BQ227,0)</f>
        <v>0</v>
      </c>
      <c r="BR354" s="647"/>
      <c r="BS354" s="645">
        <f>IF(Assumptions!BS227&lt;&gt;"",Assumptions!BS227,0)</f>
        <v>0</v>
      </c>
      <c r="BT354" s="646">
        <f>IF(Assumptions!BT227&lt;&gt;"",Assumptions!BT227,0)</f>
        <v>0</v>
      </c>
      <c r="BU354" s="647"/>
      <c r="BV354" s="645">
        <f>IF(Assumptions!BV227&lt;&gt;"",Assumptions!BV227,0)</f>
        <v>0</v>
      </c>
      <c r="BW354" s="646">
        <f>IF(Assumptions!BW227&lt;&gt;"",Assumptions!BW227,0)</f>
        <v>0</v>
      </c>
      <c r="BX354" s="647"/>
      <c r="BY354" s="645">
        <f>IF(Assumptions!BY227&lt;&gt;"",Assumptions!BY227,0)</f>
        <v>0</v>
      </c>
      <c r="BZ354" s="646">
        <f>IF(Assumptions!BZ227&lt;&gt;"",Assumptions!BZ227,0)</f>
        <v>0</v>
      </c>
      <c r="CA354" s="647"/>
      <c r="CB354" s="645">
        <f>IF(Assumptions!CB227&lt;&gt;"",Assumptions!CB227,0)</f>
        <v>0</v>
      </c>
      <c r="CC354" s="646">
        <f>IF(Assumptions!CC227&lt;&gt;"",Assumptions!CC227,0)</f>
        <v>0</v>
      </c>
      <c r="CD354" s="647"/>
      <c r="CE354" s="645">
        <f>IF(Assumptions!CE227&lt;&gt;"",Assumptions!CE227,0)</f>
        <v>0</v>
      </c>
      <c r="CF354" s="646">
        <f>IF(Assumptions!CF227&lt;&gt;"",Assumptions!CF227,0)</f>
        <v>0</v>
      </c>
      <c r="CG354" s="647"/>
      <c r="CH354" s="645">
        <f>IF(Assumptions!CH227&lt;&gt;"",Assumptions!CH227,0)</f>
        <v>0</v>
      </c>
      <c r="CI354" s="646">
        <f>IF(Assumptions!CI227&lt;&gt;"",Assumptions!CI227,0)</f>
        <v>0</v>
      </c>
      <c r="CJ354" s="647"/>
      <c r="CK354" s="645">
        <f>IF(Assumptions!CK227&lt;&gt;"",Assumptions!CK227,0)</f>
        <v>0</v>
      </c>
      <c r="CL354" s="646">
        <f>IF(Assumptions!CL227&lt;&gt;"",Assumptions!CL227,0)</f>
        <v>0</v>
      </c>
      <c r="CM354" s="647"/>
      <c r="CN354" s="645">
        <f>IF(Assumptions!CN227&lt;&gt;"",Assumptions!CN227,0)</f>
        <v>0</v>
      </c>
      <c r="CO354" s="646">
        <f>IF(Assumptions!CO227&lt;&gt;"",Assumptions!CO227,0)</f>
        <v>0</v>
      </c>
      <c r="CP354" s="647"/>
      <c r="CQ354" s="645">
        <f>IF(Assumptions!CQ227&lt;&gt;"",Assumptions!CQ227,0)</f>
        <v>0</v>
      </c>
      <c r="CR354" s="646">
        <f>IF(Assumptions!CR227&lt;&gt;"",Assumptions!CR227,0)</f>
        <v>0</v>
      </c>
      <c r="CS354" s="647"/>
      <c r="CT354" s="645">
        <f>IF(Assumptions!CT227&lt;&gt;"",Assumptions!CT227,0)</f>
        <v>0</v>
      </c>
      <c r="CU354" s="646">
        <f>IF(Assumptions!CU227&lt;&gt;"",Assumptions!CU227,0)</f>
        <v>0</v>
      </c>
      <c r="CV354" s="647"/>
      <c r="CW354" s="645">
        <f>IF(Assumptions!CW227&lt;&gt;"",Assumptions!CW227,0)</f>
        <v>0</v>
      </c>
      <c r="CX354" s="646">
        <f>IF(Assumptions!CX227&lt;&gt;"",Assumptions!CX227,0)</f>
        <v>0</v>
      </c>
      <c r="CY354" s="647"/>
      <c r="CZ354" s="645">
        <f>IF(Assumptions!CZ227&lt;&gt;"",Assumptions!CZ227,0)</f>
        <v>0</v>
      </c>
      <c r="DA354" s="646">
        <f>IF(Assumptions!DA227&lt;&gt;"",Assumptions!DA227,0)</f>
        <v>0</v>
      </c>
      <c r="DB354" s="647"/>
      <c r="DC354" s="645">
        <f>IF(Assumptions!DC227&lt;&gt;"",Assumptions!DC227,0)</f>
        <v>0</v>
      </c>
      <c r="DD354" s="646">
        <f>IF(Assumptions!DD227&lt;&gt;"",Assumptions!DD227,0)</f>
        <v>0</v>
      </c>
      <c r="DE354" s="647"/>
      <c r="DF354" s="645">
        <f>IF(Assumptions!DF227&lt;&gt;"",Assumptions!DF227,0)</f>
        <v>0</v>
      </c>
      <c r="DG354" s="1234">
        <f>IF(Assumptions!DG227&lt;&gt;"",Assumptions!DG227,0)</f>
        <v>0</v>
      </c>
      <c r="DH354" s="1293"/>
      <c r="DI354" s="665">
        <f>IF(Assumptions!DI227&lt;&gt;"",Assumptions!DI227,0)</f>
        <v>0</v>
      </c>
      <c r="DJ354" s="665">
        <f>IF(Assumptions!DJ227&lt;&gt;"",Assumptions!DJ227,0)</f>
        <v>0</v>
      </c>
      <c r="DK354" s="1293"/>
      <c r="DL354" s="665">
        <f>IF(Assumptions!DL227&lt;&gt;"",Assumptions!DL227,0)</f>
        <v>0</v>
      </c>
      <c r="DM354" s="665">
        <f>IF(Assumptions!DM227&lt;&gt;"",Assumptions!DM227,0)</f>
        <v>0</v>
      </c>
      <c r="DN354" s="1293"/>
      <c r="DO354" s="665">
        <f>IF(Assumptions!DO227&lt;&gt;"",Assumptions!DO227,0)</f>
        <v>0</v>
      </c>
      <c r="DP354" s="665">
        <f>IF(Assumptions!DP227&lt;&gt;"",Assumptions!DP227,0)</f>
        <v>0</v>
      </c>
      <c r="DQ354" s="1293"/>
      <c r="DR354" s="665">
        <f>IF(Assumptions!DR227&lt;&gt;"",Assumptions!DR227,0)</f>
        <v>0</v>
      </c>
      <c r="DS354" s="665">
        <f>IF(Assumptions!DS227&lt;&gt;"",Assumptions!DS227,0)</f>
        <v>0</v>
      </c>
      <c r="DT354" s="1293"/>
      <c r="DU354" s="665">
        <f>IF(Assumptions!DU227&lt;&gt;"",Assumptions!DU227,0)</f>
        <v>0</v>
      </c>
      <c r="DV354" s="665">
        <f>IF(Assumptions!DV227&lt;&gt;"",Assumptions!DV227,0)</f>
        <v>0</v>
      </c>
      <c r="DW354" s="1293"/>
      <c r="DX354" s="665">
        <f>IF(Assumptions!DX227&lt;&gt;"",Assumptions!DX227,0)</f>
        <v>0</v>
      </c>
      <c r="DY354" s="665">
        <f>IF(Assumptions!DY227&lt;&gt;"",Assumptions!DY227,0)</f>
        <v>0</v>
      </c>
      <c r="DZ354" s="1293"/>
      <c r="EA354" s="665">
        <f>IF(Assumptions!EA227&lt;&gt;"",Assumptions!EA227,0)</f>
        <v>0</v>
      </c>
      <c r="EB354" s="665">
        <f>IF(Assumptions!EB227&lt;&gt;"",Assumptions!EB227,0)</f>
        <v>0</v>
      </c>
      <c r="EC354" s="1293"/>
      <c r="ED354" s="665">
        <f>IF(Assumptions!ED227&lt;&gt;"",Assumptions!ED227,0)</f>
        <v>0</v>
      </c>
      <c r="EE354" s="665">
        <f>IF(Assumptions!EE227&lt;&gt;"",Assumptions!EE227,0)</f>
        <v>0</v>
      </c>
      <c r="EF354" s="1293"/>
      <c r="EG354" s="665">
        <f>IF(Assumptions!EG227&lt;&gt;"",Assumptions!EG227,0)</f>
        <v>0</v>
      </c>
      <c r="EH354" s="665">
        <f>IF(Assumptions!EH227&lt;&gt;"",Assumptions!EH227,0)</f>
        <v>0</v>
      </c>
      <c r="EI354" s="1293"/>
      <c r="EJ354" s="665">
        <f>IF(Assumptions!EJ227&lt;&gt;"",Assumptions!EJ227,0)</f>
        <v>0</v>
      </c>
      <c r="EK354" s="665">
        <f>IF(Assumptions!EK227&lt;&gt;"",Assumptions!EK227,0)</f>
        <v>0</v>
      </c>
      <c r="EL354" s="1293"/>
      <c r="EM354" s="665">
        <f>IF(Assumptions!EM227&lt;&gt;"",Assumptions!EM227,0)</f>
        <v>0</v>
      </c>
      <c r="EN354" s="665">
        <f>IF(Assumptions!EN227&lt;&gt;"",Assumptions!EN227,0)</f>
        <v>0</v>
      </c>
      <c r="EO354" s="1293"/>
      <c r="EP354" s="665">
        <f>IF(Assumptions!EP227&lt;&gt;"",Assumptions!EP227,0)</f>
        <v>0</v>
      </c>
      <c r="EQ354" s="665">
        <f>IF(Assumptions!EQ227&lt;&gt;"",Assumptions!EQ227,0)</f>
        <v>0</v>
      </c>
      <c r="ER354" s="1293"/>
      <c r="ES354" s="665">
        <f>IF(Assumptions!ES227&lt;&gt;"",Assumptions!ES227,0)</f>
        <v>0</v>
      </c>
      <c r="ET354" s="665">
        <f>IF(Assumptions!ET227&lt;&gt;"",Assumptions!ET227,0)</f>
        <v>0</v>
      </c>
      <c r="EU354" s="1293"/>
      <c r="EV354" s="665">
        <f>IF(Assumptions!EV227&lt;&gt;"",Assumptions!EV227,0)</f>
        <v>0</v>
      </c>
      <c r="EW354" s="665">
        <f>IF(Assumptions!EW227&lt;&gt;"",Assumptions!EW227,0)</f>
        <v>0</v>
      </c>
      <c r="EX354" s="1293"/>
      <c r="EY354" s="665">
        <f>IF(Assumptions!EY227&lt;&gt;"",Assumptions!EY227,0)</f>
        <v>0</v>
      </c>
      <c r="EZ354" s="665">
        <f>IF(Assumptions!EZ227&lt;&gt;"",Assumptions!EZ227,0)</f>
        <v>0</v>
      </c>
      <c r="FA354" s="1293"/>
      <c r="FE354"/>
      <c r="FF354"/>
      <c r="FG354"/>
      <c r="FH354"/>
      <c r="FI354"/>
      <c r="FJ354"/>
      <c r="FK354" s="35"/>
    </row>
    <row r="355" spans="2:167" s="236" customFormat="1" ht="13.35" customHeight="1" thickBot="1">
      <c r="B355" s="242" t="s">
        <v>31</v>
      </c>
      <c r="C355" s="242" t="s">
        <v>496</v>
      </c>
      <c r="D355" s="243"/>
      <c r="E355" s="648" t="str">
        <f>IF(F5="A","",E349*E354)</f>
        <v/>
      </c>
      <c r="F355" s="648" t="str">
        <f>IF(I5="A","",F349*F354)</f>
        <v/>
      </c>
      <c r="G355" s="649">
        <f>+E355+F355</f>
        <v>0</v>
      </c>
      <c r="H355" s="648" t="str">
        <f>IF(I5="A","",H349*H354)</f>
        <v/>
      </c>
      <c r="I355" s="648" t="str">
        <f>IF(L5="A","",I349*I354)</f>
        <v/>
      </c>
      <c r="J355" s="649">
        <f>+H355+I355</f>
        <v>0</v>
      </c>
      <c r="K355" s="648" t="str">
        <f>IF(L5="A","",K349*K354)</f>
        <v/>
      </c>
      <c r="L355" s="648" t="str">
        <f>IF(O5="A","",L349*L354)</f>
        <v/>
      </c>
      <c r="M355" s="649">
        <f>+K355+L355</f>
        <v>0</v>
      </c>
      <c r="N355" s="648" t="str">
        <f>IF(O5="A","",N349*N354)</f>
        <v/>
      </c>
      <c r="O355" s="648" t="str">
        <f>IF(R5="A","",O349*O354)</f>
        <v/>
      </c>
      <c r="P355" s="649">
        <f>+N355+O355</f>
        <v>0</v>
      </c>
      <c r="Q355" s="648" t="str">
        <f>IF(R5="A","",Q349*Q354)</f>
        <v/>
      </c>
      <c r="R355" s="648" t="str">
        <f>IF(U5="A","",R349*R354)</f>
        <v/>
      </c>
      <c r="S355" s="649">
        <f>+Q355+R355</f>
        <v>0</v>
      </c>
      <c r="T355" s="648" t="str">
        <f>IF(U5="A","",T349*T354)</f>
        <v/>
      </c>
      <c r="U355" s="648" t="str">
        <f>IF(X5="A","",U349*U354)</f>
        <v/>
      </c>
      <c r="V355" s="649">
        <f>+T355+U355</f>
        <v>0</v>
      </c>
      <c r="W355" s="648" t="str">
        <f>IF(X5="A","",W349*W354)</f>
        <v/>
      </c>
      <c r="X355" s="648" t="str">
        <f>IF(AA5="A","",X349*X354)</f>
        <v/>
      </c>
      <c r="Y355" s="649">
        <f>+W355+X355</f>
        <v>0</v>
      </c>
      <c r="Z355" s="648" t="str">
        <f>IF(AA5="A","",Z349*Z354)</f>
        <v/>
      </c>
      <c r="AA355" s="648" t="str">
        <f>IF(AD5="A","",AA349*AA354)</f>
        <v/>
      </c>
      <c r="AB355" s="649">
        <f>+Z355+AA355</f>
        <v>0</v>
      </c>
      <c r="AC355" s="648" t="str">
        <f>IF(AD5="A","",AC349*AC354)</f>
        <v/>
      </c>
      <c r="AD355" s="648" t="str">
        <f>IF(AG5="A","",AD349*AD354)</f>
        <v/>
      </c>
      <c r="AE355" s="649">
        <f>+AC355+AD355</f>
        <v>0</v>
      </c>
      <c r="AF355" s="648" t="str">
        <f>IF(AG5="A","",AF349*AF354)</f>
        <v/>
      </c>
      <c r="AG355" s="648" t="str">
        <f>IF(AJ5="A","",AG349*AG354)</f>
        <v/>
      </c>
      <c r="AH355" s="649">
        <f>+AF355+AG355</f>
        <v>0</v>
      </c>
      <c r="AI355" s="648" t="str">
        <f>IF(AJ5="A","",AI349*AI354)</f>
        <v/>
      </c>
      <c r="AJ355" s="648" t="str">
        <f>IF(AM5="A","",AJ349*AJ354)</f>
        <v/>
      </c>
      <c r="AK355" s="649">
        <f>+AI355+AJ355</f>
        <v>0</v>
      </c>
      <c r="AL355" s="648" t="str">
        <f>IF(AM5="A","",AL349*AL354)</f>
        <v/>
      </c>
      <c r="AM355" s="648" t="str">
        <f>IF(AO5="A","",AM349*AM354)</f>
        <v/>
      </c>
      <c r="AN355" s="649">
        <f>+AL355+AM355</f>
        <v>0</v>
      </c>
      <c r="AO355" s="648" t="str">
        <f>IF(AP5="A","",AO349*AO354)</f>
        <v/>
      </c>
      <c r="AP355" s="648" t="str">
        <f>IF(AR5="A","",AP349*AP354)</f>
        <v/>
      </c>
      <c r="AQ355" s="649">
        <f>+AO355+AP355</f>
        <v>0</v>
      </c>
      <c r="AR355" s="648" t="str">
        <f>IF(AS5="A","",AR349*AR354)</f>
        <v/>
      </c>
      <c r="AS355" s="648" t="str">
        <f>IF(AU5="A","",AS349*AS354)</f>
        <v/>
      </c>
      <c r="AT355" s="649">
        <f>+AR355+AS355</f>
        <v>0</v>
      </c>
      <c r="AU355" s="648" t="str">
        <f>IF(AV5="A","",AU349*AU354)</f>
        <v/>
      </c>
      <c r="AV355" s="648" t="str">
        <f>IF(AX5="A","",AV349*AV354)</f>
        <v/>
      </c>
      <c r="AW355" s="649">
        <f>+AU355+AV355</f>
        <v>0</v>
      </c>
      <c r="AX355" s="648" t="str">
        <f>IF(AY5="A","",AX349*AX354)</f>
        <v/>
      </c>
      <c r="AY355" s="648" t="str">
        <f>IF(BA5="A","",AY349*AY354)</f>
        <v/>
      </c>
      <c r="AZ355" s="649">
        <f>+AX355+AY355</f>
        <v>0</v>
      </c>
      <c r="BA355" s="648" t="str">
        <f>IF(BB5="A","",BA349*BA354)</f>
        <v/>
      </c>
      <c r="BB355" s="648" t="str">
        <f>IF(BD5="A","",BB349*BB354)</f>
        <v/>
      </c>
      <c r="BC355" s="649">
        <f>+BA355+BB355</f>
        <v>0</v>
      </c>
      <c r="BD355" s="648" t="str">
        <f>IF(BE5="A","",BD349*BD354)</f>
        <v/>
      </c>
      <c r="BE355" s="648" t="str">
        <f>IF(BG5="A","",BE349*BE354)</f>
        <v/>
      </c>
      <c r="BF355" s="649">
        <f>+BD355+BE355</f>
        <v>0</v>
      </c>
      <c r="BG355" s="650">
        <v>0</v>
      </c>
      <c r="BH355" s="650">
        <v>0</v>
      </c>
      <c r="BI355" s="649">
        <f>+BG355+BH355</f>
        <v>0</v>
      </c>
      <c r="BJ355" s="648" t="str">
        <f>IF(BK5="A","",BJ349*BJ354)</f>
        <v/>
      </c>
      <c r="BK355" s="648" t="str">
        <f>IF(BM5="A","",BK349*BK354)</f>
        <v/>
      </c>
      <c r="BL355" s="649">
        <f>+BJ355+BK355</f>
        <v>0</v>
      </c>
      <c r="BM355" s="648" t="str">
        <f>IF(BN5="A","",BM349*BM354)</f>
        <v/>
      </c>
      <c r="BN355" s="648" t="str">
        <f>IF(BO5="A","",BN349*BN354)</f>
        <v/>
      </c>
      <c r="BO355" s="649">
        <f>+BM355+BN355</f>
        <v>0</v>
      </c>
      <c r="BP355" s="648" t="str">
        <f>IF(BQ5="A","",BP349*BP354)</f>
        <v/>
      </c>
      <c r="BQ355" s="648" t="str">
        <f>IF(BR5="A","",BQ349*BQ354)</f>
        <v/>
      </c>
      <c r="BR355" s="649">
        <f>+BP355+BQ355</f>
        <v>0</v>
      </c>
      <c r="BS355" s="648" t="str">
        <f>IF(BT5="A","",BS349*BS354)</f>
        <v/>
      </c>
      <c r="BT355" s="648" t="str">
        <f>IF(BU5="A","",BT349*BT354)</f>
        <v/>
      </c>
      <c r="BU355" s="649">
        <f>+BS355+BT355</f>
        <v>0</v>
      </c>
      <c r="BV355" s="648" t="str">
        <f>IF(BW5="A","",BV349*BV354)</f>
        <v/>
      </c>
      <c r="BW355" s="648" t="str">
        <f>IF(BX5="A","",BW349*BW354)</f>
        <v/>
      </c>
      <c r="BX355" s="649">
        <f>+BV355+BW355</f>
        <v>0</v>
      </c>
      <c r="BY355" s="648" t="str">
        <f>IF(BZ5="A","",BY349*BY354)</f>
        <v/>
      </c>
      <c r="BZ355" s="648" t="str">
        <f>IF(CA5="A","",BZ349*BZ354)</f>
        <v/>
      </c>
      <c r="CA355" s="649">
        <f>+BY355+BZ355</f>
        <v>0</v>
      </c>
      <c r="CB355" s="648" t="str">
        <f>IF(CC5="A","",CB349*CB354)</f>
        <v/>
      </c>
      <c r="CC355" s="648" t="str">
        <f>IF(CD5="A","",CC349*CC354)</f>
        <v/>
      </c>
      <c r="CD355" s="649">
        <f>+CB355+CC355</f>
        <v>0</v>
      </c>
      <c r="CE355" s="648" t="str">
        <f>IF(CF5="A","",CE349*CE354)</f>
        <v/>
      </c>
      <c r="CF355" s="648" t="str">
        <f>IF(CG5="A","",CF349*CF354)</f>
        <v/>
      </c>
      <c r="CG355" s="649">
        <f>+CE355+CF355</f>
        <v>0</v>
      </c>
      <c r="CH355" s="648" t="str">
        <f>IF(CI5="A","",CH349*CH354)</f>
        <v/>
      </c>
      <c r="CI355" s="648" t="str">
        <f>IF(CJ5="A","",CI349*CI354)</f>
        <v/>
      </c>
      <c r="CJ355" s="649">
        <f>+CH355+CI355</f>
        <v>0</v>
      </c>
      <c r="CK355" s="648" t="str">
        <f>IF(CL5="A","",CK349*CK354)</f>
        <v/>
      </c>
      <c r="CL355" s="648" t="str">
        <f>IF(CM5="A","",CL349*CL354)</f>
        <v/>
      </c>
      <c r="CM355" s="649">
        <f>+CK355+CL355</f>
        <v>0</v>
      </c>
      <c r="CN355" s="648" t="str">
        <f>IF(CO5="A","",CN349*CN354)</f>
        <v/>
      </c>
      <c r="CO355" s="648" t="str">
        <f>IF(CP5="A","",CO349*CO354)</f>
        <v/>
      </c>
      <c r="CP355" s="649">
        <f>+CN355+CO355</f>
        <v>0</v>
      </c>
      <c r="CQ355" s="648" t="str">
        <f>IF(CR5="A","",CQ349*CQ354)</f>
        <v/>
      </c>
      <c r="CR355" s="648" t="str">
        <f>IF(CS5="A","",CR349*CR354)</f>
        <v/>
      </c>
      <c r="CS355" s="649">
        <f>+CQ355+CR355</f>
        <v>0</v>
      </c>
      <c r="CT355" s="648" t="str">
        <f>IF(CU5="A","",CT349*CT354)</f>
        <v/>
      </c>
      <c r="CU355" s="648" t="str">
        <f>IF(CV5="A","",CU349*CU354)</f>
        <v/>
      </c>
      <c r="CV355" s="649">
        <f>+CT355+CU355</f>
        <v>0</v>
      </c>
      <c r="CW355" s="648" t="str">
        <f>IF(CX5="A","",CW349*CW354)</f>
        <v/>
      </c>
      <c r="CX355" s="648" t="str">
        <f>IF(CY5="A","",CX349*CX354)</f>
        <v/>
      </c>
      <c r="CY355" s="649">
        <f>+CW355+CX355</f>
        <v>0</v>
      </c>
      <c r="CZ355" s="648" t="str">
        <f>IF(DA5="A","",CZ349*CZ354)</f>
        <v/>
      </c>
      <c r="DA355" s="648" t="str">
        <f>IF(DB5="A","",DA349*DA354)</f>
        <v/>
      </c>
      <c r="DB355" s="649">
        <f>+CZ355+DA355</f>
        <v>0</v>
      </c>
      <c r="DC355" s="648" t="str">
        <f>IF(DD5="A","",DC349*DC354)</f>
        <v/>
      </c>
      <c r="DD355" s="648" t="str">
        <f>IF(DE5="A","",DD349*DD354)</f>
        <v/>
      </c>
      <c r="DE355" s="649">
        <f>+DC355+DD355</f>
        <v>0</v>
      </c>
      <c r="DF355" s="648" t="str">
        <f>IF(DG5="A","",DF349*DF354)</f>
        <v/>
      </c>
      <c r="DG355" s="648" t="str">
        <f>IF(DH5="A","",DG349*DG354)</f>
        <v/>
      </c>
      <c r="DH355" s="1503">
        <f>+DF355+DG355</f>
        <v>0</v>
      </c>
      <c r="DI355" s="1502" t="str">
        <f>IF(DJ5="A","",DI349*DI354)</f>
        <v/>
      </c>
      <c r="DJ355" s="1502" t="str">
        <f>IF(DK5="A","",DJ349*DJ354)</f>
        <v/>
      </c>
      <c r="DK355" s="1503">
        <f>+DI355+DJ355</f>
        <v>0</v>
      </c>
      <c r="DL355" s="1502" t="str">
        <f>IF(DM5="A","",DL349*DL354)</f>
        <v/>
      </c>
      <c r="DM355" s="1502" t="str">
        <f>IF(DN5="A","",DM349*DM354)</f>
        <v/>
      </c>
      <c r="DN355" s="1503">
        <f>+DL355+DM355</f>
        <v>0</v>
      </c>
      <c r="DO355" s="1502" t="str">
        <f>IF(DP5="A","",DO349*DO354)</f>
        <v/>
      </c>
      <c r="DP355" s="1502" t="str">
        <f>IF(DQ5="A","",DP349*DP354)</f>
        <v/>
      </c>
      <c r="DQ355" s="1503">
        <f>+DO355+DP355</f>
        <v>0</v>
      </c>
      <c r="DR355" s="1502" t="str">
        <f>IF(DS5="A","",DR349*DR354)</f>
        <v/>
      </c>
      <c r="DS355" s="1502" t="str">
        <f>IF(DT5="A","",DS349*DS354)</f>
        <v/>
      </c>
      <c r="DT355" s="1503">
        <f>+DR355+DS355</f>
        <v>0</v>
      </c>
      <c r="DU355" s="1502" t="str">
        <f>IF(DV5="A","",DU349*DU354)</f>
        <v/>
      </c>
      <c r="DV355" s="1502" t="str">
        <f>IF(DW5="A","",DV349*DV354)</f>
        <v/>
      </c>
      <c r="DW355" s="1503">
        <f>+DU355+DV355</f>
        <v>0</v>
      </c>
      <c r="DX355" s="1502">
        <f>IF(DY5="A","",DX349*DX354)</f>
        <v>0</v>
      </c>
      <c r="DY355" s="1502">
        <f>IF(DZ5="A","",DY349*DY354)</f>
        <v>0</v>
      </c>
      <c r="DZ355" s="1503">
        <f>+DX355+DY355</f>
        <v>0</v>
      </c>
      <c r="EA355" s="1502">
        <f>IF(EB5="A","",EA349*EA354)</f>
        <v>0</v>
      </c>
      <c r="EB355" s="1502">
        <f>IF(EC5="A","",EB349*EB354)</f>
        <v>0</v>
      </c>
      <c r="EC355" s="1503">
        <f>+EA355+EB355</f>
        <v>0</v>
      </c>
      <c r="ED355" s="1502">
        <f>IF(EE5="A","",ED349*ED354)</f>
        <v>0</v>
      </c>
      <c r="EE355" s="1502">
        <f>IF(EF5="A","",EE349*EE354)</f>
        <v>0</v>
      </c>
      <c r="EF355" s="1503">
        <f>+ED355+EE355</f>
        <v>0</v>
      </c>
      <c r="EG355" s="1502">
        <f>IF(EH5="A","",EG349*EG354)</f>
        <v>0</v>
      </c>
      <c r="EH355" s="1502">
        <f>IF(EI5="A","",EH349*EH354)</f>
        <v>0</v>
      </c>
      <c r="EI355" s="1503">
        <f>+EG355+EH355</f>
        <v>0</v>
      </c>
      <c r="EJ355" s="1502">
        <f>IF(EK5="A","",EJ349*EJ354)</f>
        <v>0</v>
      </c>
      <c r="EK355" s="1502">
        <f>IF(EL5="A","",EK349*EK354)</f>
        <v>0</v>
      </c>
      <c r="EL355" s="1503">
        <f>+EJ355+EK355</f>
        <v>0</v>
      </c>
      <c r="EM355" s="1502">
        <f>IF(EN5="A","",EM349*EM354)</f>
        <v>0</v>
      </c>
      <c r="EN355" s="1502">
        <f>IF(EO5="A","",EN349*EN354)</f>
        <v>0</v>
      </c>
      <c r="EO355" s="1503">
        <f>+EM355+EN355</f>
        <v>0</v>
      </c>
      <c r="EP355" s="1502">
        <f>IF(EQ5="A","",EP349*EP354)</f>
        <v>0</v>
      </c>
      <c r="EQ355" s="1502">
        <f>IF(ER5="A","",EQ349*EQ354)</f>
        <v>0</v>
      </c>
      <c r="ER355" s="1503">
        <f>+EP355+EQ355</f>
        <v>0</v>
      </c>
      <c r="ES355" s="1502">
        <f>IF(ET5="A","",ES349*ES354)</f>
        <v>0</v>
      </c>
      <c r="ET355" s="1502">
        <f>IF(EU5="A","",ET349*ET354)</f>
        <v>0</v>
      </c>
      <c r="EU355" s="1503">
        <f>+ES355+ET355</f>
        <v>0</v>
      </c>
      <c r="EV355" s="1502">
        <f>IF(EW5="A","",EV349*EV354)</f>
        <v>0</v>
      </c>
      <c r="EW355" s="1502">
        <f>IF(EX5="A","",EW349*EW354)</f>
        <v>0</v>
      </c>
      <c r="EX355" s="1503">
        <f>+EV355+EW355</f>
        <v>0</v>
      </c>
      <c r="EY355" s="1502">
        <f>IF(EZ5="A","",EY349*EY354)</f>
        <v>0</v>
      </c>
      <c r="EZ355" s="1502">
        <f>IF(FA5="A","",EZ349*EZ354)</f>
        <v>0</v>
      </c>
      <c r="FA355" s="1503">
        <f>+EY355+EZ355</f>
        <v>0</v>
      </c>
      <c r="FE355"/>
      <c r="FF355"/>
      <c r="FG355"/>
      <c r="FH355"/>
      <c r="FI355"/>
      <c r="FJ355"/>
      <c r="FK355" s="35"/>
    </row>
    <row r="356" spans="2:167" s="236" customFormat="1" ht="13.35" customHeight="1">
      <c r="B356" s="242" t="s">
        <v>32</v>
      </c>
      <c r="C356" s="242" t="s">
        <v>621</v>
      </c>
      <c r="D356" s="243"/>
      <c r="E356" s="651"/>
      <c r="F356" s="652"/>
      <c r="G356" s="653"/>
      <c r="H356" s="651"/>
      <c r="I356" s="652"/>
      <c r="J356" s="653"/>
      <c r="K356" s="651"/>
      <c r="L356" s="652"/>
      <c r="M356" s="653"/>
      <c r="N356" s="651"/>
      <c r="O356" s="652"/>
      <c r="P356" s="653"/>
      <c r="Q356" s="651"/>
      <c r="R356" s="652"/>
      <c r="S356" s="653"/>
      <c r="T356" s="651"/>
      <c r="U356" s="652"/>
      <c r="V356" s="653"/>
      <c r="W356" s="651"/>
      <c r="X356" s="652"/>
      <c r="Y356" s="653"/>
      <c r="Z356" s="651"/>
      <c r="AA356" s="652"/>
      <c r="AB356" s="653"/>
      <c r="AC356" s="651"/>
      <c r="AD356" s="652"/>
      <c r="AE356" s="653"/>
      <c r="AF356" s="651"/>
      <c r="AG356" s="652"/>
      <c r="AH356" s="653"/>
      <c r="AI356" s="651"/>
      <c r="AJ356" s="652"/>
      <c r="AK356" s="653"/>
      <c r="AL356" s="651"/>
      <c r="AM356" s="652"/>
      <c r="AN356" s="653"/>
      <c r="AO356" s="651"/>
      <c r="AP356" s="652"/>
      <c r="AQ356" s="653"/>
      <c r="AR356" s="651"/>
      <c r="AS356" s="652"/>
      <c r="AT356" s="653"/>
      <c r="AU356" s="651"/>
      <c r="AV356" s="652"/>
      <c r="AW356" s="653"/>
      <c r="AX356" s="651"/>
      <c r="AY356" s="652"/>
      <c r="AZ356" s="653"/>
      <c r="BA356" s="651"/>
      <c r="BB356" s="652"/>
      <c r="BC356" s="653"/>
      <c r="BD356" s="651"/>
      <c r="BE356" s="652"/>
      <c r="BF356" s="653"/>
      <c r="BG356" s="651"/>
      <c r="BH356" s="652"/>
      <c r="BI356" s="653"/>
      <c r="BJ356" s="651"/>
      <c r="BK356" s="652"/>
      <c r="BL356" s="653"/>
      <c r="BM356" s="651"/>
      <c r="BN356" s="652"/>
      <c r="BO356" s="653"/>
      <c r="BP356" s="651"/>
      <c r="BQ356" s="652"/>
      <c r="BR356" s="653"/>
      <c r="BS356" s="651"/>
      <c r="BT356" s="652"/>
      <c r="BU356" s="653"/>
      <c r="BV356" s="651"/>
      <c r="BW356" s="652"/>
      <c r="BX356" s="653"/>
      <c r="BY356" s="651"/>
      <c r="BZ356" s="652"/>
      <c r="CA356" s="653"/>
      <c r="CB356" s="651"/>
      <c r="CC356" s="652"/>
      <c r="CD356" s="653"/>
      <c r="CE356" s="651"/>
      <c r="CF356" s="652"/>
      <c r="CG356" s="653"/>
      <c r="CH356" s="651"/>
      <c r="CI356" s="652"/>
      <c r="CJ356" s="653"/>
      <c r="CK356" s="651"/>
      <c r="CL356" s="652"/>
      <c r="CM356" s="653"/>
      <c r="CN356" s="651"/>
      <c r="CO356" s="652"/>
      <c r="CP356" s="653"/>
      <c r="CQ356" s="651"/>
      <c r="CR356" s="652"/>
      <c r="CS356" s="653"/>
      <c r="CT356" s="651"/>
      <c r="CU356" s="652"/>
      <c r="CV356" s="653"/>
      <c r="CW356" s="651"/>
      <c r="CX356" s="652"/>
      <c r="CY356" s="653"/>
      <c r="CZ356" s="651"/>
      <c r="DA356" s="652"/>
      <c r="DB356" s="653"/>
      <c r="DC356" s="651"/>
      <c r="DD356" s="652"/>
      <c r="DE356" s="653"/>
      <c r="DF356" s="651"/>
      <c r="DG356" s="1235"/>
      <c r="DH356" s="1294"/>
      <c r="DI356" s="1236"/>
      <c r="DJ356" s="1236"/>
      <c r="DK356" s="1294"/>
      <c r="DL356" s="1236"/>
      <c r="DM356" s="1236"/>
      <c r="DN356" s="1294"/>
      <c r="DO356" s="1236"/>
      <c r="DP356" s="1236"/>
      <c r="DQ356" s="1294"/>
      <c r="DR356" s="1236"/>
      <c r="DS356" s="1236"/>
      <c r="DT356" s="1294"/>
      <c r="DU356" s="1236"/>
      <c r="DV356" s="1236"/>
      <c r="DW356" s="1294"/>
      <c r="DX356" s="1236">
        <v>199.22</v>
      </c>
      <c r="DY356" s="1236">
        <v>199.22</v>
      </c>
      <c r="DZ356" s="1294"/>
      <c r="EA356" s="1236">
        <v>199.22</v>
      </c>
      <c r="EB356" s="1236">
        <v>199.22</v>
      </c>
      <c r="EC356" s="1294"/>
      <c r="ED356" s="1236">
        <v>199.22</v>
      </c>
      <c r="EE356" s="1236">
        <v>199.22</v>
      </c>
      <c r="EF356" s="1294"/>
      <c r="EG356" s="1236">
        <v>199.22</v>
      </c>
      <c r="EH356" s="1236">
        <v>199.22</v>
      </c>
      <c r="EI356" s="1294"/>
      <c r="EJ356" s="1236">
        <v>199.22</v>
      </c>
      <c r="EK356" s="1236">
        <v>199.22</v>
      </c>
      <c r="EL356" s="1294"/>
      <c r="EM356" s="1236">
        <v>199.22</v>
      </c>
      <c r="EN356" s="1236">
        <v>199.22</v>
      </c>
      <c r="EO356" s="1294"/>
      <c r="EP356" s="1236">
        <v>199.22</v>
      </c>
      <c r="EQ356" s="1236">
        <v>199.22</v>
      </c>
      <c r="ER356" s="1294"/>
      <c r="ES356" s="1236">
        <v>199.22</v>
      </c>
      <c r="ET356" s="1236">
        <v>199.22</v>
      </c>
      <c r="EU356" s="1294"/>
      <c r="EV356" s="1236">
        <v>199.22</v>
      </c>
      <c r="EW356" s="1236">
        <v>199.22</v>
      </c>
      <c r="EX356" s="1294"/>
      <c r="EY356" s="1236">
        <v>199.22</v>
      </c>
      <c r="EZ356" s="1236">
        <v>199.22</v>
      </c>
      <c r="FA356" s="1294"/>
      <c r="FE356"/>
      <c r="FF356"/>
      <c r="FG356"/>
      <c r="FH356"/>
      <c r="FI356"/>
      <c r="FJ356"/>
      <c r="FK356" s="35"/>
    </row>
    <row r="357" spans="2:167" s="236" customFormat="1" ht="13.35" customHeight="1">
      <c r="B357" s="242" t="s">
        <v>33</v>
      </c>
      <c r="C357" s="242" t="s">
        <v>460</v>
      </c>
      <c r="D357" s="243"/>
      <c r="E357" s="654"/>
      <c r="F357" s="655"/>
      <c r="G357" s="647"/>
      <c r="H357" s="654"/>
      <c r="I357" s="655"/>
      <c r="J357" s="647"/>
      <c r="K357" s="654"/>
      <c r="L357" s="655"/>
      <c r="M357" s="647"/>
      <c r="N357" s="654"/>
      <c r="O357" s="655"/>
      <c r="P357" s="647"/>
      <c r="Q357" s="654"/>
      <c r="R357" s="655"/>
      <c r="S357" s="647"/>
      <c r="T357" s="654"/>
      <c r="U357" s="655"/>
      <c r="V357" s="647"/>
      <c r="W357" s="654"/>
      <c r="X357" s="655"/>
      <c r="Y357" s="647"/>
      <c r="Z357" s="654"/>
      <c r="AA357" s="655"/>
      <c r="AB357" s="647"/>
      <c r="AC357" s="654"/>
      <c r="AD357" s="655"/>
      <c r="AE357" s="647"/>
      <c r="AF357" s="654"/>
      <c r="AG357" s="655"/>
      <c r="AH357" s="647"/>
      <c r="AI357" s="654"/>
      <c r="AJ357" s="655"/>
      <c r="AK357" s="647"/>
      <c r="AL357" s="654"/>
      <c r="AM357" s="655"/>
      <c r="AN357" s="647"/>
      <c r="AO357" s="654"/>
      <c r="AP357" s="655"/>
      <c r="AQ357" s="647"/>
      <c r="AR357" s="654"/>
      <c r="AS357" s="655"/>
      <c r="AT357" s="647"/>
      <c r="AU357" s="654"/>
      <c r="AV357" s="655"/>
      <c r="AW357" s="647"/>
      <c r="AX357" s="654"/>
      <c r="AY357" s="655"/>
      <c r="AZ357" s="647"/>
      <c r="BA357" s="654"/>
      <c r="BB357" s="655"/>
      <c r="BC357" s="647"/>
      <c r="BD357" s="654">
        <f>IF(Assumptions!BD228&lt;&gt;"",Assumptions!BD228,0)</f>
        <v>0</v>
      </c>
      <c r="BE357" s="655">
        <f>IF(Assumptions!BE228&lt;&gt;"",Assumptions!BE228,0)</f>
        <v>0</v>
      </c>
      <c r="BF357" s="647"/>
      <c r="BG357" s="654">
        <f>IF(Assumptions!BG228&lt;&gt;"",Assumptions!BG228,0)</f>
        <v>0</v>
      </c>
      <c r="BH357" s="655">
        <f>IF(Assumptions!BH228&lt;&gt;"",Assumptions!BH228,0)</f>
        <v>0</v>
      </c>
      <c r="BI357" s="647"/>
      <c r="BJ357" s="654">
        <f>IF(Assumptions!BJ228&lt;&gt;"",Assumptions!BJ228,0)</f>
        <v>0</v>
      </c>
      <c r="BK357" s="655">
        <f>IF(Assumptions!BK228&lt;&gt;"",Assumptions!BK228,0)</f>
        <v>0</v>
      </c>
      <c r="BL357" s="647"/>
      <c r="BM357" s="654">
        <f>IF(Assumptions!BM228&lt;&gt;"",Assumptions!BM228,0)</f>
        <v>0</v>
      </c>
      <c r="BN357" s="655">
        <f>IF(Assumptions!BN228&lt;&gt;"",Assumptions!BN228,0)</f>
        <v>0</v>
      </c>
      <c r="BO357" s="647"/>
      <c r="BP357" s="654">
        <f>IF(Assumptions!BP228&lt;&gt;"",Assumptions!BP228,0)</f>
        <v>0</v>
      </c>
      <c r="BQ357" s="655">
        <f>IF(Assumptions!BQ228&lt;&gt;"",Assumptions!BQ228,0)</f>
        <v>0</v>
      </c>
      <c r="BR357" s="647"/>
      <c r="BS357" s="654">
        <f>IF(Assumptions!BS228&lt;&gt;"",Assumptions!BS228,0)</f>
        <v>0</v>
      </c>
      <c r="BT357" s="655">
        <f>IF(Assumptions!BT228&lt;&gt;"",Assumptions!BT228,0)</f>
        <v>0</v>
      </c>
      <c r="BU357" s="647"/>
      <c r="BV357" s="654">
        <f>IF(Assumptions!BV228&lt;&gt;"",Assumptions!BV228,0)</f>
        <v>0</v>
      </c>
      <c r="BW357" s="655">
        <f>IF(Assumptions!BW228&lt;&gt;"",Assumptions!BW228,0)</f>
        <v>0</v>
      </c>
      <c r="BX357" s="647"/>
      <c r="BY357" s="654">
        <f>IF(Assumptions!BY228&lt;&gt;"",Assumptions!BY228,0)</f>
        <v>0</v>
      </c>
      <c r="BZ357" s="655">
        <f>IF(Assumptions!BZ228&lt;&gt;"",Assumptions!BZ228,0)</f>
        <v>0</v>
      </c>
      <c r="CA357" s="647"/>
      <c r="CB357" s="654">
        <f>IF(Assumptions!CB228&lt;&gt;"",Assumptions!CB228,0)</f>
        <v>0</v>
      </c>
      <c r="CC357" s="655">
        <f>IF(Assumptions!CC228&lt;&gt;"",Assumptions!CC228,0)</f>
        <v>0</v>
      </c>
      <c r="CD357" s="647"/>
      <c r="CE357" s="654">
        <f>IF(Assumptions!CE228&lt;&gt;"",Assumptions!CE228,0)</f>
        <v>0</v>
      </c>
      <c r="CF357" s="655">
        <f>IF(Assumptions!CF228&lt;&gt;"",Assumptions!CF228,0)</f>
        <v>0</v>
      </c>
      <c r="CG357" s="647"/>
      <c r="CH357" s="654">
        <f>IF(Assumptions!CH228&lt;&gt;"",Assumptions!CH228,0)</f>
        <v>0</v>
      </c>
      <c r="CI357" s="655">
        <f>IF(Assumptions!CI228&lt;&gt;"",Assumptions!CI228,0)</f>
        <v>0</v>
      </c>
      <c r="CJ357" s="647"/>
      <c r="CK357" s="654">
        <f>IF(Assumptions!CK228&lt;&gt;"",Assumptions!CK228,0)</f>
        <v>0</v>
      </c>
      <c r="CL357" s="655">
        <f>IF(Assumptions!CL228&lt;&gt;"",Assumptions!CL228,0)</f>
        <v>0</v>
      </c>
      <c r="CM357" s="647"/>
      <c r="CN357" s="654">
        <f>IF(Assumptions!CN228&lt;&gt;"",Assumptions!CN228,0)</f>
        <v>0</v>
      </c>
      <c r="CO357" s="655">
        <f>IF(Assumptions!CO228&lt;&gt;"",Assumptions!CO228,0)</f>
        <v>0</v>
      </c>
      <c r="CP357" s="647"/>
      <c r="CQ357" s="654">
        <f>IF(Assumptions!CQ228&lt;&gt;"",Assumptions!CQ228,0)</f>
        <v>0</v>
      </c>
      <c r="CR357" s="655">
        <f>IF(Assumptions!CR228&lt;&gt;"",Assumptions!CR228,0)</f>
        <v>0</v>
      </c>
      <c r="CS357" s="647"/>
      <c r="CT357" s="654">
        <f>IF(Assumptions!CT228&lt;&gt;"",Assumptions!CT228,0)</f>
        <v>0</v>
      </c>
      <c r="CU357" s="655">
        <f>IF(Assumptions!CU228&lt;&gt;"",Assumptions!CU228,0)</f>
        <v>0</v>
      </c>
      <c r="CV357" s="647"/>
      <c r="CW357" s="654">
        <f>IF(Assumptions!CW228&lt;&gt;"",Assumptions!CW228,0)</f>
        <v>0</v>
      </c>
      <c r="CX357" s="655">
        <f>IF(Assumptions!CX228&lt;&gt;"",Assumptions!CX228,0)</f>
        <v>0</v>
      </c>
      <c r="CY357" s="647"/>
      <c r="CZ357" s="654">
        <f>IF(Assumptions!CZ228&lt;&gt;"",Assumptions!CZ228,0)</f>
        <v>0</v>
      </c>
      <c r="DA357" s="655">
        <f>IF(Assumptions!DA228&lt;&gt;"",Assumptions!DA228,0)</f>
        <v>0</v>
      </c>
      <c r="DB357" s="647"/>
      <c r="DC357" s="654">
        <f>IF(Assumptions!DC228&lt;&gt;"",Assumptions!DC228,0)</f>
        <v>0</v>
      </c>
      <c r="DD357" s="655">
        <f>IF(Assumptions!DD228&lt;&gt;"",Assumptions!DD228,0)</f>
        <v>0</v>
      </c>
      <c r="DE357" s="647"/>
      <c r="DF357" s="654">
        <f>IF(Assumptions!DF228&lt;&gt;"",Assumptions!DF228,0)</f>
        <v>0</v>
      </c>
      <c r="DG357" s="665">
        <f>IF(Assumptions!DG228&lt;&gt;"",Assumptions!DG228,0)</f>
        <v>0</v>
      </c>
      <c r="DH357" s="1293"/>
      <c r="DI357" s="665">
        <f>IF(Assumptions!DI228&lt;&gt;"",Assumptions!DI228,0)</f>
        <v>0</v>
      </c>
      <c r="DJ357" s="665">
        <f>IF(Assumptions!DJ228&lt;&gt;"",Assumptions!DJ228,0)</f>
        <v>0</v>
      </c>
      <c r="DK357" s="1293"/>
      <c r="DL357" s="665">
        <f>IF(Assumptions!DL228&lt;&gt;"",Assumptions!DL228,0)</f>
        <v>0</v>
      </c>
      <c r="DM357" s="665">
        <f>IF(Assumptions!DM228&lt;&gt;"",Assumptions!DM228,0)</f>
        <v>0</v>
      </c>
      <c r="DN357" s="1293"/>
      <c r="DO357" s="665">
        <f>IF(Assumptions!DO228&lt;&gt;"",Assumptions!DO228,0)</f>
        <v>0</v>
      </c>
      <c r="DP357" s="665">
        <f>IF(Assumptions!DP228&lt;&gt;"",Assumptions!DP228,0)</f>
        <v>0</v>
      </c>
      <c r="DQ357" s="1293"/>
      <c r="DR357" s="665">
        <f>IF(Assumptions!DR228&lt;&gt;"",Assumptions!DR228,0)</f>
        <v>0</v>
      </c>
      <c r="DS357" s="665">
        <f>IF(Assumptions!DS228&lt;&gt;"",Assumptions!DS228,0)</f>
        <v>0</v>
      </c>
      <c r="DT357" s="1293"/>
      <c r="DU357" s="665">
        <f>IF(Assumptions!DU228&lt;&gt;"",Assumptions!DU228,0)</f>
        <v>0</v>
      </c>
      <c r="DV357" s="665">
        <f>IF(Assumptions!DV228&lt;&gt;"",Assumptions!DV228,0)</f>
        <v>0</v>
      </c>
      <c r="DW357" s="1293"/>
      <c r="DX357" s="665">
        <f>IF(Assumptions!DX228&lt;&gt;"",Assumptions!DX228,0)</f>
        <v>0</v>
      </c>
      <c r="DY357" s="665">
        <f>IF(Assumptions!DY228&lt;&gt;"",Assumptions!DY228,0)</f>
        <v>0</v>
      </c>
      <c r="DZ357" s="1293"/>
      <c r="EA357" s="665">
        <f>IF(Assumptions!EA228&lt;&gt;"",Assumptions!EA228,0)</f>
        <v>0</v>
      </c>
      <c r="EB357" s="665">
        <f>IF(Assumptions!EB228&lt;&gt;"",Assumptions!EB228,0)</f>
        <v>0</v>
      </c>
      <c r="EC357" s="1293"/>
      <c r="ED357" s="665">
        <f>IF(Assumptions!ED228&lt;&gt;"",Assumptions!ED228,0)</f>
        <v>0</v>
      </c>
      <c r="EE357" s="665">
        <f>IF(Assumptions!EE228&lt;&gt;"",Assumptions!EE228,0)</f>
        <v>0</v>
      </c>
      <c r="EF357" s="1293"/>
      <c r="EG357" s="665">
        <f>IF(Assumptions!EG228&lt;&gt;"",Assumptions!EG228,0)</f>
        <v>0</v>
      </c>
      <c r="EH357" s="665">
        <f>IF(Assumptions!EH228&lt;&gt;"",Assumptions!EH228,0)</f>
        <v>0</v>
      </c>
      <c r="EI357" s="1293"/>
      <c r="EJ357" s="665">
        <f>IF(Assumptions!EJ228&lt;&gt;"",Assumptions!EJ228,0)</f>
        <v>0</v>
      </c>
      <c r="EK357" s="665">
        <f>IF(Assumptions!EK228&lt;&gt;"",Assumptions!EK228,0)</f>
        <v>0</v>
      </c>
      <c r="EL357" s="1293"/>
      <c r="EM357" s="665">
        <f>IF(Assumptions!EM228&lt;&gt;"",Assumptions!EM228,0)</f>
        <v>0</v>
      </c>
      <c r="EN357" s="665">
        <f>IF(Assumptions!EN228&lt;&gt;"",Assumptions!EN228,0)</f>
        <v>0</v>
      </c>
      <c r="EO357" s="1293"/>
      <c r="EP357" s="665">
        <f>IF(Assumptions!EP228&lt;&gt;"",Assumptions!EP228,0)</f>
        <v>0</v>
      </c>
      <c r="EQ357" s="665">
        <f>IF(Assumptions!EQ228&lt;&gt;"",Assumptions!EQ228,0)</f>
        <v>0</v>
      </c>
      <c r="ER357" s="1293"/>
      <c r="ES357" s="665">
        <f>IF(Assumptions!ES228&lt;&gt;"",Assumptions!ES228,0)</f>
        <v>0</v>
      </c>
      <c r="ET357" s="665">
        <f>IF(Assumptions!ET228&lt;&gt;"",Assumptions!ET228,0)</f>
        <v>0</v>
      </c>
      <c r="EU357" s="1293"/>
      <c r="EV357" s="665">
        <f>IF(Assumptions!EV228&lt;&gt;"",Assumptions!EV228,0)</f>
        <v>0</v>
      </c>
      <c r="EW357" s="665">
        <f>IF(Assumptions!EW228&lt;&gt;"",Assumptions!EW228,0)</f>
        <v>0</v>
      </c>
      <c r="EX357" s="1293"/>
      <c r="EY357" s="665">
        <f>IF(Assumptions!EY228&lt;&gt;"",Assumptions!EY228,0)</f>
        <v>0</v>
      </c>
      <c r="EZ357" s="665">
        <f>IF(Assumptions!EZ228&lt;&gt;"",Assumptions!EZ228,0)</f>
        <v>0</v>
      </c>
      <c r="FA357" s="1293"/>
      <c r="FE357"/>
      <c r="FF357"/>
      <c r="FG357"/>
      <c r="FH357"/>
      <c r="FI357"/>
      <c r="FJ357"/>
      <c r="FK357" s="35"/>
    </row>
    <row r="358" spans="2:167" s="236" customFormat="1" ht="13.35" customHeight="1">
      <c r="B358" s="242" t="s">
        <v>34</v>
      </c>
      <c r="C358" s="242" t="s">
        <v>621</v>
      </c>
      <c r="D358" s="243"/>
      <c r="E358" s="656" t="str">
        <f>IF(F5="A","",(1-E357)*E356)</f>
        <v/>
      </c>
      <c r="F358" s="657" t="str">
        <f>IF(I5="A","",(1-F357)*F356)</f>
        <v/>
      </c>
      <c r="G358" s="653"/>
      <c r="H358" s="656" t="str">
        <f>IF(I5="A","",(1-H357)*H356)</f>
        <v/>
      </c>
      <c r="I358" s="657" t="str">
        <f>IF(L5="A","",(1-I357)*I356)</f>
        <v/>
      </c>
      <c r="J358" s="653"/>
      <c r="K358" s="656" t="str">
        <f>IF(L5="A","",(1-K357)*K356)</f>
        <v/>
      </c>
      <c r="L358" s="657" t="str">
        <f>IF(O5="A","",(1-L357)*L356)</f>
        <v/>
      </c>
      <c r="M358" s="653"/>
      <c r="N358" s="656" t="str">
        <f>IF(O5="A","",(1-N357)*N356)</f>
        <v/>
      </c>
      <c r="O358" s="657" t="str">
        <f>IF(R5="A","",(1-O357)*O356)</f>
        <v/>
      </c>
      <c r="P358" s="653"/>
      <c r="Q358" s="656" t="str">
        <f>IF(R5="A","",(1-Q357)*Q356)</f>
        <v/>
      </c>
      <c r="R358" s="657" t="str">
        <f>IF(U5="A","",(1-R357)*R356)</f>
        <v/>
      </c>
      <c r="S358" s="653"/>
      <c r="T358" s="656" t="str">
        <f>IF(U5="A","",(1-T357)*T356)</f>
        <v/>
      </c>
      <c r="U358" s="657" t="str">
        <f>IF(X5="A","",(1-U357)*U356)</f>
        <v/>
      </c>
      <c r="V358" s="653"/>
      <c r="W358" s="656" t="str">
        <f>IF(X5="A","",(1-W357)*W356)</f>
        <v/>
      </c>
      <c r="X358" s="657" t="str">
        <f>IF(AA5="A","",(1-X357)*X356)</f>
        <v/>
      </c>
      <c r="Y358" s="653"/>
      <c r="Z358" s="656" t="str">
        <f>IF(AA5="A","",(1-Z357)*Z356)</f>
        <v/>
      </c>
      <c r="AA358" s="657" t="str">
        <f>IF(AD5="A","",(1-AA357)*AA356)</f>
        <v/>
      </c>
      <c r="AB358" s="653"/>
      <c r="AC358" s="656" t="str">
        <f>IF(AD5="A","",(1-AC357)*AC356)</f>
        <v/>
      </c>
      <c r="AD358" s="657" t="str">
        <f>IF(AG5="A","",(1-AD357)*AD356)</f>
        <v/>
      </c>
      <c r="AE358" s="653"/>
      <c r="AF358" s="656" t="str">
        <f>IF(AG5="A","",(1-AF357)*AF356)</f>
        <v/>
      </c>
      <c r="AG358" s="657" t="str">
        <f>IF(AJ5="A","",(1-AG357)*AG356)</f>
        <v/>
      </c>
      <c r="AH358" s="653"/>
      <c r="AI358" s="656" t="str">
        <f>IF(AJ5="A","",(1-AI357)*AI356)</f>
        <v/>
      </c>
      <c r="AJ358" s="657" t="str">
        <f>IF(AM5="A","",(1-AJ357)*AJ356)</f>
        <v/>
      </c>
      <c r="AK358" s="653"/>
      <c r="AL358" s="656" t="str">
        <f>IF(AM5="A","",(1-AL357)*AL356)</f>
        <v/>
      </c>
      <c r="AM358" s="657" t="str">
        <f>IF(AO5="A","",(1-AM357)*AM356)</f>
        <v/>
      </c>
      <c r="AN358" s="653"/>
      <c r="AO358" s="656" t="str">
        <f>IF(AP5="A","",(1-AO357)*AO356)</f>
        <v/>
      </c>
      <c r="AP358" s="657" t="str">
        <f>IF(AR5="A","",(1-AP357)*AP356)</f>
        <v/>
      </c>
      <c r="AQ358" s="653"/>
      <c r="AR358" s="656" t="str">
        <f>IF(AS5="A","",(1-AR357)*AR356)</f>
        <v/>
      </c>
      <c r="AS358" s="657" t="str">
        <f>IF(AU5="A","",(1-AS357)*AS356)</f>
        <v/>
      </c>
      <c r="AT358" s="653"/>
      <c r="AU358" s="656" t="str">
        <f>IF(AV5="A","",(1-AU357)*AU356)</f>
        <v/>
      </c>
      <c r="AV358" s="657" t="str">
        <f>IF(AX5="A","",(1-AV357)*AV356)</f>
        <v/>
      </c>
      <c r="AW358" s="653"/>
      <c r="AX358" s="656" t="str">
        <f>IF(AY5="A","",(1-AX357)*AX356)</f>
        <v/>
      </c>
      <c r="AY358" s="657"/>
      <c r="AZ358" s="653"/>
      <c r="BA358" s="656"/>
      <c r="BB358" s="657"/>
      <c r="BC358" s="653"/>
      <c r="BD358" s="656" t="str">
        <f>IF(BE5="A","",(1-BD357)*BD356)</f>
        <v/>
      </c>
      <c r="BE358" s="657" t="str">
        <f>IF(BG5="A","",(1-BE357)*BE356)</f>
        <v/>
      </c>
      <c r="BF358" s="653"/>
      <c r="BG358" s="656" t="str">
        <f>IF(BH5="A","",(1-BG357)*BG356)</f>
        <v/>
      </c>
      <c r="BH358" s="657" t="str">
        <f>IF(BJ5="A","",(1-BH357)*BH356)</f>
        <v/>
      </c>
      <c r="BI358" s="653"/>
      <c r="BJ358" s="656" t="str">
        <f>IF(BK5="A","",(1-BJ357)*BJ356)</f>
        <v/>
      </c>
      <c r="BK358" s="657" t="str">
        <f>IF(BM5="A","",(1-BK357)*BK356)</f>
        <v/>
      </c>
      <c r="BL358" s="653"/>
      <c r="BM358" s="656" t="str">
        <f>IF(BN5="A","",(1-BM357)*BM356)</f>
        <v/>
      </c>
      <c r="BN358" s="657" t="str">
        <f>IF(BO5="A","",(1-BN357)*BN356)</f>
        <v/>
      </c>
      <c r="BO358" s="653"/>
      <c r="BP358" s="656" t="str">
        <f>IF(BQ5="A","",(1-BP357)*BP356)</f>
        <v/>
      </c>
      <c r="BQ358" s="657" t="str">
        <f>IF(BR5="A","",(1-BQ357)*BQ356)</f>
        <v/>
      </c>
      <c r="BR358" s="653"/>
      <c r="BS358" s="656" t="str">
        <f>IF(BT5="A","",(1-BS357)*BS356)</f>
        <v/>
      </c>
      <c r="BT358" s="657" t="str">
        <f>IF(BU5="A","",(1-BT357)*BT356)</f>
        <v/>
      </c>
      <c r="BU358" s="653"/>
      <c r="BV358" s="656" t="str">
        <f>IF(BW5="A","",(1-BV357)*BV356)</f>
        <v/>
      </c>
      <c r="BW358" s="657" t="str">
        <f>IF(BX5="A","",(1-BW357)*BW356)</f>
        <v/>
      </c>
      <c r="BX358" s="653"/>
      <c r="BY358" s="656" t="str">
        <f>IF(BZ5="A","",(1-BY357)*BY356)</f>
        <v/>
      </c>
      <c r="BZ358" s="657" t="str">
        <f>IF(CA5="A","",(1-BZ357)*BZ356)</f>
        <v/>
      </c>
      <c r="CA358" s="653"/>
      <c r="CB358" s="656" t="str">
        <f>IF(CC5="A","",(1-CB357)*CB356)</f>
        <v/>
      </c>
      <c r="CC358" s="657" t="str">
        <f>IF(CD5="A","",(1-CC357)*CC356)</f>
        <v/>
      </c>
      <c r="CD358" s="653"/>
      <c r="CE358" s="656" t="str">
        <f>IF(CF5="A","",(1-CE357)*CE356)</f>
        <v/>
      </c>
      <c r="CF358" s="657" t="str">
        <f>IF(CG5="A","",(1-CF357)*CF356)</f>
        <v/>
      </c>
      <c r="CG358" s="653"/>
      <c r="CH358" s="656" t="str">
        <f>IF(CI5="A","",(1-CH357)*CH356)</f>
        <v/>
      </c>
      <c r="CI358" s="657" t="str">
        <f>IF(CJ5="A","",(1-CI357)*CI356)</f>
        <v/>
      </c>
      <c r="CJ358" s="653"/>
      <c r="CK358" s="656" t="str">
        <f>IF(CL5="A","",(1-CK357)*CK356)</f>
        <v/>
      </c>
      <c r="CL358" s="657" t="str">
        <f>IF(CM5="A","",(1-CL357)*CL356)</f>
        <v/>
      </c>
      <c r="CM358" s="653"/>
      <c r="CN358" s="656" t="str">
        <f>IF(CO5="A","",(1-CN357)*CN356)</f>
        <v/>
      </c>
      <c r="CO358" s="657" t="str">
        <f>IF(CP5="A","",(1-CO357)*CO356)</f>
        <v/>
      </c>
      <c r="CP358" s="653"/>
      <c r="CQ358" s="656" t="str">
        <f>IF(CR5="A","",(1-CQ357)*CQ356)</f>
        <v/>
      </c>
      <c r="CR358" s="657" t="str">
        <f>IF(CS5="A","",(1-CR357)*CR356)</f>
        <v/>
      </c>
      <c r="CS358" s="653"/>
      <c r="CT358" s="656" t="str">
        <f>IF(CU5="A","",(1-CT357)*CT356)</f>
        <v/>
      </c>
      <c r="CU358" s="657" t="str">
        <f>IF(CV5="A","",(1-CU357)*CU356)</f>
        <v/>
      </c>
      <c r="CV358" s="653"/>
      <c r="CW358" s="656" t="str">
        <f>IF(CX5="A","",(1-CW357)*CW356)</f>
        <v/>
      </c>
      <c r="CX358" s="657" t="str">
        <f>IF(CY5="A","",(1-CX357)*CX356)</f>
        <v/>
      </c>
      <c r="CY358" s="653"/>
      <c r="CZ358" s="656" t="str">
        <f>IF(DA5="A","",(1-CZ357)*CZ356)</f>
        <v/>
      </c>
      <c r="DA358" s="657" t="str">
        <f>IF(DB5="A","",(1-DA357)*DA356)</f>
        <v/>
      </c>
      <c r="DB358" s="653"/>
      <c r="DC358" s="656" t="str">
        <f>IF(DD5="A","",(1-DC357)*DC356)</f>
        <v/>
      </c>
      <c r="DD358" s="657" t="str">
        <f>IF(DE5="A","",(1-DD357)*DD356)</f>
        <v/>
      </c>
      <c r="DE358" s="653"/>
      <c r="DF358" s="656" t="str">
        <f>IF(DG5="A","",(1-DF357)*DF356)</f>
        <v/>
      </c>
      <c r="DG358" s="1236" t="str">
        <f>IF(DH5="A","",(1-DG357)*DG356)</f>
        <v/>
      </c>
      <c r="DH358" s="1294"/>
      <c r="DI358" s="1236" t="str">
        <f>IF(DJ5="A","",(1-DI357)*DI356)</f>
        <v/>
      </c>
      <c r="DJ358" s="1236" t="str">
        <f>IF(DK5="A","",(1-DJ357)*DJ356)</f>
        <v/>
      </c>
      <c r="DK358" s="1294"/>
      <c r="DL358" s="1236" t="str">
        <f>IF(DM5="A","",(1-DL357)*DL356)</f>
        <v/>
      </c>
      <c r="DM358" s="1236" t="str">
        <f>IF(DN5="A","",(1-DM357)*DM356)</f>
        <v/>
      </c>
      <c r="DN358" s="1294"/>
      <c r="DO358" s="1236" t="str">
        <f>IF(DP5="A","",(1-DO357)*DO356)</f>
        <v/>
      </c>
      <c r="DP358" s="1236" t="str">
        <f>IF(DQ5="A","",(1-DP357)*DP356)</f>
        <v/>
      </c>
      <c r="DQ358" s="1294"/>
      <c r="DR358" s="1236" t="str">
        <f>IF(DS5="A","",(1-DR357)*DR356)</f>
        <v/>
      </c>
      <c r="DS358" s="1236" t="str">
        <f>IF(DT5="A","",(1-DS357)*DS356)</f>
        <v/>
      </c>
      <c r="DT358" s="1294"/>
      <c r="DU358" s="1236" t="str">
        <f>IF(DV5="A","",(1-DU357)*DU356)</f>
        <v/>
      </c>
      <c r="DV358" s="1236" t="str">
        <f>IF(DW5="A","",(1-DV357)*DV356)</f>
        <v/>
      </c>
      <c r="DW358" s="1294"/>
      <c r="DX358" s="1236">
        <f>IF(DY5="A","",(1-DX357)*DX356)</f>
        <v>199.22</v>
      </c>
      <c r="DY358" s="1236">
        <f>IF(DZ5="A","",(1-DY357)*DY356)</f>
        <v>199.22</v>
      </c>
      <c r="DZ358" s="1294"/>
      <c r="EA358" s="1236">
        <f>IF(EB5="A","",(1-EA357)*EA356)</f>
        <v>199.22</v>
      </c>
      <c r="EB358" s="1236">
        <f>IF(EC5="A","",(1-EB357)*EB356)</f>
        <v>199.22</v>
      </c>
      <c r="EC358" s="1294"/>
      <c r="ED358" s="1236">
        <f>IF(EE5="A","",(1-ED357)*ED356)</f>
        <v>199.22</v>
      </c>
      <c r="EE358" s="1236">
        <f>IF(EF5="A","",(1-EE357)*EE356)</f>
        <v>199.22</v>
      </c>
      <c r="EF358" s="1294"/>
      <c r="EG358" s="1236">
        <f>IF(EH5="A","",(1-EG357)*EG356)</f>
        <v>199.22</v>
      </c>
      <c r="EH358" s="1236">
        <f>IF(EI5="A","",(1-EH357)*EH356)</f>
        <v>199.22</v>
      </c>
      <c r="EI358" s="1294"/>
      <c r="EJ358" s="1236">
        <f>IF(EK5="A","",(1-EJ357)*EJ356)</f>
        <v>199.22</v>
      </c>
      <c r="EK358" s="1236">
        <f>IF(EL5="A","",(1-EK357)*EK356)</f>
        <v>199.22</v>
      </c>
      <c r="EL358" s="1294"/>
      <c r="EM358" s="1236">
        <f>IF(EN5="A","",(1-EM357)*EM356)</f>
        <v>199.22</v>
      </c>
      <c r="EN358" s="1236">
        <f>IF(EO5="A","",(1-EN357)*EN356)</f>
        <v>199.22</v>
      </c>
      <c r="EO358" s="1294"/>
      <c r="EP358" s="1236">
        <f>IF(EQ5="A","",(1-EP357)*EP356)</f>
        <v>199.22</v>
      </c>
      <c r="EQ358" s="1236">
        <f>IF(ER5="A","",(1-EQ357)*EQ356)</f>
        <v>199.22</v>
      </c>
      <c r="ER358" s="1294"/>
      <c r="ES358" s="1236">
        <f>IF(ET5="A","",(1-ES357)*ES356)</f>
        <v>199.22</v>
      </c>
      <c r="ET358" s="1236">
        <f>IF(EU5="A","",(1-ET357)*ET356)</f>
        <v>199.22</v>
      </c>
      <c r="EU358" s="1294"/>
      <c r="EV358" s="1236">
        <f>IF(EW5="A","",(1-EV357)*EV356)</f>
        <v>199.22</v>
      </c>
      <c r="EW358" s="1236">
        <f>IF(EX5="A","",(1-EW357)*EW356)</f>
        <v>199.22</v>
      </c>
      <c r="EX358" s="1294"/>
      <c r="EY358" s="1236">
        <f>IF(EZ5="A","",(1-EY357)*EY356)</f>
        <v>199.22</v>
      </c>
      <c r="EZ358" s="1236">
        <f>IF(FA5="A","",(1-EZ357)*EZ356)</f>
        <v>199.22</v>
      </c>
      <c r="FA358" s="1294"/>
      <c r="FE358"/>
      <c r="FF358"/>
      <c r="FG358"/>
      <c r="FH358"/>
      <c r="FI358"/>
      <c r="FJ358"/>
      <c r="FK358" s="35"/>
    </row>
    <row r="359" spans="2:167" s="450" customFormat="1" ht="13.35" customHeight="1" thickBot="1">
      <c r="B359" s="242" t="s">
        <v>565</v>
      </c>
      <c r="C359" s="242" t="s">
        <v>566</v>
      </c>
      <c r="D359" s="243"/>
      <c r="E359" s="658" t="str">
        <f>IF(F5="A","",E355/E358)</f>
        <v/>
      </c>
      <c r="F359" s="659" t="str">
        <f>IF(I5="A","",F355/F358)</f>
        <v/>
      </c>
      <c r="G359" s="660"/>
      <c r="H359" s="658" t="str">
        <f>IF(I5="A","",H355/H358)</f>
        <v/>
      </c>
      <c r="I359" s="659" t="str">
        <f>IF(L5="A","",I355/I358)</f>
        <v/>
      </c>
      <c r="J359" s="660"/>
      <c r="K359" s="658" t="str">
        <f>IF(L5="A","",K355/K358)</f>
        <v/>
      </c>
      <c r="L359" s="659" t="str">
        <f>IF(O5="A","",L355/L358)</f>
        <v/>
      </c>
      <c r="M359" s="660"/>
      <c r="N359" s="658" t="str">
        <f>IF(O5="A","",N355/N358)</f>
        <v/>
      </c>
      <c r="O359" s="659" t="str">
        <f>IF(R5="A","",O355/O358)</f>
        <v/>
      </c>
      <c r="P359" s="660"/>
      <c r="Q359" s="658" t="str">
        <f>IF(R5="A","",Q355/Q358)</f>
        <v/>
      </c>
      <c r="R359" s="659" t="str">
        <f>IF(U5="A","",R355/R358)</f>
        <v/>
      </c>
      <c r="S359" s="660"/>
      <c r="T359" s="658" t="str">
        <f>IF(U5="A","",T355/T358)</f>
        <v/>
      </c>
      <c r="U359" s="659" t="str">
        <f>IF(X5="A","",U355/U358)</f>
        <v/>
      </c>
      <c r="V359" s="660"/>
      <c r="W359" s="658" t="str">
        <f>IF(X5="A","",W355/W358)</f>
        <v/>
      </c>
      <c r="X359" s="659" t="str">
        <f>IF(AA5="A","",X355/X358)</f>
        <v/>
      </c>
      <c r="Y359" s="660"/>
      <c r="Z359" s="658" t="str">
        <f>IF(AA5="A","",Z355/Z358)</f>
        <v/>
      </c>
      <c r="AA359" s="659" t="str">
        <f>IF(AD5="A","",AA355/AA358)</f>
        <v/>
      </c>
      <c r="AB359" s="660"/>
      <c r="AC359" s="658" t="str">
        <f>IF(AD5="A","",AC355/AC358)</f>
        <v/>
      </c>
      <c r="AD359" s="659" t="str">
        <f>IF(AG5="A","",AD355/AD358)</f>
        <v/>
      </c>
      <c r="AE359" s="660"/>
      <c r="AF359" s="658" t="str">
        <f>IF(AG5="A","",AF355/AF358)</f>
        <v/>
      </c>
      <c r="AG359" s="659" t="str">
        <f>IF(AJ5="A","",AG355/AG358)</f>
        <v/>
      </c>
      <c r="AH359" s="660"/>
      <c r="AI359" s="658" t="str">
        <f>IF(AJ5="A","",AI355/AI358)</f>
        <v/>
      </c>
      <c r="AJ359" s="659" t="str">
        <f>IF(AM5="A","",AJ355/AJ358)</f>
        <v/>
      </c>
      <c r="AK359" s="660"/>
      <c r="AL359" s="658" t="str">
        <f>IF(AM5="A","",AL355/AL358)</f>
        <v/>
      </c>
      <c r="AM359" s="659" t="str">
        <f>IF(AO5="A","",AM355/AM358)</f>
        <v/>
      </c>
      <c r="AN359" s="660"/>
      <c r="AO359" s="658" t="str">
        <f>IF(AP5="A","",AO355/AO358)</f>
        <v/>
      </c>
      <c r="AP359" s="659" t="str">
        <f>IF(AR5="A","",AP355/AP358)</f>
        <v/>
      </c>
      <c r="AQ359" s="660"/>
      <c r="AR359" s="658" t="str">
        <f>IF(AS5="A","",AR355/AR358)</f>
        <v/>
      </c>
      <c r="AS359" s="659" t="str">
        <f>IF(AU5="A","",AS355/AS358)</f>
        <v/>
      </c>
      <c r="AT359" s="660"/>
      <c r="AU359" s="658" t="str">
        <f>IF(AV5="A","",AU355/AU358)</f>
        <v/>
      </c>
      <c r="AV359" s="659" t="str">
        <f>IF(AX5="A","",AV355/AV358)</f>
        <v/>
      </c>
      <c r="AW359" s="660"/>
      <c r="AX359" s="658" t="str">
        <f>IF(AY5="A","",AX355/AX358)</f>
        <v/>
      </c>
      <c r="AY359" s="659"/>
      <c r="AZ359" s="660"/>
      <c r="BA359" s="658"/>
      <c r="BB359" s="659"/>
      <c r="BC359" s="660"/>
      <c r="BD359" s="658" t="str">
        <f>IF(BE5="A","",BD355/BD358)</f>
        <v/>
      </c>
      <c r="BE359" s="659" t="str">
        <f>IF(BG5="A","",BE355/BE358)</f>
        <v/>
      </c>
      <c r="BF359" s="660"/>
      <c r="BG359" s="658" t="str">
        <f>IF(BH5="A","",BG355/BG358)</f>
        <v/>
      </c>
      <c r="BH359" s="659" t="str">
        <f>IF(BJ5="A","",BH355/BH358)</f>
        <v/>
      </c>
      <c r="BI359" s="660"/>
      <c r="BJ359" s="658" t="str">
        <f>IF(BK5="A","",BJ355/BJ358)</f>
        <v/>
      </c>
      <c r="BK359" s="659" t="str">
        <f>IF(BM5="A","",BK355/BK358)</f>
        <v/>
      </c>
      <c r="BL359" s="660"/>
      <c r="BM359" s="658" t="str">
        <f>IF(BN5="A","",BM355/BM358)</f>
        <v/>
      </c>
      <c r="BN359" s="659" t="str">
        <f>IF(BO5="A","",BN355/BN358)</f>
        <v/>
      </c>
      <c r="BO359" s="660"/>
      <c r="BP359" s="658" t="str">
        <f>IF(BQ5="A","",BP355/BP358)</f>
        <v/>
      </c>
      <c r="BQ359" s="659" t="str">
        <f>IF(BR5="A","",BQ355/BQ358)</f>
        <v/>
      </c>
      <c r="BR359" s="660"/>
      <c r="BS359" s="658" t="str">
        <f>IF(BT5="A","",BS355/BS358)</f>
        <v/>
      </c>
      <c r="BT359" s="659" t="str">
        <f>IF(BU5="A","",BT355/BT358)</f>
        <v/>
      </c>
      <c r="BU359" s="660"/>
      <c r="BV359" s="658" t="str">
        <f>IF(BW5="A","",BV355/BV358)</f>
        <v/>
      </c>
      <c r="BW359" s="659" t="str">
        <f>IF(BX5="A","",BW355/BW358)</f>
        <v/>
      </c>
      <c r="BX359" s="660"/>
      <c r="BY359" s="658" t="str">
        <f>IF(BZ5="A","",BY355/BY358)</f>
        <v/>
      </c>
      <c r="BZ359" s="659" t="str">
        <f>IF(CA5="A","",BZ355/BZ358)</f>
        <v/>
      </c>
      <c r="CA359" s="660"/>
      <c r="CB359" s="658" t="str">
        <f>IF(CC5="A","",CB355/CB358)</f>
        <v/>
      </c>
      <c r="CC359" s="659" t="str">
        <f>IF(CD5="A","",CC355/CC358)</f>
        <v/>
      </c>
      <c r="CD359" s="660"/>
      <c r="CE359" s="658" t="str">
        <f>IF(CF5="A","",CE355/CE358)</f>
        <v/>
      </c>
      <c r="CF359" s="659" t="str">
        <f>IF(CG5="A","",CF355/CF358)</f>
        <v/>
      </c>
      <c r="CG359" s="660"/>
      <c r="CH359" s="658" t="str">
        <f>IF(CI5="A","",CH355/CH358)</f>
        <v/>
      </c>
      <c r="CI359" s="659" t="str">
        <f>IF(CJ5="A","",CI355/CI358)</f>
        <v/>
      </c>
      <c r="CJ359" s="660"/>
      <c r="CK359" s="658" t="str">
        <f>IF(CL5="A","",CK355/CK358)</f>
        <v/>
      </c>
      <c r="CL359" s="659" t="str">
        <f>IF(CM5="A","",CL355/CL358)</f>
        <v/>
      </c>
      <c r="CM359" s="660"/>
      <c r="CN359" s="658" t="str">
        <f>IF(CO5="A","",CN355/CN358)</f>
        <v/>
      </c>
      <c r="CO359" s="659" t="str">
        <f>IF(CP5="A","",CO355/CO358)</f>
        <v/>
      </c>
      <c r="CP359" s="660"/>
      <c r="CQ359" s="658" t="str">
        <f>IF(CR5="A","",CQ355/CQ358)</f>
        <v/>
      </c>
      <c r="CR359" s="659" t="str">
        <f>IF(CS5="A","",CR355/CR358)</f>
        <v/>
      </c>
      <c r="CS359" s="660"/>
      <c r="CT359" s="658" t="str">
        <f>IF(CU5="A","",CT355/CT358)</f>
        <v/>
      </c>
      <c r="CU359" s="659" t="str">
        <f>IF(CV5="A","",CU355/CU358)</f>
        <v/>
      </c>
      <c r="CV359" s="660"/>
      <c r="CW359" s="658" t="str">
        <f>IF(CX5="A","",CW355/CW358)</f>
        <v/>
      </c>
      <c r="CX359" s="659" t="str">
        <f>IF(CY5="A","",CX355/CX358)</f>
        <v/>
      </c>
      <c r="CY359" s="660"/>
      <c r="CZ359" s="658" t="str">
        <f>IF(DA5="A","",CZ355/CZ358)</f>
        <v/>
      </c>
      <c r="DA359" s="659" t="str">
        <f>IF(DB5="A","",DA355/DA358)</f>
        <v/>
      </c>
      <c r="DB359" s="660"/>
      <c r="DC359" s="658" t="str">
        <f>IF(DD5="A","",DC355/DC358)</f>
        <v/>
      </c>
      <c r="DD359" s="659" t="str">
        <f>IF(DE5="A","",DD355/DD358)</f>
        <v/>
      </c>
      <c r="DE359" s="660"/>
      <c r="DF359" s="658" t="str">
        <f>IF(DG5="A","",DF355/DF358)</f>
        <v/>
      </c>
      <c r="DG359" s="442" t="str">
        <f>IF(DH5="A","",DG355/DG358)</f>
        <v/>
      </c>
      <c r="DH359" s="1295"/>
      <c r="DI359" s="442" t="str">
        <f>IF(DJ5="A","",DI355/DI358)</f>
        <v/>
      </c>
      <c r="DJ359" s="442" t="str">
        <f>IF(DK5="A","",DJ355/DJ358)</f>
        <v/>
      </c>
      <c r="DK359" s="1295"/>
      <c r="DL359" s="442" t="str">
        <f>IF(DM5="A","",DL355/DL358)</f>
        <v/>
      </c>
      <c r="DM359" s="442" t="str">
        <f>IF(DN5="A","",DM355/DM358)</f>
        <v/>
      </c>
      <c r="DN359" s="1295"/>
      <c r="DO359" s="442" t="str">
        <f>IF(DP5="A","",DO355/DO358)</f>
        <v/>
      </c>
      <c r="DP359" s="442" t="str">
        <f>IF(DQ5="A","",DP355/DP358)</f>
        <v/>
      </c>
      <c r="DQ359" s="1295"/>
      <c r="DR359" s="442" t="str">
        <f>IF(DS5="A","",DR355/DR358)</f>
        <v/>
      </c>
      <c r="DS359" s="442" t="str">
        <f>IF(DT5="A","",DS355/DS358)</f>
        <v/>
      </c>
      <c r="DT359" s="1295"/>
      <c r="DU359" s="442" t="str">
        <f>IF(DV5="A","",DU355/DU358)</f>
        <v/>
      </c>
      <c r="DV359" s="442" t="str">
        <f>IF(DW5="A","",DV355/DV358)</f>
        <v/>
      </c>
      <c r="DW359" s="1295"/>
      <c r="DX359" s="442">
        <f>IF(DY5="A","",DX355/DX358)</f>
        <v>0</v>
      </c>
      <c r="DY359" s="442">
        <f>IF(DZ5="A","",DY355/DY358)</f>
        <v>0</v>
      </c>
      <c r="DZ359" s="1295"/>
      <c r="EA359" s="442">
        <f>IF(EB5="A","",EA355/EA358)</f>
        <v>0</v>
      </c>
      <c r="EB359" s="442">
        <f>IF(EC5="A","",EB355/EB358)</f>
        <v>0</v>
      </c>
      <c r="EC359" s="1295"/>
      <c r="ED359" s="442">
        <f>IF(EE5="A","",ED355/ED358)</f>
        <v>0</v>
      </c>
      <c r="EE359" s="442">
        <f>IF(EF5="A","",EE355/EE358)</f>
        <v>0</v>
      </c>
      <c r="EF359" s="1295"/>
      <c r="EG359" s="442">
        <f>IF(EH5="A","",EG355/EG358)</f>
        <v>0</v>
      </c>
      <c r="EH359" s="442">
        <f>IF(EI5="A","",EH355/EH358)</f>
        <v>0</v>
      </c>
      <c r="EI359" s="1295"/>
      <c r="EJ359" s="442">
        <f>IF(EK5="A","",EJ355/EJ358)</f>
        <v>0</v>
      </c>
      <c r="EK359" s="442">
        <f>IF(EL5="A","",EK355/EK358)</f>
        <v>0</v>
      </c>
      <c r="EL359" s="1295"/>
      <c r="EM359" s="442">
        <f>IF(EN5="A","",EM355/EM358)</f>
        <v>0</v>
      </c>
      <c r="EN359" s="442">
        <f>IF(EO5="A","",EN355/EN358)</f>
        <v>0</v>
      </c>
      <c r="EO359" s="1295"/>
      <c r="EP359" s="442">
        <f>IF(EQ5="A","",EP355/EP358)</f>
        <v>0</v>
      </c>
      <c r="EQ359" s="442">
        <f>IF(ER5="A","",EQ355/EQ358)</f>
        <v>0</v>
      </c>
      <c r="ER359" s="1295"/>
      <c r="ES359" s="442">
        <f>IF(ET5="A","",ES355/ES358)</f>
        <v>0</v>
      </c>
      <c r="ET359" s="442">
        <f>IF(EU5="A","",ET355/ET358)</f>
        <v>0</v>
      </c>
      <c r="EU359" s="1295"/>
      <c r="EV359" s="442">
        <f>IF(EW5="A","",EV355/EV358)</f>
        <v>0</v>
      </c>
      <c r="EW359" s="442">
        <f>IF(EX5="A","",EW355/EW358)</f>
        <v>0</v>
      </c>
      <c r="EX359" s="1295"/>
      <c r="EY359" s="442">
        <f>IF(EZ5="A","",EY355/EY358)</f>
        <v>0</v>
      </c>
      <c r="EZ359" s="442">
        <f>IF(FA5="A","",EZ355/EZ358)</f>
        <v>0</v>
      </c>
      <c r="FA359" s="1295"/>
      <c r="FE359"/>
      <c r="FF359"/>
      <c r="FG359"/>
      <c r="FH359"/>
      <c r="FI359"/>
      <c r="FJ359"/>
      <c r="FK359" s="35"/>
    </row>
    <row r="360" spans="2:167" s="450" customFormat="1" ht="13.35" customHeight="1" thickBot="1">
      <c r="B360" s="242" t="s">
        <v>567</v>
      </c>
      <c r="C360" s="242" t="s">
        <v>621</v>
      </c>
      <c r="D360" s="243"/>
      <c r="E360" s="661"/>
      <c r="F360" s="662"/>
      <c r="G360" s="663"/>
      <c r="H360" s="661"/>
      <c r="I360" s="662"/>
      <c r="J360" s="663"/>
      <c r="K360" s="661"/>
      <c r="L360" s="662"/>
      <c r="M360" s="663"/>
      <c r="N360" s="661"/>
      <c r="O360" s="662"/>
      <c r="P360" s="663"/>
      <c r="Q360" s="661"/>
      <c r="R360" s="662"/>
      <c r="S360" s="663"/>
      <c r="T360" s="661"/>
      <c r="U360" s="662"/>
      <c r="V360" s="663"/>
      <c r="W360" s="661"/>
      <c r="X360" s="662"/>
      <c r="Y360" s="663"/>
      <c r="Z360" s="661"/>
      <c r="AA360" s="662"/>
      <c r="AB360" s="663"/>
      <c r="AC360" s="661"/>
      <c r="AD360" s="662"/>
      <c r="AE360" s="663"/>
      <c r="AF360" s="661"/>
      <c r="AG360" s="662"/>
      <c r="AH360" s="663"/>
      <c r="AI360" s="661"/>
      <c r="AJ360" s="662"/>
      <c r="AK360" s="663"/>
      <c r="AL360" s="661"/>
      <c r="AM360" s="662"/>
      <c r="AN360" s="663"/>
      <c r="AO360" s="661"/>
      <c r="AP360" s="662"/>
      <c r="AQ360" s="663"/>
      <c r="AR360" s="661"/>
      <c r="AS360" s="662"/>
      <c r="AT360" s="663"/>
      <c r="AU360" s="661"/>
      <c r="AV360" s="662"/>
      <c r="AW360" s="663"/>
      <c r="AX360" s="661"/>
      <c r="AY360" s="662"/>
      <c r="AZ360" s="663"/>
      <c r="BA360" s="661"/>
      <c r="BB360" s="662"/>
      <c r="BC360" s="663"/>
      <c r="BD360" s="661">
        <f>IF(Assumptions!BD229&lt;&gt;"",Assumptions!BD229,0)</f>
        <v>0</v>
      </c>
      <c r="BE360" s="662">
        <f>IF(Assumptions!BE229&lt;&gt;"",Assumptions!BE229,0)</f>
        <v>0</v>
      </c>
      <c r="BF360" s="663"/>
      <c r="BG360" s="661">
        <f>IF(Assumptions!BG229&lt;&gt;"",Assumptions!BG229,0)</f>
        <v>0</v>
      </c>
      <c r="BH360" s="662">
        <f>IF(Assumptions!BH229&lt;&gt;"",Assumptions!BH229,0)</f>
        <v>0</v>
      </c>
      <c r="BI360" s="663"/>
      <c r="BJ360" s="661">
        <f>IF(Assumptions!BJ229&lt;&gt;"",Assumptions!BJ229,0)</f>
        <v>0</v>
      </c>
      <c r="BK360" s="662">
        <f>IF(Assumptions!BK229&lt;&gt;"",Assumptions!BK229,0)</f>
        <v>0</v>
      </c>
      <c r="BL360" s="663"/>
      <c r="BM360" s="661">
        <f>IF(Assumptions!BM229&lt;&gt;"",Assumptions!BM229,0)</f>
        <v>0</v>
      </c>
      <c r="BN360" s="662">
        <f>IF(Assumptions!BN229&lt;&gt;"",Assumptions!BN229,0)</f>
        <v>0</v>
      </c>
      <c r="BO360" s="663"/>
      <c r="BP360" s="661">
        <f>IF(Assumptions!BP229&lt;&gt;"",Assumptions!BP229,0)</f>
        <v>0</v>
      </c>
      <c r="BQ360" s="662">
        <f>IF(Assumptions!BQ229&lt;&gt;"",Assumptions!BQ229,0)</f>
        <v>0</v>
      </c>
      <c r="BR360" s="663"/>
      <c r="BS360" s="661">
        <f>IF(Assumptions!BS229&lt;&gt;"",Assumptions!BS229,0)</f>
        <v>0</v>
      </c>
      <c r="BT360" s="662">
        <f>IF(Assumptions!BT229&lt;&gt;"",Assumptions!BT229,0)</f>
        <v>0</v>
      </c>
      <c r="BU360" s="663"/>
      <c r="BV360" s="661">
        <f>IF(Assumptions!BV229&lt;&gt;"",Assumptions!BV229,0)</f>
        <v>0</v>
      </c>
      <c r="BW360" s="662">
        <f>IF(Assumptions!BW229&lt;&gt;"",Assumptions!BW229,0)</f>
        <v>0</v>
      </c>
      <c r="BX360" s="663"/>
      <c r="BY360" s="661">
        <f>IF(Assumptions!BY229&lt;&gt;"",Assumptions!BY229,0)</f>
        <v>0</v>
      </c>
      <c r="BZ360" s="662">
        <f>IF(Assumptions!BZ229&lt;&gt;"",Assumptions!BZ229,0)</f>
        <v>0</v>
      </c>
      <c r="CA360" s="663"/>
      <c r="CB360" s="661">
        <f>IF(Assumptions!CB229&lt;&gt;"",Assumptions!CB229,0)</f>
        <v>0</v>
      </c>
      <c r="CC360" s="662">
        <f>IF(Assumptions!CC229&lt;&gt;"",Assumptions!CC229,0)</f>
        <v>0</v>
      </c>
      <c r="CD360" s="663"/>
      <c r="CE360" s="661">
        <f>IF(Assumptions!CE229&lt;&gt;"",Assumptions!CE229,0)</f>
        <v>0</v>
      </c>
      <c r="CF360" s="662">
        <f>IF(Assumptions!CF229&lt;&gt;"",Assumptions!CF229,0)</f>
        <v>0</v>
      </c>
      <c r="CG360" s="663"/>
      <c r="CH360" s="661">
        <f>IF(Assumptions!CH229&lt;&gt;"",Assumptions!CH229,0)</f>
        <v>0</v>
      </c>
      <c r="CI360" s="662">
        <f>IF(Assumptions!CI229&lt;&gt;"",Assumptions!CI229,0)</f>
        <v>0</v>
      </c>
      <c r="CJ360" s="663"/>
      <c r="CK360" s="661">
        <f>IF(Assumptions!CK229&lt;&gt;"",Assumptions!CK229,0)</f>
        <v>0</v>
      </c>
      <c r="CL360" s="662">
        <f>IF(Assumptions!CL229&lt;&gt;"",Assumptions!CL229,0)</f>
        <v>0</v>
      </c>
      <c r="CM360" s="663"/>
      <c r="CN360" s="661">
        <f>IF(Assumptions!CN229&lt;&gt;"",Assumptions!CN229,0)</f>
        <v>0</v>
      </c>
      <c r="CO360" s="662">
        <f>IF(Assumptions!CO229&lt;&gt;"",Assumptions!CO229,0)</f>
        <v>0</v>
      </c>
      <c r="CP360" s="663"/>
      <c r="CQ360" s="661">
        <f>IF(Assumptions!CQ229&lt;&gt;"",Assumptions!CQ229,0)</f>
        <v>0</v>
      </c>
      <c r="CR360" s="662">
        <f>IF(Assumptions!CR229&lt;&gt;"",Assumptions!CR229,0)</f>
        <v>0</v>
      </c>
      <c r="CS360" s="663"/>
      <c r="CT360" s="661">
        <f>IF(Assumptions!CT229&lt;&gt;"",Assumptions!CT229,0)</f>
        <v>0</v>
      </c>
      <c r="CU360" s="662">
        <f>IF(Assumptions!CU229&lt;&gt;"",Assumptions!CU229,0)</f>
        <v>0</v>
      </c>
      <c r="CV360" s="663"/>
      <c r="CW360" s="661">
        <f>IF(Assumptions!CW229&lt;&gt;"",Assumptions!CW229,0)</f>
        <v>0</v>
      </c>
      <c r="CX360" s="662">
        <f>IF(Assumptions!CX229&lt;&gt;"",Assumptions!CX229,0)</f>
        <v>0</v>
      </c>
      <c r="CY360" s="663"/>
      <c r="CZ360" s="661">
        <f>IF(Assumptions!CZ229&lt;&gt;"",Assumptions!CZ229,0)</f>
        <v>0</v>
      </c>
      <c r="DA360" s="662">
        <f>IF(Assumptions!DA229&lt;&gt;"",Assumptions!DA229,0)</f>
        <v>0</v>
      </c>
      <c r="DB360" s="663"/>
      <c r="DC360" s="661">
        <f>IF(Assumptions!DC229&lt;&gt;"",Assumptions!DC229,0)</f>
        <v>0</v>
      </c>
      <c r="DD360" s="662">
        <f>IF(Assumptions!DD229&lt;&gt;"",Assumptions!DD229,0)</f>
        <v>0</v>
      </c>
      <c r="DE360" s="663"/>
      <c r="DF360" s="661">
        <f>IF(Assumptions!DF229&lt;&gt;"",Assumptions!DF229,0)</f>
        <v>0</v>
      </c>
      <c r="DG360" s="1237">
        <f>IF(Assumptions!DG229&lt;&gt;"",Assumptions!DG229,0)</f>
        <v>0</v>
      </c>
      <c r="DH360" s="1296"/>
      <c r="DI360" s="1499">
        <f>IF(Assumptions!DI229&lt;&gt;"",Assumptions!DI229,0)</f>
        <v>0</v>
      </c>
      <c r="DJ360" s="1499">
        <f>IF(Assumptions!DJ229&lt;&gt;"",Assumptions!DJ229,0)</f>
        <v>0</v>
      </c>
      <c r="DK360" s="1296"/>
      <c r="DL360" s="1499">
        <f>IF(Assumptions!DL229&lt;&gt;"",Assumptions!DL229,0)</f>
        <v>0</v>
      </c>
      <c r="DM360" s="1499">
        <f>IF(Assumptions!DM229&lt;&gt;"",Assumptions!DM229,0)</f>
        <v>0</v>
      </c>
      <c r="DN360" s="1296"/>
      <c r="DO360" s="1499">
        <f>IF(Assumptions!DO229&lt;&gt;"",Assumptions!DO229,0)</f>
        <v>0</v>
      </c>
      <c r="DP360" s="1499">
        <f>IF(Assumptions!DP229&lt;&gt;"",Assumptions!DP229,0)</f>
        <v>0</v>
      </c>
      <c r="DQ360" s="1296"/>
      <c r="DR360" s="1499">
        <f>IF(Assumptions!DR229&lt;&gt;"",Assumptions!DR229,0)</f>
        <v>0</v>
      </c>
      <c r="DS360" s="1499">
        <f>IF(Assumptions!DS229&lt;&gt;"",Assumptions!DS229,0)</f>
        <v>0</v>
      </c>
      <c r="DT360" s="1296"/>
      <c r="DU360" s="1499">
        <f>IF(Assumptions!DU229&lt;&gt;"",Assumptions!DU229,0)</f>
        <v>0</v>
      </c>
      <c r="DV360" s="1499">
        <f>IF(Assumptions!DV229&lt;&gt;"",Assumptions!DV229,0)</f>
        <v>0</v>
      </c>
      <c r="DW360" s="1296"/>
      <c r="DX360" s="1499">
        <f>IF(Assumptions!DX229&lt;&gt;"",Assumptions!DX229,0)</f>
        <v>0</v>
      </c>
      <c r="DY360" s="1499">
        <f>IF(Assumptions!DY229&lt;&gt;"",Assumptions!DY229,0)</f>
        <v>0</v>
      </c>
      <c r="DZ360" s="1296"/>
      <c r="EA360" s="1499">
        <f>IF(Assumptions!EA229&lt;&gt;"",Assumptions!EA229,0)</f>
        <v>0</v>
      </c>
      <c r="EB360" s="1499">
        <f>IF(Assumptions!EB229&lt;&gt;"",Assumptions!EB229,0)</f>
        <v>0</v>
      </c>
      <c r="EC360" s="1296"/>
      <c r="ED360" s="1499">
        <f>IF(Assumptions!ED229&lt;&gt;"",Assumptions!ED229,0)</f>
        <v>0</v>
      </c>
      <c r="EE360" s="1499">
        <f>IF(Assumptions!EE229&lt;&gt;"",Assumptions!EE229,0)</f>
        <v>0</v>
      </c>
      <c r="EF360" s="1296"/>
      <c r="EG360" s="1499">
        <f>IF(Assumptions!EG229&lt;&gt;"",Assumptions!EG229,0)</f>
        <v>0</v>
      </c>
      <c r="EH360" s="1499">
        <f>IF(Assumptions!EH229&lt;&gt;"",Assumptions!EH229,0)</f>
        <v>0</v>
      </c>
      <c r="EI360" s="1296"/>
      <c r="EJ360" s="1499">
        <f>IF(Assumptions!EJ229&lt;&gt;"",Assumptions!EJ229,0)</f>
        <v>0</v>
      </c>
      <c r="EK360" s="1499">
        <f>IF(Assumptions!EK229&lt;&gt;"",Assumptions!EK229,0)</f>
        <v>0</v>
      </c>
      <c r="EL360" s="1296"/>
      <c r="EM360" s="1499">
        <f>IF(Assumptions!EM229&lt;&gt;"",Assumptions!EM229,0)</f>
        <v>0</v>
      </c>
      <c r="EN360" s="1499">
        <f>IF(Assumptions!EN229&lt;&gt;"",Assumptions!EN229,0)</f>
        <v>0</v>
      </c>
      <c r="EO360" s="1296"/>
      <c r="EP360" s="1499">
        <f>IF(Assumptions!EP229&lt;&gt;"",Assumptions!EP229,0)</f>
        <v>0</v>
      </c>
      <c r="EQ360" s="1499">
        <f>IF(Assumptions!EQ229&lt;&gt;"",Assumptions!EQ229,0)</f>
        <v>0</v>
      </c>
      <c r="ER360" s="1296"/>
      <c r="ES360" s="1499">
        <f>IF(Assumptions!ES229&lt;&gt;"",Assumptions!ES229,0)</f>
        <v>0</v>
      </c>
      <c r="ET360" s="1499">
        <f>IF(Assumptions!ET229&lt;&gt;"",Assumptions!ET229,0)</f>
        <v>0</v>
      </c>
      <c r="EU360" s="1296"/>
      <c r="EV360" s="1499">
        <f>IF(Assumptions!EV229&lt;&gt;"",Assumptions!EV229,0)</f>
        <v>0</v>
      </c>
      <c r="EW360" s="1499">
        <f>IF(Assumptions!EW229&lt;&gt;"",Assumptions!EW229,0)</f>
        <v>0</v>
      </c>
      <c r="EX360" s="1296"/>
      <c r="EY360" s="1499">
        <f>IF(Assumptions!EY229&lt;&gt;"",Assumptions!EY229,0)</f>
        <v>0</v>
      </c>
      <c r="EZ360" s="1499">
        <f>IF(Assumptions!EZ229&lt;&gt;"",Assumptions!EZ229,0)</f>
        <v>0</v>
      </c>
      <c r="FA360" s="1296"/>
      <c r="FE360"/>
      <c r="FF360"/>
      <c r="FG360"/>
      <c r="FH360"/>
      <c r="FI360"/>
      <c r="FJ360"/>
      <c r="FK360" s="35"/>
    </row>
    <row r="361" spans="2:167" s="450" customFormat="1" ht="13.35" customHeight="1">
      <c r="B361" s="242" t="s">
        <v>568</v>
      </c>
      <c r="C361" s="242" t="s">
        <v>496</v>
      </c>
      <c r="D361" s="243"/>
      <c r="E361" s="664">
        <f>+C359*C360</f>
        <v>0</v>
      </c>
      <c r="F361" s="664">
        <f>+E359*E360</f>
        <v>0</v>
      </c>
      <c r="G361" s="664"/>
      <c r="H361" s="664">
        <f>+F359*F360</f>
        <v>0</v>
      </c>
      <c r="I361" s="664">
        <f>+H359*H360</f>
        <v>0</v>
      </c>
      <c r="J361" s="664">
        <f>+H361+I361</f>
        <v>0</v>
      </c>
      <c r="K361" s="664">
        <f>+I359*I360</f>
        <v>0</v>
      </c>
      <c r="L361" s="664">
        <f>+K359*K360</f>
        <v>0</v>
      </c>
      <c r="M361" s="664">
        <f>+K361+L361</f>
        <v>0</v>
      </c>
      <c r="N361" s="664">
        <f>+L359*L360</f>
        <v>0</v>
      </c>
      <c r="O361" s="664">
        <f>+N359*N360</f>
        <v>0</v>
      </c>
      <c r="P361" s="664">
        <f>+N361+O361</f>
        <v>0</v>
      </c>
      <c r="Q361" s="664">
        <f>+O359*O360</f>
        <v>0</v>
      </c>
      <c r="R361" s="664">
        <f>+Q359*Q360</f>
        <v>0</v>
      </c>
      <c r="S361" s="664">
        <f>+Q361+R361</f>
        <v>0</v>
      </c>
      <c r="T361" s="664">
        <f>+R359*R360</f>
        <v>0</v>
      </c>
      <c r="U361" s="664">
        <f>+T359*T360</f>
        <v>0</v>
      </c>
      <c r="V361" s="664">
        <f>+T361+U361</f>
        <v>0</v>
      </c>
      <c r="W361" s="664">
        <f>+U359*U360</f>
        <v>0</v>
      </c>
      <c r="X361" s="664">
        <f>+W359*W360</f>
        <v>0</v>
      </c>
      <c r="Y361" s="664">
        <f>+W361+X361</f>
        <v>0</v>
      </c>
      <c r="Z361" s="664">
        <f>+X359*X360</f>
        <v>0</v>
      </c>
      <c r="AA361" s="664">
        <f>+Z359*Z360</f>
        <v>0</v>
      </c>
      <c r="AB361" s="664">
        <f>+Z361+AA361</f>
        <v>0</v>
      </c>
      <c r="AC361" s="664">
        <f>+AA359*AA360</f>
        <v>0</v>
      </c>
      <c r="AD361" s="664">
        <f>+AC359*AC360</f>
        <v>0</v>
      </c>
      <c r="AE361" s="664">
        <f>+AC361+AD361</f>
        <v>0</v>
      </c>
      <c r="AF361" s="664">
        <f>+AD359*AD360</f>
        <v>0</v>
      </c>
      <c r="AG361" s="664">
        <f>+AF359*AF360</f>
        <v>0</v>
      </c>
      <c r="AH361" s="664">
        <f>+AF361+AG361</f>
        <v>0</v>
      </c>
      <c r="AI361" s="664">
        <f>+AG359*AG360</f>
        <v>0</v>
      </c>
      <c r="AJ361" s="664">
        <f>+AI359*AI360</f>
        <v>0</v>
      </c>
      <c r="AK361" s="664">
        <f>+AI361+AJ361</f>
        <v>0</v>
      </c>
      <c r="AL361" s="664">
        <f>+AJ359*AJ360</f>
        <v>0</v>
      </c>
      <c r="AM361" s="664">
        <f>+AL359*AL360</f>
        <v>0</v>
      </c>
      <c r="AN361" s="664">
        <f>+AL361+AM361</f>
        <v>0</v>
      </c>
      <c r="AO361" s="664">
        <f>+AM359*AM360</f>
        <v>0</v>
      </c>
      <c r="AP361" s="664">
        <f>+AO359*AO360</f>
        <v>0</v>
      </c>
      <c r="AQ361" s="664">
        <f>+AO361+AP361</f>
        <v>0</v>
      </c>
      <c r="AR361" s="664">
        <f>+AP359*AP360</f>
        <v>0</v>
      </c>
      <c r="AS361" s="664">
        <f>+AR359*AR360</f>
        <v>0</v>
      </c>
      <c r="AT361" s="664">
        <f>+AR361+AS361</f>
        <v>0</v>
      </c>
      <c r="AU361" s="664">
        <f>+AS359*AS360</f>
        <v>0</v>
      </c>
      <c r="AV361" s="664">
        <f>+AU359*AU360</f>
        <v>0</v>
      </c>
      <c r="AW361" s="664">
        <f>+AU361+AV361</f>
        <v>0</v>
      </c>
      <c r="AX361" s="664">
        <f>+AV359*AV360</f>
        <v>0</v>
      </c>
      <c r="AY361" s="664">
        <f>+AX359*AX360</f>
        <v>0</v>
      </c>
      <c r="AZ361" s="664">
        <f>+AX361+AY361</f>
        <v>0</v>
      </c>
      <c r="BA361" s="664">
        <f>+AY359*AY360</f>
        <v>0</v>
      </c>
      <c r="BB361" s="664">
        <f>+BA359*BA360</f>
        <v>0</v>
      </c>
      <c r="BC361" s="664">
        <f>+BA361+BB361</f>
        <v>0</v>
      </c>
      <c r="BD361" s="664">
        <f>+BB359*BB360</f>
        <v>0</v>
      </c>
      <c r="BE361" s="664">
        <f>+BD359*BD360</f>
        <v>0</v>
      </c>
      <c r="BF361" s="664">
        <f>+BD361+BE361</f>
        <v>0</v>
      </c>
      <c r="BG361" s="664">
        <f>+BE359*BE360</f>
        <v>0</v>
      </c>
      <c r="BH361" s="664">
        <f>+BG359*BG360</f>
        <v>0</v>
      </c>
      <c r="BI361" s="664">
        <f>+BG361+BH361</f>
        <v>0</v>
      </c>
      <c r="BJ361" s="664">
        <f>+BH359*BH360</f>
        <v>0</v>
      </c>
      <c r="BK361" s="664">
        <f>+BJ359*BJ360</f>
        <v>0</v>
      </c>
      <c r="BL361" s="664">
        <f>+BJ361+BK361</f>
        <v>0</v>
      </c>
      <c r="BM361" s="664">
        <f>+BK359*BK360</f>
        <v>0</v>
      </c>
      <c r="BN361" s="664">
        <f>+BM359*BM360</f>
        <v>0</v>
      </c>
      <c r="BO361" s="664">
        <f>+BM361+BN361</f>
        <v>0</v>
      </c>
      <c r="BP361" s="664">
        <f>+BN359*BN360</f>
        <v>0</v>
      </c>
      <c r="BQ361" s="664">
        <f>+BP359*BP360</f>
        <v>0</v>
      </c>
      <c r="BR361" s="664">
        <f>+BP361+BQ361</f>
        <v>0</v>
      </c>
      <c r="BS361" s="664">
        <f>+BQ359*BQ360</f>
        <v>0</v>
      </c>
      <c r="BT361" s="664">
        <f>+BS359*BS360</f>
        <v>0</v>
      </c>
      <c r="BU361" s="664">
        <f>+BS361+BT361</f>
        <v>0</v>
      </c>
      <c r="BV361" s="664">
        <f>+BT359*BT360</f>
        <v>0</v>
      </c>
      <c r="BW361" s="664">
        <f>+BV359*BV360</f>
        <v>0</v>
      </c>
      <c r="BX361" s="664">
        <f>+BV361+BW361</f>
        <v>0</v>
      </c>
      <c r="BY361" s="664">
        <f>+BW359*BW360</f>
        <v>0</v>
      </c>
      <c r="BZ361" s="664">
        <f>+BY359*BY360</f>
        <v>0</v>
      </c>
      <c r="CA361" s="664">
        <f>+BY361+BZ361</f>
        <v>0</v>
      </c>
      <c r="CB361" s="664">
        <f>+BZ359*BZ360</f>
        <v>0</v>
      </c>
      <c r="CC361" s="664">
        <f>+CB359*CB360</f>
        <v>0</v>
      </c>
      <c r="CD361" s="664">
        <f>+CB361+CC361</f>
        <v>0</v>
      </c>
      <c r="CE361" s="664">
        <f>+CC359*CC360</f>
        <v>0</v>
      </c>
      <c r="CF361" s="664">
        <f>+CE359*CE360</f>
        <v>0</v>
      </c>
      <c r="CG361" s="664">
        <f>+CE361+CF361</f>
        <v>0</v>
      </c>
      <c r="CH361" s="664">
        <f>+CF359*CF360</f>
        <v>0</v>
      </c>
      <c r="CI361" s="664">
        <f>+CH359*CH360</f>
        <v>0</v>
      </c>
      <c r="CJ361" s="664">
        <f>+CH361+CI361</f>
        <v>0</v>
      </c>
      <c r="CK361" s="664">
        <f>+CI359*CI360</f>
        <v>0</v>
      </c>
      <c r="CL361" s="664">
        <f>+CK359*CK360</f>
        <v>0</v>
      </c>
      <c r="CM361" s="664">
        <f>+CK361+CL361</f>
        <v>0</v>
      </c>
      <c r="CN361" s="664">
        <f>+CL359*CL360</f>
        <v>0</v>
      </c>
      <c r="CO361" s="664">
        <f>+CN359*CN360</f>
        <v>0</v>
      </c>
      <c r="CP361" s="664">
        <f>+CN361+CO361</f>
        <v>0</v>
      </c>
      <c r="CQ361" s="664">
        <f>+CO359*CO360</f>
        <v>0</v>
      </c>
      <c r="CR361" s="664">
        <f>+CQ359*CQ360</f>
        <v>0</v>
      </c>
      <c r="CS361" s="664">
        <f>+CQ361+CR361</f>
        <v>0</v>
      </c>
      <c r="CT361" s="664">
        <f>+CR359*CR360</f>
        <v>0</v>
      </c>
      <c r="CU361" s="664">
        <f>+CT359*CT360</f>
        <v>0</v>
      </c>
      <c r="CV361" s="664">
        <f>+CT361+CU361</f>
        <v>0</v>
      </c>
      <c r="CW361" s="664">
        <f>+CU359*CU360</f>
        <v>0</v>
      </c>
      <c r="CX361" s="664">
        <f>+CW359*CW360</f>
        <v>0</v>
      </c>
      <c r="CY361" s="664">
        <f>+CW361+CX361</f>
        <v>0</v>
      </c>
      <c r="CZ361" s="664">
        <f>+CX359*CX360</f>
        <v>0</v>
      </c>
      <c r="DA361" s="664">
        <f>+CZ359*CZ360</f>
        <v>0</v>
      </c>
      <c r="DB361" s="664">
        <f>+CZ361+DA361</f>
        <v>0</v>
      </c>
      <c r="DC361" s="664">
        <f>+DA359*DA360</f>
        <v>0</v>
      </c>
      <c r="DD361" s="664">
        <f>+DC359*DC360</f>
        <v>0</v>
      </c>
      <c r="DE361" s="664">
        <f>+DC361+DD361</f>
        <v>0</v>
      </c>
      <c r="DF361" s="664">
        <f>+DD359*DD360</f>
        <v>0</v>
      </c>
      <c r="DG361" s="664">
        <f>+DF359*DF360</f>
        <v>0</v>
      </c>
      <c r="DH361" s="1295">
        <f>+DF361+DG361</f>
        <v>0</v>
      </c>
      <c r="DI361" s="442">
        <f>+DG359*DG360</f>
        <v>0</v>
      </c>
      <c r="DJ361" s="442">
        <f>+DI359*DI360</f>
        <v>0</v>
      </c>
      <c r="DK361" s="1295">
        <f>+DI361+DJ361</f>
        <v>0</v>
      </c>
      <c r="DL361" s="442">
        <f>+DJ359*DJ360</f>
        <v>0</v>
      </c>
      <c r="DM361" s="442">
        <f>+DL359*DL360</f>
        <v>0</v>
      </c>
      <c r="DN361" s="1295">
        <f>+DL361+DM361</f>
        <v>0</v>
      </c>
      <c r="DO361" s="442">
        <f>+DM359*DM360</f>
        <v>0</v>
      </c>
      <c r="DP361" s="442">
        <f>+DO359*DO360</f>
        <v>0</v>
      </c>
      <c r="DQ361" s="1295">
        <f>+DO361+DP361</f>
        <v>0</v>
      </c>
      <c r="DR361" s="442">
        <f>+DP359*DP360</f>
        <v>0</v>
      </c>
      <c r="DS361" s="442">
        <f>+DR359*DR360</f>
        <v>0</v>
      </c>
      <c r="DT361" s="1295">
        <f>+DR361+DS361</f>
        <v>0</v>
      </c>
      <c r="DU361" s="442">
        <f>+DS359*DS360</f>
        <v>0</v>
      </c>
      <c r="DV361" s="442">
        <f>+DU359*DU360</f>
        <v>0</v>
      </c>
      <c r="DW361" s="1295">
        <f>+DU361+DV361</f>
        <v>0</v>
      </c>
      <c r="DX361" s="442">
        <f>+DV359*DV360</f>
        <v>0</v>
      </c>
      <c r="DY361" s="442">
        <f>+DX359*DX360</f>
        <v>0</v>
      </c>
      <c r="DZ361" s="1295">
        <f>+DX361+DY361</f>
        <v>0</v>
      </c>
      <c r="EA361" s="442">
        <f>+DY359*DY360</f>
        <v>0</v>
      </c>
      <c r="EB361" s="442">
        <f>+EA359*EA360</f>
        <v>0</v>
      </c>
      <c r="EC361" s="1295">
        <f>+EA361+EB361</f>
        <v>0</v>
      </c>
      <c r="ED361" s="442">
        <f>+EB359*EB360</f>
        <v>0</v>
      </c>
      <c r="EE361" s="442">
        <f>+ED359*ED360</f>
        <v>0</v>
      </c>
      <c r="EF361" s="1295">
        <f>+ED361+EE361</f>
        <v>0</v>
      </c>
      <c r="EG361" s="442">
        <f>+EE359*EE360</f>
        <v>0</v>
      </c>
      <c r="EH361" s="442">
        <f>+EG359*EG360</f>
        <v>0</v>
      </c>
      <c r="EI361" s="1295">
        <f>+EG361+EH361</f>
        <v>0</v>
      </c>
      <c r="EJ361" s="442">
        <f>+EH359*EH360</f>
        <v>0</v>
      </c>
      <c r="EK361" s="442">
        <f>+EJ359*EJ360</f>
        <v>0</v>
      </c>
      <c r="EL361" s="1295">
        <f>+EJ361+EK361</f>
        <v>0</v>
      </c>
      <c r="EM361" s="442">
        <f>+EK359*EK360</f>
        <v>0</v>
      </c>
      <c r="EN361" s="442">
        <f>+EM359*EM360</f>
        <v>0</v>
      </c>
      <c r="EO361" s="1295">
        <f>+EM361+EN361</f>
        <v>0</v>
      </c>
      <c r="EP361" s="442">
        <f>+EN359*EN360</f>
        <v>0</v>
      </c>
      <c r="EQ361" s="442">
        <f>+EP359*EP360</f>
        <v>0</v>
      </c>
      <c r="ER361" s="1295">
        <f>+EP361+EQ361</f>
        <v>0</v>
      </c>
      <c r="ES361" s="442">
        <f>+EQ359*EQ360</f>
        <v>0</v>
      </c>
      <c r="ET361" s="442">
        <f>+ES359*ES360</f>
        <v>0</v>
      </c>
      <c r="EU361" s="1295">
        <f>+ES361+ET361</f>
        <v>0</v>
      </c>
      <c r="EV361" s="442">
        <f>+ET359*ET360</f>
        <v>0</v>
      </c>
      <c r="EW361" s="442">
        <f>+EV359*EV360</f>
        <v>0</v>
      </c>
      <c r="EX361" s="1295">
        <f>+EV361+EW361</f>
        <v>0</v>
      </c>
      <c r="EY361" s="442">
        <f>+EW359*EW360</f>
        <v>0</v>
      </c>
      <c r="EZ361" s="442">
        <f>+EY359*EY360</f>
        <v>0</v>
      </c>
      <c r="FA361" s="1295">
        <f>+EY361+EZ361</f>
        <v>0</v>
      </c>
      <c r="FE361"/>
      <c r="FF361"/>
      <c r="FG361"/>
      <c r="FH361"/>
      <c r="FI361"/>
      <c r="FJ361"/>
      <c r="FK361" s="35"/>
    </row>
    <row r="362" spans="2:167" s="450" customFormat="1" ht="13.35" customHeight="1">
      <c r="B362" s="242" t="s">
        <v>569</v>
      </c>
      <c r="C362" s="242" t="s">
        <v>496</v>
      </c>
      <c r="D362" s="243"/>
      <c r="E362" s="660">
        <f>+C355-E361</f>
        <v>0</v>
      </c>
      <c r="F362" s="660">
        <f>+E355-F361</f>
        <v>0</v>
      </c>
      <c r="G362" s="660"/>
      <c r="H362" s="660">
        <f>+F355-H361</f>
        <v>0</v>
      </c>
      <c r="I362" s="660">
        <f>+H355-I361</f>
        <v>0</v>
      </c>
      <c r="J362" s="660">
        <f>+H362+I362</f>
        <v>0</v>
      </c>
      <c r="K362" s="660">
        <f>+I355-K361</f>
        <v>0</v>
      </c>
      <c r="L362" s="660">
        <f>+K355-L361</f>
        <v>0</v>
      </c>
      <c r="M362" s="660">
        <f>+K362+L362</f>
        <v>0</v>
      </c>
      <c r="N362" s="660">
        <f>+L355-N361</f>
        <v>0</v>
      </c>
      <c r="O362" s="660">
        <f>+N355-O361</f>
        <v>0</v>
      </c>
      <c r="P362" s="660">
        <f>+N362+O362</f>
        <v>0</v>
      </c>
      <c r="Q362" s="660">
        <f>+O355-Q361</f>
        <v>0</v>
      </c>
      <c r="R362" s="660">
        <f>+Q355-R361</f>
        <v>0</v>
      </c>
      <c r="S362" s="660">
        <f>+Q362+R362</f>
        <v>0</v>
      </c>
      <c r="T362" s="660">
        <f>+R355-T361</f>
        <v>0</v>
      </c>
      <c r="U362" s="660">
        <f>+T355-U361</f>
        <v>0</v>
      </c>
      <c r="V362" s="660">
        <f>+T362+U362</f>
        <v>0</v>
      </c>
      <c r="W362" s="660">
        <f>+U355-W361</f>
        <v>0</v>
      </c>
      <c r="X362" s="660">
        <f>+W355-X361</f>
        <v>0</v>
      </c>
      <c r="Y362" s="660">
        <f>+W362+X362</f>
        <v>0</v>
      </c>
      <c r="Z362" s="660">
        <f>+X355-Z361</f>
        <v>0</v>
      </c>
      <c r="AA362" s="660">
        <f>+Z355-AA361</f>
        <v>0</v>
      </c>
      <c r="AB362" s="660">
        <f>+Z362+AA362</f>
        <v>0</v>
      </c>
      <c r="AC362" s="660">
        <f>+AA355-AC361</f>
        <v>0</v>
      </c>
      <c r="AD362" s="660">
        <f>+AC355-AD361</f>
        <v>0</v>
      </c>
      <c r="AE362" s="660">
        <f>+AC362+AD362</f>
        <v>0</v>
      </c>
      <c r="AF362" s="660">
        <f>+AD355-AF361</f>
        <v>0</v>
      </c>
      <c r="AG362" s="660">
        <f>+AF355-AG361</f>
        <v>0</v>
      </c>
      <c r="AH362" s="660">
        <f>+AF362+AG362</f>
        <v>0</v>
      </c>
      <c r="AI362" s="660">
        <f>+AG355-AI361</f>
        <v>0</v>
      </c>
      <c r="AJ362" s="660">
        <f>+AI355-AJ361</f>
        <v>0</v>
      </c>
      <c r="AK362" s="660">
        <f>+AI362+AJ362</f>
        <v>0</v>
      </c>
      <c r="AL362" s="660">
        <f>+AJ355-AL361</f>
        <v>0</v>
      </c>
      <c r="AM362" s="660">
        <f>+AL355-AM361</f>
        <v>0</v>
      </c>
      <c r="AN362" s="660">
        <f>+AL362+AM362</f>
        <v>0</v>
      </c>
      <c r="AO362" s="660">
        <f>+AM355-AO361</f>
        <v>0</v>
      </c>
      <c r="AP362" s="660">
        <f>+AO355-AP361</f>
        <v>0</v>
      </c>
      <c r="AQ362" s="660">
        <f>+AO362+AP362</f>
        <v>0</v>
      </c>
      <c r="AR362" s="660">
        <f>+AP355-AR361</f>
        <v>0</v>
      </c>
      <c r="AS362" s="660">
        <f>+AR355-AS361</f>
        <v>0</v>
      </c>
      <c r="AT362" s="660">
        <f>+AR362+AS362</f>
        <v>0</v>
      </c>
      <c r="AU362" s="660">
        <f>+AS355-AU361</f>
        <v>0</v>
      </c>
      <c r="AV362" s="660">
        <f>+AU355-AV361</f>
        <v>0</v>
      </c>
      <c r="AW362" s="660">
        <f>+AU362+AV362</f>
        <v>0</v>
      </c>
      <c r="AX362" s="660">
        <f>+AV355-AX361</f>
        <v>0</v>
      </c>
      <c r="AY362" s="660">
        <f>+AX355-AY361</f>
        <v>0</v>
      </c>
      <c r="AZ362" s="660">
        <f>+AX362+AY362</f>
        <v>0</v>
      </c>
      <c r="BA362" s="660">
        <f>+AY355-BA361</f>
        <v>0</v>
      </c>
      <c r="BB362" s="660">
        <f>+BA355-BB361</f>
        <v>0</v>
      </c>
      <c r="BC362" s="660">
        <f>+BA362+BB362</f>
        <v>0</v>
      </c>
      <c r="BD362" s="660">
        <f>+BB355-BD361</f>
        <v>0</v>
      </c>
      <c r="BE362" s="660">
        <f>+BD355-BE361</f>
        <v>0</v>
      </c>
      <c r="BF362" s="660">
        <f>+BD362+BE362</f>
        <v>0</v>
      </c>
      <c r="BG362" s="660">
        <f>+BE355-BG361</f>
        <v>0</v>
      </c>
      <c r="BH362" s="660">
        <f>+BG355-BH361</f>
        <v>0</v>
      </c>
      <c r="BI362" s="660">
        <f>+BG362+BH362</f>
        <v>0</v>
      </c>
      <c r="BJ362" s="660">
        <f>+BH355-BJ361</f>
        <v>0</v>
      </c>
      <c r="BK362" s="660">
        <f>+BJ355-BK361</f>
        <v>0</v>
      </c>
      <c r="BL362" s="660">
        <f>+BJ362+BK362</f>
        <v>0</v>
      </c>
      <c r="BM362" s="660">
        <f>+BK355-BK361</f>
        <v>0</v>
      </c>
      <c r="BN362" s="660">
        <f>+BM355-BM361</f>
        <v>0</v>
      </c>
      <c r="BO362" s="660">
        <f>+BM362+BN362</f>
        <v>0</v>
      </c>
      <c r="BP362" s="660">
        <f>+BN355-BN361</f>
        <v>0</v>
      </c>
      <c r="BQ362" s="660">
        <f>+BP355-BP361</f>
        <v>0</v>
      </c>
      <c r="BR362" s="660">
        <f>+BP362+BQ362</f>
        <v>0</v>
      </c>
      <c r="BS362" s="660">
        <f>+BQ355-BQ361</f>
        <v>0</v>
      </c>
      <c r="BT362" s="660">
        <f>+BS355-BS361</f>
        <v>0</v>
      </c>
      <c r="BU362" s="660">
        <f>+BS362+BT362</f>
        <v>0</v>
      </c>
      <c r="BV362" s="660">
        <f>+BT355-BT361</f>
        <v>0</v>
      </c>
      <c r="BW362" s="660">
        <f>+BV355-BV361</f>
        <v>0</v>
      </c>
      <c r="BX362" s="660">
        <f>+BV362+BW362</f>
        <v>0</v>
      </c>
      <c r="BY362" s="660">
        <f>+BW355-BW361</f>
        <v>0</v>
      </c>
      <c r="BZ362" s="660">
        <f>+BY355-BY361</f>
        <v>0</v>
      </c>
      <c r="CA362" s="660">
        <f>+BY362+BZ362</f>
        <v>0</v>
      </c>
      <c r="CB362" s="660">
        <f>+BZ355-BZ361</f>
        <v>0</v>
      </c>
      <c r="CC362" s="660">
        <f>+CB355-CB361</f>
        <v>0</v>
      </c>
      <c r="CD362" s="660">
        <f>+CB362+CC362</f>
        <v>0</v>
      </c>
      <c r="CE362" s="660">
        <f>+CC355-CC361</f>
        <v>0</v>
      </c>
      <c r="CF362" s="660">
        <f>+CE355-CE361</f>
        <v>0</v>
      </c>
      <c r="CG362" s="660">
        <f>+CE362+CF362</f>
        <v>0</v>
      </c>
      <c r="CH362" s="660">
        <f>+CF355-CF361</f>
        <v>0</v>
      </c>
      <c r="CI362" s="660">
        <f>+CH355-CH361</f>
        <v>0</v>
      </c>
      <c r="CJ362" s="660">
        <f>+CH362+CI362</f>
        <v>0</v>
      </c>
      <c r="CK362" s="660">
        <f>+CI355-CI361</f>
        <v>0</v>
      </c>
      <c r="CL362" s="660">
        <f>+CK355-CK361</f>
        <v>0</v>
      </c>
      <c r="CM362" s="660">
        <f>+CK362+CL362</f>
        <v>0</v>
      </c>
      <c r="CN362" s="660">
        <f>+CL355-CL361</f>
        <v>0</v>
      </c>
      <c r="CO362" s="660">
        <f>+CN355-CN361</f>
        <v>0</v>
      </c>
      <c r="CP362" s="660">
        <f>+CN362+CO362</f>
        <v>0</v>
      </c>
      <c r="CQ362" s="660">
        <f>+CO355-CO361</f>
        <v>0</v>
      </c>
      <c r="CR362" s="660">
        <f>+CQ355-CQ361</f>
        <v>0</v>
      </c>
      <c r="CS362" s="660">
        <f>+CQ362+CR362</f>
        <v>0</v>
      </c>
      <c r="CT362" s="660">
        <f>+CR355-CR361</f>
        <v>0</v>
      </c>
      <c r="CU362" s="660">
        <f>+CT355-CT361</f>
        <v>0</v>
      </c>
      <c r="CV362" s="660">
        <f>+CT362+CU362</f>
        <v>0</v>
      </c>
      <c r="CW362" s="660">
        <f>+CU355-CU361</f>
        <v>0</v>
      </c>
      <c r="CX362" s="660">
        <f>+CW355-CW361</f>
        <v>0</v>
      </c>
      <c r="CY362" s="660">
        <f>+CW362+CX362</f>
        <v>0</v>
      </c>
      <c r="CZ362" s="660">
        <f>+CX355-CX361</f>
        <v>0</v>
      </c>
      <c r="DA362" s="660">
        <f>+CZ355-CZ361</f>
        <v>0</v>
      </c>
      <c r="DB362" s="660">
        <f>+CZ362+DA362</f>
        <v>0</v>
      </c>
      <c r="DC362" s="660">
        <f>+DA355-DA361</f>
        <v>0</v>
      </c>
      <c r="DD362" s="660">
        <f>+DC355-DC361</f>
        <v>0</v>
      </c>
      <c r="DE362" s="660">
        <f>+DC362+DD362</f>
        <v>0</v>
      </c>
      <c r="DF362" s="660">
        <f>+DD355-DD361</f>
        <v>0</v>
      </c>
      <c r="DG362" s="660">
        <f>+DF355-DF361</f>
        <v>0</v>
      </c>
      <c r="DH362" s="1295">
        <f>+DF362+DG362</f>
        <v>0</v>
      </c>
      <c r="DI362" s="442">
        <f>+DG355-DG361</f>
        <v>0</v>
      </c>
      <c r="DJ362" s="442">
        <f>+DI355-DI361</f>
        <v>0</v>
      </c>
      <c r="DK362" s="1295">
        <f>+DI362+DJ362</f>
        <v>0</v>
      </c>
      <c r="DL362" s="442">
        <f>+DJ355-DJ361</f>
        <v>0</v>
      </c>
      <c r="DM362" s="442">
        <f>+DL355-DL361</f>
        <v>0</v>
      </c>
      <c r="DN362" s="1295">
        <f>+DL362+DM362</f>
        <v>0</v>
      </c>
      <c r="DO362" s="442">
        <f>+DM355-DM361</f>
        <v>0</v>
      </c>
      <c r="DP362" s="442">
        <f>+DO355-DO361</f>
        <v>0</v>
      </c>
      <c r="DQ362" s="1295">
        <f>+DO362+DP362</f>
        <v>0</v>
      </c>
      <c r="DR362" s="442">
        <f>+DP355-DP361</f>
        <v>0</v>
      </c>
      <c r="DS362" s="442">
        <f>+DR355-DR361</f>
        <v>0</v>
      </c>
      <c r="DT362" s="1295">
        <f>+DR362+DS362</f>
        <v>0</v>
      </c>
      <c r="DU362" s="442">
        <f>+DS355-DS361</f>
        <v>0</v>
      </c>
      <c r="DV362" s="442">
        <f>+DU355-DU361</f>
        <v>0</v>
      </c>
      <c r="DW362" s="1295">
        <f>+DU362+DV362</f>
        <v>0</v>
      </c>
      <c r="DX362" s="442">
        <f>+DV355-DV361</f>
        <v>0</v>
      </c>
      <c r="DY362" s="442">
        <f>+DX355-DX361</f>
        <v>0</v>
      </c>
      <c r="DZ362" s="1295">
        <f>+DX362+DY362</f>
        <v>0</v>
      </c>
      <c r="EA362" s="442">
        <f>+DY355-DY361</f>
        <v>0</v>
      </c>
      <c r="EB362" s="442">
        <f>+EA355-EA361</f>
        <v>0</v>
      </c>
      <c r="EC362" s="1295">
        <f>+EA362+EB362</f>
        <v>0</v>
      </c>
      <c r="ED362" s="442">
        <f>+EB355-EB361</f>
        <v>0</v>
      </c>
      <c r="EE362" s="442">
        <f>+ED355-ED361</f>
        <v>0</v>
      </c>
      <c r="EF362" s="1295">
        <f>+ED362+EE362</f>
        <v>0</v>
      </c>
      <c r="EG362" s="442">
        <f>+EE355-EE361</f>
        <v>0</v>
      </c>
      <c r="EH362" s="442">
        <f>+EG355-EG361</f>
        <v>0</v>
      </c>
      <c r="EI362" s="1295">
        <f>+EG362+EH362</f>
        <v>0</v>
      </c>
      <c r="EJ362" s="442">
        <f>+EH355-EH361</f>
        <v>0</v>
      </c>
      <c r="EK362" s="442">
        <f>+EJ355-EJ361</f>
        <v>0</v>
      </c>
      <c r="EL362" s="1295">
        <f>+EJ362+EK362</f>
        <v>0</v>
      </c>
      <c r="EM362" s="442">
        <f>+EK355-EK361</f>
        <v>0</v>
      </c>
      <c r="EN362" s="442">
        <f>+EM355-EM361</f>
        <v>0</v>
      </c>
      <c r="EO362" s="1295">
        <f>+EM362+EN362</f>
        <v>0</v>
      </c>
      <c r="EP362" s="442">
        <f>+EN355-EN361</f>
        <v>0</v>
      </c>
      <c r="EQ362" s="442">
        <f>+EP355-EP361</f>
        <v>0</v>
      </c>
      <c r="ER362" s="1295">
        <f>+EP362+EQ362</f>
        <v>0</v>
      </c>
      <c r="ES362" s="442">
        <f>+EQ355-EQ361</f>
        <v>0</v>
      </c>
      <c r="ET362" s="442">
        <f>+ES355-ES361</f>
        <v>0</v>
      </c>
      <c r="EU362" s="1295">
        <f>+ES362+ET362</f>
        <v>0</v>
      </c>
      <c r="EV362" s="442">
        <f>+ET355-ET361</f>
        <v>0</v>
      </c>
      <c r="EW362" s="442">
        <f>+EV355-EV361</f>
        <v>0</v>
      </c>
      <c r="EX362" s="1295">
        <f>+EV362+EW362</f>
        <v>0</v>
      </c>
      <c r="EY362" s="442">
        <f>+EW355-EW361</f>
        <v>0</v>
      </c>
      <c r="EZ362" s="442">
        <f>+EY355-EY361</f>
        <v>0</v>
      </c>
      <c r="FA362" s="1295">
        <f>+EY362+EZ362</f>
        <v>0</v>
      </c>
      <c r="FE362"/>
      <c r="FF362"/>
      <c r="FG362"/>
      <c r="FH362"/>
      <c r="FI362"/>
      <c r="FJ362"/>
      <c r="FK362" s="35"/>
    </row>
    <row r="363" spans="2:167" s="450" customFormat="1" ht="13.35" customHeight="1">
      <c r="B363" s="242" t="s">
        <v>570</v>
      </c>
      <c r="C363" s="242" t="s">
        <v>485</v>
      </c>
      <c r="D363" s="243"/>
      <c r="E363" s="660"/>
      <c r="F363" s="660"/>
      <c r="G363" s="660"/>
      <c r="H363" s="660"/>
      <c r="I363" s="660"/>
      <c r="J363" s="660"/>
      <c r="K363" s="660"/>
      <c r="L363" s="660"/>
      <c r="M363" s="660"/>
      <c r="N363" s="660"/>
      <c r="O363" s="660"/>
      <c r="P363" s="660"/>
      <c r="Q363" s="660"/>
      <c r="R363" s="660"/>
      <c r="S363" s="660"/>
      <c r="T363" s="660"/>
      <c r="U363" s="660"/>
      <c r="V363" s="660"/>
      <c r="W363" s="660"/>
      <c r="X363" s="660"/>
      <c r="Y363" s="660"/>
      <c r="Z363" s="660"/>
      <c r="AA363" s="660"/>
      <c r="AB363" s="660"/>
      <c r="AC363" s="660"/>
      <c r="AD363" s="660"/>
      <c r="AE363" s="660"/>
      <c r="AF363" s="660"/>
      <c r="AG363" s="660"/>
      <c r="AH363" s="660"/>
      <c r="AI363" s="660"/>
      <c r="AJ363" s="660"/>
      <c r="AK363" s="660"/>
      <c r="AL363" s="660"/>
      <c r="AM363" s="660"/>
      <c r="AN363" s="660"/>
      <c r="AO363" s="660"/>
      <c r="AP363" s="660"/>
      <c r="AQ363" s="660"/>
      <c r="AR363" s="660"/>
      <c r="AS363" s="660"/>
      <c r="AT363" s="660"/>
      <c r="AU363" s="660"/>
      <c r="AV363" s="660"/>
      <c r="AW363" s="660"/>
      <c r="AX363" s="660"/>
      <c r="AY363" s="660"/>
      <c r="AZ363" s="660"/>
      <c r="BA363" s="660"/>
      <c r="BB363" s="660"/>
      <c r="BC363" s="660"/>
      <c r="BD363" s="660"/>
      <c r="BE363" s="660"/>
      <c r="BF363" s="660"/>
      <c r="BG363" s="660"/>
      <c r="BH363" s="660"/>
      <c r="BI363" s="660"/>
      <c r="BJ363" s="660"/>
      <c r="BK363" s="660"/>
      <c r="BL363" s="660"/>
      <c r="BM363" s="660"/>
      <c r="BN363" s="660"/>
      <c r="BO363" s="660"/>
      <c r="BP363" s="660"/>
      <c r="BQ363" s="660"/>
      <c r="BR363" s="660"/>
      <c r="BS363" s="660"/>
      <c r="BT363" s="660"/>
      <c r="BU363" s="660"/>
      <c r="BV363" s="660"/>
      <c r="BW363" s="660"/>
      <c r="BX363" s="660"/>
      <c r="BY363" s="660"/>
      <c r="BZ363" s="660"/>
      <c r="CA363" s="660"/>
      <c r="CB363" s="660"/>
      <c r="CC363" s="660"/>
      <c r="CD363" s="660"/>
      <c r="CE363" s="660"/>
      <c r="CF363" s="660"/>
      <c r="CG363" s="660"/>
      <c r="CH363" s="660"/>
      <c r="CI363" s="660"/>
      <c r="CJ363" s="660"/>
      <c r="CK363" s="660"/>
      <c r="CL363" s="660"/>
      <c r="CM363" s="660"/>
      <c r="CN363" s="660"/>
      <c r="CO363" s="660"/>
      <c r="CP363" s="660"/>
      <c r="CQ363" s="660"/>
      <c r="CR363" s="660"/>
      <c r="CS363" s="660"/>
      <c r="CT363" s="660"/>
      <c r="CU363" s="660"/>
      <c r="CV363" s="660"/>
      <c r="CW363" s="660"/>
      <c r="CX363" s="660"/>
      <c r="CY363" s="660"/>
      <c r="CZ363" s="660"/>
      <c r="DA363" s="660"/>
      <c r="DB363" s="660"/>
      <c r="DC363" s="660"/>
      <c r="DD363" s="660"/>
      <c r="DE363" s="660"/>
      <c r="DF363" s="660"/>
      <c r="DG363" s="660"/>
      <c r="DH363" s="1295"/>
      <c r="DI363" s="442"/>
      <c r="DJ363" s="442"/>
      <c r="DK363" s="1295"/>
      <c r="DL363" s="442"/>
      <c r="DM363" s="442"/>
      <c r="DN363" s="1295"/>
      <c r="DO363" s="442"/>
      <c r="DP363" s="442"/>
      <c r="DQ363" s="1295"/>
      <c r="DR363" s="442"/>
      <c r="DS363" s="442"/>
      <c r="DT363" s="1295"/>
      <c r="DU363" s="442"/>
      <c r="DV363" s="442"/>
      <c r="DW363" s="1295"/>
      <c r="DX363" s="442"/>
      <c r="DY363" s="442"/>
      <c r="DZ363" s="1295"/>
      <c r="EA363" s="442"/>
      <c r="EB363" s="442"/>
      <c r="EC363" s="1295"/>
      <c r="ED363" s="442"/>
      <c r="EE363" s="442"/>
      <c r="EF363" s="1295"/>
      <c r="EG363" s="442"/>
      <c r="EH363" s="442"/>
      <c r="EI363" s="1295"/>
      <c r="EJ363" s="442"/>
      <c r="EK363" s="442"/>
      <c r="EL363" s="1295"/>
      <c r="EM363" s="442"/>
      <c r="EN363" s="442"/>
      <c r="EO363" s="1295"/>
      <c r="EP363" s="442"/>
      <c r="EQ363" s="442"/>
      <c r="ER363" s="1295"/>
      <c r="ES363" s="442"/>
      <c r="ET363" s="442"/>
      <c r="EU363" s="1295"/>
      <c r="EV363" s="442"/>
      <c r="EW363" s="442"/>
      <c r="EX363" s="1295"/>
      <c r="EY363" s="442"/>
      <c r="EZ363" s="442"/>
      <c r="FA363" s="1295"/>
      <c r="FE363"/>
      <c r="FF363"/>
      <c r="FG363"/>
      <c r="FH363"/>
      <c r="FI363"/>
      <c r="FJ363"/>
      <c r="FK363" s="35"/>
    </row>
    <row r="364" spans="2:167" s="450" customFormat="1" ht="13.35" customHeight="1">
      <c r="B364" s="592" t="s">
        <v>571</v>
      </c>
      <c r="C364" s="488"/>
      <c r="E364" s="644"/>
      <c r="F364" s="644"/>
      <c r="G364" s="644"/>
      <c r="H364" s="644"/>
      <c r="I364" s="644"/>
      <c r="J364" s="644"/>
      <c r="K364" s="644"/>
      <c r="L364" s="644"/>
      <c r="M364" s="644"/>
      <c r="N364" s="644"/>
      <c r="O364" s="644"/>
      <c r="P364" s="644"/>
      <c r="Q364" s="644"/>
      <c r="R364" s="644"/>
      <c r="S364" s="644"/>
      <c r="T364" s="644"/>
      <c r="U364" s="644"/>
      <c r="V364" s="644"/>
      <c r="W364" s="644"/>
      <c r="X364" s="644"/>
      <c r="Y364" s="644"/>
      <c r="Z364" s="644"/>
      <c r="AA364" s="644"/>
      <c r="AB364" s="644"/>
      <c r="AC364" s="644"/>
      <c r="AD364" s="644"/>
      <c r="AE364" s="644"/>
      <c r="AF364" s="644"/>
      <c r="AG364" s="644"/>
      <c r="AH364" s="644"/>
      <c r="AI364" s="644"/>
      <c r="AJ364" s="644"/>
      <c r="AK364" s="644"/>
      <c r="AL364" s="644"/>
      <c r="AM364" s="644"/>
      <c r="AN364" s="644"/>
      <c r="AO364" s="644"/>
      <c r="AP364" s="644"/>
      <c r="AQ364" s="644"/>
      <c r="AR364" s="644"/>
      <c r="AS364" s="644"/>
      <c r="AT364" s="644"/>
      <c r="AU364" s="644"/>
      <c r="AV364" s="644"/>
      <c r="AW364" s="644"/>
      <c r="AX364" s="644"/>
      <c r="AY364" s="644"/>
      <c r="AZ364" s="644"/>
      <c r="BA364" s="644"/>
      <c r="BB364" s="644"/>
      <c r="BC364" s="644"/>
      <c r="BD364" s="644"/>
      <c r="BE364" s="644"/>
      <c r="BF364" s="644"/>
      <c r="BG364" s="644"/>
      <c r="BH364" s="644"/>
      <c r="BI364" s="644"/>
      <c r="BJ364" s="644"/>
      <c r="BK364" s="644"/>
      <c r="BL364" s="644"/>
      <c r="BM364" s="644"/>
      <c r="BN364" s="644"/>
      <c r="BO364" s="644"/>
      <c r="BP364" s="644"/>
      <c r="BQ364" s="644"/>
      <c r="BR364" s="644"/>
      <c r="BS364" s="644"/>
      <c r="BT364" s="644"/>
      <c r="BU364" s="644"/>
      <c r="BV364" s="644"/>
      <c r="BW364" s="644"/>
      <c r="BX364" s="644"/>
      <c r="BY364" s="644"/>
      <c r="BZ364" s="644"/>
      <c r="CA364" s="644"/>
      <c r="CB364" s="644"/>
      <c r="CC364" s="644"/>
      <c r="CD364" s="644"/>
      <c r="CE364" s="644"/>
      <c r="CF364" s="644"/>
      <c r="CG364" s="644"/>
      <c r="CH364" s="644"/>
      <c r="CI364" s="644"/>
      <c r="CJ364" s="644"/>
      <c r="CK364" s="644"/>
      <c r="CL364" s="644"/>
      <c r="CM364" s="644"/>
      <c r="CN364" s="644"/>
      <c r="CO364" s="644"/>
      <c r="CP364" s="644"/>
      <c r="CQ364" s="644"/>
      <c r="CR364" s="644"/>
      <c r="CS364" s="644"/>
      <c r="CT364" s="644"/>
      <c r="CU364" s="644"/>
      <c r="CV364" s="644"/>
      <c r="CW364" s="644"/>
      <c r="CX364" s="644"/>
      <c r="CY364" s="644"/>
      <c r="CZ364" s="644"/>
      <c r="DA364" s="644"/>
      <c r="DB364" s="644"/>
      <c r="DC364" s="644"/>
      <c r="DD364" s="644"/>
      <c r="DE364" s="644"/>
      <c r="DF364" s="644"/>
      <c r="DG364" s="644"/>
      <c r="DH364" s="1292"/>
      <c r="DI364" s="441"/>
      <c r="DJ364" s="441"/>
      <c r="DK364" s="1292"/>
      <c r="DL364" s="441"/>
      <c r="DM364" s="441"/>
      <c r="DN364" s="1292"/>
      <c r="DO364" s="441"/>
      <c r="DP364" s="441"/>
      <c r="DQ364" s="1292"/>
      <c r="DR364" s="441"/>
      <c r="DS364" s="441"/>
      <c r="DT364" s="1292"/>
      <c r="DU364" s="441"/>
      <c r="DV364" s="441"/>
      <c r="DW364" s="1292"/>
      <c r="DX364" s="441"/>
      <c r="DY364" s="441"/>
      <c r="DZ364" s="1292"/>
      <c r="EA364" s="441"/>
      <c r="EB364" s="441"/>
      <c r="EC364" s="1292"/>
      <c r="ED364" s="441"/>
      <c r="EE364" s="441"/>
      <c r="EF364" s="1292"/>
      <c r="EG364" s="441"/>
      <c r="EH364" s="441"/>
      <c r="EI364" s="1292"/>
      <c r="EJ364" s="441"/>
      <c r="EK364" s="441"/>
      <c r="EL364" s="1292"/>
      <c r="EM364" s="441"/>
      <c r="EN364" s="441"/>
      <c r="EO364" s="1292"/>
      <c r="EP364" s="441"/>
      <c r="EQ364" s="441"/>
      <c r="ER364" s="1292"/>
      <c r="ES364" s="441"/>
      <c r="ET364" s="441"/>
      <c r="EU364" s="1292"/>
      <c r="EV364" s="441"/>
      <c r="EW364" s="441"/>
      <c r="EX364" s="1292"/>
      <c r="EY364" s="441"/>
      <c r="EZ364" s="441"/>
      <c r="FA364" s="1292"/>
      <c r="FE364"/>
      <c r="FF364"/>
      <c r="FG364"/>
      <c r="FH364"/>
      <c r="FI364"/>
      <c r="FJ364"/>
      <c r="FK364" s="35"/>
    </row>
    <row r="365" spans="2:167" s="236" customFormat="1" ht="13.35" customHeight="1">
      <c r="B365" s="242" t="s">
        <v>572</v>
      </c>
      <c r="C365" s="242" t="s">
        <v>460</v>
      </c>
      <c r="D365" s="243"/>
      <c r="E365" s="665"/>
      <c r="F365" s="665"/>
      <c r="G365" s="665"/>
      <c r="H365" s="665"/>
      <c r="I365" s="665"/>
      <c r="J365" s="665"/>
      <c r="K365" s="665"/>
      <c r="L365" s="665"/>
      <c r="M365" s="665"/>
      <c r="N365" s="665"/>
      <c r="O365" s="665"/>
      <c r="P365" s="665"/>
      <c r="Q365" s="665"/>
      <c r="R365" s="665"/>
      <c r="S365" s="665"/>
      <c r="T365" s="665"/>
      <c r="U365" s="665"/>
      <c r="V365" s="665"/>
      <c r="W365" s="665"/>
      <c r="X365" s="665"/>
      <c r="Y365" s="665"/>
      <c r="Z365" s="665"/>
      <c r="AA365" s="665"/>
      <c r="AB365" s="665"/>
      <c r="AC365" s="665"/>
      <c r="AD365" s="665"/>
      <c r="AE365" s="665"/>
      <c r="AF365" s="665"/>
      <c r="AG365" s="665"/>
      <c r="AH365" s="665"/>
      <c r="AI365" s="665">
        <f t="shared" ref="AI365:BN365" si="1109">+(AI22/AI11)</f>
        <v>0</v>
      </c>
      <c r="AJ365" s="665">
        <f t="shared" si="1109"/>
        <v>0</v>
      </c>
      <c r="AK365" s="665">
        <f t="shared" si="1109"/>
        <v>0</v>
      </c>
      <c r="AL365" s="665">
        <f t="shared" si="1109"/>
        <v>0.50594889799102793</v>
      </c>
      <c r="AM365" s="665">
        <f t="shared" si="1109"/>
        <v>0.67834728033472813</v>
      </c>
      <c r="AN365" s="665">
        <f t="shared" si="1109"/>
        <v>0.596980576268066</v>
      </c>
      <c r="AO365" s="665">
        <f t="shared" si="1109"/>
        <v>0.57363998230871294</v>
      </c>
      <c r="AP365" s="665">
        <f t="shared" si="1109"/>
        <v>0.62121043422936206</v>
      </c>
      <c r="AQ365" s="665">
        <f t="shared" si="1109"/>
        <v>0.60220649458784337</v>
      </c>
      <c r="AR365" s="665">
        <f t="shared" si="1109"/>
        <v>0.57593364055299534</v>
      </c>
      <c r="AS365" s="665">
        <f t="shared" si="1109"/>
        <v>0.62915139949109411</v>
      </c>
      <c r="AT365" s="665">
        <f t="shared" si="1109"/>
        <v>0.6073293187805795</v>
      </c>
      <c r="AU365" s="665">
        <f t="shared" si="1109"/>
        <v>0.62167710515508146</v>
      </c>
      <c r="AV365" s="665">
        <f t="shared" si="1109"/>
        <v>1.0819444444444446</v>
      </c>
      <c r="AW365" s="665">
        <f t="shared" si="1109"/>
        <v>0.89556665441931227</v>
      </c>
      <c r="AX365" s="665">
        <f t="shared" si="1109"/>
        <v>0.76518957015970224</v>
      </c>
      <c r="AY365" s="665">
        <f t="shared" si="1109"/>
        <v>0.57624724875250311</v>
      </c>
      <c r="AZ365" s="665">
        <f t="shared" si="1109"/>
        <v>0.65716408928194081</v>
      </c>
      <c r="BA365" s="665">
        <f t="shared" si="1109"/>
        <v>0.67610145426583768</v>
      </c>
      <c r="BB365" s="665">
        <f t="shared" si="1109"/>
        <v>0.74365195883698143</v>
      </c>
      <c r="BC365" s="665">
        <f t="shared" si="1109"/>
        <v>0.70970091917860934</v>
      </c>
      <c r="BD365" s="665">
        <f t="shared" si="1109"/>
        <v>0.54719497067307699</v>
      </c>
      <c r="BE365" s="665">
        <f t="shared" si="1109"/>
        <v>0.74305588614102192</v>
      </c>
      <c r="BF365" s="665">
        <f t="shared" si="1109"/>
        <v>0.64909313295618376</v>
      </c>
      <c r="BG365" s="665">
        <f t="shared" si="1109"/>
        <v>0.66795401998889503</v>
      </c>
      <c r="BH365" s="665">
        <f t="shared" si="1109"/>
        <v>0.77985318561602057</v>
      </c>
      <c r="BI365" s="665">
        <f t="shared" si="1109"/>
        <v>0.72736627379790875</v>
      </c>
      <c r="BJ365" s="665">
        <f t="shared" si="1109"/>
        <v>0.73343415204052487</v>
      </c>
      <c r="BK365" s="665">
        <f t="shared" si="1109"/>
        <v>2.5089346827244206</v>
      </c>
      <c r="BL365" s="665">
        <f t="shared" si="1109"/>
        <v>1.2106531646663954</v>
      </c>
      <c r="BM365" s="665">
        <f t="shared" si="1109"/>
        <v>0.63102283047683694</v>
      </c>
      <c r="BN365" s="665">
        <f t="shared" si="1109"/>
        <v>0.87401187562480587</v>
      </c>
      <c r="BO365" s="665">
        <f t="shared" ref="BO365:CT365" si="1110">+(BO22/BO11)</f>
        <v>0.7515698977323253</v>
      </c>
      <c r="BP365" s="665">
        <f t="shared" si="1110"/>
        <v>0.5895094166337278</v>
      </c>
      <c r="BQ365" s="665">
        <f t="shared" si="1110"/>
        <v>0.83700617183912707</v>
      </c>
      <c r="BR365" s="665">
        <f t="shared" si="1110"/>
        <v>0.70400202419032387</v>
      </c>
      <c r="BS365" s="665">
        <f t="shared" si="1110"/>
        <v>0.6249049941834578</v>
      </c>
      <c r="BT365" s="665">
        <f t="shared" si="1110"/>
        <v>0.7561617419593637</v>
      </c>
      <c r="BU365" s="665">
        <f t="shared" si="1110"/>
        <v>0.69218913514392044</v>
      </c>
      <c r="BV365" s="665">
        <f t="shared" si="1110"/>
        <v>0.68223821546758168</v>
      </c>
      <c r="BW365" s="665">
        <f t="shared" si="1110"/>
        <v>0.77132279210612353</v>
      </c>
      <c r="BX365" s="665">
        <f t="shared" si="1110"/>
        <v>0.72618130065779207</v>
      </c>
      <c r="BY365" s="665">
        <f t="shared" si="1110"/>
        <v>0.63764828414550445</v>
      </c>
      <c r="BZ365" s="665">
        <f t="shared" si="1110"/>
        <v>0.87590178701075827</v>
      </c>
      <c r="CA365" s="665">
        <f t="shared" si="1110"/>
        <v>0.75048451049486742</v>
      </c>
      <c r="CB365" s="665">
        <f t="shared" si="1110"/>
        <v>0.71199999999999997</v>
      </c>
      <c r="CC365" s="665">
        <f t="shared" si="1110"/>
        <v>0.74550000000000005</v>
      </c>
      <c r="CD365" s="665">
        <f t="shared" si="1110"/>
        <v>0.73239882369702702</v>
      </c>
      <c r="CE365" s="665">
        <f t="shared" si="1110"/>
        <v>0.72023967263519628</v>
      </c>
      <c r="CF365" s="665">
        <f t="shared" si="1110"/>
        <v>0.70299380730404715</v>
      </c>
      <c r="CG365" s="665">
        <f t="shared" si="1110"/>
        <v>0.71191194743329234</v>
      </c>
      <c r="CH365" s="665">
        <f t="shared" si="1110"/>
        <v>0.85204391962371895</v>
      </c>
      <c r="CI365" s="665">
        <f t="shared" si="1110"/>
        <v>0.91700000000000004</v>
      </c>
      <c r="CJ365" s="665">
        <f t="shared" si="1110"/>
        <v>0.87965992724094844</v>
      </c>
      <c r="CK365" s="665">
        <f t="shared" si="1110"/>
        <v>0.91824041060614214</v>
      </c>
      <c r="CL365" s="665">
        <f t="shared" si="1110"/>
        <v>1.325</v>
      </c>
      <c r="CM365" s="665">
        <f t="shared" si="1110"/>
        <v>1.0866434827214229</v>
      </c>
      <c r="CN365" s="665">
        <f t="shared" si="1110"/>
        <v>1.9692800195705356</v>
      </c>
      <c r="CO365" s="665">
        <f t="shared" si="1110"/>
        <v>0.99715464993122449</v>
      </c>
      <c r="CP365" s="665">
        <f t="shared" si="1110"/>
        <v>1.3223168730685826</v>
      </c>
      <c r="CQ365" s="665">
        <f t="shared" si="1110"/>
        <v>0.72063208686514868</v>
      </c>
      <c r="CR365" s="665">
        <f t="shared" si="1110"/>
        <v>0.76863278050090611</v>
      </c>
      <c r="CS365" s="665">
        <f t="shared" si="1110"/>
        <v>0.74566388134292128</v>
      </c>
      <c r="CT365" s="665">
        <f t="shared" si="1110"/>
        <v>0.66400000000000003</v>
      </c>
      <c r="CU365" s="665">
        <f t="shared" ref="CU365:DZ365" si="1111">+(CU22/CU11)</f>
        <v>0.72715729935812501</v>
      </c>
      <c r="CV365" s="665">
        <f t="shared" si="1111"/>
        <v>0.69619539102516226</v>
      </c>
      <c r="CW365" s="665">
        <f t="shared" si="1111"/>
        <v>0.7</v>
      </c>
      <c r="CX365" s="665">
        <f t="shared" si="1111"/>
        <v>0.7</v>
      </c>
      <c r="CY365" s="665">
        <f t="shared" si="1111"/>
        <v>0.69974305197809517</v>
      </c>
      <c r="CZ365" s="665">
        <f t="shared" si="1111"/>
        <v>0.72746380505415176</v>
      </c>
      <c r="DA365" s="665">
        <f t="shared" si="1111"/>
        <v>0.6829557353192337</v>
      </c>
      <c r="DB365" s="665">
        <f t="shared" si="1111"/>
        <v>0.70302849471114714</v>
      </c>
      <c r="DC365" s="665">
        <f t="shared" si="1111"/>
        <v>0.69240398328149277</v>
      </c>
      <c r="DD365" s="665">
        <f t="shared" si="1111"/>
        <v>0.73844763103352995</v>
      </c>
      <c r="DE365" s="665">
        <f t="shared" si="1111"/>
        <v>0.71614818995866281</v>
      </c>
      <c r="DF365" s="665">
        <f t="shared" si="1111"/>
        <v>0.69750000000000001</v>
      </c>
      <c r="DG365" s="665">
        <f t="shared" si="1111"/>
        <v>0</v>
      </c>
      <c r="DH365" s="1297">
        <f t="shared" si="1111"/>
        <v>0.6208650901233721</v>
      </c>
      <c r="DI365" s="665">
        <f t="shared" si="1111"/>
        <v>0.60299999999999998</v>
      </c>
      <c r="DJ365" s="665">
        <f t="shared" si="1111"/>
        <v>0.82599999999999996</v>
      </c>
      <c r="DK365" s="1297">
        <f t="shared" si="1111"/>
        <v>0.70934801606224263</v>
      </c>
      <c r="DL365" s="665">
        <f t="shared" si="1111"/>
        <v>0.60212439840519794</v>
      </c>
      <c r="DM365" s="665">
        <f t="shared" si="1111"/>
        <v>0.85785155864227736</v>
      </c>
      <c r="DN365" s="1297">
        <f t="shared" si="1111"/>
        <v>0.71646612808599441</v>
      </c>
      <c r="DO365" s="665">
        <f t="shared" si="1111"/>
        <v>0.72</v>
      </c>
      <c r="DP365" s="665">
        <f t="shared" si="1111"/>
        <v>0.70499999999999996</v>
      </c>
      <c r="DQ365" s="1297">
        <f t="shared" si="1111"/>
        <v>0.7125388835428349</v>
      </c>
      <c r="DR365" s="665">
        <f t="shared" si="1111"/>
        <v>0.68540000000000001</v>
      </c>
      <c r="DS365" s="665">
        <f t="shared" si="1111"/>
        <v>0.70799999999999996</v>
      </c>
      <c r="DT365" s="1297">
        <f t="shared" si="1111"/>
        <v>0.69690065963708492</v>
      </c>
      <c r="DU365" s="665">
        <f t="shared" si="1111"/>
        <v>0.7</v>
      </c>
      <c r="DV365" s="665">
        <f t="shared" si="1111"/>
        <v>0.70799999999999996</v>
      </c>
      <c r="DW365" s="1297">
        <f t="shared" si="1111"/>
        <v>0.70366150538338978</v>
      </c>
      <c r="DX365" s="665">
        <f t="shared" si="1111"/>
        <v>0.70799999999999996</v>
      </c>
      <c r="DY365" s="665">
        <f t="shared" si="1111"/>
        <v>0.70799999999999996</v>
      </c>
      <c r="DZ365" s="1297">
        <f t="shared" si="1111"/>
        <v>0.70787608609508912</v>
      </c>
      <c r="EA365" s="665">
        <f t="shared" ref="EA365:EF365" si="1112">+(EA22/EA11)</f>
        <v>0.70799999999999996</v>
      </c>
      <c r="EB365" s="665">
        <f t="shared" si="1112"/>
        <v>0.70799999999999996</v>
      </c>
      <c r="EC365" s="1297">
        <f t="shared" si="1112"/>
        <v>0.70802083798869608</v>
      </c>
      <c r="ED365" s="665">
        <f t="shared" si="1112"/>
        <v>0.70799999999999996</v>
      </c>
      <c r="EE365" s="665">
        <f t="shared" si="1112"/>
        <v>0.70799999999999996</v>
      </c>
      <c r="EF365" s="1297">
        <f t="shared" si="1112"/>
        <v>0.70802069688558478</v>
      </c>
      <c r="EG365" s="665">
        <f t="shared" ref="EG365:EL365" si="1113">+(EG22/EG11)</f>
        <v>0.70799999999999996</v>
      </c>
      <c r="EH365" s="665">
        <f t="shared" si="1113"/>
        <v>0.70799999999999996</v>
      </c>
      <c r="EI365" s="1297">
        <f t="shared" si="1113"/>
        <v>0.70799999999999996</v>
      </c>
      <c r="EJ365" s="665">
        <f t="shared" si="1113"/>
        <v>0.70799999999999996</v>
      </c>
      <c r="EK365" s="665">
        <f t="shared" si="1113"/>
        <v>0.70799999999999996</v>
      </c>
      <c r="EL365" s="1297">
        <f t="shared" si="1113"/>
        <v>0.70799999999999996</v>
      </c>
      <c r="EM365" s="665">
        <f t="shared" ref="EM365:ER365" si="1114">+(EM22/EM11)</f>
        <v>0.70799999999999996</v>
      </c>
      <c r="EN365" s="665">
        <f t="shared" si="1114"/>
        <v>0.70799999999999996</v>
      </c>
      <c r="EO365" s="1297">
        <f t="shared" si="1114"/>
        <v>0.70799999999999985</v>
      </c>
      <c r="EP365" s="665">
        <f t="shared" si="1114"/>
        <v>0.70799999999999996</v>
      </c>
      <c r="EQ365" s="665">
        <f t="shared" si="1114"/>
        <v>0.70799999999999996</v>
      </c>
      <c r="ER365" s="1297">
        <f t="shared" si="1114"/>
        <v>0.70799999999999996</v>
      </c>
      <c r="ES365" s="665">
        <f t="shared" ref="ES365:EX365" si="1115">+(ES22/ES11)</f>
        <v>0.70799999999999996</v>
      </c>
      <c r="ET365" s="665">
        <f t="shared" si="1115"/>
        <v>0.70799999999999996</v>
      </c>
      <c r="EU365" s="1297">
        <f t="shared" si="1115"/>
        <v>0.70799999999999996</v>
      </c>
      <c r="EV365" s="665">
        <f t="shared" si="1115"/>
        <v>0.70799999999999996</v>
      </c>
      <c r="EW365" s="665">
        <f t="shared" si="1115"/>
        <v>0.70799999999999996</v>
      </c>
      <c r="EX365" s="1297">
        <f t="shared" si="1115"/>
        <v>0.70799999999999996</v>
      </c>
      <c r="EY365" s="665">
        <f t="shared" ref="EY365:FA365" si="1116">+(EY22/EY11)</f>
        <v>0.70799999999999996</v>
      </c>
      <c r="EZ365" s="665">
        <f t="shared" si="1116"/>
        <v>0.70800000000000007</v>
      </c>
      <c r="FA365" s="1297">
        <f t="shared" si="1116"/>
        <v>0.70799999999999985</v>
      </c>
      <c r="FE365"/>
      <c r="FF365"/>
      <c r="FG365"/>
      <c r="FH365"/>
      <c r="FI365"/>
      <c r="FJ365"/>
      <c r="FK365" s="35"/>
    </row>
    <row r="366" spans="2:167" s="236" customFormat="1" ht="13.35" customHeight="1" thickBot="1">
      <c r="B366" s="242" t="s">
        <v>573</v>
      </c>
      <c r="C366" s="242" t="s">
        <v>130</v>
      </c>
      <c r="D366" s="243"/>
      <c r="E366" s="612"/>
      <c r="F366" s="612"/>
      <c r="G366" s="612"/>
      <c r="H366" s="612"/>
      <c r="I366" s="612"/>
      <c r="J366" s="612"/>
      <c r="K366" s="612"/>
      <c r="L366" s="612"/>
      <c r="M366" s="612"/>
      <c r="N366" s="612"/>
      <c r="O366" s="612"/>
      <c r="P366" s="612"/>
      <c r="Q366" s="612"/>
      <c r="R366" s="612"/>
      <c r="S366" s="612"/>
      <c r="T366" s="612"/>
      <c r="U366" s="612"/>
      <c r="V366" s="612"/>
      <c r="W366" s="612"/>
      <c r="X366" s="612"/>
      <c r="Y366" s="612"/>
      <c r="Z366" s="612"/>
      <c r="AA366" s="612"/>
      <c r="AB366" s="612"/>
      <c r="AC366" s="612"/>
      <c r="AD366" s="612"/>
      <c r="AE366" s="612"/>
      <c r="AF366" s="612"/>
      <c r="AG366" s="612"/>
      <c r="AH366" s="612"/>
      <c r="AI366" s="612"/>
      <c r="AJ366" s="612"/>
      <c r="AK366" s="612"/>
      <c r="AL366" s="612">
        <f t="shared" ref="AL366:BQ366" si="1117">+AL11/AL22</f>
        <v>1.9764841942945257</v>
      </c>
      <c r="AM366" s="612">
        <f t="shared" si="1117"/>
        <v>1.4741711642251347</v>
      </c>
      <c r="AN366" s="612">
        <f t="shared" si="1117"/>
        <v>1.6750963762528912</v>
      </c>
      <c r="AO366" s="612">
        <f t="shared" si="1117"/>
        <v>1.7432536622976098</v>
      </c>
      <c r="AP366" s="612">
        <f t="shared" si="1117"/>
        <v>1.6097604690760585</v>
      </c>
      <c r="AQ366" s="612">
        <f t="shared" si="1117"/>
        <v>1.6605599723470448</v>
      </c>
      <c r="AR366" s="612">
        <f t="shared" si="1117"/>
        <v>1.736311146957535</v>
      </c>
      <c r="AS366" s="612">
        <f t="shared" si="1117"/>
        <v>1.5894425424609668</v>
      </c>
      <c r="AT366" s="612">
        <f t="shared" si="1117"/>
        <v>1.64655314518298</v>
      </c>
      <c r="AU366" s="612">
        <f t="shared" si="1117"/>
        <v>1.6085520790580561</v>
      </c>
      <c r="AV366" s="612">
        <f t="shared" si="1117"/>
        <v>0.92426187419768924</v>
      </c>
      <c r="AW366" s="612">
        <f t="shared" si="1117"/>
        <v>1.1166114717038036</v>
      </c>
      <c r="AX366" s="612">
        <f t="shared" si="1117"/>
        <v>1.3068656957664628</v>
      </c>
      <c r="AY366" s="612">
        <f t="shared" si="1117"/>
        <v>1.735366202901383</v>
      </c>
      <c r="AZ366" s="612">
        <f t="shared" si="1117"/>
        <v>1.5216899649715543</v>
      </c>
      <c r="BA366" s="612">
        <f t="shared" si="1117"/>
        <v>1.4790679619020728</v>
      </c>
      <c r="BB366" s="612">
        <f t="shared" si="1117"/>
        <v>1.344715075536046</v>
      </c>
      <c r="BC366" s="612">
        <f t="shared" si="1117"/>
        <v>1.4090442508618644</v>
      </c>
      <c r="BD366" s="612">
        <f t="shared" si="1117"/>
        <v>1.8275021767286173</v>
      </c>
      <c r="BE366" s="612">
        <f t="shared" si="1117"/>
        <v>1.3457937937796156</v>
      </c>
      <c r="BF366" s="612">
        <f t="shared" si="1117"/>
        <v>1.5406109681759701</v>
      </c>
      <c r="BG366" s="612">
        <f t="shared" si="1117"/>
        <v>1.4971090375601384</v>
      </c>
      <c r="BH366" s="612">
        <f t="shared" si="1117"/>
        <v>1.2822926397487</v>
      </c>
      <c r="BI366" s="612">
        <f t="shared" si="1117"/>
        <v>1.3748231613469608</v>
      </c>
      <c r="BJ366" s="612">
        <f t="shared" si="1117"/>
        <v>1.3634489166039632</v>
      </c>
      <c r="BK366" s="612">
        <f t="shared" si="1117"/>
        <v>0.39857554159764436</v>
      </c>
      <c r="BL366" s="612">
        <f t="shared" si="1117"/>
        <v>0.82600040142426556</v>
      </c>
      <c r="BM366" s="612">
        <f t="shared" si="1117"/>
        <v>1.5847287161454093</v>
      </c>
      <c r="BN366" s="612">
        <f t="shared" si="1117"/>
        <v>1.1441492134018532</v>
      </c>
      <c r="BO366" s="612">
        <f t="shared" si="1117"/>
        <v>1.3305482337933578</v>
      </c>
      <c r="BP366" s="612">
        <f t="shared" si="1117"/>
        <v>1.6963257443965767</v>
      </c>
      <c r="BQ366" s="612">
        <f t="shared" si="1117"/>
        <v>1.194734320539993</v>
      </c>
      <c r="BR366" s="612">
        <f t="shared" ref="BR366:CW366" si="1118">+BR11/BR22</f>
        <v>1.4204504612754556</v>
      </c>
      <c r="BS366" s="612">
        <f t="shared" si="1118"/>
        <v>1.6002432518668954</v>
      </c>
      <c r="BT366" s="612">
        <f t="shared" si="1118"/>
        <v>1.3224683880578294</v>
      </c>
      <c r="BU366" s="612">
        <f t="shared" si="1118"/>
        <v>1.4446918468202758</v>
      </c>
      <c r="BV366" s="612">
        <f t="shared" si="1118"/>
        <v>1.4657636838983519</v>
      </c>
      <c r="BW366" s="612">
        <f t="shared" si="1118"/>
        <v>1.2964740705632016</v>
      </c>
      <c r="BX366" s="612">
        <f t="shared" si="1118"/>
        <v>1.3770665797841071</v>
      </c>
      <c r="BY366" s="612">
        <f t="shared" si="1118"/>
        <v>1.5682626690356007</v>
      </c>
      <c r="BZ366" s="612">
        <f t="shared" si="1118"/>
        <v>1.1416805112508777</v>
      </c>
      <c r="CA366" s="612">
        <f t="shared" si="1118"/>
        <v>1.3324725374286575</v>
      </c>
      <c r="CB366" s="612">
        <f t="shared" si="1118"/>
        <v>1.404494382022472</v>
      </c>
      <c r="CC366" s="612">
        <f t="shared" si="1118"/>
        <v>1.3413816230717637</v>
      </c>
      <c r="CD366" s="612">
        <f t="shared" si="1118"/>
        <v>1.3653763054290107</v>
      </c>
      <c r="CE366" s="612">
        <f t="shared" si="1118"/>
        <v>1.3884267112657418</v>
      </c>
      <c r="CF366" s="612">
        <f t="shared" si="1118"/>
        <v>1.4224876373164077</v>
      </c>
      <c r="CG366" s="612">
        <f t="shared" si="1118"/>
        <v>1.4046680963922187</v>
      </c>
      <c r="CH366" s="612">
        <f t="shared" si="1118"/>
        <v>1.1736484199565929</v>
      </c>
      <c r="CI366" s="612">
        <f t="shared" si="1118"/>
        <v>1.0905125408942202</v>
      </c>
      <c r="CJ366" s="612">
        <f t="shared" si="1118"/>
        <v>1.1368029496768119</v>
      </c>
      <c r="CK366" s="612">
        <f t="shared" si="1118"/>
        <v>1.0890394154401104</v>
      </c>
      <c r="CL366" s="612">
        <f t="shared" si="1118"/>
        <v>0.75471698113207542</v>
      </c>
      <c r="CM366" s="612">
        <f t="shared" si="1118"/>
        <v>0.92026503255287517</v>
      </c>
      <c r="CN366" s="612">
        <f t="shared" si="1118"/>
        <v>0.50779979995840407</v>
      </c>
      <c r="CO366" s="612">
        <f t="shared" si="1118"/>
        <v>1.0028534691875246</v>
      </c>
      <c r="CP366" s="612">
        <f t="shared" si="1118"/>
        <v>0.75624838521449811</v>
      </c>
      <c r="CQ366" s="612">
        <f t="shared" si="1118"/>
        <v>1.3876706550080793</v>
      </c>
      <c r="CR366" s="612">
        <f t="shared" si="1118"/>
        <v>1.3010113871910531</v>
      </c>
      <c r="CS366" s="612">
        <f t="shared" si="1118"/>
        <v>1.3410868154147766</v>
      </c>
      <c r="CT366" s="612">
        <f t="shared" si="1118"/>
        <v>1.5060240963855422</v>
      </c>
      <c r="CU366" s="612">
        <f t="shared" si="1118"/>
        <v>1.3752182655427077</v>
      </c>
      <c r="CV366" s="612">
        <f t="shared" si="1118"/>
        <v>1.4363783686178662</v>
      </c>
      <c r="CW366" s="612">
        <f t="shared" si="1118"/>
        <v>1.4285714285714286</v>
      </c>
      <c r="CX366" s="612">
        <f t="shared" ref="CX366:EF366" si="1119">+CX11/CX22</f>
        <v>1.4285714285714288</v>
      </c>
      <c r="CY366" s="612">
        <f t="shared" si="1119"/>
        <v>1.4290960048450816</v>
      </c>
      <c r="CZ366" s="612">
        <f t="shared" si="1119"/>
        <v>1.3746388384581703</v>
      </c>
      <c r="DA366" s="612">
        <f t="shared" si="1119"/>
        <v>1.4642237385012522</v>
      </c>
      <c r="DB366" s="612">
        <f t="shared" si="1119"/>
        <v>1.4224174518144805</v>
      </c>
      <c r="DC366" s="612">
        <f t="shared" si="1119"/>
        <v>1.4442435689938196</v>
      </c>
      <c r="DD366" s="612">
        <f t="shared" si="1119"/>
        <v>1.3541921701345319</v>
      </c>
      <c r="DE366" s="612">
        <f t="shared" si="1119"/>
        <v>1.39635904135668</v>
      </c>
      <c r="DF366" s="612">
        <f t="shared" si="1119"/>
        <v>1.4336917562724014</v>
      </c>
      <c r="DG366" s="612"/>
      <c r="DH366" s="1298">
        <f t="shared" si="1119"/>
        <v>1.6106558669634494</v>
      </c>
      <c r="DI366" s="612">
        <f t="shared" si="1119"/>
        <v>1.6583747927031509</v>
      </c>
      <c r="DJ366" s="612">
        <f t="shared" si="1119"/>
        <v>1.2106537530266344</v>
      </c>
      <c r="DK366" s="1298">
        <f t="shared" si="1119"/>
        <v>1.4097452552996974</v>
      </c>
      <c r="DL366" s="612">
        <f t="shared" si="1119"/>
        <v>1.6607863801045524</v>
      </c>
      <c r="DM366" s="612">
        <f t="shared" si="1119"/>
        <v>1.1657028420892552</v>
      </c>
      <c r="DN366" s="1298">
        <f t="shared" si="1119"/>
        <v>1.3957393947868169</v>
      </c>
      <c r="DO366" s="612">
        <f t="shared" si="1119"/>
        <v>1.3888888888888891</v>
      </c>
      <c r="DP366" s="612">
        <f t="shared" si="1119"/>
        <v>1.4184397163120568</v>
      </c>
      <c r="DQ366" s="1298">
        <f t="shared" si="1119"/>
        <v>1.4034321818731792</v>
      </c>
      <c r="DR366" s="612">
        <f t="shared" si="1119"/>
        <v>1.4590020426028596</v>
      </c>
      <c r="DS366" s="612">
        <f t="shared" si="1119"/>
        <v>1.4124293785310735</v>
      </c>
      <c r="DT366" s="1298">
        <f t="shared" si="1119"/>
        <v>1.4349247431057905</v>
      </c>
      <c r="DU366" s="612">
        <f t="shared" si="1119"/>
        <v>1.4285714285714286</v>
      </c>
      <c r="DV366" s="612">
        <f t="shared" si="1119"/>
        <v>1.4124293785310735</v>
      </c>
      <c r="DW366" s="1298">
        <f t="shared" si="1119"/>
        <v>1.4211378515798592</v>
      </c>
      <c r="DX366" s="612">
        <f t="shared" si="1119"/>
        <v>1.4124293785310735</v>
      </c>
      <c r="DY366" s="612">
        <f t="shared" si="1119"/>
        <v>1.4124293785310735</v>
      </c>
      <c r="DZ366" s="1298">
        <f t="shared" si="1119"/>
        <v>1.4126766246849449</v>
      </c>
      <c r="EA366" s="612">
        <f t="shared" si="1119"/>
        <v>1.4124293785310735</v>
      </c>
      <c r="EB366" s="612">
        <f t="shared" si="1119"/>
        <v>1.4124293785310735</v>
      </c>
      <c r="EC366" s="1298">
        <f t="shared" si="1119"/>
        <v>1.4123878088683677</v>
      </c>
      <c r="ED366" s="612">
        <f t="shared" si="1119"/>
        <v>1.4124293785310735</v>
      </c>
      <c r="EE366" s="612">
        <f t="shared" si="1119"/>
        <v>1.4124293785310735</v>
      </c>
      <c r="EF366" s="1298">
        <f t="shared" si="1119"/>
        <v>1.4123880903464587</v>
      </c>
      <c r="EG366" s="612">
        <f t="shared" ref="EG366:EL366" si="1120">+EG11/EG22</f>
        <v>1.4124293785310735</v>
      </c>
      <c r="EH366" s="612">
        <f t="shared" si="1120"/>
        <v>1.4124293785310735</v>
      </c>
      <c r="EI366" s="1298">
        <f t="shared" si="1120"/>
        <v>1.4124293785310735</v>
      </c>
      <c r="EJ366" s="612">
        <f t="shared" si="1120"/>
        <v>1.4124293785310735</v>
      </c>
      <c r="EK366" s="612">
        <f t="shared" si="1120"/>
        <v>1.4124293785310735</v>
      </c>
      <c r="EL366" s="1298">
        <f t="shared" si="1120"/>
        <v>1.4124293785310735</v>
      </c>
      <c r="EM366" s="612">
        <f t="shared" ref="EM366:ER366" si="1121">+EM11/EM22</f>
        <v>1.4124293785310735</v>
      </c>
      <c r="EN366" s="612">
        <f t="shared" si="1121"/>
        <v>1.4124293785310735</v>
      </c>
      <c r="EO366" s="1298">
        <f t="shared" si="1121"/>
        <v>1.4124293785310738</v>
      </c>
      <c r="EP366" s="612">
        <f t="shared" si="1121"/>
        <v>1.4124293785310735</v>
      </c>
      <c r="EQ366" s="612">
        <f t="shared" si="1121"/>
        <v>1.4124293785310735</v>
      </c>
      <c r="ER366" s="1298">
        <f t="shared" si="1121"/>
        <v>1.4124293785310735</v>
      </c>
      <c r="ES366" s="612">
        <f t="shared" ref="ES366:EX366" si="1122">+ES11/ES22</f>
        <v>1.4124293785310735</v>
      </c>
      <c r="ET366" s="612">
        <f t="shared" si="1122"/>
        <v>1.4124293785310735</v>
      </c>
      <c r="EU366" s="1298">
        <f t="shared" si="1122"/>
        <v>1.4124293785310735</v>
      </c>
      <c r="EV366" s="612">
        <f t="shared" si="1122"/>
        <v>1.4124293785310735</v>
      </c>
      <c r="EW366" s="612">
        <f t="shared" si="1122"/>
        <v>1.4124293785310735</v>
      </c>
      <c r="EX366" s="1298">
        <f t="shared" si="1122"/>
        <v>1.4124293785310735</v>
      </c>
      <c r="EY366" s="612">
        <f t="shared" ref="EY366:FA366" si="1123">+EY11/EY22</f>
        <v>1.4124293785310735</v>
      </c>
      <c r="EZ366" s="612">
        <f t="shared" si="1123"/>
        <v>1.4124293785310733</v>
      </c>
      <c r="FA366" s="1298">
        <f t="shared" si="1123"/>
        <v>1.4124293785310738</v>
      </c>
      <c r="FE366"/>
      <c r="FF366"/>
      <c r="FG366"/>
      <c r="FH366"/>
      <c r="FI366"/>
      <c r="FJ366"/>
      <c r="FK366" s="35"/>
    </row>
    <row r="367" spans="2:167" s="236" customFormat="1" ht="13.35" customHeight="1" thickBot="1">
      <c r="B367" s="242" t="s">
        <v>574</v>
      </c>
      <c r="C367" s="242" t="s">
        <v>496</v>
      </c>
      <c r="D367" s="243"/>
      <c r="E367" s="666"/>
      <c r="F367" s="667">
        <f>+G367</f>
        <v>0</v>
      </c>
      <c r="G367" s="627"/>
      <c r="H367" s="668"/>
      <c r="I367" s="667">
        <f>+J367</f>
        <v>0</v>
      </c>
      <c r="J367" s="627"/>
      <c r="K367" s="668"/>
      <c r="L367" s="667">
        <f>+M367</f>
        <v>0</v>
      </c>
      <c r="M367" s="627"/>
      <c r="N367" s="668"/>
      <c r="O367" s="667">
        <f>+P367</f>
        <v>0</v>
      </c>
      <c r="P367" s="627"/>
      <c r="Q367" s="668"/>
      <c r="R367" s="667">
        <f>+S367</f>
        <v>0</v>
      </c>
      <c r="S367" s="627"/>
      <c r="T367" s="668"/>
      <c r="U367" s="667">
        <f>+V367</f>
        <v>0</v>
      </c>
      <c r="V367" s="627"/>
      <c r="W367" s="668"/>
      <c r="X367" s="667">
        <f>+Y367</f>
        <v>0</v>
      </c>
      <c r="Y367" s="627"/>
      <c r="Z367" s="668"/>
      <c r="AA367" s="667">
        <f>+AB367</f>
        <v>0</v>
      </c>
      <c r="AB367" s="627"/>
      <c r="AC367" s="668"/>
      <c r="AD367" s="667">
        <f>+AE367</f>
        <v>0</v>
      </c>
      <c r="AE367" s="627"/>
      <c r="AF367" s="668"/>
      <c r="AG367" s="667">
        <f>+AH367</f>
        <v>0</v>
      </c>
      <c r="AH367" s="627"/>
      <c r="AI367" s="668"/>
      <c r="AJ367" s="667">
        <f>+AK367</f>
        <v>0</v>
      </c>
      <c r="AK367" s="627"/>
      <c r="AL367" s="668"/>
      <c r="AM367" s="667">
        <f>+AN367</f>
        <v>0</v>
      </c>
      <c r="AN367" s="627"/>
      <c r="AO367" s="668"/>
      <c r="AP367" s="667">
        <f>+AQ367</f>
        <v>0</v>
      </c>
      <c r="AQ367" s="627"/>
      <c r="AR367" s="668"/>
      <c r="AS367" s="667">
        <f>+AT367</f>
        <v>0</v>
      </c>
      <c r="AT367" s="627"/>
      <c r="AU367" s="668"/>
      <c r="AV367" s="667">
        <f>+AW367</f>
        <v>0</v>
      </c>
      <c r="AW367" s="627"/>
      <c r="AX367" s="668"/>
      <c r="AY367" s="667">
        <f>+AZ367</f>
        <v>0</v>
      </c>
      <c r="AZ367" s="627"/>
      <c r="BA367" s="668"/>
      <c r="BB367" s="667">
        <f>+BC367</f>
        <v>0</v>
      </c>
      <c r="BC367" s="627"/>
      <c r="BD367" s="668">
        <f>IF(Assumptions!BD230&lt;&gt;"",Assumptions!BD230,0)</f>
        <v>0</v>
      </c>
      <c r="BE367" s="667">
        <f>+BF367</f>
        <v>0</v>
      </c>
      <c r="BF367" s="627">
        <f>IF(Assumptions!BF230&lt;&gt;"",Assumptions!BF230,0)</f>
        <v>0</v>
      </c>
      <c r="BG367" s="668">
        <f>IF(Assumptions!BG230&lt;&gt;"",Assumptions!BG230,0)</f>
        <v>0</v>
      </c>
      <c r="BH367" s="667">
        <f>+BI367</f>
        <v>0</v>
      </c>
      <c r="BI367" s="627">
        <f>IF(Assumptions!BI230&lt;&gt;"",Assumptions!BI230,0)</f>
        <v>0</v>
      </c>
      <c r="BJ367" s="668">
        <f>IF(Assumptions!BJ230&lt;&gt;"",Assumptions!BJ230,0)</f>
        <v>0</v>
      </c>
      <c r="BK367" s="667">
        <f>+BL367</f>
        <v>0</v>
      </c>
      <c r="BL367" s="627">
        <f>IF(Assumptions!BL230&lt;&gt;"",Assumptions!BL230,0)</f>
        <v>0</v>
      </c>
      <c r="BM367" s="668">
        <f>IF(Assumptions!BM230&lt;&gt;"",Assumptions!BM230,0)</f>
        <v>0</v>
      </c>
      <c r="BN367" s="667">
        <f>+BO367</f>
        <v>0</v>
      </c>
      <c r="BO367" s="669">
        <f>IF(Assumptions!BO230&lt;&gt;"",Assumptions!BO230,0)</f>
        <v>0</v>
      </c>
      <c r="BP367" s="668">
        <f>IF(Assumptions!BP230&lt;&gt;"",Assumptions!BP230,0)</f>
        <v>0</v>
      </c>
      <c r="BQ367" s="667">
        <f>+BR367</f>
        <v>0</v>
      </c>
      <c r="BR367" s="669">
        <f>IF(Assumptions!BR230&lt;&gt;"",Assumptions!BR230,0)</f>
        <v>0</v>
      </c>
      <c r="BS367" s="668">
        <f>IF(Assumptions!BS230&lt;&gt;"",Assumptions!BS230,0)</f>
        <v>0</v>
      </c>
      <c r="BT367" s="667">
        <f>+BU367</f>
        <v>0</v>
      </c>
      <c r="BU367" s="669">
        <f>IF(Assumptions!BU230&lt;&gt;"",Assumptions!BU230,0)</f>
        <v>0</v>
      </c>
      <c r="BV367" s="668">
        <f>IF(Assumptions!BV230&lt;&gt;"",Assumptions!BV230,0)</f>
        <v>0</v>
      </c>
      <c r="BW367" s="667">
        <f>+BX367</f>
        <v>0</v>
      </c>
      <c r="BX367" s="669">
        <f>IF(Assumptions!BX230&lt;&gt;"",Assumptions!BX230,0)</f>
        <v>0</v>
      </c>
      <c r="BY367" s="668">
        <f>IF(Assumptions!BY230&lt;&gt;"",Assumptions!BY230,0)</f>
        <v>0</v>
      </c>
      <c r="BZ367" s="667">
        <f>+CA367</f>
        <v>0</v>
      </c>
      <c r="CA367" s="669">
        <f>IF(Assumptions!CA230&lt;&gt;"",Assumptions!CA230,0)</f>
        <v>0</v>
      </c>
      <c r="CB367" s="668">
        <f>IF(Assumptions!CB230&lt;&gt;"",Assumptions!CB230,0)</f>
        <v>0</v>
      </c>
      <c r="CC367" s="667">
        <f>+CD367</f>
        <v>0</v>
      </c>
      <c r="CD367" s="669">
        <f>IF(Assumptions!CD230&lt;&gt;"",Assumptions!CD230,0)</f>
        <v>0</v>
      </c>
      <c r="CE367" s="668">
        <f>IF(Assumptions!CE230&lt;&gt;"",Assumptions!CE230,0)</f>
        <v>0</v>
      </c>
      <c r="CF367" s="667">
        <f>+CG367</f>
        <v>0</v>
      </c>
      <c r="CG367" s="669">
        <f>IF(Assumptions!CG230&lt;&gt;"",Assumptions!CG230,0)</f>
        <v>0</v>
      </c>
      <c r="CH367" s="668">
        <f>IF(Assumptions!CH230&lt;&gt;"",Assumptions!CH230,0)</f>
        <v>0</v>
      </c>
      <c r="CI367" s="667">
        <f>+CJ367</f>
        <v>0</v>
      </c>
      <c r="CJ367" s="669">
        <f>IF(Assumptions!CJ230&lt;&gt;"",Assumptions!CJ230,0)</f>
        <v>0</v>
      </c>
      <c r="CK367" s="668">
        <f>IF(Assumptions!CK230&lt;&gt;"",Assumptions!CK230,0)</f>
        <v>0</v>
      </c>
      <c r="CL367" s="667">
        <f>+CM367</f>
        <v>0</v>
      </c>
      <c r="CM367" s="669">
        <f>IF(Assumptions!CM230&lt;&gt;"",Assumptions!CM230,0)</f>
        <v>0</v>
      </c>
      <c r="CN367" s="668">
        <f>IF(Assumptions!CN230&lt;&gt;"",Assumptions!CN230,0)</f>
        <v>0</v>
      </c>
      <c r="CO367" s="667">
        <f>+CP367</f>
        <v>0</v>
      </c>
      <c r="CP367" s="669">
        <f>IF(Assumptions!CP230&lt;&gt;"",Assumptions!CP230,0)</f>
        <v>0</v>
      </c>
      <c r="CQ367" s="668">
        <f>IF(Assumptions!CQ230&lt;&gt;"",Assumptions!CQ230,0)</f>
        <v>0</v>
      </c>
      <c r="CR367" s="667">
        <f>+CS367</f>
        <v>0</v>
      </c>
      <c r="CS367" s="669">
        <f>IF(Assumptions!CS230&lt;&gt;"",Assumptions!CS230,0)</f>
        <v>0</v>
      </c>
      <c r="CT367" s="668">
        <f>IF(Assumptions!CT230&lt;&gt;"",Assumptions!CT230,0)</f>
        <v>0</v>
      </c>
      <c r="CU367" s="667">
        <f>+CV367</f>
        <v>0</v>
      </c>
      <c r="CV367" s="669">
        <f>IF(Assumptions!CV230&lt;&gt;"",Assumptions!CV230,0)</f>
        <v>0</v>
      </c>
      <c r="CW367" s="668">
        <f>IF(Assumptions!CW230&lt;&gt;"",Assumptions!CW230,0)</f>
        <v>0</v>
      </c>
      <c r="CX367" s="667">
        <f>+CY367</f>
        <v>0</v>
      </c>
      <c r="CY367" s="669">
        <f>IF(Assumptions!CY230&lt;&gt;"",Assumptions!CY230,0)</f>
        <v>0</v>
      </c>
      <c r="CZ367" s="668">
        <f>IF(Assumptions!CZ230&lt;&gt;"",Assumptions!CZ230,0)</f>
        <v>0</v>
      </c>
      <c r="DA367" s="667">
        <f>+DB367</f>
        <v>0</v>
      </c>
      <c r="DB367" s="669">
        <f>IF(Assumptions!DB230&lt;&gt;"",Assumptions!DB230,0)</f>
        <v>0</v>
      </c>
      <c r="DC367" s="668">
        <f>IF(Assumptions!DC230&lt;&gt;"",Assumptions!DC230,0)</f>
        <v>0</v>
      </c>
      <c r="DD367" s="667">
        <f>+DE367</f>
        <v>0</v>
      </c>
      <c r="DE367" s="669">
        <f>IF(Assumptions!DE230&lt;&gt;"",Assumptions!DE230,0)</f>
        <v>0</v>
      </c>
      <c r="DF367" s="668">
        <f>IF(Assumptions!DF230&lt;&gt;"",Assumptions!DF230,0)</f>
        <v>0</v>
      </c>
      <c r="DG367" s="667">
        <f>+DH367</f>
        <v>0</v>
      </c>
      <c r="DH367" s="1316">
        <f>IF(Assumptions!DH230&lt;&gt;"",Assumptions!DH230,0)</f>
        <v>0</v>
      </c>
      <c r="DI367" s="667">
        <f>IF(Assumptions!DI230&lt;&gt;"",Assumptions!DI230,0)</f>
        <v>0</v>
      </c>
      <c r="DJ367" s="667">
        <f>+DK367</f>
        <v>0</v>
      </c>
      <c r="DK367" s="1316">
        <f>IF(Assumptions!DK230&lt;&gt;"",Assumptions!DK230,0)</f>
        <v>0</v>
      </c>
      <c r="DL367" s="667">
        <f>IF(Assumptions!DL230&lt;&gt;"",Assumptions!DL230,0)</f>
        <v>0</v>
      </c>
      <c r="DM367" s="667">
        <f>+DN367</f>
        <v>0</v>
      </c>
      <c r="DN367" s="1316">
        <f>IF(Assumptions!DN230&lt;&gt;"",Assumptions!DN230,0)</f>
        <v>0</v>
      </c>
      <c r="DO367" s="667">
        <f>IF(Assumptions!DO230&lt;&gt;"",Assumptions!DO230,0)</f>
        <v>0</v>
      </c>
      <c r="DP367" s="667">
        <f>+DQ367</f>
        <v>0</v>
      </c>
      <c r="DQ367" s="1316">
        <f>IF(Assumptions!DQ230&lt;&gt;"",Assumptions!DQ230,0)</f>
        <v>0</v>
      </c>
      <c r="DR367" s="667">
        <f>IF(Assumptions!DR230&lt;&gt;"",Assumptions!DR230,0)</f>
        <v>0</v>
      </c>
      <c r="DS367" s="667">
        <f>+DT367</f>
        <v>0</v>
      </c>
      <c r="DT367" s="1316">
        <f>IF(Assumptions!DT230&lt;&gt;"",Assumptions!DT230,0)</f>
        <v>0</v>
      </c>
      <c r="DU367" s="667">
        <f>IF(Assumptions!DU230&lt;&gt;"",Assumptions!DU230,0)</f>
        <v>0</v>
      </c>
      <c r="DV367" s="667">
        <f>+DW367</f>
        <v>0</v>
      </c>
      <c r="DW367" s="1316">
        <f>IF(Assumptions!DW230&lt;&gt;"",Assumptions!DW230,0)</f>
        <v>0</v>
      </c>
      <c r="DX367" s="667">
        <f>IF(Assumptions!DX230&lt;&gt;"",Assumptions!DX230,0)</f>
        <v>0</v>
      </c>
      <c r="DY367" s="667">
        <f>+DZ367</f>
        <v>0</v>
      </c>
      <c r="DZ367" s="1316">
        <f>IF(Assumptions!DZ230&lt;&gt;"",Assumptions!DZ230,0)</f>
        <v>0</v>
      </c>
      <c r="EA367" s="667">
        <f>IF(Assumptions!EA230&lt;&gt;"",Assumptions!EA230,0)</f>
        <v>0</v>
      </c>
      <c r="EB367" s="667">
        <f>+EC367</f>
        <v>0</v>
      </c>
      <c r="EC367" s="1316">
        <f>IF(Assumptions!EC230&lt;&gt;"",Assumptions!EC230,0)</f>
        <v>0</v>
      </c>
      <c r="ED367" s="667">
        <f>IF(Assumptions!ED230&lt;&gt;"",Assumptions!ED230,0)</f>
        <v>0</v>
      </c>
      <c r="EE367" s="667">
        <f>+EF367</f>
        <v>0</v>
      </c>
      <c r="EF367" s="1316">
        <f>IF(Assumptions!EF230&lt;&gt;"",Assumptions!EF230,0)</f>
        <v>0</v>
      </c>
      <c r="EG367" s="667">
        <f>IF(Assumptions!EG230&lt;&gt;"",Assumptions!EG230,0)</f>
        <v>0</v>
      </c>
      <c r="EH367" s="667">
        <f>+EI367</f>
        <v>0</v>
      </c>
      <c r="EI367" s="1316">
        <f>IF(Assumptions!EI230&lt;&gt;"",Assumptions!EI230,0)</f>
        <v>0</v>
      </c>
      <c r="EJ367" s="667">
        <f>IF(Assumptions!EJ230&lt;&gt;"",Assumptions!EJ230,0)</f>
        <v>0</v>
      </c>
      <c r="EK367" s="667">
        <f>+EL367</f>
        <v>0</v>
      </c>
      <c r="EL367" s="1316">
        <f>IF(Assumptions!EL230&lt;&gt;"",Assumptions!EL230,0)</f>
        <v>0</v>
      </c>
      <c r="EM367" s="667">
        <f>IF(Assumptions!EM230&lt;&gt;"",Assumptions!EM230,0)</f>
        <v>0</v>
      </c>
      <c r="EN367" s="667">
        <f>+EO367</f>
        <v>0</v>
      </c>
      <c r="EO367" s="1316">
        <f>IF(Assumptions!EO230&lt;&gt;"",Assumptions!EO230,0)</f>
        <v>0</v>
      </c>
      <c r="EP367" s="667">
        <f>IF(Assumptions!EP230&lt;&gt;"",Assumptions!EP230,0)</f>
        <v>0</v>
      </c>
      <c r="EQ367" s="667">
        <f>+ER367</f>
        <v>0</v>
      </c>
      <c r="ER367" s="1316">
        <f>IF(Assumptions!ER230&lt;&gt;"",Assumptions!ER230,0)</f>
        <v>0</v>
      </c>
      <c r="ES367" s="667">
        <f>IF(Assumptions!ES230&lt;&gt;"",Assumptions!ES230,0)</f>
        <v>0</v>
      </c>
      <c r="ET367" s="667">
        <f>+EU367</f>
        <v>0</v>
      </c>
      <c r="EU367" s="1316">
        <f>IF(Assumptions!EU230&lt;&gt;"",Assumptions!EU230,0)</f>
        <v>0</v>
      </c>
      <c r="EV367" s="667">
        <f>IF(Assumptions!EV230&lt;&gt;"",Assumptions!EV230,0)</f>
        <v>0</v>
      </c>
      <c r="EW367" s="667">
        <f>+EX367</f>
        <v>0</v>
      </c>
      <c r="EX367" s="1316">
        <f>IF(Assumptions!EX230&lt;&gt;"",Assumptions!EX230,0)</f>
        <v>0</v>
      </c>
      <c r="EY367" s="667">
        <f>IF(Assumptions!EY230&lt;&gt;"",Assumptions!EY230,0)</f>
        <v>0</v>
      </c>
      <c r="EZ367" s="667">
        <f>+FA367</f>
        <v>0</v>
      </c>
      <c r="FA367" s="1316">
        <f>IF(Assumptions!FA230&lt;&gt;"",Assumptions!FA230,0)</f>
        <v>0</v>
      </c>
      <c r="FE367"/>
      <c r="FF367"/>
      <c r="FG367"/>
      <c r="FH367"/>
      <c r="FI367"/>
      <c r="FJ367"/>
      <c r="FK367" s="35"/>
    </row>
    <row r="368" spans="2:167" s="236" customFormat="1" ht="13.35" customHeight="1">
      <c r="B368" s="670" t="s">
        <v>637</v>
      </c>
      <c r="C368" s="242"/>
      <c r="D368" s="243"/>
      <c r="E368" s="671"/>
      <c r="F368" s="672"/>
      <c r="G368" s="673"/>
      <c r="H368" s="671"/>
      <c r="I368" s="672"/>
      <c r="J368" s="673"/>
      <c r="K368" s="671"/>
      <c r="L368" s="672"/>
      <c r="M368" s="673"/>
      <c r="N368" s="671"/>
      <c r="O368" s="672"/>
      <c r="P368" s="673"/>
      <c r="Q368" s="671"/>
      <c r="R368" s="672"/>
      <c r="S368" s="673"/>
      <c r="T368" s="671"/>
      <c r="U368" s="672"/>
      <c r="V368" s="673"/>
      <c r="W368" s="671"/>
      <c r="X368" s="672"/>
      <c r="Y368" s="673"/>
      <c r="Z368" s="671"/>
      <c r="AA368" s="672"/>
      <c r="AB368" s="673"/>
      <c r="AC368" s="671"/>
      <c r="AD368" s="672"/>
      <c r="AE368" s="673"/>
      <c r="AF368" s="671"/>
      <c r="AG368" s="672"/>
      <c r="AH368" s="673"/>
      <c r="AI368" s="671"/>
      <c r="AJ368" s="672"/>
      <c r="AK368" s="673"/>
      <c r="AL368" s="674">
        <v>35166</v>
      </c>
      <c r="AM368" s="675">
        <v>35331</v>
      </c>
      <c r="AN368" s="673"/>
      <c r="AO368" s="674">
        <v>35522</v>
      </c>
      <c r="AP368" s="675">
        <v>35696</v>
      </c>
      <c r="AQ368" s="673"/>
      <c r="AR368" s="674">
        <v>35880</v>
      </c>
      <c r="AS368" s="675">
        <v>36031</v>
      </c>
      <c r="AT368" s="673"/>
      <c r="AU368" s="674">
        <v>36215</v>
      </c>
      <c r="AV368" s="675">
        <v>36404</v>
      </c>
      <c r="AW368" s="673"/>
      <c r="AX368" s="674">
        <v>36586</v>
      </c>
      <c r="AY368" s="675">
        <v>36774</v>
      </c>
      <c r="AZ368" s="673"/>
      <c r="BA368" s="674">
        <v>36949</v>
      </c>
      <c r="BB368" s="675">
        <v>37138</v>
      </c>
      <c r="BC368" s="673"/>
      <c r="BD368" s="671">
        <f>IF(Assumptions!BD231&lt;&gt;"",Assumptions!BD231,"")</f>
        <v>37311</v>
      </c>
      <c r="BE368" s="672">
        <f>IF(Assumptions!BE231&lt;&gt;"",Assumptions!BE231,"")</f>
        <v>37500</v>
      </c>
      <c r="BF368" s="673"/>
      <c r="BG368" s="671">
        <f>IF(Assumptions!BG231&lt;&gt;"",Assumptions!BG231,"")</f>
        <v>37689</v>
      </c>
      <c r="BH368" s="672">
        <f>IF(Assumptions!BH231&lt;&gt;"",Assumptions!BH231,"")</f>
        <v>37878</v>
      </c>
      <c r="BI368" s="673"/>
      <c r="BJ368" s="671">
        <f>IF(Assumptions!BJ231&lt;&gt;"",Assumptions!BJ231,"")</f>
        <v>38067</v>
      </c>
      <c r="BK368" s="672">
        <f>IF(Assumptions!BK231&lt;&gt;"",Assumptions!BK231,"")</f>
        <v>38256</v>
      </c>
      <c r="BL368" s="673"/>
      <c r="BM368" s="671" t="str">
        <f>IF(Assumptions!BM231&lt;&gt;"",Assumptions!BM231,"")</f>
        <v/>
      </c>
      <c r="BN368" s="672" t="str">
        <f>IF(Assumptions!BN231&lt;&gt;"",Assumptions!BN231,"")</f>
        <v/>
      </c>
      <c r="BO368" s="673"/>
      <c r="BP368" s="671" t="str">
        <f>IF(Assumptions!BP231&lt;&gt;"",Assumptions!BP231,"")</f>
        <v/>
      </c>
      <c r="BQ368" s="672" t="str">
        <f>IF(Assumptions!BQ231&lt;&gt;"",Assumptions!BQ231,"")</f>
        <v/>
      </c>
      <c r="BR368" s="673"/>
      <c r="BS368" s="671" t="str">
        <f>IF(Assumptions!BS231&lt;&gt;"",Assumptions!BS231,"")</f>
        <v/>
      </c>
      <c r="BT368" s="672" t="str">
        <f>IF(Assumptions!BT231&lt;&gt;"",Assumptions!BT231,"")</f>
        <v/>
      </c>
      <c r="BU368" s="673"/>
      <c r="BV368" s="671" t="str">
        <f>IF(Assumptions!BV231&lt;&gt;"",Assumptions!BV231,"")</f>
        <v/>
      </c>
      <c r="BW368" s="672" t="str">
        <f>IF(Assumptions!BW231&lt;&gt;"",Assumptions!BW231,"")</f>
        <v/>
      </c>
      <c r="BX368" s="673"/>
      <c r="BY368" s="671" t="str">
        <f>IF(Assumptions!BY231&lt;&gt;"",Assumptions!BY231,"")</f>
        <v/>
      </c>
      <c r="BZ368" s="672" t="str">
        <f>IF(Assumptions!BZ231&lt;&gt;"",Assumptions!BZ231,"")</f>
        <v/>
      </c>
      <c r="CA368" s="673"/>
      <c r="CB368" s="671" t="str">
        <f>IF(Assumptions!CB231&lt;&gt;"",Assumptions!CB231,"")</f>
        <v/>
      </c>
      <c r="CC368" s="672" t="str">
        <f>IF(Assumptions!CC231&lt;&gt;"",Assumptions!CC231,"")</f>
        <v/>
      </c>
      <c r="CD368" s="673"/>
      <c r="CE368" s="671" t="str">
        <f>IF(Assumptions!CE231&lt;&gt;"",Assumptions!CE231,"")</f>
        <v/>
      </c>
      <c r="CF368" s="672" t="str">
        <f>IF(Assumptions!CF231&lt;&gt;"",Assumptions!CF231,"")</f>
        <v/>
      </c>
      <c r="CG368" s="673"/>
      <c r="CH368" s="671" t="str">
        <f>IF(Assumptions!CH231&lt;&gt;"",Assumptions!CH231,"")</f>
        <v/>
      </c>
      <c r="CI368" s="672" t="str">
        <f>IF(Assumptions!CI231&lt;&gt;"",Assumptions!CI231,"")</f>
        <v/>
      </c>
      <c r="CJ368" s="673"/>
      <c r="CK368" s="671" t="str">
        <f>IF(Assumptions!CK231&lt;&gt;"",Assumptions!CK231,"")</f>
        <v/>
      </c>
      <c r="CL368" s="672" t="str">
        <f>IF(Assumptions!CL231&lt;&gt;"",Assumptions!CL231,"")</f>
        <v/>
      </c>
      <c r="CM368" s="673"/>
      <c r="CN368" s="671" t="str">
        <f>IF(Assumptions!CN231&lt;&gt;"",Assumptions!CN231,"")</f>
        <v/>
      </c>
      <c r="CO368" s="672" t="str">
        <f>IF(Assumptions!CO231&lt;&gt;"",Assumptions!CO231,"")</f>
        <v/>
      </c>
      <c r="CP368" s="673"/>
      <c r="CQ368" s="671" t="str">
        <f>IF(Assumptions!CQ231&lt;&gt;"",Assumptions!CQ231,"")</f>
        <v/>
      </c>
      <c r="CR368" s="672" t="str">
        <f>IF(Assumptions!CR231&lt;&gt;"",Assumptions!CR231,"")</f>
        <v/>
      </c>
      <c r="CS368" s="673"/>
      <c r="CT368" s="671" t="str">
        <f>IF(Assumptions!CT231&lt;&gt;"",Assumptions!CT231,"")</f>
        <v/>
      </c>
      <c r="CU368" s="672" t="str">
        <f>IF(Assumptions!CU231&lt;&gt;"",Assumptions!CU231,"")</f>
        <v/>
      </c>
      <c r="CV368" s="673"/>
      <c r="CW368" s="671" t="str">
        <f>IF(Assumptions!CW231&lt;&gt;"",Assumptions!CW231,"")</f>
        <v/>
      </c>
      <c r="CX368" s="672" t="str">
        <f>IF(Assumptions!CX231&lt;&gt;"",Assumptions!CX231,"")</f>
        <v/>
      </c>
      <c r="CY368" s="673"/>
      <c r="CZ368" s="671" t="str">
        <f>IF(Assumptions!CZ231&lt;&gt;"",Assumptions!CZ231,"")</f>
        <v/>
      </c>
      <c r="DA368" s="672" t="str">
        <f>IF(Assumptions!DA231&lt;&gt;"",Assumptions!DA231,"")</f>
        <v/>
      </c>
      <c r="DB368" s="673"/>
      <c r="DC368" s="671" t="str">
        <f>IF(Assumptions!DC231&lt;&gt;"",Assumptions!DC231,"")</f>
        <v/>
      </c>
      <c r="DD368" s="672" t="str">
        <f>IF(Assumptions!DD231&lt;&gt;"",Assumptions!DD231,"")</f>
        <v/>
      </c>
      <c r="DE368" s="673"/>
      <c r="DF368" s="671" t="str">
        <f>IF(Assumptions!DF231&lt;&gt;"",Assumptions!DF231,"")</f>
        <v/>
      </c>
      <c r="DG368" s="1505" t="str">
        <f>IF(Assumptions!DG231&lt;&gt;"",Assumptions!DG231,"")</f>
        <v/>
      </c>
      <c r="DH368" s="1299"/>
      <c r="DI368" s="673" t="str">
        <f>IF(Assumptions!DI231&lt;&gt;"",Assumptions!DI231,"")</f>
        <v/>
      </c>
      <c r="DJ368" s="673" t="str">
        <f>IF(Assumptions!DJ231&lt;&gt;"",Assumptions!DJ231,"")</f>
        <v/>
      </c>
      <c r="DK368" s="1299"/>
      <c r="DL368" s="673" t="str">
        <f>IF(Assumptions!DL231&lt;&gt;"",Assumptions!DL231,"")</f>
        <v/>
      </c>
      <c r="DM368" s="673" t="str">
        <f>IF(Assumptions!DM231&lt;&gt;"",Assumptions!DM231,"")</f>
        <v/>
      </c>
      <c r="DN368" s="1299"/>
      <c r="DO368" s="673" t="str">
        <f>IF(Assumptions!DO231&lt;&gt;"",Assumptions!DO231,"")</f>
        <v/>
      </c>
      <c r="DP368" s="673" t="str">
        <f>IF(Assumptions!DP231&lt;&gt;"",Assumptions!DP231,"")</f>
        <v/>
      </c>
      <c r="DQ368" s="1299"/>
      <c r="DR368" s="673" t="str">
        <f>IF(Assumptions!DR231&lt;&gt;"",Assumptions!DR231,"")</f>
        <v/>
      </c>
      <c r="DS368" s="673" t="str">
        <f>IF(Assumptions!DS231&lt;&gt;"",Assumptions!DS231,"")</f>
        <v/>
      </c>
      <c r="DT368" s="1299"/>
      <c r="DU368" s="673" t="str">
        <f>IF(Assumptions!DU231&lt;&gt;"",Assumptions!DU231,"")</f>
        <v/>
      </c>
      <c r="DV368" s="673" t="str">
        <f>IF(Assumptions!DV231&lt;&gt;"",Assumptions!DV231,"")</f>
        <v/>
      </c>
      <c r="DW368" s="1299"/>
      <c r="DX368" s="673" t="str">
        <f>IF(Assumptions!DX231&lt;&gt;"",Assumptions!DX231,"")</f>
        <v/>
      </c>
      <c r="DY368" s="673" t="str">
        <f>IF(Assumptions!DY231&lt;&gt;"",Assumptions!DY231,"")</f>
        <v/>
      </c>
      <c r="DZ368" s="1299"/>
      <c r="EA368" s="673" t="str">
        <f>IF(Assumptions!EA231&lt;&gt;"",Assumptions!EA231,"")</f>
        <v/>
      </c>
      <c r="EB368" s="673" t="str">
        <f>IF(Assumptions!EB231&lt;&gt;"",Assumptions!EB231,"")</f>
        <v/>
      </c>
      <c r="EC368" s="1299"/>
      <c r="ED368" s="673" t="str">
        <f>IF(Assumptions!ED231&lt;&gt;"",Assumptions!ED231,"")</f>
        <v/>
      </c>
      <c r="EE368" s="673" t="str">
        <f>IF(Assumptions!EE231&lt;&gt;"",Assumptions!EE231,"")</f>
        <v/>
      </c>
      <c r="EF368" s="1299"/>
      <c r="EG368" s="673" t="str">
        <f>IF(Assumptions!EG231&lt;&gt;"",Assumptions!EG231,"")</f>
        <v/>
      </c>
      <c r="EH368" s="673" t="str">
        <f>IF(Assumptions!EH231&lt;&gt;"",Assumptions!EH231,"")</f>
        <v/>
      </c>
      <c r="EI368" s="1299"/>
      <c r="EJ368" s="673" t="str">
        <f>IF(Assumptions!EJ231&lt;&gt;"",Assumptions!EJ231,"")</f>
        <v/>
      </c>
      <c r="EK368" s="673" t="str">
        <f>IF(Assumptions!EK231&lt;&gt;"",Assumptions!EK231,"")</f>
        <v/>
      </c>
      <c r="EL368" s="1299"/>
      <c r="EM368" s="673" t="str">
        <f>IF(Assumptions!EM231&lt;&gt;"",Assumptions!EM231,"")</f>
        <v/>
      </c>
      <c r="EN368" s="673" t="str">
        <f>IF(Assumptions!EN231&lt;&gt;"",Assumptions!EN231,"")</f>
        <v/>
      </c>
      <c r="EO368" s="1299"/>
      <c r="EP368" s="673" t="str">
        <f>IF(Assumptions!EP231&lt;&gt;"",Assumptions!EP231,"")</f>
        <v/>
      </c>
      <c r="EQ368" s="673" t="str">
        <f>IF(Assumptions!EQ231&lt;&gt;"",Assumptions!EQ231,"")</f>
        <v/>
      </c>
      <c r="ER368" s="1299"/>
      <c r="ES368" s="673" t="str">
        <f>IF(Assumptions!ES231&lt;&gt;"",Assumptions!ES231,"")</f>
        <v/>
      </c>
      <c r="ET368" s="673" t="str">
        <f>IF(Assumptions!ET231&lt;&gt;"",Assumptions!ET231,"")</f>
        <v/>
      </c>
      <c r="EU368" s="1299"/>
      <c r="EV368" s="673" t="str">
        <f>IF(Assumptions!EV231&lt;&gt;"",Assumptions!EV231,"")</f>
        <v/>
      </c>
      <c r="EW368" s="673" t="str">
        <f>IF(Assumptions!EW231&lt;&gt;"",Assumptions!EW231,"")</f>
        <v/>
      </c>
      <c r="EX368" s="1299"/>
      <c r="EY368" s="673" t="str">
        <f>IF(Assumptions!EY231&lt;&gt;"",Assumptions!EY231,"")</f>
        <v/>
      </c>
      <c r="EZ368" s="673" t="str">
        <f>IF(Assumptions!EZ231&lt;&gt;"",Assumptions!EZ231,"")</f>
        <v/>
      </c>
      <c r="FA368" s="1299"/>
      <c r="FE368"/>
      <c r="FF368"/>
      <c r="FG368"/>
      <c r="FH368"/>
      <c r="FI368"/>
      <c r="FJ368"/>
      <c r="FK368" s="35"/>
    </row>
    <row r="369" spans="1:167" s="236" customFormat="1" ht="13.35" customHeight="1" thickBot="1">
      <c r="B369" s="670" t="s">
        <v>638</v>
      </c>
      <c r="C369" s="242"/>
      <c r="D369" s="243"/>
      <c r="E369" s="676"/>
      <c r="F369" s="677"/>
      <c r="G369" s="673"/>
      <c r="H369" s="676"/>
      <c r="I369" s="677"/>
      <c r="J369" s="673"/>
      <c r="K369" s="676"/>
      <c r="L369" s="677"/>
      <c r="M369" s="673"/>
      <c r="N369" s="676"/>
      <c r="O369" s="677"/>
      <c r="P369" s="673"/>
      <c r="Q369" s="676"/>
      <c r="R369" s="677"/>
      <c r="S369" s="673"/>
      <c r="T369" s="676"/>
      <c r="U369" s="677"/>
      <c r="V369" s="673"/>
      <c r="W369" s="676"/>
      <c r="X369" s="677"/>
      <c r="Y369" s="673"/>
      <c r="Z369" s="676"/>
      <c r="AA369" s="677"/>
      <c r="AB369" s="673"/>
      <c r="AC369" s="676"/>
      <c r="AD369" s="677"/>
      <c r="AE369" s="673"/>
      <c r="AF369" s="676"/>
      <c r="AG369" s="677"/>
      <c r="AH369" s="673"/>
      <c r="AI369" s="676"/>
      <c r="AJ369" s="677"/>
      <c r="AK369" s="673"/>
      <c r="AL369" s="678">
        <v>35188</v>
      </c>
      <c r="AM369" s="679">
        <v>35360</v>
      </c>
      <c r="AN369" s="673"/>
      <c r="AO369" s="678">
        <v>35544</v>
      </c>
      <c r="AP369" s="679">
        <v>35724</v>
      </c>
      <c r="AQ369" s="673"/>
      <c r="AR369" s="678">
        <v>35902</v>
      </c>
      <c r="AS369" s="679">
        <v>36060</v>
      </c>
      <c r="AT369" s="673"/>
      <c r="AU369" s="678">
        <v>36242</v>
      </c>
      <c r="AV369" s="679">
        <v>36425</v>
      </c>
      <c r="AW369" s="673"/>
      <c r="AX369" s="678">
        <v>36607</v>
      </c>
      <c r="AY369" s="679">
        <v>36795</v>
      </c>
      <c r="AZ369" s="673"/>
      <c r="BA369" s="678">
        <v>36970</v>
      </c>
      <c r="BB369" s="679">
        <v>37159</v>
      </c>
      <c r="BC369" s="673"/>
      <c r="BD369" s="676">
        <f>IF(Assumptions!BD232&lt;&gt;"",Assumptions!BD232,"")</f>
        <v>37338</v>
      </c>
      <c r="BE369" s="677">
        <f>IF(Assumptions!BE232&lt;&gt;"",Assumptions!BE232,"")</f>
        <v>37521</v>
      </c>
      <c r="BF369" s="673"/>
      <c r="BG369" s="676">
        <f>IF(Assumptions!BG232&lt;&gt;"",Assumptions!BG232,"")</f>
        <v>37704</v>
      </c>
      <c r="BH369" s="677">
        <f>IF(Assumptions!BH232&lt;&gt;"",Assumptions!BH232,"")</f>
        <v>37887</v>
      </c>
      <c r="BI369" s="673"/>
      <c r="BJ369" s="676">
        <f>IF(Assumptions!BJ232&lt;&gt;"",Assumptions!BJ232,"")</f>
        <v>38070</v>
      </c>
      <c r="BK369" s="677">
        <f>IF(Assumptions!BK232&lt;&gt;"",Assumptions!BK232,"")</f>
        <v>38253</v>
      </c>
      <c r="BL369" s="673"/>
      <c r="BM369" s="676" t="str">
        <f>IF(Assumptions!BM232&lt;&gt;"",Assumptions!BM232,"")</f>
        <v/>
      </c>
      <c r="BN369" s="677" t="str">
        <f>IF(Assumptions!BN232&lt;&gt;"",Assumptions!BN232,"")</f>
        <v/>
      </c>
      <c r="BO369" s="673"/>
      <c r="BP369" s="676" t="str">
        <f>IF(Assumptions!BP232&lt;&gt;"",Assumptions!BP232,"")</f>
        <v/>
      </c>
      <c r="BQ369" s="677" t="str">
        <f>IF(Assumptions!BQ232&lt;&gt;"",Assumptions!BQ232,"")</f>
        <v/>
      </c>
      <c r="BR369" s="673"/>
      <c r="BS369" s="676" t="str">
        <f>IF(Assumptions!BS232&lt;&gt;"",Assumptions!BS232,"")</f>
        <v/>
      </c>
      <c r="BT369" s="677" t="str">
        <f>IF(Assumptions!BT232&lt;&gt;"",Assumptions!BT232,"")</f>
        <v/>
      </c>
      <c r="BU369" s="673"/>
      <c r="BV369" s="676" t="str">
        <f>IF(Assumptions!BV232&lt;&gt;"",Assumptions!BV232,"")</f>
        <v/>
      </c>
      <c r="BW369" s="677" t="str">
        <f>IF(Assumptions!BW232&lt;&gt;"",Assumptions!BW232,"")</f>
        <v/>
      </c>
      <c r="BX369" s="673"/>
      <c r="BY369" s="676" t="str">
        <f>IF(Assumptions!BY232&lt;&gt;"",Assumptions!BY232,"")</f>
        <v/>
      </c>
      <c r="BZ369" s="677" t="str">
        <f>IF(Assumptions!BZ232&lt;&gt;"",Assumptions!BZ232,"")</f>
        <v/>
      </c>
      <c r="CA369" s="673"/>
      <c r="CB369" s="676" t="str">
        <f>IF(Assumptions!CB232&lt;&gt;"",Assumptions!CB232,"")</f>
        <v/>
      </c>
      <c r="CC369" s="677" t="str">
        <f>IF(Assumptions!CC232&lt;&gt;"",Assumptions!CC232,"")</f>
        <v/>
      </c>
      <c r="CD369" s="673"/>
      <c r="CE369" s="676" t="str">
        <f>IF(Assumptions!CE232&lt;&gt;"",Assumptions!CE232,"")</f>
        <v/>
      </c>
      <c r="CF369" s="677" t="str">
        <f>IF(Assumptions!CF232&lt;&gt;"",Assumptions!CF232,"")</f>
        <v/>
      </c>
      <c r="CG369" s="673"/>
      <c r="CH369" s="676" t="str">
        <f>IF(Assumptions!CH232&lt;&gt;"",Assumptions!CH232,"")</f>
        <v/>
      </c>
      <c r="CI369" s="677" t="str">
        <f>IF(Assumptions!CI232&lt;&gt;"",Assumptions!CI232,"")</f>
        <v/>
      </c>
      <c r="CJ369" s="673"/>
      <c r="CK369" s="676" t="str">
        <f>IF(Assumptions!CK232&lt;&gt;"",Assumptions!CK232,"")</f>
        <v/>
      </c>
      <c r="CL369" s="677" t="str">
        <f>IF(Assumptions!CL232&lt;&gt;"",Assumptions!CL232,"")</f>
        <v/>
      </c>
      <c r="CM369" s="673"/>
      <c r="CN369" s="676" t="str">
        <f>IF(Assumptions!CN232&lt;&gt;"",Assumptions!CN232,"")</f>
        <v/>
      </c>
      <c r="CO369" s="677" t="str">
        <f>IF(Assumptions!CO232&lt;&gt;"",Assumptions!CO232,"")</f>
        <v/>
      </c>
      <c r="CP369" s="673"/>
      <c r="CQ369" s="676" t="str">
        <f>IF(Assumptions!CQ232&lt;&gt;"",Assumptions!CQ232,"")</f>
        <v/>
      </c>
      <c r="CR369" s="677" t="str">
        <f>IF(Assumptions!CR232&lt;&gt;"",Assumptions!CR232,"")</f>
        <v/>
      </c>
      <c r="CS369" s="673"/>
      <c r="CT369" s="676" t="str">
        <f>IF(Assumptions!CT232&lt;&gt;"",Assumptions!CT232,"")</f>
        <v/>
      </c>
      <c r="CU369" s="677" t="str">
        <f>IF(Assumptions!CU232&lt;&gt;"",Assumptions!CU232,"")</f>
        <v/>
      </c>
      <c r="CV369" s="673"/>
      <c r="CW369" s="676" t="str">
        <f>IF(Assumptions!CW232&lt;&gt;"",Assumptions!CW232,"")</f>
        <v/>
      </c>
      <c r="CX369" s="677" t="str">
        <f>IF(Assumptions!CX232&lt;&gt;"",Assumptions!CX232,"")</f>
        <v/>
      </c>
      <c r="CY369" s="673"/>
      <c r="CZ369" s="676" t="str">
        <f>IF(Assumptions!CZ232&lt;&gt;"",Assumptions!CZ232,"")</f>
        <v/>
      </c>
      <c r="DA369" s="677" t="str">
        <f>IF(Assumptions!DA232&lt;&gt;"",Assumptions!DA232,"")</f>
        <v/>
      </c>
      <c r="DB369" s="673"/>
      <c r="DC369" s="676" t="str">
        <f>IF(Assumptions!DC232&lt;&gt;"",Assumptions!DC232,"")</f>
        <v/>
      </c>
      <c r="DD369" s="677" t="str">
        <f>IF(Assumptions!DD232&lt;&gt;"",Assumptions!DD232,"")</f>
        <v/>
      </c>
      <c r="DE369" s="673"/>
      <c r="DF369" s="676" t="str">
        <f>IF(Assumptions!DF232&lt;&gt;"",Assumptions!DF232,"")</f>
        <v/>
      </c>
      <c r="DG369" s="1238" t="str">
        <f>IF(Assumptions!DG232&lt;&gt;"",Assumptions!DG232,"")</f>
        <v/>
      </c>
      <c r="DH369" s="1299"/>
      <c r="DI369" s="673" t="str">
        <f>IF(Assumptions!DI232&lt;&gt;"",Assumptions!DI232,"")</f>
        <v/>
      </c>
      <c r="DJ369" s="673" t="str">
        <f>IF(Assumptions!DJ232&lt;&gt;"",Assumptions!DJ232,"")</f>
        <v/>
      </c>
      <c r="DK369" s="1299"/>
      <c r="DL369" s="673" t="str">
        <f>IF(Assumptions!DL232&lt;&gt;"",Assumptions!DL232,"")</f>
        <v/>
      </c>
      <c r="DM369" s="673" t="str">
        <f>IF(Assumptions!DM232&lt;&gt;"",Assumptions!DM232,"")</f>
        <v/>
      </c>
      <c r="DN369" s="1299"/>
      <c r="DO369" s="673" t="str">
        <f>IF(Assumptions!DO232&lt;&gt;"",Assumptions!DO232,"")</f>
        <v/>
      </c>
      <c r="DP369" s="673" t="str">
        <f>IF(Assumptions!DP232&lt;&gt;"",Assumptions!DP232,"")</f>
        <v/>
      </c>
      <c r="DQ369" s="1299"/>
      <c r="DR369" s="673" t="str">
        <f>IF(Assumptions!DR232&lt;&gt;"",Assumptions!DR232,"")</f>
        <v/>
      </c>
      <c r="DS369" s="673" t="str">
        <f>IF(Assumptions!DS232&lt;&gt;"",Assumptions!DS232,"")</f>
        <v/>
      </c>
      <c r="DT369" s="1299"/>
      <c r="DU369" s="673" t="str">
        <f>IF(Assumptions!DU232&lt;&gt;"",Assumptions!DU232,"")</f>
        <v/>
      </c>
      <c r="DV369" s="673" t="str">
        <f>IF(Assumptions!DV232&lt;&gt;"",Assumptions!DV232,"")</f>
        <v/>
      </c>
      <c r="DW369" s="1299"/>
      <c r="DX369" s="673" t="str">
        <f>IF(Assumptions!DX232&lt;&gt;"",Assumptions!DX232,"")</f>
        <v/>
      </c>
      <c r="DY369" s="673" t="str">
        <f>IF(Assumptions!DY232&lt;&gt;"",Assumptions!DY232,"")</f>
        <v/>
      </c>
      <c r="DZ369" s="1299"/>
      <c r="EA369" s="673" t="str">
        <f>IF(Assumptions!EA232&lt;&gt;"",Assumptions!EA232,"")</f>
        <v/>
      </c>
      <c r="EB369" s="673" t="str">
        <f>IF(Assumptions!EB232&lt;&gt;"",Assumptions!EB232,"")</f>
        <v/>
      </c>
      <c r="EC369" s="1299"/>
      <c r="ED369" s="673" t="str">
        <f>IF(Assumptions!ED232&lt;&gt;"",Assumptions!ED232,"")</f>
        <v/>
      </c>
      <c r="EE369" s="673" t="str">
        <f>IF(Assumptions!EE232&lt;&gt;"",Assumptions!EE232,"")</f>
        <v/>
      </c>
      <c r="EF369" s="1299"/>
      <c r="EG369" s="673" t="str">
        <f>IF(Assumptions!EG232&lt;&gt;"",Assumptions!EG232,"")</f>
        <v/>
      </c>
      <c r="EH369" s="673" t="str">
        <f>IF(Assumptions!EH232&lt;&gt;"",Assumptions!EH232,"")</f>
        <v/>
      </c>
      <c r="EI369" s="1299"/>
      <c r="EJ369" s="673" t="str">
        <f>IF(Assumptions!EJ232&lt;&gt;"",Assumptions!EJ232,"")</f>
        <v/>
      </c>
      <c r="EK369" s="673" t="str">
        <f>IF(Assumptions!EK232&lt;&gt;"",Assumptions!EK232,"")</f>
        <v/>
      </c>
      <c r="EL369" s="1299"/>
      <c r="EM369" s="673" t="str">
        <f>IF(Assumptions!EM232&lt;&gt;"",Assumptions!EM232,"")</f>
        <v/>
      </c>
      <c r="EN369" s="673" t="str">
        <f>IF(Assumptions!EN232&lt;&gt;"",Assumptions!EN232,"")</f>
        <v/>
      </c>
      <c r="EO369" s="1299"/>
      <c r="EP369" s="673" t="str">
        <f>IF(Assumptions!EP232&lt;&gt;"",Assumptions!EP232,"")</f>
        <v/>
      </c>
      <c r="EQ369" s="673" t="str">
        <f>IF(Assumptions!EQ232&lt;&gt;"",Assumptions!EQ232,"")</f>
        <v/>
      </c>
      <c r="ER369" s="1299"/>
      <c r="ES369" s="673" t="str">
        <f>IF(Assumptions!ES232&lt;&gt;"",Assumptions!ES232,"")</f>
        <v/>
      </c>
      <c r="ET369" s="673" t="str">
        <f>IF(Assumptions!ET232&lt;&gt;"",Assumptions!ET232,"")</f>
        <v/>
      </c>
      <c r="EU369" s="1299"/>
      <c r="EV369" s="673" t="str">
        <f>IF(Assumptions!EV232&lt;&gt;"",Assumptions!EV232,"")</f>
        <v/>
      </c>
      <c r="EW369" s="673" t="str">
        <f>IF(Assumptions!EW232&lt;&gt;"",Assumptions!EW232,"")</f>
        <v/>
      </c>
      <c r="EX369" s="1299"/>
      <c r="EY369" s="673" t="str">
        <f>IF(Assumptions!EY232&lt;&gt;"",Assumptions!EY232,"")</f>
        <v/>
      </c>
      <c r="EZ369" s="673" t="str">
        <f>IF(Assumptions!EZ232&lt;&gt;"",Assumptions!EZ232,"")</f>
        <v/>
      </c>
      <c r="FA369" s="1299"/>
      <c r="FE369"/>
      <c r="FF369"/>
      <c r="FG369"/>
      <c r="FH369"/>
      <c r="FI369"/>
      <c r="FJ369"/>
      <c r="FK369" s="35"/>
    </row>
    <row r="370" spans="1:167" s="236" customFormat="1" ht="8.1" customHeight="1">
      <c r="B370" s="670"/>
      <c r="C370" s="242"/>
      <c r="D370" s="243"/>
      <c r="E370" s="241"/>
      <c r="F370" s="241"/>
      <c r="G370" s="241"/>
      <c r="H370" s="241"/>
      <c r="I370" s="241"/>
      <c r="J370" s="241"/>
      <c r="K370" s="241"/>
      <c r="L370" s="241"/>
      <c r="M370" s="241"/>
      <c r="N370" s="241"/>
      <c r="O370" s="241"/>
      <c r="P370" s="241"/>
      <c r="Q370" s="612"/>
      <c r="R370" s="612"/>
      <c r="S370" s="612"/>
      <c r="T370" s="612"/>
      <c r="U370" s="612"/>
      <c r="V370" s="482"/>
      <c r="W370" s="612"/>
      <c r="X370" s="612"/>
      <c r="Y370" s="612"/>
      <c r="Z370" s="612"/>
      <c r="AA370" s="612"/>
      <c r="AB370" s="482"/>
      <c r="AC370" s="612"/>
      <c r="AD370" s="612"/>
      <c r="AE370" s="612"/>
      <c r="AF370" s="612"/>
      <c r="AG370" s="612"/>
      <c r="AH370" s="482"/>
      <c r="AI370" s="612"/>
      <c r="AJ370" s="612"/>
      <c r="AK370" s="612"/>
      <c r="AL370" s="612"/>
      <c r="AM370" s="612"/>
      <c r="AN370" s="482"/>
      <c r="AO370" s="612"/>
      <c r="AP370" s="612"/>
      <c r="AQ370" s="612"/>
      <c r="AR370" s="612"/>
      <c r="AS370" s="612"/>
      <c r="AT370" s="482"/>
      <c r="AU370" s="482"/>
      <c r="AV370" s="482"/>
      <c r="AW370" s="482"/>
      <c r="AX370" s="482"/>
      <c r="AY370" s="482"/>
      <c r="AZ370" s="482"/>
      <c r="BA370" s="482"/>
      <c r="BB370" s="482"/>
      <c r="BC370" s="482"/>
      <c r="BD370" s="482"/>
      <c r="BE370" s="482"/>
      <c r="BF370" s="482"/>
      <c r="BG370" s="482"/>
      <c r="BH370" s="482"/>
      <c r="BI370" s="482"/>
      <c r="BJ370" s="482"/>
      <c r="BK370" s="482"/>
      <c r="BL370" s="482"/>
      <c r="BM370" s="482"/>
      <c r="BN370" s="482"/>
      <c r="BO370" s="482"/>
      <c r="BP370" s="482"/>
      <c r="BQ370" s="482"/>
      <c r="BR370" s="482"/>
      <c r="BS370" s="482"/>
      <c r="BT370" s="482"/>
      <c r="BU370" s="482"/>
      <c r="BV370" s="482"/>
      <c r="BW370" s="482"/>
      <c r="BX370" s="482"/>
      <c r="BY370" s="482"/>
      <c r="BZ370" s="482"/>
      <c r="CA370" s="482"/>
      <c r="CB370" s="482"/>
      <c r="CC370" s="482"/>
      <c r="CD370" s="482"/>
      <c r="CE370" s="482"/>
      <c r="CF370" s="482"/>
      <c r="CG370" s="482"/>
      <c r="CH370" s="482"/>
      <c r="CI370" s="482"/>
      <c r="CJ370" s="482"/>
      <c r="CK370" s="482"/>
      <c r="CL370" s="482"/>
      <c r="CM370" s="482"/>
      <c r="CN370" s="482"/>
      <c r="CO370" s="482"/>
      <c r="CP370" s="482"/>
      <c r="CQ370" s="482"/>
      <c r="CR370" s="482"/>
      <c r="CS370" s="482"/>
      <c r="CT370" s="482"/>
      <c r="CU370" s="482"/>
      <c r="CV370" s="482"/>
      <c r="CW370" s="482"/>
      <c r="CX370" s="482"/>
      <c r="CY370" s="482"/>
      <c r="CZ370" s="482"/>
      <c r="DA370" s="482"/>
      <c r="DB370" s="482"/>
      <c r="DC370" s="482"/>
      <c r="DD370" s="482"/>
      <c r="DE370" s="482"/>
      <c r="DF370" s="482"/>
      <c r="DG370" s="482"/>
      <c r="DH370" s="1244"/>
      <c r="DI370" s="482"/>
      <c r="DJ370" s="482"/>
      <c r="DK370" s="1244"/>
      <c r="DL370" s="482"/>
      <c r="DM370" s="482"/>
      <c r="DN370" s="1244"/>
      <c r="DO370" s="482"/>
      <c r="DP370" s="482"/>
      <c r="DQ370" s="1244"/>
      <c r="DR370" s="482"/>
      <c r="DS370" s="482"/>
      <c r="DT370" s="1244"/>
      <c r="DU370" s="482"/>
      <c r="DV370" s="482"/>
      <c r="DW370" s="1244"/>
      <c r="DX370" s="482"/>
      <c r="DY370" s="482"/>
      <c r="DZ370" s="1244"/>
      <c r="EA370" s="482"/>
      <c r="EB370" s="482"/>
      <c r="EC370" s="1244"/>
      <c r="ED370" s="482"/>
      <c r="EE370" s="482"/>
      <c r="EF370" s="1244"/>
      <c r="EG370" s="482"/>
      <c r="EH370" s="482"/>
      <c r="EI370" s="1244"/>
      <c r="EJ370" s="482"/>
      <c r="EK370" s="482"/>
      <c r="EL370" s="1244"/>
      <c r="EM370" s="482"/>
      <c r="EN370" s="482"/>
      <c r="EO370" s="1244"/>
      <c r="EP370" s="482"/>
      <c r="EQ370" s="482"/>
      <c r="ER370" s="1244"/>
      <c r="ES370" s="482"/>
      <c r="ET370" s="482"/>
      <c r="EU370" s="1244"/>
      <c r="EV370" s="482"/>
      <c r="EW370" s="482"/>
      <c r="EX370" s="1244"/>
      <c r="EY370" s="482"/>
      <c r="EZ370" s="482"/>
      <c r="FA370" s="1244"/>
      <c r="FE370"/>
      <c r="FF370"/>
      <c r="FG370"/>
      <c r="FH370"/>
      <c r="FI370"/>
      <c r="FJ370"/>
      <c r="FK370" s="35"/>
    </row>
    <row r="371" spans="1:167" s="236" customFormat="1" ht="13.35" customHeight="1">
      <c r="B371" s="242"/>
      <c r="C371" s="485"/>
      <c r="D371" s="680"/>
      <c r="E371" s="681"/>
      <c r="F371" s="681"/>
      <c r="G371" s="681"/>
      <c r="H371" s="681"/>
      <c r="I371" s="681"/>
      <c r="J371" s="681"/>
      <c r="K371" s="681"/>
      <c r="L371" s="681"/>
      <c r="M371" s="681"/>
      <c r="N371" s="681"/>
      <c r="O371" s="681"/>
      <c r="P371" s="681"/>
      <c r="Q371" s="612"/>
      <c r="R371" s="612"/>
      <c r="S371" s="612"/>
      <c r="T371" s="612"/>
      <c r="U371" s="612"/>
      <c r="V371" s="482"/>
      <c r="W371" s="612"/>
      <c r="X371" s="612"/>
      <c r="Y371" s="612"/>
      <c r="Z371" s="612"/>
      <c r="AA371" s="612"/>
      <c r="AB371" s="482"/>
      <c r="AC371" s="612"/>
      <c r="AD371" s="612"/>
      <c r="AE371" s="612"/>
      <c r="AF371" s="612"/>
      <c r="AG371" s="612"/>
      <c r="AH371" s="482"/>
      <c r="AI371" s="612"/>
      <c r="AJ371" s="612"/>
      <c r="AK371" s="612"/>
      <c r="AL371" s="482"/>
      <c r="AM371" s="612"/>
      <c r="AN371" s="482"/>
      <c r="AO371" s="612"/>
      <c r="AP371" s="612"/>
      <c r="AQ371" s="612"/>
      <c r="AR371" s="612"/>
      <c r="AS371" s="612"/>
      <c r="AT371" s="482"/>
      <c r="AU371" s="482"/>
      <c r="AV371" s="482"/>
      <c r="AW371" s="482"/>
      <c r="AX371" s="482"/>
      <c r="AY371" s="482"/>
      <c r="AZ371" s="482"/>
      <c r="BA371" s="482"/>
      <c r="BB371" s="482"/>
      <c r="BC371" s="482"/>
      <c r="BD371" s="482"/>
      <c r="BE371" s="482"/>
      <c r="BF371" s="482"/>
      <c r="BG371" s="482"/>
      <c r="BH371" s="482"/>
      <c r="BI371" s="482"/>
      <c r="BJ371" s="482"/>
      <c r="BK371" s="482"/>
      <c r="BL371" s="482"/>
      <c r="BM371" s="482"/>
      <c r="BN371" s="482"/>
      <c r="BO371" s="482"/>
      <c r="BP371" s="482"/>
      <c r="BQ371" s="482"/>
      <c r="BR371" s="482"/>
      <c r="BS371" s="482"/>
      <c r="BT371" s="482"/>
      <c r="BU371" s="482"/>
      <c r="BV371" s="482"/>
      <c r="BW371" s="482"/>
      <c r="BX371" s="482"/>
      <c r="BY371" s="482"/>
      <c r="BZ371" s="482"/>
      <c r="CA371" s="482"/>
      <c r="CB371" s="482"/>
      <c r="CC371" s="482"/>
      <c r="CD371" s="482"/>
      <c r="CE371" s="482"/>
      <c r="CF371" s="482"/>
      <c r="CG371" s="482"/>
      <c r="CH371" s="482"/>
      <c r="CI371" s="482"/>
      <c r="CJ371" s="482"/>
      <c r="CK371" s="482"/>
      <c r="CL371" s="482"/>
      <c r="CM371" s="482"/>
      <c r="CN371" s="482"/>
      <c r="CO371" s="482"/>
      <c r="CP371" s="482"/>
      <c r="CQ371" s="482"/>
      <c r="CR371" s="482"/>
      <c r="CS371" s="482"/>
      <c r="CT371" s="482"/>
      <c r="CU371" s="482"/>
      <c r="CV371" s="482"/>
      <c r="CW371" s="482"/>
      <c r="CX371" s="482"/>
      <c r="CY371" s="482"/>
      <c r="CZ371" s="482"/>
      <c r="DA371" s="482"/>
      <c r="DB371" s="482"/>
      <c r="DC371" s="482"/>
      <c r="DD371" s="482"/>
      <c r="DE371" s="482"/>
      <c r="DF371" s="482"/>
      <c r="DG371" s="482"/>
      <c r="DH371" s="1244"/>
      <c r="DI371" s="482"/>
      <c r="DJ371" s="482"/>
      <c r="DK371" s="1244"/>
      <c r="DL371" s="482"/>
      <c r="DM371" s="482"/>
      <c r="DN371" s="1244"/>
      <c r="DO371" s="482"/>
      <c r="DP371" s="482"/>
      <c r="DQ371" s="1244"/>
      <c r="DR371" s="482"/>
      <c r="DS371" s="482"/>
      <c r="DT371" s="1244"/>
      <c r="DU371" s="482"/>
      <c r="DV371" s="482"/>
      <c r="DW371" s="1244"/>
      <c r="DX371" s="482"/>
      <c r="DY371" s="482"/>
      <c r="DZ371" s="1244"/>
      <c r="EA371" s="482"/>
      <c r="EB371" s="482"/>
      <c r="EC371" s="1244"/>
      <c r="ED371" s="482"/>
      <c r="EE371" s="482"/>
      <c r="EF371" s="1244"/>
      <c r="EG371" s="482"/>
      <c r="EH371" s="482"/>
      <c r="EI371" s="1244"/>
      <c r="EJ371" s="482"/>
      <c r="EK371" s="482"/>
      <c r="EL371" s="1244"/>
      <c r="EM371" s="482"/>
      <c r="EN371" s="482"/>
      <c r="EO371" s="1244"/>
      <c r="EP371" s="482"/>
      <c r="EQ371" s="482"/>
      <c r="ER371" s="1244"/>
      <c r="ES371" s="482"/>
      <c r="ET371" s="482"/>
      <c r="EU371" s="1244"/>
      <c r="EV371" s="482"/>
      <c r="EW371" s="482"/>
      <c r="EX371" s="1244"/>
      <c r="EY371" s="482"/>
      <c r="EZ371" s="482"/>
      <c r="FA371" s="1244"/>
      <c r="FE371"/>
      <c r="FF371"/>
      <c r="FG371"/>
      <c r="FH371"/>
      <c r="FI371"/>
      <c r="FJ371"/>
      <c r="FK371" s="35"/>
    </row>
    <row r="372" spans="1:167" s="450" customFormat="1" ht="16.5" customHeight="1">
      <c r="A372" s="453" t="s">
        <v>639</v>
      </c>
      <c r="B372" s="449"/>
      <c r="C372" s="454" t="s">
        <v>933</v>
      </c>
      <c r="D372" s="455"/>
      <c r="E372" s="455" t="str">
        <f t="shared" ref="E372:AJ372" si="1124">+E4</f>
        <v>1h85</v>
      </c>
      <c r="F372" s="455" t="str">
        <f t="shared" si="1124"/>
        <v>2h85</v>
      </c>
      <c r="G372" s="455" t="str">
        <f t="shared" si="1124"/>
        <v>1985</v>
      </c>
      <c r="H372" s="455" t="str">
        <f t="shared" si="1124"/>
        <v>1h86</v>
      </c>
      <c r="I372" s="455" t="str">
        <f t="shared" si="1124"/>
        <v>2h86</v>
      </c>
      <c r="J372" s="455" t="str">
        <f t="shared" si="1124"/>
        <v>1986</v>
      </c>
      <c r="K372" s="455" t="str">
        <f t="shared" si="1124"/>
        <v>1h87</v>
      </c>
      <c r="L372" s="455" t="str">
        <f t="shared" si="1124"/>
        <v>2h87</v>
      </c>
      <c r="M372" s="455" t="str">
        <f t="shared" si="1124"/>
        <v>1987</v>
      </c>
      <c r="N372" s="455" t="str">
        <f t="shared" si="1124"/>
        <v>1h88</v>
      </c>
      <c r="O372" s="455" t="str">
        <f t="shared" si="1124"/>
        <v>2h88</v>
      </c>
      <c r="P372" s="455" t="str">
        <f t="shared" si="1124"/>
        <v>1988</v>
      </c>
      <c r="Q372" s="455" t="str">
        <f t="shared" si="1124"/>
        <v>1h89</v>
      </c>
      <c r="R372" s="455" t="str">
        <f t="shared" si="1124"/>
        <v>2h89</v>
      </c>
      <c r="S372" s="455" t="str">
        <f t="shared" si="1124"/>
        <v>1989</v>
      </c>
      <c r="T372" s="455" t="str">
        <f t="shared" si="1124"/>
        <v>1h90</v>
      </c>
      <c r="U372" s="455" t="str">
        <f t="shared" si="1124"/>
        <v>2h90</v>
      </c>
      <c r="V372" s="455" t="str">
        <f t="shared" si="1124"/>
        <v>1990</v>
      </c>
      <c r="W372" s="455" t="str">
        <f t="shared" si="1124"/>
        <v>1h91</v>
      </c>
      <c r="X372" s="455" t="str">
        <f t="shared" si="1124"/>
        <v>2h91</v>
      </c>
      <c r="Y372" s="455" t="str">
        <f t="shared" si="1124"/>
        <v>1991</v>
      </c>
      <c r="Z372" s="455" t="str">
        <f t="shared" si="1124"/>
        <v>1h92</v>
      </c>
      <c r="AA372" s="455" t="str">
        <f t="shared" si="1124"/>
        <v>2h92</v>
      </c>
      <c r="AB372" s="455" t="str">
        <f t="shared" si="1124"/>
        <v>1992</v>
      </c>
      <c r="AC372" s="455" t="str">
        <f t="shared" si="1124"/>
        <v>1h93</v>
      </c>
      <c r="AD372" s="455" t="str">
        <f t="shared" si="1124"/>
        <v>2h93</v>
      </c>
      <c r="AE372" s="455" t="str">
        <f t="shared" si="1124"/>
        <v>1993</v>
      </c>
      <c r="AF372" s="455" t="str">
        <f t="shared" si="1124"/>
        <v>1h94</v>
      </c>
      <c r="AG372" s="455" t="str">
        <f t="shared" si="1124"/>
        <v>2h94</v>
      </c>
      <c r="AH372" s="455" t="str">
        <f t="shared" si="1124"/>
        <v>1994</v>
      </c>
      <c r="AI372" s="455" t="str">
        <f t="shared" si="1124"/>
        <v>1h95</v>
      </c>
      <c r="AJ372" s="455" t="str">
        <f t="shared" si="1124"/>
        <v>2h95</v>
      </c>
      <c r="AK372" s="455" t="str">
        <f t="shared" ref="AK372:BP372" si="1125">+AK4</f>
        <v>1995</v>
      </c>
      <c r="AL372" s="455" t="str">
        <f t="shared" si="1125"/>
        <v>1h96</v>
      </c>
      <c r="AM372" s="455" t="str">
        <f t="shared" si="1125"/>
        <v>2h96</v>
      </c>
      <c r="AN372" s="455" t="str">
        <f t="shared" si="1125"/>
        <v>1996</v>
      </c>
      <c r="AO372" s="455" t="str">
        <f t="shared" si="1125"/>
        <v>1h97</v>
      </c>
      <c r="AP372" s="455" t="str">
        <f t="shared" si="1125"/>
        <v>2h97</v>
      </c>
      <c r="AQ372" s="455" t="str">
        <f t="shared" si="1125"/>
        <v>FY97</v>
      </c>
      <c r="AR372" s="455" t="str">
        <f t="shared" si="1125"/>
        <v>1H98</v>
      </c>
      <c r="AS372" s="455" t="str">
        <f t="shared" si="1125"/>
        <v>2H98</v>
      </c>
      <c r="AT372" s="455" t="str">
        <f t="shared" si="1125"/>
        <v>FY98</v>
      </c>
      <c r="AU372" s="455" t="str">
        <f t="shared" si="1125"/>
        <v>1H99</v>
      </c>
      <c r="AV372" s="455" t="str">
        <f t="shared" si="1125"/>
        <v>2H99</v>
      </c>
      <c r="AW372" s="455" t="str">
        <f t="shared" si="1125"/>
        <v>FY99</v>
      </c>
      <c r="AX372" s="455" t="str">
        <f t="shared" si="1125"/>
        <v>1H00</v>
      </c>
      <c r="AY372" s="455" t="str">
        <f t="shared" si="1125"/>
        <v>2H00</v>
      </c>
      <c r="AZ372" s="455" t="str">
        <f t="shared" si="1125"/>
        <v>FY00</v>
      </c>
      <c r="BA372" s="455" t="str">
        <f t="shared" si="1125"/>
        <v>1H01</v>
      </c>
      <c r="BB372" s="455" t="str">
        <f t="shared" si="1125"/>
        <v>2H01</v>
      </c>
      <c r="BC372" s="455" t="str">
        <f t="shared" si="1125"/>
        <v>FY01</v>
      </c>
      <c r="BD372" s="455" t="str">
        <f t="shared" si="1125"/>
        <v>1H02</v>
      </c>
      <c r="BE372" s="455" t="str">
        <f t="shared" si="1125"/>
        <v>2H02</v>
      </c>
      <c r="BF372" s="455" t="str">
        <f t="shared" si="1125"/>
        <v>FY02</v>
      </c>
      <c r="BG372" s="455" t="str">
        <f t="shared" si="1125"/>
        <v>1H03</v>
      </c>
      <c r="BH372" s="455" t="str">
        <f t="shared" si="1125"/>
        <v>2H03</v>
      </c>
      <c r="BI372" s="455" t="str">
        <f t="shared" si="1125"/>
        <v>FY03</v>
      </c>
      <c r="BJ372" s="455" t="str">
        <f t="shared" si="1125"/>
        <v>1H04</v>
      </c>
      <c r="BK372" s="455" t="str">
        <f t="shared" si="1125"/>
        <v>2H04</v>
      </c>
      <c r="BL372" s="455" t="str">
        <f t="shared" si="1125"/>
        <v>FY04</v>
      </c>
      <c r="BM372" s="455" t="str">
        <f t="shared" si="1125"/>
        <v>1H05</v>
      </c>
      <c r="BN372" s="455" t="str">
        <f t="shared" si="1125"/>
        <v>2H05</v>
      </c>
      <c r="BO372" s="455" t="str">
        <f t="shared" si="1125"/>
        <v>FY05</v>
      </c>
      <c r="BP372" s="455" t="str">
        <f t="shared" si="1125"/>
        <v>1H06</v>
      </c>
      <c r="BQ372" s="455" t="str">
        <f t="shared" ref="BQ372:CV372" si="1126">+BQ4</f>
        <v>2H06</v>
      </c>
      <c r="BR372" s="455" t="str">
        <f t="shared" si="1126"/>
        <v>FY06</v>
      </c>
      <c r="BS372" s="455" t="str">
        <f t="shared" si="1126"/>
        <v>1H07</v>
      </c>
      <c r="BT372" s="455" t="str">
        <f t="shared" si="1126"/>
        <v>2H07</v>
      </c>
      <c r="BU372" s="455" t="str">
        <f t="shared" si="1126"/>
        <v>FY07</v>
      </c>
      <c r="BV372" s="455" t="str">
        <f t="shared" si="1126"/>
        <v>1H08</v>
      </c>
      <c r="BW372" s="455" t="str">
        <f t="shared" si="1126"/>
        <v>2H08</v>
      </c>
      <c r="BX372" s="455" t="str">
        <f t="shared" si="1126"/>
        <v>FY08</v>
      </c>
      <c r="BY372" s="455" t="str">
        <f t="shared" si="1126"/>
        <v>1H09</v>
      </c>
      <c r="BZ372" s="455" t="str">
        <f t="shared" si="1126"/>
        <v>2H09</v>
      </c>
      <c r="CA372" s="455" t="str">
        <f t="shared" si="1126"/>
        <v>FY09</v>
      </c>
      <c r="CB372" s="455" t="str">
        <f t="shared" si="1126"/>
        <v>1H10</v>
      </c>
      <c r="CC372" s="455" t="str">
        <f t="shared" si="1126"/>
        <v>2H10</v>
      </c>
      <c r="CD372" s="455" t="str">
        <f t="shared" si="1126"/>
        <v>FY10</v>
      </c>
      <c r="CE372" s="455" t="str">
        <f t="shared" si="1126"/>
        <v>1H11</v>
      </c>
      <c r="CF372" s="455" t="str">
        <f t="shared" si="1126"/>
        <v>2H11</v>
      </c>
      <c r="CG372" s="455" t="str">
        <f t="shared" si="1126"/>
        <v>FY11</v>
      </c>
      <c r="CH372" s="455" t="str">
        <f t="shared" si="1126"/>
        <v>1H12</v>
      </c>
      <c r="CI372" s="455" t="str">
        <f t="shared" si="1126"/>
        <v>2H12</v>
      </c>
      <c r="CJ372" s="455" t="str">
        <f t="shared" si="1126"/>
        <v>FY12</v>
      </c>
      <c r="CK372" s="455" t="str">
        <f t="shared" si="1126"/>
        <v>1H13</v>
      </c>
      <c r="CL372" s="455" t="str">
        <f t="shared" si="1126"/>
        <v>2H13</v>
      </c>
      <c r="CM372" s="455" t="str">
        <f t="shared" si="1126"/>
        <v>FY13</v>
      </c>
      <c r="CN372" s="455" t="str">
        <f t="shared" si="1126"/>
        <v>1H14</v>
      </c>
      <c r="CO372" s="455" t="str">
        <f t="shared" si="1126"/>
        <v>2H14</v>
      </c>
      <c r="CP372" s="455" t="str">
        <f t="shared" si="1126"/>
        <v>FY14</v>
      </c>
      <c r="CQ372" s="455" t="str">
        <f t="shared" si="1126"/>
        <v>1H15</v>
      </c>
      <c r="CR372" s="455" t="str">
        <f t="shared" si="1126"/>
        <v>2H15</v>
      </c>
      <c r="CS372" s="455" t="str">
        <f t="shared" si="1126"/>
        <v>FY15</v>
      </c>
      <c r="CT372" s="455" t="str">
        <f t="shared" si="1126"/>
        <v>1H16</v>
      </c>
      <c r="CU372" s="455" t="str">
        <f t="shared" si="1126"/>
        <v>2H16</v>
      </c>
      <c r="CV372" s="455" t="str">
        <f t="shared" si="1126"/>
        <v>FY16</v>
      </c>
      <c r="CW372" s="455" t="str">
        <f t="shared" ref="CW372:EF372" si="1127">+CW4</f>
        <v>1H17</v>
      </c>
      <c r="CX372" s="455" t="str">
        <f t="shared" si="1127"/>
        <v>2H17</v>
      </c>
      <c r="CY372" s="455" t="str">
        <f t="shared" si="1127"/>
        <v>FY17</v>
      </c>
      <c r="CZ372" s="455" t="str">
        <f t="shared" si="1127"/>
        <v>1H18</v>
      </c>
      <c r="DA372" s="455" t="str">
        <f t="shared" si="1127"/>
        <v>2H18</v>
      </c>
      <c r="DB372" s="455" t="str">
        <f t="shared" si="1127"/>
        <v>FY18</v>
      </c>
      <c r="DC372" s="455" t="str">
        <f t="shared" si="1127"/>
        <v>1H19</v>
      </c>
      <c r="DD372" s="455" t="str">
        <f t="shared" si="1127"/>
        <v>2H19</v>
      </c>
      <c r="DE372" s="455" t="str">
        <f t="shared" si="1127"/>
        <v>FY19</v>
      </c>
      <c r="DF372" s="455" t="str">
        <f t="shared" si="1127"/>
        <v>1H20</v>
      </c>
      <c r="DG372" s="455" t="str">
        <f t="shared" si="1127"/>
        <v>2H20</v>
      </c>
      <c r="DH372" s="1243" t="str">
        <f t="shared" si="1127"/>
        <v>FY20</v>
      </c>
      <c r="DI372" s="455" t="str">
        <f t="shared" si="1127"/>
        <v>1H21</v>
      </c>
      <c r="DJ372" s="455" t="str">
        <f t="shared" si="1127"/>
        <v>2H21</v>
      </c>
      <c r="DK372" s="1243" t="str">
        <f t="shared" si="1127"/>
        <v>FY21</v>
      </c>
      <c r="DL372" s="455" t="str">
        <f t="shared" si="1127"/>
        <v>1H22</v>
      </c>
      <c r="DM372" s="455" t="str">
        <f t="shared" si="1127"/>
        <v>2H22</v>
      </c>
      <c r="DN372" s="1243" t="str">
        <f t="shared" si="1127"/>
        <v>FY22</v>
      </c>
      <c r="DO372" s="455" t="str">
        <f t="shared" si="1127"/>
        <v>1H23</v>
      </c>
      <c r="DP372" s="455" t="str">
        <f t="shared" si="1127"/>
        <v>2H23</v>
      </c>
      <c r="DQ372" s="1243" t="str">
        <f t="shared" si="1127"/>
        <v>FY23</v>
      </c>
      <c r="DR372" s="455" t="str">
        <f t="shared" si="1127"/>
        <v>1H24</v>
      </c>
      <c r="DS372" s="455" t="str">
        <f t="shared" si="1127"/>
        <v>2H24</v>
      </c>
      <c r="DT372" s="1243" t="str">
        <f t="shared" si="1127"/>
        <v>FY24</v>
      </c>
      <c r="DU372" s="455" t="str">
        <f t="shared" si="1127"/>
        <v>1H25</v>
      </c>
      <c r="DV372" s="455" t="str">
        <f t="shared" si="1127"/>
        <v>2H25</v>
      </c>
      <c r="DW372" s="1243" t="str">
        <f t="shared" si="1127"/>
        <v>FY25</v>
      </c>
      <c r="DX372" s="455" t="str">
        <f t="shared" si="1127"/>
        <v>1H26</v>
      </c>
      <c r="DY372" s="455" t="str">
        <f t="shared" si="1127"/>
        <v>2H26E</v>
      </c>
      <c r="DZ372" s="1243" t="str">
        <f t="shared" si="1127"/>
        <v>FY26E</v>
      </c>
      <c r="EA372" s="455" t="str">
        <f t="shared" si="1127"/>
        <v>1H27E</v>
      </c>
      <c r="EB372" s="455" t="str">
        <f t="shared" si="1127"/>
        <v>2H27E</v>
      </c>
      <c r="EC372" s="1243" t="str">
        <f t="shared" si="1127"/>
        <v>FY27E</v>
      </c>
      <c r="ED372" s="455" t="str">
        <f t="shared" si="1127"/>
        <v>1H28E</v>
      </c>
      <c r="EE372" s="455" t="str">
        <f t="shared" si="1127"/>
        <v>2H28E</v>
      </c>
      <c r="EF372" s="1243" t="str">
        <f t="shared" si="1127"/>
        <v>FY28E</v>
      </c>
      <c r="EG372" s="455" t="str">
        <f t="shared" ref="EG372:EL372" si="1128">+EG4</f>
        <v>1H29E</v>
      </c>
      <c r="EH372" s="455" t="str">
        <f t="shared" si="1128"/>
        <v>2H29E</v>
      </c>
      <c r="EI372" s="1243" t="str">
        <f t="shared" si="1128"/>
        <v>FY29E</v>
      </c>
      <c r="EJ372" s="455" t="str">
        <f t="shared" si="1128"/>
        <v>1H30E</v>
      </c>
      <c r="EK372" s="455" t="str">
        <f t="shared" si="1128"/>
        <v>2H30E</v>
      </c>
      <c r="EL372" s="1243" t="str">
        <f t="shared" si="1128"/>
        <v>FY30E</v>
      </c>
      <c r="EM372" s="455" t="str">
        <f t="shared" ref="EM372:ER372" si="1129">+EM4</f>
        <v>1H31E</v>
      </c>
      <c r="EN372" s="455" t="str">
        <f t="shared" si="1129"/>
        <v>2H31E</v>
      </c>
      <c r="EO372" s="1243" t="str">
        <f t="shared" si="1129"/>
        <v>FY31E</v>
      </c>
      <c r="EP372" s="455" t="str">
        <f t="shared" si="1129"/>
        <v>1H32E</v>
      </c>
      <c r="EQ372" s="455" t="str">
        <f t="shared" si="1129"/>
        <v>2H32E</v>
      </c>
      <c r="ER372" s="1243" t="str">
        <f t="shared" si="1129"/>
        <v>FY32E</v>
      </c>
      <c r="ES372" s="455" t="str">
        <f t="shared" ref="ES372:EX372" si="1130">+ES4</f>
        <v>1H33E</v>
      </c>
      <c r="ET372" s="455" t="str">
        <f t="shared" si="1130"/>
        <v>2H33E</v>
      </c>
      <c r="EU372" s="1243" t="str">
        <f t="shared" si="1130"/>
        <v>FY33E</v>
      </c>
      <c r="EV372" s="455" t="str">
        <f t="shared" si="1130"/>
        <v>1H34E</v>
      </c>
      <c r="EW372" s="455" t="str">
        <f t="shared" si="1130"/>
        <v>2H34E</v>
      </c>
      <c r="EX372" s="1243" t="str">
        <f t="shared" si="1130"/>
        <v>FY34E</v>
      </c>
      <c r="EY372" s="455" t="str">
        <f t="shared" ref="EY372:FA372" si="1131">+EY4</f>
        <v>1H35E</v>
      </c>
      <c r="EZ372" s="455" t="str">
        <f t="shared" si="1131"/>
        <v>2H35E</v>
      </c>
      <c r="FA372" s="1243" t="str">
        <f t="shared" si="1131"/>
        <v>FY35E</v>
      </c>
      <c r="FE372"/>
      <c r="FF372"/>
      <c r="FG372"/>
      <c r="FH372"/>
      <c r="FI372"/>
      <c r="FJ372"/>
      <c r="FK372" s="35"/>
    </row>
    <row r="373" spans="1:167" s="235" customFormat="1" ht="13.35" customHeight="1" outlineLevel="1" thickBot="1">
      <c r="A373" s="236"/>
      <c r="B373" s="242"/>
      <c r="C373" s="593"/>
      <c r="D373" s="594"/>
      <c r="E373" s="595"/>
      <c r="F373" s="595"/>
      <c r="G373" s="594"/>
      <c r="H373" s="595"/>
      <c r="I373" s="595"/>
      <c r="J373" s="594"/>
      <c r="K373" s="595"/>
      <c r="L373" s="595"/>
      <c r="M373" s="594"/>
      <c r="N373" s="595"/>
      <c r="O373" s="595"/>
      <c r="P373" s="594"/>
      <c r="Q373" s="596"/>
      <c r="R373" s="596"/>
      <c r="S373" s="597"/>
      <c r="T373" s="596"/>
      <c r="U373" s="596"/>
      <c r="V373" s="598"/>
      <c r="W373" s="596"/>
      <c r="X373" s="596"/>
      <c r="Y373" s="597"/>
      <c r="Z373" s="596"/>
      <c r="AA373" s="596"/>
      <c r="AB373" s="598"/>
      <c r="AC373" s="596"/>
      <c r="AD373" s="596"/>
      <c r="AE373" s="597"/>
      <c r="AF373" s="596"/>
      <c r="AG373" s="596"/>
      <c r="AH373" s="598"/>
      <c r="AI373" s="596"/>
      <c r="AJ373" s="596"/>
      <c r="AK373" s="597"/>
      <c r="AL373" s="596"/>
      <c r="AM373" s="596"/>
      <c r="AN373" s="598"/>
      <c r="AO373" s="596"/>
      <c r="AP373" s="596"/>
      <c r="AQ373" s="597"/>
      <c r="AR373" s="596"/>
      <c r="AS373" s="596"/>
      <c r="AT373" s="598"/>
      <c r="AU373" s="599"/>
      <c r="AV373" s="599"/>
      <c r="AW373" s="600"/>
      <c r="AX373" s="599"/>
      <c r="AY373" s="599"/>
      <c r="AZ373" s="600"/>
      <c r="BA373" s="599"/>
      <c r="BB373" s="599"/>
      <c r="BC373" s="600"/>
      <c r="BD373" s="599"/>
      <c r="BE373" s="599"/>
      <c r="BF373" s="600"/>
      <c r="BG373" s="599"/>
      <c r="BH373" s="599"/>
      <c r="BI373" s="600"/>
      <c r="BJ373" s="599"/>
      <c r="BK373" s="599"/>
      <c r="BL373" s="600"/>
      <c r="BM373" s="599"/>
      <c r="BN373" s="599"/>
      <c r="BO373" s="600"/>
      <c r="BP373" s="599"/>
      <c r="BQ373" s="599"/>
      <c r="BR373" s="600"/>
      <c r="BS373" s="599"/>
      <c r="BT373" s="599"/>
      <c r="BU373" s="600"/>
      <c r="BV373" s="599"/>
      <c r="BW373" s="599"/>
      <c r="BX373" s="600"/>
      <c r="BY373" s="599"/>
      <c r="BZ373" s="599"/>
      <c r="CA373" s="600"/>
      <c r="CB373" s="599"/>
      <c r="CC373" s="599"/>
      <c r="CD373" s="560"/>
      <c r="CE373" s="560"/>
      <c r="CF373" s="560"/>
      <c r="CG373" s="560"/>
      <c r="CH373" s="560"/>
      <c r="CI373" s="560"/>
      <c r="CJ373" s="560"/>
      <c r="CK373" s="560"/>
      <c r="CL373" s="560"/>
      <c r="CM373" s="560"/>
      <c r="CN373" s="560"/>
      <c r="CO373" s="560"/>
      <c r="CP373" s="560"/>
      <c r="CQ373" s="560"/>
      <c r="CR373" s="560"/>
      <c r="CS373" s="560"/>
      <c r="CT373" s="560"/>
      <c r="CU373" s="560"/>
      <c r="CV373" s="560"/>
      <c r="CW373" s="560"/>
      <c r="CX373" s="560"/>
      <c r="CY373" s="560"/>
      <c r="CZ373" s="560"/>
      <c r="DA373" s="560"/>
      <c r="DB373" s="560"/>
      <c r="DC373" s="560"/>
      <c r="DD373" s="560"/>
      <c r="DE373" s="560"/>
      <c r="DF373" s="560"/>
      <c r="DG373" s="560"/>
      <c r="DH373" s="1273"/>
      <c r="DI373" s="560"/>
      <c r="DJ373" s="560"/>
      <c r="DK373" s="1273"/>
      <c r="DL373" s="560"/>
      <c r="DM373" s="560"/>
      <c r="DN373" s="1273"/>
      <c r="DO373" s="560"/>
      <c r="DP373" s="560"/>
      <c r="DQ373" s="1273"/>
      <c r="DR373" s="560"/>
      <c r="DS373" s="560"/>
      <c r="DT373" s="1273"/>
      <c r="DU373" s="560"/>
      <c r="DV373" s="560"/>
      <c r="DW373" s="1273"/>
      <c r="DX373" s="560"/>
      <c r="DY373" s="560"/>
      <c r="DZ373" s="1273"/>
      <c r="EA373" s="560"/>
      <c r="EB373" s="560"/>
      <c r="EC373" s="1273"/>
      <c r="ED373" s="560"/>
      <c r="EE373" s="560"/>
      <c r="EF373" s="1273"/>
      <c r="EG373" s="560"/>
      <c r="EH373" s="560"/>
      <c r="EI373" s="1273"/>
      <c r="EJ373" s="560"/>
      <c r="EK373" s="560"/>
      <c r="EL373" s="1273"/>
      <c r="EM373" s="560"/>
      <c r="EN373" s="560"/>
      <c r="EO373" s="1273"/>
      <c r="EP373" s="560"/>
      <c r="EQ373" s="560"/>
      <c r="ER373" s="1273"/>
      <c r="ES373" s="560"/>
      <c r="ET373" s="560"/>
      <c r="EU373" s="1273"/>
      <c r="EV373" s="560"/>
      <c r="EW373" s="560"/>
      <c r="EX373" s="1273"/>
      <c r="EY373" s="560"/>
      <c r="EZ373" s="560"/>
      <c r="FA373" s="1273"/>
      <c r="FE373"/>
      <c r="FF373"/>
      <c r="FG373"/>
      <c r="FH373"/>
      <c r="FI373"/>
      <c r="FJ373"/>
      <c r="FK373" s="35"/>
    </row>
    <row r="374" spans="1:167" s="235" customFormat="1" ht="13.35" customHeight="1" outlineLevel="1" thickBot="1">
      <c r="A374" s="236"/>
      <c r="B374" s="242" t="s">
        <v>177</v>
      </c>
      <c r="C374" s="242" t="s">
        <v>566</v>
      </c>
      <c r="D374" s="243"/>
      <c r="E374" s="682">
        <v>0</v>
      </c>
      <c r="F374" s="683">
        <f>+E385</f>
        <v>0</v>
      </c>
      <c r="G374" s="684">
        <f>+E374</f>
        <v>0</v>
      </c>
      <c r="H374" s="685">
        <v>0</v>
      </c>
      <c r="I374" s="683">
        <f>+H385</f>
        <v>0</v>
      </c>
      <c r="J374" s="684">
        <f>+H374</f>
        <v>0</v>
      </c>
      <c r="K374" s="685">
        <v>0</v>
      </c>
      <c r="L374" s="683">
        <f>+K385</f>
        <v>0</v>
      </c>
      <c r="M374" s="684">
        <f>+K374</f>
        <v>0</v>
      </c>
      <c r="N374" s="685">
        <v>0</v>
      </c>
      <c r="O374" s="683">
        <f>+N385</f>
        <v>0</v>
      </c>
      <c r="P374" s="684">
        <f>+N374</f>
        <v>0</v>
      </c>
      <c r="Q374" s="685">
        <v>0</v>
      </c>
      <c r="R374" s="683">
        <f>+Q385</f>
        <v>0</v>
      </c>
      <c r="S374" s="684">
        <f>+Q374</f>
        <v>0</v>
      </c>
      <c r="T374" s="683">
        <f>+S385</f>
        <v>0</v>
      </c>
      <c r="U374" s="683">
        <f>+T385</f>
        <v>0</v>
      </c>
      <c r="V374" s="684">
        <f>+S385</f>
        <v>0</v>
      </c>
      <c r="W374" s="683">
        <f>+V385</f>
        <v>0</v>
      </c>
      <c r="X374" s="683">
        <f>+W385</f>
        <v>0</v>
      </c>
      <c r="Y374" s="684">
        <f>+V385</f>
        <v>0</v>
      </c>
      <c r="Z374" s="683">
        <f>+Y385</f>
        <v>0</v>
      </c>
      <c r="AA374" s="683">
        <f>+Z385</f>
        <v>0</v>
      </c>
      <c r="AB374" s="684">
        <f>+Y385</f>
        <v>0</v>
      </c>
      <c r="AC374" s="686">
        <f>+AB385</f>
        <v>0</v>
      </c>
      <c r="AD374" s="687">
        <f>+AC385</f>
        <v>0</v>
      </c>
      <c r="AE374" s="688">
        <f>+AB385</f>
        <v>0</v>
      </c>
      <c r="AF374" s="689">
        <f>+AE385</f>
        <v>0</v>
      </c>
      <c r="AG374" s="689">
        <f>+AF385</f>
        <v>0</v>
      </c>
      <c r="AH374" s="688">
        <f>+AE385</f>
        <v>0</v>
      </c>
      <c r="AI374" s="689">
        <f>+AH385</f>
        <v>50</v>
      </c>
      <c r="AJ374" s="689">
        <f>+AI385</f>
        <v>50</v>
      </c>
      <c r="AK374" s="688">
        <f>+AH385</f>
        <v>50</v>
      </c>
      <c r="AL374" s="689">
        <f>+AK385</f>
        <v>50</v>
      </c>
      <c r="AM374" s="689">
        <f>+AL385</f>
        <v>50</v>
      </c>
      <c r="AN374" s="688">
        <f>+AK385</f>
        <v>50</v>
      </c>
      <c r="AO374" s="689">
        <f>+AN385</f>
        <v>50</v>
      </c>
      <c r="AP374" s="689">
        <f>+AO385</f>
        <v>50</v>
      </c>
      <c r="AQ374" s="688">
        <f>+AN385</f>
        <v>50</v>
      </c>
      <c r="AR374" s="689">
        <f>+AQ385</f>
        <v>50</v>
      </c>
      <c r="AS374" s="689">
        <f>+AR385</f>
        <v>50</v>
      </c>
      <c r="AT374" s="688">
        <f>+AQ385</f>
        <v>50</v>
      </c>
      <c r="AU374" s="689">
        <f>+AT385</f>
        <v>50</v>
      </c>
      <c r="AV374" s="689">
        <f>+AU385</f>
        <v>50.53575</v>
      </c>
      <c r="AW374" s="688">
        <f>+AT385</f>
        <v>50</v>
      </c>
      <c r="AX374" s="689">
        <f>+AW385</f>
        <v>50.53575</v>
      </c>
      <c r="AY374" s="689">
        <f>+AX385</f>
        <v>51.100999999999999</v>
      </c>
      <c r="AZ374" s="688">
        <f>+AW385</f>
        <v>50.53575</v>
      </c>
      <c r="BA374" s="689">
        <f>+AZ385</f>
        <v>51.14875</v>
      </c>
      <c r="BB374" s="689">
        <f>+BA385</f>
        <v>52.016775000000003</v>
      </c>
      <c r="BC374" s="688">
        <f>+AZ385</f>
        <v>51.14875</v>
      </c>
      <c r="BD374" s="689">
        <f>+BC385</f>
        <v>52.017358999999999</v>
      </c>
      <c r="BE374" s="689">
        <f>+BD385</f>
        <v>52.017358999999999</v>
      </c>
      <c r="BF374" s="688">
        <f>+BC385</f>
        <v>52.017358999999999</v>
      </c>
      <c r="BG374" s="689">
        <f>+BF385</f>
        <v>52.500144999999996</v>
      </c>
      <c r="BH374" s="689">
        <f>+BG385</f>
        <v>52.500144999999996</v>
      </c>
      <c r="BI374" s="688">
        <f>+BF385</f>
        <v>52.500144999999996</v>
      </c>
      <c r="BJ374" s="689">
        <f>+BI385</f>
        <v>53.070549999999997</v>
      </c>
      <c r="BK374" s="689">
        <f>+BJ385</f>
        <v>54.16169</v>
      </c>
      <c r="BL374" s="688">
        <f>+BI385</f>
        <v>53.070549999999997</v>
      </c>
      <c r="BM374" s="689">
        <f>+BL385</f>
        <v>54.16169</v>
      </c>
      <c r="BN374" s="689">
        <f>+BM385</f>
        <v>54.16169</v>
      </c>
      <c r="BO374" s="688">
        <f>+BL385</f>
        <v>54.16169</v>
      </c>
      <c r="BP374" s="689">
        <f>+BO385</f>
        <v>54.16169</v>
      </c>
      <c r="BQ374" s="689">
        <f>+BP385</f>
        <v>54.16169</v>
      </c>
      <c r="BR374" s="688">
        <f>+BO385</f>
        <v>54.16169</v>
      </c>
      <c r="BS374" s="689">
        <f>+BR385</f>
        <v>54.16169</v>
      </c>
      <c r="BT374" s="689">
        <f>+BS385</f>
        <v>54.720689999999998</v>
      </c>
      <c r="BU374" s="688">
        <f>+BR385</f>
        <v>54.16169</v>
      </c>
      <c r="BV374" s="689">
        <f>+BU385</f>
        <v>54.720689999999998</v>
      </c>
      <c r="BW374" s="689">
        <f>+BV385</f>
        <v>55.62285</v>
      </c>
      <c r="BX374" s="688">
        <f>+BU385</f>
        <v>54.720689999999998</v>
      </c>
      <c r="BY374" s="690">
        <v>55.524746</v>
      </c>
      <c r="BZ374" s="689">
        <f>+BY385</f>
        <v>55.743212999999997</v>
      </c>
      <c r="CA374" s="688">
        <f>+BX385</f>
        <v>55.62285</v>
      </c>
      <c r="CB374" s="690">
        <v>55.977555000000002</v>
      </c>
      <c r="CC374" s="689">
        <f>+CB385</f>
        <v>56.136564</v>
      </c>
      <c r="CD374" s="691">
        <f>+CA385</f>
        <v>56.051743000000002</v>
      </c>
      <c r="CE374" s="690">
        <v>56.482346</v>
      </c>
      <c r="CF374" s="691">
        <f>+CE385</f>
        <v>56.537247000000001</v>
      </c>
      <c r="CG374" s="691">
        <f>+CD385</f>
        <v>56.210751999999999</v>
      </c>
      <c r="CH374" s="690">
        <v>56.680141999999996</v>
      </c>
      <c r="CI374" s="691">
        <f>+CH385</f>
        <v>56.779902999999997</v>
      </c>
      <c r="CJ374" s="691">
        <f>+CG385</f>
        <v>56.265653</v>
      </c>
      <c r="CK374" s="692">
        <v>56.865878000000002</v>
      </c>
      <c r="CL374" s="691">
        <f>+CK385</f>
        <v>56.869952000000005</v>
      </c>
      <c r="CM374" s="693">
        <f>+CK374</f>
        <v>56.865878000000002</v>
      </c>
      <c r="CN374" s="694">
        <v>56.915289000000001</v>
      </c>
      <c r="CO374" s="691">
        <f>+CN385</f>
        <v>56.924379999999999</v>
      </c>
      <c r="CP374" s="691">
        <f>+CM385</f>
        <v>56.890261000000002</v>
      </c>
      <c r="CQ374" s="690">
        <v>56.945248999999997</v>
      </c>
      <c r="CR374" s="691">
        <f>+CQ385</f>
        <v>56.945248999999997</v>
      </c>
      <c r="CS374" s="691">
        <f>+CP385</f>
        <v>56.899352</v>
      </c>
      <c r="CT374" s="690">
        <v>56.957273999999998</v>
      </c>
      <c r="CU374" s="691">
        <f>+CT385</f>
        <v>56.957273999999998</v>
      </c>
      <c r="CV374" s="691">
        <f>+CS385</f>
        <v>56.899352</v>
      </c>
      <c r="CW374" s="691">
        <f>+CV385</f>
        <v>57.199263999999992</v>
      </c>
      <c r="CX374" s="691">
        <f>+CW385</f>
        <v>57.199263999999992</v>
      </c>
      <c r="CY374" s="691">
        <f>+CV385</f>
        <v>57.199263999999992</v>
      </c>
      <c r="CZ374" s="695">
        <v>57.426648999999998</v>
      </c>
      <c r="DA374" s="691">
        <f>+CZ385</f>
        <v>57.508126999999995</v>
      </c>
      <c r="DB374" s="691">
        <f>+CY385</f>
        <v>57.199263999999992</v>
      </c>
      <c r="DC374" s="691">
        <f>+DB385</f>
        <v>57.547820000000002</v>
      </c>
      <c r="DD374" s="691">
        <f>+DC385</f>
        <v>57.661069000000005</v>
      </c>
      <c r="DE374" s="691">
        <f>+DB385</f>
        <v>57.547820000000002</v>
      </c>
      <c r="DF374" s="696">
        <f>+DE385</f>
        <v>57.715820999999998</v>
      </c>
      <c r="DG374" s="691">
        <f>+DF385</f>
        <v>57.789826999999995</v>
      </c>
      <c r="DH374" s="1300">
        <f>+DE385</f>
        <v>57.715820999999998</v>
      </c>
      <c r="DI374" s="691">
        <f>+DH385</f>
        <v>65.687402000000006</v>
      </c>
      <c r="DJ374" s="691">
        <f>+DI385</f>
        <v>65.723345000000009</v>
      </c>
      <c r="DK374" s="1300">
        <f>+DH385</f>
        <v>65.687402000000006</v>
      </c>
      <c r="DL374" s="691">
        <f>+DK385</f>
        <v>65.744078000000002</v>
      </c>
      <c r="DM374" s="691">
        <f>+DL385</f>
        <v>65.765712000000008</v>
      </c>
      <c r="DN374" s="1300">
        <f>+DK385</f>
        <v>65.744078000000002</v>
      </c>
      <c r="DO374" s="691">
        <f>+DN385</f>
        <v>65.775339000000002</v>
      </c>
      <c r="DP374" s="691">
        <f>+DO385</f>
        <v>65.779227000000006</v>
      </c>
      <c r="DQ374" s="1300">
        <f>+DN385</f>
        <v>65.775339000000002</v>
      </c>
      <c r="DR374" s="691">
        <f>+DQ385</f>
        <v>65.671649000000002</v>
      </c>
      <c r="DS374" s="691">
        <f>+DR385</f>
        <v>65.571648999999994</v>
      </c>
      <c r="DT374" s="1300">
        <f>+DQ385</f>
        <v>65.671649000000002</v>
      </c>
      <c r="DU374" s="691">
        <f>+DT385</f>
        <v>65.494161000000005</v>
      </c>
      <c r="DV374" s="691">
        <f>+DU385</f>
        <v>65.494161000000005</v>
      </c>
      <c r="DW374" s="1300">
        <f>+DT385</f>
        <v>65.494161000000005</v>
      </c>
      <c r="DX374" s="691">
        <f>+DW385</f>
        <v>65.449161000000004</v>
      </c>
      <c r="DY374" s="691">
        <f>+DX385</f>
        <v>65.334039048780497</v>
      </c>
      <c r="DZ374" s="1300">
        <f>+DW385</f>
        <v>65.449161000000004</v>
      </c>
      <c r="EA374" s="691">
        <f>+DZ385</f>
        <v>65.155573849494345</v>
      </c>
      <c r="EB374" s="691">
        <f>+EA385</f>
        <v>64.923423996764413</v>
      </c>
      <c r="EC374" s="1300">
        <f>+DZ385</f>
        <v>65.155573849494345</v>
      </c>
      <c r="ED374" s="691">
        <f>+EC385</f>
        <v>64.696936335564473</v>
      </c>
      <c r="EE374" s="691">
        <f>+ED385</f>
        <v>64.475972763662099</v>
      </c>
      <c r="EF374" s="1300">
        <f>+EC385</f>
        <v>64.696936335564473</v>
      </c>
      <c r="EG374" s="691">
        <f>+EF385</f>
        <v>64.260398547171974</v>
      </c>
      <c r="EH374" s="691">
        <f>+EG385</f>
        <v>64.260398547171974</v>
      </c>
      <c r="EI374" s="1300">
        <f>+EF385</f>
        <v>64.260398547171974</v>
      </c>
      <c r="EJ374" s="691">
        <f>+EI385</f>
        <v>64.260398547171974</v>
      </c>
      <c r="EK374" s="691">
        <f>+EJ385</f>
        <v>64.260398547171974</v>
      </c>
      <c r="EL374" s="1300">
        <f>+EI385</f>
        <v>64.260398547171974</v>
      </c>
      <c r="EM374" s="691">
        <f>+EL385</f>
        <v>64.260398547171974</v>
      </c>
      <c r="EN374" s="691">
        <f>+EM385</f>
        <v>64.260398547171974</v>
      </c>
      <c r="EO374" s="1300">
        <f>+EL385</f>
        <v>64.260398547171974</v>
      </c>
      <c r="EP374" s="691">
        <f>+EO385</f>
        <v>64.260398547171974</v>
      </c>
      <c r="EQ374" s="691">
        <f>+EP385</f>
        <v>64.260398547171974</v>
      </c>
      <c r="ER374" s="1300">
        <f>+EO385</f>
        <v>64.260398547171974</v>
      </c>
      <c r="ES374" s="691">
        <f>+ER385</f>
        <v>64.260398547171974</v>
      </c>
      <c r="ET374" s="691">
        <f>+ES385</f>
        <v>64.260398547171974</v>
      </c>
      <c r="EU374" s="1300">
        <f>+ER385</f>
        <v>64.260398547171974</v>
      </c>
      <c r="EV374" s="691">
        <f>+EU385</f>
        <v>64.260398547171974</v>
      </c>
      <c r="EW374" s="691">
        <f>+EV385</f>
        <v>64.260398547171974</v>
      </c>
      <c r="EX374" s="1300">
        <f>+EU385</f>
        <v>64.260398547171974</v>
      </c>
      <c r="EY374" s="691">
        <f>+EX385</f>
        <v>64.260398547171974</v>
      </c>
      <c r="EZ374" s="691">
        <f>+EY385</f>
        <v>64.260398547171974</v>
      </c>
      <c r="FA374" s="1300">
        <f>+EX385</f>
        <v>64.260398547171974</v>
      </c>
      <c r="FE374"/>
      <c r="FF374"/>
      <c r="FG374"/>
      <c r="FH374"/>
      <c r="FI374"/>
      <c r="FJ374"/>
      <c r="FK374" s="35"/>
    </row>
    <row r="375" spans="1:167" s="235" customFormat="1" ht="13.35" customHeight="1" outlineLevel="1">
      <c r="B375" s="401"/>
      <c r="C375" s="593"/>
      <c r="D375" s="594"/>
      <c r="E375" s="697"/>
      <c r="F375" s="697"/>
      <c r="G375" s="698"/>
      <c r="H375" s="697"/>
      <c r="I375" s="697"/>
      <c r="J375" s="698"/>
      <c r="K375" s="697"/>
      <c r="L375" s="697"/>
      <c r="M375" s="698"/>
      <c r="N375" s="697"/>
      <c r="O375" s="697"/>
      <c r="P375" s="698"/>
      <c r="Q375" s="697"/>
      <c r="R375" s="697"/>
      <c r="S375" s="698"/>
      <c r="T375" s="697"/>
      <c r="U375" s="697"/>
      <c r="V375" s="699"/>
      <c r="W375" s="697"/>
      <c r="X375" s="697"/>
      <c r="Y375" s="699"/>
      <c r="Z375" s="697"/>
      <c r="AA375" s="697"/>
      <c r="AB375" s="699"/>
      <c r="AC375" s="697"/>
      <c r="AD375" s="689"/>
      <c r="AE375" s="700"/>
      <c r="AF375" s="689"/>
      <c r="AG375" s="689"/>
      <c r="AH375" s="700"/>
      <c r="AI375" s="689"/>
      <c r="AJ375" s="689"/>
      <c r="AK375" s="700"/>
      <c r="AL375" s="689"/>
      <c r="AM375" s="689"/>
      <c r="AN375" s="700"/>
      <c r="AO375" s="689"/>
      <c r="AP375" s="689"/>
      <c r="AQ375" s="700"/>
      <c r="AR375" s="689"/>
      <c r="AS375" s="689"/>
      <c r="AT375" s="700"/>
      <c r="AU375" s="689"/>
      <c r="AV375" s="689"/>
      <c r="AW375" s="700"/>
      <c r="AX375" s="689"/>
      <c r="AY375" s="689"/>
      <c r="AZ375" s="700"/>
      <c r="BA375" s="689"/>
      <c r="BB375" s="689"/>
      <c r="BC375" s="700"/>
      <c r="BD375" s="689"/>
      <c r="BE375" s="689"/>
      <c r="BF375" s="700"/>
      <c r="BG375" s="689"/>
      <c r="BH375" s="689"/>
      <c r="BI375" s="700"/>
      <c r="BJ375" s="689"/>
      <c r="BK375" s="689"/>
      <c r="BL375" s="700"/>
      <c r="BM375" s="689"/>
      <c r="BN375" s="689"/>
      <c r="BO375" s="700"/>
      <c r="BP375" s="689"/>
      <c r="BQ375" s="689"/>
      <c r="BR375" s="700"/>
      <c r="BS375" s="689"/>
      <c r="BT375" s="689"/>
      <c r="BU375" s="700"/>
      <c r="BV375" s="689"/>
      <c r="BW375" s="689"/>
      <c r="BX375" s="700"/>
      <c r="BY375" s="689"/>
      <c r="BZ375" s="689"/>
      <c r="CA375" s="700"/>
      <c r="CB375" s="689"/>
      <c r="CC375" s="689"/>
      <c r="CD375" s="603"/>
      <c r="CE375" s="691"/>
      <c r="CF375" s="691"/>
      <c r="CG375" s="603"/>
      <c r="CH375" s="691"/>
      <c r="CI375" s="691"/>
      <c r="CJ375" s="603"/>
      <c r="CK375" s="691"/>
      <c r="CL375" s="691"/>
      <c r="CM375" s="603"/>
      <c r="CN375" s="691"/>
      <c r="CO375" s="691"/>
      <c r="CP375" s="603"/>
      <c r="CQ375" s="691"/>
      <c r="CR375" s="691"/>
      <c r="CS375" s="603"/>
      <c r="CT375" s="691"/>
      <c r="CU375" s="691"/>
      <c r="CV375" s="603"/>
      <c r="CW375" s="691"/>
      <c r="CX375" s="691"/>
      <c r="CY375" s="603"/>
      <c r="CZ375" s="691"/>
      <c r="DA375" s="691"/>
      <c r="DB375" s="603"/>
      <c r="DC375" s="691"/>
      <c r="DD375" s="691"/>
      <c r="DE375" s="603"/>
      <c r="DF375" s="691"/>
      <c r="DG375" s="691"/>
      <c r="DH375" s="1301"/>
      <c r="DI375" s="691"/>
      <c r="DJ375" s="691"/>
      <c r="DK375" s="1301"/>
      <c r="DL375" s="691"/>
      <c r="DM375" s="691"/>
      <c r="DN375" s="1301"/>
      <c r="DO375" s="691"/>
      <c r="DP375" s="691"/>
      <c r="DQ375" s="1301"/>
      <c r="DR375" s="691"/>
      <c r="DS375" s="691"/>
      <c r="DT375" s="1301"/>
      <c r="DU375" s="1643">
        <v>275</v>
      </c>
      <c r="DV375" s="691">
        <v>200</v>
      </c>
      <c r="DW375" s="1301"/>
      <c r="DX375" s="691">
        <f>+DV375*1.025</f>
        <v>204.99999999999997</v>
      </c>
      <c r="DY375" s="691">
        <f>+DX375*1.025</f>
        <v>210.12499999999994</v>
      </c>
      <c r="DZ375" s="1301"/>
      <c r="EA375" s="691">
        <f>+DY375*1.025</f>
        <v>215.37812499999993</v>
      </c>
      <c r="EB375" s="691">
        <f>+EA375*1.025</f>
        <v>220.76257812499992</v>
      </c>
      <c r="EC375" s="1301"/>
      <c r="ED375" s="691">
        <f>+EB375*1.025</f>
        <v>226.28164257812489</v>
      </c>
      <c r="EE375" s="691">
        <f>+ED375*1.025</f>
        <v>231.93868364257798</v>
      </c>
      <c r="EF375" s="1301"/>
      <c r="EG375" s="691"/>
      <c r="EH375" s="691"/>
      <c r="EI375" s="1301"/>
      <c r="EJ375" s="691"/>
      <c r="EK375" s="691"/>
      <c r="EL375" s="1301"/>
      <c r="EM375" s="691"/>
      <c r="EN375" s="691"/>
      <c r="EO375" s="1301"/>
      <c r="EP375" s="691"/>
      <c r="EQ375" s="691"/>
      <c r="ER375" s="1301"/>
      <c r="ES375" s="691"/>
      <c r="ET375" s="691"/>
      <c r="EU375" s="1301"/>
      <c r="EV375" s="691"/>
      <c r="EW375" s="691"/>
      <c r="EX375" s="1301"/>
      <c r="EY375" s="691"/>
      <c r="EZ375" s="691"/>
      <c r="FA375" s="1301"/>
      <c r="FE375"/>
      <c r="FF375"/>
      <c r="FG375"/>
      <c r="FH375"/>
      <c r="FI375"/>
      <c r="FJ375"/>
      <c r="FK375" s="35"/>
    </row>
    <row r="376" spans="1:167" s="235" customFormat="1" ht="13.35" customHeight="1" outlineLevel="1" thickBot="1">
      <c r="B376" s="401" t="s">
        <v>506</v>
      </c>
      <c r="C376" s="593"/>
      <c r="D376" s="594"/>
      <c r="E376" s="701"/>
      <c r="F376" s="701"/>
      <c r="G376" s="688"/>
      <c r="H376" s="701"/>
      <c r="I376" s="701"/>
      <c r="J376" s="688"/>
      <c r="K376" s="701"/>
      <c r="L376" s="701"/>
      <c r="M376" s="688"/>
      <c r="N376" s="701"/>
      <c r="O376" s="701"/>
      <c r="P376" s="688"/>
      <c r="Q376" s="701"/>
      <c r="R376" s="701"/>
      <c r="S376" s="688"/>
      <c r="T376" s="701"/>
      <c r="U376" s="701"/>
      <c r="V376" s="688"/>
      <c r="W376" s="701"/>
      <c r="X376" s="701"/>
      <c r="Y376" s="700"/>
      <c r="Z376" s="701"/>
      <c r="AA376" s="701"/>
      <c r="AB376" s="700"/>
      <c r="AC376" s="701"/>
      <c r="AD376" s="701"/>
      <c r="AE376" s="700"/>
      <c r="AF376" s="701"/>
      <c r="AG376" s="701"/>
      <c r="AH376" s="700"/>
      <c r="AI376" s="701"/>
      <c r="AJ376" s="701"/>
      <c r="AK376" s="700"/>
      <c r="AL376" s="701"/>
      <c r="AM376" s="701"/>
      <c r="AN376" s="700"/>
      <c r="AO376" s="701"/>
      <c r="AP376" s="701"/>
      <c r="AQ376" s="700"/>
      <c r="AR376" s="701"/>
      <c r="AS376" s="701"/>
      <c r="AT376" s="700"/>
      <c r="AU376" s="701"/>
      <c r="AV376" s="701"/>
      <c r="AW376" s="700"/>
      <c r="AX376" s="701"/>
      <c r="AY376" s="701"/>
      <c r="AZ376" s="700"/>
      <c r="BA376" s="701"/>
      <c r="BB376" s="701"/>
      <c r="BC376" s="700"/>
      <c r="BD376" s="701"/>
      <c r="BE376" s="701"/>
      <c r="BF376" s="700"/>
      <c r="BG376" s="701"/>
      <c r="BH376" s="701"/>
      <c r="BI376" s="700"/>
      <c r="BJ376" s="701"/>
      <c r="BK376" s="701"/>
      <c r="BL376" s="700"/>
      <c r="BM376" s="701"/>
      <c r="BN376" s="701"/>
      <c r="BO376" s="700"/>
      <c r="BP376" s="701"/>
      <c r="BQ376" s="701"/>
      <c r="BR376" s="700"/>
      <c r="BS376" s="701"/>
      <c r="BT376" s="701"/>
      <c r="BU376" s="700"/>
      <c r="BV376" s="701"/>
      <c r="BW376" s="701"/>
      <c r="BX376" s="700"/>
      <c r="BY376" s="701"/>
      <c r="BZ376" s="701"/>
      <c r="CA376" s="700"/>
      <c r="CB376" s="701"/>
      <c r="CC376" s="701"/>
      <c r="CD376" s="603"/>
      <c r="CE376" s="702"/>
      <c r="CF376" s="702"/>
      <c r="CG376" s="603"/>
      <c r="CH376" s="702"/>
      <c r="CI376" s="702"/>
      <c r="CJ376" s="603"/>
      <c r="CK376" s="702"/>
      <c r="CL376" s="702"/>
      <c r="CM376" s="603"/>
      <c r="CN376" s="702"/>
      <c r="CO376" s="702"/>
      <c r="CP376" s="603"/>
      <c r="CQ376" s="702"/>
      <c r="CR376" s="702"/>
      <c r="CS376" s="603"/>
      <c r="CT376" s="702"/>
      <c r="CU376" s="702"/>
      <c r="CV376" s="603"/>
      <c r="CW376" s="702"/>
      <c r="CX376" s="702"/>
      <c r="CY376" s="603"/>
      <c r="CZ376" s="702"/>
      <c r="DA376" s="702"/>
      <c r="DB376" s="603"/>
      <c r="DC376" s="702"/>
      <c r="DD376" s="702"/>
      <c r="DE376" s="603"/>
      <c r="DF376" s="702"/>
      <c r="DG376" s="702"/>
      <c r="DH376" s="1301"/>
      <c r="DI376" s="702"/>
      <c r="DJ376" s="702"/>
      <c r="DK376" s="1301"/>
      <c r="DL376" s="702"/>
      <c r="DM376" s="702"/>
      <c r="DN376" s="1301"/>
      <c r="DO376" s="702"/>
      <c r="DP376" s="702"/>
      <c r="DQ376" s="1301"/>
      <c r="DR376" s="702"/>
      <c r="DS376" s="702"/>
      <c r="DT376" s="1301"/>
      <c r="DU376" s="702"/>
      <c r="DV376" s="702"/>
      <c r="DW376" s="1301"/>
      <c r="DX376" s="702"/>
      <c r="DY376" s="702"/>
      <c r="DZ376" s="1301"/>
      <c r="EA376" s="702"/>
      <c r="EB376" s="702"/>
      <c r="EC376" s="1301"/>
      <c r="ED376" s="702"/>
      <c r="EE376" s="702"/>
      <c r="EF376" s="1301"/>
      <c r="EG376" s="702"/>
      <c r="EH376" s="702"/>
      <c r="EI376" s="1301"/>
      <c r="EJ376" s="702"/>
      <c r="EK376" s="702"/>
      <c r="EL376" s="1301"/>
      <c r="EM376" s="702"/>
      <c r="EN376" s="702"/>
      <c r="EO376" s="1301"/>
      <c r="EP376" s="702"/>
      <c r="EQ376" s="702"/>
      <c r="ER376" s="1301"/>
      <c r="ES376" s="702"/>
      <c r="ET376" s="702"/>
      <c r="EU376" s="1301"/>
      <c r="EV376" s="702"/>
      <c r="EW376" s="702"/>
      <c r="EX376" s="1301"/>
      <c r="EY376" s="702"/>
      <c r="EZ376" s="702"/>
      <c r="FA376" s="1301"/>
      <c r="FE376"/>
      <c r="FF376"/>
      <c r="FG376"/>
      <c r="FH376"/>
      <c r="FI376"/>
      <c r="FJ376"/>
      <c r="FK376" s="35"/>
    </row>
    <row r="377" spans="1:167" s="235" customFormat="1" ht="13.35" customHeight="1" outlineLevel="1">
      <c r="B377" s="401" t="s">
        <v>835</v>
      </c>
      <c r="C377" s="593"/>
      <c r="D377" s="594"/>
      <c r="E377" s="703"/>
      <c r="F377" s="704"/>
      <c r="G377" s="705">
        <f t="shared" ref="G377:G383" si="1132">+E377+F377</f>
        <v>0</v>
      </c>
      <c r="H377" s="703"/>
      <c r="I377" s="704"/>
      <c r="J377" s="705">
        <f t="shared" ref="J377:J383" si="1133">+H377+I377</f>
        <v>0</v>
      </c>
      <c r="K377" s="703"/>
      <c r="L377" s="704"/>
      <c r="M377" s="705">
        <f t="shared" ref="M377:M383" si="1134">+K377+L377</f>
        <v>0</v>
      </c>
      <c r="N377" s="703"/>
      <c r="O377" s="704"/>
      <c r="P377" s="705">
        <f t="shared" ref="P377:P383" si="1135">+N377+O377</f>
        <v>0</v>
      </c>
      <c r="Q377" s="703"/>
      <c r="R377" s="704"/>
      <c r="S377" s="705">
        <f t="shared" ref="S377:S383" si="1136">+Q377+R377</f>
        <v>0</v>
      </c>
      <c r="T377" s="703"/>
      <c r="U377" s="704"/>
      <c r="V377" s="705">
        <f t="shared" ref="V377:V383" si="1137">+T377+U377</f>
        <v>0</v>
      </c>
      <c r="W377" s="703"/>
      <c r="X377" s="704"/>
      <c r="Y377" s="705">
        <f t="shared" ref="Y377:Y383" si="1138">+W377+X377</f>
        <v>0</v>
      </c>
      <c r="Z377" s="703"/>
      <c r="AA377" s="704"/>
      <c r="AB377" s="705">
        <f t="shared" ref="AB377:AB383" si="1139">+Z377+AA377</f>
        <v>0</v>
      </c>
      <c r="AC377" s="703"/>
      <c r="AD377" s="704"/>
      <c r="AE377" s="705">
        <f t="shared" ref="AE377:AE383" si="1140">+AC377+AD377</f>
        <v>0</v>
      </c>
      <c r="AF377" s="703"/>
      <c r="AG377" s="704"/>
      <c r="AH377" s="705">
        <f t="shared" ref="AH377:AH383" si="1141">+AF377+AG377</f>
        <v>0</v>
      </c>
      <c r="AI377" s="703"/>
      <c r="AJ377" s="704"/>
      <c r="AK377" s="705">
        <f t="shared" ref="AK377:AK383" si="1142">+AI377+AJ377</f>
        <v>0</v>
      </c>
      <c r="AL377" s="703"/>
      <c r="AM377" s="704"/>
      <c r="AN377" s="705">
        <f t="shared" ref="AN377:AN383" si="1143">+AL377+AM377</f>
        <v>0</v>
      </c>
      <c r="AO377" s="703"/>
      <c r="AP377" s="704"/>
      <c r="AQ377" s="705">
        <f t="shared" ref="AQ377:AQ383" si="1144">+AO377+AP377</f>
        <v>0</v>
      </c>
      <c r="AR377" s="703"/>
      <c r="AS377" s="704"/>
      <c r="AT377" s="705">
        <f t="shared" ref="AT377:AT383" si="1145">+AR377+AS377</f>
        <v>0</v>
      </c>
      <c r="AU377" s="704"/>
      <c r="AV377" s="704"/>
      <c r="AW377" s="705">
        <f t="shared" ref="AW377:AW383" si="1146">+AU377+AV377</f>
        <v>0</v>
      </c>
      <c r="AX377" s="704"/>
      <c r="AY377" s="704"/>
      <c r="AZ377" s="705">
        <f t="shared" ref="AZ377:AZ383" si="1147">+AX377+AY377</f>
        <v>0</v>
      </c>
      <c r="BA377" s="704"/>
      <c r="BB377" s="704"/>
      <c r="BC377" s="705">
        <f t="shared" ref="BC377:BC383" si="1148">+BA377+BB377</f>
        <v>0</v>
      </c>
      <c r="BD377" s="704"/>
      <c r="BE377" s="704"/>
      <c r="BF377" s="705">
        <f t="shared" ref="BF377:BF383" si="1149">+BD377+BE377</f>
        <v>0</v>
      </c>
      <c r="BG377" s="704"/>
      <c r="BH377" s="704"/>
      <c r="BI377" s="705">
        <f t="shared" ref="BI377:BI383" si="1150">+BG377+BH377</f>
        <v>0</v>
      </c>
      <c r="BJ377" s="704"/>
      <c r="BK377" s="704"/>
      <c r="BL377" s="705">
        <f t="shared" ref="BL377:BL383" si="1151">+BJ377+BK377</f>
        <v>0</v>
      </c>
      <c r="BM377" s="704"/>
      <c r="BN377" s="704"/>
      <c r="BO377" s="706">
        <f t="shared" ref="BO377:BO383" si="1152">+BM377+BN377</f>
        <v>0</v>
      </c>
      <c r="BP377" s="707"/>
      <c r="BQ377" s="708"/>
      <c r="BR377" s="706">
        <f t="shared" ref="BR377:BR383" si="1153">+BP377+BQ377</f>
        <v>0</v>
      </c>
      <c r="BS377" s="709">
        <v>0.55900000000000005</v>
      </c>
      <c r="BT377" s="704"/>
      <c r="BU377" s="706">
        <f t="shared" ref="BU377:BU383" si="1154">+BS377+BT377</f>
        <v>0.55900000000000005</v>
      </c>
      <c r="BV377" s="704"/>
      <c r="BW377" s="704"/>
      <c r="BX377" s="706">
        <f t="shared" ref="BX377:BX383" si="1155">+BV377+BW377</f>
        <v>0</v>
      </c>
      <c r="BY377" s="704"/>
      <c r="BZ377" s="704"/>
      <c r="CA377" s="706">
        <f t="shared" ref="CA377:CA383" si="1156">+BY377+BZ377</f>
        <v>0</v>
      </c>
      <c r="CB377" s="704"/>
      <c r="CC377" s="704"/>
      <c r="CD377" s="710">
        <f t="shared" ref="CD377:CD383" si="1157">+CB377+CC377</f>
        <v>0</v>
      </c>
      <c r="CE377" s="711"/>
      <c r="CF377" s="711"/>
      <c r="CG377" s="710">
        <f t="shared" ref="CG377:CG383" si="1158">+CE377+CF377</f>
        <v>0</v>
      </c>
      <c r="CH377" s="711"/>
      <c r="CI377" s="711"/>
      <c r="CJ377" s="710">
        <f t="shared" ref="CJ377:CJ383" si="1159">+CH377+CI377</f>
        <v>0</v>
      </c>
      <c r="CK377" s="711"/>
      <c r="CL377" s="711"/>
      <c r="CM377" s="710">
        <f t="shared" ref="CM377:CM382" si="1160">+CK377+CL377</f>
        <v>0</v>
      </c>
      <c r="CN377" s="711"/>
      <c r="CO377" s="711"/>
      <c r="CP377" s="710">
        <f t="shared" ref="CP377:CP383" si="1161">+CN377+CO377</f>
        <v>0</v>
      </c>
      <c r="CQ377" s="711"/>
      <c r="CR377" s="711"/>
      <c r="CS377" s="710">
        <f t="shared" ref="CS377:CS383" si="1162">+CQ377+CR377</f>
        <v>0</v>
      </c>
      <c r="CT377" s="711"/>
      <c r="CU377" s="711"/>
      <c r="CV377" s="710">
        <f t="shared" ref="CV377:CV383" si="1163">+CT377+CU377</f>
        <v>0</v>
      </c>
      <c r="CW377" s="711"/>
      <c r="CX377" s="711"/>
      <c r="CY377" s="710">
        <f t="shared" ref="CY377:CY383" si="1164">+CW377+CX377</f>
        <v>0</v>
      </c>
      <c r="CZ377" s="711"/>
      <c r="DA377" s="711"/>
      <c r="DB377" s="710">
        <f t="shared" ref="DB377:DB383" si="1165">+CZ377+DA377</f>
        <v>0</v>
      </c>
      <c r="DC377" s="711"/>
      <c r="DD377" s="711"/>
      <c r="DE377" s="710">
        <f t="shared" ref="DE377:DE383" si="1166">+DC377+DD377</f>
        <v>0</v>
      </c>
      <c r="DF377" s="711">
        <f>0.070677+0.003329</f>
        <v>7.4006000000000002E-2</v>
      </c>
      <c r="DG377" s="711">
        <f>CS_Simp_Avg_H2_20-CS_OrdShr_Open_H2_20</f>
        <v>7.8975750000000104</v>
      </c>
      <c r="DH377" s="1302">
        <f t="shared" ref="DH377:DH383" si="1167">+DF377+DG377</f>
        <v>7.9715810000000102</v>
      </c>
      <c r="DI377" s="711"/>
      <c r="DJ377" s="711"/>
      <c r="DK377" s="1302">
        <f t="shared" ref="DK377:DK383" si="1168">+DI377+DJ377</f>
        <v>0</v>
      </c>
      <c r="DL377" s="711"/>
      <c r="DM377" s="711"/>
      <c r="DN377" s="1302">
        <f t="shared" ref="DN377:DN383" si="1169">+DL377+DM377</f>
        <v>0</v>
      </c>
      <c r="DO377" s="711"/>
      <c r="DP377" s="711"/>
      <c r="DQ377" s="1302">
        <f t="shared" ref="DQ377:DQ383" si="1170">+DO377+DP377</f>
        <v>0</v>
      </c>
      <c r="DR377" s="711"/>
      <c r="DS377" s="711"/>
      <c r="DT377" s="1302">
        <f t="shared" ref="DT377:DT383" si="1171">+DR377+DS377</f>
        <v>0</v>
      </c>
      <c r="DU377" s="711"/>
      <c r="DV377" s="711">
        <f>+DV207/DV375</f>
        <v>-4.4999999999999998E-2</v>
      </c>
      <c r="DW377" s="1302">
        <f t="shared" ref="DW377:DW383" si="1172">+DU377+DV377</f>
        <v>-4.4999999999999998E-2</v>
      </c>
      <c r="DX377" s="711">
        <f>+DX207/DX375</f>
        <v>-0.11512195121951221</v>
      </c>
      <c r="DY377" s="711">
        <f t="shared" ref="DY377:EE377" si="1173">+DY207/DY375</f>
        <v>-0.17846519928613924</v>
      </c>
      <c r="DZ377" s="1302">
        <f t="shared" ref="DZ377:DZ383" si="1174">+DX377+DY377</f>
        <v>-0.29358715050565143</v>
      </c>
      <c r="EA377" s="711">
        <f t="shared" si="1173"/>
        <v>-0.23214985272993727</v>
      </c>
      <c r="EB377" s="711">
        <f t="shared" si="1173"/>
        <v>-0.22648766119993879</v>
      </c>
      <c r="EC377" s="1302">
        <f t="shared" ref="EC377:EC383" si="1175">+EA377+EB377</f>
        <v>-0.45863751392987606</v>
      </c>
      <c r="ED377" s="711">
        <f t="shared" si="1173"/>
        <v>-0.22096357190237934</v>
      </c>
      <c r="EE377" s="711">
        <f t="shared" si="1173"/>
        <v>-0.2155742164901262</v>
      </c>
      <c r="EF377" s="1302">
        <f t="shared" ref="EF377:EF383" si="1176">+ED377+EE377</f>
        <v>-0.43653778839250557</v>
      </c>
      <c r="EG377" s="711"/>
      <c r="EH377" s="711"/>
      <c r="EI377" s="1302">
        <f t="shared" ref="EI377:EI383" si="1177">+EG377+EH377</f>
        <v>0</v>
      </c>
      <c r="EJ377" s="711"/>
      <c r="EK377" s="711"/>
      <c r="EL377" s="1302">
        <f t="shared" ref="EL377:EL383" si="1178">+EJ377+EK377</f>
        <v>0</v>
      </c>
      <c r="EM377" s="711"/>
      <c r="EN377" s="711"/>
      <c r="EO377" s="1302">
        <f t="shared" ref="EO377:EO383" si="1179">+EM377+EN377</f>
        <v>0</v>
      </c>
      <c r="EP377" s="711"/>
      <c r="EQ377" s="711"/>
      <c r="ER377" s="1302">
        <f t="shared" ref="ER377:ER383" si="1180">+EP377+EQ377</f>
        <v>0</v>
      </c>
      <c r="ES377" s="711"/>
      <c r="ET377" s="711"/>
      <c r="EU377" s="1302">
        <f t="shared" ref="EU377:EU383" si="1181">+ES377+ET377</f>
        <v>0</v>
      </c>
      <c r="EV377" s="711"/>
      <c r="EW377" s="711"/>
      <c r="EX377" s="1302">
        <f t="shared" ref="EX377:EX383" si="1182">+EV377+EW377</f>
        <v>0</v>
      </c>
      <c r="EY377" s="711"/>
      <c r="EZ377" s="711"/>
      <c r="FA377" s="1302">
        <f t="shared" ref="FA377:FA383" si="1183">+EY377+EZ377</f>
        <v>0</v>
      </c>
      <c r="FE377"/>
      <c r="FF377"/>
      <c r="FG377"/>
      <c r="FH377"/>
      <c r="FI377"/>
      <c r="FJ377"/>
      <c r="FK377" s="35"/>
    </row>
    <row r="378" spans="1:167" s="235" customFormat="1" ht="13.35" customHeight="1" outlineLevel="1">
      <c r="B378" s="401" t="s">
        <v>836</v>
      </c>
      <c r="C378" s="593"/>
      <c r="D378" s="594"/>
      <c r="E378" s="703"/>
      <c r="F378" s="704"/>
      <c r="G378" s="705">
        <f t="shared" si="1132"/>
        <v>0</v>
      </c>
      <c r="H378" s="703"/>
      <c r="I378" s="704"/>
      <c r="J378" s="705">
        <f t="shared" si="1133"/>
        <v>0</v>
      </c>
      <c r="K378" s="703"/>
      <c r="L378" s="704"/>
      <c r="M378" s="705">
        <f t="shared" si="1134"/>
        <v>0</v>
      </c>
      <c r="N378" s="703"/>
      <c r="O378" s="704"/>
      <c r="P378" s="705">
        <f t="shared" si="1135"/>
        <v>0</v>
      </c>
      <c r="Q378" s="703"/>
      <c r="R378" s="704"/>
      <c r="S378" s="705">
        <f t="shared" si="1136"/>
        <v>0</v>
      </c>
      <c r="T378" s="703"/>
      <c r="U378" s="704"/>
      <c r="V378" s="705">
        <f t="shared" si="1137"/>
        <v>0</v>
      </c>
      <c r="W378" s="703"/>
      <c r="X378" s="704"/>
      <c r="Y378" s="705">
        <f t="shared" si="1138"/>
        <v>0</v>
      </c>
      <c r="Z378" s="703"/>
      <c r="AA378" s="704"/>
      <c r="AB378" s="705">
        <f t="shared" si="1139"/>
        <v>0</v>
      </c>
      <c r="AC378" s="703"/>
      <c r="AD378" s="704"/>
      <c r="AE378" s="705">
        <f t="shared" si="1140"/>
        <v>0</v>
      </c>
      <c r="AF378" s="703"/>
      <c r="AG378" s="704"/>
      <c r="AH378" s="705">
        <f t="shared" si="1141"/>
        <v>0</v>
      </c>
      <c r="AI378" s="703"/>
      <c r="AJ378" s="704"/>
      <c r="AK378" s="705">
        <f t="shared" si="1142"/>
        <v>0</v>
      </c>
      <c r="AL378" s="703"/>
      <c r="AM378" s="704"/>
      <c r="AN378" s="705">
        <f t="shared" si="1143"/>
        <v>0</v>
      </c>
      <c r="AO378" s="703"/>
      <c r="AP378" s="704"/>
      <c r="AQ378" s="705">
        <f t="shared" si="1144"/>
        <v>0</v>
      </c>
      <c r="AR378" s="703"/>
      <c r="AS378" s="704"/>
      <c r="AT378" s="705">
        <f t="shared" si="1145"/>
        <v>0</v>
      </c>
      <c r="AU378" s="704"/>
      <c r="AV378" s="704"/>
      <c r="AW378" s="705">
        <f t="shared" si="1146"/>
        <v>0</v>
      </c>
      <c r="AX378" s="704"/>
      <c r="AY378" s="704"/>
      <c r="AZ378" s="705">
        <f t="shared" si="1147"/>
        <v>0</v>
      </c>
      <c r="BA378" s="704"/>
      <c r="BB378" s="704"/>
      <c r="BC378" s="705">
        <f t="shared" si="1148"/>
        <v>0</v>
      </c>
      <c r="BD378" s="704"/>
      <c r="BE378" s="704"/>
      <c r="BF378" s="705">
        <f t="shared" si="1149"/>
        <v>0</v>
      </c>
      <c r="BG378" s="704"/>
      <c r="BH378" s="704"/>
      <c r="BI378" s="705">
        <f t="shared" si="1150"/>
        <v>0</v>
      </c>
      <c r="BJ378" s="704"/>
      <c r="BK378" s="704"/>
      <c r="BL378" s="705">
        <f t="shared" si="1151"/>
        <v>0</v>
      </c>
      <c r="BM378" s="704"/>
      <c r="BN378" s="704"/>
      <c r="BO378" s="706">
        <f t="shared" si="1152"/>
        <v>0</v>
      </c>
      <c r="BP378" s="703"/>
      <c r="BQ378" s="712"/>
      <c r="BR378" s="706">
        <f t="shared" si="1153"/>
        <v>0</v>
      </c>
      <c r="BS378" s="704"/>
      <c r="BT378" s="704"/>
      <c r="BU378" s="706">
        <f t="shared" si="1154"/>
        <v>0</v>
      </c>
      <c r="BV378" s="704"/>
      <c r="BW378" s="704"/>
      <c r="BX378" s="706">
        <f t="shared" si="1155"/>
        <v>0</v>
      </c>
      <c r="BY378" s="704"/>
      <c r="BZ378" s="704"/>
      <c r="CA378" s="706">
        <f t="shared" si="1156"/>
        <v>0</v>
      </c>
      <c r="CB378" s="704"/>
      <c r="CC378" s="704"/>
      <c r="CD378" s="710">
        <f t="shared" si="1157"/>
        <v>0</v>
      </c>
      <c r="CE378" s="711"/>
      <c r="CF378" s="711"/>
      <c r="CG378" s="710">
        <f t="shared" si="1158"/>
        <v>0</v>
      </c>
      <c r="CH378" s="711"/>
      <c r="CI378" s="711"/>
      <c r="CJ378" s="710">
        <f t="shared" si="1159"/>
        <v>0</v>
      </c>
      <c r="CK378" s="711"/>
      <c r="CL378" s="711"/>
      <c r="CM378" s="710">
        <f t="shared" si="1160"/>
        <v>0</v>
      </c>
      <c r="CN378" s="711"/>
      <c r="CO378" s="711"/>
      <c r="CP378" s="710">
        <f t="shared" si="1161"/>
        <v>0</v>
      </c>
      <c r="CQ378" s="711"/>
      <c r="CR378" s="711"/>
      <c r="CS378" s="710">
        <f t="shared" si="1162"/>
        <v>0</v>
      </c>
      <c r="CT378" s="711"/>
      <c r="CU378" s="711"/>
      <c r="CV378" s="710">
        <f t="shared" si="1163"/>
        <v>0</v>
      </c>
      <c r="CW378" s="711"/>
      <c r="CX378" s="711"/>
      <c r="CY378" s="710">
        <f t="shared" si="1164"/>
        <v>0</v>
      </c>
      <c r="CZ378" s="711"/>
      <c r="DA378" s="711"/>
      <c r="DB378" s="710">
        <f t="shared" si="1165"/>
        <v>0</v>
      </c>
      <c r="DC378" s="711"/>
      <c r="DD378" s="711"/>
      <c r="DE378" s="710">
        <f t="shared" si="1166"/>
        <v>0</v>
      </c>
      <c r="DF378" s="711"/>
      <c r="DG378" s="711"/>
      <c r="DH378" s="1302">
        <f t="shared" si="1167"/>
        <v>0</v>
      </c>
      <c r="DI378" s="711"/>
      <c r="DJ378" s="711"/>
      <c r="DK378" s="1302">
        <f t="shared" si="1168"/>
        <v>0</v>
      </c>
      <c r="DL378" s="711"/>
      <c r="DM378" s="711"/>
      <c r="DN378" s="1302">
        <f t="shared" si="1169"/>
        <v>0</v>
      </c>
      <c r="DO378" s="711"/>
      <c r="DP378" s="711"/>
      <c r="DQ378" s="1302">
        <f t="shared" si="1170"/>
        <v>0</v>
      </c>
      <c r="DR378" s="711"/>
      <c r="DS378" s="711"/>
      <c r="DT378" s="1302">
        <f t="shared" si="1171"/>
        <v>0</v>
      </c>
      <c r="DU378" s="711"/>
      <c r="DV378" s="711"/>
      <c r="DW378" s="1302">
        <f t="shared" si="1172"/>
        <v>0</v>
      </c>
      <c r="DX378" s="711"/>
      <c r="DY378" s="711"/>
      <c r="DZ378" s="1302">
        <f t="shared" si="1174"/>
        <v>0</v>
      </c>
      <c r="EA378" s="711"/>
      <c r="EB378" s="711"/>
      <c r="EC378" s="1302">
        <f t="shared" si="1175"/>
        <v>0</v>
      </c>
      <c r="ED378" s="711"/>
      <c r="EE378" s="711"/>
      <c r="EF378" s="1302">
        <f t="shared" si="1176"/>
        <v>0</v>
      </c>
      <c r="EG378" s="711"/>
      <c r="EH378" s="711"/>
      <c r="EI378" s="1302">
        <f t="shared" si="1177"/>
        <v>0</v>
      </c>
      <c r="EJ378" s="711"/>
      <c r="EK378" s="711"/>
      <c r="EL378" s="1302">
        <f t="shared" si="1178"/>
        <v>0</v>
      </c>
      <c r="EM378" s="711"/>
      <c r="EN378" s="711"/>
      <c r="EO378" s="1302">
        <f t="shared" si="1179"/>
        <v>0</v>
      </c>
      <c r="EP378" s="711"/>
      <c r="EQ378" s="711"/>
      <c r="ER378" s="1302">
        <f t="shared" si="1180"/>
        <v>0</v>
      </c>
      <c r="ES378" s="711"/>
      <c r="ET378" s="711"/>
      <c r="EU378" s="1302">
        <f t="shared" si="1181"/>
        <v>0</v>
      </c>
      <c r="EV378" s="711"/>
      <c r="EW378" s="711"/>
      <c r="EX378" s="1302">
        <f t="shared" si="1182"/>
        <v>0</v>
      </c>
      <c r="EY378" s="711"/>
      <c r="EZ378" s="711"/>
      <c r="FA378" s="1302">
        <f t="shared" si="1183"/>
        <v>0</v>
      </c>
      <c r="FE378"/>
      <c r="FF378"/>
      <c r="FG378"/>
      <c r="FH378"/>
      <c r="FI378"/>
      <c r="FJ378"/>
      <c r="FK378" s="35"/>
    </row>
    <row r="379" spans="1:167" s="235" customFormat="1" ht="13.35" customHeight="1" outlineLevel="1">
      <c r="B379" s="401" t="s">
        <v>837</v>
      </c>
      <c r="C379" s="593"/>
      <c r="D379" s="594"/>
      <c r="E379" s="703"/>
      <c r="F379" s="704"/>
      <c r="G379" s="705">
        <f t="shared" si="1132"/>
        <v>0</v>
      </c>
      <c r="H379" s="703"/>
      <c r="I379" s="704"/>
      <c r="J379" s="705">
        <f t="shared" si="1133"/>
        <v>0</v>
      </c>
      <c r="K379" s="703"/>
      <c r="L379" s="704"/>
      <c r="M379" s="705">
        <f t="shared" si="1134"/>
        <v>0</v>
      </c>
      <c r="N379" s="703"/>
      <c r="O379" s="704"/>
      <c r="P379" s="705">
        <f t="shared" si="1135"/>
        <v>0</v>
      </c>
      <c r="Q379" s="703"/>
      <c r="R379" s="704"/>
      <c r="S379" s="705">
        <f t="shared" si="1136"/>
        <v>0</v>
      </c>
      <c r="T379" s="703"/>
      <c r="U379" s="704"/>
      <c r="V379" s="705">
        <f t="shared" si="1137"/>
        <v>0</v>
      </c>
      <c r="W379" s="703"/>
      <c r="X379" s="704"/>
      <c r="Y379" s="705">
        <f t="shared" si="1138"/>
        <v>0</v>
      </c>
      <c r="Z379" s="703"/>
      <c r="AA379" s="704"/>
      <c r="AB379" s="705">
        <f t="shared" si="1139"/>
        <v>0</v>
      </c>
      <c r="AC379" s="703"/>
      <c r="AD379" s="704"/>
      <c r="AE379" s="705">
        <f t="shared" si="1140"/>
        <v>0</v>
      </c>
      <c r="AF379" s="703"/>
      <c r="AG379" s="704"/>
      <c r="AH379" s="705">
        <f t="shared" si="1141"/>
        <v>0</v>
      </c>
      <c r="AI379" s="703"/>
      <c r="AJ379" s="704"/>
      <c r="AK379" s="705">
        <f t="shared" si="1142"/>
        <v>0</v>
      </c>
      <c r="AL379" s="703"/>
      <c r="AM379" s="704"/>
      <c r="AN379" s="705">
        <f t="shared" si="1143"/>
        <v>0</v>
      </c>
      <c r="AO379" s="703"/>
      <c r="AP379" s="704"/>
      <c r="AQ379" s="705">
        <f t="shared" si="1144"/>
        <v>0</v>
      </c>
      <c r="AR379" s="703"/>
      <c r="AS379" s="704"/>
      <c r="AT379" s="705">
        <f t="shared" si="1145"/>
        <v>0</v>
      </c>
      <c r="AU379" s="704"/>
      <c r="AV379" s="704"/>
      <c r="AW379" s="705">
        <f t="shared" si="1146"/>
        <v>0</v>
      </c>
      <c r="AX379" s="704"/>
      <c r="AY379" s="704"/>
      <c r="AZ379" s="705">
        <f t="shared" si="1147"/>
        <v>0</v>
      </c>
      <c r="BA379" s="704"/>
      <c r="BB379" s="704"/>
      <c r="BC379" s="705">
        <f t="shared" si="1148"/>
        <v>0</v>
      </c>
      <c r="BD379" s="704"/>
      <c r="BE379" s="704"/>
      <c r="BF379" s="705">
        <f t="shared" si="1149"/>
        <v>0</v>
      </c>
      <c r="BG379" s="704"/>
      <c r="BH379" s="704"/>
      <c r="BI379" s="705">
        <f t="shared" si="1150"/>
        <v>0</v>
      </c>
      <c r="BJ379" s="704"/>
      <c r="BK379" s="704"/>
      <c r="BL379" s="705">
        <f t="shared" si="1151"/>
        <v>0</v>
      </c>
      <c r="BM379" s="704"/>
      <c r="BN379" s="704"/>
      <c r="BO379" s="706">
        <f t="shared" si="1152"/>
        <v>0</v>
      </c>
      <c r="BP379" s="703"/>
      <c r="BQ379" s="712"/>
      <c r="BR379" s="706">
        <f t="shared" si="1153"/>
        <v>0</v>
      </c>
      <c r="BS379" s="704"/>
      <c r="BT379" s="704"/>
      <c r="BU379" s="706">
        <f t="shared" si="1154"/>
        <v>0</v>
      </c>
      <c r="BV379" s="704"/>
      <c r="BW379" s="704"/>
      <c r="BX379" s="706">
        <f t="shared" si="1155"/>
        <v>0</v>
      </c>
      <c r="BY379" s="704"/>
      <c r="BZ379" s="704"/>
      <c r="CA379" s="706">
        <f t="shared" si="1156"/>
        <v>0</v>
      </c>
      <c r="CB379" s="704"/>
      <c r="CC379" s="704"/>
      <c r="CD379" s="710">
        <f t="shared" si="1157"/>
        <v>0</v>
      </c>
      <c r="CE379" s="711"/>
      <c r="CF379" s="711"/>
      <c r="CG379" s="710">
        <f t="shared" si="1158"/>
        <v>0</v>
      </c>
      <c r="CH379" s="711"/>
      <c r="CI379" s="711"/>
      <c r="CJ379" s="710">
        <f t="shared" si="1159"/>
        <v>0</v>
      </c>
      <c r="CK379" s="711"/>
      <c r="CL379" s="711"/>
      <c r="CM379" s="710">
        <f t="shared" si="1160"/>
        <v>0</v>
      </c>
      <c r="CN379" s="711"/>
      <c r="CO379" s="711"/>
      <c r="CP379" s="710">
        <f t="shared" si="1161"/>
        <v>0</v>
      </c>
      <c r="CQ379" s="711"/>
      <c r="CR379" s="711"/>
      <c r="CS379" s="710">
        <f t="shared" si="1162"/>
        <v>0</v>
      </c>
      <c r="CT379" s="711"/>
      <c r="CU379" s="711"/>
      <c r="CV379" s="710">
        <f t="shared" si="1163"/>
        <v>0</v>
      </c>
      <c r="CW379" s="711"/>
      <c r="CX379" s="711"/>
      <c r="CY379" s="710">
        <f t="shared" si="1164"/>
        <v>0</v>
      </c>
      <c r="CZ379" s="711"/>
      <c r="DA379" s="711"/>
      <c r="DB379" s="710">
        <f t="shared" si="1165"/>
        <v>0</v>
      </c>
      <c r="DC379" s="711"/>
      <c r="DD379" s="711"/>
      <c r="DE379" s="710">
        <f t="shared" si="1166"/>
        <v>0</v>
      </c>
      <c r="DF379" s="711"/>
      <c r="DG379" s="711"/>
      <c r="DH379" s="1302">
        <f t="shared" si="1167"/>
        <v>0</v>
      </c>
      <c r="DI379" s="711"/>
      <c r="DJ379" s="711"/>
      <c r="DK379" s="1302">
        <f t="shared" si="1168"/>
        <v>0</v>
      </c>
      <c r="DL379" s="711"/>
      <c r="DM379" s="711"/>
      <c r="DN379" s="1302">
        <f t="shared" si="1169"/>
        <v>0</v>
      </c>
      <c r="DO379" s="711"/>
      <c r="DP379" s="711"/>
      <c r="DQ379" s="1302">
        <f t="shared" si="1170"/>
        <v>0</v>
      </c>
      <c r="DR379" s="711"/>
      <c r="DS379" s="711"/>
      <c r="DT379" s="1302">
        <f t="shared" si="1171"/>
        <v>0</v>
      </c>
      <c r="DU379" s="711"/>
      <c r="DV379" s="711"/>
      <c r="DW379" s="1302">
        <f t="shared" si="1172"/>
        <v>0</v>
      </c>
      <c r="DX379" s="711"/>
      <c r="DY379" s="711"/>
      <c r="DZ379" s="1302">
        <f t="shared" si="1174"/>
        <v>0</v>
      </c>
      <c r="EA379" s="711"/>
      <c r="EB379" s="711"/>
      <c r="EC379" s="1302">
        <f t="shared" si="1175"/>
        <v>0</v>
      </c>
      <c r="ED379" s="711"/>
      <c r="EE379" s="711"/>
      <c r="EF379" s="1302">
        <f t="shared" si="1176"/>
        <v>0</v>
      </c>
      <c r="EG379" s="711"/>
      <c r="EH379" s="711"/>
      <c r="EI379" s="1302">
        <f t="shared" si="1177"/>
        <v>0</v>
      </c>
      <c r="EJ379" s="711"/>
      <c r="EK379" s="711"/>
      <c r="EL379" s="1302">
        <f t="shared" si="1178"/>
        <v>0</v>
      </c>
      <c r="EM379" s="711"/>
      <c r="EN379" s="711"/>
      <c r="EO379" s="1302">
        <f t="shared" si="1179"/>
        <v>0</v>
      </c>
      <c r="EP379" s="711"/>
      <c r="EQ379" s="711"/>
      <c r="ER379" s="1302">
        <f t="shared" si="1180"/>
        <v>0</v>
      </c>
      <c r="ES379" s="711"/>
      <c r="ET379" s="711"/>
      <c r="EU379" s="1302">
        <f t="shared" si="1181"/>
        <v>0</v>
      </c>
      <c r="EV379" s="711"/>
      <c r="EW379" s="711"/>
      <c r="EX379" s="1302">
        <f t="shared" si="1182"/>
        <v>0</v>
      </c>
      <c r="EY379" s="711"/>
      <c r="EZ379" s="711"/>
      <c r="FA379" s="1302">
        <f t="shared" si="1183"/>
        <v>0</v>
      </c>
      <c r="FE379"/>
      <c r="FF379"/>
      <c r="FG379"/>
      <c r="FH379"/>
      <c r="FI379"/>
      <c r="FJ379"/>
      <c r="FK379" s="35"/>
    </row>
    <row r="380" spans="1:167" s="235" customFormat="1" ht="13.35" customHeight="1" outlineLevel="1">
      <c r="B380" s="401" t="s">
        <v>859</v>
      </c>
      <c r="C380" s="593"/>
      <c r="D380" s="594"/>
      <c r="E380" s="703"/>
      <c r="F380" s="704"/>
      <c r="G380" s="705">
        <f t="shared" si="1132"/>
        <v>0</v>
      </c>
      <c r="H380" s="703"/>
      <c r="I380" s="704"/>
      <c r="J380" s="705">
        <f t="shared" si="1133"/>
        <v>0</v>
      </c>
      <c r="K380" s="703"/>
      <c r="L380" s="704"/>
      <c r="M380" s="705">
        <f t="shared" si="1134"/>
        <v>0</v>
      </c>
      <c r="N380" s="703"/>
      <c r="O380" s="704"/>
      <c r="P380" s="705">
        <f t="shared" si="1135"/>
        <v>0</v>
      </c>
      <c r="Q380" s="703"/>
      <c r="R380" s="704"/>
      <c r="S380" s="705">
        <f t="shared" si="1136"/>
        <v>0</v>
      </c>
      <c r="T380" s="703"/>
      <c r="U380" s="704"/>
      <c r="V380" s="705">
        <f t="shared" si="1137"/>
        <v>0</v>
      </c>
      <c r="W380" s="703"/>
      <c r="X380" s="704"/>
      <c r="Y380" s="705">
        <f t="shared" si="1138"/>
        <v>0</v>
      </c>
      <c r="Z380" s="703"/>
      <c r="AA380" s="704"/>
      <c r="AB380" s="705">
        <f t="shared" si="1139"/>
        <v>0</v>
      </c>
      <c r="AC380" s="703"/>
      <c r="AD380" s="704"/>
      <c r="AE380" s="705">
        <f t="shared" si="1140"/>
        <v>0</v>
      </c>
      <c r="AF380" s="703"/>
      <c r="AG380" s="704"/>
      <c r="AH380" s="705">
        <f t="shared" si="1141"/>
        <v>0</v>
      </c>
      <c r="AI380" s="703"/>
      <c r="AJ380" s="704"/>
      <c r="AK380" s="705">
        <f t="shared" si="1142"/>
        <v>0</v>
      </c>
      <c r="AL380" s="703"/>
      <c r="AM380" s="704"/>
      <c r="AN380" s="705">
        <f t="shared" si="1143"/>
        <v>0</v>
      </c>
      <c r="AO380" s="703"/>
      <c r="AP380" s="704"/>
      <c r="AQ380" s="705">
        <f t="shared" si="1144"/>
        <v>0</v>
      </c>
      <c r="AR380" s="703"/>
      <c r="AS380" s="704"/>
      <c r="AT380" s="705">
        <f t="shared" si="1145"/>
        <v>0</v>
      </c>
      <c r="AU380" s="713">
        <f>0.52975+0.006</f>
        <v>0.53575000000000006</v>
      </c>
      <c r="AV380" s="704"/>
      <c r="AW380" s="705">
        <f t="shared" si="1146"/>
        <v>0.53575000000000006</v>
      </c>
      <c r="AX380" s="704">
        <f>0.51525+0.05</f>
        <v>0.56525000000000003</v>
      </c>
      <c r="AY380" s="704">
        <f>0.0345+0.01325</f>
        <v>4.7750000000000001E-2</v>
      </c>
      <c r="AZ380" s="705">
        <f t="shared" si="1147"/>
        <v>0.61299999999999999</v>
      </c>
      <c r="BA380" s="704">
        <f>0.031025+0.716+0.068+0.003+0.05</f>
        <v>0.86802499999999994</v>
      </c>
      <c r="BB380" s="709">
        <v>5.8399999999999999E-4</v>
      </c>
      <c r="BC380" s="705">
        <f t="shared" si="1148"/>
        <v>0.86860899999999996</v>
      </c>
      <c r="BD380" s="709">
        <v>0</v>
      </c>
      <c r="BE380" s="709">
        <v>0.45800000000000002</v>
      </c>
      <c r="BF380" s="705">
        <f t="shared" si="1149"/>
        <v>0.45800000000000002</v>
      </c>
      <c r="BG380" s="709">
        <v>0</v>
      </c>
      <c r="BH380" s="709">
        <v>0.53900000000000003</v>
      </c>
      <c r="BI380" s="705">
        <f t="shared" si="1150"/>
        <v>0.53900000000000003</v>
      </c>
      <c r="BJ380" s="709">
        <v>1.048</v>
      </c>
      <c r="BK380" s="709">
        <v>0</v>
      </c>
      <c r="BL380" s="705">
        <f t="shared" si="1151"/>
        <v>1.048</v>
      </c>
      <c r="BM380" s="709">
        <v>0</v>
      </c>
      <c r="BN380" s="709">
        <v>0</v>
      </c>
      <c r="BO380" s="706">
        <f t="shared" si="1152"/>
        <v>0</v>
      </c>
      <c r="BP380" s="714">
        <v>0</v>
      </c>
      <c r="BQ380" s="715">
        <v>0</v>
      </c>
      <c r="BR380" s="706">
        <f t="shared" si="1153"/>
        <v>0</v>
      </c>
      <c r="BS380" s="704"/>
      <c r="BT380" s="704"/>
      <c r="BU380" s="706">
        <f t="shared" si="1154"/>
        <v>0</v>
      </c>
      <c r="BV380" s="704">
        <f>CS_Simp_Avg_H1_08-CS_OrdShr_Open_H1_08</f>
        <v>0.90216000000000207</v>
      </c>
      <c r="BW380" s="704"/>
      <c r="BX380" s="706">
        <f t="shared" si="1155"/>
        <v>0.90216000000000207</v>
      </c>
      <c r="BY380" s="709">
        <v>0.21846699999999999</v>
      </c>
      <c r="BZ380" s="704">
        <f>0.387924+0.023082+0.017887-CS_OrdShr_Opt_H1_09</f>
        <v>0.21042599999999997</v>
      </c>
      <c r="CA380" s="706">
        <f t="shared" si="1156"/>
        <v>0.42889299999999997</v>
      </c>
      <c r="CB380" s="709">
        <v>0.15900900000000001</v>
      </c>
      <c r="CC380" s="704"/>
      <c r="CD380" s="710">
        <f t="shared" si="1157"/>
        <v>0.15900900000000001</v>
      </c>
      <c r="CE380" s="709">
        <v>5.4900999999999998E-2</v>
      </c>
      <c r="CF380" s="711"/>
      <c r="CG380" s="710">
        <f t="shared" si="1158"/>
        <v>5.4900999999999998E-2</v>
      </c>
      <c r="CH380" s="709">
        <v>9.9761000000000002E-2</v>
      </c>
      <c r="CI380" s="709">
        <v>0.56401800000000002</v>
      </c>
      <c r="CJ380" s="710">
        <f t="shared" si="1159"/>
        <v>0.66377900000000001</v>
      </c>
      <c r="CK380" s="709">
        <v>4.0740000000000004E-3</v>
      </c>
      <c r="CL380" s="711">
        <f>CS_OrdShr_Opt_13-CS_OrdShr_Opt_H1_13</f>
        <v>9.5449999999999979E-3</v>
      </c>
      <c r="CM380" s="716">
        <v>1.3618999999999999E-2</v>
      </c>
      <c r="CN380" s="709">
        <v>9.0910000000000001E-3</v>
      </c>
      <c r="CO380" s="711"/>
      <c r="CP380" s="710">
        <f t="shared" si="1161"/>
        <v>9.0910000000000001E-3</v>
      </c>
      <c r="CQ380" s="711"/>
      <c r="CR380" s="711"/>
      <c r="CS380" s="710">
        <f t="shared" si="1162"/>
        <v>0</v>
      </c>
      <c r="CT380" s="711"/>
      <c r="CU380" s="709">
        <v>0.28824299999999192</v>
      </c>
      <c r="CV380" s="710">
        <f t="shared" si="1163"/>
        <v>0.28824299999999192</v>
      </c>
      <c r="CW380" s="711"/>
      <c r="CX380" s="711"/>
      <c r="CY380" s="710">
        <f t="shared" si="1164"/>
        <v>0</v>
      </c>
      <c r="CZ380" s="711">
        <f>0.076896+0.004582</f>
        <v>8.1478000000000009E-2</v>
      </c>
      <c r="DA380" s="711">
        <v>0.26707800000000947</v>
      </c>
      <c r="DB380" s="710">
        <f t="shared" si="1165"/>
        <v>0.34855600000000947</v>
      </c>
      <c r="DC380" s="711">
        <f>0.109908+0.003341</f>
        <v>0.113249</v>
      </c>
      <c r="DD380" s="711">
        <f>57.715821-57.54782-CS_OrdShr_Opt_H1_19</f>
        <v>5.4751999999996734E-2</v>
      </c>
      <c r="DE380" s="710">
        <f t="shared" si="1166"/>
        <v>0.16800099999999674</v>
      </c>
      <c r="DF380" s="711"/>
      <c r="DG380" s="711"/>
      <c r="DH380" s="1302">
        <f t="shared" si="1167"/>
        <v>0</v>
      </c>
      <c r="DI380" s="711"/>
      <c r="DJ380" s="711"/>
      <c r="DK380" s="1302">
        <f t="shared" si="1168"/>
        <v>0</v>
      </c>
      <c r="DL380" s="711"/>
      <c r="DM380" s="711"/>
      <c r="DN380" s="1302">
        <f t="shared" si="1169"/>
        <v>0</v>
      </c>
      <c r="DO380" s="711"/>
      <c r="DP380" s="711"/>
      <c r="DQ380" s="1302">
        <f t="shared" si="1170"/>
        <v>0</v>
      </c>
      <c r="DR380" s="711"/>
      <c r="DS380" s="711"/>
      <c r="DT380" s="1302">
        <f t="shared" si="1171"/>
        <v>0</v>
      </c>
      <c r="DU380" s="711"/>
      <c r="DV380" s="711"/>
      <c r="DW380" s="1302">
        <f t="shared" si="1172"/>
        <v>0</v>
      </c>
      <c r="DX380" s="711"/>
      <c r="DY380" s="711"/>
      <c r="DZ380" s="1302">
        <f t="shared" si="1174"/>
        <v>0</v>
      </c>
      <c r="EA380" s="711"/>
      <c r="EB380" s="711"/>
      <c r="EC380" s="1302">
        <f t="shared" si="1175"/>
        <v>0</v>
      </c>
      <c r="ED380" s="711"/>
      <c r="EE380" s="711"/>
      <c r="EF380" s="1302">
        <f t="shared" si="1176"/>
        <v>0</v>
      </c>
      <c r="EG380" s="711"/>
      <c r="EH380" s="711"/>
      <c r="EI380" s="1302">
        <f t="shared" si="1177"/>
        <v>0</v>
      </c>
      <c r="EJ380" s="711"/>
      <c r="EK380" s="711"/>
      <c r="EL380" s="1302">
        <f t="shared" si="1178"/>
        <v>0</v>
      </c>
      <c r="EM380" s="711"/>
      <c r="EN380" s="711"/>
      <c r="EO380" s="1302">
        <f t="shared" si="1179"/>
        <v>0</v>
      </c>
      <c r="EP380" s="711"/>
      <c r="EQ380" s="711"/>
      <c r="ER380" s="1302">
        <f t="shared" si="1180"/>
        <v>0</v>
      </c>
      <c r="ES380" s="711"/>
      <c r="ET380" s="711"/>
      <c r="EU380" s="1302">
        <f t="shared" si="1181"/>
        <v>0</v>
      </c>
      <c r="EV380" s="711"/>
      <c r="EW380" s="711"/>
      <c r="EX380" s="1302">
        <f t="shared" si="1182"/>
        <v>0</v>
      </c>
      <c r="EY380" s="711"/>
      <c r="EZ380" s="711"/>
      <c r="FA380" s="1302">
        <f t="shared" si="1183"/>
        <v>0</v>
      </c>
      <c r="FE380"/>
      <c r="FF380"/>
      <c r="FG380"/>
      <c r="FH380"/>
      <c r="FI380"/>
      <c r="FJ380"/>
      <c r="FK380" s="35"/>
    </row>
    <row r="381" spans="1:167" s="235" customFormat="1" ht="13.35" customHeight="1" outlineLevel="1">
      <c r="B381" s="401" t="s">
        <v>154</v>
      </c>
      <c r="C381" s="593"/>
      <c r="D381" s="594"/>
      <c r="E381" s="703"/>
      <c r="F381" s="704"/>
      <c r="G381" s="705">
        <f t="shared" si="1132"/>
        <v>0</v>
      </c>
      <c r="H381" s="703"/>
      <c r="I381" s="704"/>
      <c r="J381" s="705">
        <f t="shared" si="1133"/>
        <v>0</v>
      </c>
      <c r="K381" s="703"/>
      <c r="L381" s="704"/>
      <c r="M381" s="705">
        <f t="shared" si="1134"/>
        <v>0</v>
      </c>
      <c r="N381" s="703"/>
      <c r="O381" s="704"/>
      <c r="P381" s="705">
        <f t="shared" si="1135"/>
        <v>0</v>
      </c>
      <c r="Q381" s="703"/>
      <c r="R381" s="704"/>
      <c r="S381" s="705">
        <f t="shared" si="1136"/>
        <v>0</v>
      </c>
      <c r="T381" s="703"/>
      <c r="U381" s="704"/>
      <c r="V381" s="705">
        <f t="shared" si="1137"/>
        <v>0</v>
      </c>
      <c r="W381" s="703"/>
      <c r="X381" s="704"/>
      <c r="Y381" s="705">
        <f t="shared" si="1138"/>
        <v>0</v>
      </c>
      <c r="Z381" s="703"/>
      <c r="AA381" s="704"/>
      <c r="AB381" s="705">
        <f t="shared" si="1139"/>
        <v>0</v>
      </c>
      <c r="AC381" s="703"/>
      <c r="AD381" s="704"/>
      <c r="AE381" s="705">
        <f t="shared" si="1140"/>
        <v>0</v>
      </c>
      <c r="AF381" s="703"/>
      <c r="AG381" s="704"/>
      <c r="AH381" s="705">
        <f t="shared" si="1141"/>
        <v>0</v>
      </c>
      <c r="AI381" s="703"/>
      <c r="AJ381" s="704"/>
      <c r="AK381" s="705">
        <f t="shared" si="1142"/>
        <v>0</v>
      </c>
      <c r="AL381" s="703"/>
      <c r="AM381" s="704"/>
      <c r="AN381" s="705">
        <f t="shared" si="1143"/>
        <v>0</v>
      </c>
      <c r="AO381" s="703"/>
      <c r="AP381" s="704"/>
      <c r="AQ381" s="705">
        <f t="shared" si="1144"/>
        <v>0</v>
      </c>
      <c r="AR381" s="703"/>
      <c r="AS381" s="704"/>
      <c r="AT381" s="705">
        <f t="shared" si="1145"/>
        <v>0</v>
      </c>
      <c r="AU381" s="704"/>
      <c r="AV381" s="704"/>
      <c r="AW381" s="705">
        <f t="shared" si="1146"/>
        <v>0</v>
      </c>
      <c r="AX381" s="704"/>
      <c r="AY381" s="704"/>
      <c r="AZ381" s="705">
        <f t="shared" si="1147"/>
        <v>0</v>
      </c>
      <c r="BA381" s="704"/>
      <c r="BB381" s="704"/>
      <c r="BC381" s="705">
        <f t="shared" si="1148"/>
        <v>0</v>
      </c>
      <c r="BD381" s="704"/>
      <c r="BE381" s="704"/>
      <c r="BF381" s="705">
        <f t="shared" si="1149"/>
        <v>0</v>
      </c>
      <c r="BG381" s="704"/>
      <c r="BH381" s="704"/>
      <c r="BI381" s="705">
        <f t="shared" si="1150"/>
        <v>0</v>
      </c>
      <c r="BJ381" s="704"/>
      <c r="BK381" s="704"/>
      <c r="BL381" s="705">
        <f t="shared" si="1151"/>
        <v>0</v>
      </c>
      <c r="BM381" s="704"/>
      <c r="BN381" s="704"/>
      <c r="BO381" s="706">
        <f t="shared" si="1152"/>
        <v>0</v>
      </c>
      <c r="BP381" s="703"/>
      <c r="BQ381" s="712"/>
      <c r="BR381" s="706">
        <f t="shared" si="1153"/>
        <v>0</v>
      </c>
      <c r="BS381" s="704"/>
      <c r="BT381" s="704"/>
      <c r="BU381" s="706">
        <f t="shared" si="1154"/>
        <v>0</v>
      </c>
      <c r="BV381" s="704"/>
      <c r="BW381" s="704"/>
      <c r="BX381" s="706">
        <f t="shared" si="1155"/>
        <v>0</v>
      </c>
      <c r="BY381" s="704"/>
      <c r="BZ381" s="704"/>
      <c r="CA381" s="706">
        <f t="shared" si="1156"/>
        <v>0</v>
      </c>
      <c r="CB381" s="704"/>
      <c r="CC381" s="704"/>
      <c r="CD381" s="710">
        <f t="shared" si="1157"/>
        <v>0</v>
      </c>
      <c r="CE381" s="711"/>
      <c r="CF381" s="711"/>
      <c r="CG381" s="710">
        <f t="shared" si="1158"/>
        <v>0</v>
      </c>
      <c r="CH381" s="711"/>
      <c r="CI381" s="711"/>
      <c r="CJ381" s="710">
        <f t="shared" si="1159"/>
        <v>0</v>
      </c>
      <c r="CK381" s="711"/>
      <c r="CL381" s="711"/>
      <c r="CM381" s="710">
        <f t="shared" si="1160"/>
        <v>0</v>
      </c>
      <c r="CN381" s="711"/>
      <c r="CO381" s="711"/>
      <c r="CP381" s="710">
        <f t="shared" si="1161"/>
        <v>0</v>
      </c>
      <c r="CQ381" s="711"/>
      <c r="CR381" s="711"/>
      <c r="CS381" s="710">
        <f t="shared" si="1162"/>
        <v>0</v>
      </c>
      <c r="CT381" s="711"/>
      <c r="CU381" s="711"/>
      <c r="CV381" s="710">
        <f t="shared" si="1163"/>
        <v>0</v>
      </c>
      <c r="CW381" s="711"/>
      <c r="CX381" s="711"/>
      <c r="CY381" s="710">
        <f t="shared" si="1164"/>
        <v>0</v>
      </c>
      <c r="CZ381" s="711"/>
      <c r="DA381" s="711"/>
      <c r="DB381" s="710">
        <f t="shared" si="1165"/>
        <v>0</v>
      </c>
      <c r="DC381" s="711"/>
      <c r="DD381" s="711"/>
      <c r="DE381" s="710">
        <f t="shared" si="1166"/>
        <v>0</v>
      </c>
      <c r="DF381" s="711"/>
      <c r="DG381" s="711"/>
      <c r="DH381" s="1302">
        <f t="shared" si="1167"/>
        <v>0</v>
      </c>
      <c r="DI381" s="711"/>
      <c r="DJ381" s="711"/>
      <c r="DK381" s="1302">
        <f t="shared" si="1168"/>
        <v>0</v>
      </c>
      <c r="DL381" s="711"/>
      <c r="DM381" s="711"/>
      <c r="DN381" s="1302">
        <f t="shared" si="1169"/>
        <v>0</v>
      </c>
      <c r="DO381" s="711"/>
      <c r="DP381" s="711"/>
      <c r="DQ381" s="1302">
        <f t="shared" si="1170"/>
        <v>0</v>
      </c>
      <c r="DR381" s="711"/>
      <c r="DS381" s="711"/>
      <c r="DT381" s="1302">
        <f t="shared" si="1171"/>
        <v>0</v>
      </c>
      <c r="DU381" s="711"/>
      <c r="DV381" s="711"/>
      <c r="DW381" s="1302">
        <f t="shared" si="1172"/>
        <v>0</v>
      </c>
      <c r="DX381" s="711"/>
      <c r="DY381" s="711"/>
      <c r="DZ381" s="1302">
        <f t="shared" si="1174"/>
        <v>0</v>
      </c>
      <c r="EA381" s="711"/>
      <c r="EB381" s="711"/>
      <c r="EC381" s="1302">
        <f t="shared" si="1175"/>
        <v>0</v>
      </c>
      <c r="ED381" s="711"/>
      <c r="EE381" s="711"/>
      <c r="EF381" s="1302">
        <f t="shared" si="1176"/>
        <v>0</v>
      </c>
      <c r="EG381" s="711"/>
      <c r="EH381" s="711"/>
      <c r="EI381" s="1302">
        <f t="shared" si="1177"/>
        <v>0</v>
      </c>
      <c r="EJ381" s="711"/>
      <c r="EK381" s="711"/>
      <c r="EL381" s="1302">
        <f t="shared" si="1178"/>
        <v>0</v>
      </c>
      <c r="EM381" s="711"/>
      <c r="EN381" s="711"/>
      <c r="EO381" s="1302">
        <f t="shared" si="1179"/>
        <v>0</v>
      </c>
      <c r="EP381" s="711"/>
      <c r="EQ381" s="711"/>
      <c r="ER381" s="1302">
        <f t="shared" si="1180"/>
        <v>0</v>
      </c>
      <c r="ES381" s="711"/>
      <c r="ET381" s="711"/>
      <c r="EU381" s="1302">
        <f t="shared" si="1181"/>
        <v>0</v>
      </c>
      <c r="EV381" s="711"/>
      <c r="EW381" s="711"/>
      <c r="EX381" s="1302">
        <f t="shared" si="1182"/>
        <v>0</v>
      </c>
      <c r="EY381" s="711"/>
      <c r="EZ381" s="711"/>
      <c r="FA381" s="1302">
        <f t="shared" si="1183"/>
        <v>0</v>
      </c>
      <c r="FE381"/>
      <c r="FF381"/>
      <c r="FG381"/>
      <c r="FH381"/>
      <c r="FI381"/>
      <c r="FJ381"/>
      <c r="FK381" s="35"/>
    </row>
    <row r="382" spans="1:167" s="235" customFormat="1" ht="13.35" customHeight="1" outlineLevel="1">
      <c r="B382" s="401" t="s">
        <v>520</v>
      </c>
      <c r="C382" s="593"/>
      <c r="D382" s="594"/>
      <c r="E382" s="703"/>
      <c r="F382" s="704"/>
      <c r="G382" s="705">
        <f t="shared" si="1132"/>
        <v>0</v>
      </c>
      <c r="H382" s="703"/>
      <c r="I382" s="704"/>
      <c r="J382" s="705">
        <f t="shared" si="1133"/>
        <v>0</v>
      </c>
      <c r="K382" s="703"/>
      <c r="L382" s="704"/>
      <c r="M382" s="705">
        <f t="shared" si="1134"/>
        <v>0</v>
      </c>
      <c r="N382" s="703"/>
      <c r="O382" s="704"/>
      <c r="P382" s="705">
        <f t="shared" si="1135"/>
        <v>0</v>
      </c>
      <c r="Q382" s="703"/>
      <c r="R382" s="704"/>
      <c r="S382" s="705">
        <f t="shared" si="1136"/>
        <v>0</v>
      </c>
      <c r="T382" s="703"/>
      <c r="U382" s="704"/>
      <c r="V382" s="705">
        <f t="shared" si="1137"/>
        <v>0</v>
      </c>
      <c r="W382" s="703"/>
      <c r="X382" s="704"/>
      <c r="Y382" s="705">
        <f t="shared" si="1138"/>
        <v>0</v>
      </c>
      <c r="Z382" s="703"/>
      <c r="AA382" s="704"/>
      <c r="AB382" s="705">
        <f t="shared" si="1139"/>
        <v>0</v>
      </c>
      <c r="AC382" s="703"/>
      <c r="AD382" s="704"/>
      <c r="AE382" s="705">
        <f t="shared" si="1140"/>
        <v>0</v>
      </c>
      <c r="AF382" s="703"/>
      <c r="AG382" s="704"/>
      <c r="AH382" s="705">
        <f t="shared" si="1141"/>
        <v>0</v>
      </c>
      <c r="AI382" s="703"/>
      <c r="AJ382" s="704"/>
      <c r="AK382" s="705">
        <f t="shared" si="1142"/>
        <v>0</v>
      </c>
      <c r="AL382" s="703"/>
      <c r="AM382" s="704"/>
      <c r="AN382" s="705">
        <f t="shared" si="1143"/>
        <v>0</v>
      </c>
      <c r="AO382" s="703"/>
      <c r="AP382" s="704"/>
      <c r="AQ382" s="705">
        <f t="shared" si="1144"/>
        <v>0</v>
      </c>
      <c r="AR382" s="703"/>
      <c r="AS382" s="704"/>
      <c r="AT382" s="705">
        <f t="shared" si="1145"/>
        <v>0</v>
      </c>
      <c r="AU382" s="704"/>
      <c r="AV382" s="704"/>
      <c r="AW382" s="705">
        <f t="shared" si="1146"/>
        <v>0</v>
      </c>
      <c r="AX382" s="704"/>
      <c r="AY382" s="704"/>
      <c r="AZ382" s="705">
        <f t="shared" si="1147"/>
        <v>0</v>
      </c>
      <c r="BA382" s="704"/>
      <c r="BB382" s="704"/>
      <c r="BC382" s="705">
        <f t="shared" si="1148"/>
        <v>0</v>
      </c>
      <c r="BD382" s="704"/>
      <c r="BE382" s="704"/>
      <c r="BF382" s="705">
        <f t="shared" si="1149"/>
        <v>0</v>
      </c>
      <c r="BG382" s="704"/>
      <c r="BH382" s="704"/>
      <c r="BI382" s="705">
        <f t="shared" si="1150"/>
        <v>0</v>
      </c>
      <c r="BJ382" s="704"/>
      <c r="BK382" s="704"/>
      <c r="BL382" s="705">
        <f t="shared" si="1151"/>
        <v>0</v>
      </c>
      <c r="BM382" s="704"/>
      <c r="BN382" s="704"/>
      <c r="BO382" s="706">
        <f t="shared" si="1152"/>
        <v>0</v>
      </c>
      <c r="BP382" s="703"/>
      <c r="BQ382" s="712"/>
      <c r="BR382" s="706">
        <f t="shared" si="1153"/>
        <v>0</v>
      </c>
      <c r="BS382" s="704"/>
      <c r="BT382" s="704"/>
      <c r="BU382" s="706">
        <f t="shared" si="1154"/>
        <v>0</v>
      </c>
      <c r="BV382" s="704"/>
      <c r="BW382" s="704"/>
      <c r="BX382" s="706">
        <f t="shared" si="1155"/>
        <v>0</v>
      </c>
      <c r="BY382" s="704"/>
      <c r="BZ382" s="704"/>
      <c r="CA382" s="706">
        <f t="shared" si="1156"/>
        <v>0</v>
      </c>
      <c r="CB382" s="704"/>
      <c r="CC382" s="704"/>
      <c r="CD382" s="710">
        <f t="shared" si="1157"/>
        <v>0</v>
      </c>
      <c r="CE382" s="711"/>
      <c r="CF382" s="711"/>
      <c r="CG382" s="710">
        <f t="shared" si="1158"/>
        <v>0</v>
      </c>
      <c r="CH382" s="711"/>
      <c r="CI382" s="711"/>
      <c r="CJ382" s="710">
        <f t="shared" si="1159"/>
        <v>0</v>
      </c>
      <c r="CK382" s="711"/>
      <c r="CL382" s="711"/>
      <c r="CM382" s="710">
        <f t="shared" si="1160"/>
        <v>0</v>
      </c>
      <c r="CN382" s="711"/>
      <c r="CO382" s="711"/>
      <c r="CP382" s="710">
        <f t="shared" si="1161"/>
        <v>0</v>
      </c>
      <c r="CQ382" s="711"/>
      <c r="CR382" s="711"/>
      <c r="CS382" s="710">
        <f t="shared" si="1162"/>
        <v>0</v>
      </c>
      <c r="CT382" s="711"/>
      <c r="CU382" s="711"/>
      <c r="CV382" s="710">
        <f t="shared" si="1163"/>
        <v>0</v>
      </c>
      <c r="CW382" s="711"/>
      <c r="CX382" s="711"/>
      <c r="CY382" s="710">
        <f t="shared" si="1164"/>
        <v>0</v>
      </c>
      <c r="CZ382" s="711"/>
      <c r="DA382" s="711"/>
      <c r="DB382" s="710">
        <f t="shared" si="1165"/>
        <v>0</v>
      </c>
      <c r="DC382" s="711"/>
      <c r="DD382" s="711"/>
      <c r="DE382" s="710">
        <f t="shared" si="1166"/>
        <v>0</v>
      </c>
      <c r="DF382" s="711"/>
      <c r="DG382" s="711"/>
      <c r="DH382" s="1302">
        <f t="shared" si="1167"/>
        <v>0</v>
      </c>
      <c r="DI382" s="711"/>
      <c r="DJ382" s="711"/>
      <c r="DK382" s="1302">
        <f t="shared" si="1168"/>
        <v>0</v>
      </c>
      <c r="DL382" s="711"/>
      <c r="DM382" s="711"/>
      <c r="DN382" s="1302">
        <f t="shared" si="1169"/>
        <v>0</v>
      </c>
      <c r="DO382" s="711"/>
      <c r="DP382" s="711"/>
      <c r="DQ382" s="1302">
        <f t="shared" si="1170"/>
        <v>0</v>
      </c>
      <c r="DR382" s="711"/>
      <c r="DS382" s="711"/>
      <c r="DT382" s="1302">
        <f t="shared" si="1171"/>
        <v>0</v>
      </c>
      <c r="DU382" s="711"/>
      <c r="DV382" s="711"/>
      <c r="DW382" s="1302">
        <f t="shared" si="1172"/>
        <v>0</v>
      </c>
      <c r="DX382" s="711"/>
      <c r="DY382" s="711"/>
      <c r="DZ382" s="1302">
        <f t="shared" si="1174"/>
        <v>0</v>
      </c>
      <c r="EA382" s="711"/>
      <c r="EB382" s="711"/>
      <c r="EC382" s="1302">
        <f t="shared" si="1175"/>
        <v>0</v>
      </c>
      <c r="ED382" s="711"/>
      <c r="EE382" s="711"/>
      <c r="EF382" s="1302">
        <f t="shared" si="1176"/>
        <v>0</v>
      </c>
      <c r="EG382" s="711"/>
      <c r="EH382" s="711"/>
      <c r="EI382" s="1302">
        <f t="shared" si="1177"/>
        <v>0</v>
      </c>
      <c r="EJ382" s="711"/>
      <c r="EK382" s="711"/>
      <c r="EL382" s="1302">
        <f t="shared" si="1178"/>
        <v>0</v>
      </c>
      <c r="EM382" s="711"/>
      <c r="EN382" s="711"/>
      <c r="EO382" s="1302">
        <f t="shared" si="1179"/>
        <v>0</v>
      </c>
      <c r="EP382" s="711"/>
      <c r="EQ382" s="711"/>
      <c r="ER382" s="1302">
        <f t="shared" si="1180"/>
        <v>0</v>
      </c>
      <c r="ES382" s="711"/>
      <c r="ET382" s="711"/>
      <c r="EU382" s="1302">
        <f t="shared" si="1181"/>
        <v>0</v>
      </c>
      <c r="EV382" s="711"/>
      <c r="EW382" s="711"/>
      <c r="EX382" s="1302">
        <f t="shared" si="1182"/>
        <v>0</v>
      </c>
      <c r="EY382" s="711"/>
      <c r="EZ382" s="711"/>
      <c r="FA382" s="1302">
        <f t="shared" si="1183"/>
        <v>0</v>
      </c>
      <c r="FE382"/>
      <c r="FF382"/>
      <c r="FG382"/>
      <c r="FH382"/>
      <c r="FI382"/>
      <c r="FJ382"/>
      <c r="FK382" s="35"/>
    </row>
    <row r="383" spans="1:167" s="235" customFormat="1" ht="13.35" customHeight="1" outlineLevel="1" thickBot="1">
      <c r="B383" s="401" t="s">
        <v>521</v>
      </c>
      <c r="C383" s="593"/>
      <c r="D383" s="594"/>
      <c r="E383" s="703"/>
      <c r="F383" s="704"/>
      <c r="G383" s="705">
        <f t="shared" si="1132"/>
        <v>0</v>
      </c>
      <c r="H383" s="703"/>
      <c r="I383" s="704"/>
      <c r="J383" s="705">
        <f t="shared" si="1133"/>
        <v>0</v>
      </c>
      <c r="K383" s="703"/>
      <c r="L383" s="704"/>
      <c r="M383" s="705">
        <f t="shared" si="1134"/>
        <v>0</v>
      </c>
      <c r="N383" s="703"/>
      <c r="O383" s="704"/>
      <c r="P383" s="705">
        <f t="shared" si="1135"/>
        <v>0</v>
      </c>
      <c r="Q383" s="703"/>
      <c r="R383" s="704"/>
      <c r="S383" s="705">
        <f t="shared" si="1136"/>
        <v>0</v>
      </c>
      <c r="T383" s="703"/>
      <c r="U383" s="704"/>
      <c r="V383" s="705">
        <f t="shared" si="1137"/>
        <v>0</v>
      </c>
      <c r="W383" s="703"/>
      <c r="X383" s="704"/>
      <c r="Y383" s="705">
        <f t="shared" si="1138"/>
        <v>0</v>
      </c>
      <c r="Z383" s="703"/>
      <c r="AA383" s="704"/>
      <c r="AB383" s="705">
        <f t="shared" si="1139"/>
        <v>0</v>
      </c>
      <c r="AC383" s="703"/>
      <c r="AD383" s="704"/>
      <c r="AE383" s="705">
        <f t="shared" si="1140"/>
        <v>0</v>
      </c>
      <c r="AF383" s="703"/>
      <c r="AG383" s="704"/>
      <c r="AH383" s="705">
        <f t="shared" si="1141"/>
        <v>0</v>
      </c>
      <c r="AI383" s="703"/>
      <c r="AJ383" s="704"/>
      <c r="AK383" s="705">
        <f t="shared" si="1142"/>
        <v>0</v>
      </c>
      <c r="AL383" s="703"/>
      <c r="AM383" s="704"/>
      <c r="AN383" s="705">
        <f t="shared" si="1143"/>
        <v>0</v>
      </c>
      <c r="AO383" s="703"/>
      <c r="AP383" s="704"/>
      <c r="AQ383" s="705">
        <f t="shared" si="1144"/>
        <v>0</v>
      </c>
      <c r="AR383" s="703"/>
      <c r="AS383" s="704"/>
      <c r="AT383" s="705">
        <f t="shared" si="1145"/>
        <v>0</v>
      </c>
      <c r="AU383" s="704"/>
      <c r="AV383" s="704"/>
      <c r="AW383" s="705">
        <f t="shared" si="1146"/>
        <v>0</v>
      </c>
      <c r="AX383" s="704"/>
      <c r="AY383" s="704"/>
      <c r="AZ383" s="705">
        <f t="shared" si="1147"/>
        <v>0</v>
      </c>
      <c r="BA383" s="709">
        <v>0</v>
      </c>
      <c r="BB383" s="709">
        <v>0</v>
      </c>
      <c r="BC383" s="705">
        <f t="shared" si="1148"/>
        <v>0</v>
      </c>
      <c r="BD383" s="709">
        <v>0</v>
      </c>
      <c r="BE383" s="709">
        <v>2.4785999999999999E-2</v>
      </c>
      <c r="BF383" s="705">
        <f t="shared" si="1149"/>
        <v>2.4785999999999999E-2</v>
      </c>
      <c r="BG383" s="709">
        <v>0</v>
      </c>
      <c r="BH383" s="709">
        <v>3.1405000000000002E-2</v>
      </c>
      <c r="BI383" s="705">
        <f t="shared" si="1150"/>
        <v>3.1405000000000002E-2</v>
      </c>
      <c r="BJ383" s="709">
        <v>4.3139999999999998E-2</v>
      </c>
      <c r="BK383" s="704"/>
      <c r="BL383" s="705">
        <f t="shared" si="1151"/>
        <v>4.3139999999999998E-2</v>
      </c>
      <c r="BM383" s="704"/>
      <c r="BN383" s="704"/>
      <c r="BO383" s="706">
        <f t="shared" si="1152"/>
        <v>0</v>
      </c>
      <c r="BP383" s="717"/>
      <c r="BQ383" s="718"/>
      <c r="BR383" s="706">
        <f t="shared" si="1153"/>
        <v>0</v>
      </c>
      <c r="BS383" s="704"/>
      <c r="BT383" s="704"/>
      <c r="BU383" s="706">
        <f t="shared" si="1154"/>
        <v>0</v>
      </c>
      <c r="BV383" s="704"/>
      <c r="BW383" s="704"/>
      <c r="BX383" s="706">
        <f t="shared" si="1155"/>
        <v>0</v>
      </c>
      <c r="BY383" s="704"/>
      <c r="BZ383" s="704"/>
      <c r="CA383" s="706">
        <f t="shared" si="1156"/>
        <v>0</v>
      </c>
      <c r="CB383" s="704"/>
      <c r="CC383" s="704"/>
      <c r="CD383" s="710">
        <f t="shared" si="1157"/>
        <v>0</v>
      </c>
      <c r="CE383" s="711"/>
      <c r="CF383" s="711"/>
      <c r="CG383" s="710">
        <f t="shared" si="1158"/>
        <v>0</v>
      </c>
      <c r="CH383" s="711"/>
      <c r="CI383" s="711"/>
      <c r="CJ383" s="710">
        <f t="shared" si="1159"/>
        <v>0</v>
      </c>
      <c r="CK383" s="711"/>
      <c r="CL383" s="711">
        <f>CS_OrdShr_Oth_13-CS_OrdShr_Oth_H1_13</f>
        <v>1.0763999999999999E-2</v>
      </c>
      <c r="CM383" s="716">
        <v>1.0763999999999999E-2</v>
      </c>
      <c r="CN383" s="711"/>
      <c r="CO383" s="711"/>
      <c r="CP383" s="710">
        <f t="shared" si="1161"/>
        <v>0</v>
      </c>
      <c r="CQ383" s="711"/>
      <c r="CR383" s="711"/>
      <c r="CS383" s="710">
        <f t="shared" si="1162"/>
        <v>0</v>
      </c>
      <c r="CT383" s="711"/>
      <c r="CU383" s="709">
        <v>1.1669000000000001E-2</v>
      </c>
      <c r="CV383" s="710">
        <f t="shared" si="1163"/>
        <v>1.1669000000000001E-2</v>
      </c>
      <c r="CW383" s="711"/>
      <c r="CX383" s="711"/>
      <c r="CY383" s="710">
        <f t="shared" si="1164"/>
        <v>0</v>
      </c>
      <c r="CZ383" s="711"/>
      <c r="DA383" s="711"/>
      <c r="DB383" s="710">
        <f t="shared" si="1165"/>
        <v>0</v>
      </c>
      <c r="DC383" s="711"/>
      <c r="DD383" s="711"/>
      <c r="DE383" s="710">
        <f t="shared" si="1166"/>
        <v>0</v>
      </c>
      <c r="DF383" s="711"/>
      <c r="DG383" s="711"/>
      <c r="DH383" s="1302">
        <f t="shared" si="1167"/>
        <v>0</v>
      </c>
      <c r="DI383" s="711">
        <v>3.5943000000000003E-2</v>
      </c>
      <c r="DJ383" s="711">
        <f>65.744078-DJ374</f>
        <v>2.0732999999992785E-2</v>
      </c>
      <c r="DK383" s="1302">
        <f t="shared" si="1168"/>
        <v>5.6675999999992788E-2</v>
      </c>
      <c r="DL383" s="711">
        <v>2.1634E-2</v>
      </c>
      <c r="DM383" s="711">
        <f>65.775339-DM374</f>
        <v>9.6269999999947231E-3</v>
      </c>
      <c r="DN383" s="1302">
        <f t="shared" si="1169"/>
        <v>3.1260999999994724E-2</v>
      </c>
      <c r="DO383" s="711">
        <f>DO385-DO374</f>
        <v>3.8880000000034443E-3</v>
      </c>
      <c r="DP383" s="711">
        <f>DP385-DP374</f>
        <v>-0.10757800000000373</v>
      </c>
      <c r="DQ383" s="1302">
        <f t="shared" si="1170"/>
        <v>-0.10369000000000028</v>
      </c>
      <c r="DR383" s="711">
        <f>DR385-DR374</f>
        <v>-0.10000000000000853</v>
      </c>
      <c r="DS383" s="711"/>
      <c r="DT383" s="1302">
        <f t="shared" si="1171"/>
        <v>-0.10000000000000853</v>
      </c>
      <c r="DU383" s="711"/>
      <c r="DV383" s="711"/>
      <c r="DW383" s="1302">
        <f t="shared" si="1172"/>
        <v>0</v>
      </c>
      <c r="DX383" s="711"/>
      <c r="DY383" s="711"/>
      <c r="DZ383" s="1302">
        <f t="shared" si="1174"/>
        <v>0</v>
      </c>
      <c r="EA383" s="711"/>
      <c r="EB383" s="711"/>
      <c r="EC383" s="1302">
        <f t="shared" si="1175"/>
        <v>0</v>
      </c>
      <c r="ED383" s="711"/>
      <c r="EE383" s="711"/>
      <c r="EF383" s="1302">
        <f t="shared" si="1176"/>
        <v>0</v>
      </c>
      <c r="EG383" s="711"/>
      <c r="EH383" s="711"/>
      <c r="EI383" s="1302">
        <f t="shared" si="1177"/>
        <v>0</v>
      </c>
      <c r="EJ383" s="711"/>
      <c r="EK383" s="711"/>
      <c r="EL383" s="1302">
        <f t="shared" si="1178"/>
        <v>0</v>
      </c>
      <c r="EM383" s="711"/>
      <c r="EN383" s="711"/>
      <c r="EO383" s="1302">
        <f t="shared" si="1179"/>
        <v>0</v>
      </c>
      <c r="EP383" s="711"/>
      <c r="EQ383" s="711"/>
      <c r="ER383" s="1302">
        <f t="shared" si="1180"/>
        <v>0</v>
      </c>
      <c r="ES383" s="711"/>
      <c r="ET383" s="711"/>
      <c r="EU383" s="1302">
        <f t="shared" si="1181"/>
        <v>0</v>
      </c>
      <c r="EV383" s="711"/>
      <c r="EW383" s="711"/>
      <c r="EX383" s="1302">
        <f t="shared" si="1182"/>
        <v>0</v>
      </c>
      <c r="EY383" s="711"/>
      <c r="EZ383" s="711"/>
      <c r="FA383" s="1302">
        <f t="shared" si="1183"/>
        <v>0</v>
      </c>
      <c r="FE383"/>
      <c r="FF383"/>
      <c r="FG383"/>
      <c r="FH383"/>
      <c r="FI383"/>
      <c r="FJ383"/>
      <c r="FK383" s="35"/>
    </row>
    <row r="384" spans="1:167" s="235" customFormat="1" ht="13.35" customHeight="1" outlineLevel="1">
      <c r="B384" s="401"/>
      <c r="C384" s="593"/>
      <c r="D384" s="594"/>
      <c r="E384" s="697"/>
      <c r="F384" s="697"/>
      <c r="G384" s="688"/>
      <c r="H384" s="697"/>
      <c r="I384" s="697"/>
      <c r="J384" s="688"/>
      <c r="K384" s="697"/>
      <c r="L384" s="697"/>
      <c r="M384" s="688"/>
      <c r="N384" s="697"/>
      <c r="O384" s="697"/>
      <c r="P384" s="688"/>
      <c r="Q384" s="697"/>
      <c r="R384" s="697"/>
      <c r="S384" s="688"/>
      <c r="T384" s="697"/>
      <c r="U384" s="697"/>
      <c r="V384" s="688"/>
      <c r="W384" s="697"/>
      <c r="X384" s="697"/>
      <c r="Y384" s="700"/>
      <c r="Z384" s="697"/>
      <c r="AA384" s="697"/>
      <c r="AB384" s="700"/>
      <c r="AC384" s="697"/>
      <c r="AD384" s="697"/>
      <c r="AE384" s="700"/>
      <c r="AF384" s="697"/>
      <c r="AG384" s="697"/>
      <c r="AH384" s="700"/>
      <c r="AI384" s="697"/>
      <c r="AJ384" s="697"/>
      <c r="AK384" s="700"/>
      <c r="AL384" s="697"/>
      <c r="AM384" s="697"/>
      <c r="AN384" s="700"/>
      <c r="AO384" s="697"/>
      <c r="AP384" s="697"/>
      <c r="AQ384" s="700"/>
      <c r="AR384" s="697"/>
      <c r="AS384" s="697"/>
      <c r="AT384" s="700"/>
      <c r="AU384" s="697"/>
      <c r="AV384" s="697"/>
      <c r="AW384" s="700"/>
      <c r="AX384" s="697">
        <f t="shared" ref="AX384:CC384" si="1184">AX385-AX374</f>
        <v>0.56524999999999892</v>
      </c>
      <c r="AY384" s="697">
        <f t="shared" si="1184"/>
        <v>4.7750000000000625E-2</v>
      </c>
      <c r="AZ384" s="719">
        <f t="shared" si="1184"/>
        <v>0.61299999999999955</v>
      </c>
      <c r="BA384" s="697">
        <f t="shared" si="1184"/>
        <v>0.86802500000000293</v>
      </c>
      <c r="BB384" s="697">
        <f t="shared" si="1184"/>
        <v>5.8400000000347063E-4</v>
      </c>
      <c r="BC384" s="719">
        <f t="shared" si="1184"/>
        <v>0.8686089999999993</v>
      </c>
      <c r="BD384" s="697">
        <f t="shared" si="1184"/>
        <v>0</v>
      </c>
      <c r="BE384" s="697">
        <f t="shared" si="1184"/>
        <v>0.48278599999999727</v>
      </c>
      <c r="BF384" s="719">
        <f t="shared" si="1184"/>
        <v>0.48278599999999727</v>
      </c>
      <c r="BG384" s="697">
        <f t="shared" si="1184"/>
        <v>0</v>
      </c>
      <c r="BH384" s="697">
        <f t="shared" si="1184"/>
        <v>0.57040500000000094</v>
      </c>
      <c r="BI384" s="719">
        <f t="shared" si="1184"/>
        <v>0.57040500000000094</v>
      </c>
      <c r="BJ384" s="697">
        <f t="shared" si="1184"/>
        <v>1.0911400000000029</v>
      </c>
      <c r="BK384" s="697">
        <f t="shared" si="1184"/>
        <v>0</v>
      </c>
      <c r="BL384" s="719">
        <f t="shared" si="1184"/>
        <v>1.0911400000000029</v>
      </c>
      <c r="BM384" s="697">
        <f t="shared" si="1184"/>
        <v>0</v>
      </c>
      <c r="BN384" s="697">
        <f t="shared" si="1184"/>
        <v>0</v>
      </c>
      <c r="BO384" s="719">
        <f t="shared" si="1184"/>
        <v>0</v>
      </c>
      <c r="BP384" s="697">
        <f t="shared" si="1184"/>
        <v>0</v>
      </c>
      <c r="BQ384" s="697">
        <f t="shared" si="1184"/>
        <v>0</v>
      </c>
      <c r="BR384" s="719">
        <f t="shared" si="1184"/>
        <v>0</v>
      </c>
      <c r="BS384" s="697">
        <f t="shared" si="1184"/>
        <v>0.5589999999999975</v>
      </c>
      <c r="BT384" s="697">
        <f t="shared" si="1184"/>
        <v>0</v>
      </c>
      <c r="BU384" s="719">
        <f t="shared" si="1184"/>
        <v>0.5589999999999975</v>
      </c>
      <c r="BV384" s="697">
        <f t="shared" si="1184"/>
        <v>0.90216000000000207</v>
      </c>
      <c r="BW384" s="697">
        <f t="shared" si="1184"/>
        <v>0</v>
      </c>
      <c r="BX384" s="719">
        <f t="shared" si="1184"/>
        <v>0.90216000000000207</v>
      </c>
      <c r="BY384" s="697">
        <f t="shared" si="1184"/>
        <v>0.21846699999999686</v>
      </c>
      <c r="BZ384" s="697">
        <f t="shared" si="1184"/>
        <v>0.21042599999999823</v>
      </c>
      <c r="CA384" s="719">
        <f t="shared" si="1184"/>
        <v>0.42889300000000219</v>
      </c>
      <c r="CB384" s="697">
        <f t="shared" si="1184"/>
        <v>0.15900899999999751</v>
      </c>
      <c r="CC384" s="697">
        <f t="shared" si="1184"/>
        <v>0</v>
      </c>
      <c r="CD384" s="719">
        <f t="shared" ref="CD384:DI384" si="1185">CD385-CD374</f>
        <v>0.15900899999999751</v>
      </c>
      <c r="CE384" s="697">
        <f t="shared" si="1185"/>
        <v>5.4901000000000977E-2</v>
      </c>
      <c r="CF384" s="697">
        <f t="shared" si="1185"/>
        <v>0</v>
      </c>
      <c r="CG384" s="719">
        <f t="shared" si="1185"/>
        <v>5.4901000000000977E-2</v>
      </c>
      <c r="CH384" s="697">
        <f t="shared" si="1185"/>
        <v>9.9761000000000877E-2</v>
      </c>
      <c r="CI384" s="697">
        <f t="shared" si="1185"/>
        <v>0.56401799999999724</v>
      </c>
      <c r="CJ384" s="719">
        <f t="shared" si="1185"/>
        <v>0.66377899999999812</v>
      </c>
      <c r="CK384" s="697">
        <f t="shared" si="1185"/>
        <v>4.0740000000027976E-3</v>
      </c>
      <c r="CL384" s="697">
        <f t="shared" si="1185"/>
        <v>2.0308999999997468E-2</v>
      </c>
      <c r="CM384" s="719">
        <f t="shared" si="1185"/>
        <v>2.4383000000000266E-2</v>
      </c>
      <c r="CN384" s="697">
        <f t="shared" si="1185"/>
        <v>9.0909999999979618E-3</v>
      </c>
      <c r="CO384" s="697">
        <f t="shared" si="1185"/>
        <v>0</v>
      </c>
      <c r="CP384" s="719">
        <f t="shared" si="1185"/>
        <v>9.0909999999979618E-3</v>
      </c>
      <c r="CQ384" s="697">
        <f t="shared" si="1185"/>
        <v>0</v>
      </c>
      <c r="CR384" s="697">
        <f t="shared" si="1185"/>
        <v>0</v>
      </c>
      <c r="CS384" s="719">
        <f t="shared" si="1185"/>
        <v>0</v>
      </c>
      <c r="CT384" s="697">
        <f t="shared" si="1185"/>
        <v>0</v>
      </c>
      <c r="CU384" s="697">
        <f t="shared" si="1185"/>
        <v>0.29991199999999196</v>
      </c>
      <c r="CV384" s="719">
        <f t="shared" si="1185"/>
        <v>0.29991199999999196</v>
      </c>
      <c r="CW384" s="697">
        <f t="shared" si="1185"/>
        <v>0</v>
      </c>
      <c r="CX384" s="697">
        <f t="shared" si="1185"/>
        <v>0</v>
      </c>
      <c r="CY384" s="719">
        <f t="shared" si="1185"/>
        <v>0</v>
      </c>
      <c r="CZ384" s="697">
        <f t="shared" si="1185"/>
        <v>8.1477999999997053E-2</v>
      </c>
      <c r="DA384" s="697">
        <f t="shared" si="1185"/>
        <v>0.26707800000001214</v>
      </c>
      <c r="DB384" s="719">
        <f t="shared" si="1185"/>
        <v>0.34855600000000919</v>
      </c>
      <c r="DC384" s="697">
        <f t="shared" si="1185"/>
        <v>0.11324900000000326</v>
      </c>
      <c r="DD384" s="697">
        <f t="shared" si="1185"/>
        <v>5.4751999999993473E-2</v>
      </c>
      <c r="DE384" s="719">
        <f t="shared" si="1185"/>
        <v>0.16800099999999674</v>
      </c>
      <c r="DF384" s="697">
        <f t="shared" si="1185"/>
        <v>7.400599999999713E-2</v>
      </c>
      <c r="DG384" s="697">
        <f t="shared" si="1185"/>
        <v>7.8975750000000104</v>
      </c>
      <c r="DH384" s="1303">
        <f t="shared" si="1185"/>
        <v>7.9715810000000076</v>
      </c>
      <c r="DI384" s="697">
        <f t="shared" si="1185"/>
        <v>3.5943000000003167E-2</v>
      </c>
      <c r="DJ384" s="697">
        <f t="shared" ref="DJ384:DQ384" si="1186">DJ385-DJ374</f>
        <v>2.0732999999992785E-2</v>
      </c>
      <c r="DK384" s="1303">
        <f t="shared" si="1186"/>
        <v>5.6675999999995952E-2</v>
      </c>
      <c r="DL384" s="697">
        <f t="shared" si="1186"/>
        <v>2.1634000000005926E-2</v>
      </c>
      <c r="DM384" s="697">
        <f t="shared" si="1186"/>
        <v>9.6269999999947231E-3</v>
      </c>
      <c r="DN384" s="1303">
        <f t="shared" si="1186"/>
        <v>3.1261000000000649E-2</v>
      </c>
      <c r="DO384" s="697">
        <f t="shared" si="1186"/>
        <v>3.8880000000034443E-3</v>
      </c>
      <c r="DP384" s="697">
        <f t="shared" si="1186"/>
        <v>-0.10757800000000373</v>
      </c>
      <c r="DQ384" s="1303">
        <f t="shared" si="1186"/>
        <v>-0.10369000000000028</v>
      </c>
      <c r="DR384" s="697">
        <f t="shared" ref="DR384:DW384" si="1187">DR385-DR374</f>
        <v>-0.10000000000000853</v>
      </c>
      <c r="DS384" s="697">
        <f t="shared" si="1187"/>
        <v>0</v>
      </c>
      <c r="DT384" s="1303">
        <f t="shared" si="1187"/>
        <v>-0.17748799999999676</v>
      </c>
      <c r="DU384" s="697">
        <f t="shared" si="1187"/>
        <v>0</v>
      </c>
      <c r="DV384" s="697">
        <f t="shared" si="1187"/>
        <v>-4.5000000000001705E-2</v>
      </c>
      <c r="DW384" s="1303">
        <f t="shared" si="1187"/>
        <v>-4.5000000000001705E-2</v>
      </c>
      <c r="DX384" s="697">
        <f t="shared" ref="DX384:EC384" si="1188">DX385-DX374</f>
        <v>-0.11512195121950697</v>
      </c>
      <c r="DY384" s="697">
        <f t="shared" si="1188"/>
        <v>-0.17846519928613702</v>
      </c>
      <c r="DZ384" s="1303">
        <f t="shared" si="1188"/>
        <v>-0.2935871505056582</v>
      </c>
      <c r="EA384" s="697">
        <f t="shared" si="1188"/>
        <v>-0.2321498527299326</v>
      </c>
      <c r="EB384" s="697">
        <f t="shared" si="1188"/>
        <v>-0.22648766119993979</v>
      </c>
      <c r="EC384" s="1303">
        <f t="shared" si="1188"/>
        <v>-0.4586375139298724</v>
      </c>
      <c r="ED384" s="697">
        <f t="shared" ref="ED384:EL384" si="1189">ED385-ED374</f>
        <v>-0.2209635719023737</v>
      </c>
      <c r="EE384" s="697">
        <f t="shared" si="1189"/>
        <v>-0.21557421649012554</v>
      </c>
      <c r="EF384" s="1303">
        <f t="shared" si="1189"/>
        <v>-0.43653778839249924</v>
      </c>
      <c r="EG384" s="697">
        <f t="shared" si="1189"/>
        <v>0</v>
      </c>
      <c r="EH384" s="697">
        <f t="shared" si="1189"/>
        <v>0</v>
      </c>
      <c r="EI384" s="1303">
        <f t="shared" si="1189"/>
        <v>0</v>
      </c>
      <c r="EJ384" s="697">
        <f t="shared" si="1189"/>
        <v>0</v>
      </c>
      <c r="EK384" s="697">
        <f t="shared" si="1189"/>
        <v>0</v>
      </c>
      <c r="EL384" s="1303">
        <f t="shared" si="1189"/>
        <v>0</v>
      </c>
      <c r="EM384" s="697">
        <f t="shared" ref="EM384:ER384" si="1190">EM385-EM374</f>
        <v>0</v>
      </c>
      <c r="EN384" s="697">
        <f t="shared" si="1190"/>
        <v>0</v>
      </c>
      <c r="EO384" s="1303">
        <f t="shared" si="1190"/>
        <v>0</v>
      </c>
      <c r="EP384" s="697">
        <f t="shared" si="1190"/>
        <v>0</v>
      </c>
      <c r="EQ384" s="697">
        <f t="shared" si="1190"/>
        <v>0</v>
      </c>
      <c r="ER384" s="1303">
        <f t="shared" si="1190"/>
        <v>0</v>
      </c>
      <c r="ES384" s="697">
        <f t="shared" ref="ES384:EX384" si="1191">ES385-ES374</f>
        <v>0</v>
      </c>
      <c r="ET384" s="697">
        <f t="shared" si="1191"/>
        <v>0</v>
      </c>
      <c r="EU384" s="1303">
        <f t="shared" si="1191"/>
        <v>0</v>
      </c>
      <c r="EV384" s="697">
        <f t="shared" si="1191"/>
        <v>0</v>
      </c>
      <c r="EW384" s="697">
        <f t="shared" si="1191"/>
        <v>0</v>
      </c>
      <c r="EX384" s="1303">
        <f t="shared" si="1191"/>
        <v>0</v>
      </c>
      <c r="EY384" s="697">
        <f t="shared" ref="EY384:FA384" si="1192">EY385-EY374</f>
        <v>0</v>
      </c>
      <c r="EZ384" s="697">
        <f t="shared" si="1192"/>
        <v>0</v>
      </c>
      <c r="FA384" s="1303">
        <f t="shared" si="1192"/>
        <v>0</v>
      </c>
      <c r="FE384"/>
      <c r="FF384"/>
      <c r="FG384"/>
      <c r="FH384"/>
      <c r="FI384"/>
      <c r="FJ384"/>
      <c r="FK384" s="35"/>
    </row>
    <row r="385" spans="2:167" s="235" customFormat="1" ht="13.35" customHeight="1">
      <c r="B385" s="401" t="s">
        <v>831</v>
      </c>
      <c r="C385" s="593"/>
      <c r="D385" s="594"/>
      <c r="E385" s="720">
        <f t="shared" ref="E385:N385" si="1193">+E374+SUM(E377:E383)</f>
        <v>0</v>
      </c>
      <c r="F385" s="720">
        <f t="shared" si="1193"/>
        <v>0</v>
      </c>
      <c r="G385" s="720">
        <f t="shared" si="1193"/>
        <v>0</v>
      </c>
      <c r="H385" s="720">
        <f t="shared" si="1193"/>
        <v>0</v>
      </c>
      <c r="I385" s="720">
        <f t="shared" si="1193"/>
        <v>0</v>
      </c>
      <c r="J385" s="720">
        <f t="shared" si="1193"/>
        <v>0</v>
      </c>
      <c r="K385" s="720">
        <f t="shared" si="1193"/>
        <v>0</v>
      </c>
      <c r="L385" s="720">
        <f t="shared" si="1193"/>
        <v>0</v>
      </c>
      <c r="M385" s="720">
        <f t="shared" si="1193"/>
        <v>0</v>
      </c>
      <c r="N385" s="720">
        <f t="shared" si="1193"/>
        <v>0</v>
      </c>
      <c r="O385" s="720">
        <f t="shared" ref="O385:X385" si="1194">+O374+SUM(O377:O383)</f>
        <v>0</v>
      </c>
      <c r="P385" s="720">
        <f t="shared" si="1194"/>
        <v>0</v>
      </c>
      <c r="Q385" s="720">
        <f t="shared" si="1194"/>
        <v>0</v>
      </c>
      <c r="R385" s="720">
        <f t="shared" si="1194"/>
        <v>0</v>
      </c>
      <c r="S385" s="720">
        <f t="shared" si="1194"/>
        <v>0</v>
      </c>
      <c r="T385" s="720">
        <f t="shared" si="1194"/>
        <v>0</v>
      </c>
      <c r="U385" s="720">
        <f t="shared" si="1194"/>
        <v>0</v>
      </c>
      <c r="V385" s="720">
        <f t="shared" si="1194"/>
        <v>0</v>
      </c>
      <c r="W385" s="720">
        <f t="shared" si="1194"/>
        <v>0</v>
      </c>
      <c r="X385" s="720">
        <f t="shared" si="1194"/>
        <v>0</v>
      </c>
      <c r="Y385" s="720">
        <f t="shared" ref="Y385:AG385" si="1195">+Y374+SUM(Y377:Y383)</f>
        <v>0</v>
      </c>
      <c r="Z385" s="720">
        <f t="shared" si="1195"/>
        <v>0</v>
      </c>
      <c r="AA385" s="720">
        <f t="shared" si="1195"/>
        <v>0</v>
      </c>
      <c r="AB385" s="720">
        <f t="shared" si="1195"/>
        <v>0</v>
      </c>
      <c r="AC385" s="720">
        <f t="shared" si="1195"/>
        <v>0</v>
      </c>
      <c r="AD385" s="720">
        <f t="shared" si="1195"/>
        <v>0</v>
      </c>
      <c r="AE385" s="720">
        <f t="shared" si="1195"/>
        <v>0</v>
      </c>
      <c r="AF385" s="720">
        <f t="shared" si="1195"/>
        <v>0</v>
      </c>
      <c r="AG385" s="720">
        <f t="shared" si="1195"/>
        <v>0</v>
      </c>
      <c r="AH385" s="721">
        <v>50</v>
      </c>
      <c r="AI385" s="720">
        <f t="shared" ref="AI385:AR385" si="1196">+AI374+SUM(AI377:AI383)</f>
        <v>50</v>
      </c>
      <c r="AJ385" s="720">
        <f t="shared" si="1196"/>
        <v>50</v>
      </c>
      <c r="AK385" s="720">
        <f t="shared" si="1196"/>
        <v>50</v>
      </c>
      <c r="AL385" s="720">
        <f t="shared" si="1196"/>
        <v>50</v>
      </c>
      <c r="AM385" s="720">
        <f t="shared" si="1196"/>
        <v>50</v>
      </c>
      <c r="AN385" s="720">
        <f t="shared" si="1196"/>
        <v>50</v>
      </c>
      <c r="AO385" s="720">
        <f t="shared" si="1196"/>
        <v>50</v>
      </c>
      <c r="AP385" s="720">
        <f t="shared" si="1196"/>
        <v>50</v>
      </c>
      <c r="AQ385" s="720">
        <f t="shared" si="1196"/>
        <v>50</v>
      </c>
      <c r="AR385" s="720">
        <f t="shared" si="1196"/>
        <v>50</v>
      </c>
      <c r="AS385" s="720">
        <f t="shared" ref="AS385:BB385" si="1197">+AS374+SUM(AS377:AS383)</f>
        <v>50</v>
      </c>
      <c r="AT385" s="720">
        <f t="shared" si="1197"/>
        <v>50</v>
      </c>
      <c r="AU385" s="720">
        <f t="shared" si="1197"/>
        <v>50.53575</v>
      </c>
      <c r="AV385" s="720">
        <f t="shared" si="1197"/>
        <v>50.53575</v>
      </c>
      <c r="AW385" s="722">
        <f t="shared" si="1197"/>
        <v>50.53575</v>
      </c>
      <c r="AX385" s="720">
        <f t="shared" si="1197"/>
        <v>51.100999999999999</v>
      </c>
      <c r="AY385" s="720">
        <f t="shared" si="1197"/>
        <v>51.14875</v>
      </c>
      <c r="AZ385" s="688">
        <f t="shared" si="1197"/>
        <v>51.14875</v>
      </c>
      <c r="BA385" s="720">
        <f t="shared" si="1197"/>
        <v>52.016775000000003</v>
      </c>
      <c r="BB385" s="720">
        <f t="shared" si="1197"/>
        <v>52.017359000000006</v>
      </c>
      <c r="BC385" s="720">
        <f t="shared" ref="BC385:BO385" si="1198">+BC374+SUM(BC377:BC383)</f>
        <v>52.017358999999999</v>
      </c>
      <c r="BD385" s="720">
        <f t="shared" si="1198"/>
        <v>52.017358999999999</v>
      </c>
      <c r="BE385" s="720">
        <f t="shared" si="1198"/>
        <v>52.500144999999996</v>
      </c>
      <c r="BF385" s="720">
        <f t="shared" si="1198"/>
        <v>52.500144999999996</v>
      </c>
      <c r="BG385" s="720">
        <f t="shared" si="1198"/>
        <v>52.500144999999996</v>
      </c>
      <c r="BH385" s="720">
        <f t="shared" si="1198"/>
        <v>53.070549999999997</v>
      </c>
      <c r="BI385" s="720">
        <f t="shared" si="1198"/>
        <v>53.070549999999997</v>
      </c>
      <c r="BJ385" s="720">
        <f t="shared" si="1198"/>
        <v>54.16169</v>
      </c>
      <c r="BK385" s="720">
        <f t="shared" si="1198"/>
        <v>54.16169</v>
      </c>
      <c r="BL385" s="720">
        <f t="shared" si="1198"/>
        <v>54.16169</v>
      </c>
      <c r="BM385" s="720">
        <f t="shared" si="1198"/>
        <v>54.16169</v>
      </c>
      <c r="BN385" s="720">
        <f t="shared" si="1198"/>
        <v>54.16169</v>
      </c>
      <c r="BO385" s="720">
        <f t="shared" si="1198"/>
        <v>54.16169</v>
      </c>
      <c r="BP385" s="720">
        <f t="shared" ref="BP385:DK385" si="1199">+BP374+SUM(BP377:BP383)</f>
        <v>54.16169</v>
      </c>
      <c r="BQ385" s="720">
        <f t="shared" si="1199"/>
        <v>54.16169</v>
      </c>
      <c r="BR385" s="720">
        <f t="shared" si="1199"/>
        <v>54.16169</v>
      </c>
      <c r="BS385" s="723">
        <f t="shared" si="1199"/>
        <v>54.720689999999998</v>
      </c>
      <c r="BT385" s="720">
        <f t="shared" si="1199"/>
        <v>54.720689999999998</v>
      </c>
      <c r="BU385" s="720">
        <f>+BU374+SUM(BU377:BU383)</f>
        <v>54.720689999999998</v>
      </c>
      <c r="BV385" s="721">
        <v>55.62285</v>
      </c>
      <c r="BW385" s="720">
        <f t="shared" si="1199"/>
        <v>55.62285</v>
      </c>
      <c r="BX385" s="720">
        <f t="shared" si="1199"/>
        <v>55.62285</v>
      </c>
      <c r="BY385" s="720">
        <f t="shared" si="1199"/>
        <v>55.743212999999997</v>
      </c>
      <c r="BZ385" s="720">
        <f t="shared" si="1199"/>
        <v>55.953638999999995</v>
      </c>
      <c r="CA385" s="720">
        <f t="shared" si="1199"/>
        <v>56.051743000000002</v>
      </c>
      <c r="CB385" s="723">
        <f t="shared" si="1199"/>
        <v>56.136564</v>
      </c>
      <c r="CC385" s="720">
        <f t="shared" si="1199"/>
        <v>56.136564</v>
      </c>
      <c r="CD385" s="724">
        <f t="shared" si="1199"/>
        <v>56.210751999999999</v>
      </c>
      <c r="CE385" s="725">
        <f>+CE374+SUM(CE377:CE383)</f>
        <v>56.537247000000001</v>
      </c>
      <c r="CF385" s="724">
        <f t="shared" si="1199"/>
        <v>56.537247000000001</v>
      </c>
      <c r="CG385" s="724">
        <f t="shared" si="1199"/>
        <v>56.265653</v>
      </c>
      <c r="CH385" s="724">
        <f t="shared" si="1199"/>
        <v>56.779902999999997</v>
      </c>
      <c r="CI385" s="724">
        <f t="shared" si="1199"/>
        <v>57.343920999999995</v>
      </c>
      <c r="CJ385" s="724">
        <f t="shared" si="1199"/>
        <v>56.929431999999998</v>
      </c>
      <c r="CK385" s="724">
        <f t="shared" si="1199"/>
        <v>56.869952000000005</v>
      </c>
      <c r="CL385" s="724">
        <f t="shared" si="1199"/>
        <v>56.890261000000002</v>
      </c>
      <c r="CM385" s="724">
        <f t="shared" si="1199"/>
        <v>56.890261000000002</v>
      </c>
      <c r="CN385" s="724">
        <f t="shared" si="1199"/>
        <v>56.924379999999999</v>
      </c>
      <c r="CO385" s="724">
        <f t="shared" si="1199"/>
        <v>56.924379999999999</v>
      </c>
      <c r="CP385" s="724">
        <f t="shared" si="1199"/>
        <v>56.899352</v>
      </c>
      <c r="CQ385" s="724">
        <f t="shared" si="1199"/>
        <v>56.945248999999997</v>
      </c>
      <c r="CR385" s="724">
        <f t="shared" si="1199"/>
        <v>56.945248999999997</v>
      </c>
      <c r="CS385" s="724">
        <f t="shared" si="1199"/>
        <v>56.899352</v>
      </c>
      <c r="CT385" s="724">
        <f t="shared" si="1199"/>
        <v>56.957273999999998</v>
      </c>
      <c r="CU385" s="724">
        <f t="shared" si="1199"/>
        <v>57.25718599999999</v>
      </c>
      <c r="CV385" s="724">
        <f t="shared" si="1199"/>
        <v>57.199263999999992</v>
      </c>
      <c r="CW385" s="724">
        <f t="shared" si="1199"/>
        <v>57.199263999999992</v>
      </c>
      <c r="CX385" s="724">
        <f t="shared" si="1199"/>
        <v>57.199263999999992</v>
      </c>
      <c r="CY385" s="724">
        <f t="shared" si="1199"/>
        <v>57.199263999999992</v>
      </c>
      <c r="CZ385" s="726">
        <f t="shared" si="1199"/>
        <v>57.508126999999995</v>
      </c>
      <c r="DA385" s="726">
        <f t="shared" si="1199"/>
        <v>57.775205000000007</v>
      </c>
      <c r="DB385" s="726">
        <f t="shared" si="1199"/>
        <v>57.547820000000002</v>
      </c>
      <c r="DC385" s="726">
        <f t="shared" si="1199"/>
        <v>57.661069000000005</v>
      </c>
      <c r="DD385" s="726">
        <f t="shared" si="1199"/>
        <v>57.715820999999998</v>
      </c>
      <c r="DE385" s="726">
        <f t="shared" si="1199"/>
        <v>57.715820999999998</v>
      </c>
      <c r="DF385" s="727">
        <f t="shared" si="1199"/>
        <v>57.789826999999995</v>
      </c>
      <c r="DG385" s="724">
        <v>65.687402000000006</v>
      </c>
      <c r="DH385" s="1304">
        <f t="shared" si="1199"/>
        <v>65.687402000000006</v>
      </c>
      <c r="DI385" s="724">
        <f t="shared" si="1199"/>
        <v>65.723345000000009</v>
      </c>
      <c r="DJ385" s="724">
        <f t="shared" si="1199"/>
        <v>65.744078000000002</v>
      </c>
      <c r="DK385" s="1304">
        <f t="shared" si="1199"/>
        <v>65.744078000000002</v>
      </c>
      <c r="DL385" s="724">
        <f t="shared" ref="DL385:DN385" si="1200">+DL374+SUM(DL377:DL383)</f>
        <v>65.765712000000008</v>
      </c>
      <c r="DM385" s="724">
        <f t="shared" si="1200"/>
        <v>65.775339000000002</v>
      </c>
      <c r="DN385" s="1304">
        <f t="shared" si="1200"/>
        <v>65.775339000000002</v>
      </c>
      <c r="DO385" s="724">
        <v>65.779227000000006</v>
      </c>
      <c r="DP385" s="724">
        <v>65.671649000000002</v>
      </c>
      <c r="DQ385" s="1378">
        <v>65.671649000000002</v>
      </c>
      <c r="DR385" s="724">
        <v>65.571648999999994</v>
      </c>
      <c r="DS385" s="724">
        <f>+DS374+SUM(DS377:DS383)</f>
        <v>65.571648999999994</v>
      </c>
      <c r="DT385" s="1378">
        <v>65.494161000000005</v>
      </c>
      <c r="DU385" s="724">
        <f>+DU374+SUM(DU377:DU383)</f>
        <v>65.494161000000005</v>
      </c>
      <c r="DV385" s="724">
        <f>+DV374+SUM(DV377:DV383)</f>
        <v>65.449161000000004</v>
      </c>
      <c r="DW385" s="1304">
        <f>+DW374+SUM(DW377:DW383)</f>
        <v>65.449161000000004</v>
      </c>
      <c r="DX385" s="724">
        <f t="shared" ref="DX385:EC385" si="1201">+DX374+SUM(DX377:DX383)</f>
        <v>65.334039048780497</v>
      </c>
      <c r="DY385" s="724">
        <f t="shared" si="1201"/>
        <v>65.15557384949436</v>
      </c>
      <c r="DZ385" s="1304">
        <f t="shared" si="1201"/>
        <v>65.155573849494345</v>
      </c>
      <c r="EA385" s="724">
        <f t="shared" si="1201"/>
        <v>64.923423996764413</v>
      </c>
      <c r="EB385" s="724">
        <f t="shared" si="1201"/>
        <v>64.696936335564473</v>
      </c>
      <c r="EC385" s="1304">
        <f t="shared" si="1201"/>
        <v>64.696936335564473</v>
      </c>
      <c r="ED385" s="724">
        <f t="shared" ref="ED385:EL385" si="1202">+ED374+SUM(ED377:ED383)</f>
        <v>64.475972763662099</v>
      </c>
      <c r="EE385" s="724">
        <f t="shared" si="1202"/>
        <v>64.260398547171974</v>
      </c>
      <c r="EF385" s="1304">
        <f t="shared" si="1202"/>
        <v>64.260398547171974</v>
      </c>
      <c r="EG385" s="724">
        <f t="shared" si="1202"/>
        <v>64.260398547171974</v>
      </c>
      <c r="EH385" s="724">
        <f t="shared" si="1202"/>
        <v>64.260398547171974</v>
      </c>
      <c r="EI385" s="1304">
        <f t="shared" si="1202"/>
        <v>64.260398547171974</v>
      </c>
      <c r="EJ385" s="724">
        <f t="shared" si="1202"/>
        <v>64.260398547171974</v>
      </c>
      <c r="EK385" s="724">
        <f t="shared" si="1202"/>
        <v>64.260398547171974</v>
      </c>
      <c r="EL385" s="1304">
        <f t="shared" si="1202"/>
        <v>64.260398547171974</v>
      </c>
      <c r="EM385" s="724">
        <f t="shared" ref="EM385:ER385" si="1203">+EM374+SUM(EM377:EM383)</f>
        <v>64.260398547171974</v>
      </c>
      <c r="EN385" s="724">
        <f t="shared" si="1203"/>
        <v>64.260398547171974</v>
      </c>
      <c r="EO385" s="1304">
        <f t="shared" si="1203"/>
        <v>64.260398547171974</v>
      </c>
      <c r="EP385" s="724">
        <f t="shared" si="1203"/>
        <v>64.260398547171974</v>
      </c>
      <c r="EQ385" s="724">
        <f t="shared" si="1203"/>
        <v>64.260398547171974</v>
      </c>
      <c r="ER385" s="1304">
        <f t="shared" si="1203"/>
        <v>64.260398547171974</v>
      </c>
      <c r="ES385" s="724">
        <f t="shared" ref="ES385:EX385" si="1204">+ES374+SUM(ES377:ES383)</f>
        <v>64.260398547171974</v>
      </c>
      <c r="ET385" s="724">
        <f t="shared" si="1204"/>
        <v>64.260398547171974</v>
      </c>
      <c r="EU385" s="1304">
        <f t="shared" si="1204"/>
        <v>64.260398547171974</v>
      </c>
      <c r="EV385" s="724">
        <f t="shared" si="1204"/>
        <v>64.260398547171974</v>
      </c>
      <c r="EW385" s="724">
        <f t="shared" si="1204"/>
        <v>64.260398547171974</v>
      </c>
      <c r="EX385" s="1304">
        <f t="shared" si="1204"/>
        <v>64.260398547171974</v>
      </c>
      <c r="EY385" s="724">
        <f t="shared" ref="EY385:FA385" si="1205">+EY374+SUM(EY377:EY383)</f>
        <v>64.260398547171974</v>
      </c>
      <c r="EZ385" s="724">
        <f t="shared" si="1205"/>
        <v>64.260398547171974</v>
      </c>
      <c r="FA385" s="1304">
        <f t="shared" si="1205"/>
        <v>64.260398547171974</v>
      </c>
      <c r="FE385"/>
      <c r="FF385"/>
      <c r="FG385"/>
      <c r="FH385"/>
      <c r="FI385"/>
      <c r="FJ385"/>
      <c r="FK385" s="35"/>
    </row>
    <row r="386" spans="2:167" s="235" customFormat="1" ht="13.35" customHeight="1" outlineLevel="1">
      <c r="B386" s="401"/>
      <c r="C386" s="593"/>
      <c r="D386" s="594"/>
      <c r="E386" s="689"/>
      <c r="F386" s="689"/>
      <c r="G386" s="688"/>
      <c r="H386" s="689"/>
      <c r="I386" s="689"/>
      <c r="J386" s="688"/>
      <c r="K386" s="689"/>
      <c r="L386" s="689"/>
      <c r="M386" s="688"/>
      <c r="N386" s="689"/>
      <c r="O386" s="689"/>
      <c r="P386" s="688"/>
      <c r="Q386" s="689"/>
      <c r="R386" s="689"/>
      <c r="S386" s="688"/>
      <c r="T386" s="689"/>
      <c r="U386" s="689"/>
      <c r="V386" s="700"/>
      <c r="W386" s="689"/>
      <c r="X386" s="689"/>
      <c r="Y386" s="688"/>
      <c r="Z386" s="689"/>
      <c r="AA386" s="689"/>
      <c r="AB386" s="700"/>
      <c r="AC386" s="689"/>
      <c r="AD386" s="689"/>
      <c r="AE386" s="688"/>
      <c r="AF386" s="689"/>
      <c r="AG386" s="689"/>
      <c r="AH386" s="700"/>
      <c r="AI386" s="689"/>
      <c r="AJ386" s="689"/>
      <c r="AK386" s="688"/>
      <c r="AL386" s="689"/>
      <c r="AM386" s="689"/>
      <c r="AN386" s="700"/>
      <c r="AO386" s="689"/>
      <c r="AP386" s="689"/>
      <c r="AQ386" s="688"/>
      <c r="AR386" s="689"/>
      <c r="AS386" s="689"/>
      <c r="AT386" s="700"/>
      <c r="AU386" s="728"/>
      <c r="AV386" s="728"/>
      <c r="AW386" s="729"/>
      <c r="AX386" s="728"/>
      <c r="AY386" s="728"/>
      <c r="AZ386" s="729"/>
      <c r="BA386" s="728"/>
      <c r="BB386" s="728"/>
      <c r="BC386" s="729"/>
      <c r="BD386" s="728"/>
      <c r="BE386" s="728"/>
      <c r="BF386" s="729"/>
      <c r="BG386" s="728"/>
      <c r="BH386" s="728"/>
      <c r="BI386" s="729"/>
      <c r="BJ386" s="728"/>
      <c r="BK386" s="728"/>
      <c r="BL386" s="729"/>
      <c r="BM386" s="728"/>
      <c r="BN386" s="728"/>
      <c r="BO386" s="729"/>
      <c r="BP386" s="728"/>
      <c r="BQ386" s="728"/>
      <c r="BR386" s="729"/>
      <c r="BS386" s="730"/>
      <c r="BT386" s="728"/>
      <c r="BU386" s="729"/>
      <c r="BV386" s="728"/>
      <c r="BW386" s="728"/>
      <c r="BX386" s="729"/>
      <c r="BY386" s="728"/>
      <c r="BZ386" s="728"/>
      <c r="CA386" s="729"/>
      <c r="CB386" s="728"/>
      <c r="CC386" s="728"/>
      <c r="CD386" s="731"/>
      <c r="CE386" s="731"/>
      <c r="CF386" s="731"/>
      <c r="CG386" s="731"/>
      <c r="CH386" s="731"/>
      <c r="CI386" s="731"/>
      <c r="CJ386" s="731"/>
      <c r="CK386" s="731"/>
      <c r="CL386" s="731"/>
      <c r="CM386" s="731"/>
      <c r="CN386" s="731"/>
      <c r="CO386" s="731"/>
      <c r="CP386" s="731"/>
      <c r="CQ386" s="731"/>
      <c r="CR386" s="731"/>
      <c r="CS386" s="731"/>
      <c r="CT386" s="731"/>
      <c r="CU386" s="731"/>
      <c r="CV386" s="731"/>
      <c r="CW386" s="731"/>
      <c r="CX386" s="731"/>
      <c r="CY386" s="731"/>
      <c r="CZ386" s="731"/>
      <c r="DA386" s="731"/>
      <c r="DB386" s="731"/>
      <c r="DC386" s="731"/>
      <c r="DD386" s="731"/>
      <c r="DE386" s="731"/>
      <c r="DF386" s="731"/>
      <c r="DG386" s="731"/>
      <c r="DH386" s="1305"/>
      <c r="DI386" s="731"/>
      <c r="DJ386" s="731"/>
      <c r="DK386" s="1305"/>
      <c r="DL386" s="731"/>
      <c r="DM386" s="731"/>
      <c r="DN386" s="1305"/>
      <c r="DO386" s="731"/>
      <c r="DP386" s="731"/>
      <c r="DQ386" s="1305"/>
      <c r="DR386" s="731"/>
      <c r="DS386" s="731"/>
      <c r="DT386" s="1305"/>
      <c r="DU386" s="731"/>
      <c r="DV386" s="731"/>
      <c r="DW386" s="1305"/>
      <c r="DX386" s="731"/>
      <c r="DY386" s="731"/>
      <c r="DZ386" s="1305"/>
      <c r="EA386" s="731"/>
      <c r="EB386" s="731"/>
      <c r="EC386" s="1305"/>
      <c r="ED386" s="731"/>
      <c r="EE386" s="731"/>
      <c r="EF386" s="1305"/>
      <c r="EG386" s="731"/>
      <c r="EH386" s="731"/>
      <c r="EI386" s="1305"/>
      <c r="EJ386" s="731"/>
      <c r="EK386" s="731"/>
      <c r="EL386" s="1305"/>
      <c r="EM386" s="731"/>
      <c r="EN386" s="731"/>
      <c r="EO386" s="1305"/>
      <c r="EP386" s="731"/>
      <c r="EQ386" s="731"/>
      <c r="ER386" s="1305"/>
      <c r="ES386" s="731"/>
      <c r="ET386" s="731"/>
      <c r="EU386" s="1305"/>
      <c r="EV386" s="731"/>
      <c r="EW386" s="731"/>
      <c r="EX386" s="1305"/>
      <c r="EY386" s="731"/>
      <c r="EZ386" s="731"/>
      <c r="FA386" s="1305"/>
      <c r="FE386"/>
      <c r="FF386"/>
      <c r="FG386"/>
      <c r="FH386"/>
      <c r="FI386"/>
      <c r="FJ386"/>
      <c r="FK386" s="35"/>
    </row>
    <row r="387" spans="2:167" s="235" customFormat="1" ht="13.35" customHeight="1" outlineLevel="1" thickBot="1">
      <c r="B387" s="401" t="s">
        <v>832</v>
      </c>
      <c r="C387" s="593"/>
      <c r="D387" s="594"/>
      <c r="E387" s="732"/>
      <c r="F387" s="732"/>
      <c r="G387" s="594"/>
      <c r="H387" s="732"/>
      <c r="I387" s="732"/>
      <c r="J387" s="594"/>
      <c r="K387" s="732"/>
      <c r="L387" s="732"/>
      <c r="M387" s="594"/>
      <c r="N387" s="732"/>
      <c r="O387" s="732"/>
      <c r="P387" s="594"/>
      <c r="Q387" s="732"/>
      <c r="R387" s="732"/>
      <c r="S387" s="594"/>
      <c r="T387" s="732"/>
      <c r="U387" s="732"/>
      <c r="V387" s="594"/>
      <c r="W387" s="732"/>
      <c r="X387" s="732"/>
      <c r="Y387" s="594"/>
      <c r="Z387" s="732"/>
      <c r="AA387" s="732"/>
      <c r="AB387" s="594"/>
      <c r="AC387" s="732"/>
      <c r="AD387" s="732"/>
      <c r="AE387" s="594"/>
      <c r="AF387" s="732"/>
      <c r="AG387" s="732"/>
      <c r="AH387" s="594"/>
      <c r="AI387" s="732"/>
      <c r="AJ387" s="732"/>
      <c r="AK387" s="594"/>
      <c r="AL387" s="732"/>
      <c r="AM387" s="732"/>
      <c r="AN387" s="594"/>
      <c r="AO387" s="732"/>
      <c r="AP387" s="732"/>
      <c r="AQ387" s="594"/>
      <c r="AR387" s="732"/>
      <c r="AS387" s="732"/>
      <c r="AT387" s="594"/>
      <c r="AU387" s="732"/>
      <c r="AV387" s="732"/>
      <c r="AW387" s="594"/>
      <c r="AX387" s="732"/>
      <c r="AY387" s="732"/>
      <c r="AZ387" s="594"/>
      <c r="BA387" s="732"/>
      <c r="BB387" s="732"/>
      <c r="BC387" s="594"/>
      <c r="BD387" s="732"/>
      <c r="BE387" s="732"/>
      <c r="BF387" s="594"/>
      <c r="BG387" s="732"/>
      <c r="BH387" s="732"/>
      <c r="BI387" s="594"/>
      <c r="BJ387" s="732"/>
      <c r="BK387" s="732"/>
      <c r="BL387" s="594"/>
      <c r="BM387" s="732"/>
      <c r="BN387" s="732"/>
      <c r="BO387" s="597"/>
      <c r="BP387" s="732"/>
      <c r="BQ387" s="732"/>
      <c r="BR387" s="597"/>
      <c r="BS387" s="732"/>
      <c r="BT387" s="732"/>
      <c r="BU387" s="597"/>
      <c r="BV387" s="732"/>
      <c r="BW387" s="732"/>
      <c r="BX387" s="597"/>
      <c r="BY387" s="732"/>
      <c r="BZ387" s="732"/>
      <c r="CA387" s="597"/>
      <c r="CB387" s="732"/>
      <c r="CC387" s="732"/>
      <c r="CD387" s="612"/>
      <c r="CE387" s="733"/>
      <c r="CF387" s="733"/>
      <c r="CG387" s="612"/>
      <c r="CH387" s="733"/>
      <c r="CI387" s="733"/>
      <c r="CJ387" s="612"/>
      <c r="CK387" s="733"/>
      <c r="CL387" s="733"/>
      <c r="CM387" s="612"/>
      <c r="CN387" s="733"/>
      <c r="CO387" s="733"/>
      <c r="CP387" s="612"/>
      <c r="CQ387" s="733"/>
      <c r="CR387" s="733"/>
      <c r="CS387" s="612"/>
      <c r="CT387" s="733"/>
      <c r="CU387" s="733"/>
      <c r="CV387" s="612"/>
      <c r="CW387" s="733"/>
      <c r="CX387" s="733"/>
      <c r="CY387" s="612"/>
      <c r="CZ387" s="733"/>
      <c r="DA387" s="733"/>
      <c r="DB387" s="612"/>
      <c r="DC387" s="733"/>
      <c r="DD387" s="733"/>
      <c r="DE387" s="612"/>
      <c r="DF387" s="733"/>
      <c r="DG387" s="733"/>
      <c r="DH387" s="1298"/>
      <c r="DI387" s="733"/>
      <c r="DJ387" s="733"/>
      <c r="DK387" s="1298"/>
      <c r="DL387" s="733"/>
      <c r="DM387" s="733"/>
      <c r="DN387" s="1298"/>
      <c r="DO387" s="733"/>
      <c r="DP387" s="733"/>
      <c r="DQ387" s="1298"/>
      <c r="DR387" s="733"/>
      <c r="DS387" s="733"/>
      <c r="DT387" s="1298"/>
      <c r="DU387" s="733"/>
      <c r="DV387" s="733"/>
      <c r="DW387" s="1298"/>
      <c r="DX387" s="733"/>
      <c r="DY387" s="733"/>
      <c r="DZ387" s="1298"/>
      <c r="EA387" s="733"/>
      <c r="EB387" s="733"/>
      <c r="EC387" s="1298"/>
      <c r="ED387" s="733"/>
      <c r="EE387" s="733"/>
      <c r="EF387" s="1298"/>
      <c r="EG387" s="733"/>
      <c r="EH387" s="733"/>
      <c r="EI387" s="1298"/>
      <c r="EJ387" s="733"/>
      <c r="EK387" s="733"/>
      <c r="EL387" s="1298"/>
      <c r="EM387" s="733"/>
      <c r="EN387" s="733"/>
      <c r="EO387" s="1298"/>
      <c r="EP387" s="733"/>
      <c r="EQ387" s="733"/>
      <c r="ER387" s="1298"/>
      <c r="ES387" s="733"/>
      <c r="ET387" s="733"/>
      <c r="EU387" s="1298"/>
      <c r="EV387" s="733"/>
      <c r="EW387" s="733"/>
      <c r="EX387" s="1298"/>
      <c r="EY387" s="733"/>
      <c r="EZ387" s="733"/>
      <c r="FA387" s="1298"/>
      <c r="FE387"/>
      <c r="FF387"/>
      <c r="FG387"/>
      <c r="FH387"/>
      <c r="FI387"/>
      <c r="FJ387"/>
      <c r="FK387" s="35"/>
    </row>
    <row r="388" spans="2:167" s="235" customFormat="1" ht="13.35" customHeight="1" outlineLevel="1">
      <c r="B388" s="401" t="s">
        <v>835</v>
      </c>
      <c r="C388" s="593"/>
      <c r="D388" s="594"/>
      <c r="E388" s="734"/>
      <c r="F388" s="735"/>
      <c r="G388" s="736"/>
      <c r="H388" s="734"/>
      <c r="I388" s="735"/>
      <c r="J388" s="736"/>
      <c r="K388" s="734"/>
      <c r="L388" s="735"/>
      <c r="M388" s="736"/>
      <c r="N388" s="734"/>
      <c r="O388" s="735"/>
      <c r="P388" s="736"/>
      <c r="Q388" s="734"/>
      <c r="R388" s="735"/>
      <c r="S388" s="736"/>
      <c r="T388" s="734"/>
      <c r="U388" s="735"/>
      <c r="V388" s="736"/>
      <c r="W388" s="734"/>
      <c r="X388" s="735"/>
      <c r="Y388" s="736"/>
      <c r="Z388" s="734"/>
      <c r="AA388" s="735"/>
      <c r="AB388" s="736"/>
      <c r="AC388" s="734"/>
      <c r="AD388" s="735"/>
      <c r="AE388" s="736"/>
      <c r="AF388" s="734"/>
      <c r="AG388" s="735"/>
      <c r="AH388" s="736"/>
      <c r="AI388" s="734"/>
      <c r="AJ388" s="735"/>
      <c r="AK388" s="736"/>
      <c r="AL388" s="734"/>
      <c r="AM388" s="735"/>
      <c r="AN388" s="736"/>
      <c r="AO388" s="734"/>
      <c r="AP388" s="735"/>
      <c r="AQ388" s="736"/>
      <c r="AR388" s="734"/>
      <c r="AS388" s="735"/>
      <c r="AT388" s="736"/>
      <c r="AU388" s="735"/>
      <c r="AV388" s="735"/>
      <c r="AW388" s="736"/>
      <c r="AX388" s="735"/>
      <c r="AY388" s="735"/>
      <c r="AZ388" s="736"/>
      <c r="BA388" s="735"/>
      <c r="BB388" s="735"/>
      <c r="BC388" s="736"/>
      <c r="BD388" s="735"/>
      <c r="BE388" s="735"/>
      <c r="BF388" s="736"/>
      <c r="BG388" s="735"/>
      <c r="BH388" s="735"/>
      <c r="BI388" s="736"/>
      <c r="BJ388" s="735"/>
      <c r="BK388" s="735"/>
      <c r="BL388" s="736"/>
      <c r="BM388" s="735"/>
      <c r="BN388" s="735"/>
      <c r="BO388" s="737"/>
      <c r="BP388" s="735"/>
      <c r="BQ388" s="735"/>
      <c r="BR388" s="737"/>
      <c r="BS388" s="738">
        <v>180</v>
      </c>
      <c r="BT388" s="735"/>
      <c r="BU388" s="737"/>
      <c r="BV388" s="735"/>
      <c r="BW388" s="735"/>
      <c r="BX388" s="737"/>
      <c r="BY388" s="735"/>
      <c r="BZ388" s="735"/>
      <c r="CA388" s="737"/>
      <c r="CB388" s="735"/>
      <c r="CC388" s="735"/>
      <c r="CD388" s="739"/>
      <c r="CE388" s="740"/>
      <c r="CF388" s="740"/>
      <c r="CG388" s="739"/>
      <c r="CH388" s="740"/>
      <c r="CI388" s="740"/>
      <c r="CJ388" s="739"/>
      <c r="CK388" s="740"/>
      <c r="CL388" s="740"/>
      <c r="CM388" s="739"/>
      <c r="CN388" s="740"/>
      <c r="CO388" s="740"/>
      <c r="CP388" s="739"/>
      <c r="CQ388" s="740"/>
      <c r="CR388" s="740"/>
      <c r="CS388" s="739"/>
      <c r="CT388" s="740"/>
      <c r="CU388" s="740"/>
      <c r="CV388" s="739"/>
      <c r="CW388" s="740"/>
      <c r="CX388" s="740"/>
      <c r="CY388" s="739"/>
      <c r="CZ388" s="740"/>
      <c r="DA388" s="740"/>
      <c r="DB388" s="739"/>
      <c r="DC388" s="740"/>
      <c r="DD388" s="740"/>
      <c r="DE388" s="739"/>
      <c r="DF388" s="740">
        <v>182.50000000001333</v>
      </c>
      <c r="DG388" s="740">
        <v>85.259446728779068</v>
      </c>
      <c r="DH388" s="1306"/>
      <c r="DI388" s="740"/>
      <c r="DJ388" s="740"/>
      <c r="DK388" s="1306"/>
      <c r="DL388" s="740"/>
      <c r="DM388" s="740"/>
      <c r="DN388" s="1306"/>
      <c r="DO388" s="740"/>
      <c r="DP388" s="740"/>
      <c r="DQ388" s="1306"/>
      <c r="DR388" s="740"/>
      <c r="DS388" s="740"/>
      <c r="DT388" s="1306"/>
      <c r="DU388" s="740"/>
      <c r="DV388" s="740">
        <v>182.5</v>
      </c>
      <c r="DW388" s="1306"/>
      <c r="DX388" s="740">
        <v>182.5</v>
      </c>
      <c r="DY388" s="740">
        <v>182.5</v>
      </c>
      <c r="DZ388" s="1306"/>
      <c r="EA388" s="740">
        <v>182.5</v>
      </c>
      <c r="EB388" s="740">
        <v>182.5</v>
      </c>
      <c r="EC388" s="1306"/>
      <c r="ED388" s="740"/>
      <c r="EE388" s="740"/>
      <c r="EF388" s="1306"/>
      <c r="EG388" s="740"/>
      <c r="EH388" s="740"/>
      <c r="EI388" s="1306"/>
      <c r="EJ388" s="740"/>
      <c r="EK388" s="740"/>
      <c r="EL388" s="1306"/>
      <c r="EM388" s="740"/>
      <c r="EN388" s="740"/>
      <c r="EO388" s="1306"/>
      <c r="EP388" s="740"/>
      <c r="EQ388" s="740"/>
      <c r="ER388" s="1306"/>
      <c r="ES388" s="740"/>
      <c r="ET388" s="740"/>
      <c r="EU388" s="1306"/>
      <c r="EV388" s="740"/>
      <c r="EW388" s="740"/>
      <c r="EX388" s="1306"/>
      <c r="EY388" s="740"/>
      <c r="EZ388" s="740"/>
      <c r="FA388" s="1306"/>
      <c r="FE388"/>
      <c r="FF388"/>
      <c r="FG388"/>
      <c r="FH388"/>
      <c r="FI388"/>
      <c r="FJ388"/>
      <c r="FK388" s="35"/>
    </row>
    <row r="389" spans="2:167" s="235" customFormat="1" ht="13.35" customHeight="1" outlineLevel="1">
      <c r="B389" s="401" t="s">
        <v>836</v>
      </c>
      <c r="C389" s="593"/>
      <c r="D389" s="594"/>
      <c r="E389" s="734"/>
      <c r="F389" s="735"/>
      <c r="G389" s="736"/>
      <c r="H389" s="734"/>
      <c r="I389" s="735"/>
      <c r="J389" s="736"/>
      <c r="K389" s="734"/>
      <c r="L389" s="735"/>
      <c r="M389" s="736"/>
      <c r="N389" s="734"/>
      <c r="O389" s="735"/>
      <c r="P389" s="736"/>
      <c r="Q389" s="734"/>
      <c r="R389" s="735"/>
      <c r="S389" s="736"/>
      <c r="T389" s="734"/>
      <c r="U389" s="735"/>
      <c r="V389" s="736"/>
      <c r="W389" s="734"/>
      <c r="X389" s="735"/>
      <c r="Y389" s="736"/>
      <c r="Z389" s="734"/>
      <c r="AA389" s="735"/>
      <c r="AB389" s="736"/>
      <c r="AC389" s="734"/>
      <c r="AD389" s="735"/>
      <c r="AE389" s="736"/>
      <c r="AF389" s="734"/>
      <c r="AG389" s="735"/>
      <c r="AH389" s="736"/>
      <c r="AI389" s="734"/>
      <c r="AJ389" s="735"/>
      <c r="AK389" s="736"/>
      <c r="AL389" s="734"/>
      <c r="AM389" s="735"/>
      <c r="AN389" s="736"/>
      <c r="AO389" s="734"/>
      <c r="AP389" s="735"/>
      <c r="AQ389" s="736"/>
      <c r="AR389" s="734"/>
      <c r="AS389" s="735"/>
      <c r="AT389" s="736"/>
      <c r="AU389" s="735"/>
      <c r="AV389" s="735"/>
      <c r="AW389" s="736"/>
      <c r="AX389" s="735"/>
      <c r="AY389" s="735"/>
      <c r="AZ389" s="736"/>
      <c r="BA389" s="735"/>
      <c r="BB389" s="735"/>
      <c r="BC389" s="736"/>
      <c r="BD389" s="735"/>
      <c r="BE389" s="735"/>
      <c r="BF389" s="736"/>
      <c r="BG389" s="735"/>
      <c r="BH389" s="735"/>
      <c r="BI389" s="736"/>
      <c r="BJ389" s="735"/>
      <c r="BK389" s="735"/>
      <c r="BL389" s="736"/>
      <c r="BM389" s="735"/>
      <c r="BN389" s="735"/>
      <c r="BO389" s="737"/>
      <c r="BP389" s="735"/>
      <c r="BQ389" s="735"/>
      <c r="BR389" s="737"/>
      <c r="BS389" s="735"/>
      <c r="BT389" s="735"/>
      <c r="BU389" s="737"/>
      <c r="BV389" s="735"/>
      <c r="BW389" s="735"/>
      <c r="BX389" s="737"/>
      <c r="BY389" s="735"/>
      <c r="BZ389" s="735"/>
      <c r="CA389" s="737"/>
      <c r="CB389" s="735"/>
      <c r="CC389" s="735"/>
      <c r="CD389" s="739"/>
      <c r="CE389" s="740"/>
      <c r="CF389" s="740"/>
      <c r="CG389" s="739"/>
      <c r="CH389" s="740"/>
      <c r="CI389" s="740"/>
      <c r="CJ389" s="739"/>
      <c r="CK389" s="740"/>
      <c r="CL389" s="740"/>
      <c r="CM389" s="739"/>
      <c r="CN389" s="740"/>
      <c r="CO389" s="740"/>
      <c r="CP389" s="739"/>
      <c r="CQ389" s="740"/>
      <c r="CR389" s="740"/>
      <c r="CS389" s="739"/>
      <c r="CT389" s="740"/>
      <c r="CU389" s="740"/>
      <c r="CV389" s="739"/>
      <c r="CW389" s="740"/>
      <c r="CX389" s="740"/>
      <c r="CY389" s="739"/>
      <c r="CZ389" s="740"/>
      <c r="DA389" s="740"/>
      <c r="DB389" s="739"/>
      <c r="DC389" s="740"/>
      <c r="DD389" s="740"/>
      <c r="DE389" s="739"/>
      <c r="DF389" s="740"/>
      <c r="DG389" s="740"/>
      <c r="DH389" s="1306"/>
      <c r="DI389" s="740"/>
      <c r="DJ389" s="740"/>
      <c r="DK389" s="1306"/>
      <c r="DL389" s="740"/>
      <c r="DM389" s="740"/>
      <c r="DN389" s="1306"/>
      <c r="DO389" s="740"/>
      <c r="DP389" s="740"/>
      <c r="DQ389" s="1306"/>
      <c r="DR389" s="740"/>
      <c r="DS389" s="740"/>
      <c r="DT389" s="1306"/>
      <c r="DU389" s="740"/>
      <c r="DV389" s="740"/>
      <c r="DW389" s="1306"/>
      <c r="DX389" s="740"/>
      <c r="DY389" s="740"/>
      <c r="DZ389" s="1306"/>
      <c r="EA389" s="740"/>
      <c r="EB389" s="740"/>
      <c r="EC389" s="1306"/>
      <c r="ED389" s="740"/>
      <c r="EE389" s="740"/>
      <c r="EF389" s="1306"/>
      <c r="EG389" s="740"/>
      <c r="EH389" s="740"/>
      <c r="EI389" s="1306"/>
      <c r="EJ389" s="740"/>
      <c r="EK389" s="740"/>
      <c r="EL389" s="1306"/>
      <c r="EM389" s="740"/>
      <c r="EN389" s="740"/>
      <c r="EO389" s="1306"/>
      <c r="EP389" s="740"/>
      <c r="EQ389" s="740"/>
      <c r="ER389" s="1306"/>
      <c r="ES389" s="740"/>
      <c r="ET389" s="740"/>
      <c r="EU389" s="1306"/>
      <c r="EV389" s="740"/>
      <c r="EW389" s="740"/>
      <c r="EX389" s="1306"/>
      <c r="EY389" s="740"/>
      <c r="EZ389" s="740"/>
      <c r="FA389" s="1306"/>
      <c r="FE389"/>
      <c r="FF389"/>
      <c r="FG389"/>
      <c r="FH389"/>
      <c r="FI389"/>
      <c r="FJ389"/>
      <c r="FK389" s="35"/>
    </row>
    <row r="390" spans="2:167" s="235" customFormat="1" ht="13.35" customHeight="1" outlineLevel="1">
      <c r="B390" s="401" t="s">
        <v>837</v>
      </c>
      <c r="C390" s="593"/>
      <c r="D390" s="594"/>
      <c r="E390" s="734"/>
      <c r="F390" s="735"/>
      <c r="G390" s="736"/>
      <c r="H390" s="734"/>
      <c r="I390" s="735"/>
      <c r="J390" s="736"/>
      <c r="K390" s="734"/>
      <c r="L390" s="735"/>
      <c r="M390" s="736"/>
      <c r="N390" s="734"/>
      <c r="O390" s="735"/>
      <c r="P390" s="736"/>
      <c r="Q390" s="734"/>
      <c r="R390" s="735"/>
      <c r="S390" s="736"/>
      <c r="T390" s="734"/>
      <c r="U390" s="735"/>
      <c r="V390" s="736"/>
      <c r="W390" s="734"/>
      <c r="X390" s="735"/>
      <c r="Y390" s="736"/>
      <c r="Z390" s="734"/>
      <c r="AA390" s="735"/>
      <c r="AB390" s="736"/>
      <c r="AC390" s="734"/>
      <c r="AD390" s="735"/>
      <c r="AE390" s="736"/>
      <c r="AF390" s="734"/>
      <c r="AG390" s="735"/>
      <c r="AH390" s="736"/>
      <c r="AI390" s="734"/>
      <c r="AJ390" s="735"/>
      <c r="AK390" s="736"/>
      <c r="AL390" s="734"/>
      <c r="AM390" s="735"/>
      <c r="AN390" s="736"/>
      <c r="AO390" s="734"/>
      <c r="AP390" s="735"/>
      <c r="AQ390" s="736"/>
      <c r="AR390" s="734"/>
      <c r="AS390" s="735"/>
      <c r="AT390" s="736"/>
      <c r="AU390" s="735"/>
      <c r="AV390" s="735"/>
      <c r="AW390" s="736"/>
      <c r="AX390" s="735"/>
      <c r="AY390" s="735"/>
      <c r="AZ390" s="736"/>
      <c r="BA390" s="735"/>
      <c r="BB390" s="735"/>
      <c r="BC390" s="736"/>
      <c r="BD390" s="735"/>
      <c r="BE390" s="735"/>
      <c r="BF390" s="736"/>
      <c r="BG390" s="735"/>
      <c r="BH390" s="735"/>
      <c r="BI390" s="736"/>
      <c r="BJ390" s="735"/>
      <c r="BK390" s="735"/>
      <c r="BL390" s="736"/>
      <c r="BM390" s="735"/>
      <c r="BN390" s="735"/>
      <c r="BO390" s="737"/>
      <c r="BP390" s="735"/>
      <c r="BQ390" s="735"/>
      <c r="BR390" s="737"/>
      <c r="BS390" s="735"/>
      <c r="BT390" s="735"/>
      <c r="BU390" s="737"/>
      <c r="BV390" s="735"/>
      <c r="BW390" s="735"/>
      <c r="BX390" s="737"/>
      <c r="BY390" s="735"/>
      <c r="BZ390" s="735"/>
      <c r="CA390" s="737"/>
      <c r="CB390" s="735"/>
      <c r="CC390" s="735"/>
      <c r="CD390" s="739"/>
      <c r="CE390" s="740"/>
      <c r="CF390" s="740"/>
      <c r="CG390" s="739"/>
      <c r="CH390" s="740"/>
      <c r="CI390" s="740"/>
      <c r="CJ390" s="739"/>
      <c r="CK390" s="740"/>
      <c r="CL390" s="740"/>
      <c r="CM390" s="739"/>
      <c r="CN390" s="740"/>
      <c r="CO390" s="740"/>
      <c r="CP390" s="739"/>
      <c r="CQ390" s="740"/>
      <c r="CR390" s="740"/>
      <c r="CS390" s="739"/>
      <c r="CT390" s="740"/>
      <c r="CU390" s="740"/>
      <c r="CV390" s="739"/>
      <c r="CW390" s="740"/>
      <c r="CX390" s="740"/>
      <c r="CY390" s="739"/>
      <c r="CZ390" s="740"/>
      <c r="DA390" s="740"/>
      <c r="DB390" s="739"/>
      <c r="DC390" s="740"/>
      <c r="DD390" s="740"/>
      <c r="DE390" s="739"/>
      <c r="DF390" s="740"/>
      <c r="DG390" s="740"/>
      <c r="DH390" s="1306"/>
      <c r="DI390" s="740"/>
      <c r="DJ390" s="740"/>
      <c r="DK390" s="1306"/>
      <c r="DL390" s="740"/>
      <c r="DM390" s="740"/>
      <c r="DN390" s="1306"/>
      <c r="DO390" s="740"/>
      <c r="DP390" s="740"/>
      <c r="DQ390" s="1306"/>
      <c r="DR390" s="740"/>
      <c r="DS390" s="740"/>
      <c r="DT390" s="1306"/>
      <c r="DU390" s="740"/>
      <c r="DV390" s="740"/>
      <c r="DW390" s="1306"/>
      <c r="DX390" s="740"/>
      <c r="DY390" s="740"/>
      <c r="DZ390" s="1306"/>
      <c r="EA390" s="740"/>
      <c r="EB390" s="740"/>
      <c r="EC390" s="1306"/>
      <c r="ED390" s="740"/>
      <c r="EE390" s="740"/>
      <c r="EF390" s="1306"/>
      <c r="EG390" s="740"/>
      <c r="EH390" s="740"/>
      <c r="EI390" s="1306"/>
      <c r="EJ390" s="740"/>
      <c r="EK390" s="740"/>
      <c r="EL390" s="1306"/>
      <c r="EM390" s="740"/>
      <c r="EN390" s="740"/>
      <c r="EO390" s="1306"/>
      <c r="EP390" s="740"/>
      <c r="EQ390" s="740"/>
      <c r="ER390" s="1306"/>
      <c r="ES390" s="740"/>
      <c r="ET390" s="740"/>
      <c r="EU390" s="1306"/>
      <c r="EV390" s="740"/>
      <c r="EW390" s="740"/>
      <c r="EX390" s="1306"/>
      <c r="EY390" s="740"/>
      <c r="EZ390" s="740"/>
      <c r="FA390" s="1306"/>
      <c r="FE390"/>
      <c r="FF390"/>
      <c r="FG390"/>
      <c r="FH390"/>
      <c r="FI390"/>
      <c r="FJ390"/>
      <c r="FK390" s="35"/>
    </row>
    <row r="391" spans="2:167" s="235" customFormat="1" ht="13.35" customHeight="1" outlineLevel="1">
      <c r="B391" s="401" t="s">
        <v>859</v>
      </c>
      <c r="C391" s="593"/>
      <c r="D391" s="594"/>
      <c r="E391" s="734"/>
      <c r="F391" s="735"/>
      <c r="G391" s="736"/>
      <c r="H391" s="734"/>
      <c r="I391" s="735"/>
      <c r="J391" s="736"/>
      <c r="K391" s="734"/>
      <c r="L391" s="735"/>
      <c r="M391" s="736"/>
      <c r="N391" s="734"/>
      <c r="O391" s="735"/>
      <c r="P391" s="736"/>
      <c r="Q391" s="734"/>
      <c r="R391" s="735"/>
      <c r="S391" s="736"/>
      <c r="T391" s="734"/>
      <c r="U391" s="735"/>
      <c r="V391" s="736"/>
      <c r="W391" s="734"/>
      <c r="X391" s="735"/>
      <c r="Y391" s="736"/>
      <c r="Z391" s="734"/>
      <c r="AA391" s="735"/>
      <c r="AB391" s="736"/>
      <c r="AC391" s="734"/>
      <c r="AD391" s="735"/>
      <c r="AE391" s="736"/>
      <c r="AF391" s="734"/>
      <c r="AG391" s="735"/>
      <c r="AH391" s="736"/>
      <c r="AI391" s="734"/>
      <c r="AJ391" s="735"/>
      <c r="AK391" s="736"/>
      <c r="AL391" s="734"/>
      <c r="AM391" s="735"/>
      <c r="AN391" s="736"/>
      <c r="AO391" s="734"/>
      <c r="AP391" s="735"/>
      <c r="AQ391" s="736"/>
      <c r="AR391" s="734"/>
      <c r="AS391" s="735"/>
      <c r="AT391" s="736"/>
      <c r="AU391" s="738">
        <v>68.984700000000004</v>
      </c>
      <c r="AV391" s="735"/>
      <c r="AW391" s="736"/>
      <c r="AX391" s="738">
        <v>92.242000000000004</v>
      </c>
      <c r="AY391" s="738">
        <v>130</v>
      </c>
      <c r="AZ391" s="736"/>
      <c r="BA391" s="738">
        <v>86</v>
      </c>
      <c r="BB391" s="738">
        <v>90</v>
      </c>
      <c r="BC391" s="736"/>
      <c r="BD391" s="735"/>
      <c r="BE391" s="738">
        <v>180</v>
      </c>
      <c r="BF391" s="736"/>
      <c r="BG391" s="735"/>
      <c r="BH391" s="738">
        <v>180</v>
      </c>
      <c r="BI391" s="736"/>
      <c r="BJ391" s="738">
        <v>180</v>
      </c>
      <c r="BK391" s="735"/>
      <c r="BL391" s="736"/>
      <c r="BM391" s="735"/>
      <c r="BN391" s="735"/>
      <c r="BO391" s="737"/>
      <c r="BP391" s="735"/>
      <c r="BQ391" s="735"/>
      <c r="BR391" s="737"/>
      <c r="BS391" s="735"/>
      <c r="BT391" s="735"/>
      <c r="BU391" s="737"/>
      <c r="BV391" s="735"/>
      <c r="BW391" s="735"/>
      <c r="BX391" s="737"/>
      <c r="BY391" s="735"/>
      <c r="BZ391" s="735"/>
      <c r="CA391" s="737"/>
      <c r="CB391" s="738">
        <v>182.5</v>
      </c>
      <c r="CC391" s="735"/>
      <c r="CD391" s="739"/>
      <c r="CE391" s="738">
        <v>182.5</v>
      </c>
      <c r="CF391" s="740"/>
      <c r="CG391" s="739"/>
      <c r="CH391" s="738">
        <v>181.8</v>
      </c>
      <c r="CI391" s="740"/>
      <c r="CJ391" s="739"/>
      <c r="CK391" s="738">
        <v>180</v>
      </c>
      <c r="CL391" s="738">
        <v>182.5</v>
      </c>
      <c r="CM391" s="739">
        <f>CL391</f>
        <v>182.5</v>
      </c>
      <c r="CN391" s="738">
        <v>182.5</v>
      </c>
      <c r="CO391" s="740"/>
      <c r="CP391" s="739"/>
      <c r="CQ391" s="738">
        <v>180</v>
      </c>
      <c r="CR391" s="740"/>
      <c r="CS391" s="739"/>
      <c r="CT391" s="738">
        <v>180</v>
      </c>
      <c r="CU391" s="738">
        <v>180</v>
      </c>
      <c r="CV391" s="739"/>
      <c r="CW391" s="740"/>
      <c r="CX391" s="740"/>
      <c r="CY391" s="739"/>
      <c r="CZ391" s="740"/>
      <c r="DA391" s="740"/>
      <c r="DB391" s="739"/>
      <c r="DC391" s="740">
        <v>181.8</v>
      </c>
      <c r="DD391" s="740">
        <v>182.38127009059002</v>
      </c>
      <c r="DE391" s="739"/>
      <c r="DF391" s="740"/>
      <c r="DG391" s="740"/>
      <c r="DH391" s="1306"/>
      <c r="DI391" s="740"/>
      <c r="DJ391" s="740"/>
      <c r="DK391" s="1306"/>
      <c r="DL391" s="740"/>
      <c r="DM391" s="740"/>
      <c r="DN391" s="1306"/>
      <c r="DO391" s="740"/>
      <c r="DP391" s="740"/>
      <c r="DQ391" s="1306"/>
      <c r="DR391" s="740"/>
      <c r="DS391" s="740"/>
      <c r="DT391" s="1306"/>
      <c r="DU391" s="740"/>
      <c r="DV391" s="740"/>
      <c r="DW391" s="1306"/>
      <c r="DX391" s="740"/>
      <c r="DY391" s="740"/>
      <c r="DZ391" s="1306"/>
      <c r="EA391" s="740"/>
      <c r="EB391" s="740"/>
      <c r="EC391" s="1306"/>
      <c r="ED391" s="740"/>
      <c r="EE391" s="740"/>
      <c r="EF391" s="1306"/>
      <c r="EG391" s="740"/>
      <c r="EH391" s="740"/>
      <c r="EI391" s="1306"/>
      <c r="EJ391" s="740"/>
      <c r="EK391" s="740"/>
      <c r="EL391" s="1306"/>
      <c r="EM391" s="740"/>
      <c r="EN391" s="740"/>
      <c r="EO391" s="1306"/>
      <c r="EP391" s="740"/>
      <c r="EQ391" s="740"/>
      <c r="ER391" s="1306"/>
      <c r="ES391" s="740"/>
      <c r="ET391" s="740"/>
      <c r="EU391" s="1306"/>
      <c r="EV391" s="740"/>
      <c r="EW391" s="740"/>
      <c r="EX391" s="1306"/>
      <c r="EY391" s="740"/>
      <c r="EZ391" s="740"/>
      <c r="FA391" s="1306"/>
      <c r="FE391"/>
      <c r="FF391"/>
      <c r="FG391"/>
      <c r="FH391"/>
      <c r="FI391"/>
      <c r="FJ391"/>
      <c r="FK391" s="35"/>
    </row>
    <row r="392" spans="2:167" s="235" customFormat="1" ht="13.35" customHeight="1" outlineLevel="1">
      <c r="B392" s="401" t="s">
        <v>154</v>
      </c>
      <c r="C392" s="593"/>
      <c r="D392" s="594"/>
      <c r="E392" s="734"/>
      <c r="F392" s="735"/>
      <c r="G392" s="736"/>
      <c r="H392" s="734"/>
      <c r="I392" s="735"/>
      <c r="J392" s="736"/>
      <c r="K392" s="734"/>
      <c r="L392" s="735"/>
      <c r="M392" s="736"/>
      <c r="N392" s="734"/>
      <c r="O392" s="735"/>
      <c r="P392" s="736"/>
      <c r="Q392" s="734"/>
      <c r="R392" s="735"/>
      <c r="S392" s="736"/>
      <c r="T392" s="734"/>
      <c r="U392" s="735"/>
      <c r="V392" s="736"/>
      <c r="W392" s="734"/>
      <c r="X392" s="735"/>
      <c r="Y392" s="736"/>
      <c r="Z392" s="734"/>
      <c r="AA392" s="735"/>
      <c r="AB392" s="736"/>
      <c r="AC392" s="734"/>
      <c r="AD392" s="735"/>
      <c r="AE392" s="736"/>
      <c r="AF392" s="734"/>
      <c r="AG392" s="735"/>
      <c r="AH392" s="736"/>
      <c r="AI392" s="734"/>
      <c r="AJ392" s="735"/>
      <c r="AK392" s="736"/>
      <c r="AL392" s="734"/>
      <c r="AM392" s="735"/>
      <c r="AN392" s="736"/>
      <c r="AO392" s="734"/>
      <c r="AP392" s="735"/>
      <c r="AQ392" s="736"/>
      <c r="AR392" s="734"/>
      <c r="AS392" s="735"/>
      <c r="AT392" s="736"/>
      <c r="AU392" s="735"/>
      <c r="AV392" s="735"/>
      <c r="AW392" s="736"/>
      <c r="AX392" s="735"/>
      <c r="AY392" s="735"/>
      <c r="AZ392" s="736"/>
      <c r="BA392" s="735"/>
      <c r="BB392" s="735"/>
      <c r="BC392" s="736"/>
      <c r="BD392" s="735"/>
      <c r="BE392" s="735"/>
      <c r="BF392" s="736"/>
      <c r="BG392" s="735"/>
      <c r="BH392" s="735"/>
      <c r="BI392" s="736"/>
      <c r="BJ392" s="735"/>
      <c r="BK392" s="735"/>
      <c r="BL392" s="736"/>
      <c r="BM392" s="735"/>
      <c r="BN392" s="735"/>
      <c r="BO392" s="737"/>
      <c r="BP392" s="735"/>
      <c r="BQ392" s="735"/>
      <c r="BR392" s="737"/>
      <c r="BS392" s="735"/>
      <c r="BT392" s="735"/>
      <c r="BU392" s="737"/>
      <c r="BV392" s="735"/>
      <c r="BW392" s="735"/>
      <c r="BX392" s="737"/>
      <c r="BY392" s="735"/>
      <c r="BZ392" s="735"/>
      <c r="CA392" s="737"/>
      <c r="CB392" s="735"/>
      <c r="CC392" s="735"/>
      <c r="CD392" s="739"/>
      <c r="CE392" s="740"/>
      <c r="CF392" s="740"/>
      <c r="CG392" s="739"/>
      <c r="CH392" s="740"/>
      <c r="CI392" s="740"/>
      <c r="CJ392" s="739"/>
      <c r="CK392" s="740"/>
      <c r="CL392" s="740"/>
      <c r="CM392" s="739"/>
      <c r="CN392" s="740"/>
      <c r="CO392" s="740"/>
      <c r="CP392" s="739"/>
      <c r="CQ392" s="740"/>
      <c r="CR392" s="740"/>
      <c r="CS392" s="739"/>
      <c r="CT392" s="740"/>
      <c r="CU392" s="740"/>
      <c r="CV392" s="739"/>
      <c r="CW392" s="740"/>
      <c r="CX392" s="740"/>
      <c r="CY392" s="739"/>
      <c r="CZ392" s="740"/>
      <c r="DA392" s="740"/>
      <c r="DB392" s="739"/>
      <c r="DC392" s="740"/>
      <c r="DD392" s="740"/>
      <c r="DE392" s="739"/>
      <c r="DF392" s="740"/>
      <c r="DG392" s="740"/>
      <c r="DH392" s="1306"/>
      <c r="DI392" s="740"/>
      <c r="DJ392" s="740"/>
      <c r="DK392" s="1306"/>
      <c r="DL392" s="740"/>
      <c r="DM392" s="740"/>
      <c r="DN392" s="1306"/>
      <c r="DO392" s="740"/>
      <c r="DP392" s="740"/>
      <c r="DQ392" s="1306"/>
      <c r="DR392" s="740"/>
      <c r="DS392" s="740"/>
      <c r="DT392" s="1306"/>
      <c r="DU392" s="740"/>
      <c r="DV392" s="740"/>
      <c r="DW392" s="1306"/>
      <c r="DX392" s="740"/>
      <c r="DY392" s="740"/>
      <c r="DZ392" s="1306"/>
      <c r="EA392" s="740"/>
      <c r="EB392" s="740"/>
      <c r="EC392" s="1306"/>
      <c r="ED392" s="740"/>
      <c r="EE392" s="740"/>
      <c r="EF392" s="1306"/>
      <c r="EG392" s="740"/>
      <c r="EH392" s="740"/>
      <c r="EI392" s="1306"/>
      <c r="EJ392" s="740"/>
      <c r="EK392" s="740"/>
      <c r="EL392" s="1306"/>
      <c r="EM392" s="740"/>
      <c r="EN392" s="740"/>
      <c r="EO392" s="1306"/>
      <c r="EP392" s="740"/>
      <c r="EQ392" s="740"/>
      <c r="ER392" s="1306"/>
      <c r="ES392" s="740"/>
      <c r="ET392" s="740"/>
      <c r="EU392" s="1306"/>
      <c r="EV392" s="740"/>
      <c r="EW392" s="740"/>
      <c r="EX392" s="1306"/>
      <c r="EY392" s="740"/>
      <c r="EZ392" s="740"/>
      <c r="FA392" s="1306"/>
      <c r="FE392"/>
      <c r="FF392"/>
      <c r="FG392"/>
      <c r="FH392"/>
      <c r="FI392"/>
      <c r="FJ392"/>
      <c r="FK392" s="35"/>
    </row>
    <row r="393" spans="2:167" s="235" customFormat="1" ht="13.35" customHeight="1" outlineLevel="1">
      <c r="B393" s="401" t="s">
        <v>520</v>
      </c>
      <c r="C393" s="593"/>
      <c r="D393" s="594"/>
      <c r="E393" s="734"/>
      <c r="F393" s="735"/>
      <c r="G393" s="736"/>
      <c r="H393" s="734"/>
      <c r="I393" s="735"/>
      <c r="J393" s="736"/>
      <c r="K393" s="734"/>
      <c r="L393" s="735"/>
      <c r="M393" s="736"/>
      <c r="N393" s="734"/>
      <c r="O393" s="735"/>
      <c r="P393" s="736"/>
      <c r="Q393" s="734"/>
      <c r="R393" s="735"/>
      <c r="S393" s="736"/>
      <c r="T393" s="734"/>
      <c r="U393" s="735"/>
      <c r="V393" s="736"/>
      <c r="W393" s="734"/>
      <c r="X393" s="735"/>
      <c r="Y393" s="736"/>
      <c r="Z393" s="734"/>
      <c r="AA393" s="735"/>
      <c r="AB393" s="736"/>
      <c r="AC393" s="734"/>
      <c r="AD393" s="735"/>
      <c r="AE393" s="736"/>
      <c r="AF393" s="734"/>
      <c r="AG393" s="735"/>
      <c r="AH393" s="736"/>
      <c r="AI393" s="734"/>
      <c r="AJ393" s="735"/>
      <c r="AK393" s="736"/>
      <c r="AL393" s="734"/>
      <c r="AM393" s="735"/>
      <c r="AN393" s="736"/>
      <c r="AO393" s="734"/>
      <c r="AP393" s="735"/>
      <c r="AQ393" s="736"/>
      <c r="AR393" s="734"/>
      <c r="AS393" s="735"/>
      <c r="AT393" s="736"/>
      <c r="AU393" s="735"/>
      <c r="AV393" s="735"/>
      <c r="AW393" s="736"/>
      <c r="AX393" s="735"/>
      <c r="AY393" s="735"/>
      <c r="AZ393" s="736"/>
      <c r="BA393" s="735"/>
      <c r="BB393" s="735"/>
      <c r="BC393" s="736"/>
      <c r="BD393" s="735"/>
      <c r="BE393" s="735"/>
      <c r="BF393" s="736"/>
      <c r="BG393" s="735"/>
      <c r="BH393" s="735"/>
      <c r="BI393" s="736"/>
      <c r="BJ393" s="735"/>
      <c r="BK393" s="735"/>
      <c r="BL393" s="736"/>
      <c r="BM393" s="735"/>
      <c r="BN393" s="735"/>
      <c r="BO393" s="737"/>
      <c r="BP393" s="735"/>
      <c r="BQ393" s="735"/>
      <c r="BR393" s="737"/>
      <c r="BS393" s="735"/>
      <c r="BT393" s="735"/>
      <c r="BU393" s="737"/>
      <c r="BV393" s="735"/>
      <c r="BW393" s="735"/>
      <c r="BX393" s="737"/>
      <c r="BY393" s="735"/>
      <c r="BZ393" s="735"/>
      <c r="CA393" s="737"/>
      <c r="CB393" s="735"/>
      <c r="CC393" s="735"/>
      <c r="CD393" s="739"/>
      <c r="CE393" s="740"/>
      <c r="CF393" s="740"/>
      <c r="CG393" s="739"/>
      <c r="CH393" s="740"/>
      <c r="CI393" s="740"/>
      <c r="CJ393" s="739"/>
      <c r="CK393" s="740"/>
      <c r="CL393" s="740"/>
      <c r="CM393" s="739"/>
      <c r="CN393" s="740"/>
      <c r="CO393" s="740"/>
      <c r="CP393" s="739"/>
      <c r="CQ393" s="740"/>
      <c r="CR393" s="740"/>
      <c r="CS393" s="739"/>
      <c r="CT393" s="740"/>
      <c r="CU393" s="740"/>
      <c r="CV393" s="739"/>
      <c r="CW393" s="740"/>
      <c r="CX393" s="740"/>
      <c r="CY393" s="739"/>
      <c r="CZ393" s="740"/>
      <c r="DA393" s="740"/>
      <c r="DB393" s="739"/>
      <c r="DC393" s="740"/>
      <c r="DD393" s="740"/>
      <c r="DE393" s="739"/>
      <c r="DF393" s="740"/>
      <c r="DG393" s="740"/>
      <c r="DH393" s="1306"/>
      <c r="DI393" s="740"/>
      <c r="DJ393" s="740"/>
      <c r="DK393" s="1306"/>
      <c r="DL393" s="740"/>
      <c r="DM393" s="740"/>
      <c r="DN393" s="1306"/>
      <c r="DO393" s="740"/>
      <c r="DP393" s="740"/>
      <c r="DQ393" s="1306"/>
      <c r="DR393" s="740"/>
      <c r="DS393" s="740"/>
      <c r="DT393" s="1306"/>
      <c r="DU393" s="740"/>
      <c r="DV393" s="740"/>
      <c r="DW393" s="1306"/>
      <c r="DX393" s="740"/>
      <c r="DY393" s="740"/>
      <c r="DZ393" s="1306"/>
      <c r="EA393" s="740"/>
      <c r="EB393" s="740"/>
      <c r="EC393" s="1306"/>
      <c r="ED393" s="740"/>
      <c r="EE393" s="740"/>
      <c r="EF393" s="1306"/>
      <c r="EG393" s="740"/>
      <c r="EH393" s="740"/>
      <c r="EI393" s="1306"/>
      <c r="EJ393" s="740"/>
      <c r="EK393" s="740"/>
      <c r="EL393" s="1306"/>
      <c r="EM393" s="740"/>
      <c r="EN393" s="740"/>
      <c r="EO393" s="1306"/>
      <c r="EP393" s="740"/>
      <c r="EQ393" s="740"/>
      <c r="ER393" s="1306"/>
      <c r="ES393" s="740"/>
      <c r="ET393" s="740"/>
      <c r="EU393" s="1306"/>
      <c r="EV393" s="740"/>
      <c r="EW393" s="740"/>
      <c r="EX393" s="1306"/>
      <c r="EY393" s="740"/>
      <c r="EZ393" s="740"/>
      <c r="FA393" s="1306"/>
      <c r="FE393"/>
      <c r="FF393"/>
      <c r="FG393"/>
      <c r="FH393"/>
      <c r="FI393"/>
      <c r="FJ393"/>
      <c r="FK393" s="35"/>
    </row>
    <row r="394" spans="2:167" s="235" customFormat="1" ht="13.35" customHeight="1" outlineLevel="1" thickBot="1">
      <c r="B394" s="401" t="s">
        <v>521</v>
      </c>
      <c r="C394" s="593"/>
      <c r="D394" s="594"/>
      <c r="E394" s="734"/>
      <c r="F394" s="735"/>
      <c r="G394" s="736"/>
      <c r="H394" s="734"/>
      <c r="I394" s="735"/>
      <c r="J394" s="736"/>
      <c r="K394" s="734"/>
      <c r="L394" s="735"/>
      <c r="M394" s="736"/>
      <c r="N394" s="734"/>
      <c r="O394" s="735"/>
      <c r="P394" s="736"/>
      <c r="Q394" s="734"/>
      <c r="R394" s="735"/>
      <c r="S394" s="736"/>
      <c r="T394" s="734"/>
      <c r="U394" s="735"/>
      <c r="V394" s="736"/>
      <c r="W394" s="734"/>
      <c r="X394" s="735"/>
      <c r="Y394" s="736"/>
      <c r="Z394" s="734"/>
      <c r="AA394" s="735"/>
      <c r="AB394" s="736"/>
      <c r="AC394" s="734"/>
      <c r="AD394" s="735"/>
      <c r="AE394" s="736"/>
      <c r="AF394" s="734"/>
      <c r="AG394" s="735"/>
      <c r="AH394" s="736"/>
      <c r="AI394" s="734"/>
      <c r="AJ394" s="735"/>
      <c r="AK394" s="736"/>
      <c r="AL394" s="734"/>
      <c r="AM394" s="735"/>
      <c r="AN394" s="736"/>
      <c r="AO394" s="734"/>
      <c r="AP394" s="735"/>
      <c r="AQ394" s="736"/>
      <c r="AR394" s="734"/>
      <c r="AS394" s="735"/>
      <c r="AT394" s="736"/>
      <c r="AU394" s="735"/>
      <c r="AV394" s="735"/>
      <c r="AW394" s="736"/>
      <c r="AX394" s="735"/>
      <c r="AY394" s="735"/>
      <c r="AZ394" s="736"/>
      <c r="BA394" s="735"/>
      <c r="BB394" s="735"/>
      <c r="BC394" s="736"/>
      <c r="BD394" s="735"/>
      <c r="BE394" s="738">
        <v>180</v>
      </c>
      <c r="BF394" s="736"/>
      <c r="BG394" s="735"/>
      <c r="BH394" s="738">
        <v>180</v>
      </c>
      <c r="BI394" s="736"/>
      <c r="BJ394" s="738">
        <v>180</v>
      </c>
      <c r="BK394" s="735"/>
      <c r="BL394" s="736"/>
      <c r="BM394" s="735"/>
      <c r="BN394" s="735"/>
      <c r="BO394" s="737"/>
      <c r="BP394" s="735"/>
      <c r="BQ394" s="735"/>
      <c r="BR394" s="737"/>
      <c r="BS394" s="735"/>
      <c r="BT394" s="735"/>
      <c r="BU394" s="737"/>
      <c r="BV394" s="735"/>
      <c r="BW394" s="735"/>
      <c r="BX394" s="737"/>
      <c r="BY394" s="735"/>
      <c r="BZ394" s="735"/>
      <c r="CA394" s="737"/>
      <c r="CB394" s="735"/>
      <c r="CC394" s="735"/>
      <c r="CD394" s="739"/>
      <c r="CE394" s="740"/>
      <c r="CF394" s="740"/>
      <c r="CG394" s="739"/>
      <c r="CH394" s="740"/>
      <c r="CI394" s="740"/>
      <c r="CJ394" s="739"/>
      <c r="CK394" s="740"/>
      <c r="CL394" s="738">
        <v>182.5</v>
      </c>
      <c r="CM394" s="739">
        <f>CL394</f>
        <v>182.5</v>
      </c>
      <c r="CN394" s="740"/>
      <c r="CO394" s="740"/>
      <c r="CP394" s="739"/>
      <c r="CQ394" s="740"/>
      <c r="CR394" s="740"/>
      <c r="CS394" s="739"/>
      <c r="CT394" s="738">
        <v>180</v>
      </c>
      <c r="CU394" s="738">
        <v>180</v>
      </c>
      <c r="CV394" s="739"/>
      <c r="CW394" s="740"/>
      <c r="CX394" s="740"/>
      <c r="CY394" s="739"/>
      <c r="CZ394" s="740"/>
      <c r="DA394" s="740"/>
      <c r="DB394" s="739"/>
      <c r="DC394" s="740"/>
      <c r="DD394" s="740"/>
      <c r="DE394" s="739"/>
      <c r="DF394" s="740"/>
      <c r="DG394" s="740"/>
      <c r="DH394" s="1306"/>
      <c r="DI394" s="740">
        <v>30</v>
      </c>
      <c r="DJ394" s="740">
        <v>180</v>
      </c>
      <c r="DK394" s="1306"/>
      <c r="DL394" s="740"/>
      <c r="DM394" s="740"/>
      <c r="DN394" s="1306"/>
      <c r="DO394" s="740">
        <v>182.5</v>
      </c>
      <c r="DP394" s="740"/>
      <c r="DQ394" s="1306"/>
      <c r="DR394" s="740">
        <v>169.5844749999869</v>
      </c>
      <c r="DS394" s="740"/>
      <c r="DT394" s="1306"/>
      <c r="DU394" s="740"/>
      <c r="DV394" s="740"/>
      <c r="DW394" s="1306"/>
      <c r="DX394" s="740"/>
      <c r="DY394" s="740"/>
      <c r="DZ394" s="1306"/>
      <c r="EA394" s="740"/>
      <c r="EB394" s="740"/>
      <c r="EC394" s="1306"/>
      <c r="ED394" s="740"/>
      <c r="EE394" s="740"/>
      <c r="EF394" s="1306"/>
      <c r="EG394" s="740"/>
      <c r="EH394" s="740"/>
      <c r="EI394" s="1306"/>
      <c r="EJ394" s="740"/>
      <c r="EK394" s="740"/>
      <c r="EL394" s="1306"/>
      <c r="EM394" s="740"/>
      <c r="EN394" s="740"/>
      <c r="EO394" s="1306"/>
      <c r="EP394" s="740"/>
      <c r="EQ394" s="740"/>
      <c r="ER394" s="1306"/>
      <c r="ES394" s="740"/>
      <c r="ET394" s="740"/>
      <c r="EU394" s="1306"/>
      <c r="EV394" s="740"/>
      <c r="EW394" s="740"/>
      <c r="EX394" s="1306"/>
      <c r="EY394" s="740"/>
      <c r="EZ394" s="740"/>
      <c r="FA394" s="1306"/>
      <c r="FE394"/>
      <c r="FF394"/>
      <c r="FG394"/>
      <c r="FH394"/>
      <c r="FI394"/>
      <c r="FJ394"/>
      <c r="FK394" s="35"/>
    </row>
    <row r="395" spans="2:167" s="235" customFormat="1" ht="13.35" customHeight="1" outlineLevel="1">
      <c r="B395" s="401"/>
      <c r="C395" s="593"/>
      <c r="D395" s="594"/>
      <c r="E395" s="741"/>
      <c r="F395" s="741"/>
      <c r="G395" s="742"/>
      <c r="H395" s="741"/>
      <c r="I395" s="741"/>
      <c r="J395" s="742"/>
      <c r="K395" s="741"/>
      <c r="L395" s="741"/>
      <c r="M395" s="742"/>
      <c r="N395" s="741"/>
      <c r="O395" s="741"/>
      <c r="P395" s="742"/>
      <c r="Q395" s="741"/>
      <c r="R395" s="741"/>
      <c r="S395" s="742"/>
      <c r="T395" s="741"/>
      <c r="U395" s="741"/>
      <c r="V395" s="742"/>
      <c r="W395" s="741"/>
      <c r="X395" s="741"/>
      <c r="Y395" s="742"/>
      <c r="Z395" s="741"/>
      <c r="AA395" s="741"/>
      <c r="AB395" s="742"/>
      <c r="AC395" s="741"/>
      <c r="AD395" s="741"/>
      <c r="AE395" s="742"/>
      <c r="AF395" s="741"/>
      <c r="AG395" s="741"/>
      <c r="AH395" s="742"/>
      <c r="AI395" s="741"/>
      <c r="AJ395" s="741"/>
      <c r="AK395" s="742"/>
      <c r="AL395" s="741"/>
      <c r="AM395" s="741"/>
      <c r="AN395" s="742"/>
      <c r="AO395" s="741"/>
      <c r="AP395" s="741"/>
      <c r="AQ395" s="742"/>
      <c r="AR395" s="741"/>
      <c r="AS395" s="741"/>
      <c r="AT395" s="742"/>
      <c r="AU395" s="741"/>
      <c r="AV395" s="741"/>
      <c r="AW395" s="742"/>
      <c r="AX395" s="741"/>
      <c r="AY395" s="741"/>
      <c r="AZ395" s="742"/>
      <c r="BA395" s="741"/>
      <c r="BB395" s="741"/>
      <c r="BC395" s="742"/>
      <c r="BD395" s="741"/>
      <c r="BE395" s="741"/>
      <c r="BF395" s="742"/>
      <c r="BG395" s="741"/>
      <c r="BH395" s="741"/>
      <c r="BI395" s="742"/>
      <c r="BJ395" s="741"/>
      <c r="BK395" s="741"/>
      <c r="BL395" s="742"/>
      <c r="BM395" s="741"/>
      <c r="BN395" s="741"/>
      <c r="BO395" s="743"/>
      <c r="BP395" s="741"/>
      <c r="BQ395" s="741"/>
      <c r="BR395" s="743"/>
      <c r="BS395" s="741"/>
      <c r="BT395" s="741"/>
      <c r="BU395" s="743"/>
      <c r="BV395" s="741"/>
      <c r="BW395" s="741"/>
      <c r="BX395" s="743"/>
      <c r="BY395" s="741"/>
      <c r="BZ395" s="741"/>
      <c r="CA395" s="743"/>
      <c r="CB395" s="741"/>
      <c r="CC395" s="741"/>
      <c r="CD395" s="693"/>
      <c r="CE395" s="744"/>
      <c r="CF395" s="744"/>
      <c r="CG395" s="693"/>
      <c r="CH395" s="744"/>
      <c r="CI395" s="744"/>
      <c r="CJ395" s="693"/>
      <c r="CK395" s="744"/>
      <c r="CL395" s="744"/>
      <c r="CM395" s="693"/>
      <c r="CN395" s="744"/>
      <c r="CO395" s="744"/>
      <c r="CP395" s="693"/>
      <c r="CQ395" s="744"/>
      <c r="CR395" s="744"/>
      <c r="CS395" s="693"/>
      <c r="CT395" s="744"/>
      <c r="CU395" s="744"/>
      <c r="CV395" s="693"/>
      <c r="CW395" s="744"/>
      <c r="CX395" s="744"/>
      <c r="CY395" s="693"/>
      <c r="CZ395" s="744"/>
      <c r="DA395" s="744"/>
      <c r="DB395" s="693"/>
      <c r="DC395" s="744"/>
      <c r="DD395" s="744"/>
      <c r="DE395" s="745"/>
      <c r="DF395" s="744"/>
      <c r="DG395" s="744"/>
      <c r="DH395" s="1307"/>
      <c r="DI395" s="744"/>
      <c r="DJ395" s="744"/>
      <c r="DK395" s="1307"/>
      <c r="DL395" s="744"/>
      <c r="DM395" s="744"/>
      <c r="DN395" s="1307"/>
      <c r="DO395" s="744"/>
      <c r="DP395" s="744"/>
      <c r="DQ395" s="1307"/>
      <c r="DR395" s="744"/>
      <c r="DS395" s="744"/>
      <c r="DT395" s="1307"/>
      <c r="DU395" s="744"/>
      <c r="DV395" s="744"/>
      <c r="DW395" s="1307"/>
      <c r="DX395" s="744"/>
      <c r="DY395" s="744"/>
      <c r="DZ395" s="1307"/>
      <c r="EA395" s="744"/>
      <c r="EB395" s="744"/>
      <c r="EC395" s="1307"/>
      <c r="ED395" s="744"/>
      <c r="EE395" s="744"/>
      <c r="EF395" s="1307"/>
      <c r="EG395" s="744"/>
      <c r="EH395" s="744"/>
      <c r="EI395" s="1307"/>
      <c r="EJ395" s="744"/>
      <c r="EK395" s="744"/>
      <c r="EL395" s="1307"/>
      <c r="EM395" s="744"/>
      <c r="EN395" s="744"/>
      <c r="EO395" s="1307"/>
      <c r="EP395" s="744"/>
      <c r="EQ395" s="744"/>
      <c r="ER395" s="1307"/>
      <c r="ES395" s="744"/>
      <c r="ET395" s="744"/>
      <c r="EU395" s="1307"/>
      <c r="EV395" s="744"/>
      <c r="EW395" s="744"/>
      <c r="EX395" s="1307"/>
      <c r="EY395" s="744"/>
      <c r="EZ395" s="744"/>
      <c r="FA395" s="1307"/>
      <c r="FE395"/>
      <c r="FF395"/>
      <c r="FG395"/>
      <c r="FH395"/>
      <c r="FI395"/>
      <c r="FJ395"/>
      <c r="FK395" s="35"/>
    </row>
    <row r="396" spans="2:167" s="235" customFormat="1" ht="13.35" customHeight="1" thickBot="1">
      <c r="B396" s="401" t="s">
        <v>833</v>
      </c>
      <c r="C396" s="593"/>
      <c r="D396" s="594"/>
      <c r="E396" s="746">
        <f>+(E374*1)+(E377*(E388/182.5))+(E378*(E389/182.5))+(E379*(E390/182.5))+(E380*(E391/182.5))+(E381*(E392/182.5))+(E382*(E393/182.5))+(E383*(E394/182.5))</f>
        <v>0</v>
      </c>
      <c r="F396" s="746">
        <f>+(F374*1)+(F377*(F388/182.5))+(F378*(F389/182.5))+(F379*(F390/182.5))+(F380*(F391/182.5))+(F381*(F392/182.5))+(F382*(F393/182.5))+(F383*(F394/182.5))</f>
        <v>0</v>
      </c>
      <c r="G396" s="746">
        <f>+(G374*1)+(E377*((182.5+E388)/365))+(E378*((182.5+E389)/365))+(E379*((182.5+E390)/365))+(E380*((182.5+E391)/365))+(E381*((182.5+E392)/365))+(E382*((182.5+E393)/365))+(E383*((182.5+E394)/365))+(F377*(F388/365))+(F378*(F389/365))+(F379*(F390/365))+(F380*(F391/365))+(F381*(F392/365))+(F382*(F393/365))+(F383*(F394/365))</f>
        <v>0</v>
      </c>
      <c r="H396" s="746">
        <f>+(H374*1)+(H377*(H388/182.5))+(H378*(H389/182.5))+(H379*(H390/182.5))+(H380*(H391/182.5))+(H381*(H392/182.5))+(H382*(H393/182.5))+(H383*(H394/182.5))</f>
        <v>0</v>
      </c>
      <c r="I396" s="746">
        <f>+(I374*1)+(I377*(I388/182.5))+(I378*(I389/182.5))+(I379*(I390/182.5))+(I380*(I391/182.5))+(I381*(I392/182.5))+(I382*(I393/182.5))+(I383*(I394/182.5))</f>
        <v>0</v>
      </c>
      <c r="J396" s="746">
        <f>+(J374*1)+(H377*((182.5+H388)/365))+(H378*((182.5+H389)/365))+(H379*((182.5+H390)/365))+(H380*((182.5+H391)/365))+(H381*((182.5+H392)/365))+(H382*((182.5+H393)/365))+(H383*((182.5+H394)/365))+(I377*(I388/365))+(I378*(I389/365))+(I379*(I390/365))+(I380*(I391/365))+(I381*(I392/365))+(I382*(I393/365))+(I383*(I394/365))</f>
        <v>0</v>
      </c>
      <c r="K396" s="746">
        <f>+(K374*1)+(K377*(K388/182.5))+(K378*(K389/182.5))+(K379*(K390/182.5))+(K380*(K391/182.5))+(K381*(K392/182.5))+(K382*(K393/182.5))+(K383*(K394/182.5))</f>
        <v>0</v>
      </c>
      <c r="L396" s="746">
        <f>+(L374*1)+(L377*(L388/182.5))+(L378*(L389/182.5))+(L379*(L390/182.5))+(L380*(L391/182.5))+(L381*(L392/182.5))+(L382*(L393/182.5))+(L383*(L394/182.5))</f>
        <v>0</v>
      </c>
      <c r="M396" s="746">
        <f>+(M374*1)+(K377*((182.5+K388)/365))+(K378*((182.5+K389)/365))+(K379*((182.5+K390)/365))+(K380*((182.5+K391)/365))+(K381*((182.5+K392)/365))+(K382*((182.5+K393)/365))+(K383*((182.5+K394)/365))+(L377*(L388/365))+(L378*(L389/365))+(L379*(L390/365))+(L380*(L391/365))+(L381*(L392/365))+(L382*(L393/365))+(L383*(L394/365))</f>
        <v>0</v>
      </c>
      <c r="N396" s="746">
        <f>+(N374*1)+(N377*(N388/182.5))+(N378*(N389/182.5))+(N379*(N390/182.5))+(N380*(N391/182.5))+(N381*(N392/182.5))+(N382*(N393/182.5))+(N383*(N394/182.5))</f>
        <v>0</v>
      </c>
      <c r="O396" s="746">
        <f>+(O374*1)+(O377*(O388/182.5))+(O378*(O389/182.5))+(O379*(O390/182.5))+(O380*(O391/182.5))+(O381*(O392/182.5))+(O382*(O393/182.5))+(O383*(O394/182.5))</f>
        <v>0</v>
      </c>
      <c r="P396" s="746">
        <f>+(P374*1)+(N377*((182.5+N388)/365))+(N378*((182.5+N389)/365))+(N379*((182.5+N390)/365))+(N380*((182.5+N391)/365))+(N381*((182.5+N392)/365))+(N382*((182.5+N393)/365))+(N383*((182.5+N394)/365))+(O377*(O388/365))+(O378*(O389/365))+(O379*(O390/365))+(O380*(O391/365))+(O381*(O392/365))+(O382*(O393/365))+(O383*(O394/365))</f>
        <v>0</v>
      </c>
      <c r="Q396" s="746">
        <f>+(Q374*1)+(Q377*(Q388/182.5))+(Q378*(Q389/182.5))+(Q379*(Q390/182.5))+(Q380*(Q391/182.5))+(Q381*(Q392/182.5))+(Q382*(Q393/182.5))+(Q383*(Q394/182.5))</f>
        <v>0</v>
      </c>
      <c r="R396" s="746">
        <f>+(R374*1)+(R377*(R388/182.5))+(R378*(R389/182.5))+(R379*(R390/182.5))+(R380*(R391/182.5))+(R381*(R392/182.5))+(R382*(R393/182.5))+(R383*(R394/182.5))</f>
        <v>0</v>
      </c>
      <c r="S396" s="746">
        <f>+(S374*1)+(Q377*((182.5+Q388)/365))+(Q378*((182.5+Q389)/365))+(Q379*((182.5+Q390)/365))+(Q380*((182.5+Q391)/365))+(Q381*((182.5+Q392)/365))+(Q382*((182.5+Q393)/365))+(Q383*((182.5+Q394)/365))+(R377*(R388/365))+(R378*(R389/365))+(R379*(R390/365))+(R380*(R391/365))+(R381*(R392/365))+(R382*(R393/365))+(R383*(R394/365))</f>
        <v>0</v>
      </c>
      <c r="T396" s="746">
        <f>+(T374*1)+(T377*(T388/182.5))+(T378*(T389/182.5))+(T379*(T390/182.5))+(T380*(T391/182.5))+(T381*(T392/182.5))+(T382*(T393/182.5))+(T383*(T394/182.5))</f>
        <v>0</v>
      </c>
      <c r="U396" s="746">
        <f>+(U374*1)+(U377*(U388/182.5))+(U378*(U389/182.5))+(U379*(U390/182.5))+(U380*(U391/182.5))+(U381*(U392/182.5))+(U382*(U393/182.5))+(U383*(U394/182.5))</f>
        <v>0</v>
      </c>
      <c r="V396" s="746">
        <f>+(V374*1)+(T377*((182.5+T388)/365))+(T378*((182.5+T389)/365))+(T379*((182.5+T390)/365))+(T380*((182.5+T391)/365))+(T381*((182.5+T392)/365))+(T382*((182.5+T393)/365))+(T383*((182.5+T394)/365))+(U377*(U388/365))+(U378*(U389/365))+(U379*(U390/365))+(U380*(U391/365))+(U381*(U392/365))+(U382*(U393/365))+(U383*(U394/365))</f>
        <v>0</v>
      </c>
      <c r="W396" s="746">
        <f>+(W374*1)+(W377*(W388/182.5))+(W378*(W389/182.5))+(W379*(W390/182.5))+(W380*(W391/182.5))+(W381*(W392/182.5))+(W382*(W393/182.5))+(W383*(W394/182.5))</f>
        <v>0</v>
      </c>
      <c r="X396" s="746">
        <f>+(X374*1)+(X377*(X388/182.5))+(X378*(X389/182.5))+(X379*(X390/182.5))+(X380*(X391/182.5))+(X381*(X392/182.5))+(X382*(X393/182.5))+(X383*(X394/182.5))</f>
        <v>0</v>
      </c>
      <c r="Y396" s="746">
        <f>+(Y374*1)+(W377*((182.5+W388)/365))+(W378*((182.5+W389)/365))+(W379*((182.5+W390)/365))+(W380*((182.5+W391)/365))+(W381*((182.5+W392)/365))+(W382*((182.5+W393)/365))+(W383*((182.5+W394)/365))+(X377*(X388/365))+(X378*(X389/365))+(X379*(X390/365))+(X380*(X391/365))+(X381*(X392/365))+(X382*(X393/365))+(X383*(X394/365))</f>
        <v>0</v>
      </c>
      <c r="Z396" s="746">
        <f>+(Z374*1)+(Z377*(Z388/182.5))+(Z378*(Z389/182.5))+(Z379*(Z390/182.5))+(Z380*(Z391/182.5))+(Z381*(Z392/182.5))+(Z382*(Z393/182.5))+(Z383*(Z394/182.5))</f>
        <v>0</v>
      </c>
      <c r="AA396" s="746">
        <f>+(AA374*1)+(AA377*(AA388/182.5))+(AA378*(AA389/182.5))+(AA379*(AA390/182.5))+(AA380*(AA391/182.5))+(AA381*(AA392/182.5))+(AA382*(AA393/182.5))+(AA383*(AA394/182.5))</f>
        <v>0</v>
      </c>
      <c r="AB396" s="746">
        <f>+(AB374*1)+(Z377*((182.5+Z388)/365))+(Z378*((182.5+Z389)/365))+(Z379*((182.5+Z390)/365))+(Z380*((182.5+Z391)/365))+(Z381*((182.5+Z392)/365))+(Z382*((182.5+Z393)/365))+(Z383*((182.5+Z394)/365))+(AA377*(AA388/365))+(AA378*(AA389/365))+(AA379*(AA390/365))+(AA380*(AA391/365))+(AA381*(AA392/365))+(AA382*(AA393/365))+(AA383*(AA394/365))</f>
        <v>0</v>
      </c>
      <c r="AC396" s="746">
        <f>+(AC374*1)+(AC377*(AC388/182.5))+(AC378*(AC389/182.5))+(AC379*(AC390/182.5))+(AC380*(AC391/182.5))+(AC381*(AC392/182.5))+(AC382*(AC393/182.5))+(AC383*(AC394/182.5))</f>
        <v>0</v>
      </c>
      <c r="AD396" s="746">
        <f>+(AD374*1)+(AD377*(AD388/182.5))+(AD378*(AD389/182.5))+(AD379*(AD390/182.5))+(AD380*(AD391/182.5))+(AD381*(AD392/182.5))+(AD382*(AD393/182.5))+(AD383*(AD394/182.5))</f>
        <v>0</v>
      </c>
      <c r="AE396" s="746">
        <f>+(AE374*1)+(AC377*((182.5+AC388)/365))+(AC378*((182.5+AC389)/365))+(AC379*((182.5+AC390)/365))+(AC380*((182.5+AC391)/365))+(AC381*((182.5+AC392)/365))+(AC382*((182.5+AC393)/365))+(AC383*((182.5+AC394)/365))+(AD377*(AD388/365))+(AD378*(AD389/365))+(AD379*(AD390/365))+(AD380*(AD391/365))+(AD381*(AD392/365))+(AD382*(AD393/365))+(AD383*(AD394/365))</f>
        <v>0</v>
      </c>
      <c r="AF396" s="746">
        <f>+(AF374*1)+(AF377*(AF388/182.5))+(AF378*(AF389/182.5))+(AF379*(AF390/182.5))+(AF380*(AF391/182.5))+(AF381*(AF392/182.5))+(AF382*(AF393/182.5))+(AF383*(AF394/182.5))</f>
        <v>0</v>
      </c>
      <c r="AG396" s="746">
        <f>+(AG374*1)+(AG377*(AG388/182.5))+(AG378*(AG389/182.5))+(AG379*(AG390/182.5))+(AG380*(AG391/182.5))+(AG381*(AG392/182.5))+(AG382*(AG393/182.5))+(AG383*(AG394/182.5))</f>
        <v>0</v>
      </c>
      <c r="AH396" s="746">
        <f>+(AH374*1)+(AF377*((182.5+AF388)/365))+(AF378*((182.5+AF389)/365))+(AF379*((182.5+AF390)/365))+(AF380*((182.5+AF391)/365))+(AF381*((182.5+AF392)/365))+(AF382*((182.5+AF393)/365))+(AF383*((182.5+AF394)/365))+(AG377*(AG388/365))+(AG378*(AG389/365))+(AG379*(AG390/365))+(AG380*(AG391/365))+(AG381*(AG392/365))+(AG382*(AG393/365))+(AG383*(AG394/365))</f>
        <v>0</v>
      </c>
      <c r="AI396" s="746">
        <f>+(AI374*1)+(AI377*(AI388/182.5))+(AI378*(AI389/182.5))+(AI379*(AI390/182.5))+(AI380*(AI391/182.5))+(AI381*(AI392/182.5))+(AI382*(AI393/182.5))+(AI383*(AI394/182.5))</f>
        <v>50</v>
      </c>
      <c r="AJ396" s="746">
        <f>+(AJ374*1)+(AJ377*(AJ388/182.5))+(AJ378*(AJ389/182.5))+(AJ379*(AJ390/182.5))+(AJ380*(AJ391/182.5))+(AJ381*(AJ392/182.5))+(AJ382*(AJ393/182.5))+(AJ383*(AJ394/182.5))</f>
        <v>50</v>
      </c>
      <c r="AK396" s="746">
        <f>+(AK374*1)+(AI377*((182.5+AI388)/365))+(AI378*((182.5+AI389)/365))+(AI379*((182.5+AI390)/365))+(AI380*((182.5+AI391)/365))+(AI381*((182.5+AI392)/365))+(AI382*((182.5+AI393)/365))+(AI383*((182.5+AI394)/365))+(AJ377*(AJ388/365))+(AJ378*(AJ389/365))+(AJ379*(AJ390/365))+(AJ380*(AJ391/365))+(AJ381*(AJ392/365))+(AJ382*(AJ393/365))+(AJ383*(AJ394/365))</f>
        <v>50</v>
      </c>
      <c r="AL396" s="746">
        <f>+(AL374*1)+(AL377*(AL388/182.5))+(AL378*(AL389/182.5))+(AL379*(AL390/182.5))+(AL380*(AL391/182.5))+(AL381*(AL392/182.5))+(AL382*(AL393/182.5))+(AL383*(AL394/182.5))</f>
        <v>50</v>
      </c>
      <c r="AM396" s="746">
        <f>+(AM374*1)+(AM377*(AM388/182.5))+(AM378*(AM389/182.5))+(AM379*(AM390/182.5))+(AM380*(AM391/182.5))+(AM381*(AM392/182.5))+(AM382*(AM393/182.5))+(AM383*(AM394/182.5))</f>
        <v>50</v>
      </c>
      <c r="AN396" s="746">
        <f>+((AN374*1))+(((AL377*((182.5+AL388)/365))+(AL378*((182.5+AL389)/365))+(AL379*((182.5+AL390)/365))+(AL380*((182.5+AL391)/365))+(AL381*((182.5+AL392)/365))+(AL382*((182.5+AL393)/365))+(AL383*((182.5+AL394)/365))))+(AM377*(AM388/365))+(AM378*(AM389/365))+(AM379*(AM390/365))+(AM380*(AM391/365))+(AM381*(AM392/365))+(AM382*(AM393/365))+(AM383*(AM394/365))</f>
        <v>50</v>
      </c>
      <c r="AO396" s="746">
        <f>+(AO374*1)+(AO377*(AO388/182.5))+(AO378*(AO389/182.5))+(AO379*(AO390/182.5))+(AO380*(AO391/182.5))+(AO381*(AO392/182.5))+(AO382*(AO393/182.5))+(AO383*(AO394/182.5))</f>
        <v>50</v>
      </c>
      <c r="AP396" s="746">
        <f>+(AP374*1)+(AP377*(AP388/182.5))+(AP378*(AP389/182.5))+(AP379*(AP390/182.5))+(AP380*(AP391/182.5))+(AP381*(AP392/182.5))+(AP382*(AP393/182.5))+(AP383*(AP394/182.5))</f>
        <v>50</v>
      </c>
      <c r="AQ396" s="746">
        <f>+(AQ374*1)+(AO377*((182.5+AO388)/365))+(AO378*((182.5+AO389)/365))+(AO379*((182.5+AO390)/365))+(AO380*((182.5+AO391)/365))+(AO381*((182.5+AO392)/365))+(AO382*((182.5+AO393)/365))+(AO383*((182.5+AO394)/365))+(AP377*(AP388/365))+(AP378*(AP389/365))+(AP379*(AP390/365))+(AP380*(AP391/365))+(AP381*(AP392/365))+(AP382*(AP393/365))+(AP383*(AP394/365))</f>
        <v>50</v>
      </c>
      <c r="AR396" s="746">
        <f>+(AR374*1)+(AR377*(AR388/182.5))+(AR378*(AR389/182.5))+(AR379*(AR390/182.5))+(AR380*(AR391/182.5))+(AR381*(AR392/182.5))+(AR382*(AR393/182.5))+(AR383*(AR394/182.5))</f>
        <v>50</v>
      </c>
      <c r="AS396" s="746">
        <f>+(AS374*1)+(AS377*(AS388/182.5))+(AS378*(AS389/182.5))+(AS379*(AS390/182.5))+(AS380*(AS391/182.5))+(AS381*(AS392/182.5))+(AS382*(AS393/182.5))+(AS383*(AS394/182.5))</f>
        <v>50</v>
      </c>
      <c r="AT396" s="746">
        <f>+(AT374*1)+(AR377*((182.5+AR388)/365))+(AR378*((182.5+AR389)/365))+(AR379*((182.5+AR390)/365))+(AR380*((182.5+AR391)/365))+(AR381*((182.5+AR392)/365))+(AR382*((182.5+AR393)/365))+(AR383*((182.5+AR394)/365))+(AS377*(AS388/365))+(AS378*(AS389/365))+(AS379*(AS390/365))+(AS380*(AS391/365))+(AS381*(AS392/365))+(AS382*(AS393/365))+(AS383*(AS394/365))</f>
        <v>50</v>
      </c>
      <c r="AU396" s="746">
        <f>+(AU374*1)+(AU377*(AU388/182.5))+(AU378*(AU389/182.5))+(AU379*(AU390/182.5))+(AU380*(AU391/182.5))+(AU381*(AU392/182.5))+(AU382*(AU393/182.5))+(AU383*(AU394/182.5))</f>
        <v>50.202512619315065</v>
      </c>
      <c r="AV396" s="746">
        <f>+(AV374*1)+(AV377*(AV388/182.5))+(AV378*(AV389/182.5))+(AV379*(AV390/182.5))+(AV380*(AV391/182.5))+(AV381*(AV392/182.5))+(AV382*(AV393/182.5))+(AV383*(AV394/182.5))</f>
        <v>50.53575</v>
      </c>
      <c r="AW396" s="746">
        <f>+(AW374*1)+(AU377*((182.5+AU388)/365))+(AU378*((182.5+AU389)/365))+(AU379*((182.5+AU390)/365))+(AU380*((182.5+AU391)/365))+(AU381*((182.5+AU392)/365))+(AU382*((182.5+AU393)/365))+(AU383*((182.5+AU394)/365))+(AV377*(AV388/365))+(AV378*(AV389/365))+(AV379*(AV390/365))+(AV380*(AV391/365))+(AV381*(AV392/365))+(AV382*(AV393/365))+(AV383*(AV394/365))</f>
        <v>50.369131309657533</v>
      </c>
      <c r="AX396" s="746">
        <f>+(AX374*1)+(AX377*(AX388/182.5))+(AX378*(AX389/182.5))+(AX379*(AX390/182.5))+(AX380*(AX391/182.5))+(AX381*(AX392/182.5))+(AX382*(AX393/182.5))+(AX383*(AX394/182.5))</f>
        <v>50.821447482191779</v>
      </c>
      <c r="AY396" s="746">
        <f>+(AY374*1)+(AY377*(AY388/182.5))+(AY378*(AY389/182.5))+(AY379*(AY390/182.5))+(AY380*(AY391/182.5))+(AY381*(AY392/182.5))+(AY382*(AY393/182.5))+(AY383*(AY394/182.5))</f>
        <v>51.135013698630139</v>
      </c>
      <c r="AZ396" s="746">
        <f>+(AZ374*1)+(AX377*((182.5+AX388)/365))+(AX378*((182.5+AX389)/365))+(AX379*((182.5+AX390)/365))+(AX380*((182.5+AX391)/365))+(AX381*((182.5+AX392)/365))+(AX382*((182.5+AX393)/365))+(AX383*((182.5+AX394)/365))+(AY377*(AY388/365))+(AY378*(AY389/365))+(AY379*(AY390/365))+(AY380*(AY391/365))+(AY381*(AY392/365))+(AY382*(AY393/365))+(AY383*(AY394/365))</f>
        <v>50.978230590410959</v>
      </c>
      <c r="BA396" s="746">
        <f>+(BA374*1)+(BA377*(BA388/182.5))+(BA378*(BA389/182.5))+(BA379*(BA390/182.5))+(BA380*(BA391/182.5))+(BA381*(BA392/182.5))+(BA382*(BA393/182.5))+(BA383*(BA394/182.5))</f>
        <v>51.557791917808217</v>
      </c>
      <c r="BB396" s="746">
        <f>+(BB374*1)+(BB377*(BB388/182.5))+(BB378*(BB389/182.5))+(BB379*(BB390/182.5))+(BB380*(BB391/182.5))+(BB381*(BB392/182.5))+(BB382*(BB393/182.5))+(BB383*(BB394/182.5))</f>
        <v>52.017063</v>
      </c>
      <c r="BC396" s="746">
        <f>+(BC374*1)+(BA377*((182.5+BA388)/365))+(BA378*((182.5+BA389)/365))+(BA379*((182.5+BA390)/365))+(BA380*((182.5+BA391)/365))+(BA381*((182.5+BA392)/365))+(BA382*((182.5+BA393)/365))+(BA383*((182.5+BA394)/365))+(BB377*(BB388/365))+(BB378*(BB389/365))+(BB379*(BB390/365))+(BB380*(BB391/365))+(BB381*(BB392/365))+(BB382*(BB393/365))+(BB383*(BB394/365))</f>
        <v>51.787427458904105</v>
      </c>
      <c r="BD396" s="746">
        <f>+(BD374*1)+(BD377*(BD388/182.5))+(BD378*(BD389/182.5))+(BD379*(BD390/182.5))+(BD380*(BD391/182.5))+(BD381*(BD392/182.5))+(BD382*(BD393/182.5))+(BD383*(BD394/182.5))</f>
        <v>52.017358999999999</v>
      </c>
      <c r="BE396" s="746">
        <f>+(BE374*1)+(BE377*(BE388/182.5))+(BE378*(BE389/182.5))+(BE379*(BE390/182.5))+(BE380*(BE391/182.5))+(BE381*(BE392/182.5))+(BE382*(BE393/182.5))+(BE383*(BE394/182.5))</f>
        <v>52.493531493150684</v>
      </c>
      <c r="BF396" s="746">
        <f>+(BF374*1)+(BD377*((182.5+BD388)/365))+(BD378*((182.5+BD389)/365))+(BD379*((182.5+BD390)/365))+(BD380*((182.5+BD391)/365))+(BD381*((182.5+BD392)/365))+(BD382*((182.5+BD393)/365))+(BD383*((182.5+BD394)/365))+(BE377*(BE388/365))+(BE378*(BE389/365))+(BE379*(BE390/365))+(BE380*(BE391/365))+(BE381*(BE392/365))+(BE382*(BE393/365))+(BE383*(BE394/365))</f>
        <v>52.255445246575341</v>
      </c>
      <c r="BG396" s="746">
        <f>+(BG374*1)+(BG377*(BG388/182.5))+(BG378*(BG389/182.5))+(BG379*(BG390/182.5))+(BG380*(BG391/182.5))+(BG381*(BG392/182.5))+(BG382*(BG393/182.5))+(BG383*(BG394/182.5))</f>
        <v>52.500144999999996</v>
      </c>
      <c r="BH396" s="746">
        <f>+(BH374*1)+(BH377*(BH388/182.5))+(BH378*(BH389/182.5))+(BH379*(BH390/182.5))+(BH380*(BH391/182.5))+(BH381*(BH392/182.5))+(BH382*(BH393/182.5))+(BH383*(BH394/182.5))</f>
        <v>53.062736232876709</v>
      </c>
      <c r="BI396" s="746">
        <f>+(BI374*1)+(BG377*((182.5+BG388)/365))+(BG378*((182.5+BG389)/365))+(BG379*((182.5+BG390)/365))+(BG380*((182.5+BG391)/365))+(BG381*((182.5+BG392)/365))+(BG382*((182.5+BG393)/365))+(BG383*((182.5+BG394)/365))+(BH377*(BH388/365))+(BH378*(BH389/365))+(BH379*(BH390/365))+(BH380*(BH391/365))+(BH381*(BH392/365))+(BH382*(BH393/365))+(BH383*(BH394/365))</f>
        <v>52.781440616438353</v>
      </c>
      <c r="BJ396" s="746">
        <f>+(BJ374*1)+(BJ377*(BJ388/182.5))+(BJ378*(BJ389/182.5))+(BJ379*(BJ390/182.5))+(BJ380*(BJ391/182.5))+(BJ381*(BJ392/182.5))+(BJ382*(BJ393/182.5))+(BJ383*(BJ394/182.5))</f>
        <v>54.146742876712324</v>
      </c>
      <c r="BK396" s="746">
        <f>+(BK374*1)+(BK377*(BK388/182.5))+(BK378*(BK389/182.5))+(BK379*(BK390/182.5))+(BK380*(BK391/182.5))+(BK381*(BK392/182.5))+(BK382*(BK393/182.5))+(BK383*(BK394/182.5))</f>
        <v>54.16169</v>
      </c>
      <c r="BL396" s="746">
        <f>+(BL374*1)+(BJ377*((182.5+BJ388)/365))+(BJ378*((182.5+BJ389)/365))+(BJ379*((182.5+BJ390)/365))+(BJ380*((182.5+BJ391)/365))+(BJ381*((182.5+BJ392)/365))+(BJ382*((182.5+BJ393)/365))+(BJ383*((182.5+BJ394)/365))+(BK377*(BK388/365))+(BK378*(BK389/365))+(BK379*(BK390/365))+(BK380*(BK391/365))+(BK381*(BK392/365))+(BK382*(BK393/365))+(BK383*(BK394/365))</f>
        <v>54.154216438356158</v>
      </c>
      <c r="BM396" s="746">
        <f>+(BM374*1)+(BM377*(BM388/182.5))+(BM378*(BM389/182.5))+(BM379*(BM390/182.5))+(BM380*(BM391/182.5))+(BM381*(BM392/182.5))+(BM382*(BM393/182.5))+(BM383*(BM394/182.5))</f>
        <v>54.16169</v>
      </c>
      <c r="BN396" s="746">
        <f>+(BN374*1)+(BN377*(BN388/182.5))+(BN378*(BN389/182.5))+(BN379*(BN390/182.5))+(BN380*(BN391/182.5))+(BN381*(BN392/182.5))+(BN382*(BN393/182.5))+(BN383*(BN394/182.5))</f>
        <v>54.16169</v>
      </c>
      <c r="BO396" s="746">
        <f>+(BO374*1)+(BM377*((182.5+BM388)/365))+(BM378*((182.5+BM389)/365))+(BM379*((182.5+BM390)/365))+(BM380*((182.5+BM391)/365))+(BM381*((182.5+BM392)/365))+(BM382*((182.5+BM393)/365))+(BM383*((182.5+BM394)/365))+(BN377*(BN388/365))+(BN378*(BN389/365))+(BN379*(BN390/365))+(BN380*(BN391/365))+(BN381*(BN392/365))+(BN382*(BN393/365))+(BN383*(BN394/365))</f>
        <v>54.16169</v>
      </c>
      <c r="BP396" s="746">
        <f>+(BP374*1)+(BP377*(BP388/182.5))+(BP378*(BP389/182.5))+(BP379*(BP390/182.5))+(BP380*(BP391/182.5))+(BP381*(BP392/182.5))+(BP382*(BP393/182.5))+(BP383*(BP394/182.5))</f>
        <v>54.16169</v>
      </c>
      <c r="BQ396" s="746">
        <f>+(BQ374*1)+(BQ377*(BQ388/182.5))+(BQ378*(BQ389/182.5))+(BQ379*(BQ390/182.5))+(BQ380*(BQ391/182.5))+(BQ381*(BQ392/182.5))+(BQ382*(BQ393/182.5))+(BQ383*(BQ394/182.5))</f>
        <v>54.16169</v>
      </c>
      <c r="BR396" s="746">
        <f>+(BR374*1)+(BP377*((182.5+BP388)/365))+(BP378*((182.5+BP389)/365))+(BP379*((182.5+BP390)/365))+(BP380*((182.5+BP391)/365))+(BP381*((182.5+BP392)/365))+(BP382*((182.5+BP393)/365))+(BP383*((182.5+BP394)/365))+(BQ377*(BQ388/365))+(BQ378*(BQ389/365))+(BQ379*(BQ390/365))+(BQ380*(BQ391/365))+(BQ381*(BQ392/365))+(BQ382*(BQ393/365))+(BQ383*(BQ394/365))</f>
        <v>54.16169</v>
      </c>
      <c r="BS396" s="746">
        <f>+(BS374*1)+(BS377*(BS388/182.5))+(BS378*(BS389/182.5))+(BS379*(BS390/182.5))+(BS380*(BS391/182.5))+(BS381*(BS392/182.5))+(BS382*(BS393/182.5))+(BS383*(BS394/182.5))</f>
        <v>54.713032465753422</v>
      </c>
      <c r="BT396" s="746">
        <f>+(BT374*1)+(BT377*(BT388/182.5))+(BT378*(BT389/182.5))+(BT379*(BT390/182.5))+(BT380*(BT391/182.5))+(BT381*(BT392/182.5))+(BT382*(BT393/182.5))+(BT383*(BT394/182.5))</f>
        <v>54.720689999999998</v>
      </c>
      <c r="BU396" s="746">
        <f>+(BU374*1)+(BS377*((182.5+BS388)/365))+(BS378*((182.5+BS389)/365))+(BS379*((182.5+BS390)/365))+(BS380*((182.5+BS391)/365))+(BS381*((182.5+BS392)/365))+(BS382*((182.5+BS393)/365))+(BS383*((182.5+BS394)/365))+(BT377*(BT388/365))+(BT378*(BT389/365))+(BT379*(BT390/365))+(BT380*(BT391/365))+(BT381*(BT392/365))+(BT382*(BT393/365))+(BT383*(BT394/365))</f>
        <v>54.71686123287671</v>
      </c>
      <c r="BV396" s="747">
        <v>55.283468999999997</v>
      </c>
      <c r="BW396" s="746">
        <f>+(BW374*1)+(BW377*(BW388/182.5))+(BW378*(BW389/182.5))+(BW379*(BW390/182.5))+(BW380*(BW391/182.5))+(BW381*(BW392/182.5))+(BW382*(BW393/182.5))+(BW383*(BW394/182.5))</f>
        <v>55.62285</v>
      </c>
      <c r="BX396" s="747">
        <v>55.372469000000002</v>
      </c>
      <c r="BY396" s="746">
        <f>+(BY374*1)+(BY377*(BY388/182.5))+(BY378*(BY389/182.5))+(BY379*(BY390/182.5))+(BY380*(BY391/182.5))+(BY381*(BY392/182.5))+(BY382*(BY393/182.5))+(BY383*(BY394/182.5))</f>
        <v>55.524746</v>
      </c>
      <c r="BZ396" s="746">
        <f>+(BZ374*1)+(BZ377*(BZ388/182.5))+(BZ378*(BZ389/182.5))+(BZ379*(BZ390/182.5))+(BZ380*(BZ391/182.5))+(BZ381*(BZ392/182.5))+(BZ382*(BZ393/182.5))+(BZ383*(BZ394/182.5))</f>
        <v>55.743212999999997</v>
      </c>
      <c r="CA396" s="747">
        <v>55.848067</v>
      </c>
      <c r="CB396" s="748">
        <f>+(CB374*1)+(CB377*(CB388/182.5))+(CB378*(CB389/182.5))+(CB379*(CB390/182.5))+(CB380*(CB391/182.5))+(CB381*(CB392/182.5))+(CB382*(CB393/182.5))+(CB383*(CB394/182.5))</f>
        <v>56.136564</v>
      </c>
      <c r="CC396" s="746">
        <f>+(CC374*1)+(CC377*(CC388/182.5))+(CC378*(CC389/182.5))+(CC379*(CC390/182.5))+(CC380*(CC391/182.5))+(CC381*(CC392/182.5))+(CC382*(CC393/182.5))+(CC383*(CC394/182.5))</f>
        <v>56.136564</v>
      </c>
      <c r="CD396" s="749">
        <f>+(CD374*1)+(CB377*((182.5+CB388)/365))+(CB378*((182.5+CB389)/365))+(CB379*((182.5+CB390)/365))+(CB380*((182.5+CB391)/365))+(CB381*((182.5+CB392)/365))+(CB382*((182.5+CB393)/365))+(CB383*((182.5+CB394)/365))+(CC377*(CC388/365))+(CC378*(CC389/365))+(CC379*(CC390/365))+(CC380*(CC391/365))+(CC381*(CC392/365))+(CC382*(CC393/365))+(CC383*(CC394/365))</f>
        <v>56.210751999999999</v>
      </c>
      <c r="CE396" s="749">
        <f>+(CE374*1)+(CE377*(CE388/182.5))+(CE378*(CE389/182.5))+(CE379*(CE390/182.5))+(CE380*(CE391/182.5))+(CE381*(CE392/182.5))+(CE382*(CE393/182.5))+(CE383*(CE394/182.5))</f>
        <v>56.537247000000001</v>
      </c>
      <c r="CF396" s="749">
        <f>+(CF374*1)+(CF377*(CF388/182.5))+(CF378*(CF389/182.5))+(CF379*(CF390/182.5))+(CF380*(CF391/182.5))+(CF381*(CF392/182.5))+(CF382*(CF393/182.5))+(CF383*(CF394/182.5))</f>
        <v>56.537247000000001</v>
      </c>
      <c r="CG396" s="750">
        <v>56.596077000000001</v>
      </c>
      <c r="CH396" s="749">
        <f>+(CH374*1)+(CH377*(CH388/182.5))+(CH378*(CH389/182.5))+(CH379*(CH390/182.5))+(CH380*(CH391/182.5))+(CH381*(CH392/182.5))+(CH382*(CH393/182.5))+(CH383*(CH394/182.5))</f>
        <v>56.779520355068492</v>
      </c>
      <c r="CI396" s="749">
        <f>+(CI374*1)+(CI377*(CI388/182.5))+(CI378*(CI389/182.5))+(CI379*(CI390/182.5))+(CI380*(CI391/182.5))+(CI381*(CI392/182.5))+(CI382*(CI393/182.5))+(CI383*(CI394/182.5))</f>
        <v>56.779902999999997</v>
      </c>
      <c r="CJ396" s="749">
        <f>+(CJ374*1)+(CH377*((182.5+CH388)/365))+(CH378*((182.5+CH389)/365))+(CH379*((182.5+CH390)/365))+(CH380*((182.5+CH391)/365))+(CH381*((182.5+CH392)/365))+(CH382*((182.5+CH393)/365))+(CH383*((182.5+CH394)/365))+(CI377*(CI388/365))+(CI378*(CI389/365))+(CI379*(CI390/365))+(CI380*(CI391/365))+(CI381*(CI392/365))+(CI382*(CI393/365))+(CI383*(CI394/365))</f>
        <v>56.365222677534248</v>
      </c>
      <c r="CK396" s="751">
        <f>+(CK374*1)+(CK377*(CK388/182.5))+(CK378*(CK389/182.5))+(CK379*(CK390/182.5))+(CK380*(CK391/182.5))+(CK381*(CK392/182.5))+(CK382*(CK393/182.5))+(CK383*(CK394/182.5))</f>
        <v>56.869896191780825</v>
      </c>
      <c r="CL396" s="752">
        <f>+(CL374*1)+(CL377*(CL388/182.5))+(CL378*(CL389/182.5))+(CL379*(CL390/182.5))+(CL380*(CL391/182.5))+(CL381*(CL392/182.5))+(CL382*(CL393/182.5))+(CL383*(CL394/182.5))</f>
        <v>56.89026100000001</v>
      </c>
      <c r="CM396" s="750">
        <v>56.890261000000002</v>
      </c>
      <c r="CN396" s="749">
        <f>+(CN374*1)+(CN377*(CN388/182.5))+(CN378*(CN389/182.5))+(CN379*(CN390/182.5))+(CN380*(CN391/182.5))+(CN381*(CN392/182.5))+(CN382*(CN393/182.5))+(CN383*(CN394/182.5))</f>
        <v>56.924379999999999</v>
      </c>
      <c r="CO396" s="749">
        <f>+(CO374*1)+(CO377*(CO388/182.5))+(CO378*(CO389/182.5))+(CO379*(CO390/182.5))+(CO380*(CO391/182.5))+(CO381*(CO392/182.5))+(CO382*(CO393/182.5))+(CO383*(CO394/182.5))</f>
        <v>56.924379999999999</v>
      </c>
      <c r="CP396" s="750">
        <v>56.915289000000001</v>
      </c>
      <c r="CQ396" s="749">
        <f>+(CQ374*1)+(CQ377*(CQ388/182.5))+(CQ378*(CQ389/182.5))+(CQ379*(CQ390/182.5))+(CQ380*(CQ391/182.5))+(CQ381*(CQ392/182.5))+(CQ382*(CQ393/182.5))+(CQ383*(CQ394/182.5))</f>
        <v>56.945248999999997</v>
      </c>
      <c r="CR396" s="749">
        <f>+(CR374*1)+(CR377*(CR388/182.5))+(CR378*(CR389/182.5))+(CR379*(CR390/182.5))+(CR380*(CR391/182.5))+(CR381*(CR392/182.5))+(CR382*(CR393/182.5))+(CR383*(CR394/182.5))</f>
        <v>56.945248999999997</v>
      </c>
      <c r="CS396" s="750">
        <v>56.951211999999998</v>
      </c>
      <c r="CT396" s="749">
        <f>+(CT374*1)+(CT377*(CT388/182.5))+(CT378*(CT389/182.5))+(CT379*(CT390/182.5))+(CT380*(CT391/182.5))+(CT381*(CT392/182.5))+(CT382*(CT393/182.5))+(CT383*(CT394/182.5))</f>
        <v>56.957273999999998</v>
      </c>
      <c r="CU396" s="749">
        <f>+(CU374*1)+(CU377*(CU388/182.5))+(CU378*(CU389/182.5))+(CU379*(CU390/182.5))+(CU380*(CU391/182.5))+(CU381*(CU392/182.5))+(CU382*(CU393/182.5))+(CU383*(CU394/182.5))</f>
        <v>57.253077616438347</v>
      </c>
      <c r="CV396" s="750">
        <v>57.144578000000003</v>
      </c>
      <c r="CW396" s="750">
        <v>57.350760000000001</v>
      </c>
      <c r="CX396" s="749">
        <f>+(CX374*1)+(CX377*(CX388/182.5))+(CX378*(CX389/182.5))+(CX379*(CX390/182.5))+(CX380*(CX391/182.5))+(CX381*(CX392/182.5))+(CX382*(CX393/182.5))+(CX383*(CX394/182.5))</f>
        <v>57.199263999999992</v>
      </c>
      <c r="CY396" s="749">
        <f>+(CY374*1)+(CW377*((182.5+CW388)/365))+(CW378*((182.5+CW389)/365))+(CW379*((182.5+CW390)/365))+(CW380*((182.5+CW391)/365))+(CW381*((182.5+CW392)/365))+(CW382*((182.5+CW393)/365))+(CW383*((182.5+CW394)/365))+(CX377*(CX388/365))+(CX378*(CX389/365))+(CX379*(CX390/365))+(CX380*(CX391/365))+(CX381*(CX392/365))+(CX382*(CX393/365))+(CX383*(CX394/365))</f>
        <v>57.199263999999992</v>
      </c>
      <c r="CZ396" s="749">
        <v>57.508127000000002</v>
      </c>
      <c r="DA396" s="749">
        <f>WACB_18</f>
        <v>57.527664999999999</v>
      </c>
      <c r="DB396" s="753">
        <v>57.527664999999999</v>
      </c>
      <c r="DC396" s="753">
        <f>+(DC374*1)+(DC377*(DC388/182.5))+(DC378*(DC389/182.5))+(DC379*(DC390/182.5))+(DC380*(DC391/182.5))+(DC381*(DC392/182.5))+(DC382*(DC393/182.5))+(DC383*(DC394/182.5))</f>
        <v>57.660634620273974</v>
      </c>
      <c r="DD396" s="749">
        <f>+(DD374*1)+(DD377*(DD388/182.5))+(DD378*(DD389/182.5))+(DD379*(DD390/182.5))+(DD380*(DD391/182.5))+(DD381*(DD392/182.5))+(DD382*(DD393/182.5))+(DD383*(DD394/182.5))</f>
        <v>57.715785379726029</v>
      </c>
      <c r="DE396" s="753">
        <f>+(DE374*1)+(DC377*((182.5+DC388)/365))+(DC378*((182.5+DC389)/365))+(DC379*((182.5+DC390)/365))+(DC380*((182.5+DC391)/365))+(DC381*((182.5+DC392)/365))+(DC382*((182.5+DC393)/365))+(DC383*((182.5+DC394)/365))+(DD377*(DD388/365))+(DD378*(DD389/365))+(DD379*(DD390/365))+(DD380*(DD391/365))+(DD381*(DD392/365))+(DD382*(DD393/365))+(DD383*(DD394/365))</f>
        <v>57.688210000000005</v>
      </c>
      <c r="DF396" s="753">
        <f>+(DF374*1)+(DF377*(DF388/182.5))+(DF378*(DF389/182.5))+(DF379*(DF390/182.5))+(DF380*(DF391/182.5))+(DF381*(DF392/182.5))+(DF382*(DF393/182.5))+(DF383*(DF394/182.5))</f>
        <v>57.789827000000002</v>
      </c>
      <c r="DG396" s="749">
        <f>+(DG374*1)+(DG377*(DG388/182.5))+(DG378*(DG389/182.5))+(DG379*(DG390/182.5))+(DG380*(DG391/182.5))+(DG381*(DG392/182.5))+(DG382*(DG393/182.5))+(DG383*(DG394/182.5))</f>
        <v>61.479376999994727</v>
      </c>
      <c r="DH396" s="1308">
        <f>+(DH374*1)+(DF377*((182.5+DF388)/365))+(DF378*((182.5+DF389)/365))+(DF379*((182.5+DF390)/365))+(DF380*((182.5+DF391)/365))+(DF381*((182.5+DF392)/365))+(DF382*((182.5+DF393)/365))+(DF383*((182.5+DF394)/365))+(DG377*(DG388/365))+(DG378*(DG389/365))+(DG379*(DG390/365))+(DG380*(DG391/365))+(DG381*(DG392/365))+(DG382*(DG393/365))+(DG383*(DG394/365))</f>
        <v>59.634601999997365</v>
      </c>
      <c r="DI396" s="1376">
        <v>65.723344999999995</v>
      </c>
      <c r="DJ396" s="749">
        <f>+(DJ374*1)+(DJ377*(DJ388/182.5))+(DJ378*(DJ389/182.5))+(DJ379*(DJ390/182.5))+(DJ380*(DJ391/182.5))+(DJ381*(DJ392/182.5))+(DJ382*(DJ393/182.5))+(DJ383*(DJ394/182.5))</f>
        <v>65.74379398630137</v>
      </c>
      <c r="DK396" s="1308">
        <f>+(DK374*1)+(DI377*((182.5+DI388)/365))+(DI378*((182.5+DI389)/365))+(DI379*((182.5+DI390)/365))+(DI380*((182.5+DI391)/365))+(DI381*((182.5+DI392)/365))+(DI382*((182.5+DI393)/365))+(DI383*((182.5+DI394)/365))+(DJ377*(DJ388/365))+(DJ378*(DJ389/365))+(DJ379*(DJ390/365))+(DJ380*(DJ391/365))+(DJ381*(DJ392/365))+(DJ382*(DJ393/365))+(DJ383*(DJ394/365))</f>
        <v>65.718552212328774</v>
      </c>
      <c r="DL396" s="1376">
        <v>65.765711999999994</v>
      </c>
      <c r="DM396" s="749">
        <v>65.770438999999996</v>
      </c>
      <c r="DN396" s="1308">
        <f>+(DN374*1)+(DL377*((182.5+DL388)/365))+(DL378*((182.5+DL389)/365))+(DL379*((182.5+DL390)/365))+(DL380*((182.5+DL391)/365))+(DL381*((182.5+DL392)/365))+(DL382*((182.5+DL393)/365))+(DL383*((182.5+DL394)/365))+(DM377*(DM388/365))+(DM378*(DM389/365))+(DM379*(DM390/365))+(DM380*(DM391/365))+(DM381*(DM392/365))+(DM382*(DM393/365))+(DM383*(DM394/365))</f>
        <v>65.754895000000005</v>
      </c>
      <c r="DO396" s="1376">
        <v>65.779227000000006</v>
      </c>
      <c r="DP396" s="749">
        <f>DQ396</f>
        <v>65.762443000000005</v>
      </c>
      <c r="DQ396" s="1375">
        <v>65.762443000000005</v>
      </c>
      <c r="DR396" s="1376">
        <v>65.578726000000003</v>
      </c>
      <c r="DS396" s="749">
        <f>+(DS374*1)+(DS377*(DS388/182.5))+(DS378*(DS389/182.5))+(DS379*(DS390/182.5))+(DS380*(DS391/182.5))+(DS381*(DS392/182.5))+(DS382*(DS393/182.5))+(DS383*(DS394/182.5))</f>
        <v>65.571648999999994</v>
      </c>
      <c r="DT396" s="1375">
        <v>65.536708000000004</v>
      </c>
      <c r="DU396" s="1376">
        <v>65.469179999999994</v>
      </c>
      <c r="DV396" s="749">
        <f>+(DV374*1)+(DV377*(DV388/182.5))+(DV378*(DV389/182.5))+(DV379*(DV390/182.5))+(DV380*(DV391/182.5))+(DV381*(DV392/182.5))+(DV382*(DV393/182.5))+(DV383*(DV394/182.5))</f>
        <v>65.449161000000004</v>
      </c>
      <c r="DW396" s="1375">
        <v>65.438098999999994</v>
      </c>
      <c r="DX396" s="1376">
        <v>65.397003999999995</v>
      </c>
      <c r="DY396" s="749">
        <f>+(DY374*1)+(DY377*(DY388/182.5))+(DY378*(DY389/182.5))+(DY379*(DY390/182.5))+(DY380*(DY391/182.5))+(DY381*(DY392/182.5))+(DY382*(DY393/182.5))+(DY383*(DY394/182.5))</f>
        <v>65.15557384949436</v>
      </c>
      <c r="DZ396" s="1308">
        <f>+(DZ374*1)+(DX377*((182.5+DX388)/365))+(DX378*((182.5+DX389)/365))+(DX379*((182.5+DX390)/365))+(DX380*((182.5+DX391)/365))+(DX381*((182.5+DX392)/365))+(DX382*((182.5+DX393)/365))+(DX383*((182.5+DX394)/365))+(DY377*(DY388/365))+(DY378*(DY389/365))+(DY379*(DY390/365))+(DY380*(DY391/365))+(DY381*(DY392/365))+(DY382*(DY393/365))+(DY383*(DY394/365))</f>
        <v>65.244806449137428</v>
      </c>
      <c r="EA396" s="749">
        <f>+(EA374*1)+(EA377*(EA388/182.5))+(EA378*(EA389/182.5))+(EA379*(EA390/182.5))+(EA380*(EA391/182.5))+(EA381*(EA392/182.5))+(EA382*(EA393/182.5))+(EA383*(EA394/182.5))</f>
        <v>64.923423996764413</v>
      </c>
      <c r="EB396" s="749">
        <f>+(EB374*1)+(EB377*(EB388/182.5))+(EB378*(EB389/182.5))+(EB379*(EB390/182.5))+(EB380*(EB391/182.5))+(EB381*(EB392/182.5))+(EB382*(EB393/182.5))+(EB383*(EB394/182.5))</f>
        <v>64.696936335564473</v>
      </c>
      <c r="EC396" s="1308">
        <f>+(EC374*1)+(EA377*((182.5+EA388)/365))+(EA378*((182.5+EA389)/365))+(EA379*((182.5+EA390)/365))+(EA380*((182.5+EA391)/365))+(EA381*((182.5+EA392)/365))+(EA382*((182.5+EA393)/365))+(EA383*((182.5+EA394)/365))+(EB377*(EB388/365))+(EB378*(EB389/365))+(EB379*(EB390/365))+(EB380*(EB391/365))+(EB381*(EB392/365))+(EB382*(EB393/365))+(EB383*(EB394/365))</f>
        <v>64.810180166164443</v>
      </c>
      <c r="ED396" s="749">
        <f>+(ED374*1)+(ED377*(ED388/182.5))+(ED378*(ED389/182.5))+(ED379*(ED390/182.5))+(ED380*(ED391/182.5))+(ED381*(ED392/182.5))+(ED382*(ED393/182.5))+(ED383*(ED394/182.5))</f>
        <v>64.696936335564473</v>
      </c>
      <c r="EE396" s="749">
        <f>+(EE374*1)+(EE377*(EE388/182.5))+(EE378*(EE389/182.5))+(EE379*(EE390/182.5))+(EE380*(EE391/182.5))+(EE381*(EE392/182.5))+(EE382*(EE393/182.5))+(EE383*(EE394/182.5))</f>
        <v>64.475972763662099</v>
      </c>
      <c r="EF396" s="1308">
        <f>+(EF374*1)+(ED377*((182.5+ED388)/365))+(ED378*((182.5+ED389)/365))+(ED379*((182.5+ED390)/365))+(ED380*((182.5+ED391)/365))+(ED381*((182.5+ED392)/365))+(ED382*((182.5+ED393)/365))+(ED383*((182.5+ED394)/365))+(EE377*(EE388/365))+(EE378*(EE389/365))+(EE379*(EE390/365))+(EE380*(EE391/365))+(EE381*(EE392/365))+(EE382*(EE393/365))+(EE383*(EE394/365))</f>
        <v>64.586454549613279</v>
      </c>
      <c r="EG396" s="749">
        <f>+(EG374*1)+(EG377*(EG388/182.5))+(EG378*(EG389/182.5))+(EG379*(EG390/182.5))+(EG380*(EG391/182.5))+(EG381*(EG392/182.5))+(EG382*(EG393/182.5))+(EG383*(EG394/182.5))</f>
        <v>64.260398547171974</v>
      </c>
      <c r="EH396" s="749">
        <f>+(EH374*1)+(EH377*(EH388/182.5))+(EH378*(EH389/182.5))+(EH379*(EH390/182.5))+(EH380*(EH391/182.5))+(EH381*(EH392/182.5))+(EH382*(EH393/182.5))+(EH383*(EH394/182.5))</f>
        <v>64.260398547171974</v>
      </c>
      <c r="EI396" s="1308">
        <f>+(EI374*1)+(EG377*((182.5+EG388)/365))+(EG378*((182.5+EG389)/365))+(EG379*((182.5+EG390)/365))+(EG380*((182.5+EG391)/365))+(EG381*((182.5+EG392)/365))+(EG382*((182.5+EG393)/365))+(EG383*((182.5+EG394)/365))+(EH377*(EH388/365))+(EH378*(EH389/365))+(EH379*(EH390/365))+(EH380*(EH391/365))+(EH381*(EH392/365))+(EH382*(EH393/365))+(EH383*(EH394/365))</f>
        <v>64.260398547171974</v>
      </c>
      <c r="EJ396" s="749">
        <f>+(EJ374*1)+(EJ377*(EJ388/182.5))+(EJ378*(EJ389/182.5))+(EJ379*(EJ390/182.5))+(EJ380*(EJ391/182.5))+(EJ381*(EJ392/182.5))+(EJ382*(EJ393/182.5))+(EJ383*(EJ394/182.5))</f>
        <v>64.260398547171974</v>
      </c>
      <c r="EK396" s="749">
        <f>+(EK374*1)+(EK377*(EK388/182.5))+(EK378*(EK389/182.5))+(EK379*(EK390/182.5))+(EK380*(EK391/182.5))+(EK381*(EK392/182.5))+(EK382*(EK393/182.5))+(EK383*(EK394/182.5))</f>
        <v>64.260398547171974</v>
      </c>
      <c r="EL396" s="1308">
        <f>+(EL374*1)+(EJ377*((182.5+EJ388)/365))+(EJ378*((182.5+EJ389)/365))+(EJ379*((182.5+EJ390)/365))+(EJ380*((182.5+EJ391)/365))+(EJ381*((182.5+EJ392)/365))+(EJ382*((182.5+EJ393)/365))+(EJ383*((182.5+EJ394)/365))+(EK377*(EK388/365))+(EK378*(EK389/365))+(EK379*(EK390/365))+(EK380*(EK391/365))+(EK381*(EK392/365))+(EK382*(EK393/365))+(EK383*(EK394/365))</f>
        <v>64.260398547171974</v>
      </c>
      <c r="EM396" s="749">
        <f>+(EM374*1)+(EM377*(EM388/182.5))+(EM378*(EM389/182.5))+(EM379*(EM390/182.5))+(EM380*(EM391/182.5))+(EM381*(EM392/182.5))+(EM382*(EM393/182.5))+(EM383*(EM394/182.5))</f>
        <v>64.260398547171974</v>
      </c>
      <c r="EN396" s="749">
        <f>+(EN374*1)+(EN377*(EN388/182.5))+(EN378*(EN389/182.5))+(EN379*(EN390/182.5))+(EN380*(EN391/182.5))+(EN381*(EN392/182.5))+(EN382*(EN393/182.5))+(EN383*(EN394/182.5))</f>
        <v>64.260398547171974</v>
      </c>
      <c r="EO396" s="1308">
        <f>+(EO374*1)+(EM377*((182.5+EM388)/365))+(EM378*((182.5+EM389)/365))+(EM379*((182.5+EM390)/365))+(EM380*((182.5+EM391)/365))+(EM381*((182.5+EM392)/365))+(EM382*((182.5+EM393)/365))+(EM383*((182.5+EM394)/365))+(EN377*(EN388/365))+(EN378*(EN389/365))+(EN379*(EN390/365))+(EN380*(EN391/365))+(EN381*(EN392/365))+(EN382*(EN393/365))+(EN383*(EN394/365))</f>
        <v>64.260398547171974</v>
      </c>
      <c r="EP396" s="749">
        <f>+(EP374*1)+(EP377*(EP388/182.5))+(EP378*(EP389/182.5))+(EP379*(EP390/182.5))+(EP380*(EP391/182.5))+(EP381*(EP392/182.5))+(EP382*(EP393/182.5))+(EP383*(EP394/182.5))</f>
        <v>64.260398547171974</v>
      </c>
      <c r="EQ396" s="749">
        <f>+(EQ374*1)+(EQ377*(EQ388/182.5))+(EQ378*(EQ389/182.5))+(EQ379*(EQ390/182.5))+(EQ380*(EQ391/182.5))+(EQ381*(EQ392/182.5))+(EQ382*(EQ393/182.5))+(EQ383*(EQ394/182.5))</f>
        <v>64.260398547171974</v>
      </c>
      <c r="ER396" s="1308">
        <f>+(ER374*1)+(EP377*((182.5+EP388)/365))+(EP378*((182.5+EP389)/365))+(EP379*((182.5+EP390)/365))+(EP380*((182.5+EP391)/365))+(EP381*((182.5+EP392)/365))+(EP382*((182.5+EP393)/365))+(EP383*((182.5+EP394)/365))+(EQ377*(EQ388/365))+(EQ378*(EQ389/365))+(EQ379*(EQ390/365))+(EQ380*(EQ391/365))+(EQ381*(EQ392/365))+(EQ382*(EQ393/365))+(EQ383*(EQ394/365))</f>
        <v>64.260398547171974</v>
      </c>
      <c r="ES396" s="749">
        <f>+(ES374*1)+(ES377*(ES388/182.5))+(ES378*(ES389/182.5))+(ES379*(ES390/182.5))+(ES380*(ES391/182.5))+(ES381*(ES392/182.5))+(ES382*(ES393/182.5))+(ES383*(ES394/182.5))</f>
        <v>64.260398547171974</v>
      </c>
      <c r="ET396" s="749">
        <f>+(ET374*1)+(ET377*(ET388/182.5))+(ET378*(ET389/182.5))+(ET379*(ET390/182.5))+(ET380*(ET391/182.5))+(ET381*(ET392/182.5))+(ET382*(ET393/182.5))+(ET383*(ET394/182.5))</f>
        <v>64.260398547171974</v>
      </c>
      <c r="EU396" s="1308">
        <f>+(EU374*1)+(ES377*((182.5+ES388)/365))+(ES378*((182.5+ES389)/365))+(ES379*((182.5+ES390)/365))+(ES380*((182.5+ES391)/365))+(ES381*((182.5+ES392)/365))+(ES382*((182.5+ES393)/365))+(ES383*((182.5+ES394)/365))+(ET377*(ET388/365))+(ET378*(ET389/365))+(ET379*(ET390/365))+(ET380*(ET391/365))+(ET381*(ET392/365))+(ET382*(ET393/365))+(ET383*(ET394/365))</f>
        <v>64.260398547171974</v>
      </c>
      <c r="EV396" s="749">
        <f>+(EV374*1)+(EV377*(EV388/182.5))+(EV378*(EV389/182.5))+(EV379*(EV390/182.5))+(EV380*(EV391/182.5))+(EV381*(EV392/182.5))+(EV382*(EV393/182.5))+(EV383*(EV394/182.5))</f>
        <v>64.260398547171974</v>
      </c>
      <c r="EW396" s="749">
        <f>+(EW374*1)+(EW377*(EW388/182.5))+(EW378*(EW389/182.5))+(EW379*(EW390/182.5))+(EW380*(EW391/182.5))+(EW381*(EW392/182.5))+(EW382*(EW393/182.5))+(EW383*(EW394/182.5))</f>
        <v>64.260398547171974</v>
      </c>
      <c r="EX396" s="1308">
        <f>+(EX374*1)+(EV377*((182.5+EV388)/365))+(EV378*((182.5+EV389)/365))+(EV379*((182.5+EV390)/365))+(EV380*((182.5+EV391)/365))+(EV381*((182.5+EV392)/365))+(EV382*((182.5+EV393)/365))+(EV383*((182.5+EV394)/365))+(EW377*(EW388/365))+(EW378*(EW389/365))+(EW379*(EW390/365))+(EW380*(EW391/365))+(EW381*(EW392/365))+(EW382*(EW393/365))+(EW383*(EW394/365))</f>
        <v>64.260398547171974</v>
      </c>
      <c r="EY396" s="749">
        <f>+(EY374*1)+(EY377*(EY388/182.5))+(EY378*(EY389/182.5))+(EY379*(EY390/182.5))+(EY380*(EY391/182.5))+(EY381*(EY392/182.5))+(EY382*(EY393/182.5))+(EY383*(EY394/182.5))</f>
        <v>64.260398547171974</v>
      </c>
      <c r="EZ396" s="749">
        <f>+(EZ374*1)+(EZ377*(EZ388/182.5))+(EZ378*(EZ389/182.5))+(EZ379*(EZ390/182.5))+(EZ380*(EZ391/182.5))+(EZ381*(EZ392/182.5))+(EZ382*(EZ393/182.5))+(EZ383*(EZ394/182.5))</f>
        <v>64.260398547171974</v>
      </c>
      <c r="FA396" s="1308">
        <f>+(FA374*1)+(EY377*((182.5+EY388)/365))+(EY378*((182.5+EY389)/365))+(EY379*((182.5+EY390)/365))+(EY380*((182.5+EY391)/365))+(EY381*((182.5+EY392)/365))+(EY382*((182.5+EY393)/365))+(EY383*((182.5+EY394)/365))+(EZ377*(EZ388/365))+(EZ378*(EZ389/365))+(EZ379*(EZ390/365))+(EZ380*(EZ391/365))+(EZ381*(EZ392/365))+(EZ382*(EZ393/365))+(EZ383*(EZ394/365))</f>
        <v>64.260398547171974</v>
      </c>
      <c r="FE396"/>
      <c r="FF396"/>
      <c r="FG396"/>
      <c r="FH396"/>
      <c r="FI396"/>
      <c r="FJ396"/>
      <c r="FK396" s="35"/>
    </row>
    <row r="397" spans="2:167" s="235" customFormat="1" ht="13.35" customHeight="1" thickBot="1">
      <c r="B397" s="401" t="s">
        <v>834</v>
      </c>
      <c r="C397" s="593"/>
      <c r="D397" s="594"/>
      <c r="E397" s="754">
        <f t="shared" ref="E397:N397" si="1206">+E409</f>
        <v>0</v>
      </c>
      <c r="F397" s="754">
        <f t="shared" si="1206"/>
        <v>0</v>
      </c>
      <c r="G397" s="754">
        <f t="shared" si="1206"/>
        <v>0</v>
      </c>
      <c r="H397" s="754">
        <f t="shared" si="1206"/>
        <v>0</v>
      </c>
      <c r="I397" s="754">
        <f t="shared" si="1206"/>
        <v>0</v>
      </c>
      <c r="J397" s="754">
        <f t="shared" si="1206"/>
        <v>0</v>
      </c>
      <c r="K397" s="754">
        <f t="shared" si="1206"/>
        <v>0</v>
      </c>
      <c r="L397" s="754">
        <f t="shared" si="1206"/>
        <v>0</v>
      </c>
      <c r="M397" s="754">
        <f t="shared" si="1206"/>
        <v>0</v>
      </c>
      <c r="N397" s="754">
        <f t="shared" si="1206"/>
        <v>0</v>
      </c>
      <c r="O397" s="754">
        <f t="shared" ref="O397:X397" si="1207">+O409</f>
        <v>0</v>
      </c>
      <c r="P397" s="754">
        <f t="shared" si="1207"/>
        <v>0</v>
      </c>
      <c r="Q397" s="754">
        <f t="shared" si="1207"/>
        <v>0</v>
      </c>
      <c r="R397" s="754">
        <f t="shared" si="1207"/>
        <v>0</v>
      </c>
      <c r="S397" s="754">
        <f t="shared" si="1207"/>
        <v>0</v>
      </c>
      <c r="T397" s="754">
        <f t="shared" si="1207"/>
        <v>0</v>
      </c>
      <c r="U397" s="754">
        <f t="shared" si="1207"/>
        <v>0</v>
      </c>
      <c r="V397" s="754">
        <f t="shared" si="1207"/>
        <v>0</v>
      </c>
      <c r="W397" s="754">
        <f t="shared" si="1207"/>
        <v>0</v>
      </c>
      <c r="X397" s="754">
        <f t="shared" si="1207"/>
        <v>0</v>
      </c>
      <c r="Y397" s="754">
        <f t="shared" ref="Y397:AH397" si="1208">+Y409</f>
        <v>0</v>
      </c>
      <c r="Z397" s="754">
        <f t="shared" si="1208"/>
        <v>0</v>
      </c>
      <c r="AA397" s="754">
        <f t="shared" si="1208"/>
        <v>0</v>
      </c>
      <c r="AB397" s="754">
        <f t="shared" si="1208"/>
        <v>0</v>
      </c>
      <c r="AC397" s="754">
        <f t="shared" si="1208"/>
        <v>0</v>
      </c>
      <c r="AD397" s="754">
        <f t="shared" si="1208"/>
        <v>0</v>
      </c>
      <c r="AE397" s="754">
        <f t="shared" si="1208"/>
        <v>0</v>
      </c>
      <c r="AF397" s="754">
        <f t="shared" si="1208"/>
        <v>0</v>
      </c>
      <c r="AG397" s="754">
        <f t="shared" si="1208"/>
        <v>0</v>
      </c>
      <c r="AH397" s="754">
        <f t="shared" si="1208"/>
        <v>0</v>
      </c>
      <c r="AI397" s="754">
        <f t="shared" ref="AI397:AR397" si="1209">+AI409</f>
        <v>0</v>
      </c>
      <c r="AJ397" s="754">
        <f t="shared" si="1209"/>
        <v>0</v>
      </c>
      <c r="AK397" s="754">
        <f t="shared" si="1209"/>
        <v>0</v>
      </c>
      <c r="AL397" s="754">
        <f t="shared" si="1209"/>
        <v>1.88</v>
      </c>
      <c r="AM397" s="754">
        <f t="shared" si="1209"/>
        <v>1.88</v>
      </c>
      <c r="AN397" s="754">
        <f t="shared" si="1209"/>
        <v>1.88</v>
      </c>
      <c r="AO397" s="754">
        <f t="shared" si="1209"/>
        <v>1.88</v>
      </c>
      <c r="AP397" s="754">
        <f t="shared" si="1209"/>
        <v>2.0739999999999998</v>
      </c>
      <c r="AQ397" s="754">
        <f t="shared" si="1209"/>
        <v>2.0739999999999998</v>
      </c>
      <c r="AR397" s="754">
        <f t="shared" si="1209"/>
        <v>2.0739999999999998</v>
      </c>
      <c r="AS397" s="754">
        <f t="shared" ref="AS397:BB397" si="1210">+AS409</f>
        <v>2.0539999999999998</v>
      </c>
      <c r="AT397" s="754">
        <f t="shared" si="1210"/>
        <v>2.0539999999999998</v>
      </c>
      <c r="AU397" s="754">
        <f t="shared" si="1210"/>
        <v>1.42</v>
      </c>
      <c r="AV397" s="754">
        <f t="shared" si="1210"/>
        <v>1.8519999999999999</v>
      </c>
      <c r="AW397" s="754">
        <f t="shared" si="1210"/>
        <v>1.8519999999999999</v>
      </c>
      <c r="AX397" s="754">
        <f t="shared" si="1210"/>
        <v>1.8440000000000001</v>
      </c>
      <c r="AY397" s="754">
        <f t="shared" si="1210"/>
        <v>1.8489999999999998</v>
      </c>
      <c r="AZ397" s="754">
        <f t="shared" si="1210"/>
        <v>1.8489999999999998</v>
      </c>
      <c r="BA397" s="754">
        <f t="shared" si="1210"/>
        <v>2.101</v>
      </c>
      <c r="BB397" s="754">
        <f t="shared" si="1210"/>
        <v>2.181</v>
      </c>
      <c r="BC397" s="754">
        <f t="shared" ref="BC397:BO397" si="1211">+BC409</f>
        <v>2.181</v>
      </c>
      <c r="BD397" s="754">
        <f t="shared" si="1211"/>
        <v>2.181</v>
      </c>
      <c r="BE397" s="754">
        <f t="shared" si="1211"/>
        <v>2.181</v>
      </c>
      <c r="BF397" s="754">
        <f t="shared" si="1211"/>
        <v>2.181</v>
      </c>
      <c r="BG397" s="754">
        <f t="shared" si="1211"/>
        <v>2.181</v>
      </c>
      <c r="BH397" s="754">
        <f t="shared" si="1211"/>
        <v>2.181</v>
      </c>
      <c r="BI397" s="754">
        <f t="shared" si="1211"/>
        <v>2.181</v>
      </c>
      <c r="BJ397" s="754">
        <f t="shared" si="1211"/>
        <v>2.181</v>
      </c>
      <c r="BK397" s="754">
        <f t="shared" si="1211"/>
        <v>2.181</v>
      </c>
      <c r="BL397" s="754">
        <f t="shared" si="1211"/>
        <v>2.181</v>
      </c>
      <c r="BM397" s="754">
        <f t="shared" si="1211"/>
        <v>2.181</v>
      </c>
      <c r="BN397" s="754">
        <f t="shared" si="1211"/>
        <v>2.181</v>
      </c>
      <c r="BO397" s="754">
        <f t="shared" si="1211"/>
        <v>2.181</v>
      </c>
      <c r="BP397" s="754">
        <f t="shared" ref="BP397:DG397" si="1212">+BP409</f>
        <v>2.181</v>
      </c>
      <c r="BQ397" s="754">
        <f t="shared" si="1212"/>
        <v>2.181</v>
      </c>
      <c r="BR397" s="754">
        <f t="shared" si="1212"/>
        <v>2.181</v>
      </c>
      <c r="BS397" s="754">
        <f t="shared" si="1212"/>
        <v>0.73081099999999999</v>
      </c>
      <c r="BT397" s="754">
        <f t="shared" si="1212"/>
        <v>0.73081099999999999</v>
      </c>
      <c r="BU397" s="754">
        <f t="shared" si="1212"/>
        <v>0.73081099999999999</v>
      </c>
      <c r="BV397" s="754">
        <f>CS_WAC_H1_08-BV396</f>
        <v>0.38034700000000043</v>
      </c>
      <c r="BW397" s="754">
        <f t="shared" si="1212"/>
        <v>0.414715</v>
      </c>
      <c r="BX397" s="754">
        <f t="shared" si="1212"/>
        <v>0.414715</v>
      </c>
      <c r="BY397" s="754">
        <f t="shared" si="1212"/>
        <v>0.21846699999999999</v>
      </c>
      <c r="BZ397" s="754">
        <f t="shared" si="1212"/>
        <v>0.13378900000000016</v>
      </c>
      <c r="CA397" s="754">
        <f>CS_WAC_09-WACB_09</f>
        <v>0.13378900000000016</v>
      </c>
      <c r="CB397" s="754">
        <f>+CB409</f>
        <v>0.26116699999999998</v>
      </c>
      <c r="CC397" s="754">
        <f t="shared" si="1212"/>
        <v>0.61882100000000007</v>
      </c>
      <c r="CD397" s="755">
        <f t="shared" si="1212"/>
        <v>0.61882100000000007</v>
      </c>
      <c r="CE397" s="755">
        <f t="shared" si="1212"/>
        <v>0.35139799999999999</v>
      </c>
      <c r="CF397" s="755">
        <f t="shared" si="1212"/>
        <v>0.39294900000000155</v>
      </c>
      <c r="CG397" s="755">
        <f t="shared" si="1212"/>
        <v>0.39294900000000155</v>
      </c>
      <c r="CH397" s="756">
        <v>0.12778300000000001</v>
      </c>
      <c r="CI397" s="755">
        <f t="shared" si="1212"/>
        <v>0.39294900000000155</v>
      </c>
      <c r="CJ397" s="755">
        <f t="shared" si="1212"/>
        <v>0.39294900000000155</v>
      </c>
      <c r="CK397" s="756">
        <v>0.18221699999999999</v>
      </c>
      <c r="CL397" s="756">
        <v>0.156835</v>
      </c>
      <c r="CM397" s="755">
        <f>CL397</f>
        <v>0.156835</v>
      </c>
      <c r="CN397" s="756">
        <v>0.12518499999999999</v>
      </c>
      <c r="CO397" s="755">
        <f t="shared" si="1212"/>
        <v>1.5447000000000001E-2</v>
      </c>
      <c r="CP397" s="755">
        <f t="shared" si="1212"/>
        <v>1.5447000000000001E-2</v>
      </c>
      <c r="CQ397" s="755">
        <f t="shared" si="1212"/>
        <v>0.20487900000000001</v>
      </c>
      <c r="CR397" s="755">
        <f t="shared" si="1212"/>
        <v>0.277028</v>
      </c>
      <c r="CS397" s="755">
        <f t="shared" si="1212"/>
        <v>0.277028</v>
      </c>
      <c r="CT397" s="755">
        <f t="shared" si="1212"/>
        <v>8.4977999999999998E-2</v>
      </c>
      <c r="CU397" s="755">
        <f t="shared" si="1212"/>
        <v>9.8707000000000003E-2</v>
      </c>
      <c r="CV397" s="755">
        <f t="shared" si="1212"/>
        <v>9.8707000000000003E-2</v>
      </c>
      <c r="CW397" s="755">
        <f t="shared" si="1212"/>
        <v>7.9881999999999995E-2</v>
      </c>
      <c r="CX397" s="755">
        <f t="shared" si="1212"/>
        <v>0.18905</v>
      </c>
      <c r="CY397" s="755">
        <f t="shared" si="1212"/>
        <v>0.18905</v>
      </c>
      <c r="CZ397" s="755">
        <f t="shared" si="1212"/>
        <v>6.5436999999999995E-2</v>
      </c>
      <c r="DA397" s="755">
        <f t="shared" si="1212"/>
        <v>6.5436999999999995E-2</v>
      </c>
      <c r="DB397" s="755">
        <f>CS_WAC_18-WACB_18</f>
        <v>7.3802999999998065E-2</v>
      </c>
      <c r="DC397" s="755">
        <v>2.3466379726031324E-2</v>
      </c>
      <c r="DD397" s="755">
        <f t="shared" si="1212"/>
        <v>2.1942999999997527E-2</v>
      </c>
      <c r="DE397" s="755">
        <f t="shared" si="1212"/>
        <v>2.1942999999997527E-2</v>
      </c>
      <c r="DF397" s="755">
        <f t="shared" si="1212"/>
        <v>1.4437999999992457E-2</v>
      </c>
      <c r="DG397" s="755">
        <f t="shared" si="1212"/>
        <v>0</v>
      </c>
      <c r="DH397" s="1309">
        <f>DG397</f>
        <v>0</v>
      </c>
      <c r="DI397" s="755">
        <f>DI398-DI396</f>
        <v>3.0700000000649652E-4</v>
      </c>
      <c r="DJ397" s="755">
        <f>65.734342-65.733271</f>
        <v>1.0709999999960473E-3</v>
      </c>
      <c r="DK397" s="1309">
        <f t="shared" ref="DK397:EL397" si="1213">DJ397</f>
        <v>1.0709999999960473E-3</v>
      </c>
      <c r="DL397" s="755">
        <f>65.767523-65.765712</f>
        <v>1.8110000000035598E-3</v>
      </c>
      <c r="DM397" s="755">
        <f t="shared" si="1213"/>
        <v>1.8110000000035598E-3</v>
      </c>
      <c r="DN397" s="1309">
        <f t="shared" si="1213"/>
        <v>1.8110000000035598E-3</v>
      </c>
      <c r="DO397" s="755">
        <f>DO398-DO396</f>
        <v>0</v>
      </c>
      <c r="DP397" s="755">
        <f>DQ397</f>
        <v>0.13440999999998837</v>
      </c>
      <c r="DQ397" s="1309">
        <f>DQ398-DQ396</f>
        <v>0.13440999999998837</v>
      </c>
      <c r="DR397" s="755">
        <f>DR398-DR396</f>
        <v>0.12803800000000365</v>
      </c>
      <c r="DS397" s="755">
        <f t="shared" si="1213"/>
        <v>0.12803800000000365</v>
      </c>
      <c r="DT397" s="1309">
        <f>DT398-DT396</f>
        <v>0.18394099999999014</v>
      </c>
      <c r="DU397" s="755">
        <f t="shared" si="1213"/>
        <v>0.18394099999999014</v>
      </c>
      <c r="DV397" s="755">
        <f t="shared" ref="DV397" si="1214">DU397</f>
        <v>0.18394099999999014</v>
      </c>
      <c r="DW397" s="1309">
        <f>DW398-DW396</f>
        <v>0.16812500000000341</v>
      </c>
      <c r="DX397" s="755">
        <f t="shared" si="1213"/>
        <v>0.16812500000000341</v>
      </c>
      <c r="DY397" s="755">
        <f t="shared" si="1213"/>
        <v>0.16812500000000341</v>
      </c>
      <c r="DZ397" s="1309">
        <f t="shared" si="1213"/>
        <v>0.16812500000000341</v>
      </c>
      <c r="EA397" s="755">
        <f t="shared" si="1213"/>
        <v>0.16812500000000341</v>
      </c>
      <c r="EB397" s="755">
        <f t="shared" si="1213"/>
        <v>0.16812500000000341</v>
      </c>
      <c r="EC397" s="1309">
        <f t="shared" si="1213"/>
        <v>0.16812500000000341</v>
      </c>
      <c r="ED397" s="755">
        <f t="shared" si="1213"/>
        <v>0.16812500000000341</v>
      </c>
      <c r="EE397" s="755">
        <f t="shared" si="1213"/>
        <v>0.16812500000000341</v>
      </c>
      <c r="EF397" s="1309">
        <f t="shared" si="1213"/>
        <v>0.16812500000000341</v>
      </c>
      <c r="EG397" s="755">
        <f t="shared" si="1213"/>
        <v>0.16812500000000341</v>
      </c>
      <c r="EH397" s="755">
        <f t="shared" si="1213"/>
        <v>0.16812500000000341</v>
      </c>
      <c r="EI397" s="1309">
        <f t="shared" si="1213"/>
        <v>0.16812500000000341</v>
      </c>
      <c r="EJ397" s="755">
        <f t="shared" si="1213"/>
        <v>0.16812500000000341</v>
      </c>
      <c r="EK397" s="755">
        <f t="shared" si="1213"/>
        <v>0.16812500000000341</v>
      </c>
      <c r="EL397" s="1309">
        <f t="shared" si="1213"/>
        <v>0.16812500000000341</v>
      </c>
      <c r="EM397" s="755">
        <f t="shared" ref="EM397:ER397" si="1215">EL397</f>
        <v>0.16812500000000341</v>
      </c>
      <c r="EN397" s="755">
        <f t="shared" si="1215"/>
        <v>0.16812500000000341</v>
      </c>
      <c r="EO397" s="1309">
        <f t="shared" si="1215"/>
        <v>0.16812500000000341</v>
      </c>
      <c r="EP397" s="755">
        <f t="shared" si="1215"/>
        <v>0.16812500000000341</v>
      </c>
      <c r="EQ397" s="755">
        <f t="shared" si="1215"/>
        <v>0.16812500000000341</v>
      </c>
      <c r="ER397" s="1309">
        <f t="shared" si="1215"/>
        <v>0.16812500000000341</v>
      </c>
      <c r="ES397" s="755">
        <f t="shared" ref="ES397" si="1216">ER397</f>
        <v>0.16812500000000341</v>
      </c>
      <c r="ET397" s="755">
        <f t="shared" ref="ET397" si="1217">ES397</f>
        <v>0.16812500000000341</v>
      </c>
      <c r="EU397" s="1309">
        <f t="shared" ref="EU397" si="1218">ET397</f>
        <v>0.16812500000000341</v>
      </c>
      <c r="EV397" s="755">
        <f t="shared" ref="EV397" si="1219">EU397</f>
        <v>0.16812500000000341</v>
      </c>
      <c r="EW397" s="755">
        <f t="shared" ref="EW397" si="1220">EV397</f>
        <v>0.16812500000000341</v>
      </c>
      <c r="EX397" s="1309">
        <f t="shared" ref="EX397" si="1221">EW397</f>
        <v>0.16812500000000341</v>
      </c>
      <c r="EY397" s="755">
        <f t="shared" ref="EY397" si="1222">EX397</f>
        <v>0.16812500000000341</v>
      </c>
      <c r="EZ397" s="755">
        <f t="shared" ref="EZ397" si="1223">EY397</f>
        <v>0.16812500000000341</v>
      </c>
      <c r="FA397" s="1309">
        <f t="shared" ref="FA397" si="1224">EZ397</f>
        <v>0.16812500000000341</v>
      </c>
      <c r="FE397"/>
      <c r="FF397"/>
      <c r="FG397"/>
      <c r="FH397"/>
      <c r="FI397"/>
      <c r="FJ397"/>
      <c r="FK397" s="35"/>
    </row>
    <row r="398" spans="2:167" s="235" customFormat="1" ht="13.35" customHeight="1" thickBot="1">
      <c r="B398" s="401" t="s">
        <v>258</v>
      </c>
      <c r="C398" s="593"/>
      <c r="D398" s="594"/>
      <c r="E398" s="757">
        <f t="shared" ref="E398:N398" si="1225">+E396+E397</f>
        <v>0</v>
      </c>
      <c r="F398" s="757">
        <f t="shared" si="1225"/>
        <v>0</v>
      </c>
      <c r="G398" s="757">
        <f t="shared" si="1225"/>
        <v>0</v>
      </c>
      <c r="H398" s="757">
        <f t="shared" si="1225"/>
        <v>0</v>
      </c>
      <c r="I398" s="757">
        <f t="shared" si="1225"/>
        <v>0</v>
      </c>
      <c r="J398" s="757">
        <f t="shared" si="1225"/>
        <v>0</v>
      </c>
      <c r="K398" s="757">
        <f t="shared" si="1225"/>
        <v>0</v>
      </c>
      <c r="L398" s="757">
        <f t="shared" si="1225"/>
        <v>0</v>
      </c>
      <c r="M398" s="757">
        <f t="shared" si="1225"/>
        <v>0</v>
      </c>
      <c r="N398" s="757">
        <f t="shared" si="1225"/>
        <v>0</v>
      </c>
      <c r="O398" s="757">
        <f t="shared" ref="O398:X398" si="1226">+O396+O397</f>
        <v>0</v>
      </c>
      <c r="P398" s="757">
        <f t="shared" si="1226"/>
        <v>0</v>
      </c>
      <c r="Q398" s="757">
        <f t="shared" si="1226"/>
        <v>0</v>
      </c>
      <c r="R398" s="757">
        <f t="shared" si="1226"/>
        <v>0</v>
      </c>
      <c r="S398" s="757">
        <f t="shared" si="1226"/>
        <v>0</v>
      </c>
      <c r="T398" s="757">
        <f t="shared" si="1226"/>
        <v>0</v>
      </c>
      <c r="U398" s="757">
        <f t="shared" si="1226"/>
        <v>0</v>
      </c>
      <c r="V398" s="757">
        <f t="shared" si="1226"/>
        <v>0</v>
      </c>
      <c r="W398" s="757">
        <f t="shared" si="1226"/>
        <v>0</v>
      </c>
      <c r="X398" s="757">
        <f t="shared" si="1226"/>
        <v>0</v>
      </c>
      <c r="Y398" s="757">
        <f t="shared" ref="Y398:AH398" si="1227">+Y396+Y397</f>
        <v>0</v>
      </c>
      <c r="Z398" s="757">
        <f t="shared" si="1227"/>
        <v>0</v>
      </c>
      <c r="AA398" s="757">
        <f t="shared" si="1227"/>
        <v>0</v>
      </c>
      <c r="AB398" s="757">
        <f t="shared" si="1227"/>
        <v>0</v>
      </c>
      <c r="AC398" s="757">
        <f t="shared" si="1227"/>
        <v>0</v>
      </c>
      <c r="AD398" s="757">
        <f t="shared" si="1227"/>
        <v>0</v>
      </c>
      <c r="AE398" s="757">
        <f t="shared" si="1227"/>
        <v>0</v>
      </c>
      <c r="AF398" s="757">
        <f t="shared" si="1227"/>
        <v>0</v>
      </c>
      <c r="AG398" s="757">
        <f t="shared" si="1227"/>
        <v>0</v>
      </c>
      <c r="AH398" s="757">
        <f t="shared" si="1227"/>
        <v>0</v>
      </c>
      <c r="AI398" s="757">
        <f t="shared" ref="AI398:AR398" si="1228">+AI396+AI397</f>
        <v>50</v>
      </c>
      <c r="AJ398" s="757">
        <f t="shared" si="1228"/>
        <v>50</v>
      </c>
      <c r="AK398" s="757">
        <f t="shared" si="1228"/>
        <v>50</v>
      </c>
      <c r="AL398" s="757">
        <f t="shared" si="1228"/>
        <v>51.88</v>
      </c>
      <c r="AM398" s="757">
        <f t="shared" si="1228"/>
        <v>51.88</v>
      </c>
      <c r="AN398" s="757">
        <f t="shared" si="1228"/>
        <v>51.88</v>
      </c>
      <c r="AO398" s="757">
        <f t="shared" si="1228"/>
        <v>51.88</v>
      </c>
      <c r="AP398" s="757">
        <f t="shared" si="1228"/>
        <v>52.073999999999998</v>
      </c>
      <c r="AQ398" s="757">
        <f t="shared" si="1228"/>
        <v>52.073999999999998</v>
      </c>
      <c r="AR398" s="757">
        <f t="shared" si="1228"/>
        <v>52.073999999999998</v>
      </c>
      <c r="AS398" s="757">
        <f t="shared" ref="AS398:BB398" si="1229">+AS396+AS397</f>
        <v>52.054000000000002</v>
      </c>
      <c r="AT398" s="757">
        <f t="shared" si="1229"/>
        <v>52.054000000000002</v>
      </c>
      <c r="AU398" s="757">
        <f t="shared" si="1229"/>
        <v>51.622512619315067</v>
      </c>
      <c r="AV398" s="757">
        <f t="shared" si="1229"/>
        <v>52.387749999999997</v>
      </c>
      <c r="AW398" s="757">
        <f t="shared" si="1229"/>
        <v>52.22113130965753</v>
      </c>
      <c r="AX398" s="757">
        <f t="shared" si="1229"/>
        <v>52.66544748219178</v>
      </c>
      <c r="AY398" s="757">
        <f t="shared" si="1229"/>
        <v>52.984013698630136</v>
      </c>
      <c r="AZ398" s="757">
        <f t="shared" si="1229"/>
        <v>52.827230590410956</v>
      </c>
      <c r="BA398" s="757">
        <f t="shared" si="1229"/>
        <v>53.658791917808216</v>
      </c>
      <c r="BB398" s="757">
        <f t="shared" si="1229"/>
        <v>54.198062999999998</v>
      </c>
      <c r="BC398" s="757">
        <f t="shared" ref="BC398:BO398" si="1230">+BC396+BC397</f>
        <v>53.968427458904102</v>
      </c>
      <c r="BD398" s="757">
        <f t="shared" si="1230"/>
        <v>54.198358999999996</v>
      </c>
      <c r="BE398" s="757">
        <f t="shared" si="1230"/>
        <v>54.674531493150681</v>
      </c>
      <c r="BF398" s="757">
        <f t="shared" si="1230"/>
        <v>54.436445246575339</v>
      </c>
      <c r="BG398" s="757">
        <f t="shared" si="1230"/>
        <v>54.681144999999994</v>
      </c>
      <c r="BH398" s="757">
        <f t="shared" si="1230"/>
        <v>55.243736232876707</v>
      </c>
      <c r="BI398" s="757">
        <f t="shared" si="1230"/>
        <v>54.96244061643835</v>
      </c>
      <c r="BJ398" s="757">
        <f t="shared" si="1230"/>
        <v>56.327742876712321</v>
      </c>
      <c r="BK398" s="757">
        <f t="shared" si="1230"/>
        <v>56.342689999999997</v>
      </c>
      <c r="BL398" s="757">
        <f t="shared" si="1230"/>
        <v>56.335216438356156</v>
      </c>
      <c r="BM398" s="757">
        <f t="shared" si="1230"/>
        <v>56.342689999999997</v>
      </c>
      <c r="BN398" s="757">
        <f t="shared" si="1230"/>
        <v>56.342689999999997</v>
      </c>
      <c r="BO398" s="757">
        <f t="shared" si="1230"/>
        <v>56.342689999999997</v>
      </c>
      <c r="BP398" s="757">
        <f t="shared" ref="BP398:DK398" si="1231">+BP396+BP397</f>
        <v>56.342689999999997</v>
      </c>
      <c r="BQ398" s="757">
        <f t="shared" si="1231"/>
        <v>56.342689999999997</v>
      </c>
      <c r="BR398" s="757">
        <f t="shared" si="1231"/>
        <v>56.342689999999997</v>
      </c>
      <c r="BS398" s="757">
        <f t="shared" si="1231"/>
        <v>55.443843465753424</v>
      </c>
      <c r="BT398" s="757">
        <f t="shared" si="1231"/>
        <v>55.451501</v>
      </c>
      <c r="BU398" s="757">
        <f t="shared" si="1231"/>
        <v>55.447672232876712</v>
      </c>
      <c r="BV398" s="758">
        <v>55.663815999999997</v>
      </c>
      <c r="BW398" s="757">
        <f t="shared" si="1231"/>
        <v>56.037565000000001</v>
      </c>
      <c r="BX398" s="757">
        <f t="shared" si="1231"/>
        <v>55.787184000000003</v>
      </c>
      <c r="BY398" s="757">
        <f t="shared" si="1231"/>
        <v>55.743212999999997</v>
      </c>
      <c r="BZ398" s="757">
        <f t="shared" si="1231"/>
        <v>55.877001999999997</v>
      </c>
      <c r="CA398" s="758">
        <v>55.981856000000001</v>
      </c>
      <c r="CB398" s="757">
        <f t="shared" si="1231"/>
        <v>56.397731</v>
      </c>
      <c r="CC398" s="757">
        <f t="shared" si="1231"/>
        <v>56.755384999999997</v>
      </c>
      <c r="CD398" s="759">
        <f t="shared" si="1231"/>
        <v>56.829572999999996</v>
      </c>
      <c r="CE398" s="759">
        <f t="shared" si="1231"/>
        <v>56.888645000000004</v>
      </c>
      <c r="CF398" s="759">
        <f t="shared" si="1231"/>
        <v>56.930196000000002</v>
      </c>
      <c r="CG398" s="759">
        <f t="shared" si="1231"/>
        <v>56.989026000000003</v>
      </c>
      <c r="CH398" s="759">
        <f t="shared" si="1231"/>
        <v>56.907303355068493</v>
      </c>
      <c r="CI398" s="759">
        <f t="shared" si="1231"/>
        <v>57.172851999999999</v>
      </c>
      <c r="CJ398" s="759">
        <f t="shared" si="1231"/>
        <v>56.75817167753425</v>
      </c>
      <c r="CK398" s="759">
        <f t="shared" si="1231"/>
        <v>57.052113191780826</v>
      </c>
      <c r="CL398" s="759">
        <f t="shared" si="1231"/>
        <v>57.04709600000001</v>
      </c>
      <c r="CM398" s="759">
        <f t="shared" si="1231"/>
        <v>57.047096000000003</v>
      </c>
      <c r="CN398" s="759">
        <f t="shared" si="1231"/>
        <v>57.049565000000001</v>
      </c>
      <c r="CO398" s="759">
        <f t="shared" si="1231"/>
        <v>56.939827000000001</v>
      </c>
      <c r="CP398" s="759">
        <f t="shared" si="1231"/>
        <v>56.930736000000003</v>
      </c>
      <c r="CQ398" s="759">
        <f t="shared" si="1231"/>
        <v>57.150127999999995</v>
      </c>
      <c r="CR398" s="759">
        <f t="shared" si="1231"/>
        <v>57.222276999999998</v>
      </c>
      <c r="CS398" s="759">
        <f t="shared" si="1231"/>
        <v>57.22824</v>
      </c>
      <c r="CT398" s="759">
        <f t="shared" si="1231"/>
        <v>57.042251999999998</v>
      </c>
      <c r="CU398" s="759">
        <f t="shared" si="1231"/>
        <v>57.351784616438344</v>
      </c>
      <c r="CV398" s="759">
        <f t="shared" si="1231"/>
        <v>57.243285</v>
      </c>
      <c r="CW398" s="759">
        <f t="shared" si="1231"/>
        <v>57.430641999999999</v>
      </c>
      <c r="CX398" s="759">
        <f t="shared" si="1231"/>
        <v>57.388313999999994</v>
      </c>
      <c r="CY398" s="759">
        <f t="shared" si="1231"/>
        <v>57.388313999999994</v>
      </c>
      <c r="CZ398" s="759">
        <f t="shared" si="1231"/>
        <v>57.573564000000005</v>
      </c>
      <c r="DA398" s="759">
        <v>57.624390167560357</v>
      </c>
      <c r="DB398" s="759">
        <v>57.601467999999997</v>
      </c>
      <c r="DC398" s="759">
        <f t="shared" si="1231"/>
        <v>57.684101000000005</v>
      </c>
      <c r="DD398" s="759">
        <f t="shared" si="1231"/>
        <v>57.737728379726029</v>
      </c>
      <c r="DE398" s="760">
        <f t="shared" si="1231"/>
        <v>57.710153000000005</v>
      </c>
      <c r="DF398" s="759">
        <f t="shared" si="1231"/>
        <v>57.804264999999994</v>
      </c>
      <c r="DG398" s="759">
        <f t="shared" si="1231"/>
        <v>61.479376999994727</v>
      </c>
      <c r="DH398" s="1310">
        <f t="shared" si="1231"/>
        <v>59.634601999997365</v>
      </c>
      <c r="DI398" s="759">
        <v>65.723652000000001</v>
      </c>
      <c r="DJ398" s="759">
        <f t="shared" si="1231"/>
        <v>65.744864986301366</v>
      </c>
      <c r="DK398" s="1310">
        <f t="shared" si="1231"/>
        <v>65.71962321232877</v>
      </c>
      <c r="DL398" s="761">
        <f>+DL396+DL397</f>
        <v>65.767522999999997</v>
      </c>
      <c r="DM398" s="759">
        <f>+DM396+DM397</f>
        <v>65.77225</v>
      </c>
      <c r="DN398" s="1310">
        <f>+DN396+DN397</f>
        <v>65.756706000000008</v>
      </c>
      <c r="DO398" s="1377">
        <v>65.779227000000006</v>
      </c>
      <c r="DP398" s="759">
        <f>DQ398</f>
        <v>65.896852999999993</v>
      </c>
      <c r="DQ398" s="1379">
        <v>65.896852999999993</v>
      </c>
      <c r="DR398" s="1377">
        <v>65.706764000000007</v>
      </c>
      <c r="DS398" s="759">
        <f>+DS396+DS397</f>
        <v>65.699686999999997</v>
      </c>
      <c r="DT398" s="1379">
        <v>65.720648999999995</v>
      </c>
      <c r="DU398" s="1377">
        <v>65.621035000000006</v>
      </c>
      <c r="DV398" s="759">
        <f>+DV396+DV397</f>
        <v>65.633101999999994</v>
      </c>
      <c r="DW398" s="1379">
        <v>65.606223999999997</v>
      </c>
      <c r="DX398" s="1377">
        <v>65.537042999999997</v>
      </c>
      <c r="DY398" s="759">
        <f t="shared" ref="DY398:EC398" si="1232">+DY396+DY397</f>
        <v>65.323698849494363</v>
      </c>
      <c r="DZ398" s="1310">
        <f t="shared" si="1232"/>
        <v>65.412931449137432</v>
      </c>
      <c r="EA398" s="759">
        <f t="shared" si="1232"/>
        <v>65.091548996764416</v>
      </c>
      <c r="EB398" s="759">
        <f t="shared" si="1232"/>
        <v>64.865061335564477</v>
      </c>
      <c r="EC398" s="1310">
        <f t="shared" si="1232"/>
        <v>64.978305166164446</v>
      </c>
      <c r="ED398" s="759">
        <f t="shared" ref="ED398:EL398" si="1233">+ED396+ED397</f>
        <v>64.865061335564477</v>
      </c>
      <c r="EE398" s="759">
        <f t="shared" si="1233"/>
        <v>64.644097763662103</v>
      </c>
      <c r="EF398" s="1310">
        <f t="shared" si="1233"/>
        <v>64.754579549613283</v>
      </c>
      <c r="EG398" s="759">
        <f t="shared" si="1233"/>
        <v>64.428523547171977</v>
      </c>
      <c r="EH398" s="759">
        <f t="shared" si="1233"/>
        <v>64.428523547171977</v>
      </c>
      <c r="EI398" s="1310">
        <f t="shared" si="1233"/>
        <v>64.428523547171977</v>
      </c>
      <c r="EJ398" s="759">
        <f t="shared" si="1233"/>
        <v>64.428523547171977</v>
      </c>
      <c r="EK398" s="759">
        <f t="shared" si="1233"/>
        <v>64.428523547171977</v>
      </c>
      <c r="EL398" s="1310">
        <f t="shared" si="1233"/>
        <v>64.428523547171977</v>
      </c>
      <c r="EM398" s="759">
        <f t="shared" ref="EM398:ER398" si="1234">+EM396+EM397</f>
        <v>64.428523547171977</v>
      </c>
      <c r="EN398" s="759">
        <f t="shared" si="1234"/>
        <v>64.428523547171977</v>
      </c>
      <c r="EO398" s="1310">
        <f t="shared" si="1234"/>
        <v>64.428523547171977</v>
      </c>
      <c r="EP398" s="759">
        <f t="shared" si="1234"/>
        <v>64.428523547171977</v>
      </c>
      <c r="EQ398" s="759">
        <f t="shared" si="1234"/>
        <v>64.428523547171977</v>
      </c>
      <c r="ER398" s="1310">
        <f t="shared" si="1234"/>
        <v>64.428523547171977</v>
      </c>
      <c r="ES398" s="759">
        <f t="shared" ref="ES398:EX398" si="1235">+ES396+ES397</f>
        <v>64.428523547171977</v>
      </c>
      <c r="ET398" s="759">
        <f t="shared" si="1235"/>
        <v>64.428523547171977</v>
      </c>
      <c r="EU398" s="1310">
        <f t="shared" si="1235"/>
        <v>64.428523547171977</v>
      </c>
      <c r="EV398" s="759">
        <f t="shared" si="1235"/>
        <v>64.428523547171977</v>
      </c>
      <c r="EW398" s="759">
        <f t="shared" si="1235"/>
        <v>64.428523547171977</v>
      </c>
      <c r="EX398" s="1310">
        <f t="shared" si="1235"/>
        <v>64.428523547171977</v>
      </c>
      <c r="EY398" s="759">
        <f t="shared" ref="EY398:FA398" si="1236">+EY396+EY397</f>
        <v>64.428523547171977</v>
      </c>
      <c r="EZ398" s="759">
        <f t="shared" si="1236"/>
        <v>64.428523547171977</v>
      </c>
      <c r="FA398" s="1310">
        <f t="shared" si="1236"/>
        <v>64.428523547171977</v>
      </c>
      <c r="FE398"/>
      <c r="FF398"/>
      <c r="FG398"/>
      <c r="FH398"/>
      <c r="FI398"/>
      <c r="FJ398"/>
      <c r="FK398" s="35"/>
    </row>
    <row r="399" spans="2:167" s="235" customFormat="1" ht="13.35" customHeight="1">
      <c r="B399" s="401" t="s">
        <v>259</v>
      </c>
      <c r="C399" s="593"/>
      <c r="D399" s="594"/>
      <c r="E399" s="754">
        <f t="shared" ref="E399:AJ399" si="1237">F399</f>
        <v>1</v>
      </c>
      <c r="F399" s="754">
        <f t="shared" si="1237"/>
        <v>1</v>
      </c>
      <c r="G399" s="754">
        <f t="shared" si="1237"/>
        <v>1</v>
      </c>
      <c r="H399" s="754">
        <f t="shared" si="1237"/>
        <v>1</v>
      </c>
      <c r="I399" s="754">
        <f t="shared" si="1237"/>
        <v>1</v>
      </c>
      <c r="J399" s="754">
        <f t="shared" si="1237"/>
        <v>1</v>
      </c>
      <c r="K399" s="754">
        <f t="shared" si="1237"/>
        <v>1</v>
      </c>
      <c r="L399" s="754">
        <f t="shared" si="1237"/>
        <v>1</v>
      </c>
      <c r="M399" s="754">
        <f t="shared" si="1237"/>
        <v>1</v>
      </c>
      <c r="N399" s="754">
        <f t="shared" si="1237"/>
        <v>1</v>
      </c>
      <c r="O399" s="754">
        <f t="shared" si="1237"/>
        <v>1</v>
      </c>
      <c r="P399" s="754">
        <f t="shared" si="1237"/>
        <v>1</v>
      </c>
      <c r="Q399" s="754">
        <f t="shared" si="1237"/>
        <v>1</v>
      </c>
      <c r="R399" s="754">
        <f t="shared" si="1237"/>
        <v>1</v>
      </c>
      <c r="S399" s="754">
        <f t="shared" si="1237"/>
        <v>1</v>
      </c>
      <c r="T399" s="754">
        <f t="shared" si="1237"/>
        <v>1</v>
      </c>
      <c r="U399" s="754">
        <f t="shared" si="1237"/>
        <v>1</v>
      </c>
      <c r="V399" s="754">
        <f t="shared" si="1237"/>
        <v>1</v>
      </c>
      <c r="W399" s="754">
        <f t="shared" si="1237"/>
        <v>1</v>
      </c>
      <c r="X399" s="754">
        <f t="shared" si="1237"/>
        <v>1</v>
      </c>
      <c r="Y399" s="754">
        <f t="shared" si="1237"/>
        <v>1</v>
      </c>
      <c r="Z399" s="754">
        <f t="shared" si="1237"/>
        <v>1</v>
      </c>
      <c r="AA399" s="754">
        <f t="shared" si="1237"/>
        <v>1</v>
      </c>
      <c r="AB399" s="754">
        <f t="shared" si="1237"/>
        <v>1</v>
      </c>
      <c r="AC399" s="754">
        <f t="shared" si="1237"/>
        <v>1</v>
      </c>
      <c r="AD399" s="754">
        <f t="shared" si="1237"/>
        <v>1</v>
      </c>
      <c r="AE399" s="754">
        <f t="shared" si="1237"/>
        <v>1</v>
      </c>
      <c r="AF399" s="754">
        <f t="shared" si="1237"/>
        <v>1</v>
      </c>
      <c r="AG399" s="754">
        <f t="shared" si="1237"/>
        <v>1</v>
      </c>
      <c r="AH399" s="754">
        <f t="shared" si="1237"/>
        <v>1</v>
      </c>
      <c r="AI399" s="754">
        <f t="shared" si="1237"/>
        <v>1</v>
      </c>
      <c r="AJ399" s="754">
        <f t="shared" si="1237"/>
        <v>1</v>
      </c>
      <c r="AK399" s="756">
        <v>1</v>
      </c>
      <c r="AL399" s="756">
        <v>1</v>
      </c>
      <c r="AM399" s="754">
        <f>AN399</f>
        <v>1</v>
      </c>
      <c r="AN399" s="756">
        <v>1</v>
      </c>
      <c r="AO399" s="754">
        <f>AP399</f>
        <v>1</v>
      </c>
      <c r="AP399" s="754">
        <f>AQ399</f>
        <v>1</v>
      </c>
      <c r="AQ399" s="756">
        <v>1</v>
      </c>
      <c r="AR399" s="754">
        <f>AS399</f>
        <v>1</v>
      </c>
      <c r="AS399" s="754">
        <f>AT399</f>
        <v>1</v>
      </c>
      <c r="AT399" s="756">
        <v>1</v>
      </c>
      <c r="AU399" s="754">
        <f>AV399</f>
        <v>1</v>
      </c>
      <c r="AV399" s="754">
        <f>AW399</f>
        <v>1</v>
      </c>
      <c r="AW399" s="756">
        <v>1</v>
      </c>
      <c r="AX399" s="754">
        <f>AY399</f>
        <v>1</v>
      </c>
      <c r="AY399" s="754">
        <f>AZ399</f>
        <v>1</v>
      </c>
      <c r="AZ399" s="756">
        <v>1</v>
      </c>
      <c r="BA399" s="756">
        <v>1</v>
      </c>
      <c r="BB399" s="756">
        <v>1</v>
      </c>
      <c r="BC399" s="756">
        <v>1</v>
      </c>
      <c r="BD399" s="756">
        <v>1</v>
      </c>
      <c r="BE399" s="756">
        <v>1</v>
      </c>
      <c r="BF399" s="756">
        <v>1</v>
      </c>
      <c r="BG399" s="756">
        <v>1</v>
      </c>
      <c r="BH399" s="756">
        <v>1</v>
      </c>
      <c r="BI399" s="756">
        <v>1</v>
      </c>
      <c r="BJ399" s="756">
        <v>1</v>
      </c>
      <c r="BK399" s="756">
        <v>1</v>
      </c>
      <c r="BL399" s="756">
        <v>1</v>
      </c>
      <c r="BM399" s="756">
        <v>1</v>
      </c>
      <c r="BN399" s="756">
        <v>1</v>
      </c>
      <c r="BO399" s="756">
        <v>1</v>
      </c>
      <c r="BP399" s="756">
        <v>1</v>
      </c>
      <c r="BQ399" s="756">
        <v>1</v>
      </c>
      <c r="BR399" s="756">
        <v>1</v>
      </c>
      <c r="BS399" s="756">
        <v>1</v>
      </c>
      <c r="BT399" s="756">
        <v>1</v>
      </c>
      <c r="BU399" s="756">
        <v>1</v>
      </c>
      <c r="BV399" s="756">
        <v>1</v>
      </c>
      <c r="BW399" s="756">
        <v>1</v>
      </c>
      <c r="BX399" s="756">
        <v>1</v>
      </c>
      <c r="BY399" s="756">
        <v>1</v>
      </c>
      <c r="BZ399" s="756">
        <v>1</v>
      </c>
      <c r="CA399" s="756">
        <v>1</v>
      </c>
      <c r="CB399" s="756">
        <v>1</v>
      </c>
      <c r="CC399" s="756">
        <v>1</v>
      </c>
      <c r="CD399" s="756">
        <v>1</v>
      </c>
      <c r="CE399" s="756">
        <v>1</v>
      </c>
      <c r="CF399" s="756">
        <v>1</v>
      </c>
      <c r="CG399" s="756">
        <v>1</v>
      </c>
      <c r="CH399" s="756">
        <v>1</v>
      </c>
      <c r="CI399" s="756">
        <v>1</v>
      </c>
      <c r="CJ399" s="756">
        <v>1</v>
      </c>
      <c r="CK399" s="756">
        <v>1</v>
      </c>
      <c r="CL399" s="756">
        <v>1</v>
      </c>
      <c r="CM399" s="756">
        <v>1</v>
      </c>
      <c r="CN399" s="756">
        <v>1</v>
      </c>
      <c r="CO399" s="756">
        <v>1</v>
      </c>
      <c r="CP399" s="756">
        <v>1</v>
      </c>
      <c r="CQ399" s="756">
        <v>1</v>
      </c>
      <c r="CR399" s="756">
        <v>1</v>
      </c>
      <c r="CS399" s="756">
        <v>1</v>
      </c>
      <c r="CT399" s="756">
        <v>1</v>
      </c>
      <c r="CU399" s="756">
        <v>1</v>
      </c>
      <c r="CV399" s="756">
        <v>1</v>
      </c>
      <c r="CW399" s="756">
        <v>1</v>
      </c>
      <c r="CX399" s="756">
        <v>1</v>
      </c>
      <c r="CY399" s="756">
        <v>1</v>
      </c>
      <c r="CZ399" s="756">
        <v>1</v>
      </c>
      <c r="DA399" s="756">
        <v>1</v>
      </c>
      <c r="DB399" s="756">
        <v>1</v>
      </c>
      <c r="DC399" s="756">
        <v>1</v>
      </c>
      <c r="DD399" s="756">
        <v>1</v>
      </c>
      <c r="DE399" s="756">
        <v>1</v>
      </c>
      <c r="DF399" s="756">
        <v>1</v>
      </c>
      <c r="DG399" s="756">
        <v>1</v>
      </c>
      <c r="DH399" s="1311">
        <v>1</v>
      </c>
      <c r="DI399" s="756">
        <v>1</v>
      </c>
      <c r="DJ399" s="756">
        <v>1</v>
      </c>
      <c r="DK399" s="1311">
        <v>1</v>
      </c>
      <c r="DL399" s="756">
        <v>1</v>
      </c>
      <c r="DM399" s="756">
        <v>1</v>
      </c>
      <c r="DN399" s="1311">
        <v>1</v>
      </c>
      <c r="DO399" s="756">
        <v>1</v>
      </c>
      <c r="DP399" s="756">
        <v>1</v>
      </c>
      <c r="DQ399" s="1311">
        <v>1</v>
      </c>
      <c r="DR399" s="756">
        <v>1</v>
      </c>
      <c r="DS399" s="756">
        <v>1</v>
      </c>
      <c r="DT399" s="1311">
        <v>1</v>
      </c>
      <c r="DU399" s="756">
        <v>1</v>
      </c>
      <c r="DV399" s="756">
        <v>1</v>
      </c>
      <c r="DW399" s="1311">
        <v>1</v>
      </c>
      <c r="DX399" s="756">
        <v>1</v>
      </c>
      <c r="DY399" s="756">
        <v>1</v>
      </c>
      <c r="DZ399" s="1311">
        <v>1</v>
      </c>
      <c r="EA399" s="756">
        <v>1</v>
      </c>
      <c r="EB399" s="756">
        <v>1</v>
      </c>
      <c r="EC399" s="1311">
        <v>1</v>
      </c>
      <c r="ED399" s="756">
        <v>1</v>
      </c>
      <c r="EE399" s="756">
        <v>1</v>
      </c>
      <c r="EF399" s="1311">
        <v>1</v>
      </c>
      <c r="EG399" s="756">
        <v>1</v>
      </c>
      <c r="EH399" s="756">
        <v>1</v>
      </c>
      <c r="EI399" s="1311">
        <v>1</v>
      </c>
      <c r="EJ399" s="756">
        <v>1</v>
      </c>
      <c r="EK399" s="756">
        <v>1</v>
      </c>
      <c r="EL399" s="1311">
        <v>1</v>
      </c>
      <c r="EM399" s="756">
        <v>1</v>
      </c>
      <c r="EN399" s="756">
        <v>1</v>
      </c>
      <c r="EO399" s="1311">
        <v>1</v>
      </c>
      <c r="EP399" s="756">
        <v>1</v>
      </c>
      <c r="EQ399" s="756">
        <v>1</v>
      </c>
      <c r="ER399" s="1311">
        <v>1</v>
      </c>
      <c r="ES399" s="756">
        <v>1</v>
      </c>
      <c r="ET399" s="756">
        <v>1</v>
      </c>
      <c r="EU399" s="1311">
        <v>1</v>
      </c>
      <c r="EV399" s="756">
        <v>1</v>
      </c>
      <c r="EW399" s="756">
        <v>1</v>
      </c>
      <c r="EX399" s="1311">
        <v>1</v>
      </c>
      <c r="EY399" s="756">
        <v>1</v>
      </c>
      <c r="EZ399" s="756">
        <v>1</v>
      </c>
      <c r="FA399" s="1311">
        <v>1</v>
      </c>
      <c r="FE399"/>
      <c r="FF399"/>
      <c r="FG399"/>
      <c r="FH399"/>
      <c r="FI399"/>
      <c r="FJ399"/>
      <c r="FK399" s="35"/>
    </row>
    <row r="400" spans="2:167" s="235" customFormat="1" ht="13.35" customHeight="1" thickBot="1">
      <c r="B400" s="401" t="s">
        <v>880</v>
      </c>
      <c r="C400" s="593"/>
      <c r="D400" s="594"/>
      <c r="E400" s="746">
        <f>+((E374*1)/E399)+(((E377*(E388/182.5))+(E378*(E389/182.5))+(E379*(E390/182.5))+(E380*(E391/182.5))+(E381*(E392/182.5))+(E382*(E393/182.5))+(E383*(E394/182.5)))/E399)+(E397/E399)</f>
        <v>0</v>
      </c>
      <c r="F400" s="746">
        <f>+((F374*1)/E399)+(((F377*(F388/182.5))+(F378*(F389/182.5))+(F379*(F390/182.5))+(F380*(F391/182.5))+(F381*(F392/182.5))+(F382*(F393/182.5))+(F383*(F394/182.5)))/F399)+(F397/F399)</f>
        <v>0</v>
      </c>
      <c r="G400" s="746">
        <f>+((E400+F400)/2)</f>
        <v>0</v>
      </c>
      <c r="H400" s="746">
        <f>+((H374*1)/H399)+(((H377*(H388/182.5))+(H378*(H389/182.5))+(H379*(H390/182.5))+(H380*(H391/182.5))+(H381*(H392/182.5))+(H382*(H393/182.5))+(H383*(H394/182.5)))/H399)+(H397/H399)</f>
        <v>0</v>
      </c>
      <c r="I400" s="746">
        <f>+((I374*1)/H399)+(((I377*(I388/182.5))+(I378*(I389/182.5))+(I379*(I390/182.5))+(I380*(I391/182.5))+(I381*(I392/182.5))+(I382*(I393/182.5))+(I383*(I394/182.5)))/I399)+(I397/I399)</f>
        <v>0</v>
      </c>
      <c r="J400" s="746">
        <f>+((H400+I400)/2)</f>
        <v>0</v>
      </c>
      <c r="K400" s="746">
        <f>+((K374*1)/K399)+(((K377*(K388/182.5))+(K378*(K389/182.5))+(K379*(K390/182.5))+(K380*(K391/182.5))+(K381*(K392/182.5))+(K382*(K393/182.5))+(K383*(K394/182.5)))/K399)+(K397/K399)</f>
        <v>0</v>
      </c>
      <c r="L400" s="746">
        <f>+((L374*1)/K399)+(((L377*(L388/182.5))+(L378*(L389/182.5))+(L379*(L390/182.5))+(L380*(L391/182.5))+(L381*(L392/182.5))+(L382*(L393/182.5))+(L383*(L394/182.5)))/L399)+(L397/L399)</f>
        <v>0</v>
      </c>
      <c r="M400" s="746">
        <f>+((K400+L400)/2)</f>
        <v>0</v>
      </c>
      <c r="N400" s="746">
        <f>+((N374*1)/N399)+(((N377*(N388/182.5))+(N378*(N389/182.5))+(N379*(N390/182.5))+(N380*(N391/182.5))+(N381*(N392/182.5))+(N382*(N393/182.5))+(N383*(N394/182.5)))/N399)+(N397/N399)</f>
        <v>0</v>
      </c>
      <c r="O400" s="746">
        <f>+((O374*1)/N399)+(((O377*(O388/182.5))+(O378*(O389/182.5))+(O379*(O390/182.5))+(O380*(O391/182.5))+(O381*(O392/182.5))+(O382*(O393/182.5))+(O383*(O394/182.5)))/O399)+(O397/O399)</f>
        <v>0</v>
      </c>
      <c r="P400" s="746">
        <f>+((N400+O400)/2)</f>
        <v>0</v>
      </c>
      <c r="Q400" s="746">
        <f>+((Q374*1)/Q399)+(((Q377*(Q388/182.5))+(Q378*(Q389/182.5))+(Q379*(Q390/182.5))+(Q380*(Q391/182.5))+(Q381*(Q392/182.5))+(Q382*(Q393/182.5))+(Q383*(Q394/182.5)))/Q399)+(Q397/Q399)</f>
        <v>0</v>
      </c>
      <c r="R400" s="746">
        <f>+((R374*1)/Q399)+(((R377*(R388/182.5))+(R378*(R389/182.5))+(R379*(R390/182.5))+(R380*(R391/182.5))+(R381*(R392/182.5))+(R382*(R393/182.5))+(R383*(R394/182.5)))/R399)+(R397/R399)</f>
        <v>0</v>
      </c>
      <c r="S400" s="746">
        <f>+((Q400+R400)/2)</f>
        <v>0</v>
      </c>
      <c r="T400" s="746">
        <f>+((T374*1)/T399)+(((T377*(T388/182.5))+(T378*(T389/182.5))+(T379*(T390/182.5))+(T380*(T391/182.5))+(T381*(T392/182.5))+(T382*(T393/182.5))+(T383*(T394/182.5)))/T399)+(T397/T399)</f>
        <v>0</v>
      </c>
      <c r="U400" s="746">
        <f>+((U374*1)/T399)+(((U377*(U388/182.5))+(U378*(U389/182.5))+(U379*(U390/182.5))+(U380*(U391/182.5))+(U381*(U392/182.5))+(U382*(U393/182.5))+(U383*(U394/182.5)))/U399)+(U397/U399)</f>
        <v>0</v>
      </c>
      <c r="V400" s="746">
        <f>+((T400+U400)/2)</f>
        <v>0</v>
      </c>
      <c r="W400" s="746">
        <f>+((W374*1)/W399)+(((W377*(W388/182.5))+(W378*(W389/182.5))+(W379*(W390/182.5))+(W380*(W391/182.5))+(W381*(W392/182.5))+(W382*(W393/182.5))+(W383*(W394/182.5)))/W399)+(W397/W399)</f>
        <v>0</v>
      </c>
      <c r="X400" s="746">
        <f>+((X374*1)/W399)+(((X377*(X388/182.5))+(X378*(X389/182.5))+(X379*(X390/182.5))+(X380*(X391/182.5))+(X381*(X392/182.5))+(X382*(X393/182.5))+(X383*(X394/182.5)))/X399)+(X397/X399)</f>
        <v>0</v>
      </c>
      <c r="Y400" s="746">
        <f>+((W400+X400)/2)</f>
        <v>0</v>
      </c>
      <c r="Z400" s="746">
        <f>+((Z374*1)/Z399)+(((Z377*(Z388/182.5))+(Z378*(Z389/182.5))+(Z379*(Z390/182.5))+(Z380*(Z391/182.5))+(Z381*(Z392/182.5))+(Z382*(Z393/182.5))+(Z383*(Z394/182.5)))/Z399)+(Z397/Z399)</f>
        <v>0</v>
      </c>
      <c r="AA400" s="746">
        <f>+((AA374*1)/Z399)+(((AA377*(AA388/182.5))+(AA378*(AA389/182.5))+(AA379*(AA390/182.5))+(AA380*(AA391/182.5))+(AA381*(AA392/182.5))+(AA382*(AA393/182.5))+(AA383*(AA394/182.5)))/AA399)+(AA397/AA399)</f>
        <v>0</v>
      </c>
      <c r="AB400" s="746">
        <f>+((Z400+AA400)/2)</f>
        <v>0</v>
      </c>
      <c r="AC400" s="746">
        <f>+((AC374*1)/AC399)+(((AC377*(AC388/182.5))+(AC378*(AC389/182.5))+(AC379*(AC390/182.5))+(AC380*(AC391/182.5))+(AC381*(AC392/182.5))+(AC382*(AC393/182.5))+(AC383*(AC394/182.5)))/AC399)+(AC397/AC399)</f>
        <v>0</v>
      </c>
      <c r="AD400" s="746">
        <f>+((AD374*1)/AC399)+(((AD377*(AD388/182.5))+(AD378*(AD389/182.5))+(AD379*(AD390/182.5))+(AD380*(AD391/182.5))+(AD381*(AD392/182.5))+(AD382*(AD393/182.5))+(AD383*(AD394/182.5)))/AD399)+(AD397/AD399)</f>
        <v>0</v>
      </c>
      <c r="AE400" s="746">
        <f>+((AC400+AD400)/2)</f>
        <v>0</v>
      </c>
      <c r="AF400" s="746">
        <f>+((AF374*1)/AF399)+(((AF377*(AF388/182.5))+(AF378*(AF389/182.5))+(AF379*(AF390/182.5))+(AF380*(AF391/182.5))+(AF381*(AF392/182.5))+(AF382*(AF393/182.5))+(AF383*(AF394/182.5)))/AF399)+(AF397/AF399)</f>
        <v>0</v>
      </c>
      <c r="AG400" s="746">
        <f>+((AG374*1)/AF399)+(((AG377*(AG388/182.5))+(AG378*(AG389/182.5))+(AG379*(AG390/182.5))+(AG380*(AG391/182.5))+(AG381*(AG392/182.5))+(AG382*(AG393/182.5))+(AG383*(AG394/182.5)))/AG399)+(AG397/AG399)</f>
        <v>0</v>
      </c>
      <c r="AH400" s="746">
        <f>+((AF400+AG400)/2)</f>
        <v>0</v>
      </c>
      <c r="AI400" s="746">
        <f>+((AI374*1)/AI399)+(((AI377*(AI388/182.5))+(AI378*(AI389/182.5))+(AI379*(AI390/182.5))+(AI380*(AI391/182.5))+(AI381*(AI392/182.5))+(AI382*(AI393/182.5))+(AI383*(AI394/182.5)))/AI399)+(AI397/AI399)</f>
        <v>50</v>
      </c>
      <c r="AJ400" s="746">
        <f>+((AJ374*1)/AI399)+(((AJ377*(AJ388/182.5))+(AJ378*(AJ389/182.5))+(AJ379*(AJ390/182.5))+(AJ380*(AJ391/182.5))+(AJ381*(AJ392/182.5))+(AJ382*(AJ393/182.5))+(AJ383*(AJ394/182.5)))/AJ399)+(AJ397/AJ399)</f>
        <v>50</v>
      </c>
      <c r="AK400" s="746">
        <f>+((AI400+AJ400)/2)</f>
        <v>50</v>
      </c>
      <c r="AL400" s="746">
        <f>+((AL374*1)/AL399)+(((AL377*(AL388/182.5))+(AL378*(AL389/182.5))+(AL379*(AL390/182.5))+(AL380*(AL391/182.5))+(AL381*(AL392/182.5))+(AL382*(AL393/182.5))+(AL383*(AL394/182.5)))/AL399)+(AL397/AL399)</f>
        <v>51.88</v>
      </c>
      <c r="AM400" s="746">
        <f>+((AM374*1)/AL399)+(((AM377*(AM388/182.5))+(AM378*(AM389/182.5))+(AM379*(AM390/182.5))+(AM380*(AM391/182.5))+(AM381*(AM392/182.5))+(AM382*(AM393/182.5))+(AM383*(AM394/182.5)))/AM399)+(AM397/AM399)</f>
        <v>51.88</v>
      </c>
      <c r="AN400" s="746">
        <f>+((AL400+AM400)/2)</f>
        <v>51.88</v>
      </c>
      <c r="AO400" s="746">
        <f>+((AO374*1)/AO399)+(((AO377*(AO388/182.5))+(AO378*(AO389/182.5))+(AO379*(AO390/182.5))+(AO380*(AO391/182.5))+(AO381*(AO392/182.5))+(AO382*(AO393/182.5))+(AO383*(AO394/182.5)))/AO399)+(AO397/AO399)</f>
        <v>51.88</v>
      </c>
      <c r="AP400" s="746">
        <f>+((AP374*1)/AO399)+(((AP377*(AP388/182.5))+(AP378*(AP389/182.5))+(AP379*(AP390/182.5))+(AP380*(AP391/182.5))+(AP381*(AP392/182.5))+(AP382*(AP393/182.5))+(AP383*(AP394/182.5)))/AP399)+(AP397/AP399)</f>
        <v>52.073999999999998</v>
      </c>
      <c r="AQ400" s="746">
        <f>+((AO400+AP400)/2)</f>
        <v>51.977000000000004</v>
      </c>
      <c r="AR400" s="746">
        <f>+((AR374*1)/AR399)+(((AR377*(AR388/182.5))+(AR378*(AR389/182.5))+(AR379*(AR390/182.5))+(AR380*(AR391/182.5))+(AR381*(AR392/182.5))+(AR382*(AR393/182.5))+(AR383*(AR394/182.5)))/AR399)+(AR397/AR399)</f>
        <v>52.073999999999998</v>
      </c>
      <c r="AS400" s="746">
        <f>+((AS374*1)/AR399)+(((AS377*(AS388/182.5))+(AS378*(AS389/182.5))+(AS379*(AS390/182.5))+(AS380*(AS391/182.5))+(AS381*(AS392/182.5))+(AS382*(AS393/182.5))+(AS383*(AS394/182.5)))/AS399)+(AS397/AS399)</f>
        <v>52.054000000000002</v>
      </c>
      <c r="AT400" s="746">
        <f>+((AR400+AS400)/2)</f>
        <v>52.064</v>
      </c>
      <c r="AU400" s="746">
        <f>+((AU374*1)/AU399)+(((AU377*(AU388/182.5))+(AU378*(AU389/182.5))+(AU379*(AU390/182.5))+(AU380*(AU391/182.5))+(AU381*(AU392/182.5))+(AU382*(AU393/182.5))+(AU383*(AU394/182.5)))/AU399)+(AU397/AU399)</f>
        <v>51.622512619315067</v>
      </c>
      <c r="AV400" s="746">
        <f>+((AV374*1)/AU399)+(((AV377*(AV388/182.5))+(AV378*(AV389/182.5))+(AV379*(AV390/182.5))+(AV380*(AV391/182.5))+(AV381*(AV392/182.5))+(AV382*(AV393/182.5))+(AV383*(AV394/182.5)))/AV399)+(AV397/AV399)</f>
        <v>52.387749999999997</v>
      </c>
      <c r="AW400" s="746">
        <f>+((AU400+AV400)/2)</f>
        <v>52.005131309657529</v>
      </c>
      <c r="AX400" s="746">
        <f>+((AX374*1)/AX399)+(((AX377*(AX388/182.5))+(AX378*(AX389/182.5))+(AX379*(AX390/182.5))+(AX380*(AX391/182.5))+(AX381*(AX392/182.5))+(AX382*(AX393/182.5))+(AX383*(AX394/182.5)))/AX399)+(AX397/AX399)</f>
        <v>52.66544748219178</v>
      </c>
      <c r="AY400" s="746">
        <f>+((AY374*1)/AX399)+(((AY377*(AY388/182.5))+(AY378*(AY389/182.5))+(AY379*(AY390/182.5))+(AY380*(AY391/182.5))+(AY381*(AY392/182.5))+(AY382*(AY393/182.5))+(AY383*(AY394/182.5)))/AY399)+(AY397/AY399)</f>
        <v>52.984013698630136</v>
      </c>
      <c r="AZ400" s="746">
        <f>+((AX400+AY400)/2)</f>
        <v>52.824730590410958</v>
      </c>
      <c r="BA400" s="746">
        <f>+((BA374*1)/BA399)+(((BA377*(BA388/182.5))+(BA378*(BA389/182.5))+(BA379*(BA390/182.5))+(BA380*(BA391/182.5))+(BA381*(BA392/182.5))+(BA382*(BA393/182.5))+(BA383*(BA394/182.5)))/BA399)+(BA397/BA399)</f>
        <v>53.658791917808216</v>
      </c>
      <c r="BB400" s="746">
        <f>+((BB374*1)/BA399)+(((BB377*(BB388/182.5))+(BB378*(BB389/182.5))+(BB379*(BB390/182.5))+(BB380*(BB391/182.5))+(BB381*(BB392/182.5))+(BB382*(BB393/182.5))+(BB383*(BB394/182.5)))/BB399)+(BB397/BB399)</f>
        <v>54.198062999999998</v>
      </c>
      <c r="BC400" s="746">
        <f>+((BA400+BB400)/2)</f>
        <v>53.92842745890411</v>
      </c>
      <c r="BD400" s="746">
        <f>+((BD374*1)/BD399)+(((BD377*(BD388/182.5))+(BD378*(BD389/182.5))+(BD379*(BD390/182.5))+(BD380*(BD391/182.5))+(BD381*(BD392/182.5))+(BD382*(BD393/182.5))+(BD383*(BD394/182.5)))/BD399)+(BD397/BD399)</f>
        <v>54.198358999999996</v>
      </c>
      <c r="BE400" s="746">
        <f>+((BE374*1)/BD399)+(((BE377*(BE388/182.5))+(BE378*(BE389/182.5))+(BE379*(BE390/182.5))+(BE380*(BE391/182.5))+(BE381*(BE392/182.5))+(BE382*(BE393/182.5))+(BE383*(BE394/182.5)))/BE399)+(BE397/BE399)</f>
        <v>54.674531493150681</v>
      </c>
      <c r="BF400" s="746">
        <f>+((BD400+BE400)/2)</f>
        <v>54.436445246575339</v>
      </c>
      <c r="BG400" s="746">
        <f>+((BG374*1)/BG399)+(((BG377*(BG388/182.5))+(BG378*(BG389/182.5))+(BG379*(BG390/182.5))+(BG380*(BG391/182.5))+(BG381*(BG392/182.5))+(BG382*(BG393/182.5))+(BG383*(BG394/182.5)))/BG399)+(BG397/BG399)</f>
        <v>54.681144999999994</v>
      </c>
      <c r="BH400" s="746">
        <f>+((BH374*1)/BG399)+(((BH377*(BH388/182.5))+(BH378*(BH389/182.5))+(BH379*(BH390/182.5))+(BH380*(BH391/182.5))+(BH381*(BH392/182.5))+(BH382*(BH393/182.5))+(BH383*(BH394/182.5)))/BH399)+(BH397/BH399)</f>
        <v>55.243736232876707</v>
      </c>
      <c r="BI400" s="746">
        <f>+((BG400+BH400)/2)</f>
        <v>54.96244061643835</v>
      </c>
      <c r="BJ400" s="746">
        <f>+((BJ374*1)/BJ399)+(((BJ377*(BJ388/182.5))+(BJ378*(BJ389/182.5))+(BJ379*(BJ390/182.5))+(BJ380*(BJ391/182.5))+(BJ381*(BJ392/182.5))+(BJ382*(BJ393/182.5))+(BJ383*(BJ394/182.5)))/BJ399)+(BJ397/BJ399)</f>
        <v>56.327742876712321</v>
      </c>
      <c r="BK400" s="746">
        <f>+((BK374*1)/BJ399)+(((BK377*(BK388/182.5))+(BK378*(BK389/182.5))+(BK379*(BK390/182.5))+(BK380*(BK391/182.5))+(BK381*(BK392/182.5))+(BK382*(BK393/182.5))+(BK383*(BK394/182.5)))/BK399)+(BK397/BK399)</f>
        <v>56.342689999999997</v>
      </c>
      <c r="BL400" s="746">
        <f>+((BJ400+BK400)/2)</f>
        <v>56.335216438356156</v>
      </c>
      <c r="BM400" s="746">
        <f>+((BM374*1)/BM399)+(((BM377*(BM388/182.5))+(BM378*(BM389/182.5))+(BM379*(BM390/182.5))+(BM380*(BM391/182.5))+(BM381*(BM392/182.5))+(BM382*(BM393/182.5))+(BM383*(BM394/182.5)))/BM399)+(BM397/BM399)</f>
        <v>56.342689999999997</v>
      </c>
      <c r="BN400" s="746">
        <f>+((BN374*1)/BM399)+(((BN377*(BN388/182.5))+(BN378*(BN389/182.5))+(BN379*(BN390/182.5))+(BN380*(BN391/182.5))+(BN381*(BN392/182.5))+(BN382*(BN393/182.5))+(BN383*(BN394/182.5)))/BN399)+(BN397/BN399)</f>
        <v>56.342689999999997</v>
      </c>
      <c r="BO400" s="746">
        <f>+((BM400+BN400)/2)</f>
        <v>56.342689999999997</v>
      </c>
      <c r="BP400" s="746">
        <f>+((BP374*1)/BP399)+(((BP377*(BP388/182.5))+(BP378*(BP389/182.5))+(BP379*(BP390/182.5))+(BP380*(BP391/182.5))+(BP381*(BP392/182.5))+(BP382*(BP393/182.5))+(BP383*(BP394/182.5)))/BP399)+(BP397/BP399)</f>
        <v>56.342689999999997</v>
      </c>
      <c r="BQ400" s="746">
        <f>+((BQ374*1)/BP399)+(((BQ377*(BQ388/182.5))+(BQ378*(BQ389/182.5))+(BQ379*(BQ390/182.5))+(BQ380*(BQ391/182.5))+(BQ381*(BQ392/182.5))+(BQ382*(BQ393/182.5))+(BQ383*(BQ394/182.5)))/BQ399)+(BQ397/BQ399)</f>
        <v>56.342689999999997</v>
      </c>
      <c r="BR400" s="746">
        <f>+((BP400+BQ400)/2)</f>
        <v>56.342689999999997</v>
      </c>
      <c r="BS400" s="746">
        <f>+((BS374*1)/BS399)+(((BS377*(BS388/182.5))+(BS378*(BS389/182.5))+(BS379*(BS390/182.5))+(BS380*(BS391/182.5))+(BS381*(BS392/182.5))+(BS382*(BS393/182.5))+(BS383*(BS394/182.5)))/BS399)+(BS397/BS399)</f>
        <v>55.443843465753424</v>
      </c>
      <c r="BT400" s="746">
        <f>+((BT374*1)/BS399)+(((BT377*(BT388/182.5))+(BT378*(BT389/182.5))+(BT379*(BT390/182.5))+(BT380*(BT391/182.5))+(BT381*(BT392/182.5))+(BT382*(BT393/182.5))+(BT383*(BT394/182.5)))/BT399)+(BT397/BT399)</f>
        <v>55.451501</v>
      </c>
      <c r="BU400" s="746">
        <f>+((BS400+BT400)/2)</f>
        <v>55.447672232876712</v>
      </c>
      <c r="BV400" s="746">
        <f>CS_WAC_H1_08</f>
        <v>55.663815999999997</v>
      </c>
      <c r="BW400" s="746">
        <f>+((BW374*1)/BV399)+(((BW377*(BW388/182.5))+(BW378*(BW389/182.5))+(BW379*(BW390/182.5))+(BW380*(BW391/182.5))+(BW381*(BW392/182.5))+(BW382*(BW393/182.5))+(BW383*(BW394/182.5)))/BW399)+(BW397/BW399)</f>
        <v>56.037565000000001</v>
      </c>
      <c r="BX400" s="746">
        <f>CS_WAC_08</f>
        <v>55.787184000000003</v>
      </c>
      <c r="BY400" s="746">
        <f>+((BY374*1)/BY399)+(((BY377*(BY388/182.5))+(BY378*(BY389/182.5))+(BY379*(BY390/182.5))+(BY380*(BY391/182.5))+(BY381*(BY392/182.5))+(BY382*(BY393/182.5))+(BY383*(BY394/182.5)))/BY399)+(BY397/BY399)</f>
        <v>55.743212999999997</v>
      </c>
      <c r="BZ400" s="746">
        <f>+((BZ374*1)/BY399)+(((BZ377*(BZ388/182.5))+(BZ378*(BZ389/182.5))+(BZ379*(BZ390/182.5))+(BZ380*(BZ391/182.5))+(BZ381*(BZ392/182.5))+(BZ382*(BZ393/182.5))+(BZ383*(BZ394/182.5)))/BZ399)+(BZ397/BZ399)</f>
        <v>55.877001999999997</v>
      </c>
      <c r="CA400" s="746">
        <f>CS_WAC_09</f>
        <v>55.981856000000001</v>
      </c>
      <c r="CB400" s="762">
        <f>+((CB374*1)/CB399)+(((CB377*(CB388/182.5))+(CB378*(CB389/182.5))+(CB379*(CB390/182.5))+(CB380*(CB391/182.5))+(CB381*(CB392/182.5))+(CB382*(CB393/182.5))+(CB383*(CB394/182.5)))/CB399)+(CB397/CB399)</f>
        <v>56.397731</v>
      </c>
      <c r="CC400" s="746">
        <f>+((CC374*1)/CB399)+(((CC377*(CC388/182.5))+(CC378*(CC389/182.5))+(CC379*(CC390/182.5))+(CC380*(CC391/182.5))+(CC381*(CC392/182.5))+(CC382*(CC393/182.5))+(CC383*(CC394/182.5)))/CC399)+(CC397/CC399)</f>
        <v>56.755384999999997</v>
      </c>
      <c r="CD400" s="753">
        <f>+((CB400+CC400)/2)</f>
        <v>56.576557999999999</v>
      </c>
      <c r="CE400" s="749">
        <f>+((CE374*1)/CE399)+(((CE377*(CE388/182.5))+(CE378*(CE389/182.5))+(CE379*(CE390/182.5))+(CE380*(CE391/182.5))+(CE381*(CE392/182.5))+(CE382*(CE393/182.5))+(CE383*(CE394/182.5)))/CE399)+(CE397/CE399)</f>
        <v>56.888645000000004</v>
      </c>
      <c r="CF400" s="749">
        <f>+((CF374*1)/CE399)+(((CF377*(CF388/182.5))+(CF378*(CF389/182.5))+(CF379*(CF390/182.5))+(CF380*(CF391/182.5))+(CF381*(CF392/182.5))+(CF382*(CF393/182.5))+(CF383*(CF394/182.5)))/CF399)+(CF397/CF399)</f>
        <v>56.930196000000002</v>
      </c>
      <c r="CG400" s="750">
        <v>56.989026000000003</v>
      </c>
      <c r="CH400" s="749">
        <f>+((CH374*1)/CH399)+(((CH377*(CH388/182.5))+(CH378*(CH389/182.5))+(CH379*(CH390/182.5))+(CH380*(CH391/182.5))+(CH381*(CH392/182.5))+(CH382*(CH393/182.5))+(CH383*(CH394/182.5)))/CH399)+(CH397/CH399)</f>
        <v>56.907303355068493</v>
      </c>
      <c r="CI400" s="749">
        <f>+((CI374*1)/CH399)+(((CI377*(CI388/182.5))+(CI378*(CI389/182.5))+(CI379*(CI390/182.5))+(CI380*(CI391/182.5))+(CI381*(CI392/182.5))+(CI382*(CI393/182.5))+(CI383*(CI394/182.5)))/CI399)+(CI397/CI399)</f>
        <v>57.172851999999999</v>
      </c>
      <c r="CJ400" s="749">
        <f>+((CH400+CI400)/2)</f>
        <v>57.040077677534242</v>
      </c>
      <c r="CK400" s="749">
        <f>+((CK374*1)/CK399)+(((CK377*(CK388/182.5))+(CK378*(CK389/182.5))+(CK379*(CK390/182.5))+(CK380*(CK391/182.5))+(CK381*(CK392/182.5))+(CK382*(CK393/182.5))+(CK383*(CK394/182.5)))/CK399)+(CK397/CK399)</f>
        <v>57.052113191780826</v>
      </c>
      <c r="CL400" s="749">
        <f>+((CL374*1)/CK399)+(((CL377*(CL388/182.5))+(CL378*(CL389/182.5))+(CL379*(CL390/182.5))+(CL380*(CL391/182.5))+(CL381*(CL392/182.5))+(CL382*(CL393/182.5))+(CL383*(CL394/182.5)))/CL399)+(CL397/CL399)</f>
        <v>57.047096000000003</v>
      </c>
      <c r="CM400" s="749">
        <f>+((CK400+CL400)/2)</f>
        <v>57.049604595890415</v>
      </c>
      <c r="CN400" s="749">
        <f>+((CN374*1)/CN399)+(((CN377*(CN388/182.5))+(CN378*(CN389/182.5))+(CN379*(CN390/182.5))+(CN380*(CN391/182.5))+(CN381*(CN392/182.5))+(CN382*(CN393/182.5))+(CN383*(CN394/182.5)))/CN399)+(CN397/CN399)</f>
        <v>57.049565000000001</v>
      </c>
      <c r="CO400" s="749">
        <f>+((CO374*1)/CN399)+(((CO377*(CO388/182.5))+(CO378*(CO389/182.5))+(CO379*(CO390/182.5))+(CO380*(CO391/182.5))+(CO381*(CO392/182.5))+(CO382*(CO393/182.5))+(CO383*(CO394/182.5)))/CO399)+(CO397/CO399)</f>
        <v>56.939827000000001</v>
      </c>
      <c r="CP400" s="749">
        <f>+((CN400+CO400)/2)</f>
        <v>56.994696000000005</v>
      </c>
      <c r="CQ400" s="749">
        <f>+((CQ374*1)/CQ399)+(((CQ377*(CQ388/182.5))+(CQ378*(CQ389/182.5))+(CQ379*(CQ390/182.5))+(CQ380*(CQ391/182.5))+(CQ381*(CQ392/182.5))+(CQ382*(CQ393/182.5))+(CQ383*(CQ394/182.5)))/CQ399)+(CQ397/CQ399)</f>
        <v>57.150127999999995</v>
      </c>
      <c r="CR400" s="749">
        <f>+((CR374*1)/CQ399)+(((CR377*(CR388/182.5))+(CR378*(CR389/182.5))+(CR379*(CR390/182.5))+(CR380*(CR391/182.5))+(CR381*(CR392/182.5))+(CR382*(CR393/182.5))+(CR383*(CR394/182.5)))/CR399)+(CR397/CR399)</f>
        <v>57.222276999999998</v>
      </c>
      <c r="CS400" s="749">
        <f>+((CQ400+CR400)/2)</f>
        <v>57.186202499999993</v>
      </c>
      <c r="CT400" s="749">
        <f>+((CT374*1)/CT399)+(((CT377*(CT388/182.5))+(CT378*(CT389/182.5))+(CT379*(CT390/182.5))+(CT380*(CT391/182.5))+(CT381*(CT392/182.5))+(CT382*(CT393/182.5))+(CT383*(CT394/182.5)))/CT399)+(CT397/CT399)</f>
        <v>57.042251999999998</v>
      </c>
      <c r="CU400" s="749">
        <f>+((CU374*1)/CT399)+(((CU377*(CU388/182.5))+(CU378*(CU389/182.5))+(CU379*(CU390/182.5))+(CU380*(CU391/182.5))+(CU381*(CU392/182.5))+(CU382*(CU393/182.5))+(CU383*(CU394/182.5)))/CU399)+(CU397/CU399)</f>
        <v>57.351784616438344</v>
      </c>
      <c r="CV400" s="749">
        <f>+((CT400+CU400)/2)</f>
        <v>57.197018308219171</v>
      </c>
      <c r="CW400" s="749">
        <f>+CS_WAC_H1_17</f>
        <v>57.430641999999999</v>
      </c>
      <c r="CX400" s="749">
        <f>+((CX374*1)/CW399)+(((CX377*(CX388/182.5))+(CX378*(CX389/182.5))+(CX379*(CX390/182.5))+(CX380*(CX391/182.5))+(CX381*(CX392/182.5))+(CX382*(CX393/182.5))+(CX383*(CX394/182.5)))/CX399)+(CX397/CX399)</f>
        <v>57.388313999999994</v>
      </c>
      <c r="CY400" s="749">
        <f>+((CW400+CX400)/2)</f>
        <v>57.409477999999993</v>
      </c>
      <c r="CZ400" s="749">
        <f>+((CZ374*1)/CZ399)+(((CZ377*(CZ388/182.5))+(CZ378*(CZ389/182.5))+(CZ379*(CZ390/182.5))+(CZ380*(CZ391/182.5))+(CZ381*(CZ392/182.5))+(CZ382*(CZ393/182.5))+(CZ383*(CZ394/182.5)))/CZ399)+(CZ397/CZ399)</f>
        <v>57.492086</v>
      </c>
      <c r="DA400" s="749">
        <f>+((DA374*1)/CZ399)+(((DA377*(DA388/182.5))+(DA378*(DA389/182.5))+(DA379*(DA390/182.5))+(DA380*(DA391/182.5))+(DA381*(DA392/182.5))+(DA382*(DA393/182.5))+(DA383*(DA394/182.5)))/DA399)+(DA397/DA399)</f>
        <v>57.573563999999998</v>
      </c>
      <c r="DB400" s="749">
        <f>+((CZ400+DA400)/2)</f>
        <v>57.532825000000003</v>
      </c>
      <c r="DC400" s="749">
        <f>+((DC374*1)/DC399)+(((DC377*(DC388/182.5))+(DC378*(DC389/182.5))+(DC379*(DC390/182.5))+(DC380*(DC391/182.5))+(DC381*(DC392/182.5))+(DC382*(DC393/182.5))+(DC383*(DC394/182.5)))/DC399)+(DC397/DC399)</f>
        <v>57.684101000000005</v>
      </c>
      <c r="DD400" s="749">
        <f>+((DD374*1)/DC399)+(((DD377*(DD388/182.5))+(DD378*(DD389/182.5))+(DD379*(DD390/182.5))+(DD380*(DD391/182.5))+(DD381*(DD392/182.5))+(DD382*(DD393/182.5))+(DD383*(DD394/182.5)))/DD399)+(DD397/DD399)</f>
        <v>57.737728379726029</v>
      </c>
      <c r="DE400" s="753">
        <f>+((DC400+DD400)/2)</f>
        <v>57.710914689863017</v>
      </c>
      <c r="DF400" s="749">
        <f>+((DF374*1)/DF399)+(((DF377*(DF388/182.5))+(DF378*(DF389/182.5))+(DF379*(DF390/182.5))+(DF380*(DF391/182.5))+(DF381*(DF392/182.5))+(DF382*(DF393/182.5))+(DF383*(DF394/182.5)))/DF399)+(DF397/DF399)</f>
        <v>57.804264999999994</v>
      </c>
      <c r="DG400" s="749">
        <f>+((DG374*1)/DF399)+(((DG377*(DG388/182.5))+(DG378*(DG389/182.5))+(DG379*(DG390/182.5))+(DG380*(DG391/182.5))+(DG381*(DG392/182.5))+(DG382*(DG393/182.5))+(DG383*(DG394/182.5)))/DG399)+(DG397/DG399)</f>
        <v>61.479376999994727</v>
      </c>
      <c r="DH400" s="1308">
        <f>+((DF400+DG400)/2)</f>
        <v>59.641820999997364</v>
      </c>
      <c r="DI400" s="749">
        <f>+((DI374*1)/DI399)+(((DI377*(DI388/182.5))+(DI378*(DI389/182.5))+(DI379*(DI390/182.5))+(DI380*(DI391/182.5))+(DI381*(DI392/182.5))+(DI382*(DI393/182.5))+(DI383*(DI394/182.5)))/DI399)+(DI397/DI399)</f>
        <v>65.693617438356171</v>
      </c>
      <c r="DJ400" s="749">
        <f>+((DJ374*1)/DI399)+(((DJ377*(DJ388/182.5))+(DJ378*(DJ389/182.5))+(DJ379*(DJ390/182.5))+(DJ380*(DJ391/182.5))+(DJ381*(DJ392/182.5))+(DJ382*(DJ393/182.5))+(DJ383*(DJ394/182.5)))/DJ399)+(DJ397/DJ399)</f>
        <v>65.744864986301366</v>
      </c>
      <c r="DK400" s="1308">
        <f>+((DI400+DJ400)/2)</f>
        <v>65.719241212328768</v>
      </c>
      <c r="DL400" s="749">
        <f>+((DL374*1)/DL399)+(((DL377*(DL388/182.5))+(DL378*(DL389/182.5))+(DL379*(DL390/182.5))+(DL380*(DL391/182.5))+(DL381*(DL392/182.5))+(DL382*(DL393/182.5))+(DL383*(DL394/182.5)))/DL399)+(DL397/DL399)</f>
        <v>65.745889000000005</v>
      </c>
      <c r="DM400" s="749">
        <f>+((DM374*1)/DL399)+(((DM377*(DM388/182.5))+(DM378*(DM389/182.5))+(DM379*(DM390/182.5))+(DM380*(DM391/182.5))+(DM381*(DM392/182.5))+(DM382*(DM393/182.5))+(DM383*(DM394/182.5)))/DM399)+(DM397/DM399)</f>
        <v>65.767523000000011</v>
      </c>
      <c r="DN400" s="1308">
        <f>+((DL400+DM400)/2)</f>
        <v>65.756706000000008</v>
      </c>
      <c r="DO400" s="749">
        <f>+((DO374*1)/DO399)+(((DO377*(DO388/182.5))+(DO378*(DO389/182.5))+(DO379*(DO390/182.5))+(DO380*(DO391/182.5))+(DO381*(DO392/182.5))+(DO382*(DO393/182.5))+(DO383*(DO394/182.5)))/DO399)+(DO397/DO399)</f>
        <v>65.779227000000006</v>
      </c>
      <c r="DP400" s="749">
        <f>DP398</f>
        <v>65.896852999999993</v>
      </c>
      <c r="DQ400" s="1308">
        <f>DQ398</f>
        <v>65.896852999999993</v>
      </c>
      <c r="DR400" s="749">
        <f>+((DR374*1)/DR399)+(((DR377*(DR388/182.5))+(DR378*(DR389/182.5))+(DR379*(DR390/182.5))+(DR380*(DR391/182.5))+(DR381*(DR392/182.5))+(DR382*(DR393/182.5))+(DR383*(DR394/182.5)))/DR399)+(DR397/DR399)</f>
        <v>65.706764000000007</v>
      </c>
      <c r="DS400" s="749">
        <f>+((DS374*1)/DR399)+(((DS377*(DS388/182.5))+(DS378*(DS389/182.5))+(DS379*(DS390/182.5))+(DS380*(DS391/182.5))+(DS381*(DS392/182.5))+(DS382*(DS393/182.5))+(DS383*(DS394/182.5)))/DS399)+(DS397/DS399)</f>
        <v>65.699686999999997</v>
      </c>
      <c r="DT400" s="1308">
        <f>+((DR400+DS400)/2)</f>
        <v>65.703225500000002</v>
      </c>
      <c r="DU400" s="749">
        <f>+((DU374*1)/DU399)+(((DU377*(DU388/182.5))+(DU378*(DU389/182.5))+(DU379*(DU390/182.5))+(DU380*(DU391/182.5))+(DU381*(DU392/182.5))+(DU382*(DU393/182.5))+(DU383*(DU394/182.5)))/DU399)+(DU397/DU399)</f>
        <v>65.678101999999996</v>
      </c>
      <c r="DV400" s="749">
        <f>+((DV374*1)/DU399)+(((DV377*(DV388/182.5))+(DV378*(DV389/182.5))+(DV379*(DV390/182.5))+(DV380*(DV391/182.5))+(DV381*(DV392/182.5))+(DV382*(DV393/182.5))+(DV383*(DV394/182.5)))/DV399)+(DV397/DV399)</f>
        <v>65.633101999999994</v>
      </c>
      <c r="DW400" s="1308">
        <f>+((DU400+DV400)/2)</f>
        <v>65.655601999999988</v>
      </c>
      <c r="DX400" s="749">
        <f>+DX398</f>
        <v>65.537042999999997</v>
      </c>
      <c r="DY400" s="749">
        <f>+((DY374*1)/DX399)+(((DY377*(DY388/182.5))+(DY378*(DY389/182.5))+(DY379*(DY390/182.5))+(DY380*(DY391/182.5))+(DY381*(DY392/182.5))+(DY382*(DY393/182.5))+(DY383*(DY394/182.5)))/DY399)+(DY397/DY399)</f>
        <v>65.323698849494363</v>
      </c>
      <c r="DZ400" s="1308">
        <f>+((DX400+DY400)/2)</f>
        <v>65.43037092474718</v>
      </c>
      <c r="EA400" s="749">
        <f>+((EA374*1)/EA399)+(((EA377*(EA388/182.5))+(EA378*(EA389/182.5))+(EA379*(EA390/182.5))+(EA380*(EA391/182.5))+(EA381*(EA392/182.5))+(EA382*(EA393/182.5))+(EA383*(EA394/182.5)))/EA399)+(EA397/EA399)</f>
        <v>65.091548996764416</v>
      </c>
      <c r="EB400" s="749">
        <f>+((EB374*1)/EA399)+(((EB377*(EB388/182.5))+(EB378*(EB389/182.5))+(EB379*(EB390/182.5))+(EB380*(EB391/182.5))+(EB381*(EB392/182.5))+(EB382*(EB393/182.5))+(EB383*(EB394/182.5)))/EB399)+(EB397/EB399)</f>
        <v>64.865061335564477</v>
      </c>
      <c r="EC400" s="1308">
        <f>+((EA400+EB400)/2)</f>
        <v>64.978305166164446</v>
      </c>
      <c r="ED400" s="749">
        <f>+((ED374*1)/ED399)+(((ED377*(ED388/182.5))+(ED378*(ED389/182.5))+(ED379*(ED390/182.5))+(ED380*(ED391/182.5))+(ED381*(ED392/182.5))+(ED382*(ED393/182.5))+(ED383*(ED394/182.5)))/ED399)+(ED397/ED399)</f>
        <v>64.865061335564477</v>
      </c>
      <c r="EE400" s="749">
        <f>+((EE374*1)/ED399)+(((EE377*(EE388/182.5))+(EE378*(EE389/182.5))+(EE379*(EE390/182.5))+(EE380*(EE391/182.5))+(EE381*(EE392/182.5))+(EE382*(EE393/182.5))+(EE383*(EE394/182.5)))/EE399)+(EE397/EE399)</f>
        <v>64.644097763662103</v>
      </c>
      <c r="EF400" s="1308">
        <f>+((ED400+EE400)/2)</f>
        <v>64.754579549613283</v>
      </c>
      <c r="EG400" s="749">
        <f>+((EG374*1)/EG399)+(((EG377*(EG388/182.5))+(EG378*(EG389/182.5))+(EG379*(EG390/182.5))+(EG380*(EG391/182.5))+(EG381*(EG392/182.5))+(EG382*(EG393/182.5))+(EG383*(EG394/182.5)))/EG399)+(EG397/EG399)</f>
        <v>64.428523547171977</v>
      </c>
      <c r="EH400" s="749">
        <f>+((EH374*1)/EG399)+(((EH377*(EH388/182.5))+(EH378*(EH389/182.5))+(EH379*(EH390/182.5))+(EH380*(EH391/182.5))+(EH381*(EH392/182.5))+(EH382*(EH393/182.5))+(EH383*(EH394/182.5)))/EH399)+(EH397/EH399)</f>
        <v>64.428523547171977</v>
      </c>
      <c r="EI400" s="1308">
        <f>+((EG400+EH400)/2)</f>
        <v>64.428523547171977</v>
      </c>
      <c r="EJ400" s="749">
        <f>+((EJ374*1)/EJ399)+(((EJ377*(EJ388/182.5))+(EJ378*(EJ389/182.5))+(EJ379*(EJ390/182.5))+(EJ380*(EJ391/182.5))+(EJ381*(EJ392/182.5))+(EJ382*(EJ393/182.5))+(EJ383*(EJ394/182.5)))/EJ399)+(EJ397/EJ399)</f>
        <v>64.428523547171977</v>
      </c>
      <c r="EK400" s="749">
        <f>+((EK374*1)/EJ399)+(((EK377*(EK388/182.5))+(EK378*(EK389/182.5))+(EK379*(EK390/182.5))+(EK380*(EK391/182.5))+(EK381*(EK392/182.5))+(EK382*(EK393/182.5))+(EK383*(EK394/182.5)))/EK399)+(EK397/EK399)</f>
        <v>64.428523547171977</v>
      </c>
      <c r="EL400" s="1308">
        <f>+((EJ400+EK400)/2)</f>
        <v>64.428523547171977</v>
      </c>
      <c r="EM400" s="749">
        <f>+((EM374*1)/EM399)+(((EM377*(EM388/182.5))+(EM378*(EM389/182.5))+(EM379*(EM390/182.5))+(EM380*(EM391/182.5))+(EM381*(EM392/182.5))+(EM382*(EM393/182.5))+(EM383*(EM394/182.5)))/EM399)+(EM397/EM399)</f>
        <v>64.428523547171977</v>
      </c>
      <c r="EN400" s="749">
        <f>+((EN374*1)/EM399)+(((EN377*(EN388/182.5))+(EN378*(EN389/182.5))+(EN379*(EN390/182.5))+(EN380*(EN391/182.5))+(EN381*(EN392/182.5))+(EN382*(EN393/182.5))+(EN383*(EN394/182.5)))/EN399)+(EN397/EN399)</f>
        <v>64.428523547171977</v>
      </c>
      <c r="EO400" s="1308">
        <f>+((EM400+EN400)/2)</f>
        <v>64.428523547171977</v>
      </c>
      <c r="EP400" s="749">
        <f>+((EP374*1)/EP399)+(((EP377*(EP388/182.5))+(EP378*(EP389/182.5))+(EP379*(EP390/182.5))+(EP380*(EP391/182.5))+(EP381*(EP392/182.5))+(EP382*(EP393/182.5))+(EP383*(EP394/182.5)))/EP399)+(EP397/EP399)</f>
        <v>64.428523547171977</v>
      </c>
      <c r="EQ400" s="749">
        <f>+((EQ374*1)/EP399)+(((EQ377*(EQ388/182.5))+(EQ378*(EQ389/182.5))+(EQ379*(EQ390/182.5))+(EQ380*(EQ391/182.5))+(EQ381*(EQ392/182.5))+(EQ382*(EQ393/182.5))+(EQ383*(EQ394/182.5)))/EQ399)+(EQ397/EQ399)</f>
        <v>64.428523547171977</v>
      </c>
      <c r="ER400" s="1308">
        <f>+((EP400+EQ400)/2)</f>
        <v>64.428523547171977</v>
      </c>
      <c r="ES400" s="749">
        <f>+((ES374*1)/ES399)+(((ES377*(ES388/182.5))+(ES378*(ES389/182.5))+(ES379*(ES390/182.5))+(ES380*(ES391/182.5))+(ES381*(ES392/182.5))+(ES382*(ES393/182.5))+(ES383*(ES394/182.5)))/ES399)+(ES397/ES399)</f>
        <v>64.428523547171977</v>
      </c>
      <c r="ET400" s="749">
        <f>+((ET374*1)/ES399)+(((ET377*(ET388/182.5))+(ET378*(ET389/182.5))+(ET379*(ET390/182.5))+(ET380*(ET391/182.5))+(ET381*(ET392/182.5))+(ET382*(ET393/182.5))+(ET383*(ET394/182.5)))/ET399)+(ET397/ET399)</f>
        <v>64.428523547171977</v>
      </c>
      <c r="EU400" s="1308">
        <f>+((ES400+ET400)/2)</f>
        <v>64.428523547171977</v>
      </c>
      <c r="EV400" s="749">
        <f>+((EV374*1)/EV399)+(((EV377*(EV388/182.5))+(EV378*(EV389/182.5))+(EV379*(EV390/182.5))+(EV380*(EV391/182.5))+(EV381*(EV392/182.5))+(EV382*(EV393/182.5))+(EV383*(EV394/182.5)))/EV399)+(EV397/EV399)</f>
        <v>64.428523547171977</v>
      </c>
      <c r="EW400" s="749">
        <f>+((EW374*1)/EV399)+(((EW377*(EW388/182.5))+(EW378*(EW389/182.5))+(EW379*(EW390/182.5))+(EW380*(EW391/182.5))+(EW381*(EW392/182.5))+(EW382*(EW393/182.5))+(EW383*(EW394/182.5)))/EW399)+(EW397/EW399)</f>
        <v>64.428523547171977</v>
      </c>
      <c r="EX400" s="1308">
        <f>+((EV400+EW400)/2)</f>
        <v>64.428523547171977</v>
      </c>
      <c r="EY400" s="749">
        <f>+((EY374*1)/EY399)+(((EY377*(EY388/182.5))+(EY378*(EY389/182.5))+(EY379*(EY390/182.5))+(EY380*(EY391/182.5))+(EY381*(EY392/182.5))+(EY382*(EY393/182.5))+(EY383*(EY394/182.5)))/EY399)+(EY397/EY399)</f>
        <v>64.428523547171977</v>
      </c>
      <c r="EZ400" s="749">
        <f>+((EZ374*1)/EY399)+(((EZ377*(EZ388/182.5))+(EZ378*(EZ389/182.5))+(EZ379*(EZ390/182.5))+(EZ380*(EZ391/182.5))+(EZ381*(EZ392/182.5))+(EZ382*(EZ393/182.5))+(EZ383*(EZ394/182.5)))/EZ399)+(EZ397/EZ399)</f>
        <v>64.428523547171977</v>
      </c>
      <c r="FA400" s="1308">
        <f>+((EY400+EZ400)/2)</f>
        <v>64.428523547171977</v>
      </c>
      <c r="FE400"/>
      <c r="FF400"/>
      <c r="FG400"/>
      <c r="FH400"/>
      <c r="FI400"/>
      <c r="FJ400"/>
      <c r="FK400" s="35"/>
    </row>
    <row r="401" spans="2:167" s="235" customFormat="1" ht="13.35" customHeight="1">
      <c r="B401" s="401"/>
      <c r="C401" s="593"/>
      <c r="D401" s="594"/>
      <c r="E401" s="743"/>
      <c r="F401" s="743"/>
      <c r="G401" s="743"/>
      <c r="H401" s="743"/>
      <c r="I401" s="743"/>
      <c r="J401" s="743"/>
      <c r="K401" s="743"/>
      <c r="L401" s="743"/>
      <c r="M401" s="743"/>
      <c r="N401" s="743"/>
      <c r="O401" s="743"/>
      <c r="P401" s="743"/>
      <c r="Q401" s="743"/>
      <c r="R401" s="743"/>
      <c r="S401" s="743"/>
      <c r="T401" s="743"/>
      <c r="U401" s="743"/>
      <c r="V401" s="743"/>
      <c r="W401" s="743"/>
      <c r="X401" s="743"/>
      <c r="Y401" s="743"/>
      <c r="Z401" s="743"/>
      <c r="AA401" s="743"/>
      <c r="AB401" s="743"/>
      <c r="AC401" s="743"/>
      <c r="AD401" s="743"/>
      <c r="AE401" s="743"/>
      <c r="AF401" s="743"/>
      <c r="AG401" s="743"/>
      <c r="AH401" s="743"/>
      <c r="AI401" s="743"/>
      <c r="AJ401" s="743"/>
      <c r="AK401" s="743"/>
      <c r="AL401" s="743"/>
      <c r="AM401" s="743"/>
      <c r="AN401" s="743"/>
      <c r="AO401" s="743"/>
      <c r="AP401" s="743"/>
      <c r="AQ401" s="743"/>
      <c r="AR401" s="743"/>
      <c r="AS401" s="743"/>
      <c r="AT401" s="743"/>
      <c r="AU401" s="743"/>
      <c r="AV401" s="743"/>
      <c r="AW401" s="743"/>
      <c r="AX401" s="743"/>
      <c r="AY401" s="743"/>
      <c r="AZ401" s="743"/>
      <c r="BA401" s="743"/>
      <c r="BB401" s="743"/>
      <c r="BC401" s="743"/>
      <c r="BD401" s="743"/>
      <c r="BE401" s="743"/>
      <c r="BF401" s="743"/>
      <c r="BG401" s="743"/>
      <c r="BH401" s="743"/>
      <c r="BI401" s="743"/>
      <c r="BJ401" s="743"/>
      <c r="BK401" s="743"/>
      <c r="BL401" s="743"/>
      <c r="BM401" s="743"/>
      <c r="BN401" s="743"/>
      <c r="BO401" s="743"/>
      <c r="BP401" s="743"/>
      <c r="BQ401" s="743"/>
      <c r="BR401" s="743"/>
      <c r="BS401" s="743"/>
      <c r="BT401" s="743"/>
      <c r="BU401" s="743"/>
      <c r="BV401" s="743"/>
      <c r="BW401" s="743"/>
      <c r="BX401" s="743"/>
      <c r="BY401" s="743"/>
      <c r="BZ401" s="743"/>
      <c r="CA401" s="743"/>
      <c r="CB401" s="763"/>
      <c r="CC401" s="743"/>
      <c r="CD401" s="764"/>
      <c r="CE401" s="765"/>
      <c r="CF401" s="765"/>
      <c r="CG401" s="766"/>
      <c r="CH401" s="765"/>
      <c r="CI401" s="765"/>
      <c r="CJ401" s="765"/>
      <c r="CK401" s="765"/>
      <c r="CL401" s="765"/>
      <c r="CM401" s="765"/>
      <c r="CN401" s="765"/>
      <c r="CO401" s="765"/>
      <c r="CP401" s="765"/>
      <c r="CQ401" s="765"/>
      <c r="CR401" s="765"/>
      <c r="CS401" s="765"/>
      <c r="CT401" s="765"/>
      <c r="CU401" s="765"/>
      <c r="CV401" s="765"/>
      <c r="CW401" s="765"/>
      <c r="CX401" s="765"/>
      <c r="CY401" s="765"/>
      <c r="CZ401" s="765"/>
      <c r="DA401" s="765"/>
      <c r="DB401" s="765"/>
      <c r="DC401" s="765"/>
      <c r="DD401" s="765"/>
      <c r="DE401" s="764"/>
      <c r="DF401" s="765"/>
      <c r="DG401" s="765"/>
      <c r="DH401" s="1312"/>
      <c r="DI401" s="765"/>
      <c r="DJ401" s="765"/>
      <c r="DK401" s="1312"/>
      <c r="DL401" s="765"/>
      <c r="DM401" s="765"/>
      <c r="DN401" s="1312"/>
      <c r="DO401" s="765"/>
      <c r="DP401" s="765"/>
      <c r="DQ401" s="1312"/>
      <c r="DR401" s="765"/>
      <c r="DS401" s="765"/>
      <c r="DT401" s="1312"/>
      <c r="DU401" s="765"/>
      <c r="DV401" s="765"/>
      <c r="DW401" s="1312"/>
      <c r="DX401" s="765"/>
      <c r="DY401" s="765"/>
      <c r="DZ401" s="1312"/>
      <c r="EA401" s="765"/>
      <c r="EB401" s="765"/>
      <c r="EC401" s="1312"/>
      <c r="ED401" s="765"/>
      <c r="EE401" s="765"/>
      <c r="EF401" s="1312"/>
      <c r="EG401" s="765"/>
      <c r="EH401" s="765"/>
      <c r="EI401" s="1312"/>
      <c r="EJ401" s="765"/>
      <c r="EK401" s="765"/>
      <c r="EL401" s="1312"/>
      <c r="EM401" s="765"/>
      <c r="EN401" s="765"/>
      <c r="EO401" s="1312"/>
      <c r="EP401" s="765"/>
      <c r="EQ401" s="765"/>
      <c r="ER401" s="1312"/>
      <c r="ES401" s="765"/>
      <c r="ET401" s="765"/>
      <c r="EU401" s="1312"/>
      <c r="EV401" s="765"/>
      <c r="EW401" s="765"/>
      <c r="EX401" s="1312"/>
      <c r="EY401" s="765"/>
      <c r="EZ401" s="765"/>
      <c r="FA401" s="1312"/>
      <c r="FE401"/>
      <c r="FF401"/>
      <c r="FG401"/>
      <c r="FH401"/>
      <c r="FI401"/>
      <c r="FJ401"/>
      <c r="FK401" s="35"/>
    </row>
    <row r="402" spans="2:167" s="235" customFormat="1" ht="13.35" customHeight="1">
      <c r="B402" s="401" t="s">
        <v>980</v>
      </c>
      <c r="C402" s="593"/>
      <c r="D402" s="594"/>
      <c r="E402" s="743"/>
      <c r="F402" s="743"/>
      <c r="G402" s="743"/>
      <c r="H402" s="743"/>
      <c r="I402" s="743"/>
      <c r="J402" s="743"/>
      <c r="K402" s="743"/>
      <c r="L402" s="743"/>
      <c r="M402" s="743"/>
      <c r="N402" s="743"/>
      <c r="O402" s="743"/>
      <c r="P402" s="743"/>
      <c r="Q402" s="743"/>
      <c r="R402" s="743"/>
      <c r="S402" s="743"/>
      <c r="T402" s="743"/>
      <c r="U402" s="743"/>
      <c r="V402" s="743"/>
      <c r="W402" s="743"/>
      <c r="X402" s="743"/>
      <c r="Y402" s="743"/>
      <c r="Z402" s="743"/>
      <c r="AA402" s="743"/>
      <c r="AB402" s="743"/>
      <c r="AC402" s="743"/>
      <c r="AD402" s="743"/>
      <c r="AE402" s="743"/>
      <c r="AF402" s="743"/>
      <c r="AG402" s="743"/>
      <c r="AH402" s="743"/>
      <c r="AI402" s="743"/>
      <c r="AJ402" s="743"/>
      <c r="AK402" s="743"/>
      <c r="AL402" s="743"/>
      <c r="AM402" s="743"/>
      <c r="AN402" s="743"/>
      <c r="AO402" s="743"/>
      <c r="AP402" s="743"/>
      <c r="AQ402" s="743"/>
      <c r="AR402" s="743"/>
      <c r="AS402" s="743"/>
      <c r="AT402" s="743"/>
      <c r="AU402" s="743"/>
      <c r="AV402" s="743"/>
      <c r="AW402" s="743"/>
      <c r="AX402" s="743"/>
      <c r="AY402" s="743"/>
      <c r="AZ402" s="743"/>
      <c r="BA402" s="743"/>
      <c r="BB402" s="743"/>
      <c r="BC402" s="743"/>
      <c r="BD402" s="743"/>
      <c r="BE402" s="743"/>
      <c r="BF402" s="743"/>
      <c r="BG402" s="743"/>
      <c r="BH402" s="743"/>
      <c r="BI402" s="743"/>
      <c r="BJ402" s="743"/>
      <c r="BK402" s="743"/>
      <c r="BL402" s="743"/>
      <c r="BM402" s="743"/>
      <c r="BN402" s="743"/>
      <c r="BO402" s="743"/>
      <c r="BP402" s="743"/>
      <c r="BQ402" s="743"/>
      <c r="BR402" s="743"/>
      <c r="BS402" s="743"/>
      <c r="BT402" s="743"/>
      <c r="BU402" s="743"/>
      <c r="BV402" s="743"/>
      <c r="BW402" s="743"/>
      <c r="BX402" s="743"/>
      <c r="BY402" s="743"/>
      <c r="BZ402" s="743"/>
      <c r="CA402" s="743"/>
      <c r="CB402" s="763"/>
      <c r="CC402" s="743"/>
      <c r="CD402" s="764"/>
      <c r="CE402" s="765"/>
      <c r="CF402" s="765"/>
      <c r="CG402" s="766"/>
      <c r="CH402" s="765"/>
      <c r="CI402" s="765"/>
      <c r="CJ402" s="765"/>
      <c r="CK402" s="765"/>
      <c r="CL402" s="765"/>
      <c r="CM402" s="765"/>
      <c r="CN402" s="765"/>
      <c r="CO402" s="765"/>
      <c r="CP402" s="765"/>
      <c r="CQ402" s="765"/>
      <c r="CR402" s="765"/>
      <c r="CS402" s="765"/>
      <c r="CT402" s="765"/>
      <c r="CU402" s="765"/>
      <c r="CV402" s="765"/>
      <c r="CW402" s="765"/>
      <c r="CX402" s="765"/>
      <c r="CY402" s="765"/>
      <c r="CZ402" s="765"/>
      <c r="DA402" s="765"/>
      <c r="DB402" s="765"/>
      <c r="DC402" s="765"/>
      <c r="DD402" s="765"/>
      <c r="DE402" s="764"/>
      <c r="DF402" s="765"/>
      <c r="DG402" s="765"/>
      <c r="DH402" s="1312"/>
      <c r="DI402" s="765"/>
      <c r="DJ402" s="765"/>
      <c r="DK402" s="1312"/>
      <c r="DL402" s="765"/>
      <c r="DM402" s="765"/>
      <c r="DN402" s="1312"/>
      <c r="DO402" s="765"/>
      <c r="DP402" s="765"/>
      <c r="DQ402" s="1312"/>
      <c r="DR402" s="765"/>
      <c r="DS402" s="765"/>
      <c r="DT402" s="1312"/>
      <c r="DU402" s="765"/>
      <c r="DV402" s="765"/>
      <c r="DW402" s="1312"/>
      <c r="DX402" s="765"/>
      <c r="DY402" s="765"/>
      <c r="DZ402" s="1312"/>
      <c r="EA402" s="765"/>
      <c r="EB402" s="765"/>
      <c r="EC402" s="1312"/>
      <c r="ED402" s="765"/>
      <c r="EE402" s="765"/>
      <c r="EF402" s="1312"/>
      <c r="EG402" s="765"/>
      <c r="EH402" s="765"/>
      <c r="EI402" s="1312"/>
      <c r="EJ402" s="765"/>
      <c r="EK402" s="765"/>
      <c r="EL402" s="1312"/>
      <c r="EM402" s="765"/>
      <c r="EN402" s="765"/>
      <c r="EO402" s="1312"/>
      <c r="EP402" s="765"/>
      <c r="EQ402" s="765"/>
      <c r="ER402" s="1312"/>
      <c r="ES402" s="765"/>
      <c r="ET402" s="765"/>
      <c r="EU402" s="1312"/>
      <c r="EV402" s="765"/>
      <c r="EW402" s="765"/>
      <c r="EX402" s="1312"/>
      <c r="EY402" s="765"/>
      <c r="EZ402" s="765"/>
      <c r="FA402" s="1312"/>
      <c r="FE402"/>
      <c r="FF402"/>
      <c r="FG402"/>
      <c r="FH402"/>
      <c r="FI402"/>
      <c r="FJ402"/>
      <c r="FK402" s="35"/>
    </row>
    <row r="403" spans="2:167" s="235" customFormat="1" ht="13.35" customHeight="1">
      <c r="B403" s="401" t="s">
        <v>981</v>
      </c>
      <c r="C403" s="593"/>
      <c r="D403" s="594"/>
      <c r="E403" s="743"/>
      <c r="F403" s="743"/>
      <c r="G403" s="743"/>
      <c r="H403" s="743"/>
      <c r="I403" s="743"/>
      <c r="J403" s="743"/>
      <c r="K403" s="743"/>
      <c r="L403" s="743"/>
      <c r="M403" s="743"/>
      <c r="N403" s="743"/>
      <c r="O403" s="743"/>
      <c r="P403" s="743"/>
      <c r="Q403" s="743"/>
      <c r="R403" s="743"/>
      <c r="S403" s="743"/>
      <c r="T403" s="743"/>
      <c r="U403" s="743"/>
      <c r="V403" s="743"/>
      <c r="W403" s="743"/>
      <c r="X403" s="743"/>
      <c r="Y403" s="743"/>
      <c r="Z403" s="743"/>
      <c r="AA403" s="743"/>
      <c r="AB403" s="743"/>
      <c r="AC403" s="743"/>
      <c r="AD403" s="743"/>
      <c r="AE403" s="743"/>
      <c r="AF403" s="743"/>
      <c r="AG403" s="743"/>
      <c r="AH403" s="743"/>
      <c r="AI403" s="743"/>
      <c r="AJ403" s="743"/>
      <c r="AK403" s="743"/>
      <c r="AL403" s="743"/>
      <c r="AM403" s="743"/>
      <c r="AN403" s="743"/>
      <c r="AO403" s="743"/>
      <c r="AP403" s="743"/>
      <c r="AQ403" s="743"/>
      <c r="AR403" s="743"/>
      <c r="AS403" s="743"/>
      <c r="AT403" s="743"/>
      <c r="AU403" s="743"/>
      <c r="AV403" s="743"/>
      <c r="AW403" s="743"/>
      <c r="AX403" s="743"/>
      <c r="AY403" s="743"/>
      <c r="AZ403" s="743"/>
      <c r="BA403" s="743"/>
      <c r="BB403" s="743"/>
      <c r="BC403" s="743"/>
      <c r="BD403" s="743"/>
      <c r="BE403" s="743"/>
      <c r="BF403" s="743"/>
      <c r="BG403" s="743"/>
      <c r="BH403" s="743"/>
      <c r="BI403" s="743"/>
      <c r="BJ403" s="743"/>
      <c r="BK403" s="743"/>
      <c r="BL403" s="743"/>
      <c r="BM403" s="743"/>
      <c r="BN403" s="743"/>
      <c r="BO403" s="743"/>
      <c r="BP403" s="743"/>
      <c r="BQ403" s="743"/>
      <c r="BR403" s="743"/>
      <c r="BS403" s="743"/>
      <c r="BT403" s="743"/>
      <c r="BU403" s="743"/>
      <c r="BV403" s="743"/>
      <c r="BW403" s="743"/>
      <c r="BX403" s="743"/>
      <c r="BY403" s="743"/>
      <c r="BZ403" s="743"/>
      <c r="CA403" s="743"/>
      <c r="CB403" s="763"/>
      <c r="CC403" s="743"/>
      <c r="CD403" s="764"/>
      <c r="CE403" s="765"/>
      <c r="CF403" s="765"/>
      <c r="CG403" s="766"/>
      <c r="CH403" s="765"/>
      <c r="CI403" s="765"/>
      <c r="CJ403" s="765"/>
      <c r="CK403" s="765"/>
      <c r="CL403" s="765"/>
      <c r="CM403" s="765"/>
      <c r="CN403" s="765"/>
      <c r="CO403" s="765"/>
      <c r="CP403" s="765"/>
      <c r="CQ403" s="765"/>
      <c r="CR403" s="765"/>
      <c r="CS403" s="765"/>
      <c r="CT403" s="765"/>
      <c r="CU403" s="765"/>
      <c r="CV403" s="765"/>
      <c r="CW403" s="765"/>
      <c r="CX403" s="765"/>
      <c r="CY403" s="765"/>
      <c r="CZ403" s="765"/>
      <c r="DA403" s="765"/>
      <c r="DB403" s="765"/>
      <c r="DC403" s="765"/>
      <c r="DD403" s="765"/>
      <c r="DE403" s="764"/>
      <c r="DF403" s="765"/>
      <c r="DG403" s="765"/>
      <c r="DH403" s="1312"/>
      <c r="DI403" s="765"/>
      <c r="DJ403" s="765"/>
      <c r="DK403" s="1312"/>
      <c r="DL403" s="765"/>
      <c r="DM403" s="765"/>
      <c r="DN403" s="1312"/>
      <c r="DO403" s="765"/>
      <c r="DP403" s="765"/>
      <c r="DQ403" s="1312"/>
      <c r="DR403" s="765"/>
      <c r="DS403" s="765"/>
      <c r="DT403" s="1312"/>
      <c r="DU403" s="765"/>
      <c r="DV403" s="765"/>
      <c r="DW403" s="1312"/>
      <c r="DX403" s="765"/>
      <c r="DY403" s="765"/>
      <c r="DZ403" s="1312"/>
      <c r="EA403" s="765"/>
      <c r="EB403" s="765"/>
      <c r="EC403" s="1312"/>
      <c r="ED403" s="765"/>
      <c r="EE403" s="765"/>
      <c r="EF403" s="1312"/>
      <c r="EG403" s="765"/>
      <c r="EH403" s="765"/>
      <c r="EI403" s="1312"/>
      <c r="EJ403" s="765"/>
      <c r="EK403" s="765"/>
      <c r="EL403" s="1312"/>
      <c r="EM403" s="765"/>
      <c r="EN403" s="765"/>
      <c r="EO403" s="1312"/>
      <c r="EP403" s="765"/>
      <c r="EQ403" s="765"/>
      <c r="ER403" s="1312"/>
      <c r="ES403" s="765"/>
      <c r="ET403" s="765"/>
      <c r="EU403" s="1312"/>
      <c r="EV403" s="765"/>
      <c r="EW403" s="765"/>
      <c r="EX403" s="1312"/>
      <c r="EY403" s="765"/>
      <c r="EZ403" s="765"/>
      <c r="FA403" s="1312"/>
      <c r="FE403"/>
      <c r="FF403"/>
      <c r="FG403"/>
      <c r="FH403"/>
      <c r="FI403"/>
      <c r="FJ403"/>
      <c r="FK403" s="35"/>
    </row>
    <row r="404" spans="2:167" s="235" customFormat="1" ht="13.35" customHeight="1">
      <c r="B404" s="401"/>
      <c r="C404" s="593"/>
      <c r="D404" s="594"/>
      <c r="E404" s="743"/>
      <c r="F404" s="743"/>
      <c r="G404" s="743"/>
      <c r="H404" s="743"/>
      <c r="I404" s="743"/>
      <c r="J404" s="743"/>
      <c r="K404" s="743"/>
      <c r="L404" s="743"/>
      <c r="M404" s="743"/>
      <c r="N404" s="743"/>
      <c r="O404" s="743"/>
      <c r="P404" s="743"/>
      <c r="Q404" s="743"/>
      <c r="R404" s="743"/>
      <c r="S404" s="743"/>
      <c r="T404" s="743"/>
      <c r="U404" s="743"/>
      <c r="V404" s="743"/>
      <c r="W404" s="743"/>
      <c r="X404" s="743"/>
      <c r="Y404" s="743"/>
      <c r="Z404" s="743"/>
      <c r="AA404" s="743"/>
      <c r="AB404" s="743"/>
      <c r="AC404" s="743"/>
      <c r="AD404" s="743"/>
      <c r="AE404" s="743"/>
      <c r="AF404" s="743"/>
      <c r="AG404" s="743"/>
      <c r="AH404" s="743"/>
      <c r="AI404" s="743"/>
      <c r="AJ404" s="743"/>
      <c r="AK404" s="743"/>
      <c r="AL404" s="743"/>
      <c r="AM404" s="743"/>
      <c r="AN404" s="743"/>
      <c r="AO404" s="743"/>
      <c r="AP404" s="743"/>
      <c r="AQ404" s="743"/>
      <c r="AR404" s="743"/>
      <c r="AS404" s="743"/>
      <c r="AT404" s="743"/>
      <c r="AU404" s="743"/>
      <c r="AV404" s="743"/>
      <c r="AW404" s="743"/>
      <c r="AX404" s="743"/>
      <c r="AY404" s="743"/>
      <c r="AZ404" s="743"/>
      <c r="BA404" s="743"/>
      <c r="BB404" s="743"/>
      <c r="BC404" s="743"/>
      <c r="BD404" s="743"/>
      <c r="BE404" s="743"/>
      <c r="BF404" s="743"/>
      <c r="BG404" s="743"/>
      <c r="BH404" s="743"/>
      <c r="BI404" s="743"/>
      <c r="BJ404" s="743"/>
      <c r="BK404" s="743"/>
      <c r="BL404" s="743"/>
      <c r="BM404" s="743"/>
      <c r="BN404" s="743"/>
      <c r="BO404" s="743"/>
      <c r="BP404" s="743"/>
      <c r="BQ404" s="743"/>
      <c r="BR404" s="743"/>
      <c r="BS404" s="743"/>
      <c r="BT404" s="743"/>
      <c r="BU404" s="743"/>
      <c r="BV404" s="743"/>
      <c r="BW404" s="743"/>
      <c r="BX404" s="743"/>
      <c r="BY404" s="743"/>
      <c r="BZ404" s="743"/>
      <c r="CA404" s="743"/>
      <c r="CB404" s="763"/>
      <c r="CC404" s="743"/>
      <c r="CD404" s="764"/>
      <c r="CE404" s="765"/>
      <c r="CF404" s="765"/>
      <c r="CG404" s="766"/>
      <c r="CH404" s="765"/>
      <c r="CI404" s="765"/>
      <c r="CJ404" s="765"/>
      <c r="CK404" s="765"/>
      <c r="CL404" s="765"/>
      <c r="CM404" s="765"/>
      <c r="CN404" s="765"/>
      <c r="CO404" s="765"/>
      <c r="CP404" s="765"/>
      <c r="CQ404" s="765"/>
      <c r="CR404" s="765"/>
      <c r="CS404" s="765"/>
      <c r="CT404" s="765"/>
      <c r="CU404" s="765"/>
      <c r="CV404" s="765"/>
      <c r="CW404" s="765"/>
      <c r="CX404" s="765"/>
      <c r="CY404" s="765"/>
      <c r="CZ404" s="765"/>
      <c r="DA404" s="765"/>
      <c r="DB404" s="765"/>
      <c r="DC404" s="765"/>
      <c r="DD404" s="765"/>
      <c r="DE404" s="764"/>
      <c r="DF404" s="765"/>
      <c r="DG404" s="765"/>
      <c r="DH404" s="1312"/>
      <c r="DI404" s="765"/>
      <c r="DJ404" s="765"/>
      <c r="DK404" s="1312"/>
      <c r="DL404" s="765"/>
      <c r="DM404" s="765"/>
      <c r="DN404" s="1312"/>
      <c r="DO404" s="765"/>
      <c r="DP404" s="765"/>
      <c r="DQ404" s="1312"/>
      <c r="DR404" s="765"/>
      <c r="DS404" s="765"/>
      <c r="DT404" s="1312"/>
      <c r="DU404" s="765"/>
      <c r="DV404" s="765"/>
      <c r="DW404" s="1312"/>
      <c r="DX404" s="765"/>
      <c r="DY404" s="765"/>
      <c r="DZ404" s="1312"/>
      <c r="EA404" s="765"/>
      <c r="EB404" s="765"/>
      <c r="EC404" s="1312"/>
      <c r="ED404" s="765"/>
      <c r="EE404" s="765"/>
      <c r="EF404" s="1312"/>
      <c r="EG404" s="765"/>
      <c r="EH404" s="765"/>
      <c r="EI404" s="1312"/>
      <c r="EJ404" s="765"/>
      <c r="EK404" s="765"/>
      <c r="EL404" s="1312"/>
      <c r="EM404" s="765"/>
      <c r="EN404" s="765"/>
      <c r="EO404" s="1312"/>
      <c r="EP404" s="765"/>
      <c r="EQ404" s="765"/>
      <c r="ER404" s="1312"/>
      <c r="ES404" s="765"/>
      <c r="ET404" s="765"/>
      <c r="EU404" s="1312"/>
      <c r="EV404" s="765"/>
      <c r="EW404" s="765"/>
      <c r="EX404" s="1312"/>
      <c r="EY404" s="765"/>
      <c r="EZ404" s="765"/>
      <c r="FA404" s="1312"/>
      <c r="FE404"/>
      <c r="FF404"/>
      <c r="FG404"/>
      <c r="FH404"/>
      <c r="FI404"/>
      <c r="FJ404"/>
      <c r="FK404" s="35"/>
    </row>
    <row r="405" spans="2:167" s="235" customFormat="1" ht="13.35" customHeight="1">
      <c r="B405" s="401"/>
      <c r="C405" s="593"/>
      <c r="D405" s="594"/>
      <c r="E405" s="743"/>
      <c r="F405" s="743"/>
      <c r="G405" s="743"/>
      <c r="H405" s="743"/>
      <c r="I405" s="743"/>
      <c r="J405" s="743"/>
      <c r="K405" s="743"/>
      <c r="L405" s="743"/>
      <c r="M405" s="743"/>
      <c r="N405" s="743"/>
      <c r="O405" s="743"/>
      <c r="P405" s="743"/>
      <c r="Q405" s="743"/>
      <c r="R405" s="743"/>
      <c r="S405" s="743"/>
      <c r="T405" s="743"/>
      <c r="U405" s="743"/>
      <c r="V405" s="743"/>
      <c r="W405" s="743"/>
      <c r="X405" s="743"/>
      <c r="Y405" s="743"/>
      <c r="Z405" s="743"/>
      <c r="AA405" s="743"/>
      <c r="AB405" s="743"/>
      <c r="AC405" s="743"/>
      <c r="AD405" s="743"/>
      <c r="AE405" s="743"/>
      <c r="AF405" s="743"/>
      <c r="AG405" s="743"/>
      <c r="AH405" s="743"/>
      <c r="AI405" s="743"/>
      <c r="AJ405" s="743"/>
      <c r="AK405" s="743"/>
      <c r="AL405" s="743"/>
      <c r="AM405" s="743"/>
      <c r="AN405" s="743"/>
      <c r="AO405" s="743"/>
      <c r="AP405" s="743"/>
      <c r="AQ405" s="743"/>
      <c r="AR405" s="743"/>
      <c r="AS405" s="743"/>
      <c r="AT405" s="743"/>
      <c r="AU405" s="743"/>
      <c r="AV405" s="743"/>
      <c r="AW405" s="743"/>
      <c r="AX405" s="743"/>
      <c r="AY405" s="743"/>
      <c r="AZ405" s="743"/>
      <c r="BA405" s="743"/>
      <c r="BB405" s="743"/>
      <c r="BC405" s="743"/>
      <c r="BD405" s="743"/>
      <c r="BE405" s="743"/>
      <c r="BF405" s="743"/>
      <c r="BG405" s="743"/>
      <c r="BH405" s="743"/>
      <c r="BI405" s="743"/>
      <c r="BJ405" s="743"/>
      <c r="BK405" s="743"/>
      <c r="BL405" s="743"/>
      <c r="BM405" s="743"/>
      <c r="BN405" s="743"/>
      <c r="BO405" s="743"/>
      <c r="BP405" s="743"/>
      <c r="BQ405" s="743"/>
      <c r="BR405" s="743"/>
      <c r="BS405" s="743"/>
      <c r="BT405" s="743"/>
      <c r="BU405" s="743"/>
      <c r="BV405" s="743"/>
      <c r="BW405" s="743"/>
      <c r="BX405" s="743"/>
      <c r="BY405" s="743"/>
      <c r="BZ405" s="743"/>
      <c r="CA405" s="743"/>
      <c r="CB405" s="743"/>
      <c r="CC405" s="743"/>
      <c r="CD405" s="693"/>
      <c r="CE405" s="693"/>
      <c r="CF405" s="693"/>
      <c r="CG405" s="693"/>
      <c r="CH405" s="693"/>
      <c r="CI405" s="693"/>
      <c r="CJ405" s="693"/>
      <c r="CK405" s="693"/>
      <c r="CL405" s="693"/>
      <c r="CM405" s="693"/>
      <c r="CN405" s="693"/>
      <c r="CO405" s="693"/>
      <c r="CP405" s="693"/>
      <c r="CQ405" s="693"/>
      <c r="CR405" s="693"/>
      <c r="CS405" s="693"/>
      <c r="CT405" s="693"/>
      <c r="CU405" s="693"/>
      <c r="CV405" s="693"/>
      <c r="CW405" s="693"/>
      <c r="CX405" s="693"/>
      <c r="CY405" s="693"/>
      <c r="CZ405" s="693"/>
      <c r="DA405" s="693"/>
      <c r="DB405" s="693"/>
      <c r="DC405" s="693"/>
      <c r="DD405" s="693"/>
      <c r="DE405" s="767"/>
      <c r="DF405" s="693"/>
      <c r="DG405" s="693"/>
      <c r="DH405" s="1307"/>
      <c r="DI405" s="693"/>
      <c r="DJ405" s="693"/>
      <c r="DK405" s="1307"/>
      <c r="DL405" s="693"/>
      <c r="DM405" s="693"/>
      <c r="DN405" s="1307"/>
      <c r="DO405" s="693"/>
      <c r="DP405" s="693"/>
      <c r="DQ405" s="1307"/>
      <c r="DR405" s="693"/>
      <c r="DS405" s="693"/>
      <c r="DT405" s="1307"/>
      <c r="DU405" s="693"/>
      <c r="DV405" s="693"/>
      <c r="DW405" s="1307"/>
      <c r="DX405" s="693"/>
      <c r="DY405" s="693"/>
      <c r="DZ405" s="1307"/>
      <c r="EA405" s="693"/>
      <c r="EB405" s="693"/>
      <c r="EC405" s="1307"/>
      <c r="ED405" s="693"/>
      <c r="EE405" s="693"/>
      <c r="EF405" s="1307"/>
      <c r="EG405" s="693"/>
      <c r="EH405" s="693"/>
      <c r="EI405" s="1307"/>
      <c r="EJ405" s="693"/>
      <c r="EK405" s="693"/>
      <c r="EL405" s="1307"/>
      <c r="EM405" s="693"/>
      <c r="EN405" s="693"/>
      <c r="EO405" s="1307"/>
      <c r="EP405" s="693"/>
      <c r="EQ405" s="693"/>
      <c r="ER405" s="1307"/>
      <c r="ES405" s="693"/>
      <c r="ET405" s="693"/>
      <c r="EU405" s="1307"/>
      <c r="EV405" s="693"/>
      <c r="EW405" s="693"/>
      <c r="EX405" s="1307"/>
      <c r="EY405" s="693"/>
      <c r="EZ405" s="693"/>
      <c r="FA405" s="1307"/>
      <c r="FE405"/>
      <c r="FF405"/>
      <c r="FG405"/>
      <c r="FH405"/>
      <c r="FI405"/>
      <c r="FJ405"/>
      <c r="FK405" s="35"/>
    </row>
    <row r="406" spans="2:167" s="235" customFormat="1" ht="13.35" customHeight="1" thickBot="1">
      <c r="B406" s="401" t="s">
        <v>881</v>
      </c>
      <c r="C406" s="593"/>
      <c r="D406" s="594"/>
      <c r="E406" s="743"/>
      <c r="F406" s="743"/>
      <c r="G406" s="743"/>
      <c r="H406" s="743"/>
      <c r="I406" s="743"/>
      <c r="J406" s="743"/>
      <c r="K406" s="743"/>
      <c r="L406" s="743"/>
      <c r="M406" s="743"/>
      <c r="N406" s="743"/>
      <c r="O406" s="743"/>
      <c r="P406" s="743"/>
      <c r="Q406" s="743"/>
      <c r="R406" s="743"/>
      <c r="S406" s="743"/>
      <c r="T406" s="743"/>
      <c r="U406" s="743"/>
      <c r="V406" s="743"/>
      <c r="W406" s="743"/>
      <c r="X406" s="743"/>
      <c r="Y406" s="743"/>
      <c r="Z406" s="743"/>
      <c r="AA406" s="743"/>
      <c r="AB406" s="743"/>
      <c r="AC406" s="743"/>
      <c r="AD406" s="743"/>
      <c r="AE406" s="743"/>
      <c r="AF406" s="743"/>
      <c r="AG406" s="743"/>
      <c r="AH406" s="743"/>
      <c r="AI406" s="743"/>
      <c r="AJ406" s="743"/>
      <c r="AK406" s="743"/>
      <c r="AL406" s="743"/>
      <c r="AM406" s="743"/>
      <c r="AN406" s="743"/>
      <c r="AO406" s="743"/>
      <c r="AP406" s="743"/>
      <c r="AQ406" s="743"/>
      <c r="AR406" s="743"/>
      <c r="AS406" s="743"/>
      <c r="AT406" s="743"/>
      <c r="AU406" s="743"/>
      <c r="AV406" s="743"/>
      <c r="AW406" s="743"/>
      <c r="AX406" s="743"/>
      <c r="AY406" s="743"/>
      <c r="AZ406" s="743"/>
      <c r="BA406" s="743"/>
      <c r="BB406" s="743"/>
      <c r="BC406" s="743"/>
      <c r="BD406" s="743"/>
      <c r="BE406" s="743"/>
      <c r="BF406" s="743"/>
      <c r="BG406" s="743"/>
      <c r="BH406" s="743"/>
      <c r="BI406" s="743"/>
      <c r="BJ406" s="743"/>
      <c r="BK406" s="743"/>
      <c r="BL406" s="743"/>
      <c r="BM406" s="743"/>
      <c r="BN406" s="743"/>
      <c r="BO406" s="743"/>
      <c r="BP406" s="743"/>
      <c r="BQ406" s="743"/>
      <c r="BR406" s="743"/>
      <c r="BS406" s="743"/>
      <c r="BT406" s="743"/>
      <c r="BU406" s="743"/>
      <c r="BV406" s="743"/>
      <c r="BW406" s="743"/>
      <c r="BX406" s="743"/>
      <c r="BY406" s="743"/>
      <c r="BZ406" s="743"/>
      <c r="CA406" s="743"/>
      <c r="CB406" s="743"/>
      <c r="CC406" s="743"/>
      <c r="CD406" s="765"/>
      <c r="CE406" s="765"/>
      <c r="CF406" s="765"/>
      <c r="CG406" s="765"/>
      <c r="CH406" s="765"/>
      <c r="CI406" s="765"/>
      <c r="CJ406" s="765"/>
      <c r="CK406" s="765"/>
      <c r="CL406" s="765"/>
      <c r="CM406" s="765"/>
      <c r="CN406" s="765"/>
      <c r="CO406" s="765"/>
      <c r="CP406" s="765"/>
      <c r="CQ406" s="765"/>
      <c r="CR406" s="765"/>
      <c r="CS406" s="765"/>
      <c r="CT406" s="765"/>
      <c r="CU406" s="765"/>
      <c r="CV406" s="765"/>
      <c r="CW406" s="765"/>
      <c r="CX406" s="765"/>
      <c r="CY406" s="765"/>
      <c r="CZ406" s="765"/>
      <c r="DA406" s="765"/>
      <c r="DB406" s="765"/>
      <c r="DC406" s="765"/>
      <c r="DD406" s="765"/>
      <c r="DE406" s="765"/>
      <c r="DF406" s="765"/>
      <c r="DG406" s="765"/>
      <c r="DH406" s="1312"/>
      <c r="DI406" s="765"/>
      <c r="DJ406" s="765"/>
      <c r="DK406" s="1312"/>
      <c r="DL406" s="765"/>
      <c r="DM406" s="765"/>
      <c r="DN406" s="1312"/>
      <c r="DO406" s="765"/>
      <c r="DP406" s="765"/>
      <c r="DQ406" s="1312"/>
      <c r="DR406" s="765"/>
      <c r="DS406" s="765"/>
      <c r="DT406" s="1312"/>
      <c r="DU406" s="765"/>
      <c r="DV406" s="765"/>
      <c r="DW406" s="1312"/>
      <c r="DX406" s="765"/>
      <c r="DY406" s="765"/>
      <c r="DZ406" s="1312"/>
      <c r="EA406" s="765"/>
      <c r="EB406" s="765"/>
      <c r="EC406" s="1312"/>
      <c r="ED406" s="765"/>
      <c r="EE406" s="765"/>
      <c r="EF406" s="1312"/>
      <c r="EG406" s="765"/>
      <c r="EH406" s="765"/>
      <c r="EI406" s="1312"/>
      <c r="EJ406" s="765"/>
      <c r="EK406" s="765"/>
      <c r="EL406" s="1312"/>
      <c r="EM406" s="765"/>
      <c r="EN406" s="765"/>
      <c r="EO406" s="1312"/>
      <c r="EP406" s="765"/>
      <c r="EQ406" s="765"/>
      <c r="ER406" s="1312"/>
      <c r="ES406" s="765"/>
      <c r="ET406" s="765"/>
      <c r="EU406" s="1312"/>
      <c r="EV406" s="765"/>
      <c r="EW406" s="765"/>
      <c r="EX406" s="1312"/>
      <c r="EY406" s="765"/>
      <c r="EZ406" s="765"/>
      <c r="FA406" s="1312"/>
      <c r="FE406"/>
      <c r="FF406"/>
      <c r="FG406"/>
      <c r="FH406"/>
      <c r="FI406"/>
      <c r="FJ406"/>
      <c r="FK406" s="35"/>
    </row>
    <row r="407" spans="2:167" s="235" customFormat="1" ht="13.35" customHeight="1" thickBot="1">
      <c r="B407" s="401" t="s">
        <v>882</v>
      </c>
      <c r="C407" s="593"/>
      <c r="D407" s="594"/>
      <c r="E407" s="768"/>
      <c r="F407" s="769">
        <f>+G407</f>
        <v>0</v>
      </c>
      <c r="G407" s="770">
        <f>IF(Assumptions!G248&lt;&gt;"",Assumptions!G248,0)</f>
        <v>0</v>
      </c>
      <c r="H407" s="771">
        <f>IF(Assumptions!H248&lt;&gt;"",Assumptions!H248,0)</f>
        <v>0</v>
      </c>
      <c r="I407" s="769">
        <f>+J407</f>
        <v>0</v>
      </c>
      <c r="J407" s="770">
        <f>IF(Assumptions!J248&lt;&gt;"",Assumptions!J248,0)</f>
        <v>0</v>
      </c>
      <c r="K407" s="771">
        <f>IF(Assumptions!K248&lt;&gt;"",Assumptions!K248,0)</f>
        <v>0</v>
      </c>
      <c r="L407" s="769">
        <f>+M407</f>
        <v>0</v>
      </c>
      <c r="M407" s="770">
        <f>IF(Assumptions!M248&lt;&gt;"",Assumptions!M248,0)</f>
        <v>0</v>
      </c>
      <c r="N407" s="771">
        <f>IF(Assumptions!N248&lt;&gt;"",Assumptions!N248,0)</f>
        <v>0</v>
      </c>
      <c r="O407" s="769">
        <f>+P407</f>
        <v>0</v>
      </c>
      <c r="P407" s="770">
        <f>IF(Assumptions!P248&lt;&gt;"",Assumptions!P248,0)</f>
        <v>0</v>
      </c>
      <c r="Q407" s="771">
        <f>IF(Assumptions!Q248&lt;&gt;"",Assumptions!Q248,0)</f>
        <v>0</v>
      </c>
      <c r="R407" s="769">
        <f>+S407</f>
        <v>0</v>
      </c>
      <c r="S407" s="770">
        <f>IF(Assumptions!S248&lt;&gt;"",Assumptions!S248,0)</f>
        <v>0</v>
      </c>
      <c r="T407" s="771">
        <f>IF(Assumptions!T248&lt;&gt;"",Assumptions!T248,0)</f>
        <v>0</v>
      </c>
      <c r="U407" s="769">
        <f>+V407</f>
        <v>0</v>
      </c>
      <c r="V407" s="770">
        <f>IF(Assumptions!V248&lt;&gt;"",Assumptions!V248,0)</f>
        <v>0</v>
      </c>
      <c r="W407" s="771">
        <f>IF(Assumptions!W248&lt;&gt;"",Assumptions!W248,0)</f>
        <v>0</v>
      </c>
      <c r="X407" s="769">
        <f>+Y407</f>
        <v>0</v>
      </c>
      <c r="Y407" s="770">
        <f>IF(Assumptions!Y248&lt;&gt;"",Assumptions!Y248,0)</f>
        <v>0</v>
      </c>
      <c r="Z407" s="771">
        <f>IF(Assumptions!Z248&lt;&gt;"",Assumptions!Z248,0)</f>
        <v>0</v>
      </c>
      <c r="AA407" s="769">
        <f>+AB407</f>
        <v>0</v>
      </c>
      <c r="AB407" s="770">
        <f>IF(Assumptions!AB248&lt;&gt;"",Assumptions!AB248,0)</f>
        <v>0</v>
      </c>
      <c r="AC407" s="771">
        <f>IF(Assumptions!AC248&lt;&gt;"",Assumptions!AC248,0)</f>
        <v>0</v>
      </c>
      <c r="AD407" s="769">
        <f>+AE407</f>
        <v>0</v>
      </c>
      <c r="AE407" s="770">
        <f>IF(Assumptions!AE248&lt;&gt;"",Assumptions!AE248,0)</f>
        <v>0</v>
      </c>
      <c r="AF407" s="771">
        <f>IF(Assumptions!AF248&lt;&gt;"",Assumptions!AF248,0)</f>
        <v>0</v>
      </c>
      <c r="AG407" s="769">
        <f>+AH407</f>
        <v>0</v>
      </c>
      <c r="AH407" s="770">
        <f>IF(Assumptions!AH248&lt;&gt;"",Assumptions!AH248,0)</f>
        <v>0</v>
      </c>
      <c r="AI407" s="771">
        <f>IF(Assumptions!AI248&lt;&gt;"",Assumptions!AI248,0)</f>
        <v>0</v>
      </c>
      <c r="AJ407" s="769">
        <f>+AK407</f>
        <v>0.06</v>
      </c>
      <c r="AK407" s="770">
        <f>IF(Assumptions!AK248&lt;&gt;"",Assumptions!AK248,0)</f>
        <v>0.06</v>
      </c>
      <c r="AL407" s="771">
        <f>IF(Assumptions!AL248&lt;&gt;"",Assumptions!AL248,0)</f>
        <v>0.06</v>
      </c>
      <c r="AM407" s="769">
        <f>+AN407</f>
        <v>0.06</v>
      </c>
      <c r="AN407" s="770">
        <f>IF(Assumptions!AN248&lt;&gt;"",Assumptions!AN248,0)</f>
        <v>0.06</v>
      </c>
      <c r="AO407" s="771">
        <f>IF(Assumptions!AO248&lt;&gt;"",Assumptions!AO248,0)</f>
        <v>0.06</v>
      </c>
      <c r="AP407" s="769">
        <f>+AQ407</f>
        <v>0.06</v>
      </c>
      <c r="AQ407" s="770">
        <f>IF(Assumptions!AQ248&lt;&gt;"",Assumptions!AQ248,0)</f>
        <v>0.06</v>
      </c>
      <c r="AR407" s="771">
        <f>IF(Assumptions!AR248&lt;&gt;"",Assumptions!AR248,0)</f>
        <v>0.06</v>
      </c>
      <c r="AS407" s="769">
        <f>+AT407</f>
        <v>0.06</v>
      </c>
      <c r="AT407" s="770">
        <f>IF(Assumptions!AT248&lt;&gt;"",Assumptions!AT248,0)</f>
        <v>0.06</v>
      </c>
      <c r="AU407" s="771">
        <f>IF(Assumptions!AU248&lt;&gt;"",Assumptions!AU248,0)</f>
        <v>0.05</v>
      </c>
      <c r="AV407" s="769">
        <f>+AW407</f>
        <v>0.05</v>
      </c>
      <c r="AW407" s="770">
        <f>IF(Assumptions!AW248&lt;&gt;"",Assumptions!AW248,0)</f>
        <v>0.05</v>
      </c>
      <c r="AX407" s="771">
        <f>IF(Assumptions!AX248&lt;&gt;"",Assumptions!AX248,0)</f>
        <v>0.05</v>
      </c>
      <c r="AY407" s="769">
        <f>+AZ407</f>
        <v>0.06</v>
      </c>
      <c r="AZ407" s="772">
        <v>0.06</v>
      </c>
      <c r="BA407" s="773">
        <v>0.06</v>
      </c>
      <c r="BB407" s="769">
        <f>+BC407</f>
        <v>0.06</v>
      </c>
      <c r="BC407" s="772">
        <v>0.06</v>
      </c>
      <c r="BD407" s="773">
        <v>0.06</v>
      </c>
      <c r="BE407" s="769">
        <f>+BF407</f>
        <v>0.06</v>
      </c>
      <c r="BF407" s="772">
        <v>0.06</v>
      </c>
      <c r="BG407" s="773">
        <v>0.06</v>
      </c>
      <c r="BH407" s="769">
        <f>+BI407</f>
        <v>0.06</v>
      </c>
      <c r="BI407" s="772">
        <v>0.06</v>
      </c>
      <c r="BJ407" s="771">
        <f>IF(Assumptions!BJ248&lt;&gt;"",Assumptions!BJ248,0)</f>
        <v>0</v>
      </c>
      <c r="BK407" s="769">
        <f>+BL407</f>
        <v>0</v>
      </c>
      <c r="BL407" s="770">
        <f>IF(Assumptions!BL248&lt;&gt;"",Assumptions!BL248,0)</f>
        <v>0</v>
      </c>
      <c r="BM407" s="771">
        <f>IF(Assumptions!BM248&lt;&gt;"",Assumptions!BM248,0)</f>
        <v>0</v>
      </c>
      <c r="BN407" s="769">
        <f>+BO407</f>
        <v>0</v>
      </c>
      <c r="BO407" s="768">
        <f>IF(Assumptions!BO248&lt;&gt;"",Assumptions!BO248,0)</f>
        <v>0</v>
      </c>
      <c r="BP407" s="771">
        <f>IF(Assumptions!BP248&lt;&gt;"",Assumptions!BP248,0)</f>
        <v>0</v>
      </c>
      <c r="BQ407" s="769">
        <f>+BR407</f>
        <v>0</v>
      </c>
      <c r="BR407" s="768">
        <f>IF(Assumptions!BR248&lt;&gt;"",Assumptions!BR248,0)</f>
        <v>0</v>
      </c>
      <c r="BS407" s="771">
        <f>IF(Assumptions!BS248&lt;&gt;"",Assumptions!BS248,0)</f>
        <v>0</v>
      </c>
      <c r="BT407" s="769">
        <f>+BU407</f>
        <v>0</v>
      </c>
      <c r="BU407" s="768">
        <f>IF(Assumptions!BU248&lt;&gt;"",Assumptions!BU248,0)</f>
        <v>0</v>
      </c>
      <c r="BV407" s="771">
        <f>IF(Assumptions!BV248&lt;&gt;"",Assumptions!BV248,0)</f>
        <v>0</v>
      </c>
      <c r="BW407" s="769">
        <f>+BX407</f>
        <v>0</v>
      </c>
      <c r="BX407" s="768">
        <f>IF(Assumptions!BX248&lt;&gt;"",Assumptions!BX248,0)</f>
        <v>0</v>
      </c>
      <c r="BY407" s="771">
        <f>IF(Assumptions!BY248&lt;&gt;"",Assumptions!BY248,0)</f>
        <v>0</v>
      </c>
      <c r="BZ407" s="769">
        <f>+CA407</f>
        <v>0</v>
      </c>
      <c r="CA407" s="768">
        <f>IF(Assumptions!CA248&lt;&gt;"",Assumptions!CA248,0)</f>
        <v>0</v>
      </c>
      <c r="CB407" s="771">
        <f>IF(Assumptions!CB248&lt;&gt;"",Assumptions!CB248,0)</f>
        <v>0</v>
      </c>
      <c r="CC407" s="769">
        <f>+CD407</f>
        <v>0</v>
      </c>
      <c r="CD407" s="774">
        <f>IF(Assumptions!CD248&lt;&gt;"",Assumptions!CD248,0)</f>
        <v>0</v>
      </c>
      <c r="CE407" s="646">
        <f>IF(Assumptions!CE248&lt;&gt;"",Assumptions!CE248,0)</f>
        <v>0</v>
      </c>
      <c r="CF407" s="665">
        <f>+CG407</f>
        <v>0</v>
      </c>
      <c r="CG407" s="774">
        <f>IF(Assumptions!CG248&lt;&gt;"",Assumptions!CG248,0)</f>
        <v>0</v>
      </c>
      <c r="CH407" s="646">
        <f>IF(Assumptions!CH248&lt;&gt;"",Assumptions!CH248,0)</f>
        <v>0</v>
      </c>
      <c r="CI407" s="665">
        <f>+CJ407</f>
        <v>0</v>
      </c>
      <c r="CJ407" s="774">
        <f>IF(Assumptions!CJ248&lt;&gt;"",Assumptions!CJ248,0)</f>
        <v>0</v>
      </c>
      <c r="CK407" s="646">
        <f>IF(Assumptions!CK248&lt;&gt;"",Assumptions!CK248,0)</f>
        <v>0</v>
      </c>
      <c r="CL407" s="665">
        <f>+CM407</f>
        <v>0</v>
      </c>
      <c r="CM407" s="774">
        <f>IF(Assumptions!CM248&lt;&gt;"",Assumptions!CM248,0)</f>
        <v>0</v>
      </c>
      <c r="CN407" s="646">
        <f>IF(Assumptions!CN248&lt;&gt;"",Assumptions!CN248,0)</f>
        <v>0</v>
      </c>
      <c r="CO407" s="665">
        <f>+CP407</f>
        <v>0</v>
      </c>
      <c r="CP407" s="774">
        <f>IF(Assumptions!CP248&lt;&gt;"",Assumptions!CP248,0)</f>
        <v>0</v>
      </c>
      <c r="CQ407" s="646">
        <f>IF(Assumptions!CQ248&lt;&gt;"",Assumptions!CQ248,0)</f>
        <v>0</v>
      </c>
      <c r="CR407" s="665">
        <f>+CS407</f>
        <v>0</v>
      </c>
      <c r="CS407" s="774">
        <f>IF(Assumptions!CS248&lt;&gt;"",Assumptions!CS248,0)</f>
        <v>0</v>
      </c>
      <c r="CT407" s="646">
        <f>IF(Assumptions!CT248&lt;&gt;"",Assumptions!CT248,0)</f>
        <v>0</v>
      </c>
      <c r="CU407" s="665">
        <f>+CV407</f>
        <v>0</v>
      </c>
      <c r="CV407" s="774">
        <f>IF(Assumptions!CV248&lt;&gt;"",Assumptions!CV248,0)</f>
        <v>0</v>
      </c>
      <c r="CW407" s="646">
        <f>IF(Assumptions!CW248&lt;&gt;"",Assumptions!CW248,0)</f>
        <v>0</v>
      </c>
      <c r="CX407" s="665">
        <f>+CY407</f>
        <v>0</v>
      </c>
      <c r="CY407" s="774">
        <f>IF(Assumptions!CY248&lt;&gt;"",Assumptions!CY248,0)</f>
        <v>0</v>
      </c>
      <c r="CZ407" s="646">
        <f>IF(Assumptions!CZ248&lt;&gt;"",Assumptions!CZ248,0)</f>
        <v>0</v>
      </c>
      <c r="DA407" s="665">
        <f>+DB407</f>
        <v>0</v>
      </c>
      <c r="DB407" s="774">
        <f>IF(Assumptions!DB248&lt;&gt;"",Assumptions!DB248,0)</f>
        <v>0</v>
      </c>
      <c r="DC407" s="646">
        <f>IF(Assumptions!DC248&lt;&gt;"",Assumptions!DC248,0)</f>
        <v>0</v>
      </c>
      <c r="DD407" s="665">
        <f>+DE407</f>
        <v>0</v>
      </c>
      <c r="DE407" s="774">
        <f>IF(Assumptions!DE248&lt;&gt;"",Assumptions!DE248,0)</f>
        <v>0</v>
      </c>
      <c r="DF407" s="646">
        <f>IF(Assumptions!DF248&lt;&gt;"",Assumptions!DF248,0)</f>
        <v>0</v>
      </c>
      <c r="DG407" s="665">
        <f>+DH407</f>
        <v>0</v>
      </c>
      <c r="DH407" s="1313">
        <f>IF(Assumptions!DH248&lt;&gt;"",Assumptions!DH248,0)</f>
        <v>0</v>
      </c>
      <c r="DI407" s="646">
        <f>IF(Assumptions!DI248&lt;&gt;"",Assumptions!DI248,0)</f>
        <v>0</v>
      </c>
      <c r="DJ407" s="665">
        <f>+DK407</f>
        <v>0</v>
      </c>
      <c r="DK407" s="1313">
        <f>IF(Assumptions!DK248&lt;&gt;"",Assumptions!DK248,0)</f>
        <v>0</v>
      </c>
      <c r="DL407" s="646">
        <f>IF(Assumptions!DL248&lt;&gt;"",Assumptions!DL248,0)</f>
        <v>0</v>
      </c>
      <c r="DM407" s="665">
        <f>+DN407</f>
        <v>0</v>
      </c>
      <c r="DN407" s="1313">
        <f>IF(Assumptions!DN248&lt;&gt;"",Assumptions!DN248,0)</f>
        <v>0</v>
      </c>
      <c r="DO407" s="646">
        <f>IF(Assumptions!DO248&lt;&gt;"",Assumptions!DO248,0)</f>
        <v>0</v>
      </c>
      <c r="DP407" s="665">
        <f>+DQ407</f>
        <v>0</v>
      </c>
      <c r="DQ407" s="1313">
        <f>IF(Assumptions!DQ248&lt;&gt;"",Assumptions!DQ248,0)</f>
        <v>0</v>
      </c>
      <c r="DR407" s="646">
        <f>IF(Assumptions!DR248&lt;&gt;"",Assumptions!DR248,0)</f>
        <v>0</v>
      </c>
      <c r="DS407" s="665">
        <f>+DT407</f>
        <v>0</v>
      </c>
      <c r="DT407" s="1313">
        <f>IF(Assumptions!DT248&lt;&gt;"",Assumptions!DT248,0)</f>
        <v>0</v>
      </c>
      <c r="DU407" s="646">
        <f>IF(Assumptions!DU248&lt;&gt;"",Assumptions!DU248,0)</f>
        <v>0</v>
      </c>
      <c r="DV407" s="665">
        <f>+DW407</f>
        <v>0</v>
      </c>
      <c r="DW407" s="1313">
        <f>IF(Assumptions!DW248&lt;&gt;"",Assumptions!DW248,0)</f>
        <v>0</v>
      </c>
      <c r="DX407" s="646">
        <f>IF(Assumptions!DX248&lt;&gt;"",Assumptions!DX248,0)</f>
        <v>0</v>
      </c>
      <c r="DY407" s="665">
        <f>+DZ407</f>
        <v>0</v>
      </c>
      <c r="DZ407" s="1313">
        <f>IF(Assumptions!DZ248&lt;&gt;"",Assumptions!DZ248,0)</f>
        <v>0</v>
      </c>
      <c r="EA407" s="646">
        <f>IF(Assumptions!EA248&lt;&gt;"",Assumptions!EA248,0)</f>
        <v>0</v>
      </c>
      <c r="EB407" s="665">
        <f>+EC407</f>
        <v>0</v>
      </c>
      <c r="EC407" s="1313">
        <f>IF(Assumptions!EC248&lt;&gt;"",Assumptions!EC248,0)</f>
        <v>0</v>
      </c>
      <c r="ED407" s="646">
        <f>IF(Assumptions!ED248&lt;&gt;"",Assumptions!ED248,0)</f>
        <v>0</v>
      </c>
      <c r="EE407" s="665">
        <f>+EF407</f>
        <v>0</v>
      </c>
      <c r="EF407" s="1313">
        <f>IF(Assumptions!EF248&lt;&gt;"",Assumptions!EF248,0)</f>
        <v>0</v>
      </c>
      <c r="EG407" s="646">
        <f>IF(Assumptions!EG248&lt;&gt;"",Assumptions!EG248,0)</f>
        <v>0</v>
      </c>
      <c r="EH407" s="665">
        <f>+EI407</f>
        <v>0</v>
      </c>
      <c r="EI407" s="1313">
        <f>IF(Assumptions!EI248&lt;&gt;"",Assumptions!EI248,0)</f>
        <v>0</v>
      </c>
      <c r="EJ407" s="646">
        <f>IF(Assumptions!EJ248&lt;&gt;"",Assumptions!EJ248,0)</f>
        <v>0</v>
      </c>
      <c r="EK407" s="665">
        <f>+EL407</f>
        <v>0</v>
      </c>
      <c r="EL407" s="1313">
        <f>IF(Assumptions!EL248&lt;&gt;"",Assumptions!EL248,0)</f>
        <v>0</v>
      </c>
      <c r="EM407" s="646">
        <f>IF(Assumptions!EM248&lt;&gt;"",Assumptions!EM248,0)</f>
        <v>0</v>
      </c>
      <c r="EN407" s="665">
        <f>+EO407</f>
        <v>0</v>
      </c>
      <c r="EO407" s="1313">
        <f>IF(Assumptions!EO248&lt;&gt;"",Assumptions!EO248,0)</f>
        <v>0</v>
      </c>
      <c r="EP407" s="646">
        <f>IF(Assumptions!EP248&lt;&gt;"",Assumptions!EP248,0)</f>
        <v>0</v>
      </c>
      <c r="EQ407" s="665">
        <f>+ER407</f>
        <v>0</v>
      </c>
      <c r="ER407" s="1313">
        <f>IF(Assumptions!ER248&lt;&gt;"",Assumptions!ER248,0)</f>
        <v>0</v>
      </c>
      <c r="ES407" s="646">
        <f>IF(Assumptions!EY248&lt;&gt;"",Assumptions!EY248,0)</f>
        <v>0</v>
      </c>
      <c r="ET407" s="665">
        <f>+EU407</f>
        <v>0</v>
      </c>
      <c r="EU407" s="1313">
        <f>IF(Assumptions!FA248&lt;&gt;"",Assumptions!FA248,0)</f>
        <v>0</v>
      </c>
      <c r="EV407" s="646">
        <f>IF(Assumptions!FB248&lt;&gt;"",Assumptions!FB248,0)</f>
        <v>0</v>
      </c>
      <c r="EW407" s="665">
        <f>+EX407</f>
        <v>0</v>
      </c>
      <c r="EX407" s="1313">
        <f>IF(Assumptions!FD248&lt;&gt;"",Assumptions!FD248,0)</f>
        <v>0</v>
      </c>
      <c r="EY407" s="646">
        <f>IF(Assumptions!FE248&lt;&gt;"",Assumptions!FE248,0)</f>
        <v>0</v>
      </c>
      <c r="EZ407" s="665">
        <f>+FA407</f>
        <v>0</v>
      </c>
      <c r="FA407" s="1313">
        <f>IF(Assumptions!FG248&lt;&gt;"",Assumptions!FG248,0)</f>
        <v>0</v>
      </c>
      <c r="FE407"/>
      <c r="FF407"/>
      <c r="FG407"/>
      <c r="FH407"/>
      <c r="FI407"/>
      <c r="FJ407"/>
      <c r="FK407" s="35"/>
    </row>
    <row r="408" spans="2:167" s="235" customFormat="1" ht="13.35" customHeight="1">
      <c r="B408" s="401" t="s">
        <v>883</v>
      </c>
      <c r="C408" s="593"/>
      <c r="D408" s="594"/>
      <c r="E408" s="597"/>
      <c r="F408" s="597"/>
      <c r="G408" s="597"/>
      <c r="H408" s="597"/>
      <c r="I408" s="597"/>
      <c r="J408" s="597"/>
      <c r="K408" s="597"/>
      <c r="L408" s="597"/>
      <c r="M408" s="597"/>
      <c r="N408" s="597"/>
      <c r="O408" s="597"/>
      <c r="P408" s="597"/>
      <c r="Q408" s="597"/>
      <c r="R408" s="597"/>
      <c r="S408" s="597"/>
      <c r="T408" s="597"/>
      <c r="U408" s="597"/>
      <c r="V408" s="597"/>
      <c r="W408" s="597"/>
      <c r="X408" s="597"/>
      <c r="Y408" s="597"/>
      <c r="Z408" s="597"/>
      <c r="AA408" s="597"/>
      <c r="AB408" s="597"/>
      <c r="AC408" s="597"/>
      <c r="AD408" s="597"/>
      <c r="AE408" s="597"/>
      <c r="AF408" s="597"/>
      <c r="AG408" s="597"/>
      <c r="AH408" s="597"/>
      <c r="AI408" s="597"/>
      <c r="AJ408" s="597"/>
      <c r="AK408" s="597"/>
      <c r="AL408" s="597"/>
      <c r="AM408" s="597"/>
      <c r="AN408" s="597"/>
      <c r="AO408" s="597"/>
      <c r="AP408" s="597"/>
      <c r="AQ408" s="597"/>
      <c r="AR408" s="597"/>
      <c r="AS408" s="597"/>
      <c r="AT408" s="597"/>
      <c r="AU408" s="597"/>
      <c r="AV408" s="597"/>
      <c r="AW408" s="597"/>
      <c r="AX408" s="597"/>
      <c r="AY408" s="597"/>
      <c r="AZ408" s="597"/>
      <c r="BA408" s="597"/>
      <c r="BB408" s="597"/>
      <c r="BC408" s="597"/>
      <c r="BD408" s="597"/>
      <c r="BE408" s="597"/>
      <c r="BF408" s="597"/>
      <c r="BG408" s="597"/>
      <c r="BH408" s="597"/>
      <c r="BI408" s="597"/>
      <c r="BJ408" s="597"/>
      <c r="BK408" s="597"/>
      <c r="BL408" s="597"/>
      <c r="BM408" s="597"/>
      <c r="BN408" s="597"/>
      <c r="BO408" s="597"/>
      <c r="BP408" s="597"/>
      <c r="BQ408" s="597"/>
      <c r="BR408" s="597"/>
      <c r="BS408" s="597"/>
      <c r="BT408" s="597"/>
      <c r="BU408" s="597"/>
      <c r="BV408" s="597"/>
      <c r="BW408" s="597"/>
      <c r="BX408" s="597"/>
      <c r="BY408" s="597"/>
      <c r="BZ408" s="597"/>
      <c r="CA408" s="597"/>
      <c r="CB408" s="597"/>
      <c r="CC408" s="597"/>
      <c r="CD408" s="612"/>
      <c r="CE408" s="612"/>
      <c r="CF408" s="612"/>
      <c r="CG408" s="612"/>
      <c r="CH408" s="612"/>
      <c r="CI408" s="612"/>
      <c r="CJ408" s="612"/>
      <c r="CK408" s="612"/>
      <c r="CL408" s="612"/>
      <c r="CM408" s="612"/>
      <c r="CN408" s="612"/>
      <c r="CO408" s="612"/>
      <c r="CP408" s="612"/>
      <c r="CQ408" s="612"/>
      <c r="CR408" s="612"/>
      <c r="CS408" s="612"/>
      <c r="CT408" s="612"/>
      <c r="CU408" s="612"/>
      <c r="CV408" s="612"/>
      <c r="CW408" s="612"/>
      <c r="CX408" s="612"/>
      <c r="CY408" s="612"/>
      <c r="CZ408" s="612"/>
      <c r="DA408" s="612"/>
      <c r="DB408" s="612"/>
      <c r="DC408" s="612"/>
      <c r="DD408" s="612"/>
      <c r="DE408" s="612"/>
      <c r="DF408" s="612"/>
      <c r="DG408" s="612"/>
      <c r="DH408" s="1298"/>
      <c r="DI408" s="612"/>
      <c r="DJ408" s="612"/>
      <c r="DK408" s="1298"/>
      <c r="DL408" s="612"/>
      <c r="DM408" s="612"/>
      <c r="DN408" s="1298"/>
      <c r="DO408" s="612"/>
      <c r="DP408" s="612"/>
      <c r="DQ408" s="1298"/>
      <c r="DR408" s="612"/>
      <c r="DS408" s="612"/>
      <c r="DT408" s="1298"/>
      <c r="DU408" s="612"/>
      <c r="DV408" s="612"/>
      <c r="DW408" s="1298"/>
      <c r="DX408" s="612"/>
      <c r="DY408" s="612"/>
      <c r="DZ408" s="1298"/>
      <c r="EA408" s="612"/>
      <c r="EB408" s="612"/>
      <c r="EC408" s="1298"/>
      <c r="ED408" s="612"/>
      <c r="EE408" s="612"/>
      <c r="EF408" s="1298"/>
      <c r="EG408" s="612"/>
      <c r="EH408" s="612"/>
      <c r="EI408" s="1298"/>
      <c r="EJ408" s="612"/>
      <c r="EK408" s="612"/>
      <c r="EL408" s="1298"/>
      <c r="EM408" s="612"/>
      <c r="EN408" s="612"/>
      <c r="EO408" s="1298"/>
      <c r="EP408" s="612"/>
      <c r="EQ408" s="612"/>
      <c r="ER408" s="1298"/>
      <c r="ES408" s="612"/>
      <c r="ET408" s="612"/>
      <c r="EU408" s="1298"/>
      <c r="EV408" s="612"/>
      <c r="EW408" s="612"/>
      <c r="EX408" s="1298"/>
      <c r="EY408" s="612"/>
      <c r="EZ408" s="612"/>
      <c r="FA408" s="1298"/>
      <c r="FE408"/>
      <c r="FF408"/>
      <c r="FG408"/>
      <c r="FH408"/>
      <c r="FI408"/>
      <c r="FJ408"/>
      <c r="FK408" s="35"/>
    </row>
    <row r="409" spans="2:167" s="235" customFormat="1" ht="13.35" customHeight="1">
      <c r="B409" s="401" t="s">
        <v>884</v>
      </c>
      <c r="C409" s="593"/>
      <c r="D409" s="594"/>
      <c r="E409" s="775">
        <f>IF(E416="Y",E413)+IF(E421="Y",E418)+IF(E426="Y",E423)+IF(E431="Y",E428)+IF(E436="Y",E433)+IF(E441="Y",E438)+IF(E446="Y",E443)+IF(E451="Y",E448)</f>
        <v>0</v>
      </c>
      <c r="F409" s="775">
        <f>+G409</f>
        <v>0</v>
      </c>
      <c r="G409" s="775">
        <f>IF(G416="Y",G413)+IF(G421="Y",G418)+IF(G426="Y",G423)+IF(G431="Y",G428)+IF(G436="Y",G433)+IF(G441="Y",G438)+IF(G446="Y",G443)+IF(G451="Y",G448)</f>
        <v>0</v>
      </c>
      <c r="H409" s="775">
        <f>IF(H416="Y",H413)+IF(H421="Y",H418)+IF(H426="Y",H423)+IF(H431="Y",H428)+IF(H436="Y",H433)+IF(H441="Y",H438)+IF(H446="Y",H443)+IF(H451="Y",H448)</f>
        <v>0</v>
      </c>
      <c r="I409" s="775">
        <f>+J409</f>
        <v>0</v>
      </c>
      <c r="J409" s="775">
        <f>IF(J416="Y",J413)+IF(J421="Y",J418)+IF(J426="Y",J423)+IF(J431="Y",J428)+IF(J436="Y",J433)+IF(J441="Y",J438)+IF(J446="Y",J443)+IF(J451="Y",J448)</f>
        <v>0</v>
      </c>
      <c r="K409" s="775">
        <f>IF(K416="Y",K413)+IF(K421="Y",K418)+IF(K426="Y",K423)+IF(K431="Y",K428)+IF(K436="Y",K433)+IF(K441="Y",K438)+IF(K446="Y",K443)+IF(K451="Y",K448)</f>
        <v>0</v>
      </c>
      <c r="L409" s="775">
        <f>+M409</f>
        <v>0</v>
      </c>
      <c r="M409" s="775">
        <f>IF(M416="Y",M413)+IF(M421="Y",M418)+IF(M426="Y",M423)+IF(M431="Y",M428)+IF(M436="Y",M433)+IF(M441="Y",M438)+IF(M446="Y",M443)+IF(M451="Y",M448)</f>
        <v>0</v>
      </c>
      <c r="N409" s="775">
        <f>IF(N416="Y",N413)+IF(N421="Y",N418)+IF(N426="Y",N423)+IF(N431="Y",N428)+IF(N436="Y",N433)+IF(N441="Y",N438)+IF(N446="Y",N443)+IF(N451="Y",N448)</f>
        <v>0</v>
      </c>
      <c r="O409" s="775">
        <f>+P409</f>
        <v>0</v>
      </c>
      <c r="P409" s="775">
        <f>IF(P416="Y",P413)+IF(P421="Y",P418)+IF(P426="Y",P423)+IF(P431="Y",P428)+IF(P436="Y",P433)+IF(P441="Y",P438)+IF(P446="Y",P443)+IF(P451="Y",P448)</f>
        <v>0</v>
      </c>
      <c r="Q409" s="775">
        <f>IF(Q416="Y",Q413)+IF(Q421="Y",Q418)+IF(Q426="Y",Q423)+IF(Q431="Y",Q428)+IF(Q436="Y",Q433)+IF(Q441="Y",Q438)+IF(Q446="Y",Q443)+IF(Q451="Y",Q448)</f>
        <v>0</v>
      </c>
      <c r="R409" s="775">
        <f>+S409</f>
        <v>0</v>
      </c>
      <c r="S409" s="775">
        <f>IF(S416="Y",S413)+IF(S421="Y",S418)+IF(S426="Y",S423)+IF(S431="Y",S428)+IF(S436="Y",S433)+IF(S441="Y",S438)+IF(S446="Y",S443)+IF(S451="Y",S448)</f>
        <v>0</v>
      </c>
      <c r="T409" s="775">
        <f>IF(T416="Y",T413)+IF(T421="Y",T418)+IF(T426="Y",T423)+IF(T431="Y",T428)+IF(T436="Y",T433)+IF(T441="Y",T438)+IF(T446="Y",T443)+IF(T451="Y",T448)</f>
        <v>0</v>
      </c>
      <c r="U409" s="775">
        <f>+V409</f>
        <v>0</v>
      </c>
      <c r="V409" s="775">
        <f>IF(V416="Y",V413)+IF(V421="Y",V418)+IF(V426="Y",V423)+IF(V431="Y",V428)+IF(V436="Y",V433)+IF(V441="Y",V438)+IF(V446="Y",V443)+IF(V451="Y",V448)</f>
        <v>0</v>
      </c>
      <c r="W409" s="775">
        <f>IF(W416="Y",W413)+IF(W421="Y",W418)+IF(W426="Y",W423)+IF(W431="Y",W428)+IF(W436="Y",W433)+IF(W441="Y",W438)+IF(W446="Y",W443)+IF(W451="Y",W448)</f>
        <v>0</v>
      </c>
      <c r="X409" s="775">
        <f>+Y409</f>
        <v>0</v>
      </c>
      <c r="Y409" s="775">
        <f>IF(Y416="Y",Y413)+IF(Y421="Y",Y418)+IF(Y426="Y",Y423)+IF(Y431="Y",Y428)+IF(Y436="Y",Y433)+IF(Y441="Y",Y438)+IF(Y446="Y",Y443)+IF(Y451="Y",Y448)</f>
        <v>0</v>
      </c>
      <c r="Z409" s="775">
        <f>IF(Z416="Y",Z413)+IF(Z421="Y",Z418)+IF(Z426="Y",Z423)+IF(Z431="Y",Z428)+IF(Z436="Y",Z433)+IF(Z441="Y",Z438)+IF(Z446="Y",Z443)+IF(Z451="Y",Z448)</f>
        <v>0</v>
      </c>
      <c r="AA409" s="775">
        <f>+AB409</f>
        <v>0</v>
      </c>
      <c r="AB409" s="775">
        <f>IF(AB416="Y",AB413)+IF(AB421="Y",AB418)+IF(AB426="Y",AB423)+IF(AB431="Y",AB428)+IF(AB436="Y",AB433)+IF(AB441="Y",AB438)+IF(AB446="Y",AB443)+IF(AB451="Y",AB448)</f>
        <v>0</v>
      </c>
      <c r="AC409" s="775">
        <f>IF(AC416="Y",AC413)+IF(AC421="Y",AC418)+IF(AC426="Y",AC423)+IF(AC431="Y",AC428)+IF(AC436="Y",AC433)+IF(AC441="Y",AC438)+IF(AC446="Y",AC443)+IF(AC451="Y",AC448)</f>
        <v>0</v>
      </c>
      <c r="AD409" s="775">
        <f>+AE409</f>
        <v>0</v>
      </c>
      <c r="AE409" s="775">
        <f>IF(AE416="Y",AE413)+IF(AE421="Y",AE418)+IF(AE426="Y",AE423)+IF(AE431="Y",AE428)+IF(AE436="Y",AE433)+IF(AE441="Y",AE438)+IF(AE446="Y",AE443)+IF(AE451="Y",AE448)</f>
        <v>0</v>
      </c>
      <c r="AF409" s="775">
        <f>IF(AF416="Y",AF413)+IF(AF421="Y",AF418)+IF(AF426="Y",AF423)+IF(AF431="Y",AF428)+IF(AF436="Y",AF433)+IF(AF441="Y",AF438)+IF(AF446="Y",AF443)+IF(AF451="Y",AF448)</f>
        <v>0</v>
      </c>
      <c r="AG409" s="775">
        <f>+AH409</f>
        <v>0</v>
      </c>
      <c r="AH409" s="775">
        <f>IF(AH416="Y",AH413)+IF(AH421="Y",AH418)+IF(AH426="Y",AH423)+IF(AH431="Y",AH428)+IF(AH436="Y",AH433)+IF(AH441="Y",AH438)+IF(AH446="Y",AH443)+IF(AH451="Y",AH448)</f>
        <v>0</v>
      </c>
      <c r="AI409" s="775">
        <f>IF(AI416="Y",AI413)+IF(AI421="Y",AI418)+IF(AI426="Y",AI423)+IF(AI431="Y",AI428)+IF(AI436="Y",AI433)+IF(AI441="Y",AI438)+IF(AI446="Y",AI443)+IF(AI451="Y",AI448)</f>
        <v>0</v>
      </c>
      <c r="AJ409" s="775">
        <f>+AK409</f>
        <v>0</v>
      </c>
      <c r="AK409" s="775">
        <f>IF(AK416="Y",AK413)+IF(AK421="Y",AK418)+IF(AK426="Y",AK423)+IF(AK431="Y",AK428)+IF(AK436="Y",AK433)+IF(AK441="Y",AK438)+IF(AK446="Y",AK443)+IF(AK451="Y",AK448)</f>
        <v>0</v>
      </c>
      <c r="AL409" s="775">
        <f>IF(AL416="Y",AL413)+IF(AL421="Y",AL418)+IF(AL426="Y",AL423)+IF(AL431="Y",AL428)+IF(AL436="Y",AL433)+IF(AL441="Y",AL438)+IF(AL446="Y",AL443)+IF(AL451="Y",AL448)</f>
        <v>1.88</v>
      </c>
      <c r="AM409" s="775">
        <f>+AN409</f>
        <v>1.88</v>
      </c>
      <c r="AN409" s="775">
        <f>IF(AN416="Y",AN413)+IF(AN421="Y",AN418)+IF(AN426="Y",AN423)+IF(AN431="Y",AN428)+IF(AN436="Y",AN433)+IF(AN441="Y",AN438)+IF(AN446="Y",AN443)+IF(AN451="Y",AN448)</f>
        <v>1.88</v>
      </c>
      <c r="AO409" s="775">
        <f>IF(AO416="Y",AO413)+IF(AO421="Y",AO418)+IF(AO426="Y",AO423)+IF(AO431="Y",AO428)+IF(AO436="Y",AO433)+IF(AO441="Y",AO438)+IF(AO446="Y",AO443)+IF(AO451="Y",AO448)</f>
        <v>1.88</v>
      </c>
      <c r="AP409" s="775">
        <f>+AQ409</f>
        <v>2.0739999999999998</v>
      </c>
      <c r="AQ409" s="775">
        <f>IF(AQ416="Y",AQ413)+IF(AQ421="Y",AQ418)+IF(AQ426="Y",AQ423)+IF(AQ431="Y",AQ428)+IF(AQ436="Y",AQ433)+IF(AQ441="Y",AQ438)+IF(AQ446="Y",AQ443)+IF(AQ451="Y",AQ448)</f>
        <v>2.0739999999999998</v>
      </c>
      <c r="AR409" s="775">
        <f>IF(AR416="Y",AR413)+IF(AR421="Y",AR418)+IF(AR426="Y",AR423)+IF(AR431="Y",AR428)+IF(AR436="Y",AR433)+IF(AR441="Y",AR438)+IF(AR446="Y",AR443)+IF(AR451="Y",AR448)</f>
        <v>2.0739999999999998</v>
      </c>
      <c r="AS409" s="775">
        <f>+AT409</f>
        <v>2.0539999999999998</v>
      </c>
      <c r="AT409" s="775">
        <f>IF(AT416="Y",AT413)+IF(AT421="Y",AT418)+IF(AT426="Y",AT423)+IF(AT431="Y",AT428)+IF(AT436="Y",AT433)+IF(AT441="Y",AT438)+IF(AT446="Y",AT443)+IF(AT451="Y",AT448)</f>
        <v>2.0539999999999998</v>
      </c>
      <c r="AU409" s="775">
        <f>IF(AU416="Y",AU413)+IF(AU421="Y",AU418)+IF(AU426="Y",AU423)+IF(AU431="Y",AU428)+IF(AU436="Y",AU433)+IF(AU441="Y",AU438)+IF(AU446="Y",AU443)+IF(AU451="Y",AU448)</f>
        <v>1.42</v>
      </c>
      <c r="AV409" s="775">
        <f>+AW409</f>
        <v>1.8519999999999999</v>
      </c>
      <c r="AW409" s="775">
        <f>IF(AW416="Y",AW413)+IF(AW421="Y",AW418)+IF(AW426="Y",AW423)+IF(AW431="Y",AW428)+IF(AW436="Y",AW433)+IF(AW441="Y",AW438)+IF(AW446="Y",AW443)+IF(AW451="Y",AW448)</f>
        <v>1.8519999999999999</v>
      </c>
      <c r="AX409" s="775">
        <f>IF(AX416="Y",AX413)+IF(AX421="Y",AX418)+IF(AX426="Y",AX423)+IF(AX431="Y",AX428)+IF(AX436="Y",AX433)+IF(AX441="Y",AX438)+IF(AX446="Y",AX443)+IF(AX451="Y",AX448)</f>
        <v>1.8440000000000001</v>
      </c>
      <c r="AY409" s="775">
        <f>+AZ409</f>
        <v>1.8489999999999998</v>
      </c>
      <c r="AZ409" s="775">
        <f>IF(AZ416="Y",AZ413)+IF(AZ421="Y",AZ418)+IF(AZ426="Y",AZ423)+IF(AZ431="Y",AZ428)+IF(AZ436="Y",AZ433)+IF(AZ441="Y",AZ438)+IF(AZ446="Y",AZ443)+IF(AZ451="Y",AZ448)</f>
        <v>1.8489999999999998</v>
      </c>
      <c r="BA409" s="775">
        <f>IF(BA416="Y",BA413)+IF(BA421="Y",BA418)+IF(BA426="Y",BA423)+IF(BA431="Y",BA428)+IF(BA436="Y",BA433)+IF(BA441="Y",BA438)+IF(BA446="Y",BA443)+IF(BA451="Y",BA448)</f>
        <v>2.101</v>
      </c>
      <c r="BB409" s="775">
        <f>+BC409</f>
        <v>2.181</v>
      </c>
      <c r="BC409" s="775">
        <f>IF(BC416="Y",BC413)+IF(BC421="Y",BC418)+IF(BC426="Y",BC423)+IF(BC431="Y",BC428)+IF(BC436="Y",BC433)+IF(BC441="Y",BC438)+IF(BC446="Y",BC443)+IF(BC451="Y",BC448)</f>
        <v>2.181</v>
      </c>
      <c r="BD409" s="775">
        <f>IF(BD416="Y",BD413)+IF(BD421="Y",BD418)+IF(BD426="Y",BD423)+IF(BD431="Y",BD428)+IF(BD436="Y",BD433)+IF(BD441="Y",BD438)+IF(BD446="Y",BD443)+IF(BD451="Y",BD448)</f>
        <v>2.181</v>
      </c>
      <c r="BE409" s="775">
        <f>+BF409</f>
        <v>2.181</v>
      </c>
      <c r="BF409" s="775">
        <f>IF(BF416="Y",BF413)+IF(BF421="Y",BF418)+IF(BF426="Y",BF423)+IF(BF431="Y",BF428)+IF(BF436="Y",BF433)+IF(BF441="Y",BF438)+IF(BF446="Y",BF443)+IF(BF451="Y",BF448)</f>
        <v>2.181</v>
      </c>
      <c r="BG409" s="775">
        <f>IF(BG416="Y",BG413)+IF(BG421="Y",BG418)+IF(BG426="Y",BG423)+IF(BG431="Y",BG428)+IF(BG436="Y",BG433)+IF(BG441="Y",BG438)+IF(BG446="Y",BG443)+IF(BG451="Y",BG448)</f>
        <v>2.181</v>
      </c>
      <c r="BH409" s="775">
        <f>+BI409</f>
        <v>2.181</v>
      </c>
      <c r="BI409" s="775">
        <f>IF(BI416="Y",BI413)+IF(BI421="Y",BI418)+IF(BI426="Y",BI423)+IF(BI431="Y",BI428)+IF(BI436="Y",BI433)+IF(BI441="Y",BI438)+IF(BI446="Y",BI443)+IF(BI451="Y",BI448)</f>
        <v>2.181</v>
      </c>
      <c r="BJ409" s="775">
        <f>IF(BJ416="Y",BJ413)+IF(BJ421="Y",BJ418)+IF(BJ426="Y",BJ423)+IF(BJ431="Y",BJ428)+IF(BJ436="Y",BJ433)+IF(BJ441="Y",BJ438)+IF(BJ446="Y",BJ443)+IF(BJ451="Y",BJ448)</f>
        <v>2.181</v>
      </c>
      <c r="BK409" s="775">
        <f>+BL409</f>
        <v>2.181</v>
      </c>
      <c r="BL409" s="775">
        <f>IF(BL416="Y",BL413)+IF(BL421="Y",BL418)+IF(BL426="Y",BL423)+IF(BL431="Y",BL428)+IF(BL436="Y",BL433)+IF(BL441="Y",BL438)+IF(BL446="Y",BL443)+IF(BL451="Y",BL448)</f>
        <v>2.181</v>
      </c>
      <c r="BM409" s="775">
        <f>IF(BM416="Y",BM413)+IF(BM421="Y",BM418)+IF(BM426="Y",BM423)+IF(BM431="Y",BM428)+IF(BM436="Y",BM433)+IF(BM441="Y",BM438)+IF(BM446="Y",BM443)+IF(BM451="Y",BM448)</f>
        <v>2.181</v>
      </c>
      <c r="BN409" s="775">
        <f>+BO409</f>
        <v>2.181</v>
      </c>
      <c r="BO409" s="775">
        <f>IF(BO416="Y",BO413)+IF(BO421="Y",BO418)+IF(BO426="Y",BO423)+IF(BO431="Y",BO428)+IF(BO436="Y",BO433)+IF(BO441="Y",BO438)+IF(BO446="Y",BO443)+IF(BO451="Y",BO448)</f>
        <v>2.181</v>
      </c>
      <c r="BP409" s="775">
        <f>IF(BP416="Y",BP413)+IF(BP421="Y",BP418)+IF(BP426="Y",BP423)+IF(BP431="Y",BP428)+IF(BP436="Y",BP433)+IF(BP441="Y",BP438)+IF(BP446="Y",BP443)+IF(BP451="Y",BP448)</f>
        <v>2.181</v>
      </c>
      <c r="BQ409" s="775">
        <f>+BR409</f>
        <v>2.181</v>
      </c>
      <c r="BR409" s="775">
        <f>IF(BR416="Y",BR413)+IF(BR421="Y",BR418)+IF(BR426="Y",BR423)+IF(BR431="Y",BR428)+IF(BR436="Y",BR433)+IF(BR441="Y",BR438)+IF(BR446="Y",BR443)+IF(BR451="Y",BR448)</f>
        <v>2.181</v>
      </c>
      <c r="BS409" s="775">
        <f>IF(BS416="Y",BS413)+IF(BS421="Y",BS418)+IF(BS426="Y",BS423)+IF(BS431="Y",BS428)+IF(BS436="Y",BS433)+IF(BS441="Y",BS438)+IF(BS446="Y",BS443)+IF(BS451="Y",BS448)</f>
        <v>0.73081099999999999</v>
      </c>
      <c r="BT409" s="775">
        <f>+BU409</f>
        <v>0.73081099999999999</v>
      </c>
      <c r="BU409" s="775">
        <f>IF(BU416="Y",BU413)+IF(BU421="Y",BU418)+IF(BU426="Y",BU423)+IF(BU431="Y",BU428)+IF(BU436="Y",BU433)+IF(BU441="Y",BU438)+IF(BU446="Y",BU443)+IF(BU451="Y",BU448)</f>
        <v>0.73081099999999999</v>
      </c>
      <c r="BV409" s="775">
        <f>IF(BV416="Y",BV413)+IF(BV421="Y",BV418)+IF(BV426="Y",BV423)+IF(BV431="Y",BV428)+IF(BV436="Y",BV433)+IF(BV441="Y",BV438)+IF(BV446="Y",BV443)+IF(BV451="Y",BV448)</f>
        <v>0.38034700000000043</v>
      </c>
      <c r="BW409" s="775">
        <f>+BX409</f>
        <v>0.414715</v>
      </c>
      <c r="BX409" s="775">
        <f>IF(BX416="Y",BX413)+IF(BX421="Y",BX418)+IF(BX426="Y",BX423)+IF(BX431="Y",BX428)+IF(BX436="Y",BX433)+IF(BX441="Y",BX438)+IF(BX446="Y",BX443)+IF(BX451="Y",BX448)</f>
        <v>0.414715</v>
      </c>
      <c r="BY409" s="775">
        <f>IF(BY416="Y",BY413)+IF(BY421="Y",BY418)+IF(BY426="Y",BY423)+IF(BY431="Y",BY428)+IF(BY436="Y",BY433)+IF(BY441="Y",BY438)+IF(BY446="Y",BY443)+IF(BY451="Y",BY448)</f>
        <v>0.21846699999999999</v>
      </c>
      <c r="BZ409" s="775">
        <f>+CA409</f>
        <v>0.13378900000000016</v>
      </c>
      <c r="CA409" s="775">
        <f>WAOT_09</f>
        <v>0.13378900000000016</v>
      </c>
      <c r="CB409" s="775">
        <f>IF(CB416="Y",CB413)+IF(CB421="Y",CB418)+IF(CB426="Y",CB423)+IF(CB431="Y",CB428)+IF(CB436="Y",CB433)+IF(CB441="Y",CB438)+IF(CB446="Y",CB443)+IF(CB451="Y",CB448)</f>
        <v>0.26116699999999998</v>
      </c>
      <c r="CC409" s="775">
        <f>+CD409</f>
        <v>0.61882100000000007</v>
      </c>
      <c r="CD409" s="776">
        <f>IF(CD416="Y",CD413)+IF(CD421="Y",CD418)+IF(CD426="Y",CD423)+IF(CD431="Y",CD428)+IF(CD436="Y",CD433)+IF(CD441="Y",CD438)+IF(CD446="Y",CD443)+IF(CD451="Y",CD448)</f>
        <v>0.61882100000000007</v>
      </c>
      <c r="CE409" s="776">
        <f>IF(CE416="Y",CE413)+IF(CE421="Y",CE418)+IF(CE426="Y",CE423)+IF(CE431="Y",CE428)+IF(CE436="Y",CE433)+IF(CE441="Y",CE438)+IF(CE446="Y",CE443)+IF(CE451="Y",CE448)</f>
        <v>0.35139799999999999</v>
      </c>
      <c r="CF409" s="776">
        <f>+CG409</f>
        <v>0.39294900000000155</v>
      </c>
      <c r="CG409" s="776">
        <f>IF(CG416="Y",CG413)+IF(CG421="Y",CG418)+IF(CG426="Y",CG423)+IF(CG431="Y",CG428)+IF(CG436="Y",CG433)+IF(CG441="Y",CG438)+IF(CG446="Y",CG443)+IF(CG451="Y",CG448)</f>
        <v>0.39294900000000155</v>
      </c>
      <c r="CH409" s="776">
        <f>IF(CH416="Y",CH413)+IF(CH421="Y",CH418)+IF(CH426="Y",CH423)+IF(CH431="Y",CH428)+IF(CH436="Y",CH433)+IF(CH441="Y",CH438)+IF(CH446="Y",CH443)+IF(CH451="Y",CH448)</f>
        <v>0.39294900000000155</v>
      </c>
      <c r="CI409" s="776">
        <f>+CJ409</f>
        <v>0.39294900000000155</v>
      </c>
      <c r="CJ409" s="776">
        <f>IF(CJ416="Y",CJ413)+IF(CJ421="Y",CJ418)+IF(CJ426="Y",CJ423)+IF(CJ431="Y",CJ428)+IF(CJ436="Y",CJ433)+IF(CJ441="Y",CJ438)+IF(CJ446="Y",CJ443)+IF(CJ451="Y",CJ448)</f>
        <v>0.39294900000000155</v>
      </c>
      <c r="CK409" s="776">
        <f>IF(CK416="Y",CK413)+IF(CK421="Y",CK418)+IF(CK426="Y",CK423)+IF(CK431="Y",CK428)+IF(CK436="Y",CK433)+IF(CK441="Y",CK438)+IF(CK446="Y",CK443)+IF(CK451="Y",CK448)</f>
        <v>0.39294900000000155</v>
      </c>
      <c r="CL409" s="776">
        <f>+CM409</f>
        <v>0.156835</v>
      </c>
      <c r="CM409" s="776">
        <f>IF(CM416="Y",CM413)+IF(CM421="Y",CM418)+IF(CM426="Y",CM423)+IF(CM431="Y",CM428)+IF(CM436="Y",CM433)+IF(CM441="Y",CM438)+IF(CM446="Y",CM443)+IF(CM451="Y",CM448)</f>
        <v>0.156835</v>
      </c>
      <c r="CN409" s="776">
        <f>IF(CN416="Y",CN413)+IF(CN421="Y",CN418)+IF(CN426="Y",CN423)+IF(CN431="Y",CN428)+IF(CN436="Y",CN433)+IF(CN441="Y",CN438)+IF(CN446="Y",CN443)+IF(CN451="Y",CN448)</f>
        <v>0.156835</v>
      </c>
      <c r="CO409" s="776">
        <f>+CP409</f>
        <v>1.5447000000000001E-2</v>
      </c>
      <c r="CP409" s="776">
        <f>0.000599+0.014848</f>
        <v>1.5447000000000001E-2</v>
      </c>
      <c r="CQ409" s="776">
        <f>IF(CQ416="Y",CQ413)+IF(CQ421="Y",CQ418)+IF(CQ426="Y",CQ423)+IF(CQ431="Y",CQ428)+IF(CQ436="Y",CQ433)+IF(CQ441="Y",CQ438)+IF(CQ446="Y",CQ443)+IF(CQ451="Y",CQ448)</f>
        <v>0.20487900000000001</v>
      </c>
      <c r="CR409" s="776">
        <f>+CS409</f>
        <v>0.277028</v>
      </c>
      <c r="CS409" s="776">
        <f>IF(CS416="Y",CS413)+IF(CS421="Y",CS418)+IF(CS426="Y",CS423)+IF(CS431="Y",CS428)+IF(CS436="Y",CS433)+IF(CS441="Y",CS438)+IF(CS446="Y",CS443)+IF(CS451="Y",CS448)</f>
        <v>0.277028</v>
      </c>
      <c r="CT409" s="776">
        <f>IF(CT416="Y",CT413)+IF(CT421="Y",CT418)+IF(CT426="Y",CT423)+IF(CT431="Y",CT428)+IF(CT436="Y",CT433)+IF(CT441="Y",CT438)+IF(CT446="Y",CT443)+IF(CT451="Y",CT448)</f>
        <v>8.4977999999999998E-2</v>
      </c>
      <c r="CU409" s="776">
        <f>+CV409</f>
        <v>9.8707000000000003E-2</v>
      </c>
      <c r="CV409" s="776">
        <f>IF(CV416="Y",CV413)+IF(CV421="Y",CV418)+IF(CV426="Y",CV423)+IF(CV431="Y",CV428)+IF(CV436="Y",CV433)+IF(CV441="Y",CV438)+IF(CV446="Y",CV443)+IF(CV451="Y",CV448)</f>
        <v>9.8707000000000003E-2</v>
      </c>
      <c r="CW409" s="776">
        <f>IF(CW416="Y",CW413)+IF(CW421="Y",CW418)+IF(CW426="Y",CW423)+IF(CW431="Y",CW428)+IF(CW436="Y",CW433)+IF(CW441="Y",CW438)+IF(CW446="Y",CW443)+IF(CW451="Y",CW448)</f>
        <v>7.9881999999999995E-2</v>
      </c>
      <c r="CX409" s="776">
        <f>+CY409</f>
        <v>0.18905</v>
      </c>
      <c r="CY409" s="776">
        <f>IF(CY416="Y",CY413)+IF(CY421="Y",CY418)+IF(CY426="Y",CY423)+IF(CY431="Y",CY428)+IF(CY436="Y",CY433)+IF(CY441="Y",CY438)+IF(CY446="Y",CY443)+IF(CY451="Y",CY448)</f>
        <v>0.18905</v>
      </c>
      <c r="CZ409" s="776">
        <f>IF(CZ416="Y",CZ413)+IF(CZ421="Y",CZ418)+IF(CZ426="Y",CZ423)+IF(CZ431="Y",CZ428)+IF(CZ436="Y",CZ433)+IF(CZ441="Y",CZ438)+IF(CZ446="Y",CZ443)+IF(CZ451="Y",CZ448)</f>
        <v>6.5436999999999995E-2</v>
      </c>
      <c r="DA409" s="776">
        <f>+DB409</f>
        <v>6.5436999999999995E-2</v>
      </c>
      <c r="DB409" s="776">
        <f>IF(DB416="Y",DB413)+IF(DB421="Y",DB418)+IF(DB426="Y",DB423)+IF(DB431="Y",DB428)+IF(DB436="Y",DB433)+IF(DB441="Y",DB438)+IF(DB446="Y",DB443)+IF(DB451="Y",DB448)</f>
        <v>6.5436999999999995E-2</v>
      </c>
      <c r="DC409" s="776">
        <f>IF(DC416="Y",DC413)+IF(DC421="Y",DC418)+IF(DC426="Y",DC423)+IF(DC431="Y",DC428)+IF(DC436="Y",DC433)+IF(DC441="Y",DC438)+IF(DC446="Y",DC443)+IF(DC451="Y",DC448)</f>
        <v>6.5436999999999995E-2</v>
      </c>
      <c r="DD409" s="776">
        <f>+DE409</f>
        <v>2.1942999999997527E-2</v>
      </c>
      <c r="DE409" s="776">
        <v>2.1942999999997527E-2</v>
      </c>
      <c r="DF409" s="776">
        <v>1.4437999999992457E-2</v>
      </c>
      <c r="DG409" s="776">
        <f>+DH409</f>
        <v>0</v>
      </c>
      <c r="DH409" s="1314">
        <v>0</v>
      </c>
      <c r="DI409" s="776">
        <f>DH409</f>
        <v>0</v>
      </c>
      <c r="DJ409" s="776">
        <f>+DK409</f>
        <v>0</v>
      </c>
      <c r="DK409" s="1314">
        <f>DI409</f>
        <v>0</v>
      </c>
      <c r="DL409" s="776">
        <f>DK409</f>
        <v>0</v>
      </c>
      <c r="DM409" s="776">
        <f>+DN409</f>
        <v>0</v>
      </c>
      <c r="DN409" s="1314">
        <f>DL409</f>
        <v>0</v>
      </c>
      <c r="DO409" s="776">
        <f>DN409</f>
        <v>0</v>
      </c>
      <c r="DP409" s="776">
        <f>+DQ409</f>
        <v>0</v>
      </c>
      <c r="DQ409" s="1314">
        <f>DO409</f>
        <v>0</v>
      </c>
      <c r="DR409" s="776">
        <f>DQ409</f>
        <v>0</v>
      </c>
      <c r="DS409" s="776">
        <f>+DT409</f>
        <v>0</v>
      </c>
      <c r="DT409" s="1314">
        <f>DR409</f>
        <v>0</v>
      </c>
      <c r="DU409" s="776">
        <f>DT409</f>
        <v>0</v>
      </c>
      <c r="DV409" s="776">
        <f>+DW409</f>
        <v>0</v>
      </c>
      <c r="DW409" s="1314">
        <f>DU409</f>
        <v>0</v>
      </c>
      <c r="DX409" s="776">
        <f>DW409</f>
        <v>0</v>
      </c>
      <c r="DY409" s="776">
        <f>+DZ409</f>
        <v>0</v>
      </c>
      <c r="DZ409" s="1314">
        <f>DX409</f>
        <v>0</v>
      </c>
      <c r="EA409" s="776">
        <f>DZ409</f>
        <v>0</v>
      </c>
      <c r="EB409" s="776">
        <f>+EC409</f>
        <v>0</v>
      </c>
      <c r="EC409" s="1314">
        <f>EA409</f>
        <v>0</v>
      </c>
      <c r="ED409" s="776">
        <f>EC409</f>
        <v>0</v>
      </c>
      <c r="EE409" s="776">
        <f>+EF409</f>
        <v>0</v>
      </c>
      <c r="EF409" s="1314">
        <f>ED409</f>
        <v>0</v>
      </c>
      <c r="EG409" s="776">
        <f>EF409</f>
        <v>0</v>
      </c>
      <c r="EH409" s="776">
        <f>+EI409</f>
        <v>0</v>
      </c>
      <c r="EI409" s="1314">
        <f>EG409</f>
        <v>0</v>
      </c>
      <c r="EJ409" s="776">
        <f>EI409</f>
        <v>0</v>
      </c>
      <c r="EK409" s="776">
        <f>+EL409</f>
        <v>0</v>
      </c>
      <c r="EL409" s="1314">
        <f>EJ409</f>
        <v>0</v>
      </c>
      <c r="EM409" s="776">
        <f>EL409</f>
        <v>0</v>
      </c>
      <c r="EN409" s="776">
        <f>+EO409</f>
        <v>0</v>
      </c>
      <c r="EO409" s="1314">
        <f>EM409</f>
        <v>0</v>
      </c>
      <c r="EP409" s="776">
        <f>EO409</f>
        <v>0</v>
      </c>
      <c r="EQ409" s="776">
        <f>+ER409</f>
        <v>0</v>
      </c>
      <c r="ER409" s="1314">
        <f>EP409</f>
        <v>0</v>
      </c>
      <c r="ES409" s="776">
        <f>ER409</f>
        <v>0</v>
      </c>
      <c r="ET409" s="776">
        <f>+EU409</f>
        <v>0</v>
      </c>
      <c r="EU409" s="1314">
        <f>ES409</f>
        <v>0</v>
      </c>
      <c r="EV409" s="776">
        <f>EU409</f>
        <v>0</v>
      </c>
      <c r="EW409" s="776">
        <f>+EX409</f>
        <v>0</v>
      </c>
      <c r="EX409" s="1314">
        <f>EV409</f>
        <v>0</v>
      </c>
      <c r="EY409" s="776">
        <f>EX409</f>
        <v>0</v>
      </c>
      <c r="EZ409" s="776">
        <f>+FA409</f>
        <v>0</v>
      </c>
      <c r="FA409" s="1314">
        <f>EY409</f>
        <v>0</v>
      </c>
      <c r="FE409"/>
      <c r="FF409"/>
      <c r="FG409"/>
      <c r="FH409"/>
      <c r="FI409"/>
      <c r="FJ409"/>
      <c r="FK409" s="35"/>
    </row>
    <row r="410" spans="2:167" s="235" customFormat="1" ht="13.35" customHeight="1">
      <c r="B410" s="401" t="s">
        <v>885</v>
      </c>
      <c r="C410" s="593"/>
      <c r="D410" s="594"/>
      <c r="E410" s="597">
        <f>IF(E416="Y",E414)+IF(E421="Y",E419)+IF(E426="Y",E424)+IF(E431="Y",E429)+IF(E436="Y",E434)+IF(E441="Y",E439)+IF(E446="Y",E444)+IF(E451="Y",E449)</f>
        <v>0</v>
      </c>
      <c r="F410" s="597">
        <f>+G410</f>
        <v>0</v>
      </c>
      <c r="G410" s="597">
        <f>IF(G416="Y",G414)+IF(G421="Y",G419)+IF(G426="Y",G424)+IF(G431="Y",G429)+IF(G436="Y",G434)+IF(G441="Y",G439)+IF(G446="Y",G444)+IF(G451="Y",G449)</f>
        <v>0</v>
      </c>
      <c r="H410" s="597">
        <f>IF(H416="Y",H414)+IF(H421="Y",H419)+IF(H426="Y",H424)+IF(H431="Y",H429)+IF(H436="Y",H434)+IF(H441="Y",H439)+IF(H446="Y",H444)+IF(H451="Y",H449)</f>
        <v>0</v>
      </c>
      <c r="I410" s="597">
        <f>+J410</f>
        <v>0</v>
      </c>
      <c r="J410" s="597">
        <f>IF(J416="Y",J414)+IF(J421="Y",J419)+IF(J426="Y",J424)+IF(J431="Y",J429)+IF(J436="Y",J434)+IF(J441="Y",J439)+IF(J446="Y",J444)+IF(J451="Y",J449)</f>
        <v>0</v>
      </c>
      <c r="K410" s="597">
        <f>IF(K416="Y",K414)+IF(K421="Y",K419)+IF(K426="Y",K424)+IF(K431="Y",K429)+IF(K436="Y",K434)+IF(K441="Y",K439)+IF(K446="Y",K444)+IF(K451="Y",K449)</f>
        <v>0</v>
      </c>
      <c r="L410" s="597">
        <f>+M410</f>
        <v>0</v>
      </c>
      <c r="M410" s="597">
        <f>IF(M416="Y",M414)+IF(M421="Y",M419)+IF(M426="Y",M424)+IF(M431="Y",M429)+IF(M436="Y",M434)+IF(M441="Y",M439)+IF(M446="Y",M444)+IF(M451="Y",M449)</f>
        <v>0</v>
      </c>
      <c r="N410" s="597">
        <f>IF(N416="Y",N414)+IF(N421="Y",N419)+IF(N426="Y",N424)+IF(N431="Y",N429)+IF(N436="Y",N434)+IF(N441="Y",N439)+IF(N446="Y",N444)+IF(N451="Y",N449)</f>
        <v>0</v>
      </c>
      <c r="O410" s="597">
        <f>+P410</f>
        <v>0</v>
      </c>
      <c r="P410" s="597">
        <f>IF(P416="Y",P414)+IF(P421="Y",P419)+IF(P426="Y",P424)+IF(P431="Y",P429)+IF(P436="Y",P434)+IF(P441="Y",P439)+IF(P446="Y",P444)+IF(P451="Y",P449)</f>
        <v>0</v>
      </c>
      <c r="Q410" s="597">
        <f>IF(Q416="Y",Q414)+IF(Q421="Y",Q419)+IF(Q426="Y",Q424)+IF(Q431="Y",Q429)+IF(Q436="Y",Q434)+IF(Q441="Y",Q439)+IF(Q446="Y",Q444)+IF(Q451="Y",Q449)</f>
        <v>0</v>
      </c>
      <c r="R410" s="597">
        <f>+S410</f>
        <v>0</v>
      </c>
      <c r="S410" s="597">
        <f>IF(S416="Y",S414)+IF(S421="Y",S419)+IF(S426="Y",S424)+IF(S431="Y",S429)+IF(S436="Y",S434)+IF(S441="Y",S439)+IF(S446="Y",S444)+IF(S451="Y",S449)</f>
        <v>0</v>
      </c>
      <c r="T410" s="597">
        <f>IF(T416="Y",T414)+IF(T421="Y",T419)+IF(T426="Y",T424)+IF(T431="Y",T429)+IF(T436="Y",T434)+IF(T441="Y",T439)+IF(T446="Y",T444)+IF(T451="Y",T449)</f>
        <v>0</v>
      </c>
      <c r="U410" s="597">
        <f>+V410</f>
        <v>0</v>
      </c>
      <c r="V410" s="597">
        <f>IF(V416="Y",V414)+IF(V421="Y",V419)+IF(V426="Y",V424)+IF(V431="Y",V429)+IF(V436="Y",V434)+IF(V441="Y",V439)+IF(V446="Y",V444)+IF(V451="Y",V449)</f>
        <v>0</v>
      </c>
      <c r="W410" s="597">
        <f>IF(W416="Y",W414)+IF(W421="Y",W419)+IF(W426="Y",W424)+IF(W431="Y",W429)+IF(W436="Y",W434)+IF(W441="Y",W439)+IF(W446="Y",W444)+IF(W451="Y",W449)</f>
        <v>0</v>
      </c>
      <c r="X410" s="597">
        <f>+Y410</f>
        <v>0</v>
      </c>
      <c r="Y410" s="597">
        <f>IF(Y416="Y",Y414)+IF(Y421="Y",Y419)+IF(Y426="Y",Y424)+IF(Y431="Y",Y429)+IF(Y436="Y",Y434)+IF(Y441="Y",Y439)+IF(Y446="Y",Y444)+IF(Y451="Y",Y449)</f>
        <v>0</v>
      </c>
      <c r="Z410" s="597">
        <f>IF(Z416="Y",Z414)+IF(Z421="Y",Z419)+IF(Z426="Y",Z424)+IF(Z431="Y",Z429)+IF(Z436="Y",Z434)+IF(Z441="Y",Z439)+IF(Z446="Y",Z444)+IF(Z451="Y",Z449)</f>
        <v>0</v>
      </c>
      <c r="AA410" s="597">
        <f>+AB410</f>
        <v>0</v>
      </c>
      <c r="AB410" s="597">
        <f>IF(AB416="Y",AB414)+IF(AB421="Y",AB419)+IF(AB426="Y",AB424)+IF(AB431="Y",AB429)+IF(AB436="Y",AB434)+IF(AB441="Y",AB439)+IF(AB446="Y",AB444)+IF(AB451="Y",AB449)</f>
        <v>0</v>
      </c>
      <c r="AC410" s="597">
        <f>IF(AC416="Y",AC414)+IF(AC421="Y",AC419)+IF(AC426="Y",AC424)+IF(AC431="Y",AC429)+IF(AC436="Y",AC434)+IF(AC441="Y",AC439)+IF(AC446="Y",AC444)+IF(AC451="Y",AC449)</f>
        <v>0</v>
      </c>
      <c r="AD410" s="597">
        <f>+AE410</f>
        <v>0</v>
      </c>
      <c r="AE410" s="597">
        <f>IF(AE416="Y",AE414)+IF(AE421="Y",AE419)+IF(AE426="Y",AE424)+IF(AE431="Y",AE429)+IF(AE436="Y",AE434)+IF(AE441="Y",AE439)+IF(AE446="Y",AE444)+IF(AE451="Y",AE449)</f>
        <v>0</v>
      </c>
      <c r="AF410" s="597">
        <f>IF(AF416="Y",AF414)+IF(AF421="Y",AF419)+IF(AF426="Y",AF424)+IF(AF431="Y",AF429)+IF(AF436="Y",AF434)+IF(AF441="Y",AF439)+IF(AF446="Y",AF444)+IF(AF451="Y",AF449)</f>
        <v>0</v>
      </c>
      <c r="AG410" s="597">
        <f>+AH410</f>
        <v>0</v>
      </c>
      <c r="AH410" s="597">
        <f>IF(AH416="Y",AH414)+IF(AH421="Y",AH419)+IF(AH426="Y",AH424)+IF(AH431="Y",AH429)+IF(AH436="Y",AH434)+IF(AH441="Y",AH439)+IF(AH446="Y",AH444)+IF(AH451="Y",AH449)</f>
        <v>0</v>
      </c>
      <c r="AI410" s="597">
        <f>IF(AI416="Y",AI414)+IF(AI421="Y",AI419)+IF(AI426="Y",AI424)+IF(AI431="Y",AI429)+IF(AI436="Y",AI434)+IF(AI441="Y",AI439)+IF(AI446="Y",AI444)+IF(AI451="Y",AI449)</f>
        <v>0</v>
      </c>
      <c r="AJ410" s="597">
        <f>+AK410</f>
        <v>0</v>
      </c>
      <c r="AK410" s="597">
        <f>IF(AK416="Y",AK414)+IF(AK421="Y",AK419)+IF(AK426="Y",AK424)+IF(AK431="Y",AK429)+IF(AK436="Y",AK434)+IF(AK441="Y",AK439)+IF(AK446="Y",AK444)+IF(AK451="Y",AK449)</f>
        <v>0</v>
      </c>
      <c r="AL410" s="597">
        <f>IF(AL416="Y",AL414)+IF(AL421="Y",AL419)+IF(AL426="Y",AL424)+IF(AL431="Y",AL429)+IF(AL436="Y",AL434)+IF(AL441="Y",AL439)+IF(AL446="Y",AL444)+IF(AL451="Y",AL449)</f>
        <v>4.8128000000000002</v>
      </c>
      <c r="AM410" s="597">
        <f>+AN410</f>
        <v>4.8128000000000002</v>
      </c>
      <c r="AN410" s="597">
        <f>IF(AN416="Y",AN414)+IF(AN421="Y",AN419)+IF(AN426="Y",AN424)+IF(AN431="Y",AN429)+IF(AN436="Y",AN434)+IF(AN441="Y",AN439)+IF(AN446="Y",AN444)+IF(AN451="Y",AN449)</f>
        <v>4.8128000000000002</v>
      </c>
      <c r="AO410" s="597">
        <f>IF(AO416="Y",AO414)+IF(AO421="Y",AO419)+IF(AO426="Y",AO424)+IF(AO431="Y",AO429)+IF(AO436="Y",AO434)+IF(AO441="Y",AO439)+IF(AO446="Y",AO444)+IF(AO451="Y",AO449)</f>
        <v>4.8128000000000002</v>
      </c>
      <c r="AP410" s="597">
        <f>+AQ410</f>
        <v>2.709016393442623</v>
      </c>
      <c r="AQ410" s="597">
        <f>IF(AQ416="Y",AQ414)+IF(AQ421="Y",AQ419)+IF(AQ426="Y",AQ424)+IF(AQ431="Y",AQ429)+IF(AQ436="Y",AQ434)+IF(AQ441="Y",AQ439)+IF(AQ446="Y",AQ444)+IF(AQ451="Y",AQ449)</f>
        <v>2.709016393442623</v>
      </c>
      <c r="AR410" s="597">
        <f>IF(AR416="Y",AR414)+IF(AR421="Y",AR419)+IF(AR426="Y",AR424)+IF(AR431="Y",AR429)+IF(AR436="Y",AR434)+IF(AR441="Y",AR439)+IF(AR446="Y",AR444)+IF(AR451="Y",AR449)</f>
        <v>5.6185</v>
      </c>
      <c r="AS410" s="597">
        <f>+AT410</f>
        <v>5.5673000000000004</v>
      </c>
      <c r="AT410" s="597">
        <f>IF(AT416="Y",AT414)+IF(AT421="Y",AT419)+IF(AT426="Y",AT424)+IF(AT431="Y",AT429)+IF(AT436="Y",AT434)+IF(AT441="Y",AT439)+IF(AT446="Y",AT444)+IF(AT451="Y",AT449)</f>
        <v>5.5673000000000004</v>
      </c>
      <c r="AU410" s="597">
        <f>IF(AU416="Y",AU414)+IF(AU421="Y",AU419)+IF(AU426="Y",AU424)+IF(AU431="Y",AU429)+IF(AU436="Y",AU434)+IF(AU441="Y",AU439)+IF(AU446="Y",AU444)+IF(AU451="Y",AU449)</f>
        <v>3.8700200000000002</v>
      </c>
      <c r="AV410" s="597">
        <f>+AW410</f>
        <v>8.0254799999999999</v>
      </c>
      <c r="AW410" s="597">
        <f>IF(AW416="Y",AW414)+IF(AW421="Y",AW419)+IF(AW426="Y",AW424)+IF(AW431="Y",AW429)+IF(AW436="Y",AW434)+IF(AW441="Y",AW439)+IF(AW446="Y",AW444)+IF(AW451="Y",AW449)</f>
        <v>8.0254799999999999</v>
      </c>
      <c r="AX410" s="597">
        <f>IF(AX416="Y",AX414)+IF(AX421="Y",AX419)+IF(AX426="Y",AX424)+IF(AX431="Y",AX429)+IF(AX436="Y",AX434)+IF(AX441="Y",AX439)+IF(AX446="Y",AX444)+IF(AX451="Y",AX449)</f>
        <v>15.116114999999999</v>
      </c>
      <c r="AY410" s="597">
        <f>+AZ410</f>
        <v>15.116114999999999</v>
      </c>
      <c r="AZ410" s="597">
        <f>IF(AZ416="Y",AZ414)+IF(AZ421="Y",AZ419)+IF(AZ426="Y",AZ424)+IF(AZ431="Y",AZ429)+IF(AZ436="Y",AZ434)+IF(AZ441="Y",AZ439)+IF(AZ446="Y",AZ444)+IF(AZ451="Y",AZ449)</f>
        <v>15.116114999999999</v>
      </c>
      <c r="BA410" s="597">
        <f>IF(BA416="Y",BA414)+IF(BA421="Y",BA419)+IF(BA426="Y",BA424)+IF(BA431="Y",BA429)+IF(BA436="Y",BA434)+IF(BA441="Y",BA439)+IF(BA446="Y",BA444)+IF(BA451="Y",BA449)</f>
        <v>38.993700000000011</v>
      </c>
      <c r="BB410" s="597">
        <f>+BC410</f>
        <v>44.654699999999998</v>
      </c>
      <c r="BC410" s="597">
        <f>IF(BC416="Y",BC414)+IF(BC421="Y",BC419)+IF(BC426="Y",BC424)+IF(BC431="Y",BC429)+IF(BC436="Y",BC434)+IF(BC441="Y",BC439)+IF(BC446="Y",BC444)+IF(BC451="Y",BC449)</f>
        <v>44.654699999999998</v>
      </c>
      <c r="BD410" s="597">
        <f>IF(BD416="Y",BD414)+IF(BD421="Y",BD419)+IF(BD426="Y",BD424)+IF(BD431="Y",BD429)+IF(BD436="Y",BD434)+IF(BD441="Y",BD439)+IF(BD446="Y",BD444)+IF(BD451="Y",BD449)</f>
        <v>44.654699999999998</v>
      </c>
      <c r="BE410" s="597">
        <f>+BF410</f>
        <v>44.654699999999998</v>
      </c>
      <c r="BF410" s="597">
        <f>IF(BF416="Y",BF414)+IF(BF421="Y",BF419)+IF(BF426="Y",BF424)+IF(BF431="Y",BF429)+IF(BF436="Y",BF434)+IF(BF441="Y",BF439)+IF(BF446="Y",BF444)+IF(BF451="Y",BF449)</f>
        <v>44.654699999999998</v>
      </c>
      <c r="BG410" s="597">
        <f>IF(BG416="Y",BG414)+IF(BG421="Y",BG419)+IF(BG426="Y",BG424)+IF(BG431="Y",BG429)+IF(BG436="Y",BG434)+IF(BG441="Y",BG439)+IF(BG446="Y",BG444)+IF(BG451="Y",BG449)</f>
        <v>44.654699999999998</v>
      </c>
      <c r="BH410" s="597">
        <f>+BI410</f>
        <v>44.654699999999998</v>
      </c>
      <c r="BI410" s="597">
        <f>IF(BI416="Y",BI414)+IF(BI421="Y",BI419)+IF(BI426="Y",BI424)+IF(BI431="Y",BI429)+IF(BI436="Y",BI434)+IF(BI441="Y",BI439)+IF(BI446="Y",BI444)+IF(BI451="Y",BI449)</f>
        <v>44.654699999999998</v>
      </c>
      <c r="BJ410" s="597">
        <f>IF(BJ416="Y",BJ414)+IF(BJ421="Y",BJ419)+IF(BJ426="Y",BJ424)+IF(BJ431="Y",BJ429)+IF(BJ436="Y",BJ434)+IF(BJ441="Y",BJ439)+IF(BJ446="Y",BJ444)+IF(BJ451="Y",BJ449)</f>
        <v>44.654699999999998</v>
      </c>
      <c r="BK410" s="597">
        <f>+BL410</f>
        <v>44.654699999999998</v>
      </c>
      <c r="BL410" s="597">
        <f>IF(BL416="Y",BL414)+IF(BL421="Y",BL419)+IF(BL426="Y",BL424)+IF(BL431="Y",BL429)+IF(BL436="Y",BL434)+IF(BL441="Y",BL439)+IF(BL446="Y",BL444)+IF(BL451="Y",BL449)</f>
        <v>44.654699999999998</v>
      </c>
      <c r="BM410" s="597">
        <f>IF(BM416="Y",BM414)+IF(BM421="Y",BM419)+IF(BM426="Y",BM424)+IF(BM431="Y",BM429)+IF(BM436="Y",BM434)+IF(BM441="Y",BM439)+IF(BM446="Y",BM444)+IF(BM451="Y",BM449)</f>
        <v>44.654699999999998</v>
      </c>
      <c r="BN410" s="597">
        <f>+BO410</f>
        <v>44.654699999999998</v>
      </c>
      <c r="BO410" s="597">
        <f>IF(BO416="Y",BO414)+IF(BO421="Y",BO419)+IF(BO426="Y",BO424)+IF(BO431="Y",BO429)+IF(BO436="Y",BO434)+IF(BO441="Y",BO439)+IF(BO446="Y",BO444)+IF(BO451="Y",BO449)</f>
        <v>44.654699999999998</v>
      </c>
      <c r="BP410" s="597">
        <f>IF(BP416="Y",BP414)+IF(BP421="Y",BP419)+IF(BP426="Y",BP424)+IF(BP431="Y",BP429)+IF(BP436="Y",BP434)+IF(BP441="Y",BP439)+IF(BP446="Y",BP444)+IF(BP451="Y",BP449)</f>
        <v>44.654699999999998</v>
      </c>
      <c r="BQ410" s="597">
        <f>+BR410</f>
        <v>44.654699999999998</v>
      </c>
      <c r="BR410" s="597">
        <f>IF(BR416="Y",BR414)+IF(BR421="Y",BR419)+IF(BR426="Y",BR424)+IF(BR431="Y",BR429)+IF(BR436="Y",BR434)+IF(BR441="Y",BR439)+IF(BR446="Y",BR444)+IF(BR451="Y",BR449)</f>
        <v>44.654699999999998</v>
      </c>
      <c r="BS410" s="597">
        <f>IF(BS416="Y",BS414)+IF(BS421="Y",BS419)+IF(BS426="Y",BS424)+IF(BS431="Y",BS429)+IF(BS436="Y",BS434)+IF(BS441="Y",BS439)+IF(BS446="Y",BS444)+IF(BS451="Y",BS449)</f>
        <v>44.654699999999998</v>
      </c>
      <c r="BT410" s="597">
        <f>+BU410</f>
        <v>44.654699999999998</v>
      </c>
      <c r="BU410" s="597">
        <f>IF(BU416="Y",BU414)+IF(BU421="Y",BU419)+IF(BU426="Y",BU424)+IF(BU431="Y",BU429)+IF(BU436="Y",BU434)+IF(BU441="Y",BU439)+IF(BU446="Y",BU444)+IF(BU451="Y",BU449)</f>
        <v>44.654699999999998</v>
      </c>
      <c r="BV410" s="597">
        <f>IF(BV416="Y",BV414)+IF(BV421="Y",BV419)+IF(BV426="Y",BV424)+IF(BV431="Y",BV429)+IF(BV436="Y",BV434)+IF(BV441="Y",BV439)+IF(BV446="Y",BV444)+IF(BV451="Y",BV449)</f>
        <v>44.654699999999998</v>
      </c>
      <c r="BW410" s="597">
        <f>+BX410</f>
        <v>44.654699999999998</v>
      </c>
      <c r="BX410" s="597">
        <f>IF(BX416="Y",BX414)+IF(BX421="Y",BX419)+IF(BX426="Y",BX424)+IF(BX431="Y",BX429)+IF(BX436="Y",BX434)+IF(BX441="Y",BX439)+IF(BX446="Y",BX444)+IF(BX451="Y",BX449)</f>
        <v>44.654699999999998</v>
      </c>
      <c r="BY410" s="597">
        <f>IF(BY416="Y",BY414)+IF(BY421="Y",BY419)+IF(BY426="Y",BY424)+IF(BY431="Y",BY429)+IF(BY436="Y",BY434)+IF(BY441="Y",BY439)+IF(BY446="Y",BY444)+IF(BY451="Y",BY449)</f>
        <v>44.654699999999998</v>
      </c>
      <c r="BZ410" s="597">
        <f>+CA410</f>
        <v>44.654699999999998</v>
      </c>
      <c r="CA410" s="597">
        <f>IF(CA416="Y",CA414)+IF(CA421="Y",CA419)+IF(CA426="Y",CA424)+IF(CA431="Y",CA429)+IF(CA436="Y",CA434)+IF(CA441="Y",CA439)+IF(CA446="Y",CA444)+IF(CA451="Y",CA449)</f>
        <v>44.654699999999998</v>
      </c>
      <c r="CB410" s="597">
        <f>IF(CB416="Y",CB414)+IF(CB421="Y",CB419)+IF(CB426="Y",CB424)+IF(CB431="Y",CB429)+IF(CB436="Y",CB434)+IF(CB441="Y",CB439)+IF(CB446="Y",CB444)+IF(CB451="Y",CB449)</f>
        <v>44.654699999999998</v>
      </c>
      <c r="CC410" s="597">
        <f>+CD410</f>
        <v>44.654699999999998</v>
      </c>
      <c r="CD410" s="612">
        <f>IF(CD416="Y",CD414)+IF(CD421="Y",CD419)+IF(CD426="Y",CD424)+IF(CD431="Y",CD429)+IF(CD436="Y",CD434)+IF(CD441="Y",CD439)+IF(CD446="Y",CD444)+IF(CD451="Y",CD449)</f>
        <v>44.654699999999998</v>
      </c>
      <c r="CE410" s="612">
        <f>IF(CE416="Y",CE414)+IF(CE421="Y",CE419)+IF(CE426="Y",CE424)+IF(CE431="Y",CE429)+IF(CE436="Y",CE434)+IF(CE441="Y",CE439)+IF(CE446="Y",CE444)+IF(CE451="Y",CE449)</f>
        <v>44.654699999999998</v>
      </c>
      <c r="CF410" s="612">
        <f>+CG410</f>
        <v>44.654699999999998</v>
      </c>
      <c r="CG410" s="612">
        <f>IF(CG416="Y",CG414)+IF(CG421="Y",CG419)+IF(CG426="Y",CG424)+IF(CG431="Y",CG429)+IF(CG436="Y",CG434)+IF(CG441="Y",CG439)+IF(CG446="Y",CG444)+IF(CG451="Y",CG449)</f>
        <v>44.654699999999998</v>
      </c>
      <c r="CH410" s="612">
        <f>IF(CH416="Y",CH414)+IF(CH421="Y",CH419)+IF(CH426="Y",CH424)+IF(CH431="Y",CH429)+IF(CH436="Y",CH434)+IF(CH441="Y",CH439)+IF(CH446="Y",CH444)+IF(CH451="Y",CH449)</f>
        <v>44.654699999999998</v>
      </c>
      <c r="CI410" s="612">
        <f>+CJ410</f>
        <v>44.654699999999998</v>
      </c>
      <c r="CJ410" s="612">
        <f>IF(CJ416="Y",CJ414)+IF(CJ421="Y",CJ419)+IF(CJ426="Y",CJ424)+IF(CJ431="Y",CJ429)+IF(CJ436="Y",CJ434)+IF(CJ441="Y",CJ439)+IF(CJ446="Y",CJ444)+IF(CJ451="Y",CJ449)</f>
        <v>44.654699999999998</v>
      </c>
      <c r="CK410" s="612">
        <f>IF(CK416="Y",CK414)+IF(CK421="Y",CK419)+IF(CK426="Y",CK424)+IF(CK431="Y",CK429)+IF(CK436="Y",CK434)+IF(CK441="Y",CK439)+IF(CK446="Y",CK444)+IF(CK451="Y",CK449)</f>
        <v>44.654699999999998</v>
      </c>
      <c r="CL410" s="612">
        <f>+CM410</f>
        <v>44.654699999999998</v>
      </c>
      <c r="CM410" s="612">
        <f>IF(CM416="Y",CM414)+IF(CM421="Y",CM419)+IF(CM426="Y",CM424)+IF(CM431="Y",CM429)+IF(CM436="Y",CM434)+IF(CM441="Y",CM439)+IF(CM446="Y",CM444)+IF(CM451="Y",CM449)</f>
        <v>44.654699999999998</v>
      </c>
      <c r="CN410" s="612">
        <f>IF(CN416="Y",CN414)+IF(CN421="Y",CN419)+IF(CN426="Y",CN424)+IF(CN431="Y",CN429)+IF(CN436="Y",CN434)+IF(CN441="Y",CN439)+IF(CN446="Y",CN444)+IF(CN451="Y",CN449)</f>
        <v>44.654699999999998</v>
      </c>
      <c r="CO410" s="612">
        <f>+CP410</f>
        <v>44.654699999999998</v>
      </c>
      <c r="CP410" s="612">
        <f>IF(CP416="Y",CP414)+IF(CP421="Y",CP419)+IF(CP426="Y",CP424)+IF(CP431="Y",CP429)+IF(CP436="Y",CP434)+IF(CP441="Y",CP439)+IF(CP446="Y",CP444)+IF(CP451="Y",CP449)</f>
        <v>44.654699999999998</v>
      </c>
      <c r="CQ410" s="612">
        <f>IF(CQ416="Y",CQ414)+IF(CQ421="Y",CQ419)+IF(CQ426="Y",CQ424)+IF(CQ431="Y",CQ429)+IF(CQ436="Y",CQ434)+IF(CQ441="Y",CQ439)+IF(CQ446="Y",CQ444)+IF(CQ451="Y",CQ449)</f>
        <v>44.654699999999998</v>
      </c>
      <c r="CR410" s="612">
        <f>+CS410</f>
        <v>44.654699999999998</v>
      </c>
      <c r="CS410" s="612">
        <f>IF(CS416="Y",CS414)+IF(CS421="Y",CS419)+IF(CS426="Y",CS424)+IF(CS431="Y",CS429)+IF(CS436="Y",CS434)+IF(CS441="Y",CS439)+IF(CS446="Y",CS444)+IF(CS451="Y",CS449)</f>
        <v>44.654699999999998</v>
      </c>
      <c r="CT410" s="612">
        <f>IF(CT416="Y",CT414)+IF(CT421="Y",CT419)+IF(CT426="Y",CT424)+IF(CT431="Y",CT429)+IF(CT436="Y",CT434)+IF(CT441="Y",CT439)+IF(CT446="Y",CT444)+IF(CT451="Y",CT449)</f>
        <v>44.654699999999998</v>
      </c>
      <c r="CU410" s="612">
        <f>+CV410</f>
        <v>44.654699999999998</v>
      </c>
      <c r="CV410" s="612">
        <f>IF(CV416="Y",CV414)+IF(CV421="Y",CV419)+IF(CV426="Y",CV424)+IF(CV431="Y",CV429)+IF(CV436="Y",CV434)+IF(CV441="Y",CV439)+IF(CV446="Y",CV444)+IF(CV451="Y",CV449)</f>
        <v>44.654699999999998</v>
      </c>
      <c r="CW410" s="612">
        <f>IF(CW416="Y",CW414)+IF(CW421="Y",CW419)+IF(CW426="Y",CW424)+IF(CW431="Y",CW429)+IF(CW436="Y",CW434)+IF(CW441="Y",CW439)+IF(CW446="Y",CW444)+IF(CW451="Y",CW449)</f>
        <v>44.654699999999998</v>
      </c>
      <c r="CX410" s="612">
        <f>+CY410</f>
        <v>44.654699999999998</v>
      </c>
      <c r="CY410" s="612">
        <f>IF(CY416="Y",CY414)+IF(CY421="Y",CY419)+IF(CY426="Y",CY424)+IF(CY431="Y",CY429)+IF(CY436="Y",CY434)+IF(CY441="Y",CY439)+IF(CY446="Y",CY444)+IF(CY451="Y",CY449)</f>
        <v>44.654699999999998</v>
      </c>
      <c r="CZ410" s="612">
        <f>IF(CZ416="Y",CZ414)+IF(CZ421="Y",CZ419)+IF(CZ426="Y",CZ424)+IF(CZ431="Y",CZ429)+IF(CZ436="Y",CZ434)+IF(CZ441="Y",CZ439)+IF(CZ446="Y",CZ444)+IF(CZ451="Y",CZ449)</f>
        <v>44.654699999999998</v>
      </c>
      <c r="DA410" s="612">
        <f>+DB410</f>
        <v>44.654699999999998</v>
      </c>
      <c r="DB410" s="612">
        <f>IF(DB416="Y",DB414)+IF(DB421="Y",DB419)+IF(DB426="Y",DB424)+IF(DB431="Y",DB429)+IF(DB436="Y",DB434)+IF(DB441="Y",DB439)+IF(DB446="Y",DB444)+IF(DB451="Y",DB449)</f>
        <v>44.654699999999998</v>
      </c>
      <c r="DC410" s="612">
        <f>IF(DC416="Y",DC414)+IF(DC421="Y",DC419)+IF(DC426="Y",DC424)+IF(DC431="Y",DC429)+IF(DC436="Y",DC434)+IF(DC441="Y",DC439)+IF(DC446="Y",DC444)+IF(DC451="Y",DC449)</f>
        <v>44.654699999999998</v>
      </c>
      <c r="DD410" s="612">
        <f>+DE410</f>
        <v>44.654699999999998</v>
      </c>
      <c r="DE410" s="612">
        <f>IF(DE416="Y",DE414)+IF(DE421="Y",DE419)+IF(DE426="Y",DE424)+IF(DE431="Y",DE429)+IF(DE436="Y",DE434)+IF(DE441="Y",DE439)+IF(DE446="Y",DE444)+IF(DE451="Y",DE449)</f>
        <v>44.654699999999998</v>
      </c>
      <c r="DF410" s="612">
        <f>IF(DF416="Y",DF414)+IF(DF421="Y",DF419)+IF(DF426="Y",DF424)+IF(DF431="Y",DF429)+IF(DF436="Y",DF434)+IF(DF441="Y",DF439)+IF(DF446="Y",DF444)+IF(DF451="Y",DF449)</f>
        <v>44.654699999999998</v>
      </c>
      <c r="DG410" s="612">
        <f>+DH410</f>
        <v>44.654699999999998</v>
      </c>
      <c r="DH410" s="1298">
        <f>IF(DH416="Y",DH414)+IF(DH421="Y",DH419)+IF(DH426="Y",DH424)+IF(DH431="Y",DH429)+IF(DH436="Y",DH434)+IF(DH441="Y",DH439)+IF(DH446="Y",DH444)+IF(DH451="Y",DH449)</f>
        <v>44.654699999999998</v>
      </c>
      <c r="DI410" s="612">
        <f>IF(DI416="Y",DI414)+IF(DI421="Y",DI419)+IF(DI426="Y",DI424)+IF(DI431="Y",DI429)+IF(DI436="Y",DI434)+IF(DI441="Y",DI439)+IF(DI446="Y",DI444)+IF(DI451="Y",DI449)</f>
        <v>44.654699999999998</v>
      </c>
      <c r="DJ410" s="612">
        <f>+DK410</f>
        <v>44.654699999999998</v>
      </c>
      <c r="DK410" s="1298">
        <f>IF(DK416="Y",DK414)+IF(DK421="Y",DK419)+IF(DK426="Y",DK424)+IF(DK431="Y",DK429)+IF(DK436="Y",DK434)+IF(DK441="Y",DK439)+IF(DK446="Y",DK444)+IF(DK451="Y",DK449)</f>
        <v>44.654699999999998</v>
      </c>
      <c r="DL410" s="612">
        <f>IF(DL416="Y",DL414)+IF(DL421="Y",DL419)+IF(DL426="Y",DL424)+IF(DL431="Y",DL429)+IF(DL436="Y",DL434)+IF(DL441="Y",DL439)+IF(DL446="Y",DL444)+IF(DL451="Y",DL449)</f>
        <v>44.654699999999998</v>
      </c>
      <c r="DM410" s="612">
        <f>+DN410</f>
        <v>44.654699999999998</v>
      </c>
      <c r="DN410" s="1298">
        <f>IF(DN416="Y",DN414)+IF(DN421="Y",DN419)+IF(DN426="Y",DN424)+IF(DN431="Y",DN429)+IF(DN436="Y",DN434)+IF(DN441="Y",DN439)+IF(DN446="Y",DN444)+IF(DN451="Y",DN449)</f>
        <v>44.654699999999998</v>
      </c>
      <c r="DO410" s="612">
        <f>IF(DO416="Y",DO414)+IF(DO421="Y",DO419)+IF(DO426="Y",DO424)+IF(DO431="Y",DO429)+IF(DO436="Y",DO434)+IF(DO441="Y",DO439)+IF(DO446="Y",DO444)+IF(DO451="Y",DO449)</f>
        <v>44.654699999999998</v>
      </c>
      <c r="DP410" s="612">
        <f>+DQ410</f>
        <v>44.654699999999998</v>
      </c>
      <c r="DQ410" s="1298">
        <f>IF(DQ416="Y",DQ414)+IF(DQ421="Y",DQ419)+IF(DQ426="Y",DQ424)+IF(DQ431="Y",DQ429)+IF(DQ436="Y",DQ434)+IF(DQ441="Y",DQ439)+IF(DQ446="Y",DQ444)+IF(DQ451="Y",DQ449)</f>
        <v>44.654699999999998</v>
      </c>
      <c r="DR410" s="612">
        <f>IF(DR416="Y",DR414)+IF(DR421="Y",DR419)+IF(DR426="Y",DR424)+IF(DR431="Y",DR429)+IF(DR436="Y",DR434)+IF(DR441="Y",DR439)+IF(DR446="Y",DR444)+IF(DR451="Y",DR449)</f>
        <v>44.654699999999998</v>
      </c>
      <c r="DS410" s="612">
        <f>+DT410</f>
        <v>44.654699999999998</v>
      </c>
      <c r="DT410" s="1298">
        <f>IF(DT416="Y",DT414)+IF(DT421="Y",DT419)+IF(DT426="Y",DT424)+IF(DT431="Y",DT429)+IF(DT436="Y",DT434)+IF(DT441="Y",DT439)+IF(DT446="Y",DT444)+IF(DT451="Y",DT449)</f>
        <v>44.654699999999998</v>
      </c>
      <c r="DU410" s="612">
        <f>IF(DU416="Y",DU414)+IF(DU421="Y",DU419)+IF(DU426="Y",DU424)+IF(DU431="Y",DU429)+IF(DU436="Y",DU434)+IF(DU441="Y",DU439)+IF(DU446="Y",DU444)+IF(DU451="Y",DU449)</f>
        <v>44.654699999999998</v>
      </c>
      <c r="DV410" s="612">
        <f>+DW410</f>
        <v>44.654699999999998</v>
      </c>
      <c r="DW410" s="1298">
        <f>IF(DW416="Y",DW414)+IF(DW421="Y",DW419)+IF(DW426="Y",DW424)+IF(DW431="Y",DW429)+IF(DW436="Y",DW434)+IF(DW441="Y",DW439)+IF(DW446="Y",DW444)+IF(DW451="Y",DW449)</f>
        <v>44.654699999999998</v>
      </c>
      <c r="DX410" s="612">
        <f>IF(DX416="Y",DX414)+IF(DX421="Y",DX419)+IF(DX426="Y",DX424)+IF(DX431="Y",DX429)+IF(DX436="Y",DX434)+IF(DX441="Y",DX439)+IF(DX446="Y",DX444)+IF(DX451="Y",DX449)</f>
        <v>44.654699999999998</v>
      </c>
      <c r="DY410" s="612">
        <f>+DZ410</f>
        <v>44.654699999999998</v>
      </c>
      <c r="DZ410" s="1298">
        <f>IF(DZ416="Y",DZ414)+IF(DZ421="Y",DZ419)+IF(DZ426="Y",DZ424)+IF(DZ431="Y",DZ429)+IF(DZ436="Y",DZ434)+IF(DZ441="Y",DZ439)+IF(DZ446="Y",DZ444)+IF(DZ451="Y",DZ449)</f>
        <v>44.654699999999998</v>
      </c>
      <c r="EA410" s="612">
        <f>IF(EA416="Y",EA414)+IF(EA421="Y",EA419)+IF(EA426="Y",EA424)+IF(EA431="Y",EA429)+IF(EA436="Y",EA434)+IF(EA441="Y",EA439)+IF(EA446="Y",EA444)+IF(EA451="Y",EA449)</f>
        <v>44.654699999999998</v>
      </c>
      <c r="EB410" s="612">
        <f>+EC410</f>
        <v>44.654699999999998</v>
      </c>
      <c r="EC410" s="1298">
        <f>IF(EC416="Y",EC414)+IF(EC421="Y",EC419)+IF(EC426="Y",EC424)+IF(EC431="Y",EC429)+IF(EC436="Y",EC434)+IF(EC441="Y",EC439)+IF(EC446="Y",EC444)+IF(EC451="Y",EC449)</f>
        <v>44.654699999999998</v>
      </c>
      <c r="ED410" s="612">
        <f>IF(ED416="Y",ED414)+IF(ED421="Y",ED419)+IF(ED426="Y",ED424)+IF(ED431="Y",ED429)+IF(ED436="Y",ED434)+IF(ED441="Y",ED439)+IF(ED446="Y",ED444)+IF(ED451="Y",ED449)</f>
        <v>44.654699999999998</v>
      </c>
      <c r="EE410" s="612">
        <f>+EF410</f>
        <v>44.654699999999998</v>
      </c>
      <c r="EF410" s="1298">
        <f>IF(EF416="Y",EF414)+IF(EF421="Y",EF419)+IF(EF426="Y",EF424)+IF(EF431="Y",EF429)+IF(EF436="Y",EF434)+IF(EF441="Y",EF439)+IF(EF446="Y",EF444)+IF(EF451="Y",EF449)</f>
        <v>44.654699999999998</v>
      </c>
      <c r="EG410" s="612">
        <f>IF(EG416="Y",EG414)+IF(EG421="Y",EG419)+IF(EG426="Y",EG424)+IF(EG431="Y",EG429)+IF(EG436="Y",EG434)+IF(EG441="Y",EG439)+IF(EG446="Y",EG444)+IF(EG451="Y",EG449)</f>
        <v>44.654699999999998</v>
      </c>
      <c r="EH410" s="612">
        <f>+EI410</f>
        <v>44.654699999999998</v>
      </c>
      <c r="EI410" s="1298">
        <f>IF(EI416="Y",EI414)+IF(EI421="Y",EI419)+IF(EI426="Y",EI424)+IF(EI431="Y",EI429)+IF(EI436="Y",EI434)+IF(EI441="Y",EI439)+IF(EI446="Y",EI444)+IF(EI451="Y",EI449)</f>
        <v>44.654699999999998</v>
      </c>
      <c r="EJ410" s="612">
        <f>IF(EJ416="Y",EJ414)+IF(EJ421="Y",EJ419)+IF(EJ426="Y",EJ424)+IF(EJ431="Y",EJ429)+IF(EJ436="Y",EJ434)+IF(EJ441="Y",EJ439)+IF(EJ446="Y",EJ444)+IF(EJ451="Y",EJ449)</f>
        <v>44.654699999999998</v>
      </c>
      <c r="EK410" s="612">
        <f>+EL410</f>
        <v>44.654699999999998</v>
      </c>
      <c r="EL410" s="1298">
        <f>IF(EL416="Y",EL414)+IF(EL421="Y",EL419)+IF(EL426="Y",EL424)+IF(EL431="Y",EL429)+IF(EL436="Y",EL434)+IF(EL441="Y",EL439)+IF(EL446="Y",EL444)+IF(EL451="Y",EL449)</f>
        <v>44.654699999999998</v>
      </c>
      <c r="EM410" s="612">
        <f>IF(EM416="Y",EM414)+IF(EM421="Y",EM419)+IF(EM426="Y",EM424)+IF(EM431="Y",EM429)+IF(EM436="Y",EM434)+IF(EM441="Y",EM439)+IF(EM446="Y",EM444)+IF(EM451="Y",EM449)</f>
        <v>44.654699999999998</v>
      </c>
      <c r="EN410" s="612">
        <f>+EO410</f>
        <v>44.654699999999998</v>
      </c>
      <c r="EO410" s="1298">
        <f>IF(EO416="Y",EO414)+IF(EO421="Y",EO419)+IF(EO426="Y",EO424)+IF(EO431="Y",EO429)+IF(EO436="Y",EO434)+IF(EO441="Y",EO439)+IF(EO446="Y",EO444)+IF(EO451="Y",EO449)</f>
        <v>44.654699999999998</v>
      </c>
      <c r="EP410" s="612">
        <f>IF(EP416="Y",EP414)+IF(EP421="Y",EP419)+IF(EP426="Y",EP424)+IF(EP431="Y",EP429)+IF(EP436="Y",EP434)+IF(EP441="Y",EP439)+IF(EP446="Y",EP444)+IF(EP451="Y",EP449)</f>
        <v>44.654699999999998</v>
      </c>
      <c r="EQ410" s="612">
        <f>+ER410</f>
        <v>44.654699999999998</v>
      </c>
      <c r="ER410" s="1298">
        <f>IF(ER416="Y",ER414)+IF(ER421="Y",ER419)+IF(ER426="Y",ER424)+IF(ER431="Y",ER429)+IF(ER436="Y",ER434)+IF(ER441="Y",ER439)+IF(ER446="Y",ER444)+IF(ER451="Y",ER449)</f>
        <v>44.654699999999998</v>
      </c>
      <c r="ES410" s="612">
        <f>IF(ES416="Y",ES414)+IF(ES421="Y",ES419)+IF(ES426="Y",ES424)+IF(ES431="Y",ES429)+IF(ES436="Y",ES434)+IF(ES441="Y",ES439)+IF(ES446="Y",ES444)+IF(ES451="Y",ES449)</f>
        <v>44.654699999999998</v>
      </c>
      <c r="ET410" s="612">
        <f>+EU410</f>
        <v>44.654699999999998</v>
      </c>
      <c r="EU410" s="1298">
        <f>IF(EU416="Y",EU414)+IF(EU421="Y",EU419)+IF(EU426="Y",EU424)+IF(EU431="Y",EU429)+IF(EU436="Y",EU434)+IF(EU441="Y",EU439)+IF(EU446="Y",EU444)+IF(EU451="Y",EU449)</f>
        <v>44.654699999999998</v>
      </c>
      <c r="EV410" s="612">
        <f>IF(EV416="Y",EV414)+IF(EV421="Y",EV419)+IF(EV426="Y",EV424)+IF(EV431="Y",EV429)+IF(EV436="Y",EV434)+IF(EV441="Y",EV439)+IF(EV446="Y",EV444)+IF(EV451="Y",EV449)</f>
        <v>44.654699999999998</v>
      </c>
      <c r="EW410" s="612">
        <f>+EX410</f>
        <v>44.654699999999998</v>
      </c>
      <c r="EX410" s="1298">
        <f>IF(EX416="Y",EX414)+IF(EX421="Y",EX419)+IF(EX426="Y",EX424)+IF(EX431="Y",EX429)+IF(EX436="Y",EX434)+IF(EX441="Y",EX439)+IF(EX446="Y",EX444)+IF(EX451="Y",EX449)</f>
        <v>44.654699999999998</v>
      </c>
      <c r="EY410" s="612">
        <f>IF(EY416="Y",EY414)+IF(EY421="Y",EY419)+IF(EY426="Y",EY424)+IF(EY431="Y",EY429)+IF(EY436="Y",EY434)+IF(EY441="Y",EY439)+IF(EY446="Y",EY444)+IF(EY451="Y",EY449)</f>
        <v>44.654699999999998</v>
      </c>
      <c r="EZ410" s="612">
        <f>+FA410</f>
        <v>44.654699999999998</v>
      </c>
      <c r="FA410" s="1298">
        <f>IF(FA416="Y",FA414)+IF(FA421="Y",FA419)+IF(FA426="Y",FA424)+IF(FA431="Y",FA429)+IF(FA436="Y",FA434)+IF(FA441="Y",FA439)+IF(FA446="Y",FA444)+IF(FA451="Y",FA449)</f>
        <v>44.654699999999998</v>
      </c>
      <c r="FE410"/>
      <c r="FF410"/>
      <c r="FG410"/>
      <c r="FH410"/>
      <c r="FI410"/>
      <c r="FJ410"/>
      <c r="FK410" s="35"/>
    </row>
    <row r="411" spans="2:167" s="235" customFormat="1" ht="13.35" customHeight="1">
      <c r="B411" s="401" t="s">
        <v>886</v>
      </c>
      <c r="C411" s="593"/>
      <c r="D411" s="594"/>
      <c r="E411" s="777">
        <f>IF(E416="Y",E415)+IF(E421="Y",E420)+IF(E426="Y",E425)+IF(E431="Y",E430)+IF(E436="Y",E435)+IF(E441="Y",E440)+IF(E446="Y",E445)+IF(E451="Y",E450)</f>
        <v>0</v>
      </c>
      <c r="F411" s="777">
        <f>+G411-E411</f>
        <v>0</v>
      </c>
      <c r="G411" s="777">
        <f>IF(G416="Y",G415)+IF(G421="Y",G420)+IF(G426="Y",G425)+IF(G431="Y",G430)+IF(G436="Y",G435)+IF(G441="Y",G440)+IF(G446="Y",G445)+IF(G451="Y",G450)</f>
        <v>0</v>
      </c>
      <c r="H411" s="777">
        <f>IF(H416="Y",H415)+IF(H421="Y",H420)+IF(H426="Y",H425)+IF(H431="Y",H430)+IF(H436="Y",H435)+IF(H441="Y",H440)+IF(H446="Y",H445)+IF(H451="Y",H450)</f>
        <v>0</v>
      </c>
      <c r="I411" s="777">
        <f>+J411-H411</f>
        <v>0</v>
      </c>
      <c r="J411" s="777">
        <f>IF(J416="Y",J415)+IF(J421="Y",J420)+IF(J426="Y",J425)+IF(J431="Y",J430)+IF(J436="Y",J435)+IF(J441="Y",J440)+IF(J446="Y",J445)+IF(J451="Y",J450)</f>
        <v>0</v>
      </c>
      <c r="K411" s="777">
        <f>IF(K416="Y",K415)+IF(K421="Y",K420)+IF(K426="Y",K425)+IF(K431="Y",K430)+IF(K436="Y",K435)+IF(K441="Y",K440)+IF(K446="Y",K445)+IF(K451="Y",K450)</f>
        <v>0</v>
      </c>
      <c r="L411" s="777">
        <f>+M411-K411</f>
        <v>0</v>
      </c>
      <c r="M411" s="777">
        <f>IF(M416="Y",M415)+IF(M421="Y",M420)+IF(M426="Y",M425)+IF(M431="Y",M430)+IF(M436="Y",M435)+IF(M441="Y",M440)+IF(M446="Y",M445)+IF(M451="Y",M450)</f>
        <v>0</v>
      </c>
      <c r="N411" s="777">
        <f>IF(N416="Y",N415)+IF(N421="Y",N420)+IF(N426="Y",N425)+IF(N431="Y",N430)+IF(N436="Y",N435)+IF(N441="Y",N440)+IF(N446="Y",N445)+IF(N451="Y",N450)</f>
        <v>0</v>
      </c>
      <c r="O411" s="777">
        <f>+P411-N411</f>
        <v>0</v>
      </c>
      <c r="P411" s="777">
        <f>IF(P416="Y",P415)+IF(P421="Y",P420)+IF(P426="Y",P425)+IF(P431="Y",P430)+IF(P436="Y",P435)+IF(P441="Y",P440)+IF(P446="Y",P445)+IF(P451="Y",P450)</f>
        <v>0</v>
      </c>
      <c r="Q411" s="777">
        <f>IF(Q416="Y",Q415)+IF(Q421="Y",Q420)+IF(Q426="Y",Q425)+IF(Q431="Y",Q430)+IF(Q436="Y",Q435)+IF(Q441="Y",Q440)+IF(Q446="Y",Q445)+IF(Q451="Y",Q450)</f>
        <v>0</v>
      </c>
      <c r="R411" s="777">
        <f>+S411-Q411</f>
        <v>0</v>
      </c>
      <c r="S411" s="777">
        <f>IF(S416="Y",S415)+IF(S421="Y",S420)+IF(S426="Y",S425)+IF(S431="Y",S430)+IF(S436="Y",S435)+IF(S441="Y",S440)+IF(S446="Y",S445)+IF(S451="Y",S450)</f>
        <v>0</v>
      </c>
      <c r="T411" s="777">
        <f>IF(T416="Y",T415)+IF(T421="Y",T420)+IF(T426="Y",T425)+IF(T431="Y",T430)+IF(T436="Y",T435)+IF(T441="Y",T440)+IF(T446="Y",T445)+IF(T451="Y",T450)</f>
        <v>0</v>
      </c>
      <c r="U411" s="777">
        <f>+V411-T411</f>
        <v>0</v>
      </c>
      <c r="V411" s="777">
        <f>IF(V416="Y",V415)+IF(V421="Y",V420)+IF(V426="Y",V425)+IF(V431="Y",V430)+IF(V436="Y",V435)+IF(V441="Y",V440)+IF(V446="Y",V445)+IF(V451="Y",V450)</f>
        <v>0</v>
      </c>
      <c r="W411" s="777">
        <f>IF(W416="Y",W415)+IF(W421="Y",W420)+IF(W426="Y",W425)+IF(W431="Y",W430)+IF(W436="Y",W435)+IF(W441="Y",W440)+IF(W446="Y",W445)+IF(W451="Y",W450)</f>
        <v>0</v>
      </c>
      <c r="X411" s="777">
        <f>+Y411-W411</f>
        <v>0</v>
      </c>
      <c r="Y411" s="777">
        <f>IF(Y416="Y",Y415)+IF(Y421="Y",Y420)+IF(Y426="Y",Y425)+IF(Y431="Y",Y430)+IF(Y436="Y",Y435)+IF(Y441="Y",Y440)+IF(Y446="Y",Y445)+IF(Y451="Y",Y450)</f>
        <v>0</v>
      </c>
      <c r="Z411" s="777">
        <f>IF(Z416="Y",Z415)+IF(Z421="Y",Z420)+IF(Z426="Y",Z425)+IF(Z431="Y",Z430)+IF(Z436="Y",Z435)+IF(Z441="Y",Z440)+IF(Z446="Y",Z445)+IF(Z451="Y",Z450)</f>
        <v>0</v>
      </c>
      <c r="AA411" s="777">
        <f>+AB411-Z411</f>
        <v>0</v>
      </c>
      <c r="AB411" s="777">
        <f>IF(AB416="Y",AB415)+IF(AB421="Y",AB420)+IF(AB426="Y",AB425)+IF(AB431="Y",AB430)+IF(AB436="Y",AB435)+IF(AB441="Y",AB440)+IF(AB446="Y",AB445)+IF(AB451="Y",AB450)</f>
        <v>0</v>
      </c>
      <c r="AC411" s="777">
        <f>IF(AC416="Y",AC415)+IF(AC421="Y",AC420)+IF(AC426="Y",AC425)+IF(AC431="Y",AC430)+IF(AC436="Y",AC435)+IF(AC441="Y",AC440)+IF(AC446="Y",AC445)+IF(AC451="Y",AC450)</f>
        <v>0</v>
      </c>
      <c r="AD411" s="777">
        <f>+AE411-AC411</f>
        <v>0</v>
      </c>
      <c r="AE411" s="777">
        <f>IF(AE416="Y",AE415)+IF(AE421="Y",AE420)+IF(AE426="Y",AE425)+IF(AE431="Y",AE430)+IF(AE436="Y",AE435)+IF(AE441="Y",AE440)+IF(AE446="Y",AE445)+IF(AE451="Y",AE450)</f>
        <v>0</v>
      </c>
      <c r="AF411" s="777">
        <f>IF(AF416="Y",AF415)+IF(AF421="Y",AF420)+IF(AF426="Y",AF425)+IF(AF431="Y",AF430)+IF(AF436="Y",AF435)+IF(AF441="Y",AF440)+IF(AF446="Y",AF445)+IF(AF451="Y",AF450)</f>
        <v>0</v>
      </c>
      <c r="AG411" s="777">
        <f>+AH411-AF411</f>
        <v>0</v>
      </c>
      <c r="AH411" s="777">
        <f>IF(AH416="Y",AH415)+IF(AH421="Y",AH420)+IF(AH426="Y",AH425)+IF(AH431="Y",AH430)+IF(AH436="Y",AH435)+IF(AH441="Y",AH440)+IF(AH446="Y",AH445)+IF(AH451="Y",AH450)</f>
        <v>0</v>
      </c>
      <c r="AI411" s="777">
        <f>IF(AI416="Y",AI415)+IF(AI421="Y",AI420)+IF(AI426="Y",AI425)+IF(AI431="Y",AI430)+IF(AI436="Y",AI435)+IF(AI441="Y",AI440)+IF(AI446="Y",AI445)+IF(AI451="Y",AI450)</f>
        <v>0</v>
      </c>
      <c r="AJ411" s="777">
        <f>+AK411-AI411</f>
        <v>0</v>
      </c>
      <c r="AK411" s="777">
        <f>IF(AK416="Y",AK415)+IF(AK421="Y",AK420)+IF(AK426="Y",AK425)+IF(AK431="Y",AK430)+IF(AK436="Y",AK435)+IF(AK441="Y",AK440)+IF(AK446="Y",AK445)+IF(AK451="Y",AK450)</f>
        <v>0</v>
      </c>
      <c r="AL411" s="777">
        <f>IF(AL416="Y",AL415)+IF(AL421="Y",AL420)+IF(AL426="Y",AL425)+IF(AL431="Y",AL430)+IF(AL436="Y",AL435)+IF(AL441="Y",AL440)+IF(AL446="Y",AL445)+IF(AL451="Y",AL450)</f>
        <v>9.240575999999999E-2</v>
      </c>
      <c r="AM411" s="777">
        <f>+AN411-AL411</f>
        <v>9.240575999999999E-2</v>
      </c>
      <c r="AN411" s="777">
        <f>IF(AN416="Y",AN415)+IF(AN421="Y",AN420)+IF(AN426="Y",AN425)+IF(AN431="Y",AN430)+IF(AN436="Y",AN435)+IF(AN441="Y",AN440)+IF(AN446="Y",AN445)+IF(AN451="Y",AN450)</f>
        <v>0.18481151999999998</v>
      </c>
      <c r="AO411" s="777">
        <f>IF(AO416="Y",AO415)+IF(AO421="Y",AO420)+IF(AO426="Y",AO425)+IF(AO431="Y",AO430)+IF(AO436="Y",AO435)+IF(AO441="Y",AO440)+IF(AO446="Y",AO445)+IF(AO451="Y",AO450)</f>
        <v>9.240575999999999E-2</v>
      </c>
      <c r="AP411" s="777">
        <f>+AQ411-AO411</f>
        <v>1.1620469508196729E-2</v>
      </c>
      <c r="AQ411" s="777">
        <f>IF(AQ416="Y",AQ415)+IF(AQ421="Y",AQ420)+IF(AQ426="Y",AQ425)+IF(AQ431="Y",AQ430)+IF(AQ436="Y",AQ435)+IF(AQ441="Y",AQ440)+IF(AQ446="Y",AQ445)+IF(AQ451="Y",AQ450)</f>
        <v>0.10402622950819672</v>
      </c>
      <c r="AR411" s="777">
        <f>IF(AR416="Y",AR415)+IF(AR421="Y",AR420)+IF(AR426="Y",AR425)+IF(AR431="Y",AR430)+IF(AR436="Y",AR435)+IF(AR441="Y",AR440)+IF(AR446="Y",AR445)+IF(AR451="Y",AR450)</f>
        <v>0.10787519999999999</v>
      </c>
      <c r="AS411" s="777">
        <f>+AT411-AR411</f>
        <v>0.10590912000000001</v>
      </c>
      <c r="AT411" s="777">
        <f>IF(AT416="Y",AT415)+IF(AT421="Y",AT420)+IF(AT426="Y",AT425)+IF(AT431="Y",AT430)+IF(AT436="Y",AT435)+IF(AT441="Y",AT440)+IF(AT446="Y",AT445)+IF(AT451="Y",AT450)</f>
        <v>0.21378432</v>
      </c>
      <c r="AU411" s="777">
        <f>IF(AU416="Y",AU415)+IF(AU421="Y",AU420)+IF(AU426="Y",AU425)+IF(AU431="Y",AU430)+IF(AU436="Y",AU435)+IF(AU441="Y",AU440)+IF(AU446="Y",AU445)+IF(AU451="Y",AU450)</f>
        <v>6.1920320000000008E-2</v>
      </c>
      <c r="AV411" s="777">
        <f>+AW411-AU411</f>
        <v>0.19489503999999999</v>
      </c>
      <c r="AW411" s="777">
        <f>IF(AW416="Y",AW415)+IF(AW421="Y",AW420)+IF(AW426="Y",AW425)+IF(AW431="Y",AW430)+IF(AW436="Y",AW435)+IF(AW441="Y",AW440)+IF(AW446="Y",AW445)+IF(AW451="Y",AW450)</f>
        <v>0.25681535999999999</v>
      </c>
      <c r="AX411" s="777">
        <f>IF(AX416="Y",AX415)+IF(AX421="Y",AX420)+IF(AX426="Y",AX425)+IF(AX431="Y",AX430)+IF(AX436="Y",AX435)+IF(AX441="Y",AX440)+IF(AX446="Y",AX445)+IF(AX451="Y",AX450)</f>
        <v>0.24185783999999999</v>
      </c>
      <c r="AY411" s="777">
        <f>+AZ411-AX411</f>
        <v>4.8371567999999976E-2</v>
      </c>
      <c r="AZ411" s="777">
        <f>IF(AZ416="Y",AZ415)+IF(AZ421="Y",AZ420)+IF(AZ426="Y",AZ425)+IF(AZ431="Y",AZ430)+IF(AZ436="Y",AZ435)+IF(AZ441="Y",AZ440)+IF(AZ446="Y",AZ445)+IF(AZ451="Y",AZ450)</f>
        <v>0.29022940799999997</v>
      </c>
      <c r="BA411" s="777">
        <f>IF(BA416="Y",BA415)+IF(BA421="Y",BA420)+IF(BA426="Y",BA425)+IF(BA431="Y",BA430)+IF(BA436="Y",BA435)+IF(BA441="Y",BA440)+IF(BA446="Y",BA445)+IF(BA451="Y",BA450)</f>
        <v>0.74867904000000018</v>
      </c>
      <c r="BB411" s="777">
        <f>+BC411-BA411</f>
        <v>0.96606143999999949</v>
      </c>
      <c r="BC411" s="777">
        <f>IF(BC416="Y",BC415)+IF(BC421="Y",BC420)+IF(BC426="Y",BC425)+IF(BC431="Y",BC430)+IF(BC436="Y",BC435)+IF(BC441="Y",BC440)+IF(BC446="Y",BC445)+IF(BC451="Y",BC450)</f>
        <v>1.7147404799999997</v>
      </c>
      <c r="BD411" s="777">
        <f>IF(BD416="Y",BD415)+IF(BD421="Y",BD420)+IF(BD426="Y",BD425)+IF(BD431="Y",BD430)+IF(BD436="Y",BD435)+IF(BD441="Y",BD440)+IF(BD446="Y",BD445)+IF(BD451="Y",BD450)</f>
        <v>0.93774869999999988</v>
      </c>
      <c r="BE411" s="777">
        <f>+BF411-BD411</f>
        <v>0.93774869999999988</v>
      </c>
      <c r="BF411" s="777">
        <f>IF(BF416="Y",BF415)+IF(BF421="Y",BF420)+IF(BF426="Y",BF425)+IF(BF431="Y",BF430)+IF(BF436="Y",BF435)+IF(BF441="Y",BF440)+IF(BF446="Y",BF445)+IF(BF451="Y",BF450)</f>
        <v>1.8754973999999998</v>
      </c>
      <c r="BG411" s="777">
        <f>IF(BG416="Y",BG415)+IF(BG421="Y",BG420)+IF(BG426="Y",BG425)+IF(BG431="Y",BG430)+IF(BG436="Y",BG435)+IF(BG441="Y",BG440)+IF(BG446="Y",BG445)+IF(BG451="Y",BG450)</f>
        <v>0.93774869999999988</v>
      </c>
      <c r="BH411" s="777">
        <f>+BI411-BG411</f>
        <v>0.93774869999999988</v>
      </c>
      <c r="BI411" s="777">
        <f>IF(BI416="Y",BI415)+IF(BI421="Y",BI420)+IF(BI426="Y",BI425)+IF(BI431="Y",BI430)+IF(BI436="Y",BI435)+IF(BI441="Y",BI440)+IF(BI446="Y",BI445)+IF(BI451="Y",BI450)</f>
        <v>1.8754973999999998</v>
      </c>
      <c r="BJ411" s="777">
        <f>IF(BJ416="Y",BJ415)+IF(BJ421="Y",BJ420)+IF(BJ426="Y",BJ425)+IF(BJ431="Y",BJ430)+IF(BJ436="Y",BJ435)+IF(BJ441="Y",BJ440)+IF(BJ446="Y",BJ445)+IF(BJ451="Y",BJ450)</f>
        <v>0</v>
      </c>
      <c r="BK411" s="777">
        <f>+BL411-BJ411</f>
        <v>0</v>
      </c>
      <c r="BL411" s="777">
        <f>IF(BL416="Y",BL415)+IF(BL421="Y",BL420)+IF(BL426="Y",BL425)+IF(BL431="Y",BL430)+IF(BL436="Y",BL435)+IF(BL441="Y",BL440)+IF(BL446="Y",BL445)+IF(BL451="Y",BL450)</f>
        <v>0</v>
      </c>
      <c r="BM411" s="777">
        <f>IF(BM416="Y",BM415)+IF(BM421="Y",BM420)+IF(BM426="Y",BM425)+IF(BM431="Y",BM430)+IF(BM436="Y",BM435)+IF(BM441="Y",BM440)+IF(BM446="Y",BM445)+IF(BM451="Y",BM450)</f>
        <v>0</v>
      </c>
      <c r="BN411" s="777">
        <f>+BO411-BM411</f>
        <v>0</v>
      </c>
      <c r="BO411" s="777">
        <f>IF(BO416="Y",BO415)+IF(BO421="Y",BO420)+IF(BO426="Y",BO425)+IF(BO431="Y",BO430)+IF(BO436="Y",BO435)+IF(BO441="Y",BO440)+IF(BO446="Y",BO445)+IF(BO451="Y",BO450)</f>
        <v>0</v>
      </c>
      <c r="BP411" s="777">
        <f>IF(BP416="Y",BP415)+IF(BP421="Y",BP420)+IF(BP426="Y",BP425)+IF(BP431="Y",BP430)+IF(BP436="Y",BP435)+IF(BP441="Y",BP440)+IF(BP446="Y",BP445)+IF(BP451="Y",BP450)</f>
        <v>0</v>
      </c>
      <c r="BQ411" s="777">
        <f>+BR411-BP411</f>
        <v>0</v>
      </c>
      <c r="BR411" s="777">
        <f>IF(BR416="Y",BR415)+IF(BR421="Y",BR420)+IF(BR426="Y",BR425)+IF(BR431="Y",BR430)+IF(BR436="Y",BR435)+IF(BR441="Y",BR440)+IF(BR446="Y",BR445)+IF(BR451="Y",BR450)</f>
        <v>0</v>
      </c>
      <c r="BS411" s="777">
        <f>IF(BS416="Y",BS415)+IF(BS421="Y",BS420)+IF(BS426="Y",BS425)+IF(BS431="Y",BS430)+IF(BS436="Y",BS435)+IF(BS441="Y",BS440)+IF(BS446="Y",BS445)+IF(BS451="Y",BS450)</f>
        <v>0</v>
      </c>
      <c r="BT411" s="777">
        <f>+BU411-BS411</f>
        <v>0</v>
      </c>
      <c r="BU411" s="777">
        <f>IF(BU416="Y",BU415)+IF(BU421="Y",BU420)+IF(BU426="Y",BU425)+IF(BU431="Y",BU430)+IF(BU436="Y",BU435)+IF(BU441="Y",BU440)+IF(BU446="Y",BU445)+IF(BU451="Y",BU450)</f>
        <v>0</v>
      </c>
      <c r="BV411" s="777">
        <f>IF(BV416="Y",BV415)+IF(BV421="Y",BV420)+IF(BV426="Y",BV425)+IF(BV431="Y",BV430)+IF(BV436="Y",BV435)+IF(BV441="Y",BV440)+IF(BV446="Y",BV445)+IF(BV451="Y",BV450)</f>
        <v>0</v>
      </c>
      <c r="BW411" s="777">
        <f>+BX411-BV411</f>
        <v>0</v>
      </c>
      <c r="BX411" s="777">
        <f>IF(BX416="Y",BX415)+IF(BX421="Y",BX420)+IF(BX426="Y",BX425)+IF(BX431="Y",BX430)+IF(BX436="Y",BX435)+IF(BX441="Y",BX440)+IF(BX446="Y",BX445)+IF(BX451="Y",BX450)</f>
        <v>0</v>
      </c>
      <c r="BY411" s="777">
        <f>IF(BY416="Y",BY415)+IF(BY421="Y",BY420)+IF(BY426="Y",BY425)+IF(BY431="Y",BY430)+IF(BY436="Y",BY435)+IF(BY441="Y",BY440)+IF(BY446="Y",BY445)+IF(BY451="Y",BY450)</f>
        <v>0</v>
      </c>
      <c r="BZ411" s="777">
        <f>+CA411-BY411</f>
        <v>0</v>
      </c>
      <c r="CA411" s="777">
        <f>IF(CA416="Y",CA415)+IF(CA421="Y",CA420)+IF(CA426="Y",CA425)+IF(CA431="Y",CA430)+IF(CA436="Y",CA435)+IF(CA441="Y",CA440)+IF(CA446="Y",CA445)+IF(CA451="Y",CA450)</f>
        <v>0</v>
      </c>
      <c r="CB411" s="777">
        <f>IF(CB416="Y",CB415)+IF(CB421="Y",CB420)+IF(CB426="Y",CB425)+IF(CB431="Y",CB430)+IF(CB436="Y",CB435)+IF(CB441="Y",CB440)+IF(CB446="Y",CB445)+IF(CB451="Y",CB450)</f>
        <v>0</v>
      </c>
      <c r="CC411" s="777">
        <f>+CD411-CB411</f>
        <v>0</v>
      </c>
      <c r="CD411" s="778">
        <f>IF(CD416="Y",CD415)+IF(CD421="Y",CD420)+IF(CD426="Y",CD425)+IF(CD431="Y",CD430)+IF(CD436="Y",CD435)+IF(CD441="Y",CD440)+IF(CD446="Y",CD445)+IF(CD451="Y",CD450)</f>
        <v>0</v>
      </c>
      <c r="CE411" s="778">
        <f>IF(CE416="Y",CE415)+IF(CE421="Y",CE420)+IF(CE426="Y",CE425)+IF(CE431="Y",CE430)+IF(CE436="Y",CE435)+IF(CE441="Y",CE440)+IF(CE446="Y",CE445)+IF(CE451="Y",CE450)</f>
        <v>0</v>
      </c>
      <c r="CF411" s="778">
        <f>+CG411-CE411</f>
        <v>0</v>
      </c>
      <c r="CG411" s="778">
        <f>IF(CG416="Y",CG415)+IF(CG421="Y",CG420)+IF(CG426="Y",CG425)+IF(CG431="Y",CG430)+IF(CG436="Y",CG435)+IF(CG441="Y",CG440)+IF(CG446="Y",CG445)+IF(CG451="Y",CG450)</f>
        <v>0</v>
      </c>
      <c r="CH411" s="778">
        <f>IF(CH416="Y",CH415)+IF(CH421="Y",CH420)+IF(CH426="Y",CH425)+IF(CH431="Y",CH430)+IF(CH436="Y",CH435)+IF(CH441="Y",CH440)+IF(CH446="Y",CH445)+IF(CH451="Y",CH450)</f>
        <v>0</v>
      </c>
      <c r="CI411" s="778">
        <f>+CJ411-CH411</f>
        <v>0</v>
      </c>
      <c r="CJ411" s="778">
        <f>IF(CJ416="Y",CJ415)+IF(CJ421="Y",CJ420)+IF(CJ426="Y",CJ425)+IF(CJ431="Y",CJ430)+IF(CJ436="Y",CJ435)+IF(CJ441="Y",CJ440)+IF(CJ446="Y",CJ445)+IF(CJ451="Y",CJ450)</f>
        <v>0</v>
      </c>
      <c r="CK411" s="778">
        <f>IF(CK416="Y",CK415)+IF(CK421="Y",CK420)+IF(CK426="Y",CK425)+IF(CK431="Y",CK430)+IF(CK436="Y",CK435)+IF(CK441="Y",CK440)+IF(CK446="Y",CK445)+IF(CK451="Y",CK450)</f>
        <v>0</v>
      </c>
      <c r="CL411" s="778">
        <f>+CM411-CK411</f>
        <v>0</v>
      </c>
      <c r="CM411" s="778">
        <f>IF(CM416="Y",CM415)+IF(CM421="Y",CM420)+IF(CM426="Y",CM425)+IF(CM431="Y",CM430)+IF(CM436="Y",CM435)+IF(CM441="Y",CM440)+IF(CM446="Y",CM445)+IF(CM451="Y",CM450)</f>
        <v>0</v>
      </c>
      <c r="CN411" s="778">
        <f>IF(CN416="Y",CN415)+IF(CN421="Y",CN420)+IF(CN426="Y",CN425)+IF(CN431="Y",CN430)+IF(CN436="Y",CN435)+IF(CN441="Y",CN440)+IF(CN446="Y",CN445)+IF(CN451="Y",CN450)</f>
        <v>0</v>
      </c>
      <c r="CO411" s="778">
        <f>+CP411-CN411</f>
        <v>0</v>
      </c>
      <c r="CP411" s="778">
        <f>IF(CP416="Y",CP415)+IF(CP421="Y",CP420)+IF(CP426="Y",CP425)+IF(CP431="Y",CP430)+IF(CP436="Y",CP435)+IF(CP441="Y",CP440)+IF(CP446="Y",CP445)+IF(CP451="Y",CP450)</f>
        <v>0</v>
      </c>
      <c r="CQ411" s="778">
        <f>IF(CQ416="Y",CQ415)+IF(CQ421="Y",CQ420)+IF(CQ426="Y",CQ425)+IF(CQ431="Y",CQ430)+IF(CQ436="Y",CQ435)+IF(CQ441="Y",CQ440)+IF(CQ446="Y",CQ445)+IF(CQ451="Y",CQ450)</f>
        <v>0</v>
      </c>
      <c r="CR411" s="778">
        <f>+CS411-CQ411</f>
        <v>0</v>
      </c>
      <c r="CS411" s="778">
        <f>IF(CS416="Y",CS415)+IF(CS421="Y",CS420)+IF(CS426="Y",CS425)+IF(CS431="Y",CS430)+IF(CS436="Y",CS435)+IF(CS441="Y",CS440)+IF(CS446="Y",CS445)+IF(CS451="Y",CS450)</f>
        <v>0</v>
      </c>
      <c r="CT411" s="778">
        <f>IF(CT416="Y",CT415)+IF(CT421="Y",CT420)+IF(CT426="Y",CT425)+IF(CT431="Y",CT430)+IF(CT436="Y",CT435)+IF(CT441="Y",CT440)+IF(CT446="Y",CT445)+IF(CT451="Y",CT450)</f>
        <v>0</v>
      </c>
      <c r="CU411" s="778">
        <f>+CV411-CT411</f>
        <v>0</v>
      </c>
      <c r="CV411" s="778">
        <f>IF(CV416="Y",CV415)+IF(CV421="Y",CV420)+IF(CV426="Y",CV425)+IF(CV431="Y",CV430)+IF(CV436="Y",CV435)+IF(CV441="Y",CV440)+IF(CV446="Y",CV445)+IF(CV451="Y",CV450)</f>
        <v>0</v>
      </c>
      <c r="CW411" s="778">
        <f>IF(CW416="Y",CW415)+IF(CW421="Y",CW420)+IF(CW426="Y",CW425)+IF(CW431="Y",CW430)+IF(CW436="Y",CW435)+IF(CW441="Y",CW440)+IF(CW446="Y",CW445)+IF(CW451="Y",CW450)</f>
        <v>0</v>
      </c>
      <c r="CX411" s="778">
        <f>+CY411-CW411</f>
        <v>0</v>
      </c>
      <c r="CY411" s="778">
        <f>IF(CY416="Y",CY415)+IF(CY421="Y",CY420)+IF(CY426="Y",CY425)+IF(CY431="Y",CY430)+IF(CY436="Y",CY435)+IF(CY441="Y",CY440)+IF(CY446="Y",CY445)+IF(CY451="Y",CY450)</f>
        <v>0</v>
      </c>
      <c r="CZ411" s="778">
        <f>IF(CZ416="Y",CZ415)+IF(CZ421="Y",CZ420)+IF(CZ426="Y",CZ425)+IF(CZ431="Y",CZ430)+IF(CZ436="Y",CZ435)+IF(CZ441="Y",CZ440)+IF(CZ446="Y",CZ445)+IF(CZ451="Y",CZ450)</f>
        <v>0</v>
      </c>
      <c r="DA411" s="778">
        <f>+DB411-CZ411</f>
        <v>0</v>
      </c>
      <c r="DB411" s="778">
        <f>IF(DB416="Y",DB415)+IF(DB421="Y",DB420)+IF(DB426="Y",DB425)+IF(DB431="Y",DB430)+IF(DB436="Y",DB435)+IF(DB441="Y",DB440)+IF(DB446="Y",DB445)+IF(DB451="Y",DB450)</f>
        <v>0</v>
      </c>
      <c r="DC411" s="778">
        <f>IF(DC416="Y",DC415)+IF(DC421="Y",DC420)+IF(DC426="Y",DC425)+IF(DC431="Y",DC430)+IF(DC436="Y",DC435)+IF(DC441="Y",DC440)+IF(DC446="Y",DC445)+IF(DC451="Y",DC450)</f>
        <v>0</v>
      </c>
      <c r="DD411" s="778">
        <f>+DE411-DC411</f>
        <v>0</v>
      </c>
      <c r="DE411" s="778">
        <f>IF(DE416="Y",DE415)+IF(DE421="Y",DE420)+IF(DE426="Y",DE425)+IF(DE431="Y",DE430)+IF(DE436="Y",DE435)+IF(DE441="Y",DE440)+IF(DE446="Y",DE445)+IF(DE451="Y",DE450)</f>
        <v>0</v>
      </c>
      <c r="DF411" s="778">
        <f>IF(DF416="Y",DF415)+IF(DF421="Y",DF420)+IF(DF426="Y",DF425)+IF(DF431="Y",DF430)+IF(DF436="Y",DF435)+IF(DF441="Y",DF440)+IF(DF446="Y",DF445)+IF(DF451="Y",DF450)</f>
        <v>0</v>
      </c>
      <c r="DG411" s="778">
        <f>+DH411-DF411</f>
        <v>0</v>
      </c>
      <c r="DH411" s="1315">
        <f>IF(DH416="Y",DH415)+IF(DH421="Y",DH420)+IF(DH426="Y",DH425)+IF(DH431="Y",DH430)+IF(DH436="Y",DH435)+IF(DH441="Y",DH440)+IF(DH446="Y",DH445)+IF(DH451="Y",DH450)</f>
        <v>0</v>
      </c>
      <c r="DI411" s="778">
        <f>IF(DI416="Y",DI415)+IF(DI421="Y",DI420)+IF(DI426="Y",DI425)+IF(DI431="Y",DI430)+IF(DI436="Y",DI435)+IF(DI441="Y",DI440)+IF(DI446="Y",DI445)+IF(DI451="Y",DI450)</f>
        <v>0</v>
      </c>
      <c r="DJ411" s="778">
        <f>+DK411-DI411</f>
        <v>0</v>
      </c>
      <c r="DK411" s="1315">
        <f>IF(DK416="Y",DK415)+IF(DK421="Y",DK420)+IF(DK426="Y",DK425)+IF(DK431="Y",DK430)+IF(DK436="Y",DK435)+IF(DK441="Y",DK440)+IF(DK446="Y",DK445)+IF(DK451="Y",DK450)</f>
        <v>0</v>
      </c>
      <c r="DL411" s="778">
        <f>IF(DL416="Y",DL415)+IF(DL421="Y",DL420)+IF(DL426="Y",DL425)+IF(DL431="Y",DL430)+IF(DL436="Y",DL435)+IF(DL441="Y",DL440)+IF(DL446="Y",DL445)+IF(DL451="Y",DL450)</f>
        <v>0</v>
      </c>
      <c r="DM411" s="778">
        <f>+DN411-DL411</f>
        <v>0</v>
      </c>
      <c r="DN411" s="1315">
        <f>IF(DN416="Y",DN415)+IF(DN421="Y",DN420)+IF(DN426="Y",DN425)+IF(DN431="Y",DN430)+IF(DN436="Y",DN435)+IF(DN441="Y",DN440)+IF(DN446="Y",DN445)+IF(DN451="Y",DN450)</f>
        <v>0</v>
      </c>
      <c r="DO411" s="778">
        <f>IF(DO416="Y",DO415)+IF(DO421="Y",DO420)+IF(DO426="Y",DO425)+IF(DO431="Y",DO430)+IF(DO436="Y",DO435)+IF(DO441="Y",DO440)+IF(DO446="Y",DO445)+IF(DO451="Y",DO450)</f>
        <v>0</v>
      </c>
      <c r="DP411" s="778">
        <f>+DQ411-DO411</f>
        <v>0</v>
      </c>
      <c r="DQ411" s="1315">
        <f>IF(DQ416="Y",DQ415)+IF(DQ421="Y",DQ420)+IF(DQ426="Y",DQ425)+IF(DQ431="Y",DQ430)+IF(DQ436="Y",DQ435)+IF(DQ441="Y",DQ440)+IF(DQ446="Y",DQ445)+IF(DQ451="Y",DQ450)</f>
        <v>0</v>
      </c>
      <c r="DR411" s="778">
        <f>IF(DR416="Y",DR415)+IF(DR421="Y",DR420)+IF(DR426="Y",DR425)+IF(DR431="Y",DR430)+IF(DR436="Y",DR435)+IF(DR441="Y",DR440)+IF(DR446="Y",DR445)+IF(DR451="Y",DR450)</f>
        <v>0</v>
      </c>
      <c r="DS411" s="778">
        <f>+DT411-DR411</f>
        <v>0</v>
      </c>
      <c r="DT411" s="1315">
        <f>IF(DT416="Y",DT415)+IF(DT421="Y",DT420)+IF(DT426="Y",DT425)+IF(DT431="Y",DT430)+IF(DT436="Y",DT435)+IF(DT441="Y",DT440)+IF(DT446="Y",DT445)+IF(DT451="Y",DT450)</f>
        <v>0</v>
      </c>
      <c r="DU411" s="778">
        <f>IF(DU416="Y",DU415)+IF(DU421="Y",DU420)+IF(DU426="Y",DU425)+IF(DU431="Y",DU430)+IF(DU436="Y",DU435)+IF(DU441="Y",DU440)+IF(DU446="Y",DU445)+IF(DU451="Y",DU450)</f>
        <v>0</v>
      </c>
      <c r="DV411" s="778">
        <f>+DW411-DU411</f>
        <v>0</v>
      </c>
      <c r="DW411" s="1315">
        <f>IF(DW416="Y",DW415)+IF(DW421="Y",DW420)+IF(DW426="Y",DW425)+IF(DW431="Y",DW430)+IF(DW436="Y",DW435)+IF(DW441="Y",DW440)+IF(DW446="Y",DW445)+IF(DW451="Y",DW450)</f>
        <v>0</v>
      </c>
      <c r="DX411" s="778">
        <f>IF(DX416="Y",DX415)+IF(DX421="Y",DX420)+IF(DX426="Y",DX425)+IF(DX431="Y",DX430)+IF(DX436="Y",DX435)+IF(DX441="Y",DX440)+IF(DX446="Y",DX445)+IF(DX451="Y",DX450)</f>
        <v>0</v>
      </c>
      <c r="DY411" s="778">
        <f>+DZ411-DX411</f>
        <v>0</v>
      </c>
      <c r="DZ411" s="1315">
        <f>IF(DZ416="Y",DZ415)+IF(DZ421="Y",DZ420)+IF(DZ426="Y",DZ425)+IF(DZ431="Y",DZ430)+IF(DZ436="Y",DZ435)+IF(DZ441="Y",DZ440)+IF(DZ446="Y",DZ445)+IF(DZ451="Y",DZ450)</f>
        <v>0</v>
      </c>
      <c r="EA411" s="778">
        <f>IF(EA416="Y",EA415)+IF(EA421="Y",EA420)+IF(EA426="Y",EA425)+IF(EA431="Y",EA430)+IF(EA436="Y",EA435)+IF(EA441="Y",EA440)+IF(EA446="Y",EA445)+IF(EA451="Y",EA450)</f>
        <v>0</v>
      </c>
      <c r="EB411" s="778">
        <f>+EC411-EA411</f>
        <v>0</v>
      </c>
      <c r="EC411" s="1315">
        <f>IF(EC416="Y",EC415)+IF(EC421="Y",EC420)+IF(EC426="Y",EC425)+IF(EC431="Y",EC430)+IF(EC436="Y",EC435)+IF(EC441="Y",EC440)+IF(EC446="Y",EC445)+IF(EC451="Y",EC450)</f>
        <v>0</v>
      </c>
      <c r="ED411" s="778">
        <f>IF(ED416="Y",ED415)+IF(ED421="Y",ED420)+IF(ED426="Y",ED425)+IF(ED431="Y",ED430)+IF(ED436="Y",ED435)+IF(ED441="Y",ED440)+IF(ED446="Y",ED445)+IF(ED451="Y",ED450)</f>
        <v>0</v>
      </c>
      <c r="EE411" s="778">
        <f>+EF411-ED411</f>
        <v>0</v>
      </c>
      <c r="EF411" s="1315">
        <f>IF(EF416="Y",EF415)+IF(EF421="Y",EF420)+IF(EF426="Y",EF425)+IF(EF431="Y",EF430)+IF(EF436="Y",EF435)+IF(EF441="Y",EF440)+IF(EF446="Y",EF445)+IF(EF451="Y",EF450)</f>
        <v>0</v>
      </c>
      <c r="EG411" s="778">
        <f>IF(EG416="Y",EG415)+IF(EG421="Y",EG420)+IF(EG426="Y",EG425)+IF(EG431="Y",EG430)+IF(EG436="Y",EG435)+IF(EG441="Y",EG440)+IF(EG446="Y",EG445)+IF(EG451="Y",EG450)</f>
        <v>0</v>
      </c>
      <c r="EH411" s="778">
        <f>+EI411-EG411</f>
        <v>0</v>
      </c>
      <c r="EI411" s="1315">
        <f>IF(EI416="Y",EI415)+IF(EI421="Y",EI420)+IF(EI426="Y",EI425)+IF(EI431="Y",EI430)+IF(EI436="Y",EI435)+IF(EI441="Y",EI440)+IF(EI446="Y",EI445)+IF(EI451="Y",EI450)</f>
        <v>0</v>
      </c>
      <c r="EJ411" s="778">
        <f>IF(EJ416="Y",EJ415)+IF(EJ421="Y",EJ420)+IF(EJ426="Y",EJ425)+IF(EJ431="Y",EJ430)+IF(EJ436="Y",EJ435)+IF(EJ441="Y",EJ440)+IF(EJ446="Y",EJ445)+IF(EJ451="Y",EJ450)</f>
        <v>0</v>
      </c>
      <c r="EK411" s="778">
        <f>+EL411-EJ411</f>
        <v>0</v>
      </c>
      <c r="EL411" s="1315">
        <f>IF(EL416="Y",EL415)+IF(EL421="Y",EL420)+IF(EL426="Y",EL425)+IF(EL431="Y",EL430)+IF(EL436="Y",EL435)+IF(EL441="Y",EL440)+IF(EL446="Y",EL445)+IF(EL451="Y",EL450)</f>
        <v>0</v>
      </c>
      <c r="EM411" s="778">
        <f>IF(EM416="Y",EM415)+IF(EM421="Y",EM420)+IF(EM426="Y",EM425)+IF(EM431="Y",EM430)+IF(EM436="Y",EM435)+IF(EM441="Y",EM440)+IF(EM446="Y",EM445)+IF(EM451="Y",EM450)</f>
        <v>0</v>
      </c>
      <c r="EN411" s="778">
        <f>+EO411-EM411</f>
        <v>0</v>
      </c>
      <c r="EO411" s="1315">
        <f>IF(EO416="Y",EO415)+IF(EO421="Y",EO420)+IF(EO426="Y",EO425)+IF(EO431="Y",EO430)+IF(EO436="Y",EO435)+IF(EO441="Y",EO440)+IF(EO446="Y",EO445)+IF(EO451="Y",EO450)</f>
        <v>0</v>
      </c>
      <c r="EP411" s="778">
        <f>IF(EP416="Y",EP415)+IF(EP421="Y",EP420)+IF(EP426="Y",EP425)+IF(EP431="Y",EP430)+IF(EP436="Y",EP435)+IF(EP441="Y",EP440)+IF(EP446="Y",EP445)+IF(EP451="Y",EP450)</f>
        <v>0</v>
      </c>
      <c r="EQ411" s="778">
        <f>+ER411-EP411</f>
        <v>0</v>
      </c>
      <c r="ER411" s="1315">
        <f>IF(ER416="Y",ER415)+IF(ER421="Y",ER420)+IF(ER426="Y",ER425)+IF(ER431="Y",ER430)+IF(ER436="Y",ER435)+IF(ER441="Y",ER440)+IF(ER446="Y",ER445)+IF(ER451="Y",ER450)</f>
        <v>0</v>
      </c>
      <c r="ES411" s="778">
        <f>IF(ES416="Y",ES415)+IF(ES421="Y",ES420)+IF(ES426="Y",ES425)+IF(ES431="Y",ES430)+IF(ES436="Y",ES435)+IF(ES441="Y",ES440)+IF(ES446="Y",ES445)+IF(ES451="Y",ES450)</f>
        <v>0</v>
      </c>
      <c r="ET411" s="778">
        <f>+EU411-ES411</f>
        <v>0</v>
      </c>
      <c r="EU411" s="1315">
        <f>IF(EU416="Y",EU415)+IF(EU421="Y",EU420)+IF(EU426="Y",EU425)+IF(EU431="Y",EU430)+IF(EU436="Y",EU435)+IF(EU441="Y",EU440)+IF(EU446="Y",EU445)+IF(EU451="Y",EU450)</f>
        <v>0</v>
      </c>
      <c r="EV411" s="778">
        <f>IF(EV416="Y",EV415)+IF(EV421="Y",EV420)+IF(EV426="Y",EV425)+IF(EV431="Y",EV430)+IF(EV436="Y",EV435)+IF(EV441="Y",EV440)+IF(EV446="Y",EV445)+IF(EV451="Y",EV450)</f>
        <v>0</v>
      </c>
      <c r="EW411" s="778">
        <f>+EX411-EV411</f>
        <v>0</v>
      </c>
      <c r="EX411" s="1315">
        <f>IF(EX416="Y",EX415)+IF(EX421="Y",EX420)+IF(EX426="Y",EX425)+IF(EX431="Y",EX430)+IF(EX436="Y",EX435)+IF(EX441="Y",EX440)+IF(EX446="Y",EX445)+IF(EX451="Y",EX450)</f>
        <v>0</v>
      </c>
      <c r="EY411" s="778">
        <f>IF(EY416="Y",EY415)+IF(EY421="Y",EY420)+IF(EY426="Y",EY425)+IF(EY431="Y",EY430)+IF(EY436="Y",EY435)+IF(EY441="Y",EY440)+IF(EY446="Y",EY445)+IF(EY451="Y",EY450)</f>
        <v>0</v>
      </c>
      <c r="EZ411" s="778">
        <f>+FA411-EY411</f>
        <v>0</v>
      </c>
      <c r="FA411" s="1315">
        <f>IF(FA416="Y",FA415)+IF(FA421="Y",FA420)+IF(FA426="Y",FA425)+IF(FA431="Y",FA430)+IF(FA436="Y",FA435)+IF(FA441="Y",FA440)+IF(FA446="Y",FA445)+IF(FA451="Y",FA450)</f>
        <v>0</v>
      </c>
      <c r="FE411"/>
      <c r="FF411"/>
      <c r="FG411"/>
      <c r="FH411"/>
      <c r="FI411"/>
      <c r="FJ411"/>
      <c r="FK411" s="35"/>
    </row>
    <row r="412" spans="2:167" s="235" customFormat="1" ht="13.35" customHeight="1">
      <c r="B412" s="401" t="s">
        <v>328</v>
      </c>
      <c r="C412" s="593"/>
      <c r="D412" s="594"/>
      <c r="E412" s="779"/>
      <c r="F412" s="779"/>
      <c r="G412" s="780"/>
      <c r="H412" s="779"/>
      <c r="I412" s="779"/>
      <c r="J412" s="780"/>
      <c r="K412" s="779"/>
      <c r="L412" s="779"/>
      <c r="M412" s="780"/>
      <c r="N412" s="779"/>
      <c r="O412" s="779"/>
      <c r="P412" s="780"/>
      <c r="Q412" s="779"/>
      <c r="R412" s="779"/>
      <c r="S412" s="780"/>
      <c r="T412" s="779"/>
      <c r="U412" s="779"/>
      <c r="V412" s="780"/>
      <c r="W412" s="779"/>
      <c r="X412" s="779"/>
      <c r="Y412" s="780"/>
      <c r="Z412" s="779"/>
      <c r="AA412" s="779"/>
      <c r="AB412" s="780"/>
      <c r="AC412" s="779"/>
      <c r="AD412" s="779"/>
      <c r="AE412" s="780"/>
      <c r="AF412" s="779"/>
      <c r="AG412" s="779"/>
      <c r="AH412" s="780"/>
      <c r="AI412" s="779"/>
      <c r="AJ412" s="779"/>
      <c r="AK412" s="780"/>
      <c r="AL412" s="779"/>
      <c r="AM412" s="779"/>
      <c r="AN412" s="780"/>
      <c r="AO412" s="779"/>
      <c r="AP412" s="779"/>
      <c r="AQ412" s="780"/>
      <c r="AR412" s="779"/>
      <c r="AS412" s="779"/>
      <c r="AT412" s="780"/>
      <c r="AU412" s="779"/>
      <c r="AV412" s="779"/>
      <c r="AW412" s="780"/>
      <c r="AX412" s="779"/>
      <c r="AY412" s="779"/>
      <c r="AZ412" s="780"/>
      <c r="BA412" s="779"/>
      <c r="BB412" s="779"/>
      <c r="BC412" s="780"/>
      <c r="BD412" s="779"/>
      <c r="BE412" s="779"/>
      <c r="BF412" s="780"/>
      <c r="BG412" s="779"/>
      <c r="BH412" s="779"/>
      <c r="BI412" s="780"/>
      <c r="BJ412" s="779"/>
      <c r="BK412" s="779"/>
      <c r="BL412" s="780"/>
      <c r="BM412" s="779"/>
      <c r="BN412" s="779"/>
      <c r="BO412" s="780"/>
      <c r="BP412" s="779"/>
      <c r="BQ412" s="779"/>
      <c r="BR412" s="780"/>
      <c r="BS412" s="779"/>
      <c r="BT412" s="779"/>
      <c r="BU412" s="780"/>
      <c r="BV412" s="779"/>
      <c r="BW412" s="779"/>
      <c r="BX412" s="780"/>
      <c r="BY412" s="779"/>
      <c r="BZ412" s="779"/>
      <c r="CA412" s="780"/>
      <c r="CB412" s="779"/>
      <c r="CC412" s="779"/>
      <c r="CD412" s="667"/>
      <c r="CE412" s="667"/>
      <c r="CF412" s="667"/>
      <c r="CG412" s="667"/>
      <c r="CH412" s="667"/>
      <c r="CI412" s="667"/>
      <c r="CJ412" s="667"/>
      <c r="CK412" s="667"/>
      <c r="CL412" s="667"/>
      <c r="CM412" s="667"/>
      <c r="CN412" s="667"/>
      <c r="CO412" s="667"/>
      <c r="CP412" s="667"/>
      <c r="CQ412" s="667"/>
      <c r="CR412" s="667"/>
      <c r="CS412" s="667"/>
      <c r="CT412" s="667"/>
      <c r="CU412" s="667"/>
      <c r="CV412" s="667"/>
      <c r="CW412" s="667"/>
      <c r="CX412" s="667"/>
      <c r="CY412" s="667"/>
      <c r="CZ412" s="667"/>
      <c r="DA412" s="667"/>
      <c r="DB412" s="667"/>
      <c r="DC412" s="667"/>
      <c r="DD412" s="667"/>
      <c r="DE412" s="667"/>
      <c r="DF412" s="667"/>
      <c r="DG412" s="667"/>
      <c r="DH412" s="1316"/>
      <c r="DI412" s="667"/>
      <c r="DJ412" s="667"/>
      <c r="DK412" s="1316"/>
      <c r="DL412" s="667"/>
      <c r="DM412" s="667"/>
      <c r="DN412" s="1316"/>
      <c r="DO412" s="667"/>
      <c r="DP412" s="667"/>
      <c r="DQ412" s="1316"/>
      <c r="DR412" s="667"/>
      <c r="DS412" s="667"/>
      <c r="DT412" s="1316"/>
      <c r="DU412" s="667"/>
      <c r="DV412" s="667"/>
      <c r="DW412" s="1316"/>
      <c r="DX412" s="667"/>
      <c r="DY412" s="667"/>
      <c r="DZ412" s="1316"/>
      <c r="EA412" s="667"/>
      <c r="EB412" s="667"/>
      <c r="EC412" s="1316"/>
      <c r="ED412" s="667"/>
      <c r="EE412" s="667"/>
      <c r="EF412" s="1316"/>
      <c r="EG412" s="667"/>
      <c r="EH412" s="667"/>
      <c r="EI412" s="1316"/>
      <c r="EJ412" s="667"/>
      <c r="EK412" s="667"/>
      <c r="EL412" s="1316"/>
      <c r="EM412" s="667"/>
      <c r="EN412" s="667"/>
      <c r="EO412" s="1316"/>
      <c r="EP412" s="667"/>
      <c r="EQ412" s="667"/>
      <c r="ER412" s="1316"/>
      <c r="ES412" s="667"/>
      <c r="ET412" s="667"/>
      <c r="EU412" s="1316"/>
      <c r="EV412" s="667"/>
      <c r="EW412" s="667"/>
      <c r="EX412" s="1316"/>
      <c r="EY412" s="667"/>
      <c r="EZ412" s="667"/>
      <c r="FA412" s="1316"/>
      <c r="FE412"/>
      <c r="FF412"/>
      <c r="FG412"/>
      <c r="FH412"/>
      <c r="FI412"/>
      <c r="FJ412"/>
      <c r="FK412" s="35"/>
    </row>
    <row r="413" spans="2:167" s="235" customFormat="1" ht="13.35" hidden="1" customHeight="1" outlineLevel="1">
      <c r="B413" s="401" t="s">
        <v>409</v>
      </c>
      <c r="C413" s="593"/>
      <c r="D413" s="594"/>
      <c r="E413" s="781"/>
      <c r="F413" s="779">
        <f>+G413</f>
        <v>0</v>
      </c>
      <c r="G413" s="782"/>
      <c r="H413" s="783"/>
      <c r="I413" s="779">
        <f>+J413</f>
        <v>0</v>
      </c>
      <c r="J413" s="782"/>
      <c r="K413" s="783"/>
      <c r="L413" s="779">
        <f>+M413</f>
        <v>0</v>
      </c>
      <c r="M413" s="782"/>
      <c r="N413" s="783"/>
      <c r="O413" s="779">
        <f>+P413</f>
        <v>0</v>
      </c>
      <c r="P413" s="782"/>
      <c r="Q413" s="783"/>
      <c r="R413" s="779">
        <f>+S413</f>
        <v>0</v>
      </c>
      <c r="S413" s="782"/>
      <c r="T413" s="783"/>
      <c r="U413" s="779">
        <f>+V413</f>
        <v>0</v>
      </c>
      <c r="V413" s="782"/>
      <c r="W413" s="783"/>
      <c r="X413" s="779">
        <f>+Y413</f>
        <v>0</v>
      </c>
      <c r="Y413" s="782"/>
      <c r="Z413" s="783"/>
      <c r="AA413" s="779">
        <f>+AB413</f>
        <v>0</v>
      </c>
      <c r="AB413" s="782"/>
      <c r="AC413" s="783"/>
      <c r="AD413" s="779">
        <f>+AE413</f>
        <v>0</v>
      </c>
      <c r="AE413" s="782"/>
      <c r="AF413" s="783"/>
      <c r="AG413" s="779">
        <f>+AH413</f>
        <v>0</v>
      </c>
      <c r="AH413" s="782"/>
      <c r="AI413" s="783"/>
      <c r="AJ413" s="779">
        <f>+AK413</f>
        <v>0</v>
      </c>
      <c r="AK413" s="782"/>
      <c r="AL413" s="784">
        <v>1.88</v>
      </c>
      <c r="AM413" s="779">
        <f>+AN413</f>
        <v>1.88</v>
      </c>
      <c r="AN413" s="782">
        <f>1.88</f>
        <v>1.88</v>
      </c>
      <c r="AO413" s="783">
        <f>1.88</f>
        <v>1.88</v>
      </c>
      <c r="AP413" s="779">
        <f>+AQ413</f>
        <v>2.0739999999999998</v>
      </c>
      <c r="AQ413" s="782">
        <f>1.915+0.035+0.124</f>
        <v>2.0739999999999998</v>
      </c>
      <c r="AR413" s="783">
        <f>1.915+0.035+0.124</f>
        <v>2.0739999999999998</v>
      </c>
      <c r="AS413" s="779">
        <f>+AT413</f>
        <v>2.0539999999999998</v>
      </c>
      <c r="AT413" s="782">
        <f>1.895+0.035+0.124</f>
        <v>2.0539999999999998</v>
      </c>
      <c r="AU413" s="783">
        <f>1.302+0.118</f>
        <v>1.42</v>
      </c>
      <c r="AV413" s="779">
        <f>+AW413</f>
        <v>1.8519999999999999</v>
      </c>
      <c r="AW413" s="782">
        <f>1.253+0.118+0.481</f>
        <v>1.8519999999999999</v>
      </c>
      <c r="AX413" s="783">
        <f>0.696+0.068+0.481+0.599</f>
        <v>1.8440000000000001</v>
      </c>
      <c r="AY413" s="779">
        <f>+AZ413</f>
        <v>1.8489999999999998</v>
      </c>
      <c r="AZ413" s="782">
        <f>0.696+0.068+0.471+0.589+0.025</f>
        <v>1.8489999999999998</v>
      </c>
      <c r="BA413" s="783">
        <f>0.468+0.539+0.025+1.069</f>
        <v>2.101</v>
      </c>
      <c r="BB413" s="779">
        <f>+BC413</f>
        <v>2.181</v>
      </c>
      <c r="BC413" s="782">
        <f>0.458+0.524+0.025+1.049+0.125</f>
        <v>2.181</v>
      </c>
      <c r="BD413" s="783">
        <f>BC413</f>
        <v>2.181</v>
      </c>
      <c r="BE413" s="779">
        <f>+BF413</f>
        <v>2.181</v>
      </c>
      <c r="BF413" s="782">
        <f>BD413</f>
        <v>2.181</v>
      </c>
      <c r="BG413" s="783">
        <f>BF413</f>
        <v>2.181</v>
      </c>
      <c r="BH413" s="779">
        <f>+BI413</f>
        <v>2.181</v>
      </c>
      <c r="BI413" s="782">
        <f>BG413</f>
        <v>2.181</v>
      </c>
      <c r="BJ413" s="783">
        <f>BI413</f>
        <v>2.181</v>
      </c>
      <c r="BK413" s="779">
        <f>+BL413</f>
        <v>2.181</v>
      </c>
      <c r="BL413" s="782">
        <f>BJ413</f>
        <v>2.181</v>
      </c>
      <c r="BM413" s="783">
        <f>BL413</f>
        <v>2.181</v>
      </c>
      <c r="BN413" s="779">
        <f>+BO413</f>
        <v>2.181</v>
      </c>
      <c r="BO413" s="785">
        <f>BM413</f>
        <v>2.181</v>
      </c>
      <c r="BP413" s="783">
        <f>BO413</f>
        <v>2.181</v>
      </c>
      <c r="BQ413" s="779">
        <f>+BR413</f>
        <v>2.181</v>
      </c>
      <c r="BR413" s="785">
        <f>BP413</f>
        <v>2.181</v>
      </c>
      <c r="BS413" s="784">
        <v>0.73081099999999999</v>
      </c>
      <c r="BT413" s="779">
        <f>+BU413</f>
        <v>0.73081099999999999</v>
      </c>
      <c r="BU413" s="785">
        <f>BS413</f>
        <v>0.73081099999999999</v>
      </c>
      <c r="BV413" s="783">
        <f>BV397</f>
        <v>0.38034700000000043</v>
      </c>
      <c r="BW413" s="779">
        <f>+BX413</f>
        <v>0.414715</v>
      </c>
      <c r="BX413" s="786">
        <v>0.414715</v>
      </c>
      <c r="BY413" s="784">
        <v>0.21846699999999999</v>
      </c>
      <c r="BZ413" s="779">
        <f>+CA413</f>
        <v>0.21846699999999999</v>
      </c>
      <c r="CA413" s="785">
        <f>BY413</f>
        <v>0.21846699999999999</v>
      </c>
      <c r="CB413" s="783">
        <f>0.261167</f>
        <v>0.26116699999999998</v>
      </c>
      <c r="CC413" s="779">
        <f>+CD413</f>
        <v>0.61882100000000007</v>
      </c>
      <c r="CD413" s="666">
        <f>CB413+(2*0.178827)</f>
        <v>0.61882100000000007</v>
      </c>
      <c r="CE413" s="784">
        <v>0.35139799999999999</v>
      </c>
      <c r="CF413" s="667">
        <f>+CG413</f>
        <v>0.39294900000000155</v>
      </c>
      <c r="CG413" s="786">
        <v>0.39294900000000155</v>
      </c>
      <c r="CH413" s="668">
        <f>CG413</f>
        <v>0.39294900000000155</v>
      </c>
      <c r="CI413" s="667">
        <f>+CJ413</f>
        <v>0.39294900000000155</v>
      </c>
      <c r="CJ413" s="666">
        <f>CH413</f>
        <v>0.39294900000000155</v>
      </c>
      <c r="CK413" s="668">
        <f>CJ413</f>
        <v>0.39294900000000155</v>
      </c>
      <c r="CL413" s="667">
        <f>+CM413</f>
        <v>0.156835</v>
      </c>
      <c r="CM413" s="786">
        <v>0.156835</v>
      </c>
      <c r="CN413" s="668">
        <f>CM413</f>
        <v>0.156835</v>
      </c>
      <c r="CO413" s="667">
        <f>+CP413</f>
        <v>0.156835</v>
      </c>
      <c r="CP413" s="666">
        <f>CN413</f>
        <v>0.156835</v>
      </c>
      <c r="CQ413" s="784">
        <v>0.20487900000000001</v>
      </c>
      <c r="CR413" s="667">
        <f>+CS413</f>
        <v>0.277028</v>
      </c>
      <c r="CS413" s="786">
        <v>0.277028</v>
      </c>
      <c r="CT413" s="784">
        <v>8.4977999999999998E-2</v>
      </c>
      <c r="CU413" s="667">
        <f>+CV413</f>
        <v>9.8707000000000003E-2</v>
      </c>
      <c r="CV413" s="786">
        <v>9.8707000000000003E-2</v>
      </c>
      <c r="CW413" s="784">
        <v>7.9881999999999995E-2</v>
      </c>
      <c r="CX413" s="667">
        <f>+CY413</f>
        <v>0.18905</v>
      </c>
      <c r="CY413" s="666">
        <f>0.181834+0.007216</f>
        <v>0.18905</v>
      </c>
      <c r="CZ413" s="668">
        <v>6.5436999999999995E-2</v>
      </c>
      <c r="DA413" s="667">
        <f>+DB413</f>
        <v>6.5436999999999995E-2</v>
      </c>
      <c r="DB413" s="666">
        <f>CZ413</f>
        <v>6.5436999999999995E-2</v>
      </c>
      <c r="DC413" s="668">
        <f>DB413</f>
        <v>6.5436999999999995E-2</v>
      </c>
      <c r="DD413" s="667">
        <f>+DE413</f>
        <v>6.5436999999999995E-2</v>
      </c>
      <c r="DE413" s="666">
        <f>DC413</f>
        <v>6.5436999999999995E-2</v>
      </c>
      <c r="DF413" s="668">
        <f>DE413</f>
        <v>6.5436999999999995E-2</v>
      </c>
      <c r="DG413" s="667">
        <f>+DH413</f>
        <v>6.5436999999999995E-2</v>
      </c>
      <c r="DH413" s="1317">
        <f>DF413</f>
        <v>6.5436999999999995E-2</v>
      </c>
      <c r="DI413" s="668">
        <f>DH413</f>
        <v>6.5436999999999995E-2</v>
      </c>
      <c r="DJ413" s="667">
        <f>+DK413</f>
        <v>6.5436999999999995E-2</v>
      </c>
      <c r="DK413" s="1317">
        <f>DI413</f>
        <v>6.5436999999999995E-2</v>
      </c>
      <c r="DL413" s="668">
        <f>DK413</f>
        <v>6.5436999999999995E-2</v>
      </c>
      <c r="DM413" s="667">
        <f>+DN413</f>
        <v>6.5436999999999995E-2</v>
      </c>
      <c r="DN413" s="1317">
        <f>DL413</f>
        <v>6.5436999999999995E-2</v>
      </c>
      <c r="DO413" s="668">
        <f>DN413</f>
        <v>6.5436999999999995E-2</v>
      </c>
      <c r="DP413" s="667">
        <f>+DQ413</f>
        <v>6.5436999999999995E-2</v>
      </c>
      <c r="DQ413" s="1317">
        <f>DO413</f>
        <v>6.5436999999999995E-2</v>
      </c>
      <c r="DR413" s="668">
        <f>DQ413</f>
        <v>6.5436999999999995E-2</v>
      </c>
      <c r="DS413" s="667">
        <f>+DT413</f>
        <v>6.5436999999999995E-2</v>
      </c>
      <c r="DT413" s="1317">
        <f>DR413</f>
        <v>6.5436999999999995E-2</v>
      </c>
      <c r="DU413" s="668">
        <f>DT413</f>
        <v>6.5436999999999995E-2</v>
      </c>
      <c r="DV413" s="667">
        <f>+DW413</f>
        <v>6.5436999999999995E-2</v>
      </c>
      <c r="DW413" s="1317">
        <f>DU413</f>
        <v>6.5436999999999995E-2</v>
      </c>
      <c r="DX413" s="668">
        <f>DW413</f>
        <v>6.5436999999999995E-2</v>
      </c>
      <c r="DY413" s="667">
        <f>+DZ413</f>
        <v>6.5436999999999995E-2</v>
      </c>
      <c r="DZ413" s="1317">
        <f>DX413</f>
        <v>6.5436999999999995E-2</v>
      </c>
      <c r="EA413" s="668">
        <f>DZ413</f>
        <v>6.5436999999999995E-2</v>
      </c>
      <c r="EB413" s="667">
        <f>+EC413</f>
        <v>6.5436999999999995E-2</v>
      </c>
      <c r="EC413" s="1317">
        <f>EA413</f>
        <v>6.5436999999999995E-2</v>
      </c>
      <c r="ED413" s="668">
        <f>EC413</f>
        <v>6.5436999999999995E-2</v>
      </c>
      <c r="EE413" s="667">
        <f>+EF413</f>
        <v>6.5436999999999995E-2</v>
      </c>
      <c r="EF413" s="1317">
        <f>ED413</f>
        <v>6.5436999999999995E-2</v>
      </c>
      <c r="EG413" s="668">
        <f>EF413</f>
        <v>6.5436999999999995E-2</v>
      </c>
      <c r="EH413" s="667">
        <f>+EI413</f>
        <v>6.5436999999999995E-2</v>
      </c>
      <c r="EI413" s="1317">
        <f>EG413</f>
        <v>6.5436999999999995E-2</v>
      </c>
      <c r="EJ413" s="668">
        <f>EI413</f>
        <v>6.5436999999999995E-2</v>
      </c>
      <c r="EK413" s="667">
        <f>+EL413</f>
        <v>6.5436999999999995E-2</v>
      </c>
      <c r="EL413" s="1317">
        <f>EJ413</f>
        <v>6.5436999999999995E-2</v>
      </c>
      <c r="EM413" s="668">
        <f>EL413</f>
        <v>6.5436999999999995E-2</v>
      </c>
      <c r="EN413" s="667">
        <f>+EO413</f>
        <v>6.5436999999999995E-2</v>
      </c>
      <c r="EO413" s="1317">
        <f>EM413</f>
        <v>6.5436999999999995E-2</v>
      </c>
      <c r="EP413" s="668">
        <f>EO413</f>
        <v>6.5436999999999995E-2</v>
      </c>
      <c r="EQ413" s="667">
        <f>+ER413</f>
        <v>6.5436999999999995E-2</v>
      </c>
      <c r="ER413" s="1317">
        <f>EP413</f>
        <v>6.5436999999999995E-2</v>
      </c>
      <c r="ES413" s="668">
        <f>ER413</f>
        <v>6.5436999999999995E-2</v>
      </c>
      <c r="ET413" s="667">
        <f>+EU413</f>
        <v>6.5436999999999995E-2</v>
      </c>
      <c r="EU413" s="1317">
        <f>ES413</f>
        <v>6.5436999999999995E-2</v>
      </c>
      <c r="EV413" s="668">
        <f>EU413</f>
        <v>6.5436999999999995E-2</v>
      </c>
      <c r="EW413" s="667">
        <f>+EX413</f>
        <v>6.5436999999999995E-2</v>
      </c>
      <c r="EX413" s="1317">
        <f>EV413</f>
        <v>6.5436999999999995E-2</v>
      </c>
      <c r="EY413" s="668">
        <f>EX413</f>
        <v>6.5436999999999995E-2</v>
      </c>
      <c r="EZ413" s="667">
        <f>+FA413</f>
        <v>6.5436999999999995E-2</v>
      </c>
      <c r="FA413" s="1317">
        <f>EY413</f>
        <v>6.5436999999999995E-2</v>
      </c>
      <c r="FE413"/>
      <c r="FF413"/>
      <c r="FG413"/>
      <c r="FH413"/>
      <c r="FI413"/>
      <c r="FJ413"/>
      <c r="FK413" s="35"/>
    </row>
    <row r="414" spans="2:167" s="235" customFormat="1" ht="13.35" hidden="1" customHeight="1" outlineLevel="1">
      <c r="B414" s="401" t="s">
        <v>329</v>
      </c>
      <c r="C414" s="593"/>
      <c r="D414" s="594"/>
      <c r="E414" s="787"/>
      <c r="F414" s="779">
        <f>+G414</f>
        <v>0</v>
      </c>
      <c r="G414" s="788"/>
      <c r="H414" s="789"/>
      <c r="I414" s="779">
        <f>+J414</f>
        <v>0</v>
      </c>
      <c r="J414" s="788"/>
      <c r="K414" s="789"/>
      <c r="L414" s="779">
        <f>+M414</f>
        <v>0</v>
      </c>
      <c r="M414" s="788"/>
      <c r="N414" s="789"/>
      <c r="O414" s="779">
        <f>+P414</f>
        <v>0</v>
      </c>
      <c r="P414" s="788"/>
      <c r="Q414" s="789"/>
      <c r="R414" s="779">
        <f>+S414</f>
        <v>0</v>
      </c>
      <c r="S414" s="788"/>
      <c r="T414" s="789"/>
      <c r="U414" s="779">
        <f>+V414</f>
        <v>0</v>
      </c>
      <c r="V414" s="788"/>
      <c r="W414" s="789"/>
      <c r="X414" s="779">
        <f>+Y414</f>
        <v>0</v>
      </c>
      <c r="Y414" s="788"/>
      <c r="Z414" s="789"/>
      <c r="AA414" s="779">
        <f>+AB414</f>
        <v>0</v>
      </c>
      <c r="AB414" s="788"/>
      <c r="AC414" s="789"/>
      <c r="AD414" s="779">
        <f>+AE414</f>
        <v>0</v>
      </c>
      <c r="AE414" s="788"/>
      <c r="AF414" s="789"/>
      <c r="AG414" s="779">
        <f>+AH414</f>
        <v>0</v>
      </c>
      <c r="AH414" s="788"/>
      <c r="AI414" s="789"/>
      <c r="AJ414" s="779">
        <f>+AK414</f>
        <v>0</v>
      </c>
      <c r="AK414" s="788"/>
      <c r="AL414" s="789">
        <f>AL413*2.56</f>
        <v>4.8128000000000002</v>
      </c>
      <c r="AM414" s="779">
        <f>+AN414</f>
        <v>4.8128000000000002</v>
      </c>
      <c r="AN414" s="788">
        <f>AN413*2.56</f>
        <v>4.8128000000000002</v>
      </c>
      <c r="AO414" s="789">
        <f>AO413*2.56</f>
        <v>4.8128000000000002</v>
      </c>
      <c r="AP414" s="779">
        <f>+AQ414</f>
        <v>2.709016393442623</v>
      </c>
      <c r="AQ414" s="788">
        <f>(((1.915*2.56)+(0.035*4.34)+(0.124*4.55))/(1.915+0.035+0.124))</f>
        <v>2.709016393442623</v>
      </c>
      <c r="AR414" s="789">
        <f>(((1.915*2.56)+(0.035*4.34)+(0.124*4.55))/(1.915+0.035+0.124))*AR413</f>
        <v>5.6185</v>
      </c>
      <c r="AS414" s="779">
        <f>+AT414</f>
        <v>5.5673000000000004</v>
      </c>
      <c r="AT414" s="788">
        <f>(((1.895*2.56)+(0.035*4.34)+(0.124*4.55))/(1.895+0.035+0.124))*AT413</f>
        <v>5.5673000000000004</v>
      </c>
      <c r="AU414" s="789">
        <f>(((1.302*2.56)+(0.118*4.55))/(1.302+0.118))*AU413</f>
        <v>3.8700200000000002</v>
      </c>
      <c r="AV414" s="779">
        <f>+AW414</f>
        <v>8.0254799999999999</v>
      </c>
      <c r="AW414" s="788">
        <f>(((1.253*2.56)+(0.118*4.55)+(0.481*8.9))/(1.253+0.118+0.481))*AW413</f>
        <v>8.0254799999999999</v>
      </c>
      <c r="AX414" s="789">
        <f>(((0.696*2.56)+(0.068455)+(0.481*8.9)+(0.599*15))/(0.696+0.068+0.481+0.599))*AX413</f>
        <v>15.116114999999999</v>
      </c>
      <c r="AY414" s="779">
        <f>+AZ414</f>
        <v>15.116114999999999</v>
      </c>
      <c r="AZ414" s="788">
        <f>AX414</f>
        <v>15.116114999999999</v>
      </c>
      <c r="BA414" s="789">
        <f>(((0.468*6.9)+(0.539*15)+(0.025*16.8)+(1.069*25.5))/(0.468+0.539+0.025+1.069))*BA413</f>
        <v>38.993700000000011</v>
      </c>
      <c r="BB414" s="779">
        <f>+BC414</f>
        <v>44.654699999999998</v>
      </c>
      <c r="BC414" s="788">
        <f>(((0.458*8.9)+(0.524*15)+(0.025*16.8)+(1.049*26.5)+(0.125*36))/(0.458+0.524+0.025+1.049+0.125))*BC413</f>
        <v>44.654699999999998</v>
      </c>
      <c r="BD414" s="789">
        <f>BC414</f>
        <v>44.654699999999998</v>
      </c>
      <c r="BE414" s="779">
        <f>+BF414</f>
        <v>44.654699999999998</v>
      </c>
      <c r="BF414" s="788">
        <f>BD414</f>
        <v>44.654699999999998</v>
      </c>
      <c r="BG414" s="789">
        <f>BF414</f>
        <v>44.654699999999998</v>
      </c>
      <c r="BH414" s="779">
        <f>+BI414</f>
        <v>44.654699999999998</v>
      </c>
      <c r="BI414" s="788">
        <f>BG414</f>
        <v>44.654699999999998</v>
      </c>
      <c r="BJ414" s="789">
        <f>BI414</f>
        <v>44.654699999999998</v>
      </c>
      <c r="BK414" s="779">
        <f>+BL414</f>
        <v>44.654699999999998</v>
      </c>
      <c r="BL414" s="788">
        <f>BJ414</f>
        <v>44.654699999999998</v>
      </c>
      <c r="BM414" s="789">
        <f>BL414</f>
        <v>44.654699999999998</v>
      </c>
      <c r="BN414" s="779">
        <f>+BO414</f>
        <v>44.654699999999998</v>
      </c>
      <c r="BO414" s="790">
        <f>BM414</f>
        <v>44.654699999999998</v>
      </c>
      <c r="BP414" s="789">
        <f>BO414</f>
        <v>44.654699999999998</v>
      </c>
      <c r="BQ414" s="779">
        <f>+BR414</f>
        <v>44.654699999999998</v>
      </c>
      <c r="BR414" s="790">
        <f>BP414</f>
        <v>44.654699999999998</v>
      </c>
      <c r="BS414" s="789">
        <f>BR414</f>
        <v>44.654699999999998</v>
      </c>
      <c r="BT414" s="779">
        <f>+BU414</f>
        <v>44.654699999999998</v>
      </c>
      <c r="BU414" s="790">
        <f>BS414</f>
        <v>44.654699999999998</v>
      </c>
      <c r="BV414" s="789">
        <f>BU414</f>
        <v>44.654699999999998</v>
      </c>
      <c r="BW414" s="779">
        <f>+BX414</f>
        <v>44.654699999999998</v>
      </c>
      <c r="BX414" s="790">
        <f>BV414</f>
        <v>44.654699999999998</v>
      </c>
      <c r="BY414" s="789">
        <f>BX414</f>
        <v>44.654699999999998</v>
      </c>
      <c r="BZ414" s="779">
        <f>+CA414</f>
        <v>44.654699999999998</v>
      </c>
      <c r="CA414" s="790">
        <f>BY414</f>
        <v>44.654699999999998</v>
      </c>
      <c r="CB414" s="789">
        <f>CA414</f>
        <v>44.654699999999998</v>
      </c>
      <c r="CC414" s="779">
        <f>+CD414</f>
        <v>44.654699999999998</v>
      </c>
      <c r="CD414" s="791">
        <f>CB414</f>
        <v>44.654699999999998</v>
      </c>
      <c r="CE414" s="792">
        <f>CD414</f>
        <v>44.654699999999998</v>
      </c>
      <c r="CF414" s="667">
        <f>+CG414</f>
        <v>44.654699999999998</v>
      </c>
      <c r="CG414" s="791">
        <f>CE414</f>
        <v>44.654699999999998</v>
      </c>
      <c r="CH414" s="792">
        <f>CG414</f>
        <v>44.654699999999998</v>
      </c>
      <c r="CI414" s="667">
        <f>+CJ414</f>
        <v>44.654699999999998</v>
      </c>
      <c r="CJ414" s="791">
        <f>CH414</f>
        <v>44.654699999999998</v>
      </c>
      <c r="CK414" s="792">
        <f>CJ414</f>
        <v>44.654699999999998</v>
      </c>
      <c r="CL414" s="667">
        <f>+CM414</f>
        <v>44.654699999999998</v>
      </c>
      <c r="CM414" s="791">
        <f>CK414</f>
        <v>44.654699999999998</v>
      </c>
      <c r="CN414" s="792">
        <f>CM414</f>
        <v>44.654699999999998</v>
      </c>
      <c r="CO414" s="667">
        <f>+CP414</f>
        <v>44.654699999999998</v>
      </c>
      <c r="CP414" s="791">
        <f>CN414</f>
        <v>44.654699999999998</v>
      </c>
      <c r="CQ414" s="792">
        <f>CP414</f>
        <v>44.654699999999998</v>
      </c>
      <c r="CR414" s="667">
        <f>+CS414</f>
        <v>44.654699999999998</v>
      </c>
      <c r="CS414" s="791">
        <f>CQ414</f>
        <v>44.654699999999998</v>
      </c>
      <c r="CT414" s="792">
        <f>CS414</f>
        <v>44.654699999999998</v>
      </c>
      <c r="CU414" s="667">
        <f>+CV414</f>
        <v>44.654699999999998</v>
      </c>
      <c r="CV414" s="791">
        <f>CT414</f>
        <v>44.654699999999998</v>
      </c>
      <c r="CW414" s="792">
        <f>CV414</f>
        <v>44.654699999999998</v>
      </c>
      <c r="CX414" s="667">
        <f>+CY414</f>
        <v>44.654699999999998</v>
      </c>
      <c r="CY414" s="791">
        <f>CW414</f>
        <v>44.654699999999998</v>
      </c>
      <c r="CZ414" s="792">
        <f>CY414</f>
        <v>44.654699999999998</v>
      </c>
      <c r="DA414" s="667">
        <f>+DB414</f>
        <v>44.654699999999998</v>
      </c>
      <c r="DB414" s="791">
        <f>CZ414</f>
        <v>44.654699999999998</v>
      </c>
      <c r="DC414" s="792">
        <f>DB414</f>
        <v>44.654699999999998</v>
      </c>
      <c r="DD414" s="667">
        <f>+DE414</f>
        <v>44.654699999999998</v>
      </c>
      <c r="DE414" s="791">
        <f>DC414</f>
        <v>44.654699999999998</v>
      </c>
      <c r="DF414" s="792">
        <f>DE414</f>
        <v>44.654699999999998</v>
      </c>
      <c r="DG414" s="667">
        <f>+DH414</f>
        <v>44.654699999999998</v>
      </c>
      <c r="DH414" s="1318">
        <f>DF414</f>
        <v>44.654699999999998</v>
      </c>
      <c r="DI414" s="792">
        <f>DH414</f>
        <v>44.654699999999998</v>
      </c>
      <c r="DJ414" s="667">
        <f>+DK414</f>
        <v>44.654699999999998</v>
      </c>
      <c r="DK414" s="1318">
        <f>DI414</f>
        <v>44.654699999999998</v>
      </c>
      <c r="DL414" s="792">
        <f>DK414</f>
        <v>44.654699999999998</v>
      </c>
      <c r="DM414" s="667">
        <f>+DN414</f>
        <v>44.654699999999998</v>
      </c>
      <c r="DN414" s="1318">
        <f>DL414</f>
        <v>44.654699999999998</v>
      </c>
      <c r="DO414" s="792">
        <f>DN414</f>
        <v>44.654699999999998</v>
      </c>
      <c r="DP414" s="667">
        <f>+DQ414</f>
        <v>44.654699999999998</v>
      </c>
      <c r="DQ414" s="1318">
        <f>DO414</f>
        <v>44.654699999999998</v>
      </c>
      <c r="DR414" s="792">
        <f>DQ414</f>
        <v>44.654699999999998</v>
      </c>
      <c r="DS414" s="667">
        <f>+DT414</f>
        <v>44.654699999999998</v>
      </c>
      <c r="DT414" s="1318">
        <f>DR414</f>
        <v>44.654699999999998</v>
      </c>
      <c r="DU414" s="792">
        <f>DT414</f>
        <v>44.654699999999998</v>
      </c>
      <c r="DV414" s="667">
        <f>+DW414</f>
        <v>44.654699999999998</v>
      </c>
      <c r="DW414" s="1318">
        <f>DU414</f>
        <v>44.654699999999998</v>
      </c>
      <c r="DX414" s="792">
        <f>DW414</f>
        <v>44.654699999999998</v>
      </c>
      <c r="DY414" s="667">
        <f>+DZ414</f>
        <v>44.654699999999998</v>
      </c>
      <c r="DZ414" s="1318">
        <f>DX414</f>
        <v>44.654699999999998</v>
      </c>
      <c r="EA414" s="792">
        <f>DZ414</f>
        <v>44.654699999999998</v>
      </c>
      <c r="EB414" s="667">
        <f>+EC414</f>
        <v>44.654699999999998</v>
      </c>
      <c r="EC414" s="1318">
        <f>EA414</f>
        <v>44.654699999999998</v>
      </c>
      <c r="ED414" s="792">
        <f>EC414</f>
        <v>44.654699999999998</v>
      </c>
      <c r="EE414" s="667">
        <f>+EF414</f>
        <v>44.654699999999998</v>
      </c>
      <c r="EF414" s="1318">
        <f>ED414</f>
        <v>44.654699999999998</v>
      </c>
      <c r="EG414" s="792">
        <f>EF414</f>
        <v>44.654699999999998</v>
      </c>
      <c r="EH414" s="667">
        <f>+EI414</f>
        <v>44.654699999999998</v>
      </c>
      <c r="EI414" s="1318">
        <f>EG414</f>
        <v>44.654699999999998</v>
      </c>
      <c r="EJ414" s="792">
        <f>EI414</f>
        <v>44.654699999999998</v>
      </c>
      <c r="EK414" s="667">
        <f>+EL414</f>
        <v>44.654699999999998</v>
      </c>
      <c r="EL414" s="1318">
        <f>EJ414</f>
        <v>44.654699999999998</v>
      </c>
      <c r="EM414" s="792">
        <f>EL414</f>
        <v>44.654699999999998</v>
      </c>
      <c r="EN414" s="667">
        <f>+EO414</f>
        <v>44.654699999999998</v>
      </c>
      <c r="EO414" s="1318">
        <f>EM414</f>
        <v>44.654699999999998</v>
      </c>
      <c r="EP414" s="792">
        <f>EO414</f>
        <v>44.654699999999998</v>
      </c>
      <c r="EQ414" s="667">
        <f>+ER414</f>
        <v>44.654699999999998</v>
      </c>
      <c r="ER414" s="1318">
        <f>EP414</f>
        <v>44.654699999999998</v>
      </c>
      <c r="ES414" s="792">
        <f>ER414</f>
        <v>44.654699999999998</v>
      </c>
      <c r="ET414" s="667">
        <f>+EU414</f>
        <v>44.654699999999998</v>
      </c>
      <c r="EU414" s="1318">
        <f>ES414</f>
        <v>44.654699999999998</v>
      </c>
      <c r="EV414" s="792">
        <f>EU414</f>
        <v>44.654699999999998</v>
      </c>
      <c r="EW414" s="667">
        <f>+EX414</f>
        <v>44.654699999999998</v>
      </c>
      <c r="EX414" s="1318">
        <f>EV414</f>
        <v>44.654699999999998</v>
      </c>
      <c r="EY414" s="792">
        <f>EX414</f>
        <v>44.654699999999998</v>
      </c>
      <c r="EZ414" s="667">
        <f>+FA414</f>
        <v>44.654699999999998</v>
      </c>
      <c r="FA414" s="1318">
        <f>EY414</f>
        <v>44.654699999999998</v>
      </c>
      <c r="FE414"/>
      <c r="FF414"/>
      <c r="FG414"/>
      <c r="FH414"/>
      <c r="FI414"/>
      <c r="FJ414"/>
      <c r="FK414" s="35"/>
    </row>
    <row r="415" spans="2:167" s="235" customFormat="1" ht="13.35" hidden="1" customHeight="1" outlineLevel="1">
      <c r="B415" s="401" t="s">
        <v>522</v>
      </c>
      <c r="C415" s="593"/>
      <c r="D415" s="594"/>
      <c r="E415" s="793"/>
      <c r="F415" s="596">
        <f>+G415-E415</f>
        <v>0</v>
      </c>
      <c r="G415" s="794"/>
      <c r="H415" s="795"/>
      <c r="I415" s="596">
        <f>+J415-H415</f>
        <v>0</v>
      </c>
      <c r="J415" s="794"/>
      <c r="K415" s="795"/>
      <c r="L415" s="596">
        <f>+M415-K415</f>
        <v>0</v>
      </c>
      <c r="M415" s="794"/>
      <c r="N415" s="795"/>
      <c r="O415" s="596">
        <f>+P415-N415</f>
        <v>0</v>
      </c>
      <c r="P415" s="794"/>
      <c r="Q415" s="795"/>
      <c r="R415" s="596">
        <f>+S415-Q415</f>
        <v>0</v>
      </c>
      <c r="S415" s="794"/>
      <c r="T415" s="795"/>
      <c r="U415" s="596">
        <f>+V415-T415</f>
        <v>0</v>
      </c>
      <c r="V415" s="794"/>
      <c r="W415" s="795"/>
      <c r="X415" s="596">
        <f>+Y415-W415</f>
        <v>0</v>
      </c>
      <c r="Y415" s="794"/>
      <c r="Z415" s="795"/>
      <c r="AA415" s="596">
        <f>+AB415-Z415</f>
        <v>0</v>
      </c>
      <c r="AB415" s="794"/>
      <c r="AC415" s="795"/>
      <c r="AD415" s="596">
        <f>+AE415-AC415</f>
        <v>0</v>
      </c>
      <c r="AE415" s="794"/>
      <c r="AF415" s="795"/>
      <c r="AG415" s="596">
        <f>+AH415-AF415</f>
        <v>0</v>
      </c>
      <c r="AH415" s="794">
        <f>(1-Assumptions!AH$149)*AH$407*AH414</f>
        <v>0</v>
      </c>
      <c r="AI415" s="795">
        <f>(1-Assumptions!AI$149)*AI$407*AI414*0.5</f>
        <v>0</v>
      </c>
      <c r="AJ415" s="596">
        <f>+AK415-AI415</f>
        <v>0</v>
      </c>
      <c r="AK415" s="794">
        <f>(1-Assumptions!AK$149)*AK$407*AK414</f>
        <v>0</v>
      </c>
      <c r="AL415" s="795">
        <f>(1-Assumptions!AL$149)*AL$407*AL414*0.5</f>
        <v>9.240575999999999E-2</v>
      </c>
      <c r="AM415" s="596">
        <f>+AN415-AL415</f>
        <v>9.240575999999999E-2</v>
      </c>
      <c r="AN415" s="794">
        <f>(1-Assumptions!AN$149)*AN$407*AN414</f>
        <v>0.18481151999999998</v>
      </c>
      <c r="AO415" s="795">
        <f>(1-Assumptions!AO$149)*AO$407*AO414*0.5</f>
        <v>9.240575999999999E-2</v>
      </c>
      <c r="AP415" s="596">
        <f>+AQ415-AO415</f>
        <v>1.1620469508196729E-2</v>
      </c>
      <c r="AQ415" s="794">
        <f>(1-Assumptions!AQ$149)*AQ$407*AQ414</f>
        <v>0.10402622950819672</v>
      </c>
      <c r="AR415" s="795">
        <f>(1-Assumptions!AR$149)*AR$407*AR414*0.5</f>
        <v>0.10787519999999999</v>
      </c>
      <c r="AS415" s="596">
        <f>+AT415-AR415</f>
        <v>0.10590912000000001</v>
      </c>
      <c r="AT415" s="794">
        <f>(1-Assumptions!AT$149)*AT$407*AT414</f>
        <v>0.21378432</v>
      </c>
      <c r="AU415" s="795">
        <f>(1-Assumptions!AU$149)*AU$407*AU414*0.5</f>
        <v>6.1920320000000008E-2</v>
      </c>
      <c r="AV415" s="596">
        <f>+AW415-AU415</f>
        <v>0.19489503999999999</v>
      </c>
      <c r="AW415" s="794">
        <f>(1-Assumptions!AW$149)*AW$407*AW414</f>
        <v>0.25681535999999999</v>
      </c>
      <c r="AX415" s="795">
        <f>(1-Assumptions!AX$149)*AX$407*AX414*0.5</f>
        <v>0.24185783999999999</v>
      </c>
      <c r="AY415" s="596">
        <f>+AZ415-AX415</f>
        <v>4.8371567999999976E-2</v>
      </c>
      <c r="AZ415" s="794">
        <f>(1-Assumptions!AZ$149)*AZ$407*AZ414*0.5</f>
        <v>0.29022940799999997</v>
      </c>
      <c r="BA415" s="795">
        <f>(1-Assumptions!BA$149)*BA$407*BA414*0.5</f>
        <v>0.74867904000000018</v>
      </c>
      <c r="BB415" s="596">
        <f>+BC415-BA415</f>
        <v>0.96606143999999949</v>
      </c>
      <c r="BC415" s="794">
        <f>(1-Assumptions!BC$149)*BC$407*BC414</f>
        <v>1.7147404799999997</v>
      </c>
      <c r="BD415" s="795">
        <f>(1-Assumptions!BD$149)*BD$407*BD414*0.5</f>
        <v>0.93774869999999988</v>
      </c>
      <c r="BE415" s="596">
        <f>+BF415-BD415</f>
        <v>0.93774869999999988</v>
      </c>
      <c r="BF415" s="794">
        <f>(1-Assumptions!BF$149)*BF$407*BF414</f>
        <v>1.8754973999999998</v>
      </c>
      <c r="BG415" s="795">
        <f>(1-Assumptions!BG$149)*BG$407*BG414*0.5</f>
        <v>0.93774869999999988</v>
      </c>
      <c r="BH415" s="596">
        <f>+BI415-BG415</f>
        <v>0.93774869999999988</v>
      </c>
      <c r="BI415" s="794">
        <f>(1-Assumptions!BI$149)*BI$407*BI414</f>
        <v>1.8754973999999998</v>
      </c>
      <c r="BJ415" s="795">
        <f>(1-Assumptions!BJ$149)*BJ$407*BJ414*0.5</f>
        <v>0</v>
      </c>
      <c r="BK415" s="596">
        <f>+BL415-BJ415</f>
        <v>0</v>
      </c>
      <c r="BL415" s="794">
        <f>(1-Assumptions!BL$149)*BL$407*BL414</f>
        <v>0</v>
      </c>
      <c r="BM415" s="795">
        <f>(1-Assumptions!BM$149)*BM$407*BM414*0.5</f>
        <v>0</v>
      </c>
      <c r="BN415" s="596">
        <f>+BO415-BM415</f>
        <v>0</v>
      </c>
      <c r="BO415" s="796">
        <f>(1-Assumptions!BO$149)*BO$407*BO414</f>
        <v>0</v>
      </c>
      <c r="BP415" s="795">
        <f>(1-Assumptions!BP$149)*BP$407*BP414*0.5</f>
        <v>0</v>
      </c>
      <c r="BQ415" s="596">
        <f>+BR415-BP415</f>
        <v>0</v>
      </c>
      <c r="BR415" s="796">
        <f>(1-Assumptions!BR$149)*BR$407*BR414</f>
        <v>0</v>
      </c>
      <c r="BS415" s="795">
        <f>(1-Assumptions!BS$149)*BS$407*BS414*0.5</f>
        <v>0</v>
      </c>
      <c r="BT415" s="596">
        <f>+BU415-BS415</f>
        <v>0</v>
      </c>
      <c r="BU415" s="796">
        <f>(1-Assumptions!BU$149)*BU$407*BU414</f>
        <v>0</v>
      </c>
      <c r="BV415" s="795">
        <f>(1-Assumptions!BV$149)*BV$407*BV414*0.5</f>
        <v>0</v>
      </c>
      <c r="BW415" s="596">
        <f>+BX415-BV415</f>
        <v>0</v>
      </c>
      <c r="BX415" s="796">
        <f>(1-Assumptions!BX$149)*BX$407*BX414</f>
        <v>0</v>
      </c>
      <c r="BY415" s="795">
        <f>(1-Assumptions!BY$149)*BY$407*BY414*0.5</f>
        <v>0</v>
      </c>
      <c r="BZ415" s="596">
        <f>+CA415-BY415</f>
        <v>0</v>
      </c>
      <c r="CA415" s="796">
        <f>(1-Assumptions!CA$149)*CA$407*CA414</f>
        <v>0</v>
      </c>
      <c r="CB415" s="795">
        <f>(1-Assumptions!CB$149)*CB$407*CB414*0.5</f>
        <v>0</v>
      </c>
      <c r="CC415" s="596">
        <f>+CD415-CB415</f>
        <v>0</v>
      </c>
      <c r="CD415" s="797">
        <f>(1-Assumptions!CD$149)*CD$407*CD414</f>
        <v>0</v>
      </c>
      <c r="CE415" s="798">
        <f>(1-Assumptions!CE$149)*CE$407*CE414*0.5</f>
        <v>0</v>
      </c>
      <c r="CF415" s="612">
        <f>+CG415-CE415</f>
        <v>0</v>
      </c>
      <c r="CG415" s="797">
        <f>(1-Assumptions!CG$149)*CG$407*CG414</f>
        <v>0</v>
      </c>
      <c r="CH415" s="798">
        <f>(1-Assumptions!CH$149)*CH$407*CH414*0.5</f>
        <v>0</v>
      </c>
      <c r="CI415" s="612">
        <f>+CJ415-CH415</f>
        <v>0</v>
      </c>
      <c r="CJ415" s="797">
        <f>(1-Assumptions!CJ$149)*CJ$407*CJ414</f>
        <v>0</v>
      </c>
      <c r="CK415" s="798">
        <f>(1-Assumptions!CK$149)*CK$407*CK414*0.5</f>
        <v>0</v>
      </c>
      <c r="CL415" s="612">
        <f>+CM415-CK415</f>
        <v>0</v>
      </c>
      <c r="CM415" s="797">
        <f>(1-Assumptions!CM$149)*CM$407*CM414</f>
        <v>0</v>
      </c>
      <c r="CN415" s="798">
        <f>(1-Assumptions!CN$149)*CN$407*CN414*0.5</f>
        <v>0</v>
      </c>
      <c r="CO415" s="612">
        <f>+CP415-CN415</f>
        <v>0</v>
      </c>
      <c r="CP415" s="797">
        <f>(1-Assumptions!CP$149)*CP$407*CP414</f>
        <v>0</v>
      </c>
      <c r="CQ415" s="798">
        <f>(1-Assumptions!CQ$149)*CQ$407*CQ414*0.5</f>
        <v>0</v>
      </c>
      <c r="CR415" s="612">
        <f>+CS415-CQ415</f>
        <v>0</v>
      </c>
      <c r="CS415" s="797">
        <f>(1-Assumptions!CS$149)*CS$407*CS414</f>
        <v>0</v>
      </c>
      <c r="CT415" s="798">
        <f>(1-Assumptions!CT$149)*CT$407*CT414*0.5</f>
        <v>0</v>
      </c>
      <c r="CU415" s="612">
        <f>+CV415-CT415</f>
        <v>0</v>
      </c>
      <c r="CV415" s="797">
        <f>(1-Assumptions!CV$149)*CV$407*CV414</f>
        <v>0</v>
      </c>
      <c r="CW415" s="798">
        <f>(1-Assumptions!CW$149)*CW$407*CW414*0.5</f>
        <v>0</v>
      </c>
      <c r="CX415" s="612">
        <f>+CY415-CW415</f>
        <v>0</v>
      </c>
      <c r="CY415" s="797">
        <f>(1-Assumptions!CY$149)*CY$407*CY414</f>
        <v>0</v>
      </c>
      <c r="CZ415" s="798">
        <f>(1-Assumptions!CZ$149)*CZ$407*CZ414*0.5</f>
        <v>0</v>
      </c>
      <c r="DA415" s="612">
        <f>+DB415-CZ415</f>
        <v>0</v>
      </c>
      <c r="DB415" s="797">
        <f>(1-Assumptions!DB$149)*DB$407*DB414</f>
        <v>0</v>
      </c>
      <c r="DC415" s="798">
        <f>(1-Assumptions!DC$149)*DC$407*DC414*0.5</f>
        <v>0</v>
      </c>
      <c r="DD415" s="612">
        <f>+DE415-DC415</f>
        <v>0</v>
      </c>
      <c r="DE415" s="797">
        <f>(1-Assumptions!DE$149)*DE$407*DE414</f>
        <v>0</v>
      </c>
      <c r="DF415" s="798">
        <f>(1-Assumptions!DF$149)*DF$407*DF414*0.5</f>
        <v>0</v>
      </c>
      <c r="DG415" s="612">
        <f>+DH415-DF415</f>
        <v>0</v>
      </c>
      <c r="DH415" s="1319">
        <f>(1-Assumptions!DH$149)*DH$407*DH414</f>
        <v>0</v>
      </c>
      <c r="DI415" s="798">
        <f>(1-Assumptions!DI$149)*DI$407*DI414*0.5</f>
        <v>0</v>
      </c>
      <c r="DJ415" s="612">
        <f>+DK415-DI415</f>
        <v>0</v>
      </c>
      <c r="DK415" s="1319">
        <f>(1-Assumptions!DK$149)*DK$407*DK414</f>
        <v>0</v>
      </c>
      <c r="DL415" s="798">
        <f>(1-Assumptions!DL$149)*DL$407*DL414*0.5</f>
        <v>0</v>
      </c>
      <c r="DM415" s="612">
        <f>+DN415-DL415</f>
        <v>0</v>
      </c>
      <c r="DN415" s="1319">
        <f>(1-Assumptions!DN$149)*DN$407*DN414</f>
        <v>0</v>
      </c>
      <c r="DO415" s="798">
        <f>(1-Assumptions!DO$149)*DO$407*DO414*0.5</f>
        <v>0</v>
      </c>
      <c r="DP415" s="612">
        <f>+DQ415-DO415</f>
        <v>0</v>
      </c>
      <c r="DQ415" s="1319">
        <f>(1-Assumptions!DQ$149)*DQ$407*DQ414</f>
        <v>0</v>
      </c>
      <c r="DR415" s="798">
        <f>(1-Assumptions!DR$149)*DR$407*DR414*0.5</f>
        <v>0</v>
      </c>
      <c r="DS415" s="612">
        <f>+DT415-DR415</f>
        <v>0</v>
      </c>
      <c r="DT415" s="1319">
        <f>(1-Assumptions!DT$149)*DT$407*DT414</f>
        <v>0</v>
      </c>
      <c r="DU415" s="798">
        <f>(1-Assumptions!DU$149)*DU$407*DU414*0.5</f>
        <v>0</v>
      </c>
      <c r="DV415" s="612">
        <f>+DW415-DU415</f>
        <v>0</v>
      </c>
      <c r="DW415" s="1319">
        <f>(1-Assumptions!DW$149)*DW$407*DW414</f>
        <v>0</v>
      </c>
      <c r="DX415" s="798">
        <f>(1-Assumptions!DX$149)*DX$407*DX414*0.5</f>
        <v>0</v>
      </c>
      <c r="DY415" s="612">
        <f>+DZ415-DX415</f>
        <v>0</v>
      </c>
      <c r="DZ415" s="1319">
        <f>(1-Assumptions!DZ$149)*DZ$407*DZ414</f>
        <v>0</v>
      </c>
      <c r="EA415" s="798">
        <f>(1-Assumptions!EA$149)*EA$407*EA414*0.5</f>
        <v>0</v>
      </c>
      <c r="EB415" s="612">
        <f>+EC415-EA415</f>
        <v>0</v>
      </c>
      <c r="EC415" s="1319">
        <f>(1-Assumptions!EC$149)*EC$407*EC414</f>
        <v>0</v>
      </c>
      <c r="ED415" s="798">
        <f>(1-Assumptions!ED$149)*ED$407*ED414*0.5</f>
        <v>0</v>
      </c>
      <c r="EE415" s="612">
        <f>+EF415-ED415</f>
        <v>0</v>
      </c>
      <c r="EF415" s="1319">
        <f>(1-Assumptions!EF$149)*EF$407*EF414</f>
        <v>0</v>
      </c>
      <c r="EG415" s="798">
        <f>(1-Assumptions!EG$149)*EG$407*EG414*0.5</f>
        <v>0</v>
      </c>
      <c r="EH415" s="612">
        <f>+EI415-EG415</f>
        <v>0</v>
      </c>
      <c r="EI415" s="1319">
        <f>(1-Assumptions!EI$149)*EI$407*EI414</f>
        <v>0</v>
      </c>
      <c r="EJ415" s="798">
        <f>(1-Assumptions!EJ$149)*EJ$407*EJ414*0.5</f>
        <v>0</v>
      </c>
      <c r="EK415" s="612">
        <f>+EL415-EJ415</f>
        <v>0</v>
      </c>
      <c r="EL415" s="1319">
        <f>(1-Assumptions!EL$149)*EL$407*EL414</f>
        <v>0</v>
      </c>
      <c r="EM415" s="798">
        <f>(1-Assumptions!EM$149)*EM$407*EM414*0.5</f>
        <v>0</v>
      </c>
      <c r="EN415" s="612">
        <f>+EO415-EM415</f>
        <v>0</v>
      </c>
      <c r="EO415" s="1319">
        <f>(1-Assumptions!EO$149)*EO$407*EO414</f>
        <v>0</v>
      </c>
      <c r="EP415" s="798">
        <f>(1-Assumptions!EP$149)*EP$407*EP414*0.5</f>
        <v>0</v>
      </c>
      <c r="EQ415" s="612">
        <f>+ER415-EP415</f>
        <v>0</v>
      </c>
      <c r="ER415" s="1319">
        <f>(1-Assumptions!ER$149)*ER$407*ER414</f>
        <v>0</v>
      </c>
      <c r="ES415" s="798">
        <f>(1-Assumptions!EY$149)*ES$407*ES414*0.5</f>
        <v>0</v>
      </c>
      <c r="ET415" s="612">
        <f>+EU415-ES415</f>
        <v>0</v>
      </c>
      <c r="EU415" s="1319">
        <f>(1-Assumptions!FA$149)*EU$407*EU414</f>
        <v>0</v>
      </c>
      <c r="EV415" s="798">
        <f>(1-Assumptions!FB$149)*EV$407*EV414*0.5</f>
        <v>0</v>
      </c>
      <c r="EW415" s="612">
        <f>+EX415-EV415</f>
        <v>0</v>
      </c>
      <c r="EX415" s="1319">
        <f>(1-Assumptions!FD$149)*EX$407*EX414</f>
        <v>0</v>
      </c>
      <c r="EY415" s="798">
        <f>(1-Assumptions!FE$149)*EY$407*EY414*0.5</f>
        <v>0</v>
      </c>
      <c r="EZ415" s="612">
        <f>+FA415-EY415</f>
        <v>0</v>
      </c>
      <c r="FA415" s="1319">
        <f>(1-Assumptions!FG$149)*FA$407*FA414</f>
        <v>0</v>
      </c>
      <c r="FE415"/>
      <c r="FF415"/>
      <c r="FG415"/>
      <c r="FH415"/>
      <c r="FI415"/>
      <c r="FJ415"/>
      <c r="FK415" s="35"/>
    </row>
    <row r="416" spans="2:167" s="235" customFormat="1" ht="13.35" hidden="1" customHeight="1" outlineLevel="1" thickBot="1">
      <c r="B416" s="401" t="s">
        <v>523</v>
      </c>
      <c r="C416" s="593"/>
      <c r="D416" s="594"/>
      <c r="E416" s="799" t="s">
        <v>524</v>
      </c>
      <c r="F416" s="800"/>
      <c r="G416" s="801" t="str">
        <f>+E416</f>
        <v>N</v>
      </c>
      <c r="H416" s="802" t="str">
        <f>G416</f>
        <v>N</v>
      </c>
      <c r="I416" s="800"/>
      <c r="J416" s="801" t="str">
        <f>+H416</f>
        <v>N</v>
      </c>
      <c r="K416" s="802" t="str">
        <f>J416</f>
        <v>N</v>
      </c>
      <c r="L416" s="800"/>
      <c r="M416" s="801" t="str">
        <f>+K416</f>
        <v>N</v>
      </c>
      <c r="N416" s="802" t="str">
        <f>M416</f>
        <v>N</v>
      </c>
      <c r="O416" s="800"/>
      <c r="P416" s="801" t="str">
        <f>+N416</f>
        <v>N</v>
      </c>
      <c r="Q416" s="802" t="str">
        <f>P416</f>
        <v>N</v>
      </c>
      <c r="R416" s="800"/>
      <c r="S416" s="801" t="str">
        <f>+Q416</f>
        <v>N</v>
      </c>
      <c r="T416" s="802" t="str">
        <f>S416</f>
        <v>N</v>
      </c>
      <c r="U416" s="800"/>
      <c r="V416" s="801" t="str">
        <f>+T416</f>
        <v>N</v>
      </c>
      <c r="W416" s="802" t="str">
        <f>V416</f>
        <v>N</v>
      </c>
      <c r="X416" s="800"/>
      <c r="Y416" s="801" t="str">
        <f>+W416</f>
        <v>N</v>
      </c>
      <c r="Z416" s="802" t="str">
        <f>Y416</f>
        <v>N</v>
      </c>
      <c r="AA416" s="800"/>
      <c r="AB416" s="801" t="str">
        <f>+Z416</f>
        <v>N</v>
      </c>
      <c r="AC416" s="802" t="str">
        <f>AB416</f>
        <v>N</v>
      </c>
      <c r="AD416" s="800"/>
      <c r="AE416" s="801" t="str">
        <f>+AC416</f>
        <v>N</v>
      </c>
      <c r="AF416" s="802" t="s">
        <v>622</v>
      </c>
      <c r="AG416" s="800"/>
      <c r="AH416" s="801" t="str">
        <f>+AF416</f>
        <v>Y</v>
      </c>
      <c r="AI416" s="802" t="str">
        <f>AH416</f>
        <v>Y</v>
      </c>
      <c r="AJ416" s="800"/>
      <c r="AK416" s="801" t="str">
        <f>+AI416</f>
        <v>Y</v>
      </c>
      <c r="AL416" s="802" t="str">
        <f>AK416</f>
        <v>Y</v>
      </c>
      <c r="AM416" s="800"/>
      <c r="AN416" s="801" t="str">
        <f>+AL416</f>
        <v>Y</v>
      </c>
      <c r="AO416" s="802" t="str">
        <f>AN416</f>
        <v>Y</v>
      </c>
      <c r="AP416" s="800"/>
      <c r="AQ416" s="801" t="str">
        <f>+AO416</f>
        <v>Y</v>
      </c>
      <c r="AR416" s="802" t="str">
        <f>AQ416</f>
        <v>Y</v>
      </c>
      <c r="AS416" s="800"/>
      <c r="AT416" s="801" t="str">
        <f>+AR416</f>
        <v>Y</v>
      </c>
      <c r="AU416" s="802" t="str">
        <f>AT416</f>
        <v>Y</v>
      </c>
      <c r="AV416" s="800"/>
      <c r="AW416" s="801" t="str">
        <f>+AU416</f>
        <v>Y</v>
      </c>
      <c r="AX416" s="802" t="str">
        <f>AW416</f>
        <v>Y</v>
      </c>
      <c r="AY416" s="800"/>
      <c r="AZ416" s="801" t="str">
        <f>+AX416</f>
        <v>Y</v>
      </c>
      <c r="BA416" s="802" t="str">
        <f>AZ416</f>
        <v>Y</v>
      </c>
      <c r="BB416" s="800"/>
      <c r="BC416" s="801" t="str">
        <f>+BA416</f>
        <v>Y</v>
      </c>
      <c r="BD416" s="802" t="str">
        <f>BC416</f>
        <v>Y</v>
      </c>
      <c r="BE416" s="800"/>
      <c r="BF416" s="801" t="str">
        <f>+BD416</f>
        <v>Y</v>
      </c>
      <c r="BG416" s="802" t="str">
        <f>BF416</f>
        <v>Y</v>
      </c>
      <c r="BH416" s="800"/>
      <c r="BI416" s="801" t="str">
        <f>+BG416</f>
        <v>Y</v>
      </c>
      <c r="BJ416" s="802" t="str">
        <f>BI416</f>
        <v>Y</v>
      </c>
      <c r="BK416" s="800"/>
      <c r="BL416" s="801" t="str">
        <f>+BJ416</f>
        <v>Y</v>
      </c>
      <c r="BM416" s="802" t="str">
        <f>BL416</f>
        <v>Y</v>
      </c>
      <c r="BN416" s="800"/>
      <c r="BO416" s="803" t="str">
        <f>+BM416</f>
        <v>Y</v>
      </c>
      <c r="BP416" s="802" t="str">
        <f>BO416</f>
        <v>Y</v>
      </c>
      <c r="BQ416" s="800"/>
      <c r="BR416" s="803" t="str">
        <f>+BP416</f>
        <v>Y</v>
      </c>
      <c r="BS416" s="802" t="str">
        <f>BR416</f>
        <v>Y</v>
      </c>
      <c r="BT416" s="800"/>
      <c r="BU416" s="803" t="str">
        <f>+BS416</f>
        <v>Y</v>
      </c>
      <c r="BV416" s="802" t="str">
        <f>BU416</f>
        <v>Y</v>
      </c>
      <c r="BW416" s="800"/>
      <c r="BX416" s="803" t="str">
        <f>+BV416</f>
        <v>Y</v>
      </c>
      <c r="BY416" s="802" t="str">
        <f>BX416</f>
        <v>Y</v>
      </c>
      <c r="BZ416" s="800"/>
      <c r="CA416" s="803" t="str">
        <f>+BY416</f>
        <v>Y</v>
      </c>
      <c r="CB416" s="802" t="str">
        <f>CA416</f>
        <v>Y</v>
      </c>
      <c r="CC416" s="800"/>
      <c r="CD416" s="804" t="str">
        <f>+CB416</f>
        <v>Y</v>
      </c>
      <c r="CE416" s="805" t="str">
        <f>CD416</f>
        <v>Y</v>
      </c>
      <c r="CF416" s="681"/>
      <c r="CG416" s="804" t="str">
        <f>+CE416</f>
        <v>Y</v>
      </c>
      <c r="CH416" s="805" t="str">
        <f>CG416</f>
        <v>Y</v>
      </c>
      <c r="CI416" s="681"/>
      <c r="CJ416" s="804" t="str">
        <f>+CH416</f>
        <v>Y</v>
      </c>
      <c r="CK416" s="805" t="str">
        <f>CJ416</f>
        <v>Y</v>
      </c>
      <c r="CL416" s="681"/>
      <c r="CM416" s="804" t="str">
        <f>+CK416</f>
        <v>Y</v>
      </c>
      <c r="CN416" s="805" t="str">
        <f>CM416</f>
        <v>Y</v>
      </c>
      <c r="CO416" s="681"/>
      <c r="CP416" s="804" t="str">
        <f>+CN416</f>
        <v>Y</v>
      </c>
      <c r="CQ416" s="805" t="str">
        <f>CP416</f>
        <v>Y</v>
      </c>
      <c r="CR416" s="681"/>
      <c r="CS416" s="804" t="str">
        <f>+CQ416</f>
        <v>Y</v>
      </c>
      <c r="CT416" s="805" t="str">
        <f>CS416</f>
        <v>Y</v>
      </c>
      <c r="CU416" s="681"/>
      <c r="CV416" s="804" t="str">
        <f>+CT416</f>
        <v>Y</v>
      </c>
      <c r="CW416" s="805" t="str">
        <f>CV416</f>
        <v>Y</v>
      </c>
      <c r="CX416" s="681"/>
      <c r="CY416" s="804" t="str">
        <f>+CW416</f>
        <v>Y</v>
      </c>
      <c r="CZ416" s="805" t="str">
        <f>CY416</f>
        <v>Y</v>
      </c>
      <c r="DA416" s="681"/>
      <c r="DB416" s="804" t="str">
        <f>+CZ416</f>
        <v>Y</v>
      </c>
      <c r="DC416" s="805" t="str">
        <f>DB416</f>
        <v>Y</v>
      </c>
      <c r="DD416" s="681"/>
      <c r="DE416" s="804" t="str">
        <f>+DC416</f>
        <v>Y</v>
      </c>
      <c r="DF416" s="805" t="str">
        <f>DE416</f>
        <v>Y</v>
      </c>
      <c r="DG416" s="681"/>
      <c r="DH416" s="1320" t="str">
        <f>+DF416</f>
        <v>Y</v>
      </c>
      <c r="DI416" s="805" t="str">
        <f>DH416</f>
        <v>Y</v>
      </c>
      <c r="DJ416" s="681"/>
      <c r="DK416" s="1320" t="str">
        <f>+DI416</f>
        <v>Y</v>
      </c>
      <c r="DL416" s="805" t="str">
        <f>DK416</f>
        <v>Y</v>
      </c>
      <c r="DM416" s="681"/>
      <c r="DN416" s="1320" t="str">
        <f>+DL416</f>
        <v>Y</v>
      </c>
      <c r="DO416" s="805" t="str">
        <f>DN416</f>
        <v>Y</v>
      </c>
      <c r="DP416" s="681"/>
      <c r="DQ416" s="1320" t="str">
        <f>+DO416</f>
        <v>Y</v>
      </c>
      <c r="DR416" s="805" t="str">
        <f>DQ416</f>
        <v>Y</v>
      </c>
      <c r="DS416" s="681"/>
      <c r="DT416" s="1320" t="str">
        <f>+DR416</f>
        <v>Y</v>
      </c>
      <c r="DU416" s="805" t="str">
        <f>DT416</f>
        <v>Y</v>
      </c>
      <c r="DV416" s="681"/>
      <c r="DW416" s="1320" t="str">
        <f>+DU416</f>
        <v>Y</v>
      </c>
      <c r="DX416" s="805" t="str">
        <f>DW416</f>
        <v>Y</v>
      </c>
      <c r="DY416" s="681"/>
      <c r="DZ416" s="1320" t="str">
        <f>+DX416</f>
        <v>Y</v>
      </c>
      <c r="EA416" s="805" t="str">
        <f>DZ416</f>
        <v>Y</v>
      </c>
      <c r="EB416" s="681"/>
      <c r="EC416" s="1320" t="str">
        <f>+EA416</f>
        <v>Y</v>
      </c>
      <c r="ED416" s="805" t="str">
        <f>EC416</f>
        <v>Y</v>
      </c>
      <c r="EE416" s="681"/>
      <c r="EF416" s="1320" t="str">
        <f>+ED416</f>
        <v>Y</v>
      </c>
      <c r="EG416" s="805" t="str">
        <f>EF416</f>
        <v>Y</v>
      </c>
      <c r="EH416" s="681"/>
      <c r="EI416" s="1320" t="str">
        <f>+EG416</f>
        <v>Y</v>
      </c>
      <c r="EJ416" s="805" t="str">
        <f>EI416</f>
        <v>Y</v>
      </c>
      <c r="EK416" s="681"/>
      <c r="EL416" s="1320" t="str">
        <f>+EJ416</f>
        <v>Y</v>
      </c>
      <c r="EM416" s="805" t="str">
        <f>EL416</f>
        <v>Y</v>
      </c>
      <c r="EN416" s="681"/>
      <c r="EO416" s="1320" t="str">
        <f>+EM416</f>
        <v>Y</v>
      </c>
      <c r="EP416" s="805" t="str">
        <f>EO416</f>
        <v>Y</v>
      </c>
      <c r="EQ416" s="681"/>
      <c r="ER416" s="1320" t="str">
        <f>+EP416</f>
        <v>Y</v>
      </c>
      <c r="ES416" s="805" t="str">
        <f>ER416</f>
        <v>Y</v>
      </c>
      <c r="ET416" s="681"/>
      <c r="EU416" s="1320" t="str">
        <f>+ES416</f>
        <v>Y</v>
      </c>
      <c r="EV416" s="805" t="str">
        <f>EU416</f>
        <v>Y</v>
      </c>
      <c r="EW416" s="681"/>
      <c r="EX416" s="1320" t="str">
        <f>+EV416</f>
        <v>Y</v>
      </c>
      <c r="EY416" s="805" t="str">
        <f>EX416</f>
        <v>Y</v>
      </c>
      <c r="EZ416" s="681"/>
      <c r="FA416" s="1320" t="str">
        <f>+EY416</f>
        <v>Y</v>
      </c>
      <c r="FE416"/>
      <c r="FF416"/>
      <c r="FG416"/>
      <c r="FH416"/>
      <c r="FI416"/>
      <c r="FJ416"/>
      <c r="FK416" s="35"/>
    </row>
    <row r="417" spans="1:167" s="236" customFormat="1" ht="13.35" hidden="1" customHeight="1" outlineLevel="1" thickBot="1">
      <c r="A417" s="289"/>
      <c r="B417" s="289"/>
      <c r="C417" s="806"/>
      <c r="D417" s="289"/>
      <c r="E417" s="807"/>
      <c r="F417" s="807"/>
      <c r="G417" s="808"/>
      <c r="H417" s="807"/>
      <c r="I417" s="807"/>
      <c r="J417" s="808"/>
      <c r="K417" s="807"/>
      <c r="L417" s="807"/>
      <c r="M417" s="808"/>
      <c r="N417" s="807"/>
      <c r="O417" s="807"/>
      <c r="P417" s="808"/>
      <c r="Q417" s="809"/>
      <c r="R417" s="809"/>
      <c r="S417" s="810"/>
      <c r="T417" s="809"/>
      <c r="U417" s="809"/>
      <c r="V417" s="808"/>
      <c r="W417" s="807"/>
      <c r="X417" s="807"/>
      <c r="Y417" s="808"/>
      <c r="Z417" s="807"/>
      <c r="AA417" s="807"/>
      <c r="AB417" s="808"/>
      <c r="AC417" s="807"/>
      <c r="AD417" s="807"/>
      <c r="AE417" s="808"/>
      <c r="AF417" s="807"/>
      <c r="AG417" s="807"/>
      <c r="AH417" s="808"/>
      <c r="AI417" s="807"/>
      <c r="AJ417" s="807"/>
      <c r="AK417" s="808"/>
      <c r="AL417" s="807"/>
      <c r="AM417" s="807"/>
      <c r="AN417" s="808"/>
      <c r="AO417" s="807"/>
      <c r="AP417" s="807"/>
      <c r="AQ417" s="808"/>
      <c r="AR417" s="807"/>
      <c r="AS417" s="807"/>
      <c r="AT417" s="808"/>
      <c r="AU417" s="807"/>
      <c r="AV417" s="807"/>
      <c r="AW417" s="808"/>
      <c r="AX417" s="807"/>
      <c r="AY417" s="807"/>
      <c r="AZ417" s="808"/>
      <c r="BA417" s="807"/>
      <c r="BB417" s="807"/>
      <c r="BC417" s="808"/>
      <c r="BD417" s="807"/>
      <c r="BE417" s="807"/>
      <c r="BF417" s="808"/>
      <c r="BG417" s="807"/>
      <c r="BH417" s="807"/>
      <c r="BI417" s="808"/>
      <c r="BJ417" s="807"/>
      <c r="BK417" s="807"/>
      <c r="BL417" s="808"/>
      <c r="BM417" s="807"/>
      <c r="BN417" s="807"/>
      <c r="BO417" s="808"/>
      <c r="BP417" s="807"/>
      <c r="BQ417" s="807"/>
      <c r="BR417" s="808"/>
      <c r="BS417" s="807"/>
      <c r="BT417" s="807"/>
      <c r="BU417" s="808"/>
      <c r="BV417" s="807"/>
      <c r="BW417" s="807"/>
      <c r="BX417" s="808"/>
      <c r="BY417" s="807"/>
      <c r="BZ417" s="807"/>
      <c r="CA417" s="808"/>
      <c r="CB417" s="807"/>
      <c r="CC417" s="807"/>
      <c r="CD417" s="811"/>
      <c r="CE417" s="811"/>
      <c r="CF417" s="811"/>
      <c r="CG417" s="811"/>
      <c r="CH417" s="811"/>
      <c r="CI417" s="811"/>
      <c r="CJ417" s="811"/>
      <c r="CK417" s="811"/>
      <c r="CL417" s="811"/>
      <c r="CM417" s="811"/>
      <c r="CN417" s="811"/>
      <c r="CO417" s="811"/>
      <c r="CP417" s="811"/>
      <c r="CQ417" s="811"/>
      <c r="CR417" s="811"/>
      <c r="CS417" s="811"/>
      <c r="CT417" s="811"/>
      <c r="CU417" s="811"/>
      <c r="CV417" s="811"/>
      <c r="CW417" s="811"/>
      <c r="CX417" s="811"/>
      <c r="CY417" s="811"/>
      <c r="CZ417" s="811"/>
      <c r="DA417" s="811"/>
      <c r="DB417" s="811"/>
      <c r="DC417" s="811"/>
      <c r="DD417" s="811"/>
      <c r="DE417" s="811"/>
      <c r="DF417" s="811"/>
      <c r="DG417" s="811"/>
      <c r="DH417" s="1321"/>
      <c r="DI417" s="811"/>
      <c r="DJ417" s="811"/>
      <c r="DK417" s="1321"/>
      <c r="DL417" s="811"/>
      <c r="DM417" s="811"/>
      <c r="DN417" s="1321"/>
      <c r="DO417" s="811"/>
      <c r="DP417" s="811"/>
      <c r="DQ417" s="1321"/>
      <c r="DR417" s="811"/>
      <c r="DS417" s="811"/>
      <c r="DT417" s="1321"/>
      <c r="DU417" s="811"/>
      <c r="DV417" s="811"/>
      <c r="DW417" s="1321"/>
      <c r="DX417" s="811"/>
      <c r="DY417" s="811"/>
      <c r="DZ417" s="1321"/>
      <c r="EA417" s="811"/>
      <c r="EB417" s="811"/>
      <c r="EC417" s="1321"/>
      <c r="ED417" s="811"/>
      <c r="EE417" s="811"/>
      <c r="EF417" s="1321"/>
      <c r="EG417" s="811"/>
      <c r="EH417" s="811"/>
      <c r="EI417" s="1321"/>
      <c r="EJ417" s="811"/>
      <c r="EK417" s="811"/>
      <c r="EL417" s="1321"/>
      <c r="EM417" s="811"/>
      <c r="EN417" s="811"/>
      <c r="EO417" s="1321"/>
      <c r="EP417" s="811"/>
      <c r="EQ417" s="811"/>
      <c r="ER417" s="1321"/>
      <c r="ES417" s="811"/>
      <c r="ET417" s="811"/>
      <c r="EU417" s="1321"/>
      <c r="EV417" s="811"/>
      <c r="EW417" s="811"/>
      <c r="EX417" s="1321"/>
      <c r="EY417" s="811"/>
      <c r="EZ417" s="811"/>
      <c r="FA417" s="1321"/>
      <c r="FE417"/>
      <c r="FF417"/>
      <c r="FG417"/>
      <c r="FH417"/>
      <c r="FI417"/>
      <c r="FJ417"/>
      <c r="FK417" s="35"/>
    </row>
    <row r="418" spans="1:167" s="236" customFormat="1" ht="13.35" hidden="1" customHeight="1" outlineLevel="1">
      <c r="A418" s="289"/>
      <c r="B418" s="401" t="s">
        <v>410</v>
      </c>
      <c r="C418" s="806"/>
      <c r="D418" s="289"/>
      <c r="E418" s="781"/>
      <c r="F418" s="779">
        <f>+G418</f>
        <v>0</v>
      </c>
      <c r="G418" s="782"/>
      <c r="H418" s="783"/>
      <c r="I418" s="779">
        <f>+J418</f>
        <v>0</v>
      </c>
      <c r="J418" s="782"/>
      <c r="K418" s="783"/>
      <c r="L418" s="779">
        <f>+M418</f>
        <v>0</v>
      </c>
      <c r="M418" s="782"/>
      <c r="N418" s="783"/>
      <c r="O418" s="779">
        <f>+P418</f>
        <v>0</v>
      </c>
      <c r="P418" s="782"/>
      <c r="Q418" s="783"/>
      <c r="R418" s="779">
        <f>+S418</f>
        <v>0</v>
      </c>
      <c r="S418" s="782"/>
      <c r="T418" s="783"/>
      <c r="U418" s="779">
        <f>+V418</f>
        <v>0</v>
      </c>
      <c r="V418" s="782"/>
      <c r="W418" s="783"/>
      <c r="X418" s="779">
        <f>+Y418</f>
        <v>0</v>
      </c>
      <c r="Y418" s="782"/>
      <c r="Z418" s="783"/>
      <c r="AA418" s="779">
        <f>+AB418</f>
        <v>0</v>
      </c>
      <c r="AB418" s="782"/>
      <c r="AC418" s="783"/>
      <c r="AD418" s="779">
        <f>+AE418</f>
        <v>0</v>
      </c>
      <c r="AE418" s="782"/>
      <c r="AF418" s="783"/>
      <c r="AG418" s="779">
        <f>+AH418</f>
        <v>0</v>
      </c>
      <c r="AH418" s="782"/>
      <c r="AI418" s="783"/>
      <c r="AJ418" s="779">
        <f>+AK418</f>
        <v>0</v>
      </c>
      <c r="AK418" s="782"/>
      <c r="AL418" s="783"/>
      <c r="AM418" s="779">
        <f>+AN418</f>
        <v>0</v>
      </c>
      <c r="AN418" s="782"/>
      <c r="AO418" s="783"/>
      <c r="AP418" s="779">
        <f>+AQ418</f>
        <v>0</v>
      </c>
      <c r="AQ418" s="782"/>
      <c r="AR418" s="783"/>
      <c r="AS418" s="779">
        <f>+AT418</f>
        <v>0</v>
      </c>
      <c r="AT418" s="782"/>
      <c r="AU418" s="783"/>
      <c r="AV418" s="779">
        <f>+AW418</f>
        <v>0</v>
      </c>
      <c r="AW418" s="782"/>
      <c r="AX418" s="784">
        <v>0</v>
      </c>
      <c r="AY418" s="779">
        <f>+AZ418</f>
        <v>0</v>
      </c>
      <c r="AZ418" s="812">
        <f>AX418</f>
        <v>0</v>
      </c>
      <c r="BA418" s="784">
        <v>0</v>
      </c>
      <c r="BB418" s="779">
        <f>+BC418</f>
        <v>0</v>
      </c>
      <c r="BC418" s="812">
        <f>BA418</f>
        <v>0</v>
      </c>
      <c r="BD418" s="784">
        <v>0</v>
      </c>
      <c r="BE418" s="779">
        <f>+BF418</f>
        <v>0</v>
      </c>
      <c r="BF418" s="812">
        <f>BD418</f>
        <v>0</v>
      </c>
      <c r="BG418" s="784">
        <v>0</v>
      </c>
      <c r="BH418" s="779">
        <f>+BI418</f>
        <v>0</v>
      </c>
      <c r="BI418" s="812">
        <f>BG418</f>
        <v>0</v>
      </c>
      <c r="BJ418" s="784">
        <v>0</v>
      </c>
      <c r="BK418" s="779">
        <f>+BL418</f>
        <v>0</v>
      </c>
      <c r="BL418" s="812">
        <f>BJ418</f>
        <v>0</v>
      </c>
      <c r="BM418" s="784">
        <v>0</v>
      </c>
      <c r="BN418" s="779">
        <f>+BO418</f>
        <v>0</v>
      </c>
      <c r="BO418" s="812">
        <f>BM418</f>
        <v>0</v>
      </c>
      <c r="BP418" s="784">
        <v>0</v>
      </c>
      <c r="BQ418" s="779">
        <f>+BR418</f>
        <v>0</v>
      </c>
      <c r="BR418" s="812">
        <f>BP418</f>
        <v>0</v>
      </c>
      <c r="BS418" s="784">
        <v>0</v>
      </c>
      <c r="BT418" s="779">
        <f>+BU418</f>
        <v>0</v>
      </c>
      <c r="BU418" s="812">
        <f>BS418</f>
        <v>0</v>
      </c>
      <c r="BV418" s="784">
        <v>0</v>
      </c>
      <c r="BW418" s="779">
        <f>+BX418</f>
        <v>0</v>
      </c>
      <c r="BX418" s="812">
        <f>BV418</f>
        <v>0</v>
      </c>
      <c r="BY418" s="784">
        <v>0</v>
      </c>
      <c r="BZ418" s="779">
        <f>+CA418</f>
        <v>0</v>
      </c>
      <c r="CA418" s="812">
        <f>BY418</f>
        <v>0</v>
      </c>
      <c r="CB418" s="784">
        <v>0</v>
      </c>
      <c r="CC418" s="779">
        <f>+CD418</f>
        <v>0</v>
      </c>
      <c r="CD418" s="812">
        <f>CB418</f>
        <v>0</v>
      </c>
      <c r="CE418" s="784">
        <v>0</v>
      </c>
      <c r="CF418" s="779">
        <f>+CG418</f>
        <v>0</v>
      </c>
      <c r="CG418" s="812">
        <f>CE418</f>
        <v>0</v>
      </c>
      <c r="CH418" s="784">
        <v>0</v>
      </c>
      <c r="CI418" s="779">
        <f>+CJ418</f>
        <v>0</v>
      </c>
      <c r="CJ418" s="812">
        <f>CH418</f>
        <v>0</v>
      </c>
      <c r="CK418" s="784">
        <v>0</v>
      </c>
      <c r="CL418" s="779">
        <f>+CM418</f>
        <v>0</v>
      </c>
      <c r="CM418" s="812">
        <f>CK418</f>
        <v>0</v>
      </c>
      <c r="CN418" s="784">
        <v>0</v>
      </c>
      <c r="CO418" s="779">
        <f>+CP418</f>
        <v>0</v>
      </c>
      <c r="CP418" s="812">
        <f>CN418</f>
        <v>0</v>
      </c>
      <c r="CQ418" s="784">
        <v>0</v>
      </c>
      <c r="CR418" s="779">
        <f>+CS418</f>
        <v>0</v>
      </c>
      <c r="CS418" s="812">
        <f>CQ418</f>
        <v>0</v>
      </c>
      <c r="CT418" s="784">
        <v>0</v>
      </c>
      <c r="CU418" s="779">
        <f>+CV418</f>
        <v>0</v>
      </c>
      <c r="CV418" s="812">
        <f>CT418</f>
        <v>0</v>
      </c>
      <c r="CW418" s="784">
        <v>0</v>
      </c>
      <c r="CX418" s="779">
        <f>+CY418</f>
        <v>0</v>
      </c>
      <c r="CY418" s="812">
        <f>CW418</f>
        <v>0</v>
      </c>
      <c r="CZ418" s="784">
        <v>0</v>
      </c>
      <c r="DA418" s="779">
        <f>+DB418</f>
        <v>0</v>
      </c>
      <c r="DB418" s="812">
        <f>CZ418</f>
        <v>0</v>
      </c>
      <c r="DC418" s="784">
        <v>0</v>
      </c>
      <c r="DD418" s="779">
        <f>+DE418</f>
        <v>0</v>
      </c>
      <c r="DE418" s="812">
        <f>DC418</f>
        <v>0</v>
      </c>
      <c r="DF418" s="784">
        <v>0</v>
      </c>
      <c r="DG418" s="779">
        <f>+DH418</f>
        <v>0</v>
      </c>
      <c r="DH418" s="1322">
        <f>DF418</f>
        <v>0</v>
      </c>
      <c r="DI418" s="784">
        <v>0</v>
      </c>
      <c r="DJ418" s="779">
        <f>+DK418</f>
        <v>0</v>
      </c>
      <c r="DK418" s="1322">
        <f>DI418</f>
        <v>0</v>
      </c>
      <c r="DL418" s="784">
        <v>0</v>
      </c>
      <c r="DM418" s="779">
        <f>+DN418</f>
        <v>0</v>
      </c>
      <c r="DN418" s="1322">
        <f>DL418</f>
        <v>0</v>
      </c>
      <c r="DO418" s="784">
        <v>0</v>
      </c>
      <c r="DP418" s="779">
        <f>+DQ418</f>
        <v>0</v>
      </c>
      <c r="DQ418" s="1322">
        <f>DO418</f>
        <v>0</v>
      </c>
      <c r="DR418" s="784">
        <v>0</v>
      </c>
      <c r="DS418" s="779">
        <f>+DT418</f>
        <v>0</v>
      </c>
      <c r="DT418" s="1322">
        <f>DR418</f>
        <v>0</v>
      </c>
      <c r="DU418" s="784">
        <v>0</v>
      </c>
      <c r="DV418" s="779">
        <f>+DW418</f>
        <v>0</v>
      </c>
      <c r="DW418" s="1322">
        <f>DU418</f>
        <v>0</v>
      </c>
      <c r="DX418" s="784">
        <v>0</v>
      </c>
      <c r="DY418" s="779">
        <f>+DZ418</f>
        <v>0</v>
      </c>
      <c r="DZ418" s="1322">
        <f>DX418</f>
        <v>0</v>
      </c>
      <c r="EA418" s="784">
        <v>0</v>
      </c>
      <c r="EB418" s="779">
        <f>+EC418</f>
        <v>0</v>
      </c>
      <c r="EC418" s="1322">
        <f>EA418</f>
        <v>0</v>
      </c>
      <c r="ED418" s="784">
        <v>0</v>
      </c>
      <c r="EE418" s="779">
        <f>+EF418</f>
        <v>0</v>
      </c>
      <c r="EF418" s="1322">
        <f>ED418</f>
        <v>0</v>
      </c>
      <c r="EG418" s="784">
        <v>0</v>
      </c>
      <c r="EH418" s="779">
        <f>+EI418</f>
        <v>0</v>
      </c>
      <c r="EI418" s="1322">
        <f>EG418</f>
        <v>0</v>
      </c>
      <c r="EJ418" s="784">
        <v>0</v>
      </c>
      <c r="EK418" s="779">
        <f>+EL418</f>
        <v>0</v>
      </c>
      <c r="EL418" s="1322">
        <f>EJ418</f>
        <v>0</v>
      </c>
      <c r="EM418" s="784">
        <v>0</v>
      </c>
      <c r="EN418" s="779">
        <f>+EO418</f>
        <v>0</v>
      </c>
      <c r="EO418" s="1322">
        <f>EM418</f>
        <v>0</v>
      </c>
      <c r="EP418" s="784">
        <v>0</v>
      </c>
      <c r="EQ418" s="779">
        <f>+ER418</f>
        <v>0</v>
      </c>
      <c r="ER418" s="1322">
        <f>EP418</f>
        <v>0</v>
      </c>
      <c r="ES418" s="784">
        <v>0</v>
      </c>
      <c r="ET418" s="779">
        <f>+EU418</f>
        <v>0</v>
      </c>
      <c r="EU418" s="1322">
        <f>ES418</f>
        <v>0</v>
      </c>
      <c r="EV418" s="784">
        <v>0</v>
      </c>
      <c r="EW418" s="779">
        <f>+EX418</f>
        <v>0</v>
      </c>
      <c r="EX418" s="1322">
        <f>EV418</f>
        <v>0</v>
      </c>
      <c r="EY418" s="784">
        <v>0</v>
      </c>
      <c r="EZ418" s="779">
        <f>+FA418</f>
        <v>0</v>
      </c>
      <c r="FA418" s="1322">
        <f>EY418</f>
        <v>0</v>
      </c>
      <c r="FB418" s="779"/>
      <c r="FE418"/>
      <c r="FF418"/>
      <c r="FG418"/>
      <c r="FH418"/>
      <c r="FI418"/>
      <c r="FJ418"/>
      <c r="FK418" s="35"/>
    </row>
    <row r="419" spans="1:167" s="235" customFormat="1" ht="13.35" hidden="1" customHeight="1" outlineLevel="1">
      <c r="B419" s="401" t="s">
        <v>329</v>
      </c>
      <c r="C419" s="593"/>
      <c r="D419" s="594"/>
      <c r="E419" s="787"/>
      <c r="F419" s="779">
        <f>+G419</f>
        <v>0</v>
      </c>
      <c r="G419" s="788"/>
      <c r="H419" s="789"/>
      <c r="I419" s="779">
        <f>+J419</f>
        <v>0</v>
      </c>
      <c r="J419" s="788"/>
      <c r="K419" s="789"/>
      <c r="L419" s="779">
        <f>+M419</f>
        <v>0</v>
      </c>
      <c r="M419" s="788"/>
      <c r="N419" s="789"/>
      <c r="O419" s="779">
        <f>+P419</f>
        <v>0</v>
      </c>
      <c r="P419" s="788"/>
      <c r="Q419" s="789"/>
      <c r="R419" s="779">
        <f>+S419</f>
        <v>0</v>
      </c>
      <c r="S419" s="788"/>
      <c r="T419" s="789"/>
      <c r="U419" s="779">
        <f>+V419</f>
        <v>0</v>
      </c>
      <c r="V419" s="788"/>
      <c r="W419" s="789"/>
      <c r="X419" s="779">
        <f>+Y419</f>
        <v>0</v>
      </c>
      <c r="Y419" s="788"/>
      <c r="Z419" s="789"/>
      <c r="AA419" s="779">
        <f>+AB419</f>
        <v>0</v>
      </c>
      <c r="AB419" s="788"/>
      <c r="AC419" s="789"/>
      <c r="AD419" s="779">
        <f>+AE419</f>
        <v>0</v>
      </c>
      <c r="AE419" s="788"/>
      <c r="AF419" s="789"/>
      <c r="AG419" s="779">
        <f>+AH419</f>
        <v>0</v>
      </c>
      <c r="AH419" s="788"/>
      <c r="AI419" s="789"/>
      <c r="AJ419" s="779">
        <f>+AK419</f>
        <v>0</v>
      </c>
      <c r="AK419" s="788"/>
      <c r="AL419" s="789"/>
      <c r="AM419" s="779">
        <f>+AN419</f>
        <v>0</v>
      </c>
      <c r="AN419" s="788"/>
      <c r="AO419" s="789"/>
      <c r="AP419" s="779">
        <f>+AQ419</f>
        <v>0</v>
      </c>
      <c r="AQ419" s="788"/>
      <c r="AR419" s="789"/>
      <c r="AS419" s="779">
        <f>+AT419</f>
        <v>0</v>
      </c>
      <c r="AT419" s="788"/>
      <c r="AU419" s="789"/>
      <c r="AV419" s="779">
        <f>+AW419</f>
        <v>0</v>
      </c>
      <c r="AW419" s="788"/>
      <c r="AX419" s="813">
        <v>0</v>
      </c>
      <c r="AY419" s="779">
        <f>+AZ419</f>
        <v>0</v>
      </c>
      <c r="AZ419" s="814">
        <f>AX419</f>
        <v>0</v>
      </c>
      <c r="BA419" s="813">
        <v>0</v>
      </c>
      <c r="BB419" s="779">
        <f>+BC419</f>
        <v>0</v>
      </c>
      <c r="BC419" s="814">
        <f>BA419</f>
        <v>0</v>
      </c>
      <c r="BD419" s="813">
        <v>0</v>
      </c>
      <c r="BE419" s="779">
        <f>+BF419</f>
        <v>0</v>
      </c>
      <c r="BF419" s="814">
        <f>BD419</f>
        <v>0</v>
      </c>
      <c r="BG419" s="813">
        <v>0</v>
      </c>
      <c r="BH419" s="779">
        <f>+BI419</f>
        <v>0</v>
      </c>
      <c r="BI419" s="814">
        <f>BG419</f>
        <v>0</v>
      </c>
      <c r="BJ419" s="813">
        <v>0</v>
      </c>
      <c r="BK419" s="779">
        <f>+BL419</f>
        <v>0</v>
      </c>
      <c r="BL419" s="814">
        <f>BJ419</f>
        <v>0</v>
      </c>
      <c r="BM419" s="813">
        <v>0</v>
      </c>
      <c r="BN419" s="779">
        <f>+BO419</f>
        <v>0</v>
      </c>
      <c r="BO419" s="814">
        <f>BM419</f>
        <v>0</v>
      </c>
      <c r="BP419" s="813">
        <v>0</v>
      </c>
      <c r="BQ419" s="779">
        <f>+BR419</f>
        <v>0</v>
      </c>
      <c r="BR419" s="814">
        <f>BP419</f>
        <v>0</v>
      </c>
      <c r="BS419" s="813">
        <v>0</v>
      </c>
      <c r="BT419" s="779">
        <f>+BU419</f>
        <v>0</v>
      </c>
      <c r="BU419" s="814">
        <f>BS419</f>
        <v>0</v>
      </c>
      <c r="BV419" s="813">
        <v>0</v>
      </c>
      <c r="BW419" s="779">
        <f>+BX419</f>
        <v>0</v>
      </c>
      <c r="BX419" s="814">
        <f>BV419</f>
        <v>0</v>
      </c>
      <c r="BY419" s="813">
        <v>0</v>
      </c>
      <c r="BZ419" s="779">
        <f>+CA419</f>
        <v>0</v>
      </c>
      <c r="CA419" s="814">
        <f>BY419</f>
        <v>0</v>
      </c>
      <c r="CB419" s="813">
        <v>0</v>
      </c>
      <c r="CC419" s="779">
        <f>+CD419</f>
        <v>0</v>
      </c>
      <c r="CD419" s="814">
        <f>CB419</f>
        <v>0</v>
      </c>
      <c r="CE419" s="813">
        <v>0</v>
      </c>
      <c r="CF419" s="779">
        <f>+CG419</f>
        <v>0</v>
      </c>
      <c r="CG419" s="814">
        <f>CE419</f>
        <v>0</v>
      </c>
      <c r="CH419" s="813">
        <v>0</v>
      </c>
      <c r="CI419" s="779">
        <f>+CJ419</f>
        <v>0</v>
      </c>
      <c r="CJ419" s="814">
        <f>CH419</f>
        <v>0</v>
      </c>
      <c r="CK419" s="813">
        <v>0</v>
      </c>
      <c r="CL419" s="779">
        <f>+CM419</f>
        <v>0</v>
      </c>
      <c r="CM419" s="814">
        <f>CK419</f>
        <v>0</v>
      </c>
      <c r="CN419" s="813">
        <v>0</v>
      </c>
      <c r="CO419" s="779">
        <f>+CP419</f>
        <v>0</v>
      </c>
      <c r="CP419" s="814">
        <f>CN419</f>
        <v>0</v>
      </c>
      <c r="CQ419" s="813">
        <v>0</v>
      </c>
      <c r="CR419" s="779">
        <f>+CS419</f>
        <v>0</v>
      </c>
      <c r="CS419" s="814">
        <f>CQ419</f>
        <v>0</v>
      </c>
      <c r="CT419" s="813">
        <v>0</v>
      </c>
      <c r="CU419" s="779">
        <f>+CV419</f>
        <v>0</v>
      </c>
      <c r="CV419" s="814">
        <f>CT419</f>
        <v>0</v>
      </c>
      <c r="CW419" s="813">
        <v>0</v>
      </c>
      <c r="CX419" s="779">
        <f>+CY419</f>
        <v>0</v>
      </c>
      <c r="CY419" s="814">
        <f>CW419</f>
        <v>0</v>
      </c>
      <c r="CZ419" s="813">
        <v>0</v>
      </c>
      <c r="DA419" s="779">
        <f>+DB419</f>
        <v>0</v>
      </c>
      <c r="DB419" s="814">
        <f>CZ419</f>
        <v>0</v>
      </c>
      <c r="DC419" s="813">
        <v>0</v>
      </c>
      <c r="DD419" s="779">
        <f>+DE419</f>
        <v>0</v>
      </c>
      <c r="DE419" s="814">
        <f>DC419</f>
        <v>0</v>
      </c>
      <c r="DF419" s="813">
        <v>0</v>
      </c>
      <c r="DG419" s="779">
        <f>+DH419</f>
        <v>0</v>
      </c>
      <c r="DH419" s="1323">
        <f>DF419</f>
        <v>0</v>
      </c>
      <c r="DI419" s="813">
        <v>0</v>
      </c>
      <c r="DJ419" s="779">
        <f>+DK419</f>
        <v>0</v>
      </c>
      <c r="DK419" s="1323">
        <f>DI419</f>
        <v>0</v>
      </c>
      <c r="DL419" s="813">
        <v>0</v>
      </c>
      <c r="DM419" s="779">
        <f>+DN419</f>
        <v>0</v>
      </c>
      <c r="DN419" s="1323">
        <f>DL419</f>
        <v>0</v>
      </c>
      <c r="DO419" s="813">
        <v>0</v>
      </c>
      <c r="DP419" s="779">
        <f>+DQ419</f>
        <v>0</v>
      </c>
      <c r="DQ419" s="1323">
        <f>DO419</f>
        <v>0</v>
      </c>
      <c r="DR419" s="813">
        <v>0</v>
      </c>
      <c r="DS419" s="779">
        <f>+DT419</f>
        <v>0</v>
      </c>
      <c r="DT419" s="1323">
        <f>DR419</f>
        <v>0</v>
      </c>
      <c r="DU419" s="813">
        <v>0</v>
      </c>
      <c r="DV419" s="779">
        <f>+DW419</f>
        <v>0</v>
      </c>
      <c r="DW419" s="1323">
        <f>DU419</f>
        <v>0</v>
      </c>
      <c r="DX419" s="813">
        <v>0</v>
      </c>
      <c r="DY419" s="779">
        <f>+DZ419</f>
        <v>0</v>
      </c>
      <c r="DZ419" s="1323">
        <f>DX419</f>
        <v>0</v>
      </c>
      <c r="EA419" s="813">
        <v>0</v>
      </c>
      <c r="EB419" s="779">
        <f>+EC419</f>
        <v>0</v>
      </c>
      <c r="EC419" s="1323">
        <f>EA419</f>
        <v>0</v>
      </c>
      <c r="ED419" s="813">
        <v>0</v>
      </c>
      <c r="EE419" s="779">
        <f>+EF419</f>
        <v>0</v>
      </c>
      <c r="EF419" s="1323">
        <f>ED419</f>
        <v>0</v>
      </c>
      <c r="EG419" s="813">
        <v>0</v>
      </c>
      <c r="EH419" s="779">
        <f>+EI419</f>
        <v>0</v>
      </c>
      <c r="EI419" s="1323">
        <f>EG419</f>
        <v>0</v>
      </c>
      <c r="EJ419" s="813">
        <v>0</v>
      </c>
      <c r="EK419" s="779">
        <f>+EL419</f>
        <v>0</v>
      </c>
      <c r="EL419" s="1323">
        <f>EJ419</f>
        <v>0</v>
      </c>
      <c r="EM419" s="813">
        <v>0</v>
      </c>
      <c r="EN419" s="779">
        <f>+EO419</f>
        <v>0</v>
      </c>
      <c r="EO419" s="1323">
        <f>EM419</f>
        <v>0</v>
      </c>
      <c r="EP419" s="813">
        <v>0</v>
      </c>
      <c r="EQ419" s="779">
        <f>+ER419</f>
        <v>0</v>
      </c>
      <c r="ER419" s="1323">
        <f>EP419</f>
        <v>0</v>
      </c>
      <c r="ES419" s="813">
        <v>0</v>
      </c>
      <c r="ET419" s="779">
        <f>+EU419</f>
        <v>0</v>
      </c>
      <c r="EU419" s="1323">
        <f>ES419</f>
        <v>0</v>
      </c>
      <c r="EV419" s="813">
        <v>0</v>
      </c>
      <c r="EW419" s="779">
        <f>+EX419</f>
        <v>0</v>
      </c>
      <c r="EX419" s="1323">
        <f>EV419</f>
        <v>0</v>
      </c>
      <c r="EY419" s="813">
        <v>0</v>
      </c>
      <c r="EZ419" s="779">
        <f>+FA419</f>
        <v>0</v>
      </c>
      <c r="FA419" s="1323">
        <f>EY419</f>
        <v>0</v>
      </c>
      <c r="FB419" s="779"/>
      <c r="FE419"/>
      <c r="FF419"/>
      <c r="FG419"/>
      <c r="FH419"/>
      <c r="FI419"/>
      <c r="FJ419"/>
      <c r="FK419" s="35"/>
    </row>
    <row r="420" spans="1:167" s="236" customFormat="1" ht="13.35" hidden="1" customHeight="1" outlineLevel="1">
      <c r="A420" s="289"/>
      <c r="B420" s="401" t="s">
        <v>522</v>
      </c>
      <c r="C420" s="806"/>
      <c r="D420" s="289"/>
      <c r="E420" s="793"/>
      <c r="F420" s="596">
        <f>+G420-E420</f>
        <v>0</v>
      </c>
      <c r="G420" s="794"/>
      <c r="H420" s="795"/>
      <c r="I420" s="596">
        <f>+J420-H420</f>
        <v>0</v>
      </c>
      <c r="J420" s="794"/>
      <c r="K420" s="795"/>
      <c r="L420" s="596">
        <f>+M420-K420</f>
        <v>0</v>
      </c>
      <c r="M420" s="794"/>
      <c r="N420" s="795"/>
      <c r="O420" s="596">
        <f>+P420-N420</f>
        <v>0</v>
      </c>
      <c r="P420" s="794"/>
      <c r="Q420" s="795"/>
      <c r="R420" s="596">
        <f>+S420-Q420</f>
        <v>0</v>
      </c>
      <c r="S420" s="794"/>
      <c r="T420" s="795"/>
      <c r="U420" s="596">
        <f>+V420-T420</f>
        <v>0</v>
      </c>
      <c r="V420" s="794"/>
      <c r="W420" s="795"/>
      <c r="X420" s="596">
        <f>+Y420-W420</f>
        <v>0</v>
      </c>
      <c r="Y420" s="794"/>
      <c r="Z420" s="795"/>
      <c r="AA420" s="596">
        <f>+AB420-Z420</f>
        <v>0</v>
      </c>
      <c r="AB420" s="794"/>
      <c r="AC420" s="795"/>
      <c r="AD420" s="596">
        <f>+AE420-AC420</f>
        <v>0</v>
      </c>
      <c r="AE420" s="794"/>
      <c r="AF420" s="795"/>
      <c r="AG420" s="596">
        <f>+AH420-AF420</f>
        <v>0</v>
      </c>
      <c r="AH420" s="794"/>
      <c r="AI420" s="795"/>
      <c r="AJ420" s="596">
        <f>+AK420-AI420</f>
        <v>0</v>
      </c>
      <c r="AK420" s="794"/>
      <c r="AL420" s="795"/>
      <c r="AM420" s="596">
        <f>+AN420-AL420</f>
        <v>0</v>
      </c>
      <c r="AN420" s="794"/>
      <c r="AO420" s="795"/>
      <c r="AP420" s="596">
        <f>+AQ420-AO420</f>
        <v>0</v>
      </c>
      <c r="AQ420" s="794"/>
      <c r="AR420" s="795"/>
      <c r="AS420" s="596">
        <f>+AT420-AR420</f>
        <v>0</v>
      </c>
      <c r="AT420" s="794"/>
      <c r="AU420" s="795"/>
      <c r="AV420" s="596">
        <f>+AW420-AU420</f>
        <v>0</v>
      </c>
      <c r="AW420" s="794"/>
      <c r="AX420" s="815">
        <v>0</v>
      </c>
      <c r="AY420" s="596">
        <f>+AZ420-AX420</f>
        <v>0</v>
      </c>
      <c r="AZ420" s="814">
        <f>AX420</f>
        <v>0</v>
      </c>
      <c r="BA420" s="815">
        <v>0</v>
      </c>
      <c r="BB420" s="596">
        <f>+BC420-BA420</f>
        <v>0</v>
      </c>
      <c r="BC420" s="814">
        <f>BA420</f>
        <v>0</v>
      </c>
      <c r="BD420" s="815">
        <v>0</v>
      </c>
      <c r="BE420" s="596">
        <f>+BF420-BD420</f>
        <v>0</v>
      </c>
      <c r="BF420" s="814">
        <f>BD420</f>
        <v>0</v>
      </c>
      <c r="BG420" s="815">
        <v>0</v>
      </c>
      <c r="BH420" s="596">
        <f>+BI420-BG420</f>
        <v>0</v>
      </c>
      <c r="BI420" s="814">
        <f>BG420</f>
        <v>0</v>
      </c>
      <c r="BJ420" s="815">
        <v>0</v>
      </c>
      <c r="BK420" s="596">
        <f>+BL420-BJ420</f>
        <v>0</v>
      </c>
      <c r="BL420" s="814">
        <f>BJ420</f>
        <v>0</v>
      </c>
      <c r="BM420" s="815">
        <v>0</v>
      </c>
      <c r="BN420" s="596">
        <f>+BO420-BM420</f>
        <v>0</v>
      </c>
      <c r="BO420" s="814">
        <f>BM420</f>
        <v>0</v>
      </c>
      <c r="BP420" s="815">
        <v>0</v>
      </c>
      <c r="BQ420" s="596">
        <f>+BR420-BP420</f>
        <v>0</v>
      </c>
      <c r="BR420" s="814">
        <f>BP420</f>
        <v>0</v>
      </c>
      <c r="BS420" s="815">
        <v>0</v>
      </c>
      <c r="BT420" s="596">
        <f>+BU420-BS420</f>
        <v>0</v>
      </c>
      <c r="BU420" s="814">
        <f>BS420</f>
        <v>0</v>
      </c>
      <c r="BV420" s="815">
        <v>0</v>
      </c>
      <c r="BW420" s="596">
        <f>+BX420-BV420</f>
        <v>0</v>
      </c>
      <c r="BX420" s="814">
        <f>BV420</f>
        <v>0</v>
      </c>
      <c r="BY420" s="815">
        <v>0</v>
      </c>
      <c r="BZ420" s="596">
        <f>+CA420-BY420</f>
        <v>0</v>
      </c>
      <c r="CA420" s="814">
        <f>BY420</f>
        <v>0</v>
      </c>
      <c r="CB420" s="815">
        <v>0</v>
      </c>
      <c r="CC420" s="596">
        <f>+CD420-CB420</f>
        <v>0</v>
      </c>
      <c r="CD420" s="814">
        <f>CB420</f>
        <v>0</v>
      </c>
      <c r="CE420" s="815">
        <v>0</v>
      </c>
      <c r="CF420" s="596">
        <f>+CG420-CE420</f>
        <v>0</v>
      </c>
      <c r="CG420" s="814">
        <f>CE420</f>
        <v>0</v>
      </c>
      <c r="CH420" s="815">
        <v>0</v>
      </c>
      <c r="CI420" s="596">
        <f>+CJ420-CH420</f>
        <v>0</v>
      </c>
      <c r="CJ420" s="814">
        <f>CH420</f>
        <v>0</v>
      </c>
      <c r="CK420" s="815">
        <v>0</v>
      </c>
      <c r="CL420" s="596">
        <f>+CM420-CK420</f>
        <v>0</v>
      </c>
      <c r="CM420" s="814">
        <f>CK420</f>
        <v>0</v>
      </c>
      <c r="CN420" s="815">
        <v>0</v>
      </c>
      <c r="CO420" s="596">
        <f>+CP420-CN420</f>
        <v>0</v>
      </c>
      <c r="CP420" s="814">
        <f>CN420</f>
        <v>0</v>
      </c>
      <c r="CQ420" s="815">
        <v>0</v>
      </c>
      <c r="CR420" s="596">
        <f>+CS420-CQ420</f>
        <v>0</v>
      </c>
      <c r="CS420" s="814">
        <f>CQ420</f>
        <v>0</v>
      </c>
      <c r="CT420" s="815">
        <v>0</v>
      </c>
      <c r="CU420" s="596">
        <f>+CV420-CT420</f>
        <v>0</v>
      </c>
      <c r="CV420" s="814">
        <f>CT420</f>
        <v>0</v>
      </c>
      <c r="CW420" s="815">
        <v>0</v>
      </c>
      <c r="CX420" s="596">
        <f>+CY420-CW420</f>
        <v>0</v>
      </c>
      <c r="CY420" s="814">
        <f>CW420</f>
        <v>0</v>
      </c>
      <c r="CZ420" s="815">
        <v>0</v>
      </c>
      <c r="DA420" s="596">
        <f>+DB420-CZ420</f>
        <v>0</v>
      </c>
      <c r="DB420" s="814">
        <f>CZ420</f>
        <v>0</v>
      </c>
      <c r="DC420" s="815">
        <v>0</v>
      </c>
      <c r="DD420" s="596">
        <f>+DE420-DC420</f>
        <v>0</v>
      </c>
      <c r="DE420" s="814">
        <f>DC420</f>
        <v>0</v>
      </c>
      <c r="DF420" s="815">
        <v>0</v>
      </c>
      <c r="DG420" s="596">
        <f>+DH420-DF420</f>
        <v>0</v>
      </c>
      <c r="DH420" s="1323">
        <f>DF420</f>
        <v>0</v>
      </c>
      <c r="DI420" s="815">
        <v>0</v>
      </c>
      <c r="DJ420" s="596">
        <f>+DK420-DI420</f>
        <v>0</v>
      </c>
      <c r="DK420" s="1323">
        <f>DI420</f>
        <v>0</v>
      </c>
      <c r="DL420" s="815">
        <v>0</v>
      </c>
      <c r="DM420" s="596">
        <f>+DN420-DL420</f>
        <v>0</v>
      </c>
      <c r="DN420" s="1323">
        <f>DL420</f>
        <v>0</v>
      </c>
      <c r="DO420" s="815">
        <v>0</v>
      </c>
      <c r="DP420" s="596">
        <f>+DQ420-DO420</f>
        <v>0</v>
      </c>
      <c r="DQ420" s="1323">
        <f>DO420</f>
        <v>0</v>
      </c>
      <c r="DR420" s="815">
        <v>0</v>
      </c>
      <c r="DS420" s="596">
        <f>+DT420-DR420</f>
        <v>0</v>
      </c>
      <c r="DT420" s="1323">
        <f>DR420</f>
        <v>0</v>
      </c>
      <c r="DU420" s="815">
        <v>0</v>
      </c>
      <c r="DV420" s="596">
        <f>+DW420-DU420</f>
        <v>0</v>
      </c>
      <c r="DW420" s="1323">
        <f>DU420</f>
        <v>0</v>
      </c>
      <c r="DX420" s="815">
        <v>0</v>
      </c>
      <c r="DY420" s="596">
        <f>+DZ420-DX420</f>
        <v>0</v>
      </c>
      <c r="DZ420" s="1323">
        <f>DX420</f>
        <v>0</v>
      </c>
      <c r="EA420" s="815">
        <v>0</v>
      </c>
      <c r="EB420" s="596">
        <f>+EC420-EA420</f>
        <v>0</v>
      </c>
      <c r="EC420" s="1323">
        <f>EA420</f>
        <v>0</v>
      </c>
      <c r="ED420" s="815">
        <v>0</v>
      </c>
      <c r="EE420" s="596">
        <f>+EF420-ED420</f>
        <v>0</v>
      </c>
      <c r="EF420" s="1323">
        <f>ED420</f>
        <v>0</v>
      </c>
      <c r="EG420" s="815">
        <v>0</v>
      </c>
      <c r="EH420" s="596">
        <f>+EI420-EG420</f>
        <v>0</v>
      </c>
      <c r="EI420" s="1323">
        <f>EG420</f>
        <v>0</v>
      </c>
      <c r="EJ420" s="815">
        <v>0</v>
      </c>
      <c r="EK420" s="596">
        <f>+EL420-EJ420</f>
        <v>0</v>
      </c>
      <c r="EL420" s="1323">
        <f>EJ420</f>
        <v>0</v>
      </c>
      <c r="EM420" s="815">
        <v>0</v>
      </c>
      <c r="EN420" s="596">
        <f>+EO420-EM420</f>
        <v>0</v>
      </c>
      <c r="EO420" s="1323">
        <f>EM420</f>
        <v>0</v>
      </c>
      <c r="EP420" s="815">
        <v>0</v>
      </c>
      <c r="EQ420" s="596">
        <f>+ER420-EP420</f>
        <v>0</v>
      </c>
      <c r="ER420" s="1323">
        <f>EP420</f>
        <v>0</v>
      </c>
      <c r="ES420" s="815">
        <v>0</v>
      </c>
      <c r="ET420" s="596">
        <f>+EU420-ES420</f>
        <v>0</v>
      </c>
      <c r="EU420" s="1323">
        <f>ES420</f>
        <v>0</v>
      </c>
      <c r="EV420" s="815">
        <v>0</v>
      </c>
      <c r="EW420" s="596">
        <f>+EX420-EV420</f>
        <v>0</v>
      </c>
      <c r="EX420" s="1323">
        <f>EV420</f>
        <v>0</v>
      </c>
      <c r="EY420" s="815">
        <v>0</v>
      </c>
      <c r="EZ420" s="596">
        <f>+FA420-EY420</f>
        <v>0</v>
      </c>
      <c r="FA420" s="1323">
        <f>EY420</f>
        <v>0</v>
      </c>
      <c r="FB420" s="779"/>
      <c r="FE420"/>
      <c r="FF420"/>
      <c r="FG420"/>
      <c r="FH420"/>
      <c r="FI420"/>
      <c r="FJ420"/>
      <c r="FK420" s="35"/>
    </row>
    <row r="421" spans="1:167" s="819" customFormat="1" ht="13.35" hidden="1" customHeight="1" outlineLevel="1" thickBot="1">
      <c r="A421" s="816"/>
      <c r="B421" s="401" t="s">
        <v>523</v>
      </c>
      <c r="C421" s="817"/>
      <c r="D421" s="816"/>
      <c r="E421" s="799" t="s">
        <v>524</v>
      </c>
      <c r="F421" s="800"/>
      <c r="G421" s="801" t="str">
        <f>+E421</f>
        <v>N</v>
      </c>
      <c r="H421" s="802" t="str">
        <f>G421</f>
        <v>N</v>
      </c>
      <c r="I421" s="800"/>
      <c r="J421" s="801" t="str">
        <f>+H421</f>
        <v>N</v>
      </c>
      <c r="K421" s="802" t="str">
        <f>J421</f>
        <v>N</v>
      </c>
      <c r="L421" s="800"/>
      <c r="M421" s="801" t="str">
        <f>+K421</f>
        <v>N</v>
      </c>
      <c r="N421" s="802" t="str">
        <f>M421</f>
        <v>N</v>
      </c>
      <c r="O421" s="800"/>
      <c r="P421" s="801" t="str">
        <f>+N421</f>
        <v>N</v>
      </c>
      <c r="Q421" s="802" t="str">
        <f>P421</f>
        <v>N</v>
      </c>
      <c r="R421" s="800"/>
      <c r="S421" s="801" t="str">
        <f>+Q421</f>
        <v>N</v>
      </c>
      <c r="T421" s="802" t="str">
        <f>S421</f>
        <v>N</v>
      </c>
      <c r="U421" s="800"/>
      <c r="V421" s="801" t="str">
        <f>+T421</f>
        <v>N</v>
      </c>
      <c r="W421" s="802" t="str">
        <f>V421</f>
        <v>N</v>
      </c>
      <c r="X421" s="800"/>
      <c r="Y421" s="801" t="str">
        <f>+W421</f>
        <v>N</v>
      </c>
      <c r="Z421" s="802" t="str">
        <f>Y421</f>
        <v>N</v>
      </c>
      <c r="AA421" s="800"/>
      <c r="AB421" s="801" t="str">
        <f>+Z421</f>
        <v>N</v>
      </c>
      <c r="AC421" s="802" t="str">
        <f>AB421</f>
        <v>N</v>
      </c>
      <c r="AD421" s="800"/>
      <c r="AE421" s="801" t="str">
        <f>+AC421</f>
        <v>N</v>
      </c>
      <c r="AF421" s="802" t="str">
        <f>AE421</f>
        <v>N</v>
      </c>
      <c r="AG421" s="800"/>
      <c r="AH421" s="801" t="str">
        <f>+AF421</f>
        <v>N</v>
      </c>
      <c r="AI421" s="802" t="str">
        <f>AH421</f>
        <v>N</v>
      </c>
      <c r="AJ421" s="800"/>
      <c r="AK421" s="801" t="str">
        <f>+AI421</f>
        <v>N</v>
      </c>
      <c r="AL421" s="802" t="str">
        <f>AK421</f>
        <v>N</v>
      </c>
      <c r="AM421" s="800"/>
      <c r="AN421" s="801" t="str">
        <f>+AL421</f>
        <v>N</v>
      </c>
      <c r="AO421" s="802" t="str">
        <f>AN421</f>
        <v>N</v>
      </c>
      <c r="AP421" s="800"/>
      <c r="AQ421" s="801" t="str">
        <f>+AO421</f>
        <v>N</v>
      </c>
      <c r="AR421" s="802" t="str">
        <f>AQ421</f>
        <v>N</v>
      </c>
      <c r="AS421" s="800"/>
      <c r="AT421" s="801" t="str">
        <f>+AR421</f>
        <v>N</v>
      </c>
      <c r="AU421" s="802" t="str">
        <f>AT421</f>
        <v>N</v>
      </c>
      <c r="AV421" s="800"/>
      <c r="AW421" s="801" t="str">
        <f>+AU421</f>
        <v>N</v>
      </c>
      <c r="AX421" s="802" t="str">
        <f>AW421</f>
        <v>N</v>
      </c>
      <c r="AY421" s="800"/>
      <c r="AZ421" s="818" t="str">
        <f>+AX421</f>
        <v>N</v>
      </c>
      <c r="BA421" s="802" t="str">
        <f>AZ421</f>
        <v>N</v>
      </c>
      <c r="BB421" s="800"/>
      <c r="BC421" s="818" t="str">
        <f>+BA421</f>
        <v>N</v>
      </c>
      <c r="BD421" s="802" t="str">
        <f>BC421</f>
        <v>N</v>
      </c>
      <c r="BE421" s="800"/>
      <c r="BF421" s="818" t="str">
        <f>+BD421</f>
        <v>N</v>
      </c>
      <c r="BG421" s="802" t="str">
        <f>BF421</f>
        <v>N</v>
      </c>
      <c r="BH421" s="800"/>
      <c r="BI421" s="818" t="str">
        <f>+BG421</f>
        <v>N</v>
      </c>
      <c r="BJ421" s="802" t="str">
        <f>BI421</f>
        <v>N</v>
      </c>
      <c r="BK421" s="800"/>
      <c r="BL421" s="818" t="str">
        <f>+BJ421</f>
        <v>N</v>
      </c>
      <c r="BM421" s="802" t="str">
        <f>BL421</f>
        <v>N</v>
      </c>
      <c r="BN421" s="800"/>
      <c r="BO421" s="818" t="str">
        <f>+BM421</f>
        <v>N</v>
      </c>
      <c r="BP421" s="802" t="str">
        <f>BO421</f>
        <v>N</v>
      </c>
      <c r="BQ421" s="800"/>
      <c r="BR421" s="818" t="str">
        <f>+BP421</f>
        <v>N</v>
      </c>
      <c r="BS421" s="802" t="str">
        <f>BR421</f>
        <v>N</v>
      </c>
      <c r="BT421" s="800"/>
      <c r="BU421" s="818" t="str">
        <f>+BS421</f>
        <v>N</v>
      </c>
      <c r="BV421" s="802" t="str">
        <f>BU421</f>
        <v>N</v>
      </c>
      <c r="BW421" s="800"/>
      <c r="BX421" s="818" t="str">
        <f>+BV421</f>
        <v>N</v>
      </c>
      <c r="BY421" s="802" t="str">
        <f>BX421</f>
        <v>N</v>
      </c>
      <c r="BZ421" s="800"/>
      <c r="CA421" s="818" t="str">
        <f>+BY421</f>
        <v>N</v>
      </c>
      <c r="CB421" s="802" t="str">
        <f>CA421</f>
        <v>N</v>
      </c>
      <c r="CC421" s="800"/>
      <c r="CD421" s="818" t="str">
        <f>+CB421</f>
        <v>N</v>
      </c>
      <c r="CE421" s="802" t="str">
        <f>CD421</f>
        <v>N</v>
      </c>
      <c r="CF421" s="800"/>
      <c r="CG421" s="818" t="str">
        <f>+CE421</f>
        <v>N</v>
      </c>
      <c r="CH421" s="802" t="str">
        <f>CG421</f>
        <v>N</v>
      </c>
      <c r="CI421" s="800"/>
      <c r="CJ421" s="818" t="str">
        <f>+CH421</f>
        <v>N</v>
      </c>
      <c r="CK421" s="802" t="str">
        <f>CJ421</f>
        <v>N</v>
      </c>
      <c r="CL421" s="800"/>
      <c r="CM421" s="818" t="str">
        <f>+CK421</f>
        <v>N</v>
      </c>
      <c r="CN421" s="802" t="str">
        <f>CM421</f>
        <v>N</v>
      </c>
      <c r="CO421" s="800"/>
      <c r="CP421" s="818" t="str">
        <f>+CN421</f>
        <v>N</v>
      </c>
      <c r="CQ421" s="802" t="str">
        <f>CP421</f>
        <v>N</v>
      </c>
      <c r="CR421" s="800"/>
      <c r="CS421" s="818" t="str">
        <f>+CQ421</f>
        <v>N</v>
      </c>
      <c r="CT421" s="802" t="str">
        <f>CS421</f>
        <v>N</v>
      </c>
      <c r="CU421" s="800"/>
      <c r="CV421" s="818" t="str">
        <f>+CT421</f>
        <v>N</v>
      </c>
      <c r="CW421" s="802" t="str">
        <f>CV421</f>
        <v>N</v>
      </c>
      <c r="CX421" s="800"/>
      <c r="CY421" s="818" t="str">
        <f>+CW421</f>
        <v>N</v>
      </c>
      <c r="CZ421" s="802" t="str">
        <f>CY421</f>
        <v>N</v>
      </c>
      <c r="DA421" s="800"/>
      <c r="DB421" s="818" t="str">
        <f>+CZ421</f>
        <v>N</v>
      </c>
      <c r="DC421" s="802" t="str">
        <f>DB421</f>
        <v>N</v>
      </c>
      <c r="DD421" s="800"/>
      <c r="DE421" s="818" t="str">
        <f>+DC421</f>
        <v>N</v>
      </c>
      <c r="DF421" s="802" t="str">
        <f>DE421</f>
        <v>N</v>
      </c>
      <c r="DG421" s="800"/>
      <c r="DH421" s="1324" t="str">
        <f>+DF421</f>
        <v>N</v>
      </c>
      <c r="DI421" s="802" t="str">
        <f>DH421</f>
        <v>N</v>
      </c>
      <c r="DJ421" s="800"/>
      <c r="DK421" s="1324" t="str">
        <f>+DI421</f>
        <v>N</v>
      </c>
      <c r="DL421" s="802" t="str">
        <f>DK421</f>
        <v>N</v>
      </c>
      <c r="DM421" s="800"/>
      <c r="DN421" s="1324" t="str">
        <f>+DL421</f>
        <v>N</v>
      </c>
      <c r="DO421" s="802" t="str">
        <f>DN421</f>
        <v>N</v>
      </c>
      <c r="DP421" s="800"/>
      <c r="DQ421" s="1324" t="str">
        <f>+DO421</f>
        <v>N</v>
      </c>
      <c r="DR421" s="802" t="str">
        <f>DQ421</f>
        <v>N</v>
      </c>
      <c r="DS421" s="800"/>
      <c r="DT421" s="1324" t="str">
        <f>+DR421</f>
        <v>N</v>
      </c>
      <c r="DU421" s="802" t="str">
        <f>DT421</f>
        <v>N</v>
      </c>
      <c r="DV421" s="800"/>
      <c r="DW421" s="1324" t="str">
        <f>+DU421</f>
        <v>N</v>
      </c>
      <c r="DX421" s="802" t="str">
        <f>DW421</f>
        <v>N</v>
      </c>
      <c r="DY421" s="800"/>
      <c r="DZ421" s="1324" t="str">
        <f>+DX421</f>
        <v>N</v>
      </c>
      <c r="EA421" s="802" t="str">
        <f>DZ421</f>
        <v>N</v>
      </c>
      <c r="EB421" s="800"/>
      <c r="EC421" s="1324" t="str">
        <f>+EA421</f>
        <v>N</v>
      </c>
      <c r="ED421" s="802" t="str">
        <f>EC421</f>
        <v>N</v>
      </c>
      <c r="EE421" s="800"/>
      <c r="EF421" s="1324" t="str">
        <f>+ED421</f>
        <v>N</v>
      </c>
      <c r="EG421" s="802" t="str">
        <f>EF421</f>
        <v>N</v>
      </c>
      <c r="EH421" s="800"/>
      <c r="EI421" s="1324" t="str">
        <f>+EG421</f>
        <v>N</v>
      </c>
      <c r="EJ421" s="802" t="str">
        <f>EI421</f>
        <v>N</v>
      </c>
      <c r="EK421" s="800"/>
      <c r="EL421" s="1324" t="str">
        <f>+EJ421</f>
        <v>N</v>
      </c>
      <c r="EM421" s="802" t="str">
        <f>EL421</f>
        <v>N</v>
      </c>
      <c r="EN421" s="800"/>
      <c r="EO421" s="1324" t="str">
        <f>+EM421</f>
        <v>N</v>
      </c>
      <c r="EP421" s="802" t="str">
        <f>EO421</f>
        <v>N</v>
      </c>
      <c r="EQ421" s="800"/>
      <c r="ER421" s="1324" t="str">
        <f>+EP421</f>
        <v>N</v>
      </c>
      <c r="ES421" s="802" t="str">
        <f>ER421</f>
        <v>N</v>
      </c>
      <c r="ET421" s="800"/>
      <c r="EU421" s="1324" t="str">
        <f>+ES421</f>
        <v>N</v>
      </c>
      <c r="EV421" s="802" t="str">
        <f>EU421</f>
        <v>N</v>
      </c>
      <c r="EW421" s="800"/>
      <c r="EX421" s="1324" t="str">
        <f>+EV421</f>
        <v>N</v>
      </c>
      <c r="EY421" s="802" t="str">
        <f>EX421</f>
        <v>N</v>
      </c>
      <c r="EZ421" s="800"/>
      <c r="FA421" s="1324" t="str">
        <f>+EY421</f>
        <v>N</v>
      </c>
      <c r="FB421" s="238"/>
      <c r="FE421"/>
      <c r="FF421"/>
      <c r="FG421"/>
      <c r="FH421"/>
      <c r="FI421"/>
      <c r="FJ421"/>
      <c r="FK421" s="35"/>
    </row>
    <row r="422" spans="1:167" s="236" customFormat="1" ht="13.35" hidden="1" customHeight="1" outlineLevel="1" thickBot="1">
      <c r="A422" s="289"/>
      <c r="B422" s="289"/>
      <c r="C422" s="806"/>
      <c r="D422" s="289"/>
      <c r="E422" s="807"/>
      <c r="F422" s="807"/>
      <c r="G422" s="808"/>
      <c r="H422" s="807"/>
      <c r="I422" s="807"/>
      <c r="J422" s="808"/>
      <c r="K422" s="807"/>
      <c r="L422" s="807"/>
      <c r="M422" s="808"/>
      <c r="N422" s="807"/>
      <c r="O422" s="807"/>
      <c r="P422" s="808"/>
      <c r="Q422" s="809"/>
      <c r="R422" s="809"/>
      <c r="S422" s="810"/>
      <c r="T422" s="809"/>
      <c r="U422" s="809"/>
      <c r="V422" s="808"/>
      <c r="W422" s="807"/>
      <c r="X422" s="807"/>
      <c r="Y422" s="808"/>
      <c r="Z422" s="807"/>
      <c r="AA422" s="807"/>
      <c r="AB422" s="808"/>
      <c r="AC422" s="807"/>
      <c r="AD422" s="807"/>
      <c r="AE422" s="808"/>
      <c r="AF422" s="807"/>
      <c r="AG422" s="807"/>
      <c r="AH422" s="808"/>
      <c r="AI422" s="807"/>
      <c r="AJ422" s="807"/>
      <c r="AK422" s="808"/>
      <c r="AL422" s="807"/>
      <c r="AM422" s="807"/>
      <c r="AN422" s="808"/>
      <c r="AO422" s="807"/>
      <c r="AP422" s="807"/>
      <c r="AQ422" s="808"/>
      <c r="AR422" s="807"/>
      <c r="AS422" s="807"/>
      <c r="AT422" s="808"/>
      <c r="AU422" s="807"/>
      <c r="AV422" s="807"/>
      <c r="AW422" s="808"/>
      <c r="AX422" s="807"/>
      <c r="AY422" s="807"/>
      <c r="AZ422" s="808"/>
      <c r="BA422" s="807"/>
      <c r="BB422" s="807"/>
      <c r="BC422" s="808"/>
      <c r="BD422" s="807"/>
      <c r="BE422" s="807"/>
      <c r="BF422" s="808"/>
      <c r="BG422" s="807"/>
      <c r="BH422" s="807"/>
      <c r="BI422" s="808"/>
      <c r="BJ422" s="807"/>
      <c r="BK422" s="807"/>
      <c r="BL422" s="808"/>
      <c r="BM422" s="807"/>
      <c r="BN422" s="807"/>
      <c r="BO422" s="808"/>
      <c r="BP422" s="807"/>
      <c r="BQ422" s="807"/>
      <c r="BR422" s="808"/>
      <c r="BS422" s="807"/>
      <c r="BT422" s="807"/>
      <c r="BU422" s="808"/>
      <c r="BV422" s="807"/>
      <c r="BW422" s="807"/>
      <c r="BX422" s="808"/>
      <c r="BY422" s="807"/>
      <c r="BZ422" s="807"/>
      <c r="CA422" s="808"/>
      <c r="CB422" s="807"/>
      <c r="CC422" s="807"/>
      <c r="CD422" s="808"/>
      <c r="CE422" s="807"/>
      <c r="CF422" s="807"/>
      <c r="CG422" s="808"/>
      <c r="CH422" s="807"/>
      <c r="CI422" s="807"/>
      <c r="CJ422" s="808"/>
      <c r="CK422" s="807"/>
      <c r="CL422" s="807"/>
      <c r="CM422" s="808"/>
      <c r="CN422" s="807"/>
      <c r="CO422" s="807"/>
      <c r="CP422" s="808"/>
      <c r="CQ422" s="807"/>
      <c r="CR422" s="807"/>
      <c r="CS422" s="808"/>
      <c r="CT422" s="807"/>
      <c r="CU422" s="807"/>
      <c r="CV422" s="808"/>
      <c r="CW422" s="807"/>
      <c r="CX422" s="807"/>
      <c r="CY422" s="808"/>
      <c r="CZ422" s="807"/>
      <c r="DA422" s="807"/>
      <c r="DB422" s="808"/>
      <c r="DC422" s="807"/>
      <c r="DD422" s="807"/>
      <c r="DE422" s="808"/>
      <c r="DF422" s="807"/>
      <c r="DG422" s="807"/>
      <c r="DH422" s="1325"/>
      <c r="DI422" s="807"/>
      <c r="DJ422" s="807"/>
      <c r="DK422" s="1325"/>
      <c r="DL422" s="807"/>
      <c r="DM422" s="807"/>
      <c r="DN422" s="1325"/>
      <c r="DO422" s="807"/>
      <c r="DP422" s="807"/>
      <c r="DQ422" s="1325"/>
      <c r="DR422" s="807"/>
      <c r="DS422" s="807"/>
      <c r="DT422" s="1325"/>
      <c r="DU422" s="807"/>
      <c r="DV422" s="807"/>
      <c r="DW422" s="1325"/>
      <c r="DX422" s="807"/>
      <c r="DY422" s="807"/>
      <c r="DZ422" s="1325"/>
      <c r="EA422" s="807"/>
      <c r="EB422" s="807"/>
      <c r="EC422" s="1325"/>
      <c r="ED422" s="807"/>
      <c r="EE422" s="807"/>
      <c r="EF422" s="1325"/>
      <c r="EG422" s="807"/>
      <c r="EH422" s="807"/>
      <c r="EI422" s="1325"/>
      <c r="EJ422" s="807"/>
      <c r="EK422" s="807"/>
      <c r="EL422" s="1325"/>
      <c r="EM422" s="807"/>
      <c r="EN422" s="807"/>
      <c r="EO422" s="1325"/>
      <c r="EP422" s="807"/>
      <c r="EQ422" s="807"/>
      <c r="ER422" s="1325"/>
      <c r="ES422" s="807"/>
      <c r="ET422" s="807"/>
      <c r="EU422" s="1325"/>
      <c r="EV422" s="807"/>
      <c r="EW422" s="807"/>
      <c r="EX422" s="1325"/>
      <c r="EY422" s="807"/>
      <c r="EZ422" s="807"/>
      <c r="FA422" s="1325"/>
      <c r="FB422" s="808"/>
      <c r="FE422"/>
      <c r="FF422"/>
      <c r="FG422"/>
      <c r="FH422"/>
      <c r="FI422"/>
      <c r="FJ422"/>
      <c r="FK422" s="35"/>
    </row>
    <row r="423" spans="1:167" s="236" customFormat="1" ht="13.35" hidden="1" customHeight="1" outlineLevel="1">
      <c r="A423" s="289"/>
      <c r="B423" s="401" t="s">
        <v>402</v>
      </c>
      <c r="C423" s="806"/>
      <c r="D423" s="289"/>
      <c r="E423" s="781"/>
      <c r="F423" s="779">
        <f>+G423</f>
        <v>0</v>
      </c>
      <c r="G423" s="782"/>
      <c r="H423" s="783"/>
      <c r="I423" s="779">
        <f>+J423</f>
        <v>0</v>
      </c>
      <c r="J423" s="782"/>
      <c r="K423" s="783"/>
      <c r="L423" s="779">
        <f>+M423</f>
        <v>0</v>
      </c>
      <c r="M423" s="782"/>
      <c r="N423" s="783"/>
      <c r="O423" s="779">
        <f>+P423</f>
        <v>0</v>
      </c>
      <c r="P423" s="782"/>
      <c r="Q423" s="783"/>
      <c r="R423" s="779">
        <f>+S423</f>
        <v>0</v>
      </c>
      <c r="S423" s="782"/>
      <c r="T423" s="783"/>
      <c r="U423" s="779">
        <f>+V423</f>
        <v>0</v>
      </c>
      <c r="V423" s="782"/>
      <c r="W423" s="783"/>
      <c r="X423" s="779">
        <f>+Y423</f>
        <v>0</v>
      </c>
      <c r="Y423" s="782"/>
      <c r="Z423" s="783"/>
      <c r="AA423" s="779">
        <f>+AB423</f>
        <v>0</v>
      </c>
      <c r="AB423" s="782"/>
      <c r="AC423" s="783"/>
      <c r="AD423" s="779">
        <f>+AE423</f>
        <v>0</v>
      </c>
      <c r="AE423" s="782"/>
      <c r="AF423" s="783"/>
      <c r="AG423" s="779">
        <f>+AH423</f>
        <v>0</v>
      </c>
      <c r="AH423" s="782"/>
      <c r="AI423" s="783"/>
      <c r="AJ423" s="779">
        <f>+AK423</f>
        <v>0</v>
      </c>
      <c r="AK423" s="782"/>
      <c r="AL423" s="783"/>
      <c r="AM423" s="779">
        <f>+AN423</f>
        <v>0</v>
      </c>
      <c r="AN423" s="782"/>
      <c r="AO423" s="783"/>
      <c r="AP423" s="779">
        <f>+AQ423</f>
        <v>0</v>
      </c>
      <c r="AQ423" s="782"/>
      <c r="AR423" s="783"/>
      <c r="AS423" s="779">
        <f>+AT423</f>
        <v>0</v>
      </c>
      <c r="AT423" s="782"/>
      <c r="AU423" s="783"/>
      <c r="AV423" s="779">
        <f>+AW423</f>
        <v>0</v>
      </c>
      <c r="AW423" s="782"/>
      <c r="AX423" s="784">
        <v>0</v>
      </c>
      <c r="AY423" s="779">
        <f>+AZ423</f>
        <v>0</v>
      </c>
      <c r="AZ423" s="812">
        <f>AX423</f>
        <v>0</v>
      </c>
      <c r="BA423" s="784">
        <v>0</v>
      </c>
      <c r="BB423" s="779">
        <f>+BC423</f>
        <v>0</v>
      </c>
      <c r="BC423" s="812">
        <f>BA423</f>
        <v>0</v>
      </c>
      <c r="BD423" s="784">
        <v>0</v>
      </c>
      <c r="BE423" s="779">
        <f>+BF423</f>
        <v>0</v>
      </c>
      <c r="BF423" s="812">
        <f>BD423</f>
        <v>0</v>
      </c>
      <c r="BG423" s="784">
        <v>0</v>
      </c>
      <c r="BH423" s="779">
        <f>+BI423</f>
        <v>0</v>
      </c>
      <c r="BI423" s="812">
        <f>BG423</f>
        <v>0</v>
      </c>
      <c r="BJ423" s="784">
        <v>0</v>
      </c>
      <c r="BK423" s="779">
        <f>+BL423</f>
        <v>0</v>
      </c>
      <c r="BL423" s="812">
        <f>BJ423</f>
        <v>0</v>
      </c>
      <c r="BM423" s="784">
        <v>0</v>
      </c>
      <c r="BN423" s="779">
        <f>+BO423</f>
        <v>0</v>
      </c>
      <c r="BO423" s="812">
        <f>BM423</f>
        <v>0</v>
      </c>
      <c r="BP423" s="784">
        <v>0</v>
      </c>
      <c r="BQ423" s="779">
        <f>+BR423</f>
        <v>0</v>
      </c>
      <c r="BR423" s="812">
        <f>BP423</f>
        <v>0</v>
      </c>
      <c r="BS423" s="784">
        <v>0</v>
      </c>
      <c r="BT423" s="779">
        <f>+BU423</f>
        <v>0</v>
      </c>
      <c r="BU423" s="812">
        <f>BS423</f>
        <v>0</v>
      </c>
      <c r="BV423" s="784">
        <v>0</v>
      </c>
      <c r="BW423" s="779">
        <f>+BX423</f>
        <v>0</v>
      </c>
      <c r="BX423" s="812">
        <f>BV423</f>
        <v>0</v>
      </c>
      <c r="BY423" s="784">
        <v>0</v>
      </c>
      <c r="BZ423" s="779">
        <f>+CA423</f>
        <v>0</v>
      </c>
      <c r="CA423" s="812">
        <f>BY423</f>
        <v>0</v>
      </c>
      <c r="CB423" s="784">
        <v>0</v>
      </c>
      <c r="CC423" s="779">
        <f>+CD423</f>
        <v>0</v>
      </c>
      <c r="CD423" s="812">
        <f>CB423</f>
        <v>0</v>
      </c>
      <c r="CE423" s="784">
        <v>0</v>
      </c>
      <c r="CF423" s="779">
        <f>+CG423</f>
        <v>0</v>
      </c>
      <c r="CG423" s="812">
        <f>CE423</f>
        <v>0</v>
      </c>
      <c r="CH423" s="784">
        <v>0</v>
      </c>
      <c r="CI423" s="779">
        <f>+CJ423</f>
        <v>0</v>
      </c>
      <c r="CJ423" s="812">
        <f>CH423</f>
        <v>0</v>
      </c>
      <c r="CK423" s="784">
        <v>0</v>
      </c>
      <c r="CL423" s="779">
        <f>+CM423</f>
        <v>0</v>
      </c>
      <c r="CM423" s="812">
        <f>CK423</f>
        <v>0</v>
      </c>
      <c r="CN423" s="784">
        <v>0</v>
      </c>
      <c r="CO423" s="779">
        <f>+CP423</f>
        <v>0</v>
      </c>
      <c r="CP423" s="812">
        <f>CN423</f>
        <v>0</v>
      </c>
      <c r="CQ423" s="784">
        <v>0</v>
      </c>
      <c r="CR423" s="779">
        <f>+CS423</f>
        <v>0</v>
      </c>
      <c r="CS423" s="812">
        <f>CQ423</f>
        <v>0</v>
      </c>
      <c r="CT423" s="784">
        <v>0</v>
      </c>
      <c r="CU423" s="779">
        <f>+CV423</f>
        <v>0</v>
      </c>
      <c r="CV423" s="812">
        <f>CT423</f>
        <v>0</v>
      </c>
      <c r="CW423" s="784">
        <v>0</v>
      </c>
      <c r="CX423" s="779">
        <f>+CY423</f>
        <v>0</v>
      </c>
      <c r="CY423" s="812">
        <f>CW423</f>
        <v>0</v>
      </c>
      <c r="CZ423" s="784">
        <v>0</v>
      </c>
      <c r="DA423" s="779">
        <f>+DB423</f>
        <v>0</v>
      </c>
      <c r="DB423" s="812">
        <f>CZ423</f>
        <v>0</v>
      </c>
      <c r="DC423" s="784">
        <v>0</v>
      </c>
      <c r="DD423" s="779">
        <f>+DE423</f>
        <v>0</v>
      </c>
      <c r="DE423" s="812">
        <f>DC423</f>
        <v>0</v>
      </c>
      <c r="DF423" s="784">
        <v>0</v>
      </c>
      <c r="DG423" s="779">
        <f>+DH423</f>
        <v>0</v>
      </c>
      <c r="DH423" s="1322">
        <f>DF423</f>
        <v>0</v>
      </c>
      <c r="DI423" s="784">
        <v>0</v>
      </c>
      <c r="DJ423" s="779">
        <f>+DK423</f>
        <v>0</v>
      </c>
      <c r="DK423" s="1322">
        <f>DI423</f>
        <v>0</v>
      </c>
      <c r="DL423" s="784">
        <v>0</v>
      </c>
      <c r="DM423" s="779">
        <f>+DN423</f>
        <v>0</v>
      </c>
      <c r="DN423" s="1322">
        <f>DL423</f>
        <v>0</v>
      </c>
      <c r="DO423" s="784">
        <v>0</v>
      </c>
      <c r="DP423" s="779">
        <f>+DQ423</f>
        <v>0</v>
      </c>
      <c r="DQ423" s="1322">
        <f>DO423</f>
        <v>0</v>
      </c>
      <c r="DR423" s="784">
        <v>0</v>
      </c>
      <c r="DS423" s="779">
        <f>+DT423</f>
        <v>0</v>
      </c>
      <c r="DT423" s="1322">
        <f>DR423</f>
        <v>0</v>
      </c>
      <c r="DU423" s="784">
        <v>0</v>
      </c>
      <c r="DV423" s="779">
        <f>+DW423</f>
        <v>0</v>
      </c>
      <c r="DW423" s="1322">
        <f>DU423</f>
        <v>0</v>
      </c>
      <c r="DX423" s="784">
        <v>0</v>
      </c>
      <c r="DY423" s="779">
        <f>+DZ423</f>
        <v>0</v>
      </c>
      <c r="DZ423" s="1322">
        <f>DX423</f>
        <v>0</v>
      </c>
      <c r="EA423" s="784">
        <v>0</v>
      </c>
      <c r="EB423" s="779">
        <f>+EC423</f>
        <v>0</v>
      </c>
      <c r="EC423" s="1322">
        <f>EA423</f>
        <v>0</v>
      </c>
      <c r="ED423" s="784">
        <v>0</v>
      </c>
      <c r="EE423" s="779">
        <f>+EF423</f>
        <v>0</v>
      </c>
      <c r="EF423" s="1322">
        <f>ED423</f>
        <v>0</v>
      </c>
      <c r="EG423" s="784">
        <v>0</v>
      </c>
      <c r="EH423" s="779">
        <f>+EI423</f>
        <v>0</v>
      </c>
      <c r="EI423" s="1322">
        <f>EG423</f>
        <v>0</v>
      </c>
      <c r="EJ423" s="784">
        <v>0</v>
      </c>
      <c r="EK423" s="779">
        <f>+EL423</f>
        <v>0</v>
      </c>
      <c r="EL423" s="1322">
        <f>EJ423</f>
        <v>0</v>
      </c>
      <c r="EM423" s="784">
        <v>0</v>
      </c>
      <c r="EN423" s="779">
        <f>+EO423</f>
        <v>0</v>
      </c>
      <c r="EO423" s="1322">
        <f>EM423</f>
        <v>0</v>
      </c>
      <c r="EP423" s="784">
        <v>0</v>
      </c>
      <c r="EQ423" s="779">
        <f>+ER423</f>
        <v>0</v>
      </c>
      <c r="ER423" s="1322">
        <f>EP423</f>
        <v>0</v>
      </c>
      <c r="ES423" s="784">
        <v>0</v>
      </c>
      <c r="ET423" s="779">
        <f>+EU423</f>
        <v>0</v>
      </c>
      <c r="EU423" s="1322">
        <f>ES423</f>
        <v>0</v>
      </c>
      <c r="EV423" s="784">
        <v>0</v>
      </c>
      <c r="EW423" s="779">
        <f>+EX423</f>
        <v>0</v>
      </c>
      <c r="EX423" s="1322">
        <f>EV423</f>
        <v>0</v>
      </c>
      <c r="EY423" s="784">
        <v>0</v>
      </c>
      <c r="EZ423" s="779">
        <f>+FA423</f>
        <v>0</v>
      </c>
      <c r="FA423" s="1322">
        <f>EY423</f>
        <v>0</v>
      </c>
      <c r="FB423" s="779"/>
      <c r="FE423"/>
      <c r="FF423"/>
      <c r="FG423"/>
      <c r="FH423"/>
      <c r="FI423"/>
      <c r="FJ423"/>
      <c r="FK423" s="35"/>
    </row>
    <row r="424" spans="1:167" s="235" customFormat="1" ht="13.35" hidden="1" customHeight="1" outlineLevel="1">
      <c r="B424" s="401" t="s">
        <v>329</v>
      </c>
      <c r="C424" s="593"/>
      <c r="D424" s="594"/>
      <c r="E424" s="787"/>
      <c r="F424" s="779">
        <f>+G424</f>
        <v>0</v>
      </c>
      <c r="G424" s="788"/>
      <c r="H424" s="789"/>
      <c r="I424" s="779">
        <f>+J424</f>
        <v>0</v>
      </c>
      <c r="J424" s="788"/>
      <c r="K424" s="789"/>
      <c r="L424" s="779">
        <f>+M424</f>
        <v>0</v>
      </c>
      <c r="M424" s="788"/>
      <c r="N424" s="789"/>
      <c r="O424" s="779">
        <f>+P424</f>
        <v>0</v>
      </c>
      <c r="P424" s="788"/>
      <c r="Q424" s="789"/>
      <c r="R424" s="779">
        <f>+S424</f>
        <v>0</v>
      </c>
      <c r="S424" s="788"/>
      <c r="T424" s="789"/>
      <c r="U424" s="779">
        <f>+V424</f>
        <v>0</v>
      </c>
      <c r="V424" s="788"/>
      <c r="W424" s="789"/>
      <c r="X424" s="779">
        <f>+Y424</f>
        <v>0</v>
      </c>
      <c r="Y424" s="788"/>
      <c r="Z424" s="789"/>
      <c r="AA424" s="779">
        <f>+AB424</f>
        <v>0</v>
      </c>
      <c r="AB424" s="788"/>
      <c r="AC424" s="789"/>
      <c r="AD424" s="779">
        <f>+AE424</f>
        <v>0</v>
      </c>
      <c r="AE424" s="788"/>
      <c r="AF424" s="789"/>
      <c r="AG424" s="779">
        <f>+AH424</f>
        <v>0</v>
      </c>
      <c r="AH424" s="788"/>
      <c r="AI424" s="789"/>
      <c r="AJ424" s="779">
        <f>+AK424</f>
        <v>0</v>
      </c>
      <c r="AK424" s="788"/>
      <c r="AL424" s="789"/>
      <c r="AM424" s="779">
        <f>+AN424</f>
        <v>0</v>
      </c>
      <c r="AN424" s="788"/>
      <c r="AO424" s="789"/>
      <c r="AP424" s="779">
        <f>+AQ424</f>
        <v>0</v>
      </c>
      <c r="AQ424" s="788"/>
      <c r="AR424" s="789"/>
      <c r="AS424" s="779">
        <f>+AT424</f>
        <v>0</v>
      </c>
      <c r="AT424" s="788"/>
      <c r="AU424" s="789"/>
      <c r="AV424" s="779">
        <f>+AW424</f>
        <v>0</v>
      </c>
      <c r="AW424" s="788"/>
      <c r="AX424" s="813">
        <v>0</v>
      </c>
      <c r="AY424" s="779">
        <f>+AZ424</f>
        <v>0</v>
      </c>
      <c r="AZ424" s="814">
        <f>AX424</f>
        <v>0</v>
      </c>
      <c r="BA424" s="813">
        <v>0</v>
      </c>
      <c r="BB424" s="779">
        <f>+BC424</f>
        <v>0</v>
      </c>
      <c r="BC424" s="814">
        <f>BA424</f>
        <v>0</v>
      </c>
      <c r="BD424" s="813">
        <v>0</v>
      </c>
      <c r="BE424" s="779">
        <f>+BF424</f>
        <v>0</v>
      </c>
      <c r="BF424" s="814">
        <f>BD424</f>
        <v>0</v>
      </c>
      <c r="BG424" s="813">
        <v>0</v>
      </c>
      <c r="BH424" s="779">
        <f>+BI424</f>
        <v>0</v>
      </c>
      <c r="BI424" s="814">
        <f>BG424</f>
        <v>0</v>
      </c>
      <c r="BJ424" s="813">
        <v>0</v>
      </c>
      <c r="BK424" s="779">
        <f>+BL424</f>
        <v>0</v>
      </c>
      <c r="BL424" s="814">
        <f>BJ424</f>
        <v>0</v>
      </c>
      <c r="BM424" s="813">
        <v>0</v>
      </c>
      <c r="BN424" s="779">
        <f>+BO424</f>
        <v>0</v>
      </c>
      <c r="BO424" s="814">
        <f>BM424</f>
        <v>0</v>
      </c>
      <c r="BP424" s="813">
        <v>0</v>
      </c>
      <c r="BQ424" s="779">
        <f>+BR424</f>
        <v>0</v>
      </c>
      <c r="BR424" s="814">
        <f>BP424</f>
        <v>0</v>
      </c>
      <c r="BS424" s="813">
        <v>0</v>
      </c>
      <c r="BT424" s="779">
        <f>+BU424</f>
        <v>0</v>
      </c>
      <c r="BU424" s="814">
        <f>BS424</f>
        <v>0</v>
      </c>
      <c r="BV424" s="813">
        <v>0</v>
      </c>
      <c r="BW424" s="779">
        <f>+BX424</f>
        <v>0</v>
      </c>
      <c r="BX424" s="814">
        <f>BV424</f>
        <v>0</v>
      </c>
      <c r="BY424" s="813">
        <v>0</v>
      </c>
      <c r="BZ424" s="779">
        <f>+CA424</f>
        <v>0</v>
      </c>
      <c r="CA424" s="814">
        <f>BY424</f>
        <v>0</v>
      </c>
      <c r="CB424" s="813">
        <v>0</v>
      </c>
      <c r="CC424" s="779">
        <f>+CD424</f>
        <v>0</v>
      </c>
      <c r="CD424" s="814">
        <f>CB424</f>
        <v>0</v>
      </c>
      <c r="CE424" s="813">
        <v>0</v>
      </c>
      <c r="CF424" s="779">
        <f>+CG424</f>
        <v>0</v>
      </c>
      <c r="CG424" s="814">
        <f>CE424</f>
        <v>0</v>
      </c>
      <c r="CH424" s="813">
        <v>0</v>
      </c>
      <c r="CI424" s="779">
        <f>+CJ424</f>
        <v>0</v>
      </c>
      <c r="CJ424" s="814">
        <f>CH424</f>
        <v>0</v>
      </c>
      <c r="CK424" s="813">
        <v>0</v>
      </c>
      <c r="CL424" s="779">
        <f>+CM424</f>
        <v>0</v>
      </c>
      <c r="CM424" s="814">
        <f>CK424</f>
        <v>0</v>
      </c>
      <c r="CN424" s="813">
        <v>0</v>
      </c>
      <c r="CO424" s="779">
        <f>+CP424</f>
        <v>0</v>
      </c>
      <c r="CP424" s="814">
        <f>CN424</f>
        <v>0</v>
      </c>
      <c r="CQ424" s="813">
        <v>0</v>
      </c>
      <c r="CR424" s="779">
        <f>+CS424</f>
        <v>0</v>
      </c>
      <c r="CS424" s="814">
        <f>CQ424</f>
        <v>0</v>
      </c>
      <c r="CT424" s="813">
        <v>0</v>
      </c>
      <c r="CU424" s="779">
        <f>+CV424</f>
        <v>0</v>
      </c>
      <c r="CV424" s="814">
        <f>CT424</f>
        <v>0</v>
      </c>
      <c r="CW424" s="813">
        <v>0</v>
      </c>
      <c r="CX424" s="779">
        <f>+CY424</f>
        <v>0</v>
      </c>
      <c r="CY424" s="814">
        <f>CW424</f>
        <v>0</v>
      </c>
      <c r="CZ424" s="813">
        <v>0</v>
      </c>
      <c r="DA424" s="779">
        <f>+DB424</f>
        <v>0</v>
      </c>
      <c r="DB424" s="814">
        <f>CZ424</f>
        <v>0</v>
      </c>
      <c r="DC424" s="813">
        <v>0</v>
      </c>
      <c r="DD424" s="779">
        <f>+DE424</f>
        <v>0</v>
      </c>
      <c r="DE424" s="814">
        <f>DC424</f>
        <v>0</v>
      </c>
      <c r="DF424" s="813">
        <v>0</v>
      </c>
      <c r="DG424" s="779">
        <f>+DH424</f>
        <v>0</v>
      </c>
      <c r="DH424" s="1323">
        <f>DF424</f>
        <v>0</v>
      </c>
      <c r="DI424" s="813">
        <v>0</v>
      </c>
      <c r="DJ424" s="779">
        <f>+DK424</f>
        <v>0</v>
      </c>
      <c r="DK424" s="1323">
        <f>DI424</f>
        <v>0</v>
      </c>
      <c r="DL424" s="813">
        <v>0</v>
      </c>
      <c r="DM424" s="779">
        <f>+DN424</f>
        <v>0</v>
      </c>
      <c r="DN424" s="1323">
        <f>DL424</f>
        <v>0</v>
      </c>
      <c r="DO424" s="813">
        <v>0</v>
      </c>
      <c r="DP424" s="779">
        <f>+DQ424</f>
        <v>0</v>
      </c>
      <c r="DQ424" s="1323">
        <f>DO424</f>
        <v>0</v>
      </c>
      <c r="DR424" s="813">
        <v>0</v>
      </c>
      <c r="DS424" s="779">
        <f>+DT424</f>
        <v>0</v>
      </c>
      <c r="DT424" s="1323">
        <f>DR424</f>
        <v>0</v>
      </c>
      <c r="DU424" s="813">
        <v>0</v>
      </c>
      <c r="DV424" s="779">
        <f>+DW424</f>
        <v>0</v>
      </c>
      <c r="DW424" s="1323">
        <f>DU424</f>
        <v>0</v>
      </c>
      <c r="DX424" s="813">
        <v>0</v>
      </c>
      <c r="DY424" s="779">
        <f>+DZ424</f>
        <v>0</v>
      </c>
      <c r="DZ424" s="1323">
        <f>DX424</f>
        <v>0</v>
      </c>
      <c r="EA424" s="813">
        <v>0</v>
      </c>
      <c r="EB424" s="779">
        <f>+EC424</f>
        <v>0</v>
      </c>
      <c r="EC424" s="1323">
        <f>EA424</f>
        <v>0</v>
      </c>
      <c r="ED424" s="813">
        <v>0</v>
      </c>
      <c r="EE424" s="779">
        <f>+EF424</f>
        <v>0</v>
      </c>
      <c r="EF424" s="1323">
        <f>ED424</f>
        <v>0</v>
      </c>
      <c r="EG424" s="813">
        <v>0</v>
      </c>
      <c r="EH424" s="779">
        <f>+EI424</f>
        <v>0</v>
      </c>
      <c r="EI424" s="1323">
        <f>EG424</f>
        <v>0</v>
      </c>
      <c r="EJ424" s="813">
        <v>0</v>
      </c>
      <c r="EK424" s="779">
        <f>+EL424</f>
        <v>0</v>
      </c>
      <c r="EL424" s="1323">
        <f>EJ424</f>
        <v>0</v>
      </c>
      <c r="EM424" s="813">
        <v>0</v>
      </c>
      <c r="EN424" s="779">
        <f>+EO424</f>
        <v>0</v>
      </c>
      <c r="EO424" s="1323">
        <f>EM424</f>
        <v>0</v>
      </c>
      <c r="EP424" s="813">
        <v>0</v>
      </c>
      <c r="EQ424" s="779">
        <f>+ER424</f>
        <v>0</v>
      </c>
      <c r="ER424" s="1323">
        <f>EP424</f>
        <v>0</v>
      </c>
      <c r="ES424" s="813">
        <v>0</v>
      </c>
      <c r="ET424" s="779">
        <f>+EU424</f>
        <v>0</v>
      </c>
      <c r="EU424" s="1323">
        <f>ES424</f>
        <v>0</v>
      </c>
      <c r="EV424" s="813">
        <v>0</v>
      </c>
      <c r="EW424" s="779">
        <f>+EX424</f>
        <v>0</v>
      </c>
      <c r="EX424" s="1323">
        <f>EV424</f>
        <v>0</v>
      </c>
      <c r="EY424" s="813">
        <v>0</v>
      </c>
      <c r="EZ424" s="779">
        <f>+FA424</f>
        <v>0</v>
      </c>
      <c r="FA424" s="1323">
        <f>EY424</f>
        <v>0</v>
      </c>
      <c r="FB424" s="779"/>
      <c r="FE424"/>
      <c r="FF424"/>
      <c r="FG424"/>
      <c r="FH424"/>
      <c r="FI424"/>
      <c r="FJ424"/>
      <c r="FK424" s="35"/>
    </row>
    <row r="425" spans="1:167" s="236" customFormat="1" ht="13.35" hidden="1" customHeight="1" outlineLevel="1">
      <c r="A425" s="289"/>
      <c r="B425" s="401" t="s">
        <v>522</v>
      </c>
      <c r="C425" s="806"/>
      <c r="D425" s="289"/>
      <c r="E425" s="793"/>
      <c r="F425" s="596">
        <f>+G425-E425</f>
        <v>0</v>
      </c>
      <c r="G425" s="794"/>
      <c r="H425" s="795"/>
      <c r="I425" s="596">
        <f>+J425-H425</f>
        <v>0</v>
      </c>
      <c r="J425" s="794"/>
      <c r="K425" s="795"/>
      <c r="L425" s="596">
        <f>+M425-K425</f>
        <v>0</v>
      </c>
      <c r="M425" s="794"/>
      <c r="N425" s="795"/>
      <c r="O425" s="596">
        <f>+P425-N425</f>
        <v>0</v>
      </c>
      <c r="P425" s="794"/>
      <c r="Q425" s="795"/>
      <c r="R425" s="596">
        <f>+S425-Q425</f>
        <v>0</v>
      </c>
      <c r="S425" s="794"/>
      <c r="T425" s="795"/>
      <c r="U425" s="596">
        <f>+V425-T425</f>
        <v>0</v>
      </c>
      <c r="V425" s="794"/>
      <c r="W425" s="795"/>
      <c r="X425" s="596">
        <f>+Y425-W425</f>
        <v>0</v>
      </c>
      <c r="Y425" s="794"/>
      <c r="Z425" s="795"/>
      <c r="AA425" s="596">
        <f>+AB425-Z425</f>
        <v>0</v>
      </c>
      <c r="AB425" s="794"/>
      <c r="AC425" s="795"/>
      <c r="AD425" s="596">
        <f>+AE425-AC425</f>
        <v>0</v>
      </c>
      <c r="AE425" s="794"/>
      <c r="AF425" s="795"/>
      <c r="AG425" s="596">
        <f>+AH425-AF425</f>
        <v>0</v>
      </c>
      <c r="AH425" s="794"/>
      <c r="AI425" s="795"/>
      <c r="AJ425" s="596">
        <f>+AK425-AI425</f>
        <v>0</v>
      </c>
      <c r="AK425" s="794"/>
      <c r="AL425" s="795"/>
      <c r="AM425" s="596">
        <f>+AN425-AL425</f>
        <v>0</v>
      </c>
      <c r="AN425" s="794"/>
      <c r="AO425" s="795"/>
      <c r="AP425" s="596">
        <f>+AQ425-AO425</f>
        <v>0</v>
      </c>
      <c r="AQ425" s="794"/>
      <c r="AR425" s="795"/>
      <c r="AS425" s="596">
        <f>+AT425-AR425</f>
        <v>0</v>
      </c>
      <c r="AT425" s="794"/>
      <c r="AU425" s="795"/>
      <c r="AV425" s="596">
        <f>+AW425-AU425</f>
        <v>0</v>
      </c>
      <c r="AW425" s="794"/>
      <c r="AX425" s="815">
        <v>0</v>
      </c>
      <c r="AY425" s="596">
        <f>+AZ425-AX425</f>
        <v>0</v>
      </c>
      <c r="AZ425" s="814">
        <f>AX425</f>
        <v>0</v>
      </c>
      <c r="BA425" s="815">
        <v>0</v>
      </c>
      <c r="BB425" s="596">
        <f>+BC425-BA425</f>
        <v>0</v>
      </c>
      <c r="BC425" s="814">
        <f>BA425</f>
        <v>0</v>
      </c>
      <c r="BD425" s="815">
        <v>0</v>
      </c>
      <c r="BE425" s="596">
        <f>+BF425-BD425</f>
        <v>0</v>
      </c>
      <c r="BF425" s="814">
        <f>BD425</f>
        <v>0</v>
      </c>
      <c r="BG425" s="815">
        <v>0</v>
      </c>
      <c r="BH425" s="596">
        <f>+BI425-BG425</f>
        <v>0</v>
      </c>
      <c r="BI425" s="814">
        <f>BG425</f>
        <v>0</v>
      </c>
      <c r="BJ425" s="815">
        <v>0</v>
      </c>
      <c r="BK425" s="596">
        <f>+BL425-BJ425</f>
        <v>0</v>
      </c>
      <c r="BL425" s="814">
        <f>BJ425</f>
        <v>0</v>
      </c>
      <c r="BM425" s="815">
        <v>0</v>
      </c>
      <c r="BN425" s="596">
        <f>+BO425-BM425</f>
        <v>0</v>
      </c>
      <c r="BO425" s="814">
        <f>BM425</f>
        <v>0</v>
      </c>
      <c r="BP425" s="815">
        <v>0</v>
      </c>
      <c r="BQ425" s="596">
        <f>+BR425-BP425</f>
        <v>0</v>
      </c>
      <c r="BR425" s="814">
        <f>BP425</f>
        <v>0</v>
      </c>
      <c r="BS425" s="815">
        <v>0</v>
      </c>
      <c r="BT425" s="596">
        <f>+BU425-BS425</f>
        <v>0</v>
      </c>
      <c r="BU425" s="814">
        <f>BS425</f>
        <v>0</v>
      </c>
      <c r="BV425" s="815">
        <v>0</v>
      </c>
      <c r="BW425" s="596">
        <f>+BX425-BV425</f>
        <v>0</v>
      </c>
      <c r="BX425" s="814">
        <f>BV425</f>
        <v>0</v>
      </c>
      <c r="BY425" s="815">
        <v>0</v>
      </c>
      <c r="BZ425" s="596">
        <f>+CA425-BY425</f>
        <v>0</v>
      </c>
      <c r="CA425" s="814">
        <f>BY425</f>
        <v>0</v>
      </c>
      <c r="CB425" s="815">
        <v>0</v>
      </c>
      <c r="CC425" s="596">
        <f>+CD425-CB425</f>
        <v>0</v>
      </c>
      <c r="CD425" s="814">
        <f>CB425</f>
        <v>0</v>
      </c>
      <c r="CE425" s="815">
        <v>0</v>
      </c>
      <c r="CF425" s="596">
        <f>+CG425-CE425</f>
        <v>0</v>
      </c>
      <c r="CG425" s="814">
        <f>CE425</f>
        <v>0</v>
      </c>
      <c r="CH425" s="815">
        <v>0</v>
      </c>
      <c r="CI425" s="596">
        <f>+CJ425-CH425</f>
        <v>0</v>
      </c>
      <c r="CJ425" s="814">
        <f>CH425</f>
        <v>0</v>
      </c>
      <c r="CK425" s="815">
        <v>0</v>
      </c>
      <c r="CL425" s="596">
        <f>+CM425-CK425</f>
        <v>0</v>
      </c>
      <c r="CM425" s="814">
        <f>CK425</f>
        <v>0</v>
      </c>
      <c r="CN425" s="815">
        <v>0</v>
      </c>
      <c r="CO425" s="596">
        <f>+CP425-CN425</f>
        <v>0</v>
      </c>
      <c r="CP425" s="814">
        <f>CN425</f>
        <v>0</v>
      </c>
      <c r="CQ425" s="815">
        <v>0</v>
      </c>
      <c r="CR425" s="596">
        <f>+CS425-CQ425</f>
        <v>0</v>
      </c>
      <c r="CS425" s="814">
        <f>CQ425</f>
        <v>0</v>
      </c>
      <c r="CT425" s="815">
        <v>0</v>
      </c>
      <c r="CU425" s="596">
        <f>+CV425-CT425</f>
        <v>0</v>
      </c>
      <c r="CV425" s="814">
        <f>CT425</f>
        <v>0</v>
      </c>
      <c r="CW425" s="815">
        <v>0</v>
      </c>
      <c r="CX425" s="596">
        <f>+CY425-CW425</f>
        <v>0</v>
      </c>
      <c r="CY425" s="814">
        <f>CW425</f>
        <v>0</v>
      </c>
      <c r="CZ425" s="815">
        <v>0</v>
      </c>
      <c r="DA425" s="596">
        <f>+DB425-CZ425</f>
        <v>0</v>
      </c>
      <c r="DB425" s="814">
        <f>CZ425</f>
        <v>0</v>
      </c>
      <c r="DC425" s="815">
        <v>0</v>
      </c>
      <c r="DD425" s="596">
        <f>+DE425-DC425</f>
        <v>0</v>
      </c>
      <c r="DE425" s="814">
        <f>DC425</f>
        <v>0</v>
      </c>
      <c r="DF425" s="815">
        <v>0</v>
      </c>
      <c r="DG425" s="596">
        <f>+DH425-DF425</f>
        <v>0</v>
      </c>
      <c r="DH425" s="1323">
        <f>DF425</f>
        <v>0</v>
      </c>
      <c r="DI425" s="815">
        <v>0</v>
      </c>
      <c r="DJ425" s="596">
        <f>+DK425-DI425</f>
        <v>0</v>
      </c>
      <c r="DK425" s="1323">
        <f>DI425</f>
        <v>0</v>
      </c>
      <c r="DL425" s="815">
        <v>0</v>
      </c>
      <c r="DM425" s="596">
        <f>+DN425-DL425</f>
        <v>0</v>
      </c>
      <c r="DN425" s="1323">
        <f>DL425</f>
        <v>0</v>
      </c>
      <c r="DO425" s="815">
        <v>0</v>
      </c>
      <c r="DP425" s="596">
        <f>+DQ425-DO425</f>
        <v>0</v>
      </c>
      <c r="DQ425" s="1323">
        <f>DO425</f>
        <v>0</v>
      </c>
      <c r="DR425" s="815">
        <v>0</v>
      </c>
      <c r="DS425" s="596">
        <f>+DT425-DR425</f>
        <v>0</v>
      </c>
      <c r="DT425" s="1323">
        <f>DR425</f>
        <v>0</v>
      </c>
      <c r="DU425" s="815">
        <v>0</v>
      </c>
      <c r="DV425" s="596">
        <f>+DW425-DU425</f>
        <v>0</v>
      </c>
      <c r="DW425" s="1323">
        <f>DU425</f>
        <v>0</v>
      </c>
      <c r="DX425" s="815">
        <v>0</v>
      </c>
      <c r="DY425" s="596">
        <f>+DZ425-DX425</f>
        <v>0</v>
      </c>
      <c r="DZ425" s="1323">
        <f>DX425</f>
        <v>0</v>
      </c>
      <c r="EA425" s="815">
        <v>0</v>
      </c>
      <c r="EB425" s="596">
        <f>+EC425-EA425</f>
        <v>0</v>
      </c>
      <c r="EC425" s="1323">
        <f>EA425</f>
        <v>0</v>
      </c>
      <c r="ED425" s="815">
        <v>0</v>
      </c>
      <c r="EE425" s="596">
        <f>+EF425-ED425</f>
        <v>0</v>
      </c>
      <c r="EF425" s="1323">
        <f>ED425</f>
        <v>0</v>
      </c>
      <c r="EG425" s="815">
        <v>0</v>
      </c>
      <c r="EH425" s="596">
        <f>+EI425-EG425</f>
        <v>0</v>
      </c>
      <c r="EI425" s="1323">
        <f>EG425</f>
        <v>0</v>
      </c>
      <c r="EJ425" s="815">
        <v>0</v>
      </c>
      <c r="EK425" s="596">
        <f>+EL425-EJ425</f>
        <v>0</v>
      </c>
      <c r="EL425" s="1323">
        <f>EJ425</f>
        <v>0</v>
      </c>
      <c r="EM425" s="815">
        <v>0</v>
      </c>
      <c r="EN425" s="596">
        <f>+EO425-EM425</f>
        <v>0</v>
      </c>
      <c r="EO425" s="1323">
        <f>EM425</f>
        <v>0</v>
      </c>
      <c r="EP425" s="815">
        <v>0</v>
      </c>
      <c r="EQ425" s="596">
        <f>+ER425-EP425</f>
        <v>0</v>
      </c>
      <c r="ER425" s="1323">
        <f>EP425</f>
        <v>0</v>
      </c>
      <c r="ES425" s="815">
        <v>0</v>
      </c>
      <c r="ET425" s="596">
        <f>+EU425-ES425</f>
        <v>0</v>
      </c>
      <c r="EU425" s="1323">
        <f>ES425</f>
        <v>0</v>
      </c>
      <c r="EV425" s="815">
        <v>0</v>
      </c>
      <c r="EW425" s="596">
        <f>+EX425-EV425</f>
        <v>0</v>
      </c>
      <c r="EX425" s="1323">
        <f>EV425</f>
        <v>0</v>
      </c>
      <c r="EY425" s="815">
        <v>0</v>
      </c>
      <c r="EZ425" s="596">
        <f>+FA425-EY425</f>
        <v>0</v>
      </c>
      <c r="FA425" s="1323">
        <f>EY425</f>
        <v>0</v>
      </c>
      <c r="FB425" s="779"/>
      <c r="FE425"/>
      <c r="FF425"/>
      <c r="FG425"/>
      <c r="FH425"/>
      <c r="FI425"/>
      <c r="FJ425"/>
      <c r="FK425" s="35"/>
    </row>
    <row r="426" spans="1:167" s="819" customFormat="1" ht="13.35" hidden="1" customHeight="1" outlineLevel="1" thickBot="1">
      <c r="A426" s="816"/>
      <c r="B426" s="401" t="s">
        <v>523</v>
      </c>
      <c r="C426" s="817"/>
      <c r="D426" s="816"/>
      <c r="E426" s="799" t="s">
        <v>524</v>
      </c>
      <c r="F426" s="800"/>
      <c r="G426" s="801" t="str">
        <f>+E426</f>
        <v>N</v>
      </c>
      <c r="H426" s="802" t="str">
        <f>G426</f>
        <v>N</v>
      </c>
      <c r="I426" s="800"/>
      <c r="J426" s="801" t="str">
        <f>+H426</f>
        <v>N</v>
      </c>
      <c r="K426" s="802" t="str">
        <f>J426</f>
        <v>N</v>
      </c>
      <c r="L426" s="800"/>
      <c r="M426" s="801" t="str">
        <f>+K426</f>
        <v>N</v>
      </c>
      <c r="N426" s="802" t="str">
        <f>M426</f>
        <v>N</v>
      </c>
      <c r="O426" s="800"/>
      <c r="P426" s="801" t="str">
        <f>+N426</f>
        <v>N</v>
      </c>
      <c r="Q426" s="802" t="str">
        <f>P426</f>
        <v>N</v>
      </c>
      <c r="R426" s="800"/>
      <c r="S426" s="801" t="str">
        <f>+Q426</f>
        <v>N</v>
      </c>
      <c r="T426" s="802" t="str">
        <f>S426</f>
        <v>N</v>
      </c>
      <c r="U426" s="800"/>
      <c r="V426" s="801" t="str">
        <f>+T426</f>
        <v>N</v>
      </c>
      <c r="W426" s="802" t="str">
        <f>V426</f>
        <v>N</v>
      </c>
      <c r="X426" s="800"/>
      <c r="Y426" s="801" t="str">
        <f>+W426</f>
        <v>N</v>
      </c>
      <c r="Z426" s="802" t="str">
        <f>Y426</f>
        <v>N</v>
      </c>
      <c r="AA426" s="800"/>
      <c r="AB426" s="801" t="str">
        <f>+Z426</f>
        <v>N</v>
      </c>
      <c r="AC426" s="802" t="str">
        <f>AB426</f>
        <v>N</v>
      </c>
      <c r="AD426" s="800"/>
      <c r="AE426" s="801" t="str">
        <f>+AC426</f>
        <v>N</v>
      </c>
      <c r="AF426" s="802" t="str">
        <f>AE426</f>
        <v>N</v>
      </c>
      <c r="AG426" s="800"/>
      <c r="AH426" s="801" t="str">
        <f>+AF426</f>
        <v>N</v>
      </c>
      <c r="AI426" s="802" t="str">
        <f>AH426</f>
        <v>N</v>
      </c>
      <c r="AJ426" s="800"/>
      <c r="AK426" s="801" t="str">
        <f>+AI426</f>
        <v>N</v>
      </c>
      <c r="AL426" s="802" t="str">
        <f>AK426</f>
        <v>N</v>
      </c>
      <c r="AM426" s="800"/>
      <c r="AN426" s="801" t="str">
        <f>+AL426</f>
        <v>N</v>
      </c>
      <c r="AO426" s="802" t="str">
        <f>AN426</f>
        <v>N</v>
      </c>
      <c r="AP426" s="800"/>
      <c r="AQ426" s="801" t="str">
        <f>+AO426</f>
        <v>N</v>
      </c>
      <c r="AR426" s="802" t="str">
        <f>AQ426</f>
        <v>N</v>
      </c>
      <c r="AS426" s="800"/>
      <c r="AT426" s="801" t="str">
        <f>+AR426</f>
        <v>N</v>
      </c>
      <c r="AU426" s="802" t="str">
        <f>AT426</f>
        <v>N</v>
      </c>
      <c r="AV426" s="800"/>
      <c r="AW426" s="801" t="str">
        <f>+AU426</f>
        <v>N</v>
      </c>
      <c r="AX426" s="802" t="str">
        <f>AW426</f>
        <v>N</v>
      </c>
      <c r="AY426" s="800"/>
      <c r="AZ426" s="818" t="str">
        <f>+AX426</f>
        <v>N</v>
      </c>
      <c r="BA426" s="802" t="str">
        <f>AZ426</f>
        <v>N</v>
      </c>
      <c r="BB426" s="800"/>
      <c r="BC426" s="818" t="str">
        <f>+BA426</f>
        <v>N</v>
      </c>
      <c r="BD426" s="802" t="str">
        <f>BC426</f>
        <v>N</v>
      </c>
      <c r="BE426" s="800"/>
      <c r="BF426" s="818" t="str">
        <f>+BD426</f>
        <v>N</v>
      </c>
      <c r="BG426" s="802" t="str">
        <f>BF426</f>
        <v>N</v>
      </c>
      <c r="BH426" s="800"/>
      <c r="BI426" s="818" t="str">
        <f>+BG426</f>
        <v>N</v>
      </c>
      <c r="BJ426" s="802" t="str">
        <f>BI426</f>
        <v>N</v>
      </c>
      <c r="BK426" s="800"/>
      <c r="BL426" s="818" t="str">
        <f>+BJ426</f>
        <v>N</v>
      </c>
      <c r="BM426" s="802" t="str">
        <f>BL426</f>
        <v>N</v>
      </c>
      <c r="BN426" s="800"/>
      <c r="BO426" s="818" t="str">
        <f>+BM426</f>
        <v>N</v>
      </c>
      <c r="BP426" s="802" t="str">
        <f>BO426</f>
        <v>N</v>
      </c>
      <c r="BQ426" s="800"/>
      <c r="BR426" s="818" t="str">
        <f>+BP426</f>
        <v>N</v>
      </c>
      <c r="BS426" s="802" t="str">
        <f>BR426</f>
        <v>N</v>
      </c>
      <c r="BT426" s="800"/>
      <c r="BU426" s="818" t="str">
        <f>+BS426</f>
        <v>N</v>
      </c>
      <c r="BV426" s="802" t="str">
        <f>BU426</f>
        <v>N</v>
      </c>
      <c r="BW426" s="800"/>
      <c r="BX426" s="818" t="str">
        <f>+BV426</f>
        <v>N</v>
      </c>
      <c r="BY426" s="802" t="str">
        <f>BX426</f>
        <v>N</v>
      </c>
      <c r="BZ426" s="800"/>
      <c r="CA426" s="818" t="str">
        <f>+BY426</f>
        <v>N</v>
      </c>
      <c r="CB426" s="802" t="str">
        <f>CA426</f>
        <v>N</v>
      </c>
      <c r="CC426" s="800"/>
      <c r="CD426" s="818" t="str">
        <f>+CB426</f>
        <v>N</v>
      </c>
      <c r="CE426" s="802" t="str">
        <f>CD426</f>
        <v>N</v>
      </c>
      <c r="CF426" s="800"/>
      <c r="CG426" s="818" t="str">
        <f>+CE426</f>
        <v>N</v>
      </c>
      <c r="CH426" s="802" t="str">
        <f>CG426</f>
        <v>N</v>
      </c>
      <c r="CI426" s="800"/>
      <c r="CJ426" s="818" t="str">
        <f>+CH426</f>
        <v>N</v>
      </c>
      <c r="CK426" s="802" t="str">
        <f>CJ426</f>
        <v>N</v>
      </c>
      <c r="CL426" s="800"/>
      <c r="CM426" s="818" t="str">
        <f>+CK426</f>
        <v>N</v>
      </c>
      <c r="CN426" s="802" t="str">
        <f>CM426</f>
        <v>N</v>
      </c>
      <c r="CO426" s="800"/>
      <c r="CP426" s="818" t="str">
        <f>+CN426</f>
        <v>N</v>
      </c>
      <c r="CQ426" s="802" t="str">
        <f>CP426</f>
        <v>N</v>
      </c>
      <c r="CR426" s="800"/>
      <c r="CS426" s="818" t="str">
        <f>+CQ426</f>
        <v>N</v>
      </c>
      <c r="CT426" s="802" t="str">
        <f>CS426</f>
        <v>N</v>
      </c>
      <c r="CU426" s="800"/>
      <c r="CV426" s="818" t="str">
        <f>+CT426</f>
        <v>N</v>
      </c>
      <c r="CW426" s="802" t="str">
        <f>CV426</f>
        <v>N</v>
      </c>
      <c r="CX426" s="800"/>
      <c r="CY426" s="818" t="str">
        <f>+CW426</f>
        <v>N</v>
      </c>
      <c r="CZ426" s="802" t="str">
        <f>CY426</f>
        <v>N</v>
      </c>
      <c r="DA426" s="800"/>
      <c r="DB426" s="818" t="str">
        <f>+CZ426</f>
        <v>N</v>
      </c>
      <c r="DC426" s="802" t="str">
        <f>DB426</f>
        <v>N</v>
      </c>
      <c r="DD426" s="800"/>
      <c r="DE426" s="818" t="str">
        <f>+DC426</f>
        <v>N</v>
      </c>
      <c r="DF426" s="802" t="str">
        <f>DE426</f>
        <v>N</v>
      </c>
      <c r="DG426" s="800"/>
      <c r="DH426" s="1324" t="str">
        <f>+DF426</f>
        <v>N</v>
      </c>
      <c r="DI426" s="802" t="str">
        <f>DH426</f>
        <v>N</v>
      </c>
      <c r="DJ426" s="800"/>
      <c r="DK426" s="1324" t="str">
        <f>+DI426</f>
        <v>N</v>
      </c>
      <c r="DL426" s="802" t="str">
        <f>DK426</f>
        <v>N</v>
      </c>
      <c r="DM426" s="800"/>
      <c r="DN426" s="1324" t="str">
        <f>+DL426</f>
        <v>N</v>
      </c>
      <c r="DO426" s="802" t="str">
        <f>DN426</f>
        <v>N</v>
      </c>
      <c r="DP426" s="800"/>
      <c r="DQ426" s="1324" t="str">
        <f>+DO426</f>
        <v>N</v>
      </c>
      <c r="DR426" s="802" t="str">
        <f>DQ426</f>
        <v>N</v>
      </c>
      <c r="DS426" s="800"/>
      <c r="DT426" s="1324" t="str">
        <f>+DR426</f>
        <v>N</v>
      </c>
      <c r="DU426" s="802" t="str">
        <f>DT426</f>
        <v>N</v>
      </c>
      <c r="DV426" s="800"/>
      <c r="DW426" s="1324" t="str">
        <f>+DU426</f>
        <v>N</v>
      </c>
      <c r="DX426" s="802" t="str">
        <f>DW426</f>
        <v>N</v>
      </c>
      <c r="DY426" s="800"/>
      <c r="DZ426" s="1324" t="str">
        <f>+DX426</f>
        <v>N</v>
      </c>
      <c r="EA426" s="802" t="str">
        <f>DZ426</f>
        <v>N</v>
      </c>
      <c r="EB426" s="800"/>
      <c r="EC426" s="1324" t="str">
        <f>+EA426</f>
        <v>N</v>
      </c>
      <c r="ED426" s="802" t="str">
        <f>EC426</f>
        <v>N</v>
      </c>
      <c r="EE426" s="800"/>
      <c r="EF426" s="1324" t="str">
        <f>+ED426</f>
        <v>N</v>
      </c>
      <c r="EG426" s="802" t="str">
        <f>EF426</f>
        <v>N</v>
      </c>
      <c r="EH426" s="800"/>
      <c r="EI426" s="1324" t="str">
        <f>+EG426</f>
        <v>N</v>
      </c>
      <c r="EJ426" s="802" t="str">
        <f>EI426</f>
        <v>N</v>
      </c>
      <c r="EK426" s="800"/>
      <c r="EL426" s="1324" t="str">
        <f>+EJ426</f>
        <v>N</v>
      </c>
      <c r="EM426" s="802" t="str">
        <f>EL426</f>
        <v>N</v>
      </c>
      <c r="EN426" s="800"/>
      <c r="EO426" s="1324" t="str">
        <f>+EM426</f>
        <v>N</v>
      </c>
      <c r="EP426" s="802" t="str">
        <f>EO426</f>
        <v>N</v>
      </c>
      <c r="EQ426" s="800"/>
      <c r="ER426" s="1324" t="str">
        <f>+EP426</f>
        <v>N</v>
      </c>
      <c r="ES426" s="802" t="str">
        <f>ER426</f>
        <v>N</v>
      </c>
      <c r="ET426" s="800"/>
      <c r="EU426" s="1324" t="str">
        <f>+ES426</f>
        <v>N</v>
      </c>
      <c r="EV426" s="802" t="str">
        <f>EU426</f>
        <v>N</v>
      </c>
      <c r="EW426" s="800"/>
      <c r="EX426" s="1324" t="str">
        <f>+EV426</f>
        <v>N</v>
      </c>
      <c r="EY426" s="802" t="str">
        <f>EX426</f>
        <v>N</v>
      </c>
      <c r="EZ426" s="800"/>
      <c r="FA426" s="1324" t="str">
        <f>+EY426</f>
        <v>N</v>
      </c>
      <c r="FB426" s="238"/>
      <c r="FE426"/>
      <c r="FF426"/>
      <c r="FG426"/>
      <c r="FH426"/>
      <c r="FI426"/>
      <c r="FJ426"/>
      <c r="FK426" s="35"/>
    </row>
    <row r="427" spans="1:167" s="236" customFormat="1" ht="13.35" hidden="1" customHeight="1" outlineLevel="1" thickBot="1">
      <c r="A427" s="289"/>
      <c r="B427" s="289"/>
      <c r="C427" s="806"/>
      <c r="D427" s="289"/>
      <c r="E427" s="807"/>
      <c r="F427" s="807"/>
      <c r="G427" s="808"/>
      <c r="H427" s="807"/>
      <c r="I427" s="807"/>
      <c r="J427" s="808"/>
      <c r="K427" s="807"/>
      <c r="L427" s="807"/>
      <c r="M427" s="808"/>
      <c r="N427" s="807"/>
      <c r="O427" s="807"/>
      <c r="P427" s="808"/>
      <c r="Q427" s="809"/>
      <c r="R427" s="809"/>
      <c r="S427" s="810"/>
      <c r="T427" s="809"/>
      <c r="U427" s="809"/>
      <c r="V427" s="808"/>
      <c r="W427" s="807"/>
      <c r="X427" s="807"/>
      <c r="Y427" s="808"/>
      <c r="Z427" s="807"/>
      <c r="AA427" s="807"/>
      <c r="AB427" s="808"/>
      <c r="AC427" s="807"/>
      <c r="AD427" s="807"/>
      <c r="AE427" s="808"/>
      <c r="AF427" s="807"/>
      <c r="AG427" s="807"/>
      <c r="AH427" s="808"/>
      <c r="AI427" s="807"/>
      <c r="AJ427" s="807"/>
      <c r="AK427" s="808"/>
      <c r="AL427" s="807"/>
      <c r="AM427" s="807"/>
      <c r="AN427" s="808"/>
      <c r="AO427" s="807"/>
      <c r="AP427" s="807"/>
      <c r="AQ427" s="808"/>
      <c r="AR427" s="807"/>
      <c r="AS427" s="807"/>
      <c r="AT427" s="808"/>
      <c r="AU427" s="807"/>
      <c r="AV427" s="807"/>
      <c r="AW427" s="808"/>
      <c r="AX427" s="807"/>
      <c r="AY427" s="807"/>
      <c r="AZ427" s="808"/>
      <c r="BA427" s="807"/>
      <c r="BB427" s="807"/>
      <c r="BC427" s="808"/>
      <c r="BD427" s="807"/>
      <c r="BE427" s="807"/>
      <c r="BF427" s="808"/>
      <c r="BG427" s="807"/>
      <c r="BH427" s="807"/>
      <c r="BI427" s="808"/>
      <c r="BJ427" s="807"/>
      <c r="BK427" s="807"/>
      <c r="BL427" s="808"/>
      <c r="BM427" s="807"/>
      <c r="BN427" s="807"/>
      <c r="BO427" s="808"/>
      <c r="BP427" s="807"/>
      <c r="BQ427" s="807"/>
      <c r="BR427" s="808"/>
      <c r="BS427" s="807"/>
      <c r="BT427" s="807"/>
      <c r="BU427" s="808"/>
      <c r="BV427" s="807"/>
      <c r="BW427" s="807"/>
      <c r="BX427" s="808"/>
      <c r="BY427" s="807"/>
      <c r="BZ427" s="807"/>
      <c r="CA427" s="808"/>
      <c r="CB427" s="807"/>
      <c r="CC427" s="807"/>
      <c r="CD427" s="811"/>
      <c r="CE427" s="811"/>
      <c r="CF427" s="811"/>
      <c r="CG427" s="811"/>
      <c r="CH427" s="811"/>
      <c r="CI427" s="811"/>
      <c r="CJ427" s="811"/>
      <c r="CK427" s="811"/>
      <c r="CL427" s="811"/>
      <c r="CM427" s="811"/>
      <c r="CN427" s="811"/>
      <c r="CO427" s="811"/>
      <c r="CP427" s="811"/>
      <c r="CQ427" s="811"/>
      <c r="CR427" s="811"/>
      <c r="CS427" s="811"/>
      <c r="CT427" s="811"/>
      <c r="CU427" s="811"/>
      <c r="CV427" s="811"/>
      <c r="CW427" s="811"/>
      <c r="CX427" s="811"/>
      <c r="CY427" s="811"/>
      <c r="CZ427" s="811"/>
      <c r="DA427" s="811"/>
      <c r="DB427" s="811"/>
      <c r="DC427" s="811"/>
      <c r="DD427" s="811"/>
      <c r="DE427" s="811"/>
      <c r="DF427" s="811"/>
      <c r="DG427" s="811"/>
      <c r="DH427" s="1321"/>
      <c r="DI427" s="811"/>
      <c r="DJ427" s="811"/>
      <c r="DK427" s="1321"/>
      <c r="DL427" s="811"/>
      <c r="DM427" s="811"/>
      <c r="DN427" s="1321"/>
      <c r="DO427" s="811"/>
      <c r="DP427" s="811"/>
      <c r="DQ427" s="1321"/>
      <c r="DR427" s="811"/>
      <c r="DS427" s="811"/>
      <c r="DT427" s="1321"/>
      <c r="DU427" s="811"/>
      <c r="DV427" s="811"/>
      <c r="DW427" s="1321"/>
      <c r="DX427" s="811"/>
      <c r="DY427" s="811"/>
      <c r="DZ427" s="1321"/>
      <c r="EA427" s="811"/>
      <c r="EB427" s="811"/>
      <c r="EC427" s="1321"/>
      <c r="ED427" s="811"/>
      <c r="EE427" s="811"/>
      <c r="EF427" s="1321"/>
      <c r="EG427" s="811"/>
      <c r="EH427" s="811"/>
      <c r="EI427" s="1321"/>
      <c r="EJ427" s="811"/>
      <c r="EK427" s="811"/>
      <c r="EL427" s="1321"/>
      <c r="EM427" s="811"/>
      <c r="EN427" s="811"/>
      <c r="EO427" s="1321"/>
      <c r="EP427" s="811"/>
      <c r="EQ427" s="811"/>
      <c r="ER427" s="1321"/>
      <c r="ES427" s="811"/>
      <c r="ET427" s="811"/>
      <c r="EU427" s="1321"/>
      <c r="EV427" s="811"/>
      <c r="EW427" s="811"/>
      <c r="EX427" s="1321"/>
      <c r="EY427" s="811"/>
      <c r="EZ427" s="811"/>
      <c r="FA427" s="1321"/>
      <c r="FE427"/>
      <c r="FF427"/>
      <c r="FG427"/>
      <c r="FH427"/>
      <c r="FI427"/>
      <c r="FJ427"/>
      <c r="FK427" s="35"/>
    </row>
    <row r="428" spans="1:167" s="236" customFormat="1" ht="13.35" hidden="1" customHeight="1" outlineLevel="1">
      <c r="A428" s="289"/>
      <c r="B428" s="401" t="s">
        <v>890</v>
      </c>
      <c r="C428" s="806"/>
      <c r="D428" s="289"/>
      <c r="E428" s="781"/>
      <c r="F428" s="779">
        <f>+G428</f>
        <v>0</v>
      </c>
      <c r="G428" s="782"/>
      <c r="H428" s="783"/>
      <c r="I428" s="779">
        <f>+J428</f>
        <v>0</v>
      </c>
      <c r="J428" s="782"/>
      <c r="K428" s="783"/>
      <c r="L428" s="779">
        <f>+M428</f>
        <v>0</v>
      </c>
      <c r="M428" s="782"/>
      <c r="N428" s="783"/>
      <c r="O428" s="779">
        <f>+P428</f>
        <v>0</v>
      </c>
      <c r="P428" s="782"/>
      <c r="Q428" s="783"/>
      <c r="R428" s="779">
        <f>+S428</f>
        <v>0</v>
      </c>
      <c r="S428" s="782"/>
      <c r="T428" s="783"/>
      <c r="U428" s="779">
        <f>+V428</f>
        <v>0</v>
      </c>
      <c r="V428" s="782"/>
      <c r="W428" s="783"/>
      <c r="X428" s="779">
        <f>+Y428</f>
        <v>0</v>
      </c>
      <c r="Y428" s="782"/>
      <c r="Z428" s="783"/>
      <c r="AA428" s="779">
        <f>+AB428</f>
        <v>0</v>
      </c>
      <c r="AB428" s="782"/>
      <c r="AC428" s="783"/>
      <c r="AD428" s="779">
        <f>+AE428</f>
        <v>0</v>
      </c>
      <c r="AE428" s="782"/>
      <c r="AF428" s="783"/>
      <c r="AG428" s="779">
        <f>+AH428</f>
        <v>0</v>
      </c>
      <c r="AH428" s="782"/>
      <c r="AI428" s="783"/>
      <c r="AJ428" s="779">
        <f>+AK428</f>
        <v>0</v>
      </c>
      <c r="AK428" s="782"/>
      <c r="AL428" s="783"/>
      <c r="AM428" s="779">
        <f>+AN428</f>
        <v>0</v>
      </c>
      <c r="AN428" s="782"/>
      <c r="AO428" s="783"/>
      <c r="AP428" s="779">
        <f>+AQ428</f>
        <v>0</v>
      </c>
      <c r="AQ428" s="782"/>
      <c r="AR428" s="783"/>
      <c r="AS428" s="779">
        <f>+AT428</f>
        <v>0</v>
      </c>
      <c r="AT428" s="782"/>
      <c r="AU428" s="783"/>
      <c r="AV428" s="779">
        <f>+AW428</f>
        <v>0</v>
      </c>
      <c r="AW428" s="782"/>
      <c r="AX428" s="783"/>
      <c r="AY428" s="779">
        <f>+AZ428</f>
        <v>0</v>
      </c>
      <c r="AZ428" s="782"/>
      <c r="BA428" s="783"/>
      <c r="BB428" s="779">
        <f>+BC428</f>
        <v>0</v>
      </c>
      <c r="BC428" s="782"/>
      <c r="BD428" s="783"/>
      <c r="BE428" s="779">
        <f>+BF428</f>
        <v>0</v>
      </c>
      <c r="BF428" s="782"/>
      <c r="BG428" s="783"/>
      <c r="BH428" s="779">
        <f>+BI428</f>
        <v>0</v>
      </c>
      <c r="BI428" s="782"/>
      <c r="BJ428" s="783"/>
      <c r="BK428" s="779">
        <f>+BL428</f>
        <v>0</v>
      </c>
      <c r="BL428" s="782"/>
      <c r="BM428" s="783"/>
      <c r="BN428" s="779">
        <f>+BO428</f>
        <v>0</v>
      </c>
      <c r="BO428" s="785"/>
      <c r="BP428" s="783"/>
      <c r="BQ428" s="779">
        <f>+BR428</f>
        <v>0</v>
      </c>
      <c r="BR428" s="785"/>
      <c r="BS428" s="783"/>
      <c r="BT428" s="779">
        <f>+BU428</f>
        <v>0</v>
      </c>
      <c r="BU428" s="785"/>
      <c r="BV428" s="783"/>
      <c r="BW428" s="779">
        <f>+BX428</f>
        <v>0</v>
      </c>
      <c r="BX428" s="785"/>
      <c r="BY428" s="783"/>
      <c r="BZ428" s="779">
        <f>+CA428</f>
        <v>0</v>
      </c>
      <c r="CA428" s="785"/>
      <c r="CB428" s="783"/>
      <c r="CC428" s="779">
        <f>+CD428</f>
        <v>0</v>
      </c>
      <c r="CD428" s="666"/>
      <c r="CE428" s="668"/>
      <c r="CF428" s="667">
        <f>+CG428</f>
        <v>0</v>
      </c>
      <c r="CG428" s="666"/>
      <c r="CH428" s="668"/>
      <c r="CI428" s="667">
        <f>+CJ428</f>
        <v>0</v>
      </c>
      <c r="CJ428" s="666"/>
      <c r="CK428" s="668"/>
      <c r="CL428" s="667">
        <f>+CM428</f>
        <v>0</v>
      </c>
      <c r="CM428" s="666"/>
      <c r="CN428" s="668"/>
      <c r="CO428" s="667">
        <f>+CP428</f>
        <v>0</v>
      </c>
      <c r="CP428" s="666"/>
      <c r="CQ428" s="668"/>
      <c r="CR428" s="667">
        <f>+CS428</f>
        <v>0</v>
      </c>
      <c r="CS428" s="666"/>
      <c r="CT428" s="668"/>
      <c r="CU428" s="667">
        <f>+CV428</f>
        <v>0</v>
      </c>
      <c r="CV428" s="666"/>
      <c r="CW428" s="668"/>
      <c r="CX428" s="667">
        <f>+CY428</f>
        <v>0</v>
      </c>
      <c r="CY428" s="666"/>
      <c r="CZ428" s="668"/>
      <c r="DA428" s="667">
        <f>+DB428</f>
        <v>0</v>
      </c>
      <c r="DB428" s="666"/>
      <c r="DC428" s="668"/>
      <c r="DD428" s="667">
        <f>+DE428</f>
        <v>0</v>
      </c>
      <c r="DE428" s="666"/>
      <c r="DF428" s="668"/>
      <c r="DG428" s="667">
        <f>+DH428</f>
        <v>0</v>
      </c>
      <c r="DH428" s="1317"/>
      <c r="DI428" s="668"/>
      <c r="DJ428" s="667">
        <f>+DK428</f>
        <v>0</v>
      </c>
      <c r="DK428" s="1317"/>
      <c r="DL428" s="668"/>
      <c r="DM428" s="667">
        <f>+DN428</f>
        <v>0</v>
      </c>
      <c r="DN428" s="1317"/>
      <c r="DO428" s="668"/>
      <c r="DP428" s="667">
        <f>+DQ428</f>
        <v>0</v>
      </c>
      <c r="DQ428" s="1317"/>
      <c r="DR428" s="668"/>
      <c r="DS428" s="667">
        <f>+DT428</f>
        <v>0</v>
      </c>
      <c r="DT428" s="1317"/>
      <c r="DU428" s="668"/>
      <c r="DV428" s="667">
        <f>+DW428</f>
        <v>0</v>
      </c>
      <c r="DW428" s="1317"/>
      <c r="DX428" s="668"/>
      <c r="DY428" s="667">
        <f>+DZ428</f>
        <v>0</v>
      </c>
      <c r="DZ428" s="1317"/>
      <c r="EA428" s="668"/>
      <c r="EB428" s="667">
        <f>+EC428</f>
        <v>0</v>
      </c>
      <c r="EC428" s="1317"/>
      <c r="ED428" s="668"/>
      <c r="EE428" s="667">
        <f>+EF428</f>
        <v>0</v>
      </c>
      <c r="EF428" s="1317"/>
      <c r="EG428" s="668"/>
      <c r="EH428" s="667">
        <f>+EI428</f>
        <v>0</v>
      </c>
      <c r="EI428" s="1317"/>
      <c r="EJ428" s="668"/>
      <c r="EK428" s="667">
        <f>+EL428</f>
        <v>0</v>
      </c>
      <c r="EL428" s="1317"/>
      <c r="EM428" s="668"/>
      <c r="EN428" s="667">
        <f>+EO428</f>
        <v>0</v>
      </c>
      <c r="EO428" s="1317"/>
      <c r="EP428" s="668"/>
      <c r="EQ428" s="667">
        <f>+ER428</f>
        <v>0</v>
      </c>
      <c r="ER428" s="1317"/>
      <c r="ES428" s="668"/>
      <c r="ET428" s="667">
        <f>+EU428</f>
        <v>0</v>
      </c>
      <c r="EU428" s="1317"/>
      <c r="EV428" s="668"/>
      <c r="EW428" s="667">
        <f>+EX428</f>
        <v>0</v>
      </c>
      <c r="EX428" s="1317"/>
      <c r="EY428" s="668"/>
      <c r="EZ428" s="667">
        <f>+FA428</f>
        <v>0</v>
      </c>
      <c r="FA428" s="1317"/>
      <c r="FE428"/>
      <c r="FF428"/>
      <c r="FG428"/>
      <c r="FH428"/>
      <c r="FI428"/>
      <c r="FJ428"/>
      <c r="FK428" s="35"/>
    </row>
    <row r="429" spans="1:167" s="235" customFormat="1" ht="13.35" hidden="1" customHeight="1" outlineLevel="1">
      <c r="B429" s="401" t="s">
        <v>329</v>
      </c>
      <c r="C429" s="593"/>
      <c r="D429" s="594"/>
      <c r="E429" s="787"/>
      <c r="F429" s="779">
        <f>+G429</f>
        <v>0</v>
      </c>
      <c r="G429" s="788"/>
      <c r="H429" s="789"/>
      <c r="I429" s="779">
        <f>+J429</f>
        <v>0</v>
      </c>
      <c r="J429" s="788"/>
      <c r="K429" s="789"/>
      <c r="L429" s="779">
        <f>+M429</f>
        <v>0</v>
      </c>
      <c r="M429" s="788"/>
      <c r="N429" s="789"/>
      <c r="O429" s="779">
        <f>+P429</f>
        <v>0</v>
      </c>
      <c r="P429" s="788"/>
      <c r="Q429" s="789"/>
      <c r="R429" s="779">
        <f>+S429</f>
        <v>0</v>
      </c>
      <c r="S429" s="788"/>
      <c r="T429" s="789"/>
      <c r="U429" s="779">
        <f>+V429</f>
        <v>0</v>
      </c>
      <c r="V429" s="788"/>
      <c r="W429" s="789"/>
      <c r="X429" s="779">
        <f>+Y429</f>
        <v>0</v>
      </c>
      <c r="Y429" s="788"/>
      <c r="Z429" s="789"/>
      <c r="AA429" s="779">
        <f>+AB429</f>
        <v>0</v>
      </c>
      <c r="AB429" s="788"/>
      <c r="AC429" s="789"/>
      <c r="AD429" s="779">
        <f>+AE429</f>
        <v>0</v>
      </c>
      <c r="AE429" s="788"/>
      <c r="AF429" s="789"/>
      <c r="AG429" s="779">
        <f>+AH429</f>
        <v>0</v>
      </c>
      <c r="AH429" s="788"/>
      <c r="AI429" s="789"/>
      <c r="AJ429" s="779">
        <f>+AK429</f>
        <v>0</v>
      </c>
      <c r="AK429" s="788"/>
      <c r="AL429" s="789"/>
      <c r="AM429" s="779">
        <f>+AN429</f>
        <v>0</v>
      </c>
      <c r="AN429" s="788"/>
      <c r="AO429" s="789"/>
      <c r="AP429" s="779">
        <f>+AQ429</f>
        <v>0</v>
      </c>
      <c r="AQ429" s="788"/>
      <c r="AR429" s="789"/>
      <c r="AS429" s="779">
        <f>+AT429</f>
        <v>0</v>
      </c>
      <c r="AT429" s="788"/>
      <c r="AU429" s="789"/>
      <c r="AV429" s="779">
        <f>+AW429</f>
        <v>0</v>
      </c>
      <c r="AW429" s="788"/>
      <c r="AX429" s="789"/>
      <c r="AY429" s="779">
        <f>+AZ429</f>
        <v>0</v>
      </c>
      <c r="AZ429" s="788"/>
      <c r="BA429" s="789"/>
      <c r="BB429" s="779">
        <f>+BC429</f>
        <v>0</v>
      </c>
      <c r="BC429" s="788"/>
      <c r="BD429" s="789"/>
      <c r="BE429" s="779">
        <f>+BF429</f>
        <v>0</v>
      </c>
      <c r="BF429" s="788"/>
      <c r="BG429" s="789"/>
      <c r="BH429" s="779">
        <f>+BI429</f>
        <v>0</v>
      </c>
      <c r="BI429" s="788"/>
      <c r="BJ429" s="789"/>
      <c r="BK429" s="779">
        <f>+BL429</f>
        <v>0</v>
      </c>
      <c r="BL429" s="788"/>
      <c r="BM429" s="789"/>
      <c r="BN429" s="779">
        <f>+BO429</f>
        <v>0</v>
      </c>
      <c r="BO429" s="790"/>
      <c r="BP429" s="789"/>
      <c r="BQ429" s="779">
        <f>+BR429</f>
        <v>0</v>
      </c>
      <c r="BR429" s="790"/>
      <c r="BS429" s="789"/>
      <c r="BT429" s="779">
        <f>+BU429</f>
        <v>0</v>
      </c>
      <c r="BU429" s="790"/>
      <c r="BV429" s="789"/>
      <c r="BW429" s="779">
        <f>+BX429</f>
        <v>0</v>
      </c>
      <c r="BX429" s="790"/>
      <c r="BY429" s="789"/>
      <c r="BZ429" s="779">
        <f>+CA429</f>
        <v>0</v>
      </c>
      <c r="CA429" s="790"/>
      <c r="CB429" s="789"/>
      <c r="CC429" s="779">
        <f>+CD429</f>
        <v>0</v>
      </c>
      <c r="CD429" s="791"/>
      <c r="CE429" s="792"/>
      <c r="CF429" s="667">
        <f>+CG429</f>
        <v>0</v>
      </c>
      <c r="CG429" s="791"/>
      <c r="CH429" s="792"/>
      <c r="CI429" s="667">
        <f>+CJ429</f>
        <v>0</v>
      </c>
      <c r="CJ429" s="791"/>
      <c r="CK429" s="792"/>
      <c r="CL429" s="667">
        <f>+CM429</f>
        <v>0</v>
      </c>
      <c r="CM429" s="791"/>
      <c r="CN429" s="792"/>
      <c r="CO429" s="667">
        <f>+CP429</f>
        <v>0</v>
      </c>
      <c r="CP429" s="791"/>
      <c r="CQ429" s="792"/>
      <c r="CR429" s="667">
        <f>+CS429</f>
        <v>0</v>
      </c>
      <c r="CS429" s="791"/>
      <c r="CT429" s="792"/>
      <c r="CU429" s="667">
        <f>+CV429</f>
        <v>0</v>
      </c>
      <c r="CV429" s="791"/>
      <c r="CW429" s="792"/>
      <c r="CX429" s="667">
        <f>+CY429</f>
        <v>0</v>
      </c>
      <c r="CY429" s="791"/>
      <c r="CZ429" s="792"/>
      <c r="DA429" s="667">
        <f>+DB429</f>
        <v>0</v>
      </c>
      <c r="DB429" s="791"/>
      <c r="DC429" s="792"/>
      <c r="DD429" s="667">
        <f>+DE429</f>
        <v>0</v>
      </c>
      <c r="DE429" s="791"/>
      <c r="DF429" s="792"/>
      <c r="DG429" s="667">
        <f>+DH429</f>
        <v>0</v>
      </c>
      <c r="DH429" s="1318"/>
      <c r="DI429" s="792"/>
      <c r="DJ429" s="667">
        <f>+DK429</f>
        <v>0</v>
      </c>
      <c r="DK429" s="1318"/>
      <c r="DL429" s="792"/>
      <c r="DM429" s="667">
        <f>+DN429</f>
        <v>0</v>
      </c>
      <c r="DN429" s="1318"/>
      <c r="DO429" s="792"/>
      <c r="DP429" s="667">
        <f>+DQ429</f>
        <v>0</v>
      </c>
      <c r="DQ429" s="1318"/>
      <c r="DR429" s="792"/>
      <c r="DS429" s="667">
        <f>+DT429</f>
        <v>0</v>
      </c>
      <c r="DT429" s="1318"/>
      <c r="DU429" s="792"/>
      <c r="DV429" s="667">
        <f>+DW429</f>
        <v>0</v>
      </c>
      <c r="DW429" s="1318"/>
      <c r="DX429" s="792"/>
      <c r="DY429" s="667">
        <f>+DZ429</f>
        <v>0</v>
      </c>
      <c r="DZ429" s="1318"/>
      <c r="EA429" s="792"/>
      <c r="EB429" s="667">
        <f>+EC429</f>
        <v>0</v>
      </c>
      <c r="EC429" s="1318"/>
      <c r="ED429" s="792"/>
      <c r="EE429" s="667">
        <f>+EF429</f>
        <v>0</v>
      </c>
      <c r="EF429" s="1318"/>
      <c r="EG429" s="792"/>
      <c r="EH429" s="667">
        <f>+EI429</f>
        <v>0</v>
      </c>
      <c r="EI429" s="1318"/>
      <c r="EJ429" s="792"/>
      <c r="EK429" s="667">
        <f>+EL429</f>
        <v>0</v>
      </c>
      <c r="EL429" s="1318"/>
      <c r="EM429" s="792"/>
      <c r="EN429" s="667">
        <f>+EO429</f>
        <v>0</v>
      </c>
      <c r="EO429" s="1318"/>
      <c r="EP429" s="792"/>
      <c r="EQ429" s="667">
        <f>+ER429</f>
        <v>0</v>
      </c>
      <c r="ER429" s="1318"/>
      <c r="ES429" s="792"/>
      <c r="ET429" s="667">
        <f>+EU429</f>
        <v>0</v>
      </c>
      <c r="EU429" s="1318"/>
      <c r="EV429" s="792"/>
      <c r="EW429" s="667">
        <f>+EX429</f>
        <v>0</v>
      </c>
      <c r="EX429" s="1318"/>
      <c r="EY429" s="792"/>
      <c r="EZ429" s="667">
        <f>+FA429</f>
        <v>0</v>
      </c>
      <c r="FA429" s="1318"/>
      <c r="FE429"/>
      <c r="FF429"/>
      <c r="FG429"/>
      <c r="FH429"/>
      <c r="FI429"/>
      <c r="FJ429"/>
      <c r="FK429" s="35"/>
    </row>
    <row r="430" spans="1:167" s="236" customFormat="1" ht="13.35" hidden="1" customHeight="1" outlineLevel="1">
      <c r="A430" s="289"/>
      <c r="B430" s="401" t="s">
        <v>522</v>
      </c>
      <c r="C430" s="806"/>
      <c r="D430" s="289"/>
      <c r="E430" s="793"/>
      <c r="F430" s="596">
        <f>+G430-E430</f>
        <v>0</v>
      </c>
      <c r="G430" s="794"/>
      <c r="H430" s="795"/>
      <c r="I430" s="596">
        <f>+J430-H430</f>
        <v>0</v>
      </c>
      <c r="J430" s="794"/>
      <c r="K430" s="795"/>
      <c r="L430" s="596">
        <f>+M430-K430</f>
        <v>0</v>
      </c>
      <c r="M430" s="794"/>
      <c r="N430" s="795"/>
      <c r="O430" s="596">
        <f>+P430-N430</f>
        <v>0</v>
      </c>
      <c r="P430" s="794"/>
      <c r="Q430" s="795"/>
      <c r="R430" s="596">
        <f>+S430-Q430</f>
        <v>0</v>
      </c>
      <c r="S430" s="794"/>
      <c r="T430" s="795"/>
      <c r="U430" s="596">
        <f>+V430-T430</f>
        <v>0</v>
      </c>
      <c r="V430" s="794"/>
      <c r="W430" s="795"/>
      <c r="X430" s="596">
        <f>+Y430-W430</f>
        <v>0</v>
      </c>
      <c r="Y430" s="794"/>
      <c r="Z430" s="795"/>
      <c r="AA430" s="596">
        <f>+AB430-Z430</f>
        <v>0</v>
      </c>
      <c r="AB430" s="794"/>
      <c r="AC430" s="795"/>
      <c r="AD430" s="596">
        <f>+AE430-AC430</f>
        <v>0</v>
      </c>
      <c r="AE430" s="794"/>
      <c r="AF430" s="795"/>
      <c r="AG430" s="596">
        <f>+AH430-AF430</f>
        <v>0</v>
      </c>
      <c r="AH430" s="794"/>
      <c r="AI430" s="795"/>
      <c r="AJ430" s="596">
        <f>+AK430-AI430</f>
        <v>0</v>
      </c>
      <c r="AK430" s="794"/>
      <c r="AL430" s="795"/>
      <c r="AM430" s="596">
        <f>+AN430-AL430</f>
        <v>0</v>
      </c>
      <c r="AN430" s="794"/>
      <c r="AO430" s="795"/>
      <c r="AP430" s="596">
        <f>+AQ430-AO430</f>
        <v>0</v>
      </c>
      <c r="AQ430" s="794"/>
      <c r="AR430" s="795"/>
      <c r="AS430" s="596">
        <f>+AT430-AR430</f>
        <v>0</v>
      </c>
      <c r="AT430" s="794"/>
      <c r="AU430" s="795"/>
      <c r="AV430" s="596">
        <f>+AW430-AU430</f>
        <v>0</v>
      </c>
      <c r="AW430" s="794"/>
      <c r="AX430" s="795"/>
      <c r="AY430" s="596">
        <f>+AZ430-AX430</f>
        <v>0</v>
      </c>
      <c r="AZ430" s="794"/>
      <c r="BA430" s="795"/>
      <c r="BB430" s="596">
        <f>+BC430-BA430</f>
        <v>0</v>
      </c>
      <c r="BC430" s="794"/>
      <c r="BD430" s="795"/>
      <c r="BE430" s="596">
        <f>+BF430-BD430</f>
        <v>0</v>
      </c>
      <c r="BF430" s="794"/>
      <c r="BG430" s="795"/>
      <c r="BH430" s="596">
        <f>+BI430-BG430</f>
        <v>0</v>
      </c>
      <c r="BI430" s="794"/>
      <c r="BJ430" s="795"/>
      <c r="BK430" s="596">
        <f>+BL430-BJ430</f>
        <v>0</v>
      </c>
      <c r="BL430" s="794"/>
      <c r="BM430" s="795"/>
      <c r="BN430" s="596">
        <f>+BO430-BM430</f>
        <v>0</v>
      </c>
      <c r="BO430" s="796"/>
      <c r="BP430" s="795"/>
      <c r="BQ430" s="596">
        <f>+BR430-BP430</f>
        <v>0</v>
      </c>
      <c r="BR430" s="796"/>
      <c r="BS430" s="795"/>
      <c r="BT430" s="596">
        <f>+BU430-BS430</f>
        <v>0</v>
      </c>
      <c r="BU430" s="796"/>
      <c r="BV430" s="795"/>
      <c r="BW430" s="596">
        <f>+BX430-BV430</f>
        <v>0</v>
      </c>
      <c r="BX430" s="796"/>
      <c r="BY430" s="795"/>
      <c r="BZ430" s="596">
        <f>+CA430-BY430</f>
        <v>0</v>
      </c>
      <c r="CA430" s="796"/>
      <c r="CB430" s="795"/>
      <c r="CC430" s="596">
        <f>+CD430-CB430</f>
        <v>0</v>
      </c>
      <c r="CD430" s="797"/>
      <c r="CE430" s="798"/>
      <c r="CF430" s="612">
        <f>+CG430-CE430</f>
        <v>0</v>
      </c>
      <c r="CG430" s="797"/>
      <c r="CH430" s="798"/>
      <c r="CI430" s="612">
        <f>+CJ430-CH430</f>
        <v>0</v>
      </c>
      <c r="CJ430" s="797"/>
      <c r="CK430" s="798"/>
      <c r="CL430" s="612">
        <f>+CM430-CK430</f>
        <v>0</v>
      </c>
      <c r="CM430" s="797"/>
      <c r="CN430" s="798"/>
      <c r="CO430" s="612">
        <f>+CP430-CN430</f>
        <v>0</v>
      </c>
      <c r="CP430" s="797"/>
      <c r="CQ430" s="798"/>
      <c r="CR430" s="612">
        <f>+CS430-CQ430</f>
        <v>0</v>
      </c>
      <c r="CS430" s="797"/>
      <c r="CT430" s="798"/>
      <c r="CU430" s="612">
        <f>+CV430-CT430</f>
        <v>0</v>
      </c>
      <c r="CV430" s="797"/>
      <c r="CW430" s="798"/>
      <c r="CX430" s="612">
        <f>+CY430-CW430</f>
        <v>0</v>
      </c>
      <c r="CY430" s="797"/>
      <c r="CZ430" s="798"/>
      <c r="DA430" s="612">
        <f>+DB430-CZ430</f>
        <v>0</v>
      </c>
      <c r="DB430" s="797"/>
      <c r="DC430" s="798"/>
      <c r="DD430" s="612">
        <f>+DE430-DC430</f>
        <v>0</v>
      </c>
      <c r="DE430" s="797"/>
      <c r="DF430" s="798"/>
      <c r="DG430" s="612">
        <f>+DH430-DF430</f>
        <v>0</v>
      </c>
      <c r="DH430" s="1319"/>
      <c r="DI430" s="798"/>
      <c r="DJ430" s="612">
        <f>+DK430-DI430</f>
        <v>0</v>
      </c>
      <c r="DK430" s="1319"/>
      <c r="DL430" s="798"/>
      <c r="DM430" s="612">
        <f>+DN430-DL430</f>
        <v>0</v>
      </c>
      <c r="DN430" s="1319"/>
      <c r="DO430" s="798"/>
      <c r="DP430" s="612">
        <f>+DQ430-DO430</f>
        <v>0</v>
      </c>
      <c r="DQ430" s="1319"/>
      <c r="DR430" s="798"/>
      <c r="DS430" s="612">
        <f>+DT430-DR430</f>
        <v>0</v>
      </c>
      <c r="DT430" s="1319"/>
      <c r="DU430" s="798"/>
      <c r="DV430" s="612">
        <f>+DW430-DU430</f>
        <v>0</v>
      </c>
      <c r="DW430" s="1319"/>
      <c r="DX430" s="798"/>
      <c r="DY430" s="612">
        <f>+DZ430-DX430</f>
        <v>0</v>
      </c>
      <c r="DZ430" s="1319"/>
      <c r="EA430" s="798"/>
      <c r="EB430" s="612">
        <f>+EC430-EA430</f>
        <v>0</v>
      </c>
      <c r="EC430" s="1319"/>
      <c r="ED430" s="798"/>
      <c r="EE430" s="612">
        <f>+EF430-ED430</f>
        <v>0</v>
      </c>
      <c r="EF430" s="1319"/>
      <c r="EG430" s="798"/>
      <c r="EH430" s="612">
        <f>+EI430-EG430</f>
        <v>0</v>
      </c>
      <c r="EI430" s="1319"/>
      <c r="EJ430" s="798"/>
      <c r="EK430" s="612">
        <f>+EL430-EJ430</f>
        <v>0</v>
      </c>
      <c r="EL430" s="1319"/>
      <c r="EM430" s="798"/>
      <c r="EN430" s="612">
        <f>+EO430-EM430</f>
        <v>0</v>
      </c>
      <c r="EO430" s="1319"/>
      <c r="EP430" s="798"/>
      <c r="EQ430" s="612">
        <f>+ER430-EP430</f>
        <v>0</v>
      </c>
      <c r="ER430" s="1319"/>
      <c r="ES430" s="798"/>
      <c r="ET430" s="612">
        <f>+EU430-ES430</f>
        <v>0</v>
      </c>
      <c r="EU430" s="1319"/>
      <c r="EV430" s="798"/>
      <c r="EW430" s="612">
        <f>+EX430-EV430</f>
        <v>0</v>
      </c>
      <c r="EX430" s="1319"/>
      <c r="EY430" s="798"/>
      <c r="EZ430" s="612">
        <f>+FA430-EY430</f>
        <v>0</v>
      </c>
      <c r="FA430" s="1319"/>
      <c r="FE430"/>
      <c r="FF430"/>
      <c r="FG430"/>
      <c r="FH430"/>
      <c r="FI430"/>
      <c r="FJ430"/>
      <c r="FK430" s="35"/>
    </row>
    <row r="431" spans="1:167" s="819" customFormat="1" ht="13.35" hidden="1" customHeight="1" outlineLevel="1" thickBot="1">
      <c r="A431" s="816"/>
      <c r="B431" s="401" t="s">
        <v>523</v>
      </c>
      <c r="C431" s="817"/>
      <c r="D431" s="816"/>
      <c r="E431" s="799" t="s">
        <v>524</v>
      </c>
      <c r="F431" s="800"/>
      <c r="G431" s="801" t="str">
        <f>+E431</f>
        <v>N</v>
      </c>
      <c r="H431" s="802" t="str">
        <f>G431</f>
        <v>N</v>
      </c>
      <c r="I431" s="800"/>
      <c r="J431" s="801" t="str">
        <f>+H431</f>
        <v>N</v>
      </c>
      <c r="K431" s="802" t="str">
        <f>J431</f>
        <v>N</v>
      </c>
      <c r="L431" s="800"/>
      <c r="M431" s="801" t="str">
        <f>+K431</f>
        <v>N</v>
      </c>
      <c r="N431" s="802" t="str">
        <f>M431</f>
        <v>N</v>
      </c>
      <c r="O431" s="800"/>
      <c r="P431" s="801" t="str">
        <f>+N431</f>
        <v>N</v>
      </c>
      <c r="Q431" s="802" t="str">
        <f>P431</f>
        <v>N</v>
      </c>
      <c r="R431" s="800"/>
      <c r="S431" s="801" t="str">
        <f>+Q431</f>
        <v>N</v>
      </c>
      <c r="T431" s="802" t="str">
        <f>S431</f>
        <v>N</v>
      </c>
      <c r="U431" s="800"/>
      <c r="V431" s="801" t="str">
        <f>+T431</f>
        <v>N</v>
      </c>
      <c r="W431" s="802" t="str">
        <f>V431</f>
        <v>N</v>
      </c>
      <c r="X431" s="800"/>
      <c r="Y431" s="801" t="str">
        <f>+W431</f>
        <v>N</v>
      </c>
      <c r="Z431" s="802" t="str">
        <f>Y431</f>
        <v>N</v>
      </c>
      <c r="AA431" s="800"/>
      <c r="AB431" s="801" t="str">
        <f>+Z431</f>
        <v>N</v>
      </c>
      <c r="AC431" s="802" t="str">
        <f>AB431</f>
        <v>N</v>
      </c>
      <c r="AD431" s="800"/>
      <c r="AE431" s="801" t="str">
        <f>+AC431</f>
        <v>N</v>
      </c>
      <c r="AF431" s="802" t="str">
        <f>AE431</f>
        <v>N</v>
      </c>
      <c r="AG431" s="800"/>
      <c r="AH431" s="801" t="str">
        <f>+AF431</f>
        <v>N</v>
      </c>
      <c r="AI431" s="802" t="str">
        <f>AH431</f>
        <v>N</v>
      </c>
      <c r="AJ431" s="800"/>
      <c r="AK431" s="801" t="str">
        <f>+AI431</f>
        <v>N</v>
      </c>
      <c r="AL431" s="802" t="str">
        <f>AK431</f>
        <v>N</v>
      </c>
      <c r="AM431" s="800"/>
      <c r="AN431" s="801" t="str">
        <f>+AL431</f>
        <v>N</v>
      </c>
      <c r="AO431" s="802" t="str">
        <f>AN431</f>
        <v>N</v>
      </c>
      <c r="AP431" s="800"/>
      <c r="AQ431" s="801" t="str">
        <f>+AO431</f>
        <v>N</v>
      </c>
      <c r="AR431" s="802" t="str">
        <f>AQ431</f>
        <v>N</v>
      </c>
      <c r="AS431" s="800"/>
      <c r="AT431" s="801" t="str">
        <f>+AR431</f>
        <v>N</v>
      </c>
      <c r="AU431" s="802" t="str">
        <f>AT431</f>
        <v>N</v>
      </c>
      <c r="AV431" s="800"/>
      <c r="AW431" s="801" t="str">
        <f>+AU431</f>
        <v>N</v>
      </c>
      <c r="AX431" s="802" t="str">
        <f>AW431</f>
        <v>N</v>
      </c>
      <c r="AY431" s="800"/>
      <c r="AZ431" s="801" t="str">
        <f>+AX431</f>
        <v>N</v>
      </c>
      <c r="BA431" s="802" t="str">
        <f>AZ431</f>
        <v>N</v>
      </c>
      <c r="BB431" s="800"/>
      <c r="BC431" s="801" t="str">
        <f>+BA431</f>
        <v>N</v>
      </c>
      <c r="BD431" s="802" t="str">
        <f>BC431</f>
        <v>N</v>
      </c>
      <c r="BE431" s="800"/>
      <c r="BF431" s="801" t="str">
        <f>+BD431</f>
        <v>N</v>
      </c>
      <c r="BG431" s="802" t="str">
        <f>BF431</f>
        <v>N</v>
      </c>
      <c r="BH431" s="800"/>
      <c r="BI431" s="801" t="str">
        <f>+BG431</f>
        <v>N</v>
      </c>
      <c r="BJ431" s="802" t="str">
        <f>BI431</f>
        <v>N</v>
      </c>
      <c r="BK431" s="800"/>
      <c r="BL431" s="801" t="str">
        <f>+BJ431</f>
        <v>N</v>
      </c>
      <c r="BM431" s="802" t="str">
        <f>BL431</f>
        <v>N</v>
      </c>
      <c r="BN431" s="800"/>
      <c r="BO431" s="803" t="str">
        <f>+BM431</f>
        <v>N</v>
      </c>
      <c r="BP431" s="802" t="str">
        <f>BO431</f>
        <v>N</v>
      </c>
      <c r="BQ431" s="800"/>
      <c r="BR431" s="803" t="str">
        <f>+BP431</f>
        <v>N</v>
      </c>
      <c r="BS431" s="802" t="str">
        <f>BR431</f>
        <v>N</v>
      </c>
      <c r="BT431" s="800"/>
      <c r="BU431" s="803" t="str">
        <f>+BS431</f>
        <v>N</v>
      </c>
      <c r="BV431" s="802" t="str">
        <f>BU431</f>
        <v>N</v>
      </c>
      <c r="BW431" s="800"/>
      <c r="BX431" s="803" t="str">
        <f>+BV431</f>
        <v>N</v>
      </c>
      <c r="BY431" s="802" t="str">
        <f>BX431</f>
        <v>N</v>
      </c>
      <c r="BZ431" s="800"/>
      <c r="CA431" s="803" t="str">
        <f>+BY431</f>
        <v>N</v>
      </c>
      <c r="CB431" s="802" t="str">
        <f>CA431</f>
        <v>N</v>
      </c>
      <c r="CC431" s="800"/>
      <c r="CD431" s="804" t="str">
        <f>+CB431</f>
        <v>N</v>
      </c>
      <c r="CE431" s="805" t="str">
        <f>CD431</f>
        <v>N</v>
      </c>
      <c r="CF431" s="681"/>
      <c r="CG431" s="804" t="str">
        <f>+CE431</f>
        <v>N</v>
      </c>
      <c r="CH431" s="805" t="str">
        <f>CG431</f>
        <v>N</v>
      </c>
      <c r="CI431" s="681"/>
      <c r="CJ431" s="804" t="str">
        <f>+CH431</f>
        <v>N</v>
      </c>
      <c r="CK431" s="805" t="str">
        <f>CJ431</f>
        <v>N</v>
      </c>
      <c r="CL431" s="681"/>
      <c r="CM431" s="804" t="str">
        <f>+CK431</f>
        <v>N</v>
      </c>
      <c r="CN431" s="805" t="str">
        <f>CM431</f>
        <v>N</v>
      </c>
      <c r="CO431" s="681"/>
      <c r="CP431" s="804" t="str">
        <f>+CN431</f>
        <v>N</v>
      </c>
      <c r="CQ431" s="805" t="str">
        <f>CP431</f>
        <v>N</v>
      </c>
      <c r="CR431" s="681"/>
      <c r="CS431" s="804" t="str">
        <f>+CQ431</f>
        <v>N</v>
      </c>
      <c r="CT431" s="805" t="str">
        <f>CS431</f>
        <v>N</v>
      </c>
      <c r="CU431" s="681"/>
      <c r="CV431" s="804" t="str">
        <f>+CT431</f>
        <v>N</v>
      </c>
      <c r="CW431" s="805" t="str">
        <f>CV431</f>
        <v>N</v>
      </c>
      <c r="CX431" s="681"/>
      <c r="CY431" s="804" t="str">
        <f>+CW431</f>
        <v>N</v>
      </c>
      <c r="CZ431" s="805" t="str">
        <f>CY431</f>
        <v>N</v>
      </c>
      <c r="DA431" s="681"/>
      <c r="DB431" s="804" t="str">
        <f>+CZ431</f>
        <v>N</v>
      </c>
      <c r="DC431" s="805" t="str">
        <f>DB431</f>
        <v>N</v>
      </c>
      <c r="DD431" s="681"/>
      <c r="DE431" s="804" t="str">
        <f>+DC431</f>
        <v>N</v>
      </c>
      <c r="DF431" s="805" t="str">
        <f>DE431</f>
        <v>N</v>
      </c>
      <c r="DG431" s="681"/>
      <c r="DH431" s="1320" t="str">
        <f>+DF431</f>
        <v>N</v>
      </c>
      <c r="DI431" s="805" t="str">
        <f>DH431</f>
        <v>N</v>
      </c>
      <c r="DJ431" s="681"/>
      <c r="DK431" s="1320" t="str">
        <f>+DI431</f>
        <v>N</v>
      </c>
      <c r="DL431" s="805" t="str">
        <f>DK431</f>
        <v>N</v>
      </c>
      <c r="DM431" s="681"/>
      <c r="DN431" s="1320" t="str">
        <f>+DL431</f>
        <v>N</v>
      </c>
      <c r="DO431" s="805" t="str">
        <f>DN431</f>
        <v>N</v>
      </c>
      <c r="DP431" s="681"/>
      <c r="DQ431" s="1320" t="str">
        <f>+DO431</f>
        <v>N</v>
      </c>
      <c r="DR431" s="805" t="str">
        <f>DQ431</f>
        <v>N</v>
      </c>
      <c r="DS431" s="681"/>
      <c r="DT431" s="1320" t="str">
        <f>+DR431</f>
        <v>N</v>
      </c>
      <c r="DU431" s="805" t="str">
        <f>DT431</f>
        <v>N</v>
      </c>
      <c r="DV431" s="681"/>
      <c r="DW431" s="1320" t="str">
        <f>+DU431</f>
        <v>N</v>
      </c>
      <c r="DX431" s="805" t="str">
        <f>DW431</f>
        <v>N</v>
      </c>
      <c r="DY431" s="681"/>
      <c r="DZ431" s="1320" t="str">
        <f>+DX431</f>
        <v>N</v>
      </c>
      <c r="EA431" s="805" t="str">
        <f>DZ431</f>
        <v>N</v>
      </c>
      <c r="EB431" s="681"/>
      <c r="EC431" s="1320" t="str">
        <f>+EA431</f>
        <v>N</v>
      </c>
      <c r="ED431" s="805" t="str">
        <f>EC431</f>
        <v>N</v>
      </c>
      <c r="EE431" s="681"/>
      <c r="EF431" s="1320" t="str">
        <f>+ED431</f>
        <v>N</v>
      </c>
      <c r="EG431" s="805" t="str">
        <f>EF431</f>
        <v>N</v>
      </c>
      <c r="EH431" s="681"/>
      <c r="EI431" s="1320" t="str">
        <f>+EG431</f>
        <v>N</v>
      </c>
      <c r="EJ431" s="805" t="str">
        <f>EI431</f>
        <v>N</v>
      </c>
      <c r="EK431" s="681"/>
      <c r="EL431" s="1320" t="str">
        <f>+EJ431</f>
        <v>N</v>
      </c>
      <c r="EM431" s="805" t="str">
        <f>EL431</f>
        <v>N</v>
      </c>
      <c r="EN431" s="681"/>
      <c r="EO431" s="1320" t="str">
        <f>+EM431</f>
        <v>N</v>
      </c>
      <c r="EP431" s="805" t="str">
        <f>EO431</f>
        <v>N</v>
      </c>
      <c r="EQ431" s="681"/>
      <c r="ER431" s="1320" t="str">
        <f>+EP431</f>
        <v>N</v>
      </c>
      <c r="ES431" s="805" t="str">
        <f>ER431</f>
        <v>N</v>
      </c>
      <c r="ET431" s="681"/>
      <c r="EU431" s="1320" t="str">
        <f>+ES431</f>
        <v>N</v>
      </c>
      <c r="EV431" s="805" t="str">
        <f>EU431</f>
        <v>N</v>
      </c>
      <c r="EW431" s="681"/>
      <c r="EX431" s="1320" t="str">
        <f>+EV431</f>
        <v>N</v>
      </c>
      <c r="EY431" s="805" t="str">
        <f>EX431</f>
        <v>N</v>
      </c>
      <c r="EZ431" s="681"/>
      <c r="FA431" s="1320" t="str">
        <f>+EY431</f>
        <v>N</v>
      </c>
      <c r="FE431"/>
      <c r="FF431"/>
      <c r="FG431"/>
      <c r="FH431"/>
      <c r="FI431"/>
      <c r="FJ431"/>
      <c r="FK431" s="35"/>
    </row>
    <row r="432" spans="1:167" s="236" customFormat="1" ht="13.35" hidden="1" customHeight="1" outlineLevel="1" thickBot="1">
      <c r="A432" s="289"/>
      <c r="B432" s="289"/>
      <c r="C432" s="806"/>
      <c r="D432" s="289"/>
      <c r="E432" s="807"/>
      <c r="F432" s="807"/>
      <c r="G432" s="808"/>
      <c r="H432" s="807"/>
      <c r="I432" s="807"/>
      <c r="J432" s="808"/>
      <c r="K432" s="807"/>
      <c r="L432" s="807"/>
      <c r="M432" s="808"/>
      <c r="N432" s="807"/>
      <c r="O432" s="807"/>
      <c r="P432" s="808"/>
      <c r="Q432" s="809"/>
      <c r="R432" s="809"/>
      <c r="S432" s="810"/>
      <c r="T432" s="809"/>
      <c r="U432" s="809"/>
      <c r="V432" s="808"/>
      <c r="W432" s="807"/>
      <c r="X432" s="807"/>
      <c r="Y432" s="808"/>
      <c r="Z432" s="807"/>
      <c r="AA432" s="807"/>
      <c r="AB432" s="808"/>
      <c r="AC432" s="807"/>
      <c r="AD432" s="807"/>
      <c r="AE432" s="808"/>
      <c r="AF432" s="807"/>
      <c r="AG432" s="807"/>
      <c r="AH432" s="808"/>
      <c r="AI432" s="807"/>
      <c r="AJ432" s="807"/>
      <c r="AK432" s="808"/>
      <c r="AL432" s="807"/>
      <c r="AM432" s="807"/>
      <c r="AN432" s="808"/>
      <c r="AO432" s="807"/>
      <c r="AP432" s="807"/>
      <c r="AQ432" s="808"/>
      <c r="AR432" s="807"/>
      <c r="AS432" s="807"/>
      <c r="AT432" s="808"/>
      <c r="AU432" s="807"/>
      <c r="AV432" s="807"/>
      <c r="AW432" s="808"/>
      <c r="AX432" s="807"/>
      <c r="AY432" s="807"/>
      <c r="AZ432" s="808"/>
      <c r="BA432" s="807"/>
      <c r="BB432" s="807"/>
      <c r="BC432" s="808"/>
      <c r="BD432" s="807"/>
      <c r="BE432" s="807"/>
      <c r="BF432" s="808"/>
      <c r="BG432" s="807"/>
      <c r="BH432" s="807"/>
      <c r="BI432" s="808"/>
      <c r="BJ432" s="807"/>
      <c r="BK432" s="807"/>
      <c r="BL432" s="808"/>
      <c r="BM432" s="807"/>
      <c r="BN432" s="807"/>
      <c r="BO432" s="808"/>
      <c r="BP432" s="807"/>
      <c r="BQ432" s="807"/>
      <c r="BR432" s="808"/>
      <c r="BS432" s="807"/>
      <c r="BT432" s="807"/>
      <c r="BU432" s="808"/>
      <c r="BV432" s="807"/>
      <c r="BW432" s="807"/>
      <c r="BX432" s="808"/>
      <c r="BY432" s="807"/>
      <c r="BZ432" s="807"/>
      <c r="CA432" s="808"/>
      <c r="CB432" s="807"/>
      <c r="CC432" s="807"/>
      <c r="CD432" s="811"/>
      <c r="CE432" s="811"/>
      <c r="CF432" s="811"/>
      <c r="CG432" s="811"/>
      <c r="CH432" s="811"/>
      <c r="CI432" s="811"/>
      <c r="CJ432" s="811"/>
      <c r="CK432" s="811"/>
      <c r="CL432" s="811"/>
      <c r="CM432" s="811"/>
      <c r="CN432" s="811"/>
      <c r="CO432" s="811"/>
      <c r="CP432" s="811"/>
      <c r="CQ432" s="811"/>
      <c r="CR432" s="811"/>
      <c r="CS432" s="811"/>
      <c r="CT432" s="811"/>
      <c r="CU432" s="811"/>
      <c r="CV432" s="811"/>
      <c r="CW432" s="811"/>
      <c r="CX432" s="811"/>
      <c r="CY432" s="811"/>
      <c r="CZ432" s="811"/>
      <c r="DA432" s="811"/>
      <c r="DB432" s="811"/>
      <c r="DC432" s="811"/>
      <c r="DD432" s="811"/>
      <c r="DE432" s="811"/>
      <c r="DF432" s="811"/>
      <c r="DG432" s="811"/>
      <c r="DH432" s="1321"/>
      <c r="DI432" s="811"/>
      <c r="DJ432" s="811"/>
      <c r="DK432" s="1321"/>
      <c r="DL432" s="811"/>
      <c r="DM432" s="811"/>
      <c r="DN432" s="1321"/>
      <c r="DO432" s="811"/>
      <c r="DP432" s="811"/>
      <c r="DQ432" s="1321"/>
      <c r="DR432" s="811"/>
      <c r="DS432" s="811"/>
      <c r="DT432" s="1321"/>
      <c r="DU432" s="811"/>
      <c r="DV432" s="811"/>
      <c r="DW432" s="1321"/>
      <c r="DX432" s="811"/>
      <c r="DY432" s="811"/>
      <c r="DZ432" s="1321"/>
      <c r="EA432" s="811"/>
      <c r="EB432" s="811"/>
      <c r="EC432" s="1321"/>
      <c r="ED432" s="811"/>
      <c r="EE432" s="811"/>
      <c r="EF432" s="1321"/>
      <c r="EG432" s="811"/>
      <c r="EH432" s="811"/>
      <c r="EI432" s="1321"/>
      <c r="EJ432" s="811"/>
      <c r="EK432" s="811"/>
      <c r="EL432" s="1321"/>
      <c r="EM432" s="811"/>
      <c r="EN432" s="811"/>
      <c r="EO432" s="1321"/>
      <c r="EP432" s="811"/>
      <c r="EQ432" s="811"/>
      <c r="ER432" s="1321"/>
      <c r="ES432" s="811"/>
      <c r="ET432" s="811"/>
      <c r="EU432" s="1321"/>
      <c r="EV432" s="811"/>
      <c r="EW432" s="811"/>
      <c r="EX432" s="1321"/>
      <c r="EY432" s="811"/>
      <c r="EZ432" s="811"/>
      <c r="FA432" s="1321"/>
      <c r="FE432"/>
      <c r="FF432"/>
      <c r="FG432"/>
      <c r="FH432"/>
      <c r="FI432"/>
      <c r="FJ432"/>
      <c r="FK432" s="35"/>
    </row>
    <row r="433" spans="1:167" s="236" customFormat="1" ht="13.35" hidden="1" customHeight="1" outlineLevel="1">
      <c r="A433" s="289"/>
      <c r="B433" s="401" t="s">
        <v>891</v>
      </c>
      <c r="C433" s="806"/>
      <c r="D433" s="289"/>
      <c r="E433" s="781"/>
      <c r="F433" s="779">
        <f>+G433</f>
        <v>0</v>
      </c>
      <c r="G433" s="782"/>
      <c r="H433" s="783"/>
      <c r="I433" s="779">
        <f>+J433</f>
        <v>0</v>
      </c>
      <c r="J433" s="782"/>
      <c r="K433" s="783"/>
      <c r="L433" s="779">
        <f>+M433</f>
        <v>0</v>
      </c>
      <c r="M433" s="782"/>
      <c r="N433" s="783"/>
      <c r="O433" s="779">
        <f>+P433</f>
        <v>0</v>
      </c>
      <c r="P433" s="782"/>
      <c r="Q433" s="783"/>
      <c r="R433" s="779">
        <f>+S433</f>
        <v>0</v>
      </c>
      <c r="S433" s="782"/>
      <c r="T433" s="783"/>
      <c r="U433" s="779">
        <f>+V433</f>
        <v>0</v>
      </c>
      <c r="V433" s="782"/>
      <c r="W433" s="783"/>
      <c r="X433" s="779">
        <f>+Y433</f>
        <v>0</v>
      </c>
      <c r="Y433" s="782"/>
      <c r="Z433" s="783"/>
      <c r="AA433" s="779">
        <f>+AB433</f>
        <v>0</v>
      </c>
      <c r="AB433" s="782"/>
      <c r="AC433" s="783"/>
      <c r="AD433" s="779">
        <f>+AE433</f>
        <v>0</v>
      </c>
      <c r="AE433" s="782"/>
      <c r="AF433" s="783"/>
      <c r="AG433" s="779">
        <f>+AH433</f>
        <v>0</v>
      </c>
      <c r="AH433" s="782"/>
      <c r="AI433" s="783"/>
      <c r="AJ433" s="779">
        <f>+AK433</f>
        <v>0</v>
      </c>
      <c r="AK433" s="782"/>
      <c r="AL433" s="783"/>
      <c r="AM433" s="779">
        <f>+AN433</f>
        <v>0</v>
      </c>
      <c r="AN433" s="782"/>
      <c r="AO433" s="783"/>
      <c r="AP433" s="779">
        <f>+AQ433</f>
        <v>0</v>
      </c>
      <c r="AQ433" s="782"/>
      <c r="AR433" s="783"/>
      <c r="AS433" s="779">
        <f>+AT433</f>
        <v>0</v>
      </c>
      <c r="AT433" s="782"/>
      <c r="AU433" s="783"/>
      <c r="AV433" s="779">
        <f>+AW433</f>
        <v>0</v>
      </c>
      <c r="AW433" s="782"/>
      <c r="AX433" s="783"/>
      <c r="AY433" s="779">
        <f>+AZ433</f>
        <v>0</v>
      </c>
      <c r="AZ433" s="782"/>
      <c r="BA433" s="783"/>
      <c r="BB433" s="779">
        <f>+BC433</f>
        <v>0</v>
      </c>
      <c r="BC433" s="782"/>
      <c r="BD433" s="783"/>
      <c r="BE433" s="779">
        <f>+BF433</f>
        <v>0</v>
      </c>
      <c r="BF433" s="782"/>
      <c r="BG433" s="783"/>
      <c r="BH433" s="779">
        <f>+BI433</f>
        <v>0</v>
      </c>
      <c r="BI433" s="782"/>
      <c r="BJ433" s="783"/>
      <c r="BK433" s="779">
        <f>+BL433</f>
        <v>0</v>
      </c>
      <c r="BL433" s="782"/>
      <c r="BM433" s="783"/>
      <c r="BN433" s="779">
        <f>+BO433</f>
        <v>0</v>
      </c>
      <c r="BO433" s="785"/>
      <c r="BP433" s="783"/>
      <c r="BQ433" s="779">
        <f>+BR433</f>
        <v>0</v>
      </c>
      <c r="BR433" s="785"/>
      <c r="BS433" s="783"/>
      <c r="BT433" s="779">
        <f>+BU433</f>
        <v>0</v>
      </c>
      <c r="BU433" s="785"/>
      <c r="BV433" s="783"/>
      <c r="BW433" s="779">
        <f>+BX433</f>
        <v>0</v>
      </c>
      <c r="BX433" s="785"/>
      <c r="BY433" s="783"/>
      <c r="BZ433" s="779">
        <f>+CA433</f>
        <v>0</v>
      </c>
      <c r="CA433" s="785"/>
      <c r="CB433" s="783"/>
      <c r="CC433" s="779">
        <f>+CD433</f>
        <v>0</v>
      </c>
      <c r="CD433" s="666"/>
      <c r="CE433" s="668"/>
      <c r="CF433" s="667">
        <f>+CG433</f>
        <v>0</v>
      </c>
      <c r="CG433" s="666"/>
      <c r="CH433" s="668"/>
      <c r="CI433" s="667">
        <f>+CJ433</f>
        <v>0</v>
      </c>
      <c r="CJ433" s="666"/>
      <c r="CK433" s="668"/>
      <c r="CL433" s="667">
        <f>+CM433</f>
        <v>0</v>
      </c>
      <c r="CM433" s="666"/>
      <c r="CN433" s="668"/>
      <c r="CO433" s="667">
        <f>+CP433</f>
        <v>0</v>
      </c>
      <c r="CP433" s="666"/>
      <c r="CQ433" s="668"/>
      <c r="CR433" s="667">
        <f>+CS433</f>
        <v>0</v>
      </c>
      <c r="CS433" s="666"/>
      <c r="CT433" s="668"/>
      <c r="CU433" s="667">
        <f>+CV433</f>
        <v>0</v>
      </c>
      <c r="CV433" s="666"/>
      <c r="CW433" s="668"/>
      <c r="CX433" s="667">
        <f>+CY433</f>
        <v>0</v>
      </c>
      <c r="CY433" s="666"/>
      <c r="CZ433" s="668"/>
      <c r="DA433" s="667">
        <f>+DB433</f>
        <v>0</v>
      </c>
      <c r="DB433" s="666"/>
      <c r="DC433" s="668"/>
      <c r="DD433" s="667">
        <f>+DE433</f>
        <v>0</v>
      </c>
      <c r="DE433" s="666"/>
      <c r="DF433" s="668"/>
      <c r="DG433" s="667">
        <f>+DH433</f>
        <v>0</v>
      </c>
      <c r="DH433" s="1317"/>
      <c r="DI433" s="668"/>
      <c r="DJ433" s="667">
        <f>+DK433</f>
        <v>0</v>
      </c>
      <c r="DK433" s="1317"/>
      <c r="DL433" s="668"/>
      <c r="DM433" s="667">
        <f>+DN433</f>
        <v>0</v>
      </c>
      <c r="DN433" s="1317"/>
      <c r="DO433" s="668"/>
      <c r="DP433" s="667">
        <f>+DQ433</f>
        <v>0</v>
      </c>
      <c r="DQ433" s="1317"/>
      <c r="DR433" s="668"/>
      <c r="DS433" s="667">
        <f>+DT433</f>
        <v>0</v>
      </c>
      <c r="DT433" s="1317"/>
      <c r="DU433" s="668"/>
      <c r="DV433" s="667">
        <f>+DW433</f>
        <v>0</v>
      </c>
      <c r="DW433" s="1317"/>
      <c r="DX433" s="668"/>
      <c r="DY433" s="667">
        <f>+DZ433</f>
        <v>0</v>
      </c>
      <c r="DZ433" s="1317"/>
      <c r="EA433" s="668"/>
      <c r="EB433" s="667">
        <f>+EC433</f>
        <v>0</v>
      </c>
      <c r="EC433" s="1317"/>
      <c r="ED433" s="668"/>
      <c r="EE433" s="667">
        <f>+EF433</f>
        <v>0</v>
      </c>
      <c r="EF433" s="1317"/>
      <c r="EG433" s="668"/>
      <c r="EH433" s="667">
        <f>+EI433</f>
        <v>0</v>
      </c>
      <c r="EI433" s="1317"/>
      <c r="EJ433" s="668"/>
      <c r="EK433" s="667">
        <f>+EL433</f>
        <v>0</v>
      </c>
      <c r="EL433" s="1317"/>
      <c r="EM433" s="668"/>
      <c r="EN433" s="667">
        <f>+EO433</f>
        <v>0</v>
      </c>
      <c r="EO433" s="1317"/>
      <c r="EP433" s="668"/>
      <c r="EQ433" s="667">
        <f>+ER433</f>
        <v>0</v>
      </c>
      <c r="ER433" s="1317"/>
      <c r="ES433" s="668"/>
      <c r="ET433" s="667">
        <f>+EU433</f>
        <v>0</v>
      </c>
      <c r="EU433" s="1317"/>
      <c r="EV433" s="668"/>
      <c r="EW433" s="667">
        <f>+EX433</f>
        <v>0</v>
      </c>
      <c r="EX433" s="1317"/>
      <c r="EY433" s="668"/>
      <c r="EZ433" s="667">
        <f>+FA433</f>
        <v>0</v>
      </c>
      <c r="FA433" s="1317"/>
      <c r="FE433"/>
      <c r="FF433"/>
      <c r="FG433"/>
      <c r="FH433"/>
      <c r="FI433"/>
      <c r="FJ433"/>
      <c r="FK433" s="35"/>
    </row>
    <row r="434" spans="1:167" s="235" customFormat="1" ht="13.35" hidden="1" customHeight="1" outlineLevel="1">
      <c r="B434" s="401" t="s">
        <v>329</v>
      </c>
      <c r="C434" s="593"/>
      <c r="D434" s="594"/>
      <c r="E434" s="787"/>
      <c r="F434" s="779">
        <f>+G434</f>
        <v>0</v>
      </c>
      <c r="G434" s="788"/>
      <c r="H434" s="789"/>
      <c r="I434" s="779">
        <f>+J434</f>
        <v>0</v>
      </c>
      <c r="J434" s="788"/>
      <c r="K434" s="789"/>
      <c r="L434" s="779">
        <f>+M434</f>
        <v>0</v>
      </c>
      <c r="M434" s="788"/>
      <c r="N434" s="789"/>
      <c r="O434" s="779">
        <f>+P434</f>
        <v>0</v>
      </c>
      <c r="P434" s="788"/>
      <c r="Q434" s="789"/>
      <c r="R434" s="779">
        <f>+S434</f>
        <v>0</v>
      </c>
      <c r="S434" s="788"/>
      <c r="T434" s="789"/>
      <c r="U434" s="779">
        <f>+V434</f>
        <v>0</v>
      </c>
      <c r="V434" s="788"/>
      <c r="W434" s="789"/>
      <c r="X434" s="779">
        <f>+Y434</f>
        <v>0</v>
      </c>
      <c r="Y434" s="788"/>
      <c r="Z434" s="789"/>
      <c r="AA434" s="779">
        <f>+AB434</f>
        <v>0</v>
      </c>
      <c r="AB434" s="788"/>
      <c r="AC434" s="789"/>
      <c r="AD434" s="779">
        <f>+AE434</f>
        <v>0</v>
      </c>
      <c r="AE434" s="788"/>
      <c r="AF434" s="789"/>
      <c r="AG434" s="779">
        <f>+AH434</f>
        <v>0</v>
      </c>
      <c r="AH434" s="788"/>
      <c r="AI434" s="789"/>
      <c r="AJ434" s="779">
        <f>+AK434</f>
        <v>0</v>
      </c>
      <c r="AK434" s="788"/>
      <c r="AL434" s="789"/>
      <c r="AM434" s="779">
        <f>+AN434</f>
        <v>0</v>
      </c>
      <c r="AN434" s="788"/>
      <c r="AO434" s="789"/>
      <c r="AP434" s="779">
        <f>+AQ434</f>
        <v>0</v>
      </c>
      <c r="AQ434" s="788"/>
      <c r="AR434" s="789"/>
      <c r="AS434" s="779">
        <f>+AT434</f>
        <v>0</v>
      </c>
      <c r="AT434" s="788"/>
      <c r="AU434" s="789"/>
      <c r="AV434" s="779">
        <f>+AW434</f>
        <v>0</v>
      </c>
      <c r="AW434" s="788"/>
      <c r="AX434" s="789"/>
      <c r="AY434" s="779">
        <f>+AZ434</f>
        <v>0</v>
      </c>
      <c r="AZ434" s="788"/>
      <c r="BA434" s="789"/>
      <c r="BB434" s="779">
        <f>+BC434</f>
        <v>0</v>
      </c>
      <c r="BC434" s="788"/>
      <c r="BD434" s="789"/>
      <c r="BE434" s="779">
        <f>+BF434</f>
        <v>0</v>
      </c>
      <c r="BF434" s="788"/>
      <c r="BG434" s="789"/>
      <c r="BH434" s="779">
        <f>+BI434</f>
        <v>0</v>
      </c>
      <c r="BI434" s="788"/>
      <c r="BJ434" s="789"/>
      <c r="BK434" s="779">
        <f>+BL434</f>
        <v>0</v>
      </c>
      <c r="BL434" s="788"/>
      <c r="BM434" s="789"/>
      <c r="BN434" s="779">
        <f>+BO434</f>
        <v>0</v>
      </c>
      <c r="BO434" s="790"/>
      <c r="BP434" s="789"/>
      <c r="BQ434" s="779">
        <f>+BR434</f>
        <v>0</v>
      </c>
      <c r="BR434" s="790"/>
      <c r="BS434" s="789"/>
      <c r="BT434" s="779">
        <f>+BU434</f>
        <v>0</v>
      </c>
      <c r="BU434" s="790"/>
      <c r="BV434" s="789"/>
      <c r="BW434" s="779">
        <f>+BX434</f>
        <v>0</v>
      </c>
      <c r="BX434" s="790"/>
      <c r="BY434" s="789"/>
      <c r="BZ434" s="779">
        <f>+CA434</f>
        <v>0</v>
      </c>
      <c r="CA434" s="790"/>
      <c r="CB434" s="789"/>
      <c r="CC434" s="779">
        <f>+CD434</f>
        <v>0</v>
      </c>
      <c r="CD434" s="791"/>
      <c r="CE434" s="792"/>
      <c r="CF434" s="667">
        <f>+CG434</f>
        <v>0</v>
      </c>
      <c r="CG434" s="791"/>
      <c r="CH434" s="792"/>
      <c r="CI434" s="667">
        <f>+CJ434</f>
        <v>0</v>
      </c>
      <c r="CJ434" s="791"/>
      <c r="CK434" s="792"/>
      <c r="CL434" s="667">
        <f>+CM434</f>
        <v>0</v>
      </c>
      <c r="CM434" s="791"/>
      <c r="CN434" s="792"/>
      <c r="CO434" s="667">
        <f>+CP434</f>
        <v>0</v>
      </c>
      <c r="CP434" s="791"/>
      <c r="CQ434" s="792"/>
      <c r="CR434" s="667">
        <f>+CS434</f>
        <v>0</v>
      </c>
      <c r="CS434" s="791"/>
      <c r="CT434" s="792"/>
      <c r="CU434" s="667">
        <f>+CV434</f>
        <v>0</v>
      </c>
      <c r="CV434" s="791"/>
      <c r="CW434" s="792"/>
      <c r="CX434" s="667">
        <f>+CY434</f>
        <v>0</v>
      </c>
      <c r="CY434" s="791"/>
      <c r="CZ434" s="792"/>
      <c r="DA434" s="667">
        <f>+DB434</f>
        <v>0</v>
      </c>
      <c r="DB434" s="791"/>
      <c r="DC434" s="792"/>
      <c r="DD434" s="667">
        <f>+DE434</f>
        <v>0</v>
      </c>
      <c r="DE434" s="791"/>
      <c r="DF434" s="792"/>
      <c r="DG434" s="667">
        <f>+DH434</f>
        <v>0</v>
      </c>
      <c r="DH434" s="1318"/>
      <c r="DI434" s="792"/>
      <c r="DJ434" s="667">
        <f>+DK434</f>
        <v>0</v>
      </c>
      <c r="DK434" s="1318"/>
      <c r="DL434" s="792"/>
      <c r="DM434" s="667">
        <f>+DN434</f>
        <v>0</v>
      </c>
      <c r="DN434" s="1318"/>
      <c r="DO434" s="792"/>
      <c r="DP434" s="667">
        <f>+DQ434</f>
        <v>0</v>
      </c>
      <c r="DQ434" s="1318"/>
      <c r="DR434" s="792"/>
      <c r="DS434" s="667">
        <f>+DT434</f>
        <v>0</v>
      </c>
      <c r="DT434" s="1318"/>
      <c r="DU434" s="792"/>
      <c r="DV434" s="667">
        <f>+DW434</f>
        <v>0</v>
      </c>
      <c r="DW434" s="1318"/>
      <c r="DX434" s="792"/>
      <c r="DY434" s="667">
        <f>+DZ434</f>
        <v>0</v>
      </c>
      <c r="DZ434" s="1318"/>
      <c r="EA434" s="792"/>
      <c r="EB434" s="667">
        <f>+EC434</f>
        <v>0</v>
      </c>
      <c r="EC434" s="1318"/>
      <c r="ED434" s="792"/>
      <c r="EE434" s="667">
        <f>+EF434</f>
        <v>0</v>
      </c>
      <c r="EF434" s="1318"/>
      <c r="EG434" s="792"/>
      <c r="EH434" s="667">
        <f>+EI434</f>
        <v>0</v>
      </c>
      <c r="EI434" s="1318"/>
      <c r="EJ434" s="792"/>
      <c r="EK434" s="667">
        <f>+EL434</f>
        <v>0</v>
      </c>
      <c r="EL434" s="1318"/>
      <c r="EM434" s="792"/>
      <c r="EN434" s="667">
        <f>+EO434</f>
        <v>0</v>
      </c>
      <c r="EO434" s="1318"/>
      <c r="EP434" s="792"/>
      <c r="EQ434" s="667">
        <f>+ER434</f>
        <v>0</v>
      </c>
      <c r="ER434" s="1318"/>
      <c r="ES434" s="792"/>
      <c r="ET434" s="667">
        <f>+EU434</f>
        <v>0</v>
      </c>
      <c r="EU434" s="1318"/>
      <c r="EV434" s="792"/>
      <c r="EW434" s="667">
        <f>+EX434</f>
        <v>0</v>
      </c>
      <c r="EX434" s="1318"/>
      <c r="EY434" s="792"/>
      <c r="EZ434" s="667">
        <f>+FA434</f>
        <v>0</v>
      </c>
      <c r="FA434" s="1318"/>
      <c r="FE434"/>
      <c r="FF434"/>
      <c r="FG434"/>
      <c r="FH434"/>
      <c r="FI434"/>
      <c r="FJ434"/>
      <c r="FK434" s="35"/>
    </row>
    <row r="435" spans="1:167" s="236" customFormat="1" ht="13.35" hidden="1" customHeight="1" outlineLevel="1">
      <c r="A435" s="289"/>
      <c r="B435" s="401" t="s">
        <v>522</v>
      </c>
      <c r="C435" s="806"/>
      <c r="D435" s="289"/>
      <c r="E435" s="793"/>
      <c r="F435" s="596">
        <f>+G435-E435</f>
        <v>0</v>
      </c>
      <c r="G435" s="794"/>
      <c r="H435" s="795"/>
      <c r="I435" s="596">
        <f>+J435-H435</f>
        <v>0</v>
      </c>
      <c r="J435" s="794"/>
      <c r="K435" s="795"/>
      <c r="L435" s="596">
        <f>+M435-K435</f>
        <v>0</v>
      </c>
      <c r="M435" s="794"/>
      <c r="N435" s="795"/>
      <c r="O435" s="596">
        <f>+P435-N435</f>
        <v>0</v>
      </c>
      <c r="P435" s="794"/>
      <c r="Q435" s="795"/>
      <c r="R435" s="596">
        <f>+S435-Q435</f>
        <v>0</v>
      </c>
      <c r="S435" s="794"/>
      <c r="T435" s="795"/>
      <c r="U435" s="596">
        <f>+V435-T435</f>
        <v>0</v>
      </c>
      <c r="V435" s="794"/>
      <c r="W435" s="795"/>
      <c r="X435" s="596">
        <f>+Y435-W435</f>
        <v>0</v>
      </c>
      <c r="Y435" s="794"/>
      <c r="Z435" s="795"/>
      <c r="AA435" s="596">
        <f>+AB435-Z435</f>
        <v>0</v>
      </c>
      <c r="AB435" s="794"/>
      <c r="AC435" s="795"/>
      <c r="AD435" s="596">
        <f>+AE435-AC435</f>
        <v>0</v>
      </c>
      <c r="AE435" s="794"/>
      <c r="AF435" s="795"/>
      <c r="AG435" s="596">
        <f>+AH435-AF435</f>
        <v>0</v>
      </c>
      <c r="AH435" s="794"/>
      <c r="AI435" s="795"/>
      <c r="AJ435" s="596">
        <f>+AK435-AI435</f>
        <v>0</v>
      </c>
      <c r="AK435" s="794"/>
      <c r="AL435" s="795"/>
      <c r="AM435" s="596">
        <f>+AN435-AL435</f>
        <v>0</v>
      </c>
      <c r="AN435" s="794"/>
      <c r="AO435" s="795"/>
      <c r="AP435" s="596">
        <f>+AQ435-AO435</f>
        <v>0</v>
      </c>
      <c r="AQ435" s="794"/>
      <c r="AR435" s="795"/>
      <c r="AS435" s="596">
        <f>+AT435-AR435</f>
        <v>0</v>
      </c>
      <c r="AT435" s="794"/>
      <c r="AU435" s="795"/>
      <c r="AV435" s="596">
        <f>+AW435-AU435</f>
        <v>0</v>
      </c>
      <c r="AW435" s="794"/>
      <c r="AX435" s="795"/>
      <c r="AY435" s="596">
        <f>+AZ435-AX435</f>
        <v>0</v>
      </c>
      <c r="AZ435" s="794"/>
      <c r="BA435" s="795"/>
      <c r="BB435" s="596">
        <f>+BC435-BA435</f>
        <v>0</v>
      </c>
      <c r="BC435" s="794"/>
      <c r="BD435" s="795"/>
      <c r="BE435" s="596">
        <f>+BF435-BD435</f>
        <v>0</v>
      </c>
      <c r="BF435" s="794"/>
      <c r="BG435" s="795"/>
      <c r="BH435" s="596">
        <f>+BI435-BG435</f>
        <v>0</v>
      </c>
      <c r="BI435" s="794"/>
      <c r="BJ435" s="795"/>
      <c r="BK435" s="596">
        <f>+BL435-BJ435</f>
        <v>0</v>
      </c>
      <c r="BL435" s="794"/>
      <c r="BM435" s="795"/>
      <c r="BN435" s="596">
        <f>+BO435-BM435</f>
        <v>0</v>
      </c>
      <c r="BO435" s="796"/>
      <c r="BP435" s="795"/>
      <c r="BQ435" s="596">
        <f>+BR435-BP435</f>
        <v>0</v>
      </c>
      <c r="BR435" s="796"/>
      <c r="BS435" s="795"/>
      <c r="BT435" s="596">
        <f>+BU435-BS435</f>
        <v>0</v>
      </c>
      <c r="BU435" s="796"/>
      <c r="BV435" s="795"/>
      <c r="BW435" s="596">
        <f>+BX435-BV435</f>
        <v>0</v>
      </c>
      <c r="BX435" s="796"/>
      <c r="BY435" s="795"/>
      <c r="BZ435" s="596">
        <f>+CA435-BY435</f>
        <v>0</v>
      </c>
      <c r="CA435" s="796"/>
      <c r="CB435" s="795"/>
      <c r="CC435" s="596">
        <f>+CD435-CB435</f>
        <v>0</v>
      </c>
      <c r="CD435" s="797"/>
      <c r="CE435" s="798"/>
      <c r="CF435" s="612">
        <f>+CG435-CE435</f>
        <v>0</v>
      </c>
      <c r="CG435" s="797"/>
      <c r="CH435" s="798"/>
      <c r="CI435" s="612">
        <f>+CJ435-CH435</f>
        <v>0</v>
      </c>
      <c r="CJ435" s="797"/>
      <c r="CK435" s="798"/>
      <c r="CL435" s="612">
        <f>+CM435-CK435</f>
        <v>0</v>
      </c>
      <c r="CM435" s="797"/>
      <c r="CN435" s="798"/>
      <c r="CO435" s="612">
        <f>+CP435-CN435</f>
        <v>0</v>
      </c>
      <c r="CP435" s="797"/>
      <c r="CQ435" s="798"/>
      <c r="CR435" s="612">
        <f>+CS435-CQ435</f>
        <v>0</v>
      </c>
      <c r="CS435" s="797"/>
      <c r="CT435" s="798"/>
      <c r="CU435" s="612">
        <f>+CV435-CT435</f>
        <v>0</v>
      </c>
      <c r="CV435" s="797"/>
      <c r="CW435" s="798"/>
      <c r="CX435" s="612">
        <f>+CY435-CW435</f>
        <v>0</v>
      </c>
      <c r="CY435" s="797"/>
      <c r="CZ435" s="798"/>
      <c r="DA435" s="612">
        <f>+DB435-CZ435</f>
        <v>0</v>
      </c>
      <c r="DB435" s="797"/>
      <c r="DC435" s="798"/>
      <c r="DD435" s="612">
        <f>+DE435-DC435</f>
        <v>0</v>
      </c>
      <c r="DE435" s="797"/>
      <c r="DF435" s="798"/>
      <c r="DG435" s="612">
        <f>+DH435-DF435</f>
        <v>0</v>
      </c>
      <c r="DH435" s="1319"/>
      <c r="DI435" s="798"/>
      <c r="DJ435" s="612">
        <f>+DK435-DI435</f>
        <v>0</v>
      </c>
      <c r="DK435" s="1319"/>
      <c r="DL435" s="798"/>
      <c r="DM435" s="612">
        <f>+DN435-DL435</f>
        <v>0</v>
      </c>
      <c r="DN435" s="1319"/>
      <c r="DO435" s="798"/>
      <c r="DP435" s="612">
        <f>+DQ435-DO435</f>
        <v>0</v>
      </c>
      <c r="DQ435" s="1319"/>
      <c r="DR435" s="798"/>
      <c r="DS435" s="612">
        <f>+DT435-DR435</f>
        <v>0</v>
      </c>
      <c r="DT435" s="1319"/>
      <c r="DU435" s="798"/>
      <c r="DV435" s="612">
        <f>+DW435-DU435</f>
        <v>0</v>
      </c>
      <c r="DW435" s="1319"/>
      <c r="DX435" s="798"/>
      <c r="DY435" s="612">
        <f>+DZ435-DX435</f>
        <v>0</v>
      </c>
      <c r="DZ435" s="1319"/>
      <c r="EA435" s="798"/>
      <c r="EB435" s="612">
        <f>+EC435-EA435</f>
        <v>0</v>
      </c>
      <c r="EC435" s="1319"/>
      <c r="ED435" s="798"/>
      <c r="EE435" s="612">
        <f>+EF435-ED435</f>
        <v>0</v>
      </c>
      <c r="EF435" s="1319"/>
      <c r="EG435" s="798"/>
      <c r="EH435" s="612">
        <f>+EI435-EG435</f>
        <v>0</v>
      </c>
      <c r="EI435" s="1319"/>
      <c r="EJ435" s="798"/>
      <c r="EK435" s="612">
        <f>+EL435-EJ435</f>
        <v>0</v>
      </c>
      <c r="EL435" s="1319"/>
      <c r="EM435" s="798"/>
      <c r="EN435" s="612">
        <f>+EO435-EM435</f>
        <v>0</v>
      </c>
      <c r="EO435" s="1319"/>
      <c r="EP435" s="798"/>
      <c r="EQ435" s="612">
        <f>+ER435-EP435</f>
        <v>0</v>
      </c>
      <c r="ER435" s="1319"/>
      <c r="ES435" s="798"/>
      <c r="ET435" s="612">
        <f>+EU435-ES435</f>
        <v>0</v>
      </c>
      <c r="EU435" s="1319"/>
      <c r="EV435" s="798"/>
      <c r="EW435" s="612">
        <f>+EX435-EV435</f>
        <v>0</v>
      </c>
      <c r="EX435" s="1319"/>
      <c r="EY435" s="798"/>
      <c r="EZ435" s="612">
        <f>+FA435-EY435</f>
        <v>0</v>
      </c>
      <c r="FA435" s="1319"/>
      <c r="FE435"/>
      <c r="FF435"/>
      <c r="FG435"/>
      <c r="FH435"/>
      <c r="FI435"/>
      <c r="FJ435"/>
      <c r="FK435" s="35"/>
    </row>
    <row r="436" spans="1:167" s="819" customFormat="1" ht="13.35" hidden="1" customHeight="1" outlineLevel="1" thickBot="1">
      <c r="A436" s="816"/>
      <c r="B436" s="401" t="s">
        <v>523</v>
      </c>
      <c r="C436" s="817"/>
      <c r="D436" s="816"/>
      <c r="E436" s="799" t="s">
        <v>524</v>
      </c>
      <c r="F436" s="800"/>
      <c r="G436" s="801" t="str">
        <f>+E436</f>
        <v>N</v>
      </c>
      <c r="H436" s="802" t="str">
        <f>G436</f>
        <v>N</v>
      </c>
      <c r="I436" s="800"/>
      <c r="J436" s="801" t="str">
        <f>+H436</f>
        <v>N</v>
      </c>
      <c r="K436" s="802" t="str">
        <f>J436</f>
        <v>N</v>
      </c>
      <c r="L436" s="800"/>
      <c r="M436" s="801" t="str">
        <f>+K436</f>
        <v>N</v>
      </c>
      <c r="N436" s="802" t="str">
        <f>M436</f>
        <v>N</v>
      </c>
      <c r="O436" s="800"/>
      <c r="P436" s="801" t="str">
        <f>+N436</f>
        <v>N</v>
      </c>
      <c r="Q436" s="802" t="str">
        <f>P436</f>
        <v>N</v>
      </c>
      <c r="R436" s="800"/>
      <c r="S436" s="801" t="str">
        <f>+Q436</f>
        <v>N</v>
      </c>
      <c r="T436" s="802" t="str">
        <f>S436</f>
        <v>N</v>
      </c>
      <c r="U436" s="800"/>
      <c r="V436" s="801" t="str">
        <f>+T436</f>
        <v>N</v>
      </c>
      <c r="W436" s="802" t="str">
        <f>V436</f>
        <v>N</v>
      </c>
      <c r="X436" s="800"/>
      <c r="Y436" s="801" t="str">
        <f>+W436</f>
        <v>N</v>
      </c>
      <c r="Z436" s="802" t="str">
        <f>Y436</f>
        <v>N</v>
      </c>
      <c r="AA436" s="800"/>
      <c r="AB436" s="801" t="str">
        <f>+Z436</f>
        <v>N</v>
      </c>
      <c r="AC436" s="802" t="str">
        <f>AB436</f>
        <v>N</v>
      </c>
      <c r="AD436" s="800"/>
      <c r="AE436" s="801" t="str">
        <f>+AC436</f>
        <v>N</v>
      </c>
      <c r="AF436" s="802" t="str">
        <f>AE436</f>
        <v>N</v>
      </c>
      <c r="AG436" s="800"/>
      <c r="AH436" s="801" t="str">
        <f>+AF436</f>
        <v>N</v>
      </c>
      <c r="AI436" s="802" t="str">
        <f>AH436</f>
        <v>N</v>
      </c>
      <c r="AJ436" s="800"/>
      <c r="AK436" s="801" t="str">
        <f>+AI436</f>
        <v>N</v>
      </c>
      <c r="AL436" s="802" t="str">
        <f>AK436</f>
        <v>N</v>
      </c>
      <c r="AM436" s="800"/>
      <c r="AN436" s="801" t="str">
        <f>+AL436</f>
        <v>N</v>
      </c>
      <c r="AO436" s="802" t="str">
        <f>AN436</f>
        <v>N</v>
      </c>
      <c r="AP436" s="800"/>
      <c r="AQ436" s="801" t="str">
        <f>+AO436</f>
        <v>N</v>
      </c>
      <c r="AR436" s="802" t="str">
        <f>AQ436</f>
        <v>N</v>
      </c>
      <c r="AS436" s="800"/>
      <c r="AT436" s="801" t="str">
        <f>+AR436</f>
        <v>N</v>
      </c>
      <c r="AU436" s="802" t="str">
        <f>AT436</f>
        <v>N</v>
      </c>
      <c r="AV436" s="800"/>
      <c r="AW436" s="801" t="str">
        <f>+AU436</f>
        <v>N</v>
      </c>
      <c r="AX436" s="802" t="str">
        <f>AW436</f>
        <v>N</v>
      </c>
      <c r="AY436" s="800"/>
      <c r="AZ436" s="801" t="str">
        <f>+AX436</f>
        <v>N</v>
      </c>
      <c r="BA436" s="802" t="str">
        <f>AZ436</f>
        <v>N</v>
      </c>
      <c r="BB436" s="800"/>
      <c r="BC436" s="801" t="str">
        <f>+BA436</f>
        <v>N</v>
      </c>
      <c r="BD436" s="802" t="str">
        <f>BC436</f>
        <v>N</v>
      </c>
      <c r="BE436" s="800"/>
      <c r="BF436" s="801" t="str">
        <f>+BD436</f>
        <v>N</v>
      </c>
      <c r="BG436" s="802" t="str">
        <f>BF436</f>
        <v>N</v>
      </c>
      <c r="BH436" s="800"/>
      <c r="BI436" s="801" t="str">
        <f>+BG436</f>
        <v>N</v>
      </c>
      <c r="BJ436" s="802" t="str">
        <f>BI436</f>
        <v>N</v>
      </c>
      <c r="BK436" s="800"/>
      <c r="BL436" s="801" t="str">
        <f>+BJ436</f>
        <v>N</v>
      </c>
      <c r="BM436" s="802" t="str">
        <f>BL436</f>
        <v>N</v>
      </c>
      <c r="BN436" s="800"/>
      <c r="BO436" s="803" t="str">
        <f>+BM436</f>
        <v>N</v>
      </c>
      <c r="BP436" s="802" t="str">
        <f>BO436</f>
        <v>N</v>
      </c>
      <c r="BQ436" s="800"/>
      <c r="BR436" s="803" t="str">
        <f>+BP436</f>
        <v>N</v>
      </c>
      <c r="BS436" s="802" t="str">
        <f>BR436</f>
        <v>N</v>
      </c>
      <c r="BT436" s="800"/>
      <c r="BU436" s="803" t="str">
        <f>+BS436</f>
        <v>N</v>
      </c>
      <c r="BV436" s="802" t="str">
        <f>BU436</f>
        <v>N</v>
      </c>
      <c r="BW436" s="800"/>
      <c r="BX436" s="803" t="str">
        <f>+BV436</f>
        <v>N</v>
      </c>
      <c r="BY436" s="802" t="str">
        <f>BX436</f>
        <v>N</v>
      </c>
      <c r="BZ436" s="800"/>
      <c r="CA436" s="803" t="str">
        <f>+BY436</f>
        <v>N</v>
      </c>
      <c r="CB436" s="802" t="str">
        <f>CA436</f>
        <v>N</v>
      </c>
      <c r="CC436" s="800"/>
      <c r="CD436" s="804" t="str">
        <f>+CB436</f>
        <v>N</v>
      </c>
      <c r="CE436" s="805" t="str">
        <f>CD436</f>
        <v>N</v>
      </c>
      <c r="CF436" s="681"/>
      <c r="CG436" s="804" t="str">
        <f>+CE436</f>
        <v>N</v>
      </c>
      <c r="CH436" s="805" t="str">
        <f>CG436</f>
        <v>N</v>
      </c>
      <c r="CI436" s="681"/>
      <c r="CJ436" s="804" t="str">
        <f>+CH436</f>
        <v>N</v>
      </c>
      <c r="CK436" s="805" t="str">
        <f>CJ436</f>
        <v>N</v>
      </c>
      <c r="CL436" s="681"/>
      <c r="CM436" s="804" t="str">
        <f>+CK436</f>
        <v>N</v>
      </c>
      <c r="CN436" s="805" t="str">
        <f>CM436</f>
        <v>N</v>
      </c>
      <c r="CO436" s="681"/>
      <c r="CP436" s="804" t="str">
        <f>+CN436</f>
        <v>N</v>
      </c>
      <c r="CQ436" s="805" t="str">
        <f>CP436</f>
        <v>N</v>
      </c>
      <c r="CR436" s="681"/>
      <c r="CS436" s="804" t="str">
        <f>+CQ436</f>
        <v>N</v>
      </c>
      <c r="CT436" s="805" t="str">
        <f>CS436</f>
        <v>N</v>
      </c>
      <c r="CU436" s="681"/>
      <c r="CV436" s="804" t="str">
        <f>+CT436</f>
        <v>N</v>
      </c>
      <c r="CW436" s="805" t="str">
        <f>CV436</f>
        <v>N</v>
      </c>
      <c r="CX436" s="681"/>
      <c r="CY436" s="804" t="str">
        <f>+CW436</f>
        <v>N</v>
      </c>
      <c r="CZ436" s="805" t="str">
        <f>CY436</f>
        <v>N</v>
      </c>
      <c r="DA436" s="681"/>
      <c r="DB436" s="804" t="str">
        <f>+CZ436</f>
        <v>N</v>
      </c>
      <c r="DC436" s="805" t="str">
        <f>DB436</f>
        <v>N</v>
      </c>
      <c r="DD436" s="681"/>
      <c r="DE436" s="804" t="str">
        <f>+DC436</f>
        <v>N</v>
      </c>
      <c r="DF436" s="805" t="str">
        <f>DE436</f>
        <v>N</v>
      </c>
      <c r="DG436" s="681"/>
      <c r="DH436" s="1320" t="str">
        <f>+DF436</f>
        <v>N</v>
      </c>
      <c r="DI436" s="805" t="str">
        <f>DH436</f>
        <v>N</v>
      </c>
      <c r="DJ436" s="681"/>
      <c r="DK436" s="1320" t="str">
        <f>+DI436</f>
        <v>N</v>
      </c>
      <c r="DL436" s="805" t="str">
        <f>DK436</f>
        <v>N</v>
      </c>
      <c r="DM436" s="681"/>
      <c r="DN436" s="1320" t="str">
        <f>+DL436</f>
        <v>N</v>
      </c>
      <c r="DO436" s="805" t="str">
        <f>DN436</f>
        <v>N</v>
      </c>
      <c r="DP436" s="681"/>
      <c r="DQ436" s="1320" t="str">
        <f>+DO436</f>
        <v>N</v>
      </c>
      <c r="DR436" s="805" t="str">
        <f>DQ436</f>
        <v>N</v>
      </c>
      <c r="DS436" s="681"/>
      <c r="DT436" s="1320" t="str">
        <f>+DR436</f>
        <v>N</v>
      </c>
      <c r="DU436" s="805" t="str">
        <f>DT436</f>
        <v>N</v>
      </c>
      <c r="DV436" s="681"/>
      <c r="DW436" s="1320" t="str">
        <f>+DU436</f>
        <v>N</v>
      </c>
      <c r="DX436" s="805" t="str">
        <f>DW436</f>
        <v>N</v>
      </c>
      <c r="DY436" s="681"/>
      <c r="DZ436" s="1320" t="str">
        <f>+DX436</f>
        <v>N</v>
      </c>
      <c r="EA436" s="805" t="str">
        <f>DZ436</f>
        <v>N</v>
      </c>
      <c r="EB436" s="681"/>
      <c r="EC436" s="1320" t="str">
        <f>+EA436</f>
        <v>N</v>
      </c>
      <c r="ED436" s="805" t="str">
        <f>EC436</f>
        <v>N</v>
      </c>
      <c r="EE436" s="681"/>
      <c r="EF436" s="1320" t="str">
        <f>+ED436</f>
        <v>N</v>
      </c>
      <c r="EG436" s="805" t="str">
        <f>EF436</f>
        <v>N</v>
      </c>
      <c r="EH436" s="681"/>
      <c r="EI436" s="1320" t="str">
        <f>+EG436</f>
        <v>N</v>
      </c>
      <c r="EJ436" s="805" t="str">
        <f>EI436</f>
        <v>N</v>
      </c>
      <c r="EK436" s="681"/>
      <c r="EL436" s="1320" t="str">
        <f>+EJ436</f>
        <v>N</v>
      </c>
      <c r="EM436" s="805" t="str">
        <f>EL436</f>
        <v>N</v>
      </c>
      <c r="EN436" s="681"/>
      <c r="EO436" s="1320" t="str">
        <f>+EM436</f>
        <v>N</v>
      </c>
      <c r="EP436" s="805" t="str">
        <f>EO436</f>
        <v>N</v>
      </c>
      <c r="EQ436" s="681"/>
      <c r="ER436" s="1320" t="str">
        <f>+EP436</f>
        <v>N</v>
      </c>
      <c r="ES436" s="805" t="str">
        <f>ER436</f>
        <v>N</v>
      </c>
      <c r="ET436" s="681"/>
      <c r="EU436" s="1320" t="str">
        <f>+ES436</f>
        <v>N</v>
      </c>
      <c r="EV436" s="805" t="str">
        <f>EU436</f>
        <v>N</v>
      </c>
      <c r="EW436" s="681"/>
      <c r="EX436" s="1320" t="str">
        <f>+EV436</f>
        <v>N</v>
      </c>
      <c r="EY436" s="805" t="str">
        <f>EX436</f>
        <v>N</v>
      </c>
      <c r="EZ436" s="681"/>
      <c r="FA436" s="1320" t="str">
        <f>+EY436</f>
        <v>N</v>
      </c>
      <c r="FE436"/>
      <c r="FF436"/>
      <c r="FG436"/>
      <c r="FH436"/>
      <c r="FI436"/>
      <c r="FJ436"/>
      <c r="FK436" s="35"/>
    </row>
    <row r="437" spans="1:167" s="236" customFormat="1" ht="13.35" hidden="1" customHeight="1" outlineLevel="1" thickBot="1">
      <c r="A437" s="289"/>
      <c r="B437" s="289"/>
      <c r="C437" s="806"/>
      <c r="D437" s="289"/>
      <c r="E437" s="807"/>
      <c r="F437" s="807"/>
      <c r="G437" s="808"/>
      <c r="H437" s="807"/>
      <c r="I437" s="807"/>
      <c r="J437" s="808"/>
      <c r="K437" s="807"/>
      <c r="L437" s="807"/>
      <c r="M437" s="808"/>
      <c r="N437" s="807"/>
      <c r="O437" s="807"/>
      <c r="P437" s="808"/>
      <c r="Q437" s="809"/>
      <c r="R437" s="809"/>
      <c r="S437" s="810"/>
      <c r="T437" s="809"/>
      <c r="U437" s="809"/>
      <c r="V437" s="808"/>
      <c r="W437" s="807"/>
      <c r="X437" s="807"/>
      <c r="Y437" s="808"/>
      <c r="Z437" s="807"/>
      <c r="AA437" s="807"/>
      <c r="AB437" s="808"/>
      <c r="AC437" s="807"/>
      <c r="AD437" s="807"/>
      <c r="AE437" s="808"/>
      <c r="AF437" s="807"/>
      <c r="AG437" s="807"/>
      <c r="AH437" s="808"/>
      <c r="AI437" s="807"/>
      <c r="AJ437" s="807"/>
      <c r="AK437" s="808"/>
      <c r="AL437" s="807"/>
      <c r="AM437" s="807"/>
      <c r="AN437" s="808"/>
      <c r="AO437" s="807"/>
      <c r="AP437" s="807"/>
      <c r="AQ437" s="808"/>
      <c r="AR437" s="807"/>
      <c r="AS437" s="807"/>
      <c r="AT437" s="808"/>
      <c r="AU437" s="807"/>
      <c r="AV437" s="807"/>
      <c r="AW437" s="808"/>
      <c r="AX437" s="807"/>
      <c r="AY437" s="807"/>
      <c r="AZ437" s="808"/>
      <c r="BA437" s="807"/>
      <c r="BB437" s="807"/>
      <c r="BC437" s="808"/>
      <c r="BD437" s="807"/>
      <c r="BE437" s="807"/>
      <c r="BF437" s="808"/>
      <c r="BG437" s="807"/>
      <c r="BH437" s="807"/>
      <c r="BI437" s="808"/>
      <c r="BJ437" s="807"/>
      <c r="BK437" s="807"/>
      <c r="BL437" s="808"/>
      <c r="BM437" s="807"/>
      <c r="BN437" s="807"/>
      <c r="BO437" s="808"/>
      <c r="BP437" s="807"/>
      <c r="BQ437" s="807"/>
      <c r="BR437" s="808"/>
      <c r="BS437" s="807"/>
      <c r="BT437" s="807"/>
      <c r="BU437" s="808"/>
      <c r="BV437" s="807"/>
      <c r="BW437" s="807"/>
      <c r="BX437" s="808"/>
      <c r="BY437" s="807"/>
      <c r="BZ437" s="807"/>
      <c r="CA437" s="808"/>
      <c r="CB437" s="807"/>
      <c r="CC437" s="807"/>
      <c r="CD437" s="811"/>
      <c r="CE437" s="811"/>
      <c r="CF437" s="811"/>
      <c r="CG437" s="811"/>
      <c r="CH437" s="811"/>
      <c r="CI437" s="811"/>
      <c r="CJ437" s="811"/>
      <c r="CK437" s="811"/>
      <c r="CL437" s="811"/>
      <c r="CM437" s="811"/>
      <c r="CN437" s="811"/>
      <c r="CO437" s="811"/>
      <c r="CP437" s="811"/>
      <c r="CQ437" s="811"/>
      <c r="CR437" s="811"/>
      <c r="CS437" s="811"/>
      <c r="CT437" s="811"/>
      <c r="CU437" s="811"/>
      <c r="CV437" s="811"/>
      <c r="CW437" s="811"/>
      <c r="CX437" s="811"/>
      <c r="CY437" s="811"/>
      <c r="CZ437" s="811"/>
      <c r="DA437" s="811"/>
      <c r="DB437" s="811"/>
      <c r="DC437" s="811"/>
      <c r="DD437" s="811"/>
      <c r="DE437" s="811"/>
      <c r="DF437" s="811"/>
      <c r="DG437" s="811"/>
      <c r="DH437" s="1321"/>
      <c r="DI437" s="811"/>
      <c r="DJ437" s="811"/>
      <c r="DK437" s="1321"/>
      <c r="DL437" s="811"/>
      <c r="DM437" s="811"/>
      <c r="DN437" s="1321"/>
      <c r="DO437" s="811"/>
      <c r="DP437" s="811"/>
      <c r="DQ437" s="1321"/>
      <c r="DR437" s="811"/>
      <c r="DS437" s="811"/>
      <c r="DT437" s="1321"/>
      <c r="DU437" s="811"/>
      <c r="DV437" s="811"/>
      <c r="DW437" s="1321"/>
      <c r="DX437" s="811"/>
      <c r="DY437" s="811"/>
      <c r="DZ437" s="1321"/>
      <c r="EA437" s="811"/>
      <c r="EB437" s="811"/>
      <c r="EC437" s="1321"/>
      <c r="ED437" s="811"/>
      <c r="EE437" s="811"/>
      <c r="EF437" s="1321"/>
      <c r="EG437" s="811"/>
      <c r="EH437" s="811"/>
      <c r="EI437" s="1321"/>
      <c r="EJ437" s="811"/>
      <c r="EK437" s="811"/>
      <c r="EL437" s="1321"/>
      <c r="EM437" s="811"/>
      <c r="EN437" s="811"/>
      <c r="EO437" s="1321"/>
      <c r="EP437" s="811"/>
      <c r="EQ437" s="811"/>
      <c r="ER437" s="1321"/>
      <c r="ES437" s="811"/>
      <c r="ET437" s="811"/>
      <c r="EU437" s="1321"/>
      <c r="EV437" s="811"/>
      <c r="EW437" s="811"/>
      <c r="EX437" s="1321"/>
      <c r="EY437" s="811"/>
      <c r="EZ437" s="811"/>
      <c r="FA437" s="1321"/>
      <c r="FE437"/>
      <c r="FF437"/>
      <c r="FG437"/>
      <c r="FH437"/>
      <c r="FI437"/>
      <c r="FJ437"/>
      <c r="FK437" s="35"/>
    </row>
    <row r="438" spans="1:167" s="236" customFormat="1" ht="13.35" hidden="1" customHeight="1" outlineLevel="1">
      <c r="A438" s="289"/>
      <c r="B438" s="401" t="s">
        <v>892</v>
      </c>
      <c r="C438" s="806"/>
      <c r="D438" s="289"/>
      <c r="E438" s="781"/>
      <c r="F438" s="779">
        <f>+G438</f>
        <v>0</v>
      </c>
      <c r="G438" s="782"/>
      <c r="H438" s="783"/>
      <c r="I438" s="779">
        <f>+J438</f>
        <v>0</v>
      </c>
      <c r="J438" s="782"/>
      <c r="K438" s="783"/>
      <c r="L438" s="779">
        <f>+M438</f>
        <v>0</v>
      </c>
      <c r="M438" s="782"/>
      <c r="N438" s="783"/>
      <c r="O438" s="779">
        <f>+P438</f>
        <v>0</v>
      </c>
      <c r="P438" s="782"/>
      <c r="Q438" s="783"/>
      <c r="R438" s="779">
        <f>+S438</f>
        <v>0</v>
      </c>
      <c r="S438" s="782"/>
      <c r="T438" s="783"/>
      <c r="U438" s="779">
        <f>+V438</f>
        <v>0</v>
      </c>
      <c r="V438" s="782"/>
      <c r="W438" s="783"/>
      <c r="X438" s="779">
        <f>+Y438</f>
        <v>0</v>
      </c>
      <c r="Y438" s="782"/>
      <c r="Z438" s="783"/>
      <c r="AA438" s="779">
        <f>+AB438</f>
        <v>0</v>
      </c>
      <c r="AB438" s="782"/>
      <c r="AC438" s="783"/>
      <c r="AD438" s="779">
        <f>+AE438</f>
        <v>0</v>
      </c>
      <c r="AE438" s="782"/>
      <c r="AF438" s="783"/>
      <c r="AG438" s="779">
        <f>+AH438</f>
        <v>0</v>
      </c>
      <c r="AH438" s="782"/>
      <c r="AI438" s="783"/>
      <c r="AJ438" s="779">
        <f>+AK438</f>
        <v>0</v>
      </c>
      <c r="AK438" s="782"/>
      <c r="AL438" s="783"/>
      <c r="AM438" s="779">
        <f>+AN438</f>
        <v>0</v>
      </c>
      <c r="AN438" s="782"/>
      <c r="AO438" s="783"/>
      <c r="AP438" s="779">
        <f>+AQ438</f>
        <v>0</v>
      </c>
      <c r="AQ438" s="782"/>
      <c r="AR438" s="783"/>
      <c r="AS438" s="779">
        <f>+AT438</f>
        <v>0</v>
      </c>
      <c r="AT438" s="782"/>
      <c r="AU438" s="783"/>
      <c r="AV438" s="779">
        <f>+AW438</f>
        <v>0</v>
      </c>
      <c r="AW438" s="782"/>
      <c r="AX438" s="783"/>
      <c r="AY438" s="779">
        <f>+AZ438</f>
        <v>0</v>
      </c>
      <c r="AZ438" s="782"/>
      <c r="BA438" s="783"/>
      <c r="BB438" s="779">
        <f>+BC438</f>
        <v>0</v>
      </c>
      <c r="BC438" s="782"/>
      <c r="BD438" s="783"/>
      <c r="BE438" s="779">
        <f>+BF438</f>
        <v>0</v>
      </c>
      <c r="BF438" s="782"/>
      <c r="BG438" s="783"/>
      <c r="BH438" s="779">
        <f>+BI438</f>
        <v>0</v>
      </c>
      <c r="BI438" s="782"/>
      <c r="BJ438" s="783"/>
      <c r="BK438" s="779">
        <f>+BL438</f>
        <v>0</v>
      </c>
      <c r="BL438" s="782"/>
      <c r="BM438" s="783"/>
      <c r="BN438" s="779">
        <f>+BO438</f>
        <v>0</v>
      </c>
      <c r="BO438" s="785"/>
      <c r="BP438" s="783"/>
      <c r="BQ438" s="779">
        <f>+BR438</f>
        <v>0</v>
      </c>
      <c r="BR438" s="785"/>
      <c r="BS438" s="783"/>
      <c r="BT438" s="779">
        <f>+BU438</f>
        <v>0</v>
      </c>
      <c r="BU438" s="785"/>
      <c r="BV438" s="783"/>
      <c r="BW438" s="779">
        <f>+BX438</f>
        <v>0</v>
      </c>
      <c r="BX438" s="785"/>
      <c r="BY438" s="783"/>
      <c r="BZ438" s="779">
        <f>+CA438</f>
        <v>0</v>
      </c>
      <c r="CA438" s="785"/>
      <c r="CB438" s="783"/>
      <c r="CC438" s="779">
        <f>+CD438</f>
        <v>0</v>
      </c>
      <c r="CD438" s="666"/>
      <c r="CE438" s="668"/>
      <c r="CF438" s="667">
        <f>+CG438</f>
        <v>0</v>
      </c>
      <c r="CG438" s="666"/>
      <c r="CH438" s="668"/>
      <c r="CI438" s="667">
        <f>+CJ438</f>
        <v>0</v>
      </c>
      <c r="CJ438" s="666"/>
      <c r="CK438" s="668"/>
      <c r="CL438" s="667">
        <f>+CM438</f>
        <v>0</v>
      </c>
      <c r="CM438" s="666"/>
      <c r="CN438" s="668"/>
      <c r="CO438" s="667">
        <f>+CP438</f>
        <v>0</v>
      </c>
      <c r="CP438" s="666"/>
      <c r="CQ438" s="668"/>
      <c r="CR438" s="667">
        <f>+CS438</f>
        <v>0</v>
      </c>
      <c r="CS438" s="666"/>
      <c r="CT438" s="668"/>
      <c r="CU438" s="667">
        <f>+CV438</f>
        <v>0</v>
      </c>
      <c r="CV438" s="666"/>
      <c r="CW438" s="668"/>
      <c r="CX438" s="667">
        <f>+CY438</f>
        <v>0</v>
      </c>
      <c r="CY438" s="666"/>
      <c r="CZ438" s="668"/>
      <c r="DA438" s="667">
        <f>+DB438</f>
        <v>0</v>
      </c>
      <c r="DB438" s="666"/>
      <c r="DC438" s="668"/>
      <c r="DD438" s="667">
        <f>+DE438</f>
        <v>0</v>
      </c>
      <c r="DE438" s="666"/>
      <c r="DF438" s="668"/>
      <c r="DG438" s="667">
        <f>+DH438</f>
        <v>0</v>
      </c>
      <c r="DH438" s="1317"/>
      <c r="DI438" s="668"/>
      <c r="DJ438" s="667">
        <f>+DK438</f>
        <v>0</v>
      </c>
      <c r="DK438" s="1317"/>
      <c r="DL438" s="668"/>
      <c r="DM438" s="667">
        <f>+DN438</f>
        <v>0</v>
      </c>
      <c r="DN438" s="1317"/>
      <c r="DO438" s="668"/>
      <c r="DP438" s="667">
        <f>+DQ438</f>
        <v>0</v>
      </c>
      <c r="DQ438" s="1317"/>
      <c r="DR438" s="668"/>
      <c r="DS438" s="667">
        <f>+DT438</f>
        <v>0</v>
      </c>
      <c r="DT438" s="1317"/>
      <c r="DU438" s="668"/>
      <c r="DV438" s="667">
        <f>+DW438</f>
        <v>0</v>
      </c>
      <c r="DW438" s="1317"/>
      <c r="DX438" s="668"/>
      <c r="DY438" s="667">
        <f>+DZ438</f>
        <v>0</v>
      </c>
      <c r="DZ438" s="1317"/>
      <c r="EA438" s="668"/>
      <c r="EB438" s="667">
        <f>+EC438</f>
        <v>0</v>
      </c>
      <c r="EC438" s="1317"/>
      <c r="ED438" s="668"/>
      <c r="EE438" s="667">
        <f>+EF438</f>
        <v>0</v>
      </c>
      <c r="EF438" s="1317"/>
      <c r="EG438" s="668"/>
      <c r="EH438" s="667">
        <f>+EI438</f>
        <v>0</v>
      </c>
      <c r="EI438" s="1317"/>
      <c r="EJ438" s="668"/>
      <c r="EK438" s="667">
        <f>+EL438</f>
        <v>0</v>
      </c>
      <c r="EL438" s="1317"/>
      <c r="EM438" s="668"/>
      <c r="EN438" s="667">
        <f>+EO438</f>
        <v>0</v>
      </c>
      <c r="EO438" s="1317"/>
      <c r="EP438" s="668"/>
      <c r="EQ438" s="667">
        <f>+ER438</f>
        <v>0</v>
      </c>
      <c r="ER438" s="1317"/>
      <c r="ES438" s="668"/>
      <c r="ET438" s="667">
        <f>+EU438</f>
        <v>0</v>
      </c>
      <c r="EU438" s="1317"/>
      <c r="EV438" s="668"/>
      <c r="EW438" s="667">
        <f>+EX438</f>
        <v>0</v>
      </c>
      <c r="EX438" s="1317"/>
      <c r="EY438" s="668"/>
      <c r="EZ438" s="667">
        <f>+FA438</f>
        <v>0</v>
      </c>
      <c r="FA438" s="1317"/>
      <c r="FE438"/>
      <c r="FF438"/>
      <c r="FG438"/>
      <c r="FH438"/>
      <c r="FI438"/>
      <c r="FJ438"/>
      <c r="FK438" s="35"/>
    </row>
    <row r="439" spans="1:167" s="235" customFormat="1" ht="13.35" hidden="1" customHeight="1" outlineLevel="1">
      <c r="B439" s="401" t="s">
        <v>329</v>
      </c>
      <c r="C439" s="593"/>
      <c r="D439" s="594"/>
      <c r="E439" s="787"/>
      <c r="F439" s="779">
        <f>+G439</f>
        <v>0</v>
      </c>
      <c r="G439" s="788"/>
      <c r="H439" s="789"/>
      <c r="I439" s="779">
        <f>+J439</f>
        <v>0</v>
      </c>
      <c r="J439" s="788"/>
      <c r="K439" s="789"/>
      <c r="L439" s="779">
        <f>+M439</f>
        <v>0</v>
      </c>
      <c r="M439" s="788"/>
      <c r="N439" s="789"/>
      <c r="O439" s="779">
        <f>+P439</f>
        <v>0</v>
      </c>
      <c r="P439" s="788"/>
      <c r="Q439" s="789"/>
      <c r="R439" s="779">
        <f>+S439</f>
        <v>0</v>
      </c>
      <c r="S439" s="788"/>
      <c r="T439" s="789"/>
      <c r="U439" s="779">
        <f>+V439</f>
        <v>0</v>
      </c>
      <c r="V439" s="788"/>
      <c r="W439" s="789"/>
      <c r="X439" s="779">
        <f>+Y439</f>
        <v>0</v>
      </c>
      <c r="Y439" s="788"/>
      <c r="Z439" s="789"/>
      <c r="AA439" s="779">
        <f>+AB439</f>
        <v>0</v>
      </c>
      <c r="AB439" s="788"/>
      <c r="AC439" s="789"/>
      <c r="AD439" s="779">
        <f>+AE439</f>
        <v>0</v>
      </c>
      <c r="AE439" s="788"/>
      <c r="AF439" s="789"/>
      <c r="AG439" s="779">
        <f>+AH439</f>
        <v>0</v>
      </c>
      <c r="AH439" s="788"/>
      <c r="AI439" s="789"/>
      <c r="AJ439" s="779">
        <f>+AK439</f>
        <v>0</v>
      </c>
      <c r="AK439" s="788"/>
      <c r="AL439" s="789"/>
      <c r="AM439" s="779">
        <f>+AN439</f>
        <v>0</v>
      </c>
      <c r="AN439" s="788"/>
      <c r="AO439" s="789"/>
      <c r="AP439" s="779">
        <f>+AQ439</f>
        <v>0</v>
      </c>
      <c r="AQ439" s="788"/>
      <c r="AR439" s="789"/>
      <c r="AS439" s="779">
        <f>+AT439</f>
        <v>0</v>
      </c>
      <c r="AT439" s="788"/>
      <c r="AU439" s="789"/>
      <c r="AV439" s="779">
        <f>+AW439</f>
        <v>0</v>
      </c>
      <c r="AW439" s="788"/>
      <c r="AX439" s="789"/>
      <c r="AY439" s="779">
        <f>+AZ439</f>
        <v>0</v>
      </c>
      <c r="AZ439" s="788"/>
      <c r="BA439" s="789"/>
      <c r="BB439" s="779">
        <f>+BC439</f>
        <v>0</v>
      </c>
      <c r="BC439" s="788"/>
      <c r="BD439" s="789"/>
      <c r="BE439" s="779">
        <f>+BF439</f>
        <v>0</v>
      </c>
      <c r="BF439" s="788"/>
      <c r="BG439" s="789"/>
      <c r="BH439" s="779">
        <f>+BI439</f>
        <v>0</v>
      </c>
      <c r="BI439" s="788"/>
      <c r="BJ439" s="789"/>
      <c r="BK439" s="779">
        <f>+BL439</f>
        <v>0</v>
      </c>
      <c r="BL439" s="788"/>
      <c r="BM439" s="789"/>
      <c r="BN439" s="779">
        <f>+BO439</f>
        <v>0</v>
      </c>
      <c r="BO439" s="790"/>
      <c r="BP439" s="789"/>
      <c r="BQ439" s="779">
        <f>+BR439</f>
        <v>0</v>
      </c>
      <c r="BR439" s="790"/>
      <c r="BS439" s="789"/>
      <c r="BT439" s="779">
        <f>+BU439</f>
        <v>0</v>
      </c>
      <c r="BU439" s="790"/>
      <c r="BV439" s="789"/>
      <c r="BW439" s="779">
        <f>+BX439</f>
        <v>0</v>
      </c>
      <c r="BX439" s="790"/>
      <c r="BY439" s="789"/>
      <c r="BZ439" s="779">
        <f>+CA439</f>
        <v>0</v>
      </c>
      <c r="CA439" s="790"/>
      <c r="CB439" s="789"/>
      <c r="CC439" s="779">
        <f>+CD439</f>
        <v>0</v>
      </c>
      <c r="CD439" s="791"/>
      <c r="CE439" s="792"/>
      <c r="CF439" s="667">
        <f>+CG439</f>
        <v>0</v>
      </c>
      <c r="CG439" s="791"/>
      <c r="CH439" s="792"/>
      <c r="CI439" s="667">
        <f>+CJ439</f>
        <v>0</v>
      </c>
      <c r="CJ439" s="791"/>
      <c r="CK439" s="792"/>
      <c r="CL439" s="667">
        <f>+CM439</f>
        <v>0</v>
      </c>
      <c r="CM439" s="791"/>
      <c r="CN439" s="792"/>
      <c r="CO439" s="667">
        <f>+CP439</f>
        <v>0</v>
      </c>
      <c r="CP439" s="791"/>
      <c r="CQ439" s="792"/>
      <c r="CR439" s="667">
        <f>+CS439</f>
        <v>0</v>
      </c>
      <c r="CS439" s="791"/>
      <c r="CT439" s="792"/>
      <c r="CU439" s="667">
        <f>+CV439</f>
        <v>0</v>
      </c>
      <c r="CV439" s="791"/>
      <c r="CW439" s="792"/>
      <c r="CX439" s="667">
        <f>+CY439</f>
        <v>0</v>
      </c>
      <c r="CY439" s="791"/>
      <c r="CZ439" s="792"/>
      <c r="DA439" s="667">
        <f>+DB439</f>
        <v>0</v>
      </c>
      <c r="DB439" s="791"/>
      <c r="DC439" s="792"/>
      <c r="DD439" s="667">
        <f>+DE439</f>
        <v>0</v>
      </c>
      <c r="DE439" s="791"/>
      <c r="DF439" s="792"/>
      <c r="DG439" s="667">
        <f>+DH439</f>
        <v>0</v>
      </c>
      <c r="DH439" s="1318"/>
      <c r="DI439" s="792"/>
      <c r="DJ439" s="667">
        <f>+DK439</f>
        <v>0</v>
      </c>
      <c r="DK439" s="1318"/>
      <c r="DL439" s="792"/>
      <c r="DM439" s="667">
        <f>+DN439</f>
        <v>0</v>
      </c>
      <c r="DN439" s="1318"/>
      <c r="DO439" s="792"/>
      <c r="DP439" s="667">
        <f>+DQ439</f>
        <v>0</v>
      </c>
      <c r="DQ439" s="1318"/>
      <c r="DR439" s="792"/>
      <c r="DS439" s="667">
        <f>+DT439</f>
        <v>0</v>
      </c>
      <c r="DT439" s="1318"/>
      <c r="DU439" s="792"/>
      <c r="DV439" s="667">
        <f>+DW439</f>
        <v>0</v>
      </c>
      <c r="DW439" s="1318"/>
      <c r="DX439" s="792"/>
      <c r="DY439" s="667">
        <f>+DZ439</f>
        <v>0</v>
      </c>
      <c r="DZ439" s="1318"/>
      <c r="EA439" s="792"/>
      <c r="EB439" s="667">
        <f>+EC439</f>
        <v>0</v>
      </c>
      <c r="EC439" s="1318"/>
      <c r="ED439" s="792"/>
      <c r="EE439" s="667">
        <f>+EF439</f>
        <v>0</v>
      </c>
      <c r="EF439" s="1318"/>
      <c r="EG439" s="792"/>
      <c r="EH439" s="667">
        <f>+EI439</f>
        <v>0</v>
      </c>
      <c r="EI439" s="1318"/>
      <c r="EJ439" s="792"/>
      <c r="EK439" s="667">
        <f>+EL439</f>
        <v>0</v>
      </c>
      <c r="EL439" s="1318"/>
      <c r="EM439" s="792"/>
      <c r="EN439" s="667">
        <f>+EO439</f>
        <v>0</v>
      </c>
      <c r="EO439" s="1318"/>
      <c r="EP439" s="792"/>
      <c r="EQ439" s="667">
        <f>+ER439</f>
        <v>0</v>
      </c>
      <c r="ER439" s="1318"/>
      <c r="ES439" s="792"/>
      <c r="ET439" s="667">
        <f>+EU439</f>
        <v>0</v>
      </c>
      <c r="EU439" s="1318"/>
      <c r="EV439" s="792"/>
      <c r="EW439" s="667">
        <f>+EX439</f>
        <v>0</v>
      </c>
      <c r="EX439" s="1318"/>
      <c r="EY439" s="792"/>
      <c r="EZ439" s="667">
        <f>+FA439</f>
        <v>0</v>
      </c>
      <c r="FA439" s="1318"/>
      <c r="FE439"/>
      <c r="FF439"/>
      <c r="FG439"/>
      <c r="FH439"/>
      <c r="FI439"/>
      <c r="FJ439"/>
      <c r="FK439" s="35"/>
    </row>
    <row r="440" spans="1:167" s="236" customFormat="1" ht="13.35" hidden="1" customHeight="1" outlineLevel="1">
      <c r="A440" s="289"/>
      <c r="B440" s="401" t="s">
        <v>522</v>
      </c>
      <c r="C440" s="806"/>
      <c r="D440" s="289"/>
      <c r="E440" s="793"/>
      <c r="F440" s="596">
        <f>+G440-E440</f>
        <v>0</v>
      </c>
      <c r="G440" s="794"/>
      <c r="H440" s="795"/>
      <c r="I440" s="596">
        <f>+J440-H440</f>
        <v>0</v>
      </c>
      <c r="J440" s="794"/>
      <c r="K440" s="795"/>
      <c r="L440" s="596">
        <f>+M440-K440</f>
        <v>0</v>
      </c>
      <c r="M440" s="794"/>
      <c r="N440" s="795"/>
      <c r="O440" s="596">
        <f>+P440-N440</f>
        <v>0</v>
      </c>
      <c r="P440" s="794"/>
      <c r="Q440" s="795"/>
      <c r="R440" s="596">
        <f>+S440-Q440</f>
        <v>0</v>
      </c>
      <c r="S440" s="794"/>
      <c r="T440" s="795"/>
      <c r="U440" s="596">
        <f>+V440-T440</f>
        <v>0</v>
      </c>
      <c r="V440" s="794"/>
      <c r="W440" s="795"/>
      <c r="X440" s="596">
        <f>+Y440-W440</f>
        <v>0</v>
      </c>
      <c r="Y440" s="794"/>
      <c r="Z440" s="795"/>
      <c r="AA440" s="596">
        <f>+AB440-Z440</f>
        <v>0</v>
      </c>
      <c r="AB440" s="794"/>
      <c r="AC440" s="795"/>
      <c r="AD440" s="596">
        <f>+AE440-AC440</f>
        <v>0</v>
      </c>
      <c r="AE440" s="794"/>
      <c r="AF440" s="795"/>
      <c r="AG440" s="596">
        <f>+AH440-AF440</f>
        <v>0</v>
      </c>
      <c r="AH440" s="794"/>
      <c r="AI440" s="795"/>
      <c r="AJ440" s="596">
        <f>+AK440-AI440</f>
        <v>0</v>
      </c>
      <c r="AK440" s="794"/>
      <c r="AL440" s="795"/>
      <c r="AM440" s="596">
        <f>+AN440-AL440</f>
        <v>0</v>
      </c>
      <c r="AN440" s="794"/>
      <c r="AO440" s="795"/>
      <c r="AP440" s="596">
        <f>+AQ440-AO440</f>
        <v>0</v>
      </c>
      <c r="AQ440" s="794"/>
      <c r="AR440" s="795"/>
      <c r="AS440" s="596">
        <f>+AT440-AR440</f>
        <v>0</v>
      </c>
      <c r="AT440" s="794"/>
      <c r="AU440" s="795"/>
      <c r="AV440" s="596">
        <f>+AW440-AU440</f>
        <v>0</v>
      </c>
      <c r="AW440" s="794"/>
      <c r="AX440" s="795"/>
      <c r="AY440" s="596">
        <f>+AZ440-AX440</f>
        <v>0</v>
      </c>
      <c r="AZ440" s="794"/>
      <c r="BA440" s="795"/>
      <c r="BB440" s="596">
        <f>+BC440-BA440</f>
        <v>0</v>
      </c>
      <c r="BC440" s="794"/>
      <c r="BD440" s="795"/>
      <c r="BE440" s="596">
        <f>+BF440-BD440</f>
        <v>0</v>
      </c>
      <c r="BF440" s="794"/>
      <c r="BG440" s="795"/>
      <c r="BH440" s="596">
        <f>+BI440-BG440</f>
        <v>0</v>
      </c>
      <c r="BI440" s="794"/>
      <c r="BJ440" s="795"/>
      <c r="BK440" s="596">
        <f>+BL440-BJ440</f>
        <v>0</v>
      </c>
      <c r="BL440" s="794"/>
      <c r="BM440" s="795"/>
      <c r="BN440" s="596">
        <f>+BO440-BM440</f>
        <v>0</v>
      </c>
      <c r="BO440" s="796"/>
      <c r="BP440" s="795"/>
      <c r="BQ440" s="596">
        <f>+BR440-BP440</f>
        <v>0</v>
      </c>
      <c r="BR440" s="796"/>
      <c r="BS440" s="795"/>
      <c r="BT440" s="596">
        <f>+BU440-BS440</f>
        <v>0</v>
      </c>
      <c r="BU440" s="796"/>
      <c r="BV440" s="795"/>
      <c r="BW440" s="596">
        <f>+BX440-BV440</f>
        <v>0</v>
      </c>
      <c r="BX440" s="796"/>
      <c r="BY440" s="795"/>
      <c r="BZ440" s="596">
        <f>+CA440-BY440</f>
        <v>0</v>
      </c>
      <c r="CA440" s="796"/>
      <c r="CB440" s="795"/>
      <c r="CC440" s="596">
        <f>+CD440-CB440</f>
        <v>0</v>
      </c>
      <c r="CD440" s="797"/>
      <c r="CE440" s="798"/>
      <c r="CF440" s="612">
        <f>+CG440-CE440</f>
        <v>0</v>
      </c>
      <c r="CG440" s="797"/>
      <c r="CH440" s="798"/>
      <c r="CI440" s="612">
        <f>+CJ440-CH440</f>
        <v>0</v>
      </c>
      <c r="CJ440" s="797"/>
      <c r="CK440" s="798"/>
      <c r="CL440" s="612">
        <f>+CM440-CK440</f>
        <v>0</v>
      </c>
      <c r="CM440" s="797"/>
      <c r="CN440" s="798"/>
      <c r="CO440" s="612">
        <f>+CP440-CN440</f>
        <v>0</v>
      </c>
      <c r="CP440" s="797"/>
      <c r="CQ440" s="798"/>
      <c r="CR440" s="612">
        <f>+CS440-CQ440</f>
        <v>0</v>
      </c>
      <c r="CS440" s="797"/>
      <c r="CT440" s="798"/>
      <c r="CU440" s="612">
        <f>+CV440-CT440</f>
        <v>0</v>
      </c>
      <c r="CV440" s="797"/>
      <c r="CW440" s="798"/>
      <c r="CX440" s="612">
        <f>+CY440-CW440</f>
        <v>0</v>
      </c>
      <c r="CY440" s="797"/>
      <c r="CZ440" s="798"/>
      <c r="DA440" s="612">
        <f>+DB440-CZ440</f>
        <v>0</v>
      </c>
      <c r="DB440" s="797"/>
      <c r="DC440" s="798"/>
      <c r="DD440" s="612">
        <f>+DE440-DC440</f>
        <v>0</v>
      </c>
      <c r="DE440" s="797"/>
      <c r="DF440" s="798"/>
      <c r="DG440" s="612">
        <f>+DH440-DF440</f>
        <v>0</v>
      </c>
      <c r="DH440" s="1319"/>
      <c r="DI440" s="798"/>
      <c r="DJ440" s="612">
        <f>+DK440-DI440</f>
        <v>0</v>
      </c>
      <c r="DK440" s="1319"/>
      <c r="DL440" s="798"/>
      <c r="DM440" s="612">
        <f>+DN440-DL440</f>
        <v>0</v>
      </c>
      <c r="DN440" s="1319"/>
      <c r="DO440" s="798"/>
      <c r="DP440" s="612">
        <f>+DQ440-DO440</f>
        <v>0</v>
      </c>
      <c r="DQ440" s="1319"/>
      <c r="DR440" s="798"/>
      <c r="DS440" s="612">
        <f>+DT440-DR440</f>
        <v>0</v>
      </c>
      <c r="DT440" s="1319"/>
      <c r="DU440" s="798"/>
      <c r="DV440" s="612">
        <f>+DW440-DU440</f>
        <v>0</v>
      </c>
      <c r="DW440" s="1319"/>
      <c r="DX440" s="798"/>
      <c r="DY440" s="612">
        <f>+DZ440-DX440</f>
        <v>0</v>
      </c>
      <c r="DZ440" s="1319"/>
      <c r="EA440" s="798"/>
      <c r="EB440" s="612">
        <f>+EC440-EA440</f>
        <v>0</v>
      </c>
      <c r="EC440" s="1319"/>
      <c r="ED440" s="798"/>
      <c r="EE440" s="612">
        <f>+EF440-ED440</f>
        <v>0</v>
      </c>
      <c r="EF440" s="1319"/>
      <c r="EG440" s="798"/>
      <c r="EH440" s="612">
        <f>+EI440-EG440</f>
        <v>0</v>
      </c>
      <c r="EI440" s="1319"/>
      <c r="EJ440" s="798"/>
      <c r="EK440" s="612">
        <f>+EL440-EJ440</f>
        <v>0</v>
      </c>
      <c r="EL440" s="1319"/>
      <c r="EM440" s="798"/>
      <c r="EN440" s="612">
        <f>+EO440-EM440</f>
        <v>0</v>
      </c>
      <c r="EO440" s="1319"/>
      <c r="EP440" s="798"/>
      <c r="EQ440" s="612">
        <f>+ER440-EP440</f>
        <v>0</v>
      </c>
      <c r="ER440" s="1319"/>
      <c r="ES440" s="798"/>
      <c r="ET440" s="612">
        <f>+EU440-ES440</f>
        <v>0</v>
      </c>
      <c r="EU440" s="1319"/>
      <c r="EV440" s="798"/>
      <c r="EW440" s="612">
        <f>+EX440-EV440</f>
        <v>0</v>
      </c>
      <c r="EX440" s="1319"/>
      <c r="EY440" s="798"/>
      <c r="EZ440" s="612">
        <f>+FA440-EY440</f>
        <v>0</v>
      </c>
      <c r="FA440" s="1319"/>
      <c r="FE440"/>
      <c r="FF440"/>
      <c r="FG440"/>
      <c r="FH440"/>
      <c r="FI440"/>
      <c r="FJ440"/>
      <c r="FK440" s="35"/>
    </row>
    <row r="441" spans="1:167" s="819" customFormat="1" ht="13.35" hidden="1" customHeight="1" outlineLevel="1" thickBot="1">
      <c r="A441" s="816"/>
      <c r="B441" s="401" t="s">
        <v>523</v>
      </c>
      <c r="C441" s="817"/>
      <c r="D441" s="816"/>
      <c r="E441" s="799" t="s">
        <v>524</v>
      </c>
      <c r="F441" s="800"/>
      <c r="G441" s="801" t="str">
        <f>+E441</f>
        <v>N</v>
      </c>
      <c r="H441" s="802" t="str">
        <f>G441</f>
        <v>N</v>
      </c>
      <c r="I441" s="800"/>
      <c r="J441" s="801" t="str">
        <f>+H441</f>
        <v>N</v>
      </c>
      <c r="K441" s="802" t="str">
        <f>J441</f>
        <v>N</v>
      </c>
      <c r="L441" s="800"/>
      <c r="M441" s="801" t="str">
        <f>+K441</f>
        <v>N</v>
      </c>
      <c r="N441" s="802" t="str">
        <f>M441</f>
        <v>N</v>
      </c>
      <c r="O441" s="800"/>
      <c r="P441" s="801" t="str">
        <f>+N441</f>
        <v>N</v>
      </c>
      <c r="Q441" s="802" t="str">
        <f>P441</f>
        <v>N</v>
      </c>
      <c r="R441" s="800"/>
      <c r="S441" s="801" t="str">
        <f>+Q441</f>
        <v>N</v>
      </c>
      <c r="T441" s="802" t="str">
        <f>S441</f>
        <v>N</v>
      </c>
      <c r="U441" s="800"/>
      <c r="V441" s="801" t="str">
        <f>+T441</f>
        <v>N</v>
      </c>
      <c r="W441" s="802" t="str">
        <f>V441</f>
        <v>N</v>
      </c>
      <c r="X441" s="800"/>
      <c r="Y441" s="801" t="str">
        <f>+W441</f>
        <v>N</v>
      </c>
      <c r="Z441" s="802" t="str">
        <f>Y441</f>
        <v>N</v>
      </c>
      <c r="AA441" s="800"/>
      <c r="AB441" s="801" t="str">
        <f>+Z441</f>
        <v>N</v>
      </c>
      <c r="AC441" s="802" t="str">
        <f>AB441</f>
        <v>N</v>
      </c>
      <c r="AD441" s="800"/>
      <c r="AE441" s="801" t="str">
        <f>+AC441</f>
        <v>N</v>
      </c>
      <c r="AF441" s="802" t="str">
        <f>AE441</f>
        <v>N</v>
      </c>
      <c r="AG441" s="800"/>
      <c r="AH441" s="801" t="str">
        <f>+AF441</f>
        <v>N</v>
      </c>
      <c r="AI441" s="802" t="str">
        <f>AH441</f>
        <v>N</v>
      </c>
      <c r="AJ441" s="800"/>
      <c r="AK441" s="801" t="str">
        <f>+AI441</f>
        <v>N</v>
      </c>
      <c r="AL441" s="802" t="str">
        <f>AK441</f>
        <v>N</v>
      </c>
      <c r="AM441" s="800"/>
      <c r="AN441" s="801" t="str">
        <f>+AL441</f>
        <v>N</v>
      </c>
      <c r="AO441" s="802" t="str">
        <f>AN441</f>
        <v>N</v>
      </c>
      <c r="AP441" s="800"/>
      <c r="AQ441" s="801" t="str">
        <f>+AO441</f>
        <v>N</v>
      </c>
      <c r="AR441" s="802" t="str">
        <f>AQ441</f>
        <v>N</v>
      </c>
      <c r="AS441" s="800"/>
      <c r="AT441" s="801" t="str">
        <f>+AR441</f>
        <v>N</v>
      </c>
      <c r="AU441" s="802" t="str">
        <f>AT441</f>
        <v>N</v>
      </c>
      <c r="AV441" s="800"/>
      <c r="AW441" s="801" t="str">
        <f>+AU441</f>
        <v>N</v>
      </c>
      <c r="AX441" s="802" t="str">
        <f>AW441</f>
        <v>N</v>
      </c>
      <c r="AY441" s="800"/>
      <c r="AZ441" s="801" t="str">
        <f>+AX441</f>
        <v>N</v>
      </c>
      <c r="BA441" s="802" t="str">
        <f>AZ441</f>
        <v>N</v>
      </c>
      <c r="BB441" s="800"/>
      <c r="BC441" s="801" t="str">
        <f>+BA441</f>
        <v>N</v>
      </c>
      <c r="BD441" s="802" t="str">
        <f>BC441</f>
        <v>N</v>
      </c>
      <c r="BE441" s="800"/>
      <c r="BF441" s="801" t="str">
        <f>+BD441</f>
        <v>N</v>
      </c>
      <c r="BG441" s="802" t="str">
        <f>BF441</f>
        <v>N</v>
      </c>
      <c r="BH441" s="800"/>
      <c r="BI441" s="801" t="str">
        <f>+BG441</f>
        <v>N</v>
      </c>
      <c r="BJ441" s="802" t="str">
        <f>BI441</f>
        <v>N</v>
      </c>
      <c r="BK441" s="800"/>
      <c r="BL441" s="801" t="str">
        <f>+BJ441</f>
        <v>N</v>
      </c>
      <c r="BM441" s="802" t="str">
        <f>BL441</f>
        <v>N</v>
      </c>
      <c r="BN441" s="800"/>
      <c r="BO441" s="803" t="str">
        <f>+BM441</f>
        <v>N</v>
      </c>
      <c r="BP441" s="802" t="str">
        <f>BO441</f>
        <v>N</v>
      </c>
      <c r="BQ441" s="800"/>
      <c r="BR441" s="803" t="str">
        <f>+BP441</f>
        <v>N</v>
      </c>
      <c r="BS441" s="802" t="str">
        <f>BR441</f>
        <v>N</v>
      </c>
      <c r="BT441" s="800"/>
      <c r="BU441" s="803" t="str">
        <f>+BS441</f>
        <v>N</v>
      </c>
      <c r="BV441" s="802" t="str">
        <f>BU441</f>
        <v>N</v>
      </c>
      <c r="BW441" s="800"/>
      <c r="BX441" s="803" t="str">
        <f>+BV441</f>
        <v>N</v>
      </c>
      <c r="BY441" s="802" t="str">
        <f>BX441</f>
        <v>N</v>
      </c>
      <c r="BZ441" s="800"/>
      <c r="CA441" s="803" t="str">
        <f>+BY441</f>
        <v>N</v>
      </c>
      <c r="CB441" s="802" t="str">
        <f>CA441</f>
        <v>N</v>
      </c>
      <c r="CC441" s="800"/>
      <c r="CD441" s="804" t="str">
        <f>+CB441</f>
        <v>N</v>
      </c>
      <c r="CE441" s="805" t="str">
        <f>CD441</f>
        <v>N</v>
      </c>
      <c r="CF441" s="681"/>
      <c r="CG441" s="804" t="str">
        <f>+CE441</f>
        <v>N</v>
      </c>
      <c r="CH441" s="805" t="str">
        <f>CG441</f>
        <v>N</v>
      </c>
      <c r="CI441" s="681"/>
      <c r="CJ441" s="804" t="str">
        <f>+CH441</f>
        <v>N</v>
      </c>
      <c r="CK441" s="805" t="str">
        <f>CJ441</f>
        <v>N</v>
      </c>
      <c r="CL441" s="681"/>
      <c r="CM441" s="804" t="str">
        <f>+CK441</f>
        <v>N</v>
      </c>
      <c r="CN441" s="805" t="str">
        <f>CM441</f>
        <v>N</v>
      </c>
      <c r="CO441" s="681"/>
      <c r="CP441" s="804" t="str">
        <f>+CN441</f>
        <v>N</v>
      </c>
      <c r="CQ441" s="805" t="str">
        <f>CP441</f>
        <v>N</v>
      </c>
      <c r="CR441" s="681"/>
      <c r="CS441" s="804" t="str">
        <f>+CQ441</f>
        <v>N</v>
      </c>
      <c r="CT441" s="805" t="str">
        <f>CS441</f>
        <v>N</v>
      </c>
      <c r="CU441" s="681"/>
      <c r="CV441" s="804" t="str">
        <f>+CT441</f>
        <v>N</v>
      </c>
      <c r="CW441" s="805" t="str">
        <f>CV441</f>
        <v>N</v>
      </c>
      <c r="CX441" s="681"/>
      <c r="CY441" s="804" t="str">
        <f>+CW441</f>
        <v>N</v>
      </c>
      <c r="CZ441" s="805" t="str">
        <f>CY441</f>
        <v>N</v>
      </c>
      <c r="DA441" s="681"/>
      <c r="DB441" s="804" t="str">
        <f>+CZ441</f>
        <v>N</v>
      </c>
      <c r="DC441" s="805" t="str">
        <f>DB441</f>
        <v>N</v>
      </c>
      <c r="DD441" s="681"/>
      <c r="DE441" s="804" t="str">
        <f>+DC441</f>
        <v>N</v>
      </c>
      <c r="DF441" s="805" t="str">
        <f>DE441</f>
        <v>N</v>
      </c>
      <c r="DG441" s="681"/>
      <c r="DH441" s="1320" t="str">
        <f>+DF441</f>
        <v>N</v>
      </c>
      <c r="DI441" s="805" t="str">
        <f>DH441</f>
        <v>N</v>
      </c>
      <c r="DJ441" s="681"/>
      <c r="DK441" s="1320" t="str">
        <f>+DI441</f>
        <v>N</v>
      </c>
      <c r="DL441" s="805" t="str">
        <f>DK441</f>
        <v>N</v>
      </c>
      <c r="DM441" s="681"/>
      <c r="DN441" s="1320" t="str">
        <f>+DL441</f>
        <v>N</v>
      </c>
      <c r="DO441" s="805" t="str">
        <f>DN441</f>
        <v>N</v>
      </c>
      <c r="DP441" s="681"/>
      <c r="DQ441" s="1320" t="str">
        <f>+DO441</f>
        <v>N</v>
      </c>
      <c r="DR441" s="805" t="str">
        <f>DQ441</f>
        <v>N</v>
      </c>
      <c r="DS441" s="681"/>
      <c r="DT441" s="1320" t="str">
        <f>+DR441</f>
        <v>N</v>
      </c>
      <c r="DU441" s="805" t="str">
        <f>DT441</f>
        <v>N</v>
      </c>
      <c r="DV441" s="681"/>
      <c r="DW441" s="1320" t="str">
        <f>+DU441</f>
        <v>N</v>
      </c>
      <c r="DX441" s="805" t="str">
        <f>DW441</f>
        <v>N</v>
      </c>
      <c r="DY441" s="681"/>
      <c r="DZ441" s="1320" t="str">
        <f>+DX441</f>
        <v>N</v>
      </c>
      <c r="EA441" s="805" t="str">
        <f>DZ441</f>
        <v>N</v>
      </c>
      <c r="EB441" s="681"/>
      <c r="EC441" s="1320" t="str">
        <f>+EA441</f>
        <v>N</v>
      </c>
      <c r="ED441" s="805" t="str">
        <f>EC441</f>
        <v>N</v>
      </c>
      <c r="EE441" s="681"/>
      <c r="EF441" s="1320" t="str">
        <f>+ED441</f>
        <v>N</v>
      </c>
      <c r="EG441" s="805" t="str">
        <f>EF441</f>
        <v>N</v>
      </c>
      <c r="EH441" s="681"/>
      <c r="EI441" s="1320" t="str">
        <f>+EG441</f>
        <v>N</v>
      </c>
      <c r="EJ441" s="805" t="str">
        <f>EI441</f>
        <v>N</v>
      </c>
      <c r="EK441" s="681"/>
      <c r="EL441" s="1320" t="str">
        <f>+EJ441</f>
        <v>N</v>
      </c>
      <c r="EM441" s="805" t="str">
        <f>EL441</f>
        <v>N</v>
      </c>
      <c r="EN441" s="681"/>
      <c r="EO441" s="1320" t="str">
        <f>+EM441</f>
        <v>N</v>
      </c>
      <c r="EP441" s="805" t="str">
        <f>EO441</f>
        <v>N</v>
      </c>
      <c r="EQ441" s="681"/>
      <c r="ER441" s="1320" t="str">
        <f>+EP441</f>
        <v>N</v>
      </c>
      <c r="ES441" s="805" t="str">
        <f>ER441</f>
        <v>N</v>
      </c>
      <c r="ET441" s="681"/>
      <c r="EU441" s="1320" t="str">
        <f>+ES441</f>
        <v>N</v>
      </c>
      <c r="EV441" s="805" t="str">
        <f>EU441</f>
        <v>N</v>
      </c>
      <c r="EW441" s="681"/>
      <c r="EX441" s="1320" t="str">
        <f>+EV441</f>
        <v>N</v>
      </c>
      <c r="EY441" s="805" t="str">
        <f>EX441</f>
        <v>N</v>
      </c>
      <c r="EZ441" s="681"/>
      <c r="FA441" s="1320" t="str">
        <f>+EY441</f>
        <v>N</v>
      </c>
      <c r="FE441"/>
      <c r="FF441"/>
      <c r="FG441"/>
      <c r="FH441"/>
      <c r="FI441"/>
      <c r="FJ441"/>
      <c r="FK441" s="35"/>
    </row>
    <row r="442" spans="1:167" s="236" customFormat="1" ht="13.35" hidden="1" customHeight="1" outlineLevel="1" thickBot="1">
      <c r="A442" s="289"/>
      <c r="B442" s="289"/>
      <c r="C442" s="806"/>
      <c r="D442" s="289"/>
      <c r="E442" s="807"/>
      <c r="F442" s="807"/>
      <c r="G442" s="808"/>
      <c r="H442" s="807"/>
      <c r="I442" s="807"/>
      <c r="J442" s="808"/>
      <c r="K442" s="807"/>
      <c r="L442" s="807"/>
      <c r="M442" s="808"/>
      <c r="N442" s="807"/>
      <c r="O442" s="807"/>
      <c r="P442" s="808"/>
      <c r="Q442" s="809"/>
      <c r="R442" s="809"/>
      <c r="S442" s="810"/>
      <c r="T442" s="809"/>
      <c r="U442" s="809"/>
      <c r="V442" s="808"/>
      <c r="W442" s="807"/>
      <c r="X442" s="807"/>
      <c r="Y442" s="808"/>
      <c r="Z442" s="807"/>
      <c r="AA442" s="807"/>
      <c r="AB442" s="808"/>
      <c r="AC442" s="807"/>
      <c r="AD442" s="807"/>
      <c r="AE442" s="808"/>
      <c r="AF442" s="807"/>
      <c r="AG442" s="807"/>
      <c r="AH442" s="808"/>
      <c r="AI442" s="807"/>
      <c r="AJ442" s="807"/>
      <c r="AK442" s="808"/>
      <c r="AL442" s="807"/>
      <c r="AM442" s="807"/>
      <c r="AN442" s="808"/>
      <c r="AO442" s="807"/>
      <c r="AP442" s="807"/>
      <c r="AQ442" s="808"/>
      <c r="AR442" s="807"/>
      <c r="AS442" s="807"/>
      <c r="AT442" s="808"/>
      <c r="AU442" s="807"/>
      <c r="AV442" s="807"/>
      <c r="AW442" s="808"/>
      <c r="AX442" s="807"/>
      <c r="AY442" s="807"/>
      <c r="AZ442" s="808"/>
      <c r="BA442" s="807"/>
      <c r="BB442" s="807"/>
      <c r="BC442" s="808"/>
      <c r="BD442" s="807"/>
      <c r="BE442" s="807"/>
      <c r="BF442" s="808"/>
      <c r="BG442" s="807"/>
      <c r="BH442" s="807"/>
      <c r="BI442" s="808"/>
      <c r="BJ442" s="807"/>
      <c r="BK442" s="807"/>
      <c r="BL442" s="808"/>
      <c r="BM442" s="807"/>
      <c r="BN442" s="807"/>
      <c r="BO442" s="808"/>
      <c r="BP442" s="807"/>
      <c r="BQ442" s="807"/>
      <c r="BR442" s="808"/>
      <c r="BS442" s="807"/>
      <c r="BT442" s="807"/>
      <c r="BU442" s="808"/>
      <c r="BV442" s="807"/>
      <c r="BW442" s="807"/>
      <c r="BX442" s="808"/>
      <c r="BY442" s="807"/>
      <c r="BZ442" s="807"/>
      <c r="CA442" s="808"/>
      <c r="CB442" s="807"/>
      <c r="CC442" s="807"/>
      <c r="CD442" s="811"/>
      <c r="CE442" s="811"/>
      <c r="CF442" s="811"/>
      <c r="CG442" s="811"/>
      <c r="CH442" s="811"/>
      <c r="CI442" s="811"/>
      <c r="CJ442" s="811"/>
      <c r="CK442" s="811"/>
      <c r="CL442" s="811"/>
      <c r="CM442" s="811"/>
      <c r="CN442" s="811"/>
      <c r="CO442" s="811"/>
      <c r="CP442" s="811"/>
      <c r="CQ442" s="811"/>
      <c r="CR442" s="811"/>
      <c r="CS442" s="811"/>
      <c r="CT442" s="811"/>
      <c r="CU442" s="811"/>
      <c r="CV442" s="811"/>
      <c r="CW442" s="811"/>
      <c r="CX442" s="811"/>
      <c r="CY442" s="811"/>
      <c r="CZ442" s="811"/>
      <c r="DA442" s="811"/>
      <c r="DB442" s="811"/>
      <c r="DC442" s="811"/>
      <c r="DD442" s="811"/>
      <c r="DE442" s="811"/>
      <c r="DF442" s="811"/>
      <c r="DG442" s="811"/>
      <c r="DH442" s="1321"/>
      <c r="DI442" s="811"/>
      <c r="DJ442" s="811"/>
      <c r="DK442" s="1321"/>
      <c r="DL442" s="811"/>
      <c r="DM442" s="811"/>
      <c r="DN442" s="1321"/>
      <c r="DO442" s="811"/>
      <c r="DP442" s="811"/>
      <c r="DQ442" s="1321"/>
      <c r="DR442" s="811"/>
      <c r="DS442" s="811"/>
      <c r="DT442" s="1321"/>
      <c r="DU442" s="811"/>
      <c r="DV442" s="811"/>
      <c r="DW442" s="1321"/>
      <c r="DX442" s="811"/>
      <c r="DY442" s="811"/>
      <c r="DZ442" s="1321"/>
      <c r="EA442" s="811"/>
      <c r="EB442" s="811"/>
      <c r="EC442" s="1321"/>
      <c r="ED442" s="811"/>
      <c r="EE442" s="811"/>
      <c r="EF442" s="1321"/>
      <c r="EG442" s="811"/>
      <c r="EH442" s="811"/>
      <c r="EI442" s="1321"/>
      <c r="EJ442" s="811"/>
      <c r="EK442" s="811"/>
      <c r="EL442" s="1321"/>
      <c r="EM442" s="811"/>
      <c r="EN442" s="811"/>
      <c r="EO442" s="1321"/>
      <c r="EP442" s="811"/>
      <c r="EQ442" s="811"/>
      <c r="ER442" s="1321"/>
      <c r="ES442" s="811"/>
      <c r="ET442" s="811"/>
      <c r="EU442" s="1321"/>
      <c r="EV442" s="811"/>
      <c r="EW442" s="811"/>
      <c r="EX442" s="1321"/>
      <c r="EY442" s="811"/>
      <c r="EZ442" s="811"/>
      <c r="FA442" s="1321"/>
      <c r="FE442"/>
      <c r="FF442"/>
      <c r="FG442"/>
      <c r="FH442"/>
      <c r="FI442"/>
      <c r="FJ442"/>
      <c r="FK442" s="35"/>
    </row>
    <row r="443" spans="1:167" s="236" customFormat="1" ht="13.35" hidden="1" customHeight="1" outlineLevel="1">
      <c r="A443" s="289"/>
      <c r="B443" s="401" t="s">
        <v>555</v>
      </c>
      <c r="C443" s="806"/>
      <c r="D443" s="289"/>
      <c r="E443" s="781"/>
      <c r="F443" s="779">
        <f>+G443</f>
        <v>0</v>
      </c>
      <c r="G443" s="782"/>
      <c r="H443" s="783"/>
      <c r="I443" s="779">
        <f>+J443</f>
        <v>0</v>
      </c>
      <c r="J443" s="782"/>
      <c r="K443" s="783"/>
      <c r="L443" s="779">
        <f>+M443</f>
        <v>0</v>
      </c>
      <c r="M443" s="782"/>
      <c r="N443" s="783"/>
      <c r="O443" s="779">
        <f>+P443</f>
        <v>0</v>
      </c>
      <c r="P443" s="782"/>
      <c r="Q443" s="783"/>
      <c r="R443" s="779">
        <f>+S443</f>
        <v>0</v>
      </c>
      <c r="S443" s="782"/>
      <c r="T443" s="783"/>
      <c r="U443" s="779">
        <f>+V443</f>
        <v>0</v>
      </c>
      <c r="V443" s="782"/>
      <c r="W443" s="783"/>
      <c r="X443" s="779">
        <f>+Y443</f>
        <v>0</v>
      </c>
      <c r="Y443" s="782"/>
      <c r="Z443" s="783"/>
      <c r="AA443" s="779">
        <f>+AB443</f>
        <v>0</v>
      </c>
      <c r="AB443" s="782"/>
      <c r="AC443" s="783"/>
      <c r="AD443" s="779">
        <f>+AE443</f>
        <v>0</v>
      </c>
      <c r="AE443" s="782"/>
      <c r="AF443" s="783"/>
      <c r="AG443" s="779">
        <f>+AH443</f>
        <v>0</v>
      </c>
      <c r="AH443" s="782"/>
      <c r="AI443" s="783"/>
      <c r="AJ443" s="779">
        <f>+AK443</f>
        <v>0</v>
      </c>
      <c r="AK443" s="782"/>
      <c r="AL443" s="783"/>
      <c r="AM443" s="779">
        <f>+AN443</f>
        <v>0</v>
      </c>
      <c r="AN443" s="782"/>
      <c r="AO443" s="783"/>
      <c r="AP443" s="779">
        <f>+AQ443</f>
        <v>0</v>
      </c>
      <c r="AQ443" s="782"/>
      <c r="AR443" s="783"/>
      <c r="AS443" s="779">
        <f>+AT443</f>
        <v>0</v>
      </c>
      <c r="AT443" s="782"/>
      <c r="AU443" s="783"/>
      <c r="AV443" s="779">
        <f>+AW443</f>
        <v>0</v>
      </c>
      <c r="AW443" s="782"/>
      <c r="AX443" s="783"/>
      <c r="AY443" s="779">
        <f>+AZ443</f>
        <v>0</v>
      </c>
      <c r="AZ443" s="782"/>
      <c r="BA443" s="783"/>
      <c r="BB443" s="779">
        <f>+BC443</f>
        <v>0</v>
      </c>
      <c r="BC443" s="782"/>
      <c r="BD443" s="783"/>
      <c r="BE443" s="779">
        <f>+BF443</f>
        <v>0</v>
      </c>
      <c r="BF443" s="782"/>
      <c r="BG443" s="783"/>
      <c r="BH443" s="779">
        <f>+BI443</f>
        <v>0</v>
      </c>
      <c r="BI443" s="782"/>
      <c r="BJ443" s="783"/>
      <c r="BK443" s="779">
        <f>+BL443</f>
        <v>0</v>
      </c>
      <c r="BL443" s="782"/>
      <c r="BM443" s="783"/>
      <c r="BN443" s="779">
        <f>+BO443</f>
        <v>0</v>
      </c>
      <c r="BO443" s="785"/>
      <c r="BP443" s="783"/>
      <c r="BQ443" s="779">
        <f>+BR443</f>
        <v>0</v>
      </c>
      <c r="BR443" s="785"/>
      <c r="BS443" s="783"/>
      <c r="BT443" s="779">
        <f>+BU443</f>
        <v>0</v>
      </c>
      <c r="BU443" s="785"/>
      <c r="BV443" s="783"/>
      <c r="BW443" s="779">
        <f>+BX443</f>
        <v>0</v>
      </c>
      <c r="BX443" s="785"/>
      <c r="BY443" s="783"/>
      <c r="BZ443" s="779">
        <f>+CA443</f>
        <v>0</v>
      </c>
      <c r="CA443" s="785"/>
      <c r="CB443" s="783"/>
      <c r="CC443" s="779">
        <f>+CD443</f>
        <v>0</v>
      </c>
      <c r="CD443" s="666"/>
      <c r="CE443" s="668"/>
      <c r="CF443" s="667">
        <f>+CG443</f>
        <v>0</v>
      </c>
      <c r="CG443" s="666"/>
      <c r="CH443" s="668"/>
      <c r="CI443" s="667">
        <f>+CJ443</f>
        <v>0</v>
      </c>
      <c r="CJ443" s="666"/>
      <c r="CK443" s="668"/>
      <c r="CL443" s="667">
        <f>+CM443</f>
        <v>0</v>
      </c>
      <c r="CM443" s="666"/>
      <c r="CN443" s="668"/>
      <c r="CO443" s="667">
        <f>+CP443</f>
        <v>0</v>
      </c>
      <c r="CP443" s="666"/>
      <c r="CQ443" s="668"/>
      <c r="CR443" s="667">
        <f>+CS443</f>
        <v>0</v>
      </c>
      <c r="CS443" s="666"/>
      <c r="CT443" s="668"/>
      <c r="CU443" s="667">
        <f>+CV443</f>
        <v>0</v>
      </c>
      <c r="CV443" s="666"/>
      <c r="CW443" s="668"/>
      <c r="CX443" s="667">
        <f>+CY443</f>
        <v>0</v>
      </c>
      <c r="CY443" s="666"/>
      <c r="CZ443" s="668"/>
      <c r="DA443" s="667">
        <f>+DB443</f>
        <v>0</v>
      </c>
      <c r="DB443" s="666"/>
      <c r="DC443" s="668"/>
      <c r="DD443" s="667">
        <f>+DE443</f>
        <v>0</v>
      </c>
      <c r="DE443" s="666"/>
      <c r="DF443" s="668"/>
      <c r="DG443" s="667">
        <f>+DH443</f>
        <v>0</v>
      </c>
      <c r="DH443" s="1317"/>
      <c r="DI443" s="668"/>
      <c r="DJ443" s="667">
        <f>+DK443</f>
        <v>0</v>
      </c>
      <c r="DK443" s="1317"/>
      <c r="DL443" s="668"/>
      <c r="DM443" s="667">
        <f>+DN443</f>
        <v>0</v>
      </c>
      <c r="DN443" s="1317"/>
      <c r="DO443" s="668"/>
      <c r="DP443" s="667">
        <f>+DQ443</f>
        <v>0</v>
      </c>
      <c r="DQ443" s="1317"/>
      <c r="DR443" s="668"/>
      <c r="DS443" s="667">
        <f>+DT443</f>
        <v>0</v>
      </c>
      <c r="DT443" s="1317"/>
      <c r="DU443" s="668"/>
      <c r="DV443" s="667">
        <f>+DW443</f>
        <v>0</v>
      </c>
      <c r="DW443" s="1317"/>
      <c r="DX443" s="668"/>
      <c r="DY443" s="667">
        <f>+DZ443</f>
        <v>0</v>
      </c>
      <c r="DZ443" s="1317"/>
      <c r="EA443" s="668"/>
      <c r="EB443" s="667">
        <f>+EC443</f>
        <v>0</v>
      </c>
      <c r="EC443" s="1317"/>
      <c r="ED443" s="668"/>
      <c r="EE443" s="667">
        <f>+EF443</f>
        <v>0</v>
      </c>
      <c r="EF443" s="1317"/>
      <c r="EG443" s="668"/>
      <c r="EH443" s="667">
        <f>+EI443</f>
        <v>0</v>
      </c>
      <c r="EI443" s="1317"/>
      <c r="EJ443" s="668"/>
      <c r="EK443" s="667">
        <f>+EL443</f>
        <v>0</v>
      </c>
      <c r="EL443" s="1317"/>
      <c r="EM443" s="668"/>
      <c r="EN443" s="667">
        <f>+EO443</f>
        <v>0</v>
      </c>
      <c r="EO443" s="1317"/>
      <c r="EP443" s="668"/>
      <c r="EQ443" s="667">
        <f>+ER443</f>
        <v>0</v>
      </c>
      <c r="ER443" s="1317"/>
      <c r="ES443" s="668"/>
      <c r="ET443" s="667">
        <f>+EU443</f>
        <v>0</v>
      </c>
      <c r="EU443" s="1317"/>
      <c r="EV443" s="668"/>
      <c r="EW443" s="667">
        <f>+EX443</f>
        <v>0</v>
      </c>
      <c r="EX443" s="1317"/>
      <c r="EY443" s="668"/>
      <c r="EZ443" s="667">
        <f>+FA443</f>
        <v>0</v>
      </c>
      <c r="FA443" s="1317"/>
      <c r="FE443"/>
      <c r="FF443"/>
      <c r="FG443"/>
      <c r="FH443"/>
      <c r="FI443"/>
      <c r="FJ443"/>
      <c r="FK443" s="35"/>
    </row>
    <row r="444" spans="1:167" s="235" customFormat="1" ht="13.35" hidden="1" customHeight="1" outlineLevel="1">
      <c r="B444" s="401" t="s">
        <v>329</v>
      </c>
      <c r="C444" s="593"/>
      <c r="D444" s="594"/>
      <c r="E444" s="787"/>
      <c r="F444" s="779">
        <f>+G444</f>
        <v>0</v>
      </c>
      <c r="G444" s="788"/>
      <c r="H444" s="789"/>
      <c r="I444" s="779">
        <f>+J444</f>
        <v>0</v>
      </c>
      <c r="J444" s="788"/>
      <c r="K444" s="789"/>
      <c r="L444" s="779">
        <f>+M444</f>
        <v>0</v>
      </c>
      <c r="M444" s="788"/>
      <c r="N444" s="789"/>
      <c r="O444" s="779">
        <f>+P444</f>
        <v>0</v>
      </c>
      <c r="P444" s="788"/>
      <c r="Q444" s="789"/>
      <c r="R444" s="779">
        <f>+S444</f>
        <v>0</v>
      </c>
      <c r="S444" s="788"/>
      <c r="T444" s="789"/>
      <c r="U444" s="779">
        <f>+V444</f>
        <v>0</v>
      </c>
      <c r="V444" s="788"/>
      <c r="W444" s="789"/>
      <c r="X444" s="779">
        <f>+Y444</f>
        <v>0</v>
      </c>
      <c r="Y444" s="788"/>
      <c r="Z444" s="789"/>
      <c r="AA444" s="779">
        <f>+AB444</f>
        <v>0</v>
      </c>
      <c r="AB444" s="788"/>
      <c r="AC444" s="789"/>
      <c r="AD444" s="779">
        <f>+AE444</f>
        <v>0</v>
      </c>
      <c r="AE444" s="788"/>
      <c r="AF444" s="789"/>
      <c r="AG444" s="779">
        <f>+AH444</f>
        <v>0</v>
      </c>
      <c r="AH444" s="788"/>
      <c r="AI444" s="789"/>
      <c r="AJ444" s="779">
        <f>+AK444</f>
        <v>0</v>
      </c>
      <c r="AK444" s="788"/>
      <c r="AL444" s="789"/>
      <c r="AM444" s="779">
        <f>+AN444</f>
        <v>0</v>
      </c>
      <c r="AN444" s="788"/>
      <c r="AO444" s="789"/>
      <c r="AP444" s="779">
        <f>+AQ444</f>
        <v>0</v>
      </c>
      <c r="AQ444" s="788"/>
      <c r="AR444" s="789"/>
      <c r="AS444" s="779">
        <f>+AT444</f>
        <v>0</v>
      </c>
      <c r="AT444" s="788"/>
      <c r="AU444" s="789"/>
      <c r="AV444" s="779">
        <f>+AW444</f>
        <v>0</v>
      </c>
      <c r="AW444" s="788"/>
      <c r="AX444" s="789"/>
      <c r="AY444" s="779">
        <f>+AZ444</f>
        <v>0</v>
      </c>
      <c r="AZ444" s="788"/>
      <c r="BA444" s="789"/>
      <c r="BB444" s="779">
        <f>+BC444</f>
        <v>0</v>
      </c>
      <c r="BC444" s="788"/>
      <c r="BD444" s="789"/>
      <c r="BE444" s="779">
        <f>+BF444</f>
        <v>0</v>
      </c>
      <c r="BF444" s="788"/>
      <c r="BG444" s="789"/>
      <c r="BH444" s="779">
        <f>+BI444</f>
        <v>0</v>
      </c>
      <c r="BI444" s="788"/>
      <c r="BJ444" s="789"/>
      <c r="BK444" s="779">
        <f>+BL444</f>
        <v>0</v>
      </c>
      <c r="BL444" s="788"/>
      <c r="BM444" s="789"/>
      <c r="BN444" s="779">
        <f>+BO444</f>
        <v>0</v>
      </c>
      <c r="BO444" s="790"/>
      <c r="BP444" s="789"/>
      <c r="BQ444" s="779">
        <f>+BR444</f>
        <v>0</v>
      </c>
      <c r="BR444" s="790"/>
      <c r="BS444" s="789"/>
      <c r="BT444" s="779">
        <f>+BU444</f>
        <v>0</v>
      </c>
      <c r="BU444" s="790"/>
      <c r="BV444" s="789"/>
      <c r="BW444" s="779">
        <f>+BX444</f>
        <v>0</v>
      </c>
      <c r="BX444" s="790"/>
      <c r="BY444" s="789"/>
      <c r="BZ444" s="779">
        <f>+CA444</f>
        <v>0</v>
      </c>
      <c r="CA444" s="790"/>
      <c r="CB444" s="789"/>
      <c r="CC444" s="779">
        <f>+CD444</f>
        <v>0</v>
      </c>
      <c r="CD444" s="791"/>
      <c r="CE444" s="792"/>
      <c r="CF444" s="667">
        <f>+CG444</f>
        <v>0</v>
      </c>
      <c r="CG444" s="791"/>
      <c r="CH444" s="792"/>
      <c r="CI444" s="667">
        <f>+CJ444</f>
        <v>0</v>
      </c>
      <c r="CJ444" s="791"/>
      <c r="CK444" s="792"/>
      <c r="CL444" s="667">
        <f>+CM444</f>
        <v>0</v>
      </c>
      <c r="CM444" s="791"/>
      <c r="CN444" s="792"/>
      <c r="CO444" s="667">
        <f>+CP444</f>
        <v>0</v>
      </c>
      <c r="CP444" s="791"/>
      <c r="CQ444" s="792"/>
      <c r="CR444" s="667">
        <f>+CS444</f>
        <v>0</v>
      </c>
      <c r="CS444" s="791"/>
      <c r="CT444" s="792"/>
      <c r="CU444" s="667">
        <f>+CV444</f>
        <v>0</v>
      </c>
      <c r="CV444" s="791"/>
      <c r="CW444" s="792"/>
      <c r="CX444" s="667">
        <f>+CY444</f>
        <v>0</v>
      </c>
      <c r="CY444" s="791"/>
      <c r="CZ444" s="792"/>
      <c r="DA444" s="667">
        <f>+DB444</f>
        <v>0</v>
      </c>
      <c r="DB444" s="791"/>
      <c r="DC444" s="792"/>
      <c r="DD444" s="667">
        <f>+DE444</f>
        <v>0</v>
      </c>
      <c r="DE444" s="791"/>
      <c r="DF444" s="792"/>
      <c r="DG444" s="667">
        <f>+DH444</f>
        <v>0</v>
      </c>
      <c r="DH444" s="1318"/>
      <c r="DI444" s="792"/>
      <c r="DJ444" s="667">
        <f>+DK444</f>
        <v>0</v>
      </c>
      <c r="DK444" s="1318"/>
      <c r="DL444" s="792"/>
      <c r="DM444" s="667">
        <f>+DN444</f>
        <v>0</v>
      </c>
      <c r="DN444" s="1318"/>
      <c r="DO444" s="792"/>
      <c r="DP444" s="667">
        <f>+DQ444</f>
        <v>0</v>
      </c>
      <c r="DQ444" s="1318"/>
      <c r="DR444" s="792"/>
      <c r="DS444" s="667">
        <f>+DT444</f>
        <v>0</v>
      </c>
      <c r="DT444" s="1318"/>
      <c r="DU444" s="792"/>
      <c r="DV444" s="667">
        <f>+DW444</f>
        <v>0</v>
      </c>
      <c r="DW444" s="1318"/>
      <c r="DX444" s="792"/>
      <c r="DY444" s="667">
        <f>+DZ444</f>
        <v>0</v>
      </c>
      <c r="DZ444" s="1318"/>
      <c r="EA444" s="792"/>
      <c r="EB444" s="667">
        <f>+EC444</f>
        <v>0</v>
      </c>
      <c r="EC444" s="1318"/>
      <c r="ED444" s="792"/>
      <c r="EE444" s="667">
        <f>+EF444</f>
        <v>0</v>
      </c>
      <c r="EF444" s="1318"/>
      <c r="EG444" s="792"/>
      <c r="EH444" s="667">
        <f>+EI444</f>
        <v>0</v>
      </c>
      <c r="EI444" s="1318"/>
      <c r="EJ444" s="792"/>
      <c r="EK444" s="667">
        <f>+EL444</f>
        <v>0</v>
      </c>
      <c r="EL444" s="1318"/>
      <c r="EM444" s="792"/>
      <c r="EN444" s="667">
        <f>+EO444</f>
        <v>0</v>
      </c>
      <c r="EO444" s="1318"/>
      <c r="EP444" s="792"/>
      <c r="EQ444" s="667">
        <f>+ER444</f>
        <v>0</v>
      </c>
      <c r="ER444" s="1318"/>
      <c r="ES444" s="792"/>
      <c r="ET444" s="667">
        <f>+EU444</f>
        <v>0</v>
      </c>
      <c r="EU444" s="1318"/>
      <c r="EV444" s="792"/>
      <c r="EW444" s="667">
        <f>+EX444</f>
        <v>0</v>
      </c>
      <c r="EX444" s="1318"/>
      <c r="EY444" s="792"/>
      <c r="EZ444" s="667">
        <f>+FA444</f>
        <v>0</v>
      </c>
      <c r="FA444" s="1318"/>
      <c r="FE444"/>
      <c r="FF444"/>
      <c r="FG444"/>
      <c r="FH444"/>
      <c r="FI444"/>
      <c r="FJ444"/>
      <c r="FK444" s="35"/>
    </row>
    <row r="445" spans="1:167" s="236" customFormat="1" ht="13.35" hidden="1" customHeight="1" outlineLevel="1">
      <c r="A445" s="289"/>
      <c r="B445" s="401" t="s">
        <v>522</v>
      </c>
      <c r="C445" s="806"/>
      <c r="D445" s="289"/>
      <c r="E445" s="793"/>
      <c r="F445" s="596">
        <f>+G445-E445</f>
        <v>0</v>
      </c>
      <c r="G445" s="794"/>
      <c r="H445" s="795"/>
      <c r="I445" s="596">
        <f>+J445-H445</f>
        <v>0</v>
      </c>
      <c r="J445" s="794"/>
      <c r="K445" s="795"/>
      <c r="L445" s="596">
        <f>+M445-K445</f>
        <v>0</v>
      </c>
      <c r="M445" s="794"/>
      <c r="N445" s="795"/>
      <c r="O445" s="596">
        <f>+P445-N445</f>
        <v>0</v>
      </c>
      <c r="P445" s="794"/>
      <c r="Q445" s="795"/>
      <c r="R445" s="596">
        <f>+S445-Q445</f>
        <v>0</v>
      </c>
      <c r="S445" s="794"/>
      <c r="T445" s="795"/>
      <c r="U445" s="596">
        <f>+V445-T445</f>
        <v>0</v>
      </c>
      <c r="V445" s="794"/>
      <c r="W445" s="795"/>
      <c r="X445" s="596">
        <f>+Y445-W445</f>
        <v>0</v>
      </c>
      <c r="Y445" s="794"/>
      <c r="Z445" s="795"/>
      <c r="AA445" s="596">
        <f>+AB445-Z445</f>
        <v>0</v>
      </c>
      <c r="AB445" s="794"/>
      <c r="AC445" s="795"/>
      <c r="AD445" s="596">
        <f>+AE445-AC445</f>
        <v>0</v>
      </c>
      <c r="AE445" s="794"/>
      <c r="AF445" s="795"/>
      <c r="AG445" s="596">
        <f>+AH445-AF445</f>
        <v>0</v>
      </c>
      <c r="AH445" s="794"/>
      <c r="AI445" s="795"/>
      <c r="AJ445" s="596">
        <f>+AK445-AI445</f>
        <v>0</v>
      </c>
      <c r="AK445" s="794"/>
      <c r="AL445" s="795"/>
      <c r="AM445" s="596">
        <f>+AN445-AL445</f>
        <v>0</v>
      </c>
      <c r="AN445" s="794"/>
      <c r="AO445" s="795"/>
      <c r="AP445" s="596">
        <f>+AQ445-AO445</f>
        <v>0</v>
      </c>
      <c r="AQ445" s="794"/>
      <c r="AR445" s="795"/>
      <c r="AS445" s="596">
        <f>+AT445-AR445</f>
        <v>0</v>
      </c>
      <c r="AT445" s="794"/>
      <c r="AU445" s="795"/>
      <c r="AV445" s="596">
        <f>+AW445-AU445</f>
        <v>0</v>
      </c>
      <c r="AW445" s="794"/>
      <c r="AX445" s="795"/>
      <c r="AY445" s="596">
        <f>+AZ445-AX445</f>
        <v>0</v>
      </c>
      <c r="AZ445" s="794"/>
      <c r="BA445" s="795"/>
      <c r="BB445" s="596">
        <f>+BC445-BA445</f>
        <v>0</v>
      </c>
      <c r="BC445" s="794"/>
      <c r="BD445" s="795"/>
      <c r="BE445" s="596">
        <f>+BF445-BD445</f>
        <v>0</v>
      </c>
      <c r="BF445" s="794"/>
      <c r="BG445" s="795"/>
      <c r="BH445" s="596">
        <f>+BI445-BG445</f>
        <v>0</v>
      </c>
      <c r="BI445" s="794"/>
      <c r="BJ445" s="795"/>
      <c r="BK445" s="596">
        <f>+BL445-BJ445</f>
        <v>0</v>
      </c>
      <c r="BL445" s="794"/>
      <c r="BM445" s="795"/>
      <c r="BN445" s="596">
        <f>+BO445-BM445</f>
        <v>0</v>
      </c>
      <c r="BO445" s="796"/>
      <c r="BP445" s="795"/>
      <c r="BQ445" s="596">
        <f>+BR445-BP445</f>
        <v>0</v>
      </c>
      <c r="BR445" s="796"/>
      <c r="BS445" s="795"/>
      <c r="BT445" s="596">
        <f>+BU445-BS445</f>
        <v>0</v>
      </c>
      <c r="BU445" s="796"/>
      <c r="BV445" s="795"/>
      <c r="BW445" s="596">
        <f>+BX445-BV445</f>
        <v>0</v>
      </c>
      <c r="BX445" s="796"/>
      <c r="BY445" s="795"/>
      <c r="BZ445" s="596">
        <f>+CA445-BY445</f>
        <v>0</v>
      </c>
      <c r="CA445" s="796"/>
      <c r="CB445" s="795"/>
      <c r="CC445" s="596">
        <f>+CD445-CB445</f>
        <v>0</v>
      </c>
      <c r="CD445" s="797"/>
      <c r="CE445" s="798"/>
      <c r="CF445" s="612">
        <f>+CG445-CE445</f>
        <v>0</v>
      </c>
      <c r="CG445" s="797"/>
      <c r="CH445" s="798"/>
      <c r="CI445" s="612">
        <f>+CJ445-CH445</f>
        <v>0</v>
      </c>
      <c r="CJ445" s="797"/>
      <c r="CK445" s="798"/>
      <c r="CL445" s="612">
        <f>+CM445-CK445</f>
        <v>0</v>
      </c>
      <c r="CM445" s="797"/>
      <c r="CN445" s="798"/>
      <c r="CO445" s="612">
        <f>+CP445-CN445</f>
        <v>0</v>
      </c>
      <c r="CP445" s="797"/>
      <c r="CQ445" s="798"/>
      <c r="CR445" s="612">
        <f>+CS445-CQ445</f>
        <v>0</v>
      </c>
      <c r="CS445" s="797"/>
      <c r="CT445" s="798"/>
      <c r="CU445" s="612">
        <f>+CV445-CT445</f>
        <v>0</v>
      </c>
      <c r="CV445" s="797"/>
      <c r="CW445" s="798"/>
      <c r="CX445" s="612">
        <f>+CY445-CW445</f>
        <v>0</v>
      </c>
      <c r="CY445" s="797"/>
      <c r="CZ445" s="798"/>
      <c r="DA445" s="612">
        <f>+DB445-CZ445</f>
        <v>0</v>
      </c>
      <c r="DB445" s="797"/>
      <c r="DC445" s="798"/>
      <c r="DD445" s="612">
        <f>+DE445-DC445</f>
        <v>0</v>
      </c>
      <c r="DE445" s="797"/>
      <c r="DF445" s="798"/>
      <c r="DG445" s="612">
        <f>+DH445-DF445</f>
        <v>0</v>
      </c>
      <c r="DH445" s="1319"/>
      <c r="DI445" s="798"/>
      <c r="DJ445" s="612">
        <f>+DK445-DI445</f>
        <v>0</v>
      </c>
      <c r="DK445" s="1319"/>
      <c r="DL445" s="798"/>
      <c r="DM445" s="612">
        <f>+DN445-DL445</f>
        <v>0</v>
      </c>
      <c r="DN445" s="1319"/>
      <c r="DO445" s="798"/>
      <c r="DP445" s="612">
        <f>+DQ445-DO445</f>
        <v>0</v>
      </c>
      <c r="DQ445" s="1319"/>
      <c r="DR445" s="798"/>
      <c r="DS445" s="612">
        <f>+DT445-DR445</f>
        <v>0</v>
      </c>
      <c r="DT445" s="1319"/>
      <c r="DU445" s="798"/>
      <c r="DV445" s="612">
        <f>+DW445-DU445</f>
        <v>0</v>
      </c>
      <c r="DW445" s="1319"/>
      <c r="DX445" s="798"/>
      <c r="DY445" s="612">
        <f>+DZ445-DX445</f>
        <v>0</v>
      </c>
      <c r="DZ445" s="1319"/>
      <c r="EA445" s="798"/>
      <c r="EB445" s="612">
        <f>+EC445-EA445</f>
        <v>0</v>
      </c>
      <c r="EC445" s="1319"/>
      <c r="ED445" s="798"/>
      <c r="EE445" s="612">
        <f>+EF445-ED445</f>
        <v>0</v>
      </c>
      <c r="EF445" s="1319"/>
      <c r="EG445" s="798"/>
      <c r="EH445" s="612">
        <f>+EI445-EG445</f>
        <v>0</v>
      </c>
      <c r="EI445" s="1319"/>
      <c r="EJ445" s="798"/>
      <c r="EK445" s="612">
        <f>+EL445-EJ445</f>
        <v>0</v>
      </c>
      <c r="EL445" s="1319"/>
      <c r="EM445" s="798"/>
      <c r="EN445" s="612">
        <f>+EO445-EM445</f>
        <v>0</v>
      </c>
      <c r="EO445" s="1319"/>
      <c r="EP445" s="798"/>
      <c r="EQ445" s="612">
        <f>+ER445-EP445</f>
        <v>0</v>
      </c>
      <c r="ER445" s="1319"/>
      <c r="ES445" s="798"/>
      <c r="ET445" s="612">
        <f>+EU445-ES445</f>
        <v>0</v>
      </c>
      <c r="EU445" s="1319"/>
      <c r="EV445" s="798"/>
      <c r="EW445" s="612">
        <f>+EX445-EV445</f>
        <v>0</v>
      </c>
      <c r="EX445" s="1319"/>
      <c r="EY445" s="798"/>
      <c r="EZ445" s="612">
        <f>+FA445-EY445</f>
        <v>0</v>
      </c>
      <c r="FA445" s="1319"/>
      <c r="FE445"/>
      <c r="FF445"/>
      <c r="FG445"/>
      <c r="FH445"/>
      <c r="FI445"/>
      <c r="FJ445"/>
      <c r="FK445" s="35"/>
    </row>
    <row r="446" spans="1:167" s="819" customFormat="1" ht="13.35" hidden="1" customHeight="1" outlineLevel="1" thickBot="1">
      <c r="A446" s="816"/>
      <c r="B446" s="401" t="s">
        <v>523</v>
      </c>
      <c r="C446" s="817"/>
      <c r="D446" s="816"/>
      <c r="E446" s="799" t="s">
        <v>524</v>
      </c>
      <c r="F446" s="800"/>
      <c r="G446" s="801" t="str">
        <f>+E446</f>
        <v>N</v>
      </c>
      <c r="H446" s="802" t="str">
        <f>G446</f>
        <v>N</v>
      </c>
      <c r="I446" s="800"/>
      <c r="J446" s="801" t="str">
        <f>+H446</f>
        <v>N</v>
      </c>
      <c r="K446" s="802" t="str">
        <f>J446</f>
        <v>N</v>
      </c>
      <c r="L446" s="800"/>
      <c r="M446" s="801" t="str">
        <f>+K446</f>
        <v>N</v>
      </c>
      <c r="N446" s="802" t="str">
        <f>M446</f>
        <v>N</v>
      </c>
      <c r="O446" s="800"/>
      <c r="P446" s="801" t="str">
        <f>+N446</f>
        <v>N</v>
      </c>
      <c r="Q446" s="802" t="str">
        <f>P446</f>
        <v>N</v>
      </c>
      <c r="R446" s="800"/>
      <c r="S446" s="801" t="str">
        <f>+Q446</f>
        <v>N</v>
      </c>
      <c r="T446" s="802" t="str">
        <f>S446</f>
        <v>N</v>
      </c>
      <c r="U446" s="800"/>
      <c r="V446" s="801" t="str">
        <f>+T446</f>
        <v>N</v>
      </c>
      <c r="W446" s="802" t="str">
        <f>V446</f>
        <v>N</v>
      </c>
      <c r="X446" s="800"/>
      <c r="Y446" s="801" t="str">
        <f>+W446</f>
        <v>N</v>
      </c>
      <c r="Z446" s="802" t="str">
        <f>Y446</f>
        <v>N</v>
      </c>
      <c r="AA446" s="800"/>
      <c r="AB446" s="801" t="str">
        <f>+Z446</f>
        <v>N</v>
      </c>
      <c r="AC446" s="802" t="str">
        <f>AB446</f>
        <v>N</v>
      </c>
      <c r="AD446" s="800"/>
      <c r="AE446" s="801" t="str">
        <f>+AC446</f>
        <v>N</v>
      </c>
      <c r="AF446" s="802" t="str">
        <f>AE446</f>
        <v>N</v>
      </c>
      <c r="AG446" s="800"/>
      <c r="AH446" s="801" t="str">
        <f>+AF446</f>
        <v>N</v>
      </c>
      <c r="AI446" s="802" t="str">
        <f>AH446</f>
        <v>N</v>
      </c>
      <c r="AJ446" s="800"/>
      <c r="AK446" s="801" t="str">
        <f>+AI446</f>
        <v>N</v>
      </c>
      <c r="AL446" s="802" t="str">
        <f>AK446</f>
        <v>N</v>
      </c>
      <c r="AM446" s="800"/>
      <c r="AN446" s="801" t="str">
        <f>+AL446</f>
        <v>N</v>
      </c>
      <c r="AO446" s="802" t="str">
        <f>AN446</f>
        <v>N</v>
      </c>
      <c r="AP446" s="800"/>
      <c r="AQ446" s="801" t="str">
        <f>+AO446</f>
        <v>N</v>
      </c>
      <c r="AR446" s="802" t="str">
        <f>AQ446</f>
        <v>N</v>
      </c>
      <c r="AS446" s="800"/>
      <c r="AT446" s="801" t="str">
        <f>+AR446</f>
        <v>N</v>
      </c>
      <c r="AU446" s="802" t="str">
        <f>AT446</f>
        <v>N</v>
      </c>
      <c r="AV446" s="800"/>
      <c r="AW446" s="801" t="str">
        <f>+AU446</f>
        <v>N</v>
      </c>
      <c r="AX446" s="802" t="str">
        <f>AW446</f>
        <v>N</v>
      </c>
      <c r="AY446" s="800"/>
      <c r="AZ446" s="801" t="str">
        <f>+AX446</f>
        <v>N</v>
      </c>
      <c r="BA446" s="802" t="str">
        <f>AZ446</f>
        <v>N</v>
      </c>
      <c r="BB446" s="800"/>
      <c r="BC446" s="801" t="str">
        <f>+BA446</f>
        <v>N</v>
      </c>
      <c r="BD446" s="802" t="str">
        <f>BC446</f>
        <v>N</v>
      </c>
      <c r="BE446" s="800"/>
      <c r="BF446" s="801" t="str">
        <f>+BD446</f>
        <v>N</v>
      </c>
      <c r="BG446" s="802" t="str">
        <f>BF446</f>
        <v>N</v>
      </c>
      <c r="BH446" s="800"/>
      <c r="BI446" s="801" t="str">
        <f>+BG446</f>
        <v>N</v>
      </c>
      <c r="BJ446" s="802" t="str">
        <f>BI446</f>
        <v>N</v>
      </c>
      <c r="BK446" s="800"/>
      <c r="BL446" s="801" t="str">
        <f>+BJ446</f>
        <v>N</v>
      </c>
      <c r="BM446" s="802" t="str">
        <f>BL446</f>
        <v>N</v>
      </c>
      <c r="BN446" s="800"/>
      <c r="BO446" s="803" t="str">
        <f>+BM446</f>
        <v>N</v>
      </c>
      <c r="BP446" s="802" t="str">
        <f>BO446</f>
        <v>N</v>
      </c>
      <c r="BQ446" s="800"/>
      <c r="BR446" s="803" t="str">
        <f>+BP446</f>
        <v>N</v>
      </c>
      <c r="BS446" s="802" t="str">
        <f>BR446</f>
        <v>N</v>
      </c>
      <c r="BT446" s="800"/>
      <c r="BU446" s="803" t="str">
        <f>+BS446</f>
        <v>N</v>
      </c>
      <c r="BV446" s="802" t="str">
        <f>BU446</f>
        <v>N</v>
      </c>
      <c r="BW446" s="800"/>
      <c r="BX446" s="803" t="str">
        <f>+BV446</f>
        <v>N</v>
      </c>
      <c r="BY446" s="802" t="str">
        <f>BX446</f>
        <v>N</v>
      </c>
      <c r="BZ446" s="800"/>
      <c r="CA446" s="803" t="str">
        <f>+BY446</f>
        <v>N</v>
      </c>
      <c r="CB446" s="802" t="str">
        <f>CA446</f>
        <v>N</v>
      </c>
      <c r="CC446" s="800"/>
      <c r="CD446" s="804" t="str">
        <f>+CB446</f>
        <v>N</v>
      </c>
      <c r="CE446" s="805" t="str">
        <f>CD446</f>
        <v>N</v>
      </c>
      <c r="CF446" s="681"/>
      <c r="CG446" s="804" t="str">
        <f>+CE446</f>
        <v>N</v>
      </c>
      <c r="CH446" s="805" t="str">
        <f>CG446</f>
        <v>N</v>
      </c>
      <c r="CI446" s="681"/>
      <c r="CJ446" s="804" t="str">
        <f>+CH446</f>
        <v>N</v>
      </c>
      <c r="CK446" s="805" t="str">
        <f>CJ446</f>
        <v>N</v>
      </c>
      <c r="CL446" s="681"/>
      <c r="CM446" s="804" t="str">
        <f>+CK446</f>
        <v>N</v>
      </c>
      <c r="CN446" s="805" t="str">
        <f>CM446</f>
        <v>N</v>
      </c>
      <c r="CO446" s="681"/>
      <c r="CP446" s="804" t="str">
        <f>+CN446</f>
        <v>N</v>
      </c>
      <c r="CQ446" s="805" t="str">
        <f>CP446</f>
        <v>N</v>
      </c>
      <c r="CR446" s="681"/>
      <c r="CS446" s="804" t="str">
        <f>+CQ446</f>
        <v>N</v>
      </c>
      <c r="CT446" s="805" t="str">
        <f>CS446</f>
        <v>N</v>
      </c>
      <c r="CU446" s="681"/>
      <c r="CV446" s="804" t="str">
        <f>+CT446</f>
        <v>N</v>
      </c>
      <c r="CW446" s="805" t="str">
        <f>CV446</f>
        <v>N</v>
      </c>
      <c r="CX446" s="681"/>
      <c r="CY446" s="804" t="str">
        <f>+CW446</f>
        <v>N</v>
      </c>
      <c r="CZ446" s="805" t="str">
        <f>CY446</f>
        <v>N</v>
      </c>
      <c r="DA446" s="681"/>
      <c r="DB446" s="804" t="str">
        <f>+CZ446</f>
        <v>N</v>
      </c>
      <c r="DC446" s="805" t="str">
        <f>DB446</f>
        <v>N</v>
      </c>
      <c r="DD446" s="681"/>
      <c r="DE446" s="804" t="str">
        <f>+DC446</f>
        <v>N</v>
      </c>
      <c r="DF446" s="805" t="str">
        <f>DE446</f>
        <v>N</v>
      </c>
      <c r="DG446" s="681"/>
      <c r="DH446" s="1320" t="str">
        <f>+DF446</f>
        <v>N</v>
      </c>
      <c r="DI446" s="805" t="str">
        <f>DH446</f>
        <v>N</v>
      </c>
      <c r="DJ446" s="681"/>
      <c r="DK446" s="1320" t="str">
        <f>+DI446</f>
        <v>N</v>
      </c>
      <c r="DL446" s="805" t="str">
        <f>DK446</f>
        <v>N</v>
      </c>
      <c r="DM446" s="681"/>
      <c r="DN446" s="1320" t="str">
        <f>+DL446</f>
        <v>N</v>
      </c>
      <c r="DO446" s="805" t="str">
        <f>DN446</f>
        <v>N</v>
      </c>
      <c r="DP446" s="681"/>
      <c r="DQ446" s="1320" t="str">
        <f>+DO446</f>
        <v>N</v>
      </c>
      <c r="DR446" s="805" t="str">
        <f>DQ446</f>
        <v>N</v>
      </c>
      <c r="DS446" s="681"/>
      <c r="DT446" s="1320" t="str">
        <f>+DR446</f>
        <v>N</v>
      </c>
      <c r="DU446" s="805" t="str">
        <f>DT446</f>
        <v>N</v>
      </c>
      <c r="DV446" s="681"/>
      <c r="DW446" s="1320" t="str">
        <f>+DU446</f>
        <v>N</v>
      </c>
      <c r="DX446" s="805" t="str">
        <f>DW446</f>
        <v>N</v>
      </c>
      <c r="DY446" s="681"/>
      <c r="DZ446" s="1320" t="str">
        <f>+DX446</f>
        <v>N</v>
      </c>
      <c r="EA446" s="805" t="str">
        <f>DZ446</f>
        <v>N</v>
      </c>
      <c r="EB446" s="681"/>
      <c r="EC446" s="1320" t="str">
        <f>+EA446</f>
        <v>N</v>
      </c>
      <c r="ED446" s="805" t="str">
        <f>EC446</f>
        <v>N</v>
      </c>
      <c r="EE446" s="681"/>
      <c r="EF446" s="1320" t="str">
        <f>+ED446</f>
        <v>N</v>
      </c>
      <c r="EG446" s="805" t="str">
        <f>EF446</f>
        <v>N</v>
      </c>
      <c r="EH446" s="681"/>
      <c r="EI446" s="1320" t="str">
        <f>+EG446</f>
        <v>N</v>
      </c>
      <c r="EJ446" s="805" t="str">
        <f>EI446</f>
        <v>N</v>
      </c>
      <c r="EK446" s="681"/>
      <c r="EL446" s="1320" t="str">
        <f>+EJ446</f>
        <v>N</v>
      </c>
      <c r="EM446" s="805" t="str">
        <f>EL446</f>
        <v>N</v>
      </c>
      <c r="EN446" s="681"/>
      <c r="EO446" s="1320" t="str">
        <f>+EM446</f>
        <v>N</v>
      </c>
      <c r="EP446" s="805" t="str">
        <f>EO446</f>
        <v>N</v>
      </c>
      <c r="EQ446" s="681"/>
      <c r="ER446" s="1320" t="str">
        <f>+EP446</f>
        <v>N</v>
      </c>
      <c r="ES446" s="805" t="str">
        <f>ER446</f>
        <v>N</v>
      </c>
      <c r="ET446" s="681"/>
      <c r="EU446" s="1320" t="str">
        <f>+ES446</f>
        <v>N</v>
      </c>
      <c r="EV446" s="805" t="str">
        <f>EU446</f>
        <v>N</v>
      </c>
      <c r="EW446" s="681"/>
      <c r="EX446" s="1320" t="str">
        <f>+EV446</f>
        <v>N</v>
      </c>
      <c r="EY446" s="805" t="str">
        <f>EX446</f>
        <v>N</v>
      </c>
      <c r="EZ446" s="681"/>
      <c r="FA446" s="1320" t="str">
        <f>+EY446</f>
        <v>N</v>
      </c>
      <c r="FE446"/>
      <c r="FF446"/>
      <c r="FG446"/>
      <c r="FH446"/>
      <c r="FI446"/>
      <c r="FJ446"/>
      <c r="FK446" s="35"/>
    </row>
    <row r="447" spans="1:167" s="236" customFormat="1" ht="13.35" hidden="1" customHeight="1" outlineLevel="1" thickBot="1">
      <c r="A447" s="289"/>
      <c r="B447" s="289"/>
      <c r="C447" s="806"/>
      <c r="D447" s="289"/>
      <c r="E447" s="807"/>
      <c r="F447" s="807"/>
      <c r="G447" s="808"/>
      <c r="H447" s="807"/>
      <c r="I447" s="807"/>
      <c r="J447" s="808"/>
      <c r="K447" s="807"/>
      <c r="L447" s="807"/>
      <c r="M447" s="808"/>
      <c r="N447" s="807"/>
      <c r="O447" s="807"/>
      <c r="P447" s="808"/>
      <c r="Q447" s="809"/>
      <c r="R447" s="809"/>
      <c r="S447" s="810"/>
      <c r="T447" s="809"/>
      <c r="U447" s="809"/>
      <c r="V447" s="808"/>
      <c r="W447" s="807"/>
      <c r="X447" s="807"/>
      <c r="Y447" s="808"/>
      <c r="Z447" s="807"/>
      <c r="AA447" s="807"/>
      <c r="AB447" s="808"/>
      <c r="AC447" s="807"/>
      <c r="AD447" s="807"/>
      <c r="AE447" s="808"/>
      <c r="AF447" s="807"/>
      <c r="AG447" s="807"/>
      <c r="AH447" s="808"/>
      <c r="AI447" s="807"/>
      <c r="AJ447" s="807"/>
      <c r="AK447" s="808"/>
      <c r="AL447" s="807"/>
      <c r="AM447" s="807"/>
      <c r="AN447" s="808"/>
      <c r="AO447" s="807"/>
      <c r="AP447" s="807"/>
      <c r="AQ447" s="808"/>
      <c r="AR447" s="807"/>
      <c r="AS447" s="807"/>
      <c r="AT447" s="808"/>
      <c r="AU447" s="807"/>
      <c r="AV447" s="807"/>
      <c r="AW447" s="808"/>
      <c r="AX447" s="807"/>
      <c r="AY447" s="807"/>
      <c r="AZ447" s="808"/>
      <c r="BA447" s="807"/>
      <c r="BB447" s="807"/>
      <c r="BC447" s="808"/>
      <c r="BD447" s="807"/>
      <c r="BE447" s="807"/>
      <c r="BF447" s="808"/>
      <c r="BG447" s="807"/>
      <c r="BH447" s="807"/>
      <c r="BI447" s="808"/>
      <c r="BJ447" s="807"/>
      <c r="BK447" s="807"/>
      <c r="BL447" s="808"/>
      <c r="BM447" s="807"/>
      <c r="BN447" s="807"/>
      <c r="BO447" s="808"/>
      <c r="BP447" s="807"/>
      <c r="BQ447" s="807"/>
      <c r="BR447" s="808"/>
      <c r="BS447" s="807"/>
      <c r="BT447" s="807"/>
      <c r="BU447" s="808"/>
      <c r="BV447" s="807"/>
      <c r="BW447" s="807"/>
      <c r="BX447" s="808"/>
      <c r="BY447" s="807"/>
      <c r="BZ447" s="807"/>
      <c r="CA447" s="808"/>
      <c r="CB447" s="807"/>
      <c r="CC447" s="807"/>
      <c r="CD447" s="811"/>
      <c r="CE447" s="811"/>
      <c r="CF447" s="811"/>
      <c r="CG447" s="811"/>
      <c r="CH447" s="811"/>
      <c r="CI447" s="811"/>
      <c r="CJ447" s="811"/>
      <c r="CK447" s="811"/>
      <c r="CL447" s="811"/>
      <c r="CM447" s="811"/>
      <c r="CN447" s="811"/>
      <c r="CO447" s="811"/>
      <c r="CP447" s="811"/>
      <c r="CQ447" s="811"/>
      <c r="CR447" s="811"/>
      <c r="CS447" s="811"/>
      <c r="CT447" s="811"/>
      <c r="CU447" s="811"/>
      <c r="CV447" s="811"/>
      <c r="CW447" s="811"/>
      <c r="CX447" s="811"/>
      <c r="CY447" s="811"/>
      <c r="CZ447" s="811"/>
      <c r="DA447" s="811"/>
      <c r="DB447" s="811"/>
      <c r="DC447" s="811"/>
      <c r="DD447" s="811"/>
      <c r="DE447" s="811"/>
      <c r="DF447" s="811"/>
      <c r="DG447" s="811"/>
      <c r="DH447" s="1321"/>
      <c r="DI447" s="811"/>
      <c r="DJ447" s="811"/>
      <c r="DK447" s="1321"/>
      <c r="DL447" s="811"/>
      <c r="DM447" s="811"/>
      <c r="DN447" s="1321"/>
      <c r="DO447" s="811"/>
      <c r="DP447" s="811"/>
      <c r="DQ447" s="1321"/>
      <c r="DR447" s="811"/>
      <c r="DS447" s="811"/>
      <c r="DT447" s="1321"/>
      <c r="DU447" s="811"/>
      <c r="DV447" s="811"/>
      <c r="DW447" s="1321"/>
      <c r="DX447" s="811"/>
      <c r="DY447" s="811"/>
      <c r="DZ447" s="1321"/>
      <c r="EA447" s="811"/>
      <c r="EB447" s="811"/>
      <c r="EC447" s="1321"/>
      <c r="ED447" s="811"/>
      <c r="EE447" s="811"/>
      <c r="EF447" s="1321"/>
      <c r="EG447" s="811"/>
      <c r="EH447" s="811"/>
      <c r="EI447" s="1321"/>
      <c r="EJ447" s="811"/>
      <c r="EK447" s="811"/>
      <c r="EL447" s="1321"/>
      <c r="EM447" s="811"/>
      <c r="EN447" s="811"/>
      <c r="EO447" s="1321"/>
      <c r="EP447" s="811"/>
      <c r="EQ447" s="811"/>
      <c r="ER447" s="1321"/>
      <c r="ES447" s="811"/>
      <c r="ET447" s="811"/>
      <c r="EU447" s="1321"/>
      <c r="EV447" s="811"/>
      <c r="EW447" s="811"/>
      <c r="EX447" s="1321"/>
      <c r="EY447" s="811"/>
      <c r="EZ447" s="811"/>
      <c r="FA447" s="1321"/>
      <c r="FE447"/>
      <c r="FF447"/>
      <c r="FG447"/>
      <c r="FH447"/>
      <c r="FI447"/>
      <c r="FJ447"/>
      <c r="FK447" s="35"/>
    </row>
    <row r="448" spans="1:167" s="236" customFormat="1" ht="13.35" hidden="1" customHeight="1" outlineLevel="1">
      <c r="A448" s="289"/>
      <c r="B448" s="401" t="s">
        <v>556</v>
      </c>
      <c r="C448" s="806"/>
      <c r="D448" s="289"/>
      <c r="E448" s="781"/>
      <c r="F448" s="779">
        <f>+G448</f>
        <v>0</v>
      </c>
      <c r="G448" s="782"/>
      <c r="H448" s="783"/>
      <c r="I448" s="779">
        <f>+J448</f>
        <v>0</v>
      </c>
      <c r="J448" s="782"/>
      <c r="K448" s="783"/>
      <c r="L448" s="779">
        <f>+M448</f>
        <v>0</v>
      </c>
      <c r="M448" s="782"/>
      <c r="N448" s="783"/>
      <c r="O448" s="779">
        <f>+P448</f>
        <v>0</v>
      </c>
      <c r="P448" s="782"/>
      <c r="Q448" s="783"/>
      <c r="R448" s="779">
        <f>+S448</f>
        <v>0</v>
      </c>
      <c r="S448" s="782"/>
      <c r="T448" s="783"/>
      <c r="U448" s="779">
        <f>+V448</f>
        <v>0</v>
      </c>
      <c r="V448" s="782"/>
      <c r="W448" s="783"/>
      <c r="X448" s="779">
        <f>+Y448</f>
        <v>0</v>
      </c>
      <c r="Y448" s="782"/>
      <c r="Z448" s="783"/>
      <c r="AA448" s="779">
        <f>+AB448</f>
        <v>0</v>
      </c>
      <c r="AB448" s="782"/>
      <c r="AC448" s="783"/>
      <c r="AD448" s="779">
        <f>+AE448</f>
        <v>0</v>
      </c>
      <c r="AE448" s="782"/>
      <c r="AF448" s="783"/>
      <c r="AG448" s="779">
        <f>+AH448</f>
        <v>0</v>
      </c>
      <c r="AH448" s="782"/>
      <c r="AI448" s="783"/>
      <c r="AJ448" s="779">
        <f>+AK448</f>
        <v>0</v>
      </c>
      <c r="AK448" s="782"/>
      <c r="AL448" s="783"/>
      <c r="AM448" s="779">
        <f>+AN448</f>
        <v>0</v>
      </c>
      <c r="AN448" s="782"/>
      <c r="AO448" s="783"/>
      <c r="AP448" s="779">
        <f>+AQ448</f>
        <v>0</v>
      </c>
      <c r="AQ448" s="782"/>
      <c r="AR448" s="783"/>
      <c r="AS448" s="779">
        <f>+AT448</f>
        <v>0</v>
      </c>
      <c r="AT448" s="782"/>
      <c r="AU448" s="783"/>
      <c r="AV448" s="779">
        <f>+AW448</f>
        <v>0</v>
      </c>
      <c r="AW448" s="782"/>
      <c r="AX448" s="783"/>
      <c r="AY448" s="779">
        <f>+AZ448</f>
        <v>0</v>
      </c>
      <c r="AZ448" s="782"/>
      <c r="BA448" s="783"/>
      <c r="BB448" s="779">
        <f>+BC448</f>
        <v>0</v>
      </c>
      <c r="BC448" s="782"/>
      <c r="BD448" s="783"/>
      <c r="BE448" s="779">
        <f>+BF448</f>
        <v>0</v>
      </c>
      <c r="BF448" s="782"/>
      <c r="BG448" s="783"/>
      <c r="BH448" s="779">
        <f>+BI448</f>
        <v>0</v>
      </c>
      <c r="BI448" s="782"/>
      <c r="BJ448" s="783"/>
      <c r="BK448" s="779">
        <f>+BL448</f>
        <v>0</v>
      </c>
      <c r="BL448" s="782"/>
      <c r="BM448" s="783"/>
      <c r="BN448" s="779">
        <f>+BO448</f>
        <v>0</v>
      </c>
      <c r="BO448" s="785"/>
      <c r="BP448" s="783"/>
      <c r="BQ448" s="779">
        <f>+BR448</f>
        <v>0</v>
      </c>
      <c r="BR448" s="785"/>
      <c r="BS448" s="783"/>
      <c r="BT448" s="779">
        <f>+BU448</f>
        <v>0</v>
      </c>
      <c r="BU448" s="785"/>
      <c r="BV448" s="783"/>
      <c r="BW448" s="779">
        <f>+BX448</f>
        <v>0</v>
      </c>
      <c r="BX448" s="785"/>
      <c r="BY448" s="783"/>
      <c r="BZ448" s="779">
        <f>+CA448</f>
        <v>0</v>
      </c>
      <c r="CA448" s="785"/>
      <c r="CB448" s="783"/>
      <c r="CC448" s="779">
        <f>+CD448</f>
        <v>0</v>
      </c>
      <c r="CD448" s="666"/>
      <c r="CE448" s="668"/>
      <c r="CF448" s="667">
        <f>+CG448</f>
        <v>0</v>
      </c>
      <c r="CG448" s="666"/>
      <c r="CH448" s="668"/>
      <c r="CI448" s="667">
        <f>+CJ448</f>
        <v>0</v>
      </c>
      <c r="CJ448" s="666"/>
      <c r="CK448" s="668"/>
      <c r="CL448" s="667">
        <f>+CM448</f>
        <v>0</v>
      </c>
      <c r="CM448" s="666"/>
      <c r="CN448" s="668"/>
      <c r="CO448" s="667">
        <f>+CP448</f>
        <v>0</v>
      </c>
      <c r="CP448" s="666"/>
      <c r="CQ448" s="668"/>
      <c r="CR448" s="667">
        <f>+CS448</f>
        <v>0</v>
      </c>
      <c r="CS448" s="666"/>
      <c r="CT448" s="668"/>
      <c r="CU448" s="667">
        <f>+CV448</f>
        <v>0</v>
      </c>
      <c r="CV448" s="666"/>
      <c r="CW448" s="668"/>
      <c r="CX448" s="667">
        <f>+CY448</f>
        <v>0</v>
      </c>
      <c r="CY448" s="666"/>
      <c r="CZ448" s="668"/>
      <c r="DA448" s="667">
        <f>+DB448</f>
        <v>0</v>
      </c>
      <c r="DB448" s="666"/>
      <c r="DC448" s="668"/>
      <c r="DD448" s="667">
        <f>+DE448</f>
        <v>0</v>
      </c>
      <c r="DE448" s="666"/>
      <c r="DF448" s="668"/>
      <c r="DG448" s="667">
        <f>+DH448</f>
        <v>0</v>
      </c>
      <c r="DH448" s="1317"/>
      <c r="DI448" s="668"/>
      <c r="DJ448" s="667">
        <f>+DK448</f>
        <v>0</v>
      </c>
      <c r="DK448" s="1317"/>
      <c r="DL448" s="668"/>
      <c r="DM448" s="667">
        <f>+DN448</f>
        <v>0</v>
      </c>
      <c r="DN448" s="1317"/>
      <c r="DO448" s="668"/>
      <c r="DP448" s="667">
        <f>+DQ448</f>
        <v>0</v>
      </c>
      <c r="DQ448" s="1317"/>
      <c r="DR448" s="668"/>
      <c r="DS448" s="667">
        <f>+DT448</f>
        <v>0</v>
      </c>
      <c r="DT448" s="1317"/>
      <c r="DU448" s="668"/>
      <c r="DV448" s="667">
        <f>+DW448</f>
        <v>0</v>
      </c>
      <c r="DW448" s="1317"/>
      <c r="DX448" s="668"/>
      <c r="DY448" s="667">
        <f>+DZ448</f>
        <v>0</v>
      </c>
      <c r="DZ448" s="1317"/>
      <c r="EA448" s="668"/>
      <c r="EB448" s="667">
        <f>+EC448</f>
        <v>0</v>
      </c>
      <c r="EC448" s="1317"/>
      <c r="ED448" s="668"/>
      <c r="EE448" s="667">
        <f>+EF448</f>
        <v>0</v>
      </c>
      <c r="EF448" s="1317"/>
      <c r="EG448" s="668"/>
      <c r="EH448" s="667">
        <f>+EI448</f>
        <v>0</v>
      </c>
      <c r="EI448" s="1317"/>
      <c r="EJ448" s="668"/>
      <c r="EK448" s="667">
        <f>+EL448</f>
        <v>0</v>
      </c>
      <c r="EL448" s="1317"/>
      <c r="EM448" s="668"/>
      <c r="EN448" s="667">
        <f>+EO448</f>
        <v>0</v>
      </c>
      <c r="EO448" s="1317"/>
      <c r="EP448" s="668"/>
      <c r="EQ448" s="667">
        <f>+ER448</f>
        <v>0</v>
      </c>
      <c r="ER448" s="1317"/>
      <c r="ES448" s="668"/>
      <c r="ET448" s="667">
        <f>+EU448</f>
        <v>0</v>
      </c>
      <c r="EU448" s="1317"/>
      <c r="EV448" s="668"/>
      <c r="EW448" s="667">
        <f>+EX448</f>
        <v>0</v>
      </c>
      <c r="EX448" s="1317"/>
      <c r="EY448" s="668"/>
      <c r="EZ448" s="667">
        <f>+FA448</f>
        <v>0</v>
      </c>
      <c r="FA448" s="1317"/>
      <c r="FE448"/>
      <c r="FF448"/>
      <c r="FG448"/>
      <c r="FH448"/>
      <c r="FI448"/>
      <c r="FJ448"/>
      <c r="FK448" s="35"/>
    </row>
    <row r="449" spans="1:167" s="235" customFormat="1" ht="13.35" hidden="1" customHeight="1" outlineLevel="1">
      <c r="B449" s="401" t="s">
        <v>329</v>
      </c>
      <c r="C449" s="593"/>
      <c r="D449" s="594"/>
      <c r="E449" s="787"/>
      <c r="F449" s="779">
        <f>+G449</f>
        <v>0</v>
      </c>
      <c r="G449" s="788"/>
      <c r="H449" s="789"/>
      <c r="I449" s="779">
        <f>+J449</f>
        <v>0</v>
      </c>
      <c r="J449" s="788"/>
      <c r="K449" s="789"/>
      <c r="L449" s="779">
        <f>+M449</f>
        <v>0</v>
      </c>
      <c r="M449" s="788"/>
      <c r="N449" s="789"/>
      <c r="O449" s="779">
        <f>+P449</f>
        <v>0</v>
      </c>
      <c r="P449" s="788"/>
      <c r="Q449" s="789"/>
      <c r="R449" s="779">
        <f>+S449</f>
        <v>0</v>
      </c>
      <c r="S449" s="788"/>
      <c r="T449" s="789"/>
      <c r="U449" s="779">
        <f>+V449</f>
        <v>0</v>
      </c>
      <c r="V449" s="788"/>
      <c r="W449" s="789"/>
      <c r="X449" s="779">
        <f>+Y449</f>
        <v>0</v>
      </c>
      <c r="Y449" s="788"/>
      <c r="Z449" s="789"/>
      <c r="AA449" s="779">
        <f>+AB449</f>
        <v>0</v>
      </c>
      <c r="AB449" s="788"/>
      <c r="AC449" s="789"/>
      <c r="AD449" s="779">
        <f>+AE449</f>
        <v>0</v>
      </c>
      <c r="AE449" s="788"/>
      <c r="AF449" s="789"/>
      <c r="AG449" s="779">
        <f>+AH449</f>
        <v>0</v>
      </c>
      <c r="AH449" s="788"/>
      <c r="AI449" s="789"/>
      <c r="AJ449" s="779">
        <f>+AK449</f>
        <v>0</v>
      </c>
      <c r="AK449" s="788"/>
      <c r="AL449" s="789"/>
      <c r="AM449" s="779">
        <f>+AN449</f>
        <v>0</v>
      </c>
      <c r="AN449" s="788"/>
      <c r="AO449" s="789"/>
      <c r="AP449" s="779">
        <f>+AQ449</f>
        <v>0</v>
      </c>
      <c r="AQ449" s="788"/>
      <c r="AR449" s="789"/>
      <c r="AS449" s="779">
        <f>+AT449</f>
        <v>0</v>
      </c>
      <c r="AT449" s="788"/>
      <c r="AU449" s="789"/>
      <c r="AV449" s="779">
        <f>+AW449</f>
        <v>0</v>
      </c>
      <c r="AW449" s="788"/>
      <c r="AX449" s="789"/>
      <c r="AY449" s="779">
        <f>+AZ449</f>
        <v>0</v>
      </c>
      <c r="AZ449" s="788"/>
      <c r="BA449" s="789"/>
      <c r="BB449" s="779">
        <f>+BC449</f>
        <v>0</v>
      </c>
      <c r="BC449" s="788"/>
      <c r="BD449" s="789"/>
      <c r="BE449" s="779">
        <f>+BF449</f>
        <v>0</v>
      </c>
      <c r="BF449" s="788"/>
      <c r="BG449" s="789"/>
      <c r="BH449" s="779">
        <f>+BI449</f>
        <v>0</v>
      </c>
      <c r="BI449" s="788"/>
      <c r="BJ449" s="789"/>
      <c r="BK449" s="779">
        <f>+BL449</f>
        <v>0</v>
      </c>
      <c r="BL449" s="788"/>
      <c r="BM449" s="789"/>
      <c r="BN449" s="779">
        <f>+BO449</f>
        <v>0</v>
      </c>
      <c r="BO449" s="790"/>
      <c r="BP449" s="789"/>
      <c r="BQ449" s="779">
        <f>+BR449</f>
        <v>0</v>
      </c>
      <c r="BR449" s="790"/>
      <c r="BS449" s="789"/>
      <c r="BT449" s="779">
        <f>+BU449</f>
        <v>0</v>
      </c>
      <c r="BU449" s="790"/>
      <c r="BV449" s="789"/>
      <c r="BW449" s="779">
        <f>+BX449</f>
        <v>0</v>
      </c>
      <c r="BX449" s="790"/>
      <c r="BY449" s="789"/>
      <c r="BZ449" s="779">
        <f>+CA449</f>
        <v>0</v>
      </c>
      <c r="CA449" s="790"/>
      <c r="CB449" s="789"/>
      <c r="CC449" s="779">
        <f>+CD449</f>
        <v>0</v>
      </c>
      <c r="CD449" s="791"/>
      <c r="CE449" s="792"/>
      <c r="CF449" s="667">
        <f>+CG449</f>
        <v>0</v>
      </c>
      <c r="CG449" s="791"/>
      <c r="CH449" s="792"/>
      <c r="CI449" s="667">
        <f>+CJ449</f>
        <v>0</v>
      </c>
      <c r="CJ449" s="791"/>
      <c r="CK449" s="792"/>
      <c r="CL449" s="667">
        <f>+CM449</f>
        <v>0</v>
      </c>
      <c r="CM449" s="791"/>
      <c r="CN449" s="792"/>
      <c r="CO449" s="667">
        <f>+CP449</f>
        <v>0</v>
      </c>
      <c r="CP449" s="791"/>
      <c r="CQ449" s="792"/>
      <c r="CR449" s="667">
        <f>+CS449</f>
        <v>0</v>
      </c>
      <c r="CS449" s="791"/>
      <c r="CT449" s="792"/>
      <c r="CU449" s="667">
        <f>+CV449</f>
        <v>0</v>
      </c>
      <c r="CV449" s="791"/>
      <c r="CW449" s="792"/>
      <c r="CX449" s="667">
        <f>+CY449</f>
        <v>0</v>
      </c>
      <c r="CY449" s="791"/>
      <c r="CZ449" s="792"/>
      <c r="DA449" s="667">
        <f>+DB449</f>
        <v>0</v>
      </c>
      <c r="DB449" s="791"/>
      <c r="DC449" s="792"/>
      <c r="DD449" s="667">
        <f>+DE449</f>
        <v>0</v>
      </c>
      <c r="DE449" s="791"/>
      <c r="DF449" s="792"/>
      <c r="DG449" s="667">
        <f>+DH449</f>
        <v>0</v>
      </c>
      <c r="DH449" s="1318"/>
      <c r="DI449" s="792"/>
      <c r="DJ449" s="667">
        <f>+DK449</f>
        <v>0</v>
      </c>
      <c r="DK449" s="1318"/>
      <c r="DL449" s="792"/>
      <c r="DM449" s="667">
        <f>+DN449</f>
        <v>0</v>
      </c>
      <c r="DN449" s="1318"/>
      <c r="DO449" s="792"/>
      <c r="DP449" s="667">
        <f>+DQ449</f>
        <v>0</v>
      </c>
      <c r="DQ449" s="1318"/>
      <c r="DR449" s="792"/>
      <c r="DS449" s="667">
        <f>+DT449</f>
        <v>0</v>
      </c>
      <c r="DT449" s="1318"/>
      <c r="DU449" s="792"/>
      <c r="DV449" s="667">
        <f>+DW449</f>
        <v>0</v>
      </c>
      <c r="DW449" s="1318"/>
      <c r="DX449" s="792"/>
      <c r="DY449" s="667">
        <f>+DZ449</f>
        <v>0</v>
      </c>
      <c r="DZ449" s="1318"/>
      <c r="EA449" s="792"/>
      <c r="EB449" s="667">
        <f>+EC449</f>
        <v>0</v>
      </c>
      <c r="EC449" s="1318"/>
      <c r="ED449" s="792"/>
      <c r="EE449" s="667">
        <f>+EF449</f>
        <v>0</v>
      </c>
      <c r="EF449" s="1318"/>
      <c r="EG449" s="792"/>
      <c r="EH449" s="667">
        <f>+EI449</f>
        <v>0</v>
      </c>
      <c r="EI449" s="1318"/>
      <c r="EJ449" s="792"/>
      <c r="EK449" s="667">
        <f>+EL449</f>
        <v>0</v>
      </c>
      <c r="EL449" s="1318"/>
      <c r="EM449" s="792"/>
      <c r="EN449" s="667">
        <f>+EO449</f>
        <v>0</v>
      </c>
      <c r="EO449" s="1318"/>
      <c r="EP449" s="792"/>
      <c r="EQ449" s="667">
        <f>+ER449</f>
        <v>0</v>
      </c>
      <c r="ER449" s="1318"/>
      <c r="ES449" s="792"/>
      <c r="ET449" s="667">
        <f>+EU449</f>
        <v>0</v>
      </c>
      <c r="EU449" s="1318"/>
      <c r="EV449" s="792"/>
      <c r="EW449" s="667">
        <f>+EX449</f>
        <v>0</v>
      </c>
      <c r="EX449" s="1318"/>
      <c r="EY449" s="792"/>
      <c r="EZ449" s="667">
        <f>+FA449</f>
        <v>0</v>
      </c>
      <c r="FA449" s="1318"/>
      <c r="FE449"/>
      <c r="FF449"/>
      <c r="FG449"/>
      <c r="FH449"/>
      <c r="FI449"/>
      <c r="FJ449"/>
      <c r="FK449" s="35"/>
    </row>
    <row r="450" spans="1:167" s="236" customFormat="1" ht="13.35" hidden="1" customHeight="1" outlineLevel="1">
      <c r="A450" s="289"/>
      <c r="B450" s="401" t="s">
        <v>522</v>
      </c>
      <c r="C450" s="806"/>
      <c r="D450" s="289"/>
      <c r="E450" s="793"/>
      <c r="F450" s="596">
        <f>+G450-E450</f>
        <v>0</v>
      </c>
      <c r="G450" s="794"/>
      <c r="H450" s="795"/>
      <c r="I450" s="596">
        <f>+J450-H450</f>
        <v>0</v>
      </c>
      <c r="J450" s="794"/>
      <c r="K450" s="795"/>
      <c r="L450" s="596">
        <f>+M450-K450</f>
        <v>0</v>
      </c>
      <c r="M450" s="794"/>
      <c r="N450" s="795"/>
      <c r="O450" s="596">
        <f>+P450-N450</f>
        <v>0</v>
      </c>
      <c r="P450" s="794"/>
      <c r="Q450" s="795"/>
      <c r="R450" s="596">
        <f>+S450-Q450</f>
        <v>0</v>
      </c>
      <c r="S450" s="794"/>
      <c r="T450" s="795"/>
      <c r="U450" s="596">
        <f>+V450-T450</f>
        <v>0</v>
      </c>
      <c r="V450" s="794"/>
      <c r="W450" s="795"/>
      <c r="X450" s="596">
        <f>+Y450-W450</f>
        <v>0</v>
      </c>
      <c r="Y450" s="794"/>
      <c r="Z450" s="795"/>
      <c r="AA450" s="596">
        <f>+AB450-Z450</f>
        <v>0</v>
      </c>
      <c r="AB450" s="794"/>
      <c r="AC450" s="795"/>
      <c r="AD450" s="596">
        <f>+AE450-AC450</f>
        <v>0</v>
      </c>
      <c r="AE450" s="794"/>
      <c r="AF450" s="795"/>
      <c r="AG450" s="596">
        <f>+AH450-AF450</f>
        <v>0</v>
      </c>
      <c r="AH450" s="794"/>
      <c r="AI450" s="795"/>
      <c r="AJ450" s="596">
        <f>+AK450-AI450</f>
        <v>0</v>
      </c>
      <c r="AK450" s="794"/>
      <c r="AL450" s="795"/>
      <c r="AM450" s="596">
        <f>+AN450-AL450</f>
        <v>0</v>
      </c>
      <c r="AN450" s="794"/>
      <c r="AO450" s="795"/>
      <c r="AP450" s="596">
        <f>+AQ450-AO450</f>
        <v>0</v>
      </c>
      <c r="AQ450" s="794"/>
      <c r="AR450" s="795"/>
      <c r="AS450" s="596">
        <f>+AT450-AR450</f>
        <v>0</v>
      </c>
      <c r="AT450" s="794"/>
      <c r="AU450" s="795"/>
      <c r="AV450" s="596">
        <f>+AW450-AU450</f>
        <v>0</v>
      </c>
      <c r="AW450" s="794"/>
      <c r="AX450" s="795"/>
      <c r="AY450" s="596">
        <f>+AZ450-AX450</f>
        <v>0</v>
      </c>
      <c r="AZ450" s="794"/>
      <c r="BA450" s="795"/>
      <c r="BB450" s="596">
        <f>+BC450-BA450</f>
        <v>0</v>
      </c>
      <c r="BC450" s="794"/>
      <c r="BD450" s="795"/>
      <c r="BE450" s="596">
        <f>+BF450-BD450</f>
        <v>0</v>
      </c>
      <c r="BF450" s="794"/>
      <c r="BG450" s="795"/>
      <c r="BH450" s="596">
        <f>+BI450-BG450</f>
        <v>0</v>
      </c>
      <c r="BI450" s="794"/>
      <c r="BJ450" s="795"/>
      <c r="BK450" s="596">
        <f>+BL450-BJ450</f>
        <v>0</v>
      </c>
      <c r="BL450" s="794"/>
      <c r="BM450" s="795"/>
      <c r="BN450" s="596">
        <f>+BO450-BM450</f>
        <v>0</v>
      </c>
      <c r="BO450" s="796"/>
      <c r="BP450" s="795"/>
      <c r="BQ450" s="596">
        <f>+BR450-BP450</f>
        <v>0</v>
      </c>
      <c r="BR450" s="796"/>
      <c r="BS450" s="795"/>
      <c r="BT450" s="596">
        <f>+BU450-BS450</f>
        <v>0</v>
      </c>
      <c r="BU450" s="796"/>
      <c r="BV450" s="795"/>
      <c r="BW450" s="596">
        <f>+BX450-BV450</f>
        <v>0</v>
      </c>
      <c r="BX450" s="796"/>
      <c r="BY450" s="795"/>
      <c r="BZ450" s="596">
        <f>+CA450-BY450</f>
        <v>0</v>
      </c>
      <c r="CA450" s="796"/>
      <c r="CB450" s="795"/>
      <c r="CC450" s="596">
        <f>+CD450-CB450</f>
        <v>0</v>
      </c>
      <c r="CD450" s="797"/>
      <c r="CE450" s="798"/>
      <c r="CF450" s="612">
        <f>+CG450-CE450</f>
        <v>0</v>
      </c>
      <c r="CG450" s="797"/>
      <c r="CH450" s="798"/>
      <c r="CI450" s="612">
        <f>+CJ450-CH450</f>
        <v>0</v>
      </c>
      <c r="CJ450" s="797"/>
      <c r="CK450" s="798"/>
      <c r="CL450" s="612">
        <f>+CM450-CK450</f>
        <v>0</v>
      </c>
      <c r="CM450" s="797"/>
      <c r="CN450" s="798"/>
      <c r="CO450" s="612">
        <f>+CP450-CN450</f>
        <v>0</v>
      </c>
      <c r="CP450" s="797"/>
      <c r="CQ450" s="798"/>
      <c r="CR450" s="612">
        <f>+CS450-CQ450</f>
        <v>0</v>
      </c>
      <c r="CS450" s="797"/>
      <c r="CT450" s="798"/>
      <c r="CU450" s="612">
        <f>+CV450-CT450</f>
        <v>0</v>
      </c>
      <c r="CV450" s="797"/>
      <c r="CW450" s="798"/>
      <c r="CX450" s="612">
        <f>+CY450-CW450</f>
        <v>0</v>
      </c>
      <c r="CY450" s="797"/>
      <c r="CZ450" s="798"/>
      <c r="DA450" s="612">
        <f>+DB450-CZ450</f>
        <v>0</v>
      </c>
      <c r="DB450" s="797"/>
      <c r="DC450" s="798"/>
      <c r="DD450" s="612">
        <f>+DE450-DC450</f>
        <v>0</v>
      </c>
      <c r="DE450" s="797"/>
      <c r="DF450" s="798"/>
      <c r="DG450" s="612">
        <f>+DH450-DF450</f>
        <v>0</v>
      </c>
      <c r="DH450" s="1319"/>
      <c r="DI450" s="798"/>
      <c r="DJ450" s="612">
        <f>+DK450-DI450</f>
        <v>0</v>
      </c>
      <c r="DK450" s="1319"/>
      <c r="DL450" s="798"/>
      <c r="DM450" s="612">
        <f>+DN450-DL450</f>
        <v>0</v>
      </c>
      <c r="DN450" s="1319"/>
      <c r="DO450" s="798"/>
      <c r="DP450" s="612">
        <f>+DQ450-DO450</f>
        <v>0</v>
      </c>
      <c r="DQ450" s="1319"/>
      <c r="DR450" s="798"/>
      <c r="DS450" s="612">
        <f>+DT450-DR450</f>
        <v>0</v>
      </c>
      <c r="DT450" s="1319"/>
      <c r="DU450" s="798"/>
      <c r="DV450" s="612">
        <f>+DW450-DU450</f>
        <v>0</v>
      </c>
      <c r="DW450" s="1319"/>
      <c r="DX450" s="798"/>
      <c r="DY450" s="612">
        <f>+DZ450-DX450</f>
        <v>0</v>
      </c>
      <c r="DZ450" s="1319"/>
      <c r="EA450" s="798"/>
      <c r="EB450" s="612">
        <f>+EC450-EA450</f>
        <v>0</v>
      </c>
      <c r="EC450" s="1319"/>
      <c r="ED450" s="798"/>
      <c r="EE450" s="612">
        <f>+EF450-ED450</f>
        <v>0</v>
      </c>
      <c r="EF450" s="1319"/>
      <c r="EG450" s="798"/>
      <c r="EH450" s="612">
        <f>+EI450-EG450</f>
        <v>0</v>
      </c>
      <c r="EI450" s="1319"/>
      <c r="EJ450" s="798"/>
      <c r="EK450" s="612">
        <f>+EL450-EJ450</f>
        <v>0</v>
      </c>
      <c r="EL450" s="1319"/>
      <c r="EM450" s="798"/>
      <c r="EN450" s="612">
        <f>+EO450-EM450</f>
        <v>0</v>
      </c>
      <c r="EO450" s="1319"/>
      <c r="EP450" s="798"/>
      <c r="EQ450" s="612">
        <f>+ER450-EP450</f>
        <v>0</v>
      </c>
      <c r="ER450" s="1319"/>
      <c r="ES450" s="798"/>
      <c r="ET450" s="612">
        <f>+EU450-ES450</f>
        <v>0</v>
      </c>
      <c r="EU450" s="1319"/>
      <c r="EV450" s="798"/>
      <c r="EW450" s="612">
        <f>+EX450-EV450</f>
        <v>0</v>
      </c>
      <c r="EX450" s="1319"/>
      <c r="EY450" s="798"/>
      <c r="EZ450" s="612">
        <f>+FA450-EY450</f>
        <v>0</v>
      </c>
      <c r="FA450" s="1319"/>
      <c r="FE450"/>
      <c r="FF450"/>
      <c r="FG450"/>
      <c r="FH450"/>
      <c r="FI450"/>
      <c r="FJ450"/>
      <c r="FK450" s="35"/>
    </row>
    <row r="451" spans="1:167" s="819" customFormat="1" ht="13.35" hidden="1" customHeight="1" outlineLevel="1" thickBot="1">
      <c r="A451" s="816"/>
      <c r="B451" s="401" t="s">
        <v>523</v>
      </c>
      <c r="C451" s="817"/>
      <c r="D451" s="816"/>
      <c r="E451" s="799" t="s">
        <v>524</v>
      </c>
      <c r="F451" s="800"/>
      <c r="G451" s="801" t="str">
        <f>+E451</f>
        <v>N</v>
      </c>
      <c r="H451" s="802" t="str">
        <f>G451</f>
        <v>N</v>
      </c>
      <c r="I451" s="800"/>
      <c r="J451" s="801" t="str">
        <f>+H451</f>
        <v>N</v>
      </c>
      <c r="K451" s="802" t="str">
        <f>J451</f>
        <v>N</v>
      </c>
      <c r="L451" s="800"/>
      <c r="M451" s="801" t="str">
        <f>+K451</f>
        <v>N</v>
      </c>
      <c r="N451" s="802" t="str">
        <f>M451</f>
        <v>N</v>
      </c>
      <c r="O451" s="800"/>
      <c r="P451" s="801" t="str">
        <f>+N451</f>
        <v>N</v>
      </c>
      <c r="Q451" s="802" t="str">
        <f>P451</f>
        <v>N</v>
      </c>
      <c r="R451" s="800"/>
      <c r="S451" s="801" t="str">
        <f>+Q451</f>
        <v>N</v>
      </c>
      <c r="T451" s="802" t="str">
        <f>S451</f>
        <v>N</v>
      </c>
      <c r="U451" s="800"/>
      <c r="V451" s="801" t="str">
        <f>+T451</f>
        <v>N</v>
      </c>
      <c r="W451" s="802" t="str">
        <f>V451</f>
        <v>N</v>
      </c>
      <c r="X451" s="800"/>
      <c r="Y451" s="801" t="str">
        <f>+W451</f>
        <v>N</v>
      </c>
      <c r="Z451" s="802" t="str">
        <f>Y451</f>
        <v>N</v>
      </c>
      <c r="AA451" s="800"/>
      <c r="AB451" s="801" t="str">
        <f>+Z451</f>
        <v>N</v>
      </c>
      <c r="AC451" s="802" t="str">
        <f>AB451</f>
        <v>N</v>
      </c>
      <c r="AD451" s="800"/>
      <c r="AE451" s="801" t="str">
        <f>+AC451</f>
        <v>N</v>
      </c>
      <c r="AF451" s="802" t="str">
        <f>AE451</f>
        <v>N</v>
      </c>
      <c r="AG451" s="800"/>
      <c r="AH451" s="801" t="str">
        <f>+AF451</f>
        <v>N</v>
      </c>
      <c r="AI451" s="802" t="str">
        <f>AH451</f>
        <v>N</v>
      </c>
      <c r="AJ451" s="800"/>
      <c r="AK451" s="801" t="str">
        <f>+AI451</f>
        <v>N</v>
      </c>
      <c r="AL451" s="802" t="str">
        <f>AK451</f>
        <v>N</v>
      </c>
      <c r="AM451" s="800"/>
      <c r="AN451" s="801" t="str">
        <f>+AL451</f>
        <v>N</v>
      </c>
      <c r="AO451" s="802" t="str">
        <f>AN451</f>
        <v>N</v>
      </c>
      <c r="AP451" s="800"/>
      <c r="AQ451" s="801" t="str">
        <f>+AO451</f>
        <v>N</v>
      </c>
      <c r="AR451" s="802" t="str">
        <f>AQ451</f>
        <v>N</v>
      </c>
      <c r="AS451" s="800"/>
      <c r="AT451" s="801" t="str">
        <f>+AR451</f>
        <v>N</v>
      </c>
      <c r="AU451" s="802" t="str">
        <f>AT451</f>
        <v>N</v>
      </c>
      <c r="AV451" s="800"/>
      <c r="AW451" s="801" t="str">
        <f>+AU451</f>
        <v>N</v>
      </c>
      <c r="AX451" s="802" t="str">
        <f>AW451</f>
        <v>N</v>
      </c>
      <c r="AY451" s="800"/>
      <c r="AZ451" s="801" t="str">
        <f>+AX451</f>
        <v>N</v>
      </c>
      <c r="BA451" s="802" t="str">
        <f>AZ451</f>
        <v>N</v>
      </c>
      <c r="BB451" s="800"/>
      <c r="BC451" s="801" t="str">
        <f>+BA451</f>
        <v>N</v>
      </c>
      <c r="BD451" s="802" t="str">
        <f>BC451</f>
        <v>N</v>
      </c>
      <c r="BE451" s="800"/>
      <c r="BF451" s="801" t="str">
        <f>+BD451</f>
        <v>N</v>
      </c>
      <c r="BG451" s="802" t="str">
        <f>BF451</f>
        <v>N</v>
      </c>
      <c r="BH451" s="800"/>
      <c r="BI451" s="801" t="str">
        <f>+BG451</f>
        <v>N</v>
      </c>
      <c r="BJ451" s="802" t="str">
        <f>BI451</f>
        <v>N</v>
      </c>
      <c r="BK451" s="800"/>
      <c r="BL451" s="801" t="str">
        <f>+BJ451</f>
        <v>N</v>
      </c>
      <c r="BM451" s="802" t="str">
        <f>BL451</f>
        <v>N</v>
      </c>
      <c r="BN451" s="800"/>
      <c r="BO451" s="803" t="str">
        <f>+BM451</f>
        <v>N</v>
      </c>
      <c r="BP451" s="802" t="str">
        <f>BO451</f>
        <v>N</v>
      </c>
      <c r="BQ451" s="800"/>
      <c r="BR451" s="803" t="str">
        <f>+BP451</f>
        <v>N</v>
      </c>
      <c r="BS451" s="802" t="str">
        <f>BR451</f>
        <v>N</v>
      </c>
      <c r="BT451" s="800"/>
      <c r="BU451" s="803" t="str">
        <f>+BS451</f>
        <v>N</v>
      </c>
      <c r="BV451" s="802" t="str">
        <f>BU451</f>
        <v>N</v>
      </c>
      <c r="BW451" s="800"/>
      <c r="BX451" s="803" t="str">
        <f>+BV451</f>
        <v>N</v>
      </c>
      <c r="BY451" s="802" t="str">
        <f>BX451</f>
        <v>N</v>
      </c>
      <c r="BZ451" s="800"/>
      <c r="CA451" s="803" t="str">
        <f>+BY451</f>
        <v>N</v>
      </c>
      <c r="CB451" s="802" t="str">
        <f>CA451</f>
        <v>N</v>
      </c>
      <c r="CC451" s="800"/>
      <c r="CD451" s="804" t="str">
        <f>+CB451</f>
        <v>N</v>
      </c>
      <c r="CE451" s="805" t="str">
        <f>CD451</f>
        <v>N</v>
      </c>
      <c r="CF451" s="681"/>
      <c r="CG451" s="804" t="str">
        <f>+CE451</f>
        <v>N</v>
      </c>
      <c r="CH451" s="805" t="str">
        <f>CG451</f>
        <v>N</v>
      </c>
      <c r="CI451" s="681"/>
      <c r="CJ451" s="804" t="str">
        <f>+CH451</f>
        <v>N</v>
      </c>
      <c r="CK451" s="805" t="str">
        <f>CJ451</f>
        <v>N</v>
      </c>
      <c r="CL451" s="681"/>
      <c r="CM451" s="804" t="str">
        <f>+CK451</f>
        <v>N</v>
      </c>
      <c r="CN451" s="805" t="str">
        <f>CM451</f>
        <v>N</v>
      </c>
      <c r="CO451" s="681"/>
      <c r="CP451" s="804" t="str">
        <f>+CN451</f>
        <v>N</v>
      </c>
      <c r="CQ451" s="805" t="str">
        <f>CP451</f>
        <v>N</v>
      </c>
      <c r="CR451" s="681"/>
      <c r="CS451" s="804" t="str">
        <f>+CQ451</f>
        <v>N</v>
      </c>
      <c r="CT451" s="805" t="str">
        <f>CS451</f>
        <v>N</v>
      </c>
      <c r="CU451" s="681"/>
      <c r="CV451" s="804" t="str">
        <f>+CT451</f>
        <v>N</v>
      </c>
      <c r="CW451" s="805" t="str">
        <f>CV451</f>
        <v>N</v>
      </c>
      <c r="CX451" s="681"/>
      <c r="CY451" s="804" t="str">
        <f>+CW451</f>
        <v>N</v>
      </c>
      <c r="CZ451" s="805" t="str">
        <f>CY451</f>
        <v>N</v>
      </c>
      <c r="DA451" s="681"/>
      <c r="DB451" s="804" t="str">
        <f>+CZ451</f>
        <v>N</v>
      </c>
      <c r="DC451" s="805" t="str">
        <f>DB451</f>
        <v>N</v>
      </c>
      <c r="DD451" s="681"/>
      <c r="DE451" s="804" t="str">
        <f>+DC451</f>
        <v>N</v>
      </c>
      <c r="DF451" s="805" t="str">
        <f>DE451</f>
        <v>N</v>
      </c>
      <c r="DG451" s="681"/>
      <c r="DH451" s="1320" t="str">
        <f>+DF451</f>
        <v>N</v>
      </c>
      <c r="DI451" s="805" t="str">
        <f>DH451</f>
        <v>N</v>
      </c>
      <c r="DJ451" s="681"/>
      <c r="DK451" s="1320" t="str">
        <f>+DI451</f>
        <v>N</v>
      </c>
      <c r="DL451" s="805" t="str">
        <f>DK451</f>
        <v>N</v>
      </c>
      <c r="DM451" s="681"/>
      <c r="DN451" s="1320" t="str">
        <f>+DL451</f>
        <v>N</v>
      </c>
      <c r="DO451" s="805" t="str">
        <f>DN451</f>
        <v>N</v>
      </c>
      <c r="DP451" s="681"/>
      <c r="DQ451" s="1320" t="str">
        <f>+DO451</f>
        <v>N</v>
      </c>
      <c r="DR451" s="805" t="str">
        <f>DQ451</f>
        <v>N</v>
      </c>
      <c r="DS451" s="681"/>
      <c r="DT451" s="1320" t="str">
        <f>+DR451</f>
        <v>N</v>
      </c>
      <c r="DU451" s="805" t="str">
        <f>DT451</f>
        <v>N</v>
      </c>
      <c r="DV451" s="681"/>
      <c r="DW451" s="1320" t="str">
        <f>+DU451</f>
        <v>N</v>
      </c>
      <c r="DX451" s="805" t="str">
        <f>DW451</f>
        <v>N</v>
      </c>
      <c r="DY451" s="681"/>
      <c r="DZ451" s="1320" t="str">
        <f>+DX451</f>
        <v>N</v>
      </c>
      <c r="EA451" s="805" t="str">
        <f>DZ451</f>
        <v>N</v>
      </c>
      <c r="EB451" s="681"/>
      <c r="EC451" s="1320" t="str">
        <f>+EA451</f>
        <v>N</v>
      </c>
      <c r="ED451" s="805" t="str">
        <f>EC451</f>
        <v>N</v>
      </c>
      <c r="EE451" s="681"/>
      <c r="EF451" s="1320" t="str">
        <f>+ED451</f>
        <v>N</v>
      </c>
      <c r="EG451" s="805" t="str">
        <f>EF451</f>
        <v>N</v>
      </c>
      <c r="EH451" s="681"/>
      <c r="EI451" s="1320" t="str">
        <f>+EG451</f>
        <v>N</v>
      </c>
      <c r="EJ451" s="805" t="str">
        <f>EI451</f>
        <v>N</v>
      </c>
      <c r="EK451" s="681"/>
      <c r="EL451" s="1320" t="str">
        <f>+EJ451</f>
        <v>N</v>
      </c>
      <c r="EM451" s="805" t="str">
        <f>EL451</f>
        <v>N</v>
      </c>
      <c r="EN451" s="681"/>
      <c r="EO451" s="1320" t="str">
        <f>+EM451</f>
        <v>N</v>
      </c>
      <c r="EP451" s="805" t="str">
        <f>EO451</f>
        <v>N</v>
      </c>
      <c r="EQ451" s="681"/>
      <c r="ER451" s="1320" t="str">
        <f>+EP451</f>
        <v>N</v>
      </c>
      <c r="ES451" s="805" t="str">
        <f>ER451</f>
        <v>N</v>
      </c>
      <c r="ET451" s="681"/>
      <c r="EU451" s="1320" t="str">
        <f>+ES451</f>
        <v>N</v>
      </c>
      <c r="EV451" s="805" t="str">
        <f>EU451</f>
        <v>N</v>
      </c>
      <c r="EW451" s="681"/>
      <c r="EX451" s="1320" t="str">
        <f>+EV451</f>
        <v>N</v>
      </c>
      <c r="EY451" s="805" t="str">
        <f>EX451</f>
        <v>N</v>
      </c>
      <c r="EZ451" s="681"/>
      <c r="FA451" s="1320" t="str">
        <f>+EY451</f>
        <v>N</v>
      </c>
      <c r="FE451"/>
      <c r="FF451"/>
      <c r="FG451"/>
      <c r="FH451"/>
      <c r="FI451"/>
      <c r="FJ451"/>
      <c r="FK451" s="35"/>
    </row>
    <row r="452" spans="1:167" s="236" customFormat="1" ht="13.35" hidden="1" customHeight="1" outlineLevel="1">
      <c r="A452" s="289"/>
      <c r="B452" s="289"/>
      <c r="C452" s="806"/>
      <c r="D452" s="289"/>
      <c r="E452" s="820"/>
      <c r="F452" s="820"/>
      <c r="G452" s="821"/>
      <c r="H452" s="820"/>
      <c r="I452" s="820"/>
      <c r="J452" s="821"/>
      <c r="K452" s="820"/>
      <c r="L452" s="820"/>
      <c r="M452" s="821"/>
      <c r="N452" s="820"/>
      <c r="O452" s="820"/>
      <c r="P452" s="821"/>
      <c r="Q452" s="809"/>
      <c r="R452" s="809"/>
      <c r="S452" s="810"/>
      <c r="T452" s="809"/>
      <c r="U452" s="809"/>
      <c r="V452" s="808"/>
      <c r="W452" s="807"/>
      <c r="X452" s="807"/>
      <c r="Y452" s="808"/>
      <c r="Z452" s="807"/>
      <c r="AA452" s="807"/>
      <c r="AB452" s="808"/>
      <c r="AC452" s="807"/>
      <c r="AD452" s="807"/>
      <c r="AE452" s="808"/>
      <c r="AF452" s="807"/>
      <c r="AG452" s="807"/>
      <c r="AH452" s="808"/>
      <c r="AI452" s="807"/>
      <c r="AJ452" s="807"/>
      <c r="AK452" s="808"/>
      <c r="AL452" s="807"/>
      <c r="AM452" s="807"/>
      <c r="AN452" s="808"/>
      <c r="AO452" s="807"/>
      <c r="AP452" s="807"/>
      <c r="AQ452" s="808"/>
      <c r="AR452" s="807"/>
      <c r="AS452" s="807"/>
      <c r="AT452" s="808"/>
      <c r="AU452" s="820"/>
      <c r="AV452" s="820"/>
      <c r="AW452" s="821"/>
      <c r="AX452" s="820"/>
      <c r="AY452" s="820"/>
      <c r="AZ452" s="821"/>
      <c r="BA452" s="820"/>
      <c r="BB452" s="820"/>
      <c r="BC452" s="821"/>
      <c r="BD452" s="820"/>
      <c r="BE452" s="820"/>
      <c r="BF452" s="821"/>
      <c r="BG452" s="820"/>
      <c r="BH452" s="820"/>
      <c r="BI452" s="821"/>
      <c r="BJ452" s="820"/>
      <c r="BK452" s="820"/>
      <c r="BL452" s="821"/>
      <c r="BM452" s="820"/>
      <c r="BN452" s="820"/>
      <c r="BO452" s="821"/>
      <c r="BP452" s="820"/>
      <c r="BQ452" s="820"/>
      <c r="BR452" s="821"/>
      <c r="BS452" s="820"/>
      <c r="BT452" s="820"/>
      <c r="BU452" s="821"/>
      <c r="BV452" s="820"/>
      <c r="BW452" s="820"/>
      <c r="BX452" s="821"/>
      <c r="BY452" s="820"/>
      <c r="BZ452" s="820"/>
      <c r="CA452" s="821"/>
      <c r="CB452" s="820"/>
      <c r="CC452" s="820"/>
      <c r="CD452" s="289"/>
      <c r="CE452" s="289"/>
      <c r="CF452" s="289"/>
      <c r="CG452" s="289"/>
      <c r="CH452" s="289"/>
      <c r="CI452" s="289"/>
      <c r="CJ452" s="289"/>
      <c r="CK452" s="289"/>
      <c r="CL452" s="289"/>
      <c r="CM452" s="289"/>
      <c r="CN452" s="289"/>
      <c r="CO452" s="289"/>
      <c r="CP452" s="289"/>
      <c r="CQ452" s="289"/>
      <c r="CR452" s="289"/>
      <c r="CS452" s="289"/>
      <c r="CT452" s="289"/>
      <c r="CU452" s="289"/>
      <c r="CV452" s="289"/>
      <c r="CW452" s="289"/>
      <c r="CX452" s="289"/>
      <c r="CY452" s="289"/>
      <c r="CZ452" s="289"/>
      <c r="DA452" s="289"/>
      <c r="DB452" s="289"/>
      <c r="DC452" s="289"/>
      <c r="DD452" s="289"/>
      <c r="DE452" s="289"/>
      <c r="DF452" s="289"/>
      <c r="DG452" s="289"/>
      <c r="DH452" s="1326"/>
      <c r="DI452" s="289"/>
      <c r="DJ452" s="289"/>
      <c r="DK452" s="1326"/>
      <c r="DL452" s="289"/>
      <c r="DM452" s="289"/>
      <c r="DN452" s="1326"/>
      <c r="DO452" s="289"/>
      <c r="DP452" s="289"/>
      <c r="DQ452" s="1326"/>
      <c r="DR452" s="289"/>
      <c r="DS452" s="289"/>
      <c r="DT452" s="1326"/>
      <c r="DU452" s="289"/>
      <c r="DV452" s="289"/>
      <c r="DW452" s="1326"/>
      <c r="DX452" s="289"/>
      <c r="DY452" s="289"/>
      <c r="DZ452" s="1326"/>
      <c r="EA452" s="289"/>
      <c r="EB452" s="289"/>
      <c r="EC452" s="1326"/>
      <c r="ED452" s="289"/>
      <c r="EE452" s="289"/>
      <c r="EF452" s="1326"/>
      <c r="EG452" s="289"/>
      <c r="EH452" s="289"/>
      <c r="EI452" s="1326"/>
      <c r="EJ452" s="289"/>
      <c r="EK452" s="289"/>
      <c r="EL452" s="1326"/>
      <c r="EM452" s="289"/>
      <c r="EN452" s="289"/>
      <c r="EO452" s="1326"/>
      <c r="EP452" s="289"/>
      <c r="EQ452" s="289"/>
      <c r="ER452" s="1326"/>
      <c r="ES452" s="289"/>
      <c r="ET452" s="289"/>
      <c r="EU452" s="1326"/>
      <c r="EV452" s="289"/>
      <c r="EW452" s="289"/>
      <c r="EX452" s="1326"/>
      <c r="EY452" s="289"/>
      <c r="EZ452" s="289"/>
      <c r="FA452" s="1326"/>
      <c r="FE452"/>
      <c r="FF452"/>
      <c r="FG452"/>
      <c r="FH452"/>
      <c r="FI452"/>
      <c r="FJ452"/>
      <c r="FK452" s="35"/>
    </row>
    <row r="453" spans="1:167" s="450" customFormat="1" ht="13.35" customHeight="1" collapsed="1">
      <c r="A453" s="453" t="s">
        <v>178</v>
      </c>
      <c r="B453" s="449"/>
      <c r="C453" s="454" t="s">
        <v>933</v>
      </c>
      <c r="D453" s="455"/>
      <c r="E453" s="455" t="str">
        <f t="shared" ref="E453:AJ453" si="1238">E4</f>
        <v>1h85</v>
      </c>
      <c r="F453" s="455" t="str">
        <f t="shared" si="1238"/>
        <v>2h85</v>
      </c>
      <c r="G453" s="455" t="str">
        <f t="shared" si="1238"/>
        <v>1985</v>
      </c>
      <c r="H453" s="455" t="str">
        <f t="shared" si="1238"/>
        <v>1h86</v>
      </c>
      <c r="I453" s="455" t="str">
        <f t="shared" si="1238"/>
        <v>2h86</v>
      </c>
      <c r="J453" s="455" t="str">
        <f t="shared" si="1238"/>
        <v>1986</v>
      </c>
      <c r="K453" s="455" t="str">
        <f t="shared" si="1238"/>
        <v>1h87</v>
      </c>
      <c r="L453" s="455" t="str">
        <f t="shared" si="1238"/>
        <v>2h87</v>
      </c>
      <c r="M453" s="455" t="str">
        <f t="shared" si="1238"/>
        <v>1987</v>
      </c>
      <c r="N453" s="455" t="str">
        <f t="shared" si="1238"/>
        <v>1h88</v>
      </c>
      <c r="O453" s="455" t="str">
        <f t="shared" si="1238"/>
        <v>2h88</v>
      </c>
      <c r="P453" s="455" t="str">
        <f t="shared" si="1238"/>
        <v>1988</v>
      </c>
      <c r="Q453" s="455" t="str">
        <f t="shared" si="1238"/>
        <v>1h89</v>
      </c>
      <c r="R453" s="455" t="str">
        <f t="shared" si="1238"/>
        <v>2h89</v>
      </c>
      <c r="S453" s="455" t="str">
        <f t="shared" si="1238"/>
        <v>1989</v>
      </c>
      <c r="T453" s="455" t="str">
        <f t="shared" si="1238"/>
        <v>1h90</v>
      </c>
      <c r="U453" s="455" t="str">
        <f t="shared" si="1238"/>
        <v>2h90</v>
      </c>
      <c r="V453" s="455" t="str">
        <f t="shared" si="1238"/>
        <v>1990</v>
      </c>
      <c r="W453" s="455" t="str">
        <f t="shared" si="1238"/>
        <v>1h91</v>
      </c>
      <c r="X453" s="455" t="str">
        <f t="shared" si="1238"/>
        <v>2h91</v>
      </c>
      <c r="Y453" s="455" t="str">
        <f t="shared" si="1238"/>
        <v>1991</v>
      </c>
      <c r="Z453" s="455" t="str">
        <f t="shared" si="1238"/>
        <v>1h92</v>
      </c>
      <c r="AA453" s="455" t="str">
        <f t="shared" si="1238"/>
        <v>2h92</v>
      </c>
      <c r="AB453" s="455" t="str">
        <f t="shared" si="1238"/>
        <v>1992</v>
      </c>
      <c r="AC453" s="455" t="str">
        <f t="shared" si="1238"/>
        <v>1h93</v>
      </c>
      <c r="AD453" s="455" t="str">
        <f t="shared" si="1238"/>
        <v>2h93</v>
      </c>
      <c r="AE453" s="455" t="str">
        <f t="shared" si="1238"/>
        <v>1993</v>
      </c>
      <c r="AF453" s="455" t="str">
        <f t="shared" si="1238"/>
        <v>1h94</v>
      </c>
      <c r="AG453" s="455" t="str">
        <f t="shared" si="1238"/>
        <v>2h94</v>
      </c>
      <c r="AH453" s="455" t="str">
        <f t="shared" si="1238"/>
        <v>1994</v>
      </c>
      <c r="AI453" s="455" t="str">
        <f t="shared" si="1238"/>
        <v>1h95</v>
      </c>
      <c r="AJ453" s="455" t="str">
        <f t="shared" si="1238"/>
        <v>2h95</v>
      </c>
      <c r="AK453" s="455" t="str">
        <f t="shared" ref="AK453:BP453" si="1239">AK4</f>
        <v>1995</v>
      </c>
      <c r="AL453" s="455" t="str">
        <f t="shared" si="1239"/>
        <v>1h96</v>
      </c>
      <c r="AM453" s="455" t="str">
        <f t="shared" si="1239"/>
        <v>2h96</v>
      </c>
      <c r="AN453" s="455" t="str">
        <f t="shared" si="1239"/>
        <v>1996</v>
      </c>
      <c r="AO453" s="455" t="str">
        <f t="shared" si="1239"/>
        <v>1h97</v>
      </c>
      <c r="AP453" s="455" t="str">
        <f t="shared" si="1239"/>
        <v>2h97</v>
      </c>
      <c r="AQ453" s="455" t="str">
        <f t="shared" si="1239"/>
        <v>FY97</v>
      </c>
      <c r="AR453" s="455" t="str">
        <f t="shared" si="1239"/>
        <v>1H98</v>
      </c>
      <c r="AS453" s="455" t="str">
        <f t="shared" si="1239"/>
        <v>2H98</v>
      </c>
      <c r="AT453" s="455" t="str">
        <f t="shared" si="1239"/>
        <v>FY98</v>
      </c>
      <c r="AU453" s="455" t="str">
        <f t="shared" si="1239"/>
        <v>1H99</v>
      </c>
      <c r="AV453" s="455" t="str">
        <f t="shared" si="1239"/>
        <v>2H99</v>
      </c>
      <c r="AW453" s="455" t="str">
        <f t="shared" si="1239"/>
        <v>FY99</v>
      </c>
      <c r="AX453" s="455" t="str">
        <f t="shared" si="1239"/>
        <v>1H00</v>
      </c>
      <c r="AY453" s="455" t="str">
        <f t="shared" si="1239"/>
        <v>2H00</v>
      </c>
      <c r="AZ453" s="455" t="str">
        <f t="shared" si="1239"/>
        <v>FY00</v>
      </c>
      <c r="BA453" s="455" t="str">
        <f t="shared" si="1239"/>
        <v>1H01</v>
      </c>
      <c r="BB453" s="455" t="str">
        <f t="shared" si="1239"/>
        <v>2H01</v>
      </c>
      <c r="BC453" s="455" t="str">
        <f t="shared" si="1239"/>
        <v>FY01</v>
      </c>
      <c r="BD453" s="455" t="str">
        <f t="shared" si="1239"/>
        <v>1H02</v>
      </c>
      <c r="BE453" s="455" t="str">
        <f t="shared" si="1239"/>
        <v>2H02</v>
      </c>
      <c r="BF453" s="455" t="str">
        <f t="shared" si="1239"/>
        <v>FY02</v>
      </c>
      <c r="BG453" s="455" t="str">
        <f t="shared" si="1239"/>
        <v>1H03</v>
      </c>
      <c r="BH453" s="455" t="str">
        <f t="shared" si="1239"/>
        <v>2H03</v>
      </c>
      <c r="BI453" s="455" t="str">
        <f t="shared" si="1239"/>
        <v>FY03</v>
      </c>
      <c r="BJ453" s="455" t="str">
        <f t="shared" si="1239"/>
        <v>1H04</v>
      </c>
      <c r="BK453" s="455" t="str">
        <f t="shared" si="1239"/>
        <v>2H04</v>
      </c>
      <c r="BL453" s="455" t="str">
        <f t="shared" si="1239"/>
        <v>FY04</v>
      </c>
      <c r="BM453" s="455" t="str">
        <f t="shared" si="1239"/>
        <v>1H05</v>
      </c>
      <c r="BN453" s="455" t="str">
        <f t="shared" si="1239"/>
        <v>2H05</v>
      </c>
      <c r="BO453" s="455" t="str">
        <f t="shared" si="1239"/>
        <v>FY05</v>
      </c>
      <c r="BP453" s="455" t="str">
        <f t="shared" si="1239"/>
        <v>1H06</v>
      </c>
      <c r="BQ453" s="455" t="str">
        <f t="shared" ref="BQ453:CV453" si="1240">BQ4</f>
        <v>2H06</v>
      </c>
      <c r="BR453" s="455" t="str">
        <f t="shared" si="1240"/>
        <v>FY06</v>
      </c>
      <c r="BS453" s="455" t="str">
        <f t="shared" si="1240"/>
        <v>1H07</v>
      </c>
      <c r="BT453" s="455" t="str">
        <f t="shared" si="1240"/>
        <v>2H07</v>
      </c>
      <c r="BU453" s="455" t="str">
        <f t="shared" si="1240"/>
        <v>FY07</v>
      </c>
      <c r="BV453" s="455" t="str">
        <f t="shared" si="1240"/>
        <v>1H08</v>
      </c>
      <c r="BW453" s="455" t="str">
        <f t="shared" si="1240"/>
        <v>2H08</v>
      </c>
      <c r="BX453" s="455" t="str">
        <f t="shared" si="1240"/>
        <v>FY08</v>
      </c>
      <c r="BY453" s="455" t="str">
        <f t="shared" si="1240"/>
        <v>1H09</v>
      </c>
      <c r="BZ453" s="455" t="str">
        <f t="shared" si="1240"/>
        <v>2H09</v>
      </c>
      <c r="CA453" s="455" t="str">
        <f t="shared" si="1240"/>
        <v>FY09</v>
      </c>
      <c r="CB453" s="455" t="str">
        <f t="shared" si="1240"/>
        <v>1H10</v>
      </c>
      <c r="CC453" s="455" t="str">
        <f t="shared" si="1240"/>
        <v>2H10</v>
      </c>
      <c r="CD453" s="455" t="str">
        <f t="shared" si="1240"/>
        <v>FY10</v>
      </c>
      <c r="CE453" s="455" t="str">
        <f t="shared" si="1240"/>
        <v>1H11</v>
      </c>
      <c r="CF453" s="455" t="str">
        <f t="shared" si="1240"/>
        <v>2H11</v>
      </c>
      <c r="CG453" s="455" t="str">
        <f t="shared" si="1240"/>
        <v>FY11</v>
      </c>
      <c r="CH453" s="455" t="str">
        <f t="shared" si="1240"/>
        <v>1H12</v>
      </c>
      <c r="CI453" s="455" t="str">
        <f t="shared" si="1240"/>
        <v>2H12</v>
      </c>
      <c r="CJ453" s="455" t="str">
        <f t="shared" si="1240"/>
        <v>FY12</v>
      </c>
      <c r="CK453" s="455" t="str">
        <f t="shared" si="1240"/>
        <v>1H13</v>
      </c>
      <c r="CL453" s="455" t="str">
        <f t="shared" si="1240"/>
        <v>2H13</v>
      </c>
      <c r="CM453" s="455" t="str">
        <f t="shared" si="1240"/>
        <v>FY13</v>
      </c>
      <c r="CN453" s="455" t="str">
        <f t="shared" si="1240"/>
        <v>1H14</v>
      </c>
      <c r="CO453" s="455" t="str">
        <f t="shared" si="1240"/>
        <v>2H14</v>
      </c>
      <c r="CP453" s="455" t="str">
        <f t="shared" si="1240"/>
        <v>FY14</v>
      </c>
      <c r="CQ453" s="455" t="str">
        <f t="shared" si="1240"/>
        <v>1H15</v>
      </c>
      <c r="CR453" s="455" t="str">
        <f t="shared" si="1240"/>
        <v>2H15</v>
      </c>
      <c r="CS453" s="455" t="str">
        <f t="shared" si="1240"/>
        <v>FY15</v>
      </c>
      <c r="CT453" s="455" t="str">
        <f t="shared" si="1240"/>
        <v>1H16</v>
      </c>
      <c r="CU453" s="455" t="str">
        <f t="shared" si="1240"/>
        <v>2H16</v>
      </c>
      <c r="CV453" s="455" t="str">
        <f t="shared" si="1240"/>
        <v>FY16</v>
      </c>
      <c r="CW453" s="455" t="str">
        <f t="shared" ref="CW453:DW453" si="1241">CW4</f>
        <v>1H17</v>
      </c>
      <c r="CX453" s="455" t="str">
        <f t="shared" si="1241"/>
        <v>2H17</v>
      </c>
      <c r="CY453" s="455" t="str">
        <f t="shared" si="1241"/>
        <v>FY17</v>
      </c>
      <c r="CZ453" s="455" t="str">
        <f t="shared" si="1241"/>
        <v>1H18</v>
      </c>
      <c r="DA453" s="455" t="str">
        <f t="shared" si="1241"/>
        <v>2H18</v>
      </c>
      <c r="DB453" s="455" t="str">
        <f t="shared" si="1241"/>
        <v>FY18</v>
      </c>
      <c r="DC453" s="455" t="str">
        <f t="shared" si="1241"/>
        <v>1H19</v>
      </c>
      <c r="DD453" s="455" t="str">
        <f t="shared" si="1241"/>
        <v>2H19</v>
      </c>
      <c r="DE453" s="455" t="str">
        <f t="shared" si="1241"/>
        <v>FY19</v>
      </c>
      <c r="DF453" s="455" t="str">
        <f t="shared" si="1241"/>
        <v>1H20</v>
      </c>
      <c r="DG453" s="455" t="str">
        <f t="shared" si="1241"/>
        <v>2H20</v>
      </c>
      <c r="DH453" s="1243" t="str">
        <f t="shared" si="1241"/>
        <v>FY20</v>
      </c>
      <c r="DI453" s="455" t="str">
        <f t="shared" si="1241"/>
        <v>1H21</v>
      </c>
      <c r="DJ453" s="455" t="str">
        <f t="shared" si="1241"/>
        <v>2H21</v>
      </c>
      <c r="DK453" s="1243" t="str">
        <f t="shared" si="1241"/>
        <v>FY21</v>
      </c>
      <c r="DL453" s="455" t="str">
        <f t="shared" si="1241"/>
        <v>1H22</v>
      </c>
      <c r="DM453" s="455" t="str">
        <f t="shared" si="1241"/>
        <v>2H22</v>
      </c>
      <c r="DN453" s="1243" t="str">
        <f t="shared" si="1241"/>
        <v>FY22</v>
      </c>
      <c r="DO453" s="455" t="str">
        <f t="shared" si="1241"/>
        <v>1H23</v>
      </c>
      <c r="DP453" s="455" t="str">
        <f t="shared" si="1241"/>
        <v>2H23</v>
      </c>
      <c r="DQ453" s="1243" t="str">
        <f t="shared" si="1241"/>
        <v>FY23</v>
      </c>
      <c r="DR453" s="455" t="str">
        <f t="shared" si="1241"/>
        <v>1H24</v>
      </c>
      <c r="DS453" s="455" t="str">
        <f t="shared" si="1241"/>
        <v>2H24</v>
      </c>
      <c r="DT453" s="1243" t="str">
        <f t="shared" si="1241"/>
        <v>FY24</v>
      </c>
      <c r="DU453" s="455" t="str">
        <f t="shared" si="1241"/>
        <v>1H25</v>
      </c>
      <c r="DV453" s="455" t="str">
        <f t="shared" si="1241"/>
        <v>2H25</v>
      </c>
      <c r="DW453" s="1243" t="str">
        <f t="shared" si="1241"/>
        <v>FY25</v>
      </c>
      <c r="DX453" s="455" t="str">
        <f>DX4</f>
        <v>1H26</v>
      </c>
      <c r="DY453" s="455" t="str">
        <f>DY4</f>
        <v>2H26E</v>
      </c>
      <c r="DZ453" s="1243" t="str">
        <f>DZ4</f>
        <v>FY26E</v>
      </c>
      <c r="EA453" s="455" t="s">
        <v>1017</v>
      </c>
      <c r="EB453" s="455" t="s">
        <v>1018</v>
      </c>
      <c r="EC453" s="1243" t="s">
        <v>1019</v>
      </c>
      <c r="ED453" s="455" t="s">
        <v>1020</v>
      </c>
      <c r="EE453" s="455" t="s">
        <v>1021</v>
      </c>
      <c r="EF453" s="1243" t="s">
        <v>1022</v>
      </c>
      <c r="EG453" s="455" t="s">
        <v>1023</v>
      </c>
      <c r="EH453" s="455" t="s">
        <v>1024</v>
      </c>
      <c r="EI453" s="1243" t="s">
        <v>1025</v>
      </c>
      <c r="EJ453" s="455" t="s">
        <v>1026</v>
      </c>
      <c r="EK453" s="455" t="s">
        <v>1027</v>
      </c>
      <c r="EL453" s="1243" t="s">
        <v>1028</v>
      </c>
      <c r="EM453" s="455"/>
      <c r="EN453" s="455"/>
      <c r="EO453" s="1243"/>
      <c r="EP453" s="455"/>
      <c r="EQ453" s="455"/>
      <c r="ER453" s="1243"/>
      <c r="ES453" s="455"/>
      <c r="ET453" s="455"/>
      <c r="EU453" s="1243"/>
      <c r="EV453" s="455"/>
      <c r="EW453" s="455"/>
      <c r="EX453" s="1243"/>
      <c r="EY453" s="455"/>
      <c r="EZ453" s="455"/>
      <c r="FA453" s="1243"/>
      <c r="FE453"/>
      <c r="FF453"/>
      <c r="FG453"/>
      <c r="FH453"/>
      <c r="FI453"/>
      <c r="FJ453"/>
      <c r="FK453" s="35"/>
    </row>
    <row r="454" spans="1:167" s="236" customFormat="1" ht="13.35" customHeight="1">
      <c r="A454" s="289" t="s">
        <v>179</v>
      </c>
      <c r="B454" s="444"/>
      <c r="C454" s="806"/>
      <c r="D454" s="289"/>
      <c r="E454" s="822"/>
      <c r="F454" s="822"/>
      <c r="G454" s="289"/>
      <c r="H454" s="822"/>
      <c r="I454" s="822"/>
      <c r="J454" s="289"/>
      <c r="K454" s="822"/>
      <c r="L454" s="822"/>
      <c r="M454" s="289"/>
      <c r="N454" s="822"/>
      <c r="O454" s="822"/>
      <c r="P454" s="822"/>
      <c r="Q454" s="823"/>
      <c r="R454" s="823"/>
      <c r="S454" s="824"/>
      <c r="T454" s="823"/>
      <c r="U454" s="823"/>
      <c r="V454" s="811"/>
      <c r="W454" s="825"/>
      <c r="X454" s="825"/>
      <c r="Y454" s="811"/>
      <c r="Z454" s="825"/>
      <c r="AA454" s="825"/>
      <c r="AB454" s="811"/>
      <c r="AC454" s="825"/>
      <c r="AD454" s="825"/>
      <c r="AE454" s="811"/>
      <c r="AF454" s="825"/>
      <c r="AG454" s="825"/>
      <c r="AH454" s="811"/>
      <c r="AI454" s="825"/>
      <c r="AJ454" s="825"/>
      <c r="AK454" s="811"/>
      <c r="AL454" s="825"/>
      <c r="AM454" s="825"/>
      <c r="AN454" s="811"/>
      <c r="AO454" s="825"/>
      <c r="AP454" s="825"/>
      <c r="AQ454" s="811"/>
      <c r="AR454" s="825"/>
      <c r="AS454" s="825"/>
      <c r="AT454" s="811"/>
      <c r="AU454" s="822"/>
      <c r="AV454" s="822"/>
      <c r="AW454" s="289"/>
      <c r="AX454" s="822"/>
      <c r="AY454" s="822"/>
      <c r="AZ454" s="289"/>
      <c r="BA454" s="822"/>
      <c r="BB454" s="822"/>
      <c r="BC454" s="289"/>
      <c r="BD454" s="822"/>
      <c r="BE454" s="822"/>
      <c r="BF454" s="289"/>
      <c r="BG454" s="822"/>
      <c r="BH454" s="822"/>
      <c r="BI454" s="289"/>
      <c r="BJ454" s="822"/>
      <c r="BK454" s="822"/>
      <c r="BL454" s="289"/>
      <c r="BM454" s="822"/>
      <c r="BN454" s="822"/>
      <c r="BO454" s="289"/>
      <c r="BP454" s="822"/>
      <c r="BQ454" s="822"/>
      <c r="BR454" s="289"/>
      <c r="BS454" s="822"/>
      <c r="BT454" s="822"/>
      <c r="BU454" s="289"/>
      <c r="BV454" s="822"/>
      <c r="BW454" s="822"/>
      <c r="BX454" s="289"/>
      <c r="BY454" s="822"/>
      <c r="BZ454" s="822"/>
      <c r="CA454" s="289"/>
      <c r="CB454" s="822"/>
      <c r="CC454" s="822"/>
      <c r="CD454" s="289"/>
      <c r="CE454" s="822"/>
      <c r="CF454" s="822"/>
      <c r="CG454" s="289"/>
      <c r="CH454" s="822"/>
      <c r="CI454" s="822"/>
      <c r="CJ454" s="289"/>
      <c r="CK454" s="822"/>
      <c r="CL454" s="822"/>
      <c r="CM454" s="289"/>
      <c r="CN454" s="822"/>
      <c r="CO454" s="822"/>
      <c r="CP454" s="289"/>
      <c r="CQ454" s="822"/>
      <c r="CR454" s="822"/>
      <c r="CS454" s="289"/>
      <c r="CT454" s="822"/>
      <c r="CU454" s="822"/>
      <c r="CV454" s="289"/>
      <c r="CW454" s="822"/>
      <c r="CX454" s="822"/>
      <c r="CY454" s="289"/>
      <c r="CZ454" s="822"/>
      <c r="DA454" s="822"/>
      <c r="DB454" s="289"/>
      <c r="DC454" s="822"/>
      <c r="DD454" s="822"/>
      <c r="DE454" s="289"/>
      <c r="DF454" s="822"/>
      <c r="DG454" s="822"/>
      <c r="DH454" s="1326"/>
      <c r="DI454" s="822"/>
      <c r="DJ454" s="822"/>
      <c r="DK454" s="1326"/>
      <c r="DL454" s="822"/>
      <c r="DM454" s="822"/>
      <c r="DN454" s="1326"/>
      <c r="DO454" s="822"/>
      <c r="DP454" s="822"/>
      <c r="DQ454" s="1326"/>
      <c r="DR454" s="822"/>
      <c r="DS454" s="822"/>
      <c r="DT454" s="1326"/>
      <c r="DU454" s="822"/>
      <c r="DV454" s="822"/>
      <c r="DW454" s="1326"/>
      <c r="DX454" s="822"/>
      <c r="DY454" s="822"/>
      <c r="DZ454" s="1326"/>
      <c r="EA454" s="822"/>
      <c r="EB454" s="822"/>
      <c r="EC454" s="1326"/>
      <c r="ED454" s="822"/>
      <c r="EE454" s="822"/>
      <c r="EF454" s="1326"/>
      <c r="EG454" s="822"/>
      <c r="EH454" s="822"/>
      <c r="EI454" s="1326"/>
      <c r="EJ454" s="822"/>
      <c r="EK454" s="822"/>
      <c r="EL454" s="1326"/>
      <c r="EM454" s="822"/>
      <c r="EN454" s="822"/>
      <c r="EO454" s="1326"/>
      <c r="EP454" s="822"/>
      <c r="EQ454" s="822"/>
      <c r="ER454" s="1326"/>
      <c r="ES454" s="822"/>
      <c r="ET454" s="822"/>
      <c r="EU454" s="1326"/>
      <c r="EV454" s="822"/>
      <c r="EW454" s="822"/>
      <c r="EX454" s="1326"/>
      <c r="EY454" s="822"/>
      <c r="EZ454" s="822"/>
      <c r="FA454" s="1326"/>
      <c r="FE454"/>
      <c r="FF454"/>
      <c r="FG454"/>
      <c r="FH454"/>
      <c r="FI454"/>
      <c r="FJ454"/>
      <c r="FK454" s="35"/>
    </row>
    <row r="455" spans="1:167" s="501" customFormat="1" ht="13.35" customHeight="1">
      <c r="A455" s="826"/>
      <c r="B455" s="827" t="s">
        <v>298</v>
      </c>
      <c r="C455" s="308"/>
      <c r="D455" s="35"/>
      <c r="E455" s="828"/>
      <c r="F455" s="828"/>
      <c r="G455" s="35"/>
      <c r="H455" s="828"/>
      <c r="I455" s="828"/>
      <c r="J455" s="35"/>
      <c r="K455" s="828"/>
      <c r="L455" s="828"/>
      <c r="M455" s="35"/>
      <c r="N455" s="828"/>
      <c r="O455" s="828"/>
      <c r="P455" s="828"/>
      <c r="Q455" s="828"/>
      <c r="R455" s="828"/>
      <c r="S455" s="35"/>
      <c r="T455" s="828"/>
      <c r="U455" s="828"/>
      <c r="V455" s="35"/>
      <c r="W455" s="828"/>
      <c r="X455" s="828"/>
      <c r="Y455" s="35"/>
      <c r="Z455" s="828"/>
      <c r="AA455" s="828"/>
      <c r="AB455" s="35"/>
      <c r="AC455" s="828"/>
      <c r="AD455" s="828"/>
      <c r="AE455" s="35"/>
      <c r="AF455" s="828"/>
      <c r="AG455" s="828"/>
      <c r="AH455" s="35"/>
      <c r="AI455" s="828"/>
      <c r="AJ455" s="828"/>
      <c r="AK455" s="829"/>
      <c r="AL455" s="830"/>
      <c r="AM455" s="830"/>
      <c r="AN455" s="829"/>
      <c r="AO455" s="830"/>
      <c r="AP455" s="830"/>
      <c r="AQ455" s="829"/>
      <c r="AR455" s="830"/>
      <c r="AS455" s="830"/>
      <c r="AT455" s="829"/>
      <c r="AU455" s="830"/>
      <c r="AV455" s="830"/>
      <c r="AW455" s="171">
        <f>Assumptions!AW149</f>
        <v>0.36</v>
      </c>
      <c r="AX455" s="171">
        <f>Assumptions!AX149</f>
        <v>0.36</v>
      </c>
      <c r="AY455" s="171">
        <f>Assumptions!AY149</f>
        <v>0.36</v>
      </c>
      <c r="AZ455" s="171">
        <f>Assumptions!AZ149</f>
        <v>0.36</v>
      </c>
      <c r="BA455" s="171">
        <f>Assumptions!BA149</f>
        <v>0.36</v>
      </c>
      <c r="BB455" s="171">
        <f>Assumptions!BB149</f>
        <v>0.36</v>
      </c>
      <c r="BC455" s="171">
        <f>Assumptions!BC149</f>
        <v>0.36</v>
      </c>
      <c r="BD455" s="171">
        <f>Assumptions!BD149</f>
        <v>0.3</v>
      </c>
      <c r="BE455" s="171">
        <f>Assumptions!BE149</f>
        <v>0.3</v>
      </c>
      <c r="BF455" s="171">
        <f>Assumptions!BF149</f>
        <v>0.3</v>
      </c>
      <c r="BG455" s="171">
        <f>Assumptions!BG149</f>
        <v>0.3</v>
      </c>
      <c r="BH455" s="171">
        <f>Assumptions!BH149</f>
        <v>0.3</v>
      </c>
      <c r="BI455" s="171">
        <f>Assumptions!BI149</f>
        <v>0.3</v>
      </c>
      <c r="BJ455" s="171">
        <f>Assumptions!BJ149</f>
        <v>0.3</v>
      </c>
      <c r="BK455" s="171">
        <f>Assumptions!BK149</f>
        <v>0.3</v>
      </c>
      <c r="BL455" s="171">
        <f>Assumptions!BL149</f>
        <v>0.3</v>
      </c>
      <c r="BM455" s="171">
        <f>Assumptions!BM149</f>
        <v>0.3</v>
      </c>
      <c r="BN455" s="171">
        <f>Assumptions!BN149</f>
        <v>0.3</v>
      </c>
      <c r="BO455" s="171">
        <f>Assumptions!BO149</f>
        <v>0.3</v>
      </c>
      <c r="BP455" s="171">
        <f>Assumptions!BP149</f>
        <v>0.3</v>
      </c>
      <c r="BQ455" s="171">
        <f>Assumptions!BQ149</f>
        <v>0.3</v>
      </c>
      <c r="BR455" s="171">
        <f>Assumptions!BR149</f>
        <v>0.3</v>
      </c>
      <c r="BS455" s="171">
        <f>Assumptions!BS149</f>
        <v>0.3</v>
      </c>
      <c r="BT455" s="171">
        <f>Assumptions!BT149</f>
        <v>0.3</v>
      </c>
      <c r="BU455" s="171">
        <f>Assumptions!BU149</f>
        <v>0.3</v>
      </c>
      <c r="BV455" s="171">
        <f>Assumptions!BV149</f>
        <v>0.3</v>
      </c>
      <c r="BW455" s="171">
        <f>Assumptions!BW149</f>
        <v>0.3</v>
      </c>
      <c r="BX455" s="171">
        <f>Assumptions!BX149</f>
        <v>0.3</v>
      </c>
      <c r="BY455" s="171">
        <f>Assumptions!BY149</f>
        <v>0.3</v>
      </c>
      <c r="BZ455" s="171">
        <f>Assumptions!BZ149</f>
        <v>0.3</v>
      </c>
      <c r="CA455" s="171">
        <f>Assumptions!CA149</f>
        <v>0.3</v>
      </c>
      <c r="CB455" s="171">
        <f>Assumptions!CB149</f>
        <v>0.27300000000000002</v>
      </c>
      <c r="CC455" s="171">
        <f>Assumptions!CC149</f>
        <v>0.27200000000000002</v>
      </c>
      <c r="CD455" s="171">
        <f>Assumptions!CD149</f>
        <v>0.26600000000000001</v>
      </c>
      <c r="CE455" s="171">
        <f>Assumptions!CE149</f>
        <v>0.27</v>
      </c>
      <c r="CF455" s="171">
        <f>Assumptions!CF149</f>
        <v>0.27</v>
      </c>
      <c r="CG455" s="171">
        <f>Assumptions!CG149</f>
        <v>0.27</v>
      </c>
      <c r="CH455" s="171">
        <f>Assumptions!CH149</f>
        <v>0.27</v>
      </c>
      <c r="CI455" s="171">
        <f>Assumptions!CI149</f>
        <v>0.27</v>
      </c>
      <c r="CJ455" s="171">
        <f>Assumptions!CJ149</f>
        <v>0.27</v>
      </c>
      <c r="CK455" s="171">
        <f>Assumptions!CK149</f>
        <v>0.27</v>
      </c>
      <c r="CL455" s="171">
        <f>Assumptions!CL149</f>
        <v>0.27</v>
      </c>
      <c r="CM455" s="171">
        <f>Assumptions!CM149</f>
        <v>0.27</v>
      </c>
      <c r="CN455" s="171">
        <f>Assumptions!CN149</f>
        <v>0.27</v>
      </c>
      <c r="CO455" s="171">
        <f>Assumptions!CO149</f>
        <v>0.27</v>
      </c>
      <c r="CP455" s="171">
        <f>Assumptions!CP149</f>
        <v>0.27</v>
      </c>
      <c r="CQ455" s="171">
        <f>Assumptions!CQ149</f>
        <v>0.27</v>
      </c>
      <c r="CR455" s="171">
        <f>Assumptions!CR149</f>
        <v>0.27</v>
      </c>
      <c r="CS455" s="171">
        <f>Assumptions!CS149</f>
        <v>0.27</v>
      </c>
      <c r="CT455" s="171">
        <f>Assumptions!CT149</f>
        <v>0.27</v>
      </c>
      <c r="CU455" s="171">
        <f>Assumptions!CU149</f>
        <v>0.27</v>
      </c>
      <c r="CV455" s="171">
        <f>Assumptions!CV149</f>
        <v>0.27</v>
      </c>
      <c r="CW455" s="171">
        <f>Assumptions!CW149</f>
        <v>0.27</v>
      </c>
      <c r="CX455" s="171">
        <f>Assumptions!CX149</f>
        <v>0.27</v>
      </c>
      <c r="CY455" s="171">
        <f>Assumptions!CY149</f>
        <v>0.27</v>
      </c>
      <c r="CZ455" s="171">
        <f>Assumptions!CZ149</f>
        <v>0.27</v>
      </c>
      <c r="DA455" s="171">
        <f>Assumptions!DA149</f>
        <v>0.27</v>
      </c>
      <c r="DB455" s="171">
        <f>Assumptions!DB149</f>
        <v>0.27812041116005876</v>
      </c>
      <c r="DC455" s="171">
        <f>Assumptions!DC149</f>
        <v>0.27812041116005876</v>
      </c>
      <c r="DD455" s="171">
        <f>Assumptions!DD149</f>
        <v>0.27812041116005876</v>
      </c>
      <c r="DE455" s="171">
        <f>Assumptions!DE149</f>
        <v>0.27812041116005876</v>
      </c>
      <c r="DF455" s="171">
        <f>Assumptions!DF149</f>
        <v>0.27812041116005876</v>
      </c>
      <c r="DG455" s="171">
        <f>Assumptions!DG149</f>
        <v>0.27812041116005876</v>
      </c>
      <c r="DH455" s="1068">
        <f>Assumptions!DH149</f>
        <v>0.27812041116005876</v>
      </c>
      <c r="DI455" s="171">
        <f>Assumptions!DI149</f>
        <v>0.27812041116005876</v>
      </c>
      <c r="DJ455" s="171">
        <f>Assumptions!DJ149</f>
        <v>0.27812041116005876</v>
      </c>
      <c r="DK455" s="1068">
        <f>Assumptions!DK149</f>
        <v>0.27812041116005876</v>
      </c>
      <c r="DL455" s="171">
        <f>Assumptions!DL149</f>
        <v>0.27812041116005876</v>
      </c>
      <c r="DM455" s="171">
        <f>Assumptions!DM149</f>
        <v>0.27812041116005876</v>
      </c>
      <c r="DN455" s="1068">
        <f>Assumptions!DN149</f>
        <v>0.27812041116005876</v>
      </c>
      <c r="DO455" s="171">
        <f>Assumptions!DO149</f>
        <v>0.27812041116005876</v>
      </c>
      <c r="DP455" s="171">
        <f>Assumptions!DP149</f>
        <v>0.27812041116005876</v>
      </c>
      <c r="DQ455" s="1068">
        <f>Assumptions!DQ149</f>
        <v>0.27812041116005876</v>
      </c>
      <c r="DR455" s="171">
        <f>Assumptions!DR149</f>
        <v>0.27812041116005876</v>
      </c>
      <c r="DS455" s="171">
        <f>Assumptions!DS149</f>
        <v>0.27812041116005876</v>
      </c>
      <c r="DT455" s="1068">
        <f>Assumptions!DT149</f>
        <v>0.27812041116005876</v>
      </c>
      <c r="DU455" s="171">
        <f>Assumptions!DU149</f>
        <v>0.27812041116005876</v>
      </c>
      <c r="DV455" s="171">
        <f>Assumptions!DV149</f>
        <v>0.27812041116005876</v>
      </c>
      <c r="DW455" s="1068">
        <f>Assumptions!DW149</f>
        <v>0.27812041116005876</v>
      </c>
      <c r="DX455" s="171">
        <f>Assumptions!DX149</f>
        <v>0.27812041116005876</v>
      </c>
      <c r="DY455" s="171">
        <f>Assumptions!DY149</f>
        <v>0.27812041116005876</v>
      </c>
      <c r="DZ455" s="1068">
        <f>Assumptions!DZ149</f>
        <v>0.27812041116005876</v>
      </c>
      <c r="EA455" s="171"/>
      <c r="EB455" s="171"/>
      <c r="EC455" s="1068">
        <f>Assumptions!EC149</f>
        <v>0.27812041116005876</v>
      </c>
      <c r="ED455" s="171"/>
      <c r="EE455" s="171"/>
      <c r="EF455" s="1068">
        <f>Assumptions!EF149</f>
        <v>0.27812041116005876</v>
      </c>
      <c r="EG455" s="171"/>
      <c r="EH455" s="171"/>
      <c r="EI455" s="1068"/>
      <c r="EJ455" s="171"/>
      <c r="EK455" s="171"/>
      <c r="EL455" s="1068"/>
      <c r="EM455" s="171"/>
      <c r="EN455" s="171"/>
      <c r="EO455" s="1068"/>
      <c r="EP455" s="171"/>
      <c r="EQ455" s="171"/>
      <c r="ER455" s="1068"/>
      <c r="ES455" s="171"/>
      <c r="ET455" s="171"/>
      <c r="EU455" s="1068"/>
      <c r="EV455" s="171"/>
      <c r="EW455" s="171"/>
      <c r="EX455" s="1068"/>
      <c r="EY455" s="171"/>
      <c r="EZ455" s="171"/>
      <c r="FA455" s="1068"/>
      <c r="FE455"/>
      <c r="FF455"/>
      <c r="FG455"/>
      <c r="FH455"/>
      <c r="FI455"/>
      <c r="FJ455"/>
      <c r="FK455" s="35"/>
    </row>
    <row r="456" spans="1:167" s="501" customFormat="1" ht="13.35" customHeight="1">
      <c r="A456" s="826"/>
      <c r="B456" s="827" t="s">
        <v>868</v>
      </c>
      <c r="C456" s="308"/>
      <c r="D456" s="35"/>
      <c r="E456" s="828"/>
      <c r="F456" s="828"/>
      <c r="G456" s="35"/>
      <c r="H456" s="828"/>
      <c r="I456" s="828"/>
      <c r="J456" s="35"/>
      <c r="K456" s="828"/>
      <c r="L456" s="828"/>
      <c r="M456" s="35"/>
      <c r="N456" s="828"/>
      <c r="O456" s="828"/>
      <c r="P456" s="828"/>
      <c r="Q456" s="828"/>
      <c r="R456" s="828"/>
      <c r="S456" s="35"/>
      <c r="T456" s="828"/>
      <c r="U456" s="828"/>
      <c r="V456" s="35"/>
      <c r="W456" s="828"/>
      <c r="X456" s="828"/>
      <c r="Y456" s="35"/>
      <c r="Z456" s="828"/>
      <c r="AA456" s="828"/>
      <c r="AB456" s="35"/>
      <c r="AC456" s="828"/>
      <c r="AD456" s="828"/>
      <c r="AE456" s="35"/>
      <c r="AF456" s="828"/>
      <c r="AG456" s="828"/>
      <c r="AH456" s="35"/>
      <c r="AI456" s="828"/>
      <c r="AJ456" s="828"/>
      <c r="AK456" s="70"/>
      <c r="AL456" s="831"/>
      <c r="AM456" s="831"/>
      <c r="AN456" s="70"/>
      <c r="AO456" s="831"/>
      <c r="AP456" s="831"/>
      <c r="AQ456" s="70"/>
      <c r="AR456" s="831"/>
      <c r="AS456" s="831"/>
      <c r="AT456" s="70"/>
      <c r="AU456" s="831"/>
      <c r="AV456" s="831"/>
      <c r="AW456" s="70"/>
      <c r="AX456" s="831">
        <f t="shared" ref="AX456:CC456" si="1242">AX57+AX62+AX70</f>
        <v>1.1399999999999999</v>
      </c>
      <c r="AY456" s="831">
        <f t="shared" si="1242"/>
        <v>1.5029999999999999</v>
      </c>
      <c r="AZ456" s="831">
        <f t="shared" si="1242"/>
        <v>2.6429999999999998</v>
      </c>
      <c r="BA456" s="831">
        <f t="shared" si="1242"/>
        <v>1.5920000000000001</v>
      </c>
      <c r="BB456" s="831">
        <f t="shared" si="1242"/>
        <v>1.9209999999999998</v>
      </c>
      <c r="BC456" s="831">
        <f t="shared" si="1242"/>
        <v>3.5129999999999999</v>
      </c>
      <c r="BD456" s="831">
        <f t="shared" si="1242"/>
        <v>2.3734999999999999</v>
      </c>
      <c r="BE456" s="831">
        <f t="shared" si="1242"/>
        <v>2.3734999999999999</v>
      </c>
      <c r="BF456" s="831">
        <f t="shared" si="1242"/>
        <v>4.7469999999999999</v>
      </c>
      <c r="BG456" s="831">
        <f t="shared" si="1242"/>
        <v>3.6579999999999999</v>
      </c>
      <c r="BH456" s="831">
        <f t="shared" si="1242"/>
        <v>4.0820000000000007</v>
      </c>
      <c r="BI456" s="831">
        <f t="shared" si="1242"/>
        <v>7.74</v>
      </c>
      <c r="BJ456" s="831">
        <f t="shared" si="1242"/>
        <v>3.6579999999999999</v>
      </c>
      <c r="BK456" s="831">
        <f t="shared" si="1242"/>
        <v>5.7940000000000005</v>
      </c>
      <c r="BL456" s="831">
        <f t="shared" si="1242"/>
        <v>9.452</v>
      </c>
      <c r="BM456" s="831">
        <f t="shared" si="1242"/>
        <v>4.9307999999999996</v>
      </c>
      <c r="BN456" s="831">
        <f t="shared" si="1242"/>
        <v>5.3792000000000009</v>
      </c>
      <c r="BO456" s="831">
        <f t="shared" si="1242"/>
        <v>10.31</v>
      </c>
      <c r="BP456" s="831">
        <f t="shared" si="1242"/>
        <v>4.9307999999999996</v>
      </c>
      <c r="BQ456" s="831">
        <f t="shared" si="1242"/>
        <v>11.1442</v>
      </c>
      <c r="BR456" s="831">
        <f t="shared" si="1242"/>
        <v>16.074999999999999</v>
      </c>
      <c r="BS456" s="831">
        <f t="shared" si="1242"/>
        <v>5.2052799999999992</v>
      </c>
      <c r="BT456" s="831">
        <f t="shared" si="1242"/>
        <v>12.11372000000002</v>
      </c>
      <c r="BU456" s="831">
        <f t="shared" si="1242"/>
        <v>17.31900000000002</v>
      </c>
      <c r="BV456" s="831">
        <f t="shared" si="1242"/>
        <v>5.7614399999999995</v>
      </c>
      <c r="BW456" s="831">
        <f t="shared" si="1242"/>
        <v>15.57056</v>
      </c>
      <c r="BX456" s="831">
        <f t="shared" si="1242"/>
        <v>21.332000000000001</v>
      </c>
      <c r="BY456" s="831">
        <f t="shared" si="1242"/>
        <v>5.992</v>
      </c>
      <c r="BZ456" s="831">
        <f t="shared" si="1242"/>
        <v>16.251999999999999</v>
      </c>
      <c r="CA456" s="831">
        <f t="shared" si="1242"/>
        <v>22.244</v>
      </c>
      <c r="CB456" s="831">
        <f t="shared" si="1242"/>
        <v>8.4163999999999994</v>
      </c>
      <c r="CC456" s="831">
        <f t="shared" si="1242"/>
        <v>14.671600000000002</v>
      </c>
      <c r="CD456" s="831">
        <f t="shared" ref="CD456:DN456" si="1243">CD57+CD62+CD70</f>
        <v>23.088000000000001</v>
      </c>
      <c r="CE456" s="831">
        <f t="shared" si="1243"/>
        <v>13.21968</v>
      </c>
      <c r="CF456" s="831">
        <f t="shared" si="1243"/>
        <v>14.180320000000034</v>
      </c>
      <c r="CG456" s="831">
        <f t="shared" si="1243"/>
        <v>27.400000000000034</v>
      </c>
      <c r="CH456" s="831">
        <f t="shared" si="1243"/>
        <v>13.21968</v>
      </c>
      <c r="CI456" s="831">
        <f t="shared" si="1243"/>
        <v>10.881319999999999</v>
      </c>
      <c r="CJ456" s="831">
        <f t="shared" si="1243"/>
        <v>24.100999999999999</v>
      </c>
      <c r="CK456" s="831">
        <f t="shared" si="1243"/>
        <v>13.21968</v>
      </c>
      <c r="CL456" s="831">
        <f t="shared" si="1243"/>
        <v>10.881319999999999</v>
      </c>
      <c r="CM456" s="831">
        <f t="shared" si="1243"/>
        <v>24.100999999999999</v>
      </c>
      <c r="CN456" s="831">
        <f t="shared" si="1243"/>
        <v>14.332319999999999</v>
      </c>
      <c r="CO456" s="831">
        <f t="shared" si="1243"/>
        <v>9.7686799999999998</v>
      </c>
      <c r="CP456" s="831">
        <f t="shared" si="1243"/>
        <v>24.100999999999999</v>
      </c>
      <c r="CQ456" s="831">
        <f t="shared" si="1243"/>
        <v>15.1684</v>
      </c>
      <c r="CR456" s="831">
        <f t="shared" si="1243"/>
        <v>8.932599999999999</v>
      </c>
      <c r="CS456" s="831">
        <f t="shared" si="1243"/>
        <v>24.100999999999999</v>
      </c>
      <c r="CT456" s="831">
        <f t="shared" si="1243"/>
        <v>15.1684</v>
      </c>
      <c r="CU456" s="831">
        <f t="shared" si="1243"/>
        <v>8.932599999999999</v>
      </c>
      <c r="CV456" s="831">
        <f t="shared" si="1243"/>
        <v>24.100999999999999</v>
      </c>
      <c r="CW456" s="831">
        <f t="shared" si="1243"/>
        <v>15.1684</v>
      </c>
      <c r="CX456" s="831">
        <f t="shared" si="1243"/>
        <v>11.137320000000001</v>
      </c>
      <c r="CY456" s="831">
        <f t="shared" si="1243"/>
        <v>26.305720000000001</v>
      </c>
      <c r="CZ456" s="831">
        <f t="shared" si="1243"/>
        <v>15.5764</v>
      </c>
      <c r="DA456" s="831">
        <f t="shared" si="1243"/>
        <v>18.623600000000003</v>
      </c>
      <c r="DB456" s="831">
        <f t="shared" si="1243"/>
        <v>34.200000000000003</v>
      </c>
      <c r="DC456" s="831">
        <f t="shared" si="1243"/>
        <v>17.507649999999998</v>
      </c>
      <c r="DD456" s="831">
        <f t="shared" si="1243"/>
        <v>20.992350000000002</v>
      </c>
      <c r="DE456" s="831">
        <f t="shared" si="1243"/>
        <v>38.5</v>
      </c>
      <c r="DF456" s="831">
        <f t="shared" si="1243"/>
        <v>34.124067910447756</v>
      </c>
      <c r="DG456" s="831">
        <f t="shared" si="1243"/>
        <v>43.385455899076049</v>
      </c>
      <c r="DH456" s="1327">
        <f t="shared" si="1243"/>
        <v>77.509523809523813</v>
      </c>
      <c r="DI456" s="831">
        <f t="shared" si="1243"/>
        <v>38.680999999999997</v>
      </c>
      <c r="DJ456" s="831">
        <f t="shared" si="1243"/>
        <v>37.719000000000008</v>
      </c>
      <c r="DK456" s="1327">
        <f t="shared" si="1243"/>
        <v>76.400000000000006</v>
      </c>
      <c r="DL456" s="831">
        <f t="shared" si="1243"/>
        <v>40.6</v>
      </c>
      <c r="DM456" s="831">
        <f t="shared" si="1243"/>
        <v>32.4</v>
      </c>
      <c r="DN456" s="1327">
        <f t="shared" si="1243"/>
        <v>73</v>
      </c>
      <c r="DO456" s="831">
        <f t="shared" ref="DO456:DZ456" si="1244">DO57+DO62+DO70</f>
        <v>37.299999999999997</v>
      </c>
      <c r="DP456" s="831">
        <f t="shared" si="1244"/>
        <v>43.600000000000009</v>
      </c>
      <c r="DQ456" s="1327">
        <f t="shared" si="1244"/>
        <v>80.900000000000006</v>
      </c>
      <c r="DR456" s="831">
        <f t="shared" si="1244"/>
        <v>43.1</v>
      </c>
      <c r="DS456" s="831">
        <f t="shared" si="1244"/>
        <v>41.800000000000004</v>
      </c>
      <c r="DT456" s="1327">
        <f t="shared" si="1244"/>
        <v>84.9</v>
      </c>
      <c r="DU456" s="831">
        <f t="shared" si="1244"/>
        <v>43.8</v>
      </c>
      <c r="DV456" s="831">
        <f t="shared" si="1244"/>
        <v>46.600000000000009</v>
      </c>
      <c r="DW456" s="1327">
        <f t="shared" si="1244"/>
        <v>90.4</v>
      </c>
      <c r="DX456" s="831">
        <f t="shared" si="1244"/>
        <v>51.6</v>
      </c>
      <c r="DY456" s="831">
        <f t="shared" si="1244"/>
        <v>54.752867302086031</v>
      </c>
      <c r="DZ456" s="1327">
        <f t="shared" si="1244"/>
        <v>106.35286730208603</v>
      </c>
      <c r="EA456" s="831"/>
      <c r="EB456" s="831"/>
      <c r="EC456" s="1327"/>
      <c r="ED456" s="831"/>
      <c r="EE456" s="831"/>
      <c r="EF456" s="1327"/>
      <c r="EG456" s="831"/>
      <c r="EH456" s="831"/>
      <c r="EI456" s="1327"/>
      <c r="EJ456" s="831"/>
      <c r="EK456" s="831"/>
      <c r="EL456" s="1327"/>
      <c r="EM456" s="831"/>
      <c r="EN456" s="831"/>
      <c r="EO456" s="1327"/>
      <c r="EP456" s="831"/>
      <c r="EQ456" s="831"/>
      <c r="ER456" s="1327"/>
      <c r="ES456" s="831"/>
      <c r="ET456" s="831"/>
      <c r="EU456" s="1327"/>
      <c r="EV456" s="831"/>
      <c r="EW456" s="831"/>
      <c r="EX456" s="1327"/>
      <c r="EY456" s="831"/>
      <c r="EZ456" s="831"/>
      <c r="FA456" s="1327"/>
      <c r="FE456"/>
      <c r="FF456"/>
      <c r="FG456"/>
      <c r="FH456"/>
      <c r="FI456"/>
      <c r="FJ456"/>
      <c r="FK456" s="35"/>
    </row>
    <row r="457" spans="1:167" s="236" customFormat="1" ht="13.35" customHeight="1">
      <c r="A457" s="289" t="s">
        <v>389</v>
      </c>
      <c r="B457" s="401"/>
      <c r="C457" s="308"/>
      <c r="D457" s="35"/>
      <c r="E457" s="828"/>
      <c r="F457" s="828"/>
      <c r="G457" s="35"/>
      <c r="H457" s="828"/>
      <c r="I457" s="828"/>
      <c r="J457" s="35"/>
      <c r="K457" s="828"/>
      <c r="L457" s="828"/>
      <c r="M457" s="35"/>
      <c r="N457" s="828"/>
      <c r="O457" s="828"/>
      <c r="P457" s="828"/>
      <c r="Q457" s="828"/>
      <c r="R457" s="828"/>
      <c r="S457" s="35"/>
      <c r="T457" s="828"/>
      <c r="U457" s="828"/>
      <c r="V457" s="35"/>
      <c r="W457" s="828"/>
      <c r="X457" s="828"/>
      <c r="Y457" s="35"/>
      <c r="Z457" s="828"/>
      <c r="AA457" s="828"/>
      <c r="AB457" s="35"/>
      <c r="AC457" s="828"/>
      <c r="AD457" s="828"/>
      <c r="AE457" s="35"/>
      <c r="AF457" s="828"/>
      <c r="AG457" s="828"/>
      <c r="AH457" s="35"/>
      <c r="AI457" s="828"/>
      <c r="AJ457" s="828"/>
      <c r="AK457" s="829"/>
      <c r="AL457" s="830"/>
      <c r="AM457" s="830"/>
      <c r="AN457" s="829"/>
      <c r="AO457" s="830"/>
      <c r="AP457" s="830"/>
      <c r="AQ457" s="829"/>
      <c r="AR457" s="830"/>
      <c r="AS457" s="830"/>
      <c r="AT457" s="829"/>
      <c r="AU457" s="830"/>
      <c r="AV457" s="830"/>
      <c r="AW457" s="829"/>
      <c r="AX457" s="830"/>
      <c r="AY457" s="830"/>
      <c r="AZ457" s="829"/>
      <c r="BA457" s="830"/>
      <c r="BB457" s="830"/>
      <c r="BC457" s="829"/>
      <c r="BD457" s="830"/>
      <c r="BE457" s="830"/>
      <c r="BF457" s="829"/>
      <c r="BG457" s="829"/>
      <c r="BH457" s="829"/>
      <c r="BI457" s="829"/>
      <c r="BJ457" s="829"/>
      <c r="BK457" s="829"/>
      <c r="BL457" s="829"/>
      <c r="BM457" s="829"/>
      <c r="BN457" s="829"/>
      <c r="BO457" s="829"/>
      <c r="BP457" s="829"/>
      <c r="BQ457" s="829"/>
      <c r="BR457" s="829"/>
      <c r="BS457" s="829"/>
      <c r="BT457" s="829"/>
      <c r="BU457" s="829"/>
      <c r="BV457" s="829"/>
      <c r="BW457" s="829"/>
      <c r="BX457" s="829"/>
      <c r="BY457" s="829"/>
      <c r="BZ457" s="829"/>
      <c r="CA457" s="829"/>
      <c r="CB457" s="829"/>
      <c r="CC457" s="829"/>
      <c r="CD457" s="829"/>
      <c r="CE457" s="829"/>
      <c r="CF457" s="829"/>
      <c r="CG457" s="829"/>
      <c r="CH457" s="829"/>
      <c r="CI457" s="829"/>
      <c r="CJ457" s="829"/>
      <c r="CK457" s="829"/>
      <c r="CL457" s="829"/>
      <c r="CM457" s="829"/>
      <c r="CN457" s="829"/>
      <c r="CO457" s="829"/>
      <c r="CP457" s="829"/>
      <c r="CQ457" s="829"/>
      <c r="CR457" s="829"/>
      <c r="CS457" s="829"/>
      <c r="CT457" s="829"/>
      <c r="CU457" s="829"/>
      <c r="CV457" s="829"/>
      <c r="CW457" s="829"/>
      <c r="CX457" s="829"/>
      <c r="CY457" s="829"/>
      <c r="CZ457" s="829"/>
      <c r="DA457" s="829"/>
      <c r="DB457" s="829"/>
      <c r="DC457" s="829"/>
      <c r="DD457" s="829"/>
      <c r="DE457" s="829"/>
      <c r="DF457" s="829"/>
      <c r="DG457" s="829"/>
      <c r="DH457" s="1328"/>
      <c r="DI457" s="829"/>
      <c r="DJ457" s="829"/>
      <c r="DK457" s="1328"/>
      <c r="DL457" s="829"/>
      <c r="DM457" s="829"/>
      <c r="DN457" s="1328"/>
      <c r="DO457" s="829"/>
      <c r="DP457" s="829"/>
      <c r="DQ457" s="1328"/>
      <c r="DR457" s="829"/>
      <c r="DS457" s="829"/>
      <c r="DT457" s="1328"/>
      <c r="DU457" s="829"/>
      <c r="DV457" s="829"/>
      <c r="DW457" s="1328"/>
      <c r="DX457" s="829"/>
      <c r="DY457" s="829"/>
      <c r="DZ457" s="1328"/>
      <c r="EA457" s="829"/>
      <c r="EB457" s="829"/>
      <c r="EC457" s="1328"/>
      <c r="ED457" s="829"/>
      <c r="EE457" s="829"/>
      <c r="EF457" s="1328"/>
      <c r="EG457" s="829"/>
      <c r="EH457" s="829"/>
      <c r="EI457" s="1328"/>
      <c r="EJ457" s="829"/>
      <c r="EK457" s="829"/>
      <c r="EL457" s="1328"/>
      <c r="EM457" s="829"/>
      <c r="EN457" s="829"/>
      <c r="EO457" s="1328"/>
      <c r="EP457" s="829"/>
      <c r="EQ457" s="829"/>
      <c r="ER457" s="1328"/>
      <c r="ES457" s="829"/>
      <c r="ET457" s="829"/>
      <c r="EU457" s="1328"/>
      <c r="EV457" s="829"/>
      <c r="EW457" s="829"/>
      <c r="EX457" s="1328"/>
      <c r="EY457" s="829"/>
      <c r="EZ457" s="829"/>
      <c r="FA457" s="1328"/>
      <c r="FE457"/>
      <c r="FF457"/>
      <c r="FG457"/>
      <c r="FH457"/>
      <c r="FI457"/>
      <c r="FJ457"/>
      <c r="FK457" s="35"/>
    </row>
    <row r="458" spans="1:167" s="501" customFormat="1" ht="13.35" customHeight="1">
      <c r="A458" s="826"/>
      <c r="B458" s="827"/>
      <c r="C458" s="308"/>
      <c r="D458" s="35"/>
      <c r="E458" s="828"/>
      <c r="F458" s="828"/>
      <c r="G458" s="829"/>
      <c r="H458" s="829"/>
      <c r="I458" s="829"/>
      <c r="J458" s="829"/>
      <c r="K458" s="829"/>
      <c r="L458" s="829"/>
      <c r="M458" s="829"/>
      <c r="N458" s="829"/>
      <c r="O458" s="829"/>
      <c r="P458" s="829"/>
      <c r="Q458" s="829"/>
      <c r="R458" s="829"/>
      <c r="S458" s="829"/>
      <c r="T458" s="829"/>
      <c r="U458" s="829"/>
      <c r="V458" s="829"/>
      <c r="W458" s="829"/>
      <c r="X458" s="829"/>
      <c r="Y458" s="829"/>
      <c r="Z458" s="829"/>
      <c r="AA458" s="829"/>
      <c r="AB458" s="829"/>
      <c r="AC458" s="829"/>
      <c r="AD458" s="829"/>
      <c r="AE458" s="829"/>
      <c r="AF458" s="829"/>
      <c r="AG458" s="829"/>
      <c r="AH458" s="829"/>
      <c r="AI458" s="829"/>
      <c r="AJ458" s="829"/>
      <c r="AK458" s="829"/>
      <c r="AL458" s="829"/>
      <c r="AM458" s="829"/>
      <c r="AN458" s="829"/>
      <c r="AO458" s="829"/>
      <c r="AP458" s="829"/>
      <c r="AQ458" s="829"/>
      <c r="AR458" s="829"/>
      <c r="AS458" s="829"/>
      <c r="AT458" s="829"/>
      <c r="AU458" s="829"/>
      <c r="AV458" s="829"/>
      <c r="AW458" s="829"/>
      <c r="AX458" s="829"/>
      <c r="AY458" s="829"/>
      <c r="AZ458" s="829"/>
      <c r="BA458" s="829"/>
      <c r="BB458" s="829"/>
      <c r="BC458" s="829"/>
      <c r="BD458" s="829"/>
      <c r="BE458" s="829"/>
      <c r="BF458" s="829"/>
      <c r="BG458" s="829"/>
      <c r="BH458" s="829"/>
      <c r="BI458" s="829"/>
      <c r="BJ458" s="829"/>
      <c r="BK458" s="829"/>
      <c r="BL458" s="829"/>
      <c r="BM458" s="829"/>
      <c r="BN458" s="829"/>
      <c r="BO458" s="829"/>
      <c r="BP458" s="829"/>
      <c r="BQ458" s="829"/>
      <c r="BR458" s="829"/>
      <c r="BS458" s="829"/>
      <c r="BT458" s="829"/>
      <c r="BU458" s="829"/>
      <c r="BV458" s="829"/>
      <c r="BW458" s="829"/>
      <c r="BX458" s="829"/>
      <c r="BY458" s="829"/>
      <c r="BZ458" s="829"/>
      <c r="CA458" s="829"/>
      <c r="CB458" s="829"/>
      <c r="CC458" s="829"/>
      <c r="CD458" s="829"/>
      <c r="CE458" s="829"/>
      <c r="CF458" s="829"/>
      <c r="CG458" s="829"/>
      <c r="CH458" s="829"/>
      <c r="CI458" s="829"/>
      <c r="CJ458" s="829"/>
      <c r="CK458" s="829"/>
      <c r="CL458" s="829"/>
      <c r="CM458" s="829"/>
      <c r="CN458" s="829"/>
      <c r="CO458" s="829"/>
      <c r="CP458" s="829"/>
      <c r="CQ458" s="829"/>
      <c r="CR458" s="829"/>
      <c r="CS458" s="829"/>
      <c r="CT458" s="829"/>
      <c r="CU458" s="829"/>
      <c r="CV458" s="829"/>
      <c r="CW458" s="829"/>
      <c r="CX458" s="829"/>
      <c r="CY458" s="829"/>
      <c r="CZ458" s="829"/>
      <c r="DA458" s="829"/>
      <c r="DB458" s="829"/>
      <c r="DC458" s="829"/>
      <c r="DD458" s="829"/>
      <c r="DE458" s="829"/>
      <c r="DF458" s="829"/>
      <c r="DG458" s="829"/>
      <c r="DH458" s="1328"/>
      <c r="DI458" s="829"/>
      <c r="DJ458" s="829"/>
      <c r="DK458" s="1328"/>
      <c r="DL458" s="829"/>
      <c r="DM458" s="829"/>
      <c r="DN458" s="1328"/>
      <c r="DO458" s="829"/>
      <c r="DP458" s="829"/>
      <c r="DQ458" s="1328"/>
      <c r="DR458" s="829"/>
      <c r="DS458" s="829"/>
      <c r="DT458" s="1328"/>
      <c r="DU458" s="829"/>
      <c r="DV458" s="829"/>
      <c r="DW458" s="1328"/>
      <c r="DX458" s="829"/>
      <c r="DY458" s="829"/>
      <c r="DZ458" s="1328"/>
      <c r="EA458" s="829"/>
      <c r="EB458" s="829"/>
      <c r="EC458" s="1328"/>
      <c r="ED458" s="829"/>
      <c r="EE458" s="829"/>
      <c r="EF458" s="1328"/>
      <c r="EG458" s="829"/>
      <c r="EH458" s="829"/>
      <c r="EI458" s="1328"/>
      <c r="EJ458" s="829"/>
      <c r="EK458" s="829"/>
      <c r="EL458" s="1328"/>
      <c r="EM458" s="829"/>
      <c r="EN458" s="829"/>
      <c r="EO458" s="1328"/>
      <c r="EP458" s="829"/>
      <c r="EQ458" s="829"/>
      <c r="ER458" s="1328"/>
      <c r="ES458" s="829"/>
      <c r="ET458" s="829"/>
      <c r="EU458" s="1328"/>
      <c r="EV458" s="829"/>
      <c r="EW458" s="829"/>
      <c r="EX458" s="1328"/>
      <c r="EY458" s="829"/>
      <c r="EZ458" s="829"/>
      <c r="FA458" s="1328"/>
      <c r="FE458"/>
      <c r="FF458"/>
      <c r="FG458"/>
      <c r="FH458"/>
      <c r="FI458"/>
      <c r="FJ458"/>
      <c r="FK458" s="35"/>
    </row>
    <row r="459" spans="1:167" s="236" customFormat="1" ht="13.35" customHeight="1">
      <c r="A459" s="289"/>
      <c r="B459" s="401" t="s">
        <v>390</v>
      </c>
      <c r="C459" s="308"/>
      <c r="D459" s="35"/>
      <c r="E459" s="828"/>
      <c r="F459" s="828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35"/>
      <c r="AG459" s="35"/>
      <c r="AH459" s="35"/>
      <c r="AI459" s="35"/>
      <c r="AJ459" s="35"/>
      <c r="AK459" s="35"/>
      <c r="AL459" s="35"/>
      <c r="AM459" s="35"/>
      <c r="AN459" s="35"/>
      <c r="AO459" s="35"/>
      <c r="AP459" s="35"/>
      <c r="AQ459" s="35"/>
      <c r="AR459" s="35"/>
      <c r="AS459" s="35"/>
      <c r="AT459" s="35"/>
      <c r="AU459" s="35"/>
      <c r="AV459" s="35"/>
      <c r="AW459" s="35"/>
      <c r="AX459" s="35"/>
      <c r="AY459" s="35"/>
      <c r="AZ459" s="35"/>
      <c r="BA459" s="35"/>
      <c r="BB459" s="35"/>
      <c r="BC459" s="35"/>
      <c r="BD459" s="35"/>
      <c r="BE459" s="35"/>
      <c r="BF459" s="35"/>
      <c r="BG459" s="35"/>
      <c r="BH459" s="35"/>
      <c r="BI459" s="35"/>
      <c r="BJ459" s="35"/>
      <c r="BK459" s="35"/>
      <c r="BL459" s="35"/>
      <c r="BM459" s="35"/>
      <c r="BN459" s="35"/>
      <c r="BO459" s="35"/>
      <c r="BP459" s="35"/>
      <c r="BQ459" s="35"/>
      <c r="BR459" s="35"/>
      <c r="BS459" s="35"/>
      <c r="BT459" s="35"/>
      <c r="BU459" s="35"/>
      <c r="BV459" s="35"/>
      <c r="BW459" s="35"/>
      <c r="BX459" s="35"/>
      <c r="BY459" s="35"/>
      <c r="BZ459" s="35"/>
      <c r="CA459" s="35"/>
      <c r="CB459" s="35"/>
      <c r="CC459" s="35"/>
      <c r="CD459" s="35"/>
      <c r="CE459" s="35"/>
      <c r="CF459" s="35"/>
      <c r="CG459" s="35"/>
      <c r="CH459" s="35"/>
      <c r="CI459" s="35"/>
      <c r="CJ459" s="35"/>
      <c r="CK459" s="35"/>
      <c r="CL459" s="35"/>
      <c r="CM459" s="35"/>
      <c r="CN459" s="35"/>
      <c r="CO459" s="35"/>
      <c r="CP459" s="35"/>
      <c r="CQ459" s="35"/>
      <c r="CR459" s="35"/>
      <c r="CS459" s="35"/>
      <c r="CT459" s="35"/>
      <c r="CU459" s="35"/>
      <c r="CV459" s="35"/>
      <c r="CW459" s="35"/>
      <c r="CX459" s="35"/>
      <c r="CY459" s="35"/>
      <c r="CZ459" s="35"/>
      <c r="DA459" s="35"/>
      <c r="DB459" s="35"/>
      <c r="DC459" s="35"/>
      <c r="DD459" s="35"/>
      <c r="DE459" s="35"/>
      <c r="DF459" s="35"/>
      <c r="DG459" s="35"/>
      <c r="DH459" s="1067"/>
      <c r="DI459" s="35"/>
      <c r="DJ459" s="35"/>
      <c r="DK459" s="1067"/>
      <c r="DL459" s="35"/>
      <c r="DM459" s="35"/>
      <c r="DN459" s="1067"/>
      <c r="DO459" s="35"/>
      <c r="DP459" s="35"/>
      <c r="DQ459" s="1067"/>
      <c r="DR459" s="35"/>
      <c r="DS459" s="35"/>
      <c r="DT459" s="1067"/>
      <c r="DU459" s="35"/>
      <c r="DV459" s="35"/>
      <c r="DW459" s="1067"/>
      <c r="DX459" s="35"/>
      <c r="DY459" s="35"/>
      <c r="DZ459" s="1067"/>
      <c r="EA459" s="35"/>
      <c r="EB459" s="35"/>
      <c r="EC459" s="1067"/>
      <c r="ED459" s="35"/>
      <c r="EE459" s="35"/>
      <c r="EF459" s="1067"/>
      <c r="EG459" s="35"/>
      <c r="EH459" s="35"/>
      <c r="EI459" s="1067"/>
      <c r="EJ459" s="35"/>
      <c r="EK459" s="35"/>
      <c r="EL459" s="1067"/>
      <c r="EM459" s="35"/>
      <c r="EN459" s="35"/>
      <c r="EO459" s="1067"/>
      <c r="EP459" s="35"/>
      <c r="EQ459" s="35"/>
      <c r="ER459" s="1067"/>
      <c r="ES459" s="35"/>
      <c r="ET459" s="35"/>
      <c r="EU459" s="1067"/>
      <c r="EV459" s="35"/>
      <c r="EW459" s="35"/>
      <c r="EX459" s="1067"/>
      <c r="EY459" s="35"/>
      <c r="EZ459" s="35"/>
      <c r="FA459" s="1067"/>
      <c r="FE459"/>
      <c r="FF459"/>
      <c r="FG459"/>
      <c r="FH459"/>
      <c r="FI459"/>
      <c r="FJ459"/>
      <c r="FK459" s="35"/>
    </row>
    <row r="460" spans="1:167" s="501" customFormat="1" ht="13.35" customHeight="1">
      <c r="A460" s="826"/>
      <c r="B460" s="827"/>
      <c r="C460" s="308"/>
      <c r="D460" s="35"/>
      <c r="E460" s="828"/>
      <c r="F460" s="828"/>
      <c r="G460" s="829">
        <f t="shared" ref="G460:AL460" si="1245">G70</f>
        <v>0</v>
      </c>
      <c r="H460" s="829">
        <f t="shared" si="1245"/>
        <v>0</v>
      </c>
      <c r="I460" s="829">
        <f t="shared" si="1245"/>
        <v>0</v>
      </c>
      <c r="J460" s="829">
        <f t="shared" si="1245"/>
        <v>0</v>
      </c>
      <c r="K460" s="829">
        <f t="shared" si="1245"/>
        <v>0</v>
      </c>
      <c r="L460" s="829">
        <f t="shared" si="1245"/>
        <v>0</v>
      </c>
      <c r="M460" s="829">
        <f t="shared" si="1245"/>
        <v>0</v>
      </c>
      <c r="N460" s="829">
        <f t="shared" si="1245"/>
        <v>0</v>
      </c>
      <c r="O460" s="829">
        <f t="shared" si="1245"/>
        <v>0</v>
      </c>
      <c r="P460" s="829">
        <f t="shared" si="1245"/>
        <v>0</v>
      </c>
      <c r="Q460" s="829">
        <f t="shared" si="1245"/>
        <v>0</v>
      </c>
      <c r="R460" s="829">
        <f t="shared" si="1245"/>
        <v>0</v>
      </c>
      <c r="S460" s="829">
        <f t="shared" si="1245"/>
        <v>0</v>
      </c>
      <c r="T460" s="829">
        <f t="shared" si="1245"/>
        <v>0</v>
      </c>
      <c r="U460" s="829">
        <f t="shared" si="1245"/>
        <v>0</v>
      </c>
      <c r="V460" s="829">
        <f t="shared" si="1245"/>
        <v>0</v>
      </c>
      <c r="W460" s="829">
        <f t="shared" si="1245"/>
        <v>0</v>
      </c>
      <c r="X460" s="829">
        <f t="shared" si="1245"/>
        <v>0</v>
      </c>
      <c r="Y460" s="829">
        <f t="shared" si="1245"/>
        <v>0</v>
      </c>
      <c r="Z460" s="829">
        <f t="shared" si="1245"/>
        <v>0</v>
      </c>
      <c r="AA460" s="829">
        <f t="shared" si="1245"/>
        <v>0</v>
      </c>
      <c r="AB460" s="829">
        <f t="shared" si="1245"/>
        <v>0</v>
      </c>
      <c r="AC460" s="829">
        <f t="shared" si="1245"/>
        <v>0</v>
      </c>
      <c r="AD460" s="829">
        <f t="shared" si="1245"/>
        <v>0</v>
      </c>
      <c r="AE460" s="829">
        <f t="shared" si="1245"/>
        <v>0</v>
      </c>
      <c r="AF460" s="829">
        <f t="shared" si="1245"/>
        <v>0</v>
      </c>
      <c r="AG460" s="829">
        <f t="shared" si="1245"/>
        <v>0</v>
      </c>
      <c r="AH460" s="829">
        <f t="shared" si="1245"/>
        <v>0</v>
      </c>
      <c r="AI460" s="829">
        <f t="shared" si="1245"/>
        <v>0</v>
      </c>
      <c r="AJ460" s="829">
        <f t="shared" si="1245"/>
        <v>0</v>
      </c>
      <c r="AK460" s="829">
        <f t="shared" si="1245"/>
        <v>0</v>
      </c>
      <c r="AL460" s="829">
        <f t="shared" si="1245"/>
        <v>0</v>
      </c>
      <c r="AM460" s="829">
        <f t="shared" ref="AM460:BR460" si="1246">AM70</f>
        <v>0</v>
      </c>
      <c r="AN460" s="829">
        <f t="shared" si="1246"/>
        <v>0</v>
      </c>
      <c r="AO460" s="829">
        <f t="shared" si="1246"/>
        <v>0</v>
      </c>
      <c r="AP460" s="829">
        <f t="shared" si="1246"/>
        <v>0</v>
      </c>
      <c r="AQ460" s="829">
        <f t="shared" si="1246"/>
        <v>0</v>
      </c>
      <c r="AR460" s="829">
        <f t="shared" si="1246"/>
        <v>0</v>
      </c>
      <c r="AS460" s="829">
        <f t="shared" si="1246"/>
        <v>0</v>
      </c>
      <c r="AT460" s="829">
        <f t="shared" si="1246"/>
        <v>0</v>
      </c>
      <c r="AU460" s="829">
        <f t="shared" si="1246"/>
        <v>0</v>
      </c>
      <c r="AV460" s="829">
        <f t="shared" si="1246"/>
        <v>0</v>
      </c>
      <c r="AW460" s="829">
        <f t="shared" si="1246"/>
        <v>0</v>
      </c>
      <c r="AX460" s="829">
        <f t="shared" si="1246"/>
        <v>0</v>
      </c>
      <c r="AY460" s="829">
        <f t="shared" si="1246"/>
        <v>0</v>
      </c>
      <c r="AZ460" s="829">
        <f t="shared" si="1246"/>
        <v>0</v>
      </c>
      <c r="BA460" s="829">
        <f t="shared" si="1246"/>
        <v>0</v>
      </c>
      <c r="BB460" s="829">
        <f t="shared" si="1246"/>
        <v>0</v>
      </c>
      <c r="BC460" s="829">
        <f t="shared" si="1246"/>
        <v>0</v>
      </c>
      <c r="BD460" s="829">
        <f t="shared" si="1246"/>
        <v>0</v>
      </c>
      <c r="BE460" s="829">
        <f t="shared" si="1246"/>
        <v>0</v>
      </c>
      <c r="BF460" s="829">
        <f t="shared" si="1246"/>
        <v>0</v>
      </c>
      <c r="BG460" s="829">
        <f t="shared" si="1246"/>
        <v>0</v>
      </c>
      <c r="BH460" s="829">
        <f t="shared" si="1246"/>
        <v>0</v>
      </c>
      <c r="BI460" s="829">
        <f t="shared" si="1246"/>
        <v>0</v>
      </c>
      <c r="BJ460" s="829">
        <f t="shared" si="1246"/>
        <v>0</v>
      </c>
      <c r="BK460" s="829">
        <f t="shared" si="1246"/>
        <v>0</v>
      </c>
      <c r="BL460" s="829">
        <f t="shared" si="1246"/>
        <v>0</v>
      </c>
      <c r="BM460" s="829">
        <f t="shared" si="1246"/>
        <v>0</v>
      </c>
      <c r="BN460" s="829">
        <f t="shared" si="1246"/>
        <v>0</v>
      </c>
      <c r="BO460" s="829">
        <f t="shared" si="1246"/>
        <v>0</v>
      </c>
      <c r="BP460" s="829">
        <f t="shared" si="1246"/>
        <v>0</v>
      </c>
      <c r="BQ460" s="829">
        <f t="shared" si="1246"/>
        <v>0</v>
      </c>
      <c r="BR460" s="829">
        <f t="shared" si="1246"/>
        <v>0</v>
      </c>
      <c r="BS460" s="829">
        <f t="shared" ref="BS460:CX460" si="1247">BS70</f>
        <v>0</v>
      </c>
      <c r="BT460" s="829">
        <f t="shared" si="1247"/>
        <v>0</v>
      </c>
      <c r="BU460" s="829">
        <f t="shared" si="1247"/>
        <v>0</v>
      </c>
      <c r="BV460" s="829">
        <f t="shared" si="1247"/>
        <v>0</v>
      </c>
      <c r="BW460" s="829">
        <f t="shared" si="1247"/>
        <v>0</v>
      </c>
      <c r="BX460" s="829">
        <f t="shared" si="1247"/>
        <v>0</v>
      </c>
      <c r="BY460" s="829">
        <f t="shared" si="1247"/>
        <v>0</v>
      </c>
      <c r="BZ460" s="829">
        <f t="shared" si="1247"/>
        <v>0</v>
      </c>
      <c r="CA460" s="829">
        <f t="shared" si="1247"/>
        <v>0</v>
      </c>
      <c r="CB460" s="829">
        <f t="shared" si="1247"/>
        <v>0</v>
      </c>
      <c r="CC460" s="829">
        <f t="shared" si="1247"/>
        <v>0</v>
      </c>
      <c r="CD460" s="829">
        <f t="shared" si="1247"/>
        <v>0</v>
      </c>
      <c r="CE460" s="829">
        <f t="shared" si="1247"/>
        <v>0</v>
      </c>
      <c r="CF460" s="829">
        <f t="shared" si="1247"/>
        <v>0</v>
      </c>
      <c r="CG460" s="829">
        <f t="shared" si="1247"/>
        <v>0</v>
      </c>
      <c r="CH460" s="829">
        <f t="shared" si="1247"/>
        <v>0</v>
      </c>
      <c r="CI460" s="829">
        <f t="shared" si="1247"/>
        <v>0</v>
      </c>
      <c r="CJ460" s="829">
        <f t="shared" si="1247"/>
        <v>0</v>
      </c>
      <c r="CK460" s="829">
        <f t="shared" si="1247"/>
        <v>0</v>
      </c>
      <c r="CL460" s="829">
        <f t="shared" si="1247"/>
        <v>0</v>
      </c>
      <c r="CM460" s="829">
        <f t="shared" si="1247"/>
        <v>0</v>
      </c>
      <c r="CN460" s="829">
        <f t="shared" si="1247"/>
        <v>0</v>
      </c>
      <c r="CO460" s="829">
        <f t="shared" si="1247"/>
        <v>0</v>
      </c>
      <c r="CP460" s="829">
        <f t="shared" si="1247"/>
        <v>0</v>
      </c>
      <c r="CQ460" s="829">
        <f t="shared" si="1247"/>
        <v>0</v>
      </c>
      <c r="CR460" s="829">
        <f t="shared" si="1247"/>
        <v>0</v>
      </c>
      <c r="CS460" s="829">
        <f t="shared" si="1247"/>
        <v>0</v>
      </c>
      <c r="CT460" s="829">
        <f t="shared" si="1247"/>
        <v>0</v>
      </c>
      <c r="CU460" s="829">
        <f t="shared" si="1247"/>
        <v>0</v>
      </c>
      <c r="CV460" s="829">
        <f t="shared" si="1247"/>
        <v>0</v>
      </c>
      <c r="CW460" s="829">
        <f t="shared" si="1247"/>
        <v>0</v>
      </c>
      <c r="CX460" s="829">
        <f t="shared" si="1247"/>
        <v>0</v>
      </c>
      <c r="CY460" s="829">
        <f t="shared" ref="CY460:DN460" si="1248">CY70</f>
        <v>0</v>
      </c>
      <c r="CZ460" s="829">
        <f t="shared" si="1248"/>
        <v>0</v>
      </c>
      <c r="DA460" s="829">
        <f t="shared" si="1248"/>
        <v>0</v>
      </c>
      <c r="DB460" s="829">
        <f t="shared" si="1248"/>
        <v>0</v>
      </c>
      <c r="DC460" s="829">
        <f t="shared" si="1248"/>
        <v>0</v>
      </c>
      <c r="DD460" s="829">
        <f t="shared" si="1248"/>
        <v>0</v>
      </c>
      <c r="DE460" s="829">
        <f t="shared" si="1248"/>
        <v>0</v>
      </c>
      <c r="DF460" s="829">
        <f t="shared" si="1248"/>
        <v>0</v>
      </c>
      <c r="DG460" s="829">
        <f t="shared" si="1248"/>
        <v>0</v>
      </c>
      <c r="DH460" s="1328">
        <f t="shared" si="1248"/>
        <v>0</v>
      </c>
      <c r="DI460" s="829">
        <f t="shared" si="1248"/>
        <v>0</v>
      </c>
      <c r="DJ460" s="829">
        <f t="shared" si="1248"/>
        <v>0</v>
      </c>
      <c r="DK460" s="1328">
        <f t="shared" si="1248"/>
        <v>0</v>
      </c>
      <c r="DL460" s="829">
        <f t="shared" si="1248"/>
        <v>0</v>
      </c>
      <c r="DM460" s="829">
        <f t="shared" si="1248"/>
        <v>0</v>
      </c>
      <c r="DN460" s="1328">
        <f t="shared" si="1248"/>
        <v>0</v>
      </c>
      <c r="DO460" s="829">
        <f t="shared" ref="DO460:DZ460" si="1249">DO70</f>
        <v>0</v>
      </c>
      <c r="DP460" s="829">
        <f t="shared" si="1249"/>
        <v>0</v>
      </c>
      <c r="DQ460" s="1328">
        <f t="shared" si="1249"/>
        <v>0</v>
      </c>
      <c r="DR460" s="829">
        <f t="shared" si="1249"/>
        <v>0</v>
      </c>
      <c r="DS460" s="829">
        <f t="shared" si="1249"/>
        <v>0</v>
      </c>
      <c r="DT460" s="1328">
        <f t="shared" si="1249"/>
        <v>0</v>
      </c>
      <c r="DU460" s="829">
        <f t="shared" si="1249"/>
        <v>0</v>
      </c>
      <c r="DV460" s="829">
        <f t="shared" si="1249"/>
        <v>0</v>
      </c>
      <c r="DW460" s="1328">
        <f t="shared" si="1249"/>
        <v>0</v>
      </c>
      <c r="DX460" s="829">
        <f t="shared" si="1249"/>
        <v>0</v>
      </c>
      <c r="DY460" s="829">
        <f t="shared" si="1249"/>
        <v>0</v>
      </c>
      <c r="DZ460" s="1328">
        <f t="shared" si="1249"/>
        <v>0</v>
      </c>
      <c r="EA460" s="829"/>
      <c r="EB460" s="829"/>
      <c r="EC460" s="1328"/>
      <c r="ED460" s="829"/>
      <c r="EE460" s="829"/>
      <c r="EF460" s="1328"/>
      <c r="EG460" s="829"/>
      <c r="EH460" s="829"/>
      <c r="EI460" s="1328"/>
      <c r="EJ460" s="829"/>
      <c r="EK460" s="829"/>
      <c r="EL460" s="1328"/>
      <c r="EM460" s="829"/>
      <c r="EN460" s="829"/>
      <c r="EO460" s="1328"/>
      <c r="EP460" s="829"/>
      <c r="EQ460" s="829"/>
      <c r="ER460" s="1328"/>
      <c r="ES460" s="829"/>
      <c r="ET460" s="829"/>
      <c r="EU460" s="1328"/>
      <c r="EV460" s="829"/>
      <c r="EW460" s="829"/>
      <c r="EX460" s="1328"/>
      <c r="EY460" s="829"/>
      <c r="EZ460" s="829"/>
      <c r="FA460" s="1328"/>
      <c r="FE460"/>
      <c r="FF460"/>
      <c r="FG460"/>
      <c r="FH460"/>
      <c r="FI460"/>
      <c r="FJ460"/>
      <c r="FK460" s="35"/>
    </row>
    <row r="461" spans="1:167" s="291" customFormat="1" ht="13.35" customHeight="1">
      <c r="A461" s="832"/>
      <c r="B461" s="833"/>
      <c r="C461" s="834"/>
      <c r="D461" s="70"/>
      <c r="E461" s="831"/>
      <c r="F461" s="831"/>
      <c r="G461" s="70">
        <f t="shared" ref="G461:AL461" si="1250">G63</f>
        <v>0</v>
      </c>
      <c r="H461" s="70">
        <f t="shared" si="1250"/>
        <v>0</v>
      </c>
      <c r="I461" s="70">
        <f t="shared" si="1250"/>
        <v>0</v>
      </c>
      <c r="J461" s="70">
        <f t="shared" si="1250"/>
        <v>0</v>
      </c>
      <c r="K461" s="70">
        <f t="shared" si="1250"/>
        <v>0</v>
      </c>
      <c r="L461" s="70">
        <f t="shared" si="1250"/>
        <v>0</v>
      </c>
      <c r="M461" s="70">
        <f t="shared" si="1250"/>
        <v>0</v>
      </c>
      <c r="N461" s="70">
        <f t="shared" si="1250"/>
        <v>0</v>
      </c>
      <c r="O461" s="70">
        <f t="shared" si="1250"/>
        <v>0</v>
      </c>
      <c r="P461" s="70">
        <f t="shared" si="1250"/>
        <v>0</v>
      </c>
      <c r="Q461" s="70">
        <f t="shared" si="1250"/>
        <v>0</v>
      </c>
      <c r="R461" s="70">
        <f t="shared" si="1250"/>
        <v>0</v>
      </c>
      <c r="S461" s="70">
        <f t="shared" si="1250"/>
        <v>0</v>
      </c>
      <c r="T461" s="70">
        <f t="shared" si="1250"/>
        <v>0</v>
      </c>
      <c r="U461" s="70">
        <f t="shared" si="1250"/>
        <v>0</v>
      </c>
      <c r="V461" s="70">
        <f t="shared" si="1250"/>
        <v>0</v>
      </c>
      <c r="W461" s="70">
        <f t="shared" si="1250"/>
        <v>0</v>
      </c>
      <c r="X461" s="70">
        <f t="shared" si="1250"/>
        <v>0</v>
      </c>
      <c r="Y461" s="70">
        <f t="shared" si="1250"/>
        <v>0</v>
      </c>
      <c r="Z461" s="70">
        <f t="shared" si="1250"/>
        <v>0</v>
      </c>
      <c r="AA461" s="70">
        <f t="shared" si="1250"/>
        <v>0</v>
      </c>
      <c r="AB461" s="70">
        <f t="shared" si="1250"/>
        <v>0</v>
      </c>
      <c r="AC461" s="70">
        <f t="shared" si="1250"/>
        <v>0</v>
      </c>
      <c r="AD461" s="70">
        <f t="shared" si="1250"/>
        <v>0</v>
      </c>
      <c r="AE461" s="70">
        <f t="shared" si="1250"/>
        <v>0</v>
      </c>
      <c r="AF461" s="70">
        <f t="shared" si="1250"/>
        <v>0</v>
      </c>
      <c r="AG461" s="70">
        <f t="shared" si="1250"/>
        <v>0</v>
      </c>
      <c r="AH461" s="70">
        <f t="shared" si="1250"/>
        <v>0</v>
      </c>
      <c r="AI461" s="70">
        <f t="shared" si="1250"/>
        <v>0</v>
      </c>
      <c r="AJ461" s="70">
        <f t="shared" si="1250"/>
        <v>0</v>
      </c>
      <c r="AK461" s="70">
        <f t="shared" si="1250"/>
        <v>0</v>
      </c>
      <c r="AL461" s="70">
        <f t="shared" si="1250"/>
        <v>0</v>
      </c>
      <c r="AM461" s="70">
        <f t="shared" ref="AM461:BL461" si="1251">AM63</f>
        <v>0</v>
      </c>
      <c r="AN461" s="70">
        <f t="shared" si="1251"/>
        <v>0</v>
      </c>
      <c r="AO461" s="70">
        <f t="shared" si="1251"/>
        <v>0</v>
      </c>
      <c r="AP461" s="70">
        <f t="shared" si="1251"/>
        <v>0</v>
      </c>
      <c r="AQ461" s="70">
        <f t="shared" si="1251"/>
        <v>0</v>
      </c>
      <c r="AR461" s="70">
        <f t="shared" si="1251"/>
        <v>0</v>
      </c>
      <c r="AS461" s="70">
        <f t="shared" si="1251"/>
        <v>0</v>
      </c>
      <c r="AT461" s="70">
        <f t="shared" si="1251"/>
        <v>0</v>
      </c>
      <c r="AU461" s="70">
        <f t="shared" si="1251"/>
        <v>0</v>
      </c>
      <c r="AV461" s="70">
        <f t="shared" si="1251"/>
        <v>0</v>
      </c>
      <c r="AW461" s="70">
        <f t="shared" si="1251"/>
        <v>0</v>
      </c>
      <c r="AX461" s="70">
        <f t="shared" si="1251"/>
        <v>0</v>
      </c>
      <c r="AY461" s="70">
        <f t="shared" si="1251"/>
        <v>0</v>
      </c>
      <c r="AZ461" s="70">
        <f t="shared" si="1251"/>
        <v>0</v>
      </c>
      <c r="BA461" s="70">
        <f t="shared" si="1251"/>
        <v>0</v>
      </c>
      <c r="BB461" s="70">
        <f t="shared" si="1251"/>
        <v>0</v>
      </c>
      <c r="BC461" s="70">
        <f t="shared" si="1251"/>
        <v>0</v>
      </c>
      <c r="BD461" s="70">
        <f t="shared" si="1251"/>
        <v>0</v>
      </c>
      <c r="BE461" s="70">
        <f t="shared" si="1251"/>
        <v>0</v>
      </c>
      <c r="BF461" s="70">
        <f t="shared" si="1251"/>
        <v>0</v>
      </c>
      <c r="BG461" s="70">
        <f t="shared" si="1251"/>
        <v>0</v>
      </c>
      <c r="BH461" s="70">
        <f t="shared" si="1251"/>
        <v>0</v>
      </c>
      <c r="BI461" s="70">
        <f t="shared" si="1251"/>
        <v>0</v>
      </c>
      <c r="BJ461" s="70">
        <f t="shared" si="1251"/>
        <v>0</v>
      </c>
      <c r="BK461" s="70">
        <f t="shared" si="1251"/>
        <v>0</v>
      </c>
      <c r="BL461" s="70">
        <f t="shared" si="1251"/>
        <v>0</v>
      </c>
      <c r="BM461" s="835">
        <v>0.375</v>
      </c>
      <c r="BN461" s="70">
        <f>BN63</f>
        <v>0</v>
      </c>
      <c r="BO461" s="70">
        <f>BO63</f>
        <v>0</v>
      </c>
      <c r="BP461" s="835">
        <v>-0.78200000000000003</v>
      </c>
      <c r="BQ461" s="70">
        <f>-BP461</f>
        <v>0.78200000000000003</v>
      </c>
      <c r="BR461" s="70">
        <f t="shared" ref="BR461:CW461" si="1252">BR63</f>
        <v>0</v>
      </c>
      <c r="BS461" s="70">
        <f t="shared" si="1252"/>
        <v>0</v>
      </c>
      <c r="BT461" s="70">
        <f t="shared" si="1252"/>
        <v>0</v>
      </c>
      <c r="BU461" s="70">
        <f t="shared" si="1252"/>
        <v>0</v>
      </c>
      <c r="BV461" s="70">
        <f t="shared" si="1252"/>
        <v>0</v>
      </c>
      <c r="BW461" s="70">
        <f t="shared" si="1252"/>
        <v>0</v>
      </c>
      <c r="BX461" s="70">
        <f t="shared" si="1252"/>
        <v>0</v>
      </c>
      <c r="BY461" s="70">
        <f t="shared" si="1252"/>
        <v>0</v>
      </c>
      <c r="BZ461" s="70">
        <f t="shared" si="1252"/>
        <v>0</v>
      </c>
      <c r="CA461" s="70">
        <f t="shared" si="1252"/>
        <v>0</v>
      </c>
      <c r="CB461" s="70">
        <f t="shared" si="1252"/>
        <v>0</v>
      </c>
      <c r="CC461" s="70">
        <f t="shared" si="1252"/>
        <v>0</v>
      </c>
      <c r="CD461" s="70">
        <f t="shared" si="1252"/>
        <v>0</v>
      </c>
      <c r="CE461" s="70">
        <f t="shared" si="1252"/>
        <v>0</v>
      </c>
      <c r="CF461" s="70">
        <f t="shared" si="1252"/>
        <v>0</v>
      </c>
      <c r="CG461" s="70">
        <f t="shared" si="1252"/>
        <v>0</v>
      </c>
      <c r="CH461" s="70">
        <f t="shared" si="1252"/>
        <v>0</v>
      </c>
      <c r="CI461" s="70">
        <f t="shared" si="1252"/>
        <v>0</v>
      </c>
      <c r="CJ461" s="70">
        <f t="shared" si="1252"/>
        <v>0</v>
      </c>
      <c r="CK461" s="70">
        <f t="shared" si="1252"/>
        <v>0</v>
      </c>
      <c r="CL461" s="70">
        <f t="shared" si="1252"/>
        <v>0</v>
      </c>
      <c r="CM461" s="70">
        <f t="shared" si="1252"/>
        <v>0</v>
      </c>
      <c r="CN461" s="70">
        <f t="shared" si="1252"/>
        <v>0</v>
      </c>
      <c r="CO461" s="70">
        <f t="shared" si="1252"/>
        <v>0</v>
      </c>
      <c r="CP461" s="70">
        <f t="shared" si="1252"/>
        <v>0</v>
      </c>
      <c r="CQ461" s="70">
        <f t="shared" si="1252"/>
        <v>0</v>
      </c>
      <c r="CR461" s="70">
        <f t="shared" si="1252"/>
        <v>0</v>
      </c>
      <c r="CS461" s="70">
        <f t="shared" si="1252"/>
        <v>0</v>
      </c>
      <c r="CT461" s="70">
        <f t="shared" si="1252"/>
        <v>0</v>
      </c>
      <c r="CU461" s="70">
        <f t="shared" si="1252"/>
        <v>0</v>
      </c>
      <c r="CV461" s="70">
        <f t="shared" si="1252"/>
        <v>0</v>
      </c>
      <c r="CW461" s="70">
        <f t="shared" si="1252"/>
        <v>0</v>
      </c>
      <c r="CX461" s="70">
        <f t="shared" ref="CX461:DN461" si="1253">CX63</f>
        <v>0</v>
      </c>
      <c r="CY461" s="70">
        <f t="shared" si="1253"/>
        <v>0</v>
      </c>
      <c r="CZ461" s="70">
        <f t="shared" si="1253"/>
        <v>0</v>
      </c>
      <c r="DA461" s="70">
        <f t="shared" si="1253"/>
        <v>0</v>
      </c>
      <c r="DB461" s="70">
        <f t="shared" si="1253"/>
        <v>0</v>
      </c>
      <c r="DC461" s="70">
        <f t="shared" si="1253"/>
        <v>0</v>
      </c>
      <c r="DD461" s="70">
        <f t="shared" si="1253"/>
        <v>0</v>
      </c>
      <c r="DE461" s="70">
        <f t="shared" si="1253"/>
        <v>0</v>
      </c>
      <c r="DF461" s="70">
        <f t="shared" si="1253"/>
        <v>0</v>
      </c>
      <c r="DG461" s="70">
        <f t="shared" si="1253"/>
        <v>0</v>
      </c>
      <c r="DH461" s="1074">
        <f t="shared" si="1253"/>
        <v>0</v>
      </c>
      <c r="DI461" s="70">
        <f t="shared" si="1253"/>
        <v>0</v>
      </c>
      <c r="DJ461" s="70">
        <f t="shared" si="1253"/>
        <v>0</v>
      </c>
      <c r="DK461" s="1074">
        <f t="shared" si="1253"/>
        <v>0</v>
      </c>
      <c r="DL461" s="70">
        <f t="shared" si="1253"/>
        <v>0</v>
      </c>
      <c r="DM461" s="70">
        <f t="shared" si="1253"/>
        <v>0</v>
      </c>
      <c r="DN461" s="1074">
        <f t="shared" si="1253"/>
        <v>0</v>
      </c>
      <c r="DO461" s="70">
        <f t="shared" ref="DO461:DQ462" si="1254">DO63</f>
        <v>0</v>
      </c>
      <c r="DP461" s="70">
        <f t="shared" si="1254"/>
        <v>0</v>
      </c>
      <c r="DQ461" s="1074">
        <f t="shared" si="1254"/>
        <v>0</v>
      </c>
      <c r="DR461" s="70">
        <f t="shared" ref="DR461:DZ461" si="1255">DR63</f>
        <v>0</v>
      </c>
      <c r="DS461" s="70">
        <f t="shared" si="1255"/>
        <v>0</v>
      </c>
      <c r="DT461" s="1074">
        <f t="shared" si="1255"/>
        <v>0</v>
      </c>
      <c r="DU461" s="70">
        <f t="shared" si="1255"/>
        <v>0</v>
      </c>
      <c r="DV461" s="70">
        <f t="shared" si="1255"/>
        <v>0</v>
      </c>
      <c r="DW461" s="1074">
        <f t="shared" si="1255"/>
        <v>0</v>
      </c>
      <c r="DX461" s="70">
        <f t="shared" si="1255"/>
        <v>0</v>
      </c>
      <c r="DY461" s="70">
        <f t="shared" si="1255"/>
        <v>0</v>
      </c>
      <c r="DZ461" s="1074">
        <f t="shared" si="1255"/>
        <v>0</v>
      </c>
      <c r="EA461" s="70"/>
      <c r="EB461" s="70"/>
      <c r="EC461" s="1074"/>
      <c r="ED461" s="70"/>
      <c r="EE461" s="70"/>
      <c r="EF461" s="1074"/>
      <c r="EG461" s="70"/>
      <c r="EH461" s="70"/>
      <c r="EI461" s="1074"/>
      <c r="EJ461" s="70"/>
      <c r="EK461" s="70"/>
      <c r="EL461" s="1074"/>
      <c r="EM461" s="70"/>
      <c r="EN461" s="70"/>
      <c r="EO461" s="1074"/>
      <c r="EP461" s="70"/>
      <c r="EQ461" s="70"/>
      <c r="ER461" s="1074"/>
      <c r="ES461" s="70"/>
      <c r="ET461" s="70"/>
      <c r="EU461" s="1074"/>
      <c r="EV461" s="70"/>
      <c r="EW461" s="70"/>
      <c r="EX461" s="1074"/>
      <c r="EY461" s="70"/>
      <c r="EZ461" s="70"/>
      <c r="FA461" s="1074"/>
      <c r="FE461"/>
      <c r="FF461"/>
      <c r="FG461"/>
      <c r="FH461"/>
      <c r="FI461"/>
      <c r="FJ461"/>
      <c r="FK461" s="35"/>
    </row>
    <row r="462" spans="1:167" s="236" customFormat="1" ht="13.35" customHeight="1">
      <c r="A462" s="289"/>
      <c r="B462" s="401"/>
      <c r="C462" s="308"/>
      <c r="D462" s="35"/>
      <c r="E462" s="828"/>
      <c r="F462" s="828"/>
      <c r="G462" s="70">
        <f t="shared" ref="G462:AL462" si="1256">G64</f>
        <v>0</v>
      </c>
      <c r="H462" s="70">
        <f t="shared" si="1256"/>
        <v>0</v>
      </c>
      <c r="I462" s="70">
        <f t="shared" si="1256"/>
        <v>0</v>
      </c>
      <c r="J462" s="70">
        <f t="shared" si="1256"/>
        <v>0</v>
      </c>
      <c r="K462" s="70">
        <f t="shared" si="1256"/>
        <v>0</v>
      </c>
      <c r="L462" s="70">
        <f t="shared" si="1256"/>
        <v>0</v>
      </c>
      <c r="M462" s="70">
        <f t="shared" si="1256"/>
        <v>0</v>
      </c>
      <c r="N462" s="70">
        <f t="shared" si="1256"/>
        <v>0</v>
      </c>
      <c r="O462" s="70">
        <f t="shared" si="1256"/>
        <v>0</v>
      </c>
      <c r="P462" s="70">
        <f t="shared" si="1256"/>
        <v>0</v>
      </c>
      <c r="Q462" s="70">
        <f t="shared" si="1256"/>
        <v>0</v>
      </c>
      <c r="R462" s="70">
        <f t="shared" si="1256"/>
        <v>0</v>
      </c>
      <c r="S462" s="70">
        <f t="shared" si="1256"/>
        <v>0</v>
      </c>
      <c r="T462" s="70">
        <f t="shared" si="1256"/>
        <v>0</v>
      </c>
      <c r="U462" s="70">
        <f t="shared" si="1256"/>
        <v>0</v>
      </c>
      <c r="V462" s="70">
        <f t="shared" si="1256"/>
        <v>0</v>
      </c>
      <c r="W462" s="70">
        <f t="shared" si="1256"/>
        <v>0</v>
      </c>
      <c r="X462" s="70">
        <f t="shared" si="1256"/>
        <v>0</v>
      </c>
      <c r="Y462" s="70">
        <f t="shared" si="1256"/>
        <v>0</v>
      </c>
      <c r="Z462" s="70">
        <f t="shared" si="1256"/>
        <v>0</v>
      </c>
      <c r="AA462" s="70">
        <f t="shared" si="1256"/>
        <v>0</v>
      </c>
      <c r="AB462" s="70">
        <f t="shared" si="1256"/>
        <v>0</v>
      </c>
      <c r="AC462" s="70">
        <f t="shared" si="1256"/>
        <v>0</v>
      </c>
      <c r="AD462" s="70">
        <f t="shared" si="1256"/>
        <v>0</v>
      </c>
      <c r="AE462" s="70">
        <f t="shared" si="1256"/>
        <v>0</v>
      </c>
      <c r="AF462" s="70">
        <f t="shared" si="1256"/>
        <v>0</v>
      </c>
      <c r="AG462" s="70">
        <f t="shared" si="1256"/>
        <v>0</v>
      </c>
      <c r="AH462" s="70">
        <f t="shared" si="1256"/>
        <v>0</v>
      </c>
      <c r="AI462" s="70">
        <f t="shared" si="1256"/>
        <v>0</v>
      </c>
      <c r="AJ462" s="70">
        <f t="shared" si="1256"/>
        <v>0</v>
      </c>
      <c r="AK462" s="70">
        <f t="shared" si="1256"/>
        <v>0</v>
      </c>
      <c r="AL462" s="70">
        <f t="shared" si="1256"/>
        <v>0</v>
      </c>
      <c r="AM462" s="70">
        <f t="shared" ref="AM462:BL462" si="1257">AM64</f>
        <v>0</v>
      </c>
      <c r="AN462" s="70">
        <f t="shared" si="1257"/>
        <v>0</v>
      </c>
      <c r="AO462" s="70">
        <f t="shared" si="1257"/>
        <v>0</v>
      </c>
      <c r="AP462" s="70">
        <f t="shared" si="1257"/>
        <v>0</v>
      </c>
      <c r="AQ462" s="70">
        <f t="shared" si="1257"/>
        <v>0</v>
      </c>
      <c r="AR462" s="70">
        <f t="shared" si="1257"/>
        <v>0</v>
      </c>
      <c r="AS462" s="70">
        <f t="shared" si="1257"/>
        <v>0</v>
      </c>
      <c r="AT462" s="70">
        <f t="shared" si="1257"/>
        <v>0</v>
      </c>
      <c r="AU462" s="70">
        <f t="shared" si="1257"/>
        <v>0</v>
      </c>
      <c r="AV462" s="70">
        <f t="shared" si="1257"/>
        <v>0</v>
      </c>
      <c r="AW462" s="70">
        <f t="shared" si="1257"/>
        <v>0</v>
      </c>
      <c r="AX462" s="70">
        <f t="shared" si="1257"/>
        <v>0</v>
      </c>
      <c r="AY462" s="70">
        <f t="shared" si="1257"/>
        <v>0</v>
      </c>
      <c r="AZ462" s="70">
        <f t="shared" si="1257"/>
        <v>0</v>
      </c>
      <c r="BA462" s="70">
        <f t="shared" si="1257"/>
        <v>0</v>
      </c>
      <c r="BB462" s="70">
        <f t="shared" si="1257"/>
        <v>0</v>
      </c>
      <c r="BC462" s="70">
        <f t="shared" si="1257"/>
        <v>0</v>
      </c>
      <c r="BD462" s="70">
        <f t="shared" si="1257"/>
        <v>0</v>
      </c>
      <c r="BE462" s="70">
        <f t="shared" si="1257"/>
        <v>0</v>
      </c>
      <c r="BF462" s="70">
        <f t="shared" si="1257"/>
        <v>0</v>
      </c>
      <c r="BG462" s="70">
        <f t="shared" si="1257"/>
        <v>0</v>
      </c>
      <c r="BH462" s="70">
        <f t="shared" si="1257"/>
        <v>0</v>
      </c>
      <c r="BI462" s="70">
        <f t="shared" si="1257"/>
        <v>0</v>
      </c>
      <c r="BJ462" s="70">
        <f t="shared" si="1257"/>
        <v>0</v>
      </c>
      <c r="BK462" s="70">
        <f t="shared" si="1257"/>
        <v>2.8969999999999998</v>
      </c>
      <c r="BL462" s="70">
        <f t="shared" si="1257"/>
        <v>2.8969999999999998</v>
      </c>
      <c r="BM462" s="70">
        <f>BM64</f>
        <v>0</v>
      </c>
      <c r="BN462" s="70">
        <f>BN64</f>
        <v>3.48</v>
      </c>
      <c r="BO462" s="70">
        <f>BO64</f>
        <v>3.48</v>
      </c>
      <c r="BP462" s="70">
        <f>BP64</f>
        <v>0</v>
      </c>
      <c r="BQ462" s="70">
        <f>BQ64</f>
        <v>3.9</v>
      </c>
      <c r="BR462" s="70">
        <f t="shared" ref="BR462:CW462" si="1258">BR64</f>
        <v>3.9</v>
      </c>
      <c r="BS462" s="70">
        <f t="shared" si="1258"/>
        <v>0</v>
      </c>
      <c r="BT462" s="70">
        <f t="shared" si="1258"/>
        <v>2.5710000000000002</v>
      </c>
      <c r="BU462" s="70">
        <f t="shared" si="1258"/>
        <v>2.5710000000000002</v>
      </c>
      <c r="BV462" s="70">
        <f t="shared" si="1258"/>
        <v>0</v>
      </c>
      <c r="BW462" s="70">
        <f t="shared" si="1258"/>
        <v>1.643</v>
      </c>
      <c r="BX462" s="70">
        <f t="shared" si="1258"/>
        <v>1.643</v>
      </c>
      <c r="BY462" s="70">
        <f t="shared" si="1258"/>
        <v>9.1999999999999998E-2</v>
      </c>
      <c r="BZ462" s="70">
        <f t="shared" si="1258"/>
        <v>10.437999999999999</v>
      </c>
      <c r="CA462" s="70">
        <f t="shared" si="1258"/>
        <v>10.53</v>
      </c>
      <c r="CB462" s="70">
        <f t="shared" si="1258"/>
        <v>0</v>
      </c>
      <c r="CC462" s="70">
        <f t="shared" si="1258"/>
        <v>10.49</v>
      </c>
      <c r="CD462" s="70">
        <f t="shared" si="1258"/>
        <v>10.49</v>
      </c>
      <c r="CE462" s="70">
        <f t="shared" si="1258"/>
        <v>0</v>
      </c>
      <c r="CF462" s="70">
        <f t="shared" si="1258"/>
        <v>0</v>
      </c>
      <c r="CG462" s="70">
        <f t="shared" si="1258"/>
        <v>0</v>
      </c>
      <c r="CH462" s="70">
        <f t="shared" si="1258"/>
        <v>0</v>
      </c>
      <c r="CI462" s="70">
        <f t="shared" si="1258"/>
        <v>0</v>
      </c>
      <c r="CJ462" s="70">
        <f t="shared" si="1258"/>
        <v>0</v>
      </c>
      <c r="CK462" s="70">
        <f t="shared" si="1258"/>
        <v>0</v>
      </c>
      <c r="CL462" s="70">
        <f t="shared" si="1258"/>
        <v>0</v>
      </c>
      <c r="CM462" s="70">
        <f t="shared" si="1258"/>
        <v>0</v>
      </c>
      <c r="CN462" s="70">
        <f t="shared" si="1258"/>
        <v>0</v>
      </c>
      <c r="CO462" s="70">
        <f t="shared" si="1258"/>
        <v>0</v>
      </c>
      <c r="CP462" s="70">
        <f t="shared" si="1258"/>
        <v>0</v>
      </c>
      <c r="CQ462" s="70">
        <f t="shared" si="1258"/>
        <v>0</v>
      </c>
      <c r="CR462" s="70">
        <f t="shared" si="1258"/>
        <v>0</v>
      </c>
      <c r="CS462" s="70">
        <f t="shared" si="1258"/>
        <v>0</v>
      </c>
      <c r="CT462" s="70">
        <f t="shared" si="1258"/>
        <v>0</v>
      </c>
      <c r="CU462" s="70">
        <f t="shared" si="1258"/>
        <v>0</v>
      </c>
      <c r="CV462" s="70">
        <f t="shared" si="1258"/>
        <v>0</v>
      </c>
      <c r="CW462" s="70">
        <f t="shared" si="1258"/>
        <v>0</v>
      </c>
      <c r="CX462" s="70">
        <f t="shared" ref="CX462:DN462" si="1259">CX64</f>
        <v>0</v>
      </c>
      <c r="CY462" s="70">
        <f t="shared" si="1259"/>
        <v>0</v>
      </c>
      <c r="CZ462" s="70">
        <f t="shared" si="1259"/>
        <v>0</v>
      </c>
      <c r="DA462" s="70">
        <f t="shared" si="1259"/>
        <v>0</v>
      </c>
      <c r="DB462" s="70">
        <f t="shared" si="1259"/>
        <v>0</v>
      </c>
      <c r="DC462" s="70">
        <f t="shared" si="1259"/>
        <v>0</v>
      </c>
      <c r="DD462" s="70">
        <f t="shared" si="1259"/>
        <v>0</v>
      </c>
      <c r="DE462" s="70">
        <f t="shared" si="1259"/>
        <v>0</v>
      </c>
      <c r="DF462" s="70">
        <f t="shared" si="1259"/>
        <v>12.9</v>
      </c>
      <c r="DG462" s="70">
        <f t="shared" si="1259"/>
        <v>15.499999999999998</v>
      </c>
      <c r="DH462" s="1074">
        <f t="shared" si="1259"/>
        <v>28.4</v>
      </c>
      <c r="DI462" s="70">
        <f t="shared" si="1259"/>
        <v>11.8</v>
      </c>
      <c r="DJ462" s="70">
        <f t="shared" si="1259"/>
        <v>15.7</v>
      </c>
      <c r="DK462" s="1074">
        <f t="shared" si="1259"/>
        <v>27.5</v>
      </c>
      <c r="DL462" s="70">
        <f t="shared" si="1259"/>
        <v>13.670999999999999</v>
      </c>
      <c r="DM462" s="70">
        <f t="shared" si="1259"/>
        <v>14.228999999999999</v>
      </c>
      <c r="DN462" s="1074">
        <f t="shared" si="1259"/>
        <v>27.9</v>
      </c>
      <c r="DO462" s="70">
        <f t="shared" si="1254"/>
        <v>14.847</v>
      </c>
      <c r="DP462" s="70">
        <f t="shared" si="1254"/>
        <v>15.453000000000001</v>
      </c>
      <c r="DQ462" s="1074">
        <f t="shared" si="1254"/>
        <v>30.3</v>
      </c>
      <c r="DR462" s="70">
        <f t="shared" ref="DR462:DZ462" si="1260">DR64</f>
        <v>16.219000000000001</v>
      </c>
      <c r="DS462" s="70">
        <f t="shared" si="1260"/>
        <v>16.881</v>
      </c>
      <c r="DT462" s="1074">
        <f t="shared" si="1260"/>
        <v>33.1</v>
      </c>
      <c r="DU462" s="70">
        <f t="shared" si="1260"/>
        <v>19.501999999999999</v>
      </c>
      <c r="DV462" s="70">
        <f t="shared" si="1260"/>
        <v>20.297999999999998</v>
      </c>
      <c r="DW462" s="1074">
        <f t="shared" si="1260"/>
        <v>39.799999999999997</v>
      </c>
      <c r="DX462" s="70">
        <f t="shared" si="1260"/>
        <v>21.5</v>
      </c>
      <c r="DY462" s="70">
        <f t="shared" si="1260"/>
        <v>20.135548662513067</v>
      </c>
      <c r="DZ462" s="1074">
        <f t="shared" si="1260"/>
        <v>41.635548662513067</v>
      </c>
      <c r="EA462" s="70"/>
      <c r="EB462" s="70"/>
      <c r="EC462" s="1074"/>
      <c r="ED462" s="70"/>
      <c r="EE462" s="70"/>
      <c r="EF462" s="1074"/>
      <c r="EG462" s="70"/>
      <c r="EH462" s="70"/>
      <c r="EI462" s="1074"/>
      <c r="EJ462" s="70"/>
      <c r="EK462" s="70"/>
      <c r="EL462" s="1074"/>
      <c r="EM462" s="70"/>
      <c r="EN462" s="70"/>
      <c r="EO462" s="1074"/>
      <c r="EP462" s="70"/>
      <c r="EQ462" s="70"/>
      <c r="ER462" s="1074"/>
      <c r="ES462" s="70"/>
      <c r="ET462" s="70"/>
      <c r="EU462" s="1074"/>
      <c r="EV462" s="70"/>
      <c r="EW462" s="70"/>
      <c r="EX462" s="1074"/>
      <c r="EY462" s="70"/>
      <c r="EZ462" s="70"/>
      <c r="FA462" s="1074"/>
      <c r="FE462"/>
      <c r="FF462"/>
      <c r="FG462"/>
      <c r="FH462"/>
      <c r="FI462"/>
      <c r="FJ462"/>
      <c r="FK462" s="35"/>
    </row>
    <row r="463" spans="1:167" s="236" customFormat="1" ht="13.35" customHeight="1">
      <c r="A463" s="289"/>
      <c r="B463" s="401" t="s">
        <v>682</v>
      </c>
      <c r="C463" s="308"/>
      <c r="D463" s="35"/>
      <c r="E463" s="828"/>
      <c r="F463" s="828"/>
      <c r="G463" s="70"/>
      <c r="H463" s="70"/>
      <c r="I463" s="70"/>
      <c r="J463" s="70"/>
      <c r="K463" s="70"/>
      <c r="L463" s="70"/>
      <c r="M463" s="70"/>
      <c r="N463" s="70"/>
      <c r="O463" s="70"/>
      <c r="P463" s="70"/>
      <c r="Q463" s="70"/>
      <c r="R463" s="70"/>
      <c r="S463" s="70"/>
      <c r="T463" s="70"/>
      <c r="U463" s="70"/>
      <c r="V463" s="70"/>
      <c r="W463" s="70"/>
      <c r="X463" s="70"/>
      <c r="Y463" s="70"/>
      <c r="Z463" s="70"/>
      <c r="AA463" s="70"/>
      <c r="AB463" s="70"/>
      <c r="AC463" s="70"/>
      <c r="AD463" s="70"/>
      <c r="AE463" s="70"/>
      <c r="AF463" s="70"/>
      <c r="AG463" s="70"/>
      <c r="AH463" s="70"/>
      <c r="AI463" s="70"/>
      <c r="AJ463" s="70"/>
      <c r="AK463" s="70"/>
      <c r="AL463" s="70"/>
      <c r="AM463" s="70"/>
      <c r="AN463" s="70"/>
      <c r="AO463" s="70"/>
      <c r="AP463" s="70"/>
      <c r="AQ463" s="70"/>
      <c r="AR463" s="70"/>
      <c r="AS463" s="70"/>
      <c r="AT463" s="70"/>
      <c r="AU463" s="70"/>
      <c r="AV463" s="70"/>
      <c r="AW463" s="70"/>
      <c r="AX463" s="70"/>
      <c r="AY463" s="70"/>
      <c r="AZ463" s="70"/>
      <c r="BA463" s="70"/>
      <c r="BB463" s="70"/>
      <c r="BC463" s="70"/>
      <c r="BD463" s="70"/>
      <c r="BE463" s="70"/>
      <c r="BF463" s="70"/>
      <c r="BG463" s="70"/>
      <c r="BH463" s="70"/>
      <c r="BI463" s="70"/>
      <c r="BJ463" s="70">
        <f t="shared" ref="BJ463:CO463" si="1261">BJ80+BJ183</f>
        <v>-3.0050000000000008</v>
      </c>
      <c r="BK463" s="70">
        <f t="shared" si="1261"/>
        <v>-7.4139999999999979</v>
      </c>
      <c r="BL463" s="70">
        <f t="shared" si="1261"/>
        <v>-10.418999999999999</v>
      </c>
      <c r="BM463" s="70">
        <f t="shared" si="1261"/>
        <v>-0.49800000000000111</v>
      </c>
      <c r="BN463" s="70">
        <f t="shared" si="1261"/>
        <v>4.9609999999999985</v>
      </c>
      <c r="BO463" s="70">
        <f t="shared" si="1261"/>
        <v>4.4629999999999974</v>
      </c>
      <c r="BP463" s="70">
        <f t="shared" si="1261"/>
        <v>5.134999999999998</v>
      </c>
      <c r="BQ463" s="70">
        <f t="shared" si="1261"/>
        <v>-1.9529999999999994</v>
      </c>
      <c r="BR463" s="70">
        <f t="shared" si="1261"/>
        <v>3.1819999999999986</v>
      </c>
      <c r="BS463" s="70">
        <f t="shared" si="1261"/>
        <v>-8.3359999999999985</v>
      </c>
      <c r="BT463" s="70">
        <f t="shared" si="1261"/>
        <v>-1.9860000000000042</v>
      </c>
      <c r="BU463" s="70">
        <f t="shared" si="1261"/>
        <v>-10.322000000000003</v>
      </c>
      <c r="BV463" s="70">
        <f t="shared" si="1261"/>
        <v>-7.4750000000000014</v>
      </c>
      <c r="BW463" s="70">
        <f t="shared" si="1261"/>
        <v>-4.4089999999999989</v>
      </c>
      <c r="BX463" s="70">
        <f t="shared" si="1261"/>
        <v>-11.884</v>
      </c>
      <c r="BY463" s="70">
        <f t="shared" si="1261"/>
        <v>2.0360000000000014</v>
      </c>
      <c r="BZ463" s="70">
        <f t="shared" si="1261"/>
        <v>-2.259999999999998</v>
      </c>
      <c r="CA463" s="70">
        <f t="shared" si="1261"/>
        <v>-0.22399999999999665</v>
      </c>
      <c r="CB463" s="70">
        <f t="shared" si="1261"/>
        <v>17.739999999999998</v>
      </c>
      <c r="CC463" s="70">
        <f t="shared" si="1261"/>
        <v>-14.577000000000005</v>
      </c>
      <c r="CD463" s="70">
        <f t="shared" si="1261"/>
        <v>3.1629999999999967</v>
      </c>
      <c r="CE463" s="70">
        <f t="shared" si="1261"/>
        <v>4.8170000000000002</v>
      </c>
      <c r="CF463" s="70">
        <f t="shared" si="1261"/>
        <v>-0.38700000000000045</v>
      </c>
      <c r="CG463" s="70">
        <f t="shared" si="1261"/>
        <v>4.43</v>
      </c>
      <c r="CH463" s="70">
        <f t="shared" si="1261"/>
        <v>1.1049999999999969</v>
      </c>
      <c r="CI463" s="70">
        <f t="shared" si="1261"/>
        <v>10.666000000000004</v>
      </c>
      <c r="CJ463" s="70">
        <f t="shared" si="1261"/>
        <v>11.771000000000001</v>
      </c>
      <c r="CK463" s="70">
        <f t="shared" si="1261"/>
        <v>-2.9489999999999981</v>
      </c>
      <c r="CL463" s="70">
        <f t="shared" si="1261"/>
        <v>2.9489999999999981</v>
      </c>
      <c r="CM463" s="70">
        <f t="shared" si="1261"/>
        <v>0</v>
      </c>
      <c r="CN463" s="70">
        <f t="shared" si="1261"/>
        <v>-6.6469999999999985</v>
      </c>
      <c r="CO463" s="70">
        <f t="shared" si="1261"/>
        <v>12.245999999999999</v>
      </c>
      <c r="CP463" s="70">
        <f t="shared" ref="CP463:DN463" si="1262">CP80+CP183</f>
        <v>5.5990000000000002</v>
      </c>
      <c r="CQ463" s="70">
        <f t="shared" si="1262"/>
        <v>2.7560000000000002</v>
      </c>
      <c r="CR463" s="70">
        <f t="shared" si="1262"/>
        <v>15.496000000000002</v>
      </c>
      <c r="CS463" s="70">
        <f t="shared" si="1262"/>
        <v>18.252000000000002</v>
      </c>
      <c r="CT463" s="70">
        <f t="shared" si="1262"/>
        <v>-15.869</v>
      </c>
      <c r="CU463" s="70">
        <f t="shared" si="1262"/>
        <v>0.52899999999999636</v>
      </c>
      <c r="CV463" s="70">
        <f t="shared" si="1262"/>
        <v>-15.340000000000003</v>
      </c>
      <c r="CW463" s="70">
        <f t="shared" si="1262"/>
        <v>3.9405599999999978</v>
      </c>
      <c r="CX463" s="70">
        <f t="shared" si="1262"/>
        <v>2.8144400000000118</v>
      </c>
      <c r="CY463" s="70">
        <f t="shared" si="1262"/>
        <v>6.7550000000000097</v>
      </c>
      <c r="CZ463" s="70">
        <f t="shared" si="1262"/>
        <v>-9.3999999999999844</v>
      </c>
      <c r="DA463" s="70">
        <f t="shared" si="1262"/>
        <v>2.7999999999999901</v>
      </c>
      <c r="DB463" s="70">
        <f t="shared" si="1262"/>
        <v>-6.5999999999999943</v>
      </c>
      <c r="DC463" s="70">
        <f t="shared" si="1262"/>
        <v>-1</v>
      </c>
      <c r="DD463" s="70">
        <f t="shared" si="1262"/>
        <v>-0.79999999999996874</v>
      </c>
      <c r="DE463" s="70">
        <f t="shared" si="1262"/>
        <v>-1.7999999999999687</v>
      </c>
      <c r="DF463" s="70">
        <f t="shared" si="1262"/>
        <v>-12.099999999999987</v>
      </c>
      <c r="DG463" s="70">
        <f t="shared" si="1262"/>
        <v>-23.800000000000018</v>
      </c>
      <c r="DH463" s="1074">
        <f t="shared" si="1262"/>
        <v>-35.900000000000006</v>
      </c>
      <c r="DI463" s="70">
        <f t="shared" si="1262"/>
        <v>2.9100000000000037</v>
      </c>
      <c r="DJ463" s="70">
        <f t="shared" si="1262"/>
        <v>67.760000000000005</v>
      </c>
      <c r="DK463" s="1074">
        <f t="shared" si="1262"/>
        <v>70.67</v>
      </c>
      <c r="DL463" s="70">
        <f t="shared" si="1262"/>
        <v>12.260000000000005</v>
      </c>
      <c r="DM463" s="70">
        <f t="shared" si="1262"/>
        <v>67.62</v>
      </c>
      <c r="DN463" s="1074">
        <f t="shared" si="1262"/>
        <v>79.88</v>
      </c>
      <c r="DO463" s="70">
        <f t="shared" ref="DO463:DZ463" si="1263">DO80+DO183</f>
        <v>0.65999999999999659</v>
      </c>
      <c r="DP463" s="70">
        <f t="shared" si="1263"/>
        <v>29.590000000000003</v>
      </c>
      <c r="DQ463" s="1074">
        <f t="shared" si="1263"/>
        <v>30.25</v>
      </c>
      <c r="DR463" s="70">
        <f t="shared" si="1263"/>
        <v>11.269999999999989</v>
      </c>
      <c r="DS463" s="70">
        <f t="shared" si="1263"/>
        <v>-5.6799999999999855</v>
      </c>
      <c r="DT463" s="1074">
        <f t="shared" si="1263"/>
        <v>5.5900000000000034</v>
      </c>
      <c r="DU463" s="70">
        <f t="shared" si="1263"/>
        <v>-4.4899999999999949</v>
      </c>
      <c r="DV463" s="70">
        <f t="shared" si="1263"/>
        <v>-12.100000000000009</v>
      </c>
      <c r="DW463" s="1074">
        <f t="shared" si="1263"/>
        <v>-16.590000000000003</v>
      </c>
      <c r="DX463" s="70">
        <f t="shared" si="1263"/>
        <v>-17.199999999999996</v>
      </c>
      <c r="DY463" s="70">
        <f t="shared" si="1263"/>
        <v>0</v>
      </c>
      <c r="DZ463" s="1074">
        <f t="shared" si="1263"/>
        <v>-17.199999999999989</v>
      </c>
      <c r="EA463" s="70"/>
      <c r="EB463" s="70"/>
      <c r="EC463" s="1074"/>
      <c r="ED463" s="70"/>
      <c r="EE463" s="70"/>
      <c r="EF463" s="1074"/>
      <c r="EG463" s="70"/>
      <c r="EH463" s="70"/>
      <c r="EI463" s="1074"/>
      <c r="EJ463" s="70"/>
      <c r="EK463" s="70"/>
      <c r="EL463" s="1074"/>
      <c r="EM463" s="70"/>
      <c r="EN463" s="70"/>
      <c r="EO463" s="1074"/>
      <c r="EP463" s="70"/>
      <c r="EQ463" s="70"/>
      <c r="ER463" s="1074"/>
      <c r="ES463" s="70"/>
      <c r="ET463" s="70"/>
      <c r="EU463" s="1074"/>
      <c r="EV463" s="70"/>
      <c r="EW463" s="70"/>
      <c r="EX463" s="1074"/>
      <c r="EY463" s="70"/>
      <c r="EZ463" s="70"/>
      <c r="FA463" s="1074"/>
      <c r="FE463"/>
      <c r="FF463"/>
      <c r="FG463"/>
      <c r="FH463"/>
      <c r="FI463"/>
      <c r="FJ463"/>
      <c r="FK463" s="35"/>
    </row>
    <row r="464" spans="1:167" s="236" customFormat="1" ht="13.35" customHeight="1">
      <c r="A464" s="289"/>
      <c r="B464" s="401" t="s">
        <v>378</v>
      </c>
      <c r="C464" s="834"/>
      <c r="D464" s="70"/>
      <c r="E464" s="831"/>
      <c r="F464" s="831"/>
      <c r="G464" s="70"/>
      <c r="H464" s="831"/>
      <c r="I464" s="831"/>
      <c r="J464" s="70"/>
      <c r="K464" s="831"/>
      <c r="L464" s="831"/>
      <c r="M464" s="70"/>
      <c r="N464" s="831"/>
      <c r="O464" s="831"/>
      <c r="P464" s="831"/>
      <c r="Q464" s="831"/>
      <c r="R464" s="831"/>
      <c r="S464" s="70"/>
      <c r="T464" s="831"/>
      <c r="U464" s="831"/>
      <c r="V464" s="70"/>
      <c r="W464" s="831"/>
      <c r="X464" s="831"/>
      <c r="Y464" s="70"/>
      <c r="Z464" s="831"/>
      <c r="AA464" s="831"/>
      <c r="AB464" s="70"/>
      <c r="AC464" s="831"/>
      <c r="AD464" s="831"/>
      <c r="AE464" s="70"/>
      <c r="AF464" s="831"/>
      <c r="AG464" s="831"/>
      <c r="AH464" s="70"/>
      <c r="AI464" s="831"/>
      <c r="AJ464" s="831"/>
      <c r="AK464" s="70"/>
      <c r="AL464" s="831"/>
      <c r="AM464" s="831"/>
      <c r="AN464" s="70"/>
      <c r="AO464" s="831"/>
      <c r="AP464" s="831"/>
      <c r="AQ464" s="70"/>
      <c r="AR464" s="831"/>
      <c r="AS464" s="831"/>
      <c r="AT464" s="70"/>
      <c r="AU464" s="831">
        <f>AU188-AU458-AU460-AU461-AU462</f>
        <v>8.9030000000000005</v>
      </c>
      <c r="AV464" s="831">
        <f t="shared" ref="AV464:DG464" si="1264">AV188-AV458-AV460-AV461-AV462</f>
        <v>16.896000000000001</v>
      </c>
      <c r="AW464" s="831">
        <f t="shared" si="1264"/>
        <v>25.798999999999999</v>
      </c>
      <c r="AX464" s="831">
        <f t="shared" si="1264"/>
        <v>8.2029999999999994</v>
      </c>
      <c r="AY464" s="831">
        <f t="shared" si="1264"/>
        <v>2.8570000000000011</v>
      </c>
      <c r="AZ464" s="831">
        <f t="shared" si="1264"/>
        <v>11.06</v>
      </c>
      <c r="BA464" s="831">
        <f t="shared" si="1264"/>
        <v>9.7119999999999997</v>
      </c>
      <c r="BB464" s="831">
        <f t="shared" si="1264"/>
        <v>10.048999999999999</v>
      </c>
      <c r="BC464" s="831">
        <f t="shared" si="1264"/>
        <v>19.760999999999999</v>
      </c>
      <c r="BD464" s="831">
        <f t="shared" si="1264"/>
        <v>-10.016999999999999</v>
      </c>
      <c r="BE464" s="831">
        <f t="shared" si="1264"/>
        <v>10.914999999999999</v>
      </c>
      <c r="BF464" s="831">
        <f t="shared" si="1264"/>
        <v>0.89800000000000002</v>
      </c>
      <c r="BG464" s="831">
        <f t="shared" si="1264"/>
        <v>46.515000000000001</v>
      </c>
      <c r="BH464" s="831">
        <f t="shared" si="1264"/>
        <v>32.301999999999992</v>
      </c>
      <c r="BI464" s="831">
        <f t="shared" si="1264"/>
        <v>78.816999999999993</v>
      </c>
      <c r="BJ464" s="831">
        <f t="shared" si="1264"/>
        <v>12.962</v>
      </c>
      <c r="BK464" s="831">
        <f t="shared" si="1264"/>
        <v>33.110999999999997</v>
      </c>
      <c r="BL464" s="831">
        <f t="shared" si="1264"/>
        <v>46.073</v>
      </c>
      <c r="BM464" s="831">
        <f t="shared" si="1264"/>
        <v>34.32</v>
      </c>
      <c r="BN464" s="831">
        <f t="shared" si="1264"/>
        <v>64.833999999999989</v>
      </c>
      <c r="BO464" s="831">
        <f t="shared" si="1264"/>
        <v>99.528999999999996</v>
      </c>
      <c r="BP464" s="831">
        <f t="shared" si="1264"/>
        <v>24.803999999999998</v>
      </c>
      <c r="BQ464" s="831">
        <f t="shared" si="1264"/>
        <v>22.851000000000003</v>
      </c>
      <c r="BR464" s="831">
        <f t="shared" si="1264"/>
        <v>47.655000000000001</v>
      </c>
      <c r="BS464" s="831">
        <f t="shared" si="1264"/>
        <v>17.893999999999998</v>
      </c>
      <c r="BT464" s="831">
        <f t="shared" si="1264"/>
        <v>58.371000000000002</v>
      </c>
      <c r="BU464" s="831">
        <f t="shared" si="1264"/>
        <v>76.265000000000001</v>
      </c>
      <c r="BV464" s="831">
        <f t="shared" si="1264"/>
        <v>30.038</v>
      </c>
      <c r="BW464" s="831">
        <f t="shared" si="1264"/>
        <v>52.867000000000004</v>
      </c>
      <c r="BX464" s="831">
        <f t="shared" si="1264"/>
        <v>82.905000000000001</v>
      </c>
      <c r="BY464" s="831">
        <f t="shared" si="1264"/>
        <v>57.317999999999998</v>
      </c>
      <c r="BZ464" s="831">
        <f t="shared" si="1264"/>
        <v>78.779999999999987</v>
      </c>
      <c r="CA464" s="831">
        <f t="shared" si="1264"/>
        <v>136.09799999999998</v>
      </c>
      <c r="CB464" s="831">
        <f t="shared" si="1264"/>
        <v>85.379000000000005</v>
      </c>
      <c r="CC464" s="831">
        <f t="shared" si="1264"/>
        <v>83.676999999999992</v>
      </c>
      <c r="CD464" s="831">
        <f t="shared" si="1264"/>
        <v>169.05599999999998</v>
      </c>
      <c r="CE464" s="831">
        <f t="shared" si="1264"/>
        <v>90.54</v>
      </c>
      <c r="CF464" s="831">
        <f t="shared" si="1264"/>
        <v>110.73699999999998</v>
      </c>
      <c r="CG464" s="831">
        <f t="shared" si="1264"/>
        <v>201.27699999999999</v>
      </c>
      <c r="CH464" s="831">
        <f t="shared" si="1264"/>
        <v>67.364999999999995</v>
      </c>
      <c r="CI464" s="831">
        <f t="shared" si="1264"/>
        <v>100.91500000000001</v>
      </c>
      <c r="CJ464" s="831">
        <f t="shared" si="1264"/>
        <v>168.28</v>
      </c>
      <c r="CK464" s="831">
        <f t="shared" si="1264"/>
        <v>28.515000000000001</v>
      </c>
      <c r="CL464" s="831">
        <f t="shared" si="1264"/>
        <v>41.212000000000003</v>
      </c>
      <c r="CM464" s="831">
        <f t="shared" si="1264"/>
        <v>69.727000000000004</v>
      </c>
      <c r="CN464" s="831">
        <f t="shared" si="1264"/>
        <v>33.610999999999997</v>
      </c>
      <c r="CO464" s="831">
        <f t="shared" si="1264"/>
        <v>77.806000000000012</v>
      </c>
      <c r="CP464" s="831">
        <f t="shared" si="1264"/>
        <v>111.417</v>
      </c>
      <c r="CQ464" s="831">
        <f t="shared" si="1264"/>
        <v>89.941999999999993</v>
      </c>
      <c r="CR464" s="831">
        <f t="shared" si="1264"/>
        <v>98.759</v>
      </c>
      <c r="CS464" s="831">
        <f t="shared" si="1264"/>
        <v>188.70099999999999</v>
      </c>
      <c r="CT464" s="831">
        <f t="shared" si="1264"/>
        <v>73.540000000000006</v>
      </c>
      <c r="CU464" s="831">
        <f t="shared" si="1264"/>
        <v>111.57299999999999</v>
      </c>
      <c r="CV464" s="831">
        <f t="shared" si="1264"/>
        <v>185.113</v>
      </c>
      <c r="CW464" s="831">
        <f t="shared" si="1264"/>
        <v>102.28700000000001</v>
      </c>
      <c r="CX464" s="831">
        <f t="shared" si="1264"/>
        <v>157.48499999999999</v>
      </c>
      <c r="CY464" s="831">
        <f t="shared" si="1264"/>
        <v>259.77199999999999</v>
      </c>
      <c r="CZ464" s="831">
        <f t="shared" si="1264"/>
        <v>92.7</v>
      </c>
      <c r="DA464" s="831">
        <f t="shared" si="1264"/>
        <v>165.40000000000003</v>
      </c>
      <c r="DB464" s="831">
        <f t="shared" si="1264"/>
        <v>258.10000000000002</v>
      </c>
      <c r="DC464" s="831">
        <f t="shared" si="1264"/>
        <v>164.1</v>
      </c>
      <c r="DD464" s="831">
        <f t="shared" si="1264"/>
        <v>131.9</v>
      </c>
      <c r="DE464" s="831">
        <f t="shared" si="1264"/>
        <v>296</v>
      </c>
      <c r="DF464" s="831">
        <f t="shared" si="1264"/>
        <v>113.89999999999999</v>
      </c>
      <c r="DG464" s="831">
        <f t="shared" si="1264"/>
        <v>-300.10000000000002</v>
      </c>
      <c r="DH464" s="1327">
        <f t="shared" ref="DH464:DN464" si="1265">DH188-DH458-DH460-DH461-DH462</f>
        <v>-186.20000000000002</v>
      </c>
      <c r="DI464" s="831">
        <f t="shared" si="1265"/>
        <v>75.7</v>
      </c>
      <c r="DJ464" s="831">
        <f t="shared" si="1265"/>
        <v>168.10000000000002</v>
      </c>
      <c r="DK464" s="1327">
        <f t="shared" si="1265"/>
        <v>243.8</v>
      </c>
      <c r="DL464" s="831">
        <f t="shared" si="1265"/>
        <v>111.32900000000001</v>
      </c>
      <c r="DM464" s="831">
        <f t="shared" si="1265"/>
        <v>237.27100000000002</v>
      </c>
      <c r="DN464" s="1327">
        <f t="shared" si="1265"/>
        <v>348.6</v>
      </c>
      <c r="DO464" s="831">
        <f t="shared" ref="DO464:DZ464" si="1266">DO188-DO458-DO460-DO461-DO462</f>
        <v>74.253</v>
      </c>
      <c r="DP464" s="831">
        <f t="shared" si="1266"/>
        <v>257.84699999999998</v>
      </c>
      <c r="DQ464" s="1327">
        <f t="shared" si="1266"/>
        <v>332.09999999999997</v>
      </c>
      <c r="DR464" s="831">
        <f t="shared" si="1266"/>
        <v>140.881</v>
      </c>
      <c r="DS464" s="831">
        <f t="shared" si="1266"/>
        <v>214.81900000000002</v>
      </c>
      <c r="DT464" s="1327">
        <f t="shared" si="1266"/>
        <v>355.7</v>
      </c>
      <c r="DU464" s="831">
        <f t="shared" si="1266"/>
        <v>90.39800000000001</v>
      </c>
      <c r="DV464" s="831">
        <f t="shared" si="1266"/>
        <v>107.40199999999999</v>
      </c>
      <c r="DW464" s="1327">
        <f t="shared" si="1266"/>
        <v>197.8</v>
      </c>
      <c r="DX464" s="831">
        <f t="shared" si="1266"/>
        <v>115.30000000000001</v>
      </c>
      <c r="DY464" s="831">
        <f t="shared" si="1266"/>
        <v>141.30268519955447</v>
      </c>
      <c r="DZ464" s="1327">
        <f t="shared" si="1266"/>
        <v>256.60268519955446</v>
      </c>
      <c r="EA464" s="831"/>
      <c r="EB464" s="831"/>
      <c r="EC464" s="1327"/>
      <c r="ED464" s="831"/>
      <c r="EE464" s="831"/>
      <c r="EF464" s="1327"/>
      <c r="EG464" s="831"/>
      <c r="EH464" s="831"/>
      <c r="EI464" s="1327"/>
      <c r="EJ464" s="831"/>
      <c r="EK464" s="831"/>
      <c r="EL464" s="1327"/>
      <c r="EM464" s="831"/>
      <c r="EN464" s="831"/>
      <c r="EO464" s="1327"/>
      <c r="EP464" s="831"/>
      <c r="EQ464" s="831"/>
      <c r="ER464" s="1327"/>
      <c r="ES464" s="831"/>
      <c r="ET464" s="831"/>
      <c r="EU464" s="1327"/>
      <c r="EV464" s="831"/>
      <c r="EW464" s="831"/>
      <c r="EX464" s="1327"/>
      <c r="EY464" s="831"/>
      <c r="EZ464" s="831"/>
      <c r="FA464" s="1327"/>
      <c r="FE464"/>
      <c r="FF464"/>
      <c r="FG464"/>
      <c r="FH464"/>
      <c r="FI464"/>
      <c r="FJ464"/>
      <c r="FK464" s="35"/>
    </row>
    <row r="465" spans="1:167" s="236" customFormat="1" ht="13.35" customHeight="1">
      <c r="A465" s="289" t="s">
        <v>379</v>
      </c>
      <c r="B465" s="444"/>
      <c r="C465" s="308"/>
      <c r="D465" s="35"/>
      <c r="E465" s="828"/>
      <c r="F465" s="828"/>
      <c r="G465" s="35"/>
      <c r="H465" s="828"/>
      <c r="I465" s="828"/>
      <c r="J465" s="35"/>
      <c r="K465" s="828"/>
      <c r="L465" s="828"/>
      <c r="M465" s="35"/>
      <c r="N465" s="828"/>
      <c r="O465" s="828"/>
      <c r="P465" s="828"/>
      <c r="Q465" s="828"/>
      <c r="R465" s="828"/>
      <c r="S465" s="35"/>
      <c r="T465" s="828"/>
      <c r="U465" s="828"/>
      <c r="V465" s="35"/>
      <c r="W465" s="828"/>
      <c r="X465" s="828"/>
      <c r="Y465" s="35"/>
      <c r="Z465" s="828"/>
      <c r="AA465" s="828"/>
      <c r="AB465" s="35"/>
      <c r="AC465" s="828"/>
      <c r="AD465" s="828"/>
      <c r="AE465" s="35"/>
      <c r="AF465" s="828"/>
      <c r="AG465" s="828"/>
      <c r="AH465" s="35"/>
      <c r="AI465" s="828"/>
      <c r="AJ465" s="828"/>
      <c r="AK465" s="35"/>
      <c r="AL465" s="828"/>
      <c r="AM465" s="828"/>
      <c r="AN465" s="35"/>
      <c r="AO465" s="828"/>
      <c r="AP465" s="828"/>
      <c r="AQ465" s="35"/>
      <c r="AR465" s="828"/>
      <c r="AS465" s="828"/>
      <c r="AT465" s="35"/>
      <c r="AU465" s="828"/>
      <c r="AV465" s="828"/>
      <c r="AW465" s="35"/>
      <c r="AX465" s="828"/>
      <c r="AY465" s="828"/>
      <c r="AZ465" s="35"/>
      <c r="BA465" s="828"/>
      <c r="BB465" s="828"/>
      <c r="BC465" s="35"/>
      <c r="BD465" s="828"/>
      <c r="BE465" s="828"/>
      <c r="BF465" s="35"/>
      <c r="BG465" s="828"/>
      <c r="BH465" s="828"/>
      <c r="BI465" s="35"/>
      <c r="BJ465" s="828"/>
      <c r="BK465" s="828"/>
      <c r="BL465" s="35"/>
      <c r="BM465" s="828"/>
      <c r="BN465" s="828"/>
      <c r="BO465" s="35"/>
      <c r="BP465" s="828"/>
      <c r="BQ465" s="828"/>
      <c r="BR465" s="35"/>
      <c r="BS465" s="828"/>
      <c r="BT465" s="828"/>
      <c r="BU465" s="35"/>
      <c r="BV465" s="828"/>
      <c r="BW465" s="828"/>
      <c r="BX465" s="35"/>
      <c r="BY465" s="828"/>
      <c r="BZ465" s="828"/>
      <c r="CA465" s="35"/>
      <c r="CB465" s="828"/>
      <c r="CC465" s="828"/>
      <c r="CD465" s="35"/>
      <c r="CE465" s="828"/>
      <c r="CF465" s="828"/>
      <c r="CG465" s="35"/>
      <c r="CH465" s="828"/>
      <c r="CI465" s="828"/>
      <c r="CJ465" s="35"/>
      <c r="CK465" s="828"/>
      <c r="CL465" s="828"/>
      <c r="CM465" s="35"/>
      <c r="CN465" s="828"/>
      <c r="CO465" s="828"/>
      <c r="CP465" s="35"/>
      <c r="CQ465" s="828"/>
      <c r="CR465" s="828"/>
      <c r="CS465" s="35"/>
      <c r="CT465" s="828"/>
      <c r="CU465" s="828"/>
      <c r="CV465" s="35"/>
      <c r="CW465" s="828"/>
      <c r="CX465" s="828"/>
      <c r="CY465" s="35"/>
      <c r="CZ465" s="828"/>
      <c r="DA465" s="828"/>
      <c r="DB465" s="35"/>
      <c r="DC465" s="828"/>
      <c r="DD465" s="828"/>
      <c r="DE465" s="35"/>
      <c r="DF465" s="828"/>
      <c r="DG465" s="828"/>
      <c r="DH465" s="1067"/>
      <c r="DI465" s="828"/>
      <c r="DJ465" s="828"/>
      <c r="DK465" s="1067"/>
      <c r="DL465" s="828"/>
      <c r="DM465" s="828"/>
      <c r="DN465" s="1067"/>
      <c r="DO465" s="828"/>
      <c r="DP465" s="828"/>
      <c r="DQ465" s="1067"/>
      <c r="DR465" s="828"/>
      <c r="DS465" s="828"/>
      <c r="DT465" s="1067"/>
      <c r="DU465" s="828"/>
      <c r="DV465" s="828"/>
      <c r="DW465" s="1067"/>
      <c r="DX465" s="828"/>
      <c r="DY465" s="828"/>
      <c r="DZ465" s="1067"/>
      <c r="EA465" s="828"/>
      <c r="EB465" s="828"/>
      <c r="EC465" s="1067"/>
      <c r="ED465" s="828"/>
      <c r="EE465" s="828"/>
      <c r="EF465" s="1067"/>
      <c r="EG465" s="828"/>
      <c r="EH465" s="828"/>
      <c r="EI465" s="1067"/>
      <c r="EJ465" s="828"/>
      <c r="EK465" s="828"/>
      <c r="EL465" s="1067"/>
      <c r="EM465" s="828"/>
      <c r="EN465" s="828"/>
      <c r="EO465" s="1067"/>
      <c r="EP465" s="828"/>
      <c r="EQ465" s="828"/>
      <c r="ER465" s="1067"/>
      <c r="ES465" s="828"/>
      <c r="ET465" s="828"/>
      <c r="EU465" s="1067"/>
      <c r="EV465" s="828"/>
      <c r="EW465" s="828"/>
      <c r="EX465" s="1067"/>
      <c r="EY465" s="828"/>
      <c r="EZ465" s="828"/>
      <c r="FA465" s="1067"/>
      <c r="FE465"/>
      <c r="FF465"/>
      <c r="FG465"/>
      <c r="FH465"/>
      <c r="FI465"/>
      <c r="FJ465"/>
      <c r="FK465" s="35"/>
    </row>
    <row r="466" spans="1:167" s="236" customFormat="1" ht="13.35" customHeight="1">
      <c r="A466" s="836"/>
      <c r="B466" s="444" t="s">
        <v>97</v>
      </c>
      <c r="C466" s="308" t="s">
        <v>98</v>
      </c>
      <c r="D466" s="35"/>
      <c r="E466" s="828"/>
      <c r="F466" s="828"/>
      <c r="G466" s="273">
        <f>SUM(G377:G383)</f>
        <v>0</v>
      </c>
      <c r="H466" s="273">
        <f t="shared" ref="H466:BF466" si="1267">SUM(H377:H383)</f>
        <v>0</v>
      </c>
      <c r="I466" s="273">
        <f t="shared" si="1267"/>
        <v>0</v>
      </c>
      <c r="J466" s="273">
        <f t="shared" si="1267"/>
        <v>0</v>
      </c>
      <c r="K466" s="273">
        <f t="shared" si="1267"/>
        <v>0</v>
      </c>
      <c r="L466" s="273">
        <f t="shared" si="1267"/>
        <v>0</v>
      </c>
      <c r="M466" s="273">
        <f t="shared" si="1267"/>
        <v>0</v>
      </c>
      <c r="N466" s="273">
        <f t="shared" si="1267"/>
        <v>0</v>
      </c>
      <c r="O466" s="273">
        <f t="shared" si="1267"/>
        <v>0</v>
      </c>
      <c r="P466" s="273">
        <f t="shared" si="1267"/>
        <v>0</v>
      </c>
      <c r="Q466" s="273">
        <f t="shared" si="1267"/>
        <v>0</v>
      </c>
      <c r="R466" s="273">
        <f t="shared" si="1267"/>
        <v>0</v>
      </c>
      <c r="S466" s="273">
        <f t="shared" si="1267"/>
        <v>0</v>
      </c>
      <c r="T466" s="273">
        <f t="shared" si="1267"/>
        <v>0</v>
      </c>
      <c r="U466" s="273">
        <f t="shared" si="1267"/>
        <v>0</v>
      </c>
      <c r="V466" s="273">
        <f t="shared" si="1267"/>
        <v>0</v>
      </c>
      <c r="W466" s="273">
        <f t="shared" si="1267"/>
        <v>0</v>
      </c>
      <c r="X466" s="273">
        <f t="shared" si="1267"/>
        <v>0</v>
      </c>
      <c r="Y466" s="273">
        <f t="shared" si="1267"/>
        <v>0</v>
      </c>
      <c r="Z466" s="273">
        <f t="shared" si="1267"/>
        <v>0</v>
      </c>
      <c r="AA466" s="273">
        <f t="shared" si="1267"/>
        <v>0</v>
      </c>
      <c r="AB466" s="273">
        <f t="shared" si="1267"/>
        <v>0</v>
      </c>
      <c r="AC466" s="273">
        <f t="shared" si="1267"/>
        <v>0</v>
      </c>
      <c r="AD466" s="273">
        <f t="shared" si="1267"/>
        <v>0</v>
      </c>
      <c r="AE466" s="273">
        <f t="shared" si="1267"/>
        <v>0</v>
      </c>
      <c r="AF466" s="273">
        <f t="shared" si="1267"/>
        <v>0</v>
      </c>
      <c r="AG466" s="273">
        <f t="shared" si="1267"/>
        <v>0</v>
      </c>
      <c r="AH466" s="273">
        <f t="shared" si="1267"/>
        <v>0</v>
      </c>
      <c r="AI466" s="273">
        <f t="shared" si="1267"/>
        <v>0</v>
      </c>
      <c r="AJ466" s="273">
        <f t="shared" si="1267"/>
        <v>0</v>
      </c>
      <c r="AK466" s="273">
        <f t="shared" si="1267"/>
        <v>0</v>
      </c>
      <c r="AL466" s="273">
        <f t="shared" si="1267"/>
        <v>0</v>
      </c>
      <c r="AM466" s="273">
        <f t="shared" si="1267"/>
        <v>0</v>
      </c>
      <c r="AN466" s="273">
        <f t="shared" si="1267"/>
        <v>0</v>
      </c>
      <c r="AO466" s="273">
        <f t="shared" si="1267"/>
        <v>0</v>
      </c>
      <c r="AP466" s="273">
        <f t="shared" si="1267"/>
        <v>0</v>
      </c>
      <c r="AQ466" s="273">
        <f t="shared" si="1267"/>
        <v>0</v>
      </c>
      <c r="AR466" s="273">
        <f t="shared" si="1267"/>
        <v>0</v>
      </c>
      <c r="AS466" s="273">
        <f t="shared" si="1267"/>
        <v>0</v>
      </c>
      <c r="AT466" s="273">
        <f t="shared" si="1267"/>
        <v>0</v>
      </c>
      <c r="AU466" s="273">
        <f t="shared" si="1267"/>
        <v>0.53575000000000006</v>
      </c>
      <c r="AV466" s="273">
        <f t="shared" si="1267"/>
        <v>0</v>
      </c>
      <c r="AW466" s="273">
        <f t="shared" si="1267"/>
        <v>0.53575000000000006</v>
      </c>
      <c r="AX466" s="273">
        <f t="shared" si="1267"/>
        <v>0.56525000000000003</v>
      </c>
      <c r="AY466" s="273">
        <f t="shared" si="1267"/>
        <v>4.7750000000000001E-2</v>
      </c>
      <c r="AZ466" s="273">
        <f t="shared" si="1267"/>
        <v>0.61299999999999999</v>
      </c>
      <c r="BA466" s="273">
        <f t="shared" si="1267"/>
        <v>0.86802499999999994</v>
      </c>
      <c r="BB466" s="273">
        <f t="shared" si="1267"/>
        <v>5.8399999999999999E-4</v>
      </c>
      <c r="BC466" s="273">
        <f t="shared" si="1267"/>
        <v>0.86860899999999996</v>
      </c>
      <c r="BD466" s="273">
        <f t="shared" si="1267"/>
        <v>0</v>
      </c>
      <c r="BE466" s="273">
        <f t="shared" si="1267"/>
        <v>0.48278599999999999</v>
      </c>
      <c r="BF466" s="273">
        <f t="shared" si="1267"/>
        <v>0.48278599999999999</v>
      </c>
      <c r="BG466" s="273">
        <f>BG206</f>
        <v>8.1300000000000008</v>
      </c>
      <c r="BH466" s="273">
        <f>BH206</f>
        <v>0</v>
      </c>
      <c r="BI466" s="273">
        <f>8.13+15.75</f>
        <v>23.880000000000003</v>
      </c>
      <c r="BJ466" s="837">
        <v>145.672</v>
      </c>
      <c r="BK466" s="273">
        <f>BK206</f>
        <v>0</v>
      </c>
      <c r="BL466" s="837">
        <v>27.065000000000001</v>
      </c>
      <c r="BM466" s="837">
        <v>-1.0029999999999999</v>
      </c>
      <c r="BN466" s="837">
        <v>-0.81499999999999995</v>
      </c>
      <c r="BO466" s="837">
        <v>-1.8180000000000001</v>
      </c>
      <c r="BP466" s="837">
        <v>19.754000000000001</v>
      </c>
      <c r="BQ466" s="837">
        <v>0</v>
      </c>
      <c r="BR466" s="273">
        <f>BP466</f>
        <v>19.754000000000001</v>
      </c>
      <c r="BS466" s="273">
        <f>7.036-1.517</f>
        <v>5.5190000000000001</v>
      </c>
      <c r="BT466" s="837">
        <v>1.431</v>
      </c>
      <c r="BU466" s="837">
        <v>6.95</v>
      </c>
      <c r="BV466" s="273">
        <f>17.699-1.902</f>
        <v>15.797000000000002</v>
      </c>
      <c r="BW466" s="837">
        <v>1.9019999999999999</v>
      </c>
      <c r="BX466" s="273">
        <f>BV466+BW466</f>
        <v>17.699000000000002</v>
      </c>
      <c r="BY466" s="837">
        <v>19.201000000000001</v>
      </c>
      <c r="BZ466" s="837">
        <v>-18.135999999999999</v>
      </c>
      <c r="CA466" s="273">
        <f>BY466+BZ466</f>
        <v>1.0650000000000013</v>
      </c>
      <c r="CB466" s="837">
        <v>32.844000000000001</v>
      </c>
      <c r="CC466" s="837">
        <v>-13.263</v>
      </c>
      <c r="CD466" s="273">
        <f>CB466+CC466</f>
        <v>19.581000000000003</v>
      </c>
      <c r="CE466" s="837">
        <v>-3.0209999999999999</v>
      </c>
      <c r="CF466" s="273">
        <f>4.831-7.058</f>
        <v>-2.2269999999999994</v>
      </c>
      <c r="CG466" s="273">
        <f>-5.248</f>
        <v>-5.2480000000000002</v>
      </c>
      <c r="CH466" s="273">
        <f>70+8.132</f>
        <v>78.132000000000005</v>
      </c>
      <c r="CI466" s="273">
        <f>CI206</f>
        <v>-0.13500000000000001</v>
      </c>
      <c r="CJ466" s="837">
        <v>76.597999999999999</v>
      </c>
      <c r="CK466" s="273">
        <f>CK206</f>
        <v>-2.69</v>
      </c>
      <c r="CL466" s="273">
        <f>CL206</f>
        <v>0.34200000000000008</v>
      </c>
      <c r="CM466" s="273">
        <f>CM206</f>
        <v>-2.3479999999999999</v>
      </c>
      <c r="CN466" s="837">
        <v>11.164</v>
      </c>
      <c r="CO466" s="273">
        <f>2.436+23.18</f>
        <v>25.616</v>
      </c>
      <c r="CP466" s="273">
        <f>13.6+23.18</f>
        <v>36.78</v>
      </c>
      <c r="CQ466" s="273">
        <f>CQ206</f>
        <v>0</v>
      </c>
      <c r="CR466" s="837">
        <v>-1.806</v>
      </c>
      <c r="CS466" s="273">
        <f>CR466</f>
        <v>-1.806</v>
      </c>
      <c r="CT466" s="837">
        <v>13.044</v>
      </c>
      <c r="CU466" s="273">
        <f>+CT466*-1+12.804</f>
        <v>-0.24000000000000021</v>
      </c>
      <c r="CV466" s="837">
        <v>12.804</v>
      </c>
      <c r="CW466" s="273">
        <f>CW206</f>
        <v>9.0079999999999991</v>
      </c>
      <c r="CX466" s="273">
        <f>12.94744-9.008</f>
        <v>3.9394400000000012</v>
      </c>
      <c r="CY466" s="837">
        <v>14.33</v>
      </c>
      <c r="CZ466" s="273">
        <v>3.8519999999999999</v>
      </c>
      <c r="DA466" s="273">
        <f>DB466-CZ466</f>
        <v>-0.10000000000000009</v>
      </c>
      <c r="DB466" s="273">
        <v>3.7519999999999998</v>
      </c>
      <c r="DC466" s="273">
        <v>-105.3</v>
      </c>
      <c r="DD466" s="273">
        <v>117.8</v>
      </c>
      <c r="DE466" s="273">
        <f>SUM(DC466:DD466)</f>
        <v>12.5</v>
      </c>
      <c r="DF466" s="273">
        <v>17.5</v>
      </c>
      <c r="DG466" s="273">
        <f>-DF466+852.8-340+171.9</f>
        <v>667.19999999999993</v>
      </c>
      <c r="DH466" s="1139">
        <f>5.6+850-340+171.9</f>
        <v>687.5</v>
      </c>
      <c r="DI466" s="273">
        <f>DI206+112.7</f>
        <v>114.7</v>
      </c>
      <c r="DJ466" s="273">
        <v>-20.8</v>
      </c>
      <c r="DK466" s="1139">
        <f>SUM(DI466:DJ466)</f>
        <v>93.9</v>
      </c>
      <c r="DL466" s="273">
        <f>DL206</f>
        <v>-1.2</v>
      </c>
      <c r="DM466" s="273">
        <f>DM206</f>
        <v>9.9999999999999867E-2</v>
      </c>
      <c r="DN466" s="1139">
        <f>DN206</f>
        <v>-1.1000000000000001</v>
      </c>
      <c r="DO466" s="273"/>
      <c r="DP466" s="273">
        <v>-34.10275</v>
      </c>
      <c r="DQ466" s="1139">
        <f>-34.0224</f>
        <v>-34.022399999999998</v>
      </c>
      <c r="DR466" s="273">
        <f t="shared" ref="DR466:DZ466" si="1268">DR206</f>
        <v>-2.5</v>
      </c>
      <c r="DS466" s="273">
        <f t="shared" si="1268"/>
        <v>-0.29999999999999982</v>
      </c>
      <c r="DT466" s="1139">
        <f t="shared" si="1268"/>
        <v>-2.8</v>
      </c>
      <c r="DU466" s="273">
        <f t="shared" si="1268"/>
        <v>-43.6</v>
      </c>
      <c r="DV466" s="273">
        <f t="shared" si="1268"/>
        <v>-9</v>
      </c>
      <c r="DW466" s="1139">
        <f t="shared" si="1268"/>
        <v>-52.6</v>
      </c>
      <c r="DX466" s="273">
        <f t="shared" si="1268"/>
        <v>-23.6</v>
      </c>
      <c r="DY466" s="273">
        <f t="shared" si="1268"/>
        <v>-37.5</v>
      </c>
      <c r="DZ466" s="1139">
        <f t="shared" si="1268"/>
        <v>-61.1</v>
      </c>
      <c r="EA466" s="273"/>
      <c r="EB466" s="273"/>
      <c r="EC466" s="1139"/>
      <c r="ED466" s="273"/>
      <c r="EE466" s="273"/>
      <c r="EF466" s="1139"/>
      <c r="EG466" s="273"/>
      <c r="EH466" s="273"/>
      <c r="EI466" s="1139"/>
      <c r="EJ466" s="273"/>
      <c r="EK466" s="273"/>
      <c r="EL466" s="1139"/>
      <c r="EM466" s="273"/>
      <c r="EN466" s="273"/>
      <c r="EO466" s="1139"/>
      <c r="EP466" s="273"/>
      <c r="EQ466" s="273"/>
      <c r="ER466" s="1139"/>
      <c r="ES466" s="273"/>
      <c r="ET466" s="273"/>
      <c r="EU466" s="1139"/>
      <c r="EV466" s="273"/>
      <c r="EW466" s="273"/>
      <c r="EX466" s="1139"/>
      <c r="EY466" s="273"/>
      <c r="EZ466" s="273"/>
      <c r="FA466" s="1139"/>
      <c r="FE466"/>
      <c r="FF466"/>
      <c r="FG466"/>
      <c r="FH466"/>
      <c r="FI466"/>
      <c r="FJ466"/>
      <c r="FK466" s="35"/>
    </row>
    <row r="467" spans="1:167" s="236" customFormat="1" ht="13.35" customHeight="1">
      <c r="A467" s="836"/>
      <c r="B467" s="444"/>
      <c r="C467" s="308" t="s">
        <v>621</v>
      </c>
      <c r="D467" s="35"/>
      <c r="E467" s="828"/>
      <c r="F467" s="828"/>
      <c r="G467" s="35"/>
      <c r="H467" s="828"/>
      <c r="I467" s="828"/>
      <c r="J467" s="35"/>
      <c r="K467" s="828"/>
      <c r="L467" s="828"/>
      <c r="M467" s="35"/>
      <c r="N467" s="828"/>
      <c r="O467" s="828"/>
      <c r="P467" s="828"/>
      <c r="Q467" s="828"/>
      <c r="R467" s="828"/>
      <c r="S467" s="35"/>
      <c r="T467" s="828"/>
      <c r="U467" s="828"/>
      <c r="V467" s="35"/>
      <c r="W467" s="828"/>
      <c r="X467" s="828"/>
      <c r="Y467" s="35"/>
      <c r="Z467" s="828"/>
      <c r="AA467" s="828"/>
      <c r="AB467" s="35"/>
      <c r="AC467" s="828"/>
      <c r="AD467" s="828"/>
      <c r="AE467" s="35"/>
      <c r="AF467" s="828"/>
      <c r="AG467" s="828"/>
      <c r="AH467" s="35"/>
      <c r="AI467" s="828"/>
      <c r="AJ467" s="828"/>
      <c r="AK467" s="35"/>
      <c r="AL467" s="828"/>
      <c r="AM467" s="828"/>
      <c r="AN467" s="35"/>
      <c r="AO467" s="828"/>
      <c r="AP467" s="828"/>
      <c r="AQ467" s="35"/>
      <c r="AR467" s="828"/>
      <c r="AS467" s="828"/>
      <c r="AT467" s="35"/>
      <c r="AU467" s="828"/>
      <c r="AV467" s="828"/>
      <c r="AW467" s="35"/>
      <c r="AX467" s="828"/>
      <c r="AY467" s="828"/>
      <c r="BA467" s="828"/>
      <c r="BB467" s="828"/>
      <c r="BC467" s="35"/>
      <c r="BD467" s="828"/>
      <c r="BE467" s="828"/>
      <c r="BF467" s="35"/>
      <c r="BG467" s="828"/>
      <c r="BH467" s="828"/>
      <c r="BI467" s="35"/>
      <c r="BJ467" s="828"/>
      <c r="BK467" s="828"/>
      <c r="BL467" s="35"/>
      <c r="BM467" s="828"/>
      <c r="BN467" s="838"/>
      <c r="BO467" s="35"/>
      <c r="BP467" s="828"/>
      <c r="BQ467" s="828"/>
      <c r="BR467" s="35"/>
      <c r="BS467" s="828"/>
      <c r="BT467" s="828"/>
      <c r="BU467" s="35"/>
      <c r="BV467" s="828"/>
      <c r="BW467" s="828">
        <v>-1.238</v>
      </c>
      <c r="BX467" s="828">
        <v>-1.2370000000000001</v>
      </c>
      <c r="BY467" s="828"/>
      <c r="BZ467" s="838"/>
      <c r="CA467" s="35"/>
      <c r="CB467" s="838"/>
      <c r="CC467" s="838"/>
      <c r="CD467" s="838"/>
      <c r="CE467" s="838"/>
      <c r="CF467" s="838"/>
      <c r="CG467" s="35"/>
      <c r="CH467" s="838"/>
      <c r="CI467" s="828"/>
      <c r="CJ467" s="35"/>
      <c r="CK467" s="838"/>
      <c r="CL467" s="838"/>
      <c r="CM467" s="35"/>
      <c r="CN467" s="838"/>
      <c r="CO467" s="828"/>
      <c r="CP467" s="35"/>
      <c r="CQ467" s="828"/>
      <c r="CR467" s="828"/>
      <c r="CS467" s="35"/>
      <c r="CT467" s="828"/>
      <c r="CU467" s="838"/>
      <c r="CV467" s="35"/>
      <c r="CW467" s="828"/>
      <c r="CX467" s="828"/>
      <c r="CY467" s="838"/>
      <c r="CZ467" s="828"/>
      <c r="DA467" s="828"/>
      <c r="DB467" s="35"/>
      <c r="DC467" s="828"/>
      <c r="DD467" s="828"/>
      <c r="DE467" s="35"/>
      <c r="DF467" s="828"/>
      <c r="DG467" s="828"/>
      <c r="DH467" s="1067"/>
      <c r="DI467" s="828"/>
      <c r="DJ467" s="828"/>
      <c r="DK467" s="1067"/>
      <c r="DL467" s="828"/>
      <c r="DM467" s="828"/>
      <c r="DN467" s="1067"/>
      <c r="DO467" s="828">
        <v>25</v>
      </c>
      <c r="DP467" s="828">
        <v>-25</v>
      </c>
      <c r="DQ467" s="1067"/>
      <c r="DR467" s="828"/>
      <c r="DS467" s="828"/>
      <c r="DT467" s="1067"/>
      <c r="DU467" s="828"/>
      <c r="DV467" s="828"/>
      <c r="DW467" s="1067"/>
      <c r="DX467" s="828"/>
      <c r="DY467" s="828"/>
      <c r="DZ467" s="1067"/>
      <c r="EA467" s="828"/>
      <c r="EB467" s="828"/>
      <c r="EC467" s="1067"/>
      <c r="ED467" s="828"/>
      <c r="EE467" s="828"/>
      <c r="EF467" s="1067"/>
      <c r="EG467" s="828"/>
      <c r="EH467" s="828"/>
      <c r="EI467" s="1067"/>
      <c r="EJ467" s="828"/>
      <c r="EK467" s="828"/>
      <c r="EL467" s="1067"/>
      <c r="EM467" s="828"/>
      <c r="EN467" s="828"/>
      <c r="EO467" s="1067"/>
      <c r="EP467" s="828"/>
      <c r="EQ467" s="828"/>
      <c r="ER467" s="1067"/>
      <c r="ES467" s="828"/>
      <c r="ET467" s="828"/>
      <c r="EU467" s="1067"/>
      <c r="EV467" s="828"/>
      <c r="EW467" s="828"/>
      <c r="EX467" s="1067"/>
      <c r="EY467" s="828"/>
      <c r="EZ467" s="828"/>
      <c r="FA467" s="1067"/>
      <c r="FE467"/>
      <c r="FF467"/>
      <c r="FG467"/>
      <c r="FH467"/>
      <c r="FI467"/>
      <c r="FJ467"/>
      <c r="FK467" s="35"/>
    </row>
    <row r="468" spans="1:167" s="236" customFormat="1" ht="13.35" customHeight="1">
      <c r="A468" s="289" t="s">
        <v>197</v>
      </c>
      <c r="B468" s="444"/>
      <c r="C468" s="308"/>
      <c r="D468" s="35"/>
      <c r="E468" s="828"/>
      <c r="F468" s="828"/>
      <c r="G468" s="35"/>
      <c r="H468" s="828"/>
      <c r="I468" s="828"/>
      <c r="J468" s="35"/>
      <c r="K468" s="828"/>
      <c r="L468" s="828"/>
      <c r="M468" s="35"/>
      <c r="N468" s="828"/>
      <c r="O468" s="828"/>
      <c r="P468" s="828"/>
      <c r="Q468" s="828"/>
      <c r="R468" s="828"/>
      <c r="S468" s="35"/>
      <c r="T468" s="828"/>
      <c r="U468" s="828"/>
      <c r="V468" s="35"/>
      <c r="W468" s="828"/>
      <c r="X468" s="828"/>
      <c r="Y468" s="35"/>
      <c r="Z468" s="828"/>
      <c r="AA468" s="828"/>
      <c r="AB468" s="35"/>
      <c r="AC468" s="828"/>
      <c r="AD468" s="828"/>
      <c r="AE468" s="35"/>
      <c r="AF468" s="828"/>
      <c r="AG468" s="828"/>
      <c r="AH468" s="35"/>
      <c r="AI468" s="828"/>
      <c r="AJ468" s="828"/>
      <c r="AK468" s="35"/>
      <c r="AL468" s="828"/>
      <c r="AM468" s="828"/>
      <c r="AN468" s="35"/>
      <c r="AO468" s="828"/>
      <c r="AP468" s="828"/>
      <c r="AQ468" s="35"/>
      <c r="AR468" s="828"/>
      <c r="AS468" s="828"/>
      <c r="AT468" s="35"/>
      <c r="AU468" s="828"/>
      <c r="AV468" s="828"/>
      <c r="AW468" s="35"/>
      <c r="AX468" s="828"/>
      <c r="AY468" s="828"/>
      <c r="BA468" s="828"/>
      <c r="BB468" s="828"/>
      <c r="BC468" s="35"/>
      <c r="BD468" s="828"/>
      <c r="BE468" s="828"/>
      <c r="BF468" s="35"/>
      <c r="BG468" s="828"/>
      <c r="BH468" s="828"/>
      <c r="BI468" s="35"/>
      <c r="BJ468" s="828"/>
      <c r="BK468" s="828"/>
      <c r="BL468" s="35"/>
      <c r="BM468" s="828"/>
      <c r="BN468" s="828"/>
      <c r="BO468" s="35"/>
      <c r="BP468" s="828"/>
      <c r="BQ468" s="828"/>
      <c r="BR468" s="35"/>
      <c r="BS468" s="828"/>
      <c r="BT468" s="828"/>
      <c r="BU468" s="35"/>
      <c r="BV468" s="828"/>
      <c r="BW468" s="828"/>
      <c r="BX468" s="35"/>
      <c r="BY468" s="828"/>
      <c r="BZ468" s="828"/>
      <c r="CA468" s="35"/>
      <c r="CB468" s="828"/>
      <c r="CC468" s="828"/>
      <c r="CD468" s="35"/>
      <c r="CE468" s="828"/>
      <c r="CF468" s="828"/>
      <c r="CG468" s="35"/>
      <c r="CH468" s="828"/>
      <c r="CI468" s="828"/>
      <c r="CJ468" s="35"/>
      <c r="CK468" s="828"/>
      <c r="CL468" s="828"/>
      <c r="CM468" s="35"/>
      <c r="CN468" s="828"/>
      <c r="CO468" s="828"/>
      <c r="CP468" s="35"/>
      <c r="CQ468" s="828"/>
      <c r="CR468" s="828"/>
      <c r="CS468" s="35"/>
      <c r="CT468" s="828"/>
      <c r="CU468" s="828"/>
      <c r="CV468" s="35"/>
      <c r="CW468" s="828"/>
      <c r="CX468" s="828"/>
      <c r="CY468" s="35"/>
      <c r="CZ468" s="828"/>
      <c r="DA468" s="828"/>
      <c r="DB468" s="35"/>
      <c r="DC468" s="828"/>
      <c r="DD468" s="828"/>
      <c r="DE468" s="35"/>
      <c r="DF468" s="828"/>
      <c r="DG468" s="828"/>
      <c r="DH468" s="1067"/>
      <c r="DI468" s="828"/>
      <c r="DJ468" s="828"/>
      <c r="DK468" s="1067"/>
      <c r="DL468" s="828"/>
      <c r="DM468" s="828"/>
      <c r="DN468" s="1067"/>
      <c r="DO468" s="828"/>
      <c r="DP468" s="828"/>
      <c r="DQ468" s="1067"/>
      <c r="DR468" s="828"/>
      <c r="DS468" s="828"/>
      <c r="DT468" s="1067"/>
      <c r="DU468" s="828"/>
      <c r="DV468" s="828"/>
      <c r="DW468" s="1067"/>
      <c r="DX468" s="828"/>
      <c r="DY468" s="828"/>
      <c r="DZ468" s="1067"/>
      <c r="EA468" s="828"/>
      <c r="EB468" s="828"/>
      <c r="EC468" s="1067"/>
      <c r="ED468" s="828"/>
      <c r="EE468" s="828"/>
      <c r="EF468" s="1067"/>
      <c r="EG468" s="828"/>
      <c r="EH468" s="828"/>
      <c r="EI468" s="1067"/>
      <c r="EJ468" s="828"/>
      <c r="EK468" s="828"/>
      <c r="EL468" s="1067"/>
      <c r="EM468" s="828"/>
      <c r="EN468" s="828"/>
      <c r="EO468" s="1067"/>
      <c r="EP468" s="828"/>
      <c r="EQ468" s="828"/>
      <c r="ER468" s="1067"/>
      <c r="ES468" s="828"/>
      <c r="ET468" s="828"/>
      <c r="EU468" s="1067"/>
      <c r="EV468" s="828"/>
      <c r="EW468" s="828"/>
      <c r="EX468" s="1067"/>
      <c r="EY468" s="828"/>
      <c r="EZ468" s="828"/>
      <c r="FA468" s="1067"/>
      <c r="FE468"/>
      <c r="FF468"/>
      <c r="FG468"/>
      <c r="FH468"/>
      <c r="FI468"/>
      <c r="FJ468"/>
      <c r="FK468" s="35"/>
    </row>
    <row r="469" spans="1:167" s="236" customFormat="1" ht="13.35" customHeight="1">
      <c r="A469" s="289"/>
      <c r="B469" s="444" t="s">
        <v>99</v>
      </c>
      <c r="C469" s="308"/>
      <c r="D469" s="35"/>
      <c r="E469" s="828"/>
      <c r="F469" s="828"/>
      <c r="G469" s="838">
        <v>0</v>
      </c>
      <c r="H469" s="838">
        <v>0</v>
      </c>
      <c r="I469" s="838">
        <v>0</v>
      </c>
      <c r="J469" s="838">
        <v>0</v>
      </c>
      <c r="K469" s="838">
        <v>0</v>
      </c>
      <c r="L469" s="838">
        <v>0</v>
      </c>
      <c r="M469" s="838">
        <v>0</v>
      </c>
      <c r="N469" s="838">
        <v>0</v>
      </c>
      <c r="O469" s="828">
        <f>N469</f>
        <v>0</v>
      </c>
      <c r="P469" s="828">
        <f t="shared" ref="P469:BN469" si="1269">O469</f>
        <v>0</v>
      </c>
      <c r="Q469" s="828">
        <f t="shared" si="1269"/>
        <v>0</v>
      </c>
      <c r="R469" s="828">
        <f t="shared" si="1269"/>
        <v>0</v>
      </c>
      <c r="S469" s="828">
        <f t="shared" si="1269"/>
        <v>0</v>
      </c>
      <c r="T469" s="828">
        <f t="shared" si="1269"/>
        <v>0</v>
      </c>
      <c r="U469" s="828">
        <f t="shared" si="1269"/>
        <v>0</v>
      </c>
      <c r="V469" s="828">
        <f t="shared" si="1269"/>
        <v>0</v>
      </c>
      <c r="W469" s="828">
        <f t="shared" si="1269"/>
        <v>0</v>
      </c>
      <c r="X469" s="828">
        <f t="shared" si="1269"/>
        <v>0</v>
      </c>
      <c r="Y469" s="828">
        <f t="shared" si="1269"/>
        <v>0</v>
      </c>
      <c r="Z469" s="828">
        <f t="shared" si="1269"/>
        <v>0</v>
      </c>
      <c r="AA469" s="828">
        <f t="shared" si="1269"/>
        <v>0</v>
      </c>
      <c r="AB469" s="828">
        <f t="shared" si="1269"/>
        <v>0</v>
      </c>
      <c r="AC469" s="828">
        <f t="shared" si="1269"/>
        <v>0</v>
      </c>
      <c r="AD469" s="828">
        <f t="shared" si="1269"/>
        <v>0</v>
      </c>
      <c r="AE469" s="828">
        <f t="shared" si="1269"/>
        <v>0</v>
      </c>
      <c r="AF469" s="828">
        <f t="shared" si="1269"/>
        <v>0</v>
      </c>
      <c r="AG469" s="828">
        <f t="shared" si="1269"/>
        <v>0</v>
      </c>
      <c r="AH469" s="828">
        <f t="shared" si="1269"/>
        <v>0</v>
      </c>
      <c r="AI469" s="828">
        <f t="shared" si="1269"/>
        <v>0</v>
      </c>
      <c r="AJ469" s="828">
        <f t="shared" si="1269"/>
        <v>0</v>
      </c>
      <c r="AK469" s="828">
        <f t="shared" si="1269"/>
        <v>0</v>
      </c>
      <c r="AL469" s="828">
        <f t="shared" si="1269"/>
        <v>0</v>
      </c>
      <c r="AM469" s="828">
        <f t="shared" si="1269"/>
        <v>0</v>
      </c>
      <c r="AN469" s="828">
        <f t="shared" si="1269"/>
        <v>0</v>
      </c>
      <c r="AO469" s="828">
        <f t="shared" si="1269"/>
        <v>0</v>
      </c>
      <c r="AP469" s="828">
        <f t="shared" si="1269"/>
        <v>0</v>
      </c>
      <c r="AQ469" s="828">
        <f t="shared" si="1269"/>
        <v>0</v>
      </c>
      <c r="AR469" s="828">
        <f t="shared" si="1269"/>
        <v>0</v>
      </c>
      <c r="AS469" s="828">
        <f t="shared" si="1269"/>
        <v>0</v>
      </c>
      <c r="AT469" s="828">
        <f t="shared" si="1269"/>
        <v>0</v>
      </c>
      <c r="AU469" s="828">
        <f t="shared" si="1269"/>
        <v>0</v>
      </c>
      <c r="AV469" s="828">
        <f t="shared" si="1269"/>
        <v>0</v>
      </c>
      <c r="AW469" s="828">
        <f t="shared" si="1269"/>
        <v>0</v>
      </c>
      <c r="AX469" s="828">
        <f t="shared" si="1269"/>
        <v>0</v>
      </c>
      <c r="AY469" s="828">
        <f t="shared" si="1269"/>
        <v>0</v>
      </c>
      <c r="AZ469" s="828">
        <f t="shared" si="1269"/>
        <v>0</v>
      </c>
      <c r="BA469" s="828">
        <f t="shared" si="1269"/>
        <v>0</v>
      </c>
      <c r="BB469" s="828">
        <f t="shared" si="1269"/>
        <v>0</v>
      </c>
      <c r="BC469" s="828">
        <f t="shared" si="1269"/>
        <v>0</v>
      </c>
      <c r="BD469" s="828">
        <f t="shared" si="1269"/>
        <v>0</v>
      </c>
      <c r="BE469" s="828">
        <f t="shared" si="1269"/>
        <v>0</v>
      </c>
      <c r="BF469" s="828">
        <f t="shared" si="1269"/>
        <v>0</v>
      </c>
      <c r="BG469" s="828">
        <f t="shared" si="1269"/>
        <v>0</v>
      </c>
      <c r="BH469" s="828">
        <f t="shared" si="1269"/>
        <v>0</v>
      </c>
      <c r="BI469" s="828">
        <f t="shared" si="1269"/>
        <v>0</v>
      </c>
      <c r="BJ469" s="828">
        <f t="shared" si="1269"/>
        <v>0</v>
      </c>
      <c r="BK469" s="828">
        <f t="shared" si="1269"/>
        <v>0</v>
      </c>
      <c r="BL469" s="828">
        <f t="shared" si="1269"/>
        <v>0</v>
      </c>
      <c r="BM469" s="828">
        <f t="shared" si="1269"/>
        <v>0</v>
      </c>
      <c r="BN469" s="828">
        <f t="shared" si="1269"/>
        <v>0</v>
      </c>
      <c r="BO469" s="831">
        <f>BN469</f>
        <v>0</v>
      </c>
      <c r="BP469" s="831">
        <f>BO469</f>
        <v>0</v>
      </c>
      <c r="BQ469" s="831">
        <f t="shared" ref="BQ469:DN469" si="1270">BP469</f>
        <v>0</v>
      </c>
      <c r="BR469" s="831">
        <f t="shared" si="1270"/>
        <v>0</v>
      </c>
      <c r="BS469" s="831">
        <f t="shared" si="1270"/>
        <v>0</v>
      </c>
      <c r="BT469" s="831">
        <f t="shared" si="1270"/>
        <v>0</v>
      </c>
      <c r="BU469" s="831">
        <f t="shared" si="1270"/>
        <v>0</v>
      </c>
      <c r="BV469" s="831">
        <f t="shared" si="1270"/>
        <v>0</v>
      </c>
      <c r="BW469" s="831">
        <f t="shared" si="1270"/>
        <v>0</v>
      </c>
      <c r="BX469" s="831">
        <f t="shared" si="1270"/>
        <v>0</v>
      </c>
      <c r="BY469" s="831">
        <f t="shared" si="1270"/>
        <v>0</v>
      </c>
      <c r="BZ469" s="831">
        <f t="shared" si="1270"/>
        <v>0</v>
      </c>
      <c r="CA469" s="831">
        <f t="shared" si="1270"/>
        <v>0</v>
      </c>
      <c r="CB469" s="831">
        <f t="shared" si="1270"/>
        <v>0</v>
      </c>
      <c r="CC469" s="831">
        <f t="shared" si="1270"/>
        <v>0</v>
      </c>
      <c r="CD469" s="831">
        <f t="shared" si="1270"/>
        <v>0</v>
      </c>
      <c r="CE469" s="831">
        <f t="shared" si="1270"/>
        <v>0</v>
      </c>
      <c r="CF469" s="831">
        <f t="shared" si="1270"/>
        <v>0</v>
      </c>
      <c r="CG469" s="831">
        <f t="shared" si="1270"/>
        <v>0</v>
      </c>
      <c r="CH469" s="831">
        <f t="shared" si="1270"/>
        <v>0</v>
      </c>
      <c r="CI469" s="831">
        <f t="shared" si="1270"/>
        <v>0</v>
      </c>
      <c r="CJ469" s="831">
        <f t="shared" si="1270"/>
        <v>0</v>
      </c>
      <c r="CK469" s="831">
        <f t="shared" si="1270"/>
        <v>0</v>
      </c>
      <c r="CL469" s="831">
        <f t="shared" si="1270"/>
        <v>0</v>
      </c>
      <c r="CM469" s="831">
        <f t="shared" si="1270"/>
        <v>0</v>
      </c>
      <c r="CN469" s="831">
        <f t="shared" si="1270"/>
        <v>0</v>
      </c>
      <c r="CO469" s="831">
        <f t="shared" si="1270"/>
        <v>0</v>
      </c>
      <c r="CP469" s="831">
        <f t="shared" si="1270"/>
        <v>0</v>
      </c>
      <c r="CQ469" s="831">
        <f t="shared" si="1270"/>
        <v>0</v>
      </c>
      <c r="CR469" s="831">
        <f t="shared" si="1270"/>
        <v>0</v>
      </c>
      <c r="CS469" s="831">
        <f t="shared" si="1270"/>
        <v>0</v>
      </c>
      <c r="CT469" s="831">
        <f t="shared" si="1270"/>
        <v>0</v>
      </c>
      <c r="CU469" s="831">
        <f t="shared" si="1270"/>
        <v>0</v>
      </c>
      <c r="CV469" s="831">
        <f t="shared" si="1270"/>
        <v>0</v>
      </c>
      <c r="CW469" s="831">
        <f t="shared" si="1270"/>
        <v>0</v>
      </c>
      <c r="CX469" s="831">
        <f t="shared" si="1270"/>
        <v>0</v>
      </c>
      <c r="CY469" s="831">
        <f t="shared" si="1270"/>
        <v>0</v>
      </c>
      <c r="CZ469" s="831">
        <f t="shared" si="1270"/>
        <v>0</v>
      </c>
      <c r="DA469" s="831">
        <f t="shared" si="1270"/>
        <v>0</v>
      </c>
      <c r="DB469" s="831">
        <f t="shared" si="1270"/>
        <v>0</v>
      </c>
      <c r="DC469" s="831">
        <f t="shared" si="1270"/>
        <v>0</v>
      </c>
      <c r="DD469" s="831">
        <f t="shared" si="1270"/>
        <v>0</v>
      </c>
      <c r="DE469" s="831">
        <f t="shared" si="1270"/>
        <v>0</v>
      </c>
      <c r="DF469" s="831">
        <f t="shared" si="1270"/>
        <v>0</v>
      </c>
      <c r="DG469" s="831">
        <f>DF469</f>
        <v>0</v>
      </c>
      <c r="DH469" s="1327">
        <f>DG469</f>
        <v>0</v>
      </c>
      <c r="DI469" s="831">
        <f t="shared" si="1270"/>
        <v>0</v>
      </c>
      <c r="DJ469" s="831">
        <f t="shared" si="1270"/>
        <v>0</v>
      </c>
      <c r="DK469" s="1327">
        <f t="shared" si="1270"/>
        <v>0</v>
      </c>
      <c r="DL469" s="831">
        <f t="shared" si="1270"/>
        <v>0</v>
      </c>
      <c r="DM469" s="831">
        <f t="shared" si="1270"/>
        <v>0</v>
      </c>
      <c r="DN469" s="1327">
        <f t="shared" si="1270"/>
        <v>0</v>
      </c>
      <c r="DO469" s="831">
        <f t="shared" ref="DO469:DZ469" si="1271">DN469</f>
        <v>0</v>
      </c>
      <c r="DP469" s="831">
        <f t="shared" si="1271"/>
        <v>0</v>
      </c>
      <c r="DQ469" s="1327">
        <f t="shared" si="1271"/>
        <v>0</v>
      </c>
      <c r="DR469" s="831">
        <f t="shared" si="1271"/>
        <v>0</v>
      </c>
      <c r="DS469" s="831">
        <f t="shared" si="1271"/>
        <v>0</v>
      </c>
      <c r="DT469" s="1327">
        <f t="shared" si="1271"/>
        <v>0</v>
      </c>
      <c r="DU469" s="831">
        <f t="shared" si="1271"/>
        <v>0</v>
      </c>
      <c r="DV469" s="831">
        <f t="shared" si="1271"/>
        <v>0</v>
      </c>
      <c r="DW469" s="1327">
        <f t="shared" si="1271"/>
        <v>0</v>
      </c>
      <c r="DX469" s="831">
        <f t="shared" si="1271"/>
        <v>0</v>
      </c>
      <c r="DY469" s="831">
        <f t="shared" si="1271"/>
        <v>0</v>
      </c>
      <c r="DZ469" s="1327">
        <f t="shared" si="1271"/>
        <v>0</v>
      </c>
      <c r="EA469" s="831"/>
      <c r="EB469" s="831"/>
      <c r="EC469" s="1327"/>
      <c r="ED469" s="831"/>
      <c r="EE469" s="831"/>
      <c r="EF469" s="1327"/>
      <c r="EG469" s="831"/>
      <c r="EH469" s="831"/>
      <c r="EI469" s="1327"/>
      <c r="EJ469" s="831"/>
      <c r="EK469" s="831"/>
      <c r="EL469" s="1327"/>
      <c r="EM469" s="831"/>
      <c r="EN469" s="831"/>
      <c r="EO469" s="1327"/>
      <c r="EP469" s="831"/>
      <c r="EQ469" s="831"/>
      <c r="ER469" s="1327"/>
      <c r="ES469" s="831"/>
      <c r="ET469" s="831"/>
      <c r="EU469" s="1327"/>
      <c r="EV469" s="831"/>
      <c r="EW469" s="831"/>
      <c r="EX469" s="1327"/>
      <c r="EY469" s="831"/>
      <c r="EZ469" s="831"/>
      <c r="FA469" s="1327"/>
      <c r="FE469"/>
      <c r="FF469"/>
      <c r="FG469"/>
      <c r="FH469"/>
      <c r="FI469"/>
      <c r="FJ469"/>
      <c r="FK469" s="35"/>
    </row>
    <row r="470" spans="1:167" s="236" customFormat="1" ht="13.35" customHeight="1">
      <c r="A470" s="289"/>
      <c r="B470" s="242"/>
      <c r="C470" s="308"/>
      <c r="D470" s="35"/>
      <c r="E470" s="828"/>
      <c r="F470" s="828"/>
      <c r="G470" s="35"/>
      <c r="H470" s="828"/>
      <c r="I470" s="828"/>
      <c r="J470" s="35"/>
      <c r="K470" s="828"/>
      <c r="L470" s="828"/>
      <c r="M470" s="35"/>
      <c r="N470" s="828"/>
      <c r="O470" s="828"/>
      <c r="P470" s="828"/>
      <c r="Q470" s="828"/>
      <c r="R470" s="828"/>
      <c r="S470" s="35"/>
      <c r="T470" s="828"/>
      <c r="U470" s="828"/>
      <c r="V470" s="35"/>
      <c r="W470" s="828"/>
      <c r="X470" s="828"/>
      <c r="Y470" s="35"/>
      <c r="Z470" s="828"/>
      <c r="AA470" s="828"/>
      <c r="AB470" s="35"/>
      <c r="AC470" s="828"/>
      <c r="AD470" s="828"/>
      <c r="AE470" s="35"/>
      <c r="AF470" s="828"/>
      <c r="AG470" s="828"/>
      <c r="AH470" s="35"/>
      <c r="AI470" s="828"/>
      <c r="AJ470" s="828"/>
      <c r="AK470" s="35"/>
      <c r="AL470" s="828"/>
      <c r="AM470" s="828"/>
      <c r="AN470" s="35"/>
      <c r="AO470" s="828"/>
      <c r="AP470" s="828"/>
      <c r="AQ470" s="35"/>
      <c r="AR470" s="828"/>
      <c r="AS470" s="828"/>
      <c r="AT470" s="35"/>
      <c r="AU470" s="828"/>
      <c r="AV470" s="828"/>
      <c r="AW470" s="35"/>
      <c r="AX470" s="828"/>
      <c r="AY470" s="828"/>
      <c r="AZ470" s="35"/>
      <c r="BA470" s="828"/>
      <c r="BB470" s="828"/>
      <c r="BC470" s="35"/>
      <c r="BD470" s="828"/>
      <c r="BE470" s="828"/>
      <c r="BF470" s="35"/>
      <c r="BG470" s="828"/>
      <c r="BH470" s="828"/>
      <c r="BI470" s="35"/>
      <c r="BJ470" s="828"/>
      <c r="BK470" s="828"/>
      <c r="BL470" s="35"/>
      <c r="BM470" s="828"/>
      <c r="BN470" s="828"/>
      <c r="BO470" s="35"/>
      <c r="BP470" s="828"/>
      <c r="BQ470" s="828"/>
      <c r="BR470" s="35"/>
      <c r="BS470" s="828"/>
      <c r="BT470" s="828"/>
      <c r="BU470" s="35"/>
      <c r="BV470" s="828"/>
      <c r="BW470" s="828"/>
      <c r="BX470" s="35"/>
      <c r="BY470" s="828"/>
      <c r="BZ470" s="828"/>
      <c r="CA470" s="35"/>
      <c r="CB470" s="828"/>
      <c r="CC470" s="828"/>
      <c r="CD470" s="35"/>
      <c r="CE470" s="828"/>
      <c r="CF470" s="828"/>
      <c r="CG470" s="35"/>
      <c r="CH470" s="828"/>
      <c r="CI470" s="828"/>
      <c r="CJ470" s="35"/>
      <c r="CK470" s="828"/>
      <c r="CL470" s="828"/>
      <c r="CM470" s="35"/>
      <c r="CN470" s="828"/>
      <c r="CO470" s="828"/>
      <c r="CP470" s="35"/>
      <c r="CQ470" s="828"/>
      <c r="CR470" s="828"/>
      <c r="CS470" s="35"/>
      <c r="CT470" s="828"/>
      <c r="CU470" s="828"/>
      <c r="CV470" s="35"/>
      <c r="CW470" s="828"/>
      <c r="CX470" s="828"/>
      <c r="CY470" s="35"/>
      <c r="CZ470" s="828"/>
      <c r="DA470" s="828"/>
      <c r="DB470" s="35"/>
      <c r="DC470" s="828"/>
      <c r="DD470" s="828"/>
      <c r="DE470" s="35"/>
      <c r="DF470" s="828"/>
      <c r="DG470" s="828"/>
      <c r="DH470" s="1067"/>
      <c r="DI470" s="828"/>
      <c r="DJ470" s="828"/>
      <c r="DK470" s="1067"/>
      <c r="DL470" s="828"/>
      <c r="DM470" s="828"/>
      <c r="DN470" s="1067"/>
      <c r="DO470" s="828"/>
      <c r="DP470" s="828"/>
      <c r="DQ470" s="1067"/>
      <c r="DR470" s="828"/>
      <c r="DS470" s="828"/>
      <c r="DT470" s="1067"/>
      <c r="DU470" s="828"/>
      <c r="DV470" s="828"/>
      <c r="DW470" s="1067"/>
      <c r="DX470" s="828"/>
      <c r="DY470" s="828"/>
      <c r="DZ470" s="1067"/>
      <c r="EA470" s="828"/>
      <c r="EB470" s="828"/>
      <c r="EC470" s="1067"/>
      <c r="ED470" s="828"/>
      <c r="EE470" s="828"/>
      <c r="EF470" s="1067"/>
      <c r="EG470" s="828"/>
      <c r="EH470" s="828"/>
      <c r="EI470" s="1067"/>
      <c r="EJ470" s="828"/>
      <c r="EK470" s="828"/>
      <c r="EL470" s="1067"/>
      <c r="EM470" s="828"/>
      <c r="EN470" s="828"/>
      <c r="EO470" s="1067"/>
      <c r="EP470" s="828"/>
      <c r="EQ470" s="828"/>
      <c r="ER470" s="1067"/>
      <c r="ES470" s="828"/>
      <c r="ET470" s="828"/>
      <c r="EU470" s="1067"/>
      <c r="EV470" s="828"/>
      <c r="EW470" s="828"/>
      <c r="EX470" s="1067"/>
      <c r="EY470" s="828"/>
      <c r="EZ470" s="828"/>
      <c r="FA470" s="1067"/>
      <c r="FE470"/>
      <c r="FF470"/>
      <c r="FG470"/>
      <c r="FH470"/>
      <c r="FI470"/>
      <c r="FJ470"/>
      <c r="FK470" s="35"/>
    </row>
    <row r="471" spans="1:167" s="236" customFormat="1" ht="13.35" customHeight="1">
      <c r="A471" s="289" t="s">
        <v>100</v>
      </c>
      <c r="B471" s="444"/>
      <c r="C471" s="308"/>
      <c r="D471" s="35"/>
      <c r="E471" s="828"/>
      <c r="F471" s="828"/>
      <c r="G471" s="35"/>
      <c r="H471" s="828"/>
      <c r="I471" s="828"/>
      <c r="J471" s="35"/>
      <c r="K471" s="828"/>
      <c r="L471" s="828"/>
      <c r="M471" s="35"/>
      <c r="N471" s="828"/>
      <c r="O471" s="828"/>
      <c r="P471" s="828"/>
      <c r="Q471" s="828"/>
      <c r="R471" s="828"/>
      <c r="S471" s="35"/>
      <c r="T471" s="828"/>
      <c r="U471" s="828"/>
      <c r="V471" s="35"/>
      <c r="W471" s="828"/>
      <c r="X471" s="828"/>
      <c r="Y471" s="35"/>
      <c r="Z471" s="828"/>
      <c r="AA471" s="828"/>
      <c r="AB471" s="35"/>
      <c r="AC471" s="828"/>
      <c r="AD471" s="828"/>
      <c r="AE471" s="35"/>
      <c r="AF471" s="828"/>
      <c r="AG471" s="828"/>
      <c r="AH471" s="35"/>
      <c r="AI471" s="828"/>
      <c r="AJ471" s="828"/>
      <c r="AK471" s="35"/>
      <c r="AL471" s="828"/>
      <c r="AM471" s="828"/>
      <c r="AN471" s="35"/>
      <c r="AO471" s="828"/>
      <c r="AP471" s="828"/>
      <c r="AQ471" s="35"/>
      <c r="AR471" s="828"/>
      <c r="AS471" s="828"/>
      <c r="AT471" s="35"/>
      <c r="AU471" s="828"/>
      <c r="AV471" s="828"/>
      <c r="AW471" s="35"/>
      <c r="AX471" s="828"/>
      <c r="AY471" s="828"/>
      <c r="AZ471" s="35"/>
      <c r="BA471" s="828"/>
      <c r="BB471" s="828"/>
      <c r="BC471" s="35"/>
      <c r="BD471" s="828"/>
      <c r="BE471" s="828"/>
      <c r="BF471" s="35"/>
      <c r="BG471" s="828"/>
      <c r="BH471" s="828"/>
      <c r="BI471" s="35"/>
      <c r="BJ471" s="828"/>
      <c r="BK471" s="828"/>
      <c r="BL471" s="35"/>
      <c r="BM471" s="828"/>
      <c r="BN471" s="828"/>
      <c r="BO471" s="35"/>
      <c r="BP471" s="828"/>
      <c r="BQ471" s="828"/>
      <c r="BR471" s="35"/>
      <c r="BS471" s="828"/>
      <c r="BT471" s="828"/>
      <c r="BU471" s="35"/>
      <c r="BV471" s="828"/>
      <c r="BW471" s="828"/>
      <c r="BX471" s="35"/>
      <c r="BY471" s="828"/>
      <c r="BZ471" s="828"/>
      <c r="CA471" s="35"/>
      <c r="CB471" s="828"/>
      <c r="CC471" s="828"/>
      <c r="CD471" s="35"/>
      <c r="CE471" s="828"/>
      <c r="CF471" s="828"/>
      <c r="CG471" s="35"/>
      <c r="CH471" s="828"/>
      <c r="CI471" s="828"/>
      <c r="CJ471" s="35"/>
      <c r="CK471" s="828"/>
      <c r="CL471" s="828"/>
      <c r="CM471" s="35"/>
      <c r="CN471" s="828"/>
      <c r="CO471" s="828"/>
      <c r="CP471" s="35"/>
      <c r="CQ471" s="828"/>
      <c r="CR471" s="828"/>
      <c r="CS471" s="35"/>
      <c r="CT471" s="828"/>
      <c r="CU471" s="828"/>
      <c r="CV471" s="35"/>
      <c r="CW471" s="828"/>
      <c r="CX471" s="828"/>
      <c r="CY471" s="35"/>
      <c r="CZ471" s="828"/>
      <c r="DA471" s="828"/>
      <c r="DB471" s="35"/>
      <c r="DC471" s="828"/>
      <c r="DD471" s="828"/>
      <c r="DE471" s="35"/>
      <c r="DF471" s="828"/>
      <c r="DG471" s="828"/>
      <c r="DH471" s="1067"/>
      <c r="DI471" s="828"/>
      <c r="DJ471" s="828"/>
      <c r="DK471" s="1067"/>
      <c r="DL471" s="828"/>
      <c r="DM471" s="828"/>
      <c r="DN471" s="1067"/>
      <c r="DO471" s="828"/>
      <c r="DP471" s="828"/>
      <c r="DQ471" s="1067"/>
      <c r="DR471" s="828"/>
      <c r="DS471" s="828"/>
      <c r="DT471" s="1067"/>
      <c r="DU471" s="828"/>
      <c r="DV471" s="828"/>
      <c r="DW471" s="1067"/>
      <c r="DX471" s="828"/>
      <c r="DY471" s="828"/>
      <c r="DZ471" s="1067"/>
      <c r="EA471" s="828"/>
      <c r="EB471" s="828"/>
      <c r="EC471" s="1067"/>
      <c r="ED471" s="828"/>
      <c r="EE471" s="828"/>
      <c r="EF471" s="1067"/>
      <c r="EG471" s="828"/>
      <c r="EH471" s="828"/>
      <c r="EI471" s="1067"/>
      <c r="EJ471" s="828"/>
      <c r="EK471" s="828"/>
      <c r="EL471" s="1067"/>
      <c r="EM471" s="828"/>
      <c r="EN471" s="828"/>
      <c r="EO471" s="1067"/>
      <c r="EP471" s="828"/>
      <c r="EQ471" s="828"/>
      <c r="ER471" s="1067"/>
      <c r="ES471" s="828"/>
      <c r="ET471" s="828"/>
      <c r="EU471" s="1067"/>
      <c r="EV471" s="828"/>
      <c r="EW471" s="828"/>
      <c r="EX471" s="1067"/>
      <c r="EY471" s="828"/>
      <c r="EZ471" s="828"/>
      <c r="FA471" s="1067"/>
      <c r="FE471"/>
      <c r="FF471"/>
      <c r="FG471"/>
      <c r="FH471"/>
      <c r="FI471"/>
      <c r="FJ471"/>
      <c r="FK471" s="35"/>
    </row>
    <row r="472" spans="1:167" s="236" customFormat="1" ht="13.35" customHeight="1">
      <c r="A472" s="289"/>
      <c r="B472" s="242" t="s">
        <v>101</v>
      </c>
      <c r="C472" s="308"/>
      <c r="D472" s="35"/>
      <c r="E472" s="828"/>
      <c r="F472" s="828"/>
      <c r="G472" s="35"/>
      <c r="H472" s="828"/>
      <c r="I472" s="828"/>
      <c r="J472" s="35"/>
      <c r="K472" s="828"/>
      <c r="L472" s="828"/>
      <c r="M472" s="35"/>
      <c r="N472" s="828"/>
      <c r="O472" s="828"/>
      <c r="P472" s="828"/>
      <c r="Q472" s="828"/>
      <c r="R472" s="828"/>
      <c r="S472" s="35"/>
      <c r="T472" s="828"/>
      <c r="U472" s="828"/>
      <c r="V472" s="35"/>
      <c r="W472" s="828"/>
      <c r="X472" s="828"/>
      <c r="Y472" s="35"/>
      <c r="Z472" s="828"/>
      <c r="AA472" s="828"/>
      <c r="AB472" s="35"/>
      <c r="AC472" s="828"/>
      <c r="AD472" s="828"/>
      <c r="AE472" s="35"/>
      <c r="AF472" s="828"/>
      <c r="AG472" s="828"/>
      <c r="AH472" s="35"/>
      <c r="AI472" s="828"/>
      <c r="AJ472" s="828"/>
      <c r="AK472" s="35"/>
      <c r="AL472" s="828"/>
      <c r="AM472" s="828"/>
      <c r="AN472" s="35"/>
      <c r="AO472" s="828"/>
      <c r="AP472" s="828"/>
      <c r="AQ472" s="35"/>
      <c r="AR472" s="828"/>
      <c r="AS472" s="828"/>
      <c r="AT472" s="35"/>
      <c r="AU472" s="828"/>
      <c r="AV472" s="828"/>
      <c r="AW472" s="35"/>
      <c r="AX472" s="839">
        <f t="shared" ref="AX472:CA472" si="1272">+((AX139+AX411)/AX400)</f>
        <v>0.20062219814182203</v>
      </c>
      <c r="AY472" s="839">
        <f t="shared" si="1272"/>
        <v>0.18668596200094464</v>
      </c>
      <c r="AZ472" s="839">
        <f t="shared" si="1272"/>
        <v>0.38726613802576604</v>
      </c>
      <c r="BA472" s="839">
        <f t="shared" si="1272"/>
        <v>0.30976618082382912</v>
      </c>
      <c r="BB472" s="839">
        <f t="shared" si="1272"/>
        <v>0.30021481468811906</v>
      </c>
      <c r="BC472" s="839">
        <f t="shared" si="1272"/>
        <v>0.60993323984953485</v>
      </c>
      <c r="BD472" s="839">
        <f t="shared" si="1272"/>
        <v>0.33834509085413444</v>
      </c>
      <c r="BE472" s="839">
        <f t="shared" si="1272"/>
        <v>0.43434754814451387</v>
      </c>
      <c r="BF472" s="839">
        <f t="shared" si="1272"/>
        <v>0.77311252065357172</v>
      </c>
      <c r="BG472" s="839">
        <f t="shared" si="1272"/>
        <v>0.51119538005285015</v>
      </c>
      <c r="BH472" s="839">
        <f t="shared" si="1272"/>
        <v>0.58118351308926508</v>
      </c>
      <c r="BI472" s="839">
        <f t="shared" si="1272"/>
        <v>1.0927370896633219</v>
      </c>
      <c r="BJ472" s="839">
        <f t="shared" si="1272"/>
        <v>0.47720712081138705</v>
      </c>
      <c r="BK472" s="839">
        <f t="shared" si="1272"/>
        <v>0.17537323830296353</v>
      </c>
      <c r="BL472" s="839">
        <f t="shared" si="1272"/>
        <v>0.6525403171251698</v>
      </c>
      <c r="BM472" s="839">
        <f t="shared" si="1272"/>
        <v>0.52296047632798504</v>
      </c>
      <c r="BN472" s="839">
        <f t="shared" si="1272"/>
        <v>0.51486714603083394</v>
      </c>
      <c r="BO472" s="839">
        <f t="shared" si="1272"/>
        <v>1.037827622358819</v>
      </c>
      <c r="BP472" s="839">
        <f t="shared" si="1272"/>
        <v>0.76334658497845953</v>
      </c>
      <c r="BQ472" s="839">
        <f t="shared" si="1272"/>
        <v>0.65710387629699607</v>
      </c>
      <c r="BR472" s="839">
        <f t="shared" si="1272"/>
        <v>1.4204504612754556</v>
      </c>
      <c r="BS472" s="839">
        <f t="shared" si="1272"/>
        <v>0.88013378852679247</v>
      </c>
      <c r="BT472" s="839">
        <f t="shared" si="1272"/>
        <v>0.92572787164048054</v>
      </c>
      <c r="BU472" s="839">
        <f t="shared" si="1272"/>
        <v>1.8058648085253448</v>
      </c>
      <c r="BV472" s="839">
        <f t="shared" si="1272"/>
        <v>1.0260345787288463</v>
      </c>
      <c r="BW472" s="839">
        <f t="shared" si="1272"/>
        <v>1.0371792564505613</v>
      </c>
      <c r="BX472" s="839">
        <f t="shared" si="1272"/>
        <v>2.0655998696761606</v>
      </c>
      <c r="BY472" s="483">
        <f t="shared" si="1272"/>
        <v>1.2546101352284806</v>
      </c>
      <c r="BZ472" s="839">
        <f t="shared" si="1272"/>
        <v>1.0845964856883339</v>
      </c>
      <c r="CA472" s="839">
        <f t="shared" si="1272"/>
        <v>2.3318269405001506</v>
      </c>
      <c r="CB472" s="483">
        <f t="shared" ref="CB472:DN472" si="1273">+((CB139+CB411)/CB396)</f>
        <v>1.3404276043685184</v>
      </c>
      <c r="CC472" s="483">
        <f t="shared" si="1273"/>
        <v>1.4234038264258564</v>
      </c>
      <c r="CD472" s="483">
        <f t="shared" si="1273"/>
        <v>2.7601836744685428</v>
      </c>
      <c r="CE472" s="483">
        <f t="shared" si="1273"/>
        <v>1.5428059311059132</v>
      </c>
      <c r="CF472" s="483">
        <f t="shared" si="1273"/>
        <v>1.7188491685843847</v>
      </c>
      <c r="CG472" s="483">
        <f t="shared" si="1273"/>
        <v>3.258264702693086</v>
      </c>
      <c r="CH472" s="483">
        <f t="shared" si="1273"/>
        <v>-0.35909074033204597</v>
      </c>
      <c r="CI472" s="483">
        <f t="shared" si="1273"/>
        <v>1.3594422660426171</v>
      </c>
      <c r="CJ472" s="483">
        <f t="shared" si="1273"/>
        <v>1.0077135741120566</v>
      </c>
      <c r="CK472" s="483">
        <f t="shared" si="1273"/>
        <v>1.3656610122531683</v>
      </c>
      <c r="CL472" s="483">
        <f t="shared" si="1273"/>
        <v>0.964980631746442</v>
      </c>
      <c r="CM472" s="483">
        <f t="shared" si="1273"/>
        <v>2.3301527830923465</v>
      </c>
      <c r="CN472" s="483">
        <f t="shared" si="1273"/>
        <v>0.36970099630421971</v>
      </c>
      <c r="CO472" s="483">
        <f t="shared" si="1273"/>
        <v>1.2765005082180954</v>
      </c>
      <c r="CP472" s="483">
        <f t="shared" si="1273"/>
        <v>1.6464644500004206</v>
      </c>
      <c r="CQ472" s="483">
        <f t="shared" si="1273"/>
        <v>1.2533969251763217</v>
      </c>
      <c r="CR472" s="483">
        <f t="shared" si="1273"/>
        <v>1.3076595731454261</v>
      </c>
      <c r="CS472" s="483">
        <f t="shared" si="1273"/>
        <v>2.5607883463480992</v>
      </c>
      <c r="CT472" s="483">
        <f t="shared" si="1273"/>
        <v>1.6509392637014195</v>
      </c>
      <c r="CU472" s="483">
        <f t="shared" si="1273"/>
        <v>1.6573432197949829</v>
      </c>
      <c r="CV472" s="483">
        <f t="shared" si="1273"/>
        <v>3.3060179392697586</v>
      </c>
      <c r="CW472" s="483">
        <f t="shared" si="1273"/>
        <v>1.9418999852835428</v>
      </c>
      <c r="CX472" s="483">
        <f t="shared" si="1273"/>
        <v>1.9623776977270198</v>
      </c>
      <c r="CY472" s="483">
        <f t="shared" si="1273"/>
        <v>3.9094209324092004</v>
      </c>
      <c r="CZ472" s="483">
        <f t="shared" si="1273"/>
        <v>1.9266842058688503</v>
      </c>
      <c r="DA472" s="483">
        <f t="shared" si="1273"/>
        <v>2.3466970195991794</v>
      </c>
      <c r="DB472" s="483">
        <f t="shared" si="1273"/>
        <v>4.2727268697590981</v>
      </c>
      <c r="DC472" s="483">
        <f t="shared" si="1273"/>
        <v>2.2302910962895153</v>
      </c>
      <c r="DD472" s="483">
        <f t="shared" si="1273"/>
        <v>2.3788985820199837</v>
      </c>
      <c r="DE472" s="483">
        <f t="shared" si="1273"/>
        <v>4.609260713757628</v>
      </c>
      <c r="DF472" s="483">
        <f t="shared" si="1273"/>
        <v>2.2962518991448091</v>
      </c>
      <c r="DG472" s="483">
        <f t="shared" si="1273"/>
        <v>0.3432045188096467</v>
      </c>
      <c r="DH472" s="1329">
        <f t="shared" si="1273"/>
        <v>2.5790395985204495</v>
      </c>
      <c r="DI472" s="483">
        <f t="shared" si="1273"/>
        <v>1.9124102706580137</v>
      </c>
      <c r="DJ472" s="483">
        <f t="shared" si="1273"/>
        <v>1.7483019009208587</v>
      </c>
      <c r="DK472" s="1329">
        <f t="shared" si="1273"/>
        <v>3.6615231452840482</v>
      </c>
      <c r="DL472" s="483">
        <f t="shared" si="1273"/>
        <v>2.6326788646338999</v>
      </c>
      <c r="DM472" s="483">
        <f t="shared" si="1273"/>
        <v>1.992992626976384</v>
      </c>
      <c r="DN472" s="1329">
        <f t="shared" si="1273"/>
        <v>4.6265757096867084</v>
      </c>
      <c r="DO472" s="483">
        <f t="shared" ref="DO472:DZ472" si="1274">+((DO139+DO411)/DO396)</f>
        <v>2.3372120198372048</v>
      </c>
      <c r="DP472" s="483">
        <f t="shared" si="1274"/>
        <v>2.6429979190402033</v>
      </c>
      <c r="DQ472" s="1329">
        <f t="shared" si="1274"/>
        <v>4.9808064460135704</v>
      </c>
      <c r="DR472" s="483">
        <f t="shared" si="1274"/>
        <v>3.0929237631118354</v>
      </c>
      <c r="DS472" s="483">
        <f t="shared" si="1274"/>
        <v>2.6715814330062067</v>
      </c>
      <c r="DT472" s="1329">
        <f>+((DT139+DT411)/DT396)</f>
        <v>5.7679125414721764</v>
      </c>
      <c r="DU472" s="483">
        <f t="shared" si="1274"/>
        <v>3.1326190430367387</v>
      </c>
      <c r="DV472" s="483">
        <f t="shared" si="1274"/>
        <v>2.8084393625763973</v>
      </c>
      <c r="DW472" s="1329">
        <f t="shared" si="1274"/>
        <v>5.9430210526134024</v>
      </c>
      <c r="DX472" s="483">
        <f t="shared" si="1274"/>
        <v>2.4695320904914859</v>
      </c>
      <c r="DY472" s="483">
        <f t="shared" si="1274"/>
        <v>2.6178106169204756</v>
      </c>
      <c r="DZ472" s="1329">
        <f t="shared" si="1274"/>
        <v>5.0895231520629727</v>
      </c>
      <c r="EA472" s="483"/>
      <c r="EB472" s="483"/>
      <c r="EC472" s="1329"/>
      <c r="ED472" s="483"/>
      <c r="EE472" s="483"/>
      <c r="EF472" s="1329"/>
      <c r="EG472" s="483"/>
      <c r="EH472" s="483"/>
      <c r="EI472" s="1329"/>
      <c r="EJ472" s="483"/>
      <c r="EK472" s="483"/>
      <c r="EL472" s="1329"/>
      <c r="EM472" s="483"/>
      <c r="EN472" s="483"/>
      <c r="EO472" s="1329"/>
      <c r="EP472" s="483"/>
      <c r="EQ472" s="483"/>
      <c r="ER472" s="1329"/>
      <c r="ES472" s="483"/>
      <c r="ET472" s="483"/>
      <c r="EU472" s="1329"/>
      <c r="EV472" s="483"/>
      <c r="EW472" s="483"/>
      <c r="EX472" s="1329"/>
      <c r="EY472" s="483"/>
      <c r="EZ472" s="483"/>
      <c r="FA472" s="1329"/>
      <c r="FE472"/>
      <c r="FF472"/>
      <c r="FG472"/>
      <c r="FH472"/>
      <c r="FI472"/>
      <c r="FJ472"/>
      <c r="FK472" s="35"/>
    </row>
    <row r="473" spans="1:167" s="236" customFormat="1" ht="13.35" customHeight="1">
      <c r="A473" s="289"/>
      <c r="B473" s="242"/>
      <c r="C473" s="308"/>
      <c r="D473" s="35"/>
      <c r="E473" s="828"/>
      <c r="F473" s="828"/>
      <c r="G473" s="35"/>
      <c r="H473" s="828"/>
      <c r="I473" s="828"/>
      <c r="J473" s="35"/>
      <c r="K473" s="828"/>
      <c r="L473" s="828"/>
      <c r="M473" s="35"/>
      <c r="N473" s="828"/>
      <c r="O473" s="828"/>
      <c r="P473" s="828"/>
      <c r="Q473" s="828"/>
      <c r="R473" s="828"/>
      <c r="S473" s="35"/>
      <c r="T473" s="828"/>
      <c r="U473" s="828"/>
      <c r="V473" s="35"/>
      <c r="W473" s="828"/>
      <c r="X473" s="828"/>
      <c r="Y473" s="35"/>
      <c r="Z473" s="828"/>
      <c r="AA473" s="828"/>
      <c r="AB473" s="35"/>
      <c r="AC473" s="828"/>
      <c r="AD473" s="828"/>
      <c r="AE473" s="35"/>
      <c r="AF473" s="828"/>
      <c r="AG473" s="828"/>
      <c r="AH473" s="35"/>
      <c r="AI473" s="828"/>
      <c r="AJ473" s="828"/>
      <c r="AK473" s="35"/>
      <c r="AL473" s="828"/>
      <c r="AM473" s="828"/>
      <c r="AN473" s="35"/>
      <c r="AO473" s="828"/>
      <c r="AP473" s="828"/>
      <c r="AQ473" s="35"/>
      <c r="AR473" s="828"/>
      <c r="AS473" s="828"/>
      <c r="AT473" s="35"/>
      <c r="AU473" s="828"/>
      <c r="AV473" s="828"/>
      <c r="AW473" s="35"/>
      <c r="AX473" s="828"/>
      <c r="AY473" s="828"/>
      <c r="AZ473" s="828"/>
      <c r="BA473" s="828"/>
      <c r="BB473" s="828"/>
      <c r="BC473" s="828"/>
      <c r="BD473" s="828"/>
      <c r="BE473" s="828"/>
      <c r="BF473" s="828"/>
      <c r="BG473" s="828"/>
      <c r="BH473" s="828"/>
      <c r="BI473" s="828"/>
      <c r="BJ473" s="828"/>
      <c r="BK473" s="828"/>
      <c r="BL473" s="828"/>
      <c r="BM473" s="828"/>
      <c r="BN473" s="828"/>
      <c r="BO473" s="828"/>
      <c r="BP473" s="828"/>
      <c r="BQ473" s="828"/>
      <c r="BR473" s="828"/>
      <c r="BS473" s="828"/>
      <c r="BT473" s="828"/>
      <c r="BU473" s="828"/>
      <c r="BV473" s="828"/>
      <c r="BW473" s="828"/>
      <c r="BX473" s="828"/>
      <c r="BY473" s="828"/>
      <c r="BZ473" s="828"/>
      <c r="CA473" s="828"/>
      <c r="CB473" s="828"/>
      <c r="CC473" s="828"/>
      <c r="CD473" s="828"/>
      <c r="CE473" s="828"/>
      <c r="CF473" s="828"/>
      <c r="CG473" s="828"/>
      <c r="CH473" s="828"/>
      <c r="CI473" s="828"/>
      <c r="CJ473" s="828"/>
      <c r="CK473" s="828"/>
      <c r="CL473" s="828"/>
      <c r="CM473" s="828"/>
      <c r="CN473" s="828"/>
      <c r="CO473" s="828"/>
      <c r="CP473" s="828"/>
      <c r="CQ473" s="828"/>
      <c r="CR473" s="828"/>
      <c r="CS473" s="828"/>
      <c r="CT473" s="828"/>
      <c r="CU473" s="828"/>
      <c r="CV473" s="828"/>
      <c r="CW473" s="828"/>
      <c r="CX473" s="828"/>
      <c r="CY473" s="828"/>
      <c r="CZ473" s="828"/>
      <c r="DA473" s="828"/>
      <c r="DB473" s="828"/>
      <c r="DC473" s="828"/>
      <c r="DD473" s="828"/>
      <c r="DE473" s="828"/>
      <c r="DF473" s="828"/>
      <c r="DG473" s="828"/>
      <c r="DH473" s="1330"/>
      <c r="DI473" s="828"/>
      <c r="DJ473" s="828"/>
      <c r="DK473" s="1330"/>
      <c r="DL473" s="828"/>
      <c r="DM473" s="828"/>
      <c r="DN473" s="1330"/>
      <c r="DO473" s="828"/>
      <c r="DP473" s="828"/>
      <c r="DQ473" s="1330"/>
      <c r="DR473" s="828"/>
      <c r="DS473" s="828"/>
      <c r="DT473" s="1330"/>
      <c r="DU473" s="828"/>
      <c r="DV473" s="828"/>
      <c r="DW473" s="1330"/>
      <c r="DX473" s="828"/>
      <c r="DY473" s="828"/>
      <c r="DZ473" s="1330"/>
      <c r="EA473" s="828"/>
      <c r="EB473" s="828"/>
      <c r="EC473" s="1330"/>
      <c r="ED473" s="828"/>
      <c r="EE473" s="828"/>
      <c r="EF473" s="1330"/>
      <c r="EG473" s="828"/>
      <c r="EH473" s="828"/>
      <c r="EI473" s="1330"/>
      <c r="EJ473" s="828"/>
      <c r="EK473" s="828"/>
      <c r="EL473" s="1330"/>
      <c r="EM473" s="828"/>
      <c r="EN473" s="828"/>
      <c r="EO473" s="1330"/>
      <c r="EP473" s="828"/>
      <c r="EQ473" s="828"/>
      <c r="ER473" s="1330"/>
      <c r="ES473" s="828"/>
      <c r="ET473" s="828"/>
      <c r="EU473" s="1330"/>
      <c r="EV473" s="828"/>
      <c r="EW473" s="828"/>
      <c r="EX473" s="1330"/>
      <c r="EY473" s="828"/>
      <c r="EZ473" s="828"/>
      <c r="FA473" s="1330"/>
      <c r="FE473"/>
      <c r="FF473"/>
      <c r="FG473"/>
      <c r="FH473"/>
      <c r="FI473"/>
      <c r="FJ473"/>
      <c r="FK473" s="35"/>
    </row>
    <row r="474" spans="1:167" s="236" customFormat="1" ht="13.35" customHeight="1">
      <c r="A474" s="289" t="s">
        <v>102</v>
      </c>
      <c r="B474" s="242"/>
      <c r="C474" s="308"/>
      <c r="D474" s="35"/>
      <c r="E474" s="828"/>
      <c r="F474" s="828"/>
      <c r="G474" s="35"/>
      <c r="H474" s="828"/>
      <c r="I474" s="828"/>
      <c r="J474" s="35"/>
      <c r="K474" s="828"/>
      <c r="L474" s="828"/>
      <c r="M474" s="35"/>
      <c r="N474" s="828"/>
      <c r="O474" s="828"/>
      <c r="P474" s="828"/>
      <c r="Q474" s="828"/>
      <c r="R474" s="828"/>
      <c r="S474" s="35"/>
      <c r="T474" s="828"/>
      <c r="U474" s="828"/>
      <c r="V474" s="35"/>
      <c r="W474" s="828"/>
      <c r="X474" s="828"/>
      <c r="Y474" s="35"/>
      <c r="Z474" s="828"/>
      <c r="AA474" s="828"/>
      <c r="AB474" s="35"/>
      <c r="AC474" s="828"/>
      <c r="AD474" s="828"/>
      <c r="AE474" s="35"/>
      <c r="AF474" s="828"/>
      <c r="AG474" s="828"/>
      <c r="AH474" s="35"/>
      <c r="AI474" s="828"/>
      <c r="AJ474" s="828"/>
      <c r="AK474" s="35"/>
      <c r="AL474" s="828"/>
      <c r="AM474" s="828"/>
      <c r="AN474" s="35"/>
      <c r="AO474" s="828"/>
      <c r="AP474" s="828"/>
      <c r="AQ474" s="35"/>
      <c r="AR474" s="828"/>
      <c r="AS474" s="828"/>
      <c r="AT474" s="35"/>
      <c r="AU474" s="828"/>
      <c r="AV474" s="828"/>
      <c r="AW474" s="35"/>
      <c r="AX474" s="828"/>
      <c r="AY474" s="828"/>
      <c r="AZ474" s="35"/>
      <c r="BA474" s="828"/>
      <c r="BB474" s="828"/>
      <c r="BC474" s="35"/>
      <c r="BD474" s="828"/>
      <c r="BE474" s="828"/>
      <c r="BF474" s="35"/>
      <c r="BG474" s="828"/>
      <c r="BH474" s="828"/>
      <c r="BI474" s="35"/>
      <c r="BJ474" s="828"/>
      <c r="BK474" s="828"/>
      <c r="BL474" s="35"/>
      <c r="BM474" s="828"/>
      <c r="BN474" s="828"/>
      <c r="BO474" s="35"/>
      <c r="BP474" s="828"/>
      <c r="BQ474" s="828"/>
      <c r="BR474" s="35"/>
      <c r="BS474" s="828"/>
      <c r="BT474" s="828"/>
      <c r="BU474" s="35"/>
      <c r="BV474" s="828"/>
      <c r="BW474" s="828"/>
      <c r="BX474" s="35"/>
      <c r="BY474" s="828"/>
      <c r="BZ474" s="828"/>
      <c r="CA474" s="35"/>
      <c r="CB474" s="828"/>
      <c r="CC474" s="828"/>
      <c r="CD474" s="35"/>
      <c r="CE474" s="828"/>
      <c r="CF474" s="828"/>
      <c r="CG474" s="35"/>
      <c r="CH474" s="828"/>
      <c r="CI474" s="828"/>
      <c r="CJ474" s="35"/>
      <c r="CK474" s="828"/>
      <c r="CL474" s="828"/>
      <c r="CM474" s="35"/>
      <c r="CN474" s="828"/>
      <c r="CO474" s="828"/>
      <c r="CP474" s="35"/>
      <c r="CQ474" s="828"/>
      <c r="CR474" s="828"/>
      <c r="CS474" s="35"/>
      <c r="CT474" s="828"/>
      <c r="CU474" s="828"/>
      <c r="CV474" s="35"/>
      <c r="CW474" s="828"/>
      <c r="CX474" s="828"/>
      <c r="CY474" s="35"/>
      <c r="CZ474" s="828"/>
      <c r="DA474" s="828"/>
      <c r="DB474" s="35"/>
      <c r="DC474" s="828"/>
      <c r="DD474" s="828"/>
      <c r="DE474" s="35"/>
      <c r="DF474" s="828"/>
      <c r="DG474" s="828"/>
      <c r="DH474" s="1067"/>
      <c r="DI474" s="828"/>
      <c r="DJ474" s="828"/>
      <c r="DK474" s="1067"/>
      <c r="DL474" s="828"/>
      <c r="DM474" s="828"/>
      <c r="DN474" s="1067"/>
      <c r="DO474" s="828"/>
      <c r="DP474" s="828"/>
      <c r="DQ474" s="1067"/>
      <c r="DR474" s="828"/>
      <c r="DS474" s="828"/>
      <c r="DT474" s="1067"/>
      <c r="DU474" s="828"/>
      <c r="DV474" s="828"/>
      <c r="DW474" s="1067"/>
      <c r="DX474" s="828"/>
      <c r="DY474" s="828"/>
      <c r="DZ474" s="1067"/>
      <c r="EA474" s="828"/>
      <c r="EB474" s="828"/>
      <c r="EC474" s="1067"/>
      <c r="ED474" s="828"/>
      <c r="EE474" s="828"/>
      <c r="EF474" s="1067"/>
      <c r="EG474" s="828"/>
      <c r="EH474" s="828"/>
      <c r="EI474" s="1067"/>
      <c r="EJ474" s="828"/>
      <c r="EK474" s="828"/>
      <c r="EL474" s="1067"/>
      <c r="EM474" s="828"/>
      <c r="EN474" s="828"/>
      <c r="EO474" s="1067"/>
      <c r="EP474" s="828"/>
      <c r="EQ474" s="828"/>
      <c r="ER474" s="1067"/>
      <c r="ES474" s="828"/>
      <c r="ET474" s="828"/>
      <c r="EU474" s="1067"/>
      <c r="EV474" s="828"/>
      <c r="EW474" s="828"/>
      <c r="EX474" s="1067"/>
      <c r="EY474" s="828"/>
      <c r="EZ474" s="828"/>
      <c r="FA474" s="1067"/>
      <c r="FE474"/>
      <c r="FF474"/>
      <c r="FG474"/>
      <c r="FH474"/>
      <c r="FI474"/>
      <c r="FJ474"/>
      <c r="FK474" s="35"/>
    </row>
    <row r="475" spans="1:167" s="236" customFormat="1" ht="13.35" customHeight="1">
      <c r="A475" s="289"/>
      <c r="B475" s="444" t="s">
        <v>478</v>
      </c>
      <c r="C475" s="308"/>
      <c r="D475" s="35"/>
      <c r="E475" s="828"/>
      <c r="F475" s="828"/>
      <c r="G475" s="35"/>
      <c r="H475" s="828"/>
      <c r="I475" s="828"/>
      <c r="J475" s="35"/>
      <c r="K475" s="828"/>
      <c r="L475" s="828"/>
      <c r="M475" s="35"/>
      <c r="N475" s="828"/>
      <c r="O475" s="828"/>
      <c r="P475" s="828"/>
      <c r="Q475" s="828"/>
      <c r="R475" s="828"/>
      <c r="S475" s="35"/>
      <c r="T475" s="828"/>
      <c r="U475" s="828"/>
      <c r="V475" s="35"/>
      <c r="W475" s="828"/>
      <c r="X475" s="828"/>
      <c r="Y475" s="35"/>
      <c r="Z475" s="828"/>
      <c r="AA475" s="828"/>
      <c r="AB475" s="35"/>
      <c r="AC475" s="828"/>
      <c r="AD475" s="828"/>
      <c r="AE475" s="35"/>
      <c r="AF475" s="828"/>
      <c r="AG475" s="828"/>
      <c r="AH475" s="35"/>
      <c r="AI475" s="828"/>
      <c r="AJ475" s="828"/>
      <c r="AK475" s="35"/>
      <c r="AL475" s="828"/>
      <c r="AM475" s="828"/>
      <c r="AN475" s="35"/>
      <c r="AO475" s="828"/>
      <c r="AP475" s="828"/>
      <c r="AQ475" s="35"/>
      <c r="AR475" s="828"/>
      <c r="AS475" s="828"/>
      <c r="AT475" s="35"/>
      <c r="AU475" s="828"/>
      <c r="AV475" s="828"/>
      <c r="AW475" s="35"/>
      <c r="AX475" s="830">
        <f t="shared" ref="AX475:BF475" si="1275">AX42</f>
        <v>67.359000000000009</v>
      </c>
      <c r="AY475" s="830">
        <f t="shared" si="1275"/>
        <v>78.982999999999976</v>
      </c>
      <c r="AZ475" s="830">
        <f t="shared" si="1275"/>
        <v>146.34199999999998</v>
      </c>
      <c r="BA475" s="830">
        <f t="shared" si="1275"/>
        <v>103.773</v>
      </c>
      <c r="BB475" s="830">
        <f t="shared" si="1275"/>
        <v>118.46099999999998</v>
      </c>
      <c r="BC475" s="830">
        <f t="shared" si="1275"/>
        <v>222.23399999999998</v>
      </c>
      <c r="BD475" s="830">
        <f t="shared" si="1275"/>
        <v>120.29899999999999</v>
      </c>
      <c r="BE475" s="830">
        <f t="shared" si="1275"/>
        <v>136.80600000000004</v>
      </c>
      <c r="BF475" s="830">
        <f t="shared" si="1275"/>
        <v>257.10500000000002</v>
      </c>
      <c r="BG475" s="830"/>
      <c r="BH475" s="830"/>
      <c r="BI475" s="830">
        <f t="shared" ref="BI475:CN475" si="1276">BI42</f>
        <v>289.23199999999997</v>
      </c>
      <c r="BJ475" s="830">
        <f t="shared" si="1276"/>
        <v>139.208</v>
      </c>
      <c r="BK475" s="830">
        <f t="shared" si="1276"/>
        <v>148.85799999999998</v>
      </c>
      <c r="BL475" s="830">
        <f t="shared" si="1276"/>
        <v>288.06599999999997</v>
      </c>
      <c r="BM475" s="830">
        <f t="shared" si="1276"/>
        <v>165.17200000000003</v>
      </c>
      <c r="BN475" s="830">
        <f t="shared" si="1276"/>
        <v>186.52099999999996</v>
      </c>
      <c r="BO475" s="830">
        <f t="shared" si="1276"/>
        <v>351.69299999999998</v>
      </c>
      <c r="BP475" s="830">
        <f t="shared" si="1276"/>
        <v>228.54527476882589</v>
      </c>
      <c r="BQ475" s="830">
        <f t="shared" si="1276"/>
        <v>230.44372523117414</v>
      </c>
      <c r="BR475" s="830">
        <f t="shared" si="1276"/>
        <v>458.98900000000003</v>
      </c>
      <c r="BS475" s="830">
        <f t="shared" si="1276"/>
        <v>264.93939571387568</v>
      </c>
      <c r="BT475" s="830">
        <f t="shared" si="1276"/>
        <v>272.35689113529941</v>
      </c>
      <c r="BU475" s="830">
        <f t="shared" si="1276"/>
        <v>537.29628684917509</v>
      </c>
      <c r="BV475" s="830">
        <f t="shared" si="1276"/>
        <v>290.6989109551065</v>
      </c>
      <c r="BW475" s="830">
        <f t="shared" si="1276"/>
        <v>292.8337446598689</v>
      </c>
      <c r="BX475" s="830">
        <f t="shared" si="1276"/>
        <v>583.5326556149754</v>
      </c>
      <c r="BY475" s="830">
        <f t="shared" si="1276"/>
        <v>370.43200701507334</v>
      </c>
      <c r="BZ475" s="830">
        <f t="shared" si="1276"/>
        <v>314.07565392442206</v>
      </c>
      <c r="CA475" s="830">
        <f t="shared" si="1276"/>
        <v>684.50766093949539</v>
      </c>
      <c r="CB475" s="830">
        <f t="shared" si="1276"/>
        <v>336.53256818581059</v>
      </c>
      <c r="CC475" s="830">
        <f t="shared" si="1276"/>
        <v>370.57414887490808</v>
      </c>
      <c r="CD475" s="830">
        <f t="shared" si="1276"/>
        <v>707.10671706071867</v>
      </c>
      <c r="CE475" s="830">
        <f t="shared" si="1276"/>
        <v>496.18546072280833</v>
      </c>
      <c r="CF475" s="830">
        <f t="shared" si="1276"/>
        <v>419.41883570144148</v>
      </c>
      <c r="CG475" s="830">
        <f t="shared" si="1276"/>
        <v>915.60429642424981</v>
      </c>
      <c r="CH475" s="830">
        <f t="shared" si="1276"/>
        <v>375.80790545173983</v>
      </c>
      <c r="CI475" s="830">
        <f t="shared" si="1276"/>
        <v>379.74600162441601</v>
      </c>
      <c r="CJ475" s="830">
        <f t="shared" si="1276"/>
        <v>755.55390707615584</v>
      </c>
      <c r="CK475" s="830">
        <f t="shared" si="1276"/>
        <v>378.78012664803106</v>
      </c>
      <c r="CL475" s="830">
        <f t="shared" si="1276"/>
        <v>346.74922347682224</v>
      </c>
      <c r="CM475" s="830">
        <f t="shared" si="1276"/>
        <v>725.52935012485329</v>
      </c>
      <c r="CN475" s="830">
        <f t="shared" si="1276"/>
        <v>355.71587042604898</v>
      </c>
      <c r="CO475" s="830">
        <f t="shared" ref="CO475:DN475" si="1277">CO42</f>
        <v>417.50151057402564</v>
      </c>
      <c r="CP475" s="830">
        <f t="shared" si="1277"/>
        <v>773.21738100007462</v>
      </c>
      <c r="CQ475" s="830">
        <f t="shared" si="1277"/>
        <v>438.44397730967518</v>
      </c>
      <c r="CR475" s="830">
        <f t="shared" si="1277"/>
        <v>487.50586019032477</v>
      </c>
      <c r="CS475" s="830">
        <f t="shared" si="1277"/>
        <v>925.94983749999994</v>
      </c>
      <c r="CT475" s="830">
        <f t="shared" si="1277"/>
        <v>558.21851183171577</v>
      </c>
      <c r="CU475" s="830">
        <f t="shared" si="1277"/>
        <v>571.12945808650886</v>
      </c>
      <c r="CV475" s="830">
        <f t="shared" si="1277"/>
        <v>1129.3479699182246</v>
      </c>
      <c r="CW475" s="830">
        <f t="shared" si="1277"/>
        <v>609.39019903206474</v>
      </c>
      <c r="CX475" s="830">
        <f t="shared" si="1277"/>
        <v>644.29372335415439</v>
      </c>
      <c r="CY475" s="830">
        <f t="shared" si="1277"/>
        <v>1253.6839223862191</v>
      </c>
      <c r="CZ475" s="830">
        <f t="shared" si="1277"/>
        <v>639.5801137056186</v>
      </c>
      <c r="DA475" s="830">
        <f t="shared" si="1277"/>
        <v>704.72893173547084</v>
      </c>
      <c r="DB475" s="830">
        <f t="shared" si="1277"/>
        <v>1344.3090454410894</v>
      </c>
      <c r="DC475" s="830">
        <f t="shared" si="1277"/>
        <v>702.83750527281177</v>
      </c>
      <c r="DD475" s="830">
        <f t="shared" si="1277"/>
        <v>721.42048173020407</v>
      </c>
      <c r="DE475" s="830">
        <f t="shared" si="1277"/>
        <v>1424.2579870030158</v>
      </c>
      <c r="DF475" s="830">
        <f t="shared" si="1277"/>
        <v>753.06031980134276</v>
      </c>
      <c r="DG475" s="830">
        <f t="shared" si="1277"/>
        <v>573.70873914614913</v>
      </c>
      <c r="DH475" s="1331">
        <f t="shared" si="1277"/>
        <v>1326.7690589474919</v>
      </c>
      <c r="DI475" s="830">
        <f t="shared" si="1277"/>
        <v>745.69999999999993</v>
      </c>
      <c r="DJ475" s="830">
        <f t="shared" si="1277"/>
        <v>755.49999999999989</v>
      </c>
      <c r="DK475" s="1331">
        <f t="shared" si="1277"/>
        <v>1501.1999999999998</v>
      </c>
      <c r="DL475" s="830">
        <f t="shared" si="1277"/>
        <v>821.5</v>
      </c>
      <c r="DM475" s="830">
        <f t="shared" si="1277"/>
        <v>829.2</v>
      </c>
      <c r="DN475" s="1331">
        <f t="shared" si="1277"/>
        <v>1650.7</v>
      </c>
      <c r="DO475" s="830">
        <f t="shared" ref="DO475:DZ475" si="1278">DO42</f>
        <v>891.60000000000014</v>
      </c>
      <c r="DP475" s="830">
        <f t="shared" si="1278"/>
        <v>1061</v>
      </c>
      <c r="DQ475" s="1331">
        <f t="shared" si="1278"/>
        <v>1952.6000000000001</v>
      </c>
      <c r="DR475" s="830">
        <f t="shared" si="1278"/>
        <v>1107.9000000000001</v>
      </c>
      <c r="DS475" s="830">
        <f t="shared" si="1278"/>
        <v>1146.7000000000003</v>
      </c>
      <c r="DT475" s="1331">
        <f t="shared" si="1278"/>
        <v>2254.6000000000004</v>
      </c>
      <c r="DU475" s="830">
        <f t="shared" si="1278"/>
        <v>1179.2900000000002</v>
      </c>
      <c r="DV475" s="830">
        <f t="shared" si="1278"/>
        <v>1175.5099999999995</v>
      </c>
      <c r="DW475" s="1331">
        <f t="shared" si="1278"/>
        <v>2354.7999999999997</v>
      </c>
      <c r="DX475" s="830">
        <f t="shared" si="1278"/>
        <v>1175.6000000000001</v>
      </c>
      <c r="DY475" s="830">
        <f t="shared" si="1278"/>
        <v>1345.8094108342045</v>
      </c>
      <c r="DZ475" s="1331">
        <f t="shared" si="1278"/>
        <v>2521.4094108342047</v>
      </c>
      <c r="EA475" s="830"/>
      <c r="EB475" s="830"/>
      <c r="EC475" s="1331"/>
      <c r="ED475" s="830"/>
      <c r="EE475" s="830"/>
      <c r="EF475" s="1331"/>
      <c r="EG475" s="830"/>
      <c r="EH475" s="830"/>
      <c r="EI475" s="1331"/>
      <c r="EJ475" s="830"/>
      <c r="EK475" s="830"/>
      <c r="EL475" s="1331"/>
      <c r="EM475" s="830"/>
      <c r="EN475" s="830"/>
      <c r="EO475" s="1331"/>
      <c r="EP475" s="830"/>
      <c r="EQ475" s="830"/>
      <c r="ER475" s="1331"/>
      <c r="ES475" s="830"/>
      <c r="ET475" s="830"/>
      <c r="EU475" s="1331"/>
      <c r="EV475" s="830"/>
      <c r="EW475" s="830"/>
      <c r="EX475" s="1331"/>
      <c r="EY475" s="830"/>
      <c r="EZ475" s="830"/>
      <c r="FA475" s="1331"/>
      <c r="FE475"/>
      <c r="FF475"/>
      <c r="FG475"/>
      <c r="FH475"/>
      <c r="FI475"/>
      <c r="FJ475"/>
      <c r="FK475" s="35"/>
    </row>
    <row r="476" spans="1:167" s="236" customFormat="1" ht="13.35" customHeight="1">
      <c r="A476" s="289"/>
      <c r="B476" s="444" t="s">
        <v>479</v>
      </c>
      <c r="C476" s="308"/>
      <c r="D476" s="35"/>
      <c r="E476" s="828"/>
      <c r="F476" s="828"/>
      <c r="G476" s="35"/>
      <c r="H476" s="828"/>
      <c r="I476" s="828"/>
      <c r="J476" s="35"/>
      <c r="K476" s="828"/>
      <c r="L476" s="828"/>
      <c r="M476" s="35"/>
      <c r="N476" s="828"/>
      <c r="O476" s="828"/>
      <c r="P476" s="828"/>
      <c r="Q476" s="828"/>
      <c r="R476" s="828"/>
      <c r="S476" s="35"/>
      <c r="T476" s="828"/>
      <c r="U476" s="828"/>
      <c r="V476" s="35"/>
      <c r="W476" s="828"/>
      <c r="X476" s="828"/>
      <c r="Y476" s="35"/>
      <c r="Z476" s="828"/>
      <c r="AA476" s="828"/>
      <c r="AB476" s="35"/>
      <c r="AC476" s="828"/>
      <c r="AD476" s="828"/>
      <c r="AE476" s="35"/>
      <c r="AF476" s="828"/>
      <c r="AG476" s="828"/>
      <c r="AH476" s="35"/>
      <c r="AI476" s="828"/>
      <c r="AJ476" s="828"/>
      <c r="AK476" s="35"/>
      <c r="AL476" s="828"/>
      <c r="AM476" s="828"/>
      <c r="AN476" s="35"/>
      <c r="AO476" s="828"/>
      <c r="AP476" s="828"/>
      <c r="AQ476" s="35"/>
      <c r="AR476" s="828"/>
      <c r="AS476" s="828"/>
      <c r="AT476" s="35"/>
      <c r="AU476" s="828"/>
      <c r="AV476" s="828"/>
      <c r="AW476" s="35"/>
      <c r="AX476" s="840">
        <f t="shared" ref="AX476:BF476" si="1279">AX43+AX57+AX64</f>
        <v>50.929000000000016</v>
      </c>
      <c r="AY476" s="840">
        <f t="shared" si="1279"/>
        <v>59.264999999999972</v>
      </c>
      <c r="AZ476" s="840">
        <f t="shared" si="1279"/>
        <v>110.19399999999999</v>
      </c>
      <c r="BA476" s="840">
        <f t="shared" si="1279"/>
        <v>80.054999999999993</v>
      </c>
      <c r="BB476" s="840">
        <f t="shared" si="1279"/>
        <v>95.506000000000014</v>
      </c>
      <c r="BC476" s="840">
        <f t="shared" si="1279"/>
        <v>175.56100000000001</v>
      </c>
      <c r="BD476" s="840">
        <f t="shared" si="1279"/>
        <v>94.349000000000018</v>
      </c>
      <c r="BE476" s="840">
        <f t="shared" si="1279"/>
        <v>107.07599999999999</v>
      </c>
      <c r="BF476" s="840">
        <f t="shared" si="1279"/>
        <v>201.42500000000001</v>
      </c>
      <c r="BG476" s="840"/>
      <c r="BH476" s="840"/>
      <c r="BI476" s="840">
        <f t="shared" ref="BI476:CN476" si="1280">BI43+BI57+BI64</f>
        <v>208.42599999999999</v>
      </c>
      <c r="BJ476" s="840">
        <f t="shared" si="1280"/>
        <v>102.462</v>
      </c>
      <c r="BK476" s="840">
        <f t="shared" si="1280"/>
        <v>137.54099999999997</v>
      </c>
      <c r="BL476" s="840">
        <f t="shared" si="1280"/>
        <v>240.00299999999999</v>
      </c>
      <c r="BM476" s="840">
        <f t="shared" si="1280"/>
        <v>124.70900000000003</v>
      </c>
      <c r="BN476" s="840">
        <f t="shared" si="1280"/>
        <v>141.749</v>
      </c>
      <c r="BO476" s="840">
        <f t="shared" si="1280"/>
        <v>266.45800000000003</v>
      </c>
      <c r="BP476" s="840">
        <f t="shared" si="1280"/>
        <v>163.41727476882591</v>
      </c>
      <c r="BQ476" s="840">
        <f t="shared" si="1280"/>
        <v>180.34572523117416</v>
      </c>
      <c r="BR476" s="840">
        <f t="shared" si="1280"/>
        <v>343.76300000000003</v>
      </c>
      <c r="BS476" s="840">
        <f t="shared" si="1280"/>
        <v>187.86539571387564</v>
      </c>
      <c r="BT476" s="840">
        <f t="shared" si="1280"/>
        <v>193.65089113529953</v>
      </c>
      <c r="BU476" s="840">
        <f t="shared" si="1280"/>
        <v>381.51628684917523</v>
      </c>
      <c r="BV476" s="840">
        <f t="shared" si="1280"/>
        <v>205.32791095510646</v>
      </c>
      <c r="BW476" s="840">
        <f t="shared" si="1280"/>
        <v>209.46574465986896</v>
      </c>
      <c r="BX476" s="840">
        <f t="shared" si="1280"/>
        <v>414.79365561497542</v>
      </c>
      <c r="BY476" s="840">
        <f t="shared" si="1280"/>
        <v>265.10600701507326</v>
      </c>
      <c r="BZ476" s="840">
        <f t="shared" si="1280"/>
        <v>234.28265392442202</v>
      </c>
      <c r="CA476" s="840">
        <f t="shared" si="1280"/>
        <v>499.38866093949531</v>
      </c>
      <c r="CB476" s="840">
        <f t="shared" si="1280"/>
        <v>228.63256818581061</v>
      </c>
      <c r="CC476" s="840">
        <f t="shared" si="1280"/>
        <v>256.71614887490807</v>
      </c>
      <c r="CD476" s="840">
        <f t="shared" si="1280"/>
        <v>485.34871706071868</v>
      </c>
      <c r="CE476" s="840">
        <f t="shared" si="1280"/>
        <v>380.64646072280829</v>
      </c>
      <c r="CF476" s="840">
        <f t="shared" si="1280"/>
        <v>291.15483570144158</v>
      </c>
      <c r="CG476" s="840">
        <f t="shared" si="1280"/>
        <v>671.80129642424981</v>
      </c>
      <c r="CH476" s="840">
        <f t="shared" si="1280"/>
        <v>266.68890545173986</v>
      </c>
      <c r="CI476" s="840">
        <f t="shared" si="1280"/>
        <v>271.72600162441603</v>
      </c>
      <c r="CJ476" s="840">
        <f t="shared" si="1280"/>
        <v>538.41490707615583</v>
      </c>
      <c r="CK476" s="840">
        <f t="shared" si="1280"/>
        <v>270.18612664803101</v>
      </c>
      <c r="CL476" s="840">
        <f t="shared" si="1280"/>
        <v>275.82422347682228</v>
      </c>
      <c r="CM476" s="840">
        <f t="shared" si="1280"/>
        <v>546.01035012485329</v>
      </c>
      <c r="CN476" s="840">
        <f t="shared" si="1280"/>
        <v>306.14087042604899</v>
      </c>
      <c r="CO476" s="840">
        <f t="shared" ref="CO476:DN476" si="1281">CO43+CO57+CO64</f>
        <v>317.11651057402571</v>
      </c>
      <c r="CP476" s="840">
        <f t="shared" si="1281"/>
        <v>623.2573810000747</v>
      </c>
      <c r="CQ476" s="840">
        <f t="shared" si="1281"/>
        <v>337.89597730967517</v>
      </c>
      <c r="CR476" s="840">
        <f t="shared" si="1281"/>
        <v>381.35086019032479</v>
      </c>
      <c r="CS476" s="840">
        <f t="shared" si="1281"/>
        <v>719.24683749999997</v>
      </c>
      <c r="CT476" s="840">
        <f t="shared" si="1281"/>
        <v>427.12151183171579</v>
      </c>
      <c r="CU476" s="840">
        <f t="shared" si="1281"/>
        <v>439.15445808650884</v>
      </c>
      <c r="CV476" s="840">
        <f t="shared" si="1281"/>
        <v>866.27596991822463</v>
      </c>
      <c r="CW476" s="840">
        <f t="shared" si="1281"/>
        <v>452.72119903206476</v>
      </c>
      <c r="CX476" s="840">
        <f t="shared" si="1281"/>
        <v>484.60680655415439</v>
      </c>
      <c r="CY476" s="840">
        <f t="shared" si="1281"/>
        <v>937.32800558621909</v>
      </c>
      <c r="CZ476" s="840">
        <f t="shared" si="1281"/>
        <v>478.99898450561858</v>
      </c>
      <c r="DA476" s="840">
        <f t="shared" si="1281"/>
        <v>516.31006093547103</v>
      </c>
      <c r="DB476" s="840">
        <f t="shared" si="1281"/>
        <v>995.30904544108967</v>
      </c>
      <c r="DC476" s="840">
        <f t="shared" si="1281"/>
        <v>525.53750527281181</v>
      </c>
      <c r="DD476" s="840">
        <f t="shared" si="1281"/>
        <v>538.72048173020403</v>
      </c>
      <c r="DE476" s="840">
        <f t="shared" si="1281"/>
        <v>1064.2579870030158</v>
      </c>
      <c r="DF476" s="840">
        <f t="shared" si="1281"/>
        <v>569.16031980134267</v>
      </c>
      <c r="DG476" s="840">
        <f t="shared" si="1281"/>
        <v>549.04927414614906</v>
      </c>
      <c r="DH476" s="1332">
        <f t="shared" si="1281"/>
        <v>1118.2095939474918</v>
      </c>
      <c r="DI476" s="840">
        <f t="shared" si="1281"/>
        <v>567.19999999999982</v>
      </c>
      <c r="DJ476" s="840">
        <f t="shared" si="1281"/>
        <v>596.30000000000007</v>
      </c>
      <c r="DK476" s="1332">
        <f t="shared" si="1281"/>
        <v>1163.5</v>
      </c>
      <c r="DL476" s="840">
        <f t="shared" si="1281"/>
        <v>597.70000000000005</v>
      </c>
      <c r="DM476" s="840">
        <f t="shared" si="1281"/>
        <v>646.30000000000007</v>
      </c>
      <c r="DN476" s="1332">
        <f t="shared" si="1281"/>
        <v>1244</v>
      </c>
      <c r="DO476" s="840">
        <f t="shared" ref="DO476:DZ476" si="1282">DO43+DO57+DO64</f>
        <v>681.90000000000009</v>
      </c>
      <c r="DP476" s="840">
        <f t="shared" si="1282"/>
        <v>819.6</v>
      </c>
      <c r="DQ476" s="1332">
        <f t="shared" si="1282"/>
        <v>1501.5</v>
      </c>
      <c r="DR476" s="840">
        <f t="shared" si="1282"/>
        <v>826.30000000000007</v>
      </c>
      <c r="DS476" s="840">
        <f t="shared" si="1282"/>
        <v>874.20000000000027</v>
      </c>
      <c r="DT476" s="1332">
        <f t="shared" si="1282"/>
        <v>1700.5000000000002</v>
      </c>
      <c r="DU476" s="840">
        <f t="shared" si="1282"/>
        <v>885.19</v>
      </c>
      <c r="DV476" s="840">
        <f t="shared" si="1282"/>
        <v>903.90999999999974</v>
      </c>
      <c r="DW476" s="1332">
        <f t="shared" si="1282"/>
        <v>1789.0999999999997</v>
      </c>
      <c r="DX476" s="840">
        <f t="shared" si="1282"/>
        <v>912.4</v>
      </c>
      <c r="DY476" s="840">
        <f t="shared" si="1282"/>
        <v>1046.9894735345345</v>
      </c>
      <c r="DZ476" s="1332">
        <f t="shared" si="1282"/>
        <v>1959.3894735345345</v>
      </c>
      <c r="EA476" s="840"/>
      <c r="EB476" s="840"/>
      <c r="EC476" s="1332"/>
      <c r="ED476" s="840"/>
      <c r="EE476" s="840"/>
      <c r="EF476" s="1332"/>
      <c r="EG476" s="840"/>
      <c r="EH476" s="840"/>
      <c r="EI476" s="1332"/>
      <c r="EJ476" s="840"/>
      <c r="EK476" s="840"/>
      <c r="EL476" s="1332"/>
      <c r="EM476" s="840"/>
      <c r="EN476" s="840"/>
      <c r="EO476" s="1332"/>
      <c r="EP476" s="840"/>
      <c r="EQ476" s="840"/>
      <c r="ER476" s="1332"/>
      <c r="ES476" s="840"/>
      <c r="ET476" s="840"/>
      <c r="EU476" s="1332"/>
      <c r="EV476" s="840"/>
      <c r="EW476" s="840"/>
      <c r="EX476" s="1332"/>
      <c r="EY476" s="840"/>
      <c r="EZ476" s="840"/>
      <c r="FA476" s="1332"/>
      <c r="FE476"/>
      <c r="FF476"/>
      <c r="FG476"/>
      <c r="FH476"/>
      <c r="FI476"/>
      <c r="FJ476"/>
      <c r="FK476" s="35"/>
    </row>
    <row r="477" spans="1:167" s="236" customFormat="1" ht="13.35" customHeight="1">
      <c r="A477" s="289"/>
      <c r="B477" s="444" t="s">
        <v>480</v>
      </c>
      <c r="C477" s="308"/>
      <c r="D477" s="35"/>
      <c r="E477" s="828"/>
      <c r="F477" s="828"/>
      <c r="G477" s="35"/>
      <c r="H477" s="828"/>
      <c r="I477" s="828"/>
      <c r="J477" s="35"/>
      <c r="K477" s="828"/>
      <c r="L477" s="828"/>
      <c r="M477" s="35"/>
      <c r="N477" s="828"/>
      <c r="O477" s="828"/>
      <c r="P477" s="828"/>
      <c r="Q477" s="828"/>
      <c r="R477" s="828"/>
      <c r="S477" s="35"/>
      <c r="T477" s="828"/>
      <c r="U477" s="828"/>
      <c r="V477" s="35"/>
      <c r="W477" s="828"/>
      <c r="X477" s="828"/>
      <c r="Y477" s="35"/>
      <c r="Z477" s="828"/>
      <c r="AA477" s="828"/>
      <c r="AB477" s="35"/>
      <c r="AC477" s="828"/>
      <c r="AD477" s="828"/>
      <c r="AE477" s="35"/>
      <c r="AF477" s="828"/>
      <c r="AG477" s="828"/>
      <c r="AH477" s="35"/>
      <c r="AI477" s="828"/>
      <c r="AJ477" s="828"/>
      <c r="AK477" s="35"/>
      <c r="AL477" s="828"/>
      <c r="AM477" s="828"/>
      <c r="AN477" s="35"/>
      <c r="AO477" s="828"/>
      <c r="AP477" s="828"/>
      <c r="AQ477" s="35"/>
      <c r="AR477" s="828"/>
      <c r="AS477" s="828"/>
      <c r="AT477" s="35"/>
      <c r="AU477" s="828"/>
      <c r="AV477" s="828"/>
      <c r="AW477" s="35"/>
      <c r="AX477" s="840">
        <f t="shared" ref="AX477:CC477" si="1283">AX475-AX476</f>
        <v>16.429999999999993</v>
      </c>
      <c r="AY477" s="840">
        <f t="shared" si="1283"/>
        <v>19.718000000000004</v>
      </c>
      <c r="AZ477" s="840">
        <f t="shared" si="1283"/>
        <v>36.147999999999996</v>
      </c>
      <c r="BA477" s="840">
        <f t="shared" si="1283"/>
        <v>23.718000000000004</v>
      </c>
      <c r="BB477" s="840">
        <f t="shared" si="1283"/>
        <v>22.95499999999997</v>
      </c>
      <c r="BC477" s="840">
        <f t="shared" si="1283"/>
        <v>46.672999999999973</v>
      </c>
      <c r="BD477" s="840">
        <f t="shared" si="1283"/>
        <v>25.949999999999974</v>
      </c>
      <c r="BE477" s="840">
        <f t="shared" si="1283"/>
        <v>29.730000000000047</v>
      </c>
      <c r="BF477" s="840">
        <f t="shared" si="1283"/>
        <v>55.680000000000007</v>
      </c>
      <c r="BG477" s="840"/>
      <c r="BH477" s="840"/>
      <c r="BI477" s="840">
        <f t="shared" si="1283"/>
        <v>80.805999999999983</v>
      </c>
      <c r="BJ477" s="840">
        <f t="shared" si="1283"/>
        <v>36.745999999999995</v>
      </c>
      <c r="BK477" s="840">
        <f t="shared" si="1283"/>
        <v>11.317000000000007</v>
      </c>
      <c r="BL477" s="840">
        <f t="shared" si="1283"/>
        <v>48.062999999999988</v>
      </c>
      <c r="BM477" s="840">
        <f t="shared" si="1283"/>
        <v>40.462999999999994</v>
      </c>
      <c r="BN477" s="840">
        <f t="shared" si="1283"/>
        <v>44.771999999999963</v>
      </c>
      <c r="BO477" s="840">
        <f t="shared" si="1283"/>
        <v>85.234999999999957</v>
      </c>
      <c r="BP477" s="840">
        <f t="shared" si="1283"/>
        <v>65.127999999999986</v>
      </c>
      <c r="BQ477" s="840">
        <f t="shared" si="1283"/>
        <v>50.097999999999985</v>
      </c>
      <c r="BR477" s="840">
        <f t="shared" si="1283"/>
        <v>115.226</v>
      </c>
      <c r="BS477" s="840">
        <f t="shared" si="1283"/>
        <v>77.074000000000041</v>
      </c>
      <c r="BT477" s="840">
        <f t="shared" si="1283"/>
        <v>78.705999999999875</v>
      </c>
      <c r="BU477" s="840">
        <f t="shared" si="1283"/>
        <v>155.77999999999986</v>
      </c>
      <c r="BV477" s="840">
        <f t="shared" si="1283"/>
        <v>85.371000000000038</v>
      </c>
      <c r="BW477" s="840">
        <f t="shared" si="1283"/>
        <v>83.367999999999938</v>
      </c>
      <c r="BX477" s="840">
        <f t="shared" si="1283"/>
        <v>168.73899999999998</v>
      </c>
      <c r="BY477" s="840">
        <f t="shared" si="1283"/>
        <v>105.32600000000008</v>
      </c>
      <c r="BZ477" s="840">
        <f t="shared" si="1283"/>
        <v>79.793000000000035</v>
      </c>
      <c r="CA477" s="840">
        <f t="shared" si="1283"/>
        <v>185.11900000000009</v>
      </c>
      <c r="CB477" s="840">
        <f t="shared" si="1283"/>
        <v>107.89999999999998</v>
      </c>
      <c r="CC477" s="840">
        <f t="shared" si="1283"/>
        <v>113.858</v>
      </c>
      <c r="CD477" s="840">
        <f t="shared" ref="CD477:DI477" si="1284">CD475-CD476</f>
        <v>221.75799999999998</v>
      </c>
      <c r="CE477" s="840">
        <f t="shared" si="1284"/>
        <v>115.53900000000004</v>
      </c>
      <c r="CF477" s="840">
        <f t="shared" si="1284"/>
        <v>128.2639999999999</v>
      </c>
      <c r="CG477" s="840">
        <f t="shared" si="1284"/>
        <v>243.803</v>
      </c>
      <c r="CH477" s="840">
        <f t="shared" si="1284"/>
        <v>109.11899999999997</v>
      </c>
      <c r="CI477" s="840">
        <f t="shared" si="1284"/>
        <v>108.01999999999998</v>
      </c>
      <c r="CJ477" s="840">
        <f t="shared" si="1284"/>
        <v>217.13900000000001</v>
      </c>
      <c r="CK477" s="840">
        <f t="shared" si="1284"/>
        <v>108.59400000000005</v>
      </c>
      <c r="CL477" s="840">
        <f t="shared" si="1284"/>
        <v>70.924999999999955</v>
      </c>
      <c r="CM477" s="840">
        <f t="shared" si="1284"/>
        <v>179.51900000000001</v>
      </c>
      <c r="CN477" s="840">
        <f t="shared" si="1284"/>
        <v>49.574999999999989</v>
      </c>
      <c r="CO477" s="840">
        <f t="shared" si="1284"/>
        <v>100.38499999999993</v>
      </c>
      <c r="CP477" s="840">
        <f t="shared" si="1284"/>
        <v>149.95999999999992</v>
      </c>
      <c r="CQ477" s="840">
        <f t="shared" si="1284"/>
        <v>100.548</v>
      </c>
      <c r="CR477" s="840">
        <f t="shared" si="1284"/>
        <v>106.15499999999997</v>
      </c>
      <c r="CS477" s="840">
        <f t="shared" si="1284"/>
        <v>206.70299999999997</v>
      </c>
      <c r="CT477" s="840">
        <f t="shared" si="1284"/>
        <v>131.09699999999998</v>
      </c>
      <c r="CU477" s="840">
        <f t="shared" si="1284"/>
        <v>131.97500000000002</v>
      </c>
      <c r="CV477" s="840">
        <f t="shared" si="1284"/>
        <v>263.072</v>
      </c>
      <c r="CW477" s="840">
        <f t="shared" si="1284"/>
        <v>156.66899999999998</v>
      </c>
      <c r="CX477" s="840">
        <f t="shared" si="1284"/>
        <v>159.68691680000001</v>
      </c>
      <c r="CY477" s="840">
        <f t="shared" si="1284"/>
        <v>316.35591680000005</v>
      </c>
      <c r="CZ477" s="840">
        <f t="shared" si="1284"/>
        <v>160.58112920000002</v>
      </c>
      <c r="DA477" s="840">
        <f t="shared" si="1284"/>
        <v>188.41887079999981</v>
      </c>
      <c r="DB477" s="840">
        <f t="shared" si="1284"/>
        <v>348.99999999999977</v>
      </c>
      <c r="DC477" s="840">
        <f t="shared" si="1284"/>
        <v>177.29999999999995</v>
      </c>
      <c r="DD477" s="840">
        <f t="shared" si="1284"/>
        <v>182.70000000000005</v>
      </c>
      <c r="DE477" s="840">
        <f t="shared" si="1284"/>
        <v>360</v>
      </c>
      <c r="DF477" s="840">
        <f t="shared" si="1284"/>
        <v>183.90000000000009</v>
      </c>
      <c r="DG477" s="840">
        <f t="shared" si="1284"/>
        <v>24.659465000000068</v>
      </c>
      <c r="DH477" s="1332">
        <f t="shared" si="1284"/>
        <v>208.55946500000005</v>
      </c>
      <c r="DI477" s="840">
        <f t="shared" si="1284"/>
        <v>178.50000000000011</v>
      </c>
      <c r="DJ477" s="840">
        <f t="shared" ref="DJ477:DQ477" si="1285">DJ475-DJ476</f>
        <v>159.19999999999982</v>
      </c>
      <c r="DK477" s="1332">
        <f t="shared" si="1285"/>
        <v>337.69999999999982</v>
      </c>
      <c r="DL477" s="840">
        <f t="shared" si="1285"/>
        <v>223.79999999999995</v>
      </c>
      <c r="DM477" s="840">
        <f t="shared" si="1285"/>
        <v>182.89999999999998</v>
      </c>
      <c r="DN477" s="1332">
        <f t="shared" si="1285"/>
        <v>406.70000000000005</v>
      </c>
      <c r="DO477" s="840">
        <f t="shared" si="1285"/>
        <v>209.70000000000005</v>
      </c>
      <c r="DP477" s="840">
        <f t="shared" si="1285"/>
        <v>241.39999999999998</v>
      </c>
      <c r="DQ477" s="1332">
        <f t="shared" si="1285"/>
        <v>451.10000000000014</v>
      </c>
      <c r="DR477" s="840">
        <f t="shared" ref="DR477:DZ477" si="1286">DR475-DR476</f>
        <v>281.60000000000002</v>
      </c>
      <c r="DS477" s="840">
        <f t="shared" si="1286"/>
        <v>272.5</v>
      </c>
      <c r="DT477" s="1332">
        <f t="shared" si="1286"/>
        <v>554.10000000000014</v>
      </c>
      <c r="DU477" s="840">
        <f t="shared" si="1286"/>
        <v>294.10000000000014</v>
      </c>
      <c r="DV477" s="840">
        <f t="shared" si="1286"/>
        <v>271.5999999999998</v>
      </c>
      <c r="DW477" s="1332">
        <f t="shared" si="1286"/>
        <v>565.70000000000005</v>
      </c>
      <c r="DX477" s="840">
        <f t="shared" si="1286"/>
        <v>263.20000000000016</v>
      </c>
      <c r="DY477" s="840">
        <f t="shared" si="1286"/>
        <v>298.81993729967007</v>
      </c>
      <c r="DZ477" s="1332">
        <f t="shared" si="1286"/>
        <v>562.01993729967012</v>
      </c>
      <c r="EA477" s="840"/>
      <c r="EB477" s="840"/>
      <c r="EC477" s="1332"/>
      <c r="ED477" s="840"/>
      <c r="EE477" s="840"/>
      <c r="EF477" s="1332"/>
      <c r="EG477" s="840"/>
      <c r="EH477" s="840"/>
      <c r="EI477" s="1332"/>
      <c r="EJ477" s="840"/>
      <c r="EK477" s="840"/>
      <c r="EL477" s="1332"/>
      <c r="EM477" s="840"/>
      <c r="EN477" s="840"/>
      <c r="EO477" s="1332"/>
      <c r="EP477" s="840"/>
      <c r="EQ477" s="840"/>
      <c r="ER477" s="1332"/>
      <c r="ES477" s="840"/>
      <c r="ET477" s="840"/>
      <c r="EU477" s="1332"/>
      <c r="EV477" s="840"/>
      <c r="EW477" s="840"/>
      <c r="EX477" s="1332"/>
      <c r="EY477" s="840"/>
      <c r="EZ477" s="840"/>
      <c r="FA477" s="1332"/>
      <c r="FE477"/>
      <c r="FF477"/>
      <c r="FG477"/>
      <c r="FH477"/>
      <c r="FI477"/>
      <c r="FJ477"/>
      <c r="FK477" s="35"/>
    </row>
    <row r="478" spans="1:167" s="236" customFormat="1" ht="13.35" customHeight="1">
      <c r="A478" s="289" t="s">
        <v>481</v>
      </c>
      <c r="B478" s="444"/>
      <c r="C478" s="308"/>
      <c r="D478" s="35"/>
      <c r="E478" s="828"/>
      <c r="F478" s="828"/>
      <c r="G478" s="35"/>
      <c r="H478" s="828"/>
      <c r="I478" s="828"/>
      <c r="J478" s="35"/>
      <c r="K478" s="828"/>
      <c r="L478" s="828"/>
      <c r="M478" s="35"/>
      <c r="N478" s="828"/>
      <c r="O478" s="828"/>
      <c r="P478" s="828"/>
      <c r="Q478" s="828"/>
      <c r="R478" s="828"/>
      <c r="S478" s="35"/>
      <c r="T478" s="828"/>
      <c r="U478" s="828"/>
      <c r="V478" s="35"/>
      <c r="W478" s="828"/>
      <c r="X478" s="828"/>
      <c r="Y478" s="35"/>
      <c r="Z478" s="828"/>
      <c r="AA478" s="828"/>
      <c r="AB478" s="35"/>
      <c r="AC478" s="828"/>
      <c r="AD478" s="828"/>
      <c r="AE478" s="35"/>
      <c r="AF478" s="828"/>
      <c r="AG478" s="828"/>
      <c r="AH478" s="35"/>
      <c r="AI478" s="828"/>
      <c r="AJ478" s="828"/>
      <c r="AK478" s="35"/>
      <c r="AL478" s="828"/>
      <c r="AM478" s="828"/>
      <c r="AN478" s="35"/>
      <c r="AO478" s="828"/>
      <c r="AP478" s="828"/>
      <c r="AQ478" s="35"/>
      <c r="AR478" s="828"/>
      <c r="AS478" s="828"/>
      <c r="AT478" s="35"/>
      <c r="AU478" s="828"/>
      <c r="AV478" s="828"/>
      <c r="AW478" s="35"/>
      <c r="AX478" s="840">
        <f>AX477-(AX477*Assumptions!AX149)</f>
        <v>10.515199999999997</v>
      </c>
      <c r="AY478" s="840">
        <f>AY477-(AY477*Assumptions!AY149)</f>
        <v>12.619520000000001</v>
      </c>
      <c r="AZ478" s="840">
        <f>AZ477-(AZ477*Assumptions!AZ149)</f>
        <v>23.134719999999998</v>
      </c>
      <c r="BA478" s="840">
        <f>BA477-(BA477*Assumptions!BA149)</f>
        <v>15.179520000000002</v>
      </c>
      <c r="BB478" s="840">
        <f>BB477-(BB477*Assumptions!BB149)</f>
        <v>14.691199999999981</v>
      </c>
      <c r="BC478" s="840">
        <f>BC477-(BC477*Assumptions!BC149)</f>
        <v>29.870719999999984</v>
      </c>
      <c r="BD478" s="840">
        <f>BD477-(BD477*Assumptions!BD149)</f>
        <v>18.164999999999981</v>
      </c>
      <c r="BE478" s="840">
        <f>BE477-(BE477*Assumptions!BE149)</f>
        <v>20.811000000000035</v>
      </c>
      <c r="BF478" s="840">
        <f>BF477-(BF477*Assumptions!BF149)</f>
        <v>38.976000000000006</v>
      </c>
      <c r="BG478" s="840"/>
      <c r="BH478" s="840"/>
      <c r="BI478" s="840">
        <f>BI477-(BI477*Assumptions!BI149)</f>
        <v>56.564199999999985</v>
      </c>
      <c r="BJ478" s="840">
        <f>BJ477-(BJ477*Assumptions!BJ149)</f>
        <v>25.722199999999997</v>
      </c>
      <c r="BK478" s="840">
        <f>BK477-(BK477*Assumptions!BK149)</f>
        <v>7.9219000000000053</v>
      </c>
      <c r="BL478" s="840">
        <f>BL477-(BL477*Assumptions!BL149)</f>
        <v>33.644099999999995</v>
      </c>
      <c r="BM478" s="840">
        <f>BM477-(BM477*Assumptions!BM149)</f>
        <v>28.324099999999994</v>
      </c>
      <c r="BN478" s="840">
        <f>BN477-(BN477*Assumptions!BN149)</f>
        <v>31.340399999999974</v>
      </c>
      <c r="BO478" s="840">
        <f>BO477-(BO477*Assumptions!BO149)</f>
        <v>59.664499999999975</v>
      </c>
      <c r="BP478" s="840">
        <f>BP477-(BP477*Assumptions!BP149)</f>
        <v>45.58959999999999</v>
      </c>
      <c r="BQ478" s="840">
        <f>BQ477-(BQ477*Assumptions!BQ149)</f>
        <v>35.068599999999989</v>
      </c>
      <c r="BR478" s="840">
        <f>BR477-(BR477*Assumptions!BR149)</f>
        <v>80.658199999999994</v>
      </c>
      <c r="BS478" s="840">
        <f>BS477-(BS477*Assumptions!BS149)</f>
        <v>53.951800000000034</v>
      </c>
      <c r="BT478" s="840">
        <f>BT477-(BT477*Assumptions!BT149)</f>
        <v>55.094199999999915</v>
      </c>
      <c r="BU478" s="840">
        <f>BU477-(BU477*Assumptions!BU149)</f>
        <v>109.04599999999991</v>
      </c>
      <c r="BV478" s="840">
        <f>BV477-(BV477*Assumptions!BV149)</f>
        <v>59.759700000000024</v>
      </c>
      <c r="BW478" s="840">
        <f>BW477-(BW477*Assumptions!BW149)</f>
        <v>58.357599999999962</v>
      </c>
      <c r="BX478" s="840">
        <f>BX477-(BX477*Assumptions!BX149)</f>
        <v>118.11729999999999</v>
      </c>
      <c r="BY478" s="840">
        <f>BY477-(BY477*Assumptions!BY149)</f>
        <v>73.728200000000058</v>
      </c>
      <c r="BZ478" s="840">
        <f>BZ477-(BZ477*Assumptions!BZ149)</f>
        <v>55.855100000000022</v>
      </c>
      <c r="CA478" s="840">
        <f>CA477-(CA477*Assumptions!CA149)</f>
        <v>129.58330000000007</v>
      </c>
      <c r="CB478" s="840">
        <f>CB477-(CB477*Assumptions!CB149)</f>
        <v>78.443299999999979</v>
      </c>
      <c r="CC478" s="840">
        <f>CC477-(CC477*Assumptions!CC149)</f>
        <v>82.888623999999993</v>
      </c>
      <c r="CD478" s="840">
        <f>CD477-(CD477*Assumptions!CD149)</f>
        <v>162.77037199999998</v>
      </c>
      <c r="CE478" s="840">
        <f>CE477-(CE477*Assumptions!CE149)</f>
        <v>84.343470000000025</v>
      </c>
      <c r="CF478" s="840">
        <f>CF477-(CF477*Assumptions!CF149)</f>
        <v>93.632719999999921</v>
      </c>
      <c r="CG478" s="840">
        <f>CG477-(CG477*Assumptions!CG149)</f>
        <v>177.97618999999997</v>
      </c>
      <c r="CH478" s="840">
        <f>CH477-(CH477*Assumptions!CH149)</f>
        <v>79.656869999999969</v>
      </c>
      <c r="CI478" s="840">
        <f>CI477-(CI477*Assumptions!CI149)</f>
        <v>78.854599999999976</v>
      </c>
      <c r="CJ478" s="840">
        <f>CJ477-(CJ477*Assumptions!CJ149)</f>
        <v>158.51147</v>
      </c>
      <c r="CK478" s="840">
        <f>CK477-(CK477*Assumptions!CK149)</f>
        <v>79.273620000000037</v>
      </c>
      <c r="CL478" s="840">
        <f>CL477-(CL477*Assumptions!CL149)</f>
        <v>51.775249999999964</v>
      </c>
      <c r="CM478" s="840">
        <f>CM477-(CM477*Assumptions!CM149)</f>
        <v>131.04886999999999</v>
      </c>
      <c r="CN478" s="840">
        <f>CN477-(CN477*Assumptions!CN149)</f>
        <v>36.189749999999989</v>
      </c>
      <c r="CO478" s="840">
        <f>CO477-(CO477*Assumptions!CO149)</f>
        <v>73.281049999999951</v>
      </c>
      <c r="CP478" s="840">
        <f>CP477-(CP477*Assumptions!CP149)</f>
        <v>109.47079999999994</v>
      </c>
      <c r="CQ478" s="840">
        <f>CQ477-(CQ477*Assumptions!CQ149)</f>
        <v>73.400040000000004</v>
      </c>
      <c r="CR478" s="840">
        <f>CR477-(CR477*Assumptions!CR149)</f>
        <v>77.493149999999986</v>
      </c>
      <c r="CS478" s="840">
        <f>CS477-(CS477*Assumptions!CS149)</f>
        <v>150.89318999999998</v>
      </c>
      <c r="CT478" s="840">
        <f>CT477-(CT477*Assumptions!CT149)</f>
        <v>95.70080999999999</v>
      </c>
      <c r="CU478" s="840">
        <f>CU477-(CU477*Assumptions!CU149)</f>
        <v>96.341750000000019</v>
      </c>
      <c r="CV478" s="840">
        <f>CV477-(CV477*Assumptions!CV149)</f>
        <v>192.04255999999998</v>
      </c>
      <c r="CW478" s="840">
        <f>CW477-(CW477*Assumptions!CW149)</f>
        <v>114.36836999999998</v>
      </c>
      <c r="CX478" s="840">
        <f>CX477-(CX477*Assumptions!CX149)</f>
        <v>116.57144926399999</v>
      </c>
      <c r="CY478" s="840">
        <f>CY477-(CY477*Assumptions!CY149)</f>
        <v>230.93981926400002</v>
      </c>
      <c r="CZ478" s="840">
        <f>CZ477-(CZ477*Assumptions!CZ149)</f>
        <v>117.224224316</v>
      </c>
      <c r="DA478" s="840">
        <f>DA477-(DA477*Assumptions!DA149)</f>
        <v>137.54577568399986</v>
      </c>
      <c r="DB478" s="840">
        <f>DB477-(DB477*Assumptions!DB149)</f>
        <v>251.93597650513934</v>
      </c>
      <c r="DC478" s="840">
        <f>DC477-(DC477*Assumptions!DC149)</f>
        <v>127.98925110132154</v>
      </c>
      <c r="DD478" s="840">
        <f>DD477-(DD477*Assumptions!DD149)</f>
        <v>131.88740088105729</v>
      </c>
      <c r="DE478" s="840">
        <f>DE477-(DE477*Assumptions!DE149)</f>
        <v>259.87665198237886</v>
      </c>
      <c r="DF478" s="840">
        <f>DF477-(DF477*Assumptions!DF149)</f>
        <v>132.75365638766527</v>
      </c>
      <c r="DG478" s="840">
        <f>DG477-(DG477*Assumptions!DG149)</f>
        <v>17.80116445521297</v>
      </c>
      <c r="DH478" s="1332">
        <f>DH477-(DH477*Assumptions!DH149)</f>
        <v>150.55482084287814</v>
      </c>
      <c r="DI478" s="840">
        <f>DI477-(DI477*Assumptions!DI149)</f>
        <v>128.85550660792958</v>
      </c>
      <c r="DJ478" s="840">
        <f>DJ477-(DJ477*Assumptions!DJ149)</f>
        <v>114.92323054331851</v>
      </c>
      <c r="DK478" s="1332">
        <f>DK477-(DK477*Assumptions!DK149)</f>
        <v>243.77873715124804</v>
      </c>
      <c r="DL478" s="840">
        <f>DL477-(DL477*Assumptions!DL149)</f>
        <v>161.55665198237881</v>
      </c>
      <c r="DM478" s="840">
        <f>DM477-(DM477*Assumptions!DM149)</f>
        <v>132.03177679882523</v>
      </c>
      <c r="DN478" s="1332">
        <f>DN477-(DN477*Assumptions!DN149)</f>
        <v>293.58842878120413</v>
      </c>
      <c r="DO478" s="840">
        <f>DO477-(DO477*Assumptions!DO149)</f>
        <v>151.37814977973571</v>
      </c>
      <c r="DP478" s="840">
        <f>DP477-(DP477*Assumptions!DP149)</f>
        <v>174.26173274596181</v>
      </c>
      <c r="DQ478" s="1332">
        <f>DQ477-(DQ477*Assumptions!DQ149)</f>
        <v>325.6398825256976</v>
      </c>
      <c r="DR478" s="840">
        <f>DR477-(DR477*Assumptions!DR149)</f>
        <v>203.28129221732746</v>
      </c>
      <c r="DS478" s="840">
        <f>DS477-(DS477*Assumptions!DS149)</f>
        <v>196.71218795888399</v>
      </c>
      <c r="DT478" s="1332">
        <f>DT477-(DT477*Assumptions!DT149)</f>
        <v>399.99348017621151</v>
      </c>
      <c r="DU478" s="840">
        <f>DU477-(DU477*Assumptions!DU149)</f>
        <v>212.3047870778268</v>
      </c>
      <c r="DV478" s="840">
        <f>DV477-(DV477*Assumptions!DV149)</f>
        <v>196.06249632892789</v>
      </c>
      <c r="DW478" s="1332">
        <f>DW477-(DW477*Assumptions!DW149)</f>
        <v>408.36728340675484</v>
      </c>
      <c r="DX478" s="840">
        <f>DX477-(DX477*Assumptions!DX149)</f>
        <v>189.99870778267265</v>
      </c>
      <c r="DY478" s="840">
        <f>DY477-(DY477*Assumptions!DY149)</f>
        <v>215.71201347506286</v>
      </c>
      <c r="DZ478" s="1332">
        <f>DZ477-(DZ477*Assumptions!DZ149)</f>
        <v>405.71072125773543</v>
      </c>
      <c r="EA478" s="840"/>
      <c r="EB478" s="840"/>
      <c r="EC478" s="1332"/>
      <c r="ED478" s="840"/>
      <c r="EE478" s="840"/>
      <c r="EF478" s="1332"/>
      <c r="EG478" s="840"/>
      <c r="EH478" s="840"/>
      <c r="EI478" s="1332"/>
      <c r="EJ478" s="840"/>
      <c r="EK478" s="840"/>
      <c r="EL478" s="1332"/>
      <c r="EM478" s="840"/>
      <c r="EN478" s="840"/>
      <c r="EO478" s="1332"/>
      <c r="EP478" s="840"/>
      <c r="EQ478" s="840"/>
      <c r="ER478" s="1332"/>
      <c r="ES478" s="840"/>
      <c r="ET478" s="840"/>
      <c r="EU478" s="1332"/>
      <c r="EV478" s="840"/>
      <c r="EW478" s="840"/>
      <c r="EX478" s="1332"/>
      <c r="EY478" s="840"/>
      <c r="EZ478" s="840"/>
      <c r="FA478" s="1332"/>
      <c r="FE478"/>
      <c r="FF478"/>
      <c r="FG478"/>
      <c r="FH478"/>
      <c r="FI478"/>
      <c r="FJ478"/>
      <c r="FK478" s="35"/>
    </row>
    <row r="479" spans="1:167" s="236" customFormat="1" ht="13.35" customHeight="1">
      <c r="A479" s="289" t="s">
        <v>754</v>
      </c>
      <c r="B479" s="444"/>
      <c r="C479" s="308"/>
      <c r="D479" s="35"/>
      <c r="E479" s="828"/>
      <c r="F479" s="828"/>
      <c r="G479" s="35"/>
      <c r="H479" s="828"/>
      <c r="I479" s="828"/>
      <c r="J479" s="35"/>
      <c r="K479" s="828"/>
      <c r="L479" s="828"/>
      <c r="M479" s="35"/>
      <c r="N479" s="828"/>
      <c r="O479" s="828"/>
      <c r="P479" s="828"/>
      <c r="Q479" s="828"/>
      <c r="R479" s="828"/>
      <c r="S479" s="35"/>
      <c r="T479" s="828"/>
      <c r="U479" s="828"/>
      <c r="V479" s="35"/>
      <c r="W479" s="828"/>
      <c r="X479" s="828"/>
      <c r="Y479" s="35"/>
      <c r="Z479" s="828"/>
      <c r="AA479" s="828"/>
      <c r="AB479" s="35"/>
      <c r="AC479" s="828"/>
      <c r="AD479" s="828"/>
      <c r="AE479" s="35"/>
      <c r="AF479" s="828"/>
      <c r="AG479" s="828"/>
      <c r="AH479" s="35"/>
      <c r="AI479" s="828"/>
      <c r="AJ479" s="828"/>
      <c r="AK479" s="35"/>
      <c r="AL479" s="828"/>
      <c r="AM479" s="828"/>
      <c r="AN479" s="35"/>
      <c r="AO479" s="828"/>
      <c r="AP479" s="828"/>
      <c r="AQ479" s="35"/>
      <c r="AR479" s="828"/>
      <c r="AS479" s="828"/>
      <c r="AT479" s="35"/>
      <c r="AU479" s="828"/>
      <c r="AV479" s="828"/>
      <c r="AW479" s="35"/>
      <c r="AX479" s="840">
        <f t="shared" ref="AX479:CC479" si="1287">-AX74</f>
        <v>0.71199999999999997</v>
      </c>
      <c r="AY479" s="840">
        <f t="shared" si="1287"/>
        <v>0.57400000000000007</v>
      </c>
      <c r="AZ479" s="840">
        <f t="shared" si="1287"/>
        <v>1.286</v>
      </c>
      <c r="BA479" s="840">
        <f t="shared" si="1287"/>
        <v>0.53999999999999992</v>
      </c>
      <c r="BB479" s="840">
        <f t="shared" si="1287"/>
        <v>0.39800000000000002</v>
      </c>
      <c r="BC479" s="840">
        <f t="shared" si="1287"/>
        <v>0.93799999999999994</v>
      </c>
      <c r="BD479" s="840">
        <f t="shared" si="1287"/>
        <v>-0.25</v>
      </c>
      <c r="BE479" s="840">
        <f t="shared" si="1287"/>
        <v>-0.20999999999999996</v>
      </c>
      <c r="BF479" s="840">
        <f t="shared" si="1287"/>
        <v>-0.45999999999999996</v>
      </c>
      <c r="BG479" s="840">
        <f t="shared" si="1287"/>
        <v>-0.31500000000000006</v>
      </c>
      <c r="BH479" s="840">
        <f t="shared" si="1287"/>
        <v>0.17600000000000005</v>
      </c>
      <c r="BI479" s="840">
        <f t="shared" si="1287"/>
        <v>-0.13900000000000001</v>
      </c>
      <c r="BJ479" s="840">
        <f t="shared" si="1287"/>
        <v>0.77299999999999991</v>
      </c>
      <c r="BK479" s="840">
        <f t="shared" si="1287"/>
        <v>1.018</v>
      </c>
      <c r="BL479" s="840">
        <f t="shared" si="1287"/>
        <v>1.7909999999999999</v>
      </c>
      <c r="BM479" s="840">
        <f t="shared" si="1287"/>
        <v>-0.45300000000000001</v>
      </c>
      <c r="BN479" s="840">
        <f t="shared" si="1287"/>
        <v>0.22500000000000026</v>
      </c>
      <c r="BO479" s="840">
        <f t="shared" si="1287"/>
        <v>-0.22799999999999976</v>
      </c>
      <c r="BP479" s="840">
        <f t="shared" si="1287"/>
        <v>-3.2000000000000028E-2</v>
      </c>
      <c r="BQ479" s="840">
        <f t="shared" si="1287"/>
        <v>0.37000000000000011</v>
      </c>
      <c r="BR479" s="840">
        <f t="shared" si="1287"/>
        <v>0.33800000000000008</v>
      </c>
      <c r="BS479" s="840">
        <f t="shared" si="1287"/>
        <v>-5.0389999999999997</v>
      </c>
      <c r="BT479" s="840">
        <f t="shared" si="1287"/>
        <v>-5.0609999999999999</v>
      </c>
      <c r="BU479" s="840">
        <f t="shared" si="1287"/>
        <v>-10.1</v>
      </c>
      <c r="BV479" s="840">
        <f t="shared" si="1287"/>
        <v>-5.0330000000000004</v>
      </c>
      <c r="BW479" s="840">
        <f t="shared" si="1287"/>
        <v>-5.5789999999999997</v>
      </c>
      <c r="BX479" s="840">
        <f t="shared" si="1287"/>
        <v>-10.612</v>
      </c>
      <c r="BY479" s="840">
        <f t="shared" si="1287"/>
        <v>6.5139999999999993</v>
      </c>
      <c r="BZ479" s="840">
        <f t="shared" si="1287"/>
        <v>-4.891</v>
      </c>
      <c r="CA479" s="840">
        <f t="shared" si="1287"/>
        <v>1.6229999999999993</v>
      </c>
      <c r="CB479" s="840">
        <f t="shared" si="1287"/>
        <v>-1.1220000000000008</v>
      </c>
      <c r="CC479" s="840">
        <f t="shared" si="1287"/>
        <v>-8.8789999999999978</v>
      </c>
      <c r="CD479" s="840">
        <f t="shared" ref="CD479:DN479" si="1288">-CD74</f>
        <v>-10.000999999999999</v>
      </c>
      <c r="CE479" s="840">
        <f t="shared" si="1288"/>
        <v>-1.778</v>
      </c>
      <c r="CF479" s="840">
        <f t="shared" si="1288"/>
        <v>-3.28</v>
      </c>
      <c r="CG479" s="840">
        <f t="shared" si="1288"/>
        <v>-5.0579999999999998</v>
      </c>
      <c r="CH479" s="840">
        <f t="shared" si="1288"/>
        <v>-2.383</v>
      </c>
      <c r="CI479" s="840">
        <f t="shared" si="1288"/>
        <v>-1.915</v>
      </c>
      <c r="CJ479" s="840">
        <f t="shared" si="1288"/>
        <v>-4.298</v>
      </c>
      <c r="CK479" s="840">
        <f t="shared" si="1288"/>
        <v>-2.83</v>
      </c>
      <c r="CL479" s="840">
        <f t="shared" si="1288"/>
        <v>-3.3929999999999998</v>
      </c>
      <c r="CM479" s="840">
        <f t="shared" si="1288"/>
        <v>-6.2229999999999999</v>
      </c>
      <c r="CN479" s="840">
        <f t="shared" si="1288"/>
        <v>-4.59</v>
      </c>
      <c r="CO479" s="840">
        <f t="shared" si="1288"/>
        <v>-5.3869999999999987</v>
      </c>
      <c r="CP479" s="840">
        <f t="shared" si="1288"/>
        <v>-9.9769999999999985</v>
      </c>
      <c r="CQ479" s="840">
        <f t="shared" si="1288"/>
        <v>-5.4520226903248803</v>
      </c>
      <c r="CR479" s="840">
        <f t="shared" si="1288"/>
        <v>-4.6271398096751222</v>
      </c>
      <c r="CS479" s="840">
        <f t="shared" si="1288"/>
        <v>-10.079162500000002</v>
      </c>
      <c r="CT479" s="840">
        <f t="shared" si="1288"/>
        <v>-4.6839999999999984</v>
      </c>
      <c r="CU479" s="840">
        <f t="shared" si="1288"/>
        <v>-3.6540000000000008</v>
      </c>
      <c r="CV479" s="840">
        <f t="shared" si="1288"/>
        <v>-8.3379999999999992</v>
      </c>
      <c r="CW479" s="840">
        <f t="shared" si="1288"/>
        <v>-3.4170000000000003</v>
      </c>
      <c r="CX479" s="840">
        <f t="shared" si="1288"/>
        <v>-3.4540888000000005</v>
      </c>
      <c r="CY479" s="840">
        <f t="shared" si="1288"/>
        <v>-6.8710888000000008</v>
      </c>
      <c r="CZ479" s="840">
        <f t="shared" si="1288"/>
        <v>-3.7355792000000001</v>
      </c>
      <c r="DA479" s="840">
        <f t="shared" si="1288"/>
        <v>-4.1644208000000003</v>
      </c>
      <c r="DB479" s="840">
        <f t="shared" si="1288"/>
        <v>-7.9</v>
      </c>
      <c r="DC479" s="840">
        <f t="shared" si="1288"/>
        <v>-2.7</v>
      </c>
      <c r="DD479" s="840">
        <f t="shared" si="1288"/>
        <v>-1.7994999999999992</v>
      </c>
      <c r="DE479" s="840">
        <f t="shared" si="1288"/>
        <v>-4.4994999999999994</v>
      </c>
      <c r="DF479" s="840">
        <f t="shared" si="1288"/>
        <v>-4.8031480397893507</v>
      </c>
      <c r="DG479" s="840">
        <f t="shared" si="1288"/>
        <v>-4.1151369602106502</v>
      </c>
      <c r="DH479" s="1332">
        <f t="shared" si="1288"/>
        <v>-8.9182850000000009</v>
      </c>
      <c r="DI479" s="840">
        <f t="shared" si="1288"/>
        <v>-4.5</v>
      </c>
      <c r="DJ479" s="840">
        <f t="shared" si="1288"/>
        <v>-3.9000000000000004</v>
      </c>
      <c r="DK479" s="1332">
        <f t="shared" si="1288"/>
        <v>-8.4</v>
      </c>
      <c r="DL479" s="840">
        <f t="shared" si="1288"/>
        <v>-3.5</v>
      </c>
      <c r="DM479" s="840">
        <f t="shared" si="1288"/>
        <v>-2.6999999999999993</v>
      </c>
      <c r="DN479" s="1332">
        <f t="shared" si="1288"/>
        <v>-6.1999999999999993</v>
      </c>
      <c r="DO479" s="840">
        <f t="shared" ref="DO479:DZ479" si="1289">-DO74</f>
        <v>2</v>
      </c>
      <c r="DP479" s="840">
        <f t="shared" si="1289"/>
        <v>5.0999999999999996</v>
      </c>
      <c r="DQ479" s="1332">
        <f t="shared" si="1289"/>
        <v>7.1</v>
      </c>
      <c r="DR479" s="840">
        <f t="shared" si="1289"/>
        <v>5.1000000000000005</v>
      </c>
      <c r="DS479" s="840">
        <f t="shared" si="1289"/>
        <v>4.7</v>
      </c>
      <c r="DT479" s="1332">
        <f t="shared" si="1289"/>
        <v>9.8000000000000007</v>
      </c>
      <c r="DU479" s="840">
        <f t="shared" si="1289"/>
        <v>1.7000000000000002</v>
      </c>
      <c r="DV479" s="840">
        <f t="shared" si="1289"/>
        <v>-1.0000000000000009</v>
      </c>
      <c r="DW479" s="1332">
        <f t="shared" si="1289"/>
        <v>0.69999999999999929</v>
      </c>
      <c r="DX479" s="840">
        <f t="shared" si="1289"/>
        <v>2.1000000000000005</v>
      </c>
      <c r="DY479" s="840">
        <f t="shared" si="1289"/>
        <v>-2.8605000000000009</v>
      </c>
      <c r="DZ479" s="1332">
        <f t="shared" si="1289"/>
        <v>-0.7605000000000004</v>
      </c>
      <c r="EA479" s="840"/>
      <c r="EB479" s="840"/>
      <c r="EC479" s="1332"/>
      <c r="ED479" s="840"/>
      <c r="EE479" s="840"/>
      <c r="EF479" s="1332"/>
      <c r="EG479" s="840"/>
      <c r="EH479" s="840"/>
      <c r="EI479" s="1332"/>
      <c r="EJ479" s="840"/>
      <c r="EK479" s="840"/>
      <c r="EL479" s="1332"/>
      <c r="EM479" s="840"/>
      <c r="EN479" s="840"/>
      <c r="EO479" s="1332"/>
      <c r="EP479" s="840"/>
      <c r="EQ479" s="840"/>
      <c r="ER479" s="1332"/>
      <c r="ES479" s="840"/>
      <c r="ET479" s="840"/>
      <c r="EU479" s="1332"/>
      <c r="EV479" s="840"/>
      <c r="EW479" s="840"/>
      <c r="EX479" s="1332"/>
      <c r="EY479" s="840"/>
      <c r="EZ479" s="840"/>
      <c r="FA479" s="1332"/>
      <c r="FE479"/>
      <c r="FF479"/>
      <c r="FG479"/>
      <c r="FH479"/>
      <c r="FI479"/>
      <c r="FJ479"/>
      <c r="FK479" s="35"/>
    </row>
    <row r="480" spans="1:167" s="236" customFormat="1" ht="13.35" customHeight="1">
      <c r="A480" s="289" t="s">
        <v>755</v>
      </c>
      <c r="B480" s="444"/>
      <c r="C480" s="308"/>
      <c r="D480" s="35"/>
      <c r="E480" s="828"/>
      <c r="F480" s="828"/>
      <c r="G480" s="35"/>
      <c r="H480" s="828"/>
      <c r="I480" s="828"/>
      <c r="J480" s="35"/>
      <c r="K480" s="828"/>
      <c r="L480" s="828"/>
      <c r="M480" s="35"/>
      <c r="N480" s="828"/>
      <c r="O480" s="828"/>
      <c r="P480" s="828"/>
      <c r="Q480" s="828"/>
      <c r="R480" s="828"/>
      <c r="S480" s="35"/>
      <c r="T480" s="828"/>
      <c r="U480" s="828"/>
      <c r="V480" s="35"/>
      <c r="W480" s="828"/>
      <c r="X480" s="828"/>
      <c r="Y480" s="35"/>
      <c r="Z480" s="828"/>
      <c r="AA480" s="828"/>
      <c r="AB480" s="35"/>
      <c r="AC480" s="828"/>
      <c r="AD480" s="828"/>
      <c r="AE480" s="35"/>
      <c r="AF480" s="828"/>
      <c r="AG480" s="828"/>
      <c r="AH480" s="35"/>
      <c r="AI480" s="828"/>
      <c r="AJ480" s="828"/>
      <c r="AK480" s="35"/>
      <c r="AL480" s="828"/>
      <c r="AM480" s="828"/>
      <c r="AN480" s="35"/>
      <c r="AO480" s="828"/>
      <c r="AP480" s="828"/>
      <c r="AQ480" s="35"/>
      <c r="AR480" s="828"/>
      <c r="AS480" s="828"/>
      <c r="AT480" s="35"/>
      <c r="AU480" s="828"/>
      <c r="AV480" s="828"/>
      <c r="AW480" s="35"/>
      <c r="AX480" s="840">
        <f>AX479-(AX479*Assumptions!AX149)</f>
        <v>0.45567999999999997</v>
      </c>
      <c r="AY480" s="840">
        <f>AY479-(AY479*Assumptions!AY149)</f>
        <v>0.36736000000000002</v>
      </c>
      <c r="AZ480" s="840">
        <f>AZ479-(AZ479*Assumptions!AZ149)</f>
        <v>0.82303999999999999</v>
      </c>
      <c r="BA480" s="840">
        <f>BA479-(BA479*Assumptions!BA149)</f>
        <v>0.34559999999999996</v>
      </c>
      <c r="BB480" s="840">
        <f>BB479-(BB479*Assumptions!BB149)</f>
        <v>0.25472000000000006</v>
      </c>
      <c r="BC480" s="840">
        <f>BC479-(BC479*Assumptions!BC149)</f>
        <v>0.60031999999999996</v>
      </c>
      <c r="BD480" s="840">
        <f>BD479-(BD479*Assumptions!BD149)</f>
        <v>-0.17499999999999999</v>
      </c>
      <c r="BE480" s="840">
        <f>BE479-(BE479*Assumptions!BE149)</f>
        <v>-0.14699999999999996</v>
      </c>
      <c r="BF480" s="840">
        <f>BF479-(BF479*Assumptions!BF149)</f>
        <v>-0.32199999999999995</v>
      </c>
      <c r="BG480" s="840">
        <f>BG479-(BG479*Assumptions!BG149)</f>
        <v>-0.22050000000000003</v>
      </c>
      <c r="BH480" s="840">
        <f>BH479-(BH479*Assumptions!BH149)</f>
        <v>0.12320000000000003</v>
      </c>
      <c r="BI480" s="840">
        <f>BI479-(BI479*Assumptions!BI149)</f>
        <v>-9.7300000000000011E-2</v>
      </c>
      <c r="BJ480" s="840">
        <f>BJ479-(BJ479*Assumptions!BJ149)</f>
        <v>0.54109999999999991</v>
      </c>
      <c r="BK480" s="840">
        <f>BK479-(BK479*Assumptions!BK149)</f>
        <v>0.71260000000000001</v>
      </c>
      <c r="BL480" s="840">
        <f>BL479-(BL479*Assumptions!BL149)</f>
        <v>1.2536999999999998</v>
      </c>
      <c r="BM480" s="840">
        <f>BM479-(BM479*Assumptions!BM149)</f>
        <v>-0.31710000000000005</v>
      </c>
      <c r="BN480" s="840">
        <f>BN479-(BN479*Assumptions!BN149)</f>
        <v>0.1575000000000002</v>
      </c>
      <c r="BO480" s="840">
        <f>BO479-(BO479*Assumptions!BO149)</f>
        <v>-0.15959999999999985</v>
      </c>
      <c r="BP480" s="840">
        <f>BP479-(BP479*Assumptions!BP149)</f>
        <v>-2.2400000000000021E-2</v>
      </c>
      <c r="BQ480" s="840">
        <f>BQ479-(BQ479*Assumptions!BQ149)</f>
        <v>0.25900000000000006</v>
      </c>
      <c r="BR480" s="840">
        <f>BR479-(BR479*Assumptions!BR149)</f>
        <v>0.23660000000000006</v>
      </c>
      <c r="BS480" s="840">
        <f>BS479-(BS479*Assumptions!BS149)</f>
        <v>-3.5272999999999999</v>
      </c>
      <c r="BT480" s="840">
        <f>BT479-(BT479*Assumptions!BT149)</f>
        <v>-3.5427</v>
      </c>
      <c r="BU480" s="840">
        <f>BU479-(BU479*Assumptions!BU149)</f>
        <v>-7.07</v>
      </c>
      <c r="BV480" s="840">
        <f>BV479-(BV479*Assumptions!BV149)</f>
        <v>-3.5231000000000003</v>
      </c>
      <c r="BW480" s="840">
        <f>BW479-(BW479*Assumptions!BW149)</f>
        <v>-3.9052999999999995</v>
      </c>
      <c r="BX480" s="840">
        <f>BX479-(BX479*Assumptions!BX149)</f>
        <v>-7.4283999999999999</v>
      </c>
      <c r="BY480" s="840">
        <f>BY479-(BY479*Assumptions!BY149)</f>
        <v>4.5597999999999992</v>
      </c>
      <c r="BZ480" s="840">
        <f>BZ479-(BZ479*Assumptions!BZ149)</f>
        <v>-3.4237000000000002</v>
      </c>
      <c r="CA480" s="840">
        <f>CA479-(CA479*Assumptions!CA149)</f>
        <v>1.1360999999999994</v>
      </c>
      <c r="CB480" s="840">
        <f>CB479-(CB479*Assumptions!CB149)</f>
        <v>-0.81569400000000059</v>
      </c>
      <c r="CC480" s="840">
        <f>CC479-(CC479*Assumptions!CC149)</f>
        <v>-6.4639119999999988</v>
      </c>
      <c r="CD480" s="840">
        <f>CD479-(CD479*Assumptions!CD149)</f>
        <v>-7.3407339999999994</v>
      </c>
      <c r="CE480" s="840">
        <f>CE479-(CE479*Assumptions!CE149)</f>
        <v>-1.2979400000000001</v>
      </c>
      <c r="CF480" s="840">
        <f>CF479-(CF479*Assumptions!CF149)</f>
        <v>-2.3943999999999996</v>
      </c>
      <c r="CG480" s="840">
        <f>CG479-(CG479*Assumptions!CG149)</f>
        <v>-3.6923399999999997</v>
      </c>
      <c r="CH480" s="840">
        <f>CH479-(CH479*Assumptions!CH149)</f>
        <v>-1.73959</v>
      </c>
      <c r="CI480" s="840">
        <f>CI479-(CI479*Assumptions!CI149)</f>
        <v>-1.39795</v>
      </c>
      <c r="CJ480" s="840">
        <f>CJ479-(CJ479*Assumptions!CJ149)</f>
        <v>-3.13754</v>
      </c>
      <c r="CK480" s="840">
        <f>CK479-(CK479*Assumptions!CK149)</f>
        <v>-2.0659000000000001</v>
      </c>
      <c r="CL480" s="840">
        <f>CL479-(CL479*Assumptions!CL149)</f>
        <v>-2.47689</v>
      </c>
      <c r="CM480" s="840">
        <f>CM479-(CM479*Assumptions!CM149)</f>
        <v>-4.5427900000000001</v>
      </c>
      <c r="CN480" s="840">
        <f>CN479-(CN479*Assumptions!CN149)</f>
        <v>-3.3506999999999998</v>
      </c>
      <c r="CO480" s="840">
        <f>CO479-(CO479*Assumptions!CO149)</f>
        <v>-3.9325099999999988</v>
      </c>
      <c r="CP480" s="840">
        <f>CP479-(CP479*Assumptions!CP149)</f>
        <v>-7.2832099999999986</v>
      </c>
      <c r="CQ480" s="840">
        <f>CQ479-(CQ479*Assumptions!CQ149)</f>
        <v>-3.9799765639371625</v>
      </c>
      <c r="CR480" s="840">
        <f>CR479-(CR479*Assumptions!CR149)</f>
        <v>-3.3778120610628388</v>
      </c>
      <c r="CS480" s="840">
        <f>CS479-(CS479*Assumptions!CS149)</f>
        <v>-7.3577886250000013</v>
      </c>
      <c r="CT480" s="840">
        <f>CT479-(CT479*Assumptions!CT149)</f>
        <v>-3.419319999999999</v>
      </c>
      <c r="CU480" s="840">
        <f>CU479-(CU479*Assumptions!CU149)</f>
        <v>-2.6674200000000008</v>
      </c>
      <c r="CV480" s="840">
        <f>CV479-(CV479*Assumptions!CV149)</f>
        <v>-6.0867399999999989</v>
      </c>
      <c r="CW480" s="840">
        <f>CW479-(CW479*Assumptions!CW149)</f>
        <v>-2.4944100000000002</v>
      </c>
      <c r="CX480" s="840">
        <f>CX479-(CX479*Assumptions!CX149)</f>
        <v>-2.5214848240000003</v>
      </c>
      <c r="CY480" s="840">
        <f>CY479-(CY479*Assumptions!CY149)</f>
        <v>-5.0158948240000001</v>
      </c>
      <c r="CZ480" s="840">
        <f>CZ479-(CZ479*Assumptions!CZ149)</f>
        <v>-2.726972816</v>
      </c>
      <c r="DA480" s="840">
        <f>DA479-(DA479*Assumptions!DA149)</f>
        <v>-3.0400271840000004</v>
      </c>
      <c r="DB480" s="840">
        <f>DB479-(DB479*Assumptions!DB149)</f>
        <v>-5.7028487518355355</v>
      </c>
      <c r="DC480" s="840">
        <f>DC479-(DC479*Assumptions!DC149)</f>
        <v>-1.9490748898678416</v>
      </c>
      <c r="DD480" s="840">
        <f>DD479-(DD479*Assumptions!DD149)</f>
        <v>-1.2990223201174738</v>
      </c>
      <c r="DE480" s="840">
        <f>DE479-(DE479*Assumptions!DE149)</f>
        <v>-3.2480972099853149</v>
      </c>
      <c r="DF480" s="840">
        <f>DF479-(DF479*Assumptions!DF149)</f>
        <v>-3.4672945321005062</v>
      </c>
      <c r="DG480" s="840">
        <f>DG479-(DG479*Assumptions!DG149)</f>
        <v>-2.9706333768569095</v>
      </c>
      <c r="DH480" s="1332">
        <f>DH479-(DH479*Assumptions!DH149)</f>
        <v>-6.4379279089574162</v>
      </c>
      <c r="DI480" s="840">
        <f>DI479-(DI479*Assumptions!DI149)</f>
        <v>-3.2484581497797356</v>
      </c>
      <c r="DJ480" s="840">
        <f>DJ479-(DJ479*Assumptions!DJ149)</f>
        <v>-2.8153303964757712</v>
      </c>
      <c r="DK480" s="1332">
        <f>DK479-(DK479*Assumptions!DK149)</f>
        <v>-6.0637885462555072</v>
      </c>
      <c r="DL480" s="840">
        <f>DL479-(DL479*Assumptions!DL149)</f>
        <v>-2.5265785609397944</v>
      </c>
      <c r="DM480" s="840">
        <f>DM479-(DM479*Assumptions!DM149)</f>
        <v>-1.9490748898678407</v>
      </c>
      <c r="DN480" s="1332">
        <f>DN479-(DN479*Assumptions!DN149)</f>
        <v>-4.4756534508076351</v>
      </c>
      <c r="DO480" s="840">
        <f>DO479-(DO479*Assumptions!DO149)</f>
        <v>1.4437591776798824</v>
      </c>
      <c r="DP480" s="840">
        <f>DP479-(DP479*Assumptions!DP149)</f>
        <v>3.6815859030837004</v>
      </c>
      <c r="DQ480" s="1332">
        <f>DQ479-(DQ479*Assumptions!DQ149)</f>
        <v>5.1253450807635828</v>
      </c>
      <c r="DR480" s="840">
        <f>DR479-(DR479*Assumptions!DR149)</f>
        <v>3.6815859030837008</v>
      </c>
      <c r="DS480" s="840">
        <f>DS479-(DS479*Assumptions!DS149)</f>
        <v>3.392834067547724</v>
      </c>
      <c r="DT480" s="1332">
        <f>DT479-(DT479*Assumptions!DT149)</f>
        <v>7.0744199706314248</v>
      </c>
      <c r="DU480" s="840">
        <f>DU479-(DU479*Assumptions!DU149)</f>
        <v>1.2271953010279002</v>
      </c>
      <c r="DV480" s="840">
        <f>DV479-(DV479*Assumptions!DV149)</f>
        <v>-0.72187958883994185</v>
      </c>
      <c r="DW480" s="1332">
        <f>DW479-(DW479*Assumptions!DW149)</f>
        <v>0.50531571218795834</v>
      </c>
      <c r="DX480" s="840">
        <f>DX479-(DX479*Assumptions!DX149)</f>
        <v>1.515947136563877</v>
      </c>
      <c r="DY480" s="840">
        <f>DY479-(DY479*Assumptions!DY149)</f>
        <v>-2.0649365638766524</v>
      </c>
      <c r="DZ480" s="1332">
        <f>DZ479-(DZ479*Assumptions!DZ149)</f>
        <v>-0.54898942731277556</v>
      </c>
      <c r="EA480" s="840"/>
      <c r="EB480" s="840"/>
      <c r="EC480" s="1332"/>
      <c r="ED480" s="840"/>
      <c r="EE480" s="840"/>
      <c r="EF480" s="1332"/>
      <c r="EG480" s="840"/>
      <c r="EH480" s="840"/>
      <c r="EI480" s="1332"/>
      <c r="EJ480" s="840"/>
      <c r="EK480" s="840"/>
      <c r="EL480" s="1332"/>
      <c r="EM480" s="840"/>
      <c r="EN480" s="840"/>
      <c r="EO480" s="1332"/>
      <c r="EP480" s="840"/>
      <c r="EQ480" s="840"/>
      <c r="ER480" s="1332"/>
      <c r="ES480" s="840"/>
      <c r="ET480" s="840"/>
      <c r="EU480" s="1332"/>
      <c r="EV480" s="840"/>
      <c r="EW480" s="840"/>
      <c r="EX480" s="1332"/>
      <c r="EY480" s="840"/>
      <c r="EZ480" s="840"/>
      <c r="FA480" s="1332"/>
      <c r="FE480"/>
      <c r="FF480"/>
      <c r="FG480"/>
      <c r="FH480"/>
      <c r="FI480"/>
      <c r="FJ480"/>
      <c r="FK480" s="35"/>
    </row>
    <row r="481" spans="1:167" s="236" customFormat="1" ht="13.35" customHeight="1">
      <c r="A481" s="289" t="s">
        <v>756</v>
      </c>
      <c r="B481" s="242"/>
      <c r="C481" s="308"/>
      <c r="D481" s="35"/>
      <c r="E481" s="828"/>
      <c r="F481" s="828"/>
      <c r="G481" s="35"/>
      <c r="H481" s="828"/>
      <c r="I481" s="828"/>
      <c r="J481" s="35"/>
      <c r="K481" s="828"/>
      <c r="L481" s="828"/>
      <c r="M481" s="35"/>
      <c r="N481" s="828"/>
      <c r="O481" s="828"/>
      <c r="P481" s="828"/>
      <c r="Q481" s="828"/>
      <c r="R481" s="828"/>
      <c r="S481" s="35"/>
      <c r="T481" s="828"/>
      <c r="U481" s="828"/>
      <c r="V481" s="35"/>
      <c r="W481" s="828"/>
      <c r="X481" s="828"/>
      <c r="Y481" s="35"/>
      <c r="Z481" s="828"/>
      <c r="AA481" s="828"/>
      <c r="AB481" s="35"/>
      <c r="AC481" s="828"/>
      <c r="AD481" s="828"/>
      <c r="AE481" s="35"/>
      <c r="AF481" s="828"/>
      <c r="AG481" s="828"/>
      <c r="AH481" s="35"/>
      <c r="AI481" s="828"/>
      <c r="AJ481" s="828"/>
      <c r="AK481" s="35"/>
      <c r="AL481" s="828"/>
      <c r="AM481" s="828"/>
      <c r="AN481" s="35"/>
      <c r="AO481" s="828"/>
      <c r="AP481" s="828"/>
      <c r="AQ481" s="35"/>
      <c r="AR481" s="828"/>
      <c r="AS481" s="828"/>
      <c r="AT481" s="35"/>
      <c r="AU481" s="828"/>
      <c r="AV481" s="828"/>
      <c r="AW481" s="35"/>
      <c r="AX481" s="74">
        <f>((AX477*Assumptions!AX149)+(AX479-AX480))-Model!AX80</f>
        <v>0.10811999999999689</v>
      </c>
      <c r="AY481" s="74">
        <f>((AY477*Assumptions!AY149)+(AY479-AY480))-Model!AY80</f>
        <v>1.4291200000000011</v>
      </c>
      <c r="AZ481" s="74">
        <f>((AZ477*Assumptions!AZ149)+(AZ479-AZ480))-Model!AZ80</f>
        <v>1.5372399999999988</v>
      </c>
      <c r="BA481" s="74">
        <f>((BA477*Assumptions!BA149)+(BA479-BA480))-Model!BA80</f>
        <v>0.91288000000000125</v>
      </c>
      <c r="BB481" s="74">
        <f>((BB477*Assumptions!BB149)+(BB479-BB480))-Model!BB80</f>
        <v>0.95407999999999049</v>
      </c>
      <c r="BC481" s="74">
        <f>((BC477*Assumptions!BC149)+(BC479-BC480))-Model!BC80</f>
        <v>1.8669599999999882</v>
      </c>
      <c r="BD481" s="74">
        <f>((BD477*Assumptions!BD149)+(BD479-BD480))-Model!BD80</f>
        <v>2.8099999999999916</v>
      </c>
      <c r="BE481" s="74">
        <f>((BE477*Assumptions!BE149)+(BE479-BE480))-Model!BE80</f>
        <v>2.8360000000000127</v>
      </c>
      <c r="BF481" s="74">
        <f>((BF477*Assumptions!BF149)+(BF479-BF480))-Model!BF80</f>
        <v>5.645999999999999</v>
      </c>
      <c r="BG481" s="74"/>
      <c r="BH481" s="74"/>
      <c r="BI481" s="74">
        <f>((BI477*Assumptions!BI149)+(BI479-BI480))-Model!BI80</f>
        <v>2.374099999999995</v>
      </c>
      <c r="BJ481" s="74">
        <f>((BJ477*Assumptions!BJ149)+(BJ479-BJ480))-Model!BJ80</f>
        <v>1.5506999999999973</v>
      </c>
      <c r="BK481" s="74">
        <f>((BK477*Assumptions!BK149)+(BK479-BK480))-Model!BK80</f>
        <v>2.2875000000000019</v>
      </c>
      <c r="BL481" s="74">
        <f>((BL477*Assumptions!BL149)+(BL479-BL480))-Model!BL80</f>
        <v>3.8381999999999952</v>
      </c>
      <c r="BM481" s="74">
        <f>((BM477*Assumptions!BM149)+(BM479-BM480))-Model!BM80</f>
        <v>1.0089999999999986</v>
      </c>
      <c r="BN481" s="74">
        <f>((BN477*Assumptions!BN149)+(BN479-BN480))-Model!BN80</f>
        <v>0.66009999999999103</v>
      </c>
      <c r="BO481" s="74">
        <f>((BO477*Assumptions!BO149)+(BO479-BO480))-Model!BO80</f>
        <v>1.669099999999986</v>
      </c>
      <c r="BP481" s="74">
        <f>((BP477*Assumptions!BP149)+(BP479-BP480))-Model!BP80</f>
        <v>0.43979999999999819</v>
      </c>
      <c r="BQ481" s="74">
        <f>((BQ477*Assumptions!BQ149)+(BQ479-BQ480))-Model!BQ80</f>
        <v>3.6193999999999953</v>
      </c>
      <c r="BR481" s="74">
        <f>((BR477*Assumptions!BR149)+(BR479-BR480))-Model!BR80</f>
        <v>4.059199999999997</v>
      </c>
      <c r="BS481" s="74">
        <f>((BS477*Assumptions!BS149)+(BS479-BS480))-Model!BS80</f>
        <v>-2.0524999999999913</v>
      </c>
      <c r="BT481" s="74">
        <f>((BT477*Assumptions!BT149)+(BT479-BT480))-Model!BT80</f>
        <v>-4.8500000000036181E-2</v>
      </c>
      <c r="BU481" s="74">
        <f>((BU477*Assumptions!BU149)+(BU479-BU480))-Model!BU80</f>
        <v>-2.1010000000000417</v>
      </c>
      <c r="BV481" s="74">
        <f>((BV477*Assumptions!BV149)+(BV479-BV480))-Model!BV80</f>
        <v>1.5464000000000127</v>
      </c>
      <c r="BW481" s="74">
        <f>((BW477*Assumptions!BW149)+(BW479-BW480))-Model!BW80</f>
        <v>4.4086999999999819</v>
      </c>
      <c r="BX481" s="74">
        <f>((BX477*Assumptions!BX149)+(BX479-BX480))-Model!BX80</f>
        <v>5.9550999999999945</v>
      </c>
      <c r="BY481" s="74">
        <f>((BY477*Assumptions!BY149)+(BY479-BY480))-Model!BY80</f>
        <v>7.5370000000000203</v>
      </c>
      <c r="BZ481" s="74">
        <f>((BZ477*Assumptions!BZ149)+(BZ479-BZ480))-Model!BZ80</f>
        <v>2.7576000000000107</v>
      </c>
      <c r="CA481" s="74">
        <f>((CA477*Assumptions!CA149)+(CA479-CA480))-Model!CA80</f>
        <v>10.294600000000024</v>
      </c>
      <c r="CB481" s="74">
        <f>((CB477*Assumptions!CB149)+(CB479-CB480))-Model!CB80</f>
        <v>2.3813939999999967</v>
      </c>
      <c r="CC481" s="74">
        <f>((CC477*Assumptions!CC149)+(CC479-CC480))-Model!CC80</f>
        <v>1.1242880000000071</v>
      </c>
      <c r="CD481" s="74">
        <f>((CD477*Assumptions!CD149)+(CD479-CD480))-Model!CD80</f>
        <v>2.1283620000000028</v>
      </c>
      <c r="CE481" s="74">
        <f>((CE477*Assumptions!CE149)+(CE479-CE480))-Model!CE80</f>
        <v>3.1194700000000104</v>
      </c>
      <c r="CF481" s="74">
        <f>((CF477*Assumptions!CF149)+(CF479-CF480))-Model!CF80</f>
        <v>6.3186799999999756</v>
      </c>
      <c r="CG481" s="74">
        <f>((CG477*Assumptions!CG149)+(CG479-CG480))-Model!CG80</f>
        <v>9.4381500000000003</v>
      </c>
      <c r="CH481" s="74">
        <f>((CH477*Assumptions!CH149)+(CH479-CH480))-Model!CH80</f>
        <v>2.6747199999999971</v>
      </c>
      <c r="CI481" s="74">
        <f>((CI477*Assumptions!CI149)+(CI479-CI480))-Model!CI80</f>
        <v>1.9033499999999925</v>
      </c>
      <c r="CJ481" s="74">
        <f>((CJ477*Assumptions!CJ149)+(CJ479-CJ480))-Model!CJ80</f>
        <v>4.5780700000000039</v>
      </c>
      <c r="CK481" s="74">
        <f>((CK477*Assumptions!CK149)+(CK479-CK480))-Model!CK80</f>
        <v>0.75028000000001427</v>
      </c>
      <c r="CL481" s="74">
        <f>((CL477*Assumptions!CL149)+(CL479-CL480))-Model!CL80</f>
        <v>5.9656399999999934</v>
      </c>
      <c r="CM481" s="74">
        <f>((CM477*Assumptions!CM149)+(CM479-CM480))-Model!CM80</f>
        <v>6.7159200000000041</v>
      </c>
      <c r="CN481" s="74">
        <f>((CN477*Assumptions!CN149)+(CN479-CN480))-Model!CN80</f>
        <v>4.1009499999999957</v>
      </c>
      <c r="CO481" s="74">
        <f>((CO477*Assumptions!CO149)+(CO479-CO480))-Model!CO80</f>
        <v>3.5254599999999847</v>
      </c>
      <c r="CP481" s="74">
        <f>((CP477*Assumptions!CP149)+(CP479-CP480))-Model!CP80</f>
        <v>7.6264099999999821</v>
      </c>
      <c r="CQ481" s="74">
        <f>((CQ477*Assumptions!CQ149)+(CQ479-CQ480))-Model!CQ80</f>
        <v>2.044913873612284</v>
      </c>
      <c r="CR481" s="74">
        <f>((CR477*Assumptions!CR149)+(CR479-CR480))-Model!CR80</f>
        <v>0.58052225138770908</v>
      </c>
      <c r="CS481" s="74">
        <f>((CS477*Assumptions!CS149)+(CS479-CS480))-Model!CS80</f>
        <v>2.6254361250000002</v>
      </c>
      <c r="CT481" s="74">
        <f>((CT477*Assumptions!CT149)+(CT479-CT480))-Model!CT80</f>
        <v>1.8815099999999987</v>
      </c>
      <c r="CU481" s="74">
        <f>((CU477*Assumptions!CU149)+(CU479-CU480))-Model!CU80</f>
        <v>1.5516700000000156</v>
      </c>
      <c r="CV481" s="74">
        <f>((CV477*Assumptions!CV149)+(CV479-CV480))-Model!CV80</f>
        <v>3.4331800000000072</v>
      </c>
      <c r="CW481" s="74">
        <f>((CW477*Assumptions!CW149)+(CW479-CW480))-Model!CW80</f>
        <v>-0.23252000000000095</v>
      </c>
      <c r="CX481" s="74">
        <f>((CX477*Assumptions!CX149)+(CX479-CX480))-Model!CX80</f>
        <v>-1.4155764400000024</v>
      </c>
      <c r="CY481" s="74">
        <f>((CY477*Assumptions!CY149)+(CY479-CY480))-Model!CY80</f>
        <v>-1.6480964399999749</v>
      </c>
      <c r="CZ481" s="74">
        <f>((CZ477*Assumptions!CZ149)+(CZ479-CZ480))-Model!CZ80</f>
        <v>-3.4517015000000058</v>
      </c>
      <c r="DA481" s="74">
        <f>((DA477*Assumptions!DA149)+(DA479-DA480))-Model!DA80</f>
        <v>0.84870149999996869</v>
      </c>
      <c r="DB481" s="74">
        <f>((DB477*Assumptions!DB149)+(DB479-DB480))-Model!DB80</f>
        <v>0.16687224669597356</v>
      </c>
      <c r="DC481" s="74">
        <f>((DC477*Assumptions!DC149)+(DC479-DC480))-Model!DC80</f>
        <v>2.8598237885462439</v>
      </c>
      <c r="DD481" s="74">
        <f>((DD477*Assumptions!DD149)+(DD479-DD480))-Model!DD80</f>
        <v>7.1121214390601892</v>
      </c>
      <c r="DE481" s="74">
        <f>((DE477*Assumptions!DE149)+(DE479-DE480))-Model!DE80</f>
        <v>9.9719452276064402</v>
      </c>
      <c r="DF481" s="74">
        <f>((DF477*Assumptions!DF149)+(DF479-DF480))-Model!DF80</f>
        <v>3.6104901046459759</v>
      </c>
      <c r="DG481" s="74">
        <f>((DG477*Assumptions!DG149)+(DG479-DG480))-Model!DG80</f>
        <v>7.7137969614333777</v>
      </c>
      <c r="DH481" s="1071">
        <f>((DH477*Assumptions!DH149)+(DH479-DH480))-Model!DH80</f>
        <v>11.324287066079322</v>
      </c>
      <c r="DI481" s="74">
        <f>((DI477*Assumptions!DI149)+(DI479-DI480))-Model!DI80</f>
        <v>2.5829515418502567</v>
      </c>
      <c r="DJ481" s="74">
        <f>((DJ477*Assumptions!DJ149)+(DJ479-DJ480))-Model!DJ80</f>
        <v>3.9320998531570694</v>
      </c>
      <c r="DK481" s="1071">
        <f>((DK477*Assumptions!DK149)+(DK479-DK480))-Model!DK80</f>
        <v>6.5150513950072906</v>
      </c>
      <c r="DL481" s="74">
        <f>((DL477*Assumptions!DL149)+(DL479-DL480))-Model!DL80</f>
        <v>3.1099265785609305</v>
      </c>
      <c r="DM481" s="74">
        <f>((DM477*Assumptions!DM149)+(DM479-DM480))-Model!DM80</f>
        <v>2.2972980910425846</v>
      </c>
      <c r="DN481" s="1071">
        <f>((DN477*Assumptions!DN149)+(DN479-DN480))-Model!DN80</f>
        <v>5.4072246696035364</v>
      </c>
      <c r="DO481" s="74">
        <f>((DO477*Assumptions!DO149)+(DO479-DO480))-Model!DO80</f>
        <v>7.618091042584453</v>
      </c>
      <c r="DP481" s="74">
        <f>((DP477*Assumptions!DP149)+(DP479-DP480))-Model!DP80</f>
        <v>10.266681350954478</v>
      </c>
      <c r="DQ481" s="1071">
        <f>((DQ477*Assumptions!DQ149)+(DQ479-DQ480))-Model!DQ80</f>
        <v>17.884772393538967</v>
      </c>
      <c r="DR481" s="74">
        <f>((DR477*Assumptions!DR149)+(DR479-DR480))-Model!DR80</f>
        <v>6.0671218795888535</v>
      </c>
      <c r="DS481" s="74">
        <f>((DS477*Assumptions!DS149)+(DS479-DS480))-Model!DS80</f>
        <v>13.674977973568282</v>
      </c>
      <c r="DT481" s="1071">
        <f>((DT477*Assumptions!DT149)+(DT479-DT480))-Model!DT80</f>
        <v>19.742099853157185</v>
      </c>
      <c r="DU481" s="74">
        <f>((DU477*Assumptions!DU149)+(DU479-DU480))-Model!DU80</f>
        <v>7.5580176211454102</v>
      </c>
      <c r="DV481" s="74">
        <f>((DV477*Assumptions!DV149)+(DV479-DV480))-Model!DV80</f>
        <v>10.559383259911854</v>
      </c>
      <c r="DW481" s="1071">
        <f>((DW477*Assumptions!DW149)+(DW479-DW480))-Model!DW80</f>
        <v>18.117400881057279</v>
      </c>
      <c r="DX481" s="74">
        <f>((DX477*Assumptions!DX149)+(DX479-DX480))-Model!DX80</f>
        <v>11.685345080763632</v>
      </c>
      <c r="DY481" s="74">
        <f>((DY477*Assumptions!DY149)+(DY479-DY480))-Model!DY80</f>
        <v>7.057376063566366</v>
      </c>
      <c r="DZ481" s="1071">
        <f>((DZ477*Assumptions!DZ149)+(DZ479-DZ480))-Model!DZ80</f>
        <v>18.742721144329977</v>
      </c>
      <c r="EA481" s="74"/>
      <c r="EB481" s="74"/>
      <c r="EC481" s="1071"/>
      <c r="ED481" s="74"/>
      <c r="EE481" s="74"/>
      <c r="EF481" s="1071"/>
      <c r="EG481" s="74"/>
      <c r="EH481" s="74"/>
      <c r="EI481" s="1071"/>
      <c r="EJ481" s="74"/>
      <c r="EK481" s="74"/>
      <c r="EL481" s="1071"/>
      <c r="EM481" s="74"/>
      <c r="EN481" s="74"/>
      <c r="EO481" s="1071"/>
      <c r="EP481" s="74"/>
      <c r="EQ481" s="74"/>
      <c r="ER481" s="1071"/>
      <c r="ES481" s="74"/>
      <c r="ET481" s="74"/>
      <c r="EU481" s="1071"/>
      <c r="EV481" s="74"/>
      <c r="EW481" s="74"/>
      <c r="EX481" s="1071"/>
      <c r="EY481" s="74"/>
      <c r="EZ481" s="74"/>
      <c r="FA481" s="1071"/>
      <c r="FE481"/>
      <c r="FF481"/>
      <c r="FG481"/>
      <c r="FH481"/>
      <c r="FI481"/>
      <c r="FJ481"/>
      <c r="FK481" s="35"/>
    </row>
    <row r="482" spans="1:167" s="236" customFormat="1" ht="13.35" customHeight="1">
      <c r="A482" s="289" t="s">
        <v>757</v>
      </c>
      <c r="B482" s="242"/>
      <c r="C482" s="308"/>
      <c r="D482" s="35"/>
      <c r="E482" s="828"/>
      <c r="F482" s="828"/>
      <c r="G482" s="35"/>
      <c r="H482" s="828"/>
      <c r="I482" s="828"/>
      <c r="J482" s="35"/>
      <c r="K482" s="828"/>
      <c r="L482" s="828"/>
      <c r="M482" s="35"/>
      <c r="N482" s="828"/>
      <c r="O482" s="828"/>
      <c r="P482" s="828"/>
      <c r="Q482" s="828"/>
      <c r="R482" s="828"/>
      <c r="S482" s="35"/>
      <c r="T482" s="828"/>
      <c r="U482" s="828"/>
      <c r="V482" s="35"/>
      <c r="W482" s="828"/>
      <c r="X482" s="828"/>
      <c r="Y482" s="35"/>
      <c r="Z482" s="828"/>
      <c r="AA482" s="828"/>
      <c r="AB482" s="35"/>
      <c r="AC482" s="828"/>
      <c r="AD482" s="828"/>
      <c r="AE482" s="35"/>
      <c r="AF482" s="828"/>
      <c r="AG482" s="828"/>
      <c r="AH482" s="35"/>
      <c r="AI482" s="828"/>
      <c r="AJ482" s="828"/>
      <c r="AK482" s="35"/>
      <c r="AL482" s="828"/>
      <c r="AM482" s="828"/>
      <c r="AN482" s="35"/>
      <c r="AO482" s="828"/>
      <c r="AP482" s="828"/>
      <c r="AQ482" s="35"/>
      <c r="AR482" s="828"/>
      <c r="AS482" s="828"/>
      <c r="AT482" s="35"/>
      <c r="AU482" s="828"/>
      <c r="AV482" s="828"/>
      <c r="AW482" s="35"/>
      <c r="AX482" s="74">
        <f>AX480+AX481</f>
        <v>0.56379999999999686</v>
      </c>
      <c r="AY482" s="74">
        <f t="shared" ref="AY482:DJ482" si="1290">AY480+AY481</f>
        <v>1.7964800000000012</v>
      </c>
      <c r="AZ482" s="74">
        <f t="shared" si="1290"/>
        <v>2.3602799999999986</v>
      </c>
      <c r="BA482" s="74">
        <f t="shared" si="1290"/>
        <v>1.2584800000000012</v>
      </c>
      <c r="BB482" s="74">
        <f t="shared" si="1290"/>
        <v>1.2087999999999905</v>
      </c>
      <c r="BC482" s="74">
        <f t="shared" si="1290"/>
        <v>2.4672799999999881</v>
      </c>
      <c r="BD482" s="74">
        <f t="shared" si="1290"/>
        <v>2.6349999999999918</v>
      </c>
      <c r="BE482" s="74">
        <f t="shared" si="1290"/>
        <v>2.6890000000000129</v>
      </c>
      <c r="BF482" s="74">
        <f t="shared" si="1290"/>
        <v>5.323999999999999</v>
      </c>
      <c r="BG482" s="74"/>
      <c r="BH482" s="74"/>
      <c r="BI482" s="74">
        <f t="shared" si="1290"/>
        <v>2.2767999999999948</v>
      </c>
      <c r="BJ482" s="74">
        <f t="shared" si="1290"/>
        <v>2.0917999999999974</v>
      </c>
      <c r="BK482" s="74">
        <f t="shared" si="1290"/>
        <v>3.000100000000002</v>
      </c>
      <c r="BL482" s="74">
        <f t="shared" si="1290"/>
        <v>5.0918999999999954</v>
      </c>
      <c r="BM482" s="74">
        <f t="shared" si="1290"/>
        <v>0.69189999999999852</v>
      </c>
      <c r="BN482" s="74">
        <f t="shared" si="1290"/>
        <v>0.81759999999999122</v>
      </c>
      <c r="BO482" s="74">
        <f t="shared" si="1290"/>
        <v>1.5094999999999863</v>
      </c>
      <c r="BP482" s="74">
        <f t="shared" si="1290"/>
        <v>0.41739999999999816</v>
      </c>
      <c r="BQ482" s="74">
        <f t="shared" si="1290"/>
        <v>3.8783999999999952</v>
      </c>
      <c r="BR482" s="74">
        <f t="shared" si="1290"/>
        <v>4.2957999999999972</v>
      </c>
      <c r="BS482" s="74">
        <f t="shared" si="1290"/>
        <v>-5.5797999999999917</v>
      </c>
      <c r="BT482" s="74">
        <f t="shared" si="1290"/>
        <v>-3.5912000000000361</v>
      </c>
      <c r="BU482" s="74">
        <f t="shared" si="1290"/>
        <v>-9.171000000000042</v>
      </c>
      <c r="BV482" s="74">
        <f t="shared" si="1290"/>
        <v>-1.9766999999999877</v>
      </c>
      <c r="BW482" s="74">
        <f t="shared" si="1290"/>
        <v>0.50339999999998231</v>
      </c>
      <c r="BX482" s="74">
        <f t="shared" si="1290"/>
        <v>-1.4733000000000054</v>
      </c>
      <c r="BY482" s="74">
        <f t="shared" si="1290"/>
        <v>12.09680000000002</v>
      </c>
      <c r="BZ482" s="74">
        <f t="shared" si="1290"/>
        <v>-0.66609999999998948</v>
      </c>
      <c r="CA482" s="74">
        <f t="shared" si="1290"/>
        <v>11.430700000000023</v>
      </c>
      <c r="CB482" s="74">
        <f t="shared" si="1290"/>
        <v>1.5656999999999961</v>
      </c>
      <c r="CC482" s="74">
        <f t="shared" si="1290"/>
        <v>-5.3396239999999917</v>
      </c>
      <c r="CD482" s="74">
        <f t="shared" si="1290"/>
        <v>-5.2123719999999967</v>
      </c>
      <c r="CE482" s="74">
        <f t="shared" si="1290"/>
        <v>1.8215300000000103</v>
      </c>
      <c r="CF482" s="74">
        <f t="shared" si="1290"/>
        <v>3.924279999999976</v>
      </c>
      <c r="CG482" s="74">
        <f t="shared" si="1290"/>
        <v>5.7458100000000005</v>
      </c>
      <c r="CH482" s="74">
        <f t="shared" si="1290"/>
        <v>0.93512999999999713</v>
      </c>
      <c r="CI482" s="74">
        <f t="shared" si="1290"/>
        <v>0.50539999999999252</v>
      </c>
      <c r="CJ482" s="74">
        <f t="shared" si="1290"/>
        <v>1.4405300000000039</v>
      </c>
      <c r="CK482" s="74">
        <f t="shared" si="1290"/>
        <v>-1.3156199999999858</v>
      </c>
      <c r="CL482" s="74">
        <f t="shared" si="1290"/>
        <v>3.4887499999999934</v>
      </c>
      <c r="CM482" s="74">
        <f t="shared" si="1290"/>
        <v>2.173130000000004</v>
      </c>
      <c r="CN482" s="74">
        <f t="shared" si="1290"/>
        <v>0.75024999999999586</v>
      </c>
      <c r="CO482" s="74">
        <f t="shared" si="1290"/>
        <v>-0.40705000000001412</v>
      </c>
      <c r="CP482" s="74">
        <f t="shared" si="1290"/>
        <v>0.34319999999998352</v>
      </c>
      <c r="CQ482" s="74">
        <f t="shared" si="1290"/>
        <v>-1.9350626903248784</v>
      </c>
      <c r="CR482" s="74">
        <f t="shared" si="1290"/>
        <v>-2.7972898096751297</v>
      </c>
      <c r="CS482" s="74">
        <f t="shared" si="1290"/>
        <v>-4.7323525000000011</v>
      </c>
      <c r="CT482" s="74">
        <f t="shared" si="1290"/>
        <v>-1.5378100000000003</v>
      </c>
      <c r="CU482" s="74">
        <f t="shared" si="1290"/>
        <v>-1.1157499999999851</v>
      </c>
      <c r="CV482" s="74">
        <f t="shared" si="1290"/>
        <v>-2.6535599999999917</v>
      </c>
      <c r="CW482" s="74">
        <f t="shared" si="1290"/>
        <v>-2.7269300000000012</v>
      </c>
      <c r="CX482" s="74">
        <f t="shared" si="1290"/>
        <v>-3.9370612640000027</v>
      </c>
      <c r="CY482" s="74">
        <f t="shared" si="1290"/>
        <v>-6.663991263999975</v>
      </c>
      <c r="CZ482" s="74">
        <f t="shared" si="1290"/>
        <v>-6.1786743160000057</v>
      </c>
      <c r="DA482" s="74">
        <f t="shared" si="1290"/>
        <v>-2.1913256840000317</v>
      </c>
      <c r="DB482" s="74">
        <f t="shared" si="1290"/>
        <v>-5.535976505139562</v>
      </c>
      <c r="DC482" s="74">
        <f t="shared" si="1290"/>
        <v>0.91074889867840225</v>
      </c>
      <c r="DD482" s="74">
        <f t="shared" si="1290"/>
        <v>5.8130991189427155</v>
      </c>
      <c r="DE482" s="74">
        <f t="shared" si="1290"/>
        <v>6.7238480176211253</v>
      </c>
      <c r="DF482" s="74">
        <f t="shared" si="1290"/>
        <v>0.14319557254546966</v>
      </c>
      <c r="DG482" s="74">
        <f t="shared" si="1290"/>
        <v>4.7431635845764681</v>
      </c>
      <c r="DH482" s="1071">
        <f t="shared" si="1290"/>
        <v>4.8863591571219054</v>
      </c>
      <c r="DI482" s="74">
        <f t="shared" si="1290"/>
        <v>-0.66550660792947891</v>
      </c>
      <c r="DJ482" s="74">
        <f t="shared" si="1290"/>
        <v>1.1167694566812982</v>
      </c>
      <c r="DK482" s="1071">
        <f t="shared" ref="DK482:DQ482" si="1291">DK480+DK481</f>
        <v>0.45126284875178335</v>
      </c>
      <c r="DL482" s="74">
        <f t="shared" si="1291"/>
        <v>0.58334801762113608</v>
      </c>
      <c r="DM482" s="74">
        <f t="shared" si="1291"/>
        <v>0.34822320117474392</v>
      </c>
      <c r="DN482" s="1071">
        <f t="shared" si="1291"/>
        <v>0.93157121879590132</v>
      </c>
      <c r="DO482" s="74">
        <f t="shared" si="1291"/>
        <v>9.0618502202643363</v>
      </c>
      <c r="DP482" s="74">
        <f t="shared" si="1291"/>
        <v>13.948267254038178</v>
      </c>
      <c r="DQ482" s="1071">
        <f t="shared" si="1291"/>
        <v>23.01011747430255</v>
      </c>
      <c r="DR482" s="74">
        <f t="shared" ref="DR482:DZ482" si="1292">DR480+DR481</f>
        <v>9.7487077826725539</v>
      </c>
      <c r="DS482" s="74">
        <f t="shared" si="1292"/>
        <v>17.067812041116007</v>
      </c>
      <c r="DT482" s="1071">
        <f t="shared" si="1292"/>
        <v>26.81651982378861</v>
      </c>
      <c r="DU482" s="74">
        <f t="shared" si="1292"/>
        <v>8.7852129221733097</v>
      </c>
      <c r="DV482" s="74">
        <f t="shared" si="1292"/>
        <v>9.8375036710719126</v>
      </c>
      <c r="DW482" s="1071">
        <f t="shared" si="1292"/>
        <v>18.622716593245237</v>
      </c>
      <c r="DX482" s="74">
        <f t="shared" si="1292"/>
        <v>13.201292217327509</v>
      </c>
      <c r="DY482" s="74">
        <f t="shared" si="1292"/>
        <v>4.9924394996897137</v>
      </c>
      <c r="DZ482" s="1071">
        <f t="shared" si="1292"/>
        <v>18.193731717017201</v>
      </c>
      <c r="EA482" s="74"/>
      <c r="EB482" s="74"/>
      <c r="EC482" s="1071"/>
      <c r="ED482" s="74"/>
      <c r="EE482" s="74"/>
      <c r="EF482" s="1071"/>
      <c r="EG482" s="74"/>
      <c r="EH482" s="74"/>
      <c r="EI482" s="1071"/>
      <c r="EJ482" s="74"/>
      <c r="EK482" s="74"/>
      <c r="EL482" s="1071"/>
      <c r="EM482" s="74"/>
      <c r="EN482" s="74"/>
      <c r="EO482" s="1071"/>
      <c r="EP482" s="74"/>
      <c r="EQ482" s="74"/>
      <c r="ER482" s="1071"/>
      <c r="ES482" s="74"/>
      <c r="ET482" s="74"/>
      <c r="EU482" s="1071"/>
      <c r="EV482" s="74"/>
      <c r="EW482" s="74"/>
      <c r="EX482" s="1071"/>
      <c r="EY482" s="74"/>
      <c r="EZ482" s="74"/>
      <c r="FA482" s="1071"/>
      <c r="FE482"/>
      <c r="FF482"/>
      <c r="FG482"/>
      <c r="FH482"/>
      <c r="FI482"/>
      <c r="FJ482"/>
      <c r="FK482" s="35"/>
    </row>
    <row r="483" spans="1:167" s="236" customFormat="1" ht="13.35" customHeight="1">
      <c r="A483" s="289" t="s">
        <v>55</v>
      </c>
      <c r="B483" s="242"/>
      <c r="C483" s="308"/>
      <c r="D483" s="35"/>
      <c r="E483" s="828"/>
      <c r="F483" s="828"/>
      <c r="G483" s="35"/>
      <c r="H483" s="828"/>
      <c r="I483" s="828"/>
      <c r="J483" s="35"/>
      <c r="K483" s="828"/>
      <c r="L483" s="828"/>
      <c r="M483" s="35"/>
      <c r="N483" s="828"/>
      <c r="O483" s="828"/>
      <c r="P483" s="828"/>
      <c r="Q483" s="828"/>
      <c r="R483" s="828"/>
      <c r="S483" s="35"/>
      <c r="T483" s="828"/>
      <c r="U483" s="828"/>
      <c r="V483" s="35"/>
      <c r="W483" s="828"/>
      <c r="X483" s="828"/>
      <c r="Y483" s="35"/>
      <c r="Z483" s="828"/>
      <c r="AA483" s="828"/>
      <c r="AB483" s="35"/>
      <c r="AC483" s="828"/>
      <c r="AD483" s="828"/>
      <c r="AE483" s="35"/>
      <c r="AF483" s="828"/>
      <c r="AG483" s="828"/>
      <c r="AH483" s="35"/>
      <c r="AI483" s="828"/>
      <c r="AJ483" s="828"/>
      <c r="AK483" s="35"/>
      <c r="AL483" s="828"/>
      <c r="AM483" s="828"/>
      <c r="AN483" s="35"/>
      <c r="AO483" s="828"/>
      <c r="AP483" s="828"/>
      <c r="AQ483" s="35"/>
      <c r="AR483" s="828"/>
      <c r="AS483" s="828"/>
      <c r="AT483" s="35"/>
      <c r="AU483" s="828"/>
      <c r="AV483" s="828"/>
      <c r="AW483" s="35"/>
      <c r="AX483" s="74">
        <f>AX478+AX482</f>
        <v>11.078999999999994</v>
      </c>
      <c r="AY483" s="74">
        <f t="shared" ref="AY483:DJ483" si="1293">AY478+AY482</f>
        <v>14.416000000000002</v>
      </c>
      <c r="AZ483" s="74">
        <f t="shared" si="1293"/>
        <v>25.494999999999997</v>
      </c>
      <c r="BA483" s="74">
        <f t="shared" si="1293"/>
        <v>16.438000000000002</v>
      </c>
      <c r="BB483" s="74">
        <f t="shared" si="1293"/>
        <v>15.899999999999972</v>
      </c>
      <c r="BC483" s="74">
        <f t="shared" si="1293"/>
        <v>32.337999999999973</v>
      </c>
      <c r="BD483" s="74">
        <f t="shared" si="1293"/>
        <v>20.799999999999972</v>
      </c>
      <c r="BE483" s="74">
        <f t="shared" si="1293"/>
        <v>23.50000000000005</v>
      </c>
      <c r="BF483" s="74">
        <f t="shared" si="1293"/>
        <v>44.300000000000004</v>
      </c>
      <c r="BG483" s="74"/>
      <c r="BH483" s="74"/>
      <c r="BI483" s="74">
        <f t="shared" si="1293"/>
        <v>58.84099999999998</v>
      </c>
      <c r="BJ483" s="74">
        <f t="shared" si="1293"/>
        <v>27.813999999999993</v>
      </c>
      <c r="BK483" s="74">
        <f t="shared" si="1293"/>
        <v>10.922000000000008</v>
      </c>
      <c r="BL483" s="74">
        <f t="shared" si="1293"/>
        <v>38.73599999999999</v>
      </c>
      <c r="BM483" s="74">
        <f t="shared" si="1293"/>
        <v>29.015999999999991</v>
      </c>
      <c r="BN483" s="74">
        <f t="shared" si="1293"/>
        <v>32.157999999999966</v>
      </c>
      <c r="BO483" s="74">
        <f t="shared" si="1293"/>
        <v>61.173999999999964</v>
      </c>
      <c r="BP483" s="74">
        <f t="shared" si="1293"/>
        <v>46.006999999999991</v>
      </c>
      <c r="BQ483" s="74">
        <f t="shared" si="1293"/>
        <v>38.946999999999981</v>
      </c>
      <c r="BR483" s="74">
        <f t="shared" si="1293"/>
        <v>84.953999999999994</v>
      </c>
      <c r="BS483" s="74">
        <f t="shared" si="1293"/>
        <v>48.372000000000043</v>
      </c>
      <c r="BT483" s="74">
        <f t="shared" si="1293"/>
        <v>51.502999999999879</v>
      </c>
      <c r="BU483" s="74">
        <f t="shared" si="1293"/>
        <v>99.874999999999858</v>
      </c>
      <c r="BV483" s="74">
        <f t="shared" si="1293"/>
        <v>57.783000000000037</v>
      </c>
      <c r="BW483" s="74">
        <f t="shared" si="1293"/>
        <v>58.860999999999947</v>
      </c>
      <c r="BX483" s="74">
        <f t="shared" si="1293"/>
        <v>116.64399999999998</v>
      </c>
      <c r="BY483" s="74">
        <f t="shared" si="1293"/>
        <v>85.825000000000074</v>
      </c>
      <c r="BZ483" s="74">
        <f t="shared" si="1293"/>
        <v>55.189000000000036</v>
      </c>
      <c r="CA483" s="74">
        <f t="shared" si="1293"/>
        <v>141.0140000000001</v>
      </c>
      <c r="CB483" s="74">
        <f t="shared" si="1293"/>
        <v>80.008999999999972</v>
      </c>
      <c r="CC483" s="74">
        <f t="shared" si="1293"/>
        <v>77.549000000000007</v>
      </c>
      <c r="CD483" s="74">
        <f t="shared" si="1293"/>
        <v>157.55799999999999</v>
      </c>
      <c r="CE483" s="74">
        <f t="shared" si="1293"/>
        <v>86.165000000000035</v>
      </c>
      <c r="CF483" s="74">
        <f t="shared" si="1293"/>
        <v>97.556999999999903</v>
      </c>
      <c r="CG483" s="74">
        <f t="shared" si="1293"/>
        <v>183.72199999999998</v>
      </c>
      <c r="CH483" s="74">
        <f t="shared" si="1293"/>
        <v>80.59199999999997</v>
      </c>
      <c r="CI483" s="74">
        <f t="shared" si="1293"/>
        <v>79.359999999999971</v>
      </c>
      <c r="CJ483" s="74">
        <f t="shared" si="1293"/>
        <v>159.952</v>
      </c>
      <c r="CK483" s="74">
        <f t="shared" si="1293"/>
        <v>77.958000000000055</v>
      </c>
      <c r="CL483" s="74">
        <f t="shared" si="1293"/>
        <v>55.26399999999996</v>
      </c>
      <c r="CM483" s="74">
        <f t="shared" si="1293"/>
        <v>133.22200000000001</v>
      </c>
      <c r="CN483" s="74">
        <f t="shared" si="1293"/>
        <v>36.939999999999984</v>
      </c>
      <c r="CO483" s="74">
        <f t="shared" si="1293"/>
        <v>72.873999999999938</v>
      </c>
      <c r="CP483" s="74">
        <f t="shared" si="1293"/>
        <v>109.81399999999992</v>
      </c>
      <c r="CQ483" s="74">
        <f t="shared" si="1293"/>
        <v>71.46497730967512</v>
      </c>
      <c r="CR483" s="74">
        <f t="shared" si="1293"/>
        <v>74.695860190324851</v>
      </c>
      <c r="CS483" s="74">
        <f t="shared" si="1293"/>
        <v>146.16083749999999</v>
      </c>
      <c r="CT483" s="74">
        <f t="shared" si="1293"/>
        <v>94.162999999999982</v>
      </c>
      <c r="CU483" s="74">
        <f t="shared" si="1293"/>
        <v>95.226000000000028</v>
      </c>
      <c r="CV483" s="74">
        <f t="shared" si="1293"/>
        <v>189.38899999999998</v>
      </c>
      <c r="CW483" s="74">
        <f t="shared" si="1293"/>
        <v>111.64143999999999</v>
      </c>
      <c r="CX483" s="74">
        <f t="shared" si="1293"/>
        <v>112.63438799999999</v>
      </c>
      <c r="CY483" s="74">
        <f t="shared" si="1293"/>
        <v>224.27582800000005</v>
      </c>
      <c r="CZ483" s="74">
        <f t="shared" si="1293"/>
        <v>111.04554999999999</v>
      </c>
      <c r="DA483" s="74">
        <f t="shared" si="1293"/>
        <v>135.35444999999984</v>
      </c>
      <c r="DB483" s="74">
        <f t="shared" si="1293"/>
        <v>246.39999999999978</v>
      </c>
      <c r="DC483" s="74">
        <f t="shared" si="1293"/>
        <v>128.89999999999995</v>
      </c>
      <c r="DD483" s="74">
        <f t="shared" si="1293"/>
        <v>137.70050000000001</v>
      </c>
      <c r="DE483" s="74">
        <f t="shared" si="1293"/>
        <v>266.60050000000001</v>
      </c>
      <c r="DF483" s="74">
        <f t="shared" si="1293"/>
        <v>132.89685196021074</v>
      </c>
      <c r="DG483" s="74">
        <f t="shared" si="1293"/>
        <v>22.544328039789438</v>
      </c>
      <c r="DH483" s="1071">
        <f t="shared" si="1293"/>
        <v>155.44118000000006</v>
      </c>
      <c r="DI483" s="74">
        <f t="shared" si="1293"/>
        <v>128.19000000000011</v>
      </c>
      <c r="DJ483" s="74">
        <f t="shared" si="1293"/>
        <v>116.03999999999981</v>
      </c>
      <c r="DK483" s="1071">
        <f t="shared" ref="DK483:DQ483" si="1294">DK478+DK482</f>
        <v>244.22999999999982</v>
      </c>
      <c r="DL483" s="74">
        <f t="shared" si="1294"/>
        <v>162.13999999999996</v>
      </c>
      <c r="DM483" s="74">
        <f t="shared" si="1294"/>
        <v>132.37999999999997</v>
      </c>
      <c r="DN483" s="1071">
        <f t="shared" si="1294"/>
        <v>294.52000000000004</v>
      </c>
      <c r="DO483" s="74">
        <f t="shared" si="1294"/>
        <v>160.44000000000005</v>
      </c>
      <c r="DP483" s="74">
        <f t="shared" si="1294"/>
        <v>188.20999999999998</v>
      </c>
      <c r="DQ483" s="1071">
        <f t="shared" si="1294"/>
        <v>348.65000000000015</v>
      </c>
      <c r="DR483" s="74">
        <f t="shared" ref="DR483:DZ483" si="1295">DR478+DR482</f>
        <v>213.03000000000003</v>
      </c>
      <c r="DS483" s="74">
        <f t="shared" si="1295"/>
        <v>213.78</v>
      </c>
      <c r="DT483" s="1071">
        <f t="shared" si="1295"/>
        <v>426.81000000000012</v>
      </c>
      <c r="DU483" s="74">
        <f t="shared" si="1295"/>
        <v>221.09000000000012</v>
      </c>
      <c r="DV483" s="74">
        <f t="shared" si="1295"/>
        <v>205.89999999999981</v>
      </c>
      <c r="DW483" s="1071">
        <f t="shared" si="1295"/>
        <v>426.99000000000007</v>
      </c>
      <c r="DX483" s="74">
        <f t="shared" si="1295"/>
        <v>203.20000000000016</v>
      </c>
      <c r="DY483" s="74">
        <f t="shared" si="1295"/>
        <v>220.70445297475257</v>
      </c>
      <c r="DZ483" s="1071">
        <f t="shared" si="1295"/>
        <v>423.90445297475264</v>
      </c>
      <c r="EA483" s="74"/>
      <c r="EB483" s="74"/>
      <c r="EC483" s="1071"/>
      <c r="ED483" s="74"/>
      <c r="EE483" s="74"/>
      <c r="EF483" s="1071"/>
      <c r="EG483" s="74"/>
      <c r="EH483" s="74"/>
      <c r="EI483" s="1071"/>
      <c r="EJ483" s="74"/>
      <c r="EK483" s="74"/>
      <c r="EL483" s="1071"/>
      <c r="EM483" s="74"/>
      <c r="EN483" s="74"/>
      <c r="EO483" s="1071"/>
      <c r="EP483" s="74"/>
      <c r="EQ483" s="74"/>
      <c r="ER483" s="1071"/>
      <c r="ES483" s="74"/>
      <c r="ET483" s="74"/>
      <c r="EU483" s="1071"/>
      <c r="EV483" s="74"/>
      <c r="EW483" s="74"/>
      <c r="EX483" s="1071"/>
      <c r="EY483" s="74"/>
      <c r="EZ483" s="74"/>
      <c r="FA483" s="1071"/>
      <c r="FE483"/>
      <c r="FF483"/>
      <c r="FG483"/>
      <c r="FH483"/>
      <c r="FI483"/>
      <c r="FJ483"/>
      <c r="FK483" s="35"/>
    </row>
    <row r="484" spans="1:167" s="236" customFormat="1" ht="13.35" customHeight="1">
      <c r="A484" s="289" t="s">
        <v>56</v>
      </c>
      <c r="B484" s="242"/>
      <c r="C484" s="308"/>
      <c r="D484" s="35"/>
      <c r="E484" s="828"/>
      <c r="F484" s="828"/>
      <c r="G484" s="35"/>
      <c r="H484" s="828"/>
      <c r="I484" s="828"/>
      <c r="J484" s="35"/>
      <c r="K484" s="828"/>
      <c r="L484" s="828"/>
      <c r="M484" s="35"/>
      <c r="N484" s="828"/>
      <c r="O484" s="828"/>
      <c r="P484" s="828"/>
      <c r="Q484" s="828"/>
      <c r="R484" s="828"/>
      <c r="S484" s="35"/>
      <c r="T484" s="828"/>
      <c r="U484" s="828"/>
      <c r="V484" s="35"/>
      <c r="W484" s="828"/>
      <c r="X484" s="828"/>
      <c r="Y484" s="35"/>
      <c r="Z484" s="828"/>
      <c r="AA484" s="828"/>
      <c r="AB484" s="35"/>
      <c r="AC484" s="828"/>
      <c r="AD484" s="828"/>
      <c r="AE484" s="35"/>
      <c r="AF484" s="828"/>
      <c r="AG484" s="828"/>
      <c r="AH484" s="35"/>
      <c r="AI484" s="828"/>
      <c r="AJ484" s="828"/>
      <c r="AK484" s="35"/>
      <c r="AL484" s="828"/>
      <c r="AM484" s="828"/>
      <c r="AN484" s="35"/>
      <c r="AO484" s="828"/>
      <c r="AP484" s="828"/>
      <c r="AQ484" s="35"/>
      <c r="AR484" s="828"/>
      <c r="AS484" s="828"/>
      <c r="AT484" s="35"/>
      <c r="AU484" s="828"/>
      <c r="AV484" s="828"/>
      <c r="AW484" s="35"/>
      <c r="AX484" s="74">
        <f>AX483-AX460-AX461</f>
        <v>11.078999999999994</v>
      </c>
      <c r="AY484" s="74">
        <f t="shared" ref="AY484:DJ484" si="1296">AY483-AY460-AY461</f>
        <v>14.416000000000002</v>
      </c>
      <c r="AZ484" s="74">
        <f t="shared" si="1296"/>
        <v>25.494999999999997</v>
      </c>
      <c r="BA484" s="74">
        <f t="shared" si="1296"/>
        <v>16.438000000000002</v>
      </c>
      <c r="BB484" s="74">
        <f t="shared" si="1296"/>
        <v>15.899999999999972</v>
      </c>
      <c r="BC484" s="74">
        <f t="shared" si="1296"/>
        <v>32.337999999999973</v>
      </c>
      <c r="BD484" s="74">
        <f t="shared" si="1296"/>
        <v>20.799999999999972</v>
      </c>
      <c r="BE484" s="74">
        <f t="shared" si="1296"/>
        <v>23.50000000000005</v>
      </c>
      <c r="BF484" s="74">
        <f t="shared" si="1296"/>
        <v>44.300000000000004</v>
      </c>
      <c r="BG484" s="74"/>
      <c r="BH484" s="74"/>
      <c r="BI484" s="74">
        <f t="shared" si="1296"/>
        <v>58.84099999999998</v>
      </c>
      <c r="BJ484" s="74">
        <f t="shared" si="1296"/>
        <v>27.813999999999993</v>
      </c>
      <c r="BK484" s="74">
        <f t="shared" si="1296"/>
        <v>10.922000000000008</v>
      </c>
      <c r="BL484" s="74">
        <f t="shared" si="1296"/>
        <v>38.73599999999999</v>
      </c>
      <c r="BM484" s="74">
        <f t="shared" si="1296"/>
        <v>28.640999999999991</v>
      </c>
      <c r="BN484" s="74">
        <f t="shared" si="1296"/>
        <v>32.157999999999966</v>
      </c>
      <c r="BO484" s="74">
        <f t="shared" si="1296"/>
        <v>61.173999999999964</v>
      </c>
      <c r="BP484" s="74">
        <f t="shared" si="1296"/>
        <v>46.788999999999987</v>
      </c>
      <c r="BQ484" s="74">
        <f t="shared" si="1296"/>
        <v>38.164999999999978</v>
      </c>
      <c r="BR484" s="74">
        <f t="shared" si="1296"/>
        <v>84.953999999999994</v>
      </c>
      <c r="BS484" s="74">
        <f t="shared" si="1296"/>
        <v>48.372000000000043</v>
      </c>
      <c r="BT484" s="74">
        <f t="shared" si="1296"/>
        <v>51.502999999999879</v>
      </c>
      <c r="BU484" s="74">
        <f t="shared" si="1296"/>
        <v>99.874999999999858</v>
      </c>
      <c r="BV484" s="74">
        <f t="shared" si="1296"/>
        <v>57.783000000000037</v>
      </c>
      <c r="BW484" s="74">
        <f t="shared" si="1296"/>
        <v>58.860999999999947</v>
      </c>
      <c r="BX484" s="74">
        <f t="shared" si="1296"/>
        <v>116.64399999999998</v>
      </c>
      <c r="BY484" s="74">
        <f t="shared" si="1296"/>
        <v>85.825000000000074</v>
      </c>
      <c r="BZ484" s="74">
        <f t="shared" si="1296"/>
        <v>55.189000000000036</v>
      </c>
      <c r="CA484" s="74">
        <f t="shared" si="1296"/>
        <v>141.0140000000001</v>
      </c>
      <c r="CB484" s="74">
        <f t="shared" si="1296"/>
        <v>80.008999999999972</v>
      </c>
      <c r="CC484" s="74">
        <f t="shared" si="1296"/>
        <v>77.549000000000007</v>
      </c>
      <c r="CD484" s="74">
        <f t="shared" si="1296"/>
        <v>157.55799999999999</v>
      </c>
      <c r="CE484" s="74">
        <f t="shared" si="1296"/>
        <v>86.165000000000035</v>
      </c>
      <c r="CF484" s="74">
        <f t="shared" si="1296"/>
        <v>97.556999999999903</v>
      </c>
      <c r="CG484" s="74">
        <f t="shared" si="1296"/>
        <v>183.72199999999998</v>
      </c>
      <c r="CH484" s="74">
        <f t="shared" si="1296"/>
        <v>80.59199999999997</v>
      </c>
      <c r="CI484" s="74">
        <f t="shared" si="1296"/>
        <v>79.359999999999971</v>
      </c>
      <c r="CJ484" s="74">
        <f t="shared" si="1296"/>
        <v>159.952</v>
      </c>
      <c r="CK484" s="74">
        <f t="shared" si="1296"/>
        <v>77.958000000000055</v>
      </c>
      <c r="CL484" s="74">
        <f t="shared" si="1296"/>
        <v>55.26399999999996</v>
      </c>
      <c r="CM484" s="74">
        <f t="shared" si="1296"/>
        <v>133.22200000000001</v>
      </c>
      <c r="CN484" s="74">
        <f t="shared" si="1296"/>
        <v>36.939999999999984</v>
      </c>
      <c r="CO484" s="74">
        <f t="shared" si="1296"/>
        <v>72.873999999999938</v>
      </c>
      <c r="CP484" s="74">
        <f t="shared" si="1296"/>
        <v>109.81399999999992</v>
      </c>
      <c r="CQ484" s="74">
        <f t="shared" si="1296"/>
        <v>71.46497730967512</v>
      </c>
      <c r="CR484" s="74">
        <f t="shared" si="1296"/>
        <v>74.695860190324851</v>
      </c>
      <c r="CS484" s="74">
        <f t="shared" si="1296"/>
        <v>146.16083749999999</v>
      </c>
      <c r="CT484" s="74">
        <f t="shared" si="1296"/>
        <v>94.162999999999982</v>
      </c>
      <c r="CU484" s="74">
        <f t="shared" si="1296"/>
        <v>95.226000000000028</v>
      </c>
      <c r="CV484" s="74">
        <f t="shared" si="1296"/>
        <v>189.38899999999998</v>
      </c>
      <c r="CW484" s="74">
        <f t="shared" si="1296"/>
        <v>111.64143999999999</v>
      </c>
      <c r="CX484" s="74">
        <f t="shared" si="1296"/>
        <v>112.63438799999999</v>
      </c>
      <c r="CY484" s="74">
        <f t="shared" si="1296"/>
        <v>224.27582800000005</v>
      </c>
      <c r="CZ484" s="74">
        <f t="shared" si="1296"/>
        <v>111.04554999999999</v>
      </c>
      <c r="DA484" s="74">
        <f t="shared" si="1296"/>
        <v>135.35444999999984</v>
      </c>
      <c r="DB484" s="74">
        <f t="shared" si="1296"/>
        <v>246.39999999999978</v>
      </c>
      <c r="DC484" s="74">
        <f t="shared" si="1296"/>
        <v>128.89999999999995</v>
      </c>
      <c r="DD484" s="74">
        <f t="shared" si="1296"/>
        <v>137.70050000000001</v>
      </c>
      <c r="DE484" s="74">
        <f t="shared" si="1296"/>
        <v>266.60050000000001</v>
      </c>
      <c r="DF484" s="74">
        <f t="shared" si="1296"/>
        <v>132.89685196021074</v>
      </c>
      <c r="DG484" s="74">
        <f t="shared" si="1296"/>
        <v>22.544328039789438</v>
      </c>
      <c r="DH484" s="1071">
        <f t="shared" si="1296"/>
        <v>155.44118000000006</v>
      </c>
      <c r="DI484" s="74">
        <f t="shared" si="1296"/>
        <v>128.19000000000011</v>
      </c>
      <c r="DJ484" s="74">
        <f t="shared" si="1296"/>
        <v>116.03999999999981</v>
      </c>
      <c r="DK484" s="1071">
        <f t="shared" ref="DK484:DQ484" si="1297">DK483-DK460-DK461</f>
        <v>244.22999999999982</v>
      </c>
      <c r="DL484" s="74">
        <f t="shared" si="1297"/>
        <v>162.13999999999996</v>
      </c>
      <c r="DM484" s="74">
        <f t="shared" si="1297"/>
        <v>132.37999999999997</v>
      </c>
      <c r="DN484" s="1071">
        <f t="shared" si="1297"/>
        <v>294.52000000000004</v>
      </c>
      <c r="DO484" s="74">
        <f t="shared" si="1297"/>
        <v>160.44000000000005</v>
      </c>
      <c r="DP484" s="74">
        <f t="shared" si="1297"/>
        <v>188.20999999999998</v>
      </c>
      <c r="DQ484" s="1071">
        <f t="shared" si="1297"/>
        <v>348.65000000000015</v>
      </c>
      <c r="DR484" s="74">
        <f t="shared" ref="DR484:DZ484" si="1298">DR483-DR460-DR461</f>
        <v>213.03000000000003</v>
      </c>
      <c r="DS484" s="74">
        <f t="shared" si="1298"/>
        <v>213.78</v>
      </c>
      <c r="DT484" s="1071">
        <f t="shared" si="1298"/>
        <v>426.81000000000012</v>
      </c>
      <c r="DU484" s="74">
        <f t="shared" si="1298"/>
        <v>221.09000000000012</v>
      </c>
      <c r="DV484" s="74">
        <f t="shared" si="1298"/>
        <v>205.89999999999981</v>
      </c>
      <c r="DW484" s="1071">
        <f t="shared" si="1298"/>
        <v>426.99000000000007</v>
      </c>
      <c r="DX484" s="74">
        <f t="shared" si="1298"/>
        <v>203.20000000000016</v>
      </c>
      <c r="DY484" s="74">
        <f t="shared" si="1298"/>
        <v>220.70445297475257</v>
      </c>
      <c r="DZ484" s="1071">
        <f t="shared" si="1298"/>
        <v>423.90445297475264</v>
      </c>
      <c r="EA484" s="74"/>
      <c r="EB484" s="74"/>
      <c r="EC484" s="1071"/>
      <c r="ED484" s="74"/>
      <c r="EE484" s="74"/>
      <c r="EF484" s="1071"/>
      <c r="EG484" s="74"/>
      <c r="EH484" s="74"/>
      <c r="EI484" s="1071"/>
      <c r="EJ484" s="74"/>
      <c r="EK484" s="74"/>
      <c r="EL484" s="1071"/>
      <c r="EM484" s="74"/>
      <c r="EN484" s="74"/>
      <c r="EO484" s="1071"/>
      <c r="EP484" s="74"/>
      <c r="EQ484" s="74"/>
      <c r="ER484" s="1071"/>
      <c r="ES484" s="74"/>
      <c r="ET484" s="74"/>
      <c r="EU484" s="1071"/>
      <c r="EV484" s="74"/>
      <c r="EW484" s="74"/>
      <c r="EX484" s="1071"/>
      <c r="EY484" s="74"/>
      <c r="EZ484" s="74"/>
      <c r="FA484" s="1071"/>
      <c r="FE484"/>
      <c r="FF484"/>
      <c r="FG484"/>
      <c r="FH484"/>
      <c r="FI484"/>
      <c r="FJ484"/>
      <c r="FK484" s="35"/>
    </row>
    <row r="485" spans="1:167" s="236" customFormat="1" ht="13.35" customHeight="1">
      <c r="A485" s="289" t="s">
        <v>57</v>
      </c>
      <c r="B485" s="242"/>
      <c r="C485" s="308"/>
      <c r="D485" s="35"/>
      <c r="E485" s="828"/>
      <c r="F485" s="828"/>
      <c r="G485" s="35"/>
      <c r="H485" s="828"/>
      <c r="I485" s="828"/>
      <c r="J485" s="35"/>
      <c r="K485" s="828"/>
      <c r="L485" s="828"/>
      <c r="M485" s="35"/>
      <c r="N485" s="828"/>
      <c r="O485" s="828"/>
      <c r="P485" s="828"/>
      <c r="Q485" s="828"/>
      <c r="R485" s="828"/>
      <c r="S485" s="35"/>
      <c r="T485" s="828"/>
      <c r="U485" s="828"/>
      <c r="V485" s="35"/>
      <c r="W485" s="828"/>
      <c r="X485" s="828"/>
      <c r="Y485" s="35"/>
      <c r="Z485" s="828"/>
      <c r="AA485" s="828"/>
      <c r="AB485" s="35"/>
      <c r="AC485" s="828"/>
      <c r="AD485" s="828"/>
      <c r="AE485" s="35"/>
      <c r="AF485" s="828"/>
      <c r="AG485" s="828"/>
      <c r="AH485" s="35"/>
      <c r="AI485" s="828"/>
      <c r="AJ485" s="828"/>
      <c r="AK485" s="35"/>
      <c r="AL485" s="828"/>
      <c r="AM485" s="828"/>
      <c r="AN485" s="35"/>
      <c r="AO485" s="828"/>
      <c r="AP485" s="828"/>
      <c r="AQ485" s="35"/>
      <c r="AR485" s="828"/>
      <c r="AS485" s="828"/>
      <c r="AT485" s="35"/>
      <c r="AU485" s="828"/>
      <c r="AV485" s="828"/>
      <c r="AW485" s="35"/>
      <c r="AX485" s="74">
        <f>AX484/AX396</f>
        <v>0.21799851340090537</v>
      </c>
      <c r="AY485" s="74">
        <f t="shared" ref="AY485:DJ485" si="1299">AY484/AY396</f>
        <v>0.28192033124235172</v>
      </c>
      <c r="AZ485" s="74">
        <f t="shared" si="1299"/>
        <v>0.50011543564235883</v>
      </c>
      <c r="BA485" s="74">
        <f t="shared" si="1299"/>
        <v>0.31882668726785152</v>
      </c>
      <c r="BB485" s="74">
        <f t="shared" si="1299"/>
        <v>0.30566893021237995</v>
      </c>
      <c r="BC485" s="74">
        <f t="shared" si="1299"/>
        <v>0.62443727342243016</v>
      </c>
      <c r="BD485" s="74">
        <f t="shared" si="1299"/>
        <v>0.39986651379205879</v>
      </c>
      <c r="BE485" s="74">
        <f t="shared" si="1299"/>
        <v>0.44767420540312308</v>
      </c>
      <c r="BF485" s="74">
        <f t="shared" si="1299"/>
        <v>0.84775854058775413</v>
      </c>
      <c r="BG485" s="74"/>
      <c r="BH485" s="74"/>
      <c r="BI485" s="74">
        <f t="shared" si="1299"/>
        <v>1.1148047365284386</v>
      </c>
      <c r="BJ485" s="74">
        <f t="shared" si="1299"/>
        <v>0.51367817383457726</v>
      </c>
      <c r="BK485" s="74">
        <f t="shared" si="1299"/>
        <v>0.20165545055924231</v>
      </c>
      <c r="BL485" s="74">
        <f t="shared" si="1299"/>
        <v>0.71529056364601362</v>
      </c>
      <c r="BM485" s="74">
        <f t="shared" si="1299"/>
        <v>0.52880550809991322</v>
      </c>
      <c r="BN485" s="74">
        <f t="shared" si="1299"/>
        <v>0.59374070491522635</v>
      </c>
      <c r="BO485" s="74">
        <f t="shared" si="1299"/>
        <v>1.1294699260676682</v>
      </c>
      <c r="BP485" s="74">
        <f t="shared" si="1299"/>
        <v>0.86387629337267702</v>
      </c>
      <c r="BQ485" s="74">
        <f t="shared" si="1299"/>
        <v>0.70464935639932913</v>
      </c>
      <c r="BR485" s="74">
        <f t="shared" si="1299"/>
        <v>1.5685256497720066</v>
      </c>
      <c r="BS485" s="74">
        <f t="shared" si="1299"/>
        <v>0.88410380159932778</v>
      </c>
      <c r="BT485" s="74">
        <f t="shared" si="1299"/>
        <v>0.9411979271460188</v>
      </c>
      <c r="BU485" s="74">
        <f t="shared" si="1299"/>
        <v>1.8253057238595736</v>
      </c>
      <c r="BV485" s="74">
        <f t="shared" si="1299"/>
        <v>1.0452129912469863</v>
      </c>
      <c r="BW485" s="74">
        <f t="shared" si="1299"/>
        <v>1.0582161827378487</v>
      </c>
      <c r="BX485" s="74">
        <f t="shared" si="1299"/>
        <v>2.1065342056537153</v>
      </c>
      <c r="BY485" s="74">
        <f t="shared" si="1299"/>
        <v>1.5457072059366119</v>
      </c>
      <c r="BZ485" s="74">
        <f t="shared" si="1299"/>
        <v>0.99005774927254442</v>
      </c>
      <c r="CA485" s="74">
        <f t="shared" si="1299"/>
        <v>2.5249575782094675</v>
      </c>
      <c r="CB485" s="74">
        <f t="shared" si="1299"/>
        <v>1.4252564513923576</v>
      </c>
      <c r="CC485" s="74">
        <f t="shared" si="1299"/>
        <v>1.3814347454539613</v>
      </c>
      <c r="CD485" s="74">
        <f t="shared" si="1299"/>
        <v>2.8029868734010175</v>
      </c>
      <c r="CE485" s="74">
        <f t="shared" si="1299"/>
        <v>1.5240395415786701</v>
      </c>
      <c r="CF485" s="74">
        <f t="shared" si="1299"/>
        <v>1.7255350264932408</v>
      </c>
      <c r="CG485" s="74">
        <f t="shared" si="1299"/>
        <v>3.2461967284410891</v>
      </c>
      <c r="CH485" s="74">
        <f t="shared" si="1299"/>
        <v>1.4193850088204527</v>
      </c>
      <c r="CI485" s="74">
        <f t="shared" si="1299"/>
        <v>1.397677625479564</v>
      </c>
      <c r="CJ485" s="74">
        <f t="shared" si="1299"/>
        <v>2.8377781972952767</v>
      </c>
      <c r="CK485" s="74">
        <f t="shared" si="1299"/>
        <v>1.370813122941255</v>
      </c>
      <c r="CL485" s="74">
        <f t="shared" si="1299"/>
        <v>0.97141407032743177</v>
      </c>
      <c r="CM485" s="74">
        <f t="shared" si="1299"/>
        <v>2.3417364880783373</v>
      </c>
      <c r="CN485" s="74">
        <f t="shared" si="1299"/>
        <v>0.64893109068557242</v>
      </c>
      <c r="CO485" s="74">
        <f t="shared" si="1299"/>
        <v>1.280189612956697</v>
      </c>
      <c r="CP485" s="74">
        <f t="shared" si="1299"/>
        <v>1.9294288394107939</v>
      </c>
      <c r="CQ485" s="74">
        <f t="shared" si="1299"/>
        <v>1.2549769921925378</v>
      </c>
      <c r="CR485" s="74">
        <f t="shared" si="1299"/>
        <v>1.3117136460378784</v>
      </c>
      <c r="CS485" s="74">
        <f t="shared" si="1299"/>
        <v>2.5664218963417316</v>
      </c>
      <c r="CT485" s="74">
        <f t="shared" si="1299"/>
        <v>1.6532216763042413</v>
      </c>
      <c r="CU485" s="74">
        <f t="shared" si="1299"/>
        <v>1.6632468325625696</v>
      </c>
      <c r="CV485" s="74">
        <f t="shared" si="1299"/>
        <v>3.3142076926353359</v>
      </c>
      <c r="CW485" s="74">
        <f t="shared" si="1299"/>
        <v>1.9466427297563274</v>
      </c>
      <c r="CX485" s="74">
        <f t="shared" si="1299"/>
        <v>1.9691579947602122</v>
      </c>
      <c r="CY485" s="74">
        <f t="shared" si="1299"/>
        <v>3.9209565353847924</v>
      </c>
      <c r="CZ485" s="74">
        <f t="shared" si="1299"/>
        <v>1.9309540371572176</v>
      </c>
      <c r="DA485" s="74">
        <f t="shared" si="1299"/>
        <v>2.3528584029961905</v>
      </c>
      <c r="DB485" s="74">
        <f t="shared" si="1299"/>
        <v>4.2831566342906457</v>
      </c>
      <c r="DC485" s="74">
        <f t="shared" si="1299"/>
        <v>2.2354939526572188</v>
      </c>
      <c r="DD485" s="74">
        <f t="shared" si="1299"/>
        <v>2.3858377581459789</v>
      </c>
      <c r="DE485" s="74">
        <f t="shared" si="1299"/>
        <v>4.6214035762246741</v>
      </c>
      <c r="DF485" s="74">
        <f t="shared" si="1299"/>
        <v>2.2996582419291673</v>
      </c>
      <c r="DG485" s="74">
        <f t="shared" si="1299"/>
        <v>0.36669740553472707</v>
      </c>
      <c r="DH485" s="1071">
        <f t="shared" si="1299"/>
        <v>2.6065601980542592</v>
      </c>
      <c r="DI485" s="74">
        <f t="shared" si="1299"/>
        <v>1.9504485050175113</v>
      </c>
      <c r="DJ485" s="74">
        <f t="shared" si="1299"/>
        <v>1.7650335182082486</v>
      </c>
      <c r="DK485" s="1071">
        <f t="shared" ref="DK485:DQ485" si="1300">DK484/DK396</f>
        <v>3.716302197451367</v>
      </c>
      <c r="DL485" s="74">
        <f t="shared" si="1300"/>
        <v>2.465418453920182</v>
      </c>
      <c r="DM485" s="74">
        <f t="shared" si="1300"/>
        <v>2.0127583457364482</v>
      </c>
      <c r="DN485" s="1071">
        <f t="shared" si="1300"/>
        <v>4.4790581750605796</v>
      </c>
      <c r="DO485" s="74">
        <f t="shared" si="1300"/>
        <v>2.4390678838472826</v>
      </c>
      <c r="DP485" s="74">
        <f t="shared" si="1300"/>
        <v>2.8619678864424176</v>
      </c>
      <c r="DQ485" s="1071">
        <f t="shared" si="1300"/>
        <v>5.301658273248762</v>
      </c>
      <c r="DR485" s="74">
        <f t="shared" ref="DR485:DZ485" si="1301">DR484/DR396</f>
        <v>3.2484620088532981</v>
      </c>
      <c r="DS485" s="74">
        <f t="shared" si="1301"/>
        <v>3.2602504780686545</v>
      </c>
      <c r="DT485" s="1071">
        <f t="shared" si="1301"/>
        <v>6.5125334034172129</v>
      </c>
      <c r="DU485" s="74">
        <f t="shared" si="1301"/>
        <v>3.3770088459944074</v>
      </c>
      <c r="DV485" s="74">
        <f t="shared" si="1301"/>
        <v>3.1459532384227171</v>
      </c>
      <c r="DW485" s="1071">
        <f t="shared" si="1301"/>
        <v>6.5250978638606254</v>
      </c>
      <c r="DX485" s="74">
        <f t="shared" si="1301"/>
        <v>3.1071759801106511</v>
      </c>
      <c r="DY485" s="74">
        <f t="shared" si="1301"/>
        <v>3.3873457009920167</v>
      </c>
      <c r="DZ485" s="1071">
        <f t="shared" si="1301"/>
        <v>6.4971371063107339</v>
      </c>
      <c r="EA485" s="74"/>
      <c r="EB485" s="74"/>
      <c r="EC485" s="1071"/>
      <c r="ED485" s="74"/>
      <c r="EE485" s="74"/>
      <c r="EF485" s="1071"/>
      <c r="EG485" s="74"/>
      <c r="EH485" s="74"/>
      <c r="EI485" s="1071"/>
      <c r="EJ485" s="74"/>
      <c r="EK485" s="74"/>
      <c r="EL485" s="1071"/>
      <c r="EM485" s="74"/>
      <c r="EN485" s="74"/>
      <c r="EO485" s="1071"/>
      <c r="EP485" s="74"/>
      <c r="EQ485" s="74"/>
      <c r="ER485" s="1071"/>
      <c r="ES485" s="74"/>
      <c r="ET485" s="74"/>
      <c r="EU485" s="1071"/>
      <c r="EV485" s="74"/>
      <c r="EW485" s="74"/>
      <c r="EX485" s="1071"/>
      <c r="EY485" s="74"/>
      <c r="EZ485" s="74"/>
      <c r="FA485" s="1071"/>
      <c r="FE485"/>
      <c r="FF485"/>
      <c r="FG485"/>
      <c r="FH485"/>
      <c r="FI485"/>
      <c r="FJ485"/>
      <c r="FK485" s="35"/>
    </row>
    <row r="486" spans="1:167" s="236" customFormat="1" ht="13.35" customHeight="1">
      <c r="A486" s="289"/>
      <c r="B486" s="242"/>
      <c r="C486" s="308"/>
      <c r="D486" s="35"/>
      <c r="E486" s="828"/>
      <c r="F486" s="828"/>
      <c r="G486" s="35"/>
      <c r="H486" s="828"/>
      <c r="I486" s="828"/>
      <c r="J486" s="35"/>
      <c r="K486" s="828"/>
      <c r="L486" s="828"/>
      <c r="M486" s="35"/>
      <c r="N486" s="828"/>
      <c r="O486" s="828"/>
      <c r="P486" s="828"/>
      <c r="Q486" s="828"/>
      <c r="R486" s="828"/>
      <c r="S486" s="35"/>
      <c r="T486" s="828"/>
      <c r="U486" s="828"/>
      <c r="V486" s="35"/>
      <c r="W486" s="828"/>
      <c r="X486" s="828"/>
      <c r="Y486" s="35"/>
      <c r="Z486" s="828"/>
      <c r="AA486" s="828"/>
      <c r="AB486" s="35"/>
      <c r="AC486" s="828"/>
      <c r="AD486" s="828"/>
      <c r="AE486" s="35"/>
      <c r="AF486" s="828"/>
      <c r="AG486" s="828"/>
      <c r="AH486" s="35"/>
      <c r="AI486" s="828"/>
      <c r="AJ486" s="828"/>
      <c r="AK486" s="35"/>
      <c r="AL486" s="828"/>
      <c r="AM486" s="828"/>
      <c r="AN486" s="35"/>
      <c r="AO486" s="828"/>
      <c r="AP486" s="828"/>
      <c r="AQ486" s="35"/>
      <c r="AR486" s="828"/>
      <c r="AS486" s="828"/>
      <c r="AT486" s="35"/>
      <c r="AU486" s="828"/>
      <c r="AV486" s="828"/>
      <c r="AW486" s="35"/>
      <c r="AX486" s="74"/>
      <c r="AY486" s="74"/>
      <c r="AZ486" s="74"/>
      <c r="BA486" s="74"/>
      <c r="BB486" s="74"/>
      <c r="BC486" s="74"/>
      <c r="BD486" s="74"/>
      <c r="BE486" s="74"/>
      <c r="BF486" s="74"/>
      <c r="BG486" s="74"/>
      <c r="BH486" s="74"/>
      <c r="BI486" s="74"/>
      <c r="BJ486" s="74"/>
      <c r="BK486" s="74"/>
      <c r="BL486" s="74"/>
      <c r="BM486" s="74"/>
      <c r="BN486" s="74"/>
      <c r="BO486" s="74"/>
      <c r="BP486" s="74"/>
      <c r="BQ486" s="74"/>
      <c r="BR486" s="74"/>
      <c r="BS486" s="74"/>
      <c r="BT486" s="74"/>
      <c r="BU486" s="74"/>
      <c r="BV486" s="74"/>
      <c r="BW486" s="74"/>
      <c r="BX486" s="74"/>
      <c r="BY486" s="74"/>
      <c r="BZ486" s="74"/>
      <c r="CA486" s="74"/>
      <c r="CB486" s="74"/>
      <c r="CC486" s="74"/>
      <c r="CD486" s="74"/>
      <c r="CE486" s="74"/>
      <c r="CF486" s="74"/>
      <c r="CG486" s="74"/>
      <c r="CH486" s="74"/>
      <c r="CI486" s="74"/>
      <c r="CJ486" s="74"/>
      <c r="CK486" s="74"/>
      <c r="CL486" s="74"/>
      <c r="CM486" s="74"/>
      <c r="CN486" s="74"/>
      <c r="CO486" s="74"/>
      <c r="CP486" s="74"/>
      <c r="CQ486" s="74"/>
      <c r="CR486" s="74"/>
      <c r="CS486" s="74"/>
      <c r="CT486" s="74"/>
      <c r="CU486" s="74"/>
      <c r="CV486" s="74"/>
      <c r="CW486" s="74"/>
      <c r="CX486" s="74"/>
      <c r="CY486" s="74"/>
      <c r="CZ486" s="74"/>
      <c r="DA486" s="74"/>
      <c r="DB486" s="74"/>
      <c r="DC486" s="74"/>
      <c r="DD486" s="74"/>
      <c r="DE486" s="74"/>
      <c r="DF486" s="74"/>
      <c r="DG486" s="74"/>
      <c r="DH486" s="1071"/>
      <c r="DI486" s="74"/>
      <c r="DJ486" s="74"/>
      <c r="DK486" s="1071"/>
      <c r="DL486" s="74"/>
      <c r="DM486" s="74"/>
      <c r="DN486" s="1071"/>
      <c r="DO486" s="74"/>
      <c r="DP486" s="74"/>
      <c r="DQ486" s="1071"/>
      <c r="DR486" s="74"/>
      <c r="DS486" s="74"/>
      <c r="DT486" s="1071"/>
      <c r="DU486" s="74"/>
      <c r="DV486" s="74"/>
      <c r="DW486" s="1071"/>
      <c r="DX486" s="74"/>
      <c r="DY486" s="74"/>
      <c r="DZ486" s="1071"/>
      <c r="EA486" s="74"/>
      <c r="EB486" s="74"/>
      <c r="EC486" s="1071"/>
      <c r="ED486" s="74"/>
      <c r="EE486" s="74"/>
      <c r="EF486" s="1071"/>
      <c r="EG486" s="74"/>
      <c r="EH486" s="74"/>
      <c r="EI486" s="1071"/>
      <c r="EJ486" s="74"/>
      <c r="EK486" s="74"/>
      <c r="EL486" s="1071"/>
      <c r="EM486" s="74"/>
      <c r="EN486" s="74"/>
      <c r="EO486" s="1071"/>
      <c r="EP486" s="74"/>
      <c r="EQ486" s="74"/>
      <c r="ER486" s="1071"/>
      <c r="ES486" s="74"/>
      <c r="ET486" s="74"/>
      <c r="EU486" s="1071"/>
      <c r="EV486" s="74"/>
      <c r="EW486" s="74"/>
      <c r="EX486" s="1071"/>
      <c r="EY486" s="74"/>
      <c r="EZ486" s="74"/>
      <c r="FA486" s="1071"/>
      <c r="FE486"/>
      <c r="FF486"/>
      <c r="FG486"/>
      <c r="FH486"/>
      <c r="FI486"/>
      <c r="FJ486"/>
      <c r="FK486" s="35"/>
    </row>
    <row r="487" spans="1:167" s="236" customFormat="1" ht="13.35" customHeight="1">
      <c r="A487" s="242" t="s">
        <v>277</v>
      </c>
      <c r="B487" s="242"/>
      <c r="C487" s="308"/>
      <c r="D487" s="35"/>
      <c r="E487" s="828"/>
      <c r="F487" s="828"/>
      <c r="G487" s="35"/>
      <c r="H487" s="828"/>
      <c r="I487" s="828"/>
      <c r="J487" s="35"/>
      <c r="K487" s="828"/>
      <c r="L487" s="828"/>
      <c r="M487" s="35"/>
      <c r="N487" s="828"/>
      <c r="O487" s="828"/>
      <c r="P487" s="828"/>
      <c r="Q487" s="828"/>
      <c r="R487" s="828"/>
      <c r="S487" s="35"/>
      <c r="T487" s="828"/>
      <c r="U487" s="828"/>
      <c r="V487" s="35"/>
      <c r="W487" s="828"/>
      <c r="X487" s="828"/>
      <c r="Y487" s="35"/>
      <c r="Z487" s="828"/>
      <c r="AA487" s="828"/>
      <c r="AB487" s="35"/>
      <c r="AC487" s="828"/>
      <c r="AD487" s="828"/>
      <c r="AE487" s="35"/>
      <c r="AF487" s="828"/>
      <c r="AG487" s="828"/>
      <c r="AH487" s="35"/>
      <c r="AI487" s="828"/>
      <c r="AJ487" s="828"/>
      <c r="AK487" s="35"/>
      <c r="AL487" s="828"/>
      <c r="AM487" s="828"/>
      <c r="AN487" s="35"/>
      <c r="AO487" s="828"/>
      <c r="AP487" s="828"/>
      <c r="AQ487" s="35"/>
      <c r="AR487" s="828"/>
      <c r="AS487" s="828"/>
      <c r="AT487" s="35"/>
      <c r="AU487" s="828"/>
      <c r="AV487" s="828"/>
      <c r="AW487" s="35"/>
      <c r="AX487" s="74"/>
      <c r="AY487" s="74"/>
      <c r="AZ487" s="171">
        <f>Curr_WACC</f>
        <v>8.2500000000000004E-2</v>
      </c>
      <c r="BA487" s="74"/>
      <c r="BB487" s="74"/>
      <c r="BC487" s="171">
        <f>AZ487</f>
        <v>8.2500000000000004E-2</v>
      </c>
      <c r="BD487" s="74"/>
      <c r="BE487" s="74"/>
      <c r="BF487" s="171">
        <f>BC487</f>
        <v>8.2500000000000004E-2</v>
      </c>
      <c r="BG487" s="74"/>
      <c r="BH487" s="74"/>
      <c r="BI487" s="171">
        <f>BF487</f>
        <v>8.2500000000000004E-2</v>
      </c>
      <c r="BJ487" s="74"/>
      <c r="BK487" s="74"/>
      <c r="BL487" s="171">
        <f>BI487</f>
        <v>8.2500000000000004E-2</v>
      </c>
      <c r="BM487" s="74"/>
      <c r="BN487" s="74"/>
      <c r="BO487" s="171">
        <f>BL487</f>
        <v>8.2500000000000004E-2</v>
      </c>
      <c r="BP487" s="74"/>
      <c r="BQ487" s="74"/>
      <c r="BR487" s="171">
        <f>BO487</f>
        <v>8.2500000000000004E-2</v>
      </c>
      <c r="BS487" s="74"/>
      <c r="BT487" s="74"/>
      <c r="BU487" s="171">
        <f>BR487</f>
        <v>8.2500000000000004E-2</v>
      </c>
      <c r="BV487" s="74"/>
      <c r="BW487" s="74"/>
      <c r="BX487" s="171">
        <f>BU487</f>
        <v>8.2500000000000004E-2</v>
      </c>
      <c r="BY487" s="74"/>
      <c r="BZ487" s="74"/>
      <c r="CA487" s="171">
        <f>BX487</f>
        <v>8.2500000000000004E-2</v>
      </c>
      <c r="CB487" s="74"/>
      <c r="CC487" s="74"/>
      <c r="CD487" s="171">
        <f>CA487</f>
        <v>8.2500000000000004E-2</v>
      </c>
      <c r="CE487" s="74"/>
      <c r="CF487" s="74"/>
      <c r="CG487" s="171">
        <f>CD487</f>
        <v>8.2500000000000004E-2</v>
      </c>
      <c r="CH487" s="74"/>
      <c r="CI487" s="74"/>
      <c r="CJ487" s="171">
        <f>CG487</f>
        <v>8.2500000000000004E-2</v>
      </c>
      <c r="CK487" s="74"/>
      <c r="CL487" s="74"/>
      <c r="CM487" s="171">
        <f>CJ487</f>
        <v>8.2500000000000004E-2</v>
      </c>
      <c r="CN487" s="74"/>
      <c r="CO487" s="74"/>
      <c r="CP487" s="171">
        <f>CM487</f>
        <v>8.2500000000000004E-2</v>
      </c>
      <c r="CQ487" s="74"/>
      <c r="CR487" s="74"/>
      <c r="CS487" s="171">
        <f>CP487</f>
        <v>8.2500000000000004E-2</v>
      </c>
      <c r="CT487" s="74"/>
      <c r="CU487" s="74"/>
      <c r="CV487" s="171">
        <f>CS487</f>
        <v>8.2500000000000004E-2</v>
      </c>
      <c r="CW487" s="74"/>
      <c r="CX487" s="74"/>
      <c r="CY487" s="171">
        <f>CV487</f>
        <v>8.2500000000000004E-2</v>
      </c>
      <c r="CZ487" s="74"/>
      <c r="DA487" s="74"/>
      <c r="DB487" s="171">
        <f>CY487</f>
        <v>8.2500000000000004E-2</v>
      </c>
      <c r="DC487" s="74"/>
      <c r="DD487" s="74"/>
      <c r="DE487" s="171">
        <f>DB487</f>
        <v>8.2500000000000004E-2</v>
      </c>
      <c r="DF487" s="74"/>
      <c r="DG487" s="74"/>
      <c r="DH487" s="1068">
        <f>DE487</f>
        <v>8.2500000000000004E-2</v>
      </c>
      <c r="DI487" s="74"/>
      <c r="DJ487" s="74"/>
      <c r="DK487" s="1068">
        <f>DH487</f>
        <v>8.2500000000000004E-2</v>
      </c>
      <c r="DL487" s="74"/>
      <c r="DM487" s="74"/>
      <c r="DN487" s="1068">
        <f>DK487</f>
        <v>8.2500000000000004E-2</v>
      </c>
      <c r="DO487" s="74"/>
      <c r="DP487" s="74"/>
      <c r="DQ487" s="1068">
        <f>DN487</f>
        <v>8.2500000000000004E-2</v>
      </c>
      <c r="DR487" s="74"/>
      <c r="DS487" s="74"/>
      <c r="DT487" s="1068">
        <f>DQ487</f>
        <v>8.2500000000000004E-2</v>
      </c>
      <c r="DU487" s="74"/>
      <c r="DV487" s="74"/>
      <c r="DW487" s="1068">
        <f>DT487</f>
        <v>8.2500000000000004E-2</v>
      </c>
      <c r="DX487" s="74"/>
      <c r="DY487" s="74"/>
      <c r="DZ487" s="1068">
        <f>DW487</f>
        <v>8.2500000000000004E-2</v>
      </c>
      <c r="EA487" s="74"/>
      <c r="EB487" s="74"/>
      <c r="EC487" s="1068"/>
      <c r="ED487" s="74"/>
      <c r="EE487" s="74"/>
      <c r="EF487" s="1068"/>
      <c r="EG487" s="74"/>
      <c r="EH487" s="74"/>
      <c r="EI487" s="1068"/>
      <c r="EJ487" s="74"/>
      <c r="EK487" s="74"/>
      <c r="EL487" s="1068"/>
      <c r="EM487" s="74"/>
      <c r="EN487" s="74"/>
      <c r="EO487" s="1068"/>
      <c r="EP487" s="74"/>
      <c r="EQ487" s="74"/>
      <c r="ER487" s="1068"/>
      <c r="ES487" s="74"/>
      <c r="ET487" s="74"/>
      <c r="EU487" s="1068"/>
      <c r="EV487" s="74"/>
      <c r="EW487" s="74"/>
      <c r="EX487" s="1068"/>
      <c r="EY487" s="74"/>
      <c r="EZ487" s="74"/>
      <c r="FA487" s="1068"/>
      <c r="FE487"/>
      <c r="FF487"/>
      <c r="FG487"/>
      <c r="FH487"/>
      <c r="FI487"/>
      <c r="FJ487"/>
      <c r="FK487" s="35"/>
    </row>
    <row r="488" spans="1:167" s="236" customFormat="1" ht="13.35" customHeight="1">
      <c r="A488" s="444" t="s">
        <v>318</v>
      </c>
      <c r="B488" s="242"/>
      <c r="C488" s="308"/>
      <c r="D488" s="35"/>
      <c r="E488" s="828"/>
      <c r="F488" s="828"/>
      <c r="G488" s="35"/>
      <c r="H488" s="828"/>
      <c r="I488" s="828"/>
      <c r="J488" s="35"/>
      <c r="K488" s="828"/>
      <c r="L488" s="828"/>
      <c r="M488" s="35"/>
      <c r="N488" s="828"/>
      <c r="O488" s="828"/>
      <c r="P488" s="828"/>
      <c r="Q488" s="828"/>
      <c r="R488" s="828"/>
      <c r="S488" s="35"/>
      <c r="T488" s="828"/>
      <c r="U488" s="828"/>
      <c r="V488" s="35"/>
      <c r="W488" s="828"/>
      <c r="X488" s="828"/>
      <c r="Y488" s="35"/>
      <c r="Z488" s="828"/>
      <c r="AA488" s="828"/>
      <c r="AB488" s="35"/>
      <c r="AC488" s="828"/>
      <c r="AD488" s="828"/>
      <c r="AE488" s="35"/>
      <c r="AF488" s="828"/>
      <c r="AG488" s="828"/>
      <c r="AH488" s="35"/>
      <c r="AI488" s="828"/>
      <c r="AJ488" s="828"/>
      <c r="AK488" s="35"/>
      <c r="AL488" s="828"/>
      <c r="AM488" s="828"/>
      <c r="AN488" s="35"/>
      <c r="AO488" s="828"/>
      <c r="AP488" s="828"/>
      <c r="AQ488" s="35"/>
      <c r="AR488" s="828"/>
      <c r="AS488" s="828"/>
      <c r="AT488" s="35"/>
      <c r="AU488" s="828"/>
      <c r="AV488" s="828"/>
      <c r="AW488" s="35"/>
      <c r="AX488" s="74"/>
      <c r="AY488" s="74"/>
      <c r="AZ488" s="829">
        <v>0.8</v>
      </c>
      <c r="BA488" s="74"/>
      <c r="BB488" s="74"/>
      <c r="BC488" s="829">
        <f>AZ488</f>
        <v>0.8</v>
      </c>
      <c r="BD488" s="74"/>
      <c r="BE488" s="74"/>
      <c r="BF488" s="829">
        <f>BC488</f>
        <v>0.8</v>
      </c>
      <c r="BG488" s="74"/>
      <c r="BH488" s="74"/>
      <c r="BI488" s="829">
        <f>BF488</f>
        <v>0.8</v>
      </c>
      <c r="BJ488" s="74"/>
      <c r="BK488" s="74"/>
      <c r="BL488" s="829">
        <f>BI488</f>
        <v>0.8</v>
      </c>
      <c r="BM488" s="74"/>
      <c r="BN488" s="74"/>
      <c r="BO488" s="829">
        <f>BL488</f>
        <v>0.8</v>
      </c>
      <c r="BP488" s="74"/>
      <c r="BQ488" s="74"/>
      <c r="BR488" s="829">
        <f>BO488</f>
        <v>0.8</v>
      </c>
      <c r="BS488" s="74"/>
      <c r="BT488" s="74"/>
      <c r="BU488" s="829">
        <f>BR488</f>
        <v>0.8</v>
      </c>
      <c r="BV488" s="74"/>
      <c r="BW488" s="74"/>
      <c r="BX488" s="829">
        <f>BU488</f>
        <v>0.8</v>
      </c>
      <c r="BY488" s="74"/>
      <c r="BZ488" s="74"/>
      <c r="CA488" s="829">
        <f>BX488</f>
        <v>0.8</v>
      </c>
      <c r="CB488" s="74"/>
      <c r="CC488" s="74"/>
      <c r="CD488" s="829">
        <f>CA488</f>
        <v>0.8</v>
      </c>
      <c r="CE488" s="74"/>
      <c r="CF488" s="74"/>
      <c r="CG488" s="829">
        <f>CD488</f>
        <v>0.8</v>
      </c>
      <c r="CH488" s="74"/>
      <c r="CI488" s="74"/>
      <c r="CJ488" s="829">
        <f>CG488</f>
        <v>0.8</v>
      </c>
      <c r="CK488" s="74"/>
      <c r="CL488" s="74"/>
      <c r="CM488" s="829">
        <f>CJ488</f>
        <v>0.8</v>
      </c>
      <c r="CN488" s="74"/>
      <c r="CO488" s="74"/>
      <c r="CP488" s="829">
        <f>CM488</f>
        <v>0.8</v>
      </c>
      <c r="CQ488" s="74"/>
      <c r="CR488" s="74"/>
      <c r="CS488" s="829">
        <f>CP488</f>
        <v>0.8</v>
      </c>
      <c r="CT488" s="74"/>
      <c r="CU488" s="74"/>
      <c r="CV488" s="829">
        <f>CS488</f>
        <v>0.8</v>
      </c>
      <c r="CW488" s="74"/>
      <c r="CX488" s="74"/>
      <c r="CY488" s="829">
        <f>CV488</f>
        <v>0.8</v>
      </c>
      <c r="CZ488" s="74"/>
      <c r="DA488" s="74"/>
      <c r="DB488" s="829">
        <f>CY488</f>
        <v>0.8</v>
      </c>
      <c r="DC488" s="74"/>
      <c r="DD488" s="74"/>
      <c r="DE488" s="829">
        <f>DB488</f>
        <v>0.8</v>
      </c>
      <c r="DF488" s="74"/>
      <c r="DG488" s="74"/>
      <c r="DH488" s="1328">
        <f>DE488</f>
        <v>0.8</v>
      </c>
      <c r="DI488" s="74"/>
      <c r="DJ488" s="74"/>
      <c r="DK488" s="1328">
        <f>DH488</f>
        <v>0.8</v>
      </c>
      <c r="DL488" s="74"/>
      <c r="DM488" s="74"/>
      <c r="DN488" s="1328">
        <f>DK488</f>
        <v>0.8</v>
      </c>
      <c r="DO488" s="74"/>
      <c r="DP488" s="74"/>
      <c r="DQ488" s="1328">
        <f>DN488</f>
        <v>0.8</v>
      </c>
      <c r="DR488" s="74"/>
      <c r="DS488" s="74"/>
      <c r="DT488" s="1328">
        <f>DQ488</f>
        <v>0.8</v>
      </c>
      <c r="DU488" s="74"/>
      <c r="DV488" s="74"/>
      <c r="DW488" s="1328">
        <f>DT488</f>
        <v>0.8</v>
      </c>
      <c r="DX488" s="74"/>
      <c r="DY488" s="74"/>
      <c r="DZ488" s="1328">
        <f>DW488</f>
        <v>0.8</v>
      </c>
      <c r="EA488" s="74"/>
      <c r="EB488" s="74"/>
      <c r="EC488" s="1328"/>
      <c r="ED488" s="74"/>
      <c r="EE488" s="74"/>
      <c r="EF488" s="1328"/>
      <c r="EG488" s="74"/>
      <c r="EH488" s="74"/>
      <c r="EI488" s="1328"/>
      <c r="EJ488" s="74"/>
      <c r="EK488" s="74"/>
      <c r="EL488" s="1328"/>
      <c r="EM488" s="74"/>
      <c r="EN488" s="74"/>
      <c r="EO488" s="1328"/>
      <c r="EP488" s="74"/>
      <c r="EQ488" s="74"/>
      <c r="ER488" s="1328"/>
      <c r="ES488" s="74"/>
      <c r="ET488" s="74"/>
      <c r="EU488" s="1328"/>
      <c r="EV488" s="74"/>
      <c r="EW488" s="74"/>
      <c r="EX488" s="1328"/>
      <c r="EY488" s="74"/>
      <c r="EZ488" s="74"/>
      <c r="FA488" s="1328"/>
      <c r="FE488"/>
      <c r="FF488"/>
      <c r="FG488"/>
      <c r="FH488"/>
      <c r="FI488"/>
      <c r="FJ488"/>
      <c r="FK488" s="35"/>
    </row>
    <row r="489" spans="1:167" s="236" customFormat="1" ht="13.35" customHeight="1">
      <c r="A489" s="444" t="s">
        <v>879</v>
      </c>
      <c r="B489" s="242"/>
      <c r="C489" s="308"/>
      <c r="D489" s="35"/>
      <c r="E489" s="828"/>
      <c r="F489" s="828"/>
      <c r="G489" s="35"/>
      <c r="H489" s="828"/>
      <c r="I489" s="828"/>
      <c r="J489" s="35"/>
      <c r="K489" s="828"/>
      <c r="L489" s="828"/>
      <c r="M489" s="35"/>
      <c r="N489" s="828"/>
      <c r="O489" s="828"/>
      <c r="P489" s="828"/>
      <c r="Q489" s="828"/>
      <c r="R489" s="828"/>
      <c r="S489" s="35"/>
      <c r="T489" s="828"/>
      <c r="U489" s="828"/>
      <c r="V489" s="35"/>
      <c r="W489" s="828"/>
      <c r="X489" s="828"/>
      <c r="Y489" s="35"/>
      <c r="Z489" s="828"/>
      <c r="AA489" s="828"/>
      <c r="AB489" s="35"/>
      <c r="AC489" s="828"/>
      <c r="AD489" s="828"/>
      <c r="AE489" s="35"/>
      <c r="AF489" s="828"/>
      <c r="AG489" s="828"/>
      <c r="AH489" s="35"/>
      <c r="AI489" s="828"/>
      <c r="AJ489" s="828"/>
      <c r="AK489" s="35"/>
      <c r="AL489" s="828"/>
      <c r="AM489" s="828"/>
      <c r="AN489" s="35"/>
      <c r="AO489" s="828"/>
      <c r="AP489" s="828"/>
      <c r="AQ489" s="35"/>
      <c r="AR489" s="828"/>
      <c r="AS489" s="828"/>
      <c r="AT489" s="35"/>
      <c r="AU489" s="828"/>
      <c r="AV489" s="828"/>
      <c r="AW489" s="35"/>
      <c r="AX489" s="74"/>
      <c r="AY489" s="74"/>
      <c r="AZ489" s="171">
        <v>4.2500000000000003E-2</v>
      </c>
      <c r="BA489" s="74"/>
      <c r="BB489" s="74"/>
      <c r="BC489" s="171">
        <f>AZ489</f>
        <v>4.2500000000000003E-2</v>
      </c>
      <c r="BD489" s="74"/>
      <c r="BE489" s="74"/>
      <c r="BF489" s="171">
        <f>BC489</f>
        <v>4.2500000000000003E-2</v>
      </c>
      <c r="BG489" s="74"/>
      <c r="BH489" s="74"/>
      <c r="BI489" s="171">
        <f>BF489</f>
        <v>4.2500000000000003E-2</v>
      </c>
      <c r="BJ489" s="74"/>
      <c r="BK489" s="74"/>
      <c r="BL489" s="171">
        <f>BI489</f>
        <v>4.2500000000000003E-2</v>
      </c>
      <c r="BM489" s="74"/>
      <c r="BN489" s="74"/>
      <c r="BO489" s="171">
        <f>BL489</f>
        <v>4.2500000000000003E-2</v>
      </c>
      <c r="BP489" s="74"/>
      <c r="BQ489" s="74"/>
      <c r="BR489" s="171">
        <f>BO489</f>
        <v>4.2500000000000003E-2</v>
      </c>
      <c r="BS489" s="74"/>
      <c r="BT489" s="74"/>
      <c r="BU489" s="171">
        <f>BR489</f>
        <v>4.2500000000000003E-2</v>
      </c>
      <c r="BV489" s="74"/>
      <c r="BW489" s="74"/>
      <c r="BX489" s="171">
        <f>BU489</f>
        <v>4.2500000000000003E-2</v>
      </c>
      <c r="BY489" s="74"/>
      <c r="BZ489" s="74"/>
      <c r="CA489" s="171">
        <f>BX489</f>
        <v>4.2500000000000003E-2</v>
      </c>
      <c r="CB489" s="74"/>
      <c r="CC489" s="74"/>
      <c r="CD489" s="171">
        <f>CA489</f>
        <v>4.2500000000000003E-2</v>
      </c>
      <c r="CE489" s="74"/>
      <c r="CF489" s="74"/>
      <c r="CG489" s="171">
        <f>CD489</f>
        <v>4.2500000000000003E-2</v>
      </c>
      <c r="CH489" s="74"/>
      <c r="CI489" s="74"/>
      <c r="CJ489" s="171">
        <f>CG489</f>
        <v>4.2500000000000003E-2</v>
      </c>
      <c r="CK489" s="74"/>
      <c r="CL489" s="74"/>
      <c r="CM489" s="171">
        <f>CJ489</f>
        <v>4.2500000000000003E-2</v>
      </c>
      <c r="CN489" s="74"/>
      <c r="CO489" s="74"/>
      <c r="CP489" s="171">
        <f>CM489</f>
        <v>4.2500000000000003E-2</v>
      </c>
      <c r="CQ489" s="74"/>
      <c r="CR489" s="74"/>
      <c r="CS489" s="171">
        <f>CP489</f>
        <v>4.2500000000000003E-2</v>
      </c>
      <c r="CT489" s="74"/>
      <c r="CU489" s="74"/>
      <c r="CV489" s="171">
        <f>CS489</f>
        <v>4.2500000000000003E-2</v>
      </c>
      <c r="CW489" s="74"/>
      <c r="CX489" s="74"/>
      <c r="CY489" s="171">
        <f>CV489</f>
        <v>4.2500000000000003E-2</v>
      </c>
      <c r="CZ489" s="74"/>
      <c r="DA489" s="74"/>
      <c r="DB489" s="171">
        <f>CY489</f>
        <v>4.2500000000000003E-2</v>
      </c>
      <c r="DC489" s="74"/>
      <c r="DD489" s="74"/>
      <c r="DE489" s="171">
        <f>DB489</f>
        <v>4.2500000000000003E-2</v>
      </c>
      <c r="DF489" s="74"/>
      <c r="DG489" s="74"/>
      <c r="DH489" s="1068">
        <f>DE489</f>
        <v>4.2500000000000003E-2</v>
      </c>
      <c r="DI489" s="74"/>
      <c r="DJ489" s="74"/>
      <c r="DK489" s="1068">
        <f>DH489</f>
        <v>4.2500000000000003E-2</v>
      </c>
      <c r="DL489" s="74"/>
      <c r="DM489" s="74"/>
      <c r="DN489" s="1068">
        <f>DK489</f>
        <v>4.2500000000000003E-2</v>
      </c>
      <c r="DO489" s="74"/>
      <c r="DP489" s="74"/>
      <c r="DQ489" s="1068">
        <f>DN489</f>
        <v>4.2500000000000003E-2</v>
      </c>
      <c r="DR489" s="74"/>
      <c r="DS489" s="74"/>
      <c r="DT489" s="1068">
        <f>DQ489</f>
        <v>4.2500000000000003E-2</v>
      </c>
      <c r="DU489" s="74"/>
      <c r="DV489" s="74"/>
      <c r="DW489" s="1068">
        <f>DT489</f>
        <v>4.2500000000000003E-2</v>
      </c>
      <c r="DX489" s="74"/>
      <c r="DY489" s="74"/>
      <c r="DZ489" s="1068">
        <f>DW489</f>
        <v>4.2500000000000003E-2</v>
      </c>
      <c r="EA489" s="74"/>
      <c r="EB489" s="74"/>
      <c r="EC489" s="1068"/>
      <c r="ED489" s="74"/>
      <c r="EE489" s="74"/>
      <c r="EF489" s="1068"/>
      <c r="EG489" s="74"/>
      <c r="EH489" s="74"/>
      <c r="EI489" s="1068"/>
      <c r="EJ489" s="74"/>
      <c r="EK489" s="74"/>
      <c r="EL489" s="1068"/>
      <c r="EM489" s="74"/>
      <c r="EN489" s="74"/>
      <c r="EO489" s="1068"/>
      <c r="EP489" s="74"/>
      <c r="EQ489" s="74"/>
      <c r="ER489" s="1068"/>
      <c r="ES489" s="74"/>
      <c r="ET489" s="74"/>
      <c r="EU489" s="1068"/>
      <c r="EV489" s="74"/>
      <c r="EW489" s="74"/>
      <c r="EX489" s="1068"/>
      <c r="EY489" s="74"/>
      <c r="EZ489" s="74"/>
      <c r="FA489" s="1068"/>
      <c r="FE489"/>
      <c r="FF489"/>
      <c r="FG489"/>
      <c r="FH489"/>
      <c r="FI489"/>
      <c r="FJ489"/>
      <c r="FK489" s="35"/>
    </row>
    <row r="490" spans="1:167" s="236" customFormat="1" ht="13.35" customHeight="1">
      <c r="A490" s="444" t="s">
        <v>236</v>
      </c>
      <c r="B490" s="242"/>
      <c r="C490" s="308"/>
      <c r="D490" s="35"/>
      <c r="E490" s="828"/>
      <c r="F490" s="828"/>
      <c r="G490" s="35"/>
      <c r="H490" s="828"/>
      <c r="I490" s="828"/>
      <c r="J490" s="35"/>
      <c r="K490" s="828"/>
      <c r="L490" s="828"/>
      <c r="M490" s="35"/>
      <c r="N490" s="828"/>
      <c r="O490" s="828"/>
      <c r="P490" s="828"/>
      <c r="Q490" s="828"/>
      <c r="R490" s="828"/>
      <c r="S490" s="35"/>
      <c r="T490" s="828"/>
      <c r="U490" s="828"/>
      <c r="V490" s="35"/>
      <c r="W490" s="828"/>
      <c r="X490" s="828"/>
      <c r="Y490" s="35"/>
      <c r="Z490" s="828"/>
      <c r="AA490" s="828"/>
      <c r="AB490" s="35"/>
      <c r="AC490" s="828"/>
      <c r="AD490" s="828"/>
      <c r="AE490" s="35"/>
      <c r="AF490" s="828"/>
      <c r="AG490" s="828"/>
      <c r="AH490" s="35"/>
      <c r="AI490" s="828"/>
      <c r="AJ490" s="828"/>
      <c r="AK490" s="35"/>
      <c r="AL490" s="828"/>
      <c r="AM490" s="828"/>
      <c r="AN490" s="35"/>
      <c r="AO490" s="828"/>
      <c r="AP490" s="828"/>
      <c r="AQ490" s="35"/>
      <c r="AR490" s="828"/>
      <c r="AS490" s="828"/>
      <c r="AT490" s="35"/>
      <c r="AU490" s="828"/>
      <c r="AV490" s="828"/>
      <c r="AW490" s="35"/>
      <c r="AX490" s="74"/>
      <c r="AY490" s="74"/>
      <c r="AZ490" s="74"/>
      <c r="BA490" s="74"/>
      <c r="BB490" s="74"/>
      <c r="BC490" s="74"/>
      <c r="BD490" s="74"/>
      <c r="BE490" s="74"/>
      <c r="BF490" s="74"/>
      <c r="BG490" s="74"/>
      <c r="BH490" s="74"/>
      <c r="BI490" s="74"/>
      <c r="BJ490" s="74"/>
      <c r="BK490" s="74"/>
      <c r="BL490" s="74"/>
      <c r="BM490" s="74"/>
      <c r="BN490" s="74"/>
      <c r="BO490" s="74"/>
      <c r="BP490" s="74"/>
      <c r="BQ490" s="74"/>
      <c r="BR490" s="74"/>
      <c r="BS490" s="74"/>
      <c r="BT490" s="74"/>
      <c r="BU490" s="74">
        <f>Curr_NPV_Shr</f>
        <v>213.76631077902101</v>
      </c>
      <c r="BV490" s="74"/>
      <c r="BW490" s="74"/>
      <c r="BX490" s="74"/>
      <c r="BY490" s="74"/>
      <c r="BZ490" s="74"/>
      <c r="CA490" s="74"/>
      <c r="CB490" s="74"/>
      <c r="CC490" s="74"/>
      <c r="CD490" s="74"/>
      <c r="CE490" s="74"/>
      <c r="CF490" s="74"/>
      <c r="CG490" s="74"/>
      <c r="CH490" s="74"/>
      <c r="CI490" s="74"/>
      <c r="CJ490" s="74"/>
      <c r="CK490" s="74"/>
      <c r="CL490" s="74"/>
      <c r="CM490" s="74"/>
      <c r="CN490" s="74"/>
      <c r="CO490" s="74"/>
      <c r="CP490" s="74"/>
      <c r="CQ490" s="74"/>
      <c r="CR490" s="74"/>
      <c r="CS490" s="74"/>
      <c r="CT490" s="74"/>
      <c r="CU490" s="74"/>
      <c r="CV490" s="74"/>
      <c r="CW490" s="74"/>
      <c r="CX490" s="74"/>
      <c r="CY490" s="74"/>
      <c r="CZ490" s="74"/>
      <c r="DA490" s="74"/>
      <c r="DB490" s="74"/>
      <c r="DC490" s="74"/>
      <c r="DD490" s="74"/>
      <c r="DE490" s="74"/>
      <c r="DF490" s="74"/>
      <c r="DG490" s="74"/>
      <c r="DH490" s="1071"/>
      <c r="DI490" s="74"/>
      <c r="DJ490" s="74"/>
      <c r="DK490" s="1071"/>
      <c r="DL490" s="74"/>
      <c r="DM490" s="74"/>
      <c r="DN490" s="1071"/>
      <c r="DO490" s="74"/>
      <c r="DP490" s="74"/>
      <c r="DQ490" s="1071"/>
      <c r="DR490" s="74"/>
      <c r="DS490" s="74"/>
      <c r="DT490" s="1071"/>
      <c r="DU490" s="74"/>
      <c r="DV490" s="74"/>
      <c r="DW490" s="1071"/>
      <c r="DX490" s="74"/>
      <c r="DY490" s="74"/>
      <c r="DZ490" s="1071"/>
      <c r="EA490" s="74"/>
      <c r="EB490" s="74"/>
      <c r="EC490" s="1071"/>
      <c r="ED490" s="74"/>
      <c r="EE490" s="74"/>
      <c r="EF490" s="1071"/>
      <c r="EG490" s="74"/>
      <c r="EH490" s="74"/>
      <c r="EI490" s="1071"/>
      <c r="EJ490" s="74"/>
      <c r="EK490" s="74"/>
      <c r="EL490" s="1071"/>
      <c r="EM490" s="74"/>
      <c r="EN490" s="74"/>
      <c r="EO490" s="1071"/>
      <c r="EP490" s="74"/>
      <c r="EQ490" s="74"/>
      <c r="ER490" s="1071"/>
      <c r="ES490" s="74"/>
      <c r="ET490" s="74"/>
      <c r="EU490" s="1071"/>
      <c r="EV490" s="74"/>
      <c r="EW490" s="74"/>
      <c r="EX490" s="1071"/>
      <c r="EY490" s="74"/>
      <c r="EZ490" s="74"/>
      <c r="FA490" s="1071"/>
      <c r="FE490"/>
      <c r="FF490"/>
      <c r="FG490"/>
      <c r="FH490"/>
      <c r="FI490"/>
      <c r="FJ490"/>
      <c r="FK490" s="35"/>
    </row>
    <row r="491" spans="1:167" s="236" customFormat="1" ht="13.35" customHeight="1">
      <c r="A491" s="289" t="s">
        <v>248</v>
      </c>
      <c r="B491" s="242"/>
      <c r="C491" s="308"/>
      <c r="D491" s="35"/>
      <c r="E491" s="828"/>
      <c r="F491" s="828"/>
      <c r="G491" s="35"/>
      <c r="H491" s="828"/>
      <c r="I491" s="828"/>
      <c r="J491" s="35"/>
      <c r="K491" s="828"/>
      <c r="L491" s="828"/>
      <c r="M491" s="35"/>
      <c r="N491" s="828"/>
      <c r="O491" s="828"/>
      <c r="P491" s="828"/>
      <c r="Q491" s="828"/>
      <c r="R491" s="828"/>
      <c r="S491" s="35"/>
      <c r="T491" s="828"/>
      <c r="U491" s="828"/>
      <c r="V491" s="35"/>
      <c r="W491" s="828"/>
      <c r="X491" s="828"/>
      <c r="Y491" s="35"/>
      <c r="Z491" s="828"/>
      <c r="AA491" s="828"/>
      <c r="AB491" s="35"/>
      <c r="AC491" s="828"/>
      <c r="AD491" s="828"/>
      <c r="AE491" s="35"/>
      <c r="AF491" s="828"/>
      <c r="AG491" s="828"/>
      <c r="AH491" s="35"/>
      <c r="AI491" s="828"/>
      <c r="AJ491" s="828"/>
      <c r="AK491" s="35"/>
      <c r="AL491" s="828"/>
      <c r="AM491" s="828"/>
      <c r="AN491" s="35"/>
      <c r="AO491" s="828"/>
      <c r="AP491" s="828"/>
      <c r="AQ491" s="35"/>
      <c r="AR491" s="828"/>
      <c r="AS491" s="828"/>
      <c r="AT491" s="35"/>
      <c r="AU491" s="828"/>
      <c r="AV491" s="828"/>
      <c r="AW491" s="35"/>
      <c r="AX491" s="74"/>
      <c r="AY491" s="74"/>
      <c r="AZ491" s="74"/>
      <c r="BA491" s="74"/>
      <c r="BB491" s="74"/>
      <c r="BC491" s="74"/>
      <c r="BD491" s="74"/>
      <c r="BE491" s="74"/>
      <c r="BF491" s="74"/>
      <c r="BG491" s="74"/>
      <c r="BH491" s="74"/>
      <c r="BI491" s="74"/>
      <c r="BJ491" s="74"/>
      <c r="BK491" s="74"/>
      <c r="BL491" s="74"/>
      <c r="BM491" s="74"/>
      <c r="BN491" s="74"/>
      <c r="BO491" s="74"/>
      <c r="BP491" s="74"/>
      <c r="BQ491" s="74"/>
      <c r="BR491" s="74"/>
      <c r="BS491" s="74"/>
      <c r="BT491" s="74"/>
      <c r="BU491" s="83">
        <v>0.05</v>
      </c>
      <c r="BV491" s="74"/>
      <c r="BW491" s="74"/>
      <c r="BX491" s="74"/>
      <c r="BY491" s="74"/>
      <c r="BZ491" s="74"/>
      <c r="CA491" s="74"/>
      <c r="CB491" s="74"/>
      <c r="CC491" s="74"/>
      <c r="CD491" s="74"/>
      <c r="CE491" s="74"/>
      <c r="CF491" s="74"/>
      <c r="CG491" s="74"/>
      <c r="CH491" s="74"/>
      <c r="CI491" s="74"/>
      <c r="CJ491" s="74"/>
      <c r="CK491" s="74"/>
      <c r="CL491" s="74"/>
      <c r="CM491" s="74"/>
      <c r="CN491" s="74"/>
      <c r="CO491" s="74"/>
      <c r="CP491" s="74"/>
      <c r="CQ491" s="74"/>
      <c r="CR491" s="74"/>
      <c r="CS491" s="74"/>
      <c r="CT491" s="74"/>
      <c r="CU491" s="74"/>
      <c r="CV491" s="74"/>
      <c r="CW491" s="74"/>
      <c r="CX491" s="74"/>
      <c r="CY491" s="74"/>
      <c r="CZ491" s="74"/>
      <c r="DA491" s="74"/>
      <c r="DB491" s="74"/>
      <c r="DC491" s="74"/>
      <c r="DD491" s="74"/>
      <c r="DE491" s="74"/>
      <c r="DF491" s="74"/>
      <c r="DG491" s="74"/>
      <c r="DH491" s="1071"/>
      <c r="DI491" s="74"/>
      <c r="DJ491" s="74"/>
      <c r="DK491" s="1071"/>
      <c r="DL491" s="74"/>
      <c r="DM491" s="74"/>
      <c r="DN491" s="1071"/>
      <c r="DO491" s="74"/>
      <c r="DP491" s="74"/>
      <c r="DQ491" s="1071"/>
      <c r="DR491" s="74"/>
      <c r="DS491" s="74"/>
      <c r="DT491" s="1071"/>
      <c r="DU491" s="74"/>
      <c r="DV491" s="74"/>
      <c r="DW491" s="1071"/>
      <c r="DX491" s="74"/>
      <c r="DY491" s="74"/>
      <c r="DZ491" s="1071"/>
      <c r="EA491" s="74"/>
      <c r="EB491" s="74"/>
      <c r="EC491" s="1071"/>
      <c r="ED491" s="74"/>
      <c r="EE491" s="74"/>
      <c r="EF491" s="1071"/>
      <c r="EG491" s="74"/>
      <c r="EH491" s="74"/>
      <c r="EI491" s="1071"/>
      <c r="EJ491" s="74"/>
      <c r="EK491" s="74"/>
      <c r="EL491" s="1071"/>
      <c r="EM491" s="74"/>
      <c r="EN491" s="74"/>
      <c r="EO491" s="1071"/>
      <c r="EP491" s="74"/>
      <c r="EQ491" s="74"/>
      <c r="ER491" s="1071"/>
      <c r="ES491" s="74"/>
      <c r="ET491" s="74"/>
      <c r="EU491" s="1071"/>
      <c r="EV491" s="74"/>
      <c r="EW491" s="74"/>
      <c r="EX491" s="1071"/>
      <c r="EY491" s="74"/>
      <c r="EZ491" s="74"/>
      <c r="FA491" s="1071"/>
      <c r="FE491"/>
      <c r="FF491"/>
      <c r="FG491"/>
      <c r="FH491"/>
      <c r="FI491"/>
      <c r="FJ491"/>
      <c r="FK491" s="35"/>
    </row>
    <row r="492" spans="1:167" s="236" customFormat="1" ht="13.35" customHeight="1">
      <c r="A492" s="289"/>
      <c r="B492" s="242"/>
      <c r="C492" s="308"/>
      <c r="D492" s="35"/>
      <c r="E492" s="828"/>
      <c r="F492" s="828"/>
      <c r="G492" s="35"/>
      <c r="H492" s="828"/>
      <c r="I492" s="828"/>
      <c r="J492" s="35"/>
      <c r="K492" s="828"/>
      <c r="L492" s="828"/>
      <c r="M492" s="35"/>
      <c r="N492" s="828"/>
      <c r="O492" s="828"/>
      <c r="P492" s="828"/>
      <c r="Q492" s="828"/>
      <c r="R492" s="828"/>
      <c r="S492" s="35"/>
      <c r="T492" s="828"/>
      <c r="U492" s="828"/>
      <c r="V492" s="35"/>
      <c r="W492" s="828"/>
      <c r="X492" s="828"/>
      <c r="Y492" s="35"/>
      <c r="Z492" s="828"/>
      <c r="AA492" s="828"/>
      <c r="AB492" s="35"/>
      <c r="AC492" s="828"/>
      <c r="AD492" s="828"/>
      <c r="AE492" s="35"/>
      <c r="AF492" s="828"/>
      <c r="AG492" s="828"/>
      <c r="AH492" s="35"/>
      <c r="AI492" s="828"/>
      <c r="AJ492" s="828"/>
      <c r="AK492" s="35"/>
      <c r="AL492" s="828"/>
      <c r="AM492" s="828"/>
      <c r="AN492" s="35"/>
      <c r="AO492" s="828"/>
      <c r="AP492" s="828"/>
      <c r="AQ492" s="35"/>
      <c r="AR492" s="828"/>
      <c r="AS492" s="828"/>
      <c r="AT492" s="35"/>
      <c r="AU492" s="828"/>
      <c r="AV492" s="828"/>
      <c r="AW492" s="35"/>
      <c r="AX492" s="74"/>
      <c r="AY492" s="74"/>
      <c r="AZ492" s="74"/>
      <c r="BA492" s="74"/>
      <c r="BB492" s="74"/>
      <c r="BC492" s="74"/>
      <c r="BD492" s="74"/>
      <c r="BE492" s="74"/>
      <c r="BF492" s="74"/>
      <c r="BG492" s="74"/>
      <c r="BH492" s="74"/>
      <c r="BI492" s="74"/>
      <c r="BJ492" s="74"/>
      <c r="BK492" s="74"/>
      <c r="BL492" s="74"/>
      <c r="BM492" s="74"/>
      <c r="BN492" s="74"/>
      <c r="BO492" s="74"/>
      <c r="BP492" s="74"/>
      <c r="BQ492" s="74"/>
      <c r="BR492" s="74"/>
      <c r="BS492" s="74"/>
      <c r="BT492" s="74"/>
      <c r="BU492" s="74"/>
      <c r="BV492" s="74"/>
      <c r="BW492" s="74"/>
      <c r="BX492" s="74"/>
      <c r="BY492" s="74"/>
      <c r="BZ492" s="74"/>
      <c r="CA492" s="74"/>
      <c r="CB492" s="74"/>
      <c r="CC492" s="74"/>
      <c r="CD492" s="74"/>
      <c r="CE492" s="74"/>
      <c r="CF492" s="74"/>
      <c r="CG492" s="74"/>
      <c r="CH492" s="74"/>
      <c r="CI492" s="74"/>
      <c r="CJ492" s="74"/>
      <c r="CK492" s="74"/>
      <c r="CL492" s="74"/>
      <c r="CM492" s="74"/>
      <c r="CN492" s="74"/>
      <c r="CO492" s="74"/>
      <c r="CP492" s="74"/>
      <c r="CQ492" s="74"/>
      <c r="CR492" s="74"/>
      <c r="CS492" s="74"/>
      <c r="CT492" s="74"/>
      <c r="CU492" s="74"/>
      <c r="CV492" s="74"/>
      <c r="CW492" s="74"/>
      <c r="CX492" s="74"/>
      <c r="CY492" s="74"/>
      <c r="CZ492" s="74"/>
      <c r="DA492" s="74"/>
      <c r="DB492" s="74"/>
      <c r="DC492" s="74"/>
      <c r="DD492" s="74"/>
      <c r="DE492" s="74"/>
      <c r="DF492" s="74"/>
      <c r="DG492" s="74"/>
      <c r="DH492" s="1071"/>
      <c r="DI492" s="74"/>
      <c r="DJ492" s="74"/>
      <c r="DK492" s="1071"/>
      <c r="DL492" s="74"/>
      <c r="DM492" s="74"/>
      <c r="DN492" s="1071"/>
      <c r="DO492" s="74"/>
      <c r="DP492" s="74"/>
      <c r="DQ492" s="1071"/>
      <c r="DR492" s="74"/>
      <c r="DS492" s="74"/>
      <c r="DT492" s="1071"/>
      <c r="DU492" s="74"/>
      <c r="DV492" s="74"/>
      <c r="DW492" s="1071"/>
      <c r="DX492" s="74"/>
      <c r="DY492" s="74"/>
      <c r="DZ492" s="1071"/>
      <c r="EA492" s="74"/>
      <c r="EB492" s="74"/>
      <c r="EC492" s="1071"/>
      <c r="ED492" s="74"/>
      <c r="EE492" s="74"/>
      <c r="EF492" s="1071"/>
      <c r="EG492" s="74"/>
      <c r="EH492" s="74"/>
      <c r="EI492" s="1071"/>
      <c r="EJ492" s="74"/>
      <c r="EK492" s="74"/>
      <c r="EL492" s="1071"/>
      <c r="EM492" s="74"/>
      <c r="EN492" s="74"/>
      <c r="EO492" s="1071"/>
      <c r="EP492" s="74"/>
      <c r="EQ492" s="74"/>
      <c r="ER492" s="1071"/>
      <c r="ES492" s="74"/>
      <c r="ET492" s="74"/>
      <c r="EU492" s="1071"/>
      <c r="EV492" s="74"/>
      <c r="EW492" s="74"/>
      <c r="EX492" s="1071"/>
      <c r="EY492" s="74"/>
      <c r="EZ492" s="74"/>
      <c r="FA492" s="1071"/>
      <c r="FE492"/>
      <c r="FF492"/>
      <c r="FG492"/>
      <c r="FH492"/>
      <c r="FI492"/>
      <c r="FJ492"/>
      <c r="FK492" s="35"/>
    </row>
    <row r="493" spans="1:167" s="458" customFormat="1" ht="13.35" customHeight="1">
      <c r="A493" s="841" t="s">
        <v>70</v>
      </c>
      <c r="B493" s="350"/>
      <c r="C493" s="842" t="s">
        <v>933</v>
      </c>
      <c r="D493" s="843"/>
      <c r="E493" s="843" t="str">
        <f t="shared" ref="E493:AJ493" si="1302">E4</f>
        <v>1h85</v>
      </c>
      <c r="F493" s="843" t="str">
        <f t="shared" si="1302"/>
        <v>2h85</v>
      </c>
      <c r="G493" s="843" t="str">
        <f t="shared" si="1302"/>
        <v>1985</v>
      </c>
      <c r="H493" s="843" t="str">
        <f t="shared" si="1302"/>
        <v>1h86</v>
      </c>
      <c r="I493" s="843" t="str">
        <f t="shared" si="1302"/>
        <v>2h86</v>
      </c>
      <c r="J493" s="843" t="str">
        <f t="shared" si="1302"/>
        <v>1986</v>
      </c>
      <c r="K493" s="843" t="str">
        <f t="shared" si="1302"/>
        <v>1h87</v>
      </c>
      <c r="L493" s="843" t="str">
        <f t="shared" si="1302"/>
        <v>2h87</v>
      </c>
      <c r="M493" s="843" t="str">
        <f t="shared" si="1302"/>
        <v>1987</v>
      </c>
      <c r="N493" s="843" t="str">
        <f t="shared" si="1302"/>
        <v>1h88</v>
      </c>
      <c r="O493" s="843" t="str">
        <f t="shared" si="1302"/>
        <v>2h88</v>
      </c>
      <c r="P493" s="843" t="str">
        <f t="shared" si="1302"/>
        <v>1988</v>
      </c>
      <c r="Q493" s="843" t="str">
        <f t="shared" si="1302"/>
        <v>1h89</v>
      </c>
      <c r="R493" s="843" t="str">
        <f t="shared" si="1302"/>
        <v>2h89</v>
      </c>
      <c r="S493" s="843" t="str">
        <f t="shared" si="1302"/>
        <v>1989</v>
      </c>
      <c r="T493" s="843" t="str">
        <f t="shared" si="1302"/>
        <v>1h90</v>
      </c>
      <c r="U493" s="843" t="str">
        <f t="shared" si="1302"/>
        <v>2h90</v>
      </c>
      <c r="V493" s="843" t="str">
        <f t="shared" si="1302"/>
        <v>1990</v>
      </c>
      <c r="W493" s="843" t="str">
        <f t="shared" si="1302"/>
        <v>1h91</v>
      </c>
      <c r="X493" s="843" t="str">
        <f t="shared" si="1302"/>
        <v>2h91</v>
      </c>
      <c r="Y493" s="843" t="str">
        <f t="shared" si="1302"/>
        <v>1991</v>
      </c>
      <c r="Z493" s="843" t="str">
        <f t="shared" si="1302"/>
        <v>1h92</v>
      </c>
      <c r="AA493" s="843" t="str">
        <f t="shared" si="1302"/>
        <v>2h92</v>
      </c>
      <c r="AB493" s="843" t="str">
        <f t="shared" si="1302"/>
        <v>1992</v>
      </c>
      <c r="AC493" s="843" t="str">
        <f t="shared" si="1302"/>
        <v>1h93</v>
      </c>
      <c r="AD493" s="843" t="str">
        <f t="shared" si="1302"/>
        <v>2h93</v>
      </c>
      <c r="AE493" s="843" t="str">
        <f t="shared" si="1302"/>
        <v>1993</v>
      </c>
      <c r="AF493" s="843" t="str">
        <f t="shared" si="1302"/>
        <v>1h94</v>
      </c>
      <c r="AG493" s="843" t="str">
        <f t="shared" si="1302"/>
        <v>2h94</v>
      </c>
      <c r="AH493" s="843" t="str">
        <f t="shared" si="1302"/>
        <v>1994</v>
      </c>
      <c r="AI493" s="843" t="str">
        <f t="shared" si="1302"/>
        <v>1h95</v>
      </c>
      <c r="AJ493" s="843" t="str">
        <f t="shared" si="1302"/>
        <v>2h95</v>
      </c>
      <c r="AK493" s="843" t="str">
        <f t="shared" ref="AK493:BP493" si="1303">AK4</f>
        <v>1995</v>
      </c>
      <c r="AL493" s="843" t="str">
        <f t="shared" si="1303"/>
        <v>1h96</v>
      </c>
      <c r="AM493" s="843" t="str">
        <f t="shared" si="1303"/>
        <v>2h96</v>
      </c>
      <c r="AN493" s="843" t="str">
        <f t="shared" si="1303"/>
        <v>1996</v>
      </c>
      <c r="AO493" s="843" t="str">
        <f t="shared" si="1303"/>
        <v>1h97</v>
      </c>
      <c r="AP493" s="843" t="str">
        <f t="shared" si="1303"/>
        <v>2h97</v>
      </c>
      <c r="AQ493" s="843" t="str">
        <f t="shared" si="1303"/>
        <v>FY97</v>
      </c>
      <c r="AR493" s="843" t="str">
        <f t="shared" si="1303"/>
        <v>1H98</v>
      </c>
      <c r="AS493" s="843" t="str">
        <f t="shared" si="1303"/>
        <v>2H98</v>
      </c>
      <c r="AT493" s="843" t="str">
        <f t="shared" si="1303"/>
        <v>FY98</v>
      </c>
      <c r="AU493" s="843" t="str">
        <f t="shared" si="1303"/>
        <v>1H99</v>
      </c>
      <c r="AV493" s="843" t="str">
        <f t="shared" si="1303"/>
        <v>2H99</v>
      </c>
      <c r="AW493" s="843" t="str">
        <f t="shared" si="1303"/>
        <v>FY99</v>
      </c>
      <c r="AX493" s="843" t="str">
        <f t="shared" si="1303"/>
        <v>1H00</v>
      </c>
      <c r="AY493" s="843" t="str">
        <f t="shared" si="1303"/>
        <v>2H00</v>
      </c>
      <c r="AZ493" s="843" t="str">
        <f t="shared" si="1303"/>
        <v>FY00</v>
      </c>
      <c r="BA493" s="843" t="str">
        <f t="shared" si="1303"/>
        <v>1H01</v>
      </c>
      <c r="BB493" s="843" t="str">
        <f t="shared" si="1303"/>
        <v>2H01</v>
      </c>
      <c r="BC493" s="843" t="str">
        <f t="shared" si="1303"/>
        <v>FY01</v>
      </c>
      <c r="BD493" s="843" t="str">
        <f t="shared" si="1303"/>
        <v>1H02</v>
      </c>
      <c r="BE493" s="843" t="str">
        <f t="shared" si="1303"/>
        <v>2H02</v>
      </c>
      <c r="BF493" s="843" t="str">
        <f t="shared" si="1303"/>
        <v>FY02</v>
      </c>
      <c r="BG493" s="843" t="str">
        <f t="shared" si="1303"/>
        <v>1H03</v>
      </c>
      <c r="BH493" s="843" t="str">
        <f t="shared" si="1303"/>
        <v>2H03</v>
      </c>
      <c r="BI493" s="843" t="str">
        <f t="shared" si="1303"/>
        <v>FY03</v>
      </c>
      <c r="BJ493" s="843" t="str">
        <f t="shared" si="1303"/>
        <v>1H04</v>
      </c>
      <c r="BK493" s="843" t="str">
        <f t="shared" si="1303"/>
        <v>2H04</v>
      </c>
      <c r="BL493" s="843" t="str">
        <f t="shared" si="1303"/>
        <v>FY04</v>
      </c>
      <c r="BM493" s="843" t="str">
        <f t="shared" si="1303"/>
        <v>1H05</v>
      </c>
      <c r="BN493" s="843" t="str">
        <f t="shared" si="1303"/>
        <v>2H05</v>
      </c>
      <c r="BO493" s="843" t="str">
        <f t="shared" si="1303"/>
        <v>FY05</v>
      </c>
      <c r="BP493" s="843" t="str">
        <f t="shared" si="1303"/>
        <v>1H06</v>
      </c>
      <c r="BQ493" s="843" t="str">
        <f t="shared" ref="BQ493:CV493" si="1304">BQ4</f>
        <v>2H06</v>
      </c>
      <c r="BR493" s="843" t="str">
        <f t="shared" si="1304"/>
        <v>FY06</v>
      </c>
      <c r="BS493" s="843" t="str">
        <f t="shared" si="1304"/>
        <v>1H07</v>
      </c>
      <c r="BT493" s="843" t="str">
        <f t="shared" si="1304"/>
        <v>2H07</v>
      </c>
      <c r="BU493" s="843" t="str">
        <f t="shared" si="1304"/>
        <v>FY07</v>
      </c>
      <c r="BV493" s="843" t="str">
        <f t="shared" si="1304"/>
        <v>1H08</v>
      </c>
      <c r="BW493" s="843" t="str">
        <f t="shared" si="1304"/>
        <v>2H08</v>
      </c>
      <c r="BX493" s="843" t="str">
        <f t="shared" si="1304"/>
        <v>FY08</v>
      </c>
      <c r="BY493" s="843" t="str">
        <f t="shared" si="1304"/>
        <v>1H09</v>
      </c>
      <c r="BZ493" s="843" t="str">
        <f t="shared" si="1304"/>
        <v>2H09</v>
      </c>
      <c r="CA493" s="843" t="str">
        <f t="shared" si="1304"/>
        <v>FY09</v>
      </c>
      <c r="CB493" s="843" t="str">
        <f t="shared" si="1304"/>
        <v>1H10</v>
      </c>
      <c r="CC493" s="843" t="str">
        <f t="shared" si="1304"/>
        <v>2H10</v>
      </c>
      <c r="CD493" s="843" t="str">
        <f t="shared" si="1304"/>
        <v>FY10</v>
      </c>
      <c r="CE493" s="843" t="str">
        <f t="shared" si="1304"/>
        <v>1H11</v>
      </c>
      <c r="CF493" s="843" t="str">
        <f t="shared" si="1304"/>
        <v>2H11</v>
      </c>
      <c r="CG493" s="843" t="str">
        <f t="shared" si="1304"/>
        <v>FY11</v>
      </c>
      <c r="CH493" s="843" t="str">
        <f t="shared" si="1304"/>
        <v>1H12</v>
      </c>
      <c r="CI493" s="843" t="str">
        <f t="shared" si="1304"/>
        <v>2H12</v>
      </c>
      <c r="CJ493" s="843" t="str">
        <f t="shared" si="1304"/>
        <v>FY12</v>
      </c>
      <c r="CK493" s="843" t="str">
        <f t="shared" si="1304"/>
        <v>1H13</v>
      </c>
      <c r="CL493" s="843" t="str">
        <f t="shared" si="1304"/>
        <v>2H13</v>
      </c>
      <c r="CM493" s="843" t="str">
        <f t="shared" si="1304"/>
        <v>FY13</v>
      </c>
      <c r="CN493" s="843" t="str">
        <f t="shared" si="1304"/>
        <v>1H14</v>
      </c>
      <c r="CO493" s="843" t="str">
        <f t="shared" si="1304"/>
        <v>2H14</v>
      </c>
      <c r="CP493" s="843" t="str">
        <f t="shared" si="1304"/>
        <v>FY14</v>
      </c>
      <c r="CQ493" s="843" t="str">
        <f t="shared" si="1304"/>
        <v>1H15</v>
      </c>
      <c r="CR493" s="843" t="str">
        <f t="shared" si="1304"/>
        <v>2H15</v>
      </c>
      <c r="CS493" s="843" t="str">
        <f t="shared" si="1304"/>
        <v>FY15</v>
      </c>
      <c r="CT493" s="843" t="str">
        <f t="shared" si="1304"/>
        <v>1H16</v>
      </c>
      <c r="CU493" s="843" t="str">
        <f t="shared" si="1304"/>
        <v>2H16</v>
      </c>
      <c r="CV493" s="843" t="str">
        <f t="shared" si="1304"/>
        <v>FY16</v>
      </c>
      <c r="CW493" s="843" t="str">
        <f t="shared" ref="CW493:DN493" si="1305">CW4</f>
        <v>1H17</v>
      </c>
      <c r="CX493" s="843" t="str">
        <f t="shared" si="1305"/>
        <v>2H17</v>
      </c>
      <c r="CY493" s="843" t="str">
        <f t="shared" si="1305"/>
        <v>FY17</v>
      </c>
      <c r="CZ493" s="843" t="str">
        <f t="shared" si="1305"/>
        <v>1H18</v>
      </c>
      <c r="DA493" s="843" t="str">
        <f t="shared" si="1305"/>
        <v>2H18</v>
      </c>
      <c r="DB493" s="843" t="str">
        <f t="shared" si="1305"/>
        <v>FY18</v>
      </c>
      <c r="DC493" s="843" t="str">
        <f t="shared" si="1305"/>
        <v>1H19</v>
      </c>
      <c r="DD493" s="843" t="str">
        <f t="shared" si="1305"/>
        <v>2H19</v>
      </c>
      <c r="DE493" s="843" t="str">
        <f t="shared" si="1305"/>
        <v>FY19</v>
      </c>
      <c r="DF493" s="843" t="str">
        <f t="shared" si="1305"/>
        <v>1H20</v>
      </c>
      <c r="DG493" s="843" t="str">
        <f t="shared" si="1305"/>
        <v>2H20</v>
      </c>
      <c r="DH493" s="1334" t="str">
        <f t="shared" si="1305"/>
        <v>FY20</v>
      </c>
      <c r="DI493" s="843" t="str">
        <f t="shared" si="1305"/>
        <v>1H21</v>
      </c>
      <c r="DJ493" s="843" t="str">
        <f t="shared" si="1305"/>
        <v>2H21</v>
      </c>
      <c r="DK493" s="1334" t="str">
        <f t="shared" si="1305"/>
        <v>FY21</v>
      </c>
      <c r="DL493" s="843" t="str">
        <f t="shared" si="1305"/>
        <v>1H22</v>
      </c>
      <c r="DM493" s="843" t="str">
        <f t="shared" si="1305"/>
        <v>2H22</v>
      </c>
      <c r="DN493" s="1334" t="str">
        <f t="shared" si="1305"/>
        <v>FY22</v>
      </c>
      <c r="DO493" s="843"/>
      <c r="DP493" s="843"/>
      <c r="DQ493" s="1334"/>
      <c r="DR493" s="843"/>
      <c r="DS493" s="843"/>
      <c r="DT493" s="1334"/>
      <c r="DU493" s="843"/>
      <c r="DV493" s="843"/>
      <c r="DW493" s="1334"/>
      <c r="DX493" s="843"/>
      <c r="DY493" s="843"/>
      <c r="DZ493" s="1334"/>
      <c r="EA493" s="843"/>
      <c r="EB493" s="843"/>
      <c r="EC493" s="1334"/>
      <c r="ED493" s="843"/>
      <c r="EE493" s="843"/>
      <c r="EF493" s="1334"/>
      <c r="EG493" s="843"/>
      <c r="EH493" s="843"/>
      <c r="EI493" s="1334"/>
      <c r="EJ493" s="843"/>
      <c r="EK493" s="843"/>
      <c r="EL493" s="1334"/>
      <c r="EM493" s="843"/>
      <c r="EN493" s="843"/>
      <c r="EO493" s="1334"/>
      <c r="EP493" s="843"/>
      <c r="EQ493" s="843"/>
      <c r="ER493" s="1334"/>
      <c r="ES493" s="843"/>
      <c r="ET493" s="843"/>
      <c r="EU493" s="1334"/>
      <c r="EV493" s="843"/>
      <c r="EW493" s="843"/>
      <c r="EX493" s="1334"/>
      <c r="EY493" s="843"/>
      <c r="EZ493" s="843"/>
      <c r="FA493" s="1334"/>
      <c r="FE493"/>
      <c r="FF493"/>
      <c r="FG493"/>
      <c r="FH493"/>
      <c r="FI493"/>
      <c r="FJ493"/>
      <c r="FK493" s="35"/>
    </row>
    <row r="494" spans="1:167" s="458" customFormat="1" ht="13.35" customHeight="1">
      <c r="A494" s="845" t="s">
        <v>179</v>
      </c>
      <c r="B494" s="827"/>
      <c r="C494" s="846"/>
      <c r="D494" s="847"/>
      <c r="E494" s="847"/>
      <c r="F494" s="847"/>
      <c r="G494" s="847"/>
      <c r="H494" s="847"/>
      <c r="I494" s="847"/>
      <c r="J494" s="847"/>
      <c r="K494" s="847"/>
      <c r="L494" s="847"/>
      <c r="M494" s="847"/>
      <c r="N494" s="847"/>
      <c r="O494" s="847"/>
      <c r="P494" s="847"/>
      <c r="Q494" s="847"/>
      <c r="R494" s="847"/>
      <c r="S494" s="847"/>
      <c r="T494" s="847"/>
      <c r="U494" s="847"/>
      <c r="V494" s="847"/>
      <c r="W494" s="847"/>
      <c r="X494" s="847"/>
      <c r="Y494" s="847"/>
      <c r="Z494" s="847"/>
      <c r="AA494" s="847"/>
      <c r="AB494" s="847"/>
      <c r="AC494" s="847"/>
      <c r="AD494" s="847"/>
      <c r="AE494" s="847"/>
      <c r="AF494" s="847"/>
      <c r="AG494" s="847"/>
      <c r="AH494" s="847"/>
      <c r="AI494" s="847"/>
      <c r="AJ494" s="847"/>
      <c r="AK494" s="847"/>
      <c r="AL494" s="847"/>
      <c r="AM494" s="847"/>
      <c r="AN494" s="847"/>
      <c r="AO494" s="847"/>
      <c r="AP494" s="847"/>
      <c r="AQ494" s="847"/>
      <c r="AR494" s="847"/>
      <c r="AS494" s="847"/>
      <c r="AT494" s="847"/>
      <c r="AU494" s="847"/>
      <c r="AV494" s="847"/>
      <c r="AW494" s="847"/>
      <c r="AX494" s="848"/>
      <c r="AY494" s="848"/>
      <c r="AZ494" s="848"/>
      <c r="BA494" s="848"/>
      <c r="BB494" s="848"/>
      <c r="BC494" s="848"/>
      <c r="BD494" s="848"/>
      <c r="BE494" s="848"/>
      <c r="BF494" s="848"/>
      <c r="BG494" s="848"/>
      <c r="BH494" s="848"/>
      <c r="BI494" s="848"/>
      <c r="BJ494" s="848"/>
      <c r="BK494" s="848"/>
      <c r="BL494" s="848"/>
      <c r="BM494" s="848"/>
      <c r="BN494" s="848"/>
      <c r="BO494" s="848"/>
      <c r="BP494" s="848"/>
      <c r="BQ494" s="848"/>
      <c r="BR494" s="848"/>
      <c r="BS494" s="848"/>
      <c r="BT494" s="848"/>
      <c r="BU494" s="848"/>
      <c r="BV494" s="848"/>
      <c r="BW494" s="848"/>
      <c r="BX494" s="848"/>
      <c r="BY494" s="848"/>
      <c r="BZ494" s="848"/>
      <c r="CA494" s="848"/>
      <c r="CB494" s="848"/>
      <c r="CC494" s="848"/>
      <c r="CD494" s="848"/>
      <c r="CE494" s="848"/>
      <c r="CF494" s="848"/>
      <c r="CG494" s="848"/>
      <c r="CH494" s="848"/>
      <c r="CI494" s="848"/>
      <c r="CJ494" s="848"/>
      <c r="CK494" s="848"/>
      <c r="CL494" s="848"/>
      <c r="CM494" s="848"/>
      <c r="CN494" s="848"/>
      <c r="CO494" s="848"/>
      <c r="CP494" s="848"/>
      <c r="CQ494" s="848"/>
      <c r="CR494" s="848"/>
      <c r="CS494" s="848"/>
      <c r="CT494" s="848"/>
      <c r="CU494" s="848"/>
      <c r="CV494" s="848"/>
      <c r="CW494" s="848"/>
      <c r="CX494" s="848"/>
      <c r="CY494" s="848"/>
      <c r="CZ494" s="848"/>
      <c r="DA494" s="848"/>
      <c r="DB494" s="848"/>
      <c r="DC494" s="848"/>
      <c r="DD494" s="848"/>
      <c r="DE494" s="848"/>
      <c r="DF494" s="848"/>
      <c r="DG494" s="848"/>
      <c r="DH494" s="1335"/>
      <c r="DI494" s="848"/>
      <c r="DJ494" s="848"/>
      <c r="DK494" s="1335"/>
      <c r="DL494" s="848"/>
      <c r="DM494" s="848"/>
      <c r="DN494" s="1335"/>
      <c r="DO494" s="848"/>
      <c r="DP494" s="848"/>
      <c r="DQ494" s="1335"/>
      <c r="DR494" s="848"/>
      <c r="DS494" s="848"/>
      <c r="DT494" s="1335"/>
      <c r="DU494" s="848"/>
      <c r="DV494" s="848"/>
      <c r="DW494" s="1335"/>
      <c r="DX494" s="848"/>
      <c r="DY494" s="848"/>
      <c r="DZ494" s="1335"/>
      <c r="EA494" s="848"/>
      <c r="EB494" s="848"/>
      <c r="EC494" s="1335"/>
      <c r="ED494" s="848"/>
      <c r="EE494" s="848"/>
      <c r="EF494" s="1335"/>
      <c r="EG494" s="848"/>
      <c r="EH494" s="848"/>
      <c r="EI494" s="1335"/>
      <c r="EJ494" s="848"/>
      <c r="EK494" s="848"/>
      <c r="EL494" s="1335"/>
      <c r="EM494" s="848"/>
      <c r="EN494" s="848"/>
      <c r="EO494" s="1335"/>
      <c r="EP494" s="848"/>
      <c r="EQ494" s="848"/>
      <c r="ER494" s="1335"/>
      <c r="ES494" s="848"/>
      <c r="ET494" s="848"/>
      <c r="EU494" s="1335"/>
      <c r="EV494" s="848"/>
      <c r="EW494" s="848"/>
      <c r="EX494" s="1335"/>
      <c r="EY494" s="848"/>
      <c r="EZ494" s="848"/>
      <c r="FA494" s="1335"/>
      <c r="FE494"/>
      <c r="FF494"/>
      <c r="FG494"/>
      <c r="FH494"/>
      <c r="FI494"/>
      <c r="FJ494"/>
      <c r="FK494" s="35"/>
    </row>
    <row r="495" spans="1:167" s="458" customFormat="1" ht="13.35" customHeight="1">
      <c r="A495" s="845"/>
      <c r="B495" s="827" t="s">
        <v>860</v>
      </c>
      <c r="C495" s="846"/>
      <c r="D495" s="847"/>
      <c r="E495" s="847"/>
      <c r="F495" s="847"/>
      <c r="G495" s="847"/>
      <c r="H495" s="847"/>
      <c r="I495" s="847"/>
      <c r="J495" s="847"/>
      <c r="K495" s="847"/>
      <c r="L495" s="847"/>
      <c r="M495" s="847"/>
      <c r="N495" s="847"/>
      <c r="O495" s="847"/>
      <c r="P495" s="847"/>
      <c r="Q495" s="847"/>
      <c r="R495" s="847"/>
      <c r="S495" s="847"/>
      <c r="T495" s="847"/>
      <c r="U495" s="847"/>
      <c r="V495" s="847"/>
      <c r="W495" s="847"/>
      <c r="X495" s="847"/>
      <c r="Y495" s="847"/>
      <c r="Z495" s="847"/>
      <c r="AA495" s="847"/>
      <c r="AB495" s="847"/>
      <c r="AC495" s="847"/>
      <c r="AD495" s="847"/>
      <c r="AE495" s="847"/>
      <c r="AF495" s="847"/>
      <c r="AG495" s="847"/>
      <c r="AH495" s="847"/>
      <c r="AI495" s="847"/>
      <c r="AJ495" s="847"/>
      <c r="AK495" s="847"/>
      <c r="AL495" s="847"/>
      <c r="AM495" s="847"/>
      <c r="AN495" s="847"/>
      <c r="AO495" s="847"/>
      <c r="AP495" s="847"/>
      <c r="AQ495" s="847"/>
      <c r="AR495" s="847"/>
      <c r="AS495" s="847"/>
      <c r="AT495" s="847"/>
      <c r="AU495" s="847"/>
      <c r="AV495" s="847"/>
      <c r="AW495" s="847"/>
      <c r="AX495" s="849">
        <v>0</v>
      </c>
      <c r="AY495" s="850">
        <f>AX495</f>
        <v>0</v>
      </c>
      <c r="AZ495" s="850">
        <f t="shared" ref="AZ495:DK495" si="1306">AY495</f>
        <v>0</v>
      </c>
      <c r="BA495" s="850">
        <f t="shared" si="1306"/>
        <v>0</v>
      </c>
      <c r="BB495" s="850">
        <f t="shared" si="1306"/>
        <v>0</v>
      </c>
      <c r="BC495" s="850">
        <f t="shared" si="1306"/>
        <v>0</v>
      </c>
      <c r="BD495" s="850">
        <f t="shared" si="1306"/>
        <v>0</v>
      </c>
      <c r="BE495" s="850">
        <f t="shared" si="1306"/>
        <v>0</v>
      </c>
      <c r="BF495" s="850">
        <f t="shared" si="1306"/>
        <v>0</v>
      </c>
      <c r="BG495" s="850">
        <f t="shared" si="1306"/>
        <v>0</v>
      </c>
      <c r="BH495" s="850">
        <f t="shared" si="1306"/>
        <v>0</v>
      </c>
      <c r="BI495" s="850">
        <f t="shared" si="1306"/>
        <v>0</v>
      </c>
      <c r="BJ495" s="850">
        <f t="shared" si="1306"/>
        <v>0</v>
      </c>
      <c r="BK495" s="850">
        <f t="shared" si="1306"/>
        <v>0</v>
      </c>
      <c r="BL495" s="850">
        <f t="shared" si="1306"/>
        <v>0</v>
      </c>
      <c r="BM495" s="850">
        <f t="shared" si="1306"/>
        <v>0</v>
      </c>
      <c r="BN495" s="850">
        <f t="shared" si="1306"/>
        <v>0</v>
      </c>
      <c r="BO495" s="850">
        <f t="shared" si="1306"/>
        <v>0</v>
      </c>
      <c r="BP495" s="850">
        <f t="shared" si="1306"/>
        <v>0</v>
      </c>
      <c r="BQ495" s="850">
        <f t="shared" si="1306"/>
        <v>0</v>
      </c>
      <c r="BR495" s="850">
        <f t="shared" si="1306"/>
        <v>0</v>
      </c>
      <c r="BS495" s="850">
        <f t="shared" si="1306"/>
        <v>0</v>
      </c>
      <c r="BT495" s="850">
        <f t="shared" si="1306"/>
        <v>0</v>
      </c>
      <c r="BU495" s="850">
        <f t="shared" si="1306"/>
        <v>0</v>
      </c>
      <c r="BV495" s="850">
        <f t="shared" si="1306"/>
        <v>0</v>
      </c>
      <c r="BW495" s="850">
        <f t="shared" si="1306"/>
        <v>0</v>
      </c>
      <c r="BX495" s="850">
        <f t="shared" si="1306"/>
        <v>0</v>
      </c>
      <c r="BY495" s="850">
        <f t="shared" si="1306"/>
        <v>0</v>
      </c>
      <c r="BZ495" s="850">
        <f t="shared" si="1306"/>
        <v>0</v>
      </c>
      <c r="CA495" s="850">
        <f t="shared" si="1306"/>
        <v>0</v>
      </c>
      <c r="CB495" s="850">
        <f t="shared" si="1306"/>
        <v>0</v>
      </c>
      <c r="CC495" s="850">
        <f t="shared" si="1306"/>
        <v>0</v>
      </c>
      <c r="CD495" s="850">
        <f t="shared" si="1306"/>
        <v>0</v>
      </c>
      <c r="CE495" s="850">
        <f t="shared" si="1306"/>
        <v>0</v>
      </c>
      <c r="CF495" s="850">
        <f t="shared" si="1306"/>
        <v>0</v>
      </c>
      <c r="CG495" s="850">
        <f t="shared" si="1306"/>
        <v>0</v>
      </c>
      <c r="CH495" s="850">
        <f t="shared" si="1306"/>
        <v>0</v>
      </c>
      <c r="CI495" s="850">
        <f t="shared" si="1306"/>
        <v>0</v>
      </c>
      <c r="CJ495" s="850">
        <f t="shared" si="1306"/>
        <v>0</v>
      </c>
      <c r="CK495" s="850">
        <f t="shared" si="1306"/>
        <v>0</v>
      </c>
      <c r="CL495" s="850">
        <f t="shared" si="1306"/>
        <v>0</v>
      </c>
      <c r="CM495" s="850">
        <f t="shared" si="1306"/>
        <v>0</v>
      </c>
      <c r="CN495" s="850">
        <f t="shared" si="1306"/>
        <v>0</v>
      </c>
      <c r="CO495" s="850">
        <f t="shared" si="1306"/>
        <v>0</v>
      </c>
      <c r="CP495" s="850">
        <f t="shared" si="1306"/>
        <v>0</v>
      </c>
      <c r="CQ495" s="850">
        <f t="shared" si="1306"/>
        <v>0</v>
      </c>
      <c r="CR495" s="850">
        <f t="shared" si="1306"/>
        <v>0</v>
      </c>
      <c r="CS495" s="850">
        <f t="shared" si="1306"/>
        <v>0</v>
      </c>
      <c r="CT495" s="850">
        <f t="shared" si="1306"/>
        <v>0</v>
      </c>
      <c r="CU495" s="850">
        <f t="shared" si="1306"/>
        <v>0</v>
      </c>
      <c r="CV495" s="850">
        <f t="shared" si="1306"/>
        <v>0</v>
      </c>
      <c r="CW495" s="850">
        <f t="shared" si="1306"/>
        <v>0</v>
      </c>
      <c r="CX495" s="850">
        <f t="shared" si="1306"/>
        <v>0</v>
      </c>
      <c r="CY495" s="850">
        <f t="shared" si="1306"/>
        <v>0</v>
      </c>
      <c r="CZ495" s="850">
        <f t="shared" si="1306"/>
        <v>0</v>
      </c>
      <c r="DA495" s="850">
        <f t="shared" si="1306"/>
        <v>0</v>
      </c>
      <c r="DB495" s="850">
        <f t="shared" si="1306"/>
        <v>0</v>
      </c>
      <c r="DC495" s="850">
        <f t="shared" si="1306"/>
        <v>0</v>
      </c>
      <c r="DD495" s="850">
        <f t="shared" si="1306"/>
        <v>0</v>
      </c>
      <c r="DE495" s="850">
        <f t="shared" si="1306"/>
        <v>0</v>
      </c>
      <c r="DF495" s="850">
        <f t="shared" si="1306"/>
        <v>0</v>
      </c>
      <c r="DG495" s="850">
        <f>DF495</f>
        <v>0</v>
      </c>
      <c r="DH495" s="1336">
        <f>DG495</f>
        <v>0</v>
      </c>
      <c r="DI495" s="850">
        <f t="shared" si="1306"/>
        <v>0</v>
      </c>
      <c r="DJ495" s="850">
        <f t="shared" si="1306"/>
        <v>0</v>
      </c>
      <c r="DK495" s="1336">
        <f t="shared" si="1306"/>
        <v>0</v>
      </c>
      <c r="DL495" s="850">
        <f t="shared" ref="DL495:DN496" si="1307">DK495</f>
        <v>0</v>
      </c>
      <c r="DM495" s="850">
        <f t="shared" si="1307"/>
        <v>0</v>
      </c>
      <c r="DN495" s="1336">
        <f t="shared" si="1307"/>
        <v>0</v>
      </c>
      <c r="DO495" s="850">
        <f t="shared" ref="DO495:DT496" si="1308">DN495</f>
        <v>0</v>
      </c>
      <c r="DP495" s="850">
        <f t="shared" si="1308"/>
        <v>0</v>
      </c>
      <c r="DQ495" s="1336">
        <f t="shared" si="1308"/>
        <v>0</v>
      </c>
      <c r="DR495" s="850">
        <f t="shared" si="1308"/>
        <v>0</v>
      </c>
      <c r="DS495" s="850">
        <f t="shared" si="1308"/>
        <v>0</v>
      </c>
      <c r="DT495" s="1336">
        <f t="shared" si="1308"/>
        <v>0</v>
      </c>
      <c r="DU495" s="850"/>
      <c r="DV495" s="850"/>
      <c r="DW495" s="1336"/>
      <c r="DX495" s="850"/>
      <c r="DY495" s="850"/>
      <c r="DZ495" s="1336"/>
      <c r="EA495" s="850"/>
      <c r="EB495" s="850"/>
      <c r="EC495" s="1336"/>
      <c r="ED495" s="850"/>
      <c r="EE495" s="850"/>
      <c r="EF495" s="1336"/>
      <c r="EG495" s="850"/>
      <c r="EH495" s="850"/>
      <c r="EI495" s="1336"/>
      <c r="EJ495" s="850"/>
      <c r="EK495" s="850"/>
      <c r="EL495" s="1336"/>
      <c r="EM495" s="850"/>
      <c r="EN495" s="850"/>
      <c r="EO495" s="1336"/>
      <c r="EP495" s="850"/>
      <c r="EQ495" s="850"/>
      <c r="ER495" s="1336"/>
      <c r="ES495" s="850"/>
      <c r="ET495" s="850"/>
      <c r="EU495" s="1336"/>
      <c r="EV495" s="850"/>
      <c r="EW495" s="850"/>
      <c r="EX495" s="1336"/>
      <c r="EY495" s="850"/>
      <c r="EZ495" s="850"/>
      <c r="FA495" s="1336"/>
      <c r="FE495"/>
      <c r="FF495"/>
      <c r="FG495"/>
      <c r="FH495"/>
      <c r="FI495"/>
      <c r="FJ495"/>
      <c r="FK495" s="35"/>
    </row>
    <row r="496" spans="1:167" s="458" customFormat="1" ht="13.35" customHeight="1">
      <c r="A496" s="845"/>
      <c r="B496" s="827" t="s">
        <v>861</v>
      </c>
      <c r="C496" s="846"/>
      <c r="D496" s="847"/>
      <c r="E496" s="847"/>
      <c r="F496" s="847"/>
      <c r="G496" s="847"/>
      <c r="H496" s="847"/>
      <c r="I496" s="847"/>
      <c r="J496" s="847"/>
      <c r="K496" s="847"/>
      <c r="L496" s="847"/>
      <c r="M496" s="847"/>
      <c r="N496" s="847"/>
      <c r="O496" s="847"/>
      <c r="P496" s="847"/>
      <c r="Q496" s="847"/>
      <c r="R496" s="847"/>
      <c r="S496" s="847"/>
      <c r="T496" s="847"/>
      <c r="U496" s="847"/>
      <c r="V496" s="847"/>
      <c r="W496" s="847"/>
      <c r="X496" s="847"/>
      <c r="Y496" s="847"/>
      <c r="Z496" s="847"/>
      <c r="AA496" s="847"/>
      <c r="AB496" s="847"/>
      <c r="AC496" s="847"/>
      <c r="AD496" s="847"/>
      <c r="AE496" s="847"/>
      <c r="AF496" s="847"/>
      <c r="AG496" s="847"/>
      <c r="AH496" s="847"/>
      <c r="AI496" s="847"/>
      <c r="AJ496" s="847"/>
      <c r="AK496" s="847"/>
      <c r="AL496" s="847"/>
      <c r="AM496" s="847"/>
      <c r="AN496" s="847"/>
      <c r="AO496" s="847"/>
      <c r="AP496" s="847"/>
      <c r="AQ496" s="847"/>
      <c r="AR496" s="847"/>
      <c r="AS496" s="847"/>
      <c r="AT496" s="847"/>
      <c r="AU496" s="847"/>
      <c r="AV496" s="847"/>
      <c r="AW496" s="847"/>
      <c r="AX496" s="849">
        <v>0</v>
      </c>
      <c r="AY496" s="850">
        <f>AX496</f>
        <v>0</v>
      </c>
      <c r="AZ496" s="850">
        <f t="shared" ref="AZ496:DK496" si="1309">AY496</f>
        <v>0</v>
      </c>
      <c r="BA496" s="850">
        <f t="shared" si="1309"/>
        <v>0</v>
      </c>
      <c r="BB496" s="850">
        <f t="shared" si="1309"/>
        <v>0</v>
      </c>
      <c r="BC496" s="850">
        <f t="shared" si="1309"/>
        <v>0</v>
      </c>
      <c r="BD496" s="850">
        <f t="shared" si="1309"/>
        <v>0</v>
      </c>
      <c r="BE496" s="850">
        <f t="shared" si="1309"/>
        <v>0</v>
      </c>
      <c r="BF496" s="850">
        <f t="shared" si="1309"/>
        <v>0</v>
      </c>
      <c r="BG496" s="850">
        <f t="shared" si="1309"/>
        <v>0</v>
      </c>
      <c r="BH496" s="850">
        <f t="shared" si="1309"/>
        <v>0</v>
      </c>
      <c r="BI496" s="850">
        <f t="shared" si="1309"/>
        <v>0</v>
      </c>
      <c r="BJ496" s="850">
        <f t="shared" si="1309"/>
        <v>0</v>
      </c>
      <c r="BK496" s="850">
        <f t="shared" si="1309"/>
        <v>0</v>
      </c>
      <c r="BL496" s="850">
        <f t="shared" si="1309"/>
        <v>0</v>
      </c>
      <c r="BM496" s="850">
        <f t="shared" si="1309"/>
        <v>0</v>
      </c>
      <c r="BN496" s="850">
        <f t="shared" si="1309"/>
        <v>0</v>
      </c>
      <c r="BO496" s="850">
        <f t="shared" si="1309"/>
        <v>0</v>
      </c>
      <c r="BP496" s="850">
        <f t="shared" si="1309"/>
        <v>0</v>
      </c>
      <c r="BQ496" s="850">
        <f t="shared" si="1309"/>
        <v>0</v>
      </c>
      <c r="BR496" s="850">
        <f t="shared" si="1309"/>
        <v>0</v>
      </c>
      <c r="BS496" s="850">
        <f t="shared" si="1309"/>
        <v>0</v>
      </c>
      <c r="BT496" s="850">
        <f t="shared" si="1309"/>
        <v>0</v>
      </c>
      <c r="BU496" s="850">
        <f t="shared" si="1309"/>
        <v>0</v>
      </c>
      <c r="BV496" s="850">
        <f t="shared" si="1309"/>
        <v>0</v>
      </c>
      <c r="BW496" s="850">
        <f t="shared" si="1309"/>
        <v>0</v>
      </c>
      <c r="BX496" s="850">
        <f t="shared" si="1309"/>
        <v>0</v>
      </c>
      <c r="BY496" s="850">
        <f t="shared" si="1309"/>
        <v>0</v>
      </c>
      <c r="BZ496" s="850">
        <f t="shared" si="1309"/>
        <v>0</v>
      </c>
      <c r="CA496" s="850">
        <f t="shared" si="1309"/>
        <v>0</v>
      </c>
      <c r="CB496" s="850">
        <f t="shared" si="1309"/>
        <v>0</v>
      </c>
      <c r="CC496" s="850">
        <f t="shared" si="1309"/>
        <v>0</v>
      </c>
      <c r="CD496" s="850">
        <f t="shared" si="1309"/>
        <v>0</v>
      </c>
      <c r="CE496" s="850">
        <f t="shared" si="1309"/>
        <v>0</v>
      </c>
      <c r="CF496" s="850">
        <f t="shared" si="1309"/>
        <v>0</v>
      </c>
      <c r="CG496" s="850">
        <f t="shared" si="1309"/>
        <v>0</v>
      </c>
      <c r="CH496" s="850">
        <f t="shared" si="1309"/>
        <v>0</v>
      </c>
      <c r="CI496" s="850">
        <f t="shared" si="1309"/>
        <v>0</v>
      </c>
      <c r="CJ496" s="850">
        <f t="shared" si="1309"/>
        <v>0</v>
      </c>
      <c r="CK496" s="850">
        <f t="shared" si="1309"/>
        <v>0</v>
      </c>
      <c r="CL496" s="850">
        <f t="shared" si="1309"/>
        <v>0</v>
      </c>
      <c r="CM496" s="850">
        <f t="shared" si="1309"/>
        <v>0</v>
      </c>
      <c r="CN496" s="850">
        <f t="shared" si="1309"/>
        <v>0</v>
      </c>
      <c r="CO496" s="850">
        <f t="shared" si="1309"/>
        <v>0</v>
      </c>
      <c r="CP496" s="850">
        <f t="shared" si="1309"/>
        <v>0</v>
      </c>
      <c r="CQ496" s="850">
        <f t="shared" si="1309"/>
        <v>0</v>
      </c>
      <c r="CR496" s="850">
        <f t="shared" si="1309"/>
        <v>0</v>
      </c>
      <c r="CS496" s="850">
        <f t="shared" si="1309"/>
        <v>0</v>
      </c>
      <c r="CT496" s="850">
        <f t="shared" si="1309"/>
        <v>0</v>
      </c>
      <c r="CU496" s="850">
        <f t="shared" si="1309"/>
        <v>0</v>
      </c>
      <c r="CV496" s="850">
        <f t="shared" si="1309"/>
        <v>0</v>
      </c>
      <c r="CW496" s="850">
        <f t="shared" si="1309"/>
        <v>0</v>
      </c>
      <c r="CX496" s="850">
        <f t="shared" si="1309"/>
        <v>0</v>
      </c>
      <c r="CY496" s="850">
        <f t="shared" si="1309"/>
        <v>0</v>
      </c>
      <c r="CZ496" s="850">
        <f t="shared" si="1309"/>
        <v>0</v>
      </c>
      <c r="DA496" s="850">
        <f t="shared" si="1309"/>
        <v>0</v>
      </c>
      <c r="DB496" s="850">
        <f t="shared" si="1309"/>
        <v>0</v>
      </c>
      <c r="DC496" s="850">
        <f t="shared" si="1309"/>
        <v>0</v>
      </c>
      <c r="DD496" s="850">
        <f t="shared" si="1309"/>
        <v>0</v>
      </c>
      <c r="DE496" s="850">
        <f t="shared" si="1309"/>
        <v>0</v>
      </c>
      <c r="DF496" s="850">
        <f t="shared" si="1309"/>
        <v>0</v>
      </c>
      <c r="DG496" s="850">
        <f>DF496</f>
        <v>0</v>
      </c>
      <c r="DH496" s="1336">
        <f>DG496</f>
        <v>0</v>
      </c>
      <c r="DI496" s="850">
        <f t="shared" si="1309"/>
        <v>0</v>
      </c>
      <c r="DJ496" s="850">
        <f t="shared" si="1309"/>
        <v>0</v>
      </c>
      <c r="DK496" s="1336">
        <f t="shared" si="1309"/>
        <v>0</v>
      </c>
      <c r="DL496" s="850">
        <f t="shared" si="1307"/>
        <v>0</v>
      </c>
      <c r="DM496" s="850">
        <f t="shared" si="1307"/>
        <v>0</v>
      </c>
      <c r="DN496" s="1336">
        <f t="shared" si="1307"/>
        <v>0</v>
      </c>
      <c r="DO496" s="850">
        <f t="shared" si="1308"/>
        <v>0</v>
      </c>
      <c r="DP496" s="850">
        <f t="shared" si="1308"/>
        <v>0</v>
      </c>
      <c r="DQ496" s="1336">
        <f t="shared" si="1308"/>
        <v>0</v>
      </c>
      <c r="DR496" s="850">
        <f t="shared" si="1308"/>
        <v>0</v>
      </c>
      <c r="DS496" s="850">
        <f t="shared" si="1308"/>
        <v>0</v>
      </c>
      <c r="DT496" s="1336">
        <f t="shared" si="1308"/>
        <v>0</v>
      </c>
      <c r="DU496" s="850"/>
      <c r="DV496" s="850"/>
      <c r="DW496" s="1336"/>
      <c r="DX496" s="850"/>
      <c r="DY496" s="850"/>
      <c r="DZ496" s="1336"/>
      <c r="EA496" s="850"/>
      <c r="EB496" s="850"/>
      <c r="EC496" s="1336"/>
      <c r="ED496" s="850"/>
      <c r="EE496" s="850"/>
      <c r="EF496" s="1336"/>
      <c r="EG496" s="850"/>
      <c r="EH496" s="850"/>
      <c r="EI496" s="1336"/>
      <c r="EJ496" s="850"/>
      <c r="EK496" s="850"/>
      <c r="EL496" s="1336"/>
      <c r="EM496" s="850"/>
      <c r="EN496" s="850"/>
      <c r="EO496" s="1336"/>
      <c r="EP496" s="850"/>
      <c r="EQ496" s="850"/>
      <c r="ER496" s="1336"/>
      <c r="ES496" s="850"/>
      <c r="ET496" s="850"/>
      <c r="EU496" s="1336"/>
      <c r="EV496" s="850"/>
      <c r="EW496" s="850"/>
      <c r="EX496" s="1336"/>
      <c r="EY496" s="850"/>
      <c r="EZ496" s="850"/>
      <c r="FA496" s="1336"/>
      <c r="FE496"/>
      <c r="FF496"/>
      <c r="FG496"/>
      <c r="FH496"/>
      <c r="FI496"/>
      <c r="FJ496"/>
      <c r="FK496" s="35"/>
    </row>
    <row r="497" spans="1:167" s="458" customFormat="1" ht="13.35" customHeight="1">
      <c r="A497" s="845"/>
      <c r="B497" s="827" t="s">
        <v>810</v>
      </c>
      <c r="C497" s="846"/>
      <c r="D497" s="847"/>
      <c r="E497" s="847"/>
      <c r="F497" s="847"/>
      <c r="G497" s="847"/>
      <c r="H497" s="847"/>
      <c r="I497" s="847"/>
      <c r="J497" s="847"/>
      <c r="K497" s="847"/>
      <c r="L497" s="847"/>
      <c r="M497" s="847"/>
      <c r="N497" s="847"/>
      <c r="O497" s="847"/>
      <c r="P497" s="847"/>
      <c r="Q497" s="847"/>
      <c r="R497" s="847"/>
      <c r="S497" s="847"/>
      <c r="T497" s="847"/>
      <c r="U497" s="847"/>
      <c r="V497" s="847"/>
      <c r="W497" s="847"/>
      <c r="X497" s="847"/>
      <c r="Y497" s="847"/>
      <c r="Z497" s="847"/>
      <c r="AA497" s="847"/>
      <c r="AB497" s="847"/>
      <c r="AC497" s="847"/>
      <c r="AD497" s="847"/>
      <c r="AE497" s="847"/>
      <c r="AF497" s="847"/>
      <c r="AG497" s="847"/>
      <c r="AH497" s="847"/>
      <c r="AI497" s="847"/>
      <c r="AJ497" s="847"/>
      <c r="AK497" s="847"/>
      <c r="AL497" s="847"/>
      <c r="AM497" s="847"/>
      <c r="AN497" s="847"/>
      <c r="AO497" s="847"/>
      <c r="AP497" s="847"/>
      <c r="AQ497" s="847"/>
      <c r="AR497" s="847"/>
      <c r="AS497" s="847"/>
      <c r="AT497" s="847"/>
      <c r="AU497" s="847"/>
      <c r="AV497" s="847"/>
      <c r="AW497" s="847"/>
      <c r="AX497" s="850">
        <f t="shared" ref="AX497:CC497" si="1310">AX76*AX498</f>
        <v>-4.2999999999999997E-2</v>
      </c>
      <c r="AY497" s="850">
        <f t="shared" si="1310"/>
        <v>-0.05</v>
      </c>
      <c r="AZ497" s="850">
        <f t="shared" si="1310"/>
        <v>-9.2999999999999999E-2</v>
      </c>
      <c r="BA497" s="850">
        <f t="shared" si="1310"/>
        <v>-2.5000000000000001E-2</v>
      </c>
      <c r="BB497" s="850">
        <f t="shared" si="1310"/>
        <v>-0.19700000000000001</v>
      </c>
      <c r="BC497" s="850">
        <f t="shared" si="1310"/>
        <v>-0.222</v>
      </c>
      <c r="BD497" s="850">
        <f t="shared" si="1310"/>
        <v>-0.25</v>
      </c>
      <c r="BE497" s="850">
        <f t="shared" si="1310"/>
        <v>-0.89999999999999991</v>
      </c>
      <c r="BF497" s="850">
        <f t="shared" si="1310"/>
        <v>-1.1499999999999999</v>
      </c>
      <c r="BG497" s="850">
        <f t="shared" si="1310"/>
        <v>-0.53300000000000003</v>
      </c>
      <c r="BH497" s="850">
        <f t="shared" si="1310"/>
        <v>-0.26300000000000001</v>
      </c>
      <c r="BI497" s="850">
        <f t="shared" si="1310"/>
        <v>-0.79600000000000004</v>
      </c>
      <c r="BJ497" s="850">
        <f t="shared" si="1310"/>
        <v>-0.39500000000000002</v>
      </c>
      <c r="BK497" s="850">
        <f t="shared" si="1310"/>
        <v>-0.41600000000000004</v>
      </c>
      <c r="BL497" s="850">
        <f t="shared" si="1310"/>
        <v>-0.81100000000000005</v>
      </c>
      <c r="BM497" s="850">
        <f t="shared" si="1310"/>
        <v>-0.45300000000000001</v>
      </c>
      <c r="BN497" s="850">
        <f t="shared" si="1310"/>
        <v>-2.4750000000000001</v>
      </c>
      <c r="BO497" s="850">
        <f t="shared" si="1310"/>
        <v>-2.9279999999999999</v>
      </c>
      <c r="BP497" s="850">
        <f t="shared" si="1310"/>
        <v>-3.03</v>
      </c>
      <c r="BQ497" s="850">
        <f t="shared" si="1310"/>
        <v>-3.3610000000000002</v>
      </c>
      <c r="BR497" s="850">
        <f t="shared" si="1310"/>
        <v>-6.391</v>
      </c>
      <c r="BS497" s="850">
        <f t="shared" si="1310"/>
        <v>-6.13</v>
      </c>
      <c r="BT497" s="850">
        <f t="shared" si="1310"/>
        <v>-6.1689999999999996</v>
      </c>
      <c r="BU497" s="850">
        <f t="shared" si="1310"/>
        <v>-12.298999999999999</v>
      </c>
      <c r="BV497" s="850">
        <f t="shared" si="1310"/>
        <v>-5.7030000000000003</v>
      </c>
      <c r="BW497" s="850">
        <f t="shared" si="1310"/>
        <v>-6.319</v>
      </c>
      <c r="BX497" s="850">
        <f t="shared" si="1310"/>
        <v>-12.022</v>
      </c>
      <c r="BY497" s="850">
        <f t="shared" si="1310"/>
        <v>-9.375</v>
      </c>
      <c r="BZ497" s="850">
        <f t="shared" si="1310"/>
        <v>0.52399999999999913</v>
      </c>
      <c r="CA497" s="850">
        <f t="shared" si="1310"/>
        <v>-8.8510000000000009</v>
      </c>
      <c r="CB497" s="850">
        <f t="shared" si="1310"/>
        <v>-5.8840000000000003</v>
      </c>
      <c r="CC497" s="850">
        <f t="shared" si="1310"/>
        <v>-6.5229999999999997</v>
      </c>
      <c r="CD497" s="850">
        <f t="shared" ref="CD497:DI497" si="1311">CD76*CD498</f>
        <v>-12.407</v>
      </c>
      <c r="CE497" s="850">
        <f t="shared" si="1311"/>
        <v>-5.008</v>
      </c>
      <c r="CF497" s="850">
        <f t="shared" si="1311"/>
        <v>-3.6580000000000004</v>
      </c>
      <c r="CG497" s="850">
        <f t="shared" si="1311"/>
        <v>-8.6660000000000004</v>
      </c>
      <c r="CH497" s="850">
        <f t="shared" si="1311"/>
        <v>-2.8279999999999998</v>
      </c>
      <c r="CI497" s="850">
        <f t="shared" si="1311"/>
        <v>-3.3220000000000005</v>
      </c>
      <c r="CJ497" s="850">
        <f t="shared" si="1311"/>
        <v>-6.15</v>
      </c>
      <c r="CK497" s="850">
        <f t="shared" si="1311"/>
        <v>-3.1230000000000002</v>
      </c>
      <c r="CL497" s="850">
        <f t="shared" si="1311"/>
        <v>-3.7589999999999995</v>
      </c>
      <c r="CM497" s="850">
        <f t="shared" si="1311"/>
        <v>-6.8819999999999997</v>
      </c>
      <c r="CN497" s="850">
        <f t="shared" si="1311"/>
        <v>-4.74</v>
      </c>
      <c r="CO497" s="850">
        <f t="shared" si="1311"/>
        <v>-5.5609999999999982</v>
      </c>
      <c r="CP497" s="850">
        <f t="shared" si="1311"/>
        <v>-10.300999999999998</v>
      </c>
      <c r="CQ497" s="850">
        <f t="shared" si="1311"/>
        <v>-5.5419999999999998</v>
      </c>
      <c r="CR497" s="850">
        <f t="shared" si="1311"/>
        <v>-4.8580000000000023</v>
      </c>
      <c r="CS497" s="850">
        <f t="shared" si="1311"/>
        <v>-10.400000000000002</v>
      </c>
      <c r="CT497" s="850">
        <f t="shared" si="1311"/>
        <v>-4.8139999999999983</v>
      </c>
      <c r="CU497" s="850">
        <f t="shared" si="1311"/>
        <v>-3.9920000000000009</v>
      </c>
      <c r="CV497" s="850">
        <f t="shared" si="1311"/>
        <v>-8.8059999999999992</v>
      </c>
      <c r="CW497" s="850">
        <f t="shared" si="1311"/>
        <v>-3.6890000000000001</v>
      </c>
      <c r="CX497" s="850">
        <f t="shared" si="1311"/>
        <v>-3.8419168000000008</v>
      </c>
      <c r="CY497" s="850">
        <f t="shared" si="1311"/>
        <v>-7.5309168000000009</v>
      </c>
      <c r="CZ497" s="850">
        <f t="shared" si="1311"/>
        <v>-3.9811292000000003</v>
      </c>
      <c r="DA497" s="850">
        <f t="shared" si="1311"/>
        <v>-4.5188708000000002</v>
      </c>
      <c r="DB497" s="850">
        <f t="shared" si="1311"/>
        <v>-8.5</v>
      </c>
      <c r="DC497" s="850">
        <f t="shared" si="1311"/>
        <v>-3.0000000000000004</v>
      </c>
      <c r="DD497" s="850">
        <f t="shared" si="1311"/>
        <v>-2.1999999999999988</v>
      </c>
      <c r="DE497" s="850">
        <f t="shared" si="1311"/>
        <v>-5.1999999999999993</v>
      </c>
      <c r="DF497" s="850">
        <f t="shared" si="1311"/>
        <v>-2.2000000000000002</v>
      </c>
      <c r="DG497" s="850">
        <f t="shared" si="1311"/>
        <v>-2.3847750000000003</v>
      </c>
      <c r="DH497" s="1336">
        <f t="shared" si="1311"/>
        <v>-4.5847750000000005</v>
      </c>
      <c r="DI497" s="850">
        <f t="shared" si="1311"/>
        <v>-3.82531</v>
      </c>
      <c r="DJ497" s="850">
        <f>DJ76*DJ498</f>
        <v>-1.4802350000000004</v>
      </c>
      <c r="DK497" s="1336">
        <f>DK76*DK498</f>
        <v>-5.3055450000000004</v>
      </c>
      <c r="DL497" s="850">
        <f>DL76*DL498</f>
        <v>-0.79147000000000034</v>
      </c>
      <c r="DM497" s="850">
        <f>DM76*DM498</f>
        <v>-0.9086350000000003</v>
      </c>
      <c r="DN497" s="1336">
        <f>DN76*DN498</f>
        <v>-1.7001050000000006</v>
      </c>
      <c r="DO497" s="850">
        <f t="shared" ref="DO497:DT497" si="1312">DO76*DO498</f>
        <v>-1.3439450000000006</v>
      </c>
      <c r="DP497" s="850">
        <f t="shared" si="1312"/>
        <v>-1.4611100000000001</v>
      </c>
      <c r="DQ497" s="1336">
        <f t="shared" si="1312"/>
        <v>-2.8050550000000007</v>
      </c>
      <c r="DR497" s="850">
        <f t="shared" si="1312"/>
        <v>0</v>
      </c>
      <c r="DS497" s="850">
        <f t="shared" si="1312"/>
        <v>0</v>
      </c>
      <c r="DT497" s="1336">
        <f t="shared" si="1312"/>
        <v>0</v>
      </c>
      <c r="DU497" s="850"/>
      <c r="DV497" s="850"/>
      <c r="DW497" s="1336"/>
      <c r="DX497" s="850"/>
      <c r="DY497" s="850"/>
      <c r="DZ497" s="1336"/>
      <c r="EA497" s="850"/>
      <c r="EB497" s="850"/>
      <c r="EC497" s="1336"/>
      <c r="ED497" s="850"/>
      <c r="EE497" s="850"/>
      <c r="EF497" s="1336"/>
      <c r="EG497" s="850"/>
      <c r="EH497" s="850"/>
      <c r="EI497" s="1336"/>
      <c r="EJ497" s="850"/>
      <c r="EK497" s="850"/>
      <c r="EL497" s="1336"/>
      <c r="EM497" s="850"/>
      <c r="EN497" s="850"/>
      <c r="EO497" s="1336"/>
      <c r="EP497" s="850"/>
      <c r="EQ497" s="850"/>
      <c r="ER497" s="1336"/>
      <c r="ES497" s="850"/>
      <c r="ET497" s="850"/>
      <c r="EU497" s="1336"/>
      <c r="EV497" s="850"/>
      <c r="EW497" s="850"/>
      <c r="EX497" s="1336"/>
      <c r="EY497" s="850"/>
      <c r="EZ497" s="850"/>
      <c r="FA497" s="1336"/>
      <c r="FE497"/>
      <c r="FF497"/>
      <c r="FG497"/>
      <c r="FH497"/>
      <c r="FI497"/>
      <c r="FJ497"/>
      <c r="FK497" s="35"/>
    </row>
    <row r="498" spans="1:167" s="458" customFormat="1" ht="13.35" customHeight="1">
      <c r="A498" s="845"/>
      <c r="B498" s="827" t="s">
        <v>811</v>
      </c>
      <c r="C498" s="846"/>
      <c r="D498" s="847"/>
      <c r="E498" s="847"/>
      <c r="F498" s="847"/>
      <c r="G498" s="847"/>
      <c r="H498" s="847"/>
      <c r="I498" s="847"/>
      <c r="J498" s="847"/>
      <c r="K498" s="847"/>
      <c r="L498" s="847"/>
      <c r="M498" s="847"/>
      <c r="N498" s="847"/>
      <c r="O498" s="847"/>
      <c r="P498" s="847"/>
      <c r="Q498" s="847"/>
      <c r="R498" s="847"/>
      <c r="S498" s="847"/>
      <c r="T498" s="847"/>
      <c r="U498" s="847"/>
      <c r="V498" s="847"/>
      <c r="W498" s="847"/>
      <c r="X498" s="847"/>
      <c r="Y498" s="847"/>
      <c r="Z498" s="847"/>
      <c r="AA498" s="847"/>
      <c r="AB498" s="847"/>
      <c r="AC498" s="847"/>
      <c r="AD498" s="847"/>
      <c r="AE498" s="847"/>
      <c r="AF498" s="847"/>
      <c r="AG498" s="847"/>
      <c r="AH498" s="847"/>
      <c r="AI498" s="847"/>
      <c r="AJ498" s="847"/>
      <c r="AK498" s="847"/>
      <c r="AL498" s="847"/>
      <c r="AM498" s="847"/>
      <c r="AN498" s="847"/>
      <c r="AO498" s="847"/>
      <c r="AP498" s="847"/>
      <c r="AQ498" s="847"/>
      <c r="AR498" s="847"/>
      <c r="AS498" s="847"/>
      <c r="AT498" s="847"/>
      <c r="AU498" s="847"/>
      <c r="AV498" s="847"/>
      <c r="AW498" s="847"/>
      <c r="AX498" s="851">
        <v>-1</v>
      </c>
      <c r="AY498" s="850">
        <f>AX498</f>
        <v>-1</v>
      </c>
      <c r="AZ498" s="850">
        <f t="shared" ref="AZ498:DK498" si="1313">AY498</f>
        <v>-1</v>
      </c>
      <c r="BA498" s="850">
        <f t="shared" si="1313"/>
        <v>-1</v>
      </c>
      <c r="BB498" s="850">
        <f t="shared" si="1313"/>
        <v>-1</v>
      </c>
      <c r="BC498" s="850">
        <f t="shared" si="1313"/>
        <v>-1</v>
      </c>
      <c r="BD498" s="850">
        <f t="shared" si="1313"/>
        <v>-1</v>
      </c>
      <c r="BE498" s="850">
        <f t="shared" si="1313"/>
        <v>-1</v>
      </c>
      <c r="BF498" s="850">
        <f t="shared" si="1313"/>
        <v>-1</v>
      </c>
      <c r="BG498" s="850">
        <f t="shared" si="1313"/>
        <v>-1</v>
      </c>
      <c r="BH498" s="850">
        <f t="shared" si="1313"/>
        <v>-1</v>
      </c>
      <c r="BI498" s="850">
        <f t="shared" si="1313"/>
        <v>-1</v>
      </c>
      <c r="BJ498" s="850">
        <f t="shared" si="1313"/>
        <v>-1</v>
      </c>
      <c r="BK498" s="850">
        <f t="shared" si="1313"/>
        <v>-1</v>
      </c>
      <c r="BL498" s="850">
        <f t="shared" si="1313"/>
        <v>-1</v>
      </c>
      <c r="BM498" s="850">
        <f t="shared" si="1313"/>
        <v>-1</v>
      </c>
      <c r="BN498" s="850">
        <f t="shared" si="1313"/>
        <v>-1</v>
      </c>
      <c r="BO498" s="850">
        <f t="shared" si="1313"/>
        <v>-1</v>
      </c>
      <c r="BP498" s="850">
        <f t="shared" si="1313"/>
        <v>-1</v>
      </c>
      <c r="BQ498" s="850">
        <f t="shared" si="1313"/>
        <v>-1</v>
      </c>
      <c r="BR498" s="850">
        <f t="shared" si="1313"/>
        <v>-1</v>
      </c>
      <c r="BS498" s="850">
        <f t="shared" si="1313"/>
        <v>-1</v>
      </c>
      <c r="BT498" s="850">
        <f t="shared" si="1313"/>
        <v>-1</v>
      </c>
      <c r="BU498" s="850">
        <f t="shared" si="1313"/>
        <v>-1</v>
      </c>
      <c r="BV498" s="850">
        <f t="shared" si="1313"/>
        <v>-1</v>
      </c>
      <c r="BW498" s="850">
        <f t="shared" si="1313"/>
        <v>-1</v>
      </c>
      <c r="BX498" s="850">
        <f t="shared" si="1313"/>
        <v>-1</v>
      </c>
      <c r="BY498" s="850">
        <f t="shared" si="1313"/>
        <v>-1</v>
      </c>
      <c r="BZ498" s="850">
        <f t="shared" si="1313"/>
        <v>-1</v>
      </c>
      <c r="CA498" s="850">
        <f t="shared" si="1313"/>
        <v>-1</v>
      </c>
      <c r="CB498" s="850">
        <f t="shared" si="1313"/>
        <v>-1</v>
      </c>
      <c r="CC498" s="850">
        <f t="shared" si="1313"/>
        <v>-1</v>
      </c>
      <c r="CD498" s="850">
        <f t="shared" si="1313"/>
        <v>-1</v>
      </c>
      <c r="CE498" s="850">
        <f t="shared" si="1313"/>
        <v>-1</v>
      </c>
      <c r="CF498" s="850">
        <f t="shared" si="1313"/>
        <v>-1</v>
      </c>
      <c r="CG498" s="850">
        <f t="shared" si="1313"/>
        <v>-1</v>
      </c>
      <c r="CH498" s="850">
        <f t="shared" si="1313"/>
        <v>-1</v>
      </c>
      <c r="CI498" s="850">
        <f t="shared" si="1313"/>
        <v>-1</v>
      </c>
      <c r="CJ498" s="850">
        <f t="shared" si="1313"/>
        <v>-1</v>
      </c>
      <c r="CK498" s="850">
        <f t="shared" si="1313"/>
        <v>-1</v>
      </c>
      <c r="CL498" s="850">
        <f t="shared" si="1313"/>
        <v>-1</v>
      </c>
      <c r="CM498" s="850">
        <f t="shared" si="1313"/>
        <v>-1</v>
      </c>
      <c r="CN498" s="850">
        <f t="shared" si="1313"/>
        <v>-1</v>
      </c>
      <c r="CO498" s="850">
        <f t="shared" si="1313"/>
        <v>-1</v>
      </c>
      <c r="CP498" s="850">
        <f t="shared" si="1313"/>
        <v>-1</v>
      </c>
      <c r="CQ498" s="850">
        <f t="shared" si="1313"/>
        <v>-1</v>
      </c>
      <c r="CR498" s="850">
        <f t="shared" si="1313"/>
        <v>-1</v>
      </c>
      <c r="CS498" s="850">
        <f t="shared" si="1313"/>
        <v>-1</v>
      </c>
      <c r="CT498" s="850">
        <f t="shared" si="1313"/>
        <v>-1</v>
      </c>
      <c r="CU498" s="850">
        <f t="shared" si="1313"/>
        <v>-1</v>
      </c>
      <c r="CV498" s="850">
        <f t="shared" si="1313"/>
        <v>-1</v>
      </c>
      <c r="CW498" s="850">
        <f t="shared" si="1313"/>
        <v>-1</v>
      </c>
      <c r="CX498" s="850">
        <f t="shared" si="1313"/>
        <v>-1</v>
      </c>
      <c r="CY498" s="850">
        <f t="shared" si="1313"/>
        <v>-1</v>
      </c>
      <c r="CZ498" s="850">
        <f t="shared" si="1313"/>
        <v>-1</v>
      </c>
      <c r="DA498" s="850">
        <f t="shared" si="1313"/>
        <v>-1</v>
      </c>
      <c r="DB498" s="850">
        <f t="shared" si="1313"/>
        <v>-1</v>
      </c>
      <c r="DC498" s="850">
        <f t="shared" si="1313"/>
        <v>-1</v>
      </c>
      <c r="DD498" s="850">
        <f t="shared" si="1313"/>
        <v>-1</v>
      </c>
      <c r="DE498" s="850">
        <f t="shared" si="1313"/>
        <v>-1</v>
      </c>
      <c r="DF498" s="850">
        <f t="shared" si="1313"/>
        <v>-1</v>
      </c>
      <c r="DG498" s="850">
        <f>DF498</f>
        <v>-1</v>
      </c>
      <c r="DH498" s="1336">
        <f>DG498</f>
        <v>-1</v>
      </c>
      <c r="DI498" s="850">
        <f t="shared" si="1313"/>
        <v>-1</v>
      </c>
      <c r="DJ498" s="850">
        <f t="shared" si="1313"/>
        <v>-1</v>
      </c>
      <c r="DK498" s="1336">
        <f t="shared" si="1313"/>
        <v>-1</v>
      </c>
      <c r="DL498" s="850">
        <f>DK498</f>
        <v>-1</v>
      </c>
      <c r="DM498" s="850">
        <f>DL498</f>
        <v>-1</v>
      </c>
      <c r="DN498" s="1336">
        <f>DM498</f>
        <v>-1</v>
      </c>
      <c r="DO498" s="850">
        <f t="shared" ref="DO498:DT498" si="1314">DN498</f>
        <v>-1</v>
      </c>
      <c r="DP498" s="850">
        <f t="shared" si="1314"/>
        <v>-1</v>
      </c>
      <c r="DQ498" s="1336">
        <f t="shared" si="1314"/>
        <v>-1</v>
      </c>
      <c r="DR498" s="850">
        <f t="shared" si="1314"/>
        <v>-1</v>
      </c>
      <c r="DS498" s="850">
        <f t="shared" si="1314"/>
        <v>-1</v>
      </c>
      <c r="DT498" s="1336">
        <f t="shared" si="1314"/>
        <v>-1</v>
      </c>
      <c r="DU498" s="850"/>
      <c r="DV498" s="850"/>
      <c r="DW498" s="1336"/>
      <c r="DX498" s="850"/>
      <c r="DY498" s="850"/>
      <c r="DZ498" s="1336"/>
      <c r="EA498" s="850"/>
      <c r="EB498" s="850"/>
      <c r="EC498" s="1336"/>
      <c r="ED498" s="850"/>
      <c r="EE498" s="850"/>
      <c r="EF498" s="1336"/>
      <c r="EG498" s="850"/>
      <c r="EH498" s="850"/>
      <c r="EI498" s="1336"/>
      <c r="EJ498" s="850"/>
      <c r="EK498" s="850"/>
      <c r="EL498" s="1336"/>
      <c r="EM498" s="850"/>
      <c r="EN498" s="850"/>
      <c r="EO498" s="1336"/>
      <c r="EP498" s="850"/>
      <c r="EQ498" s="850"/>
      <c r="ER498" s="1336"/>
      <c r="ES498" s="850"/>
      <c r="ET498" s="850"/>
      <c r="EU498" s="1336"/>
      <c r="EV498" s="850"/>
      <c r="EW498" s="850"/>
      <c r="EX498" s="1336"/>
      <c r="EY498" s="850"/>
      <c r="EZ498" s="850"/>
      <c r="FA498" s="1336"/>
      <c r="FE498"/>
      <c r="FF498"/>
      <c r="FG498"/>
      <c r="FH498"/>
      <c r="FI498"/>
      <c r="FJ498"/>
      <c r="FK498" s="35"/>
    </row>
    <row r="499" spans="1:167" s="458" customFormat="1" ht="13.35" customHeight="1">
      <c r="A499" s="845"/>
      <c r="B499" s="827" t="s">
        <v>812</v>
      </c>
      <c r="C499" s="846"/>
      <c r="D499" s="847"/>
      <c r="E499" s="847"/>
      <c r="F499" s="847"/>
      <c r="G499" s="847"/>
      <c r="H499" s="847"/>
      <c r="I499" s="847"/>
      <c r="J499" s="847"/>
      <c r="K499" s="847"/>
      <c r="L499" s="847"/>
      <c r="M499" s="847"/>
      <c r="N499" s="847"/>
      <c r="O499" s="847"/>
      <c r="P499" s="847"/>
      <c r="Q499" s="847"/>
      <c r="R499" s="847"/>
      <c r="S499" s="847"/>
      <c r="T499" s="847"/>
      <c r="U499" s="847"/>
      <c r="V499" s="847"/>
      <c r="W499" s="847"/>
      <c r="X499" s="847"/>
      <c r="Y499" s="847"/>
      <c r="Z499" s="847"/>
      <c r="AA499" s="847"/>
      <c r="AB499" s="847"/>
      <c r="AC499" s="847"/>
      <c r="AD499" s="847"/>
      <c r="AE499" s="847"/>
      <c r="AF499" s="847"/>
      <c r="AG499" s="847"/>
      <c r="AH499" s="847"/>
      <c r="AI499" s="847"/>
      <c r="AJ499" s="847"/>
      <c r="AK499" s="847"/>
      <c r="AL499" s="847"/>
      <c r="AM499" s="847"/>
      <c r="AN499" s="847"/>
      <c r="AO499" s="847"/>
      <c r="AP499" s="847"/>
      <c r="AQ499" s="847"/>
      <c r="AR499" s="847"/>
      <c r="AS499" s="847"/>
      <c r="AT499" s="847"/>
      <c r="AU499" s="847"/>
      <c r="AV499" s="847"/>
      <c r="AW499" s="847"/>
      <c r="AX499" s="850">
        <f t="shared" ref="AX499:CC499" si="1315">AX498*AX80</f>
        <v>-6.0629999999999997</v>
      </c>
      <c r="AY499" s="850">
        <f t="shared" si="1315"/>
        <v>-5.8760000000000003</v>
      </c>
      <c r="AZ499" s="850">
        <f t="shared" si="1315"/>
        <v>-11.939</v>
      </c>
      <c r="BA499" s="850">
        <f t="shared" si="1315"/>
        <v>-7.82</v>
      </c>
      <c r="BB499" s="850">
        <f t="shared" si="1315"/>
        <v>-7.4529999999999994</v>
      </c>
      <c r="BC499" s="850">
        <f t="shared" si="1315"/>
        <v>-15.273</v>
      </c>
      <c r="BD499" s="850">
        <f t="shared" si="1315"/>
        <v>-4.9000000000000004</v>
      </c>
      <c r="BE499" s="850">
        <f t="shared" si="1315"/>
        <v>-6.02</v>
      </c>
      <c r="BF499" s="850">
        <f t="shared" si="1315"/>
        <v>-10.92</v>
      </c>
      <c r="BG499" s="850">
        <f t="shared" si="1315"/>
        <v>-8.9979999999999993</v>
      </c>
      <c r="BH499" s="850">
        <f t="shared" si="1315"/>
        <v>-12.828000000000001</v>
      </c>
      <c r="BI499" s="850">
        <f t="shared" si="1315"/>
        <v>-21.826000000000001</v>
      </c>
      <c r="BJ499" s="850">
        <f t="shared" si="1315"/>
        <v>-9.7050000000000001</v>
      </c>
      <c r="BK499" s="850">
        <f t="shared" si="1315"/>
        <v>-1.4130000000000003</v>
      </c>
      <c r="BL499" s="850">
        <f t="shared" si="1315"/>
        <v>-11.118</v>
      </c>
      <c r="BM499" s="850">
        <f t="shared" si="1315"/>
        <v>-10.994</v>
      </c>
      <c r="BN499" s="850">
        <f t="shared" si="1315"/>
        <v>-12.838999999999999</v>
      </c>
      <c r="BO499" s="850">
        <f t="shared" si="1315"/>
        <v>-23.832999999999998</v>
      </c>
      <c r="BP499" s="850">
        <f t="shared" si="1315"/>
        <v>-19.088999999999999</v>
      </c>
      <c r="BQ499" s="850">
        <f t="shared" si="1315"/>
        <v>-11.521000000000001</v>
      </c>
      <c r="BR499" s="850">
        <f t="shared" si="1315"/>
        <v>-30.61</v>
      </c>
      <c r="BS499" s="850">
        <f t="shared" si="1315"/>
        <v>-23.663</v>
      </c>
      <c r="BT499" s="850">
        <f t="shared" si="1315"/>
        <v>-22.141999999999999</v>
      </c>
      <c r="BU499" s="850">
        <f t="shared" si="1315"/>
        <v>-45.805</v>
      </c>
      <c r="BV499" s="850">
        <f t="shared" si="1315"/>
        <v>-22.555</v>
      </c>
      <c r="BW499" s="850">
        <f t="shared" si="1315"/>
        <v>-18.927999999999997</v>
      </c>
      <c r="BX499" s="850">
        <f t="shared" si="1315"/>
        <v>-41.482999999999997</v>
      </c>
      <c r="BY499" s="850">
        <f t="shared" si="1315"/>
        <v>-26.015000000000001</v>
      </c>
      <c r="BZ499" s="850">
        <f t="shared" si="1315"/>
        <v>-19.713000000000001</v>
      </c>
      <c r="CA499" s="850">
        <f t="shared" si="1315"/>
        <v>-45.728000000000002</v>
      </c>
      <c r="CB499" s="850">
        <f t="shared" si="1315"/>
        <v>-26.768999999999998</v>
      </c>
      <c r="CC499" s="850">
        <f t="shared" si="1315"/>
        <v>-27.43</v>
      </c>
      <c r="CD499" s="850">
        <f t="shared" ref="CD499:DI499" si="1316">CD498*CD80</f>
        <v>-54.198999999999998</v>
      </c>
      <c r="CE499" s="850">
        <f t="shared" si="1316"/>
        <v>-27.596</v>
      </c>
      <c r="CF499" s="850">
        <f t="shared" si="1316"/>
        <v>-27.427000000000003</v>
      </c>
      <c r="CG499" s="850">
        <f t="shared" si="1316"/>
        <v>-55.023000000000003</v>
      </c>
      <c r="CH499" s="850">
        <f t="shared" si="1316"/>
        <v>-26.143999999999998</v>
      </c>
      <c r="CI499" s="850">
        <f t="shared" si="1316"/>
        <v>-26.745000000000005</v>
      </c>
      <c r="CJ499" s="850">
        <f t="shared" si="1316"/>
        <v>-52.889000000000003</v>
      </c>
      <c r="CK499" s="850">
        <f t="shared" si="1316"/>
        <v>-27.806000000000001</v>
      </c>
      <c r="CL499" s="850">
        <f t="shared" si="1316"/>
        <v>-12.267999999999997</v>
      </c>
      <c r="CM499" s="850">
        <f t="shared" si="1316"/>
        <v>-40.073999999999998</v>
      </c>
      <c r="CN499" s="850">
        <f t="shared" si="1316"/>
        <v>-8.0450000000000017</v>
      </c>
      <c r="CO499" s="850">
        <f t="shared" si="1316"/>
        <v>-22.123999999999999</v>
      </c>
      <c r="CP499" s="850">
        <f t="shared" si="1316"/>
        <v>-30.169</v>
      </c>
      <c r="CQ499" s="850">
        <f t="shared" si="1316"/>
        <v>-23.631</v>
      </c>
      <c r="CR499" s="850">
        <f t="shared" si="1316"/>
        <v>-26.832000000000001</v>
      </c>
      <c r="CS499" s="850">
        <f t="shared" si="1316"/>
        <v>-50.463000000000001</v>
      </c>
      <c r="CT499" s="850">
        <f t="shared" si="1316"/>
        <v>-32.25</v>
      </c>
      <c r="CU499" s="850">
        <f t="shared" si="1316"/>
        <v>-33.094999999999999</v>
      </c>
      <c r="CV499" s="850">
        <f t="shared" si="1316"/>
        <v>-65.344999999999999</v>
      </c>
      <c r="CW499" s="850">
        <f t="shared" si="1316"/>
        <v>-41.61056</v>
      </c>
      <c r="CX499" s="850">
        <f t="shared" si="1316"/>
        <v>-43.598440000000004</v>
      </c>
      <c r="CY499" s="850">
        <f t="shared" si="1316"/>
        <v>-85.209000000000003</v>
      </c>
      <c r="CZ499" s="850">
        <f t="shared" si="1316"/>
        <v>-45.800000000000018</v>
      </c>
      <c r="DA499" s="850">
        <f t="shared" si="1316"/>
        <v>-48.899999999999984</v>
      </c>
      <c r="DB499" s="850">
        <f t="shared" si="1316"/>
        <v>-94.7</v>
      </c>
      <c r="DC499" s="850">
        <f t="shared" si="1316"/>
        <v>-45.7</v>
      </c>
      <c r="DD499" s="850">
        <f t="shared" si="1316"/>
        <v>-43.200000000000031</v>
      </c>
      <c r="DE499" s="850">
        <f t="shared" si="1316"/>
        <v>-88.900000000000034</v>
      </c>
      <c r="DF499" s="850">
        <f t="shared" si="1316"/>
        <v>-46.20000000000001</v>
      </c>
      <c r="DG499" s="850">
        <f t="shared" si="1316"/>
        <v>2.0000000000000213</v>
      </c>
      <c r="DH499" s="1336">
        <f t="shared" si="1316"/>
        <v>-44.199999999999989</v>
      </c>
      <c r="DI499" s="850">
        <f t="shared" si="1316"/>
        <v>-45.81</v>
      </c>
      <c r="DJ499" s="850">
        <f>DJ498*DJ80</f>
        <v>-39.260000000000005</v>
      </c>
      <c r="DK499" s="1336">
        <f>DK498*DK80</f>
        <v>-85.070000000000007</v>
      </c>
      <c r="DL499" s="850">
        <f>DL498*DL80</f>
        <v>-58.160000000000004</v>
      </c>
      <c r="DM499" s="850">
        <f>DM498*DM80</f>
        <v>-47.82</v>
      </c>
      <c r="DN499" s="1336">
        <f>DN498*DN80</f>
        <v>-105.98</v>
      </c>
      <c r="DO499" s="850">
        <f t="shared" ref="DO499:DT499" si="1317">DO498*DO80</f>
        <v>-51.26</v>
      </c>
      <c r="DP499" s="850">
        <f t="shared" si="1317"/>
        <v>-58.29</v>
      </c>
      <c r="DQ499" s="1336">
        <f t="shared" si="1317"/>
        <v>-109.55</v>
      </c>
      <c r="DR499" s="850">
        <f t="shared" si="1317"/>
        <v>-73.669999999999987</v>
      </c>
      <c r="DS499" s="850">
        <f t="shared" si="1317"/>
        <v>-63.420000000000009</v>
      </c>
      <c r="DT499" s="1336">
        <f t="shared" si="1317"/>
        <v>-137.09</v>
      </c>
      <c r="DU499" s="850"/>
      <c r="DV499" s="850"/>
      <c r="DW499" s="1336"/>
      <c r="DX499" s="850"/>
      <c r="DY499" s="850"/>
      <c r="DZ499" s="1336"/>
      <c r="EA499" s="850"/>
      <c r="EB499" s="850"/>
      <c r="EC499" s="1336"/>
      <c r="ED499" s="850"/>
      <c r="EE499" s="850"/>
      <c r="EF499" s="1336"/>
      <c r="EG499" s="850"/>
      <c r="EH499" s="850"/>
      <c r="EI499" s="1336"/>
      <c r="EJ499" s="850"/>
      <c r="EK499" s="850"/>
      <c r="EL499" s="1336"/>
      <c r="EM499" s="850"/>
      <c r="EN499" s="850"/>
      <c r="EO499" s="1336"/>
      <c r="EP499" s="850"/>
      <c r="EQ499" s="850"/>
      <c r="ER499" s="1336"/>
      <c r="ES499" s="850"/>
      <c r="ET499" s="850"/>
      <c r="EU499" s="1336"/>
      <c r="EV499" s="850"/>
      <c r="EW499" s="850"/>
      <c r="EX499" s="1336"/>
      <c r="EY499" s="850"/>
      <c r="EZ499" s="850"/>
      <c r="FA499" s="1336"/>
      <c r="FE499"/>
      <c r="FF499"/>
      <c r="FG499"/>
      <c r="FH499"/>
      <c r="FI499"/>
      <c r="FJ499"/>
      <c r="FK499" s="35"/>
    </row>
    <row r="500" spans="1:167" s="458" customFormat="1" ht="13.35" customHeight="1">
      <c r="A500" s="845"/>
      <c r="B500" s="827" t="s">
        <v>813</v>
      </c>
      <c r="C500" s="846"/>
      <c r="D500" s="847"/>
      <c r="E500" s="847"/>
      <c r="F500" s="847"/>
      <c r="G500" s="847"/>
      <c r="H500" s="847"/>
      <c r="I500" s="847"/>
      <c r="J500" s="847"/>
      <c r="K500" s="847"/>
      <c r="L500" s="847"/>
      <c r="M500" s="847"/>
      <c r="N500" s="847"/>
      <c r="O500" s="847"/>
      <c r="P500" s="847"/>
      <c r="Q500" s="847"/>
      <c r="R500" s="847"/>
      <c r="S500" s="847"/>
      <c r="T500" s="847"/>
      <c r="U500" s="847"/>
      <c r="V500" s="847"/>
      <c r="W500" s="847"/>
      <c r="X500" s="847"/>
      <c r="Y500" s="847"/>
      <c r="Z500" s="847"/>
      <c r="AA500" s="847"/>
      <c r="AB500" s="847"/>
      <c r="AC500" s="847"/>
      <c r="AD500" s="847"/>
      <c r="AE500" s="847"/>
      <c r="AF500" s="847"/>
      <c r="AG500" s="847"/>
      <c r="AH500" s="847"/>
      <c r="AI500" s="847"/>
      <c r="AJ500" s="847"/>
      <c r="AK500" s="847"/>
      <c r="AL500" s="847"/>
      <c r="AM500" s="847"/>
      <c r="AN500" s="847"/>
      <c r="AO500" s="847"/>
      <c r="AP500" s="847"/>
      <c r="AQ500" s="847"/>
      <c r="AR500" s="847"/>
      <c r="AS500" s="847"/>
      <c r="AT500" s="847"/>
      <c r="AU500" s="847"/>
      <c r="AV500" s="847"/>
      <c r="AW500" s="847"/>
      <c r="AX500" s="850">
        <f t="shared" ref="AX500:CC500" si="1318">AX498*AX82</f>
        <v>0</v>
      </c>
      <c r="AY500" s="850">
        <f t="shared" si="1318"/>
        <v>0</v>
      </c>
      <c r="AZ500" s="850">
        <f t="shared" si="1318"/>
        <v>0</v>
      </c>
      <c r="BA500" s="850">
        <f t="shared" si="1318"/>
        <v>0</v>
      </c>
      <c r="BB500" s="850">
        <f t="shared" si="1318"/>
        <v>0</v>
      </c>
      <c r="BC500" s="850">
        <f t="shared" si="1318"/>
        <v>0</v>
      </c>
      <c r="BD500" s="850">
        <f t="shared" si="1318"/>
        <v>0</v>
      </c>
      <c r="BE500" s="850">
        <f t="shared" si="1318"/>
        <v>0</v>
      </c>
      <c r="BF500" s="850">
        <f t="shared" si="1318"/>
        <v>0</v>
      </c>
      <c r="BG500" s="850">
        <f t="shared" si="1318"/>
        <v>0</v>
      </c>
      <c r="BH500" s="850">
        <f t="shared" si="1318"/>
        <v>0</v>
      </c>
      <c r="BI500" s="850">
        <f t="shared" si="1318"/>
        <v>0</v>
      </c>
      <c r="BJ500" s="850">
        <f t="shared" si="1318"/>
        <v>0.23400000000000001</v>
      </c>
      <c r="BK500" s="850">
        <f t="shared" si="1318"/>
        <v>0.39300000000000002</v>
      </c>
      <c r="BL500" s="850">
        <f t="shared" si="1318"/>
        <v>0.627</v>
      </c>
      <c r="BM500" s="850">
        <f t="shared" si="1318"/>
        <v>0.44900000000000001</v>
      </c>
      <c r="BN500" s="850">
        <f t="shared" si="1318"/>
        <v>-0.44900000000000001</v>
      </c>
      <c r="BO500" s="850">
        <f t="shared" si="1318"/>
        <v>0</v>
      </c>
      <c r="BP500" s="850">
        <f t="shared" si="1318"/>
        <v>0</v>
      </c>
      <c r="BQ500" s="850">
        <f t="shared" si="1318"/>
        <v>1.8069999999999999</v>
      </c>
      <c r="BR500" s="850">
        <f t="shared" si="1318"/>
        <v>1.8069999999999999</v>
      </c>
      <c r="BS500" s="850">
        <f t="shared" si="1318"/>
        <v>1.5169999999999999</v>
      </c>
      <c r="BT500" s="850">
        <f t="shared" si="1318"/>
        <v>0.93800000000000017</v>
      </c>
      <c r="BU500" s="850">
        <f t="shared" si="1318"/>
        <v>2.4550000000000001</v>
      </c>
      <c r="BV500" s="850">
        <f t="shared" si="1318"/>
        <v>0</v>
      </c>
      <c r="BW500" s="850">
        <f t="shared" si="1318"/>
        <v>0</v>
      </c>
      <c r="BX500" s="850">
        <f t="shared" si="1318"/>
        <v>0</v>
      </c>
      <c r="BY500" s="850">
        <f t="shared" si="1318"/>
        <v>0</v>
      </c>
      <c r="BZ500" s="850">
        <f t="shared" si="1318"/>
        <v>0</v>
      </c>
      <c r="CA500" s="850">
        <f t="shared" si="1318"/>
        <v>0</v>
      </c>
      <c r="CB500" s="850">
        <f t="shared" si="1318"/>
        <v>0</v>
      </c>
      <c r="CC500" s="850">
        <f t="shared" si="1318"/>
        <v>0</v>
      </c>
      <c r="CD500" s="850">
        <f t="shared" ref="CD500:DN500" si="1319">CD498*CD82</f>
        <v>0</v>
      </c>
      <c r="CE500" s="850">
        <f t="shared" si="1319"/>
        <v>0</v>
      </c>
      <c r="CF500" s="850">
        <f t="shared" si="1319"/>
        <v>0</v>
      </c>
      <c r="CG500" s="850">
        <f t="shared" si="1319"/>
        <v>0</v>
      </c>
      <c r="CH500" s="850">
        <f t="shared" si="1319"/>
        <v>0</v>
      </c>
      <c r="CI500" s="850">
        <f t="shared" si="1319"/>
        <v>0</v>
      </c>
      <c r="CJ500" s="850">
        <f t="shared" si="1319"/>
        <v>0</v>
      </c>
      <c r="CK500" s="850">
        <f t="shared" si="1319"/>
        <v>0</v>
      </c>
      <c r="CL500" s="850">
        <f t="shared" si="1319"/>
        <v>0</v>
      </c>
      <c r="CM500" s="850">
        <f t="shared" si="1319"/>
        <v>0</v>
      </c>
      <c r="CN500" s="850">
        <f t="shared" si="1319"/>
        <v>0</v>
      </c>
      <c r="CO500" s="850">
        <f t="shared" si="1319"/>
        <v>0</v>
      </c>
      <c r="CP500" s="850">
        <f t="shared" si="1319"/>
        <v>0</v>
      </c>
      <c r="CQ500" s="850">
        <f t="shared" si="1319"/>
        <v>0</v>
      </c>
      <c r="CR500" s="850">
        <f t="shared" si="1319"/>
        <v>0</v>
      </c>
      <c r="CS500" s="850">
        <f t="shared" si="1319"/>
        <v>0</v>
      </c>
      <c r="CT500" s="850">
        <f t="shared" si="1319"/>
        <v>0</v>
      </c>
      <c r="CU500" s="850">
        <f t="shared" si="1319"/>
        <v>0</v>
      </c>
      <c r="CV500" s="850">
        <f t="shared" si="1319"/>
        <v>0</v>
      </c>
      <c r="CW500" s="850">
        <f t="shared" si="1319"/>
        <v>0</v>
      </c>
      <c r="CX500" s="850">
        <f t="shared" si="1319"/>
        <v>0</v>
      </c>
      <c r="CY500" s="850">
        <f t="shared" si="1319"/>
        <v>0</v>
      </c>
      <c r="CZ500" s="850">
        <f t="shared" si="1319"/>
        <v>0</v>
      </c>
      <c r="DA500" s="850">
        <f t="shared" si="1319"/>
        <v>0</v>
      </c>
      <c r="DB500" s="850">
        <f t="shared" si="1319"/>
        <v>0</v>
      </c>
      <c r="DC500" s="850">
        <f t="shared" si="1319"/>
        <v>0</v>
      </c>
      <c r="DD500" s="850">
        <f t="shared" si="1319"/>
        <v>0</v>
      </c>
      <c r="DE500" s="850">
        <f t="shared" si="1319"/>
        <v>0</v>
      </c>
      <c r="DF500" s="850">
        <f t="shared" si="1319"/>
        <v>0</v>
      </c>
      <c r="DG500" s="850">
        <f t="shared" si="1319"/>
        <v>0</v>
      </c>
      <c r="DH500" s="1336">
        <f t="shared" si="1319"/>
        <v>0</v>
      </c>
      <c r="DI500" s="850">
        <f t="shared" si="1319"/>
        <v>0</v>
      </c>
      <c r="DJ500" s="850">
        <f t="shared" si="1319"/>
        <v>0</v>
      </c>
      <c r="DK500" s="1336">
        <f t="shared" si="1319"/>
        <v>0</v>
      </c>
      <c r="DL500" s="850">
        <f t="shared" si="1319"/>
        <v>0</v>
      </c>
      <c r="DM500" s="850">
        <f t="shared" si="1319"/>
        <v>0</v>
      </c>
      <c r="DN500" s="1336">
        <f t="shared" si="1319"/>
        <v>0</v>
      </c>
      <c r="DO500" s="850">
        <f t="shared" ref="DO500:DT500" si="1320">DO498*DO82</f>
        <v>0</v>
      </c>
      <c r="DP500" s="850">
        <f t="shared" si="1320"/>
        <v>0</v>
      </c>
      <c r="DQ500" s="1336">
        <f t="shared" si="1320"/>
        <v>0</v>
      </c>
      <c r="DR500" s="850">
        <f t="shared" si="1320"/>
        <v>0</v>
      </c>
      <c r="DS500" s="850">
        <f t="shared" si="1320"/>
        <v>0</v>
      </c>
      <c r="DT500" s="1336">
        <f t="shared" si="1320"/>
        <v>0</v>
      </c>
      <c r="DU500" s="850"/>
      <c r="DV500" s="850"/>
      <c r="DW500" s="1336"/>
      <c r="DX500" s="850"/>
      <c r="DY500" s="850"/>
      <c r="DZ500" s="1336"/>
      <c r="EA500" s="850"/>
      <c r="EB500" s="850"/>
      <c r="EC500" s="1336"/>
      <c r="ED500" s="850"/>
      <c r="EE500" s="850"/>
      <c r="EF500" s="1336"/>
      <c r="EG500" s="850"/>
      <c r="EH500" s="850"/>
      <c r="EI500" s="1336"/>
      <c r="EJ500" s="850"/>
      <c r="EK500" s="850"/>
      <c r="EL500" s="1336"/>
      <c r="EM500" s="850"/>
      <c r="EN500" s="850"/>
      <c r="EO500" s="1336"/>
      <c r="EP500" s="850"/>
      <c r="EQ500" s="850"/>
      <c r="ER500" s="1336"/>
      <c r="ES500" s="850"/>
      <c r="ET500" s="850"/>
      <c r="EU500" s="1336"/>
      <c r="EV500" s="850"/>
      <c r="EW500" s="850"/>
      <c r="EX500" s="1336"/>
      <c r="EY500" s="850"/>
      <c r="EZ500" s="850"/>
      <c r="FA500" s="1336"/>
      <c r="FE500"/>
      <c r="FF500"/>
      <c r="FG500"/>
      <c r="FH500"/>
      <c r="FI500"/>
      <c r="FJ500"/>
      <c r="FK500" s="35"/>
    </row>
    <row r="501" spans="1:167" s="458" customFormat="1" ht="13.35" customHeight="1">
      <c r="A501" s="845"/>
      <c r="B501" s="827"/>
      <c r="C501" s="846"/>
      <c r="D501" s="847"/>
      <c r="E501" s="847"/>
      <c r="F501" s="847"/>
      <c r="G501" s="847"/>
      <c r="H501" s="847"/>
      <c r="I501" s="847"/>
      <c r="J501" s="847"/>
      <c r="K501" s="847"/>
      <c r="L501" s="847"/>
      <c r="M501" s="847"/>
      <c r="N501" s="847"/>
      <c r="O501" s="847"/>
      <c r="P501" s="847"/>
      <c r="Q501" s="847"/>
      <c r="R501" s="847"/>
      <c r="S501" s="847"/>
      <c r="T501" s="847"/>
      <c r="U501" s="847"/>
      <c r="V501" s="847"/>
      <c r="W501" s="847"/>
      <c r="X501" s="847"/>
      <c r="Y501" s="847"/>
      <c r="Z501" s="847"/>
      <c r="AA501" s="847"/>
      <c r="AB501" s="847"/>
      <c r="AC501" s="847"/>
      <c r="AD501" s="847"/>
      <c r="AE501" s="847"/>
      <c r="AF501" s="847"/>
      <c r="AG501" s="847"/>
      <c r="AH501" s="847"/>
      <c r="AI501" s="847"/>
      <c r="AJ501" s="847"/>
      <c r="AK501" s="847"/>
      <c r="AL501" s="847"/>
      <c r="AM501" s="847"/>
      <c r="AN501" s="847"/>
      <c r="AO501" s="847"/>
      <c r="AP501" s="847"/>
      <c r="AQ501" s="847"/>
      <c r="AR501" s="847"/>
      <c r="AS501" s="847"/>
      <c r="AT501" s="847"/>
      <c r="AU501" s="847"/>
      <c r="AV501" s="847"/>
      <c r="AW501" s="847"/>
      <c r="AX501" s="852"/>
      <c r="AY501" s="850"/>
      <c r="AZ501" s="850"/>
      <c r="BA501" s="850"/>
      <c r="BB501" s="850"/>
      <c r="BC501" s="850"/>
      <c r="BD501" s="850"/>
      <c r="BE501" s="850"/>
      <c r="BF501" s="850"/>
      <c r="BG501" s="850"/>
      <c r="BH501" s="850"/>
      <c r="BI501" s="850"/>
      <c r="BJ501" s="850"/>
      <c r="BK501" s="850"/>
      <c r="BL501" s="850"/>
      <c r="BM501" s="850"/>
      <c r="BN501" s="850"/>
      <c r="BO501" s="850"/>
      <c r="BP501" s="850"/>
      <c r="BQ501" s="850"/>
      <c r="BR501" s="850"/>
      <c r="BS501" s="850"/>
      <c r="BT501" s="850"/>
      <c r="BU501" s="850"/>
      <c r="BV501" s="850"/>
      <c r="BW501" s="850"/>
      <c r="BX501" s="850"/>
      <c r="BY501" s="850"/>
      <c r="BZ501" s="850"/>
      <c r="CA501" s="850"/>
      <c r="CB501" s="850"/>
      <c r="CC501" s="850"/>
      <c r="CD501" s="850"/>
      <c r="CE501" s="850"/>
      <c r="CF501" s="850"/>
      <c r="CG501" s="850"/>
      <c r="CH501" s="850"/>
      <c r="CI501" s="850"/>
      <c r="CJ501" s="850"/>
      <c r="CK501" s="850"/>
      <c r="CL501" s="850"/>
      <c r="CM501" s="850"/>
      <c r="CN501" s="850"/>
      <c r="CO501" s="850"/>
      <c r="CP501" s="850"/>
      <c r="CQ501" s="850"/>
      <c r="CR501" s="850"/>
      <c r="CS501" s="850"/>
      <c r="CT501" s="850"/>
      <c r="CU501" s="850"/>
      <c r="CV501" s="850"/>
      <c r="CW501" s="850"/>
      <c r="CX501" s="850"/>
      <c r="CY501" s="850"/>
      <c r="CZ501" s="850"/>
      <c r="DA501" s="850"/>
      <c r="DB501" s="850"/>
      <c r="DC501" s="850"/>
      <c r="DD501" s="850"/>
      <c r="DE501" s="850"/>
      <c r="DF501" s="850"/>
      <c r="DG501" s="850"/>
      <c r="DH501" s="1336"/>
      <c r="DI501" s="850"/>
      <c r="DJ501" s="850"/>
      <c r="DK501" s="1336"/>
      <c r="DL501" s="850"/>
      <c r="DM501" s="850"/>
      <c r="DN501" s="1336"/>
      <c r="DO501" s="850"/>
      <c r="DP501" s="850"/>
      <c r="DQ501" s="1336"/>
      <c r="DR501" s="850"/>
      <c r="DS501" s="850"/>
      <c r="DT501" s="1336"/>
      <c r="DU501" s="850"/>
      <c r="DV501" s="850"/>
      <c r="DW501" s="1336"/>
      <c r="DX501" s="850"/>
      <c r="DY501" s="850"/>
      <c r="DZ501" s="1336"/>
      <c r="EA501" s="850"/>
      <c r="EB501" s="850"/>
      <c r="EC501" s="1336"/>
      <c r="ED501" s="850"/>
      <c r="EE501" s="850"/>
      <c r="EF501" s="1336"/>
      <c r="EG501" s="850"/>
      <c r="EH501" s="850"/>
      <c r="EI501" s="1336"/>
      <c r="EJ501" s="850"/>
      <c r="EK501" s="850"/>
      <c r="EL501" s="1336"/>
      <c r="EM501" s="850"/>
      <c r="EN501" s="850"/>
      <c r="EO501" s="1336"/>
      <c r="EP501" s="850"/>
      <c r="EQ501" s="850"/>
      <c r="ER501" s="1336"/>
      <c r="ES501" s="850"/>
      <c r="ET501" s="850"/>
      <c r="EU501" s="1336"/>
      <c r="EV501" s="850"/>
      <c r="EW501" s="850"/>
      <c r="EX501" s="1336"/>
      <c r="EY501" s="850"/>
      <c r="EZ501" s="850"/>
      <c r="FA501" s="1336"/>
      <c r="FE501"/>
      <c r="FF501"/>
      <c r="FG501"/>
      <c r="FH501"/>
      <c r="FI501"/>
      <c r="FJ501"/>
      <c r="FK501" s="35"/>
    </row>
    <row r="502" spans="1:167" s="236" customFormat="1" ht="13.35" customHeight="1">
      <c r="A502" s="289" t="s">
        <v>71</v>
      </c>
      <c r="B502" s="242"/>
      <c r="C502" s="308"/>
      <c r="D502" s="35"/>
      <c r="E502" s="828"/>
      <c r="F502" s="828"/>
      <c r="G502" s="35"/>
      <c r="H502" s="828"/>
      <c r="I502" s="828"/>
      <c r="J502" s="35"/>
      <c r="K502" s="828"/>
      <c r="L502" s="828"/>
      <c r="M502" s="35"/>
      <c r="N502" s="828"/>
      <c r="O502" s="828"/>
      <c r="P502" s="828"/>
      <c r="Q502" s="828"/>
      <c r="R502" s="828"/>
      <c r="S502" s="35"/>
      <c r="T502" s="828"/>
      <c r="U502" s="828"/>
      <c r="V502" s="35"/>
      <c r="W502" s="828"/>
      <c r="X502" s="828"/>
      <c r="Y502" s="35"/>
      <c r="Z502" s="828"/>
      <c r="AA502" s="828"/>
      <c r="AB502" s="35"/>
      <c r="AC502" s="828"/>
      <c r="AD502" s="828"/>
      <c r="AE502" s="35"/>
      <c r="AF502" s="828"/>
      <c r="AG502" s="828"/>
      <c r="AH502" s="35"/>
      <c r="AI502" s="828"/>
      <c r="AJ502" s="828"/>
      <c r="AK502" s="35"/>
      <c r="AL502" s="828"/>
      <c r="AM502" s="828"/>
      <c r="AN502" s="35"/>
      <c r="AO502" s="828"/>
      <c r="AP502" s="828"/>
      <c r="AQ502" s="35"/>
      <c r="AR502" s="828"/>
      <c r="AS502" s="828"/>
      <c r="AT502" s="35"/>
      <c r="AU502" s="828"/>
      <c r="AV502" s="828"/>
      <c r="AW502" s="35"/>
      <c r="AX502" s="74"/>
      <c r="AY502" s="74"/>
      <c r="AZ502" s="74"/>
      <c r="BA502" s="74"/>
      <c r="BB502" s="74"/>
      <c r="BC502" s="74"/>
      <c r="BD502" s="74"/>
      <c r="BE502" s="74"/>
      <c r="BF502" s="74"/>
      <c r="BG502" s="74"/>
      <c r="BH502" s="74"/>
      <c r="BI502" s="74"/>
      <c r="BJ502" s="74"/>
      <c r="BK502" s="74"/>
      <c r="BL502" s="74"/>
      <c r="BM502" s="74"/>
      <c r="BN502" s="74"/>
      <c r="BO502" s="74"/>
      <c r="BP502" s="74"/>
      <c r="BQ502" s="74"/>
      <c r="BR502" s="74"/>
      <c r="BS502" s="74"/>
      <c r="BT502" s="74"/>
      <c r="BU502" s="74"/>
      <c r="BV502" s="74"/>
      <c r="BW502" s="74"/>
      <c r="BX502" s="74"/>
      <c r="BY502" s="74"/>
      <c r="BZ502" s="74"/>
      <c r="CA502" s="74"/>
      <c r="CB502" s="74"/>
      <c r="CC502" s="74"/>
      <c r="CD502" s="74"/>
      <c r="CE502" s="74"/>
      <c r="CF502" s="74"/>
      <c r="CG502" s="74"/>
      <c r="CH502" s="74"/>
      <c r="CI502" s="74"/>
      <c r="CJ502" s="74"/>
      <c r="CK502" s="74"/>
      <c r="CL502" s="74"/>
      <c r="CM502" s="74"/>
      <c r="CN502" s="74"/>
      <c r="CO502" s="74"/>
      <c r="CP502" s="74"/>
      <c r="CQ502" s="74"/>
      <c r="CR502" s="74"/>
      <c r="CS502" s="74"/>
      <c r="CT502" s="74"/>
      <c r="CU502" s="74"/>
      <c r="CV502" s="74"/>
      <c r="CW502" s="74"/>
      <c r="CX502" s="74"/>
      <c r="CY502" s="74"/>
      <c r="CZ502" s="74"/>
      <c r="DA502" s="74"/>
      <c r="DB502" s="74"/>
      <c r="DC502" s="74"/>
      <c r="DD502" s="74"/>
      <c r="DE502" s="74"/>
      <c r="DF502" s="74"/>
      <c r="DG502" s="74"/>
      <c r="DH502" s="1071"/>
      <c r="DI502" s="74"/>
      <c r="DJ502" s="74"/>
      <c r="DK502" s="1071"/>
      <c r="DL502" s="74"/>
      <c r="DM502" s="74"/>
      <c r="DN502" s="1071"/>
      <c r="DO502" s="74"/>
      <c r="DP502" s="74"/>
      <c r="DQ502" s="1071"/>
      <c r="DR502" s="74"/>
      <c r="DS502" s="74"/>
      <c r="DT502" s="1071"/>
      <c r="DU502" s="74"/>
      <c r="DV502" s="74"/>
      <c r="DW502" s="1071"/>
      <c r="DX502" s="74"/>
      <c r="DY502" s="74"/>
      <c r="DZ502" s="1071"/>
      <c r="EA502" s="74"/>
      <c r="EB502" s="74"/>
      <c r="EC502" s="1071"/>
      <c r="ED502" s="74"/>
      <c r="EE502" s="74"/>
      <c r="EF502" s="1071"/>
      <c r="EG502" s="74"/>
      <c r="EH502" s="74"/>
      <c r="EI502" s="1071"/>
      <c r="EJ502" s="74"/>
      <c r="EK502" s="74"/>
      <c r="EL502" s="1071"/>
      <c r="EM502" s="74"/>
      <c r="EN502" s="74"/>
      <c r="EO502" s="1071"/>
      <c r="EP502" s="74"/>
      <c r="EQ502" s="74"/>
      <c r="ER502" s="1071"/>
      <c r="ES502" s="74"/>
      <c r="ET502" s="74"/>
      <c r="EU502" s="1071"/>
      <c r="EV502" s="74"/>
      <c r="EW502" s="74"/>
      <c r="EX502" s="1071"/>
      <c r="EY502" s="74"/>
      <c r="EZ502" s="74"/>
      <c r="FA502" s="1071"/>
      <c r="FE502"/>
      <c r="FF502"/>
      <c r="FG502"/>
      <c r="FH502"/>
      <c r="FI502"/>
      <c r="FJ502"/>
      <c r="FK502" s="35"/>
    </row>
    <row r="503" spans="1:167" s="236" customFormat="1" ht="13.35" customHeight="1">
      <c r="A503" s="289"/>
      <c r="B503" s="242" t="s">
        <v>462</v>
      </c>
      <c r="C503" s="308"/>
      <c r="D503" s="35"/>
      <c r="E503" s="828"/>
      <c r="F503" s="828"/>
      <c r="G503" s="35"/>
      <c r="H503" s="828"/>
      <c r="I503" s="828"/>
      <c r="J503" s="35"/>
      <c r="K503" s="828"/>
      <c r="L503" s="828"/>
      <c r="M503" s="35"/>
      <c r="N503" s="828"/>
      <c r="O503" s="828"/>
      <c r="P503" s="828"/>
      <c r="Q503" s="828"/>
      <c r="R503" s="828"/>
      <c r="S503" s="35"/>
      <c r="T503" s="828"/>
      <c r="U503" s="828"/>
      <c r="V503" s="35"/>
      <c r="W503" s="828"/>
      <c r="X503" s="828"/>
      <c r="Y503" s="35"/>
      <c r="Z503" s="828"/>
      <c r="AA503" s="828"/>
      <c r="AB503" s="35"/>
      <c r="AC503" s="828"/>
      <c r="AD503" s="828"/>
      <c r="AE503" s="35"/>
      <c r="AF503" s="828"/>
      <c r="AG503" s="828"/>
      <c r="AH503" s="35"/>
      <c r="AI503" s="828"/>
      <c r="AJ503" s="828"/>
      <c r="AK503" s="35"/>
      <c r="AL503" s="828"/>
      <c r="AM503" s="828"/>
      <c r="AN503" s="35"/>
      <c r="AO503" s="828"/>
      <c r="AP503" s="828"/>
      <c r="AQ503" s="35"/>
      <c r="AR503" s="828"/>
      <c r="AS503" s="828"/>
      <c r="AT503" s="35"/>
      <c r="AU503" s="828"/>
      <c r="AV503" s="828"/>
      <c r="AW503" s="35"/>
      <c r="AX503" s="70">
        <f t="shared" ref="AX503:CE503" si="1321">AX180</f>
        <v>16.815000000000001</v>
      </c>
      <c r="AY503" s="70">
        <f t="shared" si="1321"/>
        <v>20.596999999999998</v>
      </c>
      <c r="AZ503" s="70">
        <f t="shared" si="1321"/>
        <v>37.411999999999999</v>
      </c>
      <c r="BA503" s="70">
        <f t="shared" si="1321"/>
        <v>24.745000000000001</v>
      </c>
      <c r="BB503" s="70">
        <f t="shared" si="1321"/>
        <v>24.280999999999995</v>
      </c>
      <c r="BC503" s="70">
        <f t="shared" si="1321"/>
        <v>49.025999999999996</v>
      </c>
      <c r="BD503" s="70">
        <f t="shared" si="1321"/>
        <v>28.323499999999999</v>
      </c>
      <c r="BE503" s="70">
        <f t="shared" si="1321"/>
        <v>31.413500000000003</v>
      </c>
      <c r="BF503" s="70">
        <f t="shared" si="1321"/>
        <v>59.737000000000002</v>
      </c>
      <c r="BG503" s="70">
        <f t="shared" si="1321"/>
        <v>39.985999999999997</v>
      </c>
      <c r="BH503" s="70">
        <f t="shared" si="1321"/>
        <v>47.902999999999999</v>
      </c>
      <c r="BI503" s="70">
        <f t="shared" si="1321"/>
        <v>87.888999999999996</v>
      </c>
      <c r="BJ503" s="70">
        <f t="shared" si="1321"/>
        <v>39.235999999999997</v>
      </c>
      <c r="BK503" s="70">
        <f t="shared" si="1321"/>
        <v>15.677000000000007</v>
      </c>
      <c r="BL503" s="70">
        <f t="shared" si="1321"/>
        <v>54.913000000000004</v>
      </c>
      <c r="BM503" s="70">
        <f t="shared" si="1321"/>
        <v>45.393799999999999</v>
      </c>
      <c r="BN503" s="70">
        <f t="shared" si="1321"/>
        <v>47.4512</v>
      </c>
      <c r="BO503" s="70">
        <f t="shared" si="1321"/>
        <v>92.844999999999999</v>
      </c>
      <c r="BP503" s="70">
        <f t="shared" si="1321"/>
        <v>67.0608</v>
      </c>
      <c r="BQ503" s="70">
        <f t="shared" si="1321"/>
        <v>57.511200000000002</v>
      </c>
      <c r="BR503" s="70">
        <f t="shared" si="1321"/>
        <v>124.572</v>
      </c>
      <c r="BS503" s="70">
        <f t="shared" si="1321"/>
        <v>81.188280000000006</v>
      </c>
      <c r="BT503" s="70">
        <f t="shared" si="1321"/>
        <v>89.71172</v>
      </c>
      <c r="BU503" s="70">
        <f t="shared" si="1321"/>
        <v>170.9</v>
      </c>
      <c r="BV503" s="70">
        <f t="shared" si="1321"/>
        <v>90.462440000000001</v>
      </c>
      <c r="BW503" s="70">
        <f t="shared" si="1321"/>
        <v>98.198560000000001</v>
      </c>
      <c r="BX503" s="70">
        <f t="shared" si="1321"/>
        <v>188.661</v>
      </c>
      <c r="BY503" s="70">
        <f t="shared" si="1321"/>
        <v>95.429000000000002</v>
      </c>
      <c r="BZ503" s="70">
        <f t="shared" si="1321"/>
        <v>101.46000000000001</v>
      </c>
      <c r="CA503" s="70">
        <f t="shared" si="1321"/>
        <v>196.88900000000001</v>
      </c>
      <c r="CB503" s="70">
        <f t="shared" si="1321"/>
        <v>111.5544</v>
      </c>
      <c r="CC503" s="70">
        <f t="shared" si="1321"/>
        <v>130.88560000000001</v>
      </c>
      <c r="CD503" s="70">
        <f t="shared" si="1321"/>
        <v>242.44000000000003</v>
      </c>
      <c r="CE503" s="70">
        <f t="shared" si="1321"/>
        <v>125.52868000000001</v>
      </c>
      <c r="CF503" s="70">
        <f t="shared" ref="CF503:DN503" si="1322">CF180</f>
        <v>142.06632000000002</v>
      </c>
      <c r="CG503" s="70">
        <f t="shared" si="1322"/>
        <v>267.59500000000003</v>
      </c>
      <c r="CH503" s="70">
        <f t="shared" si="1322"/>
        <v>121.89367999999999</v>
      </c>
      <c r="CI503" s="70">
        <f t="shared" si="1322"/>
        <v>117.49432000000002</v>
      </c>
      <c r="CJ503" s="70">
        <f t="shared" si="1322"/>
        <v>239.38800000000001</v>
      </c>
      <c r="CK503" s="70">
        <f t="shared" si="1322"/>
        <v>121.52068</v>
      </c>
      <c r="CL503" s="70">
        <f t="shared" si="1322"/>
        <v>81.440320000000014</v>
      </c>
      <c r="CM503" s="70">
        <f t="shared" si="1322"/>
        <v>202.96100000000001</v>
      </c>
      <c r="CN503" s="70">
        <f t="shared" si="1322"/>
        <v>63.757319999999993</v>
      </c>
      <c r="CO503" s="70">
        <f t="shared" si="1322"/>
        <v>109.97968</v>
      </c>
      <c r="CP503" s="70">
        <f t="shared" si="1322"/>
        <v>173.73699999999999</v>
      </c>
      <c r="CQ503" s="70">
        <f t="shared" si="1322"/>
        <v>115.62642269032489</v>
      </c>
      <c r="CR503" s="70">
        <f t="shared" si="1322"/>
        <v>114.8567398096751</v>
      </c>
      <c r="CS503" s="70">
        <f t="shared" si="1322"/>
        <v>230.48316249999999</v>
      </c>
      <c r="CT503" s="70">
        <f t="shared" si="1322"/>
        <v>146.1354</v>
      </c>
      <c r="CU503" s="70">
        <f t="shared" si="1322"/>
        <v>140.56959999999998</v>
      </c>
      <c r="CV503" s="70">
        <f t="shared" si="1322"/>
        <v>286.70499999999998</v>
      </c>
      <c r="CW503" s="70">
        <f t="shared" si="1322"/>
        <v>171.56539999999998</v>
      </c>
      <c r="CX503" s="70">
        <f t="shared" si="1322"/>
        <v>170.43640880000001</v>
      </c>
      <c r="CY503" s="70">
        <f t="shared" si="1322"/>
        <v>342.00180879999999</v>
      </c>
      <c r="CZ503" s="70">
        <f t="shared" si="1322"/>
        <v>175.91197919999999</v>
      </c>
      <c r="DA503" s="70">
        <f t="shared" si="1322"/>
        <v>206.68802079999998</v>
      </c>
      <c r="DB503" s="70">
        <f t="shared" si="1322"/>
        <v>382.59999999999997</v>
      </c>
      <c r="DC503" s="70">
        <f t="shared" si="1322"/>
        <v>194.50765000000001</v>
      </c>
      <c r="DD503" s="70">
        <f t="shared" si="1322"/>
        <v>203.29185000000001</v>
      </c>
      <c r="DE503" s="70">
        <f t="shared" si="1322"/>
        <v>397.79950000000002</v>
      </c>
      <c r="DF503" s="70">
        <f t="shared" si="1322"/>
        <v>217.8272159502371</v>
      </c>
      <c r="DG503" s="70">
        <f t="shared" si="1322"/>
        <v>66.600592859286706</v>
      </c>
      <c r="DH503" s="1074">
        <f t="shared" si="1322"/>
        <v>284.42780880952381</v>
      </c>
      <c r="DI503" s="70">
        <f t="shared" si="1322"/>
        <v>214.68100000000001</v>
      </c>
      <c r="DJ503" s="70">
        <f t="shared" si="1322"/>
        <v>195.81899999999999</v>
      </c>
      <c r="DK503" s="1074">
        <f t="shared" si="1322"/>
        <v>410.5</v>
      </c>
      <c r="DL503" s="70">
        <f t="shared" si="1322"/>
        <v>263.60000000000002</v>
      </c>
      <c r="DM503" s="70">
        <f t="shared" si="1322"/>
        <v>213.7</v>
      </c>
      <c r="DN503" s="1074">
        <f t="shared" si="1322"/>
        <v>477.3</v>
      </c>
      <c r="DO503" s="70">
        <f t="shared" ref="DO503:DT503" si="1323">DO180</f>
        <v>240.3</v>
      </c>
      <c r="DP503" s="70">
        <f t="shared" si="1323"/>
        <v>275.2</v>
      </c>
      <c r="DQ503" s="1074">
        <f t="shared" si="1323"/>
        <v>515.5</v>
      </c>
      <c r="DR503" s="70">
        <f t="shared" si="1323"/>
        <v>315.29999999999995</v>
      </c>
      <c r="DS503" s="70">
        <f t="shared" si="1323"/>
        <v>304.70000000000005</v>
      </c>
      <c r="DT503" s="1074">
        <f t="shared" si="1323"/>
        <v>620</v>
      </c>
      <c r="DU503" s="70"/>
      <c r="DV503" s="70"/>
      <c r="DW503" s="1074"/>
      <c r="DX503" s="70"/>
      <c r="DY503" s="70"/>
      <c r="DZ503" s="1074"/>
      <c r="EA503" s="70"/>
      <c r="EB503" s="70"/>
      <c r="EC503" s="1074"/>
      <c r="ED503" s="70"/>
      <c r="EE503" s="70"/>
      <c r="EF503" s="1074"/>
      <c r="EG503" s="70"/>
      <c r="EH503" s="70"/>
      <c r="EI503" s="1074"/>
      <c r="EJ503" s="70"/>
      <c r="EK503" s="70"/>
      <c r="EL503" s="1074"/>
      <c r="EM503" s="70"/>
      <c r="EN503" s="70"/>
      <c r="EO503" s="1074"/>
      <c r="EP503" s="70"/>
      <c r="EQ503" s="70"/>
      <c r="ER503" s="1074"/>
      <c r="ES503" s="70"/>
      <c r="ET503" s="70"/>
      <c r="EU503" s="1074"/>
      <c r="EV503" s="70"/>
      <c r="EW503" s="70"/>
      <c r="EX503" s="1074"/>
      <c r="EY503" s="70"/>
      <c r="EZ503" s="70"/>
      <c r="FA503" s="1074"/>
      <c r="FE503"/>
      <c r="FF503"/>
      <c r="FG503"/>
      <c r="FH503"/>
      <c r="FI503"/>
      <c r="FJ503"/>
      <c r="FK503" s="35"/>
    </row>
    <row r="504" spans="1:167" s="236" customFormat="1" ht="13.35" customHeight="1">
      <c r="A504" s="289"/>
      <c r="B504" s="242" t="s">
        <v>72</v>
      </c>
      <c r="C504" s="308"/>
      <c r="D504" s="35"/>
      <c r="E504" s="828"/>
      <c r="F504" s="828"/>
      <c r="G504" s="35"/>
      <c r="H504" s="828"/>
      <c r="I504" s="828"/>
      <c r="J504" s="35"/>
      <c r="K504" s="828"/>
      <c r="L504" s="828"/>
      <c r="M504" s="35"/>
      <c r="N504" s="828"/>
      <c r="O504" s="828"/>
      <c r="P504" s="828"/>
      <c r="Q504" s="828"/>
      <c r="R504" s="828"/>
      <c r="S504" s="35"/>
      <c r="T504" s="828"/>
      <c r="U504" s="828"/>
      <c r="V504" s="35"/>
      <c r="W504" s="828"/>
      <c r="X504" s="828"/>
      <c r="Y504" s="35"/>
      <c r="Z504" s="828"/>
      <c r="AA504" s="828"/>
      <c r="AB504" s="35"/>
      <c r="AC504" s="828"/>
      <c r="AD504" s="828"/>
      <c r="AE504" s="35"/>
      <c r="AF504" s="828"/>
      <c r="AG504" s="828"/>
      <c r="AH504" s="35"/>
      <c r="AI504" s="828"/>
      <c r="AJ504" s="828"/>
      <c r="AK504" s="35"/>
      <c r="AL504" s="828"/>
      <c r="AM504" s="828"/>
      <c r="AN504" s="35"/>
      <c r="AO504" s="828"/>
      <c r="AP504" s="828"/>
      <c r="AQ504" s="35"/>
      <c r="AR504" s="828"/>
      <c r="AS504" s="828"/>
      <c r="AT504" s="35"/>
      <c r="AU504" s="828"/>
      <c r="AV504" s="828"/>
      <c r="AW504" s="35"/>
      <c r="AX504" s="74">
        <f t="shared" ref="AX504:CC504" si="1324">AX76*AX498</f>
        <v>-4.2999999999999997E-2</v>
      </c>
      <c r="AY504" s="74">
        <f t="shared" si="1324"/>
        <v>-0.05</v>
      </c>
      <c r="AZ504" s="74">
        <f t="shared" si="1324"/>
        <v>-9.2999999999999999E-2</v>
      </c>
      <c r="BA504" s="74">
        <f t="shared" si="1324"/>
        <v>-2.5000000000000001E-2</v>
      </c>
      <c r="BB504" s="74">
        <f t="shared" si="1324"/>
        <v>-0.19700000000000001</v>
      </c>
      <c r="BC504" s="74">
        <f t="shared" si="1324"/>
        <v>-0.222</v>
      </c>
      <c r="BD504" s="74">
        <f t="shared" si="1324"/>
        <v>-0.25</v>
      </c>
      <c r="BE504" s="74">
        <f t="shared" si="1324"/>
        <v>-0.89999999999999991</v>
      </c>
      <c r="BF504" s="74">
        <f t="shared" si="1324"/>
        <v>-1.1499999999999999</v>
      </c>
      <c r="BG504" s="74">
        <f t="shared" si="1324"/>
        <v>-0.53300000000000003</v>
      </c>
      <c r="BH504" s="74">
        <f t="shared" si="1324"/>
        <v>-0.26300000000000001</v>
      </c>
      <c r="BI504" s="74">
        <f t="shared" si="1324"/>
        <v>-0.79600000000000004</v>
      </c>
      <c r="BJ504" s="74">
        <f t="shared" si="1324"/>
        <v>-0.39500000000000002</v>
      </c>
      <c r="BK504" s="74">
        <f t="shared" si="1324"/>
        <v>-0.41600000000000004</v>
      </c>
      <c r="BL504" s="74">
        <f t="shared" si="1324"/>
        <v>-0.81100000000000005</v>
      </c>
      <c r="BM504" s="74">
        <f t="shared" si="1324"/>
        <v>-0.45300000000000001</v>
      </c>
      <c r="BN504" s="74">
        <f t="shared" si="1324"/>
        <v>-2.4750000000000001</v>
      </c>
      <c r="BO504" s="74">
        <f t="shared" si="1324"/>
        <v>-2.9279999999999999</v>
      </c>
      <c r="BP504" s="74">
        <f t="shared" si="1324"/>
        <v>-3.03</v>
      </c>
      <c r="BQ504" s="74">
        <f t="shared" si="1324"/>
        <v>-3.3610000000000002</v>
      </c>
      <c r="BR504" s="74">
        <f t="shared" si="1324"/>
        <v>-6.391</v>
      </c>
      <c r="BS504" s="74">
        <f t="shared" si="1324"/>
        <v>-6.13</v>
      </c>
      <c r="BT504" s="74">
        <f t="shared" si="1324"/>
        <v>-6.1689999999999996</v>
      </c>
      <c r="BU504" s="74">
        <f t="shared" si="1324"/>
        <v>-12.298999999999999</v>
      </c>
      <c r="BV504" s="74">
        <f t="shared" si="1324"/>
        <v>-5.7030000000000003</v>
      </c>
      <c r="BW504" s="74">
        <f t="shared" si="1324"/>
        <v>-6.319</v>
      </c>
      <c r="BX504" s="74">
        <f t="shared" si="1324"/>
        <v>-12.022</v>
      </c>
      <c r="BY504" s="74">
        <f t="shared" si="1324"/>
        <v>-9.375</v>
      </c>
      <c r="BZ504" s="74">
        <f t="shared" si="1324"/>
        <v>0.52399999999999913</v>
      </c>
      <c r="CA504" s="74">
        <f t="shared" si="1324"/>
        <v>-8.8510000000000009</v>
      </c>
      <c r="CB504" s="74">
        <f t="shared" si="1324"/>
        <v>-5.8840000000000003</v>
      </c>
      <c r="CC504" s="74">
        <f t="shared" si="1324"/>
        <v>-6.5229999999999997</v>
      </c>
      <c r="CD504" s="74">
        <f t="shared" ref="CD504:DN504" si="1325">CD76*CD498</f>
        <v>-12.407</v>
      </c>
      <c r="CE504" s="74">
        <f t="shared" si="1325"/>
        <v>-5.008</v>
      </c>
      <c r="CF504" s="74">
        <f t="shared" si="1325"/>
        <v>-3.6580000000000004</v>
      </c>
      <c r="CG504" s="74">
        <f t="shared" si="1325"/>
        <v>-8.6660000000000004</v>
      </c>
      <c r="CH504" s="74">
        <f t="shared" si="1325"/>
        <v>-2.8279999999999998</v>
      </c>
      <c r="CI504" s="74">
        <f t="shared" si="1325"/>
        <v>-3.3220000000000005</v>
      </c>
      <c r="CJ504" s="74">
        <f t="shared" si="1325"/>
        <v>-6.15</v>
      </c>
      <c r="CK504" s="74">
        <f t="shared" si="1325"/>
        <v>-3.1230000000000002</v>
      </c>
      <c r="CL504" s="74">
        <f t="shared" si="1325"/>
        <v>-3.7589999999999995</v>
      </c>
      <c r="CM504" s="74">
        <f t="shared" si="1325"/>
        <v>-6.8819999999999997</v>
      </c>
      <c r="CN504" s="74">
        <f t="shared" si="1325"/>
        <v>-4.74</v>
      </c>
      <c r="CO504" s="74">
        <f t="shared" si="1325"/>
        <v>-5.5609999999999982</v>
      </c>
      <c r="CP504" s="74">
        <f t="shared" si="1325"/>
        <v>-10.300999999999998</v>
      </c>
      <c r="CQ504" s="74">
        <f t="shared" si="1325"/>
        <v>-5.5419999999999998</v>
      </c>
      <c r="CR504" s="74">
        <f t="shared" si="1325"/>
        <v>-4.8580000000000023</v>
      </c>
      <c r="CS504" s="74">
        <f t="shared" si="1325"/>
        <v>-10.400000000000002</v>
      </c>
      <c r="CT504" s="74">
        <f t="shared" si="1325"/>
        <v>-4.8139999999999983</v>
      </c>
      <c r="CU504" s="74">
        <f t="shared" si="1325"/>
        <v>-3.9920000000000009</v>
      </c>
      <c r="CV504" s="74">
        <f t="shared" si="1325"/>
        <v>-8.8059999999999992</v>
      </c>
      <c r="CW504" s="74">
        <f t="shared" si="1325"/>
        <v>-3.6890000000000001</v>
      </c>
      <c r="CX504" s="74">
        <f t="shared" si="1325"/>
        <v>-3.8419168000000008</v>
      </c>
      <c r="CY504" s="74">
        <f t="shared" si="1325"/>
        <v>-7.5309168000000009</v>
      </c>
      <c r="CZ504" s="74">
        <f t="shared" si="1325"/>
        <v>-3.9811292000000003</v>
      </c>
      <c r="DA504" s="74">
        <f t="shared" si="1325"/>
        <v>-4.5188708000000002</v>
      </c>
      <c r="DB504" s="74">
        <f t="shared" si="1325"/>
        <v>-8.5</v>
      </c>
      <c r="DC504" s="74">
        <f t="shared" si="1325"/>
        <v>-3.0000000000000004</v>
      </c>
      <c r="DD504" s="74">
        <f t="shared" si="1325"/>
        <v>-2.1999999999999988</v>
      </c>
      <c r="DE504" s="74">
        <f t="shared" si="1325"/>
        <v>-5.1999999999999993</v>
      </c>
      <c r="DF504" s="74">
        <f t="shared" si="1325"/>
        <v>-2.2000000000000002</v>
      </c>
      <c r="DG504" s="74">
        <f t="shared" si="1325"/>
        <v>-2.3847750000000003</v>
      </c>
      <c r="DH504" s="1071">
        <f t="shared" si="1325"/>
        <v>-4.5847750000000005</v>
      </c>
      <c r="DI504" s="74">
        <f t="shared" si="1325"/>
        <v>-3.82531</v>
      </c>
      <c r="DJ504" s="74">
        <f t="shared" si="1325"/>
        <v>-1.4802350000000004</v>
      </c>
      <c r="DK504" s="1071">
        <f t="shared" si="1325"/>
        <v>-5.3055450000000004</v>
      </c>
      <c r="DL504" s="74">
        <f t="shared" si="1325"/>
        <v>-0.79147000000000034</v>
      </c>
      <c r="DM504" s="74">
        <f t="shared" si="1325"/>
        <v>-0.9086350000000003</v>
      </c>
      <c r="DN504" s="1071">
        <f t="shared" si="1325"/>
        <v>-1.7001050000000006</v>
      </c>
      <c r="DO504" s="74">
        <f t="shared" ref="DO504:DT504" si="1326">DO76*DO498</f>
        <v>-1.3439450000000006</v>
      </c>
      <c r="DP504" s="74">
        <f t="shared" si="1326"/>
        <v>-1.4611100000000001</v>
      </c>
      <c r="DQ504" s="1071">
        <f t="shared" si="1326"/>
        <v>-2.8050550000000007</v>
      </c>
      <c r="DR504" s="74">
        <f t="shared" si="1326"/>
        <v>0</v>
      </c>
      <c r="DS504" s="74">
        <f t="shared" si="1326"/>
        <v>0</v>
      </c>
      <c r="DT504" s="1071">
        <f t="shared" si="1326"/>
        <v>0</v>
      </c>
      <c r="DU504" s="74"/>
      <c r="DV504" s="74"/>
      <c r="DW504" s="1071"/>
      <c r="DX504" s="74"/>
      <c r="DY504" s="74"/>
      <c r="DZ504" s="1071"/>
      <c r="EA504" s="74"/>
      <c r="EB504" s="74"/>
      <c r="EC504" s="1071"/>
      <c r="ED504" s="74"/>
      <c r="EE504" s="74"/>
      <c r="EF504" s="1071"/>
      <c r="EG504" s="74"/>
      <c r="EH504" s="74"/>
      <c r="EI504" s="1071"/>
      <c r="EJ504" s="74"/>
      <c r="EK504" s="74"/>
      <c r="EL504" s="1071"/>
      <c r="EM504" s="74"/>
      <c r="EN504" s="74"/>
      <c r="EO504" s="1071"/>
      <c r="EP504" s="74"/>
      <c r="EQ504" s="74"/>
      <c r="ER504" s="1071"/>
      <c r="ES504" s="74"/>
      <c r="ET504" s="74"/>
      <c r="EU504" s="1071"/>
      <c r="EV504" s="74"/>
      <c r="EW504" s="74"/>
      <c r="EX504" s="1071"/>
      <c r="EY504" s="74"/>
      <c r="EZ504" s="74"/>
      <c r="FA504" s="1071"/>
      <c r="FE504"/>
      <c r="FF504"/>
      <c r="FG504"/>
      <c r="FH504"/>
      <c r="FI504"/>
      <c r="FJ504"/>
      <c r="FK504" s="35"/>
    </row>
    <row r="505" spans="1:167" s="236" customFormat="1" ht="13.35" customHeight="1">
      <c r="A505" s="289"/>
      <c r="B505" s="242" t="s">
        <v>73</v>
      </c>
      <c r="C505" s="308"/>
      <c r="D505" s="35"/>
      <c r="E505" s="828"/>
      <c r="F505" s="828"/>
      <c r="G505" s="35"/>
      <c r="H505" s="828"/>
      <c r="I505" s="828"/>
      <c r="J505" s="35"/>
      <c r="K505" s="828"/>
      <c r="L505" s="828"/>
      <c r="M505" s="35"/>
      <c r="N505" s="828"/>
      <c r="O505" s="828"/>
      <c r="P505" s="828"/>
      <c r="Q505" s="828"/>
      <c r="R505" s="828"/>
      <c r="S505" s="35"/>
      <c r="T505" s="828"/>
      <c r="U505" s="828"/>
      <c r="V505" s="35"/>
      <c r="W505" s="828"/>
      <c r="X505" s="828"/>
      <c r="Y505" s="35"/>
      <c r="Z505" s="828"/>
      <c r="AA505" s="828"/>
      <c r="AB505" s="35"/>
      <c r="AC505" s="828"/>
      <c r="AD505" s="828"/>
      <c r="AE505" s="35"/>
      <c r="AF505" s="828"/>
      <c r="AG505" s="828"/>
      <c r="AH505" s="35"/>
      <c r="AI505" s="828"/>
      <c r="AJ505" s="828"/>
      <c r="AK505" s="35"/>
      <c r="AL505" s="828"/>
      <c r="AM505" s="828"/>
      <c r="AN505" s="35"/>
      <c r="AO505" s="828"/>
      <c r="AP505" s="828"/>
      <c r="AQ505" s="35"/>
      <c r="AR505" s="828"/>
      <c r="AS505" s="828"/>
      <c r="AT505" s="35"/>
      <c r="AU505" s="828"/>
      <c r="AV505" s="828"/>
      <c r="AW505" s="35"/>
      <c r="AX505" s="74">
        <f t="shared" ref="AX505:CC505" si="1327">AX75</f>
        <v>0.755</v>
      </c>
      <c r="AY505" s="74">
        <f t="shared" si="1327"/>
        <v>0.624</v>
      </c>
      <c r="AZ505" s="74">
        <f t="shared" si="1327"/>
        <v>1.379</v>
      </c>
      <c r="BA505" s="74">
        <f t="shared" si="1327"/>
        <v>0.56499999999999995</v>
      </c>
      <c r="BB505" s="74">
        <f t="shared" si="1327"/>
        <v>0.59499999999999997</v>
      </c>
      <c r="BC505" s="74">
        <f t="shared" si="1327"/>
        <v>1.1599999999999999</v>
      </c>
      <c r="BD505" s="74">
        <f t="shared" si="1327"/>
        <v>0</v>
      </c>
      <c r="BE505" s="74">
        <f t="shared" si="1327"/>
        <v>0.69</v>
      </c>
      <c r="BF505" s="74">
        <f t="shared" si="1327"/>
        <v>0.69</v>
      </c>
      <c r="BG505" s="74">
        <f t="shared" si="1327"/>
        <v>0.218</v>
      </c>
      <c r="BH505" s="74">
        <f t="shared" si="1327"/>
        <v>0.43900000000000006</v>
      </c>
      <c r="BI505" s="74">
        <f t="shared" si="1327"/>
        <v>0.65700000000000003</v>
      </c>
      <c r="BJ505" s="74">
        <f t="shared" si="1327"/>
        <v>1.1679999999999999</v>
      </c>
      <c r="BK505" s="74">
        <f t="shared" si="1327"/>
        <v>1.4339999999999999</v>
      </c>
      <c r="BL505" s="74">
        <f t="shared" si="1327"/>
        <v>2.6019999999999999</v>
      </c>
      <c r="BM505" s="74">
        <f t="shared" si="1327"/>
        <v>0</v>
      </c>
      <c r="BN505" s="74">
        <f t="shared" si="1327"/>
        <v>2.7</v>
      </c>
      <c r="BO505" s="74">
        <f t="shared" si="1327"/>
        <v>2.7</v>
      </c>
      <c r="BP505" s="74">
        <f t="shared" si="1327"/>
        <v>2.9979999999999998</v>
      </c>
      <c r="BQ505" s="74">
        <f t="shared" si="1327"/>
        <v>3.7310000000000003</v>
      </c>
      <c r="BR505" s="74">
        <f t="shared" si="1327"/>
        <v>6.7290000000000001</v>
      </c>
      <c r="BS505" s="74">
        <f t="shared" si="1327"/>
        <v>1.091</v>
      </c>
      <c r="BT505" s="74">
        <f t="shared" si="1327"/>
        <v>1.1079999999999999</v>
      </c>
      <c r="BU505" s="74">
        <f t="shared" si="1327"/>
        <v>2.1989999999999998</v>
      </c>
      <c r="BV505" s="74">
        <f t="shared" si="1327"/>
        <v>0.67</v>
      </c>
      <c r="BW505" s="74">
        <f t="shared" si="1327"/>
        <v>0.73999999999999988</v>
      </c>
      <c r="BX505" s="74">
        <f t="shared" si="1327"/>
        <v>1.41</v>
      </c>
      <c r="BY505" s="74">
        <f t="shared" si="1327"/>
        <v>15.888999999999999</v>
      </c>
      <c r="BZ505" s="74">
        <f t="shared" si="1327"/>
        <v>-5.4149999999999991</v>
      </c>
      <c r="CA505" s="74">
        <f t="shared" si="1327"/>
        <v>10.474</v>
      </c>
      <c r="CB505" s="74">
        <f t="shared" si="1327"/>
        <v>4.7619999999999996</v>
      </c>
      <c r="CC505" s="74">
        <f t="shared" si="1327"/>
        <v>-2.3559999999999994</v>
      </c>
      <c r="CD505" s="74">
        <f t="shared" ref="CD505:DN505" si="1328">CD75</f>
        <v>2.4060000000000001</v>
      </c>
      <c r="CE505" s="74">
        <f t="shared" si="1328"/>
        <v>3.23</v>
      </c>
      <c r="CF505" s="74">
        <f t="shared" si="1328"/>
        <v>0.37800000000000011</v>
      </c>
      <c r="CG505" s="74">
        <f t="shared" si="1328"/>
        <v>3.6080000000000001</v>
      </c>
      <c r="CH505" s="74">
        <f t="shared" si="1328"/>
        <v>0.44500000000000001</v>
      </c>
      <c r="CI505" s="74">
        <f t="shared" si="1328"/>
        <v>1.407</v>
      </c>
      <c r="CJ505" s="74">
        <f t="shared" si="1328"/>
        <v>1.8520000000000001</v>
      </c>
      <c r="CK505" s="74">
        <f t="shared" si="1328"/>
        <v>0.29299999999999998</v>
      </c>
      <c r="CL505" s="74">
        <f t="shared" si="1328"/>
        <v>0.36600000000000005</v>
      </c>
      <c r="CM505" s="74">
        <f t="shared" si="1328"/>
        <v>0.65900000000000003</v>
      </c>
      <c r="CN505" s="74">
        <f t="shared" si="1328"/>
        <v>0.15</v>
      </c>
      <c r="CO505" s="74">
        <f t="shared" si="1328"/>
        <v>0.17399999999999996</v>
      </c>
      <c r="CP505" s="74">
        <f t="shared" si="1328"/>
        <v>0.32399999999999995</v>
      </c>
      <c r="CQ505" s="74">
        <f t="shared" si="1328"/>
        <v>8.9977309675119743E-2</v>
      </c>
      <c r="CR505" s="74">
        <f t="shared" si="1328"/>
        <v>0.23086019032488031</v>
      </c>
      <c r="CS505" s="74">
        <f t="shared" si="1328"/>
        <v>0.32083750000000005</v>
      </c>
      <c r="CT505" s="74">
        <f t="shared" si="1328"/>
        <v>0.12999999999999998</v>
      </c>
      <c r="CU505" s="74">
        <f t="shared" si="1328"/>
        <v>0.33799999999999997</v>
      </c>
      <c r="CV505" s="74">
        <f t="shared" si="1328"/>
        <v>0.46799999999999997</v>
      </c>
      <c r="CW505" s="74">
        <f t="shared" si="1328"/>
        <v>0.27199999999999996</v>
      </c>
      <c r="CX505" s="74">
        <f t="shared" si="1328"/>
        <v>0.38782800000000001</v>
      </c>
      <c r="CY505" s="74">
        <f t="shared" si="1328"/>
        <v>0.65982799999999997</v>
      </c>
      <c r="CZ505" s="74">
        <f t="shared" si="1328"/>
        <v>0.24554999999999999</v>
      </c>
      <c r="DA505" s="74">
        <f t="shared" si="1328"/>
        <v>0.35444999999999999</v>
      </c>
      <c r="DB505" s="74">
        <f t="shared" si="1328"/>
        <v>0.6</v>
      </c>
      <c r="DC505" s="74">
        <f t="shared" si="1328"/>
        <v>0.30000000000000004</v>
      </c>
      <c r="DD505" s="74">
        <f t="shared" si="1328"/>
        <v>0.40049999999999997</v>
      </c>
      <c r="DE505" s="74">
        <f t="shared" si="1328"/>
        <v>0.70050000000000001</v>
      </c>
      <c r="DF505" s="74">
        <f t="shared" si="1328"/>
        <v>0.19685196021064949</v>
      </c>
      <c r="DG505" s="74">
        <f t="shared" si="1328"/>
        <v>1.4443280397893505</v>
      </c>
      <c r="DH505" s="1071">
        <f t="shared" si="1328"/>
        <v>1.6411800000000001</v>
      </c>
      <c r="DI505" s="74">
        <f t="shared" si="1328"/>
        <v>2.5</v>
      </c>
      <c r="DJ505" s="74">
        <f t="shared" si="1328"/>
        <v>1.1000000000000001</v>
      </c>
      <c r="DK505" s="1071">
        <f t="shared" si="1328"/>
        <v>3.6</v>
      </c>
      <c r="DL505" s="74">
        <f t="shared" si="1328"/>
        <v>0.8</v>
      </c>
      <c r="DM505" s="74">
        <f t="shared" si="1328"/>
        <v>1.5999999999999999</v>
      </c>
      <c r="DN505" s="1071">
        <f t="shared" si="1328"/>
        <v>2.4</v>
      </c>
      <c r="DO505" s="74">
        <f t="shared" ref="DO505:DT505" si="1329">DO75</f>
        <v>6.7</v>
      </c>
      <c r="DP505" s="74">
        <f t="shared" si="1329"/>
        <v>9.8000000000000007</v>
      </c>
      <c r="DQ505" s="1071">
        <f t="shared" si="1329"/>
        <v>16.5</v>
      </c>
      <c r="DR505" s="74">
        <f t="shared" si="1329"/>
        <v>9.4</v>
      </c>
      <c r="DS505" s="74">
        <f t="shared" si="1329"/>
        <v>9.6</v>
      </c>
      <c r="DT505" s="1071">
        <f t="shared" si="1329"/>
        <v>19</v>
      </c>
      <c r="DU505" s="74"/>
      <c r="DV505" s="74"/>
      <c r="DW505" s="1071"/>
      <c r="DX505" s="74"/>
      <c r="DY505" s="74"/>
      <c r="DZ505" s="1071"/>
      <c r="EA505" s="74"/>
      <c r="EB505" s="74"/>
      <c r="EC505" s="1071"/>
      <c r="ED505" s="74"/>
      <c r="EE505" s="74"/>
      <c r="EF505" s="1071"/>
      <c r="EG505" s="74"/>
      <c r="EH505" s="74"/>
      <c r="EI505" s="1071"/>
      <c r="EJ505" s="74"/>
      <c r="EK505" s="74"/>
      <c r="EL505" s="1071"/>
      <c r="EM505" s="74"/>
      <c r="EN505" s="74"/>
      <c r="EO505" s="1071"/>
      <c r="EP505" s="74"/>
      <c r="EQ505" s="74"/>
      <c r="ER505" s="1071"/>
      <c r="ES505" s="74"/>
      <c r="ET505" s="74"/>
      <c r="EU505" s="1071"/>
      <c r="EV505" s="74"/>
      <c r="EW505" s="74"/>
      <c r="EX505" s="1071"/>
      <c r="EY505" s="74"/>
      <c r="EZ505" s="74"/>
      <c r="FA505" s="1071"/>
      <c r="FE505"/>
      <c r="FF505"/>
      <c r="FG505"/>
      <c r="FH505"/>
      <c r="FI505"/>
      <c r="FJ505"/>
      <c r="FK505" s="35"/>
    </row>
    <row r="506" spans="1:167" s="236" customFormat="1" ht="13.35" customHeight="1">
      <c r="A506" s="289"/>
      <c r="B506" s="242" t="s">
        <v>74</v>
      </c>
      <c r="C506" s="308"/>
      <c r="D506" s="35"/>
      <c r="E506" s="828"/>
      <c r="F506" s="828"/>
      <c r="G506" s="35"/>
      <c r="H506" s="828"/>
      <c r="I506" s="828"/>
      <c r="J506" s="35"/>
      <c r="K506" s="828"/>
      <c r="L506" s="828"/>
      <c r="M506" s="35"/>
      <c r="N506" s="828"/>
      <c r="O506" s="828"/>
      <c r="P506" s="828"/>
      <c r="Q506" s="828"/>
      <c r="R506" s="828"/>
      <c r="S506" s="35"/>
      <c r="T506" s="828"/>
      <c r="U506" s="828"/>
      <c r="V506" s="35"/>
      <c r="W506" s="828"/>
      <c r="X506" s="828"/>
      <c r="Y506" s="35"/>
      <c r="Z506" s="828"/>
      <c r="AA506" s="828"/>
      <c r="AB506" s="35"/>
      <c r="AC506" s="828"/>
      <c r="AD506" s="828"/>
      <c r="AE506" s="35"/>
      <c r="AF506" s="828"/>
      <c r="AG506" s="828"/>
      <c r="AH506" s="35"/>
      <c r="AI506" s="828"/>
      <c r="AJ506" s="828"/>
      <c r="AK506" s="35"/>
      <c r="AL506" s="828"/>
      <c r="AM506" s="828"/>
      <c r="AN506" s="35"/>
      <c r="AO506" s="828"/>
      <c r="AP506" s="828"/>
      <c r="AQ506" s="35"/>
      <c r="AR506" s="828"/>
      <c r="AS506" s="828"/>
      <c r="AT506" s="35"/>
      <c r="AU506" s="828"/>
      <c r="AV506" s="828"/>
      <c r="AW506" s="35"/>
      <c r="AX506" s="835">
        <v>0</v>
      </c>
      <c r="AY506" s="70">
        <f t="shared" ref="AY506:CD506" si="1330">C_Div_Recvd_H1_00</f>
        <v>0</v>
      </c>
      <c r="AZ506" s="70">
        <f t="shared" si="1330"/>
        <v>0</v>
      </c>
      <c r="BA506" s="70">
        <f t="shared" si="1330"/>
        <v>0</v>
      </c>
      <c r="BB506" s="70">
        <f t="shared" si="1330"/>
        <v>0</v>
      </c>
      <c r="BC506" s="70">
        <f t="shared" si="1330"/>
        <v>0</v>
      </c>
      <c r="BD506" s="70">
        <f t="shared" si="1330"/>
        <v>0</v>
      </c>
      <c r="BE506" s="70">
        <f t="shared" si="1330"/>
        <v>0</v>
      </c>
      <c r="BF506" s="70">
        <f t="shared" si="1330"/>
        <v>0</v>
      </c>
      <c r="BG506" s="70">
        <f t="shared" si="1330"/>
        <v>0</v>
      </c>
      <c r="BH506" s="70">
        <f t="shared" si="1330"/>
        <v>0</v>
      </c>
      <c r="BI506" s="70">
        <f t="shared" si="1330"/>
        <v>0</v>
      </c>
      <c r="BJ506" s="70">
        <f t="shared" si="1330"/>
        <v>0</v>
      </c>
      <c r="BK506" s="70">
        <f t="shared" si="1330"/>
        <v>0</v>
      </c>
      <c r="BL506" s="70">
        <f t="shared" si="1330"/>
        <v>0</v>
      </c>
      <c r="BM506" s="70">
        <f t="shared" si="1330"/>
        <v>0</v>
      </c>
      <c r="BN506" s="70">
        <f t="shared" si="1330"/>
        <v>0</v>
      </c>
      <c r="BO506" s="70">
        <f t="shared" si="1330"/>
        <v>0</v>
      </c>
      <c r="BP506" s="70">
        <f t="shared" si="1330"/>
        <v>0</v>
      </c>
      <c r="BQ506" s="70">
        <f t="shared" si="1330"/>
        <v>0</v>
      </c>
      <c r="BR506" s="70">
        <f t="shared" si="1330"/>
        <v>0</v>
      </c>
      <c r="BS506" s="70">
        <f t="shared" si="1330"/>
        <v>0</v>
      </c>
      <c r="BT506" s="70">
        <f t="shared" si="1330"/>
        <v>0</v>
      </c>
      <c r="BU506" s="70">
        <f t="shared" si="1330"/>
        <v>0</v>
      </c>
      <c r="BV506" s="70">
        <f t="shared" si="1330"/>
        <v>0</v>
      </c>
      <c r="BW506" s="70">
        <f t="shared" si="1330"/>
        <v>0</v>
      </c>
      <c r="BX506" s="70">
        <f t="shared" si="1330"/>
        <v>0</v>
      </c>
      <c r="BY506" s="70">
        <f t="shared" si="1330"/>
        <v>0</v>
      </c>
      <c r="BZ506" s="70">
        <f t="shared" si="1330"/>
        <v>0</v>
      </c>
      <c r="CA506" s="70">
        <f t="shared" si="1330"/>
        <v>0</v>
      </c>
      <c r="CB506" s="70">
        <f t="shared" si="1330"/>
        <v>0</v>
      </c>
      <c r="CC506" s="70">
        <f t="shared" si="1330"/>
        <v>0</v>
      </c>
      <c r="CD506" s="70">
        <f t="shared" si="1330"/>
        <v>0</v>
      </c>
      <c r="CE506" s="70">
        <f t="shared" ref="CE506:DT506" si="1331">C_Div_Recvd_H1_00</f>
        <v>0</v>
      </c>
      <c r="CF506" s="70">
        <f t="shared" si="1331"/>
        <v>0</v>
      </c>
      <c r="CG506" s="70">
        <f t="shared" si="1331"/>
        <v>0</v>
      </c>
      <c r="CH506" s="70">
        <f t="shared" si="1331"/>
        <v>0</v>
      </c>
      <c r="CI506" s="70">
        <f t="shared" si="1331"/>
        <v>0</v>
      </c>
      <c r="CJ506" s="70">
        <f t="shared" si="1331"/>
        <v>0</v>
      </c>
      <c r="CK506" s="70">
        <f t="shared" si="1331"/>
        <v>0</v>
      </c>
      <c r="CL506" s="70">
        <f t="shared" si="1331"/>
        <v>0</v>
      </c>
      <c r="CM506" s="70">
        <f t="shared" si="1331"/>
        <v>0</v>
      </c>
      <c r="CN506" s="70">
        <f t="shared" si="1331"/>
        <v>0</v>
      </c>
      <c r="CO506" s="70">
        <f t="shared" si="1331"/>
        <v>0</v>
      </c>
      <c r="CP506" s="70">
        <f t="shared" si="1331"/>
        <v>0</v>
      </c>
      <c r="CQ506" s="70">
        <f t="shared" si="1331"/>
        <v>0</v>
      </c>
      <c r="CR506" s="70">
        <f t="shared" si="1331"/>
        <v>0</v>
      </c>
      <c r="CS506" s="70">
        <f t="shared" si="1331"/>
        <v>0</v>
      </c>
      <c r="CT506" s="70">
        <f t="shared" si="1331"/>
        <v>0</v>
      </c>
      <c r="CU506" s="70">
        <f t="shared" si="1331"/>
        <v>0</v>
      </c>
      <c r="CV506" s="70">
        <f t="shared" si="1331"/>
        <v>0</v>
      </c>
      <c r="CW506" s="70">
        <f t="shared" si="1331"/>
        <v>0</v>
      </c>
      <c r="CX506" s="70">
        <f t="shared" si="1331"/>
        <v>0</v>
      </c>
      <c r="CY506" s="70">
        <f t="shared" si="1331"/>
        <v>0</v>
      </c>
      <c r="CZ506" s="70">
        <f t="shared" si="1331"/>
        <v>0</v>
      </c>
      <c r="DA506" s="70">
        <f t="shared" si="1331"/>
        <v>0</v>
      </c>
      <c r="DB506" s="70">
        <f t="shared" si="1331"/>
        <v>0</v>
      </c>
      <c r="DC506" s="70">
        <f t="shared" si="1331"/>
        <v>0</v>
      </c>
      <c r="DD506" s="70">
        <f t="shared" si="1331"/>
        <v>0</v>
      </c>
      <c r="DE506" s="70">
        <f t="shared" si="1331"/>
        <v>0</v>
      </c>
      <c r="DF506" s="70">
        <f t="shared" si="1331"/>
        <v>0</v>
      </c>
      <c r="DG506" s="70">
        <f t="shared" si="1331"/>
        <v>0</v>
      </c>
      <c r="DH506" s="1074">
        <f t="shared" si="1331"/>
        <v>0</v>
      </c>
      <c r="DI506" s="70">
        <f t="shared" si="1331"/>
        <v>0</v>
      </c>
      <c r="DJ506" s="70">
        <f t="shared" si="1331"/>
        <v>0</v>
      </c>
      <c r="DK506" s="1074">
        <f t="shared" si="1331"/>
        <v>0</v>
      </c>
      <c r="DL506" s="70">
        <f t="shared" si="1331"/>
        <v>0</v>
      </c>
      <c r="DM506" s="70">
        <f t="shared" si="1331"/>
        <v>0</v>
      </c>
      <c r="DN506" s="1074">
        <f t="shared" si="1331"/>
        <v>0</v>
      </c>
      <c r="DO506" s="70">
        <f t="shared" si="1331"/>
        <v>0</v>
      </c>
      <c r="DP506" s="70">
        <f t="shared" si="1331"/>
        <v>0</v>
      </c>
      <c r="DQ506" s="1074">
        <f t="shared" si="1331"/>
        <v>0</v>
      </c>
      <c r="DR506" s="70">
        <f t="shared" si="1331"/>
        <v>0</v>
      </c>
      <c r="DS506" s="70">
        <f t="shared" si="1331"/>
        <v>0</v>
      </c>
      <c r="DT506" s="1074">
        <f t="shared" si="1331"/>
        <v>0</v>
      </c>
      <c r="DU506" s="70"/>
      <c r="DV506" s="70"/>
      <c r="DW506" s="1074"/>
      <c r="DX506" s="70"/>
      <c r="DY506" s="70"/>
      <c r="DZ506" s="1074"/>
      <c r="EA506" s="70"/>
      <c r="EB506" s="70"/>
      <c r="EC506" s="1074"/>
      <c r="ED506" s="70"/>
      <c r="EE506" s="70"/>
      <c r="EF506" s="1074"/>
      <c r="EG506" s="70"/>
      <c r="EH506" s="70"/>
      <c r="EI506" s="1074"/>
      <c r="EJ506" s="70"/>
      <c r="EK506" s="70"/>
      <c r="EL506" s="1074"/>
      <c r="EM506" s="70"/>
      <c r="EN506" s="70"/>
      <c r="EO506" s="1074"/>
      <c r="EP506" s="70"/>
      <c r="EQ506" s="70"/>
      <c r="ER506" s="1074"/>
      <c r="ES506" s="70"/>
      <c r="ET506" s="70"/>
      <c r="EU506" s="1074"/>
      <c r="EV506" s="70"/>
      <c r="EW506" s="70"/>
      <c r="EX506" s="1074"/>
      <c r="EY506" s="70"/>
      <c r="EZ506" s="70"/>
      <c r="FA506" s="1074"/>
      <c r="FE506"/>
      <c r="FF506"/>
      <c r="FG506"/>
      <c r="FH506"/>
      <c r="FI506"/>
      <c r="FJ506"/>
      <c r="FK506" s="35"/>
    </row>
    <row r="507" spans="1:167" s="236" customFormat="1" ht="13.35" customHeight="1">
      <c r="A507" s="289"/>
      <c r="B507" s="242" t="s">
        <v>862</v>
      </c>
      <c r="C507" s="308"/>
      <c r="D507" s="35"/>
      <c r="E507" s="828"/>
      <c r="F507" s="828"/>
      <c r="G507" s="35"/>
      <c r="H507" s="828"/>
      <c r="I507" s="828"/>
      <c r="J507" s="35"/>
      <c r="K507" s="828"/>
      <c r="L507" s="828"/>
      <c r="M507" s="35"/>
      <c r="N507" s="828"/>
      <c r="O507" s="828"/>
      <c r="P507" s="828"/>
      <c r="Q507" s="828"/>
      <c r="R507" s="828"/>
      <c r="S507" s="35"/>
      <c r="T507" s="828"/>
      <c r="U507" s="828"/>
      <c r="V507" s="35"/>
      <c r="W507" s="828"/>
      <c r="X507" s="828"/>
      <c r="Y507" s="35"/>
      <c r="Z507" s="828"/>
      <c r="AA507" s="828"/>
      <c r="AB507" s="35"/>
      <c r="AC507" s="828"/>
      <c r="AD507" s="828"/>
      <c r="AE507" s="35"/>
      <c r="AF507" s="828"/>
      <c r="AG507" s="828"/>
      <c r="AH507" s="35"/>
      <c r="AI507" s="828"/>
      <c r="AJ507" s="828"/>
      <c r="AK507" s="35"/>
      <c r="AL507" s="828"/>
      <c r="AM507" s="828"/>
      <c r="AN507" s="35"/>
      <c r="AO507" s="828"/>
      <c r="AP507" s="828"/>
      <c r="AQ507" s="35"/>
      <c r="AR507" s="828"/>
      <c r="AS507" s="828"/>
      <c r="AT507" s="35"/>
      <c r="AU507" s="828"/>
      <c r="AV507" s="828"/>
      <c r="AW507" s="35"/>
      <c r="AX507" s="835">
        <v>0</v>
      </c>
      <c r="AY507" s="70">
        <f>AX507</f>
        <v>0</v>
      </c>
      <c r="AZ507" s="70">
        <f t="shared" ref="AZ507:DK507" si="1332">AY507</f>
        <v>0</v>
      </c>
      <c r="BA507" s="70">
        <f t="shared" si="1332"/>
        <v>0</v>
      </c>
      <c r="BB507" s="70">
        <f t="shared" si="1332"/>
        <v>0</v>
      </c>
      <c r="BC507" s="70">
        <f t="shared" si="1332"/>
        <v>0</v>
      </c>
      <c r="BD507" s="70">
        <f t="shared" si="1332"/>
        <v>0</v>
      </c>
      <c r="BE507" s="70">
        <f t="shared" si="1332"/>
        <v>0</v>
      </c>
      <c r="BF507" s="70">
        <f t="shared" si="1332"/>
        <v>0</v>
      </c>
      <c r="BG507" s="70">
        <f t="shared" si="1332"/>
        <v>0</v>
      </c>
      <c r="BH507" s="70">
        <f t="shared" si="1332"/>
        <v>0</v>
      </c>
      <c r="BI507" s="70">
        <f t="shared" si="1332"/>
        <v>0</v>
      </c>
      <c r="BJ507" s="70">
        <f t="shared" si="1332"/>
        <v>0</v>
      </c>
      <c r="BK507" s="70">
        <f t="shared" si="1332"/>
        <v>0</v>
      </c>
      <c r="BL507" s="70">
        <f t="shared" si="1332"/>
        <v>0</v>
      </c>
      <c r="BM507" s="70">
        <f t="shared" si="1332"/>
        <v>0</v>
      </c>
      <c r="BN507" s="70">
        <f t="shared" si="1332"/>
        <v>0</v>
      </c>
      <c r="BO507" s="70">
        <f t="shared" si="1332"/>
        <v>0</v>
      </c>
      <c r="BP507" s="70">
        <f t="shared" si="1332"/>
        <v>0</v>
      </c>
      <c r="BQ507" s="70">
        <f t="shared" si="1332"/>
        <v>0</v>
      </c>
      <c r="BR507" s="70">
        <f t="shared" si="1332"/>
        <v>0</v>
      </c>
      <c r="BS507" s="70">
        <f t="shared" si="1332"/>
        <v>0</v>
      </c>
      <c r="BT507" s="70">
        <f t="shared" si="1332"/>
        <v>0</v>
      </c>
      <c r="BU507" s="70">
        <f t="shared" si="1332"/>
        <v>0</v>
      </c>
      <c r="BV507" s="70">
        <f t="shared" si="1332"/>
        <v>0</v>
      </c>
      <c r="BW507" s="70">
        <f t="shared" si="1332"/>
        <v>0</v>
      </c>
      <c r="BX507" s="70">
        <f t="shared" si="1332"/>
        <v>0</v>
      </c>
      <c r="BY507" s="70">
        <f t="shared" si="1332"/>
        <v>0</v>
      </c>
      <c r="BZ507" s="70">
        <f t="shared" si="1332"/>
        <v>0</v>
      </c>
      <c r="CA507" s="70">
        <f t="shared" si="1332"/>
        <v>0</v>
      </c>
      <c r="CB507" s="70">
        <f t="shared" si="1332"/>
        <v>0</v>
      </c>
      <c r="CC507" s="70">
        <f t="shared" si="1332"/>
        <v>0</v>
      </c>
      <c r="CD507" s="70">
        <f t="shared" si="1332"/>
        <v>0</v>
      </c>
      <c r="CE507" s="70">
        <f t="shared" si="1332"/>
        <v>0</v>
      </c>
      <c r="CF507" s="70">
        <f t="shared" si="1332"/>
        <v>0</v>
      </c>
      <c r="CG507" s="70">
        <f t="shared" si="1332"/>
        <v>0</v>
      </c>
      <c r="CH507" s="70">
        <f t="shared" si="1332"/>
        <v>0</v>
      </c>
      <c r="CI507" s="70">
        <f t="shared" si="1332"/>
        <v>0</v>
      </c>
      <c r="CJ507" s="70">
        <f t="shared" si="1332"/>
        <v>0</v>
      </c>
      <c r="CK507" s="70">
        <f t="shared" si="1332"/>
        <v>0</v>
      </c>
      <c r="CL507" s="70">
        <f t="shared" si="1332"/>
        <v>0</v>
      </c>
      <c r="CM507" s="70">
        <f t="shared" si="1332"/>
        <v>0</v>
      </c>
      <c r="CN507" s="70">
        <f t="shared" si="1332"/>
        <v>0</v>
      </c>
      <c r="CO507" s="70">
        <f t="shared" si="1332"/>
        <v>0</v>
      </c>
      <c r="CP507" s="70">
        <f t="shared" si="1332"/>
        <v>0</v>
      </c>
      <c r="CQ507" s="70">
        <f t="shared" si="1332"/>
        <v>0</v>
      </c>
      <c r="CR507" s="70">
        <f t="shared" si="1332"/>
        <v>0</v>
      </c>
      <c r="CS507" s="70">
        <f t="shared" si="1332"/>
        <v>0</v>
      </c>
      <c r="CT507" s="70">
        <f t="shared" si="1332"/>
        <v>0</v>
      </c>
      <c r="CU507" s="70">
        <f t="shared" si="1332"/>
        <v>0</v>
      </c>
      <c r="CV507" s="70">
        <f t="shared" si="1332"/>
        <v>0</v>
      </c>
      <c r="CW507" s="70">
        <f t="shared" si="1332"/>
        <v>0</v>
      </c>
      <c r="CX507" s="70">
        <f t="shared" si="1332"/>
        <v>0</v>
      </c>
      <c r="CY507" s="70">
        <f t="shared" si="1332"/>
        <v>0</v>
      </c>
      <c r="CZ507" s="70">
        <f t="shared" si="1332"/>
        <v>0</v>
      </c>
      <c r="DA507" s="70">
        <f t="shared" si="1332"/>
        <v>0</v>
      </c>
      <c r="DB507" s="70">
        <f t="shared" si="1332"/>
        <v>0</v>
      </c>
      <c r="DC507" s="70">
        <f t="shared" si="1332"/>
        <v>0</v>
      </c>
      <c r="DD507" s="70">
        <f t="shared" si="1332"/>
        <v>0</v>
      </c>
      <c r="DE507" s="70">
        <f t="shared" si="1332"/>
        <v>0</v>
      </c>
      <c r="DF507" s="70">
        <f t="shared" si="1332"/>
        <v>0</v>
      </c>
      <c r="DG507" s="70">
        <f>DF507</f>
        <v>0</v>
      </c>
      <c r="DH507" s="1074">
        <f>DG507</f>
        <v>0</v>
      </c>
      <c r="DI507" s="70">
        <f t="shared" si="1332"/>
        <v>0</v>
      </c>
      <c r="DJ507" s="70">
        <f t="shared" si="1332"/>
        <v>0</v>
      </c>
      <c r="DK507" s="1074">
        <f t="shared" si="1332"/>
        <v>0</v>
      </c>
      <c r="DL507" s="70">
        <f>DK507</f>
        <v>0</v>
      </c>
      <c r="DM507" s="70">
        <f>DL507</f>
        <v>0</v>
      </c>
      <c r="DN507" s="1074">
        <f>DM507</f>
        <v>0</v>
      </c>
      <c r="DO507" s="70">
        <f t="shared" ref="DO507:DT507" si="1333">DN507</f>
        <v>0</v>
      </c>
      <c r="DP507" s="70">
        <f t="shared" si="1333"/>
        <v>0</v>
      </c>
      <c r="DQ507" s="1074">
        <f t="shared" si="1333"/>
        <v>0</v>
      </c>
      <c r="DR507" s="70">
        <f t="shared" si="1333"/>
        <v>0</v>
      </c>
      <c r="DS507" s="70">
        <f t="shared" si="1333"/>
        <v>0</v>
      </c>
      <c r="DT507" s="1074">
        <f t="shared" si="1333"/>
        <v>0</v>
      </c>
      <c r="DU507" s="70"/>
      <c r="DV507" s="70"/>
      <c r="DW507" s="1074"/>
      <c r="DX507" s="70"/>
      <c r="DY507" s="70"/>
      <c r="DZ507" s="1074"/>
      <c r="EA507" s="70"/>
      <c r="EB507" s="70"/>
      <c r="EC507" s="1074"/>
      <c r="ED507" s="70"/>
      <c r="EE507" s="70"/>
      <c r="EF507" s="1074"/>
      <c r="EG507" s="70"/>
      <c r="EH507" s="70"/>
      <c r="EI507" s="1074"/>
      <c r="EJ507" s="70"/>
      <c r="EK507" s="70"/>
      <c r="EL507" s="1074"/>
      <c r="EM507" s="70"/>
      <c r="EN507" s="70"/>
      <c r="EO507" s="1074"/>
      <c r="EP507" s="70"/>
      <c r="EQ507" s="70"/>
      <c r="ER507" s="1074"/>
      <c r="ES507" s="70"/>
      <c r="ET507" s="70"/>
      <c r="EU507" s="1074"/>
      <c r="EV507" s="70"/>
      <c r="EW507" s="70"/>
      <c r="EX507" s="1074"/>
      <c r="EY507" s="70"/>
      <c r="EZ507" s="70"/>
      <c r="FA507" s="1074"/>
      <c r="FE507"/>
      <c r="FF507"/>
      <c r="FG507"/>
      <c r="FH507"/>
      <c r="FI507"/>
      <c r="FJ507"/>
      <c r="FK507" s="35"/>
    </row>
    <row r="508" spans="1:167" s="236" customFormat="1" ht="13.35" customHeight="1">
      <c r="A508" s="289"/>
      <c r="B508" s="242"/>
      <c r="C508" s="308"/>
      <c r="D508" s="35"/>
      <c r="E508" s="828"/>
      <c r="F508" s="828"/>
      <c r="G508" s="35"/>
      <c r="H508" s="828"/>
      <c r="I508" s="828"/>
      <c r="J508" s="35"/>
      <c r="K508" s="828"/>
      <c r="L508" s="828"/>
      <c r="M508" s="35"/>
      <c r="N508" s="828"/>
      <c r="O508" s="828"/>
      <c r="P508" s="828"/>
      <c r="Q508" s="828"/>
      <c r="R508" s="828"/>
      <c r="S508" s="35"/>
      <c r="T508" s="828"/>
      <c r="U508" s="828"/>
      <c r="V508" s="35"/>
      <c r="W508" s="828"/>
      <c r="X508" s="828"/>
      <c r="Y508" s="35"/>
      <c r="Z508" s="828"/>
      <c r="AA508" s="828"/>
      <c r="AB508" s="35"/>
      <c r="AC508" s="828"/>
      <c r="AD508" s="828"/>
      <c r="AE508" s="35"/>
      <c r="AF508" s="828"/>
      <c r="AG508" s="828"/>
      <c r="AH508" s="35"/>
      <c r="AI508" s="828"/>
      <c r="AJ508" s="828"/>
      <c r="AK508" s="35"/>
      <c r="AL508" s="828"/>
      <c r="AM508" s="828"/>
      <c r="AN508" s="35"/>
      <c r="AO508" s="828"/>
      <c r="AP508" s="828"/>
      <c r="AQ508" s="35"/>
      <c r="AR508" s="828"/>
      <c r="AS508" s="828"/>
      <c r="AT508" s="35"/>
      <c r="AU508" s="828"/>
      <c r="AV508" s="828"/>
      <c r="AW508" s="35"/>
      <c r="AX508" s="70"/>
      <c r="AY508" s="70"/>
      <c r="AZ508" s="70"/>
      <c r="BA508" s="70"/>
      <c r="BB508" s="70"/>
      <c r="BC508" s="70"/>
      <c r="BD508" s="70"/>
      <c r="BE508" s="70"/>
      <c r="BF508" s="70"/>
      <c r="BG508" s="70"/>
      <c r="BH508" s="70"/>
      <c r="BI508" s="70"/>
      <c r="BJ508" s="70"/>
      <c r="BK508" s="70"/>
      <c r="BL508" s="70"/>
      <c r="BM508" s="70"/>
      <c r="BN508" s="70"/>
      <c r="BO508" s="70"/>
      <c r="BP508" s="70"/>
      <c r="BQ508" s="70"/>
      <c r="BR508" s="70"/>
      <c r="BS508" s="70"/>
      <c r="BT508" s="70"/>
      <c r="BU508" s="70"/>
      <c r="BV508" s="70"/>
      <c r="BW508" s="70"/>
      <c r="BX508" s="70"/>
      <c r="BY508" s="70"/>
      <c r="BZ508" s="70"/>
      <c r="CA508" s="70"/>
      <c r="CB508" s="70"/>
      <c r="CC508" s="70"/>
      <c r="CD508" s="70"/>
      <c r="CE508" s="70"/>
      <c r="CF508" s="70"/>
      <c r="CG508" s="70"/>
      <c r="CH508" s="70"/>
      <c r="CI508" s="70"/>
      <c r="CJ508" s="70"/>
      <c r="CK508" s="70"/>
      <c r="CL508" s="70"/>
      <c r="CM508" s="70"/>
      <c r="CN508" s="70"/>
      <c r="CO508" s="70"/>
      <c r="CP508" s="70"/>
      <c r="CQ508" s="70"/>
      <c r="CR508" s="70"/>
      <c r="CS508" s="70"/>
      <c r="CT508" s="70"/>
      <c r="CU508" s="70"/>
      <c r="CV508" s="70"/>
      <c r="CW508" s="70"/>
      <c r="CX508" s="70"/>
      <c r="CY508" s="70"/>
      <c r="CZ508" s="70"/>
      <c r="DA508" s="70"/>
      <c r="DB508" s="70"/>
      <c r="DC508" s="70"/>
      <c r="DD508" s="70"/>
      <c r="DE508" s="70"/>
      <c r="DF508" s="70"/>
      <c r="DG508" s="70"/>
      <c r="DH508" s="1074"/>
      <c r="DI508" s="70"/>
      <c r="DJ508" s="70"/>
      <c r="DK508" s="1074"/>
      <c r="DL508" s="70"/>
      <c r="DM508" s="70"/>
      <c r="DN508" s="1074"/>
      <c r="DO508" s="70"/>
      <c r="DP508" s="70"/>
      <c r="DQ508" s="1074"/>
      <c r="DR508" s="70"/>
      <c r="DS508" s="70"/>
      <c r="DT508" s="1074"/>
      <c r="DU508" s="70"/>
      <c r="DV508" s="70"/>
      <c r="DW508" s="1074"/>
      <c r="DX508" s="70"/>
      <c r="DY508" s="70"/>
      <c r="DZ508" s="1074"/>
      <c r="EA508" s="70"/>
      <c r="EB508" s="70"/>
      <c r="EC508" s="1074"/>
      <c r="ED508" s="70"/>
      <c r="EE508" s="70"/>
      <c r="EF508" s="1074"/>
      <c r="EG508" s="70"/>
      <c r="EH508" s="70"/>
      <c r="EI508" s="1074"/>
      <c r="EJ508" s="70"/>
      <c r="EK508" s="70"/>
      <c r="EL508" s="1074"/>
      <c r="EM508" s="70"/>
      <c r="EN508" s="70"/>
      <c r="EO508" s="1074"/>
      <c r="EP508" s="70"/>
      <c r="EQ508" s="70"/>
      <c r="ER508" s="1074"/>
      <c r="ES508" s="70"/>
      <c r="ET508" s="70"/>
      <c r="EU508" s="1074"/>
      <c r="EV508" s="70"/>
      <c r="EW508" s="70"/>
      <c r="EX508" s="1074"/>
      <c r="EY508" s="70"/>
      <c r="EZ508" s="70"/>
      <c r="FA508" s="1074"/>
      <c r="FE508"/>
      <c r="FF508"/>
      <c r="FG508"/>
      <c r="FH508"/>
      <c r="FI508"/>
      <c r="FJ508"/>
      <c r="FK508" s="35"/>
    </row>
    <row r="509" spans="1:167" s="236" customFormat="1" ht="13.35" customHeight="1">
      <c r="A509" s="289" t="s">
        <v>299</v>
      </c>
      <c r="B509" s="242"/>
      <c r="C509" s="308"/>
      <c r="D509" s="35"/>
      <c r="E509" s="828"/>
      <c r="F509" s="828"/>
      <c r="G509" s="35"/>
      <c r="H509" s="828"/>
      <c r="I509" s="828"/>
      <c r="J509" s="35"/>
      <c r="K509" s="828"/>
      <c r="L509" s="828"/>
      <c r="M509" s="35"/>
      <c r="N509" s="828"/>
      <c r="O509" s="828"/>
      <c r="P509" s="828"/>
      <c r="Q509" s="828"/>
      <c r="R509" s="828"/>
      <c r="S509" s="35"/>
      <c r="T509" s="828"/>
      <c r="U509" s="828"/>
      <c r="V509" s="35"/>
      <c r="W509" s="828"/>
      <c r="X509" s="828"/>
      <c r="Y509" s="35"/>
      <c r="Z509" s="828"/>
      <c r="AA509" s="828"/>
      <c r="AB509" s="35"/>
      <c r="AC509" s="828"/>
      <c r="AD509" s="828"/>
      <c r="AE509" s="35"/>
      <c r="AF509" s="828"/>
      <c r="AG509" s="828"/>
      <c r="AH509" s="35"/>
      <c r="AI509" s="828"/>
      <c r="AJ509" s="828"/>
      <c r="AK509" s="35"/>
      <c r="AL509" s="828"/>
      <c r="AM509" s="828"/>
      <c r="AN509" s="35"/>
      <c r="AO509" s="828"/>
      <c r="AP509" s="828"/>
      <c r="AQ509" s="35"/>
      <c r="AR509" s="828"/>
      <c r="AS509" s="828"/>
      <c r="AT509" s="35"/>
      <c r="AU509" s="828"/>
      <c r="AV509" s="828"/>
      <c r="AW509" s="35"/>
      <c r="AX509" s="74"/>
      <c r="AY509" s="74"/>
      <c r="AZ509" s="74"/>
      <c r="BA509" s="74"/>
      <c r="BB509" s="74"/>
      <c r="BC509" s="74"/>
      <c r="BD509" s="74"/>
      <c r="BE509" s="74"/>
      <c r="BF509" s="74"/>
      <c r="BG509" s="74"/>
      <c r="BH509" s="74"/>
      <c r="BI509" s="74"/>
      <c r="BJ509" s="74"/>
      <c r="BK509" s="74"/>
      <c r="BL509" s="74"/>
      <c r="BM509" s="74"/>
      <c r="BN509" s="74"/>
      <c r="BO509" s="74"/>
      <c r="BP509" s="74"/>
      <c r="BQ509" s="74"/>
      <c r="BR509" s="74"/>
      <c r="BS509" s="74"/>
      <c r="BT509" s="74"/>
      <c r="BU509" s="74"/>
      <c r="BV509" s="74"/>
      <c r="BW509" s="74"/>
      <c r="BX509" s="74"/>
      <c r="BY509" s="74"/>
      <c r="BZ509" s="74"/>
      <c r="CA509" s="74"/>
      <c r="CB509" s="74"/>
      <c r="CC509" s="74"/>
      <c r="CD509" s="74"/>
      <c r="CE509" s="74"/>
      <c r="CF509" s="74"/>
      <c r="CG509" s="74"/>
      <c r="CH509" s="74"/>
      <c r="CI509" s="74"/>
      <c r="CJ509" s="74"/>
      <c r="CK509" s="74"/>
      <c r="CL509" s="74"/>
      <c r="CM509" s="74"/>
      <c r="CN509" s="74"/>
      <c r="CO509" s="74"/>
      <c r="CP509" s="74"/>
      <c r="CQ509" s="74"/>
      <c r="CR509" s="74"/>
      <c r="CS509" s="74"/>
      <c r="CT509" s="74"/>
      <c r="CU509" s="74"/>
      <c r="CV509" s="74"/>
      <c r="CW509" s="74"/>
      <c r="CX509" s="74"/>
      <c r="CY509" s="74"/>
      <c r="CZ509" s="74"/>
      <c r="DA509" s="74"/>
      <c r="DB509" s="74"/>
      <c r="DC509" s="74"/>
      <c r="DD509" s="74"/>
      <c r="DE509" s="74"/>
      <c r="DF509" s="74"/>
      <c r="DG509" s="74"/>
      <c r="DH509" s="1071"/>
      <c r="DI509" s="74"/>
      <c r="DJ509" s="74"/>
      <c r="DK509" s="1071"/>
      <c r="DL509" s="74"/>
      <c r="DM509" s="74"/>
      <c r="DN509" s="1071"/>
      <c r="DO509" s="74"/>
      <c r="DP509" s="74"/>
      <c r="DQ509" s="1071"/>
      <c r="DR509" s="74"/>
      <c r="DS509" s="74"/>
      <c r="DT509" s="1071"/>
      <c r="DU509" s="74"/>
      <c r="DV509" s="74"/>
      <c r="DW509" s="1071"/>
      <c r="DX509" s="74"/>
      <c r="DY509" s="74"/>
      <c r="DZ509" s="1071"/>
      <c r="EA509" s="74"/>
      <c r="EB509" s="74"/>
      <c r="EC509" s="1071"/>
      <c r="ED509" s="74"/>
      <c r="EE509" s="74"/>
      <c r="EF509" s="1071"/>
      <c r="EG509" s="74"/>
      <c r="EH509" s="74"/>
      <c r="EI509" s="1071"/>
      <c r="EJ509" s="74"/>
      <c r="EK509" s="74"/>
      <c r="EL509" s="1071"/>
      <c r="EM509" s="74"/>
      <c r="EN509" s="74"/>
      <c r="EO509" s="1071"/>
      <c r="EP509" s="74"/>
      <c r="EQ509" s="74"/>
      <c r="ER509" s="1071"/>
      <c r="ES509" s="74"/>
      <c r="ET509" s="74"/>
      <c r="EU509" s="1071"/>
      <c r="EV509" s="74"/>
      <c r="EW509" s="74"/>
      <c r="EX509" s="1071"/>
      <c r="EY509" s="74"/>
      <c r="EZ509" s="74"/>
      <c r="FA509" s="1071"/>
      <c r="FE509"/>
      <c r="FF509"/>
      <c r="FG509"/>
      <c r="FH509"/>
      <c r="FI509"/>
      <c r="FJ509"/>
      <c r="FK509" s="35"/>
    </row>
    <row r="510" spans="1:167" s="236" customFormat="1" ht="13.35" customHeight="1">
      <c r="A510" s="289"/>
      <c r="B510" s="242" t="s">
        <v>719</v>
      </c>
      <c r="C510" s="308"/>
      <c r="D510" s="35"/>
      <c r="E510" s="828"/>
      <c r="F510" s="828"/>
      <c r="G510" s="35"/>
      <c r="H510" s="828"/>
      <c r="I510" s="828"/>
      <c r="J510" s="35"/>
      <c r="K510" s="828"/>
      <c r="L510" s="828"/>
      <c r="M510" s="35"/>
      <c r="N510" s="828"/>
      <c r="O510" s="828"/>
      <c r="P510" s="828"/>
      <c r="Q510" s="828"/>
      <c r="R510" s="828"/>
      <c r="S510" s="35"/>
      <c r="T510" s="828"/>
      <c r="U510" s="828"/>
      <c r="V510" s="35"/>
      <c r="W510" s="828"/>
      <c r="X510" s="828"/>
      <c r="Y510" s="35"/>
      <c r="Z510" s="828"/>
      <c r="AA510" s="828"/>
      <c r="AB510" s="35"/>
      <c r="AC510" s="828"/>
      <c r="AD510" s="828"/>
      <c r="AE510" s="35"/>
      <c r="AF510" s="828"/>
      <c r="AG510" s="828"/>
      <c r="AH510" s="35"/>
      <c r="AI510" s="828"/>
      <c r="AJ510" s="828"/>
      <c r="AK510" s="35"/>
      <c r="AL510" s="828"/>
      <c r="AM510" s="828"/>
      <c r="AN510" s="35"/>
      <c r="AO510" s="828"/>
      <c r="AP510" s="828"/>
      <c r="AQ510" s="35"/>
      <c r="AR510" s="828"/>
      <c r="AS510" s="828"/>
      <c r="AT510" s="35"/>
      <c r="AU510" s="828"/>
      <c r="AV510" s="828"/>
      <c r="AW510" s="35"/>
      <c r="AX510" s="74"/>
      <c r="AY510" s="74"/>
      <c r="AZ510" s="74"/>
      <c r="BA510" s="74"/>
      <c r="BB510" s="74"/>
      <c r="BC510" s="74"/>
      <c r="BD510" s="74"/>
      <c r="BE510" s="74"/>
      <c r="BF510" s="74"/>
      <c r="BG510" s="74"/>
      <c r="BH510" s="74"/>
      <c r="BI510" s="74"/>
      <c r="BJ510" s="74"/>
      <c r="BK510" s="74"/>
      <c r="BL510" s="74"/>
      <c r="BM510" s="74"/>
      <c r="BN510" s="74"/>
      <c r="BO510" s="74"/>
      <c r="BP510" s="74"/>
      <c r="BQ510" s="74"/>
      <c r="BR510" s="74"/>
      <c r="BS510" s="74"/>
      <c r="BT510" s="74"/>
      <c r="BU510" s="74"/>
      <c r="BV510" s="74"/>
      <c r="BW510" s="74"/>
      <c r="BX510" s="74"/>
      <c r="BY510" s="74"/>
      <c r="BZ510" s="74"/>
      <c r="CA510" s="74"/>
      <c r="CB510" s="74"/>
      <c r="CC510" s="74"/>
      <c r="CD510" s="74"/>
      <c r="CE510" s="74"/>
      <c r="CF510" s="74"/>
      <c r="CG510" s="74"/>
      <c r="CH510" s="74"/>
      <c r="CI510" s="74"/>
      <c r="CJ510" s="74"/>
      <c r="CK510" s="74"/>
      <c r="CL510" s="74"/>
      <c r="CM510" s="74"/>
      <c r="CN510" s="74"/>
      <c r="CO510" s="74"/>
      <c r="CP510" s="74"/>
      <c r="CQ510" s="74"/>
      <c r="CR510" s="74"/>
      <c r="CS510" s="74"/>
      <c r="CT510" s="74"/>
      <c r="CU510" s="74"/>
      <c r="CV510" s="74"/>
      <c r="CW510" s="74"/>
      <c r="CX510" s="74"/>
      <c r="CY510" s="74"/>
      <c r="CZ510" s="74"/>
      <c r="DA510" s="74"/>
      <c r="DB510" s="74"/>
      <c r="DC510" s="74"/>
      <c r="DD510" s="74"/>
      <c r="DE510" s="74"/>
      <c r="DF510" s="74"/>
      <c r="DG510" s="74"/>
      <c r="DH510" s="1071"/>
      <c r="DI510" s="74"/>
      <c r="DJ510" s="74"/>
      <c r="DK510" s="1071"/>
      <c r="DL510" s="74"/>
      <c r="DM510" s="74"/>
      <c r="DN510" s="1071"/>
      <c r="DO510" s="74"/>
      <c r="DP510" s="74"/>
      <c r="DQ510" s="1071"/>
      <c r="DR510" s="74"/>
      <c r="DS510" s="74"/>
      <c r="DT510" s="1071"/>
      <c r="DU510" s="74"/>
      <c r="DV510" s="74"/>
      <c r="DW510" s="1071"/>
      <c r="DX510" s="74"/>
      <c r="DY510" s="74"/>
      <c r="DZ510" s="1071"/>
      <c r="EA510" s="74"/>
      <c r="EB510" s="74"/>
      <c r="EC510" s="1071"/>
      <c r="ED510" s="74"/>
      <c r="EE510" s="74"/>
      <c r="EF510" s="1071"/>
      <c r="EG510" s="74"/>
      <c r="EH510" s="74"/>
      <c r="EI510" s="1071"/>
      <c r="EJ510" s="74"/>
      <c r="EK510" s="74"/>
      <c r="EL510" s="1071"/>
      <c r="EM510" s="74"/>
      <c r="EN510" s="74"/>
      <c r="EO510" s="1071"/>
      <c r="EP510" s="74"/>
      <c r="EQ510" s="74"/>
      <c r="ER510" s="1071"/>
      <c r="ES510" s="74"/>
      <c r="ET510" s="74"/>
      <c r="EU510" s="1071"/>
      <c r="EV510" s="74"/>
      <c r="EW510" s="74"/>
      <c r="EX510" s="1071"/>
      <c r="EY510" s="74"/>
      <c r="EZ510" s="74"/>
      <c r="FA510" s="1071"/>
      <c r="FE510"/>
      <c r="FF510"/>
      <c r="FG510"/>
      <c r="FH510"/>
      <c r="FI510"/>
      <c r="FJ510"/>
      <c r="FK510" s="35"/>
    </row>
    <row r="511" spans="1:167" s="236" customFormat="1" ht="13.35" customHeight="1">
      <c r="A511" s="289"/>
      <c r="B511" s="242"/>
      <c r="C511" s="308"/>
      <c r="D511" s="35"/>
      <c r="E511" s="828"/>
      <c r="F511" s="828"/>
      <c r="G511" s="35"/>
      <c r="H511" s="828"/>
      <c r="I511" s="828"/>
      <c r="J511" s="35"/>
      <c r="K511" s="828"/>
      <c r="L511" s="828"/>
      <c r="M511" s="35"/>
      <c r="N511" s="828"/>
      <c r="O511" s="828"/>
      <c r="P511" s="828"/>
      <c r="Q511" s="828"/>
      <c r="R511" s="828"/>
      <c r="S511" s="35"/>
      <c r="T511" s="828"/>
      <c r="U511" s="828"/>
      <c r="V511" s="35"/>
      <c r="W511" s="828"/>
      <c r="X511" s="828"/>
      <c r="Y511" s="35"/>
      <c r="Z511" s="828"/>
      <c r="AA511" s="828"/>
      <c r="AB511" s="35"/>
      <c r="AC511" s="828"/>
      <c r="AD511" s="828"/>
      <c r="AE511" s="35"/>
      <c r="AF511" s="828"/>
      <c r="AG511" s="828"/>
      <c r="AH511" s="35"/>
      <c r="AI511" s="828"/>
      <c r="AJ511" s="828"/>
      <c r="AK511" s="35"/>
      <c r="AL511" s="828"/>
      <c r="AM511" s="828"/>
      <c r="AN511" s="35"/>
      <c r="AO511" s="828"/>
      <c r="AP511" s="828"/>
      <c r="AQ511" s="35"/>
      <c r="AR511" s="828"/>
      <c r="AS511" s="828"/>
      <c r="AT511" s="35"/>
      <c r="AU511" s="828"/>
      <c r="AV511" s="828"/>
      <c r="AW511" s="35"/>
      <c r="AX511" s="70">
        <f>AX250</f>
        <v>0</v>
      </c>
      <c r="AY511" s="70">
        <f>AY250</f>
        <v>0</v>
      </c>
      <c r="AZ511" s="70">
        <f t="shared" ref="AZ511:DK511" si="1334">AZ250</f>
        <v>0</v>
      </c>
      <c r="BA511" s="70">
        <f t="shared" si="1334"/>
        <v>0</v>
      </c>
      <c r="BB511" s="70">
        <f t="shared" si="1334"/>
        <v>0</v>
      </c>
      <c r="BC511" s="70">
        <f t="shared" si="1334"/>
        <v>0</v>
      </c>
      <c r="BD511" s="70">
        <f t="shared" si="1334"/>
        <v>0</v>
      </c>
      <c r="BE511" s="70">
        <f t="shared" si="1334"/>
        <v>0</v>
      </c>
      <c r="BF511" s="70">
        <f t="shared" si="1334"/>
        <v>0</v>
      </c>
      <c r="BG511" s="70">
        <f t="shared" si="1334"/>
        <v>0</v>
      </c>
      <c r="BH511" s="70">
        <f t="shared" si="1334"/>
        <v>0</v>
      </c>
      <c r="BI511" s="70">
        <f t="shared" si="1334"/>
        <v>0</v>
      </c>
      <c r="BJ511" s="70">
        <f t="shared" si="1334"/>
        <v>0</v>
      </c>
      <c r="BK511" s="70">
        <f t="shared" si="1334"/>
        <v>0</v>
      </c>
      <c r="BL511" s="70">
        <f t="shared" si="1334"/>
        <v>0</v>
      </c>
      <c r="BM511" s="70" t="str">
        <f t="shared" si="1334"/>
        <v/>
      </c>
      <c r="BN511" s="70">
        <f t="shared" si="1334"/>
        <v>0.187</v>
      </c>
      <c r="BO511" s="70">
        <f t="shared" si="1334"/>
        <v>0.187</v>
      </c>
      <c r="BP511" s="70">
        <f t="shared" si="1334"/>
        <v>0</v>
      </c>
      <c r="BQ511" s="70">
        <f t="shared" si="1334"/>
        <v>0.38300000000000001</v>
      </c>
      <c r="BR511" s="70">
        <f t="shared" si="1334"/>
        <v>0.38300000000000001</v>
      </c>
      <c r="BS511" s="70" t="str">
        <f t="shared" si="1334"/>
        <v/>
      </c>
      <c r="BT511" s="70" t="str">
        <f t="shared" si="1334"/>
        <v/>
      </c>
      <c r="BU511" s="70" t="str">
        <f t="shared" si="1334"/>
        <v/>
      </c>
      <c r="BV511" s="70" t="str">
        <f t="shared" si="1334"/>
        <v/>
      </c>
      <c r="BW511" s="70">
        <f t="shared" si="1334"/>
        <v>0</v>
      </c>
      <c r="BX511" s="70">
        <f t="shared" si="1334"/>
        <v>0</v>
      </c>
      <c r="BY511" s="70" t="str">
        <f t="shared" si="1334"/>
        <v/>
      </c>
      <c r="BZ511" s="70" t="str">
        <f t="shared" si="1334"/>
        <v/>
      </c>
      <c r="CA511" s="70" t="str">
        <f t="shared" si="1334"/>
        <v/>
      </c>
      <c r="CB511" s="70">
        <f t="shared" si="1334"/>
        <v>0</v>
      </c>
      <c r="CC511" s="70">
        <f t="shared" si="1334"/>
        <v>0</v>
      </c>
      <c r="CD511" s="70">
        <f t="shared" si="1334"/>
        <v>0</v>
      </c>
      <c r="CE511" s="70">
        <f t="shared" si="1334"/>
        <v>0</v>
      </c>
      <c r="CF511" s="70">
        <f t="shared" si="1334"/>
        <v>0</v>
      </c>
      <c r="CG511" s="70">
        <f t="shared" si="1334"/>
        <v>0</v>
      </c>
      <c r="CH511" s="70">
        <f t="shared" si="1334"/>
        <v>0</v>
      </c>
      <c r="CI511" s="70">
        <f t="shared" si="1334"/>
        <v>0</v>
      </c>
      <c r="CJ511" s="70">
        <f t="shared" si="1334"/>
        <v>0</v>
      </c>
      <c r="CK511" s="70" t="str">
        <f t="shared" si="1334"/>
        <v/>
      </c>
      <c r="CL511" s="70" t="str">
        <f t="shared" si="1334"/>
        <v/>
      </c>
      <c r="CM511" s="70" t="str">
        <f t="shared" si="1334"/>
        <v/>
      </c>
      <c r="CN511" s="70" t="str">
        <f t="shared" si="1334"/>
        <v/>
      </c>
      <c r="CO511" s="70" t="str">
        <f t="shared" si="1334"/>
        <v/>
      </c>
      <c r="CP511" s="70" t="str">
        <f t="shared" si="1334"/>
        <v/>
      </c>
      <c r="CQ511" s="70" t="str">
        <f t="shared" si="1334"/>
        <v/>
      </c>
      <c r="CR511" s="70" t="str">
        <f t="shared" si="1334"/>
        <v/>
      </c>
      <c r="CS511" s="70" t="str">
        <f t="shared" si="1334"/>
        <v/>
      </c>
      <c r="CT511" s="70" t="str">
        <f t="shared" si="1334"/>
        <v/>
      </c>
      <c r="CU511" s="70">
        <f t="shared" si="1334"/>
        <v>13.755000000000001</v>
      </c>
      <c r="CV511" s="70">
        <f t="shared" si="1334"/>
        <v>13.755000000000001</v>
      </c>
      <c r="CW511" s="70">
        <f t="shared" si="1334"/>
        <v>13.755000000000001</v>
      </c>
      <c r="CX511" s="70">
        <f t="shared" si="1334"/>
        <v>15.064</v>
      </c>
      <c r="CY511" s="70">
        <f t="shared" si="1334"/>
        <v>15.064</v>
      </c>
      <c r="CZ511" s="70">
        <f t="shared" si="1334"/>
        <v>17.600000000000001</v>
      </c>
      <c r="DA511" s="70">
        <f t="shared" si="1334"/>
        <v>15.8</v>
      </c>
      <c r="DB511" s="70">
        <f t="shared" si="1334"/>
        <v>15.8</v>
      </c>
      <c r="DC511" s="70">
        <f t="shared" si="1334"/>
        <v>33.1</v>
      </c>
      <c r="DD511" s="70">
        <f t="shared" si="1334"/>
        <v>47.8</v>
      </c>
      <c r="DE511" s="70">
        <f t="shared" si="1334"/>
        <v>47.8</v>
      </c>
      <c r="DF511" s="70">
        <f t="shared" si="1334"/>
        <v>83</v>
      </c>
      <c r="DG511" s="70">
        <f t="shared" si="1334"/>
        <v>94.9</v>
      </c>
      <c r="DH511" s="1074">
        <f t="shared" si="1334"/>
        <v>94.9</v>
      </c>
      <c r="DI511" s="70">
        <f t="shared" si="1334"/>
        <v>132.1</v>
      </c>
      <c r="DJ511" s="70">
        <f t="shared" si="1334"/>
        <v>199.5</v>
      </c>
      <c r="DK511" s="1074">
        <f t="shared" si="1334"/>
        <v>199.5</v>
      </c>
      <c r="DL511" s="70">
        <f>DL250</f>
        <v>180.9</v>
      </c>
      <c r="DM511" s="70">
        <f>DM250</f>
        <v>119.1</v>
      </c>
      <c r="DN511" s="1074">
        <f>DN250</f>
        <v>119.1</v>
      </c>
      <c r="DO511" s="70">
        <f t="shared" ref="DO511:DT511" si="1335">DO250</f>
        <v>88.4</v>
      </c>
      <c r="DP511" s="70">
        <f t="shared" si="1335"/>
        <v>93.8</v>
      </c>
      <c r="DQ511" s="1074">
        <f t="shared" si="1335"/>
        <v>93.8</v>
      </c>
      <c r="DR511" s="70">
        <f t="shared" si="1335"/>
        <v>56.2</v>
      </c>
      <c r="DS511" s="70">
        <f t="shared" si="1335"/>
        <v>80.5</v>
      </c>
      <c r="DT511" s="1074">
        <f t="shared" si="1335"/>
        <v>80.5</v>
      </c>
      <c r="DU511" s="70"/>
      <c r="DV511" s="70"/>
      <c r="DW511" s="1074"/>
      <c r="DX511" s="70"/>
      <c r="DY511" s="70"/>
      <c r="DZ511" s="1074"/>
      <c r="EA511" s="70"/>
      <c r="EB511" s="70"/>
      <c r="EC511" s="1074"/>
      <c r="ED511" s="70"/>
      <c r="EE511" s="70"/>
      <c r="EF511" s="1074"/>
      <c r="EG511" s="70"/>
      <c r="EH511" s="70"/>
      <c r="EI511" s="1074"/>
      <c r="EJ511" s="70"/>
      <c r="EK511" s="70"/>
      <c r="EL511" s="1074"/>
      <c r="EM511" s="70"/>
      <c r="EN511" s="70"/>
      <c r="EO511" s="1074"/>
      <c r="EP511" s="70"/>
      <c r="EQ511" s="70"/>
      <c r="ER511" s="1074"/>
      <c r="ES511" s="70"/>
      <c r="ET511" s="70"/>
      <c r="EU511" s="1074"/>
      <c r="EV511" s="70"/>
      <c r="EW511" s="70"/>
      <c r="EX511" s="1074"/>
      <c r="EY511" s="70"/>
      <c r="EZ511" s="70"/>
      <c r="FA511" s="1074"/>
      <c r="FE511"/>
      <c r="FF511"/>
      <c r="FG511"/>
      <c r="FH511"/>
      <c r="FI511"/>
      <c r="FJ511"/>
      <c r="FK511" s="35"/>
    </row>
    <row r="512" spans="1:167" s="236" customFormat="1" ht="13.35" customHeight="1">
      <c r="A512" s="289"/>
      <c r="B512" s="242"/>
      <c r="C512" s="308"/>
      <c r="D512" s="35"/>
      <c r="E512" s="828"/>
      <c r="F512" s="828"/>
      <c r="G512" s="35"/>
      <c r="H512" s="828"/>
      <c r="I512" s="828"/>
      <c r="J512" s="35"/>
      <c r="K512" s="828"/>
      <c r="L512" s="828"/>
      <c r="M512" s="35"/>
      <c r="N512" s="828"/>
      <c r="O512" s="828"/>
      <c r="P512" s="828"/>
      <c r="Q512" s="828"/>
      <c r="R512" s="828"/>
      <c r="S512" s="35"/>
      <c r="T512" s="828"/>
      <c r="U512" s="828"/>
      <c r="V512" s="35"/>
      <c r="W512" s="828"/>
      <c r="X512" s="828"/>
      <c r="Y512" s="35"/>
      <c r="Z512" s="828"/>
      <c r="AA512" s="828"/>
      <c r="AB512" s="35"/>
      <c r="AC512" s="828"/>
      <c r="AD512" s="828"/>
      <c r="AE512" s="35"/>
      <c r="AF512" s="828"/>
      <c r="AG512" s="828"/>
      <c r="AH512" s="35"/>
      <c r="AI512" s="828"/>
      <c r="AJ512" s="828"/>
      <c r="AK512" s="35"/>
      <c r="AL512" s="828"/>
      <c r="AM512" s="828"/>
      <c r="AN512" s="35"/>
      <c r="AO512" s="828"/>
      <c r="AP512" s="828"/>
      <c r="AQ512" s="35"/>
      <c r="AR512" s="828"/>
      <c r="AS512" s="828"/>
      <c r="AT512" s="35"/>
      <c r="AU512" s="828"/>
      <c r="AV512" s="828"/>
      <c r="AW512" s="35"/>
      <c r="AX512" s="835">
        <v>0</v>
      </c>
      <c r="AY512" s="70">
        <f>AX512</f>
        <v>0</v>
      </c>
      <c r="AZ512" s="70">
        <f t="shared" ref="AZ512:DK512" si="1336">AY512</f>
        <v>0</v>
      </c>
      <c r="BA512" s="70">
        <f t="shared" si="1336"/>
        <v>0</v>
      </c>
      <c r="BB512" s="70">
        <f t="shared" si="1336"/>
        <v>0</v>
      </c>
      <c r="BC512" s="70">
        <f t="shared" si="1336"/>
        <v>0</v>
      </c>
      <c r="BD512" s="70">
        <f t="shared" si="1336"/>
        <v>0</v>
      </c>
      <c r="BE512" s="70">
        <f t="shared" si="1336"/>
        <v>0</v>
      </c>
      <c r="BF512" s="70">
        <f t="shared" si="1336"/>
        <v>0</v>
      </c>
      <c r="BG512" s="70">
        <f t="shared" si="1336"/>
        <v>0</v>
      </c>
      <c r="BH512" s="70">
        <f t="shared" si="1336"/>
        <v>0</v>
      </c>
      <c r="BI512" s="70">
        <f t="shared" si="1336"/>
        <v>0</v>
      </c>
      <c r="BJ512" s="70">
        <f t="shared" si="1336"/>
        <v>0</v>
      </c>
      <c r="BK512" s="70">
        <f t="shared" si="1336"/>
        <v>0</v>
      </c>
      <c r="BL512" s="70">
        <f t="shared" si="1336"/>
        <v>0</v>
      </c>
      <c r="BM512" s="70">
        <f t="shared" si="1336"/>
        <v>0</v>
      </c>
      <c r="BN512" s="70">
        <f t="shared" si="1336"/>
        <v>0</v>
      </c>
      <c r="BO512" s="70">
        <f t="shared" si="1336"/>
        <v>0</v>
      </c>
      <c r="BP512" s="70">
        <f t="shared" si="1336"/>
        <v>0</v>
      </c>
      <c r="BQ512" s="70">
        <f t="shared" si="1336"/>
        <v>0</v>
      </c>
      <c r="BR512" s="70">
        <f t="shared" si="1336"/>
        <v>0</v>
      </c>
      <c r="BS512" s="70">
        <f t="shared" si="1336"/>
        <v>0</v>
      </c>
      <c r="BT512" s="70">
        <f t="shared" si="1336"/>
        <v>0</v>
      </c>
      <c r="BU512" s="70">
        <f t="shared" si="1336"/>
        <v>0</v>
      </c>
      <c r="BV512" s="70">
        <f t="shared" si="1336"/>
        <v>0</v>
      </c>
      <c r="BW512" s="70">
        <f t="shared" si="1336"/>
        <v>0</v>
      </c>
      <c r="BX512" s="70">
        <f t="shared" si="1336"/>
        <v>0</v>
      </c>
      <c r="BY512" s="70">
        <f t="shared" si="1336"/>
        <v>0</v>
      </c>
      <c r="BZ512" s="70">
        <f t="shared" si="1336"/>
        <v>0</v>
      </c>
      <c r="CA512" s="70">
        <f t="shared" si="1336"/>
        <v>0</v>
      </c>
      <c r="CB512" s="70">
        <f t="shared" si="1336"/>
        <v>0</v>
      </c>
      <c r="CC512" s="70">
        <f t="shared" si="1336"/>
        <v>0</v>
      </c>
      <c r="CD512" s="70">
        <f t="shared" si="1336"/>
        <v>0</v>
      </c>
      <c r="CE512" s="70">
        <f t="shared" si="1336"/>
        <v>0</v>
      </c>
      <c r="CF512" s="70">
        <f t="shared" si="1336"/>
        <v>0</v>
      </c>
      <c r="CG512" s="70">
        <f t="shared" si="1336"/>
        <v>0</v>
      </c>
      <c r="CH512" s="70">
        <f t="shared" si="1336"/>
        <v>0</v>
      </c>
      <c r="CI512" s="70">
        <f t="shared" si="1336"/>
        <v>0</v>
      </c>
      <c r="CJ512" s="70">
        <f t="shared" si="1336"/>
        <v>0</v>
      </c>
      <c r="CK512" s="70">
        <f t="shared" si="1336"/>
        <v>0</v>
      </c>
      <c r="CL512" s="70">
        <f t="shared" si="1336"/>
        <v>0</v>
      </c>
      <c r="CM512" s="70">
        <f t="shared" si="1336"/>
        <v>0</v>
      </c>
      <c r="CN512" s="70">
        <f t="shared" si="1336"/>
        <v>0</v>
      </c>
      <c r="CO512" s="70">
        <f t="shared" si="1336"/>
        <v>0</v>
      </c>
      <c r="CP512" s="70">
        <f t="shared" si="1336"/>
        <v>0</v>
      </c>
      <c r="CQ512" s="70">
        <f t="shared" si="1336"/>
        <v>0</v>
      </c>
      <c r="CR512" s="70">
        <f t="shared" si="1336"/>
        <v>0</v>
      </c>
      <c r="CS512" s="70">
        <f t="shared" si="1336"/>
        <v>0</v>
      </c>
      <c r="CT512" s="70">
        <f t="shared" si="1336"/>
        <v>0</v>
      </c>
      <c r="CU512" s="70">
        <f t="shared" si="1336"/>
        <v>0</v>
      </c>
      <c r="CV512" s="70">
        <f t="shared" si="1336"/>
        <v>0</v>
      </c>
      <c r="CW512" s="70">
        <f t="shared" si="1336"/>
        <v>0</v>
      </c>
      <c r="CX512" s="70">
        <f t="shared" si="1336"/>
        <v>0</v>
      </c>
      <c r="CY512" s="70">
        <f t="shared" si="1336"/>
        <v>0</v>
      </c>
      <c r="CZ512" s="70">
        <f t="shared" si="1336"/>
        <v>0</v>
      </c>
      <c r="DA512" s="70">
        <f t="shared" si="1336"/>
        <v>0</v>
      </c>
      <c r="DB512" s="70">
        <f t="shared" si="1336"/>
        <v>0</v>
      </c>
      <c r="DC512" s="70">
        <f t="shared" si="1336"/>
        <v>0</v>
      </c>
      <c r="DD512" s="70">
        <f t="shared" si="1336"/>
        <v>0</v>
      </c>
      <c r="DE512" s="70">
        <f t="shared" si="1336"/>
        <v>0</v>
      </c>
      <c r="DF512" s="70">
        <f t="shared" si="1336"/>
        <v>0</v>
      </c>
      <c r="DG512" s="70">
        <f>DF512</f>
        <v>0</v>
      </c>
      <c r="DH512" s="1074">
        <f>DG512</f>
        <v>0</v>
      </c>
      <c r="DI512" s="70">
        <f t="shared" si="1336"/>
        <v>0</v>
      </c>
      <c r="DJ512" s="70">
        <f t="shared" si="1336"/>
        <v>0</v>
      </c>
      <c r="DK512" s="1074">
        <f t="shared" si="1336"/>
        <v>0</v>
      </c>
      <c r="DL512" s="70">
        <f>DK512</f>
        <v>0</v>
      </c>
      <c r="DM512" s="70">
        <f>DL512</f>
        <v>0</v>
      </c>
      <c r="DN512" s="1074">
        <f>DM512</f>
        <v>0</v>
      </c>
      <c r="DO512" s="70">
        <f t="shared" ref="DO512:DT512" si="1337">DN512</f>
        <v>0</v>
      </c>
      <c r="DP512" s="70">
        <f t="shared" si="1337"/>
        <v>0</v>
      </c>
      <c r="DQ512" s="1074">
        <f t="shared" si="1337"/>
        <v>0</v>
      </c>
      <c r="DR512" s="70">
        <f t="shared" si="1337"/>
        <v>0</v>
      </c>
      <c r="DS512" s="70">
        <f t="shared" si="1337"/>
        <v>0</v>
      </c>
      <c r="DT512" s="1074">
        <f t="shared" si="1337"/>
        <v>0</v>
      </c>
      <c r="DU512" s="70"/>
      <c r="DV512" s="70"/>
      <c r="DW512" s="1074"/>
      <c r="DX512" s="70"/>
      <c r="DY512" s="70"/>
      <c r="DZ512" s="1074"/>
      <c r="EA512" s="70"/>
      <c r="EB512" s="70"/>
      <c r="EC512" s="1074"/>
      <c r="ED512" s="70"/>
      <c r="EE512" s="70"/>
      <c r="EF512" s="1074"/>
      <c r="EG512" s="70"/>
      <c r="EH512" s="70"/>
      <c r="EI512" s="1074"/>
      <c r="EJ512" s="70"/>
      <c r="EK512" s="70"/>
      <c r="EL512" s="1074"/>
      <c r="EM512" s="70"/>
      <c r="EN512" s="70"/>
      <c r="EO512" s="1074"/>
      <c r="EP512" s="70"/>
      <c r="EQ512" s="70"/>
      <c r="ER512" s="1074"/>
      <c r="ES512" s="70"/>
      <c r="ET512" s="70"/>
      <c r="EU512" s="1074"/>
      <c r="EV512" s="70"/>
      <c r="EW512" s="70"/>
      <c r="EX512" s="1074"/>
      <c r="EY512" s="70"/>
      <c r="EZ512" s="70"/>
      <c r="FA512" s="1074"/>
      <c r="FE512"/>
      <c r="FF512"/>
      <c r="FG512"/>
      <c r="FH512"/>
      <c r="FI512"/>
      <c r="FJ512"/>
      <c r="FK512" s="35"/>
    </row>
    <row r="513" spans="1:167" s="236" customFormat="1" ht="13.35" customHeight="1">
      <c r="A513" s="289"/>
      <c r="B513" s="242" t="s">
        <v>863</v>
      </c>
      <c r="C513" s="308"/>
      <c r="D513" s="35"/>
      <c r="E513" s="828"/>
      <c r="F513" s="828"/>
      <c r="G513" s="35"/>
      <c r="H513" s="828"/>
      <c r="I513" s="828"/>
      <c r="J513" s="35"/>
      <c r="K513" s="828"/>
      <c r="L513" s="828"/>
      <c r="M513" s="35"/>
      <c r="N513" s="828"/>
      <c r="O513" s="828"/>
      <c r="P513" s="828"/>
      <c r="Q513" s="828"/>
      <c r="R513" s="828"/>
      <c r="S513" s="35"/>
      <c r="T513" s="828"/>
      <c r="U513" s="828"/>
      <c r="V513" s="35"/>
      <c r="W513" s="828"/>
      <c r="X513" s="828"/>
      <c r="Y513" s="35"/>
      <c r="Z513" s="828"/>
      <c r="AA513" s="828"/>
      <c r="AB513" s="35"/>
      <c r="AC513" s="828"/>
      <c r="AD513" s="828"/>
      <c r="AE513" s="35"/>
      <c r="AF513" s="828"/>
      <c r="AG513" s="828"/>
      <c r="AH513" s="35"/>
      <c r="AI513" s="828"/>
      <c r="AJ513" s="828"/>
      <c r="AK513" s="35"/>
      <c r="AL513" s="828"/>
      <c r="AM513" s="828"/>
      <c r="AN513" s="35"/>
      <c r="AO513" s="828"/>
      <c r="AP513" s="828"/>
      <c r="AQ513" s="35"/>
      <c r="AR513" s="828"/>
      <c r="AS513" s="828"/>
      <c r="AT513" s="35"/>
      <c r="AU513" s="828"/>
      <c r="AV513" s="828"/>
      <c r="AW513" s="35"/>
      <c r="AX513" s="70">
        <f>AX269+AX290</f>
        <v>3.4620000000000002</v>
      </c>
      <c r="AY513" s="70">
        <f t="shared" ref="AY513:DJ513" si="1338">AY269+AY290</f>
        <v>2.4060000000000001</v>
      </c>
      <c r="AZ513" s="70">
        <f t="shared" si="1338"/>
        <v>2.4060000000000001</v>
      </c>
      <c r="BA513" s="70">
        <f t="shared" si="1338"/>
        <v>2.4060000000000001</v>
      </c>
      <c r="BB513" s="70">
        <f t="shared" si="1338"/>
        <v>9.6890000000000001</v>
      </c>
      <c r="BC513" s="70">
        <f t="shared" si="1338"/>
        <v>9.6890000000000001</v>
      </c>
      <c r="BD513" s="70">
        <f t="shared" si="1338"/>
        <v>15.058</v>
      </c>
      <c r="BE513" s="70">
        <f t="shared" si="1338"/>
        <v>24.251999999999999</v>
      </c>
      <c r="BF513" s="70">
        <f t="shared" si="1338"/>
        <v>24.251999999999999</v>
      </c>
      <c r="BG513" s="70">
        <f t="shared" si="1338"/>
        <v>14.676</v>
      </c>
      <c r="BH513" s="70">
        <f t="shared" si="1338"/>
        <v>15.005000000000001</v>
      </c>
      <c r="BI513" s="70">
        <f t="shared" si="1338"/>
        <v>15.005000000000001</v>
      </c>
      <c r="BJ513" s="70">
        <f t="shared" si="1338"/>
        <v>26.59</v>
      </c>
      <c r="BK513" s="70">
        <f t="shared" si="1338"/>
        <v>25.867000000000001</v>
      </c>
      <c r="BL513" s="70">
        <f t="shared" si="1338"/>
        <v>25.867000000000001</v>
      </c>
      <c r="BM513" s="70">
        <f t="shared" si="1338"/>
        <v>28.440999999999999</v>
      </c>
      <c r="BN513" s="70">
        <f t="shared" si="1338"/>
        <v>203.05799999999999</v>
      </c>
      <c r="BO513" s="70">
        <f t="shared" si="1338"/>
        <v>203.05799999999999</v>
      </c>
      <c r="BP513" s="70">
        <f t="shared" si="1338"/>
        <v>194.91500000000002</v>
      </c>
      <c r="BQ513" s="70">
        <f t="shared" si="1338"/>
        <v>196.04</v>
      </c>
      <c r="BR513" s="70">
        <f t="shared" si="1338"/>
        <v>196.04</v>
      </c>
      <c r="BS513" s="70">
        <f t="shared" si="1338"/>
        <v>201.23599999999999</v>
      </c>
      <c r="BT513" s="70">
        <f t="shared" si="1338"/>
        <v>198.88899999999998</v>
      </c>
      <c r="BU513" s="70">
        <f t="shared" si="1338"/>
        <v>198.88899999999998</v>
      </c>
      <c r="BV513" s="70">
        <f t="shared" si="1338"/>
        <v>200.47299999999998</v>
      </c>
      <c r="BW513" s="70">
        <f t="shared" si="1338"/>
        <v>169.98299999999998</v>
      </c>
      <c r="BX513" s="70">
        <f t="shared" si="1338"/>
        <v>169.98299999999998</v>
      </c>
      <c r="BY513" s="70">
        <f t="shared" si="1338"/>
        <v>197.226</v>
      </c>
      <c r="BZ513" s="70">
        <f t="shared" si="1338"/>
        <v>188.583</v>
      </c>
      <c r="CA513" s="70">
        <f t="shared" si="1338"/>
        <v>188.583</v>
      </c>
      <c r="CB513" s="70">
        <f t="shared" si="1338"/>
        <v>142.54599999999999</v>
      </c>
      <c r="CC513" s="70">
        <f t="shared" si="1338"/>
        <v>156.745</v>
      </c>
      <c r="CD513" s="70">
        <f t="shared" si="1338"/>
        <v>156.745</v>
      </c>
      <c r="CE513" s="70">
        <f t="shared" si="1338"/>
        <v>80.936000000000007</v>
      </c>
      <c r="CF513" s="70">
        <f t="shared" si="1338"/>
        <v>63.04</v>
      </c>
      <c r="CG513" s="70">
        <f t="shared" si="1338"/>
        <v>63.04</v>
      </c>
      <c r="CH513" s="70">
        <f t="shared" si="1338"/>
        <v>83.478000000000009</v>
      </c>
      <c r="CI513" s="70">
        <f t="shared" si="1338"/>
        <v>65.671999999999997</v>
      </c>
      <c r="CJ513" s="70">
        <f t="shared" si="1338"/>
        <v>65.671999999999997</v>
      </c>
      <c r="CK513" s="70">
        <f t="shared" si="1338"/>
        <v>142.31900000000002</v>
      </c>
      <c r="CL513" s="70">
        <f t="shared" si="1338"/>
        <v>170.46899999999999</v>
      </c>
      <c r="CM513" s="70">
        <f t="shared" si="1338"/>
        <v>170.46899999999999</v>
      </c>
      <c r="CN513" s="70">
        <f t="shared" si="1338"/>
        <v>226.321</v>
      </c>
      <c r="CO513" s="70">
        <f t="shared" si="1338"/>
        <v>237.41499999999999</v>
      </c>
      <c r="CP513" s="70">
        <f t="shared" si="1338"/>
        <v>237.41499999999999</v>
      </c>
      <c r="CQ513" s="70">
        <f t="shared" si="1338"/>
        <v>230.47800000000001</v>
      </c>
      <c r="CR513" s="70">
        <f t="shared" si="1338"/>
        <v>212.71099999999998</v>
      </c>
      <c r="CS513" s="70">
        <f t="shared" si="1338"/>
        <v>212.71099999999998</v>
      </c>
      <c r="CT513" s="70">
        <f t="shared" si="1338"/>
        <v>213.113</v>
      </c>
      <c r="CU513" s="70">
        <f t="shared" si="1338"/>
        <v>193.238</v>
      </c>
      <c r="CV513" s="70">
        <f t="shared" si="1338"/>
        <v>193.238</v>
      </c>
      <c r="CW513" s="70">
        <f t="shared" si="1338"/>
        <v>172.93599999999998</v>
      </c>
      <c r="CX513" s="70">
        <f t="shared" si="1338"/>
        <v>218.92200000000003</v>
      </c>
      <c r="CY513" s="70">
        <f t="shared" si="1338"/>
        <v>218.92200000000003</v>
      </c>
      <c r="CZ513" s="70">
        <f t="shared" si="1338"/>
        <v>244</v>
      </c>
      <c r="DA513" s="70">
        <f t="shared" si="1338"/>
        <v>147.69999999999999</v>
      </c>
      <c r="DB513" s="70">
        <f t="shared" si="1338"/>
        <v>147.69999999999999</v>
      </c>
      <c r="DC513" s="70">
        <f t="shared" si="1338"/>
        <v>165</v>
      </c>
      <c r="DD513" s="70">
        <f t="shared" si="1338"/>
        <v>181.60000000000002</v>
      </c>
      <c r="DE513" s="70">
        <f t="shared" si="1338"/>
        <v>181.60000000000002</v>
      </c>
      <c r="DF513" s="70">
        <f t="shared" si="1338"/>
        <v>233.70000000000002</v>
      </c>
      <c r="DG513" s="70">
        <f t="shared" si="1338"/>
        <v>472.9</v>
      </c>
      <c r="DH513" s="1074">
        <f t="shared" si="1338"/>
        <v>472.9</v>
      </c>
      <c r="DI513" s="70">
        <f t="shared" si="1338"/>
        <v>110.8</v>
      </c>
      <c r="DJ513" s="70">
        <f t="shared" si="1338"/>
        <v>45</v>
      </c>
      <c r="DK513" s="1074">
        <f>DK269+DK290</f>
        <v>45</v>
      </c>
      <c r="DL513" s="70">
        <f>DL269+DL290</f>
        <v>47.5</v>
      </c>
      <c r="DM513" s="70">
        <f>DM269+DM290</f>
        <v>42.6</v>
      </c>
      <c r="DN513" s="1074">
        <f>DN269+DN290</f>
        <v>42.6</v>
      </c>
      <c r="DO513" s="70">
        <f t="shared" ref="DO513:DT513" si="1339">DO269+DO290</f>
        <v>41.3</v>
      </c>
      <c r="DP513" s="70">
        <f t="shared" si="1339"/>
        <v>0</v>
      </c>
      <c r="DQ513" s="1074">
        <f t="shared" si="1339"/>
        <v>0</v>
      </c>
      <c r="DR513" s="70">
        <f t="shared" si="1339"/>
        <v>0</v>
      </c>
      <c r="DS513" s="70">
        <f t="shared" si="1339"/>
        <v>0</v>
      </c>
      <c r="DT513" s="1074">
        <f t="shared" si="1339"/>
        <v>0</v>
      </c>
      <c r="DU513" s="70"/>
      <c r="DV513" s="70"/>
      <c r="DW513" s="1074"/>
      <c r="DX513" s="70"/>
      <c r="DY513" s="70"/>
      <c r="DZ513" s="1074"/>
      <c r="EA513" s="70"/>
      <c r="EB513" s="70"/>
      <c r="EC513" s="1074"/>
      <c r="ED513" s="70"/>
      <c r="EE513" s="70"/>
      <c r="EF513" s="1074"/>
      <c r="EG513" s="70"/>
      <c r="EH513" s="70"/>
      <c r="EI513" s="1074"/>
      <c r="EJ513" s="70"/>
      <c r="EK513" s="70"/>
      <c r="EL513" s="1074"/>
      <c r="EM513" s="70"/>
      <c r="EN513" s="70"/>
      <c r="EO513" s="1074"/>
      <c r="EP513" s="70"/>
      <c r="EQ513" s="70"/>
      <c r="ER513" s="1074"/>
      <c r="ES513" s="70"/>
      <c r="ET513" s="70"/>
      <c r="EU513" s="1074"/>
      <c r="EV513" s="70"/>
      <c r="EW513" s="70"/>
      <c r="EX513" s="1074"/>
      <c r="EY513" s="70"/>
      <c r="EZ513" s="70"/>
      <c r="FA513" s="1074"/>
      <c r="FE513"/>
      <c r="FF513"/>
      <c r="FG513"/>
      <c r="FH513"/>
      <c r="FI513"/>
      <c r="FJ513"/>
      <c r="FK513" s="35"/>
    </row>
    <row r="514" spans="1:167" s="236" customFormat="1" ht="13.35" customHeight="1">
      <c r="A514" s="289"/>
      <c r="B514" s="242" t="s">
        <v>903</v>
      </c>
      <c r="C514" s="308"/>
      <c r="D514" s="35"/>
      <c r="E514" s="828"/>
      <c r="F514" s="828"/>
      <c r="G514" s="35"/>
      <c r="H514" s="828"/>
      <c r="I514" s="828"/>
      <c r="J514" s="35"/>
      <c r="K514" s="828"/>
      <c r="L514" s="828"/>
      <c r="M514" s="35"/>
      <c r="N514" s="828"/>
      <c r="O514" s="828"/>
      <c r="P514" s="828"/>
      <c r="Q514" s="828"/>
      <c r="R514" s="828"/>
      <c r="S514" s="35"/>
      <c r="T514" s="828"/>
      <c r="U514" s="828"/>
      <c r="V514" s="35"/>
      <c r="W514" s="828"/>
      <c r="X514" s="828"/>
      <c r="Y514" s="35"/>
      <c r="Z514" s="828"/>
      <c r="AA514" s="828"/>
      <c r="AB514" s="35"/>
      <c r="AC514" s="828"/>
      <c r="AD514" s="828"/>
      <c r="AE514" s="35"/>
      <c r="AF514" s="828"/>
      <c r="AG514" s="828"/>
      <c r="AH514" s="35"/>
      <c r="AI514" s="828"/>
      <c r="AJ514" s="828"/>
      <c r="AK514" s="35"/>
      <c r="AL514" s="828"/>
      <c r="AM514" s="828"/>
      <c r="AN514" s="35"/>
      <c r="AO514" s="828"/>
      <c r="AP514" s="828"/>
      <c r="AQ514" s="35"/>
      <c r="AR514" s="828"/>
      <c r="AS514" s="828"/>
      <c r="AT514" s="35"/>
      <c r="AU514" s="828"/>
      <c r="AV514" s="828"/>
      <c r="AW514" s="35"/>
      <c r="AX514" s="835">
        <v>0</v>
      </c>
      <c r="AY514" s="70">
        <f>AX514</f>
        <v>0</v>
      </c>
      <c r="AZ514" s="70">
        <f t="shared" ref="AZ514:DK514" si="1340">AY514</f>
        <v>0</v>
      </c>
      <c r="BA514" s="70">
        <f t="shared" si="1340"/>
        <v>0</v>
      </c>
      <c r="BB514" s="70">
        <f t="shared" si="1340"/>
        <v>0</v>
      </c>
      <c r="BC514" s="70">
        <f t="shared" si="1340"/>
        <v>0</v>
      </c>
      <c r="BD514" s="70">
        <f t="shared" si="1340"/>
        <v>0</v>
      </c>
      <c r="BE514" s="70">
        <f t="shared" si="1340"/>
        <v>0</v>
      </c>
      <c r="BF514" s="70">
        <f t="shared" si="1340"/>
        <v>0</v>
      </c>
      <c r="BG514" s="70">
        <f t="shared" si="1340"/>
        <v>0</v>
      </c>
      <c r="BH514" s="70">
        <f t="shared" si="1340"/>
        <v>0</v>
      </c>
      <c r="BI514" s="70">
        <f t="shared" si="1340"/>
        <v>0</v>
      </c>
      <c r="BJ514" s="70">
        <f t="shared" si="1340"/>
        <v>0</v>
      </c>
      <c r="BK514" s="70">
        <f t="shared" si="1340"/>
        <v>0</v>
      </c>
      <c r="BL514" s="70">
        <f t="shared" si="1340"/>
        <v>0</v>
      </c>
      <c r="BM514" s="70">
        <f t="shared" si="1340"/>
        <v>0</v>
      </c>
      <c r="BN514" s="70">
        <f t="shared" si="1340"/>
        <v>0</v>
      </c>
      <c r="BO514" s="70">
        <f t="shared" si="1340"/>
        <v>0</v>
      </c>
      <c r="BP514" s="70">
        <f t="shared" si="1340"/>
        <v>0</v>
      </c>
      <c r="BQ514" s="70">
        <f t="shared" si="1340"/>
        <v>0</v>
      </c>
      <c r="BR514" s="70">
        <f t="shared" si="1340"/>
        <v>0</v>
      </c>
      <c r="BS514" s="70">
        <f t="shared" si="1340"/>
        <v>0</v>
      </c>
      <c r="BT514" s="70">
        <f t="shared" si="1340"/>
        <v>0</v>
      </c>
      <c r="BU514" s="70">
        <f t="shared" si="1340"/>
        <v>0</v>
      </c>
      <c r="BV514" s="70">
        <f t="shared" si="1340"/>
        <v>0</v>
      </c>
      <c r="BW514" s="70">
        <f t="shared" si="1340"/>
        <v>0</v>
      </c>
      <c r="BX514" s="70">
        <f t="shared" si="1340"/>
        <v>0</v>
      </c>
      <c r="BY514" s="70">
        <f t="shared" si="1340"/>
        <v>0</v>
      </c>
      <c r="BZ514" s="70">
        <f t="shared" si="1340"/>
        <v>0</v>
      </c>
      <c r="CA514" s="70">
        <f t="shared" si="1340"/>
        <v>0</v>
      </c>
      <c r="CB514" s="70">
        <f t="shared" si="1340"/>
        <v>0</v>
      </c>
      <c r="CC514" s="70">
        <f t="shared" si="1340"/>
        <v>0</v>
      </c>
      <c r="CD514" s="70">
        <f t="shared" si="1340"/>
        <v>0</v>
      </c>
      <c r="CE514" s="70">
        <f t="shared" si="1340"/>
        <v>0</v>
      </c>
      <c r="CF514" s="70">
        <f t="shared" si="1340"/>
        <v>0</v>
      </c>
      <c r="CG514" s="70">
        <f t="shared" si="1340"/>
        <v>0</v>
      </c>
      <c r="CH514" s="70">
        <f t="shared" si="1340"/>
        <v>0</v>
      </c>
      <c r="CI514" s="70">
        <f t="shared" si="1340"/>
        <v>0</v>
      </c>
      <c r="CJ514" s="70">
        <f t="shared" si="1340"/>
        <v>0</v>
      </c>
      <c r="CK514" s="70">
        <f t="shared" si="1340"/>
        <v>0</v>
      </c>
      <c r="CL514" s="70">
        <f t="shared" si="1340"/>
        <v>0</v>
      </c>
      <c r="CM514" s="70">
        <f t="shared" si="1340"/>
        <v>0</v>
      </c>
      <c r="CN514" s="70">
        <f t="shared" si="1340"/>
        <v>0</v>
      </c>
      <c r="CO514" s="70">
        <f t="shared" si="1340"/>
        <v>0</v>
      </c>
      <c r="CP514" s="70">
        <f t="shared" si="1340"/>
        <v>0</v>
      </c>
      <c r="CQ514" s="70">
        <f t="shared" si="1340"/>
        <v>0</v>
      </c>
      <c r="CR514" s="70">
        <f t="shared" si="1340"/>
        <v>0</v>
      </c>
      <c r="CS514" s="70">
        <f t="shared" si="1340"/>
        <v>0</v>
      </c>
      <c r="CT514" s="70">
        <f t="shared" si="1340"/>
        <v>0</v>
      </c>
      <c r="CU514" s="70">
        <f t="shared" si="1340"/>
        <v>0</v>
      </c>
      <c r="CV514" s="70">
        <f t="shared" si="1340"/>
        <v>0</v>
      </c>
      <c r="CW514" s="70">
        <f t="shared" si="1340"/>
        <v>0</v>
      </c>
      <c r="CX514" s="70">
        <f t="shared" si="1340"/>
        <v>0</v>
      </c>
      <c r="CY514" s="70">
        <f t="shared" si="1340"/>
        <v>0</v>
      </c>
      <c r="CZ514" s="70">
        <f t="shared" si="1340"/>
        <v>0</v>
      </c>
      <c r="DA514" s="70">
        <f t="shared" si="1340"/>
        <v>0</v>
      </c>
      <c r="DB514" s="70">
        <f t="shared" si="1340"/>
        <v>0</v>
      </c>
      <c r="DC514" s="70">
        <f t="shared" si="1340"/>
        <v>0</v>
      </c>
      <c r="DD514" s="70">
        <f t="shared" si="1340"/>
        <v>0</v>
      </c>
      <c r="DE514" s="70">
        <f t="shared" si="1340"/>
        <v>0</v>
      </c>
      <c r="DF514" s="70">
        <f t="shared" si="1340"/>
        <v>0</v>
      </c>
      <c r="DG514" s="70">
        <f>DF514</f>
        <v>0</v>
      </c>
      <c r="DH514" s="1074">
        <f>DG514</f>
        <v>0</v>
      </c>
      <c r="DI514" s="70">
        <f t="shared" si="1340"/>
        <v>0</v>
      </c>
      <c r="DJ514" s="70">
        <f t="shared" si="1340"/>
        <v>0</v>
      </c>
      <c r="DK514" s="1074">
        <f t="shared" si="1340"/>
        <v>0</v>
      </c>
      <c r="DL514" s="70">
        <f>DK514</f>
        <v>0</v>
      </c>
      <c r="DM514" s="70">
        <f>DL514</f>
        <v>0</v>
      </c>
      <c r="DN514" s="1074">
        <f>DM514</f>
        <v>0</v>
      </c>
      <c r="DO514" s="70">
        <f t="shared" ref="DO514:DT514" si="1341">DN514</f>
        <v>0</v>
      </c>
      <c r="DP514" s="70">
        <f t="shared" si="1341"/>
        <v>0</v>
      </c>
      <c r="DQ514" s="1074">
        <f t="shared" si="1341"/>
        <v>0</v>
      </c>
      <c r="DR514" s="70">
        <f t="shared" si="1341"/>
        <v>0</v>
      </c>
      <c r="DS514" s="70">
        <f t="shared" si="1341"/>
        <v>0</v>
      </c>
      <c r="DT514" s="1074">
        <f t="shared" si="1341"/>
        <v>0</v>
      </c>
      <c r="DU514" s="70"/>
      <c r="DV514" s="70"/>
      <c r="DW514" s="1074"/>
      <c r="DX514" s="70"/>
      <c r="DY514" s="70"/>
      <c r="DZ514" s="1074"/>
      <c r="EA514" s="70"/>
      <c r="EB514" s="70"/>
      <c r="EC514" s="1074"/>
      <c r="ED514" s="70"/>
      <c r="EE514" s="70"/>
      <c r="EF514" s="1074"/>
      <c r="EG514" s="70"/>
      <c r="EH514" s="70"/>
      <c r="EI514" s="1074"/>
      <c r="EJ514" s="70"/>
      <c r="EK514" s="70"/>
      <c r="EL514" s="1074"/>
      <c r="EM514" s="70"/>
      <c r="EN514" s="70"/>
      <c r="EO514" s="1074"/>
      <c r="EP514" s="70"/>
      <c r="EQ514" s="70"/>
      <c r="ER514" s="1074"/>
      <c r="ES514" s="70"/>
      <c r="ET514" s="70"/>
      <c r="EU514" s="1074"/>
      <c r="EV514" s="70"/>
      <c r="EW514" s="70"/>
      <c r="EX514" s="1074"/>
      <c r="EY514" s="70"/>
      <c r="EZ514" s="70"/>
      <c r="FA514" s="1074"/>
      <c r="FE514"/>
      <c r="FF514"/>
      <c r="FG514"/>
      <c r="FH514"/>
      <c r="FI514"/>
      <c r="FJ514"/>
      <c r="FK514" s="35"/>
    </row>
    <row r="515" spans="1:167" s="236" customFormat="1" ht="13.35" customHeight="1">
      <c r="A515" s="289"/>
      <c r="B515" s="401" t="s">
        <v>220</v>
      </c>
      <c r="C515" s="806"/>
      <c r="D515" s="289"/>
      <c r="E515" s="820"/>
      <c r="F515" s="820"/>
      <c r="G515" s="821"/>
      <c r="H515" s="820"/>
      <c r="I515" s="820"/>
      <c r="J515" s="821"/>
      <c r="K515" s="820"/>
      <c r="L515" s="820"/>
      <c r="M515" s="821"/>
      <c r="N515" s="820"/>
      <c r="O515" s="820"/>
      <c r="P515" s="821"/>
      <c r="Q515" s="809"/>
      <c r="R515" s="809"/>
      <c r="S515" s="810"/>
      <c r="T515" s="809"/>
      <c r="U515" s="809"/>
      <c r="V515" s="808"/>
      <c r="W515" s="807"/>
      <c r="X515" s="807"/>
      <c r="Y515" s="808"/>
      <c r="Z515" s="807"/>
      <c r="AA515" s="807"/>
      <c r="AB515" s="808"/>
      <c r="AC515" s="807"/>
      <c r="AD515" s="807"/>
      <c r="AE515" s="808"/>
      <c r="AF515" s="807"/>
      <c r="AG515" s="807"/>
      <c r="AH515" s="808"/>
      <c r="AI515" s="807"/>
      <c r="AJ515" s="807"/>
      <c r="AK515" s="808"/>
      <c r="AL515" s="807"/>
      <c r="AM515" s="807"/>
      <c r="AN515" s="808"/>
      <c r="AO515" s="807"/>
      <c r="AP515" s="807"/>
      <c r="AQ515" s="808"/>
      <c r="AR515" s="807"/>
      <c r="AS515" s="807"/>
      <c r="AT515" s="808"/>
      <c r="AU515" s="820"/>
      <c r="AV515" s="820"/>
      <c r="AW515" s="821"/>
      <c r="AX515" s="853">
        <f>AX514+AX310+AX311</f>
        <v>7.93</v>
      </c>
      <c r="AY515" s="853">
        <f>AY514+AY310+AY311</f>
        <v>7.9640000000000004</v>
      </c>
      <c r="AZ515" s="853">
        <f t="shared" ref="AZ515:DK515" si="1342">AZ514+AZ310+AZ311</f>
        <v>7.9640000000000004</v>
      </c>
      <c r="BA515" s="853">
        <f t="shared" si="1342"/>
        <v>10.882999999999999</v>
      </c>
      <c r="BB515" s="853">
        <f t="shared" si="1342"/>
        <v>10.882999999999999</v>
      </c>
      <c r="BC515" s="853">
        <f t="shared" si="1342"/>
        <v>10.882999999999999</v>
      </c>
      <c r="BD515" s="853">
        <f t="shared" si="1342"/>
        <v>14.959</v>
      </c>
      <c r="BE515" s="853">
        <f t="shared" si="1342"/>
        <v>14.959</v>
      </c>
      <c r="BF515" s="853">
        <f t="shared" si="1342"/>
        <v>14.959</v>
      </c>
      <c r="BG515" s="853">
        <f t="shared" si="1342"/>
        <v>23.088999999999999</v>
      </c>
      <c r="BH515" s="853">
        <f t="shared" si="1342"/>
        <v>23.088999999999999</v>
      </c>
      <c r="BI515" s="853">
        <f t="shared" si="1342"/>
        <v>23.088999999999999</v>
      </c>
      <c r="BJ515" s="853">
        <f t="shared" si="1342"/>
        <v>50.746000000000002</v>
      </c>
      <c r="BK515" s="853">
        <f t="shared" si="1342"/>
        <v>50.746000000000002</v>
      </c>
      <c r="BL515" s="853">
        <f t="shared" si="1342"/>
        <v>50.746000000000002</v>
      </c>
      <c r="BM515" s="853">
        <f t="shared" si="1342"/>
        <v>50.746000000000002</v>
      </c>
      <c r="BN515" s="853">
        <f t="shared" si="1342"/>
        <v>49.375</v>
      </c>
      <c r="BO515" s="853">
        <f t="shared" si="1342"/>
        <v>49.375</v>
      </c>
      <c r="BP515" s="853">
        <f t="shared" si="1342"/>
        <v>66.662999999999997</v>
      </c>
      <c r="BQ515" s="853">
        <f t="shared" si="1342"/>
        <v>66.662999999999997</v>
      </c>
      <c r="BR515" s="853">
        <f t="shared" si="1342"/>
        <v>66.662999999999997</v>
      </c>
      <c r="BS515" s="853">
        <f t="shared" si="1342"/>
        <v>69.998000000000005</v>
      </c>
      <c r="BT515" s="853">
        <f t="shared" si="1342"/>
        <v>69.998000000000005</v>
      </c>
      <c r="BU515" s="853">
        <f t="shared" si="1342"/>
        <v>69.998000000000005</v>
      </c>
      <c r="BV515" s="853">
        <f t="shared" si="1342"/>
        <v>82.971000000000004</v>
      </c>
      <c r="BW515" s="853">
        <f t="shared" si="1342"/>
        <v>82.971999999999994</v>
      </c>
      <c r="BX515" s="853">
        <f t="shared" si="1342"/>
        <v>82.971999999999994</v>
      </c>
      <c r="BY515" s="853">
        <f t="shared" si="1342"/>
        <v>96.114000000000004</v>
      </c>
      <c r="BZ515" s="853">
        <f t="shared" si="1342"/>
        <v>97.435000000000002</v>
      </c>
      <c r="CA515" s="853">
        <f t="shared" si="1342"/>
        <v>97.435000000000002</v>
      </c>
      <c r="CB515" s="853">
        <f t="shared" si="1342"/>
        <v>109.952</v>
      </c>
      <c r="CC515" s="853">
        <f t="shared" si="1342"/>
        <v>117.01600000000001</v>
      </c>
      <c r="CD515" s="853">
        <f t="shared" si="1342"/>
        <v>117.01600000000001</v>
      </c>
      <c r="CE515" s="853">
        <f t="shared" si="1342"/>
        <v>117.673</v>
      </c>
      <c r="CF515" s="853">
        <f t="shared" si="1342"/>
        <v>119.73699999999999</v>
      </c>
      <c r="CG515" s="853">
        <f t="shared" si="1342"/>
        <v>119.73699999999999</v>
      </c>
      <c r="CH515" s="853">
        <f t="shared" si="1342"/>
        <v>121.271</v>
      </c>
      <c r="CI515" s="853">
        <f t="shared" si="1342"/>
        <v>121.136</v>
      </c>
      <c r="CJ515" s="853">
        <f t="shared" si="1342"/>
        <v>121.136</v>
      </c>
      <c r="CK515" s="853">
        <f t="shared" si="1342"/>
        <v>118.446</v>
      </c>
      <c r="CL515" s="853">
        <f t="shared" si="1342"/>
        <v>118.788</v>
      </c>
      <c r="CM515" s="853">
        <f t="shared" si="1342"/>
        <v>118.788</v>
      </c>
      <c r="CN515" s="853">
        <f t="shared" si="1342"/>
        <v>118.788</v>
      </c>
      <c r="CO515" s="853">
        <f t="shared" si="1342"/>
        <v>144.136</v>
      </c>
      <c r="CP515" s="853">
        <f t="shared" si="1342"/>
        <v>144.136</v>
      </c>
      <c r="CQ515" s="853">
        <f t="shared" si="1342"/>
        <v>144.136</v>
      </c>
      <c r="CR515" s="853">
        <f t="shared" si="1342"/>
        <v>144.136</v>
      </c>
      <c r="CS515" s="853">
        <f t="shared" si="1342"/>
        <v>144.136</v>
      </c>
      <c r="CT515" s="853">
        <f t="shared" si="1342"/>
        <v>157.18</v>
      </c>
      <c r="CU515" s="853">
        <f t="shared" si="1342"/>
        <v>158.94</v>
      </c>
      <c r="CV515" s="853">
        <f t="shared" si="1342"/>
        <v>158.94</v>
      </c>
      <c r="CW515" s="853">
        <f t="shared" si="1342"/>
        <v>169.333</v>
      </c>
      <c r="CX515" s="853">
        <f t="shared" si="1342"/>
        <v>169.36699999999999</v>
      </c>
      <c r="CY515" s="853">
        <f t="shared" si="1342"/>
        <v>169.36699999999999</v>
      </c>
      <c r="CZ515" s="853">
        <f t="shared" si="1342"/>
        <v>172.9</v>
      </c>
      <c r="DA515" s="853">
        <f t="shared" si="1342"/>
        <v>173</v>
      </c>
      <c r="DB515" s="853">
        <f t="shared" si="1342"/>
        <v>173</v>
      </c>
      <c r="DC515" s="853">
        <f t="shared" si="1342"/>
        <v>182.2</v>
      </c>
      <c r="DD515" s="853">
        <f t="shared" si="1342"/>
        <v>182.3</v>
      </c>
      <c r="DE515" s="853">
        <f t="shared" si="1342"/>
        <v>182.3</v>
      </c>
      <c r="DF515" s="853">
        <f t="shared" si="1342"/>
        <v>189.7</v>
      </c>
      <c r="DG515" s="853">
        <f t="shared" si="1342"/>
        <v>1272.4000000000001</v>
      </c>
      <c r="DH515" s="1337">
        <f t="shared" si="1342"/>
        <v>1272.4000000000001</v>
      </c>
      <c r="DI515" s="853">
        <f t="shared" si="1342"/>
        <v>1276.2</v>
      </c>
      <c r="DJ515" s="853">
        <f t="shared" si="1342"/>
        <v>1276.5999999999999</v>
      </c>
      <c r="DK515" s="1337">
        <f t="shared" si="1342"/>
        <v>1276.5999999999999</v>
      </c>
      <c r="DL515" s="853">
        <f>DL514+DL310+DL311</f>
        <v>1276.5999999999999</v>
      </c>
      <c r="DM515" s="853">
        <f>DM514+DM310+DM311</f>
        <v>1276.5999999999999</v>
      </c>
      <c r="DN515" s="1337">
        <f>DN514+DN310+DN311</f>
        <v>1276.5999999999999</v>
      </c>
      <c r="DO515" s="853">
        <f t="shared" ref="DO515:DT515" si="1343">DO514+DO310+DO311</f>
        <v>1276.7</v>
      </c>
      <c r="DP515" s="853">
        <f t="shared" si="1343"/>
        <v>1250.3</v>
      </c>
      <c r="DQ515" s="1337">
        <f t="shared" si="1343"/>
        <v>1250.3</v>
      </c>
      <c r="DR515" s="853">
        <f t="shared" si="1343"/>
        <v>1204.2</v>
      </c>
      <c r="DS515" s="853">
        <f t="shared" si="1343"/>
        <v>1204.2</v>
      </c>
      <c r="DT515" s="1337">
        <f t="shared" si="1343"/>
        <v>1204.2</v>
      </c>
      <c r="DU515" s="853"/>
      <c r="DV515" s="853"/>
      <c r="DW515" s="1337"/>
      <c r="DX515" s="853"/>
      <c r="DY515" s="853"/>
      <c r="DZ515" s="1337"/>
      <c r="EA515" s="853"/>
      <c r="EB515" s="853"/>
      <c r="EC515" s="1337"/>
      <c r="ED515" s="853"/>
      <c r="EE515" s="853"/>
      <c r="EF515" s="1337"/>
      <c r="EG515" s="853"/>
      <c r="EH515" s="853"/>
      <c r="EI515" s="1337"/>
      <c r="EJ515" s="853"/>
      <c r="EK515" s="853"/>
      <c r="EL515" s="1337"/>
      <c r="EM515" s="853"/>
      <c r="EN515" s="853"/>
      <c r="EO515" s="1337"/>
      <c r="EP515" s="853"/>
      <c r="EQ515" s="853"/>
      <c r="ER515" s="1337"/>
      <c r="ES515" s="853"/>
      <c r="ET515" s="853"/>
      <c r="EU515" s="1337"/>
      <c r="EV515" s="853"/>
      <c r="EW515" s="853"/>
      <c r="EX515" s="1337"/>
      <c r="EY515" s="853"/>
      <c r="EZ515" s="853"/>
      <c r="FA515" s="1337"/>
      <c r="FE515"/>
      <c r="FF515"/>
      <c r="FG515"/>
      <c r="FH515"/>
      <c r="FI515"/>
      <c r="FJ515"/>
      <c r="FK515" s="35"/>
    </row>
    <row r="516" spans="1:167" s="236" customFormat="1" ht="13.35" customHeight="1">
      <c r="A516" s="289"/>
      <c r="B516" s="401"/>
      <c r="C516" s="806"/>
      <c r="D516" s="289"/>
      <c r="E516" s="820"/>
      <c r="F516" s="820"/>
      <c r="G516" s="821"/>
      <c r="H516" s="820"/>
      <c r="I516" s="820"/>
      <c r="J516" s="821"/>
      <c r="K516" s="820"/>
      <c r="L516" s="820"/>
      <c r="M516" s="821"/>
      <c r="N516" s="820"/>
      <c r="O516" s="820"/>
      <c r="P516" s="821"/>
      <c r="Q516" s="809"/>
      <c r="R516" s="809"/>
      <c r="S516" s="810"/>
      <c r="T516" s="809"/>
      <c r="U516" s="809"/>
      <c r="V516" s="808"/>
      <c r="W516" s="807"/>
      <c r="X516" s="807"/>
      <c r="Y516" s="808"/>
      <c r="Z516" s="807"/>
      <c r="AA516" s="807"/>
      <c r="AB516" s="808"/>
      <c r="AC516" s="807"/>
      <c r="AD516" s="807"/>
      <c r="AE516" s="808"/>
      <c r="AF516" s="807"/>
      <c r="AG516" s="807"/>
      <c r="AH516" s="808"/>
      <c r="AI516" s="807"/>
      <c r="AJ516" s="807"/>
      <c r="AK516" s="808"/>
      <c r="AL516" s="807"/>
      <c r="AM516" s="807"/>
      <c r="AN516" s="808"/>
      <c r="AO516" s="807"/>
      <c r="AP516" s="807"/>
      <c r="AQ516" s="808"/>
      <c r="AR516" s="807"/>
      <c r="AS516" s="807"/>
      <c r="AT516" s="808"/>
      <c r="AU516" s="820"/>
      <c r="AV516" s="820"/>
      <c r="AW516" s="821"/>
      <c r="AX516" s="853"/>
      <c r="AY516" s="853"/>
      <c r="AZ516" s="853"/>
      <c r="BA516" s="853"/>
      <c r="BB516" s="853"/>
      <c r="BC516" s="853"/>
      <c r="BD516" s="853"/>
      <c r="BE516" s="853"/>
      <c r="BF516" s="853"/>
      <c r="BG516" s="853"/>
      <c r="BH516" s="853"/>
      <c r="BI516" s="853"/>
      <c r="BJ516" s="853"/>
      <c r="BK516" s="853"/>
      <c r="BL516" s="853"/>
      <c r="BM516" s="853"/>
      <c r="BN516" s="853"/>
      <c r="BO516" s="853"/>
      <c r="BP516" s="853"/>
      <c r="BQ516" s="853"/>
      <c r="BR516" s="853"/>
      <c r="BS516" s="853"/>
      <c r="BT516" s="853"/>
      <c r="BU516" s="853"/>
      <c r="BV516" s="853"/>
      <c r="BW516" s="853"/>
      <c r="BX516" s="853"/>
      <c r="BY516" s="853"/>
      <c r="BZ516" s="853"/>
      <c r="CA516" s="853"/>
      <c r="CB516" s="853"/>
      <c r="CC516" s="853"/>
      <c r="CD516" s="853"/>
      <c r="CE516" s="853"/>
      <c r="CF516" s="853"/>
      <c r="CG516" s="853"/>
      <c r="CH516" s="853"/>
      <c r="CI516" s="853"/>
      <c r="CJ516" s="853"/>
      <c r="CK516" s="853"/>
      <c r="CL516" s="853"/>
      <c r="CM516" s="853"/>
      <c r="CN516" s="853"/>
      <c r="CO516" s="853"/>
      <c r="CP516" s="853"/>
      <c r="CQ516" s="853"/>
      <c r="CR516" s="853"/>
      <c r="CS516" s="853"/>
      <c r="CT516" s="853"/>
      <c r="CU516" s="853"/>
      <c r="CV516" s="853"/>
      <c r="CW516" s="853"/>
      <c r="CX516" s="853"/>
      <c r="CY516" s="853"/>
      <c r="CZ516" s="853"/>
      <c r="DA516" s="853"/>
      <c r="DB516" s="853"/>
      <c r="DC516" s="853"/>
      <c r="DD516" s="853"/>
      <c r="DE516" s="853"/>
      <c r="DF516" s="853"/>
      <c r="DG516" s="853"/>
      <c r="DH516" s="1337"/>
      <c r="DI516" s="853"/>
      <c r="DJ516" s="853"/>
      <c r="DK516" s="1337"/>
      <c r="DL516" s="853"/>
      <c r="DM516" s="853"/>
      <c r="DN516" s="1337"/>
      <c r="DO516" s="853"/>
      <c r="DP516" s="853"/>
      <c r="DQ516" s="1337"/>
      <c r="DR516" s="853"/>
      <c r="DS516" s="853"/>
      <c r="DT516" s="1337"/>
      <c r="DU516" s="853"/>
      <c r="DV516" s="853"/>
      <c r="DW516" s="1337"/>
      <c r="DX516" s="853"/>
      <c r="DY516" s="853"/>
      <c r="DZ516" s="1337"/>
      <c r="EA516" s="853"/>
      <c r="EB516" s="853"/>
      <c r="EC516" s="1337"/>
      <c r="ED516" s="853"/>
      <c r="EE516" s="853"/>
      <c r="EF516" s="1337"/>
      <c r="EG516" s="853"/>
      <c r="EH516" s="853"/>
      <c r="EI516" s="1337"/>
      <c r="EJ516" s="853"/>
      <c r="EK516" s="853"/>
      <c r="EL516" s="1337"/>
      <c r="EM516" s="853"/>
      <c r="EN516" s="853"/>
      <c r="EO516" s="1337"/>
      <c r="EP516" s="853"/>
      <c r="EQ516" s="853"/>
      <c r="ER516" s="1337"/>
      <c r="ES516" s="853"/>
      <c r="ET516" s="853"/>
      <c r="EU516" s="1337"/>
      <c r="EV516" s="853"/>
      <c r="EW516" s="853"/>
      <c r="EX516" s="1337"/>
      <c r="EY516" s="853"/>
      <c r="EZ516" s="853"/>
      <c r="FA516" s="1337"/>
      <c r="FE516"/>
      <c r="FF516"/>
      <c r="FG516"/>
      <c r="FH516"/>
      <c r="FI516"/>
      <c r="FJ516"/>
      <c r="FK516" s="35"/>
    </row>
    <row r="517" spans="1:167" s="236" customFormat="1" ht="13.35" customHeight="1">
      <c r="A517" s="289" t="s">
        <v>221</v>
      </c>
      <c r="B517" s="401"/>
      <c r="C517" s="806"/>
      <c r="D517" s="289"/>
      <c r="E517" s="820"/>
      <c r="F517" s="820"/>
      <c r="G517" s="821"/>
      <c r="H517" s="820"/>
      <c r="I517" s="820"/>
      <c r="J517" s="821"/>
      <c r="K517" s="820"/>
      <c r="L517" s="820"/>
      <c r="M517" s="821"/>
      <c r="N517" s="820"/>
      <c r="O517" s="820"/>
      <c r="P517" s="821"/>
      <c r="Q517" s="809"/>
      <c r="R517" s="809"/>
      <c r="S517" s="810"/>
      <c r="T517" s="809"/>
      <c r="U517" s="809"/>
      <c r="V517" s="808"/>
      <c r="W517" s="807"/>
      <c r="X517" s="807"/>
      <c r="Y517" s="808"/>
      <c r="Z517" s="807"/>
      <c r="AA517" s="807"/>
      <c r="AB517" s="808"/>
      <c r="AC517" s="807"/>
      <c r="AD517" s="807"/>
      <c r="AE517" s="808"/>
      <c r="AF517" s="807"/>
      <c r="AG517" s="807"/>
      <c r="AH517" s="808"/>
      <c r="AI517" s="807"/>
      <c r="AJ517" s="807"/>
      <c r="AK517" s="808"/>
      <c r="AL517" s="807"/>
      <c r="AM517" s="807"/>
      <c r="AN517" s="808"/>
      <c r="AO517" s="807"/>
      <c r="AP517" s="807"/>
      <c r="AQ517" s="808"/>
      <c r="AR517" s="807"/>
      <c r="AS517" s="807"/>
      <c r="AT517" s="808"/>
      <c r="AU517" s="820"/>
      <c r="AV517" s="820"/>
      <c r="AW517" s="821"/>
      <c r="AX517" s="853"/>
      <c r="AY517" s="853"/>
      <c r="AZ517" s="853"/>
      <c r="BA517" s="853"/>
      <c r="BB517" s="853"/>
      <c r="BC517" s="853"/>
      <c r="BD517" s="853"/>
      <c r="BE517" s="853"/>
      <c r="BF517" s="853"/>
      <c r="BG517" s="853"/>
      <c r="BH517" s="853"/>
      <c r="BI517" s="853"/>
      <c r="BJ517" s="853"/>
      <c r="BK517" s="853"/>
      <c r="BL517" s="853"/>
      <c r="BM517" s="853"/>
      <c r="BN517" s="853"/>
      <c r="BO517" s="853"/>
      <c r="BP517" s="853"/>
      <c r="BQ517" s="853"/>
      <c r="BR517" s="853"/>
      <c r="BS517" s="853"/>
      <c r="BT517" s="853"/>
      <c r="BU517" s="853"/>
      <c r="BV517" s="853"/>
      <c r="BW517" s="853"/>
      <c r="BX517" s="853"/>
      <c r="BY517" s="853"/>
      <c r="BZ517" s="853"/>
      <c r="CA517" s="853"/>
      <c r="CB517" s="853"/>
      <c r="CC517" s="853"/>
      <c r="CD517" s="853"/>
      <c r="CE517" s="853"/>
      <c r="CF517" s="853"/>
      <c r="CG517" s="853"/>
      <c r="CH517" s="853"/>
      <c r="CI517" s="853"/>
      <c r="CJ517" s="853"/>
      <c r="CK517" s="853"/>
      <c r="CL517" s="853"/>
      <c r="CM517" s="853"/>
      <c r="CN517" s="853"/>
      <c r="CO517" s="853"/>
      <c r="CP517" s="853"/>
      <c r="CQ517" s="853"/>
      <c r="CR517" s="853"/>
      <c r="CS517" s="853"/>
      <c r="CT517" s="853"/>
      <c r="CU517" s="853"/>
      <c r="CV517" s="853"/>
      <c r="CW517" s="853"/>
      <c r="CX517" s="853"/>
      <c r="CY517" s="853"/>
      <c r="CZ517" s="853"/>
      <c r="DA517" s="853"/>
      <c r="DB517" s="853"/>
      <c r="DC517" s="853"/>
      <c r="DD517" s="853"/>
      <c r="DE517" s="853"/>
      <c r="DF517" s="853"/>
      <c r="DG517" s="853"/>
      <c r="DH517" s="1337"/>
      <c r="DI517" s="853"/>
      <c r="DJ517" s="853"/>
      <c r="DK517" s="1337"/>
      <c r="DL517" s="853"/>
      <c r="DM517" s="853"/>
      <c r="DN517" s="1337"/>
      <c r="DO517" s="853"/>
      <c r="DP517" s="853"/>
      <c r="DQ517" s="1337"/>
      <c r="DR517" s="853"/>
      <c r="DS517" s="853"/>
      <c r="DT517" s="1337"/>
      <c r="DU517" s="853"/>
      <c r="DV517" s="853"/>
      <c r="DW517" s="1337"/>
      <c r="DX517" s="853"/>
      <c r="DY517" s="853"/>
      <c r="DZ517" s="1337"/>
      <c r="EA517" s="853"/>
      <c r="EB517" s="853"/>
      <c r="EC517" s="1337"/>
      <c r="ED517" s="853"/>
      <c r="EE517" s="853"/>
      <c r="EF517" s="1337"/>
      <c r="EG517" s="853"/>
      <c r="EH517" s="853"/>
      <c r="EI517" s="1337"/>
      <c r="EJ517" s="853"/>
      <c r="EK517" s="853"/>
      <c r="EL517" s="1337"/>
      <c r="EM517" s="853"/>
      <c r="EN517" s="853"/>
      <c r="EO517" s="1337"/>
      <c r="EP517" s="853"/>
      <c r="EQ517" s="853"/>
      <c r="ER517" s="1337"/>
      <c r="ES517" s="853"/>
      <c r="ET517" s="853"/>
      <c r="EU517" s="1337"/>
      <c r="EV517" s="853"/>
      <c r="EW517" s="853"/>
      <c r="EX517" s="1337"/>
      <c r="EY517" s="853"/>
      <c r="EZ517" s="853"/>
      <c r="FA517" s="1337"/>
      <c r="FE517"/>
      <c r="FF517"/>
      <c r="FG517"/>
      <c r="FH517"/>
      <c r="FI517"/>
      <c r="FJ517"/>
      <c r="FK517" s="35"/>
    </row>
    <row r="518" spans="1:167" s="236" customFormat="1" ht="13.35" customHeight="1">
      <c r="A518" s="289"/>
      <c r="B518" s="401" t="s">
        <v>222</v>
      </c>
      <c r="C518" s="806"/>
      <c r="D518" s="289"/>
      <c r="E518" s="820"/>
      <c r="F518" s="820"/>
      <c r="G518" s="821"/>
      <c r="H518" s="820"/>
      <c r="I518" s="820"/>
      <c r="J518" s="821"/>
      <c r="K518" s="820"/>
      <c r="L518" s="820"/>
      <c r="M518" s="821"/>
      <c r="N518" s="820"/>
      <c r="O518" s="820"/>
      <c r="P518" s="821"/>
      <c r="Q518" s="809"/>
      <c r="R518" s="809"/>
      <c r="S518" s="810"/>
      <c r="T518" s="809"/>
      <c r="U518" s="809"/>
      <c r="V518" s="808"/>
      <c r="W518" s="807"/>
      <c r="X518" s="807"/>
      <c r="Y518" s="808"/>
      <c r="Z518" s="807"/>
      <c r="AA518" s="807"/>
      <c r="AB518" s="808"/>
      <c r="AC518" s="807"/>
      <c r="AD518" s="807"/>
      <c r="AE518" s="808"/>
      <c r="AF518" s="807"/>
      <c r="AG518" s="807"/>
      <c r="AH518" s="808"/>
      <c r="AI518" s="807"/>
      <c r="AJ518" s="807"/>
      <c r="AK518" s="808"/>
      <c r="AL518" s="807"/>
      <c r="AM518" s="807"/>
      <c r="AN518" s="808"/>
      <c r="AO518" s="807"/>
      <c r="AP518" s="807"/>
      <c r="AQ518" s="808"/>
      <c r="AR518" s="807"/>
      <c r="AS518" s="807"/>
      <c r="AT518" s="808"/>
      <c r="AU518" s="820"/>
      <c r="AV518" s="820"/>
      <c r="AW518" s="821"/>
      <c r="AX518" s="854">
        <v>0</v>
      </c>
      <c r="AY518" s="855">
        <f>AX518</f>
        <v>0</v>
      </c>
      <c r="AZ518" s="855">
        <f t="shared" ref="AZ518:DK518" si="1344">AY518</f>
        <v>0</v>
      </c>
      <c r="BA518" s="855">
        <f t="shared" si="1344"/>
        <v>0</v>
      </c>
      <c r="BB518" s="855">
        <f t="shared" si="1344"/>
        <v>0</v>
      </c>
      <c r="BC518" s="855">
        <f t="shared" si="1344"/>
        <v>0</v>
      </c>
      <c r="BD518" s="855">
        <f t="shared" si="1344"/>
        <v>0</v>
      </c>
      <c r="BE518" s="855">
        <f t="shared" si="1344"/>
        <v>0</v>
      </c>
      <c r="BF518" s="855">
        <f t="shared" si="1344"/>
        <v>0</v>
      </c>
      <c r="BG518" s="855">
        <f t="shared" si="1344"/>
        <v>0</v>
      </c>
      <c r="BH518" s="855">
        <f t="shared" si="1344"/>
        <v>0</v>
      </c>
      <c r="BI518" s="855">
        <f t="shared" si="1344"/>
        <v>0</v>
      </c>
      <c r="BJ518" s="855">
        <f t="shared" si="1344"/>
        <v>0</v>
      </c>
      <c r="BK518" s="855">
        <f t="shared" si="1344"/>
        <v>0</v>
      </c>
      <c r="BL518" s="855">
        <f t="shared" si="1344"/>
        <v>0</v>
      </c>
      <c r="BM518" s="855">
        <f t="shared" si="1344"/>
        <v>0</v>
      </c>
      <c r="BN518" s="855">
        <f t="shared" si="1344"/>
        <v>0</v>
      </c>
      <c r="BO518" s="855">
        <f t="shared" si="1344"/>
        <v>0</v>
      </c>
      <c r="BP518" s="855">
        <f t="shared" si="1344"/>
        <v>0</v>
      </c>
      <c r="BQ518" s="855">
        <f t="shared" si="1344"/>
        <v>0</v>
      </c>
      <c r="BR518" s="855">
        <f t="shared" si="1344"/>
        <v>0</v>
      </c>
      <c r="BS518" s="855">
        <f t="shared" si="1344"/>
        <v>0</v>
      </c>
      <c r="BT518" s="855">
        <f t="shared" si="1344"/>
        <v>0</v>
      </c>
      <c r="BU518" s="855">
        <f t="shared" si="1344"/>
        <v>0</v>
      </c>
      <c r="BV518" s="855">
        <f t="shared" si="1344"/>
        <v>0</v>
      </c>
      <c r="BW518" s="855">
        <f t="shared" si="1344"/>
        <v>0</v>
      </c>
      <c r="BX518" s="855">
        <f t="shared" si="1344"/>
        <v>0</v>
      </c>
      <c r="BY518" s="855">
        <f t="shared" si="1344"/>
        <v>0</v>
      </c>
      <c r="BZ518" s="855">
        <f t="shared" si="1344"/>
        <v>0</v>
      </c>
      <c r="CA518" s="855">
        <f t="shared" si="1344"/>
        <v>0</v>
      </c>
      <c r="CB518" s="855">
        <f t="shared" si="1344"/>
        <v>0</v>
      </c>
      <c r="CC518" s="855">
        <f t="shared" si="1344"/>
        <v>0</v>
      </c>
      <c r="CD518" s="855">
        <f t="shared" si="1344"/>
        <v>0</v>
      </c>
      <c r="CE518" s="855">
        <f t="shared" si="1344"/>
        <v>0</v>
      </c>
      <c r="CF518" s="855">
        <f t="shared" si="1344"/>
        <v>0</v>
      </c>
      <c r="CG518" s="855">
        <f t="shared" si="1344"/>
        <v>0</v>
      </c>
      <c r="CH518" s="855">
        <f t="shared" si="1344"/>
        <v>0</v>
      </c>
      <c r="CI518" s="855">
        <f t="shared" si="1344"/>
        <v>0</v>
      </c>
      <c r="CJ518" s="855">
        <f t="shared" si="1344"/>
        <v>0</v>
      </c>
      <c r="CK518" s="855">
        <f t="shared" si="1344"/>
        <v>0</v>
      </c>
      <c r="CL518" s="855">
        <f t="shared" si="1344"/>
        <v>0</v>
      </c>
      <c r="CM518" s="855">
        <f t="shared" si="1344"/>
        <v>0</v>
      </c>
      <c r="CN518" s="855">
        <f t="shared" si="1344"/>
        <v>0</v>
      </c>
      <c r="CO518" s="855">
        <f t="shared" si="1344"/>
        <v>0</v>
      </c>
      <c r="CP518" s="855">
        <f t="shared" si="1344"/>
        <v>0</v>
      </c>
      <c r="CQ518" s="855">
        <f t="shared" si="1344"/>
        <v>0</v>
      </c>
      <c r="CR518" s="855">
        <f t="shared" si="1344"/>
        <v>0</v>
      </c>
      <c r="CS518" s="855">
        <f t="shared" si="1344"/>
        <v>0</v>
      </c>
      <c r="CT518" s="855">
        <f t="shared" si="1344"/>
        <v>0</v>
      </c>
      <c r="CU518" s="855">
        <f t="shared" si="1344"/>
        <v>0</v>
      </c>
      <c r="CV518" s="855">
        <f t="shared" si="1344"/>
        <v>0</v>
      </c>
      <c r="CW518" s="855">
        <f t="shared" si="1344"/>
        <v>0</v>
      </c>
      <c r="CX518" s="855">
        <f t="shared" si="1344"/>
        <v>0</v>
      </c>
      <c r="CY518" s="855">
        <f t="shared" si="1344"/>
        <v>0</v>
      </c>
      <c r="CZ518" s="855">
        <f t="shared" si="1344"/>
        <v>0</v>
      </c>
      <c r="DA518" s="855">
        <f t="shared" si="1344"/>
        <v>0</v>
      </c>
      <c r="DB518" s="855">
        <f t="shared" si="1344"/>
        <v>0</v>
      </c>
      <c r="DC518" s="855">
        <f t="shared" si="1344"/>
        <v>0</v>
      </c>
      <c r="DD518" s="855">
        <f t="shared" si="1344"/>
        <v>0</v>
      </c>
      <c r="DE518" s="855">
        <f t="shared" si="1344"/>
        <v>0</v>
      </c>
      <c r="DF518" s="855">
        <f t="shared" si="1344"/>
        <v>0</v>
      </c>
      <c r="DG518" s="855">
        <f>DF518</f>
        <v>0</v>
      </c>
      <c r="DH518" s="1338">
        <f>DG518</f>
        <v>0</v>
      </c>
      <c r="DI518" s="855">
        <f t="shared" si="1344"/>
        <v>0</v>
      </c>
      <c r="DJ518" s="855">
        <f t="shared" si="1344"/>
        <v>0</v>
      </c>
      <c r="DK518" s="1338">
        <f t="shared" si="1344"/>
        <v>0</v>
      </c>
      <c r="DL518" s="855">
        <f t="shared" ref="DL518:DN519" si="1345">DK518</f>
        <v>0</v>
      </c>
      <c r="DM518" s="855">
        <f t="shared" si="1345"/>
        <v>0</v>
      </c>
      <c r="DN518" s="1338">
        <f t="shared" si="1345"/>
        <v>0</v>
      </c>
      <c r="DO518" s="855">
        <f t="shared" ref="DO518:DT519" si="1346">DN518</f>
        <v>0</v>
      </c>
      <c r="DP518" s="855">
        <f t="shared" si="1346"/>
        <v>0</v>
      </c>
      <c r="DQ518" s="1338">
        <f t="shared" si="1346"/>
        <v>0</v>
      </c>
      <c r="DR518" s="855">
        <f t="shared" si="1346"/>
        <v>0</v>
      </c>
      <c r="DS518" s="855">
        <f t="shared" si="1346"/>
        <v>0</v>
      </c>
      <c r="DT518" s="1338">
        <f t="shared" si="1346"/>
        <v>0</v>
      </c>
      <c r="DU518" s="855"/>
      <c r="DV518" s="855"/>
      <c r="DW518" s="1338"/>
      <c r="DX518" s="855"/>
      <c r="DY518" s="855"/>
      <c r="DZ518" s="1338"/>
      <c r="EA518" s="855"/>
      <c r="EB518" s="855"/>
      <c r="EC518" s="1338"/>
      <c r="ED518" s="855"/>
      <c r="EE518" s="855"/>
      <c r="EF518" s="1338"/>
      <c r="EG518" s="855"/>
      <c r="EH518" s="855"/>
      <c r="EI518" s="1338"/>
      <c r="EJ518" s="855"/>
      <c r="EK518" s="855"/>
      <c r="EL518" s="1338"/>
      <c r="EM518" s="855"/>
      <c r="EN518" s="855"/>
      <c r="EO518" s="1338"/>
      <c r="EP518" s="855"/>
      <c r="EQ518" s="855"/>
      <c r="ER518" s="1338"/>
      <c r="ES518" s="855"/>
      <c r="ET518" s="855"/>
      <c r="EU518" s="1338"/>
      <c r="EV518" s="855"/>
      <c r="EW518" s="855"/>
      <c r="EX518" s="1338"/>
      <c r="EY518" s="855"/>
      <c r="EZ518" s="855"/>
      <c r="FA518" s="1338"/>
      <c r="FE518"/>
      <c r="FF518"/>
      <c r="FG518"/>
      <c r="FH518"/>
      <c r="FI518"/>
      <c r="FJ518"/>
      <c r="FK518" s="35"/>
    </row>
    <row r="519" spans="1:167" s="236" customFormat="1" ht="13.35" customHeight="1">
      <c r="A519" s="289"/>
      <c r="B519" s="401" t="s">
        <v>223</v>
      </c>
      <c r="C519" s="806"/>
      <c r="D519" s="289"/>
      <c r="E519" s="820"/>
      <c r="F519" s="820"/>
      <c r="G519" s="821"/>
      <c r="H519" s="820"/>
      <c r="I519" s="820"/>
      <c r="J519" s="821"/>
      <c r="K519" s="820"/>
      <c r="L519" s="820"/>
      <c r="M519" s="821"/>
      <c r="N519" s="820"/>
      <c r="O519" s="820"/>
      <c r="P519" s="821"/>
      <c r="Q519" s="809"/>
      <c r="R519" s="809"/>
      <c r="S519" s="810"/>
      <c r="T519" s="809"/>
      <c r="U519" s="809"/>
      <c r="V519" s="808"/>
      <c r="W519" s="807"/>
      <c r="X519" s="807"/>
      <c r="Y519" s="808"/>
      <c r="Z519" s="807"/>
      <c r="AA519" s="807"/>
      <c r="AB519" s="808"/>
      <c r="AC519" s="807"/>
      <c r="AD519" s="807"/>
      <c r="AE519" s="808"/>
      <c r="AF519" s="807"/>
      <c r="AG519" s="807"/>
      <c r="AH519" s="808"/>
      <c r="AI519" s="807"/>
      <c r="AJ519" s="807"/>
      <c r="AK519" s="808"/>
      <c r="AL519" s="807"/>
      <c r="AM519" s="807"/>
      <c r="AN519" s="808"/>
      <c r="AO519" s="807"/>
      <c r="AP519" s="807"/>
      <c r="AQ519" s="808"/>
      <c r="AR519" s="807"/>
      <c r="AS519" s="807"/>
      <c r="AT519" s="808"/>
      <c r="AU519" s="820"/>
      <c r="AV519" s="820"/>
      <c r="AW519" s="821"/>
      <c r="AX519" s="854">
        <v>0</v>
      </c>
      <c r="AY519" s="855">
        <f>AX519</f>
        <v>0</v>
      </c>
      <c r="AZ519" s="855">
        <f t="shared" ref="AZ519:DK519" si="1347">AY519</f>
        <v>0</v>
      </c>
      <c r="BA519" s="855">
        <f t="shared" si="1347"/>
        <v>0</v>
      </c>
      <c r="BB519" s="855">
        <f t="shared" si="1347"/>
        <v>0</v>
      </c>
      <c r="BC519" s="855">
        <f t="shared" si="1347"/>
        <v>0</v>
      </c>
      <c r="BD519" s="855">
        <f t="shared" si="1347"/>
        <v>0</v>
      </c>
      <c r="BE519" s="855">
        <f t="shared" si="1347"/>
        <v>0</v>
      </c>
      <c r="BF519" s="855">
        <f t="shared" si="1347"/>
        <v>0</v>
      </c>
      <c r="BG519" s="855">
        <f t="shared" si="1347"/>
        <v>0</v>
      </c>
      <c r="BH519" s="855">
        <f t="shared" si="1347"/>
        <v>0</v>
      </c>
      <c r="BI519" s="855">
        <f t="shared" si="1347"/>
        <v>0</v>
      </c>
      <c r="BJ519" s="855">
        <f t="shared" si="1347"/>
        <v>0</v>
      </c>
      <c r="BK519" s="855">
        <f t="shared" si="1347"/>
        <v>0</v>
      </c>
      <c r="BL519" s="855">
        <f t="shared" si="1347"/>
        <v>0</v>
      </c>
      <c r="BM519" s="855">
        <f t="shared" si="1347"/>
        <v>0</v>
      </c>
      <c r="BN519" s="855">
        <f t="shared" si="1347"/>
        <v>0</v>
      </c>
      <c r="BO519" s="855">
        <f t="shared" si="1347"/>
        <v>0</v>
      </c>
      <c r="BP519" s="855">
        <f t="shared" si="1347"/>
        <v>0</v>
      </c>
      <c r="BQ519" s="855">
        <f t="shared" si="1347"/>
        <v>0</v>
      </c>
      <c r="BR519" s="855">
        <f t="shared" si="1347"/>
        <v>0</v>
      </c>
      <c r="BS519" s="855">
        <f t="shared" si="1347"/>
        <v>0</v>
      </c>
      <c r="BT519" s="855">
        <f t="shared" si="1347"/>
        <v>0</v>
      </c>
      <c r="BU519" s="855">
        <f t="shared" si="1347"/>
        <v>0</v>
      </c>
      <c r="BV519" s="855">
        <f t="shared" si="1347"/>
        <v>0</v>
      </c>
      <c r="BW519" s="855">
        <f t="shared" si="1347"/>
        <v>0</v>
      </c>
      <c r="BX519" s="855">
        <f t="shared" si="1347"/>
        <v>0</v>
      </c>
      <c r="BY519" s="855">
        <f t="shared" si="1347"/>
        <v>0</v>
      </c>
      <c r="BZ519" s="855">
        <f t="shared" si="1347"/>
        <v>0</v>
      </c>
      <c r="CA519" s="855">
        <f t="shared" si="1347"/>
        <v>0</v>
      </c>
      <c r="CB519" s="855">
        <f t="shared" si="1347"/>
        <v>0</v>
      </c>
      <c r="CC519" s="855">
        <f t="shared" si="1347"/>
        <v>0</v>
      </c>
      <c r="CD519" s="855">
        <f t="shared" si="1347"/>
        <v>0</v>
      </c>
      <c r="CE519" s="855">
        <f t="shared" si="1347"/>
        <v>0</v>
      </c>
      <c r="CF519" s="855">
        <f t="shared" si="1347"/>
        <v>0</v>
      </c>
      <c r="CG519" s="855">
        <f t="shared" si="1347"/>
        <v>0</v>
      </c>
      <c r="CH519" s="855">
        <f t="shared" si="1347"/>
        <v>0</v>
      </c>
      <c r="CI519" s="855">
        <f t="shared" si="1347"/>
        <v>0</v>
      </c>
      <c r="CJ519" s="855">
        <f t="shared" si="1347"/>
        <v>0</v>
      </c>
      <c r="CK519" s="855">
        <f t="shared" si="1347"/>
        <v>0</v>
      </c>
      <c r="CL519" s="855">
        <f t="shared" si="1347"/>
        <v>0</v>
      </c>
      <c r="CM519" s="855">
        <f t="shared" si="1347"/>
        <v>0</v>
      </c>
      <c r="CN519" s="855">
        <f t="shared" si="1347"/>
        <v>0</v>
      </c>
      <c r="CO519" s="855">
        <f t="shared" si="1347"/>
        <v>0</v>
      </c>
      <c r="CP519" s="855">
        <f t="shared" si="1347"/>
        <v>0</v>
      </c>
      <c r="CQ519" s="855">
        <f t="shared" si="1347"/>
        <v>0</v>
      </c>
      <c r="CR519" s="855">
        <f t="shared" si="1347"/>
        <v>0</v>
      </c>
      <c r="CS519" s="855">
        <f t="shared" si="1347"/>
        <v>0</v>
      </c>
      <c r="CT519" s="855">
        <f t="shared" si="1347"/>
        <v>0</v>
      </c>
      <c r="CU519" s="855">
        <f t="shared" si="1347"/>
        <v>0</v>
      </c>
      <c r="CV519" s="855">
        <f t="shared" si="1347"/>
        <v>0</v>
      </c>
      <c r="CW519" s="855">
        <f t="shared" si="1347"/>
        <v>0</v>
      </c>
      <c r="CX519" s="855">
        <f t="shared" si="1347"/>
        <v>0</v>
      </c>
      <c r="CY519" s="855">
        <f t="shared" si="1347"/>
        <v>0</v>
      </c>
      <c r="CZ519" s="855">
        <f t="shared" si="1347"/>
        <v>0</v>
      </c>
      <c r="DA519" s="855">
        <f t="shared" si="1347"/>
        <v>0</v>
      </c>
      <c r="DB519" s="855">
        <f t="shared" si="1347"/>
        <v>0</v>
      </c>
      <c r="DC519" s="855">
        <f t="shared" si="1347"/>
        <v>0</v>
      </c>
      <c r="DD519" s="855">
        <f t="shared" si="1347"/>
        <v>0</v>
      </c>
      <c r="DE519" s="855">
        <f t="shared" si="1347"/>
        <v>0</v>
      </c>
      <c r="DF519" s="855">
        <f t="shared" si="1347"/>
        <v>0</v>
      </c>
      <c r="DG519" s="855">
        <f>DF519</f>
        <v>0</v>
      </c>
      <c r="DH519" s="1338">
        <f>DG519</f>
        <v>0</v>
      </c>
      <c r="DI519" s="855">
        <f t="shared" si="1347"/>
        <v>0</v>
      </c>
      <c r="DJ519" s="855">
        <f t="shared" si="1347"/>
        <v>0</v>
      </c>
      <c r="DK519" s="1338">
        <f t="shared" si="1347"/>
        <v>0</v>
      </c>
      <c r="DL519" s="855">
        <f t="shared" si="1345"/>
        <v>0</v>
      </c>
      <c r="DM519" s="855">
        <f t="shared" si="1345"/>
        <v>0</v>
      </c>
      <c r="DN519" s="1338">
        <f t="shared" si="1345"/>
        <v>0</v>
      </c>
      <c r="DO519" s="855">
        <f t="shared" si="1346"/>
        <v>0</v>
      </c>
      <c r="DP519" s="855">
        <f t="shared" si="1346"/>
        <v>0</v>
      </c>
      <c r="DQ519" s="1338">
        <f t="shared" si="1346"/>
        <v>0</v>
      </c>
      <c r="DR519" s="855">
        <f t="shared" si="1346"/>
        <v>0</v>
      </c>
      <c r="DS519" s="855">
        <f t="shared" si="1346"/>
        <v>0</v>
      </c>
      <c r="DT519" s="1338">
        <f t="shared" si="1346"/>
        <v>0</v>
      </c>
      <c r="DU519" s="855"/>
      <c r="DV519" s="855"/>
      <c r="DW519" s="1338"/>
      <c r="DX519" s="855"/>
      <c r="DY519" s="855"/>
      <c r="DZ519" s="1338"/>
      <c r="EA519" s="855"/>
      <c r="EB519" s="855"/>
      <c r="EC519" s="1338"/>
      <c r="ED519" s="855"/>
      <c r="EE519" s="855"/>
      <c r="EF519" s="1338"/>
      <c r="EG519" s="855"/>
      <c r="EH519" s="855"/>
      <c r="EI519" s="1338"/>
      <c r="EJ519" s="855"/>
      <c r="EK519" s="855"/>
      <c r="EL519" s="1338"/>
      <c r="EM519" s="855"/>
      <c r="EN519" s="855"/>
      <c r="EO519" s="1338"/>
      <c r="EP519" s="855"/>
      <c r="EQ519" s="855"/>
      <c r="ER519" s="1338"/>
      <c r="ES519" s="855"/>
      <c r="ET519" s="855"/>
      <c r="EU519" s="1338"/>
      <c r="EV519" s="855"/>
      <c r="EW519" s="855"/>
      <c r="EX519" s="1338"/>
      <c r="EY519" s="855"/>
      <c r="EZ519" s="855"/>
      <c r="FA519" s="1338"/>
      <c r="FE519"/>
      <c r="FF519"/>
      <c r="FG519"/>
      <c r="FH519"/>
      <c r="FI519"/>
      <c r="FJ519"/>
      <c r="FK519" s="35"/>
    </row>
    <row r="520" spans="1:167" s="236" customFormat="1" ht="13.35" customHeight="1">
      <c r="A520" s="289"/>
      <c r="B520" s="401"/>
      <c r="C520" s="806"/>
      <c r="D520" s="289"/>
      <c r="E520" s="820"/>
      <c r="F520" s="820"/>
      <c r="G520" s="821"/>
      <c r="H520" s="820"/>
      <c r="I520" s="820"/>
      <c r="J520" s="821"/>
      <c r="K520" s="820"/>
      <c r="L520" s="820"/>
      <c r="M520" s="821"/>
      <c r="N520" s="820"/>
      <c r="O520" s="820"/>
      <c r="P520" s="821"/>
      <c r="Q520" s="809"/>
      <c r="R520" s="809"/>
      <c r="S520" s="810"/>
      <c r="T520" s="809"/>
      <c r="U520" s="809"/>
      <c r="V520" s="808"/>
      <c r="W520" s="807"/>
      <c r="X520" s="807"/>
      <c r="Y520" s="808"/>
      <c r="Z520" s="807"/>
      <c r="AA520" s="807"/>
      <c r="AB520" s="808"/>
      <c r="AC520" s="807"/>
      <c r="AD520" s="807"/>
      <c r="AE520" s="808"/>
      <c r="AF520" s="807"/>
      <c r="AG520" s="807"/>
      <c r="AH520" s="808"/>
      <c r="AI520" s="807"/>
      <c r="AJ520" s="807"/>
      <c r="AK520" s="808"/>
      <c r="AL520" s="807"/>
      <c r="AM520" s="807"/>
      <c r="AN520" s="808"/>
      <c r="AO520" s="807"/>
      <c r="AP520" s="807"/>
      <c r="AQ520" s="808"/>
      <c r="AR520" s="807"/>
      <c r="AS520" s="807"/>
      <c r="AT520" s="808"/>
      <c r="AU520" s="820"/>
      <c r="AV520" s="820"/>
      <c r="AW520" s="821"/>
      <c r="AX520" s="855"/>
      <c r="AY520" s="855"/>
      <c r="AZ520" s="855"/>
      <c r="BA520" s="855"/>
      <c r="BB520" s="855"/>
      <c r="BC520" s="855"/>
      <c r="BD520" s="855"/>
      <c r="BE520" s="855"/>
      <c r="BF520" s="855"/>
      <c r="BG520" s="855"/>
      <c r="BH520" s="855"/>
      <c r="BI520" s="855"/>
      <c r="BJ520" s="855"/>
      <c r="BK520" s="855"/>
      <c r="BL520" s="855"/>
      <c r="BM520" s="855"/>
      <c r="BN520" s="855"/>
      <c r="BO520" s="855"/>
      <c r="BP520" s="855"/>
      <c r="BQ520" s="855"/>
      <c r="BR520" s="855"/>
      <c r="BS520" s="855"/>
      <c r="BT520" s="855"/>
      <c r="BU520" s="855"/>
      <c r="BV520" s="855"/>
      <c r="BW520" s="855"/>
      <c r="BX520" s="855"/>
      <c r="BY520" s="855"/>
      <c r="BZ520" s="855"/>
      <c r="CA520" s="855"/>
      <c r="CB520" s="855"/>
      <c r="CC520" s="855"/>
      <c r="CD520" s="855"/>
      <c r="CE520" s="855"/>
      <c r="CF520" s="855"/>
      <c r="CG520" s="855"/>
      <c r="CH520" s="855"/>
      <c r="CI520" s="855"/>
      <c r="CJ520" s="855"/>
      <c r="CK520" s="855"/>
      <c r="CL520" s="855"/>
      <c r="CM520" s="855"/>
      <c r="CN520" s="855"/>
      <c r="CO520" s="855"/>
      <c r="CP520" s="855"/>
      <c r="CQ520" s="855"/>
      <c r="CR520" s="855"/>
      <c r="CS520" s="855"/>
      <c r="CT520" s="855"/>
      <c r="CU520" s="855"/>
      <c r="CV520" s="855"/>
      <c r="CW520" s="855"/>
      <c r="CX520" s="855"/>
      <c r="CY520" s="855"/>
      <c r="CZ520" s="855"/>
      <c r="DA520" s="855"/>
      <c r="DB520" s="855"/>
      <c r="DC520" s="855"/>
      <c r="DD520" s="855"/>
      <c r="DE520" s="855"/>
      <c r="DF520" s="855"/>
      <c r="DG520" s="855"/>
      <c r="DH520" s="1338"/>
      <c r="DI520" s="855"/>
      <c r="DJ520" s="855"/>
      <c r="DK520" s="1338"/>
      <c r="DL520" s="855"/>
      <c r="DM520" s="855"/>
      <c r="DN520" s="1338"/>
      <c r="DO520" s="855"/>
      <c r="DP520" s="855"/>
      <c r="DQ520" s="1338"/>
      <c r="DR520" s="855"/>
      <c r="DS520" s="855"/>
      <c r="DT520" s="1338"/>
      <c r="DU520" s="855"/>
      <c r="DV520" s="855"/>
      <c r="DW520" s="1338"/>
      <c r="DX520" s="855"/>
      <c r="DY520" s="855"/>
      <c r="DZ520" s="1338"/>
      <c r="EA520" s="855"/>
      <c r="EB520" s="855"/>
      <c r="EC520" s="1338"/>
      <c r="ED520" s="855"/>
      <c r="EE520" s="855"/>
      <c r="EF520" s="1338"/>
      <c r="EG520" s="855"/>
      <c r="EH520" s="855"/>
      <c r="EI520" s="1338"/>
      <c r="EJ520" s="855"/>
      <c r="EK520" s="855"/>
      <c r="EL520" s="1338"/>
      <c r="EM520" s="855"/>
      <c r="EN520" s="855"/>
      <c r="EO520" s="1338"/>
      <c r="EP520" s="855"/>
      <c r="EQ520" s="855"/>
      <c r="ER520" s="1338"/>
      <c r="ES520" s="855"/>
      <c r="ET520" s="855"/>
      <c r="EU520" s="1338"/>
      <c r="EV520" s="855"/>
      <c r="EW520" s="855"/>
      <c r="EX520" s="1338"/>
      <c r="EY520" s="855"/>
      <c r="EZ520" s="855"/>
      <c r="FA520" s="1338"/>
      <c r="FE520"/>
      <c r="FF520"/>
      <c r="FG520"/>
      <c r="FH520"/>
      <c r="FI520"/>
      <c r="FJ520"/>
      <c r="FK520" s="35"/>
    </row>
    <row r="521" spans="1:167" s="236" customFormat="1" ht="13.35" customHeight="1">
      <c r="A521" s="401" t="s">
        <v>224</v>
      </c>
      <c r="C521" s="806"/>
      <c r="D521" s="289"/>
      <c r="E521" s="820"/>
      <c r="F521" s="820"/>
      <c r="G521" s="821"/>
      <c r="H521" s="820"/>
      <c r="I521" s="820"/>
      <c r="J521" s="821"/>
      <c r="K521" s="820"/>
      <c r="L521" s="820"/>
      <c r="M521" s="821"/>
      <c r="N521" s="820"/>
      <c r="O521" s="820"/>
      <c r="P521" s="821"/>
      <c r="Q521" s="809"/>
      <c r="R521" s="809"/>
      <c r="S521" s="810"/>
      <c r="T521" s="809"/>
      <c r="U521" s="809"/>
      <c r="V521" s="808"/>
      <c r="W521" s="807"/>
      <c r="X521" s="807"/>
      <c r="Y521" s="808"/>
      <c r="Z521" s="807"/>
      <c r="AA521" s="807"/>
      <c r="AB521" s="808"/>
      <c r="AC521" s="807"/>
      <c r="AD521" s="807"/>
      <c r="AE521" s="808"/>
      <c r="AF521" s="807"/>
      <c r="AG521" s="807"/>
      <c r="AH521" s="808"/>
      <c r="AI521" s="807"/>
      <c r="AJ521" s="807"/>
      <c r="AK521" s="808"/>
      <c r="AL521" s="807"/>
      <c r="AM521" s="807"/>
      <c r="AN521" s="808"/>
      <c r="AO521" s="807"/>
      <c r="AP521" s="807"/>
      <c r="AQ521" s="808"/>
      <c r="AR521" s="807"/>
      <c r="AS521" s="807"/>
      <c r="AT521" s="808"/>
      <c r="AU521" s="820"/>
      <c r="AV521" s="820"/>
      <c r="AW521" s="821"/>
      <c r="AX521" s="855"/>
      <c r="AY521" s="855"/>
      <c r="AZ521" s="855"/>
      <c r="BA521" s="855"/>
      <c r="BB521" s="855"/>
      <c r="BC521" s="855"/>
      <c r="BD521" s="855"/>
      <c r="BE521" s="855"/>
      <c r="BF521" s="855"/>
      <c r="BG521" s="855"/>
      <c r="BH521" s="855"/>
      <c r="BI521" s="855"/>
      <c r="BJ521" s="855"/>
      <c r="BK521" s="855"/>
      <c r="BL521" s="855"/>
      <c r="BM521" s="855"/>
      <c r="BN521" s="855"/>
      <c r="BO521" s="855"/>
      <c r="BP521" s="855"/>
      <c r="BQ521" s="855"/>
      <c r="BR521" s="855"/>
      <c r="BS521" s="855"/>
      <c r="BT521" s="855"/>
      <c r="BU521" s="855"/>
      <c r="BV521" s="855"/>
      <c r="BW521" s="855"/>
      <c r="BX521" s="855"/>
      <c r="BY521" s="855"/>
      <c r="BZ521" s="855"/>
      <c r="CA521" s="855"/>
      <c r="CB521" s="855"/>
      <c r="CC521" s="855"/>
      <c r="CD521" s="855"/>
      <c r="CE521" s="855"/>
      <c r="CF521" s="855"/>
      <c r="CG521" s="855"/>
      <c r="CH521" s="855"/>
      <c r="CI521" s="855"/>
      <c r="CJ521" s="855"/>
      <c r="CK521" s="855"/>
      <c r="CL521" s="855"/>
      <c r="CM521" s="855"/>
      <c r="CN521" s="855"/>
      <c r="CO521" s="855"/>
      <c r="CP521" s="855"/>
      <c r="CQ521" s="855"/>
      <c r="CR521" s="855"/>
      <c r="CS521" s="855"/>
      <c r="CT521" s="855"/>
      <c r="CU521" s="855"/>
      <c r="CV521" s="855"/>
      <c r="CW521" s="855"/>
      <c r="CX521" s="855"/>
      <c r="CY521" s="855"/>
      <c r="CZ521" s="855"/>
      <c r="DA521" s="855"/>
      <c r="DB521" s="855"/>
      <c r="DC521" s="855"/>
      <c r="DD521" s="855"/>
      <c r="DE521" s="855"/>
      <c r="DF521" s="855"/>
      <c r="DG521" s="855"/>
      <c r="DH521" s="1338"/>
      <c r="DI521" s="855"/>
      <c r="DJ521" s="855"/>
      <c r="DK521" s="1338"/>
      <c r="DL521" s="855"/>
      <c r="DM521" s="855"/>
      <c r="DN521" s="1338"/>
      <c r="DO521" s="855"/>
      <c r="DP521" s="855"/>
      <c r="DQ521" s="1338"/>
      <c r="DR521" s="855"/>
      <c r="DS521" s="855"/>
      <c r="DT521" s="1338"/>
      <c r="DU521" s="855"/>
      <c r="DV521" s="855"/>
      <c r="DW521" s="1338"/>
      <c r="DX521" s="855"/>
      <c r="DY521" s="855"/>
      <c r="DZ521" s="1338"/>
      <c r="EA521" s="855"/>
      <c r="EB521" s="855"/>
      <c r="EC521" s="1338"/>
      <c r="ED521" s="855"/>
      <c r="EE521" s="855"/>
      <c r="EF521" s="1338"/>
      <c r="EG521" s="855"/>
      <c r="EH521" s="855"/>
      <c r="EI521" s="1338"/>
      <c r="EJ521" s="855"/>
      <c r="EK521" s="855"/>
      <c r="EL521" s="1338"/>
      <c r="EM521" s="855"/>
      <c r="EN521" s="855"/>
      <c r="EO521" s="1338"/>
      <c r="EP521" s="855"/>
      <c r="EQ521" s="855"/>
      <c r="ER521" s="1338"/>
      <c r="ES521" s="855"/>
      <c r="ET521" s="855"/>
      <c r="EU521" s="1338"/>
      <c r="EV521" s="855"/>
      <c r="EW521" s="855"/>
      <c r="EX521" s="1338"/>
      <c r="EY521" s="855"/>
      <c r="EZ521" s="855"/>
      <c r="FA521" s="1338"/>
      <c r="FE521"/>
      <c r="FF521"/>
      <c r="FG521"/>
      <c r="FH521"/>
      <c r="FI521"/>
      <c r="FJ521"/>
      <c r="FK521" s="35"/>
    </row>
    <row r="522" spans="1:167" s="236" customFormat="1" ht="13.35" customHeight="1">
      <c r="A522" s="289"/>
      <c r="B522" s="401" t="s">
        <v>225</v>
      </c>
      <c r="C522" s="806"/>
      <c r="D522" s="289"/>
      <c r="E522" s="820"/>
      <c r="F522" s="820"/>
      <c r="G522" s="821"/>
      <c r="H522" s="820"/>
      <c r="I522" s="820"/>
      <c r="J522" s="821"/>
      <c r="K522" s="820"/>
      <c r="L522" s="820"/>
      <c r="M522" s="821"/>
      <c r="N522" s="820"/>
      <c r="O522" s="820"/>
      <c r="P522" s="821"/>
      <c r="Q522" s="809"/>
      <c r="R522" s="809"/>
      <c r="S522" s="810"/>
      <c r="T522" s="809"/>
      <c r="U522" s="809"/>
      <c r="V522" s="808"/>
      <c r="W522" s="807"/>
      <c r="X522" s="807"/>
      <c r="Y522" s="808"/>
      <c r="Z522" s="807"/>
      <c r="AA522" s="807"/>
      <c r="AB522" s="808"/>
      <c r="AC522" s="807"/>
      <c r="AD522" s="807"/>
      <c r="AE522" s="808"/>
      <c r="AF522" s="807"/>
      <c r="AG522" s="807"/>
      <c r="AH522" s="808"/>
      <c r="AI522" s="807"/>
      <c r="AJ522" s="807"/>
      <c r="AK522" s="808"/>
      <c r="AL522" s="807"/>
      <c r="AM522" s="807"/>
      <c r="AN522" s="808"/>
      <c r="AO522" s="807"/>
      <c r="AP522" s="807"/>
      <c r="AQ522" s="808"/>
      <c r="AR522" s="807"/>
      <c r="AS522" s="807"/>
      <c r="AT522" s="808"/>
      <c r="AU522" s="820"/>
      <c r="AV522" s="820"/>
      <c r="AW522" s="821"/>
      <c r="AX522" s="855">
        <f>AX413</f>
        <v>1.8440000000000001</v>
      </c>
      <c r="AY522" s="855">
        <f t="shared" ref="AY522:DJ522" si="1348">AY413</f>
        <v>1.8489999999999998</v>
      </c>
      <c r="AZ522" s="855">
        <f t="shared" si="1348"/>
        <v>1.8489999999999998</v>
      </c>
      <c r="BA522" s="855">
        <f t="shared" si="1348"/>
        <v>2.101</v>
      </c>
      <c r="BB522" s="855">
        <f t="shared" si="1348"/>
        <v>2.181</v>
      </c>
      <c r="BC522" s="855">
        <f t="shared" si="1348"/>
        <v>2.181</v>
      </c>
      <c r="BD522" s="855">
        <f t="shared" si="1348"/>
        <v>2.181</v>
      </c>
      <c r="BE522" s="855">
        <f t="shared" si="1348"/>
        <v>2.181</v>
      </c>
      <c r="BF522" s="855">
        <f t="shared" si="1348"/>
        <v>2.181</v>
      </c>
      <c r="BG522" s="855">
        <f t="shared" si="1348"/>
        <v>2.181</v>
      </c>
      <c r="BH522" s="855">
        <f t="shared" si="1348"/>
        <v>2.181</v>
      </c>
      <c r="BI522" s="855">
        <f t="shared" si="1348"/>
        <v>2.181</v>
      </c>
      <c r="BJ522" s="855">
        <f t="shared" si="1348"/>
        <v>2.181</v>
      </c>
      <c r="BK522" s="855">
        <f t="shared" si="1348"/>
        <v>2.181</v>
      </c>
      <c r="BL522" s="855">
        <f t="shared" si="1348"/>
        <v>2.181</v>
      </c>
      <c r="BM522" s="855">
        <f t="shared" si="1348"/>
        <v>2.181</v>
      </c>
      <c r="BN522" s="855">
        <f t="shared" si="1348"/>
        <v>2.181</v>
      </c>
      <c r="BO522" s="855">
        <f t="shared" si="1348"/>
        <v>2.181</v>
      </c>
      <c r="BP522" s="855">
        <f t="shared" si="1348"/>
        <v>2.181</v>
      </c>
      <c r="BQ522" s="855">
        <f t="shared" si="1348"/>
        <v>2.181</v>
      </c>
      <c r="BR522" s="855">
        <f t="shared" si="1348"/>
        <v>2.181</v>
      </c>
      <c r="BS522" s="855">
        <f t="shared" si="1348"/>
        <v>0.73081099999999999</v>
      </c>
      <c r="BT522" s="855">
        <f t="shared" si="1348"/>
        <v>0.73081099999999999</v>
      </c>
      <c r="BU522" s="855">
        <f t="shared" si="1348"/>
        <v>0.73081099999999999</v>
      </c>
      <c r="BV522" s="855">
        <f t="shared" si="1348"/>
        <v>0.38034700000000043</v>
      </c>
      <c r="BW522" s="855">
        <f t="shared" si="1348"/>
        <v>0.414715</v>
      </c>
      <c r="BX522" s="855">
        <f t="shared" si="1348"/>
        <v>0.414715</v>
      </c>
      <c r="BY522" s="855">
        <f t="shared" si="1348"/>
        <v>0.21846699999999999</v>
      </c>
      <c r="BZ522" s="855">
        <f t="shared" si="1348"/>
        <v>0.21846699999999999</v>
      </c>
      <c r="CA522" s="855">
        <f t="shared" si="1348"/>
        <v>0.21846699999999999</v>
      </c>
      <c r="CB522" s="855">
        <f t="shared" si="1348"/>
        <v>0.26116699999999998</v>
      </c>
      <c r="CC522" s="855">
        <f t="shared" si="1348"/>
        <v>0.61882100000000007</v>
      </c>
      <c r="CD522" s="855">
        <f t="shared" si="1348"/>
        <v>0.61882100000000007</v>
      </c>
      <c r="CE522" s="855">
        <f t="shared" si="1348"/>
        <v>0.35139799999999999</v>
      </c>
      <c r="CF522" s="855">
        <f t="shared" si="1348"/>
        <v>0.39294900000000155</v>
      </c>
      <c r="CG522" s="855">
        <f t="shared" si="1348"/>
        <v>0.39294900000000155</v>
      </c>
      <c r="CH522" s="855">
        <f t="shared" si="1348"/>
        <v>0.39294900000000155</v>
      </c>
      <c r="CI522" s="855">
        <f t="shared" si="1348"/>
        <v>0.39294900000000155</v>
      </c>
      <c r="CJ522" s="855">
        <f t="shared" si="1348"/>
        <v>0.39294900000000155</v>
      </c>
      <c r="CK522" s="855">
        <f t="shared" si="1348"/>
        <v>0.39294900000000155</v>
      </c>
      <c r="CL522" s="855">
        <f t="shared" si="1348"/>
        <v>0.156835</v>
      </c>
      <c r="CM522" s="855">
        <f t="shared" si="1348"/>
        <v>0.156835</v>
      </c>
      <c r="CN522" s="855">
        <f t="shared" si="1348"/>
        <v>0.156835</v>
      </c>
      <c r="CO522" s="855">
        <f t="shared" si="1348"/>
        <v>0.156835</v>
      </c>
      <c r="CP522" s="855">
        <f t="shared" si="1348"/>
        <v>0.156835</v>
      </c>
      <c r="CQ522" s="855">
        <f t="shared" si="1348"/>
        <v>0.20487900000000001</v>
      </c>
      <c r="CR522" s="855">
        <f t="shared" si="1348"/>
        <v>0.277028</v>
      </c>
      <c r="CS522" s="855">
        <f t="shared" si="1348"/>
        <v>0.277028</v>
      </c>
      <c r="CT522" s="855">
        <f t="shared" si="1348"/>
        <v>8.4977999999999998E-2</v>
      </c>
      <c r="CU522" s="855">
        <f t="shared" si="1348"/>
        <v>9.8707000000000003E-2</v>
      </c>
      <c r="CV522" s="855">
        <f t="shared" si="1348"/>
        <v>9.8707000000000003E-2</v>
      </c>
      <c r="CW522" s="855">
        <f t="shared" si="1348"/>
        <v>7.9881999999999995E-2</v>
      </c>
      <c r="CX522" s="855">
        <f t="shared" si="1348"/>
        <v>0.18905</v>
      </c>
      <c r="CY522" s="855">
        <f t="shared" si="1348"/>
        <v>0.18905</v>
      </c>
      <c r="CZ522" s="855">
        <f t="shared" si="1348"/>
        <v>6.5436999999999995E-2</v>
      </c>
      <c r="DA522" s="855">
        <f t="shared" si="1348"/>
        <v>6.5436999999999995E-2</v>
      </c>
      <c r="DB522" s="855">
        <f t="shared" si="1348"/>
        <v>6.5436999999999995E-2</v>
      </c>
      <c r="DC522" s="855">
        <f t="shared" si="1348"/>
        <v>6.5436999999999995E-2</v>
      </c>
      <c r="DD522" s="855">
        <f t="shared" si="1348"/>
        <v>6.5436999999999995E-2</v>
      </c>
      <c r="DE522" s="855">
        <f t="shared" si="1348"/>
        <v>6.5436999999999995E-2</v>
      </c>
      <c r="DF522" s="855">
        <f t="shared" si="1348"/>
        <v>6.5436999999999995E-2</v>
      </c>
      <c r="DG522" s="855">
        <f t="shared" si="1348"/>
        <v>6.5436999999999995E-2</v>
      </c>
      <c r="DH522" s="1338">
        <f t="shared" si="1348"/>
        <v>6.5436999999999995E-2</v>
      </c>
      <c r="DI522" s="855">
        <f t="shared" si="1348"/>
        <v>6.5436999999999995E-2</v>
      </c>
      <c r="DJ522" s="855">
        <f t="shared" si="1348"/>
        <v>6.5436999999999995E-2</v>
      </c>
      <c r="DK522" s="1338">
        <f>DK413</f>
        <v>6.5436999999999995E-2</v>
      </c>
      <c r="DL522" s="855">
        <f>DL413</f>
        <v>6.5436999999999995E-2</v>
      </c>
      <c r="DM522" s="855">
        <f>DM413</f>
        <v>6.5436999999999995E-2</v>
      </c>
      <c r="DN522" s="1338">
        <f>DN413</f>
        <v>6.5436999999999995E-2</v>
      </c>
      <c r="DO522" s="855">
        <f t="shared" ref="DO522:DT522" si="1349">DO413</f>
        <v>6.5436999999999995E-2</v>
      </c>
      <c r="DP522" s="855">
        <f t="shared" si="1349"/>
        <v>6.5436999999999995E-2</v>
      </c>
      <c r="DQ522" s="1338">
        <f t="shared" si="1349"/>
        <v>6.5436999999999995E-2</v>
      </c>
      <c r="DR522" s="855">
        <f t="shared" si="1349"/>
        <v>6.5436999999999995E-2</v>
      </c>
      <c r="DS522" s="855">
        <f t="shared" si="1349"/>
        <v>6.5436999999999995E-2</v>
      </c>
      <c r="DT522" s="1338">
        <f t="shared" si="1349"/>
        <v>6.5436999999999995E-2</v>
      </c>
      <c r="DU522" s="855"/>
      <c r="DV522" s="855"/>
      <c r="DW522" s="1338"/>
      <c r="DX522" s="855"/>
      <c r="DY522" s="855"/>
      <c r="DZ522" s="1338"/>
      <c r="EA522" s="855"/>
      <c r="EB522" s="855"/>
      <c r="EC522" s="1338"/>
      <c r="ED522" s="855"/>
      <c r="EE522" s="855"/>
      <c r="EF522" s="1338"/>
      <c r="EG522" s="855"/>
      <c r="EH522" s="855"/>
      <c r="EI522" s="1338"/>
      <c r="EJ522" s="855"/>
      <c r="EK522" s="855"/>
      <c r="EL522" s="1338"/>
      <c r="EM522" s="855"/>
      <c r="EN522" s="855"/>
      <c r="EO522" s="1338"/>
      <c r="EP522" s="855"/>
      <c r="EQ522" s="855"/>
      <c r="ER522" s="1338"/>
      <c r="ES522" s="855"/>
      <c r="ET522" s="855"/>
      <c r="EU522" s="1338"/>
      <c r="EV522" s="855"/>
      <c r="EW522" s="855"/>
      <c r="EX522" s="1338"/>
      <c r="EY522" s="855"/>
      <c r="EZ522" s="855"/>
      <c r="FA522" s="1338"/>
      <c r="FE522"/>
      <c r="FF522"/>
      <c r="FG522"/>
      <c r="FH522"/>
      <c r="FI522"/>
      <c r="FJ522"/>
      <c r="FK522" s="35"/>
    </row>
    <row r="523" spans="1:167" s="236" customFormat="1" ht="13.35" customHeight="1">
      <c r="A523" s="289"/>
      <c r="B523" s="401" t="s">
        <v>226</v>
      </c>
      <c r="C523" s="806"/>
      <c r="D523" s="289"/>
      <c r="E523" s="820"/>
      <c r="F523" s="820"/>
      <c r="G523" s="821"/>
      <c r="H523" s="820"/>
      <c r="I523" s="820"/>
      <c r="J523" s="821"/>
      <c r="K523" s="820"/>
      <c r="L523" s="820"/>
      <c r="M523" s="821"/>
      <c r="N523" s="820"/>
      <c r="O523" s="820"/>
      <c r="P523" s="821"/>
      <c r="Q523" s="809"/>
      <c r="R523" s="809"/>
      <c r="S523" s="810"/>
      <c r="T523" s="809"/>
      <c r="U523" s="809"/>
      <c r="V523" s="808"/>
      <c r="W523" s="807"/>
      <c r="X523" s="807"/>
      <c r="Y523" s="808"/>
      <c r="Z523" s="807"/>
      <c r="AA523" s="807"/>
      <c r="AB523" s="808"/>
      <c r="AC523" s="807"/>
      <c r="AD523" s="807"/>
      <c r="AE523" s="808"/>
      <c r="AF523" s="807"/>
      <c r="AG523" s="807"/>
      <c r="AH523" s="808"/>
      <c r="AI523" s="807"/>
      <c r="AJ523" s="807"/>
      <c r="AK523" s="808"/>
      <c r="AL523" s="807"/>
      <c r="AM523" s="807"/>
      <c r="AN523" s="808"/>
      <c r="AO523" s="807"/>
      <c r="AP523" s="807"/>
      <c r="AQ523" s="808"/>
      <c r="AR523" s="807"/>
      <c r="AS523" s="807"/>
      <c r="AT523" s="808"/>
      <c r="AU523" s="820"/>
      <c r="AV523" s="820"/>
      <c r="AW523" s="821"/>
      <c r="AX523" s="854">
        <v>0</v>
      </c>
      <c r="AY523" s="854">
        <v>0</v>
      </c>
      <c r="AZ523" s="854">
        <v>0</v>
      </c>
      <c r="BA523" s="854">
        <v>0</v>
      </c>
      <c r="BB523" s="854">
        <v>0</v>
      </c>
      <c r="BC523" s="854">
        <v>0</v>
      </c>
      <c r="BD523" s="854">
        <v>0</v>
      </c>
      <c r="BE523" s="854">
        <v>0</v>
      </c>
      <c r="BF523" s="854">
        <v>0</v>
      </c>
      <c r="BG523" s="854">
        <v>0</v>
      </c>
      <c r="BH523" s="854">
        <v>0</v>
      </c>
      <c r="BI523" s="854">
        <v>0</v>
      </c>
      <c r="BJ523" s="854">
        <v>0</v>
      </c>
      <c r="BK523" s="854">
        <v>0</v>
      </c>
      <c r="BL523" s="854">
        <v>0</v>
      </c>
      <c r="BM523" s="854">
        <v>0</v>
      </c>
      <c r="BN523" s="854">
        <v>0</v>
      </c>
      <c r="BO523" s="854">
        <v>0</v>
      </c>
      <c r="BP523" s="854">
        <v>0</v>
      </c>
      <c r="BQ523" s="854">
        <v>0</v>
      </c>
      <c r="BR523" s="854">
        <v>0</v>
      </c>
      <c r="BS523" s="854">
        <v>0</v>
      </c>
      <c r="BT523" s="854">
        <v>0</v>
      </c>
      <c r="BU523" s="854">
        <v>0</v>
      </c>
      <c r="BV523" s="854">
        <v>0</v>
      </c>
      <c r="BW523" s="854">
        <v>0</v>
      </c>
      <c r="BX523" s="854">
        <v>0</v>
      </c>
      <c r="BY523" s="854">
        <v>0</v>
      </c>
      <c r="BZ523" s="854">
        <v>0</v>
      </c>
      <c r="CA523" s="854">
        <v>0</v>
      </c>
      <c r="CB523" s="854">
        <v>0</v>
      </c>
      <c r="CC523" s="854">
        <v>0</v>
      </c>
      <c r="CD523" s="854">
        <v>0</v>
      </c>
      <c r="CE523" s="854">
        <v>0</v>
      </c>
      <c r="CF523" s="854">
        <v>0</v>
      </c>
      <c r="CG523" s="854">
        <v>0</v>
      </c>
      <c r="CH523" s="854">
        <v>0</v>
      </c>
      <c r="CI523" s="854">
        <v>0</v>
      </c>
      <c r="CJ523" s="854">
        <v>0</v>
      </c>
      <c r="CK523" s="854">
        <v>0</v>
      </c>
      <c r="CL523" s="854">
        <v>0</v>
      </c>
      <c r="CM523" s="854">
        <v>0</v>
      </c>
      <c r="CN523" s="854">
        <v>0</v>
      </c>
      <c r="CO523" s="854">
        <v>0</v>
      </c>
      <c r="CP523" s="854">
        <v>0</v>
      </c>
      <c r="CQ523" s="854">
        <v>0</v>
      </c>
      <c r="CR523" s="854">
        <v>0</v>
      </c>
      <c r="CS523" s="854">
        <v>0</v>
      </c>
      <c r="CT523" s="854">
        <v>0</v>
      </c>
      <c r="CU523" s="854">
        <v>0</v>
      </c>
      <c r="CV523" s="854">
        <v>0</v>
      </c>
      <c r="CW523" s="854">
        <v>0</v>
      </c>
      <c r="CX523" s="854">
        <v>0</v>
      </c>
      <c r="CY523" s="854">
        <v>0</v>
      </c>
      <c r="CZ523" s="854">
        <v>0</v>
      </c>
      <c r="DA523" s="854">
        <v>0</v>
      </c>
      <c r="DB523" s="854">
        <v>0</v>
      </c>
      <c r="DC523" s="854">
        <v>0</v>
      </c>
      <c r="DD523" s="854">
        <v>0</v>
      </c>
      <c r="DE523" s="854">
        <v>0</v>
      </c>
      <c r="DF523" s="854">
        <v>0</v>
      </c>
      <c r="DG523" s="854">
        <v>0</v>
      </c>
      <c r="DH523" s="1339">
        <v>0</v>
      </c>
      <c r="DI523" s="854">
        <v>0</v>
      </c>
      <c r="DJ523" s="854">
        <v>0</v>
      </c>
      <c r="DK523" s="1339">
        <v>0</v>
      </c>
      <c r="DL523" s="854">
        <v>0</v>
      </c>
      <c r="DM523" s="854">
        <v>0</v>
      </c>
      <c r="DN523" s="1339">
        <v>0</v>
      </c>
      <c r="DO523" s="854">
        <v>0</v>
      </c>
      <c r="DP523" s="854">
        <v>0</v>
      </c>
      <c r="DQ523" s="1339">
        <v>0</v>
      </c>
      <c r="DR523" s="854">
        <v>0</v>
      </c>
      <c r="DS523" s="854">
        <v>0</v>
      </c>
      <c r="DT523" s="1339">
        <v>0</v>
      </c>
      <c r="DU523" s="854"/>
      <c r="DV523" s="854"/>
      <c r="DW523" s="1339"/>
      <c r="DX523" s="854"/>
      <c r="DY523" s="854"/>
      <c r="DZ523" s="1339"/>
      <c r="EA523" s="854"/>
      <c r="EB523" s="854"/>
      <c r="EC523" s="1339"/>
      <c r="ED523" s="854"/>
      <c r="EE523" s="854"/>
      <c r="EF523" s="1339"/>
      <c r="EG523" s="854"/>
      <c r="EH523" s="854"/>
      <c r="EI523" s="1339"/>
      <c r="EJ523" s="854"/>
      <c r="EK523" s="854"/>
      <c r="EL523" s="1339"/>
      <c r="EM523" s="854"/>
      <c r="EN523" s="854"/>
      <c r="EO523" s="1339"/>
      <c r="EP523" s="854"/>
      <c r="EQ523" s="854"/>
      <c r="ER523" s="1339"/>
      <c r="ES523" s="854"/>
      <c r="ET523" s="854"/>
      <c r="EU523" s="1339"/>
      <c r="EV523" s="854"/>
      <c r="EW523" s="854"/>
      <c r="EX523" s="1339"/>
      <c r="EY523" s="854"/>
      <c r="EZ523" s="854"/>
      <c r="FA523" s="1339"/>
      <c r="FE523"/>
      <c r="FF523"/>
      <c r="FG523"/>
      <c r="FH523"/>
      <c r="FI523"/>
      <c r="FJ523"/>
      <c r="FK523" s="35"/>
    </row>
    <row r="524" spans="1:167" s="236" customFormat="1" ht="13.35" customHeight="1">
      <c r="A524" s="289"/>
      <c r="B524" s="401" t="s">
        <v>240</v>
      </c>
      <c r="C524" s="806"/>
      <c r="D524" s="289"/>
      <c r="E524" s="820"/>
      <c r="F524" s="820"/>
      <c r="G524" s="821"/>
      <c r="H524" s="820"/>
      <c r="I524" s="820"/>
      <c r="J524" s="821"/>
      <c r="K524" s="820"/>
      <c r="L524" s="820"/>
      <c r="M524" s="821"/>
      <c r="N524" s="820"/>
      <c r="O524" s="820"/>
      <c r="P524" s="821"/>
      <c r="Q524" s="809"/>
      <c r="R524" s="809"/>
      <c r="S524" s="810"/>
      <c r="T524" s="809"/>
      <c r="U524" s="809"/>
      <c r="V524" s="808"/>
      <c r="W524" s="807"/>
      <c r="X524" s="807"/>
      <c r="Y524" s="808"/>
      <c r="Z524" s="807"/>
      <c r="AA524" s="807"/>
      <c r="AB524" s="808"/>
      <c r="AC524" s="807"/>
      <c r="AD524" s="807"/>
      <c r="AE524" s="808"/>
      <c r="AF524" s="807"/>
      <c r="AG524" s="807"/>
      <c r="AH524" s="808"/>
      <c r="AI524" s="807"/>
      <c r="AJ524" s="807"/>
      <c r="AK524" s="808"/>
      <c r="AL524" s="807"/>
      <c r="AM524" s="807"/>
      <c r="AN524" s="808"/>
      <c r="AO524" s="807"/>
      <c r="AP524" s="807"/>
      <c r="AQ524" s="808"/>
      <c r="AR524" s="807"/>
      <c r="AS524" s="807"/>
      <c r="AT524" s="808"/>
      <c r="AU524" s="820"/>
      <c r="AV524" s="820"/>
      <c r="AW524" s="821"/>
      <c r="AX524" s="854">
        <v>0</v>
      </c>
      <c r="AY524" s="854">
        <v>0</v>
      </c>
      <c r="AZ524" s="854">
        <v>0</v>
      </c>
      <c r="BA524" s="854">
        <v>0</v>
      </c>
      <c r="BB524" s="854">
        <v>0</v>
      </c>
      <c r="BC524" s="854">
        <v>0</v>
      </c>
      <c r="BD524" s="854">
        <v>0</v>
      </c>
      <c r="BE524" s="854">
        <v>0</v>
      </c>
      <c r="BF524" s="854">
        <v>0</v>
      </c>
      <c r="BG524" s="854">
        <v>0</v>
      </c>
      <c r="BH524" s="854">
        <v>0</v>
      </c>
      <c r="BI524" s="854">
        <v>0</v>
      </c>
      <c r="BJ524" s="854">
        <v>0</v>
      </c>
      <c r="BK524" s="854">
        <v>0</v>
      </c>
      <c r="BL524" s="854">
        <v>0</v>
      </c>
      <c r="BM524" s="854">
        <v>0</v>
      </c>
      <c r="BN524" s="854">
        <v>0</v>
      </c>
      <c r="BO524" s="854">
        <v>0</v>
      </c>
      <c r="BP524" s="854">
        <v>0</v>
      </c>
      <c r="BQ524" s="854">
        <v>0</v>
      </c>
      <c r="BR524" s="854">
        <v>0</v>
      </c>
      <c r="BS524" s="854">
        <v>0</v>
      </c>
      <c r="BT524" s="854">
        <v>0</v>
      </c>
      <c r="BU524" s="854">
        <v>0</v>
      </c>
      <c r="BV524" s="854">
        <v>0</v>
      </c>
      <c r="BW524" s="854">
        <v>0</v>
      </c>
      <c r="BX524" s="854">
        <v>0</v>
      </c>
      <c r="BY524" s="854">
        <v>0</v>
      </c>
      <c r="BZ524" s="854">
        <v>0</v>
      </c>
      <c r="CA524" s="854">
        <v>0</v>
      </c>
      <c r="CB524" s="854">
        <v>0</v>
      </c>
      <c r="CC524" s="854">
        <v>0</v>
      </c>
      <c r="CD524" s="854">
        <v>0</v>
      </c>
      <c r="CE524" s="854">
        <v>0</v>
      </c>
      <c r="CF524" s="854">
        <v>0</v>
      </c>
      <c r="CG524" s="854">
        <v>0</v>
      </c>
      <c r="CH524" s="854">
        <v>0</v>
      </c>
      <c r="CI524" s="854">
        <v>0</v>
      </c>
      <c r="CJ524" s="854">
        <v>0</v>
      </c>
      <c r="CK524" s="854">
        <v>0</v>
      </c>
      <c r="CL524" s="854">
        <v>0</v>
      </c>
      <c r="CM524" s="854">
        <v>0</v>
      </c>
      <c r="CN524" s="854">
        <v>0</v>
      </c>
      <c r="CO524" s="854">
        <v>0</v>
      </c>
      <c r="CP524" s="854">
        <v>0</v>
      </c>
      <c r="CQ524" s="854">
        <v>0</v>
      </c>
      <c r="CR524" s="854">
        <v>0</v>
      </c>
      <c r="CS524" s="854">
        <v>0</v>
      </c>
      <c r="CT524" s="854">
        <v>0</v>
      </c>
      <c r="CU524" s="854">
        <v>0</v>
      </c>
      <c r="CV524" s="854">
        <v>0</v>
      </c>
      <c r="CW524" s="854">
        <v>0</v>
      </c>
      <c r="CX524" s="854">
        <v>0</v>
      </c>
      <c r="CY524" s="854">
        <v>0</v>
      </c>
      <c r="CZ524" s="854">
        <v>0</v>
      </c>
      <c r="DA524" s="854">
        <v>0</v>
      </c>
      <c r="DB524" s="854">
        <v>0</v>
      </c>
      <c r="DC524" s="854">
        <v>0</v>
      </c>
      <c r="DD524" s="854">
        <v>0</v>
      </c>
      <c r="DE524" s="854">
        <v>0</v>
      </c>
      <c r="DF524" s="854">
        <v>0</v>
      </c>
      <c r="DG524" s="854">
        <v>0</v>
      </c>
      <c r="DH524" s="1339">
        <v>0</v>
      </c>
      <c r="DI524" s="854">
        <v>0</v>
      </c>
      <c r="DJ524" s="854">
        <v>0</v>
      </c>
      <c r="DK524" s="1339">
        <v>0</v>
      </c>
      <c r="DL524" s="854">
        <v>0</v>
      </c>
      <c r="DM524" s="854">
        <v>0</v>
      </c>
      <c r="DN524" s="1339">
        <v>0</v>
      </c>
      <c r="DO524" s="854">
        <v>0</v>
      </c>
      <c r="DP524" s="854">
        <v>0</v>
      </c>
      <c r="DQ524" s="1339">
        <v>0</v>
      </c>
      <c r="DR524" s="854">
        <v>0</v>
      </c>
      <c r="DS524" s="854">
        <v>0</v>
      </c>
      <c r="DT524" s="1339">
        <v>0</v>
      </c>
      <c r="DU524" s="854"/>
      <c r="DV524" s="854"/>
      <c r="DW524" s="1339"/>
      <c r="DX524" s="854"/>
      <c r="DY524" s="854"/>
      <c r="DZ524" s="1339"/>
      <c r="EA524" s="854"/>
      <c r="EB524" s="854"/>
      <c r="EC524" s="1339"/>
      <c r="ED524" s="854"/>
      <c r="EE524" s="854"/>
      <c r="EF524" s="1339"/>
      <c r="EG524" s="854"/>
      <c r="EH524" s="854"/>
      <c r="EI524" s="1339"/>
      <c r="EJ524" s="854"/>
      <c r="EK524" s="854"/>
      <c r="EL524" s="1339"/>
      <c r="EM524" s="854"/>
      <c r="EN524" s="854"/>
      <c r="EO524" s="1339"/>
      <c r="EP524" s="854"/>
      <c r="EQ524" s="854"/>
      <c r="ER524" s="1339"/>
      <c r="ES524" s="854"/>
      <c r="ET524" s="854"/>
      <c r="EU524" s="1339"/>
      <c r="EV524" s="854"/>
      <c r="EW524" s="854"/>
      <c r="EX524" s="1339"/>
      <c r="EY524" s="854"/>
      <c r="EZ524" s="854"/>
      <c r="FA524" s="1339"/>
      <c r="FE524"/>
      <c r="FF524"/>
      <c r="FG524"/>
      <c r="FH524"/>
      <c r="FI524"/>
      <c r="FJ524"/>
      <c r="FK524" s="35"/>
    </row>
    <row r="525" spans="1:167" s="236" customFormat="1" ht="13.35" customHeight="1">
      <c r="A525" s="289"/>
      <c r="B525" s="401" t="s">
        <v>227</v>
      </c>
      <c r="C525" s="806"/>
      <c r="D525" s="289"/>
      <c r="E525" s="820"/>
      <c r="F525" s="820"/>
      <c r="G525" s="821"/>
      <c r="H525" s="820"/>
      <c r="I525" s="820"/>
      <c r="J525" s="821"/>
      <c r="K525" s="820"/>
      <c r="L525" s="820"/>
      <c r="M525" s="821"/>
      <c r="N525" s="820"/>
      <c r="O525" s="820"/>
      <c r="P525" s="821"/>
      <c r="Q525" s="809"/>
      <c r="R525" s="809"/>
      <c r="S525" s="810"/>
      <c r="T525" s="809"/>
      <c r="U525" s="809"/>
      <c r="V525" s="808"/>
      <c r="W525" s="807"/>
      <c r="X525" s="807"/>
      <c r="Y525" s="808"/>
      <c r="Z525" s="807"/>
      <c r="AA525" s="807"/>
      <c r="AB525" s="808"/>
      <c r="AC525" s="807"/>
      <c r="AD525" s="807"/>
      <c r="AE525" s="808"/>
      <c r="AF525" s="807"/>
      <c r="AG525" s="807"/>
      <c r="AH525" s="808"/>
      <c r="AI525" s="807"/>
      <c r="AJ525" s="807"/>
      <c r="AK525" s="808"/>
      <c r="AL525" s="807"/>
      <c r="AM525" s="807"/>
      <c r="AN525" s="808"/>
      <c r="AO525" s="807"/>
      <c r="AP525" s="807"/>
      <c r="AQ525" s="808"/>
      <c r="AR525" s="807"/>
      <c r="AS525" s="807"/>
      <c r="AT525" s="808"/>
      <c r="AU525" s="820"/>
      <c r="AV525" s="820"/>
      <c r="AW525" s="821"/>
      <c r="AX525" s="854">
        <v>0</v>
      </c>
      <c r="AY525" s="854">
        <v>0</v>
      </c>
      <c r="AZ525" s="854">
        <v>0</v>
      </c>
      <c r="BA525" s="854">
        <v>0</v>
      </c>
      <c r="BB525" s="854">
        <v>0</v>
      </c>
      <c r="BC525" s="854">
        <v>0</v>
      </c>
      <c r="BD525" s="854">
        <v>0</v>
      </c>
      <c r="BE525" s="854">
        <v>0</v>
      </c>
      <c r="BF525" s="854">
        <v>0</v>
      </c>
      <c r="BG525" s="854">
        <v>0</v>
      </c>
      <c r="BH525" s="854">
        <v>0</v>
      </c>
      <c r="BI525" s="854">
        <v>0</v>
      </c>
      <c r="BJ525" s="854">
        <v>0</v>
      </c>
      <c r="BK525" s="854">
        <v>0</v>
      </c>
      <c r="BL525" s="854">
        <v>0</v>
      </c>
      <c r="BM525" s="854">
        <v>0</v>
      </c>
      <c r="BN525" s="854">
        <v>0</v>
      </c>
      <c r="BO525" s="854">
        <v>0</v>
      </c>
      <c r="BP525" s="854">
        <v>0</v>
      </c>
      <c r="BQ525" s="854">
        <v>0</v>
      </c>
      <c r="BR525" s="854">
        <v>0</v>
      </c>
      <c r="BS525" s="854">
        <v>0</v>
      </c>
      <c r="BT525" s="854">
        <v>0</v>
      </c>
      <c r="BU525" s="854">
        <v>0</v>
      </c>
      <c r="BV525" s="854">
        <v>0</v>
      </c>
      <c r="BW525" s="854">
        <v>0</v>
      </c>
      <c r="BX525" s="854">
        <v>0</v>
      </c>
      <c r="BY525" s="854">
        <v>0</v>
      </c>
      <c r="BZ525" s="854">
        <v>0</v>
      </c>
      <c r="CA525" s="854">
        <v>0</v>
      </c>
      <c r="CB525" s="854">
        <v>0</v>
      </c>
      <c r="CC525" s="854">
        <v>0</v>
      </c>
      <c r="CD525" s="854">
        <v>0</v>
      </c>
      <c r="CE525" s="854">
        <v>0</v>
      </c>
      <c r="CF525" s="854">
        <v>0</v>
      </c>
      <c r="CG525" s="854">
        <v>0</v>
      </c>
      <c r="CH525" s="854">
        <v>0</v>
      </c>
      <c r="CI525" s="854">
        <v>0</v>
      </c>
      <c r="CJ525" s="854">
        <v>0</v>
      </c>
      <c r="CK525" s="854">
        <v>0</v>
      </c>
      <c r="CL525" s="854">
        <v>0</v>
      </c>
      <c r="CM525" s="854">
        <v>0</v>
      </c>
      <c r="CN525" s="854">
        <v>0</v>
      </c>
      <c r="CO525" s="854">
        <v>0</v>
      </c>
      <c r="CP525" s="854">
        <v>0</v>
      </c>
      <c r="CQ525" s="854">
        <v>0</v>
      </c>
      <c r="CR525" s="854">
        <v>0</v>
      </c>
      <c r="CS525" s="854">
        <v>0</v>
      </c>
      <c r="CT525" s="854">
        <v>0</v>
      </c>
      <c r="CU525" s="854">
        <v>0</v>
      </c>
      <c r="CV525" s="854">
        <v>0</v>
      </c>
      <c r="CW525" s="854">
        <v>0</v>
      </c>
      <c r="CX525" s="854">
        <v>0</v>
      </c>
      <c r="CY525" s="854">
        <v>0</v>
      </c>
      <c r="CZ525" s="854">
        <v>0</v>
      </c>
      <c r="DA525" s="854">
        <v>0</v>
      </c>
      <c r="DB525" s="854">
        <v>0</v>
      </c>
      <c r="DC525" s="854">
        <v>0</v>
      </c>
      <c r="DD525" s="854">
        <v>0</v>
      </c>
      <c r="DE525" s="854">
        <v>0</v>
      </c>
      <c r="DF525" s="854">
        <v>0</v>
      </c>
      <c r="DG525" s="854">
        <v>0</v>
      </c>
      <c r="DH525" s="1339">
        <v>0</v>
      </c>
      <c r="DI525" s="854">
        <v>0</v>
      </c>
      <c r="DJ525" s="854">
        <v>0</v>
      </c>
      <c r="DK525" s="1339">
        <v>0</v>
      </c>
      <c r="DL525" s="854">
        <v>0</v>
      </c>
      <c r="DM525" s="854">
        <v>0</v>
      </c>
      <c r="DN525" s="1339">
        <v>0</v>
      </c>
      <c r="DO525" s="854">
        <v>0</v>
      </c>
      <c r="DP525" s="854">
        <v>0</v>
      </c>
      <c r="DQ525" s="1339">
        <v>0</v>
      </c>
      <c r="DR525" s="854">
        <v>0</v>
      </c>
      <c r="DS525" s="854">
        <v>0</v>
      </c>
      <c r="DT525" s="1339">
        <v>0</v>
      </c>
      <c r="DU525" s="854"/>
      <c r="DV525" s="854"/>
      <c r="DW525" s="1339"/>
      <c r="DX525" s="854"/>
      <c r="DY525" s="854"/>
      <c r="DZ525" s="1339"/>
      <c r="EA525" s="854"/>
      <c r="EB525" s="854"/>
      <c r="EC525" s="1339"/>
      <c r="ED525" s="854"/>
      <c r="EE525" s="854"/>
      <c r="EF525" s="1339"/>
      <c r="EG525" s="854"/>
      <c r="EH525" s="854"/>
      <c r="EI525" s="1339"/>
      <c r="EJ525" s="854"/>
      <c r="EK525" s="854"/>
      <c r="EL525" s="1339"/>
      <c r="EM525" s="854"/>
      <c r="EN525" s="854"/>
      <c r="EO525" s="1339"/>
      <c r="EP525" s="854"/>
      <c r="EQ525" s="854"/>
      <c r="ER525" s="1339"/>
      <c r="ES525" s="854"/>
      <c r="ET525" s="854"/>
      <c r="EU525" s="1339"/>
      <c r="EV525" s="854"/>
      <c r="EW525" s="854"/>
      <c r="EX525" s="1339"/>
      <c r="EY525" s="854"/>
      <c r="EZ525" s="854"/>
      <c r="FA525" s="1339"/>
      <c r="FE525"/>
      <c r="FF525"/>
      <c r="FG525"/>
      <c r="FH525"/>
      <c r="FI525"/>
      <c r="FJ525"/>
      <c r="FK525" s="35"/>
    </row>
    <row r="526" spans="1:167" s="236" customFormat="1" ht="13.35" customHeight="1">
      <c r="A526" s="289"/>
      <c r="B526" s="401" t="s">
        <v>241</v>
      </c>
      <c r="C526" s="806"/>
      <c r="D526" s="289"/>
      <c r="E526" s="820"/>
      <c r="F526" s="820"/>
      <c r="G526" s="821"/>
      <c r="H526" s="820"/>
      <c r="I526" s="820"/>
      <c r="J526" s="821"/>
      <c r="K526" s="820"/>
      <c r="L526" s="820"/>
      <c r="M526" s="821"/>
      <c r="N526" s="820"/>
      <c r="O526" s="820"/>
      <c r="P526" s="821"/>
      <c r="Q526" s="809"/>
      <c r="R526" s="809"/>
      <c r="S526" s="810"/>
      <c r="T526" s="809"/>
      <c r="U526" s="809"/>
      <c r="V526" s="808"/>
      <c r="W526" s="807"/>
      <c r="X526" s="807"/>
      <c r="Y526" s="808"/>
      <c r="Z526" s="807"/>
      <c r="AA526" s="807"/>
      <c r="AB526" s="808"/>
      <c r="AC526" s="807"/>
      <c r="AD526" s="807"/>
      <c r="AE526" s="808"/>
      <c r="AF526" s="807"/>
      <c r="AG526" s="807"/>
      <c r="AH526" s="808"/>
      <c r="AI526" s="807"/>
      <c r="AJ526" s="807"/>
      <c r="AK526" s="808"/>
      <c r="AL526" s="807"/>
      <c r="AM526" s="807"/>
      <c r="AN526" s="808"/>
      <c r="AO526" s="807"/>
      <c r="AP526" s="807"/>
      <c r="AQ526" s="808"/>
      <c r="AR526" s="807"/>
      <c r="AS526" s="807"/>
      <c r="AT526" s="808"/>
      <c r="AU526" s="820"/>
      <c r="AV526" s="820"/>
      <c r="AW526" s="821"/>
      <c r="AX526" s="854">
        <v>0</v>
      </c>
      <c r="AY526" s="854">
        <v>0</v>
      </c>
      <c r="AZ526" s="854">
        <v>0</v>
      </c>
      <c r="BA526" s="854">
        <v>0</v>
      </c>
      <c r="BB526" s="854">
        <v>0</v>
      </c>
      <c r="BC526" s="854">
        <v>0</v>
      </c>
      <c r="BD526" s="854">
        <v>0</v>
      </c>
      <c r="BE526" s="854">
        <v>0</v>
      </c>
      <c r="BF526" s="854">
        <v>0</v>
      </c>
      <c r="BG526" s="854">
        <v>0</v>
      </c>
      <c r="BH526" s="854">
        <v>0</v>
      </c>
      <c r="BI526" s="854">
        <v>0</v>
      </c>
      <c r="BJ526" s="854">
        <v>0</v>
      </c>
      <c r="BK526" s="854">
        <v>0</v>
      </c>
      <c r="BL526" s="854">
        <v>0</v>
      </c>
      <c r="BM526" s="854">
        <v>0</v>
      </c>
      <c r="BN526" s="854">
        <v>0</v>
      </c>
      <c r="BO526" s="854">
        <v>0</v>
      </c>
      <c r="BP526" s="854">
        <v>0</v>
      </c>
      <c r="BQ526" s="854">
        <v>0</v>
      </c>
      <c r="BR526" s="854">
        <v>0</v>
      </c>
      <c r="BS526" s="854">
        <v>0</v>
      </c>
      <c r="BT526" s="854">
        <v>0</v>
      </c>
      <c r="BU526" s="854">
        <v>0</v>
      </c>
      <c r="BV526" s="854">
        <v>0</v>
      </c>
      <c r="BW526" s="854">
        <v>0</v>
      </c>
      <c r="BX526" s="854">
        <v>0</v>
      </c>
      <c r="BY526" s="854">
        <v>0</v>
      </c>
      <c r="BZ526" s="854">
        <v>0</v>
      </c>
      <c r="CA526" s="854">
        <v>0</v>
      </c>
      <c r="CB526" s="854">
        <v>0</v>
      </c>
      <c r="CC526" s="854">
        <v>0</v>
      </c>
      <c r="CD526" s="854">
        <v>0</v>
      </c>
      <c r="CE526" s="854">
        <v>0</v>
      </c>
      <c r="CF526" s="854">
        <v>0</v>
      </c>
      <c r="CG526" s="854">
        <v>0</v>
      </c>
      <c r="CH526" s="854">
        <v>0</v>
      </c>
      <c r="CI526" s="854">
        <v>0</v>
      </c>
      <c r="CJ526" s="854">
        <v>0</v>
      </c>
      <c r="CK526" s="854">
        <v>0</v>
      </c>
      <c r="CL526" s="854">
        <v>0</v>
      </c>
      <c r="CM526" s="854">
        <v>0</v>
      </c>
      <c r="CN526" s="854">
        <v>0</v>
      </c>
      <c r="CO526" s="854">
        <v>0</v>
      </c>
      <c r="CP526" s="854">
        <v>0</v>
      </c>
      <c r="CQ526" s="854">
        <v>0</v>
      </c>
      <c r="CR526" s="854">
        <v>0</v>
      </c>
      <c r="CS526" s="854">
        <v>0</v>
      </c>
      <c r="CT526" s="854">
        <v>0</v>
      </c>
      <c r="CU526" s="854">
        <v>0</v>
      </c>
      <c r="CV526" s="854">
        <v>0</v>
      </c>
      <c r="CW526" s="854">
        <v>0</v>
      </c>
      <c r="CX526" s="854">
        <v>0</v>
      </c>
      <c r="CY526" s="854">
        <v>0</v>
      </c>
      <c r="CZ526" s="854">
        <v>0</v>
      </c>
      <c r="DA526" s="854">
        <v>0</v>
      </c>
      <c r="DB526" s="854">
        <v>0</v>
      </c>
      <c r="DC526" s="854">
        <v>0</v>
      </c>
      <c r="DD526" s="854">
        <v>0</v>
      </c>
      <c r="DE526" s="854">
        <v>0</v>
      </c>
      <c r="DF526" s="854">
        <v>0</v>
      </c>
      <c r="DG526" s="854">
        <v>0</v>
      </c>
      <c r="DH526" s="1339">
        <v>0</v>
      </c>
      <c r="DI526" s="854">
        <v>0</v>
      </c>
      <c r="DJ526" s="854">
        <v>0</v>
      </c>
      <c r="DK526" s="1339">
        <v>0</v>
      </c>
      <c r="DL526" s="854">
        <v>0</v>
      </c>
      <c r="DM526" s="854">
        <v>0</v>
      </c>
      <c r="DN526" s="1339">
        <v>0</v>
      </c>
      <c r="DO526" s="854">
        <v>0</v>
      </c>
      <c r="DP526" s="854">
        <v>0</v>
      </c>
      <c r="DQ526" s="1339">
        <v>0</v>
      </c>
      <c r="DR526" s="854">
        <v>0</v>
      </c>
      <c r="DS526" s="854">
        <v>0</v>
      </c>
      <c r="DT526" s="1339">
        <v>0</v>
      </c>
      <c r="DU526" s="854"/>
      <c r="DV526" s="854"/>
      <c r="DW526" s="1339"/>
      <c r="DX526" s="854"/>
      <c r="DY526" s="854"/>
      <c r="DZ526" s="1339"/>
      <c r="EA526" s="854"/>
      <c r="EB526" s="854"/>
      <c r="EC526" s="1339"/>
      <c r="ED526" s="854"/>
      <c r="EE526" s="854"/>
      <c r="EF526" s="1339"/>
      <c r="EG526" s="854"/>
      <c r="EH526" s="854"/>
      <c r="EI526" s="1339"/>
      <c r="EJ526" s="854"/>
      <c r="EK526" s="854"/>
      <c r="EL526" s="1339"/>
      <c r="EM526" s="854"/>
      <c r="EN526" s="854"/>
      <c r="EO526" s="1339"/>
      <c r="EP526" s="854"/>
      <c r="EQ526" s="854"/>
      <c r="ER526" s="1339"/>
      <c r="ES526" s="854"/>
      <c r="ET526" s="854"/>
      <c r="EU526" s="1339"/>
      <c r="EV526" s="854"/>
      <c r="EW526" s="854"/>
      <c r="EX526" s="1339"/>
      <c r="EY526" s="854"/>
      <c r="EZ526" s="854"/>
      <c r="FA526" s="1339"/>
      <c r="FE526"/>
      <c r="FF526"/>
      <c r="FG526"/>
      <c r="FH526"/>
      <c r="FI526"/>
      <c r="FJ526"/>
      <c r="FK526" s="35"/>
    </row>
    <row r="527" spans="1:167" s="236" customFormat="1" ht="13.35" customHeight="1">
      <c r="A527" s="289"/>
      <c r="B527" s="401" t="s">
        <v>228</v>
      </c>
      <c r="C527" s="806"/>
      <c r="D527" s="289"/>
      <c r="E527" s="820"/>
      <c r="F527" s="820"/>
      <c r="G527" s="821"/>
      <c r="H527" s="820"/>
      <c r="I527" s="820"/>
      <c r="J527" s="821"/>
      <c r="K527" s="820"/>
      <c r="L527" s="820"/>
      <c r="M527" s="821"/>
      <c r="N527" s="820"/>
      <c r="O527" s="820"/>
      <c r="P527" s="821"/>
      <c r="Q527" s="809"/>
      <c r="R527" s="809"/>
      <c r="S527" s="810"/>
      <c r="T527" s="809"/>
      <c r="U527" s="809"/>
      <c r="V527" s="808"/>
      <c r="W527" s="807"/>
      <c r="X527" s="807"/>
      <c r="Y527" s="808"/>
      <c r="Z527" s="807"/>
      <c r="AA527" s="807"/>
      <c r="AB527" s="808"/>
      <c r="AC527" s="807"/>
      <c r="AD527" s="807"/>
      <c r="AE527" s="808"/>
      <c r="AF527" s="807"/>
      <c r="AG527" s="807"/>
      <c r="AH527" s="808"/>
      <c r="AI527" s="807"/>
      <c r="AJ527" s="807"/>
      <c r="AK527" s="808"/>
      <c r="AL527" s="807"/>
      <c r="AM527" s="807"/>
      <c r="AN527" s="808"/>
      <c r="AO527" s="807"/>
      <c r="AP527" s="807"/>
      <c r="AQ527" s="808"/>
      <c r="AR527" s="807"/>
      <c r="AS527" s="807"/>
      <c r="AT527" s="808"/>
      <c r="AU527" s="820"/>
      <c r="AV527" s="820"/>
      <c r="AW527" s="821"/>
      <c r="AX527" s="854">
        <v>0</v>
      </c>
      <c r="AY527" s="854">
        <v>0</v>
      </c>
      <c r="AZ527" s="854">
        <v>0</v>
      </c>
      <c r="BA527" s="854">
        <v>0</v>
      </c>
      <c r="BB527" s="854">
        <v>0</v>
      </c>
      <c r="BC527" s="854">
        <v>0</v>
      </c>
      <c r="BD527" s="854">
        <v>0</v>
      </c>
      <c r="BE527" s="854">
        <v>0</v>
      </c>
      <c r="BF527" s="854">
        <v>0</v>
      </c>
      <c r="BG527" s="854">
        <v>0</v>
      </c>
      <c r="BH527" s="854">
        <v>0</v>
      </c>
      <c r="BI527" s="854">
        <v>0</v>
      </c>
      <c r="BJ527" s="854">
        <v>0</v>
      </c>
      <c r="BK527" s="854">
        <v>0</v>
      </c>
      <c r="BL527" s="854">
        <v>0</v>
      </c>
      <c r="BM527" s="854">
        <v>0</v>
      </c>
      <c r="BN527" s="854">
        <v>0</v>
      </c>
      <c r="BO527" s="854">
        <v>0</v>
      </c>
      <c r="BP527" s="854">
        <v>0</v>
      </c>
      <c r="BQ527" s="854">
        <v>0</v>
      </c>
      <c r="BR527" s="854">
        <v>0</v>
      </c>
      <c r="BS527" s="854">
        <v>0</v>
      </c>
      <c r="BT527" s="854">
        <v>0</v>
      </c>
      <c r="BU527" s="854">
        <v>0</v>
      </c>
      <c r="BV527" s="854">
        <v>0</v>
      </c>
      <c r="BW527" s="854">
        <v>0</v>
      </c>
      <c r="BX527" s="854">
        <v>0</v>
      </c>
      <c r="BY527" s="854">
        <v>0</v>
      </c>
      <c r="BZ527" s="854">
        <v>0</v>
      </c>
      <c r="CA527" s="854">
        <v>0</v>
      </c>
      <c r="CB527" s="854">
        <v>0</v>
      </c>
      <c r="CC527" s="854">
        <v>0</v>
      </c>
      <c r="CD527" s="854">
        <v>0</v>
      </c>
      <c r="CE527" s="854">
        <v>0</v>
      </c>
      <c r="CF527" s="854">
        <v>0</v>
      </c>
      <c r="CG527" s="854">
        <v>0</v>
      </c>
      <c r="CH527" s="854">
        <v>0</v>
      </c>
      <c r="CI527" s="854">
        <v>0</v>
      </c>
      <c r="CJ527" s="854">
        <v>0</v>
      </c>
      <c r="CK527" s="854">
        <v>0</v>
      </c>
      <c r="CL527" s="854">
        <v>0</v>
      </c>
      <c r="CM527" s="854">
        <v>0</v>
      </c>
      <c r="CN527" s="854">
        <v>0</v>
      </c>
      <c r="CO527" s="854">
        <v>0</v>
      </c>
      <c r="CP527" s="854">
        <v>0</v>
      </c>
      <c r="CQ527" s="854">
        <v>0</v>
      </c>
      <c r="CR527" s="854">
        <v>0</v>
      </c>
      <c r="CS527" s="854">
        <v>0</v>
      </c>
      <c r="CT527" s="854">
        <v>0</v>
      </c>
      <c r="CU527" s="854">
        <v>0</v>
      </c>
      <c r="CV527" s="854">
        <v>0</v>
      </c>
      <c r="CW527" s="854">
        <v>0</v>
      </c>
      <c r="CX527" s="854">
        <v>0</v>
      </c>
      <c r="CY527" s="854">
        <v>0</v>
      </c>
      <c r="CZ527" s="854">
        <v>0</v>
      </c>
      <c r="DA527" s="854">
        <v>0</v>
      </c>
      <c r="DB527" s="854">
        <v>0</v>
      </c>
      <c r="DC527" s="854">
        <v>0</v>
      </c>
      <c r="DD527" s="854">
        <v>0</v>
      </c>
      <c r="DE527" s="854">
        <v>0</v>
      </c>
      <c r="DF527" s="854">
        <v>0</v>
      </c>
      <c r="DG527" s="854">
        <v>0</v>
      </c>
      <c r="DH527" s="1339">
        <v>0</v>
      </c>
      <c r="DI527" s="854">
        <v>0</v>
      </c>
      <c r="DJ527" s="854">
        <v>0</v>
      </c>
      <c r="DK527" s="1339">
        <v>0</v>
      </c>
      <c r="DL527" s="854">
        <v>0</v>
      </c>
      <c r="DM527" s="854">
        <v>0</v>
      </c>
      <c r="DN527" s="1339">
        <v>0</v>
      </c>
      <c r="DO527" s="854">
        <v>0</v>
      </c>
      <c r="DP527" s="854">
        <v>0</v>
      </c>
      <c r="DQ527" s="1339">
        <v>0</v>
      </c>
      <c r="DR527" s="854">
        <v>0</v>
      </c>
      <c r="DS527" s="854">
        <v>0</v>
      </c>
      <c r="DT527" s="1339">
        <v>0</v>
      </c>
      <c r="DU527" s="854"/>
      <c r="DV527" s="854"/>
      <c r="DW527" s="1339"/>
      <c r="DX527" s="854"/>
      <c r="DY527" s="854"/>
      <c r="DZ527" s="1339"/>
      <c r="EA527" s="854"/>
      <c r="EB527" s="854"/>
      <c r="EC527" s="1339"/>
      <c r="ED527" s="854"/>
      <c r="EE527" s="854"/>
      <c r="EF527" s="1339"/>
      <c r="EG527" s="854"/>
      <c r="EH527" s="854"/>
      <c r="EI527" s="1339"/>
      <c r="EJ527" s="854"/>
      <c r="EK527" s="854"/>
      <c r="EL527" s="1339"/>
      <c r="EM527" s="854"/>
      <c r="EN527" s="854"/>
      <c r="EO527" s="1339"/>
      <c r="EP527" s="854"/>
      <c r="EQ527" s="854"/>
      <c r="ER527" s="1339"/>
      <c r="ES527" s="854"/>
      <c r="ET527" s="854"/>
      <c r="EU527" s="1339"/>
      <c r="EV527" s="854"/>
      <c r="EW527" s="854"/>
      <c r="EX527" s="1339"/>
      <c r="EY527" s="854"/>
      <c r="EZ527" s="854"/>
      <c r="FA527" s="1339"/>
      <c r="FE527"/>
      <c r="FF527"/>
      <c r="FG527"/>
      <c r="FH527"/>
      <c r="FI527"/>
      <c r="FJ527"/>
      <c r="FK527" s="35"/>
    </row>
    <row r="528" spans="1:167" s="236" customFormat="1" ht="13.35" customHeight="1">
      <c r="A528" s="289"/>
      <c r="B528" s="401" t="s">
        <v>242</v>
      </c>
      <c r="C528" s="806"/>
      <c r="D528" s="289"/>
      <c r="E528" s="820"/>
      <c r="F528" s="820"/>
      <c r="G528" s="821"/>
      <c r="H528" s="820"/>
      <c r="I528" s="820"/>
      <c r="J528" s="821"/>
      <c r="K528" s="820"/>
      <c r="L528" s="820"/>
      <c r="M528" s="821"/>
      <c r="N528" s="820"/>
      <c r="O528" s="820"/>
      <c r="P528" s="821"/>
      <c r="Q528" s="809"/>
      <c r="R528" s="809"/>
      <c r="S528" s="810"/>
      <c r="T528" s="809"/>
      <c r="U528" s="809"/>
      <c r="V528" s="808"/>
      <c r="W528" s="807"/>
      <c r="X528" s="807"/>
      <c r="Y528" s="808"/>
      <c r="Z528" s="807"/>
      <c r="AA528" s="807"/>
      <c r="AB528" s="808"/>
      <c r="AC528" s="807"/>
      <c r="AD528" s="807"/>
      <c r="AE528" s="808"/>
      <c r="AF528" s="807"/>
      <c r="AG528" s="807"/>
      <c r="AH528" s="808"/>
      <c r="AI528" s="807"/>
      <c r="AJ528" s="807"/>
      <c r="AK528" s="808"/>
      <c r="AL528" s="807"/>
      <c r="AM528" s="807"/>
      <c r="AN528" s="808"/>
      <c r="AO528" s="807"/>
      <c r="AP528" s="807"/>
      <c r="AQ528" s="808"/>
      <c r="AR528" s="807"/>
      <c r="AS528" s="807"/>
      <c r="AT528" s="808"/>
      <c r="AU528" s="820"/>
      <c r="AV528" s="820"/>
      <c r="AW528" s="821"/>
      <c r="AX528" s="854">
        <v>0</v>
      </c>
      <c r="AY528" s="854">
        <v>0</v>
      </c>
      <c r="AZ528" s="854">
        <v>0</v>
      </c>
      <c r="BA528" s="854">
        <v>0</v>
      </c>
      <c r="BB528" s="854">
        <v>0</v>
      </c>
      <c r="BC528" s="854">
        <v>0</v>
      </c>
      <c r="BD528" s="854">
        <v>0</v>
      </c>
      <c r="BE528" s="854">
        <v>0</v>
      </c>
      <c r="BF528" s="854">
        <v>0</v>
      </c>
      <c r="BG528" s="854">
        <v>0</v>
      </c>
      <c r="BH528" s="854">
        <v>0</v>
      </c>
      <c r="BI528" s="854">
        <v>0</v>
      </c>
      <c r="BJ528" s="854">
        <v>0</v>
      </c>
      <c r="BK528" s="854">
        <v>0</v>
      </c>
      <c r="BL528" s="854">
        <v>0</v>
      </c>
      <c r="BM528" s="854">
        <v>0</v>
      </c>
      <c r="BN528" s="854">
        <v>0</v>
      </c>
      <c r="BO528" s="854">
        <v>0</v>
      </c>
      <c r="BP528" s="854">
        <v>0</v>
      </c>
      <c r="BQ528" s="854">
        <v>0</v>
      </c>
      <c r="BR528" s="854">
        <v>0</v>
      </c>
      <c r="BS528" s="854">
        <v>0</v>
      </c>
      <c r="BT528" s="854">
        <v>0</v>
      </c>
      <c r="BU528" s="854">
        <v>0</v>
      </c>
      <c r="BV528" s="854">
        <v>0</v>
      </c>
      <c r="BW528" s="854">
        <v>0</v>
      </c>
      <c r="BX528" s="854">
        <v>0</v>
      </c>
      <c r="BY528" s="854">
        <v>0</v>
      </c>
      <c r="BZ528" s="854">
        <v>0</v>
      </c>
      <c r="CA528" s="854">
        <v>0</v>
      </c>
      <c r="CB528" s="854">
        <v>0</v>
      </c>
      <c r="CC528" s="854">
        <v>0</v>
      </c>
      <c r="CD528" s="854">
        <v>0</v>
      </c>
      <c r="CE528" s="854">
        <v>0</v>
      </c>
      <c r="CF528" s="854">
        <v>0</v>
      </c>
      <c r="CG528" s="854">
        <v>0</v>
      </c>
      <c r="CH528" s="854">
        <v>0</v>
      </c>
      <c r="CI528" s="854">
        <v>0</v>
      </c>
      <c r="CJ528" s="854">
        <v>0</v>
      </c>
      <c r="CK528" s="854">
        <v>0</v>
      </c>
      <c r="CL528" s="854">
        <v>0</v>
      </c>
      <c r="CM528" s="854">
        <v>0</v>
      </c>
      <c r="CN528" s="854">
        <v>0</v>
      </c>
      <c r="CO528" s="854">
        <v>0</v>
      </c>
      <c r="CP528" s="854">
        <v>0</v>
      </c>
      <c r="CQ528" s="854">
        <v>0</v>
      </c>
      <c r="CR528" s="854">
        <v>0</v>
      </c>
      <c r="CS528" s="854">
        <v>0</v>
      </c>
      <c r="CT528" s="854">
        <v>0</v>
      </c>
      <c r="CU528" s="854">
        <v>0</v>
      </c>
      <c r="CV528" s="854">
        <v>0</v>
      </c>
      <c r="CW528" s="854">
        <v>0</v>
      </c>
      <c r="CX528" s="854">
        <v>0</v>
      </c>
      <c r="CY528" s="854">
        <v>0</v>
      </c>
      <c r="CZ528" s="854">
        <v>0</v>
      </c>
      <c r="DA528" s="854">
        <v>0</v>
      </c>
      <c r="DB528" s="854">
        <v>0</v>
      </c>
      <c r="DC528" s="854">
        <v>0</v>
      </c>
      <c r="DD528" s="854">
        <v>0</v>
      </c>
      <c r="DE528" s="854">
        <v>0</v>
      </c>
      <c r="DF528" s="854">
        <v>0</v>
      </c>
      <c r="DG528" s="854">
        <v>0</v>
      </c>
      <c r="DH528" s="1339">
        <v>0</v>
      </c>
      <c r="DI528" s="854">
        <v>0</v>
      </c>
      <c r="DJ528" s="854">
        <v>0</v>
      </c>
      <c r="DK528" s="1339">
        <v>0</v>
      </c>
      <c r="DL528" s="854">
        <v>0</v>
      </c>
      <c r="DM528" s="854">
        <v>0</v>
      </c>
      <c r="DN528" s="1339">
        <v>0</v>
      </c>
      <c r="DO528" s="854">
        <v>0</v>
      </c>
      <c r="DP528" s="854">
        <v>0</v>
      </c>
      <c r="DQ528" s="1339">
        <v>0</v>
      </c>
      <c r="DR528" s="854">
        <v>0</v>
      </c>
      <c r="DS528" s="854">
        <v>0</v>
      </c>
      <c r="DT528" s="1339">
        <v>0</v>
      </c>
      <c r="DU528" s="854"/>
      <c r="DV528" s="854"/>
      <c r="DW528" s="1339"/>
      <c r="DX528" s="854"/>
      <c r="DY528" s="854"/>
      <c r="DZ528" s="1339"/>
      <c r="EA528" s="854"/>
      <c r="EB528" s="854"/>
      <c r="EC528" s="1339"/>
      <c r="ED528" s="854"/>
      <c r="EE528" s="854"/>
      <c r="EF528" s="1339"/>
      <c r="EG528" s="854"/>
      <c r="EH528" s="854"/>
      <c r="EI528" s="1339"/>
      <c r="EJ528" s="854"/>
      <c r="EK528" s="854"/>
      <c r="EL528" s="1339"/>
      <c r="EM528" s="854"/>
      <c r="EN528" s="854"/>
      <c r="EO528" s="1339"/>
      <c r="EP528" s="854"/>
      <c r="EQ528" s="854"/>
      <c r="ER528" s="1339"/>
      <c r="ES528" s="854"/>
      <c r="ET528" s="854"/>
      <c r="EU528" s="1339"/>
      <c r="EV528" s="854"/>
      <c r="EW528" s="854"/>
      <c r="EX528" s="1339"/>
      <c r="EY528" s="854"/>
      <c r="EZ528" s="854"/>
      <c r="FA528" s="1339"/>
      <c r="FE528"/>
      <c r="FF528"/>
      <c r="FG528"/>
      <c r="FH528"/>
      <c r="FI528"/>
      <c r="FJ528"/>
      <c r="FK528" s="35"/>
    </row>
    <row r="529" spans="1:167" s="236" customFormat="1" ht="12.75" customHeight="1">
      <c r="A529" s="289"/>
      <c r="B529" s="401" t="s">
        <v>230</v>
      </c>
      <c r="C529" s="806"/>
      <c r="D529" s="289"/>
      <c r="E529" s="820"/>
      <c r="F529" s="820"/>
      <c r="G529" s="821"/>
      <c r="H529" s="820"/>
      <c r="I529" s="820"/>
      <c r="J529" s="821"/>
      <c r="K529" s="820"/>
      <c r="L529" s="820"/>
      <c r="M529" s="821"/>
      <c r="N529" s="820"/>
      <c r="O529" s="820"/>
      <c r="P529" s="821"/>
      <c r="Q529" s="809"/>
      <c r="R529" s="809"/>
      <c r="S529" s="810"/>
      <c r="T529" s="809"/>
      <c r="U529" s="809"/>
      <c r="V529" s="808"/>
      <c r="W529" s="807"/>
      <c r="X529" s="807"/>
      <c r="Y529" s="808"/>
      <c r="Z529" s="807"/>
      <c r="AA529" s="807"/>
      <c r="AB529" s="808"/>
      <c r="AC529" s="807"/>
      <c r="AD529" s="807"/>
      <c r="AE529" s="808"/>
      <c r="AF529" s="807"/>
      <c r="AG529" s="807"/>
      <c r="AH529" s="808"/>
      <c r="AI529" s="807"/>
      <c r="AJ529" s="807"/>
      <c r="AK529" s="808"/>
      <c r="AL529" s="807"/>
      <c r="AM529" s="807"/>
      <c r="AN529" s="808"/>
      <c r="AO529" s="807"/>
      <c r="AP529" s="807"/>
      <c r="AQ529" s="808"/>
      <c r="AR529" s="807"/>
      <c r="AS529" s="807"/>
      <c r="AT529" s="808"/>
      <c r="AU529" s="820"/>
      <c r="AV529" s="820"/>
      <c r="AW529" s="821"/>
      <c r="AX529" s="855">
        <f>AX413-(AX523*AX524)-(AX525*AX526)+(AX527*AX528)</f>
        <v>1.8440000000000001</v>
      </c>
      <c r="AY529" s="855">
        <f t="shared" ref="AY529:DJ529" si="1350">AY413-(AY523*AY524)-(AY525*AY526)+(AY527*AY528)</f>
        <v>1.8489999999999998</v>
      </c>
      <c r="AZ529" s="855">
        <f t="shared" si="1350"/>
        <v>1.8489999999999998</v>
      </c>
      <c r="BA529" s="855">
        <f t="shared" si="1350"/>
        <v>2.101</v>
      </c>
      <c r="BB529" s="855">
        <f t="shared" si="1350"/>
        <v>2.181</v>
      </c>
      <c r="BC529" s="855">
        <f t="shared" si="1350"/>
        <v>2.181</v>
      </c>
      <c r="BD529" s="855">
        <f t="shared" si="1350"/>
        <v>2.181</v>
      </c>
      <c r="BE529" s="855">
        <f t="shared" si="1350"/>
        <v>2.181</v>
      </c>
      <c r="BF529" s="855">
        <f t="shared" si="1350"/>
        <v>2.181</v>
      </c>
      <c r="BG529" s="855">
        <f t="shared" si="1350"/>
        <v>2.181</v>
      </c>
      <c r="BH529" s="855">
        <f t="shared" si="1350"/>
        <v>2.181</v>
      </c>
      <c r="BI529" s="855">
        <f t="shared" si="1350"/>
        <v>2.181</v>
      </c>
      <c r="BJ529" s="855">
        <f t="shared" si="1350"/>
        <v>2.181</v>
      </c>
      <c r="BK529" s="855">
        <f t="shared" si="1350"/>
        <v>2.181</v>
      </c>
      <c r="BL529" s="855">
        <f t="shared" si="1350"/>
        <v>2.181</v>
      </c>
      <c r="BM529" s="855">
        <f t="shared" si="1350"/>
        <v>2.181</v>
      </c>
      <c r="BN529" s="855">
        <f t="shared" si="1350"/>
        <v>2.181</v>
      </c>
      <c r="BO529" s="855">
        <f t="shared" si="1350"/>
        <v>2.181</v>
      </c>
      <c r="BP529" s="855">
        <f t="shared" si="1350"/>
        <v>2.181</v>
      </c>
      <c r="BQ529" s="855">
        <f t="shared" si="1350"/>
        <v>2.181</v>
      </c>
      <c r="BR529" s="855">
        <f t="shared" si="1350"/>
        <v>2.181</v>
      </c>
      <c r="BS529" s="855">
        <f t="shared" si="1350"/>
        <v>0.73081099999999999</v>
      </c>
      <c r="BT529" s="855">
        <f t="shared" si="1350"/>
        <v>0.73081099999999999</v>
      </c>
      <c r="BU529" s="855">
        <f t="shared" si="1350"/>
        <v>0.73081099999999999</v>
      </c>
      <c r="BV529" s="855">
        <f t="shared" si="1350"/>
        <v>0.38034700000000043</v>
      </c>
      <c r="BW529" s="855">
        <f t="shared" si="1350"/>
        <v>0.414715</v>
      </c>
      <c r="BX529" s="855">
        <f t="shared" si="1350"/>
        <v>0.414715</v>
      </c>
      <c r="BY529" s="855">
        <f t="shared" si="1350"/>
        <v>0.21846699999999999</v>
      </c>
      <c r="BZ529" s="855">
        <f t="shared" si="1350"/>
        <v>0.21846699999999999</v>
      </c>
      <c r="CA529" s="855">
        <f t="shared" si="1350"/>
        <v>0.21846699999999999</v>
      </c>
      <c r="CB529" s="855">
        <f t="shared" si="1350"/>
        <v>0.26116699999999998</v>
      </c>
      <c r="CC529" s="855">
        <f t="shared" si="1350"/>
        <v>0.61882100000000007</v>
      </c>
      <c r="CD529" s="855">
        <f t="shared" si="1350"/>
        <v>0.61882100000000007</v>
      </c>
      <c r="CE529" s="855">
        <f t="shared" si="1350"/>
        <v>0.35139799999999999</v>
      </c>
      <c r="CF529" s="855">
        <f t="shared" si="1350"/>
        <v>0.39294900000000155</v>
      </c>
      <c r="CG529" s="855">
        <f t="shared" si="1350"/>
        <v>0.39294900000000155</v>
      </c>
      <c r="CH529" s="855">
        <f t="shared" si="1350"/>
        <v>0.39294900000000155</v>
      </c>
      <c r="CI529" s="855">
        <f t="shared" si="1350"/>
        <v>0.39294900000000155</v>
      </c>
      <c r="CJ529" s="855">
        <f t="shared" si="1350"/>
        <v>0.39294900000000155</v>
      </c>
      <c r="CK529" s="855">
        <f t="shared" si="1350"/>
        <v>0.39294900000000155</v>
      </c>
      <c r="CL529" s="855">
        <f t="shared" si="1350"/>
        <v>0.156835</v>
      </c>
      <c r="CM529" s="855">
        <f t="shared" si="1350"/>
        <v>0.156835</v>
      </c>
      <c r="CN529" s="855">
        <f t="shared" si="1350"/>
        <v>0.156835</v>
      </c>
      <c r="CO529" s="855">
        <f t="shared" si="1350"/>
        <v>0.156835</v>
      </c>
      <c r="CP529" s="855">
        <f t="shared" si="1350"/>
        <v>0.156835</v>
      </c>
      <c r="CQ529" s="855">
        <f t="shared" si="1350"/>
        <v>0.20487900000000001</v>
      </c>
      <c r="CR529" s="855">
        <f t="shared" si="1350"/>
        <v>0.277028</v>
      </c>
      <c r="CS529" s="855">
        <f t="shared" si="1350"/>
        <v>0.277028</v>
      </c>
      <c r="CT529" s="855">
        <f t="shared" si="1350"/>
        <v>8.4977999999999998E-2</v>
      </c>
      <c r="CU529" s="855">
        <f t="shared" si="1350"/>
        <v>9.8707000000000003E-2</v>
      </c>
      <c r="CV529" s="855">
        <f t="shared" si="1350"/>
        <v>9.8707000000000003E-2</v>
      </c>
      <c r="CW529" s="855">
        <f t="shared" si="1350"/>
        <v>7.9881999999999995E-2</v>
      </c>
      <c r="CX529" s="855">
        <f t="shared" si="1350"/>
        <v>0.18905</v>
      </c>
      <c r="CY529" s="855">
        <f t="shared" si="1350"/>
        <v>0.18905</v>
      </c>
      <c r="CZ529" s="855">
        <f t="shared" si="1350"/>
        <v>6.5436999999999995E-2</v>
      </c>
      <c r="DA529" s="855">
        <f t="shared" si="1350"/>
        <v>6.5436999999999995E-2</v>
      </c>
      <c r="DB529" s="855">
        <f t="shared" si="1350"/>
        <v>6.5436999999999995E-2</v>
      </c>
      <c r="DC529" s="855">
        <f t="shared" si="1350"/>
        <v>6.5436999999999995E-2</v>
      </c>
      <c r="DD529" s="855">
        <f t="shared" si="1350"/>
        <v>6.5436999999999995E-2</v>
      </c>
      <c r="DE529" s="855">
        <f t="shared" si="1350"/>
        <v>6.5436999999999995E-2</v>
      </c>
      <c r="DF529" s="855">
        <f t="shared" si="1350"/>
        <v>6.5436999999999995E-2</v>
      </c>
      <c r="DG529" s="855">
        <f t="shared" si="1350"/>
        <v>6.5436999999999995E-2</v>
      </c>
      <c r="DH529" s="1338">
        <f t="shared" si="1350"/>
        <v>6.5436999999999995E-2</v>
      </c>
      <c r="DI529" s="855">
        <f t="shared" si="1350"/>
        <v>6.5436999999999995E-2</v>
      </c>
      <c r="DJ529" s="855">
        <f t="shared" si="1350"/>
        <v>6.5436999999999995E-2</v>
      </c>
      <c r="DK529" s="1338">
        <f>DK413-(DK523*DK524)-(DK525*DK526)+(DK527*DK528)</f>
        <v>6.5436999999999995E-2</v>
      </c>
      <c r="DL529" s="855">
        <f>DL413-(DL523*DL524)-(DL525*DL526)+(DL527*DL528)</f>
        <v>6.5436999999999995E-2</v>
      </c>
      <c r="DM529" s="855">
        <f>DM413-(DM523*DM524)-(DM525*DM526)+(DM527*DM528)</f>
        <v>6.5436999999999995E-2</v>
      </c>
      <c r="DN529" s="1338">
        <f>DN413-(DN523*DN524)-(DN525*DN526)+(DN527*DN528)</f>
        <v>6.5436999999999995E-2</v>
      </c>
      <c r="DO529" s="855">
        <f t="shared" ref="DO529:DT529" si="1351">DO413-(DO523*DO524)-(DO525*DO526)+(DO527*DO528)</f>
        <v>6.5436999999999995E-2</v>
      </c>
      <c r="DP529" s="855">
        <f t="shared" si="1351"/>
        <v>6.5436999999999995E-2</v>
      </c>
      <c r="DQ529" s="1338">
        <f t="shared" si="1351"/>
        <v>6.5436999999999995E-2</v>
      </c>
      <c r="DR529" s="855">
        <f t="shared" si="1351"/>
        <v>6.5436999999999995E-2</v>
      </c>
      <c r="DS529" s="855">
        <f t="shared" si="1351"/>
        <v>6.5436999999999995E-2</v>
      </c>
      <c r="DT529" s="1338">
        <f t="shared" si="1351"/>
        <v>6.5436999999999995E-2</v>
      </c>
      <c r="DU529" s="855"/>
      <c r="DV529" s="855"/>
      <c r="DW529" s="1338"/>
      <c r="DX529" s="855"/>
      <c r="DY529" s="855"/>
      <c r="DZ529" s="1338"/>
      <c r="EA529" s="855"/>
      <c r="EB529" s="855"/>
      <c r="EC529" s="1338"/>
      <c r="ED529" s="855"/>
      <c r="EE529" s="855"/>
      <c r="EF529" s="1338"/>
      <c r="EG529" s="855"/>
      <c r="EH529" s="855"/>
      <c r="EI529" s="1338"/>
      <c r="EJ529" s="855"/>
      <c r="EK529" s="855"/>
      <c r="EL529" s="1338"/>
      <c r="EM529" s="855"/>
      <c r="EN529" s="855"/>
      <c r="EO529" s="1338"/>
      <c r="EP529" s="855"/>
      <c r="EQ529" s="855"/>
      <c r="ER529" s="1338"/>
      <c r="ES529" s="855"/>
      <c r="ET529" s="855"/>
      <c r="EU529" s="1338"/>
      <c r="EV529" s="855"/>
      <c r="EW529" s="855"/>
      <c r="EX529" s="1338"/>
      <c r="EY529" s="855"/>
      <c r="EZ529" s="855"/>
      <c r="FA529" s="1338"/>
      <c r="FE529"/>
      <c r="FF529"/>
      <c r="FG529"/>
      <c r="FH529"/>
      <c r="FI529"/>
      <c r="FJ529"/>
      <c r="FK529" s="35"/>
    </row>
    <row r="530" spans="1:167" s="236" customFormat="1" ht="13.35" customHeight="1">
      <c r="A530" s="289"/>
      <c r="B530" s="401" t="s">
        <v>229</v>
      </c>
      <c r="C530" s="806"/>
      <c r="D530" s="289"/>
      <c r="E530" s="820"/>
      <c r="F530" s="820"/>
      <c r="G530" s="821"/>
      <c r="H530" s="820"/>
      <c r="I530" s="820"/>
      <c r="J530" s="821"/>
      <c r="K530" s="820"/>
      <c r="L530" s="820"/>
      <c r="M530" s="821"/>
      <c r="N530" s="820"/>
      <c r="O530" s="820"/>
      <c r="P530" s="821"/>
      <c r="Q530" s="809"/>
      <c r="R530" s="809"/>
      <c r="S530" s="810"/>
      <c r="T530" s="809"/>
      <c r="U530" s="809"/>
      <c r="V530" s="808"/>
      <c r="W530" s="807"/>
      <c r="X530" s="807"/>
      <c r="Y530" s="808"/>
      <c r="Z530" s="807"/>
      <c r="AA530" s="807"/>
      <c r="AB530" s="808"/>
      <c r="AC530" s="807"/>
      <c r="AD530" s="807"/>
      <c r="AE530" s="808"/>
      <c r="AF530" s="807"/>
      <c r="AG530" s="807"/>
      <c r="AH530" s="808"/>
      <c r="AI530" s="807"/>
      <c r="AJ530" s="807"/>
      <c r="AK530" s="808"/>
      <c r="AL530" s="807"/>
      <c r="AM530" s="807"/>
      <c r="AN530" s="808"/>
      <c r="AO530" s="807"/>
      <c r="AP530" s="807"/>
      <c r="AQ530" s="808"/>
      <c r="AR530" s="807"/>
      <c r="AS530" s="807"/>
      <c r="AT530" s="808"/>
      <c r="AU530" s="820"/>
      <c r="AV530" s="820"/>
      <c r="AW530" s="821"/>
      <c r="AX530" s="855">
        <f>AX522-AX523-AX525+AX527</f>
        <v>1.8440000000000001</v>
      </c>
      <c r="AY530" s="855">
        <f t="shared" ref="AY530:DJ530" si="1352">AY522-AY523-AY525+AY527</f>
        <v>1.8489999999999998</v>
      </c>
      <c r="AZ530" s="855">
        <f t="shared" si="1352"/>
        <v>1.8489999999999998</v>
      </c>
      <c r="BA530" s="855">
        <f t="shared" si="1352"/>
        <v>2.101</v>
      </c>
      <c r="BB530" s="855">
        <f t="shared" si="1352"/>
        <v>2.181</v>
      </c>
      <c r="BC530" s="855">
        <f t="shared" si="1352"/>
        <v>2.181</v>
      </c>
      <c r="BD530" s="855">
        <f t="shared" si="1352"/>
        <v>2.181</v>
      </c>
      <c r="BE530" s="855">
        <f t="shared" si="1352"/>
        <v>2.181</v>
      </c>
      <c r="BF530" s="855">
        <f t="shared" si="1352"/>
        <v>2.181</v>
      </c>
      <c r="BG530" s="855">
        <f t="shared" si="1352"/>
        <v>2.181</v>
      </c>
      <c r="BH530" s="855">
        <f t="shared" si="1352"/>
        <v>2.181</v>
      </c>
      <c r="BI530" s="855">
        <f t="shared" si="1352"/>
        <v>2.181</v>
      </c>
      <c r="BJ530" s="855">
        <f t="shared" si="1352"/>
        <v>2.181</v>
      </c>
      <c r="BK530" s="855">
        <f t="shared" si="1352"/>
        <v>2.181</v>
      </c>
      <c r="BL530" s="855">
        <f t="shared" si="1352"/>
        <v>2.181</v>
      </c>
      <c r="BM530" s="855">
        <f t="shared" si="1352"/>
        <v>2.181</v>
      </c>
      <c r="BN530" s="855">
        <f t="shared" si="1352"/>
        <v>2.181</v>
      </c>
      <c r="BO530" s="855">
        <f t="shared" si="1352"/>
        <v>2.181</v>
      </c>
      <c r="BP530" s="855">
        <f t="shared" si="1352"/>
        <v>2.181</v>
      </c>
      <c r="BQ530" s="855">
        <f t="shared" si="1352"/>
        <v>2.181</v>
      </c>
      <c r="BR530" s="855">
        <f t="shared" si="1352"/>
        <v>2.181</v>
      </c>
      <c r="BS530" s="855">
        <f t="shared" si="1352"/>
        <v>0.73081099999999999</v>
      </c>
      <c r="BT530" s="855">
        <f t="shared" si="1352"/>
        <v>0.73081099999999999</v>
      </c>
      <c r="BU530" s="855">
        <f t="shared" si="1352"/>
        <v>0.73081099999999999</v>
      </c>
      <c r="BV530" s="855">
        <f t="shared" si="1352"/>
        <v>0.38034700000000043</v>
      </c>
      <c r="BW530" s="855">
        <f t="shared" si="1352"/>
        <v>0.414715</v>
      </c>
      <c r="BX530" s="855">
        <f t="shared" si="1352"/>
        <v>0.414715</v>
      </c>
      <c r="BY530" s="855">
        <f t="shared" si="1352"/>
        <v>0.21846699999999999</v>
      </c>
      <c r="BZ530" s="855">
        <f t="shared" si="1352"/>
        <v>0.21846699999999999</v>
      </c>
      <c r="CA530" s="855">
        <f t="shared" si="1352"/>
        <v>0.21846699999999999</v>
      </c>
      <c r="CB530" s="855">
        <f t="shared" si="1352"/>
        <v>0.26116699999999998</v>
      </c>
      <c r="CC530" s="855">
        <f t="shared" si="1352"/>
        <v>0.61882100000000007</v>
      </c>
      <c r="CD530" s="855">
        <f t="shared" si="1352"/>
        <v>0.61882100000000007</v>
      </c>
      <c r="CE530" s="855">
        <f t="shared" si="1352"/>
        <v>0.35139799999999999</v>
      </c>
      <c r="CF530" s="855">
        <f t="shared" si="1352"/>
        <v>0.39294900000000155</v>
      </c>
      <c r="CG530" s="855">
        <f t="shared" si="1352"/>
        <v>0.39294900000000155</v>
      </c>
      <c r="CH530" s="855">
        <f t="shared" si="1352"/>
        <v>0.39294900000000155</v>
      </c>
      <c r="CI530" s="855">
        <f t="shared" si="1352"/>
        <v>0.39294900000000155</v>
      </c>
      <c r="CJ530" s="855">
        <f t="shared" si="1352"/>
        <v>0.39294900000000155</v>
      </c>
      <c r="CK530" s="855">
        <f t="shared" si="1352"/>
        <v>0.39294900000000155</v>
      </c>
      <c r="CL530" s="855">
        <f t="shared" si="1352"/>
        <v>0.156835</v>
      </c>
      <c r="CM530" s="855">
        <f t="shared" si="1352"/>
        <v>0.156835</v>
      </c>
      <c r="CN530" s="855">
        <f t="shared" si="1352"/>
        <v>0.156835</v>
      </c>
      <c r="CO530" s="855">
        <f t="shared" si="1352"/>
        <v>0.156835</v>
      </c>
      <c r="CP530" s="855">
        <f t="shared" si="1352"/>
        <v>0.156835</v>
      </c>
      <c r="CQ530" s="855">
        <f t="shared" si="1352"/>
        <v>0.20487900000000001</v>
      </c>
      <c r="CR530" s="855">
        <f t="shared" si="1352"/>
        <v>0.277028</v>
      </c>
      <c r="CS530" s="855">
        <f t="shared" si="1352"/>
        <v>0.277028</v>
      </c>
      <c r="CT530" s="855">
        <f t="shared" si="1352"/>
        <v>8.4977999999999998E-2</v>
      </c>
      <c r="CU530" s="855">
        <f t="shared" si="1352"/>
        <v>9.8707000000000003E-2</v>
      </c>
      <c r="CV530" s="855">
        <f t="shared" si="1352"/>
        <v>9.8707000000000003E-2</v>
      </c>
      <c r="CW530" s="855">
        <f t="shared" si="1352"/>
        <v>7.9881999999999995E-2</v>
      </c>
      <c r="CX530" s="855">
        <f t="shared" si="1352"/>
        <v>0.18905</v>
      </c>
      <c r="CY530" s="855">
        <f t="shared" si="1352"/>
        <v>0.18905</v>
      </c>
      <c r="CZ530" s="855">
        <f t="shared" si="1352"/>
        <v>6.5436999999999995E-2</v>
      </c>
      <c r="DA530" s="855">
        <f t="shared" si="1352"/>
        <v>6.5436999999999995E-2</v>
      </c>
      <c r="DB530" s="855">
        <f t="shared" si="1352"/>
        <v>6.5436999999999995E-2</v>
      </c>
      <c r="DC530" s="855">
        <f t="shared" si="1352"/>
        <v>6.5436999999999995E-2</v>
      </c>
      <c r="DD530" s="855">
        <f t="shared" si="1352"/>
        <v>6.5436999999999995E-2</v>
      </c>
      <c r="DE530" s="855">
        <f t="shared" si="1352"/>
        <v>6.5436999999999995E-2</v>
      </c>
      <c r="DF530" s="855">
        <f t="shared" si="1352"/>
        <v>6.5436999999999995E-2</v>
      </c>
      <c r="DG530" s="855">
        <f t="shared" si="1352"/>
        <v>6.5436999999999995E-2</v>
      </c>
      <c r="DH530" s="1338">
        <f t="shared" si="1352"/>
        <v>6.5436999999999995E-2</v>
      </c>
      <c r="DI530" s="855">
        <f t="shared" si="1352"/>
        <v>6.5436999999999995E-2</v>
      </c>
      <c r="DJ530" s="855">
        <f t="shared" si="1352"/>
        <v>6.5436999999999995E-2</v>
      </c>
      <c r="DK530" s="1338">
        <f>DK522-DK523-DK525+DK527</f>
        <v>6.5436999999999995E-2</v>
      </c>
      <c r="DL530" s="855">
        <f>DL522-DL523-DL525+DL527</f>
        <v>6.5436999999999995E-2</v>
      </c>
      <c r="DM530" s="855">
        <f>DM522-DM523-DM525+DM527</f>
        <v>6.5436999999999995E-2</v>
      </c>
      <c r="DN530" s="1338">
        <f>DN522-DN523-DN525+DN527</f>
        <v>6.5436999999999995E-2</v>
      </c>
      <c r="DO530" s="855">
        <f t="shared" ref="DO530:DT530" si="1353">DO522-DO523-DO525+DO527</f>
        <v>6.5436999999999995E-2</v>
      </c>
      <c r="DP530" s="855">
        <f t="shared" si="1353"/>
        <v>6.5436999999999995E-2</v>
      </c>
      <c r="DQ530" s="1338">
        <f t="shared" si="1353"/>
        <v>6.5436999999999995E-2</v>
      </c>
      <c r="DR530" s="855">
        <f t="shared" si="1353"/>
        <v>6.5436999999999995E-2</v>
      </c>
      <c r="DS530" s="855">
        <f t="shared" si="1353"/>
        <v>6.5436999999999995E-2</v>
      </c>
      <c r="DT530" s="1338">
        <f t="shared" si="1353"/>
        <v>6.5436999999999995E-2</v>
      </c>
      <c r="DU530" s="855"/>
      <c r="DV530" s="855"/>
      <c r="DW530" s="1338"/>
      <c r="DX530" s="855"/>
      <c r="DY530" s="855"/>
      <c r="DZ530" s="1338"/>
      <c r="EA530" s="855"/>
      <c r="EB530" s="855"/>
      <c r="EC530" s="1338"/>
      <c r="ED530" s="855"/>
      <c r="EE530" s="855"/>
      <c r="EF530" s="1338"/>
      <c r="EG530" s="855"/>
      <c r="EH530" s="855"/>
      <c r="EI530" s="1338"/>
      <c r="EJ530" s="855"/>
      <c r="EK530" s="855"/>
      <c r="EL530" s="1338"/>
      <c r="EM530" s="855"/>
      <c r="EN530" s="855"/>
      <c r="EO530" s="1338"/>
      <c r="EP530" s="855"/>
      <c r="EQ530" s="855"/>
      <c r="ER530" s="1338"/>
      <c r="ES530" s="855"/>
      <c r="ET530" s="855"/>
      <c r="EU530" s="1338"/>
      <c r="EV530" s="855"/>
      <c r="EW530" s="855"/>
      <c r="EX530" s="1338"/>
      <c r="EY530" s="855"/>
      <c r="EZ530" s="855"/>
      <c r="FA530" s="1338"/>
      <c r="FE530"/>
      <c r="FF530"/>
      <c r="FG530"/>
      <c r="FH530"/>
      <c r="FI530"/>
      <c r="FJ530"/>
      <c r="FK530" s="35"/>
    </row>
    <row r="531" spans="1:167" s="236" customFormat="1" ht="13.35" customHeight="1">
      <c r="A531" s="289"/>
      <c r="B531" s="401"/>
      <c r="C531" s="806"/>
      <c r="D531" s="289"/>
      <c r="E531" s="820"/>
      <c r="F531" s="820"/>
      <c r="G531" s="821"/>
      <c r="H531" s="820"/>
      <c r="I531" s="820"/>
      <c r="J531" s="821"/>
      <c r="K531" s="820"/>
      <c r="L531" s="820"/>
      <c r="M531" s="821"/>
      <c r="N531" s="820"/>
      <c r="O531" s="820"/>
      <c r="P531" s="821"/>
      <c r="Q531" s="809"/>
      <c r="R531" s="809"/>
      <c r="S531" s="810"/>
      <c r="T531" s="809"/>
      <c r="U531" s="809"/>
      <c r="V531" s="808"/>
      <c r="W531" s="807"/>
      <c r="X531" s="807"/>
      <c r="Y531" s="808"/>
      <c r="Z531" s="807"/>
      <c r="AA531" s="807"/>
      <c r="AB531" s="808"/>
      <c r="AC531" s="807"/>
      <c r="AD531" s="807"/>
      <c r="AE531" s="808"/>
      <c r="AF531" s="807"/>
      <c r="AG531" s="807"/>
      <c r="AH531" s="808"/>
      <c r="AI531" s="807"/>
      <c r="AJ531" s="807"/>
      <c r="AK531" s="808"/>
      <c r="AL531" s="807"/>
      <c r="AM531" s="807"/>
      <c r="AN531" s="808"/>
      <c r="AO531" s="807"/>
      <c r="AP531" s="807"/>
      <c r="AQ531" s="808"/>
      <c r="AR531" s="807"/>
      <c r="AS531" s="807"/>
      <c r="AT531" s="808"/>
      <c r="AU531" s="820"/>
      <c r="AV531" s="820"/>
      <c r="AW531" s="821"/>
      <c r="AX531" s="855"/>
      <c r="AY531" s="855"/>
      <c r="AZ531" s="855"/>
      <c r="BA531" s="855"/>
      <c r="BB531" s="855"/>
      <c r="BC531" s="855"/>
      <c r="BD531" s="855"/>
      <c r="BE531" s="855"/>
      <c r="BF531" s="855"/>
      <c r="BG531" s="855"/>
      <c r="BH531" s="855"/>
      <c r="BI531" s="855"/>
      <c r="BJ531" s="855"/>
      <c r="BK531" s="855"/>
      <c r="BL531" s="855"/>
      <c r="BM531" s="855"/>
      <c r="BN531" s="855"/>
      <c r="BO531" s="855"/>
      <c r="BP531" s="855"/>
      <c r="BQ531" s="855"/>
      <c r="BR531" s="855"/>
      <c r="BS531" s="855"/>
      <c r="BT531" s="855"/>
      <c r="BU531" s="855"/>
      <c r="BV531" s="855"/>
      <c r="BW531" s="855"/>
      <c r="BX531" s="855"/>
      <c r="BY531" s="855"/>
      <c r="BZ531" s="855"/>
      <c r="CA531" s="855"/>
      <c r="CB531" s="855"/>
      <c r="CC531" s="855"/>
      <c r="CD531" s="855"/>
      <c r="CE531" s="855"/>
      <c r="CF531" s="855"/>
      <c r="CG531" s="855"/>
      <c r="CH531" s="855"/>
      <c r="CI531" s="855"/>
      <c r="CJ531" s="855"/>
      <c r="CK531" s="855"/>
      <c r="CL531" s="855"/>
      <c r="CM531" s="855"/>
      <c r="CN531" s="855"/>
      <c r="CO531" s="855"/>
      <c r="CP531" s="855"/>
      <c r="CQ531" s="855"/>
      <c r="CR531" s="855"/>
      <c r="CS531" s="855"/>
      <c r="CT531" s="855"/>
      <c r="CU531" s="855"/>
      <c r="CV531" s="855"/>
      <c r="CW531" s="855"/>
      <c r="CX531" s="855"/>
      <c r="CY531" s="855"/>
      <c r="CZ531" s="855"/>
      <c r="DA531" s="855"/>
      <c r="DB531" s="855"/>
      <c r="DC531" s="855"/>
      <c r="DD531" s="855"/>
      <c r="DE531" s="855"/>
      <c r="DF531" s="855"/>
      <c r="DG531" s="855"/>
      <c r="DH531" s="1338"/>
      <c r="DI531" s="855"/>
      <c r="DJ531" s="855"/>
      <c r="DK531" s="1338"/>
      <c r="DL531" s="855"/>
      <c r="DM531" s="855"/>
      <c r="DN531" s="1338"/>
      <c r="DO531" s="855"/>
      <c r="DP531" s="855"/>
      <c r="DQ531" s="1338"/>
      <c r="DR531" s="855"/>
      <c r="DS531" s="855"/>
      <c r="DT531" s="1338"/>
      <c r="DU531" s="855"/>
      <c r="DV531" s="855"/>
      <c r="DW531" s="1338"/>
      <c r="DX531" s="855"/>
      <c r="DY531" s="855"/>
      <c r="DZ531" s="1338"/>
      <c r="EA531" s="855"/>
      <c r="EB531" s="855"/>
      <c r="EC531" s="1338"/>
      <c r="ED531" s="855"/>
      <c r="EE531" s="855"/>
      <c r="EF531" s="1338"/>
      <c r="EG531" s="855"/>
      <c r="EH531" s="855"/>
      <c r="EI531" s="1338"/>
      <c r="EJ531" s="855"/>
      <c r="EK531" s="855"/>
      <c r="EL531" s="1338"/>
      <c r="EM531" s="855"/>
      <c r="EN531" s="855"/>
      <c r="EO531" s="1338"/>
      <c r="EP531" s="855"/>
      <c r="EQ531" s="855"/>
      <c r="ER531" s="1338"/>
      <c r="ES531" s="855"/>
      <c r="ET531" s="855"/>
      <c r="EU531" s="1338"/>
      <c r="EV531" s="855"/>
      <c r="EW531" s="855"/>
      <c r="EX531" s="1338"/>
      <c r="EY531" s="855"/>
      <c r="EZ531" s="855"/>
      <c r="FA531" s="1338"/>
      <c r="FE531"/>
      <c r="FF531"/>
      <c r="FG531"/>
      <c r="FH531"/>
      <c r="FI531"/>
      <c r="FJ531"/>
      <c r="FK531" s="35"/>
    </row>
    <row r="532" spans="1:167" s="236" customFormat="1" ht="13.35" customHeight="1">
      <c r="A532" s="401" t="s">
        <v>243</v>
      </c>
      <c r="C532" s="806"/>
      <c r="D532" s="289"/>
      <c r="E532" s="820"/>
      <c r="F532" s="820"/>
      <c r="G532" s="821"/>
      <c r="H532" s="820"/>
      <c r="I532" s="820"/>
      <c r="J532" s="821"/>
      <c r="K532" s="820"/>
      <c r="L532" s="820"/>
      <c r="M532" s="821"/>
      <c r="N532" s="820"/>
      <c r="O532" s="820"/>
      <c r="P532" s="821"/>
      <c r="Q532" s="809"/>
      <c r="R532" s="809"/>
      <c r="S532" s="810"/>
      <c r="T532" s="809"/>
      <c r="U532" s="809"/>
      <c r="V532" s="808"/>
      <c r="W532" s="807"/>
      <c r="X532" s="807"/>
      <c r="Y532" s="808"/>
      <c r="Z532" s="807"/>
      <c r="AA532" s="807"/>
      <c r="AB532" s="808"/>
      <c r="AC532" s="807"/>
      <c r="AD532" s="807"/>
      <c r="AE532" s="808"/>
      <c r="AF532" s="807"/>
      <c r="AG532" s="807"/>
      <c r="AH532" s="808"/>
      <c r="AI532" s="807"/>
      <c r="AJ532" s="807"/>
      <c r="AK532" s="808"/>
      <c r="AL532" s="807"/>
      <c r="AM532" s="807"/>
      <c r="AN532" s="808"/>
      <c r="AO532" s="807"/>
      <c r="AP532" s="807"/>
      <c r="AQ532" s="808"/>
      <c r="AR532" s="807"/>
      <c r="AS532" s="807"/>
      <c r="AT532" s="808"/>
      <c r="AU532" s="820"/>
      <c r="AV532" s="820"/>
      <c r="AW532" s="821"/>
      <c r="AX532" s="855"/>
      <c r="AY532" s="855"/>
      <c r="AZ532" s="855"/>
      <c r="BA532" s="855"/>
      <c r="BB532" s="855"/>
      <c r="BC532" s="855"/>
      <c r="BD532" s="855"/>
      <c r="BE532" s="855"/>
      <c r="BF532" s="855"/>
      <c r="BG532" s="855"/>
      <c r="BH532" s="855"/>
      <c r="BI532" s="855"/>
      <c r="BJ532" s="855"/>
      <c r="BK532" s="855"/>
      <c r="BL532" s="855"/>
      <c r="BM532" s="855"/>
      <c r="BN532" s="855"/>
      <c r="BO532" s="855"/>
      <c r="BP532" s="855"/>
      <c r="BQ532" s="855"/>
      <c r="BR532" s="855"/>
      <c r="BS532" s="855"/>
      <c r="BT532" s="855"/>
      <c r="BU532" s="855"/>
      <c r="BV532" s="855"/>
      <c r="BW532" s="855"/>
      <c r="BX532" s="855"/>
      <c r="BY532" s="855"/>
      <c r="BZ532" s="855"/>
      <c r="CA532" s="855"/>
      <c r="CB532" s="855"/>
      <c r="CC532" s="855"/>
      <c r="CD532" s="855"/>
      <c r="CE532" s="855"/>
      <c r="CF532" s="855"/>
      <c r="CG532" s="855"/>
      <c r="CH532" s="855"/>
      <c r="CI532" s="855"/>
      <c r="CJ532" s="855"/>
      <c r="CK532" s="855"/>
      <c r="CL532" s="855"/>
      <c r="CM532" s="855"/>
      <c r="CN532" s="855"/>
      <c r="CO532" s="855"/>
      <c r="CP532" s="855"/>
      <c r="CQ532" s="855"/>
      <c r="CR532" s="855"/>
      <c r="CS532" s="855"/>
      <c r="CT532" s="855"/>
      <c r="CU532" s="855"/>
      <c r="CV532" s="855"/>
      <c r="CW532" s="855"/>
      <c r="CX532" s="855"/>
      <c r="CY532" s="855"/>
      <c r="CZ532" s="855"/>
      <c r="DA532" s="855"/>
      <c r="DB532" s="855"/>
      <c r="DC532" s="855"/>
      <c r="DD532" s="855"/>
      <c r="DE532" s="855"/>
      <c r="DF532" s="855"/>
      <c r="DG532" s="855"/>
      <c r="DH532" s="1338"/>
      <c r="DI532" s="855"/>
      <c r="DJ532" s="855"/>
      <c r="DK532" s="1338"/>
      <c r="DL532" s="855"/>
      <c r="DM532" s="855"/>
      <c r="DN532" s="1338"/>
      <c r="DO532" s="855"/>
      <c r="DP532" s="855"/>
      <c r="DQ532" s="1338"/>
      <c r="DR532" s="855"/>
      <c r="DS532" s="855"/>
      <c r="DT532" s="1338"/>
      <c r="DU532" s="855"/>
      <c r="DV532" s="855"/>
      <c r="DW532" s="1338"/>
      <c r="DX532" s="855"/>
      <c r="DY532" s="855"/>
      <c r="DZ532" s="1338"/>
      <c r="EA532" s="855"/>
      <c r="EB532" s="855"/>
      <c r="EC532" s="1338"/>
      <c r="ED532" s="855"/>
      <c r="EE532" s="855"/>
      <c r="EF532" s="1338"/>
      <c r="EG532" s="855"/>
      <c r="EH532" s="855"/>
      <c r="EI532" s="1338"/>
      <c r="EJ532" s="855"/>
      <c r="EK532" s="855"/>
      <c r="EL532" s="1338"/>
      <c r="EM532" s="855"/>
      <c r="EN532" s="855"/>
      <c r="EO532" s="1338"/>
      <c r="EP532" s="855"/>
      <c r="EQ532" s="855"/>
      <c r="ER532" s="1338"/>
      <c r="ES532" s="855"/>
      <c r="ET532" s="855"/>
      <c r="EU532" s="1338"/>
      <c r="EV532" s="855"/>
      <c r="EW532" s="855"/>
      <c r="EX532" s="1338"/>
      <c r="EY532" s="855"/>
      <c r="EZ532" s="855"/>
      <c r="FA532" s="1338"/>
      <c r="FE532"/>
      <c r="FF532"/>
      <c r="FG532"/>
      <c r="FH532"/>
      <c r="FI532"/>
      <c r="FJ532"/>
      <c r="FK532" s="35"/>
    </row>
    <row r="533" spans="1:167" s="236" customFormat="1" ht="13.35" customHeight="1">
      <c r="A533" s="289"/>
      <c r="B533" s="401" t="s">
        <v>225</v>
      </c>
      <c r="C533" s="806"/>
      <c r="D533" s="289"/>
      <c r="E533" s="820"/>
      <c r="F533" s="820"/>
      <c r="G533" s="821"/>
      <c r="H533" s="820"/>
      <c r="I533" s="820"/>
      <c r="J533" s="821"/>
      <c r="K533" s="820"/>
      <c r="L533" s="820"/>
      <c r="M533" s="821"/>
      <c r="N533" s="820"/>
      <c r="O533" s="820"/>
      <c r="P533" s="821"/>
      <c r="Q533" s="809"/>
      <c r="R533" s="809"/>
      <c r="S533" s="810"/>
      <c r="T533" s="809"/>
      <c r="U533" s="809"/>
      <c r="V533" s="808"/>
      <c r="W533" s="807"/>
      <c r="X533" s="807"/>
      <c r="Y533" s="808"/>
      <c r="Z533" s="807"/>
      <c r="AA533" s="807"/>
      <c r="AB533" s="808"/>
      <c r="AC533" s="807"/>
      <c r="AD533" s="807"/>
      <c r="AE533" s="808"/>
      <c r="AF533" s="807"/>
      <c r="AG533" s="807"/>
      <c r="AH533" s="808"/>
      <c r="AI533" s="807"/>
      <c r="AJ533" s="807"/>
      <c r="AK533" s="808"/>
      <c r="AL533" s="807"/>
      <c r="AM533" s="807"/>
      <c r="AN533" s="808"/>
      <c r="AO533" s="807"/>
      <c r="AP533" s="807"/>
      <c r="AQ533" s="808"/>
      <c r="AR533" s="807"/>
      <c r="AS533" s="807"/>
      <c r="AT533" s="808"/>
      <c r="AU533" s="820"/>
      <c r="AV533" s="820"/>
      <c r="AW533" s="821"/>
      <c r="AX533" s="855">
        <f>AX423</f>
        <v>0</v>
      </c>
      <c r="AY533" s="855">
        <f t="shared" ref="AY533:DJ533" si="1354">AY423</f>
        <v>0</v>
      </c>
      <c r="AZ533" s="855">
        <f t="shared" si="1354"/>
        <v>0</v>
      </c>
      <c r="BA533" s="855">
        <f t="shared" si="1354"/>
        <v>0</v>
      </c>
      <c r="BB533" s="855">
        <f t="shared" si="1354"/>
        <v>0</v>
      </c>
      <c r="BC533" s="855">
        <f t="shared" si="1354"/>
        <v>0</v>
      </c>
      <c r="BD533" s="855">
        <f t="shared" si="1354"/>
        <v>0</v>
      </c>
      <c r="BE533" s="855">
        <f t="shared" si="1354"/>
        <v>0</v>
      </c>
      <c r="BF533" s="855">
        <f t="shared" si="1354"/>
        <v>0</v>
      </c>
      <c r="BG533" s="855">
        <f t="shared" si="1354"/>
        <v>0</v>
      </c>
      <c r="BH533" s="855">
        <f t="shared" si="1354"/>
        <v>0</v>
      </c>
      <c r="BI533" s="855">
        <f t="shared" si="1354"/>
        <v>0</v>
      </c>
      <c r="BJ533" s="855">
        <f t="shared" si="1354"/>
        <v>0</v>
      </c>
      <c r="BK533" s="855">
        <f t="shared" si="1354"/>
        <v>0</v>
      </c>
      <c r="BL533" s="855">
        <f t="shared" si="1354"/>
        <v>0</v>
      </c>
      <c r="BM533" s="855">
        <f t="shared" si="1354"/>
        <v>0</v>
      </c>
      <c r="BN533" s="855">
        <f t="shared" si="1354"/>
        <v>0</v>
      </c>
      <c r="BO533" s="855">
        <f t="shared" si="1354"/>
        <v>0</v>
      </c>
      <c r="BP533" s="855">
        <f t="shared" si="1354"/>
        <v>0</v>
      </c>
      <c r="BQ533" s="855">
        <f t="shared" si="1354"/>
        <v>0</v>
      </c>
      <c r="BR533" s="855">
        <f t="shared" si="1354"/>
        <v>0</v>
      </c>
      <c r="BS533" s="855">
        <f t="shared" si="1354"/>
        <v>0</v>
      </c>
      <c r="BT533" s="855">
        <f t="shared" si="1354"/>
        <v>0</v>
      </c>
      <c r="BU533" s="855">
        <f t="shared" si="1354"/>
        <v>0</v>
      </c>
      <c r="BV533" s="855">
        <f t="shared" si="1354"/>
        <v>0</v>
      </c>
      <c r="BW533" s="855">
        <f t="shared" si="1354"/>
        <v>0</v>
      </c>
      <c r="BX533" s="855">
        <f t="shared" si="1354"/>
        <v>0</v>
      </c>
      <c r="BY533" s="855">
        <f t="shared" si="1354"/>
        <v>0</v>
      </c>
      <c r="BZ533" s="855">
        <f t="shared" si="1354"/>
        <v>0</v>
      </c>
      <c r="CA533" s="855">
        <f t="shared" si="1354"/>
        <v>0</v>
      </c>
      <c r="CB533" s="855">
        <f t="shared" si="1354"/>
        <v>0</v>
      </c>
      <c r="CC533" s="855">
        <f t="shared" si="1354"/>
        <v>0</v>
      </c>
      <c r="CD533" s="855">
        <f t="shared" si="1354"/>
        <v>0</v>
      </c>
      <c r="CE533" s="855">
        <f t="shared" si="1354"/>
        <v>0</v>
      </c>
      <c r="CF533" s="855">
        <f t="shared" si="1354"/>
        <v>0</v>
      </c>
      <c r="CG533" s="855">
        <f t="shared" si="1354"/>
        <v>0</v>
      </c>
      <c r="CH533" s="855">
        <f t="shared" si="1354"/>
        <v>0</v>
      </c>
      <c r="CI533" s="855">
        <f t="shared" si="1354"/>
        <v>0</v>
      </c>
      <c r="CJ533" s="855">
        <f t="shared" si="1354"/>
        <v>0</v>
      </c>
      <c r="CK533" s="855">
        <f t="shared" si="1354"/>
        <v>0</v>
      </c>
      <c r="CL533" s="855">
        <f t="shared" si="1354"/>
        <v>0</v>
      </c>
      <c r="CM533" s="855">
        <f t="shared" si="1354"/>
        <v>0</v>
      </c>
      <c r="CN533" s="855">
        <f t="shared" si="1354"/>
        <v>0</v>
      </c>
      <c r="CO533" s="855">
        <f t="shared" si="1354"/>
        <v>0</v>
      </c>
      <c r="CP533" s="855">
        <f t="shared" si="1354"/>
        <v>0</v>
      </c>
      <c r="CQ533" s="855">
        <f t="shared" si="1354"/>
        <v>0</v>
      </c>
      <c r="CR533" s="855">
        <f t="shared" si="1354"/>
        <v>0</v>
      </c>
      <c r="CS533" s="855">
        <f t="shared" si="1354"/>
        <v>0</v>
      </c>
      <c r="CT533" s="855">
        <f t="shared" si="1354"/>
        <v>0</v>
      </c>
      <c r="CU533" s="855">
        <f t="shared" si="1354"/>
        <v>0</v>
      </c>
      <c r="CV533" s="855">
        <f t="shared" si="1354"/>
        <v>0</v>
      </c>
      <c r="CW533" s="855">
        <f t="shared" si="1354"/>
        <v>0</v>
      </c>
      <c r="CX533" s="855">
        <f t="shared" si="1354"/>
        <v>0</v>
      </c>
      <c r="CY533" s="855">
        <f t="shared" si="1354"/>
        <v>0</v>
      </c>
      <c r="CZ533" s="855">
        <f t="shared" si="1354"/>
        <v>0</v>
      </c>
      <c r="DA533" s="855">
        <f t="shared" si="1354"/>
        <v>0</v>
      </c>
      <c r="DB533" s="855">
        <f t="shared" si="1354"/>
        <v>0</v>
      </c>
      <c r="DC533" s="855">
        <f t="shared" si="1354"/>
        <v>0</v>
      </c>
      <c r="DD533" s="855">
        <f t="shared" si="1354"/>
        <v>0</v>
      </c>
      <c r="DE533" s="855">
        <f t="shared" si="1354"/>
        <v>0</v>
      </c>
      <c r="DF533" s="855">
        <f t="shared" si="1354"/>
        <v>0</v>
      </c>
      <c r="DG533" s="855">
        <f t="shared" si="1354"/>
        <v>0</v>
      </c>
      <c r="DH533" s="1338">
        <f t="shared" si="1354"/>
        <v>0</v>
      </c>
      <c r="DI533" s="855">
        <f t="shared" si="1354"/>
        <v>0</v>
      </c>
      <c r="DJ533" s="855">
        <f t="shared" si="1354"/>
        <v>0</v>
      </c>
      <c r="DK533" s="1338">
        <f>DK423</f>
        <v>0</v>
      </c>
      <c r="DL533" s="855">
        <f>DL423</f>
        <v>0</v>
      </c>
      <c r="DM533" s="855">
        <f>DM423</f>
        <v>0</v>
      </c>
      <c r="DN533" s="1338">
        <f>DN423</f>
        <v>0</v>
      </c>
      <c r="DO533" s="855">
        <f t="shared" ref="DO533:DT533" si="1355">DO423</f>
        <v>0</v>
      </c>
      <c r="DP533" s="855">
        <f t="shared" si="1355"/>
        <v>0</v>
      </c>
      <c r="DQ533" s="1338">
        <f t="shared" si="1355"/>
        <v>0</v>
      </c>
      <c r="DR533" s="855">
        <f t="shared" si="1355"/>
        <v>0</v>
      </c>
      <c r="DS533" s="855">
        <f t="shared" si="1355"/>
        <v>0</v>
      </c>
      <c r="DT533" s="1338">
        <f t="shared" si="1355"/>
        <v>0</v>
      </c>
      <c r="DU533" s="855"/>
      <c r="DV533" s="855"/>
      <c r="DW533" s="1338"/>
      <c r="DX533" s="855"/>
      <c r="DY533" s="855"/>
      <c r="DZ533" s="1338"/>
      <c r="EA533" s="855"/>
      <c r="EB533" s="855"/>
      <c r="EC533" s="1338"/>
      <c r="ED533" s="855"/>
      <c r="EE533" s="855"/>
      <c r="EF533" s="1338"/>
      <c r="EG533" s="855"/>
      <c r="EH533" s="855"/>
      <c r="EI533" s="1338"/>
      <c r="EJ533" s="855"/>
      <c r="EK533" s="855"/>
      <c r="EL533" s="1338"/>
      <c r="EM533" s="855"/>
      <c r="EN533" s="855"/>
      <c r="EO533" s="1338"/>
      <c r="EP533" s="855"/>
      <c r="EQ533" s="855"/>
      <c r="ER533" s="1338"/>
      <c r="ES533" s="855"/>
      <c r="ET533" s="855"/>
      <c r="EU533" s="1338"/>
      <c r="EV533" s="855"/>
      <c r="EW533" s="855"/>
      <c r="EX533" s="1338"/>
      <c r="EY533" s="855"/>
      <c r="EZ533" s="855"/>
      <c r="FA533" s="1338"/>
      <c r="FE533"/>
      <c r="FF533"/>
      <c r="FG533"/>
      <c r="FH533"/>
      <c r="FI533"/>
      <c r="FJ533"/>
      <c r="FK533" s="35"/>
    </row>
    <row r="534" spans="1:167" s="236" customFormat="1" ht="13.35" customHeight="1">
      <c r="A534" s="289"/>
      <c r="B534" s="401" t="s">
        <v>446</v>
      </c>
      <c r="C534" s="806"/>
      <c r="D534" s="289"/>
      <c r="E534" s="820"/>
      <c r="F534" s="820"/>
      <c r="G534" s="821"/>
      <c r="H534" s="820"/>
      <c r="I534" s="820"/>
      <c r="J534" s="821"/>
      <c r="K534" s="820"/>
      <c r="L534" s="820"/>
      <c r="M534" s="821"/>
      <c r="N534" s="820"/>
      <c r="O534" s="820"/>
      <c r="P534" s="821"/>
      <c r="Q534" s="809"/>
      <c r="R534" s="809"/>
      <c r="S534" s="810"/>
      <c r="T534" s="809"/>
      <c r="U534" s="809"/>
      <c r="V534" s="808"/>
      <c r="W534" s="807"/>
      <c r="X534" s="807"/>
      <c r="Y534" s="808"/>
      <c r="Z534" s="807"/>
      <c r="AA534" s="807"/>
      <c r="AB534" s="808"/>
      <c r="AC534" s="807"/>
      <c r="AD534" s="807"/>
      <c r="AE534" s="808"/>
      <c r="AF534" s="807"/>
      <c r="AG534" s="807"/>
      <c r="AH534" s="808"/>
      <c r="AI534" s="807"/>
      <c r="AJ534" s="807"/>
      <c r="AK534" s="808"/>
      <c r="AL534" s="807"/>
      <c r="AM534" s="807"/>
      <c r="AN534" s="808"/>
      <c r="AO534" s="807"/>
      <c r="AP534" s="807"/>
      <c r="AQ534" s="808"/>
      <c r="AR534" s="807"/>
      <c r="AS534" s="807"/>
      <c r="AT534" s="808"/>
      <c r="AU534" s="820"/>
      <c r="AV534" s="820"/>
      <c r="AW534" s="821"/>
      <c r="AX534" s="854">
        <v>0</v>
      </c>
      <c r="AY534" s="854">
        <v>0</v>
      </c>
      <c r="AZ534" s="854">
        <v>0</v>
      </c>
      <c r="BA534" s="854">
        <v>0</v>
      </c>
      <c r="BB534" s="854">
        <v>0</v>
      </c>
      <c r="BC534" s="854">
        <v>0</v>
      </c>
      <c r="BD534" s="854">
        <v>0</v>
      </c>
      <c r="BE534" s="854">
        <v>0</v>
      </c>
      <c r="BF534" s="854">
        <v>0</v>
      </c>
      <c r="BG534" s="854">
        <v>0</v>
      </c>
      <c r="BH534" s="854">
        <v>0</v>
      </c>
      <c r="BI534" s="854">
        <v>0</v>
      </c>
      <c r="BJ534" s="854">
        <v>0</v>
      </c>
      <c r="BK534" s="854">
        <v>0</v>
      </c>
      <c r="BL534" s="854">
        <v>0</v>
      </c>
      <c r="BM534" s="854">
        <v>0</v>
      </c>
      <c r="BN534" s="854">
        <v>0</v>
      </c>
      <c r="BO534" s="854">
        <v>0</v>
      </c>
      <c r="BP534" s="854">
        <v>0</v>
      </c>
      <c r="BQ534" s="854">
        <v>0</v>
      </c>
      <c r="BR534" s="854">
        <v>0</v>
      </c>
      <c r="BS534" s="854">
        <v>0</v>
      </c>
      <c r="BT534" s="854">
        <v>0</v>
      </c>
      <c r="BU534" s="854">
        <v>0</v>
      </c>
      <c r="BV534" s="854">
        <v>0</v>
      </c>
      <c r="BW534" s="854">
        <v>0</v>
      </c>
      <c r="BX534" s="854">
        <v>0</v>
      </c>
      <c r="BY534" s="854">
        <v>0</v>
      </c>
      <c r="BZ534" s="854">
        <v>0</v>
      </c>
      <c r="CA534" s="854">
        <v>0</v>
      </c>
      <c r="CB534" s="854">
        <v>0</v>
      </c>
      <c r="CC534" s="854">
        <v>0</v>
      </c>
      <c r="CD534" s="854">
        <v>0</v>
      </c>
      <c r="CE534" s="854">
        <v>0</v>
      </c>
      <c r="CF534" s="854">
        <v>0</v>
      </c>
      <c r="CG534" s="854">
        <v>0</v>
      </c>
      <c r="CH534" s="854">
        <v>0</v>
      </c>
      <c r="CI534" s="854">
        <v>0</v>
      </c>
      <c r="CJ534" s="854">
        <v>0</v>
      </c>
      <c r="CK534" s="854">
        <v>0</v>
      </c>
      <c r="CL534" s="854">
        <v>0</v>
      </c>
      <c r="CM534" s="854">
        <v>0</v>
      </c>
      <c r="CN534" s="854">
        <v>0</v>
      </c>
      <c r="CO534" s="854">
        <v>0</v>
      </c>
      <c r="CP534" s="854">
        <v>0</v>
      </c>
      <c r="CQ534" s="854">
        <v>0</v>
      </c>
      <c r="CR534" s="854">
        <v>0</v>
      </c>
      <c r="CS534" s="854">
        <v>0</v>
      </c>
      <c r="CT534" s="854">
        <v>0</v>
      </c>
      <c r="CU534" s="854">
        <v>0</v>
      </c>
      <c r="CV534" s="854">
        <v>0</v>
      </c>
      <c r="CW534" s="854">
        <v>0</v>
      </c>
      <c r="CX534" s="854">
        <v>0</v>
      </c>
      <c r="CY534" s="854">
        <v>0</v>
      </c>
      <c r="CZ534" s="854">
        <v>0</v>
      </c>
      <c r="DA534" s="854">
        <v>0</v>
      </c>
      <c r="DB534" s="854">
        <v>0</v>
      </c>
      <c r="DC534" s="854">
        <v>0</v>
      </c>
      <c r="DD534" s="854">
        <v>0</v>
      </c>
      <c r="DE534" s="854">
        <v>0</v>
      </c>
      <c r="DF534" s="854">
        <v>0</v>
      </c>
      <c r="DG534" s="854">
        <v>0</v>
      </c>
      <c r="DH534" s="1339">
        <v>0</v>
      </c>
      <c r="DI534" s="854">
        <v>0</v>
      </c>
      <c r="DJ534" s="854">
        <v>0</v>
      </c>
      <c r="DK534" s="1339">
        <v>0</v>
      </c>
      <c r="DL534" s="854">
        <v>0</v>
      </c>
      <c r="DM534" s="854">
        <v>0</v>
      </c>
      <c r="DN534" s="1339">
        <v>0</v>
      </c>
      <c r="DO534" s="854">
        <v>0</v>
      </c>
      <c r="DP534" s="854">
        <v>0</v>
      </c>
      <c r="DQ534" s="1339">
        <v>0</v>
      </c>
      <c r="DR534" s="854">
        <v>0</v>
      </c>
      <c r="DS534" s="854">
        <v>0</v>
      </c>
      <c r="DT534" s="1339">
        <v>0</v>
      </c>
      <c r="DU534" s="854"/>
      <c r="DV534" s="854"/>
      <c r="DW534" s="1339"/>
      <c r="DX534" s="854"/>
      <c r="DY534" s="854"/>
      <c r="DZ534" s="1339"/>
      <c r="EA534" s="854"/>
      <c r="EB534" s="854"/>
      <c r="EC534" s="1339"/>
      <c r="ED534" s="854"/>
      <c r="EE534" s="854"/>
      <c r="EF534" s="1339"/>
      <c r="EG534" s="854"/>
      <c r="EH534" s="854"/>
      <c r="EI534" s="1339"/>
      <c r="EJ534" s="854"/>
      <c r="EK534" s="854"/>
      <c r="EL534" s="1339"/>
      <c r="EM534" s="854"/>
      <c r="EN534" s="854"/>
      <c r="EO534" s="1339"/>
      <c r="EP534" s="854"/>
      <c r="EQ534" s="854"/>
      <c r="ER534" s="1339"/>
      <c r="ES534" s="854"/>
      <c r="ET534" s="854"/>
      <c r="EU534" s="1339"/>
      <c r="EV534" s="854"/>
      <c r="EW534" s="854"/>
      <c r="EX534" s="1339"/>
      <c r="EY534" s="854"/>
      <c r="EZ534" s="854"/>
      <c r="FA534" s="1339"/>
      <c r="FE534"/>
      <c r="FF534"/>
      <c r="FG534"/>
      <c r="FH534"/>
      <c r="FI534"/>
      <c r="FJ534"/>
      <c r="FK534" s="35"/>
    </row>
    <row r="535" spans="1:167" s="236" customFormat="1" ht="13.35" customHeight="1">
      <c r="A535" s="289"/>
      <c r="B535" s="401" t="s">
        <v>447</v>
      </c>
      <c r="C535" s="806"/>
      <c r="D535" s="289"/>
      <c r="E535" s="820"/>
      <c r="F535" s="820"/>
      <c r="G535" s="821"/>
      <c r="H535" s="820"/>
      <c r="I535" s="820"/>
      <c r="J535" s="821"/>
      <c r="K535" s="820"/>
      <c r="L535" s="820"/>
      <c r="M535" s="821"/>
      <c r="N535" s="820"/>
      <c r="O535" s="820"/>
      <c r="P535" s="821"/>
      <c r="Q535" s="809"/>
      <c r="R535" s="809"/>
      <c r="S535" s="810"/>
      <c r="T535" s="809"/>
      <c r="U535" s="809"/>
      <c r="V535" s="808"/>
      <c r="W535" s="807"/>
      <c r="X535" s="807"/>
      <c r="Y535" s="808"/>
      <c r="Z535" s="807"/>
      <c r="AA535" s="807"/>
      <c r="AB535" s="808"/>
      <c r="AC535" s="807"/>
      <c r="AD535" s="807"/>
      <c r="AE535" s="808"/>
      <c r="AF535" s="807"/>
      <c r="AG535" s="807"/>
      <c r="AH535" s="808"/>
      <c r="AI535" s="807"/>
      <c r="AJ535" s="807"/>
      <c r="AK535" s="808"/>
      <c r="AL535" s="807"/>
      <c r="AM535" s="807"/>
      <c r="AN535" s="808"/>
      <c r="AO535" s="807"/>
      <c r="AP535" s="807"/>
      <c r="AQ535" s="808"/>
      <c r="AR535" s="807"/>
      <c r="AS535" s="807"/>
      <c r="AT535" s="808"/>
      <c r="AU535" s="820"/>
      <c r="AV535" s="820"/>
      <c r="AW535" s="821"/>
      <c r="AX535" s="854">
        <v>0</v>
      </c>
      <c r="AY535" s="854">
        <v>0</v>
      </c>
      <c r="AZ535" s="854">
        <v>0</v>
      </c>
      <c r="BA535" s="854">
        <v>0</v>
      </c>
      <c r="BB535" s="854">
        <v>0</v>
      </c>
      <c r="BC535" s="854">
        <v>0</v>
      </c>
      <c r="BD535" s="854">
        <v>0</v>
      </c>
      <c r="BE535" s="854">
        <v>0</v>
      </c>
      <c r="BF535" s="854">
        <v>0</v>
      </c>
      <c r="BG535" s="854">
        <v>0</v>
      </c>
      <c r="BH535" s="854">
        <v>0</v>
      </c>
      <c r="BI535" s="854">
        <v>0</v>
      </c>
      <c r="BJ535" s="854">
        <v>0</v>
      </c>
      <c r="BK535" s="854">
        <v>0</v>
      </c>
      <c r="BL535" s="854">
        <v>0</v>
      </c>
      <c r="BM535" s="854">
        <v>0</v>
      </c>
      <c r="BN535" s="854">
        <v>0</v>
      </c>
      <c r="BO535" s="854">
        <v>0</v>
      </c>
      <c r="BP535" s="854">
        <v>0</v>
      </c>
      <c r="BQ535" s="854">
        <v>0</v>
      </c>
      <c r="BR535" s="854">
        <v>0</v>
      </c>
      <c r="BS535" s="854">
        <v>0</v>
      </c>
      <c r="BT535" s="854">
        <v>0</v>
      </c>
      <c r="BU535" s="854">
        <v>0</v>
      </c>
      <c r="BV535" s="854">
        <v>0</v>
      </c>
      <c r="BW535" s="854">
        <v>0</v>
      </c>
      <c r="BX535" s="854">
        <v>0</v>
      </c>
      <c r="BY535" s="854">
        <v>0</v>
      </c>
      <c r="BZ535" s="854">
        <v>0</v>
      </c>
      <c r="CA535" s="854">
        <v>0</v>
      </c>
      <c r="CB535" s="854">
        <v>0</v>
      </c>
      <c r="CC535" s="854">
        <v>0</v>
      </c>
      <c r="CD535" s="854">
        <v>0</v>
      </c>
      <c r="CE535" s="854">
        <v>0</v>
      </c>
      <c r="CF535" s="854">
        <v>0</v>
      </c>
      <c r="CG535" s="854">
        <v>0</v>
      </c>
      <c r="CH535" s="854">
        <v>0</v>
      </c>
      <c r="CI535" s="854">
        <v>0</v>
      </c>
      <c r="CJ535" s="854">
        <v>0</v>
      </c>
      <c r="CK535" s="854">
        <v>0</v>
      </c>
      <c r="CL535" s="854">
        <v>0</v>
      </c>
      <c r="CM535" s="854">
        <v>0</v>
      </c>
      <c r="CN535" s="854">
        <v>0</v>
      </c>
      <c r="CO535" s="854">
        <v>0</v>
      </c>
      <c r="CP535" s="854">
        <v>0</v>
      </c>
      <c r="CQ535" s="854">
        <v>0</v>
      </c>
      <c r="CR535" s="854">
        <v>0</v>
      </c>
      <c r="CS535" s="854">
        <v>0</v>
      </c>
      <c r="CT535" s="854">
        <v>0</v>
      </c>
      <c r="CU535" s="854">
        <v>0</v>
      </c>
      <c r="CV535" s="854">
        <v>0</v>
      </c>
      <c r="CW535" s="854">
        <v>0</v>
      </c>
      <c r="CX535" s="854">
        <v>0</v>
      </c>
      <c r="CY535" s="854">
        <v>0</v>
      </c>
      <c r="CZ535" s="854">
        <v>0</v>
      </c>
      <c r="DA535" s="854">
        <v>0</v>
      </c>
      <c r="DB535" s="854">
        <v>0</v>
      </c>
      <c r="DC535" s="854">
        <v>0</v>
      </c>
      <c r="DD535" s="854">
        <v>0</v>
      </c>
      <c r="DE535" s="854">
        <v>0</v>
      </c>
      <c r="DF535" s="854">
        <v>0</v>
      </c>
      <c r="DG535" s="854">
        <v>0</v>
      </c>
      <c r="DH535" s="1339">
        <v>0</v>
      </c>
      <c r="DI535" s="854">
        <v>0</v>
      </c>
      <c r="DJ535" s="854">
        <v>0</v>
      </c>
      <c r="DK535" s="1339">
        <v>0</v>
      </c>
      <c r="DL535" s="854">
        <v>0</v>
      </c>
      <c r="DM535" s="854">
        <v>0</v>
      </c>
      <c r="DN535" s="1339">
        <v>0</v>
      </c>
      <c r="DO535" s="854">
        <v>0</v>
      </c>
      <c r="DP535" s="854">
        <v>0</v>
      </c>
      <c r="DQ535" s="1339">
        <v>0</v>
      </c>
      <c r="DR535" s="854">
        <v>0</v>
      </c>
      <c r="DS535" s="854">
        <v>0</v>
      </c>
      <c r="DT535" s="1339">
        <v>0</v>
      </c>
      <c r="DU535" s="854"/>
      <c r="DV535" s="854"/>
      <c r="DW535" s="1339"/>
      <c r="DX535" s="854"/>
      <c r="DY535" s="854"/>
      <c r="DZ535" s="1339"/>
      <c r="EA535" s="854"/>
      <c r="EB535" s="854"/>
      <c r="EC535" s="1339"/>
      <c r="ED535" s="854"/>
      <c r="EE535" s="854"/>
      <c r="EF535" s="1339"/>
      <c r="EG535" s="854"/>
      <c r="EH535" s="854"/>
      <c r="EI535" s="1339"/>
      <c r="EJ535" s="854"/>
      <c r="EK535" s="854"/>
      <c r="EL535" s="1339"/>
      <c r="EM535" s="854"/>
      <c r="EN535" s="854"/>
      <c r="EO535" s="1339"/>
      <c r="EP535" s="854"/>
      <c r="EQ535" s="854"/>
      <c r="ER535" s="1339"/>
      <c r="ES535" s="854"/>
      <c r="ET535" s="854"/>
      <c r="EU535" s="1339"/>
      <c r="EV535" s="854"/>
      <c r="EW535" s="854"/>
      <c r="EX535" s="1339"/>
      <c r="EY535" s="854"/>
      <c r="EZ535" s="854"/>
      <c r="FA535" s="1339"/>
      <c r="FE535"/>
      <c r="FF535"/>
      <c r="FG535"/>
      <c r="FH535"/>
      <c r="FI535"/>
      <c r="FJ535"/>
      <c r="FK535" s="35"/>
    </row>
    <row r="536" spans="1:167" s="236" customFormat="1" ht="13.35" customHeight="1">
      <c r="A536" s="289"/>
      <c r="B536" s="401" t="s">
        <v>445</v>
      </c>
      <c r="C536" s="806"/>
      <c r="D536" s="289"/>
      <c r="E536" s="820"/>
      <c r="F536" s="820"/>
      <c r="G536" s="821"/>
      <c r="H536" s="820"/>
      <c r="I536" s="820"/>
      <c r="J536" s="821"/>
      <c r="K536" s="820"/>
      <c r="L536" s="820"/>
      <c r="M536" s="821"/>
      <c r="N536" s="820"/>
      <c r="O536" s="820"/>
      <c r="P536" s="821"/>
      <c r="Q536" s="809"/>
      <c r="R536" s="809"/>
      <c r="S536" s="810"/>
      <c r="T536" s="809"/>
      <c r="U536" s="809"/>
      <c r="V536" s="808"/>
      <c r="W536" s="807"/>
      <c r="X536" s="807"/>
      <c r="Y536" s="808"/>
      <c r="Z536" s="807"/>
      <c r="AA536" s="807"/>
      <c r="AB536" s="808"/>
      <c r="AC536" s="807"/>
      <c r="AD536" s="807"/>
      <c r="AE536" s="808"/>
      <c r="AF536" s="807"/>
      <c r="AG536" s="807"/>
      <c r="AH536" s="808"/>
      <c r="AI536" s="807"/>
      <c r="AJ536" s="807"/>
      <c r="AK536" s="808"/>
      <c r="AL536" s="807"/>
      <c r="AM536" s="807"/>
      <c r="AN536" s="808"/>
      <c r="AO536" s="807"/>
      <c r="AP536" s="807"/>
      <c r="AQ536" s="808"/>
      <c r="AR536" s="807"/>
      <c r="AS536" s="807"/>
      <c r="AT536" s="808"/>
      <c r="AU536" s="820"/>
      <c r="AV536" s="820"/>
      <c r="AW536" s="821"/>
      <c r="AX536" s="854">
        <v>0</v>
      </c>
      <c r="AY536" s="854">
        <v>0</v>
      </c>
      <c r="AZ536" s="854">
        <v>0</v>
      </c>
      <c r="BA536" s="854">
        <v>0</v>
      </c>
      <c r="BB536" s="854">
        <v>0</v>
      </c>
      <c r="BC536" s="854">
        <v>0</v>
      </c>
      <c r="BD536" s="854">
        <v>0</v>
      </c>
      <c r="BE536" s="854">
        <v>0</v>
      </c>
      <c r="BF536" s="854">
        <v>0</v>
      </c>
      <c r="BG536" s="854">
        <v>0</v>
      </c>
      <c r="BH536" s="854">
        <v>0</v>
      </c>
      <c r="BI536" s="854">
        <v>0</v>
      </c>
      <c r="BJ536" s="854">
        <v>0</v>
      </c>
      <c r="BK536" s="854">
        <v>0</v>
      </c>
      <c r="BL536" s="854">
        <v>0</v>
      </c>
      <c r="BM536" s="854">
        <v>0</v>
      </c>
      <c r="BN536" s="854">
        <v>0</v>
      </c>
      <c r="BO536" s="854">
        <v>0</v>
      </c>
      <c r="BP536" s="854">
        <v>0</v>
      </c>
      <c r="BQ536" s="854">
        <v>0</v>
      </c>
      <c r="BR536" s="854">
        <v>0</v>
      </c>
      <c r="BS536" s="854">
        <v>0</v>
      </c>
      <c r="BT536" s="854">
        <v>0</v>
      </c>
      <c r="BU536" s="854">
        <v>0</v>
      </c>
      <c r="BV536" s="854">
        <v>0</v>
      </c>
      <c r="BW536" s="854">
        <v>0</v>
      </c>
      <c r="BX536" s="854">
        <v>0</v>
      </c>
      <c r="BY536" s="854">
        <v>0</v>
      </c>
      <c r="BZ536" s="854">
        <v>0</v>
      </c>
      <c r="CA536" s="854">
        <v>0</v>
      </c>
      <c r="CB536" s="854">
        <v>0</v>
      </c>
      <c r="CC536" s="854">
        <v>0</v>
      </c>
      <c r="CD536" s="854">
        <v>0</v>
      </c>
      <c r="CE536" s="854">
        <v>0</v>
      </c>
      <c r="CF536" s="854">
        <v>0</v>
      </c>
      <c r="CG536" s="854">
        <v>0</v>
      </c>
      <c r="CH536" s="854">
        <v>0</v>
      </c>
      <c r="CI536" s="854">
        <v>0</v>
      </c>
      <c r="CJ536" s="854">
        <v>0</v>
      </c>
      <c r="CK536" s="854">
        <v>0</v>
      </c>
      <c r="CL536" s="854">
        <v>0</v>
      </c>
      <c r="CM536" s="854">
        <v>0</v>
      </c>
      <c r="CN536" s="854">
        <v>0</v>
      </c>
      <c r="CO536" s="854">
        <v>0</v>
      </c>
      <c r="CP536" s="854">
        <v>0</v>
      </c>
      <c r="CQ536" s="854">
        <v>0</v>
      </c>
      <c r="CR536" s="854">
        <v>0</v>
      </c>
      <c r="CS536" s="854">
        <v>0</v>
      </c>
      <c r="CT536" s="854">
        <v>0</v>
      </c>
      <c r="CU536" s="854">
        <v>0</v>
      </c>
      <c r="CV536" s="854">
        <v>0</v>
      </c>
      <c r="CW536" s="854">
        <v>0</v>
      </c>
      <c r="CX536" s="854">
        <v>0</v>
      </c>
      <c r="CY536" s="854">
        <v>0</v>
      </c>
      <c r="CZ536" s="854">
        <v>0</v>
      </c>
      <c r="DA536" s="854">
        <v>0</v>
      </c>
      <c r="DB536" s="854">
        <v>0</v>
      </c>
      <c r="DC536" s="854">
        <v>0</v>
      </c>
      <c r="DD536" s="854">
        <v>0</v>
      </c>
      <c r="DE536" s="854">
        <v>0</v>
      </c>
      <c r="DF536" s="854">
        <v>0</v>
      </c>
      <c r="DG536" s="854">
        <v>0</v>
      </c>
      <c r="DH536" s="1339">
        <v>0</v>
      </c>
      <c r="DI536" s="854">
        <v>0</v>
      </c>
      <c r="DJ536" s="854">
        <v>0</v>
      </c>
      <c r="DK536" s="1339">
        <v>0</v>
      </c>
      <c r="DL536" s="854">
        <v>0</v>
      </c>
      <c r="DM536" s="854">
        <v>0</v>
      </c>
      <c r="DN536" s="1339">
        <v>0</v>
      </c>
      <c r="DO536" s="854">
        <v>0</v>
      </c>
      <c r="DP536" s="854">
        <v>0</v>
      </c>
      <c r="DQ536" s="1339">
        <v>0</v>
      </c>
      <c r="DR536" s="854">
        <v>0</v>
      </c>
      <c r="DS536" s="854">
        <v>0</v>
      </c>
      <c r="DT536" s="1339">
        <v>0</v>
      </c>
      <c r="DU536" s="854"/>
      <c r="DV536" s="854"/>
      <c r="DW536" s="1339"/>
      <c r="DX536" s="854"/>
      <c r="DY536" s="854"/>
      <c r="DZ536" s="1339"/>
      <c r="EA536" s="854"/>
      <c r="EB536" s="854"/>
      <c r="EC536" s="1339"/>
      <c r="ED536" s="854"/>
      <c r="EE536" s="854"/>
      <c r="EF536" s="1339"/>
      <c r="EG536" s="854"/>
      <c r="EH536" s="854"/>
      <c r="EI536" s="1339"/>
      <c r="EJ536" s="854"/>
      <c r="EK536" s="854"/>
      <c r="EL536" s="1339"/>
      <c r="EM536" s="854"/>
      <c r="EN536" s="854"/>
      <c r="EO536" s="1339"/>
      <c r="EP536" s="854"/>
      <c r="EQ536" s="854"/>
      <c r="ER536" s="1339"/>
      <c r="ES536" s="854"/>
      <c r="ET536" s="854"/>
      <c r="EU536" s="1339"/>
      <c r="EV536" s="854"/>
      <c r="EW536" s="854"/>
      <c r="EX536" s="1339"/>
      <c r="EY536" s="854"/>
      <c r="EZ536" s="854"/>
      <c r="FA536" s="1339"/>
      <c r="FE536"/>
      <c r="FF536"/>
      <c r="FG536"/>
      <c r="FH536"/>
      <c r="FI536"/>
      <c r="FJ536"/>
      <c r="FK536" s="35"/>
    </row>
    <row r="537" spans="1:167" s="236" customFormat="1" ht="13.35" customHeight="1">
      <c r="A537" s="289"/>
      <c r="B537" s="401" t="s">
        <v>448</v>
      </c>
      <c r="C537" s="806"/>
      <c r="D537" s="289"/>
      <c r="E537" s="820"/>
      <c r="F537" s="820"/>
      <c r="G537" s="821"/>
      <c r="H537" s="820"/>
      <c r="I537" s="820"/>
      <c r="J537" s="821"/>
      <c r="K537" s="820"/>
      <c r="L537" s="820"/>
      <c r="M537" s="821"/>
      <c r="N537" s="820"/>
      <c r="O537" s="820"/>
      <c r="P537" s="821"/>
      <c r="Q537" s="809"/>
      <c r="R537" s="809"/>
      <c r="S537" s="810"/>
      <c r="T537" s="809"/>
      <c r="U537" s="809"/>
      <c r="V537" s="808"/>
      <c r="W537" s="807"/>
      <c r="X537" s="807"/>
      <c r="Y537" s="808"/>
      <c r="Z537" s="807"/>
      <c r="AA537" s="807"/>
      <c r="AB537" s="808"/>
      <c r="AC537" s="807"/>
      <c r="AD537" s="807"/>
      <c r="AE537" s="808"/>
      <c r="AF537" s="807"/>
      <c r="AG537" s="807"/>
      <c r="AH537" s="808"/>
      <c r="AI537" s="807"/>
      <c r="AJ537" s="807"/>
      <c r="AK537" s="808"/>
      <c r="AL537" s="807"/>
      <c r="AM537" s="807"/>
      <c r="AN537" s="808"/>
      <c r="AO537" s="807"/>
      <c r="AP537" s="807"/>
      <c r="AQ537" s="808"/>
      <c r="AR537" s="807"/>
      <c r="AS537" s="807"/>
      <c r="AT537" s="808"/>
      <c r="AU537" s="820"/>
      <c r="AV537" s="820"/>
      <c r="AW537" s="821"/>
      <c r="AX537" s="854">
        <v>0</v>
      </c>
      <c r="AY537" s="854">
        <v>0</v>
      </c>
      <c r="AZ537" s="854">
        <v>0</v>
      </c>
      <c r="BA537" s="854">
        <v>0</v>
      </c>
      <c r="BB537" s="854">
        <v>0</v>
      </c>
      <c r="BC537" s="854">
        <v>0</v>
      </c>
      <c r="BD537" s="854">
        <v>0</v>
      </c>
      <c r="BE537" s="854">
        <v>0</v>
      </c>
      <c r="BF537" s="854">
        <v>0</v>
      </c>
      <c r="BG537" s="854">
        <v>0</v>
      </c>
      <c r="BH537" s="854">
        <v>0</v>
      </c>
      <c r="BI537" s="854">
        <v>0</v>
      </c>
      <c r="BJ537" s="854">
        <v>0</v>
      </c>
      <c r="BK537" s="854">
        <v>0</v>
      </c>
      <c r="BL537" s="854">
        <v>0</v>
      </c>
      <c r="BM537" s="854">
        <v>0</v>
      </c>
      <c r="BN537" s="854">
        <v>0</v>
      </c>
      <c r="BO537" s="854">
        <v>0</v>
      </c>
      <c r="BP537" s="854">
        <v>0</v>
      </c>
      <c r="BQ537" s="854">
        <v>0</v>
      </c>
      <c r="BR537" s="854">
        <v>0</v>
      </c>
      <c r="BS537" s="854">
        <v>0</v>
      </c>
      <c r="BT537" s="854">
        <v>0</v>
      </c>
      <c r="BU537" s="854">
        <v>0</v>
      </c>
      <c r="BV537" s="854">
        <v>0</v>
      </c>
      <c r="BW537" s="854">
        <v>0</v>
      </c>
      <c r="BX537" s="854">
        <v>0</v>
      </c>
      <c r="BY537" s="854">
        <v>0</v>
      </c>
      <c r="BZ537" s="854">
        <v>0</v>
      </c>
      <c r="CA537" s="854">
        <v>0</v>
      </c>
      <c r="CB537" s="854">
        <v>0</v>
      </c>
      <c r="CC537" s="854">
        <v>0</v>
      </c>
      <c r="CD537" s="854">
        <v>0</v>
      </c>
      <c r="CE537" s="854">
        <v>0</v>
      </c>
      <c r="CF537" s="854">
        <v>0</v>
      </c>
      <c r="CG537" s="854">
        <v>0</v>
      </c>
      <c r="CH537" s="854">
        <v>0</v>
      </c>
      <c r="CI537" s="854">
        <v>0</v>
      </c>
      <c r="CJ537" s="854">
        <v>0</v>
      </c>
      <c r="CK537" s="854">
        <v>0</v>
      </c>
      <c r="CL537" s="854">
        <v>0</v>
      </c>
      <c r="CM537" s="854">
        <v>0</v>
      </c>
      <c r="CN537" s="854">
        <v>0</v>
      </c>
      <c r="CO537" s="854">
        <v>0</v>
      </c>
      <c r="CP537" s="854">
        <v>0</v>
      </c>
      <c r="CQ537" s="854">
        <v>0</v>
      </c>
      <c r="CR537" s="854">
        <v>0</v>
      </c>
      <c r="CS537" s="854">
        <v>0</v>
      </c>
      <c r="CT537" s="854">
        <v>0</v>
      </c>
      <c r="CU537" s="854">
        <v>0</v>
      </c>
      <c r="CV537" s="854">
        <v>0</v>
      </c>
      <c r="CW537" s="854">
        <v>0</v>
      </c>
      <c r="CX537" s="854">
        <v>0</v>
      </c>
      <c r="CY537" s="854">
        <v>0</v>
      </c>
      <c r="CZ537" s="854">
        <v>0</v>
      </c>
      <c r="DA537" s="854">
        <v>0</v>
      </c>
      <c r="DB537" s="854">
        <v>0</v>
      </c>
      <c r="DC537" s="854">
        <v>0</v>
      </c>
      <c r="DD537" s="854">
        <v>0</v>
      </c>
      <c r="DE537" s="854">
        <v>0</v>
      </c>
      <c r="DF537" s="854">
        <v>0</v>
      </c>
      <c r="DG537" s="854">
        <v>0</v>
      </c>
      <c r="DH537" s="1339">
        <v>0</v>
      </c>
      <c r="DI537" s="854">
        <v>0</v>
      </c>
      <c r="DJ537" s="854">
        <v>0</v>
      </c>
      <c r="DK537" s="1339">
        <v>0</v>
      </c>
      <c r="DL537" s="854">
        <v>0</v>
      </c>
      <c r="DM537" s="854">
        <v>0</v>
      </c>
      <c r="DN537" s="1339">
        <v>0</v>
      </c>
      <c r="DO537" s="854">
        <v>0</v>
      </c>
      <c r="DP537" s="854">
        <v>0</v>
      </c>
      <c r="DQ537" s="1339">
        <v>0</v>
      </c>
      <c r="DR537" s="854">
        <v>0</v>
      </c>
      <c r="DS537" s="854">
        <v>0</v>
      </c>
      <c r="DT537" s="1339">
        <v>0</v>
      </c>
      <c r="DU537" s="854"/>
      <c r="DV537" s="854"/>
      <c r="DW537" s="1339"/>
      <c r="DX537" s="854"/>
      <c r="DY537" s="854"/>
      <c r="DZ537" s="1339"/>
      <c r="EA537" s="854"/>
      <c r="EB537" s="854"/>
      <c r="EC537" s="1339"/>
      <c r="ED537" s="854"/>
      <c r="EE537" s="854"/>
      <c r="EF537" s="1339"/>
      <c r="EG537" s="854"/>
      <c r="EH537" s="854"/>
      <c r="EI537" s="1339"/>
      <c r="EJ537" s="854"/>
      <c r="EK537" s="854"/>
      <c r="EL537" s="1339"/>
      <c r="EM537" s="854"/>
      <c r="EN537" s="854"/>
      <c r="EO537" s="1339"/>
      <c r="EP537" s="854"/>
      <c r="EQ537" s="854"/>
      <c r="ER537" s="1339"/>
      <c r="ES537" s="854"/>
      <c r="ET537" s="854"/>
      <c r="EU537" s="1339"/>
      <c r="EV537" s="854"/>
      <c r="EW537" s="854"/>
      <c r="EX537" s="1339"/>
      <c r="EY537" s="854"/>
      <c r="EZ537" s="854"/>
      <c r="FA537" s="1339"/>
      <c r="FE537"/>
      <c r="FF537"/>
      <c r="FG537"/>
      <c r="FH537"/>
      <c r="FI537"/>
      <c r="FJ537"/>
      <c r="FK537" s="35"/>
    </row>
    <row r="538" spans="1:167" s="236" customFormat="1" ht="13.35" customHeight="1">
      <c r="A538" s="289"/>
      <c r="B538" s="401" t="s">
        <v>228</v>
      </c>
      <c r="C538" s="806"/>
      <c r="D538" s="289"/>
      <c r="E538" s="820"/>
      <c r="F538" s="820"/>
      <c r="G538" s="821"/>
      <c r="H538" s="820"/>
      <c r="I538" s="820"/>
      <c r="J538" s="821"/>
      <c r="K538" s="820"/>
      <c r="L538" s="820"/>
      <c r="M538" s="821"/>
      <c r="N538" s="820"/>
      <c r="O538" s="820"/>
      <c r="P538" s="821"/>
      <c r="Q538" s="809"/>
      <c r="R538" s="809"/>
      <c r="S538" s="810"/>
      <c r="T538" s="809"/>
      <c r="U538" s="809"/>
      <c r="V538" s="808"/>
      <c r="W538" s="807"/>
      <c r="X538" s="807"/>
      <c r="Y538" s="808"/>
      <c r="Z538" s="807"/>
      <c r="AA538" s="807"/>
      <c r="AB538" s="808"/>
      <c r="AC538" s="807"/>
      <c r="AD538" s="807"/>
      <c r="AE538" s="808"/>
      <c r="AF538" s="807"/>
      <c r="AG538" s="807"/>
      <c r="AH538" s="808"/>
      <c r="AI538" s="807"/>
      <c r="AJ538" s="807"/>
      <c r="AK538" s="808"/>
      <c r="AL538" s="807"/>
      <c r="AM538" s="807"/>
      <c r="AN538" s="808"/>
      <c r="AO538" s="807"/>
      <c r="AP538" s="807"/>
      <c r="AQ538" s="808"/>
      <c r="AR538" s="807"/>
      <c r="AS538" s="807"/>
      <c r="AT538" s="808"/>
      <c r="AU538" s="820"/>
      <c r="AV538" s="820"/>
      <c r="AW538" s="821"/>
      <c r="AX538" s="854">
        <v>0</v>
      </c>
      <c r="AY538" s="854">
        <v>0</v>
      </c>
      <c r="AZ538" s="854">
        <v>0</v>
      </c>
      <c r="BA538" s="854">
        <v>0</v>
      </c>
      <c r="BB538" s="854">
        <v>0</v>
      </c>
      <c r="BC538" s="854">
        <v>0</v>
      </c>
      <c r="BD538" s="854">
        <v>0</v>
      </c>
      <c r="BE538" s="854">
        <v>0</v>
      </c>
      <c r="BF538" s="854">
        <v>0</v>
      </c>
      <c r="BG538" s="854">
        <v>0</v>
      </c>
      <c r="BH538" s="854">
        <v>0</v>
      </c>
      <c r="BI538" s="854">
        <v>0</v>
      </c>
      <c r="BJ538" s="854">
        <v>0</v>
      </c>
      <c r="BK538" s="854">
        <v>0</v>
      </c>
      <c r="BL538" s="854">
        <v>0</v>
      </c>
      <c r="BM538" s="854">
        <v>0</v>
      </c>
      <c r="BN538" s="854">
        <v>0</v>
      </c>
      <c r="BO538" s="854">
        <v>0</v>
      </c>
      <c r="BP538" s="854">
        <v>0</v>
      </c>
      <c r="BQ538" s="854">
        <v>0</v>
      </c>
      <c r="BR538" s="854">
        <v>0</v>
      </c>
      <c r="BS538" s="854">
        <v>0</v>
      </c>
      <c r="BT538" s="854">
        <v>0</v>
      </c>
      <c r="BU538" s="854">
        <v>0</v>
      </c>
      <c r="BV538" s="854">
        <v>0</v>
      </c>
      <c r="BW538" s="854">
        <v>0</v>
      </c>
      <c r="BX538" s="854">
        <v>0</v>
      </c>
      <c r="BY538" s="854">
        <v>0</v>
      </c>
      <c r="BZ538" s="854">
        <v>0</v>
      </c>
      <c r="CA538" s="854">
        <v>0</v>
      </c>
      <c r="CB538" s="854">
        <v>0</v>
      </c>
      <c r="CC538" s="854">
        <v>0</v>
      </c>
      <c r="CD538" s="854">
        <v>0</v>
      </c>
      <c r="CE538" s="854">
        <v>0</v>
      </c>
      <c r="CF538" s="854">
        <v>0</v>
      </c>
      <c r="CG538" s="854">
        <v>0</v>
      </c>
      <c r="CH538" s="854">
        <v>0</v>
      </c>
      <c r="CI538" s="854">
        <v>0</v>
      </c>
      <c r="CJ538" s="854">
        <v>0</v>
      </c>
      <c r="CK538" s="854">
        <v>0</v>
      </c>
      <c r="CL538" s="854">
        <v>0</v>
      </c>
      <c r="CM538" s="854">
        <v>0</v>
      </c>
      <c r="CN538" s="854">
        <v>0</v>
      </c>
      <c r="CO538" s="854">
        <v>0</v>
      </c>
      <c r="CP538" s="854">
        <v>0</v>
      </c>
      <c r="CQ538" s="854">
        <v>0</v>
      </c>
      <c r="CR538" s="854">
        <v>0</v>
      </c>
      <c r="CS538" s="854">
        <v>0</v>
      </c>
      <c r="CT538" s="854">
        <v>0</v>
      </c>
      <c r="CU538" s="854">
        <v>0</v>
      </c>
      <c r="CV538" s="854">
        <v>0</v>
      </c>
      <c r="CW538" s="854">
        <v>0</v>
      </c>
      <c r="CX538" s="854">
        <v>0</v>
      </c>
      <c r="CY538" s="854">
        <v>0</v>
      </c>
      <c r="CZ538" s="854">
        <v>0</v>
      </c>
      <c r="DA538" s="854">
        <v>0</v>
      </c>
      <c r="DB538" s="854">
        <v>0</v>
      </c>
      <c r="DC538" s="854">
        <v>0</v>
      </c>
      <c r="DD538" s="854">
        <v>0</v>
      </c>
      <c r="DE538" s="854">
        <v>0</v>
      </c>
      <c r="DF538" s="854">
        <v>0</v>
      </c>
      <c r="DG538" s="854">
        <v>0</v>
      </c>
      <c r="DH538" s="1339">
        <v>0</v>
      </c>
      <c r="DI538" s="854">
        <v>0</v>
      </c>
      <c r="DJ538" s="854">
        <v>0</v>
      </c>
      <c r="DK538" s="1339">
        <v>0</v>
      </c>
      <c r="DL538" s="854">
        <v>0</v>
      </c>
      <c r="DM538" s="854">
        <v>0</v>
      </c>
      <c r="DN538" s="1339">
        <v>0</v>
      </c>
      <c r="DO538" s="854">
        <v>0</v>
      </c>
      <c r="DP538" s="854">
        <v>0</v>
      </c>
      <c r="DQ538" s="1339">
        <v>0</v>
      </c>
      <c r="DR538" s="854">
        <v>0</v>
      </c>
      <c r="DS538" s="854">
        <v>0</v>
      </c>
      <c r="DT538" s="1339">
        <v>0</v>
      </c>
      <c r="DU538" s="854"/>
      <c r="DV538" s="854"/>
      <c r="DW538" s="1339"/>
      <c r="DX538" s="854"/>
      <c r="DY538" s="854"/>
      <c r="DZ538" s="1339"/>
      <c r="EA538" s="854"/>
      <c r="EB538" s="854"/>
      <c r="EC538" s="1339"/>
      <c r="ED538" s="854"/>
      <c r="EE538" s="854"/>
      <c r="EF538" s="1339"/>
      <c r="EG538" s="854"/>
      <c r="EH538" s="854"/>
      <c r="EI538" s="1339"/>
      <c r="EJ538" s="854"/>
      <c r="EK538" s="854"/>
      <c r="EL538" s="1339"/>
      <c r="EM538" s="854"/>
      <c r="EN538" s="854"/>
      <c r="EO538" s="1339"/>
      <c r="EP538" s="854"/>
      <c r="EQ538" s="854"/>
      <c r="ER538" s="1339"/>
      <c r="ES538" s="854"/>
      <c r="ET538" s="854"/>
      <c r="EU538" s="1339"/>
      <c r="EV538" s="854"/>
      <c r="EW538" s="854"/>
      <c r="EX538" s="1339"/>
      <c r="EY538" s="854"/>
      <c r="EZ538" s="854"/>
      <c r="FA538" s="1339"/>
      <c r="FE538"/>
      <c r="FF538"/>
      <c r="FG538"/>
      <c r="FH538"/>
      <c r="FI538"/>
      <c r="FJ538"/>
      <c r="FK538" s="35"/>
    </row>
    <row r="539" spans="1:167" s="236" customFormat="1" ht="13.35" customHeight="1">
      <c r="A539" s="289"/>
      <c r="B539" s="401" t="s">
        <v>242</v>
      </c>
      <c r="C539" s="806"/>
      <c r="D539" s="289"/>
      <c r="E539" s="820"/>
      <c r="F539" s="820"/>
      <c r="G539" s="821"/>
      <c r="H539" s="820"/>
      <c r="I539" s="820"/>
      <c r="J539" s="821"/>
      <c r="K539" s="820"/>
      <c r="L539" s="820"/>
      <c r="M539" s="821"/>
      <c r="N539" s="820"/>
      <c r="O539" s="820"/>
      <c r="P539" s="821"/>
      <c r="Q539" s="809"/>
      <c r="R539" s="809"/>
      <c r="S539" s="810"/>
      <c r="T539" s="809"/>
      <c r="U539" s="809"/>
      <c r="V539" s="808"/>
      <c r="W539" s="807"/>
      <c r="X539" s="807"/>
      <c r="Y539" s="808"/>
      <c r="Z539" s="807"/>
      <c r="AA539" s="807"/>
      <c r="AB539" s="808"/>
      <c r="AC539" s="807"/>
      <c r="AD539" s="807"/>
      <c r="AE539" s="808"/>
      <c r="AF539" s="807"/>
      <c r="AG539" s="807"/>
      <c r="AH539" s="808"/>
      <c r="AI539" s="807"/>
      <c r="AJ539" s="807"/>
      <c r="AK539" s="808"/>
      <c r="AL539" s="807"/>
      <c r="AM539" s="807"/>
      <c r="AN539" s="808"/>
      <c r="AO539" s="807"/>
      <c r="AP539" s="807"/>
      <c r="AQ539" s="808"/>
      <c r="AR539" s="807"/>
      <c r="AS539" s="807"/>
      <c r="AT539" s="808"/>
      <c r="AU539" s="820"/>
      <c r="AV539" s="820"/>
      <c r="AW539" s="821"/>
      <c r="AX539" s="854">
        <v>0</v>
      </c>
      <c r="AY539" s="854">
        <v>0</v>
      </c>
      <c r="AZ539" s="854">
        <v>0</v>
      </c>
      <c r="BA539" s="854">
        <v>0</v>
      </c>
      <c r="BB539" s="854">
        <v>0</v>
      </c>
      <c r="BC539" s="854">
        <v>0</v>
      </c>
      <c r="BD539" s="854">
        <v>0</v>
      </c>
      <c r="BE539" s="854">
        <v>0</v>
      </c>
      <c r="BF539" s="854">
        <v>0</v>
      </c>
      <c r="BG539" s="854">
        <v>0</v>
      </c>
      <c r="BH539" s="854">
        <v>0</v>
      </c>
      <c r="BI539" s="854">
        <v>0</v>
      </c>
      <c r="BJ539" s="854">
        <v>0</v>
      </c>
      <c r="BK539" s="854">
        <v>0</v>
      </c>
      <c r="BL539" s="854">
        <v>0</v>
      </c>
      <c r="BM539" s="854">
        <v>0</v>
      </c>
      <c r="BN539" s="854">
        <v>0</v>
      </c>
      <c r="BO539" s="854">
        <v>0</v>
      </c>
      <c r="BP539" s="854">
        <v>0</v>
      </c>
      <c r="BQ539" s="854">
        <v>0</v>
      </c>
      <c r="BR539" s="854">
        <v>0</v>
      </c>
      <c r="BS539" s="854">
        <v>0</v>
      </c>
      <c r="BT539" s="854">
        <v>0</v>
      </c>
      <c r="BU539" s="854">
        <v>0</v>
      </c>
      <c r="BV539" s="854">
        <v>0</v>
      </c>
      <c r="BW539" s="854">
        <v>0</v>
      </c>
      <c r="BX539" s="854">
        <v>0</v>
      </c>
      <c r="BY539" s="854">
        <v>0</v>
      </c>
      <c r="BZ539" s="854">
        <v>0</v>
      </c>
      <c r="CA539" s="854">
        <v>0</v>
      </c>
      <c r="CB539" s="854">
        <v>0</v>
      </c>
      <c r="CC539" s="854">
        <v>0</v>
      </c>
      <c r="CD539" s="854">
        <v>0</v>
      </c>
      <c r="CE539" s="854">
        <v>0</v>
      </c>
      <c r="CF539" s="854">
        <v>0</v>
      </c>
      <c r="CG539" s="854">
        <v>0</v>
      </c>
      <c r="CH539" s="854">
        <v>0</v>
      </c>
      <c r="CI539" s="854">
        <v>0</v>
      </c>
      <c r="CJ539" s="854">
        <v>0</v>
      </c>
      <c r="CK539" s="854">
        <v>0</v>
      </c>
      <c r="CL539" s="854">
        <v>0</v>
      </c>
      <c r="CM539" s="854">
        <v>0</v>
      </c>
      <c r="CN539" s="854">
        <v>0</v>
      </c>
      <c r="CO539" s="854">
        <v>0</v>
      </c>
      <c r="CP539" s="854">
        <v>0</v>
      </c>
      <c r="CQ539" s="854">
        <v>0</v>
      </c>
      <c r="CR539" s="854">
        <v>0</v>
      </c>
      <c r="CS539" s="854">
        <v>0</v>
      </c>
      <c r="CT539" s="854">
        <v>0</v>
      </c>
      <c r="CU539" s="854">
        <v>0</v>
      </c>
      <c r="CV539" s="854">
        <v>0</v>
      </c>
      <c r="CW539" s="854">
        <v>0</v>
      </c>
      <c r="CX539" s="854">
        <v>0</v>
      </c>
      <c r="CY539" s="854">
        <v>0</v>
      </c>
      <c r="CZ539" s="854">
        <v>0</v>
      </c>
      <c r="DA539" s="854">
        <v>0</v>
      </c>
      <c r="DB539" s="854">
        <v>0</v>
      </c>
      <c r="DC539" s="854">
        <v>0</v>
      </c>
      <c r="DD539" s="854">
        <v>0</v>
      </c>
      <c r="DE539" s="854">
        <v>0</v>
      </c>
      <c r="DF539" s="854">
        <v>0</v>
      </c>
      <c r="DG539" s="854">
        <v>0</v>
      </c>
      <c r="DH539" s="1339">
        <v>0</v>
      </c>
      <c r="DI539" s="854">
        <v>0</v>
      </c>
      <c r="DJ539" s="854">
        <v>0</v>
      </c>
      <c r="DK539" s="1339">
        <v>0</v>
      </c>
      <c r="DL539" s="854">
        <v>0</v>
      </c>
      <c r="DM539" s="854">
        <v>0</v>
      </c>
      <c r="DN539" s="1339">
        <v>0</v>
      </c>
      <c r="DO539" s="854">
        <v>0</v>
      </c>
      <c r="DP539" s="854">
        <v>0</v>
      </c>
      <c r="DQ539" s="1339">
        <v>0</v>
      </c>
      <c r="DR539" s="854">
        <v>0</v>
      </c>
      <c r="DS539" s="854">
        <v>0</v>
      </c>
      <c r="DT539" s="1339">
        <v>0</v>
      </c>
      <c r="DU539" s="854"/>
      <c r="DV539" s="854"/>
      <c r="DW539" s="1339"/>
      <c r="DX539" s="854"/>
      <c r="DY539" s="854"/>
      <c r="DZ539" s="1339"/>
      <c r="EA539" s="854"/>
      <c r="EB539" s="854"/>
      <c r="EC539" s="1339"/>
      <c r="ED539" s="854"/>
      <c r="EE539" s="854"/>
      <c r="EF539" s="1339"/>
      <c r="EG539" s="854"/>
      <c r="EH539" s="854"/>
      <c r="EI539" s="1339"/>
      <c r="EJ539" s="854"/>
      <c r="EK539" s="854"/>
      <c r="EL539" s="1339"/>
      <c r="EM539" s="854"/>
      <c r="EN539" s="854"/>
      <c r="EO539" s="1339"/>
      <c r="EP539" s="854"/>
      <c r="EQ539" s="854"/>
      <c r="ER539" s="1339"/>
      <c r="ES539" s="854"/>
      <c r="ET539" s="854"/>
      <c r="EU539" s="1339"/>
      <c r="EV539" s="854"/>
      <c r="EW539" s="854"/>
      <c r="EX539" s="1339"/>
      <c r="EY539" s="854"/>
      <c r="EZ539" s="854"/>
      <c r="FA539" s="1339"/>
      <c r="FE539"/>
      <c r="FF539"/>
      <c r="FG539"/>
      <c r="FH539"/>
      <c r="FI539"/>
      <c r="FJ539"/>
      <c r="FK539" s="35"/>
    </row>
    <row r="540" spans="1:167" s="236" customFormat="1" ht="12.75" customHeight="1">
      <c r="A540" s="289"/>
      <c r="B540" s="401" t="s">
        <v>230</v>
      </c>
      <c r="C540" s="806"/>
      <c r="D540" s="289"/>
      <c r="E540" s="820"/>
      <c r="F540" s="820"/>
      <c r="G540" s="821"/>
      <c r="H540" s="820"/>
      <c r="I540" s="820"/>
      <c r="J540" s="821"/>
      <c r="K540" s="820"/>
      <c r="L540" s="820"/>
      <c r="M540" s="821"/>
      <c r="N540" s="820"/>
      <c r="O540" s="820"/>
      <c r="P540" s="821"/>
      <c r="Q540" s="809"/>
      <c r="R540" s="809"/>
      <c r="S540" s="810"/>
      <c r="T540" s="809"/>
      <c r="U540" s="809"/>
      <c r="V540" s="808"/>
      <c r="W540" s="807"/>
      <c r="X540" s="807"/>
      <c r="Y540" s="808"/>
      <c r="Z540" s="807"/>
      <c r="AA540" s="807"/>
      <c r="AB540" s="808"/>
      <c r="AC540" s="807"/>
      <c r="AD540" s="807"/>
      <c r="AE540" s="808"/>
      <c r="AF540" s="807"/>
      <c r="AG540" s="807"/>
      <c r="AH540" s="808"/>
      <c r="AI540" s="807"/>
      <c r="AJ540" s="807"/>
      <c r="AK540" s="808"/>
      <c r="AL540" s="807"/>
      <c r="AM540" s="807"/>
      <c r="AN540" s="808"/>
      <c r="AO540" s="807"/>
      <c r="AP540" s="807"/>
      <c r="AQ540" s="808"/>
      <c r="AR540" s="807"/>
      <c r="AS540" s="807"/>
      <c r="AT540" s="808"/>
      <c r="AU540" s="820"/>
      <c r="AV540" s="820"/>
      <c r="AW540" s="821"/>
      <c r="AX540" s="855">
        <f>AX423-(AX534*AX535)-(AX536*AX537)+(AX538*AX539)</f>
        <v>0</v>
      </c>
      <c r="AY540" s="855">
        <f t="shared" ref="AY540:DJ540" si="1356">AY423-(AY534*AY535)-(AY536*AY537)+(AY538*AY539)</f>
        <v>0</v>
      </c>
      <c r="AZ540" s="855">
        <f t="shared" si="1356"/>
        <v>0</v>
      </c>
      <c r="BA540" s="855">
        <f t="shared" si="1356"/>
        <v>0</v>
      </c>
      <c r="BB540" s="855">
        <f t="shared" si="1356"/>
        <v>0</v>
      </c>
      <c r="BC540" s="855">
        <f t="shared" si="1356"/>
        <v>0</v>
      </c>
      <c r="BD540" s="855">
        <f t="shared" si="1356"/>
        <v>0</v>
      </c>
      <c r="BE540" s="855">
        <f t="shared" si="1356"/>
        <v>0</v>
      </c>
      <c r="BF540" s="855">
        <f t="shared" si="1356"/>
        <v>0</v>
      </c>
      <c r="BG540" s="855">
        <f t="shared" si="1356"/>
        <v>0</v>
      </c>
      <c r="BH540" s="855">
        <f t="shared" si="1356"/>
        <v>0</v>
      </c>
      <c r="BI540" s="855">
        <f t="shared" si="1356"/>
        <v>0</v>
      </c>
      <c r="BJ540" s="855">
        <f t="shared" si="1356"/>
        <v>0</v>
      </c>
      <c r="BK540" s="855">
        <f t="shared" si="1356"/>
        <v>0</v>
      </c>
      <c r="BL540" s="855">
        <f t="shared" si="1356"/>
        <v>0</v>
      </c>
      <c r="BM540" s="855">
        <f t="shared" si="1356"/>
        <v>0</v>
      </c>
      <c r="BN540" s="855">
        <f t="shared" si="1356"/>
        <v>0</v>
      </c>
      <c r="BO540" s="855">
        <f t="shared" si="1356"/>
        <v>0</v>
      </c>
      <c r="BP540" s="855">
        <f t="shared" si="1356"/>
        <v>0</v>
      </c>
      <c r="BQ540" s="855">
        <f t="shared" si="1356"/>
        <v>0</v>
      </c>
      <c r="BR540" s="855">
        <f t="shared" si="1356"/>
        <v>0</v>
      </c>
      <c r="BS540" s="855">
        <f t="shared" si="1356"/>
        <v>0</v>
      </c>
      <c r="BT540" s="855">
        <f t="shared" si="1356"/>
        <v>0</v>
      </c>
      <c r="BU540" s="855">
        <f t="shared" si="1356"/>
        <v>0</v>
      </c>
      <c r="BV540" s="855">
        <f t="shared" si="1356"/>
        <v>0</v>
      </c>
      <c r="BW540" s="855">
        <f t="shared" si="1356"/>
        <v>0</v>
      </c>
      <c r="BX540" s="855">
        <f t="shared" si="1356"/>
        <v>0</v>
      </c>
      <c r="BY540" s="855">
        <f t="shared" si="1356"/>
        <v>0</v>
      </c>
      <c r="BZ540" s="855">
        <f t="shared" si="1356"/>
        <v>0</v>
      </c>
      <c r="CA540" s="855">
        <f t="shared" si="1356"/>
        <v>0</v>
      </c>
      <c r="CB540" s="855">
        <f t="shared" si="1356"/>
        <v>0</v>
      </c>
      <c r="CC540" s="855">
        <f t="shared" si="1356"/>
        <v>0</v>
      </c>
      <c r="CD540" s="855">
        <f t="shared" si="1356"/>
        <v>0</v>
      </c>
      <c r="CE540" s="855">
        <f t="shared" si="1356"/>
        <v>0</v>
      </c>
      <c r="CF540" s="855">
        <f t="shared" si="1356"/>
        <v>0</v>
      </c>
      <c r="CG540" s="855">
        <f t="shared" si="1356"/>
        <v>0</v>
      </c>
      <c r="CH540" s="855">
        <f t="shared" si="1356"/>
        <v>0</v>
      </c>
      <c r="CI540" s="855">
        <f t="shared" si="1356"/>
        <v>0</v>
      </c>
      <c r="CJ540" s="855">
        <f t="shared" si="1356"/>
        <v>0</v>
      </c>
      <c r="CK540" s="855">
        <f t="shared" si="1356"/>
        <v>0</v>
      </c>
      <c r="CL540" s="855">
        <f t="shared" si="1356"/>
        <v>0</v>
      </c>
      <c r="CM540" s="855">
        <f t="shared" si="1356"/>
        <v>0</v>
      </c>
      <c r="CN540" s="855">
        <f t="shared" si="1356"/>
        <v>0</v>
      </c>
      <c r="CO540" s="855">
        <f t="shared" si="1356"/>
        <v>0</v>
      </c>
      <c r="CP540" s="855">
        <f t="shared" si="1356"/>
        <v>0</v>
      </c>
      <c r="CQ540" s="855">
        <f t="shared" si="1356"/>
        <v>0</v>
      </c>
      <c r="CR540" s="855">
        <f t="shared" si="1356"/>
        <v>0</v>
      </c>
      <c r="CS540" s="855">
        <f t="shared" si="1356"/>
        <v>0</v>
      </c>
      <c r="CT540" s="855">
        <f t="shared" si="1356"/>
        <v>0</v>
      </c>
      <c r="CU540" s="855">
        <f t="shared" si="1356"/>
        <v>0</v>
      </c>
      <c r="CV540" s="855">
        <f t="shared" si="1356"/>
        <v>0</v>
      </c>
      <c r="CW540" s="855">
        <f t="shared" si="1356"/>
        <v>0</v>
      </c>
      <c r="CX540" s="855">
        <f t="shared" si="1356"/>
        <v>0</v>
      </c>
      <c r="CY540" s="855">
        <f t="shared" si="1356"/>
        <v>0</v>
      </c>
      <c r="CZ540" s="855">
        <f t="shared" si="1356"/>
        <v>0</v>
      </c>
      <c r="DA540" s="855">
        <f t="shared" si="1356"/>
        <v>0</v>
      </c>
      <c r="DB540" s="855">
        <f t="shared" si="1356"/>
        <v>0</v>
      </c>
      <c r="DC540" s="855">
        <f t="shared" si="1356"/>
        <v>0</v>
      </c>
      <c r="DD540" s="855">
        <f t="shared" si="1356"/>
        <v>0</v>
      </c>
      <c r="DE540" s="855">
        <f t="shared" si="1356"/>
        <v>0</v>
      </c>
      <c r="DF540" s="855">
        <f t="shared" si="1356"/>
        <v>0</v>
      </c>
      <c r="DG540" s="855">
        <f t="shared" si="1356"/>
        <v>0</v>
      </c>
      <c r="DH540" s="1338">
        <f t="shared" si="1356"/>
        <v>0</v>
      </c>
      <c r="DI540" s="855">
        <f t="shared" si="1356"/>
        <v>0</v>
      </c>
      <c r="DJ540" s="855">
        <f t="shared" si="1356"/>
        <v>0</v>
      </c>
      <c r="DK540" s="1338">
        <f>DK423-(DK534*DK535)-(DK536*DK537)+(DK538*DK539)</f>
        <v>0</v>
      </c>
      <c r="DL540" s="855">
        <f>DL423-(DL534*DL535)-(DL536*DL537)+(DL538*DL539)</f>
        <v>0</v>
      </c>
      <c r="DM540" s="855">
        <f>DM423-(DM534*DM535)-(DM536*DM537)+(DM538*DM539)</f>
        <v>0</v>
      </c>
      <c r="DN540" s="1338">
        <f>DN423-(DN534*DN535)-(DN536*DN537)+(DN538*DN539)</f>
        <v>0</v>
      </c>
      <c r="DO540" s="855">
        <f t="shared" ref="DO540:DT540" si="1357">DO423-(DO534*DO535)-(DO536*DO537)+(DO538*DO539)</f>
        <v>0</v>
      </c>
      <c r="DP540" s="855">
        <f t="shared" si="1357"/>
        <v>0</v>
      </c>
      <c r="DQ540" s="1338">
        <f t="shared" si="1357"/>
        <v>0</v>
      </c>
      <c r="DR540" s="855">
        <f t="shared" si="1357"/>
        <v>0</v>
      </c>
      <c r="DS540" s="855">
        <f t="shared" si="1357"/>
        <v>0</v>
      </c>
      <c r="DT540" s="1338">
        <f t="shared" si="1357"/>
        <v>0</v>
      </c>
      <c r="DU540" s="855"/>
      <c r="DV540" s="855"/>
      <c r="DW540" s="1338"/>
      <c r="DX540" s="855"/>
      <c r="DY540" s="855"/>
      <c r="DZ540" s="1338"/>
      <c r="EA540" s="855"/>
      <c r="EB540" s="855"/>
      <c r="EC540" s="1338"/>
      <c r="ED540" s="855"/>
      <c r="EE540" s="855"/>
      <c r="EF540" s="1338"/>
      <c r="EG540" s="855"/>
      <c r="EH540" s="855"/>
      <c r="EI540" s="1338"/>
      <c r="EJ540" s="855"/>
      <c r="EK540" s="855"/>
      <c r="EL540" s="1338"/>
      <c r="EM540" s="855"/>
      <c r="EN540" s="855"/>
      <c r="EO540" s="1338"/>
      <c r="EP540" s="855"/>
      <c r="EQ540" s="855"/>
      <c r="ER540" s="1338"/>
      <c r="ES540" s="855"/>
      <c r="ET540" s="855"/>
      <c r="EU540" s="1338"/>
      <c r="EV540" s="855"/>
      <c r="EW540" s="855"/>
      <c r="EX540" s="1338"/>
      <c r="EY540" s="855"/>
      <c r="EZ540" s="855"/>
      <c r="FA540" s="1338"/>
      <c r="FE540"/>
      <c r="FF540"/>
      <c r="FG540"/>
      <c r="FH540"/>
      <c r="FI540"/>
      <c r="FJ540"/>
      <c r="FK540" s="35"/>
    </row>
    <row r="541" spans="1:167" s="236" customFormat="1" ht="13.35" customHeight="1">
      <c r="A541" s="289"/>
      <c r="B541" s="401" t="s">
        <v>229</v>
      </c>
      <c r="C541" s="806"/>
      <c r="D541" s="289"/>
      <c r="E541" s="820"/>
      <c r="F541" s="820"/>
      <c r="G541" s="821"/>
      <c r="H541" s="820"/>
      <c r="I541" s="820"/>
      <c r="J541" s="821"/>
      <c r="K541" s="820"/>
      <c r="L541" s="820"/>
      <c r="M541" s="821"/>
      <c r="N541" s="820"/>
      <c r="O541" s="820"/>
      <c r="P541" s="821"/>
      <c r="Q541" s="809"/>
      <c r="R541" s="809"/>
      <c r="S541" s="810"/>
      <c r="T541" s="809"/>
      <c r="U541" s="809"/>
      <c r="V541" s="808"/>
      <c r="W541" s="807"/>
      <c r="X541" s="807"/>
      <c r="Y541" s="808"/>
      <c r="Z541" s="807"/>
      <c r="AA541" s="807"/>
      <c r="AB541" s="808"/>
      <c r="AC541" s="807"/>
      <c r="AD541" s="807"/>
      <c r="AE541" s="808"/>
      <c r="AF541" s="807"/>
      <c r="AG541" s="807"/>
      <c r="AH541" s="808"/>
      <c r="AI541" s="807"/>
      <c r="AJ541" s="807"/>
      <c r="AK541" s="808"/>
      <c r="AL541" s="807"/>
      <c r="AM541" s="807"/>
      <c r="AN541" s="808"/>
      <c r="AO541" s="807"/>
      <c r="AP541" s="807"/>
      <c r="AQ541" s="808"/>
      <c r="AR541" s="807"/>
      <c r="AS541" s="807"/>
      <c r="AT541" s="808"/>
      <c r="AU541" s="820"/>
      <c r="AV541" s="820"/>
      <c r="AW541" s="821"/>
      <c r="AX541" s="855">
        <f>AX533-AX534-AX536+AX538</f>
        <v>0</v>
      </c>
      <c r="AY541" s="855">
        <f t="shared" ref="AY541:DJ541" si="1358">AY533-AY534-AY536+AY538</f>
        <v>0</v>
      </c>
      <c r="AZ541" s="855">
        <f t="shared" si="1358"/>
        <v>0</v>
      </c>
      <c r="BA541" s="855">
        <f t="shared" si="1358"/>
        <v>0</v>
      </c>
      <c r="BB541" s="855">
        <f t="shared" si="1358"/>
        <v>0</v>
      </c>
      <c r="BC541" s="855">
        <f t="shared" si="1358"/>
        <v>0</v>
      </c>
      <c r="BD541" s="855">
        <f t="shared" si="1358"/>
        <v>0</v>
      </c>
      <c r="BE541" s="855">
        <f t="shared" si="1358"/>
        <v>0</v>
      </c>
      <c r="BF541" s="855">
        <f t="shared" si="1358"/>
        <v>0</v>
      </c>
      <c r="BG541" s="855">
        <f t="shared" si="1358"/>
        <v>0</v>
      </c>
      <c r="BH541" s="855">
        <f t="shared" si="1358"/>
        <v>0</v>
      </c>
      <c r="BI541" s="855">
        <f t="shared" si="1358"/>
        <v>0</v>
      </c>
      <c r="BJ541" s="855">
        <f t="shared" si="1358"/>
        <v>0</v>
      </c>
      <c r="BK541" s="855">
        <f t="shared" si="1358"/>
        <v>0</v>
      </c>
      <c r="BL541" s="855">
        <f t="shared" si="1358"/>
        <v>0</v>
      </c>
      <c r="BM541" s="855">
        <f t="shared" si="1358"/>
        <v>0</v>
      </c>
      <c r="BN541" s="855">
        <f t="shared" si="1358"/>
        <v>0</v>
      </c>
      <c r="BO541" s="855">
        <f t="shared" si="1358"/>
        <v>0</v>
      </c>
      <c r="BP541" s="855">
        <f t="shared" si="1358"/>
        <v>0</v>
      </c>
      <c r="BQ541" s="855">
        <f t="shared" si="1358"/>
        <v>0</v>
      </c>
      <c r="BR541" s="855">
        <f t="shared" si="1358"/>
        <v>0</v>
      </c>
      <c r="BS541" s="855">
        <f t="shared" si="1358"/>
        <v>0</v>
      </c>
      <c r="BT541" s="855">
        <f t="shared" si="1358"/>
        <v>0</v>
      </c>
      <c r="BU541" s="855">
        <f t="shared" si="1358"/>
        <v>0</v>
      </c>
      <c r="BV541" s="855">
        <f t="shared" si="1358"/>
        <v>0</v>
      </c>
      <c r="BW541" s="855">
        <f t="shared" si="1358"/>
        <v>0</v>
      </c>
      <c r="BX541" s="855">
        <f t="shared" si="1358"/>
        <v>0</v>
      </c>
      <c r="BY541" s="855">
        <f t="shared" si="1358"/>
        <v>0</v>
      </c>
      <c r="BZ541" s="855">
        <f t="shared" si="1358"/>
        <v>0</v>
      </c>
      <c r="CA541" s="855">
        <f t="shared" si="1358"/>
        <v>0</v>
      </c>
      <c r="CB541" s="855">
        <f t="shared" si="1358"/>
        <v>0</v>
      </c>
      <c r="CC541" s="855">
        <f t="shared" si="1358"/>
        <v>0</v>
      </c>
      <c r="CD541" s="855">
        <f t="shared" si="1358"/>
        <v>0</v>
      </c>
      <c r="CE541" s="855">
        <f t="shared" si="1358"/>
        <v>0</v>
      </c>
      <c r="CF541" s="855">
        <f t="shared" si="1358"/>
        <v>0</v>
      </c>
      <c r="CG541" s="855">
        <f t="shared" si="1358"/>
        <v>0</v>
      </c>
      <c r="CH541" s="855">
        <f t="shared" si="1358"/>
        <v>0</v>
      </c>
      <c r="CI541" s="855">
        <f t="shared" si="1358"/>
        <v>0</v>
      </c>
      <c r="CJ541" s="855">
        <f t="shared" si="1358"/>
        <v>0</v>
      </c>
      <c r="CK541" s="855">
        <f t="shared" si="1358"/>
        <v>0</v>
      </c>
      <c r="CL541" s="855">
        <f t="shared" si="1358"/>
        <v>0</v>
      </c>
      <c r="CM541" s="855">
        <f t="shared" si="1358"/>
        <v>0</v>
      </c>
      <c r="CN541" s="855">
        <f t="shared" si="1358"/>
        <v>0</v>
      </c>
      <c r="CO541" s="855">
        <f t="shared" si="1358"/>
        <v>0</v>
      </c>
      <c r="CP541" s="855">
        <f t="shared" si="1358"/>
        <v>0</v>
      </c>
      <c r="CQ541" s="855">
        <f t="shared" si="1358"/>
        <v>0</v>
      </c>
      <c r="CR541" s="855">
        <f t="shared" si="1358"/>
        <v>0</v>
      </c>
      <c r="CS541" s="855">
        <f t="shared" si="1358"/>
        <v>0</v>
      </c>
      <c r="CT541" s="855">
        <f t="shared" si="1358"/>
        <v>0</v>
      </c>
      <c r="CU541" s="855">
        <f t="shared" si="1358"/>
        <v>0</v>
      </c>
      <c r="CV541" s="855">
        <f t="shared" si="1358"/>
        <v>0</v>
      </c>
      <c r="CW541" s="855">
        <f t="shared" si="1358"/>
        <v>0</v>
      </c>
      <c r="CX541" s="855">
        <f t="shared" si="1358"/>
        <v>0</v>
      </c>
      <c r="CY541" s="855">
        <f t="shared" si="1358"/>
        <v>0</v>
      </c>
      <c r="CZ541" s="855">
        <f t="shared" si="1358"/>
        <v>0</v>
      </c>
      <c r="DA541" s="855">
        <f t="shared" si="1358"/>
        <v>0</v>
      </c>
      <c r="DB541" s="855">
        <f t="shared" si="1358"/>
        <v>0</v>
      </c>
      <c r="DC541" s="855">
        <f t="shared" si="1358"/>
        <v>0</v>
      </c>
      <c r="DD541" s="855">
        <f t="shared" si="1358"/>
        <v>0</v>
      </c>
      <c r="DE541" s="855">
        <f t="shared" si="1358"/>
        <v>0</v>
      </c>
      <c r="DF541" s="855">
        <f t="shared" si="1358"/>
        <v>0</v>
      </c>
      <c r="DG541" s="855">
        <f t="shared" si="1358"/>
        <v>0</v>
      </c>
      <c r="DH541" s="1338">
        <f t="shared" si="1358"/>
        <v>0</v>
      </c>
      <c r="DI541" s="855">
        <f t="shared" si="1358"/>
        <v>0</v>
      </c>
      <c r="DJ541" s="855">
        <f t="shared" si="1358"/>
        <v>0</v>
      </c>
      <c r="DK541" s="1338">
        <f>DK533-DK534-DK536+DK538</f>
        <v>0</v>
      </c>
      <c r="DL541" s="855">
        <f>DL533-DL534-DL536+DL538</f>
        <v>0</v>
      </c>
      <c r="DM541" s="855">
        <f>DM533-DM534-DM536+DM538</f>
        <v>0</v>
      </c>
      <c r="DN541" s="1338">
        <f>DN533-DN534-DN536+DN538</f>
        <v>0</v>
      </c>
      <c r="DO541" s="855">
        <f t="shared" ref="DO541:DT541" si="1359">DO533-DO534-DO536+DO538</f>
        <v>0</v>
      </c>
      <c r="DP541" s="855">
        <f t="shared" si="1359"/>
        <v>0</v>
      </c>
      <c r="DQ541" s="1338">
        <f t="shared" si="1359"/>
        <v>0</v>
      </c>
      <c r="DR541" s="855">
        <f t="shared" si="1359"/>
        <v>0</v>
      </c>
      <c r="DS541" s="855">
        <f t="shared" si="1359"/>
        <v>0</v>
      </c>
      <c r="DT541" s="1338">
        <f t="shared" si="1359"/>
        <v>0</v>
      </c>
      <c r="DU541" s="855"/>
      <c r="DV541" s="855"/>
      <c r="DW541" s="1338"/>
      <c r="DX541" s="855"/>
      <c r="DY541" s="855"/>
      <c r="DZ541" s="1338"/>
      <c r="EA541" s="855"/>
      <c r="EB541" s="855"/>
      <c r="EC541" s="1338"/>
      <c r="ED541" s="855"/>
      <c r="EE541" s="855"/>
      <c r="EF541" s="1338"/>
      <c r="EG541" s="855"/>
      <c r="EH541" s="855"/>
      <c r="EI541" s="1338"/>
      <c r="EJ541" s="855"/>
      <c r="EK541" s="855"/>
      <c r="EL541" s="1338"/>
      <c r="EM541" s="855"/>
      <c r="EN541" s="855"/>
      <c r="EO541" s="1338"/>
      <c r="EP541" s="855"/>
      <c r="EQ541" s="855"/>
      <c r="ER541" s="1338"/>
      <c r="ES541" s="855"/>
      <c r="ET541" s="855"/>
      <c r="EU541" s="1338"/>
      <c r="EV541" s="855"/>
      <c r="EW541" s="855"/>
      <c r="EX541" s="1338"/>
      <c r="EY541" s="855"/>
      <c r="EZ541" s="855"/>
      <c r="FA541" s="1338"/>
      <c r="FE541"/>
      <c r="FF541"/>
      <c r="FG541"/>
      <c r="FH541"/>
      <c r="FI541"/>
      <c r="FJ541"/>
      <c r="FK541" s="35"/>
    </row>
    <row r="542" spans="1:167" s="236" customFormat="1" ht="13.35" customHeight="1">
      <c r="A542" s="289"/>
      <c r="B542" s="401"/>
      <c r="C542" s="806"/>
      <c r="D542" s="289"/>
      <c r="E542" s="820"/>
      <c r="F542" s="820"/>
      <c r="G542" s="821"/>
      <c r="H542" s="820"/>
      <c r="I542" s="820"/>
      <c r="J542" s="821"/>
      <c r="K542" s="820"/>
      <c r="L542" s="820"/>
      <c r="M542" s="821"/>
      <c r="N542" s="820"/>
      <c r="O542" s="820"/>
      <c r="P542" s="821"/>
      <c r="Q542" s="809"/>
      <c r="R542" s="809"/>
      <c r="S542" s="810"/>
      <c r="T542" s="809"/>
      <c r="U542" s="809"/>
      <c r="V542" s="808"/>
      <c r="W542" s="807"/>
      <c r="X542" s="807"/>
      <c r="Y542" s="808"/>
      <c r="Z542" s="807"/>
      <c r="AA542" s="807"/>
      <c r="AB542" s="808"/>
      <c r="AC542" s="807"/>
      <c r="AD542" s="807"/>
      <c r="AE542" s="808"/>
      <c r="AF542" s="807"/>
      <c r="AG542" s="807"/>
      <c r="AH542" s="808"/>
      <c r="AI542" s="807"/>
      <c r="AJ542" s="807"/>
      <c r="AK542" s="808"/>
      <c r="AL542" s="807"/>
      <c r="AM542" s="807"/>
      <c r="AN542" s="808"/>
      <c r="AO542" s="807"/>
      <c r="AP542" s="807"/>
      <c r="AQ542" s="808"/>
      <c r="AR542" s="807"/>
      <c r="AS542" s="807"/>
      <c r="AT542" s="808"/>
      <c r="AU542" s="820"/>
      <c r="AV542" s="820"/>
      <c r="AW542" s="821"/>
      <c r="AX542" s="855"/>
      <c r="AY542" s="855"/>
      <c r="AZ542" s="855"/>
      <c r="BA542" s="855"/>
      <c r="BB542" s="855"/>
      <c r="BC542" s="855"/>
      <c r="BD542" s="855"/>
      <c r="BE542" s="855"/>
      <c r="BF542" s="855"/>
      <c r="BG542" s="855"/>
      <c r="BH542" s="855"/>
      <c r="BI542" s="855"/>
      <c r="BJ542" s="855"/>
      <c r="BK542" s="855"/>
      <c r="BL542" s="855"/>
      <c r="BM542" s="855"/>
      <c r="BN542" s="855"/>
      <c r="BO542" s="855"/>
      <c r="BP542" s="855"/>
      <c r="BQ542" s="855"/>
      <c r="BR542" s="855"/>
      <c r="BS542" s="855"/>
      <c r="BT542" s="855"/>
      <c r="BU542" s="855"/>
      <c r="BV542" s="855"/>
      <c r="BW542" s="855"/>
      <c r="BX542" s="855"/>
      <c r="BY542" s="855"/>
      <c r="BZ542" s="855"/>
      <c r="CA542" s="855"/>
      <c r="CB542" s="855"/>
      <c r="CC542" s="855"/>
      <c r="CD542" s="855"/>
      <c r="CE542" s="855"/>
      <c r="CF542" s="855"/>
      <c r="CG542" s="855"/>
      <c r="CH542" s="855"/>
      <c r="CI542" s="855"/>
      <c r="CJ542" s="855"/>
      <c r="CK542" s="855"/>
      <c r="CL542" s="855"/>
      <c r="CM542" s="855"/>
      <c r="CN542" s="855"/>
      <c r="CO542" s="855"/>
      <c r="CP542" s="855"/>
      <c r="CQ542" s="855"/>
      <c r="CR542" s="855"/>
      <c r="CS542" s="855"/>
      <c r="CT542" s="855"/>
      <c r="CU542" s="855"/>
      <c r="CV542" s="855"/>
      <c r="CW542" s="855"/>
      <c r="CX542" s="855"/>
      <c r="CY542" s="855"/>
      <c r="CZ542" s="855"/>
      <c r="DA542" s="855"/>
      <c r="DB542" s="855"/>
      <c r="DC542" s="855"/>
      <c r="DD542" s="855"/>
      <c r="DE542" s="855"/>
      <c r="DF542" s="855"/>
      <c r="DG542" s="855"/>
      <c r="DH542" s="1338"/>
      <c r="DI542" s="855"/>
      <c r="DJ542" s="855"/>
      <c r="DK542" s="1338"/>
      <c r="DL542" s="855"/>
      <c r="DM542" s="855"/>
      <c r="DN542" s="1338"/>
      <c r="DO542" s="855"/>
      <c r="DP542" s="855"/>
      <c r="DQ542" s="1338"/>
      <c r="DR542" s="855"/>
      <c r="DS542" s="855"/>
      <c r="DT542" s="1338"/>
      <c r="DU542" s="855"/>
      <c r="DV542" s="855"/>
      <c r="DW542" s="1338"/>
      <c r="DX542" s="855"/>
      <c r="DY542" s="855"/>
      <c r="DZ542" s="1338"/>
      <c r="EA542" s="855"/>
      <c r="EB542" s="855"/>
      <c r="EC542" s="1338"/>
      <c r="ED542" s="855"/>
      <c r="EE542" s="855"/>
      <c r="EF542" s="1338"/>
      <c r="EG542" s="855"/>
      <c r="EH542" s="855"/>
      <c r="EI542" s="1338"/>
      <c r="EJ542" s="855"/>
      <c r="EK542" s="855"/>
      <c r="EL542" s="1338"/>
      <c r="EM542" s="855"/>
      <c r="EN542" s="855"/>
      <c r="EO542" s="1338"/>
      <c r="EP542" s="855"/>
      <c r="EQ542" s="855"/>
      <c r="ER542" s="1338"/>
      <c r="ES542" s="855"/>
      <c r="ET542" s="855"/>
      <c r="EU542" s="1338"/>
      <c r="EV542" s="855"/>
      <c r="EW542" s="855"/>
      <c r="EX542" s="1338"/>
      <c r="EY542" s="855"/>
      <c r="EZ542" s="855"/>
      <c r="FA542" s="1338"/>
      <c r="FE542"/>
      <c r="FF542"/>
      <c r="FG542"/>
      <c r="FH542"/>
      <c r="FI542"/>
      <c r="FJ542"/>
      <c r="FK542" s="35"/>
    </row>
    <row r="543" spans="1:167" s="236" customFormat="1" ht="13.35" customHeight="1">
      <c r="A543" s="289"/>
      <c r="B543" s="401"/>
      <c r="C543" s="806"/>
      <c r="D543" s="289"/>
      <c r="E543" s="820"/>
      <c r="F543" s="820"/>
      <c r="G543" s="821"/>
      <c r="H543" s="820"/>
      <c r="I543" s="820"/>
      <c r="J543" s="821"/>
      <c r="K543" s="820"/>
      <c r="L543" s="820"/>
      <c r="M543" s="821"/>
      <c r="N543" s="820"/>
      <c r="O543" s="820"/>
      <c r="P543" s="821"/>
      <c r="Q543" s="809"/>
      <c r="R543" s="809"/>
      <c r="S543" s="810"/>
      <c r="T543" s="809"/>
      <c r="U543" s="809"/>
      <c r="V543" s="808"/>
      <c r="W543" s="807"/>
      <c r="X543" s="807"/>
      <c r="Y543" s="808"/>
      <c r="Z543" s="807"/>
      <c r="AA543" s="807"/>
      <c r="AB543" s="808"/>
      <c r="AC543" s="807"/>
      <c r="AD543" s="807"/>
      <c r="AE543" s="808"/>
      <c r="AF543" s="807"/>
      <c r="AG543" s="807"/>
      <c r="AH543" s="808"/>
      <c r="AI543" s="807"/>
      <c r="AJ543" s="807"/>
      <c r="AK543" s="808"/>
      <c r="AL543" s="807"/>
      <c r="AM543" s="807"/>
      <c r="AN543" s="808"/>
      <c r="AO543" s="807"/>
      <c r="AP543" s="807"/>
      <c r="AQ543" s="808"/>
      <c r="AR543" s="807"/>
      <c r="AS543" s="807"/>
      <c r="AT543" s="808"/>
      <c r="AU543" s="820"/>
      <c r="AV543" s="820"/>
      <c r="AW543" s="821"/>
      <c r="AX543" s="855"/>
      <c r="AY543" s="855"/>
      <c r="AZ543" s="855"/>
      <c r="BA543" s="855"/>
      <c r="BB543" s="855"/>
      <c r="BC543" s="855"/>
      <c r="BD543" s="855"/>
      <c r="BE543" s="855"/>
      <c r="BF543" s="855"/>
      <c r="BG543" s="855"/>
      <c r="BH543" s="855"/>
      <c r="BI543" s="855"/>
      <c r="BJ543" s="855"/>
      <c r="BK543" s="855"/>
      <c r="BL543" s="855"/>
      <c r="BM543" s="855"/>
      <c r="BN543" s="855"/>
      <c r="BO543" s="855"/>
      <c r="BP543" s="855"/>
      <c r="BQ543" s="855"/>
      <c r="BR543" s="855"/>
      <c r="BS543" s="855"/>
      <c r="BT543" s="855"/>
      <c r="BU543" s="855"/>
      <c r="BV543" s="855"/>
      <c r="BW543" s="855"/>
      <c r="BX543" s="855"/>
      <c r="BY543" s="855"/>
      <c r="BZ543" s="855"/>
      <c r="CA543" s="855"/>
      <c r="CB543" s="855"/>
      <c r="CC543" s="855"/>
      <c r="CD543" s="855"/>
      <c r="CE543" s="855"/>
      <c r="CF543" s="855"/>
      <c r="CG543" s="855"/>
      <c r="CH543" s="855"/>
      <c r="CI543" s="855"/>
      <c r="CJ543" s="855"/>
      <c r="CK543" s="855"/>
      <c r="CL543" s="855"/>
      <c r="CM543" s="855"/>
      <c r="CN543" s="855"/>
      <c r="CO543" s="855"/>
      <c r="CP543" s="855"/>
      <c r="CQ543" s="855"/>
      <c r="CR543" s="855"/>
      <c r="CS543" s="855"/>
      <c r="CT543" s="855"/>
      <c r="CU543" s="855"/>
      <c r="CV543" s="855"/>
      <c r="CW543" s="855"/>
      <c r="CX543" s="855"/>
      <c r="CY543" s="855"/>
      <c r="CZ543" s="855"/>
      <c r="DA543" s="855"/>
      <c r="DB543" s="855"/>
      <c r="DC543" s="855"/>
      <c r="DD543" s="855"/>
      <c r="DE543" s="855"/>
      <c r="DF543" s="855"/>
      <c r="DG543" s="855"/>
      <c r="DH543" s="1338"/>
      <c r="DI543" s="855"/>
      <c r="DJ543" s="855"/>
      <c r="DK543" s="1338"/>
      <c r="DL543" s="855"/>
      <c r="DM543" s="855"/>
      <c r="DN543" s="1338"/>
      <c r="DO543" s="855"/>
      <c r="DP543" s="855"/>
      <c r="DQ543" s="1338"/>
      <c r="DR543" s="855"/>
      <c r="DS543" s="855"/>
      <c r="DT543" s="1338"/>
      <c r="DU543" s="855"/>
      <c r="DV543" s="855"/>
      <c r="DW543" s="1338"/>
      <c r="DX543" s="855"/>
      <c r="DY543" s="855"/>
      <c r="DZ543" s="1338"/>
      <c r="EA543" s="855"/>
      <c r="EB543" s="855"/>
      <c r="EC543" s="1338"/>
      <c r="ED543" s="855"/>
      <c r="EE543" s="855"/>
      <c r="EF543" s="1338"/>
      <c r="EG543" s="855"/>
      <c r="EH543" s="855"/>
      <c r="EI543" s="1338"/>
      <c r="EJ543" s="855"/>
      <c r="EK543" s="855"/>
      <c r="EL543" s="1338"/>
      <c r="EM543" s="855"/>
      <c r="EN543" s="855"/>
      <c r="EO543" s="1338"/>
      <c r="EP543" s="855"/>
      <c r="EQ543" s="855"/>
      <c r="ER543" s="1338"/>
      <c r="ES543" s="855"/>
      <c r="ET543" s="855"/>
      <c r="EU543" s="1338"/>
      <c r="EV543" s="855"/>
      <c r="EW543" s="855"/>
      <c r="EX543" s="1338"/>
      <c r="EY543" s="855"/>
      <c r="EZ543" s="855"/>
      <c r="FA543" s="1338"/>
      <c r="FE543"/>
      <c r="FF543"/>
      <c r="FG543"/>
      <c r="FH543"/>
      <c r="FI543"/>
      <c r="FJ543"/>
      <c r="FK543" s="35"/>
    </row>
    <row r="544" spans="1:167" s="236" customFormat="1" ht="13.35" customHeight="1">
      <c r="A544" s="401" t="s">
        <v>449</v>
      </c>
      <c r="C544" s="806"/>
      <c r="D544" s="289"/>
      <c r="E544" s="820"/>
      <c r="F544" s="820"/>
      <c r="G544" s="821"/>
      <c r="H544" s="820"/>
      <c r="I544" s="820"/>
      <c r="J544" s="821"/>
      <c r="K544" s="820"/>
      <c r="L544" s="820"/>
      <c r="M544" s="821"/>
      <c r="N544" s="820"/>
      <c r="O544" s="820"/>
      <c r="P544" s="821"/>
      <c r="Q544" s="809"/>
      <c r="R544" s="809"/>
      <c r="S544" s="810"/>
      <c r="T544" s="809"/>
      <c r="U544" s="809"/>
      <c r="V544" s="808"/>
      <c r="W544" s="807"/>
      <c r="X544" s="807"/>
      <c r="Y544" s="808"/>
      <c r="Z544" s="807"/>
      <c r="AA544" s="807"/>
      <c r="AB544" s="808"/>
      <c r="AC544" s="807"/>
      <c r="AD544" s="807"/>
      <c r="AE544" s="808"/>
      <c r="AF544" s="807"/>
      <c r="AG544" s="807"/>
      <c r="AH544" s="808"/>
      <c r="AI544" s="807"/>
      <c r="AJ544" s="807"/>
      <c r="AK544" s="808"/>
      <c r="AL544" s="807"/>
      <c r="AM544" s="807"/>
      <c r="AN544" s="808"/>
      <c r="AO544" s="807"/>
      <c r="AP544" s="807"/>
      <c r="AQ544" s="808"/>
      <c r="AR544" s="807"/>
      <c r="AS544" s="807"/>
      <c r="AT544" s="808"/>
      <c r="AU544" s="820"/>
      <c r="AV544" s="820"/>
      <c r="AW544" s="821"/>
      <c r="AX544" s="855"/>
      <c r="AY544" s="855"/>
      <c r="AZ544" s="855"/>
      <c r="BA544" s="855"/>
      <c r="BB544" s="855"/>
      <c r="BC544" s="855"/>
      <c r="BD544" s="855"/>
      <c r="BE544" s="855"/>
      <c r="BF544" s="855"/>
      <c r="BG544" s="855"/>
      <c r="BH544" s="855"/>
      <c r="BI544" s="855"/>
      <c r="BJ544" s="855"/>
      <c r="BK544" s="855"/>
      <c r="BL544" s="855"/>
      <c r="BM544" s="855"/>
      <c r="BN544" s="855"/>
      <c r="BO544" s="855"/>
      <c r="BP544" s="855"/>
      <c r="BQ544" s="855"/>
      <c r="BR544" s="855"/>
      <c r="BS544" s="855"/>
      <c r="BT544" s="855"/>
      <c r="BU544" s="855"/>
      <c r="BV544" s="855"/>
      <c r="BW544" s="855"/>
      <c r="BX544" s="855"/>
      <c r="BY544" s="855"/>
      <c r="BZ544" s="855"/>
      <c r="CA544" s="855"/>
      <c r="CB544" s="855"/>
      <c r="CC544" s="855"/>
      <c r="CD544" s="855"/>
      <c r="CE544" s="855"/>
      <c r="CF544" s="855"/>
      <c r="CG544" s="855"/>
      <c r="CH544" s="855"/>
      <c r="CI544" s="855"/>
      <c r="CJ544" s="855"/>
      <c r="CK544" s="855"/>
      <c r="CL544" s="855"/>
      <c r="CM544" s="855"/>
      <c r="CN544" s="855"/>
      <c r="CO544" s="855"/>
      <c r="CP544" s="855"/>
      <c r="CQ544" s="855"/>
      <c r="CR544" s="855"/>
      <c r="CS544" s="855"/>
      <c r="CT544" s="855"/>
      <c r="CU544" s="855"/>
      <c r="CV544" s="855"/>
      <c r="CW544" s="855"/>
      <c r="CX544" s="855"/>
      <c r="CY544" s="855"/>
      <c r="CZ544" s="855"/>
      <c r="DA544" s="855"/>
      <c r="DB544" s="855"/>
      <c r="DC544" s="855"/>
      <c r="DD544" s="855"/>
      <c r="DE544" s="855"/>
      <c r="DF544" s="855"/>
      <c r="DG544" s="855"/>
      <c r="DH544" s="1338"/>
      <c r="DI544" s="855"/>
      <c r="DJ544" s="855"/>
      <c r="DK544" s="1338"/>
      <c r="DL544" s="855"/>
      <c r="DM544" s="855"/>
      <c r="DN544" s="1338"/>
      <c r="DO544" s="855"/>
      <c r="DP544" s="855"/>
      <c r="DQ544" s="1338"/>
      <c r="DR544" s="855"/>
      <c r="DS544" s="855"/>
      <c r="DT544" s="1338"/>
      <c r="DU544" s="855"/>
      <c r="DV544" s="855"/>
      <c r="DW544" s="1338"/>
      <c r="DX544" s="855"/>
      <c r="DY544" s="855"/>
      <c r="DZ544" s="1338"/>
      <c r="EA544" s="855"/>
      <c r="EB544" s="855"/>
      <c r="EC544" s="1338"/>
      <c r="ED544" s="855"/>
      <c r="EE544" s="855"/>
      <c r="EF544" s="1338"/>
      <c r="EG544" s="855"/>
      <c r="EH544" s="855"/>
      <c r="EI544" s="1338"/>
      <c r="EJ544" s="855"/>
      <c r="EK544" s="855"/>
      <c r="EL544" s="1338"/>
      <c r="EM544" s="855"/>
      <c r="EN544" s="855"/>
      <c r="EO544" s="1338"/>
      <c r="EP544" s="855"/>
      <c r="EQ544" s="855"/>
      <c r="ER544" s="1338"/>
      <c r="ES544" s="855"/>
      <c r="ET544" s="855"/>
      <c r="EU544" s="1338"/>
      <c r="EV544" s="855"/>
      <c r="EW544" s="855"/>
      <c r="EX544" s="1338"/>
      <c r="EY544" s="855"/>
      <c r="EZ544" s="855"/>
      <c r="FA544" s="1338"/>
      <c r="FE544"/>
      <c r="FF544"/>
      <c r="FG544"/>
      <c r="FH544"/>
      <c r="FI544"/>
      <c r="FJ544"/>
      <c r="FK544" s="35"/>
    </row>
    <row r="545" spans="1:167" s="236" customFormat="1" ht="13.35" customHeight="1">
      <c r="A545" s="289"/>
      <c r="B545" s="401" t="s">
        <v>225</v>
      </c>
      <c r="C545" s="806"/>
      <c r="D545" s="289"/>
      <c r="E545" s="820"/>
      <c r="F545" s="820"/>
      <c r="G545" s="821"/>
      <c r="H545" s="820"/>
      <c r="I545" s="820"/>
      <c r="J545" s="821"/>
      <c r="K545" s="820"/>
      <c r="L545" s="820"/>
      <c r="M545" s="821"/>
      <c r="N545" s="820"/>
      <c r="O545" s="820"/>
      <c r="P545" s="821"/>
      <c r="Q545" s="809"/>
      <c r="R545" s="809"/>
      <c r="S545" s="810"/>
      <c r="T545" s="809"/>
      <c r="U545" s="809"/>
      <c r="V545" s="808"/>
      <c r="W545" s="807"/>
      <c r="X545" s="807"/>
      <c r="Y545" s="808"/>
      <c r="Z545" s="807"/>
      <c r="AA545" s="807"/>
      <c r="AB545" s="808"/>
      <c r="AC545" s="807"/>
      <c r="AD545" s="807"/>
      <c r="AE545" s="808"/>
      <c r="AF545" s="807"/>
      <c r="AG545" s="807"/>
      <c r="AH545" s="808"/>
      <c r="AI545" s="807"/>
      <c r="AJ545" s="807"/>
      <c r="AK545" s="808"/>
      <c r="AL545" s="807"/>
      <c r="AM545" s="807"/>
      <c r="AN545" s="808"/>
      <c r="AO545" s="807"/>
      <c r="AP545" s="807"/>
      <c r="AQ545" s="808"/>
      <c r="AR545" s="807"/>
      <c r="AS545" s="807"/>
      <c r="AT545" s="808"/>
      <c r="AU545" s="820"/>
      <c r="AV545" s="820"/>
      <c r="AW545" s="821"/>
      <c r="AX545" s="855">
        <f>AX413</f>
        <v>1.8440000000000001</v>
      </c>
      <c r="AY545" s="855">
        <f t="shared" ref="AY545:DJ545" si="1360">AY435</f>
        <v>0</v>
      </c>
      <c r="AZ545" s="855">
        <f t="shared" si="1360"/>
        <v>0</v>
      </c>
      <c r="BA545" s="855">
        <f t="shared" si="1360"/>
        <v>0</v>
      </c>
      <c r="BB545" s="855">
        <f t="shared" si="1360"/>
        <v>0</v>
      </c>
      <c r="BC545" s="855">
        <f t="shared" si="1360"/>
        <v>0</v>
      </c>
      <c r="BD545" s="855">
        <f t="shared" si="1360"/>
        <v>0</v>
      </c>
      <c r="BE545" s="855">
        <f t="shared" si="1360"/>
        <v>0</v>
      </c>
      <c r="BF545" s="855">
        <f t="shared" si="1360"/>
        <v>0</v>
      </c>
      <c r="BG545" s="855">
        <f t="shared" si="1360"/>
        <v>0</v>
      </c>
      <c r="BH545" s="855">
        <f t="shared" si="1360"/>
        <v>0</v>
      </c>
      <c r="BI545" s="855">
        <f t="shared" si="1360"/>
        <v>0</v>
      </c>
      <c r="BJ545" s="855">
        <f t="shared" si="1360"/>
        <v>0</v>
      </c>
      <c r="BK545" s="855">
        <f t="shared" si="1360"/>
        <v>0</v>
      </c>
      <c r="BL545" s="855">
        <f t="shared" si="1360"/>
        <v>0</v>
      </c>
      <c r="BM545" s="855">
        <f t="shared" si="1360"/>
        <v>0</v>
      </c>
      <c r="BN545" s="855">
        <f t="shared" si="1360"/>
        <v>0</v>
      </c>
      <c r="BO545" s="855">
        <f t="shared" si="1360"/>
        <v>0</v>
      </c>
      <c r="BP545" s="855">
        <f t="shared" si="1360"/>
        <v>0</v>
      </c>
      <c r="BQ545" s="855">
        <f t="shared" si="1360"/>
        <v>0</v>
      </c>
      <c r="BR545" s="855">
        <f t="shared" si="1360"/>
        <v>0</v>
      </c>
      <c r="BS545" s="855">
        <f t="shared" si="1360"/>
        <v>0</v>
      </c>
      <c r="BT545" s="855">
        <f t="shared" si="1360"/>
        <v>0</v>
      </c>
      <c r="BU545" s="855">
        <f t="shared" si="1360"/>
        <v>0</v>
      </c>
      <c r="BV545" s="855">
        <f t="shared" si="1360"/>
        <v>0</v>
      </c>
      <c r="BW545" s="855">
        <f t="shared" si="1360"/>
        <v>0</v>
      </c>
      <c r="BX545" s="855">
        <f t="shared" si="1360"/>
        <v>0</v>
      </c>
      <c r="BY545" s="855">
        <f t="shared" si="1360"/>
        <v>0</v>
      </c>
      <c r="BZ545" s="855">
        <f t="shared" si="1360"/>
        <v>0</v>
      </c>
      <c r="CA545" s="855">
        <f t="shared" si="1360"/>
        <v>0</v>
      </c>
      <c r="CB545" s="855">
        <f t="shared" si="1360"/>
        <v>0</v>
      </c>
      <c r="CC545" s="855">
        <f t="shared" si="1360"/>
        <v>0</v>
      </c>
      <c r="CD545" s="855">
        <f t="shared" si="1360"/>
        <v>0</v>
      </c>
      <c r="CE545" s="855">
        <f t="shared" si="1360"/>
        <v>0</v>
      </c>
      <c r="CF545" s="855">
        <f t="shared" si="1360"/>
        <v>0</v>
      </c>
      <c r="CG545" s="855">
        <f t="shared" si="1360"/>
        <v>0</v>
      </c>
      <c r="CH545" s="855">
        <f t="shared" si="1360"/>
        <v>0</v>
      </c>
      <c r="CI545" s="855">
        <f t="shared" si="1360"/>
        <v>0</v>
      </c>
      <c r="CJ545" s="855">
        <f t="shared" si="1360"/>
        <v>0</v>
      </c>
      <c r="CK545" s="855">
        <f t="shared" si="1360"/>
        <v>0</v>
      </c>
      <c r="CL545" s="855">
        <f t="shared" si="1360"/>
        <v>0</v>
      </c>
      <c r="CM545" s="855">
        <f t="shared" si="1360"/>
        <v>0</v>
      </c>
      <c r="CN545" s="855">
        <f t="shared" si="1360"/>
        <v>0</v>
      </c>
      <c r="CO545" s="855">
        <f t="shared" si="1360"/>
        <v>0</v>
      </c>
      <c r="CP545" s="855">
        <f t="shared" si="1360"/>
        <v>0</v>
      </c>
      <c r="CQ545" s="855">
        <f t="shared" si="1360"/>
        <v>0</v>
      </c>
      <c r="CR545" s="855">
        <f t="shared" si="1360"/>
        <v>0</v>
      </c>
      <c r="CS545" s="855">
        <f t="shared" si="1360"/>
        <v>0</v>
      </c>
      <c r="CT545" s="855">
        <f t="shared" si="1360"/>
        <v>0</v>
      </c>
      <c r="CU545" s="855">
        <f t="shared" si="1360"/>
        <v>0</v>
      </c>
      <c r="CV545" s="855">
        <f t="shared" si="1360"/>
        <v>0</v>
      </c>
      <c r="CW545" s="855">
        <f t="shared" si="1360"/>
        <v>0</v>
      </c>
      <c r="CX545" s="855">
        <f t="shared" si="1360"/>
        <v>0</v>
      </c>
      <c r="CY545" s="855">
        <f t="shared" si="1360"/>
        <v>0</v>
      </c>
      <c r="CZ545" s="855">
        <f t="shared" si="1360"/>
        <v>0</v>
      </c>
      <c r="DA545" s="855">
        <f t="shared" si="1360"/>
        <v>0</v>
      </c>
      <c r="DB545" s="855">
        <f t="shared" si="1360"/>
        <v>0</v>
      </c>
      <c r="DC545" s="855">
        <f t="shared" si="1360"/>
        <v>0</v>
      </c>
      <c r="DD545" s="855">
        <f t="shared" si="1360"/>
        <v>0</v>
      </c>
      <c r="DE545" s="855">
        <f t="shared" si="1360"/>
        <v>0</v>
      </c>
      <c r="DF545" s="855">
        <f t="shared" si="1360"/>
        <v>0</v>
      </c>
      <c r="DG545" s="855">
        <f t="shared" si="1360"/>
        <v>0</v>
      </c>
      <c r="DH545" s="1338">
        <f t="shared" si="1360"/>
        <v>0</v>
      </c>
      <c r="DI545" s="855">
        <f t="shared" si="1360"/>
        <v>0</v>
      </c>
      <c r="DJ545" s="855">
        <f t="shared" si="1360"/>
        <v>0</v>
      </c>
      <c r="DK545" s="1338">
        <f>DK435</f>
        <v>0</v>
      </c>
      <c r="DL545" s="855">
        <f>DL435</f>
        <v>0</v>
      </c>
      <c r="DM545" s="855">
        <f>DM435</f>
        <v>0</v>
      </c>
      <c r="DN545" s="1338">
        <f>DN435</f>
        <v>0</v>
      </c>
      <c r="DO545" s="855">
        <f t="shared" ref="DO545:DT545" si="1361">DO435</f>
        <v>0</v>
      </c>
      <c r="DP545" s="855">
        <f t="shared" si="1361"/>
        <v>0</v>
      </c>
      <c r="DQ545" s="1338">
        <f t="shared" si="1361"/>
        <v>0</v>
      </c>
      <c r="DR545" s="855">
        <f t="shared" si="1361"/>
        <v>0</v>
      </c>
      <c r="DS545" s="855">
        <f t="shared" si="1361"/>
        <v>0</v>
      </c>
      <c r="DT545" s="1338">
        <f t="shared" si="1361"/>
        <v>0</v>
      </c>
      <c r="DU545" s="855"/>
      <c r="DV545" s="855"/>
      <c r="DW545" s="1338"/>
      <c r="DX545" s="855"/>
      <c r="DY545" s="855"/>
      <c r="DZ545" s="1338"/>
      <c r="EA545" s="855"/>
      <c r="EB545" s="855"/>
      <c r="EC545" s="1338"/>
      <c r="ED545" s="855"/>
      <c r="EE545" s="855"/>
      <c r="EF545" s="1338"/>
      <c r="EG545" s="855"/>
      <c r="EH545" s="855"/>
      <c r="EI545" s="1338"/>
      <c r="EJ545" s="855"/>
      <c r="EK545" s="855"/>
      <c r="EL545" s="1338"/>
      <c r="EM545" s="855"/>
      <c r="EN545" s="855"/>
      <c r="EO545" s="1338"/>
      <c r="EP545" s="855"/>
      <c r="EQ545" s="855"/>
      <c r="ER545" s="1338"/>
      <c r="ES545" s="855"/>
      <c r="ET545" s="855"/>
      <c r="EU545" s="1338"/>
      <c r="EV545" s="855"/>
      <c r="EW545" s="855"/>
      <c r="EX545" s="1338"/>
      <c r="EY545" s="855"/>
      <c r="EZ545" s="855"/>
      <c r="FA545" s="1338"/>
      <c r="FE545"/>
      <c r="FF545"/>
      <c r="FG545"/>
      <c r="FH545"/>
      <c r="FI545"/>
      <c r="FJ545"/>
      <c r="FK545" s="35"/>
    </row>
    <row r="546" spans="1:167" s="236" customFormat="1" ht="13.35" customHeight="1">
      <c r="A546" s="289"/>
      <c r="B546" s="401" t="s">
        <v>446</v>
      </c>
      <c r="C546" s="806"/>
      <c r="D546" s="289"/>
      <c r="E546" s="820"/>
      <c r="F546" s="820"/>
      <c r="G546" s="821"/>
      <c r="H546" s="820"/>
      <c r="I546" s="820"/>
      <c r="J546" s="821"/>
      <c r="K546" s="820"/>
      <c r="L546" s="820"/>
      <c r="M546" s="821"/>
      <c r="N546" s="820"/>
      <c r="O546" s="820"/>
      <c r="P546" s="821"/>
      <c r="Q546" s="809"/>
      <c r="R546" s="809"/>
      <c r="S546" s="810"/>
      <c r="T546" s="809"/>
      <c r="U546" s="809"/>
      <c r="V546" s="808"/>
      <c r="W546" s="807"/>
      <c r="X546" s="807"/>
      <c r="Y546" s="808"/>
      <c r="Z546" s="807"/>
      <c r="AA546" s="807"/>
      <c r="AB546" s="808"/>
      <c r="AC546" s="807"/>
      <c r="AD546" s="807"/>
      <c r="AE546" s="808"/>
      <c r="AF546" s="807"/>
      <c r="AG546" s="807"/>
      <c r="AH546" s="808"/>
      <c r="AI546" s="807"/>
      <c r="AJ546" s="807"/>
      <c r="AK546" s="808"/>
      <c r="AL546" s="807"/>
      <c r="AM546" s="807"/>
      <c r="AN546" s="808"/>
      <c r="AO546" s="807"/>
      <c r="AP546" s="807"/>
      <c r="AQ546" s="808"/>
      <c r="AR546" s="807"/>
      <c r="AS546" s="807"/>
      <c r="AT546" s="808"/>
      <c r="AU546" s="820"/>
      <c r="AV546" s="820"/>
      <c r="AW546" s="821"/>
      <c r="AX546" s="854">
        <v>0</v>
      </c>
      <c r="AY546" s="854">
        <v>0</v>
      </c>
      <c r="AZ546" s="854">
        <v>0</v>
      </c>
      <c r="BA546" s="854">
        <v>0</v>
      </c>
      <c r="BB546" s="854">
        <v>0</v>
      </c>
      <c r="BC546" s="854">
        <v>0</v>
      </c>
      <c r="BD546" s="854">
        <v>0</v>
      </c>
      <c r="BE546" s="854">
        <v>0</v>
      </c>
      <c r="BF546" s="854">
        <v>0</v>
      </c>
      <c r="BG546" s="854">
        <v>0</v>
      </c>
      <c r="BH546" s="854">
        <v>0</v>
      </c>
      <c r="BI546" s="854">
        <v>0</v>
      </c>
      <c r="BJ546" s="854">
        <v>0</v>
      </c>
      <c r="BK546" s="854">
        <v>0</v>
      </c>
      <c r="BL546" s="854">
        <v>0</v>
      </c>
      <c r="BM546" s="854">
        <v>0</v>
      </c>
      <c r="BN546" s="854">
        <v>0</v>
      </c>
      <c r="BO546" s="854">
        <v>0</v>
      </c>
      <c r="BP546" s="854">
        <v>0</v>
      </c>
      <c r="BQ546" s="854">
        <v>0</v>
      </c>
      <c r="BR546" s="854">
        <v>0</v>
      </c>
      <c r="BS546" s="854">
        <v>0</v>
      </c>
      <c r="BT546" s="854">
        <v>0</v>
      </c>
      <c r="BU546" s="854">
        <v>0</v>
      </c>
      <c r="BV546" s="854">
        <v>0</v>
      </c>
      <c r="BW546" s="854">
        <v>0</v>
      </c>
      <c r="BX546" s="854">
        <v>0</v>
      </c>
      <c r="BY546" s="854">
        <v>0</v>
      </c>
      <c r="BZ546" s="854">
        <v>0</v>
      </c>
      <c r="CA546" s="854">
        <v>0</v>
      </c>
      <c r="CB546" s="854">
        <v>0</v>
      </c>
      <c r="CC546" s="854">
        <v>0</v>
      </c>
      <c r="CD546" s="854">
        <v>0</v>
      </c>
      <c r="CE546" s="854">
        <v>0</v>
      </c>
      <c r="CF546" s="854">
        <v>0</v>
      </c>
      <c r="CG546" s="854">
        <v>0</v>
      </c>
      <c r="CH546" s="854">
        <v>0</v>
      </c>
      <c r="CI546" s="854">
        <v>0</v>
      </c>
      <c r="CJ546" s="854">
        <v>0</v>
      </c>
      <c r="CK546" s="854">
        <v>0</v>
      </c>
      <c r="CL546" s="854">
        <v>0</v>
      </c>
      <c r="CM546" s="854">
        <v>0</v>
      </c>
      <c r="CN546" s="854">
        <v>0</v>
      </c>
      <c r="CO546" s="854">
        <v>0</v>
      </c>
      <c r="CP546" s="854">
        <v>0</v>
      </c>
      <c r="CQ546" s="854">
        <v>0</v>
      </c>
      <c r="CR546" s="854">
        <v>0</v>
      </c>
      <c r="CS546" s="854">
        <v>0</v>
      </c>
      <c r="CT546" s="854">
        <v>0</v>
      </c>
      <c r="CU546" s="854">
        <v>0</v>
      </c>
      <c r="CV546" s="854">
        <v>0</v>
      </c>
      <c r="CW546" s="854">
        <v>0</v>
      </c>
      <c r="CX546" s="854">
        <v>0</v>
      </c>
      <c r="CY546" s="854">
        <v>0</v>
      </c>
      <c r="CZ546" s="854">
        <v>0</v>
      </c>
      <c r="DA546" s="854">
        <v>0</v>
      </c>
      <c r="DB546" s="854">
        <v>0</v>
      </c>
      <c r="DC546" s="854">
        <v>0</v>
      </c>
      <c r="DD546" s="854">
        <v>0</v>
      </c>
      <c r="DE546" s="854">
        <v>0</v>
      </c>
      <c r="DF546" s="854">
        <v>0</v>
      </c>
      <c r="DG546" s="854">
        <v>0</v>
      </c>
      <c r="DH546" s="1339">
        <v>0</v>
      </c>
      <c r="DI546" s="854">
        <v>0</v>
      </c>
      <c r="DJ546" s="854">
        <v>0</v>
      </c>
      <c r="DK546" s="1339">
        <v>0</v>
      </c>
      <c r="DL546" s="854">
        <v>0</v>
      </c>
      <c r="DM546" s="854">
        <v>0</v>
      </c>
      <c r="DN546" s="1339">
        <v>0</v>
      </c>
      <c r="DO546" s="854">
        <v>0</v>
      </c>
      <c r="DP546" s="854">
        <v>0</v>
      </c>
      <c r="DQ546" s="1339">
        <v>0</v>
      </c>
      <c r="DR546" s="854">
        <v>0</v>
      </c>
      <c r="DS546" s="854">
        <v>0</v>
      </c>
      <c r="DT546" s="1339">
        <v>0</v>
      </c>
      <c r="DU546" s="854"/>
      <c r="DV546" s="854"/>
      <c r="DW546" s="1339"/>
      <c r="DX546" s="854"/>
      <c r="DY546" s="854"/>
      <c r="DZ546" s="1339"/>
      <c r="EA546" s="854"/>
      <c r="EB546" s="854"/>
      <c r="EC546" s="1339"/>
      <c r="ED546" s="854"/>
      <c r="EE546" s="854"/>
      <c r="EF546" s="1339"/>
      <c r="EG546" s="854"/>
      <c r="EH546" s="854"/>
      <c r="EI546" s="1339"/>
      <c r="EJ546" s="854"/>
      <c r="EK546" s="854"/>
      <c r="EL546" s="1339"/>
      <c r="EM546" s="854"/>
      <c r="EN546" s="854"/>
      <c r="EO546" s="1339"/>
      <c r="EP546" s="854"/>
      <c r="EQ546" s="854"/>
      <c r="ER546" s="1339"/>
      <c r="ES546" s="854"/>
      <c r="ET546" s="854"/>
      <c r="EU546" s="1339"/>
      <c r="EV546" s="854"/>
      <c r="EW546" s="854"/>
      <c r="EX546" s="1339"/>
      <c r="EY546" s="854"/>
      <c r="EZ546" s="854"/>
      <c r="FA546" s="1339"/>
      <c r="FE546"/>
      <c r="FF546"/>
      <c r="FG546"/>
      <c r="FH546"/>
      <c r="FI546"/>
      <c r="FJ546"/>
      <c r="FK546" s="35"/>
    </row>
    <row r="547" spans="1:167" s="236" customFormat="1" ht="13.35" customHeight="1">
      <c r="A547" s="289"/>
      <c r="B547" s="401" t="s">
        <v>447</v>
      </c>
      <c r="C547" s="806"/>
      <c r="D547" s="289"/>
      <c r="E547" s="820"/>
      <c r="F547" s="820"/>
      <c r="G547" s="821"/>
      <c r="H547" s="820"/>
      <c r="I547" s="820"/>
      <c r="J547" s="821"/>
      <c r="K547" s="820"/>
      <c r="L547" s="820"/>
      <c r="M547" s="821"/>
      <c r="N547" s="820"/>
      <c r="O547" s="820"/>
      <c r="P547" s="821"/>
      <c r="Q547" s="809"/>
      <c r="R547" s="809"/>
      <c r="S547" s="810"/>
      <c r="T547" s="809"/>
      <c r="U547" s="809"/>
      <c r="V547" s="808"/>
      <c r="W547" s="807"/>
      <c r="X547" s="807"/>
      <c r="Y547" s="808"/>
      <c r="Z547" s="807"/>
      <c r="AA547" s="807"/>
      <c r="AB547" s="808"/>
      <c r="AC547" s="807"/>
      <c r="AD547" s="807"/>
      <c r="AE547" s="808"/>
      <c r="AF547" s="807"/>
      <c r="AG547" s="807"/>
      <c r="AH547" s="808"/>
      <c r="AI547" s="807"/>
      <c r="AJ547" s="807"/>
      <c r="AK547" s="808"/>
      <c r="AL547" s="807"/>
      <c r="AM547" s="807"/>
      <c r="AN547" s="808"/>
      <c r="AO547" s="807"/>
      <c r="AP547" s="807"/>
      <c r="AQ547" s="808"/>
      <c r="AR547" s="807"/>
      <c r="AS547" s="807"/>
      <c r="AT547" s="808"/>
      <c r="AU547" s="820"/>
      <c r="AV547" s="820"/>
      <c r="AW547" s="821"/>
      <c r="AX547" s="854">
        <v>0</v>
      </c>
      <c r="AY547" s="854">
        <v>0</v>
      </c>
      <c r="AZ547" s="854">
        <v>0</v>
      </c>
      <c r="BA547" s="854">
        <v>0</v>
      </c>
      <c r="BB547" s="854">
        <v>0</v>
      </c>
      <c r="BC547" s="854">
        <v>0</v>
      </c>
      <c r="BD547" s="854">
        <v>0</v>
      </c>
      <c r="BE547" s="854">
        <v>0</v>
      </c>
      <c r="BF547" s="854">
        <v>0</v>
      </c>
      <c r="BG547" s="854">
        <v>0</v>
      </c>
      <c r="BH547" s="854">
        <v>0</v>
      </c>
      <c r="BI547" s="854">
        <v>0</v>
      </c>
      <c r="BJ547" s="854">
        <v>0</v>
      </c>
      <c r="BK547" s="854">
        <v>0</v>
      </c>
      <c r="BL547" s="854">
        <v>0</v>
      </c>
      <c r="BM547" s="854">
        <v>0</v>
      </c>
      <c r="BN547" s="854">
        <v>0</v>
      </c>
      <c r="BO547" s="854">
        <v>0</v>
      </c>
      <c r="BP547" s="854">
        <v>0</v>
      </c>
      <c r="BQ547" s="854">
        <v>0</v>
      </c>
      <c r="BR547" s="854">
        <v>0</v>
      </c>
      <c r="BS547" s="854">
        <v>0</v>
      </c>
      <c r="BT547" s="854">
        <v>0</v>
      </c>
      <c r="BU547" s="854">
        <v>0</v>
      </c>
      <c r="BV547" s="854">
        <v>0</v>
      </c>
      <c r="BW547" s="854">
        <v>0</v>
      </c>
      <c r="BX547" s="854">
        <v>0</v>
      </c>
      <c r="BY547" s="854">
        <v>0</v>
      </c>
      <c r="BZ547" s="854">
        <v>0</v>
      </c>
      <c r="CA547" s="854">
        <v>0</v>
      </c>
      <c r="CB547" s="854">
        <v>0</v>
      </c>
      <c r="CC547" s="854">
        <v>0</v>
      </c>
      <c r="CD547" s="854">
        <v>0</v>
      </c>
      <c r="CE547" s="854">
        <v>0</v>
      </c>
      <c r="CF547" s="854">
        <v>0</v>
      </c>
      <c r="CG547" s="854">
        <v>0</v>
      </c>
      <c r="CH547" s="854">
        <v>0</v>
      </c>
      <c r="CI547" s="854">
        <v>0</v>
      </c>
      <c r="CJ547" s="854">
        <v>0</v>
      </c>
      <c r="CK547" s="854">
        <v>0</v>
      </c>
      <c r="CL547" s="854">
        <v>0</v>
      </c>
      <c r="CM547" s="854">
        <v>0</v>
      </c>
      <c r="CN547" s="854">
        <v>0</v>
      </c>
      <c r="CO547" s="854">
        <v>0</v>
      </c>
      <c r="CP547" s="854">
        <v>0</v>
      </c>
      <c r="CQ547" s="854">
        <v>0</v>
      </c>
      <c r="CR547" s="854">
        <v>0</v>
      </c>
      <c r="CS547" s="854">
        <v>0</v>
      </c>
      <c r="CT547" s="854">
        <v>0</v>
      </c>
      <c r="CU547" s="854">
        <v>0</v>
      </c>
      <c r="CV547" s="854">
        <v>0</v>
      </c>
      <c r="CW547" s="854">
        <v>0</v>
      </c>
      <c r="CX547" s="854">
        <v>0</v>
      </c>
      <c r="CY547" s="854">
        <v>0</v>
      </c>
      <c r="CZ547" s="854">
        <v>0</v>
      </c>
      <c r="DA547" s="854">
        <v>0</v>
      </c>
      <c r="DB547" s="854">
        <v>0</v>
      </c>
      <c r="DC547" s="854">
        <v>0</v>
      </c>
      <c r="DD547" s="854">
        <v>0</v>
      </c>
      <c r="DE547" s="854">
        <v>0</v>
      </c>
      <c r="DF547" s="854">
        <v>0</v>
      </c>
      <c r="DG547" s="854">
        <v>0</v>
      </c>
      <c r="DH547" s="1339">
        <v>0</v>
      </c>
      <c r="DI547" s="854">
        <v>0</v>
      </c>
      <c r="DJ547" s="854">
        <v>0</v>
      </c>
      <c r="DK547" s="1339">
        <v>0</v>
      </c>
      <c r="DL547" s="854">
        <v>0</v>
      </c>
      <c r="DM547" s="854">
        <v>0</v>
      </c>
      <c r="DN547" s="1339">
        <v>0</v>
      </c>
      <c r="DO547" s="854">
        <v>0</v>
      </c>
      <c r="DP547" s="854">
        <v>0</v>
      </c>
      <c r="DQ547" s="1339">
        <v>0</v>
      </c>
      <c r="DR547" s="854">
        <v>0</v>
      </c>
      <c r="DS547" s="854">
        <v>0</v>
      </c>
      <c r="DT547" s="1339">
        <v>0</v>
      </c>
      <c r="DU547" s="854"/>
      <c r="DV547" s="854"/>
      <c r="DW547" s="1339"/>
      <c r="DX547" s="854"/>
      <c r="DY547" s="854"/>
      <c r="DZ547" s="1339"/>
      <c r="EA547" s="854"/>
      <c r="EB547" s="854"/>
      <c r="EC547" s="1339"/>
      <c r="ED547" s="854"/>
      <c r="EE547" s="854"/>
      <c r="EF547" s="1339"/>
      <c r="EG547" s="854"/>
      <c r="EH547" s="854"/>
      <c r="EI547" s="1339"/>
      <c r="EJ547" s="854"/>
      <c r="EK547" s="854"/>
      <c r="EL547" s="1339"/>
      <c r="EM547" s="854"/>
      <c r="EN547" s="854"/>
      <c r="EO547" s="1339"/>
      <c r="EP547" s="854"/>
      <c r="EQ547" s="854"/>
      <c r="ER547" s="1339"/>
      <c r="ES547" s="854"/>
      <c r="ET547" s="854"/>
      <c r="EU547" s="1339"/>
      <c r="EV547" s="854"/>
      <c r="EW547" s="854"/>
      <c r="EX547" s="1339"/>
      <c r="EY547" s="854"/>
      <c r="EZ547" s="854"/>
      <c r="FA547" s="1339"/>
      <c r="FE547"/>
      <c r="FF547"/>
      <c r="FG547"/>
      <c r="FH547"/>
      <c r="FI547"/>
      <c r="FJ547"/>
      <c r="FK547" s="35"/>
    </row>
    <row r="548" spans="1:167" s="236" customFormat="1" ht="13.35" customHeight="1">
      <c r="A548" s="289"/>
      <c r="B548" s="401" t="s">
        <v>260</v>
      </c>
      <c r="C548" s="806"/>
      <c r="D548" s="289"/>
      <c r="E548" s="820"/>
      <c r="F548" s="820"/>
      <c r="G548" s="821"/>
      <c r="H548" s="820"/>
      <c r="I548" s="820"/>
      <c r="J548" s="821"/>
      <c r="K548" s="820"/>
      <c r="L548" s="820"/>
      <c r="M548" s="821"/>
      <c r="N548" s="820"/>
      <c r="O548" s="820"/>
      <c r="P548" s="821"/>
      <c r="Q548" s="809"/>
      <c r="R548" s="809"/>
      <c r="S548" s="810"/>
      <c r="T548" s="809"/>
      <c r="U548" s="809"/>
      <c r="V548" s="808"/>
      <c r="W548" s="807"/>
      <c r="X548" s="807"/>
      <c r="Y548" s="808"/>
      <c r="Z548" s="807"/>
      <c r="AA548" s="807"/>
      <c r="AB548" s="808"/>
      <c r="AC548" s="807"/>
      <c r="AD548" s="807"/>
      <c r="AE548" s="808"/>
      <c r="AF548" s="807"/>
      <c r="AG548" s="807"/>
      <c r="AH548" s="808"/>
      <c r="AI548" s="807"/>
      <c r="AJ548" s="807"/>
      <c r="AK548" s="808"/>
      <c r="AL548" s="807"/>
      <c r="AM548" s="807"/>
      <c r="AN548" s="808"/>
      <c r="AO548" s="807"/>
      <c r="AP548" s="807"/>
      <c r="AQ548" s="808"/>
      <c r="AR548" s="807"/>
      <c r="AS548" s="807"/>
      <c r="AT548" s="808"/>
      <c r="AU548" s="820"/>
      <c r="AV548" s="820"/>
      <c r="AW548" s="821"/>
      <c r="AX548" s="854">
        <v>0</v>
      </c>
      <c r="AY548" s="854">
        <v>0</v>
      </c>
      <c r="AZ548" s="854">
        <v>0</v>
      </c>
      <c r="BA548" s="854">
        <v>0</v>
      </c>
      <c r="BB548" s="854">
        <v>0</v>
      </c>
      <c r="BC548" s="854">
        <v>0</v>
      </c>
      <c r="BD548" s="854">
        <v>0</v>
      </c>
      <c r="BE548" s="854">
        <v>0</v>
      </c>
      <c r="BF548" s="854">
        <v>0</v>
      </c>
      <c r="BG548" s="854">
        <v>0</v>
      </c>
      <c r="BH548" s="854">
        <v>0</v>
      </c>
      <c r="BI548" s="854">
        <v>0</v>
      </c>
      <c r="BJ548" s="854">
        <v>0</v>
      </c>
      <c r="BK548" s="854">
        <v>0</v>
      </c>
      <c r="BL548" s="854">
        <v>0</v>
      </c>
      <c r="BM548" s="854">
        <v>0</v>
      </c>
      <c r="BN548" s="854">
        <v>0</v>
      </c>
      <c r="BO548" s="854">
        <v>0</v>
      </c>
      <c r="BP548" s="854">
        <v>0</v>
      </c>
      <c r="BQ548" s="854">
        <v>0</v>
      </c>
      <c r="BR548" s="854">
        <v>0</v>
      </c>
      <c r="BS548" s="854">
        <v>0</v>
      </c>
      <c r="BT548" s="854">
        <v>0</v>
      </c>
      <c r="BU548" s="854">
        <v>0</v>
      </c>
      <c r="BV548" s="854">
        <v>0</v>
      </c>
      <c r="BW548" s="854">
        <v>0</v>
      </c>
      <c r="BX548" s="854">
        <v>0</v>
      </c>
      <c r="BY548" s="854">
        <v>0</v>
      </c>
      <c r="BZ548" s="854">
        <v>0</v>
      </c>
      <c r="CA548" s="854">
        <v>0</v>
      </c>
      <c r="CB548" s="854">
        <v>0</v>
      </c>
      <c r="CC548" s="854">
        <v>0</v>
      </c>
      <c r="CD548" s="854">
        <v>0</v>
      </c>
      <c r="CE548" s="854">
        <v>0</v>
      </c>
      <c r="CF548" s="854">
        <v>0</v>
      </c>
      <c r="CG548" s="854">
        <v>0</v>
      </c>
      <c r="CH548" s="854">
        <v>0</v>
      </c>
      <c r="CI548" s="854">
        <v>0</v>
      </c>
      <c r="CJ548" s="854">
        <v>0</v>
      </c>
      <c r="CK548" s="854">
        <v>0</v>
      </c>
      <c r="CL548" s="854">
        <v>0</v>
      </c>
      <c r="CM548" s="854">
        <v>0</v>
      </c>
      <c r="CN548" s="854">
        <v>0</v>
      </c>
      <c r="CO548" s="854">
        <v>0</v>
      </c>
      <c r="CP548" s="854">
        <v>0</v>
      </c>
      <c r="CQ548" s="854">
        <v>0</v>
      </c>
      <c r="CR548" s="854">
        <v>0</v>
      </c>
      <c r="CS548" s="854">
        <v>0</v>
      </c>
      <c r="CT548" s="854">
        <v>0</v>
      </c>
      <c r="CU548" s="854">
        <v>0</v>
      </c>
      <c r="CV548" s="854">
        <v>0</v>
      </c>
      <c r="CW548" s="854">
        <v>0</v>
      </c>
      <c r="CX548" s="854">
        <v>0</v>
      </c>
      <c r="CY548" s="854">
        <v>0</v>
      </c>
      <c r="CZ548" s="854">
        <v>0</v>
      </c>
      <c r="DA548" s="854">
        <v>0</v>
      </c>
      <c r="DB548" s="854">
        <v>0</v>
      </c>
      <c r="DC548" s="854">
        <v>0</v>
      </c>
      <c r="DD548" s="854">
        <v>0</v>
      </c>
      <c r="DE548" s="854">
        <v>0</v>
      </c>
      <c r="DF548" s="854">
        <v>0</v>
      </c>
      <c r="DG548" s="854">
        <v>0</v>
      </c>
      <c r="DH548" s="1339">
        <v>0</v>
      </c>
      <c r="DI548" s="854">
        <v>0</v>
      </c>
      <c r="DJ548" s="854">
        <v>0</v>
      </c>
      <c r="DK548" s="1339">
        <v>0</v>
      </c>
      <c r="DL548" s="854">
        <v>0</v>
      </c>
      <c r="DM548" s="854">
        <v>0</v>
      </c>
      <c r="DN548" s="1339">
        <v>0</v>
      </c>
      <c r="DO548" s="854">
        <v>0</v>
      </c>
      <c r="DP548" s="854">
        <v>0</v>
      </c>
      <c r="DQ548" s="1339">
        <v>0</v>
      </c>
      <c r="DR548" s="854">
        <v>0</v>
      </c>
      <c r="DS548" s="854">
        <v>0</v>
      </c>
      <c r="DT548" s="1339">
        <v>0</v>
      </c>
      <c r="DU548" s="854"/>
      <c r="DV548" s="854"/>
      <c r="DW548" s="1339"/>
      <c r="DX548" s="854"/>
      <c r="DY548" s="854"/>
      <c r="DZ548" s="1339"/>
      <c r="EA548" s="854"/>
      <c r="EB548" s="854"/>
      <c r="EC548" s="1339"/>
      <c r="ED548" s="854"/>
      <c r="EE548" s="854"/>
      <c r="EF548" s="1339"/>
      <c r="EG548" s="854"/>
      <c r="EH548" s="854"/>
      <c r="EI548" s="1339"/>
      <c r="EJ548" s="854"/>
      <c r="EK548" s="854"/>
      <c r="EL548" s="1339"/>
      <c r="EM548" s="854"/>
      <c r="EN548" s="854"/>
      <c r="EO548" s="1339"/>
      <c r="EP548" s="854"/>
      <c r="EQ548" s="854"/>
      <c r="ER548" s="1339"/>
      <c r="ES548" s="854"/>
      <c r="ET548" s="854"/>
      <c r="EU548" s="1339"/>
      <c r="EV548" s="854"/>
      <c r="EW548" s="854"/>
      <c r="EX548" s="1339"/>
      <c r="EY548" s="854"/>
      <c r="EZ548" s="854"/>
      <c r="FA548" s="1339"/>
      <c r="FE548"/>
      <c r="FF548"/>
      <c r="FG548"/>
      <c r="FH548"/>
      <c r="FI548"/>
      <c r="FJ548"/>
      <c r="FK548" s="35"/>
    </row>
    <row r="549" spans="1:167" s="236" customFormat="1" ht="13.35" customHeight="1">
      <c r="A549" s="289"/>
      <c r="B549" s="401" t="s">
        <v>261</v>
      </c>
      <c r="C549" s="806"/>
      <c r="D549" s="289"/>
      <c r="E549" s="820"/>
      <c r="F549" s="820"/>
      <c r="G549" s="821"/>
      <c r="H549" s="820"/>
      <c r="I549" s="820"/>
      <c r="J549" s="821"/>
      <c r="K549" s="820"/>
      <c r="L549" s="820"/>
      <c r="M549" s="821"/>
      <c r="N549" s="820"/>
      <c r="O549" s="820"/>
      <c r="P549" s="821"/>
      <c r="Q549" s="809"/>
      <c r="R549" s="809"/>
      <c r="S549" s="810"/>
      <c r="T549" s="809"/>
      <c r="U549" s="809"/>
      <c r="V549" s="808"/>
      <c r="W549" s="807"/>
      <c r="X549" s="807"/>
      <c r="Y549" s="808"/>
      <c r="Z549" s="807"/>
      <c r="AA549" s="807"/>
      <c r="AB549" s="808"/>
      <c r="AC549" s="807"/>
      <c r="AD549" s="807"/>
      <c r="AE549" s="808"/>
      <c r="AF549" s="807"/>
      <c r="AG549" s="807"/>
      <c r="AH549" s="808"/>
      <c r="AI549" s="807"/>
      <c r="AJ549" s="807"/>
      <c r="AK549" s="808"/>
      <c r="AL549" s="807"/>
      <c r="AM549" s="807"/>
      <c r="AN549" s="808"/>
      <c r="AO549" s="807"/>
      <c r="AP549" s="807"/>
      <c r="AQ549" s="808"/>
      <c r="AR549" s="807"/>
      <c r="AS549" s="807"/>
      <c r="AT549" s="808"/>
      <c r="AU549" s="820"/>
      <c r="AV549" s="820"/>
      <c r="AW549" s="821"/>
      <c r="AX549" s="854">
        <v>0</v>
      </c>
      <c r="AY549" s="854">
        <v>0</v>
      </c>
      <c r="AZ549" s="854">
        <v>0</v>
      </c>
      <c r="BA549" s="854">
        <v>0</v>
      </c>
      <c r="BB549" s="854">
        <v>0</v>
      </c>
      <c r="BC549" s="854">
        <v>0</v>
      </c>
      <c r="BD549" s="854">
        <v>0</v>
      </c>
      <c r="BE549" s="854">
        <v>0</v>
      </c>
      <c r="BF549" s="854">
        <v>0</v>
      </c>
      <c r="BG549" s="854">
        <v>0</v>
      </c>
      <c r="BH549" s="854">
        <v>0</v>
      </c>
      <c r="BI549" s="854">
        <v>0</v>
      </c>
      <c r="BJ549" s="854">
        <v>0</v>
      </c>
      <c r="BK549" s="854">
        <v>0</v>
      </c>
      <c r="BL549" s="854">
        <v>0</v>
      </c>
      <c r="BM549" s="854">
        <v>0</v>
      </c>
      <c r="BN549" s="854">
        <v>0</v>
      </c>
      <c r="BO549" s="854">
        <v>0</v>
      </c>
      <c r="BP549" s="854">
        <v>0</v>
      </c>
      <c r="BQ549" s="854">
        <v>0</v>
      </c>
      <c r="BR549" s="854">
        <v>0</v>
      </c>
      <c r="BS549" s="854">
        <v>0</v>
      </c>
      <c r="BT549" s="854">
        <v>0</v>
      </c>
      <c r="BU549" s="854">
        <v>0</v>
      </c>
      <c r="BV549" s="854">
        <v>0</v>
      </c>
      <c r="BW549" s="854">
        <v>0</v>
      </c>
      <c r="BX549" s="854">
        <v>0</v>
      </c>
      <c r="BY549" s="854">
        <v>0</v>
      </c>
      <c r="BZ549" s="854">
        <v>0</v>
      </c>
      <c r="CA549" s="854">
        <v>0</v>
      </c>
      <c r="CB549" s="854">
        <v>0</v>
      </c>
      <c r="CC549" s="854">
        <v>0</v>
      </c>
      <c r="CD549" s="854">
        <v>0</v>
      </c>
      <c r="CE549" s="854">
        <v>0</v>
      </c>
      <c r="CF549" s="854">
        <v>0</v>
      </c>
      <c r="CG549" s="854">
        <v>0</v>
      </c>
      <c r="CH549" s="854">
        <v>0</v>
      </c>
      <c r="CI549" s="854">
        <v>0</v>
      </c>
      <c r="CJ549" s="854">
        <v>0</v>
      </c>
      <c r="CK549" s="854">
        <v>0</v>
      </c>
      <c r="CL549" s="854">
        <v>0</v>
      </c>
      <c r="CM549" s="854">
        <v>0</v>
      </c>
      <c r="CN549" s="854">
        <v>0</v>
      </c>
      <c r="CO549" s="854">
        <v>0</v>
      </c>
      <c r="CP549" s="854">
        <v>0</v>
      </c>
      <c r="CQ549" s="854">
        <v>0</v>
      </c>
      <c r="CR549" s="854">
        <v>0</v>
      </c>
      <c r="CS549" s="854">
        <v>0</v>
      </c>
      <c r="CT549" s="854">
        <v>0</v>
      </c>
      <c r="CU549" s="854">
        <v>0</v>
      </c>
      <c r="CV549" s="854">
        <v>0</v>
      </c>
      <c r="CW549" s="854">
        <v>0</v>
      </c>
      <c r="CX549" s="854">
        <v>0</v>
      </c>
      <c r="CY549" s="854">
        <v>0</v>
      </c>
      <c r="CZ549" s="854">
        <v>0</v>
      </c>
      <c r="DA549" s="854">
        <v>0</v>
      </c>
      <c r="DB549" s="854">
        <v>0</v>
      </c>
      <c r="DC549" s="854">
        <v>0</v>
      </c>
      <c r="DD549" s="854">
        <v>0</v>
      </c>
      <c r="DE549" s="854">
        <v>0</v>
      </c>
      <c r="DF549" s="854">
        <v>0</v>
      </c>
      <c r="DG549" s="854">
        <v>0</v>
      </c>
      <c r="DH549" s="1339">
        <v>0</v>
      </c>
      <c r="DI549" s="854">
        <v>0</v>
      </c>
      <c r="DJ549" s="854">
        <v>0</v>
      </c>
      <c r="DK549" s="1339">
        <v>0</v>
      </c>
      <c r="DL549" s="854">
        <v>0</v>
      </c>
      <c r="DM549" s="854">
        <v>0</v>
      </c>
      <c r="DN549" s="1339">
        <v>0</v>
      </c>
      <c r="DO549" s="854">
        <v>0</v>
      </c>
      <c r="DP549" s="854">
        <v>0</v>
      </c>
      <c r="DQ549" s="1339">
        <v>0</v>
      </c>
      <c r="DR549" s="854">
        <v>0</v>
      </c>
      <c r="DS549" s="854">
        <v>0</v>
      </c>
      <c r="DT549" s="1339">
        <v>0</v>
      </c>
      <c r="DU549" s="854"/>
      <c r="DV549" s="854"/>
      <c r="DW549" s="1339"/>
      <c r="DX549" s="854"/>
      <c r="DY549" s="854"/>
      <c r="DZ549" s="1339"/>
      <c r="EA549" s="854"/>
      <c r="EB549" s="854"/>
      <c r="EC549" s="1339"/>
      <c r="ED549" s="854"/>
      <c r="EE549" s="854"/>
      <c r="EF549" s="1339"/>
      <c r="EG549" s="854"/>
      <c r="EH549" s="854"/>
      <c r="EI549" s="1339"/>
      <c r="EJ549" s="854"/>
      <c r="EK549" s="854"/>
      <c r="EL549" s="1339"/>
      <c r="EM549" s="854"/>
      <c r="EN549" s="854"/>
      <c r="EO549" s="1339"/>
      <c r="EP549" s="854"/>
      <c r="EQ549" s="854"/>
      <c r="ER549" s="1339"/>
      <c r="ES549" s="854"/>
      <c r="ET549" s="854"/>
      <c r="EU549" s="1339"/>
      <c r="EV549" s="854"/>
      <c r="EW549" s="854"/>
      <c r="EX549" s="1339"/>
      <c r="EY549" s="854"/>
      <c r="EZ549" s="854"/>
      <c r="FA549" s="1339"/>
      <c r="FE549"/>
      <c r="FF549"/>
      <c r="FG549"/>
      <c r="FH549"/>
      <c r="FI549"/>
      <c r="FJ549"/>
      <c r="FK549" s="35"/>
    </row>
    <row r="550" spans="1:167" s="236" customFormat="1" ht="13.35" customHeight="1">
      <c r="A550" s="289"/>
      <c r="B550" s="401" t="s">
        <v>228</v>
      </c>
      <c r="C550" s="806"/>
      <c r="D550" s="289"/>
      <c r="E550" s="820"/>
      <c r="F550" s="820"/>
      <c r="G550" s="821"/>
      <c r="H550" s="820"/>
      <c r="I550" s="820"/>
      <c r="J550" s="821"/>
      <c r="K550" s="820"/>
      <c r="L550" s="820"/>
      <c r="M550" s="821"/>
      <c r="N550" s="820"/>
      <c r="O550" s="820"/>
      <c r="P550" s="821"/>
      <c r="Q550" s="809"/>
      <c r="R550" s="809"/>
      <c r="S550" s="810"/>
      <c r="T550" s="809"/>
      <c r="U550" s="809"/>
      <c r="V550" s="808"/>
      <c r="W550" s="807"/>
      <c r="X550" s="807"/>
      <c r="Y550" s="808"/>
      <c r="Z550" s="807"/>
      <c r="AA550" s="807"/>
      <c r="AB550" s="808"/>
      <c r="AC550" s="807"/>
      <c r="AD550" s="807"/>
      <c r="AE550" s="808"/>
      <c r="AF550" s="807"/>
      <c r="AG550" s="807"/>
      <c r="AH550" s="808"/>
      <c r="AI550" s="807"/>
      <c r="AJ550" s="807"/>
      <c r="AK550" s="808"/>
      <c r="AL550" s="807"/>
      <c r="AM550" s="807"/>
      <c r="AN550" s="808"/>
      <c r="AO550" s="807"/>
      <c r="AP550" s="807"/>
      <c r="AQ550" s="808"/>
      <c r="AR550" s="807"/>
      <c r="AS550" s="807"/>
      <c r="AT550" s="808"/>
      <c r="AU550" s="820"/>
      <c r="AV550" s="820"/>
      <c r="AW550" s="821"/>
      <c r="AX550" s="854">
        <v>0</v>
      </c>
      <c r="AY550" s="854">
        <v>0</v>
      </c>
      <c r="AZ550" s="854">
        <v>0</v>
      </c>
      <c r="BA550" s="854">
        <v>0</v>
      </c>
      <c r="BB550" s="854">
        <v>0</v>
      </c>
      <c r="BC550" s="854">
        <v>0</v>
      </c>
      <c r="BD550" s="854">
        <v>0</v>
      </c>
      <c r="BE550" s="854">
        <v>0</v>
      </c>
      <c r="BF550" s="854">
        <v>0</v>
      </c>
      <c r="BG550" s="854">
        <v>0</v>
      </c>
      <c r="BH550" s="854">
        <v>0</v>
      </c>
      <c r="BI550" s="854">
        <v>0</v>
      </c>
      <c r="BJ550" s="854">
        <v>0</v>
      </c>
      <c r="BK550" s="854">
        <v>0</v>
      </c>
      <c r="BL550" s="854">
        <v>0</v>
      </c>
      <c r="BM550" s="854">
        <v>0</v>
      </c>
      <c r="BN550" s="854">
        <v>0</v>
      </c>
      <c r="BO550" s="854">
        <v>0</v>
      </c>
      <c r="BP550" s="854">
        <v>0</v>
      </c>
      <c r="BQ550" s="854">
        <v>0</v>
      </c>
      <c r="BR550" s="854">
        <v>0</v>
      </c>
      <c r="BS550" s="854">
        <v>0</v>
      </c>
      <c r="BT550" s="854">
        <v>0</v>
      </c>
      <c r="BU550" s="854">
        <v>0</v>
      </c>
      <c r="BV550" s="854">
        <v>0</v>
      </c>
      <c r="BW550" s="854">
        <v>0</v>
      </c>
      <c r="BX550" s="854">
        <v>0</v>
      </c>
      <c r="BY550" s="854">
        <v>0</v>
      </c>
      <c r="BZ550" s="854">
        <v>0</v>
      </c>
      <c r="CA550" s="854">
        <v>0</v>
      </c>
      <c r="CB550" s="854">
        <v>0</v>
      </c>
      <c r="CC550" s="854">
        <v>0</v>
      </c>
      <c r="CD550" s="854">
        <v>0</v>
      </c>
      <c r="CE550" s="854">
        <v>0</v>
      </c>
      <c r="CF550" s="854">
        <v>0</v>
      </c>
      <c r="CG550" s="854">
        <v>0</v>
      </c>
      <c r="CH550" s="854">
        <v>0</v>
      </c>
      <c r="CI550" s="854">
        <v>0</v>
      </c>
      <c r="CJ550" s="854">
        <v>0</v>
      </c>
      <c r="CK550" s="854">
        <v>0</v>
      </c>
      <c r="CL550" s="854">
        <v>0</v>
      </c>
      <c r="CM550" s="854">
        <v>0</v>
      </c>
      <c r="CN550" s="854">
        <v>0</v>
      </c>
      <c r="CO550" s="854">
        <v>0</v>
      </c>
      <c r="CP550" s="854">
        <v>0</v>
      </c>
      <c r="CQ550" s="854">
        <v>0</v>
      </c>
      <c r="CR550" s="854">
        <v>0</v>
      </c>
      <c r="CS550" s="854">
        <v>0</v>
      </c>
      <c r="CT550" s="854">
        <v>0</v>
      </c>
      <c r="CU550" s="854">
        <v>0</v>
      </c>
      <c r="CV550" s="854">
        <v>0</v>
      </c>
      <c r="CW550" s="854">
        <v>0</v>
      </c>
      <c r="CX550" s="854">
        <v>0</v>
      </c>
      <c r="CY550" s="854">
        <v>0</v>
      </c>
      <c r="CZ550" s="854">
        <v>0</v>
      </c>
      <c r="DA550" s="854">
        <v>0</v>
      </c>
      <c r="DB550" s="854">
        <v>0</v>
      </c>
      <c r="DC550" s="854">
        <v>0</v>
      </c>
      <c r="DD550" s="854">
        <v>0</v>
      </c>
      <c r="DE550" s="854">
        <v>0</v>
      </c>
      <c r="DF550" s="854">
        <v>0</v>
      </c>
      <c r="DG550" s="854">
        <v>0</v>
      </c>
      <c r="DH550" s="1339">
        <v>0</v>
      </c>
      <c r="DI550" s="854">
        <v>0</v>
      </c>
      <c r="DJ550" s="854">
        <v>0</v>
      </c>
      <c r="DK550" s="1339">
        <v>0</v>
      </c>
      <c r="DL550" s="854">
        <v>0</v>
      </c>
      <c r="DM550" s="854">
        <v>0</v>
      </c>
      <c r="DN550" s="1339">
        <v>0</v>
      </c>
      <c r="DO550" s="854">
        <v>0</v>
      </c>
      <c r="DP550" s="854">
        <v>0</v>
      </c>
      <c r="DQ550" s="1339">
        <v>0</v>
      </c>
      <c r="DR550" s="854">
        <v>0</v>
      </c>
      <c r="DS550" s="854">
        <v>0</v>
      </c>
      <c r="DT550" s="1339">
        <v>0</v>
      </c>
      <c r="DU550" s="854"/>
      <c r="DV550" s="854"/>
      <c r="DW550" s="1339"/>
      <c r="DX550" s="854"/>
      <c r="DY550" s="854"/>
      <c r="DZ550" s="1339"/>
      <c r="EA550" s="854"/>
      <c r="EB550" s="854"/>
      <c r="EC550" s="1339"/>
      <c r="ED550" s="854"/>
      <c r="EE550" s="854"/>
      <c r="EF550" s="1339"/>
      <c r="EG550" s="854"/>
      <c r="EH550" s="854"/>
      <c r="EI550" s="1339"/>
      <c r="EJ550" s="854"/>
      <c r="EK550" s="854"/>
      <c r="EL550" s="1339"/>
      <c r="EM550" s="854"/>
      <c r="EN550" s="854"/>
      <c r="EO550" s="1339"/>
      <c r="EP550" s="854"/>
      <c r="EQ550" s="854"/>
      <c r="ER550" s="1339"/>
      <c r="ES550" s="854"/>
      <c r="ET550" s="854"/>
      <c r="EU550" s="1339"/>
      <c r="EV550" s="854"/>
      <c r="EW550" s="854"/>
      <c r="EX550" s="1339"/>
      <c r="EY550" s="854"/>
      <c r="EZ550" s="854"/>
      <c r="FA550" s="1339"/>
      <c r="FE550"/>
      <c r="FF550"/>
      <c r="FG550"/>
      <c r="FH550"/>
      <c r="FI550"/>
      <c r="FJ550"/>
      <c r="FK550" s="35"/>
    </row>
    <row r="551" spans="1:167" s="236" customFormat="1" ht="13.35" customHeight="1">
      <c r="A551" s="289"/>
      <c r="B551" s="401" t="s">
        <v>242</v>
      </c>
      <c r="C551" s="806"/>
      <c r="D551" s="289"/>
      <c r="E551" s="820"/>
      <c r="F551" s="820"/>
      <c r="G551" s="821"/>
      <c r="H551" s="820"/>
      <c r="I551" s="820"/>
      <c r="J551" s="821"/>
      <c r="K551" s="820"/>
      <c r="L551" s="820"/>
      <c r="M551" s="821"/>
      <c r="N551" s="820"/>
      <c r="O551" s="820"/>
      <c r="P551" s="821"/>
      <c r="Q551" s="809"/>
      <c r="R551" s="809"/>
      <c r="S551" s="810"/>
      <c r="T551" s="809"/>
      <c r="U551" s="809"/>
      <c r="V551" s="808"/>
      <c r="W551" s="807"/>
      <c r="X551" s="807"/>
      <c r="Y551" s="808"/>
      <c r="Z551" s="807"/>
      <c r="AA551" s="807"/>
      <c r="AB551" s="808"/>
      <c r="AC551" s="807"/>
      <c r="AD551" s="807"/>
      <c r="AE551" s="808"/>
      <c r="AF551" s="807"/>
      <c r="AG551" s="807"/>
      <c r="AH551" s="808"/>
      <c r="AI551" s="807"/>
      <c r="AJ551" s="807"/>
      <c r="AK551" s="808"/>
      <c r="AL551" s="807"/>
      <c r="AM551" s="807"/>
      <c r="AN551" s="808"/>
      <c r="AO551" s="807"/>
      <c r="AP551" s="807"/>
      <c r="AQ551" s="808"/>
      <c r="AR551" s="807"/>
      <c r="AS551" s="807"/>
      <c r="AT551" s="808"/>
      <c r="AU551" s="820"/>
      <c r="AV551" s="820"/>
      <c r="AW551" s="821"/>
      <c r="AX551" s="854">
        <v>0</v>
      </c>
      <c r="AY551" s="854">
        <v>0</v>
      </c>
      <c r="AZ551" s="854">
        <v>0</v>
      </c>
      <c r="BA551" s="854">
        <v>0</v>
      </c>
      <c r="BB551" s="854">
        <v>0</v>
      </c>
      <c r="BC551" s="854">
        <v>0</v>
      </c>
      <c r="BD551" s="854">
        <v>0</v>
      </c>
      <c r="BE551" s="854">
        <v>0</v>
      </c>
      <c r="BF551" s="854">
        <v>0</v>
      </c>
      <c r="BG551" s="854">
        <v>0</v>
      </c>
      <c r="BH551" s="854">
        <v>0</v>
      </c>
      <c r="BI551" s="854">
        <v>0</v>
      </c>
      <c r="BJ551" s="854">
        <v>0</v>
      </c>
      <c r="BK551" s="854">
        <v>0</v>
      </c>
      <c r="BL551" s="854">
        <v>0</v>
      </c>
      <c r="BM551" s="854">
        <v>0</v>
      </c>
      <c r="BN551" s="854">
        <v>0</v>
      </c>
      <c r="BO551" s="854">
        <v>0</v>
      </c>
      <c r="BP551" s="854">
        <v>0</v>
      </c>
      <c r="BQ551" s="854">
        <v>0</v>
      </c>
      <c r="BR551" s="854">
        <v>0</v>
      </c>
      <c r="BS551" s="854">
        <v>0</v>
      </c>
      <c r="BT551" s="854">
        <v>0</v>
      </c>
      <c r="BU551" s="854">
        <v>0</v>
      </c>
      <c r="BV551" s="854">
        <v>0</v>
      </c>
      <c r="BW551" s="854">
        <v>0</v>
      </c>
      <c r="BX551" s="854">
        <v>0</v>
      </c>
      <c r="BY551" s="854">
        <v>0</v>
      </c>
      <c r="BZ551" s="854">
        <v>0</v>
      </c>
      <c r="CA551" s="854">
        <v>0</v>
      </c>
      <c r="CB551" s="854">
        <v>0</v>
      </c>
      <c r="CC551" s="854">
        <v>0</v>
      </c>
      <c r="CD551" s="854">
        <v>0</v>
      </c>
      <c r="CE551" s="854">
        <v>0</v>
      </c>
      <c r="CF551" s="854">
        <v>0</v>
      </c>
      <c r="CG551" s="854">
        <v>0</v>
      </c>
      <c r="CH551" s="854">
        <v>0</v>
      </c>
      <c r="CI551" s="854">
        <v>0</v>
      </c>
      <c r="CJ551" s="854">
        <v>0</v>
      </c>
      <c r="CK551" s="854">
        <v>0</v>
      </c>
      <c r="CL551" s="854">
        <v>0</v>
      </c>
      <c r="CM551" s="854">
        <v>0</v>
      </c>
      <c r="CN551" s="854">
        <v>0</v>
      </c>
      <c r="CO551" s="854">
        <v>0</v>
      </c>
      <c r="CP551" s="854">
        <v>0</v>
      </c>
      <c r="CQ551" s="854">
        <v>0</v>
      </c>
      <c r="CR551" s="854">
        <v>0</v>
      </c>
      <c r="CS551" s="854">
        <v>0</v>
      </c>
      <c r="CT551" s="854">
        <v>0</v>
      </c>
      <c r="CU551" s="854">
        <v>0</v>
      </c>
      <c r="CV551" s="854">
        <v>0</v>
      </c>
      <c r="CW551" s="854">
        <v>0</v>
      </c>
      <c r="CX551" s="854">
        <v>0</v>
      </c>
      <c r="CY551" s="854">
        <v>0</v>
      </c>
      <c r="CZ551" s="854">
        <v>0</v>
      </c>
      <c r="DA551" s="854">
        <v>0</v>
      </c>
      <c r="DB551" s="854">
        <v>0</v>
      </c>
      <c r="DC551" s="854">
        <v>0</v>
      </c>
      <c r="DD551" s="854">
        <v>0</v>
      </c>
      <c r="DE551" s="854">
        <v>0</v>
      </c>
      <c r="DF551" s="854">
        <v>0</v>
      </c>
      <c r="DG551" s="854">
        <v>0</v>
      </c>
      <c r="DH551" s="1339">
        <v>0</v>
      </c>
      <c r="DI551" s="854">
        <v>0</v>
      </c>
      <c r="DJ551" s="854">
        <v>0</v>
      </c>
      <c r="DK551" s="1339">
        <v>0</v>
      </c>
      <c r="DL551" s="854">
        <v>0</v>
      </c>
      <c r="DM551" s="854">
        <v>0</v>
      </c>
      <c r="DN551" s="1339">
        <v>0</v>
      </c>
      <c r="DO551" s="854">
        <v>0</v>
      </c>
      <c r="DP551" s="854">
        <v>0</v>
      </c>
      <c r="DQ551" s="1339">
        <v>0</v>
      </c>
      <c r="DR551" s="854">
        <v>0</v>
      </c>
      <c r="DS551" s="854">
        <v>0</v>
      </c>
      <c r="DT551" s="1339">
        <v>0</v>
      </c>
      <c r="DU551" s="854"/>
      <c r="DV551" s="854"/>
      <c r="DW551" s="1339"/>
      <c r="DX551" s="854"/>
      <c r="DY551" s="854"/>
      <c r="DZ551" s="1339"/>
      <c r="EA551" s="854"/>
      <c r="EB551" s="854"/>
      <c r="EC551" s="1339"/>
      <c r="ED551" s="854"/>
      <c r="EE551" s="854"/>
      <c r="EF551" s="1339"/>
      <c r="EG551" s="854"/>
      <c r="EH551" s="854"/>
      <c r="EI551" s="1339"/>
      <c r="EJ551" s="854"/>
      <c r="EK551" s="854"/>
      <c r="EL551" s="1339"/>
      <c r="EM551" s="854"/>
      <c r="EN551" s="854"/>
      <c r="EO551" s="1339"/>
      <c r="EP551" s="854"/>
      <c r="EQ551" s="854"/>
      <c r="ER551" s="1339"/>
      <c r="ES551" s="854"/>
      <c r="ET551" s="854"/>
      <c r="EU551" s="1339"/>
      <c r="EV551" s="854"/>
      <c r="EW551" s="854"/>
      <c r="EX551" s="1339"/>
      <c r="EY551" s="854"/>
      <c r="EZ551" s="854"/>
      <c r="FA551" s="1339"/>
      <c r="FE551"/>
      <c r="FF551"/>
      <c r="FG551"/>
      <c r="FH551"/>
      <c r="FI551"/>
      <c r="FJ551"/>
      <c r="FK551" s="35"/>
    </row>
    <row r="552" spans="1:167" s="236" customFormat="1" ht="12.75" customHeight="1">
      <c r="A552" s="289"/>
      <c r="B552" s="401" t="s">
        <v>230</v>
      </c>
      <c r="C552" s="806"/>
      <c r="D552" s="289"/>
      <c r="E552" s="820"/>
      <c r="F552" s="820"/>
      <c r="G552" s="821"/>
      <c r="H552" s="820"/>
      <c r="I552" s="820"/>
      <c r="J552" s="821"/>
      <c r="K552" s="820"/>
      <c r="L552" s="820"/>
      <c r="M552" s="821"/>
      <c r="N552" s="820"/>
      <c r="O552" s="820"/>
      <c r="P552" s="821"/>
      <c r="Q552" s="809"/>
      <c r="R552" s="809"/>
      <c r="S552" s="810"/>
      <c r="T552" s="809"/>
      <c r="U552" s="809"/>
      <c r="V552" s="808"/>
      <c r="W552" s="807"/>
      <c r="X552" s="807"/>
      <c r="Y552" s="808"/>
      <c r="Z552" s="807"/>
      <c r="AA552" s="807"/>
      <c r="AB552" s="808"/>
      <c r="AC552" s="807"/>
      <c r="AD552" s="807"/>
      <c r="AE552" s="808"/>
      <c r="AF552" s="807"/>
      <c r="AG552" s="807"/>
      <c r="AH552" s="808"/>
      <c r="AI552" s="807"/>
      <c r="AJ552" s="807"/>
      <c r="AK552" s="808"/>
      <c r="AL552" s="807"/>
      <c r="AM552" s="807"/>
      <c r="AN552" s="808"/>
      <c r="AO552" s="807"/>
      <c r="AP552" s="807"/>
      <c r="AQ552" s="808"/>
      <c r="AR552" s="807"/>
      <c r="AS552" s="807"/>
      <c r="AT552" s="808"/>
      <c r="AU552" s="820"/>
      <c r="AV552" s="820"/>
      <c r="AW552" s="821"/>
      <c r="AX552" s="855">
        <f>AX545-(AX546*AX547)-(AX548*AX549)+(AX550*AX551)</f>
        <v>1.8440000000000001</v>
      </c>
      <c r="AY552" s="855">
        <f t="shared" ref="AY552:DJ552" si="1362">AY545-(AY546*AY547)-(AY548*AY549)+(AY550*AY551)</f>
        <v>0</v>
      </c>
      <c r="AZ552" s="855">
        <f t="shared" si="1362"/>
        <v>0</v>
      </c>
      <c r="BA552" s="855">
        <f t="shared" si="1362"/>
        <v>0</v>
      </c>
      <c r="BB552" s="855">
        <f t="shared" si="1362"/>
        <v>0</v>
      </c>
      <c r="BC552" s="855">
        <f t="shared" si="1362"/>
        <v>0</v>
      </c>
      <c r="BD552" s="855">
        <f t="shared" si="1362"/>
        <v>0</v>
      </c>
      <c r="BE552" s="855">
        <f t="shared" si="1362"/>
        <v>0</v>
      </c>
      <c r="BF552" s="855">
        <f t="shared" si="1362"/>
        <v>0</v>
      </c>
      <c r="BG552" s="855">
        <f t="shared" si="1362"/>
        <v>0</v>
      </c>
      <c r="BH552" s="855">
        <f t="shared" si="1362"/>
        <v>0</v>
      </c>
      <c r="BI552" s="855">
        <f t="shared" si="1362"/>
        <v>0</v>
      </c>
      <c r="BJ552" s="855">
        <f t="shared" si="1362"/>
        <v>0</v>
      </c>
      <c r="BK552" s="855">
        <f t="shared" si="1362"/>
        <v>0</v>
      </c>
      <c r="BL552" s="855">
        <f t="shared" si="1362"/>
        <v>0</v>
      </c>
      <c r="BM552" s="855">
        <f t="shared" si="1362"/>
        <v>0</v>
      </c>
      <c r="BN552" s="855">
        <f t="shared" si="1362"/>
        <v>0</v>
      </c>
      <c r="BO552" s="855">
        <f t="shared" si="1362"/>
        <v>0</v>
      </c>
      <c r="BP552" s="855">
        <f t="shared" si="1362"/>
        <v>0</v>
      </c>
      <c r="BQ552" s="855">
        <f t="shared" si="1362"/>
        <v>0</v>
      </c>
      <c r="BR552" s="855">
        <f t="shared" si="1362"/>
        <v>0</v>
      </c>
      <c r="BS552" s="855">
        <f t="shared" si="1362"/>
        <v>0</v>
      </c>
      <c r="BT552" s="855">
        <f t="shared" si="1362"/>
        <v>0</v>
      </c>
      <c r="BU552" s="855">
        <f t="shared" si="1362"/>
        <v>0</v>
      </c>
      <c r="BV552" s="855">
        <f t="shared" si="1362"/>
        <v>0</v>
      </c>
      <c r="BW552" s="855">
        <f t="shared" si="1362"/>
        <v>0</v>
      </c>
      <c r="BX552" s="855">
        <f t="shared" si="1362"/>
        <v>0</v>
      </c>
      <c r="BY552" s="855">
        <f t="shared" si="1362"/>
        <v>0</v>
      </c>
      <c r="BZ552" s="855">
        <f t="shared" si="1362"/>
        <v>0</v>
      </c>
      <c r="CA552" s="855">
        <f t="shared" si="1362"/>
        <v>0</v>
      </c>
      <c r="CB552" s="855">
        <f t="shared" si="1362"/>
        <v>0</v>
      </c>
      <c r="CC552" s="855">
        <f t="shared" si="1362"/>
        <v>0</v>
      </c>
      <c r="CD552" s="855">
        <f t="shared" si="1362"/>
        <v>0</v>
      </c>
      <c r="CE552" s="855">
        <f t="shared" si="1362"/>
        <v>0</v>
      </c>
      <c r="CF552" s="855">
        <f t="shared" si="1362"/>
        <v>0</v>
      </c>
      <c r="CG552" s="855">
        <f t="shared" si="1362"/>
        <v>0</v>
      </c>
      <c r="CH552" s="855">
        <f t="shared" si="1362"/>
        <v>0</v>
      </c>
      <c r="CI552" s="855">
        <f t="shared" si="1362"/>
        <v>0</v>
      </c>
      <c r="CJ552" s="855">
        <f t="shared" si="1362"/>
        <v>0</v>
      </c>
      <c r="CK552" s="855">
        <f t="shared" si="1362"/>
        <v>0</v>
      </c>
      <c r="CL552" s="855">
        <f t="shared" si="1362"/>
        <v>0</v>
      </c>
      <c r="CM552" s="855">
        <f t="shared" si="1362"/>
        <v>0</v>
      </c>
      <c r="CN552" s="855">
        <f t="shared" si="1362"/>
        <v>0</v>
      </c>
      <c r="CO552" s="855">
        <f t="shared" si="1362"/>
        <v>0</v>
      </c>
      <c r="CP552" s="855">
        <f t="shared" si="1362"/>
        <v>0</v>
      </c>
      <c r="CQ552" s="855">
        <f t="shared" si="1362"/>
        <v>0</v>
      </c>
      <c r="CR552" s="855">
        <f t="shared" si="1362"/>
        <v>0</v>
      </c>
      <c r="CS552" s="855">
        <f t="shared" si="1362"/>
        <v>0</v>
      </c>
      <c r="CT552" s="855">
        <f t="shared" si="1362"/>
        <v>0</v>
      </c>
      <c r="CU552" s="855">
        <f t="shared" si="1362"/>
        <v>0</v>
      </c>
      <c r="CV552" s="855">
        <f t="shared" si="1362"/>
        <v>0</v>
      </c>
      <c r="CW552" s="855">
        <f t="shared" si="1362"/>
        <v>0</v>
      </c>
      <c r="CX552" s="855">
        <f t="shared" si="1362"/>
        <v>0</v>
      </c>
      <c r="CY552" s="855">
        <f t="shared" si="1362"/>
        <v>0</v>
      </c>
      <c r="CZ552" s="855">
        <f t="shared" si="1362"/>
        <v>0</v>
      </c>
      <c r="DA552" s="855">
        <f t="shared" si="1362"/>
        <v>0</v>
      </c>
      <c r="DB552" s="855">
        <f t="shared" si="1362"/>
        <v>0</v>
      </c>
      <c r="DC552" s="855">
        <f t="shared" si="1362"/>
        <v>0</v>
      </c>
      <c r="DD552" s="855">
        <f t="shared" si="1362"/>
        <v>0</v>
      </c>
      <c r="DE552" s="855">
        <f t="shared" si="1362"/>
        <v>0</v>
      </c>
      <c r="DF552" s="855">
        <f t="shared" si="1362"/>
        <v>0</v>
      </c>
      <c r="DG552" s="855">
        <f t="shared" si="1362"/>
        <v>0</v>
      </c>
      <c r="DH552" s="1338">
        <f t="shared" si="1362"/>
        <v>0</v>
      </c>
      <c r="DI552" s="855">
        <f t="shared" si="1362"/>
        <v>0</v>
      </c>
      <c r="DJ552" s="855">
        <f t="shared" si="1362"/>
        <v>0</v>
      </c>
      <c r="DK552" s="1338">
        <f>DK545-(DK546*DK547)-(DK548*DK549)+(DK550*DK551)</f>
        <v>0</v>
      </c>
      <c r="DL552" s="855">
        <f>DL545-(DL546*DL547)-(DL548*DL549)+(DL550*DL551)</f>
        <v>0</v>
      </c>
      <c r="DM552" s="855">
        <f>DM545-(DM546*DM547)-(DM548*DM549)+(DM550*DM551)</f>
        <v>0</v>
      </c>
      <c r="DN552" s="1338">
        <f>DN545-(DN546*DN547)-(DN548*DN549)+(DN550*DN551)</f>
        <v>0</v>
      </c>
      <c r="DO552" s="855">
        <f t="shared" ref="DO552:DT552" si="1363">DO545-(DO546*DO547)-(DO548*DO549)+(DO550*DO551)</f>
        <v>0</v>
      </c>
      <c r="DP552" s="855">
        <f t="shared" si="1363"/>
        <v>0</v>
      </c>
      <c r="DQ552" s="1338">
        <f t="shared" si="1363"/>
        <v>0</v>
      </c>
      <c r="DR552" s="855">
        <f t="shared" si="1363"/>
        <v>0</v>
      </c>
      <c r="DS552" s="855">
        <f t="shared" si="1363"/>
        <v>0</v>
      </c>
      <c r="DT552" s="1338">
        <f t="shared" si="1363"/>
        <v>0</v>
      </c>
      <c r="DU552" s="855"/>
      <c r="DV552" s="855"/>
      <c r="DW552" s="1338"/>
      <c r="DX552" s="855"/>
      <c r="DY552" s="855"/>
      <c r="DZ552" s="1338"/>
      <c r="EA552" s="855"/>
      <c r="EB552" s="855"/>
      <c r="EC552" s="1338"/>
      <c r="ED552" s="855"/>
      <c r="EE552" s="855"/>
      <c r="EF552" s="1338"/>
      <c r="EG552" s="855"/>
      <c r="EH552" s="855"/>
      <c r="EI552" s="1338"/>
      <c r="EJ552" s="855"/>
      <c r="EK552" s="855"/>
      <c r="EL552" s="1338"/>
      <c r="EM552" s="855"/>
      <c r="EN552" s="855"/>
      <c r="EO552" s="1338"/>
      <c r="EP552" s="855"/>
      <c r="EQ552" s="855"/>
      <c r="ER552" s="1338"/>
      <c r="ES552" s="855"/>
      <c r="ET552" s="855"/>
      <c r="EU552" s="1338"/>
      <c r="EV552" s="855"/>
      <c r="EW552" s="855"/>
      <c r="EX552" s="1338"/>
      <c r="EY552" s="855"/>
      <c r="EZ552" s="855"/>
      <c r="FA552" s="1338"/>
      <c r="FE552"/>
      <c r="FF552"/>
      <c r="FG552"/>
      <c r="FH552"/>
      <c r="FI552"/>
      <c r="FJ552"/>
      <c r="FK552" s="35"/>
    </row>
    <row r="553" spans="1:167" s="236" customFormat="1" ht="13.35" customHeight="1">
      <c r="A553" s="289"/>
      <c r="B553" s="401" t="s">
        <v>229</v>
      </c>
      <c r="C553" s="806"/>
      <c r="D553" s="289"/>
      <c r="E553" s="820"/>
      <c r="F553" s="820"/>
      <c r="G553" s="821"/>
      <c r="H553" s="820"/>
      <c r="I553" s="820"/>
      <c r="J553" s="821"/>
      <c r="K553" s="820"/>
      <c r="L553" s="820"/>
      <c r="M553" s="821"/>
      <c r="N553" s="820"/>
      <c r="O553" s="820"/>
      <c r="P553" s="821"/>
      <c r="Q553" s="809"/>
      <c r="R553" s="809"/>
      <c r="S553" s="810"/>
      <c r="T553" s="809"/>
      <c r="U553" s="809"/>
      <c r="V553" s="808"/>
      <c r="W553" s="807"/>
      <c r="X553" s="807"/>
      <c r="Y553" s="808"/>
      <c r="Z553" s="807"/>
      <c r="AA553" s="807"/>
      <c r="AB553" s="808"/>
      <c r="AC553" s="807"/>
      <c r="AD553" s="807"/>
      <c r="AE553" s="808"/>
      <c r="AF553" s="807"/>
      <c r="AG553" s="807"/>
      <c r="AH553" s="808"/>
      <c r="AI553" s="807"/>
      <c r="AJ553" s="807"/>
      <c r="AK553" s="808"/>
      <c r="AL553" s="807"/>
      <c r="AM553" s="807"/>
      <c r="AN553" s="808"/>
      <c r="AO553" s="807"/>
      <c r="AP553" s="807"/>
      <c r="AQ553" s="808"/>
      <c r="AR553" s="807"/>
      <c r="AS553" s="807"/>
      <c r="AT553" s="808"/>
      <c r="AU553" s="820"/>
      <c r="AV553" s="820"/>
      <c r="AW553" s="821"/>
      <c r="AX553" s="855">
        <f>AX545-AX546-AX548+AX550</f>
        <v>1.8440000000000001</v>
      </c>
      <c r="AY553" s="855">
        <f t="shared" ref="AY553:DJ553" si="1364">AY545-AY546-AY548+AY550</f>
        <v>0</v>
      </c>
      <c r="AZ553" s="855">
        <f t="shared" si="1364"/>
        <v>0</v>
      </c>
      <c r="BA553" s="855">
        <f t="shared" si="1364"/>
        <v>0</v>
      </c>
      <c r="BB553" s="855">
        <f t="shared" si="1364"/>
        <v>0</v>
      </c>
      <c r="BC553" s="855">
        <f t="shared" si="1364"/>
        <v>0</v>
      </c>
      <c r="BD553" s="855">
        <f t="shared" si="1364"/>
        <v>0</v>
      </c>
      <c r="BE553" s="855">
        <f t="shared" si="1364"/>
        <v>0</v>
      </c>
      <c r="BF553" s="855">
        <f t="shared" si="1364"/>
        <v>0</v>
      </c>
      <c r="BG553" s="855">
        <f t="shared" si="1364"/>
        <v>0</v>
      </c>
      <c r="BH553" s="855">
        <f t="shared" si="1364"/>
        <v>0</v>
      </c>
      <c r="BI553" s="855">
        <f t="shared" si="1364"/>
        <v>0</v>
      </c>
      <c r="BJ553" s="855">
        <f t="shared" si="1364"/>
        <v>0</v>
      </c>
      <c r="BK553" s="855">
        <f t="shared" si="1364"/>
        <v>0</v>
      </c>
      <c r="BL553" s="855">
        <f t="shared" si="1364"/>
        <v>0</v>
      </c>
      <c r="BM553" s="855">
        <f t="shared" si="1364"/>
        <v>0</v>
      </c>
      <c r="BN553" s="855">
        <f t="shared" si="1364"/>
        <v>0</v>
      </c>
      <c r="BO553" s="855">
        <f t="shared" si="1364"/>
        <v>0</v>
      </c>
      <c r="BP553" s="855">
        <f t="shared" si="1364"/>
        <v>0</v>
      </c>
      <c r="BQ553" s="855">
        <f t="shared" si="1364"/>
        <v>0</v>
      </c>
      <c r="BR553" s="855">
        <f t="shared" si="1364"/>
        <v>0</v>
      </c>
      <c r="BS553" s="855">
        <f t="shared" si="1364"/>
        <v>0</v>
      </c>
      <c r="BT553" s="855">
        <f t="shared" si="1364"/>
        <v>0</v>
      </c>
      <c r="BU553" s="855">
        <f t="shared" si="1364"/>
        <v>0</v>
      </c>
      <c r="BV553" s="855">
        <f t="shared" si="1364"/>
        <v>0</v>
      </c>
      <c r="BW553" s="855">
        <f t="shared" si="1364"/>
        <v>0</v>
      </c>
      <c r="BX553" s="855">
        <f t="shared" si="1364"/>
        <v>0</v>
      </c>
      <c r="BY553" s="855">
        <f t="shared" si="1364"/>
        <v>0</v>
      </c>
      <c r="BZ553" s="855">
        <f t="shared" si="1364"/>
        <v>0</v>
      </c>
      <c r="CA553" s="855">
        <f t="shared" si="1364"/>
        <v>0</v>
      </c>
      <c r="CB553" s="855">
        <f t="shared" si="1364"/>
        <v>0</v>
      </c>
      <c r="CC553" s="855">
        <f t="shared" si="1364"/>
        <v>0</v>
      </c>
      <c r="CD553" s="855">
        <f t="shared" si="1364"/>
        <v>0</v>
      </c>
      <c r="CE553" s="855">
        <f t="shared" si="1364"/>
        <v>0</v>
      </c>
      <c r="CF553" s="855">
        <f t="shared" si="1364"/>
        <v>0</v>
      </c>
      <c r="CG553" s="855">
        <f t="shared" si="1364"/>
        <v>0</v>
      </c>
      <c r="CH553" s="855">
        <f t="shared" si="1364"/>
        <v>0</v>
      </c>
      <c r="CI553" s="855">
        <f t="shared" si="1364"/>
        <v>0</v>
      </c>
      <c r="CJ553" s="855">
        <f t="shared" si="1364"/>
        <v>0</v>
      </c>
      <c r="CK553" s="855">
        <f t="shared" si="1364"/>
        <v>0</v>
      </c>
      <c r="CL553" s="855">
        <f t="shared" si="1364"/>
        <v>0</v>
      </c>
      <c r="CM553" s="855">
        <f t="shared" si="1364"/>
        <v>0</v>
      </c>
      <c r="CN553" s="855">
        <f t="shared" si="1364"/>
        <v>0</v>
      </c>
      <c r="CO553" s="855">
        <f t="shared" si="1364"/>
        <v>0</v>
      </c>
      <c r="CP553" s="855">
        <f t="shared" si="1364"/>
        <v>0</v>
      </c>
      <c r="CQ553" s="855">
        <f t="shared" si="1364"/>
        <v>0</v>
      </c>
      <c r="CR553" s="855">
        <f t="shared" si="1364"/>
        <v>0</v>
      </c>
      <c r="CS553" s="855">
        <f t="shared" si="1364"/>
        <v>0</v>
      </c>
      <c r="CT553" s="855">
        <f t="shared" si="1364"/>
        <v>0</v>
      </c>
      <c r="CU553" s="855">
        <f t="shared" si="1364"/>
        <v>0</v>
      </c>
      <c r="CV553" s="855">
        <f t="shared" si="1364"/>
        <v>0</v>
      </c>
      <c r="CW553" s="855">
        <f t="shared" si="1364"/>
        <v>0</v>
      </c>
      <c r="CX553" s="855">
        <f t="shared" si="1364"/>
        <v>0</v>
      </c>
      <c r="CY553" s="855">
        <f t="shared" si="1364"/>
        <v>0</v>
      </c>
      <c r="CZ553" s="855">
        <f t="shared" si="1364"/>
        <v>0</v>
      </c>
      <c r="DA553" s="855">
        <f t="shared" si="1364"/>
        <v>0</v>
      </c>
      <c r="DB553" s="855">
        <f t="shared" si="1364"/>
        <v>0</v>
      </c>
      <c r="DC553" s="855">
        <f t="shared" si="1364"/>
        <v>0</v>
      </c>
      <c r="DD553" s="855">
        <f t="shared" si="1364"/>
        <v>0</v>
      </c>
      <c r="DE553" s="855">
        <f t="shared" si="1364"/>
        <v>0</v>
      </c>
      <c r="DF553" s="855">
        <f t="shared" si="1364"/>
        <v>0</v>
      </c>
      <c r="DG553" s="855">
        <f t="shared" si="1364"/>
        <v>0</v>
      </c>
      <c r="DH553" s="1338">
        <f t="shared" si="1364"/>
        <v>0</v>
      </c>
      <c r="DI553" s="855">
        <f t="shared" si="1364"/>
        <v>0</v>
      </c>
      <c r="DJ553" s="855">
        <f t="shared" si="1364"/>
        <v>0</v>
      </c>
      <c r="DK553" s="1338">
        <f>DK545-DK546-DK548+DK550</f>
        <v>0</v>
      </c>
      <c r="DL553" s="855">
        <f>DL545-DL546-DL548+DL550</f>
        <v>0</v>
      </c>
      <c r="DM553" s="855">
        <f>DM545-DM546-DM548+DM550</f>
        <v>0</v>
      </c>
      <c r="DN553" s="1338">
        <f>DN545-DN546-DN548+DN550</f>
        <v>0</v>
      </c>
      <c r="DO553" s="855">
        <f t="shared" ref="DO553:DT553" si="1365">DO545-DO546-DO548+DO550</f>
        <v>0</v>
      </c>
      <c r="DP553" s="855">
        <f t="shared" si="1365"/>
        <v>0</v>
      </c>
      <c r="DQ553" s="1338">
        <f t="shared" si="1365"/>
        <v>0</v>
      </c>
      <c r="DR553" s="855">
        <f t="shared" si="1365"/>
        <v>0</v>
      </c>
      <c r="DS553" s="855">
        <f t="shared" si="1365"/>
        <v>0</v>
      </c>
      <c r="DT553" s="1338">
        <f t="shared" si="1365"/>
        <v>0</v>
      </c>
      <c r="DU553" s="855"/>
      <c r="DV553" s="855"/>
      <c r="DW553" s="1338"/>
      <c r="DX553" s="855"/>
      <c r="DY553" s="855"/>
      <c r="DZ553" s="1338"/>
      <c r="EA553" s="855"/>
      <c r="EB553" s="855"/>
      <c r="EC553" s="1338"/>
      <c r="ED553" s="855"/>
      <c r="EE553" s="855"/>
      <c r="EF553" s="1338"/>
      <c r="EG553" s="855"/>
      <c r="EH553" s="855"/>
      <c r="EI553" s="1338"/>
      <c r="EJ553" s="855"/>
      <c r="EK553" s="855"/>
      <c r="EL553" s="1338"/>
      <c r="EM553" s="855"/>
      <c r="EN553" s="855"/>
      <c r="EO553" s="1338"/>
      <c r="EP553" s="855"/>
      <c r="EQ553" s="855"/>
      <c r="ER553" s="1338"/>
      <c r="ES553" s="855"/>
      <c r="ET553" s="855"/>
      <c r="EU553" s="1338"/>
      <c r="EV553" s="855"/>
      <c r="EW553" s="855"/>
      <c r="EX553" s="1338"/>
      <c r="EY553" s="855"/>
      <c r="EZ553" s="855"/>
      <c r="FA553" s="1338"/>
      <c r="FE553"/>
      <c r="FF553"/>
      <c r="FG553"/>
      <c r="FH553"/>
      <c r="FI553"/>
      <c r="FJ553"/>
      <c r="FK553" s="35"/>
    </row>
    <row r="554" spans="1:167" s="236" customFormat="1" ht="13.35" customHeight="1">
      <c r="A554" s="289"/>
      <c r="B554" s="401"/>
      <c r="C554" s="806"/>
      <c r="D554" s="289"/>
      <c r="E554" s="820"/>
      <c r="F554" s="820"/>
      <c r="G554" s="821"/>
      <c r="H554" s="820"/>
      <c r="I554" s="820"/>
      <c r="J554" s="821"/>
      <c r="K554" s="820"/>
      <c r="L554" s="820"/>
      <c r="M554" s="821"/>
      <c r="N554" s="820"/>
      <c r="O554" s="820"/>
      <c r="P554" s="821"/>
      <c r="Q554" s="809"/>
      <c r="R554" s="809"/>
      <c r="S554" s="810"/>
      <c r="T554" s="809"/>
      <c r="U554" s="809"/>
      <c r="V554" s="808"/>
      <c r="W554" s="807"/>
      <c r="X554" s="807"/>
      <c r="Y554" s="808"/>
      <c r="Z554" s="807"/>
      <c r="AA554" s="807"/>
      <c r="AB554" s="808"/>
      <c r="AC554" s="807"/>
      <c r="AD554" s="807"/>
      <c r="AE554" s="808"/>
      <c r="AF554" s="807"/>
      <c r="AG554" s="807"/>
      <c r="AH554" s="808"/>
      <c r="AI554" s="807"/>
      <c r="AJ554" s="807"/>
      <c r="AK554" s="808"/>
      <c r="AL554" s="807"/>
      <c r="AM554" s="807"/>
      <c r="AN554" s="808"/>
      <c r="AO554" s="807"/>
      <c r="AP554" s="807"/>
      <c r="AQ554" s="808"/>
      <c r="AR554" s="807"/>
      <c r="AS554" s="807"/>
      <c r="AT554" s="808"/>
      <c r="AU554" s="820"/>
      <c r="AV554" s="820"/>
      <c r="AW554" s="821"/>
      <c r="AX554" s="855"/>
      <c r="AY554" s="855"/>
      <c r="AZ554" s="855"/>
      <c r="BA554" s="855"/>
      <c r="BB554" s="855"/>
      <c r="BC554" s="855"/>
      <c r="BD554" s="855"/>
      <c r="BE554" s="855"/>
      <c r="BF554" s="855"/>
      <c r="BG554" s="855"/>
      <c r="BH554" s="855"/>
      <c r="BI554" s="855"/>
      <c r="BJ554" s="855"/>
      <c r="BK554" s="855"/>
      <c r="BL554" s="855"/>
      <c r="BM554" s="855"/>
      <c r="BN554" s="855"/>
      <c r="BO554" s="855"/>
      <c r="BP554" s="855"/>
      <c r="BQ554" s="855"/>
      <c r="BR554" s="855"/>
      <c r="BS554" s="855"/>
      <c r="BT554" s="855"/>
      <c r="BU554" s="855"/>
      <c r="BV554" s="855"/>
      <c r="BW554" s="855"/>
      <c r="BX554" s="855"/>
      <c r="BY554" s="855"/>
      <c r="BZ554" s="855"/>
      <c r="CA554" s="855"/>
      <c r="CB554" s="855"/>
      <c r="CC554" s="855"/>
      <c r="CD554" s="855"/>
      <c r="CE554" s="855"/>
      <c r="CF554" s="855"/>
      <c r="CG554" s="855"/>
      <c r="CH554" s="855"/>
      <c r="CI554" s="855"/>
      <c r="CJ554" s="855"/>
      <c r="CK554" s="855"/>
      <c r="CL554" s="855"/>
      <c r="CM554" s="855"/>
      <c r="CN554" s="855"/>
      <c r="CO554" s="855"/>
      <c r="CP554" s="855"/>
      <c r="CQ554" s="855"/>
      <c r="CR554" s="855"/>
      <c r="CS554" s="855"/>
      <c r="CT554" s="855"/>
      <c r="CU554" s="855"/>
      <c r="CV554" s="855"/>
      <c r="CW554" s="855"/>
      <c r="CX554" s="855"/>
      <c r="CY554" s="855"/>
      <c r="CZ554" s="855"/>
      <c r="DA554" s="855"/>
      <c r="DB554" s="855"/>
      <c r="DC554" s="855"/>
      <c r="DD554" s="855"/>
      <c r="DE554" s="855"/>
      <c r="DF554" s="855"/>
      <c r="DG554" s="855"/>
      <c r="DH554" s="1338"/>
      <c r="DI554" s="855"/>
      <c r="DJ554" s="855"/>
      <c r="DK554" s="1338"/>
      <c r="DL554" s="855"/>
      <c r="DM554" s="855"/>
      <c r="DN554" s="1338"/>
      <c r="DO554" s="855"/>
      <c r="DP554" s="855"/>
      <c r="DQ554" s="1338"/>
      <c r="DR554" s="855"/>
      <c r="DS554" s="855"/>
      <c r="DT554" s="1338"/>
      <c r="DU554" s="855"/>
      <c r="DV554" s="855"/>
      <c r="DW554" s="1338"/>
      <c r="DX554" s="855"/>
      <c r="DY554" s="855"/>
      <c r="DZ554" s="1338"/>
      <c r="EA554" s="855"/>
      <c r="EB554" s="855"/>
      <c r="EC554" s="1338"/>
      <c r="ED554" s="855"/>
      <c r="EE554" s="855"/>
      <c r="EF554" s="1338"/>
      <c r="EG554" s="855"/>
      <c r="EH554" s="855"/>
      <c r="EI554" s="1338"/>
      <c r="EJ554" s="855"/>
      <c r="EK554" s="855"/>
      <c r="EL554" s="1338"/>
      <c r="EM554" s="855"/>
      <c r="EN554" s="855"/>
      <c r="EO554" s="1338"/>
      <c r="EP554" s="855"/>
      <c r="EQ554" s="855"/>
      <c r="ER554" s="1338"/>
      <c r="ES554" s="855"/>
      <c r="ET554" s="855"/>
      <c r="EU554" s="1338"/>
      <c r="EV554" s="855"/>
      <c r="EW554" s="855"/>
      <c r="EX554" s="1338"/>
      <c r="EY554" s="855"/>
      <c r="EZ554" s="855"/>
      <c r="FA554" s="1338"/>
      <c r="FE554"/>
      <c r="FF554"/>
      <c r="FG554"/>
      <c r="FH554"/>
      <c r="FI554"/>
      <c r="FJ554"/>
      <c r="FK554" s="35"/>
    </row>
    <row r="555" spans="1:167" s="236" customFormat="1" ht="13.35" customHeight="1">
      <c r="A555" s="401" t="s">
        <v>482</v>
      </c>
      <c r="C555" s="806"/>
      <c r="D555" s="289"/>
      <c r="E555" s="820"/>
      <c r="F555" s="820"/>
      <c r="G555" s="821"/>
      <c r="H555" s="820"/>
      <c r="I555" s="820"/>
      <c r="J555" s="821"/>
      <c r="K555" s="820"/>
      <c r="L555" s="820"/>
      <c r="M555" s="821"/>
      <c r="N555" s="820"/>
      <c r="O555" s="820"/>
      <c r="P555" s="821"/>
      <c r="Q555" s="809"/>
      <c r="R555" s="809"/>
      <c r="S555" s="810"/>
      <c r="T555" s="809"/>
      <c r="U555" s="809"/>
      <c r="V555" s="808"/>
      <c r="W555" s="807"/>
      <c r="X555" s="807"/>
      <c r="Y555" s="808"/>
      <c r="Z555" s="807"/>
      <c r="AA555" s="807"/>
      <c r="AB555" s="808"/>
      <c r="AC555" s="807"/>
      <c r="AD555" s="807"/>
      <c r="AE555" s="808"/>
      <c r="AF555" s="807"/>
      <c r="AG555" s="807"/>
      <c r="AH555" s="808"/>
      <c r="AI555" s="807"/>
      <c r="AJ555" s="807"/>
      <c r="AK555" s="808"/>
      <c r="AL555" s="807"/>
      <c r="AM555" s="807"/>
      <c r="AN555" s="808"/>
      <c r="AO555" s="807"/>
      <c r="AP555" s="807"/>
      <c r="AQ555" s="808"/>
      <c r="AR555" s="807"/>
      <c r="AS555" s="807"/>
      <c r="AT555" s="808"/>
      <c r="AU555" s="820"/>
      <c r="AV555" s="820"/>
      <c r="AW555" s="821"/>
      <c r="AX555" s="855"/>
      <c r="AY555" s="855"/>
      <c r="AZ555" s="855"/>
      <c r="BA555" s="855"/>
      <c r="BB555" s="855"/>
      <c r="BC555" s="855"/>
      <c r="BD555" s="855"/>
      <c r="BE555" s="855"/>
      <c r="BF555" s="855"/>
      <c r="BG555" s="855"/>
      <c r="BH555" s="855"/>
      <c r="BI555" s="855"/>
      <c r="BJ555" s="855"/>
      <c r="BK555" s="855"/>
      <c r="BL555" s="855"/>
      <c r="BM555" s="855"/>
      <c r="BN555" s="855"/>
      <c r="BO555" s="855"/>
      <c r="BP555" s="855"/>
      <c r="BQ555" s="855"/>
      <c r="BR555" s="855"/>
      <c r="BS555" s="855"/>
      <c r="BT555" s="855"/>
      <c r="BU555" s="855"/>
      <c r="BV555" s="855"/>
      <c r="BW555" s="855"/>
      <c r="BX555" s="855"/>
      <c r="BY555" s="855"/>
      <c r="BZ555" s="855"/>
      <c r="CA555" s="855"/>
      <c r="CB555" s="855"/>
      <c r="CC555" s="855"/>
      <c r="CD555" s="855"/>
      <c r="CE555" s="855"/>
      <c r="CF555" s="855"/>
      <c r="CG555" s="855"/>
      <c r="CH555" s="855"/>
      <c r="CI555" s="855"/>
      <c r="CJ555" s="855"/>
      <c r="CK555" s="855"/>
      <c r="CL555" s="855"/>
      <c r="CM555" s="855"/>
      <c r="CN555" s="855"/>
      <c r="CO555" s="855"/>
      <c r="CP555" s="855"/>
      <c r="CQ555" s="855"/>
      <c r="CR555" s="855"/>
      <c r="CS555" s="855"/>
      <c r="CT555" s="855"/>
      <c r="CU555" s="855"/>
      <c r="CV555" s="855"/>
      <c r="CW555" s="855"/>
      <c r="CX555" s="855"/>
      <c r="CY555" s="855"/>
      <c r="CZ555" s="855"/>
      <c r="DA555" s="855"/>
      <c r="DB555" s="855"/>
      <c r="DC555" s="855"/>
      <c r="DD555" s="855"/>
      <c r="DE555" s="855"/>
      <c r="DF555" s="855"/>
      <c r="DG555" s="855"/>
      <c r="DH555" s="1338"/>
      <c r="DI555" s="855"/>
      <c r="DJ555" s="855"/>
      <c r="DK555" s="1338"/>
      <c r="DL555" s="855"/>
      <c r="DM555" s="855"/>
      <c r="DN555" s="1338"/>
      <c r="DO555" s="855"/>
      <c r="DP555" s="855"/>
      <c r="DQ555" s="1338"/>
      <c r="DR555" s="855"/>
      <c r="DS555" s="855"/>
      <c r="DT555" s="1338"/>
      <c r="DU555" s="855"/>
      <c r="DV555" s="855"/>
      <c r="DW555" s="1338"/>
      <c r="DX555" s="855"/>
      <c r="DY555" s="855"/>
      <c r="DZ555" s="1338"/>
      <c r="EA555" s="855"/>
      <c r="EB555" s="855"/>
      <c r="EC555" s="1338"/>
      <c r="ED555" s="855"/>
      <c r="EE555" s="855"/>
      <c r="EF555" s="1338"/>
      <c r="EG555" s="855"/>
      <c r="EH555" s="855"/>
      <c r="EI555" s="1338"/>
      <c r="EJ555" s="855"/>
      <c r="EK555" s="855"/>
      <c r="EL555" s="1338"/>
      <c r="EM555" s="855"/>
      <c r="EN555" s="855"/>
      <c r="EO555" s="1338"/>
      <c r="EP555" s="855"/>
      <c r="EQ555" s="855"/>
      <c r="ER555" s="1338"/>
      <c r="ES555" s="855"/>
      <c r="ET555" s="855"/>
      <c r="EU555" s="1338"/>
      <c r="EV555" s="855"/>
      <c r="EW555" s="855"/>
      <c r="EX555" s="1338"/>
      <c r="EY555" s="855"/>
      <c r="EZ555" s="855"/>
      <c r="FA555" s="1338"/>
      <c r="FE555"/>
      <c r="FF555"/>
      <c r="FG555"/>
      <c r="FH555"/>
      <c r="FI555"/>
      <c r="FJ555"/>
      <c r="FK555" s="35"/>
    </row>
    <row r="556" spans="1:167" s="236" customFormat="1" ht="13.35" customHeight="1">
      <c r="A556" s="289"/>
      <c r="B556" s="401" t="s">
        <v>225</v>
      </c>
      <c r="C556" s="806"/>
      <c r="D556" s="289"/>
      <c r="E556" s="820"/>
      <c r="F556" s="820"/>
      <c r="G556" s="821"/>
      <c r="H556" s="820"/>
      <c r="I556" s="820"/>
      <c r="J556" s="821"/>
      <c r="K556" s="820"/>
      <c r="L556" s="820"/>
      <c r="M556" s="821"/>
      <c r="N556" s="820"/>
      <c r="O556" s="820"/>
      <c r="P556" s="821"/>
      <c r="Q556" s="809"/>
      <c r="R556" s="809"/>
      <c r="S556" s="810"/>
      <c r="T556" s="809"/>
      <c r="U556" s="809"/>
      <c r="V556" s="808"/>
      <c r="W556" s="807"/>
      <c r="X556" s="807"/>
      <c r="Y556" s="808"/>
      <c r="Z556" s="807"/>
      <c r="AA556" s="807"/>
      <c r="AB556" s="808"/>
      <c r="AC556" s="807"/>
      <c r="AD556" s="807"/>
      <c r="AE556" s="808"/>
      <c r="AF556" s="807"/>
      <c r="AG556" s="807"/>
      <c r="AH556" s="808"/>
      <c r="AI556" s="807"/>
      <c r="AJ556" s="807"/>
      <c r="AK556" s="808"/>
      <c r="AL556" s="807"/>
      <c r="AM556" s="807"/>
      <c r="AN556" s="808"/>
      <c r="AO556" s="807"/>
      <c r="AP556" s="807"/>
      <c r="AQ556" s="808"/>
      <c r="AR556" s="807"/>
      <c r="AS556" s="807"/>
      <c r="AT556" s="808"/>
      <c r="AU556" s="820"/>
      <c r="AV556" s="820"/>
      <c r="AW556" s="821"/>
      <c r="AX556" s="855">
        <f>AX428</f>
        <v>0</v>
      </c>
      <c r="AY556" s="855">
        <f t="shared" ref="AY556:DJ556" si="1366">AY428</f>
        <v>0</v>
      </c>
      <c r="AZ556" s="855">
        <f t="shared" si="1366"/>
        <v>0</v>
      </c>
      <c r="BA556" s="855">
        <f t="shared" si="1366"/>
        <v>0</v>
      </c>
      <c r="BB556" s="855">
        <f t="shared" si="1366"/>
        <v>0</v>
      </c>
      <c r="BC556" s="855">
        <f t="shared" si="1366"/>
        <v>0</v>
      </c>
      <c r="BD556" s="855">
        <f t="shared" si="1366"/>
        <v>0</v>
      </c>
      <c r="BE556" s="855">
        <f t="shared" si="1366"/>
        <v>0</v>
      </c>
      <c r="BF556" s="855">
        <f t="shared" si="1366"/>
        <v>0</v>
      </c>
      <c r="BG556" s="855">
        <f t="shared" si="1366"/>
        <v>0</v>
      </c>
      <c r="BH556" s="855">
        <f t="shared" si="1366"/>
        <v>0</v>
      </c>
      <c r="BI556" s="855">
        <f t="shared" si="1366"/>
        <v>0</v>
      </c>
      <c r="BJ556" s="855">
        <f t="shared" si="1366"/>
        <v>0</v>
      </c>
      <c r="BK556" s="855">
        <f t="shared" si="1366"/>
        <v>0</v>
      </c>
      <c r="BL556" s="855">
        <f t="shared" si="1366"/>
        <v>0</v>
      </c>
      <c r="BM556" s="855">
        <f t="shared" si="1366"/>
        <v>0</v>
      </c>
      <c r="BN556" s="855">
        <f t="shared" si="1366"/>
        <v>0</v>
      </c>
      <c r="BO556" s="855">
        <f t="shared" si="1366"/>
        <v>0</v>
      </c>
      <c r="BP556" s="855">
        <f t="shared" si="1366"/>
        <v>0</v>
      </c>
      <c r="BQ556" s="855">
        <f t="shared" si="1366"/>
        <v>0</v>
      </c>
      <c r="BR556" s="855">
        <f t="shared" si="1366"/>
        <v>0</v>
      </c>
      <c r="BS556" s="855">
        <f t="shared" si="1366"/>
        <v>0</v>
      </c>
      <c r="BT556" s="855">
        <f t="shared" si="1366"/>
        <v>0</v>
      </c>
      <c r="BU556" s="855">
        <f t="shared" si="1366"/>
        <v>0</v>
      </c>
      <c r="BV556" s="855">
        <f t="shared" si="1366"/>
        <v>0</v>
      </c>
      <c r="BW556" s="855">
        <f t="shared" si="1366"/>
        <v>0</v>
      </c>
      <c r="BX556" s="855">
        <f t="shared" si="1366"/>
        <v>0</v>
      </c>
      <c r="BY556" s="855">
        <f t="shared" si="1366"/>
        <v>0</v>
      </c>
      <c r="BZ556" s="855">
        <f t="shared" si="1366"/>
        <v>0</v>
      </c>
      <c r="CA556" s="855">
        <f t="shared" si="1366"/>
        <v>0</v>
      </c>
      <c r="CB556" s="855">
        <f t="shared" si="1366"/>
        <v>0</v>
      </c>
      <c r="CC556" s="855">
        <f t="shared" si="1366"/>
        <v>0</v>
      </c>
      <c r="CD556" s="855">
        <f t="shared" si="1366"/>
        <v>0</v>
      </c>
      <c r="CE556" s="855">
        <f t="shared" si="1366"/>
        <v>0</v>
      </c>
      <c r="CF556" s="855">
        <f t="shared" si="1366"/>
        <v>0</v>
      </c>
      <c r="CG556" s="855">
        <f t="shared" si="1366"/>
        <v>0</v>
      </c>
      <c r="CH556" s="855">
        <f t="shared" si="1366"/>
        <v>0</v>
      </c>
      <c r="CI556" s="855">
        <f t="shared" si="1366"/>
        <v>0</v>
      </c>
      <c r="CJ556" s="855">
        <f t="shared" si="1366"/>
        <v>0</v>
      </c>
      <c r="CK556" s="855">
        <f t="shared" si="1366"/>
        <v>0</v>
      </c>
      <c r="CL556" s="855">
        <f t="shared" si="1366"/>
        <v>0</v>
      </c>
      <c r="CM556" s="855">
        <f t="shared" si="1366"/>
        <v>0</v>
      </c>
      <c r="CN556" s="855">
        <f t="shared" si="1366"/>
        <v>0</v>
      </c>
      <c r="CO556" s="855">
        <f t="shared" si="1366"/>
        <v>0</v>
      </c>
      <c r="CP556" s="855">
        <f t="shared" si="1366"/>
        <v>0</v>
      </c>
      <c r="CQ556" s="855">
        <f t="shared" si="1366"/>
        <v>0</v>
      </c>
      <c r="CR556" s="855">
        <f t="shared" si="1366"/>
        <v>0</v>
      </c>
      <c r="CS556" s="855">
        <f t="shared" si="1366"/>
        <v>0</v>
      </c>
      <c r="CT556" s="855">
        <f t="shared" si="1366"/>
        <v>0</v>
      </c>
      <c r="CU556" s="855">
        <f t="shared" si="1366"/>
        <v>0</v>
      </c>
      <c r="CV556" s="855">
        <f t="shared" si="1366"/>
        <v>0</v>
      </c>
      <c r="CW556" s="855">
        <f t="shared" si="1366"/>
        <v>0</v>
      </c>
      <c r="CX556" s="855">
        <f t="shared" si="1366"/>
        <v>0</v>
      </c>
      <c r="CY556" s="855">
        <f t="shared" si="1366"/>
        <v>0</v>
      </c>
      <c r="CZ556" s="855">
        <f t="shared" si="1366"/>
        <v>0</v>
      </c>
      <c r="DA556" s="855">
        <f t="shared" si="1366"/>
        <v>0</v>
      </c>
      <c r="DB556" s="855">
        <f t="shared" si="1366"/>
        <v>0</v>
      </c>
      <c r="DC556" s="855">
        <f t="shared" si="1366"/>
        <v>0</v>
      </c>
      <c r="DD556" s="855">
        <f t="shared" si="1366"/>
        <v>0</v>
      </c>
      <c r="DE556" s="855">
        <f t="shared" si="1366"/>
        <v>0</v>
      </c>
      <c r="DF556" s="855">
        <f t="shared" si="1366"/>
        <v>0</v>
      </c>
      <c r="DG556" s="855">
        <f t="shared" si="1366"/>
        <v>0</v>
      </c>
      <c r="DH556" s="1338">
        <f t="shared" si="1366"/>
        <v>0</v>
      </c>
      <c r="DI556" s="855">
        <f t="shared" si="1366"/>
        <v>0</v>
      </c>
      <c r="DJ556" s="855">
        <f t="shared" si="1366"/>
        <v>0</v>
      </c>
      <c r="DK556" s="1338">
        <f>DK428</f>
        <v>0</v>
      </c>
      <c r="DL556" s="855">
        <f>DL428</f>
        <v>0</v>
      </c>
      <c r="DM556" s="855">
        <f>DM428</f>
        <v>0</v>
      </c>
      <c r="DN556" s="1338">
        <f>DN428</f>
        <v>0</v>
      </c>
      <c r="DO556" s="855">
        <f t="shared" ref="DO556:DT556" si="1367">DO428</f>
        <v>0</v>
      </c>
      <c r="DP556" s="855">
        <f t="shared" si="1367"/>
        <v>0</v>
      </c>
      <c r="DQ556" s="1338">
        <f t="shared" si="1367"/>
        <v>0</v>
      </c>
      <c r="DR556" s="855">
        <f t="shared" si="1367"/>
        <v>0</v>
      </c>
      <c r="DS556" s="855">
        <f t="shared" si="1367"/>
        <v>0</v>
      </c>
      <c r="DT556" s="1338">
        <f t="shared" si="1367"/>
        <v>0</v>
      </c>
      <c r="DU556" s="855"/>
      <c r="DV556" s="855"/>
      <c r="DW556" s="1338"/>
      <c r="DX556" s="855"/>
      <c r="DY556" s="855"/>
      <c r="DZ556" s="1338"/>
      <c r="EA556" s="855"/>
      <c r="EB556" s="855"/>
      <c r="EC556" s="1338"/>
      <c r="ED556" s="855"/>
      <c r="EE556" s="855"/>
      <c r="EF556" s="1338"/>
      <c r="EG556" s="855"/>
      <c r="EH556" s="855"/>
      <c r="EI556" s="1338"/>
      <c r="EJ556" s="855"/>
      <c r="EK556" s="855"/>
      <c r="EL556" s="1338"/>
      <c r="EM556" s="855"/>
      <c r="EN556" s="855"/>
      <c r="EO556" s="1338"/>
      <c r="EP556" s="855"/>
      <c r="EQ556" s="855"/>
      <c r="ER556" s="1338"/>
      <c r="ES556" s="855"/>
      <c r="ET556" s="855"/>
      <c r="EU556" s="1338"/>
      <c r="EV556" s="855"/>
      <c r="EW556" s="855"/>
      <c r="EX556" s="1338"/>
      <c r="EY556" s="855"/>
      <c r="EZ556" s="855"/>
      <c r="FA556" s="1338"/>
      <c r="FE556"/>
      <c r="FF556"/>
      <c r="FG556"/>
      <c r="FH556"/>
      <c r="FI556"/>
      <c r="FJ556"/>
      <c r="FK556" s="35"/>
    </row>
    <row r="557" spans="1:167" s="236" customFormat="1" ht="13.35" customHeight="1">
      <c r="A557" s="289"/>
      <c r="B557" s="401" t="s">
        <v>446</v>
      </c>
      <c r="C557" s="806"/>
      <c r="D557" s="289"/>
      <c r="E557" s="820"/>
      <c r="F557" s="820"/>
      <c r="G557" s="821"/>
      <c r="H557" s="820"/>
      <c r="I557" s="820"/>
      <c r="J557" s="821"/>
      <c r="K557" s="820"/>
      <c r="L557" s="820"/>
      <c r="M557" s="821"/>
      <c r="N557" s="820"/>
      <c r="O557" s="820"/>
      <c r="P557" s="821"/>
      <c r="Q557" s="809"/>
      <c r="R557" s="809"/>
      <c r="S557" s="810"/>
      <c r="T557" s="809"/>
      <c r="U557" s="809"/>
      <c r="V557" s="808"/>
      <c r="W557" s="807"/>
      <c r="X557" s="807"/>
      <c r="Y557" s="808"/>
      <c r="Z557" s="807"/>
      <c r="AA557" s="807"/>
      <c r="AB557" s="808"/>
      <c r="AC557" s="807"/>
      <c r="AD557" s="807"/>
      <c r="AE557" s="808"/>
      <c r="AF557" s="807"/>
      <c r="AG557" s="807"/>
      <c r="AH557" s="808"/>
      <c r="AI557" s="807"/>
      <c r="AJ557" s="807"/>
      <c r="AK557" s="808"/>
      <c r="AL557" s="807"/>
      <c r="AM557" s="807"/>
      <c r="AN557" s="808"/>
      <c r="AO557" s="807"/>
      <c r="AP557" s="807"/>
      <c r="AQ557" s="808"/>
      <c r="AR557" s="807"/>
      <c r="AS557" s="807"/>
      <c r="AT557" s="808"/>
      <c r="AU557" s="820"/>
      <c r="AV557" s="820"/>
      <c r="AW557" s="821"/>
      <c r="AX557" s="854">
        <v>0</v>
      </c>
      <c r="AY557" s="854">
        <v>0</v>
      </c>
      <c r="AZ557" s="854">
        <v>0</v>
      </c>
      <c r="BA557" s="854">
        <v>0</v>
      </c>
      <c r="BB557" s="854">
        <v>0</v>
      </c>
      <c r="BC557" s="854">
        <v>0</v>
      </c>
      <c r="BD557" s="854">
        <v>0</v>
      </c>
      <c r="BE557" s="854">
        <v>0</v>
      </c>
      <c r="BF557" s="854">
        <v>0</v>
      </c>
      <c r="BG557" s="854">
        <v>0</v>
      </c>
      <c r="BH557" s="854">
        <v>0</v>
      </c>
      <c r="BI557" s="854">
        <v>0</v>
      </c>
      <c r="BJ557" s="854">
        <v>0</v>
      </c>
      <c r="BK557" s="854">
        <v>0</v>
      </c>
      <c r="BL557" s="854">
        <v>0</v>
      </c>
      <c r="BM557" s="854">
        <v>0</v>
      </c>
      <c r="BN557" s="854">
        <v>0</v>
      </c>
      <c r="BO557" s="854">
        <v>0</v>
      </c>
      <c r="BP557" s="854">
        <v>0</v>
      </c>
      <c r="BQ557" s="854">
        <v>0</v>
      </c>
      <c r="BR557" s="854">
        <v>0</v>
      </c>
      <c r="BS557" s="854">
        <v>0</v>
      </c>
      <c r="BT557" s="854">
        <v>0</v>
      </c>
      <c r="BU557" s="854">
        <v>0</v>
      </c>
      <c r="BV557" s="854">
        <v>0</v>
      </c>
      <c r="BW557" s="854">
        <v>0</v>
      </c>
      <c r="BX557" s="854">
        <v>0</v>
      </c>
      <c r="BY557" s="854">
        <v>0</v>
      </c>
      <c r="BZ557" s="854">
        <v>0</v>
      </c>
      <c r="CA557" s="854">
        <v>0</v>
      </c>
      <c r="CB557" s="854">
        <v>0</v>
      </c>
      <c r="CC557" s="854">
        <v>0</v>
      </c>
      <c r="CD557" s="854">
        <v>0</v>
      </c>
      <c r="CE557" s="854">
        <v>0</v>
      </c>
      <c r="CF557" s="854">
        <v>0</v>
      </c>
      <c r="CG557" s="854">
        <v>0</v>
      </c>
      <c r="CH557" s="854">
        <v>0</v>
      </c>
      <c r="CI557" s="854">
        <v>0</v>
      </c>
      <c r="CJ557" s="854">
        <v>0</v>
      </c>
      <c r="CK557" s="854">
        <v>0</v>
      </c>
      <c r="CL557" s="854">
        <v>0</v>
      </c>
      <c r="CM557" s="854">
        <v>0</v>
      </c>
      <c r="CN557" s="854">
        <v>0</v>
      </c>
      <c r="CO557" s="854">
        <v>0</v>
      </c>
      <c r="CP557" s="854">
        <v>0</v>
      </c>
      <c r="CQ557" s="854">
        <v>0</v>
      </c>
      <c r="CR557" s="854">
        <v>0</v>
      </c>
      <c r="CS557" s="854">
        <v>0</v>
      </c>
      <c r="CT557" s="854">
        <v>0</v>
      </c>
      <c r="CU557" s="854">
        <v>0</v>
      </c>
      <c r="CV557" s="854">
        <v>0</v>
      </c>
      <c r="CW557" s="854">
        <v>0</v>
      </c>
      <c r="CX557" s="854">
        <v>0</v>
      </c>
      <c r="CY557" s="854">
        <v>0</v>
      </c>
      <c r="CZ557" s="854">
        <v>0</v>
      </c>
      <c r="DA557" s="854">
        <v>0</v>
      </c>
      <c r="DB557" s="854">
        <v>0</v>
      </c>
      <c r="DC557" s="854">
        <v>0</v>
      </c>
      <c r="DD557" s="854">
        <v>0</v>
      </c>
      <c r="DE557" s="854">
        <v>0</v>
      </c>
      <c r="DF557" s="854">
        <v>0</v>
      </c>
      <c r="DG557" s="854">
        <v>0</v>
      </c>
      <c r="DH557" s="1339">
        <v>0</v>
      </c>
      <c r="DI557" s="854">
        <v>0</v>
      </c>
      <c r="DJ557" s="854">
        <v>0</v>
      </c>
      <c r="DK557" s="1339">
        <v>0</v>
      </c>
      <c r="DL557" s="854">
        <v>0</v>
      </c>
      <c r="DM557" s="854">
        <v>0</v>
      </c>
      <c r="DN557" s="1339">
        <v>0</v>
      </c>
      <c r="DO557" s="854">
        <v>0</v>
      </c>
      <c r="DP557" s="854">
        <v>0</v>
      </c>
      <c r="DQ557" s="1339">
        <v>0</v>
      </c>
      <c r="DR557" s="854">
        <v>0</v>
      </c>
      <c r="DS557" s="854">
        <v>0</v>
      </c>
      <c r="DT557" s="1339">
        <v>0</v>
      </c>
      <c r="DU557" s="854"/>
      <c r="DV557" s="854"/>
      <c r="DW557" s="1339"/>
      <c r="DX557" s="854"/>
      <c r="DY557" s="854"/>
      <c r="DZ557" s="1339"/>
      <c r="EA557" s="854"/>
      <c r="EB557" s="854"/>
      <c r="EC557" s="1339"/>
      <c r="ED557" s="854"/>
      <c r="EE557" s="854"/>
      <c r="EF557" s="1339"/>
      <c r="EG557" s="854"/>
      <c r="EH557" s="854"/>
      <c r="EI557" s="1339"/>
      <c r="EJ557" s="854"/>
      <c r="EK557" s="854"/>
      <c r="EL557" s="1339"/>
      <c r="EM557" s="854"/>
      <c r="EN557" s="854"/>
      <c r="EO557" s="1339"/>
      <c r="EP557" s="854"/>
      <c r="EQ557" s="854"/>
      <c r="ER557" s="1339"/>
      <c r="ES557" s="854"/>
      <c r="ET557" s="854"/>
      <c r="EU557" s="1339"/>
      <c r="EV557" s="854"/>
      <c r="EW557" s="854"/>
      <c r="EX557" s="1339"/>
      <c r="EY557" s="854"/>
      <c r="EZ557" s="854"/>
      <c r="FA557" s="1339"/>
      <c r="FE557"/>
      <c r="FF557"/>
      <c r="FG557"/>
      <c r="FH557"/>
      <c r="FI557"/>
      <c r="FJ557"/>
      <c r="FK557" s="35"/>
    </row>
    <row r="558" spans="1:167" s="236" customFormat="1" ht="13.35" customHeight="1">
      <c r="A558" s="289"/>
      <c r="B558" s="401" t="s">
        <v>447</v>
      </c>
      <c r="C558" s="806"/>
      <c r="D558" s="289"/>
      <c r="E558" s="820"/>
      <c r="F558" s="820"/>
      <c r="G558" s="821"/>
      <c r="H558" s="820"/>
      <c r="I558" s="820"/>
      <c r="J558" s="821"/>
      <c r="K558" s="820"/>
      <c r="L558" s="820"/>
      <c r="M558" s="821"/>
      <c r="N558" s="820"/>
      <c r="O558" s="820"/>
      <c r="P558" s="821"/>
      <c r="Q558" s="809"/>
      <c r="R558" s="809"/>
      <c r="S558" s="810"/>
      <c r="T558" s="809"/>
      <c r="U558" s="809"/>
      <c r="V558" s="808"/>
      <c r="W558" s="807"/>
      <c r="X558" s="807"/>
      <c r="Y558" s="808"/>
      <c r="Z558" s="807"/>
      <c r="AA558" s="807"/>
      <c r="AB558" s="808"/>
      <c r="AC558" s="807"/>
      <c r="AD558" s="807"/>
      <c r="AE558" s="808"/>
      <c r="AF558" s="807"/>
      <c r="AG558" s="807"/>
      <c r="AH558" s="808"/>
      <c r="AI558" s="807"/>
      <c r="AJ558" s="807"/>
      <c r="AK558" s="808"/>
      <c r="AL558" s="807"/>
      <c r="AM558" s="807"/>
      <c r="AN558" s="808"/>
      <c r="AO558" s="807"/>
      <c r="AP558" s="807"/>
      <c r="AQ558" s="808"/>
      <c r="AR558" s="807"/>
      <c r="AS558" s="807"/>
      <c r="AT558" s="808"/>
      <c r="AU558" s="820"/>
      <c r="AV558" s="820"/>
      <c r="AW558" s="821"/>
      <c r="AX558" s="854">
        <v>0</v>
      </c>
      <c r="AY558" s="854">
        <v>0</v>
      </c>
      <c r="AZ558" s="854">
        <v>0</v>
      </c>
      <c r="BA558" s="854">
        <v>0</v>
      </c>
      <c r="BB558" s="854">
        <v>0</v>
      </c>
      <c r="BC558" s="854">
        <v>0</v>
      </c>
      <c r="BD558" s="854">
        <v>0</v>
      </c>
      <c r="BE558" s="854">
        <v>0</v>
      </c>
      <c r="BF558" s="854">
        <v>0</v>
      </c>
      <c r="BG558" s="854">
        <v>0</v>
      </c>
      <c r="BH558" s="854">
        <v>0</v>
      </c>
      <c r="BI558" s="854">
        <v>0</v>
      </c>
      <c r="BJ558" s="854">
        <v>0</v>
      </c>
      <c r="BK558" s="854">
        <v>0</v>
      </c>
      <c r="BL558" s="854">
        <v>0</v>
      </c>
      <c r="BM558" s="854">
        <v>0</v>
      </c>
      <c r="BN558" s="854">
        <v>0</v>
      </c>
      <c r="BO558" s="854">
        <v>0</v>
      </c>
      <c r="BP558" s="854">
        <v>0</v>
      </c>
      <c r="BQ558" s="854">
        <v>0</v>
      </c>
      <c r="BR558" s="854">
        <v>0</v>
      </c>
      <c r="BS558" s="854">
        <v>0</v>
      </c>
      <c r="BT558" s="854">
        <v>0</v>
      </c>
      <c r="BU558" s="854">
        <v>0</v>
      </c>
      <c r="BV558" s="854">
        <v>0</v>
      </c>
      <c r="BW558" s="854">
        <v>0</v>
      </c>
      <c r="BX558" s="854">
        <v>0</v>
      </c>
      <c r="BY558" s="854">
        <v>0</v>
      </c>
      <c r="BZ558" s="854">
        <v>0</v>
      </c>
      <c r="CA558" s="854">
        <v>0</v>
      </c>
      <c r="CB558" s="854">
        <v>0</v>
      </c>
      <c r="CC558" s="854">
        <v>0</v>
      </c>
      <c r="CD558" s="854">
        <v>0</v>
      </c>
      <c r="CE558" s="854">
        <v>0</v>
      </c>
      <c r="CF558" s="854">
        <v>0</v>
      </c>
      <c r="CG558" s="854">
        <v>0</v>
      </c>
      <c r="CH558" s="854">
        <v>0</v>
      </c>
      <c r="CI558" s="854">
        <v>0</v>
      </c>
      <c r="CJ558" s="854">
        <v>0</v>
      </c>
      <c r="CK558" s="854">
        <v>0</v>
      </c>
      <c r="CL558" s="854">
        <v>0</v>
      </c>
      <c r="CM558" s="854">
        <v>0</v>
      </c>
      <c r="CN558" s="854">
        <v>0</v>
      </c>
      <c r="CO558" s="854">
        <v>0</v>
      </c>
      <c r="CP558" s="854">
        <v>0</v>
      </c>
      <c r="CQ558" s="854">
        <v>0</v>
      </c>
      <c r="CR558" s="854">
        <v>0</v>
      </c>
      <c r="CS558" s="854">
        <v>0</v>
      </c>
      <c r="CT558" s="854">
        <v>0</v>
      </c>
      <c r="CU558" s="854">
        <v>0</v>
      </c>
      <c r="CV558" s="854">
        <v>0</v>
      </c>
      <c r="CW558" s="854">
        <v>0</v>
      </c>
      <c r="CX558" s="854">
        <v>0</v>
      </c>
      <c r="CY558" s="854">
        <v>0</v>
      </c>
      <c r="CZ558" s="854">
        <v>0</v>
      </c>
      <c r="DA558" s="854">
        <v>0</v>
      </c>
      <c r="DB558" s="854">
        <v>0</v>
      </c>
      <c r="DC558" s="854">
        <v>0</v>
      </c>
      <c r="DD558" s="854">
        <v>0</v>
      </c>
      <c r="DE558" s="854">
        <v>0</v>
      </c>
      <c r="DF558" s="854">
        <v>0</v>
      </c>
      <c r="DG558" s="854">
        <v>0</v>
      </c>
      <c r="DH558" s="1339">
        <v>0</v>
      </c>
      <c r="DI558" s="854">
        <v>0</v>
      </c>
      <c r="DJ558" s="854">
        <v>0</v>
      </c>
      <c r="DK558" s="1339">
        <v>0</v>
      </c>
      <c r="DL558" s="854">
        <v>0</v>
      </c>
      <c r="DM558" s="854">
        <v>0</v>
      </c>
      <c r="DN558" s="1339">
        <v>0</v>
      </c>
      <c r="DO558" s="854">
        <v>0</v>
      </c>
      <c r="DP558" s="854">
        <v>0</v>
      </c>
      <c r="DQ558" s="1339">
        <v>0</v>
      </c>
      <c r="DR558" s="854">
        <v>0</v>
      </c>
      <c r="DS558" s="854">
        <v>0</v>
      </c>
      <c r="DT558" s="1339">
        <v>0</v>
      </c>
      <c r="DU558" s="854"/>
      <c r="DV558" s="854"/>
      <c r="DW558" s="1339"/>
      <c r="DX558" s="854"/>
      <c r="DY558" s="854"/>
      <c r="DZ558" s="1339"/>
      <c r="EA558" s="854"/>
      <c r="EB558" s="854"/>
      <c r="EC558" s="1339"/>
      <c r="ED558" s="854"/>
      <c r="EE558" s="854"/>
      <c r="EF558" s="1339"/>
      <c r="EG558" s="854"/>
      <c r="EH558" s="854"/>
      <c r="EI558" s="1339"/>
      <c r="EJ558" s="854"/>
      <c r="EK558" s="854"/>
      <c r="EL558" s="1339"/>
      <c r="EM558" s="854"/>
      <c r="EN558" s="854"/>
      <c r="EO558" s="1339"/>
      <c r="EP558" s="854"/>
      <c r="EQ558" s="854"/>
      <c r="ER558" s="1339"/>
      <c r="ES558" s="854"/>
      <c r="ET558" s="854"/>
      <c r="EU558" s="1339"/>
      <c r="EV558" s="854"/>
      <c r="EW558" s="854"/>
      <c r="EX558" s="1339"/>
      <c r="EY558" s="854"/>
      <c r="EZ558" s="854"/>
      <c r="FA558" s="1339"/>
      <c r="FE558"/>
      <c r="FF558"/>
      <c r="FG558"/>
      <c r="FH558"/>
      <c r="FI558"/>
      <c r="FJ558"/>
      <c r="FK558" s="35"/>
    </row>
    <row r="559" spans="1:167" s="236" customFormat="1" ht="13.35" customHeight="1">
      <c r="A559" s="289"/>
      <c r="B559" s="401" t="s">
        <v>260</v>
      </c>
      <c r="C559" s="806"/>
      <c r="D559" s="289"/>
      <c r="E559" s="820"/>
      <c r="F559" s="820"/>
      <c r="G559" s="821"/>
      <c r="H559" s="820"/>
      <c r="I559" s="820"/>
      <c r="J559" s="821"/>
      <c r="K559" s="820"/>
      <c r="L559" s="820"/>
      <c r="M559" s="821"/>
      <c r="N559" s="820"/>
      <c r="O559" s="820"/>
      <c r="P559" s="821"/>
      <c r="Q559" s="809"/>
      <c r="R559" s="809"/>
      <c r="S559" s="810"/>
      <c r="T559" s="809"/>
      <c r="U559" s="809"/>
      <c r="V559" s="808"/>
      <c r="W559" s="807"/>
      <c r="X559" s="807"/>
      <c r="Y559" s="808"/>
      <c r="Z559" s="807"/>
      <c r="AA559" s="807"/>
      <c r="AB559" s="808"/>
      <c r="AC559" s="807"/>
      <c r="AD559" s="807"/>
      <c r="AE559" s="808"/>
      <c r="AF559" s="807"/>
      <c r="AG559" s="807"/>
      <c r="AH559" s="808"/>
      <c r="AI559" s="807"/>
      <c r="AJ559" s="807"/>
      <c r="AK559" s="808"/>
      <c r="AL559" s="807"/>
      <c r="AM559" s="807"/>
      <c r="AN559" s="808"/>
      <c r="AO559" s="807"/>
      <c r="AP559" s="807"/>
      <c r="AQ559" s="808"/>
      <c r="AR559" s="807"/>
      <c r="AS559" s="807"/>
      <c r="AT559" s="808"/>
      <c r="AU559" s="820"/>
      <c r="AV559" s="820"/>
      <c r="AW559" s="821"/>
      <c r="AX559" s="854">
        <v>0</v>
      </c>
      <c r="AY559" s="854">
        <v>0</v>
      </c>
      <c r="AZ559" s="854">
        <v>0</v>
      </c>
      <c r="BA559" s="854">
        <v>0</v>
      </c>
      <c r="BB559" s="854">
        <v>0</v>
      </c>
      <c r="BC559" s="854">
        <v>0</v>
      </c>
      <c r="BD559" s="854">
        <v>0</v>
      </c>
      <c r="BE559" s="854">
        <v>0</v>
      </c>
      <c r="BF559" s="854">
        <v>0</v>
      </c>
      <c r="BG559" s="854">
        <v>0</v>
      </c>
      <c r="BH559" s="854">
        <v>0</v>
      </c>
      <c r="BI559" s="854">
        <v>0</v>
      </c>
      <c r="BJ559" s="854">
        <v>0</v>
      </c>
      <c r="BK559" s="854">
        <v>0</v>
      </c>
      <c r="BL559" s="854">
        <v>0</v>
      </c>
      <c r="BM559" s="854">
        <v>0</v>
      </c>
      <c r="BN559" s="854">
        <v>0</v>
      </c>
      <c r="BO559" s="854">
        <v>0</v>
      </c>
      <c r="BP559" s="854">
        <v>0</v>
      </c>
      <c r="BQ559" s="854">
        <v>0</v>
      </c>
      <c r="BR559" s="854">
        <v>0</v>
      </c>
      <c r="BS559" s="854">
        <v>0</v>
      </c>
      <c r="BT559" s="854">
        <v>0</v>
      </c>
      <c r="BU559" s="854">
        <v>0</v>
      </c>
      <c r="BV559" s="854">
        <v>0</v>
      </c>
      <c r="BW559" s="854">
        <v>0</v>
      </c>
      <c r="BX559" s="854">
        <v>0</v>
      </c>
      <c r="BY559" s="854">
        <v>0</v>
      </c>
      <c r="BZ559" s="854">
        <v>0</v>
      </c>
      <c r="CA559" s="854">
        <v>0</v>
      </c>
      <c r="CB559" s="854">
        <v>0</v>
      </c>
      <c r="CC559" s="854">
        <v>0</v>
      </c>
      <c r="CD559" s="854">
        <v>0</v>
      </c>
      <c r="CE559" s="854">
        <v>0</v>
      </c>
      <c r="CF559" s="854">
        <v>0</v>
      </c>
      <c r="CG559" s="854">
        <v>0</v>
      </c>
      <c r="CH559" s="854">
        <v>0</v>
      </c>
      <c r="CI559" s="854">
        <v>0</v>
      </c>
      <c r="CJ559" s="854">
        <v>0</v>
      </c>
      <c r="CK559" s="854">
        <v>0</v>
      </c>
      <c r="CL559" s="854">
        <v>0</v>
      </c>
      <c r="CM559" s="854">
        <v>0</v>
      </c>
      <c r="CN559" s="854">
        <v>0</v>
      </c>
      <c r="CO559" s="854">
        <v>0</v>
      </c>
      <c r="CP559" s="854">
        <v>0</v>
      </c>
      <c r="CQ559" s="854">
        <v>0</v>
      </c>
      <c r="CR559" s="854">
        <v>0</v>
      </c>
      <c r="CS559" s="854">
        <v>0</v>
      </c>
      <c r="CT559" s="854">
        <v>0</v>
      </c>
      <c r="CU559" s="854">
        <v>0</v>
      </c>
      <c r="CV559" s="854">
        <v>0</v>
      </c>
      <c r="CW559" s="854">
        <v>0</v>
      </c>
      <c r="CX559" s="854">
        <v>0</v>
      </c>
      <c r="CY559" s="854">
        <v>0</v>
      </c>
      <c r="CZ559" s="854">
        <v>0</v>
      </c>
      <c r="DA559" s="854">
        <v>0</v>
      </c>
      <c r="DB559" s="854">
        <v>0</v>
      </c>
      <c r="DC559" s="854">
        <v>0</v>
      </c>
      <c r="DD559" s="854">
        <v>0</v>
      </c>
      <c r="DE559" s="854">
        <v>0</v>
      </c>
      <c r="DF559" s="854">
        <v>0</v>
      </c>
      <c r="DG559" s="854">
        <v>0</v>
      </c>
      <c r="DH559" s="1339">
        <v>0</v>
      </c>
      <c r="DI559" s="854">
        <v>0</v>
      </c>
      <c r="DJ559" s="854">
        <v>0</v>
      </c>
      <c r="DK559" s="1339">
        <v>0</v>
      </c>
      <c r="DL559" s="854">
        <v>0</v>
      </c>
      <c r="DM559" s="854">
        <v>0</v>
      </c>
      <c r="DN559" s="1339">
        <v>0</v>
      </c>
      <c r="DO559" s="854">
        <v>0</v>
      </c>
      <c r="DP559" s="854">
        <v>0</v>
      </c>
      <c r="DQ559" s="1339">
        <v>0</v>
      </c>
      <c r="DR559" s="854">
        <v>0</v>
      </c>
      <c r="DS559" s="854">
        <v>0</v>
      </c>
      <c r="DT559" s="1339">
        <v>0</v>
      </c>
      <c r="DU559" s="854"/>
      <c r="DV559" s="854"/>
      <c r="DW559" s="1339"/>
      <c r="DX559" s="854"/>
      <c r="DY559" s="854"/>
      <c r="DZ559" s="1339"/>
      <c r="EA559" s="854"/>
      <c r="EB559" s="854"/>
      <c r="EC559" s="1339"/>
      <c r="ED559" s="854"/>
      <c r="EE559" s="854"/>
      <c r="EF559" s="1339"/>
      <c r="EG559" s="854"/>
      <c r="EH559" s="854"/>
      <c r="EI559" s="1339"/>
      <c r="EJ559" s="854"/>
      <c r="EK559" s="854"/>
      <c r="EL559" s="1339"/>
      <c r="EM559" s="854"/>
      <c r="EN559" s="854"/>
      <c r="EO559" s="1339"/>
      <c r="EP559" s="854"/>
      <c r="EQ559" s="854"/>
      <c r="ER559" s="1339"/>
      <c r="ES559" s="854"/>
      <c r="ET559" s="854"/>
      <c r="EU559" s="1339"/>
      <c r="EV559" s="854"/>
      <c r="EW559" s="854"/>
      <c r="EX559" s="1339"/>
      <c r="EY559" s="854"/>
      <c r="EZ559" s="854"/>
      <c r="FA559" s="1339"/>
      <c r="FE559"/>
      <c r="FF559"/>
      <c r="FG559"/>
      <c r="FH559"/>
      <c r="FI559"/>
      <c r="FJ559"/>
      <c r="FK559" s="35"/>
    </row>
    <row r="560" spans="1:167" s="236" customFormat="1" ht="13.35" customHeight="1">
      <c r="A560" s="289"/>
      <c r="B560" s="401" t="s">
        <v>261</v>
      </c>
      <c r="C560" s="806"/>
      <c r="D560" s="289"/>
      <c r="E560" s="820"/>
      <c r="F560" s="820"/>
      <c r="G560" s="821"/>
      <c r="H560" s="820"/>
      <c r="I560" s="820"/>
      <c r="J560" s="821"/>
      <c r="K560" s="820"/>
      <c r="L560" s="820"/>
      <c r="M560" s="821"/>
      <c r="N560" s="820"/>
      <c r="O560" s="820"/>
      <c r="P560" s="821"/>
      <c r="Q560" s="809"/>
      <c r="R560" s="809"/>
      <c r="S560" s="810"/>
      <c r="T560" s="809"/>
      <c r="U560" s="809"/>
      <c r="V560" s="808"/>
      <c r="W560" s="807"/>
      <c r="X560" s="807"/>
      <c r="Y560" s="808"/>
      <c r="Z560" s="807"/>
      <c r="AA560" s="807"/>
      <c r="AB560" s="808"/>
      <c r="AC560" s="807"/>
      <c r="AD560" s="807"/>
      <c r="AE560" s="808"/>
      <c r="AF560" s="807"/>
      <c r="AG560" s="807"/>
      <c r="AH560" s="808"/>
      <c r="AI560" s="807"/>
      <c r="AJ560" s="807"/>
      <c r="AK560" s="808"/>
      <c r="AL560" s="807"/>
      <c r="AM560" s="807"/>
      <c r="AN560" s="808"/>
      <c r="AO560" s="807"/>
      <c r="AP560" s="807"/>
      <c r="AQ560" s="808"/>
      <c r="AR560" s="807"/>
      <c r="AS560" s="807"/>
      <c r="AT560" s="808"/>
      <c r="AU560" s="820"/>
      <c r="AV560" s="820"/>
      <c r="AW560" s="821"/>
      <c r="AX560" s="854">
        <v>0</v>
      </c>
      <c r="AY560" s="854">
        <v>0</v>
      </c>
      <c r="AZ560" s="854">
        <v>0</v>
      </c>
      <c r="BA560" s="854">
        <v>0</v>
      </c>
      <c r="BB560" s="854">
        <v>0</v>
      </c>
      <c r="BC560" s="854">
        <v>0</v>
      </c>
      <c r="BD560" s="854">
        <v>0</v>
      </c>
      <c r="BE560" s="854">
        <v>0</v>
      </c>
      <c r="BF560" s="854">
        <v>0</v>
      </c>
      <c r="BG560" s="854">
        <v>0</v>
      </c>
      <c r="BH560" s="854">
        <v>0</v>
      </c>
      <c r="BI560" s="854">
        <v>0</v>
      </c>
      <c r="BJ560" s="854">
        <v>0</v>
      </c>
      <c r="BK560" s="854">
        <v>0</v>
      </c>
      <c r="BL560" s="854">
        <v>0</v>
      </c>
      <c r="BM560" s="854">
        <v>0</v>
      </c>
      <c r="BN560" s="854">
        <v>0</v>
      </c>
      <c r="BO560" s="854">
        <v>0</v>
      </c>
      <c r="BP560" s="854">
        <v>0</v>
      </c>
      <c r="BQ560" s="854">
        <v>0</v>
      </c>
      <c r="BR560" s="854">
        <v>0</v>
      </c>
      <c r="BS560" s="854">
        <v>0</v>
      </c>
      <c r="BT560" s="854">
        <v>0</v>
      </c>
      <c r="BU560" s="854">
        <v>0</v>
      </c>
      <c r="BV560" s="854">
        <v>0</v>
      </c>
      <c r="BW560" s="854">
        <v>0</v>
      </c>
      <c r="BX560" s="854">
        <v>0</v>
      </c>
      <c r="BY560" s="854">
        <v>0</v>
      </c>
      <c r="BZ560" s="854">
        <v>0</v>
      </c>
      <c r="CA560" s="854">
        <v>0</v>
      </c>
      <c r="CB560" s="854">
        <v>0</v>
      </c>
      <c r="CC560" s="854">
        <v>0</v>
      </c>
      <c r="CD560" s="854">
        <v>0</v>
      </c>
      <c r="CE560" s="854">
        <v>0</v>
      </c>
      <c r="CF560" s="854">
        <v>0</v>
      </c>
      <c r="CG560" s="854">
        <v>0</v>
      </c>
      <c r="CH560" s="854">
        <v>0</v>
      </c>
      <c r="CI560" s="854">
        <v>0</v>
      </c>
      <c r="CJ560" s="854">
        <v>0</v>
      </c>
      <c r="CK560" s="854">
        <v>0</v>
      </c>
      <c r="CL560" s="854">
        <v>0</v>
      </c>
      <c r="CM560" s="854">
        <v>0</v>
      </c>
      <c r="CN560" s="854">
        <v>0</v>
      </c>
      <c r="CO560" s="854">
        <v>0</v>
      </c>
      <c r="CP560" s="854">
        <v>0</v>
      </c>
      <c r="CQ560" s="854">
        <v>0</v>
      </c>
      <c r="CR560" s="854">
        <v>0</v>
      </c>
      <c r="CS560" s="854">
        <v>0</v>
      </c>
      <c r="CT560" s="854">
        <v>0</v>
      </c>
      <c r="CU560" s="854">
        <v>0</v>
      </c>
      <c r="CV560" s="854">
        <v>0</v>
      </c>
      <c r="CW560" s="854">
        <v>0</v>
      </c>
      <c r="CX560" s="854">
        <v>0</v>
      </c>
      <c r="CY560" s="854">
        <v>0</v>
      </c>
      <c r="CZ560" s="854">
        <v>0</v>
      </c>
      <c r="DA560" s="854">
        <v>0</v>
      </c>
      <c r="DB560" s="854">
        <v>0</v>
      </c>
      <c r="DC560" s="854">
        <v>0</v>
      </c>
      <c r="DD560" s="854">
        <v>0</v>
      </c>
      <c r="DE560" s="854">
        <v>0</v>
      </c>
      <c r="DF560" s="854">
        <v>0</v>
      </c>
      <c r="DG560" s="854">
        <v>0</v>
      </c>
      <c r="DH560" s="1339">
        <v>0</v>
      </c>
      <c r="DI560" s="854">
        <v>0</v>
      </c>
      <c r="DJ560" s="854">
        <v>0</v>
      </c>
      <c r="DK560" s="1339">
        <v>0</v>
      </c>
      <c r="DL560" s="854">
        <v>0</v>
      </c>
      <c r="DM560" s="854">
        <v>0</v>
      </c>
      <c r="DN560" s="1339">
        <v>0</v>
      </c>
      <c r="DO560" s="854">
        <v>0</v>
      </c>
      <c r="DP560" s="854">
        <v>0</v>
      </c>
      <c r="DQ560" s="1339">
        <v>0</v>
      </c>
      <c r="DR560" s="854">
        <v>0</v>
      </c>
      <c r="DS560" s="854">
        <v>0</v>
      </c>
      <c r="DT560" s="1339">
        <v>0</v>
      </c>
      <c r="DU560" s="854"/>
      <c r="DV560" s="854"/>
      <c r="DW560" s="1339"/>
      <c r="DX560" s="854"/>
      <c r="DY560" s="854"/>
      <c r="DZ560" s="1339"/>
      <c r="EA560" s="854"/>
      <c r="EB560" s="854"/>
      <c r="EC560" s="1339"/>
      <c r="ED560" s="854"/>
      <c r="EE560" s="854"/>
      <c r="EF560" s="1339"/>
      <c r="EG560" s="854"/>
      <c r="EH560" s="854"/>
      <c r="EI560" s="1339"/>
      <c r="EJ560" s="854"/>
      <c r="EK560" s="854"/>
      <c r="EL560" s="1339"/>
      <c r="EM560" s="854"/>
      <c r="EN560" s="854"/>
      <c r="EO560" s="1339"/>
      <c r="EP560" s="854"/>
      <c r="EQ560" s="854"/>
      <c r="ER560" s="1339"/>
      <c r="ES560" s="854"/>
      <c r="ET560" s="854"/>
      <c r="EU560" s="1339"/>
      <c r="EV560" s="854"/>
      <c r="EW560" s="854"/>
      <c r="EX560" s="1339"/>
      <c r="EY560" s="854"/>
      <c r="EZ560" s="854"/>
      <c r="FA560" s="1339"/>
      <c r="FE560"/>
      <c r="FF560"/>
      <c r="FG560"/>
      <c r="FH560"/>
      <c r="FI560"/>
      <c r="FJ560"/>
      <c r="FK560" s="35"/>
    </row>
    <row r="561" spans="1:167" s="236" customFormat="1" ht="13.35" customHeight="1">
      <c r="A561" s="289"/>
      <c r="B561" s="401" t="s">
        <v>228</v>
      </c>
      <c r="C561" s="806"/>
      <c r="D561" s="289"/>
      <c r="E561" s="820"/>
      <c r="F561" s="820"/>
      <c r="G561" s="821"/>
      <c r="H561" s="820"/>
      <c r="I561" s="820"/>
      <c r="J561" s="821"/>
      <c r="K561" s="820"/>
      <c r="L561" s="820"/>
      <c r="M561" s="821"/>
      <c r="N561" s="820"/>
      <c r="O561" s="820"/>
      <c r="P561" s="821"/>
      <c r="Q561" s="809"/>
      <c r="R561" s="809"/>
      <c r="S561" s="810"/>
      <c r="T561" s="809"/>
      <c r="U561" s="809"/>
      <c r="V561" s="808"/>
      <c r="W561" s="807"/>
      <c r="X561" s="807"/>
      <c r="Y561" s="808"/>
      <c r="Z561" s="807"/>
      <c r="AA561" s="807"/>
      <c r="AB561" s="808"/>
      <c r="AC561" s="807"/>
      <c r="AD561" s="807"/>
      <c r="AE561" s="808"/>
      <c r="AF561" s="807"/>
      <c r="AG561" s="807"/>
      <c r="AH561" s="808"/>
      <c r="AI561" s="807"/>
      <c r="AJ561" s="807"/>
      <c r="AK561" s="808"/>
      <c r="AL561" s="807"/>
      <c r="AM561" s="807"/>
      <c r="AN561" s="808"/>
      <c r="AO561" s="807"/>
      <c r="AP561" s="807"/>
      <c r="AQ561" s="808"/>
      <c r="AR561" s="807"/>
      <c r="AS561" s="807"/>
      <c r="AT561" s="808"/>
      <c r="AU561" s="820"/>
      <c r="AV561" s="820"/>
      <c r="AW561" s="821"/>
      <c r="AX561" s="854">
        <v>0</v>
      </c>
      <c r="AY561" s="854">
        <v>0</v>
      </c>
      <c r="AZ561" s="854">
        <v>0</v>
      </c>
      <c r="BA561" s="854">
        <v>0</v>
      </c>
      <c r="BB561" s="854">
        <v>0</v>
      </c>
      <c r="BC561" s="854">
        <v>0</v>
      </c>
      <c r="BD561" s="854">
        <v>0</v>
      </c>
      <c r="BE561" s="854">
        <v>0</v>
      </c>
      <c r="BF561" s="854">
        <v>0</v>
      </c>
      <c r="BG561" s="854">
        <v>0</v>
      </c>
      <c r="BH561" s="854">
        <v>0</v>
      </c>
      <c r="BI561" s="854">
        <v>0</v>
      </c>
      <c r="BJ561" s="854">
        <v>0</v>
      </c>
      <c r="BK561" s="854">
        <v>0</v>
      </c>
      <c r="BL561" s="854">
        <v>0</v>
      </c>
      <c r="BM561" s="854">
        <v>0</v>
      </c>
      <c r="BN561" s="854">
        <v>0</v>
      </c>
      <c r="BO561" s="854">
        <v>0</v>
      </c>
      <c r="BP561" s="854">
        <v>0</v>
      </c>
      <c r="BQ561" s="854">
        <v>0</v>
      </c>
      <c r="BR561" s="854">
        <v>0</v>
      </c>
      <c r="BS561" s="854">
        <v>0</v>
      </c>
      <c r="BT561" s="854">
        <v>0</v>
      </c>
      <c r="BU561" s="854">
        <v>0</v>
      </c>
      <c r="BV561" s="854">
        <v>0</v>
      </c>
      <c r="BW561" s="854">
        <v>0</v>
      </c>
      <c r="BX561" s="854">
        <v>0</v>
      </c>
      <c r="BY561" s="854">
        <v>0</v>
      </c>
      <c r="BZ561" s="854">
        <v>0</v>
      </c>
      <c r="CA561" s="854">
        <v>0</v>
      </c>
      <c r="CB561" s="854">
        <v>0</v>
      </c>
      <c r="CC561" s="854">
        <v>0</v>
      </c>
      <c r="CD561" s="854">
        <v>0</v>
      </c>
      <c r="CE561" s="854">
        <v>0</v>
      </c>
      <c r="CF561" s="854">
        <v>0</v>
      </c>
      <c r="CG561" s="854">
        <v>0</v>
      </c>
      <c r="CH561" s="854">
        <v>0</v>
      </c>
      <c r="CI561" s="854">
        <v>0</v>
      </c>
      <c r="CJ561" s="854">
        <v>0</v>
      </c>
      <c r="CK561" s="854">
        <v>0</v>
      </c>
      <c r="CL561" s="854">
        <v>0</v>
      </c>
      <c r="CM561" s="854">
        <v>0</v>
      </c>
      <c r="CN561" s="854">
        <v>0</v>
      </c>
      <c r="CO561" s="854">
        <v>0</v>
      </c>
      <c r="CP561" s="854">
        <v>0</v>
      </c>
      <c r="CQ561" s="854">
        <v>0</v>
      </c>
      <c r="CR561" s="854">
        <v>0</v>
      </c>
      <c r="CS561" s="854">
        <v>0</v>
      </c>
      <c r="CT561" s="854">
        <v>0</v>
      </c>
      <c r="CU561" s="854">
        <v>0</v>
      </c>
      <c r="CV561" s="854">
        <v>0</v>
      </c>
      <c r="CW561" s="854">
        <v>0</v>
      </c>
      <c r="CX561" s="854">
        <v>0</v>
      </c>
      <c r="CY561" s="854">
        <v>0</v>
      </c>
      <c r="CZ561" s="854">
        <v>0</v>
      </c>
      <c r="DA561" s="854">
        <v>0</v>
      </c>
      <c r="DB561" s="854">
        <v>0</v>
      </c>
      <c r="DC561" s="854">
        <v>0</v>
      </c>
      <c r="DD561" s="854">
        <v>0</v>
      </c>
      <c r="DE561" s="854">
        <v>0</v>
      </c>
      <c r="DF561" s="854">
        <v>0</v>
      </c>
      <c r="DG561" s="854">
        <v>0</v>
      </c>
      <c r="DH561" s="1339">
        <v>0</v>
      </c>
      <c r="DI561" s="854">
        <v>0</v>
      </c>
      <c r="DJ561" s="854">
        <v>0</v>
      </c>
      <c r="DK561" s="1339">
        <v>0</v>
      </c>
      <c r="DL561" s="854">
        <v>0</v>
      </c>
      <c r="DM561" s="854">
        <v>0</v>
      </c>
      <c r="DN561" s="1339">
        <v>0</v>
      </c>
      <c r="DO561" s="854">
        <v>0</v>
      </c>
      <c r="DP561" s="854">
        <v>0</v>
      </c>
      <c r="DQ561" s="1339">
        <v>0</v>
      </c>
      <c r="DR561" s="854">
        <v>0</v>
      </c>
      <c r="DS561" s="854">
        <v>0</v>
      </c>
      <c r="DT561" s="1339">
        <v>0</v>
      </c>
      <c r="DU561" s="854"/>
      <c r="DV561" s="854"/>
      <c r="DW561" s="1339"/>
      <c r="DX561" s="854"/>
      <c r="DY561" s="854"/>
      <c r="DZ561" s="1339"/>
      <c r="EA561" s="854"/>
      <c r="EB561" s="854"/>
      <c r="EC561" s="1339"/>
      <c r="ED561" s="854"/>
      <c r="EE561" s="854"/>
      <c r="EF561" s="1339"/>
      <c r="EG561" s="854"/>
      <c r="EH561" s="854"/>
      <c r="EI561" s="1339"/>
      <c r="EJ561" s="854"/>
      <c r="EK561" s="854"/>
      <c r="EL561" s="1339"/>
      <c r="EM561" s="854"/>
      <c r="EN561" s="854"/>
      <c r="EO561" s="1339"/>
      <c r="EP561" s="854"/>
      <c r="EQ561" s="854"/>
      <c r="ER561" s="1339"/>
      <c r="ES561" s="854"/>
      <c r="ET561" s="854"/>
      <c r="EU561" s="1339"/>
      <c r="EV561" s="854"/>
      <c r="EW561" s="854"/>
      <c r="EX561" s="1339"/>
      <c r="EY561" s="854"/>
      <c r="EZ561" s="854"/>
      <c r="FA561" s="1339"/>
      <c r="FE561"/>
      <c r="FF561"/>
      <c r="FG561"/>
      <c r="FH561"/>
      <c r="FI561"/>
      <c r="FJ561"/>
      <c r="FK561" s="35"/>
    </row>
    <row r="562" spans="1:167" s="236" customFormat="1" ht="13.35" customHeight="1">
      <c r="A562" s="289"/>
      <c r="B562" s="401" t="s">
        <v>242</v>
      </c>
      <c r="C562" s="806"/>
      <c r="D562" s="289"/>
      <c r="E562" s="820"/>
      <c r="F562" s="820"/>
      <c r="G562" s="821"/>
      <c r="H562" s="820"/>
      <c r="I562" s="820"/>
      <c r="J562" s="821"/>
      <c r="K562" s="820"/>
      <c r="L562" s="820"/>
      <c r="M562" s="821"/>
      <c r="N562" s="820"/>
      <c r="O562" s="820"/>
      <c r="P562" s="821"/>
      <c r="Q562" s="809"/>
      <c r="R562" s="809"/>
      <c r="S562" s="810"/>
      <c r="T562" s="809"/>
      <c r="U562" s="809"/>
      <c r="V562" s="808"/>
      <c r="W562" s="807"/>
      <c r="X562" s="807"/>
      <c r="Y562" s="808"/>
      <c r="Z562" s="807"/>
      <c r="AA562" s="807"/>
      <c r="AB562" s="808"/>
      <c r="AC562" s="807"/>
      <c r="AD562" s="807"/>
      <c r="AE562" s="808"/>
      <c r="AF562" s="807"/>
      <c r="AG562" s="807"/>
      <c r="AH562" s="808"/>
      <c r="AI562" s="807"/>
      <c r="AJ562" s="807"/>
      <c r="AK562" s="808"/>
      <c r="AL562" s="807"/>
      <c r="AM562" s="807"/>
      <c r="AN562" s="808"/>
      <c r="AO562" s="807"/>
      <c r="AP562" s="807"/>
      <c r="AQ562" s="808"/>
      <c r="AR562" s="807"/>
      <c r="AS562" s="807"/>
      <c r="AT562" s="808"/>
      <c r="AU562" s="820"/>
      <c r="AV562" s="820"/>
      <c r="AW562" s="821"/>
      <c r="AX562" s="854">
        <v>0</v>
      </c>
      <c r="AY562" s="854">
        <v>0</v>
      </c>
      <c r="AZ562" s="854">
        <v>0</v>
      </c>
      <c r="BA562" s="854">
        <v>0</v>
      </c>
      <c r="BB562" s="854">
        <v>0</v>
      </c>
      <c r="BC562" s="854">
        <v>0</v>
      </c>
      <c r="BD562" s="854">
        <v>0</v>
      </c>
      <c r="BE562" s="854">
        <v>0</v>
      </c>
      <c r="BF562" s="854">
        <v>0</v>
      </c>
      <c r="BG562" s="854">
        <v>0</v>
      </c>
      <c r="BH562" s="854">
        <v>0</v>
      </c>
      <c r="BI562" s="854">
        <v>0</v>
      </c>
      <c r="BJ562" s="854">
        <v>0</v>
      </c>
      <c r="BK562" s="854">
        <v>0</v>
      </c>
      <c r="BL562" s="854">
        <v>0</v>
      </c>
      <c r="BM562" s="854">
        <v>0</v>
      </c>
      <c r="BN562" s="854">
        <v>0</v>
      </c>
      <c r="BO562" s="854">
        <v>0</v>
      </c>
      <c r="BP562" s="854">
        <v>0</v>
      </c>
      <c r="BQ562" s="854">
        <v>0</v>
      </c>
      <c r="BR562" s="854">
        <v>0</v>
      </c>
      <c r="BS562" s="854">
        <v>0</v>
      </c>
      <c r="BT562" s="854">
        <v>0</v>
      </c>
      <c r="BU562" s="854">
        <v>0</v>
      </c>
      <c r="BV562" s="854">
        <v>0</v>
      </c>
      <c r="BW562" s="854">
        <v>0</v>
      </c>
      <c r="BX562" s="854">
        <v>0</v>
      </c>
      <c r="BY562" s="854">
        <v>0</v>
      </c>
      <c r="BZ562" s="854">
        <v>0</v>
      </c>
      <c r="CA562" s="854">
        <v>0</v>
      </c>
      <c r="CB562" s="854">
        <v>0</v>
      </c>
      <c r="CC562" s="854">
        <v>0</v>
      </c>
      <c r="CD562" s="854">
        <v>0</v>
      </c>
      <c r="CE562" s="854">
        <v>0</v>
      </c>
      <c r="CF562" s="854">
        <v>0</v>
      </c>
      <c r="CG562" s="854">
        <v>0</v>
      </c>
      <c r="CH562" s="854">
        <v>0</v>
      </c>
      <c r="CI562" s="854">
        <v>0</v>
      </c>
      <c r="CJ562" s="854">
        <v>0</v>
      </c>
      <c r="CK562" s="854">
        <v>0</v>
      </c>
      <c r="CL562" s="854">
        <v>0</v>
      </c>
      <c r="CM562" s="854">
        <v>0</v>
      </c>
      <c r="CN562" s="854">
        <v>0</v>
      </c>
      <c r="CO562" s="854">
        <v>0</v>
      </c>
      <c r="CP562" s="854">
        <v>0</v>
      </c>
      <c r="CQ562" s="854">
        <v>0</v>
      </c>
      <c r="CR562" s="854">
        <v>0</v>
      </c>
      <c r="CS562" s="854">
        <v>0</v>
      </c>
      <c r="CT562" s="854">
        <v>0</v>
      </c>
      <c r="CU562" s="854">
        <v>0</v>
      </c>
      <c r="CV562" s="854">
        <v>0</v>
      </c>
      <c r="CW562" s="854">
        <v>0</v>
      </c>
      <c r="CX562" s="854">
        <v>0</v>
      </c>
      <c r="CY562" s="854">
        <v>0</v>
      </c>
      <c r="CZ562" s="854">
        <v>0</v>
      </c>
      <c r="DA562" s="854">
        <v>0</v>
      </c>
      <c r="DB562" s="854">
        <v>0</v>
      </c>
      <c r="DC562" s="854">
        <v>0</v>
      </c>
      <c r="DD562" s="854">
        <v>0</v>
      </c>
      <c r="DE562" s="854">
        <v>0</v>
      </c>
      <c r="DF562" s="854">
        <v>0</v>
      </c>
      <c r="DG562" s="854">
        <v>0</v>
      </c>
      <c r="DH562" s="1339">
        <v>0</v>
      </c>
      <c r="DI562" s="854">
        <v>0</v>
      </c>
      <c r="DJ562" s="854">
        <v>0</v>
      </c>
      <c r="DK562" s="1339">
        <v>0</v>
      </c>
      <c r="DL562" s="854">
        <v>0</v>
      </c>
      <c r="DM562" s="854">
        <v>0</v>
      </c>
      <c r="DN562" s="1339">
        <v>0</v>
      </c>
      <c r="DO562" s="854">
        <v>0</v>
      </c>
      <c r="DP562" s="854">
        <v>0</v>
      </c>
      <c r="DQ562" s="1339">
        <v>0</v>
      </c>
      <c r="DR562" s="854">
        <v>0</v>
      </c>
      <c r="DS562" s="854">
        <v>0</v>
      </c>
      <c r="DT562" s="1339">
        <v>0</v>
      </c>
      <c r="DU562" s="854"/>
      <c r="DV562" s="854"/>
      <c r="DW562" s="1339"/>
      <c r="DX562" s="854"/>
      <c r="DY562" s="854"/>
      <c r="DZ562" s="1339"/>
      <c r="EA562" s="854"/>
      <c r="EB562" s="854"/>
      <c r="EC562" s="1339"/>
      <c r="ED562" s="854"/>
      <c r="EE562" s="854"/>
      <c r="EF562" s="1339"/>
      <c r="EG562" s="854"/>
      <c r="EH562" s="854"/>
      <c r="EI562" s="1339"/>
      <c r="EJ562" s="854"/>
      <c r="EK562" s="854"/>
      <c r="EL562" s="1339"/>
      <c r="EM562" s="854"/>
      <c r="EN562" s="854"/>
      <c r="EO562" s="1339"/>
      <c r="EP562" s="854"/>
      <c r="EQ562" s="854"/>
      <c r="ER562" s="1339"/>
      <c r="ES562" s="854"/>
      <c r="ET562" s="854"/>
      <c r="EU562" s="1339"/>
      <c r="EV562" s="854"/>
      <c r="EW562" s="854"/>
      <c r="EX562" s="1339"/>
      <c r="EY562" s="854"/>
      <c r="EZ562" s="854"/>
      <c r="FA562" s="1339"/>
      <c r="FE562"/>
      <c r="FF562"/>
      <c r="FG562"/>
      <c r="FH562"/>
      <c r="FI562"/>
      <c r="FJ562"/>
      <c r="FK562" s="35"/>
    </row>
    <row r="563" spans="1:167" s="236" customFormat="1" ht="12.75" customHeight="1">
      <c r="A563" s="289"/>
      <c r="B563" s="401" t="s">
        <v>230</v>
      </c>
      <c r="C563" s="806"/>
      <c r="D563" s="289"/>
      <c r="E563" s="820"/>
      <c r="F563" s="820"/>
      <c r="G563" s="821"/>
      <c r="H563" s="820"/>
      <c r="I563" s="820"/>
      <c r="J563" s="821"/>
      <c r="K563" s="820"/>
      <c r="L563" s="820"/>
      <c r="M563" s="821"/>
      <c r="N563" s="820"/>
      <c r="O563" s="820"/>
      <c r="P563" s="821"/>
      <c r="Q563" s="809"/>
      <c r="R563" s="809"/>
      <c r="S563" s="810"/>
      <c r="T563" s="809"/>
      <c r="U563" s="809"/>
      <c r="V563" s="808"/>
      <c r="W563" s="807"/>
      <c r="X563" s="807"/>
      <c r="Y563" s="808"/>
      <c r="Z563" s="807"/>
      <c r="AA563" s="807"/>
      <c r="AB563" s="808"/>
      <c r="AC563" s="807"/>
      <c r="AD563" s="807"/>
      <c r="AE563" s="808"/>
      <c r="AF563" s="807"/>
      <c r="AG563" s="807"/>
      <c r="AH563" s="808"/>
      <c r="AI563" s="807"/>
      <c r="AJ563" s="807"/>
      <c r="AK563" s="808"/>
      <c r="AL563" s="807"/>
      <c r="AM563" s="807"/>
      <c r="AN563" s="808"/>
      <c r="AO563" s="807"/>
      <c r="AP563" s="807"/>
      <c r="AQ563" s="808"/>
      <c r="AR563" s="807"/>
      <c r="AS563" s="807"/>
      <c r="AT563" s="808"/>
      <c r="AU563" s="820"/>
      <c r="AV563" s="820"/>
      <c r="AW563" s="821"/>
      <c r="AX563" s="855">
        <f>AX556-(AX557*AX558)-(AX559*AX560)+(AX561*AX562)</f>
        <v>0</v>
      </c>
      <c r="AY563" s="855">
        <f t="shared" ref="AY563:DJ563" si="1368">AY556-(AY557*AY558)-(AY559*AY560)+(AY561*AY562)</f>
        <v>0</v>
      </c>
      <c r="AZ563" s="855">
        <f t="shared" si="1368"/>
        <v>0</v>
      </c>
      <c r="BA563" s="855">
        <f t="shared" si="1368"/>
        <v>0</v>
      </c>
      <c r="BB563" s="855">
        <f t="shared" si="1368"/>
        <v>0</v>
      </c>
      <c r="BC563" s="855">
        <f t="shared" si="1368"/>
        <v>0</v>
      </c>
      <c r="BD563" s="855">
        <f t="shared" si="1368"/>
        <v>0</v>
      </c>
      <c r="BE563" s="855">
        <f t="shared" si="1368"/>
        <v>0</v>
      </c>
      <c r="BF563" s="855">
        <f t="shared" si="1368"/>
        <v>0</v>
      </c>
      <c r="BG563" s="855">
        <f t="shared" si="1368"/>
        <v>0</v>
      </c>
      <c r="BH563" s="855">
        <f t="shared" si="1368"/>
        <v>0</v>
      </c>
      <c r="BI563" s="855">
        <f t="shared" si="1368"/>
        <v>0</v>
      </c>
      <c r="BJ563" s="855">
        <f t="shared" si="1368"/>
        <v>0</v>
      </c>
      <c r="BK563" s="855">
        <f t="shared" si="1368"/>
        <v>0</v>
      </c>
      <c r="BL563" s="855">
        <f t="shared" si="1368"/>
        <v>0</v>
      </c>
      <c r="BM563" s="855">
        <f t="shared" si="1368"/>
        <v>0</v>
      </c>
      <c r="BN563" s="855">
        <f t="shared" si="1368"/>
        <v>0</v>
      </c>
      <c r="BO563" s="855">
        <f t="shared" si="1368"/>
        <v>0</v>
      </c>
      <c r="BP563" s="855">
        <f t="shared" si="1368"/>
        <v>0</v>
      </c>
      <c r="BQ563" s="855">
        <f t="shared" si="1368"/>
        <v>0</v>
      </c>
      <c r="BR563" s="855">
        <f t="shared" si="1368"/>
        <v>0</v>
      </c>
      <c r="BS563" s="855">
        <f t="shared" si="1368"/>
        <v>0</v>
      </c>
      <c r="BT563" s="855">
        <f t="shared" si="1368"/>
        <v>0</v>
      </c>
      <c r="BU563" s="855">
        <f t="shared" si="1368"/>
        <v>0</v>
      </c>
      <c r="BV563" s="855">
        <f t="shared" si="1368"/>
        <v>0</v>
      </c>
      <c r="BW563" s="855">
        <f t="shared" si="1368"/>
        <v>0</v>
      </c>
      <c r="BX563" s="855">
        <f t="shared" si="1368"/>
        <v>0</v>
      </c>
      <c r="BY563" s="855">
        <f t="shared" si="1368"/>
        <v>0</v>
      </c>
      <c r="BZ563" s="855">
        <f t="shared" si="1368"/>
        <v>0</v>
      </c>
      <c r="CA563" s="855">
        <f t="shared" si="1368"/>
        <v>0</v>
      </c>
      <c r="CB563" s="855">
        <f t="shared" si="1368"/>
        <v>0</v>
      </c>
      <c r="CC563" s="855">
        <f t="shared" si="1368"/>
        <v>0</v>
      </c>
      <c r="CD563" s="855">
        <f t="shared" si="1368"/>
        <v>0</v>
      </c>
      <c r="CE563" s="855">
        <f t="shared" si="1368"/>
        <v>0</v>
      </c>
      <c r="CF563" s="855">
        <f t="shared" si="1368"/>
        <v>0</v>
      </c>
      <c r="CG563" s="855">
        <f t="shared" si="1368"/>
        <v>0</v>
      </c>
      <c r="CH563" s="855">
        <f t="shared" si="1368"/>
        <v>0</v>
      </c>
      <c r="CI563" s="855">
        <f t="shared" si="1368"/>
        <v>0</v>
      </c>
      <c r="CJ563" s="855">
        <f t="shared" si="1368"/>
        <v>0</v>
      </c>
      <c r="CK563" s="855">
        <f t="shared" si="1368"/>
        <v>0</v>
      </c>
      <c r="CL563" s="855">
        <f t="shared" si="1368"/>
        <v>0</v>
      </c>
      <c r="CM563" s="855">
        <f t="shared" si="1368"/>
        <v>0</v>
      </c>
      <c r="CN563" s="855">
        <f t="shared" si="1368"/>
        <v>0</v>
      </c>
      <c r="CO563" s="855">
        <f t="shared" si="1368"/>
        <v>0</v>
      </c>
      <c r="CP563" s="855">
        <f t="shared" si="1368"/>
        <v>0</v>
      </c>
      <c r="CQ563" s="855">
        <f t="shared" si="1368"/>
        <v>0</v>
      </c>
      <c r="CR563" s="855">
        <f t="shared" si="1368"/>
        <v>0</v>
      </c>
      <c r="CS563" s="855">
        <f t="shared" si="1368"/>
        <v>0</v>
      </c>
      <c r="CT563" s="855">
        <f t="shared" si="1368"/>
        <v>0</v>
      </c>
      <c r="CU563" s="855">
        <f t="shared" si="1368"/>
        <v>0</v>
      </c>
      <c r="CV563" s="855">
        <f t="shared" si="1368"/>
        <v>0</v>
      </c>
      <c r="CW563" s="855">
        <f t="shared" si="1368"/>
        <v>0</v>
      </c>
      <c r="CX563" s="855">
        <f t="shared" si="1368"/>
        <v>0</v>
      </c>
      <c r="CY563" s="855">
        <f t="shared" si="1368"/>
        <v>0</v>
      </c>
      <c r="CZ563" s="855">
        <f t="shared" si="1368"/>
        <v>0</v>
      </c>
      <c r="DA563" s="855">
        <f t="shared" si="1368"/>
        <v>0</v>
      </c>
      <c r="DB563" s="855">
        <f t="shared" si="1368"/>
        <v>0</v>
      </c>
      <c r="DC563" s="855">
        <f t="shared" si="1368"/>
        <v>0</v>
      </c>
      <c r="DD563" s="855">
        <f t="shared" si="1368"/>
        <v>0</v>
      </c>
      <c r="DE563" s="855">
        <f t="shared" si="1368"/>
        <v>0</v>
      </c>
      <c r="DF563" s="855">
        <f t="shared" si="1368"/>
        <v>0</v>
      </c>
      <c r="DG563" s="855">
        <f t="shared" si="1368"/>
        <v>0</v>
      </c>
      <c r="DH563" s="1338">
        <f t="shared" si="1368"/>
        <v>0</v>
      </c>
      <c r="DI563" s="855">
        <f t="shared" si="1368"/>
        <v>0</v>
      </c>
      <c r="DJ563" s="855">
        <f t="shared" si="1368"/>
        <v>0</v>
      </c>
      <c r="DK563" s="1338">
        <f>DK556-(DK557*DK558)-(DK559*DK560)+(DK561*DK562)</f>
        <v>0</v>
      </c>
      <c r="DL563" s="855">
        <f>DL556-(DL557*DL558)-(DL559*DL560)+(DL561*DL562)</f>
        <v>0</v>
      </c>
      <c r="DM563" s="855">
        <f>DM556-(DM557*DM558)-(DM559*DM560)+(DM561*DM562)</f>
        <v>0</v>
      </c>
      <c r="DN563" s="1338">
        <f>DN556-(DN557*DN558)-(DN559*DN560)+(DN561*DN562)</f>
        <v>0</v>
      </c>
      <c r="DO563" s="855">
        <f t="shared" ref="DO563:DT563" si="1369">DO556-(DO557*DO558)-(DO559*DO560)+(DO561*DO562)</f>
        <v>0</v>
      </c>
      <c r="DP563" s="855">
        <f t="shared" si="1369"/>
        <v>0</v>
      </c>
      <c r="DQ563" s="1338">
        <f t="shared" si="1369"/>
        <v>0</v>
      </c>
      <c r="DR563" s="855">
        <f t="shared" si="1369"/>
        <v>0</v>
      </c>
      <c r="DS563" s="855">
        <f t="shared" si="1369"/>
        <v>0</v>
      </c>
      <c r="DT563" s="1338">
        <f t="shared" si="1369"/>
        <v>0</v>
      </c>
      <c r="DU563" s="855"/>
      <c r="DV563" s="855"/>
      <c r="DW563" s="1338"/>
      <c r="DX563" s="855"/>
      <c r="DY563" s="855"/>
      <c r="DZ563" s="1338"/>
      <c r="EA563" s="855"/>
      <c r="EB563" s="855"/>
      <c r="EC563" s="1338"/>
      <c r="ED563" s="855"/>
      <c r="EE563" s="855"/>
      <c r="EF563" s="1338"/>
      <c r="EG563" s="855"/>
      <c r="EH563" s="855"/>
      <c r="EI563" s="1338"/>
      <c r="EJ563" s="855"/>
      <c r="EK563" s="855"/>
      <c r="EL563" s="1338"/>
      <c r="EM563" s="855"/>
      <c r="EN563" s="855"/>
      <c r="EO563" s="1338"/>
      <c r="EP563" s="855"/>
      <c r="EQ563" s="855"/>
      <c r="ER563" s="1338"/>
      <c r="ES563" s="855"/>
      <c r="ET563" s="855"/>
      <c r="EU563" s="1338"/>
      <c r="EV563" s="855"/>
      <c r="EW563" s="855"/>
      <c r="EX563" s="1338"/>
      <c r="EY563" s="855"/>
      <c r="EZ563" s="855"/>
      <c r="FA563" s="1338"/>
      <c r="FE563"/>
      <c r="FF563"/>
      <c r="FG563"/>
      <c r="FH563"/>
      <c r="FI563"/>
      <c r="FJ563"/>
      <c r="FK563" s="35"/>
    </row>
    <row r="564" spans="1:167" s="236" customFormat="1" ht="13.35" customHeight="1">
      <c r="A564" s="289"/>
      <c r="B564" s="401" t="s">
        <v>229</v>
      </c>
      <c r="C564" s="806"/>
      <c r="D564" s="289"/>
      <c r="E564" s="820"/>
      <c r="F564" s="820"/>
      <c r="G564" s="821"/>
      <c r="H564" s="820"/>
      <c r="I564" s="820"/>
      <c r="J564" s="821"/>
      <c r="K564" s="820"/>
      <c r="L564" s="820"/>
      <c r="M564" s="821"/>
      <c r="N564" s="820"/>
      <c r="O564" s="820"/>
      <c r="P564" s="821"/>
      <c r="Q564" s="809"/>
      <c r="R564" s="809"/>
      <c r="S564" s="810"/>
      <c r="T564" s="809"/>
      <c r="U564" s="809"/>
      <c r="V564" s="808"/>
      <c r="W564" s="807"/>
      <c r="X564" s="807"/>
      <c r="Y564" s="808"/>
      <c r="Z564" s="807"/>
      <c r="AA564" s="807"/>
      <c r="AB564" s="808"/>
      <c r="AC564" s="807"/>
      <c r="AD564" s="807"/>
      <c r="AE564" s="808"/>
      <c r="AF564" s="807"/>
      <c r="AG564" s="807"/>
      <c r="AH564" s="808"/>
      <c r="AI564" s="807"/>
      <c r="AJ564" s="807"/>
      <c r="AK564" s="808"/>
      <c r="AL564" s="807"/>
      <c r="AM564" s="807"/>
      <c r="AN564" s="808"/>
      <c r="AO564" s="807"/>
      <c r="AP564" s="807"/>
      <c r="AQ564" s="808"/>
      <c r="AR564" s="807"/>
      <c r="AS564" s="807"/>
      <c r="AT564" s="808"/>
      <c r="AU564" s="820"/>
      <c r="AV564" s="820"/>
      <c r="AW564" s="821"/>
      <c r="AX564" s="855">
        <f>AX556-AX557-AX559+AX561</f>
        <v>0</v>
      </c>
      <c r="AY564" s="855">
        <f t="shared" ref="AY564:DJ564" si="1370">AY556-AY557-AY559+AY561</f>
        <v>0</v>
      </c>
      <c r="AZ564" s="855">
        <f t="shared" si="1370"/>
        <v>0</v>
      </c>
      <c r="BA564" s="855">
        <f t="shared" si="1370"/>
        <v>0</v>
      </c>
      <c r="BB564" s="855">
        <f t="shared" si="1370"/>
        <v>0</v>
      </c>
      <c r="BC564" s="855">
        <f t="shared" si="1370"/>
        <v>0</v>
      </c>
      <c r="BD564" s="855">
        <f t="shared" si="1370"/>
        <v>0</v>
      </c>
      <c r="BE564" s="855">
        <f t="shared" si="1370"/>
        <v>0</v>
      </c>
      <c r="BF564" s="855">
        <f t="shared" si="1370"/>
        <v>0</v>
      </c>
      <c r="BG564" s="855">
        <f t="shared" si="1370"/>
        <v>0</v>
      </c>
      <c r="BH564" s="855">
        <f t="shared" si="1370"/>
        <v>0</v>
      </c>
      <c r="BI564" s="855">
        <f t="shared" si="1370"/>
        <v>0</v>
      </c>
      <c r="BJ564" s="855">
        <f t="shared" si="1370"/>
        <v>0</v>
      </c>
      <c r="BK564" s="855">
        <f t="shared" si="1370"/>
        <v>0</v>
      </c>
      <c r="BL564" s="855">
        <f t="shared" si="1370"/>
        <v>0</v>
      </c>
      <c r="BM564" s="855">
        <f t="shared" si="1370"/>
        <v>0</v>
      </c>
      <c r="BN564" s="855">
        <f t="shared" si="1370"/>
        <v>0</v>
      </c>
      <c r="BO564" s="855">
        <f t="shared" si="1370"/>
        <v>0</v>
      </c>
      <c r="BP564" s="855">
        <f t="shared" si="1370"/>
        <v>0</v>
      </c>
      <c r="BQ564" s="855">
        <f t="shared" si="1370"/>
        <v>0</v>
      </c>
      <c r="BR564" s="855">
        <f t="shared" si="1370"/>
        <v>0</v>
      </c>
      <c r="BS564" s="855">
        <f t="shared" si="1370"/>
        <v>0</v>
      </c>
      <c r="BT564" s="855">
        <f t="shared" si="1370"/>
        <v>0</v>
      </c>
      <c r="BU564" s="855">
        <f t="shared" si="1370"/>
        <v>0</v>
      </c>
      <c r="BV564" s="855">
        <f t="shared" si="1370"/>
        <v>0</v>
      </c>
      <c r="BW564" s="855">
        <f t="shared" si="1370"/>
        <v>0</v>
      </c>
      <c r="BX564" s="855">
        <f t="shared" si="1370"/>
        <v>0</v>
      </c>
      <c r="BY564" s="855">
        <f t="shared" si="1370"/>
        <v>0</v>
      </c>
      <c r="BZ564" s="855">
        <f t="shared" si="1370"/>
        <v>0</v>
      </c>
      <c r="CA564" s="855">
        <f t="shared" si="1370"/>
        <v>0</v>
      </c>
      <c r="CB564" s="855">
        <f t="shared" si="1370"/>
        <v>0</v>
      </c>
      <c r="CC564" s="855">
        <f t="shared" si="1370"/>
        <v>0</v>
      </c>
      <c r="CD564" s="855">
        <f t="shared" si="1370"/>
        <v>0</v>
      </c>
      <c r="CE564" s="855">
        <f t="shared" si="1370"/>
        <v>0</v>
      </c>
      <c r="CF564" s="855">
        <f t="shared" si="1370"/>
        <v>0</v>
      </c>
      <c r="CG564" s="855">
        <f t="shared" si="1370"/>
        <v>0</v>
      </c>
      <c r="CH564" s="855">
        <f t="shared" si="1370"/>
        <v>0</v>
      </c>
      <c r="CI564" s="855">
        <f t="shared" si="1370"/>
        <v>0</v>
      </c>
      <c r="CJ564" s="855">
        <f t="shared" si="1370"/>
        <v>0</v>
      </c>
      <c r="CK564" s="855">
        <f t="shared" si="1370"/>
        <v>0</v>
      </c>
      <c r="CL564" s="855">
        <f t="shared" si="1370"/>
        <v>0</v>
      </c>
      <c r="CM564" s="855">
        <f t="shared" si="1370"/>
        <v>0</v>
      </c>
      <c r="CN564" s="855">
        <f t="shared" si="1370"/>
        <v>0</v>
      </c>
      <c r="CO564" s="855">
        <f t="shared" si="1370"/>
        <v>0</v>
      </c>
      <c r="CP564" s="855">
        <f t="shared" si="1370"/>
        <v>0</v>
      </c>
      <c r="CQ564" s="855">
        <f t="shared" si="1370"/>
        <v>0</v>
      </c>
      <c r="CR564" s="855">
        <f t="shared" si="1370"/>
        <v>0</v>
      </c>
      <c r="CS564" s="855">
        <f t="shared" si="1370"/>
        <v>0</v>
      </c>
      <c r="CT564" s="855">
        <f t="shared" si="1370"/>
        <v>0</v>
      </c>
      <c r="CU564" s="855">
        <f t="shared" si="1370"/>
        <v>0</v>
      </c>
      <c r="CV564" s="855">
        <f t="shared" si="1370"/>
        <v>0</v>
      </c>
      <c r="CW564" s="855">
        <f t="shared" si="1370"/>
        <v>0</v>
      </c>
      <c r="CX564" s="855">
        <f t="shared" si="1370"/>
        <v>0</v>
      </c>
      <c r="CY564" s="855">
        <f t="shared" si="1370"/>
        <v>0</v>
      </c>
      <c r="CZ564" s="855">
        <f t="shared" si="1370"/>
        <v>0</v>
      </c>
      <c r="DA564" s="855">
        <f t="shared" si="1370"/>
        <v>0</v>
      </c>
      <c r="DB564" s="855">
        <f t="shared" si="1370"/>
        <v>0</v>
      </c>
      <c r="DC564" s="855">
        <f t="shared" si="1370"/>
        <v>0</v>
      </c>
      <c r="DD564" s="855">
        <f t="shared" si="1370"/>
        <v>0</v>
      </c>
      <c r="DE564" s="855">
        <f t="shared" si="1370"/>
        <v>0</v>
      </c>
      <c r="DF564" s="855">
        <f t="shared" si="1370"/>
        <v>0</v>
      </c>
      <c r="DG564" s="855">
        <f t="shared" si="1370"/>
        <v>0</v>
      </c>
      <c r="DH564" s="1338">
        <f t="shared" si="1370"/>
        <v>0</v>
      </c>
      <c r="DI564" s="855">
        <f t="shared" si="1370"/>
        <v>0</v>
      </c>
      <c r="DJ564" s="855">
        <f t="shared" si="1370"/>
        <v>0</v>
      </c>
      <c r="DK564" s="1338">
        <f>DK556-DK557-DK559+DK561</f>
        <v>0</v>
      </c>
      <c r="DL564" s="855">
        <f>DL556-DL557-DL559+DL561</f>
        <v>0</v>
      </c>
      <c r="DM564" s="855">
        <f>DM556-DM557-DM559+DM561</f>
        <v>0</v>
      </c>
      <c r="DN564" s="1338">
        <f>DN556-DN557-DN559+DN561</f>
        <v>0</v>
      </c>
      <c r="DO564" s="855">
        <f t="shared" ref="DO564:DT564" si="1371">DO556-DO557-DO559+DO561</f>
        <v>0</v>
      </c>
      <c r="DP564" s="855">
        <f t="shared" si="1371"/>
        <v>0</v>
      </c>
      <c r="DQ564" s="1338">
        <f t="shared" si="1371"/>
        <v>0</v>
      </c>
      <c r="DR564" s="855">
        <f t="shared" si="1371"/>
        <v>0</v>
      </c>
      <c r="DS564" s="855">
        <f t="shared" si="1371"/>
        <v>0</v>
      </c>
      <c r="DT564" s="1338">
        <f t="shared" si="1371"/>
        <v>0</v>
      </c>
      <c r="DU564" s="855"/>
      <c r="DV564" s="855"/>
      <c r="DW564" s="1338"/>
      <c r="DX564" s="855"/>
      <c r="DY564" s="855"/>
      <c r="DZ564" s="1338"/>
      <c r="EA564" s="855"/>
      <c r="EB564" s="855"/>
      <c r="EC564" s="1338"/>
      <c r="ED564" s="855"/>
      <c r="EE564" s="855"/>
      <c r="EF564" s="1338"/>
      <c r="EG564" s="855"/>
      <c r="EH564" s="855"/>
      <c r="EI564" s="1338"/>
      <c r="EJ564" s="855"/>
      <c r="EK564" s="855"/>
      <c r="EL564" s="1338"/>
      <c r="EM564" s="855"/>
      <c r="EN564" s="855"/>
      <c r="EO564" s="1338"/>
      <c r="EP564" s="855"/>
      <c r="EQ564" s="855"/>
      <c r="ER564" s="1338"/>
      <c r="ES564" s="855"/>
      <c r="ET564" s="855"/>
      <c r="EU564" s="1338"/>
      <c r="EV564" s="855"/>
      <c r="EW564" s="855"/>
      <c r="EX564" s="1338"/>
      <c r="EY564" s="855"/>
      <c r="EZ564" s="855"/>
      <c r="FA564" s="1338"/>
      <c r="FE564"/>
      <c r="FF564"/>
      <c r="FG564"/>
      <c r="FH564"/>
      <c r="FI564"/>
      <c r="FJ564"/>
      <c r="FK564" s="35"/>
    </row>
    <row r="565" spans="1:167" s="236" customFormat="1" ht="13.35" customHeight="1">
      <c r="A565" s="289"/>
      <c r="B565" s="401"/>
      <c r="C565" s="806"/>
      <c r="D565" s="289"/>
      <c r="E565" s="820"/>
      <c r="F565" s="820"/>
      <c r="G565" s="821"/>
      <c r="H565" s="820"/>
      <c r="I565" s="820"/>
      <c r="J565" s="821"/>
      <c r="K565" s="820"/>
      <c r="L565" s="820"/>
      <c r="M565" s="821"/>
      <c r="N565" s="820"/>
      <c r="O565" s="820"/>
      <c r="P565" s="821"/>
      <c r="Q565" s="809"/>
      <c r="R565" s="809"/>
      <c r="S565" s="810"/>
      <c r="T565" s="809"/>
      <c r="U565" s="809"/>
      <c r="V565" s="808"/>
      <c r="W565" s="807"/>
      <c r="X565" s="807"/>
      <c r="Y565" s="808"/>
      <c r="Z565" s="807"/>
      <c r="AA565" s="807"/>
      <c r="AB565" s="808"/>
      <c r="AC565" s="807"/>
      <c r="AD565" s="807"/>
      <c r="AE565" s="808"/>
      <c r="AF565" s="807"/>
      <c r="AG565" s="807"/>
      <c r="AH565" s="808"/>
      <c r="AI565" s="807"/>
      <c r="AJ565" s="807"/>
      <c r="AK565" s="808"/>
      <c r="AL565" s="807"/>
      <c r="AM565" s="807"/>
      <c r="AN565" s="808"/>
      <c r="AO565" s="807"/>
      <c r="AP565" s="807"/>
      <c r="AQ565" s="808"/>
      <c r="AR565" s="807"/>
      <c r="AS565" s="807"/>
      <c r="AT565" s="808"/>
      <c r="AU565" s="820"/>
      <c r="AV565" s="820"/>
      <c r="AW565" s="821"/>
      <c r="AX565" s="855"/>
      <c r="AY565" s="855"/>
      <c r="AZ565" s="855"/>
      <c r="BA565" s="855"/>
      <c r="BB565" s="855"/>
      <c r="BC565" s="855"/>
      <c r="BD565" s="855"/>
      <c r="BE565" s="855"/>
      <c r="BF565" s="855"/>
      <c r="BG565" s="855"/>
      <c r="BH565" s="855"/>
      <c r="BI565" s="855"/>
      <c r="BJ565" s="855"/>
      <c r="BK565" s="855"/>
      <c r="BL565" s="855"/>
      <c r="BM565" s="855"/>
      <c r="BN565" s="855"/>
      <c r="BO565" s="855"/>
      <c r="BP565" s="855"/>
      <c r="BQ565" s="855"/>
      <c r="BR565" s="855"/>
      <c r="BS565" s="855"/>
      <c r="BT565" s="855"/>
      <c r="BU565" s="855"/>
      <c r="BV565" s="855"/>
      <c r="BW565" s="855"/>
      <c r="BX565" s="855"/>
      <c r="BY565" s="855"/>
      <c r="BZ565" s="855"/>
      <c r="CA565" s="855"/>
      <c r="CB565" s="855"/>
      <c r="CC565" s="855"/>
      <c r="CD565" s="855"/>
      <c r="CE565" s="855"/>
      <c r="CF565" s="855"/>
      <c r="CG565" s="855"/>
      <c r="CH565" s="855"/>
      <c r="CI565" s="855"/>
      <c r="CJ565" s="855"/>
      <c r="CK565" s="855"/>
      <c r="CL565" s="855"/>
      <c r="CM565" s="855"/>
      <c r="CN565" s="855"/>
      <c r="CO565" s="855"/>
      <c r="CP565" s="855"/>
      <c r="CQ565" s="855"/>
      <c r="CR565" s="855"/>
      <c r="CS565" s="855"/>
      <c r="CT565" s="855"/>
      <c r="CU565" s="855"/>
      <c r="CV565" s="855"/>
      <c r="CW565" s="855"/>
      <c r="CX565" s="855"/>
      <c r="CY565" s="855"/>
      <c r="CZ565" s="855"/>
      <c r="DA565" s="855"/>
      <c r="DB565" s="855"/>
      <c r="DC565" s="855"/>
      <c r="DD565" s="855"/>
      <c r="DE565" s="855"/>
      <c r="DF565" s="855"/>
      <c r="DG565" s="855"/>
      <c r="DH565" s="1338"/>
      <c r="DI565" s="855"/>
      <c r="DJ565" s="855"/>
      <c r="DK565" s="1338"/>
      <c r="DL565" s="855"/>
      <c r="DM565" s="855"/>
      <c r="DN565" s="1338"/>
      <c r="DO565" s="855"/>
      <c r="DP565" s="855"/>
      <c r="DQ565" s="1338"/>
      <c r="DR565" s="855"/>
      <c r="DS565" s="855"/>
      <c r="DT565" s="1338"/>
      <c r="DU565" s="855"/>
      <c r="DV565" s="855"/>
      <c r="DW565" s="1338"/>
      <c r="DX565" s="855"/>
      <c r="DY565" s="855"/>
      <c r="DZ565" s="1338"/>
      <c r="EA565" s="855"/>
      <c r="EB565" s="855"/>
      <c r="EC565" s="1338"/>
      <c r="ED565" s="855"/>
      <c r="EE565" s="855"/>
      <c r="EF565" s="1338"/>
      <c r="EG565" s="855"/>
      <c r="EH565" s="855"/>
      <c r="EI565" s="1338"/>
      <c r="EJ565" s="855"/>
      <c r="EK565" s="855"/>
      <c r="EL565" s="1338"/>
      <c r="EM565" s="855"/>
      <c r="EN565" s="855"/>
      <c r="EO565" s="1338"/>
      <c r="EP565" s="855"/>
      <c r="EQ565" s="855"/>
      <c r="ER565" s="1338"/>
      <c r="ES565" s="855"/>
      <c r="ET565" s="855"/>
      <c r="EU565" s="1338"/>
      <c r="EV565" s="855"/>
      <c r="EW565" s="855"/>
      <c r="EX565" s="1338"/>
      <c r="EY565" s="855"/>
      <c r="EZ565" s="855"/>
      <c r="FA565" s="1338"/>
      <c r="FE565"/>
      <c r="FF565"/>
      <c r="FG565"/>
      <c r="FH565"/>
      <c r="FI565"/>
      <c r="FJ565"/>
      <c r="FK565" s="35"/>
    </row>
    <row r="566" spans="1:167" s="236" customFormat="1" ht="13.35" customHeight="1">
      <c r="A566" s="289" t="s">
        <v>483</v>
      </c>
      <c r="B566" s="401"/>
      <c r="C566" s="806"/>
      <c r="D566" s="289"/>
      <c r="E566" s="820"/>
      <c r="F566" s="820"/>
      <c r="G566" s="821"/>
      <c r="H566" s="820"/>
      <c r="I566" s="820"/>
      <c r="J566" s="821"/>
      <c r="K566" s="820"/>
      <c r="L566" s="820"/>
      <c r="M566" s="821"/>
      <c r="N566" s="820"/>
      <c r="O566" s="820"/>
      <c r="P566" s="821"/>
      <c r="Q566" s="809"/>
      <c r="R566" s="809"/>
      <c r="S566" s="810"/>
      <c r="T566" s="809"/>
      <c r="U566" s="809"/>
      <c r="V566" s="808"/>
      <c r="W566" s="807"/>
      <c r="X566" s="807"/>
      <c r="Y566" s="808"/>
      <c r="Z566" s="807"/>
      <c r="AA566" s="807"/>
      <c r="AB566" s="808"/>
      <c r="AC566" s="807"/>
      <c r="AD566" s="807"/>
      <c r="AE566" s="808"/>
      <c r="AF566" s="807"/>
      <c r="AG566" s="807"/>
      <c r="AH566" s="808"/>
      <c r="AI566" s="807"/>
      <c r="AJ566" s="807"/>
      <c r="AK566" s="808"/>
      <c r="AL566" s="807"/>
      <c r="AM566" s="807"/>
      <c r="AN566" s="808"/>
      <c r="AO566" s="807"/>
      <c r="AP566" s="807"/>
      <c r="AQ566" s="808"/>
      <c r="AR566" s="807"/>
      <c r="AS566" s="807"/>
      <c r="AT566" s="808"/>
      <c r="AU566" s="820"/>
      <c r="AV566" s="820"/>
      <c r="AW566" s="821"/>
      <c r="AX566" s="855">
        <f>AX385</f>
        <v>51.100999999999999</v>
      </c>
      <c r="AY566" s="855">
        <f t="shared" ref="AY566:DJ566" si="1372">AY385</f>
        <v>51.14875</v>
      </c>
      <c r="AZ566" s="855">
        <f t="shared" si="1372"/>
        <v>51.14875</v>
      </c>
      <c r="BA566" s="855">
        <f t="shared" si="1372"/>
        <v>52.016775000000003</v>
      </c>
      <c r="BB566" s="855">
        <f t="shared" si="1372"/>
        <v>52.017359000000006</v>
      </c>
      <c r="BC566" s="855">
        <f t="shared" si="1372"/>
        <v>52.017358999999999</v>
      </c>
      <c r="BD566" s="855">
        <f t="shared" si="1372"/>
        <v>52.017358999999999</v>
      </c>
      <c r="BE566" s="855">
        <f t="shared" si="1372"/>
        <v>52.500144999999996</v>
      </c>
      <c r="BF566" s="855">
        <f t="shared" si="1372"/>
        <v>52.500144999999996</v>
      </c>
      <c r="BG566" s="855">
        <f t="shared" si="1372"/>
        <v>52.500144999999996</v>
      </c>
      <c r="BH566" s="855">
        <f t="shared" si="1372"/>
        <v>53.070549999999997</v>
      </c>
      <c r="BI566" s="855">
        <f t="shared" si="1372"/>
        <v>53.070549999999997</v>
      </c>
      <c r="BJ566" s="855">
        <f t="shared" si="1372"/>
        <v>54.16169</v>
      </c>
      <c r="BK566" s="855">
        <f t="shared" si="1372"/>
        <v>54.16169</v>
      </c>
      <c r="BL566" s="855">
        <f t="shared" si="1372"/>
        <v>54.16169</v>
      </c>
      <c r="BM566" s="855">
        <f t="shared" si="1372"/>
        <v>54.16169</v>
      </c>
      <c r="BN566" s="855">
        <f t="shared" si="1372"/>
        <v>54.16169</v>
      </c>
      <c r="BO566" s="855">
        <f t="shared" si="1372"/>
        <v>54.16169</v>
      </c>
      <c r="BP566" s="855">
        <f t="shared" si="1372"/>
        <v>54.16169</v>
      </c>
      <c r="BQ566" s="855">
        <f t="shared" si="1372"/>
        <v>54.16169</v>
      </c>
      <c r="BR566" s="855">
        <f t="shared" si="1372"/>
        <v>54.16169</v>
      </c>
      <c r="BS566" s="855">
        <f t="shared" si="1372"/>
        <v>54.720689999999998</v>
      </c>
      <c r="BT566" s="855">
        <f t="shared" si="1372"/>
        <v>54.720689999999998</v>
      </c>
      <c r="BU566" s="855">
        <f t="shared" si="1372"/>
        <v>54.720689999999998</v>
      </c>
      <c r="BV566" s="855">
        <f t="shared" si="1372"/>
        <v>55.62285</v>
      </c>
      <c r="BW566" s="855">
        <f t="shared" si="1372"/>
        <v>55.62285</v>
      </c>
      <c r="BX566" s="855">
        <f t="shared" si="1372"/>
        <v>55.62285</v>
      </c>
      <c r="BY566" s="855">
        <f t="shared" si="1372"/>
        <v>55.743212999999997</v>
      </c>
      <c r="BZ566" s="855">
        <f t="shared" si="1372"/>
        <v>55.953638999999995</v>
      </c>
      <c r="CA566" s="855">
        <f t="shared" si="1372"/>
        <v>56.051743000000002</v>
      </c>
      <c r="CB566" s="855">
        <f t="shared" si="1372"/>
        <v>56.136564</v>
      </c>
      <c r="CC566" s="855">
        <f t="shared" si="1372"/>
        <v>56.136564</v>
      </c>
      <c r="CD566" s="855">
        <f t="shared" si="1372"/>
        <v>56.210751999999999</v>
      </c>
      <c r="CE566" s="855">
        <f t="shared" si="1372"/>
        <v>56.537247000000001</v>
      </c>
      <c r="CF566" s="855">
        <f t="shared" si="1372"/>
        <v>56.537247000000001</v>
      </c>
      <c r="CG566" s="855">
        <f t="shared" si="1372"/>
        <v>56.265653</v>
      </c>
      <c r="CH566" s="855">
        <f t="shared" si="1372"/>
        <v>56.779902999999997</v>
      </c>
      <c r="CI566" s="855">
        <f t="shared" si="1372"/>
        <v>57.343920999999995</v>
      </c>
      <c r="CJ566" s="855">
        <f t="shared" si="1372"/>
        <v>56.929431999999998</v>
      </c>
      <c r="CK566" s="855">
        <f t="shared" si="1372"/>
        <v>56.869952000000005</v>
      </c>
      <c r="CL566" s="855">
        <f t="shared" si="1372"/>
        <v>56.890261000000002</v>
      </c>
      <c r="CM566" s="855">
        <f t="shared" si="1372"/>
        <v>56.890261000000002</v>
      </c>
      <c r="CN566" s="855">
        <f t="shared" si="1372"/>
        <v>56.924379999999999</v>
      </c>
      <c r="CO566" s="855">
        <f t="shared" si="1372"/>
        <v>56.924379999999999</v>
      </c>
      <c r="CP566" s="855">
        <f t="shared" si="1372"/>
        <v>56.899352</v>
      </c>
      <c r="CQ566" s="855">
        <f t="shared" si="1372"/>
        <v>56.945248999999997</v>
      </c>
      <c r="CR566" s="855">
        <f t="shared" si="1372"/>
        <v>56.945248999999997</v>
      </c>
      <c r="CS566" s="855">
        <f t="shared" si="1372"/>
        <v>56.899352</v>
      </c>
      <c r="CT566" s="855">
        <f t="shared" si="1372"/>
        <v>56.957273999999998</v>
      </c>
      <c r="CU566" s="855">
        <f t="shared" si="1372"/>
        <v>57.25718599999999</v>
      </c>
      <c r="CV566" s="855">
        <f t="shared" si="1372"/>
        <v>57.199263999999992</v>
      </c>
      <c r="CW566" s="855">
        <f t="shared" si="1372"/>
        <v>57.199263999999992</v>
      </c>
      <c r="CX566" s="855">
        <f t="shared" si="1372"/>
        <v>57.199263999999992</v>
      </c>
      <c r="CY566" s="855">
        <f t="shared" si="1372"/>
        <v>57.199263999999992</v>
      </c>
      <c r="CZ566" s="855">
        <f t="shared" si="1372"/>
        <v>57.508126999999995</v>
      </c>
      <c r="DA566" s="855">
        <f t="shared" si="1372"/>
        <v>57.775205000000007</v>
      </c>
      <c r="DB566" s="855">
        <f t="shared" si="1372"/>
        <v>57.547820000000002</v>
      </c>
      <c r="DC566" s="855">
        <f t="shared" si="1372"/>
        <v>57.661069000000005</v>
      </c>
      <c r="DD566" s="855">
        <f t="shared" si="1372"/>
        <v>57.715820999999998</v>
      </c>
      <c r="DE566" s="855">
        <f t="shared" si="1372"/>
        <v>57.715820999999998</v>
      </c>
      <c r="DF566" s="855">
        <f t="shared" si="1372"/>
        <v>57.789826999999995</v>
      </c>
      <c r="DG566" s="855">
        <f t="shared" si="1372"/>
        <v>65.687402000000006</v>
      </c>
      <c r="DH566" s="1338">
        <f t="shared" si="1372"/>
        <v>65.687402000000006</v>
      </c>
      <c r="DI566" s="855">
        <f t="shared" si="1372"/>
        <v>65.723345000000009</v>
      </c>
      <c r="DJ566" s="855">
        <f t="shared" si="1372"/>
        <v>65.744078000000002</v>
      </c>
      <c r="DK566" s="1338">
        <f>DK385</f>
        <v>65.744078000000002</v>
      </c>
      <c r="DL566" s="855">
        <f>DL385</f>
        <v>65.765712000000008</v>
      </c>
      <c r="DM566" s="855">
        <f>DM385</f>
        <v>65.775339000000002</v>
      </c>
      <c r="DN566" s="1338">
        <f>DN385</f>
        <v>65.775339000000002</v>
      </c>
      <c r="DO566" s="855">
        <f t="shared" ref="DO566:DT566" si="1373">DO385</f>
        <v>65.779227000000006</v>
      </c>
      <c r="DP566" s="855">
        <f t="shared" si="1373"/>
        <v>65.671649000000002</v>
      </c>
      <c r="DQ566" s="1338">
        <f t="shared" si="1373"/>
        <v>65.671649000000002</v>
      </c>
      <c r="DR566" s="855">
        <f t="shared" si="1373"/>
        <v>65.571648999999994</v>
      </c>
      <c r="DS566" s="855">
        <f t="shared" si="1373"/>
        <v>65.571648999999994</v>
      </c>
      <c r="DT566" s="1338">
        <f t="shared" si="1373"/>
        <v>65.494161000000005</v>
      </c>
      <c r="DU566" s="855"/>
      <c r="DV566" s="855"/>
      <c r="DW566" s="1338"/>
      <c r="DX566" s="855"/>
      <c r="DY566" s="855"/>
      <c r="DZ566" s="1338"/>
      <c r="EA566" s="855"/>
      <c r="EB566" s="855"/>
      <c r="EC566" s="1338"/>
      <c r="ED566" s="855"/>
      <c r="EE566" s="855"/>
      <c r="EF566" s="1338"/>
      <c r="EG566" s="855"/>
      <c r="EH566" s="855"/>
      <c r="EI566" s="1338"/>
      <c r="EJ566" s="855"/>
      <c r="EK566" s="855"/>
      <c r="EL566" s="1338"/>
      <c r="EM566" s="855"/>
      <c r="EN566" s="855"/>
      <c r="EO566" s="1338"/>
      <c r="EP566" s="855"/>
      <c r="EQ566" s="855"/>
      <c r="ER566" s="1338"/>
      <c r="ES566" s="855"/>
      <c r="ET566" s="855"/>
      <c r="EU566" s="1338"/>
      <c r="EV566" s="855"/>
      <c r="EW566" s="855"/>
      <c r="EX566" s="1338"/>
      <c r="EY566" s="855"/>
      <c r="EZ566" s="855"/>
      <c r="FA566" s="1338"/>
      <c r="FE566"/>
      <c r="FF566"/>
      <c r="FG566"/>
      <c r="FH566"/>
      <c r="FI566"/>
      <c r="FJ566"/>
      <c r="FK566" s="35"/>
    </row>
    <row r="567" spans="1:167" s="236" customFormat="1" ht="13.35" customHeight="1">
      <c r="A567" s="289"/>
      <c r="B567" s="401"/>
      <c r="C567" s="806"/>
      <c r="D567" s="289"/>
      <c r="E567" s="820"/>
      <c r="F567" s="820"/>
      <c r="G567" s="821"/>
      <c r="H567" s="820"/>
      <c r="I567" s="820"/>
      <c r="J567" s="821"/>
      <c r="K567" s="820"/>
      <c r="L567" s="820"/>
      <c r="M567" s="821"/>
      <c r="N567" s="820"/>
      <c r="O567" s="820"/>
      <c r="P567" s="821"/>
      <c r="Q567" s="809"/>
      <c r="R567" s="809"/>
      <c r="S567" s="810"/>
      <c r="T567" s="809"/>
      <c r="U567" s="809"/>
      <c r="V567" s="808"/>
      <c r="W567" s="807"/>
      <c r="X567" s="807"/>
      <c r="Y567" s="808"/>
      <c r="Z567" s="807"/>
      <c r="AA567" s="807"/>
      <c r="AB567" s="808"/>
      <c r="AC567" s="807"/>
      <c r="AD567" s="807"/>
      <c r="AE567" s="808"/>
      <c r="AF567" s="807"/>
      <c r="AG567" s="807"/>
      <c r="AH567" s="808"/>
      <c r="AI567" s="807"/>
      <c r="AJ567" s="807"/>
      <c r="AK567" s="808"/>
      <c r="AL567" s="807"/>
      <c r="AM567" s="807"/>
      <c r="AN567" s="808"/>
      <c r="AO567" s="807"/>
      <c r="AP567" s="807"/>
      <c r="AQ567" s="808"/>
      <c r="AR567" s="807"/>
      <c r="AS567" s="807"/>
      <c r="AT567" s="808"/>
      <c r="AU567" s="820"/>
      <c r="AV567" s="820"/>
      <c r="AW567" s="821"/>
      <c r="AX567" s="853"/>
      <c r="AY567" s="853"/>
      <c r="AZ567" s="853"/>
      <c r="BA567" s="853"/>
      <c r="BB567" s="853"/>
      <c r="BC567" s="853"/>
      <c r="BD567" s="853"/>
      <c r="BE567" s="853"/>
      <c r="BF567" s="853"/>
      <c r="BG567" s="853"/>
      <c r="BH567" s="853"/>
      <c r="BI567" s="853"/>
      <c r="BJ567" s="853"/>
      <c r="BK567" s="853"/>
      <c r="BL567" s="853"/>
      <c r="BM567" s="853"/>
      <c r="BN567" s="853"/>
      <c r="BO567" s="853"/>
      <c r="BP567" s="853"/>
      <c r="BQ567" s="853"/>
      <c r="BR567" s="853"/>
      <c r="BS567" s="853"/>
      <c r="BT567" s="853"/>
      <c r="BU567" s="853"/>
      <c r="BV567" s="853"/>
      <c r="BW567" s="853"/>
      <c r="BX567" s="853"/>
      <c r="BY567" s="853"/>
      <c r="BZ567" s="853"/>
      <c r="CA567" s="853"/>
      <c r="CB567" s="853"/>
      <c r="CC567" s="853"/>
      <c r="CD567" s="853"/>
      <c r="CE567" s="853"/>
      <c r="CF567" s="853"/>
      <c r="CG567" s="853"/>
      <c r="CH567" s="853"/>
      <c r="CI567" s="853"/>
      <c r="CJ567" s="853"/>
      <c r="CK567" s="853"/>
      <c r="CL567" s="853"/>
      <c r="CM567" s="853"/>
      <c r="CN567" s="853"/>
      <c r="CO567" s="853"/>
      <c r="CP567" s="853"/>
      <c r="CQ567" s="853"/>
      <c r="CR567" s="853"/>
      <c r="CS567" s="853"/>
      <c r="CT567" s="853"/>
      <c r="CU567" s="853"/>
      <c r="CV567" s="853"/>
      <c r="CW567" s="853"/>
      <c r="CX567" s="853"/>
      <c r="CY567" s="853"/>
      <c r="CZ567" s="853"/>
      <c r="DA567" s="853"/>
      <c r="DB567" s="853"/>
      <c r="DC567" s="853"/>
      <c r="DD567" s="853"/>
      <c r="DE567" s="853"/>
      <c r="DF567" s="853"/>
      <c r="DG567" s="853"/>
      <c r="DH567" s="1337"/>
      <c r="DI567" s="853"/>
      <c r="DJ567" s="853"/>
      <c r="DK567" s="1337"/>
      <c r="DL567" s="853"/>
      <c r="DM567" s="853"/>
      <c r="DN567" s="1337"/>
      <c r="DO567" s="853"/>
      <c r="DP567" s="853"/>
      <c r="DQ567" s="1337"/>
      <c r="DR567" s="853"/>
      <c r="DS567" s="853"/>
      <c r="DT567" s="1337"/>
      <c r="DU567" s="853"/>
      <c r="DV567" s="853"/>
      <c r="DW567" s="1337"/>
      <c r="DX567" s="853"/>
      <c r="DY567" s="853"/>
      <c r="DZ567" s="1337"/>
      <c r="EA567" s="853"/>
      <c r="EB567" s="853"/>
      <c r="EC567" s="1337"/>
      <c r="ED567" s="853"/>
      <c r="EE567" s="853"/>
      <c r="EF567" s="1337"/>
      <c r="EG567" s="853"/>
      <c r="EH567" s="853"/>
      <c r="EI567" s="1337"/>
      <c r="EJ567" s="853"/>
      <c r="EK567" s="853"/>
      <c r="EL567" s="1337"/>
      <c r="EM567" s="853"/>
      <c r="EN567" s="853"/>
      <c r="EO567" s="1337"/>
      <c r="EP567" s="853"/>
      <c r="EQ567" s="853"/>
      <c r="ER567" s="1337"/>
      <c r="ES567" s="853"/>
      <c r="ET567" s="853"/>
      <c r="EU567" s="1337"/>
      <c r="EV567" s="853"/>
      <c r="EW567" s="853"/>
      <c r="EX567" s="1337"/>
      <c r="EY567" s="853"/>
      <c r="EZ567" s="853"/>
      <c r="FA567" s="1337"/>
      <c r="FE567"/>
      <c r="FF567"/>
      <c r="FG567"/>
      <c r="FH567"/>
      <c r="FI567"/>
      <c r="FJ567"/>
      <c r="FK567" s="35"/>
    </row>
    <row r="568" spans="1:167" s="288" customFormat="1" ht="16.5" customHeight="1">
      <c r="A568" s="844" t="s">
        <v>558</v>
      </c>
      <c r="B568" s="351"/>
      <c r="C568" s="350" t="s">
        <v>933</v>
      </c>
      <c r="D568" s="352"/>
      <c r="E568" s="352" t="str">
        <f t="shared" ref="E568:AJ568" si="1374">+E4</f>
        <v>1h85</v>
      </c>
      <c r="F568" s="352" t="str">
        <f t="shared" si="1374"/>
        <v>2h85</v>
      </c>
      <c r="G568" s="352" t="str">
        <f t="shared" si="1374"/>
        <v>1985</v>
      </c>
      <c r="H568" s="352" t="str">
        <f t="shared" si="1374"/>
        <v>1h86</v>
      </c>
      <c r="I568" s="352" t="str">
        <f t="shared" si="1374"/>
        <v>2h86</v>
      </c>
      <c r="J568" s="352" t="str">
        <f t="shared" si="1374"/>
        <v>1986</v>
      </c>
      <c r="K568" s="352" t="str">
        <f t="shared" si="1374"/>
        <v>1h87</v>
      </c>
      <c r="L568" s="352" t="str">
        <f t="shared" si="1374"/>
        <v>2h87</v>
      </c>
      <c r="M568" s="352" t="str">
        <f t="shared" si="1374"/>
        <v>1987</v>
      </c>
      <c r="N568" s="352" t="str">
        <f t="shared" si="1374"/>
        <v>1h88</v>
      </c>
      <c r="O568" s="352" t="str">
        <f t="shared" si="1374"/>
        <v>2h88</v>
      </c>
      <c r="P568" s="352" t="str">
        <f t="shared" si="1374"/>
        <v>1988</v>
      </c>
      <c r="Q568" s="352" t="str">
        <f t="shared" si="1374"/>
        <v>1h89</v>
      </c>
      <c r="R568" s="352" t="str">
        <f t="shared" si="1374"/>
        <v>2h89</v>
      </c>
      <c r="S568" s="352" t="str">
        <f t="shared" si="1374"/>
        <v>1989</v>
      </c>
      <c r="T568" s="352" t="str">
        <f t="shared" si="1374"/>
        <v>1h90</v>
      </c>
      <c r="U568" s="352" t="str">
        <f t="shared" si="1374"/>
        <v>2h90</v>
      </c>
      <c r="V568" s="352" t="str">
        <f t="shared" si="1374"/>
        <v>1990</v>
      </c>
      <c r="W568" s="352" t="str">
        <f t="shared" si="1374"/>
        <v>1h91</v>
      </c>
      <c r="X568" s="352" t="str">
        <f t="shared" si="1374"/>
        <v>2h91</v>
      </c>
      <c r="Y568" s="352" t="str">
        <f t="shared" si="1374"/>
        <v>1991</v>
      </c>
      <c r="Z568" s="352" t="str">
        <f t="shared" si="1374"/>
        <v>1h92</v>
      </c>
      <c r="AA568" s="352" t="str">
        <f t="shared" si="1374"/>
        <v>2h92</v>
      </c>
      <c r="AB568" s="352" t="str">
        <f t="shared" si="1374"/>
        <v>1992</v>
      </c>
      <c r="AC568" s="352" t="str">
        <f t="shared" si="1374"/>
        <v>1h93</v>
      </c>
      <c r="AD568" s="352" t="str">
        <f t="shared" si="1374"/>
        <v>2h93</v>
      </c>
      <c r="AE568" s="352" t="str">
        <f t="shared" si="1374"/>
        <v>1993</v>
      </c>
      <c r="AF568" s="352" t="str">
        <f t="shared" si="1374"/>
        <v>1h94</v>
      </c>
      <c r="AG568" s="352" t="str">
        <f t="shared" si="1374"/>
        <v>2h94</v>
      </c>
      <c r="AH568" s="352" t="str">
        <f t="shared" si="1374"/>
        <v>1994</v>
      </c>
      <c r="AI568" s="352" t="str">
        <f t="shared" si="1374"/>
        <v>1h95</v>
      </c>
      <c r="AJ568" s="352" t="str">
        <f t="shared" si="1374"/>
        <v>2h95</v>
      </c>
      <c r="AK568" s="352" t="str">
        <f t="shared" ref="AK568:BP568" si="1375">+AK4</f>
        <v>1995</v>
      </c>
      <c r="AL568" s="352" t="str">
        <f t="shared" si="1375"/>
        <v>1h96</v>
      </c>
      <c r="AM568" s="352" t="str">
        <f t="shared" si="1375"/>
        <v>2h96</v>
      </c>
      <c r="AN568" s="352" t="str">
        <f t="shared" si="1375"/>
        <v>1996</v>
      </c>
      <c r="AO568" s="352" t="str">
        <f t="shared" si="1375"/>
        <v>1h97</v>
      </c>
      <c r="AP568" s="352" t="str">
        <f t="shared" si="1375"/>
        <v>2h97</v>
      </c>
      <c r="AQ568" s="352" t="str">
        <f t="shared" si="1375"/>
        <v>FY97</v>
      </c>
      <c r="AR568" s="352" t="str">
        <f t="shared" si="1375"/>
        <v>1H98</v>
      </c>
      <c r="AS568" s="352" t="str">
        <f t="shared" si="1375"/>
        <v>2H98</v>
      </c>
      <c r="AT568" s="352" t="str">
        <f t="shared" si="1375"/>
        <v>FY98</v>
      </c>
      <c r="AU568" s="352" t="str">
        <f t="shared" si="1375"/>
        <v>1H99</v>
      </c>
      <c r="AV568" s="352" t="str">
        <f t="shared" si="1375"/>
        <v>2H99</v>
      </c>
      <c r="AW568" s="352" t="str">
        <f t="shared" si="1375"/>
        <v>FY99</v>
      </c>
      <c r="AX568" s="352" t="str">
        <f t="shared" si="1375"/>
        <v>1H00</v>
      </c>
      <c r="AY568" s="352" t="str">
        <f t="shared" si="1375"/>
        <v>2H00</v>
      </c>
      <c r="AZ568" s="352" t="str">
        <f t="shared" si="1375"/>
        <v>FY00</v>
      </c>
      <c r="BA568" s="352" t="str">
        <f t="shared" si="1375"/>
        <v>1H01</v>
      </c>
      <c r="BB568" s="352" t="str">
        <f t="shared" si="1375"/>
        <v>2H01</v>
      </c>
      <c r="BC568" s="352" t="str">
        <f t="shared" si="1375"/>
        <v>FY01</v>
      </c>
      <c r="BD568" s="352" t="str">
        <f t="shared" si="1375"/>
        <v>1H02</v>
      </c>
      <c r="BE568" s="352" t="str">
        <f t="shared" si="1375"/>
        <v>2H02</v>
      </c>
      <c r="BF568" s="352" t="str">
        <f t="shared" si="1375"/>
        <v>FY02</v>
      </c>
      <c r="BG568" s="352" t="str">
        <f t="shared" si="1375"/>
        <v>1H03</v>
      </c>
      <c r="BH568" s="352" t="str">
        <f t="shared" si="1375"/>
        <v>2H03</v>
      </c>
      <c r="BI568" s="352" t="str">
        <f t="shared" si="1375"/>
        <v>FY03</v>
      </c>
      <c r="BJ568" s="352" t="str">
        <f t="shared" si="1375"/>
        <v>1H04</v>
      </c>
      <c r="BK568" s="352" t="str">
        <f t="shared" si="1375"/>
        <v>2H04</v>
      </c>
      <c r="BL568" s="352" t="str">
        <f t="shared" si="1375"/>
        <v>FY04</v>
      </c>
      <c r="BM568" s="352" t="str">
        <f t="shared" si="1375"/>
        <v>1H05</v>
      </c>
      <c r="BN568" s="352" t="str">
        <f t="shared" si="1375"/>
        <v>2H05</v>
      </c>
      <c r="BO568" s="352" t="str">
        <f t="shared" si="1375"/>
        <v>FY05</v>
      </c>
      <c r="BP568" s="352" t="str">
        <f t="shared" si="1375"/>
        <v>1H06</v>
      </c>
      <c r="BQ568" s="352" t="str">
        <f t="shared" ref="BQ568:CV568" si="1376">+BQ4</f>
        <v>2H06</v>
      </c>
      <c r="BR568" s="352" t="str">
        <f t="shared" si="1376"/>
        <v>FY06</v>
      </c>
      <c r="BS568" s="352" t="str">
        <f t="shared" si="1376"/>
        <v>1H07</v>
      </c>
      <c r="BT568" s="352" t="str">
        <f t="shared" si="1376"/>
        <v>2H07</v>
      </c>
      <c r="BU568" s="352" t="str">
        <f t="shared" si="1376"/>
        <v>FY07</v>
      </c>
      <c r="BV568" s="352" t="str">
        <f t="shared" si="1376"/>
        <v>1H08</v>
      </c>
      <c r="BW568" s="352" t="str">
        <f t="shared" si="1376"/>
        <v>2H08</v>
      </c>
      <c r="BX568" s="352" t="str">
        <f t="shared" si="1376"/>
        <v>FY08</v>
      </c>
      <c r="BY568" s="352" t="str">
        <f t="shared" si="1376"/>
        <v>1H09</v>
      </c>
      <c r="BZ568" s="352" t="str">
        <f t="shared" si="1376"/>
        <v>2H09</v>
      </c>
      <c r="CA568" s="352" t="str">
        <f t="shared" si="1376"/>
        <v>FY09</v>
      </c>
      <c r="CB568" s="352" t="str">
        <f t="shared" si="1376"/>
        <v>1H10</v>
      </c>
      <c r="CC568" s="352" t="str">
        <f t="shared" si="1376"/>
        <v>2H10</v>
      </c>
      <c r="CD568" s="455" t="str">
        <f t="shared" si="1376"/>
        <v>FY10</v>
      </c>
      <c r="CE568" s="455" t="str">
        <f t="shared" si="1376"/>
        <v>1H11</v>
      </c>
      <c r="CF568" s="455" t="str">
        <f t="shared" si="1376"/>
        <v>2H11</v>
      </c>
      <c r="CG568" s="455" t="str">
        <f t="shared" si="1376"/>
        <v>FY11</v>
      </c>
      <c r="CH568" s="455" t="str">
        <f t="shared" si="1376"/>
        <v>1H12</v>
      </c>
      <c r="CI568" s="455" t="str">
        <f t="shared" si="1376"/>
        <v>2H12</v>
      </c>
      <c r="CJ568" s="455" t="str">
        <f t="shared" si="1376"/>
        <v>FY12</v>
      </c>
      <c r="CK568" s="455" t="str">
        <f t="shared" si="1376"/>
        <v>1H13</v>
      </c>
      <c r="CL568" s="455" t="str">
        <f t="shared" si="1376"/>
        <v>2H13</v>
      </c>
      <c r="CM568" s="455" t="str">
        <f t="shared" si="1376"/>
        <v>FY13</v>
      </c>
      <c r="CN568" s="455" t="str">
        <f t="shared" si="1376"/>
        <v>1H14</v>
      </c>
      <c r="CO568" s="455" t="str">
        <f t="shared" si="1376"/>
        <v>2H14</v>
      </c>
      <c r="CP568" s="455" t="str">
        <f t="shared" si="1376"/>
        <v>FY14</v>
      </c>
      <c r="CQ568" s="455" t="str">
        <f t="shared" si="1376"/>
        <v>1H15</v>
      </c>
      <c r="CR568" s="455" t="str">
        <f t="shared" si="1376"/>
        <v>2H15</v>
      </c>
      <c r="CS568" s="455" t="str">
        <f t="shared" si="1376"/>
        <v>FY15</v>
      </c>
      <c r="CT568" s="455" t="str">
        <f t="shared" si="1376"/>
        <v>1H16</v>
      </c>
      <c r="CU568" s="455" t="str">
        <f t="shared" si="1376"/>
        <v>2H16</v>
      </c>
      <c r="CV568" s="455" t="str">
        <f t="shared" si="1376"/>
        <v>FY16</v>
      </c>
      <c r="CW568" s="455" t="str">
        <f t="shared" ref="CW568:EF568" si="1377">+CW4</f>
        <v>1H17</v>
      </c>
      <c r="CX568" s="455" t="str">
        <f t="shared" si="1377"/>
        <v>2H17</v>
      </c>
      <c r="CY568" s="455" t="str">
        <f t="shared" si="1377"/>
        <v>FY17</v>
      </c>
      <c r="CZ568" s="455" t="str">
        <f t="shared" si="1377"/>
        <v>1H18</v>
      </c>
      <c r="DA568" s="455" t="str">
        <f t="shared" si="1377"/>
        <v>2H18</v>
      </c>
      <c r="DB568" s="455" t="str">
        <f t="shared" si="1377"/>
        <v>FY18</v>
      </c>
      <c r="DC568" s="455" t="str">
        <f t="shared" si="1377"/>
        <v>1H19</v>
      </c>
      <c r="DD568" s="455" t="str">
        <f t="shared" si="1377"/>
        <v>2H19</v>
      </c>
      <c r="DE568" s="455" t="str">
        <f t="shared" si="1377"/>
        <v>FY19</v>
      </c>
      <c r="DF568" s="455" t="str">
        <f t="shared" si="1377"/>
        <v>1H20</v>
      </c>
      <c r="DG568" s="455" t="str">
        <f t="shared" si="1377"/>
        <v>2H20</v>
      </c>
      <c r="DH568" s="1243" t="str">
        <f t="shared" si="1377"/>
        <v>FY20</v>
      </c>
      <c r="DI568" s="455" t="str">
        <f t="shared" si="1377"/>
        <v>1H21</v>
      </c>
      <c r="DJ568" s="455" t="str">
        <f t="shared" si="1377"/>
        <v>2H21</v>
      </c>
      <c r="DK568" s="1243" t="str">
        <f t="shared" si="1377"/>
        <v>FY21</v>
      </c>
      <c r="DL568" s="455" t="str">
        <f t="shared" si="1377"/>
        <v>1H22</v>
      </c>
      <c r="DM568" s="455" t="str">
        <f t="shared" si="1377"/>
        <v>2H22</v>
      </c>
      <c r="DN568" s="1243" t="str">
        <f t="shared" si="1377"/>
        <v>FY22</v>
      </c>
      <c r="DO568" s="455" t="str">
        <f t="shared" si="1377"/>
        <v>1H23</v>
      </c>
      <c r="DP568" s="455" t="str">
        <f t="shared" si="1377"/>
        <v>2H23</v>
      </c>
      <c r="DQ568" s="1243" t="str">
        <f t="shared" si="1377"/>
        <v>FY23</v>
      </c>
      <c r="DR568" s="455" t="str">
        <f t="shared" si="1377"/>
        <v>1H24</v>
      </c>
      <c r="DS568" s="455" t="str">
        <f t="shared" si="1377"/>
        <v>2H24</v>
      </c>
      <c r="DT568" s="1243" t="str">
        <f t="shared" si="1377"/>
        <v>FY24</v>
      </c>
      <c r="DU568" s="455" t="str">
        <f t="shared" si="1377"/>
        <v>1H25</v>
      </c>
      <c r="DV568" s="455" t="str">
        <f t="shared" si="1377"/>
        <v>2H25</v>
      </c>
      <c r="DW568" s="1243" t="str">
        <f t="shared" si="1377"/>
        <v>FY25</v>
      </c>
      <c r="DX568" s="455" t="str">
        <f t="shared" si="1377"/>
        <v>1H26</v>
      </c>
      <c r="DY568" s="455" t="str">
        <f t="shared" si="1377"/>
        <v>2H26E</v>
      </c>
      <c r="DZ568" s="1243" t="str">
        <f t="shared" si="1377"/>
        <v>FY26E</v>
      </c>
      <c r="EA568" s="455" t="str">
        <f t="shared" si="1377"/>
        <v>1H27E</v>
      </c>
      <c r="EB568" s="455" t="str">
        <f t="shared" si="1377"/>
        <v>2H27E</v>
      </c>
      <c r="EC568" s="1243" t="str">
        <f t="shared" si="1377"/>
        <v>FY27E</v>
      </c>
      <c r="ED568" s="455" t="str">
        <f t="shared" si="1377"/>
        <v>1H28E</v>
      </c>
      <c r="EE568" s="455" t="str">
        <f t="shared" si="1377"/>
        <v>2H28E</v>
      </c>
      <c r="EF568" s="1243" t="str">
        <f t="shared" si="1377"/>
        <v>FY28E</v>
      </c>
      <c r="EG568" s="455" t="str">
        <f t="shared" ref="EG568:EL568" si="1378">+EG4</f>
        <v>1H29E</v>
      </c>
      <c r="EH568" s="455" t="str">
        <f t="shared" si="1378"/>
        <v>2H29E</v>
      </c>
      <c r="EI568" s="1243" t="str">
        <f t="shared" si="1378"/>
        <v>FY29E</v>
      </c>
      <c r="EJ568" s="455" t="str">
        <f t="shared" si="1378"/>
        <v>1H30E</v>
      </c>
      <c r="EK568" s="455" t="str">
        <f t="shared" si="1378"/>
        <v>2H30E</v>
      </c>
      <c r="EL568" s="1243" t="str">
        <f t="shared" si="1378"/>
        <v>FY30E</v>
      </c>
      <c r="EM568" s="455" t="str">
        <f t="shared" ref="EM568:ER568" si="1379">+EM4</f>
        <v>1H31E</v>
      </c>
      <c r="EN568" s="455" t="str">
        <f t="shared" si="1379"/>
        <v>2H31E</v>
      </c>
      <c r="EO568" s="1243" t="str">
        <f t="shared" si="1379"/>
        <v>FY31E</v>
      </c>
      <c r="EP568" s="455" t="str">
        <f t="shared" si="1379"/>
        <v>1H32E</v>
      </c>
      <c r="EQ568" s="455" t="str">
        <f t="shared" si="1379"/>
        <v>2H32E</v>
      </c>
      <c r="ER568" s="1243" t="str">
        <f t="shared" si="1379"/>
        <v>FY32E</v>
      </c>
      <c r="ES568" s="455" t="str">
        <f t="shared" ref="ES568:EX568" si="1380">+ES4</f>
        <v>1H33E</v>
      </c>
      <c r="ET568" s="455" t="str">
        <f t="shared" si="1380"/>
        <v>2H33E</v>
      </c>
      <c r="EU568" s="1243" t="str">
        <f t="shared" si="1380"/>
        <v>FY33E</v>
      </c>
      <c r="EV568" s="455" t="str">
        <f t="shared" si="1380"/>
        <v>1H34E</v>
      </c>
      <c r="EW568" s="455" t="str">
        <f t="shared" si="1380"/>
        <v>2H34E</v>
      </c>
      <c r="EX568" s="1243" t="str">
        <f t="shared" si="1380"/>
        <v>FY34E</v>
      </c>
      <c r="EY568" s="455" t="str">
        <f t="shared" ref="EY568:FA568" si="1381">+EY4</f>
        <v>1H35E</v>
      </c>
      <c r="EZ568" s="455" t="str">
        <f t="shared" si="1381"/>
        <v>2H35E</v>
      </c>
      <c r="FA568" s="1243" t="str">
        <f t="shared" si="1381"/>
        <v>FY35E</v>
      </c>
      <c r="FE568"/>
      <c r="FF568"/>
      <c r="FG568"/>
      <c r="FH568"/>
      <c r="FI568"/>
      <c r="FJ568"/>
      <c r="FK568" s="35"/>
    </row>
    <row r="569" spans="1:167" s="236" customFormat="1" ht="13.35" customHeight="1">
      <c r="A569" s="289"/>
      <c r="B569" s="827"/>
      <c r="C569" s="806"/>
      <c r="D569" s="289"/>
      <c r="E569" s="820"/>
      <c r="F569" s="820"/>
      <c r="G569" s="821"/>
      <c r="H569" s="820"/>
      <c r="I569" s="820"/>
      <c r="J569" s="821"/>
      <c r="K569" s="820"/>
      <c r="L569" s="820"/>
      <c r="M569" s="821"/>
      <c r="N569" s="820"/>
      <c r="O569" s="820"/>
      <c r="P569" s="821"/>
      <c r="Q569" s="809"/>
      <c r="R569" s="809"/>
      <c r="S569" s="810"/>
      <c r="T569" s="809"/>
      <c r="U569" s="809"/>
      <c r="V569" s="808"/>
      <c r="W569" s="807"/>
      <c r="X569" s="807"/>
      <c r="Y569" s="808"/>
      <c r="Z569" s="807"/>
      <c r="AA569" s="807"/>
      <c r="AB569" s="808"/>
      <c r="AC569" s="807"/>
      <c r="AD569" s="807"/>
      <c r="AE569" s="808"/>
      <c r="AF569" s="807"/>
      <c r="AG569" s="807"/>
      <c r="AH569" s="808"/>
      <c r="AI569" s="807"/>
      <c r="AJ569" s="807"/>
      <c r="AK569" s="808"/>
      <c r="AL569" s="807"/>
      <c r="AM569" s="807"/>
      <c r="AN569" s="856"/>
      <c r="AO569" s="857"/>
      <c r="AP569" s="857"/>
      <c r="AQ569" s="856"/>
      <c r="AR569" s="857"/>
      <c r="AS569" s="857"/>
      <c r="AT569" s="856"/>
      <c r="AU569" s="858"/>
      <c r="AV569" s="858"/>
      <c r="AW569" s="859"/>
      <c r="AX569" s="858"/>
      <c r="AY569" s="858"/>
      <c r="AZ569" s="859"/>
      <c r="BA569" s="858"/>
      <c r="BB569" s="858"/>
      <c r="BC569" s="859"/>
      <c r="BD569" s="858"/>
      <c r="BE569" s="858"/>
      <c r="BF569" s="859"/>
      <c r="BG569" s="858"/>
      <c r="BH569" s="858"/>
      <c r="BI569" s="859"/>
      <c r="BJ569" s="858"/>
      <c r="BK569" s="858"/>
      <c r="BL569" s="859"/>
      <c r="BM569" s="858"/>
      <c r="BN569" s="858"/>
      <c r="BO569" s="859"/>
      <c r="BP569" s="858"/>
      <c r="BQ569" s="858"/>
      <c r="BR569" s="859"/>
      <c r="BS569" s="858"/>
      <c r="BT569" s="858"/>
      <c r="BU569" s="859"/>
      <c r="BV569" s="858"/>
      <c r="BW569" s="858"/>
      <c r="BX569" s="859"/>
      <c r="BY569" s="858"/>
      <c r="BZ569" s="858"/>
      <c r="CA569" s="859"/>
      <c r="CB569" s="858"/>
      <c r="CC569" s="858"/>
      <c r="CD569" s="860"/>
      <c r="CE569" s="860"/>
      <c r="CF569" s="860"/>
      <c r="CG569" s="860"/>
      <c r="CH569" s="860"/>
      <c r="CI569" s="860"/>
      <c r="CJ569" s="860"/>
      <c r="CK569" s="860"/>
      <c r="CL569" s="860"/>
      <c r="CM569" s="860"/>
      <c r="CN569" s="860"/>
      <c r="CO569" s="860"/>
      <c r="CP569" s="860"/>
      <c r="CQ569" s="860"/>
      <c r="CR569" s="860"/>
      <c r="CS569" s="860"/>
      <c r="CT569" s="860"/>
      <c r="CU569" s="860"/>
      <c r="CV569" s="860"/>
      <c r="CW569" s="860"/>
      <c r="CX569" s="860"/>
      <c r="CY569" s="860"/>
      <c r="CZ569" s="860"/>
      <c r="DA569" s="860"/>
      <c r="DB569" s="860"/>
      <c r="DC569" s="860"/>
      <c r="DD569" s="860"/>
      <c r="DE569" s="860"/>
      <c r="DF569" s="860"/>
      <c r="DG569" s="860"/>
      <c r="DH569" s="1340"/>
      <c r="DI569" s="860"/>
      <c r="DJ569" s="860"/>
      <c r="DK569" s="1340"/>
      <c r="DL569" s="860"/>
      <c r="DM569" s="860"/>
      <c r="DN569" s="1340"/>
      <c r="DO569" s="860"/>
      <c r="DP569" s="860"/>
      <c r="DQ569" s="1340"/>
      <c r="DR569" s="860"/>
      <c r="DS569" s="860"/>
      <c r="DT569" s="1340"/>
      <c r="DU569" s="860"/>
      <c r="DV569" s="860"/>
      <c r="DW569" s="1340"/>
      <c r="DX569" s="860"/>
      <c r="DY569" s="860"/>
      <c r="DZ569" s="1340"/>
      <c r="EA569" s="860"/>
      <c r="EB569" s="860"/>
      <c r="EC569" s="1340"/>
      <c r="ED569" s="860"/>
      <c r="EE569" s="860"/>
      <c r="EF569" s="1340"/>
      <c r="EG569" s="860"/>
      <c r="EH569" s="860"/>
      <c r="EI569" s="1340"/>
      <c r="EJ569" s="860"/>
      <c r="EK569" s="860"/>
      <c r="EL569" s="1340"/>
      <c r="EM569" s="860"/>
      <c r="EN569" s="860"/>
      <c r="EO569" s="1340"/>
      <c r="EP569" s="860"/>
      <c r="EQ569" s="860"/>
      <c r="ER569" s="1340"/>
      <c r="ES569" s="860"/>
      <c r="ET569" s="860"/>
      <c r="EU569" s="1340"/>
      <c r="EV569" s="860"/>
      <c r="EW569" s="860"/>
      <c r="EX569" s="1340"/>
      <c r="EY569" s="860"/>
      <c r="EZ569" s="860"/>
      <c r="FA569" s="1340"/>
      <c r="FE569"/>
      <c r="FF569"/>
      <c r="FG569"/>
      <c r="FH569"/>
      <c r="FI569"/>
      <c r="FJ569"/>
      <c r="FK569" s="35"/>
    </row>
    <row r="570" spans="1:167" s="235" customFormat="1" ht="13.35" customHeight="1">
      <c r="A570" s="821"/>
      <c r="B570" s="845" t="s">
        <v>559</v>
      </c>
      <c r="C570" s="827" t="s">
        <v>496</v>
      </c>
      <c r="D570" s="861"/>
      <c r="E570" s="821"/>
      <c r="F570" s="821"/>
      <c r="G570" s="821"/>
      <c r="H570" s="821"/>
      <c r="I570" s="821"/>
      <c r="J570" s="821"/>
      <c r="K570" s="821"/>
      <c r="L570" s="821"/>
      <c r="M570" s="821"/>
      <c r="N570" s="821"/>
      <c r="O570" s="821"/>
      <c r="P570" s="821"/>
      <c r="Q570" s="810"/>
      <c r="R570" s="810"/>
      <c r="S570" s="810"/>
      <c r="T570" s="810"/>
      <c r="U570" s="810"/>
      <c r="V570" s="808"/>
      <c r="W570" s="808"/>
      <c r="X570" s="808"/>
      <c r="Y570" s="808"/>
      <c r="Z570" s="808"/>
      <c r="AA570" s="808"/>
      <c r="AB570" s="808"/>
      <c r="AC570" s="808"/>
      <c r="AD570" s="808"/>
      <c r="AE570" s="808"/>
      <c r="AF570" s="808"/>
      <c r="AG570" s="808"/>
      <c r="AH570" s="808"/>
      <c r="AI570" s="808"/>
      <c r="AJ570" s="808"/>
      <c r="AK570" s="808"/>
      <c r="AL570" s="808"/>
      <c r="AM570" s="808"/>
      <c r="AN570" s="856"/>
      <c r="AO570" s="856"/>
      <c r="AP570" s="856"/>
      <c r="AQ570" s="856"/>
      <c r="AR570" s="856"/>
      <c r="AS570" s="856"/>
      <c r="AT570" s="856"/>
      <c r="AU570" s="859"/>
      <c r="AV570" s="859"/>
      <c r="AW570" s="859"/>
      <c r="AX570" s="859"/>
      <c r="AY570" s="859"/>
      <c r="AZ570" s="859"/>
      <c r="BA570" s="859"/>
      <c r="BB570" s="859"/>
      <c r="BC570" s="859"/>
      <c r="BD570" s="859"/>
      <c r="BE570" s="859"/>
      <c r="BF570" s="859"/>
      <c r="BG570" s="859"/>
      <c r="BH570" s="859"/>
      <c r="BI570" s="859"/>
      <c r="BJ570" s="859"/>
      <c r="BK570" s="859"/>
      <c r="BL570" s="859"/>
      <c r="BM570" s="859"/>
      <c r="BN570" s="859"/>
      <c r="BO570" s="859"/>
      <c r="BP570" s="859"/>
      <c r="BQ570" s="859"/>
      <c r="BR570" s="859"/>
      <c r="BS570" s="859"/>
      <c r="BT570" s="859"/>
      <c r="BU570" s="859"/>
      <c r="BV570" s="859"/>
      <c r="BW570" s="859"/>
      <c r="BX570" s="859"/>
      <c r="BY570" s="859"/>
      <c r="BZ570" s="859"/>
      <c r="CA570" s="859"/>
      <c r="CB570" s="859"/>
      <c r="CC570" s="859"/>
      <c r="CD570" s="860"/>
      <c r="CE570" s="860"/>
      <c r="CF570" s="860"/>
      <c r="CG570" s="860"/>
      <c r="CH570" s="860"/>
      <c r="CI570" s="860"/>
      <c r="CJ570" s="860"/>
      <c r="CK570" s="860"/>
      <c r="CL570" s="860"/>
      <c r="CM570" s="860"/>
      <c r="CN570" s="860"/>
      <c r="CO570" s="860"/>
      <c r="CP570" s="860"/>
      <c r="CQ570" s="860"/>
      <c r="CR570" s="860"/>
      <c r="CS570" s="860"/>
      <c r="CT570" s="860"/>
      <c r="CU570" s="860"/>
      <c r="CV570" s="860"/>
      <c r="CW570" s="860"/>
      <c r="CX570" s="860"/>
      <c r="CY570" s="860"/>
      <c r="CZ570" s="860"/>
      <c r="DA570" s="860"/>
      <c r="DB570" s="860"/>
      <c r="DC570" s="860"/>
      <c r="DD570" s="860"/>
      <c r="DE570" s="860"/>
      <c r="DF570" s="860"/>
      <c r="DG570" s="860"/>
      <c r="DH570" s="1340"/>
      <c r="DI570" s="860"/>
      <c r="DJ570" s="860"/>
      <c r="DK570" s="1340"/>
      <c r="DL570" s="860"/>
      <c r="DM570" s="860"/>
      <c r="DN570" s="1340"/>
      <c r="DO570" s="860"/>
      <c r="DP570" s="860"/>
      <c r="DQ570" s="1340"/>
      <c r="DR570" s="860"/>
      <c r="DS570" s="860"/>
      <c r="DT570" s="1340"/>
      <c r="DU570" s="860"/>
      <c r="DV570" s="860"/>
      <c r="DW570" s="1340"/>
      <c r="DX570" s="860"/>
      <c r="DY570" s="860"/>
      <c r="DZ570" s="1340"/>
      <c r="EA570" s="860"/>
      <c r="EB570" s="860"/>
      <c r="EC570" s="1340"/>
      <c r="ED570" s="860"/>
      <c r="EE570" s="860"/>
      <c r="EF570" s="1340"/>
      <c r="EG570" s="860"/>
      <c r="EH570" s="860"/>
      <c r="EI570" s="1340"/>
      <c r="EJ570" s="860"/>
      <c r="EK570" s="860"/>
      <c r="EL570" s="1340"/>
      <c r="EM570" s="860"/>
      <c r="EN570" s="860"/>
      <c r="EO570" s="1340"/>
      <c r="EP570" s="860"/>
      <c r="EQ570" s="860"/>
      <c r="ER570" s="1340"/>
      <c r="ES570" s="860"/>
      <c r="ET570" s="860"/>
      <c r="EU570" s="1340"/>
      <c r="EV570" s="860"/>
      <c r="EW570" s="860"/>
      <c r="EX570" s="1340"/>
      <c r="EY570" s="860"/>
      <c r="EZ570" s="860"/>
      <c r="FA570" s="1340"/>
      <c r="FE570"/>
      <c r="FF570"/>
      <c r="FG570"/>
      <c r="FH570"/>
      <c r="FI570"/>
      <c r="FJ570"/>
      <c r="FK570" s="35"/>
    </row>
    <row r="571" spans="1:167" s="235" customFormat="1" ht="13.35" customHeight="1" thickBot="1">
      <c r="A571" s="821"/>
      <c r="B571" s="827" t="s">
        <v>560</v>
      </c>
      <c r="C571" s="862"/>
      <c r="D571" s="821"/>
      <c r="E571" s="863"/>
      <c r="F571" s="863"/>
      <c r="G571" s="863"/>
      <c r="H571" s="863"/>
      <c r="I571" s="863"/>
      <c r="J571" s="863"/>
      <c r="K571" s="863"/>
      <c r="L571" s="863"/>
      <c r="M571" s="863"/>
      <c r="N571" s="863"/>
      <c r="O571" s="863"/>
      <c r="P571" s="863"/>
      <c r="Q571" s="864"/>
      <c r="R571" s="864"/>
      <c r="S571" s="864"/>
      <c r="T571" s="864"/>
      <c r="U571" s="864"/>
      <c r="V571" s="865"/>
      <c r="W571" s="865"/>
      <c r="X571" s="865"/>
      <c r="Y571" s="865"/>
      <c r="Z571" s="865"/>
      <c r="AA571" s="865"/>
      <c r="AB571" s="865"/>
      <c r="AC571" s="865"/>
      <c r="AD571" s="865"/>
      <c r="AE571" s="865"/>
      <c r="AF571" s="865"/>
      <c r="AG571" s="865"/>
      <c r="AH571" s="865"/>
      <c r="AI571" s="865"/>
      <c r="AJ571" s="865"/>
      <c r="AK571" s="865"/>
      <c r="AL571" s="865"/>
      <c r="AM571" s="865"/>
      <c r="AN571" s="866">
        <f>+SUM(AN572:AN573)</f>
        <v>0</v>
      </c>
      <c r="AO571" s="866">
        <f>+SUM(AO572:AO573)</f>
        <v>0</v>
      </c>
      <c r="AP571" s="866">
        <f t="shared" ref="AP571:AP576" si="1382">+AQ571</f>
        <v>0</v>
      </c>
      <c r="AQ571" s="866">
        <f>+SUM(AQ572:AQ573)</f>
        <v>0</v>
      </c>
      <c r="AR571" s="866">
        <f>+SUM(AR572:AR573)</f>
        <v>0</v>
      </c>
      <c r="AS571" s="866">
        <f t="shared" ref="AS571:AS576" si="1383">+AT571</f>
        <v>0</v>
      </c>
      <c r="AT571" s="866">
        <f>+SUM(AT572:AT573)</f>
        <v>0</v>
      </c>
      <c r="AU571" s="866">
        <f>+SUM(AU572:AU573)</f>
        <v>0</v>
      </c>
      <c r="AV571" s="866">
        <f t="shared" ref="AV571:AV576" si="1384">+AW571</f>
        <v>0</v>
      </c>
      <c r="AW571" s="866">
        <f>+SUM(AW572:AW573)</f>
        <v>0</v>
      </c>
      <c r="AX571" s="866">
        <f>+SUM(AX572:AX573)</f>
        <v>0</v>
      </c>
      <c r="AY571" s="866">
        <f t="shared" ref="AY571:AY576" si="1385">+AZ571</f>
        <v>0</v>
      </c>
      <c r="AZ571" s="866">
        <f>+SUM(AZ572:AZ573)</f>
        <v>0</v>
      </c>
      <c r="BA571" s="866">
        <f>+SUM(BA572:BA573)</f>
        <v>0</v>
      </c>
      <c r="BB571" s="866">
        <f t="shared" ref="BB571:BB576" si="1386">+BC571</f>
        <v>0</v>
      </c>
      <c r="BC571" s="866">
        <f>+SUM(BC572:BC573)</f>
        <v>0</v>
      </c>
      <c r="BD571" s="866">
        <f>+SUM(BD572:BD573)</f>
        <v>0</v>
      </c>
      <c r="BE571" s="866">
        <f t="shared" ref="BE571:BE576" si="1387">+BF571</f>
        <v>0</v>
      </c>
      <c r="BF571" s="866">
        <f>+SUM(BF572:BF573)</f>
        <v>0</v>
      </c>
      <c r="BG571" s="866">
        <f>+SUM(BG572:BG573)</f>
        <v>0</v>
      </c>
      <c r="BH571" s="866">
        <f t="shared" ref="BH571:BH576" si="1388">+BI571</f>
        <v>0</v>
      </c>
      <c r="BI571" s="866">
        <f>+SUM(BI572:BI573)</f>
        <v>0</v>
      </c>
      <c r="BJ571" s="866">
        <f>+SUM(BJ572:BJ573)</f>
        <v>0</v>
      </c>
      <c r="BK571" s="866">
        <f t="shared" ref="BK571:BK576" si="1389">+BL571</f>
        <v>0</v>
      </c>
      <c r="BL571" s="866">
        <f>+SUM(BL572:BL573)</f>
        <v>0</v>
      </c>
      <c r="BM571" s="866">
        <f>+SUM(BM572:BM573)</f>
        <v>0</v>
      </c>
      <c r="BN571" s="866">
        <f t="shared" ref="BN571:BN576" si="1390">+BO571</f>
        <v>0</v>
      </c>
      <c r="BO571" s="866">
        <f>+SUM(BO572:BO573)</f>
        <v>0</v>
      </c>
      <c r="BP571" s="866">
        <f>+SUM(BP572:BP573)</f>
        <v>0</v>
      </c>
      <c r="BQ571" s="866">
        <f t="shared" ref="BQ571:BQ576" si="1391">+BR571</f>
        <v>0</v>
      </c>
      <c r="BR571" s="866">
        <f>+SUM(BR572:BR573)</f>
        <v>0</v>
      </c>
      <c r="BS571" s="866">
        <f>+SUM(BS572:BS573)</f>
        <v>0</v>
      </c>
      <c r="BT571" s="866">
        <f t="shared" ref="BT571:BT576" si="1392">+BU571</f>
        <v>0</v>
      </c>
      <c r="BU571" s="866">
        <f>+SUM(BU572:BU573)</f>
        <v>0</v>
      </c>
      <c r="BV571" s="866">
        <f>+SUM(BV572:BV573)</f>
        <v>0</v>
      </c>
      <c r="BW571" s="866">
        <f t="shared" ref="BW571:BW576" si="1393">+BX571</f>
        <v>0</v>
      </c>
      <c r="BX571" s="866">
        <f>+SUM(BX572:BX573)</f>
        <v>0</v>
      </c>
      <c r="BY571" s="866">
        <f>+SUM(BY572:BY573)</f>
        <v>0</v>
      </c>
      <c r="BZ571" s="866">
        <f t="shared" ref="BZ571:BZ576" si="1394">+CA571</f>
        <v>0</v>
      </c>
      <c r="CA571" s="866">
        <f>+SUM(CA572:CA573)</f>
        <v>0</v>
      </c>
      <c r="CB571" s="866">
        <f>+SUM(CB572:CB573)</f>
        <v>0</v>
      </c>
      <c r="CC571" s="866">
        <f t="shared" ref="CC571:CC576" si="1395">+CD571</f>
        <v>0</v>
      </c>
      <c r="CD571" s="867">
        <f>+SUM(CD572:CD573)</f>
        <v>0</v>
      </c>
      <c r="CE571" s="867">
        <f>+SUM(CE572:CE573)</f>
        <v>0</v>
      </c>
      <c r="CF571" s="867">
        <f t="shared" ref="CF571:CF576" si="1396">+CG571</f>
        <v>0</v>
      </c>
      <c r="CG571" s="867">
        <f>+SUM(CG572:CG573)</f>
        <v>0</v>
      </c>
      <c r="CH571" s="867">
        <f>+SUM(CH572:CH573)</f>
        <v>0</v>
      </c>
      <c r="CI571" s="867">
        <f t="shared" ref="CI571:CI576" si="1397">+CJ571</f>
        <v>0</v>
      </c>
      <c r="CJ571" s="867">
        <f>+SUM(CJ572:CJ573)</f>
        <v>0</v>
      </c>
      <c r="CK571" s="867">
        <f>+SUM(CK572:CK573)</f>
        <v>0</v>
      </c>
      <c r="CL571" s="867">
        <f t="shared" ref="CL571:CL576" si="1398">+CM571</f>
        <v>0</v>
      </c>
      <c r="CM571" s="867">
        <f>+SUM(CM572:CM573)</f>
        <v>0</v>
      </c>
      <c r="CN571" s="867">
        <f>+SUM(CN572:CN573)</f>
        <v>0</v>
      </c>
      <c r="CO571" s="867">
        <f t="shared" ref="CO571:CO576" si="1399">+CP571</f>
        <v>0</v>
      </c>
      <c r="CP571" s="867">
        <f>+SUM(CP572:CP573)</f>
        <v>0</v>
      </c>
      <c r="CQ571" s="867">
        <f>+SUM(CQ572:CQ573)</f>
        <v>0</v>
      </c>
      <c r="CR571" s="867">
        <f t="shared" ref="CR571:CR576" si="1400">+CS571</f>
        <v>0</v>
      </c>
      <c r="CS571" s="867">
        <f>+SUM(CS572:CS573)</f>
        <v>0</v>
      </c>
      <c r="CT571" s="867">
        <f>+SUM(CT572:CT573)</f>
        <v>0</v>
      </c>
      <c r="CU571" s="867">
        <f t="shared" ref="CU571:CU576" si="1401">+CV571</f>
        <v>0</v>
      </c>
      <c r="CV571" s="867">
        <f>+SUM(CV572:CV573)</f>
        <v>0</v>
      </c>
      <c r="CW571" s="867">
        <f>+SUM(CW572:CW573)</f>
        <v>0</v>
      </c>
      <c r="CX571" s="867">
        <f t="shared" ref="CX571:CX576" si="1402">+CY571</f>
        <v>0</v>
      </c>
      <c r="CY571" s="867">
        <f>+SUM(CY572:CY573)</f>
        <v>0</v>
      </c>
      <c r="CZ571" s="867">
        <f>+SUM(CZ572:CZ573)</f>
        <v>0</v>
      </c>
      <c r="DA571" s="867">
        <f t="shared" ref="DA571:DA576" si="1403">+DB571</f>
        <v>0</v>
      </c>
      <c r="DB571" s="867">
        <f>+SUM(DB572:DB573)</f>
        <v>0</v>
      </c>
      <c r="DC571" s="867">
        <f>+SUM(DC572:DC573)</f>
        <v>0</v>
      </c>
      <c r="DD571" s="867">
        <f t="shared" ref="DD571:DD576" si="1404">+DE571</f>
        <v>0</v>
      </c>
      <c r="DE571" s="867">
        <f>+SUM(DE572:DE573)</f>
        <v>0</v>
      </c>
      <c r="DF571" s="867">
        <f>+SUM(DF572:DF573)</f>
        <v>0</v>
      </c>
      <c r="DG571" s="867">
        <f t="shared" ref="DG571:DG576" si="1405">+DH571</f>
        <v>0</v>
      </c>
      <c r="DH571" s="1341">
        <f>+SUM(DH572:DH573)</f>
        <v>0</v>
      </c>
      <c r="DI571" s="867">
        <f>+SUM(DI572:DI573)</f>
        <v>0</v>
      </c>
      <c r="DJ571" s="867">
        <f t="shared" ref="DJ571:DJ576" si="1406">+DK571</f>
        <v>0</v>
      </c>
      <c r="DK571" s="1341">
        <f>+SUM(DK572:DK573)</f>
        <v>0</v>
      </c>
      <c r="DL571" s="867">
        <f>+SUM(DL572:DL573)</f>
        <v>0</v>
      </c>
      <c r="DM571" s="867">
        <f t="shared" ref="DM571:DM576" si="1407">+DN571</f>
        <v>0</v>
      </c>
      <c r="DN571" s="1341">
        <f>+SUM(DN572:DN573)</f>
        <v>0</v>
      </c>
      <c r="DO571" s="867">
        <f>+SUM(DO572:DO573)</f>
        <v>0</v>
      </c>
      <c r="DP571" s="867">
        <f t="shared" ref="DP571:DP576" si="1408">+DQ571</f>
        <v>0</v>
      </c>
      <c r="DQ571" s="1341">
        <f>+SUM(DQ572:DQ573)</f>
        <v>0</v>
      </c>
      <c r="DR571" s="867">
        <f>+SUM(DR572:DR573)</f>
        <v>0</v>
      </c>
      <c r="DS571" s="867">
        <f t="shared" ref="DS571:DS576" si="1409">+DT571</f>
        <v>0</v>
      </c>
      <c r="DT571" s="1341">
        <f>+SUM(DT572:DT573)</f>
        <v>0</v>
      </c>
      <c r="DU571" s="867">
        <f>+SUM(DU572:DU573)</f>
        <v>0</v>
      </c>
      <c r="DV571" s="867">
        <f t="shared" ref="DV571:DV576" si="1410">+DW571</f>
        <v>0</v>
      </c>
      <c r="DW571" s="1341">
        <f>+SUM(DW572:DW573)</f>
        <v>0</v>
      </c>
      <c r="DX571" s="867">
        <f>+SUM(DX572:DX573)</f>
        <v>0</v>
      </c>
      <c r="DY571" s="867">
        <f t="shared" ref="DY571:DY576" si="1411">+DZ571</f>
        <v>0</v>
      </c>
      <c r="DZ571" s="1341">
        <f>+SUM(DZ572:DZ573)</f>
        <v>0</v>
      </c>
      <c r="EA571" s="867">
        <f>+SUM(EA572:EA573)</f>
        <v>0</v>
      </c>
      <c r="EB571" s="867">
        <f t="shared" ref="EB571:EB576" si="1412">+EC571</f>
        <v>0</v>
      </c>
      <c r="EC571" s="1341">
        <f>+SUM(EC572:EC573)</f>
        <v>0</v>
      </c>
      <c r="ED571" s="867">
        <f>+SUM(ED572:ED573)</f>
        <v>0</v>
      </c>
      <c r="EE571" s="867">
        <f t="shared" ref="EE571:EE576" si="1413">+EF571</f>
        <v>0</v>
      </c>
      <c r="EF571" s="1341">
        <f>+SUM(EF572:EF573)</f>
        <v>0</v>
      </c>
      <c r="EG571" s="867">
        <f>+SUM(EG572:EG573)</f>
        <v>0</v>
      </c>
      <c r="EH571" s="867">
        <f t="shared" ref="EH571:EH576" si="1414">+EI571</f>
        <v>0</v>
      </c>
      <c r="EI571" s="1341">
        <f>+SUM(EI572:EI573)</f>
        <v>0</v>
      </c>
      <c r="EJ571" s="867">
        <f>+SUM(EJ572:EJ573)</f>
        <v>0</v>
      </c>
      <c r="EK571" s="867">
        <f t="shared" ref="EK571:EK576" si="1415">+EL571</f>
        <v>0</v>
      </c>
      <c r="EL571" s="1341">
        <f>+SUM(EL572:EL573)</f>
        <v>0</v>
      </c>
      <c r="EM571" s="867">
        <f>+SUM(EM572:EM573)</f>
        <v>0</v>
      </c>
      <c r="EN571" s="867">
        <f t="shared" ref="EN571:EN576" si="1416">+EO571</f>
        <v>0</v>
      </c>
      <c r="EO571" s="1341">
        <f>+SUM(EO572:EO573)</f>
        <v>0</v>
      </c>
      <c r="EP571" s="867">
        <f>+SUM(EP572:EP573)</f>
        <v>0</v>
      </c>
      <c r="EQ571" s="867">
        <f t="shared" ref="EQ571:EQ576" si="1417">+ER571</f>
        <v>0</v>
      </c>
      <c r="ER571" s="1341">
        <f>+SUM(ER572:ER573)</f>
        <v>0</v>
      </c>
      <c r="ES571" s="867">
        <f>+SUM(ES572:ES573)</f>
        <v>0</v>
      </c>
      <c r="ET571" s="867">
        <f t="shared" ref="ET571:ET576" si="1418">+EU571</f>
        <v>0</v>
      </c>
      <c r="EU571" s="1341">
        <f>+SUM(EU572:EU573)</f>
        <v>0</v>
      </c>
      <c r="EV571" s="867">
        <f>+SUM(EV572:EV573)</f>
        <v>0</v>
      </c>
      <c r="EW571" s="867">
        <f t="shared" ref="EW571:EW576" si="1419">+EX571</f>
        <v>0</v>
      </c>
      <c r="EX571" s="1341">
        <f>+SUM(EX572:EX573)</f>
        <v>0</v>
      </c>
      <c r="EY571" s="867">
        <f>+SUM(EY572:EY573)</f>
        <v>0</v>
      </c>
      <c r="EZ571" s="867">
        <f t="shared" ref="EZ571:EZ576" si="1420">+FA571</f>
        <v>0</v>
      </c>
      <c r="FA571" s="1341">
        <f>+SUM(FA572:FA573)</f>
        <v>0</v>
      </c>
      <c r="FE571"/>
      <c r="FF571"/>
      <c r="FG571"/>
      <c r="FH571"/>
      <c r="FI571"/>
      <c r="FJ571"/>
      <c r="FK571" s="35"/>
    </row>
    <row r="572" spans="1:167" s="235" customFormat="1" ht="13.35" customHeight="1">
      <c r="A572" s="821"/>
      <c r="B572" s="821" t="s">
        <v>561</v>
      </c>
      <c r="C572" s="862"/>
      <c r="D572" s="821"/>
      <c r="E572" s="863"/>
      <c r="F572" s="863"/>
      <c r="G572" s="863"/>
      <c r="H572" s="863"/>
      <c r="I572" s="863"/>
      <c r="J572" s="863"/>
      <c r="K572" s="863"/>
      <c r="L572" s="863"/>
      <c r="M572" s="863"/>
      <c r="N572" s="863"/>
      <c r="O572" s="863"/>
      <c r="P572" s="863"/>
      <c r="Q572" s="864"/>
      <c r="R572" s="864"/>
      <c r="S572" s="864"/>
      <c r="T572" s="864"/>
      <c r="U572" s="864"/>
      <c r="V572" s="865"/>
      <c r="W572" s="865"/>
      <c r="X572" s="865"/>
      <c r="Y572" s="865"/>
      <c r="Z572" s="865"/>
      <c r="AA572" s="865"/>
      <c r="AB572" s="865"/>
      <c r="AC572" s="865"/>
      <c r="AD572" s="865"/>
      <c r="AE572" s="865"/>
      <c r="AF572" s="865"/>
      <c r="AG572" s="865"/>
      <c r="AH572" s="865"/>
      <c r="AI572" s="865"/>
      <c r="AJ572" s="865"/>
      <c r="AK572" s="865"/>
      <c r="AL572" s="865"/>
      <c r="AM572" s="865"/>
      <c r="AN572" s="868"/>
      <c r="AO572" s="869"/>
      <c r="AP572" s="870">
        <f t="shared" si="1382"/>
        <v>0</v>
      </c>
      <c r="AQ572" s="868"/>
      <c r="AR572" s="869"/>
      <c r="AS572" s="870">
        <f t="shared" si="1383"/>
        <v>0</v>
      </c>
      <c r="AT572" s="868"/>
      <c r="AU572" s="869"/>
      <c r="AV572" s="870">
        <f t="shared" si="1384"/>
        <v>0</v>
      </c>
      <c r="AW572" s="868"/>
      <c r="AX572" s="869"/>
      <c r="AY572" s="870">
        <f t="shared" si="1385"/>
        <v>0</v>
      </c>
      <c r="AZ572" s="868"/>
      <c r="BA572" s="869"/>
      <c r="BB572" s="870">
        <f t="shared" si="1386"/>
        <v>0</v>
      </c>
      <c r="BC572" s="868"/>
      <c r="BD572" s="869"/>
      <c r="BE572" s="870">
        <f t="shared" si="1387"/>
        <v>0</v>
      </c>
      <c r="BF572" s="868"/>
      <c r="BG572" s="869"/>
      <c r="BH572" s="870">
        <f t="shared" si="1388"/>
        <v>0</v>
      </c>
      <c r="BI572" s="868"/>
      <c r="BJ572" s="869"/>
      <c r="BK572" s="870">
        <f t="shared" si="1389"/>
        <v>0</v>
      </c>
      <c r="BL572" s="868"/>
      <c r="BM572" s="869"/>
      <c r="BN572" s="870">
        <f t="shared" si="1390"/>
        <v>0</v>
      </c>
      <c r="BO572" s="871"/>
      <c r="BP572" s="869"/>
      <c r="BQ572" s="870">
        <f t="shared" si="1391"/>
        <v>0</v>
      </c>
      <c r="BR572" s="871"/>
      <c r="BS572" s="869"/>
      <c r="BT572" s="870">
        <f t="shared" si="1392"/>
        <v>0</v>
      </c>
      <c r="BU572" s="871"/>
      <c r="BV572" s="869"/>
      <c r="BW572" s="870">
        <f t="shared" si="1393"/>
        <v>0</v>
      </c>
      <c r="BX572" s="871"/>
      <c r="BY572" s="869"/>
      <c r="BZ572" s="870">
        <f t="shared" si="1394"/>
        <v>0</v>
      </c>
      <c r="CA572" s="871"/>
      <c r="CB572" s="869"/>
      <c r="CC572" s="870">
        <f t="shared" si="1395"/>
        <v>0</v>
      </c>
      <c r="CD572" s="535"/>
      <c r="CE572" s="537"/>
      <c r="CF572" s="872">
        <f t="shared" si="1396"/>
        <v>0</v>
      </c>
      <c r="CG572" s="535"/>
      <c r="CH572" s="537"/>
      <c r="CI572" s="872">
        <f t="shared" si="1397"/>
        <v>0</v>
      </c>
      <c r="CJ572" s="535"/>
      <c r="CK572" s="537"/>
      <c r="CL572" s="872">
        <f t="shared" si="1398"/>
        <v>0</v>
      </c>
      <c r="CM572" s="535"/>
      <c r="CN572" s="537"/>
      <c r="CO572" s="872">
        <f t="shared" si="1399"/>
        <v>0</v>
      </c>
      <c r="CP572" s="535"/>
      <c r="CQ572" s="537"/>
      <c r="CR572" s="872">
        <f t="shared" si="1400"/>
        <v>0</v>
      </c>
      <c r="CS572" s="535"/>
      <c r="CT572" s="537"/>
      <c r="CU572" s="872">
        <f t="shared" si="1401"/>
        <v>0</v>
      </c>
      <c r="CV572" s="535"/>
      <c r="CW572" s="537"/>
      <c r="CX572" s="872">
        <f t="shared" si="1402"/>
        <v>0</v>
      </c>
      <c r="CY572" s="535"/>
      <c r="CZ572" s="537"/>
      <c r="DA572" s="872">
        <f t="shared" si="1403"/>
        <v>0</v>
      </c>
      <c r="DB572" s="535"/>
      <c r="DC572" s="537"/>
      <c r="DD572" s="872">
        <f t="shared" si="1404"/>
        <v>0</v>
      </c>
      <c r="DE572" s="535"/>
      <c r="DF572" s="537"/>
      <c r="DG572" s="872">
        <f t="shared" si="1405"/>
        <v>0</v>
      </c>
      <c r="DH572" s="1268"/>
      <c r="DI572" s="537"/>
      <c r="DJ572" s="872">
        <f t="shared" si="1406"/>
        <v>0</v>
      </c>
      <c r="DK572" s="1268"/>
      <c r="DL572" s="537"/>
      <c r="DM572" s="872">
        <f t="shared" si="1407"/>
        <v>0</v>
      </c>
      <c r="DN572" s="1268"/>
      <c r="DO572" s="537"/>
      <c r="DP572" s="872">
        <f t="shared" si="1408"/>
        <v>0</v>
      </c>
      <c r="DQ572" s="1268"/>
      <c r="DR572" s="537"/>
      <c r="DS572" s="872">
        <f t="shared" si="1409"/>
        <v>0</v>
      </c>
      <c r="DT572" s="1268"/>
      <c r="DU572" s="537"/>
      <c r="DV572" s="872">
        <f t="shared" si="1410"/>
        <v>0</v>
      </c>
      <c r="DW572" s="1268"/>
      <c r="DX572" s="537"/>
      <c r="DY572" s="872">
        <f t="shared" si="1411"/>
        <v>0</v>
      </c>
      <c r="DZ572" s="1268"/>
      <c r="EA572" s="537"/>
      <c r="EB572" s="872">
        <f t="shared" si="1412"/>
        <v>0</v>
      </c>
      <c r="EC572" s="1268"/>
      <c r="ED572" s="537"/>
      <c r="EE572" s="872">
        <f t="shared" si="1413"/>
        <v>0</v>
      </c>
      <c r="EF572" s="1268"/>
      <c r="EG572" s="537"/>
      <c r="EH572" s="872">
        <f t="shared" si="1414"/>
        <v>0</v>
      </c>
      <c r="EI572" s="1268"/>
      <c r="EJ572" s="537"/>
      <c r="EK572" s="872">
        <f t="shared" si="1415"/>
        <v>0</v>
      </c>
      <c r="EL572" s="1268"/>
      <c r="EM572" s="537"/>
      <c r="EN572" s="872">
        <f t="shared" si="1416"/>
        <v>0</v>
      </c>
      <c r="EO572" s="1268"/>
      <c r="EP572" s="537"/>
      <c r="EQ572" s="872">
        <f t="shared" si="1417"/>
        <v>0</v>
      </c>
      <c r="ER572" s="1268"/>
      <c r="ES572" s="537"/>
      <c r="ET572" s="872">
        <f t="shared" si="1418"/>
        <v>0</v>
      </c>
      <c r="EU572" s="1268"/>
      <c r="EV572" s="537"/>
      <c r="EW572" s="872">
        <f t="shared" si="1419"/>
        <v>0</v>
      </c>
      <c r="EX572" s="1268"/>
      <c r="EY572" s="537"/>
      <c r="EZ572" s="872">
        <f t="shared" si="1420"/>
        <v>0</v>
      </c>
      <c r="FA572" s="1268"/>
      <c r="FE572"/>
      <c r="FF572"/>
      <c r="FG572"/>
      <c r="FH572"/>
      <c r="FI572"/>
      <c r="FJ572"/>
      <c r="FK572" s="35"/>
    </row>
    <row r="573" spans="1:167" s="235" customFormat="1" ht="13.35" customHeight="1" thickBot="1">
      <c r="A573" s="821"/>
      <c r="B573" s="821" t="s">
        <v>867</v>
      </c>
      <c r="C573" s="862"/>
      <c r="D573" s="821"/>
      <c r="E573" s="863"/>
      <c r="F573" s="863"/>
      <c r="G573" s="863"/>
      <c r="H573" s="863"/>
      <c r="I573" s="863"/>
      <c r="J573" s="863"/>
      <c r="K573" s="863"/>
      <c r="L573" s="863"/>
      <c r="M573" s="863"/>
      <c r="N573" s="863"/>
      <c r="O573" s="863"/>
      <c r="P573" s="863"/>
      <c r="Q573" s="864"/>
      <c r="R573" s="864"/>
      <c r="S573" s="864"/>
      <c r="T573" s="864"/>
      <c r="U573" s="864"/>
      <c r="V573" s="865"/>
      <c r="W573" s="865"/>
      <c r="X573" s="865"/>
      <c r="Y573" s="865"/>
      <c r="Z573" s="865"/>
      <c r="AA573" s="865"/>
      <c r="AB573" s="865"/>
      <c r="AC573" s="865"/>
      <c r="AD573" s="865"/>
      <c r="AE573" s="865"/>
      <c r="AF573" s="865"/>
      <c r="AG573" s="865"/>
      <c r="AH573" s="865"/>
      <c r="AI573" s="865"/>
      <c r="AJ573" s="865"/>
      <c r="AK573" s="865"/>
      <c r="AL573" s="865"/>
      <c r="AM573" s="865"/>
      <c r="AN573" s="873"/>
      <c r="AO573" s="874"/>
      <c r="AP573" s="870">
        <f t="shared" si="1382"/>
        <v>0</v>
      </c>
      <c r="AQ573" s="873"/>
      <c r="AR573" s="874"/>
      <c r="AS573" s="870">
        <f t="shared" si="1383"/>
        <v>0</v>
      </c>
      <c r="AT573" s="873"/>
      <c r="AU573" s="874"/>
      <c r="AV573" s="870">
        <f t="shared" si="1384"/>
        <v>0</v>
      </c>
      <c r="AW573" s="873"/>
      <c r="AX573" s="874"/>
      <c r="AY573" s="870">
        <f t="shared" si="1385"/>
        <v>0</v>
      </c>
      <c r="AZ573" s="873"/>
      <c r="BA573" s="874"/>
      <c r="BB573" s="870">
        <f t="shared" si="1386"/>
        <v>0</v>
      </c>
      <c r="BC573" s="873"/>
      <c r="BD573" s="874"/>
      <c r="BE573" s="870">
        <f t="shared" si="1387"/>
        <v>0</v>
      </c>
      <c r="BF573" s="873"/>
      <c r="BG573" s="874"/>
      <c r="BH573" s="870">
        <f t="shared" si="1388"/>
        <v>0</v>
      </c>
      <c r="BI573" s="873"/>
      <c r="BJ573" s="874"/>
      <c r="BK573" s="870">
        <f t="shared" si="1389"/>
        <v>0</v>
      </c>
      <c r="BL573" s="873"/>
      <c r="BM573" s="874"/>
      <c r="BN573" s="870">
        <f t="shared" si="1390"/>
        <v>0</v>
      </c>
      <c r="BO573" s="875"/>
      <c r="BP573" s="874"/>
      <c r="BQ573" s="870">
        <f t="shared" si="1391"/>
        <v>0</v>
      </c>
      <c r="BR573" s="875"/>
      <c r="BS573" s="874"/>
      <c r="BT573" s="870">
        <f t="shared" si="1392"/>
        <v>0</v>
      </c>
      <c r="BU573" s="875"/>
      <c r="BV573" s="874"/>
      <c r="BW573" s="870">
        <f t="shared" si="1393"/>
        <v>0</v>
      </c>
      <c r="BX573" s="875"/>
      <c r="BY573" s="874"/>
      <c r="BZ573" s="870">
        <f t="shared" si="1394"/>
        <v>0</v>
      </c>
      <c r="CA573" s="875"/>
      <c r="CB573" s="874"/>
      <c r="CC573" s="870">
        <f t="shared" si="1395"/>
        <v>0</v>
      </c>
      <c r="CD573" s="540"/>
      <c r="CE573" s="542"/>
      <c r="CF573" s="872">
        <f t="shared" si="1396"/>
        <v>0</v>
      </c>
      <c r="CG573" s="540"/>
      <c r="CH573" s="542"/>
      <c r="CI573" s="872">
        <f t="shared" si="1397"/>
        <v>0</v>
      </c>
      <c r="CJ573" s="540"/>
      <c r="CK573" s="542"/>
      <c r="CL573" s="872">
        <f t="shared" si="1398"/>
        <v>0</v>
      </c>
      <c r="CM573" s="540"/>
      <c r="CN573" s="542"/>
      <c r="CO573" s="872">
        <f t="shared" si="1399"/>
        <v>0</v>
      </c>
      <c r="CP573" s="540"/>
      <c r="CQ573" s="542"/>
      <c r="CR573" s="872">
        <f t="shared" si="1400"/>
        <v>0</v>
      </c>
      <c r="CS573" s="540"/>
      <c r="CT573" s="542"/>
      <c r="CU573" s="872">
        <f t="shared" si="1401"/>
        <v>0</v>
      </c>
      <c r="CV573" s="540"/>
      <c r="CW573" s="542"/>
      <c r="CX573" s="872">
        <f t="shared" si="1402"/>
        <v>0</v>
      </c>
      <c r="CY573" s="540"/>
      <c r="CZ573" s="542"/>
      <c r="DA573" s="872">
        <f t="shared" si="1403"/>
        <v>0</v>
      </c>
      <c r="DB573" s="540"/>
      <c r="DC573" s="542"/>
      <c r="DD573" s="872">
        <f t="shared" si="1404"/>
        <v>0</v>
      </c>
      <c r="DE573" s="540"/>
      <c r="DF573" s="542"/>
      <c r="DG573" s="872">
        <f t="shared" si="1405"/>
        <v>0</v>
      </c>
      <c r="DH573" s="1269"/>
      <c r="DI573" s="542"/>
      <c r="DJ573" s="872">
        <f t="shared" si="1406"/>
        <v>0</v>
      </c>
      <c r="DK573" s="1269"/>
      <c r="DL573" s="542"/>
      <c r="DM573" s="872">
        <f t="shared" si="1407"/>
        <v>0</v>
      </c>
      <c r="DN573" s="1269"/>
      <c r="DO573" s="542"/>
      <c r="DP573" s="872">
        <f t="shared" si="1408"/>
        <v>0</v>
      </c>
      <c r="DQ573" s="1269"/>
      <c r="DR573" s="542"/>
      <c r="DS573" s="872">
        <f t="shared" si="1409"/>
        <v>0</v>
      </c>
      <c r="DT573" s="1269"/>
      <c r="DU573" s="542"/>
      <c r="DV573" s="872">
        <f t="shared" si="1410"/>
        <v>0</v>
      </c>
      <c r="DW573" s="1269"/>
      <c r="DX573" s="542"/>
      <c r="DY573" s="872">
        <f t="shared" si="1411"/>
        <v>0</v>
      </c>
      <c r="DZ573" s="1269"/>
      <c r="EA573" s="542"/>
      <c r="EB573" s="872">
        <f t="shared" si="1412"/>
        <v>0</v>
      </c>
      <c r="EC573" s="1269"/>
      <c r="ED573" s="542"/>
      <c r="EE573" s="872">
        <f t="shared" si="1413"/>
        <v>0</v>
      </c>
      <c r="EF573" s="1269"/>
      <c r="EG573" s="542"/>
      <c r="EH573" s="872">
        <f t="shared" si="1414"/>
        <v>0</v>
      </c>
      <c r="EI573" s="1269"/>
      <c r="EJ573" s="542"/>
      <c r="EK573" s="872">
        <f t="shared" si="1415"/>
        <v>0</v>
      </c>
      <c r="EL573" s="1269"/>
      <c r="EM573" s="542"/>
      <c r="EN573" s="872">
        <f t="shared" si="1416"/>
        <v>0</v>
      </c>
      <c r="EO573" s="1269"/>
      <c r="EP573" s="542"/>
      <c r="EQ573" s="872">
        <f t="shared" si="1417"/>
        <v>0</v>
      </c>
      <c r="ER573" s="1269"/>
      <c r="ES573" s="542"/>
      <c r="ET573" s="872">
        <f t="shared" si="1418"/>
        <v>0</v>
      </c>
      <c r="EU573" s="1269"/>
      <c r="EV573" s="542"/>
      <c r="EW573" s="872">
        <f t="shared" si="1419"/>
        <v>0</v>
      </c>
      <c r="EX573" s="1269"/>
      <c r="EY573" s="542"/>
      <c r="EZ573" s="872">
        <f t="shared" si="1420"/>
        <v>0</v>
      </c>
      <c r="FA573" s="1269"/>
      <c r="FE573"/>
      <c r="FF573"/>
      <c r="FG573"/>
      <c r="FH573"/>
      <c r="FI573"/>
      <c r="FJ573"/>
      <c r="FK573" s="35"/>
    </row>
    <row r="574" spans="1:167" s="235" customFormat="1" ht="13.35" customHeight="1" thickBot="1">
      <c r="A574" s="821"/>
      <c r="B574" s="845" t="s">
        <v>916</v>
      </c>
      <c r="C574" s="862"/>
      <c r="D574" s="821"/>
      <c r="E574" s="863"/>
      <c r="F574" s="863"/>
      <c r="G574" s="863"/>
      <c r="H574" s="863"/>
      <c r="I574" s="863"/>
      <c r="J574" s="863"/>
      <c r="K574" s="863"/>
      <c r="L574" s="863"/>
      <c r="M574" s="863"/>
      <c r="N574" s="863"/>
      <c r="O574" s="863"/>
      <c r="P574" s="863"/>
      <c r="Q574" s="864"/>
      <c r="R574" s="864"/>
      <c r="S574" s="864"/>
      <c r="T574" s="864"/>
      <c r="U574" s="864"/>
      <c r="V574" s="865"/>
      <c r="W574" s="865"/>
      <c r="X574" s="865"/>
      <c r="Y574" s="865"/>
      <c r="Z574" s="865"/>
      <c r="AA574" s="865"/>
      <c r="AB574" s="865"/>
      <c r="AC574" s="865"/>
      <c r="AD574" s="865"/>
      <c r="AE574" s="865"/>
      <c r="AF574" s="865"/>
      <c r="AG574" s="865"/>
      <c r="AH574" s="865"/>
      <c r="AI574" s="865"/>
      <c r="AJ574" s="865"/>
      <c r="AK574" s="865"/>
      <c r="AL574" s="865"/>
      <c r="AM574" s="865"/>
      <c r="AN574" s="866">
        <f>+SUM(AN575:AN576)</f>
        <v>0</v>
      </c>
      <c r="AO574" s="866">
        <f>+SUM(AO575:AO576)</f>
        <v>0</v>
      </c>
      <c r="AP574" s="866">
        <f t="shared" si="1382"/>
        <v>0</v>
      </c>
      <c r="AQ574" s="866">
        <f>+SUM(AQ575:AQ576)</f>
        <v>0</v>
      </c>
      <c r="AR574" s="866">
        <f>+SUM(AR575:AR576)</f>
        <v>0</v>
      </c>
      <c r="AS574" s="866">
        <f t="shared" si="1383"/>
        <v>0</v>
      </c>
      <c r="AT574" s="866">
        <f>+SUM(AT575:AT576)</f>
        <v>0</v>
      </c>
      <c r="AU574" s="866">
        <f>+SUM(AU575:AU576)</f>
        <v>0</v>
      </c>
      <c r="AV574" s="866">
        <f t="shared" si="1384"/>
        <v>0</v>
      </c>
      <c r="AW574" s="866">
        <f>+SUM(AW575:AW576)</f>
        <v>0</v>
      </c>
      <c r="AX574" s="866">
        <f>+SUM(AX575:AX576)</f>
        <v>0</v>
      </c>
      <c r="AY574" s="866">
        <f t="shared" si="1385"/>
        <v>0</v>
      </c>
      <c r="AZ574" s="866">
        <f>+SUM(AZ575:AZ576)</f>
        <v>0</v>
      </c>
      <c r="BA574" s="866">
        <f>+SUM(BA575:BA576)</f>
        <v>0</v>
      </c>
      <c r="BB574" s="866">
        <f t="shared" si="1386"/>
        <v>0</v>
      </c>
      <c r="BC574" s="866">
        <f>+SUM(BC575:BC576)</f>
        <v>0</v>
      </c>
      <c r="BD574" s="866">
        <f>+SUM(BD575:BD576)</f>
        <v>0</v>
      </c>
      <c r="BE574" s="866">
        <f t="shared" si="1387"/>
        <v>0</v>
      </c>
      <c r="BF574" s="866">
        <f>+SUM(BF575:BF576)</f>
        <v>0</v>
      </c>
      <c r="BG574" s="866">
        <f>+SUM(BG575:BG576)</f>
        <v>0</v>
      </c>
      <c r="BH574" s="866">
        <f t="shared" si="1388"/>
        <v>0</v>
      </c>
      <c r="BI574" s="866">
        <f>+SUM(BI575:BI576)</f>
        <v>0</v>
      </c>
      <c r="BJ574" s="866">
        <f>+SUM(BJ575:BJ576)</f>
        <v>0</v>
      </c>
      <c r="BK574" s="866">
        <f t="shared" si="1389"/>
        <v>0</v>
      </c>
      <c r="BL574" s="866">
        <f>+SUM(BL575:BL576)</f>
        <v>0</v>
      </c>
      <c r="BM574" s="866">
        <f>+SUM(BM575:BM576)</f>
        <v>0</v>
      </c>
      <c r="BN574" s="866">
        <f t="shared" si="1390"/>
        <v>0</v>
      </c>
      <c r="BO574" s="866">
        <f>+SUM(BO575:BO576)</f>
        <v>0</v>
      </c>
      <c r="BP574" s="866">
        <f>+SUM(BP575:BP576)</f>
        <v>0</v>
      </c>
      <c r="BQ574" s="866">
        <f t="shared" si="1391"/>
        <v>0</v>
      </c>
      <c r="BR574" s="866">
        <f>+SUM(BR575:BR576)</f>
        <v>0</v>
      </c>
      <c r="BS574" s="866">
        <f>+SUM(BS575:BS576)</f>
        <v>0</v>
      </c>
      <c r="BT574" s="866">
        <f t="shared" si="1392"/>
        <v>0</v>
      </c>
      <c r="BU574" s="866">
        <f>+SUM(BU575:BU576)</f>
        <v>0</v>
      </c>
      <c r="BV574" s="866">
        <f>+SUM(BV575:BV576)</f>
        <v>0</v>
      </c>
      <c r="BW574" s="866">
        <f t="shared" si="1393"/>
        <v>0</v>
      </c>
      <c r="BX574" s="866">
        <f>+SUM(BX575:BX576)</f>
        <v>0</v>
      </c>
      <c r="BY574" s="866">
        <f>+SUM(BY575:BY576)</f>
        <v>0</v>
      </c>
      <c r="BZ574" s="866">
        <f t="shared" si="1394"/>
        <v>0</v>
      </c>
      <c r="CA574" s="866">
        <f>+SUM(CA575:CA576)</f>
        <v>0</v>
      </c>
      <c r="CB574" s="866">
        <f>+SUM(CB575:CB576)</f>
        <v>0</v>
      </c>
      <c r="CC574" s="866">
        <f t="shared" si="1395"/>
        <v>0</v>
      </c>
      <c r="CD574" s="867">
        <f>+SUM(CD575:CD576)</f>
        <v>0</v>
      </c>
      <c r="CE574" s="867">
        <f>+SUM(CE575:CE576)</f>
        <v>0</v>
      </c>
      <c r="CF574" s="867">
        <f t="shared" si="1396"/>
        <v>0</v>
      </c>
      <c r="CG574" s="867">
        <f>+SUM(CG575:CG576)</f>
        <v>0</v>
      </c>
      <c r="CH574" s="867">
        <f>+SUM(CH575:CH576)</f>
        <v>0</v>
      </c>
      <c r="CI574" s="867">
        <f t="shared" si="1397"/>
        <v>0</v>
      </c>
      <c r="CJ574" s="867">
        <f>+SUM(CJ575:CJ576)</f>
        <v>0</v>
      </c>
      <c r="CK574" s="867">
        <f>+SUM(CK575:CK576)</f>
        <v>0</v>
      </c>
      <c r="CL574" s="867">
        <f t="shared" si="1398"/>
        <v>0</v>
      </c>
      <c r="CM574" s="867">
        <f>+SUM(CM575:CM576)</f>
        <v>0</v>
      </c>
      <c r="CN574" s="867">
        <f>+SUM(CN575:CN576)</f>
        <v>0</v>
      </c>
      <c r="CO574" s="867">
        <f t="shared" si="1399"/>
        <v>0</v>
      </c>
      <c r="CP574" s="867">
        <f>+SUM(CP575:CP576)</f>
        <v>0</v>
      </c>
      <c r="CQ574" s="867">
        <f>+SUM(CQ575:CQ576)</f>
        <v>0</v>
      </c>
      <c r="CR574" s="867">
        <f t="shared" si="1400"/>
        <v>0</v>
      </c>
      <c r="CS574" s="867">
        <f>+SUM(CS575:CS576)</f>
        <v>0</v>
      </c>
      <c r="CT574" s="867">
        <f>+SUM(CT575:CT576)</f>
        <v>0</v>
      </c>
      <c r="CU574" s="867">
        <f t="shared" si="1401"/>
        <v>0</v>
      </c>
      <c r="CV574" s="867">
        <f>+SUM(CV575:CV576)</f>
        <v>0</v>
      </c>
      <c r="CW574" s="867">
        <f>+SUM(CW575:CW576)</f>
        <v>0</v>
      </c>
      <c r="CX574" s="867">
        <f t="shared" si="1402"/>
        <v>0</v>
      </c>
      <c r="CY574" s="867">
        <f>+SUM(CY575:CY576)</f>
        <v>0</v>
      </c>
      <c r="CZ574" s="867">
        <f>+SUM(CZ575:CZ576)</f>
        <v>0</v>
      </c>
      <c r="DA574" s="867">
        <f t="shared" si="1403"/>
        <v>0</v>
      </c>
      <c r="DB574" s="867">
        <f>+SUM(DB575:DB576)</f>
        <v>0</v>
      </c>
      <c r="DC574" s="867">
        <f>+SUM(DC575:DC576)</f>
        <v>0</v>
      </c>
      <c r="DD574" s="867">
        <f t="shared" si="1404"/>
        <v>0</v>
      </c>
      <c r="DE574" s="867">
        <f>+SUM(DE575:DE576)</f>
        <v>0</v>
      </c>
      <c r="DF574" s="867">
        <f>+SUM(DF575:DF576)</f>
        <v>0</v>
      </c>
      <c r="DG574" s="867">
        <f t="shared" si="1405"/>
        <v>0</v>
      </c>
      <c r="DH574" s="1341">
        <f>+SUM(DH575:DH576)</f>
        <v>0</v>
      </c>
      <c r="DI574" s="867">
        <f>+SUM(DI575:DI576)</f>
        <v>0</v>
      </c>
      <c r="DJ574" s="867">
        <f t="shared" si="1406"/>
        <v>0</v>
      </c>
      <c r="DK574" s="1341">
        <f>+SUM(DK575:DK576)</f>
        <v>0</v>
      </c>
      <c r="DL574" s="867">
        <f>+SUM(DL575:DL576)</f>
        <v>0</v>
      </c>
      <c r="DM574" s="867">
        <f t="shared" si="1407"/>
        <v>0</v>
      </c>
      <c r="DN574" s="1341">
        <f>+SUM(DN575:DN576)</f>
        <v>0</v>
      </c>
      <c r="DO574" s="867">
        <f>+SUM(DO575:DO576)</f>
        <v>0</v>
      </c>
      <c r="DP574" s="867">
        <f t="shared" si="1408"/>
        <v>0</v>
      </c>
      <c r="DQ574" s="1341">
        <f>+SUM(DQ575:DQ576)</f>
        <v>0</v>
      </c>
      <c r="DR574" s="867">
        <f>+SUM(DR575:DR576)</f>
        <v>0</v>
      </c>
      <c r="DS574" s="867">
        <f t="shared" si="1409"/>
        <v>0</v>
      </c>
      <c r="DT574" s="1341">
        <f>+SUM(DT575:DT576)</f>
        <v>0</v>
      </c>
      <c r="DU574" s="867">
        <f>+SUM(DU575:DU576)</f>
        <v>0</v>
      </c>
      <c r="DV574" s="867">
        <f t="shared" si="1410"/>
        <v>0</v>
      </c>
      <c r="DW574" s="1341">
        <f>+SUM(DW575:DW576)</f>
        <v>0</v>
      </c>
      <c r="DX574" s="867">
        <f>+SUM(DX575:DX576)</f>
        <v>0</v>
      </c>
      <c r="DY574" s="867">
        <f t="shared" si="1411"/>
        <v>0</v>
      </c>
      <c r="DZ574" s="1341">
        <f>+SUM(DZ575:DZ576)</f>
        <v>0</v>
      </c>
      <c r="EA574" s="867">
        <f>+SUM(EA575:EA576)</f>
        <v>0</v>
      </c>
      <c r="EB574" s="867">
        <f t="shared" si="1412"/>
        <v>0</v>
      </c>
      <c r="EC574" s="1341">
        <f>+SUM(EC575:EC576)</f>
        <v>0</v>
      </c>
      <c r="ED574" s="867">
        <f>+SUM(ED575:ED576)</f>
        <v>0</v>
      </c>
      <c r="EE574" s="867">
        <f t="shared" si="1413"/>
        <v>0</v>
      </c>
      <c r="EF574" s="1341">
        <f>+SUM(EF575:EF576)</f>
        <v>0</v>
      </c>
      <c r="EG574" s="867">
        <f>+SUM(EG575:EG576)</f>
        <v>0</v>
      </c>
      <c r="EH574" s="867">
        <f t="shared" si="1414"/>
        <v>0</v>
      </c>
      <c r="EI574" s="1341">
        <f>+SUM(EI575:EI576)</f>
        <v>0</v>
      </c>
      <c r="EJ574" s="867">
        <f>+SUM(EJ575:EJ576)</f>
        <v>0</v>
      </c>
      <c r="EK574" s="867">
        <f t="shared" si="1415"/>
        <v>0</v>
      </c>
      <c r="EL574" s="1341">
        <f>+SUM(EL575:EL576)</f>
        <v>0</v>
      </c>
      <c r="EM574" s="867">
        <f>+SUM(EM575:EM576)</f>
        <v>0</v>
      </c>
      <c r="EN574" s="867">
        <f t="shared" si="1416"/>
        <v>0</v>
      </c>
      <c r="EO574" s="1341">
        <f>+SUM(EO575:EO576)</f>
        <v>0</v>
      </c>
      <c r="EP574" s="867">
        <f>+SUM(EP575:EP576)</f>
        <v>0</v>
      </c>
      <c r="EQ574" s="867">
        <f t="shared" si="1417"/>
        <v>0</v>
      </c>
      <c r="ER574" s="1341">
        <f>+SUM(ER575:ER576)</f>
        <v>0</v>
      </c>
      <c r="ES574" s="867">
        <f>+SUM(ES575:ES576)</f>
        <v>0</v>
      </c>
      <c r="ET574" s="867">
        <f t="shared" si="1418"/>
        <v>0</v>
      </c>
      <c r="EU574" s="1341">
        <f>+SUM(EU575:EU576)</f>
        <v>0</v>
      </c>
      <c r="EV574" s="867">
        <f>+SUM(EV575:EV576)</f>
        <v>0</v>
      </c>
      <c r="EW574" s="867">
        <f t="shared" si="1419"/>
        <v>0</v>
      </c>
      <c r="EX574" s="1341">
        <f>+SUM(EX575:EX576)</f>
        <v>0</v>
      </c>
      <c r="EY574" s="867">
        <f>+SUM(EY575:EY576)</f>
        <v>0</v>
      </c>
      <c r="EZ574" s="867">
        <f t="shared" si="1420"/>
        <v>0</v>
      </c>
      <c r="FA574" s="1341">
        <f>+SUM(FA575:FA576)</f>
        <v>0</v>
      </c>
      <c r="FE574"/>
      <c r="FF574"/>
      <c r="FG574"/>
      <c r="FH574"/>
      <c r="FI574"/>
      <c r="FJ574"/>
      <c r="FK574" s="35"/>
    </row>
    <row r="575" spans="1:167" s="235" customFormat="1" ht="13.35" customHeight="1">
      <c r="A575" s="821"/>
      <c r="B575" s="821" t="s">
        <v>151</v>
      </c>
      <c r="C575" s="862"/>
      <c r="D575" s="821"/>
      <c r="E575" s="863"/>
      <c r="F575" s="863"/>
      <c r="G575" s="863"/>
      <c r="H575" s="863"/>
      <c r="I575" s="863"/>
      <c r="J575" s="863"/>
      <c r="K575" s="863"/>
      <c r="L575" s="863"/>
      <c r="M575" s="863"/>
      <c r="N575" s="863"/>
      <c r="O575" s="863"/>
      <c r="P575" s="863"/>
      <c r="Q575" s="864"/>
      <c r="R575" s="864"/>
      <c r="S575" s="864"/>
      <c r="T575" s="864"/>
      <c r="U575" s="864"/>
      <c r="V575" s="865"/>
      <c r="W575" s="865"/>
      <c r="X575" s="865"/>
      <c r="Y575" s="865"/>
      <c r="Z575" s="865"/>
      <c r="AA575" s="865"/>
      <c r="AB575" s="865"/>
      <c r="AC575" s="865"/>
      <c r="AD575" s="865"/>
      <c r="AE575" s="865"/>
      <c r="AF575" s="865"/>
      <c r="AG575" s="865"/>
      <c r="AH575" s="865"/>
      <c r="AI575" s="865"/>
      <c r="AJ575" s="865"/>
      <c r="AK575" s="865"/>
      <c r="AL575" s="865"/>
      <c r="AM575" s="865"/>
      <c r="AN575" s="868"/>
      <c r="AO575" s="869"/>
      <c r="AP575" s="870">
        <f t="shared" si="1382"/>
        <v>0</v>
      </c>
      <c r="AQ575" s="868"/>
      <c r="AR575" s="869"/>
      <c r="AS575" s="870">
        <f t="shared" si="1383"/>
        <v>0</v>
      </c>
      <c r="AT575" s="868"/>
      <c r="AU575" s="869"/>
      <c r="AV575" s="870">
        <f t="shared" si="1384"/>
        <v>0</v>
      </c>
      <c r="AW575" s="868"/>
      <c r="AX575" s="869"/>
      <c r="AY575" s="870">
        <f t="shared" si="1385"/>
        <v>0</v>
      </c>
      <c r="AZ575" s="868"/>
      <c r="BA575" s="869"/>
      <c r="BB575" s="870">
        <f t="shared" si="1386"/>
        <v>0</v>
      </c>
      <c r="BC575" s="868"/>
      <c r="BD575" s="869"/>
      <c r="BE575" s="870">
        <f t="shared" si="1387"/>
        <v>0</v>
      </c>
      <c r="BF575" s="868"/>
      <c r="BG575" s="869"/>
      <c r="BH575" s="870">
        <f t="shared" si="1388"/>
        <v>0</v>
      </c>
      <c r="BI575" s="868"/>
      <c r="BJ575" s="869"/>
      <c r="BK575" s="870">
        <f t="shared" si="1389"/>
        <v>0</v>
      </c>
      <c r="BL575" s="868"/>
      <c r="BM575" s="869"/>
      <c r="BN575" s="870">
        <f t="shared" si="1390"/>
        <v>0</v>
      </c>
      <c r="BO575" s="871"/>
      <c r="BP575" s="869"/>
      <c r="BQ575" s="870">
        <f t="shared" si="1391"/>
        <v>0</v>
      </c>
      <c r="BR575" s="871"/>
      <c r="BS575" s="869"/>
      <c r="BT575" s="870">
        <f t="shared" si="1392"/>
        <v>0</v>
      </c>
      <c r="BU575" s="871"/>
      <c r="BV575" s="869"/>
      <c r="BW575" s="870">
        <f t="shared" si="1393"/>
        <v>0</v>
      </c>
      <c r="BX575" s="871"/>
      <c r="BY575" s="869"/>
      <c r="BZ575" s="870">
        <f t="shared" si="1394"/>
        <v>0</v>
      </c>
      <c r="CA575" s="871"/>
      <c r="CB575" s="869"/>
      <c r="CC575" s="870">
        <f t="shared" si="1395"/>
        <v>0</v>
      </c>
      <c r="CD575" s="535"/>
      <c r="CE575" s="537"/>
      <c r="CF575" s="872">
        <f t="shared" si="1396"/>
        <v>0</v>
      </c>
      <c r="CG575" s="535"/>
      <c r="CH575" s="537"/>
      <c r="CI575" s="872">
        <f t="shared" si="1397"/>
        <v>0</v>
      </c>
      <c r="CJ575" s="535"/>
      <c r="CK575" s="537"/>
      <c r="CL575" s="872">
        <f t="shared" si="1398"/>
        <v>0</v>
      </c>
      <c r="CM575" s="535"/>
      <c r="CN575" s="537"/>
      <c r="CO575" s="872">
        <f t="shared" si="1399"/>
        <v>0</v>
      </c>
      <c r="CP575" s="535"/>
      <c r="CQ575" s="537"/>
      <c r="CR575" s="872">
        <f t="shared" si="1400"/>
        <v>0</v>
      </c>
      <c r="CS575" s="535"/>
      <c r="CT575" s="537"/>
      <c r="CU575" s="872">
        <f t="shared" si="1401"/>
        <v>0</v>
      </c>
      <c r="CV575" s="535"/>
      <c r="CW575" s="537"/>
      <c r="CX575" s="872">
        <f t="shared" si="1402"/>
        <v>0</v>
      </c>
      <c r="CY575" s="535"/>
      <c r="CZ575" s="537"/>
      <c r="DA575" s="872">
        <f t="shared" si="1403"/>
        <v>0</v>
      </c>
      <c r="DB575" s="535"/>
      <c r="DC575" s="537"/>
      <c r="DD575" s="872">
        <f t="shared" si="1404"/>
        <v>0</v>
      </c>
      <c r="DE575" s="535"/>
      <c r="DF575" s="537"/>
      <c r="DG575" s="872">
        <f t="shared" si="1405"/>
        <v>0</v>
      </c>
      <c r="DH575" s="1268"/>
      <c r="DI575" s="537"/>
      <c r="DJ575" s="872">
        <f t="shared" si="1406"/>
        <v>0</v>
      </c>
      <c r="DK575" s="1268"/>
      <c r="DL575" s="537"/>
      <c r="DM575" s="872">
        <f t="shared" si="1407"/>
        <v>0</v>
      </c>
      <c r="DN575" s="1268"/>
      <c r="DO575" s="537"/>
      <c r="DP575" s="872">
        <f t="shared" si="1408"/>
        <v>0</v>
      </c>
      <c r="DQ575" s="1268"/>
      <c r="DR575" s="537"/>
      <c r="DS575" s="872">
        <f t="shared" si="1409"/>
        <v>0</v>
      </c>
      <c r="DT575" s="1268"/>
      <c r="DU575" s="537"/>
      <c r="DV575" s="872">
        <f t="shared" si="1410"/>
        <v>0</v>
      </c>
      <c r="DW575" s="1268"/>
      <c r="DX575" s="537"/>
      <c r="DY575" s="872">
        <f t="shared" si="1411"/>
        <v>0</v>
      </c>
      <c r="DZ575" s="1268"/>
      <c r="EA575" s="537"/>
      <c r="EB575" s="872">
        <f t="shared" si="1412"/>
        <v>0</v>
      </c>
      <c r="EC575" s="1268"/>
      <c r="ED575" s="537"/>
      <c r="EE575" s="872">
        <f t="shared" si="1413"/>
        <v>0</v>
      </c>
      <c r="EF575" s="1268"/>
      <c r="EG575" s="537"/>
      <c r="EH575" s="872">
        <f t="shared" si="1414"/>
        <v>0</v>
      </c>
      <c r="EI575" s="1268"/>
      <c r="EJ575" s="537"/>
      <c r="EK575" s="872">
        <f t="shared" si="1415"/>
        <v>0</v>
      </c>
      <c r="EL575" s="1268"/>
      <c r="EM575" s="537"/>
      <c r="EN575" s="872">
        <f t="shared" si="1416"/>
        <v>0</v>
      </c>
      <c r="EO575" s="1268"/>
      <c r="EP575" s="537"/>
      <c r="EQ575" s="872">
        <f t="shared" si="1417"/>
        <v>0</v>
      </c>
      <c r="ER575" s="1268"/>
      <c r="ES575" s="537"/>
      <c r="ET575" s="872">
        <f t="shared" si="1418"/>
        <v>0</v>
      </c>
      <c r="EU575" s="1268"/>
      <c r="EV575" s="537"/>
      <c r="EW575" s="872">
        <f t="shared" si="1419"/>
        <v>0</v>
      </c>
      <c r="EX575" s="1268"/>
      <c r="EY575" s="537"/>
      <c r="EZ575" s="872">
        <f t="shared" si="1420"/>
        <v>0</v>
      </c>
      <c r="FA575" s="1268"/>
      <c r="FE575"/>
      <c r="FF575"/>
      <c r="FG575"/>
      <c r="FH575"/>
      <c r="FI575"/>
      <c r="FJ575"/>
      <c r="FK575" s="35"/>
    </row>
    <row r="576" spans="1:167" s="235" customFormat="1" ht="13.35" customHeight="1" thickBot="1">
      <c r="A576" s="821"/>
      <c r="B576" s="821" t="s">
        <v>719</v>
      </c>
      <c r="C576" s="862"/>
      <c r="D576" s="821"/>
      <c r="E576" s="863"/>
      <c r="F576" s="863"/>
      <c r="G576" s="863"/>
      <c r="H576" s="863"/>
      <c r="I576" s="863"/>
      <c r="J576" s="863"/>
      <c r="K576" s="863"/>
      <c r="L576" s="863"/>
      <c r="M576" s="863"/>
      <c r="N576" s="863"/>
      <c r="O576" s="863"/>
      <c r="P576" s="863"/>
      <c r="Q576" s="864"/>
      <c r="R576" s="864"/>
      <c r="S576" s="864"/>
      <c r="T576" s="864"/>
      <c r="U576" s="864"/>
      <c r="V576" s="865"/>
      <c r="W576" s="865"/>
      <c r="X576" s="865"/>
      <c r="Y576" s="865"/>
      <c r="Z576" s="865"/>
      <c r="AA576" s="865"/>
      <c r="AB576" s="865"/>
      <c r="AC576" s="865"/>
      <c r="AD576" s="865"/>
      <c r="AE576" s="865"/>
      <c r="AF576" s="865"/>
      <c r="AG576" s="865"/>
      <c r="AH576" s="865"/>
      <c r="AI576" s="865"/>
      <c r="AJ576" s="865"/>
      <c r="AK576" s="865"/>
      <c r="AL576" s="865"/>
      <c r="AM576" s="865"/>
      <c r="AN576" s="873"/>
      <c r="AO576" s="874"/>
      <c r="AP576" s="870">
        <f t="shared" si="1382"/>
        <v>0</v>
      </c>
      <c r="AQ576" s="873"/>
      <c r="AR576" s="874"/>
      <c r="AS576" s="870">
        <f t="shared" si="1383"/>
        <v>0</v>
      </c>
      <c r="AT576" s="873"/>
      <c r="AU576" s="874"/>
      <c r="AV576" s="870">
        <f t="shared" si="1384"/>
        <v>0</v>
      </c>
      <c r="AW576" s="873"/>
      <c r="AX576" s="874"/>
      <c r="AY576" s="870">
        <f t="shared" si="1385"/>
        <v>0</v>
      </c>
      <c r="AZ576" s="873"/>
      <c r="BA576" s="874"/>
      <c r="BB576" s="870">
        <f t="shared" si="1386"/>
        <v>0</v>
      </c>
      <c r="BC576" s="873"/>
      <c r="BD576" s="874"/>
      <c r="BE576" s="870">
        <f t="shared" si="1387"/>
        <v>0</v>
      </c>
      <c r="BF576" s="873"/>
      <c r="BG576" s="874"/>
      <c r="BH576" s="870">
        <f t="shared" si="1388"/>
        <v>0</v>
      </c>
      <c r="BI576" s="873"/>
      <c r="BJ576" s="874"/>
      <c r="BK576" s="870">
        <f t="shared" si="1389"/>
        <v>0</v>
      </c>
      <c r="BL576" s="873"/>
      <c r="BM576" s="874"/>
      <c r="BN576" s="870">
        <f t="shared" si="1390"/>
        <v>0</v>
      </c>
      <c r="BO576" s="875"/>
      <c r="BP576" s="874"/>
      <c r="BQ576" s="870">
        <f t="shared" si="1391"/>
        <v>0</v>
      </c>
      <c r="BR576" s="875"/>
      <c r="BS576" s="874"/>
      <c r="BT576" s="870">
        <f t="shared" si="1392"/>
        <v>0</v>
      </c>
      <c r="BU576" s="875"/>
      <c r="BV576" s="874"/>
      <c r="BW576" s="870">
        <f t="shared" si="1393"/>
        <v>0</v>
      </c>
      <c r="BX576" s="875"/>
      <c r="BY576" s="874"/>
      <c r="BZ576" s="870">
        <f t="shared" si="1394"/>
        <v>0</v>
      </c>
      <c r="CA576" s="875"/>
      <c r="CB576" s="874"/>
      <c r="CC576" s="870">
        <f t="shared" si="1395"/>
        <v>0</v>
      </c>
      <c r="CD576" s="540"/>
      <c r="CE576" s="542"/>
      <c r="CF576" s="872">
        <f t="shared" si="1396"/>
        <v>0</v>
      </c>
      <c r="CG576" s="540"/>
      <c r="CH576" s="542"/>
      <c r="CI576" s="872">
        <f t="shared" si="1397"/>
        <v>0</v>
      </c>
      <c r="CJ576" s="540"/>
      <c r="CK576" s="542"/>
      <c r="CL576" s="872">
        <f t="shared" si="1398"/>
        <v>0</v>
      </c>
      <c r="CM576" s="540"/>
      <c r="CN576" s="542"/>
      <c r="CO576" s="872">
        <f t="shared" si="1399"/>
        <v>0</v>
      </c>
      <c r="CP576" s="540"/>
      <c r="CQ576" s="542"/>
      <c r="CR576" s="872">
        <f t="shared" si="1400"/>
        <v>0</v>
      </c>
      <c r="CS576" s="540"/>
      <c r="CT576" s="542"/>
      <c r="CU576" s="872">
        <f t="shared" si="1401"/>
        <v>0</v>
      </c>
      <c r="CV576" s="540"/>
      <c r="CW576" s="542"/>
      <c r="CX576" s="872">
        <f t="shared" si="1402"/>
        <v>0</v>
      </c>
      <c r="CY576" s="540"/>
      <c r="CZ576" s="542"/>
      <c r="DA576" s="872">
        <f t="shared" si="1403"/>
        <v>0</v>
      </c>
      <c r="DB576" s="540"/>
      <c r="DC576" s="542"/>
      <c r="DD576" s="872">
        <f t="shared" si="1404"/>
        <v>0</v>
      </c>
      <c r="DE576" s="540"/>
      <c r="DF576" s="542"/>
      <c r="DG576" s="872">
        <f t="shared" si="1405"/>
        <v>0</v>
      </c>
      <c r="DH576" s="1269"/>
      <c r="DI576" s="542"/>
      <c r="DJ576" s="872">
        <f t="shared" si="1406"/>
        <v>0</v>
      </c>
      <c r="DK576" s="1269"/>
      <c r="DL576" s="542"/>
      <c r="DM576" s="872">
        <f t="shared" si="1407"/>
        <v>0</v>
      </c>
      <c r="DN576" s="1269"/>
      <c r="DO576" s="542"/>
      <c r="DP576" s="872">
        <f t="shared" si="1408"/>
        <v>0</v>
      </c>
      <c r="DQ576" s="1269"/>
      <c r="DR576" s="542"/>
      <c r="DS576" s="872">
        <f t="shared" si="1409"/>
        <v>0</v>
      </c>
      <c r="DT576" s="1269"/>
      <c r="DU576" s="542"/>
      <c r="DV576" s="872">
        <f t="shared" si="1410"/>
        <v>0</v>
      </c>
      <c r="DW576" s="1269"/>
      <c r="DX576" s="542"/>
      <c r="DY576" s="872">
        <f t="shared" si="1411"/>
        <v>0</v>
      </c>
      <c r="DZ576" s="1269"/>
      <c r="EA576" s="542"/>
      <c r="EB576" s="872">
        <f t="shared" si="1412"/>
        <v>0</v>
      </c>
      <c r="EC576" s="1269"/>
      <c r="ED576" s="542"/>
      <c r="EE576" s="872">
        <f t="shared" si="1413"/>
        <v>0</v>
      </c>
      <c r="EF576" s="1269"/>
      <c r="EG576" s="542"/>
      <c r="EH576" s="872">
        <f t="shared" si="1414"/>
        <v>0</v>
      </c>
      <c r="EI576" s="1269"/>
      <c r="EJ576" s="542"/>
      <c r="EK576" s="872">
        <f t="shared" si="1415"/>
        <v>0</v>
      </c>
      <c r="EL576" s="1269"/>
      <c r="EM576" s="542"/>
      <c r="EN576" s="872">
        <f t="shared" si="1416"/>
        <v>0</v>
      </c>
      <c r="EO576" s="1269"/>
      <c r="EP576" s="542"/>
      <c r="EQ576" s="872">
        <f t="shared" si="1417"/>
        <v>0</v>
      </c>
      <c r="ER576" s="1269"/>
      <c r="ES576" s="542"/>
      <c r="ET576" s="872">
        <f t="shared" si="1418"/>
        <v>0</v>
      </c>
      <c r="EU576" s="1269"/>
      <c r="EV576" s="542"/>
      <c r="EW576" s="872">
        <f t="shared" si="1419"/>
        <v>0</v>
      </c>
      <c r="EX576" s="1269"/>
      <c r="EY576" s="542"/>
      <c r="EZ576" s="872">
        <f t="shared" si="1420"/>
        <v>0</v>
      </c>
      <c r="FA576" s="1269"/>
      <c r="FE576"/>
      <c r="FF576"/>
      <c r="FG576"/>
      <c r="FH576"/>
      <c r="FI576"/>
      <c r="FJ576"/>
      <c r="FK576" s="35"/>
    </row>
    <row r="577" spans="1:167" s="235" customFormat="1" ht="13.35" customHeight="1">
      <c r="A577" s="821"/>
      <c r="B577" s="845" t="s">
        <v>917</v>
      </c>
      <c r="C577" s="862"/>
      <c r="D577" s="821"/>
      <c r="E577" s="863"/>
      <c r="F577" s="863"/>
      <c r="G577" s="863"/>
      <c r="H577" s="863"/>
      <c r="I577" s="863"/>
      <c r="J577" s="863"/>
      <c r="K577" s="863"/>
      <c r="L577" s="863"/>
      <c r="M577" s="863"/>
      <c r="N577" s="863"/>
      <c r="O577" s="863"/>
      <c r="P577" s="863"/>
      <c r="Q577" s="864"/>
      <c r="R577" s="864"/>
      <c r="S577" s="864"/>
      <c r="T577" s="864"/>
      <c r="U577" s="864"/>
      <c r="V577" s="865"/>
      <c r="W577" s="865"/>
      <c r="X577" s="865"/>
      <c r="Y577" s="865"/>
      <c r="Z577" s="865"/>
      <c r="AA577" s="865"/>
      <c r="AB577" s="865"/>
      <c r="AC577" s="865"/>
      <c r="AD577" s="865"/>
      <c r="AE577" s="865"/>
      <c r="AF577" s="865"/>
      <c r="AG577" s="865"/>
      <c r="AH577" s="865"/>
      <c r="AI577" s="865"/>
      <c r="AJ577" s="865"/>
      <c r="AK577" s="865"/>
      <c r="AL577" s="865"/>
      <c r="AM577" s="865"/>
      <c r="AN577" s="876">
        <f t="shared" ref="AN577:AW577" si="1421">+AN571+AN574</f>
        <v>0</v>
      </c>
      <c r="AO577" s="876">
        <f t="shared" si="1421"/>
        <v>0</v>
      </c>
      <c r="AP577" s="876">
        <f t="shared" si="1421"/>
        <v>0</v>
      </c>
      <c r="AQ577" s="876">
        <f t="shared" si="1421"/>
        <v>0</v>
      </c>
      <c r="AR577" s="876">
        <f t="shared" si="1421"/>
        <v>0</v>
      </c>
      <c r="AS577" s="876">
        <f t="shared" si="1421"/>
        <v>0</v>
      </c>
      <c r="AT577" s="876">
        <f t="shared" si="1421"/>
        <v>0</v>
      </c>
      <c r="AU577" s="876">
        <f t="shared" si="1421"/>
        <v>0</v>
      </c>
      <c r="AV577" s="876">
        <f t="shared" si="1421"/>
        <v>0</v>
      </c>
      <c r="AW577" s="876">
        <f t="shared" si="1421"/>
        <v>0</v>
      </c>
      <c r="AX577" s="876">
        <f t="shared" ref="AX577:BG577" si="1422">+AX571+AX574</f>
        <v>0</v>
      </c>
      <c r="AY577" s="876">
        <f t="shared" si="1422"/>
        <v>0</v>
      </c>
      <c r="AZ577" s="876">
        <f t="shared" si="1422"/>
        <v>0</v>
      </c>
      <c r="BA577" s="876">
        <f t="shared" si="1422"/>
        <v>0</v>
      </c>
      <c r="BB577" s="876">
        <f t="shared" si="1422"/>
        <v>0</v>
      </c>
      <c r="BC577" s="876">
        <f t="shared" si="1422"/>
        <v>0</v>
      </c>
      <c r="BD577" s="876">
        <f t="shared" si="1422"/>
        <v>0</v>
      </c>
      <c r="BE577" s="876">
        <f t="shared" si="1422"/>
        <v>0</v>
      </c>
      <c r="BF577" s="876">
        <f t="shared" si="1422"/>
        <v>0</v>
      </c>
      <c r="BG577" s="876">
        <f t="shared" si="1422"/>
        <v>0</v>
      </c>
      <c r="BH577" s="876">
        <f t="shared" ref="BH577:BO577" si="1423">+BH571+BH574</f>
        <v>0</v>
      </c>
      <c r="BI577" s="876">
        <f t="shared" si="1423"/>
        <v>0</v>
      </c>
      <c r="BJ577" s="876">
        <f t="shared" si="1423"/>
        <v>0</v>
      </c>
      <c r="BK577" s="876">
        <f t="shared" si="1423"/>
        <v>0</v>
      </c>
      <c r="BL577" s="876">
        <f t="shared" si="1423"/>
        <v>0</v>
      </c>
      <c r="BM577" s="876">
        <f t="shared" si="1423"/>
        <v>0</v>
      </c>
      <c r="BN577" s="876">
        <f t="shared" si="1423"/>
        <v>0</v>
      </c>
      <c r="BO577" s="876">
        <f t="shared" si="1423"/>
        <v>0</v>
      </c>
      <c r="BP577" s="876">
        <f t="shared" ref="BP577:DK577" si="1424">+BP571+BP574</f>
        <v>0</v>
      </c>
      <c r="BQ577" s="876">
        <f t="shared" si="1424"/>
        <v>0</v>
      </c>
      <c r="BR577" s="876">
        <f t="shared" si="1424"/>
        <v>0</v>
      </c>
      <c r="BS577" s="876">
        <f t="shared" si="1424"/>
        <v>0</v>
      </c>
      <c r="BT577" s="876">
        <f t="shared" si="1424"/>
        <v>0</v>
      </c>
      <c r="BU577" s="876">
        <f t="shared" si="1424"/>
        <v>0</v>
      </c>
      <c r="BV577" s="876">
        <f t="shared" si="1424"/>
        <v>0</v>
      </c>
      <c r="BW577" s="876">
        <f t="shared" si="1424"/>
        <v>0</v>
      </c>
      <c r="BX577" s="876">
        <f t="shared" si="1424"/>
        <v>0</v>
      </c>
      <c r="BY577" s="876">
        <f t="shared" si="1424"/>
        <v>0</v>
      </c>
      <c r="BZ577" s="876">
        <f t="shared" si="1424"/>
        <v>0</v>
      </c>
      <c r="CA577" s="876">
        <f t="shared" si="1424"/>
        <v>0</v>
      </c>
      <c r="CB577" s="876">
        <f t="shared" si="1424"/>
        <v>0</v>
      </c>
      <c r="CC577" s="876">
        <f t="shared" si="1424"/>
        <v>0</v>
      </c>
      <c r="CD577" s="877">
        <f t="shared" si="1424"/>
        <v>0</v>
      </c>
      <c r="CE577" s="877">
        <f t="shared" si="1424"/>
        <v>0</v>
      </c>
      <c r="CF577" s="877">
        <f t="shared" si="1424"/>
        <v>0</v>
      </c>
      <c r="CG577" s="877">
        <f t="shared" si="1424"/>
        <v>0</v>
      </c>
      <c r="CH577" s="877">
        <f t="shared" si="1424"/>
        <v>0</v>
      </c>
      <c r="CI577" s="877">
        <f t="shared" si="1424"/>
        <v>0</v>
      </c>
      <c r="CJ577" s="877">
        <f t="shared" si="1424"/>
        <v>0</v>
      </c>
      <c r="CK577" s="877">
        <f t="shared" si="1424"/>
        <v>0</v>
      </c>
      <c r="CL577" s="877">
        <f t="shared" si="1424"/>
        <v>0</v>
      </c>
      <c r="CM577" s="877">
        <f t="shared" si="1424"/>
        <v>0</v>
      </c>
      <c r="CN577" s="877">
        <f t="shared" si="1424"/>
        <v>0</v>
      </c>
      <c r="CO577" s="877">
        <f t="shared" si="1424"/>
        <v>0</v>
      </c>
      <c r="CP577" s="877">
        <f t="shared" si="1424"/>
        <v>0</v>
      </c>
      <c r="CQ577" s="877">
        <f t="shared" si="1424"/>
        <v>0</v>
      </c>
      <c r="CR577" s="877">
        <f t="shared" si="1424"/>
        <v>0</v>
      </c>
      <c r="CS577" s="877">
        <f t="shared" si="1424"/>
        <v>0</v>
      </c>
      <c r="CT577" s="877">
        <f t="shared" si="1424"/>
        <v>0</v>
      </c>
      <c r="CU577" s="877">
        <f t="shared" si="1424"/>
        <v>0</v>
      </c>
      <c r="CV577" s="877">
        <f t="shared" si="1424"/>
        <v>0</v>
      </c>
      <c r="CW577" s="877">
        <f t="shared" si="1424"/>
        <v>0</v>
      </c>
      <c r="CX577" s="877">
        <f t="shared" si="1424"/>
        <v>0</v>
      </c>
      <c r="CY577" s="877">
        <f t="shared" si="1424"/>
        <v>0</v>
      </c>
      <c r="CZ577" s="877">
        <f t="shared" si="1424"/>
        <v>0</v>
      </c>
      <c r="DA577" s="877">
        <f t="shared" si="1424"/>
        <v>0</v>
      </c>
      <c r="DB577" s="877">
        <f t="shared" si="1424"/>
        <v>0</v>
      </c>
      <c r="DC577" s="877">
        <f t="shared" si="1424"/>
        <v>0</v>
      </c>
      <c r="DD577" s="877">
        <f t="shared" si="1424"/>
        <v>0</v>
      </c>
      <c r="DE577" s="877">
        <f t="shared" si="1424"/>
        <v>0</v>
      </c>
      <c r="DF577" s="877">
        <f t="shared" si="1424"/>
        <v>0</v>
      </c>
      <c r="DG577" s="877">
        <f t="shared" si="1424"/>
        <v>0</v>
      </c>
      <c r="DH577" s="1342">
        <f t="shared" si="1424"/>
        <v>0</v>
      </c>
      <c r="DI577" s="877">
        <f t="shared" si="1424"/>
        <v>0</v>
      </c>
      <c r="DJ577" s="877">
        <f t="shared" si="1424"/>
        <v>0</v>
      </c>
      <c r="DK577" s="1342">
        <f t="shared" si="1424"/>
        <v>0</v>
      </c>
      <c r="DL577" s="877">
        <f t="shared" ref="DL577:DQ577" si="1425">+DL571+DL574</f>
        <v>0</v>
      </c>
      <c r="DM577" s="877">
        <f t="shared" si="1425"/>
        <v>0</v>
      </c>
      <c r="DN577" s="1342">
        <f t="shared" si="1425"/>
        <v>0</v>
      </c>
      <c r="DO577" s="877">
        <f t="shared" si="1425"/>
        <v>0</v>
      </c>
      <c r="DP577" s="877">
        <f t="shared" si="1425"/>
        <v>0</v>
      </c>
      <c r="DQ577" s="1342">
        <f t="shared" si="1425"/>
        <v>0</v>
      </c>
      <c r="DR577" s="877">
        <f t="shared" ref="DR577:DW577" si="1426">+DR571+DR574</f>
        <v>0</v>
      </c>
      <c r="DS577" s="877">
        <f t="shared" si="1426"/>
        <v>0</v>
      </c>
      <c r="DT577" s="1342">
        <f t="shared" si="1426"/>
        <v>0</v>
      </c>
      <c r="DU577" s="877">
        <f t="shared" si="1426"/>
        <v>0</v>
      </c>
      <c r="DV577" s="877">
        <f t="shared" si="1426"/>
        <v>0</v>
      </c>
      <c r="DW577" s="1342">
        <f t="shared" si="1426"/>
        <v>0</v>
      </c>
      <c r="DX577" s="877">
        <f t="shared" ref="DX577:EC577" si="1427">+DX571+DX574</f>
        <v>0</v>
      </c>
      <c r="DY577" s="877">
        <f t="shared" si="1427"/>
        <v>0</v>
      </c>
      <c r="DZ577" s="1342">
        <f t="shared" si="1427"/>
        <v>0</v>
      </c>
      <c r="EA577" s="877">
        <f t="shared" si="1427"/>
        <v>0</v>
      </c>
      <c r="EB577" s="877">
        <f t="shared" si="1427"/>
        <v>0</v>
      </c>
      <c r="EC577" s="1342">
        <f t="shared" si="1427"/>
        <v>0</v>
      </c>
      <c r="ED577" s="877">
        <f t="shared" ref="ED577:EL577" si="1428">+ED571+ED574</f>
        <v>0</v>
      </c>
      <c r="EE577" s="877">
        <f t="shared" si="1428"/>
        <v>0</v>
      </c>
      <c r="EF577" s="1342">
        <f t="shared" si="1428"/>
        <v>0</v>
      </c>
      <c r="EG577" s="877">
        <f t="shared" si="1428"/>
        <v>0</v>
      </c>
      <c r="EH577" s="877">
        <f t="shared" si="1428"/>
        <v>0</v>
      </c>
      <c r="EI577" s="1342">
        <f t="shared" si="1428"/>
        <v>0</v>
      </c>
      <c r="EJ577" s="877">
        <f t="shared" si="1428"/>
        <v>0</v>
      </c>
      <c r="EK577" s="877">
        <f t="shared" si="1428"/>
        <v>0</v>
      </c>
      <c r="EL577" s="1342">
        <f t="shared" si="1428"/>
        <v>0</v>
      </c>
      <c r="EM577" s="877">
        <f t="shared" ref="EM577:ER577" si="1429">+EM571+EM574</f>
        <v>0</v>
      </c>
      <c r="EN577" s="877">
        <f t="shared" si="1429"/>
        <v>0</v>
      </c>
      <c r="EO577" s="1342">
        <f t="shared" si="1429"/>
        <v>0</v>
      </c>
      <c r="EP577" s="877">
        <f t="shared" si="1429"/>
        <v>0</v>
      </c>
      <c r="EQ577" s="877">
        <f t="shared" si="1429"/>
        <v>0</v>
      </c>
      <c r="ER577" s="1342">
        <f t="shared" si="1429"/>
        <v>0</v>
      </c>
      <c r="ES577" s="877">
        <f t="shared" ref="ES577:EX577" si="1430">+ES571+ES574</f>
        <v>0</v>
      </c>
      <c r="ET577" s="877">
        <f t="shared" si="1430"/>
        <v>0</v>
      </c>
      <c r="EU577" s="1342">
        <f t="shared" si="1430"/>
        <v>0</v>
      </c>
      <c r="EV577" s="877">
        <f t="shared" si="1430"/>
        <v>0</v>
      </c>
      <c r="EW577" s="877">
        <f t="shared" si="1430"/>
        <v>0</v>
      </c>
      <c r="EX577" s="1342">
        <f t="shared" si="1430"/>
        <v>0</v>
      </c>
      <c r="EY577" s="877">
        <f t="shared" ref="EY577:FA577" si="1431">+EY571+EY574</f>
        <v>0</v>
      </c>
      <c r="EZ577" s="877">
        <f t="shared" si="1431"/>
        <v>0</v>
      </c>
      <c r="FA577" s="1342">
        <f t="shared" si="1431"/>
        <v>0</v>
      </c>
      <c r="FE577"/>
      <c r="FF577"/>
      <c r="FG577"/>
      <c r="FH577"/>
      <c r="FI577"/>
      <c r="FJ577"/>
      <c r="FK577" s="35"/>
    </row>
    <row r="578" spans="1:167" s="235" customFormat="1" ht="13.35" customHeight="1">
      <c r="A578" s="821"/>
      <c r="B578" s="821"/>
      <c r="C578" s="862"/>
      <c r="D578" s="821"/>
      <c r="E578" s="863"/>
      <c r="F578" s="863"/>
      <c r="G578" s="863"/>
      <c r="H578" s="863"/>
      <c r="I578" s="863"/>
      <c r="J578" s="863"/>
      <c r="K578" s="863"/>
      <c r="L578" s="863"/>
      <c r="M578" s="863"/>
      <c r="N578" s="863"/>
      <c r="O578" s="863"/>
      <c r="P578" s="863"/>
      <c r="Q578" s="864"/>
      <c r="R578" s="864"/>
      <c r="S578" s="864"/>
      <c r="T578" s="864"/>
      <c r="U578" s="864"/>
      <c r="V578" s="865"/>
      <c r="W578" s="865"/>
      <c r="X578" s="865"/>
      <c r="Y578" s="865"/>
      <c r="Z578" s="865"/>
      <c r="AA578" s="865"/>
      <c r="AB578" s="865"/>
      <c r="AC578" s="865"/>
      <c r="AD578" s="865"/>
      <c r="AE578" s="865"/>
      <c r="AF578" s="865"/>
      <c r="AG578" s="865"/>
      <c r="AH578" s="865"/>
      <c r="AI578" s="865"/>
      <c r="AJ578" s="865"/>
      <c r="AK578" s="865"/>
      <c r="AL578" s="865"/>
      <c r="AM578" s="865"/>
      <c r="AN578" s="856"/>
      <c r="AO578" s="856"/>
      <c r="AP578" s="856"/>
      <c r="AQ578" s="856"/>
      <c r="AR578" s="856"/>
      <c r="AS578" s="856"/>
      <c r="AT578" s="856"/>
      <c r="AU578" s="856"/>
      <c r="AV578" s="856"/>
      <c r="AW578" s="856"/>
      <c r="AX578" s="856"/>
      <c r="AY578" s="856"/>
      <c r="AZ578" s="856"/>
      <c r="BA578" s="856"/>
      <c r="BB578" s="856"/>
      <c r="BC578" s="856"/>
      <c r="BD578" s="856"/>
      <c r="BE578" s="856"/>
      <c r="BF578" s="856"/>
      <c r="BG578" s="856"/>
      <c r="BH578" s="856"/>
      <c r="BI578" s="856"/>
      <c r="BJ578" s="856"/>
      <c r="BK578" s="856"/>
      <c r="BL578" s="856"/>
      <c r="BM578" s="856"/>
      <c r="BN578" s="856"/>
      <c r="BO578" s="856"/>
      <c r="BP578" s="856"/>
      <c r="BQ578" s="856"/>
      <c r="BR578" s="856"/>
      <c r="BS578" s="856"/>
      <c r="BT578" s="856"/>
      <c r="BU578" s="856"/>
      <c r="BV578" s="856"/>
      <c r="BW578" s="856"/>
      <c r="BX578" s="856"/>
      <c r="BY578" s="856"/>
      <c r="BZ578" s="856"/>
      <c r="CA578" s="856"/>
      <c r="CB578" s="856"/>
      <c r="CC578" s="856"/>
      <c r="CD578" s="534"/>
      <c r="CE578" s="534"/>
      <c r="CF578" s="534"/>
      <c r="CG578" s="534"/>
      <c r="CH578" s="534"/>
      <c r="CI578" s="534"/>
      <c r="CJ578" s="534"/>
      <c r="CK578" s="534"/>
      <c r="CL578" s="534"/>
      <c r="CM578" s="534"/>
      <c r="CN578" s="534"/>
      <c r="CO578" s="534"/>
      <c r="CP578" s="534"/>
      <c r="CQ578" s="534"/>
      <c r="CR578" s="534"/>
      <c r="CS578" s="534"/>
      <c r="CT578" s="534"/>
      <c r="CU578" s="534"/>
      <c r="CV578" s="534"/>
      <c r="CW578" s="534"/>
      <c r="CX578" s="534"/>
      <c r="CY578" s="534"/>
      <c r="CZ578" s="534"/>
      <c r="DA578" s="534"/>
      <c r="DB578" s="534"/>
      <c r="DC578" s="534"/>
      <c r="DD578" s="534"/>
      <c r="DE578" s="534"/>
      <c r="DF578" s="534"/>
      <c r="DG578" s="534"/>
      <c r="DH578" s="1262"/>
      <c r="DI578" s="534"/>
      <c r="DJ578" s="534"/>
      <c r="DK578" s="1262"/>
      <c r="DL578" s="534"/>
      <c r="DM578" s="534"/>
      <c r="DN578" s="1262"/>
      <c r="DO578" s="534"/>
      <c r="DP578" s="534"/>
      <c r="DQ578" s="1262"/>
      <c r="DR578" s="534"/>
      <c r="DS578" s="534"/>
      <c r="DT578" s="1262"/>
      <c r="DU578" s="534"/>
      <c r="DV578" s="534"/>
      <c r="DW578" s="1262"/>
      <c r="DX578" s="534"/>
      <c r="DY578" s="534"/>
      <c r="DZ578" s="1262"/>
      <c r="EA578" s="534"/>
      <c r="EB578" s="534"/>
      <c r="EC578" s="1262"/>
      <c r="ED578" s="534"/>
      <c r="EE578" s="534"/>
      <c r="EF578" s="1262"/>
      <c r="EG578" s="534"/>
      <c r="EH578" s="534"/>
      <c r="EI578" s="1262"/>
      <c r="EJ578" s="534"/>
      <c r="EK578" s="534"/>
      <c r="EL578" s="1262"/>
      <c r="EM578" s="534"/>
      <c r="EN578" s="534"/>
      <c r="EO578" s="1262"/>
      <c r="EP578" s="534"/>
      <c r="EQ578" s="534"/>
      <c r="ER578" s="1262"/>
      <c r="ES578" s="534"/>
      <c r="ET578" s="534"/>
      <c r="EU578" s="1262"/>
      <c r="EV578" s="534"/>
      <c r="EW578" s="534"/>
      <c r="EX578" s="1262"/>
      <c r="EY578" s="534"/>
      <c r="EZ578" s="534"/>
      <c r="FA578" s="1262"/>
      <c r="FE578"/>
      <c r="FF578"/>
      <c r="FG578"/>
      <c r="FH578"/>
      <c r="FI578"/>
      <c r="FJ578"/>
      <c r="FK578" s="35"/>
    </row>
    <row r="579" spans="1:167" s="235" customFormat="1" ht="13.35" customHeight="1">
      <c r="A579" s="821"/>
      <c r="B579" s="845" t="s">
        <v>918</v>
      </c>
      <c r="C579" s="862"/>
      <c r="D579" s="821"/>
      <c r="E579" s="863"/>
      <c r="F579" s="863"/>
      <c r="G579" s="863"/>
      <c r="H579" s="863"/>
      <c r="I579" s="863"/>
      <c r="J579" s="863"/>
      <c r="K579" s="863"/>
      <c r="L579" s="863"/>
      <c r="M579" s="863"/>
      <c r="N579" s="863"/>
      <c r="O579" s="863"/>
      <c r="P579" s="863"/>
      <c r="Q579" s="864"/>
      <c r="R579" s="864"/>
      <c r="S579" s="864"/>
      <c r="T579" s="864"/>
      <c r="U579" s="864"/>
      <c r="V579" s="865"/>
      <c r="W579" s="865"/>
      <c r="X579" s="865"/>
      <c r="Y579" s="865"/>
      <c r="Z579" s="865"/>
      <c r="AA579" s="865"/>
      <c r="AB579" s="865"/>
      <c r="AC579" s="865"/>
      <c r="AD579" s="865"/>
      <c r="AE579" s="865"/>
      <c r="AF579" s="865"/>
      <c r="AG579" s="865"/>
      <c r="AH579" s="865"/>
      <c r="AI579" s="865"/>
      <c r="AJ579" s="865"/>
      <c r="AK579" s="865"/>
      <c r="AL579" s="865"/>
      <c r="AM579" s="865"/>
      <c r="AN579" s="856"/>
      <c r="AO579" s="856"/>
      <c r="AP579" s="856"/>
      <c r="AQ579" s="856"/>
      <c r="AR579" s="856"/>
      <c r="AS579" s="856"/>
      <c r="AT579" s="856"/>
      <c r="AU579" s="856"/>
      <c r="AV579" s="856"/>
      <c r="AW579" s="856"/>
      <c r="AX579" s="856"/>
      <c r="AY579" s="856"/>
      <c r="AZ579" s="856"/>
      <c r="BA579" s="856"/>
      <c r="BB579" s="856"/>
      <c r="BC579" s="856"/>
      <c r="BD579" s="856"/>
      <c r="BE579" s="856"/>
      <c r="BF579" s="856"/>
      <c r="BG579" s="856"/>
      <c r="BH579" s="856"/>
      <c r="BI579" s="856"/>
      <c r="BJ579" s="856"/>
      <c r="BK579" s="856"/>
      <c r="BL579" s="856"/>
      <c r="BM579" s="856"/>
      <c r="BN579" s="856"/>
      <c r="BO579" s="856"/>
      <c r="BP579" s="856"/>
      <c r="BQ579" s="856"/>
      <c r="BR579" s="856"/>
      <c r="BS579" s="856"/>
      <c r="BT579" s="856"/>
      <c r="BU579" s="856"/>
      <c r="BV579" s="856"/>
      <c r="BW579" s="856"/>
      <c r="BX579" s="856"/>
      <c r="BY579" s="856"/>
      <c r="BZ579" s="856"/>
      <c r="CA579" s="856"/>
      <c r="CB579" s="856"/>
      <c r="CC579" s="856"/>
      <c r="CD579" s="534"/>
      <c r="CE579" s="534"/>
      <c r="CF579" s="534"/>
      <c r="CG579" s="534"/>
      <c r="CH579" s="534"/>
      <c r="CI579" s="534"/>
      <c r="CJ579" s="534"/>
      <c r="CK579" s="534"/>
      <c r="CL579" s="534"/>
      <c r="CM579" s="534"/>
      <c r="CN579" s="534"/>
      <c r="CO579" s="534"/>
      <c r="CP579" s="534"/>
      <c r="CQ579" s="534"/>
      <c r="CR579" s="534"/>
      <c r="CS579" s="534"/>
      <c r="CT579" s="534"/>
      <c r="CU579" s="534"/>
      <c r="CV579" s="534"/>
      <c r="CW579" s="534"/>
      <c r="CX579" s="534"/>
      <c r="CY579" s="534"/>
      <c r="CZ579" s="534"/>
      <c r="DA579" s="534"/>
      <c r="DB579" s="534"/>
      <c r="DC579" s="534"/>
      <c r="DD579" s="534"/>
      <c r="DE579" s="534"/>
      <c r="DF579" s="534"/>
      <c r="DG579" s="534"/>
      <c r="DH579" s="1262"/>
      <c r="DI579" s="534"/>
      <c r="DJ579" s="534"/>
      <c r="DK579" s="1262"/>
      <c r="DL579" s="534"/>
      <c r="DM579" s="534"/>
      <c r="DN579" s="1262"/>
      <c r="DO579" s="534"/>
      <c r="DP579" s="534"/>
      <c r="DQ579" s="1262"/>
      <c r="DR579" s="534"/>
      <c r="DS579" s="534"/>
      <c r="DT579" s="1262"/>
      <c r="DU579" s="534"/>
      <c r="DV579" s="534"/>
      <c r="DW579" s="1262"/>
      <c r="DX579" s="534"/>
      <c r="DY579" s="534"/>
      <c r="DZ579" s="1262"/>
      <c r="EA579" s="534"/>
      <c r="EB579" s="534"/>
      <c r="EC579" s="1262"/>
      <c r="ED579" s="534"/>
      <c r="EE579" s="534"/>
      <c r="EF579" s="1262"/>
      <c r="EG579" s="534"/>
      <c r="EH579" s="534"/>
      <c r="EI579" s="1262"/>
      <c r="EJ579" s="534"/>
      <c r="EK579" s="534"/>
      <c r="EL579" s="1262"/>
      <c r="EM579" s="534"/>
      <c r="EN579" s="534"/>
      <c r="EO579" s="1262"/>
      <c r="EP579" s="534"/>
      <c r="EQ579" s="534"/>
      <c r="ER579" s="1262"/>
      <c r="ES579" s="534"/>
      <c r="ET579" s="534"/>
      <c r="EU579" s="1262"/>
      <c r="EV579" s="534"/>
      <c r="EW579" s="534"/>
      <c r="EX579" s="1262"/>
      <c r="EY579" s="534"/>
      <c r="EZ579" s="534"/>
      <c r="FA579" s="1262"/>
      <c r="FE579"/>
      <c r="FF579"/>
      <c r="FG579"/>
      <c r="FH579"/>
      <c r="FI579"/>
      <c r="FJ579"/>
      <c r="FK579" s="35"/>
    </row>
    <row r="580" spans="1:167" s="235" customFormat="1" ht="13.35" customHeight="1" thickBot="1">
      <c r="A580" s="821"/>
      <c r="B580" s="845" t="s">
        <v>919</v>
      </c>
      <c r="C580" s="862"/>
      <c r="D580" s="821"/>
      <c r="E580" s="863"/>
      <c r="F580" s="863"/>
      <c r="G580" s="863"/>
      <c r="H580" s="863"/>
      <c r="I580" s="863"/>
      <c r="J580" s="863"/>
      <c r="K580" s="863"/>
      <c r="L580" s="863"/>
      <c r="M580" s="863"/>
      <c r="N580" s="863"/>
      <c r="O580" s="863"/>
      <c r="P580" s="863"/>
      <c r="Q580" s="864"/>
      <c r="R580" s="864"/>
      <c r="S580" s="864"/>
      <c r="T580" s="864"/>
      <c r="U580" s="864"/>
      <c r="V580" s="865"/>
      <c r="W580" s="865"/>
      <c r="X580" s="865"/>
      <c r="Y580" s="865"/>
      <c r="Z580" s="865"/>
      <c r="AA580" s="865"/>
      <c r="AB580" s="865"/>
      <c r="AC580" s="865"/>
      <c r="AD580" s="865"/>
      <c r="AE580" s="865"/>
      <c r="AF580" s="865"/>
      <c r="AG580" s="865"/>
      <c r="AH580" s="865"/>
      <c r="AI580" s="865"/>
      <c r="AJ580" s="865"/>
      <c r="AK580" s="865"/>
      <c r="AL580" s="865"/>
      <c r="AM580" s="865"/>
      <c r="AN580" s="856"/>
      <c r="AO580" s="856"/>
      <c r="AP580" s="856"/>
      <c r="AQ580" s="856"/>
      <c r="AR580" s="856"/>
      <c r="AS580" s="856"/>
      <c r="AT580" s="856"/>
      <c r="AU580" s="856"/>
      <c r="AV580" s="856"/>
      <c r="AW580" s="856"/>
      <c r="AX580" s="856"/>
      <c r="AY580" s="856"/>
      <c r="AZ580" s="856"/>
      <c r="BA580" s="856"/>
      <c r="BB580" s="856"/>
      <c r="BC580" s="856"/>
      <c r="BD580" s="856"/>
      <c r="BE580" s="856"/>
      <c r="BF580" s="856"/>
      <c r="BG580" s="856"/>
      <c r="BH580" s="856"/>
      <c r="BI580" s="856"/>
      <c r="BJ580" s="856"/>
      <c r="BK580" s="856"/>
      <c r="BL580" s="856"/>
      <c r="BM580" s="856"/>
      <c r="BN580" s="856"/>
      <c r="BO580" s="856"/>
      <c r="BP580" s="856"/>
      <c r="BQ580" s="856"/>
      <c r="BR580" s="856"/>
      <c r="BS580" s="856"/>
      <c r="BT580" s="856"/>
      <c r="BU580" s="856"/>
      <c r="BV580" s="856"/>
      <c r="BW580" s="856"/>
      <c r="BX580" s="856"/>
      <c r="BY580" s="856"/>
      <c r="BZ580" s="856"/>
      <c r="CA580" s="856"/>
      <c r="CB580" s="856"/>
      <c r="CC580" s="856"/>
      <c r="CD580" s="534"/>
      <c r="CE580" s="534"/>
      <c r="CF580" s="534"/>
      <c r="CG580" s="534"/>
      <c r="CH580" s="534"/>
      <c r="CI580" s="534"/>
      <c r="CJ580" s="534"/>
      <c r="CK580" s="534"/>
      <c r="CL580" s="534"/>
      <c r="CM580" s="534"/>
      <c r="CN580" s="534"/>
      <c r="CO580" s="534"/>
      <c r="CP580" s="534"/>
      <c r="CQ580" s="534"/>
      <c r="CR580" s="534"/>
      <c r="CS580" s="534"/>
      <c r="CT580" s="534"/>
      <c r="CU580" s="534"/>
      <c r="CV580" s="534"/>
      <c r="CW580" s="534"/>
      <c r="CX580" s="534"/>
      <c r="CY580" s="534"/>
      <c r="CZ580" s="534"/>
      <c r="DA580" s="534"/>
      <c r="DB580" s="534"/>
      <c r="DC580" s="534"/>
      <c r="DD580" s="534"/>
      <c r="DE580" s="534"/>
      <c r="DF580" s="534"/>
      <c r="DG580" s="534"/>
      <c r="DH580" s="1262"/>
      <c r="DI580" s="534"/>
      <c r="DJ580" s="534"/>
      <c r="DK580" s="1262"/>
      <c r="DL580" s="534"/>
      <c r="DM580" s="534"/>
      <c r="DN580" s="1262"/>
      <c r="DO580" s="534"/>
      <c r="DP580" s="534"/>
      <c r="DQ580" s="1262"/>
      <c r="DR580" s="534"/>
      <c r="DS580" s="534"/>
      <c r="DT580" s="1262"/>
      <c r="DU580" s="534"/>
      <c r="DV580" s="534"/>
      <c r="DW580" s="1262"/>
      <c r="DX580" s="534"/>
      <c r="DY580" s="534"/>
      <c r="DZ580" s="1262"/>
      <c r="EA580" s="534"/>
      <c r="EB580" s="534"/>
      <c r="EC580" s="1262"/>
      <c r="ED580" s="534"/>
      <c r="EE580" s="534"/>
      <c r="EF580" s="1262"/>
      <c r="EG580" s="534"/>
      <c r="EH580" s="534"/>
      <c r="EI580" s="1262"/>
      <c r="EJ580" s="534"/>
      <c r="EK580" s="534"/>
      <c r="EL580" s="1262"/>
      <c r="EM580" s="534"/>
      <c r="EN580" s="534"/>
      <c r="EO580" s="1262"/>
      <c r="EP580" s="534"/>
      <c r="EQ580" s="534"/>
      <c r="ER580" s="1262"/>
      <c r="ES580" s="534"/>
      <c r="ET580" s="534"/>
      <c r="EU580" s="1262"/>
      <c r="EV580" s="534"/>
      <c r="EW580" s="534"/>
      <c r="EX580" s="1262"/>
      <c r="EY580" s="534"/>
      <c r="EZ580" s="534"/>
      <c r="FA580" s="1262"/>
      <c r="FE580"/>
      <c r="FF580"/>
      <c r="FG580"/>
      <c r="FH580"/>
      <c r="FI580"/>
      <c r="FJ580"/>
      <c r="FK580" s="35"/>
    </row>
    <row r="581" spans="1:167" s="235" customFormat="1" ht="13.35" customHeight="1">
      <c r="A581" s="821"/>
      <c r="B581" s="821" t="s">
        <v>93</v>
      </c>
      <c r="C581" s="862"/>
      <c r="D581" s="821"/>
      <c r="E581" s="863"/>
      <c r="F581" s="863"/>
      <c r="G581" s="863"/>
      <c r="H581" s="863"/>
      <c r="I581" s="863"/>
      <c r="J581" s="863"/>
      <c r="K581" s="863"/>
      <c r="L581" s="863"/>
      <c r="M581" s="863"/>
      <c r="N581" s="863"/>
      <c r="O581" s="863"/>
      <c r="P581" s="863"/>
      <c r="Q581" s="864"/>
      <c r="R581" s="864"/>
      <c r="S581" s="864"/>
      <c r="T581" s="864"/>
      <c r="U581" s="864"/>
      <c r="V581" s="865"/>
      <c r="W581" s="865"/>
      <c r="X581" s="865"/>
      <c r="Y581" s="865"/>
      <c r="Z581" s="865"/>
      <c r="AA581" s="865"/>
      <c r="AB581" s="865"/>
      <c r="AC581" s="865"/>
      <c r="AD581" s="865"/>
      <c r="AE581" s="865"/>
      <c r="AF581" s="865"/>
      <c r="AG581" s="865"/>
      <c r="AH581" s="865"/>
      <c r="AI581" s="865"/>
      <c r="AJ581" s="865"/>
      <c r="AK581" s="865"/>
      <c r="AL581" s="865"/>
      <c r="AM581" s="865"/>
      <c r="AN581" s="868"/>
      <c r="AO581" s="869"/>
      <c r="AP581" s="856">
        <f>+AQ581</f>
        <v>0</v>
      </c>
      <c r="AQ581" s="868"/>
      <c r="AR581" s="869"/>
      <c r="AS581" s="856">
        <f>+AT581</f>
        <v>0</v>
      </c>
      <c r="AT581" s="868"/>
      <c r="AU581" s="869"/>
      <c r="AV581" s="856">
        <f>+AW581</f>
        <v>0</v>
      </c>
      <c r="AW581" s="868"/>
      <c r="AX581" s="869"/>
      <c r="AY581" s="856">
        <f>+AZ581</f>
        <v>0</v>
      </c>
      <c r="AZ581" s="868"/>
      <c r="BA581" s="869"/>
      <c r="BB581" s="856">
        <f>+BC581</f>
        <v>0</v>
      </c>
      <c r="BC581" s="868"/>
      <c r="BD581" s="869"/>
      <c r="BE581" s="856">
        <f>+BF581</f>
        <v>0</v>
      </c>
      <c r="BF581" s="868"/>
      <c r="BG581" s="869"/>
      <c r="BH581" s="856">
        <f>+BI581</f>
        <v>0</v>
      </c>
      <c r="BI581" s="868"/>
      <c r="BJ581" s="869"/>
      <c r="BK581" s="856">
        <f>+BL581</f>
        <v>0</v>
      </c>
      <c r="BL581" s="868"/>
      <c r="BM581" s="869"/>
      <c r="BN581" s="856">
        <f>+BO581</f>
        <v>0</v>
      </c>
      <c r="BO581" s="871"/>
      <c r="BP581" s="869"/>
      <c r="BQ581" s="856">
        <f>+BR581</f>
        <v>0</v>
      </c>
      <c r="BR581" s="871"/>
      <c r="BS581" s="869"/>
      <c r="BT581" s="856">
        <f>+BU581</f>
        <v>0</v>
      </c>
      <c r="BU581" s="871"/>
      <c r="BV581" s="869"/>
      <c r="BW581" s="856">
        <f>+BX581</f>
        <v>0</v>
      </c>
      <c r="BX581" s="871"/>
      <c r="BY581" s="869"/>
      <c r="BZ581" s="856">
        <f>+CA581</f>
        <v>0</v>
      </c>
      <c r="CA581" s="871"/>
      <c r="CB581" s="869"/>
      <c r="CC581" s="856">
        <f>+CD581</f>
        <v>0</v>
      </c>
      <c r="CD581" s="535"/>
      <c r="CE581" s="537"/>
      <c r="CF581" s="534">
        <f>+CG581</f>
        <v>0</v>
      </c>
      <c r="CG581" s="535"/>
      <c r="CH581" s="537"/>
      <c r="CI581" s="534">
        <f>+CJ581</f>
        <v>0</v>
      </c>
      <c r="CJ581" s="535"/>
      <c r="CK581" s="537"/>
      <c r="CL581" s="534">
        <f>+CM581</f>
        <v>0</v>
      </c>
      <c r="CM581" s="535"/>
      <c r="CN581" s="537"/>
      <c r="CO581" s="534">
        <f>+CP581</f>
        <v>0</v>
      </c>
      <c r="CP581" s="535"/>
      <c r="CQ581" s="537"/>
      <c r="CR581" s="534">
        <f>+CS581</f>
        <v>0</v>
      </c>
      <c r="CS581" s="535"/>
      <c r="CT581" s="537"/>
      <c r="CU581" s="534">
        <f>+CV581</f>
        <v>0</v>
      </c>
      <c r="CV581" s="535"/>
      <c r="CW581" s="537"/>
      <c r="CX581" s="534">
        <f>+CY581</f>
        <v>0</v>
      </c>
      <c r="CY581" s="535"/>
      <c r="CZ581" s="537"/>
      <c r="DA581" s="534">
        <f>+DB581</f>
        <v>0</v>
      </c>
      <c r="DB581" s="535"/>
      <c r="DC581" s="537"/>
      <c r="DD581" s="534">
        <f>+DE581</f>
        <v>0</v>
      </c>
      <c r="DE581" s="535"/>
      <c r="DF581" s="537"/>
      <c r="DG581" s="534">
        <f>+DH581</f>
        <v>0</v>
      </c>
      <c r="DH581" s="1268"/>
      <c r="DI581" s="537"/>
      <c r="DJ581" s="534">
        <f>+DK581</f>
        <v>0</v>
      </c>
      <c r="DK581" s="1268"/>
      <c r="DL581" s="537"/>
      <c r="DM581" s="534">
        <f>+DN581</f>
        <v>0</v>
      </c>
      <c r="DN581" s="1268"/>
      <c r="DO581" s="537"/>
      <c r="DP581" s="534">
        <f>+DQ581</f>
        <v>0</v>
      </c>
      <c r="DQ581" s="1268"/>
      <c r="DR581" s="537"/>
      <c r="DS581" s="534">
        <f>+DT581</f>
        <v>0</v>
      </c>
      <c r="DT581" s="1268"/>
      <c r="DU581" s="537"/>
      <c r="DV581" s="534">
        <f>+DW581</f>
        <v>0</v>
      </c>
      <c r="DW581" s="1268"/>
      <c r="DX581" s="537"/>
      <c r="DY581" s="534">
        <f>+DZ581</f>
        <v>0</v>
      </c>
      <c r="DZ581" s="1268"/>
      <c r="EA581" s="537"/>
      <c r="EB581" s="534">
        <f>+EC581</f>
        <v>0</v>
      </c>
      <c r="EC581" s="1268"/>
      <c r="ED581" s="537"/>
      <c r="EE581" s="534">
        <f>+EF581</f>
        <v>0</v>
      </c>
      <c r="EF581" s="1268"/>
      <c r="EG581" s="537"/>
      <c r="EH581" s="534">
        <f>+EI581</f>
        <v>0</v>
      </c>
      <c r="EI581" s="1268"/>
      <c r="EJ581" s="537"/>
      <c r="EK581" s="534">
        <f>+EL581</f>
        <v>0</v>
      </c>
      <c r="EL581" s="1268"/>
      <c r="EM581" s="537"/>
      <c r="EN581" s="534">
        <f>+EO581</f>
        <v>0</v>
      </c>
      <c r="EO581" s="1268"/>
      <c r="EP581" s="537"/>
      <c r="EQ581" s="534">
        <f>+ER581</f>
        <v>0</v>
      </c>
      <c r="ER581" s="1268"/>
      <c r="ES581" s="537"/>
      <c r="ET581" s="534">
        <f>+EU581</f>
        <v>0</v>
      </c>
      <c r="EU581" s="1268"/>
      <c r="EV581" s="537"/>
      <c r="EW581" s="534">
        <f>+EX581</f>
        <v>0</v>
      </c>
      <c r="EX581" s="1268"/>
      <c r="EY581" s="537"/>
      <c r="EZ581" s="534">
        <f>+FA581</f>
        <v>0</v>
      </c>
      <c r="FA581" s="1268"/>
      <c r="FE581"/>
      <c r="FF581"/>
      <c r="FG581"/>
      <c r="FH581"/>
      <c r="FI581"/>
      <c r="FJ581"/>
      <c r="FK581" s="35"/>
    </row>
    <row r="582" spans="1:167" s="235" customFormat="1" ht="13.35" customHeight="1">
      <c r="A582" s="821"/>
      <c r="B582" s="821" t="s">
        <v>920</v>
      </c>
      <c r="C582" s="862"/>
      <c r="D582" s="821"/>
      <c r="E582" s="863"/>
      <c r="F582" s="863"/>
      <c r="G582" s="863"/>
      <c r="H582" s="863"/>
      <c r="I582" s="863"/>
      <c r="J582" s="863"/>
      <c r="K582" s="863"/>
      <c r="L582" s="863"/>
      <c r="M582" s="863"/>
      <c r="N582" s="863"/>
      <c r="O582" s="863"/>
      <c r="P582" s="863"/>
      <c r="Q582" s="864"/>
      <c r="R582" s="864"/>
      <c r="S582" s="864"/>
      <c r="T582" s="864"/>
      <c r="U582" s="864"/>
      <c r="V582" s="865"/>
      <c r="W582" s="865"/>
      <c r="X582" s="865"/>
      <c r="Y582" s="865"/>
      <c r="Z582" s="865"/>
      <c r="AA582" s="865"/>
      <c r="AB582" s="865"/>
      <c r="AC582" s="865"/>
      <c r="AD582" s="865"/>
      <c r="AE582" s="865"/>
      <c r="AF582" s="865"/>
      <c r="AG582" s="865"/>
      <c r="AH582" s="865"/>
      <c r="AI582" s="865"/>
      <c r="AJ582" s="865"/>
      <c r="AK582" s="865"/>
      <c r="AL582" s="865"/>
      <c r="AM582" s="865"/>
      <c r="AN582" s="878"/>
      <c r="AO582" s="879"/>
      <c r="AP582" s="856">
        <f>+AQ582</f>
        <v>0</v>
      </c>
      <c r="AQ582" s="878"/>
      <c r="AR582" s="879"/>
      <c r="AS582" s="856">
        <f>+AT582</f>
        <v>0</v>
      </c>
      <c r="AT582" s="878"/>
      <c r="AU582" s="879"/>
      <c r="AV582" s="856">
        <f>+AW582</f>
        <v>0</v>
      </c>
      <c r="AW582" s="878"/>
      <c r="AX582" s="879"/>
      <c r="AY582" s="856">
        <f>+AZ582</f>
        <v>0</v>
      </c>
      <c r="AZ582" s="878"/>
      <c r="BA582" s="879"/>
      <c r="BB582" s="856">
        <f>+BC582</f>
        <v>0</v>
      </c>
      <c r="BC582" s="878"/>
      <c r="BD582" s="879"/>
      <c r="BE582" s="856">
        <f>+BF582</f>
        <v>0</v>
      </c>
      <c r="BF582" s="878"/>
      <c r="BG582" s="879"/>
      <c r="BH582" s="856">
        <f>+BI582</f>
        <v>0</v>
      </c>
      <c r="BI582" s="878"/>
      <c r="BJ582" s="879"/>
      <c r="BK582" s="856">
        <f>+BL582</f>
        <v>0</v>
      </c>
      <c r="BL582" s="878"/>
      <c r="BM582" s="879"/>
      <c r="BN582" s="856">
        <f>+BO582</f>
        <v>0</v>
      </c>
      <c r="BO582" s="880"/>
      <c r="BP582" s="879"/>
      <c r="BQ582" s="856">
        <f>+BR582</f>
        <v>0</v>
      </c>
      <c r="BR582" s="880"/>
      <c r="BS582" s="879"/>
      <c r="BT582" s="856">
        <f>+BU582</f>
        <v>0</v>
      </c>
      <c r="BU582" s="880"/>
      <c r="BV582" s="879"/>
      <c r="BW582" s="856">
        <f>+BX582</f>
        <v>0</v>
      </c>
      <c r="BX582" s="880"/>
      <c r="BY582" s="879"/>
      <c r="BZ582" s="856">
        <f>+CA582</f>
        <v>0</v>
      </c>
      <c r="CA582" s="880"/>
      <c r="CB582" s="879"/>
      <c r="CC582" s="856">
        <f>+CD582</f>
        <v>0</v>
      </c>
      <c r="CD582" s="522"/>
      <c r="CE582" s="524"/>
      <c r="CF582" s="534">
        <f>+CG582</f>
        <v>0</v>
      </c>
      <c r="CG582" s="522"/>
      <c r="CH582" s="524"/>
      <c r="CI582" s="534">
        <f>+CJ582</f>
        <v>0</v>
      </c>
      <c r="CJ582" s="522"/>
      <c r="CK582" s="524"/>
      <c r="CL582" s="534">
        <f>+CM582</f>
        <v>0</v>
      </c>
      <c r="CM582" s="522"/>
      <c r="CN582" s="524"/>
      <c r="CO582" s="534">
        <f>+CP582</f>
        <v>0</v>
      </c>
      <c r="CP582" s="522"/>
      <c r="CQ582" s="524"/>
      <c r="CR582" s="534">
        <f>+CS582</f>
        <v>0</v>
      </c>
      <c r="CS582" s="522"/>
      <c r="CT582" s="524"/>
      <c r="CU582" s="534">
        <f>+CV582</f>
        <v>0</v>
      </c>
      <c r="CV582" s="522"/>
      <c r="CW582" s="524"/>
      <c r="CX582" s="534">
        <f>+CY582</f>
        <v>0</v>
      </c>
      <c r="CY582" s="522"/>
      <c r="CZ582" s="524"/>
      <c r="DA582" s="534">
        <f>+DB582</f>
        <v>0</v>
      </c>
      <c r="DB582" s="522"/>
      <c r="DC582" s="524"/>
      <c r="DD582" s="534">
        <f>+DE582</f>
        <v>0</v>
      </c>
      <c r="DE582" s="522"/>
      <c r="DF582" s="524"/>
      <c r="DG582" s="534">
        <f>+DH582</f>
        <v>0</v>
      </c>
      <c r="DH582" s="1259"/>
      <c r="DI582" s="524"/>
      <c r="DJ582" s="534">
        <f>+DK582</f>
        <v>0</v>
      </c>
      <c r="DK582" s="1259"/>
      <c r="DL582" s="524"/>
      <c r="DM582" s="534">
        <f>+DN582</f>
        <v>0</v>
      </c>
      <c r="DN582" s="1259"/>
      <c r="DO582" s="524"/>
      <c r="DP582" s="534">
        <f>+DQ582</f>
        <v>0</v>
      </c>
      <c r="DQ582" s="1259"/>
      <c r="DR582" s="524"/>
      <c r="DS582" s="534">
        <f>+DT582</f>
        <v>0</v>
      </c>
      <c r="DT582" s="1259"/>
      <c r="DU582" s="524"/>
      <c r="DV582" s="534">
        <f>+DW582</f>
        <v>0</v>
      </c>
      <c r="DW582" s="1259"/>
      <c r="DX582" s="524"/>
      <c r="DY582" s="534">
        <f>+DZ582</f>
        <v>0</v>
      </c>
      <c r="DZ582" s="1259"/>
      <c r="EA582" s="524"/>
      <c r="EB582" s="534">
        <f>+EC582</f>
        <v>0</v>
      </c>
      <c r="EC582" s="1259"/>
      <c r="ED582" s="524"/>
      <c r="EE582" s="534">
        <f>+EF582</f>
        <v>0</v>
      </c>
      <c r="EF582" s="1259"/>
      <c r="EG582" s="524"/>
      <c r="EH582" s="534">
        <f>+EI582</f>
        <v>0</v>
      </c>
      <c r="EI582" s="1259"/>
      <c r="EJ582" s="524"/>
      <c r="EK582" s="534">
        <f>+EL582</f>
        <v>0</v>
      </c>
      <c r="EL582" s="1259"/>
      <c r="EM582" s="524"/>
      <c r="EN582" s="534">
        <f>+EO582</f>
        <v>0</v>
      </c>
      <c r="EO582" s="1259"/>
      <c r="EP582" s="524"/>
      <c r="EQ582" s="534">
        <f>+ER582</f>
        <v>0</v>
      </c>
      <c r="ER582" s="1259"/>
      <c r="ES582" s="524"/>
      <c r="ET582" s="534">
        <f>+EU582</f>
        <v>0</v>
      </c>
      <c r="EU582" s="1259"/>
      <c r="EV582" s="524"/>
      <c r="EW582" s="534">
        <f>+EX582</f>
        <v>0</v>
      </c>
      <c r="EX582" s="1259"/>
      <c r="EY582" s="524"/>
      <c r="EZ582" s="534">
        <f>+FA582</f>
        <v>0</v>
      </c>
      <c r="FA582" s="1259"/>
      <c r="FE582"/>
      <c r="FF582"/>
      <c r="FG582"/>
      <c r="FH582"/>
      <c r="FI582"/>
      <c r="FJ582"/>
      <c r="FK582" s="35"/>
    </row>
    <row r="583" spans="1:167" s="235" customFormat="1" ht="13.35" customHeight="1">
      <c r="A583" s="821"/>
      <c r="B583" s="821" t="s">
        <v>215</v>
      </c>
      <c r="C583" s="862"/>
      <c r="D583" s="821"/>
      <c r="E583" s="863"/>
      <c r="F583" s="863"/>
      <c r="G583" s="863"/>
      <c r="H583" s="863"/>
      <c r="I583" s="863"/>
      <c r="J583" s="863"/>
      <c r="K583" s="863"/>
      <c r="L583" s="863"/>
      <c r="M583" s="863"/>
      <c r="N583" s="863"/>
      <c r="O583" s="863"/>
      <c r="P583" s="863"/>
      <c r="Q583" s="864"/>
      <c r="R583" s="864"/>
      <c r="S583" s="864"/>
      <c r="T583" s="864"/>
      <c r="U583" s="864"/>
      <c r="V583" s="865"/>
      <c r="W583" s="865"/>
      <c r="X583" s="865"/>
      <c r="Y583" s="865"/>
      <c r="Z583" s="865"/>
      <c r="AA583" s="865"/>
      <c r="AB583" s="865"/>
      <c r="AC583" s="865"/>
      <c r="AD583" s="865"/>
      <c r="AE583" s="865"/>
      <c r="AF583" s="865"/>
      <c r="AG583" s="865"/>
      <c r="AH583" s="865"/>
      <c r="AI583" s="865"/>
      <c r="AJ583" s="865"/>
      <c r="AK583" s="865"/>
      <c r="AL583" s="865"/>
      <c r="AM583" s="865"/>
      <c r="AN583" s="878"/>
      <c r="AO583" s="879"/>
      <c r="AP583" s="856">
        <f>+AQ583</f>
        <v>0</v>
      </c>
      <c r="AQ583" s="878"/>
      <c r="AR583" s="879"/>
      <c r="AS583" s="856">
        <f>+AT583</f>
        <v>0</v>
      </c>
      <c r="AT583" s="878"/>
      <c r="AU583" s="879"/>
      <c r="AV583" s="856">
        <f>+AW583</f>
        <v>0</v>
      </c>
      <c r="AW583" s="878"/>
      <c r="AX583" s="879"/>
      <c r="AY583" s="856">
        <f>+AZ583</f>
        <v>0</v>
      </c>
      <c r="AZ583" s="878"/>
      <c r="BA583" s="879"/>
      <c r="BB583" s="856">
        <f>+BC583</f>
        <v>0</v>
      </c>
      <c r="BC583" s="878"/>
      <c r="BD583" s="879"/>
      <c r="BE583" s="856">
        <f>+BF583</f>
        <v>0</v>
      </c>
      <c r="BF583" s="878"/>
      <c r="BG583" s="879"/>
      <c r="BH583" s="856">
        <f>+BI583</f>
        <v>0</v>
      </c>
      <c r="BI583" s="878"/>
      <c r="BJ583" s="879"/>
      <c r="BK583" s="856">
        <f>+BL583</f>
        <v>0</v>
      </c>
      <c r="BL583" s="878"/>
      <c r="BM583" s="879"/>
      <c r="BN583" s="856">
        <f>+BO583</f>
        <v>0</v>
      </c>
      <c r="BO583" s="880"/>
      <c r="BP583" s="879"/>
      <c r="BQ583" s="856">
        <f>+BR583</f>
        <v>0</v>
      </c>
      <c r="BR583" s="880"/>
      <c r="BS583" s="879"/>
      <c r="BT583" s="856">
        <f>+BU583</f>
        <v>0</v>
      </c>
      <c r="BU583" s="880"/>
      <c r="BV583" s="879"/>
      <c r="BW583" s="856">
        <f>+BX583</f>
        <v>0</v>
      </c>
      <c r="BX583" s="880"/>
      <c r="BY583" s="879"/>
      <c r="BZ583" s="856">
        <f>+CA583</f>
        <v>0</v>
      </c>
      <c r="CA583" s="880"/>
      <c r="CB583" s="879"/>
      <c r="CC583" s="856">
        <f>+CD583</f>
        <v>0</v>
      </c>
      <c r="CD583" s="522"/>
      <c r="CE583" s="524"/>
      <c r="CF583" s="534">
        <f>+CG583</f>
        <v>0</v>
      </c>
      <c r="CG583" s="522"/>
      <c r="CH583" s="524"/>
      <c r="CI583" s="534">
        <f>+CJ583</f>
        <v>0</v>
      </c>
      <c r="CJ583" s="522"/>
      <c r="CK583" s="524"/>
      <c r="CL583" s="534">
        <f>+CM583</f>
        <v>0</v>
      </c>
      <c r="CM583" s="522"/>
      <c r="CN583" s="524"/>
      <c r="CO583" s="534">
        <f>+CP583</f>
        <v>0</v>
      </c>
      <c r="CP583" s="522"/>
      <c r="CQ583" s="524"/>
      <c r="CR583" s="534">
        <f>+CS583</f>
        <v>0</v>
      </c>
      <c r="CS583" s="522"/>
      <c r="CT583" s="524"/>
      <c r="CU583" s="534">
        <f>+CV583</f>
        <v>0</v>
      </c>
      <c r="CV583" s="522"/>
      <c r="CW583" s="524"/>
      <c r="CX583" s="534">
        <f>+CY583</f>
        <v>0</v>
      </c>
      <c r="CY583" s="522"/>
      <c r="CZ583" s="524"/>
      <c r="DA583" s="534">
        <f>+DB583</f>
        <v>0</v>
      </c>
      <c r="DB583" s="522"/>
      <c r="DC583" s="524"/>
      <c r="DD583" s="534">
        <f>+DE583</f>
        <v>0</v>
      </c>
      <c r="DE583" s="522"/>
      <c r="DF583" s="524"/>
      <c r="DG583" s="534">
        <f>+DH583</f>
        <v>0</v>
      </c>
      <c r="DH583" s="1259"/>
      <c r="DI583" s="524"/>
      <c r="DJ583" s="534">
        <f>+DK583</f>
        <v>0</v>
      </c>
      <c r="DK583" s="1259"/>
      <c r="DL583" s="524"/>
      <c r="DM583" s="534">
        <f>+DN583</f>
        <v>0</v>
      </c>
      <c r="DN583" s="1259"/>
      <c r="DO583" s="524"/>
      <c r="DP583" s="534">
        <f>+DQ583</f>
        <v>0</v>
      </c>
      <c r="DQ583" s="1259"/>
      <c r="DR583" s="524"/>
      <c r="DS583" s="534">
        <f>+DT583</f>
        <v>0</v>
      </c>
      <c r="DT583" s="1259"/>
      <c r="DU583" s="524"/>
      <c r="DV583" s="534">
        <f>+DW583</f>
        <v>0</v>
      </c>
      <c r="DW583" s="1259"/>
      <c r="DX583" s="524"/>
      <c r="DY583" s="534">
        <f>+DZ583</f>
        <v>0</v>
      </c>
      <c r="DZ583" s="1259"/>
      <c r="EA583" s="524"/>
      <c r="EB583" s="534">
        <f>+EC583</f>
        <v>0</v>
      </c>
      <c r="EC583" s="1259"/>
      <c r="ED583" s="524"/>
      <c r="EE583" s="534">
        <f>+EF583</f>
        <v>0</v>
      </c>
      <c r="EF583" s="1259"/>
      <c r="EG583" s="524"/>
      <c r="EH583" s="534">
        <f>+EI583</f>
        <v>0</v>
      </c>
      <c r="EI583" s="1259"/>
      <c r="EJ583" s="524"/>
      <c r="EK583" s="534">
        <f>+EL583</f>
        <v>0</v>
      </c>
      <c r="EL583" s="1259"/>
      <c r="EM583" s="524"/>
      <c r="EN583" s="534">
        <f>+EO583</f>
        <v>0</v>
      </c>
      <c r="EO583" s="1259"/>
      <c r="EP583" s="524"/>
      <c r="EQ583" s="534">
        <f>+ER583</f>
        <v>0</v>
      </c>
      <c r="ER583" s="1259"/>
      <c r="ES583" s="524"/>
      <c r="ET583" s="534">
        <f>+EU583</f>
        <v>0</v>
      </c>
      <c r="EU583" s="1259"/>
      <c r="EV583" s="524"/>
      <c r="EW583" s="534">
        <f>+EX583</f>
        <v>0</v>
      </c>
      <c r="EX583" s="1259"/>
      <c r="EY583" s="524"/>
      <c r="EZ583" s="534">
        <f>+FA583</f>
        <v>0</v>
      </c>
      <c r="FA583" s="1259"/>
      <c r="FE583"/>
      <c r="FF583"/>
      <c r="FG583"/>
      <c r="FH583"/>
      <c r="FI583"/>
      <c r="FJ583"/>
      <c r="FK583" s="35"/>
    </row>
    <row r="584" spans="1:167" s="235" customFormat="1" ht="13.35" customHeight="1" thickBot="1">
      <c r="A584" s="821"/>
      <c r="B584" s="821" t="s">
        <v>712</v>
      </c>
      <c r="C584" s="862"/>
      <c r="D584" s="821"/>
      <c r="E584" s="863"/>
      <c r="F584" s="863"/>
      <c r="G584" s="863"/>
      <c r="H584" s="863"/>
      <c r="I584" s="863"/>
      <c r="J584" s="863"/>
      <c r="K584" s="863"/>
      <c r="L584" s="863"/>
      <c r="M584" s="863"/>
      <c r="N584" s="863"/>
      <c r="O584" s="863"/>
      <c r="P584" s="863"/>
      <c r="Q584" s="864"/>
      <c r="R584" s="864"/>
      <c r="S584" s="864"/>
      <c r="T584" s="864"/>
      <c r="U584" s="864"/>
      <c r="V584" s="865"/>
      <c r="W584" s="865"/>
      <c r="X584" s="865"/>
      <c r="Y584" s="865"/>
      <c r="Z584" s="865"/>
      <c r="AA584" s="865"/>
      <c r="AB584" s="865"/>
      <c r="AC584" s="865"/>
      <c r="AD584" s="865"/>
      <c r="AE584" s="865"/>
      <c r="AF584" s="865"/>
      <c r="AG584" s="865"/>
      <c r="AH584" s="865"/>
      <c r="AI584" s="865"/>
      <c r="AJ584" s="865"/>
      <c r="AK584" s="865"/>
      <c r="AL584" s="865"/>
      <c r="AM584" s="865"/>
      <c r="AN584" s="873"/>
      <c r="AO584" s="874"/>
      <c r="AP584" s="870">
        <f>+AQ584</f>
        <v>0</v>
      </c>
      <c r="AQ584" s="873"/>
      <c r="AR584" s="874"/>
      <c r="AS584" s="870">
        <f>+AT584</f>
        <v>0</v>
      </c>
      <c r="AT584" s="873"/>
      <c r="AU584" s="874"/>
      <c r="AV584" s="870">
        <f>+AW584</f>
        <v>0</v>
      </c>
      <c r="AW584" s="873"/>
      <c r="AX584" s="874"/>
      <c r="AY584" s="870">
        <f>+AZ584</f>
        <v>0</v>
      </c>
      <c r="AZ584" s="873"/>
      <c r="BA584" s="874"/>
      <c r="BB584" s="870">
        <f>+BC584</f>
        <v>0</v>
      </c>
      <c r="BC584" s="873"/>
      <c r="BD584" s="874"/>
      <c r="BE584" s="870">
        <f>+BF584</f>
        <v>0</v>
      </c>
      <c r="BF584" s="873"/>
      <c r="BG584" s="874"/>
      <c r="BH584" s="870">
        <f>+BI584</f>
        <v>0</v>
      </c>
      <c r="BI584" s="873"/>
      <c r="BJ584" s="874"/>
      <c r="BK584" s="870">
        <f>+BL584</f>
        <v>0</v>
      </c>
      <c r="BL584" s="873"/>
      <c r="BM584" s="874"/>
      <c r="BN584" s="870">
        <f>+BO584</f>
        <v>0</v>
      </c>
      <c r="BO584" s="875"/>
      <c r="BP584" s="874"/>
      <c r="BQ584" s="870">
        <f>+BR584</f>
        <v>0</v>
      </c>
      <c r="BR584" s="875"/>
      <c r="BS584" s="874"/>
      <c r="BT584" s="870">
        <f>+BU584</f>
        <v>0</v>
      </c>
      <c r="BU584" s="875"/>
      <c r="BV584" s="874"/>
      <c r="BW584" s="870">
        <f>+BX584</f>
        <v>0</v>
      </c>
      <c r="BX584" s="875"/>
      <c r="BY584" s="874"/>
      <c r="BZ584" s="870">
        <f>+CA584</f>
        <v>0</v>
      </c>
      <c r="CA584" s="875"/>
      <c r="CB584" s="874"/>
      <c r="CC584" s="870">
        <f>+CD584</f>
        <v>0</v>
      </c>
      <c r="CD584" s="540"/>
      <c r="CE584" s="542"/>
      <c r="CF584" s="872">
        <f>+CG584</f>
        <v>0</v>
      </c>
      <c r="CG584" s="540"/>
      <c r="CH584" s="542"/>
      <c r="CI584" s="872">
        <f>+CJ584</f>
        <v>0</v>
      </c>
      <c r="CJ584" s="540"/>
      <c r="CK584" s="542"/>
      <c r="CL584" s="872">
        <f>+CM584</f>
        <v>0</v>
      </c>
      <c r="CM584" s="540"/>
      <c r="CN584" s="542"/>
      <c r="CO584" s="872">
        <f>+CP584</f>
        <v>0</v>
      </c>
      <c r="CP584" s="540"/>
      <c r="CQ584" s="542"/>
      <c r="CR584" s="872">
        <f>+CS584</f>
        <v>0</v>
      </c>
      <c r="CS584" s="540"/>
      <c r="CT584" s="542"/>
      <c r="CU584" s="872">
        <f>+CV584</f>
        <v>0</v>
      </c>
      <c r="CV584" s="540"/>
      <c r="CW584" s="542"/>
      <c r="CX584" s="872">
        <f>+CY584</f>
        <v>0</v>
      </c>
      <c r="CY584" s="540"/>
      <c r="CZ584" s="542"/>
      <c r="DA584" s="872">
        <f>+DB584</f>
        <v>0</v>
      </c>
      <c r="DB584" s="540"/>
      <c r="DC584" s="542"/>
      <c r="DD584" s="872">
        <f>+DE584</f>
        <v>0</v>
      </c>
      <c r="DE584" s="540"/>
      <c r="DF584" s="542"/>
      <c r="DG584" s="872">
        <f>+DH584</f>
        <v>0</v>
      </c>
      <c r="DH584" s="1269"/>
      <c r="DI584" s="542"/>
      <c r="DJ584" s="872">
        <f>+DK584</f>
        <v>0</v>
      </c>
      <c r="DK584" s="1269"/>
      <c r="DL584" s="542"/>
      <c r="DM584" s="872">
        <f>+DN584</f>
        <v>0</v>
      </c>
      <c r="DN584" s="1269"/>
      <c r="DO584" s="542"/>
      <c r="DP584" s="872">
        <f>+DQ584</f>
        <v>0</v>
      </c>
      <c r="DQ584" s="1269"/>
      <c r="DR584" s="542"/>
      <c r="DS584" s="872">
        <f>+DT584</f>
        <v>0</v>
      </c>
      <c r="DT584" s="1269"/>
      <c r="DU584" s="542"/>
      <c r="DV584" s="872">
        <f>+DW584</f>
        <v>0</v>
      </c>
      <c r="DW584" s="1269"/>
      <c r="DX584" s="542"/>
      <c r="DY584" s="872">
        <f>+DZ584</f>
        <v>0</v>
      </c>
      <c r="DZ584" s="1269"/>
      <c r="EA584" s="542"/>
      <c r="EB584" s="872">
        <f>+EC584</f>
        <v>0</v>
      </c>
      <c r="EC584" s="1269"/>
      <c r="ED584" s="542"/>
      <c r="EE584" s="872">
        <f>+EF584</f>
        <v>0</v>
      </c>
      <c r="EF584" s="1269"/>
      <c r="EG584" s="542"/>
      <c r="EH584" s="872">
        <f>+EI584</f>
        <v>0</v>
      </c>
      <c r="EI584" s="1269"/>
      <c r="EJ584" s="542"/>
      <c r="EK584" s="872">
        <f>+EL584</f>
        <v>0</v>
      </c>
      <c r="EL584" s="1269"/>
      <c r="EM584" s="542"/>
      <c r="EN584" s="872">
        <f>+EO584</f>
        <v>0</v>
      </c>
      <c r="EO584" s="1269"/>
      <c r="EP584" s="542"/>
      <c r="EQ584" s="872">
        <f>+ER584</f>
        <v>0</v>
      </c>
      <c r="ER584" s="1269"/>
      <c r="ES584" s="542"/>
      <c r="ET584" s="872">
        <f>+EU584</f>
        <v>0</v>
      </c>
      <c r="EU584" s="1269"/>
      <c r="EV584" s="542"/>
      <c r="EW584" s="872">
        <f>+EX584</f>
        <v>0</v>
      </c>
      <c r="EX584" s="1269"/>
      <c r="EY584" s="542"/>
      <c r="EZ584" s="872">
        <f>+FA584</f>
        <v>0</v>
      </c>
      <c r="FA584" s="1269"/>
      <c r="FE584"/>
      <c r="FF584"/>
      <c r="FG584"/>
      <c r="FH584"/>
      <c r="FI584"/>
      <c r="FJ584"/>
      <c r="FK584" s="35"/>
    </row>
    <row r="585" spans="1:167" s="235" customFormat="1" ht="13.35" customHeight="1" thickBot="1">
      <c r="A585" s="821"/>
      <c r="B585" s="845" t="s">
        <v>216</v>
      </c>
      <c r="C585" s="862"/>
      <c r="D585" s="821"/>
      <c r="E585" s="863"/>
      <c r="F585" s="863"/>
      <c r="G585" s="863"/>
      <c r="H585" s="863"/>
      <c r="I585" s="863"/>
      <c r="J585" s="863"/>
      <c r="K585" s="863"/>
      <c r="L585" s="863"/>
      <c r="M585" s="863"/>
      <c r="N585" s="863"/>
      <c r="O585" s="863"/>
      <c r="P585" s="863"/>
      <c r="Q585" s="864"/>
      <c r="R585" s="864"/>
      <c r="S585" s="864"/>
      <c r="T585" s="864"/>
      <c r="U585" s="864"/>
      <c r="V585" s="865"/>
      <c r="W585" s="865"/>
      <c r="X585" s="865"/>
      <c r="Y585" s="865"/>
      <c r="Z585" s="865"/>
      <c r="AA585" s="865"/>
      <c r="AB585" s="865"/>
      <c r="AC585" s="865"/>
      <c r="AD585" s="865"/>
      <c r="AE585" s="865"/>
      <c r="AF585" s="865"/>
      <c r="AG585" s="865"/>
      <c r="AH585" s="865"/>
      <c r="AI585" s="865"/>
      <c r="AJ585" s="865"/>
      <c r="AK585" s="865"/>
      <c r="AL585" s="865"/>
      <c r="AM585" s="865"/>
      <c r="AN585" s="856"/>
      <c r="AO585" s="856"/>
      <c r="AP585" s="856"/>
      <c r="AQ585" s="856"/>
      <c r="AR585" s="856"/>
      <c r="AS585" s="856"/>
      <c r="AT585" s="856"/>
      <c r="AU585" s="856"/>
      <c r="AV585" s="856"/>
      <c r="AW585" s="856"/>
      <c r="AX585" s="856"/>
      <c r="AY585" s="856"/>
      <c r="AZ585" s="856"/>
      <c r="BA585" s="856"/>
      <c r="BB585" s="856"/>
      <c r="BC585" s="856"/>
      <c r="BD585" s="856"/>
      <c r="BE585" s="856"/>
      <c r="BF585" s="856"/>
      <c r="BG585" s="856"/>
      <c r="BH585" s="856"/>
      <c r="BI585" s="856"/>
      <c r="BJ585" s="856"/>
      <c r="BK585" s="856"/>
      <c r="BL585" s="856"/>
      <c r="BM585" s="856"/>
      <c r="BN585" s="856"/>
      <c r="BO585" s="856"/>
      <c r="BP585" s="856"/>
      <c r="BQ585" s="856"/>
      <c r="BR585" s="856"/>
      <c r="BS585" s="856"/>
      <c r="BT585" s="856"/>
      <c r="BU585" s="856"/>
      <c r="BV585" s="856"/>
      <c r="BW585" s="856"/>
      <c r="BX585" s="856"/>
      <c r="BY585" s="856"/>
      <c r="BZ585" s="856"/>
      <c r="CA585" s="856"/>
      <c r="CB585" s="856"/>
      <c r="CC585" s="856"/>
      <c r="CD585" s="534"/>
      <c r="CE585" s="534"/>
      <c r="CF585" s="534"/>
      <c r="CG585" s="534"/>
      <c r="CH585" s="534"/>
      <c r="CI585" s="534"/>
      <c r="CJ585" s="534"/>
      <c r="CK585" s="534"/>
      <c r="CL585" s="534"/>
      <c r="CM585" s="534"/>
      <c r="CN585" s="534"/>
      <c r="CO585" s="534"/>
      <c r="CP585" s="534"/>
      <c r="CQ585" s="534"/>
      <c r="CR585" s="534"/>
      <c r="CS585" s="534"/>
      <c r="CT585" s="534"/>
      <c r="CU585" s="534"/>
      <c r="CV585" s="534"/>
      <c r="CW585" s="534"/>
      <c r="CX585" s="534"/>
      <c r="CY585" s="534"/>
      <c r="CZ585" s="534"/>
      <c r="DA585" s="534"/>
      <c r="DB585" s="534"/>
      <c r="DC585" s="534"/>
      <c r="DD585" s="534"/>
      <c r="DE585" s="534"/>
      <c r="DF585" s="534"/>
      <c r="DG585" s="534"/>
      <c r="DH585" s="1262"/>
      <c r="DI585" s="534"/>
      <c r="DJ585" s="534"/>
      <c r="DK585" s="1262"/>
      <c r="DL585" s="534"/>
      <c r="DM585" s="534"/>
      <c r="DN585" s="1262"/>
      <c r="DO585" s="534"/>
      <c r="DP585" s="534"/>
      <c r="DQ585" s="1262"/>
      <c r="DR585" s="534"/>
      <c r="DS585" s="534"/>
      <c r="DT585" s="1262"/>
      <c r="DU585" s="534"/>
      <c r="DV585" s="534"/>
      <c r="DW585" s="1262"/>
      <c r="DX585" s="534"/>
      <c r="DY585" s="534"/>
      <c r="DZ585" s="1262"/>
      <c r="EA585" s="534"/>
      <c r="EB585" s="534"/>
      <c r="EC585" s="1262"/>
      <c r="ED585" s="534"/>
      <c r="EE585" s="534"/>
      <c r="EF585" s="1262"/>
      <c r="EG585" s="534"/>
      <c r="EH585" s="534"/>
      <c r="EI585" s="1262"/>
      <c r="EJ585" s="534"/>
      <c r="EK585" s="534"/>
      <c r="EL585" s="1262"/>
      <c r="EM585" s="534"/>
      <c r="EN585" s="534"/>
      <c r="EO585" s="1262"/>
      <c r="EP585" s="534"/>
      <c r="EQ585" s="534"/>
      <c r="ER585" s="1262"/>
      <c r="ES585" s="534"/>
      <c r="ET585" s="534"/>
      <c r="EU585" s="1262"/>
      <c r="EV585" s="534"/>
      <c r="EW585" s="534"/>
      <c r="EX585" s="1262"/>
      <c r="EY585" s="534"/>
      <c r="EZ585" s="534"/>
      <c r="FA585" s="1262"/>
      <c r="FE585"/>
      <c r="FF585"/>
      <c r="FG585"/>
      <c r="FH585"/>
      <c r="FI585"/>
      <c r="FJ585"/>
      <c r="FK585" s="35"/>
    </row>
    <row r="586" spans="1:167" s="235" customFormat="1" ht="13.35" customHeight="1">
      <c r="A586" s="821"/>
      <c r="B586" s="821" t="s">
        <v>715</v>
      </c>
      <c r="C586" s="862"/>
      <c r="D586" s="821"/>
      <c r="E586" s="863"/>
      <c r="F586" s="863"/>
      <c r="G586" s="863"/>
      <c r="H586" s="863"/>
      <c r="I586" s="863"/>
      <c r="J586" s="863"/>
      <c r="K586" s="863"/>
      <c r="L586" s="863"/>
      <c r="M586" s="863"/>
      <c r="N586" s="863"/>
      <c r="O586" s="863"/>
      <c r="P586" s="863"/>
      <c r="Q586" s="864"/>
      <c r="R586" s="864"/>
      <c r="S586" s="864"/>
      <c r="T586" s="864"/>
      <c r="U586" s="864"/>
      <c r="V586" s="865"/>
      <c r="W586" s="865"/>
      <c r="X586" s="865"/>
      <c r="Y586" s="865"/>
      <c r="Z586" s="865"/>
      <c r="AA586" s="865"/>
      <c r="AB586" s="865"/>
      <c r="AC586" s="865"/>
      <c r="AD586" s="865"/>
      <c r="AE586" s="865"/>
      <c r="AF586" s="865"/>
      <c r="AG586" s="865"/>
      <c r="AH586" s="865"/>
      <c r="AI586" s="865"/>
      <c r="AJ586" s="865"/>
      <c r="AK586" s="865"/>
      <c r="AL586" s="865"/>
      <c r="AM586" s="865"/>
      <c r="AN586" s="868"/>
      <c r="AO586" s="869"/>
      <c r="AP586" s="870">
        <f t="shared" ref="AP586:AP594" si="1432">+AQ586</f>
        <v>0</v>
      </c>
      <c r="AQ586" s="868"/>
      <c r="AR586" s="869"/>
      <c r="AS586" s="870">
        <f t="shared" ref="AS586:AS594" si="1433">+AT586</f>
        <v>0</v>
      </c>
      <c r="AT586" s="868"/>
      <c r="AU586" s="869"/>
      <c r="AV586" s="870">
        <f t="shared" ref="AV586:AV594" si="1434">+AW586</f>
        <v>0</v>
      </c>
      <c r="AW586" s="868"/>
      <c r="AX586" s="869"/>
      <c r="AY586" s="870">
        <f t="shared" ref="AY586:AY594" si="1435">+AZ586</f>
        <v>0</v>
      </c>
      <c r="AZ586" s="868"/>
      <c r="BA586" s="869"/>
      <c r="BB586" s="870">
        <f t="shared" ref="BB586:BB594" si="1436">+BC586</f>
        <v>0</v>
      </c>
      <c r="BC586" s="868"/>
      <c r="BD586" s="869"/>
      <c r="BE586" s="870">
        <f t="shared" ref="BE586:BE594" si="1437">+BF586</f>
        <v>0</v>
      </c>
      <c r="BF586" s="868"/>
      <c r="BG586" s="869"/>
      <c r="BH586" s="870">
        <f t="shared" ref="BH586:BH594" si="1438">+BI586</f>
        <v>0</v>
      </c>
      <c r="BI586" s="868"/>
      <c r="BJ586" s="869"/>
      <c r="BK586" s="870">
        <f t="shared" ref="BK586:BK594" si="1439">+BL586</f>
        <v>0</v>
      </c>
      <c r="BL586" s="868"/>
      <c r="BM586" s="869"/>
      <c r="BN586" s="870">
        <f t="shared" ref="BN586:BN594" si="1440">+BO586</f>
        <v>0</v>
      </c>
      <c r="BO586" s="871"/>
      <c r="BP586" s="869"/>
      <c r="BQ586" s="870">
        <f t="shared" ref="BQ586:BQ594" si="1441">+BR586</f>
        <v>0</v>
      </c>
      <c r="BR586" s="871"/>
      <c r="BS586" s="869"/>
      <c r="BT586" s="870">
        <f t="shared" ref="BT586:BT594" si="1442">+BU586</f>
        <v>0</v>
      </c>
      <c r="BU586" s="871"/>
      <c r="BV586" s="869"/>
      <c r="BW586" s="870">
        <f t="shared" ref="BW586:BW594" si="1443">+BX586</f>
        <v>0</v>
      </c>
      <c r="BX586" s="871"/>
      <c r="BY586" s="869"/>
      <c r="BZ586" s="870">
        <f t="shared" ref="BZ586:BZ594" si="1444">+CA586</f>
        <v>0</v>
      </c>
      <c r="CA586" s="871"/>
      <c r="CB586" s="869"/>
      <c r="CC586" s="870">
        <f t="shared" ref="CC586:CC594" si="1445">+CD586</f>
        <v>0</v>
      </c>
      <c r="CD586" s="535"/>
      <c r="CE586" s="537"/>
      <c r="CF586" s="872">
        <f t="shared" ref="CF586:CF594" si="1446">+CG586</f>
        <v>0</v>
      </c>
      <c r="CG586" s="535"/>
      <c r="CH586" s="537"/>
      <c r="CI586" s="872">
        <f t="shared" ref="CI586:CI594" si="1447">+CJ586</f>
        <v>0</v>
      </c>
      <c r="CJ586" s="535"/>
      <c r="CK586" s="537"/>
      <c r="CL586" s="872">
        <f t="shared" ref="CL586:CL594" si="1448">+CM586</f>
        <v>0</v>
      </c>
      <c r="CM586" s="535"/>
      <c r="CN586" s="537"/>
      <c r="CO586" s="872">
        <f t="shared" ref="CO586:CO594" si="1449">+CP586</f>
        <v>0</v>
      </c>
      <c r="CP586" s="535"/>
      <c r="CQ586" s="537"/>
      <c r="CR586" s="872">
        <f t="shared" ref="CR586:CR594" si="1450">+CS586</f>
        <v>0</v>
      </c>
      <c r="CS586" s="535"/>
      <c r="CT586" s="537"/>
      <c r="CU586" s="872">
        <f t="shared" ref="CU586:CU594" si="1451">+CV586</f>
        <v>0</v>
      </c>
      <c r="CV586" s="535"/>
      <c r="CW586" s="537"/>
      <c r="CX586" s="872">
        <f t="shared" ref="CX586:CX594" si="1452">+CY586</f>
        <v>0</v>
      </c>
      <c r="CY586" s="535"/>
      <c r="CZ586" s="537"/>
      <c r="DA586" s="872">
        <f t="shared" ref="DA586:DA594" si="1453">+DB586</f>
        <v>0</v>
      </c>
      <c r="DB586" s="535"/>
      <c r="DC586" s="537"/>
      <c r="DD586" s="872">
        <f t="shared" ref="DD586:DD594" si="1454">+DE586</f>
        <v>0</v>
      </c>
      <c r="DE586" s="535"/>
      <c r="DF586" s="537"/>
      <c r="DG586" s="872">
        <f t="shared" ref="DG586:DG594" si="1455">+DH586</f>
        <v>0</v>
      </c>
      <c r="DH586" s="1268"/>
      <c r="DI586" s="537"/>
      <c r="DJ586" s="872">
        <f t="shared" ref="DJ586:DJ594" si="1456">+DK586</f>
        <v>0</v>
      </c>
      <c r="DK586" s="1268"/>
      <c r="DL586" s="537"/>
      <c r="DM586" s="872">
        <f t="shared" ref="DM586:DM594" si="1457">+DN586</f>
        <v>0</v>
      </c>
      <c r="DN586" s="1268"/>
      <c r="DO586" s="537"/>
      <c r="DP586" s="872">
        <f t="shared" ref="DP586:DP594" si="1458">+DQ586</f>
        <v>0</v>
      </c>
      <c r="DQ586" s="1268"/>
      <c r="DR586" s="537"/>
      <c r="DS586" s="872">
        <f t="shared" ref="DS586:DS594" si="1459">+DT586</f>
        <v>0</v>
      </c>
      <c r="DT586" s="1268"/>
      <c r="DU586" s="537"/>
      <c r="DV586" s="872">
        <f t="shared" ref="DV586:DV594" si="1460">+DW586</f>
        <v>0</v>
      </c>
      <c r="DW586" s="1268"/>
      <c r="DX586" s="537"/>
      <c r="DY586" s="872">
        <f t="shared" ref="DY586:DY594" si="1461">+DZ586</f>
        <v>0</v>
      </c>
      <c r="DZ586" s="1268"/>
      <c r="EA586" s="537"/>
      <c r="EB586" s="872">
        <f t="shared" ref="EB586:EB594" si="1462">+EC586</f>
        <v>0</v>
      </c>
      <c r="EC586" s="1268"/>
      <c r="ED586" s="537"/>
      <c r="EE586" s="872">
        <f t="shared" ref="EE586:EE594" si="1463">+EF586</f>
        <v>0</v>
      </c>
      <c r="EF586" s="1268"/>
      <c r="EG586" s="537"/>
      <c r="EH586" s="872">
        <f t="shared" ref="EH586:EH594" si="1464">+EI586</f>
        <v>0</v>
      </c>
      <c r="EI586" s="1268"/>
      <c r="EJ586" s="537"/>
      <c r="EK586" s="872">
        <f t="shared" ref="EK586:EK594" si="1465">+EL586</f>
        <v>0</v>
      </c>
      <c r="EL586" s="1268"/>
      <c r="EM586" s="537"/>
      <c r="EN586" s="872">
        <f t="shared" ref="EN586:EN594" si="1466">+EO586</f>
        <v>0</v>
      </c>
      <c r="EO586" s="1268"/>
      <c r="EP586" s="537"/>
      <c r="EQ586" s="872">
        <f t="shared" ref="EQ586:EQ594" si="1467">+ER586</f>
        <v>0</v>
      </c>
      <c r="ER586" s="1268"/>
      <c r="ES586" s="537"/>
      <c r="ET586" s="872">
        <f t="shared" ref="ET586:ET594" si="1468">+EU586</f>
        <v>0</v>
      </c>
      <c r="EU586" s="1268"/>
      <c r="EV586" s="537"/>
      <c r="EW586" s="872">
        <f t="shared" ref="EW586:EW594" si="1469">+EX586</f>
        <v>0</v>
      </c>
      <c r="EX586" s="1268"/>
      <c r="EY586" s="537"/>
      <c r="EZ586" s="872">
        <f t="shared" ref="EZ586:EZ594" si="1470">+FA586</f>
        <v>0</v>
      </c>
      <c r="FA586" s="1268"/>
      <c r="FE586"/>
      <c r="FF586"/>
      <c r="FG586"/>
      <c r="FH586"/>
      <c r="FI586"/>
      <c r="FJ586"/>
      <c r="FK586" s="35"/>
    </row>
    <row r="587" spans="1:167" s="235" customFormat="1" ht="13.35" customHeight="1">
      <c r="A587" s="821"/>
      <c r="B587" s="821" t="s">
        <v>716</v>
      </c>
      <c r="C587" s="862"/>
      <c r="D587" s="821"/>
      <c r="E587" s="863"/>
      <c r="F587" s="863"/>
      <c r="G587" s="863"/>
      <c r="H587" s="863"/>
      <c r="I587" s="863"/>
      <c r="J587" s="863"/>
      <c r="K587" s="863"/>
      <c r="L587" s="863"/>
      <c r="M587" s="863"/>
      <c r="N587" s="863"/>
      <c r="O587" s="863"/>
      <c r="P587" s="863"/>
      <c r="Q587" s="864"/>
      <c r="R587" s="864"/>
      <c r="S587" s="864"/>
      <c r="T587" s="864"/>
      <c r="U587" s="864"/>
      <c r="V587" s="865"/>
      <c r="W587" s="865"/>
      <c r="X587" s="865"/>
      <c r="Y587" s="865"/>
      <c r="Z587" s="865"/>
      <c r="AA587" s="865"/>
      <c r="AB587" s="865"/>
      <c r="AC587" s="865"/>
      <c r="AD587" s="865"/>
      <c r="AE587" s="865"/>
      <c r="AF587" s="865"/>
      <c r="AG587" s="865"/>
      <c r="AH587" s="865"/>
      <c r="AI587" s="865"/>
      <c r="AJ587" s="865"/>
      <c r="AK587" s="865"/>
      <c r="AL587" s="865"/>
      <c r="AM587" s="865"/>
      <c r="AN587" s="878"/>
      <c r="AO587" s="879"/>
      <c r="AP587" s="870">
        <f t="shared" si="1432"/>
        <v>0</v>
      </c>
      <c r="AQ587" s="878"/>
      <c r="AR587" s="879"/>
      <c r="AS587" s="870">
        <f t="shared" si="1433"/>
        <v>0</v>
      </c>
      <c r="AT587" s="878"/>
      <c r="AU587" s="879"/>
      <c r="AV587" s="870">
        <f t="shared" si="1434"/>
        <v>0</v>
      </c>
      <c r="AW587" s="878"/>
      <c r="AX587" s="879"/>
      <c r="AY587" s="870">
        <f t="shared" si="1435"/>
        <v>0</v>
      </c>
      <c r="AZ587" s="878"/>
      <c r="BA587" s="879"/>
      <c r="BB587" s="870">
        <f t="shared" si="1436"/>
        <v>0</v>
      </c>
      <c r="BC587" s="878"/>
      <c r="BD587" s="879"/>
      <c r="BE587" s="870">
        <f t="shared" si="1437"/>
        <v>0</v>
      </c>
      <c r="BF587" s="878"/>
      <c r="BG587" s="879"/>
      <c r="BH587" s="870">
        <f t="shared" si="1438"/>
        <v>0</v>
      </c>
      <c r="BI587" s="878"/>
      <c r="BJ587" s="879"/>
      <c r="BK587" s="870">
        <f t="shared" si="1439"/>
        <v>0</v>
      </c>
      <c r="BL587" s="878"/>
      <c r="BM587" s="879"/>
      <c r="BN587" s="870">
        <f t="shared" si="1440"/>
        <v>0</v>
      </c>
      <c r="BO587" s="880"/>
      <c r="BP587" s="879"/>
      <c r="BQ587" s="870">
        <f t="shared" si="1441"/>
        <v>0</v>
      </c>
      <c r="BR587" s="880"/>
      <c r="BS587" s="879"/>
      <c r="BT587" s="870">
        <f t="shared" si="1442"/>
        <v>0</v>
      </c>
      <c r="BU587" s="880"/>
      <c r="BV587" s="879"/>
      <c r="BW587" s="870">
        <f t="shared" si="1443"/>
        <v>0</v>
      </c>
      <c r="BX587" s="880"/>
      <c r="BY587" s="879"/>
      <c r="BZ587" s="870">
        <f t="shared" si="1444"/>
        <v>0</v>
      </c>
      <c r="CA587" s="880"/>
      <c r="CB587" s="879"/>
      <c r="CC587" s="870">
        <f t="shared" si="1445"/>
        <v>0</v>
      </c>
      <c r="CD587" s="522"/>
      <c r="CE587" s="524"/>
      <c r="CF587" s="872">
        <f t="shared" si="1446"/>
        <v>0</v>
      </c>
      <c r="CG587" s="522"/>
      <c r="CH587" s="524"/>
      <c r="CI587" s="872">
        <f t="shared" si="1447"/>
        <v>0</v>
      </c>
      <c r="CJ587" s="522"/>
      <c r="CK587" s="524"/>
      <c r="CL587" s="872">
        <f t="shared" si="1448"/>
        <v>0</v>
      </c>
      <c r="CM587" s="522"/>
      <c r="CN587" s="524"/>
      <c r="CO587" s="872">
        <f t="shared" si="1449"/>
        <v>0</v>
      </c>
      <c r="CP587" s="522"/>
      <c r="CQ587" s="524"/>
      <c r="CR587" s="872">
        <f t="shared" si="1450"/>
        <v>0</v>
      </c>
      <c r="CS587" s="522"/>
      <c r="CT587" s="524"/>
      <c r="CU587" s="872">
        <f t="shared" si="1451"/>
        <v>0</v>
      </c>
      <c r="CV587" s="522"/>
      <c r="CW587" s="524"/>
      <c r="CX587" s="872">
        <f t="shared" si="1452"/>
        <v>0</v>
      </c>
      <c r="CY587" s="522"/>
      <c r="CZ587" s="524"/>
      <c r="DA587" s="872">
        <f t="shared" si="1453"/>
        <v>0</v>
      </c>
      <c r="DB587" s="522"/>
      <c r="DC587" s="524"/>
      <c r="DD587" s="872">
        <f t="shared" si="1454"/>
        <v>0</v>
      </c>
      <c r="DE587" s="522"/>
      <c r="DF587" s="524"/>
      <c r="DG587" s="872">
        <f t="shared" si="1455"/>
        <v>0</v>
      </c>
      <c r="DH587" s="1259"/>
      <c r="DI587" s="524"/>
      <c r="DJ587" s="872">
        <f t="shared" si="1456"/>
        <v>0</v>
      </c>
      <c r="DK587" s="1259"/>
      <c r="DL587" s="524"/>
      <c r="DM587" s="872">
        <f t="shared" si="1457"/>
        <v>0</v>
      </c>
      <c r="DN587" s="1259"/>
      <c r="DO587" s="524"/>
      <c r="DP587" s="872">
        <f t="shared" si="1458"/>
        <v>0</v>
      </c>
      <c r="DQ587" s="1259"/>
      <c r="DR587" s="524"/>
      <c r="DS587" s="872">
        <f t="shared" si="1459"/>
        <v>0</v>
      </c>
      <c r="DT587" s="1259"/>
      <c r="DU587" s="524"/>
      <c r="DV587" s="872">
        <f t="shared" si="1460"/>
        <v>0</v>
      </c>
      <c r="DW587" s="1259"/>
      <c r="DX587" s="524"/>
      <c r="DY587" s="872">
        <f t="shared" si="1461"/>
        <v>0</v>
      </c>
      <c r="DZ587" s="1259"/>
      <c r="EA587" s="524"/>
      <c r="EB587" s="872">
        <f t="shared" si="1462"/>
        <v>0</v>
      </c>
      <c r="EC587" s="1259"/>
      <c r="ED587" s="524"/>
      <c r="EE587" s="872">
        <f t="shared" si="1463"/>
        <v>0</v>
      </c>
      <c r="EF587" s="1259"/>
      <c r="EG587" s="524"/>
      <c r="EH587" s="872">
        <f t="shared" si="1464"/>
        <v>0</v>
      </c>
      <c r="EI587" s="1259"/>
      <c r="EJ587" s="524"/>
      <c r="EK587" s="872">
        <f t="shared" si="1465"/>
        <v>0</v>
      </c>
      <c r="EL587" s="1259"/>
      <c r="EM587" s="524"/>
      <c r="EN587" s="872">
        <f t="shared" si="1466"/>
        <v>0</v>
      </c>
      <c r="EO587" s="1259"/>
      <c r="EP587" s="524"/>
      <c r="EQ587" s="872">
        <f t="shared" si="1467"/>
        <v>0</v>
      </c>
      <c r="ER587" s="1259"/>
      <c r="ES587" s="524"/>
      <c r="ET587" s="872">
        <f t="shared" si="1468"/>
        <v>0</v>
      </c>
      <c r="EU587" s="1259"/>
      <c r="EV587" s="524"/>
      <c r="EW587" s="872">
        <f t="shared" si="1469"/>
        <v>0</v>
      </c>
      <c r="EX587" s="1259"/>
      <c r="EY587" s="524"/>
      <c r="EZ587" s="872">
        <f t="shared" si="1470"/>
        <v>0</v>
      </c>
      <c r="FA587" s="1259"/>
      <c r="FE587"/>
      <c r="FF587"/>
      <c r="FG587"/>
      <c r="FH587"/>
      <c r="FI587"/>
      <c r="FJ587"/>
      <c r="FK587" s="35"/>
    </row>
    <row r="588" spans="1:167" s="235" customFormat="1" ht="13.35" customHeight="1">
      <c r="A588" s="821"/>
      <c r="B588" s="821" t="s">
        <v>717</v>
      </c>
      <c r="C588" s="862"/>
      <c r="D588" s="821"/>
      <c r="E588" s="863"/>
      <c r="F588" s="863"/>
      <c r="G588" s="863"/>
      <c r="H588" s="863"/>
      <c r="I588" s="863"/>
      <c r="J588" s="863"/>
      <c r="K588" s="863"/>
      <c r="L588" s="863"/>
      <c r="M588" s="863"/>
      <c r="N588" s="863"/>
      <c r="O588" s="863"/>
      <c r="P588" s="863"/>
      <c r="Q588" s="864"/>
      <c r="R588" s="864"/>
      <c r="S588" s="864"/>
      <c r="T588" s="864"/>
      <c r="U588" s="864"/>
      <c r="V588" s="865"/>
      <c r="W588" s="865"/>
      <c r="X588" s="865"/>
      <c r="Y588" s="865"/>
      <c r="Z588" s="865"/>
      <c r="AA588" s="865"/>
      <c r="AB588" s="865"/>
      <c r="AC588" s="865"/>
      <c r="AD588" s="865"/>
      <c r="AE588" s="865"/>
      <c r="AF588" s="865"/>
      <c r="AG588" s="865"/>
      <c r="AH588" s="865"/>
      <c r="AI588" s="865"/>
      <c r="AJ588" s="865"/>
      <c r="AK588" s="865"/>
      <c r="AL588" s="865"/>
      <c r="AM588" s="865"/>
      <c r="AN588" s="878"/>
      <c r="AO588" s="879"/>
      <c r="AP588" s="870">
        <f t="shared" si="1432"/>
        <v>0</v>
      </c>
      <c r="AQ588" s="878"/>
      <c r="AR588" s="879"/>
      <c r="AS588" s="870">
        <f t="shared" si="1433"/>
        <v>0</v>
      </c>
      <c r="AT588" s="878"/>
      <c r="AU588" s="879"/>
      <c r="AV588" s="870">
        <f t="shared" si="1434"/>
        <v>0</v>
      </c>
      <c r="AW588" s="878"/>
      <c r="AX588" s="879"/>
      <c r="AY588" s="870">
        <f t="shared" si="1435"/>
        <v>0</v>
      </c>
      <c r="AZ588" s="878"/>
      <c r="BA588" s="879"/>
      <c r="BB588" s="870">
        <f t="shared" si="1436"/>
        <v>0</v>
      </c>
      <c r="BC588" s="878"/>
      <c r="BD588" s="879"/>
      <c r="BE588" s="870">
        <f t="shared" si="1437"/>
        <v>0</v>
      </c>
      <c r="BF588" s="878"/>
      <c r="BG588" s="879"/>
      <c r="BH588" s="870">
        <f t="shared" si="1438"/>
        <v>0</v>
      </c>
      <c r="BI588" s="878"/>
      <c r="BJ588" s="879"/>
      <c r="BK588" s="870">
        <f t="shared" si="1439"/>
        <v>0</v>
      </c>
      <c r="BL588" s="878"/>
      <c r="BM588" s="879"/>
      <c r="BN588" s="870">
        <f t="shared" si="1440"/>
        <v>0</v>
      </c>
      <c r="BO588" s="880"/>
      <c r="BP588" s="879"/>
      <c r="BQ588" s="870">
        <f t="shared" si="1441"/>
        <v>0</v>
      </c>
      <c r="BR588" s="880"/>
      <c r="BS588" s="879"/>
      <c r="BT588" s="870">
        <f t="shared" si="1442"/>
        <v>0</v>
      </c>
      <c r="BU588" s="880"/>
      <c r="BV588" s="879"/>
      <c r="BW588" s="870">
        <f t="shared" si="1443"/>
        <v>0</v>
      </c>
      <c r="BX588" s="880"/>
      <c r="BY588" s="879"/>
      <c r="BZ588" s="870">
        <f t="shared" si="1444"/>
        <v>0</v>
      </c>
      <c r="CA588" s="880"/>
      <c r="CB588" s="879"/>
      <c r="CC588" s="870">
        <f t="shared" si="1445"/>
        <v>0</v>
      </c>
      <c r="CD588" s="522"/>
      <c r="CE588" s="524"/>
      <c r="CF588" s="872">
        <f t="shared" si="1446"/>
        <v>0</v>
      </c>
      <c r="CG588" s="522"/>
      <c r="CH588" s="524"/>
      <c r="CI588" s="872">
        <f t="shared" si="1447"/>
        <v>0</v>
      </c>
      <c r="CJ588" s="522"/>
      <c r="CK588" s="524"/>
      <c r="CL588" s="872">
        <f t="shared" si="1448"/>
        <v>0</v>
      </c>
      <c r="CM588" s="522"/>
      <c r="CN588" s="524"/>
      <c r="CO588" s="872">
        <f t="shared" si="1449"/>
        <v>0</v>
      </c>
      <c r="CP588" s="522"/>
      <c r="CQ588" s="524"/>
      <c r="CR588" s="872">
        <f t="shared" si="1450"/>
        <v>0</v>
      </c>
      <c r="CS588" s="522"/>
      <c r="CT588" s="524"/>
      <c r="CU588" s="872">
        <f t="shared" si="1451"/>
        <v>0</v>
      </c>
      <c r="CV588" s="522"/>
      <c r="CW588" s="524"/>
      <c r="CX588" s="872">
        <f t="shared" si="1452"/>
        <v>0</v>
      </c>
      <c r="CY588" s="522"/>
      <c r="CZ588" s="524"/>
      <c r="DA588" s="872">
        <f t="shared" si="1453"/>
        <v>0</v>
      </c>
      <c r="DB588" s="522"/>
      <c r="DC588" s="524"/>
      <c r="DD588" s="872">
        <f t="shared" si="1454"/>
        <v>0</v>
      </c>
      <c r="DE588" s="522"/>
      <c r="DF588" s="524"/>
      <c r="DG588" s="872">
        <f t="shared" si="1455"/>
        <v>0</v>
      </c>
      <c r="DH588" s="1259"/>
      <c r="DI588" s="524"/>
      <c r="DJ588" s="872">
        <f t="shared" si="1456"/>
        <v>0</v>
      </c>
      <c r="DK588" s="1259"/>
      <c r="DL588" s="524"/>
      <c r="DM588" s="872">
        <f t="shared" si="1457"/>
        <v>0</v>
      </c>
      <c r="DN588" s="1259"/>
      <c r="DO588" s="524"/>
      <c r="DP588" s="872">
        <f t="shared" si="1458"/>
        <v>0</v>
      </c>
      <c r="DQ588" s="1259"/>
      <c r="DR588" s="524"/>
      <c r="DS588" s="872">
        <f t="shared" si="1459"/>
        <v>0</v>
      </c>
      <c r="DT588" s="1259"/>
      <c r="DU588" s="524"/>
      <c r="DV588" s="872">
        <f t="shared" si="1460"/>
        <v>0</v>
      </c>
      <c r="DW588" s="1259"/>
      <c r="DX588" s="524"/>
      <c r="DY588" s="872">
        <f t="shared" si="1461"/>
        <v>0</v>
      </c>
      <c r="DZ588" s="1259"/>
      <c r="EA588" s="524"/>
      <c r="EB588" s="872">
        <f t="shared" si="1462"/>
        <v>0</v>
      </c>
      <c r="EC588" s="1259"/>
      <c r="ED588" s="524"/>
      <c r="EE588" s="872">
        <f t="shared" si="1463"/>
        <v>0</v>
      </c>
      <c r="EF588" s="1259"/>
      <c r="EG588" s="524"/>
      <c r="EH588" s="872">
        <f t="shared" si="1464"/>
        <v>0</v>
      </c>
      <c r="EI588" s="1259"/>
      <c r="EJ588" s="524"/>
      <c r="EK588" s="872">
        <f t="shared" si="1465"/>
        <v>0</v>
      </c>
      <c r="EL588" s="1259"/>
      <c r="EM588" s="524"/>
      <c r="EN588" s="872">
        <f t="shared" si="1466"/>
        <v>0</v>
      </c>
      <c r="EO588" s="1259"/>
      <c r="EP588" s="524"/>
      <c r="EQ588" s="872">
        <f t="shared" si="1467"/>
        <v>0</v>
      </c>
      <c r="ER588" s="1259"/>
      <c r="ES588" s="524"/>
      <c r="ET588" s="872">
        <f t="shared" si="1468"/>
        <v>0</v>
      </c>
      <c r="EU588" s="1259"/>
      <c r="EV588" s="524"/>
      <c r="EW588" s="872">
        <f t="shared" si="1469"/>
        <v>0</v>
      </c>
      <c r="EX588" s="1259"/>
      <c r="EY588" s="524"/>
      <c r="EZ588" s="872">
        <f t="shared" si="1470"/>
        <v>0</v>
      </c>
      <c r="FA588" s="1259"/>
      <c r="FE588"/>
      <c r="FF588"/>
      <c r="FG588"/>
      <c r="FH588"/>
      <c r="FI588"/>
      <c r="FJ588"/>
      <c r="FK588" s="35"/>
    </row>
    <row r="589" spans="1:167" s="235" customFormat="1" ht="13.35" customHeight="1">
      <c r="A589" s="821"/>
      <c r="B589" s="821" t="s">
        <v>217</v>
      </c>
      <c r="C589" s="862"/>
      <c r="D589" s="821"/>
      <c r="E589" s="863"/>
      <c r="F589" s="863"/>
      <c r="G589" s="863"/>
      <c r="H589" s="863"/>
      <c r="I589" s="863"/>
      <c r="J589" s="863"/>
      <c r="K589" s="863"/>
      <c r="L589" s="863"/>
      <c r="M589" s="863"/>
      <c r="N589" s="863"/>
      <c r="O589" s="863"/>
      <c r="P589" s="863"/>
      <c r="Q589" s="864"/>
      <c r="R589" s="864"/>
      <c r="S589" s="864"/>
      <c r="T589" s="864"/>
      <c r="U589" s="864"/>
      <c r="V589" s="865"/>
      <c r="W589" s="865"/>
      <c r="X589" s="865"/>
      <c r="Y589" s="865"/>
      <c r="Z589" s="865"/>
      <c r="AA589" s="865"/>
      <c r="AB589" s="865"/>
      <c r="AC589" s="865"/>
      <c r="AD589" s="865"/>
      <c r="AE589" s="865"/>
      <c r="AF589" s="865"/>
      <c r="AG589" s="865"/>
      <c r="AH589" s="865"/>
      <c r="AI589" s="865"/>
      <c r="AJ589" s="865"/>
      <c r="AK589" s="865"/>
      <c r="AL589" s="865"/>
      <c r="AM589" s="865"/>
      <c r="AN589" s="878"/>
      <c r="AO589" s="879"/>
      <c r="AP589" s="870">
        <f t="shared" si="1432"/>
        <v>0</v>
      </c>
      <c r="AQ589" s="878"/>
      <c r="AR589" s="879"/>
      <c r="AS589" s="870">
        <f t="shared" si="1433"/>
        <v>0</v>
      </c>
      <c r="AT589" s="878"/>
      <c r="AU589" s="879"/>
      <c r="AV589" s="870">
        <f t="shared" si="1434"/>
        <v>0</v>
      </c>
      <c r="AW589" s="878"/>
      <c r="AX589" s="879"/>
      <c r="AY589" s="870">
        <f t="shared" si="1435"/>
        <v>0</v>
      </c>
      <c r="AZ589" s="878"/>
      <c r="BA589" s="879"/>
      <c r="BB589" s="870">
        <f t="shared" si="1436"/>
        <v>0</v>
      </c>
      <c r="BC589" s="878"/>
      <c r="BD589" s="879"/>
      <c r="BE589" s="870">
        <f t="shared" si="1437"/>
        <v>0</v>
      </c>
      <c r="BF589" s="878"/>
      <c r="BG589" s="879"/>
      <c r="BH589" s="870">
        <f t="shared" si="1438"/>
        <v>0</v>
      </c>
      <c r="BI589" s="878"/>
      <c r="BJ589" s="879"/>
      <c r="BK589" s="870">
        <f t="shared" si="1439"/>
        <v>0</v>
      </c>
      <c r="BL589" s="878"/>
      <c r="BM589" s="879"/>
      <c r="BN589" s="870">
        <f t="shared" si="1440"/>
        <v>0</v>
      </c>
      <c r="BO589" s="880"/>
      <c r="BP589" s="879"/>
      <c r="BQ589" s="870">
        <f t="shared" si="1441"/>
        <v>0</v>
      </c>
      <c r="BR589" s="880"/>
      <c r="BS589" s="879"/>
      <c r="BT589" s="870">
        <f t="shared" si="1442"/>
        <v>0</v>
      </c>
      <c r="BU589" s="880"/>
      <c r="BV589" s="879"/>
      <c r="BW589" s="870">
        <f t="shared" si="1443"/>
        <v>0</v>
      </c>
      <c r="BX589" s="880"/>
      <c r="BY589" s="879"/>
      <c r="BZ589" s="870">
        <f t="shared" si="1444"/>
        <v>0</v>
      </c>
      <c r="CA589" s="880"/>
      <c r="CB589" s="879"/>
      <c r="CC589" s="870">
        <f t="shared" si="1445"/>
        <v>0</v>
      </c>
      <c r="CD589" s="522"/>
      <c r="CE589" s="524"/>
      <c r="CF589" s="872">
        <f t="shared" si="1446"/>
        <v>0</v>
      </c>
      <c r="CG589" s="522"/>
      <c r="CH589" s="524"/>
      <c r="CI589" s="872">
        <f t="shared" si="1447"/>
        <v>0</v>
      </c>
      <c r="CJ589" s="522"/>
      <c r="CK589" s="524"/>
      <c r="CL589" s="872">
        <f t="shared" si="1448"/>
        <v>0</v>
      </c>
      <c r="CM589" s="522"/>
      <c r="CN589" s="524"/>
      <c r="CO589" s="872">
        <f t="shared" si="1449"/>
        <v>0</v>
      </c>
      <c r="CP589" s="522"/>
      <c r="CQ589" s="524"/>
      <c r="CR589" s="872">
        <f t="shared" si="1450"/>
        <v>0</v>
      </c>
      <c r="CS589" s="522"/>
      <c r="CT589" s="524"/>
      <c r="CU589" s="872">
        <f t="shared" si="1451"/>
        <v>0</v>
      </c>
      <c r="CV589" s="522"/>
      <c r="CW589" s="524"/>
      <c r="CX589" s="872">
        <f t="shared" si="1452"/>
        <v>0</v>
      </c>
      <c r="CY589" s="522"/>
      <c r="CZ589" s="524"/>
      <c r="DA589" s="872">
        <f t="shared" si="1453"/>
        <v>0</v>
      </c>
      <c r="DB589" s="522"/>
      <c r="DC589" s="524"/>
      <c r="DD589" s="872">
        <f t="shared" si="1454"/>
        <v>0</v>
      </c>
      <c r="DE589" s="522"/>
      <c r="DF589" s="524"/>
      <c r="DG589" s="872">
        <f t="shared" si="1455"/>
        <v>0</v>
      </c>
      <c r="DH589" s="1259"/>
      <c r="DI589" s="524"/>
      <c r="DJ589" s="872">
        <f t="shared" si="1456"/>
        <v>0</v>
      </c>
      <c r="DK589" s="1259"/>
      <c r="DL589" s="524"/>
      <c r="DM589" s="872">
        <f t="shared" si="1457"/>
        <v>0</v>
      </c>
      <c r="DN589" s="1259"/>
      <c r="DO589" s="524"/>
      <c r="DP589" s="872">
        <f t="shared" si="1458"/>
        <v>0</v>
      </c>
      <c r="DQ589" s="1259"/>
      <c r="DR589" s="524"/>
      <c r="DS589" s="872">
        <f t="shared" si="1459"/>
        <v>0</v>
      </c>
      <c r="DT589" s="1259"/>
      <c r="DU589" s="524"/>
      <c r="DV589" s="872">
        <f t="shared" si="1460"/>
        <v>0</v>
      </c>
      <c r="DW589" s="1259"/>
      <c r="DX589" s="524"/>
      <c r="DY589" s="872">
        <f t="shared" si="1461"/>
        <v>0</v>
      </c>
      <c r="DZ589" s="1259"/>
      <c r="EA589" s="524"/>
      <c r="EB589" s="872">
        <f t="shared" si="1462"/>
        <v>0</v>
      </c>
      <c r="EC589" s="1259"/>
      <c r="ED589" s="524"/>
      <c r="EE589" s="872">
        <f t="shared" si="1463"/>
        <v>0</v>
      </c>
      <c r="EF589" s="1259"/>
      <c r="EG589" s="524"/>
      <c r="EH589" s="872">
        <f t="shared" si="1464"/>
        <v>0</v>
      </c>
      <c r="EI589" s="1259"/>
      <c r="EJ589" s="524"/>
      <c r="EK589" s="872">
        <f t="shared" si="1465"/>
        <v>0</v>
      </c>
      <c r="EL589" s="1259"/>
      <c r="EM589" s="524"/>
      <c r="EN589" s="872">
        <f t="shared" si="1466"/>
        <v>0</v>
      </c>
      <c r="EO589" s="1259"/>
      <c r="EP589" s="524"/>
      <c r="EQ589" s="872">
        <f t="shared" si="1467"/>
        <v>0</v>
      </c>
      <c r="ER589" s="1259"/>
      <c r="ES589" s="524"/>
      <c r="ET589" s="872">
        <f t="shared" si="1468"/>
        <v>0</v>
      </c>
      <c r="EU589" s="1259"/>
      <c r="EV589" s="524"/>
      <c r="EW589" s="872">
        <f t="shared" si="1469"/>
        <v>0</v>
      </c>
      <c r="EX589" s="1259"/>
      <c r="EY589" s="524"/>
      <c r="EZ589" s="872">
        <f t="shared" si="1470"/>
        <v>0</v>
      </c>
      <c r="FA589" s="1259"/>
      <c r="FE589"/>
      <c r="FF589"/>
      <c r="FG589"/>
      <c r="FH589"/>
      <c r="FI589"/>
      <c r="FJ589"/>
      <c r="FK589" s="35"/>
    </row>
    <row r="590" spans="1:167" s="235" customFormat="1" ht="13.35" customHeight="1">
      <c r="A590" s="821"/>
      <c r="B590" s="821" t="s">
        <v>720</v>
      </c>
      <c r="C590" s="862"/>
      <c r="D590" s="821"/>
      <c r="E590" s="863"/>
      <c r="F590" s="863"/>
      <c r="G590" s="863"/>
      <c r="H590" s="863"/>
      <c r="I590" s="863"/>
      <c r="J590" s="863"/>
      <c r="K590" s="863"/>
      <c r="L590" s="863"/>
      <c r="M590" s="863"/>
      <c r="N590" s="863"/>
      <c r="O590" s="863"/>
      <c r="P590" s="863"/>
      <c r="Q590" s="864"/>
      <c r="R590" s="864"/>
      <c r="S590" s="864"/>
      <c r="T590" s="864"/>
      <c r="U590" s="864"/>
      <c r="V590" s="865"/>
      <c r="W590" s="865"/>
      <c r="X590" s="865"/>
      <c r="Y590" s="865"/>
      <c r="Z590" s="865"/>
      <c r="AA590" s="865"/>
      <c r="AB590" s="865"/>
      <c r="AC590" s="865"/>
      <c r="AD590" s="865"/>
      <c r="AE590" s="865"/>
      <c r="AF590" s="865"/>
      <c r="AG590" s="865"/>
      <c r="AH590" s="865"/>
      <c r="AI590" s="865"/>
      <c r="AJ590" s="865"/>
      <c r="AK590" s="865"/>
      <c r="AL590" s="865"/>
      <c r="AM590" s="865"/>
      <c r="AN590" s="878"/>
      <c r="AO590" s="879"/>
      <c r="AP590" s="870">
        <f t="shared" si="1432"/>
        <v>0</v>
      </c>
      <c r="AQ590" s="878"/>
      <c r="AR590" s="879"/>
      <c r="AS590" s="870">
        <f t="shared" si="1433"/>
        <v>0</v>
      </c>
      <c r="AT590" s="878"/>
      <c r="AU590" s="879"/>
      <c r="AV590" s="870">
        <f t="shared" si="1434"/>
        <v>0</v>
      </c>
      <c r="AW590" s="878"/>
      <c r="AX590" s="879"/>
      <c r="AY590" s="870">
        <f t="shared" si="1435"/>
        <v>0</v>
      </c>
      <c r="AZ590" s="878"/>
      <c r="BA590" s="879"/>
      <c r="BB590" s="870">
        <f t="shared" si="1436"/>
        <v>0</v>
      </c>
      <c r="BC590" s="878"/>
      <c r="BD590" s="879"/>
      <c r="BE590" s="870">
        <f t="shared" si="1437"/>
        <v>0</v>
      </c>
      <c r="BF590" s="878"/>
      <c r="BG590" s="879"/>
      <c r="BH590" s="870">
        <f t="shared" si="1438"/>
        <v>0</v>
      </c>
      <c r="BI590" s="878"/>
      <c r="BJ590" s="879"/>
      <c r="BK590" s="870">
        <f t="shared" si="1439"/>
        <v>0</v>
      </c>
      <c r="BL590" s="878"/>
      <c r="BM590" s="879"/>
      <c r="BN590" s="870">
        <f t="shared" si="1440"/>
        <v>0</v>
      </c>
      <c r="BO590" s="880"/>
      <c r="BP590" s="879"/>
      <c r="BQ590" s="870">
        <f t="shared" si="1441"/>
        <v>0</v>
      </c>
      <c r="BR590" s="880"/>
      <c r="BS590" s="879"/>
      <c r="BT590" s="870">
        <f t="shared" si="1442"/>
        <v>0</v>
      </c>
      <c r="BU590" s="880"/>
      <c r="BV590" s="879"/>
      <c r="BW590" s="870">
        <f t="shared" si="1443"/>
        <v>0</v>
      </c>
      <c r="BX590" s="880"/>
      <c r="BY590" s="879"/>
      <c r="BZ590" s="870">
        <f t="shared" si="1444"/>
        <v>0</v>
      </c>
      <c r="CA590" s="880"/>
      <c r="CB590" s="879"/>
      <c r="CC590" s="870">
        <f t="shared" si="1445"/>
        <v>0</v>
      </c>
      <c r="CD590" s="522"/>
      <c r="CE590" s="524"/>
      <c r="CF590" s="872">
        <f t="shared" si="1446"/>
        <v>0</v>
      </c>
      <c r="CG590" s="522"/>
      <c r="CH590" s="524"/>
      <c r="CI590" s="872">
        <f t="shared" si="1447"/>
        <v>0</v>
      </c>
      <c r="CJ590" s="522"/>
      <c r="CK590" s="524"/>
      <c r="CL590" s="872">
        <f t="shared" si="1448"/>
        <v>0</v>
      </c>
      <c r="CM590" s="522"/>
      <c r="CN590" s="524"/>
      <c r="CO590" s="872">
        <f t="shared" si="1449"/>
        <v>0</v>
      </c>
      <c r="CP590" s="522"/>
      <c r="CQ590" s="524"/>
      <c r="CR590" s="872">
        <f t="shared" si="1450"/>
        <v>0</v>
      </c>
      <c r="CS590" s="522"/>
      <c r="CT590" s="524"/>
      <c r="CU590" s="872">
        <f t="shared" si="1451"/>
        <v>0</v>
      </c>
      <c r="CV590" s="522"/>
      <c r="CW590" s="524"/>
      <c r="CX590" s="872">
        <f t="shared" si="1452"/>
        <v>0</v>
      </c>
      <c r="CY590" s="522"/>
      <c r="CZ590" s="524"/>
      <c r="DA590" s="872">
        <f t="shared" si="1453"/>
        <v>0</v>
      </c>
      <c r="DB590" s="522"/>
      <c r="DC590" s="524"/>
      <c r="DD590" s="872">
        <f t="shared" si="1454"/>
        <v>0</v>
      </c>
      <c r="DE590" s="522"/>
      <c r="DF590" s="524"/>
      <c r="DG590" s="872">
        <f t="shared" si="1455"/>
        <v>0</v>
      </c>
      <c r="DH590" s="1259"/>
      <c r="DI590" s="524"/>
      <c r="DJ590" s="872">
        <f t="shared" si="1456"/>
        <v>0</v>
      </c>
      <c r="DK590" s="1259"/>
      <c r="DL590" s="524"/>
      <c r="DM590" s="872">
        <f t="shared" si="1457"/>
        <v>0</v>
      </c>
      <c r="DN590" s="1259"/>
      <c r="DO590" s="524"/>
      <c r="DP590" s="872">
        <f t="shared" si="1458"/>
        <v>0</v>
      </c>
      <c r="DQ590" s="1259"/>
      <c r="DR590" s="524"/>
      <c r="DS590" s="872">
        <f t="shared" si="1459"/>
        <v>0</v>
      </c>
      <c r="DT590" s="1259"/>
      <c r="DU590" s="524"/>
      <c r="DV590" s="872">
        <f t="shared" si="1460"/>
        <v>0</v>
      </c>
      <c r="DW590" s="1259"/>
      <c r="DX590" s="524"/>
      <c r="DY590" s="872">
        <f t="shared" si="1461"/>
        <v>0</v>
      </c>
      <c r="DZ590" s="1259"/>
      <c r="EA590" s="524"/>
      <c r="EB590" s="872">
        <f t="shared" si="1462"/>
        <v>0</v>
      </c>
      <c r="EC590" s="1259"/>
      <c r="ED590" s="524"/>
      <c r="EE590" s="872">
        <f t="shared" si="1463"/>
        <v>0</v>
      </c>
      <c r="EF590" s="1259"/>
      <c r="EG590" s="524"/>
      <c r="EH590" s="872">
        <f t="shared" si="1464"/>
        <v>0</v>
      </c>
      <c r="EI590" s="1259"/>
      <c r="EJ590" s="524"/>
      <c r="EK590" s="872">
        <f t="shared" si="1465"/>
        <v>0</v>
      </c>
      <c r="EL590" s="1259"/>
      <c r="EM590" s="524"/>
      <c r="EN590" s="872">
        <f t="shared" si="1466"/>
        <v>0</v>
      </c>
      <c r="EO590" s="1259"/>
      <c r="EP590" s="524"/>
      <c r="EQ590" s="872">
        <f t="shared" si="1467"/>
        <v>0</v>
      </c>
      <c r="ER590" s="1259"/>
      <c r="ES590" s="524"/>
      <c r="ET590" s="872">
        <f t="shared" si="1468"/>
        <v>0</v>
      </c>
      <c r="EU590" s="1259"/>
      <c r="EV590" s="524"/>
      <c r="EW590" s="872">
        <f t="shared" si="1469"/>
        <v>0</v>
      </c>
      <c r="EX590" s="1259"/>
      <c r="EY590" s="524"/>
      <c r="EZ590" s="872">
        <f t="shared" si="1470"/>
        <v>0</v>
      </c>
      <c r="FA590" s="1259"/>
      <c r="FE590"/>
      <c r="FF590"/>
      <c r="FG590"/>
      <c r="FH590"/>
      <c r="FI590"/>
      <c r="FJ590"/>
      <c r="FK590" s="35"/>
    </row>
    <row r="591" spans="1:167" s="235" customFormat="1" ht="13.35" customHeight="1">
      <c r="A591" s="821"/>
      <c r="B591" s="821" t="s">
        <v>218</v>
      </c>
      <c r="C591" s="862"/>
      <c r="D591" s="821"/>
      <c r="E591" s="863"/>
      <c r="F591" s="863"/>
      <c r="G591" s="863"/>
      <c r="H591" s="863"/>
      <c r="I591" s="863"/>
      <c r="J591" s="863"/>
      <c r="K591" s="863"/>
      <c r="L591" s="863"/>
      <c r="M591" s="863"/>
      <c r="N591" s="863"/>
      <c r="O591" s="863"/>
      <c r="P591" s="863"/>
      <c r="Q591" s="864"/>
      <c r="R591" s="864"/>
      <c r="S591" s="864"/>
      <c r="T591" s="864"/>
      <c r="U591" s="864"/>
      <c r="V591" s="865"/>
      <c r="W591" s="865"/>
      <c r="X591" s="865"/>
      <c r="Y591" s="865"/>
      <c r="Z591" s="865"/>
      <c r="AA591" s="865"/>
      <c r="AB591" s="865"/>
      <c r="AC591" s="865"/>
      <c r="AD591" s="865"/>
      <c r="AE591" s="865"/>
      <c r="AF591" s="865"/>
      <c r="AG591" s="865"/>
      <c r="AH591" s="865"/>
      <c r="AI591" s="865"/>
      <c r="AJ591" s="865"/>
      <c r="AK591" s="865"/>
      <c r="AL591" s="865"/>
      <c r="AM591" s="865"/>
      <c r="AN591" s="878"/>
      <c r="AO591" s="879"/>
      <c r="AP591" s="870">
        <f t="shared" si="1432"/>
        <v>0</v>
      </c>
      <c r="AQ591" s="878"/>
      <c r="AR591" s="879"/>
      <c r="AS591" s="870">
        <f t="shared" si="1433"/>
        <v>0</v>
      </c>
      <c r="AT591" s="878"/>
      <c r="AU591" s="879"/>
      <c r="AV591" s="870">
        <f t="shared" si="1434"/>
        <v>0</v>
      </c>
      <c r="AW591" s="878"/>
      <c r="AX591" s="879"/>
      <c r="AY591" s="870">
        <f t="shared" si="1435"/>
        <v>0</v>
      </c>
      <c r="AZ591" s="878"/>
      <c r="BA591" s="879"/>
      <c r="BB591" s="870">
        <f t="shared" si="1436"/>
        <v>0</v>
      </c>
      <c r="BC591" s="878"/>
      <c r="BD591" s="879"/>
      <c r="BE591" s="870">
        <f t="shared" si="1437"/>
        <v>0</v>
      </c>
      <c r="BF591" s="878"/>
      <c r="BG591" s="879"/>
      <c r="BH591" s="870">
        <f t="shared" si="1438"/>
        <v>0</v>
      </c>
      <c r="BI591" s="878"/>
      <c r="BJ591" s="879"/>
      <c r="BK591" s="870">
        <f t="shared" si="1439"/>
        <v>0</v>
      </c>
      <c r="BL591" s="878"/>
      <c r="BM591" s="879"/>
      <c r="BN591" s="870">
        <f t="shared" si="1440"/>
        <v>0</v>
      </c>
      <c r="BO591" s="880"/>
      <c r="BP591" s="879"/>
      <c r="BQ591" s="870">
        <f t="shared" si="1441"/>
        <v>0</v>
      </c>
      <c r="BR591" s="880"/>
      <c r="BS591" s="879"/>
      <c r="BT591" s="870">
        <f t="shared" si="1442"/>
        <v>0</v>
      </c>
      <c r="BU591" s="880"/>
      <c r="BV591" s="879"/>
      <c r="BW591" s="870">
        <f t="shared" si="1443"/>
        <v>0</v>
      </c>
      <c r="BX591" s="880"/>
      <c r="BY591" s="879"/>
      <c r="BZ591" s="870">
        <f t="shared" si="1444"/>
        <v>0</v>
      </c>
      <c r="CA591" s="880"/>
      <c r="CB591" s="879"/>
      <c r="CC591" s="870">
        <f t="shared" si="1445"/>
        <v>0</v>
      </c>
      <c r="CD591" s="522"/>
      <c r="CE591" s="524"/>
      <c r="CF591" s="872">
        <f t="shared" si="1446"/>
        <v>0</v>
      </c>
      <c r="CG591" s="522"/>
      <c r="CH591" s="524"/>
      <c r="CI591" s="872">
        <f t="shared" si="1447"/>
        <v>0</v>
      </c>
      <c r="CJ591" s="522"/>
      <c r="CK591" s="524"/>
      <c r="CL591" s="872">
        <f t="shared" si="1448"/>
        <v>0</v>
      </c>
      <c r="CM591" s="522"/>
      <c r="CN591" s="524"/>
      <c r="CO591" s="872">
        <f t="shared" si="1449"/>
        <v>0</v>
      </c>
      <c r="CP591" s="522"/>
      <c r="CQ591" s="524"/>
      <c r="CR591" s="872">
        <f t="shared" si="1450"/>
        <v>0</v>
      </c>
      <c r="CS591" s="522"/>
      <c r="CT591" s="524"/>
      <c r="CU591" s="872">
        <f t="shared" si="1451"/>
        <v>0</v>
      </c>
      <c r="CV591" s="522"/>
      <c r="CW591" s="524"/>
      <c r="CX591" s="872">
        <f t="shared" si="1452"/>
        <v>0</v>
      </c>
      <c r="CY591" s="522"/>
      <c r="CZ591" s="524"/>
      <c r="DA591" s="872">
        <f t="shared" si="1453"/>
        <v>0</v>
      </c>
      <c r="DB591" s="522"/>
      <c r="DC591" s="524"/>
      <c r="DD591" s="872">
        <f t="shared" si="1454"/>
        <v>0</v>
      </c>
      <c r="DE591" s="522"/>
      <c r="DF591" s="524"/>
      <c r="DG591" s="872">
        <f t="shared" si="1455"/>
        <v>0</v>
      </c>
      <c r="DH591" s="1259"/>
      <c r="DI591" s="524"/>
      <c r="DJ591" s="872">
        <f t="shared" si="1456"/>
        <v>0</v>
      </c>
      <c r="DK591" s="1259"/>
      <c r="DL591" s="524"/>
      <c r="DM591" s="872">
        <f t="shared" si="1457"/>
        <v>0</v>
      </c>
      <c r="DN591" s="1259"/>
      <c r="DO591" s="524"/>
      <c r="DP591" s="872">
        <f t="shared" si="1458"/>
        <v>0</v>
      </c>
      <c r="DQ591" s="1259"/>
      <c r="DR591" s="524"/>
      <c r="DS591" s="872">
        <f t="shared" si="1459"/>
        <v>0</v>
      </c>
      <c r="DT591" s="1259"/>
      <c r="DU591" s="524"/>
      <c r="DV591" s="872">
        <f t="shared" si="1460"/>
        <v>0</v>
      </c>
      <c r="DW591" s="1259"/>
      <c r="DX591" s="524"/>
      <c r="DY591" s="872">
        <f t="shared" si="1461"/>
        <v>0</v>
      </c>
      <c r="DZ591" s="1259"/>
      <c r="EA591" s="524"/>
      <c r="EB591" s="872">
        <f t="shared" si="1462"/>
        <v>0</v>
      </c>
      <c r="EC591" s="1259"/>
      <c r="ED591" s="524"/>
      <c r="EE591" s="872">
        <f t="shared" si="1463"/>
        <v>0</v>
      </c>
      <c r="EF591" s="1259"/>
      <c r="EG591" s="524"/>
      <c r="EH591" s="872">
        <f t="shared" si="1464"/>
        <v>0</v>
      </c>
      <c r="EI591" s="1259"/>
      <c r="EJ591" s="524"/>
      <c r="EK591" s="872">
        <f t="shared" si="1465"/>
        <v>0</v>
      </c>
      <c r="EL591" s="1259"/>
      <c r="EM591" s="524"/>
      <c r="EN591" s="872">
        <f t="shared" si="1466"/>
        <v>0</v>
      </c>
      <c r="EO591" s="1259"/>
      <c r="EP591" s="524"/>
      <c r="EQ591" s="872">
        <f t="shared" si="1467"/>
        <v>0</v>
      </c>
      <c r="ER591" s="1259"/>
      <c r="ES591" s="524"/>
      <c r="ET591" s="872">
        <f t="shared" si="1468"/>
        <v>0</v>
      </c>
      <c r="EU591" s="1259"/>
      <c r="EV591" s="524"/>
      <c r="EW591" s="872">
        <f t="shared" si="1469"/>
        <v>0</v>
      </c>
      <c r="EX591" s="1259"/>
      <c r="EY591" s="524"/>
      <c r="EZ591" s="872">
        <f t="shared" si="1470"/>
        <v>0</v>
      </c>
      <c r="FA591" s="1259"/>
      <c r="FE591"/>
      <c r="FF591"/>
      <c r="FG591"/>
      <c r="FH591"/>
      <c r="FI591"/>
      <c r="FJ591"/>
      <c r="FK591" s="35"/>
    </row>
    <row r="592" spans="1:167" s="235" customFormat="1" ht="13.35" customHeight="1">
      <c r="A592" s="821"/>
      <c r="B592" s="821" t="s">
        <v>219</v>
      </c>
      <c r="C592" s="862"/>
      <c r="D592" s="821"/>
      <c r="E592" s="863"/>
      <c r="F592" s="863"/>
      <c r="G592" s="863"/>
      <c r="H592" s="863"/>
      <c r="I592" s="863"/>
      <c r="J592" s="863"/>
      <c r="K592" s="863"/>
      <c r="L592" s="863"/>
      <c r="M592" s="863"/>
      <c r="N592" s="863"/>
      <c r="O592" s="863"/>
      <c r="P592" s="863"/>
      <c r="Q592" s="864"/>
      <c r="R592" s="864"/>
      <c r="S592" s="864"/>
      <c r="T592" s="864"/>
      <c r="U592" s="864"/>
      <c r="V592" s="865"/>
      <c r="W592" s="865"/>
      <c r="X592" s="865"/>
      <c r="Y592" s="865"/>
      <c r="Z592" s="865"/>
      <c r="AA592" s="865"/>
      <c r="AB592" s="865"/>
      <c r="AC592" s="865"/>
      <c r="AD592" s="865"/>
      <c r="AE592" s="865"/>
      <c r="AF592" s="865"/>
      <c r="AG592" s="865"/>
      <c r="AH592" s="865"/>
      <c r="AI592" s="865"/>
      <c r="AJ592" s="865"/>
      <c r="AK592" s="865"/>
      <c r="AL592" s="865"/>
      <c r="AM592" s="865"/>
      <c r="AN592" s="878"/>
      <c r="AO592" s="879"/>
      <c r="AP592" s="870">
        <f t="shared" si="1432"/>
        <v>0</v>
      </c>
      <c r="AQ592" s="878"/>
      <c r="AR592" s="879"/>
      <c r="AS592" s="870">
        <f t="shared" si="1433"/>
        <v>0</v>
      </c>
      <c r="AT592" s="878"/>
      <c r="AU592" s="879"/>
      <c r="AV592" s="870">
        <f t="shared" si="1434"/>
        <v>0</v>
      </c>
      <c r="AW592" s="878"/>
      <c r="AX592" s="879"/>
      <c r="AY592" s="870">
        <f t="shared" si="1435"/>
        <v>0</v>
      </c>
      <c r="AZ592" s="878"/>
      <c r="BA592" s="879"/>
      <c r="BB592" s="870">
        <f t="shared" si="1436"/>
        <v>0</v>
      </c>
      <c r="BC592" s="878"/>
      <c r="BD592" s="879"/>
      <c r="BE592" s="870">
        <f t="shared" si="1437"/>
        <v>0</v>
      </c>
      <c r="BF592" s="878"/>
      <c r="BG592" s="879"/>
      <c r="BH592" s="870">
        <f t="shared" si="1438"/>
        <v>0</v>
      </c>
      <c r="BI592" s="878"/>
      <c r="BJ592" s="879"/>
      <c r="BK592" s="870">
        <f t="shared" si="1439"/>
        <v>0</v>
      </c>
      <c r="BL592" s="878"/>
      <c r="BM592" s="879"/>
      <c r="BN592" s="870">
        <f t="shared" si="1440"/>
        <v>0</v>
      </c>
      <c r="BO592" s="880"/>
      <c r="BP592" s="879"/>
      <c r="BQ592" s="870">
        <f t="shared" si="1441"/>
        <v>0</v>
      </c>
      <c r="BR592" s="880"/>
      <c r="BS592" s="879"/>
      <c r="BT592" s="870">
        <f t="shared" si="1442"/>
        <v>0</v>
      </c>
      <c r="BU592" s="880"/>
      <c r="BV592" s="879"/>
      <c r="BW592" s="870">
        <f t="shared" si="1443"/>
        <v>0</v>
      </c>
      <c r="BX592" s="880"/>
      <c r="BY592" s="879"/>
      <c r="BZ592" s="870">
        <f t="shared" si="1444"/>
        <v>0</v>
      </c>
      <c r="CA592" s="880"/>
      <c r="CB592" s="879"/>
      <c r="CC592" s="870">
        <f t="shared" si="1445"/>
        <v>0</v>
      </c>
      <c r="CD592" s="522"/>
      <c r="CE592" s="524"/>
      <c r="CF592" s="872">
        <f t="shared" si="1446"/>
        <v>0</v>
      </c>
      <c r="CG592" s="522"/>
      <c r="CH592" s="524"/>
      <c r="CI592" s="872">
        <f t="shared" si="1447"/>
        <v>0</v>
      </c>
      <c r="CJ592" s="522"/>
      <c r="CK592" s="524"/>
      <c r="CL592" s="872">
        <f t="shared" si="1448"/>
        <v>0</v>
      </c>
      <c r="CM592" s="522"/>
      <c r="CN592" s="524"/>
      <c r="CO592" s="872">
        <f t="shared" si="1449"/>
        <v>0</v>
      </c>
      <c r="CP592" s="522"/>
      <c r="CQ592" s="524"/>
      <c r="CR592" s="872">
        <f t="shared" si="1450"/>
        <v>0</v>
      </c>
      <c r="CS592" s="522"/>
      <c r="CT592" s="524"/>
      <c r="CU592" s="872">
        <f t="shared" si="1451"/>
        <v>0</v>
      </c>
      <c r="CV592" s="522"/>
      <c r="CW592" s="524"/>
      <c r="CX592" s="872">
        <f t="shared" si="1452"/>
        <v>0</v>
      </c>
      <c r="CY592" s="522"/>
      <c r="CZ592" s="524"/>
      <c r="DA592" s="872">
        <f t="shared" si="1453"/>
        <v>0</v>
      </c>
      <c r="DB592" s="522"/>
      <c r="DC592" s="524"/>
      <c r="DD592" s="872">
        <f t="shared" si="1454"/>
        <v>0</v>
      </c>
      <c r="DE592" s="522"/>
      <c r="DF592" s="524"/>
      <c r="DG592" s="872">
        <f t="shared" si="1455"/>
        <v>0</v>
      </c>
      <c r="DH592" s="1259"/>
      <c r="DI592" s="524"/>
      <c r="DJ592" s="872">
        <f t="shared" si="1456"/>
        <v>0</v>
      </c>
      <c r="DK592" s="1259"/>
      <c r="DL592" s="524"/>
      <c r="DM592" s="872">
        <f t="shared" si="1457"/>
        <v>0</v>
      </c>
      <c r="DN592" s="1259"/>
      <c r="DO592" s="524"/>
      <c r="DP592" s="872">
        <f t="shared" si="1458"/>
        <v>0</v>
      </c>
      <c r="DQ592" s="1259"/>
      <c r="DR592" s="524"/>
      <c r="DS592" s="872">
        <f t="shared" si="1459"/>
        <v>0</v>
      </c>
      <c r="DT592" s="1259"/>
      <c r="DU592" s="524"/>
      <c r="DV592" s="872">
        <f t="shared" si="1460"/>
        <v>0</v>
      </c>
      <c r="DW592" s="1259"/>
      <c r="DX592" s="524"/>
      <c r="DY592" s="872">
        <f t="shared" si="1461"/>
        <v>0</v>
      </c>
      <c r="DZ592" s="1259"/>
      <c r="EA592" s="524"/>
      <c r="EB592" s="872">
        <f t="shared" si="1462"/>
        <v>0</v>
      </c>
      <c r="EC592" s="1259"/>
      <c r="ED592" s="524"/>
      <c r="EE592" s="872">
        <f t="shared" si="1463"/>
        <v>0</v>
      </c>
      <c r="EF592" s="1259"/>
      <c r="EG592" s="524"/>
      <c r="EH592" s="872">
        <f t="shared" si="1464"/>
        <v>0</v>
      </c>
      <c r="EI592" s="1259"/>
      <c r="EJ592" s="524"/>
      <c r="EK592" s="872">
        <f t="shared" si="1465"/>
        <v>0</v>
      </c>
      <c r="EL592" s="1259"/>
      <c r="EM592" s="524"/>
      <c r="EN592" s="872">
        <f t="shared" si="1466"/>
        <v>0</v>
      </c>
      <c r="EO592" s="1259"/>
      <c r="EP592" s="524"/>
      <c r="EQ592" s="872">
        <f t="shared" si="1467"/>
        <v>0</v>
      </c>
      <c r="ER592" s="1259"/>
      <c r="ES592" s="524"/>
      <c r="ET592" s="872">
        <f t="shared" si="1468"/>
        <v>0</v>
      </c>
      <c r="EU592" s="1259"/>
      <c r="EV592" s="524"/>
      <c r="EW592" s="872">
        <f t="shared" si="1469"/>
        <v>0</v>
      </c>
      <c r="EX592" s="1259"/>
      <c r="EY592" s="524"/>
      <c r="EZ592" s="872">
        <f t="shared" si="1470"/>
        <v>0</v>
      </c>
      <c r="FA592" s="1259"/>
      <c r="FE592"/>
      <c r="FF592"/>
      <c r="FG592"/>
      <c r="FH592"/>
      <c r="FI592"/>
      <c r="FJ592"/>
      <c r="FK592" s="35"/>
    </row>
    <row r="593" spans="1:167" s="235" customFormat="1" ht="13.35" customHeight="1">
      <c r="A593" s="821"/>
      <c r="B593" s="821" t="s">
        <v>678</v>
      </c>
      <c r="C593" s="862"/>
      <c r="D593" s="821"/>
      <c r="E593" s="863"/>
      <c r="F593" s="863"/>
      <c r="G593" s="863"/>
      <c r="H593" s="863"/>
      <c r="I593" s="863"/>
      <c r="J593" s="863"/>
      <c r="K593" s="863"/>
      <c r="L593" s="863"/>
      <c r="M593" s="863"/>
      <c r="N593" s="863"/>
      <c r="O593" s="863"/>
      <c r="P593" s="863"/>
      <c r="Q593" s="864"/>
      <c r="R593" s="864"/>
      <c r="S593" s="864"/>
      <c r="T593" s="864"/>
      <c r="U593" s="864"/>
      <c r="V593" s="865"/>
      <c r="W593" s="865"/>
      <c r="X593" s="865"/>
      <c r="Y593" s="865"/>
      <c r="Z593" s="865"/>
      <c r="AA593" s="865"/>
      <c r="AB593" s="865"/>
      <c r="AC593" s="865"/>
      <c r="AD593" s="865"/>
      <c r="AE593" s="865"/>
      <c r="AF593" s="865"/>
      <c r="AG593" s="865"/>
      <c r="AH593" s="865"/>
      <c r="AI593" s="865"/>
      <c r="AJ593" s="865"/>
      <c r="AK593" s="865"/>
      <c r="AL593" s="865"/>
      <c r="AM593" s="865"/>
      <c r="AN593" s="878"/>
      <c r="AO593" s="879"/>
      <c r="AP593" s="870">
        <f t="shared" si="1432"/>
        <v>0</v>
      </c>
      <c r="AQ593" s="878"/>
      <c r="AR593" s="879"/>
      <c r="AS593" s="870">
        <f t="shared" si="1433"/>
        <v>0</v>
      </c>
      <c r="AT593" s="878"/>
      <c r="AU593" s="879"/>
      <c r="AV593" s="870">
        <f t="shared" si="1434"/>
        <v>0</v>
      </c>
      <c r="AW593" s="878"/>
      <c r="AX593" s="879"/>
      <c r="AY593" s="870">
        <f t="shared" si="1435"/>
        <v>0</v>
      </c>
      <c r="AZ593" s="878"/>
      <c r="BA593" s="879"/>
      <c r="BB593" s="870">
        <f t="shared" si="1436"/>
        <v>0</v>
      </c>
      <c r="BC593" s="878"/>
      <c r="BD593" s="879"/>
      <c r="BE593" s="870">
        <f t="shared" si="1437"/>
        <v>0</v>
      </c>
      <c r="BF593" s="878"/>
      <c r="BG593" s="879"/>
      <c r="BH593" s="870">
        <f t="shared" si="1438"/>
        <v>0</v>
      </c>
      <c r="BI593" s="878"/>
      <c r="BJ593" s="879"/>
      <c r="BK593" s="870">
        <f t="shared" si="1439"/>
        <v>0</v>
      </c>
      <c r="BL593" s="878"/>
      <c r="BM593" s="879"/>
      <c r="BN593" s="870">
        <f t="shared" si="1440"/>
        <v>0</v>
      </c>
      <c r="BO593" s="880"/>
      <c r="BP593" s="879"/>
      <c r="BQ593" s="870">
        <f t="shared" si="1441"/>
        <v>0</v>
      </c>
      <c r="BR593" s="880"/>
      <c r="BS593" s="879"/>
      <c r="BT593" s="870">
        <f t="shared" si="1442"/>
        <v>0</v>
      </c>
      <c r="BU593" s="880"/>
      <c r="BV593" s="879"/>
      <c r="BW593" s="870">
        <f t="shared" si="1443"/>
        <v>0</v>
      </c>
      <c r="BX593" s="880"/>
      <c r="BY593" s="879"/>
      <c r="BZ593" s="870">
        <f t="shared" si="1444"/>
        <v>0</v>
      </c>
      <c r="CA593" s="880"/>
      <c r="CB593" s="879"/>
      <c r="CC593" s="870">
        <f t="shared" si="1445"/>
        <v>0</v>
      </c>
      <c r="CD593" s="522"/>
      <c r="CE593" s="524"/>
      <c r="CF593" s="872">
        <f t="shared" si="1446"/>
        <v>0</v>
      </c>
      <c r="CG593" s="522"/>
      <c r="CH593" s="524"/>
      <c r="CI593" s="872">
        <f t="shared" si="1447"/>
        <v>0</v>
      </c>
      <c r="CJ593" s="522"/>
      <c r="CK593" s="524"/>
      <c r="CL593" s="872">
        <f t="shared" si="1448"/>
        <v>0</v>
      </c>
      <c r="CM593" s="522"/>
      <c r="CN593" s="524"/>
      <c r="CO593" s="872">
        <f t="shared" si="1449"/>
        <v>0</v>
      </c>
      <c r="CP593" s="522"/>
      <c r="CQ593" s="524"/>
      <c r="CR593" s="872">
        <f t="shared" si="1450"/>
        <v>0</v>
      </c>
      <c r="CS593" s="522"/>
      <c r="CT593" s="524"/>
      <c r="CU593" s="872">
        <f t="shared" si="1451"/>
        <v>0</v>
      </c>
      <c r="CV593" s="522"/>
      <c r="CW593" s="524"/>
      <c r="CX593" s="872">
        <f t="shared" si="1452"/>
        <v>0</v>
      </c>
      <c r="CY593" s="522"/>
      <c r="CZ593" s="524"/>
      <c r="DA593" s="872">
        <f t="shared" si="1453"/>
        <v>0</v>
      </c>
      <c r="DB593" s="522"/>
      <c r="DC593" s="524"/>
      <c r="DD593" s="872">
        <f t="shared" si="1454"/>
        <v>0</v>
      </c>
      <c r="DE593" s="522"/>
      <c r="DF593" s="524"/>
      <c r="DG593" s="872">
        <f t="shared" si="1455"/>
        <v>0</v>
      </c>
      <c r="DH593" s="1259"/>
      <c r="DI593" s="524"/>
      <c r="DJ593" s="872">
        <f t="shared" si="1456"/>
        <v>0</v>
      </c>
      <c r="DK593" s="1259"/>
      <c r="DL593" s="524"/>
      <c r="DM593" s="872">
        <f t="shared" si="1457"/>
        <v>0</v>
      </c>
      <c r="DN593" s="1259"/>
      <c r="DO593" s="524"/>
      <c r="DP593" s="872">
        <f t="shared" si="1458"/>
        <v>0</v>
      </c>
      <c r="DQ593" s="1259"/>
      <c r="DR593" s="524"/>
      <c r="DS593" s="872">
        <f t="shared" si="1459"/>
        <v>0</v>
      </c>
      <c r="DT593" s="1259"/>
      <c r="DU593" s="524"/>
      <c r="DV593" s="872">
        <f t="shared" si="1460"/>
        <v>0</v>
      </c>
      <c r="DW593" s="1259"/>
      <c r="DX593" s="524"/>
      <c r="DY593" s="872">
        <f t="shared" si="1461"/>
        <v>0</v>
      </c>
      <c r="DZ593" s="1259"/>
      <c r="EA593" s="524"/>
      <c r="EB593" s="872">
        <f t="shared" si="1462"/>
        <v>0</v>
      </c>
      <c r="EC593" s="1259"/>
      <c r="ED593" s="524"/>
      <c r="EE593" s="872">
        <f t="shared" si="1463"/>
        <v>0</v>
      </c>
      <c r="EF593" s="1259"/>
      <c r="EG593" s="524"/>
      <c r="EH593" s="872">
        <f t="shared" si="1464"/>
        <v>0</v>
      </c>
      <c r="EI593" s="1259"/>
      <c r="EJ593" s="524"/>
      <c r="EK593" s="872">
        <f t="shared" si="1465"/>
        <v>0</v>
      </c>
      <c r="EL593" s="1259"/>
      <c r="EM593" s="524"/>
      <c r="EN593" s="872">
        <f t="shared" si="1466"/>
        <v>0</v>
      </c>
      <c r="EO593" s="1259"/>
      <c r="EP593" s="524"/>
      <c r="EQ593" s="872">
        <f t="shared" si="1467"/>
        <v>0</v>
      </c>
      <c r="ER593" s="1259"/>
      <c r="ES593" s="524"/>
      <c r="ET593" s="872">
        <f t="shared" si="1468"/>
        <v>0</v>
      </c>
      <c r="EU593" s="1259"/>
      <c r="EV593" s="524"/>
      <c r="EW593" s="872">
        <f t="shared" si="1469"/>
        <v>0</v>
      </c>
      <c r="EX593" s="1259"/>
      <c r="EY593" s="524"/>
      <c r="EZ593" s="872">
        <f t="shared" si="1470"/>
        <v>0</v>
      </c>
      <c r="FA593" s="1259"/>
      <c r="FE593"/>
      <c r="FF593"/>
      <c r="FG593"/>
      <c r="FH593"/>
      <c r="FI593"/>
      <c r="FJ593"/>
      <c r="FK593" s="35"/>
    </row>
    <row r="594" spans="1:167" s="235" customFormat="1" ht="13.35" customHeight="1" thickBot="1">
      <c r="A594" s="821"/>
      <c r="B594" s="821" t="s">
        <v>203</v>
      </c>
      <c r="C594" s="862"/>
      <c r="D594" s="821"/>
      <c r="E594" s="863"/>
      <c r="F594" s="863"/>
      <c r="G594" s="863"/>
      <c r="H594" s="863"/>
      <c r="I594" s="863"/>
      <c r="J594" s="863"/>
      <c r="K594" s="863"/>
      <c r="L594" s="863"/>
      <c r="M594" s="863"/>
      <c r="N594" s="863"/>
      <c r="O594" s="863"/>
      <c r="P594" s="863"/>
      <c r="Q594" s="864"/>
      <c r="R594" s="864"/>
      <c r="S594" s="864"/>
      <c r="T594" s="864"/>
      <c r="U594" s="864"/>
      <c r="V594" s="865"/>
      <c r="W594" s="865"/>
      <c r="X594" s="865"/>
      <c r="Y594" s="865"/>
      <c r="Z594" s="865"/>
      <c r="AA594" s="865"/>
      <c r="AB594" s="865"/>
      <c r="AC594" s="865"/>
      <c r="AD594" s="865"/>
      <c r="AE594" s="865"/>
      <c r="AF594" s="865"/>
      <c r="AG594" s="865"/>
      <c r="AH594" s="865"/>
      <c r="AI594" s="865"/>
      <c r="AJ594" s="865"/>
      <c r="AK594" s="865"/>
      <c r="AL594" s="865"/>
      <c r="AM594" s="865"/>
      <c r="AN594" s="873"/>
      <c r="AO594" s="874"/>
      <c r="AP594" s="870">
        <f t="shared" si="1432"/>
        <v>0</v>
      </c>
      <c r="AQ594" s="873"/>
      <c r="AR594" s="874"/>
      <c r="AS594" s="870">
        <f t="shared" si="1433"/>
        <v>0</v>
      </c>
      <c r="AT594" s="873"/>
      <c r="AU594" s="874"/>
      <c r="AV594" s="870">
        <f t="shared" si="1434"/>
        <v>0</v>
      </c>
      <c r="AW594" s="873"/>
      <c r="AX594" s="874"/>
      <c r="AY594" s="870">
        <f t="shared" si="1435"/>
        <v>0</v>
      </c>
      <c r="AZ594" s="873"/>
      <c r="BA594" s="874"/>
      <c r="BB594" s="870">
        <f t="shared" si="1436"/>
        <v>0</v>
      </c>
      <c r="BC594" s="873"/>
      <c r="BD594" s="874"/>
      <c r="BE594" s="870">
        <f t="shared" si="1437"/>
        <v>0</v>
      </c>
      <c r="BF594" s="873"/>
      <c r="BG594" s="874"/>
      <c r="BH594" s="870">
        <f t="shared" si="1438"/>
        <v>0</v>
      </c>
      <c r="BI594" s="873"/>
      <c r="BJ594" s="874"/>
      <c r="BK594" s="870">
        <f t="shared" si="1439"/>
        <v>0</v>
      </c>
      <c r="BL594" s="873"/>
      <c r="BM594" s="874"/>
      <c r="BN594" s="870">
        <f t="shared" si="1440"/>
        <v>0</v>
      </c>
      <c r="BO594" s="875"/>
      <c r="BP594" s="874"/>
      <c r="BQ594" s="870">
        <f t="shared" si="1441"/>
        <v>0</v>
      </c>
      <c r="BR594" s="875"/>
      <c r="BS594" s="874"/>
      <c r="BT594" s="870">
        <f t="shared" si="1442"/>
        <v>0</v>
      </c>
      <c r="BU594" s="875"/>
      <c r="BV594" s="874"/>
      <c r="BW594" s="870">
        <f t="shared" si="1443"/>
        <v>0</v>
      </c>
      <c r="BX594" s="875"/>
      <c r="BY594" s="874"/>
      <c r="BZ594" s="870">
        <f t="shared" si="1444"/>
        <v>0</v>
      </c>
      <c r="CA594" s="875"/>
      <c r="CB594" s="874"/>
      <c r="CC594" s="870">
        <f t="shared" si="1445"/>
        <v>0</v>
      </c>
      <c r="CD594" s="540"/>
      <c r="CE594" s="542"/>
      <c r="CF594" s="872">
        <f t="shared" si="1446"/>
        <v>0</v>
      </c>
      <c r="CG594" s="540"/>
      <c r="CH594" s="542"/>
      <c r="CI594" s="872">
        <f t="shared" si="1447"/>
        <v>0</v>
      </c>
      <c r="CJ594" s="540"/>
      <c r="CK594" s="542"/>
      <c r="CL594" s="872">
        <f t="shared" si="1448"/>
        <v>0</v>
      </c>
      <c r="CM594" s="540"/>
      <c r="CN594" s="542"/>
      <c r="CO594" s="872">
        <f t="shared" si="1449"/>
        <v>0</v>
      </c>
      <c r="CP594" s="540"/>
      <c r="CQ594" s="542"/>
      <c r="CR594" s="872">
        <f t="shared" si="1450"/>
        <v>0</v>
      </c>
      <c r="CS594" s="540"/>
      <c r="CT594" s="542"/>
      <c r="CU594" s="872">
        <f t="shared" si="1451"/>
        <v>0</v>
      </c>
      <c r="CV594" s="540"/>
      <c r="CW594" s="542"/>
      <c r="CX594" s="872">
        <f t="shared" si="1452"/>
        <v>0</v>
      </c>
      <c r="CY594" s="540"/>
      <c r="CZ594" s="542"/>
      <c r="DA594" s="872">
        <f t="shared" si="1453"/>
        <v>0</v>
      </c>
      <c r="DB594" s="540"/>
      <c r="DC594" s="542"/>
      <c r="DD594" s="872">
        <f t="shared" si="1454"/>
        <v>0</v>
      </c>
      <c r="DE594" s="540"/>
      <c r="DF594" s="542"/>
      <c r="DG594" s="872">
        <f t="shared" si="1455"/>
        <v>0</v>
      </c>
      <c r="DH594" s="1269"/>
      <c r="DI594" s="542"/>
      <c r="DJ594" s="872">
        <f t="shared" si="1456"/>
        <v>0</v>
      </c>
      <c r="DK594" s="1269"/>
      <c r="DL594" s="542"/>
      <c r="DM594" s="872">
        <f t="shared" si="1457"/>
        <v>0</v>
      </c>
      <c r="DN594" s="1269"/>
      <c r="DO594" s="542"/>
      <c r="DP594" s="872">
        <f t="shared" si="1458"/>
        <v>0</v>
      </c>
      <c r="DQ594" s="1269"/>
      <c r="DR594" s="542"/>
      <c r="DS594" s="872">
        <f t="shared" si="1459"/>
        <v>0</v>
      </c>
      <c r="DT594" s="1269"/>
      <c r="DU594" s="542"/>
      <c r="DV594" s="872">
        <f t="shared" si="1460"/>
        <v>0</v>
      </c>
      <c r="DW594" s="1269"/>
      <c r="DX594" s="542"/>
      <c r="DY594" s="872">
        <f t="shared" si="1461"/>
        <v>0</v>
      </c>
      <c r="DZ594" s="1269"/>
      <c r="EA594" s="542"/>
      <c r="EB594" s="872">
        <f t="shared" si="1462"/>
        <v>0</v>
      </c>
      <c r="EC594" s="1269"/>
      <c r="ED594" s="542"/>
      <c r="EE594" s="872">
        <f t="shared" si="1463"/>
        <v>0</v>
      </c>
      <c r="EF594" s="1269"/>
      <c r="EG594" s="542"/>
      <c r="EH594" s="872">
        <f t="shared" si="1464"/>
        <v>0</v>
      </c>
      <c r="EI594" s="1269"/>
      <c r="EJ594" s="542"/>
      <c r="EK594" s="872">
        <f t="shared" si="1465"/>
        <v>0</v>
      </c>
      <c r="EL594" s="1269"/>
      <c r="EM594" s="542"/>
      <c r="EN594" s="872">
        <f t="shared" si="1466"/>
        <v>0</v>
      </c>
      <c r="EO594" s="1269"/>
      <c r="EP594" s="542"/>
      <c r="EQ594" s="872">
        <f t="shared" si="1467"/>
        <v>0</v>
      </c>
      <c r="ER594" s="1269"/>
      <c r="ES594" s="542"/>
      <c r="ET594" s="872">
        <f t="shared" si="1468"/>
        <v>0</v>
      </c>
      <c r="EU594" s="1269"/>
      <c r="EV594" s="542"/>
      <c r="EW594" s="872">
        <f t="shared" si="1469"/>
        <v>0</v>
      </c>
      <c r="EX594" s="1269"/>
      <c r="EY594" s="542"/>
      <c r="EZ594" s="872">
        <f t="shared" si="1470"/>
        <v>0</v>
      </c>
      <c r="FA594" s="1269"/>
      <c r="FE594"/>
      <c r="FF594"/>
      <c r="FG594"/>
      <c r="FH594"/>
      <c r="FI594"/>
      <c r="FJ594"/>
      <c r="FK594" s="35"/>
    </row>
    <row r="595" spans="1:167" s="235" customFormat="1" ht="13.35" customHeight="1" thickBot="1">
      <c r="A595" s="821"/>
      <c r="B595" s="845" t="s">
        <v>679</v>
      </c>
      <c r="C595" s="862"/>
      <c r="D595" s="821"/>
      <c r="E595" s="863"/>
      <c r="F595" s="863"/>
      <c r="G595" s="863"/>
      <c r="H595" s="863"/>
      <c r="I595" s="863"/>
      <c r="J595" s="863"/>
      <c r="K595" s="863"/>
      <c r="L595" s="863"/>
      <c r="M595" s="863"/>
      <c r="N595" s="863"/>
      <c r="O595" s="863"/>
      <c r="P595" s="863"/>
      <c r="Q595" s="864"/>
      <c r="R595" s="864"/>
      <c r="S595" s="864"/>
      <c r="T595" s="864"/>
      <c r="U595" s="864"/>
      <c r="V595" s="865"/>
      <c r="W595" s="865"/>
      <c r="X595" s="865"/>
      <c r="Y595" s="865"/>
      <c r="Z595" s="865"/>
      <c r="AA595" s="865"/>
      <c r="AB595" s="865"/>
      <c r="AC595" s="865"/>
      <c r="AD595" s="865"/>
      <c r="AE595" s="865"/>
      <c r="AF595" s="865"/>
      <c r="AG595" s="865"/>
      <c r="AH595" s="865"/>
      <c r="AI595" s="865"/>
      <c r="AJ595" s="865"/>
      <c r="AK595" s="865"/>
      <c r="AL595" s="865"/>
      <c r="AM595" s="865"/>
      <c r="AN595" s="856"/>
      <c r="AO595" s="856"/>
      <c r="AP595" s="856"/>
      <c r="AQ595" s="856"/>
      <c r="AR595" s="856"/>
      <c r="AS595" s="856"/>
      <c r="AT595" s="856"/>
      <c r="AU595" s="856"/>
      <c r="AV595" s="856"/>
      <c r="AW595" s="856"/>
      <c r="AX595" s="856"/>
      <c r="AY595" s="856"/>
      <c r="AZ595" s="856"/>
      <c r="BA595" s="856"/>
      <c r="BB595" s="856"/>
      <c r="BC595" s="856"/>
      <c r="BD595" s="856"/>
      <c r="BE595" s="856"/>
      <c r="BF595" s="856"/>
      <c r="BG595" s="856"/>
      <c r="BH595" s="856"/>
      <c r="BI595" s="856"/>
      <c r="BJ595" s="856"/>
      <c r="BK595" s="856"/>
      <c r="BL595" s="856"/>
      <c r="BM595" s="856"/>
      <c r="BN595" s="856"/>
      <c r="BO595" s="856"/>
      <c r="BP595" s="856"/>
      <c r="BQ595" s="856"/>
      <c r="BR595" s="856"/>
      <c r="BS595" s="856"/>
      <c r="BT595" s="856"/>
      <c r="BU595" s="856"/>
      <c r="BV595" s="856"/>
      <c r="BW595" s="856"/>
      <c r="BX595" s="856"/>
      <c r="BY595" s="856"/>
      <c r="BZ595" s="856"/>
      <c r="CA595" s="856"/>
      <c r="CB595" s="856"/>
      <c r="CC595" s="856"/>
      <c r="CD595" s="534"/>
      <c r="CE595" s="534"/>
      <c r="CF595" s="534"/>
      <c r="CG595" s="534"/>
      <c r="CH595" s="534"/>
      <c r="CI595" s="534"/>
      <c r="CJ595" s="534"/>
      <c r="CK595" s="534"/>
      <c r="CL595" s="534"/>
      <c r="CM595" s="534"/>
      <c r="CN595" s="534"/>
      <c r="CO595" s="534"/>
      <c r="CP595" s="534"/>
      <c r="CQ595" s="534"/>
      <c r="CR595" s="534"/>
      <c r="CS595" s="534"/>
      <c r="CT595" s="534"/>
      <c r="CU595" s="534"/>
      <c r="CV595" s="534"/>
      <c r="CW595" s="534"/>
      <c r="CX595" s="534"/>
      <c r="CY595" s="534"/>
      <c r="CZ595" s="534"/>
      <c r="DA595" s="534"/>
      <c r="DB595" s="534"/>
      <c r="DC595" s="534"/>
      <c r="DD595" s="534"/>
      <c r="DE595" s="534"/>
      <c r="DF595" s="534"/>
      <c r="DG595" s="534"/>
      <c r="DH595" s="1262"/>
      <c r="DI595" s="534"/>
      <c r="DJ595" s="534"/>
      <c r="DK595" s="1262"/>
      <c r="DL595" s="534"/>
      <c r="DM595" s="534"/>
      <c r="DN595" s="1262"/>
      <c r="DO595" s="534"/>
      <c r="DP595" s="534"/>
      <c r="DQ595" s="1262"/>
      <c r="DR595" s="534"/>
      <c r="DS595" s="534"/>
      <c r="DT595" s="1262"/>
      <c r="DU595" s="534"/>
      <c r="DV595" s="534"/>
      <c r="DW595" s="1262"/>
      <c r="DX595" s="534"/>
      <c r="DY595" s="534"/>
      <c r="DZ595" s="1262"/>
      <c r="EA595" s="534"/>
      <c r="EB595" s="534"/>
      <c r="EC595" s="1262"/>
      <c r="ED595" s="534"/>
      <c r="EE595" s="534"/>
      <c r="EF595" s="1262"/>
      <c r="EG595" s="534"/>
      <c r="EH595" s="534"/>
      <c r="EI595" s="1262"/>
      <c r="EJ595" s="534"/>
      <c r="EK595" s="534"/>
      <c r="EL595" s="1262"/>
      <c r="EM595" s="534"/>
      <c r="EN595" s="534"/>
      <c r="EO595" s="1262"/>
      <c r="EP595" s="534"/>
      <c r="EQ595" s="534"/>
      <c r="ER595" s="1262"/>
      <c r="ES595" s="534"/>
      <c r="ET595" s="534"/>
      <c r="EU595" s="1262"/>
      <c r="EV595" s="534"/>
      <c r="EW595" s="534"/>
      <c r="EX595" s="1262"/>
      <c r="EY595" s="534"/>
      <c r="EZ595" s="534"/>
      <c r="FA595" s="1262"/>
      <c r="FE595"/>
      <c r="FF595"/>
      <c r="FG595"/>
      <c r="FH595"/>
      <c r="FI595"/>
      <c r="FJ595"/>
      <c r="FK595" s="35"/>
    </row>
    <row r="596" spans="1:167" s="235" customFormat="1" ht="13.35" customHeight="1">
      <c r="A596" s="821"/>
      <c r="B596" s="821" t="s">
        <v>407</v>
      </c>
      <c r="C596" s="862"/>
      <c r="D596" s="821"/>
      <c r="E596" s="863"/>
      <c r="F596" s="863"/>
      <c r="G596" s="863"/>
      <c r="H596" s="863"/>
      <c r="I596" s="863"/>
      <c r="J596" s="863"/>
      <c r="K596" s="863"/>
      <c r="L596" s="863"/>
      <c r="M596" s="863"/>
      <c r="N596" s="863"/>
      <c r="O596" s="863"/>
      <c r="P596" s="863"/>
      <c r="Q596" s="864"/>
      <c r="R596" s="864"/>
      <c r="S596" s="864"/>
      <c r="T596" s="864"/>
      <c r="U596" s="864"/>
      <c r="V596" s="865"/>
      <c r="W596" s="865"/>
      <c r="X596" s="865"/>
      <c r="Y596" s="865"/>
      <c r="Z596" s="865"/>
      <c r="AA596" s="865"/>
      <c r="AB596" s="865"/>
      <c r="AC596" s="865"/>
      <c r="AD596" s="865"/>
      <c r="AE596" s="865"/>
      <c r="AF596" s="865"/>
      <c r="AG596" s="865"/>
      <c r="AH596" s="865"/>
      <c r="AI596" s="865"/>
      <c r="AJ596" s="865"/>
      <c r="AK596" s="865"/>
      <c r="AL596" s="865"/>
      <c r="AM596" s="865"/>
      <c r="AN596" s="868"/>
      <c r="AO596" s="869"/>
      <c r="AP596" s="870">
        <f>+AQ596</f>
        <v>0</v>
      </c>
      <c r="AQ596" s="868"/>
      <c r="AR596" s="869"/>
      <c r="AS596" s="870">
        <f>+AT596</f>
        <v>0</v>
      </c>
      <c r="AT596" s="868"/>
      <c r="AU596" s="869"/>
      <c r="AV596" s="870">
        <f>+AW596</f>
        <v>0</v>
      </c>
      <c r="AW596" s="868"/>
      <c r="AX596" s="869"/>
      <c r="AY596" s="870">
        <f>+AZ596</f>
        <v>0</v>
      </c>
      <c r="AZ596" s="868"/>
      <c r="BA596" s="869"/>
      <c r="BB596" s="870">
        <f>+BC596</f>
        <v>0</v>
      </c>
      <c r="BC596" s="868"/>
      <c r="BD596" s="869"/>
      <c r="BE596" s="870">
        <f>+BF596</f>
        <v>0</v>
      </c>
      <c r="BF596" s="868"/>
      <c r="BG596" s="869"/>
      <c r="BH596" s="870">
        <f>+BI596</f>
        <v>0</v>
      </c>
      <c r="BI596" s="868"/>
      <c r="BJ596" s="869"/>
      <c r="BK596" s="870">
        <f>+BL596</f>
        <v>0</v>
      </c>
      <c r="BL596" s="868"/>
      <c r="BM596" s="869"/>
      <c r="BN596" s="870">
        <f>+BO596</f>
        <v>0</v>
      </c>
      <c r="BO596" s="871"/>
      <c r="BP596" s="869"/>
      <c r="BQ596" s="870">
        <f>+BR596</f>
        <v>0</v>
      </c>
      <c r="BR596" s="871"/>
      <c r="BS596" s="869"/>
      <c r="BT596" s="870">
        <f>+BU596</f>
        <v>0</v>
      </c>
      <c r="BU596" s="871"/>
      <c r="BV596" s="869"/>
      <c r="BW596" s="870">
        <f>+BX596</f>
        <v>0</v>
      </c>
      <c r="BX596" s="871"/>
      <c r="BY596" s="869"/>
      <c r="BZ596" s="870">
        <f>+CA596</f>
        <v>0</v>
      </c>
      <c r="CA596" s="871"/>
      <c r="CB596" s="869"/>
      <c r="CC596" s="870">
        <f>+CD596</f>
        <v>0</v>
      </c>
      <c r="CD596" s="535"/>
      <c r="CE596" s="537"/>
      <c r="CF596" s="872">
        <f>+CG596</f>
        <v>0</v>
      </c>
      <c r="CG596" s="535"/>
      <c r="CH596" s="537"/>
      <c r="CI596" s="872">
        <f>+CJ596</f>
        <v>0</v>
      </c>
      <c r="CJ596" s="535"/>
      <c r="CK596" s="537"/>
      <c r="CL596" s="872">
        <f>+CM596</f>
        <v>0</v>
      </c>
      <c r="CM596" s="535"/>
      <c r="CN596" s="537"/>
      <c r="CO596" s="872">
        <f>+CP596</f>
        <v>0</v>
      </c>
      <c r="CP596" s="535"/>
      <c r="CQ596" s="537"/>
      <c r="CR596" s="872">
        <f>+CS596</f>
        <v>0</v>
      </c>
      <c r="CS596" s="535"/>
      <c r="CT596" s="537"/>
      <c r="CU596" s="872">
        <f>+CV596</f>
        <v>0</v>
      </c>
      <c r="CV596" s="535"/>
      <c r="CW596" s="537"/>
      <c r="CX596" s="872">
        <f>+CY596</f>
        <v>0</v>
      </c>
      <c r="CY596" s="535"/>
      <c r="CZ596" s="537"/>
      <c r="DA596" s="872">
        <f>+DB596</f>
        <v>0</v>
      </c>
      <c r="DB596" s="535"/>
      <c r="DC596" s="537"/>
      <c r="DD596" s="872">
        <f>+DE596</f>
        <v>0</v>
      </c>
      <c r="DE596" s="535"/>
      <c r="DF596" s="537"/>
      <c r="DG596" s="872">
        <f>+DH596</f>
        <v>0</v>
      </c>
      <c r="DH596" s="1268"/>
      <c r="DI596" s="537"/>
      <c r="DJ596" s="872">
        <f>+DK596</f>
        <v>0</v>
      </c>
      <c r="DK596" s="1268"/>
      <c r="DL596" s="537"/>
      <c r="DM596" s="872">
        <f>+DN596</f>
        <v>0</v>
      </c>
      <c r="DN596" s="1268"/>
      <c r="DO596" s="537"/>
      <c r="DP596" s="872">
        <f>+DQ596</f>
        <v>0</v>
      </c>
      <c r="DQ596" s="1268"/>
      <c r="DR596" s="537"/>
      <c r="DS596" s="872">
        <f>+DT596</f>
        <v>0</v>
      </c>
      <c r="DT596" s="1268"/>
      <c r="DU596" s="537"/>
      <c r="DV596" s="872">
        <f>+DW596</f>
        <v>0</v>
      </c>
      <c r="DW596" s="1268"/>
      <c r="DX596" s="537"/>
      <c r="DY596" s="872">
        <f>+DZ596</f>
        <v>0</v>
      </c>
      <c r="DZ596" s="1268"/>
      <c r="EA596" s="537"/>
      <c r="EB596" s="872">
        <f>+EC596</f>
        <v>0</v>
      </c>
      <c r="EC596" s="1268"/>
      <c r="ED596" s="537"/>
      <c r="EE596" s="872">
        <f>+EF596</f>
        <v>0</v>
      </c>
      <c r="EF596" s="1268"/>
      <c r="EG596" s="537"/>
      <c r="EH596" s="872">
        <f>+EI596</f>
        <v>0</v>
      </c>
      <c r="EI596" s="1268"/>
      <c r="EJ596" s="537"/>
      <c r="EK596" s="872">
        <f>+EL596</f>
        <v>0</v>
      </c>
      <c r="EL596" s="1268"/>
      <c r="EM596" s="537"/>
      <c r="EN596" s="872">
        <f>+EO596</f>
        <v>0</v>
      </c>
      <c r="EO596" s="1268"/>
      <c r="EP596" s="537"/>
      <c r="EQ596" s="872">
        <f>+ER596</f>
        <v>0</v>
      </c>
      <c r="ER596" s="1268"/>
      <c r="ES596" s="537"/>
      <c r="ET596" s="872">
        <f>+EU596</f>
        <v>0</v>
      </c>
      <c r="EU596" s="1268"/>
      <c r="EV596" s="537"/>
      <c r="EW596" s="872">
        <f>+EX596</f>
        <v>0</v>
      </c>
      <c r="EX596" s="1268"/>
      <c r="EY596" s="537"/>
      <c r="EZ596" s="872">
        <f>+FA596</f>
        <v>0</v>
      </c>
      <c r="FA596" s="1268"/>
      <c r="FE596"/>
      <c r="FF596"/>
      <c r="FG596"/>
      <c r="FH596"/>
      <c r="FI596"/>
      <c r="FJ596"/>
      <c r="FK596" s="35"/>
    </row>
    <row r="597" spans="1:167" s="235" customFormat="1" ht="13.35" customHeight="1">
      <c r="A597" s="821"/>
      <c r="B597" s="821" t="s">
        <v>778</v>
      </c>
      <c r="C597" s="862"/>
      <c r="D597" s="821"/>
      <c r="E597" s="863"/>
      <c r="F597" s="863"/>
      <c r="G597" s="863"/>
      <c r="H597" s="863"/>
      <c r="I597" s="863"/>
      <c r="J597" s="863"/>
      <c r="K597" s="863"/>
      <c r="L597" s="863"/>
      <c r="M597" s="863"/>
      <c r="N597" s="863"/>
      <c r="O597" s="863"/>
      <c r="P597" s="863"/>
      <c r="Q597" s="864"/>
      <c r="R597" s="864"/>
      <c r="S597" s="864"/>
      <c r="T597" s="864"/>
      <c r="U597" s="864"/>
      <c r="V597" s="865"/>
      <c r="W597" s="865"/>
      <c r="X597" s="865"/>
      <c r="Y597" s="865"/>
      <c r="Z597" s="865"/>
      <c r="AA597" s="865"/>
      <c r="AB597" s="865"/>
      <c r="AC597" s="865"/>
      <c r="AD597" s="865"/>
      <c r="AE597" s="865"/>
      <c r="AF597" s="865"/>
      <c r="AG597" s="865"/>
      <c r="AH597" s="865"/>
      <c r="AI597" s="865"/>
      <c r="AJ597" s="865"/>
      <c r="AK597" s="865"/>
      <c r="AL597" s="865"/>
      <c r="AM597" s="865"/>
      <c r="AN597" s="878"/>
      <c r="AO597" s="879"/>
      <c r="AP597" s="870">
        <f>+AQ597</f>
        <v>0</v>
      </c>
      <c r="AQ597" s="878"/>
      <c r="AR597" s="879"/>
      <c r="AS597" s="870">
        <f>+AT597</f>
        <v>0</v>
      </c>
      <c r="AT597" s="878"/>
      <c r="AU597" s="879"/>
      <c r="AV597" s="870">
        <f>+AW597</f>
        <v>0</v>
      </c>
      <c r="AW597" s="878"/>
      <c r="AX597" s="879"/>
      <c r="AY597" s="870">
        <f>+AZ597</f>
        <v>0</v>
      </c>
      <c r="AZ597" s="878"/>
      <c r="BA597" s="879"/>
      <c r="BB597" s="870">
        <f>+BC597</f>
        <v>0</v>
      </c>
      <c r="BC597" s="878"/>
      <c r="BD597" s="879"/>
      <c r="BE597" s="870">
        <f>+BF597</f>
        <v>0</v>
      </c>
      <c r="BF597" s="878"/>
      <c r="BG597" s="879"/>
      <c r="BH597" s="870">
        <f>+BI597</f>
        <v>0</v>
      </c>
      <c r="BI597" s="878"/>
      <c r="BJ597" s="879"/>
      <c r="BK597" s="870">
        <f>+BL597</f>
        <v>0</v>
      </c>
      <c r="BL597" s="878"/>
      <c r="BM597" s="879"/>
      <c r="BN597" s="870">
        <f>+BO597</f>
        <v>0</v>
      </c>
      <c r="BO597" s="880"/>
      <c r="BP597" s="879"/>
      <c r="BQ597" s="870">
        <f>+BR597</f>
        <v>0</v>
      </c>
      <c r="BR597" s="880"/>
      <c r="BS597" s="879"/>
      <c r="BT597" s="870">
        <f>+BU597</f>
        <v>0</v>
      </c>
      <c r="BU597" s="880"/>
      <c r="BV597" s="879"/>
      <c r="BW597" s="870">
        <f>+BX597</f>
        <v>0</v>
      </c>
      <c r="BX597" s="880"/>
      <c r="BY597" s="879"/>
      <c r="BZ597" s="870">
        <f>+CA597</f>
        <v>0</v>
      </c>
      <c r="CA597" s="880"/>
      <c r="CB597" s="879"/>
      <c r="CC597" s="870">
        <f>+CD597</f>
        <v>0</v>
      </c>
      <c r="CD597" s="522"/>
      <c r="CE597" s="524"/>
      <c r="CF597" s="872">
        <f>+CG597</f>
        <v>0</v>
      </c>
      <c r="CG597" s="522"/>
      <c r="CH597" s="524"/>
      <c r="CI597" s="872">
        <f>+CJ597</f>
        <v>0</v>
      </c>
      <c r="CJ597" s="522"/>
      <c r="CK597" s="524"/>
      <c r="CL597" s="872">
        <f>+CM597</f>
        <v>0</v>
      </c>
      <c r="CM597" s="522"/>
      <c r="CN597" s="524"/>
      <c r="CO597" s="872">
        <f>+CP597</f>
        <v>0</v>
      </c>
      <c r="CP597" s="522"/>
      <c r="CQ597" s="524"/>
      <c r="CR597" s="872">
        <f>+CS597</f>
        <v>0</v>
      </c>
      <c r="CS597" s="522"/>
      <c r="CT597" s="524"/>
      <c r="CU597" s="872">
        <f>+CV597</f>
        <v>0</v>
      </c>
      <c r="CV597" s="522"/>
      <c r="CW597" s="524"/>
      <c r="CX597" s="872">
        <f>+CY597</f>
        <v>0</v>
      </c>
      <c r="CY597" s="522"/>
      <c r="CZ597" s="524"/>
      <c r="DA597" s="872">
        <f>+DB597</f>
        <v>0</v>
      </c>
      <c r="DB597" s="522"/>
      <c r="DC597" s="524"/>
      <c r="DD597" s="872">
        <f>+DE597</f>
        <v>0</v>
      </c>
      <c r="DE597" s="522"/>
      <c r="DF597" s="524"/>
      <c r="DG597" s="872">
        <f>+DH597</f>
        <v>0</v>
      </c>
      <c r="DH597" s="1259"/>
      <c r="DI597" s="524"/>
      <c r="DJ597" s="872">
        <f>+DK597</f>
        <v>0</v>
      </c>
      <c r="DK597" s="1259"/>
      <c r="DL597" s="524"/>
      <c r="DM597" s="872">
        <f>+DN597</f>
        <v>0</v>
      </c>
      <c r="DN597" s="1259"/>
      <c r="DO597" s="524"/>
      <c r="DP597" s="872">
        <f>+DQ597</f>
        <v>0</v>
      </c>
      <c r="DQ597" s="1259"/>
      <c r="DR597" s="524"/>
      <c r="DS597" s="872">
        <f>+DT597</f>
        <v>0</v>
      </c>
      <c r="DT597" s="1259"/>
      <c r="DU597" s="524"/>
      <c r="DV597" s="872">
        <f>+DW597</f>
        <v>0</v>
      </c>
      <c r="DW597" s="1259"/>
      <c r="DX597" s="524"/>
      <c r="DY597" s="872">
        <f>+DZ597</f>
        <v>0</v>
      </c>
      <c r="DZ597" s="1259"/>
      <c r="EA597" s="524"/>
      <c r="EB597" s="872">
        <f>+EC597</f>
        <v>0</v>
      </c>
      <c r="EC597" s="1259"/>
      <c r="ED597" s="524"/>
      <c r="EE597" s="872">
        <f>+EF597</f>
        <v>0</v>
      </c>
      <c r="EF597" s="1259"/>
      <c r="EG597" s="524"/>
      <c r="EH597" s="872">
        <f>+EI597</f>
        <v>0</v>
      </c>
      <c r="EI597" s="1259"/>
      <c r="EJ597" s="524"/>
      <c r="EK597" s="872">
        <f>+EL597</f>
        <v>0</v>
      </c>
      <c r="EL597" s="1259"/>
      <c r="EM597" s="524"/>
      <c r="EN597" s="872">
        <f>+EO597</f>
        <v>0</v>
      </c>
      <c r="EO597" s="1259"/>
      <c r="EP597" s="524"/>
      <c r="EQ597" s="872">
        <f>+ER597</f>
        <v>0</v>
      </c>
      <c r="ER597" s="1259"/>
      <c r="ES597" s="524"/>
      <c r="ET597" s="872">
        <f>+EU597</f>
        <v>0</v>
      </c>
      <c r="EU597" s="1259"/>
      <c r="EV597" s="524"/>
      <c r="EW597" s="872">
        <f>+EX597</f>
        <v>0</v>
      </c>
      <c r="EX597" s="1259"/>
      <c r="EY597" s="524"/>
      <c r="EZ597" s="872">
        <f>+FA597</f>
        <v>0</v>
      </c>
      <c r="FA597" s="1259"/>
      <c r="FE597"/>
      <c r="FF597"/>
      <c r="FG597"/>
      <c r="FH597"/>
      <c r="FI597"/>
      <c r="FJ597"/>
      <c r="FK597" s="35"/>
    </row>
    <row r="598" spans="1:167" s="235" customFormat="1" ht="13.35" customHeight="1">
      <c r="A598" s="821"/>
      <c r="B598" s="821" t="s">
        <v>408</v>
      </c>
      <c r="C598" s="862"/>
      <c r="D598" s="821"/>
      <c r="E598" s="863"/>
      <c r="F598" s="863"/>
      <c r="G598" s="863"/>
      <c r="H598" s="863"/>
      <c r="I598" s="863"/>
      <c r="J598" s="863"/>
      <c r="K598" s="863"/>
      <c r="L598" s="863"/>
      <c r="M598" s="863"/>
      <c r="N598" s="863"/>
      <c r="O598" s="863"/>
      <c r="P598" s="863"/>
      <c r="Q598" s="864"/>
      <c r="R598" s="864"/>
      <c r="S598" s="864"/>
      <c r="T598" s="864"/>
      <c r="U598" s="864"/>
      <c r="V598" s="865"/>
      <c r="W598" s="865"/>
      <c r="X598" s="865"/>
      <c r="Y598" s="865"/>
      <c r="Z598" s="865"/>
      <c r="AA598" s="865"/>
      <c r="AB598" s="865"/>
      <c r="AC598" s="865"/>
      <c r="AD598" s="865"/>
      <c r="AE598" s="865"/>
      <c r="AF598" s="865"/>
      <c r="AG598" s="865"/>
      <c r="AH598" s="865"/>
      <c r="AI598" s="865"/>
      <c r="AJ598" s="865"/>
      <c r="AK598" s="865"/>
      <c r="AL598" s="865"/>
      <c r="AM598" s="865"/>
      <c r="AN598" s="878"/>
      <c r="AO598" s="879"/>
      <c r="AP598" s="870">
        <f>+AQ598</f>
        <v>0</v>
      </c>
      <c r="AQ598" s="878"/>
      <c r="AR598" s="879"/>
      <c r="AS598" s="870">
        <f>+AT598</f>
        <v>0</v>
      </c>
      <c r="AT598" s="878"/>
      <c r="AU598" s="879"/>
      <c r="AV598" s="870">
        <f>+AW598</f>
        <v>0</v>
      </c>
      <c r="AW598" s="878"/>
      <c r="AX598" s="879"/>
      <c r="AY598" s="870">
        <f>+AZ598</f>
        <v>0</v>
      </c>
      <c r="AZ598" s="878"/>
      <c r="BA598" s="879"/>
      <c r="BB598" s="870">
        <f>+BC598</f>
        <v>0</v>
      </c>
      <c r="BC598" s="878"/>
      <c r="BD598" s="879"/>
      <c r="BE598" s="870">
        <f>+BF598</f>
        <v>0</v>
      </c>
      <c r="BF598" s="878"/>
      <c r="BG598" s="879"/>
      <c r="BH598" s="870">
        <f>+BI598</f>
        <v>0</v>
      </c>
      <c r="BI598" s="878"/>
      <c r="BJ598" s="879"/>
      <c r="BK598" s="870">
        <f>+BL598</f>
        <v>0</v>
      </c>
      <c r="BL598" s="878"/>
      <c r="BM598" s="879"/>
      <c r="BN598" s="870">
        <f>+BO598</f>
        <v>0</v>
      </c>
      <c r="BO598" s="880"/>
      <c r="BP598" s="879"/>
      <c r="BQ598" s="870">
        <f>+BR598</f>
        <v>0</v>
      </c>
      <c r="BR598" s="880"/>
      <c r="BS598" s="879"/>
      <c r="BT598" s="870">
        <f>+BU598</f>
        <v>0</v>
      </c>
      <c r="BU598" s="880"/>
      <c r="BV598" s="879"/>
      <c r="BW598" s="870">
        <f>+BX598</f>
        <v>0</v>
      </c>
      <c r="BX598" s="880"/>
      <c r="BY598" s="879"/>
      <c r="BZ598" s="870">
        <f>+CA598</f>
        <v>0</v>
      </c>
      <c r="CA598" s="880"/>
      <c r="CB598" s="879"/>
      <c r="CC598" s="870">
        <f>+CD598</f>
        <v>0</v>
      </c>
      <c r="CD598" s="522"/>
      <c r="CE598" s="524"/>
      <c r="CF598" s="872">
        <f>+CG598</f>
        <v>0</v>
      </c>
      <c r="CG598" s="522"/>
      <c r="CH598" s="524"/>
      <c r="CI598" s="872">
        <f>+CJ598</f>
        <v>0</v>
      </c>
      <c r="CJ598" s="522"/>
      <c r="CK598" s="524"/>
      <c r="CL598" s="872">
        <f>+CM598</f>
        <v>0</v>
      </c>
      <c r="CM598" s="522"/>
      <c r="CN598" s="524"/>
      <c r="CO598" s="872">
        <f>+CP598</f>
        <v>0</v>
      </c>
      <c r="CP598" s="522"/>
      <c r="CQ598" s="524"/>
      <c r="CR598" s="872">
        <f>+CS598</f>
        <v>0</v>
      </c>
      <c r="CS598" s="522"/>
      <c r="CT598" s="524"/>
      <c r="CU598" s="872">
        <f>+CV598</f>
        <v>0</v>
      </c>
      <c r="CV598" s="522"/>
      <c r="CW598" s="524"/>
      <c r="CX598" s="872">
        <f>+CY598</f>
        <v>0</v>
      </c>
      <c r="CY598" s="522"/>
      <c r="CZ598" s="524"/>
      <c r="DA598" s="872">
        <f>+DB598</f>
        <v>0</v>
      </c>
      <c r="DB598" s="522"/>
      <c r="DC598" s="524"/>
      <c r="DD598" s="872">
        <f>+DE598</f>
        <v>0</v>
      </c>
      <c r="DE598" s="522"/>
      <c r="DF598" s="524"/>
      <c r="DG598" s="872">
        <f>+DH598</f>
        <v>0</v>
      </c>
      <c r="DH598" s="1259"/>
      <c r="DI598" s="524"/>
      <c r="DJ598" s="872">
        <f>+DK598</f>
        <v>0</v>
      </c>
      <c r="DK598" s="1259"/>
      <c r="DL598" s="524"/>
      <c r="DM598" s="872">
        <f>+DN598</f>
        <v>0</v>
      </c>
      <c r="DN598" s="1259"/>
      <c r="DO598" s="524"/>
      <c r="DP598" s="872">
        <f>+DQ598</f>
        <v>0</v>
      </c>
      <c r="DQ598" s="1259"/>
      <c r="DR598" s="524"/>
      <c r="DS598" s="872">
        <f>+DT598</f>
        <v>0</v>
      </c>
      <c r="DT598" s="1259"/>
      <c r="DU598" s="524"/>
      <c r="DV598" s="872">
        <f>+DW598</f>
        <v>0</v>
      </c>
      <c r="DW598" s="1259"/>
      <c r="DX598" s="524"/>
      <c r="DY598" s="872">
        <f>+DZ598</f>
        <v>0</v>
      </c>
      <c r="DZ598" s="1259"/>
      <c r="EA598" s="524"/>
      <c r="EB598" s="872">
        <f>+EC598</f>
        <v>0</v>
      </c>
      <c r="EC598" s="1259"/>
      <c r="ED598" s="524"/>
      <c r="EE598" s="872">
        <f>+EF598</f>
        <v>0</v>
      </c>
      <c r="EF598" s="1259"/>
      <c r="EG598" s="524"/>
      <c r="EH598" s="872">
        <f>+EI598</f>
        <v>0</v>
      </c>
      <c r="EI598" s="1259"/>
      <c r="EJ598" s="524"/>
      <c r="EK598" s="872">
        <f>+EL598</f>
        <v>0</v>
      </c>
      <c r="EL598" s="1259"/>
      <c r="EM598" s="524"/>
      <c r="EN598" s="872">
        <f>+EO598</f>
        <v>0</v>
      </c>
      <c r="EO598" s="1259"/>
      <c r="EP598" s="524"/>
      <c r="EQ598" s="872">
        <f>+ER598</f>
        <v>0</v>
      </c>
      <c r="ER598" s="1259"/>
      <c r="ES598" s="524"/>
      <c r="ET598" s="872">
        <f>+EU598</f>
        <v>0</v>
      </c>
      <c r="EU598" s="1259"/>
      <c r="EV598" s="524"/>
      <c r="EW598" s="872">
        <f>+EX598</f>
        <v>0</v>
      </c>
      <c r="EX598" s="1259"/>
      <c r="EY598" s="524"/>
      <c r="EZ598" s="872">
        <f>+FA598</f>
        <v>0</v>
      </c>
      <c r="FA598" s="1259"/>
      <c r="FE598"/>
      <c r="FF598"/>
      <c r="FG598"/>
      <c r="FH598"/>
      <c r="FI598"/>
      <c r="FJ598"/>
      <c r="FK598" s="35"/>
    </row>
    <row r="599" spans="1:167" s="235" customFormat="1" ht="13.35" customHeight="1" thickBot="1">
      <c r="A599" s="821"/>
      <c r="B599" s="821" t="s">
        <v>87</v>
      </c>
      <c r="C599" s="862"/>
      <c r="D599" s="821"/>
      <c r="E599" s="863"/>
      <c r="F599" s="863"/>
      <c r="G599" s="863"/>
      <c r="H599" s="863"/>
      <c r="I599" s="863"/>
      <c r="J599" s="863"/>
      <c r="K599" s="863"/>
      <c r="L599" s="863"/>
      <c r="M599" s="863"/>
      <c r="N599" s="863"/>
      <c r="O599" s="863"/>
      <c r="P599" s="863"/>
      <c r="Q599" s="864"/>
      <c r="R599" s="864"/>
      <c r="S599" s="864"/>
      <c r="T599" s="864"/>
      <c r="U599" s="864"/>
      <c r="V599" s="865"/>
      <c r="W599" s="865"/>
      <c r="X599" s="865"/>
      <c r="Y599" s="865"/>
      <c r="Z599" s="865"/>
      <c r="AA599" s="865"/>
      <c r="AB599" s="865"/>
      <c r="AC599" s="865"/>
      <c r="AD599" s="865"/>
      <c r="AE599" s="865"/>
      <c r="AF599" s="865"/>
      <c r="AG599" s="865"/>
      <c r="AH599" s="865"/>
      <c r="AI599" s="865"/>
      <c r="AJ599" s="865"/>
      <c r="AK599" s="865"/>
      <c r="AL599" s="865"/>
      <c r="AM599" s="865"/>
      <c r="AN599" s="873"/>
      <c r="AO599" s="874"/>
      <c r="AP599" s="870">
        <f>+AQ599</f>
        <v>0</v>
      </c>
      <c r="AQ599" s="873"/>
      <c r="AR599" s="874"/>
      <c r="AS599" s="870">
        <f>+AT599</f>
        <v>0</v>
      </c>
      <c r="AT599" s="873"/>
      <c r="AU599" s="874"/>
      <c r="AV599" s="870">
        <f>+AW599</f>
        <v>0</v>
      </c>
      <c r="AW599" s="873"/>
      <c r="AX599" s="874"/>
      <c r="AY599" s="870">
        <f>+AZ599</f>
        <v>0</v>
      </c>
      <c r="AZ599" s="873"/>
      <c r="BA599" s="874"/>
      <c r="BB599" s="870">
        <f>+BC599</f>
        <v>0</v>
      </c>
      <c r="BC599" s="873"/>
      <c r="BD599" s="874"/>
      <c r="BE599" s="870">
        <f>+BF599</f>
        <v>0</v>
      </c>
      <c r="BF599" s="873"/>
      <c r="BG599" s="874"/>
      <c r="BH599" s="870">
        <f>+BI599</f>
        <v>0</v>
      </c>
      <c r="BI599" s="873"/>
      <c r="BJ599" s="874"/>
      <c r="BK599" s="870">
        <f>+BL599</f>
        <v>0</v>
      </c>
      <c r="BL599" s="873"/>
      <c r="BM599" s="874"/>
      <c r="BN599" s="870">
        <f>+BO599</f>
        <v>0</v>
      </c>
      <c r="BO599" s="875"/>
      <c r="BP599" s="874"/>
      <c r="BQ599" s="870">
        <f>+BR599</f>
        <v>0</v>
      </c>
      <c r="BR599" s="875"/>
      <c r="BS599" s="874"/>
      <c r="BT599" s="870">
        <f>+BU599</f>
        <v>0</v>
      </c>
      <c r="BU599" s="875"/>
      <c r="BV599" s="874"/>
      <c r="BW599" s="870">
        <f>+BX599</f>
        <v>0</v>
      </c>
      <c r="BX599" s="875"/>
      <c r="BY599" s="874"/>
      <c r="BZ599" s="870">
        <f>+CA599</f>
        <v>0</v>
      </c>
      <c r="CA599" s="875"/>
      <c r="CB599" s="874"/>
      <c r="CC599" s="870">
        <f>+CD599</f>
        <v>0</v>
      </c>
      <c r="CD599" s="540"/>
      <c r="CE599" s="542"/>
      <c r="CF599" s="872">
        <f>+CG599</f>
        <v>0</v>
      </c>
      <c r="CG599" s="540"/>
      <c r="CH599" s="542"/>
      <c r="CI599" s="872">
        <f>+CJ599</f>
        <v>0</v>
      </c>
      <c r="CJ599" s="540"/>
      <c r="CK599" s="542"/>
      <c r="CL599" s="872">
        <f>+CM599</f>
        <v>0</v>
      </c>
      <c r="CM599" s="540"/>
      <c r="CN599" s="542"/>
      <c r="CO599" s="872">
        <f>+CP599</f>
        <v>0</v>
      </c>
      <c r="CP599" s="540"/>
      <c r="CQ599" s="542"/>
      <c r="CR599" s="872">
        <f>+CS599</f>
        <v>0</v>
      </c>
      <c r="CS599" s="540"/>
      <c r="CT599" s="542"/>
      <c r="CU599" s="872">
        <f>+CV599</f>
        <v>0</v>
      </c>
      <c r="CV599" s="540"/>
      <c r="CW599" s="542"/>
      <c r="CX599" s="872">
        <f>+CY599</f>
        <v>0</v>
      </c>
      <c r="CY599" s="540"/>
      <c r="CZ599" s="542"/>
      <c r="DA599" s="872">
        <f>+DB599</f>
        <v>0</v>
      </c>
      <c r="DB599" s="540"/>
      <c r="DC599" s="542"/>
      <c r="DD599" s="872">
        <f>+DE599</f>
        <v>0</v>
      </c>
      <c r="DE599" s="540"/>
      <c r="DF599" s="542"/>
      <c r="DG599" s="872">
        <f>+DH599</f>
        <v>0</v>
      </c>
      <c r="DH599" s="1269"/>
      <c r="DI599" s="542"/>
      <c r="DJ599" s="872">
        <f>+DK599</f>
        <v>0</v>
      </c>
      <c r="DK599" s="1269"/>
      <c r="DL599" s="542"/>
      <c r="DM599" s="872">
        <f>+DN599</f>
        <v>0</v>
      </c>
      <c r="DN599" s="1269"/>
      <c r="DO599" s="542"/>
      <c r="DP599" s="872">
        <f>+DQ599</f>
        <v>0</v>
      </c>
      <c r="DQ599" s="1269"/>
      <c r="DR599" s="542"/>
      <c r="DS599" s="872">
        <f>+DT599</f>
        <v>0</v>
      </c>
      <c r="DT599" s="1269"/>
      <c r="DU599" s="542"/>
      <c r="DV599" s="872">
        <f>+DW599</f>
        <v>0</v>
      </c>
      <c r="DW599" s="1269"/>
      <c r="DX599" s="542"/>
      <c r="DY599" s="872">
        <f>+DZ599</f>
        <v>0</v>
      </c>
      <c r="DZ599" s="1269"/>
      <c r="EA599" s="542"/>
      <c r="EB599" s="872">
        <f>+EC599</f>
        <v>0</v>
      </c>
      <c r="EC599" s="1269"/>
      <c r="ED599" s="542"/>
      <c r="EE599" s="872">
        <f>+EF599</f>
        <v>0</v>
      </c>
      <c r="EF599" s="1269"/>
      <c r="EG599" s="542"/>
      <c r="EH599" s="872">
        <f>+EI599</f>
        <v>0</v>
      </c>
      <c r="EI599" s="1269"/>
      <c r="EJ599" s="542"/>
      <c r="EK599" s="872">
        <f>+EL599</f>
        <v>0</v>
      </c>
      <c r="EL599" s="1269"/>
      <c r="EM599" s="542"/>
      <c r="EN599" s="872">
        <f>+EO599</f>
        <v>0</v>
      </c>
      <c r="EO599" s="1269"/>
      <c r="EP599" s="542"/>
      <c r="EQ599" s="872">
        <f>+ER599</f>
        <v>0</v>
      </c>
      <c r="ER599" s="1269"/>
      <c r="ES599" s="542"/>
      <c r="ET599" s="872">
        <f>+EU599</f>
        <v>0</v>
      </c>
      <c r="EU599" s="1269"/>
      <c r="EV599" s="542"/>
      <c r="EW599" s="872">
        <f>+EX599</f>
        <v>0</v>
      </c>
      <c r="EX599" s="1269"/>
      <c r="EY599" s="542"/>
      <c r="EZ599" s="872">
        <f>+FA599</f>
        <v>0</v>
      </c>
      <c r="FA599" s="1269"/>
      <c r="FE599"/>
      <c r="FF599"/>
      <c r="FG599"/>
      <c r="FH599"/>
      <c r="FI599"/>
      <c r="FJ599"/>
      <c r="FK599" s="35"/>
    </row>
    <row r="600" spans="1:167" s="235" customFormat="1" ht="13.35" customHeight="1" thickBot="1">
      <c r="A600" s="821"/>
      <c r="B600" s="845" t="s">
        <v>458</v>
      </c>
      <c r="C600" s="862"/>
      <c r="D600" s="821"/>
      <c r="E600" s="863"/>
      <c r="F600" s="863"/>
      <c r="G600" s="863"/>
      <c r="H600" s="863"/>
      <c r="I600" s="863"/>
      <c r="J600" s="863"/>
      <c r="K600" s="863"/>
      <c r="L600" s="863"/>
      <c r="M600" s="863"/>
      <c r="N600" s="863"/>
      <c r="O600" s="863"/>
      <c r="P600" s="863"/>
      <c r="Q600" s="864"/>
      <c r="R600" s="864"/>
      <c r="S600" s="864"/>
      <c r="T600" s="864"/>
      <c r="U600" s="864"/>
      <c r="V600" s="865"/>
      <c r="W600" s="865"/>
      <c r="X600" s="865"/>
      <c r="Y600" s="865"/>
      <c r="Z600" s="865"/>
      <c r="AA600" s="865"/>
      <c r="AB600" s="865"/>
      <c r="AC600" s="865"/>
      <c r="AD600" s="865"/>
      <c r="AE600" s="865"/>
      <c r="AF600" s="865"/>
      <c r="AG600" s="865"/>
      <c r="AH600" s="865"/>
      <c r="AI600" s="865"/>
      <c r="AJ600" s="865"/>
      <c r="AK600" s="865"/>
      <c r="AL600" s="865"/>
      <c r="AM600" s="865"/>
      <c r="AN600" s="856"/>
      <c r="AO600" s="856"/>
      <c r="AP600" s="856"/>
      <c r="AQ600" s="856"/>
      <c r="AR600" s="856"/>
      <c r="AS600" s="856"/>
      <c r="AT600" s="856"/>
      <c r="AU600" s="859"/>
      <c r="AV600" s="856"/>
      <c r="AW600" s="859"/>
      <c r="AX600" s="859"/>
      <c r="AY600" s="856"/>
      <c r="AZ600" s="859"/>
      <c r="BA600" s="859"/>
      <c r="BB600" s="856"/>
      <c r="BC600" s="859"/>
      <c r="BD600" s="859"/>
      <c r="BE600" s="856"/>
      <c r="BF600" s="859"/>
      <c r="BG600" s="859"/>
      <c r="BH600" s="856"/>
      <c r="BI600" s="859"/>
      <c r="BJ600" s="859"/>
      <c r="BK600" s="856"/>
      <c r="BL600" s="859"/>
      <c r="BM600" s="859"/>
      <c r="BN600" s="856"/>
      <c r="BO600" s="859"/>
      <c r="BP600" s="859"/>
      <c r="BQ600" s="856"/>
      <c r="BR600" s="859"/>
      <c r="BS600" s="859"/>
      <c r="BT600" s="856"/>
      <c r="BU600" s="859"/>
      <c r="BV600" s="859"/>
      <c r="BW600" s="856"/>
      <c r="BX600" s="859"/>
      <c r="BY600" s="859"/>
      <c r="BZ600" s="856"/>
      <c r="CA600" s="859"/>
      <c r="CB600" s="859"/>
      <c r="CC600" s="856"/>
      <c r="CD600" s="860"/>
      <c r="CE600" s="860"/>
      <c r="CF600" s="534"/>
      <c r="CG600" s="860"/>
      <c r="CH600" s="860"/>
      <c r="CI600" s="534"/>
      <c r="CJ600" s="860"/>
      <c r="CK600" s="860"/>
      <c r="CL600" s="534"/>
      <c r="CM600" s="860"/>
      <c r="CN600" s="860"/>
      <c r="CO600" s="534"/>
      <c r="CP600" s="860"/>
      <c r="CQ600" s="860"/>
      <c r="CR600" s="534"/>
      <c r="CS600" s="860"/>
      <c r="CT600" s="860"/>
      <c r="CU600" s="534"/>
      <c r="CV600" s="860"/>
      <c r="CW600" s="860"/>
      <c r="CX600" s="534"/>
      <c r="CY600" s="860"/>
      <c r="CZ600" s="860"/>
      <c r="DA600" s="534"/>
      <c r="DB600" s="860"/>
      <c r="DC600" s="860"/>
      <c r="DD600" s="534"/>
      <c r="DE600" s="860"/>
      <c r="DF600" s="860"/>
      <c r="DG600" s="534"/>
      <c r="DH600" s="1340"/>
      <c r="DI600" s="860"/>
      <c r="DJ600" s="534"/>
      <c r="DK600" s="1340"/>
      <c r="DL600" s="860"/>
      <c r="DM600" s="534"/>
      <c r="DN600" s="1340"/>
      <c r="DO600" s="860"/>
      <c r="DP600" s="534"/>
      <c r="DQ600" s="1340"/>
      <c r="DR600" s="860"/>
      <c r="DS600" s="534"/>
      <c r="DT600" s="1340"/>
      <c r="DU600" s="860"/>
      <c r="DV600" s="534"/>
      <c r="DW600" s="1340"/>
      <c r="DX600" s="860"/>
      <c r="DY600" s="534"/>
      <c r="DZ600" s="1340"/>
      <c r="EA600" s="860"/>
      <c r="EB600" s="534"/>
      <c r="EC600" s="1340"/>
      <c r="ED600" s="860"/>
      <c r="EE600" s="534"/>
      <c r="EF600" s="1340"/>
      <c r="EG600" s="860"/>
      <c r="EH600" s="534"/>
      <c r="EI600" s="1340"/>
      <c r="EJ600" s="860"/>
      <c r="EK600" s="534"/>
      <c r="EL600" s="1340"/>
      <c r="EM600" s="860"/>
      <c r="EN600" s="534"/>
      <c r="EO600" s="1340"/>
      <c r="EP600" s="860"/>
      <c r="EQ600" s="534"/>
      <c r="ER600" s="1340"/>
      <c r="ES600" s="860"/>
      <c r="ET600" s="534"/>
      <c r="EU600" s="1340"/>
      <c r="EV600" s="860"/>
      <c r="EW600" s="534"/>
      <c r="EX600" s="1340"/>
      <c r="EY600" s="860"/>
      <c r="EZ600" s="534"/>
      <c r="FA600" s="1340"/>
      <c r="FE600"/>
      <c r="FF600"/>
      <c r="FG600"/>
      <c r="FH600"/>
      <c r="FI600"/>
      <c r="FJ600"/>
      <c r="FK600" s="35"/>
    </row>
    <row r="601" spans="1:167" s="235" customFormat="1" ht="13.35" customHeight="1">
      <c r="A601" s="821"/>
      <c r="B601" s="821" t="s">
        <v>649</v>
      </c>
      <c r="C601" s="862"/>
      <c r="D601" s="821"/>
      <c r="E601" s="863"/>
      <c r="F601" s="863"/>
      <c r="G601" s="863"/>
      <c r="H601" s="863"/>
      <c r="I601" s="863"/>
      <c r="J601" s="863"/>
      <c r="K601" s="863"/>
      <c r="L601" s="863"/>
      <c r="M601" s="863"/>
      <c r="N601" s="863"/>
      <c r="O601" s="863"/>
      <c r="P601" s="863"/>
      <c r="Q601" s="864"/>
      <c r="R601" s="864"/>
      <c r="S601" s="864"/>
      <c r="T601" s="864"/>
      <c r="U601" s="864"/>
      <c r="V601" s="865"/>
      <c r="W601" s="865"/>
      <c r="X601" s="865"/>
      <c r="Y601" s="865"/>
      <c r="Z601" s="865"/>
      <c r="AA601" s="865"/>
      <c r="AB601" s="865"/>
      <c r="AC601" s="865"/>
      <c r="AD601" s="865"/>
      <c r="AE601" s="865"/>
      <c r="AF601" s="865"/>
      <c r="AG601" s="865"/>
      <c r="AH601" s="865"/>
      <c r="AI601" s="865"/>
      <c r="AJ601" s="865"/>
      <c r="AK601" s="865"/>
      <c r="AL601" s="865"/>
      <c r="AM601" s="865"/>
      <c r="AN601" s="868"/>
      <c r="AO601" s="869"/>
      <c r="AP601" s="870">
        <f>+AQ601</f>
        <v>0</v>
      </c>
      <c r="AQ601" s="868"/>
      <c r="AR601" s="869"/>
      <c r="AS601" s="870">
        <f>+AT601</f>
        <v>0</v>
      </c>
      <c r="AT601" s="868"/>
      <c r="AU601" s="869"/>
      <c r="AV601" s="870">
        <f>+AW601</f>
        <v>0</v>
      </c>
      <c r="AW601" s="868"/>
      <c r="AX601" s="869"/>
      <c r="AY601" s="870">
        <f>+AZ601</f>
        <v>0</v>
      </c>
      <c r="AZ601" s="868"/>
      <c r="BA601" s="869"/>
      <c r="BB601" s="870">
        <f>+BC601</f>
        <v>0</v>
      </c>
      <c r="BC601" s="868"/>
      <c r="BD601" s="869"/>
      <c r="BE601" s="870">
        <f>+BF601</f>
        <v>0</v>
      </c>
      <c r="BF601" s="868"/>
      <c r="BG601" s="869"/>
      <c r="BH601" s="870">
        <f>+BI601</f>
        <v>0</v>
      </c>
      <c r="BI601" s="868"/>
      <c r="BJ601" s="869"/>
      <c r="BK601" s="870">
        <f>+BL601</f>
        <v>0</v>
      </c>
      <c r="BL601" s="868"/>
      <c r="BM601" s="869"/>
      <c r="BN601" s="870">
        <f>+BO601</f>
        <v>0</v>
      </c>
      <c r="BO601" s="871"/>
      <c r="BP601" s="869"/>
      <c r="BQ601" s="870">
        <f>+BR601</f>
        <v>0</v>
      </c>
      <c r="BR601" s="871"/>
      <c r="BS601" s="869"/>
      <c r="BT601" s="870">
        <f>+BU601</f>
        <v>0</v>
      </c>
      <c r="BU601" s="871"/>
      <c r="BV601" s="869"/>
      <c r="BW601" s="870">
        <f>+BX601</f>
        <v>0</v>
      </c>
      <c r="BX601" s="871"/>
      <c r="BY601" s="869"/>
      <c r="BZ601" s="870">
        <f>+CA601</f>
        <v>0</v>
      </c>
      <c r="CA601" s="871"/>
      <c r="CB601" s="869"/>
      <c r="CC601" s="870">
        <f>+CD601</f>
        <v>0</v>
      </c>
      <c r="CD601" s="535"/>
      <c r="CE601" s="537"/>
      <c r="CF601" s="872">
        <f>+CG601</f>
        <v>0</v>
      </c>
      <c r="CG601" s="535"/>
      <c r="CH601" s="537"/>
      <c r="CI601" s="872">
        <f>+CJ601</f>
        <v>0</v>
      </c>
      <c r="CJ601" s="535"/>
      <c r="CK601" s="537"/>
      <c r="CL601" s="872">
        <f>+CM601</f>
        <v>0</v>
      </c>
      <c r="CM601" s="535"/>
      <c r="CN601" s="537"/>
      <c r="CO601" s="872">
        <f>+CP601</f>
        <v>0</v>
      </c>
      <c r="CP601" s="535"/>
      <c r="CQ601" s="537"/>
      <c r="CR601" s="872">
        <f>+CS601</f>
        <v>0</v>
      </c>
      <c r="CS601" s="535"/>
      <c r="CT601" s="537"/>
      <c r="CU601" s="872">
        <f>+CV601</f>
        <v>0</v>
      </c>
      <c r="CV601" s="535"/>
      <c r="CW601" s="537"/>
      <c r="CX601" s="872">
        <f>+CY601</f>
        <v>0</v>
      </c>
      <c r="CY601" s="535"/>
      <c r="CZ601" s="537"/>
      <c r="DA601" s="872">
        <f>+DB601</f>
        <v>0</v>
      </c>
      <c r="DB601" s="535"/>
      <c r="DC601" s="537"/>
      <c r="DD601" s="872">
        <f>+DE601</f>
        <v>0</v>
      </c>
      <c r="DE601" s="535"/>
      <c r="DF601" s="537"/>
      <c r="DG601" s="872">
        <f>+DH601</f>
        <v>0</v>
      </c>
      <c r="DH601" s="1268"/>
      <c r="DI601" s="537"/>
      <c r="DJ601" s="872">
        <f>+DK601</f>
        <v>0</v>
      </c>
      <c r="DK601" s="1268"/>
      <c r="DL601" s="537"/>
      <c r="DM601" s="872">
        <f>+DN601</f>
        <v>0</v>
      </c>
      <c r="DN601" s="1268"/>
      <c r="DO601" s="537"/>
      <c r="DP601" s="872">
        <f>+DQ601</f>
        <v>0</v>
      </c>
      <c r="DQ601" s="1268"/>
      <c r="DR601" s="537"/>
      <c r="DS601" s="872">
        <f>+DT601</f>
        <v>0</v>
      </c>
      <c r="DT601" s="1268"/>
      <c r="DU601" s="537"/>
      <c r="DV601" s="872">
        <f>+DW601</f>
        <v>0</v>
      </c>
      <c r="DW601" s="1268"/>
      <c r="DX601" s="537"/>
      <c r="DY601" s="872">
        <f>+DZ601</f>
        <v>0</v>
      </c>
      <c r="DZ601" s="1268"/>
      <c r="EA601" s="537"/>
      <c r="EB601" s="872">
        <f>+EC601</f>
        <v>0</v>
      </c>
      <c r="EC601" s="1268"/>
      <c r="ED601" s="537"/>
      <c r="EE601" s="872">
        <f>+EF601</f>
        <v>0</v>
      </c>
      <c r="EF601" s="1268"/>
      <c r="EG601" s="537"/>
      <c r="EH601" s="872">
        <f>+EI601</f>
        <v>0</v>
      </c>
      <c r="EI601" s="1268"/>
      <c r="EJ601" s="537"/>
      <c r="EK601" s="872">
        <f>+EL601</f>
        <v>0</v>
      </c>
      <c r="EL601" s="1268"/>
      <c r="EM601" s="537"/>
      <c r="EN601" s="872">
        <f>+EO601</f>
        <v>0</v>
      </c>
      <c r="EO601" s="1268"/>
      <c r="EP601" s="537"/>
      <c r="EQ601" s="872">
        <f>+ER601</f>
        <v>0</v>
      </c>
      <c r="ER601" s="1268"/>
      <c r="ES601" s="537"/>
      <c r="ET601" s="872">
        <f>+EU601</f>
        <v>0</v>
      </c>
      <c r="EU601" s="1268"/>
      <c r="EV601" s="537"/>
      <c r="EW601" s="872">
        <f>+EX601</f>
        <v>0</v>
      </c>
      <c r="EX601" s="1268"/>
      <c r="EY601" s="537"/>
      <c r="EZ601" s="872">
        <f>+FA601</f>
        <v>0</v>
      </c>
      <c r="FA601" s="1268"/>
      <c r="FE601"/>
      <c r="FF601"/>
      <c r="FG601"/>
      <c r="FH601"/>
      <c r="FI601"/>
      <c r="FJ601"/>
      <c r="FK601" s="35"/>
    </row>
    <row r="602" spans="1:167" s="235" customFormat="1" ht="13.35" customHeight="1">
      <c r="A602" s="821"/>
      <c r="B602" s="821" t="s">
        <v>459</v>
      </c>
      <c r="C602" s="862"/>
      <c r="D602" s="821"/>
      <c r="E602" s="863"/>
      <c r="F602" s="863"/>
      <c r="G602" s="863"/>
      <c r="H602" s="863"/>
      <c r="I602" s="863"/>
      <c r="J602" s="863"/>
      <c r="K602" s="863"/>
      <c r="L602" s="863"/>
      <c r="M602" s="863"/>
      <c r="N602" s="863"/>
      <c r="O602" s="863"/>
      <c r="P602" s="863"/>
      <c r="Q602" s="864"/>
      <c r="R602" s="864"/>
      <c r="S602" s="864"/>
      <c r="T602" s="864"/>
      <c r="U602" s="864"/>
      <c r="V602" s="865"/>
      <c r="W602" s="865"/>
      <c r="X602" s="865"/>
      <c r="Y602" s="865"/>
      <c r="Z602" s="865"/>
      <c r="AA602" s="865"/>
      <c r="AB602" s="865"/>
      <c r="AC602" s="865"/>
      <c r="AD602" s="865"/>
      <c r="AE602" s="865"/>
      <c r="AF602" s="865"/>
      <c r="AG602" s="865"/>
      <c r="AH602" s="865"/>
      <c r="AI602" s="865"/>
      <c r="AJ602" s="865"/>
      <c r="AK602" s="865"/>
      <c r="AL602" s="865"/>
      <c r="AM602" s="865"/>
      <c r="AN602" s="878"/>
      <c r="AO602" s="879"/>
      <c r="AP602" s="870">
        <f>+AQ602</f>
        <v>0</v>
      </c>
      <c r="AQ602" s="878"/>
      <c r="AR602" s="879"/>
      <c r="AS602" s="870">
        <f>+AT602</f>
        <v>0</v>
      </c>
      <c r="AT602" s="878"/>
      <c r="AU602" s="879"/>
      <c r="AV602" s="870">
        <f>+AW602</f>
        <v>0</v>
      </c>
      <c r="AW602" s="878"/>
      <c r="AX602" s="879"/>
      <c r="AY602" s="870">
        <f>+AZ602</f>
        <v>0</v>
      </c>
      <c r="AZ602" s="878"/>
      <c r="BA602" s="879"/>
      <c r="BB602" s="870">
        <f>+BC602</f>
        <v>0</v>
      </c>
      <c r="BC602" s="878"/>
      <c r="BD602" s="879"/>
      <c r="BE602" s="870">
        <f>+BF602</f>
        <v>0</v>
      </c>
      <c r="BF602" s="878"/>
      <c r="BG602" s="879"/>
      <c r="BH602" s="870">
        <f>+BI602</f>
        <v>0</v>
      </c>
      <c r="BI602" s="878"/>
      <c r="BJ602" s="879"/>
      <c r="BK602" s="870">
        <f>+BL602</f>
        <v>0</v>
      </c>
      <c r="BL602" s="878"/>
      <c r="BM602" s="879"/>
      <c r="BN602" s="870">
        <f>+BO602</f>
        <v>0</v>
      </c>
      <c r="BO602" s="880"/>
      <c r="BP602" s="879"/>
      <c r="BQ602" s="870">
        <f>+BR602</f>
        <v>0</v>
      </c>
      <c r="BR602" s="880"/>
      <c r="BS602" s="879"/>
      <c r="BT602" s="870">
        <f>+BU602</f>
        <v>0</v>
      </c>
      <c r="BU602" s="880"/>
      <c r="BV602" s="879"/>
      <c r="BW602" s="870">
        <f>+BX602</f>
        <v>0</v>
      </c>
      <c r="BX602" s="880"/>
      <c r="BY602" s="879"/>
      <c r="BZ602" s="870">
        <f>+CA602</f>
        <v>0</v>
      </c>
      <c r="CA602" s="880"/>
      <c r="CB602" s="879"/>
      <c r="CC602" s="870">
        <f>+CD602</f>
        <v>0</v>
      </c>
      <c r="CD602" s="522"/>
      <c r="CE602" s="524"/>
      <c r="CF602" s="872">
        <f>+CG602</f>
        <v>0</v>
      </c>
      <c r="CG602" s="522"/>
      <c r="CH602" s="524"/>
      <c r="CI602" s="872">
        <f>+CJ602</f>
        <v>0</v>
      </c>
      <c r="CJ602" s="522"/>
      <c r="CK602" s="524"/>
      <c r="CL602" s="872">
        <f>+CM602</f>
        <v>0</v>
      </c>
      <c r="CM602" s="522"/>
      <c r="CN602" s="524"/>
      <c r="CO602" s="872">
        <f>+CP602</f>
        <v>0</v>
      </c>
      <c r="CP602" s="522"/>
      <c r="CQ602" s="524"/>
      <c r="CR602" s="872">
        <f>+CS602</f>
        <v>0</v>
      </c>
      <c r="CS602" s="522"/>
      <c r="CT602" s="524"/>
      <c r="CU602" s="872">
        <f>+CV602</f>
        <v>0</v>
      </c>
      <c r="CV602" s="522"/>
      <c r="CW602" s="524"/>
      <c r="CX602" s="872">
        <f>+CY602</f>
        <v>0</v>
      </c>
      <c r="CY602" s="522"/>
      <c r="CZ602" s="524"/>
      <c r="DA602" s="872">
        <f>+DB602</f>
        <v>0</v>
      </c>
      <c r="DB602" s="522"/>
      <c r="DC602" s="524"/>
      <c r="DD602" s="872">
        <f>+DE602</f>
        <v>0</v>
      </c>
      <c r="DE602" s="522"/>
      <c r="DF602" s="524"/>
      <c r="DG602" s="872">
        <f>+DH602</f>
        <v>0</v>
      </c>
      <c r="DH602" s="1259"/>
      <c r="DI602" s="524"/>
      <c r="DJ602" s="872">
        <f>+DK602</f>
        <v>0</v>
      </c>
      <c r="DK602" s="1259"/>
      <c r="DL602" s="524"/>
      <c r="DM602" s="872">
        <f>+DN602</f>
        <v>0</v>
      </c>
      <c r="DN602" s="1259"/>
      <c r="DO602" s="524"/>
      <c r="DP602" s="872">
        <f>+DQ602</f>
        <v>0</v>
      </c>
      <c r="DQ602" s="1259"/>
      <c r="DR602" s="524"/>
      <c r="DS602" s="872">
        <f>+DT602</f>
        <v>0</v>
      </c>
      <c r="DT602" s="1259"/>
      <c r="DU602" s="524"/>
      <c r="DV602" s="872">
        <f>+DW602</f>
        <v>0</v>
      </c>
      <c r="DW602" s="1259"/>
      <c r="DX602" s="524"/>
      <c r="DY602" s="872">
        <f>+DZ602</f>
        <v>0</v>
      </c>
      <c r="DZ602" s="1259"/>
      <c r="EA602" s="524"/>
      <c r="EB602" s="872">
        <f>+EC602</f>
        <v>0</v>
      </c>
      <c r="EC602" s="1259"/>
      <c r="ED602" s="524"/>
      <c r="EE602" s="872">
        <f>+EF602</f>
        <v>0</v>
      </c>
      <c r="EF602" s="1259"/>
      <c r="EG602" s="524"/>
      <c r="EH602" s="872">
        <f>+EI602</f>
        <v>0</v>
      </c>
      <c r="EI602" s="1259"/>
      <c r="EJ602" s="524"/>
      <c r="EK602" s="872">
        <f>+EL602</f>
        <v>0</v>
      </c>
      <c r="EL602" s="1259"/>
      <c r="EM602" s="524"/>
      <c r="EN602" s="872">
        <f>+EO602</f>
        <v>0</v>
      </c>
      <c r="EO602" s="1259"/>
      <c r="EP602" s="524"/>
      <c r="EQ602" s="872">
        <f>+ER602</f>
        <v>0</v>
      </c>
      <c r="ER602" s="1259"/>
      <c r="ES602" s="524"/>
      <c r="ET602" s="872">
        <f>+EU602</f>
        <v>0</v>
      </c>
      <c r="EU602" s="1259"/>
      <c r="EV602" s="524"/>
      <c r="EW602" s="872">
        <f>+EX602</f>
        <v>0</v>
      </c>
      <c r="EX602" s="1259"/>
      <c r="EY602" s="524"/>
      <c r="EZ602" s="872">
        <f>+FA602</f>
        <v>0</v>
      </c>
      <c r="FA602" s="1259"/>
      <c r="FE602"/>
      <c r="FF602"/>
      <c r="FG602"/>
      <c r="FH602"/>
      <c r="FI602"/>
      <c r="FJ602"/>
      <c r="FK602" s="35"/>
    </row>
    <row r="603" spans="1:167" s="235" customFormat="1" ht="13.35" customHeight="1">
      <c r="A603" s="821"/>
      <c r="B603" s="821" t="s">
        <v>643</v>
      </c>
      <c r="C603" s="862"/>
      <c r="D603" s="821"/>
      <c r="E603" s="863"/>
      <c r="F603" s="863"/>
      <c r="G603" s="863"/>
      <c r="H603" s="863"/>
      <c r="I603" s="863"/>
      <c r="J603" s="863"/>
      <c r="K603" s="863"/>
      <c r="L603" s="863"/>
      <c r="M603" s="863"/>
      <c r="N603" s="863"/>
      <c r="O603" s="863"/>
      <c r="P603" s="863"/>
      <c r="Q603" s="864"/>
      <c r="R603" s="864"/>
      <c r="S603" s="864"/>
      <c r="T603" s="864"/>
      <c r="U603" s="864"/>
      <c r="V603" s="865"/>
      <c r="W603" s="865"/>
      <c r="X603" s="865"/>
      <c r="Y603" s="865"/>
      <c r="Z603" s="865"/>
      <c r="AA603" s="865"/>
      <c r="AB603" s="865"/>
      <c r="AC603" s="865"/>
      <c r="AD603" s="865"/>
      <c r="AE603" s="865"/>
      <c r="AF603" s="865"/>
      <c r="AG603" s="865"/>
      <c r="AH603" s="865"/>
      <c r="AI603" s="865"/>
      <c r="AJ603" s="865"/>
      <c r="AK603" s="865"/>
      <c r="AL603" s="865"/>
      <c r="AM603" s="865"/>
      <c r="AN603" s="878"/>
      <c r="AO603" s="879"/>
      <c r="AP603" s="870">
        <f>+AQ603</f>
        <v>0</v>
      </c>
      <c r="AQ603" s="878"/>
      <c r="AR603" s="879"/>
      <c r="AS603" s="870">
        <f>+AT603</f>
        <v>0</v>
      </c>
      <c r="AT603" s="878"/>
      <c r="AU603" s="879"/>
      <c r="AV603" s="870">
        <f>+AW603</f>
        <v>0</v>
      </c>
      <c r="AW603" s="878"/>
      <c r="AX603" s="879"/>
      <c r="AY603" s="870">
        <f>+AZ603</f>
        <v>0</v>
      </c>
      <c r="AZ603" s="878"/>
      <c r="BA603" s="879"/>
      <c r="BB603" s="870">
        <f>+BC603</f>
        <v>0</v>
      </c>
      <c r="BC603" s="878"/>
      <c r="BD603" s="879"/>
      <c r="BE603" s="870">
        <f>+BF603</f>
        <v>0</v>
      </c>
      <c r="BF603" s="878"/>
      <c r="BG603" s="879"/>
      <c r="BH603" s="870">
        <f>+BI603</f>
        <v>0</v>
      </c>
      <c r="BI603" s="878"/>
      <c r="BJ603" s="879"/>
      <c r="BK603" s="870">
        <f>+BL603</f>
        <v>0</v>
      </c>
      <c r="BL603" s="878"/>
      <c r="BM603" s="879"/>
      <c r="BN603" s="870">
        <f>+BO603</f>
        <v>0</v>
      </c>
      <c r="BO603" s="880"/>
      <c r="BP603" s="879"/>
      <c r="BQ603" s="870">
        <f>+BR603</f>
        <v>0</v>
      </c>
      <c r="BR603" s="880"/>
      <c r="BS603" s="879"/>
      <c r="BT603" s="870">
        <f>+BU603</f>
        <v>0</v>
      </c>
      <c r="BU603" s="880"/>
      <c r="BV603" s="879"/>
      <c r="BW603" s="870">
        <f>+BX603</f>
        <v>0</v>
      </c>
      <c r="BX603" s="880"/>
      <c r="BY603" s="879"/>
      <c r="BZ603" s="870">
        <f>+CA603</f>
        <v>0</v>
      </c>
      <c r="CA603" s="880"/>
      <c r="CB603" s="879"/>
      <c r="CC603" s="870">
        <f>+CD603</f>
        <v>0</v>
      </c>
      <c r="CD603" s="522"/>
      <c r="CE603" s="524"/>
      <c r="CF603" s="872">
        <f>+CG603</f>
        <v>0</v>
      </c>
      <c r="CG603" s="522"/>
      <c r="CH603" s="524"/>
      <c r="CI603" s="872">
        <f>+CJ603</f>
        <v>0</v>
      </c>
      <c r="CJ603" s="522"/>
      <c r="CK603" s="524"/>
      <c r="CL603" s="872">
        <f>+CM603</f>
        <v>0</v>
      </c>
      <c r="CM603" s="522"/>
      <c r="CN603" s="524"/>
      <c r="CO603" s="872">
        <f>+CP603</f>
        <v>0</v>
      </c>
      <c r="CP603" s="522"/>
      <c r="CQ603" s="524"/>
      <c r="CR603" s="872">
        <f>+CS603</f>
        <v>0</v>
      </c>
      <c r="CS603" s="522"/>
      <c r="CT603" s="524"/>
      <c r="CU603" s="872">
        <f>+CV603</f>
        <v>0</v>
      </c>
      <c r="CV603" s="522"/>
      <c r="CW603" s="524"/>
      <c r="CX603" s="872">
        <f>+CY603</f>
        <v>0</v>
      </c>
      <c r="CY603" s="522"/>
      <c r="CZ603" s="524"/>
      <c r="DA603" s="872">
        <f>+DB603</f>
        <v>0</v>
      </c>
      <c r="DB603" s="522"/>
      <c r="DC603" s="524"/>
      <c r="DD603" s="872">
        <f>+DE603</f>
        <v>0</v>
      </c>
      <c r="DE603" s="522"/>
      <c r="DF603" s="524"/>
      <c r="DG603" s="872">
        <f>+DH603</f>
        <v>0</v>
      </c>
      <c r="DH603" s="1259"/>
      <c r="DI603" s="524"/>
      <c r="DJ603" s="872">
        <f>+DK603</f>
        <v>0</v>
      </c>
      <c r="DK603" s="1259"/>
      <c r="DL603" s="524"/>
      <c r="DM603" s="872">
        <f>+DN603</f>
        <v>0</v>
      </c>
      <c r="DN603" s="1259"/>
      <c r="DO603" s="524"/>
      <c r="DP603" s="872">
        <f>+DQ603</f>
        <v>0</v>
      </c>
      <c r="DQ603" s="1259"/>
      <c r="DR603" s="524"/>
      <c r="DS603" s="872">
        <f>+DT603</f>
        <v>0</v>
      </c>
      <c r="DT603" s="1259"/>
      <c r="DU603" s="524"/>
      <c r="DV603" s="872">
        <f>+DW603</f>
        <v>0</v>
      </c>
      <c r="DW603" s="1259"/>
      <c r="DX603" s="524"/>
      <c r="DY603" s="872">
        <f>+DZ603</f>
        <v>0</v>
      </c>
      <c r="DZ603" s="1259"/>
      <c r="EA603" s="524"/>
      <c r="EB603" s="872">
        <f>+EC603</f>
        <v>0</v>
      </c>
      <c r="EC603" s="1259"/>
      <c r="ED603" s="524"/>
      <c r="EE603" s="872">
        <f>+EF603</f>
        <v>0</v>
      </c>
      <c r="EF603" s="1259"/>
      <c r="EG603" s="524"/>
      <c r="EH603" s="872">
        <f>+EI603</f>
        <v>0</v>
      </c>
      <c r="EI603" s="1259"/>
      <c r="EJ603" s="524"/>
      <c r="EK603" s="872">
        <f>+EL603</f>
        <v>0</v>
      </c>
      <c r="EL603" s="1259"/>
      <c r="EM603" s="524"/>
      <c r="EN603" s="872">
        <f>+EO603</f>
        <v>0</v>
      </c>
      <c r="EO603" s="1259"/>
      <c r="EP603" s="524"/>
      <c r="EQ603" s="872">
        <f>+ER603</f>
        <v>0</v>
      </c>
      <c r="ER603" s="1259"/>
      <c r="ES603" s="524"/>
      <c r="ET603" s="872">
        <f>+EU603</f>
        <v>0</v>
      </c>
      <c r="EU603" s="1259"/>
      <c r="EV603" s="524"/>
      <c r="EW603" s="872">
        <f>+EX603</f>
        <v>0</v>
      </c>
      <c r="EX603" s="1259"/>
      <c r="EY603" s="524"/>
      <c r="EZ603" s="872">
        <f>+FA603</f>
        <v>0</v>
      </c>
      <c r="FA603" s="1259"/>
      <c r="FE603"/>
      <c r="FF603"/>
      <c r="FG603"/>
      <c r="FH603"/>
      <c r="FI603"/>
      <c r="FJ603"/>
      <c r="FK603" s="35"/>
    </row>
    <row r="604" spans="1:167" s="235" customFormat="1" ht="13.35" customHeight="1" thickBot="1">
      <c r="A604" s="821"/>
      <c r="B604" s="821" t="s">
        <v>37</v>
      </c>
      <c r="C604" s="862"/>
      <c r="D604" s="821"/>
      <c r="E604" s="863"/>
      <c r="F604" s="863"/>
      <c r="G604" s="863"/>
      <c r="H604" s="863"/>
      <c r="I604" s="863"/>
      <c r="J604" s="863"/>
      <c r="K604" s="863"/>
      <c r="L604" s="863"/>
      <c r="M604" s="863"/>
      <c r="N604" s="863"/>
      <c r="O604" s="863"/>
      <c r="P604" s="863"/>
      <c r="Q604" s="864"/>
      <c r="R604" s="864"/>
      <c r="S604" s="864"/>
      <c r="T604" s="864"/>
      <c r="U604" s="864"/>
      <c r="V604" s="865"/>
      <c r="W604" s="865"/>
      <c r="X604" s="865"/>
      <c r="Y604" s="865"/>
      <c r="Z604" s="865"/>
      <c r="AA604" s="865"/>
      <c r="AB604" s="865"/>
      <c r="AC604" s="865"/>
      <c r="AD604" s="865"/>
      <c r="AE604" s="865"/>
      <c r="AF604" s="865"/>
      <c r="AG604" s="865"/>
      <c r="AH604" s="865"/>
      <c r="AI604" s="865"/>
      <c r="AJ604" s="865"/>
      <c r="AK604" s="865"/>
      <c r="AL604" s="865"/>
      <c r="AM604" s="865"/>
      <c r="AN604" s="873"/>
      <c r="AO604" s="874"/>
      <c r="AP604" s="870">
        <f>+AQ604</f>
        <v>0</v>
      </c>
      <c r="AQ604" s="873"/>
      <c r="AR604" s="874"/>
      <c r="AS604" s="870">
        <f>+AT604</f>
        <v>0</v>
      </c>
      <c r="AT604" s="873"/>
      <c r="AU604" s="874"/>
      <c r="AV604" s="870">
        <f>+AW604</f>
        <v>0</v>
      </c>
      <c r="AW604" s="873"/>
      <c r="AX604" s="874"/>
      <c r="AY604" s="870">
        <f>+AZ604</f>
        <v>0</v>
      </c>
      <c r="AZ604" s="873"/>
      <c r="BA604" s="874"/>
      <c r="BB604" s="870">
        <f>+BC604</f>
        <v>0</v>
      </c>
      <c r="BC604" s="873"/>
      <c r="BD604" s="874"/>
      <c r="BE604" s="870">
        <f>+BF604</f>
        <v>0</v>
      </c>
      <c r="BF604" s="873"/>
      <c r="BG604" s="874"/>
      <c r="BH604" s="870">
        <f>+BI604</f>
        <v>0</v>
      </c>
      <c r="BI604" s="873"/>
      <c r="BJ604" s="874"/>
      <c r="BK604" s="870">
        <f>+BL604</f>
        <v>0</v>
      </c>
      <c r="BL604" s="873"/>
      <c r="BM604" s="874"/>
      <c r="BN604" s="870">
        <f>+BO604</f>
        <v>0</v>
      </c>
      <c r="BO604" s="875"/>
      <c r="BP604" s="874"/>
      <c r="BQ604" s="870">
        <f>+BR604</f>
        <v>0</v>
      </c>
      <c r="BR604" s="875"/>
      <c r="BS604" s="874"/>
      <c r="BT604" s="870">
        <f>+BU604</f>
        <v>0</v>
      </c>
      <c r="BU604" s="875"/>
      <c r="BV604" s="874"/>
      <c r="BW604" s="870">
        <f>+BX604</f>
        <v>0</v>
      </c>
      <c r="BX604" s="875"/>
      <c r="BY604" s="874"/>
      <c r="BZ604" s="870">
        <f>+CA604</f>
        <v>0</v>
      </c>
      <c r="CA604" s="875"/>
      <c r="CB604" s="874"/>
      <c r="CC604" s="870">
        <f>+CD604</f>
        <v>0</v>
      </c>
      <c r="CD604" s="540"/>
      <c r="CE604" s="542"/>
      <c r="CF604" s="872">
        <f>+CG604</f>
        <v>0</v>
      </c>
      <c r="CG604" s="540"/>
      <c r="CH604" s="542"/>
      <c r="CI604" s="872">
        <f>+CJ604</f>
        <v>0</v>
      </c>
      <c r="CJ604" s="540"/>
      <c r="CK604" s="542"/>
      <c r="CL604" s="872">
        <f>+CM604</f>
        <v>0</v>
      </c>
      <c r="CM604" s="540"/>
      <c r="CN604" s="542"/>
      <c r="CO604" s="872">
        <f>+CP604</f>
        <v>0</v>
      </c>
      <c r="CP604" s="540"/>
      <c r="CQ604" s="542"/>
      <c r="CR604" s="872">
        <f>+CS604</f>
        <v>0</v>
      </c>
      <c r="CS604" s="540"/>
      <c r="CT604" s="542"/>
      <c r="CU604" s="872">
        <f>+CV604</f>
        <v>0</v>
      </c>
      <c r="CV604" s="540"/>
      <c r="CW604" s="542"/>
      <c r="CX604" s="872">
        <f>+CY604</f>
        <v>0</v>
      </c>
      <c r="CY604" s="540"/>
      <c r="CZ604" s="542"/>
      <c r="DA604" s="872">
        <f>+DB604</f>
        <v>0</v>
      </c>
      <c r="DB604" s="540"/>
      <c r="DC604" s="542"/>
      <c r="DD604" s="872">
        <f>+DE604</f>
        <v>0</v>
      </c>
      <c r="DE604" s="540"/>
      <c r="DF604" s="542"/>
      <c r="DG604" s="872">
        <f>+DH604</f>
        <v>0</v>
      </c>
      <c r="DH604" s="1269"/>
      <c r="DI604" s="542"/>
      <c r="DJ604" s="872">
        <f>+DK604</f>
        <v>0</v>
      </c>
      <c r="DK604" s="1269"/>
      <c r="DL604" s="542"/>
      <c r="DM604" s="872">
        <f>+DN604</f>
        <v>0</v>
      </c>
      <c r="DN604" s="1269"/>
      <c r="DO604" s="542"/>
      <c r="DP604" s="872">
        <f>+DQ604</f>
        <v>0</v>
      </c>
      <c r="DQ604" s="1269"/>
      <c r="DR604" s="542"/>
      <c r="DS604" s="872">
        <f>+DT604</f>
        <v>0</v>
      </c>
      <c r="DT604" s="1269"/>
      <c r="DU604" s="542"/>
      <c r="DV604" s="872">
        <f>+DW604</f>
        <v>0</v>
      </c>
      <c r="DW604" s="1269"/>
      <c r="DX604" s="542"/>
      <c r="DY604" s="872">
        <f>+DZ604</f>
        <v>0</v>
      </c>
      <c r="DZ604" s="1269"/>
      <c r="EA604" s="542"/>
      <c r="EB604" s="872">
        <f>+EC604</f>
        <v>0</v>
      </c>
      <c r="EC604" s="1269"/>
      <c r="ED604" s="542"/>
      <c r="EE604" s="872">
        <f>+EF604</f>
        <v>0</v>
      </c>
      <c r="EF604" s="1269"/>
      <c r="EG604" s="542"/>
      <c r="EH604" s="872">
        <f>+EI604</f>
        <v>0</v>
      </c>
      <c r="EI604" s="1269"/>
      <c r="EJ604" s="542"/>
      <c r="EK604" s="872">
        <f>+EL604</f>
        <v>0</v>
      </c>
      <c r="EL604" s="1269"/>
      <c r="EM604" s="542"/>
      <c r="EN604" s="872">
        <f>+EO604</f>
        <v>0</v>
      </c>
      <c r="EO604" s="1269"/>
      <c r="EP604" s="542"/>
      <c r="EQ604" s="872">
        <f>+ER604</f>
        <v>0</v>
      </c>
      <c r="ER604" s="1269"/>
      <c r="ES604" s="542"/>
      <c r="ET604" s="872">
        <f>+EU604</f>
        <v>0</v>
      </c>
      <c r="EU604" s="1269"/>
      <c r="EV604" s="542"/>
      <c r="EW604" s="872">
        <f>+EX604</f>
        <v>0</v>
      </c>
      <c r="EX604" s="1269"/>
      <c r="EY604" s="542"/>
      <c r="EZ604" s="872">
        <f>+FA604</f>
        <v>0</v>
      </c>
      <c r="FA604" s="1269"/>
      <c r="FE604"/>
      <c r="FF604"/>
      <c r="FG604"/>
      <c r="FH604"/>
      <c r="FI604"/>
      <c r="FJ604"/>
      <c r="FK604" s="35"/>
    </row>
    <row r="605" spans="1:167" s="235" customFormat="1" ht="13.35" customHeight="1">
      <c r="A605" s="821"/>
      <c r="B605" s="845" t="s">
        <v>644</v>
      </c>
      <c r="C605" s="862"/>
      <c r="D605" s="821"/>
      <c r="E605" s="863"/>
      <c r="F605" s="863"/>
      <c r="G605" s="863"/>
      <c r="H605" s="863"/>
      <c r="I605" s="863"/>
      <c r="J605" s="863"/>
      <c r="K605" s="863"/>
      <c r="L605" s="863"/>
      <c r="M605" s="863"/>
      <c r="N605" s="863"/>
      <c r="O605" s="863"/>
      <c r="P605" s="863"/>
      <c r="Q605" s="864"/>
      <c r="R605" s="864"/>
      <c r="S605" s="864"/>
      <c r="T605" s="864"/>
      <c r="U605" s="864"/>
      <c r="V605" s="865"/>
      <c r="W605" s="865"/>
      <c r="X605" s="865"/>
      <c r="Y605" s="865"/>
      <c r="Z605" s="865"/>
      <c r="AA605" s="865"/>
      <c r="AB605" s="865"/>
      <c r="AC605" s="865"/>
      <c r="AD605" s="865"/>
      <c r="AE605" s="865"/>
      <c r="AF605" s="865"/>
      <c r="AG605" s="865"/>
      <c r="AH605" s="865"/>
      <c r="AI605" s="865"/>
      <c r="AJ605" s="865"/>
      <c r="AK605" s="865"/>
      <c r="AL605" s="865"/>
      <c r="AM605" s="865"/>
      <c r="AN605" s="876">
        <f>+SUM(AN581:AN594)+SUM(AN596:AN604)</f>
        <v>0</v>
      </c>
      <c r="AO605" s="876">
        <f>+SUM(AO581:AO594)+SUM(AO596:AO604)</f>
        <v>0</v>
      </c>
      <c r="AP605" s="876">
        <f>+AQ605</f>
        <v>0</v>
      </c>
      <c r="AQ605" s="876">
        <f>+SUM(AQ581:AQ594)+SUM(AQ596:AQ604)</f>
        <v>0</v>
      </c>
      <c r="AR605" s="876">
        <f>+SUM(AR581:AR594)+SUM(AR596:AR604)</f>
        <v>0</v>
      </c>
      <c r="AS605" s="876">
        <f>+AT605</f>
        <v>0</v>
      </c>
      <c r="AT605" s="876">
        <f>+SUM(AT581:AT594)+SUM(AT596:AT604)</f>
        <v>0</v>
      </c>
      <c r="AU605" s="876">
        <f>+SUM(AU581:AU594)+SUM(AU596:AU604)</f>
        <v>0</v>
      </c>
      <c r="AV605" s="876">
        <f>+AW605</f>
        <v>0</v>
      </c>
      <c r="AW605" s="876">
        <f>+SUM(AW581:AW594)+SUM(AW596:AW604)</f>
        <v>0</v>
      </c>
      <c r="AX605" s="876">
        <f>+SUM(AX581:AX594)+SUM(AX596:AX604)</f>
        <v>0</v>
      </c>
      <c r="AY605" s="876">
        <f>+AZ605</f>
        <v>0</v>
      </c>
      <c r="AZ605" s="876">
        <f>+SUM(AZ581:AZ594)+SUM(AZ596:AZ604)</f>
        <v>0</v>
      </c>
      <c r="BA605" s="876">
        <f>+SUM(BA581:BA594)+SUM(BA596:BA604)</f>
        <v>0</v>
      </c>
      <c r="BB605" s="876">
        <f>+BC605</f>
        <v>0</v>
      </c>
      <c r="BC605" s="876">
        <f>+SUM(BC581:BC594)+SUM(BC596:BC604)</f>
        <v>0</v>
      </c>
      <c r="BD605" s="876">
        <f>+SUM(BD581:BD594)+SUM(BD596:BD604)</f>
        <v>0</v>
      </c>
      <c r="BE605" s="876">
        <f>+BF605</f>
        <v>0</v>
      </c>
      <c r="BF605" s="876">
        <f>+SUM(BF581:BF594)+SUM(BF596:BF604)</f>
        <v>0</v>
      </c>
      <c r="BG605" s="876">
        <f>+SUM(BG581:BG594)+SUM(BG596:BG604)</f>
        <v>0</v>
      </c>
      <c r="BH605" s="876">
        <f>+BI605</f>
        <v>0</v>
      </c>
      <c r="BI605" s="876">
        <f>+SUM(BI581:BI594)+SUM(BI596:BI604)</f>
        <v>0</v>
      </c>
      <c r="BJ605" s="876">
        <f>+SUM(BJ581:BJ594)+SUM(BJ596:BJ604)</f>
        <v>0</v>
      </c>
      <c r="BK605" s="876">
        <f>+BL605</f>
        <v>0</v>
      </c>
      <c r="BL605" s="876">
        <f>+SUM(BL581:BL594)+SUM(BL596:BL604)</f>
        <v>0</v>
      </c>
      <c r="BM605" s="876">
        <f>+SUM(BM581:BM594)+SUM(BM596:BM604)</f>
        <v>0</v>
      </c>
      <c r="BN605" s="876">
        <f>+BO605</f>
        <v>0</v>
      </c>
      <c r="BO605" s="876">
        <f>+SUM(BO581:BO594)+SUM(BO596:BO604)</f>
        <v>0</v>
      </c>
      <c r="BP605" s="876">
        <f>+SUM(BP581:BP594)+SUM(BP596:BP604)</f>
        <v>0</v>
      </c>
      <c r="BQ605" s="876">
        <f>+BR605</f>
        <v>0</v>
      </c>
      <c r="BR605" s="876">
        <f>+SUM(BR581:BR594)+SUM(BR596:BR604)</f>
        <v>0</v>
      </c>
      <c r="BS605" s="876">
        <f>+SUM(BS581:BS594)+SUM(BS596:BS604)</f>
        <v>0</v>
      </c>
      <c r="BT605" s="876">
        <f>+BU605</f>
        <v>0</v>
      </c>
      <c r="BU605" s="876">
        <f>+SUM(BU581:BU594)+SUM(BU596:BU604)</f>
        <v>0</v>
      </c>
      <c r="BV605" s="876">
        <f>+SUM(BV581:BV594)+SUM(BV596:BV604)</f>
        <v>0</v>
      </c>
      <c r="BW605" s="876">
        <f>+BX605</f>
        <v>0</v>
      </c>
      <c r="BX605" s="876">
        <f>+SUM(BX581:BX594)+SUM(BX596:BX604)</f>
        <v>0</v>
      </c>
      <c r="BY605" s="876">
        <f>+SUM(BY581:BY594)+SUM(BY596:BY604)</f>
        <v>0</v>
      </c>
      <c r="BZ605" s="876">
        <f>+CA605</f>
        <v>0</v>
      </c>
      <c r="CA605" s="876">
        <f>+SUM(CA581:CA594)+SUM(CA596:CA604)</f>
        <v>0</v>
      </c>
      <c r="CB605" s="876">
        <f>+SUM(CB581:CB594)+SUM(CB596:CB604)</f>
        <v>0</v>
      </c>
      <c r="CC605" s="876">
        <f>+CD605</f>
        <v>0</v>
      </c>
      <c r="CD605" s="877">
        <f>+SUM(CD581:CD594)+SUM(CD596:CD604)</f>
        <v>0</v>
      </c>
      <c r="CE605" s="877">
        <f>+SUM(CE581:CE594)+SUM(CE596:CE604)</f>
        <v>0</v>
      </c>
      <c r="CF605" s="877">
        <f>+CG605</f>
        <v>0</v>
      </c>
      <c r="CG605" s="877">
        <f>+SUM(CG581:CG594)+SUM(CG596:CG604)</f>
        <v>0</v>
      </c>
      <c r="CH605" s="877">
        <f>+SUM(CH581:CH594)+SUM(CH596:CH604)</f>
        <v>0</v>
      </c>
      <c r="CI605" s="877">
        <f>+CJ605</f>
        <v>0</v>
      </c>
      <c r="CJ605" s="877">
        <f>+SUM(CJ581:CJ594)+SUM(CJ596:CJ604)</f>
        <v>0</v>
      </c>
      <c r="CK605" s="877">
        <f>+SUM(CK581:CK594)+SUM(CK596:CK604)</f>
        <v>0</v>
      </c>
      <c r="CL605" s="877">
        <f>+CM605</f>
        <v>0</v>
      </c>
      <c r="CM605" s="877">
        <f>+SUM(CM581:CM594)+SUM(CM596:CM604)</f>
        <v>0</v>
      </c>
      <c r="CN605" s="877">
        <f>+SUM(CN581:CN594)+SUM(CN596:CN604)</f>
        <v>0</v>
      </c>
      <c r="CO605" s="877">
        <f>+CP605</f>
        <v>0</v>
      </c>
      <c r="CP605" s="877">
        <f>+SUM(CP581:CP594)+SUM(CP596:CP604)</f>
        <v>0</v>
      </c>
      <c r="CQ605" s="877">
        <f>+SUM(CQ581:CQ594)+SUM(CQ596:CQ604)</f>
        <v>0</v>
      </c>
      <c r="CR605" s="877">
        <f>+CS605</f>
        <v>0</v>
      </c>
      <c r="CS605" s="877">
        <f>+SUM(CS581:CS594)+SUM(CS596:CS604)</f>
        <v>0</v>
      </c>
      <c r="CT605" s="877">
        <f>+SUM(CT581:CT594)+SUM(CT596:CT604)</f>
        <v>0</v>
      </c>
      <c r="CU605" s="877">
        <f>+CV605</f>
        <v>0</v>
      </c>
      <c r="CV605" s="877">
        <f>+SUM(CV581:CV594)+SUM(CV596:CV604)</f>
        <v>0</v>
      </c>
      <c r="CW605" s="877">
        <f>+SUM(CW581:CW594)+SUM(CW596:CW604)</f>
        <v>0</v>
      </c>
      <c r="CX605" s="877">
        <f>+CY605</f>
        <v>0</v>
      </c>
      <c r="CY605" s="877">
        <f>+SUM(CY581:CY594)+SUM(CY596:CY604)</f>
        <v>0</v>
      </c>
      <c r="CZ605" s="877">
        <f>+SUM(CZ581:CZ594)+SUM(CZ596:CZ604)</f>
        <v>0</v>
      </c>
      <c r="DA605" s="877">
        <f>+DB605</f>
        <v>0</v>
      </c>
      <c r="DB605" s="877">
        <f>+SUM(DB581:DB594)+SUM(DB596:DB604)</f>
        <v>0</v>
      </c>
      <c r="DC605" s="877">
        <f>+SUM(DC581:DC594)+SUM(DC596:DC604)</f>
        <v>0</v>
      </c>
      <c r="DD605" s="877">
        <f>+DE605</f>
        <v>0</v>
      </c>
      <c r="DE605" s="877">
        <f>+SUM(DE581:DE594)+SUM(DE596:DE604)</f>
        <v>0</v>
      </c>
      <c r="DF605" s="877">
        <f>+SUM(DF581:DF594)+SUM(DF596:DF604)</f>
        <v>0</v>
      </c>
      <c r="DG605" s="877">
        <f>+DH605</f>
        <v>0</v>
      </c>
      <c r="DH605" s="1342">
        <f>+SUM(DH581:DH594)+SUM(DH596:DH604)</f>
        <v>0</v>
      </c>
      <c r="DI605" s="877">
        <f>+SUM(DI581:DI594)+SUM(DI596:DI604)</f>
        <v>0</v>
      </c>
      <c r="DJ605" s="877">
        <f>+DK605</f>
        <v>0</v>
      </c>
      <c r="DK605" s="1342">
        <f>+SUM(DK581:DK594)+SUM(DK596:DK604)</f>
        <v>0</v>
      </c>
      <c r="DL605" s="877">
        <f>+SUM(DL581:DL594)+SUM(DL596:DL604)</f>
        <v>0</v>
      </c>
      <c r="DM605" s="877">
        <f>+DN605</f>
        <v>0</v>
      </c>
      <c r="DN605" s="1342">
        <f>+SUM(DN581:DN594)+SUM(DN596:DN604)</f>
        <v>0</v>
      </c>
      <c r="DO605" s="877">
        <f>+SUM(DO581:DO594)+SUM(DO596:DO604)</f>
        <v>0</v>
      </c>
      <c r="DP605" s="877">
        <f>+DQ605</f>
        <v>0</v>
      </c>
      <c r="DQ605" s="1342">
        <f>+SUM(DQ581:DQ594)+SUM(DQ596:DQ604)</f>
        <v>0</v>
      </c>
      <c r="DR605" s="877">
        <f>+SUM(DR581:DR594)+SUM(DR596:DR604)</f>
        <v>0</v>
      </c>
      <c r="DS605" s="877">
        <f>+DT605</f>
        <v>0</v>
      </c>
      <c r="DT605" s="1342">
        <f>+SUM(DT581:DT594)+SUM(DT596:DT604)</f>
        <v>0</v>
      </c>
      <c r="DU605" s="877">
        <f>+SUM(DU581:DU594)+SUM(DU596:DU604)</f>
        <v>0</v>
      </c>
      <c r="DV605" s="877">
        <f>+DW605</f>
        <v>0</v>
      </c>
      <c r="DW605" s="1342">
        <f>+SUM(DW581:DW594)+SUM(DW596:DW604)</f>
        <v>0</v>
      </c>
      <c r="DX605" s="877">
        <f>+SUM(DX581:DX594)+SUM(DX596:DX604)</f>
        <v>0</v>
      </c>
      <c r="DY605" s="877">
        <f>+DZ605</f>
        <v>0</v>
      </c>
      <c r="DZ605" s="1342">
        <f>+SUM(DZ581:DZ594)+SUM(DZ596:DZ604)</f>
        <v>0</v>
      </c>
      <c r="EA605" s="877">
        <f>+SUM(EA581:EA594)+SUM(EA596:EA604)</f>
        <v>0</v>
      </c>
      <c r="EB605" s="877">
        <f>+EC605</f>
        <v>0</v>
      </c>
      <c r="EC605" s="1342">
        <f>+SUM(EC581:EC594)+SUM(EC596:EC604)</f>
        <v>0</v>
      </c>
      <c r="ED605" s="877">
        <f>+SUM(ED581:ED594)+SUM(ED596:ED604)</f>
        <v>0</v>
      </c>
      <c r="EE605" s="877">
        <f>+EF605</f>
        <v>0</v>
      </c>
      <c r="EF605" s="1342">
        <f>+SUM(EF581:EF594)+SUM(EF596:EF604)</f>
        <v>0</v>
      </c>
      <c r="EG605" s="877">
        <f>+SUM(EG581:EG594)+SUM(EG596:EG604)</f>
        <v>0</v>
      </c>
      <c r="EH605" s="877">
        <f>+EI605</f>
        <v>0</v>
      </c>
      <c r="EI605" s="1342">
        <f>+SUM(EI581:EI594)+SUM(EI596:EI604)</f>
        <v>0</v>
      </c>
      <c r="EJ605" s="877">
        <f>+SUM(EJ581:EJ594)+SUM(EJ596:EJ604)</f>
        <v>0</v>
      </c>
      <c r="EK605" s="877">
        <f>+EL605</f>
        <v>0</v>
      </c>
      <c r="EL605" s="1342">
        <f>+SUM(EL581:EL594)+SUM(EL596:EL604)</f>
        <v>0</v>
      </c>
      <c r="EM605" s="877">
        <f>+SUM(EM581:EM594)+SUM(EM596:EM604)</f>
        <v>0</v>
      </c>
      <c r="EN605" s="877">
        <f>+EO605</f>
        <v>0</v>
      </c>
      <c r="EO605" s="1342">
        <f>+SUM(EO581:EO594)+SUM(EO596:EO604)</f>
        <v>0</v>
      </c>
      <c r="EP605" s="877">
        <f>+SUM(EP581:EP594)+SUM(EP596:EP604)</f>
        <v>0</v>
      </c>
      <c r="EQ605" s="877">
        <f>+ER605</f>
        <v>0</v>
      </c>
      <c r="ER605" s="1342">
        <f>+SUM(ER581:ER594)+SUM(ER596:ER604)</f>
        <v>0</v>
      </c>
      <c r="ES605" s="877">
        <f>+SUM(ES581:ES594)+SUM(ES596:ES604)</f>
        <v>0</v>
      </c>
      <c r="ET605" s="877">
        <f>+EU605</f>
        <v>0</v>
      </c>
      <c r="EU605" s="1342">
        <f>+SUM(EU581:EU594)+SUM(EU596:EU604)</f>
        <v>0</v>
      </c>
      <c r="EV605" s="877">
        <f>+SUM(EV581:EV594)+SUM(EV596:EV604)</f>
        <v>0</v>
      </c>
      <c r="EW605" s="877">
        <f>+EX605</f>
        <v>0</v>
      </c>
      <c r="EX605" s="1342">
        <f>+SUM(EX581:EX594)+SUM(EX596:EX604)</f>
        <v>0</v>
      </c>
      <c r="EY605" s="877">
        <f>+SUM(EY581:EY594)+SUM(EY596:EY604)</f>
        <v>0</v>
      </c>
      <c r="EZ605" s="877">
        <f>+FA605</f>
        <v>0</v>
      </c>
      <c r="FA605" s="1342">
        <f>+SUM(FA581:FA594)+SUM(FA596:FA604)</f>
        <v>0</v>
      </c>
      <c r="FE605"/>
      <c r="FF605"/>
      <c r="FG605"/>
      <c r="FH605"/>
      <c r="FI605"/>
      <c r="FJ605"/>
      <c r="FK605" s="35"/>
    </row>
    <row r="606" spans="1:167" s="235" customFormat="1" ht="13.35" customHeight="1">
      <c r="A606" s="821"/>
      <c r="B606" s="821"/>
      <c r="C606" s="862"/>
      <c r="D606" s="821"/>
      <c r="E606" s="863"/>
      <c r="F606" s="863"/>
      <c r="G606" s="863"/>
      <c r="H606" s="863"/>
      <c r="I606" s="863"/>
      <c r="J606" s="863"/>
      <c r="K606" s="863"/>
      <c r="L606" s="863"/>
      <c r="M606" s="863"/>
      <c r="N606" s="863"/>
      <c r="O606" s="863"/>
      <c r="P606" s="863"/>
      <c r="Q606" s="864"/>
      <c r="R606" s="864"/>
      <c r="S606" s="864"/>
      <c r="T606" s="864"/>
      <c r="U606" s="864"/>
      <c r="V606" s="865"/>
      <c r="W606" s="865"/>
      <c r="X606" s="865"/>
      <c r="Y606" s="865"/>
      <c r="Z606" s="865"/>
      <c r="AA606" s="865"/>
      <c r="AB606" s="865"/>
      <c r="AC606" s="865"/>
      <c r="AD606" s="865"/>
      <c r="AE606" s="865"/>
      <c r="AF606" s="865"/>
      <c r="AG606" s="865"/>
      <c r="AH606" s="865"/>
      <c r="AI606" s="865"/>
      <c r="AJ606" s="865"/>
      <c r="AK606" s="865"/>
      <c r="AL606" s="865"/>
      <c r="AM606" s="865"/>
      <c r="AN606" s="856"/>
      <c r="AO606" s="856"/>
      <c r="AP606" s="856"/>
      <c r="AQ606" s="856"/>
      <c r="AR606" s="856"/>
      <c r="AS606" s="856"/>
      <c r="AT606" s="856"/>
      <c r="AU606" s="856"/>
      <c r="AV606" s="856"/>
      <c r="AW606" s="856"/>
      <c r="AX606" s="856"/>
      <c r="AY606" s="856"/>
      <c r="AZ606" s="856"/>
      <c r="BA606" s="856"/>
      <c r="BB606" s="856"/>
      <c r="BC606" s="856"/>
      <c r="BD606" s="856"/>
      <c r="BE606" s="856"/>
      <c r="BF606" s="856"/>
      <c r="BG606" s="856"/>
      <c r="BH606" s="856"/>
      <c r="BI606" s="856"/>
      <c r="BJ606" s="856"/>
      <c r="BK606" s="856"/>
      <c r="BL606" s="856"/>
      <c r="BM606" s="856"/>
      <c r="BN606" s="856"/>
      <c r="BO606" s="856"/>
      <c r="BP606" s="856"/>
      <c r="BQ606" s="856"/>
      <c r="BR606" s="856"/>
      <c r="BS606" s="856"/>
      <c r="BT606" s="856"/>
      <c r="BU606" s="856"/>
      <c r="BV606" s="856"/>
      <c r="BW606" s="856"/>
      <c r="BX606" s="856"/>
      <c r="BY606" s="856"/>
      <c r="BZ606" s="856"/>
      <c r="CA606" s="856"/>
      <c r="CB606" s="856"/>
      <c r="CC606" s="856"/>
      <c r="CD606" s="534"/>
      <c r="CE606" s="534"/>
      <c r="CF606" s="534"/>
      <c r="CG606" s="534"/>
      <c r="CH606" s="534"/>
      <c r="CI606" s="534"/>
      <c r="CJ606" s="534"/>
      <c r="CK606" s="534"/>
      <c r="CL606" s="534"/>
      <c r="CM606" s="534"/>
      <c r="CN606" s="534"/>
      <c r="CO606" s="534"/>
      <c r="CP606" s="534"/>
      <c r="CQ606" s="534"/>
      <c r="CR606" s="534"/>
      <c r="CS606" s="534"/>
      <c r="CT606" s="534"/>
      <c r="CU606" s="534"/>
      <c r="CV606" s="534"/>
      <c r="CW606" s="534"/>
      <c r="CX606" s="534"/>
      <c r="CY606" s="534"/>
      <c r="CZ606" s="534"/>
      <c r="DA606" s="534"/>
      <c r="DB606" s="534"/>
      <c r="DC606" s="534"/>
      <c r="DD606" s="534"/>
      <c r="DE606" s="534"/>
      <c r="DF606" s="534"/>
      <c r="DG606" s="534"/>
      <c r="DH606" s="1262"/>
      <c r="DI606" s="534"/>
      <c r="DJ606" s="534"/>
      <c r="DK606" s="1262"/>
      <c r="DL606" s="534"/>
      <c r="DM606" s="534"/>
      <c r="DN606" s="1262"/>
      <c r="DO606" s="534"/>
      <c r="DP606" s="534"/>
      <c r="DQ606" s="1262"/>
      <c r="DR606" s="534"/>
      <c r="DS606" s="534"/>
      <c r="DT606" s="1262"/>
      <c r="DU606" s="534"/>
      <c r="DV606" s="534"/>
      <c r="DW606" s="1262"/>
      <c r="DX606" s="534"/>
      <c r="DY606" s="534"/>
      <c r="DZ606" s="1262"/>
      <c r="EA606" s="534"/>
      <c r="EB606" s="534"/>
      <c r="EC606" s="1262"/>
      <c r="ED606" s="534"/>
      <c r="EE606" s="534"/>
      <c r="EF606" s="1262"/>
      <c r="EG606" s="534"/>
      <c r="EH606" s="534"/>
      <c r="EI606" s="1262"/>
      <c r="EJ606" s="534"/>
      <c r="EK606" s="534"/>
      <c r="EL606" s="1262"/>
      <c r="EM606" s="534"/>
      <c r="EN606" s="534"/>
      <c r="EO606" s="1262"/>
      <c r="EP606" s="534"/>
      <c r="EQ606" s="534"/>
      <c r="ER606" s="1262"/>
      <c r="ES606" s="534"/>
      <c r="ET606" s="534"/>
      <c r="EU606" s="1262"/>
      <c r="EV606" s="534"/>
      <c r="EW606" s="534"/>
      <c r="EX606" s="1262"/>
      <c r="EY606" s="534"/>
      <c r="EZ606" s="534"/>
      <c r="FA606" s="1262"/>
      <c r="FE606"/>
      <c r="FF606"/>
      <c r="FG606"/>
      <c r="FH606"/>
      <c r="FI606"/>
      <c r="FJ606"/>
      <c r="FK606" s="35"/>
    </row>
    <row r="607" spans="1:167" s="235" customFormat="1" ht="13.35" customHeight="1">
      <c r="A607" s="821"/>
      <c r="B607" s="845" t="s">
        <v>645</v>
      </c>
      <c r="C607" s="862"/>
      <c r="D607" s="821"/>
      <c r="E607" s="863"/>
      <c r="F607" s="863"/>
      <c r="G607" s="863"/>
      <c r="H607" s="863"/>
      <c r="I607" s="863"/>
      <c r="J607" s="863"/>
      <c r="K607" s="863"/>
      <c r="L607" s="863"/>
      <c r="M607" s="863"/>
      <c r="N607" s="863"/>
      <c r="O607" s="863"/>
      <c r="P607" s="863"/>
      <c r="Q607" s="864"/>
      <c r="R607" s="864"/>
      <c r="S607" s="864"/>
      <c r="T607" s="864"/>
      <c r="U607" s="864"/>
      <c r="V607" s="865"/>
      <c r="W607" s="865"/>
      <c r="X607" s="865"/>
      <c r="Y607" s="865"/>
      <c r="Z607" s="865"/>
      <c r="AA607" s="865"/>
      <c r="AB607" s="865"/>
      <c r="AC607" s="865"/>
      <c r="AD607" s="865"/>
      <c r="AE607" s="865"/>
      <c r="AF607" s="865"/>
      <c r="AG607" s="865"/>
      <c r="AH607" s="865"/>
      <c r="AI607" s="865"/>
      <c r="AJ607" s="865"/>
      <c r="AK607" s="865"/>
      <c r="AL607" s="865"/>
      <c r="AM607" s="865"/>
      <c r="AN607" s="876">
        <f t="shared" ref="AN607:AW607" si="1471">+AN577-AN605</f>
        <v>0</v>
      </c>
      <c r="AO607" s="876">
        <f t="shared" si="1471"/>
        <v>0</v>
      </c>
      <c r="AP607" s="876">
        <f t="shared" si="1471"/>
        <v>0</v>
      </c>
      <c r="AQ607" s="876">
        <f t="shared" si="1471"/>
        <v>0</v>
      </c>
      <c r="AR607" s="876">
        <f t="shared" si="1471"/>
        <v>0</v>
      </c>
      <c r="AS607" s="876">
        <f t="shared" si="1471"/>
        <v>0</v>
      </c>
      <c r="AT607" s="876">
        <f t="shared" si="1471"/>
        <v>0</v>
      </c>
      <c r="AU607" s="876">
        <f t="shared" si="1471"/>
        <v>0</v>
      </c>
      <c r="AV607" s="876">
        <f t="shared" si="1471"/>
        <v>0</v>
      </c>
      <c r="AW607" s="876">
        <f t="shared" si="1471"/>
        <v>0</v>
      </c>
      <c r="AX607" s="876">
        <f t="shared" ref="AX607:BG607" si="1472">+AX577-AX605</f>
        <v>0</v>
      </c>
      <c r="AY607" s="876">
        <f t="shared" si="1472"/>
        <v>0</v>
      </c>
      <c r="AZ607" s="876">
        <f t="shared" si="1472"/>
        <v>0</v>
      </c>
      <c r="BA607" s="876">
        <f t="shared" si="1472"/>
        <v>0</v>
      </c>
      <c r="BB607" s="876">
        <f t="shared" si="1472"/>
        <v>0</v>
      </c>
      <c r="BC607" s="876">
        <f t="shared" si="1472"/>
        <v>0</v>
      </c>
      <c r="BD607" s="876">
        <f t="shared" si="1472"/>
        <v>0</v>
      </c>
      <c r="BE607" s="876">
        <f t="shared" si="1472"/>
        <v>0</v>
      </c>
      <c r="BF607" s="876">
        <f t="shared" si="1472"/>
        <v>0</v>
      </c>
      <c r="BG607" s="876">
        <f t="shared" si="1472"/>
        <v>0</v>
      </c>
      <c r="BH607" s="876">
        <f t="shared" ref="BH607:BO607" si="1473">+BH577-BH605</f>
        <v>0</v>
      </c>
      <c r="BI607" s="876">
        <f t="shared" si="1473"/>
        <v>0</v>
      </c>
      <c r="BJ607" s="876">
        <f t="shared" si="1473"/>
        <v>0</v>
      </c>
      <c r="BK607" s="876">
        <f t="shared" si="1473"/>
        <v>0</v>
      </c>
      <c r="BL607" s="876">
        <f t="shared" si="1473"/>
        <v>0</v>
      </c>
      <c r="BM607" s="876">
        <f t="shared" si="1473"/>
        <v>0</v>
      </c>
      <c r="BN607" s="876">
        <f t="shared" si="1473"/>
        <v>0</v>
      </c>
      <c r="BO607" s="876">
        <f t="shared" si="1473"/>
        <v>0</v>
      </c>
      <c r="BP607" s="876">
        <f t="shared" ref="BP607:DK607" si="1474">+BP577-BP605</f>
        <v>0</v>
      </c>
      <c r="BQ607" s="876">
        <f t="shared" si="1474"/>
        <v>0</v>
      </c>
      <c r="BR607" s="876">
        <f t="shared" si="1474"/>
        <v>0</v>
      </c>
      <c r="BS607" s="876">
        <f t="shared" si="1474"/>
        <v>0</v>
      </c>
      <c r="BT607" s="876">
        <f t="shared" si="1474"/>
        <v>0</v>
      </c>
      <c r="BU607" s="876">
        <f t="shared" si="1474"/>
        <v>0</v>
      </c>
      <c r="BV607" s="876">
        <f t="shared" si="1474"/>
        <v>0</v>
      </c>
      <c r="BW607" s="876">
        <f t="shared" si="1474"/>
        <v>0</v>
      </c>
      <c r="BX607" s="876">
        <f t="shared" si="1474"/>
        <v>0</v>
      </c>
      <c r="BY607" s="876">
        <f t="shared" si="1474"/>
        <v>0</v>
      </c>
      <c r="BZ607" s="876">
        <f t="shared" si="1474"/>
        <v>0</v>
      </c>
      <c r="CA607" s="876">
        <f t="shared" si="1474"/>
        <v>0</v>
      </c>
      <c r="CB607" s="876">
        <f t="shared" si="1474"/>
        <v>0</v>
      </c>
      <c r="CC607" s="876">
        <f t="shared" si="1474"/>
        <v>0</v>
      </c>
      <c r="CD607" s="877">
        <f t="shared" si="1474"/>
        <v>0</v>
      </c>
      <c r="CE607" s="877">
        <f t="shared" si="1474"/>
        <v>0</v>
      </c>
      <c r="CF607" s="877">
        <f t="shared" si="1474"/>
        <v>0</v>
      </c>
      <c r="CG607" s="877">
        <f t="shared" si="1474"/>
        <v>0</v>
      </c>
      <c r="CH607" s="877">
        <f t="shared" si="1474"/>
        <v>0</v>
      </c>
      <c r="CI607" s="877">
        <f t="shared" si="1474"/>
        <v>0</v>
      </c>
      <c r="CJ607" s="877">
        <f t="shared" si="1474"/>
        <v>0</v>
      </c>
      <c r="CK607" s="877">
        <f t="shared" si="1474"/>
        <v>0</v>
      </c>
      <c r="CL607" s="877">
        <f t="shared" si="1474"/>
        <v>0</v>
      </c>
      <c r="CM607" s="877">
        <f t="shared" si="1474"/>
        <v>0</v>
      </c>
      <c r="CN607" s="877">
        <f t="shared" si="1474"/>
        <v>0</v>
      </c>
      <c r="CO607" s="877">
        <f t="shared" si="1474"/>
        <v>0</v>
      </c>
      <c r="CP607" s="877">
        <f t="shared" si="1474"/>
        <v>0</v>
      </c>
      <c r="CQ607" s="877">
        <f t="shared" si="1474"/>
        <v>0</v>
      </c>
      <c r="CR607" s="877">
        <f t="shared" si="1474"/>
        <v>0</v>
      </c>
      <c r="CS607" s="877">
        <f t="shared" si="1474"/>
        <v>0</v>
      </c>
      <c r="CT607" s="877">
        <f t="shared" si="1474"/>
        <v>0</v>
      </c>
      <c r="CU607" s="877">
        <f t="shared" si="1474"/>
        <v>0</v>
      </c>
      <c r="CV607" s="877">
        <f t="shared" si="1474"/>
        <v>0</v>
      </c>
      <c r="CW607" s="877">
        <f t="shared" si="1474"/>
        <v>0</v>
      </c>
      <c r="CX607" s="877">
        <f t="shared" si="1474"/>
        <v>0</v>
      </c>
      <c r="CY607" s="877">
        <f t="shared" si="1474"/>
        <v>0</v>
      </c>
      <c r="CZ607" s="877">
        <f t="shared" si="1474"/>
        <v>0</v>
      </c>
      <c r="DA607" s="877">
        <f t="shared" si="1474"/>
        <v>0</v>
      </c>
      <c r="DB607" s="877">
        <f t="shared" si="1474"/>
        <v>0</v>
      </c>
      <c r="DC607" s="877">
        <f t="shared" si="1474"/>
        <v>0</v>
      </c>
      <c r="DD607" s="877">
        <f t="shared" si="1474"/>
        <v>0</v>
      </c>
      <c r="DE607" s="877">
        <f t="shared" si="1474"/>
        <v>0</v>
      </c>
      <c r="DF607" s="877">
        <f t="shared" si="1474"/>
        <v>0</v>
      </c>
      <c r="DG607" s="877">
        <f t="shared" si="1474"/>
        <v>0</v>
      </c>
      <c r="DH607" s="1342">
        <f t="shared" si="1474"/>
        <v>0</v>
      </c>
      <c r="DI607" s="877">
        <f t="shared" si="1474"/>
        <v>0</v>
      </c>
      <c r="DJ607" s="877">
        <f t="shared" si="1474"/>
        <v>0</v>
      </c>
      <c r="DK607" s="1342">
        <f t="shared" si="1474"/>
        <v>0</v>
      </c>
      <c r="DL607" s="877">
        <f t="shared" ref="DL607:DQ607" si="1475">+DL577-DL605</f>
        <v>0</v>
      </c>
      <c r="DM607" s="877">
        <f t="shared" si="1475"/>
        <v>0</v>
      </c>
      <c r="DN607" s="1342">
        <f t="shared" si="1475"/>
        <v>0</v>
      </c>
      <c r="DO607" s="877">
        <f t="shared" si="1475"/>
        <v>0</v>
      </c>
      <c r="DP607" s="877">
        <f t="shared" si="1475"/>
        <v>0</v>
      </c>
      <c r="DQ607" s="1342">
        <f t="shared" si="1475"/>
        <v>0</v>
      </c>
      <c r="DR607" s="877">
        <f t="shared" ref="DR607:DW607" si="1476">+DR577-DR605</f>
        <v>0</v>
      </c>
      <c r="DS607" s="877">
        <f t="shared" si="1476"/>
        <v>0</v>
      </c>
      <c r="DT607" s="1342">
        <f t="shared" si="1476"/>
        <v>0</v>
      </c>
      <c r="DU607" s="877">
        <f t="shared" si="1476"/>
        <v>0</v>
      </c>
      <c r="DV607" s="877">
        <f t="shared" si="1476"/>
        <v>0</v>
      </c>
      <c r="DW607" s="1342">
        <f t="shared" si="1476"/>
        <v>0</v>
      </c>
      <c r="DX607" s="877">
        <f t="shared" ref="DX607:EC607" si="1477">+DX577-DX605</f>
        <v>0</v>
      </c>
      <c r="DY607" s="877">
        <f t="shared" si="1477"/>
        <v>0</v>
      </c>
      <c r="DZ607" s="1342">
        <f t="shared" si="1477"/>
        <v>0</v>
      </c>
      <c r="EA607" s="877">
        <f t="shared" si="1477"/>
        <v>0</v>
      </c>
      <c r="EB607" s="877">
        <f t="shared" si="1477"/>
        <v>0</v>
      </c>
      <c r="EC607" s="1342">
        <f t="shared" si="1477"/>
        <v>0</v>
      </c>
      <c r="ED607" s="877">
        <f t="shared" ref="ED607:EL607" si="1478">+ED577-ED605</f>
        <v>0</v>
      </c>
      <c r="EE607" s="877">
        <f t="shared" si="1478"/>
        <v>0</v>
      </c>
      <c r="EF607" s="1342">
        <f t="shared" si="1478"/>
        <v>0</v>
      </c>
      <c r="EG607" s="877">
        <f t="shared" si="1478"/>
        <v>0</v>
      </c>
      <c r="EH607" s="877">
        <f t="shared" si="1478"/>
        <v>0</v>
      </c>
      <c r="EI607" s="1342">
        <f t="shared" si="1478"/>
        <v>0</v>
      </c>
      <c r="EJ607" s="877">
        <f t="shared" si="1478"/>
        <v>0</v>
      </c>
      <c r="EK607" s="877">
        <f t="shared" si="1478"/>
        <v>0</v>
      </c>
      <c r="EL607" s="1342">
        <f t="shared" si="1478"/>
        <v>0</v>
      </c>
      <c r="EM607" s="877">
        <f t="shared" ref="EM607:ER607" si="1479">+EM577-EM605</f>
        <v>0</v>
      </c>
      <c r="EN607" s="877">
        <f t="shared" si="1479"/>
        <v>0</v>
      </c>
      <c r="EO607" s="1342">
        <f t="shared" si="1479"/>
        <v>0</v>
      </c>
      <c r="EP607" s="877">
        <f t="shared" si="1479"/>
        <v>0</v>
      </c>
      <c r="EQ607" s="877">
        <f t="shared" si="1479"/>
        <v>0</v>
      </c>
      <c r="ER607" s="1342">
        <f t="shared" si="1479"/>
        <v>0</v>
      </c>
      <c r="ES607" s="877">
        <f t="shared" ref="ES607:EX607" si="1480">+ES577-ES605</f>
        <v>0</v>
      </c>
      <c r="ET607" s="877">
        <f t="shared" si="1480"/>
        <v>0</v>
      </c>
      <c r="EU607" s="1342">
        <f t="shared" si="1480"/>
        <v>0</v>
      </c>
      <c r="EV607" s="877">
        <f t="shared" si="1480"/>
        <v>0</v>
      </c>
      <c r="EW607" s="877">
        <f t="shared" si="1480"/>
        <v>0</v>
      </c>
      <c r="EX607" s="1342">
        <f t="shared" si="1480"/>
        <v>0</v>
      </c>
      <c r="EY607" s="877">
        <f t="shared" ref="EY607:FA607" si="1481">+EY577-EY605</f>
        <v>0</v>
      </c>
      <c r="EZ607" s="877">
        <f t="shared" si="1481"/>
        <v>0</v>
      </c>
      <c r="FA607" s="1342">
        <f t="shared" si="1481"/>
        <v>0</v>
      </c>
      <c r="FE607"/>
      <c r="FF607"/>
      <c r="FG607"/>
      <c r="FH607"/>
      <c r="FI607"/>
      <c r="FJ607"/>
      <c r="FK607" s="35"/>
    </row>
    <row r="608" spans="1:167" s="235" customFormat="1" ht="13.35" customHeight="1">
      <c r="A608" s="821"/>
      <c r="B608" s="821"/>
      <c r="C608" s="862"/>
      <c r="D608" s="821"/>
      <c r="E608" s="821"/>
      <c r="F608" s="821"/>
      <c r="G608" s="821"/>
      <c r="H608" s="821"/>
      <c r="I608" s="821"/>
      <c r="J608" s="821"/>
      <c r="K608" s="821"/>
      <c r="L608" s="821"/>
      <c r="M608" s="821"/>
      <c r="N608" s="821"/>
      <c r="O608" s="821"/>
      <c r="P608" s="821"/>
      <c r="Q608" s="810"/>
      <c r="R608" s="810"/>
      <c r="S608" s="810"/>
      <c r="T608" s="810"/>
      <c r="U608" s="810"/>
      <c r="V608" s="808"/>
      <c r="W608" s="808"/>
      <c r="X608" s="808"/>
      <c r="Y608" s="808"/>
      <c r="Z608" s="808"/>
      <c r="AA608" s="808"/>
      <c r="AB608" s="808"/>
      <c r="AC608" s="808"/>
      <c r="AD608" s="808"/>
      <c r="AE608" s="808"/>
      <c r="AF608" s="808"/>
      <c r="AG608" s="808"/>
      <c r="AH608" s="808"/>
      <c r="AI608" s="808"/>
      <c r="AJ608" s="808"/>
      <c r="AK608" s="808"/>
      <c r="AL608" s="808"/>
      <c r="AM608" s="808"/>
      <c r="AN608" s="808"/>
      <c r="AO608" s="808"/>
      <c r="AP608" s="808"/>
      <c r="AQ608" s="808"/>
      <c r="AR608" s="808"/>
      <c r="AS608" s="808"/>
      <c r="AT608" s="808"/>
      <c r="AU608" s="821"/>
      <c r="AV608" s="821"/>
      <c r="AW608" s="821"/>
      <c r="AX608" s="821"/>
      <c r="AY608" s="821"/>
      <c r="AZ608" s="821"/>
      <c r="BA608" s="821"/>
      <c r="BB608" s="821"/>
      <c r="BC608" s="821"/>
      <c r="BD608" s="821"/>
      <c r="BE608" s="821"/>
      <c r="BF608" s="821"/>
      <c r="BG608" s="821"/>
      <c r="BH608" s="821"/>
      <c r="BI608" s="821"/>
      <c r="BJ608" s="821"/>
      <c r="BK608" s="821"/>
      <c r="BL608" s="821"/>
      <c r="BM608" s="821"/>
      <c r="BN608" s="821"/>
      <c r="BO608" s="821"/>
      <c r="BP608" s="821"/>
      <c r="BQ608" s="821"/>
      <c r="BR608" s="821"/>
      <c r="BS608" s="821"/>
      <c r="BT608" s="821"/>
      <c r="BU608" s="821"/>
      <c r="BV608" s="821"/>
      <c r="BW608" s="821"/>
      <c r="BX608" s="821"/>
      <c r="BY608" s="821"/>
      <c r="BZ608" s="821"/>
      <c r="CA608" s="821"/>
      <c r="CB608" s="821"/>
      <c r="CC608" s="821"/>
      <c r="CD608" s="289"/>
      <c r="CE608" s="289"/>
      <c r="CF608" s="289"/>
      <c r="CG608" s="289"/>
      <c r="CH608" s="289"/>
      <c r="CI608" s="289"/>
      <c r="CJ608" s="289"/>
      <c r="CK608" s="289"/>
      <c r="CL608" s="289"/>
      <c r="CM608" s="289"/>
      <c r="CN608" s="289"/>
      <c r="CO608" s="289"/>
      <c r="CP608" s="289"/>
      <c r="CQ608" s="289"/>
      <c r="CR608" s="289"/>
      <c r="CS608" s="289"/>
      <c r="CT608" s="289"/>
      <c r="CU608" s="289"/>
      <c r="CV608" s="289"/>
      <c r="CW608" s="289"/>
      <c r="CX608" s="289"/>
      <c r="CY608" s="289"/>
      <c r="CZ608" s="289"/>
      <c r="DA608" s="289"/>
      <c r="DB608" s="289"/>
      <c r="DC608" s="289"/>
      <c r="DD608" s="289"/>
      <c r="DE608" s="289"/>
      <c r="DF608" s="289"/>
      <c r="DG608" s="289"/>
      <c r="DH608" s="1326"/>
      <c r="DI608" s="289"/>
      <c r="DJ608" s="289"/>
      <c r="DK608" s="1326"/>
      <c r="DL608" s="289"/>
      <c r="DM608" s="289"/>
      <c r="DN608" s="1326"/>
      <c r="DO608" s="289"/>
      <c r="DP608" s="289"/>
      <c r="DQ608" s="1326"/>
      <c r="DR608" s="289"/>
      <c r="DS608" s="289"/>
      <c r="DT608" s="1326"/>
      <c r="DU608" s="289"/>
      <c r="DV608" s="289"/>
      <c r="DW608" s="1326"/>
      <c r="DX608" s="289"/>
      <c r="DY608" s="289"/>
      <c r="DZ608" s="1326"/>
      <c r="EA608" s="289"/>
      <c r="EB608" s="289"/>
      <c r="EC608" s="1326"/>
      <c r="ED608" s="289"/>
      <c r="EE608" s="289"/>
      <c r="EF608" s="1326"/>
      <c r="EG608" s="289"/>
      <c r="EH608" s="289"/>
      <c r="EI608" s="1326"/>
      <c r="EJ608" s="289"/>
      <c r="EK608" s="289"/>
      <c r="EL608" s="1326"/>
      <c r="EM608" s="289"/>
      <c r="EN608" s="289"/>
      <c r="EO608" s="1326"/>
      <c r="EP608" s="289"/>
      <c r="EQ608" s="289"/>
      <c r="ER608" s="1326"/>
      <c r="ES608" s="289"/>
      <c r="ET608" s="289"/>
      <c r="EU608" s="1326"/>
      <c r="EV608" s="289"/>
      <c r="EW608" s="289"/>
      <c r="EX608" s="1326"/>
      <c r="EY608" s="289"/>
      <c r="EZ608" s="289"/>
      <c r="FA608" s="1326"/>
      <c r="FE608"/>
      <c r="FF608"/>
      <c r="FG608"/>
      <c r="FH608"/>
      <c r="FI608"/>
      <c r="FJ608"/>
      <c r="FK608" s="35"/>
    </row>
    <row r="609" spans="1:167" s="235" customFormat="1" ht="13.35" customHeight="1">
      <c r="A609" s="821"/>
      <c r="B609" s="881" t="s">
        <v>924</v>
      </c>
      <c r="C609" s="862"/>
      <c r="D609" s="821"/>
      <c r="E609" s="821"/>
      <c r="F609" s="821"/>
      <c r="G609" s="821"/>
      <c r="H609" s="821"/>
      <c r="I609" s="821"/>
      <c r="J609" s="821"/>
      <c r="K609" s="821"/>
      <c r="L609" s="821"/>
      <c r="M609" s="821"/>
      <c r="N609" s="821"/>
      <c r="O609" s="821"/>
      <c r="P609" s="821"/>
      <c r="Q609" s="810"/>
      <c r="R609" s="810"/>
      <c r="S609" s="810"/>
      <c r="T609" s="810"/>
      <c r="U609" s="810"/>
      <c r="V609" s="808"/>
      <c r="W609" s="808"/>
      <c r="X609" s="808"/>
      <c r="Y609" s="808"/>
      <c r="Z609" s="808"/>
      <c r="AA609" s="808"/>
      <c r="AB609" s="808"/>
      <c r="AC609" s="808"/>
      <c r="AD609" s="808"/>
      <c r="AE609" s="808"/>
      <c r="AF609" s="808"/>
      <c r="AG609" s="808"/>
      <c r="AH609" s="808"/>
      <c r="AI609" s="808"/>
      <c r="AJ609" s="808"/>
      <c r="AK609" s="808"/>
      <c r="AL609" s="808"/>
      <c r="AM609" s="808"/>
      <c r="AN609" s="808"/>
      <c r="AO609" s="808"/>
      <c r="AP609" s="808"/>
      <c r="AQ609" s="808"/>
      <c r="AR609" s="808"/>
      <c r="AS609" s="808"/>
      <c r="AT609" s="808"/>
      <c r="AU609" s="821"/>
      <c r="AV609" s="821"/>
      <c r="AW609" s="821"/>
      <c r="AX609" s="821"/>
      <c r="AY609" s="821"/>
      <c r="AZ609" s="821"/>
      <c r="BA609" s="821"/>
      <c r="BB609" s="821"/>
      <c r="BC609" s="821"/>
      <c r="BD609" s="821"/>
      <c r="BE609" s="821"/>
      <c r="BF609" s="821"/>
      <c r="BG609" s="821"/>
      <c r="BH609" s="821"/>
      <c r="BI609" s="821"/>
      <c r="BJ609" s="821"/>
      <c r="BK609" s="821"/>
      <c r="BL609" s="821"/>
      <c r="BM609" s="821"/>
      <c r="BN609" s="821"/>
      <c r="BO609" s="821"/>
      <c r="BP609" s="821"/>
      <c r="BQ609" s="821"/>
      <c r="BR609" s="821"/>
      <c r="BS609" s="821"/>
      <c r="BT609" s="821"/>
      <c r="BU609" s="821"/>
      <c r="BV609" s="821"/>
      <c r="BW609" s="821"/>
      <c r="BX609" s="821"/>
      <c r="BY609" s="821"/>
      <c r="BZ609" s="821"/>
      <c r="CA609" s="821"/>
      <c r="CB609" s="821"/>
      <c r="CC609" s="821"/>
      <c r="CD609" s="289"/>
      <c r="CE609" s="289"/>
      <c r="CF609" s="289"/>
      <c r="CG609" s="289"/>
      <c r="CH609" s="289"/>
      <c r="CI609" s="289"/>
      <c r="CJ609" s="289"/>
      <c r="CK609" s="289"/>
      <c r="CL609" s="289"/>
      <c r="CM609" s="289"/>
      <c r="CN609" s="289"/>
      <c r="CO609" s="289"/>
      <c r="CP609" s="289"/>
      <c r="CQ609" s="289"/>
      <c r="CR609" s="289"/>
      <c r="CS609" s="289"/>
      <c r="CT609" s="289"/>
      <c r="CU609" s="289"/>
      <c r="CV609" s="289"/>
      <c r="CW609" s="289"/>
      <c r="CX609" s="289"/>
      <c r="CY609" s="289"/>
      <c r="CZ609" s="289"/>
      <c r="DA609" s="289"/>
      <c r="DB609" s="289"/>
      <c r="DC609" s="289"/>
      <c r="DD609" s="289"/>
      <c r="DE609" s="289"/>
      <c r="DF609" s="289"/>
      <c r="DG609" s="289"/>
      <c r="DH609" s="1326"/>
      <c r="DI609" s="289"/>
      <c r="DJ609" s="289"/>
      <c r="DK609" s="1326"/>
      <c r="DL609" s="289"/>
      <c r="DM609" s="289"/>
      <c r="DN609" s="1326"/>
      <c r="DO609" s="289"/>
      <c r="DP609" s="289"/>
      <c r="DQ609" s="1326"/>
      <c r="DR609" s="289"/>
      <c r="DS609" s="289"/>
      <c r="DT609" s="1326"/>
      <c r="DU609" s="289"/>
      <c r="DV609" s="289"/>
      <c r="DW609" s="1326"/>
      <c r="DX609" s="289"/>
      <c r="DY609" s="289"/>
      <c r="DZ609" s="1326"/>
      <c r="EA609" s="289"/>
      <c r="EB609" s="289"/>
      <c r="EC609" s="1326"/>
      <c r="ED609" s="289"/>
      <c r="EE609" s="289"/>
      <c r="EF609" s="1326"/>
      <c r="EG609" s="289"/>
      <c r="EH609" s="289"/>
      <c r="EI609" s="1326"/>
      <c r="EJ609" s="289"/>
      <c r="EK609" s="289"/>
      <c r="EL609" s="1326"/>
      <c r="EM609" s="289"/>
      <c r="EN609" s="289"/>
      <c r="EO609" s="1326"/>
      <c r="EP609" s="289"/>
      <c r="EQ609" s="289"/>
      <c r="ER609" s="1326"/>
      <c r="ES609" s="289"/>
      <c r="ET609" s="289"/>
      <c r="EU609" s="1326"/>
      <c r="EV609" s="289"/>
      <c r="EW609" s="289"/>
      <c r="EX609" s="1326"/>
      <c r="EY609" s="289"/>
      <c r="EZ609" s="289"/>
      <c r="FA609" s="1326"/>
      <c r="FE609"/>
      <c r="FF609"/>
      <c r="FG609"/>
      <c r="FH609"/>
      <c r="FI609"/>
      <c r="FJ609"/>
      <c r="FK609" s="35"/>
    </row>
    <row r="610" spans="1:167" s="235" customFormat="1" ht="13.35" customHeight="1">
      <c r="A610" s="821"/>
      <c r="B610" s="821" t="s">
        <v>784</v>
      </c>
      <c r="C610" s="862"/>
      <c r="D610" s="821"/>
      <c r="E610" s="821"/>
      <c r="F610" s="821"/>
      <c r="G610" s="821"/>
      <c r="H610" s="821"/>
      <c r="I610" s="821"/>
      <c r="J610" s="821"/>
      <c r="K610" s="821"/>
      <c r="L610" s="821"/>
      <c r="M610" s="821"/>
      <c r="N610" s="821"/>
      <c r="O610" s="821"/>
      <c r="P610" s="821"/>
      <c r="Q610" s="810"/>
      <c r="R610" s="810"/>
      <c r="S610" s="810"/>
      <c r="T610" s="810"/>
      <c r="U610" s="810"/>
      <c r="V610" s="808"/>
      <c r="W610" s="808"/>
      <c r="X610" s="808"/>
      <c r="Y610" s="808"/>
      <c r="Z610" s="808"/>
      <c r="AA610" s="808"/>
      <c r="AB610" s="808"/>
      <c r="AC610" s="808"/>
      <c r="AD610" s="808"/>
      <c r="AE610" s="808"/>
      <c r="AF610" s="808"/>
      <c r="AG610" s="808"/>
      <c r="AH610" s="808"/>
      <c r="AI610" s="808"/>
      <c r="AJ610" s="808"/>
      <c r="AK610" s="808"/>
      <c r="AL610" s="808"/>
      <c r="AM610" s="808"/>
      <c r="AN610" s="808"/>
      <c r="AO610" s="808"/>
      <c r="AP610" s="808"/>
      <c r="AQ610" s="808"/>
      <c r="AR610" s="808"/>
      <c r="AS610" s="808"/>
      <c r="AT610" s="808"/>
      <c r="AU610" s="821"/>
      <c r="AV610" s="821"/>
      <c r="AW610" s="821"/>
      <c r="AX610" s="821"/>
      <c r="AY610" s="821"/>
      <c r="AZ610" s="821"/>
      <c r="BA610" s="821"/>
      <c r="BB610" s="821"/>
      <c r="BC610" s="821"/>
      <c r="BD610" s="821"/>
      <c r="BE610" s="821"/>
      <c r="BF610" s="821"/>
      <c r="BG610" s="821"/>
      <c r="BH610" s="821"/>
      <c r="BI610" s="821"/>
      <c r="BJ610" s="821"/>
      <c r="BK610" s="821"/>
      <c r="BL610" s="821"/>
      <c r="BM610" s="821"/>
      <c r="BN610" s="821"/>
      <c r="BO610" s="821"/>
      <c r="BP610" s="821"/>
      <c r="BQ610" s="821"/>
      <c r="BR610" s="821"/>
      <c r="BS610" s="821"/>
      <c r="BT610" s="821"/>
      <c r="BU610" s="821"/>
      <c r="BV610" s="821"/>
      <c r="BW610" s="821"/>
      <c r="BX610" s="821"/>
      <c r="BY610" s="821"/>
      <c r="BZ610" s="821"/>
      <c r="CA610" s="821"/>
      <c r="CB610" s="821"/>
      <c r="CC610" s="821"/>
      <c r="CD610" s="289"/>
      <c r="CE610" s="289"/>
      <c r="CF610" s="289"/>
      <c r="CG610" s="289"/>
      <c r="CH610" s="289"/>
      <c r="CI610" s="289"/>
      <c r="CJ610" s="289"/>
      <c r="CK610" s="289"/>
      <c r="CL610" s="289"/>
      <c r="CM610" s="289"/>
      <c r="CN610" s="289"/>
      <c r="CO610" s="289"/>
      <c r="CP610" s="289"/>
      <c r="CQ610" s="289"/>
      <c r="CR610" s="289"/>
      <c r="CS610" s="289"/>
      <c r="CT610" s="289"/>
      <c r="CU610" s="289"/>
      <c r="CV610" s="289"/>
      <c r="CW610" s="289"/>
      <c r="CX610" s="289"/>
      <c r="CY610" s="289"/>
      <c r="CZ610" s="289"/>
      <c r="DA610" s="289"/>
      <c r="DB610" s="289"/>
      <c r="DC610" s="289"/>
      <c r="DD610" s="289"/>
      <c r="DE610" s="289"/>
      <c r="DF610" s="289"/>
      <c r="DG610" s="289"/>
      <c r="DH610" s="1326"/>
      <c r="DI610" s="289"/>
      <c r="DJ610" s="289"/>
      <c r="DK610" s="1326"/>
      <c r="DL610" s="289"/>
      <c r="DM610" s="289"/>
      <c r="DN610" s="1326"/>
      <c r="DO610" s="289"/>
      <c r="DP610" s="289"/>
      <c r="DQ610" s="1326"/>
      <c r="DR610" s="289"/>
      <c r="DS610" s="289"/>
      <c r="DT610" s="1326"/>
      <c r="DU610" s="289"/>
      <c r="DV610" s="289"/>
      <c r="DW610" s="1326"/>
      <c r="DX610" s="289"/>
      <c r="DY610" s="289"/>
      <c r="DZ610" s="1326"/>
      <c r="EA610" s="289"/>
      <c r="EB610" s="289"/>
      <c r="EC610" s="1326"/>
      <c r="ED610" s="289"/>
      <c r="EE610" s="289"/>
      <c r="EF610" s="1326"/>
      <c r="EG610" s="289"/>
      <c r="EH610" s="289"/>
      <c r="EI610" s="1326"/>
      <c r="EJ610" s="289"/>
      <c r="EK610" s="289"/>
      <c r="EL610" s="1326"/>
      <c r="EM610" s="289"/>
      <c r="EN610" s="289"/>
      <c r="EO610" s="1326"/>
      <c r="EP610" s="289"/>
      <c r="EQ610" s="289"/>
      <c r="ER610" s="1326"/>
      <c r="ES610" s="289"/>
      <c r="ET610" s="289"/>
      <c r="EU610" s="1326"/>
      <c r="EV610" s="289"/>
      <c r="EW610" s="289"/>
      <c r="EX610" s="1326"/>
      <c r="EY610" s="289"/>
      <c r="EZ610" s="289"/>
      <c r="FA610" s="1326"/>
      <c r="FE610"/>
      <c r="FF610"/>
      <c r="FG610"/>
      <c r="FH610"/>
      <c r="FI610"/>
      <c r="FJ610"/>
      <c r="FK610" s="35"/>
    </row>
    <row r="611" spans="1:167" s="235" customFormat="1" ht="13.35" customHeight="1">
      <c r="A611" s="821"/>
      <c r="B611" s="821" t="s">
        <v>652</v>
      </c>
      <c r="C611" s="862"/>
      <c r="D611" s="821"/>
      <c r="E611" s="821"/>
      <c r="F611" s="821"/>
      <c r="G611" s="821"/>
      <c r="H611" s="821"/>
      <c r="I611" s="821"/>
      <c r="J611" s="821"/>
      <c r="K611" s="821"/>
      <c r="L611" s="821"/>
      <c r="M611" s="821"/>
      <c r="N611" s="821"/>
      <c r="O611" s="821"/>
      <c r="P611" s="821"/>
      <c r="Q611" s="810"/>
      <c r="R611" s="810"/>
      <c r="S611" s="810"/>
      <c r="T611" s="810"/>
      <c r="U611" s="810"/>
      <c r="V611" s="808"/>
      <c r="W611" s="808"/>
      <c r="X611" s="808"/>
      <c r="Y611" s="808"/>
      <c r="Z611" s="808"/>
      <c r="AA611" s="808"/>
      <c r="AB611" s="808"/>
      <c r="AC611" s="808"/>
      <c r="AD611" s="808"/>
      <c r="AE611" s="808"/>
      <c r="AF611" s="808"/>
      <c r="AG611" s="808"/>
      <c r="AH611" s="808"/>
      <c r="AI611" s="808"/>
      <c r="AJ611" s="808"/>
      <c r="AK611" s="808"/>
      <c r="AL611" s="808"/>
      <c r="AM611" s="808"/>
      <c r="AN611" s="808"/>
      <c r="AO611" s="808"/>
      <c r="AP611" s="808"/>
      <c r="AQ611" s="808"/>
      <c r="AR611" s="808"/>
      <c r="AS611" s="808"/>
      <c r="AT611" s="808"/>
      <c r="AU611" s="821"/>
      <c r="AV611" s="821"/>
      <c r="AW611" s="821"/>
      <c r="AX611" s="821"/>
      <c r="AY611" s="821"/>
      <c r="AZ611" s="821"/>
      <c r="BA611" s="821"/>
      <c r="BB611" s="821"/>
      <c r="BC611" s="821"/>
      <c r="BD611" s="821"/>
      <c r="BE611" s="821"/>
      <c r="BF611" s="821"/>
      <c r="BG611" s="821"/>
      <c r="BH611" s="821"/>
      <c r="BI611" s="821"/>
      <c r="BJ611" s="821"/>
      <c r="BK611" s="821"/>
      <c r="BL611" s="821"/>
      <c r="BM611" s="821"/>
      <c r="BN611" s="821"/>
      <c r="BO611" s="821"/>
      <c r="BP611" s="821"/>
      <c r="BQ611" s="821"/>
      <c r="BR611" s="821"/>
      <c r="BS611" s="821"/>
      <c r="BT611" s="821"/>
      <c r="BU611" s="821"/>
      <c r="BV611" s="821"/>
      <c r="BW611" s="821"/>
      <c r="BX611" s="821"/>
      <c r="BY611" s="821"/>
      <c r="BZ611" s="821"/>
      <c r="CA611" s="821"/>
      <c r="CB611" s="821"/>
      <c r="CC611" s="821"/>
      <c r="CD611" s="289"/>
      <c r="CE611" s="289"/>
      <c r="CF611" s="289"/>
      <c r="CG611" s="289"/>
      <c r="CH611" s="289"/>
      <c r="CI611" s="289"/>
      <c r="CJ611" s="289"/>
      <c r="CK611" s="289"/>
      <c r="CL611" s="289"/>
      <c r="CM611" s="289"/>
      <c r="CN611" s="289"/>
      <c r="CO611" s="289"/>
      <c r="CP611" s="289"/>
      <c r="CQ611" s="289"/>
      <c r="CR611" s="289"/>
      <c r="CS611" s="289"/>
      <c r="CT611" s="289"/>
      <c r="CU611" s="289"/>
      <c r="CV611" s="289"/>
      <c r="CW611" s="289"/>
      <c r="CX611" s="289"/>
      <c r="CY611" s="289"/>
      <c r="CZ611" s="289"/>
      <c r="DA611" s="289"/>
      <c r="DB611" s="289"/>
      <c r="DC611" s="289"/>
      <c r="DD611" s="289"/>
      <c r="DE611" s="289"/>
      <c r="DF611" s="289"/>
      <c r="DG611" s="289"/>
      <c r="DH611" s="1326"/>
      <c r="DI611" s="289"/>
      <c r="DJ611" s="289"/>
      <c r="DK611" s="1326"/>
      <c r="DL611" s="289"/>
      <c r="DM611" s="289"/>
      <c r="DN611" s="1326"/>
      <c r="DO611" s="289"/>
      <c r="DP611" s="289"/>
      <c r="DQ611" s="1326"/>
      <c r="DR611" s="289"/>
      <c r="DS611" s="289"/>
      <c r="DT611" s="1326"/>
      <c r="DU611" s="289"/>
      <c r="DV611" s="289"/>
      <c r="DW611" s="1326"/>
      <c r="DX611" s="289"/>
      <c r="DY611" s="289"/>
      <c r="DZ611" s="1326"/>
      <c r="EA611" s="289"/>
      <c r="EB611" s="289"/>
      <c r="EC611" s="1326"/>
      <c r="ED611" s="289"/>
      <c r="EE611" s="289"/>
      <c r="EF611" s="1326"/>
      <c r="EG611" s="289"/>
      <c r="EH611" s="289"/>
      <c r="EI611" s="1326"/>
      <c r="EJ611" s="289"/>
      <c r="EK611" s="289"/>
      <c r="EL611" s="1326"/>
      <c r="EM611" s="289"/>
      <c r="EN611" s="289"/>
      <c r="EO611" s="1326"/>
      <c r="EP611" s="289"/>
      <c r="EQ611" s="289"/>
      <c r="ER611" s="1326"/>
      <c r="ES611" s="289"/>
      <c r="ET611" s="289"/>
      <c r="EU611" s="1326"/>
      <c r="EV611" s="289"/>
      <c r="EW611" s="289"/>
      <c r="EX611" s="1326"/>
      <c r="EY611" s="289"/>
      <c r="EZ611" s="289"/>
      <c r="FA611" s="1326"/>
      <c r="FE611"/>
      <c r="FF611"/>
      <c r="FG611"/>
      <c r="FH611"/>
      <c r="FI611"/>
      <c r="FJ611"/>
      <c r="FK611" s="35"/>
    </row>
    <row r="612" spans="1:167" s="235" customFormat="1" ht="13.35" customHeight="1">
      <c r="A612" s="821"/>
      <c r="B612" s="821" t="s">
        <v>653</v>
      </c>
      <c r="C612" s="862"/>
      <c r="D612" s="821"/>
      <c r="E612" s="821"/>
      <c r="F612" s="821"/>
      <c r="G612" s="821"/>
      <c r="H612" s="821"/>
      <c r="I612" s="821"/>
      <c r="J612" s="821"/>
      <c r="K612" s="821"/>
      <c r="L612" s="821"/>
      <c r="M612" s="821"/>
      <c r="N612" s="821"/>
      <c r="O612" s="821"/>
      <c r="P612" s="821"/>
      <c r="Q612" s="810"/>
      <c r="R612" s="810"/>
      <c r="S612" s="810"/>
      <c r="T612" s="810"/>
      <c r="U612" s="810"/>
      <c r="V612" s="808"/>
      <c r="W612" s="808"/>
      <c r="X612" s="808"/>
      <c r="Y612" s="808"/>
      <c r="Z612" s="808"/>
      <c r="AA612" s="808"/>
      <c r="AB612" s="808"/>
      <c r="AC612" s="808"/>
      <c r="AD612" s="808"/>
      <c r="AE612" s="808"/>
      <c r="AF612" s="808"/>
      <c r="AG612" s="808"/>
      <c r="AH612" s="808"/>
      <c r="AI612" s="808"/>
      <c r="AJ612" s="808"/>
      <c r="AK612" s="808"/>
      <c r="AL612" s="808"/>
      <c r="AM612" s="808"/>
      <c r="AN612" s="808"/>
      <c r="AO612" s="808"/>
      <c r="AP612" s="808"/>
      <c r="AQ612" s="808"/>
      <c r="AR612" s="808"/>
      <c r="AS612" s="808"/>
      <c r="AT612" s="808"/>
      <c r="AU612" s="821"/>
      <c r="AV612" s="821"/>
      <c r="AW612" s="821"/>
      <c r="AX612" s="821"/>
      <c r="AY612" s="821"/>
      <c r="AZ612" s="821"/>
      <c r="BA612" s="821"/>
      <c r="BB612" s="821"/>
      <c r="BC612" s="821"/>
      <c r="BD612" s="821"/>
      <c r="BE612" s="821"/>
      <c r="BF612" s="821"/>
      <c r="BG612" s="821"/>
      <c r="BH612" s="821"/>
      <c r="BI612" s="821"/>
      <c r="BJ612" s="821"/>
      <c r="BK612" s="821"/>
      <c r="BL612" s="821"/>
      <c r="BM612" s="821"/>
      <c r="BN612" s="821"/>
      <c r="BO612" s="821"/>
      <c r="BP612" s="821"/>
      <c r="BQ612" s="821"/>
      <c r="BR612" s="821"/>
      <c r="BS612" s="821"/>
      <c r="BT612" s="821"/>
      <c r="BU612" s="821"/>
      <c r="BV612" s="821"/>
      <c r="BW612" s="821"/>
      <c r="BX612" s="821"/>
      <c r="BY612" s="821"/>
      <c r="BZ612" s="821"/>
      <c r="CA612" s="821"/>
      <c r="CB612" s="821"/>
      <c r="CC612" s="821"/>
      <c r="CD612" s="289"/>
      <c r="CE612" s="289"/>
      <c r="CF612" s="289"/>
      <c r="CG612" s="289"/>
      <c r="CH612" s="289"/>
      <c r="CI612" s="289"/>
      <c r="CJ612" s="289"/>
      <c r="CK612" s="289"/>
      <c r="CL612" s="289"/>
      <c r="CM612" s="289"/>
      <c r="CN612" s="289"/>
      <c r="CO612" s="289"/>
      <c r="CP612" s="289"/>
      <c r="CQ612" s="289"/>
      <c r="CR612" s="289"/>
      <c r="CS612" s="289"/>
      <c r="CT612" s="289"/>
      <c r="CU612" s="289"/>
      <c r="CV612" s="289"/>
      <c r="CW612" s="289"/>
      <c r="CX612" s="289"/>
      <c r="CY612" s="289"/>
      <c r="CZ612" s="289"/>
      <c r="DA612" s="289"/>
      <c r="DB612" s="289"/>
      <c r="DC612" s="289"/>
      <c r="DD612" s="289"/>
      <c r="DE612" s="289"/>
      <c r="DF612" s="289"/>
      <c r="DG612" s="289"/>
      <c r="DH612" s="1326"/>
      <c r="DI612" s="289"/>
      <c r="DJ612" s="289"/>
      <c r="DK612" s="1326"/>
      <c r="DL612" s="289"/>
      <c r="DM612" s="289"/>
      <c r="DN612" s="1326"/>
      <c r="DO612" s="289"/>
      <c r="DP612" s="289"/>
      <c r="DQ612" s="1326"/>
      <c r="DR612" s="289"/>
      <c r="DS612" s="289"/>
      <c r="DT612" s="1326"/>
      <c r="DU612" s="289"/>
      <c r="DV612" s="289"/>
      <c r="DW612" s="1326"/>
      <c r="DX612" s="289"/>
      <c r="DY612" s="289"/>
      <c r="DZ612" s="1326"/>
      <c r="EA612" s="289"/>
      <c r="EB612" s="289"/>
      <c r="EC612" s="1326"/>
      <c r="ED612" s="289"/>
      <c r="EE612" s="289"/>
      <c r="EF612" s="1326"/>
      <c r="EG612" s="289"/>
      <c r="EH612" s="289"/>
      <c r="EI612" s="1326"/>
      <c r="EJ612" s="289"/>
      <c r="EK612" s="289"/>
      <c r="EL612" s="1326"/>
      <c r="EM612" s="289"/>
      <c r="EN612" s="289"/>
      <c r="EO612" s="1326"/>
      <c r="EP612" s="289"/>
      <c r="EQ612" s="289"/>
      <c r="ER612" s="1326"/>
      <c r="ES612" s="289"/>
      <c r="ET612" s="289"/>
      <c r="EU612" s="1326"/>
      <c r="EV612" s="289"/>
      <c r="EW612" s="289"/>
      <c r="EX612" s="1326"/>
      <c r="EY612" s="289"/>
      <c r="EZ612" s="289"/>
      <c r="FA612" s="1326"/>
      <c r="FE612"/>
      <c r="FF612"/>
      <c r="FG612"/>
      <c r="FH612"/>
      <c r="FI612"/>
      <c r="FJ612"/>
      <c r="FK612" s="35"/>
    </row>
    <row r="613" spans="1:167" s="235" customFormat="1" ht="13.35" customHeight="1">
      <c r="A613" s="821"/>
      <c r="B613" s="821"/>
      <c r="C613" s="862"/>
      <c r="D613" s="821"/>
      <c r="E613" s="821"/>
      <c r="F613" s="821"/>
      <c r="G613" s="821"/>
      <c r="H613" s="821"/>
      <c r="I613" s="821"/>
      <c r="J613" s="821"/>
      <c r="K613" s="821"/>
      <c r="L613" s="821"/>
      <c r="M613" s="821"/>
      <c r="N613" s="821"/>
      <c r="O613" s="821"/>
      <c r="P613" s="821"/>
      <c r="Q613" s="810"/>
      <c r="R613" s="810"/>
      <c r="S613" s="810"/>
      <c r="T613" s="810"/>
      <c r="U613" s="810"/>
      <c r="V613" s="808"/>
      <c r="W613" s="808"/>
      <c r="X613" s="808"/>
      <c r="Y613" s="808"/>
      <c r="Z613" s="808"/>
      <c r="AA613" s="808"/>
      <c r="AB613" s="808"/>
      <c r="AC613" s="808"/>
      <c r="AD613" s="808"/>
      <c r="AE613" s="808"/>
      <c r="AF613" s="808"/>
      <c r="AG613" s="808"/>
      <c r="AH613" s="808"/>
      <c r="AI613" s="808"/>
      <c r="AJ613" s="808"/>
      <c r="AK613" s="808"/>
      <c r="AL613" s="808"/>
      <c r="AM613" s="808"/>
      <c r="AN613" s="808"/>
      <c r="AO613" s="882"/>
      <c r="AP613" s="808"/>
      <c r="AQ613" s="808"/>
      <c r="AR613" s="808"/>
      <c r="AS613" s="808"/>
      <c r="AT613" s="808"/>
      <c r="AU613" s="821"/>
      <c r="AV613" s="821"/>
      <c r="AW613" s="821"/>
      <c r="AX613" s="821"/>
      <c r="AY613" s="821"/>
      <c r="AZ613" s="821"/>
      <c r="BA613" s="821"/>
      <c r="BB613" s="821"/>
      <c r="BC613" s="821"/>
      <c r="BD613" s="821"/>
      <c r="BE613" s="821"/>
      <c r="BF613" s="821"/>
      <c r="BG613" s="821"/>
      <c r="BH613" s="821"/>
      <c r="BI613" s="821"/>
      <c r="BJ613" s="821"/>
      <c r="BK613" s="821"/>
      <c r="BL613" s="821"/>
      <c r="BM613" s="821"/>
      <c r="BN613" s="821"/>
      <c r="BO613" s="821"/>
      <c r="BP613" s="821"/>
      <c r="BQ613" s="821"/>
      <c r="BR613" s="821"/>
      <c r="BS613" s="821"/>
      <c r="BT613" s="821"/>
      <c r="BU613" s="821"/>
      <c r="BV613" s="821"/>
      <c r="BW613" s="821"/>
      <c r="BX613" s="821"/>
      <c r="BY613" s="821"/>
      <c r="BZ613" s="821"/>
      <c r="CA613" s="821"/>
      <c r="CB613" s="821"/>
      <c r="CC613" s="821"/>
      <c r="CD613" s="289"/>
      <c r="CE613" s="289"/>
      <c r="CF613" s="289"/>
      <c r="CG613" s="289"/>
      <c r="CH613" s="289"/>
      <c r="CI613" s="289"/>
      <c r="CJ613" s="289"/>
      <c r="CK613" s="289"/>
      <c r="CL613" s="289"/>
      <c r="CM613" s="289"/>
      <c r="CN613" s="289"/>
      <c r="CO613" s="289"/>
      <c r="CP613" s="289"/>
      <c r="CQ613" s="289"/>
      <c r="CR613" s="289"/>
      <c r="CS613" s="289"/>
      <c r="CT613" s="289"/>
      <c r="CU613" s="289"/>
      <c r="CV613" s="289"/>
      <c r="CW613" s="289"/>
      <c r="CX613" s="289"/>
      <c r="CY613" s="289"/>
      <c r="CZ613" s="289"/>
      <c r="DA613" s="289"/>
      <c r="DB613" s="289"/>
      <c r="DC613" s="289"/>
      <c r="DD613" s="289"/>
      <c r="DE613" s="289"/>
      <c r="DF613" s="289"/>
      <c r="DG613" s="289"/>
      <c r="DH613" s="1326"/>
      <c r="DI613" s="289"/>
      <c r="DJ613" s="289"/>
      <c r="DK613" s="1326"/>
      <c r="DL613" s="289"/>
      <c r="DM613" s="289"/>
      <c r="DN613" s="1326"/>
      <c r="DO613" s="289"/>
      <c r="DP613" s="289"/>
      <c r="DQ613" s="1326"/>
      <c r="DR613" s="289"/>
      <c r="DS613" s="289"/>
      <c r="DT613" s="1326"/>
      <c r="DU613" s="289"/>
      <c r="DV613" s="289"/>
      <c r="DW613" s="1326"/>
      <c r="DX613" s="289"/>
      <c r="DY613" s="289"/>
      <c r="DZ613" s="1326"/>
      <c r="EA613" s="289"/>
      <c r="EB613" s="289"/>
      <c r="EC613" s="1326"/>
      <c r="ED613" s="289"/>
      <c r="EE613" s="289"/>
      <c r="EF613" s="1326"/>
      <c r="EG613" s="289"/>
      <c r="EH613" s="289"/>
      <c r="EI613" s="1326"/>
      <c r="EJ613" s="289"/>
      <c r="EK613" s="289"/>
      <c r="EL613" s="1326"/>
      <c r="EM613" s="289"/>
      <c r="EN613" s="289"/>
      <c r="EO613" s="1326"/>
      <c r="EP613" s="289"/>
      <c r="EQ613" s="289"/>
      <c r="ER613" s="1326"/>
      <c r="ES613" s="289"/>
      <c r="ET613" s="289"/>
      <c r="EU613" s="1326"/>
      <c r="EV613" s="289"/>
      <c r="EW613" s="289"/>
      <c r="EX613" s="1326"/>
      <c r="EY613" s="289"/>
      <c r="EZ613" s="289"/>
      <c r="FA613" s="1326"/>
      <c r="FE613"/>
      <c r="FF613"/>
      <c r="FG613"/>
      <c r="FH613"/>
      <c r="FI613"/>
      <c r="FJ613"/>
      <c r="FK613" s="35"/>
    </row>
    <row r="614" spans="1:167" s="235" customFormat="1" ht="13.5" customHeight="1">
      <c r="A614" s="821"/>
      <c r="B614" s="845" t="s">
        <v>674</v>
      </c>
      <c r="C614" s="862"/>
      <c r="D614" s="821"/>
      <c r="E614" s="821"/>
      <c r="F614" s="821"/>
      <c r="G614" s="821"/>
      <c r="H614" s="821"/>
      <c r="I614" s="821"/>
      <c r="J614" s="821"/>
      <c r="K614" s="821"/>
      <c r="L614" s="821"/>
      <c r="M614" s="821"/>
      <c r="N614" s="821"/>
      <c r="O614" s="821"/>
      <c r="P614" s="821"/>
      <c r="Q614" s="810"/>
      <c r="R614" s="810"/>
      <c r="S614" s="810"/>
      <c r="T614" s="810"/>
      <c r="U614" s="810"/>
      <c r="V614" s="808"/>
      <c r="W614" s="808"/>
      <c r="X614" s="808"/>
      <c r="Y614" s="808"/>
      <c r="Z614" s="808"/>
      <c r="AA614" s="808"/>
      <c r="AB614" s="808"/>
      <c r="AC614" s="808"/>
      <c r="AD614" s="808"/>
      <c r="AE614" s="808"/>
      <c r="AF614" s="808"/>
      <c r="AG614" s="808"/>
      <c r="AH614" s="808"/>
      <c r="AI614" s="808"/>
      <c r="AJ614" s="808"/>
      <c r="AK614" s="808"/>
      <c r="AL614" s="808"/>
      <c r="AM614" s="808"/>
      <c r="AN614" s="883">
        <f>AN231+AN236-AN266</f>
        <v>5.6629999999999985</v>
      </c>
      <c r="AO614" s="883">
        <f t="shared" ref="AO614:CZ614" si="1482">AO231+AO236-AO266</f>
        <v>6.5250000000000004</v>
      </c>
      <c r="AP614" s="883">
        <f t="shared" si="1482"/>
        <v>11.441999999999998</v>
      </c>
      <c r="AQ614" s="883">
        <f t="shared" si="1482"/>
        <v>11.441999999999998</v>
      </c>
      <c r="AR614" s="883">
        <f t="shared" si="1482"/>
        <v>15.164999999999999</v>
      </c>
      <c r="AS614" s="883">
        <f t="shared" si="1482"/>
        <v>17.042999999999999</v>
      </c>
      <c r="AT614" s="883">
        <f t="shared" si="1482"/>
        <v>17.042999999999999</v>
      </c>
      <c r="AU614" s="883">
        <f t="shared" si="1482"/>
        <v>18.384000000000004</v>
      </c>
      <c r="AV614" s="883">
        <f t="shared" si="1482"/>
        <v>10.539000000000001</v>
      </c>
      <c r="AW614" s="883">
        <f t="shared" si="1482"/>
        <v>10.539000000000001</v>
      </c>
      <c r="AX614" s="883">
        <f t="shared" si="1482"/>
        <v>13.923000000000002</v>
      </c>
      <c r="AY614" s="883">
        <f t="shared" si="1482"/>
        <v>23.977999999999998</v>
      </c>
      <c r="AZ614" s="883">
        <f t="shared" si="1482"/>
        <v>23.977999999999998</v>
      </c>
      <c r="BA614" s="883">
        <f t="shared" si="1482"/>
        <v>35.546000000000006</v>
      </c>
      <c r="BB614" s="883">
        <f t="shared" si="1482"/>
        <v>39.068000000000012</v>
      </c>
      <c r="BC614" s="883">
        <f t="shared" si="1482"/>
        <v>39.068000000000012</v>
      </c>
      <c r="BD614" s="883">
        <f t="shared" si="1482"/>
        <v>66.361000000000004</v>
      </c>
      <c r="BE614" s="883">
        <f t="shared" si="1482"/>
        <v>84.52800000000002</v>
      </c>
      <c r="BF614" s="883">
        <f t="shared" si="1482"/>
        <v>84.52800000000002</v>
      </c>
      <c r="BG614" s="883">
        <f t="shared" si="1482"/>
        <v>68.988</v>
      </c>
      <c r="BH614" s="883">
        <f t="shared" si="1482"/>
        <v>94.260999999999996</v>
      </c>
      <c r="BI614" s="883">
        <f t="shared" si="1482"/>
        <v>94.260999999999996</v>
      </c>
      <c r="BJ614" s="883">
        <f t="shared" si="1482"/>
        <v>71.152000000000001</v>
      </c>
      <c r="BK614" s="883">
        <f t="shared" si="1482"/>
        <v>79.836000000000013</v>
      </c>
      <c r="BL614" s="883">
        <f t="shared" si="1482"/>
        <v>79.836000000000013</v>
      </c>
      <c r="BM614" s="883">
        <f t="shared" si="1482"/>
        <v>78.216999999999999</v>
      </c>
      <c r="BN614" s="883">
        <f t="shared" si="1482"/>
        <v>94.352000000000018</v>
      </c>
      <c r="BO614" s="883">
        <f t="shared" si="1482"/>
        <v>94.352000000000018</v>
      </c>
      <c r="BP614" s="883">
        <f t="shared" si="1482"/>
        <v>112.32600000000001</v>
      </c>
      <c r="BQ614" s="883">
        <f t="shared" si="1482"/>
        <v>128.86500000000001</v>
      </c>
      <c r="BR614" s="883">
        <f t="shared" si="1482"/>
        <v>128.86500000000001</v>
      </c>
      <c r="BS614" s="883">
        <f t="shared" si="1482"/>
        <v>136.702</v>
      </c>
      <c r="BT614" s="883">
        <f t="shared" si="1482"/>
        <v>173.04300000000001</v>
      </c>
      <c r="BU614" s="883">
        <f t="shared" si="1482"/>
        <v>173.04300000000001</v>
      </c>
      <c r="BV614" s="883">
        <f t="shared" si="1482"/>
        <v>195.63400000000001</v>
      </c>
      <c r="BW614" s="883">
        <f t="shared" si="1482"/>
        <v>211.60500000000002</v>
      </c>
      <c r="BX614" s="883">
        <f t="shared" si="1482"/>
        <v>211.60500000000002</v>
      </c>
      <c r="BY614" s="883">
        <f t="shared" si="1482"/>
        <v>181.00300000000004</v>
      </c>
      <c r="BZ614" s="883">
        <f t="shared" si="1482"/>
        <v>214.31899999999999</v>
      </c>
      <c r="CA614" s="883">
        <f t="shared" si="1482"/>
        <v>214.31899999999999</v>
      </c>
      <c r="CB614" s="883">
        <f t="shared" si="1482"/>
        <v>245.53500000000003</v>
      </c>
      <c r="CC614" s="883">
        <f t="shared" si="1482"/>
        <v>244.33399999999997</v>
      </c>
      <c r="CD614" s="883">
        <f t="shared" si="1482"/>
        <v>244.33399999999997</v>
      </c>
      <c r="CE614" s="883">
        <f t="shared" si="1482"/>
        <v>270.67899999999997</v>
      </c>
      <c r="CF614" s="883">
        <f t="shared" si="1482"/>
        <v>259.35500000000002</v>
      </c>
      <c r="CG614" s="883">
        <f t="shared" si="1482"/>
        <v>259.35500000000002</v>
      </c>
      <c r="CH614" s="883">
        <f t="shared" si="1482"/>
        <v>205.74499999999998</v>
      </c>
      <c r="CI614" s="883">
        <f t="shared" si="1482"/>
        <v>190.16500000000002</v>
      </c>
      <c r="CJ614" s="883">
        <f t="shared" si="1482"/>
        <v>190.16500000000002</v>
      </c>
      <c r="CK614" s="883">
        <f t="shared" si="1482"/>
        <v>234.83100000000002</v>
      </c>
      <c r="CL614" s="883">
        <f t="shared" si="1482"/>
        <v>238.53300000000002</v>
      </c>
      <c r="CM614" s="883">
        <f t="shared" si="1482"/>
        <v>238.53300000000002</v>
      </c>
      <c r="CN614" s="883">
        <f t="shared" si="1482"/>
        <v>236.643</v>
      </c>
      <c r="CO614" s="883">
        <f t="shared" si="1482"/>
        <v>264.92200000000003</v>
      </c>
      <c r="CP614" s="883">
        <f t="shared" si="1482"/>
        <v>264.92200000000003</v>
      </c>
      <c r="CQ614" s="883">
        <f t="shared" si="1482"/>
        <v>280.79399999999998</v>
      </c>
      <c r="CR614" s="883">
        <f t="shared" si="1482"/>
        <v>299.59999999999997</v>
      </c>
      <c r="CS614" s="883">
        <f t="shared" si="1482"/>
        <v>299.59999999999997</v>
      </c>
      <c r="CT614" s="883">
        <f t="shared" si="1482"/>
        <v>317.49499999999995</v>
      </c>
      <c r="CU614" s="883">
        <f t="shared" si="1482"/>
        <v>337.12800000000004</v>
      </c>
      <c r="CV614" s="883">
        <f t="shared" si="1482"/>
        <v>337.12800000000004</v>
      </c>
      <c r="CW614" s="883">
        <f t="shared" si="1482"/>
        <v>356.90100000000001</v>
      </c>
      <c r="CX614" s="883">
        <f t="shared" si="1482"/>
        <v>339.66900000000004</v>
      </c>
      <c r="CY614" s="883">
        <f t="shared" si="1482"/>
        <v>339.66900000000004</v>
      </c>
      <c r="CZ614" s="883">
        <f t="shared" si="1482"/>
        <v>365.3</v>
      </c>
      <c r="DA614" s="883">
        <f t="shared" ref="DA614:DQ614" si="1483">DA231+DA236-DA266</f>
        <v>343.6</v>
      </c>
      <c r="DB614" s="883">
        <f t="shared" si="1483"/>
        <v>343.6</v>
      </c>
      <c r="DC614" s="883">
        <f t="shared" si="1483"/>
        <v>326.20000000000005</v>
      </c>
      <c r="DD614" s="883">
        <f t="shared" si="1483"/>
        <v>354.3</v>
      </c>
      <c r="DE614" s="883">
        <f t="shared" si="1483"/>
        <v>354.3</v>
      </c>
      <c r="DF614" s="883">
        <f t="shared" si="1483"/>
        <v>362.4</v>
      </c>
      <c r="DG614" s="883">
        <f t="shared" si="1483"/>
        <v>300</v>
      </c>
      <c r="DH614" s="1343">
        <f t="shared" si="1483"/>
        <v>300</v>
      </c>
      <c r="DI614" s="883">
        <f t="shared" si="1483"/>
        <v>293.09999999999997</v>
      </c>
      <c r="DJ614" s="883">
        <f t="shared" si="1483"/>
        <v>309.5</v>
      </c>
      <c r="DK614" s="1343">
        <f t="shared" si="1483"/>
        <v>309.5</v>
      </c>
      <c r="DL614" s="883">
        <f t="shared" si="1483"/>
        <v>385.90000000000003</v>
      </c>
      <c r="DM614" s="883">
        <f t="shared" si="1483"/>
        <v>386.30000000000007</v>
      </c>
      <c r="DN614" s="1343">
        <f t="shared" si="1483"/>
        <v>386.30000000000007</v>
      </c>
      <c r="DO614" s="883">
        <f t="shared" si="1483"/>
        <v>475.39999999999992</v>
      </c>
      <c r="DP614" s="883">
        <f t="shared" si="1483"/>
        <v>478.6</v>
      </c>
      <c r="DQ614" s="1343">
        <f t="shared" si="1483"/>
        <v>478.6</v>
      </c>
      <c r="DR614" s="883">
        <f t="shared" ref="DR614:DW614" si="1484">DR231+DR236-DR266</f>
        <v>520.19999999999993</v>
      </c>
      <c r="DS614" s="883">
        <f t="shared" si="1484"/>
        <v>579.09999999999991</v>
      </c>
      <c r="DT614" s="1343">
        <f t="shared" si="1484"/>
        <v>579.09999999999991</v>
      </c>
      <c r="DU614" s="883">
        <f t="shared" si="1484"/>
        <v>677.2</v>
      </c>
      <c r="DV614" s="883">
        <f t="shared" si="1484"/>
        <v>786.9</v>
      </c>
      <c r="DW614" s="1343">
        <f t="shared" si="1484"/>
        <v>786.9</v>
      </c>
      <c r="DX614" s="883">
        <f t="shared" ref="DX614:EC614" si="1485">DX231+DX236-DX266</f>
        <v>834.50000000000023</v>
      </c>
      <c r="DY614" s="883">
        <f t="shared" si="1485"/>
        <v>898.37958641477098</v>
      </c>
      <c r="DZ614" s="1343">
        <f t="shared" si="1485"/>
        <v>898.37958641477098</v>
      </c>
      <c r="EA614" s="883">
        <f t="shared" si="1485"/>
        <v>890.91866201794323</v>
      </c>
      <c r="EB614" s="883">
        <f t="shared" si="1485"/>
        <v>904.64300058684194</v>
      </c>
      <c r="EC614" s="1343">
        <f t="shared" si="1485"/>
        <v>904.64300058684194</v>
      </c>
      <c r="ED614" s="883">
        <f t="shared" ref="ED614:EL614" si="1486">ED231+ED236-ED266</f>
        <v>935.44808489590173</v>
      </c>
      <c r="EE614" s="883">
        <f t="shared" si="1486"/>
        <v>949.91610985292618</v>
      </c>
      <c r="EF614" s="1343">
        <f t="shared" si="1486"/>
        <v>949.91610985292618</v>
      </c>
      <c r="EG614" s="883">
        <f t="shared" si="1486"/>
        <v>986.74685084180578</v>
      </c>
      <c r="EH614" s="883">
        <f t="shared" si="1486"/>
        <v>1002.0082836190544</v>
      </c>
      <c r="EI614" s="1343">
        <f t="shared" si="1486"/>
        <v>1002.0082836190544</v>
      </c>
      <c r="EJ614" s="883">
        <f t="shared" si="1486"/>
        <v>1039.7022651703162</v>
      </c>
      <c r="EK614" s="883">
        <f t="shared" si="1486"/>
        <v>1055.7827281732768</v>
      </c>
      <c r="EL614" s="1343">
        <f t="shared" si="1486"/>
        <v>1055.7827281732768</v>
      </c>
      <c r="EM614" s="883">
        <f t="shared" ref="EM614:ER614" si="1487">EM231+EM236-EM266</f>
        <v>1094.1970045861397</v>
      </c>
      <c r="EN614" s="883">
        <f t="shared" si="1487"/>
        <v>1111.1203056499453</v>
      </c>
      <c r="EO614" s="1343">
        <f t="shared" si="1487"/>
        <v>1111.1203056499453</v>
      </c>
      <c r="EP614" s="883">
        <f t="shared" si="1487"/>
        <v>1150.0792087489317</v>
      </c>
      <c r="EQ614" s="883">
        <f t="shared" si="1487"/>
        <v>1167.8668069742105</v>
      </c>
      <c r="ER614" s="1343">
        <f t="shared" si="1487"/>
        <v>1167.8668069742105</v>
      </c>
      <c r="ES614" s="883">
        <f t="shared" ref="ES614:EX614" si="1488">ES231+ES236-ES266</f>
        <v>1207.157213923879</v>
      </c>
      <c r="ET614" s="883">
        <f t="shared" si="1488"/>
        <v>1225.8276040610788</v>
      </c>
      <c r="EU614" s="1343">
        <f t="shared" si="1488"/>
        <v>1225.8276040610788</v>
      </c>
      <c r="EV614" s="883">
        <f t="shared" si="1488"/>
        <v>1265.1936184394499</v>
      </c>
      <c r="EW614" s="883">
        <f t="shared" si="1488"/>
        <v>1284.761623487092</v>
      </c>
      <c r="EX614" s="1343">
        <f t="shared" si="1488"/>
        <v>1284.761623487092</v>
      </c>
      <c r="EY614" s="883">
        <f t="shared" ref="EY614:FA614" si="1489">EY231+EY236-EY266</f>
        <v>1323.8986023350403</v>
      </c>
      <c r="EZ614" s="883">
        <f t="shared" si="1489"/>
        <v>1344.3745628168933</v>
      </c>
      <c r="FA614" s="1343">
        <f t="shared" si="1489"/>
        <v>1344.3745628168933</v>
      </c>
      <c r="FE614"/>
      <c r="FF614"/>
      <c r="FG614"/>
      <c r="FH614"/>
      <c r="FI614"/>
      <c r="FJ614"/>
      <c r="FK614" s="35"/>
    </row>
    <row r="615" spans="1:167" s="235" customFormat="1" ht="13.35" customHeight="1">
      <c r="A615" s="821"/>
      <c r="B615" s="821"/>
      <c r="C615" s="862"/>
      <c r="D615" s="821"/>
      <c r="E615" s="821"/>
      <c r="F615" s="821"/>
      <c r="G615" s="821"/>
      <c r="H615" s="821"/>
      <c r="I615" s="821"/>
      <c r="J615" s="821"/>
      <c r="K615" s="821"/>
      <c r="L615" s="821"/>
      <c r="M615" s="821"/>
      <c r="N615" s="821"/>
      <c r="O615" s="821"/>
      <c r="P615" s="821"/>
      <c r="Q615" s="810"/>
      <c r="R615" s="810"/>
      <c r="S615" s="810"/>
      <c r="T615" s="810"/>
      <c r="U615" s="810"/>
      <c r="V615" s="808"/>
      <c r="W615" s="808"/>
      <c r="X615" s="808"/>
      <c r="Y615" s="808"/>
      <c r="Z615" s="808"/>
      <c r="AA615" s="808"/>
      <c r="AB615" s="808"/>
      <c r="AC615" s="808"/>
      <c r="AD615" s="808"/>
      <c r="AE615" s="808"/>
      <c r="AF615" s="808"/>
      <c r="AG615" s="808"/>
      <c r="AH615" s="808"/>
      <c r="AI615" s="808"/>
      <c r="AJ615" s="808"/>
      <c r="AK615" s="808"/>
      <c r="AL615" s="808"/>
      <c r="AM615" s="808"/>
      <c r="AN615" s="808"/>
      <c r="AO615" s="808"/>
      <c r="AP615" s="808"/>
      <c r="AQ615" s="808"/>
      <c r="AR615" s="808"/>
      <c r="AS615" s="808"/>
      <c r="AT615" s="808"/>
      <c r="AU615" s="808"/>
      <c r="AV615" s="808"/>
      <c r="AW615" s="808"/>
      <c r="AX615" s="808"/>
      <c r="AY615" s="808"/>
      <c r="AZ615" s="808"/>
      <c r="BA615" s="808"/>
      <c r="BB615" s="808"/>
      <c r="BC615" s="808"/>
      <c r="BD615" s="808"/>
      <c r="BE615" s="808"/>
      <c r="BF615" s="808"/>
      <c r="BG615" s="808"/>
      <c r="BH615" s="808"/>
      <c r="BI615" s="808"/>
      <c r="BJ615" s="808"/>
      <c r="BK615" s="808"/>
      <c r="BL615" s="808"/>
      <c r="BM615" s="808"/>
      <c r="BN615" s="808"/>
      <c r="BO615" s="808"/>
      <c r="BP615" s="808"/>
      <c r="BQ615" s="808"/>
      <c r="BR615" s="808"/>
      <c r="BS615" s="808"/>
      <c r="BT615" s="808"/>
      <c r="BU615" s="808"/>
      <c r="BV615" s="808"/>
      <c r="BW615" s="808"/>
      <c r="BX615" s="808"/>
      <c r="BY615" s="808"/>
      <c r="BZ615" s="808"/>
      <c r="CA615" s="808"/>
      <c r="CB615" s="808"/>
      <c r="CC615" s="808"/>
      <c r="CD615" s="808"/>
      <c r="CE615" s="808"/>
      <c r="CF615" s="808"/>
      <c r="CG615" s="808"/>
      <c r="CH615" s="808"/>
      <c r="CI615" s="808"/>
      <c r="CJ615" s="808"/>
      <c r="CK615" s="808"/>
      <c r="CL615" s="808"/>
      <c r="CM615" s="808"/>
      <c r="CN615" s="808"/>
      <c r="CO615" s="808"/>
      <c r="CP615" s="808"/>
      <c r="CQ615" s="808"/>
      <c r="CR615" s="808"/>
      <c r="CS615" s="808"/>
      <c r="CT615" s="808"/>
      <c r="CU615" s="808"/>
      <c r="CV615" s="808"/>
      <c r="CW615" s="808"/>
      <c r="CX615" s="808"/>
      <c r="CY615" s="808"/>
      <c r="CZ615" s="808"/>
      <c r="DA615" s="808"/>
      <c r="DB615" s="808"/>
      <c r="DC615" s="808"/>
      <c r="DD615" s="808"/>
      <c r="DE615" s="808"/>
      <c r="DF615" s="808"/>
      <c r="DG615" s="808"/>
      <c r="DH615" s="1325"/>
      <c r="DI615" s="808"/>
      <c r="DJ615" s="808"/>
      <c r="DK615" s="1325"/>
      <c r="DL615" s="808"/>
      <c r="DM615" s="808"/>
      <c r="DN615" s="1325"/>
      <c r="DO615" s="808"/>
      <c r="DP615" s="808"/>
      <c r="DQ615" s="1325"/>
      <c r="DR615" s="808"/>
      <c r="DS615" s="808"/>
      <c r="DT615" s="1325"/>
      <c r="DU615" s="808"/>
      <c r="DV615" s="808"/>
      <c r="DW615" s="1325"/>
      <c r="DX615" s="808"/>
      <c r="DY615" s="808"/>
      <c r="DZ615" s="1325"/>
      <c r="EA615" s="808"/>
      <c r="EB615" s="808"/>
      <c r="EC615" s="1325"/>
      <c r="ED615" s="808"/>
      <c r="EE615" s="808"/>
      <c r="EF615" s="1325"/>
      <c r="EG615" s="808"/>
      <c r="EH615" s="808"/>
      <c r="EI615" s="1325"/>
      <c r="EJ615" s="808"/>
      <c r="EK615" s="808"/>
      <c r="EL615" s="1325"/>
      <c r="EM615" s="808"/>
      <c r="EN615" s="808"/>
      <c r="EO615" s="1325"/>
      <c r="EP615" s="808"/>
      <c r="EQ615" s="808"/>
      <c r="ER615" s="1325"/>
      <c r="ES615" s="808"/>
      <c r="ET615" s="808"/>
      <c r="EU615" s="1325"/>
      <c r="EV615" s="808"/>
      <c r="EW615" s="808"/>
      <c r="EX615" s="1325"/>
      <c r="EY615" s="808"/>
      <c r="EZ615" s="808"/>
      <c r="FA615" s="1325"/>
      <c r="FE615"/>
      <c r="FF615"/>
      <c r="FG615"/>
      <c r="FH615"/>
      <c r="FI615"/>
      <c r="FJ615"/>
      <c r="FK615" s="35"/>
    </row>
    <row r="616" spans="1:167" s="236" customFormat="1" ht="13.35" customHeight="1">
      <c r="A616" s="289"/>
      <c r="B616" s="289" t="s">
        <v>838</v>
      </c>
      <c r="C616" s="806"/>
      <c r="D616" s="289"/>
      <c r="E616" s="820"/>
      <c r="F616" s="820"/>
      <c r="G616" s="821"/>
      <c r="H616" s="820"/>
      <c r="I616" s="820"/>
      <c r="J616" s="821"/>
      <c r="K616" s="820"/>
      <c r="L616" s="820"/>
      <c r="M616" s="821"/>
      <c r="N616" s="820"/>
      <c r="O616" s="820"/>
      <c r="P616" s="821"/>
      <c r="Q616" s="809"/>
      <c r="R616" s="809"/>
      <c r="S616" s="810"/>
      <c r="T616" s="809"/>
      <c r="U616" s="809"/>
      <c r="V616" s="808"/>
      <c r="W616" s="807"/>
      <c r="X616" s="807"/>
      <c r="Y616" s="808"/>
      <c r="Z616" s="807"/>
      <c r="AA616" s="807"/>
      <c r="AB616" s="808"/>
      <c r="AC616" s="807"/>
      <c r="AD616" s="807"/>
      <c r="AE616" s="808"/>
      <c r="AF616" s="807"/>
      <c r="AG616" s="807"/>
      <c r="AH616" s="808"/>
      <c r="AI616" s="807"/>
      <c r="AJ616" s="807"/>
      <c r="AK616" s="808"/>
      <c r="AL616" s="807"/>
      <c r="AM616" s="807"/>
      <c r="AN616" s="808"/>
      <c r="AO616" s="808"/>
      <c r="AP616" s="808"/>
      <c r="AQ616" s="808"/>
      <c r="AR616" s="808"/>
      <c r="AS616" s="808"/>
      <c r="AT616" s="808"/>
      <c r="AU616" s="808"/>
      <c r="AV616" s="808"/>
      <c r="AW616" s="808"/>
      <c r="AX616" s="808"/>
      <c r="AY616" s="808"/>
      <c r="AZ616" s="808"/>
      <c r="BA616" s="808"/>
      <c r="BB616" s="808"/>
      <c r="BC616" s="808"/>
      <c r="BD616" s="808"/>
      <c r="BE616" s="808"/>
      <c r="BF616" s="808"/>
      <c r="BG616" s="808"/>
      <c r="BH616" s="808"/>
      <c r="BI616" s="808"/>
      <c r="BJ616" s="808"/>
      <c r="BK616" s="808"/>
      <c r="BL616" s="808"/>
      <c r="BM616" s="808"/>
      <c r="BN616" s="808"/>
      <c r="BO616" s="808"/>
      <c r="BP616" s="808"/>
      <c r="BQ616" s="808"/>
      <c r="BR616" s="808"/>
      <c r="BS616" s="808"/>
      <c r="BT616" s="808"/>
      <c r="BU616" s="808"/>
      <c r="BV616" s="808"/>
      <c r="BW616" s="808"/>
      <c r="BX616" s="808"/>
      <c r="BY616" s="808"/>
      <c r="BZ616" s="808"/>
      <c r="CA616" s="808"/>
      <c r="CB616" s="808"/>
      <c r="CC616" s="808"/>
      <c r="CD616" s="808"/>
      <c r="CE616" s="808"/>
      <c r="CF616" s="808"/>
      <c r="CG616" s="808"/>
      <c r="CH616" s="808"/>
      <c r="CI616" s="808"/>
      <c r="CJ616" s="808"/>
      <c r="CK616" s="808"/>
      <c r="CL616" s="808"/>
      <c r="CM616" s="808"/>
      <c r="CN616" s="808"/>
      <c r="CO616" s="808"/>
      <c r="CP616" s="808"/>
      <c r="CQ616" s="808"/>
      <c r="CR616" s="808"/>
      <c r="CS616" s="808"/>
      <c r="CT616" s="808"/>
      <c r="CU616" s="808"/>
      <c r="CV616" s="808"/>
      <c r="CW616" s="808"/>
      <c r="CX616" s="808"/>
      <c r="CY616" s="808"/>
      <c r="CZ616" s="808"/>
      <c r="DA616" s="808"/>
      <c r="DB616" s="808"/>
      <c r="DC616" s="808"/>
      <c r="DD616" s="808"/>
      <c r="DE616" s="808"/>
      <c r="DF616" s="808"/>
      <c r="DG616" s="808"/>
      <c r="DH616" s="1325"/>
      <c r="DI616" s="808"/>
      <c r="DJ616" s="808"/>
      <c r="DK616" s="1325"/>
      <c r="DL616" s="808"/>
      <c r="DM616" s="808"/>
      <c r="DN616" s="1325"/>
      <c r="DO616" s="808"/>
      <c r="DP616" s="808"/>
      <c r="DQ616" s="1325"/>
      <c r="DR616" s="808"/>
      <c r="DS616" s="808"/>
      <c r="DT616" s="1325"/>
      <c r="DU616" s="808"/>
      <c r="DV616" s="808"/>
      <c r="DW616" s="1325"/>
      <c r="DX616" s="808"/>
      <c r="DY616" s="808"/>
      <c r="DZ616" s="1325"/>
      <c r="EA616" s="808"/>
      <c r="EB616" s="808"/>
      <c r="EC616" s="1325"/>
      <c r="ED616" s="808"/>
      <c r="EE616" s="808"/>
      <c r="EF616" s="1325"/>
      <c r="EG616" s="808"/>
      <c r="EH616" s="808"/>
      <c r="EI616" s="1325"/>
      <c r="EJ616" s="808"/>
      <c r="EK616" s="808"/>
      <c r="EL616" s="1325"/>
      <c r="EM616" s="808"/>
      <c r="EN616" s="808"/>
      <c r="EO616" s="1325"/>
      <c r="EP616" s="808"/>
      <c r="EQ616" s="808"/>
      <c r="ER616" s="1325"/>
      <c r="ES616" s="808"/>
      <c r="ET616" s="808"/>
      <c r="EU616" s="1325"/>
      <c r="EV616" s="808"/>
      <c r="EW616" s="808"/>
      <c r="EX616" s="1325"/>
      <c r="EY616" s="808"/>
      <c r="EZ616" s="808"/>
      <c r="FA616" s="1325"/>
      <c r="FE616"/>
      <c r="FF616"/>
      <c r="FG616"/>
      <c r="FH616"/>
      <c r="FI616"/>
      <c r="FJ616"/>
      <c r="FK616" s="35"/>
    </row>
    <row r="617" spans="1:167" s="236" customFormat="1" ht="13.35" customHeight="1">
      <c r="A617" s="289"/>
      <c r="B617" s="289" t="s">
        <v>270</v>
      </c>
      <c r="C617" s="806"/>
      <c r="D617" s="289"/>
      <c r="E617" s="820"/>
      <c r="F617" s="820"/>
      <c r="G617" s="821"/>
      <c r="H617" s="820"/>
      <c r="I617" s="820"/>
      <c r="J617" s="821"/>
      <c r="K617" s="820"/>
      <c r="L617" s="820"/>
      <c r="M617" s="821"/>
      <c r="N617" s="820"/>
      <c r="O617" s="820"/>
      <c r="P617" s="821"/>
      <c r="Q617" s="809"/>
      <c r="R617" s="809"/>
      <c r="S617" s="810"/>
      <c r="T617" s="809"/>
      <c r="U617" s="809"/>
      <c r="V617" s="808"/>
      <c r="W617" s="807"/>
      <c r="X617" s="807"/>
      <c r="Y617" s="808"/>
      <c r="Z617" s="807"/>
      <c r="AA617" s="807"/>
      <c r="AB617" s="808"/>
      <c r="AC617" s="807"/>
      <c r="AD617" s="807"/>
      <c r="AE617" s="808"/>
      <c r="AF617" s="807"/>
      <c r="AG617" s="807"/>
      <c r="AH617" s="808"/>
      <c r="AI617" s="807"/>
      <c r="AJ617" s="807"/>
      <c r="AK617" s="808"/>
      <c r="AL617" s="807"/>
      <c r="AM617" s="807"/>
      <c r="AN617" s="859">
        <f t="shared" ref="AN617:BS617" si="1490">AN60</f>
        <v>13.298</v>
      </c>
      <c r="AO617" s="859">
        <f t="shared" si="1490"/>
        <v>5.74</v>
      </c>
      <c r="AP617" s="859">
        <f t="shared" si="1490"/>
        <v>8.5440000000000005</v>
      </c>
      <c r="AQ617" s="859">
        <f t="shared" si="1490"/>
        <v>14.284000000000001</v>
      </c>
      <c r="AR617" s="859">
        <f t="shared" si="1490"/>
        <v>7.3869999999999996</v>
      </c>
      <c r="AS617" s="859">
        <f t="shared" si="1490"/>
        <v>10.089000000000002</v>
      </c>
      <c r="AT617" s="859">
        <f t="shared" si="1490"/>
        <v>17.476000000000003</v>
      </c>
      <c r="AU617" s="859">
        <f t="shared" si="1490"/>
        <v>9.1419999999999995</v>
      </c>
      <c r="AV617" s="859">
        <f t="shared" si="1490"/>
        <v>13.940999999999999</v>
      </c>
      <c r="AW617" s="859">
        <f t="shared" si="1490"/>
        <v>23.082999999999998</v>
      </c>
      <c r="AX617" s="859">
        <f t="shared" si="1490"/>
        <v>15.675000000000001</v>
      </c>
      <c r="AY617" s="859">
        <f t="shared" si="1490"/>
        <v>19.093999999999998</v>
      </c>
      <c r="AZ617" s="859">
        <f t="shared" si="1490"/>
        <v>34.768999999999998</v>
      </c>
      <c r="BA617" s="859">
        <f t="shared" si="1490"/>
        <v>23.153000000000002</v>
      </c>
      <c r="BB617" s="859">
        <f t="shared" si="1490"/>
        <v>22.359999999999996</v>
      </c>
      <c r="BC617" s="859">
        <f t="shared" si="1490"/>
        <v>45.512999999999998</v>
      </c>
      <c r="BD617" s="859">
        <f t="shared" si="1490"/>
        <v>25.95</v>
      </c>
      <c r="BE617" s="859">
        <f t="shared" si="1490"/>
        <v>29.040000000000003</v>
      </c>
      <c r="BF617" s="859">
        <f t="shared" si="1490"/>
        <v>54.99</v>
      </c>
      <c r="BG617" s="859">
        <f t="shared" si="1490"/>
        <v>36.327999999999996</v>
      </c>
      <c r="BH617" s="859">
        <f t="shared" si="1490"/>
        <v>43.821000000000005</v>
      </c>
      <c r="BI617" s="859">
        <f t="shared" si="1490"/>
        <v>80.149000000000001</v>
      </c>
      <c r="BJ617" s="859">
        <f t="shared" si="1490"/>
        <v>35.577999999999996</v>
      </c>
      <c r="BK617" s="859">
        <f t="shared" si="1490"/>
        <v>12.780000000000008</v>
      </c>
      <c r="BL617" s="859">
        <f t="shared" si="1490"/>
        <v>48.358000000000004</v>
      </c>
      <c r="BM617" s="859">
        <f t="shared" si="1490"/>
        <v>40.463000000000001</v>
      </c>
      <c r="BN617" s="859">
        <f t="shared" si="1490"/>
        <v>45.552</v>
      </c>
      <c r="BO617" s="859">
        <f t="shared" si="1490"/>
        <v>86.015000000000001</v>
      </c>
      <c r="BP617" s="859">
        <f t="shared" si="1490"/>
        <v>62.129999999999995</v>
      </c>
      <c r="BQ617" s="859">
        <f t="shared" si="1490"/>
        <v>50.26700000000001</v>
      </c>
      <c r="BR617" s="859">
        <f t="shared" si="1490"/>
        <v>112.39700000000001</v>
      </c>
      <c r="BS617" s="859">
        <f t="shared" si="1490"/>
        <v>75.983000000000004</v>
      </c>
      <c r="BT617" s="859">
        <f t="shared" ref="BT617:CY617" si="1491">BT60</f>
        <v>80.168999999999983</v>
      </c>
      <c r="BU617" s="859">
        <f t="shared" si="1491"/>
        <v>156.15199999999999</v>
      </c>
      <c r="BV617" s="859">
        <f t="shared" si="1491"/>
        <v>84.701000000000008</v>
      </c>
      <c r="BW617" s="859">
        <f t="shared" si="1491"/>
        <v>84.271000000000001</v>
      </c>
      <c r="BX617" s="859">
        <f t="shared" si="1491"/>
        <v>168.97200000000001</v>
      </c>
      <c r="BY617" s="859">
        <f t="shared" si="1491"/>
        <v>89.528999999999996</v>
      </c>
      <c r="BZ617" s="859">
        <f t="shared" si="1491"/>
        <v>95.646000000000015</v>
      </c>
      <c r="CA617" s="859">
        <f t="shared" si="1491"/>
        <v>185.17500000000001</v>
      </c>
      <c r="CB617" s="859">
        <f t="shared" si="1491"/>
        <v>103.13800000000001</v>
      </c>
      <c r="CC617" s="859">
        <f t="shared" si="1491"/>
        <v>126.70400000000001</v>
      </c>
      <c r="CD617" s="859">
        <f t="shared" si="1491"/>
        <v>229.84200000000001</v>
      </c>
      <c r="CE617" s="859">
        <f t="shared" si="1491"/>
        <v>112.30900000000001</v>
      </c>
      <c r="CF617" s="859">
        <f t="shared" si="1491"/>
        <v>127.88599999999998</v>
      </c>
      <c r="CG617" s="859">
        <f t="shared" si="1491"/>
        <v>240.19499999999999</v>
      </c>
      <c r="CH617" s="859">
        <f t="shared" si="1491"/>
        <v>108.67399999999999</v>
      </c>
      <c r="CI617" s="859">
        <f t="shared" si="1491"/>
        <v>106.61300000000001</v>
      </c>
      <c r="CJ617" s="859">
        <f t="shared" si="1491"/>
        <v>215.28700000000001</v>
      </c>
      <c r="CK617" s="859">
        <f t="shared" si="1491"/>
        <v>108.301</v>
      </c>
      <c r="CL617" s="859">
        <f t="shared" si="1491"/>
        <v>70.559000000000012</v>
      </c>
      <c r="CM617" s="859">
        <f t="shared" si="1491"/>
        <v>178.86</v>
      </c>
      <c r="CN617" s="859">
        <f t="shared" si="1491"/>
        <v>49.424999999999997</v>
      </c>
      <c r="CO617" s="859">
        <f t="shared" si="1491"/>
        <v>100.211</v>
      </c>
      <c r="CP617" s="859">
        <f t="shared" si="1491"/>
        <v>149.636</v>
      </c>
      <c r="CQ617" s="859">
        <f t="shared" si="1491"/>
        <v>100.45802269032488</v>
      </c>
      <c r="CR617" s="859">
        <f t="shared" si="1491"/>
        <v>105.92413980967511</v>
      </c>
      <c r="CS617" s="859">
        <f t="shared" si="1491"/>
        <v>206.38216249999999</v>
      </c>
      <c r="CT617" s="859">
        <f t="shared" si="1491"/>
        <v>130.96700000000001</v>
      </c>
      <c r="CU617" s="859">
        <f t="shared" si="1491"/>
        <v>131.63699999999997</v>
      </c>
      <c r="CV617" s="859">
        <f t="shared" si="1491"/>
        <v>262.60399999999998</v>
      </c>
      <c r="CW617" s="859">
        <f t="shared" si="1491"/>
        <v>156.39699999999999</v>
      </c>
      <c r="CX617" s="859">
        <f t="shared" si="1491"/>
        <v>159.29908879999999</v>
      </c>
      <c r="CY617" s="859">
        <f t="shared" si="1491"/>
        <v>315.69608879999998</v>
      </c>
      <c r="CZ617" s="859">
        <f t="shared" ref="CZ617:EF617" si="1492">CZ60</f>
        <v>160.33557919999998</v>
      </c>
      <c r="DA617" s="859">
        <f t="shared" si="1492"/>
        <v>188.06442079999999</v>
      </c>
      <c r="DB617" s="859">
        <f t="shared" si="1492"/>
        <v>348.4</v>
      </c>
      <c r="DC617" s="859">
        <f t="shared" si="1492"/>
        <v>177</v>
      </c>
      <c r="DD617" s="859">
        <f t="shared" si="1492"/>
        <v>182.29950000000002</v>
      </c>
      <c r="DE617" s="859">
        <f t="shared" si="1492"/>
        <v>359.29950000000002</v>
      </c>
      <c r="DF617" s="859">
        <f t="shared" si="1492"/>
        <v>196.60314803978935</v>
      </c>
      <c r="DG617" s="859">
        <f t="shared" si="1492"/>
        <v>38.715136960210657</v>
      </c>
      <c r="DH617" s="1344">
        <f t="shared" si="1492"/>
        <v>235.318285</v>
      </c>
      <c r="DI617" s="859">
        <f t="shared" si="1492"/>
        <v>187.8</v>
      </c>
      <c r="DJ617" s="859">
        <f t="shared" si="1492"/>
        <v>173.79999999999995</v>
      </c>
      <c r="DK617" s="1344">
        <f t="shared" si="1492"/>
        <v>361.59999999999997</v>
      </c>
      <c r="DL617" s="859">
        <f t="shared" si="1492"/>
        <v>236.67099999999999</v>
      </c>
      <c r="DM617" s="859">
        <f t="shared" si="1492"/>
        <v>195.529</v>
      </c>
      <c r="DN617" s="1344">
        <f t="shared" si="1492"/>
        <v>432.2</v>
      </c>
      <c r="DO617" s="859">
        <f t="shared" si="1492"/>
        <v>217.84700000000001</v>
      </c>
      <c r="DP617" s="859">
        <f t="shared" si="1492"/>
        <v>247.05300000000003</v>
      </c>
      <c r="DQ617" s="1344">
        <f t="shared" si="1492"/>
        <v>464.90000000000003</v>
      </c>
      <c r="DR617" s="859">
        <f t="shared" si="1492"/>
        <v>288.41899999999993</v>
      </c>
      <c r="DS617" s="859">
        <f t="shared" si="1492"/>
        <v>279.78100000000012</v>
      </c>
      <c r="DT617" s="1344">
        <f t="shared" si="1492"/>
        <v>568.20000000000005</v>
      </c>
      <c r="DU617" s="859">
        <f t="shared" si="1492"/>
        <v>306.202</v>
      </c>
      <c r="DV617" s="859">
        <f t="shared" si="1492"/>
        <v>287.59799999999996</v>
      </c>
      <c r="DW617" s="1344">
        <f t="shared" si="1492"/>
        <v>593.79999999999995</v>
      </c>
      <c r="DX617" s="859">
        <f t="shared" si="1492"/>
        <v>276.30000000000007</v>
      </c>
      <c r="DY617" s="859">
        <f t="shared" si="1492"/>
        <v>315.51598596218298</v>
      </c>
      <c r="DZ617" s="1344">
        <f t="shared" si="1492"/>
        <v>591.81598596218305</v>
      </c>
      <c r="EA617" s="859">
        <f t="shared" si="1492"/>
        <v>336.07187484297674</v>
      </c>
      <c r="EB617" s="859">
        <f t="shared" si="1492"/>
        <v>346.3021610677655</v>
      </c>
      <c r="EC617" s="1344">
        <f t="shared" si="1492"/>
        <v>682.37403591074224</v>
      </c>
      <c r="ED617" s="859">
        <f t="shared" si="1492"/>
        <v>374.98165200389184</v>
      </c>
      <c r="EE617" s="859">
        <f t="shared" si="1492"/>
        <v>386.58089302478135</v>
      </c>
      <c r="EF617" s="1344">
        <f t="shared" si="1492"/>
        <v>761.56254502867318</v>
      </c>
      <c r="EG617" s="859">
        <f t="shared" ref="EG617:EL617" si="1493">EG60</f>
        <v>415.30831302318722</v>
      </c>
      <c r="EH617" s="859">
        <f t="shared" si="1493"/>
        <v>428.15497150632041</v>
      </c>
      <c r="EI617" s="1344">
        <f t="shared" si="1493"/>
        <v>843.46328452950763</v>
      </c>
      <c r="EJ617" s="859">
        <f t="shared" si="1493"/>
        <v>457.16753647618083</v>
      </c>
      <c r="EK617" s="859">
        <f t="shared" si="1493"/>
        <v>471.30901890385593</v>
      </c>
      <c r="EL617" s="1344">
        <f t="shared" si="1493"/>
        <v>928.47655538003676</v>
      </c>
      <c r="EM617" s="859">
        <f t="shared" ref="EM617:ER617" si="1494">EM60</f>
        <v>500.26653798151239</v>
      </c>
      <c r="EN617" s="859">
        <f t="shared" si="1494"/>
        <v>515.74119418862028</v>
      </c>
      <c r="EO617" s="1344">
        <f t="shared" si="1494"/>
        <v>1016.0077321701326</v>
      </c>
      <c r="EP617" s="859">
        <f t="shared" si="1494"/>
        <v>545.29052639984843</v>
      </c>
      <c r="EQ617" s="859">
        <f t="shared" si="1494"/>
        <v>562.15790166559623</v>
      </c>
      <c r="ER617" s="1344">
        <f t="shared" si="1494"/>
        <v>1107.4484280654447</v>
      </c>
      <c r="ES617" s="859">
        <f t="shared" ref="ES617:EX617" si="1495">ES60</f>
        <v>594.3666737758349</v>
      </c>
      <c r="ET617" s="859">
        <f t="shared" si="1495"/>
        <v>612.75211281549991</v>
      </c>
      <c r="EU617" s="1344">
        <f t="shared" si="1495"/>
        <v>1207.1187865913348</v>
      </c>
      <c r="EV617" s="859">
        <f t="shared" si="1495"/>
        <v>647.85967441566004</v>
      </c>
      <c r="EW617" s="859">
        <f t="shared" si="1495"/>
        <v>667.89980296889507</v>
      </c>
      <c r="EX617" s="1344">
        <f t="shared" si="1495"/>
        <v>1315.7594773845551</v>
      </c>
      <c r="EY617" s="859">
        <f t="shared" ref="EY617:FA617" si="1496">EY60</f>
        <v>706.16704511306943</v>
      </c>
      <c r="EZ617" s="859">
        <f t="shared" si="1496"/>
        <v>728.01078523609544</v>
      </c>
      <c r="FA617" s="1344">
        <f t="shared" si="1496"/>
        <v>1434.1778303491649</v>
      </c>
      <c r="FE617"/>
      <c r="FF617"/>
      <c r="FG617"/>
      <c r="FH617"/>
      <c r="FI617"/>
      <c r="FJ617"/>
      <c r="FK617" s="35"/>
    </row>
    <row r="618" spans="1:167" s="236" customFormat="1" ht="13.35" customHeight="1">
      <c r="A618" s="289"/>
      <c r="B618" s="289" t="s">
        <v>839</v>
      </c>
      <c r="C618" s="806"/>
      <c r="D618" s="289"/>
      <c r="E618" s="820"/>
      <c r="F618" s="820"/>
      <c r="G618" s="821"/>
      <c r="H618" s="820"/>
      <c r="I618" s="820"/>
      <c r="J618" s="821"/>
      <c r="K618" s="820"/>
      <c r="L618" s="820"/>
      <c r="M618" s="821"/>
      <c r="N618" s="820"/>
      <c r="O618" s="820"/>
      <c r="P618" s="821"/>
      <c r="Q618" s="809"/>
      <c r="R618" s="809"/>
      <c r="S618" s="810"/>
      <c r="T618" s="809"/>
      <c r="U618" s="809"/>
      <c r="V618" s="808"/>
      <c r="W618" s="807"/>
      <c r="X618" s="807"/>
      <c r="Y618" s="808"/>
      <c r="Z618" s="807"/>
      <c r="AA618" s="807"/>
      <c r="AB618" s="808"/>
      <c r="AC618" s="807"/>
      <c r="AD618" s="807"/>
      <c r="AE618" s="808"/>
      <c r="AF618" s="807"/>
      <c r="AG618" s="807"/>
      <c r="AH618" s="808"/>
      <c r="AI618" s="807"/>
      <c r="AJ618" s="807"/>
      <c r="AK618" s="808"/>
      <c r="AL618" s="807"/>
      <c r="AM618" s="807"/>
      <c r="AN618" s="859">
        <f t="shared" ref="AN618:BS618" si="1497">AN80</f>
        <v>2.8130000000000002</v>
      </c>
      <c r="AO618" s="859">
        <f t="shared" si="1497"/>
        <v>1.516</v>
      </c>
      <c r="AP618" s="859">
        <f t="shared" si="1497"/>
        <v>2.5199999999999996</v>
      </c>
      <c r="AQ618" s="859">
        <f t="shared" si="1497"/>
        <v>4.0359999999999996</v>
      </c>
      <c r="AR618" s="859">
        <f t="shared" si="1497"/>
        <v>2.242</v>
      </c>
      <c r="AS618" s="859">
        <f t="shared" si="1497"/>
        <v>2.4800000000000004</v>
      </c>
      <c r="AT618" s="859">
        <f t="shared" si="1497"/>
        <v>4.7220000000000004</v>
      </c>
      <c r="AU618" s="859">
        <f t="shared" si="1497"/>
        <v>2.8570000000000002</v>
      </c>
      <c r="AV618" s="859">
        <f t="shared" si="1497"/>
        <v>4.76</v>
      </c>
      <c r="AW618" s="859">
        <f t="shared" si="1497"/>
        <v>7.617</v>
      </c>
      <c r="AX618" s="859">
        <f t="shared" si="1497"/>
        <v>6.0629999999999997</v>
      </c>
      <c r="AY618" s="859">
        <f t="shared" si="1497"/>
        <v>5.8760000000000003</v>
      </c>
      <c r="AZ618" s="859">
        <f t="shared" si="1497"/>
        <v>11.939</v>
      </c>
      <c r="BA618" s="859">
        <f t="shared" si="1497"/>
        <v>7.82</v>
      </c>
      <c r="BB618" s="859">
        <f t="shared" si="1497"/>
        <v>7.4529999999999994</v>
      </c>
      <c r="BC618" s="859">
        <f t="shared" si="1497"/>
        <v>15.273</v>
      </c>
      <c r="BD618" s="859">
        <f t="shared" si="1497"/>
        <v>4.9000000000000004</v>
      </c>
      <c r="BE618" s="859">
        <f t="shared" si="1497"/>
        <v>6.02</v>
      </c>
      <c r="BF618" s="859">
        <f t="shared" si="1497"/>
        <v>10.92</v>
      </c>
      <c r="BG618" s="859">
        <f t="shared" si="1497"/>
        <v>8.9979999999999993</v>
      </c>
      <c r="BH618" s="859">
        <f t="shared" si="1497"/>
        <v>12.828000000000001</v>
      </c>
      <c r="BI618" s="859">
        <f t="shared" si="1497"/>
        <v>21.826000000000001</v>
      </c>
      <c r="BJ618" s="859">
        <f t="shared" si="1497"/>
        <v>9.7050000000000001</v>
      </c>
      <c r="BK618" s="859">
        <f t="shared" si="1497"/>
        <v>1.4130000000000003</v>
      </c>
      <c r="BL618" s="859">
        <f t="shared" si="1497"/>
        <v>11.118</v>
      </c>
      <c r="BM618" s="859">
        <f t="shared" si="1497"/>
        <v>10.994</v>
      </c>
      <c r="BN618" s="859">
        <f t="shared" si="1497"/>
        <v>12.838999999999999</v>
      </c>
      <c r="BO618" s="859">
        <f t="shared" si="1497"/>
        <v>23.832999999999998</v>
      </c>
      <c r="BP618" s="859">
        <f t="shared" si="1497"/>
        <v>19.088999999999999</v>
      </c>
      <c r="BQ618" s="859">
        <f t="shared" si="1497"/>
        <v>11.521000000000001</v>
      </c>
      <c r="BR618" s="859">
        <f t="shared" si="1497"/>
        <v>30.61</v>
      </c>
      <c r="BS618" s="859">
        <f t="shared" si="1497"/>
        <v>23.663</v>
      </c>
      <c r="BT618" s="859">
        <f t="shared" ref="BT618:CY618" si="1498">BT80</f>
        <v>22.141999999999999</v>
      </c>
      <c r="BU618" s="859">
        <f t="shared" si="1498"/>
        <v>45.805</v>
      </c>
      <c r="BV618" s="859">
        <f t="shared" si="1498"/>
        <v>22.555</v>
      </c>
      <c r="BW618" s="859">
        <f t="shared" si="1498"/>
        <v>18.927999999999997</v>
      </c>
      <c r="BX618" s="859">
        <f t="shared" si="1498"/>
        <v>41.482999999999997</v>
      </c>
      <c r="BY618" s="859">
        <f t="shared" si="1498"/>
        <v>26.015000000000001</v>
      </c>
      <c r="BZ618" s="859">
        <f t="shared" si="1498"/>
        <v>19.713000000000001</v>
      </c>
      <c r="CA618" s="859">
        <f t="shared" si="1498"/>
        <v>45.728000000000002</v>
      </c>
      <c r="CB618" s="859">
        <f t="shared" si="1498"/>
        <v>26.768999999999998</v>
      </c>
      <c r="CC618" s="859">
        <f t="shared" si="1498"/>
        <v>27.43</v>
      </c>
      <c r="CD618" s="859">
        <f t="shared" si="1498"/>
        <v>54.198999999999998</v>
      </c>
      <c r="CE618" s="859">
        <f t="shared" si="1498"/>
        <v>27.596</v>
      </c>
      <c r="CF618" s="859">
        <f t="shared" si="1498"/>
        <v>27.427000000000003</v>
      </c>
      <c r="CG618" s="859">
        <f t="shared" si="1498"/>
        <v>55.023000000000003</v>
      </c>
      <c r="CH618" s="859">
        <f t="shared" si="1498"/>
        <v>26.143999999999998</v>
      </c>
      <c r="CI618" s="859">
        <f t="shared" si="1498"/>
        <v>26.745000000000005</v>
      </c>
      <c r="CJ618" s="859">
        <f t="shared" si="1498"/>
        <v>52.889000000000003</v>
      </c>
      <c r="CK618" s="859">
        <f t="shared" si="1498"/>
        <v>27.806000000000001</v>
      </c>
      <c r="CL618" s="859">
        <f t="shared" si="1498"/>
        <v>12.267999999999997</v>
      </c>
      <c r="CM618" s="859">
        <f t="shared" si="1498"/>
        <v>40.073999999999998</v>
      </c>
      <c r="CN618" s="859">
        <f t="shared" si="1498"/>
        <v>8.0450000000000017</v>
      </c>
      <c r="CO618" s="859">
        <f t="shared" si="1498"/>
        <v>22.123999999999999</v>
      </c>
      <c r="CP618" s="859">
        <f t="shared" si="1498"/>
        <v>30.169</v>
      </c>
      <c r="CQ618" s="859">
        <f t="shared" si="1498"/>
        <v>23.631</v>
      </c>
      <c r="CR618" s="859">
        <f t="shared" si="1498"/>
        <v>26.832000000000001</v>
      </c>
      <c r="CS618" s="859">
        <f t="shared" si="1498"/>
        <v>50.463000000000001</v>
      </c>
      <c r="CT618" s="859">
        <f t="shared" si="1498"/>
        <v>32.25</v>
      </c>
      <c r="CU618" s="859">
        <f t="shared" si="1498"/>
        <v>33.094999999999999</v>
      </c>
      <c r="CV618" s="859">
        <f t="shared" si="1498"/>
        <v>65.344999999999999</v>
      </c>
      <c r="CW618" s="859">
        <f t="shared" si="1498"/>
        <v>41.61056</v>
      </c>
      <c r="CX618" s="859">
        <f t="shared" si="1498"/>
        <v>43.598440000000004</v>
      </c>
      <c r="CY618" s="859">
        <f t="shared" si="1498"/>
        <v>85.209000000000003</v>
      </c>
      <c r="CZ618" s="859">
        <f t="shared" ref="CZ618:EF618" si="1499">CZ80</f>
        <v>45.800000000000018</v>
      </c>
      <c r="DA618" s="859">
        <f t="shared" si="1499"/>
        <v>48.899999999999984</v>
      </c>
      <c r="DB618" s="859">
        <f t="shared" si="1499"/>
        <v>94.7</v>
      </c>
      <c r="DC618" s="859">
        <f t="shared" si="1499"/>
        <v>45.7</v>
      </c>
      <c r="DD618" s="859">
        <f t="shared" si="1499"/>
        <v>43.200000000000031</v>
      </c>
      <c r="DE618" s="859">
        <f t="shared" si="1499"/>
        <v>88.900000000000034</v>
      </c>
      <c r="DF618" s="859">
        <f t="shared" si="1499"/>
        <v>46.20000000000001</v>
      </c>
      <c r="DG618" s="859">
        <f t="shared" si="1499"/>
        <v>-2.0000000000000213</v>
      </c>
      <c r="DH618" s="1344">
        <f t="shared" si="1499"/>
        <v>44.199999999999989</v>
      </c>
      <c r="DI618" s="859">
        <f t="shared" si="1499"/>
        <v>45.81</v>
      </c>
      <c r="DJ618" s="859">
        <f t="shared" si="1499"/>
        <v>39.260000000000005</v>
      </c>
      <c r="DK618" s="1344">
        <f t="shared" si="1499"/>
        <v>85.070000000000007</v>
      </c>
      <c r="DL618" s="859">
        <f t="shared" si="1499"/>
        <v>58.160000000000004</v>
      </c>
      <c r="DM618" s="859">
        <f t="shared" si="1499"/>
        <v>47.82</v>
      </c>
      <c r="DN618" s="1344">
        <f t="shared" si="1499"/>
        <v>105.98</v>
      </c>
      <c r="DO618" s="859">
        <f t="shared" si="1499"/>
        <v>51.26</v>
      </c>
      <c r="DP618" s="859">
        <f t="shared" si="1499"/>
        <v>58.29</v>
      </c>
      <c r="DQ618" s="1344">
        <f t="shared" si="1499"/>
        <v>109.55</v>
      </c>
      <c r="DR618" s="859">
        <f t="shared" si="1499"/>
        <v>73.669999999999987</v>
      </c>
      <c r="DS618" s="859">
        <f t="shared" si="1499"/>
        <v>63.420000000000009</v>
      </c>
      <c r="DT618" s="1344">
        <f t="shared" si="1499"/>
        <v>137.09</v>
      </c>
      <c r="DU618" s="859">
        <f t="shared" si="1499"/>
        <v>74.710000000000008</v>
      </c>
      <c r="DV618" s="859">
        <f t="shared" si="1499"/>
        <v>64.699999999999989</v>
      </c>
      <c r="DW618" s="1344">
        <f t="shared" si="1499"/>
        <v>139.41</v>
      </c>
      <c r="DX618" s="859">
        <f t="shared" si="1499"/>
        <v>62.1</v>
      </c>
      <c r="DY618" s="859">
        <f t="shared" si="1499"/>
        <v>75.254984324917501</v>
      </c>
      <c r="DZ618" s="1344">
        <f t="shared" si="1499"/>
        <v>137.3549843249175</v>
      </c>
      <c r="EA618" s="859">
        <f t="shared" si="1499"/>
        <v>77.92762732760302</v>
      </c>
      <c r="EB618" s="859">
        <f t="shared" si="1499"/>
        <v>80.324366791195942</v>
      </c>
      <c r="EC618" s="1344">
        <f t="shared" si="1499"/>
        <v>158.25199411879896</v>
      </c>
      <c r="ED618" s="859">
        <f t="shared" si="1499"/>
        <v>86.947218905036834</v>
      </c>
      <c r="EE618" s="859">
        <f t="shared" si="1499"/>
        <v>89.672012729327463</v>
      </c>
      <c r="EF618" s="1344">
        <f t="shared" si="1499"/>
        <v>176.6192316343643</v>
      </c>
      <c r="EG618" s="859">
        <f t="shared" ref="EG618:EL618" si="1500">EG80</f>
        <v>96.576352837922983</v>
      </c>
      <c r="EH618" s="859">
        <f t="shared" si="1500"/>
        <v>99.597249548990661</v>
      </c>
      <c r="EI618" s="1344">
        <f t="shared" si="1500"/>
        <v>196.17360238691364</v>
      </c>
      <c r="EJ618" s="859">
        <f t="shared" si="1500"/>
        <v>106.50062573824088</v>
      </c>
      <c r="EK618" s="859">
        <f t="shared" si="1500"/>
        <v>109.82805932356963</v>
      </c>
      <c r="EL618" s="1344">
        <f t="shared" si="1500"/>
        <v>216.32868506181052</v>
      </c>
      <c r="EM618" s="859">
        <f t="shared" ref="EM618:ER618" si="1501">EM80</f>
        <v>116.91708091689429</v>
      </c>
      <c r="EN618" s="859">
        <f t="shared" si="1501"/>
        <v>120.55909361513812</v>
      </c>
      <c r="EO618" s="1344">
        <f t="shared" si="1501"/>
        <v>237.47617453203242</v>
      </c>
      <c r="EP618" s="859">
        <f t="shared" si="1501"/>
        <v>128.00428244967401</v>
      </c>
      <c r="EQ618" s="859">
        <f t="shared" si="1501"/>
        <v>131.97407629075985</v>
      </c>
      <c r="ER618" s="1344">
        <f t="shared" si="1501"/>
        <v>259.97835874043386</v>
      </c>
      <c r="ES618" s="859">
        <f t="shared" ref="ES618:EX618" si="1502">ES80</f>
        <v>140.10950010856655</v>
      </c>
      <c r="ET618" s="859">
        <f t="shared" si="1502"/>
        <v>144.4365753953501</v>
      </c>
      <c r="EU618" s="1344">
        <f t="shared" si="1502"/>
        <v>284.54607550391665</v>
      </c>
      <c r="EV618" s="859">
        <f t="shared" si="1502"/>
        <v>153.32666470959438</v>
      </c>
      <c r="EW618" s="859">
        <f t="shared" si="1502"/>
        <v>158.0431767721885</v>
      </c>
      <c r="EX618" s="1344">
        <f t="shared" si="1502"/>
        <v>311.36984148178288</v>
      </c>
      <c r="EY618" s="859">
        <f t="shared" ref="EY618:FA618" si="1503">EY80</f>
        <v>167.75871020302904</v>
      </c>
      <c r="EZ618" s="859">
        <f t="shared" si="1503"/>
        <v>172.89970835125658</v>
      </c>
      <c r="FA618" s="1344">
        <f t="shared" si="1503"/>
        <v>340.65841855428562</v>
      </c>
      <c r="FE618"/>
      <c r="FF618"/>
      <c r="FG618"/>
      <c r="FH618"/>
      <c r="FI618"/>
      <c r="FJ618"/>
      <c r="FK618" s="35"/>
    </row>
    <row r="619" spans="1:167" s="236" customFormat="1" ht="13.35" customHeight="1">
      <c r="A619" s="289"/>
      <c r="B619" s="289" t="s">
        <v>840</v>
      </c>
      <c r="C619" s="806"/>
      <c r="D619" s="289"/>
      <c r="E619" s="820"/>
      <c r="F619" s="820"/>
      <c r="G619" s="821"/>
      <c r="H619" s="820"/>
      <c r="I619" s="820"/>
      <c r="J619" s="821"/>
      <c r="K619" s="820"/>
      <c r="L619" s="820"/>
      <c r="M619" s="821"/>
      <c r="N619" s="820"/>
      <c r="O619" s="820"/>
      <c r="P619" s="821"/>
      <c r="Q619" s="809"/>
      <c r="R619" s="809"/>
      <c r="S619" s="810"/>
      <c r="T619" s="809"/>
      <c r="U619" s="809"/>
      <c r="V619" s="808"/>
      <c r="W619" s="807"/>
      <c r="X619" s="807"/>
      <c r="Y619" s="808"/>
      <c r="Z619" s="807"/>
      <c r="AA619" s="807"/>
      <c r="AB619" s="808"/>
      <c r="AC619" s="807"/>
      <c r="AD619" s="807"/>
      <c r="AE619" s="808"/>
      <c r="AF619" s="807"/>
      <c r="AG619" s="807"/>
      <c r="AH619" s="808"/>
      <c r="AI619" s="807"/>
      <c r="AJ619" s="807"/>
      <c r="AK619" s="808"/>
      <c r="AL619" s="807"/>
      <c r="AM619" s="807"/>
      <c r="AN619" s="884">
        <f t="shared" ref="AN619:BS619" si="1504">AN74*AN81</f>
        <v>-7.7750365603977772E-2</v>
      </c>
      <c r="AO619" s="884">
        <f t="shared" si="1504"/>
        <v>-7.482080158993043E-2</v>
      </c>
      <c r="AP619" s="884">
        <f t="shared" si="1504"/>
        <v>-7.5253775405927106E-2</v>
      </c>
      <c r="AQ619" s="884">
        <f t="shared" si="1504"/>
        <v>-0.15252246547659146</v>
      </c>
      <c r="AR619" s="884">
        <f t="shared" si="1504"/>
        <v>-8.1878179209599583E-2</v>
      </c>
      <c r="AS619" s="884">
        <f t="shared" si="1504"/>
        <v>-6.0201160541586071E-2</v>
      </c>
      <c r="AT619" s="884">
        <f t="shared" si="1504"/>
        <v>-0.13924484922530128</v>
      </c>
      <c r="AU619" s="884">
        <f t="shared" si="1504"/>
        <v>-0.10766378947368424</v>
      </c>
      <c r="AV619" s="884">
        <f t="shared" si="1504"/>
        <v>-0.16576294655220158</v>
      </c>
      <c r="AW619" s="884">
        <f t="shared" si="1504"/>
        <v>-0.27389897260273971</v>
      </c>
      <c r="AX619" s="884">
        <f t="shared" si="1504"/>
        <v>-0.2634317446756575</v>
      </c>
      <c r="AY619" s="884">
        <f t="shared" si="1504"/>
        <v>-0.17148789912548307</v>
      </c>
      <c r="AZ619" s="884">
        <f t="shared" si="1504"/>
        <v>-0.42583702676466512</v>
      </c>
      <c r="BA619" s="884">
        <f t="shared" si="1504"/>
        <v>-0.17822985691976528</v>
      </c>
      <c r="BB619" s="884">
        <f t="shared" si="1504"/>
        <v>-0.13034071535284295</v>
      </c>
      <c r="BC619" s="884">
        <f t="shared" si="1504"/>
        <v>-0.30841260683300681</v>
      </c>
      <c r="BD619" s="884">
        <f t="shared" si="1504"/>
        <v>4.7665369649805452E-2</v>
      </c>
      <c r="BE619" s="884">
        <f t="shared" si="1504"/>
        <v>4.3850156087408936E-2</v>
      </c>
      <c r="BF619" s="884">
        <f t="shared" si="1504"/>
        <v>9.2118100128369684E-2</v>
      </c>
      <c r="BG619" s="884">
        <f t="shared" si="1504"/>
        <v>7.870407908255353E-2</v>
      </c>
      <c r="BH619" s="884">
        <f t="shared" si="1504"/>
        <v>-5.1315498784008005E-2</v>
      </c>
      <c r="BI619" s="884">
        <f t="shared" si="1504"/>
        <v>3.7917935258092741E-2</v>
      </c>
      <c r="BJ619" s="884">
        <f t="shared" si="1504"/>
        <v>-0.20637575307419326</v>
      </c>
      <c r="BK619" s="884">
        <f t="shared" si="1504"/>
        <v>-0.13195431611778735</v>
      </c>
      <c r="BL619" s="884">
        <f t="shared" si="1504"/>
        <v>-0.42140730551087785</v>
      </c>
      <c r="BM619" s="884">
        <f t="shared" si="1504"/>
        <v>0.1244759310172457</v>
      </c>
      <c r="BN619" s="884">
        <f t="shared" si="1504"/>
        <v>-6.8297396978509173E-2</v>
      </c>
      <c r="BO619" s="884">
        <f t="shared" si="1504"/>
        <v>6.6020192693209495E-2</v>
      </c>
      <c r="BP619" s="884">
        <f t="shared" si="1504"/>
        <v>9.8368385455248238E-3</v>
      </c>
      <c r="BQ619" s="884">
        <f t="shared" si="1504"/>
        <v>-9.120760853285409E-2</v>
      </c>
      <c r="BR619" s="884">
        <f t="shared" si="1504"/>
        <v>-9.506298525290581E-2</v>
      </c>
      <c r="BS619" s="884">
        <f t="shared" si="1504"/>
        <v>1.6807320844609832</v>
      </c>
      <c r="BT619" s="884">
        <f t="shared" ref="BT619:CY619" si="1505">BT74*BT81</f>
        <v>1.5448758840315979</v>
      </c>
      <c r="BU619" s="884">
        <f t="shared" si="1505"/>
        <v>3.2243328384942957</v>
      </c>
      <c r="BV619" s="884">
        <f t="shared" si="1505"/>
        <v>1.4249047923884119</v>
      </c>
      <c r="BW619" s="884">
        <f t="shared" si="1505"/>
        <v>1.3705474697919502</v>
      </c>
      <c r="BX619" s="884">
        <f t="shared" si="1505"/>
        <v>2.8089970839155929</v>
      </c>
      <c r="BY619" s="884">
        <f t="shared" si="1505"/>
        <v>-1.7661276067993039</v>
      </c>
      <c r="BZ619" s="884">
        <f t="shared" si="1505"/>
        <v>1.2004467671850294</v>
      </c>
      <c r="CA619" s="884">
        <f t="shared" si="1505"/>
        <v>-0.42104377425284212</v>
      </c>
      <c r="CB619" s="884">
        <f t="shared" si="1505"/>
        <v>0.29441281759723981</v>
      </c>
      <c r="CC619" s="884">
        <f t="shared" si="1505"/>
        <v>2.2690731820934449</v>
      </c>
      <c r="CD619" s="884">
        <f t="shared" si="1505"/>
        <v>2.589164603942661</v>
      </c>
      <c r="CE619" s="884">
        <f t="shared" si="1505"/>
        <v>0.44390884005392151</v>
      </c>
      <c r="CF619" s="884">
        <f t="shared" si="1505"/>
        <v>0.72196009822961982</v>
      </c>
      <c r="CG619" s="884">
        <f t="shared" si="1505"/>
        <v>1.1835922632337743</v>
      </c>
      <c r="CH619" s="884">
        <f t="shared" si="1505"/>
        <v>0.58613760337187537</v>
      </c>
      <c r="CI619" s="884">
        <f t="shared" si="1505"/>
        <v>0.48918484593784034</v>
      </c>
      <c r="CJ619" s="884">
        <f t="shared" si="1505"/>
        <v>1.0773875510097684</v>
      </c>
      <c r="CK619" s="884">
        <f t="shared" si="1505"/>
        <v>0.74609115301836526</v>
      </c>
      <c r="CL619" s="884">
        <f t="shared" si="1505"/>
        <v>0.61973802221361984</v>
      </c>
      <c r="CM619" s="884">
        <f t="shared" si="1505"/>
        <v>1.4445368142402846</v>
      </c>
      <c r="CN619" s="884">
        <f t="shared" si="1505"/>
        <v>0.82360990297758463</v>
      </c>
      <c r="CO619" s="884">
        <f t="shared" si="1505"/>
        <v>1.2568757698472959</v>
      </c>
      <c r="CP619" s="884">
        <f t="shared" si="1505"/>
        <v>2.1552217400955183</v>
      </c>
      <c r="CQ619" s="884">
        <f t="shared" si="1505"/>
        <v>1.3560906489597209</v>
      </c>
      <c r="CR619" s="884">
        <f t="shared" si="1505"/>
        <v>1.2256573775452666</v>
      </c>
      <c r="CS619" s="884">
        <f t="shared" si="1505"/>
        <v>2.5910188699994405</v>
      </c>
      <c r="CT619" s="884">
        <f t="shared" si="1505"/>
        <v>1.1961942620938681</v>
      </c>
      <c r="CU619" s="884">
        <f t="shared" si="1505"/>
        <v>0.94488432057382632</v>
      </c>
      <c r="CV619" s="884">
        <f t="shared" si="1505"/>
        <v>2.1428213367103743</v>
      </c>
      <c r="CW619" s="884">
        <f t="shared" si="1505"/>
        <v>0.92942400000000014</v>
      </c>
      <c r="CX619" s="884">
        <f t="shared" si="1505"/>
        <v>0.96629910039765177</v>
      </c>
      <c r="CY619" s="884">
        <f t="shared" si="1505"/>
        <v>1.8958264569228531</v>
      </c>
      <c r="CZ619" s="884">
        <f t="shared" ref="CZ619:EF619" si="1506">CZ74*CZ81</f>
        <v>1.0925257174968077</v>
      </c>
      <c r="DA619" s="884">
        <f t="shared" si="1506"/>
        <v>1.1073419092985315</v>
      </c>
      <c r="DB619" s="884">
        <f t="shared" si="1506"/>
        <v>2.1971512481644644</v>
      </c>
      <c r="DC619" s="884">
        <f t="shared" si="1506"/>
        <v>0.70791738382099834</v>
      </c>
      <c r="DD619" s="884">
        <f t="shared" si="1506"/>
        <v>0.43068365650969542</v>
      </c>
      <c r="DE619" s="884">
        <f t="shared" si="1506"/>
        <v>1.1274113585118379</v>
      </c>
      <c r="DF619" s="884">
        <f t="shared" si="1506"/>
        <v>1.2403881466644386</v>
      </c>
      <c r="DG619" s="884">
        <f t="shared" si="1506"/>
        <v>-0.43090439373933914</v>
      </c>
      <c r="DH619" s="1345">
        <f t="shared" si="1506"/>
        <v>1.9908494797979794</v>
      </c>
      <c r="DI619" s="884">
        <f t="shared" si="1506"/>
        <v>1.2020116618075802</v>
      </c>
      <c r="DJ619" s="884">
        <f t="shared" si="1506"/>
        <v>0.99295719844357999</v>
      </c>
      <c r="DK619" s="1345">
        <f t="shared" si="1506"/>
        <v>2.1940067546822233</v>
      </c>
      <c r="DL619" s="884">
        <f t="shared" si="1506"/>
        <v>0.92738041002277904</v>
      </c>
      <c r="DM619" s="884">
        <f t="shared" si="1506"/>
        <v>0.72292273236282178</v>
      </c>
      <c r="DN619" s="1345">
        <f t="shared" si="1506"/>
        <v>1.6505300175835214</v>
      </c>
      <c r="DO619" s="884">
        <f t="shared" si="1506"/>
        <v>-0.50009756097560976</v>
      </c>
      <c r="DP619" s="884">
        <f t="shared" si="1506"/>
        <v>-1.2559315589353608</v>
      </c>
      <c r="DQ619" s="1345">
        <f t="shared" si="1506"/>
        <v>-1.7609350237717905</v>
      </c>
      <c r="DR619" s="884">
        <f t="shared" si="1506"/>
        <v>-1.3549116480346197</v>
      </c>
      <c r="DS619" s="884">
        <f t="shared" si="1506"/>
        <v>-1.1138789237668163</v>
      </c>
      <c r="DT619" s="1345">
        <f t="shared" si="1506"/>
        <v>-2.4655569829326485</v>
      </c>
      <c r="DU619" s="884">
        <f t="shared" si="1506"/>
        <v>-0.44038488210818316</v>
      </c>
      <c r="DV619" s="884">
        <f t="shared" si="1506"/>
        <v>0.24295906871948941</v>
      </c>
      <c r="DW619" s="1345">
        <f t="shared" si="1506"/>
        <v>-0.17592752839372616</v>
      </c>
      <c r="DX619" s="884">
        <f t="shared" si="1506"/>
        <v>-0.50762942779291564</v>
      </c>
      <c r="DY619" s="884">
        <f t="shared" si="1506"/>
        <v>0.73590499385653141</v>
      </c>
      <c r="DZ619" s="1345">
        <f t="shared" si="1506"/>
        <v>0.1901250000000001</v>
      </c>
      <c r="EA619" s="884">
        <f t="shared" si="1506"/>
        <v>0.87011484787978099</v>
      </c>
      <c r="EB619" s="884">
        <f t="shared" si="1506"/>
        <v>0.87011484787978099</v>
      </c>
      <c r="EC619" s="1345">
        <f t="shared" si="1506"/>
        <v>1.740229695759562</v>
      </c>
      <c r="ED619" s="884">
        <f t="shared" si="1506"/>
        <v>1.1402419695496238</v>
      </c>
      <c r="EE619" s="884">
        <f t="shared" si="1506"/>
        <v>1.1402419695496238</v>
      </c>
      <c r="EF619" s="1345">
        <f t="shared" si="1506"/>
        <v>2.2804839390992475</v>
      </c>
      <c r="EG619" s="884">
        <f t="shared" ref="EG619:EL619" si="1507">EG74*EG81</f>
        <v>1.0835576001125351</v>
      </c>
      <c r="EH619" s="884">
        <f t="shared" si="1507"/>
        <v>1.0835576001125351</v>
      </c>
      <c r="EI619" s="1345">
        <f t="shared" si="1507"/>
        <v>2.1671152002250702</v>
      </c>
      <c r="EJ619" s="884">
        <f t="shared" si="1507"/>
        <v>1.0690454594445173</v>
      </c>
      <c r="EK619" s="884">
        <f t="shared" si="1507"/>
        <v>1.0690454594445173</v>
      </c>
      <c r="EL619" s="1345">
        <f t="shared" si="1507"/>
        <v>2.1380909188890347</v>
      </c>
      <c r="EM619" s="884">
        <f t="shared" ref="EM619:ER619" si="1508">EM74*EM81</f>
        <v>0.82234149420162739</v>
      </c>
      <c r="EN619" s="884">
        <f t="shared" si="1508"/>
        <v>0.82234149420162739</v>
      </c>
      <c r="EO619" s="1345">
        <f t="shared" si="1508"/>
        <v>1.6446829884032548</v>
      </c>
      <c r="EP619" s="884">
        <f t="shared" si="1508"/>
        <v>0.33168797842052533</v>
      </c>
      <c r="EQ619" s="884">
        <f t="shared" si="1508"/>
        <v>0.33168797842052533</v>
      </c>
      <c r="ER619" s="1345">
        <f t="shared" si="1508"/>
        <v>0.66337595684105066</v>
      </c>
      <c r="ES619" s="884">
        <f t="shared" ref="ES619:EX619" si="1509">ES74*ES81</f>
        <v>-0.22329234194347358</v>
      </c>
      <c r="ET619" s="884">
        <f t="shared" si="1509"/>
        <v>-0.22329234194347358</v>
      </c>
      <c r="EU619" s="1345">
        <f t="shared" si="1509"/>
        <v>-0.44658468388694716</v>
      </c>
      <c r="EV619" s="884">
        <f t="shared" si="1509"/>
        <v>-0.85069824397523486</v>
      </c>
      <c r="EW619" s="884">
        <f t="shared" si="1509"/>
        <v>-0.85069824397523486</v>
      </c>
      <c r="EX619" s="1345">
        <f t="shared" si="1509"/>
        <v>-1.7013964879504697</v>
      </c>
      <c r="EY619" s="884">
        <f t="shared" ref="EY619:FA619" si="1510">EY74*EY81</f>
        <v>-1.559906755504177</v>
      </c>
      <c r="EZ619" s="884">
        <f t="shared" si="1510"/>
        <v>-1.559906755504177</v>
      </c>
      <c r="FA619" s="1345">
        <f t="shared" si="1510"/>
        <v>-3.119813511008354</v>
      </c>
      <c r="FE619"/>
      <c r="FF619"/>
      <c r="FG619"/>
      <c r="FH619"/>
      <c r="FI619"/>
      <c r="FJ619"/>
      <c r="FK619" s="35"/>
    </row>
    <row r="620" spans="1:167" s="236" customFormat="1" ht="13.35" customHeight="1">
      <c r="A620" s="289"/>
      <c r="B620" s="289" t="s">
        <v>841</v>
      </c>
      <c r="C620" s="806"/>
      <c r="D620" s="289"/>
      <c r="E620" s="820"/>
      <c r="F620" s="820"/>
      <c r="G620" s="821"/>
      <c r="H620" s="820"/>
      <c r="I620" s="820"/>
      <c r="J620" s="821"/>
      <c r="K620" s="820"/>
      <c r="L620" s="820"/>
      <c r="M620" s="821"/>
      <c r="N620" s="820"/>
      <c r="O620" s="820"/>
      <c r="P620" s="821"/>
      <c r="Q620" s="809"/>
      <c r="R620" s="809"/>
      <c r="S620" s="810"/>
      <c r="T620" s="809"/>
      <c r="U620" s="809"/>
      <c r="V620" s="808"/>
      <c r="W620" s="807"/>
      <c r="X620" s="807"/>
      <c r="Y620" s="808"/>
      <c r="Z620" s="807"/>
      <c r="AA620" s="807"/>
      <c r="AB620" s="808"/>
      <c r="AC620" s="807"/>
      <c r="AD620" s="807"/>
      <c r="AE620" s="808"/>
      <c r="AF620" s="807"/>
      <c r="AG620" s="807"/>
      <c r="AH620" s="808"/>
      <c r="AI620" s="807"/>
      <c r="AJ620" s="807"/>
      <c r="AK620" s="808"/>
      <c r="AL620" s="807"/>
      <c r="AM620" s="807"/>
      <c r="AN620" s="884">
        <f t="shared" ref="AN620:BS620" si="1511">AN34*AN81</f>
        <v>0.33115896460953498</v>
      </c>
      <c r="AO620" s="884">
        <f t="shared" si="1511"/>
        <v>0.14311361377939713</v>
      </c>
      <c r="AP620" s="884">
        <f t="shared" si="1511"/>
        <v>0.1258998523901442</v>
      </c>
      <c r="AQ620" s="884">
        <f t="shared" si="1511"/>
        <v>0.27459481306837319</v>
      </c>
      <c r="AR620" s="884">
        <f t="shared" si="1511"/>
        <v>9.445232815964523E-2</v>
      </c>
      <c r="AS620" s="884">
        <f t="shared" si="1511"/>
        <v>0.20914506769825922</v>
      </c>
      <c r="AT620" s="884">
        <f t="shared" si="1511"/>
        <v>0.31336646859554618</v>
      </c>
      <c r="AU620" s="884">
        <f t="shared" si="1511"/>
        <v>0.12390357894736843</v>
      </c>
      <c r="AV620" s="884">
        <f t="shared" si="1511"/>
        <v>0.20893381334810307</v>
      </c>
      <c r="AW620" s="884">
        <f t="shared" si="1511"/>
        <v>0.33275066822586036</v>
      </c>
      <c r="AX620" s="884">
        <f t="shared" si="1511"/>
        <v>0.39255769817538289</v>
      </c>
      <c r="AY620" s="884">
        <f t="shared" si="1511"/>
        <v>0.3355068130974172</v>
      </c>
      <c r="AZ620" s="884">
        <f t="shared" si="1511"/>
        <v>0.7231944529191513</v>
      </c>
      <c r="BA620" s="884">
        <f t="shared" si="1511"/>
        <v>0.18648123918456924</v>
      </c>
      <c r="BB620" s="884">
        <f t="shared" si="1511"/>
        <v>0.51022822743650587</v>
      </c>
      <c r="BC620" s="884">
        <f t="shared" si="1511"/>
        <v>0.69803834147811683</v>
      </c>
      <c r="BD620" s="884">
        <f t="shared" si="1511"/>
        <v>0</v>
      </c>
      <c r="BE620" s="884">
        <f t="shared" si="1511"/>
        <v>0.14407908428720081</v>
      </c>
      <c r="BF620" s="884">
        <f t="shared" si="1511"/>
        <v>0.13817715019255453</v>
      </c>
      <c r="BG620" s="884">
        <f t="shared" si="1511"/>
        <v>5.4468219809513226E-2</v>
      </c>
      <c r="BH620" s="884">
        <f t="shared" si="1511"/>
        <v>0.12799718162601995</v>
      </c>
      <c r="BI620" s="884">
        <f t="shared" si="1511"/>
        <v>0.1792236220472441</v>
      </c>
      <c r="BJ620" s="884">
        <f t="shared" si="1511"/>
        <v>0.34066683172402412</v>
      </c>
      <c r="BK620" s="884">
        <f t="shared" si="1511"/>
        <v>0.17187762590588015</v>
      </c>
      <c r="BL620" s="884">
        <f t="shared" si="1511"/>
        <v>0.61222881571150423</v>
      </c>
      <c r="BM620" s="884">
        <f t="shared" si="1511"/>
        <v>0</v>
      </c>
      <c r="BN620" s="884">
        <f t="shared" si="1511"/>
        <v>0.82776445137953036</v>
      </c>
      <c r="BO620" s="884">
        <f t="shared" si="1511"/>
        <v>0.78963625208062505</v>
      </c>
      <c r="BP620" s="884">
        <f t="shared" si="1511"/>
        <v>0.92158881123385605</v>
      </c>
      <c r="BQ620" s="884">
        <f t="shared" si="1511"/>
        <v>0.91971780388129343</v>
      </c>
      <c r="BR620" s="884">
        <f t="shared" si="1511"/>
        <v>1.8925409105526718</v>
      </c>
      <c r="BS620" s="884">
        <f t="shared" si="1511"/>
        <v>0.36389734156517811</v>
      </c>
      <c r="BT620" s="884">
        <f t="shared" ref="BT620:CY620" si="1512">BT34*BT81</f>
        <v>0.33821823345327212</v>
      </c>
      <c r="BU620" s="884">
        <f t="shared" si="1512"/>
        <v>0.70201068434148073</v>
      </c>
      <c r="BV620" s="884">
        <f t="shared" si="1512"/>
        <v>1.52795771200482</v>
      </c>
      <c r="BW620" s="884">
        <f t="shared" si="1512"/>
        <v>0.17687653311529017</v>
      </c>
      <c r="BX620" s="884">
        <f t="shared" si="1512"/>
        <v>1.6191702942246213</v>
      </c>
      <c r="BY620" s="884">
        <f t="shared" si="1512"/>
        <v>8.3773120655334505</v>
      </c>
      <c r="BZ620" s="884">
        <f t="shared" si="1512"/>
        <v>-2.8404764744699129</v>
      </c>
      <c r="CA620" s="884">
        <f t="shared" si="1512"/>
        <v>5.0133523952163754</v>
      </c>
      <c r="CB620" s="884">
        <f t="shared" si="1512"/>
        <v>1.2495488746863235</v>
      </c>
      <c r="CC620" s="884">
        <f t="shared" si="1512"/>
        <v>-0.60208766944612646</v>
      </c>
      <c r="CD620" s="884">
        <f t="shared" si="1512"/>
        <v>0.62289071463714052</v>
      </c>
      <c r="CE620" s="884">
        <f t="shared" si="1512"/>
        <v>33.338602491608682</v>
      </c>
      <c r="CF620" s="884">
        <f t="shared" si="1512"/>
        <v>8.3201499125245937E-2</v>
      </c>
      <c r="CG620" s="884">
        <f t="shared" si="1512"/>
        <v>31.33547646691078</v>
      </c>
      <c r="CH620" s="884">
        <f t="shared" si="1512"/>
        <v>0.10945498678157135</v>
      </c>
      <c r="CI620" s="884">
        <f t="shared" si="1512"/>
        <v>0.35941675103631399</v>
      </c>
      <c r="CJ620" s="884">
        <f t="shared" si="1512"/>
        <v>0.46424424022105426</v>
      </c>
      <c r="CK620" s="884">
        <f t="shared" si="1512"/>
        <v>7.7245479800134631E-2</v>
      </c>
      <c r="CL620" s="884">
        <f t="shared" si="1512"/>
        <v>6.6850608939046541E-2</v>
      </c>
      <c r="CM620" s="884">
        <f t="shared" si="1512"/>
        <v>0.15297280420767276</v>
      </c>
      <c r="CN620" s="884">
        <f t="shared" si="1512"/>
        <v>2.6915356306457014E-2</v>
      </c>
      <c r="CO620" s="884">
        <f t="shared" si="1512"/>
        <v>4.0597064034421662E-2</v>
      </c>
      <c r="CP620" s="884">
        <f t="shared" si="1512"/>
        <v>6.9990161751122368E-2</v>
      </c>
      <c r="CQ620" s="884">
        <f t="shared" si="1512"/>
        <v>2.2380205512628197E-2</v>
      </c>
      <c r="CR620" s="884">
        <f t="shared" si="1512"/>
        <v>6.115127424106527E-2</v>
      </c>
      <c r="CS620" s="884">
        <f t="shared" si="1512"/>
        <v>8.2476695529360239E-2</v>
      </c>
      <c r="CT620" s="884">
        <f t="shared" si="1512"/>
        <v>3.3199242970154329E-2</v>
      </c>
      <c r="CU620" s="884">
        <f t="shared" si="1512"/>
        <v>8.7403092598235685E-2</v>
      </c>
      <c r="CV620" s="884">
        <f t="shared" si="1512"/>
        <v>0.12027349311351106</v>
      </c>
      <c r="CW620" s="884">
        <f t="shared" si="1512"/>
        <v>7.3983999999999994E-2</v>
      </c>
      <c r="CX620" s="884">
        <f t="shared" si="1512"/>
        <v>-0.12118209407860377</v>
      </c>
      <c r="CY620" s="884">
        <f t="shared" si="1512"/>
        <v>-4.4469537595725764E-2</v>
      </c>
      <c r="CZ620" s="884">
        <f t="shared" ref="CZ620:EF620" si="1513">CZ34*CZ81</f>
        <v>0.15955421455938704</v>
      </c>
      <c r="DA620" s="884">
        <f t="shared" si="1513"/>
        <v>9.425016313213698E-2</v>
      </c>
      <c r="DB620" s="884">
        <f t="shared" si="1513"/>
        <v>0.25030837004405287</v>
      </c>
      <c r="DC620" s="884">
        <f t="shared" si="1513"/>
        <v>0.41950659781985089</v>
      </c>
      <c r="DD620" s="884">
        <f t="shared" si="1513"/>
        <v>-0.21528199445983395</v>
      </c>
      <c r="DE620" s="884">
        <f t="shared" si="1513"/>
        <v>0.17551987034949273</v>
      </c>
      <c r="DF620" s="884">
        <f t="shared" si="1513"/>
        <v>5.0836000904035825E-2</v>
      </c>
      <c r="DG620" s="884">
        <f t="shared" si="1513"/>
        <v>-0.15123853819783917</v>
      </c>
      <c r="DH620" s="1345">
        <f t="shared" si="1513"/>
        <v>0.36636442424242416</v>
      </c>
      <c r="DI620" s="884">
        <f t="shared" si="1513"/>
        <v>0.66778425655976681</v>
      </c>
      <c r="DJ620" s="884">
        <f t="shared" si="1513"/>
        <v>0.28006485084306104</v>
      </c>
      <c r="DK620" s="1345">
        <f t="shared" si="1513"/>
        <v>0.94028860914952417</v>
      </c>
      <c r="DL620" s="884">
        <f t="shared" si="1513"/>
        <v>0.21197266514806379</v>
      </c>
      <c r="DM620" s="884">
        <f t="shared" si="1513"/>
        <v>0.42839865621500556</v>
      </c>
      <c r="DN620" s="1345">
        <f t="shared" si="1513"/>
        <v>0.63891484551620192</v>
      </c>
      <c r="DO620" s="884">
        <f t="shared" si="1513"/>
        <v>1.6753268292682928</v>
      </c>
      <c r="DP620" s="884">
        <f t="shared" si="1513"/>
        <v>2.4133586818757919</v>
      </c>
      <c r="DQ620" s="1345">
        <f t="shared" si="1513"/>
        <v>4.0923137876386679</v>
      </c>
      <c r="DR620" s="884">
        <f t="shared" si="1513"/>
        <v>2.4972881355932204</v>
      </c>
      <c r="DS620" s="884">
        <f t="shared" si="1513"/>
        <v>2.2751569506726459</v>
      </c>
      <c r="DT620" s="1345">
        <f t="shared" si="1513"/>
        <v>4.7801614975224815</v>
      </c>
      <c r="DU620" s="884">
        <f t="shared" si="1513"/>
        <v>1.916969486823856</v>
      </c>
      <c r="DV620" s="884">
        <f t="shared" si="1513"/>
        <v>1.0447239954938032</v>
      </c>
      <c r="DW620" s="1345">
        <f t="shared" si="1513"/>
        <v>2.9405029745808542</v>
      </c>
      <c r="DX620" s="884">
        <f t="shared" si="1513"/>
        <v>2.0305177111716621</v>
      </c>
      <c r="DY620" s="884">
        <f t="shared" si="1513"/>
        <v>0.88486111741637419</v>
      </c>
      <c r="DZ620" s="1345">
        <f t="shared" si="1513"/>
        <v>2.9598749999999998</v>
      </c>
      <c r="EA620" s="884">
        <f t="shared" si="1513"/>
        <v>0.70488515212021896</v>
      </c>
      <c r="EB620" s="884">
        <f t="shared" si="1513"/>
        <v>0.70488515212021896</v>
      </c>
      <c r="EC620" s="1345">
        <f t="shared" si="1513"/>
        <v>1.4097703042404379</v>
      </c>
      <c r="ED620" s="884">
        <f t="shared" si="1513"/>
        <v>0.43475803045037625</v>
      </c>
      <c r="EE620" s="884">
        <f t="shared" si="1513"/>
        <v>0.43475803045037625</v>
      </c>
      <c r="EF620" s="1345">
        <f t="shared" si="1513"/>
        <v>0.86951606090075251</v>
      </c>
      <c r="EG620" s="884">
        <f t="shared" ref="EG620:EL620" si="1514">EG34*EG81</f>
        <v>0.49144239988746485</v>
      </c>
      <c r="EH620" s="884">
        <f t="shared" si="1514"/>
        <v>0.49144239988746485</v>
      </c>
      <c r="EI620" s="1345">
        <f t="shared" si="1514"/>
        <v>0.98288479977492971</v>
      </c>
      <c r="EJ620" s="884">
        <f t="shared" si="1514"/>
        <v>0.50595454055548261</v>
      </c>
      <c r="EK620" s="884">
        <f t="shared" si="1514"/>
        <v>0.50595454055548261</v>
      </c>
      <c r="EL620" s="1345">
        <f t="shared" si="1514"/>
        <v>1.0119090811109652</v>
      </c>
      <c r="EM620" s="884">
        <f t="shared" ref="EM620:ER620" si="1515">EM34*EM81</f>
        <v>0.75265850579837257</v>
      </c>
      <c r="EN620" s="884">
        <f t="shared" si="1515"/>
        <v>0.75265850579837257</v>
      </c>
      <c r="EO620" s="1345">
        <f t="shared" si="1515"/>
        <v>1.5053170115967451</v>
      </c>
      <c r="EP620" s="884">
        <f t="shared" si="1515"/>
        <v>1.2433120215794746</v>
      </c>
      <c r="EQ620" s="884">
        <f t="shared" si="1515"/>
        <v>1.2433120215794746</v>
      </c>
      <c r="ER620" s="1345">
        <f t="shared" si="1515"/>
        <v>2.4866240431589492</v>
      </c>
      <c r="ES620" s="884">
        <f t="shared" ref="ES620:EX620" si="1516">ES34*ES81</f>
        <v>1.7982923419434735</v>
      </c>
      <c r="ET620" s="884">
        <f t="shared" si="1516"/>
        <v>1.7982923419434735</v>
      </c>
      <c r="EU620" s="1345">
        <f t="shared" si="1516"/>
        <v>3.5965846838869471</v>
      </c>
      <c r="EV620" s="884">
        <f t="shared" si="1516"/>
        <v>2.4256982439752348</v>
      </c>
      <c r="EW620" s="884">
        <f t="shared" si="1516"/>
        <v>2.4256982439752348</v>
      </c>
      <c r="EX620" s="1345">
        <f t="shared" si="1516"/>
        <v>4.8513964879504696</v>
      </c>
      <c r="EY620" s="884">
        <f t="shared" ref="EY620:FA620" si="1517">EY34*EY81</f>
        <v>3.134906755504177</v>
      </c>
      <c r="EZ620" s="884">
        <f t="shared" si="1517"/>
        <v>3.134906755504177</v>
      </c>
      <c r="FA620" s="1345">
        <f t="shared" si="1517"/>
        <v>6.2698135110083539</v>
      </c>
      <c r="FE620"/>
      <c r="FF620"/>
      <c r="FG620"/>
      <c r="FH620"/>
      <c r="FI620"/>
      <c r="FJ620"/>
      <c r="FK620" s="35"/>
    </row>
    <row r="621" spans="1:167" s="236" customFormat="1" ht="13.35" customHeight="1">
      <c r="A621" s="289"/>
      <c r="B621" s="289" t="s">
        <v>842</v>
      </c>
      <c r="C621" s="806"/>
      <c r="D621" s="289"/>
      <c r="E621" s="820"/>
      <c r="F621" s="820"/>
      <c r="G621" s="821"/>
      <c r="H621" s="820"/>
      <c r="I621" s="820"/>
      <c r="J621" s="821"/>
      <c r="K621" s="820"/>
      <c r="L621" s="820"/>
      <c r="M621" s="821"/>
      <c r="N621" s="820"/>
      <c r="O621" s="820"/>
      <c r="P621" s="821"/>
      <c r="Q621" s="809"/>
      <c r="R621" s="809"/>
      <c r="S621" s="810"/>
      <c r="T621" s="809"/>
      <c r="U621" s="809"/>
      <c r="V621" s="808"/>
      <c r="W621" s="807"/>
      <c r="X621" s="807"/>
      <c r="Y621" s="808"/>
      <c r="Z621" s="807"/>
      <c r="AA621" s="807"/>
      <c r="AB621" s="808"/>
      <c r="AC621" s="807"/>
      <c r="AD621" s="807"/>
      <c r="AE621" s="808"/>
      <c r="AF621" s="807"/>
      <c r="AG621" s="807"/>
      <c r="AH621" s="808"/>
      <c r="AI621" s="807"/>
      <c r="AJ621" s="807"/>
      <c r="AK621" s="808"/>
      <c r="AL621" s="807"/>
      <c r="AM621" s="807"/>
      <c r="AN621" s="859">
        <f>SUM(AN618:AN620)</f>
        <v>3.0664085990055572</v>
      </c>
      <c r="AO621" s="859">
        <f t="shared" ref="AO621:CZ621" si="1518">SUM(AO618:AO620)</f>
        <v>1.5842928121894668</v>
      </c>
      <c r="AP621" s="859">
        <f t="shared" si="1518"/>
        <v>2.5706460769842168</v>
      </c>
      <c r="AQ621" s="859">
        <f t="shared" si="1518"/>
        <v>4.1580723475917818</v>
      </c>
      <c r="AR621" s="859">
        <f t="shared" si="1518"/>
        <v>2.2545741489500455</v>
      </c>
      <c r="AS621" s="859">
        <f t="shared" si="1518"/>
        <v>2.6289439071566738</v>
      </c>
      <c r="AT621" s="859">
        <f t="shared" si="1518"/>
        <v>4.8961216193702448</v>
      </c>
      <c r="AU621" s="859">
        <f t="shared" si="1518"/>
        <v>2.8732397894736845</v>
      </c>
      <c r="AV621" s="859">
        <f t="shared" si="1518"/>
        <v>4.8031708667959006</v>
      </c>
      <c r="AW621" s="859">
        <f t="shared" si="1518"/>
        <v>7.6758516956231206</v>
      </c>
      <c r="AX621" s="859">
        <f t="shared" si="1518"/>
        <v>6.1921259534997244</v>
      </c>
      <c r="AY621" s="859">
        <f t="shared" si="1518"/>
        <v>6.0400189139719345</v>
      </c>
      <c r="AZ621" s="859">
        <f t="shared" si="1518"/>
        <v>12.236357426154486</v>
      </c>
      <c r="BA621" s="859">
        <f t="shared" si="1518"/>
        <v>7.8282513822648045</v>
      </c>
      <c r="BB621" s="859">
        <f t="shared" si="1518"/>
        <v>7.8328875120836621</v>
      </c>
      <c r="BC621" s="859">
        <f t="shared" si="1518"/>
        <v>15.662625734645109</v>
      </c>
      <c r="BD621" s="859">
        <f t="shared" si="1518"/>
        <v>4.9476653696498056</v>
      </c>
      <c r="BE621" s="859">
        <f t="shared" si="1518"/>
        <v>6.2079292403746091</v>
      </c>
      <c r="BF621" s="859">
        <f t="shared" si="1518"/>
        <v>11.150295250320923</v>
      </c>
      <c r="BG621" s="859">
        <f t="shared" si="1518"/>
        <v>9.1311722988920661</v>
      </c>
      <c r="BH621" s="859">
        <f t="shared" si="1518"/>
        <v>12.904681682842012</v>
      </c>
      <c r="BI621" s="859">
        <f t="shared" si="1518"/>
        <v>22.043141557305336</v>
      </c>
      <c r="BJ621" s="859">
        <f t="shared" si="1518"/>
        <v>9.8392910786498309</v>
      </c>
      <c r="BK621" s="859">
        <f t="shared" si="1518"/>
        <v>1.4529233097880929</v>
      </c>
      <c r="BL621" s="859">
        <f t="shared" si="1518"/>
        <v>11.308821510200627</v>
      </c>
      <c r="BM621" s="859">
        <f t="shared" si="1518"/>
        <v>11.118475931017246</v>
      </c>
      <c r="BN621" s="859">
        <f t="shared" si="1518"/>
        <v>13.59846705440102</v>
      </c>
      <c r="BO621" s="859">
        <f t="shared" si="1518"/>
        <v>24.688656444773834</v>
      </c>
      <c r="BP621" s="859">
        <f t="shared" si="1518"/>
        <v>20.02042564977938</v>
      </c>
      <c r="BQ621" s="859">
        <f t="shared" si="1518"/>
        <v>12.34951019534844</v>
      </c>
      <c r="BR621" s="859">
        <f t="shared" si="1518"/>
        <v>32.407477925299766</v>
      </c>
      <c r="BS621" s="859">
        <f t="shared" si="1518"/>
        <v>25.707629426026163</v>
      </c>
      <c r="BT621" s="859">
        <f t="shared" si="1518"/>
        <v>24.025094117484869</v>
      </c>
      <c r="BU621" s="859">
        <f t="shared" si="1518"/>
        <v>49.731343522835779</v>
      </c>
      <c r="BV621" s="859">
        <f t="shared" si="1518"/>
        <v>25.507862504393231</v>
      </c>
      <c r="BW621" s="859">
        <f t="shared" si="1518"/>
        <v>20.475424002907239</v>
      </c>
      <c r="BX621" s="859">
        <f t="shared" si="1518"/>
        <v>45.911167378140213</v>
      </c>
      <c r="BY621" s="859">
        <f t="shared" si="1518"/>
        <v>32.626184458734144</v>
      </c>
      <c r="BZ621" s="859">
        <f t="shared" si="1518"/>
        <v>18.072970292715116</v>
      </c>
      <c r="CA621" s="859">
        <f t="shared" si="1518"/>
        <v>50.32030862096353</v>
      </c>
      <c r="CB621" s="859">
        <f t="shared" si="1518"/>
        <v>28.312961692283562</v>
      </c>
      <c r="CC621" s="859">
        <f t="shared" si="1518"/>
        <v>29.096985512647315</v>
      </c>
      <c r="CD621" s="859">
        <f t="shared" si="1518"/>
        <v>57.411055318579798</v>
      </c>
      <c r="CE621" s="859">
        <f t="shared" si="1518"/>
        <v>61.378511331662608</v>
      </c>
      <c r="CF621" s="859">
        <f t="shared" si="1518"/>
        <v>28.232161597354867</v>
      </c>
      <c r="CG621" s="859">
        <f t="shared" si="1518"/>
        <v>87.542068730144564</v>
      </c>
      <c r="CH621" s="859">
        <f t="shared" si="1518"/>
        <v>26.839592590153444</v>
      </c>
      <c r="CI621" s="859">
        <f t="shared" si="1518"/>
        <v>27.593601596974157</v>
      </c>
      <c r="CJ621" s="859">
        <f t="shared" si="1518"/>
        <v>54.43063179123083</v>
      </c>
      <c r="CK621" s="859">
        <f t="shared" si="1518"/>
        <v>28.6293366328185</v>
      </c>
      <c r="CL621" s="859">
        <f t="shared" si="1518"/>
        <v>12.954588631152664</v>
      </c>
      <c r="CM621" s="859">
        <f t="shared" si="1518"/>
        <v>41.671509618447956</v>
      </c>
      <c r="CN621" s="859">
        <f t="shared" si="1518"/>
        <v>8.8955252592840441</v>
      </c>
      <c r="CO621" s="859">
        <f t="shared" si="1518"/>
        <v>23.421472833881715</v>
      </c>
      <c r="CP621" s="859">
        <f t="shared" si="1518"/>
        <v>32.394211901846639</v>
      </c>
      <c r="CQ621" s="859">
        <f t="shared" si="1518"/>
        <v>25.009470854472351</v>
      </c>
      <c r="CR621" s="859">
        <f t="shared" si="1518"/>
        <v>28.118808651786335</v>
      </c>
      <c r="CS621" s="859">
        <f t="shared" si="1518"/>
        <v>53.136495565528797</v>
      </c>
      <c r="CT621" s="859">
        <f t="shared" si="1518"/>
        <v>33.479393505064024</v>
      </c>
      <c r="CU621" s="859">
        <f t="shared" si="1518"/>
        <v>34.127287413172063</v>
      </c>
      <c r="CV621" s="859">
        <f t="shared" si="1518"/>
        <v>67.608094829823884</v>
      </c>
      <c r="CW621" s="859">
        <f t="shared" si="1518"/>
        <v>42.613968</v>
      </c>
      <c r="CX621" s="859">
        <f t="shared" si="1518"/>
        <v>44.443557006319047</v>
      </c>
      <c r="CY621" s="859">
        <f t="shared" si="1518"/>
        <v>87.06035691932712</v>
      </c>
      <c r="CZ621" s="859">
        <f t="shared" si="1518"/>
        <v>47.052079932056209</v>
      </c>
      <c r="DA621" s="859">
        <f t="shared" ref="DA621:DQ621" si="1519">SUM(DA618:DA620)</f>
        <v>50.101592072430655</v>
      </c>
      <c r="DB621" s="859">
        <f t="shared" si="1519"/>
        <v>97.147459618208515</v>
      </c>
      <c r="DC621" s="859">
        <f t="shared" si="1519"/>
        <v>46.827423981640855</v>
      </c>
      <c r="DD621" s="859">
        <f t="shared" si="1519"/>
        <v>43.415401662049888</v>
      </c>
      <c r="DE621" s="859">
        <f t="shared" si="1519"/>
        <v>90.20293122886136</v>
      </c>
      <c r="DF621" s="859">
        <f t="shared" si="1519"/>
        <v>47.491224147568481</v>
      </c>
      <c r="DG621" s="859">
        <f t="shared" si="1519"/>
        <v>-2.5821429319371996</v>
      </c>
      <c r="DH621" s="1344">
        <f t="shared" si="1519"/>
        <v>46.557213904040395</v>
      </c>
      <c r="DI621" s="859">
        <f t="shared" si="1519"/>
        <v>47.679795918367354</v>
      </c>
      <c r="DJ621" s="859">
        <f t="shared" si="1519"/>
        <v>40.533022049286643</v>
      </c>
      <c r="DK621" s="1344">
        <f t="shared" si="1519"/>
        <v>88.204295363831747</v>
      </c>
      <c r="DL621" s="859">
        <f t="shared" si="1519"/>
        <v>59.299353075170842</v>
      </c>
      <c r="DM621" s="859">
        <f t="shared" si="1519"/>
        <v>48.971321388577834</v>
      </c>
      <c r="DN621" s="1344">
        <f t="shared" si="1519"/>
        <v>108.26944486309972</v>
      </c>
      <c r="DO621" s="859">
        <f t="shared" si="1519"/>
        <v>52.43522926829268</v>
      </c>
      <c r="DP621" s="859">
        <f t="shared" si="1519"/>
        <v>59.447427122940432</v>
      </c>
      <c r="DQ621" s="1344">
        <f t="shared" si="1519"/>
        <v>111.88137876386688</v>
      </c>
      <c r="DR621" s="859">
        <f t="shared" ref="DR621:DW621" si="1520">SUM(DR618:DR620)</f>
        <v>74.812376487558595</v>
      </c>
      <c r="DS621" s="859">
        <f t="shared" si="1520"/>
        <v>64.581278026905835</v>
      </c>
      <c r="DT621" s="1344">
        <f t="shared" si="1520"/>
        <v>139.40460451458983</v>
      </c>
      <c r="DU621" s="859">
        <f t="shared" si="1520"/>
        <v>76.186584604715691</v>
      </c>
      <c r="DV621" s="859">
        <f t="shared" si="1520"/>
        <v>65.987683064213272</v>
      </c>
      <c r="DW621" s="1344">
        <f t="shared" si="1520"/>
        <v>142.17457544618713</v>
      </c>
      <c r="DX621" s="859">
        <f t="shared" ref="DX621:EC621" si="1521">SUM(DX618:DX620)</f>
        <v>63.622888283378749</v>
      </c>
      <c r="DY621" s="859">
        <f t="shared" si="1521"/>
        <v>76.875750436190415</v>
      </c>
      <c r="DZ621" s="1344">
        <f t="shared" si="1521"/>
        <v>140.5049843249175</v>
      </c>
      <c r="EA621" s="859">
        <f t="shared" si="1521"/>
        <v>79.502627327603008</v>
      </c>
      <c r="EB621" s="859">
        <f t="shared" si="1521"/>
        <v>81.899366791195931</v>
      </c>
      <c r="EC621" s="1344">
        <f t="shared" si="1521"/>
        <v>161.40199411879894</v>
      </c>
      <c r="ED621" s="859">
        <f t="shared" ref="ED621:EL621" si="1522">SUM(ED618:ED620)</f>
        <v>88.522218905036837</v>
      </c>
      <c r="EE621" s="859">
        <f t="shared" si="1522"/>
        <v>91.247012729327466</v>
      </c>
      <c r="EF621" s="1344">
        <f t="shared" si="1522"/>
        <v>179.7692316343643</v>
      </c>
      <c r="EG621" s="859">
        <f t="shared" si="1522"/>
        <v>98.151352837922985</v>
      </c>
      <c r="EH621" s="859">
        <f t="shared" si="1522"/>
        <v>101.17224954899066</v>
      </c>
      <c r="EI621" s="1344">
        <f t="shared" si="1522"/>
        <v>199.32360238691365</v>
      </c>
      <c r="EJ621" s="859">
        <f t="shared" si="1522"/>
        <v>108.07562573824089</v>
      </c>
      <c r="EK621" s="859">
        <f t="shared" si="1522"/>
        <v>111.40305932356964</v>
      </c>
      <c r="EL621" s="1344">
        <f t="shared" si="1522"/>
        <v>219.47868506181052</v>
      </c>
      <c r="EM621" s="859">
        <f t="shared" ref="EM621:ER621" si="1523">SUM(EM618:EM620)</f>
        <v>118.4920809168943</v>
      </c>
      <c r="EN621" s="859">
        <f t="shared" si="1523"/>
        <v>122.13409361513813</v>
      </c>
      <c r="EO621" s="1344">
        <f t="shared" si="1523"/>
        <v>240.62617453203242</v>
      </c>
      <c r="EP621" s="859">
        <f t="shared" si="1523"/>
        <v>129.579282449674</v>
      </c>
      <c r="EQ621" s="859">
        <f t="shared" si="1523"/>
        <v>133.54907629075984</v>
      </c>
      <c r="ER621" s="1344">
        <f t="shared" si="1523"/>
        <v>263.12835874043384</v>
      </c>
      <c r="ES621" s="859">
        <f t="shared" ref="ES621:EX621" si="1524">SUM(ES618:ES620)</f>
        <v>141.68450010856654</v>
      </c>
      <c r="ET621" s="859">
        <f t="shared" si="1524"/>
        <v>146.01157539535009</v>
      </c>
      <c r="EU621" s="1344">
        <f t="shared" si="1524"/>
        <v>287.69607550391663</v>
      </c>
      <c r="EV621" s="859">
        <f t="shared" si="1524"/>
        <v>154.90166470959437</v>
      </c>
      <c r="EW621" s="859">
        <f t="shared" si="1524"/>
        <v>159.61817677218849</v>
      </c>
      <c r="EX621" s="1344">
        <f t="shared" si="1524"/>
        <v>314.51984148178286</v>
      </c>
      <c r="EY621" s="859">
        <f t="shared" ref="EY621:FA621" si="1525">SUM(EY618:EY620)</f>
        <v>169.33371020302903</v>
      </c>
      <c r="EZ621" s="859">
        <f t="shared" si="1525"/>
        <v>174.47470835125657</v>
      </c>
      <c r="FA621" s="1344">
        <f t="shared" si="1525"/>
        <v>343.80841855428559</v>
      </c>
      <c r="FE621"/>
      <c r="FF621"/>
      <c r="FG621"/>
      <c r="FH621"/>
      <c r="FI621"/>
      <c r="FJ621"/>
      <c r="FK621" s="35"/>
    </row>
    <row r="622" spans="1:167" s="236" customFormat="1" ht="13.35" customHeight="1">
      <c r="A622" s="289"/>
      <c r="B622" s="289" t="s">
        <v>843</v>
      </c>
      <c r="C622" s="806"/>
      <c r="D622" s="289"/>
      <c r="E622" s="820"/>
      <c r="F622" s="820"/>
      <c r="G622" s="821"/>
      <c r="H622" s="820"/>
      <c r="I622" s="820"/>
      <c r="J622" s="821"/>
      <c r="K622" s="820"/>
      <c r="L622" s="820"/>
      <c r="M622" s="821"/>
      <c r="N622" s="820"/>
      <c r="O622" s="820"/>
      <c r="P622" s="821"/>
      <c r="Q622" s="809"/>
      <c r="R622" s="809"/>
      <c r="S622" s="810"/>
      <c r="T622" s="809"/>
      <c r="U622" s="809"/>
      <c r="V622" s="808"/>
      <c r="W622" s="807"/>
      <c r="X622" s="807"/>
      <c r="Y622" s="808"/>
      <c r="Z622" s="807"/>
      <c r="AA622" s="807"/>
      <c r="AB622" s="808"/>
      <c r="AC622" s="807"/>
      <c r="AD622" s="807"/>
      <c r="AE622" s="808"/>
      <c r="AF622" s="807"/>
      <c r="AG622" s="807"/>
      <c r="AH622" s="808"/>
      <c r="AI622" s="807"/>
      <c r="AJ622" s="807"/>
      <c r="AK622" s="808"/>
      <c r="AL622" s="807"/>
      <c r="AM622" s="807"/>
      <c r="AN622" s="859">
        <f>AN617-AN621</f>
        <v>10.231591400994443</v>
      </c>
      <c r="AO622" s="859">
        <f t="shared" ref="AO622:CZ622" si="1526">AO617-AO621</f>
        <v>4.1557071878105329</v>
      </c>
      <c r="AP622" s="859">
        <f t="shared" si="1526"/>
        <v>5.9733539230157842</v>
      </c>
      <c r="AQ622" s="859">
        <f t="shared" si="1526"/>
        <v>10.125927652408219</v>
      </c>
      <c r="AR622" s="859">
        <f t="shared" si="1526"/>
        <v>5.1324258510499536</v>
      </c>
      <c r="AS622" s="859">
        <f t="shared" si="1526"/>
        <v>7.4600560928433284</v>
      </c>
      <c r="AT622" s="859">
        <f t="shared" si="1526"/>
        <v>12.579878380629758</v>
      </c>
      <c r="AU622" s="859">
        <f t="shared" si="1526"/>
        <v>6.2687602105263149</v>
      </c>
      <c r="AV622" s="859">
        <f t="shared" si="1526"/>
        <v>9.1378291332040984</v>
      </c>
      <c r="AW622" s="859">
        <f t="shared" si="1526"/>
        <v>15.407148304376879</v>
      </c>
      <c r="AX622" s="859">
        <f t="shared" si="1526"/>
        <v>9.4828740465002763</v>
      </c>
      <c r="AY622" s="859">
        <f t="shared" si="1526"/>
        <v>13.053981086028063</v>
      </c>
      <c r="AZ622" s="859">
        <f t="shared" si="1526"/>
        <v>22.532642573845514</v>
      </c>
      <c r="BA622" s="859">
        <f t="shared" si="1526"/>
        <v>15.324748617735198</v>
      </c>
      <c r="BB622" s="859">
        <f t="shared" si="1526"/>
        <v>14.527112487916334</v>
      </c>
      <c r="BC622" s="859">
        <f t="shared" si="1526"/>
        <v>29.850374265354887</v>
      </c>
      <c r="BD622" s="859">
        <f t="shared" si="1526"/>
        <v>21.002334630350195</v>
      </c>
      <c r="BE622" s="859">
        <f t="shared" si="1526"/>
        <v>22.832070759625395</v>
      </c>
      <c r="BF622" s="859">
        <f t="shared" si="1526"/>
        <v>43.839704749679079</v>
      </c>
      <c r="BG622" s="859">
        <f t="shared" si="1526"/>
        <v>27.196827701107928</v>
      </c>
      <c r="BH622" s="859">
        <f t="shared" si="1526"/>
        <v>30.916318317157994</v>
      </c>
      <c r="BI622" s="859">
        <f t="shared" si="1526"/>
        <v>58.105858442694668</v>
      </c>
      <c r="BJ622" s="859">
        <f t="shared" si="1526"/>
        <v>25.738708921350167</v>
      </c>
      <c r="BK622" s="859">
        <f t="shared" si="1526"/>
        <v>11.327076690211916</v>
      </c>
      <c r="BL622" s="859">
        <f t="shared" si="1526"/>
        <v>37.049178489799374</v>
      </c>
      <c r="BM622" s="859">
        <f t="shared" si="1526"/>
        <v>29.344524068982757</v>
      </c>
      <c r="BN622" s="859">
        <f t="shared" si="1526"/>
        <v>31.95353294559898</v>
      </c>
      <c r="BO622" s="859">
        <f t="shared" si="1526"/>
        <v>61.326343555226167</v>
      </c>
      <c r="BP622" s="859">
        <f t="shared" si="1526"/>
        <v>42.109574350220612</v>
      </c>
      <c r="BQ622" s="859">
        <f t="shared" si="1526"/>
        <v>37.917489804651566</v>
      </c>
      <c r="BR622" s="859">
        <f t="shared" si="1526"/>
        <v>79.989522074700233</v>
      </c>
      <c r="BS622" s="859">
        <f t="shared" si="1526"/>
        <v>50.275370573973845</v>
      </c>
      <c r="BT622" s="859">
        <f t="shared" si="1526"/>
        <v>56.143905882515114</v>
      </c>
      <c r="BU622" s="859">
        <f t="shared" si="1526"/>
        <v>106.42065647716421</v>
      </c>
      <c r="BV622" s="859">
        <f t="shared" si="1526"/>
        <v>59.193137495606777</v>
      </c>
      <c r="BW622" s="859">
        <f t="shared" si="1526"/>
        <v>63.795575997092762</v>
      </c>
      <c r="BX622" s="859">
        <f t="shared" si="1526"/>
        <v>123.06083262185979</v>
      </c>
      <c r="BY622" s="859">
        <f t="shared" si="1526"/>
        <v>56.902815541265852</v>
      </c>
      <c r="BZ622" s="859">
        <f t="shared" si="1526"/>
        <v>77.573029707284903</v>
      </c>
      <c r="CA622" s="859">
        <f t="shared" si="1526"/>
        <v>134.85469137903647</v>
      </c>
      <c r="CB622" s="859">
        <f t="shared" si="1526"/>
        <v>74.82503830771644</v>
      </c>
      <c r="CC622" s="859">
        <f t="shared" si="1526"/>
        <v>97.6070144873527</v>
      </c>
      <c r="CD622" s="859">
        <f t="shared" si="1526"/>
        <v>172.43094468142021</v>
      </c>
      <c r="CE622" s="859">
        <f t="shared" si="1526"/>
        <v>50.930488668337404</v>
      </c>
      <c r="CF622" s="859">
        <f t="shared" si="1526"/>
        <v>99.653838402645107</v>
      </c>
      <c r="CG622" s="859">
        <f t="shared" si="1526"/>
        <v>152.65293126985543</v>
      </c>
      <c r="CH622" s="859">
        <f t="shared" si="1526"/>
        <v>81.834407409846548</v>
      </c>
      <c r="CI622" s="859">
        <f t="shared" si="1526"/>
        <v>79.01939840302586</v>
      </c>
      <c r="CJ622" s="859">
        <f t="shared" si="1526"/>
        <v>160.85636820876917</v>
      </c>
      <c r="CK622" s="859">
        <f t="shared" si="1526"/>
        <v>79.671663367181509</v>
      </c>
      <c r="CL622" s="859">
        <f t="shared" si="1526"/>
        <v>57.604411368847352</v>
      </c>
      <c r="CM622" s="859">
        <f t="shared" si="1526"/>
        <v>137.18849038155207</v>
      </c>
      <c r="CN622" s="859">
        <f t="shared" si="1526"/>
        <v>40.529474740715955</v>
      </c>
      <c r="CO622" s="859">
        <f t="shared" si="1526"/>
        <v>76.78952716611829</v>
      </c>
      <c r="CP622" s="859">
        <f t="shared" si="1526"/>
        <v>117.24178809815336</v>
      </c>
      <c r="CQ622" s="859">
        <f t="shared" si="1526"/>
        <v>75.448551835852527</v>
      </c>
      <c r="CR622" s="859">
        <f t="shared" si="1526"/>
        <v>77.805331157888773</v>
      </c>
      <c r="CS622" s="859">
        <f t="shared" si="1526"/>
        <v>153.24566693447119</v>
      </c>
      <c r="CT622" s="859">
        <f t="shared" si="1526"/>
        <v>97.487606494935989</v>
      </c>
      <c r="CU622" s="859">
        <f t="shared" si="1526"/>
        <v>97.509712586827902</v>
      </c>
      <c r="CV622" s="859">
        <f t="shared" si="1526"/>
        <v>194.99590517017612</v>
      </c>
      <c r="CW622" s="859">
        <f t="shared" si="1526"/>
        <v>113.78303199999999</v>
      </c>
      <c r="CX622" s="859">
        <f t="shared" si="1526"/>
        <v>114.85553179368094</v>
      </c>
      <c r="CY622" s="859">
        <f t="shared" si="1526"/>
        <v>228.63573188067286</v>
      </c>
      <c r="CZ622" s="859">
        <f t="shared" si="1526"/>
        <v>113.28349926794377</v>
      </c>
      <c r="DA622" s="859">
        <f t="shared" ref="DA622:DQ622" si="1527">DA617-DA621</f>
        <v>137.96282872756933</v>
      </c>
      <c r="DB622" s="859">
        <f t="shared" si="1527"/>
        <v>251.25254038179145</v>
      </c>
      <c r="DC622" s="859">
        <f t="shared" si="1527"/>
        <v>130.17257601835914</v>
      </c>
      <c r="DD622" s="859">
        <f t="shared" si="1527"/>
        <v>138.88409833795015</v>
      </c>
      <c r="DE622" s="859">
        <f t="shared" si="1527"/>
        <v>269.09656877113866</v>
      </c>
      <c r="DF622" s="859">
        <f t="shared" si="1527"/>
        <v>149.11192389222086</v>
      </c>
      <c r="DG622" s="859">
        <f t="shared" si="1527"/>
        <v>41.297279892147856</v>
      </c>
      <c r="DH622" s="1344">
        <f t="shared" si="1527"/>
        <v>188.76107109595961</v>
      </c>
      <c r="DI622" s="859">
        <f t="shared" si="1527"/>
        <v>140.12020408163266</v>
      </c>
      <c r="DJ622" s="859">
        <f t="shared" si="1527"/>
        <v>133.26697795071331</v>
      </c>
      <c r="DK622" s="1344">
        <f t="shared" si="1527"/>
        <v>273.3957046361682</v>
      </c>
      <c r="DL622" s="859">
        <f t="shared" si="1527"/>
        <v>177.37164692482915</v>
      </c>
      <c r="DM622" s="859">
        <f t="shared" si="1527"/>
        <v>146.55767861142215</v>
      </c>
      <c r="DN622" s="1344">
        <f t="shared" si="1527"/>
        <v>323.93055513690024</v>
      </c>
      <c r="DO622" s="859">
        <f t="shared" si="1527"/>
        <v>165.41177073170732</v>
      </c>
      <c r="DP622" s="859">
        <f t="shared" si="1527"/>
        <v>187.60557287705959</v>
      </c>
      <c r="DQ622" s="1344">
        <f t="shared" si="1527"/>
        <v>353.01862123613319</v>
      </c>
      <c r="DR622" s="859">
        <f t="shared" ref="DR622:DW622" si="1528">DR617-DR621</f>
        <v>213.60662351244133</v>
      </c>
      <c r="DS622" s="859">
        <f t="shared" si="1528"/>
        <v>215.19972197309428</v>
      </c>
      <c r="DT622" s="1344">
        <f t="shared" si="1528"/>
        <v>428.79539548541021</v>
      </c>
      <c r="DU622" s="859">
        <f t="shared" si="1528"/>
        <v>230.01541539528432</v>
      </c>
      <c r="DV622" s="859">
        <f t="shared" si="1528"/>
        <v>221.61031693578667</v>
      </c>
      <c r="DW622" s="1344">
        <f t="shared" si="1528"/>
        <v>451.62542455381282</v>
      </c>
      <c r="DX622" s="859">
        <f t="shared" ref="DX622:EC622" si="1529">DX617-DX621</f>
        <v>212.67711171662131</v>
      </c>
      <c r="DY622" s="859">
        <f t="shared" si="1529"/>
        <v>238.64023552599258</v>
      </c>
      <c r="DZ622" s="1344">
        <f t="shared" si="1529"/>
        <v>451.31100163726558</v>
      </c>
      <c r="EA622" s="859">
        <f t="shared" si="1529"/>
        <v>256.56924751537372</v>
      </c>
      <c r="EB622" s="859">
        <f t="shared" si="1529"/>
        <v>264.40279427656958</v>
      </c>
      <c r="EC622" s="1344">
        <f t="shared" si="1529"/>
        <v>520.9720417919433</v>
      </c>
      <c r="ED622" s="859">
        <f t="shared" ref="ED622:EL622" si="1530">ED617-ED621</f>
        <v>286.45943309885502</v>
      </c>
      <c r="EE622" s="859">
        <f t="shared" si="1530"/>
        <v>295.33388029545387</v>
      </c>
      <c r="EF622" s="1344">
        <f t="shared" si="1530"/>
        <v>581.79331339430883</v>
      </c>
      <c r="EG622" s="859">
        <f t="shared" si="1530"/>
        <v>317.15696018526421</v>
      </c>
      <c r="EH622" s="859">
        <f t="shared" si="1530"/>
        <v>326.98272195732977</v>
      </c>
      <c r="EI622" s="1344">
        <f t="shared" si="1530"/>
        <v>644.13968214259398</v>
      </c>
      <c r="EJ622" s="859">
        <f t="shared" si="1530"/>
        <v>349.09191073793994</v>
      </c>
      <c r="EK622" s="859">
        <f t="shared" si="1530"/>
        <v>359.90595958028632</v>
      </c>
      <c r="EL622" s="1344">
        <f t="shared" si="1530"/>
        <v>708.99787031822621</v>
      </c>
      <c r="EM622" s="859">
        <f t="shared" ref="EM622:ER622" si="1531">EM617-EM621</f>
        <v>381.7744570646181</v>
      </c>
      <c r="EN622" s="859">
        <f t="shared" si="1531"/>
        <v>393.60710057348217</v>
      </c>
      <c r="EO622" s="1344">
        <f t="shared" si="1531"/>
        <v>775.38155763810016</v>
      </c>
      <c r="EP622" s="859">
        <f t="shared" si="1531"/>
        <v>415.71124395017443</v>
      </c>
      <c r="EQ622" s="859">
        <f t="shared" si="1531"/>
        <v>428.60882537483639</v>
      </c>
      <c r="ER622" s="1344">
        <f t="shared" si="1531"/>
        <v>844.32006932501076</v>
      </c>
      <c r="ES622" s="859">
        <f t="shared" ref="ES622:EX622" si="1532">ES617-ES621</f>
        <v>452.68217366726833</v>
      </c>
      <c r="ET622" s="859">
        <f t="shared" si="1532"/>
        <v>466.74053742014985</v>
      </c>
      <c r="EU622" s="1344">
        <f t="shared" si="1532"/>
        <v>919.42271108741818</v>
      </c>
      <c r="EV622" s="859">
        <f t="shared" si="1532"/>
        <v>492.9580097060657</v>
      </c>
      <c r="EW622" s="859">
        <f t="shared" si="1532"/>
        <v>508.28162619670661</v>
      </c>
      <c r="EX622" s="1344">
        <f t="shared" si="1532"/>
        <v>1001.2396359027723</v>
      </c>
      <c r="EY622" s="859">
        <f t="shared" ref="EY622:FA622" si="1533">EY617-EY621</f>
        <v>536.83333491004043</v>
      </c>
      <c r="EZ622" s="859">
        <f t="shared" si="1533"/>
        <v>553.53607688483885</v>
      </c>
      <c r="FA622" s="1344">
        <f t="shared" si="1533"/>
        <v>1090.3694117948794</v>
      </c>
      <c r="FE622"/>
      <c r="FF622"/>
      <c r="FG622"/>
      <c r="FH622"/>
      <c r="FI622"/>
      <c r="FJ622"/>
      <c r="FK622" s="35"/>
    </row>
    <row r="623" spans="1:167" s="236" customFormat="1" ht="13.35" customHeight="1">
      <c r="A623" s="289"/>
      <c r="B623" s="289"/>
      <c r="C623" s="806"/>
      <c r="D623" s="289"/>
      <c r="E623" s="820"/>
      <c r="F623" s="820"/>
      <c r="G623" s="821"/>
      <c r="H623" s="820"/>
      <c r="I623" s="820"/>
      <c r="J623" s="821"/>
      <c r="K623" s="820"/>
      <c r="L623" s="820"/>
      <c r="M623" s="821"/>
      <c r="N623" s="820"/>
      <c r="O623" s="820"/>
      <c r="P623" s="821"/>
      <c r="Q623" s="809"/>
      <c r="R623" s="809"/>
      <c r="S623" s="810"/>
      <c r="T623" s="809"/>
      <c r="U623" s="809"/>
      <c r="V623" s="808"/>
      <c r="W623" s="807"/>
      <c r="X623" s="807"/>
      <c r="Y623" s="808"/>
      <c r="Z623" s="807"/>
      <c r="AA623" s="807"/>
      <c r="AB623" s="808"/>
      <c r="AC623" s="807"/>
      <c r="AD623" s="807"/>
      <c r="AE623" s="808"/>
      <c r="AF623" s="807"/>
      <c r="AG623" s="807"/>
      <c r="AH623" s="808"/>
      <c r="AI623" s="807"/>
      <c r="AJ623" s="807"/>
      <c r="AK623" s="808"/>
      <c r="AL623" s="807"/>
      <c r="AM623" s="807"/>
      <c r="AN623" s="821"/>
      <c r="AO623" s="821"/>
      <c r="AP623" s="821"/>
      <c r="AQ623" s="821"/>
      <c r="AR623" s="821"/>
      <c r="AS623" s="821"/>
      <c r="AT623" s="821"/>
      <c r="AU623" s="821"/>
      <c r="AV623" s="821"/>
      <c r="AW623" s="821"/>
      <c r="AX623" s="821"/>
      <c r="AY623" s="821"/>
      <c r="AZ623" s="821"/>
      <c r="BA623" s="821"/>
      <c r="BB623" s="821"/>
      <c r="BC623" s="821"/>
      <c r="BD623" s="821"/>
      <c r="BE623" s="821"/>
      <c r="BF623" s="821"/>
      <c r="BG623" s="821"/>
      <c r="BH623" s="821"/>
      <c r="BI623" s="821"/>
      <c r="BJ623" s="821"/>
      <c r="BK623" s="821"/>
      <c r="BL623" s="821"/>
      <c r="BM623" s="821"/>
      <c r="BN623" s="821"/>
      <c r="BO623" s="821"/>
      <c r="BP623" s="821"/>
      <c r="BQ623" s="821"/>
      <c r="BR623" s="821"/>
      <c r="BS623" s="821"/>
      <c r="BT623" s="821"/>
      <c r="BU623" s="821"/>
      <c r="BV623" s="821"/>
      <c r="BW623" s="821"/>
      <c r="BX623" s="821"/>
      <c r="BY623" s="821"/>
      <c r="BZ623" s="821"/>
      <c r="CA623" s="821"/>
      <c r="CB623" s="821"/>
      <c r="CC623" s="821"/>
      <c r="CD623" s="821"/>
      <c r="CE623" s="821"/>
      <c r="CF623" s="821"/>
      <c r="CG623" s="821"/>
      <c r="CH623" s="821"/>
      <c r="CI623" s="821"/>
      <c r="CJ623" s="821"/>
      <c r="CK623" s="821"/>
      <c r="CL623" s="821"/>
      <c r="CM623" s="821"/>
      <c r="CN623" s="821"/>
      <c r="CO623" s="821"/>
      <c r="CP623" s="821"/>
      <c r="CQ623" s="821"/>
      <c r="CR623" s="821"/>
      <c r="CS623" s="821"/>
      <c r="CT623" s="821"/>
      <c r="CU623" s="821"/>
      <c r="CV623" s="821"/>
      <c r="CW623" s="821"/>
      <c r="CX623" s="821"/>
      <c r="CY623" s="821"/>
      <c r="CZ623" s="821"/>
      <c r="DA623" s="821"/>
      <c r="DB623" s="821"/>
      <c r="DC623" s="821"/>
      <c r="DD623" s="821"/>
      <c r="DE623" s="821"/>
      <c r="DF623" s="821"/>
      <c r="DG623" s="821"/>
      <c r="DH623" s="1346"/>
      <c r="DI623" s="821"/>
      <c r="DJ623" s="821"/>
      <c r="DK623" s="1346"/>
      <c r="DL623" s="821"/>
      <c r="DM623" s="821"/>
      <c r="DN623" s="1346"/>
      <c r="DO623" s="821"/>
      <c r="DP623" s="821"/>
      <c r="DQ623" s="1346"/>
      <c r="DR623" s="821"/>
      <c r="DS623" s="821"/>
      <c r="DT623" s="1346"/>
      <c r="DU623" s="821"/>
      <c r="DV623" s="821"/>
      <c r="DW623" s="1346"/>
      <c r="DX623" s="821"/>
      <c r="DY623" s="821"/>
      <c r="DZ623" s="1346"/>
      <c r="EA623" s="821"/>
      <c r="EB623" s="821"/>
      <c r="EC623" s="1346"/>
      <c r="ED623" s="821"/>
      <c r="EE623" s="821"/>
      <c r="EF623" s="1346"/>
      <c r="EG623" s="821"/>
      <c r="EH623" s="821"/>
      <c r="EI623" s="1346"/>
      <c r="EJ623" s="821"/>
      <c r="EK623" s="821"/>
      <c r="EL623" s="1346"/>
      <c r="EM623" s="821"/>
      <c r="EN623" s="821"/>
      <c r="EO623" s="1346"/>
      <c r="EP623" s="821"/>
      <c r="EQ623" s="821"/>
      <c r="ER623" s="1346"/>
      <c r="ES623" s="821"/>
      <c r="ET623" s="821"/>
      <c r="EU623" s="1346"/>
      <c r="EV623" s="821"/>
      <c r="EW623" s="821"/>
      <c r="EX623" s="1346"/>
      <c r="EY623" s="821"/>
      <c r="EZ623" s="821"/>
      <c r="FA623" s="1346"/>
      <c r="FE623"/>
      <c r="FF623"/>
      <c r="FG623"/>
      <c r="FH623"/>
      <c r="FI623"/>
      <c r="FJ623"/>
      <c r="FK623" s="35"/>
    </row>
    <row r="624" spans="1:167" s="236" customFormat="1" ht="13.35" customHeight="1">
      <c r="A624" s="289"/>
      <c r="B624" s="289" t="s">
        <v>40</v>
      </c>
      <c r="C624" s="806"/>
      <c r="D624" s="289"/>
      <c r="E624" s="820"/>
      <c r="F624" s="820"/>
      <c r="G624" s="821"/>
      <c r="H624" s="820"/>
      <c r="I624" s="820"/>
      <c r="J624" s="821"/>
      <c r="K624" s="820"/>
      <c r="L624" s="820"/>
      <c r="M624" s="821"/>
      <c r="N624" s="820"/>
      <c r="O624" s="820"/>
      <c r="P624" s="821"/>
      <c r="Q624" s="809"/>
      <c r="R624" s="809"/>
      <c r="S624" s="810"/>
      <c r="T624" s="809"/>
      <c r="U624" s="809"/>
      <c r="V624" s="808"/>
      <c r="W624" s="807"/>
      <c r="X624" s="807"/>
      <c r="Y624" s="808"/>
      <c r="Z624" s="807"/>
      <c r="AA624" s="807"/>
      <c r="AB624" s="808"/>
      <c r="AC624" s="807"/>
      <c r="AD624" s="807"/>
      <c r="AE624" s="808"/>
      <c r="AF624" s="807"/>
      <c r="AG624" s="807"/>
      <c r="AH624" s="808"/>
      <c r="AI624" s="807"/>
      <c r="AJ624" s="807"/>
      <c r="AK624" s="808"/>
      <c r="AL624" s="807"/>
      <c r="AM624" s="807"/>
      <c r="AN624" s="821"/>
      <c r="AO624" s="821"/>
      <c r="AP624" s="821"/>
      <c r="AQ624" s="821"/>
      <c r="AR624" s="821"/>
      <c r="AS624" s="821"/>
      <c r="AT624" s="821"/>
      <c r="AU624" s="821"/>
      <c r="AV624" s="821"/>
      <c r="AW624" s="821"/>
      <c r="AX624" s="821"/>
      <c r="AY624" s="821"/>
      <c r="AZ624" s="821"/>
      <c r="BA624" s="821"/>
      <c r="BB624" s="821"/>
      <c r="BC624" s="821"/>
      <c r="BD624" s="821"/>
      <c r="BE624" s="821"/>
      <c r="BF624" s="821"/>
      <c r="BG624" s="821"/>
      <c r="BH624" s="821"/>
      <c r="BI624" s="821"/>
      <c r="BJ624" s="821"/>
      <c r="BK624" s="821"/>
      <c r="BL624" s="821"/>
      <c r="BM624" s="821"/>
      <c r="BN624" s="821"/>
      <c r="BO624" s="821"/>
      <c r="BP624" s="821"/>
      <c r="BQ624" s="821"/>
      <c r="BR624" s="821"/>
      <c r="BS624" s="821"/>
      <c r="BT624" s="821"/>
      <c r="BU624" s="821"/>
      <c r="BV624" s="821"/>
      <c r="BW624" s="821"/>
      <c r="BX624" s="821"/>
      <c r="BY624" s="821"/>
      <c r="BZ624" s="821"/>
      <c r="CA624" s="821"/>
      <c r="CB624" s="821"/>
      <c r="CC624" s="821"/>
      <c r="CD624" s="821"/>
      <c r="CE624" s="821"/>
      <c r="CF624" s="821"/>
      <c r="CG624" s="821"/>
      <c r="CH624" s="821"/>
      <c r="CI624" s="821"/>
      <c r="CJ624" s="821"/>
      <c r="CK624" s="821"/>
      <c r="CL624" s="821"/>
      <c r="CM624" s="821"/>
      <c r="CN624" s="821"/>
      <c r="CO624" s="821"/>
      <c r="CP624" s="821"/>
      <c r="CQ624" s="821"/>
      <c r="CR624" s="821"/>
      <c r="CS624" s="821"/>
      <c r="CT624" s="821"/>
      <c r="CU624" s="821"/>
      <c r="CV624" s="821"/>
      <c r="CW624" s="821"/>
      <c r="CX624" s="821"/>
      <c r="CY624" s="821"/>
      <c r="CZ624" s="821"/>
      <c r="DA624" s="821"/>
      <c r="DB624" s="821"/>
      <c r="DC624" s="821"/>
      <c r="DD624" s="821"/>
      <c r="DE624" s="821"/>
      <c r="DF624" s="821"/>
      <c r="DG624" s="821"/>
      <c r="DH624" s="1346"/>
      <c r="DI624" s="821"/>
      <c r="DJ624" s="821"/>
      <c r="DK624" s="1346"/>
      <c r="DL624" s="821"/>
      <c r="DM624" s="821"/>
      <c r="DN624" s="1346"/>
      <c r="DO624" s="821"/>
      <c r="DP624" s="821"/>
      <c r="DQ624" s="1346"/>
      <c r="DR624" s="821"/>
      <c r="DS624" s="821"/>
      <c r="DT624" s="1346"/>
      <c r="DU624" s="821"/>
      <c r="DV624" s="821"/>
      <c r="DW624" s="1346"/>
      <c r="DX624" s="821"/>
      <c r="DY624" s="821"/>
      <c r="DZ624" s="1346"/>
      <c r="EA624" s="821"/>
      <c r="EB624" s="821"/>
      <c r="EC624" s="1346"/>
      <c r="ED624" s="821"/>
      <c r="EE624" s="821"/>
      <c r="EF624" s="1346"/>
      <c r="EG624" s="821"/>
      <c r="EH624" s="821"/>
      <c r="EI624" s="1346"/>
      <c r="EJ624" s="821"/>
      <c r="EK624" s="821"/>
      <c r="EL624" s="1346"/>
      <c r="EM624" s="821"/>
      <c r="EN624" s="821"/>
      <c r="EO624" s="1346"/>
      <c r="EP624" s="821"/>
      <c r="EQ624" s="821"/>
      <c r="ER624" s="1346"/>
      <c r="ES624" s="821"/>
      <c r="ET624" s="821"/>
      <c r="EU624" s="1346"/>
      <c r="EV624" s="821"/>
      <c r="EW624" s="821"/>
      <c r="EX624" s="1346"/>
      <c r="EY624" s="821"/>
      <c r="EZ624" s="821"/>
      <c r="FA624" s="1346"/>
      <c r="FE624"/>
      <c r="FF624"/>
      <c r="FG624"/>
      <c r="FH624"/>
      <c r="FI624"/>
      <c r="FJ624"/>
      <c r="FK624" s="35"/>
    </row>
    <row r="625" spans="1:167" s="236" customFormat="1" ht="13.35" customHeight="1">
      <c r="A625" s="289"/>
      <c r="B625" s="289" t="s">
        <v>41</v>
      </c>
      <c r="C625" s="806"/>
      <c r="D625" s="289"/>
      <c r="E625" s="820"/>
      <c r="F625" s="820"/>
      <c r="G625" s="821"/>
      <c r="H625" s="820"/>
      <c r="I625" s="820"/>
      <c r="J625" s="821"/>
      <c r="K625" s="820"/>
      <c r="L625" s="820"/>
      <c r="M625" s="821"/>
      <c r="N625" s="820"/>
      <c r="O625" s="820"/>
      <c r="P625" s="821"/>
      <c r="Q625" s="809"/>
      <c r="R625" s="809"/>
      <c r="S625" s="810"/>
      <c r="T625" s="809"/>
      <c r="U625" s="809"/>
      <c r="V625" s="808"/>
      <c r="W625" s="807"/>
      <c r="X625" s="807"/>
      <c r="Y625" s="808"/>
      <c r="Z625" s="807"/>
      <c r="AA625" s="807"/>
      <c r="AB625" s="808"/>
      <c r="AC625" s="807"/>
      <c r="AD625" s="807"/>
      <c r="AE625" s="808"/>
      <c r="AF625" s="807"/>
      <c r="AG625" s="807"/>
      <c r="AH625" s="808"/>
      <c r="AI625" s="807"/>
      <c r="AJ625" s="807"/>
      <c r="AK625" s="808"/>
      <c r="AL625" s="807"/>
      <c r="AM625" s="807"/>
      <c r="AN625" s="859">
        <f>AN320</f>
        <v>18.454999999999998</v>
      </c>
      <c r="AO625" s="859">
        <f t="shared" ref="AO625:CZ625" si="1534">AO320</f>
        <v>20.030999999999999</v>
      </c>
      <c r="AP625" s="859">
        <f t="shared" si="1534"/>
        <v>23.307000000000002</v>
      </c>
      <c r="AQ625" s="859">
        <f t="shared" si="1534"/>
        <v>23.307000000000002</v>
      </c>
      <c r="AR625" s="859">
        <f t="shared" si="1534"/>
        <v>27.955000000000002</v>
      </c>
      <c r="AS625" s="859">
        <f t="shared" si="1534"/>
        <v>32.094999999999999</v>
      </c>
      <c r="AT625" s="859">
        <f t="shared" si="1534"/>
        <v>32.094999999999999</v>
      </c>
      <c r="AU625" s="859">
        <f t="shared" si="1534"/>
        <v>37.304000000000002</v>
      </c>
      <c r="AV625" s="859">
        <f t="shared" si="1534"/>
        <v>34.049999999999997</v>
      </c>
      <c r="AW625" s="859">
        <f t="shared" si="1534"/>
        <v>34.049999999999997</v>
      </c>
      <c r="AX625" s="859">
        <f t="shared" si="1534"/>
        <v>38.111999999999995</v>
      </c>
      <c r="AY625" s="859">
        <f t="shared" si="1534"/>
        <v>42.829000000000001</v>
      </c>
      <c r="AZ625" s="859">
        <f t="shared" si="1534"/>
        <v>42.829000000000001</v>
      </c>
      <c r="BA625" s="859">
        <f t="shared" si="1534"/>
        <v>53.665000000000006</v>
      </c>
      <c r="BB625" s="859">
        <f t="shared" si="1534"/>
        <v>55.494999999999997</v>
      </c>
      <c r="BC625" s="859">
        <f t="shared" si="1534"/>
        <v>55.494999999999997</v>
      </c>
      <c r="BD625" s="859">
        <f t="shared" si="1534"/>
        <v>70.015000000000001</v>
      </c>
      <c r="BE625" s="859">
        <f t="shared" si="1534"/>
        <v>75.415999999999997</v>
      </c>
      <c r="BF625" s="859">
        <f t="shared" si="1534"/>
        <v>75.415999999999997</v>
      </c>
      <c r="BG625" s="859">
        <f t="shared" si="1534"/>
        <v>110.22999999999999</v>
      </c>
      <c r="BH625" s="859">
        <f t="shared" si="1534"/>
        <v>119.687</v>
      </c>
      <c r="BI625" s="859">
        <f t="shared" si="1534"/>
        <v>119.687</v>
      </c>
      <c r="BJ625" s="859">
        <f t="shared" si="1534"/>
        <v>147.82499999999999</v>
      </c>
      <c r="BK625" s="859">
        <f t="shared" si="1534"/>
        <v>139.017</v>
      </c>
      <c r="BL625" s="859">
        <f t="shared" si="1534"/>
        <v>139.017</v>
      </c>
      <c r="BM625" s="859">
        <f t="shared" si="1534"/>
        <v>143.25</v>
      </c>
      <c r="BN625" s="859">
        <f t="shared" si="1534"/>
        <v>149.92000000000002</v>
      </c>
      <c r="BO625" s="859">
        <f t="shared" si="1534"/>
        <v>149.92000000000002</v>
      </c>
      <c r="BP625" s="859">
        <f t="shared" si="1534"/>
        <v>200.91399999999999</v>
      </c>
      <c r="BQ625" s="859">
        <f t="shared" si="1534"/>
        <v>207.53700000000001</v>
      </c>
      <c r="BR625" s="859">
        <f t="shared" si="1534"/>
        <v>207.53700000000001</v>
      </c>
      <c r="BS625" s="859">
        <f t="shared" si="1534"/>
        <v>238.09100000000001</v>
      </c>
      <c r="BT625" s="859">
        <f t="shared" si="1534"/>
        <v>260.80900000000003</v>
      </c>
      <c r="BU625" s="859">
        <f t="shared" si="1534"/>
        <v>260.80900000000003</v>
      </c>
      <c r="BV625" s="859">
        <f t="shared" si="1534"/>
        <v>287.63799999999998</v>
      </c>
      <c r="BW625" s="859">
        <f t="shared" si="1534"/>
        <v>319.34100000000001</v>
      </c>
      <c r="BX625" s="859">
        <f t="shared" si="1534"/>
        <v>319.34100000000001</v>
      </c>
      <c r="BY625" s="859">
        <f t="shared" si="1534"/>
        <v>281.50900000000001</v>
      </c>
      <c r="BZ625" s="859">
        <f t="shared" si="1534"/>
        <v>364.23400000000004</v>
      </c>
      <c r="CA625" s="859">
        <f t="shared" si="1534"/>
        <v>364.23400000000004</v>
      </c>
      <c r="CB625" s="859">
        <f t="shared" si="1534"/>
        <v>405.10299999999995</v>
      </c>
      <c r="CC625" s="859">
        <f t="shared" si="1534"/>
        <v>438.30799999999999</v>
      </c>
      <c r="CD625" s="859">
        <f t="shared" si="1534"/>
        <v>438.30799999999999</v>
      </c>
      <c r="CE625" s="859">
        <f t="shared" si="1534"/>
        <v>487.40300000000002</v>
      </c>
      <c r="CF625" s="859">
        <f t="shared" si="1534"/>
        <v>503.28300000000002</v>
      </c>
      <c r="CG625" s="859">
        <f t="shared" si="1534"/>
        <v>503.28300000000002</v>
      </c>
      <c r="CH625" s="859">
        <f t="shared" si="1534"/>
        <v>395.24800000000005</v>
      </c>
      <c r="CI625" s="859">
        <f t="shared" si="1534"/>
        <v>384.88</v>
      </c>
      <c r="CJ625" s="859">
        <f t="shared" si="1534"/>
        <v>384.88</v>
      </c>
      <c r="CK625" s="859">
        <f t="shared" si="1534"/>
        <v>391.09</v>
      </c>
      <c r="CL625" s="859">
        <f t="shared" si="1534"/>
        <v>356.91300000000001</v>
      </c>
      <c r="CM625" s="859">
        <f t="shared" si="1534"/>
        <v>356.91300000000001</v>
      </c>
      <c r="CN625" s="859">
        <f t="shared" si="1534"/>
        <v>322.42200000000003</v>
      </c>
      <c r="CO625" s="859">
        <f t="shared" si="1534"/>
        <v>329.20499999999998</v>
      </c>
      <c r="CP625" s="859">
        <f t="shared" si="1534"/>
        <v>329.20499999999998</v>
      </c>
      <c r="CQ625" s="859">
        <f t="shared" si="1534"/>
        <v>321.44600000000003</v>
      </c>
      <c r="CR625" s="859">
        <f t="shared" si="1534"/>
        <v>355.38599999999997</v>
      </c>
      <c r="CS625" s="859">
        <f t="shared" si="1534"/>
        <v>355.38599999999997</v>
      </c>
      <c r="CT625" s="859">
        <f t="shared" si="1534"/>
        <v>415.34499999999997</v>
      </c>
      <c r="CU625" s="859">
        <f t="shared" si="1534"/>
        <v>448.55700000000002</v>
      </c>
      <c r="CV625" s="859">
        <f t="shared" si="1534"/>
        <v>448.55700000000002</v>
      </c>
      <c r="CW625" s="859">
        <f t="shared" si="1534"/>
        <v>487.68499999999995</v>
      </c>
      <c r="CX625" s="859">
        <f t="shared" si="1534"/>
        <v>543.64700000000005</v>
      </c>
      <c r="CY625" s="859">
        <f t="shared" si="1534"/>
        <v>543.64700000000005</v>
      </c>
      <c r="CZ625" s="859">
        <f t="shared" si="1534"/>
        <v>574.79999999999995</v>
      </c>
      <c r="DA625" s="859">
        <f t="shared" ref="DA625:DQ625" si="1535">DA320</f>
        <v>610.79999999999995</v>
      </c>
      <c r="DB625" s="859">
        <f t="shared" si="1535"/>
        <v>610.79999999999995</v>
      </c>
      <c r="DC625" s="859">
        <f t="shared" si="1535"/>
        <v>653.5</v>
      </c>
      <c r="DD625" s="859">
        <f t="shared" si="1535"/>
        <v>725.9</v>
      </c>
      <c r="DE625" s="859">
        <f t="shared" si="1535"/>
        <v>725.9</v>
      </c>
      <c r="DF625" s="859">
        <f t="shared" si="1535"/>
        <v>806</v>
      </c>
      <c r="DG625" s="859">
        <f t="shared" si="1535"/>
        <v>1401.5000000000002</v>
      </c>
      <c r="DH625" s="1344">
        <f t="shared" si="1535"/>
        <v>1401.5000000000002</v>
      </c>
      <c r="DI625" s="859">
        <f t="shared" si="1535"/>
        <v>1641.4</v>
      </c>
      <c r="DJ625" s="859">
        <f t="shared" si="1535"/>
        <v>1701.7</v>
      </c>
      <c r="DK625" s="1344">
        <f t="shared" si="1535"/>
        <v>1701.7</v>
      </c>
      <c r="DL625" s="859">
        <f t="shared" si="1535"/>
        <v>1729.8</v>
      </c>
      <c r="DM625" s="859">
        <f t="shared" si="1535"/>
        <v>1685.6999999999998</v>
      </c>
      <c r="DN625" s="1344">
        <f t="shared" si="1535"/>
        <v>1685.6999999999998</v>
      </c>
      <c r="DO625" s="859">
        <f t="shared" si="1535"/>
        <v>1715.3</v>
      </c>
      <c r="DP625" s="859">
        <f t="shared" si="1535"/>
        <v>1748.7999999999997</v>
      </c>
      <c r="DQ625" s="1344">
        <f t="shared" si="1535"/>
        <v>1748.7999999999997</v>
      </c>
      <c r="DR625" s="859">
        <f t="shared" ref="DR625:DW625" si="1536">DR320</f>
        <v>1781.8000000000002</v>
      </c>
      <c r="DS625" s="859">
        <f t="shared" si="1536"/>
        <v>1840.5</v>
      </c>
      <c r="DT625" s="1344">
        <f t="shared" si="1536"/>
        <v>1840.5</v>
      </c>
      <c r="DU625" s="859">
        <f t="shared" si="1536"/>
        <v>1867.6</v>
      </c>
      <c r="DV625" s="859">
        <f t="shared" si="1536"/>
        <v>1950.3</v>
      </c>
      <c r="DW625" s="1344">
        <f t="shared" si="1536"/>
        <v>1950.3</v>
      </c>
      <c r="DX625" s="859">
        <f t="shared" ref="DX625:EC625" si="1537">DX320</f>
        <v>1938.1000000000001</v>
      </c>
      <c r="DY625" s="859">
        <f t="shared" si="1537"/>
        <v>1933.6737614489871</v>
      </c>
      <c r="DZ625" s="1344">
        <f t="shared" si="1537"/>
        <v>1933.6737614489871</v>
      </c>
      <c r="EA625" s="859">
        <f t="shared" si="1537"/>
        <v>1939.4045240621417</v>
      </c>
      <c r="EB625" s="859">
        <f t="shared" si="1537"/>
        <v>1940.2868612553325</v>
      </c>
      <c r="EC625" s="1344">
        <f t="shared" si="1537"/>
        <v>1940.2868612553325</v>
      </c>
      <c r="ED625" s="859">
        <f t="shared" ref="ED625:EL625" si="1538">ED320</f>
        <v>1981.5376925050698</v>
      </c>
      <c r="EE625" s="859">
        <f t="shared" si="1538"/>
        <v>2016.9856032750054</v>
      </c>
      <c r="EF625" s="1344">
        <f t="shared" si="1538"/>
        <v>2016.9856032750054</v>
      </c>
      <c r="EG625" s="859">
        <f t="shared" si="1538"/>
        <v>2067.9955709161054</v>
      </c>
      <c r="EH625" s="859">
        <f t="shared" si="1538"/>
        <v>2112.1944241808096</v>
      </c>
      <c r="EI625" s="1344">
        <f t="shared" si="1538"/>
        <v>2112.1944241808096</v>
      </c>
      <c r="EJ625" s="859">
        <f t="shared" si="1538"/>
        <v>2220.7037648318947</v>
      </c>
      <c r="EK625" s="859">
        <f t="shared" si="1538"/>
        <v>2324.5708974335648</v>
      </c>
      <c r="EL625" s="1344">
        <f t="shared" si="1538"/>
        <v>2324.5708974335648</v>
      </c>
      <c r="EM625" s="859">
        <f t="shared" ref="EM625:ER625" si="1539">EM320</f>
        <v>2442.656068304992</v>
      </c>
      <c r="EN625" s="859">
        <f t="shared" si="1539"/>
        <v>2556.649486574086</v>
      </c>
      <c r="EO625" s="1344">
        <f t="shared" si="1539"/>
        <v>2556.649486574086</v>
      </c>
      <c r="EP625" s="859">
        <f t="shared" si="1539"/>
        <v>2685.2630223672313</v>
      </c>
      <c r="EQ625" s="859">
        <f t="shared" si="1539"/>
        <v>2810.0136238364853</v>
      </c>
      <c r="ER625" s="1344">
        <f t="shared" si="1539"/>
        <v>2810.0136238364853</v>
      </c>
      <c r="ES625" s="859">
        <f t="shared" ref="ES625:EX625" si="1540">ES320</f>
        <v>2950.760657371442</v>
      </c>
      <c r="ET625" s="859">
        <f t="shared" si="1540"/>
        <v>3087.2543674683279</v>
      </c>
      <c r="EU625" s="1344">
        <f t="shared" si="1540"/>
        <v>3087.2543674683279</v>
      </c>
      <c r="EV625" s="859">
        <f t="shared" si="1540"/>
        <v>3241.251620575335</v>
      </c>
      <c r="EW625" s="859">
        <f t="shared" si="1540"/>
        <v>3390.5651338189914</v>
      </c>
      <c r="EX625" s="1344">
        <f t="shared" si="1540"/>
        <v>3390.5651338189914</v>
      </c>
      <c r="EY625" s="859">
        <f t="shared" ref="EY625:FA625" si="1541">EY320</f>
        <v>3559.0335171786232</v>
      </c>
      <c r="EZ625" s="859">
        <f t="shared" si="1541"/>
        <v>3722.3429506830234</v>
      </c>
      <c r="FA625" s="1344">
        <f t="shared" si="1541"/>
        <v>3722.3429506830234</v>
      </c>
      <c r="FE625"/>
      <c r="FF625"/>
      <c r="FG625"/>
      <c r="FH625"/>
      <c r="FI625"/>
      <c r="FJ625"/>
      <c r="FK625" s="35"/>
    </row>
    <row r="626" spans="1:167" s="236" customFormat="1" ht="13.35" customHeight="1">
      <c r="A626" s="289"/>
      <c r="B626" s="289" t="s">
        <v>185</v>
      </c>
      <c r="C626" s="806"/>
      <c r="D626" s="289"/>
      <c r="E626" s="820"/>
      <c r="F626" s="820"/>
      <c r="G626" s="821"/>
      <c r="H626" s="820"/>
      <c r="I626" s="820"/>
      <c r="J626" s="821"/>
      <c r="K626" s="820"/>
      <c r="L626" s="820"/>
      <c r="M626" s="821"/>
      <c r="N626" s="820"/>
      <c r="O626" s="820"/>
      <c r="P626" s="821"/>
      <c r="Q626" s="809"/>
      <c r="R626" s="809"/>
      <c r="S626" s="810"/>
      <c r="T626" s="809"/>
      <c r="U626" s="809"/>
      <c r="V626" s="808"/>
      <c r="W626" s="807"/>
      <c r="X626" s="807"/>
      <c r="Y626" s="808"/>
      <c r="Z626" s="807"/>
      <c r="AA626" s="807"/>
      <c r="AB626" s="808"/>
      <c r="AC626" s="807"/>
      <c r="AD626" s="807"/>
      <c r="AE626" s="808"/>
      <c r="AF626" s="807"/>
      <c r="AG626" s="807"/>
      <c r="AH626" s="808"/>
      <c r="AI626" s="807"/>
      <c r="AJ626" s="807"/>
      <c r="AK626" s="808"/>
      <c r="AL626" s="807"/>
      <c r="AM626" s="807"/>
      <c r="AN626" s="859"/>
      <c r="AO626" s="859"/>
      <c r="AP626" s="859"/>
      <c r="AQ626" s="859"/>
      <c r="AR626" s="859"/>
      <c r="AS626" s="859"/>
      <c r="AT626" s="859"/>
      <c r="AU626" s="859"/>
      <c r="AV626" s="859"/>
      <c r="AW626" s="859"/>
      <c r="AX626" s="859"/>
      <c r="AY626" s="859"/>
      <c r="AZ626" s="859"/>
      <c r="BA626" s="859"/>
      <c r="BB626" s="859"/>
      <c r="BC626" s="859"/>
      <c r="BD626" s="859"/>
      <c r="BE626" s="859"/>
      <c r="BF626" s="859"/>
      <c r="BG626" s="859"/>
      <c r="BH626" s="859"/>
      <c r="BI626" s="859"/>
      <c r="BJ626" s="859">
        <f>BJ321</f>
        <v>6.577</v>
      </c>
      <c r="BK626" s="859">
        <f>BK321</f>
        <v>6.5110000000000001</v>
      </c>
      <c r="BL626" s="859">
        <f>BL321-12</f>
        <v>-5.4889999999999999</v>
      </c>
      <c r="BM626" s="859">
        <f t="shared" ref="BM626:DQ626" si="1542">BM321-12</f>
        <v>-6.3360000000000003</v>
      </c>
      <c r="BN626" s="859">
        <f t="shared" si="1542"/>
        <v>-7.2590000000000003</v>
      </c>
      <c r="BO626" s="859">
        <f t="shared" si="1542"/>
        <v>-7.2590000000000003</v>
      </c>
      <c r="BP626" s="859">
        <f t="shared" si="1542"/>
        <v>-8.2249999999999996</v>
      </c>
      <c r="BQ626" s="859">
        <f t="shared" si="1542"/>
        <v>-9.7590000000000003</v>
      </c>
      <c r="BR626" s="859">
        <f t="shared" si="1542"/>
        <v>-9.7590000000000003</v>
      </c>
      <c r="BS626" s="859">
        <f t="shared" si="1542"/>
        <v>-11.808999999999999</v>
      </c>
      <c r="BT626" s="859">
        <f t="shared" si="1542"/>
        <v>-12</v>
      </c>
      <c r="BU626" s="859">
        <f t="shared" si="1542"/>
        <v>-12</v>
      </c>
      <c r="BV626" s="859">
        <f t="shared" si="1542"/>
        <v>-12</v>
      </c>
      <c r="BW626" s="859">
        <f t="shared" si="1542"/>
        <v>-12</v>
      </c>
      <c r="BX626" s="859">
        <f t="shared" si="1542"/>
        <v>-12</v>
      </c>
      <c r="BY626" s="859">
        <f t="shared" si="1542"/>
        <v>-12</v>
      </c>
      <c r="BZ626" s="859">
        <f t="shared" si="1542"/>
        <v>-12</v>
      </c>
      <c r="CA626" s="859">
        <f t="shared" si="1542"/>
        <v>-12</v>
      </c>
      <c r="CB626" s="859">
        <f t="shared" si="1542"/>
        <v>-12</v>
      </c>
      <c r="CC626" s="859">
        <f t="shared" si="1542"/>
        <v>-12</v>
      </c>
      <c r="CD626" s="859">
        <f t="shared" si="1542"/>
        <v>-12</v>
      </c>
      <c r="CE626" s="859">
        <f t="shared" si="1542"/>
        <v>-12</v>
      </c>
      <c r="CF626" s="859">
        <f t="shared" si="1542"/>
        <v>-12</v>
      </c>
      <c r="CG626" s="859">
        <f t="shared" si="1542"/>
        <v>-12</v>
      </c>
      <c r="CH626" s="859">
        <f t="shared" si="1542"/>
        <v>-12</v>
      </c>
      <c r="CI626" s="859">
        <f t="shared" si="1542"/>
        <v>-12</v>
      </c>
      <c r="CJ626" s="859">
        <f t="shared" si="1542"/>
        <v>-12</v>
      </c>
      <c r="CK626" s="859">
        <f t="shared" si="1542"/>
        <v>-12</v>
      </c>
      <c r="CL626" s="859">
        <f t="shared" si="1542"/>
        <v>-12</v>
      </c>
      <c r="CM626" s="859">
        <f t="shared" si="1542"/>
        <v>-12</v>
      </c>
      <c r="CN626" s="859">
        <f t="shared" si="1542"/>
        <v>-12</v>
      </c>
      <c r="CO626" s="859">
        <f t="shared" si="1542"/>
        <v>-12</v>
      </c>
      <c r="CP626" s="859">
        <f t="shared" si="1542"/>
        <v>-12</v>
      </c>
      <c r="CQ626" s="859">
        <f t="shared" si="1542"/>
        <v>-12</v>
      </c>
      <c r="CR626" s="859">
        <f t="shared" si="1542"/>
        <v>-12</v>
      </c>
      <c r="CS626" s="859">
        <f t="shared" si="1542"/>
        <v>-12</v>
      </c>
      <c r="CT626" s="859">
        <f t="shared" si="1542"/>
        <v>-12</v>
      </c>
      <c r="CU626" s="859">
        <f t="shared" si="1542"/>
        <v>-12</v>
      </c>
      <c r="CV626" s="859">
        <f t="shared" si="1542"/>
        <v>-12</v>
      </c>
      <c r="CW626" s="859">
        <f t="shared" si="1542"/>
        <v>-12</v>
      </c>
      <c r="CX626" s="859">
        <f t="shared" si="1542"/>
        <v>-12</v>
      </c>
      <c r="CY626" s="859">
        <f t="shared" si="1542"/>
        <v>-12</v>
      </c>
      <c r="CZ626" s="859">
        <f t="shared" si="1542"/>
        <v>-12</v>
      </c>
      <c r="DA626" s="859">
        <f t="shared" si="1542"/>
        <v>-12</v>
      </c>
      <c r="DB626" s="859">
        <f t="shared" si="1542"/>
        <v>-12</v>
      </c>
      <c r="DC626" s="859">
        <f t="shared" si="1542"/>
        <v>-12</v>
      </c>
      <c r="DD626" s="859">
        <f t="shared" si="1542"/>
        <v>-12</v>
      </c>
      <c r="DE626" s="859">
        <f t="shared" si="1542"/>
        <v>-12</v>
      </c>
      <c r="DF626" s="859">
        <f t="shared" si="1542"/>
        <v>-12</v>
      </c>
      <c r="DG626" s="859">
        <f t="shared" si="1542"/>
        <v>-12</v>
      </c>
      <c r="DH626" s="1344">
        <f t="shared" si="1542"/>
        <v>-12</v>
      </c>
      <c r="DI626" s="859">
        <f t="shared" si="1542"/>
        <v>-12</v>
      </c>
      <c r="DJ626" s="859">
        <f t="shared" si="1542"/>
        <v>-12</v>
      </c>
      <c r="DK626" s="1344">
        <f t="shared" si="1542"/>
        <v>-12</v>
      </c>
      <c r="DL626" s="859">
        <f t="shared" si="1542"/>
        <v>-12</v>
      </c>
      <c r="DM626" s="859">
        <f t="shared" si="1542"/>
        <v>-12</v>
      </c>
      <c r="DN626" s="1344">
        <f t="shared" si="1542"/>
        <v>-12</v>
      </c>
      <c r="DO626" s="859">
        <f t="shared" si="1542"/>
        <v>-12</v>
      </c>
      <c r="DP626" s="859">
        <f t="shared" si="1542"/>
        <v>-12</v>
      </c>
      <c r="DQ626" s="1344">
        <f t="shared" si="1542"/>
        <v>-12</v>
      </c>
      <c r="DR626" s="859">
        <f t="shared" ref="DR626:DW626" si="1543">DR321-12</f>
        <v>-12</v>
      </c>
      <c r="DS626" s="859">
        <f t="shared" si="1543"/>
        <v>-12</v>
      </c>
      <c r="DT626" s="1344">
        <f t="shared" si="1543"/>
        <v>-12</v>
      </c>
      <c r="DU626" s="859">
        <f t="shared" si="1543"/>
        <v>-12</v>
      </c>
      <c r="DV626" s="859">
        <f t="shared" si="1543"/>
        <v>-12</v>
      </c>
      <c r="DW626" s="1344">
        <f t="shared" si="1543"/>
        <v>-12</v>
      </c>
      <c r="DX626" s="859">
        <f t="shared" ref="DX626:EC626" si="1544">DX321-12</f>
        <v>-12</v>
      </c>
      <c r="DY626" s="859">
        <f t="shared" si="1544"/>
        <v>-12</v>
      </c>
      <c r="DZ626" s="1344">
        <f t="shared" si="1544"/>
        <v>-12</v>
      </c>
      <c r="EA626" s="859">
        <f t="shared" si="1544"/>
        <v>-12</v>
      </c>
      <c r="EB626" s="859">
        <f t="shared" si="1544"/>
        <v>-12</v>
      </c>
      <c r="EC626" s="1344">
        <f t="shared" si="1544"/>
        <v>-12</v>
      </c>
      <c r="ED626" s="859">
        <f t="shared" ref="ED626:EL626" si="1545">ED321-12</f>
        <v>-12</v>
      </c>
      <c r="EE626" s="859">
        <f t="shared" si="1545"/>
        <v>-12</v>
      </c>
      <c r="EF626" s="1344">
        <f t="shared" si="1545"/>
        <v>-12</v>
      </c>
      <c r="EG626" s="859">
        <f t="shared" si="1545"/>
        <v>-12</v>
      </c>
      <c r="EH626" s="859">
        <f t="shared" si="1545"/>
        <v>-12</v>
      </c>
      <c r="EI626" s="1344">
        <f t="shared" si="1545"/>
        <v>-12</v>
      </c>
      <c r="EJ626" s="859">
        <f t="shared" si="1545"/>
        <v>-12</v>
      </c>
      <c r="EK626" s="859">
        <f t="shared" si="1545"/>
        <v>-12</v>
      </c>
      <c r="EL626" s="1344">
        <f t="shared" si="1545"/>
        <v>-12</v>
      </c>
      <c r="EM626" s="859">
        <f t="shared" ref="EM626:ER626" si="1546">EM321-12</f>
        <v>-12</v>
      </c>
      <c r="EN626" s="859">
        <f t="shared" si="1546"/>
        <v>-12</v>
      </c>
      <c r="EO626" s="1344">
        <f t="shared" si="1546"/>
        <v>-12</v>
      </c>
      <c r="EP626" s="859">
        <f t="shared" si="1546"/>
        <v>-12</v>
      </c>
      <c r="EQ626" s="859">
        <f t="shared" si="1546"/>
        <v>-12</v>
      </c>
      <c r="ER626" s="1344">
        <f t="shared" si="1546"/>
        <v>-12</v>
      </c>
      <c r="ES626" s="859">
        <f t="shared" ref="ES626:EX626" si="1547">ES321-12</f>
        <v>-12</v>
      </c>
      <c r="ET626" s="859">
        <f t="shared" si="1547"/>
        <v>-12</v>
      </c>
      <c r="EU626" s="1344">
        <f t="shared" si="1547"/>
        <v>-12</v>
      </c>
      <c r="EV626" s="859">
        <f t="shared" si="1547"/>
        <v>-12</v>
      </c>
      <c r="EW626" s="859">
        <f t="shared" si="1547"/>
        <v>-12</v>
      </c>
      <c r="EX626" s="1344">
        <f t="shared" si="1547"/>
        <v>-12</v>
      </c>
      <c r="EY626" s="859">
        <f t="shared" ref="EY626:FA626" si="1548">EY321-12</f>
        <v>-12</v>
      </c>
      <c r="EZ626" s="859">
        <f t="shared" si="1548"/>
        <v>-12</v>
      </c>
      <c r="FA626" s="1344">
        <f t="shared" si="1548"/>
        <v>-12</v>
      </c>
      <c r="FE626"/>
      <c r="FF626"/>
      <c r="FG626"/>
      <c r="FH626"/>
      <c r="FI626"/>
      <c r="FJ626"/>
      <c r="FK626" s="35"/>
    </row>
    <row r="627" spans="1:167" s="236" customFormat="1" ht="13.35" customHeight="1">
      <c r="A627" s="289"/>
      <c r="B627" s="289" t="s">
        <v>42</v>
      </c>
      <c r="C627" s="806"/>
      <c r="D627" s="289"/>
      <c r="E627" s="820"/>
      <c r="F627" s="820"/>
      <c r="G627" s="821"/>
      <c r="H627" s="820"/>
      <c r="I627" s="820"/>
      <c r="J627" s="821"/>
      <c r="K627" s="820"/>
      <c r="L627" s="820"/>
      <c r="M627" s="821"/>
      <c r="N627" s="820"/>
      <c r="O627" s="820"/>
      <c r="P627" s="821"/>
      <c r="Q627" s="809"/>
      <c r="R627" s="809"/>
      <c r="S627" s="810"/>
      <c r="T627" s="809"/>
      <c r="U627" s="809"/>
      <c r="V627" s="808"/>
      <c r="W627" s="807"/>
      <c r="X627" s="807"/>
      <c r="Y627" s="808"/>
      <c r="Z627" s="807"/>
      <c r="AA627" s="807"/>
      <c r="AB627" s="808"/>
      <c r="AC627" s="807"/>
      <c r="AD627" s="807"/>
      <c r="AE627" s="808"/>
      <c r="AF627" s="807"/>
      <c r="AG627" s="807"/>
      <c r="AH627" s="808"/>
      <c r="AI627" s="807"/>
      <c r="AJ627" s="807"/>
      <c r="AK627" s="808"/>
      <c r="AL627" s="807"/>
      <c r="AM627" s="807"/>
      <c r="AN627" s="859">
        <f>SUM(AN625:AN626)</f>
        <v>18.454999999999998</v>
      </c>
      <c r="AO627" s="859">
        <f t="shared" ref="AO627:CZ627" si="1549">SUM(AO625:AO626)</f>
        <v>20.030999999999999</v>
      </c>
      <c r="AP627" s="859">
        <f t="shared" si="1549"/>
        <v>23.307000000000002</v>
      </c>
      <c r="AQ627" s="859">
        <f t="shared" si="1549"/>
        <v>23.307000000000002</v>
      </c>
      <c r="AR627" s="859">
        <f t="shared" si="1549"/>
        <v>27.955000000000002</v>
      </c>
      <c r="AS627" s="859">
        <f t="shared" si="1549"/>
        <v>32.094999999999999</v>
      </c>
      <c r="AT627" s="859">
        <f t="shared" si="1549"/>
        <v>32.094999999999999</v>
      </c>
      <c r="AU627" s="859">
        <f t="shared" si="1549"/>
        <v>37.304000000000002</v>
      </c>
      <c r="AV627" s="859">
        <f t="shared" si="1549"/>
        <v>34.049999999999997</v>
      </c>
      <c r="AW627" s="859">
        <f t="shared" si="1549"/>
        <v>34.049999999999997</v>
      </c>
      <c r="AX627" s="859">
        <f t="shared" si="1549"/>
        <v>38.111999999999995</v>
      </c>
      <c r="AY627" s="859">
        <f t="shared" si="1549"/>
        <v>42.829000000000001</v>
      </c>
      <c r="AZ627" s="859">
        <f t="shared" si="1549"/>
        <v>42.829000000000001</v>
      </c>
      <c r="BA627" s="859">
        <f t="shared" si="1549"/>
        <v>53.665000000000006</v>
      </c>
      <c r="BB627" s="859">
        <f t="shared" si="1549"/>
        <v>55.494999999999997</v>
      </c>
      <c r="BC627" s="859">
        <f t="shared" si="1549"/>
        <v>55.494999999999997</v>
      </c>
      <c r="BD627" s="859">
        <f t="shared" si="1549"/>
        <v>70.015000000000001</v>
      </c>
      <c r="BE627" s="859">
        <f t="shared" si="1549"/>
        <v>75.415999999999997</v>
      </c>
      <c r="BF627" s="859">
        <f t="shared" si="1549"/>
        <v>75.415999999999997</v>
      </c>
      <c r="BG627" s="859">
        <f t="shared" si="1549"/>
        <v>110.22999999999999</v>
      </c>
      <c r="BH627" s="859">
        <f t="shared" si="1549"/>
        <v>119.687</v>
      </c>
      <c r="BI627" s="859">
        <f t="shared" si="1549"/>
        <v>119.687</v>
      </c>
      <c r="BJ627" s="859">
        <f t="shared" si="1549"/>
        <v>154.40199999999999</v>
      </c>
      <c r="BK627" s="859">
        <f t="shared" si="1549"/>
        <v>145.52799999999999</v>
      </c>
      <c r="BL627" s="859">
        <f t="shared" si="1549"/>
        <v>133.52799999999999</v>
      </c>
      <c r="BM627" s="859">
        <f t="shared" si="1549"/>
        <v>136.91399999999999</v>
      </c>
      <c r="BN627" s="859">
        <f t="shared" si="1549"/>
        <v>142.661</v>
      </c>
      <c r="BO627" s="859">
        <f t="shared" si="1549"/>
        <v>142.661</v>
      </c>
      <c r="BP627" s="859">
        <f t="shared" si="1549"/>
        <v>192.68899999999999</v>
      </c>
      <c r="BQ627" s="859">
        <f t="shared" si="1549"/>
        <v>197.77800000000002</v>
      </c>
      <c r="BR627" s="859">
        <f t="shared" si="1549"/>
        <v>197.77800000000002</v>
      </c>
      <c r="BS627" s="859">
        <f t="shared" si="1549"/>
        <v>226.28200000000001</v>
      </c>
      <c r="BT627" s="859">
        <f t="shared" si="1549"/>
        <v>248.80900000000003</v>
      </c>
      <c r="BU627" s="859">
        <f t="shared" si="1549"/>
        <v>248.80900000000003</v>
      </c>
      <c r="BV627" s="859">
        <f t="shared" si="1549"/>
        <v>275.63799999999998</v>
      </c>
      <c r="BW627" s="859">
        <f t="shared" si="1549"/>
        <v>307.34100000000001</v>
      </c>
      <c r="BX627" s="859">
        <f t="shared" si="1549"/>
        <v>307.34100000000001</v>
      </c>
      <c r="BY627" s="859">
        <f t="shared" si="1549"/>
        <v>269.50900000000001</v>
      </c>
      <c r="BZ627" s="859">
        <f t="shared" si="1549"/>
        <v>352.23400000000004</v>
      </c>
      <c r="CA627" s="859">
        <f t="shared" si="1549"/>
        <v>352.23400000000004</v>
      </c>
      <c r="CB627" s="859">
        <f t="shared" si="1549"/>
        <v>393.10299999999995</v>
      </c>
      <c r="CC627" s="859">
        <f t="shared" si="1549"/>
        <v>426.30799999999999</v>
      </c>
      <c r="CD627" s="859">
        <f t="shared" si="1549"/>
        <v>426.30799999999999</v>
      </c>
      <c r="CE627" s="859">
        <f t="shared" si="1549"/>
        <v>475.40300000000002</v>
      </c>
      <c r="CF627" s="859">
        <f t="shared" si="1549"/>
        <v>491.28300000000002</v>
      </c>
      <c r="CG627" s="859">
        <f t="shared" si="1549"/>
        <v>491.28300000000002</v>
      </c>
      <c r="CH627" s="859">
        <f t="shared" si="1549"/>
        <v>383.24800000000005</v>
      </c>
      <c r="CI627" s="859">
        <f t="shared" si="1549"/>
        <v>372.88</v>
      </c>
      <c r="CJ627" s="859">
        <f t="shared" si="1549"/>
        <v>372.88</v>
      </c>
      <c r="CK627" s="859">
        <f t="shared" si="1549"/>
        <v>379.09</v>
      </c>
      <c r="CL627" s="859">
        <f t="shared" si="1549"/>
        <v>344.91300000000001</v>
      </c>
      <c r="CM627" s="859">
        <f t="shared" si="1549"/>
        <v>344.91300000000001</v>
      </c>
      <c r="CN627" s="859">
        <f t="shared" si="1549"/>
        <v>310.42200000000003</v>
      </c>
      <c r="CO627" s="859">
        <f t="shared" si="1549"/>
        <v>317.20499999999998</v>
      </c>
      <c r="CP627" s="859">
        <f t="shared" si="1549"/>
        <v>317.20499999999998</v>
      </c>
      <c r="CQ627" s="859">
        <f t="shared" si="1549"/>
        <v>309.44600000000003</v>
      </c>
      <c r="CR627" s="859">
        <f t="shared" si="1549"/>
        <v>343.38599999999997</v>
      </c>
      <c r="CS627" s="859">
        <f t="shared" si="1549"/>
        <v>343.38599999999997</v>
      </c>
      <c r="CT627" s="859">
        <f t="shared" si="1549"/>
        <v>403.34499999999997</v>
      </c>
      <c r="CU627" s="859">
        <f t="shared" si="1549"/>
        <v>436.55700000000002</v>
      </c>
      <c r="CV627" s="859">
        <f t="shared" si="1549"/>
        <v>436.55700000000002</v>
      </c>
      <c r="CW627" s="859">
        <f t="shared" si="1549"/>
        <v>475.68499999999995</v>
      </c>
      <c r="CX627" s="859">
        <f t="shared" si="1549"/>
        <v>531.64700000000005</v>
      </c>
      <c r="CY627" s="859">
        <f t="shared" si="1549"/>
        <v>531.64700000000005</v>
      </c>
      <c r="CZ627" s="859">
        <f t="shared" si="1549"/>
        <v>562.79999999999995</v>
      </c>
      <c r="DA627" s="859">
        <f t="shared" ref="DA627:DQ627" si="1550">SUM(DA625:DA626)</f>
        <v>598.79999999999995</v>
      </c>
      <c r="DB627" s="859">
        <f t="shared" si="1550"/>
        <v>598.79999999999995</v>
      </c>
      <c r="DC627" s="859">
        <f t="shared" si="1550"/>
        <v>641.5</v>
      </c>
      <c r="DD627" s="859">
        <f t="shared" si="1550"/>
        <v>713.9</v>
      </c>
      <c r="DE627" s="859">
        <f t="shared" si="1550"/>
        <v>713.9</v>
      </c>
      <c r="DF627" s="859">
        <f t="shared" si="1550"/>
        <v>794</v>
      </c>
      <c r="DG627" s="859">
        <f t="shared" si="1550"/>
        <v>1389.5000000000002</v>
      </c>
      <c r="DH627" s="1344">
        <f t="shared" si="1550"/>
        <v>1389.5000000000002</v>
      </c>
      <c r="DI627" s="859">
        <f t="shared" si="1550"/>
        <v>1629.4</v>
      </c>
      <c r="DJ627" s="859">
        <f t="shared" si="1550"/>
        <v>1689.7</v>
      </c>
      <c r="DK627" s="1344">
        <f t="shared" si="1550"/>
        <v>1689.7</v>
      </c>
      <c r="DL627" s="859">
        <f t="shared" si="1550"/>
        <v>1717.8</v>
      </c>
      <c r="DM627" s="859">
        <f t="shared" si="1550"/>
        <v>1673.6999999999998</v>
      </c>
      <c r="DN627" s="1344">
        <f t="shared" si="1550"/>
        <v>1673.6999999999998</v>
      </c>
      <c r="DO627" s="859">
        <f t="shared" si="1550"/>
        <v>1703.3</v>
      </c>
      <c r="DP627" s="859">
        <f t="shared" si="1550"/>
        <v>1736.7999999999997</v>
      </c>
      <c r="DQ627" s="1344">
        <f t="shared" si="1550"/>
        <v>1736.7999999999997</v>
      </c>
      <c r="DR627" s="859">
        <f t="shared" ref="DR627:DW627" si="1551">SUM(DR625:DR626)</f>
        <v>1769.8000000000002</v>
      </c>
      <c r="DS627" s="859">
        <f t="shared" si="1551"/>
        <v>1828.5</v>
      </c>
      <c r="DT627" s="1344">
        <f t="shared" si="1551"/>
        <v>1828.5</v>
      </c>
      <c r="DU627" s="859">
        <f t="shared" si="1551"/>
        <v>1855.6</v>
      </c>
      <c r="DV627" s="859">
        <f t="shared" si="1551"/>
        <v>1938.3</v>
      </c>
      <c r="DW627" s="1344">
        <f t="shared" si="1551"/>
        <v>1938.3</v>
      </c>
      <c r="DX627" s="859">
        <f t="shared" ref="DX627:EC627" si="1552">SUM(DX625:DX626)</f>
        <v>1926.1000000000001</v>
      </c>
      <c r="DY627" s="859">
        <f t="shared" si="1552"/>
        <v>1921.6737614489871</v>
      </c>
      <c r="DZ627" s="1344">
        <f t="shared" si="1552"/>
        <v>1921.6737614489871</v>
      </c>
      <c r="EA627" s="859">
        <f t="shared" si="1552"/>
        <v>1927.4045240621417</v>
      </c>
      <c r="EB627" s="859">
        <f t="shared" si="1552"/>
        <v>1928.2868612553325</v>
      </c>
      <c r="EC627" s="1344">
        <f t="shared" si="1552"/>
        <v>1928.2868612553325</v>
      </c>
      <c r="ED627" s="859">
        <f t="shared" ref="ED627:EL627" si="1553">SUM(ED625:ED626)</f>
        <v>1969.5376925050698</v>
      </c>
      <c r="EE627" s="859">
        <f t="shared" si="1553"/>
        <v>2004.9856032750054</v>
      </c>
      <c r="EF627" s="1344">
        <f t="shared" si="1553"/>
        <v>2004.9856032750054</v>
      </c>
      <c r="EG627" s="859">
        <f t="shared" si="1553"/>
        <v>2055.9955709161054</v>
      </c>
      <c r="EH627" s="859">
        <f t="shared" si="1553"/>
        <v>2100.1944241808096</v>
      </c>
      <c r="EI627" s="1344">
        <f t="shared" si="1553"/>
        <v>2100.1944241808096</v>
      </c>
      <c r="EJ627" s="859">
        <f t="shared" si="1553"/>
        <v>2208.7037648318947</v>
      </c>
      <c r="EK627" s="859">
        <f t="shared" si="1553"/>
        <v>2312.5708974335648</v>
      </c>
      <c r="EL627" s="1344">
        <f t="shared" si="1553"/>
        <v>2312.5708974335648</v>
      </c>
      <c r="EM627" s="859">
        <f t="shared" ref="EM627:ER627" si="1554">SUM(EM625:EM626)</f>
        <v>2430.656068304992</v>
      </c>
      <c r="EN627" s="859">
        <f t="shared" si="1554"/>
        <v>2544.649486574086</v>
      </c>
      <c r="EO627" s="1344">
        <f t="shared" si="1554"/>
        <v>2544.649486574086</v>
      </c>
      <c r="EP627" s="859">
        <f t="shared" si="1554"/>
        <v>2673.2630223672313</v>
      </c>
      <c r="EQ627" s="859">
        <f t="shared" si="1554"/>
        <v>2798.0136238364853</v>
      </c>
      <c r="ER627" s="1344">
        <f t="shared" si="1554"/>
        <v>2798.0136238364853</v>
      </c>
      <c r="ES627" s="859">
        <f t="shared" ref="ES627:EX627" si="1555">SUM(ES625:ES626)</f>
        <v>2938.760657371442</v>
      </c>
      <c r="ET627" s="859">
        <f t="shared" si="1555"/>
        <v>3075.2543674683279</v>
      </c>
      <c r="EU627" s="1344">
        <f t="shared" si="1555"/>
        <v>3075.2543674683279</v>
      </c>
      <c r="EV627" s="859">
        <f t="shared" si="1555"/>
        <v>3229.251620575335</v>
      </c>
      <c r="EW627" s="859">
        <f t="shared" si="1555"/>
        <v>3378.5651338189914</v>
      </c>
      <c r="EX627" s="1344">
        <f t="shared" si="1555"/>
        <v>3378.5651338189914</v>
      </c>
      <c r="EY627" s="859">
        <f t="shared" ref="EY627:FA627" si="1556">SUM(EY625:EY626)</f>
        <v>3547.0335171786232</v>
      </c>
      <c r="EZ627" s="859">
        <f t="shared" si="1556"/>
        <v>3710.3429506830234</v>
      </c>
      <c r="FA627" s="1344">
        <f t="shared" si="1556"/>
        <v>3710.3429506830234</v>
      </c>
      <c r="FE627"/>
      <c r="FF627"/>
      <c r="FG627"/>
      <c r="FH627"/>
      <c r="FI627"/>
      <c r="FJ627"/>
      <c r="FK627" s="35"/>
    </row>
    <row r="628" spans="1:167" s="236" customFormat="1" ht="13.35" customHeight="1">
      <c r="A628" s="289"/>
      <c r="B628" s="289"/>
      <c r="C628" s="806"/>
      <c r="D628" s="289"/>
      <c r="E628" s="820"/>
      <c r="F628" s="820"/>
      <c r="G628" s="821"/>
      <c r="H628" s="820"/>
      <c r="I628" s="820"/>
      <c r="J628" s="821"/>
      <c r="K628" s="820"/>
      <c r="L628" s="820"/>
      <c r="M628" s="821"/>
      <c r="N628" s="820"/>
      <c r="O628" s="820"/>
      <c r="P628" s="821"/>
      <c r="Q628" s="809"/>
      <c r="R628" s="809"/>
      <c r="S628" s="810"/>
      <c r="T628" s="809"/>
      <c r="U628" s="809"/>
      <c r="V628" s="808"/>
      <c r="W628" s="807"/>
      <c r="X628" s="807"/>
      <c r="Y628" s="808"/>
      <c r="Z628" s="807"/>
      <c r="AA628" s="807"/>
      <c r="AB628" s="808"/>
      <c r="AC628" s="807"/>
      <c r="AD628" s="807"/>
      <c r="AE628" s="808"/>
      <c r="AF628" s="807"/>
      <c r="AG628" s="807"/>
      <c r="AH628" s="808"/>
      <c r="AI628" s="807"/>
      <c r="AJ628" s="807"/>
      <c r="AK628" s="808"/>
      <c r="AL628" s="807"/>
      <c r="AM628" s="807"/>
      <c r="AN628" s="859"/>
      <c r="AO628" s="859"/>
      <c r="AP628" s="859"/>
      <c r="AQ628" s="859"/>
      <c r="AR628" s="859"/>
      <c r="AS628" s="859"/>
      <c r="AT628" s="859"/>
      <c r="AU628" s="859"/>
      <c r="AV628" s="859"/>
      <c r="AW628" s="859"/>
      <c r="AX628" s="859"/>
      <c r="AY628" s="859"/>
      <c r="AZ628" s="859"/>
      <c r="BA628" s="859"/>
      <c r="BB628" s="859"/>
      <c r="BC628" s="859"/>
      <c r="BD628" s="859"/>
      <c r="BE628" s="859"/>
      <c r="BF628" s="859"/>
      <c r="BG628" s="859"/>
      <c r="BH628" s="859"/>
      <c r="BI628" s="859"/>
      <c r="BJ628" s="859"/>
      <c r="BK628" s="859"/>
      <c r="BL628" s="859"/>
      <c r="BM628" s="859"/>
      <c r="BN628" s="859"/>
      <c r="BO628" s="859"/>
      <c r="BP628" s="859"/>
      <c r="BQ628" s="859"/>
      <c r="BR628" s="859"/>
      <c r="BS628" s="859"/>
      <c r="BT628" s="859"/>
      <c r="BU628" s="859"/>
      <c r="BV628" s="859"/>
      <c r="BW628" s="859"/>
      <c r="BX628" s="859"/>
      <c r="BY628" s="859"/>
      <c r="BZ628" s="859"/>
      <c r="CA628" s="859"/>
      <c r="CB628" s="859"/>
      <c r="CC628" s="859"/>
      <c r="CD628" s="859"/>
      <c r="CE628" s="859"/>
      <c r="CF628" s="859"/>
      <c r="CG628" s="859"/>
      <c r="CH628" s="859"/>
      <c r="CI628" s="859"/>
      <c r="CJ628" s="859"/>
      <c r="CK628" s="859"/>
      <c r="CL628" s="859"/>
      <c r="CM628" s="859"/>
      <c r="CN628" s="859"/>
      <c r="CO628" s="859"/>
      <c r="CP628" s="859"/>
      <c r="CQ628" s="859"/>
      <c r="CR628" s="859"/>
      <c r="CS628" s="859"/>
      <c r="CT628" s="859"/>
      <c r="CU628" s="859"/>
      <c r="CV628" s="859"/>
      <c r="CW628" s="859"/>
      <c r="CX628" s="859"/>
      <c r="CY628" s="859"/>
      <c r="CZ628" s="859"/>
      <c r="DA628" s="859"/>
      <c r="DB628" s="859"/>
      <c r="DC628" s="859"/>
      <c r="DD628" s="859"/>
      <c r="DE628" s="859"/>
      <c r="DF628" s="859"/>
      <c r="DG628" s="859"/>
      <c r="DH628" s="1344"/>
      <c r="DI628" s="859"/>
      <c r="DJ628" s="859"/>
      <c r="DK628" s="1344"/>
      <c r="DL628" s="859"/>
      <c r="DM628" s="859"/>
      <c r="DN628" s="1344"/>
      <c r="DO628" s="859"/>
      <c r="DP628" s="859"/>
      <c r="DQ628" s="1344"/>
      <c r="DR628" s="859"/>
      <c r="DS628" s="859"/>
      <c r="DT628" s="1344"/>
      <c r="DU628" s="859"/>
      <c r="DV628" s="859"/>
      <c r="DW628" s="1344"/>
      <c r="DX628" s="859"/>
      <c r="DY628" s="859"/>
      <c r="DZ628" s="1344"/>
      <c r="EA628" s="859"/>
      <c r="EB628" s="859"/>
      <c r="EC628" s="1344"/>
      <c r="ED628" s="859"/>
      <c r="EE628" s="859"/>
      <c r="EF628" s="1344"/>
      <c r="EG628" s="859"/>
      <c r="EH628" s="859"/>
      <c r="EI628" s="1344"/>
      <c r="EJ628" s="859"/>
      <c r="EK628" s="859"/>
      <c r="EL628" s="1344"/>
      <c r="EM628" s="859"/>
      <c r="EN628" s="859"/>
      <c r="EO628" s="1344"/>
      <c r="EP628" s="859"/>
      <c r="EQ628" s="859"/>
      <c r="ER628" s="1344"/>
      <c r="ES628" s="859"/>
      <c r="ET628" s="859"/>
      <c r="EU628" s="1344"/>
      <c r="EV628" s="859"/>
      <c r="EW628" s="859"/>
      <c r="EX628" s="1344"/>
      <c r="EY628" s="859"/>
      <c r="EZ628" s="859"/>
      <c r="FA628" s="1344"/>
      <c r="FE628"/>
      <c r="FF628"/>
      <c r="FG628"/>
      <c r="FH628"/>
      <c r="FI628"/>
      <c r="FJ628"/>
      <c r="FK628" s="35"/>
    </row>
    <row r="629" spans="1:167" s="236" customFormat="1" ht="13.35" customHeight="1">
      <c r="A629" s="289"/>
      <c r="B629" s="289" t="s">
        <v>249</v>
      </c>
      <c r="C629" s="806"/>
      <c r="D629" s="289"/>
      <c r="E629" s="820"/>
      <c r="F629" s="820"/>
      <c r="G629" s="821"/>
      <c r="H629" s="820"/>
      <c r="I629" s="820"/>
      <c r="J629" s="821"/>
      <c r="K629" s="820"/>
      <c r="L629" s="820"/>
      <c r="M629" s="821"/>
      <c r="N629" s="820"/>
      <c r="O629" s="820"/>
      <c r="P629" s="821"/>
      <c r="Q629" s="809"/>
      <c r="R629" s="809"/>
      <c r="S629" s="810"/>
      <c r="T629" s="809"/>
      <c r="U629" s="809"/>
      <c r="V629" s="808"/>
      <c r="W629" s="807"/>
      <c r="X629" s="807"/>
      <c r="Y629" s="808"/>
      <c r="Z629" s="807"/>
      <c r="AA629" s="807"/>
      <c r="AB629" s="808"/>
      <c r="AC629" s="807"/>
      <c r="AD629" s="807"/>
      <c r="AE629" s="808"/>
      <c r="AF629" s="807"/>
      <c r="AG629" s="807"/>
      <c r="AH629" s="808"/>
      <c r="AI629" s="807"/>
      <c r="AJ629" s="807"/>
      <c r="AK629" s="808"/>
      <c r="AL629" s="807"/>
      <c r="AM629" s="807"/>
      <c r="AN629" s="859"/>
      <c r="AO629" s="859"/>
      <c r="AP629" s="859"/>
      <c r="AQ629" s="859"/>
      <c r="AR629" s="859"/>
      <c r="AS629" s="859"/>
      <c r="AT629" s="859"/>
      <c r="AU629" s="859"/>
      <c r="AV629" s="859"/>
      <c r="AW629" s="859"/>
      <c r="AX629" s="859"/>
      <c r="AY629" s="859"/>
      <c r="AZ629" s="859"/>
      <c r="BA629" s="859"/>
      <c r="BB629" s="859"/>
      <c r="BC629" s="859"/>
      <c r="BD629" s="859"/>
      <c r="BE629" s="859"/>
      <c r="BF629" s="859"/>
      <c r="BG629" s="859"/>
      <c r="BH629" s="859"/>
      <c r="BI629" s="859"/>
      <c r="BJ629" s="859">
        <f>BJ244-BJ235-BJ230</f>
        <v>154.19099999999997</v>
      </c>
      <c r="BK629" s="859">
        <f t="shared" ref="BK629:DQ629" si="1557">BK244-BK235-BK230</f>
        <v>124.45600000000002</v>
      </c>
      <c r="BL629" s="859">
        <f t="shared" si="1557"/>
        <v>124.45600000000002</v>
      </c>
      <c r="BM629" s="859">
        <f t="shared" si="1557"/>
        <v>129.899</v>
      </c>
      <c r="BN629" s="859">
        <f t="shared" si="1557"/>
        <v>145.077</v>
      </c>
      <c r="BO629" s="859">
        <f t="shared" si="1557"/>
        <v>145.077</v>
      </c>
      <c r="BP629" s="859">
        <f t="shared" si="1557"/>
        <v>173.608</v>
      </c>
      <c r="BQ629" s="859">
        <f t="shared" si="1557"/>
        <v>192.13000000000005</v>
      </c>
      <c r="BR629" s="859">
        <f t="shared" si="1557"/>
        <v>192.13000000000005</v>
      </c>
      <c r="BS629" s="859">
        <f t="shared" si="1557"/>
        <v>229.095</v>
      </c>
      <c r="BT629" s="859">
        <f t="shared" si="1557"/>
        <v>240.35599999999999</v>
      </c>
      <c r="BU629" s="859">
        <f t="shared" si="1557"/>
        <v>240.35599999999999</v>
      </c>
      <c r="BV629" s="859">
        <f t="shared" si="1557"/>
        <v>263.22500000000002</v>
      </c>
      <c r="BW629" s="859">
        <f t="shared" si="1557"/>
        <v>285.40899999999993</v>
      </c>
      <c r="BX629" s="859">
        <f t="shared" si="1557"/>
        <v>285.40899999999993</v>
      </c>
      <c r="BY629" s="859">
        <f t="shared" si="1557"/>
        <v>318.96299999999997</v>
      </c>
      <c r="BZ629" s="859">
        <f t="shared" si="1557"/>
        <v>291.303</v>
      </c>
      <c r="CA629" s="859">
        <f t="shared" si="1557"/>
        <v>291.303</v>
      </c>
      <c r="CB629" s="859">
        <f t="shared" si="1557"/>
        <v>346.98199999999997</v>
      </c>
      <c r="CC629" s="859">
        <f t="shared" si="1557"/>
        <v>330.75399999999991</v>
      </c>
      <c r="CD629" s="859">
        <f t="shared" si="1557"/>
        <v>330.75399999999991</v>
      </c>
      <c r="CE629" s="859">
        <f t="shared" si="1557"/>
        <v>369.31400000000002</v>
      </c>
      <c r="CF629" s="859">
        <f t="shared" si="1557"/>
        <v>357.46100000000007</v>
      </c>
      <c r="CG629" s="859">
        <f t="shared" si="1557"/>
        <v>357.46100000000007</v>
      </c>
      <c r="CH629" s="859">
        <f t="shared" si="1557"/>
        <v>302.46600000000001</v>
      </c>
      <c r="CI629" s="859">
        <f t="shared" si="1557"/>
        <v>305.39500000000004</v>
      </c>
      <c r="CJ629" s="859">
        <f t="shared" si="1557"/>
        <v>305.39500000000004</v>
      </c>
      <c r="CK629" s="859">
        <f t="shared" si="1557"/>
        <v>330.476</v>
      </c>
      <c r="CL629" s="859">
        <f t="shared" si="1557"/>
        <v>352.53300000000002</v>
      </c>
      <c r="CM629" s="859">
        <f t="shared" si="1557"/>
        <v>352.53300000000002</v>
      </c>
      <c r="CN629" s="859">
        <f t="shared" si="1557"/>
        <v>368.63100000000003</v>
      </c>
      <c r="CO629" s="859">
        <f t="shared" si="1557"/>
        <v>364.75199999999995</v>
      </c>
      <c r="CP629" s="859">
        <f t="shared" si="1557"/>
        <v>364.75199999999995</v>
      </c>
      <c r="CQ629" s="859">
        <f t="shared" si="1557"/>
        <v>388.99700000000001</v>
      </c>
      <c r="CR629" s="859">
        <f t="shared" si="1557"/>
        <v>416.81799999999998</v>
      </c>
      <c r="CS629" s="859">
        <f t="shared" si="1557"/>
        <v>416.81799999999998</v>
      </c>
      <c r="CT629" s="859">
        <f t="shared" si="1557"/>
        <v>445.73</v>
      </c>
      <c r="CU629" s="859">
        <f t="shared" si="1557"/>
        <v>467.61099999999999</v>
      </c>
      <c r="CV629" s="859">
        <f t="shared" si="1557"/>
        <v>467.61099999999999</v>
      </c>
      <c r="CW629" s="859">
        <f t="shared" si="1557"/>
        <v>492.29700000000003</v>
      </c>
      <c r="CX629" s="859">
        <f t="shared" si="1557"/>
        <v>496.42</v>
      </c>
      <c r="CY629" s="859">
        <f t="shared" si="1557"/>
        <v>496.42</v>
      </c>
      <c r="CZ629" s="859">
        <f t="shared" si="1557"/>
        <v>514.10000000000014</v>
      </c>
      <c r="DA629" s="859">
        <f t="shared" si="1557"/>
        <v>522.70000000000005</v>
      </c>
      <c r="DB629" s="859">
        <f t="shared" si="1557"/>
        <v>522.70000000000005</v>
      </c>
      <c r="DC629" s="859">
        <f t="shared" si="1557"/>
        <v>514.30000000000007</v>
      </c>
      <c r="DD629" s="859">
        <f t="shared" si="1557"/>
        <v>556.39999999999986</v>
      </c>
      <c r="DE629" s="859">
        <f t="shared" si="1557"/>
        <v>556.39999999999986</v>
      </c>
      <c r="DF629" s="859">
        <f t="shared" si="1557"/>
        <v>564.5</v>
      </c>
      <c r="DG629" s="859">
        <f t="shared" si="1557"/>
        <v>912.5</v>
      </c>
      <c r="DH629" s="1344">
        <f t="shared" si="1557"/>
        <v>912.5</v>
      </c>
      <c r="DI629" s="859">
        <f t="shared" si="1557"/>
        <v>595.80000000000018</v>
      </c>
      <c r="DJ629" s="859">
        <f t="shared" si="1557"/>
        <v>620.4</v>
      </c>
      <c r="DK629" s="1344">
        <f t="shared" si="1557"/>
        <v>620.4</v>
      </c>
      <c r="DL629" s="859">
        <f t="shared" si="1557"/>
        <v>648.9</v>
      </c>
      <c r="DM629" s="859">
        <f t="shared" si="1557"/>
        <v>697.7</v>
      </c>
      <c r="DN629" s="1344">
        <f t="shared" si="1557"/>
        <v>697.7</v>
      </c>
      <c r="DO629" s="859">
        <f t="shared" si="1557"/>
        <v>768.69999999999982</v>
      </c>
      <c r="DP629" s="859">
        <f t="shared" si="1557"/>
        <v>806</v>
      </c>
      <c r="DQ629" s="1344">
        <f t="shared" si="1557"/>
        <v>806</v>
      </c>
      <c r="DR629" s="859">
        <f t="shared" ref="DR629:DW629" si="1558">DR244-DR235-DR230</f>
        <v>842.2</v>
      </c>
      <c r="DS629" s="859">
        <f t="shared" si="1558"/>
        <v>938.50000000000011</v>
      </c>
      <c r="DT629" s="1344">
        <f t="shared" si="1558"/>
        <v>938.50000000000011</v>
      </c>
      <c r="DU629" s="859">
        <f t="shared" si="1558"/>
        <v>1027.5</v>
      </c>
      <c r="DV629" s="859">
        <f t="shared" si="1558"/>
        <v>1141.0999999999999</v>
      </c>
      <c r="DW629" s="1344">
        <f t="shared" si="1558"/>
        <v>1141.0999999999999</v>
      </c>
      <c r="DX629" s="859">
        <f t="shared" ref="DX629:EC629" si="1559">DX244-DX235-DX230</f>
        <v>1185.8000000000002</v>
      </c>
      <c r="DY629" s="859">
        <f t="shared" si="1559"/>
        <v>1269.5279757148758</v>
      </c>
      <c r="DZ629" s="1344">
        <f t="shared" si="1559"/>
        <v>1269.5279757148758</v>
      </c>
      <c r="EA629" s="859">
        <f t="shared" si="1559"/>
        <v>1295.0131602746719</v>
      </c>
      <c r="EB629" s="859">
        <f t="shared" si="1559"/>
        <v>1313.8841258069074</v>
      </c>
      <c r="EC629" s="1344">
        <f t="shared" si="1559"/>
        <v>1313.8841258069074</v>
      </c>
      <c r="ED629" s="859">
        <f t="shared" ref="ED629:EL629" si="1560">ED244-ED235-ED230</f>
        <v>1367.5570209846378</v>
      </c>
      <c r="EE629" s="859">
        <f t="shared" si="1560"/>
        <v>1387.6255717314782</v>
      </c>
      <c r="EF629" s="1344">
        <f t="shared" si="1560"/>
        <v>1387.6255717314782</v>
      </c>
      <c r="EG629" s="859">
        <f t="shared" si="1560"/>
        <v>1451.445591178528</v>
      </c>
      <c r="EH629" s="859">
        <f t="shared" si="1560"/>
        <v>1472.8115970666761</v>
      </c>
      <c r="EI629" s="1344">
        <f t="shared" si="1560"/>
        <v>1472.8115970666761</v>
      </c>
      <c r="EJ629" s="859">
        <f t="shared" si="1560"/>
        <v>1539.9238921373435</v>
      </c>
      <c r="EK629" s="859">
        <f t="shared" si="1560"/>
        <v>1562.6583398311845</v>
      </c>
      <c r="EL629" s="1344">
        <f t="shared" si="1560"/>
        <v>1562.6583398311845</v>
      </c>
      <c r="EM629" s="859">
        <f t="shared" ref="EM629:ER629" si="1561">EM244-EM235-EM230</f>
        <v>1633.1385779801994</v>
      </c>
      <c r="EN629" s="859">
        <f t="shared" si="1561"/>
        <v>1657.3147223570647</v>
      </c>
      <c r="EO629" s="1344">
        <f t="shared" si="1561"/>
        <v>1657.3147223570647</v>
      </c>
      <c r="EP629" s="859">
        <f t="shared" si="1561"/>
        <v>1731.2255237484571</v>
      </c>
      <c r="EQ629" s="859">
        <f t="shared" si="1561"/>
        <v>1756.9187211849708</v>
      </c>
      <c r="ER629" s="1344">
        <f t="shared" si="1561"/>
        <v>1756.9187211849708</v>
      </c>
      <c r="ES629" s="859">
        <f t="shared" ref="ES629:EX629" si="1562">ES244-ES235-ES230</f>
        <v>1834.3066972733614</v>
      </c>
      <c r="ET629" s="859">
        <f t="shared" si="1562"/>
        <v>1861.594190550808</v>
      </c>
      <c r="EU629" s="1344">
        <f t="shared" si="1562"/>
        <v>1861.594190550808</v>
      </c>
      <c r="EV629" s="859">
        <f t="shared" si="1562"/>
        <v>1942.4865552903859</v>
      </c>
      <c r="EW629" s="859">
        <f t="shared" si="1562"/>
        <v>1971.4472027608963</v>
      </c>
      <c r="EX629" s="1344">
        <f t="shared" si="1562"/>
        <v>1971.4472027608963</v>
      </c>
      <c r="EY629" s="859">
        <f t="shared" ref="EY629:FA629" si="1563">EY244-EY235-EY230</f>
        <v>2055.8479035025607</v>
      </c>
      <c r="EZ629" s="859">
        <f t="shared" si="1563"/>
        <v>2086.5618442253399</v>
      </c>
      <c r="FA629" s="1344">
        <f t="shared" si="1563"/>
        <v>2086.5618442253399</v>
      </c>
      <c r="FE629"/>
      <c r="FF629"/>
      <c r="FG629"/>
      <c r="FH629"/>
      <c r="FI629"/>
      <c r="FJ629"/>
      <c r="FK629" s="35"/>
    </row>
    <row r="630" spans="1:167" s="236" customFormat="1" ht="13.35" customHeight="1">
      <c r="A630" s="289"/>
      <c r="B630" s="289" t="s">
        <v>250</v>
      </c>
      <c r="C630" s="806"/>
      <c r="D630" s="289"/>
      <c r="E630" s="820"/>
      <c r="F630" s="820"/>
      <c r="G630" s="821"/>
      <c r="H630" s="820"/>
      <c r="I630" s="820"/>
      <c r="J630" s="821"/>
      <c r="K630" s="820"/>
      <c r="L630" s="820"/>
      <c r="M630" s="821"/>
      <c r="N630" s="820"/>
      <c r="O630" s="820"/>
      <c r="P630" s="821"/>
      <c r="Q630" s="809"/>
      <c r="R630" s="809"/>
      <c r="S630" s="810"/>
      <c r="T630" s="809"/>
      <c r="U630" s="809"/>
      <c r="V630" s="808"/>
      <c r="W630" s="807"/>
      <c r="X630" s="807"/>
      <c r="Y630" s="808"/>
      <c r="Z630" s="807"/>
      <c r="AA630" s="807"/>
      <c r="AB630" s="808"/>
      <c r="AC630" s="807"/>
      <c r="AD630" s="807"/>
      <c r="AE630" s="808"/>
      <c r="AF630" s="807"/>
      <c r="AG630" s="807"/>
      <c r="AH630" s="808"/>
      <c r="AI630" s="807"/>
      <c r="AJ630" s="807"/>
      <c r="AK630" s="808"/>
      <c r="AL630" s="807"/>
      <c r="AM630" s="807"/>
      <c r="AN630" s="859"/>
      <c r="AO630" s="859"/>
      <c r="AP630" s="859"/>
      <c r="AQ630" s="859"/>
      <c r="AR630" s="859"/>
      <c r="AS630" s="859"/>
      <c r="AT630" s="859"/>
      <c r="AU630" s="859"/>
      <c r="AV630" s="859"/>
      <c r="AW630" s="859"/>
      <c r="AX630" s="859"/>
      <c r="AY630" s="859"/>
      <c r="AZ630" s="859"/>
      <c r="BA630" s="859"/>
      <c r="BB630" s="859"/>
      <c r="BC630" s="859"/>
      <c r="BD630" s="859"/>
      <c r="BE630" s="859"/>
      <c r="BF630" s="859"/>
      <c r="BG630" s="859"/>
      <c r="BH630" s="859"/>
      <c r="BI630" s="859"/>
      <c r="BJ630" s="859">
        <f>-(BJ287-BJ269)</f>
        <v>-85.975999999999999</v>
      </c>
      <c r="BK630" s="859">
        <f t="shared" ref="BK630:DQ630" si="1564">-(BK287-BK269)</f>
        <v>-80.428999999999988</v>
      </c>
      <c r="BL630" s="859">
        <f t="shared" si="1564"/>
        <v>-80.428999999999988</v>
      </c>
      <c r="BM630" s="859">
        <f t="shared" si="1564"/>
        <v>-91.36</v>
      </c>
      <c r="BN630" s="859">
        <f t="shared" si="1564"/>
        <v>-128.93100000000001</v>
      </c>
      <c r="BO630" s="859">
        <f t="shared" si="1564"/>
        <v>-128.93100000000001</v>
      </c>
      <c r="BP630" s="859">
        <f t="shared" si="1564"/>
        <v>-123.43600000000002</v>
      </c>
      <c r="BQ630" s="859">
        <f t="shared" si="1564"/>
        <v>-132.90899999999999</v>
      </c>
      <c r="BR630" s="859">
        <f>-(BR287-BR269)</f>
        <v>-132.90899999999999</v>
      </c>
      <c r="BS630" s="859">
        <f t="shared" si="1564"/>
        <v>-119.34</v>
      </c>
      <c r="BT630" s="859">
        <f t="shared" si="1564"/>
        <v>-118.21100000000001</v>
      </c>
      <c r="BU630" s="859">
        <f t="shared" si="1564"/>
        <v>-118.21100000000001</v>
      </c>
      <c r="BV630" s="859">
        <f t="shared" si="1564"/>
        <v>-112.661</v>
      </c>
      <c r="BW630" s="859">
        <f t="shared" si="1564"/>
        <v>-109.50699999999999</v>
      </c>
      <c r="BX630" s="859">
        <f t="shared" si="1564"/>
        <v>-109.50699999999999</v>
      </c>
      <c r="BY630" s="859">
        <f t="shared" si="1564"/>
        <v>-191.923</v>
      </c>
      <c r="BZ630" s="859">
        <f t="shared" si="1564"/>
        <v>-117.143</v>
      </c>
      <c r="CA630" s="859">
        <f t="shared" si="1564"/>
        <v>-117.143</v>
      </c>
      <c r="CB630" s="859">
        <f t="shared" si="1564"/>
        <v>-161.858</v>
      </c>
      <c r="CC630" s="859">
        <f t="shared" si="1564"/>
        <v>-139.33700000000002</v>
      </c>
      <c r="CD630" s="859">
        <f t="shared" si="1564"/>
        <v>-139.33700000000002</v>
      </c>
      <c r="CE630" s="859">
        <f t="shared" si="1564"/>
        <v>-171.63900000000001</v>
      </c>
      <c r="CF630" s="859">
        <f t="shared" si="1564"/>
        <v>-163.46</v>
      </c>
      <c r="CG630" s="859">
        <f t="shared" si="1564"/>
        <v>-163.46</v>
      </c>
      <c r="CH630" s="859">
        <f t="shared" si="1564"/>
        <v>-177.56899999999999</v>
      </c>
      <c r="CI630" s="859">
        <f t="shared" si="1564"/>
        <v>-216.19899999999998</v>
      </c>
      <c r="CJ630" s="859">
        <f t="shared" si="1564"/>
        <v>-216.19899999999998</v>
      </c>
      <c r="CK630" s="859">
        <f t="shared" si="1564"/>
        <v>-172.09300000000002</v>
      </c>
      <c r="CL630" s="859">
        <f t="shared" si="1564"/>
        <v>-188.52099999999999</v>
      </c>
      <c r="CM630" s="859">
        <f t="shared" si="1564"/>
        <v>-188.52099999999999</v>
      </c>
      <c r="CN630" s="859">
        <f t="shared" si="1564"/>
        <v>-192.06700000000001</v>
      </c>
      <c r="CO630" s="859">
        <f t="shared" si="1564"/>
        <v>-166.43700000000001</v>
      </c>
      <c r="CP630" s="859">
        <f t="shared" si="1564"/>
        <v>-166.43700000000001</v>
      </c>
      <c r="CQ630" s="859">
        <f t="shared" si="1564"/>
        <v>-206.178</v>
      </c>
      <c r="CR630" s="859">
        <f t="shared" si="1564"/>
        <v>-235.125</v>
      </c>
      <c r="CS630" s="859">
        <f t="shared" si="1564"/>
        <v>-235.125</v>
      </c>
      <c r="CT630" s="859">
        <f t="shared" si="1564"/>
        <v>-231.53299999999996</v>
      </c>
      <c r="CU630" s="859">
        <f t="shared" si="1564"/>
        <v>-247.12199999999996</v>
      </c>
      <c r="CV630" s="859">
        <f t="shared" si="1564"/>
        <v>-247.12199999999996</v>
      </c>
      <c r="CW630" s="859">
        <f t="shared" si="1564"/>
        <v>-246.89800000000002</v>
      </c>
      <c r="CX630" s="859">
        <f t="shared" si="1564"/>
        <v>-261.928</v>
      </c>
      <c r="CY630" s="859">
        <f t="shared" si="1564"/>
        <v>-261.928</v>
      </c>
      <c r="CZ630" s="859">
        <f t="shared" si="1564"/>
        <v>-252.70000000000002</v>
      </c>
      <c r="DA630" s="859">
        <f t="shared" si="1564"/>
        <v>-284</v>
      </c>
      <c r="DB630" s="859">
        <f t="shared" si="1564"/>
        <v>-284</v>
      </c>
      <c r="DC630" s="859">
        <f t="shared" si="1564"/>
        <v>-324.09999999999997</v>
      </c>
      <c r="DD630" s="859">
        <f t="shared" si="1564"/>
        <v>-356.20000000000005</v>
      </c>
      <c r="DE630" s="859">
        <f t="shared" si="1564"/>
        <v>-356.20000000000005</v>
      </c>
      <c r="DF630" s="859">
        <f t="shared" si="1564"/>
        <v>-346.40000000000003</v>
      </c>
      <c r="DG630" s="859">
        <f t="shared" si="1564"/>
        <v>-424.40000000000003</v>
      </c>
      <c r="DH630" s="1344">
        <f t="shared" si="1564"/>
        <v>-424.40000000000003</v>
      </c>
      <c r="DI630" s="859">
        <f t="shared" si="1564"/>
        <v>-339.79999999999995</v>
      </c>
      <c r="DJ630" s="859">
        <f t="shared" si="1564"/>
        <v>-402.5</v>
      </c>
      <c r="DK630" s="1344">
        <f t="shared" si="1564"/>
        <v>-402.5</v>
      </c>
      <c r="DL630" s="859">
        <f t="shared" si="1564"/>
        <v>-375.20000000000005</v>
      </c>
      <c r="DM630" s="859">
        <f t="shared" si="1564"/>
        <v>-485</v>
      </c>
      <c r="DN630" s="1344">
        <f t="shared" si="1564"/>
        <v>-485</v>
      </c>
      <c r="DO630" s="859">
        <f t="shared" si="1564"/>
        <v>-464.2</v>
      </c>
      <c r="DP630" s="859">
        <f t="shared" si="1564"/>
        <v>-578.00000000000011</v>
      </c>
      <c r="DQ630" s="1344">
        <f t="shared" si="1564"/>
        <v>-578.00000000000011</v>
      </c>
      <c r="DR630" s="859">
        <f t="shared" ref="DR630:DW630" si="1565">-(DR287-DR269)</f>
        <v>-517.4</v>
      </c>
      <c r="DS630" s="859">
        <f t="shared" si="1565"/>
        <v>-631.50000000000011</v>
      </c>
      <c r="DT630" s="1344">
        <f t="shared" si="1565"/>
        <v>-631.50000000000011</v>
      </c>
      <c r="DU630" s="859">
        <f t="shared" si="1565"/>
        <v>-626.1</v>
      </c>
      <c r="DV630" s="859">
        <f t="shared" si="1565"/>
        <v>-602.30000000000007</v>
      </c>
      <c r="DW630" s="1344">
        <f t="shared" si="1565"/>
        <v>-602.30000000000007</v>
      </c>
      <c r="DX630" s="859">
        <f t="shared" ref="DX630:EC630" si="1566">-(DX287-DX269)</f>
        <v>-558.90000000000009</v>
      </c>
      <c r="DY630" s="859">
        <f t="shared" si="1566"/>
        <v>-578.74838930010458</v>
      </c>
      <c r="DZ630" s="1344">
        <f t="shared" si="1566"/>
        <v>-578.74838930010458</v>
      </c>
      <c r="EA630" s="859">
        <f t="shared" si="1566"/>
        <v>-611.69449825672871</v>
      </c>
      <c r="EB630" s="859">
        <f t="shared" si="1566"/>
        <v>-616.84112522006581</v>
      </c>
      <c r="EC630" s="1344">
        <f t="shared" si="1566"/>
        <v>-616.84112522006581</v>
      </c>
      <c r="ED630" s="859">
        <f t="shared" ref="ED630:EL630" si="1567">-(ED287-ED269)</f>
        <v>-639.7089360887361</v>
      </c>
      <c r="EE630" s="859">
        <f t="shared" si="1567"/>
        <v>-645.30946187855204</v>
      </c>
      <c r="EF630" s="1344">
        <f t="shared" si="1567"/>
        <v>-645.30946187855204</v>
      </c>
      <c r="EG630" s="859">
        <f t="shared" si="1567"/>
        <v>-672.29874033672229</v>
      </c>
      <c r="EH630" s="859">
        <f t="shared" si="1567"/>
        <v>-678.40331344762171</v>
      </c>
      <c r="EI630" s="1344">
        <f t="shared" si="1567"/>
        <v>-678.40331344762171</v>
      </c>
      <c r="EJ630" s="859">
        <f t="shared" si="1567"/>
        <v>-707.82162696702733</v>
      </c>
      <c r="EK630" s="859">
        <f t="shared" si="1567"/>
        <v>-714.47561165790773</v>
      </c>
      <c r="EL630" s="1344">
        <f t="shared" si="1567"/>
        <v>-714.47561165790773</v>
      </c>
      <c r="EM630" s="859">
        <f t="shared" ref="EM630:ER630" si="1568">-(EM287-EM269)</f>
        <v>-746.54157339405981</v>
      </c>
      <c r="EN630" s="859">
        <f t="shared" si="1568"/>
        <v>-753.79441670711947</v>
      </c>
      <c r="EO630" s="1344">
        <f t="shared" si="1568"/>
        <v>-753.79441670711947</v>
      </c>
      <c r="EP630" s="859">
        <f t="shared" si="1568"/>
        <v>-788.74631499952523</v>
      </c>
      <c r="EQ630" s="859">
        <f t="shared" si="1568"/>
        <v>-796.65191421076031</v>
      </c>
      <c r="ER630" s="1344">
        <f t="shared" si="1568"/>
        <v>-796.65191421076031</v>
      </c>
      <c r="ES630" s="859">
        <f t="shared" ref="ES630:EX630" si="1569">-(ES287-ES269)</f>
        <v>-834.7494833494826</v>
      </c>
      <c r="ET630" s="859">
        <f t="shared" si="1569"/>
        <v>-843.36658648972877</v>
      </c>
      <c r="EU630" s="1344">
        <f t="shared" si="1569"/>
        <v>-843.36658648972877</v>
      </c>
      <c r="EV630" s="859">
        <f t="shared" si="1569"/>
        <v>-884.89293685093617</v>
      </c>
      <c r="EW630" s="859">
        <f t="shared" si="1569"/>
        <v>-894.28557927380439</v>
      </c>
      <c r="EX630" s="1344">
        <f t="shared" si="1569"/>
        <v>-894.28557927380439</v>
      </c>
      <c r="EY630" s="859">
        <f t="shared" ref="EY630:FA630" si="1570">-(EY287-EY269)</f>
        <v>-939.54930116752041</v>
      </c>
      <c r="EZ630" s="859">
        <f t="shared" si="1570"/>
        <v>-949.7872814084468</v>
      </c>
      <c r="FA630" s="1344">
        <f t="shared" si="1570"/>
        <v>-949.7872814084468</v>
      </c>
      <c r="FE630"/>
      <c r="FF630"/>
      <c r="FG630"/>
      <c r="FH630"/>
      <c r="FI630"/>
      <c r="FJ630"/>
      <c r="FK630" s="35"/>
    </row>
    <row r="631" spans="1:167" s="236" customFormat="1" ht="13.35" customHeight="1">
      <c r="A631" s="289"/>
      <c r="B631" s="289" t="s">
        <v>370</v>
      </c>
      <c r="C631" s="806"/>
      <c r="D631" s="289"/>
      <c r="E631" s="820"/>
      <c r="F631" s="820"/>
      <c r="G631" s="821"/>
      <c r="H631" s="820"/>
      <c r="I631" s="820"/>
      <c r="J631" s="821"/>
      <c r="K631" s="820"/>
      <c r="L631" s="820"/>
      <c r="M631" s="821"/>
      <c r="N631" s="820"/>
      <c r="O631" s="820"/>
      <c r="P631" s="821"/>
      <c r="Q631" s="809"/>
      <c r="R631" s="809"/>
      <c r="S631" s="810"/>
      <c r="T631" s="809"/>
      <c r="U631" s="809"/>
      <c r="V631" s="808"/>
      <c r="W631" s="807"/>
      <c r="X631" s="807"/>
      <c r="Y631" s="808"/>
      <c r="Z631" s="807"/>
      <c r="AA631" s="807"/>
      <c r="AB631" s="808"/>
      <c r="AC631" s="807"/>
      <c r="AD631" s="807"/>
      <c r="AE631" s="808"/>
      <c r="AF631" s="807"/>
      <c r="AG631" s="807"/>
      <c r="AH631" s="808"/>
      <c r="AI631" s="807"/>
      <c r="AJ631" s="807"/>
      <c r="AK631" s="808"/>
      <c r="AL631" s="807"/>
      <c r="AM631" s="807"/>
      <c r="AN631" s="859"/>
      <c r="AO631" s="859"/>
      <c r="AP631" s="859"/>
      <c r="AQ631" s="859"/>
      <c r="AR631" s="859"/>
      <c r="AS631" s="859"/>
      <c r="AT631" s="859"/>
      <c r="AU631" s="859"/>
      <c r="AV631" s="859"/>
      <c r="AW631" s="859"/>
      <c r="AX631" s="859"/>
      <c r="AY631" s="859"/>
      <c r="AZ631" s="859"/>
      <c r="BA631" s="859"/>
      <c r="BB631" s="859"/>
      <c r="BC631" s="859"/>
      <c r="BD631" s="859"/>
      <c r="BE631" s="859"/>
      <c r="BF631" s="859"/>
      <c r="BG631" s="859"/>
      <c r="BH631" s="859"/>
      <c r="BI631" s="859"/>
      <c r="BJ631" s="859">
        <f>SUM(BJ629:BJ630)</f>
        <v>68.214999999999975</v>
      </c>
      <c r="BK631" s="859">
        <f t="shared" ref="BK631:DQ631" si="1571">SUM(BK629:BK630)</f>
        <v>44.027000000000029</v>
      </c>
      <c r="BL631" s="859">
        <f t="shared" si="1571"/>
        <v>44.027000000000029</v>
      </c>
      <c r="BM631" s="859">
        <f t="shared" si="1571"/>
        <v>38.539000000000001</v>
      </c>
      <c r="BN631" s="859">
        <f t="shared" si="1571"/>
        <v>16.145999999999987</v>
      </c>
      <c r="BO631" s="859">
        <f t="shared" si="1571"/>
        <v>16.145999999999987</v>
      </c>
      <c r="BP631" s="859">
        <f t="shared" si="1571"/>
        <v>50.171999999999983</v>
      </c>
      <c r="BQ631" s="859">
        <f t="shared" si="1571"/>
        <v>59.22100000000006</v>
      </c>
      <c r="BR631" s="859">
        <f t="shared" si="1571"/>
        <v>59.22100000000006</v>
      </c>
      <c r="BS631" s="859">
        <f t="shared" si="1571"/>
        <v>109.755</v>
      </c>
      <c r="BT631" s="859">
        <f t="shared" si="1571"/>
        <v>122.14499999999998</v>
      </c>
      <c r="BU631" s="859">
        <f t="shared" si="1571"/>
        <v>122.14499999999998</v>
      </c>
      <c r="BV631" s="859">
        <f t="shared" si="1571"/>
        <v>150.56400000000002</v>
      </c>
      <c r="BW631" s="859">
        <f t="shared" si="1571"/>
        <v>175.90199999999993</v>
      </c>
      <c r="BX631" s="859">
        <f t="shared" si="1571"/>
        <v>175.90199999999993</v>
      </c>
      <c r="BY631" s="859">
        <f t="shared" si="1571"/>
        <v>127.03999999999996</v>
      </c>
      <c r="BZ631" s="859">
        <f t="shared" si="1571"/>
        <v>174.16</v>
      </c>
      <c r="CA631" s="859">
        <f t="shared" si="1571"/>
        <v>174.16</v>
      </c>
      <c r="CB631" s="859">
        <f t="shared" si="1571"/>
        <v>185.12399999999997</v>
      </c>
      <c r="CC631" s="859">
        <f t="shared" si="1571"/>
        <v>191.41699999999989</v>
      </c>
      <c r="CD631" s="859">
        <f t="shared" si="1571"/>
        <v>191.41699999999989</v>
      </c>
      <c r="CE631" s="859">
        <f t="shared" si="1571"/>
        <v>197.67500000000001</v>
      </c>
      <c r="CF631" s="859">
        <f t="shared" si="1571"/>
        <v>194.00100000000006</v>
      </c>
      <c r="CG631" s="859">
        <f t="shared" si="1571"/>
        <v>194.00100000000006</v>
      </c>
      <c r="CH631" s="859">
        <f t="shared" si="1571"/>
        <v>124.89700000000002</v>
      </c>
      <c r="CI631" s="859">
        <f t="shared" si="1571"/>
        <v>89.196000000000055</v>
      </c>
      <c r="CJ631" s="859">
        <f t="shared" si="1571"/>
        <v>89.196000000000055</v>
      </c>
      <c r="CK631" s="859">
        <f t="shared" si="1571"/>
        <v>158.38299999999998</v>
      </c>
      <c r="CL631" s="859">
        <f t="shared" si="1571"/>
        <v>164.01200000000003</v>
      </c>
      <c r="CM631" s="859">
        <f t="shared" si="1571"/>
        <v>164.01200000000003</v>
      </c>
      <c r="CN631" s="859">
        <f t="shared" si="1571"/>
        <v>176.56400000000002</v>
      </c>
      <c r="CO631" s="859">
        <f t="shared" si="1571"/>
        <v>198.31499999999994</v>
      </c>
      <c r="CP631" s="859">
        <f t="shared" si="1571"/>
        <v>198.31499999999994</v>
      </c>
      <c r="CQ631" s="859">
        <f t="shared" si="1571"/>
        <v>182.81900000000002</v>
      </c>
      <c r="CR631" s="859">
        <f t="shared" si="1571"/>
        <v>181.69299999999998</v>
      </c>
      <c r="CS631" s="859">
        <f t="shared" si="1571"/>
        <v>181.69299999999998</v>
      </c>
      <c r="CT631" s="859">
        <f t="shared" si="1571"/>
        <v>214.19700000000006</v>
      </c>
      <c r="CU631" s="859">
        <f t="shared" si="1571"/>
        <v>220.48900000000003</v>
      </c>
      <c r="CV631" s="859">
        <f t="shared" si="1571"/>
        <v>220.48900000000003</v>
      </c>
      <c r="CW631" s="859">
        <f t="shared" si="1571"/>
        <v>245.399</v>
      </c>
      <c r="CX631" s="859">
        <f t="shared" si="1571"/>
        <v>234.49200000000002</v>
      </c>
      <c r="CY631" s="859">
        <f t="shared" si="1571"/>
        <v>234.49200000000002</v>
      </c>
      <c r="CZ631" s="859">
        <f t="shared" si="1571"/>
        <v>261.40000000000009</v>
      </c>
      <c r="DA631" s="859">
        <f t="shared" si="1571"/>
        <v>238.70000000000005</v>
      </c>
      <c r="DB631" s="859">
        <f t="shared" si="1571"/>
        <v>238.70000000000005</v>
      </c>
      <c r="DC631" s="859">
        <f t="shared" si="1571"/>
        <v>190.2000000000001</v>
      </c>
      <c r="DD631" s="859">
        <f t="shared" si="1571"/>
        <v>200.19999999999982</v>
      </c>
      <c r="DE631" s="859">
        <f t="shared" si="1571"/>
        <v>200.19999999999982</v>
      </c>
      <c r="DF631" s="859">
        <f t="shared" si="1571"/>
        <v>218.09999999999997</v>
      </c>
      <c r="DG631" s="859">
        <f t="shared" si="1571"/>
        <v>488.09999999999997</v>
      </c>
      <c r="DH631" s="1344">
        <f t="shared" si="1571"/>
        <v>488.09999999999997</v>
      </c>
      <c r="DI631" s="859">
        <f t="shared" si="1571"/>
        <v>256.00000000000023</v>
      </c>
      <c r="DJ631" s="859">
        <f t="shared" si="1571"/>
        <v>217.89999999999998</v>
      </c>
      <c r="DK631" s="1344">
        <f t="shared" si="1571"/>
        <v>217.89999999999998</v>
      </c>
      <c r="DL631" s="859">
        <f t="shared" si="1571"/>
        <v>273.69999999999993</v>
      </c>
      <c r="DM631" s="859">
        <f t="shared" si="1571"/>
        <v>212.70000000000005</v>
      </c>
      <c r="DN631" s="1344">
        <f t="shared" si="1571"/>
        <v>212.70000000000005</v>
      </c>
      <c r="DO631" s="859">
        <f t="shared" si="1571"/>
        <v>304.49999999999983</v>
      </c>
      <c r="DP631" s="859">
        <f t="shared" si="1571"/>
        <v>227.99999999999989</v>
      </c>
      <c r="DQ631" s="1344">
        <f t="shared" si="1571"/>
        <v>227.99999999999989</v>
      </c>
      <c r="DR631" s="859">
        <f t="shared" ref="DR631:DW631" si="1572">SUM(DR629:DR630)</f>
        <v>324.80000000000007</v>
      </c>
      <c r="DS631" s="859">
        <f t="shared" si="1572"/>
        <v>307</v>
      </c>
      <c r="DT631" s="1344">
        <f t="shared" si="1572"/>
        <v>307</v>
      </c>
      <c r="DU631" s="859">
        <f t="shared" si="1572"/>
        <v>401.4</v>
      </c>
      <c r="DV631" s="859">
        <f t="shared" si="1572"/>
        <v>538.79999999999984</v>
      </c>
      <c r="DW631" s="1344">
        <f t="shared" si="1572"/>
        <v>538.79999999999984</v>
      </c>
      <c r="DX631" s="859">
        <f t="shared" ref="DX631:EC631" si="1573">SUM(DX629:DX630)</f>
        <v>626.90000000000009</v>
      </c>
      <c r="DY631" s="859">
        <f t="shared" si="1573"/>
        <v>690.77958641477119</v>
      </c>
      <c r="DZ631" s="1344">
        <f t="shared" si="1573"/>
        <v>690.77958641477119</v>
      </c>
      <c r="EA631" s="859">
        <f t="shared" si="1573"/>
        <v>683.31866201794321</v>
      </c>
      <c r="EB631" s="859">
        <f t="shared" si="1573"/>
        <v>697.04300058684157</v>
      </c>
      <c r="EC631" s="1344">
        <f t="shared" si="1573"/>
        <v>697.04300058684157</v>
      </c>
      <c r="ED631" s="859">
        <f t="shared" ref="ED631:EL631" si="1574">SUM(ED629:ED630)</f>
        <v>727.84808489590171</v>
      </c>
      <c r="EE631" s="859">
        <f t="shared" si="1574"/>
        <v>742.31610985292616</v>
      </c>
      <c r="EF631" s="1344">
        <f t="shared" si="1574"/>
        <v>742.31610985292616</v>
      </c>
      <c r="EG631" s="859">
        <f t="shared" si="1574"/>
        <v>779.14685084180576</v>
      </c>
      <c r="EH631" s="859">
        <f t="shared" si="1574"/>
        <v>794.40828361905437</v>
      </c>
      <c r="EI631" s="1344">
        <f t="shared" si="1574"/>
        <v>794.40828361905437</v>
      </c>
      <c r="EJ631" s="859">
        <f t="shared" si="1574"/>
        <v>832.10226517031617</v>
      </c>
      <c r="EK631" s="859">
        <f t="shared" si="1574"/>
        <v>848.18272817327681</v>
      </c>
      <c r="EL631" s="1344">
        <f t="shared" si="1574"/>
        <v>848.18272817327681</v>
      </c>
      <c r="EM631" s="859">
        <f t="shared" ref="EM631:ER631" si="1575">SUM(EM629:EM630)</f>
        <v>886.59700458613963</v>
      </c>
      <c r="EN631" s="859">
        <f t="shared" si="1575"/>
        <v>903.52030564994527</v>
      </c>
      <c r="EO631" s="1344">
        <f t="shared" si="1575"/>
        <v>903.52030564994527</v>
      </c>
      <c r="EP631" s="859">
        <f t="shared" si="1575"/>
        <v>942.47920874893191</v>
      </c>
      <c r="EQ631" s="859">
        <f t="shared" si="1575"/>
        <v>960.26680697421045</v>
      </c>
      <c r="ER631" s="1344">
        <f t="shared" si="1575"/>
        <v>960.26680697421045</v>
      </c>
      <c r="ES631" s="859">
        <f t="shared" ref="ES631:EX631" si="1576">SUM(ES629:ES630)</f>
        <v>999.55721392387875</v>
      </c>
      <c r="ET631" s="859">
        <f t="shared" si="1576"/>
        <v>1018.2276040610792</v>
      </c>
      <c r="EU631" s="1344">
        <f t="shared" si="1576"/>
        <v>1018.2276040610792</v>
      </c>
      <c r="EV631" s="859">
        <f t="shared" si="1576"/>
        <v>1057.5936184394498</v>
      </c>
      <c r="EW631" s="859">
        <f t="shared" si="1576"/>
        <v>1077.1616234870919</v>
      </c>
      <c r="EX631" s="1344">
        <f t="shared" si="1576"/>
        <v>1077.1616234870919</v>
      </c>
      <c r="EY631" s="859">
        <f t="shared" ref="EY631:FA631" si="1577">SUM(EY629:EY630)</f>
        <v>1116.2986023350404</v>
      </c>
      <c r="EZ631" s="859">
        <f t="shared" si="1577"/>
        <v>1136.7745628168932</v>
      </c>
      <c r="FA631" s="1344">
        <f t="shared" si="1577"/>
        <v>1136.7745628168932</v>
      </c>
      <c r="FE631"/>
      <c r="FF631"/>
      <c r="FG631"/>
      <c r="FH631"/>
      <c r="FI631"/>
      <c r="FJ631"/>
      <c r="FK631" s="35"/>
    </row>
    <row r="632" spans="1:167" s="236" customFormat="1" ht="13.35" customHeight="1">
      <c r="A632" s="289"/>
      <c r="B632" s="289"/>
      <c r="C632" s="806"/>
      <c r="D632" s="289"/>
      <c r="E632" s="820"/>
      <c r="F632" s="820"/>
      <c r="G632" s="821"/>
      <c r="H632" s="820"/>
      <c r="I632" s="820"/>
      <c r="J632" s="821"/>
      <c r="K632" s="820"/>
      <c r="L632" s="820"/>
      <c r="M632" s="821"/>
      <c r="N632" s="820"/>
      <c r="O632" s="820"/>
      <c r="P632" s="821"/>
      <c r="Q632" s="809"/>
      <c r="R632" s="809"/>
      <c r="S632" s="810"/>
      <c r="T632" s="809"/>
      <c r="U632" s="809"/>
      <c r="V632" s="808"/>
      <c r="W632" s="807"/>
      <c r="X632" s="807"/>
      <c r="Y632" s="808"/>
      <c r="Z632" s="807"/>
      <c r="AA632" s="807"/>
      <c r="AB632" s="808"/>
      <c r="AC632" s="807"/>
      <c r="AD632" s="807"/>
      <c r="AE632" s="808"/>
      <c r="AF632" s="807"/>
      <c r="AG632" s="807"/>
      <c r="AH632" s="808"/>
      <c r="AI632" s="807"/>
      <c r="AJ632" s="807"/>
      <c r="AK632" s="808"/>
      <c r="AL632" s="807"/>
      <c r="AM632" s="807"/>
      <c r="AN632" s="859"/>
      <c r="AO632" s="859"/>
      <c r="AP632" s="859"/>
      <c r="AQ632" s="859"/>
      <c r="AR632" s="859"/>
      <c r="AS632" s="859"/>
      <c r="AT632" s="859"/>
      <c r="AU632" s="859"/>
      <c r="AV632" s="859"/>
      <c r="AW632" s="859"/>
      <c r="AX632" s="859"/>
      <c r="AY632" s="859"/>
      <c r="AZ632" s="859"/>
      <c r="BA632" s="859"/>
      <c r="BB632" s="859"/>
      <c r="BC632" s="859"/>
      <c r="BD632" s="859"/>
      <c r="BE632" s="859"/>
      <c r="BF632" s="859"/>
      <c r="BG632" s="859"/>
      <c r="BH632" s="859"/>
      <c r="BI632" s="859"/>
      <c r="BJ632" s="859"/>
      <c r="BK632" s="859"/>
      <c r="BL632" s="859"/>
      <c r="BM632" s="859"/>
      <c r="BN632" s="859"/>
      <c r="BO632" s="859"/>
      <c r="BP632" s="859"/>
      <c r="BQ632" s="859"/>
      <c r="BR632" s="859"/>
      <c r="BS632" s="859"/>
      <c r="BT632" s="859"/>
      <c r="BU632" s="859"/>
      <c r="BV632" s="859"/>
      <c r="BW632" s="859"/>
      <c r="BX632" s="859"/>
      <c r="BY632" s="859"/>
      <c r="BZ632" s="859"/>
      <c r="CA632" s="859"/>
      <c r="CB632" s="859"/>
      <c r="CC632" s="859"/>
      <c r="CD632" s="859"/>
      <c r="CE632" s="859"/>
      <c r="CF632" s="859"/>
      <c r="CG632" s="859"/>
      <c r="CH632" s="859"/>
      <c r="CI632" s="859"/>
      <c r="CJ632" s="859"/>
      <c r="CK632" s="859"/>
      <c r="CL632" s="859"/>
      <c r="CM632" s="859"/>
      <c r="CN632" s="859"/>
      <c r="CO632" s="859"/>
      <c r="CP632" s="859"/>
      <c r="CQ632" s="859"/>
      <c r="CR632" s="859"/>
      <c r="CS632" s="859"/>
      <c r="CT632" s="859"/>
      <c r="CU632" s="859"/>
      <c r="CV632" s="859"/>
      <c r="CW632" s="859"/>
      <c r="CX632" s="859"/>
      <c r="CY632" s="859"/>
      <c r="CZ632" s="859"/>
      <c r="DA632" s="859"/>
      <c r="DB632" s="859"/>
      <c r="DC632" s="859"/>
      <c r="DD632" s="859"/>
      <c r="DE632" s="859"/>
      <c r="DF632" s="859"/>
      <c r="DG632" s="859"/>
      <c r="DH632" s="1344"/>
      <c r="DI632" s="859"/>
      <c r="DJ632" s="859"/>
      <c r="DK632" s="1344"/>
      <c r="DL632" s="859"/>
      <c r="DM632" s="859"/>
      <c r="DN632" s="1344"/>
      <c r="DO632" s="859"/>
      <c r="DP632" s="859"/>
      <c r="DQ632" s="1344"/>
      <c r="DR632" s="859"/>
      <c r="DS632" s="859"/>
      <c r="DT632" s="1344"/>
      <c r="DU632" s="859"/>
      <c r="DV632" s="859"/>
      <c r="DW632" s="1344"/>
      <c r="DX632" s="859"/>
      <c r="DY632" s="859"/>
      <c r="DZ632" s="1344"/>
      <c r="EA632" s="859"/>
      <c r="EB632" s="859"/>
      <c r="EC632" s="1344"/>
      <c r="ED632" s="859"/>
      <c r="EE632" s="859"/>
      <c r="EF632" s="1344"/>
      <c r="EG632" s="859"/>
      <c r="EH632" s="859"/>
      <c r="EI632" s="1344"/>
      <c r="EJ632" s="859"/>
      <c r="EK632" s="859"/>
      <c r="EL632" s="1344"/>
      <c r="EM632" s="859"/>
      <c r="EN632" s="859"/>
      <c r="EO632" s="1344"/>
      <c r="EP632" s="859"/>
      <c r="EQ632" s="859"/>
      <c r="ER632" s="1344"/>
      <c r="ES632" s="859"/>
      <c r="ET632" s="859"/>
      <c r="EU632" s="1344"/>
      <c r="EV632" s="859"/>
      <c r="EW632" s="859"/>
      <c r="EX632" s="1344"/>
      <c r="EY632" s="859"/>
      <c r="EZ632" s="859"/>
      <c r="FA632" s="1344"/>
      <c r="FE632"/>
      <c r="FF632"/>
      <c r="FG632"/>
      <c r="FH632"/>
      <c r="FI632"/>
      <c r="FJ632"/>
      <c r="FK632" s="35"/>
    </row>
    <row r="633" spans="1:167" s="236" customFormat="1" ht="13.35" customHeight="1">
      <c r="A633" s="289"/>
      <c r="B633" s="289" t="s">
        <v>371</v>
      </c>
      <c r="C633" s="806"/>
      <c r="D633" s="289"/>
      <c r="E633" s="820"/>
      <c r="F633" s="820"/>
      <c r="G633" s="821"/>
      <c r="H633" s="820"/>
      <c r="I633" s="820"/>
      <c r="J633" s="821"/>
      <c r="K633" s="820"/>
      <c r="L633" s="820"/>
      <c r="M633" s="821"/>
      <c r="N633" s="820"/>
      <c r="O633" s="820"/>
      <c r="P633" s="821"/>
      <c r="Q633" s="809"/>
      <c r="R633" s="809"/>
      <c r="S633" s="810"/>
      <c r="T633" s="809"/>
      <c r="U633" s="809"/>
      <c r="V633" s="808"/>
      <c r="W633" s="807"/>
      <c r="X633" s="807"/>
      <c r="Y633" s="808"/>
      <c r="Z633" s="807"/>
      <c r="AA633" s="807"/>
      <c r="AB633" s="808"/>
      <c r="AC633" s="807"/>
      <c r="AD633" s="807"/>
      <c r="AE633" s="808"/>
      <c r="AF633" s="807"/>
      <c r="AG633" s="807"/>
      <c r="AH633" s="808"/>
      <c r="AI633" s="807"/>
      <c r="AJ633" s="807"/>
      <c r="AK633" s="808"/>
      <c r="AL633" s="807"/>
      <c r="AM633" s="807"/>
      <c r="AN633" s="859"/>
      <c r="AO633" s="859"/>
      <c r="AP633" s="859"/>
      <c r="AQ633" s="859"/>
      <c r="AR633" s="859"/>
      <c r="AS633" s="859"/>
      <c r="AT633" s="859"/>
      <c r="AU633" s="859"/>
      <c r="AV633" s="859"/>
      <c r="AW633" s="859"/>
      <c r="AX633" s="859"/>
      <c r="AY633" s="859"/>
      <c r="AZ633" s="859"/>
      <c r="BA633" s="859"/>
      <c r="BB633" s="859"/>
      <c r="BC633" s="859"/>
      <c r="BD633" s="859"/>
      <c r="BE633" s="859"/>
      <c r="BF633" s="859"/>
      <c r="BG633" s="859"/>
      <c r="BH633" s="859"/>
      <c r="BI633" s="859"/>
      <c r="BJ633" s="859">
        <f>BJ247</f>
        <v>30.905000000000001</v>
      </c>
      <c r="BK633" s="859">
        <f t="shared" ref="BK633:DQ633" si="1578">BK247</f>
        <v>29.523</v>
      </c>
      <c r="BL633" s="859">
        <f t="shared" si="1578"/>
        <v>29.523</v>
      </c>
      <c r="BM633" s="859">
        <f t="shared" si="1578"/>
        <v>27.792999999999999</v>
      </c>
      <c r="BN633" s="859">
        <f t="shared" si="1578"/>
        <v>24.623999999999999</v>
      </c>
      <c r="BO633" s="859">
        <f t="shared" si="1578"/>
        <v>24.623999999999999</v>
      </c>
      <c r="BP633" s="859">
        <f t="shared" si="1578"/>
        <v>25.187999999999999</v>
      </c>
      <c r="BQ633" s="859">
        <f t="shared" si="1578"/>
        <v>30.832999999999998</v>
      </c>
      <c r="BR633" s="859">
        <f t="shared" si="1578"/>
        <v>30.832999999999998</v>
      </c>
      <c r="BS633" s="859">
        <f t="shared" si="1578"/>
        <v>35.052</v>
      </c>
      <c r="BT633" s="859">
        <f t="shared" si="1578"/>
        <v>40.564999999999998</v>
      </c>
      <c r="BU633" s="859">
        <f t="shared" si="1578"/>
        <v>40.564999999999998</v>
      </c>
      <c r="BV633" s="859">
        <f t="shared" si="1578"/>
        <v>41.218000000000004</v>
      </c>
      <c r="BW633" s="859">
        <f t="shared" si="1578"/>
        <v>43.219000000000001</v>
      </c>
      <c r="BX633" s="859">
        <f t="shared" si="1578"/>
        <v>43.219000000000001</v>
      </c>
      <c r="BY633" s="859">
        <f t="shared" si="1578"/>
        <v>46.058999999999997</v>
      </c>
      <c r="BZ633" s="859">
        <f t="shared" si="1578"/>
        <v>46.793999999999997</v>
      </c>
      <c r="CA633" s="859">
        <f t="shared" si="1578"/>
        <v>46.793999999999997</v>
      </c>
      <c r="CB633" s="859">
        <f t="shared" si="1578"/>
        <v>44.802999999999997</v>
      </c>
      <c r="CC633" s="859">
        <f t="shared" si="1578"/>
        <v>49.597000000000001</v>
      </c>
      <c r="CD633" s="859">
        <f t="shared" si="1578"/>
        <v>49.597000000000001</v>
      </c>
      <c r="CE633" s="859">
        <f t="shared" si="1578"/>
        <v>60.308</v>
      </c>
      <c r="CF633" s="859">
        <f t="shared" si="1578"/>
        <v>69.356999999999999</v>
      </c>
      <c r="CG633" s="859">
        <f t="shared" si="1578"/>
        <v>69.356999999999999</v>
      </c>
      <c r="CH633" s="859">
        <f t="shared" si="1578"/>
        <v>56.448</v>
      </c>
      <c r="CI633" s="859">
        <f t="shared" si="1578"/>
        <v>59.610999999999997</v>
      </c>
      <c r="CJ633" s="859">
        <f t="shared" si="1578"/>
        <v>59.610999999999997</v>
      </c>
      <c r="CK633" s="859">
        <f t="shared" si="1578"/>
        <v>62.262</v>
      </c>
      <c r="CL633" s="859">
        <f t="shared" si="1578"/>
        <v>65.897999999999996</v>
      </c>
      <c r="CM633" s="859">
        <f t="shared" si="1578"/>
        <v>65.897999999999996</v>
      </c>
      <c r="CN633" s="859">
        <f t="shared" si="1578"/>
        <v>67.864000000000004</v>
      </c>
      <c r="CO633" s="859">
        <f t="shared" si="1578"/>
        <v>75.775999999999996</v>
      </c>
      <c r="CP633" s="859">
        <f t="shared" si="1578"/>
        <v>75.775999999999996</v>
      </c>
      <c r="CQ633" s="859">
        <f t="shared" si="1578"/>
        <v>75.122</v>
      </c>
      <c r="CR633" s="859">
        <f t="shared" si="1578"/>
        <v>80.808999999999997</v>
      </c>
      <c r="CS633" s="859">
        <f t="shared" si="1578"/>
        <v>80.808999999999997</v>
      </c>
      <c r="CT633" s="859">
        <f t="shared" si="1578"/>
        <v>80.533000000000001</v>
      </c>
      <c r="CU633" s="859">
        <f t="shared" si="1578"/>
        <v>86.878</v>
      </c>
      <c r="CV633" s="859">
        <f t="shared" si="1578"/>
        <v>86.878</v>
      </c>
      <c r="CW633" s="859">
        <f t="shared" si="1578"/>
        <v>91.82</v>
      </c>
      <c r="CX633" s="859">
        <f t="shared" si="1578"/>
        <v>120.107</v>
      </c>
      <c r="CY633" s="859">
        <f t="shared" si="1578"/>
        <v>120.107</v>
      </c>
      <c r="CZ633" s="859">
        <f t="shared" si="1578"/>
        <v>121</v>
      </c>
      <c r="DA633" s="859">
        <f t="shared" si="1578"/>
        <v>128.4</v>
      </c>
      <c r="DB633" s="859">
        <f t="shared" si="1578"/>
        <v>128.4</v>
      </c>
      <c r="DC633" s="859">
        <f t="shared" si="1578"/>
        <v>140.9</v>
      </c>
      <c r="DD633" s="859">
        <f t="shared" si="1578"/>
        <v>166.5</v>
      </c>
      <c r="DE633" s="859">
        <f t="shared" si="1578"/>
        <v>166.5</v>
      </c>
      <c r="DF633" s="859">
        <f t="shared" si="1578"/>
        <v>190.9</v>
      </c>
      <c r="DG633" s="859">
        <f t="shared" si="1578"/>
        <v>230.5</v>
      </c>
      <c r="DH633" s="1344">
        <f t="shared" si="1578"/>
        <v>230.5</v>
      </c>
      <c r="DI633" s="859">
        <f t="shared" si="1578"/>
        <v>228.6</v>
      </c>
      <c r="DJ633" s="859">
        <f t="shared" si="1578"/>
        <v>239.5</v>
      </c>
      <c r="DK633" s="1344">
        <f t="shared" si="1578"/>
        <v>239.5</v>
      </c>
      <c r="DL633" s="859">
        <f t="shared" si="1578"/>
        <v>248</v>
      </c>
      <c r="DM633" s="859">
        <f t="shared" si="1578"/>
        <v>260.2</v>
      </c>
      <c r="DN633" s="1344">
        <f t="shared" si="1578"/>
        <v>260.2</v>
      </c>
      <c r="DO633" s="859">
        <f t="shared" si="1578"/>
        <v>263</v>
      </c>
      <c r="DP633" s="859">
        <f t="shared" si="1578"/>
        <v>276.7</v>
      </c>
      <c r="DQ633" s="1344">
        <f t="shared" si="1578"/>
        <v>276.7</v>
      </c>
      <c r="DR633" s="859">
        <f t="shared" ref="DR633:DW633" si="1579">DR247</f>
        <v>279.7</v>
      </c>
      <c r="DS633" s="859">
        <f t="shared" si="1579"/>
        <v>304.8</v>
      </c>
      <c r="DT633" s="1344">
        <f t="shared" si="1579"/>
        <v>304.8</v>
      </c>
      <c r="DU633" s="859">
        <f t="shared" si="1579"/>
        <v>323.39999999999998</v>
      </c>
      <c r="DV633" s="859">
        <f t="shared" si="1579"/>
        <v>332.7</v>
      </c>
      <c r="DW633" s="1344">
        <f t="shared" si="1579"/>
        <v>332.7</v>
      </c>
      <c r="DX633" s="859">
        <f t="shared" ref="DX633:EC633" si="1580">DX247</f>
        <v>337.3</v>
      </c>
      <c r="DY633" s="859">
        <f t="shared" si="1580"/>
        <v>364.43169725880045</v>
      </c>
      <c r="DZ633" s="1344">
        <f t="shared" si="1580"/>
        <v>364.43169725880045</v>
      </c>
      <c r="EA633" s="859">
        <f t="shared" si="1580"/>
        <v>382.82330551901498</v>
      </c>
      <c r="EB633" s="859">
        <f t="shared" si="1580"/>
        <v>401.78154835396828</v>
      </c>
      <c r="EC633" s="1344">
        <f t="shared" si="1580"/>
        <v>401.78154835396828</v>
      </c>
      <c r="ED633" s="859">
        <f t="shared" ref="ED633:EL633" si="1581">ED247</f>
        <v>428.185324943772</v>
      </c>
      <c r="EE633" s="859">
        <f t="shared" si="1581"/>
        <v>455.40584487792381</v>
      </c>
      <c r="EF633" s="1344">
        <f t="shared" si="1581"/>
        <v>455.40584487792381</v>
      </c>
      <c r="EG633" s="859">
        <f t="shared" si="1581"/>
        <v>484.18596136080981</v>
      </c>
      <c r="EH633" s="859">
        <f t="shared" si="1581"/>
        <v>513.85632808903529</v>
      </c>
      <c r="EI633" s="1344">
        <f t="shared" si="1581"/>
        <v>513.85632808903529</v>
      </c>
      <c r="EJ633" s="859">
        <f t="shared" si="1581"/>
        <v>545.226655055381</v>
      </c>
      <c r="EK633" s="859">
        <f t="shared" si="1581"/>
        <v>577.56735478914675</v>
      </c>
      <c r="EL633" s="1344">
        <f t="shared" si="1581"/>
        <v>577.56735478914675</v>
      </c>
      <c r="EM633" s="859">
        <f t="shared" ref="EM633:ER633" si="1582">EM247</f>
        <v>611.76101118246368</v>
      </c>
      <c r="EN633" s="859">
        <f t="shared" si="1582"/>
        <v>647.01237389226833</v>
      </c>
      <c r="EO633" s="1344">
        <f t="shared" si="1582"/>
        <v>647.01237389226833</v>
      </c>
      <c r="EP633" s="859">
        <f t="shared" si="1582"/>
        <v>684.28345936098367</v>
      </c>
      <c r="EQ633" s="859">
        <f t="shared" si="1582"/>
        <v>722.70744471467083</v>
      </c>
      <c r="ER633" s="1344">
        <f t="shared" si="1582"/>
        <v>722.70744471467083</v>
      </c>
      <c r="ES633" s="859">
        <f t="shared" ref="ES633:EX633" si="1583">ES247</f>
        <v>763.33292787557059</v>
      </c>
      <c r="ET633" s="859">
        <f t="shared" si="1583"/>
        <v>805.21507191108958</v>
      </c>
      <c r="EU633" s="1344">
        <f t="shared" si="1583"/>
        <v>805.21507191108958</v>
      </c>
      <c r="EV633" s="859">
        <f t="shared" si="1583"/>
        <v>849.49684855647024</v>
      </c>
      <c r="EW633" s="859">
        <f t="shared" si="1583"/>
        <v>895.148385555186</v>
      </c>
      <c r="EX633" s="1344">
        <f t="shared" si="1583"/>
        <v>895.148385555186</v>
      </c>
      <c r="EY633" s="859">
        <f t="shared" ref="EY633:FA633" si="1584">EY247</f>
        <v>943.41552209865108</v>
      </c>
      <c r="EZ633" s="859">
        <f t="shared" si="1584"/>
        <v>993.17569742725118</v>
      </c>
      <c r="FA633" s="1344">
        <f t="shared" si="1584"/>
        <v>993.17569742725118</v>
      </c>
      <c r="FE633"/>
      <c r="FF633"/>
      <c r="FG633"/>
      <c r="FH633"/>
      <c r="FI633"/>
      <c r="FJ633"/>
      <c r="FK633" s="35"/>
    </row>
    <row r="634" spans="1:167" s="236" customFormat="1" ht="13.35" customHeight="1">
      <c r="A634" s="289"/>
      <c r="B634" s="289" t="s">
        <v>372</v>
      </c>
      <c r="C634" s="806"/>
      <c r="D634" s="289"/>
      <c r="E634" s="820"/>
      <c r="F634" s="820"/>
      <c r="G634" s="821"/>
      <c r="H634" s="820"/>
      <c r="I634" s="820"/>
      <c r="J634" s="821"/>
      <c r="K634" s="820"/>
      <c r="L634" s="820"/>
      <c r="M634" s="821"/>
      <c r="N634" s="820"/>
      <c r="O634" s="820"/>
      <c r="P634" s="821"/>
      <c r="Q634" s="809"/>
      <c r="R634" s="809"/>
      <c r="S634" s="810"/>
      <c r="T634" s="809"/>
      <c r="U634" s="809"/>
      <c r="V634" s="808"/>
      <c r="W634" s="807"/>
      <c r="X634" s="807"/>
      <c r="Y634" s="808"/>
      <c r="Z634" s="807"/>
      <c r="AA634" s="807"/>
      <c r="AB634" s="808"/>
      <c r="AC634" s="807"/>
      <c r="AD634" s="807"/>
      <c r="AE634" s="808"/>
      <c r="AF634" s="807"/>
      <c r="AG634" s="807"/>
      <c r="AH634" s="808"/>
      <c r="AI634" s="807"/>
      <c r="AJ634" s="807"/>
      <c r="AK634" s="808"/>
      <c r="AL634" s="807"/>
      <c r="AM634" s="807"/>
      <c r="AN634" s="859"/>
      <c r="AO634" s="859"/>
      <c r="AP634" s="859"/>
      <c r="AQ634" s="859"/>
      <c r="AR634" s="859"/>
      <c r="AS634" s="859"/>
      <c r="AT634" s="859"/>
      <c r="AU634" s="859"/>
      <c r="AV634" s="859"/>
      <c r="AW634" s="859"/>
      <c r="AX634" s="859"/>
      <c r="AY634" s="859"/>
      <c r="AZ634" s="859"/>
      <c r="BA634" s="859"/>
      <c r="BB634" s="859"/>
      <c r="BC634" s="859"/>
      <c r="BD634" s="859"/>
      <c r="BE634" s="859"/>
      <c r="BF634" s="859"/>
      <c r="BG634" s="859"/>
      <c r="BH634" s="859"/>
      <c r="BI634" s="859"/>
      <c r="BJ634" s="859">
        <f>(BJ264-BJ253-BJ247-BJ244)-(BJ305-BJ290-BJ287)</f>
        <v>16.486999999999995</v>
      </c>
      <c r="BK634" s="859">
        <f t="shared" ref="BK634:DQ634" si="1585">(BK264-BK253-BK247-BK244)-(BK305-BK290-BK287)</f>
        <v>21.899999999999977</v>
      </c>
      <c r="BL634" s="859">
        <f t="shared" si="1585"/>
        <v>21.899999999999977</v>
      </c>
      <c r="BM634" s="859">
        <f t="shared" si="1585"/>
        <v>17.862000000000009</v>
      </c>
      <c r="BN634" s="859">
        <f t="shared" si="1585"/>
        <v>16.543000000000035</v>
      </c>
      <c r="BO634" s="859">
        <f t="shared" si="1585"/>
        <v>16.543000000000035</v>
      </c>
      <c r="BP634" s="859">
        <f t="shared" si="1585"/>
        <v>26.693000000000012</v>
      </c>
      <c r="BQ634" s="859">
        <f t="shared" si="1585"/>
        <v>23.452999999999946</v>
      </c>
      <c r="BR634" s="859">
        <f t="shared" si="1585"/>
        <v>23.452999999999946</v>
      </c>
      <c r="BS634" s="859">
        <f t="shared" si="1585"/>
        <v>22.845999999999918</v>
      </c>
      <c r="BT634" s="859">
        <f t="shared" si="1585"/>
        <v>17.338000000000079</v>
      </c>
      <c r="BU634" s="859">
        <f t="shared" si="1585"/>
        <v>17.338000000000079</v>
      </c>
      <c r="BV634" s="859">
        <f t="shared" si="1585"/>
        <v>22.019000000000005</v>
      </c>
      <c r="BW634" s="859">
        <f t="shared" si="1585"/>
        <v>51.114999999999981</v>
      </c>
      <c r="BX634" s="859">
        <f t="shared" si="1585"/>
        <v>51.114999999999981</v>
      </c>
      <c r="BY634" s="859">
        <f t="shared" si="1585"/>
        <v>20.701999999999998</v>
      </c>
      <c r="BZ634" s="859">
        <f t="shared" si="1585"/>
        <v>78.248000000000047</v>
      </c>
      <c r="CA634" s="859">
        <f t="shared" si="1585"/>
        <v>78.248000000000047</v>
      </c>
      <c r="CB634" s="859">
        <f t="shared" si="1585"/>
        <v>75.038999999999987</v>
      </c>
      <c r="CC634" s="859">
        <f t="shared" si="1585"/>
        <v>77.027999999999935</v>
      </c>
      <c r="CD634" s="859">
        <f t="shared" si="1585"/>
        <v>77.027999999999935</v>
      </c>
      <c r="CE634" s="859">
        <f t="shared" si="1585"/>
        <v>92.247000000000099</v>
      </c>
      <c r="CF634" s="859">
        <f t="shared" si="1585"/>
        <v>21.992000000000019</v>
      </c>
      <c r="CG634" s="859">
        <f t="shared" si="1585"/>
        <v>21.992000000000019</v>
      </c>
      <c r="CH634" s="859">
        <f t="shared" si="1585"/>
        <v>68.623000000000133</v>
      </c>
      <c r="CI634" s="859">
        <f t="shared" si="1585"/>
        <v>26.543999999999869</v>
      </c>
      <c r="CJ634" s="859">
        <f t="shared" si="1585"/>
        <v>26.543999999999869</v>
      </c>
      <c r="CK634" s="859">
        <f t="shared" si="1585"/>
        <v>84.693000000000069</v>
      </c>
      <c r="CL634" s="859">
        <f t="shared" si="1585"/>
        <v>72.023999999999916</v>
      </c>
      <c r="CM634" s="859">
        <f t="shared" si="1585"/>
        <v>72.023999999999916</v>
      </c>
      <c r="CN634" s="859">
        <f t="shared" si="1585"/>
        <v>58.44399999999996</v>
      </c>
      <c r="CO634" s="859">
        <f t="shared" si="1585"/>
        <v>2.287000000000063</v>
      </c>
      <c r="CP634" s="859">
        <f t="shared" si="1585"/>
        <v>2.287000000000063</v>
      </c>
      <c r="CQ634" s="859">
        <f t="shared" si="1585"/>
        <v>3.8080000000001348</v>
      </c>
      <c r="CR634" s="859">
        <f t="shared" si="1585"/>
        <v>4.8560000000001651</v>
      </c>
      <c r="CS634" s="859">
        <f t="shared" si="1585"/>
        <v>4.8560000000001651</v>
      </c>
      <c r="CT634" s="859">
        <f t="shared" si="1585"/>
        <v>18.749000000000024</v>
      </c>
      <c r="CU634" s="859">
        <f t="shared" si="1585"/>
        <v>34.673000000000002</v>
      </c>
      <c r="CV634" s="859">
        <f t="shared" si="1585"/>
        <v>34.673000000000002</v>
      </c>
      <c r="CW634" s="859">
        <f t="shared" si="1585"/>
        <v>31.944999999999993</v>
      </c>
      <c r="CX634" s="859">
        <f t="shared" si="1585"/>
        <v>-21.546000000000049</v>
      </c>
      <c r="CY634" s="859">
        <f t="shared" si="1585"/>
        <v>-21.546000000000049</v>
      </c>
      <c r="CZ634" s="859">
        <f t="shared" si="1585"/>
        <v>-14.39999999999992</v>
      </c>
      <c r="DA634" s="859">
        <f t="shared" si="1585"/>
        <v>329.90000000000003</v>
      </c>
      <c r="DB634" s="859">
        <f t="shared" si="1585"/>
        <v>329.90000000000003</v>
      </c>
      <c r="DC634" s="859">
        <f t="shared" si="1585"/>
        <v>395.09999999999997</v>
      </c>
      <c r="DD634" s="859">
        <f t="shared" si="1585"/>
        <v>462.19999999999993</v>
      </c>
      <c r="DE634" s="859">
        <f t="shared" si="1585"/>
        <v>462.19999999999993</v>
      </c>
      <c r="DF634" s="859">
        <f t="shared" si="1585"/>
        <v>541.29999999999995</v>
      </c>
      <c r="DG634" s="859">
        <f t="shared" si="1585"/>
        <v>590.89999999999964</v>
      </c>
      <c r="DH634" s="1344">
        <f t="shared" si="1585"/>
        <v>590.89999999999964</v>
      </c>
      <c r="DI634" s="859">
        <f t="shared" si="1585"/>
        <v>679.89999999999986</v>
      </c>
      <c r="DJ634" s="859">
        <f t="shared" si="1585"/>
        <v>679.69999999999982</v>
      </c>
      <c r="DK634" s="1344">
        <f t="shared" si="1585"/>
        <v>679.69999999999982</v>
      </c>
      <c r="DL634" s="859">
        <f t="shared" si="1585"/>
        <v>702.5</v>
      </c>
      <c r="DM634" s="859">
        <f t="shared" si="1585"/>
        <v>626.10000000000014</v>
      </c>
      <c r="DN634" s="1344">
        <f t="shared" si="1585"/>
        <v>626.10000000000014</v>
      </c>
      <c r="DO634" s="859">
        <f t="shared" si="1585"/>
        <v>642.39999999999986</v>
      </c>
      <c r="DP634" s="859">
        <f t="shared" si="1585"/>
        <v>688.6</v>
      </c>
      <c r="DQ634" s="1344">
        <f t="shared" si="1585"/>
        <v>688.6</v>
      </c>
      <c r="DR634" s="859">
        <f t="shared" ref="DR634:DW634" si="1586">(DR264-DR253-DR247-DR244)-(DR305-DR290-DR287)</f>
        <v>692.1</v>
      </c>
      <c r="DS634" s="859">
        <f t="shared" si="1586"/>
        <v>715.1</v>
      </c>
      <c r="DT634" s="1344">
        <f t="shared" si="1586"/>
        <v>715.1</v>
      </c>
      <c r="DU634" s="859">
        <f t="shared" si="1586"/>
        <v>759.70000000000016</v>
      </c>
      <c r="DV634" s="859">
        <f t="shared" si="1586"/>
        <v>803.10000000000025</v>
      </c>
      <c r="DW634" s="1344">
        <f t="shared" si="1586"/>
        <v>803.10000000000025</v>
      </c>
      <c r="DX634" s="859">
        <f t="shared" ref="DX634:EC634" si="1587">(DX264-DX253-DX247-DX244)-(DX305-DX290-DX287)</f>
        <v>786.7999999999995</v>
      </c>
      <c r="DY634" s="859">
        <f t="shared" si="1587"/>
        <v>778.22372997796549</v>
      </c>
      <c r="DZ634" s="1344">
        <f t="shared" si="1587"/>
        <v>778.22372997796549</v>
      </c>
      <c r="EA634" s="859">
        <f t="shared" si="1587"/>
        <v>744.34858444341035</v>
      </c>
      <c r="EB634" s="859">
        <f t="shared" si="1587"/>
        <v>709.83011053843825</v>
      </c>
      <c r="EC634" s="1344">
        <f t="shared" si="1587"/>
        <v>709.83011053843825</v>
      </c>
      <c r="ED634" s="859">
        <f t="shared" ref="ED634:EL634" si="1588">(ED264-ED253-ED247-ED244)-(ED305-ED290-ED287)</f>
        <v>699.66170665454536</v>
      </c>
      <c r="EE634" s="859">
        <f t="shared" si="1588"/>
        <v>688.79323704692467</v>
      </c>
      <c r="EF634" s="1344">
        <f t="shared" si="1588"/>
        <v>688.79323704692467</v>
      </c>
      <c r="EG634" s="859">
        <f t="shared" si="1588"/>
        <v>677.05705551307335</v>
      </c>
      <c r="EH634" s="859">
        <f t="shared" si="1588"/>
        <v>664.55780234035979</v>
      </c>
      <c r="EI634" s="1344">
        <f t="shared" si="1588"/>
        <v>664.55780234035979</v>
      </c>
      <c r="EJ634" s="859">
        <f t="shared" si="1588"/>
        <v>651.08225263554505</v>
      </c>
      <c r="EK634" s="859">
        <f t="shared" si="1588"/>
        <v>636.77495484436906</v>
      </c>
      <c r="EL634" s="1344">
        <f t="shared" si="1588"/>
        <v>636.77495484436906</v>
      </c>
      <c r="EM634" s="859">
        <f t="shared" ref="EM634:ER634" si="1589">(EM264-EM253-EM247-EM244)-(EM305-EM290-EM287)</f>
        <v>621.37224103737981</v>
      </c>
      <c r="EN634" s="859">
        <f t="shared" si="1589"/>
        <v>605.06292181625815</v>
      </c>
      <c r="EO634" s="1344">
        <f t="shared" si="1589"/>
        <v>605.06292181625815</v>
      </c>
      <c r="EP634" s="859">
        <f t="shared" si="1589"/>
        <v>587.52756502218085</v>
      </c>
      <c r="EQ634" s="859">
        <f t="shared" si="1589"/>
        <v>569.00400832669891</v>
      </c>
      <c r="ER634" s="1344">
        <f t="shared" si="1589"/>
        <v>569.00400832669891</v>
      </c>
      <c r="ES634" s="859">
        <f t="shared" ref="ES634:EX634" si="1590">(ES264-ES253-ES247-ES244)-(ES305-ES290-ES287)</f>
        <v>549.11123570808456</v>
      </c>
      <c r="ET634" s="859">
        <f t="shared" si="1590"/>
        <v>528.1413251969384</v>
      </c>
      <c r="EU634" s="1344">
        <f t="shared" si="1590"/>
        <v>528.1413251969384</v>
      </c>
      <c r="EV634" s="859">
        <f t="shared" si="1590"/>
        <v>505.64531348675087</v>
      </c>
      <c r="EW634" s="859">
        <f t="shared" si="1590"/>
        <v>481.97522147370501</v>
      </c>
      <c r="EX634" s="1344">
        <f t="shared" si="1590"/>
        <v>481.97522147370501</v>
      </c>
      <c r="EY634" s="859">
        <f t="shared" ref="EY634:FA634" si="1591">(EY264-EY253-EY247-EY244)-(EY305-EY290-EY287)</f>
        <v>456.60718191480578</v>
      </c>
      <c r="EZ634" s="859">
        <f t="shared" si="1591"/>
        <v>429.95939482579115</v>
      </c>
      <c r="FA634" s="1344">
        <f t="shared" si="1591"/>
        <v>429.95939482579115</v>
      </c>
      <c r="FE634"/>
      <c r="FF634"/>
      <c r="FG634"/>
      <c r="FH634"/>
      <c r="FI634"/>
      <c r="FJ634"/>
      <c r="FK634" s="35"/>
    </row>
    <row r="635" spans="1:167" s="236" customFormat="1" ht="13.35" customHeight="1">
      <c r="A635" s="289"/>
      <c r="B635" s="289"/>
      <c r="C635" s="806"/>
      <c r="D635" s="289"/>
      <c r="E635" s="820"/>
      <c r="F635" s="820"/>
      <c r="G635" s="821"/>
      <c r="H635" s="820"/>
      <c r="I635" s="820"/>
      <c r="J635" s="821"/>
      <c r="K635" s="820"/>
      <c r="L635" s="820"/>
      <c r="M635" s="821"/>
      <c r="N635" s="820"/>
      <c r="O635" s="820"/>
      <c r="P635" s="821"/>
      <c r="Q635" s="809"/>
      <c r="R635" s="809"/>
      <c r="S635" s="810"/>
      <c r="T635" s="809"/>
      <c r="U635" s="809"/>
      <c r="V635" s="808"/>
      <c r="W635" s="807"/>
      <c r="X635" s="807"/>
      <c r="Y635" s="808"/>
      <c r="Z635" s="807"/>
      <c r="AA635" s="807"/>
      <c r="AB635" s="808"/>
      <c r="AC635" s="807"/>
      <c r="AD635" s="807"/>
      <c r="AE635" s="808"/>
      <c r="AF635" s="807"/>
      <c r="AG635" s="807"/>
      <c r="AH635" s="808"/>
      <c r="AI635" s="807"/>
      <c r="AJ635" s="807"/>
      <c r="AK635" s="808"/>
      <c r="AL635" s="807"/>
      <c r="AM635" s="807"/>
      <c r="AN635" s="859"/>
      <c r="AO635" s="859"/>
      <c r="AP635" s="859"/>
      <c r="AQ635" s="859"/>
      <c r="AR635" s="859"/>
      <c r="AS635" s="859"/>
      <c r="AT635" s="859"/>
      <c r="AU635" s="859"/>
      <c r="AV635" s="859"/>
      <c r="AW635" s="859"/>
      <c r="AX635" s="859"/>
      <c r="AY635" s="859"/>
      <c r="AZ635" s="859"/>
      <c r="BA635" s="859"/>
      <c r="BB635" s="859"/>
      <c r="BC635" s="859"/>
      <c r="BD635" s="859"/>
      <c r="BE635" s="859"/>
      <c r="BF635" s="859"/>
      <c r="BG635" s="859"/>
      <c r="BH635" s="859"/>
      <c r="BI635" s="859"/>
      <c r="BJ635" s="859"/>
      <c r="BK635" s="859"/>
      <c r="BL635" s="859"/>
      <c r="BM635" s="859"/>
      <c r="BN635" s="859"/>
      <c r="BO635" s="859"/>
      <c r="BP635" s="859"/>
      <c r="BQ635" s="859"/>
      <c r="BR635" s="859"/>
      <c r="BS635" s="859"/>
      <c r="BT635" s="859"/>
      <c r="BU635" s="859"/>
      <c r="BV635" s="859"/>
      <c r="BW635" s="859"/>
      <c r="BX635" s="859"/>
      <c r="BY635" s="859"/>
      <c r="BZ635" s="859"/>
      <c r="CA635" s="859"/>
      <c r="CB635" s="859"/>
      <c r="CC635" s="859"/>
      <c r="CD635" s="859"/>
      <c r="CE635" s="859"/>
      <c r="CF635" s="859"/>
      <c r="CG635" s="859"/>
      <c r="CH635" s="859"/>
      <c r="CI635" s="859"/>
      <c r="CJ635" s="859"/>
      <c r="CK635" s="859"/>
      <c r="CL635" s="859"/>
      <c r="CM635" s="859"/>
      <c r="CN635" s="859"/>
      <c r="CO635" s="859"/>
      <c r="CP635" s="859"/>
      <c r="CQ635" s="859"/>
      <c r="CR635" s="859"/>
      <c r="CS635" s="859"/>
      <c r="CT635" s="859"/>
      <c r="CU635" s="859"/>
      <c r="CV635" s="859"/>
      <c r="CW635" s="859"/>
      <c r="CX635" s="859"/>
      <c r="CY635" s="859"/>
      <c r="CZ635" s="859"/>
      <c r="DA635" s="859"/>
      <c r="DB635" s="859"/>
      <c r="DC635" s="859"/>
      <c r="DD635" s="859"/>
      <c r="DE635" s="859"/>
      <c r="DF635" s="859"/>
      <c r="DG635" s="859"/>
      <c r="DH635" s="1344"/>
      <c r="DI635" s="859"/>
      <c r="DJ635" s="859"/>
      <c r="DK635" s="1344"/>
      <c r="DL635" s="859"/>
      <c r="DM635" s="859"/>
      <c r="DN635" s="1344"/>
      <c r="DO635" s="859"/>
      <c r="DP635" s="859"/>
      <c r="DQ635" s="1344"/>
      <c r="DR635" s="859"/>
      <c r="DS635" s="859"/>
      <c r="DT635" s="1344"/>
      <c r="DU635" s="859"/>
      <c r="DV635" s="859"/>
      <c r="DW635" s="1344"/>
      <c r="DX635" s="859"/>
      <c r="DY635" s="859"/>
      <c r="DZ635" s="1344"/>
      <c r="EA635" s="859"/>
      <c r="EB635" s="859"/>
      <c r="EC635" s="1344"/>
      <c r="ED635" s="859"/>
      <c r="EE635" s="859"/>
      <c r="EF635" s="1344"/>
      <c r="EG635" s="859"/>
      <c r="EH635" s="859"/>
      <c r="EI635" s="1344"/>
      <c r="EJ635" s="859"/>
      <c r="EK635" s="859"/>
      <c r="EL635" s="1344"/>
      <c r="EM635" s="859"/>
      <c r="EN635" s="859"/>
      <c r="EO635" s="1344"/>
      <c r="EP635" s="859"/>
      <c r="EQ635" s="859"/>
      <c r="ER635" s="1344"/>
      <c r="ES635" s="859"/>
      <c r="ET635" s="859"/>
      <c r="EU635" s="1344"/>
      <c r="EV635" s="859"/>
      <c r="EW635" s="859"/>
      <c r="EX635" s="1344"/>
      <c r="EY635" s="859"/>
      <c r="EZ635" s="859"/>
      <c r="FA635" s="1344"/>
      <c r="FE635"/>
      <c r="FF635"/>
      <c r="FG635"/>
      <c r="FH635"/>
      <c r="FI635"/>
      <c r="FJ635"/>
      <c r="FK635" s="35"/>
    </row>
    <row r="636" spans="1:167" s="236" customFormat="1" ht="13.35" customHeight="1">
      <c r="A636" s="289"/>
      <c r="B636" s="289" t="s">
        <v>373</v>
      </c>
      <c r="C636" s="806"/>
      <c r="D636" s="289"/>
      <c r="E636" s="820"/>
      <c r="F636" s="820"/>
      <c r="G636" s="821"/>
      <c r="H636" s="820"/>
      <c r="I636" s="820"/>
      <c r="J636" s="821"/>
      <c r="K636" s="820"/>
      <c r="L636" s="820"/>
      <c r="M636" s="821"/>
      <c r="N636" s="820"/>
      <c r="O636" s="820"/>
      <c r="P636" s="821"/>
      <c r="Q636" s="809"/>
      <c r="R636" s="809"/>
      <c r="S636" s="810"/>
      <c r="T636" s="809"/>
      <c r="U636" s="809"/>
      <c r="V636" s="808"/>
      <c r="W636" s="807"/>
      <c r="X636" s="807"/>
      <c r="Y636" s="808"/>
      <c r="Z636" s="807"/>
      <c r="AA636" s="807"/>
      <c r="AB636" s="808"/>
      <c r="AC636" s="807"/>
      <c r="AD636" s="807"/>
      <c r="AE636" s="808"/>
      <c r="AF636" s="807"/>
      <c r="AG636" s="807"/>
      <c r="AH636" s="808"/>
      <c r="AI636" s="807"/>
      <c r="AJ636" s="807"/>
      <c r="AK636" s="808"/>
      <c r="AL636" s="807"/>
      <c r="AM636" s="807"/>
      <c r="AN636" s="859"/>
      <c r="AO636" s="859"/>
      <c r="AP636" s="859"/>
      <c r="AQ636" s="859"/>
      <c r="AR636" s="859"/>
      <c r="AS636" s="859"/>
      <c r="AT636" s="859"/>
      <c r="AU636" s="859"/>
      <c r="AV636" s="859"/>
      <c r="AW636" s="859"/>
      <c r="AX636" s="859"/>
      <c r="AY636" s="859"/>
      <c r="AZ636" s="859"/>
      <c r="BA636" s="859"/>
      <c r="BB636" s="859"/>
      <c r="BC636" s="859"/>
      <c r="BD636" s="859"/>
      <c r="BE636" s="859"/>
      <c r="BF636" s="859"/>
      <c r="BG636" s="859"/>
      <c r="BH636" s="859"/>
      <c r="BI636" s="859"/>
      <c r="BJ636" s="859">
        <f>BJ631+BJ633+BJ634</f>
        <v>115.60699999999997</v>
      </c>
      <c r="BK636" s="859">
        <f t="shared" ref="BK636:DQ636" si="1592">BK631+BK633+BK634</f>
        <v>95.45</v>
      </c>
      <c r="BL636" s="859">
        <f t="shared" si="1592"/>
        <v>95.45</v>
      </c>
      <c r="BM636" s="859">
        <f t="shared" si="1592"/>
        <v>84.194000000000003</v>
      </c>
      <c r="BN636" s="859">
        <f t="shared" si="1592"/>
        <v>57.313000000000017</v>
      </c>
      <c r="BO636" s="859">
        <f t="shared" si="1592"/>
        <v>57.313000000000017</v>
      </c>
      <c r="BP636" s="859">
        <f t="shared" si="1592"/>
        <v>102.053</v>
      </c>
      <c r="BQ636" s="859">
        <f t="shared" si="1592"/>
        <v>113.50700000000001</v>
      </c>
      <c r="BR636" s="859">
        <f t="shared" si="1592"/>
        <v>113.50700000000001</v>
      </c>
      <c r="BS636" s="859">
        <f t="shared" si="1592"/>
        <v>167.65299999999991</v>
      </c>
      <c r="BT636" s="859">
        <f t="shared" si="1592"/>
        <v>180.04800000000006</v>
      </c>
      <c r="BU636" s="859">
        <f t="shared" si="1592"/>
        <v>180.04800000000006</v>
      </c>
      <c r="BV636" s="859">
        <f t="shared" si="1592"/>
        <v>213.80100000000004</v>
      </c>
      <c r="BW636" s="859">
        <f t="shared" si="1592"/>
        <v>270.23599999999988</v>
      </c>
      <c r="BX636" s="859">
        <f t="shared" si="1592"/>
        <v>270.23599999999988</v>
      </c>
      <c r="BY636" s="859">
        <f t="shared" si="1592"/>
        <v>193.80099999999996</v>
      </c>
      <c r="BZ636" s="859">
        <f t="shared" si="1592"/>
        <v>299.20200000000006</v>
      </c>
      <c r="CA636" s="859">
        <f t="shared" si="1592"/>
        <v>299.20200000000006</v>
      </c>
      <c r="CB636" s="859">
        <f t="shared" si="1592"/>
        <v>304.96599999999995</v>
      </c>
      <c r="CC636" s="859">
        <f t="shared" si="1592"/>
        <v>318.0419999999998</v>
      </c>
      <c r="CD636" s="859">
        <f t="shared" si="1592"/>
        <v>318.0419999999998</v>
      </c>
      <c r="CE636" s="859">
        <f t="shared" si="1592"/>
        <v>350.23000000000013</v>
      </c>
      <c r="CF636" s="859">
        <f t="shared" si="1592"/>
        <v>285.35000000000008</v>
      </c>
      <c r="CG636" s="859">
        <f t="shared" si="1592"/>
        <v>285.35000000000008</v>
      </c>
      <c r="CH636" s="859">
        <f t="shared" si="1592"/>
        <v>249.96800000000016</v>
      </c>
      <c r="CI636" s="859">
        <f t="shared" si="1592"/>
        <v>175.35099999999991</v>
      </c>
      <c r="CJ636" s="859">
        <f t="shared" si="1592"/>
        <v>175.35099999999991</v>
      </c>
      <c r="CK636" s="859">
        <f t="shared" si="1592"/>
        <v>305.33800000000008</v>
      </c>
      <c r="CL636" s="859">
        <f t="shared" si="1592"/>
        <v>301.93399999999997</v>
      </c>
      <c r="CM636" s="859">
        <f t="shared" si="1592"/>
        <v>301.93399999999997</v>
      </c>
      <c r="CN636" s="859">
        <f t="shared" si="1592"/>
        <v>302.87199999999996</v>
      </c>
      <c r="CO636" s="859">
        <f t="shared" si="1592"/>
        <v>276.37800000000004</v>
      </c>
      <c r="CP636" s="859">
        <f t="shared" si="1592"/>
        <v>276.37800000000004</v>
      </c>
      <c r="CQ636" s="859">
        <f t="shared" si="1592"/>
        <v>261.74900000000014</v>
      </c>
      <c r="CR636" s="859">
        <f t="shared" si="1592"/>
        <v>267.35800000000012</v>
      </c>
      <c r="CS636" s="859">
        <f t="shared" si="1592"/>
        <v>267.35800000000012</v>
      </c>
      <c r="CT636" s="859">
        <f t="shared" si="1592"/>
        <v>313.4790000000001</v>
      </c>
      <c r="CU636" s="859">
        <f t="shared" si="1592"/>
        <v>342.04</v>
      </c>
      <c r="CV636" s="859">
        <f t="shared" si="1592"/>
        <v>342.04</v>
      </c>
      <c r="CW636" s="859">
        <f t="shared" si="1592"/>
        <v>369.16399999999999</v>
      </c>
      <c r="CX636" s="859">
        <f t="shared" si="1592"/>
        <v>333.053</v>
      </c>
      <c r="CY636" s="859">
        <f t="shared" si="1592"/>
        <v>333.053</v>
      </c>
      <c r="CZ636" s="859">
        <f t="shared" si="1592"/>
        <v>368.00000000000017</v>
      </c>
      <c r="DA636" s="859">
        <f t="shared" si="1592"/>
        <v>697</v>
      </c>
      <c r="DB636" s="859">
        <f t="shared" si="1592"/>
        <v>697</v>
      </c>
      <c r="DC636" s="859">
        <f t="shared" si="1592"/>
        <v>726.2</v>
      </c>
      <c r="DD636" s="859">
        <f t="shared" si="1592"/>
        <v>828.89999999999975</v>
      </c>
      <c r="DE636" s="859">
        <f t="shared" si="1592"/>
        <v>828.89999999999975</v>
      </c>
      <c r="DF636" s="859">
        <f t="shared" si="1592"/>
        <v>950.3</v>
      </c>
      <c r="DG636" s="859">
        <f t="shared" si="1592"/>
        <v>1309.4999999999995</v>
      </c>
      <c r="DH636" s="1344">
        <f t="shared" si="1592"/>
        <v>1309.4999999999995</v>
      </c>
      <c r="DI636" s="859">
        <f t="shared" si="1592"/>
        <v>1164.5</v>
      </c>
      <c r="DJ636" s="859">
        <f t="shared" si="1592"/>
        <v>1137.0999999999999</v>
      </c>
      <c r="DK636" s="1344">
        <f t="shared" si="1592"/>
        <v>1137.0999999999999</v>
      </c>
      <c r="DL636" s="859">
        <f t="shared" si="1592"/>
        <v>1224.1999999999998</v>
      </c>
      <c r="DM636" s="859">
        <f t="shared" si="1592"/>
        <v>1099.0000000000002</v>
      </c>
      <c r="DN636" s="1344">
        <f t="shared" si="1592"/>
        <v>1099.0000000000002</v>
      </c>
      <c r="DO636" s="859">
        <f t="shared" si="1592"/>
        <v>1209.8999999999996</v>
      </c>
      <c r="DP636" s="859">
        <f t="shared" si="1592"/>
        <v>1193.3</v>
      </c>
      <c r="DQ636" s="1344">
        <f t="shared" si="1592"/>
        <v>1193.3</v>
      </c>
      <c r="DR636" s="859">
        <f t="shared" ref="DR636:DW636" si="1593">DR631+DR633+DR634</f>
        <v>1296.5999999999999</v>
      </c>
      <c r="DS636" s="859">
        <f t="shared" si="1593"/>
        <v>1326.9</v>
      </c>
      <c r="DT636" s="1344">
        <f t="shared" si="1593"/>
        <v>1326.9</v>
      </c>
      <c r="DU636" s="859">
        <f t="shared" si="1593"/>
        <v>1484.5</v>
      </c>
      <c r="DV636" s="859">
        <f t="shared" si="1593"/>
        <v>1674.6</v>
      </c>
      <c r="DW636" s="1344">
        <f t="shared" si="1593"/>
        <v>1674.6</v>
      </c>
      <c r="DX636" s="859">
        <f t="shared" ref="DX636:EC636" si="1594">DX631+DX633+DX634</f>
        <v>1750.9999999999995</v>
      </c>
      <c r="DY636" s="859">
        <f t="shared" si="1594"/>
        <v>1833.4350136515372</v>
      </c>
      <c r="DZ636" s="1344">
        <f t="shared" si="1594"/>
        <v>1833.4350136515372</v>
      </c>
      <c r="EA636" s="859">
        <f t="shared" si="1594"/>
        <v>1810.4905519803685</v>
      </c>
      <c r="EB636" s="859">
        <f t="shared" si="1594"/>
        <v>1808.654659479248</v>
      </c>
      <c r="EC636" s="1344">
        <f t="shared" si="1594"/>
        <v>1808.654659479248</v>
      </c>
      <c r="ED636" s="859">
        <f t="shared" ref="ED636:EL636" si="1595">ED631+ED633+ED634</f>
        <v>1855.6951164942193</v>
      </c>
      <c r="EE636" s="859">
        <f t="shared" si="1595"/>
        <v>1886.5151917777748</v>
      </c>
      <c r="EF636" s="1344">
        <f t="shared" si="1595"/>
        <v>1886.5151917777748</v>
      </c>
      <c r="EG636" s="859">
        <f t="shared" si="1595"/>
        <v>1940.389867715689</v>
      </c>
      <c r="EH636" s="859">
        <f t="shared" si="1595"/>
        <v>1972.8224140484494</v>
      </c>
      <c r="EI636" s="1344">
        <f t="shared" si="1595"/>
        <v>1972.8224140484494</v>
      </c>
      <c r="EJ636" s="859">
        <f t="shared" si="1595"/>
        <v>2028.4111728612422</v>
      </c>
      <c r="EK636" s="859">
        <f t="shared" si="1595"/>
        <v>2062.5250378067926</v>
      </c>
      <c r="EL636" s="1344">
        <f t="shared" si="1595"/>
        <v>2062.5250378067926</v>
      </c>
      <c r="EM636" s="859">
        <f t="shared" ref="EM636:ER636" si="1596">EM631+EM633+EM634</f>
        <v>2119.7302568059831</v>
      </c>
      <c r="EN636" s="859">
        <f t="shared" si="1596"/>
        <v>2155.5956013584719</v>
      </c>
      <c r="EO636" s="1344">
        <f t="shared" si="1596"/>
        <v>2155.5956013584719</v>
      </c>
      <c r="EP636" s="859">
        <f t="shared" si="1596"/>
        <v>2214.2902331320965</v>
      </c>
      <c r="EQ636" s="859">
        <f t="shared" si="1596"/>
        <v>2251.9782600155804</v>
      </c>
      <c r="ER636" s="1344">
        <f t="shared" si="1596"/>
        <v>2251.9782600155804</v>
      </c>
      <c r="ES636" s="859">
        <f t="shared" ref="ES636:EX636" si="1597">ES631+ES633+ES634</f>
        <v>2312.001377507534</v>
      </c>
      <c r="ET636" s="859">
        <f t="shared" si="1597"/>
        <v>2351.5840011691071</v>
      </c>
      <c r="EU636" s="1344">
        <f t="shared" si="1597"/>
        <v>2351.5840011691071</v>
      </c>
      <c r="EV636" s="859">
        <f t="shared" si="1597"/>
        <v>2412.7357804826706</v>
      </c>
      <c r="EW636" s="859">
        <f t="shared" si="1597"/>
        <v>2454.2852305159831</v>
      </c>
      <c r="EX636" s="1344">
        <f t="shared" si="1597"/>
        <v>2454.2852305159831</v>
      </c>
      <c r="EY636" s="859">
        <f t="shared" ref="EY636:FA636" si="1598">EY631+EY633+EY634</f>
        <v>2516.3213063484973</v>
      </c>
      <c r="EZ636" s="859">
        <f t="shared" si="1598"/>
        <v>2559.9096550699355</v>
      </c>
      <c r="FA636" s="1344">
        <f t="shared" si="1598"/>
        <v>2559.9096550699355</v>
      </c>
      <c r="FE636"/>
      <c r="FF636"/>
      <c r="FG636"/>
      <c r="FH636"/>
      <c r="FI636"/>
      <c r="FJ636"/>
      <c r="FK636" s="35"/>
    </row>
    <row r="637" spans="1:167" s="236" customFormat="1" ht="13.35" customHeight="1">
      <c r="A637" s="289"/>
      <c r="B637" s="289" t="s">
        <v>319</v>
      </c>
      <c r="C637" s="806"/>
      <c r="D637" s="289"/>
      <c r="E637" s="820"/>
      <c r="F637" s="820"/>
      <c r="G637" s="821"/>
      <c r="H637" s="820"/>
      <c r="I637" s="820"/>
      <c r="J637" s="821"/>
      <c r="K637" s="820"/>
      <c r="L637" s="820"/>
      <c r="M637" s="821"/>
      <c r="N637" s="820"/>
      <c r="O637" s="820"/>
      <c r="P637" s="821"/>
      <c r="Q637" s="809"/>
      <c r="R637" s="809"/>
      <c r="S637" s="810"/>
      <c r="T637" s="809"/>
      <c r="U637" s="809"/>
      <c r="V637" s="808"/>
      <c r="W637" s="807"/>
      <c r="X637" s="807"/>
      <c r="Y637" s="808"/>
      <c r="Z637" s="807"/>
      <c r="AA637" s="807"/>
      <c r="AB637" s="808"/>
      <c r="AC637" s="807"/>
      <c r="AD637" s="807"/>
      <c r="AE637" s="808"/>
      <c r="AF637" s="807"/>
      <c r="AG637" s="807"/>
      <c r="AH637" s="808"/>
      <c r="AI637" s="807"/>
      <c r="AJ637" s="807"/>
      <c r="AK637" s="808"/>
      <c r="AL637" s="807"/>
      <c r="AM637" s="807"/>
      <c r="AN637" s="859"/>
      <c r="AO637" s="859"/>
      <c r="AP637" s="859"/>
      <c r="AQ637" s="859"/>
      <c r="AR637" s="859"/>
      <c r="AS637" s="859"/>
      <c r="AT637" s="859"/>
      <c r="AU637" s="859"/>
      <c r="AV637" s="859"/>
      <c r="AW637" s="859"/>
      <c r="AX637" s="859"/>
      <c r="AY637" s="859"/>
      <c r="AZ637" s="859"/>
      <c r="BA637" s="859"/>
      <c r="BB637" s="859"/>
      <c r="BC637" s="859"/>
      <c r="BD637" s="859"/>
      <c r="BE637" s="859"/>
      <c r="BF637" s="859"/>
      <c r="BG637" s="859"/>
      <c r="BH637" s="859"/>
      <c r="BI637" s="859"/>
      <c r="BJ637" s="859">
        <f>BJ253</f>
        <v>0</v>
      </c>
      <c r="BK637" s="859">
        <f t="shared" ref="BK637:DQ637" si="1599">BK253</f>
        <v>0</v>
      </c>
      <c r="BL637" s="859">
        <f t="shared" si="1599"/>
        <v>0</v>
      </c>
      <c r="BM637" s="859">
        <f t="shared" si="1599"/>
        <v>21.742000000000001</v>
      </c>
      <c r="BN637" s="859">
        <f t="shared" si="1599"/>
        <v>194.32900000000001</v>
      </c>
      <c r="BO637" s="859">
        <f t="shared" si="1599"/>
        <v>194.32900000000001</v>
      </c>
      <c r="BP637" s="859">
        <f t="shared" si="1599"/>
        <v>193.12</v>
      </c>
      <c r="BQ637" s="859">
        <f t="shared" si="1599"/>
        <v>205.238</v>
      </c>
      <c r="BR637" s="859">
        <f t="shared" si="1599"/>
        <v>205.238</v>
      </c>
      <c r="BS637" s="859">
        <f t="shared" si="1599"/>
        <v>202.32300000000001</v>
      </c>
      <c r="BT637" s="859">
        <f t="shared" si="1599"/>
        <v>196.268</v>
      </c>
      <c r="BU637" s="859">
        <f t="shared" si="1599"/>
        <v>196.268</v>
      </c>
      <c r="BV637" s="859">
        <f t="shared" si="1599"/>
        <v>212.262</v>
      </c>
      <c r="BW637" s="859">
        <f t="shared" si="1599"/>
        <v>182.40100000000001</v>
      </c>
      <c r="BX637" s="859">
        <f t="shared" si="1599"/>
        <v>182.40100000000001</v>
      </c>
      <c r="BY637" s="859">
        <f t="shared" si="1599"/>
        <v>222.07400000000001</v>
      </c>
      <c r="BZ637" s="859">
        <f t="shared" si="1599"/>
        <v>173.59899999999999</v>
      </c>
      <c r="CA637" s="859">
        <f t="shared" si="1599"/>
        <v>173.59899999999999</v>
      </c>
      <c r="CB637" s="859">
        <f t="shared" si="1599"/>
        <v>169.02799999999999</v>
      </c>
      <c r="CC637" s="859">
        <f t="shared" si="1599"/>
        <v>159.87700000000001</v>
      </c>
      <c r="CD637" s="859">
        <f t="shared" si="1599"/>
        <v>159.87700000000001</v>
      </c>
      <c r="CE637" s="859">
        <f t="shared" si="1599"/>
        <v>154.55099999999999</v>
      </c>
      <c r="CF637" s="859">
        <f t="shared" si="1599"/>
        <v>208.55</v>
      </c>
      <c r="CG637" s="859">
        <f t="shared" si="1599"/>
        <v>208.55</v>
      </c>
      <c r="CH637" s="859">
        <f t="shared" si="1599"/>
        <v>153.81</v>
      </c>
      <c r="CI637" s="859">
        <f t="shared" si="1599"/>
        <v>206.715</v>
      </c>
      <c r="CJ637" s="859">
        <f t="shared" si="1599"/>
        <v>206.715</v>
      </c>
      <c r="CK637" s="859">
        <f t="shared" si="1599"/>
        <v>158.27500000000001</v>
      </c>
      <c r="CL637" s="859">
        <f t="shared" si="1599"/>
        <v>172.75899999999999</v>
      </c>
      <c r="CM637" s="859">
        <f t="shared" si="1599"/>
        <v>172.75899999999999</v>
      </c>
      <c r="CN637" s="859">
        <f t="shared" si="1599"/>
        <v>185.87900000000002</v>
      </c>
      <c r="CO637" s="859">
        <f t="shared" si="1599"/>
        <v>234.11500000000001</v>
      </c>
      <c r="CP637" s="859">
        <f t="shared" si="1599"/>
        <v>234.11500000000001</v>
      </c>
      <c r="CQ637" s="859">
        <f t="shared" si="1599"/>
        <v>231.304</v>
      </c>
      <c r="CR637" s="859">
        <f t="shared" si="1599"/>
        <v>228.53100000000001</v>
      </c>
      <c r="CS637" s="859">
        <f t="shared" si="1599"/>
        <v>228.53100000000001</v>
      </c>
      <c r="CT637" s="859">
        <f t="shared" si="1599"/>
        <v>234.72499999999999</v>
      </c>
      <c r="CU637" s="859">
        <f t="shared" si="1599"/>
        <v>224.33799999999999</v>
      </c>
      <c r="CV637" s="859">
        <f t="shared" si="1599"/>
        <v>224.33799999999999</v>
      </c>
      <c r="CW637" s="859">
        <f t="shared" si="1599"/>
        <v>212.04900000000001</v>
      </c>
      <c r="CX637" s="859">
        <f t="shared" si="1599"/>
        <v>339.976</v>
      </c>
      <c r="CY637" s="859">
        <f t="shared" si="1599"/>
        <v>339.976</v>
      </c>
      <c r="CZ637" s="859">
        <f t="shared" si="1599"/>
        <v>343.9</v>
      </c>
      <c r="DA637" s="859" t="str">
        <f t="shared" si="1599"/>
        <v/>
      </c>
      <c r="DB637" s="859" t="str">
        <f t="shared" si="1599"/>
        <v/>
      </c>
      <c r="DC637" s="859" t="str">
        <f t="shared" si="1599"/>
        <v/>
      </c>
      <c r="DD637" s="859" t="str">
        <f t="shared" si="1599"/>
        <v/>
      </c>
      <c r="DE637" s="859" t="str">
        <f t="shared" si="1599"/>
        <v/>
      </c>
      <c r="DF637" s="859" t="str">
        <f t="shared" si="1599"/>
        <v/>
      </c>
      <c r="DG637" s="859" t="str">
        <f t="shared" si="1599"/>
        <v/>
      </c>
      <c r="DH637" s="1344" t="str">
        <f t="shared" si="1599"/>
        <v/>
      </c>
      <c r="DI637" s="859" t="str">
        <f t="shared" si="1599"/>
        <v/>
      </c>
      <c r="DJ637" s="859" t="str">
        <f t="shared" si="1599"/>
        <v/>
      </c>
      <c r="DK637" s="1344" t="str">
        <f t="shared" si="1599"/>
        <v/>
      </c>
      <c r="DL637" s="859" t="str">
        <f t="shared" si="1599"/>
        <v/>
      </c>
      <c r="DM637" s="859" t="str">
        <f t="shared" si="1599"/>
        <v/>
      </c>
      <c r="DN637" s="1344" t="str">
        <f t="shared" si="1599"/>
        <v/>
      </c>
      <c r="DO637" s="859" t="str">
        <f t="shared" si="1599"/>
        <v/>
      </c>
      <c r="DP637" s="859" t="str">
        <f t="shared" si="1599"/>
        <v/>
      </c>
      <c r="DQ637" s="1344" t="str">
        <f t="shared" si="1599"/>
        <v/>
      </c>
      <c r="DR637" s="859" t="str">
        <f t="shared" ref="DR637:DW637" si="1600">DR253</f>
        <v/>
      </c>
      <c r="DS637" s="859" t="str">
        <f t="shared" si="1600"/>
        <v/>
      </c>
      <c r="DT637" s="1344" t="str">
        <f t="shared" si="1600"/>
        <v/>
      </c>
      <c r="DU637" s="859" t="str">
        <f t="shared" si="1600"/>
        <v/>
      </c>
      <c r="DV637" s="859" t="str">
        <f t="shared" si="1600"/>
        <v/>
      </c>
      <c r="DW637" s="1344" t="str">
        <f t="shared" si="1600"/>
        <v/>
      </c>
      <c r="DX637" s="859" t="str">
        <f t="shared" ref="DX637:EC637" si="1601">DX253</f>
        <v/>
      </c>
      <c r="DY637" s="859">
        <f t="shared" si="1601"/>
        <v>0</v>
      </c>
      <c r="DZ637" s="1344">
        <f t="shared" si="1601"/>
        <v>0</v>
      </c>
      <c r="EA637" s="859">
        <f t="shared" si="1601"/>
        <v>0</v>
      </c>
      <c r="EB637" s="859">
        <f t="shared" si="1601"/>
        <v>0</v>
      </c>
      <c r="EC637" s="1344">
        <f t="shared" si="1601"/>
        <v>0</v>
      </c>
      <c r="ED637" s="859">
        <f t="shared" ref="ED637:EL637" si="1602">ED253</f>
        <v>0</v>
      </c>
      <c r="EE637" s="859">
        <f t="shared" si="1602"/>
        <v>0</v>
      </c>
      <c r="EF637" s="1344">
        <f t="shared" si="1602"/>
        <v>0</v>
      </c>
      <c r="EG637" s="859">
        <f t="shared" si="1602"/>
        <v>0</v>
      </c>
      <c r="EH637" s="859">
        <f t="shared" si="1602"/>
        <v>0</v>
      </c>
      <c r="EI637" s="1344">
        <f t="shared" si="1602"/>
        <v>0</v>
      </c>
      <c r="EJ637" s="859">
        <f t="shared" si="1602"/>
        <v>0</v>
      </c>
      <c r="EK637" s="859">
        <f t="shared" si="1602"/>
        <v>0</v>
      </c>
      <c r="EL637" s="1344">
        <f t="shared" si="1602"/>
        <v>0</v>
      </c>
      <c r="EM637" s="859">
        <f t="shared" ref="EM637:ER637" si="1603">EM253</f>
        <v>0</v>
      </c>
      <c r="EN637" s="859">
        <f t="shared" si="1603"/>
        <v>0</v>
      </c>
      <c r="EO637" s="1344">
        <f t="shared" si="1603"/>
        <v>0</v>
      </c>
      <c r="EP637" s="859">
        <f t="shared" si="1603"/>
        <v>0</v>
      </c>
      <c r="EQ637" s="859">
        <f t="shared" si="1603"/>
        <v>0</v>
      </c>
      <c r="ER637" s="1344">
        <f t="shared" si="1603"/>
        <v>0</v>
      </c>
      <c r="ES637" s="859">
        <f t="shared" ref="ES637:EX637" si="1604">ES253</f>
        <v>0</v>
      </c>
      <c r="ET637" s="859">
        <f t="shared" si="1604"/>
        <v>0</v>
      </c>
      <c r="EU637" s="1344">
        <f t="shared" si="1604"/>
        <v>0</v>
      </c>
      <c r="EV637" s="859">
        <f t="shared" si="1604"/>
        <v>0</v>
      </c>
      <c r="EW637" s="859">
        <f t="shared" si="1604"/>
        <v>0</v>
      </c>
      <c r="EX637" s="1344">
        <f t="shared" si="1604"/>
        <v>0</v>
      </c>
      <c r="EY637" s="859">
        <f t="shared" ref="EY637:FA637" si="1605">EY253</f>
        <v>0</v>
      </c>
      <c r="EZ637" s="859">
        <f t="shared" si="1605"/>
        <v>0</v>
      </c>
      <c r="FA637" s="1344">
        <f t="shared" si="1605"/>
        <v>0</v>
      </c>
      <c r="FE637"/>
      <c r="FF637"/>
      <c r="FG637"/>
      <c r="FH637"/>
      <c r="FI637"/>
      <c r="FJ637"/>
      <c r="FK637" s="35"/>
    </row>
    <row r="638" spans="1:167" s="236" customFormat="1" ht="13.35" customHeight="1">
      <c r="A638" s="289"/>
      <c r="B638" s="289"/>
      <c r="C638" s="806"/>
      <c r="D638" s="289"/>
      <c r="E638" s="820"/>
      <c r="F638" s="820"/>
      <c r="G638" s="821"/>
      <c r="H638" s="820"/>
      <c r="I638" s="820"/>
      <c r="J638" s="821"/>
      <c r="K638" s="820"/>
      <c r="L638" s="820"/>
      <c r="M638" s="821"/>
      <c r="N638" s="820"/>
      <c r="O638" s="820"/>
      <c r="P638" s="821"/>
      <c r="Q638" s="809"/>
      <c r="R638" s="809"/>
      <c r="S638" s="810"/>
      <c r="T638" s="809"/>
      <c r="U638" s="809"/>
      <c r="V638" s="808"/>
      <c r="W638" s="807"/>
      <c r="X638" s="807"/>
      <c r="Y638" s="808"/>
      <c r="Z638" s="807"/>
      <c r="AA638" s="807"/>
      <c r="AB638" s="808"/>
      <c r="AC638" s="807"/>
      <c r="AD638" s="807"/>
      <c r="AE638" s="808"/>
      <c r="AF638" s="807"/>
      <c r="AG638" s="807"/>
      <c r="AH638" s="808"/>
      <c r="AI638" s="807"/>
      <c r="AJ638" s="807"/>
      <c r="AK638" s="808"/>
      <c r="AL638" s="807"/>
      <c r="AM638" s="807"/>
      <c r="AN638" s="859"/>
      <c r="AO638" s="859"/>
      <c r="AP638" s="859"/>
      <c r="AQ638" s="859"/>
      <c r="AR638" s="859"/>
      <c r="AS638" s="859"/>
      <c r="AT638" s="859"/>
      <c r="AU638" s="859"/>
      <c r="AV638" s="859"/>
      <c r="AW638" s="859"/>
      <c r="AX638" s="859"/>
      <c r="AY638" s="859"/>
      <c r="AZ638" s="859"/>
      <c r="BA638" s="859"/>
      <c r="BB638" s="859"/>
      <c r="BC638" s="859"/>
      <c r="BD638" s="859"/>
      <c r="BE638" s="859"/>
      <c r="BF638" s="859"/>
      <c r="BG638" s="859"/>
      <c r="BH638" s="859"/>
      <c r="BI638" s="859"/>
      <c r="BJ638" s="859"/>
      <c r="BK638" s="859"/>
      <c r="BL638" s="859"/>
      <c r="BM638" s="859"/>
      <c r="BN638" s="859"/>
      <c r="BO638" s="859"/>
      <c r="BP638" s="859"/>
      <c r="BQ638" s="859"/>
      <c r="BR638" s="859"/>
      <c r="BS638" s="859"/>
      <c r="BT638" s="859"/>
      <c r="BU638" s="859"/>
      <c r="BV638" s="859"/>
      <c r="BW638" s="859"/>
      <c r="BX638" s="859"/>
      <c r="BY638" s="859"/>
      <c r="BZ638" s="859"/>
      <c r="CA638" s="859"/>
      <c r="CB638" s="859"/>
      <c r="CC638" s="859"/>
      <c r="CD638" s="859"/>
      <c r="CE638" s="859"/>
      <c r="CF638" s="859"/>
      <c r="CG638" s="859"/>
      <c r="CH638" s="859"/>
      <c r="CI638" s="859"/>
      <c r="CJ638" s="859"/>
      <c r="CK638" s="859"/>
      <c r="CL638" s="859"/>
      <c r="CM638" s="859"/>
      <c r="CN638" s="859"/>
      <c r="CO638" s="859"/>
      <c r="CP638" s="859"/>
      <c r="CQ638" s="859"/>
      <c r="CR638" s="859"/>
      <c r="CS638" s="859"/>
      <c r="CT638" s="859"/>
      <c r="CU638" s="859"/>
      <c r="CV638" s="859"/>
      <c r="CW638" s="859"/>
      <c r="CX638" s="859"/>
      <c r="CY638" s="859"/>
      <c r="CZ638" s="859"/>
      <c r="DA638" s="859"/>
      <c r="DB638" s="859"/>
      <c r="DC638" s="859"/>
      <c r="DD638" s="859"/>
      <c r="DE638" s="859"/>
      <c r="DF638" s="859"/>
      <c r="DG638" s="859"/>
      <c r="DH638" s="1344"/>
      <c r="DI638" s="859"/>
      <c r="DJ638" s="859"/>
      <c r="DK638" s="1344"/>
      <c r="DL638" s="859"/>
      <c r="DM638" s="859"/>
      <c r="DN638" s="1344"/>
      <c r="DO638" s="859"/>
      <c r="DP638" s="859"/>
      <c r="DQ638" s="1344"/>
      <c r="DR638" s="859"/>
      <c r="DS638" s="859"/>
      <c r="DT638" s="1344"/>
      <c r="DU638" s="859"/>
      <c r="DV638" s="859"/>
      <c r="DW638" s="1344"/>
      <c r="DX638" s="859"/>
      <c r="DY638" s="859"/>
      <c r="DZ638" s="1344"/>
      <c r="EA638" s="859"/>
      <c r="EB638" s="859"/>
      <c r="EC638" s="1344"/>
      <c r="ED638" s="859"/>
      <c r="EE638" s="859"/>
      <c r="EF638" s="1344"/>
      <c r="EG638" s="859"/>
      <c r="EH638" s="859"/>
      <c r="EI638" s="1344"/>
      <c r="EJ638" s="859"/>
      <c r="EK638" s="859"/>
      <c r="EL638" s="1344"/>
      <c r="EM638" s="859"/>
      <c r="EN638" s="859"/>
      <c r="EO638" s="1344"/>
      <c r="EP638" s="859"/>
      <c r="EQ638" s="859"/>
      <c r="ER638" s="1344"/>
      <c r="ES638" s="859"/>
      <c r="ET638" s="859"/>
      <c r="EU638" s="1344"/>
      <c r="EV638" s="859"/>
      <c r="EW638" s="859"/>
      <c r="EX638" s="1344"/>
      <c r="EY638" s="859"/>
      <c r="EZ638" s="859"/>
      <c r="FA638" s="1344"/>
      <c r="FE638"/>
      <c r="FF638"/>
      <c r="FG638"/>
      <c r="FH638"/>
      <c r="FI638"/>
      <c r="FJ638"/>
      <c r="FK638" s="35"/>
    </row>
    <row r="639" spans="1:167" s="236" customFormat="1" ht="13.35" customHeight="1">
      <c r="A639" s="289"/>
      <c r="B639" s="289" t="s">
        <v>374</v>
      </c>
      <c r="C639" s="806"/>
      <c r="D639" s="289"/>
      <c r="E639" s="820"/>
      <c r="F639" s="820"/>
      <c r="G639" s="821"/>
      <c r="H639" s="820"/>
      <c r="I639" s="820"/>
      <c r="J639" s="821"/>
      <c r="K639" s="820"/>
      <c r="L639" s="820"/>
      <c r="M639" s="821"/>
      <c r="N639" s="820"/>
      <c r="O639" s="820"/>
      <c r="P639" s="821"/>
      <c r="Q639" s="809"/>
      <c r="R639" s="809"/>
      <c r="S639" s="810"/>
      <c r="T639" s="809"/>
      <c r="U639" s="809"/>
      <c r="V639" s="808"/>
      <c r="W639" s="807"/>
      <c r="X639" s="807"/>
      <c r="Y639" s="808"/>
      <c r="Z639" s="807"/>
      <c r="AA639" s="807"/>
      <c r="AB639" s="808"/>
      <c r="AC639" s="807"/>
      <c r="AD639" s="807"/>
      <c r="AE639" s="808"/>
      <c r="AF639" s="807"/>
      <c r="AG639" s="807"/>
      <c r="AH639" s="808"/>
      <c r="AI639" s="807"/>
      <c r="AJ639" s="807"/>
      <c r="AK639" s="808"/>
      <c r="AL639" s="807"/>
      <c r="AM639" s="807"/>
      <c r="AN639" s="859"/>
      <c r="AO639" s="859"/>
      <c r="AP639" s="859"/>
      <c r="AQ639" s="859"/>
      <c r="AR639" s="859"/>
      <c r="AS639" s="859"/>
      <c r="AT639" s="859"/>
      <c r="AU639" s="859"/>
      <c r="AV639" s="859"/>
      <c r="AW639" s="859"/>
      <c r="AX639" s="859"/>
      <c r="AY639" s="859"/>
      <c r="AZ639" s="859"/>
      <c r="BA639" s="859"/>
      <c r="BB639" s="859"/>
      <c r="BC639" s="859"/>
      <c r="BD639" s="859"/>
      <c r="BE639" s="859"/>
      <c r="BF639" s="859"/>
      <c r="BG639" s="859"/>
      <c r="BH639" s="859"/>
      <c r="BI639" s="859"/>
      <c r="BJ639" s="859">
        <f>BJ636+BJ637</f>
        <v>115.60699999999997</v>
      </c>
      <c r="BK639" s="859">
        <f t="shared" ref="BK639:DQ639" si="1606">BK636+BK637</f>
        <v>95.45</v>
      </c>
      <c r="BL639" s="859">
        <f t="shared" si="1606"/>
        <v>95.45</v>
      </c>
      <c r="BM639" s="859">
        <f t="shared" si="1606"/>
        <v>105.93600000000001</v>
      </c>
      <c r="BN639" s="859">
        <f t="shared" si="1606"/>
        <v>251.64200000000002</v>
      </c>
      <c r="BO639" s="859">
        <f t="shared" si="1606"/>
        <v>251.64200000000002</v>
      </c>
      <c r="BP639" s="859">
        <f t="shared" si="1606"/>
        <v>295.173</v>
      </c>
      <c r="BQ639" s="859">
        <f t="shared" si="1606"/>
        <v>318.745</v>
      </c>
      <c r="BR639" s="859">
        <f t="shared" si="1606"/>
        <v>318.745</v>
      </c>
      <c r="BS639" s="859">
        <f t="shared" si="1606"/>
        <v>369.97599999999989</v>
      </c>
      <c r="BT639" s="859">
        <f t="shared" si="1606"/>
        <v>376.31600000000003</v>
      </c>
      <c r="BU639" s="859">
        <f t="shared" si="1606"/>
        <v>376.31600000000003</v>
      </c>
      <c r="BV639" s="859">
        <f t="shared" si="1606"/>
        <v>426.06300000000005</v>
      </c>
      <c r="BW639" s="859">
        <f t="shared" si="1606"/>
        <v>452.63699999999989</v>
      </c>
      <c r="BX639" s="859">
        <f t="shared" si="1606"/>
        <v>452.63699999999989</v>
      </c>
      <c r="BY639" s="859">
        <f t="shared" si="1606"/>
        <v>415.875</v>
      </c>
      <c r="BZ639" s="859">
        <f t="shared" si="1606"/>
        <v>472.80100000000004</v>
      </c>
      <c r="CA639" s="859">
        <f t="shared" si="1606"/>
        <v>472.80100000000004</v>
      </c>
      <c r="CB639" s="859">
        <f t="shared" si="1606"/>
        <v>473.99399999999991</v>
      </c>
      <c r="CC639" s="859">
        <f t="shared" si="1606"/>
        <v>477.91899999999981</v>
      </c>
      <c r="CD639" s="859">
        <f t="shared" si="1606"/>
        <v>477.91899999999981</v>
      </c>
      <c r="CE639" s="859">
        <f t="shared" si="1606"/>
        <v>504.78100000000012</v>
      </c>
      <c r="CF639" s="859">
        <f t="shared" si="1606"/>
        <v>493.90000000000009</v>
      </c>
      <c r="CG639" s="859">
        <f t="shared" si="1606"/>
        <v>493.90000000000009</v>
      </c>
      <c r="CH639" s="859">
        <f t="shared" si="1606"/>
        <v>403.77800000000013</v>
      </c>
      <c r="CI639" s="859">
        <f t="shared" si="1606"/>
        <v>382.06599999999992</v>
      </c>
      <c r="CJ639" s="859">
        <f t="shared" si="1606"/>
        <v>382.06599999999992</v>
      </c>
      <c r="CK639" s="859">
        <f t="shared" si="1606"/>
        <v>463.61300000000006</v>
      </c>
      <c r="CL639" s="859">
        <f t="shared" si="1606"/>
        <v>474.69299999999998</v>
      </c>
      <c r="CM639" s="859">
        <f t="shared" si="1606"/>
        <v>474.69299999999998</v>
      </c>
      <c r="CN639" s="859">
        <f t="shared" si="1606"/>
        <v>488.75099999999998</v>
      </c>
      <c r="CO639" s="859">
        <f t="shared" si="1606"/>
        <v>510.49300000000005</v>
      </c>
      <c r="CP639" s="859">
        <f t="shared" si="1606"/>
        <v>510.49300000000005</v>
      </c>
      <c r="CQ639" s="859">
        <f t="shared" si="1606"/>
        <v>493.05300000000011</v>
      </c>
      <c r="CR639" s="859">
        <f t="shared" si="1606"/>
        <v>495.88900000000012</v>
      </c>
      <c r="CS639" s="859">
        <f t="shared" si="1606"/>
        <v>495.88900000000012</v>
      </c>
      <c r="CT639" s="859">
        <f t="shared" si="1606"/>
        <v>548.20400000000006</v>
      </c>
      <c r="CU639" s="859">
        <f t="shared" si="1606"/>
        <v>566.37800000000004</v>
      </c>
      <c r="CV639" s="859">
        <f t="shared" si="1606"/>
        <v>566.37800000000004</v>
      </c>
      <c r="CW639" s="859">
        <f t="shared" si="1606"/>
        <v>581.21299999999997</v>
      </c>
      <c r="CX639" s="859">
        <f t="shared" si="1606"/>
        <v>673.029</v>
      </c>
      <c r="CY639" s="859">
        <f t="shared" si="1606"/>
        <v>673.029</v>
      </c>
      <c r="CZ639" s="859">
        <f t="shared" si="1606"/>
        <v>711.90000000000009</v>
      </c>
      <c r="DA639" s="859">
        <f t="shared" si="1606"/>
        <v>697</v>
      </c>
      <c r="DB639" s="859">
        <f t="shared" si="1606"/>
        <v>697</v>
      </c>
      <c r="DC639" s="859">
        <f t="shared" si="1606"/>
        <v>726.2</v>
      </c>
      <c r="DD639" s="859">
        <f t="shared" si="1606"/>
        <v>828.89999999999975</v>
      </c>
      <c r="DE639" s="859">
        <f t="shared" si="1606"/>
        <v>828.89999999999975</v>
      </c>
      <c r="DF639" s="859">
        <f t="shared" si="1606"/>
        <v>950.3</v>
      </c>
      <c r="DG639" s="859">
        <f t="shared" si="1606"/>
        <v>1309.4999999999995</v>
      </c>
      <c r="DH639" s="1344">
        <f t="shared" si="1606"/>
        <v>1309.4999999999995</v>
      </c>
      <c r="DI639" s="859">
        <f t="shared" si="1606"/>
        <v>1164.5</v>
      </c>
      <c r="DJ639" s="859">
        <f t="shared" si="1606"/>
        <v>1137.0999999999999</v>
      </c>
      <c r="DK639" s="1344">
        <f t="shared" si="1606"/>
        <v>1137.0999999999999</v>
      </c>
      <c r="DL639" s="859">
        <f t="shared" si="1606"/>
        <v>1224.1999999999998</v>
      </c>
      <c r="DM639" s="859">
        <f t="shared" si="1606"/>
        <v>1099.0000000000002</v>
      </c>
      <c r="DN639" s="1344">
        <f t="shared" si="1606"/>
        <v>1099.0000000000002</v>
      </c>
      <c r="DO639" s="859">
        <f t="shared" si="1606"/>
        <v>1209.8999999999996</v>
      </c>
      <c r="DP639" s="859">
        <f t="shared" si="1606"/>
        <v>1193.3</v>
      </c>
      <c r="DQ639" s="1344">
        <f t="shared" si="1606"/>
        <v>1193.3</v>
      </c>
      <c r="DR639" s="859">
        <f t="shared" ref="DR639:DW639" si="1607">DR636+DR637</f>
        <v>1296.5999999999999</v>
      </c>
      <c r="DS639" s="859">
        <f t="shared" si="1607"/>
        <v>1326.9</v>
      </c>
      <c r="DT639" s="1344">
        <f t="shared" si="1607"/>
        <v>1326.9</v>
      </c>
      <c r="DU639" s="859">
        <f t="shared" si="1607"/>
        <v>1484.5</v>
      </c>
      <c r="DV639" s="859">
        <f t="shared" si="1607"/>
        <v>1674.6</v>
      </c>
      <c r="DW639" s="1344">
        <f t="shared" si="1607"/>
        <v>1674.6</v>
      </c>
      <c r="DX639" s="859">
        <f t="shared" ref="DX639:EC639" si="1608">DX636+DX637</f>
        <v>1750.9999999999995</v>
      </c>
      <c r="DY639" s="859">
        <f t="shared" si="1608"/>
        <v>1833.4350136515372</v>
      </c>
      <c r="DZ639" s="1344">
        <f t="shared" si="1608"/>
        <v>1833.4350136515372</v>
      </c>
      <c r="EA639" s="859">
        <f t="shared" si="1608"/>
        <v>1810.4905519803685</v>
      </c>
      <c r="EB639" s="859">
        <f t="shared" si="1608"/>
        <v>1808.654659479248</v>
      </c>
      <c r="EC639" s="1344">
        <f t="shared" si="1608"/>
        <v>1808.654659479248</v>
      </c>
      <c r="ED639" s="859">
        <f t="shared" ref="ED639:EL639" si="1609">ED636+ED637</f>
        <v>1855.6951164942193</v>
      </c>
      <c r="EE639" s="859">
        <f t="shared" si="1609"/>
        <v>1886.5151917777748</v>
      </c>
      <c r="EF639" s="1344">
        <f t="shared" si="1609"/>
        <v>1886.5151917777748</v>
      </c>
      <c r="EG639" s="859">
        <f t="shared" si="1609"/>
        <v>1940.389867715689</v>
      </c>
      <c r="EH639" s="859">
        <f t="shared" si="1609"/>
        <v>1972.8224140484494</v>
      </c>
      <c r="EI639" s="1344">
        <f t="shared" si="1609"/>
        <v>1972.8224140484494</v>
      </c>
      <c r="EJ639" s="859">
        <f t="shared" si="1609"/>
        <v>2028.4111728612422</v>
      </c>
      <c r="EK639" s="859">
        <f t="shared" si="1609"/>
        <v>2062.5250378067926</v>
      </c>
      <c r="EL639" s="1344">
        <f t="shared" si="1609"/>
        <v>2062.5250378067926</v>
      </c>
      <c r="EM639" s="859">
        <f t="shared" ref="EM639:ER639" si="1610">EM636+EM637</f>
        <v>2119.7302568059831</v>
      </c>
      <c r="EN639" s="859">
        <f t="shared" si="1610"/>
        <v>2155.5956013584719</v>
      </c>
      <c r="EO639" s="1344">
        <f t="shared" si="1610"/>
        <v>2155.5956013584719</v>
      </c>
      <c r="EP639" s="859">
        <f t="shared" si="1610"/>
        <v>2214.2902331320965</v>
      </c>
      <c r="EQ639" s="859">
        <f t="shared" si="1610"/>
        <v>2251.9782600155804</v>
      </c>
      <c r="ER639" s="1344">
        <f t="shared" si="1610"/>
        <v>2251.9782600155804</v>
      </c>
      <c r="ES639" s="859">
        <f t="shared" ref="ES639:EX639" si="1611">ES636+ES637</f>
        <v>2312.001377507534</v>
      </c>
      <c r="ET639" s="859">
        <f t="shared" si="1611"/>
        <v>2351.5840011691071</v>
      </c>
      <c r="EU639" s="1344">
        <f t="shared" si="1611"/>
        <v>2351.5840011691071</v>
      </c>
      <c r="EV639" s="859">
        <f t="shared" si="1611"/>
        <v>2412.7357804826706</v>
      </c>
      <c r="EW639" s="859">
        <f t="shared" si="1611"/>
        <v>2454.2852305159831</v>
      </c>
      <c r="EX639" s="1344">
        <f t="shared" si="1611"/>
        <v>2454.2852305159831</v>
      </c>
      <c r="EY639" s="859">
        <f t="shared" ref="EY639:FA639" si="1612">EY636+EY637</f>
        <v>2516.3213063484973</v>
      </c>
      <c r="EZ639" s="859">
        <f t="shared" si="1612"/>
        <v>2559.9096550699355</v>
      </c>
      <c r="FA639" s="1344">
        <f t="shared" si="1612"/>
        <v>2559.9096550699355</v>
      </c>
      <c r="FE639"/>
      <c r="FF639"/>
      <c r="FG639"/>
      <c r="FH639"/>
      <c r="FI639"/>
      <c r="FJ639"/>
      <c r="FK639" s="35"/>
    </row>
    <row r="640" spans="1:167" s="236" customFormat="1" ht="13.35" customHeight="1">
      <c r="A640" s="289"/>
      <c r="B640" s="289" t="s">
        <v>375</v>
      </c>
      <c r="C640" s="806"/>
      <c r="D640" s="289"/>
      <c r="E640" s="820"/>
      <c r="F640" s="820"/>
      <c r="G640" s="821"/>
      <c r="H640" s="820"/>
      <c r="I640" s="820"/>
      <c r="J640" s="821"/>
      <c r="K640" s="820"/>
      <c r="L640" s="820"/>
      <c r="M640" s="821"/>
      <c r="N640" s="820"/>
      <c r="O640" s="820"/>
      <c r="P640" s="821"/>
      <c r="Q640" s="809"/>
      <c r="R640" s="809"/>
      <c r="S640" s="810"/>
      <c r="T640" s="809"/>
      <c r="U640" s="809"/>
      <c r="V640" s="808"/>
      <c r="W640" s="807"/>
      <c r="X640" s="807"/>
      <c r="Y640" s="808"/>
      <c r="Z640" s="807"/>
      <c r="AA640" s="807"/>
      <c r="AB640" s="808"/>
      <c r="AC640" s="807"/>
      <c r="AD640" s="807"/>
      <c r="AE640" s="808"/>
      <c r="AF640" s="807"/>
      <c r="AG640" s="807"/>
      <c r="AH640" s="808"/>
      <c r="AI640" s="807"/>
      <c r="AJ640" s="807"/>
      <c r="AK640" s="808"/>
      <c r="AL640" s="807"/>
      <c r="AM640" s="807"/>
      <c r="AN640" s="859"/>
      <c r="AO640" s="859"/>
      <c r="AP640" s="859"/>
      <c r="AQ640" s="859"/>
      <c r="AR640" s="859"/>
      <c r="AS640" s="859"/>
      <c r="AT640" s="859"/>
      <c r="AU640" s="859"/>
      <c r="AV640" s="859"/>
      <c r="AW640" s="859"/>
      <c r="AX640" s="859"/>
      <c r="AY640" s="859"/>
      <c r="AZ640" s="859"/>
      <c r="BA640" s="859"/>
      <c r="BB640" s="859"/>
      <c r="BC640" s="859"/>
      <c r="BD640" s="859"/>
      <c r="BE640" s="859"/>
      <c r="BF640" s="859"/>
      <c r="BG640" s="859"/>
      <c r="BH640" s="859"/>
      <c r="BI640" s="859"/>
      <c r="BJ640" s="859">
        <f>BJ230-BJ269-BJ290</f>
        <v>38.795000000000002</v>
      </c>
      <c r="BK640" s="859">
        <f t="shared" ref="BK640:DQ640" si="1613">BK230-BK269-BK290</f>
        <v>50.078999999999994</v>
      </c>
      <c r="BL640" s="859">
        <f t="shared" si="1613"/>
        <v>50.078999999999994</v>
      </c>
      <c r="BM640" s="859">
        <f t="shared" si="1613"/>
        <v>42.977999999999994</v>
      </c>
      <c r="BN640" s="859">
        <f t="shared" si="1613"/>
        <v>-96.980999999999995</v>
      </c>
      <c r="BO640" s="859">
        <f t="shared" si="1613"/>
        <v>-96.980999999999995</v>
      </c>
      <c r="BP640" s="859">
        <f t="shared" si="1613"/>
        <v>-90.484000000000009</v>
      </c>
      <c r="BQ640" s="859">
        <f t="shared" si="1613"/>
        <v>-108.967</v>
      </c>
      <c r="BR640" s="859">
        <f t="shared" si="1613"/>
        <v>-108.967</v>
      </c>
      <c r="BS640" s="859">
        <f t="shared" si="1613"/>
        <v>-131.69400000000002</v>
      </c>
      <c r="BT640" s="859">
        <f t="shared" si="1613"/>
        <v>-115.50699999999998</v>
      </c>
      <c r="BU640" s="859">
        <f t="shared" si="1613"/>
        <v>-115.50699999999998</v>
      </c>
      <c r="BV640" s="859">
        <f t="shared" si="1613"/>
        <v>-138.42499999999998</v>
      </c>
      <c r="BW640" s="859">
        <f t="shared" si="1613"/>
        <v>-133.29599999999999</v>
      </c>
      <c r="BX640" s="859">
        <f t="shared" si="1613"/>
        <v>-133.29599999999999</v>
      </c>
      <c r="BY640" s="859">
        <f t="shared" si="1613"/>
        <v>-134.36600000000001</v>
      </c>
      <c r="BZ640" s="859">
        <f t="shared" si="1613"/>
        <v>-108.56699999999999</v>
      </c>
      <c r="CA640" s="859">
        <f t="shared" si="1613"/>
        <v>-108.56699999999999</v>
      </c>
      <c r="CB640" s="859">
        <f t="shared" si="1613"/>
        <v>-68.890999999999991</v>
      </c>
      <c r="CC640" s="859">
        <f t="shared" si="1613"/>
        <v>-113.93700000000001</v>
      </c>
      <c r="CD640" s="859">
        <f t="shared" si="1613"/>
        <v>-113.93700000000001</v>
      </c>
      <c r="CE640" s="859">
        <f t="shared" si="1613"/>
        <v>-17.378000000000007</v>
      </c>
      <c r="CF640" s="859">
        <f t="shared" si="1613"/>
        <v>9.3830000000000027</v>
      </c>
      <c r="CG640" s="859">
        <f t="shared" si="1613"/>
        <v>9.3830000000000027</v>
      </c>
      <c r="CH640" s="859">
        <f t="shared" si="1613"/>
        <v>-8.5300000000000082</v>
      </c>
      <c r="CI640" s="859">
        <f t="shared" si="1613"/>
        <v>2.8140000000000036</v>
      </c>
      <c r="CJ640" s="859">
        <f t="shared" si="1613"/>
        <v>2.8140000000000036</v>
      </c>
      <c r="CK640" s="859">
        <f t="shared" si="1613"/>
        <v>-72.522999999999996</v>
      </c>
      <c r="CL640" s="859">
        <f t="shared" si="1613"/>
        <v>-117.78</v>
      </c>
      <c r="CM640" s="859">
        <f t="shared" si="1613"/>
        <v>-117.78</v>
      </c>
      <c r="CN640" s="859">
        <f t="shared" si="1613"/>
        <v>-166.32900000000001</v>
      </c>
      <c r="CO640" s="859">
        <f t="shared" si="1613"/>
        <v>-181.28800000000001</v>
      </c>
      <c r="CP640" s="859">
        <f t="shared" si="1613"/>
        <v>-181.28800000000001</v>
      </c>
      <c r="CQ640" s="859">
        <f t="shared" si="1613"/>
        <v>-171.607</v>
      </c>
      <c r="CR640" s="859">
        <f t="shared" si="1613"/>
        <v>-140.50299999999999</v>
      </c>
      <c r="CS640" s="859">
        <f t="shared" si="1613"/>
        <v>-140.50299999999999</v>
      </c>
      <c r="CT640" s="859">
        <f t="shared" si="1613"/>
        <v>-132.86199999999997</v>
      </c>
      <c r="CU640" s="859">
        <f t="shared" si="1613"/>
        <v>-117.82099999999998</v>
      </c>
      <c r="CV640" s="859">
        <f t="shared" si="1613"/>
        <v>-117.82099999999998</v>
      </c>
      <c r="CW640" s="859">
        <f t="shared" si="1613"/>
        <v>-93.527999999999992</v>
      </c>
      <c r="CX640" s="859">
        <f t="shared" si="1613"/>
        <v>-129.38200000000001</v>
      </c>
      <c r="CY640" s="859">
        <f t="shared" si="1613"/>
        <v>-129.38200000000001</v>
      </c>
      <c r="CZ640" s="859">
        <f t="shared" si="1613"/>
        <v>-137.1</v>
      </c>
      <c r="DA640" s="859">
        <f t="shared" si="1613"/>
        <v>-86.2</v>
      </c>
      <c r="DB640" s="859">
        <f t="shared" si="1613"/>
        <v>-86.2</v>
      </c>
      <c r="DC640" s="859">
        <f t="shared" si="1613"/>
        <v>-72.7</v>
      </c>
      <c r="DD640" s="859">
        <f t="shared" si="1613"/>
        <v>-103.00000000000001</v>
      </c>
      <c r="DE640" s="859">
        <f t="shared" si="1613"/>
        <v>-103.00000000000001</v>
      </c>
      <c r="DF640" s="859">
        <f t="shared" si="1613"/>
        <v>-144.30000000000001</v>
      </c>
      <c r="DG640" s="859">
        <f t="shared" si="1613"/>
        <v>92.100000000000023</v>
      </c>
      <c r="DH640" s="1344">
        <f t="shared" si="1613"/>
        <v>92.100000000000023</v>
      </c>
      <c r="DI640" s="859">
        <f t="shared" si="1613"/>
        <v>476.90000000000003</v>
      </c>
      <c r="DJ640" s="859">
        <f t="shared" si="1613"/>
        <v>564.6</v>
      </c>
      <c r="DK640" s="1344">
        <f t="shared" si="1613"/>
        <v>564.6</v>
      </c>
      <c r="DL640" s="859">
        <f t="shared" si="1613"/>
        <v>505.6</v>
      </c>
      <c r="DM640" s="859">
        <f t="shared" si="1613"/>
        <v>586.69999999999993</v>
      </c>
      <c r="DN640" s="1344">
        <f t="shared" si="1613"/>
        <v>586.69999999999993</v>
      </c>
      <c r="DO640" s="859">
        <f t="shared" si="1613"/>
        <v>505.40000000000003</v>
      </c>
      <c r="DP640" s="859">
        <f t="shared" si="1613"/>
        <v>555.5</v>
      </c>
      <c r="DQ640" s="1344">
        <f t="shared" si="1613"/>
        <v>555.5</v>
      </c>
      <c r="DR640" s="859">
        <f t="shared" ref="DR640:DW640" si="1614">DR230-DR269-DR290</f>
        <v>485.2</v>
      </c>
      <c r="DS640" s="859">
        <f t="shared" si="1614"/>
        <v>513.6</v>
      </c>
      <c r="DT640" s="1344">
        <f t="shared" si="1614"/>
        <v>513.6</v>
      </c>
      <c r="DU640" s="859">
        <f t="shared" si="1614"/>
        <v>383.1</v>
      </c>
      <c r="DV640" s="859">
        <f t="shared" si="1614"/>
        <v>275.7</v>
      </c>
      <c r="DW640" s="1344">
        <f t="shared" si="1614"/>
        <v>275.7</v>
      </c>
      <c r="DX640" s="859">
        <f t="shared" ref="DX640:EC640" si="1615">DX230-DX269-DX290</f>
        <v>187.1</v>
      </c>
      <c r="DY640" s="859">
        <f t="shared" si="1615"/>
        <v>100.23874779745012</v>
      </c>
      <c r="DZ640" s="1344">
        <f t="shared" si="1615"/>
        <v>100.23874779745012</v>
      </c>
      <c r="EA640" s="859">
        <f t="shared" si="1615"/>
        <v>128.91397208177304</v>
      </c>
      <c r="EB640" s="859">
        <f t="shared" si="1615"/>
        <v>131.63220177608389</v>
      </c>
      <c r="EC640" s="1344">
        <f t="shared" si="1615"/>
        <v>131.63220177608389</v>
      </c>
      <c r="ED640" s="859">
        <f t="shared" ref="ED640:EL640" si="1616">ED230-ED269-ED290</f>
        <v>125.84257601085091</v>
      </c>
      <c r="EE640" s="859">
        <f t="shared" si="1616"/>
        <v>130.47041149723071</v>
      </c>
      <c r="EF640" s="1344">
        <f t="shared" si="1616"/>
        <v>130.47041149723071</v>
      </c>
      <c r="EG640" s="859">
        <f t="shared" si="1616"/>
        <v>127.60570320041623</v>
      </c>
      <c r="EH640" s="859">
        <f t="shared" si="1616"/>
        <v>139.37201013236</v>
      </c>
      <c r="EI640" s="1344">
        <f t="shared" si="1616"/>
        <v>139.37201013236</v>
      </c>
      <c r="EJ640" s="859">
        <f t="shared" si="1616"/>
        <v>192.29259197065275</v>
      </c>
      <c r="EK640" s="859">
        <f t="shared" si="1616"/>
        <v>262.04585962677203</v>
      </c>
      <c r="EL640" s="1344">
        <f t="shared" si="1616"/>
        <v>262.04585962677203</v>
      </c>
      <c r="EM640" s="859">
        <f t="shared" ref="EM640:ER640" si="1617">EM230-EM269-EM290</f>
        <v>322.92581149900855</v>
      </c>
      <c r="EN640" s="859">
        <f t="shared" si="1617"/>
        <v>401.05388521561446</v>
      </c>
      <c r="EO640" s="1344">
        <f t="shared" si="1617"/>
        <v>401.05388521561446</v>
      </c>
      <c r="EP640" s="859">
        <f t="shared" si="1617"/>
        <v>470.97278923513545</v>
      </c>
      <c r="EQ640" s="859">
        <f t="shared" si="1617"/>
        <v>558.03536382090488</v>
      </c>
      <c r="ER640" s="1344">
        <f t="shared" si="1617"/>
        <v>558.03536382090488</v>
      </c>
      <c r="ES640" s="859">
        <f t="shared" ref="ES640:EX640" si="1618">ES230-ES269-ES290</f>
        <v>638.75927986390798</v>
      </c>
      <c r="ET640" s="859">
        <f t="shared" si="1618"/>
        <v>735.67036629922052</v>
      </c>
      <c r="EU640" s="1344">
        <f t="shared" si="1618"/>
        <v>735.67036629922052</v>
      </c>
      <c r="EV640" s="859">
        <f t="shared" si="1618"/>
        <v>828.51584009266276</v>
      </c>
      <c r="EW640" s="859">
        <f t="shared" si="1618"/>
        <v>936.27990330300736</v>
      </c>
      <c r="EX640" s="1344">
        <f t="shared" si="1618"/>
        <v>936.27990330300736</v>
      </c>
      <c r="EY640" s="859">
        <f t="shared" ref="EY640:FA640" si="1619">EY230-EY269-EY290</f>
        <v>1042.7122108301246</v>
      </c>
      <c r="EZ640" s="859">
        <f t="shared" si="1619"/>
        <v>1162.4332956130875</v>
      </c>
      <c r="FA640" s="1344">
        <f t="shared" si="1619"/>
        <v>1162.4332956130875</v>
      </c>
      <c r="FE640"/>
      <c r="FF640"/>
      <c r="FG640"/>
      <c r="FH640"/>
      <c r="FI640"/>
      <c r="FJ640"/>
      <c r="FK640" s="35"/>
    </row>
    <row r="641" spans="1:167" s="236" customFormat="1" ht="13.35" customHeight="1">
      <c r="A641" s="289"/>
      <c r="B641" s="289" t="s">
        <v>376</v>
      </c>
      <c r="C641" s="806"/>
      <c r="D641" s="289"/>
      <c r="E641" s="820"/>
      <c r="F641" s="820"/>
      <c r="G641" s="821"/>
      <c r="H641" s="820"/>
      <c r="I641" s="820"/>
      <c r="J641" s="821"/>
      <c r="K641" s="820"/>
      <c r="L641" s="820"/>
      <c r="M641" s="821"/>
      <c r="N641" s="820"/>
      <c r="O641" s="820"/>
      <c r="P641" s="821"/>
      <c r="Q641" s="809"/>
      <c r="R641" s="809"/>
      <c r="S641" s="810"/>
      <c r="T641" s="809"/>
      <c r="U641" s="809"/>
      <c r="V641" s="808"/>
      <c r="W641" s="807"/>
      <c r="X641" s="807"/>
      <c r="Y641" s="808"/>
      <c r="Z641" s="807"/>
      <c r="AA641" s="807"/>
      <c r="AB641" s="808"/>
      <c r="AC641" s="807"/>
      <c r="AD641" s="807"/>
      <c r="AE641" s="808"/>
      <c r="AF641" s="807"/>
      <c r="AG641" s="807"/>
      <c r="AH641" s="808"/>
      <c r="AI641" s="807"/>
      <c r="AJ641" s="807"/>
      <c r="AK641" s="808"/>
      <c r="AL641" s="807"/>
      <c r="AM641" s="807"/>
      <c r="AN641" s="859"/>
      <c r="AO641" s="859"/>
      <c r="AP641" s="859"/>
      <c r="AQ641" s="859"/>
      <c r="AR641" s="859"/>
      <c r="AS641" s="859"/>
      <c r="AT641" s="859"/>
      <c r="AU641" s="859"/>
      <c r="AV641" s="859"/>
      <c r="AW641" s="859"/>
      <c r="AX641" s="859"/>
      <c r="AY641" s="859"/>
      <c r="AZ641" s="859"/>
      <c r="BA641" s="859"/>
      <c r="BB641" s="859"/>
      <c r="BC641" s="859"/>
      <c r="BD641" s="859"/>
      <c r="BE641" s="859"/>
      <c r="BF641" s="859"/>
      <c r="BG641" s="859"/>
      <c r="BH641" s="859"/>
      <c r="BI641" s="859"/>
      <c r="BJ641" s="859">
        <f>BJ235+BJ250</f>
        <v>0</v>
      </c>
      <c r="BK641" s="859">
        <f>-(BK235+BK250)</f>
        <v>0</v>
      </c>
      <c r="BL641" s="859">
        <f>(BL235+BL250)</f>
        <v>0</v>
      </c>
      <c r="BM641" s="859">
        <f t="shared" ref="BM641:DQ641" si="1620">(BM235+BM250)</f>
        <v>0</v>
      </c>
      <c r="BN641" s="859">
        <f t="shared" si="1620"/>
        <v>0.187</v>
      </c>
      <c r="BO641" s="859">
        <f t="shared" si="1620"/>
        <v>0.187</v>
      </c>
      <c r="BP641" s="859">
        <f t="shared" si="1620"/>
        <v>0</v>
      </c>
      <c r="BQ641" s="859">
        <f t="shared" si="1620"/>
        <v>0.38300000000000001</v>
      </c>
      <c r="BR641" s="859">
        <f t="shared" si="1620"/>
        <v>0.38300000000000001</v>
      </c>
      <c r="BS641" s="859">
        <f t="shared" si="1620"/>
        <v>0</v>
      </c>
      <c r="BT641" s="859">
        <f t="shared" si="1620"/>
        <v>0</v>
      </c>
      <c r="BU641" s="859">
        <f t="shared" si="1620"/>
        <v>0</v>
      </c>
      <c r="BV641" s="859">
        <f t="shared" si="1620"/>
        <v>0</v>
      </c>
      <c r="BW641" s="859">
        <f t="shared" si="1620"/>
        <v>0</v>
      </c>
      <c r="BX641" s="859">
        <f t="shared" si="1620"/>
        <v>0</v>
      </c>
      <c r="BY641" s="859">
        <f t="shared" si="1620"/>
        <v>0</v>
      </c>
      <c r="BZ641" s="859">
        <f t="shared" si="1620"/>
        <v>0</v>
      </c>
      <c r="CA641" s="859">
        <f t="shared" si="1620"/>
        <v>0</v>
      </c>
      <c r="CB641" s="859">
        <f t="shared" si="1620"/>
        <v>0</v>
      </c>
      <c r="CC641" s="859">
        <f t="shared" si="1620"/>
        <v>74.325999999999993</v>
      </c>
      <c r="CD641" s="859">
        <f t="shared" si="1620"/>
        <v>74.325999999999993</v>
      </c>
      <c r="CE641" s="859">
        <f t="shared" si="1620"/>
        <v>0</v>
      </c>
      <c r="CF641" s="859">
        <f t="shared" si="1620"/>
        <v>0</v>
      </c>
      <c r="CG641" s="859">
        <f t="shared" si="1620"/>
        <v>0</v>
      </c>
      <c r="CH641" s="859">
        <f t="shared" si="1620"/>
        <v>0</v>
      </c>
      <c r="CI641" s="859">
        <f t="shared" si="1620"/>
        <v>0</v>
      </c>
      <c r="CJ641" s="859">
        <f t="shared" si="1620"/>
        <v>0</v>
      </c>
      <c r="CK641" s="859">
        <f t="shared" si="1620"/>
        <v>0</v>
      </c>
      <c r="CL641" s="859">
        <f t="shared" si="1620"/>
        <v>0</v>
      </c>
      <c r="CM641" s="859">
        <f t="shared" si="1620"/>
        <v>0</v>
      </c>
      <c r="CN641" s="859">
        <f t="shared" si="1620"/>
        <v>0</v>
      </c>
      <c r="CO641" s="859">
        <f t="shared" si="1620"/>
        <v>0</v>
      </c>
      <c r="CP641" s="859">
        <f t="shared" si="1620"/>
        <v>0</v>
      </c>
      <c r="CQ641" s="859">
        <f t="shared" si="1620"/>
        <v>0</v>
      </c>
      <c r="CR641" s="859">
        <f t="shared" si="1620"/>
        <v>0</v>
      </c>
      <c r="CS641" s="859">
        <f t="shared" si="1620"/>
        <v>0</v>
      </c>
      <c r="CT641" s="859">
        <f t="shared" si="1620"/>
        <v>0</v>
      </c>
      <c r="CU641" s="859">
        <f t="shared" si="1620"/>
        <v>13.755000000000001</v>
      </c>
      <c r="CV641" s="859">
        <f t="shared" si="1620"/>
        <v>13.755000000000001</v>
      </c>
      <c r="CW641" s="859">
        <f t="shared" si="1620"/>
        <v>13.755000000000001</v>
      </c>
      <c r="CX641" s="859">
        <f t="shared" si="1620"/>
        <v>15.064</v>
      </c>
      <c r="CY641" s="859">
        <f t="shared" si="1620"/>
        <v>15.064</v>
      </c>
      <c r="CZ641" s="859">
        <f t="shared" si="1620"/>
        <v>17.600000000000001</v>
      </c>
      <c r="DA641" s="859">
        <f t="shared" si="1620"/>
        <v>15.8</v>
      </c>
      <c r="DB641" s="859">
        <f t="shared" si="1620"/>
        <v>15.8</v>
      </c>
      <c r="DC641" s="859">
        <f t="shared" si="1620"/>
        <v>33.1</v>
      </c>
      <c r="DD641" s="859">
        <f t="shared" si="1620"/>
        <v>47.8</v>
      </c>
      <c r="DE641" s="859">
        <f t="shared" si="1620"/>
        <v>47.8</v>
      </c>
      <c r="DF641" s="859">
        <f t="shared" si="1620"/>
        <v>83</v>
      </c>
      <c r="DG641" s="859">
        <f t="shared" si="1620"/>
        <v>94.9</v>
      </c>
      <c r="DH641" s="1344">
        <f t="shared" si="1620"/>
        <v>94.9</v>
      </c>
      <c r="DI641" s="859">
        <f t="shared" si="1620"/>
        <v>132.1</v>
      </c>
      <c r="DJ641" s="859">
        <f t="shared" si="1620"/>
        <v>199.5</v>
      </c>
      <c r="DK641" s="1344">
        <f t="shared" si="1620"/>
        <v>199.5</v>
      </c>
      <c r="DL641" s="859">
        <f t="shared" si="1620"/>
        <v>180.9</v>
      </c>
      <c r="DM641" s="859">
        <f t="shared" si="1620"/>
        <v>119.1</v>
      </c>
      <c r="DN641" s="1344">
        <f t="shared" si="1620"/>
        <v>119.1</v>
      </c>
      <c r="DO641" s="859">
        <f t="shared" si="1620"/>
        <v>88.4</v>
      </c>
      <c r="DP641" s="859">
        <f t="shared" si="1620"/>
        <v>93.8</v>
      </c>
      <c r="DQ641" s="1344">
        <f t="shared" si="1620"/>
        <v>93.8</v>
      </c>
      <c r="DR641" s="859">
        <f t="shared" ref="DR641:DW641" si="1621">(DR235+DR250)</f>
        <v>56.2</v>
      </c>
      <c r="DS641" s="859">
        <f t="shared" si="1621"/>
        <v>80.5</v>
      </c>
      <c r="DT641" s="1344">
        <f t="shared" si="1621"/>
        <v>80.5</v>
      </c>
      <c r="DU641" s="859">
        <f t="shared" si="1621"/>
        <v>91.2</v>
      </c>
      <c r="DV641" s="859">
        <f t="shared" si="1621"/>
        <v>76.900000000000006</v>
      </c>
      <c r="DW641" s="1344">
        <f t="shared" si="1621"/>
        <v>76.900000000000006</v>
      </c>
      <c r="DX641" s="859">
        <f t="shared" ref="DX641:EC641" si="1622">(DX235+DX250)</f>
        <v>42</v>
      </c>
      <c r="DY641" s="859">
        <f t="shared" si="1622"/>
        <v>42</v>
      </c>
      <c r="DZ641" s="1344">
        <f t="shared" si="1622"/>
        <v>42</v>
      </c>
      <c r="EA641" s="859">
        <f t="shared" si="1622"/>
        <v>17</v>
      </c>
      <c r="EB641" s="859">
        <f t="shared" si="1622"/>
        <v>-8</v>
      </c>
      <c r="EC641" s="1344">
        <f t="shared" si="1622"/>
        <v>-8</v>
      </c>
      <c r="ED641" s="859">
        <f t="shared" ref="ED641:EL641" si="1623">(ED235+ED250)</f>
        <v>-8</v>
      </c>
      <c r="EE641" s="859">
        <f t="shared" si="1623"/>
        <v>-8</v>
      </c>
      <c r="EF641" s="1344">
        <f t="shared" si="1623"/>
        <v>-8</v>
      </c>
      <c r="EG641" s="859">
        <f t="shared" si="1623"/>
        <v>-8</v>
      </c>
      <c r="EH641" s="859">
        <f t="shared" si="1623"/>
        <v>-8</v>
      </c>
      <c r="EI641" s="1344">
        <f t="shared" si="1623"/>
        <v>-8</v>
      </c>
      <c r="EJ641" s="859">
        <f t="shared" si="1623"/>
        <v>-8</v>
      </c>
      <c r="EK641" s="859">
        <f t="shared" si="1623"/>
        <v>-8</v>
      </c>
      <c r="EL641" s="1344">
        <f t="shared" si="1623"/>
        <v>-8</v>
      </c>
      <c r="EM641" s="859">
        <f t="shared" ref="EM641:ER641" si="1624">(EM235+EM250)</f>
        <v>-8</v>
      </c>
      <c r="EN641" s="859">
        <f t="shared" si="1624"/>
        <v>-8</v>
      </c>
      <c r="EO641" s="1344">
        <f t="shared" si="1624"/>
        <v>-8</v>
      </c>
      <c r="EP641" s="859">
        <f t="shared" si="1624"/>
        <v>-8</v>
      </c>
      <c r="EQ641" s="859">
        <f t="shared" si="1624"/>
        <v>-8</v>
      </c>
      <c r="ER641" s="1344">
        <f t="shared" si="1624"/>
        <v>-8</v>
      </c>
      <c r="ES641" s="859">
        <f t="shared" ref="ES641:EX641" si="1625">(ES235+ES250)</f>
        <v>-8</v>
      </c>
      <c r="ET641" s="859">
        <f t="shared" si="1625"/>
        <v>-8</v>
      </c>
      <c r="EU641" s="1344">
        <f t="shared" si="1625"/>
        <v>-8</v>
      </c>
      <c r="EV641" s="859">
        <f t="shared" si="1625"/>
        <v>-8</v>
      </c>
      <c r="EW641" s="859">
        <f t="shared" si="1625"/>
        <v>-8</v>
      </c>
      <c r="EX641" s="1344">
        <f t="shared" si="1625"/>
        <v>-8</v>
      </c>
      <c r="EY641" s="859">
        <f t="shared" ref="EY641:FA641" si="1626">(EY235+EY250)</f>
        <v>-8</v>
      </c>
      <c r="EZ641" s="859">
        <f t="shared" si="1626"/>
        <v>-8</v>
      </c>
      <c r="FA641" s="1344">
        <f t="shared" si="1626"/>
        <v>-8</v>
      </c>
      <c r="FE641"/>
      <c r="FF641"/>
      <c r="FG641"/>
      <c r="FH641"/>
      <c r="FI641"/>
      <c r="FJ641"/>
      <c r="FK641" s="35"/>
    </row>
    <row r="642" spans="1:167" s="236" customFormat="1" ht="13.35" customHeight="1">
      <c r="A642" s="289"/>
      <c r="B642" s="289" t="s">
        <v>377</v>
      </c>
      <c r="C642" s="806"/>
      <c r="D642" s="289"/>
      <c r="E642" s="820"/>
      <c r="F642" s="820"/>
      <c r="G642" s="821"/>
      <c r="H642" s="820"/>
      <c r="I642" s="820"/>
      <c r="J642" s="821"/>
      <c r="K642" s="820"/>
      <c r="L642" s="820"/>
      <c r="M642" s="821"/>
      <c r="N642" s="820"/>
      <c r="O642" s="820"/>
      <c r="P642" s="821"/>
      <c r="Q642" s="809"/>
      <c r="R642" s="809"/>
      <c r="S642" s="810"/>
      <c r="T642" s="809"/>
      <c r="U642" s="809"/>
      <c r="V642" s="808"/>
      <c r="W642" s="807"/>
      <c r="X642" s="807"/>
      <c r="Y642" s="808"/>
      <c r="Z642" s="807"/>
      <c r="AA642" s="807"/>
      <c r="AB642" s="808"/>
      <c r="AC642" s="807"/>
      <c r="AD642" s="807"/>
      <c r="AE642" s="808"/>
      <c r="AF642" s="807"/>
      <c r="AG642" s="807"/>
      <c r="AH642" s="808"/>
      <c r="AI642" s="807"/>
      <c r="AJ642" s="807"/>
      <c r="AK642" s="808"/>
      <c r="AL642" s="807"/>
      <c r="AM642" s="807"/>
      <c r="AN642" s="859"/>
      <c r="AO642" s="859"/>
      <c r="AP642" s="859"/>
      <c r="AQ642" s="859"/>
      <c r="AR642" s="859"/>
      <c r="AS642" s="859"/>
      <c r="AT642" s="859"/>
      <c r="AU642" s="859"/>
      <c r="AV642" s="859"/>
      <c r="AW642" s="859"/>
      <c r="AX642" s="859"/>
      <c r="AY642" s="859"/>
      <c r="AZ642" s="859"/>
      <c r="BA642" s="859"/>
      <c r="BB642" s="859"/>
      <c r="BC642" s="859"/>
      <c r="BD642" s="859"/>
      <c r="BE642" s="859"/>
      <c r="BF642" s="859"/>
      <c r="BG642" s="859"/>
      <c r="BH642" s="859"/>
      <c r="BI642" s="859"/>
      <c r="BJ642" s="859">
        <f>SUM(BJ639:BJ641)</f>
        <v>154.40199999999999</v>
      </c>
      <c r="BK642" s="859">
        <f t="shared" ref="BK642:DQ642" si="1627">SUM(BK639:BK641)</f>
        <v>145.529</v>
      </c>
      <c r="BL642" s="859">
        <f t="shared" si="1627"/>
        <v>145.529</v>
      </c>
      <c r="BM642" s="859">
        <f t="shared" si="1627"/>
        <v>148.91399999999999</v>
      </c>
      <c r="BN642" s="859">
        <f t="shared" si="1627"/>
        <v>154.84800000000004</v>
      </c>
      <c r="BO642" s="859">
        <f t="shared" si="1627"/>
        <v>154.84800000000004</v>
      </c>
      <c r="BP642" s="859">
        <f t="shared" si="1627"/>
        <v>204.68899999999999</v>
      </c>
      <c r="BQ642" s="859">
        <f t="shared" si="1627"/>
        <v>210.16100000000003</v>
      </c>
      <c r="BR642" s="859">
        <f t="shared" si="1627"/>
        <v>210.16100000000003</v>
      </c>
      <c r="BS642" s="859">
        <f t="shared" si="1627"/>
        <v>238.28199999999987</v>
      </c>
      <c r="BT642" s="859">
        <f t="shared" si="1627"/>
        <v>260.80900000000008</v>
      </c>
      <c r="BU642" s="859">
        <f t="shared" si="1627"/>
        <v>260.80900000000008</v>
      </c>
      <c r="BV642" s="859">
        <f t="shared" si="1627"/>
        <v>287.63800000000003</v>
      </c>
      <c r="BW642" s="859">
        <f t="shared" si="1627"/>
        <v>319.34099999999989</v>
      </c>
      <c r="BX642" s="859">
        <f t="shared" si="1627"/>
        <v>319.34099999999989</v>
      </c>
      <c r="BY642" s="859">
        <f t="shared" si="1627"/>
        <v>281.50900000000001</v>
      </c>
      <c r="BZ642" s="859">
        <f t="shared" si="1627"/>
        <v>364.23400000000004</v>
      </c>
      <c r="CA642" s="859">
        <f t="shared" si="1627"/>
        <v>364.23400000000004</v>
      </c>
      <c r="CB642" s="859">
        <f t="shared" si="1627"/>
        <v>405.10299999999995</v>
      </c>
      <c r="CC642" s="859">
        <f t="shared" si="1627"/>
        <v>438.30799999999977</v>
      </c>
      <c r="CD642" s="859">
        <f t="shared" si="1627"/>
        <v>438.30799999999977</v>
      </c>
      <c r="CE642" s="859">
        <f t="shared" si="1627"/>
        <v>487.40300000000013</v>
      </c>
      <c r="CF642" s="859">
        <f t="shared" si="1627"/>
        <v>503.28300000000007</v>
      </c>
      <c r="CG642" s="859">
        <f t="shared" si="1627"/>
        <v>503.28300000000007</v>
      </c>
      <c r="CH642" s="859">
        <f t="shared" si="1627"/>
        <v>395.2480000000001</v>
      </c>
      <c r="CI642" s="859">
        <f t="shared" si="1627"/>
        <v>384.87999999999994</v>
      </c>
      <c r="CJ642" s="859">
        <f t="shared" si="1627"/>
        <v>384.87999999999994</v>
      </c>
      <c r="CK642" s="859">
        <f t="shared" si="1627"/>
        <v>391.09000000000003</v>
      </c>
      <c r="CL642" s="859">
        <f t="shared" si="1627"/>
        <v>356.91300000000001</v>
      </c>
      <c r="CM642" s="859">
        <f t="shared" si="1627"/>
        <v>356.91300000000001</v>
      </c>
      <c r="CN642" s="859">
        <f t="shared" si="1627"/>
        <v>322.42199999999997</v>
      </c>
      <c r="CO642" s="859">
        <f t="shared" si="1627"/>
        <v>329.20500000000004</v>
      </c>
      <c r="CP642" s="859">
        <f t="shared" si="1627"/>
        <v>329.20500000000004</v>
      </c>
      <c r="CQ642" s="859">
        <f t="shared" si="1627"/>
        <v>321.44600000000014</v>
      </c>
      <c r="CR642" s="859">
        <f t="shared" si="1627"/>
        <v>355.38600000000014</v>
      </c>
      <c r="CS642" s="859">
        <f t="shared" si="1627"/>
        <v>355.38600000000014</v>
      </c>
      <c r="CT642" s="859">
        <f t="shared" si="1627"/>
        <v>415.3420000000001</v>
      </c>
      <c r="CU642" s="859">
        <f t="shared" si="1627"/>
        <v>462.31200000000007</v>
      </c>
      <c r="CV642" s="859">
        <f t="shared" si="1627"/>
        <v>462.31200000000007</v>
      </c>
      <c r="CW642" s="859">
        <f t="shared" si="1627"/>
        <v>501.43999999999994</v>
      </c>
      <c r="CX642" s="859">
        <f t="shared" si="1627"/>
        <v>558.7109999999999</v>
      </c>
      <c r="CY642" s="859">
        <f t="shared" si="1627"/>
        <v>558.7109999999999</v>
      </c>
      <c r="CZ642" s="859">
        <f t="shared" si="1627"/>
        <v>592.40000000000009</v>
      </c>
      <c r="DA642" s="859">
        <f t="shared" si="1627"/>
        <v>626.59999999999991</v>
      </c>
      <c r="DB642" s="859">
        <f t="shared" si="1627"/>
        <v>626.59999999999991</v>
      </c>
      <c r="DC642" s="859">
        <f t="shared" si="1627"/>
        <v>686.6</v>
      </c>
      <c r="DD642" s="859">
        <f t="shared" si="1627"/>
        <v>773.6999999999997</v>
      </c>
      <c r="DE642" s="859">
        <f t="shared" si="1627"/>
        <v>773.6999999999997</v>
      </c>
      <c r="DF642" s="859">
        <f t="shared" si="1627"/>
        <v>889</v>
      </c>
      <c r="DG642" s="859">
        <f t="shared" si="1627"/>
        <v>1496.4999999999995</v>
      </c>
      <c r="DH642" s="1344">
        <f t="shared" si="1627"/>
        <v>1496.4999999999995</v>
      </c>
      <c r="DI642" s="859">
        <f t="shared" si="1627"/>
        <v>1773.5</v>
      </c>
      <c r="DJ642" s="859">
        <f t="shared" si="1627"/>
        <v>1901.1999999999998</v>
      </c>
      <c r="DK642" s="1344">
        <f t="shared" si="1627"/>
        <v>1901.1999999999998</v>
      </c>
      <c r="DL642" s="859">
        <f t="shared" si="1627"/>
        <v>1910.6999999999998</v>
      </c>
      <c r="DM642" s="859">
        <f t="shared" si="1627"/>
        <v>1804.8000000000002</v>
      </c>
      <c r="DN642" s="1344">
        <f t="shared" si="1627"/>
        <v>1804.8000000000002</v>
      </c>
      <c r="DO642" s="859">
        <f t="shared" si="1627"/>
        <v>1803.6999999999998</v>
      </c>
      <c r="DP642" s="859">
        <f t="shared" si="1627"/>
        <v>1842.6</v>
      </c>
      <c r="DQ642" s="1344">
        <f t="shared" si="1627"/>
        <v>1842.6</v>
      </c>
      <c r="DR642" s="859">
        <f t="shared" ref="DR642:DW642" si="1628">SUM(DR639:DR641)</f>
        <v>1838</v>
      </c>
      <c r="DS642" s="859">
        <f t="shared" si="1628"/>
        <v>1921</v>
      </c>
      <c r="DT642" s="1344">
        <f t="shared" si="1628"/>
        <v>1921</v>
      </c>
      <c r="DU642" s="859">
        <f t="shared" si="1628"/>
        <v>1958.8</v>
      </c>
      <c r="DV642" s="859">
        <f t="shared" si="1628"/>
        <v>2027.2</v>
      </c>
      <c r="DW642" s="1344">
        <f t="shared" si="1628"/>
        <v>2027.2</v>
      </c>
      <c r="DX642" s="859">
        <f t="shared" ref="DX642:EC642" si="1629">SUM(DX639:DX641)</f>
        <v>1980.0999999999995</v>
      </c>
      <c r="DY642" s="859">
        <f t="shared" si="1629"/>
        <v>1975.6737614489873</v>
      </c>
      <c r="DZ642" s="1344">
        <f t="shared" si="1629"/>
        <v>1975.6737614489873</v>
      </c>
      <c r="EA642" s="859">
        <f t="shared" si="1629"/>
        <v>1956.4045240621415</v>
      </c>
      <c r="EB642" s="859">
        <f t="shared" si="1629"/>
        <v>1932.286861255332</v>
      </c>
      <c r="EC642" s="1344">
        <f t="shared" si="1629"/>
        <v>1932.286861255332</v>
      </c>
      <c r="ED642" s="859">
        <f t="shared" ref="ED642:EL642" si="1630">SUM(ED639:ED641)</f>
        <v>1973.5376925050703</v>
      </c>
      <c r="EE642" s="859">
        <f t="shared" si="1630"/>
        <v>2008.9856032750056</v>
      </c>
      <c r="EF642" s="1344">
        <f t="shared" si="1630"/>
        <v>2008.9856032750056</v>
      </c>
      <c r="EG642" s="859">
        <f t="shared" si="1630"/>
        <v>2059.9955709161054</v>
      </c>
      <c r="EH642" s="859">
        <f t="shared" si="1630"/>
        <v>2104.1944241808096</v>
      </c>
      <c r="EI642" s="1344">
        <f t="shared" si="1630"/>
        <v>2104.1944241808096</v>
      </c>
      <c r="EJ642" s="859">
        <f t="shared" si="1630"/>
        <v>2212.7037648318951</v>
      </c>
      <c r="EK642" s="859">
        <f t="shared" si="1630"/>
        <v>2316.5708974335648</v>
      </c>
      <c r="EL642" s="1344">
        <f t="shared" si="1630"/>
        <v>2316.5708974335648</v>
      </c>
      <c r="EM642" s="859">
        <f t="shared" ref="EM642:ER642" si="1631">SUM(EM639:EM641)</f>
        <v>2434.6560683049915</v>
      </c>
      <c r="EN642" s="859">
        <f t="shared" si="1631"/>
        <v>2548.6494865740865</v>
      </c>
      <c r="EO642" s="1344">
        <f t="shared" si="1631"/>
        <v>2548.6494865740865</v>
      </c>
      <c r="EP642" s="859">
        <f t="shared" si="1631"/>
        <v>2677.2630223672322</v>
      </c>
      <c r="EQ642" s="859">
        <f t="shared" si="1631"/>
        <v>2802.0136238364853</v>
      </c>
      <c r="ER642" s="1344">
        <f t="shared" si="1631"/>
        <v>2802.0136238364853</v>
      </c>
      <c r="ES642" s="859">
        <f t="shared" ref="ES642:EX642" si="1632">SUM(ES639:ES641)</f>
        <v>2942.760657371442</v>
      </c>
      <c r="ET642" s="859">
        <f t="shared" si="1632"/>
        <v>3079.2543674683275</v>
      </c>
      <c r="EU642" s="1344">
        <f t="shared" si="1632"/>
        <v>3079.2543674683275</v>
      </c>
      <c r="EV642" s="859">
        <f t="shared" si="1632"/>
        <v>3233.2516205753336</v>
      </c>
      <c r="EW642" s="859">
        <f t="shared" si="1632"/>
        <v>3382.5651338189905</v>
      </c>
      <c r="EX642" s="1344">
        <f t="shared" si="1632"/>
        <v>3382.5651338189905</v>
      </c>
      <c r="EY642" s="859">
        <f t="shared" ref="EY642:FA642" si="1633">SUM(EY639:EY641)</f>
        <v>3551.0335171786219</v>
      </c>
      <c r="EZ642" s="859">
        <f t="shared" si="1633"/>
        <v>3714.342950683023</v>
      </c>
      <c r="FA642" s="1344">
        <f t="shared" si="1633"/>
        <v>3714.342950683023</v>
      </c>
      <c r="FE642"/>
      <c r="FF642"/>
      <c r="FG642"/>
      <c r="FH642"/>
      <c r="FI642"/>
      <c r="FJ642"/>
      <c r="FK642" s="35"/>
    </row>
    <row r="643" spans="1:167" s="236" customFormat="1">
      <c r="C643" s="242"/>
      <c r="E643" s="156"/>
      <c r="F643" s="156"/>
      <c r="G643" s="235"/>
      <c r="H643" s="156"/>
      <c r="I643" s="156"/>
      <c r="J643" s="235"/>
      <c r="K643" s="156"/>
      <c r="L643" s="156"/>
      <c r="M643" s="235"/>
      <c r="N643" s="156"/>
      <c r="O643" s="156"/>
      <c r="P643" s="235"/>
      <c r="Q643" s="239"/>
      <c r="R643" s="239"/>
      <c r="S643" s="240"/>
      <c r="T643" s="239"/>
      <c r="U643" s="239"/>
      <c r="V643" s="274"/>
      <c r="W643" s="238"/>
      <c r="X643" s="238"/>
      <c r="Y643" s="274"/>
      <c r="Z643" s="238"/>
      <c r="AA643" s="238"/>
      <c r="AB643" s="274"/>
      <c r="AC643" s="238"/>
      <c r="AD643" s="238"/>
      <c r="AE643" s="274"/>
      <c r="AF643" s="238"/>
      <c r="AG643" s="238"/>
      <c r="AH643" s="274"/>
      <c r="AI643" s="238"/>
      <c r="AJ643" s="238"/>
      <c r="AK643" s="274"/>
      <c r="AL643" s="238"/>
      <c r="AM643" s="238"/>
      <c r="AN643" s="600"/>
      <c r="AO643" s="600"/>
      <c r="AP643" s="600"/>
      <c r="AQ643" s="600"/>
      <c r="AR643" s="600"/>
      <c r="AS643" s="600"/>
      <c r="AT643" s="600"/>
      <c r="AU643" s="600"/>
      <c r="AV643" s="600"/>
      <c r="AW643" s="600"/>
      <c r="AX643" s="600"/>
      <c r="AY643" s="600"/>
      <c r="AZ643" s="600"/>
      <c r="BA643" s="600"/>
      <c r="BB643" s="600"/>
      <c r="BC643" s="600"/>
      <c r="BD643" s="600"/>
      <c r="BE643" s="600"/>
      <c r="BF643" s="600"/>
      <c r="BG643" s="600"/>
      <c r="BH643" s="600"/>
      <c r="BI643" s="600"/>
      <c r="BJ643" s="600"/>
      <c r="BK643" s="600"/>
      <c r="BL643" s="600"/>
      <c r="BM643" s="600"/>
      <c r="BN643" s="600"/>
      <c r="BO643" s="600"/>
      <c r="BP643" s="600"/>
      <c r="BQ643" s="600"/>
      <c r="BR643" s="600"/>
      <c r="BS643" s="600"/>
      <c r="BT643" s="600"/>
      <c r="BU643" s="600"/>
      <c r="BV643" s="600"/>
      <c r="BW643" s="600"/>
      <c r="BX643" s="600"/>
      <c r="BY643" s="600"/>
      <c r="BZ643" s="600"/>
      <c r="CA643" s="600"/>
      <c r="CB643" s="600"/>
      <c r="CC643" s="600"/>
      <c r="CD643" s="600"/>
      <c r="CE643" s="600"/>
      <c r="CF643" s="600"/>
      <c r="CG643" s="600"/>
      <c r="CH643" s="600"/>
      <c r="CI643" s="600"/>
      <c r="CJ643" s="600"/>
      <c r="CK643" s="600"/>
      <c r="CL643" s="600"/>
      <c r="CM643" s="600"/>
      <c r="CN643" s="600"/>
      <c r="CO643" s="600"/>
      <c r="CP643" s="600"/>
      <c r="CQ643" s="600"/>
      <c r="CR643" s="600"/>
      <c r="CS643" s="600"/>
      <c r="CT643" s="600"/>
      <c r="CU643" s="600"/>
      <c r="CV643" s="600"/>
      <c r="CW643" s="600"/>
      <c r="CX643" s="600"/>
      <c r="CY643" s="600"/>
      <c r="CZ643" s="600"/>
      <c r="DA643" s="600"/>
      <c r="DB643" s="600"/>
      <c r="DC643" s="600"/>
      <c r="DD643" s="600"/>
      <c r="DE643" s="600"/>
      <c r="DF643" s="600"/>
      <c r="DG643" s="600"/>
      <c r="DH643" s="1347"/>
      <c r="DI643" s="600"/>
      <c r="DJ643" s="600"/>
      <c r="DK643" s="1347"/>
      <c r="DL643" s="600"/>
      <c r="DM643" s="600"/>
      <c r="DN643" s="1347"/>
      <c r="DO643" s="600"/>
      <c r="DP643" s="600"/>
      <c r="DQ643" s="1347"/>
      <c r="DR643" s="600"/>
      <c r="DS643" s="600"/>
      <c r="DT643" s="1347"/>
      <c r="DU643" s="600"/>
      <c r="DV643" s="600"/>
      <c r="DW643" s="1347"/>
      <c r="DX643" s="600"/>
      <c r="DY643" s="600"/>
      <c r="DZ643" s="1347"/>
      <c r="EA643" s="600"/>
      <c r="EB643" s="600"/>
      <c r="EC643" s="1347"/>
      <c r="ED643" s="600"/>
      <c r="EE643" s="600"/>
      <c r="EF643" s="1347"/>
      <c r="EG643" s="600"/>
      <c r="EH643" s="600"/>
      <c r="EI643" s="1347"/>
      <c r="EJ643" s="600"/>
      <c r="EK643" s="600"/>
      <c r="EL643" s="1347"/>
      <c r="EM643" s="600"/>
      <c r="EN643" s="600"/>
      <c r="EO643" s="1347"/>
      <c r="EP643" s="600"/>
      <c r="EQ643" s="600"/>
      <c r="ER643" s="1347"/>
      <c r="ES643" s="600"/>
      <c r="ET643" s="600"/>
      <c r="EU643" s="1347"/>
      <c r="EV643" s="600"/>
      <c r="EW643" s="600"/>
      <c r="EX643" s="1347"/>
      <c r="EY643" s="600"/>
      <c r="EZ643" s="600"/>
      <c r="FA643" s="1347"/>
      <c r="FE643"/>
      <c r="FF643"/>
      <c r="FG643"/>
      <c r="FH643"/>
      <c r="FI643"/>
      <c r="FJ643"/>
      <c r="FK643" s="35"/>
    </row>
    <row r="644" spans="1:167" s="236" customFormat="1">
      <c r="B644" s="236" t="s">
        <v>838</v>
      </c>
      <c r="C644" s="242"/>
      <c r="E644" s="156"/>
      <c r="F644" s="156"/>
      <c r="G644" s="235"/>
      <c r="H644" s="156"/>
      <c r="I644" s="156"/>
      <c r="J644" s="235"/>
      <c r="K644" s="156"/>
      <c r="L644" s="156"/>
      <c r="M644" s="235"/>
      <c r="N644" s="156"/>
      <c r="O644" s="156"/>
      <c r="P644" s="235"/>
      <c r="Q644" s="239"/>
      <c r="R644" s="239"/>
      <c r="S644" s="240"/>
      <c r="T644" s="239"/>
      <c r="U644" s="239"/>
      <c r="V644" s="274"/>
      <c r="W644" s="238"/>
      <c r="X644" s="238"/>
      <c r="Y644" s="274"/>
      <c r="Z644" s="238"/>
      <c r="AA644" s="238"/>
      <c r="AB644" s="274"/>
      <c r="AC644" s="238"/>
      <c r="AD644" s="238"/>
      <c r="AE644" s="274"/>
      <c r="AF644" s="238"/>
      <c r="AG644" s="238"/>
      <c r="AH644" s="274"/>
      <c r="AI644" s="238"/>
      <c r="AJ644" s="238"/>
      <c r="AK644" s="274"/>
      <c r="AL644" s="238"/>
      <c r="AM644" s="238"/>
      <c r="AN644" s="315"/>
      <c r="AO644" s="315"/>
      <c r="AP644" s="315"/>
      <c r="AQ644" s="315"/>
      <c r="AR644" s="315"/>
      <c r="AS644" s="315"/>
      <c r="AT644" s="315"/>
      <c r="AU644" s="315"/>
      <c r="AV644" s="315"/>
      <c r="AW644" s="315"/>
      <c r="AX644" s="315"/>
      <c r="AY644" s="315"/>
      <c r="AZ644" s="315"/>
      <c r="BA644" s="315"/>
      <c r="BB644" s="315"/>
      <c r="BC644" s="315"/>
      <c r="BD644" s="315"/>
      <c r="BE644" s="315"/>
      <c r="BF644" s="315"/>
      <c r="BG644" s="315"/>
      <c r="BH644" s="315"/>
      <c r="BI644" s="315"/>
      <c r="BJ644" s="315">
        <f>BJ622/BJ642</f>
        <v>0.1666993233335719</v>
      </c>
      <c r="BK644" s="315">
        <f t="shared" ref="BK644:DQ644" si="1634">BK622/BK642</f>
        <v>7.7833811063168959E-2</v>
      </c>
      <c r="BL644" s="315">
        <f t="shared" si="1634"/>
        <v>0.25458278755299202</v>
      </c>
      <c r="BM644" s="315">
        <f t="shared" si="1634"/>
        <v>0.19705685206886364</v>
      </c>
      <c r="BN644" s="315">
        <f t="shared" si="1634"/>
        <v>0.20635418568918534</v>
      </c>
      <c r="BO644" s="315">
        <f t="shared" si="1634"/>
        <v>0.39604220626179321</v>
      </c>
      <c r="BP644" s="315">
        <f t="shared" si="1634"/>
        <v>0.20572465716389554</v>
      </c>
      <c r="BQ644" s="315">
        <f t="shared" si="1634"/>
        <v>0.18042115237675668</v>
      </c>
      <c r="BR644" s="315">
        <f t="shared" si="1634"/>
        <v>0.3806106845451831</v>
      </c>
      <c r="BS644" s="315">
        <f t="shared" si="1634"/>
        <v>0.21099105502712698</v>
      </c>
      <c r="BT644" s="315">
        <f t="shared" si="1634"/>
        <v>0.21526828400291054</v>
      </c>
      <c r="BU644" s="315">
        <f t="shared" si="1634"/>
        <v>0.40804058325120751</v>
      </c>
      <c r="BV644" s="315">
        <f t="shared" si="1634"/>
        <v>0.20579039450839864</v>
      </c>
      <c r="BW644" s="315">
        <f t="shared" si="1634"/>
        <v>0.199772581651253</v>
      </c>
      <c r="BX644" s="315">
        <f t="shared" si="1634"/>
        <v>0.38535870001615774</v>
      </c>
      <c r="BY644" s="315">
        <f t="shared" si="1634"/>
        <v>0.20213497806914113</v>
      </c>
      <c r="BZ644" s="315">
        <f t="shared" si="1634"/>
        <v>0.21297580595794158</v>
      </c>
      <c r="CA644" s="315">
        <f t="shared" si="1634"/>
        <v>0.37024190871537654</v>
      </c>
      <c r="CB644" s="315">
        <f t="shared" si="1634"/>
        <v>0.18470620634188453</v>
      </c>
      <c r="CC644" s="315">
        <f t="shared" si="1634"/>
        <v>0.22269046991465533</v>
      </c>
      <c r="CD644" s="315">
        <f t="shared" si="1634"/>
        <v>0.39340131752425306</v>
      </c>
      <c r="CE644" s="315">
        <f t="shared" si="1634"/>
        <v>0.10449358881323544</v>
      </c>
      <c r="CF644" s="315">
        <f t="shared" si="1634"/>
        <v>0.19800755917176835</v>
      </c>
      <c r="CG644" s="315">
        <f t="shared" si="1634"/>
        <v>0.30331430084039279</v>
      </c>
      <c r="CH644" s="315">
        <f t="shared" si="1634"/>
        <v>0.20704572169839322</v>
      </c>
      <c r="CI644" s="315">
        <f t="shared" si="1634"/>
        <v>0.20530918312987392</v>
      </c>
      <c r="CJ644" s="315">
        <f t="shared" si="1634"/>
        <v>0.41793901530027333</v>
      </c>
      <c r="CK644" s="315">
        <f t="shared" si="1634"/>
        <v>0.20371695355846864</v>
      </c>
      <c r="CL644" s="315">
        <f t="shared" si="1634"/>
        <v>0.161396226444112</v>
      </c>
      <c r="CM644" s="315">
        <f t="shared" si="1634"/>
        <v>0.3843751569193391</v>
      </c>
      <c r="CN644" s="315">
        <f t="shared" si="1634"/>
        <v>0.12570319252630391</v>
      </c>
      <c r="CO644" s="315">
        <f t="shared" si="1634"/>
        <v>0.23325747533032087</v>
      </c>
      <c r="CP644" s="315">
        <f t="shared" si="1634"/>
        <v>0.35613611001702083</v>
      </c>
      <c r="CQ644" s="315">
        <f t="shared" si="1634"/>
        <v>0.23471610110517005</v>
      </c>
      <c r="CR644" s="315">
        <f t="shared" si="1634"/>
        <v>0.21893189702995824</v>
      </c>
      <c r="CS644" s="315">
        <f t="shared" si="1634"/>
        <v>0.43120907107897083</v>
      </c>
      <c r="CT644" s="315">
        <f t="shared" si="1634"/>
        <v>0.23471646617711661</v>
      </c>
      <c r="CU644" s="315">
        <f t="shared" si="1634"/>
        <v>0.21091754613081184</v>
      </c>
      <c r="CV644" s="315">
        <f t="shared" si="1634"/>
        <v>0.42178421752015111</v>
      </c>
      <c r="CW644" s="315">
        <f t="shared" si="1634"/>
        <v>0.22691255583918316</v>
      </c>
      <c r="CX644" s="315">
        <f t="shared" si="1634"/>
        <v>0.20557234740980751</v>
      </c>
      <c r="CY644" s="315">
        <f t="shared" si="1634"/>
        <v>0.40922002946187369</v>
      </c>
      <c r="CZ644" s="315">
        <f t="shared" si="1634"/>
        <v>0.19122805413224805</v>
      </c>
      <c r="DA644" s="315">
        <f t="shared" si="1634"/>
        <v>0.22017687316879883</v>
      </c>
      <c r="DB644" s="315">
        <f t="shared" si="1634"/>
        <v>0.40097756205201324</v>
      </c>
      <c r="DC644" s="315">
        <f t="shared" si="1634"/>
        <v>0.18959011945580997</v>
      </c>
      <c r="DD644" s="315">
        <f t="shared" si="1634"/>
        <v>0.17950639568043195</v>
      </c>
      <c r="DE644" s="315">
        <f t="shared" si="1634"/>
        <v>0.3478047935519436</v>
      </c>
      <c r="DF644" s="315">
        <f t="shared" si="1634"/>
        <v>0.16772994813523157</v>
      </c>
      <c r="DG644" s="315">
        <f t="shared" si="1634"/>
        <v>2.759591038566513E-2</v>
      </c>
      <c r="DH644" s="1348">
        <f t="shared" si="1634"/>
        <v>0.12613502913194766</v>
      </c>
      <c r="DI644" s="315">
        <f t="shared" si="1634"/>
        <v>7.9007727139347422E-2</v>
      </c>
      <c r="DJ644" s="315">
        <f t="shared" si="1634"/>
        <v>7.0096243399281152E-2</v>
      </c>
      <c r="DK644" s="1348">
        <f t="shared" si="1634"/>
        <v>0.14380165402701883</v>
      </c>
      <c r="DL644" s="315">
        <f t="shared" si="1634"/>
        <v>9.2830714881891013E-2</v>
      </c>
      <c r="DM644" s="315">
        <f t="shared" si="1634"/>
        <v>8.1204387528491878E-2</v>
      </c>
      <c r="DN644" s="1348">
        <f t="shared" si="1634"/>
        <v>0.17948279872390305</v>
      </c>
      <c r="DO644" s="315">
        <f t="shared" si="1634"/>
        <v>9.1706919516387056E-2</v>
      </c>
      <c r="DP644" s="315">
        <f t="shared" si="1634"/>
        <v>0.101815680493357</v>
      </c>
      <c r="DQ644" s="1348">
        <f t="shared" si="1634"/>
        <v>0.19158722524483512</v>
      </c>
      <c r="DR644" s="315">
        <f t="shared" ref="DR644:DW644" si="1635">DR622/DR642</f>
        <v>0.11621687895127385</v>
      </c>
      <c r="DS644" s="315">
        <f t="shared" si="1635"/>
        <v>0.11202484225564513</v>
      </c>
      <c r="DT644" s="1348">
        <f t="shared" si="1635"/>
        <v>0.22321467750411775</v>
      </c>
      <c r="DU644" s="315">
        <f t="shared" si="1635"/>
        <v>0.11742669766963668</v>
      </c>
      <c r="DV644" s="315">
        <f t="shared" si="1635"/>
        <v>0.10931842784914496</v>
      </c>
      <c r="DW644" s="1348">
        <f t="shared" si="1635"/>
        <v>0.22278286530870797</v>
      </c>
      <c r="DX644" s="315">
        <f t="shared" ref="DX644:EC644" si="1636">DX622/DX642</f>
        <v>0.10740725807616856</v>
      </c>
      <c r="DY644" s="315">
        <f t="shared" si="1636"/>
        <v>0.12078929233284469</v>
      </c>
      <c r="DZ644" s="1348">
        <f t="shared" si="1636"/>
        <v>0.22843397044776648</v>
      </c>
      <c r="EA644" s="315">
        <f t="shared" si="1636"/>
        <v>0.1311432499566354</v>
      </c>
      <c r="EB644" s="315">
        <f t="shared" si="1636"/>
        <v>0.13683413140055059</v>
      </c>
      <c r="EC644" s="1348">
        <f t="shared" si="1636"/>
        <v>0.26961423391011824</v>
      </c>
      <c r="ED644" s="315">
        <f t="shared" ref="ED644:EL644" si="1637">ED622/ED642</f>
        <v>0.14515022144585621</v>
      </c>
      <c r="EE644" s="315">
        <f t="shared" si="1637"/>
        <v>0.14700646924199301</v>
      </c>
      <c r="EF644" s="1348">
        <f t="shared" si="1637"/>
        <v>0.28959556128519875</v>
      </c>
      <c r="EG644" s="315">
        <f t="shared" si="1637"/>
        <v>0.15396002043063647</v>
      </c>
      <c r="EH644" s="315">
        <f t="shared" si="1637"/>
        <v>0.15539567931543607</v>
      </c>
      <c r="EI644" s="1348">
        <f t="shared" si="1637"/>
        <v>0.30612175126990271</v>
      </c>
      <c r="EJ644" s="315">
        <f t="shared" si="1637"/>
        <v>0.15776712467629456</v>
      </c>
      <c r="EK644" s="315">
        <f t="shared" si="1637"/>
        <v>0.15536151299276513</v>
      </c>
      <c r="EL644" s="1348">
        <f t="shared" si="1637"/>
        <v>0.30605489825659826</v>
      </c>
      <c r="EM644" s="315">
        <f t="shared" ref="EM644:ER644" si="1638">EM622/EM642</f>
        <v>0.15680837307357734</v>
      </c>
      <c r="EN644" s="315">
        <f t="shared" si="1638"/>
        <v>0.15443751784894194</v>
      </c>
      <c r="EO644" s="1348">
        <f t="shared" si="1638"/>
        <v>0.30423232450075893</v>
      </c>
      <c r="EP644" s="315">
        <f t="shared" si="1638"/>
        <v>0.15527471170262649</v>
      </c>
      <c r="EQ644" s="315">
        <f t="shared" si="1638"/>
        <v>0.15296457580673359</v>
      </c>
      <c r="ER644" s="1348">
        <f t="shared" si="1638"/>
        <v>0.30132618276458534</v>
      </c>
      <c r="ES644" s="315">
        <f t="shared" ref="ES644:EX644" si="1639">ES622/ES642</f>
        <v>0.15382908308676962</v>
      </c>
      <c r="ET644" s="315">
        <f t="shared" si="1639"/>
        <v>0.15157583028903526</v>
      </c>
      <c r="EU644" s="1348">
        <f t="shared" si="1639"/>
        <v>0.29858615150502832</v>
      </c>
      <c r="EV644" s="315">
        <f t="shared" si="1639"/>
        <v>0.15246509321113319</v>
      </c>
      <c r="EW644" s="315">
        <f t="shared" si="1639"/>
        <v>0.15026514082903866</v>
      </c>
      <c r="EX644" s="1348">
        <f t="shared" si="1639"/>
        <v>0.29600010533200011</v>
      </c>
      <c r="EY644" s="315">
        <f t="shared" ref="EY644:FA644" si="1640">EY622/EY642</f>
        <v>0.15117664542253234</v>
      </c>
      <c r="EZ644" s="315">
        <f t="shared" si="1640"/>
        <v>0.14902664730596571</v>
      </c>
      <c r="FA644" s="1348">
        <f t="shared" si="1640"/>
        <v>0.29355647183692973</v>
      </c>
      <c r="FE644"/>
      <c r="FF644"/>
      <c r="FG644"/>
      <c r="FH644"/>
      <c r="FI644"/>
      <c r="FJ644"/>
      <c r="FK644" s="35"/>
    </row>
    <row r="645" spans="1:167" s="236" customFormat="1">
      <c r="B645" s="236" t="s">
        <v>484</v>
      </c>
      <c r="C645" s="242"/>
      <c r="E645" s="156"/>
      <c r="F645" s="156"/>
      <c r="G645" s="235"/>
      <c r="H645" s="156"/>
      <c r="I645" s="156"/>
      <c r="J645" s="235"/>
      <c r="K645" s="156"/>
      <c r="L645" s="156"/>
      <c r="M645" s="235"/>
      <c r="N645" s="156"/>
      <c r="O645" s="156"/>
      <c r="P645" s="235"/>
      <c r="Q645" s="239"/>
      <c r="R645" s="239"/>
      <c r="S645" s="240"/>
      <c r="T645" s="239"/>
      <c r="U645" s="239"/>
      <c r="V645" s="274"/>
      <c r="W645" s="238"/>
      <c r="X645" s="238"/>
      <c r="Y645" s="274"/>
      <c r="Z645" s="238"/>
      <c r="AA645" s="238"/>
      <c r="AB645" s="274"/>
      <c r="AC645" s="238"/>
      <c r="AD645" s="238"/>
      <c r="AE645" s="274"/>
      <c r="AF645" s="238"/>
      <c r="AG645" s="238"/>
      <c r="AH645" s="274"/>
      <c r="AI645" s="238"/>
      <c r="AJ645" s="238"/>
      <c r="AK645" s="274"/>
      <c r="AL645" s="238"/>
      <c r="AM645" s="238"/>
      <c r="AN645" s="274"/>
      <c r="AO645" s="238"/>
      <c r="AP645" s="238"/>
      <c r="AQ645" s="274"/>
      <c r="AR645" s="238"/>
      <c r="AS645" s="238"/>
      <c r="AT645" s="274"/>
      <c r="AU645" s="156"/>
      <c r="AV645" s="156"/>
      <c r="AW645" s="235"/>
      <c r="AX645" s="157"/>
      <c r="AY645" s="157"/>
      <c r="AZ645" s="157"/>
      <c r="BA645" s="157"/>
      <c r="BB645" s="157"/>
      <c r="BC645" s="157"/>
      <c r="BD645" s="157"/>
      <c r="BE645" s="157"/>
      <c r="BF645" s="157"/>
      <c r="BG645" s="157"/>
      <c r="BH645" s="157"/>
      <c r="BI645" s="157"/>
      <c r="BJ645" s="157"/>
      <c r="BK645" s="157"/>
      <c r="BL645" s="157"/>
      <c r="BM645" s="157"/>
      <c r="BN645" s="157"/>
      <c r="BO645" s="157"/>
      <c r="BP645" s="157">
        <v>42.109574350220612</v>
      </c>
      <c r="BQ645" s="157">
        <v>37.917489804651566</v>
      </c>
      <c r="BR645" s="157">
        <v>79.989522074700233</v>
      </c>
      <c r="BS645" s="157">
        <v>50.275370573973845</v>
      </c>
      <c r="BT645" s="157"/>
      <c r="BU645" s="157"/>
      <c r="BV645" s="157"/>
      <c r="BW645" s="157"/>
      <c r="BX645" s="157"/>
      <c r="BY645" s="157"/>
      <c r="BZ645" s="157"/>
      <c r="CA645" s="157"/>
      <c r="CB645" s="157"/>
      <c r="CC645" s="157"/>
      <c r="CD645" s="157"/>
      <c r="CE645" s="157"/>
      <c r="CF645" s="157"/>
      <c r="CG645" s="157"/>
      <c r="CH645" s="157"/>
      <c r="CI645" s="157"/>
      <c r="CJ645" s="157"/>
      <c r="CK645" s="157"/>
      <c r="CL645" s="157"/>
      <c r="CM645" s="157"/>
      <c r="CN645" s="157"/>
      <c r="CO645" s="157"/>
      <c r="CP645" s="157"/>
      <c r="CQ645" s="157"/>
      <c r="CR645" s="157"/>
      <c r="CS645" s="157"/>
      <c r="CT645" s="157"/>
      <c r="CU645" s="157"/>
      <c r="CV645" s="157"/>
      <c r="CW645" s="157"/>
      <c r="CX645" s="157"/>
      <c r="CY645" s="157"/>
      <c r="CZ645" s="157"/>
      <c r="DA645" s="157"/>
      <c r="DB645" s="157"/>
      <c r="DC645" s="157"/>
      <c r="DD645" s="157"/>
      <c r="DE645" s="157"/>
      <c r="DF645" s="157"/>
      <c r="DG645" s="157"/>
      <c r="DH645" s="1349"/>
      <c r="DI645" s="157"/>
      <c r="DJ645" s="157"/>
      <c r="DK645" s="1349"/>
      <c r="DL645" s="157"/>
      <c r="DM645" s="157"/>
      <c r="DN645" s="1349"/>
      <c r="DO645" s="157"/>
      <c r="DP645" s="157"/>
      <c r="DQ645" s="1349"/>
      <c r="DR645" s="157"/>
      <c r="DS645" s="157"/>
      <c r="DT645" s="1349"/>
      <c r="DU645" s="157"/>
      <c r="DV645" s="157"/>
      <c r="DW645" s="1349"/>
      <c r="DX645" s="157"/>
      <c r="DY645" s="157"/>
      <c r="DZ645" s="1349"/>
      <c r="EA645" s="157"/>
      <c r="EB645" s="157"/>
      <c r="EC645" s="1349"/>
      <c r="ED645" s="157"/>
      <c r="EE645" s="157"/>
      <c r="EF645" s="1349"/>
      <c r="EG645" s="157"/>
      <c r="EH645" s="157"/>
      <c r="EI645" s="1349"/>
      <c r="EJ645" s="157"/>
      <c r="EK645" s="157"/>
      <c r="EL645" s="1349"/>
      <c r="EM645" s="157"/>
      <c r="EN645" s="157"/>
      <c r="EO645" s="1349"/>
      <c r="EP645" s="157"/>
      <c r="EQ645" s="157"/>
      <c r="ER645" s="1349"/>
      <c r="ES645" s="157"/>
      <c r="ET645" s="157"/>
      <c r="EU645" s="1349"/>
      <c r="EV645" s="157"/>
      <c r="EW645" s="157"/>
      <c r="EX645" s="1349"/>
      <c r="EY645" s="157"/>
      <c r="EZ645" s="157"/>
      <c r="FA645" s="1349"/>
      <c r="FE645"/>
      <c r="FF645"/>
      <c r="FG645"/>
      <c r="FH645"/>
      <c r="FI645"/>
      <c r="FJ645"/>
      <c r="FK645" s="35"/>
    </row>
    <row r="646" spans="1:167" s="236" customFormat="1">
      <c r="C646" s="242"/>
      <c r="E646" s="156"/>
      <c r="F646" s="156"/>
      <c r="G646" s="235"/>
      <c r="H646" s="156"/>
      <c r="I646" s="156"/>
      <c r="J646" s="235"/>
      <c r="K646" s="156"/>
      <c r="L646" s="156"/>
      <c r="M646" s="235"/>
      <c r="N646" s="156"/>
      <c r="O646" s="156"/>
      <c r="P646" s="235"/>
      <c r="Q646" s="239"/>
      <c r="R646" s="239"/>
      <c r="S646" s="240"/>
      <c r="T646" s="239"/>
      <c r="U646" s="239"/>
      <c r="V646" s="274"/>
      <c r="W646" s="238"/>
      <c r="X646" s="238"/>
      <c r="Y646" s="274"/>
      <c r="Z646" s="238"/>
      <c r="AA646" s="238"/>
      <c r="AB646" s="274"/>
      <c r="AC646" s="238"/>
      <c r="AD646" s="238"/>
      <c r="AE646" s="274"/>
      <c r="AF646" s="238"/>
      <c r="AG646" s="238"/>
      <c r="AH646" s="274"/>
      <c r="AI646" s="238"/>
      <c r="AJ646" s="238"/>
      <c r="AK646" s="274"/>
      <c r="AL646" s="238"/>
      <c r="AM646" s="238"/>
      <c r="AN646" s="274"/>
      <c r="AO646" s="238"/>
      <c r="AP646" s="238"/>
      <c r="AQ646" s="274"/>
      <c r="AR646" s="238"/>
      <c r="AS646" s="238"/>
      <c r="AT646" s="274"/>
      <c r="AU646" s="156"/>
      <c r="AV646" s="156"/>
      <c r="AW646" s="235"/>
      <c r="AX646" s="156"/>
      <c r="AY646" s="156"/>
      <c r="AZ646" s="235"/>
      <c r="BA646" s="156"/>
      <c r="BB646" s="156"/>
      <c r="BC646" s="235"/>
      <c r="BD646" s="156"/>
      <c r="BE646" s="156"/>
      <c r="BF646" s="235"/>
      <c r="BG646" s="156"/>
      <c r="BH646" s="156"/>
      <c r="BI646" s="235"/>
      <c r="BJ646" s="156"/>
      <c r="BK646" s="156"/>
      <c r="BL646" s="235"/>
      <c r="BM646" s="156"/>
      <c r="BN646" s="156"/>
      <c r="BO646" s="600"/>
      <c r="BP646" s="600"/>
      <c r="BQ646" s="600"/>
      <c r="BR646" s="600"/>
      <c r="BS646" s="600"/>
      <c r="BT646" s="600"/>
      <c r="BU646" s="600"/>
      <c r="BV646" s="600"/>
      <c r="BW646" s="600"/>
      <c r="BX646" s="600"/>
      <c r="BY646" s="600">
        <f>BY627-BY642</f>
        <v>-12</v>
      </c>
      <c r="BZ646" s="600">
        <f>BZ627-BZ642</f>
        <v>-12</v>
      </c>
      <c r="CA646" s="600"/>
      <c r="CB646" s="600"/>
      <c r="CC646" s="600"/>
      <c r="DH646" s="1350"/>
      <c r="DK646" s="1350"/>
      <c r="DN646" s="1350"/>
      <c r="DQ646" s="1350"/>
      <c r="DT646" s="1350"/>
      <c r="DW646" s="1350"/>
      <c r="DZ646" s="1350"/>
      <c r="EC646" s="1350"/>
      <c r="EF646" s="1350"/>
      <c r="EI646" s="1350"/>
      <c r="EL646" s="1350"/>
      <c r="EO646" s="1350"/>
      <c r="ER646" s="1350"/>
      <c r="EU646" s="1350"/>
      <c r="EX646" s="1350"/>
      <c r="FA646" s="1350"/>
      <c r="FE646"/>
      <c r="FF646"/>
      <c r="FG646"/>
      <c r="FH646"/>
      <c r="FI646"/>
      <c r="FJ646"/>
      <c r="FK646" s="35"/>
    </row>
    <row r="647" spans="1:167" customFormat="1"/>
    <row r="648" spans="1:167" s="236" customFormat="1">
      <c r="C648" s="242"/>
      <c r="E648" s="156"/>
      <c r="F648" s="156"/>
      <c r="G648" s="235"/>
      <c r="H648" s="156"/>
      <c r="I648" s="156"/>
      <c r="J648" s="235"/>
      <c r="K648" s="156"/>
      <c r="L648" s="156"/>
      <c r="M648" s="235"/>
      <c r="N648" s="156"/>
      <c r="O648" s="156"/>
      <c r="P648" s="235"/>
      <c r="Q648" s="239"/>
      <c r="R648" s="239"/>
      <c r="S648" s="240"/>
      <c r="T648" s="239"/>
      <c r="U648" s="239"/>
      <c r="V648" s="274"/>
      <c r="W648" s="238"/>
      <c r="X648" s="238"/>
      <c r="Y648" s="274"/>
      <c r="Z648" s="238"/>
      <c r="AA648" s="238"/>
      <c r="AB648" s="274"/>
      <c r="AC648" s="238"/>
      <c r="AD648" s="238"/>
      <c r="AE648" s="274"/>
      <c r="AF648" s="238"/>
      <c r="AG648" s="238"/>
      <c r="AH648" s="274"/>
      <c r="AI648" s="238"/>
      <c r="AJ648" s="238"/>
      <c r="AK648" s="274"/>
      <c r="AL648" s="238"/>
      <c r="AM648" s="238"/>
      <c r="AN648" s="274"/>
      <c r="AO648" s="238"/>
      <c r="AP648" s="238"/>
      <c r="AQ648" s="274"/>
      <c r="AR648" s="238"/>
      <c r="AS648" s="238"/>
      <c r="AT648" s="274"/>
      <c r="AU648" s="156"/>
      <c r="AV648" s="156"/>
      <c r="AW648" s="235"/>
      <c r="AX648" s="156"/>
      <c r="AY648" s="156"/>
      <c r="AZ648" s="235"/>
      <c r="BA648" s="156"/>
      <c r="BB648" s="156"/>
      <c r="BC648" s="235"/>
      <c r="BD648" s="156"/>
      <c r="BE648" s="156"/>
      <c r="BF648" s="235"/>
      <c r="BG648" s="156"/>
      <c r="BH648" s="156"/>
      <c r="BI648" s="235"/>
      <c r="BJ648" s="156"/>
      <c r="BK648" s="156"/>
      <c r="BL648" s="235"/>
      <c r="BM648" s="156"/>
      <c r="BN648" s="156"/>
      <c r="BO648" s="235"/>
      <c r="BP648" s="156"/>
      <c r="BQ648" s="156"/>
      <c r="BR648" s="235"/>
      <c r="BS648" s="156"/>
      <c r="BT648" s="156"/>
      <c r="BU648" s="235"/>
      <c r="BV648" s="156"/>
      <c r="BW648" s="156"/>
      <c r="BX648" s="235"/>
      <c r="BY648" s="156"/>
      <c r="BZ648" s="156"/>
      <c r="CA648" s="235"/>
      <c r="CB648" s="156"/>
      <c r="CC648" s="156"/>
      <c r="DH648" s="1350"/>
      <c r="DK648" s="1350"/>
      <c r="DN648" s="1350"/>
      <c r="DQ648" s="1350"/>
      <c r="DT648" s="1350"/>
      <c r="DW648" s="1350"/>
      <c r="DZ648" s="1350"/>
      <c r="EC648" s="1350"/>
      <c r="EF648" s="1350"/>
      <c r="EI648" s="1350"/>
      <c r="EL648" s="1350"/>
      <c r="EO648" s="1350"/>
      <c r="ER648" s="1350"/>
      <c r="EU648" s="1350"/>
      <c r="EX648" s="1350"/>
      <c r="FA648" s="1350"/>
      <c r="FE648"/>
      <c r="FF648"/>
      <c r="FG648"/>
      <c r="FH648"/>
      <c r="FI648"/>
      <c r="FJ648"/>
      <c r="FK648" s="35"/>
    </row>
    <row r="649" spans="1:167" s="236" customFormat="1">
      <c r="C649" s="242"/>
      <c r="E649" s="156"/>
      <c r="F649" s="156"/>
      <c r="G649" s="235"/>
      <c r="H649" s="156"/>
      <c r="I649" s="156"/>
      <c r="J649" s="235"/>
      <c r="K649" s="156"/>
      <c r="L649" s="156"/>
      <c r="M649" s="235"/>
      <c r="N649" s="156"/>
      <c r="O649" s="156"/>
      <c r="P649" s="235"/>
      <c r="Q649" s="239"/>
      <c r="R649" s="239"/>
      <c r="S649" s="240"/>
      <c r="T649" s="239"/>
      <c r="U649" s="239"/>
      <c r="V649" s="274"/>
      <c r="W649" s="238"/>
      <c r="X649" s="238"/>
      <c r="Y649" s="274"/>
      <c r="Z649" s="238"/>
      <c r="AA649" s="238"/>
      <c r="AB649" s="274"/>
      <c r="AC649" s="238"/>
      <c r="AD649" s="238"/>
      <c r="AE649" s="274"/>
      <c r="AF649" s="238"/>
      <c r="AG649" s="238"/>
      <c r="AH649" s="274"/>
      <c r="AI649" s="238"/>
      <c r="AJ649" s="238"/>
      <c r="AK649" s="274"/>
      <c r="AL649" s="238"/>
      <c r="AM649" s="238"/>
      <c r="AN649" s="274"/>
      <c r="AO649" s="238"/>
      <c r="AP649" s="238"/>
      <c r="AQ649" s="274"/>
      <c r="AR649" s="238"/>
      <c r="AS649" s="238"/>
      <c r="AT649" s="274"/>
      <c r="AU649" s="156"/>
      <c r="AV649" s="156"/>
      <c r="AW649" s="235"/>
      <c r="AX649" s="156"/>
      <c r="AY649" s="156"/>
      <c r="AZ649" s="235"/>
      <c r="BA649" s="156"/>
      <c r="BB649" s="156"/>
      <c r="BC649" s="235"/>
      <c r="BD649" s="156"/>
      <c r="BE649" s="156"/>
      <c r="BF649" s="235"/>
      <c r="BG649" s="156"/>
      <c r="BH649" s="156"/>
      <c r="BI649" s="235"/>
      <c r="BJ649" s="156"/>
      <c r="BK649" s="156"/>
      <c r="BL649" s="235"/>
      <c r="BM649" s="156"/>
      <c r="BN649" s="156"/>
      <c r="BO649" s="235"/>
      <c r="BP649" s="156"/>
      <c r="BQ649" s="156"/>
      <c r="BR649" s="235"/>
      <c r="BS649" s="156"/>
      <c r="BT649" s="156"/>
      <c r="BU649" s="235"/>
      <c r="BV649" s="156"/>
      <c r="BW649" s="156"/>
      <c r="BX649" s="235"/>
      <c r="BY649" s="156"/>
      <c r="BZ649" s="156"/>
      <c r="CA649" s="235"/>
      <c r="CB649" s="156"/>
      <c r="CC649" s="156"/>
      <c r="DH649" s="1350"/>
      <c r="DK649" s="1350"/>
      <c r="DN649" s="1350"/>
      <c r="DQ649" s="1350"/>
      <c r="DT649" s="1350"/>
      <c r="DW649" s="1350"/>
      <c r="DZ649" s="1350"/>
      <c r="EC649" s="1350"/>
      <c r="EF649" s="1350"/>
      <c r="EI649" s="1350"/>
      <c r="EL649" s="1350"/>
      <c r="EO649" s="1350"/>
      <c r="ER649" s="1350"/>
      <c r="EU649" s="1350"/>
      <c r="EX649" s="1350"/>
      <c r="FA649" s="1350"/>
      <c r="FE649"/>
      <c r="FF649"/>
      <c r="FG649"/>
      <c r="FH649"/>
      <c r="FI649"/>
      <c r="FJ649"/>
      <c r="FK649" s="35"/>
    </row>
    <row r="650" spans="1:167" s="236" customFormat="1">
      <c r="C650" s="242"/>
      <c r="E650" s="156"/>
      <c r="F650" s="156"/>
      <c r="G650" s="235"/>
      <c r="H650" s="156"/>
      <c r="I650" s="156"/>
      <c r="J650" s="235"/>
      <c r="K650" s="156"/>
      <c r="L650" s="156"/>
      <c r="M650" s="235"/>
      <c r="N650" s="156"/>
      <c r="O650" s="156"/>
      <c r="P650" s="235"/>
      <c r="Q650" s="239"/>
      <c r="R650" s="239"/>
      <c r="S650" s="240"/>
      <c r="T650" s="239"/>
      <c r="U650" s="239"/>
      <c r="V650" s="274"/>
      <c r="W650" s="238"/>
      <c r="X650" s="238"/>
      <c r="Y650" s="274"/>
      <c r="Z650" s="238"/>
      <c r="AA650" s="238"/>
      <c r="AB650" s="274"/>
      <c r="AC650" s="238"/>
      <c r="AD650" s="238"/>
      <c r="AE650" s="274"/>
      <c r="AF650" s="238"/>
      <c r="AG650" s="238"/>
      <c r="AH650" s="274"/>
      <c r="AI650" s="238"/>
      <c r="AJ650" s="238"/>
      <c r="AK650" s="274"/>
      <c r="AL650" s="238"/>
      <c r="AM650" s="238"/>
      <c r="AN650" s="274"/>
      <c r="AO650" s="238"/>
      <c r="AP650" s="238"/>
      <c r="AQ650" s="274"/>
      <c r="AR650" s="238"/>
      <c r="AS650" s="238"/>
      <c r="AT650" s="274"/>
      <c r="AU650" s="156"/>
      <c r="AV650" s="156"/>
      <c r="AW650" s="235"/>
      <c r="AX650" s="156"/>
      <c r="AY650" s="156"/>
      <c r="AZ650" s="235"/>
      <c r="BA650" s="156"/>
      <c r="BB650" s="156"/>
      <c r="BC650" s="235"/>
      <c r="BD650" s="156"/>
      <c r="BE650" s="156"/>
      <c r="BF650" s="235"/>
      <c r="BG650" s="156"/>
      <c r="BH650" s="156"/>
      <c r="BI650" s="235"/>
      <c r="BJ650" s="156"/>
      <c r="BK650" s="156"/>
      <c r="BL650" s="235"/>
      <c r="BM650" s="156"/>
      <c r="BN650" s="156"/>
      <c r="BO650" s="235"/>
      <c r="BP650" s="156"/>
      <c r="BQ650" s="156"/>
      <c r="BR650" s="235"/>
      <c r="BS650" s="156"/>
      <c r="BT650" s="156"/>
      <c r="BU650" s="235"/>
      <c r="BV650" s="156"/>
      <c r="BW650" s="156"/>
      <c r="BX650" s="235"/>
      <c r="BY650" s="156"/>
      <c r="BZ650" s="156"/>
      <c r="CA650" s="235"/>
      <c r="CB650" s="156"/>
      <c r="CC650" s="156"/>
      <c r="DH650" s="1350"/>
      <c r="DK650" s="1350"/>
      <c r="DN650" s="1350"/>
      <c r="DQ650" s="1350"/>
      <c r="DT650" s="1350"/>
      <c r="DW650" s="1350"/>
      <c r="DZ650" s="1350"/>
      <c r="EC650" s="1350"/>
      <c r="EF650" s="1350"/>
      <c r="EI650" s="1350"/>
      <c r="EL650" s="1350"/>
      <c r="EO650" s="1350"/>
      <c r="ER650" s="1350"/>
      <c r="EU650" s="1350"/>
      <c r="EX650" s="1350"/>
      <c r="FA650" s="1350"/>
      <c r="FE650"/>
      <c r="FF650"/>
      <c r="FG650"/>
      <c r="FH650"/>
      <c r="FI650"/>
      <c r="FJ650"/>
      <c r="FK650" s="35"/>
    </row>
    <row r="651" spans="1:167" s="236" customFormat="1">
      <c r="C651" s="242"/>
      <c r="E651" s="156"/>
      <c r="F651" s="156"/>
      <c r="G651" s="235"/>
      <c r="H651" s="156"/>
      <c r="I651" s="156"/>
      <c r="J651" s="235"/>
      <c r="K651" s="156"/>
      <c r="L651" s="156"/>
      <c r="M651" s="235"/>
      <c r="N651" s="156"/>
      <c r="O651" s="156"/>
      <c r="P651" s="235"/>
      <c r="Q651" s="239"/>
      <c r="R651" s="239"/>
      <c r="S651" s="240"/>
      <c r="T651" s="239"/>
      <c r="U651" s="239"/>
      <c r="V651" s="274"/>
      <c r="W651" s="238"/>
      <c r="X651" s="238"/>
      <c r="Y651" s="274"/>
      <c r="Z651" s="238"/>
      <c r="AA651" s="238"/>
      <c r="AB651" s="274"/>
      <c r="AC651" s="238"/>
      <c r="AD651" s="238"/>
      <c r="AE651" s="274"/>
      <c r="AF651" s="238"/>
      <c r="AG651" s="238"/>
      <c r="AH651" s="274"/>
      <c r="AI651" s="238"/>
      <c r="AJ651" s="238"/>
      <c r="AK651" s="274"/>
      <c r="AL651" s="238"/>
      <c r="AM651" s="238"/>
      <c r="AN651" s="274"/>
      <c r="AO651" s="238"/>
      <c r="AP651" s="238"/>
      <c r="AQ651" s="274"/>
      <c r="AR651" s="238"/>
      <c r="AS651" s="238"/>
      <c r="AT651" s="274"/>
      <c r="AU651" s="156"/>
      <c r="AV651" s="156"/>
      <c r="AW651" s="235"/>
      <c r="AX651" s="156"/>
      <c r="AY651" s="156"/>
      <c r="AZ651" s="235"/>
      <c r="BA651" s="156"/>
      <c r="BB651" s="156"/>
      <c r="BC651" s="235"/>
      <c r="BD651" s="156"/>
      <c r="BE651" s="156"/>
      <c r="BF651" s="235"/>
      <c r="BG651" s="156"/>
      <c r="BH651" s="156"/>
      <c r="BI651" s="235"/>
      <c r="BJ651" s="156"/>
      <c r="BK651" s="156"/>
      <c r="BL651" s="235"/>
      <c r="BM651" s="156"/>
      <c r="BN651" s="156"/>
      <c r="BO651" s="235"/>
      <c r="BP651" s="156"/>
      <c r="BQ651" s="156"/>
      <c r="BR651" s="235"/>
      <c r="BS651" s="156"/>
      <c r="BT651" s="156"/>
      <c r="BU651" s="235"/>
      <c r="BV651" s="156"/>
      <c r="BW651" s="156"/>
      <c r="BX651" s="235"/>
      <c r="BY651" s="156"/>
      <c r="BZ651" s="156"/>
      <c r="CA651" s="235"/>
      <c r="CB651" s="156"/>
      <c r="CC651" s="156"/>
      <c r="DH651" s="1350"/>
      <c r="DK651" s="1350"/>
      <c r="DN651" s="1350"/>
      <c r="DQ651" s="1350"/>
      <c r="DT651" s="1350"/>
      <c r="DW651" s="1350"/>
      <c r="DZ651" s="1350"/>
      <c r="EC651" s="1350"/>
      <c r="EF651" s="1350"/>
      <c r="EI651" s="1350"/>
      <c r="EL651" s="1350"/>
      <c r="EO651" s="1350"/>
      <c r="ER651" s="1350"/>
      <c r="EU651" s="1350"/>
      <c r="EX651" s="1350"/>
      <c r="FA651" s="1350"/>
      <c r="FE651"/>
      <c r="FF651"/>
      <c r="FG651"/>
      <c r="FH651"/>
      <c r="FI651"/>
      <c r="FJ651"/>
      <c r="FK651" s="35"/>
    </row>
    <row r="652" spans="1:167" s="236" customFormat="1">
      <c r="B652" s="236" t="s">
        <v>641</v>
      </c>
      <c r="C652" s="242"/>
      <c r="E652" s="156"/>
      <c r="F652" s="156"/>
      <c r="G652" s="235"/>
      <c r="H652" s="156"/>
      <c r="I652" s="156"/>
      <c r="J652" s="235"/>
      <c r="K652" s="156"/>
      <c r="L652" s="156"/>
      <c r="M652" s="235"/>
      <c r="N652" s="156"/>
      <c r="O652" s="156"/>
      <c r="P652" s="235"/>
      <c r="Q652" s="239"/>
      <c r="R652" s="239"/>
      <c r="S652" s="240"/>
      <c r="T652" s="239"/>
      <c r="U652" s="239"/>
      <c r="V652" s="274"/>
      <c r="W652" s="238"/>
      <c r="X652" s="238"/>
      <c r="Y652" s="274"/>
      <c r="Z652" s="238"/>
      <c r="AA652" s="238"/>
      <c r="AB652" s="274"/>
      <c r="AC652" s="238"/>
      <c r="AD652" s="238"/>
      <c r="AE652" s="274"/>
      <c r="AF652" s="238"/>
      <c r="AG652" s="238"/>
      <c r="AH652" s="274"/>
      <c r="AI652" s="238"/>
      <c r="AJ652" s="238"/>
      <c r="AK652" s="274"/>
      <c r="AL652" s="238"/>
      <c r="AM652" s="238"/>
      <c r="AN652" s="274"/>
      <c r="AO652" s="238"/>
      <c r="AP652" s="238"/>
      <c r="AQ652" s="274"/>
      <c r="AR652" s="238"/>
      <c r="AS652" s="238"/>
      <c r="AT652" s="274"/>
      <c r="AU652" s="156"/>
      <c r="AV652" s="156"/>
      <c r="AW652" s="235"/>
      <c r="AX652" s="156"/>
      <c r="AY652" s="156"/>
      <c r="AZ652" s="235"/>
      <c r="BA652" s="156"/>
      <c r="BB652" s="156"/>
      <c r="BC652" s="235"/>
      <c r="BD652" s="156"/>
      <c r="BE652" s="156"/>
      <c r="BF652" s="235"/>
      <c r="BG652" s="156"/>
      <c r="BH652" s="156"/>
      <c r="BI652" s="235"/>
      <c r="BJ652" s="885"/>
      <c r="BK652" s="156"/>
      <c r="BL652" s="235"/>
      <c r="BM652" s="156"/>
      <c r="BN652" s="156"/>
      <c r="BO652" s="235"/>
      <c r="BP652" s="156"/>
      <c r="BQ652" s="156"/>
      <c r="BR652" s="235"/>
      <c r="BS652" s="156"/>
      <c r="BT652" s="156"/>
      <c r="BU652" s="235"/>
      <c r="BV652" s="156"/>
      <c r="BW652" s="156"/>
      <c r="BX652" s="235"/>
      <c r="BY652" s="156"/>
      <c r="BZ652" s="156"/>
      <c r="CA652" s="235"/>
      <c r="CB652" s="156"/>
      <c r="CC652" s="156"/>
      <c r="DH652" s="1350"/>
      <c r="DK652" s="1350"/>
      <c r="DN652" s="1350"/>
      <c r="DQ652" s="1350"/>
      <c r="DT652" s="1350"/>
      <c r="DW652" s="1350"/>
      <c r="DZ652" s="1350"/>
      <c r="EC652" s="1350"/>
      <c r="EF652" s="1350"/>
      <c r="EI652" s="1350"/>
      <c r="EL652" s="1350"/>
      <c r="EO652" s="1350"/>
      <c r="ER652" s="1350"/>
      <c r="EU652" s="1350"/>
      <c r="EX652" s="1350"/>
      <c r="FA652" s="1350"/>
      <c r="FE652"/>
      <c r="FF652"/>
      <c r="FG652"/>
      <c r="FH652"/>
      <c r="FI652"/>
      <c r="FJ652"/>
      <c r="FK652" s="35"/>
    </row>
    <row r="653" spans="1:167" s="236" customFormat="1">
      <c r="B653" s="236" t="s">
        <v>642</v>
      </c>
      <c r="C653" s="242"/>
      <c r="E653" s="156"/>
      <c r="F653" s="156"/>
      <c r="G653" s="235"/>
      <c r="H653" s="156"/>
      <c r="I653" s="156"/>
      <c r="J653" s="235"/>
      <c r="K653" s="156"/>
      <c r="L653" s="156"/>
      <c r="M653" s="235"/>
      <c r="N653" s="156"/>
      <c r="O653" s="156"/>
      <c r="P653" s="235"/>
      <c r="Q653" s="239"/>
      <c r="R653" s="239"/>
      <c r="S653" s="240"/>
      <c r="T653" s="239"/>
      <c r="U653" s="239"/>
      <c r="V653" s="274"/>
      <c r="W653" s="238"/>
      <c r="X653" s="238"/>
      <c r="Y653" s="274"/>
      <c r="Z653" s="238"/>
      <c r="AA653" s="238"/>
      <c r="AB653" s="274"/>
      <c r="AC653" s="238"/>
      <c r="AD653" s="238"/>
      <c r="AE653" s="274"/>
      <c r="AF653" s="238"/>
      <c r="AG653" s="238"/>
      <c r="AH653" s="274"/>
      <c r="AI653" s="238"/>
      <c r="AJ653" s="238"/>
      <c r="AK653" s="274"/>
      <c r="AL653" s="238"/>
      <c r="AM653" s="238"/>
      <c r="AN653" s="274"/>
      <c r="AO653" s="238"/>
      <c r="AP653" s="238"/>
      <c r="AQ653" s="274"/>
      <c r="AR653" s="238"/>
      <c r="AS653" s="238"/>
      <c r="AT653" s="274"/>
      <c r="AU653" s="156"/>
      <c r="AV653" s="156"/>
      <c r="AW653" s="235"/>
      <c r="AX653" s="156"/>
      <c r="AY653" s="156"/>
      <c r="AZ653" s="235"/>
      <c r="BA653" s="156"/>
      <c r="BB653" s="156"/>
      <c r="BC653" s="235"/>
      <c r="BD653" s="156"/>
      <c r="BE653" s="156"/>
      <c r="BF653" s="235"/>
      <c r="BG653" s="156"/>
      <c r="BH653" s="156"/>
      <c r="BI653" s="235"/>
      <c r="BJ653" s="156"/>
      <c r="BK653" s="156"/>
      <c r="BL653" s="235"/>
      <c r="BM653" s="156"/>
      <c r="BN653" s="156"/>
      <c r="BO653" s="235"/>
      <c r="BP653" s="156"/>
      <c r="BQ653" s="156"/>
      <c r="BR653" s="235"/>
      <c r="BS653" s="156"/>
      <c r="BT653" s="156"/>
      <c r="BU653" s="235"/>
      <c r="BV653" s="156"/>
      <c r="BW653" s="156"/>
      <c r="BX653" s="235"/>
      <c r="BY653" s="156"/>
      <c r="BZ653" s="156"/>
      <c r="CA653" s="235"/>
      <c r="CB653" s="156"/>
      <c r="CC653" s="156"/>
      <c r="DH653" s="1350"/>
      <c r="DK653" s="1350"/>
      <c r="DN653" s="1350"/>
      <c r="DQ653" s="1350"/>
      <c r="DT653" s="1350"/>
      <c r="DW653" s="1350"/>
      <c r="DZ653" s="1350"/>
      <c r="EC653" s="1350"/>
      <c r="EF653" s="1350"/>
      <c r="EI653" s="1350"/>
      <c r="EL653" s="1350"/>
      <c r="EO653" s="1350"/>
      <c r="ER653" s="1350"/>
      <c r="EU653" s="1350"/>
      <c r="EX653" s="1350"/>
      <c r="FA653" s="1350"/>
      <c r="FE653"/>
      <c r="FF653"/>
      <c r="FG653"/>
      <c r="FH653"/>
      <c r="FI653"/>
      <c r="FJ653"/>
      <c r="FK653" s="35"/>
    </row>
    <row r="654" spans="1:167" s="236" customFormat="1">
      <c r="C654" s="242"/>
      <c r="E654" s="156"/>
      <c r="F654" s="156"/>
      <c r="G654" s="235"/>
      <c r="H654" s="156"/>
      <c r="I654" s="156"/>
      <c r="J654" s="235"/>
      <c r="K654" s="156"/>
      <c r="L654" s="156"/>
      <c r="M654" s="235"/>
      <c r="N654" s="156"/>
      <c r="O654" s="156"/>
      <c r="P654" s="235"/>
      <c r="Q654" s="239"/>
      <c r="R654" s="239"/>
      <c r="S654" s="240"/>
      <c r="T654" s="239"/>
      <c r="U654" s="239"/>
      <c r="V654" s="274"/>
      <c r="W654" s="238"/>
      <c r="X654" s="238"/>
      <c r="Y654" s="274"/>
      <c r="Z654" s="238"/>
      <c r="AA654" s="238"/>
      <c r="AB654" s="274"/>
      <c r="AC654" s="238"/>
      <c r="AD654" s="238"/>
      <c r="AE654" s="274"/>
      <c r="AF654" s="238"/>
      <c r="AG654" s="238"/>
      <c r="AH654" s="274"/>
      <c r="AI654" s="238"/>
      <c r="AJ654" s="238"/>
      <c r="AK654" s="274"/>
      <c r="AL654" s="238"/>
      <c r="AM654" s="238"/>
      <c r="AN654" s="274"/>
      <c r="AO654" s="238"/>
      <c r="AP654" s="238"/>
      <c r="AQ654" s="274"/>
      <c r="AR654" s="238"/>
      <c r="AS654" s="238"/>
      <c r="AT654" s="274"/>
      <c r="AU654" s="156"/>
      <c r="AV654" s="156"/>
      <c r="AW654" s="235"/>
      <c r="AX654" s="156"/>
      <c r="AY654" s="156"/>
      <c r="AZ654" s="235"/>
      <c r="BA654" s="156"/>
      <c r="BB654" s="156"/>
      <c r="BC654" s="235"/>
      <c r="BD654" s="156"/>
      <c r="BE654" s="156"/>
      <c r="BF654" s="235"/>
      <c r="BG654" s="156"/>
      <c r="BH654" s="156"/>
      <c r="BI654" s="235"/>
      <c r="BJ654" s="156"/>
      <c r="BK654" s="156"/>
      <c r="BL654" s="235"/>
      <c r="BM654" s="156"/>
      <c r="BN654" s="156"/>
      <c r="BO654" s="235"/>
      <c r="BP654" s="156"/>
      <c r="BQ654" s="156"/>
      <c r="BR654" s="235"/>
      <c r="BS654" s="156"/>
      <c r="BT654" s="156"/>
      <c r="BU654" s="235"/>
      <c r="BV654" s="156"/>
      <c r="BW654" s="156"/>
      <c r="BX654" s="235"/>
      <c r="BY654" s="156"/>
      <c r="BZ654" s="156"/>
      <c r="CA654" s="235"/>
      <c r="CB654" s="156"/>
      <c r="CC654" s="156"/>
      <c r="DH654" s="1350"/>
      <c r="DK654" s="1350"/>
      <c r="DN654" s="1350"/>
      <c r="DQ654" s="1350"/>
      <c r="DT654" s="1350"/>
      <c r="DW654" s="1350"/>
      <c r="DZ654" s="1350"/>
      <c r="EC654" s="1350"/>
      <c r="EF654" s="1350"/>
      <c r="EI654" s="1350"/>
      <c r="EL654" s="1350"/>
      <c r="EO654" s="1350"/>
      <c r="ER654" s="1350"/>
      <c r="EU654" s="1350"/>
      <c r="EX654" s="1350"/>
      <c r="FA654" s="1350"/>
      <c r="FE654"/>
      <c r="FF654"/>
      <c r="FG654"/>
      <c r="FH654"/>
      <c r="FI654"/>
      <c r="FJ654"/>
      <c r="FK654" s="35"/>
    </row>
    <row r="655" spans="1:167" s="236" customFormat="1">
      <c r="C655" s="242"/>
      <c r="E655" s="156"/>
      <c r="F655" s="156"/>
      <c r="G655" s="235"/>
      <c r="H655" s="156"/>
      <c r="I655" s="156"/>
      <c r="J655" s="235"/>
      <c r="K655" s="156"/>
      <c r="L655" s="156"/>
      <c r="M655" s="235"/>
      <c r="N655" s="156"/>
      <c r="O655" s="156"/>
      <c r="P655" s="235"/>
      <c r="Q655" s="239"/>
      <c r="R655" s="239"/>
      <c r="S655" s="240"/>
      <c r="T655" s="239"/>
      <c r="U655" s="239"/>
      <c r="V655" s="274"/>
      <c r="W655" s="238"/>
      <c r="X655" s="238"/>
      <c r="Y655" s="274"/>
      <c r="Z655" s="238"/>
      <c r="AA655" s="238"/>
      <c r="AB655" s="274"/>
      <c r="AC655" s="238"/>
      <c r="AD655" s="238"/>
      <c r="AE655" s="274"/>
      <c r="AF655" s="238"/>
      <c r="AG655" s="238"/>
      <c r="AH655" s="274"/>
      <c r="AI655" s="238"/>
      <c r="AJ655" s="238"/>
      <c r="AK655" s="274"/>
      <c r="AL655" s="238"/>
      <c r="AM655" s="238"/>
      <c r="AN655" s="274"/>
      <c r="AO655" s="238"/>
      <c r="AP655" s="238"/>
      <c r="AQ655" s="274"/>
      <c r="AR655" s="238"/>
      <c r="AS655" s="238"/>
      <c r="AT655" s="274"/>
      <c r="AU655" s="156"/>
      <c r="AV655" s="156"/>
      <c r="AW655" s="235"/>
      <c r="AX655" s="156"/>
      <c r="AY655" s="156"/>
      <c r="AZ655" s="235"/>
      <c r="BA655" s="156"/>
      <c r="BB655" s="156"/>
      <c r="BC655" s="235"/>
      <c r="BD655" s="156"/>
      <c r="BE655" s="156"/>
      <c r="BF655" s="235"/>
      <c r="BG655" s="156"/>
      <c r="BH655" s="156"/>
      <c r="BI655" s="235"/>
      <c r="BJ655" s="156"/>
      <c r="BK655" s="156"/>
      <c r="BL655" s="235"/>
      <c r="BM655" s="156"/>
      <c r="BN655" s="156"/>
      <c r="BO655" s="235"/>
      <c r="BP655" s="156"/>
      <c r="BQ655" s="156"/>
      <c r="BR655" s="235"/>
      <c r="BS655" s="156"/>
      <c r="BT655" s="156"/>
      <c r="BU655" s="235"/>
      <c r="BV655" s="156"/>
      <c r="BW655" s="156"/>
      <c r="BX655" s="235"/>
      <c r="BY655" s="156"/>
      <c r="BZ655" s="156"/>
      <c r="CA655" s="235"/>
      <c r="CB655" s="156"/>
      <c r="CC655" s="156"/>
      <c r="DH655" s="1350"/>
      <c r="DK655" s="1350"/>
      <c r="DN655" s="1350"/>
      <c r="DQ655" s="1350"/>
      <c r="DT655" s="1350"/>
      <c r="DW655" s="1350"/>
      <c r="DZ655" s="1350"/>
      <c r="EC655" s="1350"/>
      <c r="EF655" s="1350"/>
      <c r="EI655" s="1350"/>
      <c r="EL655" s="1350"/>
      <c r="EO655" s="1350"/>
      <c r="ER655" s="1350"/>
      <c r="EU655" s="1350"/>
      <c r="EX655" s="1350"/>
      <c r="FA655" s="1350"/>
      <c r="FE655"/>
      <c r="FF655"/>
      <c r="FG655"/>
      <c r="FH655"/>
      <c r="FI655"/>
      <c r="FJ655"/>
      <c r="FK655" s="35"/>
    </row>
    <row r="656" spans="1:167" s="236" customFormat="1" ht="15.75">
      <c r="B656" s="237" t="s">
        <v>128</v>
      </c>
      <c r="C656" s="242"/>
      <c r="E656" s="156"/>
      <c r="F656" s="156"/>
      <c r="G656" s="235"/>
      <c r="H656" s="156"/>
      <c r="I656" s="156"/>
      <c r="J656" s="235"/>
      <c r="K656" s="156"/>
      <c r="L656" s="156"/>
      <c r="M656" s="235"/>
      <c r="N656" s="156"/>
      <c r="O656" s="156"/>
      <c r="P656" s="235"/>
      <c r="Q656" s="239"/>
      <c r="R656" s="239"/>
      <c r="S656" s="240"/>
      <c r="T656" s="239"/>
      <c r="U656" s="239"/>
      <c r="V656" s="274"/>
      <c r="W656" s="238"/>
      <c r="X656" s="238"/>
      <c r="Y656" s="274"/>
      <c r="Z656" s="238"/>
      <c r="AA656" s="238"/>
      <c r="AB656" s="274"/>
      <c r="AC656" s="238"/>
      <c r="AD656" s="238"/>
      <c r="AE656" s="274"/>
      <c r="AF656" s="238"/>
      <c r="AG656" s="238"/>
      <c r="AH656" s="274"/>
      <c r="AI656" s="238"/>
      <c r="AJ656" s="238"/>
      <c r="AK656" s="274"/>
      <c r="AL656" s="238"/>
      <c r="AM656" s="238"/>
      <c r="AN656" s="274"/>
      <c r="AO656" s="238"/>
      <c r="AP656" s="238"/>
      <c r="AQ656" s="274"/>
      <c r="AR656" s="238"/>
      <c r="AS656" s="238"/>
      <c r="AT656" s="274"/>
      <c r="AU656" s="156"/>
      <c r="AV656" s="156"/>
      <c r="AW656" s="235"/>
      <c r="AX656" s="156"/>
      <c r="AY656" s="156"/>
      <c r="AZ656" s="235"/>
      <c r="BA656" s="156"/>
      <c r="BB656" s="156"/>
      <c r="BC656" s="235"/>
      <c r="BD656" s="156"/>
      <c r="BE656" s="156"/>
      <c r="BF656" s="235"/>
      <c r="BG656" s="156"/>
      <c r="BH656" s="156"/>
      <c r="BI656" s="886"/>
      <c r="BJ656" s="156"/>
      <c r="BK656" s="156"/>
      <c r="BL656" s="235"/>
      <c r="BM656" s="156"/>
      <c r="BN656" s="156"/>
      <c r="BO656" s="235"/>
      <c r="BP656" s="156"/>
      <c r="BQ656" s="156"/>
      <c r="BR656" s="235"/>
      <c r="BS656" s="156"/>
      <c r="BT656" s="156"/>
      <c r="BU656" s="235"/>
      <c r="BV656" s="156"/>
      <c r="BW656" s="156"/>
      <c r="BX656" s="235"/>
      <c r="BY656" s="156"/>
      <c r="BZ656" s="156"/>
      <c r="CA656" s="235"/>
      <c r="CB656" s="156"/>
      <c r="CC656" s="156"/>
      <c r="DH656" s="1350"/>
      <c r="DK656" s="1350"/>
      <c r="DN656" s="1350"/>
      <c r="DQ656" s="1350"/>
      <c r="DT656" s="1350"/>
      <c r="DW656" s="1350"/>
      <c r="DZ656" s="1350"/>
      <c r="EC656" s="1350"/>
      <c r="EF656" s="1350"/>
      <c r="EI656" s="1350"/>
      <c r="EL656" s="1350"/>
      <c r="EO656" s="1350"/>
      <c r="ER656" s="1350"/>
      <c r="EU656" s="1350"/>
      <c r="EX656" s="1350"/>
      <c r="FA656" s="1350"/>
      <c r="FE656"/>
      <c r="FF656"/>
      <c r="FG656"/>
      <c r="FH656"/>
      <c r="FI656"/>
      <c r="FJ656"/>
      <c r="FK656" s="35"/>
    </row>
    <row r="657" spans="2:167" s="236" customFormat="1">
      <c r="B657" s="447" t="s">
        <v>1011</v>
      </c>
      <c r="C657" s="242"/>
      <c r="E657" s="156"/>
      <c r="F657" s="156"/>
      <c r="G657" s="235"/>
      <c r="H657" s="156"/>
      <c r="I657" s="156"/>
      <c r="J657" s="235"/>
      <c r="K657" s="156"/>
      <c r="L657" s="156"/>
      <c r="M657" s="235"/>
      <c r="N657" s="156"/>
      <c r="O657" s="156"/>
      <c r="P657" s="235"/>
      <c r="Q657" s="239"/>
      <c r="R657" s="239"/>
      <c r="S657" s="240"/>
      <c r="T657" s="239"/>
      <c r="U657" s="239"/>
      <c r="V657" s="274"/>
      <c r="W657" s="238"/>
      <c r="X657" s="238"/>
      <c r="Y657" s="274"/>
      <c r="Z657" s="238"/>
      <c r="AA657" s="238"/>
      <c r="AB657" s="274"/>
      <c r="AC657" s="238"/>
      <c r="AD657" s="238"/>
      <c r="AE657" s="274"/>
      <c r="AF657" s="238"/>
      <c r="AG657" s="238"/>
      <c r="AH657" s="274"/>
      <c r="AI657" s="238"/>
      <c r="AJ657" s="238"/>
      <c r="AK657" s="274"/>
      <c r="AL657" s="238"/>
      <c r="AM657" s="238"/>
      <c r="AN657" s="274"/>
      <c r="AO657" s="238"/>
      <c r="AP657" s="238"/>
      <c r="AQ657" s="274"/>
      <c r="AR657" s="238"/>
      <c r="AS657" s="238"/>
      <c r="AT657" s="274"/>
      <c r="AU657" s="156"/>
      <c r="AV657" s="156"/>
      <c r="AW657" s="235"/>
      <c r="AX657" s="156"/>
      <c r="AY657" s="156"/>
      <c r="AZ657" s="235"/>
      <c r="BA657" s="156"/>
      <c r="BB657" s="156"/>
      <c r="BC657" s="235"/>
      <c r="BD657" s="156"/>
      <c r="BE657" s="156"/>
      <c r="BF657" s="235"/>
      <c r="BG657" s="156"/>
      <c r="BH657" s="156"/>
      <c r="BI657" s="235"/>
      <c r="BJ657" s="156"/>
      <c r="BK657" s="156"/>
      <c r="BL657" s="235"/>
      <c r="BM657" s="156"/>
      <c r="BN657" s="156"/>
      <c r="BO657" s="235"/>
      <c r="BP657" s="156"/>
      <c r="BQ657" s="156"/>
      <c r="BR657" s="235"/>
      <c r="BS657" s="156"/>
      <c r="BT657" s="156"/>
      <c r="BU657" s="235"/>
      <c r="BV657" s="156"/>
      <c r="BW657" s="156"/>
      <c r="BX657" s="235"/>
      <c r="BY657" s="156"/>
      <c r="BZ657" s="156"/>
      <c r="CA657" s="235"/>
      <c r="CB657" s="156"/>
      <c r="CC657" s="156"/>
      <c r="DH657" s="1350"/>
      <c r="DK657" s="1350"/>
      <c r="DN657" s="1350"/>
      <c r="DQ657" s="1350"/>
      <c r="DT657" s="1350"/>
      <c r="DW657" s="1350"/>
      <c r="DZ657" s="1350"/>
      <c r="EC657" s="1350"/>
      <c r="EF657" s="1350"/>
      <c r="EI657" s="1350"/>
      <c r="EL657" s="1350"/>
      <c r="EO657" s="1350"/>
      <c r="ER657" s="1350"/>
      <c r="EU657" s="1350"/>
      <c r="EX657" s="1350"/>
      <c r="FA657" s="1350"/>
      <c r="FE657"/>
      <c r="FF657"/>
      <c r="FG657"/>
      <c r="FH657"/>
      <c r="FI657"/>
      <c r="FJ657"/>
      <c r="FK657" s="35"/>
    </row>
    <row r="658" spans="2:167" s="236" customFormat="1" ht="15.75">
      <c r="B658" s="236" t="s">
        <v>1012</v>
      </c>
      <c r="C658" s="242"/>
      <c r="E658" s="156"/>
      <c r="F658" s="156"/>
      <c r="G658" s="235"/>
      <c r="H658" s="156"/>
      <c r="I658" s="156"/>
      <c r="J658" s="235"/>
      <c r="K658" s="156"/>
      <c r="L658" s="156"/>
      <c r="M658" s="235"/>
      <c r="N658" s="156"/>
      <c r="O658" s="156"/>
      <c r="P658" s="235"/>
      <c r="Q658" s="239"/>
      <c r="R658" s="239"/>
      <c r="S658" s="240"/>
      <c r="T658" s="239"/>
      <c r="U658" s="239"/>
      <c r="V658" s="274"/>
      <c r="W658" s="238"/>
      <c r="X658" s="238"/>
      <c r="Y658" s="274"/>
      <c r="Z658" s="238"/>
      <c r="AA658" s="238"/>
      <c r="AB658" s="274"/>
      <c r="AC658" s="238"/>
      <c r="AD658" s="238"/>
      <c r="AE658" s="274"/>
      <c r="AF658" s="238"/>
      <c r="AG658" s="238"/>
      <c r="AH658" s="274"/>
      <c r="AI658" s="238"/>
      <c r="AJ658" s="238"/>
      <c r="AK658" s="274"/>
      <c r="AL658" s="238"/>
      <c r="AM658" s="238"/>
      <c r="AN658" s="274"/>
      <c r="AO658" s="238"/>
      <c r="AP658" s="238"/>
      <c r="AQ658" s="274"/>
      <c r="AR658" s="238"/>
      <c r="AS658" s="238"/>
      <c r="AT658" s="274"/>
      <c r="AU658" s="156"/>
      <c r="AV658" s="156"/>
      <c r="AW658" s="235"/>
      <c r="AX658" s="156"/>
      <c r="AY658" s="156"/>
      <c r="AZ658" s="235"/>
      <c r="BA658" s="156"/>
      <c r="BB658" s="156"/>
      <c r="BC658" s="235"/>
      <c r="BD658" s="156"/>
      <c r="BE658" s="156"/>
      <c r="BF658" s="235"/>
      <c r="BG658" s="156"/>
      <c r="BH658" s="156"/>
      <c r="BI658" s="886"/>
      <c r="BJ658" s="156"/>
      <c r="BK658" s="156"/>
      <c r="BL658" s="235"/>
      <c r="BM658" s="156"/>
      <c r="BN658" s="156"/>
      <c r="BO658" s="235"/>
      <c r="BP658" s="156"/>
      <c r="BQ658" s="156"/>
      <c r="BR658" s="235"/>
      <c r="BS658" s="156"/>
      <c r="BT658" s="156"/>
      <c r="BU658" s="235"/>
      <c r="BV658" s="156"/>
      <c r="BW658" s="156"/>
      <c r="BX658" s="235"/>
      <c r="BY658" s="156"/>
      <c r="BZ658" s="156"/>
      <c r="CA658" s="235"/>
      <c r="CB658" s="156"/>
      <c r="CC658" s="156"/>
      <c r="DH658" s="1350"/>
      <c r="DK658" s="1350"/>
      <c r="DN658" s="1350"/>
      <c r="DQ658" s="1350"/>
      <c r="DT658" s="1350"/>
      <c r="DW658" s="1350"/>
      <c r="DZ658" s="1350"/>
      <c r="EC658" s="1350"/>
      <c r="EF658" s="1350"/>
      <c r="EI658" s="1350"/>
      <c r="EL658" s="1350"/>
      <c r="EO658" s="1350"/>
      <c r="ER658" s="1350"/>
      <c r="EU658" s="1350"/>
      <c r="EX658" s="1350"/>
      <c r="FA658" s="1350"/>
      <c r="FE658"/>
      <c r="FF658"/>
      <c r="FG658"/>
      <c r="FH658"/>
      <c r="FI658"/>
      <c r="FJ658"/>
      <c r="FK658" s="35"/>
    </row>
    <row r="659" spans="2:167" s="236" customFormat="1">
      <c r="B659" s="236" t="s">
        <v>323</v>
      </c>
      <c r="C659" s="242"/>
      <c r="E659" s="156"/>
      <c r="F659" s="156"/>
      <c r="G659" s="235"/>
      <c r="H659" s="156"/>
      <c r="I659" s="156"/>
      <c r="J659" s="235"/>
      <c r="K659" s="156"/>
      <c r="L659" s="156"/>
      <c r="M659" s="235"/>
      <c r="N659" s="156"/>
      <c r="O659" s="156"/>
      <c r="P659" s="235"/>
      <c r="Q659" s="239"/>
      <c r="R659" s="239"/>
      <c r="S659" s="240"/>
      <c r="T659" s="239"/>
      <c r="U659" s="239"/>
      <c r="V659" s="274"/>
      <c r="W659" s="238"/>
      <c r="X659" s="238"/>
      <c r="Y659" s="274"/>
      <c r="Z659" s="238"/>
      <c r="AA659" s="238"/>
      <c r="AB659" s="274"/>
      <c r="AC659" s="238"/>
      <c r="AD659" s="238"/>
      <c r="AE659" s="274"/>
      <c r="AF659" s="238"/>
      <c r="AG659" s="238"/>
      <c r="AH659" s="274"/>
      <c r="AI659" s="238"/>
      <c r="AJ659" s="238"/>
      <c r="AK659" s="274"/>
      <c r="AL659" s="238"/>
      <c r="AM659" s="238"/>
      <c r="AN659" s="274"/>
      <c r="AO659" s="238"/>
      <c r="AP659" s="238"/>
      <c r="AQ659" s="274"/>
      <c r="AR659" s="238"/>
      <c r="AS659" s="238"/>
      <c r="AT659" s="274"/>
      <c r="AU659" s="156"/>
      <c r="AV659" s="156"/>
      <c r="AW659" s="235"/>
      <c r="AX659" s="156"/>
      <c r="AY659" s="156"/>
      <c r="AZ659" s="235"/>
      <c r="BA659" s="156"/>
      <c r="BB659" s="156"/>
      <c r="BC659" s="235"/>
      <c r="BD659" s="156"/>
      <c r="BE659" s="156"/>
      <c r="BF659" s="235"/>
      <c r="BG659" s="156"/>
      <c r="BH659" s="156"/>
      <c r="BI659" s="886"/>
      <c r="BJ659" s="156"/>
      <c r="BK659" s="156"/>
      <c r="BL659" s="235"/>
      <c r="BM659" s="156"/>
      <c r="BN659" s="156"/>
      <c r="BO659" s="235"/>
      <c r="BP659" s="156"/>
      <c r="BQ659" s="156"/>
      <c r="BR659" s="235"/>
      <c r="BS659" s="156"/>
      <c r="BT659" s="156"/>
      <c r="BU659" s="235"/>
      <c r="BV659" s="156"/>
      <c r="BW659" s="156"/>
      <c r="BX659" s="235"/>
      <c r="BY659" s="156"/>
      <c r="BZ659" s="156"/>
      <c r="CA659" s="235"/>
      <c r="CB659" s="156"/>
      <c r="CC659" s="156"/>
      <c r="DH659" s="1350"/>
      <c r="DK659" s="1350"/>
      <c r="DN659" s="1350"/>
      <c r="DQ659" s="1350"/>
      <c r="DT659" s="1350"/>
      <c r="DW659" s="1350"/>
      <c r="DZ659" s="1350"/>
      <c r="EC659" s="1350"/>
      <c r="EF659" s="1350"/>
      <c r="EI659" s="1350"/>
      <c r="EL659" s="1350"/>
      <c r="EO659" s="1350"/>
      <c r="ER659" s="1350"/>
      <c r="EU659" s="1350"/>
      <c r="EX659" s="1350"/>
      <c r="FA659" s="1350"/>
      <c r="FE659"/>
      <c r="FF659"/>
      <c r="FG659"/>
      <c r="FH659"/>
      <c r="FI659"/>
      <c r="FJ659"/>
      <c r="FK659" s="35"/>
    </row>
    <row r="660" spans="2:167" s="236" customFormat="1">
      <c r="C660" s="242"/>
      <c r="E660" s="156"/>
      <c r="F660" s="156"/>
      <c r="G660" s="235"/>
      <c r="H660" s="156"/>
      <c r="I660" s="156"/>
      <c r="J660" s="235"/>
      <c r="K660" s="156"/>
      <c r="L660" s="156"/>
      <c r="M660" s="235"/>
      <c r="N660" s="156"/>
      <c r="O660" s="156"/>
      <c r="P660" s="235"/>
      <c r="Q660" s="239"/>
      <c r="R660" s="239"/>
      <c r="S660" s="240"/>
      <c r="T660" s="239"/>
      <c r="U660" s="239"/>
      <c r="V660" s="274"/>
      <c r="W660" s="238"/>
      <c r="X660" s="238"/>
      <c r="Y660" s="274"/>
      <c r="Z660" s="238"/>
      <c r="AA660" s="238"/>
      <c r="AB660" s="274"/>
      <c r="AC660" s="238"/>
      <c r="AD660" s="238"/>
      <c r="AE660" s="274"/>
      <c r="AF660" s="238"/>
      <c r="AG660" s="238"/>
      <c r="AH660" s="274"/>
      <c r="AI660" s="238"/>
      <c r="AJ660" s="238"/>
      <c r="AK660" s="274"/>
      <c r="AL660" s="238"/>
      <c r="AM660" s="238"/>
      <c r="AN660" s="274"/>
      <c r="AO660" s="238"/>
      <c r="AP660" s="238"/>
      <c r="AQ660" s="274"/>
      <c r="AR660" s="238"/>
      <c r="AS660" s="238"/>
      <c r="AT660" s="274"/>
      <c r="AU660" s="156"/>
      <c r="AV660" s="156"/>
      <c r="AW660" s="235"/>
      <c r="AX660" s="156"/>
      <c r="AY660" s="156"/>
      <c r="AZ660" s="235"/>
      <c r="BA660" s="156"/>
      <c r="BB660" s="156"/>
      <c r="BC660" s="235"/>
      <c r="BD660" s="156"/>
      <c r="BE660" s="156"/>
      <c r="BF660" s="235"/>
      <c r="BG660" s="156"/>
      <c r="BH660" s="156"/>
      <c r="BI660" s="886"/>
      <c r="BJ660" s="156"/>
      <c r="BK660" s="156"/>
      <c r="BL660" s="235" t="s">
        <v>320</v>
      </c>
      <c r="BM660" s="156"/>
      <c r="BN660" s="156"/>
      <c r="BO660" s="235"/>
      <c r="BP660" s="156"/>
      <c r="BQ660" s="156"/>
      <c r="BR660" s="235"/>
      <c r="BS660" s="156"/>
      <c r="BT660" s="156"/>
      <c r="BU660" s="235"/>
      <c r="BV660" s="156"/>
      <c r="BW660" s="156"/>
      <c r="BX660" s="235"/>
      <c r="BY660" s="156"/>
      <c r="BZ660" s="156"/>
      <c r="CA660" s="235"/>
      <c r="CB660" s="156"/>
      <c r="CC660" s="156"/>
      <c r="DH660" s="1350"/>
      <c r="DK660" s="1350"/>
      <c r="DN660" s="1350"/>
      <c r="DQ660" s="1350"/>
      <c r="DT660" s="1350"/>
      <c r="DW660" s="1350"/>
      <c r="DZ660" s="1350"/>
      <c r="EC660" s="1350"/>
      <c r="EF660" s="1350"/>
      <c r="EI660" s="1350"/>
      <c r="EL660" s="1350"/>
      <c r="EO660" s="1350"/>
      <c r="ER660" s="1350"/>
      <c r="EU660" s="1350"/>
      <c r="EX660" s="1350"/>
      <c r="FA660" s="1350"/>
      <c r="FE660"/>
      <c r="FF660"/>
      <c r="FG660"/>
      <c r="FH660"/>
      <c r="FI660"/>
      <c r="FJ660"/>
      <c r="FK660" s="35"/>
    </row>
    <row r="661" spans="2:167" s="236" customFormat="1">
      <c r="C661" s="242"/>
      <c r="E661" s="156"/>
      <c r="F661" s="156"/>
      <c r="G661" s="235"/>
      <c r="H661" s="156"/>
      <c r="I661" s="156"/>
      <c r="J661" s="235"/>
      <c r="K661" s="156"/>
      <c r="L661" s="156"/>
      <c r="M661" s="235"/>
      <c r="N661" s="156"/>
      <c r="O661" s="156"/>
      <c r="P661" s="235"/>
      <c r="Q661" s="239"/>
      <c r="R661" s="239"/>
      <c r="S661" s="240"/>
      <c r="T661" s="239"/>
      <c r="U661" s="239"/>
      <c r="V661" s="274"/>
      <c r="W661" s="238"/>
      <c r="X661" s="238"/>
      <c r="Y661" s="274"/>
      <c r="Z661" s="238"/>
      <c r="AA661" s="238"/>
      <c r="AB661" s="274"/>
      <c r="AC661" s="238"/>
      <c r="AD661" s="238"/>
      <c r="AE661" s="274"/>
      <c r="AF661" s="238"/>
      <c r="AG661" s="238"/>
      <c r="AH661" s="274"/>
      <c r="AI661" s="238"/>
      <c r="AJ661" s="238"/>
      <c r="AK661" s="274"/>
      <c r="AL661" s="238"/>
      <c r="AM661" s="238"/>
      <c r="AN661" s="274"/>
      <c r="AO661" s="238"/>
      <c r="AP661" s="238"/>
      <c r="AQ661" s="274"/>
      <c r="AR661" s="238"/>
      <c r="AS661" s="238"/>
      <c r="AT661" s="274"/>
      <c r="AU661" s="156"/>
      <c r="AV661" s="156"/>
      <c r="AW661" s="235"/>
      <c r="AX661" s="156"/>
      <c r="AY661" s="156"/>
      <c r="AZ661" s="235"/>
      <c r="BA661" s="156"/>
      <c r="BB661" s="156"/>
      <c r="BC661" s="235"/>
      <c r="BD661" s="156"/>
      <c r="BE661" s="156"/>
      <c r="BF661" s="235"/>
      <c r="BG661" s="156"/>
      <c r="BH661" s="156"/>
      <c r="BI661" s="554"/>
      <c r="BJ661" s="156"/>
      <c r="BK661" s="156"/>
      <c r="BL661" s="235"/>
      <c r="BM661" s="156"/>
      <c r="BN661" s="156"/>
      <c r="BO661" s="235"/>
      <c r="BP661" s="156"/>
      <c r="BQ661" s="156"/>
      <c r="BR661" s="235"/>
      <c r="BS661" s="156"/>
      <c r="BT661" s="156"/>
      <c r="BU661" s="235"/>
      <c r="BV661" s="156"/>
      <c r="BW661" s="156"/>
      <c r="BX661" s="235"/>
      <c r="BY661" s="156"/>
      <c r="BZ661" s="156"/>
      <c r="CA661" s="235"/>
      <c r="CB661" s="156"/>
      <c r="CC661" s="156"/>
      <c r="DH661" s="1350"/>
      <c r="DK661" s="1350"/>
      <c r="DN661" s="1350"/>
      <c r="DQ661" s="1350"/>
      <c r="DT661" s="1350"/>
      <c r="DW661" s="1350"/>
      <c r="DZ661" s="1350"/>
      <c r="EC661" s="1350"/>
      <c r="EF661" s="1350"/>
      <c r="EI661" s="1350"/>
      <c r="EL661" s="1350"/>
      <c r="EO661" s="1350"/>
      <c r="ER661" s="1350"/>
      <c r="EU661" s="1350"/>
      <c r="EX661" s="1350"/>
      <c r="FA661" s="1350"/>
      <c r="FE661"/>
      <c r="FF661"/>
      <c r="FG661"/>
      <c r="FH661"/>
      <c r="FI661"/>
      <c r="FJ661"/>
      <c r="FK661" s="35"/>
    </row>
    <row r="662" spans="2:167" s="236" customFormat="1">
      <c r="C662" s="242"/>
      <c r="E662" s="156"/>
      <c r="F662" s="156"/>
      <c r="G662" s="235"/>
      <c r="H662" s="156"/>
      <c r="I662" s="156"/>
      <c r="J662" s="235"/>
      <c r="K662" s="156"/>
      <c r="L662" s="156"/>
      <c r="M662" s="235"/>
      <c r="N662" s="156"/>
      <c r="O662" s="156"/>
      <c r="P662" s="235"/>
      <c r="Q662" s="239"/>
      <c r="R662" s="239"/>
      <c r="S662" s="240"/>
      <c r="T662" s="239"/>
      <c r="U662" s="239"/>
      <c r="V662" s="274"/>
      <c r="W662" s="238"/>
      <c r="X662" s="238"/>
      <c r="Y662" s="274"/>
      <c r="Z662" s="238"/>
      <c r="AA662" s="238"/>
      <c r="AB662" s="274"/>
      <c r="AC662" s="238"/>
      <c r="AD662" s="238"/>
      <c r="AE662" s="274"/>
      <c r="AF662" s="238"/>
      <c r="AG662" s="238"/>
      <c r="AH662" s="274"/>
      <c r="AI662" s="238"/>
      <c r="AJ662" s="238"/>
      <c r="AK662" s="274"/>
      <c r="AL662" s="238"/>
      <c r="AM662" s="238"/>
      <c r="AN662" s="274"/>
      <c r="AO662" s="238"/>
      <c r="AP662" s="238"/>
      <c r="AQ662" s="274"/>
      <c r="AR662" s="238"/>
      <c r="AS662" s="238"/>
      <c r="AT662" s="274"/>
      <c r="AU662" s="156"/>
      <c r="AV662" s="156"/>
      <c r="AW662" s="235"/>
      <c r="AX662" s="156"/>
      <c r="AY662" s="156"/>
      <c r="AZ662" s="235"/>
      <c r="BA662" s="156"/>
      <c r="BB662" s="156"/>
      <c r="BC662" s="235"/>
      <c r="BD662" s="156"/>
      <c r="BE662" s="156"/>
      <c r="BF662" s="235"/>
      <c r="BG662" s="156"/>
      <c r="BH662" s="156"/>
      <c r="BI662" s="886"/>
      <c r="BJ662" s="156"/>
      <c r="BK662" s="156"/>
      <c r="BL662" s="235"/>
      <c r="BM662" s="156"/>
      <c r="BN662" s="156"/>
      <c r="BO662" s="235"/>
      <c r="BP662" s="156"/>
      <c r="BQ662" s="156"/>
      <c r="BR662" s="235"/>
      <c r="BS662" s="156"/>
      <c r="BT662" s="156"/>
      <c r="BU662" s="235"/>
      <c r="BV662" s="156"/>
      <c r="BW662" s="156"/>
      <c r="BX662" s="235"/>
      <c r="BY662" s="156"/>
      <c r="BZ662" s="156"/>
      <c r="CA662" s="235"/>
      <c r="CB662" s="156"/>
      <c r="CC662" s="156"/>
      <c r="DH662" s="1350"/>
      <c r="DK662" s="1350"/>
      <c r="DN662" s="1350"/>
      <c r="DQ662" s="1350"/>
      <c r="DT662" s="1350"/>
      <c r="DW662" s="1350"/>
      <c r="DZ662" s="1350"/>
      <c r="EC662" s="1350"/>
      <c r="EF662" s="1350"/>
      <c r="EI662" s="1350"/>
      <c r="EL662" s="1350"/>
      <c r="EO662" s="1350"/>
      <c r="ER662" s="1350"/>
      <c r="EU662" s="1350"/>
      <c r="EX662" s="1350"/>
      <c r="FA662" s="1350"/>
      <c r="FE662"/>
      <c r="FF662"/>
      <c r="FG662"/>
      <c r="FH662"/>
      <c r="FI662"/>
      <c r="FJ662"/>
      <c r="FK662" s="35"/>
    </row>
    <row r="663" spans="2:167" s="236" customFormat="1">
      <c r="B663" s="887" t="s">
        <v>949</v>
      </c>
      <c r="C663" s="242"/>
      <c r="E663" s="156"/>
      <c r="F663" s="156"/>
      <c r="G663" s="235"/>
      <c r="H663" s="156"/>
      <c r="I663" s="156"/>
      <c r="J663" s="235"/>
      <c r="K663" s="156"/>
      <c r="L663" s="156"/>
      <c r="M663" s="235"/>
      <c r="N663" s="156"/>
      <c r="O663" s="156"/>
      <c r="P663" s="235"/>
      <c r="Q663" s="239"/>
      <c r="R663" s="239"/>
      <c r="S663" s="240"/>
      <c r="T663" s="239"/>
      <c r="U663" s="239"/>
      <c r="V663" s="274"/>
      <c r="W663" s="238"/>
      <c r="X663" s="238"/>
      <c r="Y663" s="274"/>
      <c r="Z663" s="238"/>
      <c r="AA663" s="238"/>
      <c r="AB663" s="274"/>
      <c r="AC663" s="238"/>
      <c r="AD663" s="238"/>
      <c r="AE663" s="274"/>
      <c r="AF663" s="238"/>
      <c r="AG663" s="238"/>
      <c r="AH663" s="274"/>
      <c r="AI663" s="238"/>
      <c r="AJ663" s="238"/>
      <c r="AK663" s="274"/>
      <c r="AL663" s="238"/>
      <c r="AM663" s="238"/>
      <c r="AN663" s="274"/>
      <c r="AO663" s="238"/>
      <c r="AP663" s="238"/>
      <c r="AQ663" s="274"/>
      <c r="AR663" s="238"/>
      <c r="AS663" s="238"/>
      <c r="AT663" s="274"/>
      <c r="AU663" s="156"/>
      <c r="AV663" s="156"/>
      <c r="AW663" s="235"/>
      <c r="AX663" s="156"/>
      <c r="AY663" s="156"/>
      <c r="AZ663" s="235"/>
      <c r="BA663" s="156"/>
      <c r="BB663" s="156"/>
      <c r="BC663" s="235"/>
      <c r="BD663" s="156"/>
      <c r="BE663" s="156"/>
      <c r="BF663" s="235"/>
      <c r="BG663" s="156"/>
      <c r="BH663" s="156"/>
      <c r="BI663" s="235"/>
      <c r="BJ663" s="156"/>
      <c r="BK663" s="156"/>
      <c r="BL663" s="235"/>
      <c r="BM663" s="156"/>
      <c r="BN663" s="156"/>
      <c r="BO663" s="235"/>
      <c r="BP663" s="156"/>
      <c r="BQ663" s="156"/>
      <c r="BR663" s="235"/>
      <c r="BS663" s="156"/>
      <c r="BT663" s="156"/>
      <c r="BU663" s="235"/>
      <c r="BV663" s="156"/>
      <c r="BW663" s="156"/>
      <c r="BX663" s="235"/>
      <c r="BY663" s="156"/>
      <c r="BZ663" s="156"/>
      <c r="CA663" s="235"/>
      <c r="CB663" s="156"/>
      <c r="CC663" s="156"/>
      <c r="DH663" s="1350"/>
      <c r="DK663" s="1350"/>
      <c r="DN663" s="1350"/>
      <c r="DQ663" s="1350"/>
      <c r="DT663" s="1350"/>
      <c r="DW663" s="1350"/>
      <c r="DZ663" s="1350"/>
      <c r="EC663" s="1350"/>
      <c r="EF663" s="1350"/>
      <c r="EI663" s="1350"/>
      <c r="EL663" s="1350"/>
      <c r="EO663" s="1350"/>
      <c r="ER663" s="1350"/>
      <c r="EU663" s="1350"/>
      <c r="EX663" s="1350"/>
      <c r="FA663" s="1350"/>
      <c r="FE663"/>
      <c r="FF663"/>
      <c r="FG663"/>
      <c r="FH663"/>
      <c r="FI663"/>
      <c r="FJ663"/>
      <c r="FK663" s="35"/>
    </row>
    <row r="664" spans="2:167" s="236" customFormat="1">
      <c r="B664" s="236" t="s">
        <v>950</v>
      </c>
      <c r="C664" s="242"/>
      <c r="E664" s="156"/>
      <c r="F664" s="156"/>
      <c r="G664" s="235"/>
      <c r="H664" s="156"/>
      <c r="I664" s="156"/>
      <c r="J664" s="235"/>
      <c r="K664" s="156"/>
      <c r="L664" s="156"/>
      <c r="M664" s="235"/>
      <c r="N664" s="156"/>
      <c r="O664" s="156"/>
      <c r="P664" s="235"/>
      <c r="Q664" s="239"/>
      <c r="R664" s="239"/>
      <c r="S664" s="240"/>
      <c r="T664" s="239"/>
      <c r="U664" s="239"/>
      <c r="V664" s="274"/>
      <c r="W664" s="238"/>
      <c r="X664" s="238"/>
      <c r="Y664" s="274"/>
      <c r="Z664" s="238"/>
      <c r="AA664" s="238"/>
      <c r="AB664" s="274"/>
      <c r="AC664" s="238"/>
      <c r="AD664" s="238"/>
      <c r="AE664" s="274"/>
      <c r="AF664" s="238"/>
      <c r="AG664" s="238"/>
      <c r="AH664" s="274"/>
      <c r="AI664" s="238"/>
      <c r="AJ664" s="238"/>
      <c r="AK664" s="274"/>
      <c r="AL664" s="238"/>
      <c r="AM664" s="238"/>
      <c r="AN664" s="274"/>
      <c r="AO664" s="238"/>
      <c r="AP664" s="238"/>
      <c r="AQ664" s="274"/>
      <c r="AR664" s="238"/>
      <c r="AS664" s="238"/>
      <c r="AT664" s="274"/>
      <c r="AU664" s="156"/>
      <c r="AV664" s="156"/>
      <c r="AW664" s="235"/>
      <c r="AX664" s="156"/>
      <c r="AY664" s="156"/>
      <c r="AZ664" s="235"/>
      <c r="BA664" s="156"/>
      <c r="BB664" s="156"/>
      <c r="BC664" s="235"/>
      <c r="BD664" s="156"/>
      <c r="BE664" s="156"/>
      <c r="BF664" s="235"/>
      <c r="BG664" s="156"/>
      <c r="BH664" s="156"/>
      <c r="BI664" s="235"/>
      <c r="BJ664" s="156"/>
      <c r="BK664" s="156"/>
      <c r="BL664" s="235"/>
      <c r="BM664" s="156"/>
      <c r="BN664" s="156"/>
      <c r="BO664" s="235"/>
      <c r="BP664" s="156"/>
      <c r="BQ664" s="156"/>
      <c r="BR664" s="235"/>
      <c r="BS664" s="156"/>
      <c r="BT664" s="156"/>
      <c r="BU664" s="235"/>
      <c r="BV664" s="156"/>
      <c r="BW664" s="156"/>
      <c r="BX664" s="235"/>
      <c r="BY664" s="156"/>
      <c r="BZ664" s="156"/>
      <c r="CA664" s="235"/>
      <c r="CB664" s="156"/>
      <c r="CC664" s="156"/>
      <c r="DB664" s="189">
        <f>Segment!DB97</f>
        <v>8.3123425692695152E-2</v>
      </c>
      <c r="DC664" s="189">
        <f>Segment!DC97</f>
        <v>4.8084147257700272E-2</v>
      </c>
      <c r="DD664" s="189">
        <f>Segment!DD97</f>
        <v>-0.10083990045624169</v>
      </c>
      <c r="DE664" s="189">
        <f>Segment!DE97</f>
        <v>-3.3380601247872899E-2</v>
      </c>
      <c r="DF664" s="189">
        <f>Segment!DF97</f>
        <v>0.12867383512544794</v>
      </c>
      <c r="DG664" s="189">
        <f>Segment!DG97</f>
        <v>-0.26379519114340078</v>
      </c>
      <c r="DH664" s="1066">
        <f>Segment!DH97</f>
        <v>-7.1032479535252158E-2</v>
      </c>
      <c r="DI664" s="189">
        <f>Segment!DI97</f>
        <v>-8.029003916587274E-2</v>
      </c>
      <c r="DJ664" s="189">
        <f>Segment!DJ97</f>
        <v>0.49428258145363402</v>
      </c>
      <c r="DK664" s="1066">
        <f>Segment!DK97</f>
        <v>0.15141178700018942</v>
      </c>
      <c r="DL664" s="189">
        <f>Segment!DL97</f>
        <v>7.026529320366004E-2</v>
      </c>
      <c r="DM664" s="189">
        <f>Segment!DM97</f>
        <v>2.6468892499606822E-2</v>
      </c>
      <c r="DN664" s="1066">
        <f>Segment!DN97</f>
        <v>4.7344744349352652E-2</v>
      </c>
      <c r="DO664" s="189">
        <f>Segment!DO97</f>
        <v>0.14254220883966018</v>
      </c>
      <c r="DP664" s="189">
        <f>Segment!DP97</f>
        <v>0.1696793300653594</v>
      </c>
      <c r="DQ664" s="1066">
        <f>Segment!DQ97</f>
        <v>0.15646115970876329</v>
      </c>
      <c r="DR664" s="189">
        <f>Segment!DR97</f>
        <v>0.13854769636218167</v>
      </c>
      <c r="DS664" s="189">
        <f>Segment!DS97</f>
        <v>4.1035491334526553E-2</v>
      </c>
      <c r="DT664" s="1066">
        <f>Segment!DT97</f>
        <v>8.7960866020472928E-2</v>
      </c>
      <c r="DU664" s="189">
        <f>Segment!DU97</f>
        <v>4.947712148142025E-2</v>
      </c>
      <c r="DV664" s="189">
        <f>Segment!DV97</f>
        <v>0.19838973455780606</v>
      </c>
      <c r="DW664" s="1066">
        <f>Segment!DW97</f>
        <v>0.12339716902581177</v>
      </c>
      <c r="DX664" s="189">
        <f>Segment!DX97</f>
        <v>6.4040961008271058E-2</v>
      </c>
      <c r="DY664" s="189">
        <f>Segment!DY97</f>
        <v>0.10000000000000031</v>
      </c>
      <c r="DZ664" s="1066">
        <f>Segment!DZ97</f>
        <v>8.3082567447376299E-2</v>
      </c>
      <c r="EA664" s="189">
        <f>Segment!EA97</f>
        <v>0.19999999999999996</v>
      </c>
      <c r="EB664" s="189">
        <f>Segment!EB97</f>
        <v>7.0000000000000062E-2</v>
      </c>
      <c r="EC664" s="1066">
        <f>Segment!EC97</f>
        <v>0.13008506153788257</v>
      </c>
      <c r="ED664" s="189">
        <f>Segment!ED97</f>
        <v>9.000000000000008E-2</v>
      </c>
      <c r="EE664" s="189">
        <f>Segment!EE97</f>
        <v>9.000000000000008E-2</v>
      </c>
      <c r="EF664" s="1066">
        <f>Segment!EF97</f>
        <v>9.000000000000008E-2</v>
      </c>
      <c r="EG664" s="189">
        <f>Segment!EG97</f>
        <v>8.9999999999999858E-2</v>
      </c>
      <c r="EH664" s="189">
        <f>Segment!EH97</f>
        <v>9.000000000000008E-2</v>
      </c>
      <c r="EI664" s="1066">
        <f>Segment!EI97</f>
        <v>9.000000000000008E-2</v>
      </c>
      <c r="EJ664" s="189">
        <f>Segment!EJ97</f>
        <v>9.000000000000008E-2</v>
      </c>
      <c r="EK664" s="189">
        <f>Segment!EK97</f>
        <v>9.000000000000008E-2</v>
      </c>
      <c r="EL664" s="1066">
        <f>Segment!EL97</f>
        <v>9.000000000000008E-2</v>
      </c>
      <c r="EM664" s="189">
        <f>Segment!EM97</f>
        <v>9.000000000000008E-2</v>
      </c>
      <c r="EN664" s="189">
        <f>Segment!EN97</f>
        <v>9.000000000000008E-2</v>
      </c>
      <c r="EO664" s="1066">
        <f>Segment!EO97</f>
        <v>9.000000000000008E-2</v>
      </c>
      <c r="EP664" s="189">
        <f>Segment!EP97</f>
        <v>9.000000000000008E-2</v>
      </c>
      <c r="EQ664" s="189">
        <f>Segment!EQ97</f>
        <v>9.000000000000008E-2</v>
      </c>
      <c r="ER664" s="1066">
        <f>Segment!ER97</f>
        <v>9.000000000000008E-2</v>
      </c>
      <c r="ES664" s="189">
        <f>Segment!FB97</f>
        <v>0</v>
      </c>
      <c r="ET664" s="189">
        <f>Segment!FC97</f>
        <v>0</v>
      </c>
      <c r="EU664" s="1066">
        <f>Segment!FD97</f>
        <v>0</v>
      </c>
      <c r="EV664" s="189">
        <f>Segment!FE97</f>
        <v>0</v>
      </c>
      <c r="EW664" s="189">
        <f>Segment!FF97</f>
        <v>0</v>
      </c>
      <c r="EX664" s="1066">
        <f>Segment!FG97</f>
        <v>0</v>
      </c>
      <c r="EY664" s="189">
        <f>Segment!FH97</f>
        <v>0</v>
      </c>
      <c r="EZ664" s="189" t="str">
        <f>Segment!FI97</f>
        <v>RM</v>
      </c>
      <c r="FA664" s="1066">
        <f>Segment!FJ97</f>
        <v>0.35</v>
      </c>
      <c r="FE664"/>
      <c r="FF664"/>
      <c r="FG664"/>
      <c r="FH664"/>
      <c r="FI664"/>
      <c r="FJ664"/>
      <c r="FK664" s="35"/>
    </row>
    <row r="665" spans="2:167" s="236" customFormat="1">
      <c r="B665" s="236" t="s">
        <v>788</v>
      </c>
      <c r="C665" s="242"/>
      <c r="E665" s="156"/>
      <c r="F665" s="156"/>
      <c r="G665" s="235"/>
      <c r="H665" s="156"/>
      <c r="I665" s="156"/>
      <c r="J665" s="235"/>
      <c r="K665" s="156"/>
      <c r="L665" s="156"/>
      <c r="M665" s="235"/>
      <c r="N665" s="156"/>
      <c r="O665" s="156"/>
      <c r="P665" s="235"/>
      <c r="Q665" s="239"/>
      <c r="R665" s="239"/>
      <c r="S665" s="240"/>
      <c r="T665" s="239"/>
      <c r="U665" s="239"/>
      <c r="V665" s="274"/>
      <c r="W665" s="238"/>
      <c r="X665" s="238"/>
      <c r="Y665" s="274"/>
      <c r="Z665" s="238"/>
      <c r="AA665" s="238"/>
      <c r="AB665" s="274"/>
      <c r="AC665" s="238"/>
      <c r="AD665" s="238"/>
      <c r="AE665" s="274"/>
      <c r="AF665" s="238"/>
      <c r="AG665" s="238"/>
      <c r="AH665" s="274"/>
      <c r="AI665" s="238"/>
      <c r="AJ665" s="238"/>
      <c r="AK665" s="274"/>
      <c r="AL665" s="238"/>
      <c r="AM665" s="238"/>
      <c r="AN665" s="274"/>
      <c r="AO665" s="238"/>
      <c r="AP665" s="238"/>
      <c r="AQ665" s="274"/>
      <c r="AR665" s="238"/>
      <c r="AS665" s="238"/>
      <c r="AT665" s="274"/>
      <c r="AU665" s="156"/>
      <c r="AV665" s="156"/>
      <c r="AW665" s="235"/>
      <c r="AX665" s="156"/>
      <c r="AY665" s="156"/>
      <c r="AZ665" s="235"/>
      <c r="BA665" s="156"/>
      <c r="BB665" s="156"/>
      <c r="BC665" s="235"/>
      <c r="BD665" s="156"/>
      <c r="BE665" s="156"/>
      <c r="BF665" s="235"/>
      <c r="BG665" s="156"/>
      <c r="BH665" s="156"/>
      <c r="BI665" s="235"/>
      <c r="BJ665" s="156"/>
      <c r="BK665" s="156"/>
      <c r="BL665" s="235"/>
      <c r="BM665" s="156"/>
      <c r="BN665" s="156"/>
      <c r="BO665" s="235"/>
      <c r="BP665" s="156"/>
      <c r="BQ665" s="156"/>
      <c r="BR665" s="235"/>
      <c r="BS665" s="156"/>
      <c r="BT665" s="156"/>
      <c r="BU665" s="235"/>
      <c r="BV665" s="156"/>
      <c r="BW665" s="156"/>
      <c r="BX665" s="235"/>
      <c r="BY665" s="156"/>
      <c r="BZ665" s="156"/>
      <c r="CA665" s="235"/>
      <c r="CB665" s="156"/>
      <c r="CC665" s="156"/>
      <c r="DB665" s="888">
        <f>Segment!DB121</f>
        <v>334.90911919677399</v>
      </c>
      <c r="DC665" s="888">
        <f>Segment!DC121</f>
        <v>204.63656629043851</v>
      </c>
      <c r="DD665" s="888">
        <f>Segment!DD121</f>
        <v>219.4030504373188</v>
      </c>
      <c r="DE665" s="888">
        <f>Segment!DE121</f>
        <v>424.03961672775733</v>
      </c>
      <c r="DF665" s="888">
        <f>Segment!DF121</f>
        <v>222.41894873096487</v>
      </c>
      <c r="DG665" s="888">
        <f>Segment!DG121</f>
        <v>177.66621683241007</v>
      </c>
      <c r="DH665" s="1351">
        <f>Segment!DH121</f>
        <v>400.08516556337497</v>
      </c>
      <c r="DI665" s="888">
        <f>Segment!DI121</f>
        <v>214.9</v>
      </c>
      <c r="DJ665" s="888">
        <f>Segment!DJ121</f>
        <v>223.6</v>
      </c>
      <c r="DK665" s="1351">
        <f>Segment!DK121</f>
        <v>438.5</v>
      </c>
      <c r="DL665" s="888">
        <f>Segment!DL121</f>
        <v>256.5</v>
      </c>
      <c r="DM665" s="888">
        <f>Segment!DM121</f>
        <v>247.39999999999998</v>
      </c>
      <c r="DN665" s="1351">
        <f>Segment!DN121</f>
        <v>503.9</v>
      </c>
      <c r="DO665" s="888">
        <f>Segment!DO121</f>
        <v>258.60000000000002</v>
      </c>
      <c r="DP665" s="888">
        <f>Segment!DP121</f>
        <v>325.79999999999995</v>
      </c>
      <c r="DQ665" s="1351">
        <f>Segment!DQ121</f>
        <v>584.4</v>
      </c>
      <c r="DR665" s="888">
        <f>Segment!DR121</f>
        <v>348.9</v>
      </c>
      <c r="DS665" s="888">
        <f>Segment!DS121</f>
        <v>323.39999999999998</v>
      </c>
      <c r="DT665" s="1351">
        <f>Segment!DT121</f>
        <v>672.3</v>
      </c>
      <c r="DU665" s="888">
        <f>Segment!DU121</f>
        <v>305</v>
      </c>
      <c r="DV665" s="888">
        <f>Segment!DV121</f>
        <v>304.20000000000005</v>
      </c>
      <c r="DW665" s="1351">
        <f>Segment!DW121</f>
        <v>609.20000000000005</v>
      </c>
      <c r="DX665" s="888">
        <f>Segment!DX121</f>
        <v>311.60000000000002</v>
      </c>
      <c r="DY665" s="888">
        <f>Segment!DY121</f>
        <v>327.41432064663024</v>
      </c>
      <c r="DZ665" s="1351">
        <f>Segment!DZ121</f>
        <v>639.01432064663027</v>
      </c>
      <c r="EA665" s="888">
        <f>Segment!EA121</f>
        <v>343.80020969059115</v>
      </c>
      <c r="EB665" s="888">
        <f>Segment!EB121</f>
        <v>351.97039469512748</v>
      </c>
      <c r="EC665" s="1351">
        <f>Segment!EC121</f>
        <v>695.77060438571857</v>
      </c>
      <c r="ED665" s="888">
        <f>Segment!ED121</f>
        <v>374.74222856274434</v>
      </c>
      <c r="EE665" s="888">
        <f>Segment!EE121</f>
        <v>383.64773021768895</v>
      </c>
      <c r="EF665" s="1351">
        <f>Segment!EF121</f>
        <v>758.38995878043329</v>
      </c>
      <c r="EG665" s="888">
        <f>Segment!EG121</f>
        <v>408.46902913339136</v>
      </c>
      <c r="EH665" s="888">
        <f>Segment!EH121</f>
        <v>418.176025937281</v>
      </c>
      <c r="EI665" s="1351">
        <f>Segment!EI121</f>
        <v>826.64505507067236</v>
      </c>
      <c r="EJ665" s="888">
        <f>Segment!EJ121</f>
        <v>445.23124175539658</v>
      </c>
      <c r="EK665" s="888">
        <f>Segment!EK121</f>
        <v>455.81186827163634</v>
      </c>
      <c r="EL665" s="1351">
        <f>Segment!EL121</f>
        <v>901.04311002703298</v>
      </c>
      <c r="EM665" s="888">
        <f>Segment!EM121</f>
        <v>485.30205351338236</v>
      </c>
      <c r="EN665" s="888">
        <f>Segment!EN121</f>
        <v>496.83493641608362</v>
      </c>
      <c r="EO665" s="1351">
        <f>Segment!EO121</f>
        <v>982.13698992946593</v>
      </c>
      <c r="EP665" s="888">
        <f>Segment!EP121</f>
        <v>528.97923832958679</v>
      </c>
      <c r="EQ665" s="888">
        <f>Segment!EQ121</f>
        <v>541.55008069353119</v>
      </c>
      <c r="ER665" s="1351">
        <f>Segment!ER121</f>
        <v>1070.529319023118</v>
      </c>
      <c r="ES665" s="888">
        <f>Segment!FB121</f>
        <v>0</v>
      </c>
      <c r="ET665" s="888">
        <f>Segment!FC121</f>
        <v>0</v>
      </c>
      <c r="EU665" s="1351">
        <f>Segment!FD121</f>
        <v>0</v>
      </c>
      <c r="EV665" s="888">
        <f>Segment!FE121</f>
        <v>0</v>
      </c>
      <c r="EW665" s="888">
        <f>Segment!FF121</f>
        <v>0</v>
      </c>
      <c r="EX665" s="1351">
        <f>Segment!FG121</f>
        <v>0</v>
      </c>
      <c r="EY665" s="888">
        <f>Segment!FH121</f>
        <v>0</v>
      </c>
      <c r="EZ665" s="888">
        <f>Segment!FI121</f>
        <v>0</v>
      </c>
      <c r="FA665" s="1351">
        <f>Segment!FJ121</f>
        <v>0</v>
      </c>
      <c r="FE665"/>
      <c r="FF665"/>
      <c r="FG665"/>
      <c r="FH665"/>
      <c r="FI665"/>
      <c r="FJ665"/>
      <c r="FK665" s="35"/>
    </row>
    <row r="666" spans="2:167" s="236" customFormat="1">
      <c r="B666" s="236" t="s">
        <v>953</v>
      </c>
      <c r="C666" s="242"/>
      <c r="E666" s="156"/>
      <c r="F666" s="156"/>
      <c r="G666" s="235"/>
      <c r="H666" s="156"/>
      <c r="I666" s="156"/>
      <c r="J666" s="235"/>
      <c r="K666" s="156"/>
      <c r="L666" s="156"/>
      <c r="M666" s="235"/>
      <c r="N666" s="156"/>
      <c r="O666" s="156"/>
      <c r="P666" s="235"/>
      <c r="Q666" s="239"/>
      <c r="R666" s="239"/>
      <c r="S666" s="240"/>
      <c r="T666" s="239"/>
      <c r="U666" s="239"/>
      <c r="V666" s="274"/>
      <c r="W666" s="238"/>
      <c r="X666" s="238"/>
      <c r="Y666" s="274"/>
      <c r="Z666" s="238"/>
      <c r="AA666" s="238"/>
      <c r="AB666" s="274"/>
      <c r="AC666" s="238"/>
      <c r="AD666" s="238"/>
      <c r="AE666" s="274"/>
      <c r="AF666" s="238"/>
      <c r="AG666" s="238"/>
      <c r="AH666" s="274"/>
      <c r="AI666" s="238"/>
      <c r="AJ666" s="238"/>
      <c r="AK666" s="274"/>
      <c r="AL666" s="238"/>
      <c r="AM666" s="238"/>
      <c r="AN666" s="274"/>
      <c r="AO666" s="238"/>
      <c r="AP666" s="238"/>
      <c r="AQ666" s="274"/>
      <c r="AR666" s="238"/>
      <c r="AS666" s="238"/>
      <c r="AT666" s="274"/>
      <c r="AU666" s="156"/>
      <c r="AV666" s="156"/>
      <c r="AW666" s="235"/>
      <c r="AX666" s="156"/>
      <c r="AY666" s="156"/>
      <c r="AZ666" s="235"/>
      <c r="BA666" s="156"/>
      <c r="BB666" s="156"/>
      <c r="BC666" s="235"/>
      <c r="BD666" s="156"/>
      <c r="BE666" s="156"/>
      <c r="BF666" s="235"/>
      <c r="BG666" s="156"/>
      <c r="BH666" s="156"/>
      <c r="BI666" s="235"/>
      <c r="BJ666" s="156"/>
      <c r="BK666" s="156"/>
      <c r="BL666" s="235"/>
      <c r="BM666" s="156"/>
      <c r="BN666" s="156"/>
      <c r="BO666" s="235"/>
      <c r="BP666" s="156"/>
      <c r="BQ666" s="156"/>
      <c r="BR666" s="235"/>
      <c r="BS666" s="156"/>
      <c r="BT666" s="156"/>
      <c r="BU666" s="235"/>
      <c r="BV666" s="156"/>
      <c r="BW666" s="156"/>
      <c r="BX666" s="235"/>
      <c r="BY666" s="156"/>
      <c r="BZ666" s="156"/>
      <c r="CA666" s="235"/>
      <c r="CB666" s="156"/>
      <c r="CC666" s="156"/>
      <c r="DB666" s="888">
        <f>Segment!DB118</f>
        <v>830.99994371750449</v>
      </c>
      <c r="DC666" s="888">
        <f>Segment!DC118</f>
        <v>413.9</v>
      </c>
      <c r="DD666" s="888">
        <f>Segment!DD118</f>
        <v>431.20290469853671</v>
      </c>
      <c r="DE666" s="888">
        <f>Segment!DE118</f>
        <v>845.10290469853669</v>
      </c>
      <c r="DF666" s="888">
        <f>Segment!DF118</f>
        <v>469.9</v>
      </c>
      <c r="DG666" s="888">
        <f>Segment!DG118</f>
        <v>348.03900982800087</v>
      </c>
      <c r="DH666" s="1351">
        <f>Segment!DH118</f>
        <v>817.93900982800085</v>
      </c>
      <c r="DI666" s="888">
        <f>Segment!DI118</f>
        <v>454.7</v>
      </c>
      <c r="DJ666" s="888">
        <f>Segment!DJ118</f>
        <v>443.90000000000003</v>
      </c>
      <c r="DK666" s="1351">
        <f>Segment!DK118</f>
        <v>898.6</v>
      </c>
      <c r="DL666" s="888">
        <f>Segment!DL118</f>
        <v>457.9</v>
      </c>
      <c r="DM666" s="888">
        <f>Segment!DM118</f>
        <v>477.30000000000007</v>
      </c>
      <c r="DN666" s="1351">
        <f>Segment!DN118</f>
        <v>935.2</v>
      </c>
      <c r="DO666" s="888">
        <f>Segment!DO118</f>
        <v>513.1</v>
      </c>
      <c r="DP666" s="888">
        <f>Segment!DP118</f>
        <v>618.30000000000007</v>
      </c>
      <c r="DQ666" s="1351">
        <f>Segment!DQ118</f>
        <v>1131.4000000000001</v>
      </c>
      <c r="DR666" s="888">
        <f>Segment!DR118</f>
        <v>648.5</v>
      </c>
      <c r="DS666" s="888">
        <f>Segment!DS118</f>
        <v>681.09999999999991</v>
      </c>
      <c r="DT666" s="1351">
        <f>Segment!DT118</f>
        <v>1329.6</v>
      </c>
      <c r="DU666" s="888">
        <f>Segment!DU118</f>
        <v>724.5</v>
      </c>
      <c r="DV666" s="888">
        <f>Segment!DV118</f>
        <v>745.7</v>
      </c>
      <c r="DW666" s="1351">
        <f>Segment!DW118</f>
        <v>1470.2</v>
      </c>
      <c r="DX666" s="888">
        <f>Segment!DX118</f>
        <v>724</v>
      </c>
      <c r="DY666" s="888">
        <f>Segment!DY118</f>
        <v>867.51280227652524</v>
      </c>
      <c r="DZ666" s="1351">
        <f>Segment!DZ118</f>
        <v>1591.5128022765252</v>
      </c>
      <c r="EA666" s="888">
        <f>Segment!EA118</f>
        <v>897.39432550488641</v>
      </c>
      <c r="EB666" s="888">
        <f>Segment!EB118</f>
        <v>928.23869843588216</v>
      </c>
      <c r="EC666" s="1351">
        <f>Segment!EC118</f>
        <v>1825.6330239407685</v>
      </c>
      <c r="ED666" s="888">
        <f>Segment!ED118</f>
        <v>978.15981480032633</v>
      </c>
      <c r="EE666" s="888">
        <f>Segment!EE118</f>
        <v>1011.7801812951117</v>
      </c>
      <c r="EF666" s="1351">
        <f>Segment!EF118</f>
        <v>1989.9399960954379</v>
      </c>
      <c r="EG666" s="888">
        <f>Segment!EG118</f>
        <v>1066.1941981323557</v>
      </c>
      <c r="EH666" s="888">
        <f>Segment!EH118</f>
        <v>1102.8403976116717</v>
      </c>
      <c r="EI666" s="1351">
        <f>Segment!EI118</f>
        <v>2169.0345957440277</v>
      </c>
      <c r="EJ666" s="888">
        <f>Segment!EJ118</f>
        <v>1162.1516759642677</v>
      </c>
      <c r="EK666" s="888">
        <f>Segment!EK118</f>
        <v>1202.0960333967223</v>
      </c>
      <c r="EL666" s="1351">
        <f>Segment!EL118</f>
        <v>2364.24770936099</v>
      </c>
      <c r="EM666" s="888">
        <f>Segment!EM118</f>
        <v>1266.745326801052</v>
      </c>
      <c r="EN666" s="888">
        <f>Segment!EN118</f>
        <v>1310.2846764024273</v>
      </c>
      <c r="EO666" s="1351">
        <f>Segment!EO118</f>
        <v>2577.0300032034793</v>
      </c>
      <c r="EP666" s="888">
        <f>Segment!EP118</f>
        <v>1380.7524062131467</v>
      </c>
      <c r="EQ666" s="888">
        <f>Segment!EQ118</f>
        <v>1428.2102972786458</v>
      </c>
      <c r="ER666" s="1351">
        <f>Segment!ER118</f>
        <v>2808.9627034917926</v>
      </c>
      <c r="ES666" s="888">
        <f>Segment!FB118</f>
        <v>0</v>
      </c>
      <c r="ET666" s="888">
        <f>Segment!FC118</f>
        <v>0</v>
      </c>
      <c r="EU666" s="1351">
        <f>Segment!FD118</f>
        <v>0</v>
      </c>
      <c r="EV666" s="888">
        <f>Segment!FE118</f>
        <v>0</v>
      </c>
      <c r="EW666" s="888">
        <f>Segment!FF118</f>
        <v>0</v>
      </c>
      <c r="EX666" s="1351">
        <f>Segment!FG118</f>
        <v>0</v>
      </c>
      <c r="EY666" s="888">
        <f>Segment!FH118</f>
        <v>0</v>
      </c>
      <c r="EZ666" s="888">
        <f>Segment!FI118</f>
        <v>0</v>
      </c>
      <c r="FA666" s="1351">
        <f>Segment!FJ118</f>
        <v>0</v>
      </c>
      <c r="FE666"/>
      <c r="FF666"/>
      <c r="FG666"/>
      <c r="FH666"/>
      <c r="FI666"/>
      <c r="FJ666"/>
      <c r="FK666" s="35"/>
    </row>
    <row r="667" spans="2:167" s="236" customFormat="1">
      <c r="B667" s="236" t="s">
        <v>951</v>
      </c>
      <c r="C667" s="242"/>
      <c r="E667" s="156"/>
      <c r="F667" s="156"/>
      <c r="G667" s="235"/>
      <c r="H667" s="156"/>
      <c r="I667" s="156"/>
      <c r="J667" s="235"/>
      <c r="K667" s="156"/>
      <c r="L667" s="156"/>
      <c r="M667" s="235"/>
      <c r="N667" s="156"/>
      <c r="O667" s="156"/>
      <c r="P667" s="235"/>
      <c r="Q667" s="239"/>
      <c r="R667" s="239"/>
      <c r="S667" s="240"/>
      <c r="T667" s="239"/>
      <c r="U667" s="239"/>
      <c r="V667" s="274"/>
      <c r="W667" s="238"/>
      <c r="X667" s="238"/>
      <c r="Y667" s="274"/>
      <c r="Z667" s="238"/>
      <c r="AA667" s="238"/>
      <c r="AB667" s="274"/>
      <c r="AC667" s="238"/>
      <c r="AD667" s="238"/>
      <c r="AE667" s="274"/>
      <c r="AF667" s="238"/>
      <c r="AG667" s="238"/>
      <c r="AH667" s="274"/>
      <c r="AI667" s="238"/>
      <c r="AJ667" s="238"/>
      <c r="AK667" s="274"/>
      <c r="AL667" s="238"/>
      <c r="AM667" s="238"/>
      <c r="AN667" s="274"/>
      <c r="AO667" s="238"/>
      <c r="AP667" s="238"/>
      <c r="AQ667" s="274"/>
      <c r="AR667" s="238"/>
      <c r="AS667" s="238"/>
      <c r="AT667" s="274"/>
      <c r="AU667" s="156"/>
      <c r="AV667" s="156"/>
      <c r="AW667" s="235"/>
      <c r="AX667" s="156"/>
      <c r="AY667" s="156"/>
      <c r="AZ667" s="235"/>
      <c r="BA667" s="156"/>
      <c r="BB667" s="156"/>
      <c r="BC667" s="235"/>
      <c r="BD667" s="156"/>
      <c r="BE667" s="156"/>
      <c r="BF667" s="235"/>
      <c r="BG667" s="156"/>
      <c r="BH667" s="156"/>
      <c r="BI667" s="235"/>
      <c r="BJ667" s="156"/>
      <c r="BK667" s="156"/>
      <c r="BL667" s="235"/>
      <c r="BM667" s="156"/>
      <c r="BN667" s="156"/>
      <c r="BO667" s="235"/>
      <c r="BP667" s="156"/>
      <c r="BQ667" s="156"/>
      <c r="BR667" s="235"/>
      <c r="BS667" s="156"/>
      <c r="BT667" s="156"/>
      <c r="BU667" s="235"/>
      <c r="BV667" s="156"/>
      <c r="BW667" s="156"/>
      <c r="BX667" s="235"/>
      <c r="BY667" s="156"/>
      <c r="BZ667" s="156"/>
      <c r="CA667" s="235"/>
      <c r="CB667" s="156"/>
      <c r="CC667" s="156"/>
      <c r="DB667" s="888">
        <f>Segment!DB124</f>
        <v>165.2000000000001</v>
      </c>
      <c r="DC667" s="888">
        <f>Segment!DC124</f>
        <v>90.80000000000004</v>
      </c>
      <c r="DD667" s="888">
        <f>Segment!DD124</f>
        <v>82.99</v>
      </c>
      <c r="DE667" s="888">
        <f>Segment!DE124</f>
        <v>173.79000000000002</v>
      </c>
      <c r="DF667" s="888">
        <f>Segment!DF124</f>
        <v>82.444519110167278</v>
      </c>
      <c r="DG667" s="888">
        <f>Segment!DG124</f>
        <v>56.359184445948827</v>
      </c>
      <c r="DH667" s="1351">
        <f>Segment!DH124</f>
        <v>138.80370355611609</v>
      </c>
      <c r="DI667" s="888">
        <f>Segment!DI124</f>
        <v>73.2</v>
      </c>
      <c r="DJ667" s="888">
        <f>Segment!DJ124</f>
        <v>82.999999999999986</v>
      </c>
      <c r="DK667" s="1351">
        <f>Segment!DK124</f>
        <v>156.19999999999999</v>
      </c>
      <c r="DL667" s="888">
        <f>Segment!DL124</f>
        <v>100.9</v>
      </c>
      <c r="DM667" s="888">
        <f>Segment!DM124</f>
        <v>101.1</v>
      </c>
      <c r="DN667" s="1351">
        <f>Segment!DN124</f>
        <v>202</v>
      </c>
      <c r="DO667" s="888">
        <f>Segment!DO124</f>
        <v>120.9</v>
      </c>
      <c r="DP667" s="888">
        <f>Segment!DP124</f>
        <v>119</v>
      </c>
      <c r="DQ667" s="1351">
        <f>Segment!DQ124</f>
        <v>239.9</v>
      </c>
      <c r="DR667" s="888">
        <f>Segment!DR124</f>
        <v>116</v>
      </c>
      <c r="DS667" s="888">
        <f>Segment!DS124</f>
        <v>140.30000000000001</v>
      </c>
      <c r="DT667" s="1351">
        <f>Segment!DT124</f>
        <v>256.3</v>
      </c>
      <c r="DU667" s="888">
        <f>Segment!DU124</f>
        <v>140.4</v>
      </c>
      <c r="DV667" s="888">
        <f>Segment!DV124</f>
        <v>135.99999999999997</v>
      </c>
      <c r="DW667" s="1351">
        <f>Segment!DW124</f>
        <v>276.39999999999998</v>
      </c>
      <c r="DX667" s="888">
        <f>Segment!DX124</f>
        <v>140.4</v>
      </c>
      <c r="DY667" s="888">
        <f>Segment!DY124</f>
        <v>142.43913701711867</v>
      </c>
      <c r="DZ667" s="1351">
        <f>Segment!DZ124</f>
        <v>282.83913701711867</v>
      </c>
      <c r="EA667" s="888">
        <f>Segment!EA124</f>
        <v>145.68709377569758</v>
      </c>
      <c r="EB667" s="888">
        <f>Segment!EB124</f>
        <v>149.56109386797462</v>
      </c>
      <c r="EC667" s="1351">
        <f>Segment!EC124</f>
        <v>295.24818764367217</v>
      </c>
      <c r="ED667" s="888">
        <f>Segment!ED124</f>
        <v>155.8851903399964</v>
      </c>
      <c r="EE667" s="888">
        <f>Segment!EE124</f>
        <v>160.03037043873289</v>
      </c>
      <c r="EF667" s="1351">
        <f>Segment!EF124</f>
        <v>315.91556077872929</v>
      </c>
      <c r="EG667" s="888">
        <f>Segment!EG124</f>
        <v>169.91485747059608</v>
      </c>
      <c r="EH667" s="888">
        <f>Segment!EH124</f>
        <v>174.43310377821885</v>
      </c>
      <c r="EI667" s="1351">
        <f>Segment!EI124</f>
        <v>344.34796124881495</v>
      </c>
      <c r="EJ667" s="888">
        <f>Segment!EJ124</f>
        <v>185.20719464294973</v>
      </c>
      <c r="EK667" s="888">
        <f>Segment!EK124</f>
        <v>190.13208311825855</v>
      </c>
      <c r="EL667" s="1351">
        <f>Segment!EL124</f>
        <v>375.33927776120828</v>
      </c>
      <c r="EM667" s="888">
        <f>Segment!EM124</f>
        <v>201.87584216081524</v>
      </c>
      <c r="EN667" s="888">
        <f>Segment!EN124</f>
        <v>207.24397059890183</v>
      </c>
      <c r="EO667" s="1351">
        <f>Segment!EO124</f>
        <v>409.11981275971709</v>
      </c>
      <c r="EP667" s="888">
        <f>Segment!EP124</f>
        <v>220.04466795528865</v>
      </c>
      <c r="EQ667" s="888">
        <f>Segment!EQ124</f>
        <v>225.89592795280299</v>
      </c>
      <c r="ER667" s="1351">
        <f>Segment!ER124</f>
        <v>445.94059590809161</v>
      </c>
      <c r="ES667" s="888">
        <f>Segment!FB124</f>
        <v>0</v>
      </c>
      <c r="ET667" s="888">
        <f>Segment!FC124</f>
        <v>0</v>
      </c>
      <c r="EU667" s="1351">
        <f>Segment!FD124</f>
        <v>0</v>
      </c>
      <c r="EV667" s="888">
        <f>Segment!FE124</f>
        <v>0</v>
      </c>
      <c r="EW667" s="888">
        <f>Segment!FF124</f>
        <v>0</v>
      </c>
      <c r="EX667" s="1351">
        <f>Segment!FG124</f>
        <v>0</v>
      </c>
      <c r="EY667" s="888">
        <f>Segment!FH124</f>
        <v>0</v>
      </c>
      <c r="EZ667" s="888">
        <f>Segment!FI124</f>
        <v>0</v>
      </c>
      <c r="FA667" s="1351">
        <f>Segment!FJ124</f>
        <v>0</v>
      </c>
      <c r="FE667"/>
      <c r="FF667"/>
      <c r="FG667"/>
      <c r="FH667"/>
      <c r="FI667"/>
      <c r="FJ667"/>
      <c r="FK667" s="35"/>
    </row>
    <row r="668" spans="2:167" s="236" customFormat="1">
      <c r="B668" s="236" t="s">
        <v>952</v>
      </c>
      <c r="C668" s="242"/>
      <c r="E668" s="156"/>
      <c r="F668" s="156"/>
      <c r="G668" s="235"/>
      <c r="H668" s="156"/>
      <c r="I668" s="156"/>
      <c r="J668" s="235"/>
      <c r="K668" s="156"/>
      <c r="L668" s="156"/>
      <c r="M668" s="235"/>
      <c r="N668" s="156"/>
      <c r="O668" s="156"/>
      <c r="P668" s="235"/>
      <c r="Q668" s="239"/>
      <c r="R668" s="239"/>
      <c r="S668" s="240"/>
      <c r="T668" s="239"/>
      <c r="U668" s="239"/>
      <c r="V668" s="274"/>
      <c r="W668" s="238"/>
      <c r="X668" s="238"/>
      <c r="Y668" s="274"/>
      <c r="Z668" s="238"/>
      <c r="AA668" s="238"/>
      <c r="AB668" s="274"/>
      <c r="AC668" s="238"/>
      <c r="AD668" s="238"/>
      <c r="AE668" s="274"/>
      <c r="AF668" s="238"/>
      <c r="AG668" s="238"/>
      <c r="AH668" s="274"/>
      <c r="AI668" s="238"/>
      <c r="AJ668" s="238"/>
      <c r="AK668" s="274"/>
      <c r="AL668" s="238"/>
      <c r="AM668" s="238"/>
      <c r="AN668" s="274"/>
      <c r="AO668" s="238"/>
      <c r="AP668" s="238"/>
      <c r="AQ668" s="274"/>
      <c r="AR668" s="238"/>
      <c r="AS668" s="238"/>
      <c r="AT668" s="274"/>
      <c r="AU668" s="156"/>
      <c r="AV668" s="156"/>
      <c r="AW668" s="235"/>
      <c r="AX668" s="156"/>
      <c r="AY668" s="156"/>
      <c r="AZ668" s="235"/>
      <c r="BA668" s="156"/>
      <c r="BB668" s="156"/>
      <c r="BC668" s="235"/>
      <c r="BD668" s="156"/>
      <c r="BE668" s="156"/>
      <c r="BF668" s="235"/>
      <c r="BG668" s="156"/>
      <c r="BH668" s="156"/>
      <c r="BI668" s="235"/>
      <c r="BJ668" s="156"/>
      <c r="BK668" s="156"/>
      <c r="BL668" s="235"/>
      <c r="BM668" s="156"/>
      <c r="BN668" s="156"/>
      <c r="BO668" s="235"/>
      <c r="BP668" s="156"/>
      <c r="BQ668" s="156"/>
      <c r="BR668" s="235"/>
      <c r="BS668" s="156"/>
      <c r="BT668" s="156"/>
      <c r="BU668" s="235"/>
      <c r="BV668" s="156"/>
      <c r="BW668" s="156"/>
      <c r="BX668" s="235"/>
      <c r="BY668" s="156"/>
      <c r="BZ668" s="156"/>
      <c r="CA668" s="235"/>
      <c r="CB668" s="156"/>
      <c r="CC668" s="156"/>
      <c r="DB668" s="888">
        <f>Segment!DB96</f>
        <v>35260</v>
      </c>
      <c r="DC668" s="888">
        <f>Segment!DC96</f>
        <v>16740</v>
      </c>
      <c r="DD668" s="888">
        <f>Segment!DD96</f>
        <v>17343</v>
      </c>
      <c r="DE668" s="888">
        <f>Segment!DE96</f>
        <v>34083</v>
      </c>
      <c r="DF668" s="888">
        <f>Segment!DF96</f>
        <v>18894</v>
      </c>
      <c r="DG668" s="888">
        <f>Segment!DG96</f>
        <v>12768</v>
      </c>
      <c r="DH668" s="1351">
        <f>Segment!DH96</f>
        <v>31662</v>
      </c>
      <c r="DI668" s="888">
        <f>Segment!DI96</f>
        <v>17377</v>
      </c>
      <c r="DJ668" s="888">
        <f>Segment!DJ96</f>
        <v>19079</v>
      </c>
      <c r="DK668" s="1351">
        <f>Segment!DK96</f>
        <v>36456</v>
      </c>
      <c r="DL668" s="888">
        <f>Segment!DL96</f>
        <v>18598</v>
      </c>
      <c r="DM668" s="888">
        <f>Segment!DM96</f>
        <v>19584</v>
      </c>
      <c r="DN668" s="1351">
        <f>Segment!DN96</f>
        <v>38182</v>
      </c>
      <c r="DO668" s="888">
        <f>Segment!DO96</f>
        <v>21249</v>
      </c>
      <c r="DP668" s="888">
        <f>Segment!DP96</f>
        <v>22907</v>
      </c>
      <c r="DQ668" s="1351">
        <f>Segment!DQ96</f>
        <v>44156</v>
      </c>
      <c r="DR668" s="888">
        <f>Segment!DR96</f>
        <v>24193</v>
      </c>
      <c r="DS668" s="888">
        <f>Segment!DS96</f>
        <v>23847</v>
      </c>
      <c r="DT668" s="1351">
        <f>Segment!DT96</f>
        <v>48040</v>
      </c>
      <c r="DU668" s="888">
        <f>Segment!DU96</f>
        <v>25390</v>
      </c>
      <c r="DV668" s="888">
        <f>Segment!DV96</f>
        <v>28578</v>
      </c>
      <c r="DW668" s="1351">
        <f>Segment!DW96</f>
        <v>53968</v>
      </c>
      <c r="DX668" s="888">
        <f>Segment!DX96</f>
        <v>27016</v>
      </c>
      <c r="DY668" s="888">
        <f>Segment!DY96</f>
        <v>31435.800000000007</v>
      </c>
      <c r="DZ668" s="1351">
        <f>Segment!DZ96</f>
        <v>58451.8</v>
      </c>
      <c r="EA668" s="888">
        <f>Segment!EA96</f>
        <v>32419.200000000001</v>
      </c>
      <c r="EB668" s="888">
        <f>Segment!EB96</f>
        <v>33636.306000000011</v>
      </c>
      <c r="EC668" s="1351">
        <f>Segment!EC96</f>
        <v>66055.506000000008</v>
      </c>
      <c r="ED668" s="888">
        <f>Segment!ED96</f>
        <v>35336.928</v>
      </c>
      <c r="EE668" s="888">
        <f>Segment!EE96</f>
        <v>36663.573540000012</v>
      </c>
      <c r="EF668" s="1351">
        <f>Segment!EF96</f>
        <v>72000.501540000012</v>
      </c>
      <c r="EG668" s="888">
        <f>Segment!EG96</f>
        <v>38517.251519999998</v>
      </c>
      <c r="EH668" s="888">
        <f>Segment!EH96</f>
        <v>39963.29515860002</v>
      </c>
      <c r="EI668" s="1351">
        <f>Segment!EI96</f>
        <v>78480.546678600018</v>
      </c>
      <c r="EJ668" s="888">
        <f>Segment!EJ96</f>
        <v>41983.804156800004</v>
      </c>
      <c r="EK668" s="888">
        <f>Segment!EK96</f>
        <v>43559.991722874023</v>
      </c>
      <c r="EL668" s="1351">
        <f>Segment!EL96</f>
        <v>85543.795879674028</v>
      </c>
      <c r="EM668" s="888">
        <f>Segment!EM96</f>
        <v>45762.346530912007</v>
      </c>
      <c r="EN668" s="888">
        <f>Segment!EN96</f>
        <v>47480.390977932686</v>
      </c>
      <c r="EO668" s="1351">
        <f>Segment!EO96</f>
        <v>93242.737508844701</v>
      </c>
      <c r="EP668" s="888">
        <f>Segment!EP96</f>
        <v>49880.957718694095</v>
      </c>
      <c r="EQ668" s="888">
        <f>Segment!EQ96</f>
        <v>51753.626165946633</v>
      </c>
      <c r="ER668" s="1351">
        <f>Segment!ER96</f>
        <v>101634.58388464073</v>
      </c>
      <c r="ES668" s="888">
        <f>Segment!FB96</f>
        <v>0</v>
      </c>
      <c r="ET668" s="888">
        <f>Segment!FC96</f>
        <v>9.6551797284851304E-2</v>
      </c>
      <c r="EU668" s="1351">
        <f>Segment!FD96</f>
        <v>0</v>
      </c>
      <c r="EV668" s="888">
        <f>Segment!FE96</f>
        <v>0</v>
      </c>
      <c r="EW668" s="888">
        <f>Segment!FF96</f>
        <v>0</v>
      </c>
      <c r="EX668" s="1351">
        <f>Segment!FG96</f>
        <v>0</v>
      </c>
      <c r="EY668" s="888">
        <f>Segment!FH96</f>
        <v>0</v>
      </c>
      <c r="EZ668" s="888" t="str">
        <f>Segment!FI96</f>
        <v>Developed</v>
      </c>
      <c r="FA668" s="1351">
        <f>Segment!FJ96</f>
        <v>0.65</v>
      </c>
      <c r="FE668"/>
      <c r="FF668"/>
      <c r="FG668"/>
      <c r="FH668"/>
      <c r="FI668"/>
      <c r="FJ668"/>
      <c r="FK668" s="35"/>
    </row>
  </sheetData>
  <dataConsolidate link="1"/>
  <phoneticPr fontId="8" type="noConversion"/>
  <printOptions headings="1" gridLines="1"/>
  <pageMargins left="0.51181102362204722" right="0.51181102362204722" top="0.51181102362204722" bottom="0.55118110236220474" header="0.51181102362204722" footer="0.51181102362204722"/>
  <pageSetup paperSize="9" fitToHeight="17" orientation="portrait" r:id="rId1"/>
  <headerFooter alignWithMargins="0">
    <oddFooter>&amp;L&amp;"Times New Roman,Italic"&amp;8&amp;F  &amp;D  &amp;T  Page &amp;P</oddFooter>
  </headerFooter>
  <ignoredErrors>
    <ignoredError sqref="BL73" unlocked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92D050"/>
    <pageSetUpPr fitToPage="1"/>
  </sheetPr>
  <dimension ref="A1:FQ965"/>
  <sheetViews>
    <sheetView showGridLines="0" zoomScale="70" zoomScaleNormal="70" workbookViewId="0">
      <pane xSplit="15" ySplit="2" topLeftCell="DS81" activePane="bottomRight" state="frozen"/>
      <selection activeCell="CW315" sqref="CW315"/>
      <selection pane="topRight" activeCell="CW315" sqref="CW315"/>
      <selection pane="bottomLeft" activeCell="CW315" sqref="CW315"/>
      <selection pane="bottomRight" activeCell="EG185" sqref="EG185"/>
    </sheetView>
  </sheetViews>
  <sheetFormatPr defaultColWidth="9.28515625" defaultRowHeight="12.75" outlineLevelRow="1" outlineLevelCol="1"/>
  <cols>
    <col min="1" max="1" width="4.7109375" style="1173" customWidth="1"/>
    <col min="2" max="2" width="2.28515625" style="35" customWidth="1"/>
    <col min="3" max="3" width="31" style="35" customWidth="1"/>
    <col min="4" max="4" width="20.7109375" style="162" bestFit="1" customWidth="1"/>
    <col min="5" max="5" width="8.42578125" style="35" hidden="1" customWidth="1"/>
    <col min="6" max="6" width="5.28515625" style="35" hidden="1" customWidth="1"/>
    <col min="7" max="7" width="5" style="35" hidden="1" customWidth="1"/>
    <col min="8" max="9" width="5.28515625" style="35" hidden="1" customWidth="1"/>
    <col min="10" max="10" width="5" style="35" hidden="1" customWidth="1"/>
    <col min="11" max="11" width="9.28515625" style="35" hidden="1" customWidth="1"/>
    <col min="12" max="12" width="5.28515625" style="35" hidden="1" customWidth="1"/>
    <col min="13" max="13" width="5" style="35" hidden="1" customWidth="1"/>
    <col min="14" max="15" width="5.28515625" style="35" hidden="1" customWidth="1"/>
    <col min="16" max="16" width="5" style="35" hidden="1" customWidth="1"/>
    <col min="17" max="18" width="5.28515625" style="35" hidden="1" customWidth="1"/>
    <col min="19" max="19" width="5" style="35" hidden="1" customWidth="1"/>
    <col min="20" max="21" width="5.28515625" style="35" hidden="1" customWidth="1"/>
    <col min="22" max="22" width="5" style="35" hidden="1" customWidth="1"/>
    <col min="23" max="24" width="5.28515625" style="35" hidden="1" customWidth="1"/>
    <col min="25" max="25" width="5" style="35" hidden="1" customWidth="1"/>
    <col min="26" max="27" width="5.28515625" style="35" hidden="1" customWidth="1"/>
    <col min="28" max="28" width="5" style="35" hidden="1" customWidth="1"/>
    <col min="29" max="30" width="5.28515625" style="35" hidden="1" customWidth="1"/>
    <col min="31" max="31" width="5" style="35" hidden="1" customWidth="1"/>
    <col min="32" max="33" width="5.28515625" style="35" hidden="1" customWidth="1"/>
    <col min="34" max="34" width="6" style="35" hidden="1" customWidth="1"/>
    <col min="35" max="36" width="5.28515625" style="35" hidden="1" customWidth="1"/>
    <col min="37" max="37" width="6.28515625" style="35" hidden="1" customWidth="1"/>
    <col min="38" max="39" width="5.28515625" style="35" hidden="1" customWidth="1"/>
    <col min="40" max="40" width="6.28515625" style="35" hidden="1" customWidth="1"/>
    <col min="41" max="42" width="5.28515625" style="35" hidden="1" customWidth="1"/>
    <col min="43" max="43" width="6.28515625" style="35" hidden="1" customWidth="1"/>
    <col min="44" max="48" width="7" style="35" hidden="1" customWidth="1"/>
    <col min="49" max="49" width="7.28515625" style="35" hidden="1" customWidth="1"/>
    <col min="50" max="52" width="7.28515625" style="35" hidden="1" customWidth="1" outlineLevel="1"/>
    <col min="53" max="54" width="9.28515625" style="67" hidden="1" customWidth="1" outlineLevel="1"/>
    <col min="55" max="55" width="9.28515625" style="31" hidden="1" customWidth="1" outlineLevel="1"/>
    <col min="56" max="57" width="9.28515625" style="67" hidden="1" customWidth="1" outlineLevel="1"/>
    <col min="58" max="58" width="9.28515625" style="31" hidden="1" customWidth="1" outlineLevel="1" collapsed="1"/>
    <col min="59" max="60" width="9.28515625" style="67" hidden="1" customWidth="1" outlineLevel="1"/>
    <col min="61" max="61" width="9.28515625" style="31" hidden="1" customWidth="1" outlineLevel="1" collapsed="1"/>
    <col min="62" max="63" width="9.28515625" style="168" hidden="1" customWidth="1" outlineLevel="1"/>
    <col min="64" max="64" width="9.28515625" style="940" hidden="1" customWidth="1" outlineLevel="1" collapsed="1"/>
    <col min="65" max="66" width="9.28515625" style="168" hidden="1" customWidth="1" outlineLevel="1"/>
    <col min="67" max="67" width="9.28515625" style="940" hidden="1" customWidth="1" outlineLevel="1" collapsed="1"/>
    <col min="68" max="69" width="9.28515625" style="168" hidden="1" customWidth="1" outlineLevel="1"/>
    <col min="70" max="70" width="9.28515625" style="940" hidden="1" customWidth="1" outlineLevel="1" collapsed="1"/>
    <col min="71" max="72" width="9.28515625" style="67" hidden="1" customWidth="1" outlineLevel="1"/>
    <col min="73" max="73" width="9.28515625" style="35" hidden="1" customWidth="1" outlineLevel="1"/>
    <col min="74" max="75" width="9.28515625" style="67" hidden="1" customWidth="1" outlineLevel="1"/>
    <col min="76" max="76" width="9.28515625" style="35" hidden="1" customWidth="1" outlineLevel="1"/>
    <col min="77" max="78" width="9.28515625" style="67" hidden="1" customWidth="1" outlineLevel="1"/>
    <col min="79" max="79" width="9.28515625" style="35" hidden="1" customWidth="1" outlineLevel="1"/>
    <col min="80" max="81" width="9.28515625" style="67" hidden="1" customWidth="1" outlineLevel="1"/>
    <col min="82" max="82" width="9.28515625" style="35" hidden="1" customWidth="1" outlineLevel="1"/>
    <col min="83" max="84" width="9.28515625" style="67" hidden="1" customWidth="1" outlineLevel="1"/>
    <col min="85" max="85" width="9.28515625" style="35" hidden="1" customWidth="1" outlineLevel="1"/>
    <col min="86" max="87" width="9.28515625" style="67" hidden="1" customWidth="1" outlineLevel="1"/>
    <col min="88" max="88" width="9.28515625" style="35" hidden="1" customWidth="1" outlineLevel="1"/>
    <col min="89" max="90" width="9.28515625" style="67" hidden="1" customWidth="1" outlineLevel="1"/>
    <col min="91" max="91" width="9.28515625" style="35" hidden="1" customWidth="1" outlineLevel="1"/>
    <col min="92" max="93" width="9.28515625" style="67" hidden="1" customWidth="1" outlineLevel="1"/>
    <col min="94" max="94" width="9.28515625" style="35" hidden="1" customWidth="1" outlineLevel="1"/>
    <col min="95" max="96" width="9.28515625" style="67" hidden="1" customWidth="1" outlineLevel="1"/>
    <col min="97" max="97" width="9.28515625" style="35" hidden="1" customWidth="1" outlineLevel="1"/>
    <col min="98" max="99" width="9.28515625" style="67" hidden="1" customWidth="1" outlineLevel="1"/>
    <col min="100" max="100" width="9.28515625" style="35" hidden="1" customWidth="1" outlineLevel="1"/>
    <col min="101" max="102" width="9.28515625" style="67" hidden="1" customWidth="1" outlineLevel="1"/>
    <col min="103" max="103" width="9.28515625" style="35" hidden="1" customWidth="1" outlineLevel="1"/>
    <col min="104" max="105" width="9.28515625" style="67" hidden="1" customWidth="1" outlineLevel="1"/>
    <col min="106" max="106" width="9.28515625" style="35" hidden="1" customWidth="1" outlineLevel="1"/>
    <col min="107" max="108" width="9.28515625" style="67" hidden="1" customWidth="1" outlineLevel="1"/>
    <col min="109" max="109" width="9.28515625" style="35" hidden="1" customWidth="1" outlineLevel="1"/>
    <col min="110" max="111" width="9.28515625" style="67" hidden="1" customWidth="1" outlineLevel="1"/>
    <col min="112" max="112" width="9.28515625" style="35" customWidth="1" collapsed="1"/>
    <col min="113" max="114" width="9.28515625" style="67" customWidth="1" outlineLevel="1"/>
    <col min="115" max="115" width="9.28515625" style="35" customWidth="1"/>
    <col min="116" max="117" width="9.28515625" style="67" customWidth="1" outlineLevel="1"/>
    <col min="118" max="118" width="9.28515625" style="35" customWidth="1"/>
    <col min="119" max="120" width="9.28515625" style="67" customWidth="1" outlineLevel="1"/>
    <col min="121" max="121" width="9.28515625" style="35" customWidth="1"/>
    <col min="122" max="122" width="9.7109375" style="67" customWidth="1" outlineLevel="1"/>
    <col min="123" max="123" width="9.28515625" style="67" customWidth="1" outlineLevel="1"/>
    <col min="124" max="124" width="9.28515625" style="35" customWidth="1"/>
    <col min="125" max="126" width="9.28515625" style="67" customWidth="1" outlineLevel="1"/>
    <col min="127" max="127" width="9.28515625" style="35" customWidth="1"/>
    <col min="128" max="129" width="9.28515625" style="67" customWidth="1" outlineLevel="1"/>
    <col min="130" max="130" width="9.28515625" style="35" customWidth="1"/>
    <col min="131" max="132" width="9.28515625" style="67" customWidth="1" outlineLevel="1"/>
    <col min="133" max="133" width="9.28515625" style="35" customWidth="1"/>
    <col min="134" max="135" width="9.28515625" style="67" customWidth="1" outlineLevel="1"/>
    <col min="136" max="136" width="9.28515625" style="35" customWidth="1"/>
    <col min="137" max="138" width="9.28515625" style="67" customWidth="1" outlineLevel="1"/>
    <col min="139" max="139" width="9.28515625" style="35" customWidth="1"/>
    <col min="140" max="141" width="9.28515625" style="67" customWidth="1" outlineLevel="1"/>
    <col min="142" max="142" width="9.28515625" style="35" customWidth="1"/>
    <col min="143" max="144" width="9.28515625" style="67" customWidth="1" outlineLevel="1"/>
    <col min="145" max="145" width="9.28515625" style="35" customWidth="1"/>
    <col min="146" max="147" width="9.28515625" style="67" customWidth="1" outlineLevel="1"/>
    <col min="148" max="148" width="9.28515625" style="35" customWidth="1"/>
    <col min="149" max="150" width="9.28515625" style="67" customWidth="1" outlineLevel="1"/>
    <col min="151" max="151" width="9.28515625" style="35" customWidth="1"/>
    <col min="152" max="153" width="9.28515625" style="67" customWidth="1" outlineLevel="1"/>
    <col min="154" max="154" width="9.28515625" style="35" customWidth="1"/>
    <col min="155" max="156" width="9.28515625" style="67" customWidth="1" outlineLevel="1"/>
    <col min="157" max="157" width="9.28515625" style="35" customWidth="1"/>
    <col min="158" max="158" width="6.28515625" style="35" customWidth="1"/>
    <col min="159" max="159" width="12" style="35" customWidth="1"/>
    <col min="160" max="160" width="16" style="35" customWidth="1"/>
    <col min="161" max="167" width="12.28515625" style="35" customWidth="1"/>
    <col min="168" max="168" width="9" style="35" customWidth="1"/>
    <col min="169" max="170" width="9.42578125" style="35" customWidth="1"/>
    <col min="171" max="172" width="6.28515625" style="35" customWidth="1"/>
    <col min="173" max="16384" width="9.28515625" style="35"/>
  </cols>
  <sheetData>
    <row r="1" spans="1:173" s="905" customFormat="1" ht="18.75" customHeight="1">
      <c r="A1" s="1417"/>
      <c r="B1" s="891" t="str">
        <f>Model!B3</f>
        <v>Cochlear</v>
      </c>
      <c r="C1" s="891"/>
      <c r="D1" s="1000" t="s">
        <v>670</v>
      </c>
      <c r="E1" s="892"/>
      <c r="F1" s="892"/>
      <c r="G1" s="893"/>
      <c r="H1" s="892"/>
      <c r="I1" s="892"/>
      <c r="J1" s="893"/>
      <c r="K1" s="892"/>
      <c r="L1" s="892"/>
      <c r="M1" s="893"/>
      <c r="N1" s="892"/>
      <c r="O1" s="892"/>
      <c r="P1" s="893"/>
      <c r="Q1" s="894"/>
      <c r="R1" s="895"/>
      <c r="S1" s="896"/>
      <c r="T1" s="897"/>
      <c r="U1" s="898"/>
      <c r="V1" s="899"/>
      <c r="W1" s="900"/>
      <c r="X1" s="901"/>
      <c r="Y1" s="902"/>
      <c r="Z1" s="901"/>
      <c r="AA1" s="901"/>
      <c r="AB1" s="902"/>
      <c r="AC1" s="901"/>
      <c r="AD1" s="901"/>
      <c r="AE1" s="902"/>
      <c r="AF1" s="901"/>
      <c r="AG1" s="901"/>
      <c r="AH1" s="902"/>
      <c r="AI1" s="901"/>
      <c r="AJ1" s="901"/>
      <c r="AK1" s="902"/>
      <c r="AL1" s="901"/>
      <c r="AM1" s="892"/>
      <c r="AN1" s="893"/>
      <c r="AO1" s="892"/>
      <c r="AP1" s="892"/>
      <c r="AQ1" s="893"/>
      <c r="AR1" s="892"/>
      <c r="AS1" s="892"/>
      <c r="AT1" s="893"/>
      <c r="AU1" s="892"/>
      <c r="AV1" s="892"/>
      <c r="AW1" s="893"/>
      <c r="AX1" s="892"/>
      <c r="AY1" s="892"/>
      <c r="AZ1" s="893"/>
      <c r="BA1" s="892"/>
      <c r="BB1" s="892"/>
      <c r="BC1" s="891"/>
      <c r="BD1" s="892"/>
      <c r="BE1" s="892"/>
      <c r="BF1" s="891"/>
      <c r="BG1" s="892"/>
      <c r="BH1" s="892"/>
      <c r="BI1" s="891"/>
      <c r="BJ1" s="903"/>
      <c r="BK1" s="904"/>
      <c r="BL1" s="904"/>
      <c r="BM1" s="903"/>
      <c r="BN1" s="903"/>
      <c r="BO1" s="904"/>
      <c r="BP1" s="903"/>
      <c r="BQ1" s="903"/>
      <c r="BR1" s="904"/>
      <c r="BS1" s="892"/>
      <c r="BT1" s="892"/>
      <c r="BU1" s="893"/>
      <c r="BV1" s="892"/>
      <c r="BW1" s="892"/>
      <c r="BX1" s="890"/>
      <c r="BY1" s="892"/>
      <c r="BZ1" s="892"/>
      <c r="CA1" s="890"/>
      <c r="CB1" s="892"/>
      <c r="CC1" s="892"/>
      <c r="CD1" s="890"/>
      <c r="CE1" s="892"/>
      <c r="CF1" s="892"/>
      <c r="CG1" s="890"/>
      <c r="CH1" s="892"/>
      <c r="CI1" s="892"/>
      <c r="CJ1" s="890"/>
      <c r="CK1" s="892"/>
      <c r="CL1" s="892"/>
      <c r="CM1" s="890"/>
      <c r="CN1" s="892"/>
      <c r="CO1" s="892"/>
      <c r="CP1" s="890"/>
      <c r="CQ1" s="892"/>
      <c r="CR1" s="892"/>
      <c r="CS1" s="890"/>
      <c r="CT1" s="892"/>
      <c r="CU1" s="892"/>
      <c r="CV1" s="890"/>
      <c r="CW1" s="892"/>
      <c r="CX1" s="892"/>
      <c r="CY1" s="893"/>
      <c r="CZ1" s="892"/>
      <c r="DA1" s="892"/>
      <c r="DB1" s="893"/>
      <c r="DC1" s="892"/>
      <c r="DD1" s="892"/>
      <c r="DE1" s="893"/>
      <c r="DF1" s="892"/>
      <c r="DG1" s="892"/>
      <c r="DH1" s="893"/>
      <c r="DI1" s="892"/>
      <c r="DJ1" s="892"/>
      <c r="DK1" s="893"/>
      <c r="DL1" s="892"/>
      <c r="DM1" s="892"/>
      <c r="DN1" s="893"/>
      <c r="DO1" s="892"/>
      <c r="DP1" s="892"/>
      <c r="DQ1" s="893"/>
      <c r="DR1" s="892"/>
      <c r="DS1" s="892"/>
      <c r="DT1" s="893"/>
      <c r="DU1" s="892"/>
      <c r="DV1" s="892"/>
      <c r="DW1" s="893"/>
      <c r="DX1" s="892"/>
      <c r="DY1" s="892"/>
      <c r="DZ1" s="893"/>
      <c r="EA1" s="892"/>
      <c r="EB1" s="892"/>
      <c r="EC1" s="893"/>
      <c r="ED1" s="892"/>
      <c r="EE1" s="892"/>
      <c r="EF1" s="893"/>
      <c r="EG1" s="892"/>
      <c r="EH1" s="892"/>
      <c r="EI1" s="893"/>
      <c r="EJ1" s="892"/>
      <c r="EK1" s="892"/>
      <c r="EL1" s="893"/>
      <c r="EM1" s="892"/>
      <c r="EN1" s="892"/>
      <c r="EO1" s="893"/>
      <c r="EP1" s="892"/>
      <c r="EQ1" s="892"/>
      <c r="ER1" s="893"/>
      <c r="ES1" s="892"/>
      <c r="ET1" s="892"/>
      <c r="EU1" s="893"/>
      <c r="EV1" s="892"/>
      <c r="EW1" s="892"/>
      <c r="EX1" s="893"/>
      <c r="EY1" s="892"/>
      <c r="EZ1" s="892"/>
      <c r="FA1" s="893"/>
      <c r="FH1" s="35"/>
      <c r="FI1" s="35"/>
      <c r="FJ1" s="35"/>
      <c r="FK1" s="35"/>
      <c r="FL1" s="35"/>
      <c r="FM1" s="35"/>
      <c r="FN1" s="35"/>
      <c r="FO1" s="35"/>
      <c r="FP1" s="35"/>
      <c r="FQ1" s="35"/>
    </row>
    <row r="2" spans="1:173" s="321" customFormat="1" ht="16.5" customHeight="1">
      <c r="A2" s="1418"/>
      <c r="B2" s="906" t="s">
        <v>902</v>
      </c>
      <c r="C2" s="906"/>
      <c r="D2" s="907"/>
      <c r="E2" s="908" t="str">
        <f>+Model!E4</f>
        <v>1h85</v>
      </c>
      <c r="F2" s="908" t="str">
        <f>+Model!F4</f>
        <v>2h85</v>
      </c>
      <c r="G2" s="908" t="str">
        <f>+Model!G4</f>
        <v>1985</v>
      </c>
      <c r="H2" s="908" t="str">
        <f>+Model!H4</f>
        <v>1h86</v>
      </c>
      <c r="I2" s="908" t="str">
        <f>+Model!I4</f>
        <v>2h86</v>
      </c>
      <c r="J2" s="908" t="str">
        <f>+Model!J4</f>
        <v>1986</v>
      </c>
      <c r="K2" s="908" t="str">
        <f>+Model!K4</f>
        <v>1h87</v>
      </c>
      <c r="L2" s="908" t="str">
        <f>+Model!L4</f>
        <v>2h87</v>
      </c>
      <c r="M2" s="908" t="str">
        <f>+Model!M4</f>
        <v>1987</v>
      </c>
      <c r="N2" s="908" t="str">
        <f>+Model!N4</f>
        <v>1h88</v>
      </c>
      <c r="O2" s="908" t="str">
        <f>+Model!O4</f>
        <v>2h88</v>
      </c>
      <c r="P2" s="908" t="str">
        <f>+Model!P4</f>
        <v>1988</v>
      </c>
      <c r="Q2" s="908" t="str">
        <f>+Model!Q4</f>
        <v>1h89</v>
      </c>
      <c r="R2" s="908" t="str">
        <f>+Model!R4</f>
        <v>2h89</v>
      </c>
      <c r="S2" s="908" t="str">
        <f>+Model!S4</f>
        <v>1989</v>
      </c>
      <c r="T2" s="908" t="str">
        <f>+Model!T4</f>
        <v>1h90</v>
      </c>
      <c r="U2" s="908" t="str">
        <f>+Model!U4</f>
        <v>2h90</v>
      </c>
      <c r="V2" s="908" t="str">
        <f>+Model!V4</f>
        <v>1990</v>
      </c>
      <c r="W2" s="908" t="str">
        <f>+Model!W4</f>
        <v>1h91</v>
      </c>
      <c r="X2" s="908" t="str">
        <f>+Model!X4</f>
        <v>2h91</v>
      </c>
      <c r="Y2" s="908" t="str">
        <f>+Model!Y4</f>
        <v>1991</v>
      </c>
      <c r="Z2" s="908" t="str">
        <f>+Model!Z4</f>
        <v>1h92</v>
      </c>
      <c r="AA2" s="908" t="str">
        <f>+Model!AA4</f>
        <v>2h92</v>
      </c>
      <c r="AB2" s="908" t="str">
        <f>+Model!AB4</f>
        <v>1992</v>
      </c>
      <c r="AC2" s="908" t="str">
        <f>+Model!AC4</f>
        <v>1h93</v>
      </c>
      <c r="AD2" s="908" t="str">
        <f>+Model!AD4</f>
        <v>2h93</v>
      </c>
      <c r="AE2" s="908" t="str">
        <f>+Model!AE4</f>
        <v>1993</v>
      </c>
      <c r="AF2" s="908" t="str">
        <f>+Model!AF4</f>
        <v>1h94</v>
      </c>
      <c r="AG2" s="908" t="str">
        <f>+Model!AG4</f>
        <v>2h94</v>
      </c>
      <c r="AH2" s="908" t="str">
        <f>+Model!AH4</f>
        <v>1994</v>
      </c>
      <c r="AI2" s="908" t="str">
        <f>+Model!AI4</f>
        <v>1h95</v>
      </c>
      <c r="AJ2" s="908" t="str">
        <f>+Model!AJ4</f>
        <v>2h95</v>
      </c>
      <c r="AK2" s="908" t="str">
        <f>+Model!AK4</f>
        <v>1995</v>
      </c>
      <c r="AL2" s="908" t="str">
        <f>+Model!AL4</f>
        <v>1h96</v>
      </c>
      <c r="AM2" s="908" t="str">
        <f>+Model!AM4</f>
        <v>2h96</v>
      </c>
      <c r="AN2" s="908" t="str">
        <f>+Model!AN4</f>
        <v>1996</v>
      </c>
      <c r="AO2" s="908" t="str">
        <f>+Model!AO4</f>
        <v>1h97</v>
      </c>
      <c r="AP2" s="908" t="str">
        <f>+Model!AP4</f>
        <v>2h97</v>
      </c>
      <c r="AQ2" s="908" t="str">
        <f>+Model!AQ4</f>
        <v>FY97</v>
      </c>
      <c r="AR2" s="908" t="str">
        <f>+Model!AR4</f>
        <v>1H98</v>
      </c>
      <c r="AS2" s="908" t="str">
        <f>+Model!AS4</f>
        <v>2H98</v>
      </c>
      <c r="AT2" s="908" t="str">
        <f>+Model!AT4</f>
        <v>FY98</v>
      </c>
      <c r="AU2" s="908" t="str">
        <f>+Model!AU4</f>
        <v>1H99</v>
      </c>
      <c r="AV2" s="908" t="str">
        <f>+Model!AV4</f>
        <v>2H99</v>
      </c>
      <c r="AW2" s="908" t="str">
        <f>+Model!AW4</f>
        <v>FY99</v>
      </c>
      <c r="AX2" s="908" t="str">
        <f>+Model!AX4</f>
        <v>1H00</v>
      </c>
      <c r="AY2" s="908" t="str">
        <f>+Model!AY4</f>
        <v>2H00</v>
      </c>
      <c r="AZ2" s="908" t="str">
        <f>+Model!AZ4</f>
        <v>FY00</v>
      </c>
      <c r="BA2" s="908" t="str">
        <f>+Model!BA4</f>
        <v>1H01</v>
      </c>
      <c r="BB2" s="908" t="str">
        <f>+Model!BB4</f>
        <v>2H01</v>
      </c>
      <c r="BC2" s="908" t="str">
        <f>+Model!BC4</f>
        <v>FY01</v>
      </c>
      <c r="BD2" s="908" t="str">
        <f>+Model!BD4</f>
        <v>1H02</v>
      </c>
      <c r="BE2" s="908" t="str">
        <f>+Model!BE4</f>
        <v>2H02</v>
      </c>
      <c r="BF2" s="908" t="str">
        <f>+Model!BF4</f>
        <v>FY02</v>
      </c>
      <c r="BG2" s="908" t="str">
        <f>+Model!BG4</f>
        <v>1H03</v>
      </c>
      <c r="BH2" s="908" t="str">
        <f>+Model!BH4</f>
        <v>2H03</v>
      </c>
      <c r="BI2" s="908" t="str">
        <f>+Model!BI4</f>
        <v>FY03</v>
      </c>
      <c r="BJ2" s="908" t="str">
        <f>+Model!BJ4</f>
        <v>1H04</v>
      </c>
      <c r="BK2" s="908" t="str">
        <f>+Model!BK4</f>
        <v>2H04</v>
      </c>
      <c r="BL2" s="908" t="str">
        <f>+Model!BL4</f>
        <v>FY04</v>
      </c>
      <c r="BM2" s="908" t="str">
        <f>+Model!BM4</f>
        <v>1H05</v>
      </c>
      <c r="BN2" s="908" t="str">
        <f>+Model!BN4</f>
        <v>2H05</v>
      </c>
      <c r="BO2" s="908" t="str">
        <f>+Model!BO4</f>
        <v>FY05</v>
      </c>
      <c r="BP2" s="908" t="str">
        <f>+Model!BP4</f>
        <v>1H06</v>
      </c>
      <c r="BQ2" s="908" t="str">
        <f>+Model!BQ4</f>
        <v>2H06</v>
      </c>
      <c r="BR2" s="908" t="str">
        <f>+Model!BR4</f>
        <v>FY06</v>
      </c>
      <c r="BS2" s="909" t="str">
        <f>+Model!BS4</f>
        <v>1H07</v>
      </c>
      <c r="BT2" s="909" t="str">
        <f>+Model!BT4</f>
        <v>2H07</v>
      </c>
      <c r="BU2" s="909" t="str">
        <f>+Model!BU4</f>
        <v>FY07</v>
      </c>
      <c r="BV2" s="909" t="str">
        <f>+Model!BV4</f>
        <v>1H08</v>
      </c>
      <c r="BW2" s="909" t="str">
        <f>+Model!BW4</f>
        <v>2H08</v>
      </c>
      <c r="BX2" s="909" t="str">
        <f>+Model!BX4</f>
        <v>FY08</v>
      </c>
      <c r="BY2" s="909" t="str">
        <f>+Model!BY4</f>
        <v>1H09</v>
      </c>
      <c r="BZ2" s="909" t="str">
        <f>+Model!BZ4</f>
        <v>2H09</v>
      </c>
      <c r="CA2" s="909" t="str">
        <f>+Model!CA4</f>
        <v>FY09</v>
      </c>
      <c r="CB2" s="909" t="str">
        <f>+Model!CB4</f>
        <v>1H10</v>
      </c>
      <c r="CC2" s="909" t="str">
        <f>+Model!CC4</f>
        <v>2H10</v>
      </c>
      <c r="CD2" s="909" t="str">
        <f>+Model!CD4</f>
        <v>FY10</v>
      </c>
      <c r="CE2" s="909" t="str">
        <f>+Model!CE4</f>
        <v>1H11</v>
      </c>
      <c r="CF2" s="909" t="str">
        <f>+Model!CF4</f>
        <v>2H11</v>
      </c>
      <c r="CG2" s="909" t="str">
        <f>+Model!CG4</f>
        <v>FY11</v>
      </c>
      <c r="CH2" s="909" t="str">
        <f>+Model!CH4</f>
        <v>1H12</v>
      </c>
      <c r="CI2" s="909" t="str">
        <f>+Model!CI4</f>
        <v>2H12</v>
      </c>
      <c r="CJ2" s="909" t="str">
        <f>+Model!CJ4</f>
        <v>FY12</v>
      </c>
      <c r="CK2" s="909" t="str">
        <f>+Model!CK4</f>
        <v>1H13</v>
      </c>
      <c r="CL2" s="909" t="str">
        <f>+Model!CL4</f>
        <v>2H13</v>
      </c>
      <c r="CM2" s="909" t="str">
        <f>+Model!CM4</f>
        <v>FY13</v>
      </c>
      <c r="CN2" s="909" t="str">
        <f>+Model!CN4</f>
        <v>1H14</v>
      </c>
      <c r="CO2" s="909" t="str">
        <f>+Model!CO4</f>
        <v>2H14</v>
      </c>
      <c r="CP2" s="909" t="str">
        <f>+Model!CP4</f>
        <v>FY14</v>
      </c>
      <c r="CQ2" s="909" t="str">
        <f>+Model!CQ4</f>
        <v>1H15</v>
      </c>
      <c r="CR2" s="909" t="str">
        <f>+Model!CR4</f>
        <v>2H15</v>
      </c>
      <c r="CS2" s="909" t="str">
        <f>+Model!CS4</f>
        <v>FY15</v>
      </c>
      <c r="CT2" s="909" t="str">
        <f>+Model!CT4</f>
        <v>1H16</v>
      </c>
      <c r="CU2" s="909" t="str">
        <f>+Model!CU4</f>
        <v>2H16</v>
      </c>
      <c r="CV2" s="909" t="str">
        <f>+Model!CV4</f>
        <v>FY16</v>
      </c>
      <c r="CW2" s="909" t="str">
        <f>+Model!CW4</f>
        <v>1H17</v>
      </c>
      <c r="CX2" s="909" t="str">
        <f>+Model!CX4</f>
        <v>2H17</v>
      </c>
      <c r="CY2" s="909" t="str">
        <f>+Model!CY4</f>
        <v>FY17</v>
      </c>
      <c r="CZ2" s="909" t="str">
        <f>+Model!CZ4</f>
        <v>1H18</v>
      </c>
      <c r="DA2" s="909" t="str">
        <f>+Model!DA4</f>
        <v>2H18</v>
      </c>
      <c r="DB2" s="909" t="str">
        <f>+Model!DB4</f>
        <v>FY18</v>
      </c>
      <c r="DC2" s="909" t="str">
        <f>+Model!DC4</f>
        <v>1H19</v>
      </c>
      <c r="DD2" s="909" t="str">
        <f>+Model!DD4</f>
        <v>2H19</v>
      </c>
      <c r="DE2" s="909" t="str">
        <f>+Model!DE4</f>
        <v>FY19</v>
      </c>
      <c r="DF2" s="909" t="str">
        <f>+Model!DF4</f>
        <v>1H20</v>
      </c>
      <c r="DG2" s="909" t="str">
        <f>+Model!DG4</f>
        <v>2H20</v>
      </c>
      <c r="DH2" s="909" t="str">
        <f>+Model!DH4</f>
        <v>FY20</v>
      </c>
      <c r="DI2" s="909" t="str">
        <f>+Model!DI4</f>
        <v>1H21</v>
      </c>
      <c r="DJ2" s="909" t="str">
        <f>+Model!DJ4</f>
        <v>2H21</v>
      </c>
      <c r="DK2" s="909" t="str">
        <f>+Model!DK4</f>
        <v>FY21</v>
      </c>
      <c r="DL2" s="909" t="str">
        <f>+Model!DL4</f>
        <v>1H22</v>
      </c>
      <c r="DM2" s="909" t="str">
        <f>+Model!DM4</f>
        <v>2H22</v>
      </c>
      <c r="DN2" s="909" t="str">
        <f>+Model!DN4</f>
        <v>FY22</v>
      </c>
      <c r="DO2" s="909" t="str">
        <f>+Model!DO4</f>
        <v>1H23</v>
      </c>
      <c r="DP2" s="909" t="str">
        <f>+Model!DP4</f>
        <v>2H23</v>
      </c>
      <c r="DQ2" s="909" t="str">
        <f>+Model!DQ4</f>
        <v>FY23</v>
      </c>
      <c r="DR2" s="909" t="str">
        <f>+Model!DR4</f>
        <v>1H24</v>
      </c>
      <c r="DS2" s="909" t="str">
        <f>+Model!DS4</f>
        <v>2H24</v>
      </c>
      <c r="DT2" s="909" t="s">
        <v>986</v>
      </c>
      <c r="DU2" s="909" t="str">
        <f>+Model!DU4</f>
        <v>1H25</v>
      </c>
      <c r="DV2" s="909" t="str">
        <f>+Model!DV4</f>
        <v>2H25</v>
      </c>
      <c r="DW2" s="909" t="str">
        <f>+Model!DW4</f>
        <v>FY25</v>
      </c>
      <c r="DX2" s="909" t="str">
        <f>+Model!DX4</f>
        <v>1H26</v>
      </c>
      <c r="DY2" s="909" t="str">
        <f>+Model!DY4</f>
        <v>2H26E</v>
      </c>
      <c r="DZ2" s="909" t="str">
        <f>+Model!DZ4</f>
        <v>FY26E</v>
      </c>
      <c r="EA2" s="909" t="str">
        <f>+Model!EA4</f>
        <v>1H27E</v>
      </c>
      <c r="EB2" s="909" t="str">
        <f>+Model!EB4</f>
        <v>2H27E</v>
      </c>
      <c r="EC2" s="909" t="str">
        <f>+Model!EC4</f>
        <v>FY27E</v>
      </c>
      <c r="ED2" s="909" t="str">
        <f>+Model!ED4</f>
        <v>1H28E</v>
      </c>
      <c r="EE2" s="909" t="str">
        <f>+Model!EE4</f>
        <v>2H28E</v>
      </c>
      <c r="EF2" s="909" t="str">
        <f>+Model!EF4</f>
        <v>FY28E</v>
      </c>
      <c r="EG2" s="909" t="str">
        <f>+Model!EG4</f>
        <v>1H29E</v>
      </c>
      <c r="EH2" s="909" t="str">
        <f>+Model!EH4</f>
        <v>2H29E</v>
      </c>
      <c r="EI2" s="909" t="str">
        <f>+Model!EI4</f>
        <v>FY29E</v>
      </c>
      <c r="EJ2" s="909" t="str">
        <f>+Model!EJ4</f>
        <v>1H30E</v>
      </c>
      <c r="EK2" s="909" t="str">
        <f>+Model!EK4</f>
        <v>2H30E</v>
      </c>
      <c r="EL2" s="909" t="str">
        <f>+Model!EL4</f>
        <v>FY30E</v>
      </c>
      <c r="EM2" s="909" t="str">
        <f>+Model!EM4</f>
        <v>1H31E</v>
      </c>
      <c r="EN2" s="909" t="str">
        <f>+Model!EN4</f>
        <v>2H31E</v>
      </c>
      <c r="EO2" s="909" t="str">
        <f>+Model!EO4</f>
        <v>FY31E</v>
      </c>
      <c r="EP2" s="909" t="str">
        <f>+Model!EP4</f>
        <v>1H32E</v>
      </c>
      <c r="EQ2" s="909" t="str">
        <f>+Model!EQ4</f>
        <v>2H32E</v>
      </c>
      <c r="ER2" s="909" t="str">
        <f>+Model!ER4</f>
        <v>FY32E</v>
      </c>
      <c r="ES2" s="909" t="str">
        <f>+Model!ES4</f>
        <v>1H33E</v>
      </c>
      <c r="ET2" s="909" t="str">
        <f>+Model!ET4</f>
        <v>2H33E</v>
      </c>
      <c r="EU2" s="909" t="str">
        <f>+Model!EU4</f>
        <v>FY33E</v>
      </c>
      <c r="EV2" s="909" t="str">
        <f>+Model!EV4</f>
        <v>1H34E</v>
      </c>
      <c r="EW2" s="909" t="str">
        <f>+Model!EW4</f>
        <v>2H34E</v>
      </c>
      <c r="EX2" s="909" t="str">
        <f>+Model!EX4</f>
        <v>FY34E</v>
      </c>
      <c r="EY2" s="909" t="str">
        <f>+Model!EY4</f>
        <v>1H35E</v>
      </c>
      <c r="EZ2" s="909" t="str">
        <f>+Model!EZ4</f>
        <v>2H35E</v>
      </c>
      <c r="FA2" s="909" t="str">
        <f>+Model!FA4</f>
        <v>FY35E</v>
      </c>
      <c r="FH2" s="35"/>
      <c r="FI2" s="35"/>
      <c r="FJ2" s="35"/>
      <c r="FK2" s="35"/>
      <c r="FL2" s="35"/>
      <c r="FM2" s="35"/>
      <c r="FN2" s="35"/>
      <c r="FO2" s="35"/>
      <c r="FP2" s="35"/>
      <c r="FQ2" s="35"/>
    </row>
    <row r="3" spans="1:173" s="321" customFormat="1" ht="13.35" customHeight="1" outlineLevel="1">
      <c r="A3" s="1168"/>
      <c r="B3" s="186" t="s">
        <v>975</v>
      </c>
      <c r="C3" s="186"/>
      <c r="D3" s="910"/>
      <c r="E3" s="911">
        <f>+E20</f>
        <v>0</v>
      </c>
      <c r="F3" s="911"/>
      <c r="G3" s="911"/>
      <c r="H3" s="911"/>
      <c r="I3" s="911"/>
      <c r="J3" s="911"/>
      <c r="K3" s="911"/>
      <c r="L3" s="911"/>
      <c r="M3" s="911"/>
      <c r="N3" s="911"/>
      <c r="O3" s="911"/>
      <c r="P3" s="911"/>
      <c r="Q3" s="911"/>
      <c r="R3" s="911"/>
      <c r="S3" s="911"/>
      <c r="T3" s="911"/>
      <c r="U3" s="911"/>
      <c r="V3" s="911"/>
      <c r="W3" s="911"/>
      <c r="X3" s="911"/>
      <c r="Y3" s="911"/>
      <c r="Z3" s="911"/>
      <c r="AA3" s="911"/>
      <c r="AB3" s="911"/>
      <c r="AC3" s="911"/>
      <c r="AD3" s="911"/>
      <c r="AE3" s="911"/>
      <c r="AF3" s="911"/>
      <c r="AG3" s="911"/>
      <c r="AH3" s="911"/>
      <c r="AI3" s="911"/>
      <c r="AJ3" s="911"/>
      <c r="AK3" s="911"/>
      <c r="AL3" s="911"/>
      <c r="AM3" s="911"/>
      <c r="AN3" s="911"/>
      <c r="AO3" s="911"/>
      <c r="AP3" s="911"/>
      <c r="AQ3" s="911"/>
      <c r="AR3" s="911"/>
      <c r="AS3" s="911"/>
      <c r="AT3" s="911"/>
      <c r="AU3" s="911"/>
      <c r="AV3" s="911"/>
      <c r="AW3" s="911"/>
      <c r="AX3" s="911"/>
      <c r="AY3" s="911"/>
      <c r="AZ3" s="911"/>
      <c r="BA3" s="911"/>
      <c r="BB3" s="911"/>
      <c r="BC3" s="912"/>
      <c r="BD3" s="911">
        <f>BD20</f>
        <v>120.08500000000001</v>
      </c>
      <c r="BE3" s="911">
        <f>BE20</f>
        <v>146.63513530251376</v>
      </c>
      <c r="BF3" s="912">
        <f>SUM(BD3:BE3)</f>
        <v>266.72013530251377</v>
      </c>
      <c r="BG3" s="911">
        <f>BG20</f>
        <v>150.46199999999999</v>
      </c>
      <c r="BH3" s="911"/>
      <c r="BI3" s="912"/>
      <c r="BJ3" s="911">
        <f>BJ20</f>
        <v>139.19399999999999</v>
      </c>
      <c r="BK3" s="911">
        <f>BK20</f>
        <v>144.04000000000002</v>
      </c>
      <c r="BL3" s="912">
        <f>SUM(BJ3:BK3)</f>
        <v>283.23400000000004</v>
      </c>
      <c r="BM3" s="911">
        <f>BM20</f>
        <v>165.17200000000003</v>
      </c>
      <c r="BN3" s="911">
        <f>BN20</f>
        <v>183.79400000000001</v>
      </c>
      <c r="BO3" s="912">
        <f>SUM(BM3:BN3)</f>
        <v>348.96600000000001</v>
      </c>
      <c r="BP3" s="911">
        <f>BP20</f>
        <v>212.02627476882591</v>
      </c>
      <c r="BQ3" s="911">
        <f>BQ20</f>
        <v>240.23372523117413</v>
      </c>
      <c r="BR3" s="912">
        <f>SUM(BP3:BQ3)</f>
        <v>452.26000000000005</v>
      </c>
      <c r="BS3" s="911">
        <f>BS20</f>
        <v>263.84839571387568</v>
      </c>
      <c r="BT3" s="911">
        <f>BT20</f>
        <v>271.24889113529952</v>
      </c>
      <c r="BU3" s="911">
        <f>SUM(BS3:BT3)</f>
        <v>535.09728684917513</v>
      </c>
      <c r="BV3" s="911">
        <f>BV20</f>
        <v>285.30191095510651</v>
      </c>
      <c r="BW3" s="911">
        <f>BW20</f>
        <v>292.11374465986893</v>
      </c>
      <c r="BX3" s="911">
        <f>SUM(BV3:BW3)</f>
        <v>577.41565561497544</v>
      </c>
      <c r="BY3" s="911">
        <f>BY20</f>
        <v>339.53400701507331</v>
      </c>
      <c r="BZ3" s="911">
        <f>BZ20</f>
        <v>325.64865392442204</v>
      </c>
      <c r="CA3" s="911">
        <f>SUM(BY3:BZ3)</f>
        <v>665.18266093949535</v>
      </c>
      <c r="CB3" s="911">
        <f>CB20</f>
        <v>331.77056818581059</v>
      </c>
      <c r="CC3" s="911">
        <f>CC20</f>
        <v>372.93014887490813</v>
      </c>
      <c r="CD3" s="911">
        <f>SUM(CB3:CC3)</f>
        <v>704.70071706071872</v>
      </c>
      <c r="CE3" s="911">
        <f>CE20</f>
        <v>362.65346072280835</v>
      </c>
      <c r="CF3" s="911">
        <f>CF20</f>
        <v>419.04083570144149</v>
      </c>
      <c r="CG3" s="911">
        <f>SUM(CE3:CF3)</f>
        <v>781.69429642424984</v>
      </c>
      <c r="CH3" s="911">
        <f>CH20</f>
        <v>375.36290545173983</v>
      </c>
      <c r="CI3" s="911">
        <f>CI20</f>
        <v>378.33900162441603</v>
      </c>
      <c r="CJ3" s="911">
        <f>SUM(CH3:CI3)</f>
        <v>753.70190707615586</v>
      </c>
      <c r="CK3" s="911">
        <f>CK20</f>
        <v>378.48712664803105</v>
      </c>
      <c r="CL3" s="911">
        <f>CL20</f>
        <v>346.38322347682225</v>
      </c>
      <c r="CM3" s="911">
        <f>SUM(CK3:CL3)</f>
        <v>724.8703501248533</v>
      </c>
      <c r="CN3" s="911">
        <f>CN20</f>
        <v>355.565870426049</v>
      </c>
      <c r="CO3" s="911">
        <f>CO20</f>
        <v>417.32751057402567</v>
      </c>
      <c r="CP3" s="911">
        <f>SUM(CN3:CO3)</f>
        <v>772.89338100007467</v>
      </c>
      <c r="CQ3" s="911">
        <f>CQ20</f>
        <v>438.35400000000004</v>
      </c>
      <c r="CR3" s="911">
        <f>CR20</f>
        <v>487.27499999999992</v>
      </c>
      <c r="CS3" s="911">
        <f>SUM(CQ3:CR3)</f>
        <v>925.62899999999991</v>
      </c>
      <c r="CT3" s="911">
        <f>CT20</f>
        <v>558.08851183171578</v>
      </c>
      <c r="CU3" s="911">
        <f>CU20</f>
        <v>570.79145808650867</v>
      </c>
      <c r="CV3" s="911">
        <f>SUM(CT3:CU3)</f>
        <v>1128.8799699182246</v>
      </c>
      <c r="CW3" s="911">
        <f>CW20</f>
        <v>609.11819903206469</v>
      </c>
      <c r="CX3" s="911">
        <f>CX20</f>
        <v>644.72689535415452</v>
      </c>
      <c r="CY3" s="911">
        <f>SUM(CW3:CX3)</f>
        <v>1253.8450943862192</v>
      </c>
      <c r="CZ3" s="911">
        <f>CZ20</f>
        <v>639.03456370561855</v>
      </c>
      <c r="DA3" s="911">
        <f>DA20</f>
        <v>704.37448173547068</v>
      </c>
      <c r="DB3" s="911">
        <f>SUM(CZ3:DA3)</f>
        <v>1343.4090454410893</v>
      </c>
      <c r="DC3" s="911">
        <f>DC20</f>
        <v>701.23750527281175</v>
      </c>
      <c r="DD3" s="911">
        <f>DD20</f>
        <v>722.31998173020418</v>
      </c>
      <c r="DE3" s="911">
        <f>SUM(DC3:DD3)</f>
        <v>1423.5574870030159</v>
      </c>
      <c r="DF3" s="911">
        <f>DF20</f>
        <v>752.86346784113209</v>
      </c>
      <c r="DG3" s="911">
        <f>DG20</f>
        <v>572.26441110635983</v>
      </c>
      <c r="DH3" s="1060">
        <f>SUM(DF3:DG3)</f>
        <v>1325.1278789474918</v>
      </c>
      <c r="DI3" s="234">
        <f>DI20</f>
        <v>743.19999999999993</v>
      </c>
      <c r="DJ3" s="234">
        <f>DJ20</f>
        <v>754.4</v>
      </c>
      <c r="DK3" s="1060">
        <f>SUM(DI3:DJ3)</f>
        <v>1497.6</v>
      </c>
      <c r="DL3" s="234">
        <f>DL20</f>
        <v>820.7</v>
      </c>
      <c r="DM3" s="234">
        <f>DM20</f>
        <v>827.59999999999991</v>
      </c>
      <c r="DN3" s="1060">
        <f>SUM(DL3:DM3)</f>
        <v>1648.3</v>
      </c>
      <c r="DO3" s="234">
        <f>DO20</f>
        <v>884.90000000000009</v>
      </c>
      <c r="DP3" s="234">
        <f>DP20</f>
        <v>1051.2</v>
      </c>
      <c r="DQ3" s="1060">
        <f>SUM(DO3:DP3)</f>
        <v>1936.1000000000001</v>
      </c>
      <c r="DR3" s="234">
        <f>DR20</f>
        <v>1098.5</v>
      </c>
      <c r="DS3" s="234">
        <f>DS20</f>
        <v>1137.1000000000001</v>
      </c>
      <c r="DT3" s="1060">
        <f>SUM(DR3:DS3)</f>
        <v>2235.6000000000004</v>
      </c>
      <c r="DU3" s="234">
        <f>DU20</f>
        <v>1171.8900000000001</v>
      </c>
      <c r="DV3" s="234">
        <f>DV20</f>
        <v>1171.2099999999998</v>
      </c>
      <c r="DW3" s="1060">
        <f>SUM(DU3:DV3)</f>
        <v>2343.1</v>
      </c>
      <c r="DX3" s="234">
        <f>DX20</f>
        <v>1167.2</v>
      </c>
      <c r="DY3" s="234">
        <f>DY20</f>
        <v>1342.3699108342046</v>
      </c>
      <c r="DZ3" s="1060">
        <f>SUM(DX3:DY3)</f>
        <v>2509.5699108342046</v>
      </c>
      <c r="EA3" s="234">
        <f>EA20</f>
        <v>1392.0604094030361</v>
      </c>
      <c r="EB3" s="234">
        <f>EB20</f>
        <v>1434.948967430845</v>
      </c>
      <c r="EC3" s="1060">
        <f>SUM(EA3:EB3)</f>
        <v>2827.0093768338811</v>
      </c>
      <c r="ED3" s="234">
        <f>ED20</f>
        <v>1508.7872337030672</v>
      </c>
      <c r="EE3" s="234">
        <f>EE20</f>
        <v>1555.4582819515335</v>
      </c>
      <c r="EF3" s="1060">
        <f>SUM(ED3:EE3)</f>
        <v>3064.2455156546007</v>
      </c>
      <c r="EG3" s="234">
        <f>EG20</f>
        <v>1644.578084736343</v>
      </c>
      <c r="EH3" s="234">
        <f>EH20</f>
        <v>1695.4495273271714</v>
      </c>
      <c r="EI3" s="1060">
        <f>SUM(EG3:EH3)</f>
        <v>3340.0276120635144</v>
      </c>
      <c r="EJ3" s="234">
        <f>EJ20</f>
        <v>1792.590112362614</v>
      </c>
      <c r="EK3" s="234">
        <f>EK20</f>
        <v>1848.0399847866172</v>
      </c>
      <c r="EL3" s="1060">
        <f>SUM(EJ3:EK3)</f>
        <v>3640.630097149231</v>
      </c>
      <c r="EM3" s="234">
        <f>EM20</f>
        <v>1953.9232224752495</v>
      </c>
      <c r="EN3" s="234">
        <f>EN20</f>
        <v>2014.3635834174127</v>
      </c>
      <c r="EO3" s="1060">
        <f>SUM(EM3:EN3)</f>
        <v>3968.2868058926624</v>
      </c>
      <c r="EP3" s="234">
        <f>EP20</f>
        <v>2129.776312498022</v>
      </c>
      <c r="EQ3" s="234">
        <f>EQ20</f>
        <v>2195.6563059249802</v>
      </c>
      <c r="ER3" s="1060">
        <f>SUM(EP3:EQ3)</f>
        <v>4325.4326184230022</v>
      </c>
      <c r="ES3" s="234">
        <f>ES20</f>
        <v>2321.4561806228444</v>
      </c>
      <c r="ET3" s="234">
        <f>ET20</f>
        <v>2393.2653734582286</v>
      </c>
      <c r="EU3" s="1060">
        <f>SUM(ES3:ET3)</f>
        <v>4714.721554081073</v>
      </c>
      <c r="EV3" s="234">
        <f>EV20</f>
        <v>2530.3872368789007</v>
      </c>
      <c r="EW3" s="234">
        <f>EW20</f>
        <v>2608.6592570694688</v>
      </c>
      <c r="EX3" s="1060">
        <f>SUM(EV3:EW3)</f>
        <v>5139.04649394837</v>
      </c>
      <c r="EY3" s="234">
        <f>EY20</f>
        <v>2758.1220881980016</v>
      </c>
      <c r="EZ3" s="234">
        <f>EZ20</f>
        <v>2843.438590205722</v>
      </c>
      <c r="FA3" s="1060">
        <f>SUM(EY3:EZ3)</f>
        <v>5601.5606784037236</v>
      </c>
      <c r="FD3" s="35"/>
      <c r="FE3" s="35"/>
      <c r="FF3" s="35"/>
      <c r="FG3" s="35"/>
      <c r="FH3" s="35"/>
      <c r="FI3" s="35"/>
      <c r="FJ3" s="35"/>
      <c r="FK3" s="35"/>
      <c r="FO3" s="35"/>
      <c r="FP3" s="35"/>
      <c r="FQ3" s="35"/>
    </row>
    <row r="4" spans="1:173" s="321" customFormat="1" ht="13.35" customHeight="1" outlineLevel="1">
      <c r="A4" s="1168"/>
      <c r="B4" s="186" t="s">
        <v>114</v>
      </c>
      <c r="C4" s="186"/>
      <c r="D4" s="910"/>
      <c r="E4" s="911"/>
      <c r="F4" s="911"/>
      <c r="G4" s="911"/>
      <c r="H4" s="911"/>
      <c r="I4" s="911"/>
      <c r="J4" s="911"/>
      <c r="K4" s="911"/>
      <c r="L4" s="911"/>
      <c r="M4" s="911"/>
      <c r="N4" s="911"/>
      <c r="O4" s="911"/>
      <c r="P4" s="911"/>
      <c r="Q4" s="911"/>
      <c r="R4" s="911"/>
      <c r="S4" s="911"/>
      <c r="T4" s="911"/>
      <c r="U4" s="911"/>
      <c r="V4" s="911"/>
      <c r="W4" s="911"/>
      <c r="X4" s="911"/>
      <c r="Y4" s="911"/>
      <c r="Z4" s="911"/>
      <c r="AA4" s="911"/>
      <c r="AB4" s="911"/>
      <c r="AC4" s="911"/>
      <c r="AD4" s="911"/>
      <c r="AE4" s="911"/>
      <c r="AF4" s="911"/>
      <c r="AG4" s="911"/>
      <c r="AH4" s="911"/>
      <c r="AI4" s="911"/>
      <c r="AJ4" s="911"/>
      <c r="AK4" s="911"/>
      <c r="AL4" s="911"/>
      <c r="AM4" s="911"/>
      <c r="AN4" s="911"/>
      <c r="AO4" s="911"/>
      <c r="AP4" s="911"/>
      <c r="AQ4" s="911"/>
      <c r="AR4" s="911"/>
      <c r="AS4" s="911"/>
      <c r="AT4" s="911"/>
      <c r="AU4" s="911"/>
      <c r="AV4" s="911"/>
      <c r="AW4" s="911"/>
      <c r="AX4" s="911"/>
      <c r="AY4" s="911"/>
      <c r="AZ4" s="911"/>
      <c r="BA4" s="911"/>
      <c r="BB4" s="911"/>
      <c r="BC4" s="912"/>
      <c r="BD4" s="911"/>
      <c r="BE4" s="911"/>
      <c r="BF4" s="912"/>
      <c r="BG4" s="911"/>
      <c r="BH4" s="911"/>
      <c r="BI4" s="912"/>
      <c r="BJ4" s="911"/>
      <c r="BK4" s="911"/>
      <c r="BL4" s="912"/>
      <c r="BM4" s="911"/>
      <c r="BN4" s="911"/>
      <c r="BO4" s="912"/>
      <c r="BP4" s="911"/>
      <c r="BQ4" s="911"/>
      <c r="BR4" s="912"/>
      <c r="BS4" s="911"/>
      <c r="BT4" s="911"/>
      <c r="BU4" s="911"/>
      <c r="BV4" s="911"/>
      <c r="BW4" s="911"/>
      <c r="BX4" s="911"/>
      <c r="BY4" s="911"/>
      <c r="BZ4" s="911"/>
      <c r="CA4" s="911"/>
      <c r="CB4" s="911"/>
      <c r="CC4" s="911"/>
      <c r="CD4" s="911"/>
      <c r="CE4" s="911"/>
      <c r="CF4" s="911"/>
      <c r="CG4" s="911"/>
      <c r="CH4" s="911"/>
      <c r="CI4" s="911"/>
      <c r="CJ4" s="911"/>
      <c r="CK4" s="911"/>
      <c r="CL4" s="911"/>
      <c r="CM4" s="911"/>
      <c r="CN4" s="911"/>
      <c r="CO4" s="911"/>
      <c r="CP4" s="911"/>
      <c r="CQ4" s="911"/>
      <c r="CR4" s="911"/>
      <c r="CS4" s="911"/>
      <c r="CT4" s="911"/>
      <c r="CU4" s="911"/>
      <c r="CV4" s="911"/>
      <c r="CW4" s="911"/>
      <c r="CX4" s="911"/>
      <c r="CY4" s="911"/>
      <c r="CZ4" s="911"/>
      <c r="DA4" s="911"/>
      <c r="DB4" s="911"/>
      <c r="DC4" s="911"/>
      <c r="DD4" s="911"/>
      <c r="DE4" s="911"/>
      <c r="DF4" s="911"/>
      <c r="DG4" s="911"/>
      <c r="DH4" s="1060">
        <f>+DH21</f>
        <v>1356.8278789474919</v>
      </c>
      <c r="DI4" s="234">
        <f t="shared" ref="DI4:EQ4" si="0">+DI21</f>
        <v>742.8</v>
      </c>
      <c r="DJ4" s="234">
        <f t="shared" si="0"/>
        <v>750.5</v>
      </c>
      <c r="DK4" s="1060">
        <f>SUM(DI4:DJ4)</f>
        <v>1493.3</v>
      </c>
      <c r="DL4" s="234">
        <f t="shared" si="0"/>
        <v>815.30000000000007</v>
      </c>
      <c r="DM4" s="234">
        <f t="shared" si="0"/>
        <v>825.8</v>
      </c>
      <c r="DN4" s="1060">
        <f t="shared" ref="DN4" si="1">SUM(DL4:DM4)</f>
        <v>1641.1</v>
      </c>
      <c r="DO4" s="234">
        <f t="shared" si="0"/>
        <v>892.30000000000007</v>
      </c>
      <c r="DP4" s="234">
        <f t="shared" si="0"/>
        <v>1063.4000000000001</v>
      </c>
      <c r="DQ4" s="1060">
        <f t="shared" ref="DQ4" si="2">SUM(DO4:DP4)</f>
        <v>1955.7000000000003</v>
      </c>
      <c r="DR4" s="234">
        <f t="shared" si="0"/>
        <v>1113.4000000000001</v>
      </c>
      <c r="DS4" s="234">
        <f t="shared" si="0"/>
        <v>1144.8000000000002</v>
      </c>
      <c r="DT4" s="1060">
        <f t="shared" ref="DT4" si="3">SUM(DR4:DS4)</f>
        <v>2258.2000000000003</v>
      </c>
      <c r="DU4" s="234">
        <f t="shared" si="0"/>
        <v>1169.9000000000001</v>
      </c>
      <c r="DV4" s="234">
        <f t="shared" si="0"/>
        <v>1185.8999999999999</v>
      </c>
      <c r="DW4" s="1060">
        <f t="shared" ref="DW4" si="4">SUM(DU4:DV4)</f>
        <v>2355.8000000000002</v>
      </c>
      <c r="DX4" s="234">
        <f t="shared" ref="DX4" si="5">+DX21</f>
        <v>1176</v>
      </c>
      <c r="DY4" s="234">
        <f t="shared" si="0"/>
        <v>1337.3662599402742</v>
      </c>
      <c r="DZ4" s="1060">
        <f t="shared" ref="DZ4" si="6">SUM(DX4:DY4)</f>
        <v>2513.3662599402742</v>
      </c>
      <c r="EA4" s="234">
        <f t="shared" si="0"/>
        <v>1386.8816289711754</v>
      </c>
      <c r="EB4" s="234">
        <f t="shared" si="0"/>
        <v>1429.7701869989842</v>
      </c>
      <c r="EC4" s="1060">
        <f t="shared" ref="EC4" si="7">SUM(EA4:EB4)</f>
        <v>2816.6518159701595</v>
      </c>
      <c r="ED4" s="234">
        <f t="shared" si="0"/>
        <v>1508.7872337030672</v>
      </c>
      <c r="EE4" s="234">
        <f t="shared" si="0"/>
        <v>1555.4582819515335</v>
      </c>
      <c r="EF4" s="1060">
        <f t="shared" ref="EF4" si="8">SUM(ED4:EE4)</f>
        <v>3064.2455156546007</v>
      </c>
      <c r="EG4" s="234">
        <f t="shared" si="0"/>
        <v>1644.578084736343</v>
      </c>
      <c r="EH4" s="234">
        <f t="shared" si="0"/>
        <v>1695.4495273271714</v>
      </c>
      <c r="EI4" s="1060">
        <f t="shared" ref="EI4" si="9">SUM(EG4:EH4)</f>
        <v>3340.0276120635144</v>
      </c>
      <c r="EJ4" s="234">
        <f t="shared" si="0"/>
        <v>1792.590112362614</v>
      </c>
      <c r="EK4" s="234">
        <f t="shared" si="0"/>
        <v>1848.0399847866172</v>
      </c>
      <c r="EL4" s="1060">
        <f t="shared" ref="EL4" si="10">SUM(EJ4:EK4)</f>
        <v>3640.630097149231</v>
      </c>
      <c r="EM4" s="234">
        <f t="shared" si="0"/>
        <v>1953.9232224752495</v>
      </c>
      <c r="EN4" s="234">
        <f t="shared" si="0"/>
        <v>2014.3635834174127</v>
      </c>
      <c r="EO4" s="1060">
        <f t="shared" ref="EO4" si="11">SUM(EM4:EN4)</f>
        <v>3968.2868058926624</v>
      </c>
      <c r="EP4" s="234">
        <f t="shared" si="0"/>
        <v>2129.776312498022</v>
      </c>
      <c r="EQ4" s="234">
        <f t="shared" si="0"/>
        <v>2195.6563059249802</v>
      </c>
      <c r="ER4" s="1060">
        <f t="shared" ref="ER4" si="12">SUM(EP4:EQ4)</f>
        <v>4325.4326184230022</v>
      </c>
      <c r="ES4" s="234">
        <f t="shared" ref="ES4:ET4" si="13">+ES21</f>
        <v>2321.4561806228444</v>
      </c>
      <c r="ET4" s="234">
        <f t="shared" si="13"/>
        <v>2393.2653734582286</v>
      </c>
      <c r="EU4" s="1060">
        <f t="shared" ref="EU4" si="14">SUM(ES4:ET4)</f>
        <v>4714.721554081073</v>
      </c>
      <c r="EV4" s="234">
        <f t="shared" ref="EV4:EW4" si="15">+EV21</f>
        <v>2530.3872368789007</v>
      </c>
      <c r="EW4" s="234">
        <f t="shared" si="15"/>
        <v>2608.6592570694688</v>
      </c>
      <c r="EX4" s="1060">
        <f t="shared" ref="EX4" si="16">SUM(EV4:EW4)</f>
        <v>5139.04649394837</v>
      </c>
      <c r="EY4" s="234">
        <f t="shared" ref="EY4:EZ4" si="17">+EY21</f>
        <v>2758.1220881980016</v>
      </c>
      <c r="EZ4" s="234">
        <f t="shared" si="17"/>
        <v>2843.438590205722</v>
      </c>
      <c r="FA4" s="1060">
        <f t="shared" ref="FA4" si="18">SUM(EY4:EZ4)</f>
        <v>5601.5606784037236</v>
      </c>
      <c r="FD4" s="35"/>
      <c r="FE4" s="35"/>
      <c r="FF4" s="35"/>
      <c r="FG4" s="35"/>
      <c r="FH4" s="35"/>
      <c r="FI4" s="35"/>
      <c r="FJ4" s="35"/>
      <c r="FK4" s="35"/>
      <c r="FO4" s="35"/>
      <c r="FP4" s="35"/>
      <c r="FQ4" s="35"/>
    </row>
    <row r="5" spans="1:173" s="1174" customFormat="1" ht="13.35" customHeight="1" outlineLevel="1" thickBot="1">
      <c r="A5" s="1168"/>
      <c r="B5" s="1168" t="s">
        <v>450</v>
      </c>
      <c r="C5" s="1168"/>
      <c r="D5" s="1169"/>
      <c r="E5" s="1170">
        <f>+E50-E6</f>
        <v>0</v>
      </c>
      <c r="F5" s="1170"/>
      <c r="G5" s="1170"/>
      <c r="H5" s="1170"/>
      <c r="I5" s="1170"/>
      <c r="J5" s="1170"/>
      <c r="K5" s="1170"/>
      <c r="L5" s="1170"/>
      <c r="M5" s="1170"/>
      <c r="N5" s="1170"/>
      <c r="O5" s="1170"/>
      <c r="P5" s="1170"/>
      <c r="Q5" s="1170"/>
      <c r="R5" s="1170"/>
      <c r="S5" s="1170"/>
      <c r="T5" s="1170"/>
      <c r="U5" s="1170"/>
      <c r="V5" s="1170"/>
      <c r="W5" s="1170"/>
      <c r="X5" s="1170"/>
      <c r="Y5" s="1170"/>
      <c r="Z5" s="1170"/>
      <c r="AA5" s="1170"/>
      <c r="AB5" s="1170"/>
      <c r="AC5" s="1170"/>
      <c r="AD5" s="1170"/>
      <c r="AE5" s="1170"/>
      <c r="AF5" s="1170"/>
      <c r="AG5" s="1170"/>
      <c r="AH5" s="1170"/>
      <c r="AI5" s="1170"/>
      <c r="AJ5" s="1170"/>
      <c r="AK5" s="1170"/>
      <c r="AL5" s="1170"/>
      <c r="AM5" s="1170"/>
      <c r="AN5" s="1170"/>
      <c r="AO5" s="1170"/>
      <c r="AP5" s="1170"/>
      <c r="AQ5" s="1170"/>
      <c r="AR5" s="1170"/>
      <c r="AS5" s="1170"/>
      <c r="AT5" s="1170">
        <f>+AT50-AT6</f>
        <v>0</v>
      </c>
      <c r="AU5" s="1170">
        <f>+AU50-AU6</f>
        <v>0</v>
      </c>
      <c r="AV5" s="1170">
        <f>+AV50-AV6</f>
        <v>0</v>
      </c>
      <c r="AW5" s="1170">
        <f>+AW50-AW6</f>
        <v>0</v>
      </c>
      <c r="AX5" s="1170"/>
      <c r="AY5" s="1170"/>
      <c r="AZ5" s="1170"/>
      <c r="BA5" s="1170"/>
      <c r="BB5" s="1170"/>
      <c r="BC5" s="1171"/>
      <c r="BD5" s="1170">
        <f>BD42</f>
        <v>33.637999999999998</v>
      </c>
      <c r="BE5" s="1170">
        <f>BE42</f>
        <v>37.773999999999994</v>
      </c>
      <c r="BF5" s="1171">
        <f>SUM(BD5:BE5)</f>
        <v>71.411999999999992</v>
      </c>
      <c r="BG5" s="1170">
        <f>BG42</f>
        <v>40.594999999999999</v>
      </c>
      <c r="BH5" s="1170">
        <f>BH42</f>
        <v>35.793999999999997</v>
      </c>
      <c r="BI5" s="1171">
        <f>SUM(BG5:BH5)</f>
        <v>76.388999999999996</v>
      </c>
      <c r="BJ5" s="1170">
        <f>BJ42</f>
        <v>25.499000000000002</v>
      </c>
      <c r="BK5" s="1170">
        <f>BK42</f>
        <v>14.208</v>
      </c>
      <c r="BL5" s="1171">
        <f>SUM(BJ5:BK5)</f>
        <v>39.707000000000001</v>
      </c>
      <c r="BM5" s="1170">
        <f>BM42</f>
        <v>42.896999999999998</v>
      </c>
      <c r="BN5" s="1170">
        <f>BN42</f>
        <v>31.464000000000002</v>
      </c>
      <c r="BO5" s="1171">
        <f>SUM(BM5:BN5)</f>
        <v>74.361000000000004</v>
      </c>
      <c r="BP5" s="1170">
        <f>BP42</f>
        <v>64.509</v>
      </c>
      <c r="BQ5" s="1170">
        <f>BQ42</f>
        <v>45.324999999999996</v>
      </c>
      <c r="BR5" s="1171">
        <f>SUM(BP5:BQ5)</f>
        <v>109.834</v>
      </c>
      <c r="BS5" s="1170">
        <f>BS42</f>
        <v>86.727575694453506</v>
      </c>
      <c r="BT5" s="1170">
        <f>BT42</f>
        <v>76.738115624556144</v>
      </c>
      <c r="BU5" s="1170">
        <f>SUM(BS5:BT5)</f>
        <v>163.46569131900964</v>
      </c>
      <c r="BV5" s="1170">
        <f>BV42</f>
        <v>83.436378129325576</v>
      </c>
      <c r="BW5" s="1170">
        <f>BW42</f>
        <v>90.980321223082086</v>
      </c>
      <c r="BX5" s="1170">
        <f>SUM(BV5:BW5)</f>
        <v>174.41669935240765</v>
      </c>
      <c r="BY5" s="1170">
        <f>BY42</f>
        <v>104.54593505000837</v>
      </c>
      <c r="BZ5" s="1170">
        <f>BZ42</f>
        <v>133.68837844999467</v>
      </c>
      <c r="CA5" s="1170">
        <f>SUM(BY5:BZ5)</f>
        <v>238.23431350000305</v>
      </c>
      <c r="CB5" s="1170">
        <f>CB42</f>
        <v>155.08334634120664</v>
      </c>
      <c r="CC5" s="1170">
        <f>CC42</f>
        <v>172.55931804140724</v>
      </c>
      <c r="CD5" s="1170">
        <f>SUM(CB5:CC5)</f>
        <v>327.64266438261387</v>
      </c>
      <c r="CE5" s="1170">
        <f>CE42</f>
        <v>158.79182857983656</v>
      </c>
      <c r="CF5" s="1170">
        <f>CF42</f>
        <v>163.74751351456132</v>
      </c>
      <c r="CG5" s="1170">
        <f>SUM(CE5:CF5)</f>
        <v>322.53934209439785</v>
      </c>
      <c r="CH5" s="1170">
        <f>CH42</f>
        <v>160.34167760273766</v>
      </c>
      <c r="CI5" s="1170">
        <f>CI42</f>
        <v>161.06565973203439</v>
      </c>
      <c r="CJ5" s="1170">
        <f>SUM(CH5:CI5)</f>
        <v>321.40733733477202</v>
      </c>
      <c r="CK5" s="1170">
        <f>CK42</f>
        <v>173.4822184995827</v>
      </c>
      <c r="CL5" s="1170">
        <f>CL42</f>
        <v>149.15100585761235</v>
      </c>
      <c r="CM5" s="1170">
        <f>SUM(CK5:CL5)</f>
        <v>322.63322435719505</v>
      </c>
      <c r="CN5" s="1170">
        <f>CN42</f>
        <v>147.57663595350905</v>
      </c>
      <c r="CO5" s="1170">
        <f>CO42</f>
        <v>212.07699999999997</v>
      </c>
      <c r="CP5" s="1170">
        <f>SUM(CN5:CO5)</f>
        <v>359.65363595350902</v>
      </c>
      <c r="CQ5" s="1170">
        <f>CQ42</f>
        <v>200.43700000000004</v>
      </c>
      <c r="CR5" s="1170">
        <f>CR42</f>
        <v>223.84700000000004</v>
      </c>
      <c r="CS5" s="1170">
        <f>SUM(CQ5:CR5)</f>
        <v>424.28400000000011</v>
      </c>
      <c r="CT5" s="1170">
        <f>CT42</f>
        <v>284.47215762108419</v>
      </c>
      <c r="CU5" s="1170">
        <f>CU42</f>
        <v>257.69684861850106</v>
      </c>
      <c r="CV5" s="1170">
        <f>SUM(CT5:CU5)</f>
        <v>542.16900623958531</v>
      </c>
      <c r="CW5" s="1170">
        <f>CW42</f>
        <v>273.99114059961823</v>
      </c>
      <c r="CX5" s="1170">
        <f>CX42</f>
        <v>289.25515794935814</v>
      </c>
      <c r="CY5" s="1170">
        <f>SUM(CW5:CX5)</f>
        <v>563.24629854897637</v>
      </c>
      <c r="CZ5" s="1170">
        <f>CZ42</f>
        <v>290.07100481727934</v>
      </c>
      <c r="DA5" s="1170">
        <f>DA42</f>
        <v>336.94191769583824</v>
      </c>
      <c r="DB5" s="1170">
        <f>SUM(CZ5:DA5)</f>
        <v>627.01292251311759</v>
      </c>
      <c r="DC5" s="1170">
        <f>DC42</f>
        <v>338.88379809214246</v>
      </c>
      <c r="DD5" s="1170">
        <f>DD42</f>
        <v>352.06251199654514</v>
      </c>
      <c r="DE5" s="1170">
        <f>SUM(DC5:DD5)</f>
        <v>690.9463100886876</v>
      </c>
      <c r="DF5" s="1170">
        <f>DF42</f>
        <v>363.45044135774731</v>
      </c>
      <c r="DG5" s="1170">
        <f>DG42</f>
        <v>226.28431199367378</v>
      </c>
      <c r="DH5" s="1165">
        <f>SUM(DF5:DG5)</f>
        <v>589.73475335142109</v>
      </c>
      <c r="DI5" s="1170">
        <f>DI42</f>
        <v>349</v>
      </c>
      <c r="DJ5" s="1170">
        <f>DJ42</f>
        <v>336.6</v>
      </c>
      <c r="DK5" s="1165">
        <f>SUM(DI5:DJ5)</f>
        <v>685.6</v>
      </c>
      <c r="DL5" s="1164">
        <f>DL42</f>
        <v>398.1</v>
      </c>
      <c r="DM5" s="1164">
        <f>DM42</f>
        <v>382.69999999999993</v>
      </c>
      <c r="DN5" s="1165">
        <f>SUM(DL5:DM5)</f>
        <v>780.8</v>
      </c>
      <c r="DO5" s="1164">
        <f>DO42</f>
        <v>416.7</v>
      </c>
      <c r="DP5" s="1164">
        <f>DP42</f>
        <v>504.5</v>
      </c>
      <c r="DQ5" s="1165">
        <f>SUM(DO5:DP5)</f>
        <v>921.2</v>
      </c>
      <c r="DR5" s="1164">
        <f>DR42</f>
        <v>519.80000000000007</v>
      </c>
      <c r="DS5" s="1164">
        <f>DS42</f>
        <v>574.5</v>
      </c>
      <c r="DT5" s="1165">
        <f>SUM(DR5:DS5)</f>
        <v>1094.3000000000002</v>
      </c>
      <c r="DU5" s="1164">
        <f>DU42</f>
        <v>535</v>
      </c>
      <c r="DV5" s="1164">
        <f>DV42</f>
        <v>538.9</v>
      </c>
      <c r="DW5" s="1165">
        <f>SUM(DU5:DV5)</f>
        <v>1073.9000000000001</v>
      </c>
      <c r="DX5" s="1164">
        <f>DX42</f>
        <v>522.70000000000005</v>
      </c>
      <c r="DY5" s="1164">
        <f>DY42</f>
        <v>595.28700382363968</v>
      </c>
      <c r="DZ5" s="1165">
        <f>SUM(DX5:DY5)</f>
        <v>1117.9870038236397</v>
      </c>
      <c r="EA5" s="1164">
        <f>EA42</f>
        <v>636.33309053406674</v>
      </c>
      <c r="EB5" s="1164">
        <f>EB42</f>
        <v>652.97863434709257</v>
      </c>
      <c r="EC5" s="1165">
        <f>SUM(EA5:EB5)</f>
        <v>1289.3117248811593</v>
      </c>
      <c r="ED5" s="1164">
        <f>ED42</f>
        <v>700.89446576936996</v>
      </c>
      <c r="EE5" s="1164">
        <f>EE42</f>
        <v>719.20182626788426</v>
      </c>
      <c r="EF5" s="1165">
        <f>SUM(ED5:EE5)</f>
        <v>1420.0962920372542</v>
      </c>
      <c r="EG5" s="1164">
        <f>EG42</f>
        <v>769.99998055644335</v>
      </c>
      <c r="EH5" s="1164">
        <f>EH42</f>
        <v>790.02367845346475</v>
      </c>
      <c r="EI5" s="1165">
        <f>SUM(EG5:EH5)</f>
        <v>1560.023659009908</v>
      </c>
      <c r="EJ5" s="1164">
        <f>EJ42</f>
        <v>843.53727984225361</v>
      </c>
      <c r="EK5" s="1164">
        <f>EK42</f>
        <v>865.34946333299172</v>
      </c>
      <c r="EL5" s="1165">
        <f>SUM(EJ5:EK5)</f>
        <v>1708.8867431752453</v>
      </c>
      <c r="EM5" s="1164">
        <f>EM42</f>
        <v>923.92262908364285</v>
      </c>
      <c r="EN5" s="1164">
        <f>EN42</f>
        <v>947.68483352779219</v>
      </c>
      <c r="EO5" s="1165">
        <f>SUM(EM5:EN5)</f>
        <v>1871.607462611435</v>
      </c>
      <c r="EP5" s="1164">
        <f>EP42</f>
        <v>1010.0596622597028</v>
      </c>
      <c r="EQ5" s="1164">
        <f>EQ42</f>
        <v>1035.8768366001957</v>
      </c>
      <c r="ER5" s="1165">
        <f>SUM(EP5:EQ5)</f>
        <v>2045.9364988598986</v>
      </c>
      <c r="ES5" s="1164">
        <f>ES42</f>
        <v>1104.0566376414952</v>
      </c>
      <c r="ET5" s="1164">
        <f>ET42</f>
        <v>1132.1084116866214</v>
      </c>
      <c r="EU5" s="1165">
        <f>SUM(ES5:ET5)</f>
        <v>2236.1650493281168</v>
      </c>
      <c r="EV5" s="1164">
        <f>EV42</f>
        <v>1206.625696309575</v>
      </c>
      <c r="EW5" s="1164">
        <f>EW42</f>
        <v>1237.1076083222297</v>
      </c>
      <c r="EX5" s="1165">
        <f>SUM(EV5:EW5)</f>
        <v>2443.7333046318045</v>
      </c>
      <c r="EY5" s="1164">
        <f>EY42</f>
        <v>1318.5432902949478</v>
      </c>
      <c r="EZ5" s="1164">
        <f>EZ42</f>
        <v>1351.668206679785</v>
      </c>
      <c r="FA5" s="1165">
        <f>SUM(EY5:EZ5)</f>
        <v>2670.2114969747327</v>
      </c>
      <c r="FB5" s="1172"/>
      <c r="FC5" s="1172"/>
      <c r="FD5" s="1172"/>
      <c r="FE5" s="1172"/>
      <c r="FF5" s="1172"/>
      <c r="FG5" s="1172"/>
      <c r="FH5" s="1172"/>
      <c r="FI5" s="1172"/>
      <c r="FJ5" s="1172"/>
      <c r="FK5" s="1173"/>
      <c r="FO5" s="1175"/>
      <c r="FP5" s="1175"/>
      <c r="FQ5" s="1175"/>
    </row>
    <row r="6" spans="1:173" s="1174" customFormat="1" ht="13.35" customHeight="1" outlineLevel="1" thickBot="1">
      <c r="A6" s="1168"/>
      <c r="B6" s="1168" t="s">
        <v>244</v>
      </c>
      <c r="C6" s="1168"/>
      <c r="D6" s="1169"/>
      <c r="E6" s="1176"/>
      <c r="F6" s="1177"/>
      <c r="G6" s="1178"/>
      <c r="H6" s="1179"/>
      <c r="I6" s="1177"/>
      <c r="J6" s="1178"/>
      <c r="K6" s="1179"/>
      <c r="L6" s="1177"/>
      <c r="M6" s="1178"/>
      <c r="N6" s="1179"/>
      <c r="O6" s="1177"/>
      <c r="P6" s="1178"/>
      <c r="Q6" s="1179"/>
      <c r="R6" s="1177"/>
      <c r="S6" s="1178"/>
      <c r="T6" s="1179"/>
      <c r="U6" s="1177"/>
      <c r="V6" s="1178"/>
      <c r="W6" s="1179"/>
      <c r="X6" s="1177"/>
      <c r="Y6" s="1178"/>
      <c r="Z6" s="1179"/>
      <c r="AA6" s="1177"/>
      <c r="AB6" s="1178"/>
      <c r="AC6" s="1179"/>
      <c r="AD6" s="1177"/>
      <c r="AE6" s="1178"/>
      <c r="AF6" s="1179"/>
      <c r="AG6" s="1177"/>
      <c r="AH6" s="1178"/>
      <c r="AI6" s="1179"/>
      <c r="AJ6" s="1177"/>
      <c r="AK6" s="1178"/>
      <c r="AL6" s="1179"/>
      <c r="AM6" s="1177"/>
      <c r="AN6" s="1178"/>
      <c r="AO6" s="1179"/>
      <c r="AP6" s="1177"/>
      <c r="AQ6" s="1178"/>
      <c r="AR6" s="1179"/>
      <c r="AS6" s="1170"/>
      <c r="AT6" s="1178">
        <v>0</v>
      </c>
      <c r="AU6" s="1179"/>
      <c r="AV6" s="1177">
        <f>+AW6-AU6</f>
        <v>0</v>
      </c>
      <c r="AW6" s="1178"/>
      <c r="AX6" s="1179"/>
      <c r="AY6" s="1177">
        <f>+AZ6-AX6</f>
        <v>0</v>
      </c>
      <c r="AZ6" s="1178"/>
      <c r="BA6" s="1179"/>
      <c r="BB6" s="1177"/>
      <c r="BC6" s="1180"/>
      <c r="BD6" s="1179">
        <f>BD42-BD51</f>
        <v>13.035</v>
      </c>
      <c r="BE6" s="1177">
        <f>BE42-BE51</f>
        <v>26.476999999999993</v>
      </c>
      <c r="BF6" s="1180">
        <f>SUM(BD6:BE6)</f>
        <v>39.511999999999993</v>
      </c>
      <c r="BG6" s="1179">
        <f>BG42-BG51</f>
        <v>0.42999999999999972</v>
      </c>
      <c r="BH6" s="1177">
        <f>BH42-BH51</f>
        <v>-4.1909999999999954</v>
      </c>
      <c r="BI6" s="1180">
        <f>SUM(BG6:BH6)</f>
        <v>-3.7609999999999957</v>
      </c>
      <c r="BJ6" s="1179">
        <f>BJ42-BJ51</f>
        <v>-25.179000000000002</v>
      </c>
      <c r="BK6" s="1177">
        <f>BK42-BK51</f>
        <v>-10.862</v>
      </c>
      <c r="BL6" s="1180">
        <f>SUM(BJ6:BK6)</f>
        <v>-36.041000000000004</v>
      </c>
      <c r="BM6" s="1179">
        <f>BM42-BM51</f>
        <v>-13.478999999999999</v>
      </c>
      <c r="BN6" s="1177">
        <f>BN42-BN51</f>
        <v>-21.141000000000002</v>
      </c>
      <c r="BO6" s="1180">
        <f>SUM(BM6:BN6)</f>
        <v>-34.620000000000005</v>
      </c>
      <c r="BP6" s="1179">
        <f>BP42-BP51</f>
        <v>-10.045000000000002</v>
      </c>
      <c r="BQ6" s="1177">
        <f>BQ42-BQ51</f>
        <v>-9.3109999999999999</v>
      </c>
      <c r="BR6" s="1180">
        <f>SUM(BP6:BQ6)</f>
        <v>-19.356000000000002</v>
      </c>
      <c r="BS6" s="1179">
        <f>BS42-BS51</f>
        <v>4.0726389345959291</v>
      </c>
      <c r="BT6" s="1177">
        <f>BT42-BT51</f>
        <v>-7.0768050392602078</v>
      </c>
      <c r="BU6" s="1178">
        <f>SUM(BS6:BT6)</f>
        <v>-3.0041661046642787</v>
      </c>
      <c r="BV6" s="1179">
        <f>BV42-BV51</f>
        <v>-4.4652091504705851</v>
      </c>
      <c r="BW6" s="1177">
        <f>BW42-BW51</f>
        <v>0.22339213732318797</v>
      </c>
      <c r="BX6" s="1178">
        <f>SUM(BV6:BW6)</f>
        <v>-4.2418170131473971</v>
      </c>
      <c r="BY6" s="1179">
        <f>BY42-BY51</f>
        <v>5.1223650087306538</v>
      </c>
      <c r="BZ6" s="1177">
        <f>BZ42-BZ51</f>
        <v>39.704475355877392</v>
      </c>
      <c r="CA6" s="1178">
        <f>SUM(BY6:BZ6)</f>
        <v>44.826840364608046</v>
      </c>
      <c r="CB6" s="1179">
        <f>CB42-CB51</f>
        <v>51.945621976581123</v>
      </c>
      <c r="CC6" s="1177">
        <f>CC42-CC51</f>
        <v>55.0388180248666</v>
      </c>
      <c r="CD6" s="1178">
        <f>SUM(CB6:CC6)</f>
        <v>106.98444000144772</v>
      </c>
      <c r="CE6" s="1179">
        <f>CE42-CE51</f>
        <v>38.782251655729297</v>
      </c>
      <c r="CF6" s="1177">
        <f>CF42-CF51</f>
        <v>38.058214964350057</v>
      </c>
      <c r="CG6" s="1178">
        <f>SUM(CE6:CF6)</f>
        <v>76.840466620079354</v>
      </c>
      <c r="CH6" s="1179">
        <f>CH42-CH51</f>
        <v>48.676637201883665</v>
      </c>
      <c r="CI6" s="1177">
        <f>CI42-CI51</f>
        <v>50.989958803239716</v>
      </c>
      <c r="CJ6" s="1178">
        <f>SUM(CH6:CI6)</f>
        <v>99.666596005123381</v>
      </c>
      <c r="CK6" s="1179">
        <f>CK42-CK51</f>
        <v>62.955494532090384</v>
      </c>
      <c r="CL6" s="1177">
        <f>CL42-CL51</f>
        <v>74.691778887414159</v>
      </c>
      <c r="CM6" s="1178">
        <f>SUM(CK6:CL6)</f>
        <v>137.64727341950453</v>
      </c>
      <c r="CN6" s="1179">
        <f>CN42-CN51</f>
        <v>94.402944241004576</v>
      </c>
      <c r="CO6" s="1177">
        <f>CO42-CO51</f>
        <v>108.11720515127347</v>
      </c>
      <c r="CP6" s="1178">
        <f>SUM(CN6:CO6)</f>
        <v>202.52014939227803</v>
      </c>
      <c r="CQ6" s="1179">
        <f>CQ42-CQ51</f>
        <v>100.01861448953295</v>
      </c>
      <c r="CR6" s="1177">
        <f>CR42-CR51</f>
        <v>117.8262098736711</v>
      </c>
      <c r="CS6" s="1178">
        <f>SUM(CQ6:CR6)</f>
        <v>217.84482436320405</v>
      </c>
      <c r="CT6" s="1179">
        <f>CT42-CT51</f>
        <v>133.19248816828403</v>
      </c>
      <c r="CU6" s="1177">
        <f>CU42-CU51</f>
        <v>124.90308512163958</v>
      </c>
      <c r="CV6" s="1178">
        <f>SUM(CT6:CU6)</f>
        <v>258.09557328992361</v>
      </c>
      <c r="CW6" s="1179">
        <f>CW42-CW51</f>
        <v>117.64888218100305</v>
      </c>
      <c r="CX6" s="1177">
        <f>CX42-CX51</f>
        <v>129.96244219509293</v>
      </c>
      <c r="CY6" s="1178">
        <f>SUM(CW6:CX6)</f>
        <v>247.61132437609598</v>
      </c>
      <c r="CZ6" s="1179">
        <f>CZ42-CZ51</f>
        <v>129.62624971137382</v>
      </c>
      <c r="DA6" s="1177">
        <f>DA42-DA51</f>
        <v>151.80296334028469</v>
      </c>
      <c r="DB6" s="1178">
        <f>SUM(CZ6:DA6)</f>
        <v>281.42921305165851</v>
      </c>
      <c r="DC6" s="1179">
        <f>DC42-DC51</f>
        <v>160.41777022989359</v>
      </c>
      <c r="DD6" s="1177">
        <f>DD42-DD51</f>
        <v>173.44638602279315</v>
      </c>
      <c r="DE6" s="1178">
        <f>SUM(DC6:DD6)</f>
        <v>333.86415625268671</v>
      </c>
      <c r="DF6" s="1179">
        <f>DF42-DF51</f>
        <v>182.12955844910931</v>
      </c>
      <c r="DG6" s="1177">
        <f>DG42-DG51</f>
        <v>197.02388762627137</v>
      </c>
      <c r="DH6" s="1165">
        <f>SUM(DF6:DG6)</f>
        <v>379.15344607538066</v>
      </c>
      <c r="DI6" s="1177">
        <f>DI42-DI51</f>
        <v>166.57683910282245</v>
      </c>
      <c r="DJ6" s="1177">
        <f>DJ42-DJ51</f>
        <v>177.1213056036259</v>
      </c>
      <c r="DK6" s="1165">
        <f>SUM(DI6:DJ6)</f>
        <v>343.69814470644837</v>
      </c>
      <c r="DL6" s="1181">
        <f>DL42-DL51</f>
        <v>180.49999999999994</v>
      </c>
      <c r="DM6" s="1181">
        <f>DM42-DM51</f>
        <v>217.66854000000001</v>
      </c>
      <c r="DN6" s="1165">
        <f>SUM(DL6:DM6)</f>
        <v>398.16853999999995</v>
      </c>
      <c r="DO6" s="1181">
        <f>DO42-DO51</f>
        <v>230.95039000000003</v>
      </c>
      <c r="DP6" s="1181">
        <f>DP42-DP51</f>
        <v>333.46625000000006</v>
      </c>
      <c r="DQ6" s="1165">
        <f>SUM(DO6:DP6)</f>
        <v>564.41664000000014</v>
      </c>
      <c r="DR6" s="1181">
        <f>DR42-DR51</f>
        <v>264.49479200000002</v>
      </c>
      <c r="DS6" s="1181">
        <f>DS42-DS51</f>
        <v>262.28742400000004</v>
      </c>
      <c r="DT6" s="1165">
        <f>SUM(DR6:DS6)</f>
        <v>526.78221600000006</v>
      </c>
      <c r="DU6" s="1181">
        <f>DU42-DU51</f>
        <v>249.47171500000002</v>
      </c>
      <c r="DV6" s="1181">
        <f>DV42-DV51</f>
        <v>275.197315</v>
      </c>
      <c r="DW6" s="1165">
        <f>SUM(DU6:DV6)</f>
        <v>524.66903000000002</v>
      </c>
      <c r="DX6" s="1181">
        <f>DX42-DX51</f>
        <v>271.27960000000002</v>
      </c>
      <c r="DY6" s="1181">
        <f>DY42-DY51</f>
        <v>303.7273502132818</v>
      </c>
      <c r="DZ6" s="1165">
        <f>SUM(DX6:DY6)</f>
        <v>575.00695021328181</v>
      </c>
      <c r="EA6" s="1181">
        <f>EA42-EA51</f>
        <v>311.03023097356731</v>
      </c>
      <c r="EB6" s="1181">
        <f>EB42-EB51</f>
        <v>320.80882220390771</v>
      </c>
      <c r="EC6" s="1165">
        <f>SUM(EA6:EB6)</f>
        <v>631.83905317747508</v>
      </c>
      <c r="ED6" s="1181">
        <f>ED42-ED51</f>
        <v>336.45955311578393</v>
      </c>
      <c r="EE6" s="1181">
        <f>EE42-EE51</f>
        <v>346.86719687519201</v>
      </c>
      <c r="EF6" s="1165">
        <f>SUM(ED6:EE6)</f>
        <v>683.32674999097594</v>
      </c>
      <c r="EG6" s="1181">
        <f>EG42-EG51</f>
        <v>358.51802247252277</v>
      </c>
      <c r="EH6" s="1181">
        <f>EH42-EH51</f>
        <v>369.60799695732339</v>
      </c>
      <c r="EI6" s="1165">
        <f>SUM(EG6:EH6)</f>
        <v>728.12601942984611</v>
      </c>
      <c r="EJ6" s="1181">
        <f>EJ42-EJ51</f>
        <v>390.78464449504986</v>
      </c>
      <c r="EK6" s="1181">
        <f>EK42-EK51</f>
        <v>402.87271668348251</v>
      </c>
      <c r="EL6" s="1165">
        <f>SUM(EJ6:EK6)</f>
        <v>793.65736117853237</v>
      </c>
      <c r="EM6" s="1181">
        <f>EM42-EM51</f>
        <v>425.95526249960437</v>
      </c>
      <c r="EN6" s="1181">
        <f>EN42-EN51</f>
        <v>439.13126118499594</v>
      </c>
      <c r="EO6" s="1165">
        <f>SUM(EM6:EN6)</f>
        <v>865.08652368460025</v>
      </c>
      <c r="EP6" s="1181">
        <f>EP42-EP51</f>
        <v>453.64235456207871</v>
      </c>
      <c r="EQ6" s="1181">
        <f>EQ42-EQ51</f>
        <v>467.67479316202071</v>
      </c>
      <c r="ER6" s="1165">
        <f>SUM(EP6:EQ6)</f>
        <v>921.31714772409941</v>
      </c>
      <c r="ES6" s="1181">
        <f>ES42-ES51</f>
        <v>494.47016647266594</v>
      </c>
      <c r="ET6" s="1181">
        <f>ET42-ET51</f>
        <v>509.76552454660271</v>
      </c>
      <c r="EU6" s="1165">
        <f>SUM(ES6:ET6)</f>
        <v>1004.2356910192686</v>
      </c>
      <c r="EV6" s="1181">
        <f>EV42-EV51</f>
        <v>538.97248145520587</v>
      </c>
      <c r="EW6" s="1181">
        <f>EW42-EW51</f>
        <v>555.64442175579688</v>
      </c>
      <c r="EX6" s="1165">
        <f>SUM(EV6:EW6)</f>
        <v>1094.6169032110029</v>
      </c>
      <c r="EY6" s="1181">
        <f>EY42-EY51</f>
        <v>587.48000478617439</v>
      </c>
      <c r="EZ6" s="1181">
        <f>EZ42-EZ51</f>
        <v>605.65241971381886</v>
      </c>
      <c r="FA6" s="1165">
        <f>SUM(EY6:EZ6)</f>
        <v>1193.1324244999932</v>
      </c>
      <c r="FB6" s="1172"/>
      <c r="FC6" s="1172"/>
      <c r="FD6" s="1172"/>
      <c r="FE6" s="1172"/>
      <c r="FF6" s="1172"/>
      <c r="FG6" s="1172"/>
      <c r="FH6" s="1172"/>
      <c r="FI6" s="1172"/>
      <c r="FJ6" s="1172"/>
      <c r="FK6" s="1173"/>
      <c r="FP6" s="1182"/>
      <c r="FQ6" s="1182"/>
    </row>
    <row r="7" spans="1:173" s="321" customFormat="1" ht="13.35" customHeight="1" outlineLevel="1">
      <c r="A7" s="1168"/>
      <c r="B7" s="186" t="s">
        <v>461</v>
      </c>
      <c r="C7" s="186"/>
      <c r="D7" s="910"/>
      <c r="E7" s="913">
        <f>+E5+E6</f>
        <v>0</v>
      </c>
      <c r="F7" s="913"/>
      <c r="G7" s="913"/>
      <c r="H7" s="913"/>
      <c r="I7" s="913"/>
      <c r="J7" s="913"/>
      <c r="K7" s="913"/>
      <c r="L7" s="913"/>
      <c r="M7" s="913"/>
      <c r="N7" s="913"/>
      <c r="O7" s="913"/>
      <c r="P7" s="913"/>
      <c r="Q7" s="913"/>
      <c r="R7" s="913"/>
      <c r="S7" s="913"/>
      <c r="T7" s="913"/>
      <c r="U7" s="913"/>
      <c r="V7" s="913"/>
      <c r="W7" s="913"/>
      <c r="X7" s="913"/>
      <c r="Y7" s="913"/>
      <c r="Z7" s="913"/>
      <c r="AA7" s="913"/>
      <c r="AB7" s="913"/>
      <c r="AC7" s="913"/>
      <c r="AD7" s="913"/>
      <c r="AE7" s="913"/>
      <c r="AF7" s="913"/>
      <c r="AG7" s="913"/>
      <c r="AH7" s="913"/>
      <c r="AI7" s="913"/>
      <c r="AJ7" s="913"/>
      <c r="AK7" s="913"/>
      <c r="AL7" s="913"/>
      <c r="AM7" s="913"/>
      <c r="AN7" s="913"/>
      <c r="AO7" s="913"/>
      <c r="AP7" s="913"/>
      <c r="AQ7" s="913"/>
      <c r="AR7" s="913"/>
      <c r="AS7" s="913"/>
      <c r="AT7" s="913">
        <f>+AT5+AT6</f>
        <v>0</v>
      </c>
      <c r="AU7" s="913">
        <f>+AU5+AU6</f>
        <v>0</v>
      </c>
      <c r="AV7" s="913">
        <f>+AV5+AV6</f>
        <v>0</v>
      </c>
      <c r="AW7" s="913">
        <f>+AW5+AW6</f>
        <v>0</v>
      </c>
      <c r="AX7" s="913"/>
      <c r="AY7" s="913"/>
      <c r="AZ7" s="913"/>
      <c r="BA7" s="913"/>
      <c r="BB7" s="913"/>
      <c r="BC7" s="914"/>
      <c r="BD7" s="913">
        <f>BD5-BD6</f>
        <v>20.602999999999998</v>
      </c>
      <c r="BE7" s="913">
        <f>BE5-BE6</f>
        <v>11.297000000000001</v>
      </c>
      <c r="BF7" s="914">
        <f>SUM(BD7:BE7)</f>
        <v>31.9</v>
      </c>
      <c r="BG7" s="913">
        <f>BG5-BG6</f>
        <v>40.164999999999999</v>
      </c>
      <c r="BH7" s="913">
        <f>BH5-BH6</f>
        <v>39.984999999999992</v>
      </c>
      <c r="BI7" s="914">
        <f>SUM(BG7:BH7)</f>
        <v>80.149999999999991</v>
      </c>
      <c r="BJ7" s="913">
        <f>BJ5-BJ6</f>
        <v>50.678000000000004</v>
      </c>
      <c r="BK7" s="913">
        <f>BK5-BK6</f>
        <v>25.07</v>
      </c>
      <c r="BL7" s="914">
        <f>SUM(BJ7:BK7)</f>
        <v>75.748000000000005</v>
      </c>
      <c r="BM7" s="913">
        <f>BM5-BM6</f>
        <v>56.375999999999998</v>
      </c>
      <c r="BN7" s="913">
        <f>BN5-BN6</f>
        <v>52.605000000000004</v>
      </c>
      <c r="BO7" s="914">
        <f>SUM(BM7:BN7)</f>
        <v>108.98099999999999</v>
      </c>
      <c r="BP7" s="913">
        <f>BP5-BP6</f>
        <v>74.554000000000002</v>
      </c>
      <c r="BQ7" s="913">
        <f>BQ5-BQ6</f>
        <v>54.635999999999996</v>
      </c>
      <c r="BR7" s="914">
        <f>SUM(BP7:BQ7)</f>
        <v>129.19</v>
      </c>
      <c r="BS7" s="913">
        <f>BS5-BS6</f>
        <v>82.654936759857577</v>
      </c>
      <c r="BT7" s="913">
        <f>BT5-BT6</f>
        <v>83.814920663816352</v>
      </c>
      <c r="BU7" s="913">
        <f>SUM(BS7:BT7)</f>
        <v>166.46985742367394</v>
      </c>
      <c r="BV7" s="913">
        <f>BV5-BV6</f>
        <v>87.901587279796161</v>
      </c>
      <c r="BW7" s="913">
        <f>BW5-BW6</f>
        <v>90.756929085758898</v>
      </c>
      <c r="BX7" s="913">
        <f>SUM(BV7:BW7)</f>
        <v>178.65851636555504</v>
      </c>
      <c r="BY7" s="913">
        <f>BY5-BY6</f>
        <v>99.423570041277713</v>
      </c>
      <c r="BZ7" s="913">
        <f>BZ5-BZ6</f>
        <v>93.983903094117281</v>
      </c>
      <c r="CA7" s="913">
        <f>SUM(BY7:BZ7)</f>
        <v>193.40747313539498</v>
      </c>
      <c r="CB7" s="913">
        <f>CB5-CB6</f>
        <v>103.13772436462551</v>
      </c>
      <c r="CC7" s="913">
        <f>CC5-CC6</f>
        <v>117.52050001654064</v>
      </c>
      <c r="CD7" s="913">
        <f>SUM(CB7:CC7)</f>
        <v>220.65822438116615</v>
      </c>
      <c r="CE7" s="913">
        <f>CE5-CE6</f>
        <v>120.00957692410726</v>
      </c>
      <c r="CF7" s="913">
        <f>CF5-CF6</f>
        <v>125.68929855021126</v>
      </c>
      <c r="CG7" s="913">
        <f>SUM(CE7:CF7)</f>
        <v>245.69887547431853</v>
      </c>
      <c r="CH7" s="913">
        <f>CH5-CH6</f>
        <v>111.665040400854</v>
      </c>
      <c r="CI7" s="913">
        <f>CI5-CI6</f>
        <v>110.07570092879467</v>
      </c>
      <c r="CJ7" s="913">
        <f>SUM(CH7:CI7)</f>
        <v>221.74074132964867</v>
      </c>
      <c r="CK7" s="913">
        <f>CK5-CK6</f>
        <v>110.52672396749232</v>
      </c>
      <c r="CL7" s="913">
        <f>CL5-CL6</f>
        <v>74.459226970198188</v>
      </c>
      <c r="CM7" s="913">
        <f>SUM(CK7:CL7)</f>
        <v>184.98595093769052</v>
      </c>
      <c r="CN7" s="913">
        <f>CN5-CN6</f>
        <v>53.173691712504478</v>
      </c>
      <c r="CO7" s="913">
        <f>CO5-CO6</f>
        <v>103.9597948487265</v>
      </c>
      <c r="CP7" s="913">
        <f>SUM(CN7:CO7)</f>
        <v>157.133486561231</v>
      </c>
      <c r="CQ7" s="913">
        <f>CQ5-CQ6</f>
        <v>100.41838551046709</v>
      </c>
      <c r="CR7" s="913">
        <f>CR5-CR6</f>
        <v>106.02079012632893</v>
      </c>
      <c r="CS7" s="913">
        <f>SUM(CQ7:CR7)</f>
        <v>206.43917563679602</v>
      </c>
      <c r="CT7" s="913">
        <f>CT5-CT6</f>
        <v>151.27966945280016</v>
      </c>
      <c r="CU7" s="913">
        <f>CU5-CU6</f>
        <v>132.79376349686149</v>
      </c>
      <c r="CV7" s="913">
        <f>SUM(CT7:CU7)</f>
        <v>284.07343294966165</v>
      </c>
      <c r="CW7" s="913">
        <f>CW5-CW6</f>
        <v>156.34225841861519</v>
      </c>
      <c r="CX7" s="913">
        <f>CX5-CX6</f>
        <v>159.2927157542652</v>
      </c>
      <c r="CY7" s="913">
        <f>SUM(CW7:CX7)</f>
        <v>315.63497417288039</v>
      </c>
      <c r="CZ7" s="913">
        <f>CZ5-CZ6</f>
        <v>160.44475510590553</v>
      </c>
      <c r="DA7" s="913">
        <f>DA5-DA6</f>
        <v>185.13895435555355</v>
      </c>
      <c r="DB7" s="913">
        <f>SUM(CZ7:DA7)</f>
        <v>345.58370946145908</v>
      </c>
      <c r="DC7" s="913">
        <f>DC5-DC6</f>
        <v>178.46602786224886</v>
      </c>
      <c r="DD7" s="913">
        <f>DD5-DD6</f>
        <v>178.61612597375199</v>
      </c>
      <c r="DE7" s="913">
        <f>SUM(DC7:DD7)</f>
        <v>357.08215383600088</v>
      </c>
      <c r="DF7" s="913">
        <f>DF5-DF6</f>
        <v>181.320882908638</v>
      </c>
      <c r="DG7" s="913">
        <f>DG5-DG6</f>
        <v>29.260424367402408</v>
      </c>
      <c r="DH7" s="1060">
        <f>SUM(DF7:DG7)</f>
        <v>210.58130727604041</v>
      </c>
      <c r="DI7" s="1166">
        <f>+DI160</f>
        <v>175.59999999999991</v>
      </c>
      <c r="DJ7" s="1166">
        <f t="shared" ref="DJ7:ER7" si="19">+DJ160</f>
        <v>154.6</v>
      </c>
      <c r="DK7" s="1167">
        <f t="shared" si="19"/>
        <v>330.19999999999993</v>
      </c>
      <c r="DL7" s="889">
        <f t="shared" si="19"/>
        <v>222.79999999999987</v>
      </c>
      <c r="DM7" s="889">
        <f t="shared" si="19"/>
        <v>181.49999999999997</v>
      </c>
      <c r="DN7" s="1060">
        <f t="shared" si="19"/>
        <v>404.29999999999984</v>
      </c>
      <c r="DO7" s="889">
        <f t="shared" si="19"/>
        <v>203.00000000000009</v>
      </c>
      <c r="DP7" s="889">
        <f t="shared" si="19"/>
        <v>231.59999999999988</v>
      </c>
      <c r="DQ7" s="1060">
        <f t="shared" si="19"/>
        <v>434.59999999999997</v>
      </c>
      <c r="DR7" s="889">
        <f t="shared" si="19"/>
        <v>272.2000000000001</v>
      </c>
      <c r="DS7" s="889">
        <f t="shared" si="19"/>
        <v>262.89999999999975</v>
      </c>
      <c r="DT7" s="1060">
        <f t="shared" si="19"/>
        <v>535.09999999999991</v>
      </c>
      <c r="DU7" s="889">
        <f t="shared" si="19"/>
        <v>286.70000000000016</v>
      </c>
      <c r="DV7" s="889">
        <f t="shared" si="19"/>
        <v>267.3</v>
      </c>
      <c r="DW7" s="1060">
        <f t="shared" si="19"/>
        <v>554.00000000000023</v>
      </c>
      <c r="DX7" s="889">
        <f t="shared" ref="DX7" si="20">+DX160</f>
        <v>254.79999999999995</v>
      </c>
      <c r="DY7" s="889">
        <f t="shared" si="19"/>
        <v>295.38043729967001</v>
      </c>
      <c r="DZ7" s="1060">
        <f t="shared" si="19"/>
        <v>550.18043729966996</v>
      </c>
      <c r="EA7" s="889">
        <f t="shared" si="19"/>
        <v>315.19096870193118</v>
      </c>
      <c r="EB7" s="889">
        <f t="shared" si="19"/>
        <v>324.77792655630287</v>
      </c>
      <c r="EC7" s="1060">
        <f t="shared" si="19"/>
        <v>639.96889525823406</v>
      </c>
      <c r="ED7" s="889">
        <f t="shared" si="19"/>
        <v>352.34984349834582</v>
      </c>
      <c r="EE7" s="889">
        <f t="shared" si="19"/>
        <v>363.24901879550839</v>
      </c>
      <c r="EF7" s="1060">
        <f t="shared" si="19"/>
        <v>715.59886229385415</v>
      </c>
      <c r="EG7" s="889">
        <f t="shared" si="19"/>
        <v>390.6396417521421</v>
      </c>
      <c r="EH7" s="889">
        <f t="shared" si="19"/>
        <v>402.72322859641281</v>
      </c>
      <c r="EI7" s="1060">
        <f t="shared" si="19"/>
        <v>793.36287034855491</v>
      </c>
      <c r="EJ7" s="889">
        <f t="shared" si="19"/>
        <v>430.27868479074164</v>
      </c>
      <c r="EK7" s="889">
        <f t="shared" si="19"/>
        <v>443.58841913205663</v>
      </c>
      <c r="EL7" s="1060">
        <f t="shared" si="19"/>
        <v>873.86710392279826</v>
      </c>
      <c r="EM7" s="889">
        <f t="shared" si="19"/>
        <v>470.95768964438366</v>
      </c>
      <c r="EN7" s="889">
        <f t="shared" si="19"/>
        <v>485.52574043735899</v>
      </c>
      <c r="EO7" s="1060">
        <f t="shared" si="19"/>
        <v>956.48343008174265</v>
      </c>
      <c r="EP7" s="889">
        <f t="shared" si="19"/>
        <v>513.34388171237811</v>
      </c>
      <c r="EQ7" s="889">
        <f t="shared" si="19"/>
        <v>529.22305707672149</v>
      </c>
      <c r="ER7" s="1060">
        <f t="shared" si="19"/>
        <v>1042.5669387890996</v>
      </c>
      <c r="ES7" s="889">
        <f t="shared" ref="ES7:EX7" si="21">+ES160</f>
        <v>559.54483106649229</v>
      </c>
      <c r="ET7" s="889">
        <f t="shared" si="21"/>
        <v>576.8531322136264</v>
      </c>
      <c r="EU7" s="1060">
        <f t="shared" si="21"/>
        <v>1136.3979632801188</v>
      </c>
      <c r="EV7" s="889">
        <f t="shared" si="21"/>
        <v>609.90386586247655</v>
      </c>
      <c r="EW7" s="889">
        <f t="shared" si="21"/>
        <v>628.76991411285292</v>
      </c>
      <c r="EX7" s="1060">
        <f t="shared" si="21"/>
        <v>1238.6737799753296</v>
      </c>
      <c r="EY7" s="889">
        <f t="shared" ref="EY7:FA7" si="22">+EY160</f>
        <v>664.79521379009941</v>
      </c>
      <c r="EZ7" s="889">
        <f t="shared" si="22"/>
        <v>685.35920638300968</v>
      </c>
      <c r="FA7" s="1060">
        <f t="shared" si="22"/>
        <v>1350.154420173109</v>
      </c>
      <c r="FB7" s="172"/>
      <c r="FC7" s="172"/>
      <c r="FD7" s="172"/>
      <c r="FE7" s="172"/>
      <c r="FF7" s="172"/>
      <c r="FG7" s="172"/>
      <c r="FH7" s="172"/>
      <c r="FI7" s="172"/>
      <c r="FJ7" s="172"/>
      <c r="FK7" s="35"/>
      <c r="FO7" s="70"/>
      <c r="FP7" s="70"/>
      <c r="FQ7" s="70"/>
    </row>
    <row r="8" spans="1:173" s="321" customFormat="1" ht="13.35" customHeight="1" outlineLevel="1">
      <c r="A8" s="1168" t="s">
        <v>1060</v>
      </c>
      <c r="B8" s="186" t="s">
        <v>623</v>
      </c>
      <c r="C8" s="186"/>
      <c r="D8" s="910"/>
      <c r="E8" s="915"/>
      <c r="F8" s="915"/>
      <c r="G8" s="915"/>
      <c r="H8" s="915"/>
      <c r="I8" s="915"/>
      <c r="J8" s="915"/>
      <c r="K8" s="915"/>
      <c r="L8" s="915"/>
      <c r="M8" s="915"/>
      <c r="N8" s="915"/>
      <c r="O8" s="915"/>
      <c r="P8" s="915"/>
      <c r="Q8" s="915"/>
      <c r="R8" s="915"/>
      <c r="S8" s="915"/>
      <c r="T8" s="915"/>
      <c r="U8" s="915"/>
      <c r="V8" s="915"/>
      <c r="W8" s="915"/>
      <c r="X8" s="915"/>
      <c r="Y8" s="915"/>
      <c r="Z8" s="915"/>
      <c r="AA8" s="915"/>
      <c r="AB8" s="915"/>
      <c r="AC8" s="915"/>
      <c r="AD8" s="915"/>
      <c r="AE8" s="915"/>
      <c r="AF8" s="915"/>
      <c r="AG8" s="915"/>
      <c r="AH8" s="915"/>
      <c r="AI8" s="915"/>
      <c r="AJ8" s="915"/>
      <c r="AK8" s="915"/>
      <c r="AL8" s="915"/>
      <c r="AM8" s="915"/>
      <c r="AN8" s="915"/>
      <c r="AO8" s="915"/>
      <c r="AP8" s="915"/>
      <c r="AQ8" s="915"/>
      <c r="AR8" s="915"/>
      <c r="AS8" s="915"/>
      <c r="AT8" s="915"/>
      <c r="AU8" s="915"/>
      <c r="AV8" s="915"/>
      <c r="AW8" s="915"/>
      <c r="AX8" s="915"/>
      <c r="AY8" s="915"/>
      <c r="AZ8" s="915"/>
      <c r="BA8" s="915"/>
      <c r="BB8" s="915"/>
      <c r="BC8" s="916"/>
      <c r="BD8" s="915">
        <f>+BD7/BD3</f>
        <v>0.17157013781904482</v>
      </c>
      <c r="BE8" s="915">
        <f>+BE7/BE3</f>
        <v>7.7041562901646099E-2</v>
      </c>
      <c r="BF8" s="916">
        <f>+BF7/BF3</f>
        <v>0.119601019112483</v>
      </c>
      <c r="BG8" s="915">
        <f>+BG7/BG3</f>
        <v>0.26694447767542639</v>
      </c>
      <c r="BH8" s="915"/>
      <c r="BI8" s="916"/>
      <c r="BJ8" s="915">
        <f t="shared" ref="BJ8:CO8" si="23">+BJ7/BJ3</f>
        <v>0.3640817851344168</v>
      </c>
      <c r="BK8" s="915">
        <f t="shared" si="23"/>
        <v>0.1740488753124132</v>
      </c>
      <c r="BL8" s="916">
        <f t="shared" si="23"/>
        <v>0.2674396435456195</v>
      </c>
      <c r="BM8" s="915">
        <f t="shared" si="23"/>
        <v>0.34131693023030529</v>
      </c>
      <c r="BN8" s="915">
        <f t="shared" si="23"/>
        <v>0.28621717792746226</v>
      </c>
      <c r="BO8" s="916">
        <f t="shared" si="23"/>
        <v>0.3122968999845257</v>
      </c>
      <c r="BP8" s="915">
        <f t="shared" si="23"/>
        <v>0.35162623161344919</v>
      </c>
      <c r="BQ8" s="915">
        <f t="shared" si="23"/>
        <v>0.22742851757147922</v>
      </c>
      <c r="BR8" s="916">
        <f t="shared" si="23"/>
        <v>0.28565426966789009</v>
      </c>
      <c r="BS8" s="915">
        <f t="shared" si="23"/>
        <v>0.31326677782604684</v>
      </c>
      <c r="BT8" s="915">
        <f t="shared" si="23"/>
        <v>0.30899636239253525</v>
      </c>
      <c r="BU8" s="915">
        <f t="shared" si="23"/>
        <v>0.31110203978775897</v>
      </c>
      <c r="BV8" s="915">
        <f t="shared" si="23"/>
        <v>0.30810024014745507</v>
      </c>
      <c r="BW8" s="915">
        <f t="shared" si="23"/>
        <v>0.31069037573509029</v>
      </c>
      <c r="BX8" s="915">
        <f t="shared" si="23"/>
        <v>0.3094105859933346</v>
      </c>
      <c r="BY8" s="915">
        <f t="shared" si="23"/>
        <v>0.29282359936589175</v>
      </c>
      <c r="BZ8" s="915">
        <f t="shared" si="23"/>
        <v>0.28860522517599435</v>
      </c>
      <c r="CA8" s="915">
        <f t="shared" si="23"/>
        <v>0.29075844048945709</v>
      </c>
      <c r="CB8" s="915">
        <f t="shared" si="23"/>
        <v>0.31087062643502017</v>
      </c>
      <c r="CC8" s="915">
        <f t="shared" si="23"/>
        <v>0.31512737806553826</v>
      </c>
      <c r="CD8" s="915">
        <f t="shared" si="23"/>
        <v>0.3131233146767945</v>
      </c>
      <c r="CE8" s="915">
        <f t="shared" si="23"/>
        <v>0.33092080986877925</v>
      </c>
      <c r="CF8" s="915">
        <f t="shared" si="23"/>
        <v>0.29994522691283115</v>
      </c>
      <c r="CG8" s="915">
        <f t="shared" si="23"/>
        <v>0.31431580938767667</v>
      </c>
      <c r="CH8" s="915">
        <f t="shared" si="23"/>
        <v>0.29748555006112798</v>
      </c>
      <c r="CI8" s="915">
        <f t="shared" si="23"/>
        <v>0.29094463022892048</v>
      </c>
      <c r="CJ8" s="915">
        <f t="shared" si="23"/>
        <v>0.29420217628193351</v>
      </c>
      <c r="CK8" s="915">
        <f t="shared" si="23"/>
        <v>0.29202241287925002</v>
      </c>
      <c r="CL8" s="915">
        <f t="shared" si="23"/>
        <v>0.21496198985278087</v>
      </c>
      <c r="CM8" s="915">
        <f t="shared" si="23"/>
        <v>0.25519867229474641</v>
      </c>
      <c r="CN8" s="915">
        <f t="shared" si="23"/>
        <v>0.1495466695068069</v>
      </c>
      <c r="CO8" s="915">
        <f t="shared" si="23"/>
        <v>0.2491084153683803</v>
      </c>
      <c r="CP8" s="915">
        <f t="shared" ref="CP8:DH8" si="24">+CP7/CP3</f>
        <v>0.20330551460786261</v>
      </c>
      <c r="CQ8" s="915">
        <f t="shared" si="24"/>
        <v>0.22908057303108237</v>
      </c>
      <c r="CR8" s="915">
        <f t="shared" si="24"/>
        <v>0.2175789649096074</v>
      </c>
      <c r="CS8" s="915">
        <f t="shared" si="24"/>
        <v>0.22302582961077932</v>
      </c>
      <c r="CT8" s="915">
        <f t="shared" si="24"/>
        <v>0.27106752109317123</v>
      </c>
      <c r="CU8" s="915">
        <f t="shared" si="24"/>
        <v>0.23264847715491807</v>
      </c>
      <c r="CV8" s="915">
        <f t="shared" si="24"/>
        <v>0.25164184015971136</v>
      </c>
      <c r="CW8" s="915">
        <f t="shared" si="24"/>
        <v>0.25666981985935566</v>
      </c>
      <c r="CX8" s="915">
        <f t="shared" si="24"/>
        <v>0.2470700647081959</v>
      </c>
      <c r="CY8" s="915">
        <f t="shared" si="24"/>
        <v>0.25173362769137736</v>
      </c>
      <c r="CZ8" s="915">
        <f t="shared" si="24"/>
        <v>0.25107367303502687</v>
      </c>
      <c r="DA8" s="915">
        <f t="shared" si="24"/>
        <v>0.26284165476778709</v>
      </c>
      <c r="DB8" s="915">
        <f t="shared" si="24"/>
        <v>0.25724384589653521</v>
      </c>
      <c r="DC8" s="915">
        <f t="shared" si="24"/>
        <v>0.25450154408500708</v>
      </c>
      <c r="DD8" s="915">
        <f t="shared" si="24"/>
        <v>0.24728116415373846</v>
      </c>
      <c r="DE8" s="915">
        <f t="shared" si="24"/>
        <v>0.25083788824556574</v>
      </c>
      <c r="DF8" s="915">
        <f t="shared" si="24"/>
        <v>0.24084165410307837</v>
      </c>
      <c r="DG8" s="915">
        <f t="shared" si="24"/>
        <v>5.1130952405083474E-2</v>
      </c>
      <c r="DH8" s="1061">
        <f t="shared" si="24"/>
        <v>0.15891395134128386</v>
      </c>
      <c r="DI8" s="266">
        <f>+DI7/DI4</f>
        <v>0.23640280021540108</v>
      </c>
      <c r="DJ8" s="266">
        <f t="shared" ref="DJ8:ER8" si="25">+DJ7/DJ4</f>
        <v>0.20599600266489007</v>
      </c>
      <c r="DK8" s="1183">
        <f t="shared" si="25"/>
        <v>0.22112100716533847</v>
      </c>
      <c r="DL8" s="266">
        <f t="shared" si="25"/>
        <v>0.27327364160431722</v>
      </c>
      <c r="DM8" s="266">
        <f t="shared" si="25"/>
        <v>0.2197868733349479</v>
      </c>
      <c r="DN8" s="1183">
        <f t="shared" si="25"/>
        <v>0.24635914935104494</v>
      </c>
      <c r="DO8" s="266">
        <f t="shared" si="25"/>
        <v>0.22750196122380373</v>
      </c>
      <c r="DP8" s="266">
        <f t="shared" si="25"/>
        <v>0.21779198796313698</v>
      </c>
      <c r="DQ8" s="1183">
        <f t="shared" si="25"/>
        <v>0.22222222222222218</v>
      </c>
      <c r="DR8" s="266">
        <f t="shared" si="25"/>
        <v>0.24447637865996055</v>
      </c>
      <c r="DS8" s="266">
        <f t="shared" si="25"/>
        <v>0.22964709993011853</v>
      </c>
      <c r="DT8" s="1183">
        <f t="shared" si="25"/>
        <v>0.23695863962447961</v>
      </c>
      <c r="DU8" s="83">
        <f t="shared" si="25"/>
        <v>0.24506368065646647</v>
      </c>
      <c r="DV8" s="83">
        <f t="shared" si="25"/>
        <v>0.22539843157095879</v>
      </c>
      <c r="DW8" s="1183">
        <f t="shared" si="25"/>
        <v>0.23516427540538254</v>
      </c>
      <c r="DX8" s="83">
        <f t="shared" ref="DX8" si="26">+DX7/DX4</f>
        <v>0.21666666666666662</v>
      </c>
      <c r="DY8" s="266">
        <f t="shared" si="25"/>
        <v>0.22086727185181229</v>
      </c>
      <c r="DZ8" s="1183">
        <f t="shared" si="25"/>
        <v>0.21890181549295726</v>
      </c>
      <c r="EA8" s="266">
        <f t="shared" si="25"/>
        <v>0.22726594838216149</v>
      </c>
      <c r="EB8" s="266">
        <f t="shared" si="25"/>
        <v>0.22715393670223005</v>
      </c>
      <c r="EC8" s="1183">
        <f t="shared" si="25"/>
        <v>0.22720908975318449</v>
      </c>
      <c r="ED8" s="266">
        <f t="shared" si="25"/>
        <v>0.23353182982173157</v>
      </c>
      <c r="EE8" s="266">
        <f t="shared" si="25"/>
        <v>0.23353182982173151</v>
      </c>
      <c r="EF8" s="1183">
        <f t="shared" si="25"/>
        <v>0.23353182982173151</v>
      </c>
      <c r="EG8" s="266">
        <f t="shared" si="25"/>
        <v>0.23753182982173146</v>
      </c>
      <c r="EH8" s="266">
        <f t="shared" si="25"/>
        <v>0.23753182982173152</v>
      </c>
      <c r="EI8" s="1183">
        <f t="shared" si="25"/>
        <v>0.23753182982173149</v>
      </c>
      <c r="EJ8" s="266">
        <f t="shared" si="25"/>
        <v>0.24003182982173157</v>
      </c>
      <c r="EK8" s="266">
        <f t="shared" si="25"/>
        <v>0.24003182982173155</v>
      </c>
      <c r="EL8" s="1183">
        <f t="shared" si="25"/>
        <v>0.24003182982173157</v>
      </c>
      <c r="EM8" s="266">
        <f t="shared" si="25"/>
        <v>0.24103182982173155</v>
      </c>
      <c r="EN8" s="266">
        <f t="shared" si="25"/>
        <v>0.24103182982173146</v>
      </c>
      <c r="EO8" s="1183">
        <f t="shared" si="25"/>
        <v>0.24103182982173149</v>
      </c>
      <c r="EP8" s="266">
        <f t="shared" si="25"/>
        <v>0.24103182982173152</v>
      </c>
      <c r="EQ8" s="266">
        <f t="shared" si="25"/>
        <v>0.24103182982173152</v>
      </c>
      <c r="ER8" s="1183">
        <f t="shared" si="25"/>
        <v>0.24103182982173152</v>
      </c>
      <c r="ES8" s="266">
        <f t="shared" ref="ES8:EX8" si="27">+ES7/ES4</f>
        <v>0.24103182982173155</v>
      </c>
      <c r="ET8" s="266">
        <f t="shared" si="27"/>
        <v>0.24103182982173149</v>
      </c>
      <c r="EU8" s="1183">
        <f t="shared" si="27"/>
        <v>0.24103182982173152</v>
      </c>
      <c r="EV8" s="266">
        <f t="shared" si="27"/>
        <v>0.24103182982173149</v>
      </c>
      <c r="EW8" s="266">
        <f t="shared" si="27"/>
        <v>0.24103182982173157</v>
      </c>
      <c r="EX8" s="1183">
        <f t="shared" si="27"/>
        <v>0.24103182982173152</v>
      </c>
      <c r="EY8" s="266">
        <f t="shared" ref="EY8:FA8" si="28">+EY7/EY4</f>
        <v>0.24103182982173149</v>
      </c>
      <c r="EZ8" s="266">
        <f t="shared" si="28"/>
        <v>0.24103182982173149</v>
      </c>
      <c r="FA8" s="1183">
        <f t="shared" si="28"/>
        <v>0.24103182982173146</v>
      </c>
      <c r="FB8" s="172"/>
      <c r="FC8" s="172"/>
      <c r="FD8" s="172"/>
      <c r="FE8" s="172"/>
      <c r="FF8" s="172"/>
      <c r="FG8" s="172"/>
      <c r="FH8" s="172"/>
      <c r="FI8" s="172"/>
      <c r="FJ8" s="172"/>
      <c r="FK8" s="35"/>
      <c r="FO8" s="35"/>
      <c r="FP8" s="261"/>
      <c r="FQ8" s="65"/>
    </row>
    <row r="9" spans="1:173" s="321" customFormat="1" ht="13.35" customHeight="1" outlineLevel="1" thickBot="1">
      <c r="A9" s="1168"/>
      <c r="B9" s="186"/>
      <c r="C9" s="186"/>
      <c r="D9" s="910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72"/>
      <c r="R9" s="172"/>
      <c r="S9" s="172"/>
      <c r="T9" s="172"/>
      <c r="U9" s="172"/>
      <c r="V9" s="172"/>
      <c r="W9" s="172"/>
      <c r="X9" s="172"/>
      <c r="Y9" s="172"/>
      <c r="Z9" s="172"/>
      <c r="AA9" s="172"/>
      <c r="AB9" s="172"/>
      <c r="AC9" s="172"/>
      <c r="AD9" s="172"/>
      <c r="AE9" s="172"/>
      <c r="AF9" s="172"/>
      <c r="AG9" s="172"/>
      <c r="AH9" s="172"/>
      <c r="AI9" s="172"/>
      <c r="AJ9" s="172"/>
      <c r="AK9" s="172"/>
      <c r="AL9" s="172"/>
      <c r="AM9" s="172"/>
      <c r="AN9" s="172"/>
      <c r="AO9" s="172"/>
      <c r="AP9" s="172"/>
      <c r="AQ9" s="172"/>
      <c r="AR9" s="172"/>
      <c r="AS9" s="172"/>
      <c r="AT9" s="172"/>
      <c r="AU9" s="172"/>
      <c r="AV9" s="172"/>
      <c r="AW9" s="172"/>
      <c r="AX9" s="172"/>
      <c r="AY9" s="172"/>
      <c r="AZ9" s="172"/>
      <c r="BA9" s="172"/>
      <c r="BB9" s="172"/>
      <c r="BC9" s="917"/>
      <c r="BD9" s="172"/>
      <c r="BE9" s="172"/>
      <c r="BF9" s="917"/>
      <c r="BG9" s="172"/>
      <c r="BH9" s="172"/>
      <c r="BI9" s="917"/>
      <c r="BJ9" s="172"/>
      <c r="BK9" s="172"/>
      <c r="BL9" s="917"/>
      <c r="BM9" s="172"/>
      <c r="BN9" s="172"/>
      <c r="BO9" s="917"/>
      <c r="BP9" s="172"/>
      <c r="BQ9" s="172"/>
      <c r="BR9" s="917"/>
      <c r="BS9" s="172"/>
      <c r="BT9" s="172"/>
      <c r="BU9" s="172"/>
      <c r="BV9" s="172"/>
      <c r="BW9" s="172"/>
      <c r="BX9" s="172"/>
      <c r="BY9" s="172"/>
      <c r="BZ9" s="172"/>
      <c r="CA9" s="172"/>
      <c r="CB9" s="172"/>
      <c r="CC9" s="172"/>
      <c r="CD9" s="172"/>
      <c r="CE9" s="172"/>
      <c r="CF9" s="172"/>
      <c r="CG9" s="172"/>
      <c r="CH9" s="172"/>
      <c r="CI9" s="172"/>
      <c r="CJ9" s="172"/>
      <c r="CK9" s="172"/>
      <c r="CL9" s="172"/>
      <c r="CM9" s="172"/>
      <c r="CN9" s="172"/>
      <c r="CO9" s="172"/>
      <c r="CP9" s="172"/>
      <c r="CQ9" s="172"/>
      <c r="CR9" s="172"/>
      <c r="CS9" s="172"/>
      <c r="CT9" s="172"/>
      <c r="CU9" s="172"/>
      <c r="CV9" s="172"/>
      <c r="CW9" s="172"/>
      <c r="CX9" s="172"/>
      <c r="CY9" s="172"/>
      <c r="CZ9" s="172"/>
      <c r="DA9" s="172"/>
      <c r="DB9" s="172"/>
      <c r="DC9" s="304"/>
      <c r="DD9" s="304"/>
      <c r="DE9" s="172"/>
      <c r="DF9" s="172"/>
      <c r="DG9" s="172"/>
      <c r="DH9" s="1062"/>
      <c r="DI9" s="172"/>
      <c r="DJ9" s="172"/>
      <c r="DK9" s="1062"/>
      <c r="DL9" s="172"/>
      <c r="DM9" s="172"/>
      <c r="DN9" s="1062"/>
      <c r="DO9" s="172"/>
      <c r="DP9" s="172"/>
      <c r="DQ9" s="1062"/>
      <c r="DR9" s="172"/>
      <c r="DS9" s="172"/>
      <c r="DT9" s="1062"/>
      <c r="DU9" s="172"/>
      <c r="DV9" s="172"/>
      <c r="DW9" s="1062"/>
      <c r="DX9" s="172"/>
      <c r="DY9" s="172"/>
      <c r="DZ9" s="1062"/>
      <c r="EA9" s="172"/>
      <c r="EB9" s="172"/>
      <c r="EC9" s="1062"/>
      <c r="ED9" s="172"/>
      <c r="EE9" s="172"/>
      <c r="EF9" s="1062"/>
      <c r="EG9" s="172"/>
      <c r="EH9" s="172"/>
      <c r="EI9" s="1062"/>
      <c r="EJ9" s="172"/>
      <c r="EK9" s="172"/>
      <c r="EL9" s="1062"/>
      <c r="EM9" s="172"/>
      <c r="EN9" s="172"/>
      <c r="EO9" s="1062"/>
      <c r="EP9" s="172"/>
      <c r="EQ9" s="172"/>
      <c r="ER9" s="1062"/>
      <c r="ES9" s="172"/>
      <c r="ET9" s="172"/>
      <c r="EU9" s="1062"/>
      <c r="EV9" s="172"/>
      <c r="EW9" s="172"/>
      <c r="EX9" s="1062"/>
      <c r="EY9" s="172"/>
      <c r="EZ9" s="172"/>
      <c r="FA9" s="1062"/>
      <c r="FB9" s="172"/>
      <c r="FC9" s="172"/>
      <c r="FD9" s="172"/>
      <c r="FE9" s="172"/>
      <c r="FF9" s="172"/>
      <c r="FG9" s="172"/>
      <c r="FH9" s="172"/>
      <c r="FI9" s="172"/>
      <c r="FJ9" s="172"/>
      <c r="FK9" s="35"/>
      <c r="FL9" s="918"/>
      <c r="FM9" s="918"/>
      <c r="FN9" s="918"/>
      <c r="FO9" s="35"/>
      <c r="FP9" s="35"/>
      <c r="FQ9" s="35"/>
    </row>
    <row r="10" spans="1:173" s="321" customFormat="1" ht="13.35" customHeight="1" outlineLevel="1">
      <c r="A10" s="1168"/>
      <c r="B10" s="186" t="s">
        <v>624</v>
      </c>
      <c r="C10" s="186"/>
      <c r="D10" s="910"/>
      <c r="E10" s="919"/>
      <c r="F10" s="919"/>
      <c r="G10" s="919"/>
      <c r="H10" s="919"/>
      <c r="I10" s="919"/>
      <c r="J10" s="919"/>
      <c r="K10" s="919"/>
      <c r="L10" s="919"/>
      <c r="M10" s="919"/>
      <c r="N10" s="919"/>
      <c r="O10" s="919"/>
      <c r="P10" s="919"/>
      <c r="Q10" s="919"/>
      <c r="R10" s="919"/>
      <c r="S10" s="919"/>
      <c r="T10" s="919"/>
      <c r="U10" s="919"/>
      <c r="V10" s="919"/>
      <c r="W10" s="919"/>
      <c r="X10" s="919"/>
      <c r="Y10" s="919"/>
      <c r="Z10" s="919"/>
      <c r="AA10" s="919"/>
      <c r="AB10" s="919"/>
      <c r="AC10" s="919"/>
      <c r="AD10" s="919"/>
      <c r="AE10" s="919"/>
      <c r="AF10" s="919"/>
      <c r="AG10" s="919"/>
      <c r="AH10" s="919"/>
      <c r="AI10" s="919"/>
      <c r="AJ10" s="919"/>
      <c r="AK10" s="919"/>
      <c r="AL10" s="919"/>
      <c r="AM10" s="919"/>
      <c r="AN10" s="919"/>
      <c r="AO10" s="919"/>
      <c r="AP10" s="919"/>
      <c r="AQ10" s="919"/>
      <c r="AR10" s="919"/>
      <c r="AS10" s="919"/>
      <c r="AT10" s="919"/>
      <c r="AU10" s="919"/>
      <c r="AV10" s="919"/>
      <c r="AW10" s="919"/>
      <c r="AX10" s="919"/>
      <c r="AY10" s="919"/>
      <c r="AZ10" s="919"/>
      <c r="BA10" s="919"/>
      <c r="BB10" s="919"/>
      <c r="BC10" s="920"/>
      <c r="BD10" s="919"/>
      <c r="BE10" s="919"/>
      <c r="BF10" s="920"/>
      <c r="BG10" s="919"/>
      <c r="BH10" s="919"/>
      <c r="BI10" s="920"/>
      <c r="BJ10" s="919"/>
      <c r="BK10" s="919"/>
      <c r="BL10" s="920"/>
      <c r="BM10" s="919"/>
      <c r="BN10" s="919"/>
      <c r="BO10" s="920"/>
      <c r="BP10" s="919"/>
      <c r="BQ10" s="919"/>
      <c r="BR10" s="920"/>
      <c r="BS10" s="919"/>
      <c r="BT10" s="919"/>
      <c r="BU10" s="919"/>
      <c r="BV10" s="919"/>
      <c r="BW10" s="919"/>
      <c r="BX10" s="919"/>
      <c r="BY10" s="919"/>
      <c r="BZ10" s="919"/>
      <c r="CA10" s="919"/>
      <c r="CB10" s="919"/>
      <c r="CC10" s="919"/>
      <c r="CD10" s="919"/>
      <c r="CE10" s="919"/>
      <c r="CF10" s="919"/>
      <c r="CG10" s="919"/>
      <c r="CH10" s="919"/>
      <c r="CI10" s="919"/>
      <c r="CJ10" s="919"/>
      <c r="CK10" s="919"/>
      <c r="CL10" s="919"/>
      <c r="CM10" s="919"/>
      <c r="CN10" s="919"/>
      <c r="CO10" s="919"/>
      <c r="CP10" s="919"/>
      <c r="CQ10" s="919"/>
      <c r="CR10" s="919"/>
      <c r="CS10" s="919"/>
      <c r="CT10" s="919"/>
      <c r="CU10" s="919"/>
      <c r="CV10" s="919"/>
      <c r="CW10" s="919"/>
      <c r="CX10" s="919"/>
      <c r="CY10" s="919"/>
      <c r="CZ10" s="919"/>
      <c r="DA10" s="919"/>
      <c r="DB10" s="919"/>
      <c r="DC10" s="919"/>
      <c r="DD10" s="919"/>
      <c r="DE10" s="919"/>
      <c r="DF10" s="919"/>
      <c r="DG10" s="919"/>
      <c r="DH10" s="1063"/>
      <c r="DI10" s="919"/>
      <c r="DJ10" s="919"/>
      <c r="DK10" s="1063"/>
      <c r="DL10" s="919"/>
      <c r="DM10" s="919"/>
      <c r="DN10" s="1063"/>
      <c r="DO10" s="919"/>
      <c r="DP10" s="919"/>
      <c r="DQ10" s="1063"/>
      <c r="DR10" s="919"/>
      <c r="DS10" s="919"/>
      <c r="DT10" s="1063"/>
      <c r="DU10" s="919"/>
      <c r="DV10" s="919"/>
      <c r="DW10" s="1063"/>
      <c r="DX10" s="919"/>
      <c r="DY10" s="919"/>
      <c r="DZ10" s="1063"/>
      <c r="EA10" s="919"/>
      <c r="EB10" s="919"/>
      <c r="EC10" s="1063"/>
      <c r="ED10" s="919"/>
      <c r="EE10" s="919"/>
      <c r="EF10" s="1063"/>
      <c r="EG10" s="919"/>
      <c r="EH10" s="919"/>
      <c r="EI10" s="1063"/>
      <c r="EJ10" s="919"/>
      <c r="EK10" s="919"/>
      <c r="EL10" s="1063"/>
      <c r="EM10" s="919"/>
      <c r="EN10" s="919"/>
      <c r="EO10" s="1063"/>
      <c r="EP10" s="919"/>
      <c r="EQ10" s="919"/>
      <c r="ER10" s="1063"/>
      <c r="ES10" s="919"/>
      <c r="ET10" s="919"/>
      <c r="EU10" s="1063"/>
      <c r="EV10" s="919"/>
      <c r="EW10" s="919"/>
      <c r="EX10" s="1063"/>
      <c r="EY10" s="919"/>
      <c r="EZ10" s="919"/>
      <c r="FA10" s="1063"/>
      <c r="FB10" s="172"/>
      <c r="FC10" s="172"/>
      <c r="FD10" s="172"/>
      <c r="FE10" s="172"/>
      <c r="FF10" s="172"/>
      <c r="FG10" s="172"/>
      <c r="FH10" s="172"/>
      <c r="FI10" s="172"/>
      <c r="FJ10" s="172"/>
      <c r="FK10" s="35"/>
      <c r="FL10" s="918"/>
      <c r="FO10" s="70"/>
      <c r="FP10" s="70"/>
      <c r="FQ10" s="70"/>
    </row>
    <row r="11" spans="1:173" s="321" customFormat="1" ht="13.35" customHeight="1" outlineLevel="1">
      <c r="A11" s="1168"/>
      <c r="B11" s="186" t="s">
        <v>114</v>
      </c>
      <c r="C11" s="186"/>
      <c r="D11" s="910"/>
      <c r="E11" s="921">
        <f>+E3-Model!E30</f>
        <v>0</v>
      </c>
      <c r="F11" s="921"/>
      <c r="G11" s="921"/>
      <c r="H11" s="921"/>
      <c r="I11" s="921"/>
      <c r="J11" s="921"/>
      <c r="K11" s="921"/>
      <c r="L11" s="921"/>
      <c r="M11" s="921"/>
      <c r="N11" s="921"/>
      <c r="O11" s="921"/>
      <c r="P11" s="921"/>
      <c r="Q11" s="921"/>
      <c r="R11" s="921"/>
      <c r="S11" s="921"/>
      <c r="T11" s="921"/>
      <c r="U11" s="921"/>
      <c r="V11" s="921"/>
      <c r="W11" s="921"/>
      <c r="X11" s="921"/>
      <c r="Y11" s="921"/>
      <c r="Z11" s="921"/>
      <c r="AA11" s="921"/>
      <c r="AB11" s="921"/>
      <c r="AC11" s="921"/>
      <c r="AD11" s="921"/>
      <c r="AE11" s="921"/>
      <c r="AF11" s="921"/>
      <c r="AG11" s="921"/>
      <c r="AH11" s="921"/>
      <c r="AI11" s="921"/>
      <c r="AJ11" s="921"/>
      <c r="AK11" s="921"/>
      <c r="AL11" s="921"/>
      <c r="AM11" s="921"/>
      <c r="AN11" s="921"/>
      <c r="AO11" s="921"/>
      <c r="AP11" s="921"/>
      <c r="AQ11" s="921"/>
      <c r="AR11" s="921"/>
      <c r="AS11" s="921"/>
      <c r="AT11" s="921"/>
      <c r="AU11" s="921"/>
      <c r="AV11" s="921"/>
      <c r="AW11" s="921"/>
      <c r="AX11" s="921"/>
      <c r="AY11" s="921"/>
      <c r="AZ11" s="921"/>
      <c r="BA11" s="921"/>
      <c r="BB11" s="921"/>
      <c r="BC11" s="922"/>
      <c r="BD11" s="921">
        <f>+BD3-Model!BD30</f>
        <v>0</v>
      </c>
      <c r="BE11" s="921">
        <f>+BE3-Model!BE30</f>
        <v>10.519135302513718</v>
      </c>
      <c r="BF11" s="922">
        <f>+BF3-Model!BF30</f>
        <v>10.519135302513746</v>
      </c>
      <c r="BG11" s="921">
        <f>+BG3-Model!BG30</f>
        <v>3.8369999999999891</v>
      </c>
      <c r="BH11" s="921"/>
      <c r="BI11" s="922"/>
      <c r="BJ11" s="921">
        <f>+BJ3-Model!BJ30</f>
        <v>17.355999999999995</v>
      </c>
      <c r="BK11" s="921">
        <f>+BK3-Model!BK30</f>
        <v>15.89700000000002</v>
      </c>
      <c r="BL11" s="922">
        <f>+BL3-Model!BL30</f>
        <v>33.253000000000043</v>
      </c>
      <c r="BM11" s="921">
        <f>+BM3-Model!BM30</f>
        <v>0</v>
      </c>
      <c r="BN11" s="921">
        <f>+BN3-Model!BN30</f>
        <v>0</v>
      </c>
      <c r="BO11" s="922">
        <f>+BO3-Model!BO30</f>
        <v>0</v>
      </c>
      <c r="BP11" s="921">
        <f>+BP3-Model!BP30</f>
        <v>0</v>
      </c>
      <c r="BQ11" s="921">
        <f>+BQ3-Model!BQ30</f>
        <v>0</v>
      </c>
      <c r="BR11" s="922">
        <f>+BR3-Model!BR30</f>
        <v>0</v>
      </c>
      <c r="BS11" s="921">
        <f>+BS3-Model!BS30</f>
        <v>0</v>
      </c>
      <c r="BT11" s="921">
        <f>+BT3-Model!BT30</f>
        <v>0</v>
      </c>
      <c r="BU11" s="921">
        <f>+BU3-Model!BU30</f>
        <v>0</v>
      </c>
      <c r="BV11" s="921">
        <f>+BV3-Model!BV30</f>
        <v>0</v>
      </c>
      <c r="BW11" s="921">
        <f>+BW3-Model!BW30</f>
        <v>0</v>
      </c>
      <c r="BX11" s="921">
        <f>+BX3-Model!BX30</f>
        <v>0</v>
      </c>
      <c r="BY11" s="921">
        <f>+BY3-Model!BY30</f>
        <v>0</v>
      </c>
      <c r="BZ11" s="921">
        <f>+BZ3-Model!BZ30</f>
        <v>0</v>
      </c>
      <c r="CA11" s="921">
        <f>+CA3-Model!CA30</f>
        <v>0</v>
      </c>
      <c r="CB11" s="921">
        <f>+CB3-Model!CB30</f>
        <v>0</v>
      </c>
      <c r="CC11" s="921">
        <f>+CC3-Model!CC30</f>
        <v>0</v>
      </c>
      <c r="CD11" s="921">
        <f>+CD3-Model!CD30</f>
        <v>0</v>
      </c>
      <c r="CE11" s="921">
        <f>+CE3-Model!CE30</f>
        <v>0</v>
      </c>
      <c r="CF11" s="921">
        <f>+CF3-Model!CF30</f>
        <v>0</v>
      </c>
      <c r="CG11" s="921">
        <f>+CG3-Model!CG30</f>
        <v>0</v>
      </c>
      <c r="CH11" s="921">
        <f>+CH3-Model!CH30</f>
        <v>0</v>
      </c>
      <c r="CI11" s="921">
        <f>+CI3-Model!CI30</f>
        <v>0</v>
      </c>
      <c r="CJ11" s="921">
        <f>+CJ3-Model!CJ30</f>
        <v>0</v>
      </c>
      <c r="CK11" s="921">
        <f>+CK3-Model!CK30</f>
        <v>0</v>
      </c>
      <c r="CL11" s="921">
        <f>+CL3-Model!CL30</f>
        <v>0</v>
      </c>
      <c r="CM11" s="921">
        <f>+CM3-Model!CM30</f>
        <v>0</v>
      </c>
      <c r="CN11" s="921">
        <f>+CN3-Model!CN30</f>
        <v>0</v>
      </c>
      <c r="CO11" s="921">
        <f>+CO3-Model!CO30</f>
        <v>0</v>
      </c>
      <c r="CP11" s="921">
        <f>+CP3-Model!CP30</f>
        <v>0</v>
      </c>
      <c r="CQ11" s="921">
        <f>+CQ3-Model!CQ30</f>
        <v>0</v>
      </c>
      <c r="CR11" s="921">
        <f>+CR3-Model!CR30</f>
        <v>0</v>
      </c>
      <c r="CS11" s="921">
        <f>+CS3-Model!CS30</f>
        <v>0</v>
      </c>
      <c r="CT11" s="921">
        <f>+CT3-Model!CT30</f>
        <v>0</v>
      </c>
      <c r="CU11" s="921">
        <f>+CU3-Model!CU30</f>
        <v>0</v>
      </c>
      <c r="CV11" s="921">
        <f>+CV3-Model!CV30</f>
        <v>0</v>
      </c>
      <c r="CW11" s="921">
        <f>+CW3-Model!CW30</f>
        <v>0</v>
      </c>
      <c r="CX11" s="921">
        <f>+CX3-Model!CX30</f>
        <v>0</v>
      </c>
      <c r="CY11" s="921">
        <f>+CY3-Model!CY30</f>
        <v>0</v>
      </c>
      <c r="CZ11" s="921">
        <f>+CZ3-Model!CZ30</f>
        <v>0</v>
      </c>
      <c r="DA11" s="921">
        <f>+DA3-Model!DA30</f>
        <v>0</v>
      </c>
      <c r="DB11" s="921">
        <f>+DB3-Model!DB30</f>
        <v>0</v>
      </c>
      <c r="DC11" s="921">
        <f>+DC3-Model!DC30</f>
        <v>0</v>
      </c>
      <c r="DD11" s="921">
        <f>+DD3-Model!DD30</f>
        <v>0</v>
      </c>
      <c r="DE11" s="921">
        <f>+DE3-Model!DE30</f>
        <v>0</v>
      </c>
      <c r="DF11" s="921">
        <f>+DF3-Model!DF30</f>
        <v>0</v>
      </c>
      <c r="DG11" s="921">
        <f>+DG3-Model!DG30</f>
        <v>0</v>
      </c>
      <c r="DH11" s="1105">
        <f>+DH3-Model!DH30</f>
        <v>0</v>
      </c>
      <c r="DI11" s="921">
        <f>+DI3-Model!DI30</f>
        <v>0</v>
      </c>
      <c r="DJ11" s="921">
        <f>+DJ3-Model!DJ30</f>
        <v>0</v>
      </c>
      <c r="DK11" s="1105">
        <f>+DK3-Model!DK30</f>
        <v>0</v>
      </c>
      <c r="DL11" s="1057">
        <f>+DL3-Model!DL30</f>
        <v>0</v>
      </c>
      <c r="DM11" s="1057">
        <f>+DM3-Model!DM30</f>
        <v>0</v>
      </c>
      <c r="DN11" s="1105">
        <f>+DN3-Model!DN30</f>
        <v>0</v>
      </c>
      <c r="DO11" s="1057">
        <f>+DO3-Model!DO30</f>
        <v>0</v>
      </c>
      <c r="DP11" s="1057">
        <f>+DP3-Model!DP30</f>
        <v>0</v>
      </c>
      <c r="DQ11" s="1105">
        <f>+DQ3-Model!DQ30</f>
        <v>0</v>
      </c>
      <c r="DR11" s="1057">
        <f>+DR3-Model!DR30</f>
        <v>0</v>
      </c>
      <c r="DS11" s="1057">
        <f>+DS3-Model!DS30</f>
        <v>0</v>
      </c>
      <c r="DT11" s="1105">
        <f>+DT3-Model!DT30</f>
        <v>0</v>
      </c>
      <c r="DU11" s="1057">
        <f>+DU3-Model!DU30</f>
        <v>0</v>
      </c>
      <c r="DV11" s="1057">
        <f>+DV3-Model!DV30</f>
        <v>0</v>
      </c>
      <c r="DW11" s="1105">
        <f>+DW3-Model!DW30</f>
        <v>0</v>
      </c>
      <c r="DX11" s="1057">
        <f>+DX3-Model!DX30</f>
        <v>0</v>
      </c>
      <c r="DY11" s="1057">
        <f>+DY3-Model!DY30</f>
        <v>0</v>
      </c>
      <c r="DZ11" s="1105">
        <f>+DZ3-Model!DZ30</f>
        <v>0</v>
      </c>
      <c r="EA11" s="1057">
        <f>+EA3-Model!EA30</f>
        <v>0</v>
      </c>
      <c r="EB11" s="1057">
        <f>+EB3-Model!EB30</f>
        <v>0</v>
      </c>
      <c r="EC11" s="1105">
        <f>+EC3-Model!EC30</f>
        <v>0</v>
      </c>
      <c r="ED11" s="1057">
        <f>+ED3-Model!ED30</f>
        <v>0</v>
      </c>
      <c r="EE11" s="1057">
        <f>+EE3-Model!EE30</f>
        <v>0</v>
      </c>
      <c r="EF11" s="1105">
        <f>+EF3-Model!EF30</f>
        <v>0</v>
      </c>
      <c r="EG11" s="1057">
        <f>+EG3-Model!EG30</f>
        <v>0</v>
      </c>
      <c r="EH11" s="1057">
        <f>+EH3-Model!EH30</f>
        <v>0</v>
      </c>
      <c r="EI11" s="1105">
        <f>+EI3-Model!EI30</f>
        <v>0</v>
      </c>
      <c r="EJ11" s="1057">
        <f>+EJ3-Model!EJ30</f>
        <v>0</v>
      </c>
      <c r="EK11" s="1057">
        <f>+EK3-Model!EK30</f>
        <v>0</v>
      </c>
      <c r="EL11" s="1105">
        <f>+EL3-Model!EL30</f>
        <v>0</v>
      </c>
      <c r="EM11" s="1057">
        <f>+EM3-Model!EM30</f>
        <v>0</v>
      </c>
      <c r="EN11" s="1057">
        <f>+EN3-Model!EN30</f>
        <v>0</v>
      </c>
      <c r="EO11" s="1105">
        <f>+EO3-Model!EO30</f>
        <v>0</v>
      </c>
      <c r="EP11" s="1057">
        <f>+EP3-Model!EP30</f>
        <v>0</v>
      </c>
      <c r="EQ11" s="1057">
        <f>+EQ3-Model!EQ30</f>
        <v>0</v>
      </c>
      <c r="ER11" s="1105">
        <f>+ER3-Model!ER30</f>
        <v>0</v>
      </c>
      <c r="ES11" s="1057">
        <f>+ES3-Model!ES30</f>
        <v>0</v>
      </c>
      <c r="ET11" s="1057">
        <f>+ET3-Model!ET30</f>
        <v>0</v>
      </c>
      <c r="EU11" s="1105">
        <f>+EU3-Model!EU30</f>
        <v>0</v>
      </c>
      <c r="EV11" s="1057">
        <f>+EV3-Model!EV30</f>
        <v>0</v>
      </c>
      <c r="EW11" s="1057">
        <f>+EW3-Model!EW30</f>
        <v>0</v>
      </c>
      <c r="EX11" s="1105">
        <f>+EX3-Model!EX30</f>
        <v>0</v>
      </c>
      <c r="EY11" s="1057">
        <f>+EY3-Model!EY30</f>
        <v>0</v>
      </c>
      <c r="EZ11" s="1057">
        <f>+EZ3-Model!EZ30</f>
        <v>0</v>
      </c>
      <c r="FA11" s="1105">
        <f>+FA3-Model!FA30</f>
        <v>0</v>
      </c>
      <c r="FH11" s="35"/>
      <c r="FI11" s="35"/>
      <c r="FJ11" s="35"/>
      <c r="FK11" s="35"/>
      <c r="FO11" s="65"/>
      <c r="FP11" s="65"/>
      <c r="FQ11" s="65"/>
    </row>
    <row r="12" spans="1:173" s="321" customFormat="1" ht="13.35" customHeight="1" outlineLevel="1">
      <c r="A12" s="1168"/>
      <c r="B12" s="186" t="s">
        <v>461</v>
      </c>
      <c r="C12" s="186"/>
      <c r="D12" s="910"/>
      <c r="E12" s="923">
        <f>+E7-Model!E72</f>
        <v>0</v>
      </c>
      <c r="F12" s="923"/>
      <c r="G12" s="923"/>
      <c r="H12" s="923"/>
      <c r="I12" s="923"/>
      <c r="J12" s="923"/>
      <c r="K12" s="923"/>
      <c r="L12" s="923"/>
      <c r="M12" s="923"/>
      <c r="N12" s="923"/>
      <c r="O12" s="923"/>
      <c r="P12" s="923"/>
      <c r="Q12" s="923"/>
      <c r="R12" s="923"/>
      <c r="S12" s="923"/>
      <c r="T12" s="923"/>
      <c r="U12" s="923"/>
      <c r="V12" s="923"/>
      <c r="W12" s="923"/>
      <c r="X12" s="923"/>
      <c r="Y12" s="923"/>
      <c r="Z12" s="923"/>
      <c r="AA12" s="923"/>
      <c r="AB12" s="923"/>
      <c r="AC12" s="923"/>
      <c r="AD12" s="923"/>
      <c r="AE12" s="923"/>
      <c r="AF12" s="923"/>
      <c r="AG12" s="923"/>
      <c r="AH12" s="923"/>
      <c r="AI12" s="923"/>
      <c r="AJ12" s="923"/>
      <c r="AK12" s="923"/>
      <c r="AL12" s="923"/>
      <c r="AM12" s="923"/>
      <c r="AN12" s="923"/>
      <c r="AO12" s="923"/>
      <c r="AP12" s="923"/>
      <c r="AQ12" s="923"/>
      <c r="AR12" s="923"/>
      <c r="AS12" s="923"/>
      <c r="AT12" s="923">
        <f>+AT7-Model!AT72</f>
        <v>-17.476000000000003</v>
      </c>
      <c r="AU12" s="923">
        <f>+AU7-Model!AU72</f>
        <v>-9.1419999999999995</v>
      </c>
      <c r="AV12" s="923">
        <f>+AV7-Model!AV72</f>
        <v>-13.940999999999999</v>
      </c>
      <c r="AW12" s="923">
        <f>+AW7-Model!AW72</f>
        <v>-23.082999999999998</v>
      </c>
      <c r="AX12" s="923"/>
      <c r="AY12" s="923"/>
      <c r="AZ12" s="923"/>
      <c r="BA12" s="923"/>
      <c r="BB12" s="923"/>
      <c r="BC12" s="924"/>
      <c r="BD12" s="923">
        <f>+BD7-Model!BD72</f>
        <v>-5.3470000000000013</v>
      </c>
      <c r="BE12" s="923">
        <f>+BE7-Model!BE72</f>
        <v>-17.743000000000002</v>
      </c>
      <c r="BF12" s="924">
        <f>+BF7-Model!BF72</f>
        <v>-23.090000000000003</v>
      </c>
      <c r="BG12" s="923">
        <f>+BG7-Model!BG72</f>
        <v>3.8370000000000033</v>
      </c>
      <c r="BH12" s="923">
        <f>+BH7-Model!BH72</f>
        <v>-3.8360000000000127</v>
      </c>
      <c r="BI12" s="924">
        <f>+BI7-Model!BI72</f>
        <v>9.9999999999056399E-4</v>
      </c>
      <c r="BJ12" s="923">
        <f>+BJ7-Model!BJ72</f>
        <v>15.100000000000009</v>
      </c>
      <c r="BK12" s="923">
        <f>+BK7-Model!BK72</f>
        <v>15.186999999999991</v>
      </c>
      <c r="BL12" s="924">
        <f>+BL7-Model!BL72</f>
        <v>30.286999999999999</v>
      </c>
      <c r="BM12" s="923">
        <f>+BM7-Model!BM72</f>
        <v>15.912999999999997</v>
      </c>
      <c r="BN12" s="923">
        <f>+BN7-Model!BN72</f>
        <v>10.533000000000008</v>
      </c>
      <c r="BO12" s="924">
        <f>+BO7-Model!BO72</f>
        <v>26.445999999999998</v>
      </c>
      <c r="BP12" s="923">
        <f>+BP7-Model!BP72</f>
        <v>12.424000000000007</v>
      </c>
      <c r="BQ12" s="923">
        <f>+BQ7-Model!BQ72</f>
        <v>8.2689999999999912</v>
      </c>
      <c r="BR12" s="924">
        <f>+BR7-Model!BR72</f>
        <v>20.692999999999998</v>
      </c>
      <c r="BS12" s="923">
        <f>+BS7-Model!BS72</f>
        <v>6.671936759857573</v>
      </c>
      <c r="BT12" s="923">
        <f>+BT7-Model!BT72</f>
        <v>6.2169206638163672</v>
      </c>
      <c r="BU12" s="923">
        <f>+BU7-Model!BU72</f>
        <v>12.888857423673954</v>
      </c>
      <c r="BV12" s="923">
        <f>+BV7-Model!BV72</f>
        <v>3.200587279796153</v>
      </c>
      <c r="BW12" s="923">
        <f>+BW7-Model!BW72</f>
        <v>8.1289290857588981</v>
      </c>
      <c r="BX12" s="923">
        <f>+BX7-Model!BX72</f>
        <v>11.329516365555037</v>
      </c>
      <c r="BY12" s="923">
        <f>+BY7-Model!BY72</f>
        <v>9.9865700412777159</v>
      </c>
      <c r="BZ12" s="923">
        <f>+BZ7-Model!BZ72</f>
        <v>8.7759030941172682</v>
      </c>
      <c r="CA12" s="923">
        <f>+CA7-Model!CA72</f>
        <v>18.76247313539497</v>
      </c>
      <c r="CB12" s="923">
        <f>+CB7-Model!CB72</f>
        <v>-2.7563537449282194E-4</v>
      </c>
      <c r="CC12" s="923">
        <f>+CC7-Model!CC72</f>
        <v>1.3065000165406389</v>
      </c>
      <c r="CD12" s="923">
        <f>+CD7-Model!CD72</f>
        <v>1.306224381166146</v>
      </c>
      <c r="CE12" s="923">
        <f>+CE7-Model!CE72</f>
        <v>7.7005769241072528</v>
      </c>
      <c r="CF12" s="923">
        <f>+CF7-Model!CF72</f>
        <v>-2.1967014497887192</v>
      </c>
      <c r="CG12" s="923">
        <f>+CG7-Model!CG72</f>
        <v>5.5038754743185336</v>
      </c>
      <c r="CH12" s="923">
        <f>+CH7-Model!CH72</f>
        <v>2.9910404008540041</v>
      </c>
      <c r="CI12" s="923">
        <f>+CI7-Model!CI72</f>
        <v>3.4627009287946606</v>
      </c>
      <c r="CJ12" s="923">
        <f>+CJ7-Model!CJ72</f>
        <v>6.4537413296486648</v>
      </c>
      <c r="CK12" s="923">
        <f>+CK7-Model!CK72</f>
        <v>2.2257239674923142</v>
      </c>
      <c r="CL12" s="923">
        <f>+CL7-Model!CL72</f>
        <v>3.900226970198176</v>
      </c>
      <c r="CM12" s="923">
        <f>+CM7-Model!CM72</f>
        <v>6.1259509376905044</v>
      </c>
      <c r="CN12" s="923">
        <f>+CN7-Model!CN72</f>
        <v>3.7486917125044812</v>
      </c>
      <c r="CO12" s="923">
        <f>+CO7-Model!CO72</f>
        <v>3.7487948487265044</v>
      </c>
      <c r="CP12" s="923">
        <f>+CP7-Model!CP72</f>
        <v>7.4974865612309998</v>
      </c>
      <c r="CQ12" s="923">
        <f>+CQ7-Model!CQ72</f>
        <v>-3.9637179857791693E-2</v>
      </c>
      <c r="CR12" s="923">
        <f>+CR7-Model!CR72</f>
        <v>9.6650316653821733E-2</v>
      </c>
      <c r="CS12" s="923">
        <f>+CS7-Model!CS72</f>
        <v>5.7013136796030039E-2</v>
      </c>
      <c r="CT12" s="923">
        <f>+CT7-Model!CT72</f>
        <v>20.312669452800151</v>
      </c>
      <c r="CU12" s="923">
        <f>+CU7-Model!CU72</f>
        <v>1.1567634968615153</v>
      </c>
      <c r="CV12" s="923">
        <f>+CV7-Model!CV72</f>
        <v>21.469432949661666</v>
      </c>
      <c r="CW12" s="923">
        <f>+CW7-Model!CW72</f>
        <v>-5.4741581384803339E-2</v>
      </c>
      <c r="CX12" s="923">
        <f>+CX7-Model!CX72</f>
        <v>-6.3730457347901392E-3</v>
      </c>
      <c r="CY12" s="923">
        <f>+CY7-Model!CY72</f>
        <v>-6.1114627119593479E-2</v>
      </c>
      <c r="CZ12" s="923">
        <f>+CZ7-Model!CZ72</f>
        <v>0.10917590590554482</v>
      </c>
      <c r="DA12" s="923">
        <f>+DA7-Model!DA72</f>
        <v>-2.9254664444464424</v>
      </c>
      <c r="DB12" s="923">
        <f>+DB7-Model!DB72</f>
        <v>-2.8162905385408976</v>
      </c>
      <c r="DC12" s="923">
        <f>+DC7-Model!DC72</f>
        <v>1.4660278622488647</v>
      </c>
      <c r="DD12" s="923">
        <f>+DD7-Model!DD72</f>
        <v>-3.6833740262480319</v>
      </c>
      <c r="DE12" s="923">
        <f>+DE7-Model!DE72</f>
        <v>-2.2173461639991388</v>
      </c>
      <c r="DF12" s="923">
        <f>+DF7-Model!DF72</f>
        <v>-2.3822651311513425</v>
      </c>
      <c r="DG12" s="923">
        <f>+DG7-Model!DG72</f>
        <v>6.0452874071917506</v>
      </c>
      <c r="DH12" s="1113">
        <f>+DH7-Model!DH72</f>
        <v>3.6630222760404081</v>
      </c>
      <c r="DI12" s="1058">
        <f>+DI7-Model!DI72</f>
        <v>-0.40000000000009095</v>
      </c>
      <c r="DJ12" s="1058">
        <f>+DJ7-Model!DJ72</f>
        <v>-3.4999999999999716</v>
      </c>
      <c r="DK12" s="1113">
        <f>+DK7-Model!DK72</f>
        <v>-3.9000000000000341</v>
      </c>
      <c r="DL12" s="1058">
        <f>+DL7-Model!DL72</f>
        <v>-0.20000000000013074</v>
      </c>
      <c r="DM12" s="1058">
        <f>+DM7-Model!DM72</f>
        <v>0.19999999999996021</v>
      </c>
      <c r="DN12" s="1113">
        <f>+DN7-Model!DN72</f>
        <v>0</v>
      </c>
      <c r="DO12" s="1058">
        <f>+DO7-Model!DO72</f>
        <v>0</v>
      </c>
      <c r="DP12" s="1058">
        <f>+DP7-Model!DP72</f>
        <v>0</v>
      </c>
      <c r="DQ12" s="1113">
        <f>+DQ7-Model!DQ72</f>
        <v>0</v>
      </c>
      <c r="DR12" s="1058">
        <f>+DR7-Model!DR72</f>
        <v>0</v>
      </c>
      <c r="DS12" s="1058">
        <f>+DS7-Model!DS72</f>
        <v>0</v>
      </c>
      <c r="DT12" s="1113">
        <f>+DT7-Model!DT72</f>
        <v>0</v>
      </c>
      <c r="DU12" s="1058">
        <f>+DU7-Model!DU72</f>
        <v>0</v>
      </c>
      <c r="DV12" s="1058">
        <f>+DV7-Model!DV72</f>
        <v>0</v>
      </c>
      <c r="DW12" s="1113">
        <f>+DW7-Model!DW72</f>
        <v>0</v>
      </c>
      <c r="DX12" s="1058">
        <f>+DX7-Model!DX72</f>
        <v>0</v>
      </c>
      <c r="DY12" s="1058">
        <f>+DY7-Model!DY72</f>
        <v>0</v>
      </c>
      <c r="DZ12" s="1113">
        <f>+DZ7-Model!DZ72</f>
        <v>0</v>
      </c>
      <c r="EA12" s="1058">
        <f>+EA7-Model!EA72</f>
        <v>0</v>
      </c>
      <c r="EB12" s="1058">
        <f>+EB7-Model!EB72</f>
        <v>0</v>
      </c>
      <c r="EC12" s="1113">
        <f>+EC7-Model!EC72</f>
        <v>0</v>
      </c>
      <c r="ED12" s="1058">
        <f>+ED7-Model!ED72</f>
        <v>0</v>
      </c>
      <c r="EE12" s="1058">
        <f>+EE7-Model!EE72</f>
        <v>0</v>
      </c>
      <c r="EF12" s="1113">
        <f>+EF7-Model!EF72</f>
        <v>0</v>
      </c>
      <c r="EG12" s="1058">
        <f>+EG7-Model!EG72</f>
        <v>0</v>
      </c>
      <c r="EH12" s="1058">
        <f>+EH7-Model!EH72</f>
        <v>0</v>
      </c>
      <c r="EI12" s="1113">
        <f>+EI7-Model!EI72</f>
        <v>0</v>
      </c>
      <c r="EJ12" s="1058">
        <f>+EJ7-Model!EJ72</f>
        <v>0</v>
      </c>
      <c r="EK12" s="1058">
        <f>+EK7-Model!EK72</f>
        <v>0</v>
      </c>
      <c r="EL12" s="1113">
        <f>+EL7-Model!EL72</f>
        <v>0</v>
      </c>
      <c r="EM12" s="1058">
        <f>+EM7-Model!EM72</f>
        <v>0</v>
      </c>
      <c r="EN12" s="1058">
        <f>+EN7-Model!EN72</f>
        <v>0</v>
      </c>
      <c r="EO12" s="1113">
        <f>+EO7-Model!EO72</f>
        <v>0</v>
      </c>
      <c r="EP12" s="1058">
        <f>+EP7-Model!EP72</f>
        <v>0</v>
      </c>
      <c r="EQ12" s="1058">
        <f>+EQ7-Model!EQ72</f>
        <v>0</v>
      </c>
      <c r="ER12" s="1113">
        <f>+ER7-Model!ER72</f>
        <v>0</v>
      </c>
      <c r="ES12" s="1058">
        <f>+ES7-Model!ES72</f>
        <v>0</v>
      </c>
      <c r="ET12" s="1058">
        <f>+ET7-Model!ET72</f>
        <v>0</v>
      </c>
      <c r="EU12" s="1113">
        <f>+EU7-Model!EU72</f>
        <v>0</v>
      </c>
      <c r="EV12" s="1058">
        <f>+EV7-Model!EV72</f>
        <v>0</v>
      </c>
      <c r="EW12" s="1058">
        <f>+EW7-Model!EW72</f>
        <v>0</v>
      </c>
      <c r="EX12" s="1113">
        <f>+EX7-Model!EX72</f>
        <v>0</v>
      </c>
      <c r="EY12" s="1058">
        <f>+EY7-Model!EY72</f>
        <v>0</v>
      </c>
      <c r="EZ12" s="1058">
        <f>+EZ7-Model!EZ72</f>
        <v>0</v>
      </c>
      <c r="FA12" s="1113">
        <f>+FA7-Model!FA72</f>
        <v>0</v>
      </c>
      <c r="FB12" s="261"/>
      <c r="FC12" s="261"/>
      <c r="FD12" s="261"/>
      <c r="FE12" s="261"/>
      <c r="FF12" s="261"/>
      <c r="FG12" s="261"/>
      <c r="FH12" s="261"/>
      <c r="FI12" s="261"/>
      <c r="FJ12" s="261"/>
      <c r="FK12" s="35"/>
      <c r="FO12" s="35"/>
      <c r="FP12" s="65"/>
      <c r="FQ12" s="65"/>
    </row>
    <row r="13" spans="1:173" s="321" customFormat="1" ht="13.35" customHeight="1">
      <c r="A13" s="1168"/>
      <c r="B13" s="186"/>
      <c r="C13" s="186"/>
      <c r="D13" s="910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172"/>
      <c r="AJ13" s="172"/>
      <c r="AK13" s="172"/>
      <c r="AL13" s="172"/>
      <c r="AM13" s="172"/>
      <c r="AN13" s="172"/>
      <c r="AO13" s="172"/>
      <c r="AP13" s="172"/>
      <c r="AQ13" s="172"/>
      <c r="AR13" s="172"/>
      <c r="AS13" s="172"/>
      <c r="AT13" s="172"/>
      <c r="AU13" s="172"/>
      <c r="AV13" s="172"/>
      <c r="AW13" s="172"/>
      <c r="AX13" s="172"/>
      <c r="AY13" s="172"/>
      <c r="AZ13" s="172"/>
      <c r="BA13" s="172"/>
      <c r="BB13" s="172"/>
      <c r="BC13" s="917"/>
      <c r="BD13" s="172"/>
      <c r="BE13" s="172"/>
      <c r="BF13" s="917"/>
      <c r="BG13" s="172"/>
      <c r="BH13" s="172"/>
      <c r="BI13" s="917"/>
      <c r="BJ13" s="172"/>
      <c r="BK13" s="172"/>
      <c r="BL13" s="917"/>
      <c r="BM13" s="172"/>
      <c r="BN13" s="172"/>
      <c r="BO13" s="917"/>
      <c r="BP13" s="172"/>
      <c r="BQ13" s="177"/>
      <c r="BR13" s="917"/>
      <c r="BS13" s="172"/>
      <c r="BT13" s="172"/>
      <c r="BU13" s="1021"/>
      <c r="BV13" s="172"/>
      <c r="BW13" s="172"/>
      <c r="BX13" s="172"/>
      <c r="BY13" s="172"/>
      <c r="BZ13" s="172"/>
      <c r="CA13" s="172"/>
      <c r="CB13" s="172"/>
      <c r="CC13" s="172"/>
      <c r="CD13" s="172"/>
      <c r="CE13" s="172"/>
      <c r="CF13" s="172"/>
      <c r="CG13" s="172"/>
      <c r="CH13" s="172"/>
      <c r="CI13" s="172"/>
      <c r="CJ13" s="172"/>
      <c r="CK13" s="172"/>
      <c r="CL13" s="172"/>
      <c r="CM13" s="172"/>
      <c r="CN13" s="172"/>
      <c r="CO13" s="172"/>
      <c r="CP13" s="172"/>
      <c r="CQ13" s="172"/>
      <c r="CR13" s="172"/>
      <c r="CS13" s="172"/>
      <c r="CT13" s="172"/>
      <c r="CU13" s="172"/>
      <c r="CV13" s="172"/>
      <c r="CW13" s="172"/>
      <c r="CX13" s="172"/>
      <c r="CY13" s="172"/>
      <c r="CZ13" s="172"/>
      <c r="DA13" s="172"/>
      <c r="DB13" s="172"/>
      <c r="DC13" s="172"/>
      <c r="DD13" s="172"/>
      <c r="DE13" s="172"/>
      <c r="DF13" s="172"/>
      <c r="DG13" s="172"/>
      <c r="DH13" s="1062"/>
      <c r="DI13" s="172"/>
      <c r="DJ13" s="172"/>
      <c r="DK13" s="1062"/>
      <c r="DL13" s="172"/>
      <c r="DM13" s="172"/>
      <c r="DN13" s="1062"/>
      <c r="DO13" s="172"/>
      <c r="DP13" s="172"/>
      <c r="DQ13" s="1062"/>
      <c r="DR13" s="172"/>
      <c r="DS13" s="172"/>
      <c r="DT13" s="1062"/>
      <c r="DU13" s="172"/>
      <c r="DV13" s="172"/>
      <c r="DW13" s="1062"/>
      <c r="DX13" s="172"/>
      <c r="DY13" s="172"/>
      <c r="DZ13" s="1062"/>
      <c r="EA13" s="172"/>
      <c r="EB13" s="172"/>
      <c r="EC13" s="1062"/>
      <c r="ED13" s="172"/>
      <c r="EE13" s="172"/>
      <c r="EF13" s="1062"/>
      <c r="EG13" s="172"/>
      <c r="EH13" s="172"/>
      <c r="EI13" s="1062"/>
      <c r="EJ13" s="172"/>
      <c r="EK13" s="172"/>
      <c r="EL13" s="1062"/>
      <c r="EM13" s="172"/>
      <c r="EN13" s="172"/>
      <c r="EO13" s="1062"/>
      <c r="EP13" s="172"/>
      <c r="EQ13" s="172"/>
      <c r="ER13" s="1062"/>
      <c r="ES13" s="172"/>
      <c r="ET13" s="172"/>
      <c r="EU13" s="1062"/>
      <c r="EV13" s="172"/>
      <c r="EW13" s="172"/>
      <c r="EX13" s="1062"/>
      <c r="EY13" s="172"/>
      <c r="EZ13" s="172"/>
      <c r="FA13" s="1062"/>
      <c r="FH13" s="35"/>
      <c r="FI13" s="35"/>
      <c r="FJ13" s="35"/>
      <c r="FK13" s="35"/>
      <c r="FO13" s="35"/>
      <c r="FP13" s="35"/>
      <c r="FQ13" s="35"/>
    </row>
    <row r="14" spans="1:173" s="321" customFormat="1" ht="16.5" customHeight="1">
      <c r="A14" s="1418"/>
      <c r="B14" s="906" t="s">
        <v>625</v>
      </c>
      <c r="C14" s="906"/>
      <c r="D14" s="907"/>
      <c r="E14" s="925" t="str">
        <f>+$E$2</f>
        <v>1h85</v>
      </c>
      <c r="F14" s="925"/>
      <c r="G14" s="925"/>
      <c r="H14" s="925"/>
      <c r="I14" s="925"/>
      <c r="J14" s="925"/>
      <c r="K14" s="925"/>
      <c r="L14" s="925"/>
      <c r="M14" s="925"/>
      <c r="N14" s="925"/>
      <c r="O14" s="925"/>
      <c r="P14" s="925"/>
      <c r="Q14" s="925"/>
      <c r="R14" s="925"/>
      <c r="S14" s="925"/>
      <c r="T14" s="925"/>
      <c r="U14" s="925"/>
      <c r="V14" s="925"/>
      <c r="W14" s="925"/>
      <c r="X14" s="925"/>
      <c r="Y14" s="925"/>
      <c r="Z14" s="925"/>
      <c r="AA14" s="925"/>
      <c r="AB14" s="925"/>
      <c r="AC14" s="925"/>
      <c r="AD14" s="925"/>
      <c r="AE14" s="925"/>
      <c r="AF14" s="925"/>
      <c r="AG14" s="925"/>
      <c r="AH14" s="925"/>
      <c r="AI14" s="925"/>
      <c r="AJ14" s="925"/>
      <c r="AK14" s="925"/>
      <c r="AL14" s="925"/>
      <c r="AM14" s="925"/>
      <c r="AN14" s="925"/>
      <c r="AO14" s="925"/>
      <c r="AP14" s="925"/>
      <c r="AQ14" s="925"/>
      <c r="AR14" s="925" t="str">
        <f>+$AR$2</f>
        <v>1H98</v>
      </c>
      <c r="AS14" s="925" t="str">
        <f>+$AS$2</f>
        <v>2H98</v>
      </c>
      <c r="AT14" s="925" t="str">
        <f>+$AT$2</f>
        <v>FY98</v>
      </c>
      <c r="AU14" s="925" t="str">
        <f>+$AU$2</f>
        <v>1H99</v>
      </c>
      <c r="AV14" s="925" t="str">
        <f>+$AV$2</f>
        <v>2H99</v>
      </c>
      <c r="AW14" s="925" t="str">
        <f>+$AW$2</f>
        <v>FY99</v>
      </c>
      <c r="AX14" s="925" t="str">
        <f>+$AX$2</f>
        <v>1H00</v>
      </c>
      <c r="AY14" s="925" t="str">
        <f>+$AY$2</f>
        <v>2H00</v>
      </c>
      <c r="AZ14" s="925" t="str">
        <f>+$AZ$2</f>
        <v>FY00</v>
      </c>
      <c r="BA14" s="925"/>
      <c r="BB14" s="925"/>
      <c r="BC14" s="925"/>
      <c r="BD14" s="925" t="str">
        <f>+$BD$2</f>
        <v>1H02</v>
      </c>
      <c r="BE14" s="925" t="str">
        <f>+$BE$2</f>
        <v>2H02</v>
      </c>
      <c r="BF14" s="925" t="str">
        <f>+$BF$2</f>
        <v>FY02</v>
      </c>
      <c r="BG14" s="925" t="str">
        <f>+$BG$2</f>
        <v>1H03</v>
      </c>
      <c r="BH14" s="925" t="str">
        <f>+$BH$2</f>
        <v>2H03</v>
      </c>
      <c r="BI14" s="925" t="str">
        <f>+$BI$2</f>
        <v>FY03</v>
      </c>
      <c r="BJ14" s="925" t="str">
        <f>+$BJ$2</f>
        <v>1H04</v>
      </c>
      <c r="BK14" s="925" t="str">
        <f>+$BK$2</f>
        <v>2H04</v>
      </c>
      <c r="BL14" s="925" t="str">
        <f>+$BL$2</f>
        <v>FY04</v>
      </c>
      <c r="BM14" s="925" t="str">
        <f>+$BM$2</f>
        <v>1H05</v>
      </c>
      <c r="BN14" s="925" t="str">
        <f>+$BN$2</f>
        <v>2H05</v>
      </c>
      <c r="BO14" s="925" t="str">
        <f>+$BO$2</f>
        <v>FY05</v>
      </c>
      <c r="BP14" s="925" t="str">
        <f t="shared" ref="BP14:CU14" si="29">+BP2</f>
        <v>1H06</v>
      </c>
      <c r="BQ14" s="925" t="str">
        <f t="shared" si="29"/>
        <v>2H06</v>
      </c>
      <c r="BR14" s="925" t="str">
        <f t="shared" si="29"/>
        <v>FY06</v>
      </c>
      <c r="BS14" s="179" t="str">
        <f t="shared" si="29"/>
        <v>1H07</v>
      </c>
      <c r="BT14" s="179" t="str">
        <f t="shared" si="29"/>
        <v>2H07</v>
      </c>
      <c r="BU14" s="179" t="str">
        <f t="shared" si="29"/>
        <v>FY07</v>
      </c>
      <c r="BV14" s="179" t="str">
        <f t="shared" si="29"/>
        <v>1H08</v>
      </c>
      <c r="BW14" s="179" t="str">
        <f t="shared" si="29"/>
        <v>2H08</v>
      </c>
      <c r="BX14" s="179" t="str">
        <f t="shared" si="29"/>
        <v>FY08</v>
      </c>
      <c r="BY14" s="179" t="str">
        <f t="shared" si="29"/>
        <v>1H09</v>
      </c>
      <c r="BZ14" s="179" t="str">
        <f t="shared" si="29"/>
        <v>2H09</v>
      </c>
      <c r="CA14" s="179" t="str">
        <f t="shared" si="29"/>
        <v>FY09</v>
      </c>
      <c r="CB14" s="179" t="str">
        <f t="shared" si="29"/>
        <v>1H10</v>
      </c>
      <c r="CC14" s="179" t="str">
        <f t="shared" si="29"/>
        <v>2H10</v>
      </c>
      <c r="CD14" s="179" t="str">
        <f t="shared" si="29"/>
        <v>FY10</v>
      </c>
      <c r="CE14" s="179" t="str">
        <f t="shared" si="29"/>
        <v>1H11</v>
      </c>
      <c r="CF14" s="179" t="str">
        <f t="shared" si="29"/>
        <v>2H11</v>
      </c>
      <c r="CG14" s="179" t="str">
        <f t="shared" si="29"/>
        <v>FY11</v>
      </c>
      <c r="CH14" s="179" t="str">
        <f t="shared" si="29"/>
        <v>1H12</v>
      </c>
      <c r="CI14" s="179" t="str">
        <f t="shared" si="29"/>
        <v>2H12</v>
      </c>
      <c r="CJ14" s="179" t="str">
        <f t="shared" si="29"/>
        <v>FY12</v>
      </c>
      <c r="CK14" s="179" t="str">
        <f t="shared" si="29"/>
        <v>1H13</v>
      </c>
      <c r="CL14" s="179" t="str">
        <f t="shared" si="29"/>
        <v>2H13</v>
      </c>
      <c r="CM14" s="179" t="str">
        <f t="shared" si="29"/>
        <v>FY13</v>
      </c>
      <c r="CN14" s="179" t="str">
        <f t="shared" si="29"/>
        <v>1H14</v>
      </c>
      <c r="CO14" s="179" t="str">
        <f t="shared" si="29"/>
        <v>2H14</v>
      </c>
      <c r="CP14" s="179" t="str">
        <f t="shared" si="29"/>
        <v>FY14</v>
      </c>
      <c r="CQ14" s="179" t="str">
        <f t="shared" si="29"/>
        <v>1H15</v>
      </c>
      <c r="CR14" s="179" t="str">
        <f t="shared" si="29"/>
        <v>2H15</v>
      </c>
      <c r="CS14" s="179" t="str">
        <f t="shared" si="29"/>
        <v>FY15</v>
      </c>
      <c r="CT14" s="179" t="str">
        <f t="shared" si="29"/>
        <v>1H16</v>
      </c>
      <c r="CU14" s="179" t="str">
        <f t="shared" si="29"/>
        <v>2H16</v>
      </c>
      <c r="CV14" s="179" t="str">
        <f t="shared" ref="CV14:EF14" si="30">+CV2</f>
        <v>FY16</v>
      </c>
      <c r="CW14" s="179" t="str">
        <f t="shared" si="30"/>
        <v>1H17</v>
      </c>
      <c r="CX14" s="179" t="str">
        <f t="shared" si="30"/>
        <v>2H17</v>
      </c>
      <c r="CY14" s="179" t="str">
        <f t="shared" si="30"/>
        <v>FY17</v>
      </c>
      <c r="CZ14" s="179" t="str">
        <f t="shared" si="30"/>
        <v>1H18</v>
      </c>
      <c r="DA14" s="179" t="str">
        <f t="shared" si="30"/>
        <v>2H18</v>
      </c>
      <c r="DB14" s="179" t="str">
        <f t="shared" si="30"/>
        <v>FY18</v>
      </c>
      <c r="DC14" s="179" t="str">
        <f t="shared" si="30"/>
        <v>1H19</v>
      </c>
      <c r="DD14" s="179" t="str">
        <f t="shared" si="30"/>
        <v>2H19</v>
      </c>
      <c r="DE14" s="179" t="str">
        <f t="shared" si="30"/>
        <v>FY19</v>
      </c>
      <c r="DF14" s="179" t="str">
        <f t="shared" si="30"/>
        <v>1H20</v>
      </c>
      <c r="DG14" s="179" t="str">
        <f t="shared" si="30"/>
        <v>2H20</v>
      </c>
      <c r="DH14" s="1064" t="str">
        <f t="shared" si="30"/>
        <v>FY20</v>
      </c>
      <c r="DI14" s="179" t="str">
        <f t="shared" si="30"/>
        <v>1H21</v>
      </c>
      <c r="DJ14" s="179" t="str">
        <f t="shared" si="30"/>
        <v>2H21</v>
      </c>
      <c r="DK14" s="1064" t="str">
        <f t="shared" si="30"/>
        <v>FY21</v>
      </c>
      <c r="DL14" s="179" t="str">
        <f t="shared" si="30"/>
        <v>1H22</v>
      </c>
      <c r="DM14" s="179" t="str">
        <f t="shared" si="30"/>
        <v>2H22</v>
      </c>
      <c r="DN14" s="1064" t="str">
        <f t="shared" si="30"/>
        <v>FY22</v>
      </c>
      <c r="DO14" s="179" t="str">
        <f t="shared" si="30"/>
        <v>1H23</v>
      </c>
      <c r="DP14" s="179" t="str">
        <f t="shared" si="30"/>
        <v>2H23</v>
      </c>
      <c r="DQ14" s="1064" t="str">
        <f t="shared" si="30"/>
        <v>FY23</v>
      </c>
      <c r="DR14" s="179" t="str">
        <f t="shared" si="30"/>
        <v>1H24</v>
      </c>
      <c r="DS14" s="179" t="str">
        <f t="shared" si="30"/>
        <v>2H24</v>
      </c>
      <c r="DT14" s="1064" t="str">
        <f t="shared" si="30"/>
        <v>FY24</v>
      </c>
      <c r="DU14" s="179" t="str">
        <f t="shared" si="30"/>
        <v>1H25</v>
      </c>
      <c r="DV14" s="179" t="str">
        <f t="shared" si="30"/>
        <v>2H25</v>
      </c>
      <c r="DW14" s="1064" t="str">
        <f t="shared" si="30"/>
        <v>FY25</v>
      </c>
      <c r="DX14" s="179" t="str">
        <f t="shared" ref="DX14" si="31">+DX2</f>
        <v>1H26</v>
      </c>
      <c r="DY14" s="179" t="str">
        <f t="shared" si="30"/>
        <v>2H26E</v>
      </c>
      <c r="DZ14" s="1064" t="str">
        <f t="shared" si="30"/>
        <v>FY26E</v>
      </c>
      <c r="EA14" s="179" t="str">
        <f t="shared" si="30"/>
        <v>1H27E</v>
      </c>
      <c r="EB14" s="179" t="str">
        <f t="shared" si="30"/>
        <v>2H27E</v>
      </c>
      <c r="EC14" s="1064" t="str">
        <f t="shared" si="30"/>
        <v>FY27E</v>
      </c>
      <c r="ED14" s="179" t="str">
        <f t="shared" si="30"/>
        <v>1H28E</v>
      </c>
      <c r="EE14" s="179" t="str">
        <f t="shared" si="30"/>
        <v>2H28E</v>
      </c>
      <c r="EF14" s="1064" t="str">
        <f t="shared" si="30"/>
        <v>FY28E</v>
      </c>
      <c r="EG14" s="179" t="str">
        <f t="shared" ref="EG14:EL14" si="32">+EG2</f>
        <v>1H29E</v>
      </c>
      <c r="EH14" s="179" t="str">
        <f t="shared" si="32"/>
        <v>2H29E</v>
      </c>
      <c r="EI14" s="1064" t="str">
        <f t="shared" si="32"/>
        <v>FY29E</v>
      </c>
      <c r="EJ14" s="179" t="str">
        <f t="shared" si="32"/>
        <v>1H30E</v>
      </c>
      <c r="EK14" s="179" t="str">
        <f t="shared" si="32"/>
        <v>2H30E</v>
      </c>
      <c r="EL14" s="1064" t="str">
        <f t="shared" si="32"/>
        <v>FY30E</v>
      </c>
      <c r="EM14" s="179" t="str">
        <f t="shared" ref="EM14:ER14" si="33">+EM2</f>
        <v>1H31E</v>
      </c>
      <c r="EN14" s="179" t="str">
        <f t="shared" si="33"/>
        <v>2H31E</v>
      </c>
      <c r="EO14" s="1064" t="str">
        <f t="shared" si="33"/>
        <v>FY31E</v>
      </c>
      <c r="EP14" s="179" t="str">
        <f t="shared" si="33"/>
        <v>1H32E</v>
      </c>
      <c r="EQ14" s="179" t="str">
        <f t="shared" si="33"/>
        <v>2H32E</v>
      </c>
      <c r="ER14" s="1064" t="str">
        <f t="shared" si="33"/>
        <v>FY32E</v>
      </c>
      <c r="ES14" s="179" t="str">
        <f t="shared" ref="ES14:EX14" si="34">+ES2</f>
        <v>1H33E</v>
      </c>
      <c r="ET14" s="179" t="str">
        <f t="shared" si="34"/>
        <v>2H33E</v>
      </c>
      <c r="EU14" s="1064" t="str">
        <f t="shared" si="34"/>
        <v>FY33E</v>
      </c>
      <c r="EV14" s="179" t="str">
        <f t="shared" si="34"/>
        <v>1H34E</v>
      </c>
      <c r="EW14" s="179" t="str">
        <f t="shared" si="34"/>
        <v>2H34E</v>
      </c>
      <c r="EX14" s="1064" t="str">
        <f t="shared" si="34"/>
        <v>FY34E</v>
      </c>
      <c r="EY14" s="179" t="str">
        <f t="shared" ref="EY14:FA14" si="35">+EY2</f>
        <v>1H35E</v>
      </c>
      <c r="EZ14" s="179" t="str">
        <f t="shared" si="35"/>
        <v>2H35E</v>
      </c>
      <c r="FA14" s="1064" t="str">
        <f t="shared" si="35"/>
        <v>FY35E</v>
      </c>
      <c r="FB14" s="261"/>
      <c r="FC14" s="261"/>
      <c r="FD14" s="261"/>
      <c r="FE14" s="261"/>
      <c r="FF14" s="261"/>
      <c r="FG14" s="261"/>
      <c r="FH14" s="261"/>
      <c r="FI14" s="261"/>
      <c r="FJ14" s="261"/>
      <c r="FK14" s="35"/>
      <c r="FO14" s="65"/>
      <c r="FP14" s="65"/>
      <c r="FQ14" s="65"/>
    </row>
    <row r="15" spans="1:173" s="321" customFormat="1" ht="13.35" customHeight="1" outlineLevel="1">
      <c r="A15" s="1174" t="s">
        <v>1041</v>
      </c>
      <c r="B15" s="321" t="s">
        <v>626</v>
      </c>
      <c r="C15" s="186" t="s">
        <v>316</v>
      </c>
      <c r="D15" s="926" t="s">
        <v>604</v>
      </c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72"/>
      <c r="AA15" s="172"/>
      <c r="AB15" s="172"/>
      <c r="AC15" s="172"/>
      <c r="AD15" s="172"/>
      <c r="AE15" s="172"/>
      <c r="AF15" s="172"/>
      <c r="AG15" s="172"/>
      <c r="AH15" s="172"/>
      <c r="AI15" s="172"/>
      <c r="AJ15" s="172"/>
      <c r="AK15" s="172"/>
      <c r="AL15" s="172"/>
      <c r="AM15" s="172"/>
      <c r="AN15" s="172"/>
      <c r="AO15" s="172"/>
      <c r="AP15" s="172"/>
      <c r="AQ15" s="172"/>
      <c r="AR15" s="172"/>
      <c r="AS15" s="172"/>
      <c r="AT15" s="172"/>
      <c r="AU15" s="172"/>
      <c r="AV15" s="172"/>
      <c r="AW15" s="172"/>
      <c r="AX15" s="172"/>
      <c r="AY15" s="172"/>
      <c r="AZ15" s="172"/>
      <c r="BA15" s="172"/>
      <c r="BB15" s="172"/>
      <c r="BC15" s="917"/>
      <c r="BD15" s="172">
        <v>56.408999999999999</v>
      </c>
      <c r="BE15" s="172">
        <f>BE170</f>
        <v>63.199999999999996</v>
      </c>
      <c r="BF15" s="917">
        <v>119.70099999999999</v>
      </c>
      <c r="BG15" s="172">
        <v>78.399000000000001</v>
      </c>
      <c r="BH15" s="172">
        <f>BI15-BG15</f>
        <v>64.188999999999993</v>
      </c>
      <c r="BI15" s="917">
        <v>142.58799999999999</v>
      </c>
      <c r="BJ15" s="172">
        <v>56.036000000000001</v>
      </c>
      <c r="BK15" s="172">
        <f>BL15-BJ15</f>
        <v>53.039000000000001</v>
      </c>
      <c r="BL15" s="917">
        <v>109.075</v>
      </c>
      <c r="BM15" s="172">
        <v>65.055000000000007</v>
      </c>
      <c r="BN15" s="172">
        <f>BO15-BM15</f>
        <v>66.108000000000004</v>
      </c>
      <c r="BO15" s="917">
        <v>131.16300000000001</v>
      </c>
      <c r="BP15" s="172">
        <f>BP170</f>
        <v>85.894617382658495</v>
      </c>
      <c r="BQ15" s="172">
        <f>BR15-BP15</f>
        <v>112.29338261734149</v>
      </c>
      <c r="BR15" s="917">
        <v>198.18799999999999</v>
      </c>
      <c r="BS15" s="172">
        <f>BS170</f>
        <v>112.51102611461221</v>
      </c>
      <c r="BT15" s="172">
        <f>BT170</f>
        <v>112.94234267391849</v>
      </c>
      <c r="BU15" s="172">
        <f t="shared" ref="BU15:BU21" si="36">SUM(BS15:BT15)</f>
        <v>225.4533687885307</v>
      </c>
      <c r="BV15" s="172">
        <f>BV170</f>
        <v>106.23251540312218</v>
      </c>
      <c r="BW15" s="172">
        <f>BW170</f>
        <v>101.61314021185328</v>
      </c>
      <c r="BX15" s="172">
        <f t="shared" ref="BX15:BX21" si="37">SUM(BV15:BW15)</f>
        <v>207.84565561497544</v>
      </c>
      <c r="BY15" s="172">
        <f>BY170</f>
        <v>132.8803049972133</v>
      </c>
      <c r="BZ15" s="172">
        <f>BZ170</f>
        <v>138.01266211941768</v>
      </c>
      <c r="CA15" s="172">
        <f t="shared" ref="CA15:CA21" si="38">SUM(BY15:BZ15)</f>
        <v>270.89296711663098</v>
      </c>
      <c r="CB15" s="172">
        <f>CB170</f>
        <v>131.86818972034055</v>
      </c>
      <c r="CC15" s="172">
        <f>CC170</f>
        <v>145.59791193744326</v>
      </c>
      <c r="CD15" s="172">
        <f t="shared" ref="CD15:CD21" si="39">SUM(CB15:CC15)</f>
        <v>277.46610165778384</v>
      </c>
      <c r="CE15" s="172">
        <f>CE170</f>
        <v>148.08035618275719</v>
      </c>
      <c r="CF15" s="172">
        <f>CF170</f>
        <v>140.93018242267829</v>
      </c>
      <c r="CG15" s="172">
        <f t="shared" ref="CG15:CG21" si="40">SUM(CE15:CF15)</f>
        <v>289.0105386054355</v>
      </c>
      <c r="CH15" s="172">
        <f>CH170</f>
        <v>136.87240794092111</v>
      </c>
      <c r="CI15" s="172">
        <f>CI170</f>
        <v>134.78041372572176</v>
      </c>
      <c r="CJ15" s="172">
        <f t="shared" ref="CJ15:CJ21" si="41">SUM(CH15:CI15)</f>
        <v>271.65282166664286</v>
      </c>
      <c r="CK15" s="172">
        <f>CK170</f>
        <v>137.18672716164451</v>
      </c>
      <c r="CL15" s="172">
        <f>CL170</f>
        <v>119.35725511390577</v>
      </c>
      <c r="CM15" s="172">
        <f t="shared" ref="CM15:CM21" si="42">SUM(CK15:CL15)</f>
        <v>256.54398227555026</v>
      </c>
      <c r="CN15" s="172">
        <f>CN170</f>
        <v>134.469870426049</v>
      </c>
      <c r="CO15" s="172">
        <f>CO170</f>
        <v>154.28706545819261</v>
      </c>
      <c r="CP15" s="172">
        <f t="shared" ref="CP15:CP21" si="43">SUM(CN15:CO15)</f>
        <v>288.75693588424161</v>
      </c>
      <c r="CQ15" s="172">
        <f>CQ170</f>
        <v>195.30000000000004</v>
      </c>
      <c r="CR15" s="172">
        <f>CR170</f>
        <v>207.66200000000001</v>
      </c>
      <c r="CS15" s="172">
        <f t="shared" ref="CS15:CS21" si="44">SUM(CQ15:CR15)</f>
        <v>402.96200000000005</v>
      </c>
      <c r="CT15" s="172">
        <f>CT170</f>
        <v>264.08099999999979</v>
      </c>
      <c r="CU15" s="172">
        <f>CU170</f>
        <v>254.86247489404531</v>
      </c>
      <c r="CV15" s="172">
        <f t="shared" ref="CV15:CV21" si="45">SUM(CT15:CU15)</f>
        <v>518.94347489404504</v>
      </c>
      <c r="CW15" s="172">
        <f>CW170</f>
        <v>285.1017225171783</v>
      </c>
      <c r="CX15" s="172">
        <f>CX170</f>
        <v>309.90436261424088</v>
      </c>
      <c r="CY15" s="172">
        <f t="shared" ref="CY15:CY21" si="46">SUM(CW15:CX15)</f>
        <v>595.00608513141924</v>
      </c>
      <c r="CZ15" s="172">
        <f>CZ170</f>
        <v>318.00386487389784</v>
      </c>
      <c r="DA15" s="172">
        <f>DA170</f>
        <v>326.03352872423079</v>
      </c>
      <c r="DB15" s="172">
        <f t="shared" ref="DB15:DB21" si="47">SUM(CZ15:DA15)</f>
        <v>644.03739359812857</v>
      </c>
      <c r="DC15" s="172">
        <f>DC170</f>
        <v>349.04064631654632</v>
      </c>
      <c r="DD15" s="172">
        <f>DD170</f>
        <v>337.83457328053868</v>
      </c>
      <c r="DE15" s="172">
        <f t="shared" ref="DE15:DE21" si="48">SUM(DC15:DD15)</f>
        <v>686.87521959708499</v>
      </c>
      <c r="DF15" s="172">
        <f>DF170</f>
        <v>380.27593374861743</v>
      </c>
      <c r="DG15" s="172">
        <f>DG170</f>
        <v>271.45684696139153</v>
      </c>
      <c r="DH15" s="1060">
        <f t="shared" ref="DH15:DH21" si="49">SUM(DF15:DG15)</f>
        <v>651.73278071000891</v>
      </c>
      <c r="DI15" s="1184">
        <f>DI170</f>
        <v>375.7</v>
      </c>
      <c r="DJ15" s="1184">
        <f>DJ170</f>
        <v>349.09999999999997</v>
      </c>
      <c r="DK15" s="1185">
        <f t="shared" ref="DK15:DK21" si="50">SUM(DI15:DJ15)</f>
        <v>724.8</v>
      </c>
      <c r="DL15" s="889">
        <f>DL170</f>
        <v>388.4</v>
      </c>
      <c r="DM15" s="889">
        <f>DM170</f>
        <v>391.30000000000007</v>
      </c>
      <c r="DN15" s="1060">
        <f t="shared" ref="DN15:DN21" si="51">SUM(DL15:DM15)</f>
        <v>779.7</v>
      </c>
      <c r="DO15" s="889">
        <f>DO170</f>
        <v>444.5</v>
      </c>
      <c r="DP15" s="889">
        <f>DP170</f>
        <v>533.79999999999995</v>
      </c>
      <c r="DQ15" s="1060">
        <f t="shared" ref="DQ15:DQ21" si="52">SUM(DO15:DP15)</f>
        <v>978.3</v>
      </c>
      <c r="DR15" s="889">
        <f>DR170</f>
        <v>585.4</v>
      </c>
      <c r="DS15" s="889">
        <f>DS170</f>
        <v>555.30000000000007</v>
      </c>
      <c r="DT15" s="1060">
        <f t="shared" ref="DT15:DT21" si="53">SUM(DR15:DS15)</f>
        <v>1140.7</v>
      </c>
      <c r="DU15" s="889">
        <f>DU170</f>
        <v>580.70000000000005</v>
      </c>
      <c r="DV15" s="889">
        <f>DV170</f>
        <v>556.59999999999991</v>
      </c>
      <c r="DW15" s="1060">
        <f t="shared" ref="DW15:DW21" si="54">SUM(DU15:DV15)</f>
        <v>1137.3</v>
      </c>
      <c r="DX15" s="889">
        <f>DX170</f>
        <v>596.5</v>
      </c>
      <c r="DY15" s="889">
        <f>DY170</f>
        <v>596.69230915624166</v>
      </c>
      <c r="DZ15" s="1060">
        <f t="shared" ref="DZ15:DZ21" si="55">SUM(DX15:DY15)</f>
        <v>1193.1923091562417</v>
      </c>
      <c r="EA15" s="889">
        <f>EA170</f>
        <v>689.01133155212005</v>
      </c>
      <c r="EB15" s="889">
        <f>EB170</f>
        <v>637.91369454965729</v>
      </c>
      <c r="EC15" s="1060">
        <f t="shared" ref="EC15:EC21" si="56">SUM(EA15:EB15)</f>
        <v>1326.9250261017773</v>
      </c>
      <c r="ED15" s="889">
        <f>ED170</f>
        <v>749.56898975296417</v>
      </c>
      <c r="EE15" s="889">
        <f>EE170</f>
        <v>693.98499866664395</v>
      </c>
      <c r="EF15" s="1060">
        <f t="shared" ref="EF15:EF21" si="57">SUM(ED15:EE15)</f>
        <v>1443.5539884196082</v>
      </c>
      <c r="EG15" s="889">
        <f>EG170</f>
        <v>817.03019883073102</v>
      </c>
      <c r="EH15" s="889">
        <f>EH170</f>
        <v>756.44364854664195</v>
      </c>
      <c r="EI15" s="1060">
        <f t="shared" ref="EI15:EI21" si="58">SUM(EG15:EH15)</f>
        <v>1573.473847377373</v>
      </c>
      <c r="EJ15" s="889">
        <f>EJ170</f>
        <v>890.56291672549685</v>
      </c>
      <c r="EK15" s="889">
        <f>EK170</f>
        <v>824.52357691583984</v>
      </c>
      <c r="EL15" s="1060">
        <f t="shared" ref="EL15:EL21" si="59">SUM(EJ15:EK15)</f>
        <v>1715.0864936413368</v>
      </c>
      <c r="EM15" s="889">
        <f>EM170</f>
        <v>970.71357923079165</v>
      </c>
      <c r="EN15" s="889">
        <f>EN170</f>
        <v>898.73069883826543</v>
      </c>
      <c r="EO15" s="1060">
        <f t="shared" ref="EO15:EO21" si="60">SUM(EM15:EN15)</f>
        <v>1869.444278069057</v>
      </c>
      <c r="EP15" s="889">
        <f>EP170</f>
        <v>1058.0778013615629</v>
      </c>
      <c r="EQ15" s="889">
        <f>EQ170</f>
        <v>979.61646173370934</v>
      </c>
      <c r="ER15" s="1060">
        <f t="shared" ref="ER15:ER21" si="61">SUM(EP15:EQ15)</f>
        <v>2037.6942630952722</v>
      </c>
      <c r="ES15" s="889">
        <f>ES170</f>
        <v>1153.3048034841038</v>
      </c>
      <c r="ET15" s="889">
        <f>ET170</f>
        <v>1067.7819432897434</v>
      </c>
      <c r="EU15" s="1060">
        <f t="shared" ref="EU15:EU21" si="62">SUM(ES15:ET15)</f>
        <v>2221.0867467738472</v>
      </c>
      <c r="EV15" s="889">
        <f>EV170</f>
        <v>1257.1022357976731</v>
      </c>
      <c r="EW15" s="889">
        <f>EW170</f>
        <v>1163.8823181858202</v>
      </c>
      <c r="EX15" s="1060">
        <f t="shared" ref="EX15:EX21" si="63">SUM(EV15:EW15)</f>
        <v>2420.9845539834932</v>
      </c>
      <c r="EY15" s="889">
        <f>EY170</f>
        <v>1370.2414370194638</v>
      </c>
      <c r="EZ15" s="889">
        <f>EZ170</f>
        <v>1268.6317268225444</v>
      </c>
      <c r="FA15" s="1060">
        <f t="shared" ref="FA15:FA21" si="64">SUM(EY15:EZ15)</f>
        <v>2638.8731638420081</v>
      </c>
      <c r="FB15" s="172"/>
      <c r="FC15" s="172"/>
      <c r="FE15" s="172"/>
      <c r="FF15" s="172"/>
      <c r="FG15" s="172"/>
      <c r="FH15" s="35"/>
      <c r="FI15" s="35"/>
      <c r="FJ15" s="35"/>
      <c r="FK15" s="35"/>
      <c r="FO15" s="35"/>
      <c r="FP15" s="65"/>
      <c r="FQ15" s="65"/>
    </row>
    <row r="16" spans="1:173" s="321" customFormat="1" ht="13.35" customHeight="1" outlineLevel="1">
      <c r="A16" s="1174" t="s">
        <v>1042</v>
      </c>
      <c r="B16" s="321" t="s">
        <v>627</v>
      </c>
      <c r="C16" s="186" t="s">
        <v>317</v>
      </c>
      <c r="D16" s="926" t="s">
        <v>604</v>
      </c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72"/>
      <c r="AA16" s="172"/>
      <c r="AB16" s="172"/>
      <c r="AC16" s="172"/>
      <c r="AD16" s="172"/>
      <c r="AE16" s="172"/>
      <c r="AF16" s="172"/>
      <c r="AG16" s="172"/>
      <c r="AH16" s="172"/>
      <c r="AI16" s="172"/>
      <c r="AJ16" s="172"/>
      <c r="AK16" s="172"/>
      <c r="AL16" s="172"/>
      <c r="AM16" s="172"/>
      <c r="AN16" s="172"/>
      <c r="AO16" s="172"/>
      <c r="AP16" s="172"/>
      <c r="AQ16" s="172"/>
      <c r="AR16" s="172"/>
      <c r="AS16" s="172"/>
      <c r="AT16" s="172"/>
      <c r="AU16" s="172"/>
      <c r="AV16" s="172"/>
      <c r="AW16" s="172"/>
      <c r="AX16" s="172"/>
      <c r="AY16" s="172"/>
      <c r="AZ16" s="172"/>
      <c r="BA16" s="172"/>
      <c r="BB16" s="172"/>
      <c r="BC16" s="917"/>
      <c r="BD16" s="172">
        <v>39.445</v>
      </c>
      <c r="BE16" s="172">
        <f>BE262</f>
        <v>47.9</v>
      </c>
      <c r="BF16" s="917">
        <v>87.436000000000007</v>
      </c>
      <c r="BG16" s="172">
        <v>42.139000000000003</v>
      </c>
      <c r="BH16" s="172">
        <f>BI16-BG16</f>
        <v>56.219999999999992</v>
      </c>
      <c r="BI16" s="917">
        <v>98.358999999999995</v>
      </c>
      <c r="BJ16" s="172">
        <v>40.793999999999997</v>
      </c>
      <c r="BK16" s="172">
        <f>BL16-BJ16</f>
        <v>52.488</v>
      </c>
      <c r="BL16" s="917">
        <v>93.281999999999996</v>
      </c>
      <c r="BM16" s="172">
        <v>60.304000000000002</v>
      </c>
      <c r="BN16" s="172">
        <f>BO16-BM16</f>
        <v>72.716999999999985</v>
      </c>
      <c r="BO16" s="917">
        <v>133.02099999999999</v>
      </c>
      <c r="BP16" s="172">
        <f>BP262</f>
        <v>81.402047298918376</v>
      </c>
      <c r="BQ16" s="172">
        <f>BR16-BP16</f>
        <v>92.319952701081633</v>
      </c>
      <c r="BR16" s="917">
        <v>173.72200000000001</v>
      </c>
      <c r="BS16" s="172">
        <f>BS262</f>
        <v>103.66100000000003</v>
      </c>
      <c r="BT16" s="172">
        <f>BT262</f>
        <v>109.33099999999999</v>
      </c>
      <c r="BU16" s="172">
        <f t="shared" si="36"/>
        <v>212.99200000000002</v>
      </c>
      <c r="BV16" s="172">
        <f>BV262</f>
        <v>122.33999999999997</v>
      </c>
      <c r="BW16" s="172">
        <f>BW262</f>
        <v>134.864</v>
      </c>
      <c r="BX16" s="172">
        <f t="shared" si="37"/>
        <v>257.20399999999995</v>
      </c>
      <c r="BY16" s="172">
        <f>BY262</f>
        <v>153.03500000000003</v>
      </c>
      <c r="BZ16" s="172">
        <f>BZ262</f>
        <v>165.86407930632748</v>
      </c>
      <c r="CA16" s="172">
        <f t="shared" si="38"/>
        <v>318.89907930632751</v>
      </c>
      <c r="CB16" s="172">
        <f>CB262</f>
        <v>141.65127317849581</v>
      </c>
      <c r="CC16" s="172">
        <f>CC262</f>
        <v>149.80495750343681</v>
      </c>
      <c r="CD16" s="172">
        <f t="shared" si="39"/>
        <v>291.45623068193265</v>
      </c>
      <c r="CE16" s="172">
        <f>CE262</f>
        <v>136.48341472738267</v>
      </c>
      <c r="CF16" s="172">
        <f>CF262</f>
        <v>156.84796525965757</v>
      </c>
      <c r="CG16" s="172">
        <f t="shared" si="40"/>
        <v>293.33137998704024</v>
      </c>
      <c r="CH16" s="172">
        <f>CH262</f>
        <v>142.53402894437241</v>
      </c>
      <c r="CI16" s="172">
        <f>CI262</f>
        <v>142.15717988439917</v>
      </c>
      <c r="CJ16" s="172">
        <f t="shared" si="41"/>
        <v>284.69120882877155</v>
      </c>
      <c r="CK16" s="172">
        <f>CK262</f>
        <v>140.1337479621574</v>
      </c>
      <c r="CL16" s="172">
        <f>CL262</f>
        <v>142.88915317012277</v>
      </c>
      <c r="CM16" s="172">
        <f t="shared" si="42"/>
        <v>283.02290113228014</v>
      </c>
      <c r="CN16" s="172">
        <f>CN262</f>
        <v>169.14700000000002</v>
      </c>
      <c r="CO16" s="172">
        <f>CO262</f>
        <v>189.31246728727723</v>
      </c>
      <c r="CP16" s="172">
        <f t="shared" si="43"/>
        <v>358.45946728727722</v>
      </c>
      <c r="CQ16" s="172">
        <f>CQ262</f>
        <v>181.59900000000002</v>
      </c>
      <c r="CR16" s="172">
        <f>CR262</f>
        <v>196.03299999999987</v>
      </c>
      <c r="CS16" s="172">
        <f t="shared" si="44"/>
        <v>377.63199999999989</v>
      </c>
      <c r="CT16" s="172">
        <f>CT262</f>
        <v>210.42000000000007</v>
      </c>
      <c r="CU16" s="172">
        <f>CU262</f>
        <v>216.79367478718441</v>
      </c>
      <c r="CV16" s="172">
        <f t="shared" si="45"/>
        <v>427.21367478718446</v>
      </c>
      <c r="CW16" s="172">
        <f>CW262</f>
        <v>207.93084614446565</v>
      </c>
      <c r="CX16" s="172">
        <f>CX262</f>
        <v>220.59924270347557</v>
      </c>
      <c r="CY16" s="172">
        <f t="shared" si="46"/>
        <v>428.53008884794122</v>
      </c>
      <c r="CZ16" s="172">
        <f>CZ262</f>
        <v>216.64801588843471</v>
      </c>
      <c r="DA16" s="172">
        <f>DA262</f>
        <v>253.57626191167182</v>
      </c>
      <c r="DB16" s="172">
        <f t="shared" si="47"/>
        <v>470.22427780010651</v>
      </c>
      <c r="DC16" s="172">
        <f>DC262</f>
        <v>247.48985048680964</v>
      </c>
      <c r="DD16" s="172">
        <f>DD262</f>
        <v>270.50546928892379</v>
      </c>
      <c r="DE16" s="172">
        <f t="shared" si="48"/>
        <v>517.99531977573338</v>
      </c>
      <c r="DF16" s="172">
        <f>DF262</f>
        <v>261.32707543269834</v>
      </c>
      <c r="DG16" s="172">
        <f>DG262</f>
        <v>221.00965025852128</v>
      </c>
      <c r="DH16" s="1060">
        <f t="shared" si="49"/>
        <v>482.33672569121961</v>
      </c>
      <c r="DI16" s="1184">
        <f>DI262</f>
        <v>237.6</v>
      </c>
      <c r="DJ16" s="1184">
        <f>DJ262</f>
        <v>280.10000000000002</v>
      </c>
      <c r="DK16" s="1185">
        <f t="shared" si="50"/>
        <v>517.70000000000005</v>
      </c>
      <c r="DL16" s="889">
        <f>DL262</f>
        <v>286.8</v>
      </c>
      <c r="DM16" s="889">
        <f>DM262</f>
        <v>291.7</v>
      </c>
      <c r="DN16" s="1060">
        <f t="shared" si="51"/>
        <v>578.5</v>
      </c>
      <c r="DO16" s="889">
        <f>DO262</f>
        <v>286.7</v>
      </c>
      <c r="DP16" s="889">
        <f>DP262</f>
        <v>352.7</v>
      </c>
      <c r="DQ16" s="1060">
        <f t="shared" si="52"/>
        <v>639.4</v>
      </c>
      <c r="DR16" s="889">
        <f>DR262</f>
        <v>352.5</v>
      </c>
      <c r="DS16" s="889">
        <f>DS262</f>
        <v>393.1</v>
      </c>
      <c r="DT16" s="1060">
        <f t="shared" si="53"/>
        <v>745.6</v>
      </c>
      <c r="DU16" s="889">
        <f>DU262</f>
        <v>360.2</v>
      </c>
      <c r="DV16" s="889">
        <f>DV262</f>
        <v>429.50000000000006</v>
      </c>
      <c r="DW16" s="1060">
        <f t="shared" si="54"/>
        <v>789.7</v>
      </c>
      <c r="DX16" s="889">
        <f>DX262</f>
        <v>371.7</v>
      </c>
      <c r="DY16" s="889">
        <f>DY262</f>
        <v>499.79270196035424</v>
      </c>
      <c r="DZ16" s="1060">
        <f t="shared" si="55"/>
        <v>871.49270196035422</v>
      </c>
      <c r="EA16" s="889">
        <f>EA262</f>
        <v>436.76783041225252</v>
      </c>
      <c r="EB16" s="889">
        <f>EB262</f>
        <v>534.33440773847428</v>
      </c>
      <c r="EC16" s="1060">
        <f t="shared" si="56"/>
        <v>971.10223815072686</v>
      </c>
      <c r="ED16" s="889">
        <f>ED262</f>
        <v>475.16730972901439</v>
      </c>
      <c r="EE16" s="889">
        <f>EE262</f>
        <v>581.31553601962753</v>
      </c>
      <c r="EF16" s="1060">
        <f t="shared" si="57"/>
        <v>1056.4828457486419</v>
      </c>
      <c r="EG16" s="889">
        <f>EG262</f>
        <v>517.93236760462571</v>
      </c>
      <c r="EH16" s="889">
        <f>EH262</f>
        <v>633.63393426139407</v>
      </c>
      <c r="EI16" s="1060">
        <f t="shared" si="58"/>
        <v>1151.5663018660198</v>
      </c>
      <c r="EJ16" s="889">
        <f>EJ262</f>
        <v>564.54628068904208</v>
      </c>
      <c r="EK16" s="889">
        <f>EK262</f>
        <v>690.66098834491959</v>
      </c>
      <c r="EL16" s="1060">
        <f t="shared" si="59"/>
        <v>1255.2072690339617</v>
      </c>
      <c r="EM16" s="889">
        <f>EM262</f>
        <v>615.3554459510558</v>
      </c>
      <c r="EN16" s="889">
        <f>EN262</f>
        <v>752.82047729596241</v>
      </c>
      <c r="EO16" s="1060">
        <f t="shared" si="60"/>
        <v>1368.1759232470181</v>
      </c>
      <c r="EP16" s="889">
        <f>EP262</f>
        <v>670.73743608665097</v>
      </c>
      <c r="EQ16" s="889">
        <f>EQ262</f>
        <v>820.57432025259914</v>
      </c>
      <c r="ER16" s="1060">
        <f t="shared" si="61"/>
        <v>1491.3117563392502</v>
      </c>
      <c r="ES16" s="889">
        <f>ES262</f>
        <v>731.10380533444959</v>
      </c>
      <c r="ET16" s="889">
        <f>ET262</f>
        <v>894.42600907533313</v>
      </c>
      <c r="EU16" s="1060">
        <f t="shared" si="62"/>
        <v>1625.5298144097828</v>
      </c>
      <c r="EV16" s="889">
        <f>EV262</f>
        <v>796.90314781455015</v>
      </c>
      <c r="EW16" s="889">
        <f>EW262</f>
        <v>974.92434989211301</v>
      </c>
      <c r="EX16" s="1060">
        <f t="shared" si="63"/>
        <v>1771.8274977066631</v>
      </c>
      <c r="EY16" s="889">
        <f>EY262</f>
        <v>868.62443111785979</v>
      </c>
      <c r="EZ16" s="889">
        <f>EZ262</f>
        <v>1062.6675413824034</v>
      </c>
      <c r="FA16" s="1060">
        <f t="shared" si="64"/>
        <v>1931.2919725002632</v>
      </c>
      <c r="FC16" s="172"/>
      <c r="FE16" s="172"/>
      <c r="FF16" s="172"/>
      <c r="FG16" s="172"/>
      <c r="FH16" s="35"/>
      <c r="FI16" s="35"/>
      <c r="FJ16" s="35"/>
      <c r="FK16" s="35"/>
      <c r="FO16" s="35"/>
      <c r="FP16" s="35"/>
      <c r="FQ16" s="35"/>
    </row>
    <row r="17" spans="1:173" s="321" customFormat="1" ht="13.35" customHeight="1" outlineLevel="1">
      <c r="A17" s="1174" t="s">
        <v>1043</v>
      </c>
      <c r="B17" s="321" t="s">
        <v>628</v>
      </c>
      <c r="C17" s="186" t="s">
        <v>384</v>
      </c>
      <c r="D17" s="926" t="s">
        <v>604</v>
      </c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2"/>
      <c r="AH17" s="172"/>
      <c r="AI17" s="172"/>
      <c r="AJ17" s="172"/>
      <c r="AK17" s="172"/>
      <c r="AL17" s="172"/>
      <c r="AM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  <c r="BA17" s="172"/>
      <c r="BB17" s="172"/>
      <c r="BC17" s="917"/>
      <c r="BD17" s="172">
        <v>24.231000000000002</v>
      </c>
      <c r="BE17" s="172">
        <f>BE351</f>
        <v>35.535135302513758</v>
      </c>
      <c r="BF17" s="917">
        <v>49.064</v>
      </c>
      <c r="BG17" s="172">
        <v>26.087</v>
      </c>
      <c r="BH17" s="172"/>
      <c r="BI17" s="917">
        <v>49.097999999999999</v>
      </c>
      <c r="BJ17" s="172">
        <v>27.263999999999999</v>
      </c>
      <c r="BK17" s="172">
        <f>BL17-BJ17</f>
        <v>23.326000000000004</v>
      </c>
      <c r="BL17" s="917">
        <v>50.59</v>
      </c>
      <c r="BM17" s="172">
        <v>27.959</v>
      </c>
      <c r="BN17" s="172">
        <f>BO17-BM17</f>
        <v>30.032</v>
      </c>
      <c r="BO17" s="917">
        <v>57.991</v>
      </c>
      <c r="BP17" s="172">
        <f>BP351</f>
        <v>32.305610087249008</v>
      </c>
      <c r="BQ17" s="172">
        <f>BR17-BP17</f>
        <v>27.351389912750989</v>
      </c>
      <c r="BR17" s="917">
        <v>59.656999999999996</v>
      </c>
      <c r="BS17" s="172">
        <f>BS351</f>
        <v>42.227000000000004</v>
      </c>
      <c r="BT17" s="172">
        <f>BT351</f>
        <v>37.899000000000001</v>
      </c>
      <c r="BU17" s="172">
        <f t="shared" si="36"/>
        <v>80.126000000000005</v>
      </c>
      <c r="BV17" s="172">
        <f>BV351</f>
        <v>42.938999999999986</v>
      </c>
      <c r="BW17" s="172">
        <f>BW351</f>
        <v>48.144000000000005</v>
      </c>
      <c r="BX17" s="172">
        <f t="shared" si="37"/>
        <v>91.082999999999998</v>
      </c>
      <c r="BY17" s="172">
        <f>BY351</f>
        <v>45.335000000000001</v>
      </c>
      <c r="BZ17" s="172">
        <f>BZ351</f>
        <v>47.18399999999999</v>
      </c>
      <c r="CA17" s="172">
        <f t="shared" si="38"/>
        <v>92.518999999999991</v>
      </c>
      <c r="CB17" s="172">
        <f>CB351</f>
        <v>47.558196383039366</v>
      </c>
      <c r="CC17" s="172">
        <f>CC351</f>
        <v>49.568622449962653</v>
      </c>
      <c r="CD17" s="172">
        <f t="shared" si="39"/>
        <v>97.126818833002019</v>
      </c>
      <c r="CE17" s="172">
        <f>CE351</f>
        <v>56.224689812668473</v>
      </c>
      <c r="CF17" s="172">
        <f>CF351</f>
        <v>65.716688019105618</v>
      </c>
      <c r="CG17" s="172">
        <f t="shared" si="40"/>
        <v>121.94137783177409</v>
      </c>
      <c r="CH17" s="172">
        <f>CH351</f>
        <v>59.67346856644636</v>
      </c>
      <c r="CI17" s="172">
        <f>CI351</f>
        <v>63.243408014295028</v>
      </c>
      <c r="CJ17" s="172">
        <f t="shared" si="41"/>
        <v>122.91687658074139</v>
      </c>
      <c r="CK17" s="172">
        <f>CK351</f>
        <v>77.658651524229157</v>
      </c>
      <c r="CL17" s="172">
        <f>CL351</f>
        <v>69.953815192793741</v>
      </c>
      <c r="CM17" s="172">
        <f t="shared" si="42"/>
        <v>147.6124667170229</v>
      </c>
      <c r="CN17" s="172">
        <f>CN351</f>
        <v>57.856000000000002</v>
      </c>
      <c r="CO17" s="172">
        <f>CO351</f>
        <v>83.747688499685623</v>
      </c>
      <c r="CP17" s="172">
        <f t="shared" si="43"/>
        <v>141.60368849968563</v>
      </c>
      <c r="CQ17" s="172">
        <f>CQ351</f>
        <v>63.589999999999975</v>
      </c>
      <c r="CR17" s="172">
        <f>CR351</f>
        <v>97.715000000000018</v>
      </c>
      <c r="CS17" s="172">
        <f t="shared" si="44"/>
        <v>161.30500000000001</v>
      </c>
      <c r="CT17" s="172">
        <f>CT351</f>
        <v>107.21900000000001</v>
      </c>
      <c r="CU17" s="172">
        <f>CU351</f>
        <v>103.08282023699479</v>
      </c>
      <c r="CV17" s="172">
        <f t="shared" si="45"/>
        <v>210.30182023699479</v>
      </c>
      <c r="CW17" s="172">
        <f>CW351</f>
        <v>111.30800000000001</v>
      </c>
      <c r="CX17" s="172">
        <f>CX351</f>
        <v>104.90092357438527</v>
      </c>
      <c r="CY17" s="172">
        <f t="shared" si="46"/>
        <v>216.20892357438527</v>
      </c>
      <c r="CZ17" s="172">
        <f>CZ351</f>
        <v>94.382700416475231</v>
      </c>
      <c r="DA17" s="172">
        <f>DA351</f>
        <v>122.4646910995681</v>
      </c>
      <c r="DB17" s="172">
        <f t="shared" si="47"/>
        <v>216.84739151604333</v>
      </c>
      <c r="DC17" s="172">
        <f>DC351</f>
        <v>112.80606948708262</v>
      </c>
      <c r="DD17" s="172">
        <f>DD351</f>
        <v>125.25591256639304</v>
      </c>
      <c r="DE17" s="172">
        <f t="shared" si="48"/>
        <v>238.06198205347567</v>
      </c>
      <c r="DF17" s="172">
        <f>DF351</f>
        <v>133.1604586598163</v>
      </c>
      <c r="DG17" s="172">
        <f>DG351</f>
        <v>89.597913886446918</v>
      </c>
      <c r="DH17" s="1060">
        <f t="shared" si="49"/>
        <v>222.75837254626322</v>
      </c>
      <c r="DI17" s="1184">
        <f>DI351</f>
        <v>129.5</v>
      </c>
      <c r="DJ17" s="1184">
        <f>DJ351</f>
        <v>121.30000000000001</v>
      </c>
      <c r="DK17" s="1185">
        <f t="shared" si="50"/>
        <v>250.8</v>
      </c>
      <c r="DL17" s="889">
        <f>DL351</f>
        <v>140.1</v>
      </c>
      <c r="DM17" s="889">
        <f>DM351</f>
        <v>142.79999999999998</v>
      </c>
      <c r="DN17" s="1060">
        <f t="shared" si="51"/>
        <v>282.89999999999998</v>
      </c>
      <c r="DO17" s="889">
        <f>DO351</f>
        <v>161.1</v>
      </c>
      <c r="DP17" s="889">
        <f>DP351</f>
        <v>176.9</v>
      </c>
      <c r="DQ17" s="1060">
        <f t="shared" si="52"/>
        <v>338</v>
      </c>
      <c r="DR17" s="889">
        <f>DR351</f>
        <v>175.5</v>
      </c>
      <c r="DS17" s="889">
        <f>DS351</f>
        <v>196.39999999999998</v>
      </c>
      <c r="DT17" s="1060">
        <f t="shared" si="53"/>
        <v>371.9</v>
      </c>
      <c r="DU17" s="889">
        <f>DU351</f>
        <v>229</v>
      </c>
      <c r="DV17" s="889">
        <f>DV351</f>
        <v>199.8</v>
      </c>
      <c r="DW17" s="1060">
        <f t="shared" si="54"/>
        <v>428.8</v>
      </c>
      <c r="DX17" s="889">
        <f>DX351</f>
        <v>207.8</v>
      </c>
      <c r="DY17" s="889">
        <f>DY351</f>
        <v>240.88124882367828</v>
      </c>
      <c r="DZ17" s="1060">
        <f t="shared" si="55"/>
        <v>448.68124882367829</v>
      </c>
      <c r="EA17" s="889">
        <f>EA351</f>
        <v>261.10246700680273</v>
      </c>
      <c r="EB17" s="889">
        <f>EB351</f>
        <v>257.5220847108526</v>
      </c>
      <c r="EC17" s="1060">
        <f t="shared" si="56"/>
        <v>518.62455171765532</v>
      </c>
      <c r="ED17" s="889">
        <f>ED351</f>
        <v>284.05093422108848</v>
      </c>
      <c r="EE17" s="889">
        <f>EE351</f>
        <v>280.15774726526195</v>
      </c>
      <c r="EF17" s="1060">
        <f t="shared" si="57"/>
        <v>564.20868148635043</v>
      </c>
      <c r="EG17" s="889">
        <f>EG351</f>
        <v>309.61551830098642</v>
      </c>
      <c r="EH17" s="889">
        <f>EH351</f>
        <v>305.37194451913552</v>
      </c>
      <c r="EI17" s="1060">
        <f t="shared" si="58"/>
        <v>614.98746282012189</v>
      </c>
      <c r="EJ17" s="889">
        <f>EJ351</f>
        <v>337.48091494807522</v>
      </c>
      <c r="EK17" s="889">
        <f>EK351</f>
        <v>332.85541952585771</v>
      </c>
      <c r="EL17" s="1060">
        <f t="shared" si="59"/>
        <v>670.33633447393299</v>
      </c>
      <c r="EM17" s="889">
        <f>EM351</f>
        <v>367.85419729340208</v>
      </c>
      <c r="EN17" s="889">
        <f>EN351</f>
        <v>362.81240728318494</v>
      </c>
      <c r="EO17" s="1060">
        <f t="shared" si="60"/>
        <v>730.66660457658702</v>
      </c>
      <c r="EP17" s="889">
        <f>EP351</f>
        <v>400.9610750498083</v>
      </c>
      <c r="EQ17" s="889">
        <f>EQ351</f>
        <v>395.46552393867159</v>
      </c>
      <c r="ER17" s="1060">
        <f t="shared" si="61"/>
        <v>796.4265989884799</v>
      </c>
      <c r="ES17" s="889">
        <f>ES351</f>
        <v>437.04757180429112</v>
      </c>
      <c r="ET17" s="889">
        <f>ET351</f>
        <v>431.05742109315207</v>
      </c>
      <c r="EU17" s="1060">
        <f t="shared" si="62"/>
        <v>868.10499289744325</v>
      </c>
      <c r="EV17" s="889">
        <f>EV351</f>
        <v>476.38185326667735</v>
      </c>
      <c r="EW17" s="889">
        <f>EW351</f>
        <v>469.85258899153575</v>
      </c>
      <c r="EX17" s="1060">
        <f t="shared" si="63"/>
        <v>946.23444225821311</v>
      </c>
      <c r="EY17" s="889">
        <f>EY351</f>
        <v>519.25622006067829</v>
      </c>
      <c r="EZ17" s="889">
        <f>EZ351</f>
        <v>512.13932200077397</v>
      </c>
      <c r="FA17" s="1060">
        <f t="shared" si="64"/>
        <v>1031.3955420614523</v>
      </c>
      <c r="FC17" s="261"/>
      <c r="FD17" s="261"/>
      <c r="FE17" s="261"/>
      <c r="FF17" s="261"/>
      <c r="FG17" s="261"/>
      <c r="FH17" s="261"/>
      <c r="FI17" s="261"/>
      <c r="FJ17" s="261"/>
      <c r="FK17" s="35"/>
      <c r="FO17" s="35"/>
      <c r="FP17" s="35"/>
      <c r="FQ17" s="35"/>
    </row>
    <row r="18" spans="1:173" s="321" customFormat="1" ht="13.35" customHeight="1" outlineLevel="1">
      <c r="A18" s="1174" t="s">
        <v>1033</v>
      </c>
      <c r="C18" s="186" t="s">
        <v>286</v>
      </c>
      <c r="D18" s="926" t="s">
        <v>604</v>
      </c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72"/>
      <c r="AA18" s="172"/>
      <c r="AB18" s="172"/>
      <c r="AC18" s="172"/>
      <c r="AD18" s="172"/>
      <c r="AE18" s="172"/>
      <c r="AF18" s="172"/>
      <c r="AG18" s="172"/>
      <c r="AH18" s="172"/>
      <c r="AI18" s="172"/>
      <c r="AJ18" s="172"/>
      <c r="AK18" s="172"/>
      <c r="AL18" s="172"/>
      <c r="AM18" s="172"/>
      <c r="AN18" s="172"/>
      <c r="AO18" s="172"/>
      <c r="AP18" s="172"/>
      <c r="AQ18" s="172"/>
      <c r="AR18" s="172"/>
      <c r="AS18" s="172"/>
      <c r="AT18" s="172"/>
      <c r="AU18" s="172"/>
      <c r="AV18" s="172"/>
      <c r="AW18" s="172"/>
      <c r="AX18" s="172"/>
      <c r="AY18" s="172"/>
      <c r="AZ18" s="172"/>
      <c r="BA18" s="172"/>
      <c r="BB18" s="172"/>
      <c r="BC18" s="917"/>
      <c r="BD18" s="172">
        <f>BD535</f>
        <v>0</v>
      </c>
      <c r="BE18" s="172">
        <f>BE535</f>
        <v>0</v>
      </c>
      <c r="BF18" s="917">
        <v>0</v>
      </c>
      <c r="BG18" s="172">
        <v>3.8370000000000002</v>
      </c>
      <c r="BH18" s="172">
        <f>BI18-BG18</f>
        <v>-3.8370000000000002</v>
      </c>
      <c r="BI18" s="917">
        <f>BI20-BI15-BI16-BI17</f>
        <v>0</v>
      </c>
      <c r="BJ18" s="172">
        <f>BJ535</f>
        <v>15.1</v>
      </c>
      <c r="BK18" s="172">
        <f>BL18-BJ18</f>
        <v>15.186999999999999</v>
      </c>
      <c r="BL18" s="917">
        <v>30.286999999999999</v>
      </c>
      <c r="BM18" s="172">
        <v>11.853999999999999</v>
      </c>
      <c r="BN18" s="172">
        <f>BO18-BM18</f>
        <v>14.937000000000001</v>
      </c>
      <c r="BO18" s="917">
        <v>26.791</v>
      </c>
      <c r="BP18" s="172">
        <f>BP535</f>
        <v>12.423999999999999</v>
      </c>
      <c r="BQ18" s="172">
        <f>BR18-BP18</f>
        <v>8.2690000000000019</v>
      </c>
      <c r="BR18" s="917">
        <v>20.693000000000001</v>
      </c>
      <c r="BS18" s="172">
        <f>BS535</f>
        <v>5.4493695992634557</v>
      </c>
      <c r="BT18" s="172">
        <f>BT535</f>
        <v>11.076548461381016</v>
      </c>
      <c r="BU18" s="172">
        <f t="shared" si="36"/>
        <v>16.525918060644472</v>
      </c>
      <c r="BV18" s="172">
        <f>BV535</f>
        <v>13.790395551984382</v>
      </c>
      <c r="BW18" s="172">
        <f>BW535</f>
        <v>7.4926044480156193</v>
      </c>
      <c r="BX18" s="172">
        <f t="shared" si="37"/>
        <v>21.283000000000001</v>
      </c>
      <c r="BY18" s="172">
        <f>BY535</f>
        <v>8.2837020178600547</v>
      </c>
      <c r="BZ18" s="172">
        <f>BZ535</f>
        <v>-25.412087501323118</v>
      </c>
      <c r="CA18" s="172">
        <f t="shared" si="38"/>
        <v>-17.128385483463063</v>
      </c>
      <c r="CB18" s="172">
        <f>CB535</f>
        <v>10.692908903934837</v>
      </c>
      <c r="CC18" s="172">
        <f>CC535</f>
        <v>27.958656984065399</v>
      </c>
      <c r="CD18" s="172">
        <f t="shared" si="39"/>
        <v>38.651565888000235</v>
      </c>
      <c r="CE18" s="172">
        <f>CE535</f>
        <v>21.864999999999998</v>
      </c>
      <c r="CF18" s="172">
        <f>CF535</f>
        <v>55.546000000000006</v>
      </c>
      <c r="CG18" s="172">
        <f t="shared" si="40"/>
        <v>77.411000000000001</v>
      </c>
      <c r="CH18" s="172">
        <f>(CH535+CH563)</f>
        <v>36.283000000000001</v>
      </c>
      <c r="CI18" s="172">
        <f>(CI535+CI563)</f>
        <v>38.158000000000065</v>
      </c>
      <c r="CJ18" s="172">
        <f t="shared" si="41"/>
        <v>74.441000000000059</v>
      </c>
      <c r="CK18" s="172">
        <f>(CK535+CK563)</f>
        <v>23.507999999999999</v>
      </c>
      <c r="CL18" s="172">
        <f>(CL535+CL563)</f>
        <v>14.183000000000007</v>
      </c>
      <c r="CM18" s="172">
        <f t="shared" si="42"/>
        <v>37.691000000000003</v>
      </c>
      <c r="CN18" s="172">
        <f>(CN535+CN563)</f>
        <v>-5.907</v>
      </c>
      <c r="CO18" s="172">
        <f>(CO535+CO563)</f>
        <v>-10.019710671129827</v>
      </c>
      <c r="CP18" s="172">
        <f t="shared" si="43"/>
        <v>-15.926710671129827</v>
      </c>
      <c r="CQ18" s="172">
        <f>(CQ535+CQ563)</f>
        <v>-2.1349999999999998</v>
      </c>
      <c r="CR18" s="172">
        <f>(CR535+CR563)</f>
        <v>-14.135</v>
      </c>
      <c r="CS18" s="172">
        <f t="shared" si="44"/>
        <v>-16.27</v>
      </c>
      <c r="CT18" s="172">
        <f>(CT535+CT563)</f>
        <v>-23.631488168284168</v>
      </c>
      <c r="CU18" s="172">
        <f>(CU535+CU563)</f>
        <v>-3.9475118317158344</v>
      </c>
      <c r="CV18" s="172">
        <f t="shared" si="45"/>
        <v>-27.579000000000001</v>
      </c>
      <c r="CW18" s="172">
        <f>(CW535+CW563)</f>
        <v>4.7776303704207361</v>
      </c>
      <c r="CX18" s="172">
        <f>(CX535+CX563)</f>
        <v>9.3223664620528464</v>
      </c>
      <c r="CY18" s="172">
        <f t="shared" si="46"/>
        <v>14.099996832473582</v>
      </c>
      <c r="CZ18" s="172">
        <f>(CZ535+CZ563)</f>
        <v>9.9999825268108093</v>
      </c>
      <c r="DA18" s="172">
        <f>(DA535+DA563)</f>
        <v>2.2999999999999998</v>
      </c>
      <c r="DB18" s="172">
        <f t="shared" si="47"/>
        <v>12.299982526810808</v>
      </c>
      <c r="DC18" s="172">
        <f>(DC535+DC563)</f>
        <v>-8.0990610176268643</v>
      </c>
      <c r="DD18" s="172">
        <f>(DD535+DD563)</f>
        <v>-11.275973405651312</v>
      </c>
      <c r="DE18" s="172">
        <f t="shared" si="48"/>
        <v>-19.375034423278176</v>
      </c>
      <c r="DF18" s="172">
        <f>(DF535+DF563)</f>
        <v>-21.9</v>
      </c>
      <c r="DG18" s="172">
        <f>(DG535+DG563)</f>
        <v>-9.8000000000000007</v>
      </c>
      <c r="DH18" s="1060">
        <f t="shared" si="49"/>
        <v>-31.7</v>
      </c>
      <c r="DI18" s="1184">
        <f>(DI535+DI563)</f>
        <v>0.4</v>
      </c>
      <c r="DJ18" s="1184">
        <f>(DJ535+DJ563)</f>
        <v>3.9</v>
      </c>
      <c r="DK18" s="1185">
        <f t="shared" si="50"/>
        <v>4.3</v>
      </c>
      <c r="DL18" s="889">
        <f>(DL535+DL563)</f>
        <v>5.4</v>
      </c>
      <c r="DM18" s="889">
        <f>(DM535+DM563)</f>
        <v>1.7999999999999998</v>
      </c>
      <c r="DN18" s="1060">
        <f t="shared" si="51"/>
        <v>7.2</v>
      </c>
      <c r="DO18" s="889">
        <f>(DO535+DO563)</f>
        <v>-7.4</v>
      </c>
      <c r="DP18" s="889">
        <f>(DP535+DP563)</f>
        <v>-12.200000000000001</v>
      </c>
      <c r="DQ18" s="1060">
        <f t="shared" si="52"/>
        <v>-19.600000000000001</v>
      </c>
      <c r="DR18" s="889">
        <f>(DR535+DR563)</f>
        <v>-14.9</v>
      </c>
      <c r="DS18" s="889">
        <f>(DS535+DS563)</f>
        <v>-7.7000000000000011</v>
      </c>
      <c r="DT18" s="1060">
        <f t="shared" si="53"/>
        <v>-22.6</v>
      </c>
      <c r="DU18" s="889">
        <f>(DU535+DU563)</f>
        <v>1.99</v>
      </c>
      <c r="DV18" s="889">
        <f>(DV535+DV563)</f>
        <v>-14.69</v>
      </c>
      <c r="DW18" s="1060">
        <f t="shared" si="54"/>
        <v>-12.7</v>
      </c>
      <c r="DX18" s="889">
        <f>(DX535+DX563)</f>
        <v>-8.8000000000000007</v>
      </c>
      <c r="DY18" s="889">
        <f>(DY535+DY563)</f>
        <v>5.0036508939305016</v>
      </c>
      <c r="DZ18" s="1060">
        <f t="shared" si="55"/>
        <v>-3.7963491060694992</v>
      </c>
      <c r="EA18" s="889">
        <f>(EA535+EA563)</f>
        <v>5.1787804318606829</v>
      </c>
      <c r="EB18" s="889">
        <f>(EB535+EB563)</f>
        <v>5.1787804318606829</v>
      </c>
      <c r="EC18" s="1060">
        <f t="shared" si="56"/>
        <v>10.357560863721366</v>
      </c>
      <c r="ED18" s="889">
        <f>(ED535+ED563)</f>
        <v>0</v>
      </c>
      <c r="EE18" s="889">
        <f>(EE535+EE563)</f>
        <v>0</v>
      </c>
      <c r="EF18" s="1060">
        <f t="shared" si="57"/>
        <v>0</v>
      </c>
      <c r="EG18" s="889">
        <f>(EG535+EG563)</f>
        <v>0</v>
      </c>
      <c r="EH18" s="889">
        <f>(EH535+EH563)</f>
        <v>0</v>
      </c>
      <c r="EI18" s="1060">
        <f t="shared" si="58"/>
        <v>0</v>
      </c>
      <c r="EJ18" s="889">
        <f>(EJ535+EJ563)</f>
        <v>0</v>
      </c>
      <c r="EK18" s="889">
        <f>(EK535+EK563)</f>
        <v>0</v>
      </c>
      <c r="EL18" s="1060">
        <f t="shared" si="59"/>
        <v>0</v>
      </c>
      <c r="EM18" s="889">
        <f>(EM535+EM563)</f>
        <v>0</v>
      </c>
      <c r="EN18" s="889">
        <f>(EN535+EN563)</f>
        <v>0</v>
      </c>
      <c r="EO18" s="1060">
        <f t="shared" si="60"/>
        <v>0</v>
      </c>
      <c r="EP18" s="889">
        <f>(EP535+EP563)</f>
        <v>0</v>
      </c>
      <c r="EQ18" s="889">
        <f>(EQ535+EQ563)</f>
        <v>0</v>
      </c>
      <c r="ER18" s="1060">
        <f t="shared" si="61"/>
        <v>0</v>
      </c>
      <c r="ES18" s="889">
        <f>(ES535+ES563)</f>
        <v>0</v>
      </c>
      <c r="ET18" s="889">
        <f>(ET535+ET563)</f>
        <v>0</v>
      </c>
      <c r="EU18" s="1060">
        <f t="shared" si="62"/>
        <v>0</v>
      </c>
      <c r="EV18" s="889">
        <f>(EV535+EV563)</f>
        <v>0</v>
      </c>
      <c r="EW18" s="889">
        <f>(EW535+EW563)</f>
        <v>0</v>
      </c>
      <c r="EX18" s="1060">
        <f t="shared" si="63"/>
        <v>0</v>
      </c>
      <c r="EY18" s="889">
        <f>(EY535+EY563)</f>
        <v>0</v>
      </c>
      <c r="EZ18" s="889">
        <f>(EZ535+EZ563)</f>
        <v>0</v>
      </c>
      <c r="FA18" s="1060">
        <f t="shared" si="64"/>
        <v>0</v>
      </c>
      <c r="FB18" s="261"/>
      <c r="FC18" s="172"/>
      <c r="FE18" s="172"/>
      <c r="FF18" s="172"/>
      <c r="FG18" s="172"/>
      <c r="FH18" s="35"/>
      <c r="FI18" s="35"/>
      <c r="FJ18" s="35"/>
      <c r="FK18" s="35"/>
      <c r="FO18" s="35"/>
      <c r="FP18" s="35"/>
      <c r="FQ18" s="35"/>
    </row>
    <row r="19" spans="1:173" s="321" customFormat="1" ht="13.35" customHeight="1" outlineLevel="1">
      <c r="A19" s="1174"/>
      <c r="B19" s="927"/>
      <c r="C19" s="321" t="s">
        <v>571</v>
      </c>
      <c r="D19" s="926" t="s">
        <v>604</v>
      </c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2"/>
      <c r="AB19" s="172"/>
      <c r="AC19" s="172"/>
      <c r="AD19" s="172"/>
      <c r="AE19" s="172"/>
      <c r="AF19" s="172"/>
      <c r="AG19" s="172"/>
      <c r="AH19" s="172"/>
      <c r="AI19" s="172"/>
      <c r="AJ19" s="172"/>
      <c r="AK19" s="172"/>
      <c r="AL19" s="172"/>
      <c r="AM19" s="172"/>
      <c r="AN19" s="172"/>
      <c r="AO19" s="172"/>
      <c r="AP19" s="172"/>
      <c r="AQ19" s="172"/>
      <c r="AR19" s="172"/>
      <c r="AS19" s="172"/>
      <c r="AT19" s="172"/>
      <c r="AU19" s="172"/>
      <c r="AV19" s="172"/>
      <c r="AW19" s="172"/>
      <c r="AX19" s="172"/>
      <c r="AY19" s="172"/>
      <c r="AZ19" s="172"/>
      <c r="BA19" s="172"/>
      <c r="BB19" s="172"/>
      <c r="BC19" s="917"/>
      <c r="BD19" s="172">
        <v>0</v>
      </c>
      <c r="BE19" s="172">
        <v>0</v>
      </c>
      <c r="BF19" s="917">
        <f>SUM(BD19:BE19)</f>
        <v>0</v>
      </c>
      <c r="BG19" s="172">
        <v>0</v>
      </c>
      <c r="BH19" s="172">
        <v>0</v>
      </c>
      <c r="BI19" s="917">
        <f>SUM(BG19:BH19)</f>
        <v>0</v>
      </c>
      <c r="BJ19" s="172">
        <v>0</v>
      </c>
      <c r="BK19" s="172">
        <v>0</v>
      </c>
      <c r="BL19" s="917">
        <f>SUM(BJ19:BK19)</f>
        <v>0</v>
      </c>
      <c r="BM19" s="172">
        <f>BJ19</f>
        <v>0</v>
      </c>
      <c r="BN19" s="172">
        <f>BM19</f>
        <v>0</v>
      </c>
      <c r="BO19" s="917">
        <f>SUM(BM19:BN19)</f>
        <v>0</v>
      </c>
      <c r="BP19" s="172">
        <f>BM19</f>
        <v>0</v>
      </c>
      <c r="BQ19" s="172">
        <f>BP19</f>
        <v>0</v>
      </c>
      <c r="BR19" s="917">
        <f>SUM(BP19:BQ19)</f>
        <v>0</v>
      </c>
      <c r="BS19" s="172">
        <f>BP19</f>
        <v>0</v>
      </c>
      <c r="BT19" s="172">
        <f>BS19</f>
        <v>0</v>
      </c>
      <c r="BU19" s="172">
        <f t="shared" si="36"/>
        <v>0</v>
      </c>
      <c r="BV19" s="172">
        <f>BS19</f>
        <v>0</v>
      </c>
      <c r="BW19" s="172">
        <f>BV19</f>
        <v>0</v>
      </c>
      <c r="BX19" s="172">
        <f t="shared" si="37"/>
        <v>0</v>
      </c>
      <c r="BY19" s="172">
        <f>BV19</f>
        <v>0</v>
      </c>
      <c r="BZ19" s="172">
        <f>BY19</f>
        <v>0</v>
      </c>
      <c r="CA19" s="172">
        <f t="shared" si="38"/>
        <v>0</v>
      </c>
      <c r="CB19" s="172">
        <f>BY19</f>
        <v>0</v>
      </c>
      <c r="CC19" s="172">
        <f>CB19</f>
        <v>0</v>
      </c>
      <c r="CD19" s="172">
        <f t="shared" si="39"/>
        <v>0</v>
      </c>
      <c r="CE19" s="172">
        <f>CB19</f>
        <v>0</v>
      </c>
      <c r="CF19" s="172">
        <f>CE19</f>
        <v>0</v>
      </c>
      <c r="CG19" s="172">
        <f t="shared" si="40"/>
        <v>0</v>
      </c>
      <c r="CH19" s="172">
        <f>CE19</f>
        <v>0</v>
      </c>
      <c r="CI19" s="172">
        <f>CH19</f>
        <v>0</v>
      </c>
      <c r="CJ19" s="172">
        <f t="shared" si="41"/>
        <v>0</v>
      </c>
      <c r="CK19" s="172">
        <f>CH19</f>
        <v>0</v>
      </c>
      <c r="CL19" s="172">
        <f>CK19</f>
        <v>0</v>
      </c>
      <c r="CM19" s="172">
        <f t="shared" si="42"/>
        <v>0</v>
      </c>
      <c r="CN19" s="172">
        <f>CK19</f>
        <v>0</v>
      </c>
      <c r="CO19" s="172">
        <f>CN19</f>
        <v>0</v>
      </c>
      <c r="CP19" s="172">
        <f t="shared" si="43"/>
        <v>0</v>
      </c>
      <c r="CQ19" s="172">
        <f>CN19</f>
        <v>0</v>
      </c>
      <c r="CR19" s="172">
        <f>CQ19</f>
        <v>0</v>
      </c>
      <c r="CS19" s="172">
        <f t="shared" si="44"/>
        <v>0</v>
      </c>
      <c r="CT19" s="172">
        <f>CQ19</f>
        <v>0</v>
      </c>
      <c r="CU19" s="172">
        <f>CT19</f>
        <v>0</v>
      </c>
      <c r="CV19" s="172">
        <f t="shared" si="45"/>
        <v>0</v>
      </c>
      <c r="CW19" s="172">
        <f>CT19</f>
        <v>0</v>
      </c>
      <c r="CX19" s="172">
        <f>CW19</f>
        <v>0</v>
      </c>
      <c r="CY19" s="172">
        <f t="shared" si="46"/>
        <v>0</v>
      </c>
      <c r="CZ19" s="172">
        <f>CW19</f>
        <v>0</v>
      </c>
      <c r="DA19" s="172">
        <f>CZ19</f>
        <v>0</v>
      </c>
      <c r="DB19" s="172">
        <f t="shared" si="47"/>
        <v>0</v>
      </c>
      <c r="DC19" s="172">
        <f>CZ19</f>
        <v>0</v>
      </c>
      <c r="DD19" s="172">
        <f>DC19</f>
        <v>0</v>
      </c>
      <c r="DE19" s="172">
        <f t="shared" si="48"/>
        <v>0</v>
      </c>
      <c r="DF19" s="172">
        <f>DC19</f>
        <v>0</v>
      </c>
      <c r="DG19" s="172">
        <f>DF19</f>
        <v>0</v>
      </c>
      <c r="DH19" s="1060">
        <f t="shared" si="49"/>
        <v>0</v>
      </c>
      <c r="DI19" s="1184">
        <f>DF19</f>
        <v>0</v>
      </c>
      <c r="DJ19" s="1184">
        <f>DI19</f>
        <v>0</v>
      </c>
      <c r="DK19" s="1185">
        <f t="shared" si="50"/>
        <v>0</v>
      </c>
      <c r="DL19" s="889">
        <f>DI19</f>
        <v>0</v>
      </c>
      <c r="DM19" s="889">
        <f>DL19</f>
        <v>0</v>
      </c>
      <c r="DN19" s="1060">
        <f t="shared" si="51"/>
        <v>0</v>
      </c>
      <c r="DO19" s="889">
        <f>DL19</f>
        <v>0</v>
      </c>
      <c r="DP19" s="889">
        <f>DO19</f>
        <v>0</v>
      </c>
      <c r="DQ19" s="1060">
        <f t="shared" si="52"/>
        <v>0</v>
      </c>
      <c r="DR19" s="889">
        <f>DO19</f>
        <v>0</v>
      </c>
      <c r="DS19" s="889">
        <f>DR19</f>
        <v>0</v>
      </c>
      <c r="DT19" s="1060">
        <f t="shared" si="53"/>
        <v>0</v>
      </c>
      <c r="DU19" s="889">
        <f>DR19</f>
        <v>0</v>
      </c>
      <c r="DV19" s="889">
        <f>DU19</f>
        <v>0</v>
      </c>
      <c r="DW19" s="1060">
        <f t="shared" si="54"/>
        <v>0</v>
      </c>
      <c r="DX19" s="889">
        <f>DU19</f>
        <v>0</v>
      </c>
      <c r="DY19" s="889">
        <f>DX19</f>
        <v>0</v>
      </c>
      <c r="DZ19" s="1060">
        <f t="shared" si="55"/>
        <v>0</v>
      </c>
      <c r="EA19" s="889">
        <f>DX19</f>
        <v>0</v>
      </c>
      <c r="EB19" s="889">
        <f>EA19</f>
        <v>0</v>
      </c>
      <c r="EC19" s="1060">
        <f t="shared" si="56"/>
        <v>0</v>
      </c>
      <c r="ED19" s="889">
        <f>EA19</f>
        <v>0</v>
      </c>
      <c r="EE19" s="889">
        <f>ED19</f>
        <v>0</v>
      </c>
      <c r="EF19" s="1060">
        <f t="shared" si="57"/>
        <v>0</v>
      </c>
      <c r="EG19" s="889">
        <f>ED19</f>
        <v>0</v>
      </c>
      <c r="EH19" s="889">
        <f>EG19</f>
        <v>0</v>
      </c>
      <c r="EI19" s="1060">
        <f t="shared" si="58"/>
        <v>0</v>
      </c>
      <c r="EJ19" s="889">
        <f>EG19</f>
        <v>0</v>
      </c>
      <c r="EK19" s="889">
        <f>EJ19</f>
        <v>0</v>
      </c>
      <c r="EL19" s="1060">
        <f t="shared" si="59"/>
        <v>0</v>
      </c>
      <c r="EM19" s="889">
        <f>EJ19</f>
        <v>0</v>
      </c>
      <c r="EN19" s="889">
        <f>EM19</f>
        <v>0</v>
      </c>
      <c r="EO19" s="1060">
        <f t="shared" si="60"/>
        <v>0</v>
      </c>
      <c r="EP19" s="889">
        <f>EM19</f>
        <v>0</v>
      </c>
      <c r="EQ19" s="889">
        <f>EP19</f>
        <v>0</v>
      </c>
      <c r="ER19" s="1060">
        <f t="shared" si="61"/>
        <v>0</v>
      </c>
      <c r="ES19" s="889">
        <f>EP19</f>
        <v>0</v>
      </c>
      <c r="ET19" s="889">
        <f>ES19</f>
        <v>0</v>
      </c>
      <c r="EU19" s="1060">
        <f t="shared" si="62"/>
        <v>0</v>
      </c>
      <c r="EV19" s="889">
        <f>ES19</f>
        <v>0</v>
      </c>
      <c r="EW19" s="889">
        <f>EV19</f>
        <v>0</v>
      </c>
      <c r="EX19" s="1060">
        <f t="shared" si="63"/>
        <v>0</v>
      </c>
      <c r="EY19" s="889">
        <f>EV19</f>
        <v>0</v>
      </c>
      <c r="EZ19" s="889">
        <f>EY19</f>
        <v>0</v>
      </c>
      <c r="FA19" s="1060">
        <f t="shared" si="64"/>
        <v>0</v>
      </c>
      <c r="FC19" s="172"/>
      <c r="FE19" s="172"/>
      <c r="FF19" s="172"/>
      <c r="FG19" s="35"/>
      <c r="FH19" s="35"/>
      <c r="FI19" s="35"/>
      <c r="FJ19" s="35"/>
      <c r="FK19" s="35"/>
      <c r="FO19" s="35"/>
      <c r="FP19" s="35"/>
      <c r="FQ19" s="35"/>
    </row>
    <row r="20" spans="1:173" s="321" customFormat="1" ht="13.35" customHeight="1" outlineLevel="1">
      <c r="A20" s="1174"/>
      <c r="B20" s="927" t="s">
        <v>141</v>
      </c>
      <c r="C20" s="927"/>
      <c r="D20" s="926" t="s">
        <v>604</v>
      </c>
      <c r="E20" s="172">
        <f>SUM(E15:E18)</f>
        <v>0</v>
      </c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72"/>
      <c r="AA20" s="172"/>
      <c r="AB20" s="172"/>
      <c r="AC20" s="172"/>
      <c r="AD20" s="172"/>
      <c r="AE20" s="172"/>
      <c r="AF20" s="172"/>
      <c r="AG20" s="172"/>
      <c r="AH20" s="172"/>
      <c r="AI20" s="172"/>
      <c r="AJ20" s="172"/>
      <c r="AK20" s="172"/>
      <c r="AL20" s="172"/>
      <c r="AM20" s="172"/>
      <c r="AN20" s="172"/>
      <c r="AO20" s="172"/>
      <c r="AP20" s="172"/>
      <c r="AQ20" s="172"/>
      <c r="AR20" s="172"/>
      <c r="AS20" s="172"/>
      <c r="AT20" s="172"/>
      <c r="AU20" s="172"/>
      <c r="AV20" s="172"/>
      <c r="AW20" s="172"/>
      <c r="AX20" s="172"/>
      <c r="AY20" s="172"/>
      <c r="AZ20" s="172"/>
      <c r="BA20" s="172"/>
      <c r="BB20" s="172"/>
      <c r="BC20" s="917"/>
      <c r="BD20" s="172">
        <f>SUM(BD15:BD19)</f>
        <v>120.08500000000001</v>
      </c>
      <c r="BE20" s="172">
        <f>SUM(BE15:BE19)</f>
        <v>146.63513530251376</v>
      </c>
      <c r="BF20" s="917">
        <f>SUM(BD20:BE20)</f>
        <v>266.72013530251377</v>
      </c>
      <c r="BG20" s="172">
        <f>SUM(BG15:BG19)</f>
        <v>150.46199999999999</v>
      </c>
      <c r="BH20" s="172"/>
      <c r="BI20" s="917">
        <v>290.04500000000002</v>
      </c>
      <c r="BJ20" s="172">
        <f>SUM(BJ15:BJ19)</f>
        <v>139.19399999999999</v>
      </c>
      <c r="BK20" s="172">
        <f>SUM(BK15:BK19)</f>
        <v>144.04000000000002</v>
      </c>
      <c r="BL20" s="917">
        <f>SUM(BJ20:BK20)</f>
        <v>283.23400000000004</v>
      </c>
      <c r="BM20" s="172">
        <f>SUM(BM15:BM19)</f>
        <v>165.17200000000003</v>
      </c>
      <c r="BN20" s="172">
        <f>SUM(BN15:BN19)</f>
        <v>183.79400000000001</v>
      </c>
      <c r="BO20" s="917">
        <f>SUM(BM20:BN20)</f>
        <v>348.96600000000001</v>
      </c>
      <c r="BP20" s="172">
        <f>SUM(BP15:BP19)</f>
        <v>212.02627476882591</v>
      </c>
      <c r="BQ20" s="172">
        <f>SUM(BQ15:BQ19)</f>
        <v>240.23372523117413</v>
      </c>
      <c r="BR20" s="917">
        <f>SUM(BP20:BQ20)</f>
        <v>452.26000000000005</v>
      </c>
      <c r="BS20" s="172">
        <f>SUM(BS15:BS19)</f>
        <v>263.84839571387568</v>
      </c>
      <c r="BT20" s="172">
        <f>SUM(BT15:BT19)</f>
        <v>271.24889113529952</v>
      </c>
      <c r="BU20" s="172">
        <f t="shared" si="36"/>
        <v>535.09728684917513</v>
      </c>
      <c r="BV20" s="172">
        <f>SUM(BV15:BV19)</f>
        <v>285.30191095510651</v>
      </c>
      <c r="BW20" s="172">
        <f>SUM(BW15:BW19)</f>
        <v>292.11374465986893</v>
      </c>
      <c r="BX20" s="172">
        <f t="shared" si="37"/>
        <v>577.41565561497544</v>
      </c>
      <c r="BY20" s="172">
        <f>SUM(BY15:BY19)</f>
        <v>339.53400701507331</v>
      </c>
      <c r="BZ20" s="172">
        <f>SUM(BZ15:BZ19)</f>
        <v>325.64865392442204</v>
      </c>
      <c r="CA20" s="172">
        <f t="shared" si="38"/>
        <v>665.18266093949535</v>
      </c>
      <c r="CB20" s="172">
        <f>SUM(CB15:CB19)</f>
        <v>331.77056818581059</v>
      </c>
      <c r="CC20" s="172">
        <f>SUM(CC15:CC19)</f>
        <v>372.93014887490813</v>
      </c>
      <c r="CD20" s="172">
        <f t="shared" si="39"/>
        <v>704.70071706071872</v>
      </c>
      <c r="CE20" s="172">
        <f>SUM(CE15:CE19)</f>
        <v>362.65346072280835</v>
      </c>
      <c r="CF20" s="172">
        <f>SUM(CF15:CF19)</f>
        <v>419.04083570144149</v>
      </c>
      <c r="CG20" s="172">
        <f t="shared" si="40"/>
        <v>781.69429642424984</v>
      </c>
      <c r="CH20" s="172">
        <f>SUM(CH15:CH19)</f>
        <v>375.36290545173983</v>
      </c>
      <c r="CI20" s="172">
        <f>SUM(CI15:CI19)</f>
        <v>378.33900162441603</v>
      </c>
      <c r="CJ20" s="172">
        <f t="shared" si="41"/>
        <v>753.70190707615586</v>
      </c>
      <c r="CK20" s="172">
        <f>SUM(CK15:CK19)</f>
        <v>378.48712664803105</v>
      </c>
      <c r="CL20" s="172">
        <f>SUM(CL15:CL19)</f>
        <v>346.38322347682225</v>
      </c>
      <c r="CM20" s="172">
        <f t="shared" si="42"/>
        <v>724.8703501248533</v>
      </c>
      <c r="CN20" s="172">
        <f>SUM(CN15:CN19)</f>
        <v>355.565870426049</v>
      </c>
      <c r="CO20" s="172">
        <f>SUM(CO15:CO19)</f>
        <v>417.32751057402567</v>
      </c>
      <c r="CP20" s="172">
        <f t="shared" si="43"/>
        <v>772.89338100007467</v>
      </c>
      <c r="CQ20" s="172">
        <f>SUM(CQ15:CQ19)</f>
        <v>438.35400000000004</v>
      </c>
      <c r="CR20" s="172">
        <f>SUM(CR15:CR19)</f>
        <v>487.27499999999992</v>
      </c>
      <c r="CS20" s="172">
        <f t="shared" si="44"/>
        <v>925.62899999999991</v>
      </c>
      <c r="CT20" s="172">
        <f>SUM(CT15:CT19)</f>
        <v>558.08851183171578</v>
      </c>
      <c r="CU20" s="172">
        <f>SUM(CU15:CU19)</f>
        <v>570.79145808650867</v>
      </c>
      <c r="CV20" s="172">
        <f t="shared" si="45"/>
        <v>1128.8799699182246</v>
      </c>
      <c r="CW20" s="172">
        <f>SUM(CW15:CW19)</f>
        <v>609.11819903206469</v>
      </c>
      <c r="CX20" s="172">
        <f>SUM(CX15:CX19)</f>
        <v>644.72689535415452</v>
      </c>
      <c r="CY20" s="172">
        <f t="shared" si="46"/>
        <v>1253.8450943862192</v>
      </c>
      <c r="CZ20" s="172">
        <f>SUM(CZ15:CZ19)</f>
        <v>639.03456370561855</v>
      </c>
      <c r="DA20" s="172">
        <f>SUM(DA15:DA19)</f>
        <v>704.37448173547068</v>
      </c>
      <c r="DB20" s="172">
        <f t="shared" si="47"/>
        <v>1343.4090454410893</v>
      </c>
      <c r="DC20" s="172">
        <f>SUM(DC15:DC19)</f>
        <v>701.23750527281175</v>
      </c>
      <c r="DD20" s="172">
        <f>SUM(DD15:DD19)</f>
        <v>722.31998173020418</v>
      </c>
      <c r="DE20" s="172">
        <f t="shared" si="48"/>
        <v>1423.5574870030159</v>
      </c>
      <c r="DF20" s="172">
        <f>SUM(DF15:DF19)</f>
        <v>752.86346784113209</v>
      </c>
      <c r="DG20" s="172">
        <f>SUM(DG15:DG19)</f>
        <v>572.26441110635983</v>
      </c>
      <c r="DH20" s="1060">
        <f t="shared" si="49"/>
        <v>1325.1278789474918</v>
      </c>
      <c r="DI20" s="1184">
        <f>SUM(DI15:DI19)</f>
        <v>743.19999999999993</v>
      </c>
      <c r="DJ20" s="1184">
        <f>SUM(DJ15:DJ19)</f>
        <v>754.4</v>
      </c>
      <c r="DK20" s="1185">
        <f t="shared" si="50"/>
        <v>1497.6</v>
      </c>
      <c r="DL20" s="889">
        <f>SUM(DL15:DL19)</f>
        <v>820.7</v>
      </c>
      <c r="DM20" s="889">
        <f>SUM(DM15:DM19)</f>
        <v>827.59999999999991</v>
      </c>
      <c r="DN20" s="1060">
        <f t="shared" si="51"/>
        <v>1648.3</v>
      </c>
      <c r="DO20" s="889">
        <f>SUM(DO15:DO19)</f>
        <v>884.90000000000009</v>
      </c>
      <c r="DP20" s="889">
        <f>SUM(DP15:DP19)</f>
        <v>1051.2</v>
      </c>
      <c r="DQ20" s="1060">
        <f t="shared" si="52"/>
        <v>1936.1000000000001</v>
      </c>
      <c r="DR20" s="889">
        <f>SUM(DR15:DR19)</f>
        <v>1098.5</v>
      </c>
      <c r="DS20" s="889">
        <f>SUM(DS15:DS19)</f>
        <v>1137.1000000000001</v>
      </c>
      <c r="DT20" s="1060">
        <f t="shared" si="53"/>
        <v>2235.6000000000004</v>
      </c>
      <c r="DU20" s="889">
        <f>SUM(DU15:DU19)</f>
        <v>1171.8900000000001</v>
      </c>
      <c r="DV20" s="889">
        <f>SUM(DV15:DV19)</f>
        <v>1171.2099999999998</v>
      </c>
      <c r="DW20" s="1060">
        <f t="shared" si="54"/>
        <v>2343.1</v>
      </c>
      <c r="DX20" s="889">
        <f>SUM(DX15:DX19)</f>
        <v>1167.2</v>
      </c>
      <c r="DY20" s="889">
        <f>SUM(DY15:DY19)</f>
        <v>1342.3699108342046</v>
      </c>
      <c r="DZ20" s="1060">
        <f t="shared" si="55"/>
        <v>2509.5699108342046</v>
      </c>
      <c r="EA20" s="889">
        <f>SUM(EA15:EA19)</f>
        <v>1392.0604094030361</v>
      </c>
      <c r="EB20" s="889">
        <f>SUM(EB15:EB19)</f>
        <v>1434.948967430845</v>
      </c>
      <c r="EC20" s="1060">
        <f t="shared" si="56"/>
        <v>2827.0093768338811</v>
      </c>
      <c r="ED20" s="889">
        <f>SUM(ED15:ED19)</f>
        <v>1508.7872337030672</v>
      </c>
      <c r="EE20" s="889">
        <f>SUM(EE15:EE19)</f>
        <v>1555.4582819515335</v>
      </c>
      <c r="EF20" s="1060">
        <f t="shared" si="57"/>
        <v>3064.2455156546007</v>
      </c>
      <c r="EG20" s="889">
        <f>SUM(EG15:EG19)</f>
        <v>1644.578084736343</v>
      </c>
      <c r="EH20" s="889">
        <f>SUM(EH15:EH19)</f>
        <v>1695.4495273271714</v>
      </c>
      <c r="EI20" s="1060">
        <f t="shared" si="58"/>
        <v>3340.0276120635144</v>
      </c>
      <c r="EJ20" s="889">
        <f>SUM(EJ15:EJ19)</f>
        <v>1792.590112362614</v>
      </c>
      <c r="EK20" s="889">
        <f>SUM(EK15:EK19)</f>
        <v>1848.0399847866172</v>
      </c>
      <c r="EL20" s="1060">
        <f t="shared" si="59"/>
        <v>3640.630097149231</v>
      </c>
      <c r="EM20" s="889">
        <f>SUM(EM15:EM19)</f>
        <v>1953.9232224752495</v>
      </c>
      <c r="EN20" s="889">
        <f>SUM(EN15:EN19)</f>
        <v>2014.3635834174127</v>
      </c>
      <c r="EO20" s="1060">
        <f t="shared" si="60"/>
        <v>3968.2868058926624</v>
      </c>
      <c r="EP20" s="889">
        <f>SUM(EP15:EP19)</f>
        <v>2129.776312498022</v>
      </c>
      <c r="EQ20" s="889">
        <f>SUM(EQ15:EQ19)</f>
        <v>2195.6563059249802</v>
      </c>
      <c r="ER20" s="1060">
        <f t="shared" si="61"/>
        <v>4325.4326184230022</v>
      </c>
      <c r="ES20" s="889">
        <f>SUM(ES15:ES19)</f>
        <v>2321.4561806228444</v>
      </c>
      <c r="ET20" s="889">
        <f>SUM(ET15:ET19)</f>
        <v>2393.2653734582286</v>
      </c>
      <c r="EU20" s="1060">
        <f t="shared" si="62"/>
        <v>4714.721554081073</v>
      </c>
      <c r="EV20" s="889">
        <f>SUM(EV15:EV19)</f>
        <v>2530.3872368789007</v>
      </c>
      <c r="EW20" s="889">
        <f>SUM(EW15:EW19)</f>
        <v>2608.6592570694688</v>
      </c>
      <c r="EX20" s="1060">
        <f t="shared" si="63"/>
        <v>5139.04649394837</v>
      </c>
      <c r="EY20" s="889">
        <f>SUM(EY15:EY19)</f>
        <v>2758.1220881980016</v>
      </c>
      <c r="EZ20" s="889">
        <f>SUM(EZ15:EZ19)</f>
        <v>2843.438590205722</v>
      </c>
      <c r="FA20" s="1060">
        <f t="shared" si="64"/>
        <v>5601.5606784037236</v>
      </c>
      <c r="FB20" s="261"/>
      <c r="FC20" s="172"/>
      <c r="FE20" s="172"/>
      <c r="FF20" s="172"/>
      <c r="FG20" s="172"/>
      <c r="FH20" s="35"/>
      <c r="FI20" s="35"/>
      <c r="FJ20" s="35"/>
      <c r="FK20" s="35"/>
      <c r="FL20" s="35"/>
      <c r="FM20" s="35"/>
      <c r="FN20" s="35"/>
      <c r="FO20" s="35"/>
      <c r="FP20" s="35"/>
      <c r="FQ20" s="35"/>
    </row>
    <row r="21" spans="1:173" s="918" customFormat="1" ht="13.35" customHeight="1" outlineLevel="1">
      <c r="A21" s="1419"/>
      <c r="B21" s="1186" t="s">
        <v>287</v>
      </c>
      <c r="C21" s="1186"/>
      <c r="D21" s="1187" t="s">
        <v>604</v>
      </c>
      <c r="E21" s="1188"/>
      <c r="F21" s="1189"/>
      <c r="G21" s="1188"/>
      <c r="H21" s="1188"/>
      <c r="I21" s="1189"/>
      <c r="J21" s="1188"/>
      <c r="K21" s="1188"/>
      <c r="L21" s="1189"/>
      <c r="M21" s="1188"/>
      <c r="N21" s="1188"/>
      <c r="O21" s="1189"/>
      <c r="P21" s="1188"/>
      <c r="Q21" s="1188"/>
      <c r="R21" s="1189"/>
      <c r="S21" s="1188"/>
      <c r="T21" s="1188"/>
      <c r="U21" s="1189"/>
      <c r="V21" s="1188"/>
      <c r="W21" s="1188"/>
      <c r="X21" s="1189"/>
      <c r="Y21" s="1188"/>
      <c r="Z21" s="1188"/>
      <c r="AA21" s="1189"/>
      <c r="AB21" s="1188"/>
      <c r="AC21" s="1188"/>
      <c r="AD21" s="1189"/>
      <c r="AE21" s="1188"/>
      <c r="AF21" s="1188"/>
      <c r="AG21" s="1189"/>
      <c r="AH21" s="1188"/>
      <c r="AI21" s="1188"/>
      <c r="AJ21" s="1189"/>
      <c r="AK21" s="1188"/>
      <c r="AL21" s="1188"/>
      <c r="AM21" s="1189"/>
      <c r="AN21" s="1188"/>
      <c r="AO21" s="1188"/>
      <c r="AP21" s="1189"/>
      <c r="AQ21" s="1188"/>
      <c r="AR21" s="1188"/>
      <c r="AS21" s="1190"/>
      <c r="AT21" s="1188"/>
      <c r="AU21" s="1188"/>
      <c r="AV21" s="1190"/>
      <c r="AW21" s="1188"/>
      <c r="AX21" s="1188">
        <v>0</v>
      </c>
      <c r="AY21" s="1190">
        <f>AZ21-AX21</f>
        <v>0</v>
      </c>
      <c r="AZ21" s="1188">
        <v>0</v>
      </c>
      <c r="BA21" s="1189"/>
      <c r="BB21" s="1189"/>
      <c r="BC21" s="1191"/>
      <c r="BD21" s="1189">
        <f>SUM(BD15:BD17)</f>
        <v>120.08500000000001</v>
      </c>
      <c r="BE21" s="1189">
        <f>SUM(BE15:BE17)</f>
        <v>146.63513530251376</v>
      </c>
      <c r="BF21" s="1191">
        <f>SUM(BD21:BE21)</f>
        <v>266.72013530251377</v>
      </c>
      <c r="BG21" s="1189">
        <f>SUM(BG15:BG17)</f>
        <v>146.625</v>
      </c>
      <c r="BH21" s="1189"/>
      <c r="BI21" s="1191"/>
      <c r="BJ21" s="1189">
        <f>SUM(BJ15:BJ17)</f>
        <v>124.09399999999999</v>
      </c>
      <c r="BK21" s="1189">
        <f>SUM(BK15:BK17)</f>
        <v>128.85300000000001</v>
      </c>
      <c r="BL21" s="1191">
        <f>SUM(BJ21:BK21)</f>
        <v>252.947</v>
      </c>
      <c r="BM21" s="1189">
        <f>SUM(BM15:BM17)</f>
        <v>153.31800000000001</v>
      </c>
      <c r="BN21" s="1189">
        <f>SUM(BN15:BN17)</f>
        <v>168.857</v>
      </c>
      <c r="BO21" s="1191">
        <f>SUM(BM21:BN21)</f>
        <v>322.17500000000001</v>
      </c>
      <c r="BP21" s="1189">
        <f>SUM(BP15:BP17)</f>
        <v>199.60227476882591</v>
      </c>
      <c r="BQ21" s="1189">
        <f>SUM(BQ15:BQ17)</f>
        <v>231.96472523117413</v>
      </c>
      <c r="BR21" s="1191">
        <f>SUM(BP21:BQ21)</f>
        <v>431.56700000000001</v>
      </c>
      <c r="BS21" s="1189">
        <f>SUM(BS15:BS17)</f>
        <v>258.39902611461224</v>
      </c>
      <c r="BT21" s="1189">
        <f>SUM(BT15:BT17)</f>
        <v>260.17234267391848</v>
      </c>
      <c r="BU21" s="1189">
        <f t="shared" si="36"/>
        <v>518.57136878853066</v>
      </c>
      <c r="BV21" s="1189">
        <f>SUM(BV15:BV17)</f>
        <v>271.51151540312213</v>
      </c>
      <c r="BW21" s="1189">
        <f>SUM(BW15:BW17)</f>
        <v>284.62114021185329</v>
      </c>
      <c r="BX21" s="1189">
        <f t="shared" si="37"/>
        <v>556.13265561497542</v>
      </c>
      <c r="BY21" s="1189">
        <f>SUM(BY15:BY17)</f>
        <v>331.25030499721328</v>
      </c>
      <c r="BZ21" s="1189">
        <f>SUM(BZ15:BZ17)</f>
        <v>351.06074142574516</v>
      </c>
      <c r="CA21" s="1189">
        <f t="shared" si="38"/>
        <v>682.3110464229585</v>
      </c>
      <c r="CB21" s="1189">
        <f>SUM(CB15:CB17)</f>
        <v>321.07765928187575</v>
      </c>
      <c r="CC21" s="1189">
        <f>SUM(CC15:CC17)</f>
        <v>344.97149189084274</v>
      </c>
      <c r="CD21" s="1189">
        <f t="shared" si="39"/>
        <v>666.04915117271844</v>
      </c>
      <c r="CE21" s="1189">
        <f>SUM(CE15:CE17)</f>
        <v>340.78846072280834</v>
      </c>
      <c r="CF21" s="1189">
        <f>SUM(CF15:CF17)</f>
        <v>363.4948357014415</v>
      </c>
      <c r="CG21" s="1189">
        <f t="shared" si="40"/>
        <v>704.28329642424978</v>
      </c>
      <c r="CH21" s="1189">
        <f>SUM(CH15:CH17)</f>
        <v>339.07990545173982</v>
      </c>
      <c r="CI21" s="1189">
        <f>SUM(CI15:CI17)</f>
        <v>340.18100162441596</v>
      </c>
      <c r="CJ21" s="1189">
        <f t="shared" si="41"/>
        <v>679.26090707615572</v>
      </c>
      <c r="CK21" s="1189">
        <f>SUM(CK15:CK17)</f>
        <v>354.97912664803107</v>
      </c>
      <c r="CL21" s="1189">
        <f>SUM(CL15:CL17)</f>
        <v>332.20022347682226</v>
      </c>
      <c r="CM21" s="1189">
        <f t="shared" si="42"/>
        <v>687.17935012485327</v>
      </c>
      <c r="CN21" s="1189">
        <f>SUM(CN15:CN17)</f>
        <v>361.47287042604898</v>
      </c>
      <c r="CO21" s="1189">
        <f>SUM(CO15:CO17)</f>
        <v>427.34722124515548</v>
      </c>
      <c r="CP21" s="1189">
        <f t="shared" si="43"/>
        <v>788.82009167120441</v>
      </c>
      <c r="CQ21" s="1189">
        <f>SUM(CQ15:CQ17)</f>
        <v>440.48900000000003</v>
      </c>
      <c r="CR21" s="1189">
        <f>SUM(CR15:CR17)</f>
        <v>501.40999999999991</v>
      </c>
      <c r="CS21" s="1189">
        <f t="shared" si="44"/>
        <v>941.89899999999989</v>
      </c>
      <c r="CT21" s="1189">
        <f>SUM(CT15:CT17)</f>
        <v>581.71999999999991</v>
      </c>
      <c r="CU21" s="1189">
        <f>SUM(CU15:CU17)</f>
        <v>574.73896991822448</v>
      </c>
      <c r="CV21" s="1192">
        <f t="shared" si="45"/>
        <v>1156.4589699182243</v>
      </c>
      <c r="CW21" s="1192">
        <f>SUM(CW15:CW17)</f>
        <v>604.34056866164394</v>
      </c>
      <c r="CX21" s="1192">
        <f>SUM(CX15:CX17)</f>
        <v>635.40452889210167</v>
      </c>
      <c r="CY21" s="1192">
        <f t="shared" si="46"/>
        <v>1239.7450975537456</v>
      </c>
      <c r="CZ21" s="1192">
        <f>SUM(CZ15:CZ17)</f>
        <v>629.0345811788078</v>
      </c>
      <c r="DA21" s="1192">
        <f>SUM(DA15:DA17)</f>
        <v>702.07448173547073</v>
      </c>
      <c r="DB21" s="1192">
        <f t="shared" si="47"/>
        <v>1331.1090629142786</v>
      </c>
      <c r="DC21" s="1192">
        <f>SUM(DC15:DC17)</f>
        <v>709.33656629043855</v>
      </c>
      <c r="DD21" s="1192">
        <f>SUM(DD15:DD17)</f>
        <v>733.59595513585543</v>
      </c>
      <c r="DE21" s="1192">
        <f t="shared" si="48"/>
        <v>1442.932521426294</v>
      </c>
      <c r="DF21" s="1192">
        <f>SUM(DF15:DF17)</f>
        <v>774.76346784113207</v>
      </c>
      <c r="DG21" s="1192">
        <f>SUM(DG15:DG17)</f>
        <v>582.06441110635978</v>
      </c>
      <c r="DH21" s="1156">
        <f t="shared" si="49"/>
        <v>1356.8278789474919</v>
      </c>
      <c r="DI21" s="1193">
        <f>SUM(DI15:DI17)</f>
        <v>742.8</v>
      </c>
      <c r="DJ21" s="1193">
        <f>SUM(DJ15:DJ17)</f>
        <v>750.5</v>
      </c>
      <c r="DK21" s="1194">
        <f t="shared" si="50"/>
        <v>1493.3</v>
      </c>
      <c r="DL21" s="1195">
        <f>SUM(DL15:DL17)</f>
        <v>815.30000000000007</v>
      </c>
      <c r="DM21" s="1195">
        <f>SUM(DM15:DM17)</f>
        <v>825.8</v>
      </c>
      <c r="DN21" s="1156">
        <f t="shared" si="51"/>
        <v>1641.1</v>
      </c>
      <c r="DO21" s="1195">
        <f>SUM(DO15:DO17)</f>
        <v>892.30000000000007</v>
      </c>
      <c r="DP21" s="1195">
        <f>SUM(DP15:DP17)</f>
        <v>1063.4000000000001</v>
      </c>
      <c r="DQ21" s="1156">
        <f t="shared" si="52"/>
        <v>1955.7000000000003</v>
      </c>
      <c r="DR21" s="1195">
        <f>SUM(DR15:DR17)</f>
        <v>1113.4000000000001</v>
      </c>
      <c r="DS21" s="1195">
        <f>SUM(DS15:DS17)</f>
        <v>1144.8000000000002</v>
      </c>
      <c r="DT21" s="1156">
        <f t="shared" si="53"/>
        <v>2258.2000000000003</v>
      </c>
      <c r="DU21" s="1195">
        <f>SUM(DU15:DU17)</f>
        <v>1169.9000000000001</v>
      </c>
      <c r="DV21" s="1195">
        <f>SUM(DV15:DV17)</f>
        <v>1185.8999999999999</v>
      </c>
      <c r="DW21" s="1156">
        <f t="shared" si="54"/>
        <v>2355.8000000000002</v>
      </c>
      <c r="DX21" s="1195">
        <f>SUM(DX15:DX17)</f>
        <v>1176</v>
      </c>
      <c r="DY21" s="1195">
        <f>SUM(DY15:DY17)</f>
        <v>1337.3662599402742</v>
      </c>
      <c r="DZ21" s="1156">
        <f t="shared" si="55"/>
        <v>2513.3662599402742</v>
      </c>
      <c r="EA21" s="1195">
        <f>SUM(EA15:EA17)</f>
        <v>1386.8816289711754</v>
      </c>
      <c r="EB21" s="1195">
        <f>SUM(EB15:EB17)</f>
        <v>1429.7701869989842</v>
      </c>
      <c r="EC21" s="1156">
        <f t="shared" si="56"/>
        <v>2816.6518159701595</v>
      </c>
      <c r="ED21" s="1195">
        <f>SUM(ED15:ED17)</f>
        <v>1508.7872337030672</v>
      </c>
      <c r="EE21" s="1195">
        <f>SUM(EE15:EE17)</f>
        <v>1555.4582819515335</v>
      </c>
      <c r="EF21" s="1156">
        <f t="shared" si="57"/>
        <v>3064.2455156546007</v>
      </c>
      <c r="EG21" s="1195">
        <f>SUM(EG15:EG17)</f>
        <v>1644.578084736343</v>
      </c>
      <c r="EH21" s="1195">
        <f>SUM(EH15:EH17)</f>
        <v>1695.4495273271714</v>
      </c>
      <c r="EI21" s="1156">
        <f t="shared" si="58"/>
        <v>3340.0276120635144</v>
      </c>
      <c r="EJ21" s="1195">
        <f>SUM(EJ15:EJ17)</f>
        <v>1792.590112362614</v>
      </c>
      <c r="EK21" s="1195">
        <f>SUM(EK15:EK17)</f>
        <v>1848.0399847866172</v>
      </c>
      <c r="EL21" s="1156">
        <f t="shared" si="59"/>
        <v>3640.630097149231</v>
      </c>
      <c r="EM21" s="1195">
        <f>SUM(EM15:EM17)</f>
        <v>1953.9232224752495</v>
      </c>
      <c r="EN21" s="1195">
        <f>SUM(EN15:EN17)</f>
        <v>2014.3635834174127</v>
      </c>
      <c r="EO21" s="1156">
        <f t="shared" si="60"/>
        <v>3968.2868058926624</v>
      </c>
      <c r="EP21" s="1195">
        <f>SUM(EP15:EP17)</f>
        <v>2129.776312498022</v>
      </c>
      <c r="EQ21" s="1195">
        <f>SUM(EQ15:EQ17)</f>
        <v>2195.6563059249802</v>
      </c>
      <c r="ER21" s="1156">
        <f t="shared" si="61"/>
        <v>4325.4326184230022</v>
      </c>
      <c r="ES21" s="1195">
        <f>SUM(ES15:ES17)</f>
        <v>2321.4561806228444</v>
      </c>
      <c r="ET21" s="1195">
        <f>SUM(ET15:ET17)</f>
        <v>2393.2653734582286</v>
      </c>
      <c r="EU21" s="1156">
        <f t="shared" si="62"/>
        <v>4714.721554081073</v>
      </c>
      <c r="EV21" s="1195">
        <f>SUM(EV15:EV17)</f>
        <v>2530.3872368789007</v>
      </c>
      <c r="EW21" s="1195">
        <f>SUM(EW15:EW17)</f>
        <v>2608.6592570694688</v>
      </c>
      <c r="EX21" s="1156">
        <f t="shared" si="63"/>
        <v>5139.04649394837</v>
      </c>
      <c r="EY21" s="1195">
        <f>SUM(EY15:EY17)</f>
        <v>2758.1220881980016</v>
      </c>
      <c r="EZ21" s="1195">
        <f>SUM(EZ15:EZ17)</f>
        <v>2843.438590205722</v>
      </c>
      <c r="FA21" s="1156">
        <f t="shared" si="64"/>
        <v>5601.5606784037236</v>
      </c>
      <c r="FC21" s="1001"/>
      <c r="FE21" s="1002"/>
      <c r="FF21" s="1002"/>
      <c r="FG21" s="1001"/>
      <c r="FH21" s="78"/>
      <c r="FI21" s="78"/>
      <c r="FJ21" s="78"/>
      <c r="FK21" s="78"/>
      <c r="FL21" s="78"/>
      <c r="FM21" s="78"/>
      <c r="FN21" s="78"/>
      <c r="FO21" s="78"/>
      <c r="FP21" s="78"/>
      <c r="FQ21" s="78"/>
    </row>
    <row r="22" spans="1:173" s="321" customFormat="1" ht="13.35" customHeight="1" outlineLevel="1">
      <c r="A22" s="1174"/>
      <c r="B22" s="927"/>
      <c r="C22" s="927"/>
      <c r="D22" s="926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  <c r="AC22" s="172"/>
      <c r="AD22" s="172"/>
      <c r="AE22" s="172"/>
      <c r="AF22" s="172"/>
      <c r="AG22" s="172"/>
      <c r="AH22" s="172"/>
      <c r="AI22" s="172"/>
      <c r="AJ22" s="172"/>
      <c r="AK22" s="172"/>
      <c r="AL22" s="172"/>
      <c r="AM22" s="172"/>
      <c r="AN22" s="172"/>
      <c r="AO22" s="172"/>
      <c r="AP22" s="172"/>
      <c r="AQ22" s="172"/>
      <c r="AR22" s="172"/>
      <c r="AS22" s="172"/>
      <c r="AT22" s="172"/>
      <c r="AU22" s="172"/>
      <c r="AV22" s="172"/>
      <c r="AW22" s="172"/>
      <c r="AX22" s="172"/>
      <c r="AY22" s="172"/>
      <c r="AZ22" s="172"/>
      <c r="BA22" s="172"/>
      <c r="BB22" s="172"/>
      <c r="BC22" s="917"/>
      <c r="BD22" s="172"/>
      <c r="BE22" s="172"/>
      <c r="BF22" s="917"/>
      <c r="BG22" s="172"/>
      <c r="BH22" s="172"/>
      <c r="BI22" s="917"/>
      <c r="BJ22" s="172"/>
      <c r="BK22" s="172"/>
      <c r="BL22" s="917"/>
      <c r="BM22" s="172"/>
      <c r="BN22" s="172"/>
      <c r="BO22" s="917"/>
      <c r="BP22" s="172"/>
      <c r="BQ22" s="172"/>
      <c r="BR22" s="917"/>
      <c r="BS22" s="172"/>
      <c r="BT22" s="172"/>
      <c r="BU22" s="172"/>
      <c r="BV22" s="172"/>
      <c r="BW22" s="172"/>
      <c r="BX22" s="172"/>
      <c r="BY22" s="172"/>
      <c r="BZ22" s="172"/>
      <c r="CA22" s="173"/>
      <c r="CB22" s="172"/>
      <c r="CC22" s="172"/>
      <c r="CD22" s="172"/>
      <c r="CE22" s="172"/>
      <c r="CF22" s="172"/>
      <c r="CG22" s="172"/>
      <c r="CH22" s="172"/>
      <c r="CI22" s="172"/>
      <c r="CJ22" s="172"/>
      <c r="CK22" s="172"/>
      <c r="CL22" s="172"/>
      <c r="CM22" s="172"/>
      <c r="CN22" s="172"/>
      <c r="CO22" s="172"/>
      <c r="CP22" s="172"/>
      <c r="CQ22" s="172"/>
      <c r="CR22" s="172"/>
      <c r="CS22" s="172"/>
      <c r="CT22" s="178"/>
      <c r="CU22" s="172"/>
      <c r="CV22" s="173"/>
      <c r="CW22" s="172"/>
      <c r="CX22" s="172"/>
      <c r="CY22" s="172"/>
      <c r="CZ22" s="177"/>
      <c r="DA22" s="177"/>
      <c r="DB22" s="172"/>
      <c r="DC22" s="172"/>
      <c r="DD22" s="172"/>
      <c r="DE22" s="177"/>
      <c r="DF22" s="172"/>
      <c r="DG22" s="172"/>
      <c r="DH22" s="1060"/>
      <c r="DI22" s="1184"/>
      <c r="DJ22" s="1184"/>
      <c r="DK22" s="1185"/>
      <c r="DL22" s="889"/>
      <c r="DM22" s="889"/>
      <c r="DN22" s="1060"/>
      <c r="DO22" s="889"/>
      <c r="DP22" s="889"/>
      <c r="DQ22" s="1060"/>
      <c r="DR22" s="889"/>
      <c r="DS22" s="889"/>
      <c r="DT22" s="1060"/>
      <c r="DU22" s="889"/>
      <c r="DV22" s="889"/>
      <c r="DW22" s="1060"/>
      <c r="DX22" s="889"/>
      <c r="DY22" s="889"/>
      <c r="DZ22" s="1060"/>
      <c r="EA22" s="889"/>
      <c r="EB22" s="889"/>
      <c r="EC22" s="1060"/>
      <c r="ED22" s="889"/>
      <c r="EE22" s="889"/>
      <c r="EF22" s="1060"/>
      <c r="EG22" s="889"/>
      <c r="EH22" s="889"/>
      <c r="EI22" s="1060"/>
      <c r="EJ22" s="889"/>
      <c r="EK22" s="889"/>
      <c r="EL22" s="1060"/>
      <c r="EM22" s="889"/>
      <c r="EN22" s="889"/>
      <c r="EO22" s="1060"/>
      <c r="EP22" s="889"/>
      <c r="EQ22" s="889"/>
      <c r="ER22" s="1060"/>
      <c r="ES22" s="889"/>
      <c r="ET22" s="889"/>
      <c r="EU22" s="1060"/>
      <c r="EV22" s="889"/>
      <c r="EW22" s="889"/>
      <c r="EX22" s="1060"/>
      <c r="EY22" s="889"/>
      <c r="EZ22" s="889"/>
      <c r="FA22" s="1060"/>
      <c r="FB22" s="918"/>
      <c r="FC22" s="172"/>
      <c r="FE22" s="172"/>
      <c r="FF22" s="172"/>
      <c r="FG22" s="172"/>
      <c r="FH22" s="35"/>
      <c r="FI22" s="35"/>
      <c r="FJ22" s="35"/>
      <c r="FK22" s="35"/>
      <c r="FL22" s="35"/>
      <c r="FM22" s="35"/>
      <c r="FN22" s="35"/>
      <c r="FO22" s="35"/>
      <c r="FP22" s="35"/>
      <c r="FQ22" s="35"/>
    </row>
    <row r="23" spans="1:173" s="321" customFormat="1" ht="13.35" customHeight="1" outlineLevel="1">
      <c r="A23" s="1174"/>
      <c r="B23" s="927"/>
      <c r="C23" s="927" t="s">
        <v>396</v>
      </c>
      <c r="D23" s="926" t="s">
        <v>604</v>
      </c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2"/>
      <c r="AA23" s="172"/>
      <c r="AB23" s="172"/>
      <c r="AC23" s="172"/>
      <c r="AD23" s="172"/>
      <c r="AE23" s="172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2"/>
      <c r="AS23" s="172"/>
      <c r="AT23" s="172"/>
      <c r="AU23" s="172"/>
      <c r="AV23" s="172"/>
      <c r="AW23" s="172"/>
      <c r="AX23" s="172"/>
      <c r="AY23" s="172"/>
      <c r="AZ23" s="172"/>
      <c r="BA23" s="172"/>
      <c r="BB23" s="172"/>
      <c r="BC23" s="917"/>
      <c r="BD23" s="172"/>
      <c r="BE23" s="172"/>
      <c r="BF23" s="917"/>
      <c r="BG23" s="172"/>
      <c r="BH23" s="172"/>
      <c r="BI23" s="917"/>
      <c r="BJ23" s="172"/>
      <c r="BK23" s="172"/>
      <c r="BL23" s="917"/>
      <c r="BM23" s="172"/>
      <c r="BN23" s="172"/>
      <c r="BO23" s="917">
        <v>307.39999999999998</v>
      </c>
      <c r="BP23" s="172"/>
      <c r="BQ23" s="172"/>
      <c r="BR23" s="917">
        <v>379.9</v>
      </c>
      <c r="BS23" s="172">
        <f>BS118</f>
        <v>240.26298874121534</v>
      </c>
      <c r="BT23" s="172">
        <f>BT118</f>
        <v>239.92298944488934</v>
      </c>
      <c r="BU23" s="172">
        <f>SUM(BS23:BT23)</f>
        <v>480.18597818610465</v>
      </c>
      <c r="BV23" s="172">
        <f>BV118</f>
        <v>247.47600000000003</v>
      </c>
      <c r="BW23" s="172">
        <f>BW118</f>
        <v>257.36599999999999</v>
      </c>
      <c r="BX23" s="172">
        <f>SUM(BV23:BW23)</f>
        <v>504.84199999999998</v>
      </c>
      <c r="BY23" s="172">
        <f>BY118</f>
        <v>301.125</v>
      </c>
      <c r="BZ23" s="172">
        <f>BZ118</f>
        <v>320.53470584989981</v>
      </c>
      <c r="CA23" s="172">
        <f>SUM(BY23:BZ23)</f>
        <v>621.65970584989986</v>
      </c>
      <c r="CB23" s="172">
        <f>CB118</f>
        <v>290.50063374778705</v>
      </c>
      <c r="CC23" s="172">
        <f>CC118</f>
        <v>313.24028843046295</v>
      </c>
      <c r="CD23" s="172">
        <f>SUM(CB23:CC23)</f>
        <v>603.74092217825</v>
      </c>
      <c r="CE23" s="172">
        <f>CE118</f>
        <v>309.60735564144721</v>
      </c>
      <c r="CF23" s="172">
        <f>CF118</f>
        <v>338.38816507561154</v>
      </c>
      <c r="CG23" s="172">
        <f>SUM(CE23:CF23)</f>
        <v>647.99552071705875</v>
      </c>
      <c r="CH23" s="172">
        <f>CH118</f>
        <v>311.52883226867505</v>
      </c>
      <c r="CI23" s="172">
        <f>CI118</f>
        <v>315.16325555617033</v>
      </c>
      <c r="CJ23" s="172">
        <f>SUM(CH23:CI23)</f>
        <v>626.69208782484543</v>
      </c>
      <c r="CK23" s="172">
        <f>CK118</f>
        <v>329.6963354977903</v>
      </c>
      <c r="CL23" s="172">
        <f>CL118</f>
        <v>306.7016742169655</v>
      </c>
      <c r="CM23" s="172">
        <f>SUM(CK23:CL23)</f>
        <v>636.39800971475574</v>
      </c>
      <c r="CN23" s="172">
        <f>CN118</f>
        <v>330.97228841609268</v>
      </c>
      <c r="CO23" s="172">
        <f>CO118</f>
        <v>389.69500000000005</v>
      </c>
      <c r="CP23" s="172">
        <f>SUM(CN23:CO23)</f>
        <v>720.66728841609279</v>
      </c>
      <c r="CQ23" s="172">
        <f>CQ118</f>
        <v>271.22399999999999</v>
      </c>
      <c r="CR23" s="172">
        <f>CR118</f>
        <v>393.45599999999996</v>
      </c>
      <c r="CS23" s="172">
        <f>SUM(CQ23:CR23)</f>
        <v>664.68</v>
      </c>
      <c r="CT23" s="172">
        <f>CT118</f>
        <v>362.70699999999988</v>
      </c>
      <c r="CU23" s="172">
        <f>CU118</f>
        <v>366.36966605092869</v>
      </c>
      <c r="CV23" s="172">
        <f>SUM(CT23:CU23)</f>
        <v>729.07666605092857</v>
      </c>
      <c r="CW23" s="172">
        <f>CW118</f>
        <v>377.09124853852416</v>
      </c>
      <c r="CX23" s="172">
        <f>CX118</f>
        <v>390.77654280262499</v>
      </c>
      <c r="CY23" s="172">
        <f>SUM(CW23:CX23)</f>
        <v>767.86779134114909</v>
      </c>
      <c r="CZ23" s="172">
        <f>CZ118</f>
        <v>393.30012768183576</v>
      </c>
      <c r="DA23" s="172">
        <f>DA118</f>
        <v>437.69981603566868</v>
      </c>
      <c r="DB23" s="172">
        <f>SUM(CZ23:DA23)</f>
        <v>830.99994371750449</v>
      </c>
      <c r="DC23" s="172">
        <f>DC118</f>
        <v>413.9</v>
      </c>
      <c r="DD23" s="172">
        <f>DD118</f>
        <v>431.20290469853671</v>
      </c>
      <c r="DE23" s="172">
        <f>SUM(DC23:DD23)</f>
        <v>845.10290469853669</v>
      </c>
      <c r="DF23" s="172">
        <f>DF118</f>
        <v>469.9</v>
      </c>
      <c r="DG23" s="172">
        <f>DG118</f>
        <v>348.03900982800087</v>
      </c>
      <c r="DH23" s="1060">
        <f>SUM(DF23:DG23)</f>
        <v>817.93900982800085</v>
      </c>
      <c r="DI23" s="1184">
        <f>DI118</f>
        <v>454.7</v>
      </c>
      <c r="DJ23" s="1184">
        <f>DJ118</f>
        <v>443.90000000000003</v>
      </c>
      <c r="DK23" s="1185">
        <f>SUM(DI23:DJ23)</f>
        <v>898.6</v>
      </c>
      <c r="DL23" s="889">
        <f>DL118</f>
        <v>457.9</v>
      </c>
      <c r="DM23" s="889">
        <f>DM118</f>
        <v>477.30000000000007</v>
      </c>
      <c r="DN23" s="1060">
        <f>SUM(DL23:DM23)</f>
        <v>935.2</v>
      </c>
      <c r="DO23" s="889">
        <f>DO118</f>
        <v>513.1</v>
      </c>
      <c r="DP23" s="889">
        <f>DP118</f>
        <v>618.30000000000007</v>
      </c>
      <c r="DQ23" s="1060">
        <f>SUM(DO23:DP23)</f>
        <v>1131.4000000000001</v>
      </c>
      <c r="DR23" s="889">
        <f>DR118</f>
        <v>648.5</v>
      </c>
      <c r="DS23" s="889">
        <f>DS118</f>
        <v>681.09999999999991</v>
      </c>
      <c r="DT23" s="1060">
        <f>SUM(DR23:DS23)</f>
        <v>1329.6</v>
      </c>
      <c r="DU23" s="889">
        <f>DU118</f>
        <v>724.5</v>
      </c>
      <c r="DV23" s="889">
        <f>DV118</f>
        <v>745.7</v>
      </c>
      <c r="DW23" s="1060">
        <f>SUM(DU23:DV23)</f>
        <v>1470.2</v>
      </c>
      <c r="DX23" s="889">
        <f>DX118</f>
        <v>724</v>
      </c>
      <c r="DY23" s="889">
        <f>DY118</f>
        <v>867.51280227652524</v>
      </c>
      <c r="DZ23" s="1060">
        <f>SUM(DX23:DY23)</f>
        <v>1591.5128022765252</v>
      </c>
      <c r="EA23" s="889">
        <f>EA118</f>
        <v>897.39432550488641</v>
      </c>
      <c r="EB23" s="889">
        <f>EB118</f>
        <v>928.23869843588216</v>
      </c>
      <c r="EC23" s="1060">
        <f>SUM(EA23:EB23)</f>
        <v>1825.6330239407685</v>
      </c>
      <c r="ED23" s="889">
        <f>ED118</f>
        <v>978.15981480032633</v>
      </c>
      <c r="EE23" s="889">
        <f>EE118</f>
        <v>1011.7801812951117</v>
      </c>
      <c r="EF23" s="1060">
        <f>SUM(ED23:EE23)</f>
        <v>1989.9399960954379</v>
      </c>
      <c r="EG23" s="889">
        <f>EG118</f>
        <v>1066.1941981323557</v>
      </c>
      <c r="EH23" s="889">
        <f>EH118</f>
        <v>1102.8403976116717</v>
      </c>
      <c r="EI23" s="1060">
        <f>SUM(EG23:EH23)</f>
        <v>2169.0345957440277</v>
      </c>
      <c r="EJ23" s="889">
        <f>EJ118</f>
        <v>1162.1516759642677</v>
      </c>
      <c r="EK23" s="889">
        <f>EK118</f>
        <v>1202.0960333967223</v>
      </c>
      <c r="EL23" s="1060">
        <f>SUM(EJ23:EK23)</f>
        <v>2364.24770936099</v>
      </c>
      <c r="EM23" s="889">
        <f>EM118</f>
        <v>1266.745326801052</v>
      </c>
      <c r="EN23" s="889">
        <f>EN118</f>
        <v>1310.2846764024273</v>
      </c>
      <c r="EO23" s="1060">
        <f>SUM(EM23:EN23)</f>
        <v>2577.0300032034793</v>
      </c>
      <c r="EP23" s="889">
        <f>EP118</f>
        <v>1380.7524062131467</v>
      </c>
      <c r="EQ23" s="889">
        <f>EQ118</f>
        <v>1428.2102972786458</v>
      </c>
      <c r="ER23" s="1060">
        <f>SUM(EP23:EQ23)</f>
        <v>2808.9627034917926</v>
      </c>
      <c r="ES23" s="889">
        <f>ES118</f>
        <v>1505.0201227723303</v>
      </c>
      <c r="ET23" s="889">
        <f>ET118</f>
        <v>1556.7492240337242</v>
      </c>
      <c r="EU23" s="1060">
        <f>SUM(ES23:ET23)</f>
        <v>3061.7693468060543</v>
      </c>
      <c r="EV23" s="889">
        <f>EV118</f>
        <v>1640.4719338218401</v>
      </c>
      <c r="EW23" s="889">
        <f>EW118</f>
        <v>1696.8566541967593</v>
      </c>
      <c r="EX23" s="1060">
        <f>SUM(EV23:EW23)</f>
        <v>3337.3285880185995</v>
      </c>
      <c r="EY23" s="889">
        <f>EY118</f>
        <v>1788.1144078658058</v>
      </c>
      <c r="EZ23" s="889">
        <f>EZ118</f>
        <v>1849.5737530744677</v>
      </c>
      <c r="FA23" s="1060">
        <f>SUM(EY23:EZ23)</f>
        <v>3637.6881609402735</v>
      </c>
      <c r="FB23" s="261"/>
      <c r="FC23" s="172"/>
      <c r="FE23" s="172"/>
      <c r="FF23" s="172"/>
      <c r="FG23" s="172"/>
      <c r="FH23" s="35"/>
      <c r="FI23" s="35"/>
      <c r="FJ23" s="35"/>
      <c r="FK23" s="35"/>
      <c r="FL23" s="35"/>
      <c r="FM23" s="35"/>
      <c r="FN23" s="35"/>
      <c r="FO23" s="35"/>
      <c r="FP23" s="35"/>
      <c r="FQ23" s="35"/>
    </row>
    <row r="24" spans="1:173" s="321" customFormat="1" ht="13.35" customHeight="1" outlineLevel="1">
      <c r="A24" s="1174"/>
      <c r="B24" s="927"/>
      <c r="C24" s="927" t="s">
        <v>932</v>
      </c>
      <c r="D24" s="926" t="s">
        <v>604</v>
      </c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72"/>
      <c r="AA24" s="172"/>
      <c r="AB24" s="172"/>
      <c r="AC24" s="172"/>
      <c r="AD24" s="172"/>
      <c r="AE24" s="172"/>
      <c r="AF24" s="172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2"/>
      <c r="AS24" s="172"/>
      <c r="AT24" s="172"/>
      <c r="AU24" s="172"/>
      <c r="AV24" s="172"/>
      <c r="AW24" s="172"/>
      <c r="AX24" s="172"/>
      <c r="AY24" s="172"/>
      <c r="AZ24" s="172"/>
      <c r="BA24" s="172"/>
      <c r="BB24" s="172"/>
      <c r="BC24" s="917"/>
      <c r="BD24" s="172"/>
      <c r="BE24" s="172"/>
      <c r="BF24" s="917"/>
      <c r="BG24" s="172"/>
      <c r="BH24" s="172"/>
      <c r="BI24" s="917"/>
      <c r="BJ24" s="172"/>
      <c r="BK24" s="172"/>
      <c r="BL24" s="917"/>
      <c r="BM24" s="172"/>
      <c r="BN24" s="172"/>
      <c r="BO24" s="917"/>
      <c r="BP24" s="172"/>
      <c r="BQ24" s="172"/>
      <c r="BR24" s="917"/>
      <c r="BS24" s="172"/>
      <c r="BT24" s="172"/>
      <c r="BU24" s="172"/>
      <c r="BV24" s="172"/>
      <c r="BW24" s="172"/>
      <c r="BX24" s="172"/>
      <c r="BY24" s="172"/>
      <c r="BZ24" s="172"/>
      <c r="CA24" s="172"/>
      <c r="CB24" s="172"/>
      <c r="CC24" s="172"/>
      <c r="CD24" s="172"/>
      <c r="CE24" s="172"/>
      <c r="CF24" s="172"/>
      <c r="CG24" s="172"/>
      <c r="CH24" s="172"/>
      <c r="CI24" s="172"/>
      <c r="CJ24" s="172"/>
      <c r="CK24" s="172"/>
      <c r="CL24" s="172"/>
      <c r="CM24" s="172"/>
      <c r="CN24" s="172"/>
      <c r="CO24" s="172"/>
      <c r="CP24" s="172"/>
      <c r="CQ24" s="172"/>
      <c r="CR24" s="172"/>
      <c r="CS24" s="172"/>
      <c r="CT24" s="172"/>
      <c r="CU24" s="172"/>
      <c r="CV24" s="172"/>
      <c r="CW24" s="172"/>
      <c r="CX24" s="172"/>
      <c r="CY24" s="172"/>
      <c r="CZ24" s="172"/>
      <c r="DA24" s="172"/>
      <c r="DB24" s="172"/>
      <c r="DC24" s="172"/>
      <c r="DD24" s="172"/>
      <c r="DE24" s="172"/>
      <c r="DF24" s="172"/>
      <c r="DG24" s="172"/>
      <c r="DH24" s="1060"/>
      <c r="DI24" s="1184">
        <f>+DI121</f>
        <v>214.9</v>
      </c>
      <c r="DJ24" s="1184">
        <f t="shared" ref="DJ24" si="65">+DJ121</f>
        <v>223.6</v>
      </c>
      <c r="DK24" s="1185">
        <f>SUM(DI24:DJ24)</f>
        <v>438.5</v>
      </c>
      <c r="DL24" s="889">
        <f t="shared" ref="DL24:EQ24" si="66">+DL121</f>
        <v>256.5</v>
      </c>
      <c r="DM24" s="889">
        <f t="shared" si="66"/>
        <v>247.39999999999998</v>
      </c>
      <c r="DN24" s="1060">
        <f t="shared" ref="DN24" si="67">SUM(DL24:DM24)</f>
        <v>503.9</v>
      </c>
      <c r="DO24" s="889">
        <f t="shared" ref="DO24" si="68">+DO121</f>
        <v>258.60000000000002</v>
      </c>
      <c r="DP24" s="889">
        <f t="shared" si="66"/>
        <v>325.79999999999995</v>
      </c>
      <c r="DQ24" s="1060">
        <f t="shared" ref="DQ24" si="69">SUM(DO24:DP24)</f>
        <v>584.4</v>
      </c>
      <c r="DR24" s="889">
        <f t="shared" ref="DR24" si="70">+DR121</f>
        <v>348.9</v>
      </c>
      <c r="DS24" s="889">
        <f t="shared" si="66"/>
        <v>323.39999999999998</v>
      </c>
      <c r="DT24" s="1060">
        <f t="shared" ref="DT24" si="71">SUM(DR24:DS24)</f>
        <v>672.3</v>
      </c>
      <c r="DU24" s="889">
        <f t="shared" ref="DU24:DV24" si="72">+DU121</f>
        <v>305</v>
      </c>
      <c r="DV24" s="889">
        <f t="shared" si="72"/>
        <v>304.20000000000005</v>
      </c>
      <c r="DW24" s="1060">
        <f t="shared" ref="DW24" si="73">SUM(DU24:DV24)</f>
        <v>609.20000000000005</v>
      </c>
      <c r="DX24" s="889">
        <f t="shared" ref="DX24" si="74">+DX121</f>
        <v>311.60000000000002</v>
      </c>
      <c r="DY24" s="889">
        <f t="shared" si="66"/>
        <v>327.41432064663024</v>
      </c>
      <c r="DZ24" s="1060">
        <f t="shared" ref="DZ24" si="75">SUM(DX24:DY24)</f>
        <v>639.01432064663027</v>
      </c>
      <c r="EA24" s="889">
        <f t="shared" ref="EA24" si="76">+EA121</f>
        <v>343.80020969059115</v>
      </c>
      <c r="EB24" s="889">
        <f t="shared" si="66"/>
        <v>351.97039469512748</v>
      </c>
      <c r="EC24" s="1060">
        <f t="shared" ref="EC24" si="77">SUM(EA24:EB24)</f>
        <v>695.77060438571857</v>
      </c>
      <c r="ED24" s="889">
        <f t="shared" ref="ED24" si="78">+ED121</f>
        <v>374.74222856274434</v>
      </c>
      <c r="EE24" s="889">
        <f t="shared" si="66"/>
        <v>383.64773021768895</v>
      </c>
      <c r="EF24" s="1060">
        <f t="shared" ref="EF24" si="79">SUM(ED24:EE24)</f>
        <v>758.38995878043329</v>
      </c>
      <c r="EG24" s="889">
        <f t="shared" ref="EG24" si="80">+EG121</f>
        <v>408.46902913339136</v>
      </c>
      <c r="EH24" s="889">
        <f t="shared" si="66"/>
        <v>418.176025937281</v>
      </c>
      <c r="EI24" s="1060">
        <f t="shared" ref="EI24" si="81">SUM(EG24:EH24)</f>
        <v>826.64505507067236</v>
      </c>
      <c r="EJ24" s="889">
        <f t="shared" ref="EJ24" si="82">+EJ121</f>
        <v>445.23124175539658</v>
      </c>
      <c r="EK24" s="889">
        <f t="shared" si="66"/>
        <v>455.81186827163634</v>
      </c>
      <c r="EL24" s="1060">
        <f t="shared" ref="EL24" si="83">SUM(EJ24:EK24)</f>
        <v>901.04311002703298</v>
      </c>
      <c r="EM24" s="889">
        <f t="shared" ref="EM24" si="84">+EM121</f>
        <v>485.30205351338236</v>
      </c>
      <c r="EN24" s="889">
        <f t="shared" si="66"/>
        <v>496.83493641608362</v>
      </c>
      <c r="EO24" s="1060">
        <f t="shared" ref="EO24" si="85">SUM(EM24:EN24)</f>
        <v>982.13698992946593</v>
      </c>
      <c r="EP24" s="889">
        <f t="shared" ref="EP24" si="86">+EP121</f>
        <v>528.97923832958679</v>
      </c>
      <c r="EQ24" s="889">
        <f t="shared" si="66"/>
        <v>541.55008069353119</v>
      </c>
      <c r="ER24" s="1060">
        <f t="shared" ref="ER24" si="87">SUM(EP24:EQ24)</f>
        <v>1070.529319023118</v>
      </c>
      <c r="ES24" s="889">
        <f t="shared" ref="ES24:ET24" si="88">+ES121</f>
        <v>576.58736977924968</v>
      </c>
      <c r="ET24" s="889">
        <f t="shared" si="88"/>
        <v>590.28958795594906</v>
      </c>
      <c r="EU24" s="1060">
        <f t="shared" ref="EU24" si="89">SUM(ES24:ET24)</f>
        <v>1166.8769577351986</v>
      </c>
      <c r="EV24" s="889">
        <f t="shared" ref="EV24:EW24" si="90">+EV121</f>
        <v>628.48023305938204</v>
      </c>
      <c r="EW24" s="889">
        <f t="shared" si="90"/>
        <v>643.41565087198444</v>
      </c>
      <c r="EX24" s="1060">
        <f t="shared" ref="EX24" si="91">SUM(EV24:EW24)</f>
        <v>1271.8958839313664</v>
      </c>
      <c r="EY24" s="889">
        <f t="shared" ref="EY24:EZ24" si="92">+EY121</f>
        <v>685.04345403472655</v>
      </c>
      <c r="EZ24" s="889">
        <f t="shared" si="92"/>
        <v>701.32305945046312</v>
      </c>
      <c r="FA24" s="1060">
        <f t="shared" ref="FA24" si="93">SUM(EY24:EZ24)</f>
        <v>1386.3665134851897</v>
      </c>
      <c r="FB24" s="261"/>
      <c r="FC24" s="172"/>
      <c r="FE24" s="172"/>
      <c r="FF24" s="172"/>
      <c r="FG24" s="172"/>
      <c r="FH24" s="35"/>
      <c r="FI24" s="35"/>
      <c r="FJ24" s="35"/>
      <c r="FK24" s="35"/>
      <c r="FL24" s="35"/>
      <c r="FM24" s="35"/>
      <c r="FN24" s="35"/>
      <c r="FO24" s="35"/>
      <c r="FP24" s="35"/>
      <c r="FQ24" s="35"/>
    </row>
    <row r="25" spans="1:173" s="321" customFormat="1" ht="13.35" customHeight="1" outlineLevel="1">
      <c r="A25" s="1174"/>
      <c r="B25" s="927"/>
      <c r="C25" s="927" t="s">
        <v>910</v>
      </c>
      <c r="D25" s="926" t="s">
        <v>604</v>
      </c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72"/>
      <c r="AA25" s="172"/>
      <c r="AB25" s="172"/>
      <c r="AC25" s="172"/>
      <c r="AD25" s="172"/>
      <c r="AE25" s="172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2"/>
      <c r="AS25" s="172"/>
      <c r="AT25" s="172"/>
      <c r="AU25" s="172"/>
      <c r="AV25" s="172"/>
      <c r="AW25" s="172"/>
      <c r="AX25" s="172"/>
      <c r="AY25" s="172"/>
      <c r="AZ25" s="172"/>
      <c r="BA25" s="172"/>
      <c r="BB25" s="172"/>
      <c r="BC25" s="917"/>
      <c r="BD25" s="172"/>
      <c r="BE25" s="172"/>
      <c r="BF25" s="917"/>
      <c r="BG25" s="172"/>
      <c r="BH25" s="172"/>
      <c r="BI25" s="917"/>
      <c r="BJ25" s="172"/>
      <c r="BK25" s="172"/>
      <c r="BL25" s="917"/>
      <c r="BM25" s="172">
        <v>0</v>
      </c>
      <c r="BN25" s="172">
        <f>BO25-BM25</f>
        <v>14.8</v>
      </c>
      <c r="BO25" s="917">
        <v>14.8</v>
      </c>
      <c r="BP25" s="172">
        <v>24.6</v>
      </c>
      <c r="BQ25" s="172">
        <f>BR25-BP25</f>
        <v>27.1</v>
      </c>
      <c r="BR25" s="917">
        <v>51.7</v>
      </c>
      <c r="BS25" s="172">
        <f>BS124</f>
        <v>18.136037373396896</v>
      </c>
      <c r="BT25" s="172">
        <f>BT124</f>
        <v>20.249353229029133</v>
      </c>
      <c r="BU25" s="172">
        <f>SUM(BS25:BT25)</f>
        <v>38.385390602426028</v>
      </c>
      <c r="BV25" s="172">
        <f>BV124</f>
        <v>24.03551540312214</v>
      </c>
      <c r="BW25" s="172">
        <f>BW124</f>
        <v>27.255140211853256</v>
      </c>
      <c r="BX25" s="172">
        <f>SUM(BV25:BW25)</f>
        <v>51.290655614975392</v>
      </c>
      <c r="BY25" s="172">
        <f>BY124</f>
        <v>30.125304997213306</v>
      </c>
      <c r="BZ25" s="172">
        <f>BZ124</f>
        <v>30.526035575845352</v>
      </c>
      <c r="CA25" s="172">
        <f>SUM(BY25:BZ25)</f>
        <v>60.651340573058661</v>
      </c>
      <c r="CB25" s="172">
        <f>CB124</f>
        <v>30.577025534088662</v>
      </c>
      <c r="CC25" s="172">
        <f>CC124</f>
        <v>31.731203460379731</v>
      </c>
      <c r="CD25" s="172">
        <f>SUM(CB25:CC25)</f>
        <v>62.308228994468394</v>
      </c>
      <c r="CE25" s="172">
        <f>CE124</f>
        <v>31.181105081361061</v>
      </c>
      <c r="CF25" s="172">
        <f>CF124</f>
        <v>25.10667062582997</v>
      </c>
      <c r="CG25" s="172">
        <f>SUM(CE25:CF25)</f>
        <v>56.287775707191031</v>
      </c>
      <c r="CH25" s="172">
        <f>CH124</f>
        <v>27.551073183064862</v>
      </c>
      <c r="CI25" s="172">
        <f>CI124</f>
        <v>25.017746068245625</v>
      </c>
      <c r="CJ25" s="172">
        <f>SUM(CH25:CI25)</f>
        <v>52.568819251310487</v>
      </c>
      <c r="CK25" s="172">
        <f>CK124</f>
        <v>25.282791150240794</v>
      </c>
      <c r="CL25" s="172">
        <f>CL124</f>
        <v>25.498549259856798</v>
      </c>
      <c r="CM25" s="172">
        <f>SUM(CK25:CL25)</f>
        <v>50.781340410097592</v>
      </c>
      <c r="CN25" s="172">
        <f>CN124</f>
        <v>30.500582009956354</v>
      </c>
      <c r="CO25" s="172">
        <f>CO124</f>
        <v>37.652221245155417</v>
      </c>
      <c r="CP25" s="172">
        <f>SUM(CN25:CO25)</f>
        <v>68.152803255111763</v>
      </c>
      <c r="CQ25" s="172">
        <f>CQ124</f>
        <v>57.500000000000007</v>
      </c>
      <c r="CR25" s="172">
        <f>CR124</f>
        <v>57.600000000000009</v>
      </c>
      <c r="CS25" s="172">
        <f>SUM(CQ25:CR25)</f>
        <v>115.10000000000002</v>
      </c>
      <c r="CT25" s="172">
        <f>CT124</f>
        <v>72.713000000000008</v>
      </c>
      <c r="CU25" s="172">
        <f>CU124</f>
        <v>66.828999999999979</v>
      </c>
      <c r="CV25" s="172">
        <f>SUM(CT25:CU25)</f>
        <v>139.54199999999997</v>
      </c>
      <c r="CW25" s="172">
        <f>CW124</f>
        <v>82.472013910523415</v>
      </c>
      <c r="CX25" s="172">
        <f>CX124</f>
        <v>83.827986089476667</v>
      </c>
      <c r="CY25" s="172">
        <f>SUM(CW25:CX25)</f>
        <v>166.30000000000007</v>
      </c>
      <c r="CZ25" s="172">
        <f>CZ124</f>
        <v>84.700019536653883</v>
      </c>
      <c r="DA25" s="172">
        <f>DA124</f>
        <v>80.499980463346205</v>
      </c>
      <c r="DB25" s="172">
        <f>SUM(CZ25:DA25)</f>
        <v>165.2000000000001</v>
      </c>
      <c r="DC25" s="172">
        <f>DC124</f>
        <v>90.80000000000004</v>
      </c>
      <c r="DD25" s="172">
        <f>DD124</f>
        <v>82.99</v>
      </c>
      <c r="DE25" s="172">
        <f>SUM(DC25:DD25)</f>
        <v>173.79000000000002</v>
      </c>
      <c r="DF25" s="172">
        <f>DF124</f>
        <v>82.444519110167278</v>
      </c>
      <c r="DG25" s="172">
        <f>DG124</f>
        <v>56.359184445948827</v>
      </c>
      <c r="DH25" s="1060">
        <f>SUM(DF25:DG25)</f>
        <v>138.80370355611609</v>
      </c>
      <c r="DI25" s="1184">
        <f>DI124</f>
        <v>73.2</v>
      </c>
      <c r="DJ25" s="1184">
        <f>DJ124</f>
        <v>82.999999999999986</v>
      </c>
      <c r="DK25" s="1185">
        <f>SUM(DI25:DJ25)</f>
        <v>156.19999999999999</v>
      </c>
      <c r="DL25" s="889">
        <f>DL124</f>
        <v>100.9</v>
      </c>
      <c r="DM25" s="889">
        <f>DM124</f>
        <v>101.1</v>
      </c>
      <c r="DN25" s="1060">
        <f>SUM(DL25:DM25)</f>
        <v>202</v>
      </c>
      <c r="DO25" s="889">
        <f>DO124</f>
        <v>120.9</v>
      </c>
      <c r="DP25" s="889">
        <f>DP124</f>
        <v>119</v>
      </c>
      <c r="DQ25" s="1060">
        <f>SUM(DO25:DP25)</f>
        <v>239.9</v>
      </c>
      <c r="DR25" s="889">
        <f>DR124</f>
        <v>116</v>
      </c>
      <c r="DS25" s="889">
        <f>DS124</f>
        <v>140.30000000000001</v>
      </c>
      <c r="DT25" s="1060">
        <f>SUM(DR25:DS25)</f>
        <v>256.3</v>
      </c>
      <c r="DU25" s="889">
        <f>DU124</f>
        <v>140.4</v>
      </c>
      <c r="DV25" s="889">
        <f>DV124</f>
        <v>135.99999999999997</v>
      </c>
      <c r="DW25" s="1060">
        <f>SUM(DU25:DV25)</f>
        <v>276.39999999999998</v>
      </c>
      <c r="DX25" s="889">
        <f>DX124</f>
        <v>140.4</v>
      </c>
      <c r="DY25" s="889">
        <f>DY124</f>
        <v>142.43913701711867</v>
      </c>
      <c r="DZ25" s="1060">
        <f>SUM(DX25:DY25)</f>
        <v>282.83913701711867</v>
      </c>
      <c r="EA25" s="889">
        <f>EA124</f>
        <v>145.68709377569758</v>
      </c>
      <c r="EB25" s="889">
        <f>EB124</f>
        <v>149.56109386797462</v>
      </c>
      <c r="EC25" s="1060">
        <f>SUM(EA25:EB25)</f>
        <v>295.24818764367217</v>
      </c>
      <c r="ED25" s="889">
        <f>ED124</f>
        <v>155.8851903399964</v>
      </c>
      <c r="EE25" s="889">
        <f>EE124</f>
        <v>160.03037043873289</v>
      </c>
      <c r="EF25" s="1060">
        <f>SUM(ED25:EE25)</f>
        <v>315.91556077872929</v>
      </c>
      <c r="EG25" s="889">
        <f>EG124</f>
        <v>169.91485747059608</v>
      </c>
      <c r="EH25" s="889">
        <f>EH124</f>
        <v>174.43310377821885</v>
      </c>
      <c r="EI25" s="1060">
        <f>SUM(EG25:EH25)</f>
        <v>344.34796124881495</v>
      </c>
      <c r="EJ25" s="889">
        <f>EJ124</f>
        <v>185.20719464294973</v>
      </c>
      <c r="EK25" s="889">
        <f>EK124</f>
        <v>190.13208311825855</v>
      </c>
      <c r="EL25" s="1060">
        <f>SUM(EJ25:EK25)</f>
        <v>375.33927776120828</v>
      </c>
      <c r="EM25" s="889">
        <f>EM124</f>
        <v>201.87584216081524</v>
      </c>
      <c r="EN25" s="889">
        <f>EN124</f>
        <v>207.24397059890183</v>
      </c>
      <c r="EO25" s="1060">
        <f>SUM(EM25:EN25)</f>
        <v>409.11981275971709</v>
      </c>
      <c r="EP25" s="889">
        <f>EP124</f>
        <v>220.04466795528865</v>
      </c>
      <c r="EQ25" s="889">
        <f>EQ124</f>
        <v>225.89592795280299</v>
      </c>
      <c r="ER25" s="1060">
        <f>SUM(EP25:EQ25)</f>
        <v>445.94059590809161</v>
      </c>
      <c r="ES25" s="889">
        <f>ES124</f>
        <v>239.84868807126466</v>
      </c>
      <c r="ET25" s="889">
        <f>ET124</f>
        <v>246.2265614685553</v>
      </c>
      <c r="EU25" s="1060">
        <f>SUM(ES25:ET25)</f>
        <v>486.07524953981999</v>
      </c>
      <c r="EV25" s="889">
        <f>EV124</f>
        <v>261.43506999767851</v>
      </c>
      <c r="EW25" s="889">
        <f>EW124</f>
        <v>268.38695200072533</v>
      </c>
      <c r="EX25" s="1060">
        <f>SUM(EV25:EW25)</f>
        <v>529.8220219984039</v>
      </c>
      <c r="EY25" s="889">
        <f>EY124</f>
        <v>284.96422629746957</v>
      </c>
      <c r="EZ25" s="889">
        <f>EZ124</f>
        <v>292.54177768079057</v>
      </c>
      <c r="FA25" s="1060">
        <f>SUM(EY25:EZ25)</f>
        <v>577.5060039782602</v>
      </c>
      <c r="FC25" s="172"/>
      <c r="FE25" s="172"/>
      <c r="FF25" s="172"/>
      <c r="FG25" s="172"/>
      <c r="FH25" s="35"/>
      <c r="FI25" s="35"/>
      <c r="FJ25" s="35"/>
      <c r="FK25" s="35"/>
      <c r="FL25" s="35"/>
      <c r="FM25" s="35"/>
      <c r="FN25" s="35"/>
      <c r="FO25" s="35"/>
      <c r="FP25" s="35"/>
      <c r="FQ25" s="35"/>
    </row>
    <row r="26" spans="1:173" s="321" customFormat="1" ht="13.35" customHeight="1" outlineLevel="1">
      <c r="A26" s="1174"/>
      <c r="B26" s="927" t="s">
        <v>327</v>
      </c>
      <c r="C26" s="1196"/>
      <c r="D26" s="1197" t="s">
        <v>604</v>
      </c>
      <c r="E26" s="1192"/>
      <c r="F26" s="1192"/>
      <c r="G26" s="1192"/>
      <c r="H26" s="1192"/>
      <c r="I26" s="1192"/>
      <c r="J26" s="1192"/>
      <c r="K26" s="1192"/>
      <c r="L26" s="1192"/>
      <c r="M26" s="1192"/>
      <c r="N26" s="1192"/>
      <c r="O26" s="1192"/>
      <c r="P26" s="1192"/>
      <c r="Q26" s="1192"/>
      <c r="R26" s="1192"/>
      <c r="S26" s="1192"/>
      <c r="T26" s="1192"/>
      <c r="U26" s="1192"/>
      <c r="V26" s="1192"/>
      <c r="W26" s="1192"/>
      <c r="X26" s="1192"/>
      <c r="Y26" s="1192"/>
      <c r="Z26" s="1192"/>
      <c r="AA26" s="1192"/>
      <c r="AB26" s="1192"/>
      <c r="AC26" s="1192"/>
      <c r="AD26" s="1192"/>
      <c r="AE26" s="1192"/>
      <c r="AF26" s="1192"/>
      <c r="AG26" s="1192"/>
      <c r="AH26" s="1192"/>
      <c r="AI26" s="1192"/>
      <c r="AJ26" s="1192"/>
      <c r="AK26" s="1192"/>
      <c r="AL26" s="1192"/>
      <c r="AM26" s="1192"/>
      <c r="AN26" s="1192"/>
      <c r="AO26" s="1192"/>
      <c r="AP26" s="1192"/>
      <c r="AQ26" s="1192"/>
      <c r="AR26" s="1192"/>
      <c r="AS26" s="1192"/>
      <c r="AT26" s="1192"/>
      <c r="AU26" s="1192"/>
      <c r="AV26" s="1192"/>
      <c r="AW26" s="1192"/>
      <c r="AX26" s="1192"/>
      <c r="AY26" s="1192"/>
      <c r="AZ26" s="1192"/>
      <c r="BA26" s="1192"/>
      <c r="BB26" s="1192"/>
      <c r="BC26" s="1198"/>
      <c r="BD26" s="1192"/>
      <c r="BE26" s="1192"/>
      <c r="BF26" s="1198"/>
      <c r="BG26" s="1192"/>
      <c r="BH26" s="1192"/>
      <c r="BI26" s="1198"/>
      <c r="BJ26" s="1192"/>
      <c r="BK26" s="1192"/>
      <c r="BL26" s="1198"/>
      <c r="BM26" s="1192"/>
      <c r="BN26" s="1192"/>
      <c r="BO26" s="1198"/>
      <c r="BP26" s="1192"/>
      <c r="BQ26" s="1192"/>
      <c r="BR26" s="1198"/>
      <c r="BS26" s="1192">
        <f>SUM(BS23:BS25)</f>
        <v>258.39902611461224</v>
      </c>
      <c r="BT26" s="1192">
        <f>SUM(BT23:BT25)</f>
        <v>260.17234267391848</v>
      </c>
      <c r="BU26" s="1192">
        <f>SUM(BS26:BT26)</f>
        <v>518.57136878853066</v>
      </c>
      <c r="BV26" s="1192">
        <f>SUM(BV23:BV25)</f>
        <v>271.51151540312219</v>
      </c>
      <c r="BW26" s="1192">
        <f>SUM(BW23:BW25)</f>
        <v>284.62114021185323</v>
      </c>
      <c r="BX26" s="1192">
        <f>SUM(BV26:BW26)</f>
        <v>556.13265561497542</v>
      </c>
      <c r="BY26" s="1192">
        <f>SUM(BY23:BY25)</f>
        <v>331.25030499721333</v>
      </c>
      <c r="BZ26" s="1192">
        <f>SUM(BZ23:BZ25)</f>
        <v>351.06074142574516</v>
      </c>
      <c r="CA26" s="1192">
        <f>SUM(BY26:BZ26)</f>
        <v>682.3110464229585</v>
      </c>
      <c r="CB26" s="1192">
        <f>SUM(CB23:CB25)</f>
        <v>321.0776592818757</v>
      </c>
      <c r="CC26" s="1192">
        <f>SUM(CC23:CC25)</f>
        <v>344.97149189084269</v>
      </c>
      <c r="CD26" s="1192">
        <f>SUM(CB26:CC26)</f>
        <v>666.04915117271844</v>
      </c>
      <c r="CE26" s="1192">
        <f>SUM(CE23:CE25)</f>
        <v>340.78846072280828</v>
      </c>
      <c r="CF26" s="1192">
        <f>SUM(CF23:CF25)</f>
        <v>363.4948357014415</v>
      </c>
      <c r="CG26" s="1192">
        <f>SUM(CE26:CF26)</f>
        <v>704.28329642424978</v>
      </c>
      <c r="CH26" s="1192">
        <f>SUM(CH23:CH25)</f>
        <v>339.07990545173993</v>
      </c>
      <c r="CI26" s="1192">
        <f>SUM(CI23:CI25)</f>
        <v>340.18100162441596</v>
      </c>
      <c r="CJ26" s="1192">
        <f>SUM(CH26:CI26)</f>
        <v>679.26090707615595</v>
      </c>
      <c r="CK26" s="1192">
        <f>SUM(CK23:CK25)</f>
        <v>354.97912664803107</v>
      </c>
      <c r="CL26" s="1192">
        <f>SUM(CL23:CL25)</f>
        <v>332.20022347682232</v>
      </c>
      <c r="CM26" s="1192">
        <f>SUM(CK26:CL26)</f>
        <v>687.17935012485339</v>
      </c>
      <c r="CN26" s="1192">
        <f>SUM(CN23:CN25)</f>
        <v>361.47287042604904</v>
      </c>
      <c r="CO26" s="1192">
        <f>SUM(CO23:CO25)</f>
        <v>427.34722124515548</v>
      </c>
      <c r="CP26" s="1192">
        <f>SUM(CN26:CO26)</f>
        <v>788.82009167120452</v>
      </c>
      <c r="CQ26" s="1192">
        <f>SUM(CQ23:CQ25)</f>
        <v>328.72399999999999</v>
      </c>
      <c r="CR26" s="1192">
        <f>SUM(CR23:CR25)</f>
        <v>451.05599999999998</v>
      </c>
      <c r="CS26" s="1192">
        <f>SUM(CQ26:CR26)</f>
        <v>779.78</v>
      </c>
      <c r="CT26" s="1192">
        <f>SUM(CT23:CT25)</f>
        <v>435.4199999999999</v>
      </c>
      <c r="CU26" s="1192">
        <f>SUM(CU23:CU25)</f>
        <v>433.19866605092864</v>
      </c>
      <c r="CV26" s="1192">
        <f>SUM(CT26:CU26)</f>
        <v>868.6186660509286</v>
      </c>
      <c r="CW26" s="1192">
        <f>SUM(CW23:CW25)</f>
        <v>459.56326244904756</v>
      </c>
      <c r="CX26" s="1192">
        <f>SUM(CX23:CX25)</f>
        <v>474.60452889210165</v>
      </c>
      <c r="CY26" s="1192">
        <f>SUM(CW26:CX26)</f>
        <v>934.16779134114927</v>
      </c>
      <c r="CZ26" s="1192">
        <f>SUM(CZ23:CZ25)</f>
        <v>478.00014721848964</v>
      </c>
      <c r="DA26" s="1192">
        <f>SUM(DA23:DA25)</f>
        <v>518.19979649901484</v>
      </c>
      <c r="DB26" s="1192">
        <f>SUM(CZ26:DA26)</f>
        <v>996.19994371750454</v>
      </c>
      <c r="DC26" s="1192">
        <f>SUM(DC23:DC25)</f>
        <v>504.70000000000005</v>
      </c>
      <c r="DD26" s="1192">
        <f>SUM(DD23:DD25)</f>
        <v>514.19290469853672</v>
      </c>
      <c r="DE26" s="1192">
        <f>SUM(DC26:DD26)</f>
        <v>1018.8929046985368</v>
      </c>
      <c r="DF26" s="1192">
        <f>SUM(DF23:DF25)</f>
        <v>552.34451911016731</v>
      </c>
      <c r="DG26" s="1192">
        <f>SUM(DG23:DG25)</f>
        <v>404.39819427394968</v>
      </c>
      <c r="DH26" s="1156">
        <f>SUM(DF26:DG26)</f>
        <v>956.742713384117</v>
      </c>
      <c r="DI26" s="1193">
        <f>SUM(DI23:DI25)</f>
        <v>742.80000000000007</v>
      </c>
      <c r="DJ26" s="1193">
        <f>SUM(DJ23:DJ25)</f>
        <v>750.5</v>
      </c>
      <c r="DK26" s="1194">
        <f>SUM(DI26:DJ26)</f>
        <v>1493.3000000000002</v>
      </c>
      <c r="DL26" s="1195">
        <f>SUM(DL23:DL25)</f>
        <v>815.3</v>
      </c>
      <c r="DM26" s="1195">
        <f>SUM(DM23:DM25)</f>
        <v>825.80000000000007</v>
      </c>
      <c r="DN26" s="1156">
        <f>SUM(DL26:DM26)</f>
        <v>1641.1</v>
      </c>
      <c r="DO26" s="1195">
        <f>SUM(DO23:DO25)</f>
        <v>892.6</v>
      </c>
      <c r="DP26" s="1195">
        <f>SUM(DP23:DP25)</f>
        <v>1063.0999999999999</v>
      </c>
      <c r="DQ26" s="1156">
        <f>SUM(DO26:DP26)</f>
        <v>1955.6999999999998</v>
      </c>
      <c r="DR26" s="1195">
        <f>SUM(DR23:DR25)</f>
        <v>1113.4000000000001</v>
      </c>
      <c r="DS26" s="1195">
        <f>SUM(DS23:DS25)</f>
        <v>1144.8</v>
      </c>
      <c r="DT26" s="1156">
        <f>SUM(DR26:DS26)</f>
        <v>2258.1999999999998</v>
      </c>
      <c r="DU26" s="1195">
        <f>SUM(DU23:DU25)</f>
        <v>1169.9000000000001</v>
      </c>
      <c r="DV26" s="1195">
        <f>SUM(DV23:DV25)</f>
        <v>1185.9000000000001</v>
      </c>
      <c r="DW26" s="1156">
        <f>SUM(DU26:DV26)</f>
        <v>2355.8000000000002</v>
      </c>
      <c r="DX26" s="1195">
        <f>SUM(DX23:DX25)</f>
        <v>1176</v>
      </c>
      <c r="DY26" s="1195">
        <f>SUM(DY23:DY25)</f>
        <v>1337.3662599402739</v>
      </c>
      <c r="DZ26" s="1156">
        <f>SUM(DX26:DY26)</f>
        <v>2513.3662599402742</v>
      </c>
      <c r="EA26" s="1195">
        <f>SUM(EA23:EA25)</f>
        <v>1386.8816289711751</v>
      </c>
      <c r="EB26" s="1195">
        <f>SUM(EB23:EB25)</f>
        <v>1429.7701869989844</v>
      </c>
      <c r="EC26" s="1156">
        <f>SUM(EA26:EB26)</f>
        <v>2816.6518159701595</v>
      </c>
      <c r="ED26" s="1195">
        <f>SUM(ED23:ED25)</f>
        <v>1508.7872337030672</v>
      </c>
      <c r="EE26" s="1195">
        <f>SUM(EE23:EE25)</f>
        <v>1555.4582819515335</v>
      </c>
      <c r="EF26" s="1156">
        <f>SUM(ED26:EE26)</f>
        <v>3064.2455156546007</v>
      </c>
      <c r="EG26" s="1195">
        <f>SUM(EG23:EG25)</f>
        <v>1644.578084736343</v>
      </c>
      <c r="EH26" s="1195">
        <f>SUM(EH23:EH25)</f>
        <v>1695.4495273271716</v>
      </c>
      <c r="EI26" s="1156">
        <f>SUM(EG26:EH26)</f>
        <v>3340.0276120635144</v>
      </c>
      <c r="EJ26" s="1195">
        <f>SUM(EJ23:EJ25)</f>
        <v>1792.590112362614</v>
      </c>
      <c r="EK26" s="1195">
        <f>SUM(EK23:EK25)</f>
        <v>1848.0399847866172</v>
      </c>
      <c r="EL26" s="1156">
        <f>SUM(EJ26:EK26)</f>
        <v>3640.630097149231</v>
      </c>
      <c r="EM26" s="1195">
        <f>SUM(EM23:EM25)</f>
        <v>1953.9232224752495</v>
      </c>
      <c r="EN26" s="1195">
        <f>SUM(EN23:EN25)</f>
        <v>2014.3635834174127</v>
      </c>
      <c r="EO26" s="1156">
        <f>SUM(EM26:EN26)</f>
        <v>3968.2868058926624</v>
      </c>
      <c r="EP26" s="1195">
        <f>SUM(EP23:EP25)</f>
        <v>2129.7763124980224</v>
      </c>
      <c r="EQ26" s="1195">
        <f>SUM(EQ23:EQ25)</f>
        <v>2195.6563059249802</v>
      </c>
      <c r="ER26" s="1156">
        <f>SUM(EP26:EQ26)</f>
        <v>4325.4326184230031</v>
      </c>
      <c r="ES26" s="1195">
        <f>SUM(ES23:ES25)</f>
        <v>2321.4561806228448</v>
      </c>
      <c r="ET26" s="1195">
        <f>SUM(ET23:ET25)</f>
        <v>2393.2653734582286</v>
      </c>
      <c r="EU26" s="1156">
        <f>SUM(ES26:ET26)</f>
        <v>4714.7215540810739</v>
      </c>
      <c r="EV26" s="1195">
        <f>SUM(EV23:EV25)</f>
        <v>2530.3872368789007</v>
      </c>
      <c r="EW26" s="1195">
        <f>SUM(EW23:EW25)</f>
        <v>2608.6592570694688</v>
      </c>
      <c r="EX26" s="1156">
        <f>SUM(EV26:EW26)</f>
        <v>5139.04649394837</v>
      </c>
      <c r="EY26" s="1195">
        <f>SUM(EY23:EY25)</f>
        <v>2758.1220881980016</v>
      </c>
      <c r="EZ26" s="1195">
        <f>SUM(EZ23:EZ25)</f>
        <v>2843.4385902057211</v>
      </c>
      <c r="FA26" s="1156">
        <f>SUM(EY26:EZ26)</f>
        <v>5601.5606784037227</v>
      </c>
      <c r="FC26" s="172"/>
      <c r="FE26" s="172"/>
      <c r="FF26" s="172"/>
      <c r="FG26" s="172"/>
      <c r="FH26" s="35"/>
      <c r="FI26" s="35"/>
      <c r="FJ26" s="35"/>
      <c r="FK26" s="35"/>
      <c r="FL26" s="35"/>
      <c r="FM26" s="35"/>
      <c r="FN26" s="35"/>
      <c r="FO26" s="35"/>
      <c r="FP26" s="35"/>
      <c r="FQ26" s="35"/>
    </row>
    <row r="27" spans="1:173" s="321" customFormat="1" ht="13.35" customHeight="1" outlineLevel="1">
      <c r="A27" s="1174"/>
      <c r="B27" s="927"/>
      <c r="C27" s="927"/>
      <c r="D27" s="926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72"/>
      <c r="AA27" s="172"/>
      <c r="AB27" s="172"/>
      <c r="AC27" s="172"/>
      <c r="AD27" s="172"/>
      <c r="AE27" s="172"/>
      <c r="AF27" s="172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2"/>
      <c r="AS27" s="172"/>
      <c r="AT27" s="172"/>
      <c r="AU27" s="172"/>
      <c r="AV27" s="172"/>
      <c r="AW27" s="172"/>
      <c r="AX27" s="172"/>
      <c r="AY27" s="172"/>
      <c r="AZ27" s="172"/>
      <c r="BA27" s="172"/>
      <c r="BB27" s="172"/>
      <c r="BC27" s="917"/>
      <c r="BD27" s="172"/>
      <c r="BE27" s="172"/>
      <c r="BF27" s="917"/>
      <c r="BG27" s="172"/>
      <c r="BH27" s="172"/>
      <c r="BI27" s="917"/>
      <c r="BJ27" s="172"/>
      <c r="BK27" s="172"/>
      <c r="BL27" s="917"/>
      <c r="BM27" s="172"/>
      <c r="BN27" s="172"/>
      <c r="BO27" s="917">
        <f>+BO18/CS_Adj_WAC_06</f>
        <v>0.47550090348898855</v>
      </c>
      <c r="BP27" s="172"/>
      <c r="BQ27" s="172"/>
      <c r="BR27" s="917">
        <f t="shared" ref="BR27:CG27" si="94">+BR18/CS_Adj_WAC_06</f>
        <v>0.3672703592959442</v>
      </c>
      <c r="BS27" s="917">
        <f t="shared" si="94"/>
        <v>9.6718307188802241E-2</v>
      </c>
      <c r="BT27" s="917">
        <f t="shared" si="94"/>
        <v>0.1965924676542958</v>
      </c>
      <c r="BU27" s="917">
        <f t="shared" si="94"/>
        <v>0.29331077484309803</v>
      </c>
      <c r="BV27" s="917">
        <f t="shared" si="94"/>
        <v>0.24475926783020802</v>
      </c>
      <c r="BW27" s="917">
        <f t="shared" si="94"/>
        <v>0.13298272496424327</v>
      </c>
      <c r="BX27" s="917">
        <f t="shared" si="94"/>
        <v>0.37774199279445125</v>
      </c>
      <c r="BY27" s="917">
        <f t="shared" si="94"/>
        <v>0.14702354498622722</v>
      </c>
      <c r="BZ27" s="917">
        <f t="shared" si="94"/>
        <v>-0.45102723177262427</v>
      </c>
      <c r="CA27" s="917">
        <f t="shared" si="94"/>
        <v>-0.30400368678639705</v>
      </c>
      <c r="CB27" s="917">
        <f t="shared" si="94"/>
        <v>0.18978342894055711</v>
      </c>
      <c r="CC27" s="917">
        <f t="shared" si="94"/>
        <v>0.49622510008069193</v>
      </c>
      <c r="CD27" s="917">
        <f t="shared" si="94"/>
        <v>0.68600852902124898</v>
      </c>
      <c r="CE27" s="917">
        <f t="shared" si="94"/>
        <v>0.38807163804213107</v>
      </c>
      <c r="CF27" s="917">
        <f t="shared" si="94"/>
        <v>0.98585992255605848</v>
      </c>
      <c r="CG27" s="917">
        <f t="shared" si="94"/>
        <v>1.3739315605981894</v>
      </c>
      <c r="CH27" s="172"/>
      <c r="CI27" s="172"/>
      <c r="CJ27" s="174"/>
      <c r="CK27" s="172"/>
      <c r="CL27" s="172"/>
      <c r="CM27" s="172"/>
      <c r="CN27" s="172"/>
      <c r="CO27" s="172"/>
      <c r="CP27" s="172"/>
      <c r="CQ27" s="172"/>
      <c r="CR27" s="172"/>
      <c r="CS27" s="172"/>
      <c r="CT27" s="172"/>
      <c r="CU27" s="172"/>
      <c r="CV27" s="173"/>
      <c r="CW27" s="172"/>
      <c r="CX27" s="172"/>
      <c r="CY27" s="172"/>
      <c r="CZ27" s="172"/>
      <c r="DA27" s="172"/>
      <c r="DB27" s="172"/>
      <c r="DC27" s="172"/>
      <c r="DD27" s="172"/>
      <c r="DE27" s="172"/>
      <c r="DF27" s="172"/>
      <c r="DG27" s="172"/>
      <c r="DH27" s="1062"/>
      <c r="DI27" s="172"/>
      <c r="DJ27" s="172"/>
      <c r="DK27" s="1062"/>
      <c r="DL27" s="172"/>
      <c r="DM27" s="172"/>
      <c r="DN27" s="1062"/>
      <c r="DO27" s="172"/>
      <c r="DP27" s="172"/>
      <c r="DQ27" s="1062"/>
      <c r="DR27" s="172"/>
      <c r="DS27" s="172"/>
      <c r="DT27" s="1062"/>
      <c r="DU27" s="172"/>
      <c r="DV27" s="172"/>
      <c r="DW27" s="1062"/>
      <c r="DX27" s="172"/>
      <c r="DY27" s="172"/>
      <c r="DZ27" s="1062"/>
      <c r="EA27" s="172"/>
      <c r="EB27" s="172"/>
      <c r="EC27" s="1062"/>
      <c r="ED27" s="172"/>
      <c r="EE27" s="172"/>
      <c r="EF27" s="1062"/>
      <c r="EG27" s="172"/>
      <c r="EH27" s="172"/>
      <c r="EI27" s="1062"/>
      <c r="EJ27" s="172"/>
      <c r="EK27" s="172"/>
      <c r="EL27" s="1062"/>
      <c r="EM27" s="172"/>
      <c r="EN27" s="172"/>
      <c r="EO27" s="1062"/>
      <c r="EP27" s="172"/>
      <c r="EQ27" s="172"/>
      <c r="ER27" s="1062"/>
      <c r="ES27" s="172"/>
      <c r="ET27" s="172"/>
      <c r="EU27" s="1062"/>
      <c r="EV27" s="172"/>
      <c r="EW27" s="172"/>
      <c r="EX27" s="1062"/>
      <c r="EY27" s="172"/>
      <c r="EZ27" s="172"/>
      <c r="FA27" s="1062"/>
      <c r="FC27" s="172"/>
      <c r="FE27" s="172"/>
      <c r="FF27" s="172"/>
      <c r="FG27" s="172"/>
      <c r="FH27" s="35"/>
      <c r="FI27" s="35"/>
      <c r="FJ27" s="35"/>
      <c r="FK27" s="35"/>
      <c r="FL27" s="35"/>
      <c r="FM27" s="35"/>
      <c r="FN27" s="35"/>
      <c r="FO27" s="35"/>
      <c r="FP27" s="35"/>
      <c r="FQ27" s="35"/>
    </row>
    <row r="28" spans="1:173" s="321" customFormat="1" ht="13.35" customHeight="1" outlineLevel="1">
      <c r="A28" s="1174"/>
      <c r="B28" s="928" t="s">
        <v>491</v>
      </c>
      <c r="C28" s="927"/>
      <c r="D28" s="926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72"/>
      <c r="AA28" s="172"/>
      <c r="AB28" s="172"/>
      <c r="AC28" s="172"/>
      <c r="AD28" s="172"/>
      <c r="AE28" s="172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2"/>
      <c r="AS28" s="172"/>
      <c r="AT28" s="172"/>
      <c r="AU28" s="172"/>
      <c r="AV28" s="172"/>
      <c r="AW28" s="172"/>
      <c r="AX28" s="172"/>
      <c r="AY28" s="172"/>
      <c r="AZ28" s="172"/>
      <c r="BA28" s="172"/>
      <c r="BB28" s="172"/>
      <c r="BC28" s="917"/>
      <c r="BD28" s="172"/>
      <c r="BE28" s="172"/>
      <c r="BF28" s="917"/>
      <c r="BG28" s="172"/>
      <c r="BH28" s="172"/>
      <c r="BI28" s="917"/>
      <c r="BJ28" s="172"/>
      <c r="BK28" s="172"/>
      <c r="BL28" s="917"/>
      <c r="BM28" s="172"/>
      <c r="BN28" s="172"/>
      <c r="BO28" s="917"/>
      <c r="BP28" s="172"/>
      <c r="BQ28" s="172"/>
      <c r="BR28" s="917"/>
      <c r="BS28" s="172"/>
      <c r="BT28" s="172"/>
      <c r="BU28" s="172"/>
      <c r="BV28" s="172"/>
      <c r="BW28" s="172"/>
      <c r="BX28" s="172"/>
      <c r="BY28" s="172"/>
      <c r="BZ28" s="172"/>
      <c r="CA28" s="173"/>
      <c r="CB28" s="172"/>
      <c r="CC28" s="172"/>
      <c r="CD28" s="172"/>
      <c r="CE28" s="172"/>
      <c r="CF28" s="172"/>
      <c r="CG28" s="172"/>
      <c r="CH28" s="172"/>
      <c r="CI28" s="172"/>
      <c r="CJ28" s="172"/>
      <c r="CK28" s="172"/>
      <c r="CL28" s="172"/>
      <c r="CM28" s="172"/>
      <c r="CN28" s="172"/>
      <c r="CO28" s="172"/>
      <c r="CP28" s="172"/>
      <c r="CQ28" s="172"/>
      <c r="CR28" s="172"/>
      <c r="CS28" s="172"/>
      <c r="CT28" s="172"/>
      <c r="CU28" s="172"/>
      <c r="CV28" s="172"/>
      <c r="CW28" s="172"/>
      <c r="CX28" s="172"/>
      <c r="CY28" s="172"/>
      <c r="CZ28" s="172"/>
      <c r="DA28" s="172"/>
      <c r="DB28" s="172"/>
      <c r="DC28" s="172"/>
      <c r="DD28" s="172"/>
      <c r="DE28" s="172"/>
      <c r="DF28" s="172"/>
      <c r="DG28" s="172"/>
      <c r="DH28" s="1062"/>
      <c r="DI28" s="172"/>
      <c r="DJ28" s="172"/>
      <c r="DK28" s="1062"/>
      <c r="DL28" s="172"/>
      <c r="DM28" s="172"/>
      <c r="DN28" s="1062"/>
      <c r="DO28" s="172"/>
      <c r="DP28" s="172"/>
      <c r="DQ28" s="1062"/>
      <c r="DR28" s="172"/>
      <c r="DS28" s="172"/>
      <c r="DT28" s="1062"/>
      <c r="DU28" s="172"/>
      <c r="DV28" s="172"/>
      <c r="DW28" s="1062"/>
      <c r="DX28" s="172"/>
      <c r="DY28" s="172"/>
      <c r="DZ28" s="1062"/>
      <c r="EA28" s="172"/>
      <c r="EB28" s="172"/>
      <c r="EC28" s="1062"/>
      <c r="ED28" s="172"/>
      <c r="EE28" s="172"/>
      <c r="EF28" s="1062"/>
      <c r="EG28" s="172"/>
      <c r="EH28" s="172"/>
      <c r="EI28" s="1062"/>
      <c r="EJ28" s="172"/>
      <c r="EK28" s="172"/>
      <c r="EL28" s="1062"/>
      <c r="EM28" s="172"/>
      <c r="EN28" s="172"/>
      <c r="EO28" s="1062"/>
      <c r="EP28" s="172"/>
      <c r="EQ28" s="172"/>
      <c r="ER28" s="1062"/>
      <c r="ES28" s="172"/>
      <c r="ET28" s="172"/>
      <c r="EU28" s="1062"/>
      <c r="EV28" s="172"/>
      <c r="EW28" s="172"/>
      <c r="EX28" s="1062"/>
      <c r="EY28" s="172"/>
      <c r="EZ28" s="172"/>
      <c r="FA28" s="1062"/>
      <c r="FB28" s="261"/>
      <c r="FC28" s="172"/>
      <c r="FE28" s="172"/>
      <c r="FF28" s="172"/>
      <c r="FG28" s="35"/>
      <c r="FH28" s="35"/>
      <c r="FI28" s="35"/>
      <c r="FJ28" s="35"/>
      <c r="FK28" s="35"/>
      <c r="FO28" s="35"/>
      <c r="FP28" s="35"/>
      <c r="FQ28" s="35"/>
    </row>
    <row r="29" spans="1:173" s="321" customFormat="1" ht="13.35" customHeight="1" outlineLevel="1">
      <c r="A29" s="1174"/>
      <c r="B29" s="321" t="s">
        <v>626</v>
      </c>
      <c r="C29" s="186" t="s">
        <v>316</v>
      </c>
      <c r="D29" s="926" t="s">
        <v>460</v>
      </c>
      <c r="E29" s="172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 t="str">
        <f t="shared" ref="AR29:AZ31" si="95">IF(ISERROR((AR15-AO15)/AO15),"",(AR15-AO15)/AO15)</f>
        <v/>
      </c>
      <c r="AS29" s="175" t="str">
        <f t="shared" si="95"/>
        <v/>
      </c>
      <c r="AT29" s="175" t="str">
        <f t="shared" si="95"/>
        <v/>
      </c>
      <c r="AU29" s="175" t="str">
        <f t="shared" si="95"/>
        <v/>
      </c>
      <c r="AV29" s="175" t="str">
        <f t="shared" si="95"/>
        <v/>
      </c>
      <c r="AW29" s="175" t="str">
        <f t="shared" si="95"/>
        <v/>
      </c>
      <c r="AX29" s="175" t="str">
        <f t="shared" si="95"/>
        <v/>
      </c>
      <c r="AY29" s="175" t="str">
        <f t="shared" si="95"/>
        <v/>
      </c>
      <c r="AZ29" s="175" t="str">
        <f t="shared" si="95"/>
        <v/>
      </c>
      <c r="BA29" s="175"/>
      <c r="BB29" s="175"/>
      <c r="BC29" s="929"/>
      <c r="BD29" s="175" t="str">
        <f t="shared" ref="BD29:BM31" si="96">IF(ISERROR((BD15-BA15)/BA15),"",(BD15-BA15)/BA15)</f>
        <v/>
      </c>
      <c r="BE29" s="175" t="str">
        <f t="shared" si="96"/>
        <v/>
      </c>
      <c r="BF29" s="929" t="str">
        <f t="shared" si="96"/>
        <v/>
      </c>
      <c r="BG29" s="175">
        <f t="shared" si="96"/>
        <v>0.38983140988140197</v>
      </c>
      <c r="BH29" s="175">
        <f t="shared" si="96"/>
        <v>1.5648734177215146E-2</v>
      </c>
      <c r="BI29" s="929">
        <f t="shared" si="96"/>
        <v>0.1912014101803661</v>
      </c>
      <c r="BJ29" s="175">
        <f t="shared" si="96"/>
        <v>-0.2852459852804245</v>
      </c>
      <c r="BK29" s="175">
        <f t="shared" si="96"/>
        <v>-0.1737057751328108</v>
      </c>
      <c r="BL29" s="929">
        <f t="shared" si="96"/>
        <v>-0.23503380368614465</v>
      </c>
      <c r="BM29" s="175">
        <f t="shared" si="96"/>
        <v>0.16095010350488981</v>
      </c>
      <c r="BN29" s="175">
        <f t="shared" ref="BN29:BW31" si="97">IF(ISERROR((BN15-BK15)/BK15),"",(BN15-BK15)/BK15)</f>
        <v>0.246403589811271</v>
      </c>
      <c r="BO29" s="929">
        <f t="shared" si="97"/>
        <v>0.20250286500114606</v>
      </c>
      <c r="BP29" s="175">
        <f t="shared" si="97"/>
        <v>0.32033844258947791</v>
      </c>
      <c r="BQ29" s="175">
        <f t="shared" si="97"/>
        <v>0.69863530310010113</v>
      </c>
      <c r="BR29" s="929">
        <f t="shared" si="97"/>
        <v>0.51100539023962532</v>
      </c>
      <c r="BS29" s="175">
        <f t="shared" si="97"/>
        <v>0.30987283654083048</v>
      </c>
      <c r="BT29" s="175">
        <f t="shared" si="97"/>
        <v>5.7791478130856232E-3</v>
      </c>
      <c r="BU29" s="175">
        <f t="shared" si="97"/>
        <v>0.13757325765702622</v>
      </c>
      <c r="BV29" s="175">
        <f t="shared" si="97"/>
        <v>-5.5803514804800239E-2</v>
      </c>
      <c r="BW29" s="175">
        <f t="shared" si="97"/>
        <v>-0.10030961102670166</v>
      </c>
      <c r="BX29" s="175">
        <f t="shared" ref="BX29:CG31" si="98">IF(ISERROR((BX15-BU15)/BU15),"",(BX15-BU15)/BU15)</f>
        <v>-7.8099135391810556E-2</v>
      </c>
      <c r="BY29" s="175">
        <f t="shared" si="98"/>
        <v>0.25084400470957824</v>
      </c>
      <c r="BZ29" s="175">
        <f t="shared" si="98"/>
        <v>0.3582166817369784</v>
      </c>
      <c r="CA29" s="175">
        <f t="shared" si="98"/>
        <v>0.30333716293039964</v>
      </c>
      <c r="CB29" s="175">
        <f t="shared" si="98"/>
        <v>-7.6167440832858859E-3</v>
      </c>
      <c r="CC29" s="175">
        <f t="shared" si="98"/>
        <v>5.4960535515663871E-2</v>
      </c>
      <c r="CD29" s="175">
        <f t="shared" si="98"/>
        <v>2.426469247657817E-2</v>
      </c>
      <c r="CE29" s="175">
        <f t="shared" si="98"/>
        <v>0.12294220840369904</v>
      </c>
      <c r="CF29" s="175">
        <f t="shared" si="98"/>
        <v>-3.205904159374539E-2</v>
      </c>
      <c r="CG29" s="175">
        <f t="shared" si="98"/>
        <v>4.16066570967654E-2</v>
      </c>
      <c r="CH29" s="175">
        <f t="shared" ref="CH29:CQ31" si="99">IF(ISERROR((CH15-CE15)/CE15),"",(CH15-CE15)/CE15)</f>
        <v>-7.5688285271298922E-2</v>
      </c>
      <c r="CI29" s="175">
        <f t="shared" si="99"/>
        <v>-4.3636988125880093E-2</v>
      </c>
      <c r="CJ29" s="175">
        <f t="shared" si="99"/>
        <v>-6.0059114185070699E-2</v>
      </c>
      <c r="CK29" s="175">
        <f t="shared" si="99"/>
        <v>2.2964396217758968E-3</v>
      </c>
      <c r="CL29" s="175">
        <f t="shared" si="99"/>
        <v>-0.11443175002565381</v>
      </c>
      <c r="CM29" s="175">
        <f t="shared" si="99"/>
        <v>-5.561819420242696E-2</v>
      </c>
      <c r="CN29" s="175">
        <f t="shared" si="99"/>
        <v>-1.9804078658384298E-2</v>
      </c>
      <c r="CO29" s="175">
        <f t="shared" si="99"/>
        <v>0.29264924290486083</v>
      </c>
      <c r="CP29" s="175">
        <f t="shared" si="99"/>
        <v>0.12556503303239391</v>
      </c>
      <c r="CQ29" s="175">
        <f t="shared" si="99"/>
        <v>0.45236995753189374</v>
      </c>
      <c r="CR29" s="175">
        <f t="shared" ref="CR29:DA31" si="100">IF(ISERROR((CR15-CO15)/CO15),"",(CR15-CO15)/CO15)</f>
        <v>0.34594562015485658</v>
      </c>
      <c r="CS29" s="175">
        <f t="shared" si="100"/>
        <v>0.39550587336035992</v>
      </c>
      <c r="CT29" s="175">
        <f t="shared" si="100"/>
        <v>0.35218125960061308</v>
      </c>
      <c r="CU29" s="175">
        <f t="shared" si="100"/>
        <v>0.22729471397773929</v>
      </c>
      <c r="CV29" s="175">
        <f t="shared" si="100"/>
        <v>0.28782236263976502</v>
      </c>
      <c r="CW29" s="175">
        <f t="shared" si="100"/>
        <v>7.959952634675925E-2</v>
      </c>
      <c r="CX29" s="175">
        <f t="shared" si="100"/>
        <v>0.21596701414391545</v>
      </c>
      <c r="CY29" s="175">
        <f t="shared" si="100"/>
        <v>0.14657205248202462</v>
      </c>
      <c r="CZ29" s="175">
        <f t="shared" si="100"/>
        <v>0.11540492307876911</v>
      </c>
      <c r="DA29" s="175">
        <f t="shared" si="100"/>
        <v>5.2045624572465227E-2</v>
      </c>
      <c r="DB29" s="175">
        <f t="shared" ref="DB29:DK31" si="101">IF(ISERROR((DB15-CY15)/CY15),"",(DB15-CY15)/CY15)</f>
        <v>8.240471768600445E-2</v>
      </c>
      <c r="DC29" s="175">
        <f t="shared" si="101"/>
        <v>9.7598755458383785E-2</v>
      </c>
      <c r="DD29" s="175">
        <f t="shared" si="101"/>
        <v>3.6195800482500602E-2</v>
      </c>
      <c r="DE29" s="175">
        <f t="shared" si="101"/>
        <v>6.6514501214950728E-2</v>
      </c>
      <c r="DF29" s="175">
        <f t="shared" si="101"/>
        <v>8.9488968582025014E-2</v>
      </c>
      <c r="DG29" s="175">
        <f t="shared" si="101"/>
        <v>-0.19647996850821692</v>
      </c>
      <c r="DH29" s="1082">
        <f t="shared" si="101"/>
        <v>-5.1162770011837562E-2</v>
      </c>
      <c r="DI29" s="175">
        <f t="shared" si="101"/>
        <v>-1.2033193117191527E-2</v>
      </c>
      <c r="DJ29" s="175">
        <f t="shared" si="101"/>
        <v>0.28602392574629504</v>
      </c>
      <c r="DK29" s="1082">
        <f t="shared" si="101"/>
        <v>0.11211223595411351</v>
      </c>
      <c r="DL29" s="1003">
        <f t="shared" ref="DL29:DU31" si="102">IF(ISERROR((DL15-DI15)/DI15),"",(DL15-DI15)/DI15)</f>
        <v>3.3803566675538965E-2</v>
      </c>
      <c r="DM29" s="1003">
        <f t="shared" si="102"/>
        <v>0.12088226869091981</v>
      </c>
      <c r="DN29" s="1082">
        <f t="shared" si="102"/>
        <v>7.5745033112582918E-2</v>
      </c>
      <c r="DO29" s="1003">
        <f t="shared" si="102"/>
        <v>0.14443872296601448</v>
      </c>
      <c r="DP29" s="1003">
        <f t="shared" si="102"/>
        <v>0.36417071300792198</v>
      </c>
      <c r="DQ29" s="1082">
        <f t="shared" si="102"/>
        <v>0.25471335128895717</v>
      </c>
      <c r="DR29" s="1003">
        <f t="shared" si="102"/>
        <v>0.31698537682789646</v>
      </c>
      <c r="DS29" s="1003">
        <f t="shared" si="102"/>
        <v>4.0277257399775411E-2</v>
      </c>
      <c r="DT29" s="1082">
        <f t="shared" si="102"/>
        <v>0.16600224879893702</v>
      </c>
      <c r="DU29" s="1003">
        <f t="shared" si="102"/>
        <v>-8.0286983259308716E-3</v>
      </c>
      <c r="DV29" s="1003">
        <f t="shared" ref="DV29:DV31" si="103">IF(ISERROR((DV15-DS15)/DS15),"",(DV15-DS15)/DS15)</f>
        <v>2.3410768953715843E-3</v>
      </c>
      <c r="DW29" s="1082">
        <f t="shared" ref="DW29:DX31" si="104">IF(ISERROR((DW15-DT15)/DT15),"",(DW15-DT15)/DT15)</f>
        <v>-2.9806259314456834E-3</v>
      </c>
      <c r="DX29" s="1003">
        <f t="shared" si="104"/>
        <v>2.7208541415532896E-2</v>
      </c>
      <c r="DY29" s="1003">
        <f t="shared" ref="DY29:EE31" si="105">IF(ISERROR((DY15-DV15)/DV15),"",(DY15-DV15)/DV15)</f>
        <v>7.2030738692493282E-2</v>
      </c>
      <c r="DZ29" s="1082">
        <f t="shared" si="105"/>
        <v>4.9144736794374144E-2</v>
      </c>
      <c r="EA29" s="1003">
        <f t="shared" si="105"/>
        <v>0.15509024568670587</v>
      </c>
      <c r="EB29" s="1003">
        <f t="shared" si="105"/>
        <v>6.9083151837008111E-2</v>
      </c>
      <c r="EC29" s="1082">
        <f t="shared" si="105"/>
        <v>0.11207976779543938</v>
      </c>
      <c r="ED29" s="1003">
        <f t="shared" si="105"/>
        <v>8.7890656405355871E-2</v>
      </c>
      <c r="EE29" s="1003">
        <f t="shared" si="105"/>
        <v>8.7897947004525204E-2</v>
      </c>
      <c r="EF29" s="1082">
        <f t="shared" ref="EF29:EO31" si="106">IF(ISERROR((EF15-EC15)/EC15),"",(EF15-EC15)/EC15)</f>
        <v>8.7894161330623097E-2</v>
      </c>
      <c r="EG29" s="1003">
        <f t="shared" si="106"/>
        <v>9.0000000000000108E-2</v>
      </c>
      <c r="EH29" s="1003">
        <f t="shared" si="106"/>
        <v>9.000000000000008E-2</v>
      </c>
      <c r="EI29" s="1082">
        <f t="shared" si="106"/>
        <v>0.09</v>
      </c>
      <c r="EJ29" s="1003">
        <f t="shared" si="106"/>
        <v>9.0000000000000038E-2</v>
      </c>
      <c r="EK29" s="1003">
        <f t="shared" si="106"/>
        <v>9.0000000000000149E-2</v>
      </c>
      <c r="EL29" s="1082">
        <f t="shared" si="106"/>
        <v>9.0000000000000163E-2</v>
      </c>
      <c r="EM29" s="1003">
        <f t="shared" si="106"/>
        <v>9.0000000000000094E-2</v>
      </c>
      <c r="EN29" s="1003">
        <f t="shared" si="106"/>
        <v>0.09</v>
      </c>
      <c r="EO29" s="1082">
        <f t="shared" si="106"/>
        <v>8.9999999999999913E-2</v>
      </c>
      <c r="EP29" s="1003">
        <f t="shared" ref="EP29:ER31" si="107">IF(ISERROR((EP15-EM15)/EM15),"",(EP15-EM15)/EM15)</f>
        <v>9.0000000000000038E-2</v>
      </c>
      <c r="EQ29" s="1003">
        <f t="shared" si="107"/>
        <v>9.0000000000000038E-2</v>
      </c>
      <c r="ER29" s="1082">
        <f t="shared" si="107"/>
        <v>9.0000000000000038E-2</v>
      </c>
      <c r="ES29" s="1003">
        <f t="shared" ref="ES29:ES34" si="108">IF(ISERROR((ES15-EP15)/EP15),"",(ES15-EP15)/EP15)</f>
        <v>9.0000000000000177E-2</v>
      </c>
      <c r="ET29" s="1003">
        <f t="shared" ref="ET29:ET34" si="109">IF(ISERROR((ET15-EQ15)/EQ15),"",(ET15-EQ15)/EQ15)</f>
        <v>9.0000000000000191E-2</v>
      </c>
      <c r="EU29" s="1082">
        <f t="shared" ref="EU29:EU34" si="110">IF(ISERROR((EU15-ER15)/ER15),"",(EU15-ER15)/ER15)</f>
        <v>9.0000000000000246E-2</v>
      </c>
      <c r="EV29" s="1003">
        <f t="shared" ref="EV29:EV34" si="111">IF(ISERROR((EV15-ES15)/ES15),"",(EV15-ES15)/ES15)</f>
        <v>8.9999999999999955E-2</v>
      </c>
      <c r="EW29" s="1003">
        <f t="shared" ref="EW29:EW34" si="112">IF(ISERROR((EW15-ET15)/ET15),"",(EW15-ET15)/ET15)</f>
        <v>8.99999999999999E-2</v>
      </c>
      <c r="EX29" s="1082">
        <f t="shared" ref="EX29:EX34" si="113">IF(ISERROR((EX15-EU15)/EU15),"",(EX15-EU15)/EU15)</f>
        <v>8.9999999999999927E-2</v>
      </c>
      <c r="EY29" s="1003">
        <f t="shared" ref="EY29:EY34" si="114">IF(ISERROR((EY15-EV15)/EV15),"",(EY15-EV15)/EV15)</f>
        <v>9.0000000000000094E-2</v>
      </c>
      <c r="EZ29" s="1003">
        <f t="shared" ref="EZ29:EZ34" si="115">IF(ISERROR((EZ15-EW15)/EW15),"",(EZ15-EW15)/EW15)</f>
        <v>9.0000000000000316E-2</v>
      </c>
      <c r="FA29" s="1082">
        <f t="shared" ref="FA29:FA34" si="116">IF(ISERROR((FA15-EX15)/EX15),"",(FA15-EX15)/EX15)</f>
        <v>9.0000000000000205E-2</v>
      </c>
      <c r="FB29" s="261"/>
      <c r="FC29" s="1003"/>
      <c r="FE29" s="1003"/>
      <c r="FF29" s="1003"/>
      <c r="FG29" s="1003"/>
      <c r="FH29" s="35"/>
      <c r="FI29" s="35"/>
      <c r="FJ29" s="35"/>
      <c r="FK29" s="35"/>
      <c r="FL29" s="35"/>
      <c r="FM29" s="35"/>
      <c r="FN29" s="35"/>
      <c r="FO29" s="35"/>
      <c r="FP29" s="35"/>
      <c r="FQ29" s="35"/>
    </row>
    <row r="30" spans="1:173" s="321" customFormat="1" ht="13.35" customHeight="1" outlineLevel="1">
      <c r="A30" s="1174"/>
      <c r="B30" s="321" t="s">
        <v>627</v>
      </c>
      <c r="C30" s="186" t="s">
        <v>317</v>
      </c>
      <c r="D30" s="926" t="s">
        <v>460</v>
      </c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 t="str">
        <f t="shared" si="95"/>
        <v/>
      </c>
      <c r="AS30" s="175" t="str">
        <f t="shared" si="95"/>
        <v/>
      </c>
      <c r="AT30" s="175" t="str">
        <f t="shared" si="95"/>
        <v/>
      </c>
      <c r="AU30" s="175" t="str">
        <f t="shared" si="95"/>
        <v/>
      </c>
      <c r="AV30" s="175" t="str">
        <f t="shared" si="95"/>
        <v/>
      </c>
      <c r="AW30" s="175" t="str">
        <f t="shared" si="95"/>
        <v/>
      </c>
      <c r="AX30" s="175" t="str">
        <f t="shared" si="95"/>
        <v/>
      </c>
      <c r="AY30" s="175" t="str">
        <f t="shared" si="95"/>
        <v/>
      </c>
      <c r="AZ30" s="175" t="str">
        <f t="shared" si="95"/>
        <v/>
      </c>
      <c r="BA30" s="175"/>
      <c r="BB30" s="175"/>
      <c r="BC30" s="929"/>
      <c r="BD30" s="175" t="str">
        <f t="shared" si="96"/>
        <v/>
      </c>
      <c r="BE30" s="175" t="str">
        <f t="shared" si="96"/>
        <v/>
      </c>
      <c r="BF30" s="929" t="str">
        <f t="shared" si="96"/>
        <v/>
      </c>
      <c r="BG30" s="175">
        <f t="shared" si="96"/>
        <v>6.8297629610850619E-2</v>
      </c>
      <c r="BH30" s="175">
        <f t="shared" si="96"/>
        <v>0.17369519832985372</v>
      </c>
      <c r="BI30" s="929">
        <f t="shared" si="96"/>
        <v>0.12492565991124922</v>
      </c>
      <c r="BJ30" s="175">
        <f t="shared" si="96"/>
        <v>-3.191817556183122E-2</v>
      </c>
      <c r="BK30" s="175">
        <f t="shared" si="96"/>
        <v>-6.6382070437566568E-2</v>
      </c>
      <c r="BL30" s="929">
        <f t="shared" si="96"/>
        <v>-5.1617035553431799E-2</v>
      </c>
      <c r="BM30" s="175">
        <f t="shared" si="96"/>
        <v>0.47825660636368111</v>
      </c>
      <c r="BN30" s="175">
        <f t="shared" si="97"/>
        <v>0.38540237768632801</v>
      </c>
      <c r="BO30" s="929">
        <f t="shared" si="97"/>
        <v>0.42600930511781471</v>
      </c>
      <c r="BP30" s="175">
        <f t="shared" si="97"/>
        <v>0.34986149009880563</v>
      </c>
      <c r="BQ30" s="175">
        <f t="shared" si="97"/>
        <v>0.26957867762808768</v>
      </c>
      <c r="BR30" s="929">
        <f t="shared" si="97"/>
        <v>0.30597424466813528</v>
      </c>
      <c r="BS30" s="175">
        <f t="shared" si="97"/>
        <v>0.27344462995315127</v>
      </c>
      <c r="BT30" s="175">
        <f t="shared" si="97"/>
        <v>0.18426187190538987</v>
      </c>
      <c r="BU30" s="175">
        <f t="shared" si="97"/>
        <v>0.22605081682227932</v>
      </c>
      <c r="BV30" s="175">
        <f t="shared" si="97"/>
        <v>0.18019312952798006</v>
      </c>
      <c r="BW30" s="175">
        <f t="shared" si="97"/>
        <v>0.23353852063916014</v>
      </c>
      <c r="BX30" s="175">
        <f t="shared" si="98"/>
        <v>0.20757587139423042</v>
      </c>
      <c r="BY30" s="175">
        <f t="shared" si="98"/>
        <v>0.25089913356220417</v>
      </c>
      <c r="BZ30" s="175">
        <f t="shared" si="98"/>
        <v>0.22986178154531586</v>
      </c>
      <c r="CA30" s="175">
        <f t="shared" si="98"/>
        <v>0.23986827306856645</v>
      </c>
      <c r="CB30" s="175">
        <f t="shared" si="98"/>
        <v>-7.4386426774948278E-2</v>
      </c>
      <c r="CC30" s="175">
        <f t="shared" si="98"/>
        <v>-9.6820974559728185E-2</v>
      </c>
      <c r="CD30" s="175">
        <f t="shared" si="98"/>
        <v>-8.6054963482769586E-2</v>
      </c>
      <c r="CE30" s="175">
        <f t="shared" si="98"/>
        <v>-3.6482965067324818E-2</v>
      </c>
      <c r="CF30" s="175">
        <f t="shared" si="98"/>
        <v>4.7014517233578065E-2</v>
      </c>
      <c r="CG30" s="175">
        <f t="shared" si="98"/>
        <v>6.433725231127215E-3</v>
      </c>
      <c r="CH30" s="175">
        <f t="shared" si="99"/>
        <v>4.4332230616265553E-2</v>
      </c>
      <c r="CI30" s="175">
        <f t="shared" si="99"/>
        <v>-9.3662581793383173E-2</v>
      </c>
      <c r="CJ30" s="175">
        <f t="shared" si="99"/>
        <v>-2.945532509563218E-2</v>
      </c>
      <c r="CK30" s="175">
        <f t="shared" si="99"/>
        <v>-1.684005566945547E-2</v>
      </c>
      <c r="CL30" s="175">
        <f t="shared" si="99"/>
        <v>5.1490419711394892E-3</v>
      </c>
      <c r="CM30" s="175">
        <f t="shared" si="99"/>
        <v>-5.8600604611392122E-3</v>
      </c>
      <c r="CN30" s="175">
        <f t="shared" si="99"/>
        <v>0.20703972069367288</v>
      </c>
      <c r="CO30" s="175">
        <f t="shared" si="99"/>
        <v>0.3248903999163828</v>
      </c>
      <c r="CP30" s="175">
        <f t="shared" si="99"/>
        <v>0.26653873539279177</v>
      </c>
      <c r="CQ30" s="175">
        <f t="shared" si="99"/>
        <v>7.3616440137868222E-2</v>
      </c>
      <c r="CR30" s="175">
        <f t="shared" si="100"/>
        <v>3.5499683718792766E-2</v>
      </c>
      <c r="CS30" s="175">
        <f t="shared" si="100"/>
        <v>5.3485915319283185E-2</v>
      </c>
      <c r="CT30" s="175">
        <f t="shared" si="100"/>
        <v>0.15870682107280354</v>
      </c>
      <c r="CU30" s="175">
        <f t="shared" si="100"/>
        <v>0.10590397936666049</v>
      </c>
      <c r="CV30" s="175">
        <f t="shared" si="100"/>
        <v>0.1312962746461756</v>
      </c>
      <c r="CW30" s="175">
        <f t="shared" si="100"/>
        <v>-1.1829454688406162E-2</v>
      </c>
      <c r="CX30" s="175">
        <f t="shared" si="100"/>
        <v>1.7553869687512286E-2</v>
      </c>
      <c r="CY30" s="175">
        <f t="shared" si="100"/>
        <v>3.0813949516305273E-3</v>
      </c>
      <c r="CZ30" s="175">
        <f t="shared" si="100"/>
        <v>4.1923408217713759E-2</v>
      </c>
      <c r="DA30" s="175">
        <f t="shared" si="100"/>
        <v>0.1494883609030481</v>
      </c>
      <c r="DB30" s="175">
        <f t="shared" si="101"/>
        <v>9.7295825980984907E-2</v>
      </c>
      <c r="DC30" s="175">
        <f t="shared" si="101"/>
        <v>0.14235918326737537</v>
      </c>
      <c r="DD30" s="175">
        <f t="shared" si="101"/>
        <v>6.6761798796248994E-2</v>
      </c>
      <c r="DE30" s="175">
        <f t="shared" si="101"/>
        <v>0.10159203646208684</v>
      </c>
      <c r="DF30" s="175">
        <f t="shared" si="101"/>
        <v>5.59102723552947E-2</v>
      </c>
      <c r="DG30" s="175">
        <f t="shared" si="101"/>
        <v>-0.18297529865296955</v>
      </c>
      <c r="DH30" s="1082">
        <f t="shared" si="101"/>
        <v>-6.8839606697512615E-2</v>
      </c>
      <c r="DI30" s="175">
        <f t="shared" si="101"/>
        <v>-9.0794554653059537E-2</v>
      </c>
      <c r="DJ30" s="175">
        <f t="shared" si="101"/>
        <v>0.26736547328299504</v>
      </c>
      <c r="DK30" s="1082">
        <f t="shared" si="101"/>
        <v>7.331656999185078E-2</v>
      </c>
      <c r="DL30" s="1003">
        <f t="shared" si="102"/>
        <v>0.20707070707070716</v>
      </c>
      <c r="DM30" s="1003">
        <f t="shared" si="102"/>
        <v>4.1413780792573955E-2</v>
      </c>
      <c r="DN30" s="1082">
        <f t="shared" si="102"/>
        <v>0.11744253428626608</v>
      </c>
      <c r="DO30" s="1003">
        <f t="shared" si="102"/>
        <v>-3.4867503486758273E-4</v>
      </c>
      <c r="DP30" s="1003">
        <f t="shared" si="102"/>
        <v>0.20911895783339049</v>
      </c>
      <c r="DQ30" s="1082">
        <f t="shared" si="102"/>
        <v>0.10527225583405354</v>
      </c>
      <c r="DR30" s="1003">
        <f t="shared" si="102"/>
        <v>0.22950819672131154</v>
      </c>
      <c r="DS30" s="1003">
        <f t="shared" si="102"/>
        <v>0.11454493904167858</v>
      </c>
      <c r="DT30" s="1082">
        <f t="shared" si="102"/>
        <v>0.16609321238661254</v>
      </c>
      <c r="DU30" s="1003">
        <f t="shared" si="102"/>
        <v>2.184397163120564E-2</v>
      </c>
      <c r="DV30" s="1003">
        <f t="shared" si="103"/>
        <v>9.2597303485118368E-2</v>
      </c>
      <c r="DW30" s="1082">
        <f t="shared" si="104"/>
        <v>5.9146995708154536E-2</v>
      </c>
      <c r="DX30" s="1003">
        <f t="shared" si="104"/>
        <v>3.1926707384786229E-2</v>
      </c>
      <c r="DY30" s="1003">
        <f t="shared" si="105"/>
        <v>0.16366170421502718</v>
      </c>
      <c r="DZ30" s="1082">
        <f t="shared" si="105"/>
        <v>0.1035743978224062</v>
      </c>
      <c r="EA30" s="1003">
        <f t="shared" si="105"/>
        <v>0.17505469575532023</v>
      </c>
      <c r="EB30" s="1003">
        <f t="shared" si="105"/>
        <v>6.9112065147481985E-2</v>
      </c>
      <c r="EC30" s="1082">
        <f t="shared" si="105"/>
        <v>0.11429761369924134</v>
      </c>
      <c r="ED30" s="1003">
        <f t="shared" si="105"/>
        <v>8.7917370838684963E-2</v>
      </c>
      <c r="EE30" s="1003">
        <f t="shared" si="105"/>
        <v>8.7924579815095466E-2</v>
      </c>
      <c r="EF30" s="1082">
        <f t="shared" si="106"/>
        <v>8.7921337469580571E-2</v>
      </c>
      <c r="EG30" s="1003">
        <f t="shared" si="106"/>
        <v>9.0000000000000052E-2</v>
      </c>
      <c r="EH30" s="1003">
        <f t="shared" si="106"/>
        <v>9.0000000000000122E-2</v>
      </c>
      <c r="EI30" s="1082">
        <f t="shared" si="106"/>
        <v>9.000000000000008E-2</v>
      </c>
      <c r="EJ30" s="1003">
        <f t="shared" si="106"/>
        <v>9.0000000000000108E-2</v>
      </c>
      <c r="EK30" s="1003">
        <f t="shared" si="106"/>
        <v>9.000000000000008E-2</v>
      </c>
      <c r="EL30" s="1082">
        <f t="shared" si="106"/>
        <v>9.000000000000008E-2</v>
      </c>
      <c r="EM30" s="1003">
        <f t="shared" si="106"/>
        <v>8.9999999999999886E-2</v>
      </c>
      <c r="EN30" s="1003">
        <f t="shared" si="106"/>
        <v>9.000000000000008E-2</v>
      </c>
      <c r="EO30" s="1082">
        <f t="shared" si="106"/>
        <v>8.99999999999999E-2</v>
      </c>
      <c r="EP30" s="1003">
        <f t="shared" si="107"/>
        <v>9.0000000000000246E-2</v>
      </c>
      <c r="EQ30" s="1003">
        <f t="shared" si="107"/>
        <v>9.0000000000000149E-2</v>
      </c>
      <c r="ER30" s="1082">
        <f t="shared" si="107"/>
        <v>9.0000000000000371E-2</v>
      </c>
      <c r="ES30" s="1003">
        <f t="shared" si="108"/>
        <v>9.0000000000000038E-2</v>
      </c>
      <c r="ET30" s="1003">
        <f t="shared" si="109"/>
        <v>9.000000000000008E-2</v>
      </c>
      <c r="EU30" s="1082">
        <f t="shared" si="110"/>
        <v>9.0000000000000052E-2</v>
      </c>
      <c r="EV30" s="1003">
        <f t="shared" si="111"/>
        <v>9.0000000000000135E-2</v>
      </c>
      <c r="EW30" s="1003">
        <f t="shared" si="112"/>
        <v>8.99999999999999E-2</v>
      </c>
      <c r="EX30" s="1082">
        <f t="shared" si="113"/>
        <v>8.9999999999999858E-2</v>
      </c>
      <c r="EY30" s="1003">
        <f t="shared" si="114"/>
        <v>9.0000000000000149E-2</v>
      </c>
      <c r="EZ30" s="1003">
        <f t="shared" si="115"/>
        <v>9.000000000000026E-2</v>
      </c>
      <c r="FA30" s="1082">
        <f t="shared" si="116"/>
        <v>9.0000000000000288E-2</v>
      </c>
      <c r="FC30" s="1003"/>
      <c r="FE30" s="1003"/>
      <c r="FF30" s="1003"/>
      <c r="FG30" s="1003"/>
      <c r="FH30" s="35"/>
      <c r="FI30" s="35"/>
      <c r="FJ30" s="35"/>
      <c r="FK30" s="35"/>
      <c r="FL30" s="35"/>
      <c r="FM30" s="35"/>
      <c r="FN30" s="35"/>
      <c r="FO30" s="35"/>
      <c r="FP30" s="35"/>
      <c r="FQ30" s="35"/>
    </row>
    <row r="31" spans="1:173" s="321" customFormat="1" ht="13.35" customHeight="1" outlineLevel="1">
      <c r="A31" s="1174"/>
      <c r="B31" s="321" t="s">
        <v>628</v>
      </c>
      <c r="C31" s="186" t="s">
        <v>384</v>
      </c>
      <c r="D31" s="926" t="s">
        <v>460</v>
      </c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 t="str">
        <f t="shared" si="95"/>
        <v/>
      </c>
      <c r="AS31" s="175" t="str">
        <f t="shared" si="95"/>
        <v/>
      </c>
      <c r="AT31" s="175" t="str">
        <f t="shared" si="95"/>
        <v/>
      </c>
      <c r="AU31" s="175" t="str">
        <f t="shared" si="95"/>
        <v/>
      </c>
      <c r="AV31" s="175" t="str">
        <f t="shared" si="95"/>
        <v/>
      </c>
      <c r="AW31" s="175" t="str">
        <f t="shared" si="95"/>
        <v/>
      </c>
      <c r="AX31" s="175" t="str">
        <f t="shared" si="95"/>
        <v/>
      </c>
      <c r="AY31" s="175" t="str">
        <f t="shared" si="95"/>
        <v/>
      </c>
      <c r="AZ31" s="175" t="str">
        <f t="shared" si="95"/>
        <v/>
      </c>
      <c r="BA31" s="175"/>
      <c r="BB31" s="175"/>
      <c r="BC31" s="929"/>
      <c r="BD31" s="175" t="str">
        <f t="shared" si="96"/>
        <v/>
      </c>
      <c r="BE31" s="175" t="str">
        <f t="shared" si="96"/>
        <v/>
      </c>
      <c r="BF31" s="929" t="str">
        <f t="shared" si="96"/>
        <v/>
      </c>
      <c r="BG31" s="175">
        <f t="shared" si="96"/>
        <v>7.6596095910197601E-2</v>
      </c>
      <c r="BH31" s="175">
        <f t="shared" si="96"/>
        <v>-1</v>
      </c>
      <c r="BI31" s="929">
        <f t="shared" si="96"/>
        <v>6.929724441545516E-4</v>
      </c>
      <c r="BJ31" s="175">
        <f t="shared" si="96"/>
        <v>4.5118258136236426E-2</v>
      </c>
      <c r="BK31" s="175" t="str">
        <f t="shared" si="96"/>
        <v/>
      </c>
      <c r="BL31" s="929">
        <f t="shared" si="96"/>
        <v>3.0388203185465895E-2</v>
      </c>
      <c r="BM31" s="175">
        <f t="shared" si="96"/>
        <v>2.5491490610328651E-2</v>
      </c>
      <c r="BN31" s="175">
        <f t="shared" si="97"/>
        <v>0.28749035411129192</v>
      </c>
      <c r="BO31" s="929">
        <f t="shared" si="97"/>
        <v>0.14629373393951364</v>
      </c>
      <c r="BP31" s="175">
        <f t="shared" si="97"/>
        <v>0.1554637178457387</v>
      </c>
      <c r="BQ31" s="175">
        <f t="shared" si="97"/>
        <v>-8.9258460550379976E-2</v>
      </c>
      <c r="BR31" s="929">
        <f t="shared" si="97"/>
        <v>2.8728595816592175E-2</v>
      </c>
      <c r="BS31" s="175">
        <f t="shared" si="97"/>
        <v>0.30711043332585009</v>
      </c>
      <c r="BT31" s="175">
        <f t="shared" si="97"/>
        <v>0.38563342195388045</v>
      </c>
      <c r="BU31" s="175">
        <f t="shared" si="97"/>
        <v>0.34311145381095276</v>
      </c>
      <c r="BV31" s="175">
        <f t="shared" si="97"/>
        <v>1.686124991119383E-2</v>
      </c>
      <c r="BW31" s="175">
        <f t="shared" si="97"/>
        <v>0.27032375524420182</v>
      </c>
      <c r="BX31" s="175">
        <f t="shared" si="98"/>
        <v>0.13674712328083261</v>
      </c>
      <c r="BY31" s="175">
        <f t="shared" si="98"/>
        <v>5.5800088497636548E-2</v>
      </c>
      <c r="BZ31" s="175">
        <f t="shared" si="98"/>
        <v>-1.9940179461615463E-2</v>
      </c>
      <c r="CA31" s="175">
        <f t="shared" si="98"/>
        <v>1.5765839948179056E-2</v>
      </c>
      <c r="CB31" s="175">
        <f t="shared" si="98"/>
        <v>4.9039293769479769E-2</v>
      </c>
      <c r="CC31" s="175">
        <f t="shared" si="98"/>
        <v>5.0538793870012366E-2</v>
      </c>
      <c r="CD31" s="175">
        <f t="shared" si="98"/>
        <v>4.9804027637588268E-2</v>
      </c>
      <c r="CE31" s="175">
        <f t="shared" si="98"/>
        <v>0.18222922837165939</v>
      </c>
      <c r="CF31" s="175">
        <f t="shared" si="98"/>
        <v>0.3257719252828486</v>
      </c>
      <c r="CG31" s="175">
        <f t="shared" si="98"/>
        <v>0.25548617052348588</v>
      </c>
      <c r="CH31" s="175">
        <f t="shared" si="99"/>
        <v>6.1339222417565259E-2</v>
      </c>
      <c r="CI31" s="175">
        <f t="shared" si="99"/>
        <v>-3.763549380473253E-2</v>
      </c>
      <c r="CJ31" s="175">
        <f t="shared" si="99"/>
        <v>7.9997353344084705E-3</v>
      </c>
      <c r="CK31" s="175">
        <f t="shared" si="99"/>
        <v>0.30139328900843615</v>
      </c>
      <c r="CL31" s="175">
        <f t="shared" si="99"/>
        <v>0.10610445245110679</v>
      </c>
      <c r="CM31" s="175">
        <f t="shared" si="99"/>
        <v>0.20091293257081358</v>
      </c>
      <c r="CN31" s="175">
        <f t="shared" si="99"/>
        <v>-0.25499607752074882</v>
      </c>
      <c r="CO31" s="175">
        <f t="shared" si="99"/>
        <v>0.1971854325439687</v>
      </c>
      <c r="CP31" s="175">
        <f t="shared" si="99"/>
        <v>-4.0706441339106246E-2</v>
      </c>
      <c r="CQ31" s="175">
        <f t="shared" si="99"/>
        <v>9.910813053097299E-2</v>
      </c>
      <c r="CR31" s="175">
        <f t="shared" si="100"/>
        <v>0.16677847174691665</v>
      </c>
      <c r="CS31" s="175">
        <f t="shared" si="100"/>
        <v>0.13912993163563048</v>
      </c>
      <c r="CT31" s="175">
        <f t="shared" si="100"/>
        <v>0.68609844315143975</v>
      </c>
      <c r="CU31" s="175">
        <f t="shared" si="100"/>
        <v>5.4933431274571697E-2</v>
      </c>
      <c r="CV31" s="175">
        <f t="shared" si="100"/>
        <v>0.30375264397876556</v>
      </c>
      <c r="CW31" s="175">
        <f t="shared" si="100"/>
        <v>3.8136897378263167E-2</v>
      </c>
      <c r="CX31" s="175">
        <f t="shared" si="100"/>
        <v>1.7637306907305531E-2</v>
      </c>
      <c r="CY31" s="175">
        <f t="shared" si="100"/>
        <v>2.8088693339570751E-2</v>
      </c>
      <c r="CZ31" s="175">
        <f t="shared" si="100"/>
        <v>-0.15205824903443396</v>
      </c>
      <c r="DA31" s="175">
        <f t="shared" si="100"/>
        <v>0.16743196271983585</v>
      </c>
      <c r="DB31" s="175">
        <f t="shared" si="101"/>
        <v>2.9530138308024234E-3</v>
      </c>
      <c r="DC31" s="175">
        <f t="shared" si="101"/>
        <v>0.19519857971123966</v>
      </c>
      <c r="DD31" s="175">
        <f t="shared" si="101"/>
        <v>2.2792050849624688E-2</v>
      </c>
      <c r="DE31" s="175">
        <f t="shared" si="101"/>
        <v>9.7831891770129006E-2</v>
      </c>
      <c r="DF31" s="175">
        <f t="shared" si="101"/>
        <v>0.18043700365842857</v>
      </c>
      <c r="DG31" s="175">
        <f t="shared" si="101"/>
        <v>-0.28468116154632839</v>
      </c>
      <c r="DH31" s="1082">
        <f t="shared" si="101"/>
        <v>-6.4284138841517416E-2</v>
      </c>
      <c r="DI31" s="175">
        <f t="shared" si="101"/>
        <v>-2.7489081193146359E-2</v>
      </c>
      <c r="DJ31" s="175">
        <f t="shared" si="101"/>
        <v>0.35382616333825745</v>
      </c>
      <c r="DK31" s="1082">
        <f t="shared" si="101"/>
        <v>0.12588360712643029</v>
      </c>
      <c r="DL31" s="1003">
        <f t="shared" si="102"/>
        <v>8.1853281853281806E-2</v>
      </c>
      <c r="DM31" s="1003">
        <f t="shared" si="102"/>
        <v>0.17724649629018935</v>
      </c>
      <c r="DN31" s="1082">
        <f t="shared" si="102"/>
        <v>0.12799043062200943</v>
      </c>
      <c r="DO31" s="1003">
        <f t="shared" si="102"/>
        <v>0.14989293361884368</v>
      </c>
      <c r="DP31" s="1003">
        <f t="shared" si="102"/>
        <v>0.23879551820728309</v>
      </c>
      <c r="DQ31" s="1082">
        <f t="shared" si="102"/>
        <v>0.19476846942382478</v>
      </c>
      <c r="DR31" s="1003">
        <f t="shared" si="102"/>
        <v>8.938547486033524E-2</v>
      </c>
      <c r="DS31" s="1003">
        <f t="shared" si="102"/>
        <v>0.11023176936122087</v>
      </c>
      <c r="DT31" s="1082">
        <f t="shared" si="102"/>
        <v>0.10029585798816561</v>
      </c>
      <c r="DU31" s="1003">
        <f t="shared" si="102"/>
        <v>0.30484330484330485</v>
      </c>
      <c r="DV31" s="1003">
        <f t="shared" si="103"/>
        <v>1.7311608961303637E-2</v>
      </c>
      <c r="DW31" s="1082">
        <f t="shared" si="104"/>
        <v>0.15299811777359515</v>
      </c>
      <c r="DX31" s="1003">
        <f t="shared" si="104"/>
        <v>-9.2576419213973749E-2</v>
      </c>
      <c r="DY31" s="1003">
        <f t="shared" si="105"/>
        <v>0.20561185597436568</v>
      </c>
      <c r="DZ31" s="1082">
        <f t="shared" si="105"/>
        <v>4.6364852667160159E-2</v>
      </c>
      <c r="EA31" s="1003">
        <f t="shared" si="105"/>
        <v>0.2565085034013605</v>
      </c>
      <c r="EB31" s="1003">
        <f t="shared" si="105"/>
        <v>6.9083151837008194E-2</v>
      </c>
      <c r="EC31" s="1082">
        <f t="shared" si="105"/>
        <v>0.15588639613834895</v>
      </c>
      <c r="ED31" s="1003">
        <f t="shared" si="105"/>
        <v>8.7890656405356218E-2</v>
      </c>
      <c r="EE31" s="1003">
        <f t="shared" si="105"/>
        <v>8.789794700452512E-2</v>
      </c>
      <c r="EF31" s="1082">
        <f t="shared" si="106"/>
        <v>8.7894276539209407E-2</v>
      </c>
      <c r="EG31" s="1003">
        <f t="shared" si="106"/>
        <v>8.9999999999999913E-2</v>
      </c>
      <c r="EH31" s="1003">
        <f t="shared" si="106"/>
        <v>9.0000000000000011E-2</v>
      </c>
      <c r="EI31" s="1082">
        <f t="shared" si="106"/>
        <v>8.9999999999999872E-2</v>
      </c>
      <c r="EJ31" s="1003">
        <f t="shared" si="106"/>
        <v>9.000000000000008E-2</v>
      </c>
      <c r="EK31" s="1003">
        <f t="shared" si="106"/>
        <v>8.9999999999999969E-2</v>
      </c>
      <c r="EL31" s="1082">
        <f t="shared" si="106"/>
        <v>9.0000000000000219E-2</v>
      </c>
      <c r="EM31" s="1003">
        <f t="shared" si="106"/>
        <v>9.000000000000026E-2</v>
      </c>
      <c r="EN31" s="1003">
        <f t="shared" si="106"/>
        <v>9.0000000000000094E-2</v>
      </c>
      <c r="EO31" s="1082">
        <f t="shared" si="106"/>
        <v>9.000000000000008E-2</v>
      </c>
      <c r="EP31" s="1003">
        <f t="shared" si="107"/>
        <v>9.0000000000000094E-2</v>
      </c>
      <c r="EQ31" s="1003">
        <f t="shared" si="107"/>
        <v>9.0000000000000024E-2</v>
      </c>
      <c r="ER31" s="1082">
        <f t="shared" si="107"/>
        <v>9.0000000000000066E-2</v>
      </c>
      <c r="ES31" s="1003">
        <f t="shared" si="108"/>
        <v>9.0000000000000191E-2</v>
      </c>
      <c r="ET31" s="1003">
        <f t="shared" si="109"/>
        <v>9.000000000000008E-2</v>
      </c>
      <c r="EU31" s="1082">
        <f t="shared" si="110"/>
        <v>9.0000000000000205E-2</v>
      </c>
      <c r="EV31" s="1003">
        <f t="shared" si="111"/>
        <v>9.0000000000000066E-2</v>
      </c>
      <c r="EW31" s="1003">
        <f t="shared" si="112"/>
        <v>8.9999999999999983E-2</v>
      </c>
      <c r="EX31" s="1082">
        <f t="shared" si="113"/>
        <v>8.9999999999999955E-2</v>
      </c>
      <c r="EY31" s="1003">
        <f t="shared" si="114"/>
        <v>8.9999999999999941E-2</v>
      </c>
      <c r="EZ31" s="1003">
        <f t="shared" si="115"/>
        <v>0.09</v>
      </c>
      <c r="FA31" s="1082">
        <f t="shared" si="116"/>
        <v>8.9999999999999969E-2</v>
      </c>
      <c r="FB31" s="261"/>
      <c r="FC31" s="1003"/>
      <c r="FE31" s="1003"/>
      <c r="FF31" s="1003"/>
      <c r="FG31" s="1003"/>
      <c r="FH31" s="35"/>
      <c r="FI31" s="35"/>
      <c r="FJ31" s="35"/>
      <c r="FK31" s="35"/>
      <c r="FL31" s="35"/>
      <c r="FM31" s="35"/>
      <c r="FN31" s="35"/>
      <c r="FO31" s="35"/>
      <c r="FP31" s="35"/>
      <c r="FQ31" s="35"/>
    </row>
    <row r="32" spans="1:173" s="321" customFormat="1" ht="13.35" customHeight="1" outlineLevel="1">
      <c r="A32" s="1174"/>
      <c r="C32" s="186" t="s">
        <v>286</v>
      </c>
      <c r="D32" s="926" t="s">
        <v>460</v>
      </c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929"/>
      <c r="BD32" s="175" t="str">
        <f t="shared" ref="BD32:BM34" si="117">IF(ISERROR((BD18-BA18)/BA18),"",(BD18-BA18)/BA18)</f>
        <v/>
      </c>
      <c r="BE32" s="175" t="str">
        <f t="shared" si="117"/>
        <v/>
      </c>
      <c r="BF32" s="929" t="str">
        <f t="shared" si="117"/>
        <v/>
      </c>
      <c r="BG32" s="175" t="str">
        <f t="shared" si="117"/>
        <v/>
      </c>
      <c r="BH32" s="175" t="str">
        <f t="shared" si="117"/>
        <v/>
      </c>
      <c r="BI32" s="929" t="str">
        <f t="shared" si="117"/>
        <v/>
      </c>
      <c r="BJ32" s="175">
        <f t="shared" si="117"/>
        <v>2.9353661714881416</v>
      </c>
      <c r="BK32" s="175">
        <f t="shared" si="117"/>
        <v>-4.9580401355225439</v>
      </c>
      <c r="BL32" s="929" t="str">
        <f t="shared" si="117"/>
        <v/>
      </c>
      <c r="BM32" s="175">
        <f t="shared" si="117"/>
        <v>-0.21496688741721859</v>
      </c>
      <c r="BN32" s="175">
        <f t="shared" ref="BN32:BW34" si="118">IF(ISERROR((BN18-BK18)/BK18),"",(BN18-BK18)/BK18)</f>
        <v>-1.6461447290445661E-2</v>
      </c>
      <c r="BO32" s="929">
        <f t="shared" si="118"/>
        <v>-0.11542906197378409</v>
      </c>
      <c r="BP32" s="175">
        <f t="shared" si="118"/>
        <v>4.8085034587481049E-2</v>
      </c>
      <c r="BQ32" s="175">
        <f t="shared" si="118"/>
        <v>-0.44640824797482753</v>
      </c>
      <c r="BR32" s="929">
        <f t="shared" si="118"/>
        <v>-0.22761375088649169</v>
      </c>
      <c r="BS32" s="175">
        <f t="shared" si="118"/>
        <v>-0.56138364461820223</v>
      </c>
      <c r="BT32" s="175">
        <f t="shared" si="118"/>
        <v>0.33952696352412787</v>
      </c>
      <c r="BU32" s="175">
        <f t="shared" si="118"/>
        <v>-0.20137640455011499</v>
      </c>
      <c r="BV32" s="175">
        <f t="shared" si="118"/>
        <v>1.5306405265387597</v>
      </c>
      <c r="BW32" s="175">
        <f t="shared" si="118"/>
        <v>-0.323561443879473</v>
      </c>
      <c r="BX32" s="175">
        <f t="shared" ref="BX32:CG34" si="119">IF(ISERROR((BX18-BU18)/BU18),"",(BX18-BU18)/BU18)</f>
        <v>0.28785583481042715</v>
      </c>
      <c r="BY32" s="175">
        <f t="shared" si="119"/>
        <v>-0.39931367547553315</v>
      </c>
      <c r="BZ32" s="175">
        <f t="shared" si="119"/>
        <v>-4.3916227231311256</v>
      </c>
      <c r="CA32" s="175">
        <f t="shared" si="119"/>
        <v>-1.8047918753682781</v>
      </c>
      <c r="CB32" s="175">
        <f t="shared" si="119"/>
        <v>0.29083698096339272</v>
      </c>
      <c r="CC32" s="175">
        <f t="shared" si="119"/>
        <v>-2.1002109520758454</v>
      </c>
      <c r="CD32" s="175">
        <f t="shared" si="119"/>
        <v>-3.2565796364938859</v>
      </c>
      <c r="CE32" s="175">
        <f t="shared" si="119"/>
        <v>1.0448130809338507</v>
      </c>
      <c r="CF32" s="175">
        <f t="shared" si="119"/>
        <v>0.98671917723578728</v>
      </c>
      <c r="CG32" s="175">
        <f t="shared" si="119"/>
        <v>1.0027907853542621</v>
      </c>
      <c r="CH32" s="175">
        <f t="shared" ref="CH32:CQ34" si="120">IF(ISERROR((CH18-CE18)/CE18),"",(CH18-CE18)/CE18)</f>
        <v>0.65941001600731786</v>
      </c>
      <c r="CI32" s="175">
        <f t="shared" si="120"/>
        <v>-0.31303784250891042</v>
      </c>
      <c r="CJ32" s="175">
        <f t="shared" si="120"/>
        <v>-3.8366640399942413E-2</v>
      </c>
      <c r="CK32" s="175">
        <f t="shared" si="120"/>
        <v>-0.35209326681917158</v>
      </c>
      <c r="CL32" s="175">
        <f t="shared" si="120"/>
        <v>-0.62830861156245132</v>
      </c>
      <c r="CM32" s="175">
        <f t="shared" si="120"/>
        <v>-0.4936795583079221</v>
      </c>
      <c r="CN32" s="175">
        <f t="shared" si="120"/>
        <v>-1.2512761613067891</v>
      </c>
      <c r="CO32" s="175">
        <f t="shared" si="120"/>
        <v>-1.7064591885447242</v>
      </c>
      <c r="CP32" s="175">
        <f t="shared" si="120"/>
        <v>-1.4225600453988969</v>
      </c>
      <c r="CQ32" s="175">
        <f t="shared" si="120"/>
        <v>-0.63856441510072803</v>
      </c>
      <c r="CR32" s="175">
        <f t="shared" ref="CR32:DA34" si="121">IF(ISERROR((CR18-CO18)/CO18),"",(CR18-CO18)/CO18)</f>
        <v>0.41071937742950126</v>
      </c>
      <c r="CS32" s="175">
        <f t="shared" si="121"/>
        <v>2.1554314381590993E-2</v>
      </c>
      <c r="CT32" s="175">
        <f t="shared" si="121"/>
        <v>10.068612725191649</v>
      </c>
      <c r="CU32" s="175">
        <f t="shared" si="121"/>
        <v>-0.72072785060376132</v>
      </c>
      <c r="CV32" s="175">
        <f t="shared" si="121"/>
        <v>0.69508297480024595</v>
      </c>
      <c r="CW32" s="175">
        <f t="shared" si="121"/>
        <v>-1.2021722176952356</v>
      </c>
      <c r="CX32" s="175">
        <f t="shared" si="121"/>
        <v>-3.3615803725155056</v>
      </c>
      <c r="CY32" s="175">
        <f t="shared" si="121"/>
        <v>-1.5112584514476082</v>
      </c>
      <c r="CZ32" s="175">
        <f t="shared" si="121"/>
        <v>1.0930841759384942</v>
      </c>
      <c r="DA32" s="175">
        <f t="shared" si="121"/>
        <v>-0.753281528959169</v>
      </c>
      <c r="DB32" s="175">
        <f t="shared" ref="DB32:DG34" si="122">IF(ISERROR((DB18-CY18)/CY18),"",(DB18-CY18)/CY18)</f>
        <v>-0.1276606177327059</v>
      </c>
      <c r="DC32" s="175">
        <f t="shared" si="122"/>
        <v>-1.8099075169294134</v>
      </c>
      <c r="DD32" s="175">
        <f t="shared" si="122"/>
        <v>-5.9025971328918745</v>
      </c>
      <c r="DE32" s="175">
        <f t="shared" si="122"/>
        <v>-2.5752082883894811</v>
      </c>
      <c r="DF32" s="175">
        <f t="shared" si="122"/>
        <v>1.7040171635127399</v>
      </c>
      <c r="DG32" s="175">
        <f t="shared" si="122"/>
        <v>-0.13089543160075037</v>
      </c>
      <c r="DH32" s="1082"/>
      <c r="DI32" s="175"/>
      <c r="DJ32" s="175"/>
      <c r="DK32" s="1082"/>
      <c r="DL32" s="1003"/>
      <c r="DM32" s="1003"/>
      <c r="DN32" s="1082"/>
      <c r="DO32" s="1003"/>
      <c r="DP32" s="1003"/>
      <c r="DQ32" s="1082"/>
      <c r="DR32" s="1003"/>
      <c r="DS32" s="1003"/>
      <c r="DT32" s="1082"/>
      <c r="DU32" s="1003"/>
      <c r="DV32" s="1003"/>
      <c r="DW32" s="1082"/>
      <c r="DX32" s="1003"/>
      <c r="DY32" s="1003"/>
      <c r="DZ32" s="1082"/>
      <c r="EA32" s="1003"/>
      <c r="EB32" s="1003">
        <f t="shared" ref="EB32:EK34" si="123">IF(ISERROR((EB18-DY18)/DY18),"",(EB18-DY18)/DY18)</f>
        <v>3.5000351072177312E-2</v>
      </c>
      <c r="EC32" s="1082">
        <f t="shared" si="123"/>
        <v>-3.7282951526143844</v>
      </c>
      <c r="ED32" s="1003">
        <f t="shared" si="123"/>
        <v>-1</v>
      </c>
      <c r="EE32" s="1003">
        <f t="shared" si="123"/>
        <v>-1</v>
      </c>
      <c r="EF32" s="1082">
        <f t="shared" si="123"/>
        <v>-1</v>
      </c>
      <c r="EG32" s="1003" t="str">
        <f t="shared" si="123"/>
        <v/>
      </c>
      <c r="EH32" s="1003" t="str">
        <f t="shared" si="123"/>
        <v/>
      </c>
      <c r="EI32" s="1082" t="str">
        <f t="shared" si="123"/>
        <v/>
      </c>
      <c r="EJ32" s="1003" t="str">
        <f t="shared" si="123"/>
        <v/>
      </c>
      <c r="EK32" s="1003" t="str">
        <f t="shared" si="123"/>
        <v/>
      </c>
      <c r="EL32" s="1082" t="str">
        <f t="shared" ref="EL32:ER34" si="124">IF(ISERROR((EL18-EI18)/EI18),"",(EL18-EI18)/EI18)</f>
        <v/>
      </c>
      <c r="EM32" s="1003" t="str">
        <f t="shared" si="124"/>
        <v/>
      </c>
      <c r="EN32" s="1003" t="str">
        <f t="shared" si="124"/>
        <v/>
      </c>
      <c r="EO32" s="1082" t="str">
        <f t="shared" si="124"/>
        <v/>
      </c>
      <c r="EP32" s="1003" t="str">
        <f t="shared" si="124"/>
        <v/>
      </c>
      <c r="EQ32" s="1003" t="str">
        <f t="shared" si="124"/>
        <v/>
      </c>
      <c r="ER32" s="1082" t="str">
        <f t="shared" si="124"/>
        <v/>
      </c>
      <c r="ES32" s="1003" t="str">
        <f t="shared" si="108"/>
        <v/>
      </c>
      <c r="ET32" s="1003" t="str">
        <f t="shared" si="109"/>
        <v/>
      </c>
      <c r="EU32" s="1082" t="str">
        <f t="shared" si="110"/>
        <v/>
      </c>
      <c r="EV32" s="1003" t="str">
        <f t="shared" si="111"/>
        <v/>
      </c>
      <c r="EW32" s="1003" t="str">
        <f t="shared" si="112"/>
        <v/>
      </c>
      <c r="EX32" s="1082" t="str">
        <f t="shared" si="113"/>
        <v/>
      </c>
      <c r="EY32" s="1003" t="str">
        <f t="shared" si="114"/>
        <v/>
      </c>
      <c r="EZ32" s="1003" t="str">
        <f t="shared" si="115"/>
        <v/>
      </c>
      <c r="FA32" s="1082" t="str">
        <f t="shared" si="116"/>
        <v/>
      </c>
      <c r="FB32" s="261"/>
      <c r="FC32" s="1003"/>
      <c r="FE32" s="1004"/>
      <c r="FF32" s="1003"/>
      <c r="FG32" s="1003"/>
      <c r="FH32" s="35"/>
      <c r="FI32" s="35"/>
      <c r="FJ32" s="35"/>
      <c r="FK32" s="35"/>
      <c r="FL32" s="35"/>
      <c r="FM32" s="35"/>
      <c r="FN32" s="35"/>
      <c r="FO32" s="35"/>
      <c r="FP32" s="35"/>
      <c r="FQ32" s="35"/>
    </row>
    <row r="33" spans="1:173" s="321" customFormat="1" ht="13.35" customHeight="1" outlineLevel="1">
      <c r="A33" s="1174"/>
      <c r="B33" s="927"/>
      <c r="C33" s="321" t="s">
        <v>571</v>
      </c>
      <c r="D33" s="926" t="s">
        <v>460</v>
      </c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929"/>
      <c r="BD33" s="175" t="str">
        <f t="shared" si="117"/>
        <v/>
      </c>
      <c r="BE33" s="175" t="str">
        <f t="shared" si="117"/>
        <v/>
      </c>
      <c r="BF33" s="929" t="str">
        <f t="shared" si="117"/>
        <v/>
      </c>
      <c r="BG33" s="175" t="str">
        <f t="shared" si="117"/>
        <v/>
      </c>
      <c r="BH33" s="175" t="str">
        <f t="shared" si="117"/>
        <v/>
      </c>
      <c r="BI33" s="929" t="str">
        <f t="shared" si="117"/>
        <v/>
      </c>
      <c r="BJ33" s="175" t="str">
        <f t="shared" si="117"/>
        <v/>
      </c>
      <c r="BK33" s="175" t="str">
        <f t="shared" si="117"/>
        <v/>
      </c>
      <c r="BL33" s="929" t="str">
        <f t="shared" si="117"/>
        <v/>
      </c>
      <c r="BM33" s="175" t="str">
        <f t="shared" si="117"/>
        <v/>
      </c>
      <c r="BN33" s="175" t="str">
        <f t="shared" si="118"/>
        <v/>
      </c>
      <c r="BO33" s="929" t="str">
        <f t="shared" si="118"/>
        <v/>
      </c>
      <c r="BP33" s="175" t="str">
        <f t="shared" si="118"/>
        <v/>
      </c>
      <c r="BQ33" s="175" t="str">
        <f t="shared" si="118"/>
        <v/>
      </c>
      <c r="BR33" s="929" t="str">
        <f t="shared" si="118"/>
        <v/>
      </c>
      <c r="BS33" s="175" t="str">
        <f t="shared" si="118"/>
        <v/>
      </c>
      <c r="BT33" s="175" t="str">
        <f t="shared" si="118"/>
        <v/>
      </c>
      <c r="BU33" s="175" t="str">
        <f t="shared" si="118"/>
        <v/>
      </c>
      <c r="BV33" s="175" t="str">
        <f t="shared" si="118"/>
        <v/>
      </c>
      <c r="BW33" s="175" t="str">
        <f t="shared" si="118"/>
        <v/>
      </c>
      <c r="BX33" s="175" t="str">
        <f t="shared" si="119"/>
        <v/>
      </c>
      <c r="BY33" s="175" t="str">
        <f t="shared" si="119"/>
        <v/>
      </c>
      <c r="BZ33" s="175" t="str">
        <f t="shared" si="119"/>
        <v/>
      </c>
      <c r="CA33" s="175" t="str">
        <f t="shared" si="119"/>
        <v/>
      </c>
      <c r="CB33" s="175" t="str">
        <f t="shared" si="119"/>
        <v/>
      </c>
      <c r="CC33" s="175" t="str">
        <f t="shared" si="119"/>
        <v/>
      </c>
      <c r="CD33" s="175" t="str">
        <f t="shared" si="119"/>
        <v/>
      </c>
      <c r="CE33" s="175" t="str">
        <f t="shared" si="119"/>
        <v/>
      </c>
      <c r="CF33" s="175" t="str">
        <f t="shared" si="119"/>
        <v/>
      </c>
      <c r="CG33" s="175" t="str">
        <f t="shared" si="119"/>
        <v/>
      </c>
      <c r="CH33" s="175" t="str">
        <f t="shared" si="120"/>
        <v/>
      </c>
      <c r="CI33" s="175" t="str">
        <f t="shared" si="120"/>
        <v/>
      </c>
      <c r="CJ33" s="175" t="str">
        <f t="shared" si="120"/>
        <v/>
      </c>
      <c r="CK33" s="175" t="str">
        <f t="shared" si="120"/>
        <v/>
      </c>
      <c r="CL33" s="175" t="str">
        <f t="shared" si="120"/>
        <v/>
      </c>
      <c r="CM33" s="175" t="str">
        <f t="shared" si="120"/>
        <v/>
      </c>
      <c r="CN33" s="175" t="str">
        <f t="shared" si="120"/>
        <v/>
      </c>
      <c r="CO33" s="175" t="str">
        <f t="shared" si="120"/>
        <v/>
      </c>
      <c r="CP33" s="175" t="str">
        <f t="shared" si="120"/>
        <v/>
      </c>
      <c r="CQ33" s="175" t="str">
        <f t="shared" si="120"/>
        <v/>
      </c>
      <c r="CR33" s="175" t="str">
        <f t="shared" si="121"/>
        <v/>
      </c>
      <c r="CS33" s="175" t="str">
        <f t="shared" si="121"/>
        <v/>
      </c>
      <c r="CT33" s="175" t="str">
        <f t="shared" si="121"/>
        <v/>
      </c>
      <c r="CU33" s="175" t="str">
        <f t="shared" si="121"/>
        <v/>
      </c>
      <c r="CV33" s="175" t="str">
        <f t="shared" si="121"/>
        <v/>
      </c>
      <c r="CW33" s="175" t="str">
        <f t="shared" si="121"/>
        <v/>
      </c>
      <c r="CX33" s="175" t="str">
        <f t="shared" si="121"/>
        <v/>
      </c>
      <c r="CY33" s="175" t="str">
        <f t="shared" si="121"/>
        <v/>
      </c>
      <c r="CZ33" s="175" t="str">
        <f t="shared" si="121"/>
        <v/>
      </c>
      <c r="DA33" s="175" t="str">
        <f t="shared" si="121"/>
        <v/>
      </c>
      <c r="DB33" s="175" t="str">
        <f t="shared" si="122"/>
        <v/>
      </c>
      <c r="DC33" s="175" t="str">
        <f t="shared" si="122"/>
        <v/>
      </c>
      <c r="DD33" s="175" t="str">
        <f t="shared" si="122"/>
        <v/>
      </c>
      <c r="DE33" s="175" t="str">
        <f t="shared" si="122"/>
        <v/>
      </c>
      <c r="DF33" s="175" t="str">
        <f t="shared" si="122"/>
        <v/>
      </c>
      <c r="DG33" s="175" t="str">
        <f t="shared" si="122"/>
        <v/>
      </c>
      <c r="DH33" s="1082" t="str">
        <f t="shared" ref="DH33:DQ34" si="125">IF(ISERROR((DH19-DE19)/DE19),"",(DH19-DE19)/DE19)</f>
        <v/>
      </c>
      <c r="DI33" s="175" t="str">
        <f t="shared" si="125"/>
        <v/>
      </c>
      <c r="DJ33" s="175" t="str">
        <f t="shared" si="125"/>
        <v/>
      </c>
      <c r="DK33" s="1082" t="str">
        <f t="shared" si="125"/>
        <v/>
      </c>
      <c r="DL33" s="1003" t="str">
        <f t="shared" si="125"/>
        <v/>
      </c>
      <c r="DM33" s="1003" t="str">
        <f t="shared" si="125"/>
        <v/>
      </c>
      <c r="DN33" s="1082" t="str">
        <f t="shared" si="125"/>
        <v/>
      </c>
      <c r="DO33" s="1003" t="str">
        <f t="shared" si="125"/>
        <v/>
      </c>
      <c r="DP33" s="1003" t="str">
        <f t="shared" si="125"/>
        <v/>
      </c>
      <c r="DQ33" s="1082" t="str">
        <f t="shared" si="125"/>
        <v/>
      </c>
      <c r="DR33" s="1003" t="str">
        <f t="shared" ref="DR33:EA34" si="126">IF(ISERROR((DR19-DO19)/DO19),"",(DR19-DO19)/DO19)</f>
        <v/>
      </c>
      <c r="DS33" s="1003" t="str">
        <f t="shared" si="126"/>
        <v/>
      </c>
      <c r="DT33" s="1082" t="str">
        <f t="shared" si="126"/>
        <v/>
      </c>
      <c r="DU33" s="1003" t="str">
        <f t="shared" si="126"/>
        <v/>
      </c>
      <c r="DV33" s="1003" t="str">
        <f t="shared" ref="DV33:DV34" si="127">IF(ISERROR((DV19-DS19)/DS19),"",(DV19-DS19)/DS19)</f>
        <v/>
      </c>
      <c r="DW33" s="1082" t="str">
        <f t="shared" ref="DW33:DW34" si="128">IF(ISERROR((DW19-DT19)/DT19),"",(DW19-DT19)/DT19)</f>
        <v/>
      </c>
      <c r="DX33" s="1003" t="str">
        <f t="shared" si="126"/>
        <v/>
      </c>
      <c r="DY33" s="1003" t="str">
        <f t="shared" si="126"/>
        <v/>
      </c>
      <c r="DZ33" s="1082" t="str">
        <f t="shared" si="126"/>
        <v/>
      </c>
      <c r="EA33" s="1003" t="str">
        <f t="shared" si="126"/>
        <v/>
      </c>
      <c r="EB33" s="1003" t="str">
        <f t="shared" si="123"/>
        <v/>
      </c>
      <c r="EC33" s="1082" t="str">
        <f t="shared" si="123"/>
        <v/>
      </c>
      <c r="ED33" s="1003" t="str">
        <f t="shared" si="123"/>
        <v/>
      </c>
      <c r="EE33" s="1003" t="str">
        <f t="shared" si="123"/>
        <v/>
      </c>
      <c r="EF33" s="1082" t="str">
        <f t="shared" si="123"/>
        <v/>
      </c>
      <c r="EG33" s="1003" t="str">
        <f t="shared" si="123"/>
        <v/>
      </c>
      <c r="EH33" s="1003" t="str">
        <f t="shared" si="123"/>
        <v/>
      </c>
      <c r="EI33" s="1082" t="str">
        <f t="shared" si="123"/>
        <v/>
      </c>
      <c r="EJ33" s="1003" t="str">
        <f t="shared" si="123"/>
        <v/>
      </c>
      <c r="EK33" s="1003" t="str">
        <f t="shared" si="123"/>
        <v/>
      </c>
      <c r="EL33" s="1082" t="str">
        <f t="shared" si="124"/>
        <v/>
      </c>
      <c r="EM33" s="1003" t="str">
        <f t="shared" si="124"/>
        <v/>
      </c>
      <c r="EN33" s="1003" t="str">
        <f t="shared" si="124"/>
        <v/>
      </c>
      <c r="EO33" s="1082" t="str">
        <f t="shared" si="124"/>
        <v/>
      </c>
      <c r="EP33" s="1003" t="str">
        <f t="shared" si="124"/>
        <v/>
      </c>
      <c r="EQ33" s="1003" t="str">
        <f t="shared" si="124"/>
        <v/>
      </c>
      <c r="ER33" s="1082" t="str">
        <f t="shared" si="124"/>
        <v/>
      </c>
      <c r="ES33" s="1003" t="str">
        <f t="shared" si="108"/>
        <v/>
      </c>
      <c r="ET33" s="1003" t="str">
        <f t="shared" si="109"/>
        <v/>
      </c>
      <c r="EU33" s="1082" t="str">
        <f t="shared" si="110"/>
        <v/>
      </c>
      <c r="EV33" s="1003" t="str">
        <f t="shared" si="111"/>
        <v/>
      </c>
      <c r="EW33" s="1003" t="str">
        <f t="shared" si="112"/>
        <v/>
      </c>
      <c r="EX33" s="1082" t="str">
        <f t="shared" si="113"/>
        <v/>
      </c>
      <c r="EY33" s="1003" t="str">
        <f t="shared" si="114"/>
        <v/>
      </c>
      <c r="EZ33" s="1003" t="str">
        <f t="shared" si="115"/>
        <v/>
      </c>
      <c r="FA33" s="1082" t="str">
        <f t="shared" si="116"/>
        <v/>
      </c>
      <c r="FC33" s="1003"/>
      <c r="FE33" s="1003"/>
      <c r="FF33" s="1003"/>
      <c r="FG33" s="1003"/>
      <c r="FH33" s="35"/>
      <c r="FI33" s="35"/>
      <c r="FJ33" s="35"/>
      <c r="FK33" s="35"/>
      <c r="FL33" s="35"/>
      <c r="FM33" s="35"/>
      <c r="FN33" s="35"/>
      <c r="FO33" s="35"/>
      <c r="FP33" s="35"/>
      <c r="FQ33" s="35"/>
    </row>
    <row r="34" spans="1:173" s="321" customFormat="1" ht="13.35" customHeight="1" outlineLevel="1">
      <c r="A34" s="1174"/>
      <c r="B34" s="1196" t="s">
        <v>141</v>
      </c>
      <c r="C34" s="1196"/>
      <c r="D34" s="1197" t="s">
        <v>460</v>
      </c>
      <c r="E34" s="1199"/>
      <c r="F34" s="1199"/>
      <c r="G34" s="1199"/>
      <c r="H34" s="1199"/>
      <c r="I34" s="1199"/>
      <c r="J34" s="1199"/>
      <c r="K34" s="1199"/>
      <c r="L34" s="1199"/>
      <c r="M34" s="1199"/>
      <c r="N34" s="1199"/>
      <c r="O34" s="1199"/>
      <c r="P34" s="1199"/>
      <c r="Q34" s="1199"/>
      <c r="R34" s="1199"/>
      <c r="S34" s="1199"/>
      <c r="T34" s="1199"/>
      <c r="U34" s="1199"/>
      <c r="V34" s="1199"/>
      <c r="W34" s="1199"/>
      <c r="X34" s="1199"/>
      <c r="Y34" s="1199"/>
      <c r="Z34" s="1199"/>
      <c r="AA34" s="1199"/>
      <c r="AB34" s="1199"/>
      <c r="AC34" s="1199"/>
      <c r="AD34" s="1199"/>
      <c r="AE34" s="1199"/>
      <c r="AF34" s="1199"/>
      <c r="AG34" s="1199"/>
      <c r="AH34" s="1199"/>
      <c r="AI34" s="1199"/>
      <c r="AJ34" s="1199"/>
      <c r="AK34" s="1199"/>
      <c r="AL34" s="1199"/>
      <c r="AM34" s="1199"/>
      <c r="AN34" s="1199"/>
      <c r="AO34" s="1199"/>
      <c r="AP34" s="1199"/>
      <c r="AQ34" s="1199"/>
      <c r="AR34" s="1199" t="str">
        <f>IF(ISERROR((#REF!-#REF!)/#REF!),"",(#REF!-#REF!)/#REF!)</f>
        <v/>
      </c>
      <c r="AS34" s="1199" t="str">
        <f>IF(ISERROR((#REF!-#REF!)/#REF!),"",(#REF!-#REF!)/#REF!)</f>
        <v/>
      </c>
      <c r="AT34" s="1199" t="str">
        <f>IF(ISERROR((#REF!-#REF!)/#REF!),"",(#REF!-#REF!)/#REF!)</f>
        <v/>
      </c>
      <c r="AU34" s="1199" t="str">
        <f>IF(ISERROR((#REF!-#REF!)/#REF!),"",(#REF!-#REF!)/#REF!)</f>
        <v/>
      </c>
      <c r="AV34" s="1199" t="str">
        <f>IF(ISERROR((#REF!-#REF!)/#REF!),"",(#REF!-#REF!)/#REF!)</f>
        <v/>
      </c>
      <c r="AW34" s="1199" t="str">
        <f>IF(ISERROR((#REF!-#REF!)/#REF!),"",(#REF!-#REF!)/#REF!)</f>
        <v/>
      </c>
      <c r="AX34" s="1199" t="str">
        <f>IF(ISERROR((#REF!-#REF!)/#REF!),"",(#REF!-#REF!)/#REF!)</f>
        <v/>
      </c>
      <c r="AY34" s="1199" t="str">
        <f>IF(ISERROR((#REF!-#REF!)/#REF!),"",(#REF!-#REF!)/#REF!)</f>
        <v/>
      </c>
      <c r="AZ34" s="1199" t="str">
        <f>IF(ISERROR((#REF!-#REF!)/#REF!),"",(#REF!-#REF!)/#REF!)</f>
        <v/>
      </c>
      <c r="BA34" s="1199"/>
      <c r="BB34" s="1199"/>
      <c r="BC34" s="1200"/>
      <c r="BD34" s="1199" t="str">
        <f t="shared" si="117"/>
        <v/>
      </c>
      <c r="BE34" s="1199" t="str">
        <f t="shared" si="117"/>
        <v/>
      </c>
      <c r="BF34" s="1200" t="str">
        <f t="shared" si="117"/>
        <v/>
      </c>
      <c r="BG34" s="1199">
        <f t="shared" si="117"/>
        <v>0.2529624849065244</v>
      </c>
      <c r="BH34" s="1199">
        <f t="shared" si="117"/>
        <v>-1</v>
      </c>
      <c r="BI34" s="1200">
        <f t="shared" si="117"/>
        <v>8.7450708102825472E-2</v>
      </c>
      <c r="BJ34" s="1199">
        <f t="shared" si="117"/>
        <v>-7.4889340830242859E-2</v>
      </c>
      <c r="BK34" s="1199" t="str">
        <f t="shared" si="117"/>
        <v/>
      </c>
      <c r="BL34" s="1200">
        <f t="shared" si="117"/>
        <v>-2.3482563050561046E-2</v>
      </c>
      <c r="BM34" s="1199">
        <f t="shared" si="117"/>
        <v>0.18663160768423956</v>
      </c>
      <c r="BN34" s="1199">
        <f t="shared" si="118"/>
        <v>0.27599277978339337</v>
      </c>
      <c r="BO34" s="1200">
        <f t="shared" si="118"/>
        <v>0.23207665746344</v>
      </c>
      <c r="BP34" s="1199">
        <f t="shared" si="118"/>
        <v>0.28366959756390842</v>
      </c>
      <c r="BQ34" s="1199">
        <f t="shared" si="118"/>
        <v>0.30708143481927658</v>
      </c>
      <c r="BR34" s="1200">
        <f t="shared" si="118"/>
        <v>0.2960001833989559</v>
      </c>
      <c r="BS34" s="1199">
        <f t="shared" si="118"/>
        <v>0.24441367468042283</v>
      </c>
      <c r="BT34" s="1199">
        <f t="shared" si="118"/>
        <v>0.12910412921532916</v>
      </c>
      <c r="BU34" s="1199">
        <f t="shared" si="118"/>
        <v>0.18316297450399124</v>
      </c>
      <c r="BV34" s="1199">
        <f t="shared" si="118"/>
        <v>8.131000828405871E-2</v>
      </c>
      <c r="BW34" s="1199">
        <f t="shared" si="118"/>
        <v>7.6921433437904738E-2</v>
      </c>
      <c r="BX34" s="1199">
        <f t="shared" si="119"/>
        <v>7.9085373456076483E-2</v>
      </c>
      <c r="BY34" s="1199">
        <f t="shared" si="119"/>
        <v>0.19008669054621391</v>
      </c>
      <c r="BZ34" s="1199">
        <f t="shared" si="119"/>
        <v>0.11480086054697784</v>
      </c>
      <c r="CA34" s="1199">
        <f t="shared" si="119"/>
        <v>0.15199969808758274</v>
      </c>
      <c r="CB34" s="1199">
        <f t="shared" si="119"/>
        <v>-2.2864981618521865E-2</v>
      </c>
      <c r="CC34" s="1199">
        <f t="shared" si="119"/>
        <v>0.14519174079392752</v>
      </c>
      <c r="CD34" s="1199">
        <f t="shared" si="119"/>
        <v>5.9409329860475583E-2</v>
      </c>
      <c r="CE34" s="1199">
        <f t="shared" si="119"/>
        <v>9.3085088004857514E-2</v>
      </c>
      <c r="CF34" s="1199">
        <f t="shared" si="119"/>
        <v>0.12364429898104126</v>
      </c>
      <c r="CG34" s="1199">
        <f t="shared" si="119"/>
        <v>0.10925713214067466</v>
      </c>
      <c r="CH34" s="1199">
        <f t="shared" si="120"/>
        <v>3.5045700938852647E-2</v>
      </c>
      <c r="CI34" s="1199">
        <f t="shared" si="120"/>
        <v>-9.7130949084935331E-2</v>
      </c>
      <c r="CJ34" s="1199">
        <f t="shared" si="120"/>
        <v>-3.5809893299901523E-2</v>
      </c>
      <c r="CK34" s="1199">
        <f t="shared" si="120"/>
        <v>8.3232017626549831E-3</v>
      </c>
      <c r="CL34" s="1199">
        <f t="shared" si="120"/>
        <v>-8.4463346391437738E-2</v>
      </c>
      <c r="CM34" s="1199">
        <f t="shared" si="120"/>
        <v>-3.8253262570542158E-2</v>
      </c>
      <c r="CN34" s="1199">
        <f t="shared" si="120"/>
        <v>-6.0560200356027848E-2</v>
      </c>
      <c r="CO34" s="1199">
        <f t="shared" si="120"/>
        <v>0.20481444333562115</v>
      </c>
      <c r="CP34" s="1199">
        <f t="shared" si="120"/>
        <v>6.6250510683668842E-2</v>
      </c>
      <c r="CQ34" s="1199">
        <f t="shared" si="120"/>
        <v>0.23283485975398027</v>
      </c>
      <c r="CR34" s="1199">
        <f t="shared" si="121"/>
        <v>0.1676081438526851</v>
      </c>
      <c r="CS34" s="1199">
        <f t="shared" si="121"/>
        <v>0.19761537975948909</v>
      </c>
      <c r="CT34" s="1199">
        <f t="shared" si="121"/>
        <v>0.27314570377301389</v>
      </c>
      <c r="CU34" s="1199">
        <f t="shared" si="121"/>
        <v>0.17139491680572319</v>
      </c>
      <c r="CV34" s="1199">
        <f t="shared" si="121"/>
        <v>0.21958146289520389</v>
      </c>
      <c r="CW34" s="1199">
        <f t="shared" si="121"/>
        <v>9.1436548358365496E-2</v>
      </c>
      <c r="CX34" s="1199">
        <f t="shared" si="121"/>
        <v>0.12953143607912973</v>
      </c>
      <c r="CY34" s="1199">
        <f t="shared" si="121"/>
        <v>0.11069832736694502</v>
      </c>
      <c r="CZ34" s="1199">
        <f t="shared" si="121"/>
        <v>4.9114219081113068E-2</v>
      </c>
      <c r="DA34" s="1199">
        <f t="shared" si="121"/>
        <v>9.2516051077024139E-2</v>
      </c>
      <c r="DB34" s="1199">
        <f t="shared" si="122"/>
        <v>7.1431432364229469E-2</v>
      </c>
      <c r="DC34" s="1199">
        <f t="shared" si="122"/>
        <v>9.733893141318091E-2</v>
      </c>
      <c r="DD34" s="1199">
        <f t="shared" si="122"/>
        <v>2.5477214833959538E-2</v>
      </c>
      <c r="DE34" s="1199">
        <f t="shared" si="122"/>
        <v>5.9660489732381521E-2</v>
      </c>
      <c r="DF34" s="1199">
        <f t="shared" si="122"/>
        <v>7.3621222738557909E-2</v>
      </c>
      <c r="DG34" s="1199">
        <f t="shared" si="122"/>
        <v>-0.20774113193492139</v>
      </c>
      <c r="DH34" s="1201">
        <f t="shared" si="125"/>
        <v>-6.9143402324233341E-2</v>
      </c>
      <c r="DI34" s="1199">
        <f t="shared" si="125"/>
        <v>-1.2835617949218022E-2</v>
      </c>
      <c r="DJ34" s="1199">
        <f t="shared" si="125"/>
        <v>0.31827173830627886</v>
      </c>
      <c r="DK34" s="1201">
        <f t="shared" si="125"/>
        <v>0.13015507694962797</v>
      </c>
      <c r="DL34" s="1202">
        <f t="shared" si="125"/>
        <v>0.10427879440258359</v>
      </c>
      <c r="DM34" s="1202">
        <f t="shared" si="125"/>
        <v>9.7030752916224733E-2</v>
      </c>
      <c r="DN34" s="1201">
        <f t="shared" si="125"/>
        <v>0.10062767094017097</v>
      </c>
      <c r="DO34" s="1202">
        <f t="shared" si="125"/>
        <v>7.8225904715486835E-2</v>
      </c>
      <c r="DP34" s="1202">
        <f t="shared" si="125"/>
        <v>0.27017883035282764</v>
      </c>
      <c r="DQ34" s="1201">
        <f t="shared" si="125"/>
        <v>0.17460413759631147</v>
      </c>
      <c r="DR34" s="1202">
        <f t="shared" si="126"/>
        <v>0.24138320714204983</v>
      </c>
      <c r="DS34" s="1202">
        <f t="shared" si="126"/>
        <v>8.1716133942161429E-2</v>
      </c>
      <c r="DT34" s="1201">
        <f t="shared" si="126"/>
        <v>0.15469242291203977</v>
      </c>
      <c r="DU34" s="1202">
        <f t="shared" si="126"/>
        <v>6.6809285389167139E-2</v>
      </c>
      <c r="DV34" s="1202">
        <f t="shared" si="127"/>
        <v>2.999736170961188E-2</v>
      </c>
      <c r="DW34" s="1201">
        <f t="shared" si="128"/>
        <v>4.8085525138665021E-2</v>
      </c>
      <c r="DX34" s="1202">
        <f t="shared" si="126"/>
        <v>-4.0020821066824143E-3</v>
      </c>
      <c r="DY34" s="1202">
        <f t="shared" si="126"/>
        <v>0.14613938647570016</v>
      </c>
      <c r="DZ34" s="1201">
        <f t="shared" si="126"/>
        <v>7.1046865619992627E-2</v>
      </c>
      <c r="EA34" s="1202">
        <f t="shared" si="126"/>
        <v>0.19264942546524683</v>
      </c>
      <c r="EB34" s="1202">
        <f t="shared" si="123"/>
        <v>6.8966874070581566E-2</v>
      </c>
      <c r="EC34" s="1201">
        <f t="shared" si="123"/>
        <v>0.12649158113876038</v>
      </c>
      <c r="ED34" s="1202">
        <f t="shared" si="123"/>
        <v>8.3851838261880834E-2</v>
      </c>
      <c r="EE34" s="1202">
        <f t="shared" si="123"/>
        <v>8.3981603008816644E-2</v>
      </c>
      <c r="EF34" s="1201">
        <f t="shared" si="123"/>
        <v>8.3917704965808429E-2</v>
      </c>
      <c r="EG34" s="1202">
        <f t="shared" si="123"/>
        <v>8.99999999999999E-2</v>
      </c>
      <c r="EH34" s="1202">
        <f t="shared" si="123"/>
        <v>8.9999999999999886E-2</v>
      </c>
      <c r="EI34" s="1201">
        <f t="shared" si="123"/>
        <v>8.9999999999999886E-2</v>
      </c>
      <c r="EJ34" s="1202">
        <f t="shared" si="123"/>
        <v>9.0000000000000066E-2</v>
      </c>
      <c r="EK34" s="1202">
        <f t="shared" si="123"/>
        <v>9.0000000000000233E-2</v>
      </c>
      <c r="EL34" s="1201">
        <f t="shared" si="124"/>
        <v>9.000000000000008E-2</v>
      </c>
      <c r="EM34" s="1202">
        <f t="shared" si="124"/>
        <v>9.0000000000000135E-2</v>
      </c>
      <c r="EN34" s="1202">
        <f t="shared" si="124"/>
        <v>8.9999999999999955E-2</v>
      </c>
      <c r="EO34" s="1201">
        <f t="shared" si="124"/>
        <v>9.0000000000000163E-2</v>
      </c>
      <c r="EP34" s="1202">
        <f t="shared" si="124"/>
        <v>0.09</v>
      </c>
      <c r="EQ34" s="1202">
        <f t="shared" si="124"/>
        <v>9.0000000000000191E-2</v>
      </c>
      <c r="ER34" s="1201">
        <f t="shared" si="124"/>
        <v>9.0000000000000038E-2</v>
      </c>
      <c r="ES34" s="1202">
        <f t="shared" si="108"/>
        <v>9.0000000000000205E-2</v>
      </c>
      <c r="ET34" s="1202">
        <f t="shared" si="109"/>
        <v>9.0000000000000094E-2</v>
      </c>
      <c r="EU34" s="1201">
        <f t="shared" si="110"/>
        <v>9.0000000000000149E-2</v>
      </c>
      <c r="EV34" s="1202">
        <f t="shared" si="111"/>
        <v>9.0000000000000135E-2</v>
      </c>
      <c r="EW34" s="1202">
        <f t="shared" si="112"/>
        <v>8.9999999999999844E-2</v>
      </c>
      <c r="EX34" s="1201">
        <f t="shared" si="113"/>
        <v>9.000000000000008E-2</v>
      </c>
      <c r="EY34" s="1202">
        <f t="shared" si="114"/>
        <v>8.9999999999999941E-2</v>
      </c>
      <c r="EZ34" s="1202">
        <f t="shared" si="115"/>
        <v>9.0000000000000371E-2</v>
      </c>
      <c r="FA34" s="1201">
        <f t="shared" si="116"/>
        <v>9.0000000000000066E-2</v>
      </c>
      <c r="FC34" s="1003"/>
      <c r="FE34" s="1003"/>
      <c r="FF34" s="1003"/>
      <c r="FG34" s="1003"/>
      <c r="FH34" s="35"/>
      <c r="FI34" s="35"/>
      <c r="FJ34" s="35"/>
      <c r="FK34" s="35"/>
      <c r="FL34" s="35"/>
      <c r="FM34" s="35"/>
      <c r="FN34" s="35"/>
      <c r="FO34" s="35"/>
      <c r="FP34" s="35"/>
      <c r="FQ34" s="35"/>
    </row>
    <row r="35" spans="1:173" s="321" customFormat="1" ht="13.35" customHeight="1" outlineLevel="1">
      <c r="A35" s="1174"/>
      <c r="B35" s="927"/>
      <c r="C35" s="927"/>
      <c r="D35" s="926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929"/>
      <c r="BD35" s="175"/>
      <c r="BE35" s="175"/>
      <c r="BF35" s="929"/>
      <c r="BG35" s="175"/>
      <c r="BH35" s="175"/>
      <c r="BI35" s="929"/>
      <c r="BJ35" s="175"/>
      <c r="BK35" s="175"/>
      <c r="BL35" s="929"/>
      <c r="BM35" s="175"/>
      <c r="BN35" s="175"/>
      <c r="BO35" s="929"/>
      <c r="BP35" s="175"/>
      <c r="BQ35" s="175"/>
      <c r="BR35" s="929"/>
      <c r="BS35" s="175"/>
      <c r="BT35" s="175"/>
      <c r="BU35" s="175"/>
      <c r="BV35" s="175"/>
      <c r="BW35" s="175"/>
      <c r="BX35" s="175"/>
      <c r="BY35" s="175"/>
      <c r="BZ35" s="175"/>
      <c r="CA35" s="175"/>
      <c r="CB35" s="175"/>
      <c r="CC35" s="175"/>
      <c r="CD35" s="175"/>
      <c r="CE35" s="175"/>
      <c r="CF35" s="175"/>
      <c r="CG35" s="175"/>
      <c r="CH35" s="175"/>
      <c r="CI35" s="175"/>
      <c r="CJ35" s="175"/>
      <c r="CK35" s="175"/>
      <c r="CL35" s="175"/>
      <c r="CM35" s="175"/>
      <c r="CN35" s="175"/>
      <c r="CO35" s="175"/>
      <c r="CP35" s="175"/>
      <c r="CQ35" s="175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082"/>
      <c r="DI35" s="175"/>
      <c r="DJ35" s="175"/>
      <c r="DK35" s="1082"/>
      <c r="DL35" s="1003"/>
      <c r="DM35" s="1003"/>
      <c r="DN35" s="1082"/>
      <c r="DO35" s="1003"/>
      <c r="DP35" s="1003"/>
      <c r="DQ35" s="1082"/>
      <c r="DR35" s="1003"/>
      <c r="DS35" s="1003"/>
      <c r="DT35" s="1082"/>
      <c r="DU35" s="1003"/>
      <c r="DV35" s="1003"/>
      <c r="DW35" s="1082"/>
      <c r="DX35" s="1003"/>
      <c r="DY35" s="1003"/>
      <c r="DZ35" s="1082"/>
      <c r="EA35" s="1003"/>
      <c r="EB35" s="1003"/>
      <c r="EC35" s="1082"/>
      <c r="ED35" s="1003"/>
      <c r="EE35" s="1003"/>
      <c r="EF35" s="1082"/>
      <c r="EG35" s="1003"/>
      <c r="EH35" s="1003"/>
      <c r="EI35" s="1082"/>
      <c r="EJ35" s="1003"/>
      <c r="EK35" s="1003"/>
      <c r="EL35" s="1082"/>
      <c r="EM35" s="1003"/>
      <c r="EN35" s="1003"/>
      <c r="EO35" s="1082"/>
      <c r="EP35" s="1003"/>
      <c r="EQ35" s="1003"/>
      <c r="ER35" s="1082"/>
      <c r="ES35" s="1003"/>
      <c r="ET35" s="1003"/>
      <c r="EU35" s="1082"/>
      <c r="EV35" s="1003"/>
      <c r="EW35" s="1003"/>
      <c r="EX35" s="1082"/>
      <c r="EY35" s="1003"/>
      <c r="EZ35" s="1003"/>
      <c r="FA35" s="1082"/>
      <c r="FB35" s="1003"/>
      <c r="FC35" s="1003"/>
      <c r="FE35" s="1003"/>
      <c r="FF35" s="1003"/>
      <c r="FG35" s="1003"/>
      <c r="FH35" s="35"/>
      <c r="FI35" s="35"/>
      <c r="FJ35" s="35"/>
      <c r="FK35" s="35"/>
      <c r="FL35" s="35"/>
      <c r="FM35" s="35"/>
      <c r="FN35" s="35"/>
      <c r="FO35" s="35"/>
      <c r="FP35" s="35"/>
      <c r="FQ35" s="35"/>
    </row>
    <row r="36" spans="1:173" s="321" customFormat="1" ht="13.35" customHeight="1" outlineLevel="1">
      <c r="A36" s="1174"/>
      <c r="B36" s="927"/>
      <c r="C36" s="927" t="s">
        <v>396</v>
      </c>
      <c r="D36" s="926" t="s">
        <v>604</v>
      </c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929"/>
      <c r="BD36" s="175" t="str">
        <f t="shared" ref="BD36:CI36" si="129">IF(ISERROR((BD23-BA23)/BA23),"",(BD23-BA23)/BA23)</f>
        <v/>
      </c>
      <c r="BE36" s="175" t="str">
        <f t="shared" si="129"/>
        <v/>
      </c>
      <c r="BF36" s="929" t="str">
        <f t="shared" si="129"/>
        <v/>
      </c>
      <c r="BG36" s="175" t="str">
        <f t="shared" si="129"/>
        <v/>
      </c>
      <c r="BH36" s="175" t="str">
        <f t="shared" si="129"/>
        <v/>
      </c>
      <c r="BI36" s="929" t="str">
        <f t="shared" si="129"/>
        <v/>
      </c>
      <c r="BJ36" s="175" t="str">
        <f t="shared" si="129"/>
        <v/>
      </c>
      <c r="BK36" s="175" t="str">
        <f t="shared" si="129"/>
        <v/>
      </c>
      <c r="BL36" s="929" t="str">
        <f t="shared" si="129"/>
        <v/>
      </c>
      <c r="BM36" s="175" t="str">
        <f t="shared" si="129"/>
        <v/>
      </c>
      <c r="BN36" s="175" t="str">
        <f t="shared" si="129"/>
        <v/>
      </c>
      <c r="BO36" s="929" t="str">
        <f t="shared" si="129"/>
        <v/>
      </c>
      <c r="BP36" s="175" t="str">
        <f t="shared" si="129"/>
        <v/>
      </c>
      <c r="BQ36" s="175" t="str">
        <f t="shared" si="129"/>
        <v/>
      </c>
      <c r="BR36" s="929">
        <f t="shared" si="129"/>
        <v>0.23584905660377362</v>
      </c>
      <c r="BS36" s="175" t="str">
        <f t="shared" si="129"/>
        <v/>
      </c>
      <c r="BT36" s="175" t="str">
        <f t="shared" si="129"/>
        <v/>
      </c>
      <c r="BU36" s="175">
        <f t="shared" si="129"/>
        <v>0.26397993731535846</v>
      </c>
      <c r="BV36" s="175">
        <f t="shared" si="129"/>
        <v>3.0021316627147038E-2</v>
      </c>
      <c r="BW36" s="175">
        <f t="shared" si="129"/>
        <v>7.2702539241731701E-2</v>
      </c>
      <c r="BX36" s="175">
        <f t="shared" si="129"/>
        <v>5.1346817553967507E-2</v>
      </c>
      <c r="BY36" s="175">
        <f t="shared" si="129"/>
        <v>0.21678465790622106</v>
      </c>
      <c r="BZ36" s="175">
        <f t="shared" si="129"/>
        <v>0.24544308824747568</v>
      </c>
      <c r="CA36" s="175">
        <f t="shared" si="129"/>
        <v>0.2313945865239023</v>
      </c>
      <c r="CB36" s="175">
        <f t="shared" si="129"/>
        <v>-3.5282245752471401E-2</v>
      </c>
      <c r="CC36" s="175">
        <f t="shared" si="129"/>
        <v>-2.2757028447498877E-2</v>
      </c>
      <c r="CD36" s="175">
        <f t="shared" si="129"/>
        <v>-2.8824103449253253E-2</v>
      </c>
      <c r="CE36" s="175">
        <f t="shared" si="129"/>
        <v>6.577170468498407E-2</v>
      </c>
      <c r="CF36" s="175">
        <f t="shared" si="129"/>
        <v>8.0283020971394711E-2</v>
      </c>
      <c r="CG36" s="175">
        <f t="shared" si="129"/>
        <v>7.3300644221931527E-2</v>
      </c>
      <c r="CH36" s="175">
        <f t="shared" si="129"/>
        <v>6.2061724058425569E-3</v>
      </c>
      <c r="CI36" s="175">
        <f t="shared" si="129"/>
        <v>-6.8633929659601703E-2</v>
      </c>
      <c r="CJ36" s="175">
        <f t="shared" ref="CJ36:DO36" si="130">IF(ISERROR((CJ23-CG23)/CG23),"",(CJ23-CG23)/CG23)</f>
        <v>-3.2875895297299854E-2</v>
      </c>
      <c r="CK36" s="175">
        <f t="shared" si="130"/>
        <v>5.831724497797644E-2</v>
      </c>
      <c r="CL36" s="175">
        <f t="shared" si="130"/>
        <v>-2.6848248296815654E-2</v>
      </c>
      <c r="CM36" s="175">
        <f t="shared" si="130"/>
        <v>1.5487544965819049E-2</v>
      </c>
      <c r="CN36" s="175">
        <f t="shared" si="130"/>
        <v>3.8700852297187021E-3</v>
      </c>
      <c r="CO36" s="175">
        <f t="shared" si="130"/>
        <v>0.27059951985890951</v>
      </c>
      <c r="CP36" s="175">
        <f t="shared" si="130"/>
        <v>0.13241599975950263</v>
      </c>
      <c r="CQ36" s="175">
        <f t="shared" si="130"/>
        <v>-0.18052353779231864</v>
      </c>
      <c r="CR36" s="175">
        <f t="shared" si="130"/>
        <v>9.6511374279883242E-3</v>
      </c>
      <c r="CS36" s="175">
        <f t="shared" si="130"/>
        <v>-7.7688122266717022E-2</v>
      </c>
      <c r="CT36" s="175">
        <f t="shared" si="130"/>
        <v>0.3372968468867058</v>
      </c>
      <c r="CU36" s="175">
        <f t="shared" si="130"/>
        <v>-6.884209148944552E-2</v>
      </c>
      <c r="CV36" s="175">
        <f t="shared" si="130"/>
        <v>9.6883712539761427E-2</v>
      </c>
      <c r="CW36" s="175">
        <f t="shared" si="130"/>
        <v>3.9658039515433341E-2</v>
      </c>
      <c r="CX36" s="175">
        <f t="shared" si="130"/>
        <v>6.6618170152502543E-2</v>
      </c>
      <c r="CY36" s="175">
        <f t="shared" si="130"/>
        <v>5.320582470473801E-2</v>
      </c>
      <c r="CZ36" s="175">
        <f t="shared" si="130"/>
        <v>4.2983970606933042E-2</v>
      </c>
      <c r="DA36" s="175">
        <f t="shared" si="130"/>
        <v>0.12007699565719299</v>
      </c>
      <c r="DB36" s="175">
        <f t="shared" si="130"/>
        <v>8.221747687331632E-2</v>
      </c>
      <c r="DC36" s="175">
        <f t="shared" si="130"/>
        <v>5.2376978465739778E-2</v>
      </c>
      <c r="DD36" s="175">
        <f t="shared" si="130"/>
        <v>-1.4843303787458118E-2</v>
      </c>
      <c r="DE36" s="175">
        <f t="shared" si="130"/>
        <v>1.6971073328768418E-2</v>
      </c>
      <c r="DF36" s="175">
        <f t="shared" si="130"/>
        <v>0.13529838125151003</v>
      </c>
      <c r="DG36" s="175">
        <f t="shared" si="130"/>
        <v>-0.19286487628991628</v>
      </c>
      <c r="DH36" s="1082">
        <f t="shared" si="130"/>
        <v>-3.214270678696305E-2</v>
      </c>
      <c r="DI36" s="175">
        <f t="shared" si="130"/>
        <v>-3.2347307937859095E-2</v>
      </c>
      <c r="DJ36" s="175">
        <f t="shared" si="130"/>
        <v>0.27543174030799933</v>
      </c>
      <c r="DK36" s="1082">
        <f t="shared" si="130"/>
        <v>9.861492018697196E-2</v>
      </c>
      <c r="DL36" s="1003">
        <f t="shared" si="130"/>
        <v>7.0376072135473694E-3</v>
      </c>
      <c r="DM36" s="1003">
        <f t="shared" si="130"/>
        <v>7.5242171660283921E-2</v>
      </c>
      <c r="DN36" s="1082">
        <f t="shared" si="130"/>
        <v>4.0730024482528403E-2</v>
      </c>
      <c r="DO36" s="1003">
        <f t="shared" si="130"/>
        <v>0.12055033850185641</v>
      </c>
      <c r="DP36" s="1003">
        <f t="shared" ref="DP36:ER36" si="131">IF(ISERROR((DP23-DM23)/DM23),"",(DP23-DM23)/DM23)</f>
        <v>0.29541169076052792</v>
      </c>
      <c r="DQ36" s="1082">
        <f t="shared" si="131"/>
        <v>0.20979469632164247</v>
      </c>
      <c r="DR36" s="1003">
        <f t="shared" si="131"/>
        <v>0.26388618203079317</v>
      </c>
      <c r="DS36" s="1003">
        <f t="shared" si="131"/>
        <v>0.10156881772602269</v>
      </c>
      <c r="DT36" s="1082">
        <f t="shared" si="131"/>
        <v>0.17518119144422822</v>
      </c>
      <c r="DU36" s="1003">
        <f t="shared" si="131"/>
        <v>0.11719352351580571</v>
      </c>
      <c r="DV36" s="1003">
        <f t="shared" ref="DV36:DV39" si="132">IF(ISERROR((DV23-DS23)/DS23),"",(DV23-DS23)/DS23)</f>
        <v>9.4846571722214279E-2</v>
      </c>
      <c r="DW36" s="1082">
        <f t="shared" ref="DW36:DW39" si="133">IF(ISERROR((DW23-DT23)/DT23),"",(DW23-DT23)/DT23)</f>
        <v>0.10574608904933826</v>
      </c>
      <c r="DX36" s="1003">
        <f t="shared" si="131"/>
        <v>-6.9013112491373362E-4</v>
      </c>
      <c r="DY36" s="1003">
        <f t="shared" si="131"/>
        <v>0.16335363051699769</v>
      </c>
      <c r="DZ36" s="1082">
        <f t="shared" si="131"/>
        <v>8.2514489373231664E-2</v>
      </c>
      <c r="EA36" s="1003">
        <f t="shared" si="131"/>
        <v>0.2394949247305061</v>
      </c>
      <c r="EB36" s="1003">
        <f t="shared" si="131"/>
        <v>7.0000000000000173E-2</v>
      </c>
      <c r="EC36" s="1082">
        <f t="shared" si="131"/>
        <v>0.14710545923938151</v>
      </c>
      <c r="ED36" s="1003">
        <f t="shared" si="131"/>
        <v>9.0000000000000163E-2</v>
      </c>
      <c r="EE36" s="1003">
        <f t="shared" si="131"/>
        <v>9.0000000000000135E-2</v>
      </c>
      <c r="EF36" s="1082">
        <f t="shared" si="131"/>
        <v>9.0000000000000149E-2</v>
      </c>
      <c r="EG36" s="1003">
        <f t="shared" si="131"/>
        <v>9.0000000000000024E-2</v>
      </c>
      <c r="EH36" s="1003">
        <f t="shared" si="131"/>
        <v>9.0000000000000011E-2</v>
      </c>
      <c r="EI36" s="1082">
        <f t="shared" si="131"/>
        <v>9.0000000000000191E-2</v>
      </c>
      <c r="EJ36" s="1003">
        <f t="shared" si="131"/>
        <v>8.9999999999999983E-2</v>
      </c>
      <c r="EK36" s="1003">
        <f t="shared" si="131"/>
        <v>9.0000000000000108E-2</v>
      </c>
      <c r="EL36" s="1082">
        <f t="shared" si="131"/>
        <v>8.9999999999999927E-2</v>
      </c>
      <c r="EM36" s="1003">
        <f t="shared" si="131"/>
        <v>9.0000000000000149E-2</v>
      </c>
      <c r="EN36" s="1003">
        <f t="shared" si="131"/>
        <v>8.9999999999999983E-2</v>
      </c>
      <c r="EO36" s="1082">
        <f t="shared" si="131"/>
        <v>9.0000000000000066E-2</v>
      </c>
      <c r="EP36" s="1003">
        <f t="shared" si="131"/>
        <v>9.0000000000000066E-2</v>
      </c>
      <c r="EQ36" s="1003">
        <f t="shared" si="131"/>
        <v>9.0000000000000066E-2</v>
      </c>
      <c r="ER36" s="1082">
        <f t="shared" si="131"/>
        <v>9.0000000000000066E-2</v>
      </c>
      <c r="ES36" s="1003">
        <f t="shared" ref="ES36:ES39" si="134">IF(ISERROR((ES23-EP23)/EP23),"",(ES23-EP23)/EP23)</f>
        <v>9.0000000000000246E-2</v>
      </c>
      <c r="ET36" s="1003">
        <f t="shared" ref="ET36:ET39" si="135">IF(ISERROR((ET23-EQ23)/EQ23),"",(ET23-EQ23)/EQ23)</f>
        <v>9.0000000000000163E-2</v>
      </c>
      <c r="EU36" s="1082">
        <f t="shared" ref="EU36:EU39" si="136">IF(ISERROR((EU23-ER23)/ER23),"",(EU23-ER23)/ER23)</f>
        <v>9.0000000000000122E-2</v>
      </c>
      <c r="EV36" s="1003">
        <f t="shared" ref="EV36:EV39" si="137">IF(ISERROR((EV23-ES23)/ES23),"",(EV23-ES23)/ES23)</f>
        <v>9.000000000000008E-2</v>
      </c>
      <c r="EW36" s="1003">
        <f t="shared" ref="EW36:EW39" si="138">IF(ISERROR((EW23-ET23)/ET23),"",(EW23-ET23)/ET23)</f>
        <v>8.9999999999999969E-2</v>
      </c>
      <c r="EX36" s="1082">
        <f t="shared" ref="EX36:EX39" si="139">IF(ISERROR((EX23-EU23)/EU23),"",(EX23-EU23)/EU23)</f>
        <v>9.0000000000000108E-2</v>
      </c>
      <c r="EY36" s="1003">
        <f t="shared" ref="EY36:EY39" si="140">IF(ISERROR((EY23-EV23)/EV23),"",(EY23-EV23)/EV23)</f>
        <v>9.0000000000000024E-2</v>
      </c>
      <c r="EZ36" s="1003">
        <f t="shared" ref="EZ36:EZ39" si="141">IF(ISERROR((EZ23-EW23)/EW23),"",(EZ23-EW23)/EW23)</f>
        <v>9.0000000000000038E-2</v>
      </c>
      <c r="FA36" s="1082">
        <f t="shared" ref="FA36:FA39" si="142">IF(ISERROR((FA23-EX23)/EX23),"",(FA23-EX23)/EX23)</f>
        <v>9.0000000000000024E-2</v>
      </c>
      <c r="FB36" s="1003"/>
      <c r="FC36" s="1003"/>
      <c r="FE36" s="1003"/>
      <c r="FF36" s="1003"/>
      <c r="FG36" s="1003"/>
      <c r="FH36" s="35"/>
      <c r="FI36" s="35"/>
      <c r="FJ36" s="35"/>
      <c r="FK36" s="35"/>
      <c r="FL36" s="35"/>
      <c r="FM36" s="35"/>
      <c r="FN36" s="35"/>
      <c r="FO36" s="35"/>
      <c r="FP36" s="35"/>
      <c r="FQ36" s="35"/>
    </row>
    <row r="37" spans="1:173" s="321" customFormat="1" ht="13.35" customHeight="1" outlineLevel="1">
      <c r="A37" s="1174"/>
      <c r="B37" s="927"/>
      <c r="C37" s="927" t="s">
        <v>932</v>
      </c>
      <c r="D37" s="926" t="s">
        <v>604</v>
      </c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929"/>
      <c r="BD37" s="175"/>
      <c r="BE37" s="175"/>
      <c r="BF37" s="929"/>
      <c r="BG37" s="175"/>
      <c r="BH37" s="175"/>
      <c r="BI37" s="929"/>
      <c r="BJ37" s="175"/>
      <c r="BK37" s="175"/>
      <c r="BL37" s="929"/>
      <c r="BM37" s="175"/>
      <c r="BN37" s="175"/>
      <c r="BO37" s="929"/>
      <c r="BP37" s="175"/>
      <c r="BQ37" s="175"/>
      <c r="BR37" s="929"/>
      <c r="BS37" s="175"/>
      <c r="BT37" s="175"/>
      <c r="BU37" s="175"/>
      <c r="BV37" s="175"/>
      <c r="BW37" s="175"/>
      <c r="BX37" s="175"/>
      <c r="BY37" s="175"/>
      <c r="BZ37" s="175"/>
      <c r="CA37" s="175"/>
      <c r="CB37" s="175"/>
      <c r="CC37" s="175"/>
      <c r="CD37" s="175"/>
      <c r="CE37" s="175"/>
      <c r="CF37" s="175"/>
      <c r="CG37" s="175"/>
      <c r="CH37" s="175"/>
      <c r="CI37" s="175"/>
      <c r="CJ37" s="175"/>
      <c r="CK37" s="175"/>
      <c r="CL37" s="175"/>
      <c r="CM37" s="175"/>
      <c r="CN37" s="175"/>
      <c r="CO37" s="175"/>
      <c r="CP37" s="175"/>
      <c r="CQ37" s="175"/>
      <c r="CR37" s="175"/>
      <c r="CS37" s="175"/>
      <c r="CT37" s="175"/>
      <c r="CU37" s="175"/>
      <c r="CV37" s="175"/>
      <c r="CW37" s="175"/>
      <c r="CX37" s="175"/>
      <c r="CY37" s="175"/>
      <c r="CZ37" s="175"/>
      <c r="DA37" s="175"/>
      <c r="DB37" s="175"/>
      <c r="DC37" s="175"/>
      <c r="DD37" s="175"/>
      <c r="DE37" s="175"/>
      <c r="DF37" s="175"/>
      <c r="DG37" s="175"/>
      <c r="DH37" s="1082" t="str">
        <f t="shared" ref="DH37:DQ39" si="143">IF(ISERROR((DH24-DE24)/DE24),"",(DH24-DE24)/DE24)</f>
        <v/>
      </c>
      <c r="DI37" s="175" t="str">
        <f t="shared" si="143"/>
        <v/>
      </c>
      <c r="DJ37" s="175" t="str">
        <f t="shared" si="143"/>
        <v/>
      </c>
      <c r="DK37" s="1082" t="str">
        <f t="shared" si="143"/>
        <v/>
      </c>
      <c r="DL37" s="1003">
        <f t="shared" si="143"/>
        <v>0.19357840856212188</v>
      </c>
      <c r="DM37" s="1003">
        <f t="shared" si="143"/>
        <v>0.10644007155635055</v>
      </c>
      <c r="DN37" s="1082">
        <f t="shared" si="143"/>
        <v>0.14914481185860884</v>
      </c>
      <c r="DO37" s="1003">
        <f t="shared" si="143"/>
        <v>8.1871345029240657E-3</v>
      </c>
      <c r="DP37" s="1003">
        <f t="shared" si="143"/>
        <v>0.31689571544058198</v>
      </c>
      <c r="DQ37" s="1082">
        <f t="shared" si="143"/>
        <v>0.15975391942845804</v>
      </c>
      <c r="DR37" s="1003">
        <f t="shared" ref="DR37:EA39" si="144">IF(ISERROR((DR24-DO24)/DO24),"",(DR24-DO24)/DO24)</f>
        <v>0.34918793503480255</v>
      </c>
      <c r="DS37" s="1003">
        <f t="shared" si="144"/>
        <v>-7.3664825046039824E-3</v>
      </c>
      <c r="DT37" s="1082">
        <f t="shared" si="144"/>
        <v>0.15041067761806978</v>
      </c>
      <c r="DU37" s="1003">
        <f t="shared" si="144"/>
        <v>-0.12582401834336479</v>
      </c>
      <c r="DV37" s="1003">
        <f t="shared" si="132"/>
        <v>-5.9369202226344876E-2</v>
      </c>
      <c r="DW37" s="1082">
        <f t="shared" si="133"/>
        <v>-9.3856909117953163E-2</v>
      </c>
      <c r="DX37" s="1003">
        <f t="shared" si="144"/>
        <v>2.1639344262295156E-2</v>
      </c>
      <c r="DY37" s="1003">
        <f t="shared" si="144"/>
        <v>7.6312691146055864E-2</v>
      </c>
      <c r="DZ37" s="1082">
        <f t="shared" si="144"/>
        <v>4.8940119249228857E-2</v>
      </c>
      <c r="EA37" s="1003">
        <f t="shared" si="144"/>
        <v>0.10333828527147343</v>
      </c>
      <c r="EB37" s="1003">
        <f t="shared" ref="EB37:EK39" si="145">IF(ISERROR((EB24-DY24)/DY24),"",(EB24-DY24)/DY24)</f>
        <v>7.49999999999999E-2</v>
      </c>
      <c r="EC37" s="1082">
        <f t="shared" si="145"/>
        <v>8.8818484821522589E-2</v>
      </c>
      <c r="ED37" s="1003">
        <f t="shared" si="145"/>
        <v>8.9999999999999983E-2</v>
      </c>
      <c r="EE37" s="1003">
        <f t="shared" si="145"/>
        <v>8.9999999999999969E-2</v>
      </c>
      <c r="EF37" s="1082">
        <f t="shared" si="145"/>
        <v>9.0000000000000066E-2</v>
      </c>
      <c r="EG37" s="1003">
        <f t="shared" si="145"/>
        <v>9.0000000000000066E-2</v>
      </c>
      <c r="EH37" s="1003">
        <f t="shared" si="145"/>
        <v>9.0000000000000122E-2</v>
      </c>
      <c r="EI37" s="1082">
        <f t="shared" si="145"/>
        <v>9.0000000000000094E-2</v>
      </c>
      <c r="EJ37" s="1003">
        <f t="shared" si="145"/>
        <v>0.09</v>
      </c>
      <c r="EK37" s="1003">
        <f t="shared" si="145"/>
        <v>9.0000000000000135E-2</v>
      </c>
      <c r="EL37" s="1082">
        <f t="shared" ref="EL37:ER39" si="146">IF(ISERROR((EL24-EI24)/EI24),"",(EL24-EI24)/EI24)</f>
        <v>9.0000000000000135E-2</v>
      </c>
      <c r="EM37" s="1003">
        <f t="shared" si="146"/>
        <v>9.0000000000000191E-2</v>
      </c>
      <c r="EN37" s="1003">
        <f t="shared" si="146"/>
        <v>9.0000000000000024E-2</v>
      </c>
      <c r="EO37" s="1082">
        <f t="shared" si="146"/>
        <v>8.9999999999999969E-2</v>
      </c>
      <c r="EP37" s="1003">
        <f t="shared" si="146"/>
        <v>9.0000000000000038E-2</v>
      </c>
      <c r="EQ37" s="1003">
        <f t="shared" si="146"/>
        <v>9.000000000000008E-2</v>
      </c>
      <c r="ER37" s="1082">
        <f t="shared" si="146"/>
        <v>9.0000000000000122E-2</v>
      </c>
      <c r="ES37" s="1003">
        <f t="shared" si="134"/>
        <v>9.0000000000000149E-2</v>
      </c>
      <c r="ET37" s="1003">
        <f t="shared" si="135"/>
        <v>9.0000000000000122E-2</v>
      </c>
      <c r="EU37" s="1082">
        <f t="shared" si="136"/>
        <v>9.0000000000000038E-2</v>
      </c>
      <c r="EV37" s="1003">
        <f t="shared" si="137"/>
        <v>8.9999999999999802E-2</v>
      </c>
      <c r="EW37" s="1003">
        <f t="shared" si="138"/>
        <v>8.9999999999999941E-2</v>
      </c>
      <c r="EX37" s="1082">
        <f t="shared" si="139"/>
        <v>8.9999999999999886E-2</v>
      </c>
      <c r="EY37" s="1003">
        <f t="shared" si="140"/>
        <v>9.0000000000000191E-2</v>
      </c>
      <c r="EZ37" s="1003">
        <f t="shared" si="141"/>
        <v>9.0000000000000122E-2</v>
      </c>
      <c r="FA37" s="1082">
        <f t="shared" si="142"/>
        <v>9.000000000000026E-2</v>
      </c>
      <c r="FB37" s="1003"/>
      <c r="FC37" s="1003"/>
      <c r="FE37" s="1003"/>
      <c r="FF37" s="1003"/>
      <c r="FG37" s="1003"/>
      <c r="FH37" s="35"/>
      <c r="FI37" s="35"/>
      <c r="FJ37" s="35"/>
      <c r="FK37" s="35"/>
      <c r="FL37" s="35"/>
      <c r="FM37" s="35"/>
      <c r="FN37" s="35"/>
      <c r="FO37" s="35"/>
      <c r="FP37" s="35"/>
      <c r="FQ37" s="35"/>
    </row>
    <row r="38" spans="1:173" s="321" customFormat="1" ht="13.35" customHeight="1" outlineLevel="1">
      <c r="A38" s="1174"/>
      <c r="B38" s="927"/>
      <c r="C38" s="927" t="s">
        <v>671</v>
      </c>
      <c r="D38" s="926" t="s">
        <v>604</v>
      </c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929"/>
      <c r="BD38" s="175" t="str">
        <f t="shared" ref="BD38:BM39" si="147">IF(ISERROR((BD25-BA25)/BA25),"",(BD25-BA25)/BA25)</f>
        <v/>
      </c>
      <c r="BE38" s="175" t="str">
        <f t="shared" si="147"/>
        <v/>
      </c>
      <c r="BF38" s="929" t="str">
        <f t="shared" si="147"/>
        <v/>
      </c>
      <c r="BG38" s="175" t="str">
        <f t="shared" si="147"/>
        <v/>
      </c>
      <c r="BH38" s="175" t="str">
        <f t="shared" si="147"/>
        <v/>
      </c>
      <c r="BI38" s="929" t="str">
        <f t="shared" si="147"/>
        <v/>
      </c>
      <c r="BJ38" s="175" t="str">
        <f t="shared" si="147"/>
        <v/>
      </c>
      <c r="BK38" s="175" t="str">
        <f t="shared" si="147"/>
        <v/>
      </c>
      <c r="BL38" s="929" t="str">
        <f t="shared" si="147"/>
        <v/>
      </c>
      <c r="BM38" s="175" t="str">
        <f t="shared" si="147"/>
        <v/>
      </c>
      <c r="BN38" s="175" t="str">
        <f t="shared" ref="BN38:BW39" si="148">IF(ISERROR((BN25-BK25)/BK25),"",(BN25-BK25)/BK25)</f>
        <v/>
      </c>
      <c r="BO38" s="929" t="str">
        <f t="shared" si="148"/>
        <v/>
      </c>
      <c r="BP38" s="175" t="str">
        <f t="shared" si="148"/>
        <v/>
      </c>
      <c r="BQ38" s="175">
        <f t="shared" si="148"/>
        <v>0.83108108108108114</v>
      </c>
      <c r="BR38" s="929">
        <f t="shared" si="148"/>
        <v>2.4932432432432434</v>
      </c>
      <c r="BS38" s="175">
        <f t="shared" si="148"/>
        <v>-0.26276270839850024</v>
      </c>
      <c r="BT38" s="175">
        <f t="shared" si="148"/>
        <v>-0.25279139376276266</v>
      </c>
      <c r="BU38" s="175">
        <f t="shared" si="148"/>
        <v>-0.25753596513682736</v>
      </c>
      <c r="BV38" s="175">
        <f t="shared" si="148"/>
        <v>0.32529035468238382</v>
      </c>
      <c r="BW38" s="175">
        <f t="shared" si="148"/>
        <v>0.34597583950388816</v>
      </c>
      <c r="BX38" s="175">
        <f t="shared" ref="BX38:CG39" si="149">IF(ISERROR((BX25-BU25)/BU25),"",(BX25-BU25)/BU25)</f>
        <v>0.33620251897954445</v>
      </c>
      <c r="BY38" s="175">
        <f t="shared" si="149"/>
        <v>0.25336629949279638</v>
      </c>
      <c r="BZ38" s="175">
        <f t="shared" si="149"/>
        <v>0.12001021967113508</v>
      </c>
      <c r="CA38" s="175">
        <f t="shared" si="149"/>
        <v>0.18250273555384655</v>
      </c>
      <c r="CB38" s="175">
        <f t="shared" si="149"/>
        <v>1.4994720780989346E-2</v>
      </c>
      <c r="CC38" s="175">
        <f t="shared" si="149"/>
        <v>3.9480000000000161E-2</v>
      </c>
      <c r="CD38" s="175">
        <f t="shared" si="149"/>
        <v>2.7318248957974765E-2</v>
      </c>
      <c r="CE38" s="175">
        <f t="shared" si="149"/>
        <v>1.9755994467118562E-2</v>
      </c>
      <c r="CF38" s="175">
        <f t="shared" si="149"/>
        <v>-0.20877029901564548</v>
      </c>
      <c r="CG38" s="175">
        <f t="shared" si="149"/>
        <v>-9.6623726663966764E-2</v>
      </c>
      <c r="CH38" s="175">
        <f t="shared" ref="CH38:CQ39" si="150">IF(ISERROR((CH25-CE25)/CE25),"",(CH25-CE25)/CE25)</f>
        <v>-0.11641767951534537</v>
      </c>
      <c r="CI38" s="175">
        <f t="shared" si="150"/>
        <v>-3.5418697647970486E-3</v>
      </c>
      <c r="CJ38" s="175">
        <f t="shared" si="150"/>
        <v>-6.6070410655886508E-2</v>
      </c>
      <c r="CK38" s="175">
        <f t="shared" si="150"/>
        <v>-8.2330079040926041E-2</v>
      </c>
      <c r="CL38" s="175">
        <f t="shared" si="150"/>
        <v>1.9218485562192352E-2</v>
      </c>
      <c r="CM38" s="175">
        <f t="shared" si="150"/>
        <v>-3.4002643899374532E-2</v>
      </c>
      <c r="CN38" s="175">
        <f t="shared" si="150"/>
        <v>0.20637716890944874</v>
      </c>
      <c r="CO38" s="175">
        <f t="shared" si="150"/>
        <v>0.47664170464915601</v>
      </c>
      <c r="CP38" s="175">
        <f t="shared" si="150"/>
        <v>0.34208358236955777</v>
      </c>
      <c r="CQ38" s="175">
        <f t="shared" si="150"/>
        <v>0.88520992750991412</v>
      </c>
      <c r="CR38" s="175">
        <f t="shared" ref="CR38:DA39" si="151">IF(ISERROR((CR25-CO25)/CO25),"",(CR25-CO25)/CO25)</f>
        <v>0.52979022472442328</v>
      </c>
      <c r="CS38" s="175">
        <f t="shared" si="151"/>
        <v>0.68885202812794077</v>
      </c>
      <c r="CT38" s="175">
        <f t="shared" si="151"/>
        <v>0.26457391304347827</v>
      </c>
      <c r="CU38" s="175">
        <f t="shared" si="151"/>
        <v>0.1602256944444439</v>
      </c>
      <c r="CV38" s="175">
        <f t="shared" si="151"/>
        <v>0.21235447437011248</v>
      </c>
      <c r="CW38" s="175">
        <f t="shared" si="151"/>
        <v>0.13421278052787544</v>
      </c>
      <c r="CX38" s="175">
        <f t="shared" si="151"/>
        <v>0.25436541156498965</v>
      </c>
      <c r="CY38" s="175">
        <f t="shared" si="151"/>
        <v>0.19175588711642444</v>
      </c>
      <c r="CZ38" s="175">
        <f t="shared" si="151"/>
        <v>2.701529307320789E-2</v>
      </c>
      <c r="DA38" s="175">
        <f t="shared" si="151"/>
        <v>-3.970041249205488E-2</v>
      </c>
      <c r="DB38" s="175">
        <f t="shared" ref="DB38:DG39" si="152">IF(ISERROR((DB25-CY25)/CY25),"",(DB25-CY25)/CY25)</f>
        <v>-6.614552014431542E-3</v>
      </c>
      <c r="DC38" s="175">
        <f t="shared" si="152"/>
        <v>7.2018642932029003E-2</v>
      </c>
      <c r="DD38" s="175">
        <f t="shared" si="152"/>
        <v>3.093192721689619E-2</v>
      </c>
      <c r="DE38" s="175">
        <f t="shared" si="152"/>
        <v>5.1997578692493419E-2</v>
      </c>
      <c r="DF38" s="175">
        <f t="shared" si="152"/>
        <v>-9.2020714645735233E-2</v>
      </c>
      <c r="DG38" s="175">
        <f t="shared" si="152"/>
        <v>-0.32089186111641366</v>
      </c>
      <c r="DH38" s="1082">
        <f t="shared" si="143"/>
        <v>-0.20131363394835103</v>
      </c>
      <c r="DI38" s="175">
        <f t="shared" si="143"/>
        <v>-0.11213018415225635</v>
      </c>
      <c r="DJ38" s="175">
        <f t="shared" si="143"/>
        <v>0.47269696706844622</v>
      </c>
      <c r="DK38" s="1082">
        <f t="shared" si="143"/>
        <v>0.1253302037207592</v>
      </c>
      <c r="DL38" s="1003">
        <f t="shared" si="143"/>
        <v>0.37841530054644812</v>
      </c>
      <c r="DM38" s="1003">
        <f t="shared" si="143"/>
        <v>0.21807228915662666</v>
      </c>
      <c r="DN38" s="1082">
        <f t="shared" si="143"/>
        <v>0.29321382842509613</v>
      </c>
      <c r="DO38" s="1003">
        <f t="shared" si="143"/>
        <v>0.19821605550049554</v>
      </c>
      <c r="DP38" s="1003">
        <f t="shared" si="143"/>
        <v>0.1770524233432246</v>
      </c>
      <c r="DQ38" s="1082">
        <f t="shared" si="143"/>
        <v>0.18762376237623765</v>
      </c>
      <c r="DR38" s="1003">
        <f t="shared" si="144"/>
        <v>-4.0529363110008314E-2</v>
      </c>
      <c r="DS38" s="1003">
        <f t="shared" si="144"/>
        <v>0.17899159663865555</v>
      </c>
      <c r="DT38" s="1082">
        <f t="shared" si="144"/>
        <v>6.8361817423926663E-2</v>
      </c>
      <c r="DU38" s="1003">
        <f t="shared" si="144"/>
        <v>0.21034482758620696</v>
      </c>
      <c r="DV38" s="1003">
        <f t="shared" si="132"/>
        <v>-3.0648610121169206E-2</v>
      </c>
      <c r="DW38" s="1082">
        <f t="shared" si="133"/>
        <v>7.8423722200546095E-2</v>
      </c>
      <c r="DX38" s="1003">
        <f t="shared" si="144"/>
        <v>0</v>
      </c>
      <c r="DY38" s="1003">
        <f t="shared" si="144"/>
        <v>4.734659571410807E-2</v>
      </c>
      <c r="DZ38" s="1082">
        <f t="shared" si="144"/>
        <v>2.3296443621992392E-2</v>
      </c>
      <c r="EA38" s="1003">
        <f t="shared" si="144"/>
        <v>3.7657363074769024E-2</v>
      </c>
      <c r="EB38" s="1003">
        <f t="shared" si="145"/>
        <v>5.0000000000000128E-2</v>
      </c>
      <c r="EC38" s="1082">
        <f t="shared" si="145"/>
        <v>4.3873173838040819E-2</v>
      </c>
      <c r="ED38" s="1003">
        <f t="shared" si="145"/>
        <v>6.9999999999999951E-2</v>
      </c>
      <c r="EE38" s="1003">
        <f t="shared" si="145"/>
        <v>7.0000000000000298E-2</v>
      </c>
      <c r="EF38" s="1082">
        <f t="shared" si="145"/>
        <v>7.0000000000000229E-2</v>
      </c>
      <c r="EG38" s="1003">
        <f t="shared" si="145"/>
        <v>9.0000000000000011E-2</v>
      </c>
      <c r="EH38" s="1003">
        <f t="shared" si="145"/>
        <v>9.0000000000000011E-2</v>
      </c>
      <c r="EI38" s="1082">
        <f t="shared" si="145"/>
        <v>9.0000000000000108E-2</v>
      </c>
      <c r="EJ38" s="1003">
        <f t="shared" si="145"/>
        <v>9.0000000000000052E-2</v>
      </c>
      <c r="EK38" s="1003">
        <f t="shared" si="145"/>
        <v>9.0000000000000011E-2</v>
      </c>
      <c r="EL38" s="1082">
        <f t="shared" si="146"/>
        <v>8.9999999999999941E-2</v>
      </c>
      <c r="EM38" s="1003">
        <f t="shared" si="146"/>
        <v>9.0000000000000177E-2</v>
      </c>
      <c r="EN38" s="1003">
        <f t="shared" si="146"/>
        <v>9.0000000000000038E-2</v>
      </c>
      <c r="EO38" s="1082">
        <f t="shared" si="146"/>
        <v>9.0000000000000177E-2</v>
      </c>
      <c r="EP38" s="1003">
        <f t="shared" si="146"/>
        <v>9.0000000000000177E-2</v>
      </c>
      <c r="EQ38" s="1003">
        <f t="shared" si="146"/>
        <v>9.0000000000000011E-2</v>
      </c>
      <c r="ER38" s="1082">
        <f t="shared" si="146"/>
        <v>8.9999999999999941E-2</v>
      </c>
      <c r="ES38" s="1003">
        <f t="shared" si="134"/>
        <v>9.0000000000000177E-2</v>
      </c>
      <c r="ET38" s="1003">
        <f t="shared" si="135"/>
        <v>9.0000000000000177E-2</v>
      </c>
      <c r="EU38" s="1082">
        <f t="shared" si="136"/>
        <v>9.0000000000000316E-2</v>
      </c>
      <c r="EV38" s="1003">
        <f t="shared" si="137"/>
        <v>9.0000000000000122E-2</v>
      </c>
      <c r="EW38" s="1003">
        <f t="shared" si="138"/>
        <v>9.0000000000000205E-2</v>
      </c>
      <c r="EX38" s="1082">
        <f t="shared" si="139"/>
        <v>9.0000000000000219E-2</v>
      </c>
      <c r="EY38" s="1003">
        <f t="shared" si="140"/>
        <v>8.9999999999999955E-2</v>
      </c>
      <c r="EZ38" s="1003">
        <f t="shared" si="141"/>
        <v>8.9999999999999872E-2</v>
      </c>
      <c r="FA38" s="1082">
        <f t="shared" si="142"/>
        <v>8.99999999999999E-2</v>
      </c>
      <c r="FB38" s="1003"/>
      <c r="FC38" s="1003"/>
      <c r="FE38" s="1003"/>
      <c r="FF38" s="1003"/>
      <c r="FG38" s="1003"/>
      <c r="FH38" s="35"/>
      <c r="FI38" s="35"/>
      <c r="FJ38" s="35"/>
      <c r="FK38" s="35"/>
      <c r="FL38" s="35"/>
      <c r="FM38" s="35"/>
      <c r="FN38" s="35"/>
      <c r="FO38" s="35"/>
      <c r="FP38" s="35"/>
      <c r="FQ38" s="35"/>
    </row>
    <row r="39" spans="1:173" s="321" customFormat="1" ht="13.35" customHeight="1" outlineLevel="1">
      <c r="A39" s="1174"/>
      <c r="B39" s="927" t="s">
        <v>327</v>
      </c>
      <c r="C39" s="927"/>
      <c r="D39" s="926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929"/>
      <c r="BD39" s="175" t="str">
        <f t="shared" si="147"/>
        <v/>
      </c>
      <c r="BE39" s="175" t="str">
        <f t="shared" si="147"/>
        <v/>
      </c>
      <c r="BF39" s="929" t="str">
        <f t="shared" si="147"/>
        <v/>
      </c>
      <c r="BG39" s="175" t="str">
        <f t="shared" si="147"/>
        <v/>
      </c>
      <c r="BH39" s="175" t="str">
        <f t="shared" si="147"/>
        <v/>
      </c>
      <c r="BI39" s="929" t="str">
        <f t="shared" si="147"/>
        <v/>
      </c>
      <c r="BJ39" s="175" t="str">
        <f t="shared" si="147"/>
        <v/>
      </c>
      <c r="BK39" s="175" t="str">
        <f t="shared" si="147"/>
        <v/>
      </c>
      <c r="BL39" s="929" t="str">
        <f t="shared" si="147"/>
        <v/>
      </c>
      <c r="BM39" s="175" t="str">
        <f t="shared" si="147"/>
        <v/>
      </c>
      <c r="BN39" s="175" t="str">
        <f t="shared" si="148"/>
        <v/>
      </c>
      <c r="BO39" s="929" t="str">
        <f t="shared" si="148"/>
        <v/>
      </c>
      <c r="BP39" s="175" t="str">
        <f t="shared" si="148"/>
        <v/>
      </c>
      <c r="BQ39" s="175" t="str">
        <f t="shared" si="148"/>
        <v/>
      </c>
      <c r="BR39" s="929" t="str">
        <f t="shared" si="148"/>
        <v/>
      </c>
      <c r="BS39" s="175" t="str">
        <f t="shared" si="148"/>
        <v/>
      </c>
      <c r="BT39" s="175" t="str">
        <f t="shared" si="148"/>
        <v/>
      </c>
      <c r="BU39" s="175" t="str">
        <f t="shared" si="148"/>
        <v/>
      </c>
      <c r="BV39" s="175">
        <f t="shared" si="148"/>
        <v>5.0745118840710868E-2</v>
      </c>
      <c r="BW39" s="175">
        <f t="shared" si="148"/>
        <v>9.3971547039406633E-2</v>
      </c>
      <c r="BX39" s="175">
        <f t="shared" si="149"/>
        <v>7.2432241899883898E-2</v>
      </c>
      <c r="BY39" s="175">
        <f t="shared" si="149"/>
        <v>0.22002304213651849</v>
      </c>
      <c r="BZ39" s="175">
        <f t="shared" si="149"/>
        <v>0.23343171615586483</v>
      </c>
      <c r="CA39" s="175">
        <f t="shared" si="149"/>
        <v>0.22688541939414458</v>
      </c>
      <c r="CB39" s="175">
        <f t="shared" si="149"/>
        <v>-3.0709845581646227E-2</v>
      </c>
      <c r="CC39" s="175">
        <f t="shared" si="149"/>
        <v>-1.734528762792592E-2</v>
      </c>
      <c r="CD39" s="175">
        <f t="shared" si="149"/>
        <v>-2.383355118679913E-2</v>
      </c>
      <c r="CE39" s="175">
        <f t="shared" si="149"/>
        <v>6.1389513941947527E-2</v>
      </c>
      <c r="CF39" s="175">
        <f t="shared" si="149"/>
        <v>5.3695288584773987E-2</v>
      </c>
      <c r="CG39" s="175">
        <f t="shared" si="149"/>
        <v>5.7404390027691134E-2</v>
      </c>
      <c r="CH39" s="175">
        <f t="shared" si="150"/>
        <v>-5.0135361609501775E-3</v>
      </c>
      <c r="CI39" s="175">
        <f t="shared" si="150"/>
        <v>-6.4138006340685658E-2</v>
      </c>
      <c r="CJ39" s="175">
        <f t="shared" si="150"/>
        <v>-3.5528869526135577E-2</v>
      </c>
      <c r="CK39" s="175">
        <f t="shared" si="150"/>
        <v>4.6889305265994351E-2</v>
      </c>
      <c r="CL39" s="175">
        <f t="shared" si="150"/>
        <v>-2.3460387586267933E-2</v>
      </c>
      <c r="CM39" s="175">
        <f t="shared" si="150"/>
        <v>1.1657439676282823E-2</v>
      </c>
      <c r="CN39" s="175">
        <f t="shared" si="150"/>
        <v>1.8293311607746023E-2</v>
      </c>
      <c r="CO39" s="175">
        <f t="shared" si="150"/>
        <v>0.28641461096118614</v>
      </c>
      <c r="CP39" s="175">
        <f t="shared" si="150"/>
        <v>0.14791006383978805</v>
      </c>
      <c r="CQ39" s="175">
        <f t="shared" si="150"/>
        <v>-9.0598418596255045E-2</v>
      </c>
      <c r="CR39" s="175">
        <f t="shared" si="151"/>
        <v>5.5478958505368478E-2</v>
      </c>
      <c r="CS39" s="175">
        <f t="shared" si="151"/>
        <v>-1.1460270556816187E-2</v>
      </c>
      <c r="CT39" s="175">
        <f t="shared" si="151"/>
        <v>0.32457624025017923</v>
      </c>
      <c r="CU39" s="175">
        <f t="shared" si="151"/>
        <v>-3.9590059657939033E-2</v>
      </c>
      <c r="CV39" s="175">
        <f t="shared" si="151"/>
        <v>0.1139278592050689</v>
      </c>
      <c r="CW39" s="175">
        <f t="shared" si="151"/>
        <v>5.5448216547351201E-2</v>
      </c>
      <c r="CX39" s="175">
        <f t="shared" si="151"/>
        <v>9.5581695157632762E-2</v>
      </c>
      <c r="CY39" s="175">
        <f t="shared" si="151"/>
        <v>7.5463638823503501E-2</v>
      </c>
      <c r="CZ39" s="175">
        <f t="shared" si="151"/>
        <v>4.0118273752324171E-2</v>
      </c>
      <c r="DA39" s="175">
        <f t="shared" si="151"/>
        <v>9.1855987360003236E-2</v>
      </c>
      <c r="DB39" s="175">
        <f t="shared" si="152"/>
        <v>6.640365141180693E-2</v>
      </c>
      <c r="DC39" s="175">
        <f t="shared" si="152"/>
        <v>5.5857415393862075E-2</v>
      </c>
      <c r="DD39" s="175">
        <f t="shared" si="152"/>
        <v>-7.7323299382764865E-3</v>
      </c>
      <c r="DE39" s="175">
        <f t="shared" si="152"/>
        <v>2.2779524456053715E-2</v>
      </c>
      <c r="DF39" s="175">
        <f t="shared" si="152"/>
        <v>9.4401662591970012E-2</v>
      </c>
      <c r="DG39" s="175">
        <f t="shared" si="152"/>
        <v>-0.21352824868121811</v>
      </c>
      <c r="DH39" s="1082">
        <f t="shared" si="143"/>
        <v>-6.0997766328354554E-2</v>
      </c>
      <c r="DI39" s="175">
        <f t="shared" si="143"/>
        <v>0.34481283745995794</v>
      </c>
      <c r="DJ39" s="175">
        <f t="shared" si="143"/>
        <v>0.85584409284377783</v>
      </c>
      <c r="DK39" s="1082">
        <f t="shared" si="143"/>
        <v>0.56081669513636945</v>
      </c>
      <c r="DL39" s="1003">
        <f t="shared" si="143"/>
        <v>9.7603661820139853E-2</v>
      </c>
      <c r="DM39" s="1003">
        <f t="shared" si="143"/>
        <v>0.10033311125916065</v>
      </c>
      <c r="DN39" s="1082">
        <f t="shared" si="143"/>
        <v>9.8975423558561385E-2</v>
      </c>
      <c r="DO39" s="1003">
        <f t="shared" si="143"/>
        <v>9.4811725745124587E-2</v>
      </c>
      <c r="DP39" s="1003">
        <f t="shared" si="143"/>
        <v>0.28735771373213831</v>
      </c>
      <c r="DQ39" s="1082">
        <f t="shared" si="143"/>
        <v>0.19170068856254946</v>
      </c>
      <c r="DR39" s="1003">
        <f t="shared" si="144"/>
        <v>0.24736724176562858</v>
      </c>
      <c r="DS39" s="1003">
        <f t="shared" si="144"/>
        <v>7.6850719593641287E-2</v>
      </c>
      <c r="DT39" s="1082">
        <f t="shared" si="144"/>
        <v>0.15467607506263745</v>
      </c>
      <c r="DU39" s="1003">
        <f t="shared" si="144"/>
        <v>5.0745464343452486E-2</v>
      </c>
      <c r="DV39" s="1003">
        <f t="shared" si="132"/>
        <v>3.5901467505241209E-2</v>
      </c>
      <c r="DW39" s="1082">
        <f t="shared" si="133"/>
        <v>4.3220263927021683E-2</v>
      </c>
      <c r="DX39" s="1003">
        <f t="shared" si="144"/>
        <v>5.2141208650311214E-3</v>
      </c>
      <c r="DY39" s="1003">
        <f t="shared" si="144"/>
        <v>0.12772262411693552</v>
      </c>
      <c r="DZ39" s="1082">
        <f t="shared" si="144"/>
        <v>6.6884395933557175E-2</v>
      </c>
      <c r="EA39" s="1003">
        <f t="shared" si="144"/>
        <v>0.17932111307072715</v>
      </c>
      <c r="EB39" s="1003">
        <f t="shared" si="145"/>
        <v>6.9093957150404825E-2</v>
      </c>
      <c r="EC39" s="1082">
        <f t="shared" si="145"/>
        <v>0.12066906477732872</v>
      </c>
      <c r="ED39" s="1003">
        <f t="shared" si="145"/>
        <v>8.7899069527890977E-2</v>
      </c>
      <c r="EE39" s="1003">
        <f t="shared" si="145"/>
        <v>8.7907900231408598E-2</v>
      </c>
      <c r="EF39" s="1082">
        <f t="shared" si="145"/>
        <v>8.7903552111271765E-2</v>
      </c>
      <c r="EG39" s="1003">
        <f t="shared" si="145"/>
        <v>8.99999999999999E-2</v>
      </c>
      <c r="EH39" s="1003">
        <f t="shared" si="145"/>
        <v>9.0000000000000038E-2</v>
      </c>
      <c r="EI39" s="1082">
        <f t="shared" si="145"/>
        <v>8.9999999999999886E-2</v>
      </c>
      <c r="EJ39" s="1003">
        <f t="shared" si="145"/>
        <v>9.0000000000000066E-2</v>
      </c>
      <c r="EK39" s="1003">
        <f t="shared" si="145"/>
        <v>9.000000000000008E-2</v>
      </c>
      <c r="EL39" s="1082">
        <f t="shared" si="146"/>
        <v>9.000000000000008E-2</v>
      </c>
      <c r="EM39" s="1003">
        <f t="shared" si="146"/>
        <v>9.0000000000000135E-2</v>
      </c>
      <c r="EN39" s="1003">
        <f t="shared" si="146"/>
        <v>8.9999999999999955E-2</v>
      </c>
      <c r="EO39" s="1082">
        <f t="shared" si="146"/>
        <v>9.0000000000000163E-2</v>
      </c>
      <c r="EP39" s="1003">
        <f t="shared" si="146"/>
        <v>9.0000000000000233E-2</v>
      </c>
      <c r="EQ39" s="1003">
        <f t="shared" si="146"/>
        <v>9.0000000000000191E-2</v>
      </c>
      <c r="ER39" s="1082">
        <f t="shared" si="146"/>
        <v>9.000000000000026E-2</v>
      </c>
      <c r="ES39" s="1003">
        <f t="shared" si="134"/>
        <v>9.0000000000000177E-2</v>
      </c>
      <c r="ET39" s="1003">
        <f t="shared" si="135"/>
        <v>9.0000000000000094E-2</v>
      </c>
      <c r="EU39" s="1082">
        <f t="shared" si="136"/>
        <v>9.0000000000000135E-2</v>
      </c>
      <c r="EV39" s="1003">
        <f t="shared" si="137"/>
        <v>8.9999999999999927E-2</v>
      </c>
      <c r="EW39" s="1003">
        <f t="shared" si="138"/>
        <v>8.9999999999999844E-2</v>
      </c>
      <c r="EX39" s="1082">
        <f t="shared" si="139"/>
        <v>8.9999999999999872E-2</v>
      </c>
      <c r="EY39" s="1003">
        <f t="shared" si="140"/>
        <v>8.9999999999999941E-2</v>
      </c>
      <c r="EZ39" s="1003">
        <f t="shared" si="141"/>
        <v>9.0000000000000024E-2</v>
      </c>
      <c r="FA39" s="1082">
        <f t="shared" si="142"/>
        <v>8.9999999999999886E-2</v>
      </c>
      <c r="FB39" s="1003"/>
      <c r="FC39" s="1003"/>
      <c r="FE39" s="1003"/>
      <c r="FF39" s="1003"/>
      <c r="FG39" s="1003"/>
      <c r="FH39" s="35"/>
      <c r="FI39" s="35"/>
      <c r="FJ39" s="35"/>
      <c r="FK39" s="35"/>
      <c r="FL39" s="35"/>
      <c r="FM39" s="35"/>
      <c r="FN39" s="35"/>
      <c r="FO39" s="35"/>
      <c r="FP39" s="35"/>
      <c r="FQ39" s="35"/>
    </row>
    <row r="40" spans="1:173" s="321" customFormat="1" ht="13.35" customHeight="1">
      <c r="A40" s="1174"/>
      <c r="B40" s="927"/>
      <c r="C40" s="927"/>
      <c r="D40" s="926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929"/>
      <c r="BD40" s="175"/>
      <c r="BE40" s="175"/>
      <c r="BF40" s="929"/>
      <c r="BG40" s="175"/>
      <c r="BH40" s="175"/>
      <c r="BI40" s="929"/>
      <c r="BJ40" s="175"/>
      <c r="BK40" s="175"/>
      <c r="BL40" s="929"/>
      <c r="BM40" s="175"/>
      <c r="BN40" s="175"/>
      <c r="BO40" s="929"/>
      <c r="BP40" s="175"/>
      <c r="BQ40" s="175"/>
      <c r="BR40" s="929"/>
      <c r="BS40" s="175"/>
      <c r="BT40" s="175"/>
      <c r="BU40" s="175"/>
      <c r="BV40" s="175"/>
      <c r="BW40" s="175"/>
      <c r="BX40" s="175"/>
      <c r="BY40" s="175"/>
      <c r="BZ40" s="175"/>
      <c r="CA40" s="175"/>
      <c r="CB40" s="175"/>
      <c r="CC40" s="175"/>
      <c r="CD40" s="175"/>
      <c r="CE40" s="175"/>
      <c r="CF40" s="175"/>
      <c r="CG40" s="175"/>
      <c r="CH40" s="175"/>
      <c r="CI40" s="175"/>
      <c r="CJ40" s="175"/>
      <c r="CK40" s="175"/>
      <c r="CL40" s="175"/>
      <c r="CM40" s="175"/>
      <c r="CN40" s="175"/>
      <c r="CO40" s="175"/>
      <c r="CP40" s="175"/>
      <c r="CQ40" s="175"/>
      <c r="CR40" s="175"/>
      <c r="CS40" s="175"/>
      <c r="CT40" s="175"/>
      <c r="CU40" s="175"/>
      <c r="CV40" s="175"/>
      <c r="CW40" s="175"/>
      <c r="CX40" s="175"/>
      <c r="CY40" s="175"/>
      <c r="CZ40" s="175"/>
      <c r="DA40" s="175"/>
      <c r="DB40" s="175"/>
      <c r="DC40" s="175"/>
      <c r="DD40" s="175"/>
      <c r="DE40" s="175"/>
      <c r="DF40" s="175"/>
      <c r="DG40" s="175"/>
      <c r="DH40" s="1061"/>
      <c r="DI40" s="175"/>
      <c r="DJ40" s="175"/>
      <c r="DK40" s="1061"/>
      <c r="DL40" s="175"/>
      <c r="DM40" s="175"/>
      <c r="DN40" s="1061"/>
      <c r="DO40" s="175"/>
      <c r="DP40" s="175"/>
      <c r="DQ40" s="1061"/>
      <c r="DR40" s="175"/>
      <c r="DS40" s="175"/>
      <c r="DT40" s="1061"/>
      <c r="DU40" s="175"/>
      <c r="DV40" s="175"/>
      <c r="DW40" s="1061"/>
      <c r="DX40" s="175"/>
      <c r="DY40" s="175"/>
      <c r="DZ40" s="1061"/>
      <c r="EA40" s="175"/>
      <c r="EB40" s="175"/>
      <c r="EC40" s="1061"/>
      <c r="ED40" s="175"/>
      <c r="EE40" s="175"/>
      <c r="EF40" s="1061"/>
      <c r="EG40" s="175"/>
      <c r="EH40" s="175"/>
      <c r="EI40" s="1061"/>
      <c r="EJ40" s="175"/>
      <c r="EK40" s="175"/>
      <c r="EL40" s="1061"/>
      <c r="EM40" s="175"/>
      <c r="EN40" s="175"/>
      <c r="EO40" s="1061"/>
      <c r="EP40" s="175"/>
      <c r="EQ40" s="175"/>
      <c r="ER40" s="1061"/>
      <c r="ES40" s="175"/>
      <c r="ET40" s="175"/>
      <c r="EU40" s="1061"/>
      <c r="EV40" s="175"/>
      <c r="EW40" s="175"/>
      <c r="EX40" s="1061"/>
      <c r="EY40" s="175"/>
      <c r="EZ40" s="175"/>
      <c r="FA40" s="1061"/>
      <c r="FB40" s="1003"/>
      <c r="FC40" s="1003"/>
      <c r="FE40" s="1003"/>
      <c r="FF40" s="1003"/>
      <c r="FG40" s="1003"/>
      <c r="FH40" s="35"/>
      <c r="FI40" s="35"/>
      <c r="FJ40" s="35"/>
      <c r="FK40" s="35"/>
      <c r="FL40" s="35"/>
      <c r="FM40" s="35"/>
      <c r="FN40" s="35"/>
      <c r="FO40" s="35"/>
      <c r="FP40" s="35"/>
      <c r="FQ40" s="35"/>
    </row>
    <row r="41" spans="1:173" s="321" customFormat="1" ht="16.5" customHeight="1" thickBot="1">
      <c r="A41" s="1418"/>
      <c r="B41" s="906" t="s">
        <v>962</v>
      </c>
      <c r="C41" s="906"/>
      <c r="D41" s="907"/>
      <c r="E41" s="925" t="str">
        <f>+E2</f>
        <v>1h85</v>
      </c>
      <c r="F41" s="925"/>
      <c r="G41" s="925"/>
      <c r="H41" s="925"/>
      <c r="I41" s="925"/>
      <c r="J41" s="925"/>
      <c r="K41" s="925"/>
      <c r="L41" s="925"/>
      <c r="M41" s="925"/>
      <c r="N41" s="925"/>
      <c r="O41" s="925"/>
      <c r="P41" s="925"/>
      <c r="Q41" s="925"/>
      <c r="R41" s="925"/>
      <c r="S41" s="925"/>
      <c r="T41" s="925"/>
      <c r="U41" s="925"/>
      <c r="V41" s="925"/>
      <c r="W41" s="925"/>
      <c r="X41" s="925"/>
      <c r="Y41" s="925"/>
      <c r="Z41" s="925"/>
      <c r="AA41" s="925"/>
      <c r="AB41" s="925"/>
      <c r="AC41" s="925"/>
      <c r="AD41" s="925"/>
      <c r="AE41" s="925"/>
      <c r="AF41" s="925"/>
      <c r="AG41" s="925"/>
      <c r="AH41" s="925"/>
      <c r="AI41" s="925"/>
      <c r="AJ41" s="925"/>
      <c r="AK41" s="925"/>
      <c r="AL41" s="925"/>
      <c r="AM41" s="925"/>
      <c r="AN41" s="925"/>
      <c r="AO41" s="925"/>
      <c r="AP41" s="925"/>
      <c r="AQ41" s="925"/>
      <c r="AR41" s="925" t="str">
        <f t="shared" ref="AR41:AZ41" si="153">+AR2</f>
        <v>1H98</v>
      </c>
      <c r="AS41" s="925" t="str">
        <f t="shared" si="153"/>
        <v>2H98</v>
      </c>
      <c r="AT41" s="925" t="str">
        <f t="shared" si="153"/>
        <v>FY98</v>
      </c>
      <c r="AU41" s="925" t="str">
        <f t="shared" si="153"/>
        <v>1H99</v>
      </c>
      <c r="AV41" s="925" t="str">
        <f t="shared" si="153"/>
        <v>2H99</v>
      </c>
      <c r="AW41" s="925" t="str">
        <f t="shared" si="153"/>
        <v>FY99</v>
      </c>
      <c r="AX41" s="925" t="str">
        <f t="shared" si="153"/>
        <v>1H00</v>
      </c>
      <c r="AY41" s="925" t="str">
        <f t="shared" si="153"/>
        <v>2H00</v>
      </c>
      <c r="AZ41" s="925" t="str">
        <f t="shared" si="153"/>
        <v>FY00</v>
      </c>
      <c r="BA41" s="925"/>
      <c r="BB41" s="925"/>
      <c r="BC41" s="925"/>
      <c r="BD41" s="925" t="str">
        <f t="shared" ref="BD41:CI41" si="154">+BD2</f>
        <v>1H02</v>
      </c>
      <c r="BE41" s="925" t="str">
        <f t="shared" si="154"/>
        <v>2H02</v>
      </c>
      <c r="BF41" s="925" t="str">
        <f t="shared" si="154"/>
        <v>FY02</v>
      </c>
      <c r="BG41" s="925" t="str">
        <f t="shared" si="154"/>
        <v>1H03</v>
      </c>
      <c r="BH41" s="925" t="str">
        <f t="shared" si="154"/>
        <v>2H03</v>
      </c>
      <c r="BI41" s="925" t="str">
        <f t="shared" si="154"/>
        <v>FY03</v>
      </c>
      <c r="BJ41" s="925" t="str">
        <f t="shared" si="154"/>
        <v>1H04</v>
      </c>
      <c r="BK41" s="925" t="str">
        <f t="shared" si="154"/>
        <v>2H04</v>
      </c>
      <c r="BL41" s="925" t="str">
        <f t="shared" si="154"/>
        <v>FY04</v>
      </c>
      <c r="BM41" s="925" t="str">
        <f t="shared" si="154"/>
        <v>1H05</v>
      </c>
      <c r="BN41" s="925" t="str">
        <f t="shared" si="154"/>
        <v>2H05</v>
      </c>
      <c r="BO41" s="925" t="str">
        <f t="shared" si="154"/>
        <v>FY05</v>
      </c>
      <c r="BP41" s="925" t="str">
        <f t="shared" si="154"/>
        <v>1H06</v>
      </c>
      <c r="BQ41" s="925" t="str">
        <f t="shared" si="154"/>
        <v>2H06</v>
      </c>
      <c r="BR41" s="925" t="str">
        <f t="shared" si="154"/>
        <v>FY06</v>
      </c>
      <c r="BS41" s="179" t="str">
        <f t="shared" si="154"/>
        <v>1H07</v>
      </c>
      <c r="BT41" s="179" t="str">
        <f t="shared" si="154"/>
        <v>2H07</v>
      </c>
      <c r="BU41" s="179" t="str">
        <f t="shared" si="154"/>
        <v>FY07</v>
      </c>
      <c r="BV41" s="179" t="str">
        <f t="shared" si="154"/>
        <v>1H08</v>
      </c>
      <c r="BW41" s="179" t="str">
        <f t="shared" si="154"/>
        <v>2H08</v>
      </c>
      <c r="BX41" s="179" t="str">
        <f t="shared" si="154"/>
        <v>FY08</v>
      </c>
      <c r="BY41" s="179" t="str">
        <f t="shared" si="154"/>
        <v>1H09</v>
      </c>
      <c r="BZ41" s="179" t="str">
        <f t="shared" si="154"/>
        <v>2H09</v>
      </c>
      <c r="CA41" s="179" t="str">
        <f t="shared" si="154"/>
        <v>FY09</v>
      </c>
      <c r="CB41" s="179" t="str">
        <f t="shared" si="154"/>
        <v>1H10</v>
      </c>
      <c r="CC41" s="179" t="str">
        <f t="shared" si="154"/>
        <v>2H10</v>
      </c>
      <c r="CD41" s="179" t="str">
        <f t="shared" si="154"/>
        <v>FY10</v>
      </c>
      <c r="CE41" s="179" t="str">
        <f t="shared" si="154"/>
        <v>1H11</v>
      </c>
      <c r="CF41" s="179" t="str">
        <f t="shared" si="154"/>
        <v>2H11</v>
      </c>
      <c r="CG41" s="179" t="str">
        <f t="shared" si="154"/>
        <v>FY11</v>
      </c>
      <c r="CH41" s="179" t="str">
        <f t="shared" si="154"/>
        <v>1H12</v>
      </c>
      <c r="CI41" s="179" t="str">
        <f t="shared" si="154"/>
        <v>2H12</v>
      </c>
      <c r="CJ41" s="179" t="str">
        <f t="shared" ref="CJ41:DO41" si="155">+CJ2</f>
        <v>FY12</v>
      </c>
      <c r="CK41" s="179" t="str">
        <f t="shared" si="155"/>
        <v>1H13</v>
      </c>
      <c r="CL41" s="179" t="str">
        <f t="shared" si="155"/>
        <v>2H13</v>
      </c>
      <c r="CM41" s="179" t="str">
        <f t="shared" si="155"/>
        <v>FY13</v>
      </c>
      <c r="CN41" s="179" t="str">
        <f t="shared" si="155"/>
        <v>1H14</v>
      </c>
      <c r="CO41" s="179" t="str">
        <f t="shared" si="155"/>
        <v>2H14</v>
      </c>
      <c r="CP41" s="179" t="str">
        <f t="shared" si="155"/>
        <v>FY14</v>
      </c>
      <c r="CQ41" s="179" t="str">
        <f t="shared" si="155"/>
        <v>1H15</v>
      </c>
      <c r="CR41" s="179" t="str">
        <f t="shared" si="155"/>
        <v>2H15</v>
      </c>
      <c r="CS41" s="179" t="str">
        <f t="shared" si="155"/>
        <v>FY15</v>
      </c>
      <c r="CT41" s="179" t="str">
        <f t="shared" si="155"/>
        <v>1H16</v>
      </c>
      <c r="CU41" s="179" t="str">
        <f t="shared" si="155"/>
        <v>2H16</v>
      </c>
      <c r="CV41" s="179" t="str">
        <f t="shared" si="155"/>
        <v>FY16</v>
      </c>
      <c r="CW41" s="179" t="str">
        <f t="shared" si="155"/>
        <v>1H17</v>
      </c>
      <c r="CX41" s="179" t="str">
        <f t="shared" si="155"/>
        <v>2H17</v>
      </c>
      <c r="CY41" s="179" t="str">
        <f t="shared" si="155"/>
        <v>FY17</v>
      </c>
      <c r="CZ41" s="179" t="str">
        <f t="shared" si="155"/>
        <v>1H18</v>
      </c>
      <c r="DA41" s="179" t="str">
        <f t="shared" si="155"/>
        <v>2H18</v>
      </c>
      <c r="DB41" s="179" t="str">
        <f t="shared" si="155"/>
        <v>FY18</v>
      </c>
      <c r="DC41" s="179" t="str">
        <f t="shared" si="155"/>
        <v>1H19</v>
      </c>
      <c r="DD41" s="179" t="str">
        <f t="shared" si="155"/>
        <v>2H19</v>
      </c>
      <c r="DE41" s="179" t="str">
        <f t="shared" si="155"/>
        <v>FY19</v>
      </c>
      <c r="DF41" s="179" t="str">
        <f t="shared" si="155"/>
        <v>1H20</v>
      </c>
      <c r="DG41" s="179" t="str">
        <f t="shared" si="155"/>
        <v>2H20</v>
      </c>
      <c r="DH41" s="1064" t="str">
        <f t="shared" si="155"/>
        <v>FY20</v>
      </c>
      <c r="DI41" s="179" t="str">
        <f t="shared" si="155"/>
        <v>1H21</v>
      </c>
      <c r="DJ41" s="179" t="str">
        <f t="shared" si="155"/>
        <v>2H21</v>
      </c>
      <c r="DK41" s="1064" t="str">
        <f t="shared" si="155"/>
        <v>FY21</v>
      </c>
      <c r="DL41" s="179" t="str">
        <f t="shared" si="155"/>
        <v>1H22</v>
      </c>
      <c r="DM41" s="179" t="str">
        <f t="shared" si="155"/>
        <v>2H22</v>
      </c>
      <c r="DN41" s="1064" t="str">
        <f t="shared" si="155"/>
        <v>FY22</v>
      </c>
      <c r="DO41" s="179" t="str">
        <f t="shared" si="155"/>
        <v>1H23</v>
      </c>
      <c r="DP41" s="179" t="str">
        <f t="shared" ref="DP41:EF41" si="156">+DP2</f>
        <v>2H23</v>
      </c>
      <c r="DQ41" s="1064" t="str">
        <f t="shared" si="156"/>
        <v>FY23</v>
      </c>
      <c r="DR41" s="179" t="str">
        <f t="shared" si="156"/>
        <v>1H24</v>
      </c>
      <c r="DS41" s="179" t="str">
        <f t="shared" si="156"/>
        <v>2H24</v>
      </c>
      <c r="DT41" s="1064" t="str">
        <f t="shared" si="156"/>
        <v>FY24</v>
      </c>
      <c r="DU41" s="179" t="str">
        <f t="shared" si="156"/>
        <v>1H25</v>
      </c>
      <c r="DV41" s="179" t="str">
        <f t="shared" si="156"/>
        <v>2H25</v>
      </c>
      <c r="DW41" s="1064" t="str">
        <f t="shared" si="156"/>
        <v>FY25</v>
      </c>
      <c r="DX41" s="179" t="str">
        <f t="shared" ref="DX41" si="157">+DX2</f>
        <v>1H26</v>
      </c>
      <c r="DY41" s="179" t="str">
        <f t="shared" si="156"/>
        <v>2H26E</v>
      </c>
      <c r="DZ41" s="1064" t="str">
        <f t="shared" si="156"/>
        <v>FY26E</v>
      </c>
      <c r="EA41" s="179" t="str">
        <f t="shared" si="156"/>
        <v>1H27E</v>
      </c>
      <c r="EB41" s="179" t="str">
        <f t="shared" si="156"/>
        <v>2H27E</v>
      </c>
      <c r="EC41" s="1064" t="str">
        <f t="shared" si="156"/>
        <v>FY27E</v>
      </c>
      <c r="ED41" s="179" t="str">
        <f t="shared" si="156"/>
        <v>1H28E</v>
      </c>
      <c r="EE41" s="179" t="str">
        <f t="shared" si="156"/>
        <v>2H28E</v>
      </c>
      <c r="EF41" s="1064" t="str">
        <f t="shared" si="156"/>
        <v>FY28E</v>
      </c>
      <c r="EG41" s="179" t="str">
        <f t="shared" ref="EG41:EL41" si="158">+EG2</f>
        <v>1H29E</v>
      </c>
      <c r="EH41" s="179" t="str">
        <f t="shared" si="158"/>
        <v>2H29E</v>
      </c>
      <c r="EI41" s="1064" t="str">
        <f t="shared" si="158"/>
        <v>FY29E</v>
      </c>
      <c r="EJ41" s="179" t="str">
        <f t="shared" si="158"/>
        <v>1H30E</v>
      </c>
      <c r="EK41" s="179" t="str">
        <f t="shared" si="158"/>
        <v>2H30E</v>
      </c>
      <c r="EL41" s="1064" t="str">
        <f t="shared" si="158"/>
        <v>FY30E</v>
      </c>
      <c r="EM41" s="179" t="str">
        <f t="shared" ref="EM41:ER41" si="159">+EM2</f>
        <v>1H31E</v>
      </c>
      <c r="EN41" s="179" t="str">
        <f t="shared" si="159"/>
        <v>2H31E</v>
      </c>
      <c r="EO41" s="1064" t="str">
        <f t="shared" si="159"/>
        <v>FY31E</v>
      </c>
      <c r="EP41" s="179" t="str">
        <f t="shared" si="159"/>
        <v>1H32E</v>
      </c>
      <c r="EQ41" s="179" t="str">
        <f t="shared" si="159"/>
        <v>2H32E</v>
      </c>
      <c r="ER41" s="1064" t="str">
        <f t="shared" si="159"/>
        <v>FY32E</v>
      </c>
      <c r="ES41" s="179" t="str">
        <f t="shared" ref="ES41:EX41" si="160">+ES2</f>
        <v>1H33E</v>
      </c>
      <c r="ET41" s="179" t="str">
        <f t="shared" si="160"/>
        <v>2H33E</v>
      </c>
      <c r="EU41" s="1064" t="str">
        <f t="shared" si="160"/>
        <v>FY33E</v>
      </c>
      <c r="EV41" s="179" t="str">
        <f t="shared" si="160"/>
        <v>1H34E</v>
      </c>
      <c r="EW41" s="179" t="str">
        <f t="shared" si="160"/>
        <v>2H34E</v>
      </c>
      <c r="EX41" s="1064" t="str">
        <f t="shared" si="160"/>
        <v>FY34E</v>
      </c>
      <c r="EY41" s="179" t="str">
        <f t="shared" ref="EY41:FA41" si="161">+EY2</f>
        <v>1H35E</v>
      </c>
      <c r="EZ41" s="179" t="str">
        <f t="shared" si="161"/>
        <v>2H35E</v>
      </c>
      <c r="FA41" s="1064" t="str">
        <f t="shared" si="161"/>
        <v>FY35E</v>
      </c>
      <c r="FB41" s="172"/>
      <c r="FC41" s="172"/>
      <c r="FD41" s="172"/>
      <c r="FG41" s="1005"/>
      <c r="FH41" s="172"/>
      <c r="FI41" s="172"/>
      <c r="FJ41" s="35"/>
      <c r="FK41" s="35"/>
      <c r="FL41" s="35"/>
      <c r="FM41" s="35"/>
      <c r="FN41" s="35"/>
      <c r="FO41" s="35"/>
      <c r="FP41" s="35"/>
      <c r="FQ41" s="35"/>
    </row>
    <row r="42" spans="1:173" s="321" customFormat="1" ht="13.35" customHeight="1" outlineLevel="1" thickBot="1">
      <c r="A42" s="1174"/>
      <c r="B42" s="68" t="s">
        <v>214</v>
      </c>
      <c r="C42" s="927"/>
      <c r="D42" s="926" t="s">
        <v>604</v>
      </c>
      <c r="E42" s="930"/>
      <c r="F42" s="172"/>
      <c r="G42" s="931"/>
      <c r="H42" s="932"/>
      <c r="I42" s="172"/>
      <c r="J42" s="931"/>
      <c r="K42" s="932"/>
      <c r="L42" s="172"/>
      <c r="M42" s="931"/>
      <c r="N42" s="932"/>
      <c r="O42" s="172"/>
      <c r="P42" s="931"/>
      <c r="Q42" s="932"/>
      <c r="R42" s="172"/>
      <c r="S42" s="931"/>
      <c r="T42" s="932"/>
      <c r="U42" s="172"/>
      <c r="V42" s="931"/>
      <c r="W42" s="932"/>
      <c r="X42" s="172"/>
      <c r="Y42" s="931"/>
      <c r="Z42" s="932"/>
      <c r="AA42" s="172"/>
      <c r="AB42" s="931"/>
      <c r="AC42" s="932"/>
      <c r="AD42" s="172"/>
      <c r="AE42" s="931"/>
      <c r="AF42" s="932"/>
      <c r="AG42" s="172"/>
      <c r="AH42" s="931"/>
      <c r="AI42" s="932"/>
      <c r="AJ42" s="172"/>
      <c r="AK42" s="931"/>
      <c r="AL42" s="932"/>
      <c r="AM42" s="172"/>
      <c r="AN42" s="931"/>
      <c r="AO42" s="932"/>
      <c r="AP42" s="172"/>
      <c r="AQ42" s="931"/>
      <c r="AR42" s="932"/>
      <c r="AS42" s="172"/>
      <c r="AT42" s="931"/>
      <c r="AU42" s="932"/>
      <c r="AV42" s="172"/>
      <c r="AW42" s="931"/>
      <c r="AX42" s="932"/>
      <c r="AY42" s="172"/>
      <c r="AZ42" s="931"/>
      <c r="BA42" s="172"/>
      <c r="BB42" s="172"/>
      <c r="BC42" s="917"/>
      <c r="BD42" s="172">
        <f>SUM(BD43:BD45)</f>
        <v>33.637999999999998</v>
      </c>
      <c r="BE42" s="172">
        <f t="shared" ref="BE42:BE47" si="162">BF42-BD42</f>
        <v>37.773999999999994</v>
      </c>
      <c r="BF42" s="917">
        <f>EBIT_D1_02+BF44+BF45</f>
        <v>71.411999999999992</v>
      </c>
      <c r="BG42" s="172">
        <f>SUM(BG43:BG45)</f>
        <v>40.594999999999999</v>
      </c>
      <c r="BH42" s="172">
        <f>SUM(BH43:BH45)</f>
        <v>35.793999999999997</v>
      </c>
      <c r="BI42" s="917">
        <f>SUM(BG42:BH42)</f>
        <v>76.388999999999996</v>
      </c>
      <c r="BJ42" s="172">
        <f>SUM(BJ43:BJ45)</f>
        <v>25.499000000000002</v>
      </c>
      <c r="BK42" s="172">
        <f>SUM(BK43:BK45)</f>
        <v>14.208</v>
      </c>
      <c r="BL42" s="917">
        <f>SUM(BJ42:BK42)</f>
        <v>39.707000000000001</v>
      </c>
      <c r="BM42" s="172">
        <f>SUM(BM43:BM45)</f>
        <v>42.896999999999998</v>
      </c>
      <c r="BN42" s="172">
        <f>SUM(BN43:BN45)</f>
        <v>31.464000000000002</v>
      </c>
      <c r="BO42" s="917">
        <f>SUM(BM42:BN42)</f>
        <v>74.361000000000004</v>
      </c>
      <c r="BP42" s="172">
        <f>SUM(BP43:BP45)</f>
        <v>64.509</v>
      </c>
      <c r="BQ42" s="172">
        <f>SUM(BQ43:BQ45)</f>
        <v>45.324999999999996</v>
      </c>
      <c r="BR42" s="917">
        <f>SUM(BP42:BQ42)</f>
        <v>109.834</v>
      </c>
      <c r="BS42" s="172">
        <f>SUM(BS43:BS45)</f>
        <v>86.727575694453506</v>
      </c>
      <c r="BT42" s="172">
        <f>SUM(BT43:BT45)</f>
        <v>76.738115624556144</v>
      </c>
      <c r="BU42" s="172">
        <f t="shared" ref="BU42:BU51" si="163">SUM(BS42:BT42)</f>
        <v>163.46569131900964</v>
      </c>
      <c r="BV42" s="172">
        <f>SUM(BV43:BV45)</f>
        <v>83.436378129325576</v>
      </c>
      <c r="BW42" s="172">
        <f>SUM(BW43:BW45)</f>
        <v>90.980321223082086</v>
      </c>
      <c r="BX42" s="172">
        <f t="shared" ref="BX42:BX51" si="164">SUM(BV42:BW42)</f>
        <v>174.41669935240765</v>
      </c>
      <c r="BY42" s="172">
        <f>SUM(BY43:BY45)</f>
        <v>104.54593505000837</v>
      </c>
      <c r="BZ42" s="172">
        <f>SUM(BZ43:BZ45)</f>
        <v>133.68837844999467</v>
      </c>
      <c r="CA42" s="172">
        <f t="shared" ref="CA42:CA51" si="165">SUM(BY42:BZ42)</f>
        <v>238.23431350000305</v>
      </c>
      <c r="CB42" s="172">
        <f>SUM(CB43:CB45)</f>
        <v>155.08334634120664</v>
      </c>
      <c r="CC42" s="172">
        <f>SUM(CC43:CC45)</f>
        <v>172.55931804140724</v>
      </c>
      <c r="CD42" s="172">
        <f t="shared" ref="CD42:CD51" si="166">SUM(CB42:CC42)</f>
        <v>327.64266438261387</v>
      </c>
      <c r="CE42" s="172">
        <f>SUM(CE43:CE45)</f>
        <v>158.79182857983656</v>
      </c>
      <c r="CF42" s="172">
        <f>SUM(CF43:CF45)</f>
        <v>163.74751351456132</v>
      </c>
      <c r="CG42" s="172">
        <f t="shared" ref="CG42:CG51" si="167">SUM(CE42:CF42)</f>
        <v>322.53934209439785</v>
      </c>
      <c r="CH42" s="172">
        <f>SUM(CH43:CH45)</f>
        <v>160.34167760273766</v>
      </c>
      <c r="CI42" s="172">
        <f>SUM(CI43:CI45)</f>
        <v>161.06565973203439</v>
      </c>
      <c r="CJ42" s="172">
        <f t="shared" ref="CJ42:CJ51" si="168">SUM(CH42:CI42)</f>
        <v>321.40733733477202</v>
      </c>
      <c r="CK42" s="172">
        <f>SUM(CK43:CK45)</f>
        <v>173.4822184995827</v>
      </c>
      <c r="CL42" s="172">
        <f>SUM(CL43:CL45)</f>
        <v>149.15100585761235</v>
      </c>
      <c r="CM42" s="172">
        <f t="shared" ref="CM42:CM51" si="169">SUM(CK42:CL42)</f>
        <v>322.63322435719505</v>
      </c>
      <c r="CN42" s="172">
        <f>SUM(CN43:CN45)</f>
        <v>147.57663595350905</v>
      </c>
      <c r="CO42" s="172">
        <f>SUM(CO43:CO45)</f>
        <v>212.07699999999997</v>
      </c>
      <c r="CP42" s="172">
        <f t="shared" ref="CP42:CP51" si="170">SUM(CN42:CO42)</f>
        <v>359.65363595350902</v>
      </c>
      <c r="CQ42" s="172">
        <f>SUM(CQ43:CQ45)</f>
        <v>200.43700000000004</v>
      </c>
      <c r="CR42" s="172">
        <f>SUM(CR43:CR45)</f>
        <v>223.84700000000004</v>
      </c>
      <c r="CS42" s="172">
        <f t="shared" ref="CS42:CS51" si="171">SUM(CQ42:CR42)</f>
        <v>424.28400000000011</v>
      </c>
      <c r="CT42" s="172">
        <f>SUM(CT43:CT45)</f>
        <v>284.47215762108419</v>
      </c>
      <c r="CU42" s="172">
        <f>SUM(CU43:CU45)</f>
        <v>257.69684861850106</v>
      </c>
      <c r="CV42" s="172">
        <f t="shared" ref="CV42:CV51" si="172">SUM(CT42:CU42)</f>
        <v>542.16900623958531</v>
      </c>
      <c r="CW42" s="172">
        <f>SUM(CW43:CW45)</f>
        <v>273.99114059961823</v>
      </c>
      <c r="CX42" s="172">
        <f>SUM(CX43:CX45)</f>
        <v>289.25515794935814</v>
      </c>
      <c r="CY42" s="172">
        <f t="shared" ref="CY42:CY51" si="173">SUM(CW42:CX42)</f>
        <v>563.24629854897637</v>
      </c>
      <c r="CZ42" s="172">
        <f>SUM(CZ43:CZ45)</f>
        <v>290.07100481727934</v>
      </c>
      <c r="DA42" s="172">
        <f>SUM(DA43:DA45)</f>
        <v>336.94191769583824</v>
      </c>
      <c r="DB42" s="172">
        <f t="shared" ref="DB42:DB51" si="174">SUM(CZ42:DA42)</f>
        <v>627.01292251311759</v>
      </c>
      <c r="DC42" s="172">
        <f>SUM(DC43:DC45)</f>
        <v>338.88379809214246</v>
      </c>
      <c r="DD42" s="172">
        <f>SUM(DD43:DD45)</f>
        <v>352.06251199654514</v>
      </c>
      <c r="DE42" s="172">
        <f t="shared" ref="DE42:DE51" si="175">SUM(DC42:DD42)</f>
        <v>690.9463100886876</v>
      </c>
      <c r="DF42" s="172">
        <f>SUM(DF43:DF45)</f>
        <v>363.45044135774731</v>
      </c>
      <c r="DG42" s="172">
        <f>SUM(DG43:DG45)</f>
        <v>226.28431199367378</v>
      </c>
      <c r="DH42" s="1060">
        <f t="shared" ref="DH42:DH51" si="176">SUM(DF42:DG42)</f>
        <v>589.73475335142109</v>
      </c>
      <c r="DI42" s="172">
        <f>SUM(DI43:DI45)</f>
        <v>349</v>
      </c>
      <c r="DJ42" s="172">
        <f>SUM(DJ43:DJ45)</f>
        <v>336.6</v>
      </c>
      <c r="DK42" s="1060">
        <f t="shared" ref="DK42:DK51" si="177">SUM(DI42:DJ42)</f>
        <v>685.6</v>
      </c>
      <c r="DL42" s="889">
        <f>SUM(DL43:DL45)</f>
        <v>398.1</v>
      </c>
      <c r="DM42" s="889">
        <f>SUM(DM43:DM45)</f>
        <v>382.69999999999993</v>
      </c>
      <c r="DN42" s="1060">
        <f t="shared" ref="DN42:DN51" si="178">SUM(DL42:DM42)</f>
        <v>780.8</v>
      </c>
      <c r="DO42" s="889">
        <f>SUM(DO43:DO45)</f>
        <v>416.7</v>
      </c>
      <c r="DP42" s="889">
        <f>SUM(DP43:DP45)</f>
        <v>504.5</v>
      </c>
      <c r="DQ42" s="1060">
        <f t="shared" ref="DQ42:DQ51" si="179">SUM(DO42:DP42)</f>
        <v>921.2</v>
      </c>
      <c r="DR42" s="889">
        <f>SUM(DR43:DR45)</f>
        <v>519.80000000000007</v>
      </c>
      <c r="DS42" s="889">
        <f>SUM(DS43:DS45)</f>
        <v>574.5</v>
      </c>
      <c r="DT42" s="1060">
        <f t="shared" ref="DT42:DT51" si="180">SUM(DR42:DS42)</f>
        <v>1094.3000000000002</v>
      </c>
      <c r="DU42" s="889">
        <f>SUM(DU43:DU45)</f>
        <v>535</v>
      </c>
      <c r="DV42" s="889">
        <f>SUM(DV43:DV45)</f>
        <v>538.9</v>
      </c>
      <c r="DW42" s="1060">
        <f t="shared" ref="DW42:DW51" si="181">SUM(DU42:DV42)</f>
        <v>1073.9000000000001</v>
      </c>
      <c r="DX42" s="889">
        <f>SUM(DX43:DX45)</f>
        <v>522.70000000000005</v>
      </c>
      <c r="DY42" s="889">
        <f>SUM(DY43:DY45)</f>
        <v>595.28700382363968</v>
      </c>
      <c r="DZ42" s="1060">
        <f t="shared" ref="DZ42:DZ51" si="182">SUM(DX42:DY42)</f>
        <v>1117.9870038236397</v>
      </c>
      <c r="EA42" s="889">
        <f>SUM(EA43:EA45)</f>
        <v>636.33309053406674</v>
      </c>
      <c r="EB42" s="889">
        <f>SUM(EB43:EB45)</f>
        <v>652.97863434709257</v>
      </c>
      <c r="EC42" s="1060">
        <f t="shared" ref="EC42:EC51" si="183">SUM(EA42:EB42)</f>
        <v>1289.3117248811593</v>
      </c>
      <c r="ED42" s="889">
        <f>SUM(ED43:ED45)</f>
        <v>700.89446576936996</v>
      </c>
      <c r="EE42" s="889">
        <f>SUM(EE43:EE45)</f>
        <v>719.20182626788426</v>
      </c>
      <c r="EF42" s="1060">
        <f t="shared" ref="EF42:EF51" si="184">SUM(ED42:EE42)</f>
        <v>1420.0962920372542</v>
      </c>
      <c r="EG42" s="889">
        <f>SUM(EG43:EG45)</f>
        <v>769.99998055644335</v>
      </c>
      <c r="EH42" s="889">
        <f>SUM(EH43:EH45)</f>
        <v>790.02367845346475</v>
      </c>
      <c r="EI42" s="1060">
        <f t="shared" ref="EI42:EI51" si="185">SUM(EG42:EH42)</f>
        <v>1560.023659009908</v>
      </c>
      <c r="EJ42" s="889">
        <f>SUM(EJ43:EJ45)</f>
        <v>843.53727984225361</v>
      </c>
      <c r="EK42" s="889">
        <f>SUM(EK43:EK45)</f>
        <v>865.34946333299172</v>
      </c>
      <c r="EL42" s="1060">
        <f t="shared" ref="EL42:EL51" si="186">SUM(EJ42:EK42)</f>
        <v>1708.8867431752453</v>
      </c>
      <c r="EM42" s="889">
        <f>SUM(EM43:EM45)</f>
        <v>923.92262908364285</v>
      </c>
      <c r="EN42" s="889">
        <f>SUM(EN43:EN45)</f>
        <v>947.68483352779219</v>
      </c>
      <c r="EO42" s="1060">
        <f t="shared" ref="EO42:EO51" si="187">SUM(EM42:EN42)</f>
        <v>1871.607462611435</v>
      </c>
      <c r="EP42" s="889">
        <f>SUM(EP43:EP45)</f>
        <v>1010.0596622597028</v>
      </c>
      <c r="EQ42" s="889">
        <f>SUM(EQ43:EQ45)</f>
        <v>1035.8768366001957</v>
      </c>
      <c r="ER42" s="1060">
        <f t="shared" ref="ER42:ER51" si="188">SUM(EP42:EQ42)</f>
        <v>2045.9364988598986</v>
      </c>
      <c r="ES42" s="889">
        <f>SUM(ES43:ES45)</f>
        <v>1104.0566376414952</v>
      </c>
      <c r="ET42" s="889">
        <f>SUM(ET43:ET45)</f>
        <v>1132.1084116866214</v>
      </c>
      <c r="EU42" s="1060">
        <f t="shared" ref="EU42:EU51" si="189">SUM(ES42:ET42)</f>
        <v>2236.1650493281168</v>
      </c>
      <c r="EV42" s="889">
        <f>SUM(EV43:EV45)</f>
        <v>1206.625696309575</v>
      </c>
      <c r="EW42" s="889">
        <f>SUM(EW43:EW45)</f>
        <v>1237.1076083222297</v>
      </c>
      <c r="EX42" s="1060">
        <f t="shared" ref="EX42:EX51" si="190">SUM(EV42:EW42)</f>
        <v>2443.7333046318045</v>
      </c>
      <c r="EY42" s="889">
        <f>SUM(EY43:EY45)</f>
        <v>1318.5432902949478</v>
      </c>
      <c r="EZ42" s="889">
        <f>SUM(EZ43:EZ45)</f>
        <v>1351.668206679785</v>
      </c>
      <c r="FA42" s="1060">
        <f t="shared" ref="FA42:FA51" si="191">SUM(EY42:EZ42)</f>
        <v>2670.2114969747327</v>
      </c>
      <c r="FB42" s="261"/>
      <c r="FC42" s="261"/>
      <c r="FD42" s="261"/>
      <c r="FE42" s="261"/>
      <c r="FF42" s="261"/>
      <c r="FG42" s="261"/>
      <c r="FH42" s="261"/>
      <c r="FI42" s="261"/>
      <c r="FJ42" s="35"/>
      <c r="FK42" s="35"/>
      <c r="FL42" s="35"/>
      <c r="FM42" s="35"/>
      <c r="FN42" s="35"/>
      <c r="FO42" s="35"/>
      <c r="FP42" s="35"/>
      <c r="FQ42" s="35"/>
    </row>
    <row r="43" spans="1:173" s="321" customFormat="1" ht="13.35" customHeight="1" outlineLevel="1">
      <c r="A43" s="1174"/>
      <c r="B43" s="321" t="s">
        <v>626</v>
      </c>
      <c r="C43" s="186" t="s">
        <v>316</v>
      </c>
      <c r="D43" s="926" t="s">
        <v>604</v>
      </c>
      <c r="E43" s="921"/>
      <c r="F43" s="172"/>
      <c r="G43" s="921"/>
      <c r="H43" s="921"/>
      <c r="I43" s="172"/>
      <c r="J43" s="921"/>
      <c r="K43" s="921"/>
      <c r="L43" s="172"/>
      <c r="M43" s="921"/>
      <c r="N43" s="921"/>
      <c r="O43" s="172"/>
      <c r="P43" s="921"/>
      <c r="Q43" s="921"/>
      <c r="R43" s="172"/>
      <c r="S43" s="921"/>
      <c r="T43" s="921"/>
      <c r="U43" s="172"/>
      <c r="V43" s="921"/>
      <c r="W43" s="921"/>
      <c r="X43" s="172"/>
      <c r="Y43" s="921"/>
      <c r="Z43" s="921"/>
      <c r="AA43" s="172"/>
      <c r="AB43" s="921"/>
      <c r="AC43" s="921"/>
      <c r="AD43" s="172"/>
      <c r="AE43" s="921"/>
      <c r="AF43" s="921"/>
      <c r="AG43" s="172"/>
      <c r="AH43" s="921"/>
      <c r="AI43" s="921"/>
      <c r="AJ43" s="172"/>
      <c r="AK43" s="921"/>
      <c r="AL43" s="921"/>
      <c r="AM43" s="172"/>
      <c r="AN43" s="921"/>
      <c r="AO43" s="921"/>
      <c r="AP43" s="172"/>
      <c r="AQ43" s="921"/>
      <c r="AR43" s="921"/>
      <c r="AS43" s="172"/>
      <c r="AT43" s="921"/>
      <c r="AU43" s="921"/>
      <c r="AV43" s="172"/>
      <c r="AW43" s="921"/>
      <c r="AX43" s="921"/>
      <c r="AY43" s="172"/>
      <c r="AZ43" s="921"/>
      <c r="BA43" s="172"/>
      <c r="BB43" s="172"/>
      <c r="BC43" s="917"/>
      <c r="BD43" s="172">
        <v>15.363</v>
      </c>
      <c r="BE43" s="172">
        <f t="shared" si="162"/>
        <v>16.513000000000002</v>
      </c>
      <c r="BF43" s="917">
        <v>31.876000000000001</v>
      </c>
      <c r="BG43" s="172">
        <v>21.753</v>
      </c>
      <c r="BH43" s="172">
        <f>EBIT_D1_03-BG43</f>
        <v>14.652000000000001</v>
      </c>
      <c r="BI43" s="917">
        <f>36.405</f>
        <v>36.405000000000001</v>
      </c>
      <c r="BJ43" s="172">
        <v>11.326000000000001</v>
      </c>
      <c r="BK43" s="172">
        <f>EBIT_D1_04-BJ43</f>
        <v>-2.4250000000000007</v>
      </c>
      <c r="BL43" s="917">
        <v>8.9009999999999998</v>
      </c>
      <c r="BM43" s="172">
        <v>14.201000000000001</v>
      </c>
      <c r="BN43" s="172">
        <f>EBIT_D1_05-BM43</f>
        <v>10.649000000000001</v>
      </c>
      <c r="BO43" s="917">
        <v>24.85</v>
      </c>
      <c r="BP43" s="172">
        <v>28.981999999999999</v>
      </c>
      <c r="BQ43" s="172">
        <f>EBIT_D1_06-BP43</f>
        <v>23.082999999999998</v>
      </c>
      <c r="BR43" s="917">
        <v>52.064999999999998</v>
      </c>
      <c r="BS43" s="172">
        <f>BS256</f>
        <v>42.371575694453512</v>
      </c>
      <c r="BT43" s="172">
        <f>BT256</f>
        <v>37.38911562455614</v>
      </c>
      <c r="BU43" s="172">
        <f t="shared" si="163"/>
        <v>79.760691319009652</v>
      </c>
      <c r="BV43" s="172">
        <f>BV256</f>
        <v>34.721378129325586</v>
      </c>
      <c r="BW43" s="172">
        <f>BW256</f>
        <v>35.703321223082085</v>
      </c>
      <c r="BX43" s="172">
        <f t="shared" si="164"/>
        <v>70.424699352407671</v>
      </c>
      <c r="BY43" s="172">
        <f>BY256</f>
        <v>47.29493505000837</v>
      </c>
      <c r="BZ43" s="172">
        <f>BZ256</f>
        <v>58.643745536349861</v>
      </c>
      <c r="CA43" s="172">
        <f t="shared" si="165"/>
        <v>105.93868058635823</v>
      </c>
      <c r="CB43" s="172">
        <f>CB256</f>
        <v>72.685697732604751</v>
      </c>
      <c r="CC43" s="172">
        <f>CC256</f>
        <v>85.618839898024348</v>
      </c>
      <c r="CD43" s="172">
        <f t="shared" si="166"/>
        <v>158.30453763062911</v>
      </c>
      <c r="CE43" s="172">
        <f>CE256</f>
        <v>80.617242769193382</v>
      </c>
      <c r="CF43" s="172">
        <f>CF256</f>
        <v>70.271807628201415</v>
      </c>
      <c r="CG43" s="172">
        <f t="shared" si="167"/>
        <v>150.88905039739478</v>
      </c>
      <c r="CH43" s="172">
        <f>CH256</f>
        <v>72.266782484490406</v>
      </c>
      <c r="CI43" s="172">
        <f>CI256</f>
        <v>72.453021959909918</v>
      </c>
      <c r="CJ43" s="172">
        <f t="shared" si="168"/>
        <v>144.71980444440032</v>
      </c>
      <c r="CK43" s="172">
        <f>CK256</f>
        <v>77.100121503365031</v>
      </c>
      <c r="CL43" s="172">
        <f>CL256</f>
        <v>57.338569923014603</v>
      </c>
      <c r="CM43" s="172">
        <f t="shared" si="169"/>
        <v>134.43869142637965</v>
      </c>
      <c r="CN43" s="172">
        <f>CN256</f>
        <v>63.385635953508981</v>
      </c>
      <c r="CO43" s="172">
        <f>CO256</f>
        <v>85.621999999999986</v>
      </c>
      <c r="CP43" s="172">
        <f t="shared" si="170"/>
        <v>149.00763595350895</v>
      </c>
      <c r="CQ43" s="172">
        <f>CQ256</f>
        <v>100.002</v>
      </c>
      <c r="CR43" s="172">
        <f>CR256</f>
        <v>104.87700000000001</v>
      </c>
      <c r="CS43" s="172">
        <f t="shared" si="171"/>
        <v>204.87900000000002</v>
      </c>
      <c r="CT43" s="172">
        <f>CT256</f>
        <v>163.76115762108407</v>
      </c>
      <c r="CU43" s="172">
        <f>CU256</f>
        <v>133.0371197719993</v>
      </c>
      <c r="CV43" s="172">
        <f t="shared" si="172"/>
        <v>296.79827739308337</v>
      </c>
      <c r="CW43" s="172">
        <f>CW256</f>
        <v>149.76917552191142</v>
      </c>
      <c r="CX43" s="172">
        <f>CX256</f>
        <v>164.8673601853892</v>
      </c>
      <c r="CY43" s="172">
        <f t="shared" si="173"/>
        <v>314.6365357073006</v>
      </c>
      <c r="CZ43" s="172">
        <f>CZ256</f>
        <v>167.44755697428474</v>
      </c>
      <c r="DA43" s="172">
        <f>DA256</f>
        <v>179.56726587538199</v>
      </c>
      <c r="DB43" s="172">
        <f t="shared" si="174"/>
        <v>347.01482284966676</v>
      </c>
      <c r="DC43" s="172">
        <f>DC256</f>
        <v>189.60111523980282</v>
      </c>
      <c r="DD43" s="172">
        <f>DD256</f>
        <v>183.94589860001037</v>
      </c>
      <c r="DE43" s="172">
        <f t="shared" si="175"/>
        <v>373.54701383981319</v>
      </c>
      <c r="DF43" s="172">
        <f>DF256</f>
        <v>210.78379436712606</v>
      </c>
      <c r="DG43" s="172">
        <f>DG256</f>
        <v>125.5762062597794</v>
      </c>
      <c r="DH43" s="1060">
        <f t="shared" si="176"/>
        <v>336.36000062690545</v>
      </c>
      <c r="DI43" s="172">
        <f>DI256</f>
        <v>203.2</v>
      </c>
      <c r="DJ43" s="172">
        <f>DJ256</f>
        <v>180.60000000000002</v>
      </c>
      <c r="DK43" s="1060">
        <f t="shared" si="177"/>
        <v>383.8</v>
      </c>
      <c r="DL43" s="889">
        <f>DL256</f>
        <v>213.9</v>
      </c>
      <c r="DM43" s="889">
        <f>DM256</f>
        <v>200.49999999999997</v>
      </c>
      <c r="DN43" s="1060">
        <f t="shared" si="178"/>
        <v>414.4</v>
      </c>
      <c r="DO43" s="889">
        <f>DO256</f>
        <v>232.5</v>
      </c>
      <c r="DP43" s="889">
        <f>DP256</f>
        <v>291.29999999999995</v>
      </c>
      <c r="DQ43" s="1060">
        <f t="shared" si="179"/>
        <v>523.79999999999995</v>
      </c>
      <c r="DR43" s="889">
        <f>DR256</f>
        <v>334.8</v>
      </c>
      <c r="DS43" s="889">
        <f>DS256</f>
        <v>307.59999999999997</v>
      </c>
      <c r="DT43" s="1060">
        <f t="shared" si="180"/>
        <v>642.4</v>
      </c>
      <c r="DU43" s="889">
        <f>DU256</f>
        <v>310.39999999999998</v>
      </c>
      <c r="DV43" s="889">
        <f>DV256</f>
        <v>285.5</v>
      </c>
      <c r="DW43" s="1060">
        <f t="shared" si="181"/>
        <v>595.9</v>
      </c>
      <c r="DX43" s="889">
        <f>DX256</f>
        <v>304.60000000000002</v>
      </c>
      <c r="DY43" s="889">
        <f>DY256</f>
        <v>305.55061937661486</v>
      </c>
      <c r="DZ43" s="1060">
        <f t="shared" si="182"/>
        <v>610.15061937661494</v>
      </c>
      <c r="EA43" s="889">
        <f>EA256</f>
        <v>356.26984739614863</v>
      </c>
      <c r="EB43" s="889">
        <f>EB256</f>
        <v>329.84858768164975</v>
      </c>
      <c r="EC43" s="1060">
        <f t="shared" si="183"/>
        <v>686.11843507779838</v>
      </c>
      <c r="ED43" s="889">
        <f>ED256</f>
        <v>391.33048308999673</v>
      </c>
      <c r="EE43" s="889">
        <f>EE256</f>
        <v>362.31152635454202</v>
      </c>
      <c r="EF43" s="1060">
        <f t="shared" si="184"/>
        <v>753.64200944453876</v>
      </c>
      <c r="EG43" s="889">
        <f>EG256</f>
        <v>428.59280206517337</v>
      </c>
      <c r="EH43" s="889">
        <f>EH256</f>
        <v>396.8106728478175</v>
      </c>
      <c r="EI43" s="1060">
        <f t="shared" si="185"/>
        <v>825.40347491299087</v>
      </c>
      <c r="EJ43" s="889">
        <f>EJ256</f>
        <v>468.05671716776453</v>
      </c>
      <c r="EK43" s="889">
        <f>EK256</f>
        <v>433.34815698103694</v>
      </c>
      <c r="EL43" s="1060">
        <f t="shared" si="186"/>
        <v>901.40487414880147</v>
      </c>
      <c r="EM43" s="889">
        <f>EM256</f>
        <v>511.15253529209417</v>
      </c>
      <c r="EN43" s="889">
        <f>EN256</f>
        <v>473.24822180816852</v>
      </c>
      <c r="EO43" s="1060">
        <f t="shared" si="187"/>
        <v>984.40075710026269</v>
      </c>
      <c r="EP43" s="889">
        <f>EP256</f>
        <v>557.15626346838258</v>
      </c>
      <c r="EQ43" s="889">
        <f>EQ256</f>
        <v>515.84056177090372</v>
      </c>
      <c r="ER43" s="1060">
        <f t="shared" si="188"/>
        <v>1072.9968252392864</v>
      </c>
      <c r="ES43" s="889">
        <f>ES256</f>
        <v>607.30032718053701</v>
      </c>
      <c r="ET43" s="889">
        <f>ET256</f>
        <v>562.26621233028504</v>
      </c>
      <c r="EU43" s="1060">
        <f t="shared" si="189"/>
        <v>1169.5665395108222</v>
      </c>
      <c r="EV43" s="889">
        <f>EV256</f>
        <v>661.95735662678544</v>
      </c>
      <c r="EW43" s="889">
        <f>EW256</f>
        <v>612.87017144001072</v>
      </c>
      <c r="EX43" s="1060">
        <f t="shared" si="190"/>
        <v>1274.8275280667963</v>
      </c>
      <c r="EY43" s="889">
        <f>EY256</f>
        <v>721.53351872319604</v>
      </c>
      <c r="EZ43" s="889">
        <f>EZ256</f>
        <v>668.02848686961204</v>
      </c>
      <c r="FA43" s="1060">
        <f t="shared" si="191"/>
        <v>1389.562005592808</v>
      </c>
      <c r="FB43" s="172"/>
      <c r="FC43" s="172"/>
      <c r="FD43" s="172"/>
      <c r="FG43" s="1005"/>
      <c r="FH43" s="172"/>
      <c r="FI43" s="172"/>
      <c r="FJ43" s="197"/>
      <c r="FK43" s="197"/>
      <c r="FL43" s="35"/>
      <c r="FM43" s="35"/>
      <c r="FN43" s="35"/>
      <c r="FO43" s="35"/>
      <c r="FP43" s="35"/>
      <c r="FQ43" s="35"/>
    </row>
    <row r="44" spans="1:173" s="321" customFormat="1" ht="13.35" customHeight="1" outlineLevel="1">
      <c r="A44" s="1174"/>
      <c r="B44" s="321" t="s">
        <v>627</v>
      </c>
      <c r="C44" s="186" t="s">
        <v>317</v>
      </c>
      <c r="D44" s="926" t="s">
        <v>604</v>
      </c>
      <c r="E44" s="921"/>
      <c r="F44" s="172"/>
      <c r="G44" s="921"/>
      <c r="H44" s="921"/>
      <c r="I44" s="172"/>
      <c r="J44" s="921"/>
      <c r="K44" s="921"/>
      <c r="L44" s="172"/>
      <c r="M44" s="921"/>
      <c r="N44" s="921"/>
      <c r="O44" s="172"/>
      <c r="P44" s="921"/>
      <c r="Q44" s="921"/>
      <c r="R44" s="172"/>
      <c r="S44" s="921"/>
      <c r="T44" s="921"/>
      <c r="U44" s="172"/>
      <c r="V44" s="921"/>
      <c r="W44" s="921"/>
      <c r="X44" s="172"/>
      <c r="Y44" s="921"/>
      <c r="Z44" s="921"/>
      <c r="AA44" s="172"/>
      <c r="AB44" s="921"/>
      <c r="AC44" s="921"/>
      <c r="AD44" s="172"/>
      <c r="AE44" s="921"/>
      <c r="AF44" s="921"/>
      <c r="AG44" s="172"/>
      <c r="AH44" s="921"/>
      <c r="AI44" s="921"/>
      <c r="AJ44" s="172"/>
      <c r="AK44" s="921"/>
      <c r="AL44" s="921"/>
      <c r="AM44" s="172"/>
      <c r="AN44" s="921"/>
      <c r="AO44" s="921"/>
      <c r="AP44" s="172"/>
      <c r="AQ44" s="921"/>
      <c r="AR44" s="921"/>
      <c r="AS44" s="172"/>
      <c r="AT44" s="921"/>
      <c r="AU44" s="921"/>
      <c r="AV44" s="172"/>
      <c r="AW44" s="921"/>
      <c r="AX44" s="921"/>
      <c r="AY44" s="172"/>
      <c r="AZ44" s="921"/>
      <c r="BA44" s="172"/>
      <c r="BB44" s="172"/>
      <c r="BC44" s="917"/>
      <c r="BD44" s="172">
        <v>11.754</v>
      </c>
      <c r="BE44" s="172">
        <f t="shared" si="162"/>
        <v>15.557</v>
      </c>
      <c r="BF44" s="917">
        <v>27.311</v>
      </c>
      <c r="BG44" s="172">
        <v>12.218999999999999</v>
      </c>
      <c r="BH44" s="172">
        <f>BI44-BG44</f>
        <v>17.113999999999997</v>
      </c>
      <c r="BI44" s="917">
        <v>29.332999999999998</v>
      </c>
      <c r="BJ44" s="172">
        <v>7.8559999999999999</v>
      </c>
      <c r="BK44" s="172">
        <f>BL44-BJ44</f>
        <v>13.311000000000002</v>
      </c>
      <c r="BL44" s="917">
        <v>21.167000000000002</v>
      </c>
      <c r="BM44" s="172">
        <v>23.286999999999999</v>
      </c>
      <c r="BN44" s="172">
        <f>BO44-BM44</f>
        <v>14.496000000000002</v>
      </c>
      <c r="BO44" s="917">
        <v>37.783000000000001</v>
      </c>
      <c r="BP44" s="172">
        <v>26.033000000000001</v>
      </c>
      <c r="BQ44" s="172">
        <f>BR44-BP44</f>
        <v>19.687999999999995</v>
      </c>
      <c r="BR44" s="917">
        <v>45.720999999999997</v>
      </c>
      <c r="BS44" s="172">
        <f>BS347</f>
        <v>33.397999999999996</v>
      </c>
      <c r="BT44" s="172">
        <f>BT347</f>
        <v>30.009000000000004</v>
      </c>
      <c r="BU44" s="172">
        <f t="shared" si="163"/>
        <v>63.406999999999996</v>
      </c>
      <c r="BV44" s="172">
        <f>BV347</f>
        <v>39.22699999999999</v>
      </c>
      <c r="BW44" s="172">
        <f>BW347</f>
        <v>43.28</v>
      </c>
      <c r="BX44" s="172">
        <f t="shared" si="164"/>
        <v>82.506999999999991</v>
      </c>
      <c r="BY44" s="172">
        <f>BY347</f>
        <v>48.658000000000001</v>
      </c>
      <c r="BZ44" s="172">
        <f>BZ347</f>
        <v>63.789356159455423</v>
      </c>
      <c r="CA44" s="172">
        <f t="shared" si="165"/>
        <v>112.44735615945542</v>
      </c>
      <c r="CB44" s="172">
        <f>CB347</f>
        <v>66.995956051171206</v>
      </c>
      <c r="CC44" s="172">
        <f>CC347</f>
        <v>71.454578976610691</v>
      </c>
      <c r="CD44" s="172">
        <f t="shared" si="166"/>
        <v>138.45053502778188</v>
      </c>
      <c r="CE44" s="172">
        <f>CE347</f>
        <v>61.047820162023498</v>
      </c>
      <c r="CF44" s="172">
        <f>CF347</f>
        <v>73.178811692223988</v>
      </c>
      <c r="CG44" s="172">
        <f t="shared" si="167"/>
        <v>134.2266318542475</v>
      </c>
      <c r="CH44" s="172">
        <f>CH347</f>
        <v>68.307733851269603</v>
      </c>
      <c r="CI44" s="172">
        <f>CI347</f>
        <v>64.487098993402753</v>
      </c>
      <c r="CJ44" s="172">
        <f t="shared" si="168"/>
        <v>132.79483284467236</v>
      </c>
      <c r="CK44" s="172">
        <f>CK347</f>
        <v>65.498937476012401</v>
      </c>
      <c r="CL44" s="172">
        <f>CL347</f>
        <v>65.023633936595658</v>
      </c>
      <c r="CM44" s="172">
        <f t="shared" si="169"/>
        <v>130.52257141260804</v>
      </c>
      <c r="CN44" s="172">
        <f>CN347</f>
        <v>72.656000000000063</v>
      </c>
      <c r="CO44" s="172">
        <f>CO347</f>
        <v>94.525999999999996</v>
      </c>
      <c r="CP44" s="172">
        <f t="shared" si="170"/>
        <v>167.18200000000007</v>
      </c>
      <c r="CQ44" s="172">
        <f>CQ347</f>
        <v>84.90000000000002</v>
      </c>
      <c r="CR44" s="172">
        <f>CR347</f>
        <v>87.213000000000008</v>
      </c>
      <c r="CS44" s="172">
        <f t="shared" si="171"/>
        <v>172.11300000000003</v>
      </c>
      <c r="CT44" s="172">
        <f>CT347</f>
        <v>86.441000000000059</v>
      </c>
      <c r="CU44" s="172">
        <f>CU347</f>
        <v>94.110889411793607</v>
      </c>
      <c r="CV44" s="172">
        <f t="shared" si="172"/>
        <v>180.55188941179367</v>
      </c>
      <c r="CW44" s="172">
        <f>CW347</f>
        <v>88.854863558693921</v>
      </c>
      <c r="CX44" s="172">
        <f>CX347</f>
        <v>92.697911751005662</v>
      </c>
      <c r="CY44" s="172">
        <f t="shared" si="173"/>
        <v>181.5527753096996</v>
      </c>
      <c r="CZ44" s="172">
        <f>CZ347</f>
        <v>93.63586214202121</v>
      </c>
      <c r="DA44" s="172">
        <f>DA347</f>
        <v>115.89226369684556</v>
      </c>
      <c r="DB44" s="172">
        <f t="shared" si="174"/>
        <v>209.52812583886677</v>
      </c>
      <c r="DC44" s="172">
        <f>DC347</f>
        <v>114.31124490543851</v>
      </c>
      <c r="DD44" s="172">
        <f>DD347</f>
        <v>123.92532921463366</v>
      </c>
      <c r="DE44" s="172">
        <f t="shared" si="175"/>
        <v>238.23657412007219</v>
      </c>
      <c r="DF44" s="172">
        <f>DF347</f>
        <v>112.29075810971592</v>
      </c>
      <c r="DG44" s="172">
        <f>DG347</f>
        <v>81.847897625087228</v>
      </c>
      <c r="DH44" s="1060">
        <f t="shared" si="176"/>
        <v>194.13865573480314</v>
      </c>
      <c r="DI44" s="172">
        <f>DI347</f>
        <v>100.5</v>
      </c>
      <c r="DJ44" s="172">
        <f>DJ347</f>
        <v>127.1</v>
      </c>
      <c r="DK44" s="1060">
        <f t="shared" si="177"/>
        <v>227.6</v>
      </c>
      <c r="DL44" s="889">
        <f>DL347</f>
        <v>137.9</v>
      </c>
      <c r="DM44" s="889">
        <f>DM347</f>
        <v>136.49999999999997</v>
      </c>
      <c r="DN44" s="1060">
        <f t="shared" si="178"/>
        <v>274.39999999999998</v>
      </c>
      <c r="DO44" s="889">
        <f>DO347</f>
        <v>127.4</v>
      </c>
      <c r="DP44" s="889">
        <f>DP347</f>
        <v>165.1</v>
      </c>
      <c r="DQ44" s="1060">
        <f t="shared" si="179"/>
        <v>292.5</v>
      </c>
      <c r="DR44" s="889">
        <f>DR347</f>
        <v>160.9</v>
      </c>
      <c r="DS44" s="889">
        <f>DS347</f>
        <v>188.79999999999998</v>
      </c>
      <c r="DT44" s="1060">
        <f t="shared" si="180"/>
        <v>349.7</v>
      </c>
      <c r="DU44" s="889">
        <f>DU347</f>
        <v>148</v>
      </c>
      <c r="DV44" s="889">
        <f>DV347</f>
        <v>199.2</v>
      </c>
      <c r="DW44" s="1060">
        <f t="shared" si="181"/>
        <v>347.2</v>
      </c>
      <c r="DX44" s="889">
        <f>DX347</f>
        <v>161.9</v>
      </c>
      <c r="DY44" s="889">
        <f>DY347</f>
        <v>218.23041354447861</v>
      </c>
      <c r="DZ44" s="1060">
        <f t="shared" si="182"/>
        <v>380.13041354447864</v>
      </c>
      <c r="EA44" s="889">
        <f>EA347</f>
        <v>192.89718616446032</v>
      </c>
      <c r="EB44" s="889">
        <f>EB347</f>
        <v>235.98781232076536</v>
      </c>
      <c r="EC44" s="1060">
        <f t="shared" si="183"/>
        <v>428.88499848522565</v>
      </c>
      <c r="ED44" s="889">
        <f>ED347</f>
        <v>212.23475892727893</v>
      </c>
      <c r="EE44" s="889">
        <f>EE347</f>
        <v>259.64684003021512</v>
      </c>
      <c r="EF44" s="1060">
        <f t="shared" si="184"/>
        <v>471.88159895749402</v>
      </c>
      <c r="EG44" s="889">
        <f>EG347</f>
        <v>232.63071814974552</v>
      </c>
      <c r="EH44" s="889">
        <f>EH347</f>
        <v>284.59914046858796</v>
      </c>
      <c r="EI44" s="1060">
        <f t="shared" si="185"/>
        <v>517.22985861833354</v>
      </c>
      <c r="EJ44" s="889">
        <f>EJ347</f>
        <v>254.13202906391169</v>
      </c>
      <c r="EK44" s="889">
        <f>EK347</f>
        <v>310.90372409910577</v>
      </c>
      <c r="EL44" s="1060">
        <f t="shared" si="186"/>
        <v>565.03575316301749</v>
      </c>
      <c r="EM44" s="889">
        <f>EM347</f>
        <v>277.61926712561484</v>
      </c>
      <c r="EN44" s="889">
        <f>EN347</f>
        <v>339.63787974532141</v>
      </c>
      <c r="EO44" s="1060">
        <f t="shared" si="187"/>
        <v>617.25714687093625</v>
      </c>
      <c r="EP44" s="889">
        <f>EP347</f>
        <v>302.6050011669202</v>
      </c>
      <c r="EQ44" s="889">
        <f>EQ347</f>
        <v>370.20528892240037</v>
      </c>
      <c r="ER44" s="1060">
        <f t="shared" si="188"/>
        <v>672.81029008932057</v>
      </c>
      <c r="ES44" s="889">
        <f>ES347</f>
        <v>329.83945127194301</v>
      </c>
      <c r="ET44" s="889">
        <f>ET347</f>
        <v>403.52376492541646</v>
      </c>
      <c r="EU44" s="1060">
        <f t="shared" si="189"/>
        <v>733.36321619735941</v>
      </c>
      <c r="EV44" s="889">
        <f>EV347</f>
        <v>359.5250018864179</v>
      </c>
      <c r="EW44" s="889">
        <f>EW347</f>
        <v>439.84090376870381</v>
      </c>
      <c r="EX44" s="1060">
        <f t="shared" si="190"/>
        <v>799.36590565512165</v>
      </c>
      <c r="EY44" s="889">
        <f>EY347</f>
        <v>391.88225205619551</v>
      </c>
      <c r="EZ44" s="889">
        <f>EZ347</f>
        <v>479.42658510788743</v>
      </c>
      <c r="FA44" s="1060">
        <f t="shared" si="191"/>
        <v>871.30883716408289</v>
      </c>
      <c r="FB44" s="172"/>
      <c r="FC44" s="172"/>
      <c r="FD44" s="172"/>
      <c r="FG44" s="1005"/>
      <c r="FH44" s="172"/>
      <c r="FI44" s="172"/>
      <c r="FJ44" s="35"/>
      <c r="FK44" s="35"/>
      <c r="FL44" s="35"/>
      <c r="FM44" s="35"/>
      <c r="FN44" s="35"/>
      <c r="FO44" s="35"/>
      <c r="FP44" s="35"/>
      <c r="FQ44" s="35"/>
    </row>
    <row r="45" spans="1:173" s="321" customFormat="1" ht="13.35" customHeight="1" outlineLevel="1">
      <c r="A45" s="1174"/>
      <c r="B45" s="321" t="s">
        <v>628</v>
      </c>
      <c r="C45" s="186" t="s">
        <v>384</v>
      </c>
      <c r="D45" s="926" t="s">
        <v>604</v>
      </c>
      <c r="E45" s="921"/>
      <c r="F45" s="172"/>
      <c r="G45" s="921"/>
      <c r="H45" s="921"/>
      <c r="I45" s="172"/>
      <c r="J45" s="921"/>
      <c r="K45" s="921"/>
      <c r="L45" s="172"/>
      <c r="M45" s="921"/>
      <c r="N45" s="921"/>
      <c r="O45" s="172"/>
      <c r="P45" s="921"/>
      <c r="Q45" s="921"/>
      <c r="R45" s="172"/>
      <c r="S45" s="921"/>
      <c r="T45" s="921"/>
      <c r="U45" s="172"/>
      <c r="V45" s="921"/>
      <c r="W45" s="921"/>
      <c r="X45" s="172"/>
      <c r="Y45" s="921"/>
      <c r="Z45" s="921"/>
      <c r="AA45" s="172"/>
      <c r="AB45" s="921"/>
      <c r="AC45" s="921"/>
      <c r="AD45" s="172"/>
      <c r="AE45" s="921"/>
      <c r="AF45" s="921"/>
      <c r="AG45" s="172"/>
      <c r="AH45" s="921"/>
      <c r="AI45" s="921"/>
      <c r="AJ45" s="172"/>
      <c r="AK45" s="921"/>
      <c r="AL45" s="921"/>
      <c r="AM45" s="172"/>
      <c r="AN45" s="921"/>
      <c r="AO45" s="921"/>
      <c r="AP45" s="172"/>
      <c r="AQ45" s="921"/>
      <c r="AR45" s="921"/>
      <c r="AS45" s="172"/>
      <c r="AT45" s="921"/>
      <c r="AU45" s="921"/>
      <c r="AV45" s="172"/>
      <c r="AW45" s="921"/>
      <c r="AX45" s="921"/>
      <c r="AY45" s="172"/>
      <c r="AZ45" s="921"/>
      <c r="BA45" s="172"/>
      <c r="BB45" s="172"/>
      <c r="BC45" s="917"/>
      <c r="BD45" s="172">
        <v>6.5209999999999999</v>
      </c>
      <c r="BE45" s="172">
        <f t="shared" si="162"/>
        <v>5.7039999999999997</v>
      </c>
      <c r="BF45" s="917">
        <v>12.225</v>
      </c>
      <c r="BG45" s="172">
        <v>6.6230000000000002</v>
      </c>
      <c r="BH45" s="172">
        <f>BI45-BG45</f>
        <v>4.0279999999999996</v>
      </c>
      <c r="BI45" s="917">
        <v>10.651</v>
      </c>
      <c r="BJ45" s="172">
        <v>6.3170000000000002</v>
      </c>
      <c r="BK45" s="172">
        <f>BL45-BJ45</f>
        <v>3.3219999999999992</v>
      </c>
      <c r="BL45" s="917">
        <v>9.6389999999999993</v>
      </c>
      <c r="BM45" s="172">
        <v>5.4089999999999998</v>
      </c>
      <c r="BN45" s="172">
        <f>BO45-BM45</f>
        <v>6.319</v>
      </c>
      <c r="BO45" s="917">
        <v>11.728</v>
      </c>
      <c r="BP45" s="172">
        <v>9.4939999999999998</v>
      </c>
      <c r="BQ45" s="172">
        <f>BR45-BP45</f>
        <v>2.5540000000000003</v>
      </c>
      <c r="BR45" s="917">
        <v>12.048</v>
      </c>
      <c r="BS45" s="172">
        <f>BS416</f>
        <v>10.957999999999998</v>
      </c>
      <c r="BT45" s="172">
        <f>BT416</f>
        <v>9.3399999999999981</v>
      </c>
      <c r="BU45" s="172">
        <f t="shared" si="163"/>
        <v>20.297999999999995</v>
      </c>
      <c r="BV45" s="172">
        <f>BV416</f>
        <v>9.4880000000000031</v>
      </c>
      <c r="BW45" s="172">
        <f>BW416</f>
        <v>11.997</v>
      </c>
      <c r="BX45" s="172">
        <f t="shared" si="164"/>
        <v>21.485000000000003</v>
      </c>
      <c r="BY45" s="172">
        <f>BY416</f>
        <v>8.593</v>
      </c>
      <c r="BZ45" s="172">
        <f>BZ416</f>
        <v>11.255276754189403</v>
      </c>
      <c r="CA45" s="172">
        <f t="shared" si="165"/>
        <v>19.848276754189403</v>
      </c>
      <c r="CB45" s="172">
        <f>CB416</f>
        <v>15.401692557430657</v>
      </c>
      <c r="CC45" s="172">
        <f>CC416</f>
        <v>15.485899166772223</v>
      </c>
      <c r="CD45" s="172">
        <f t="shared" si="166"/>
        <v>30.887591724202878</v>
      </c>
      <c r="CE45" s="172">
        <f>CE416</f>
        <v>17.126765648619681</v>
      </c>
      <c r="CF45" s="172">
        <f>CF416</f>
        <v>20.29689419413592</v>
      </c>
      <c r="CG45" s="172">
        <f t="shared" si="167"/>
        <v>37.423659842755598</v>
      </c>
      <c r="CH45" s="172">
        <f>CH416</f>
        <v>19.76716126697767</v>
      </c>
      <c r="CI45" s="172">
        <f>CI416</f>
        <v>24.125538778721722</v>
      </c>
      <c r="CJ45" s="172">
        <f t="shared" si="168"/>
        <v>43.892700045699392</v>
      </c>
      <c r="CK45" s="172">
        <f>CK416</f>
        <v>30.883159520205254</v>
      </c>
      <c r="CL45" s="172">
        <f>CL416</f>
        <v>26.788801998002093</v>
      </c>
      <c r="CM45" s="172">
        <f t="shared" si="169"/>
        <v>57.671961518207347</v>
      </c>
      <c r="CN45" s="172">
        <f>CN416</f>
        <v>11.535000000000004</v>
      </c>
      <c r="CO45" s="172">
        <f>CO416</f>
        <v>31.928999999999991</v>
      </c>
      <c r="CP45" s="172">
        <f t="shared" si="170"/>
        <v>43.463999999999999</v>
      </c>
      <c r="CQ45" s="172">
        <f>CQ416</f>
        <v>15.535000000000032</v>
      </c>
      <c r="CR45" s="172">
        <f>CR416</f>
        <v>31.757000000000016</v>
      </c>
      <c r="CS45" s="172">
        <f t="shared" si="171"/>
        <v>47.292000000000044</v>
      </c>
      <c r="CT45" s="172">
        <f>CT416</f>
        <v>34.270000000000046</v>
      </c>
      <c r="CU45" s="172">
        <f>CU416</f>
        <v>30.548839434708157</v>
      </c>
      <c r="CV45" s="172">
        <f t="shared" si="172"/>
        <v>64.818839434708195</v>
      </c>
      <c r="CW45" s="172">
        <f>CW416</f>
        <v>35.367101519012877</v>
      </c>
      <c r="CX45" s="172">
        <f>CX416</f>
        <v>31.689886012963235</v>
      </c>
      <c r="CY45" s="172">
        <f t="shared" si="173"/>
        <v>67.056987531976119</v>
      </c>
      <c r="CZ45" s="172">
        <f>CZ416</f>
        <v>28.987585700973369</v>
      </c>
      <c r="DA45" s="172">
        <f>DA416</f>
        <v>41.482388123610704</v>
      </c>
      <c r="DB45" s="172">
        <f t="shared" si="174"/>
        <v>70.469973824584073</v>
      </c>
      <c r="DC45" s="172">
        <f>DC416</f>
        <v>34.971437946901119</v>
      </c>
      <c r="DD45" s="172">
        <f>DD416</f>
        <v>44.191284181901096</v>
      </c>
      <c r="DE45" s="172">
        <f t="shared" si="175"/>
        <v>79.162722128802216</v>
      </c>
      <c r="DF45" s="172">
        <f>DF416</f>
        <v>40.375888880905322</v>
      </c>
      <c r="DG45" s="172">
        <f>DG416</f>
        <v>18.860208108807171</v>
      </c>
      <c r="DH45" s="1060">
        <f t="shared" si="176"/>
        <v>59.236096989712493</v>
      </c>
      <c r="DI45" s="172">
        <f>DI416</f>
        <v>45.3</v>
      </c>
      <c r="DJ45" s="172">
        <f>DJ416</f>
        <v>28.900000000000006</v>
      </c>
      <c r="DK45" s="1060">
        <f t="shared" si="177"/>
        <v>74.2</v>
      </c>
      <c r="DL45" s="889">
        <f>DL416</f>
        <v>46.3</v>
      </c>
      <c r="DM45" s="889">
        <f>DM416</f>
        <v>45.7</v>
      </c>
      <c r="DN45" s="1060">
        <f t="shared" si="178"/>
        <v>92</v>
      </c>
      <c r="DO45" s="889">
        <f>DO416</f>
        <v>56.8</v>
      </c>
      <c r="DP45" s="889">
        <f>DP416</f>
        <v>48.100000000000009</v>
      </c>
      <c r="DQ45" s="1060">
        <f t="shared" si="179"/>
        <v>104.9</v>
      </c>
      <c r="DR45" s="889">
        <f>DR416</f>
        <v>24.1</v>
      </c>
      <c r="DS45" s="889">
        <f>DS416</f>
        <v>78.099999999999994</v>
      </c>
      <c r="DT45" s="1060">
        <f t="shared" si="180"/>
        <v>102.19999999999999</v>
      </c>
      <c r="DU45" s="889">
        <f>DU416</f>
        <v>76.599999999999994</v>
      </c>
      <c r="DV45" s="889">
        <f>DV416</f>
        <v>54.200000000000017</v>
      </c>
      <c r="DW45" s="1060">
        <f t="shared" si="181"/>
        <v>130.80000000000001</v>
      </c>
      <c r="DX45" s="889">
        <f>DX416</f>
        <v>56.2</v>
      </c>
      <c r="DY45" s="889">
        <f>DY416</f>
        <v>71.505970902546267</v>
      </c>
      <c r="DZ45" s="1060">
        <f t="shared" si="182"/>
        <v>127.70597090254627</v>
      </c>
      <c r="EA45" s="889">
        <f>EA416</f>
        <v>87.166056973457842</v>
      </c>
      <c r="EB45" s="889">
        <f>EB416</f>
        <v>87.142234344677547</v>
      </c>
      <c r="EC45" s="1060">
        <f t="shared" si="183"/>
        <v>174.30829131813539</v>
      </c>
      <c r="ED45" s="889">
        <f>ED416</f>
        <v>97.329223752094322</v>
      </c>
      <c r="EE45" s="889">
        <f>EE416</f>
        <v>97.243459883127116</v>
      </c>
      <c r="EF45" s="1060">
        <f t="shared" si="184"/>
        <v>194.57268363522144</v>
      </c>
      <c r="EG45" s="889">
        <f>EG416</f>
        <v>108.77646034152451</v>
      </c>
      <c r="EH45" s="889">
        <f>EH416</f>
        <v>108.61386513705935</v>
      </c>
      <c r="EI45" s="1060">
        <f t="shared" si="185"/>
        <v>217.39032547858386</v>
      </c>
      <c r="EJ45" s="889">
        <f>EJ416</f>
        <v>121.34853361057743</v>
      </c>
      <c r="EK45" s="889">
        <f>EK416</f>
        <v>121.09758225284889</v>
      </c>
      <c r="EL45" s="1060">
        <f t="shared" si="186"/>
        <v>242.44611586342631</v>
      </c>
      <c r="EM45" s="889">
        <f>EM416</f>
        <v>135.15082666593375</v>
      </c>
      <c r="EN45" s="889">
        <f>EN416</f>
        <v>134.79873197430234</v>
      </c>
      <c r="EO45" s="1060">
        <f t="shared" si="187"/>
        <v>269.94955864023609</v>
      </c>
      <c r="EP45" s="889">
        <f>EP416</f>
        <v>150.29839762440005</v>
      </c>
      <c r="EQ45" s="889">
        <f>EQ416</f>
        <v>149.83098590689161</v>
      </c>
      <c r="ER45" s="1060">
        <f t="shared" si="188"/>
        <v>300.12938353129164</v>
      </c>
      <c r="ES45" s="889">
        <f>ES416</f>
        <v>166.91685918901513</v>
      </c>
      <c r="ET45" s="889">
        <f>ET416</f>
        <v>166.31843443091984</v>
      </c>
      <c r="EU45" s="1060">
        <f t="shared" si="189"/>
        <v>333.23529361993496</v>
      </c>
      <c r="EV45" s="889">
        <f>EV416</f>
        <v>185.14333779637178</v>
      </c>
      <c r="EW45" s="889">
        <f>EW416</f>
        <v>184.39653311351498</v>
      </c>
      <c r="EX45" s="1060">
        <f t="shared" si="190"/>
        <v>369.53987090988676</v>
      </c>
      <c r="EY45" s="889">
        <f>EY416</f>
        <v>205.12751951555629</v>
      </c>
      <c r="EZ45" s="889">
        <f>EZ416</f>
        <v>204.21313470228546</v>
      </c>
      <c r="FA45" s="1060">
        <f t="shared" si="191"/>
        <v>409.34065421784175</v>
      </c>
      <c r="FB45" s="261"/>
      <c r="FC45" s="261"/>
      <c r="FD45" s="261"/>
      <c r="FE45" s="261"/>
      <c r="FF45" s="261"/>
      <c r="FG45" s="261"/>
      <c r="FH45" s="261"/>
      <c r="FI45" s="261"/>
      <c r="FJ45" s="35"/>
      <c r="FK45" s="35"/>
      <c r="FL45" s="35"/>
      <c r="FM45" s="35"/>
      <c r="FN45" s="35"/>
      <c r="FO45" s="35"/>
      <c r="FP45" s="35"/>
      <c r="FQ45" s="35"/>
    </row>
    <row r="46" spans="1:173" s="321" customFormat="1" ht="13.35" customHeight="1" outlineLevel="1">
      <c r="A46" s="1174"/>
      <c r="B46" s="927"/>
      <c r="C46" s="321" t="s">
        <v>314</v>
      </c>
      <c r="D46" s="926" t="s">
        <v>604</v>
      </c>
      <c r="E46" s="921"/>
      <c r="F46" s="172"/>
      <c r="G46" s="921"/>
      <c r="H46" s="921"/>
      <c r="I46" s="172"/>
      <c r="J46" s="921"/>
      <c r="K46" s="921"/>
      <c r="L46" s="172"/>
      <c r="M46" s="921"/>
      <c r="N46" s="921"/>
      <c r="O46" s="172"/>
      <c r="P46" s="921"/>
      <c r="Q46" s="921"/>
      <c r="R46" s="172"/>
      <c r="S46" s="921"/>
      <c r="T46" s="921"/>
      <c r="U46" s="172"/>
      <c r="V46" s="921"/>
      <c r="W46" s="921"/>
      <c r="X46" s="172"/>
      <c r="Y46" s="921"/>
      <c r="Z46" s="921"/>
      <c r="AA46" s="172"/>
      <c r="AB46" s="921"/>
      <c r="AC46" s="921"/>
      <c r="AD46" s="172"/>
      <c r="AE46" s="921"/>
      <c r="AF46" s="921"/>
      <c r="AG46" s="172"/>
      <c r="AH46" s="921"/>
      <c r="AI46" s="921"/>
      <c r="AJ46" s="172"/>
      <c r="AK46" s="921"/>
      <c r="AL46" s="921"/>
      <c r="AM46" s="172"/>
      <c r="AN46" s="921"/>
      <c r="AO46" s="921"/>
      <c r="AP46" s="172"/>
      <c r="AQ46" s="921"/>
      <c r="AR46" s="921"/>
      <c r="AS46" s="172"/>
      <c r="AT46" s="921"/>
      <c r="AU46" s="921"/>
      <c r="AV46" s="172"/>
      <c r="AW46" s="921"/>
      <c r="AX46" s="921"/>
      <c r="AY46" s="172"/>
      <c r="AZ46" s="921"/>
      <c r="BA46" s="172"/>
      <c r="BB46" s="172"/>
      <c r="BC46" s="917"/>
      <c r="BD46" s="172">
        <v>-13.035</v>
      </c>
      <c r="BE46" s="172">
        <f t="shared" si="162"/>
        <v>-6.8870000000000005</v>
      </c>
      <c r="BF46" s="917">
        <v>-19.922000000000001</v>
      </c>
      <c r="BG46" s="172">
        <v>-4.2670000000000003</v>
      </c>
      <c r="BH46" s="172">
        <f>BI46-BG46</f>
        <v>8.0280000000000005</v>
      </c>
      <c r="BI46" s="917">
        <f>3.761</f>
        <v>3.7610000000000001</v>
      </c>
      <c r="BJ46" s="172">
        <v>10.079000000000001</v>
      </c>
      <c r="BK46" s="172">
        <f>BL46-BJ46</f>
        <v>-4.3250000000000011</v>
      </c>
      <c r="BL46" s="917">
        <v>5.7539999999999996</v>
      </c>
      <c r="BM46" s="172">
        <v>1.625</v>
      </c>
      <c r="BN46" s="172">
        <f>BO46-BM46</f>
        <v>6.2039999999999997</v>
      </c>
      <c r="BO46" s="917">
        <v>7.8289999999999997</v>
      </c>
      <c r="BP46" s="172">
        <v>-2.379</v>
      </c>
      <c r="BQ46" s="172">
        <f>BR46-BP46</f>
        <v>1.042</v>
      </c>
      <c r="BR46" s="917">
        <v>-1.337</v>
      </c>
      <c r="BS46" s="172">
        <f>-BS489</f>
        <v>-9.5220085338593812</v>
      </c>
      <c r="BT46" s="172">
        <f>-BT489</f>
        <v>-5.1327434221208144</v>
      </c>
      <c r="BU46" s="172">
        <f t="shared" si="163"/>
        <v>-14.654751955980196</v>
      </c>
      <c r="BV46" s="172">
        <f>-BV489</f>
        <v>-10.475186401513815</v>
      </c>
      <c r="BW46" s="172">
        <f>-BW489</f>
        <v>-9.0759965853388138</v>
      </c>
      <c r="BX46" s="172">
        <f t="shared" si="164"/>
        <v>-19.551182986852631</v>
      </c>
      <c r="BY46" s="172">
        <f>-BY489</f>
        <v>-14.567067026590703</v>
      </c>
      <c r="BZ46" s="172">
        <f>-BZ489</f>
        <v>-16.212387854554279</v>
      </c>
      <c r="CA46" s="172">
        <f t="shared" si="165"/>
        <v>-30.779454881144982</v>
      </c>
      <c r="CB46" s="172">
        <f>-CB489</f>
        <v>-70.919530880515964</v>
      </c>
      <c r="CC46" s="172">
        <f>-CC489</f>
        <v>-83.780475008932001</v>
      </c>
      <c r="CD46" s="172">
        <f t="shared" si="166"/>
        <v>-154.70000588944797</v>
      </c>
      <c r="CE46" s="172">
        <f>-CE489</f>
        <v>-67.383251655729296</v>
      </c>
      <c r="CF46" s="172">
        <f>-CF489</f>
        <v>-93.604214964350064</v>
      </c>
      <c r="CG46" s="172">
        <f t="shared" si="167"/>
        <v>-160.98746662007937</v>
      </c>
      <c r="CH46" s="176">
        <f>-CH489</f>
        <v>-83.630637201883673</v>
      </c>
      <c r="CI46" s="172">
        <f>-CI489</f>
        <v>-89.237958803239792</v>
      </c>
      <c r="CJ46" s="172">
        <f t="shared" si="168"/>
        <v>-172.86859600512346</v>
      </c>
      <c r="CK46" s="172">
        <f>-CK489</f>
        <v>-86.663494532090382</v>
      </c>
      <c r="CL46" s="172">
        <f>-CL489</f>
        <v>-88.538778887414168</v>
      </c>
      <c r="CM46" s="172">
        <f t="shared" si="169"/>
        <v>-175.20227341950454</v>
      </c>
      <c r="CN46" s="172">
        <f>-CN489</f>
        <v>-89.213944241004583</v>
      </c>
      <c r="CO46" s="172">
        <f>-CO489</f>
        <v>-96.799494480143636</v>
      </c>
      <c r="CP46" s="172">
        <f t="shared" si="170"/>
        <v>-186.01343872114822</v>
      </c>
      <c r="CQ46" s="172">
        <f>-CQ489</f>
        <v>-99.969614489532944</v>
      </c>
      <c r="CR46" s="172">
        <f>-CR489</f>
        <v>-106.0332098736711</v>
      </c>
      <c r="CS46" s="172">
        <f t="shared" si="171"/>
        <v>-206.00282436320404</v>
      </c>
      <c r="CT46" s="172">
        <f>-CT489</f>
        <v>-117.49799999999988</v>
      </c>
      <c r="CU46" s="172">
        <f>-CU489</f>
        <v>-128.89257328992375</v>
      </c>
      <c r="CV46" s="172">
        <f t="shared" si="172"/>
        <v>-246.39057328992362</v>
      </c>
      <c r="CW46" s="172">
        <f>-CW489</f>
        <v>-127.50251255142375</v>
      </c>
      <c r="CX46" s="172">
        <f>-CX489</f>
        <v>-138.70880865714579</v>
      </c>
      <c r="CY46" s="172">
        <f t="shared" si="173"/>
        <v>-266.21132120856953</v>
      </c>
      <c r="CZ46" s="172">
        <f>-CZ489</f>
        <v>-141.3262497113738</v>
      </c>
      <c r="DA46" s="172">
        <f>-DA489</f>
        <v>-160.40294586709553</v>
      </c>
      <c r="DB46" s="172">
        <f t="shared" si="174"/>
        <v>-301.72919557846933</v>
      </c>
      <c r="DC46" s="172">
        <f>-DC489</f>
        <v>-160.31870921226673</v>
      </c>
      <c r="DD46" s="172">
        <f>-DD489</f>
        <v>-167.97041261714185</v>
      </c>
      <c r="DE46" s="172">
        <f t="shared" si="175"/>
        <v>-328.2891218294086</v>
      </c>
      <c r="DF46" s="172">
        <f>-DF489</f>
        <v>-166.22955844910931</v>
      </c>
      <c r="DG46" s="172">
        <f>-DG489</f>
        <v>-160.82388762627139</v>
      </c>
      <c r="DH46" s="1060">
        <f t="shared" si="176"/>
        <v>-327.05344607538069</v>
      </c>
      <c r="DI46" s="172">
        <f>-DI489</f>
        <v>-160.97683910282245</v>
      </c>
      <c r="DJ46" s="172">
        <f>-DJ489</f>
        <v>-181.1213056036259</v>
      </c>
      <c r="DK46" s="1060">
        <f t="shared" si="177"/>
        <v>-342.09814470644835</v>
      </c>
      <c r="DL46" s="889">
        <f>-DL489</f>
        <v>-190.99999999999994</v>
      </c>
      <c r="DM46" s="889">
        <f>-DM489</f>
        <v>-228.16854000000001</v>
      </c>
      <c r="DN46" s="1060">
        <f t="shared" si="178"/>
        <v>-419.16853999999995</v>
      </c>
      <c r="DO46" s="889">
        <f>-DO489</f>
        <v>-222.45039000000003</v>
      </c>
      <c r="DP46" s="889">
        <f>-DP489</f>
        <v>-325.66625000000005</v>
      </c>
      <c r="DQ46" s="1060">
        <f t="shared" si="179"/>
        <v>-548.11664000000007</v>
      </c>
      <c r="DR46" s="889">
        <f>-DR489</f>
        <v>-251.49479200000002</v>
      </c>
      <c r="DS46" s="889">
        <f>-DS489</f>
        <v>-258.58742400000006</v>
      </c>
      <c r="DT46" s="1060">
        <f t="shared" si="180"/>
        <v>-510.08221600000007</v>
      </c>
      <c r="DU46" s="889">
        <f>-DU489</f>
        <v>-266.56171500000005</v>
      </c>
      <c r="DV46" s="889">
        <f>-DV489</f>
        <v>-270.20731499999999</v>
      </c>
      <c r="DW46" s="1060">
        <f t="shared" si="181"/>
        <v>-536.76903000000004</v>
      </c>
      <c r="DX46" s="889">
        <f>-DX489</f>
        <v>-271.4796</v>
      </c>
      <c r="DY46" s="889">
        <f>-DY489</f>
        <v>-308.73100110721231</v>
      </c>
      <c r="DZ46" s="1060">
        <f t="shared" si="182"/>
        <v>-580.21060110721237</v>
      </c>
      <c r="EA46" s="889">
        <f>-EA489</f>
        <v>-316.20901140542799</v>
      </c>
      <c r="EB46" s="889">
        <f>-EB489</f>
        <v>-325.98760263576838</v>
      </c>
      <c r="EC46" s="1060">
        <f t="shared" si="183"/>
        <v>-642.19661404119643</v>
      </c>
      <c r="ED46" s="889">
        <f>-ED489</f>
        <v>-336.45955311578393</v>
      </c>
      <c r="EE46" s="889">
        <f>-EE489</f>
        <v>-346.86719687519201</v>
      </c>
      <c r="EF46" s="1060">
        <f t="shared" si="184"/>
        <v>-683.32674999097594</v>
      </c>
      <c r="EG46" s="889">
        <f>-EG489</f>
        <v>-358.51802247252277</v>
      </c>
      <c r="EH46" s="889">
        <f>-EH489</f>
        <v>-369.60799695732339</v>
      </c>
      <c r="EI46" s="1060">
        <f t="shared" si="185"/>
        <v>-728.12601942984611</v>
      </c>
      <c r="EJ46" s="889">
        <f>-EJ489</f>
        <v>-390.78464449504986</v>
      </c>
      <c r="EK46" s="889">
        <f>-EK489</f>
        <v>-402.87271668348251</v>
      </c>
      <c r="EL46" s="1060">
        <f t="shared" si="186"/>
        <v>-793.65736117853237</v>
      </c>
      <c r="EM46" s="889">
        <f>-EM489</f>
        <v>-425.95526249960437</v>
      </c>
      <c r="EN46" s="889">
        <f>-EN489</f>
        <v>-439.13126118499594</v>
      </c>
      <c r="EO46" s="1060">
        <f t="shared" si="187"/>
        <v>-865.08652368460025</v>
      </c>
      <c r="EP46" s="889">
        <f>-EP489</f>
        <v>-453.64235456207871</v>
      </c>
      <c r="EQ46" s="889">
        <f>-EQ489</f>
        <v>-467.67479316202076</v>
      </c>
      <c r="ER46" s="1060">
        <f t="shared" si="188"/>
        <v>-921.31714772409941</v>
      </c>
      <c r="ES46" s="889">
        <f>-ES489</f>
        <v>-494.47016647266594</v>
      </c>
      <c r="ET46" s="889">
        <f>-ET489</f>
        <v>-509.76552454660271</v>
      </c>
      <c r="EU46" s="1060">
        <f t="shared" si="189"/>
        <v>-1004.2356910192686</v>
      </c>
      <c r="EV46" s="889">
        <f>-EV489</f>
        <v>-538.97248145520587</v>
      </c>
      <c r="EW46" s="889">
        <f>-EW489</f>
        <v>-555.64442175579688</v>
      </c>
      <c r="EX46" s="1060">
        <f t="shared" si="190"/>
        <v>-1094.6169032110029</v>
      </c>
      <c r="EY46" s="889">
        <f>-EY489</f>
        <v>-587.48000478617439</v>
      </c>
      <c r="EZ46" s="889">
        <f>-EZ489</f>
        <v>-605.65241971381886</v>
      </c>
      <c r="FA46" s="1060">
        <f t="shared" si="191"/>
        <v>-1193.1324244999932</v>
      </c>
      <c r="FB46" s="1002"/>
      <c r="FC46" s="1002"/>
      <c r="FD46" s="1001"/>
      <c r="FE46" s="918"/>
      <c r="FF46" s="918"/>
      <c r="FG46" s="1006"/>
      <c r="FH46" s="1002"/>
      <c r="FI46" s="1002"/>
      <c r="FJ46" s="35"/>
      <c r="FK46" s="35"/>
      <c r="FL46" s="35"/>
      <c r="FM46" s="35"/>
      <c r="FN46" s="35"/>
      <c r="FO46" s="35"/>
      <c r="FP46" s="35"/>
      <c r="FQ46" s="35"/>
    </row>
    <row r="47" spans="1:173" s="321" customFormat="1" ht="13.35" customHeight="1" outlineLevel="1">
      <c r="A47" s="1174"/>
      <c r="B47" s="927" t="s">
        <v>159</v>
      </c>
      <c r="C47" s="927"/>
      <c r="D47" s="926" t="s">
        <v>984</v>
      </c>
      <c r="E47" s="921"/>
      <c r="F47" s="172"/>
      <c r="G47" s="921"/>
      <c r="H47" s="921"/>
      <c r="I47" s="172"/>
      <c r="J47" s="921"/>
      <c r="K47" s="921"/>
      <c r="L47" s="172"/>
      <c r="M47" s="921"/>
      <c r="N47" s="921"/>
      <c r="O47" s="172"/>
      <c r="P47" s="921"/>
      <c r="Q47" s="921"/>
      <c r="R47" s="172"/>
      <c r="S47" s="921"/>
      <c r="T47" s="921"/>
      <c r="U47" s="172"/>
      <c r="V47" s="921"/>
      <c r="W47" s="921"/>
      <c r="X47" s="172"/>
      <c r="Y47" s="921"/>
      <c r="Z47" s="921"/>
      <c r="AA47" s="172"/>
      <c r="AB47" s="921"/>
      <c r="AC47" s="921"/>
      <c r="AD47" s="172"/>
      <c r="AE47" s="921"/>
      <c r="AF47" s="921"/>
      <c r="AG47" s="172"/>
      <c r="AH47" s="921"/>
      <c r="AI47" s="921"/>
      <c r="AJ47" s="172"/>
      <c r="AK47" s="921"/>
      <c r="AL47" s="921"/>
      <c r="AM47" s="172"/>
      <c r="AN47" s="921"/>
      <c r="AO47" s="921"/>
      <c r="AP47" s="172"/>
      <c r="AQ47" s="921"/>
      <c r="AR47" s="921"/>
      <c r="AS47" s="172"/>
      <c r="AT47" s="921"/>
      <c r="AU47" s="921"/>
      <c r="AV47" s="172"/>
      <c r="AW47" s="921"/>
      <c r="AX47" s="921">
        <v>0</v>
      </c>
      <c r="AY47" s="172">
        <v>0</v>
      </c>
      <c r="AZ47" s="921">
        <v>0</v>
      </c>
      <c r="BA47" s="172"/>
      <c r="BB47" s="172"/>
      <c r="BC47" s="917"/>
      <c r="BD47" s="172">
        <f>SUM(BD43:BD46)</f>
        <v>20.602999999999998</v>
      </c>
      <c r="BE47" s="172">
        <f t="shared" si="162"/>
        <v>11.297000000000001</v>
      </c>
      <c r="BF47" s="917">
        <v>31.9</v>
      </c>
      <c r="BG47" s="172">
        <f>SUM(BG43:BG46)</f>
        <v>36.327999999999996</v>
      </c>
      <c r="BH47" s="172">
        <f>SUM(BH43:BH46)</f>
        <v>43.821999999999996</v>
      </c>
      <c r="BI47" s="917">
        <f>SUM(BG47:BH47)</f>
        <v>80.149999999999991</v>
      </c>
      <c r="BJ47" s="172">
        <f>SUM(BJ43:BJ46)</f>
        <v>35.578000000000003</v>
      </c>
      <c r="BK47" s="172">
        <f>SUM(BK43:BK46)</f>
        <v>9.8829999999999991</v>
      </c>
      <c r="BL47" s="917">
        <f>SUM(BJ47:BK47)</f>
        <v>45.460999999999999</v>
      </c>
      <c r="BM47" s="172">
        <f>SUM(BM43:BM46)</f>
        <v>44.521999999999998</v>
      </c>
      <c r="BN47" s="172">
        <f>SUM(BN43:BN46)</f>
        <v>37.667999999999999</v>
      </c>
      <c r="BO47" s="917">
        <f>SUM(BM47:BN47)</f>
        <v>82.19</v>
      </c>
      <c r="BP47" s="1022">
        <f>SUM(BP43:BP46)</f>
        <v>62.13</v>
      </c>
      <c r="BQ47" s="172">
        <f>SUM(BQ43:BQ46)</f>
        <v>46.366999999999997</v>
      </c>
      <c r="BR47" s="917">
        <f>SUM(BP47:BQ47)</f>
        <v>108.497</v>
      </c>
      <c r="BS47" s="172">
        <f>SUM(BS43:BS46)</f>
        <v>77.205567160594128</v>
      </c>
      <c r="BT47" s="172">
        <f>SUM(BT43:BT46)</f>
        <v>71.605372202435333</v>
      </c>
      <c r="BU47" s="172">
        <f t="shared" si="163"/>
        <v>148.81093936302946</v>
      </c>
      <c r="BV47" s="172">
        <f>SUM(BV43:BV46)</f>
        <v>72.961191727811766</v>
      </c>
      <c r="BW47" s="172">
        <f>SUM(BW43:BW46)</f>
        <v>81.904324637743272</v>
      </c>
      <c r="BX47" s="172">
        <f t="shared" si="164"/>
        <v>154.86551636555504</v>
      </c>
      <c r="BY47" s="172">
        <f>SUM(BY43:BY46)</f>
        <v>89.978868023417661</v>
      </c>
      <c r="BZ47" s="172">
        <f>SUM(BZ43:BZ46)</f>
        <v>117.47599059544039</v>
      </c>
      <c r="CA47" s="172">
        <f t="shared" si="165"/>
        <v>207.45485861885805</v>
      </c>
      <c r="CB47" s="172">
        <f>SUM(CB43:CB46)</f>
        <v>84.163815460690671</v>
      </c>
      <c r="CC47" s="172">
        <f>SUM(CC43:CC46)</f>
        <v>88.778843032475237</v>
      </c>
      <c r="CD47" s="172">
        <f t="shared" si="166"/>
        <v>172.94265849316591</v>
      </c>
      <c r="CE47" s="172">
        <f>SUM(CE43:CE46)</f>
        <v>91.408576924107265</v>
      </c>
      <c r="CF47" s="172">
        <f>SUM(CF43:CF46)</f>
        <v>70.143298550211256</v>
      </c>
      <c r="CG47" s="172">
        <f t="shared" si="167"/>
        <v>161.55187547431854</v>
      </c>
      <c r="CH47" s="172">
        <f>SUM(CH43:CH46)</f>
        <v>76.711040400853989</v>
      </c>
      <c r="CI47" s="172">
        <f>SUM(CI43:CI46)</f>
        <v>71.827700928794599</v>
      </c>
      <c r="CJ47" s="172">
        <f t="shared" si="168"/>
        <v>148.53874132964859</v>
      </c>
      <c r="CK47" s="172">
        <f>SUM(CK43:CK46)</f>
        <v>86.818723967492318</v>
      </c>
      <c r="CL47" s="172">
        <f>SUM(CL43:CL46)</f>
        <v>60.612226970198179</v>
      </c>
      <c r="CM47" s="172">
        <f t="shared" si="169"/>
        <v>147.43095093769051</v>
      </c>
      <c r="CN47" s="172">
        <f>SUM(CN43:CN46)</f>
        <v>58.362691712504471</v>
      </c>
      <c r="CO47" s="172">
        <f>SUM(CO43:CO46)</f>
        <v>115.27750551985633</v>
      </c>
      <c r="CP47" s="172">
        <f t="shared" si="170"/>
        <v>173.6401972323608</v>
      </c>
      <c r="CQ47" s="172">
        <f>SUM(CQ43:CQ46)</f>
        <v>100.4673855104671</v>
      </c>
      <c r="CR47" s="172">
        <f>SUM(CR43:CR46)</f>
        <v>117.81379012632894</v>
      </c>
      <c r="CS47" s="172">
        <f t="shared" si="171"/>
        <v>218.28117563679604</v>
      </c>
      <c r="CT47" s="172">
        <f>SUM(CT43:CT46)</f>
        <v>166.97415762108432</v>
      </c>
      <c r="CU47" s="172">
        <f>SUM(CU43:CU46)</f>
        <v>128.80427532857732</v>
      </c>
      <c r="CV47" s="172">
        <f t="shared" si="172"/>
        <v>295.77843294966164</v>
      </c>
      <c r="CW47" s="172">
        <f>SUM(CW43:CW46)</f>
        <v>146.48862804819447</v>
      </c>
      <c r="CX47" s="172">
        <f>SUM(CX43:CX46)</f>
        <v>150.54634929221234</v>
      </c>
      <c r="CY47" s="172">
        <f t="shared" si="173"/>
        <v>297.03497734040684</v>
      </c>
      <c r="CZ47" s="172">
        <f>SUM(CZ43:CZ46)</f>
        <v>148.74475510590554</v>
      </c>
      <c r="DA47" s="172">
        <f>SUM(DA43:DA46)</f>
        <v>176.53897182874272</v>
      </c>
      <c r="DB47" s="172">
        <f t="shared" si="174"/>
        <v>325.28372693464826</v>
      </c>
      <c r="DC47" s="172">
        <f>SUM(DC43:DC46)</f>
        <v>178.56508887987573</v>
      </c>
      <c r="DD47" s="172">
        <f>SUM(DD43:DD46)</f>
        <v>184.09209937940329</v>
      </c>
      <c r="DE47" s="172">
        <f t="shared" si="175"/>
        <v>362.657188259279</v>
      </c>
      <c r="DF47" s="172">
        <f>SUM(DF43:DF46)</f>
        <v>197.220882908638</v>
      </c>
      <c r="DG47" s="172">
        <f>SUM(DG43:DG46)</f>
        <v>65.460424367402396</v>
      </c>
      <c r="DH47" s="1060">
        <f t="shared" si="176"/>
        <v>262.6813072760404</v>
      </c>
      <c r="DI47" s="172">
        <f>SUM(DI43:DI46)</f>
        <v>188.02316089717755</v>
      </c>
      <c r="DJ47" s="172">
        <f>SUM(DJ43:DJ46)</f>
        <v>155.47869439637412</v>
      </c>
      <c r="DK47" s="1060">
        <f t="shared" si="177"/>
        <v>343.50185529355167</v>
      </c>
      <c r="DL47" s="889">
        <f>SUM(DL43:DL46)</f>
        <v>207.10000000000008</v>
      </c>
      <c r="DM47" s="889">
        <f>SUM(DM43:DM46)</f>
        <v>154.53145999999992</v>
      </c>
      <c r="DN47" s="1060">
        <f t="shared" si="178"/>
        <v>361.63146</v>
      </c>
      <c r="DO47" s="889">
        <f>SUM(DO43:DO46)</f>
        <v>194.24960999999996</v>
      </c>
      <c r="DP47" s="889">
        <f>SUM(DP43:DP46)</f>
        <v>178.83374999999995</v>
      </c>
      <c r="DQ47" s="1060">
        <f t="shared" si="179"/>
        <v>373.08335999999991</v>
      </c>
      <c r="DR47" s="889">
        <f>SUM(DR43:DR46)</f>
        <v>268.30520800000005</v>
      </c>
      <c r="DS47" s="889">
        <f>SUM(DS43:DS46)</f>
        <v>315.91257599999994</v>
      </c>
      <c r="DT47" s="1060">
        <f t="shared" si="180"/>
        <v>584.21778399999994</v>
      </c>
      <c r="DU47" s="889">
        <f>SUM(DU43:DU46)</f>
        <v>268.43828499999995</v>
      </c>
      <c r="DV47" s="889">
        <f>SUM(DV43:DV46)</f>
        <v>268.69268499999998</v>
      </c>
      <c r="DW47" s="1060">
        <f t="shared" si="181"/>
        <v>537.13096999999993</v>
      </c>
      <c r="DX47" s="889">
        <f>SUM(DX43:DX46)</f>
        <v>251.22040000000004</v>
      </c>
      <c r="DY47" s="889">
        <f>SUM(DY43:DY46)</f>
        <v>286.55600271642737</v>
      </c>
      <c r="DZ47" s="1060">
        <f t="shared" si="182"/>
        <v>537.77640271642736</v>
      </c>
      <c r="EA47" s="889">
        <f>SUM(EA43:EA46)</f>
        <v>320.12407912863875</v>
      </c>
      <c r="EB47" s="889">
        <f>SUM(EB43:EB46)</f>
        <v>326.99103171132418</v>
      </c>
      <c r="EC47" s="1060">
        <f t="shared" si="183"/>
        <v>647.11511083996288</v>
      </c>
      <c r="ED47" s="889">
        <f>SUM(ED43:ED46)</f>
        <v>364.43491265358603</v>
      </c>
      <c r="EE47" s="889">
        <f>SUM(EE43:EE46)</f>
        <v>372.33462939269225</v>
      </c>
      <c r="EF47" s="1060">
        <f t="shared" si="184"/>
        <v>736.76954204627827</v>
      </c>
      <c r="EG47" s="889">
        <f>SUM(EG43:EG46)</f>
        <v>411.48195808392057</v>
      </c>
      <c r="EH47" s="889">
        <f>SUM(EH43:EH46)</f>
        <v>420.41568149614136</v>
      </c>
      <c r="EI47" s="1060">
        <f t="shared" si="185"/>
        <v>831.89763958006188</v>
      </c>
      <c r="EJ47" s="889">
        <f>SUM(EJ43:EJ46)</f>
        <v>452.75263534720375</v>
      </c>
      <c r="EK47" s="889">
        <f>SUM(EK43:EK46)</f>
        <v>462.47674664950921</v>
      </c>
      <c r="EL47" s="1060">
        <f t="shared" si="186"/>
        <v>915.22938199671296</v>
      </c>
      <c r="EM47" s="889">
        <f>SUM(EM43:EM46)</f>
        <v>497.96736658403847</v>
      </c>
      <c r="EN47" s="889">
        <f>SUM(EN43:EN46)</f>
        <v>508.55357234279626</v>
      </c>
      <c r="EO47" s="1060">
        <f t="shared" si="187"/>
        <v>1006.5209389268348</v>
      </c>
      <c r="EP47" s="889">
        <f>SUM(EP43:EP46)</f>
        <v>556.4173076976241</v>
      </c>
      <c r="EQ47" s="889">
        <f>SUM(EQ43:EQ46)</f>
        <v>568.202043438175</v>
      </c>
      <c r="ER47" s="1060">
        <f t="shared" si="188"/>
        <v>1124.6193511357992</v>
      </c>
      <c r="ES47" s="889">
        <f>SUM(ES43:ES46)</f>
        <v>609.58647116882923</v>
      </c>
      <c r="ET47" s="889">
        <f>SUM(ET43:ET46)</f>
        <v>622.34288714001866</v>
      </c>
      <c r="EU47" s="1060">
        <f t="shared" si="189"/>
        <v>1231.9293583088479</v>
      </c>
      <c r="EV47" s="889">
        <f>SUM(EV43:EV46)</f>
        <v>667.65321485436914</v>
      </c>
      <c r="EW47" s="889">
        <f>SUM(EW43:EW46)</f>
        <v>681.4631865664328</v>
      </c>
      <c r="EX47" s="1060">
        <f t="shared" si="190"/>
        <v>1349.116401420802</v>
      </c>
      <c r="EY47" s="889">
        <f>SUM(EY43:EY46)</f>
        <v>731.06328550877345</v>
      </c>
      <c r="EZ47" s="889">
        <f>SUM(EZ43:EZ46)</f>
        <v>746.01578696596619</v>
      </c>
      <c r="FA47" s="1060">
        <f t="shared" si="191"/>
        <v>1477.0790724747396</v>
      </c>
      <c r="FB47" s="172"/>
      <c r="FC47" s="172"/>
      <c r="FD47" s="172"/>
      <c r="FE47" s="172"/>
      <c r="FF47" s="172"/>
      <c r="FG47" s="172"/>
      <c r="FH47" s="172"/>
      <c r="FI47" s="172"/>
      <c r="FJ47" s="35"/>
      <c r="FK47" s="35"/>
      <c r="FL47" s="35"/>
      <c r="FM47" s="35"/>
      <c r="FN47" s="35"/>
      <c r="FO47" s="35"/>
      <c r="FP47" s="35"/>
      <c r="FQ47" s="35"/>
    </row>
    <row r="48" spans="1:173" s="321" customFormat="1" ht="13.35" customHeight="1" outlineLevel="1">
      <c r="A48" s="1174"/>
      <c r="B48" s="927"/>
      <c r="C48" s="186" t="s">
        <v>286</v>
      </c>
      <c r="D48" s="926" t="s">
        <v>604</v>
      </c>
      <c r="E48" s="921"/>
      <c r="F48" s="172"/>
      <c r="G48" s="921"/>
      <c r="H48" s="921"/>
      <c r="I48" s="172"/>
      <c r="J48" s="921"/>
      <c r="K48" s="921"/>
      <c r="L48" s="172"/>
      <c r="M48" s="921"/>
      <c r="N48" s="921"/>
      <c r="O48" s="172"/>
      <c r="P48" s="921"/>
      <c r="Q48" s="921"/>
      <c r="R48" s="172"/>
      <c r="S48" s="921"/>
      <c r="T48" s="921"/>
      <c r="U48" s="172"/>
      <c r="V48" s="921"/>
      <c r="W48" s="921"/>
      <c r="X48" s="172"/>
      <c r="Y48" s="921"/>
      <c r="Z48" s="921"/>
      <c r="AA48" s="172"/>
      <c r="AB48" s="921"/>
      <c r="AC48" s="921"/>
      <c r="AD48" s="172"/>
      <c r="AE48" s="921"/>
      <c r="AF48" s="921"/>
      <c r="AG48" s="172"/>
      <c r="AH48" s="921"/>
      <c r="AI48" s="921"/>
      <c r="AJ48" s="172"/>
      <c r="AK48" s="921"/>
      <c r="AL48" s="921"/>
      <c r="AM48" s="172"/>
      <c r="AN48" s="921"/>
      <c r="AO48" s="921"/>
      <c r="AP48" s="172"/>
      <c r="AQ48" s="921"/>
      <c r="AR48" s="921"/>
      <c r="AS48" s="172"/>
      <c r="AT48" s="921"/>
      <c r="AU48" s="921"/>
      <c r="AV48" s="172"/>
      <c r="AW48" s="921"/>
      <c r="AX48" s="921"/>
      <c r="AY48" s="172"/>
      <c r="AZ48" s="921"/>
      <c r="BA48" s="172"/>
      <c r="BB48" s="172"/>
      <c r="BC48" s="172"/>
      <c r="BD48" s="172">
        <f>BD18</f>
        <v>0</v>
      </c>
      <c r="BE48" s="172">
        <f>BE18</f>
        <v>0</v>
      </c>
      <c r="BF48" s="172">
        <f>SUM(BD48:BE48)</f>
        <v>0</v>
      </c>
      <c r="BG48" s="172">
        <f>BG18</f>
        <v>3.8370000000000002</v>
      </c>
      <c r="BH48" s="172">
        <f>BH18</f>
        <v>-3.8370000000000002</v>
      </c>
      <c r="BI48" s="172">
        <f>SUM(BG48:BH48)</f>
        <v>0</v>
      </c>
      <c r="BJ48" s="172">
        <f>BJ18</f>
        <v>15.1</v>
      </c>
      <c r="BK48" s="172">
        <f>BK18</f>
        <v>15.186999999999999</v>
      </c>
      <c r="BL48" s="172">
        <f>SUM(BJ48:BK48)</f>
        <v>30.286999999999999</v>
      </c>
      <c r="BM48" s="172">
        <f>BM18</f>
        <v>11.853999999999999</v>
      </c>
      <c r="BN48" s="172">
        <f>BN18</f>
        <v>14.937000000000001</v>
      </c>
      <c r="BO48" s="172">
        <f>SUM(BM48:BN48)</f>
        <v>26.791</v>
      </c>
      <c r="BP48" s="172">
        <f>BP18</f>
        <v>12.423999999999999</v>
      </c>
      <c r="BQ48" s="172">
        <f>BQ18</f>
        <v>8.2690000000000019</v>
      </c>
      <c r="BR48" s="172">
        <f>SUM(BP48:BQ48)</f>
        <v>20.693000000000001</v>
      </c>
      <c r="BS48" s="172">
        <f>BS18</f>
        <v>5.4493695992634557</v>
      </c>
      <c r="BT48" s="172">
        <f>BT18</f>
        <v>11.076548461381016</v>
      </c>
      <c r="BU48" s="172">
        <f t="shared" si="163"/>
        <v>16.525918060644472</v>
      </c>
      <c r="BV48" s="172">
        <f>BV18</f>
        <v>13.790395551984382</v>
      </c>
      <c r="BW48" s="172">
        <f>BW18</f>
        <v>7.4926044480156193</v>
      </c>
      <c r="BX48" s="172">
        <f t="shared" si="164"/>
        <v>21.283000000000001</v>
      </c>
      <c r="BY48" s="172">
        <f>BY18</f>
        <v>8.2837020178600547</v>
      </c>
      <c r="BZ48" s="172">
        <f>BZ18</f>
        <v>-25.412087501323118</v>
      </c>
      <c r="CA48" s="172">
        <f t="shared" si="165"/>
        <v>-17.128385483463063</v>
      </c>
      <c r="CB48" s="172">
        <f>CB18</f>
        <v>10.692908903934837</v>
      </c>
      <c r="CC48" s="172">
        <f>CC18</f>
        <v>27.958656984065399</v>
      </c>
      <c r="CD48" s="172">
        <f t="shared" si="166"/>
        <v>38.651565888000235</v>
      </c>
      <c r="CE48" s="172">
        <f>CE18</f>
        <v>21.864999999999998</v>
      </c>
      <c r="CF48" s="172">
        <f>CF18</f>
        <v>55.546000000000006</v>
      </c>
      <c r="CG48" s="172">
        <f t="shared" si="167"/>
        <v>77.411000000000001</v>
      </c>
      <c r="CH48" s="172">
        <f>CH18</f>
        <v>36.283000000000001</v>
      </c>
      <c r="CI48" s="172">
        <f>CI18</f>
        <v>38.158000000000065</v>
      </c>
      <c r="CJ48" s="172">
        <f t="shared" si="168"/>
        <v>74.441000000000059</v>
      </c>
      <c r="CK48" s="172">
        <f>CK18</f>
        <v>23.507999999999999</v>
      </c>
      <c r="CL48" s="172">
        <f>CL18</f>
        <v>14.183000000000007</v>
      </c>
      <c r="CM48" s="172">
        <f t="shared" si="169"/>
        <v>37.691000000000003</v>
      </c>
      <c r="CN48" s="172">
        <f>CN18</f>
        <v>-5.907</v>
      </c>
      <c r="CO48" s="172">
        <f>CO18</f>
        <v>-10.019710671129827</v>
      </c>
      <c r="CP48" s="172">
        <f t="shared" si="170"/>
        <v>-15.926710671129827</v>
      </c>
      <c r="CQ48" s="172">
        <f>CQ18</f>
        <v>-2.1349999999999998</v>
      </c>
      <c r="CR48" s="172">
        <f>CR18</f>
        <v>-14.135</v>
      </c>
      <c r="CS48" s="172">
        <f t="shared" si="171"/>
        <v>-16.27</v>
      </c>
      <c r="CT48" s="172">
        <f>CT18</f>
        <v>-23.631488168284168</v>
      </c>
      <c r="CU48" s="172">
        <f>CU18</f>
        <v>-3.9475118317158344</v>
      </c>
      <c r="CV48" s="172">
        <f t="shared" si="172"/>
        <v>-27.579000000000001</v>
      </c>
      <c r="CW48" s="172">
        <f>CW18</f>
        <v>4.7776303704207361</v>
      </c>
      <c r="CX48" s="172">
        <f>CX18</f>
        <v>9.3223664620528464</v>
      </c>
      <c r="CY48" s="172">
        <f t="shared" si="173"/>
        <v>14.099996832473582</v>
      </c>
      <c r="CZ48" s="172">
        <f>CZ18</f>
        <v>9.9999825268108093</v>
      </c>
      <c r="DA48" s="172">
        <f>DA18</f>
        <v>2.2999999999999998</v>
      </c>
      <c r="DB48" s="172">
        <f t="shared" si="174"/>
        <v>12.299982526810808</v>
      </c>
      <c r="DC48" s="172">
        <f>DC18</f>
        <v>-8.0990610176268643</v>
      </c>
      <c r="DD48" s="172">
        <f>DD18</f>
        <v>-11.275973405651312</v>
      </c>
      <c r="DE48" s="172">
        <f t="shared" si="175"/>
        <v>-19.375034423278176</v>
      </c>
      <c r="DF48" s="172">
        <f>DF18</f>
        <v>-21.9</v>
      </c>
      <c r="DG48" s="172">
        <f>DG18</f>
        <v>-9.8000000000000007</v>
      </c>
      <c r="DH48" s="1060">
        <f t="shared" si="176"/>
        <v>-31.7</v>
      </c>
      <c r="DI48" s="172">
        <f>DI18</f>
        <v>0.4</v>
      </c>
      <c r="DJ48" s="172">
        <f>DJ18</f>
        <v>3.9</v>
      </c>
      <c r="DK48" s="1060">
        <f t="shared" si="177"/>
        <v>4.3</v>
      </c>
      <c r="DL48" s="889">
        <f>DL18</f>
        <v>5.4</v>
      </c>
      <c r="DM48" s="889">
        <f>DM18</f>
        <v>1.7999999999999998</v>
      </c>
      <c r="DN48" s="1060">
        <f t="shared" si="178"/>
        <v>7.2</v>
      </c>
      <c r="DO48" s="889">
        <f>DO18</f>
        <v>-7.4</v>
      </c>
      <c r="DP48" s="889">
        <f>DP18</f>
        <v>-12.200000000000001</v>
      </c>
      <c r="DQ48" s="1060">
        <f t="shared" si="179"/>
        <v>-19.600000000000001</v>
      </c>
      <c r="DR48" s="889">
        <f>DR18</f>
        <v>-14.9</v>
      </c>
      <c r="DS48" s="889">
        <f>DS18</f>
        <v>-7.7000000000000011</v>
      </c>
      <c r="DT48" s="1060">
        <f t="shared" si="180"/>
        <v>-22.6</v>
      </c>
      <c r="DU48" s="889">
        <f>DU18</f>
        <v>1.99</v>
      </c>
      <c r="DV48" s="889">
        <f>DV18</f>
        <v>-14.69</v>
      </c>
      <c r="DW48" s="1060">
        <f t="shared" si="181"/>
        <v>-12.7</v>
      </c>
      <c r="DX48" s="889">
        <f>DX18</f>
        <v>-8.8000000000000007</v>
      </c>
      <c r="DY48" s="889">
        <f>DY18</f>
        <v>5.0036508939305016</v>
      </c>
      <c r="DZ48" s="1060">
        <f t="shared" si="182"/>
        <v>-3.7963491060694992</v>
      </c>
      <c r="EA48" s="889">
        <f>EA18</f>
        <v>5.1787804318606829</v>
      </c>
      <c r="EB48" s="889">
        <f>EB18</f>
        <v>5.1787804318606829</v>
      </c>
      <c r="EC48" s="1060">
        <f t="shared" si="183"/>
        <v>10.357560863721366</v>
      </c>
      <c r="ED48" s="889">
        <f>ED18</f>
        <v>0</v>
      </c>
      <c r="EE48" s="889">
        <f>EE18</f>
        <v>0</v>
      </c>
      <c r="EF48" s="1060">
        <f t="shared" si="184"/>
        <v>0</v>
      </c>
      <c r="EG48" s="889">
        <f>EG18</f>
        <v>0</v>
      </c>
      <c r="EH48" s="889">
        <f>EH18</f>
        <v>0</v>
      </c>
      <c r="EI48" s="1060">
        <f t="shared" si="185"/>
        <v>0</v>
      </c>
      <c r="EJ48" s="889">
        <f>EJ18</f>
        <v>0</v>
      </c>
      <c r="EK48" s="889">
        <f>EK18</f>
        <v>0</v>
      </c>
      <c r="EL48" s="1060">
        <f t="shared" si="186"/>
        <v>0</v>
      </c>
      <c r="EM48" s="889">
        <f>EM18</f>
        <v>0</v>
      </c>
      <c r="EN48" s="889">
        <f>EN18</f>
        <v>0</v>
      </c>
      <c r="EO48" s="1060">
        <f t="shared" si="187"/>
        <v>0</v>
      </c>
      <c r="EP48" s="889">
        <f>EP18</f>
        <v>0</v>
      </c>
      <c r="EQ48" s="889">
        <f>EQ18</f>
        <v>0</v>
      </c>
      <c r="ER48" s="1060">
        <f t="shared" si="188"/>
        <v>0</v>
      </c>
      <c r="ES48" s="889">
        <f>ES18</f>
        <v>0</v>
      </c>
      <c r="ET48" s="889">
        <f>ET18</f>
        <v>0</v>
      </c>
      <c r="EU48" s="1060">
        <f t="shared" si="189"/>
        <v>0</v>
      </c>
      <c r="EV48" s="889">
        <f>EV18</f>
        <v>0</v>
      </c>
      <c r="EW48" s="889">
        <f>EW18</f>
        <v>0</v>
      </c>
      <c r="EX48" s="1060">
        <f t="shared" si="190"/>
        <v>0</v>
      </c>
      <c r="EY48" s="889">
        <f>EY18</f>
        <v>0</v>
      </c>
      <c r="EZ48" s="889">
        <f>EZ18</f>
        <v>0</v>
      </c>
      <c r="FA48" s="1060">
        <f t="shared" si="191"/>
        <v>0</v>
      </c>
      <c r="FB48" s="172"/>
      <c r="FC48" s="172"/>
      <c r="FD48" s="172"/>
      <c r="FG48" s="1007"/>
      <c r="FH48" s="172"/>
      <c r="FI48" s="172"/>
      <c r="FJ48" s="35"/>
      <c r="FK48" s="35"/>
      <c r="FL48" s="35"/>
      <c r="FM48" s="35"/>
      <c r="FN48" s="35"/>
      <c r="FO48" s="35"/>
      <c r="FP48" s="35"/>
      <c r="FQ48" s="35"/>
    </row>
    <row r="49" spans="1:173" s="321" customFormat="1" ht="13.35" customHeight="1" outlineLevel="1">
      <c r="A49" s="1174"/>
      <c r="B49" s="927" t="s">
        <v>160</v>
      </c>
      <c r="C49" s="186"/>
      <c r="D49" s="926" t="s">
        <v>604</v>
      </c>
      <c r="E49" s="921"/>
      <c r="F49" s="172"/>
      <c r="G49" s="921"/>
      <c r="H49" s="921"/>
      <c r="I49" s="172"/>
      <c r="J49" s="921"/>
      <c r="K49" s="921"/>
      <c r="L49" s="172"/>
      <c r="M49" s="921"/>
      <c r="N49" s="921"/>
      <c r="O49" s="172"/>
      <c r="P49" s="921"/>
      <c r="Q49" s="921"/>
      <c r="R49" s="172"/>
      <c r="S49" s="921"/>
      <c r="T49" s="921"/>
      <c r="U49" s="172"/>
      <c r="V49" s="921"/>
      <c r="W49" s="921"/>
      <c r="X49" s="172"/>
      <c r="Y49" s="921"/>
      <c r="Z49" s="921"/>
      <c r="AA49" s="172"/>
      <c r="AB49" s="921"/>
      <c r="AC49" s="921"/>
      <c r="AD49" s="172"/>
      <c r="AE49" s="921"/>
      <c r="AF49" s="921"/>
      <c r="AG49" s="172"/>
      <c r="AH49" s="921"/>
      <c r="AI49" s="921"/>
      <c r="AJ49" s="172"/>
      <c r="AK49" s="921"/>
      <c r="AL49" s="921"/>
      <c r="AM49" s="172"/>
      <c r="AN49" s="921"/>
      <c r="AO49" s="921"/>
      <c r="AP49" s="172"/>
      <c r="AQ49" s="921"/>
      <c r="AR49" s="921"/>
      <c r="AS49" s="172"/>
      <c r="AT49" s="921"/>
      <c r="AU49" s="921"/>
      <c r="AV49" s="172"/>
      <c r="AW49" s="921"/>
      <c r="AX49" s="921"/>
      <c r="AY49" s="172"/>
      <c r="AZ49" s="921"/>
      <c r="BA49" s="172"/>
      <c r="BB49" s="172"/>
      <c r="BC49" s="172"/>
      <c r="BD49" s="172">
        <f>BD47+BD48</f>
        <v>20.602999999999998</v>
      </c>
      <c r="BE49" s="172">
        <f>BE47+BE48</f>
        <v>11.297000000000001</v>
      </c>
      <c r="BF49" s="172">
        <f>SUM(BD49:BE49)</f>
        <v>31.9</v>
      </c>
      <c r="BG49" s="172">
        <f>BG47+BG48</f>
        <v>40.164999999999999</v>
      </c>
      <c r="BH49" s="172">
        <f>BH47+BH48</f>
        <v>39.984999999999992</v>
      </c>
      <c r="BI49" s="172">
        <f>SUM(BG49:BH49)</f>
        <v>80.149999999999991</v>
      </c>
      <c r="BJ49" s="172">
        <f>BJ47+BJ48</f>
        <v>50.678000000000004</v>
      </c>
      <c r="BK49" s="172">
        <f>BK47+BK48</f>
        <v>25.07</v>
      </c>
      <c r="BL49" s="172">
        <f>SUM(BJ49:BK49)</f>
        <v>75.748000000000005</v>
      </c>
      <c r="BM49" s="172">
        <f>BM47+BM48</f>
        <v>56.375999999999998</v>
      </c>
      <c r="BN49" s="172">
        <f>BN47+BN48</f>
        <v>52.605000000000004</v>
      </c>
      <c r="BO49" s="172">
        <f>SUM(BM49:BN49)</f>
        <v>108.98099999999999</v>
      </c>
      <c r="BP49" s="172">
        <f>BP47+BP48</f>
        <v>74.554000000000002</v>
      </c>
      <c r="BQ49" s="172">
        <f>BQ47+BQ48</f>
        <v>54.635999999999996</v>
      </c>
      <c r="BR49" s="172">
        <f>SUM(BP49:BQ49)</f>
        <v>129.19</v>
      </c>
      <c r="BS49" s="172">
        <f>BS47+BS48</f>
        <v>82.654936759857577</v>
      </c>
      <c r="BT49" s="172">
        <f>BT47+BT48</f>
        <v>82.681920663816356</v>
      </c>
      <c r="BU49" s="172">
        <f t="shared" si="163"/>
        <v>165.33685742367393</v>
      </c>
      <c r="BV49" s="172">
        <f>BV47+BV48</f>
        <v>86.751587279796155</v>
      </c>
      <c r="BW49" s="172">
        <f>BW47+BW48</f>
        <v>89.396929085758899</v>
      </c>
      <c r="BX49" s="172">
        <f t="shared" si="164"/>
        <v>176.14851636555505</v>
      </c>
      <c r="BY49" s="172">
        <f>BY47+BY48</f>
        <v>98.262570041277712</v>
      </c>
      <c r="BZ49" s="172">
        <f>BZ47+BZ48</f>
        <v>92.063903094117279</v>
      </c>
      <c r="CA49" s="172">
        <f t="shared" si="165"/>
        <v>190.32647313539499</v>
      </c>
      <c r="CB49" s="172">
        <f>CB47+CB48</f>
        <v>94.856724364625506</v>
      </c>
      <c r="CC49" s="172">
        <f>CC47+CC48</f>
        <v>116.73750001654064</v>
      </c>
      <c r="CD49" s="172">
        <f t="shared" si="166"/>
        <v>211.59422438116616</v>
      </c>
      <c r="CE49" s="172">
        <f>CE47+CE48</f>
        <v>113.27357692410726</v>
      </c>
      <c r="CF49" s="172">
        <f>CF47+CF48</f>
        <v>125.68929855021126</v>
      </c>
      <c r="CG49" s="172">
        <f t="shared" si="167"/>
        <v>238.96287547431854</v>
      </c>
      <c r="CH49" s="172">
        <f>CH47+CH48</f>
        <v>112.99404040085399</v>
      </c>
      <c r="CI49" s="172">
        <f>CI47+CI48</f>
        <v>109.98570092879467</v>
      </c>
      <c r="CJ49" s="172">
        <f t="shared" si="168"/>
        <v>222.97974132964868</v>
      </c>
      <c r="CK49" s="172">
        <f>CK47+CK48</f>
        <v>110.32672396749231</v>
      </c>
      <c r="CL49" s="172">
        <f>CL47+CL48</f>
        <v>74.795226970198186</v>
      </c>
      <c r="CM49" s="172">
        <f t="shared" si="169"/>
        <v>185.12195093769049</v>
      </c>
      <c r="CN49" s="172">
        <f>CN47+CN48</f>
        <v>52.455691712504475</v>
      </c>
      <c r="CO49" s="172">
        <f>CO47+CO48</f>
        <v>105.2577948487265</v>
      </c>
      <c r="CP49" s="172">
        <f t="shared" si="170"/>
        <v>157.71348656123098</v>
      </c>
      <c r="CQ49" s="172">
        <f>CQ47+CQ48</f>
        <v>98.332385510467091</v>
      </c>
      <c r="CR49" s="172">
        <f>CR47+CR48</f>
        <v>103.67879012632893</v>
      </c>
      <c r="CS49" s="172">
        <f t="shared" si="171"/>
        <v>202.01117563679603</v>
      </c>
      <c r="CT49" s="172">
        <f>CT47+CT48</f>
        <v>143.34266945280015</v>
      </c>
      <c r="CU49" s="172">
        <f>CU47+CU48</f>
        <v>124.85676349686149</v>
      </c>
      <c r="CV49" s="172">
        <f t="shared" si="172"/>
        <v>268.19943294966163</v>
      </c>
      <c r="CW49" s="172">
        <f>CW47+CW48</f>
        <v>151.26625841861519</v>
      </c>
      <c r="CX49" s="172">
        <f>CX47+CX48</f>
        <v>159.8687157542652</v>
      </c>
      <c r="CY49" s="172">
        <f t="shared" si="173"/>
        <v>311.13497417288039</v>
      </c>
      <c r="CZ49" s="172">
        <f>CZ47+CZ48</f>
        <v>158.74473763271635</v>
      </c>
      <c r="DA49" s="172">
        <f>DA47+DA48</f>
        <v>178.83897182874273</v>
      </c>
      <c r="DB49" s="172">
        <f t="shared" si="174"/>
        <v>337.58370946145908</v>
      </c>
      <c r="DC49" s="172">
        <f>DC47+DC48</f>
        <v>170.46602786224886</v>
      </c>
      <c r="DD49" s="172">
        <f>DD47+DD48</f>
        <v>172.81612597375198</v>
      </c>
      <c r="DE49" s="172">
        <f t="shared" si="175"/>
        <v>343.28215383600082</v>
      </c>
      <c r="DF49" s="172">
        <f>DF47+DF48</f>
        <v>175.320882908638</v>
      </c>
      <c r="DG49" s="172">
        <f>DG47+DG48</f>
        <v>55.660424367402399</v>
      </c>
      <c r="DH49" s="1060">
        <f t="shared" si="176"/>
        <v>230.98130727604041</v>
      </c>
      <c r="DI49" s="172">
        <f>DI47+DI48</f>
        <v>188.42316089717755</v>
      </c>
      <c r="DJ49" s="172">
        <f>DJ47+DJ48</f>
        <v>159.37869439637413</v>
      </c>
      <c r="DK49" s="1060">
        <f t="shared" si="177"/>
        <v>347.80185529355168</v>
      </c>
      <c r="DL49" s="889">
        <f>DL47+DL48</f>
        <v>212.50000000000009</v>
      </c>
      <c r="DM49" s="889">
        <f>DM47+DM48</f>
        <v>156.33145999999994</v>
      </c>
      <c r="DN49" s="1060">
        <f t="shared" si="178"/>
        <v>368.83145999999999</v>
      </c>
      <c r="DO49" s="889">
        <f>DO47+DO48</f>
        <v>186.84960999999996</v>
      </c>
      <c r="DP49" s="889">
        <f>DP47+DP48</f>
        <v>166.63374999999996</v>
      </c>
      <c r="DQ49" s="1060">
        <f t="shared" si="179"/>
        <v>353.48335999999995</v>
      </c>
      <c r="DR49" s="889">
        <f>DR47+DR48</f>
        <v>253.40520800000004</v>
      </c>
      <c r="DS49" s="889">
        <f>DS47+DS48</f>
        <v>308.21257599999996</v>
      </c>
      <c r="DT49" s="1060">
        <f t="shared" si="180"/>
        <v>561.61778400000003</v>
      </c>
      <c r="DU49" s="889">
        <f>DU47+DU48</f>
        <v>270.42828499999996</v>
      </c>
      <c r="DV49" s="889">
        <f>DV47+DV48</f>
        <v>254.00268499999999</v>
      </c>
      <c r="DW49" s="1060">
        <f t="shared" si="181"/>
        <v>524.43096999999989</v>
      </c>
      <c r="DX49" s="889">
        <f>DX47+DX48</f>
        <v>242.42040000000003</v>
      </c>
      <c r="DY49" s="889">
        <f>DY47+DY48</f>
        <v>291.55965361035788</v>
      </c>
      <c r="DZ49" s="1060">
        <f t="shared" si="182"/>
        <v>533.98005361035791</v>
      </c>
      <c r="EA49" s="889">
        <f>EA47+EA48</f>
        <v>325.30285956049943</v>
      </c>
      <c r="EB49" s="889">
        <f>EB47+EB48</f>
        <v>332.16981214318486</v>
      </c>
      <c r="EC49" s="1060">
        <f t="shared" si="183"/>
        <v>657.47267170368423</v>
      </c>
      <c r="ED49" s="889">
        <f>ED47+ED48</f>
        <v>364.43491265358603</v>
      </c>
      <c r="EE49" s="889">
        <f>EE47+EE48</f>
        <v>372.33462939269225</v>
      </c>
      <c r="EF49" s="1060">
        <f t="shared" si="184"/>
        <v>736.76954204627827</v>
      </c>
      <c r="EG49" s="889">
        <f>EG47+EG48</f>
        <v>411.48195808392057</v>
      </c>
      <c r="EH49" s="889">
        <f>EH47+EH48</f>
        <v>420.41568149614136</v>
      </c>
      <c r="EI49" s="1060">
        <f t="shared" si="185"/>
        <v>831.89763958006188</v>
      </c>
      <c r="EJ49" s="889">
        <f>EJ47+EJ48</f>
        <v>452.75263534720375</v>
      </c>
      <c r="EK49" s="889">
        <f>EK47+EK48</f>
        <v>462.47674664950921</v>
      </c>
      <c r="EL49" s="1060">
        <f t="shared" si="186"/>
        <v>915.22938199671296</v>
      </c>
      <c r="EM49" s="889">
        <f>EM47+EM48</f>
        <v>497.96736658403847</v>
      </c>
      <c r="EN49" s="889">
        <f>EN47+EN48</f>
        <v>508.55357234279626</v>
      </c>
      <c r="EO49" s="1060">
        <f t="shared" si="187"/>
        <v>1006.5209389268348</v>
      </c>
      <c r="EP49" s="889">
        <f>EP47+EP48</f>
        <v>556.4173076976241</v>
      </c>
      <c r="EQ49" s="889">
        <f>EQ47+EQ48</f>
        <v>568.202043438175</v>
      </c>
      <c r="ER49" s="1060">
        <f t="shared" si="188"/>
        <v>1124.6193511357992</v>
      </c>
      <c r="ES49" s="889">
        <f>ES47+ES48</f>
        <v>609.58647116882923</v>
      </c>
      <c r="ET49" s="889">
        <f>ET47+ET48</f>
        <v>622.34288714001866</v>
      </c>
      <c r="EU49" s="1060">
        <f t="shared" si="189"/>
        <v>1231.9293583088479</v>
      </c>
      <c r="EV49" s="889">
        <f>EV47+EV48</f>
        <v>667.65321485436914</v>
      </c>
      <c r="EW49" s="889">
        <f>EW47+EW48</f>
        <v>681.4631865664328</v>
      </c>
      <c r="EX49" s="1060">
        <f t="shared" si="190"/>
        <v>1349.116401420802</v>
      </c>
      <c r="EY49" s="889">
        <f>EY47+EY48</f>
        <v>731.06328550877345</v>
      </c>
      <c r="EZ49" s="889">
        <f>EZ47+EZ48</f>
        <v>746.01578696596619</v>
      </c>
      <c r="FA49" s="1060">
        <f t="shared" si="191"/>
        <v>1477.0790724747396</v>
      </c>
      <c r="FB49" s="172"/>
      <c r="FC49" s="172"/>
      <c r="FD49" s="172"/>
      <c r="FG49" s="1007"/>
      <c r="FH49" s="172"/>
      <c r="FI49" s="172"/>
      <c r="FJ49" s="35"/>
      <c r="FK49" s="35"/>
      <c r="FL49" s="35"/>
      <c r="FM49" s="35"/>
      <c r="FN49" s="35"/>
      <c r="FO49" s="35"/>
      <c r="FP49" s="35"/>
      <c r="FQ49" s="35"/>
    </row>
    <row r="50" spans="1:173" s="321" customFormat="1" ht="13.35" customHeight="1" outlineLevel="1">
      <c r="A50" s="1168"/>
      <c r="C50" s="321" t="s">
        <v>108</v>
      </c>
      <c r="D50" s="926" t="s">
        <v>604</v>
      </c>
      <c r="E50" s="933">
        <f>SUM(E43:E49)</f>
        <v>0</v>
      </c>
      <c r="F50" s="933"/>
      <c r="G50" s="933"/>
      <c r="H50" s="933"/>
      <c r="I50" s="933"/>
      <c r="J50" s="933"/>
      <c r="K50" s="933"/>
      <c r="L50" s="933"/>
      <c r="M50" s="933"/>
      <c r="N50" s="933"/>
      <c r="O50" s="933"/>
      <c r="P50" s="933"/>
      <c r="Q50" s="933"/>
      <c r="R50" s="933"/>
      <c r="S50" s="933"/>
      <c r="T50" s="933"/>
      <c r="U50" s="933"/>
      <c r="V50" s="933"/>
      <c r="W50" s="933"/>
      <c r="X50" s="933"/>
      <c r="Y50" s="933"/>
      <c r="Z50" s="933"/>
      <c r="AA50" s="933"/>
      <c r="AB50" s="933"/>
      <c r="AC50" s="933"/>
      <c r="AD50" s="933"/>
      <c r="AE50" s="933"/>
      <c r="AF50" s="933"/>
      <c r="AG50" s="933"/>
      <c r="AH50" s="933"/>
      <c r="AI50" s="933"/>
      <c r="AJ50" s="933"/>
      <c r="AK50" s="933"/>
      <c r="AL50" s="933"/>
      <c r="AM50" s="933"/>
      <c r="AN50" s="933"/>
      <c r="AO50" s="933"/>
      <c r="AP50" s="933"/>
      <c r="AQ50" s="933"/>
      <c r="AR50" s="933"/>
      <c r="AS50" s="172"/>
      <c r="AT50" s="933"/>
      <c r="AU50" s="933"/>
      <c r="AV50" s="172"/>
      <c r="AW50" s="933"/>
      <c r="AX50" s="933"/>
      <c r="AY50" s="172"/>
      <c r="AZ50" s="933"/>
      <c r="BA50" s="172"/>
      <c r="BB50" s="172"/>
      <c r="BC50" s="917"/>
      <c r="BD50" s="172">
        <f>BD159</f>
        <v>0</v>
      </c>
      <c r="BE50" s="172">
        <f>BE159</f>
        <v>0</v>
      </c>
      <c r="BF50" s="917">
        <f>SUM(BD50:BE50)</f>
        <v>0</v>
      </c>
      <c r="BG50" s="172">
        <f>BG159</f>
        <v>0</v>
      </c>
      <c r="BH50" s="172">
        <f>BH159</f>
        <v>0</v>
      </c>
      <c r="BI50" s="917">
        <f>SUM(BG50:BH50)</f>
        <v>0</v>
      </c>
      <c r="BJ50" s="172">
        <f>BJ159</f>
        <v>0</v>
      </c>
      <c r="BK50" s="172">
        <f>BK159</f>
        <v>0</v>
      </c>
      <c r="BL50" s="917">
        <f>SUM(BJ50:BK50)</f>
        <v>0</v>
      </c>
      <c r="BM50" s="172">
        <f>BM159</f>
        <v>0</v>
      </c>
      <c r="BN50" s="172">
        <f>BN159</f>
        <v>0</v>
      </c>
      <c r="BO50" s="917">
        <f>SUM(BM50:BN50)</f>
        <v>0</v>
      </c>
      <c r="BP50" s="172">
        <f>BP159</f>
        <v>0</v>
      </c>
      <c r="BQ50" s="172">
        <f>BQ159</f>
        <v>0</v>
      </c>
      <c r="BR50" s="917">
        <f>SUM(BP50:BQ50)</f>
        <v>0</v>
      </c>
      <c r="BS50" s="172">
        <f>BS159</f>
        <v>0</v>
      </c>
      <c r="BT50" s="172">
        <f>BT159</f>
        <v>1.133</v>
      </c>
      <c r="BU50" s="172">
        <f t="shared" si="163"/>
        <v>1.133</v>
      </c>
      <c r="BV50" s="172">
        <f>BV159</f>
        <v>1.1499999999999999</v>
      </c>
      <c r="BW50" s="172">
        <f>BW159</f>
        <v>1.3599999999999999</v>
      </c>
      <c r="BX50" s="172">
        <f t="shared" si="164"/>
        <v>2.5099999999999998</v>
      </c>
      <c r="BY50" s="172">
        <f>BY159</f>
        <v>1.161</v>
      </c>
      <c r="BZ50" s="172">
        <f>BZ159</f>
        <v>1.92</v>
      </c>
      <c r="CA50" s="172">
        <f t="shared" si="165"/>
        <v>3.081</v>
      </c>
      <c r="CB50" s="172">
        <f>CB159</f>
        <v>8.2810000000000006</v>
      </c>
      <c r="CC50" s="172">
        <f>CC159</f>
        <v>0.78299999999999947</v>
      </c>
      <c r="CD50" s="172">
        <f t="shared" si="166"/>
        <v>9.0640000000000001</v>
      </c>
      <c r="CE50" s="172">
        <f>CE159</f>
        <v>6.7359999999999998</v>
      </c>
      <c r="CF50" s="172">
        <f>CF159</f>
        <v>0</v>
      </c>
      <c r="CG50" s="172">
        <f t="shared" si="167"/>
        <v>6.7359999999999998</v>
      </c>
      <c r="CH50" s="172">
        <v>-1.329</v>
      </c>
      <c r="CI50" s="172">
        <v>0.09</v>
      </c>
      <c r="CJ50" s="172">
        <f t="shared" si="168"/>
        <v>-1.2389999999999999</v>
      </c>
      <c r="CK50" s="172">
        <f>0.898-0.698</f>
        <v>0.20000000000000007</v>
      </c>
      <c r="CL50" s="172">
        <f>CL159</f>
        <v>-0.33600000000000019</v>
      </c>
      <c r="CM50" s="172">
        <f t="shared" si="169"/>
        <v>-0.13600000000000012</v>
      </c>
      <c r="CN50" s="172">
        <f>CN159</f>
        <v>0.71799999999999986</v>
      </c>
      <c r="CO50" s="172">
        <f>CO159</f>
        <v>-1.298</v>
      </c>
      <c r="CP50" s="172">
        <f t="shared" si="170"/>
        <v>-0.58000000000000018</v>
      </c>
      <c r="CQ50" s="172">
        <f>CQ159</f>
        <v>2.0859999999999999</v>
      </c>
      <c r="CR50" s="172">
        <f>CR159</f>
        <v>2.3420000000000001</v>
      </c>
      <c r="CS50" s="172">
        <f t="shared" si="171"/>
        <v>4.4279999999999999</v>
      </c>
      <c r="CT50" s="172">
        <f>CT159</f>
        <v>7.9370000000000003</v>
      </c>
      <c r="CU50" s="172">
        <f>CT50</f>
        <v>7.9370000000000003</v>
      </c>
      <c r="CV50" s="172">
        <f t="shared" si="172"/>
        <v>15.874000000000001</v>
      </c>
      <c r="CW50" s="172">
        <f>CW159</f>
        <v>5.0759999999999996</v>
      </c>
      <c r="CX50" s="172">
        <f>CX159</f>
        <v>-0.57599999999999874</v>
      </c>
      <c r="CY50" s="172">
        <f t="shared" si="173"/>
        <v>4.5000000000000009</v>
      </c>
      <c r="CZ50" s="172">
        <f>CZ159</f>
        <v>1.7000174731891753</v>
      </c>
      <c r="DA50" s="172">
        <f>DA159</f>
        <v>6.2999825268108243</v>
      </c>
      <c r="DB50" s="172">
        <f t="shared" si="174"/>
        <v>8</v>
      </c>
      <c r="DC50" s="172">
        <f>DC159</f>
        <v>8</v>
      </c>
      <c r="DD50" s="172">
        <f>DD159</f>
        <v>5.8000000000000007</v>
      </c>
      <c r="DE50" s="172">
        <f t="shared" si="175"/>
        <v>13.8</v>
      </c>
      <c r="DF50" s="172">
        <f>DF159</f>
        <v>6</v>
      </c>
      <c r="DG50" s="172">
        <f>DG159</f>
        <v>-26.4</v>
      </c>
      <c r="DH50" s="1060">
        <f t="shared" si="176"/>
        <v>-20.399999999999999</v>
      </c>
      <c r="DI50" s="172">
        <f>DI159</f>
        <v>-6</v>
      </c>
      <c r="DJ50" s="172">
        <f>DJ159</f>
        <v>9.9999999999999645E-2</v>
      </c>
      <c r="DK50" s="1060">
        <f t="shared" si="177"/>
        <v>-5.9</v>
      </c>
      <c r="DL50" s="889">
        <f>DL159</f>
        <v>5.0999999999999996</v>
      </c>
      <c r="DM50" s="889">
        <f>DM159</f>
        <v>8.7000000000000011</v>
      </c>
      <c r="DN50" s="1060">
        <f t="shared" si="178"/>
        <v>13.8</v>
      </c>
      <c r="DO50" s="889">
        <f>DO159</f>
        <v>-1.1000000000000001</v>
      </c>
      <c r="DP50" s="889">
        <f>DP159</f>
        <v>4.4000000000000004</v>
      </c>
      <c r="DQ50" s="1060">
        <f t="shared" si="179"/>
        <v>3.3000000000000003</v>
      </c>
      <c r="DR50" s="889">
        <f>DR159</f>
        <v>1.9</v>
      </c>
      <c r="DS50" s="889">
        <f>DS159</f>
        <v>4</v>
      </c>
      <c r="DT50" s="1060">
        <f t="shared" si="180"/>
        <v>5.9</v>
      </c>
      <c r="DU50" s="889">
        <f>DU159</f>
        <v>15.1</v>
      </c>
      <c r="DV50" s="889">
        <f>DV159</f>
        <v>9.7000000000000011</v>
      </c>
      <c r="DW50" s="1060">
        <f t="shared" si="181"/>
        <v>24.8</v>
      </c>
      <c r="DX50" s="889">
        <f>DX159</f>
        <v>9</v>
      </c>
      <c r="DY50" s="889">
        <f>DY159</f>
        <v>0</v>
      </c>
      <c r="DZ50" s="1060">
        <f t="shared" si="182"/>
        <v>9</v>
      </c>
      <c r="EA50" s="889">
        <f>EA159</f>
        <v>0</v>
      </c>
      <c r="EB50" s="889">
        <f>EB159</f>
        <v>0</v>
      </c>
      <c r="EC50" s="1060">
        <f t="shared" si="183"/>
        <v>0</v>
      </c>
      <c r="ED50" s="889">
        <f>ED159</f>
        <v>0</v>
      </c>
      <c r="EE50" s="889">
        <f>EE159</f>
        <v>0</v>
      </c>
      <c r="EF50" s="1060">
        <f t="shared" si="184"/>
        <v>0</v>
      </c>
      <c r="EG50" s="889">
        <f>EG159</f>
        <v>0</v>
      </c>
      <c r="EH50" s="889">
        <f>EH159</f>
        <v>0</v>
      </c>
      <c r="EI50" s="1060">
        <f t="shared" si="185"/>
        <v>0</v>
      </c>
      <c r="EJ50" s="889">
        <f>EJ159</f>
        <v>0</v>
      </c>
      <c r="EK50" s="889">
        <f>EK159</f>
        <v>0</v>
      </c>
      <c r="EL50" s="1060">
        <f t="shared" si="186"/>
        <v>0</v>
      </c>
      <c r="EM50" s="889">
        <f>EM159</f>
        <v>0</v>
      </c>
      <c r="EN50" s="889">
        <f>EN159</f>
        <v>0</v>
      </c>
      <c r="EO50" s="1060">
        <f t="shared" si="187"/>
        <v>0</v>
      </c>
      <c r="EP50" s="889">
        <f>EP159</f>
        <v>0</v>
      </c>
      <c r="EQ50" s="889">
        <f>EQ159</f>
        <v>0</v>
      </c>
      <c r="ER50" s="1060">
        <f t="shared" si="188"/>
        <v>0</v>
      </c>
      <c r="ES50" s="889">
        <f>ES159</f>
        <v>0</v>
      </c>
      <c r="ET50" s="889">
        <f>ET159</f>
        <v>0</v>
      </c>
      <c r="EU50" s="1060">
        <f t="shared" si="189"/>
        <v>0</v>
      </c>
      <c r="EV50" s="889">
        <f>EV159</f>
        <v>0</v>
      </c>
      <c r="EW50" s="889">
        <f>EW159</f>
        <v>0</v>
      </c>
      <c r="EX50" s="1060">
        <f t="shared" si="190"/>
        <v>0</v>
      </c>
      <c r="EY50" s="889">
        <f>EY159</f>
        <v>0</v>
      </c>
      <c r="EZ50" s="889">
        <f>EZ159</f>
        <v>0</v>
      </c>
      <c r="FA50" s="1060">
        <f t="shared" si="191"/>
        <v>0</v>
      </c>
      <c r="FB50" s="172"/>
      <c r="FC50" s="172"/>
      <c r="FD50" s="172"/>
      <c r="FG50" s="1007"/>
      <c r="FH50" s="172"/>
      <c r="FI50" s="172"/>
      <c r="FJ50" s="35"/>
      <c r="FK50" s="35"/>
      <c r="FL50" s="35"/>
      <c r="FM50" s="35"/>
      <c r="FN50" s="35"/>
      <c r="FO50" s="35"/>
      <c r="FP50" s="35"/>
      <c r="FQ50" s="35"/>
    </row>
    <row r="51" spans="1:173" s="321" customFormat="1" ht="13.35" customHeight="1" outlineLevel="1">
      <c r="A51" s="1168"/>
      <c r="B51" s="321" t="s">
        <v>158</v>
      </c>
      <c r="D51" s="926" t="s">
        <v>604</v>
      </c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C51" s="917"/>
      <c r="BD51" s="172">
        <f>BD49+BD50</f>
        <v>20.602999999999998</v>
      </c>
      <c r="BE51" s="172">
        <f>BE49+BE50</f>
        <v>11.297000000000001</v>
      </c>
      <c r="BF51" s="917">
        <f>SUM(BD51:BE51)</f>
        <v>31.9</v>
      </c>
      <c r="BG51" s="172">
        <f>BG49+BG50</f>
        <v>40.164999999999999</v>
      </c>
      <c r="BH51" s="172">
        <f>BH49+BH50</f>
        <v>39.984999999999992</v>
      </c>
      <c r="BI51" s="917">
        <f>SUM(BG51:BH51)</f>
        <v>80.149999999999991</v>
      </c>
      <c r="BJ51" s="172">
        <f>BJ49+BJ50</f>
        <v>50.678000000000004</v>
      </c>
      <c r="BK51" s="172">
        <f>BK49+BK50</f>
        <v>25.07</v>
      </c>
      <c r="BL51" s="917">
        <f>SUM(BJ51:BK51)</f>
        <v>75.748000000000005</v>
      </c>
      <c r="BM51" s="172">
        <f>BM49+BM50</f>
        <v>56.375999999999998</v>
      </c>
      <c r="BN51" s="172">
        <f>BN49+BN50</f>
        <v>52.605000000000004</v>
      </c>
      <c r="BO51" s="917">
        <f>SUM(BM51:BN51)</f>
        <v>108.98099999999999</v>
      </c>
      <c r="BP51" s="172">
        <f>BP49+BP50</f>
        <v>74.554000000000002</v>
      </c>
      <c r="BQ51" s="172">
        <f>BQ49+BQ50</f>
        <v>54.635999999999996</v>
      </c>
      <c r="BR51" s="917">
        <f>SUM(BP51:BQ51)</f>
        <v>129.19</v>
      </c>
      <c r="BS51" s="172">
        <f>BS49+BS50</f>
        <v>82.654936759857577</v>
      </c>
      <c r="BT51" s="172">
        <f>BT49+BT50</f>
        <v>83.814920663816352</v>
      </c>
      <c r="BU51" s="172">
        <f t="shared" si="163"/>
        <v>166.46985742367394</v>
      </c>
      <c r="BV51" s="172">
        <f>BV49+BV50</f>
        <v>87.901587279796161</v>
      </c>
      <c r="BW51" s="172">
        <f>BW49+BW50</f>
        <v>90.756929085758898</v>
      </c>
      <c r="BX51" s="172">
        <f t="shared" si="164"/>
        <v>178.65851636555504</v>
      </c>
      <c r="BY51" s="172">
        <f>BY49+BY50</f>
        <v>99.423570041277713</v>
      </c>
      <c r="BZ51" s="172">
        <f>BZ49+BZ50</f>
        <v>93.983903094117281</v>
      </c>
      <c r="CA51" s="172">
        <f t="shared" si="165"/>
        <v>193.40747313539498</v>
      </c>
      <c r="CB51" s="172">
        <f>CB49+CB50</f>
        <v>103.13772436462551</v>
      </c>
      <c r="CC51" s="172">
        <f>CC49+CC50</f>
        <v>117.52050001654064</v>
      </c>
      <c r="CD51" s="172">
        <f t="shared" si="166"/>
        <v>220.65822438116615</v>
      </c>
      <c r="CE51" s="172">
        <f>CE49+CE50</f>
        <v>120.00957692410726</v>
      </c>
      <c r="CF51" s="172">
        <f>CF49+CF50</f>
        <v>125.68929855021126</v>
      </c>
      <c r="CG51" s="172">
        <f t="shared" si="167"/>
        <v>245.69887547431853</v>
      </c>
      <c r="CH51" s="172">
        <f>CH49+CH50</f>
        <v>111.665040400854</v>
      </c>
      <c r="CI51" s="172">
        <f>CI49+CI50</f>
        <v>110.07570092879467</v>
      </c>
      <c r="CJ51" s="172">
        <f t="shared" si="168"/>
        <v>221.74074132964867</v>
      </c>
      <c r="CK51" s="172">
        <f>CK49+CK50</f>
        <v>110.52672396749232</v>
      </c>
      <c r="CL51" s="172">
        <f>CL49+CL50</f>
        <v>74.459226970198188</v>
      </c>
      <c r="CM51" s="172">
        <f t="shared" si="169"/>
        <v>184.98595093769052</v>
      </c>
      <c r="CN51" s="172">
        <f>CN49+CN50</f>
        <v>53.173691712504471</v>
      </c>
      <c r="CO51" s="172">
        <f>CO49+CO50</f>
        <v>103.9597948487265</v>
      </c>
      <c r="CP51" s="172">
        <f t="shared" si="170"/>
        <v>157.13348656123097</v>
      </c>
      <c r="CQ51" s="172">
        <f>CQ49+CQ50</f>
        <v>100.41838551046709</v>
      </c>
      <c r="CR51" s="172">
        <f>CR49+CR50</f>
        <v>106.02079012632893</v>
      </c>
      <c r="CS51" s="172">
        <f t="shared" si="171"/>
        <v>206.43917563679602</v>
      </c>
      <c r="CT51" s="172">
        <f>CT49+CT50</f>
        <v>151.27966945280016</v>
      </c>
      <c r="CU51" s="172">
        <f>CU49+CU50</f>
        <v>132.79376349686149</v>
      </c>
      <c r="CV51" s="172">
        <f t="shared" si="172"/>
        <v>284.07343294966165</v>
      </c>
      <c r="CW51" s="172">
        <f>CW49+CW50</f>
        <v>156.34225841861519</v>
      </c>
      <c r="CX51" s="172">
        <f>CX49+CX50</f>
        <v>159.2927157542652</v>
      </c>
      <c r="CY51" s="172">
        <f t="shared" si="173"/>
        <v>315.63497417288039</v>
      </c>
      <c r="CZ51" s="172">
        <f>CZ49+CZ50</f>
        <v>160.44475510590553</v>
      </c>
      <c r="DA51" s="172">
        <f>DA49+DA50</f>
        <v>185.13895435555355</v>
      </c>
      <c r="DB51" s="172">
        <f t="shared" si="174"/>
        <v>345.58370946145908</v>
      </c>
      <c r="DC51" s="172">
        <f>DC49+DC50</f>
        <v>178.46602786224886</v>
      </c>
      <c r="DD51" s="172">
        <f>DD49+DD50</f>
        <v>178.61612597375199</v>
      </c>
      <c r="DE51" s="172">
        <f t="shared" si="175"/>
        <v>357.08215383600088</v>
      </c>
      <c r="DF51" s="172">
        <f>DF49+DF50</f>
        <v>181.320882908638</v>
      </c>
      <c r="DG51" s="172">
        <f>DG49+DG50</f>
        <v>29.2604243674024</v>
      </c>
      <c r="DH51" s="1060">
        <f t="shared" si="176"/>
        <v>210.58130727604041</v>
      </c>
      <c r="DI51" s="172">
        <f>DI49+DI50</f>
        <v>182.42316089717755</v>
      </c>
      <c r="DJ51" s="172">
        <f>DJ49+DJ50</f>
        <v>159.47869439637412</v>
      </c>
      <c r="DK51" s="1060">
        <f t="shared" si="177"/>
        <v>341.90185529355165</v>
      </c>
      <c r="DL51" s="889">
        <f>DL49+DL50</f>
        <v>217.60000000000008</v>
      </c>
      <c r="DM51" s="889">
        <f>DM49+DM50</f>
        <v>165.03145999999992</v>
      </c>
      <c r="DN51" s="1060">
        <f t="shared" si="178"/>
        <v>382.63146</v>
      </c>
      <c r="DO51" s="889">
        <f>DO49+DO50</f>
        <v>185.74960999999996</v>
      </c>
      <c r="DP51" s="889">
        <f>DP49+DP50</f>
        <v>171.03374999999997</v>
      </c>
      <c r="DQ51" s="1060">
        <f t="shared" si="179"/>
        <v>356.7833599999999</v>
      </c>
      <c r="DR51" s="889">
        <f>DR49+DR50</f>
        <v>255.30520800000005</v>
      </c>
      <c r="DS51" s="889">
        <f>DS49+DS50</f>
        <v>312.21257599999996</v>
      </c>
      <c r="DT51" s="1060">
        <f t="shared" si="180"/>
        <v>567.51778400000001</v>
      </c>
      <c r="DU51" s="889">
        <f>DU49+DU50</f>
        <v>285.52828499999998</v>
      </c>
      <c r="DV51" s="889">
        <f>DV49+DV50</f>
        <v>263.70268499999997</v>
      </c>
      <c r="DW51" s="1060">
        <f t="shared" si="181"/>
        <v>549.23096999999996</v>
      </c>
      <c r="DX51" s="889">
        <f>DX49+DX50</f>
        <v>251.42040000000003</v>
      </c>
      <c r="DY51" s="889">
        <f>DY49+DY50</f>
        <v>291.55965361035788</v>
      </c>
      <c r="DZ51" s="1060">
        <f t="shared" si="182"/>
        <v>542.98005361035791</v>
      </c>
      <c r="EA51" s="889">
        <f>EA49+EA50</f>
        <v>325.30285956049943</v>
      </c>
      <c r="EB51" s="889">
        <f>EB49+EB50</f>
        <v>332.16981214318486</v>
      </c>
      <c r="EC51" s="1060">
        <f t="shared" si="183"/>
        <v>657.47267170368423</v>
      </c>
      <c r="ED51" s="889">
        <f>ED49+ED50</f>
        <v>364.43491265358603</v>
      </c>
      <c r="EE51" s="889">
        <f>EE49+EE50</f>
        <v>372.33462939269225</v>
      </c>
      <c r="EF51" s="1060">
        <f t="shared" si="184"/>
        <v>736.76954204627827</v>
      </c>
      <c r="EG51" s="889">
        <f>EG49+EG50</f>
        <v>411.48195808392057</v>
      </c>
      <c r="EH51" s="889">
        <f>EH49+EH50</f>
        <v>420.41568149614136</v>
      </c>
      <c r="EI51" s="1060">
        <f t="shared" si="185"/>
        <v>831.89763958006188</v>
      </c>
      <c r="EJ51" s="889">
        <f>EJ49+EJ50</f>
        <v>452.75263534720375</v>
      </c>
      <c r="EK51" s="889">
        <f>EK49+EK50</f>
        <v>462.47674664950921</v>
      </c>
      <c r="EL51" s="1060">
        <f t="shared" si="186"/>
        <v>915.22938199671296</v>
      </c>
      <c r="EM51" s="889">
        <f>EM49+EM50</f>
        <v>497.96736658403847</v>
      </c>
      <c r="EN51" s="889">
        <f>EN49+EN50</f>
        <v>508.55357234279626</v>
      </c>
      <c r="EO51" s="1060">
        <f t="shared" si="187"/>
        <v>1006.5209389268348</v>
      </c>
      <c r="EP51" s="889">
        <f>EP49+EP50</f>
        <v>556.4173076976241</v>
      </c>
      <c r="EQ51" s="889">
        <f>EQ49+EQ50</f>
        <v>568.202043438175</v>
      </c>
      <c r="ER51" s="1060">
        <f t="shared" si="188"/>
        <v>1124.6193511357992</v>
      </c>
      <c r="ES51" s="889">
        <f>ES49+ES50</f>
        <v>609.58647116882923</v>
      </c>
      <c r="ET51" s="889">
        <f>ET49+ET50</f>
        <v>622.34288714001866</v>
      </c>
      <c r="EU51" s="1060">
        <f t="shared" si="189"/>
        <v>1231.9293583088479</v>
      </c>
      <c r="EV51" s="889">
        <f>EV49+EV50</f>
        <v>667.65321485436914</v>
      </c>
      <c r="EW51" s="889">
        <f>EW49+EW50</f>
        <v>681.4631865664328</v>
      </c>
      <c r="EX51" s="1060">
        <f t="shared" si="190"/>
        <v>1349.116401420802</v>
      </c>
      <c r="EY51" s="889">
        <f>EY49+EY50</f>
        <v>731.06328550877345</v>
      </c>
      <c r="EZ51" s="889">
        <f>EZ49+EZ50</f>
        <v>746.01578696596619</v>
      </c>
      <c r="FA51" s="1060">
        <f t="shared" si="191"/>
        <v>1477.0790724747396</v>
      </c>
      <c r="FB51" s="172"/>
      <c r="FC51" s="172"/>
      <c r="FD51" s="172"/>
      <c r="FG51" s="1007"/>
      <c r="FH51" s="172"/>
      <c r="FI51" s="172"/>
      <c r="FJ51" s="35"/>
      <c r="FK51" s="35"/>
      <c r="FL51" s="35"/>
      <c r="FM51" s="35"/>
      <c r="FN51" s="35"/>
      <c r="FO51" s="35"/>
      <c r="FP51" s="35"/>
      <c r="FQ51" s="35"/>
    </row>
    <row r="52" spans="1:173" s="321" customFormat="1" ht="13.35" customHeight="1" outlineLevel="1">
      <c r="A52" s="1168"/>
      <c r="B52" s="928" t="s">
        <v>491</v>
      </c>
      <c r="D52" s="926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72"/>
      <c r="AA52" s="172"/>
      <c r="AB52" s="172"/>
      <c r="AC52" s="172"/>
      <c r="AD52" s="172"/>
      <c r="AE52" s="172"/>
      <c r="AF52" s="172"/>
      <c r="AG52" s="172"/>
      <c r="AH52" s="172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C52" s="917"/>
      <c r="BD52" s="172"/>
      <c r="BE52" s="172"/>
      <c r="BF52" s="917"/>
      <c r="BG52" s="172"/>
      <c r="BH52" s="172"/>
      <c r="BI52" s="917"/>
      <c r="BJ52" s="172"/>
      <c r="BK52" s="172"/>
      <c r="BL52" s="917"/>
      <c r="BM52" s="172"/>
      <c r="BN52" s="172"/>
      <c r="BO52" s="917"/>
      <c r="BP52" s="172"/>
      <c r="BQ52" s="172"/>
      <c r="BR52" s="917"/>
      <c r="BS52" s="172"/>
      <c r="BT52" s="172"/>
      <c r="BU52" s="176"/>
      <c r="BV52" s="173">
        <f>BV47/BV21</f>
        <v>0.2687222736003807</v>
      </c>
      <c r="BW52" s="173">
        <f>BW47/BW21</f>
        <v>0.28776613211787105</v>
      </c>
      <c r="BX52" s="172"/>
      <c r="BY52" s="173">
        <f>BY47/BY21</f>
        <v>0.27163406845519622</v>
      </c>
      <c r="BZ52" s="173">
        <f>BZ47/BZ21</f>
        <v>0.33463152307586747</v>
      </c>
      <c r="CA52" s="172"/>
      <c r="CB52" s="173"/>
      <c r="CC52" s="173"/>
      <c r="CD52" s="172"/>
      <c r="CE52" s="173"/>
      <c r="CF52" s="173"/>
      <c r="CG52" s="172"/>
      <c r="CH52" s="173"/>
      <c r="CI52" s="173"/>
      <c r="CJ52" s="172"/>
      <c r="CK52" s="176"/>
      <c r="CL52" s="173"/>
      <c r="CM52" s="177"/>
      <c r="CN52" s="172"/>
      <c r="CO52" s="172"/>
      <c r="CP52" s="172"/>
      <c r="CQ52" s="172"/>
      <c r="CR52" s="172"/>
      <c r="CS52" s="172"/>
      <c r="CT52" s="172"/>
      <c r="CU52" s="172"/>
      <c r="CV52" s="172"/>
      <c r="CW52" s="172"/>
      <c r="CX52" s="172"/>
      <c r="CY52" s="172"/>
      <c r="CZ52" s="304"/>
      <c r="DA52" s="304"/>
      <c r="DB52" s="172"/>
      <c r="DC52" s="172"/>
      <c r="DD52" s="172"/>
      <c r="DE52" s="172"/>
      <c r="DF52" s="172"/>
      <c r="DG52" s="172"/>
      <c r="DH52" s="1062"/>
      <c r="DI52" s="172"/>
      <c r="DJ52" s="172"/>
      <c r="DK52" s="1062"/>
      <c r="DL52" s="172"/>
      <c r="DM52" s="172"/>
      <c r="DN52" s="1062"/>
      <c r="DO52" s="172"/>
      <c r="DP52" s="172"/>
      <c r="DQ52" s="1062"/>
      <c r="DR52" s="172"/>
      <c r="DS52" s="172"/>
      <c r="DT52" s="1062"/>
      <c r="DU52" s="172"/>
      <c r="DV52" s="172"/>
      <c r="DW52" s="1062"/>
      <c r="DX52" s="172"/>
      <c r="DY52" s="172"/>
      <c r="DZ52" s="1062"/>
      <c r="EA52" s="172"/>
      <c r="EB52" s="172"/>
      <c r="EC52" s="1062"/>
      <c r="ED52" s="172"/>
      <c r="EE52" s="172"/>
      <c r="EF52" s="1062"/>
      <c r="EG52" s="172"/>
      <c r="EH52" s="172"/>
      <c r="EI52" s="1062"/>
      <c r="EJ52" s="172"/>
      <c r="EK52" s="172"/>
      <c r="EL52" s="1062"/>
      <c r="EM52" s="172"/>
      <c r="EN52" s="172"/>
      <c r="EO52" s="1062"/>
      <c r="EP52" s="172"/>
      <c r="EQ52" s="172"/>
      <c r="ER52" s="1062"/>
      <c r="ES52" s="172"/>
      <c r="ET52" s="172"/>
      <c r="EU52" s="1062"/>
      <c r="EV52" s="172"/>
      <c r="EW52" s="172"/>
      <c r="EX52" s="1062"/>
      <c r="EY52" s="172"/>
      <c r="EZ52" s="172"/>
      <c r="FA52" s="1062"/>
      <c r="FB52" s="261"/>
      <c r="FC52" s="261"/>
      <c r="FD52" s="261"/>
      <c r="FE52" s="261"/>
      <c r="FF52" s="261"/>
      <c r="FG52" s="261"/>
      <c r="FH52" s="261"/>
      <c r="FI52" s="261"/>
      <c r="FJ52" s="35"/>
      <c r="FK52" s="35"/>
      <c r="FL52" s="35"/>
      <c r="FM52" s="35"/>
      <c r="FN52" s="35"/>
      <c r="FO52" s="35"/>
      <c r="FP52" s="35"/>
      <c r="FQ52" s="35"/>
    </row>
    <row r="53" spans="1:173" s="321" customFormat="1" ht="13.35" customHeight="1" outlineLevel="1">
      <c r="A53" s="1168"/>
      <c r="B53" s="331" t="s">
        <v>214</v>
      </c>
      <c r="D53" s="926" t="s">
        <v>460</v>
      </c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 t="str">
        <f t="shared" ref="AR53:AS56" si="192">IF(ISERROR((AR42-AO42)/AO42),"",(AR42-AO42)/AO42)</f>
        <v/>
      </c>
      <c r="AS53" s="175" t="str">
        <f t="shared" si="192"/>
        <v/>
      </c>
      <c r="AT53" s="175"/>
      <c r="AU53" s="175"/>
      <c r="AV53" s="175"/>
      <c r="AW53" s="175"/>
      <c r="AX53" s="175" t="str">
        <f t="shared" ref="AX53:AZ56" si="193">IF(ISERROR((AX42-AU42)/AU42),"",(AX42-AU42)/AU42)</f>
        <v/>
      </c>
      <c r="AY53" s="175" t="str">
        <f t="shared" si="193"/>
        <v/>
      </c>
      <c r="AZ53" s="175" t="str">
        <f t="shared" si="193"/>
        <v/>
      </c>
      <c r="BA53" s="175"/>
      <c r="BB53" s="175"/>
      <c r="BC53" s="929"/>
      <c r="BD53" s="175" t="str">
        <f t="shared" ref="BD53:BD62" si="194">IF(ISERROR((BD42-BA42)/BA42),"",(BD42-BA42)/BA42)</f>
        <v/>
      </c>
      <c r="BE53" s="175" t="str">
        <f t="shared" ref="BE53:BE62" si="195">IF(ISERROR((BE42-BB42)/BB42),"",(BE42-BB42)/BB42)</f>
        <v/>
      </c>
      <c r="BF53" s="929" t="str">
        <f t="shared" ref="BF53:BF62" si="196">IF(ISERROR((BF42-BC42)/BC42),"",(BF42-BC42)/BC42)</f>
        <v/>
      </c>
      <c r="BG53" s="175">
        <f t="shared" ref="BG53:BG62" si="197">IF(ISERROR((BG42-BD42)/BD42),"",(BG42-BD42)/BD42)</f>
        <v>0.20681966823235629</v>
      </c>
      <c r="BH53" s="175">
        <f t="shared" ref="BH53:BH62" si="198">IF(ISERROR((BH42-BE42)/BE42),"",(BH42-BE42)/BE42)</f>
        <v>-5.2417006406522929E-2</v>
      </c>
      <c r="BI53" s="929">
        <f t="shared" ref="BI53:BI62" si="199">IF(ISERROR((BI42-BF42)/BF42),"",(BI42-BF42)/BF42)</f>
        <v>6.9694169047219021E-2</v>
      </c>
      <c r="BJ53" s="175">
        <f t="shared" ref="BJ53:BJ62" si="200">IF(ISERROR((BJ42-BG42)/BG42),"",(BJ42-BG42)/BG42)</f>
        <v>-0.37186845670649088</v>
      </c>
      <c r="BK53" s="175">
        <f t="shared" ref="BK53:BK62" si="201">IF(ISERROR((BK42-BH42)/BH42),"",(BK42-BH42)/BH42)</f>
        <v>-0.6030619656925742</v>
      </c>
      <c r="BL53" s="929">
        <f t="shared" ref="BL53:BL62" si="202">IF(ISERROR((BL42-BI42)/BI42),"",(BL42-BI42)/BI42)</f>
        <v>-0.48020002879995805</v>
      </c>
      <c r="BM53" s="175">
        <f t="shared" ref="BM53:BM62" si="203">IF(ISERROR((BM42-BJ42)/BJ42),"",(BM42-BJ42)/BJ42)</f>
        <v>0.68230126671634161</v>
      </c>
      <c r="BN53" s="175">
        <f t="shared" ref="BN53:BN62" si="204">IF(ISERROR((BN42-BK42)/BK42),"",(BN42-BK42)/BK42)</f>
        <v>1.214527027027027</v>
      </c>
      <c r="BO53" s="929">
        <f t="shared" ref="BO53:BO62" si="205">IF(ISERROR((BO42-BL42)/BL42),"",(BO42-BL42)/BL42)</f>
        <v>0.87274284131261493</v>
      </c>
      <c r="BP53" s="175">
        <f t="shared" ref="BP53:BP62" si="206">IF(ISERROR((BP42-BM42)/BM42),"",(BP42-BM42)/BM42)</f>
        <v>0.50381145534652783</v>
      </c>
      <c r="BQ53" s="175">
        <f t="shared" ref="BQ53:BQ62" si="207">IF(ISERROR((BQ42-BN42)/BN42),"",(BQ42-BN42)/BN42)</f>
        <v>0.44053521484871577</v>
      </c>
      <c r="BR53" s="929">
        <f t="shared" ref="BR53:BR62" si="208">IF(ISERROR((BR42-BO42)/BO42),"",(BR42-BO42)/BO42)</f>
        <v>0.47703769449039141</v>
      </c>
      <c r="BS53" s="175">
        <f t="shared" ref="BS53:BS62" si="209">IF(ISERROR((BS42-BP42)/BP42),"",(BS42-BP42)/BP42)</f>
        <v>0.34442598233507737</v>
      </c>
      <c r="BT53" s="175">
        <f t="shared" ref="BT53:BT62" si="210">IF(ISERROR((BT42-BQ42)/BQ42),"",(BT42-BQ42)/BQ42)</f>
        <v>0.69306377550041154</v>
      </c>
      <c r="BU53" s="175">
        <f t="shared" ref="BU53:BU62" si="211">IF(ISERROR((BU42-BR42)/BR42),"",(BU42-BR42)/BR42)</f>
        <v>0.48829771581668363</v>
      </c>
      <c r="BV53" s="175">
        <f t="shared" ref="BV53:BV62" si="212">IF(ISERROR((BV42-BS42)/BS42),"",(BV42-BS42)/BS42)</f>
        <v>-3.794868631775225E-2</v>
      </c>
      <c r="BW53" s="175">
        <f t="shared" ref="BW53:BW62" si="213">IF(ISERROR((BW42-BT42)/BT42),"",(BW42-BT42)/BT42)</f>
        <v>0.18559493522366929</v>
      </c>
      <c r="BX53" s="175">
        <f t="shared" ref="BX53:BX62" si="214">IF(ISERROR((BX42-BU42)/BU42),"",(BX42-BU42)/BU42)</f>
        <v>6.6992700089137935E-2</v>
      </c>
      <c r="BY53" s="175">
        <f t="shared" ref="BY53:BY62" si="215">IF(ISERROR((BY42-BV42)/BV42),"",(BY42-BV42)/BV42)</f>
        <v>0.25300183677631816</v>
      </c>
      <c r="BZ53" s="175">
        <f t="shared" ref="BZ53:BZ62" si="216">IF(ISERROR((BZ42-BW42)/BW42),"",(BZ42-BW42)/BW42)</f>
        <v>0.46942082257759027</v>
      </c>
      <c r="CA53" s="175">
        <f t="shared" ref="CA53:CA62" si="217">IF(ISERROR((CA42-BX42)/BX42),"",(CA42-BX42)/BX42)</f>
        <v>0.36589165134155183</v>
      </c>
      <c r="CB53" s="175">
        <f t="shared" ref="CB53:CB62" si="218">IF(ISERROR((CB42-BY42)/BY42),"",(CB42-BY42)/BY42)</f>
        <v>0.48339910362869937</v>
      </c>
      <c r="CC53" s="175">
        <f t="shared" ref="CC53:CC62" si="219">IF(ISERROR((CC42-BZ42)/BZ42),"",(CC42-BZ42)/BZ42)</f>
        <v>0.2907578058922452</v>
      </c>
      <c r="CD53" s="175">
        <f t="shared" ref="CD53:CD62" si="220">IF(ISERROR((CD42-CA42)/CA42),"",(CD42-CA42)/CA42)</f>
        <v>0.37529585712937052</v>
      </c>
      <c r="CE53" s="175">
        <f t="shared" ref="CE53:CE62" si="221">IF(ISERROR((CE42-CB42)/CB42),"",(CE42-CB42)/CB42)</f>
        <v>2.3912833493228276E-2</v>
      </c>
      <c r="CF53" s="175">
        <f t="shared" ref="CF53:CF62" si="222">IF(ISERROR((CF42-CC42)/CC42),"",(CF42-CC42)/CC42)</f>
        <v>-5.1065364808242017E-2</v>
      </c>
      <c r="CG53" s="175">
        <f t="shared" ref="CG53:CG62" si="223">IF(ISERROR((CG42-CD42)/CD42),"",(CG42-CD42)/CD42)</f>
        <v>-1.5575878366855402E-2</v>
      </c>
      <c r="CH53" s="175">
        <f t="shared" ref="CH53:CH62" si="224">IF(ISERROR((CH42-CE42)/CE42),"",(CH42-CE42)/CE42)</f>
        <v>9.7602567887923423E-3</v>
      </c>
      <c r="CI53" s="175">
        <f t="shared" ref="CI53:CI62" si="225">IF(ISERROR((CI42-CF42)/CF42),"",(CI42-CF42)/CF42)</f>
        <v>-1.6377981716885391E-2</v>
      </c>
      <c r="CJ53" s="175">
        <f t="shared" ref="CJ53:CJ62" si="226">IF(ISERROR((CJ42-CG42)/CG42),"",(CJ42-CG42)/CG42)</f>
        <v>-3.5096641305063627E-3</v>
      </c>
      <c r="CK53" s="175">
        <f t="shared" ref="CK53:CK62" si="227">IF(ISERROR((CK42-CH42)/CH42),"",(CK42-CH42)/CH42)</f>
        <v>8.1953370410667817E-2</v>
      </c>
      <c r="CL53" s="175">
        <f t="shared" ref="CL53:CL62" si="228">IF(ISERROR((CL42-CI42)/CI42),"",(CL42-CI42)/CI42)</f>
        <v>-7.3973892971627236E-2</v>
      </c>
      <c r="CM53" s="175">
        <f t="shared" ref="CM53:CM62" si="229">IF(ISERROR((CM42-CJ42)/CJ42),"",(CM42-CJ42)/CJ42)</f>
        <v>3.814122703571518E-3</v>
      </c>
      <c r="CN53" s="175">
        <f t="shared" ref="CN53:CN62" si="230">IF(ISERROR((CN42-CK42)/CK42),"",(CN42-CK42)/CK42)</f>
        <v>-0.14932701904625437</v>
      </c>
      <c r="CO53" s="175">
        <f t="shared" ref="CO53:CO62" si="231">IF(ISERROR((CO42-CL42)/CL42),"",(CO42-CL42)/CL42)</f>
        <v>0.4218945342042158</v>
      </c>
      <c r="CP53" s="175">
        <f t="shared" ref="CP53:CP62" si="232">IF(ISERROR((CP42-CM42)/CM42),"",(CP42-CM42)/CM42)</f>
        <v>0.11474457309867066</v>
      </c>
      <c r="CQ53" s="175">
        <f t="shared" ref="CQ53:CQ62" si="233">IF(ISERROR((CQ42-CN42)/CN42),"",(CQ42-CN42)/CN42)</f>
        <v>0.35818924659011431</v>
      </c>
      <c r="CR53" s="175">
        <f t="shared" ref="CR53:CR62" si="234">IF(ISERROR((CR42-CO42)/CO42),"",(CR42-CO42)/CO42)</f>
        <v>5.5498710374062572E-2</v>
      </c>
      <c r="CS53" s="175">
        <f t="shared" ref="CS53:CS62" si="235">IF(ISERROR((CS42-CP42)/CP42),"",(CS42-CP42)/CP42)</f>
        <v>0.17970168402480877</v>
      </c>
      <c r="CT53" s="175">
        <f t="shared" ref="CT53:CT62" si="236">IF(ISERROR((CT42-CQ42)/CQ42),"",(CT42-CQ42)/CQ42)</f>
        <v>0.41925970564857856</v>
      </c>
      <c r="CU53" s="175">
        <f t="shared" ref="CU53:CU62" si="237">IF(ISERROR((CU42-CR42)/CR42),"",(CU42-CR42)/CR42)</f>
        <v>0.15121868337972375</v>
      </c>
      <c r="CV53" s="175">
        <f t="shared" ref="CV53:CV62" si="238">IF(ISERROR((CV42-CS42)/CS42),"",(CV42-CS42)/CS42)</f>
        <v>0.27784457165385729</v>
      </c>
      <c r="CW53" s="175">
        <f t="shared" ref="CW53:CW62" si="239">IF(ISERROR((CW42-CT42)/CT42),"",(CW42-CT42)/CT42)</f>
        <v>-3.6843735812721025E-2</v>
      </c>
      <c r="CX53" s="175">
        <f t="shared" ref="CX53:CX62" si="240">IF(ISERROR((CX42-CU42)/CU42),"",(CX42-CU42)/CU42)</f>
        <v>0.12246292300445065</v>
      </c>
      <c r="CY53" s="175">
        <f t="shared" ref="CY53:CY62" si="241">IF(ISERROR((CY42-CV42)/CV42),"",(CY42-CV42)/CV42)</f>
        <v>3.8875870931059764E-2</v>
      </c>
      <c r="CZ53" s="175">
        <f t="shared" ref="CZ53:CZ62" si="242">IF(ISERROR((CZ42-CW42)/CW42),"",(CZ42-CW42)/CW42)</f>
        <v>5.8687533408821158E-2</v>
      </c>
      <c r="DA53" s="175">
        <f t="shared" ref="DA53:DA62" si="243">IF(ISERROR((DA42-CX42)/CX42),"",(DA42-CX42)/CX42)</f>
        <v>0.16486053380880059</v>
      </c>
      <c r="DB53" s="175">
        <f t="shared" ref="DB53:DB62" si="244">IF(ISERROR((DB42-CY42)/CY42),"",(DB42-CY42)/CY42)</f>
        <v>0.11321268178488789</v>
      </c>
      <c r="DC53" s="175">
        <f t="shared" ref="DC53:DC62" si="245">IF(ISERROR((DC42-CZ42)/CZ42),"",(DC42-CZ42)/CZ42)</f>
        <v>0.16827877472831565</v>
      </c>
      <c r="DD53" s="175">
        <f t="shared" ref="DD53:DD62" si="246">IF(ISERROR((DD42-DA42)/DA42),"",(DD42-DA42)/DA42)</f>
        <v>4.4875966766344727E-2</v>
      </c>
      <c r="DE53" s="175">
        <f t="shared" ref="DE53:DE62" si="247">IF(ISERROR((DE42-DB42)/DB42),"",(DE42-DB42)/DB42)</f>
        <v>0.10196502381373564</v>
      </c>
      <c r="DF53" s="175">
        <f t="shared" ref="DF53:DF62" si="248">IF(ISERROR((DF42-DC42)/DC42),"",(DF42-DC42)/DC42)</f>
        <v>7.2492823215246152E-2</v>
      </c>
      <c r="DG53" s="175">
        <f t="shared" ref="DG53:DG62" si="249">IF(ISERROR((DG42-DD42)/DD42),"",(DG42-DD42)/DD42)</f>
        <v>-0.3572609855266432</v>
      </c>
      <c r="DH53" s="1082">
        <f t="shared" ref="DH53:DH62" si="250">IF(ISERROR((DH42-DE42)/DE42),"",(DH42-DE42)/DE42)</f>
        <v>-0.14648252007348489</v>
      </c>
      <c r="DI53" s="175">
        <f t="shared" ref="DI53:DI62" si="251">IF(ISERROR((DI42-DF42)/DF42),"",(DI42-DF42)/DF42)</f>
        <v>-3.9759041985929569E-2</v>
      </c>
      <c r="DJ53" s="175">
        <f t="shared" ref="DJ53:DJ62" si="252">IF(ISERROR((DJ42-DG42)/DG42),"",(DJ42-DG42)/DG42)</f>
        <v>0.48750921809113451</v>
      </c>
      <c r="DK53" s="1082">
        <f t="shared" ref="DK53:DK62" si="253">IF(ISERROR((DK42-DH42)/DH42),"",(DK42-DH42)/DH42)</f>
        <v>0.16255654953991347</v>
      </c>
      <c r="DL53" s="1003">
        <f t="shared" ref="DL53:DL62" si="254">IF(ISERROR((DL42-DI42)/DI42),"",(DL42-DI42)/DI42)</f>
        <v>0.14068767908309462</v>
      </c>
      <c r="DM53" s="1003">
        <f t="shared" ref="DM53:DM62" si="255">IF(ISERROR((DM42-DJ42)/DJ42),"",(DM42-DJ42)/DJ42)</f>
        <v>0.13695781342840138</v>
      </c>
      <c r="DN53" s="1082">
        <f t="shared" ref="DN53:DN62" si="256">IF(ISERROR((DN42-DK42)/DK42),"",(DN42-DK42)/DK42)</f>
        <v>0.13885647607934645</v>
      </c>
      <c r="DO53" s="1003">
        <f t="shared" ref="DO53:DO62" si="257">IF(ISERROR((DO42-DL42)/DL42),"",(DO42-DL42)/DL42)</f>
        <v>4.6721929163526667E-2</v>
      </c>
      <c r="DP53" s="1003">
        <f t="shared" ref="DP53:DP62" si="258">IF(ISERROR((DP42-DM42)/DM42),"",(DP42-DM42)/DM42)</f>
        <v>0.3182649594983018</v>
      </c>
      <c r="DQ53" s="1082">
        <f t="shared" ref="DQ53:DQ62" si="259">IF(ISERROR((DQ42-DN42)/DN42),"",(DQ42-DN42)/DN42)</f>
        <v>0.17981557377049193</v>
      </c>
      <c r="DR53" s="1003">
        <f t="shared" ref="DR53:DR62" si="260">IF(ISERROR((DR42-DO42)/DO42),"",(DR42-DO42)/DO42)</f>
        <v>0.24742020638348952</v>
      </c>
      <c r="DS53" s="1003">
        <f t="shared" ref="DS53:DS62" si="261">IF(ISERROR((DS42-DP42)/DP42),"",(DS42-DP42)/DP42)</f>
        <v>0.13875123885034688</v>
      </c>
      <c r="DT53" s="1082">
        <f t="shared" ref="DT53:DT62" si="262">IF(ISERROR((DT42-DQ42)/DQ42),"",(DT42-DQ42)/DQ42)</f>
        <v>0.18790707772470705</v>
      </c>
      <c r="DU53" s="1003">
        <f t="shared" ref="DU53:DU62" si="263">IF(ISERROR((DU42-DR42)/DR42),"",(DU42-DR42)/DR42)</f>
        <v>2.9242016160061429E-2</v>
      </c>
      <c r="DV53" s="1003">
        <f t="shared" ref="DV53:DV58" si="264">IF(ISERROR((DV42-DS42)/DS42),"",(DV42-DS42)/DS42)</f>
        <v>-6.196692776327245E-2</v>
      </c>
      <c r="DW53" s="1082">
        <f t="shared" ref="DW53:DX62" si="265">IF(ISERROR((DW42-DT42)/DT42),"",(DW42-DT42)/DT42)</f>
        <v>-1.8642054281275782E-2</v>
      </c>
      <c r="DX53" s="1003">
        <f t="shared" si="265"/>
        <v>-2.2990654205607391E-2</v>
      </c>
      <c r="DY53" s="1003">
        <f t="shared" ref="DY53:DY62" si="266">IF(ISERROR((DY42-DV42)/DV42),"",(DY42-DV42)/DV42)</f>
        <v>0.10463351980634571</v>
      </c>
      <c r="DZ53" s="1082">
        <f t="shared" ref="DZ53:DZ62" si="267">IF(ISERROR((DZ42-DW42)/DW42),"",(DZ42-DW42)/DW42)</f>
        <v>4.1053174246801036E-2</v>
      </c>
      <c r="EA53" s="1003">
        <f t="shared" ref="EA53:EA62" si="268">IF(ISERROR((EA42-DX42)/DX42),"",(EA42-DX42)/DX42)</f>
        <v>0.21739638518091961</v>
      </c>
      <c r="EB53" s="1003">
        <f t="shared" ref="EB53:EB62" si="269">IF(ISERROR((EB42-DY42)/DY42),"",(EB42-DY42)/DY42)</f>
        <v>9.6913976204568153E-2</v>
      </c>
      <c r="EC53" s="1082">
        <f t="shared" ref="EC53:EC62" si="270">IF(ISERROR((EC42-DZ42)/DZ42),"",(EC42-DZ42)/DZ42)</f>
        <v>0.15324392901846803</v>
      </c>
      <c r="ED53" s="1003">
        <f t="shared" ref="ED53:ED62" si="271">IF(ISERROR((ED42-EA42)/EA42),"",(ED42-EA42)/EA42)</f>
        <v>0.10145845972133498</v>
      </c>
      <c r="EE53" s="1003">
        <f t="shared" ref="EE53:EE62" si="272">IF(ISERROR((EE42-EB42)/EB42),"",(EE42-EB42)/EB42)</f>
        <v>0.10141708845804374</v>
      </c>
      <c r="EF53" s="1082">
        <f t="shared" ref="EF53:EF62" si="273">IF(ISERROR((EF42-EC42)/EC42),"",(EF42-EC42)/EC42)</f>
        <v>0.10143750702969044</v>
      </c>
      <c r="EG53" s="1003">
        <f t="shared" ref="EG53:EG62" si="274">IF(ISERROR((EG42-ED42)/ED42),"",(EG42-ED42)/ED42)</f>
        <v>9.859617697397062E-2</v>
      </c>
      <c r="EH53" s="1003">
        <f t="shared" ref="EH53:EH62" si="275">IF(ISERROR((EH42-EE42)/EE42),"",(EH42-EE42)/EE42)</f>
        <v>9.8472848092019685E-2</v>
      </c>
      <c r="EI53" s="1082">
        <f t="shared" ref="EI53:EI62" si="276">IF(ISERROR((EI42-EF42)/EF42),"",(EI42-EF42)/EF42)</f>
        <v>9.8533717577640831E-2</v>
      </c>
      <c r="EJ53" s="1003">
        <f t="shared" ref="EJ53:EJ62" si="277">IF(ISERROR((EJ42-EG42)/EG42),"",(EJ42-EG42)/EG42)</f>
        <v>9.5502988497049385E-2</v>
      </c>
      <c r="EK53" s="1003">
        <f t="shared" ref="EK53:EK62" si="278">IF(ISERROR((EK42-EH42)/EH42),"",(EK42-EH42)/EH42)</f>
        <v>9.5346236997583766E-2</v>
      </c>
      <c r="EL53" s="1082">
        <f t="shared" ref="EL53:EL62" si="279">IF(ISERROR((EL42-EI42)/EI42),"",(EL42-EI42)/EI42)</f>
        <v>9.5423606754666462E-2</v>
      </c>
      <c r="EM53" s="1003">
        <f t="shared" ref="EM53:EM62" si="280">IF(ISERROR((EM42-EJ42)/EJ42),"",(EM42-EJ42)/EJ42)</f>
        <v>9.5295550252884803E-2</v>
      </c>
      <c r="EN53" s="1003">
        <f t="shared" ref="EN53:EN62" si="281">IF(ISERROR((EN42-EK42)/EK42),"",(EN42-EK42)/EK42)</f>
        <v>9.5146959330946426E-2</v>
      </c>
      <c r="EO53" s="1082">
        <f t="shared" ref="EO53:EO62" si="282">IF(ISERROR((EO42-EL42)/EL42),"",(EO42-EL42)/EL42)</f>
        <v>9.5220306486690789E-2</v>
      </c>
      <c r="EP53" s="1003">
        <f t="shared" ref="EP53:EP62" si="283">IF(ISERROR((EP42-EM42)/EM42),"",(EP42-EM42)/EM42)</f>
        <v>9.3229703943382855E-2</v>
      </c>
      <c r="EQ53" s="1003">
        <f t="shared" ref="EQ53:EQ62" si="284">IF(ISERROR((EQ42-EN42)/EN42),"",(EQ42-EN42)/EN42)</f>
        <v>9.3060477441751902E-2</v>
      </c>
      <c r="ER53" s="1082">
        <f t="shared" ref="ER53:ER62" si="285">IF(ISERROR((ER42-EO42)/EO42),"",(ER42-EO42)/EO42)</f>
        <v>9.3144016430252968E-2</v>
      </c>
      <c r="ES53" s="1003">
        <f t="shared" ref="ES53:ES58" si="286">IF(ISERROR((ES42-EP42)/EP42),"",(ES42-EP42)/EP42)</f>
        <v>9.3060815013147419E-2</v>
      </c>
      <c r="ET53" s="1003">
        <f t="shared" ref="ET53:ET58" si="287">IF(ISERROR((ET42-EQ42)/EQ42),"",(ET42-EQ42)/EQ42)</f>
        <v>9.289866486662926E-2</v>
      </c>
      <c r="EU53" s="1082">
        <f t="shared" ref="EU53:EU58" si="288">IF(ISERROR((EU42-ER42)/ER42),"",(EU42-ER42)/ER42)</f>
        <v>9.2978716873286779E-2</v>
      </c>
      <c r="EV53" s="1003">
        <f t="shared" ref="EV53:EV58" si="289">IF(ISERROR((EV42-ES42)/ES42),"",(EV42-ES42)/ES42)</f>
        <v>9.2901989962389631E-2</v>
      </c>
      <c r="EW53" s="1003">
        <f t="shared" ref="EW53:EW58" si="290">IF(ISERROR((EW42-ET42)/ET42),"",(EW42-ET42)/ET42)</f>
        <v>9.2746591714816362E-2</v>
      </c>
      <c r="EX53" s="1082">
        <f t="shared" ref="EX53:EX58" si="291">IF(ISERROR((EX42-EU42)/EU42),"",(EX42-EU42)/EU42)</f>
        <v>9.282331613494009E-2</v>
      </c>
      <c r="EY53" s="1003">
        <f t="shared" ref="EY53:EY58" si="292">IF(ISERROR((EY42-EV42)/EV42),"",(EY42-EV42)/EV42)</f>
        <v>9.2752536538604394E-2</v>
      </c>
      <c r="EZ53" s="1003">
        <f t="shared" ref="EZ53:EZ58" si="293">IF(ISERROR((EZ42-EW42)/EW42),"",(EZ42-EW42)/EW42)</f>
        <v>9.2603584026876129E-2</v>
      </c>
      <c r="FA53" s="1082">
        <f t="shared" ref="FA53:FA58" si="294">IF(ISERROR((FA42-EX42)/EX42),"",(FA42-EX42)/EX42)</f>
        <v>9.2677131303021423E-2</v>
      </c>
      <c r="FB53" s="1003"/>
      <c r="FC53" s="1003"/>
      <c r="FD53" s="1003"/>
      <c r="FG53" s="1008"/>
      <c r="FH53" s="1003"/>
      <c r="FI53" s="1003"/>
      <c r="FJ53" s="35"/>
      <c r="FK53" s="35"/>
      <c r="FL53" s="35"/>
      <c r="FM53" s="35"/>
      <c r="FN53" s="35"/>
      <c r="FO53" s="35"/>
      <c r="FP53" s="35"/>
      <c r="FQ53" s="35"/>
    </row>
    <row r="54" spans="1:173" s="321" customFormat="1" ht="13.35" customHeight="1" outlineLevel="1">
      <c r="A54" s="1168"/>
      <c r="B54" s="321" t="s">
        <v>626</v>
      </c>
      <c r="C54" s="186" t="s">
        <v>316</v>
      </c>
      <c r="D54" s="926" t="s">
        <v>460</v>
      </c>
      <c r="E54" s="175" t="str">
        <f>IF(ISERROR(#REF!/#REF!),"",#REF!/#REF!)</f>
        <v/>
      </c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 t="str">
        <f t="shared" si="192"/>
        <v/>
      </c>
      <c r="AS54" s="175" t="str">
        <f t="shared" si="192"/>
        <v/>
      </c>
      <c r="AT54" s="175"/>
      <c r="AU54" s="175"/>
      <c r="AV54" s="175"/>
      <c r="AW54" s="175"/>
      <c r="AX54" s="175" t="str">
        <f t="shared" si="193"/>
        <v/>
      </c>
      <c r="AY54" s="175" t="str">
        <f t="shared" si="193"/>
        <v/>
      </c>
      <c r="AZ54" s="175" t="str">
        <f t="shared" si="193"/>
        <v/>
      </c>
      <c r="BA54" s="175"/>
      <c r="BB54" s="175"/>
      <c r="BC54" s="929"/>
      <c r="BD54" s="175" t="str">
        <f t="shared" si="194"/>
        <v/>
      </c>
      <c r="BE54" s="175" t="str">
        <f t="shared" si="195"/>
        <v/>
      </c>
      <c r="BF54" s="929" t="str">
        <f t="shared" si="196"/>
        <v/>
      </c>
      <c r="BG54" s="175">
        <f t="shared" si="197"/>
        <v>0.41593438781487996</v>
      </c>
      <c r="BH54" s="175">
        <f t="shared" si="198"/>
        <v>-0.1126990855689457</v>
      </c>
      <c r="BI54" s="929">
        <f t="shared" si="199"/>
        <v>0.14208181704103401</v>
      </c>
      <c r="BJ54" s="175">
        <f t="shared" si="200"/>
        <v>-0.47933618351491747</v>
      </c>
      <c r="BK54" s="175">
        <f t="shared" si="201"/>
        <v>-1.1655064155064156</v>
      </c>
      <c r="BL54" s="929">
        <f t="shared" si="202"/>
        <v>-0.75550061804697155</v>
      </c>
      <c r="BM54" s="175">
        <f t="shared" si="203"/>
        <v>0.253840720466184</v>
      </c>
      <c r="BN54" s="175">
        <f t="shared" si="204"/>
        <v>-5.391340206185566</v>
      </c>
      <c r="BO54" s="929">
        <f t="shared" si="205"/>
        <v>1.7918211436917202</v>
      </c>
      <c r="BP54" s="175">
        <f t="shared" si="206"/>
        <v>1.040842194211675</v>
      </c>
      <c r="BQ54" s="175">
        <f t="shared" si="207"/>
        <v>1.1676213728988634</v>
      </c>
      <c r="BR54" s="929">
        <f t="shared" si="208"/>
        <v>1.0951710261569414</v>
      </c>
      <c r="BS54" s="175">
        <f t="shared" si="209"/>
        <v>0.46199626300646995</v>
      </c>
      <c r="BT54" s="175">
        <f t="shared" si="210"/>
        <v>0.6197684713666396</v>
      </c>
      <c r="BU54" s="175">
        <f t="shared" si="211"/>
        <v>0.53194451779524932</v>
      </c>
      <c r="BV54" s="175">
        <f t="shared" si="212"/>
        <v>-0.18055022594142858</v>
      </c>
      <c r="BW54" s="175">
        <f t="shared" si="213"/>
        <v>-4.5087838353867669E-2</v>
      </c>
      <c r="BX54" s="175">
        <f t="shared" si="214"/>
        <v>-0.11705003821070066</v>
      </c>
      <c r="BY54" s="175">
        <f t="shared" si="215"/>
        <v>0.36212724258381868</v>
      </c>
      <c r="BZ54" s="175">
        <f t="shared" si="216"/>
        <v>0.6425291409146795</v>
      </c>
      <c r="CA54" s="175">
        <f t="shared" si="217"/>
        <v>0.50428303649884754</v>
      </c>
      <c r="CB54" s="175">
        <f t="shared" si="218"/>
        <v>0.5368600814389296</v>
      </c>
      <c r="CC54" s="175">
        <f t="shared" si="219"/>
        <v>0.45998246044762248</v>
      </c>
      <c r="CD54" s="175">
        <f t="shared" si="220"/>
        <v>0.49430346644334228</v>
      </c>
      <c r="CE54" s="175">
        <f t="shared" si="221"/>
        <v>0.10912112401764514</v>
      </c>
      <c r="CF54" s="175">
        <f t="shared" si="222"/>
        <v>-0.17924830899486485</v>
      </c>
      <c r="CG54" s="175">
        <f t="shared" si="223"/>
        <v>-4.6843175465613215E-2</v>
      </c>
      <c r="CH54" s="175">
        <f t="shared" si="224"/>
        <v>-0.1035815663977778</v>
      </c>
      <c r="CI54" s="175">
        <f t="shared" si="225"/>
        <v>3.1039678717943497E-2</v>
      </c>
      <c r="CJ54" s="175">
        <f t="shared" si="226"/>
        <v>-4.0885975070733001E-2</v>
      </c>
      <c r="CK54" s="175">
        <f t="shared" si="227"/>
        <v>6.6881890305714606E-2</v>
      </c>
      <c r="CL54" s="175">
        <f t="shared" si="228"/>
        <v>-0.2086103743920926</v>
      </c>
      <c r="CM54" s="175">
        <f t="shared" si="229"/>
        <v>-7.1041507121235511E-2</v>
      </c>
      <c r="CN54" s="175">
        <f t="shared" si="230"/>
        <v>-0.17787890968832626</v>
      </c>
      <c r="CO54" s="175">
        <f t="shared" si="231"/>
        <v>0.49327058758109965</v>
      </c>
      <c r="CP54" s="175">
        <f t="shared" si="232"/>
        <v>0.10836868741100061</v>
      </c>
      <c r="CQ54" s="175">
        <f t="shared" si="233"/>
        <v>0.57767605381995002</v>
      </c>
      <c r="CR54" s="175">
        <f t="shared" si="234"/>
        <v>0.22488379154890131</v>
      </c>
      <c r="CS54" s="175">
        <f t="shared" si="235"/>
        <v>0.37495638185900204</v>
      </c>
      <c r="CT54" s="175">
        <f t="shared" si="236"/>
        <v>0.63757882463434801</v>
      </c>
      <c r="CU54" s="175">
        <f t="shared" si="237"/>
        <v>0.26850615265500816</v>
      </c>
      <c r="CV54" s="175">
        <f t="shared" si="238"/>
        <v>0.44865153282221865</v>
      </c>
      <c r="CW54" s="175">
        <f t="shared" si="239"/>
        <v>-8.5441397108023329E-2</v>
      </c>
      <c r="CX54" s="175">
        <f t="shared" si="240"/>
        <v>0.23925833983733991</v>
      </c>
      <c r="CY54" s="175">
        <f t="shared" si="241"/>
        <v>6.0102297327662771E-2</v>
      </c>
      <c r="CZ54" s="175">
        <f t="shared" si="242"/>
        <v>0.11803751600266335</v>
      </c>
      <c r="DA54" s="175">
        <f t="shared" si="243"/>
        <v>8.9162012865755327E-2</v>
      </c>
      <c r="DB54" s="175">
        <f t="shared" si="244"/>
        <v>0.1029069528418879</v>
      </c>
      <c r="DC54" s="175">
        <f t="shared" si="245"/>
        <v>0.13230147197023753</v>
      </c>
      <c r="DD54" s="175">
        <f t="shared" si="246"/>
        <v>2.4384359272179957E-2</v>
      </c>
      <c r="DE54" s="175">
        <f t="shared" si="247"/>
        <v>7.6458379420987058E-2</v>
      </c>
      <c r="DF54" s="175">
        <f t="shared" si="248"/>
        <v>0.11172233401967024</v>
      </c>
      <c r="DG54" s="175">
        <f t="shared" si="249"/>
        <v>-0.31731989016594297</v>
      </c>
      <c r="DH54" s="1082">
        <f t="shared" si="250"/>
        <v>-9.955109219225218E-2</v>
      </c>
      <c r="DI54" s="175">
        <f t="shared" si="251"/>
        <v>-3.5979020066017213E-2</v>
      </c>
      <c r="DJ54" s="175">
        <f t="shared" si="252"/>
        <v>0.43817053707127407</v>
      </c>
      <c r="DK54" s="1082">
        <f t="shared" si="253"/>
        <v>0.1410393604610424</v>
      </c>
      <c r="DL54" s="1003">
        <f t="shared" si="254"/>
        <v>5.2657480314960717E-2</v>
      </c>
      <c r="DM54" s="1003">
        <f t="shared" si="255"/>
        <v>0.11018826135105175</v>
      </c>
      <c r="DN54" s="1082">
        <f t="shared" si="256"/>
        <v>7.9729025534132275E-2</v>
      </c>
      <c r="DO54" s="1003">
        <f t="shared" si="257"/>
        <v>8.6956521739130405E-2</v>
      </c>
      <c r="DP54" s="1003">
        <f t="shared" si="258"/>
        <v>0.45286783042394013</v>
      </c>
      <c r="DQ54" s="1082">
        <f t="shared" si="259"/>
        <v>0.26399613899613894</v>
      </c>
      <c r="DR54" s="1003">
        <f t="shared" si="260"/>
        <v>0.44000000000000006</v>
      </c>
      <c r="DS54" s="1003">
        <f t="shared" si="261"/>
        <v>5.5956059045657446E-2</v>
      </c>
      <c r="DT54" s="1082">
        <f t="shared" si="262"/>
        <v>0.22642229858724711</v>
      </c>
      <c r="DU54" s="1003">
        <f t="shared" si="263"/>
        <v>-7.2879330943847173E-2</v>
      </c>
      <c r="DV54" s="1003">
        <f t="shared" si="264"/>
        <v>-7.1846553966189761E-2</v>
      </c>
      <c r="DW54" s="1082">
        <f t="shared" si="265"/>
        <v>-7.2384806973848068E-2</v>
      </c>
      <c r="DX54" s="1003">
        <f t="shared" si="265"/>
        <v>-1.8685567010309132E-2</v>
      </c>
      <c r="DY54" s="1003">
        <f t="shared" si="266"/>
        <v>7.0229840198300739E-2</v>
      </c>
      <c r="DZ54" s="1082">
        <f t="shared" si="267"/>
        <v>2.3914447686885325E-2</v>
      </c>
      <c r="EA54" s="1003">
        <f t="shared" si="268"/>
        <v>0.16963180366430927</v>
      </c>
      <c r="EB54" s="1003">
        <f t="shared" si="269"/>
        <v>7.9521908201684102E-2</v>
      </c>
      <c r="EC54" s="1082">
        <f t="shared" si="270"/>
        <v>0.12450665997651372</v>
      </c>
      <c r="ED54" s="1003">
        <f t="shared" si="271"/>
        <v>9.8410336855880423E-2</v>
      </c>
      <c r="EE54" s="1003">
        <f t="shared" si="272"/>
        <v>9.8417697953654959E-2</v>
      </c>
      <c r="EF54" s="1082">
        <f t="shared" si="273"/>
        <v>9.8413875673059176E-2</v>
      </c>
      <c r="EG54" s="1003">
        <f t="shared" si="274"/>
        <v>9.5219566543726653E-2</v>
      </c>
      <c r="EH54" s="1003">
        <f t="shared" si="275"/>
        <v>9.5219566543726625E-2</v>
      </c>
      <c r="EI54" s="1082">
        <f t="shared" si="276"/>
        <v>9.5219566543726639E-2</v>
      </c>
      <c r="EJ54" s="1003">
        <f t="shared" si="277"/>
        <v>9.2077876512238144E-2</v>
      </c>
      <c r="EK54" s="1003">
        <f t="shared" si="278"/>
        <v>9.207787651223806E-2</v>
      </c>
      <c r="EL54" s="1082">
        <f t="shared" si="279"/>
        <v>9.2077876512238102E-2</v>
      </c>
      <c r="EM54" s="1003">
        <f t="shared" si="280"/>
        <v>9.2073922974772529E-2</v>
      </c>
      <c r="EN54" s="1003">
        <f t="shared" si="281"/>
        <v>9.2073922974772432E-2</v>
      </c>
      <c r="EO54" s="1082">
        <f t="shared" si="282"/>
        <v>9.2073922974772474E-2</v>
      </c>
      <c r="EP54" s="1003">
        <f t="shared" si="283"/>
        <v>8.9999999999999858E-2</v>
      </c>
      <c r="EQ54" s="1003">
        <f t="shared" si="284"/>
        <v>9.0000000000000066E-2</v>
      </c>
      <c r="ER54" s="1082">
        <f t="shared" si="285"/>
        <v>9.0000000000000066E-2</v>
      </c>
      <c r="ES54" s="1003">
        <f t="shared" si="286"/>
        <v>9.0000000000000011E-2</v>
      </c>
      <c r="ET54" s="1003">
        <f t="shared" si="287"/>
        <v>8.9999999999999983E-2</v>
      </c>
      <c r="EU54" s="1082">
        <f t="shared" si="288"/>
        <v>8.9999999999999983E-2</v>
      </c>
      <c r="EV54" s="1003">
        <f t="shared" si="289"/>
        <v>9.0000000000000163E-2</v>
      </c>
      <c r="EW54" s="1003">
        <f t="shared" si="290"/>
        <v>9.0000000000000038E-2</v>
      </c>
      <c r="EX54" s="1082">
        <f t="shared" si="291"/>
        <v>9.0000000000000094E-2</v>
      </c>
      <c r="EY54" s="1003">
        <f t="shared" si="292"/>
        <v>8.9999999999999858E-2</v>
      </c>
      <c r="EZ54" s="1003">
        <f t="shared" si="293"/>
        <v>9.000000000000058E-2</v>
      </c>
      <c r="FA54" s="1082">
        <f t="shared" si="294"/>
        <v>9.0000000000000024E-2</v>
      </c>
      <c r="FB54" s="993"/>
      <c r="FC54" s="993"/>
      <c r="FD54" s="993"/>
      <c r="FE54" s="993"/>
      <c r="FF54" s="993"/>
      <c r="FG54" s="1009"/>
      <c r="FH54" s="993"/>
      <c r="FI54" s="993"/>
      <c r="FJ54" s="35"/>
      <c r="FK54" s="35"/>
      <c r="FL54" s="35"/>
      <c r="FM54" s="35"/>
      <c r="FN54" s="35"/>
      <c r="FO54" s="35"/>
      <c r="FP54" s="35"/>
      <c r="FQ54" s="35"/>
    </row>
    <row r="55" spans="1:173" s="321" customFormat="1" ht="13.35" customHeight="1" outlineLevel="1">
      <c r="A55" s="1168"/>
      <c r="B55" s="321" t="s">
        <v>627</v>
      </c>
      <c r="C55" s="186" t="s">
        <v>317</v>
      </c>
      <c r="D55" s="926" t="s">
        <v>460</v>
      </c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 t="str">
        <f t="shared" si="192"/>
        <v/>
      </c>
      <c r="AS55" s="175" t="str">
        <f t="shared" si="192"/>
        <v/>
      </c>
      <c r="AT55" s="175"/>
      <c r="AU55" s="175"/>
      <c r="AV55" s="175"/>
      <c r="AW55" s="175"/>
      <c r="AX55" s="175" t="str">
        <f t="shared" si="193"/>
        <v/>
      </c>
      <c r="AY55" s="175" t="str">
        <f t="shared" si="193"/>
        <v/>
      </c>
      <c r="AZ55" s="175" t="str">
        <f t="shared" si="193"/>
        <v/>
      </c>
      <c r="BA55" s="175"/>
      <c r="BB55" s="175"/>
      <c r="BC55" s="929"/>
      <c r="BD55" s="175" t="str">
        <f t="shared" si="194"/>
        <v/>
      </c>
      <c r="BE55" s="175" t="str">
        <f t="shared" si="195"/>
        <v/>
      </c>
      <c r="BF55" s="929" t="str">
        <f t="shared" si="196"/>
        <v/>
      </c>
      <c r="BG55" s="175">
        <f t="shared" si="197"/>
        <v>3.956100051046451E-2</v>
      </c>
      <c r="BH55" s="175">
        <f t="shared" si="198"/>
        <v>0.10008356366908766</v>
      </c>
      <c r="BI55" s="929">
        <f t="shared" si="199"/>
        <v>7.4036102669254089E-2</v>
      </c>
      <c r="BJ55" s="175">
        <f t="shared" si="200"/>
        <v>-0.35706686308208524</v>
      </c>
      <c r="BK55" s="175">
        <f t="shared" si="201"/>
        <v>-0.22221572981184973</v>
      </c>
      <c r="BL55" s="929">
        <f t="shared" si="202"/>
        <v>-0.27838952715371756</v>
      </c>
      <c r="BM55" s="175">
        <f t="shared" si="203"/>
        <v>1.9642311608961303</v>
      </c>
      <c r="BN55" s="175">
        <f t="shared" si="204"/>
        <v>8.9024115393283781E-2</v>
      </c>
      <c r="BO55" s="929">
        <f t="shared" si="205"/>
        <v>0.78499551188170258</v>
      </c>
      <c r="BP55" s="175">
        <f t="shared" si="206"/>
        <v>0.11791986945506086</v>
      </c>
      <c r="BQ55" s="175">
        <f t="shared" si="207"/>
        <v>0.35816777041942549</v>
      </c>
      <c r="BR55" s="929">
        <f t="shared" si="208"/>
        <v>0.21009448693857014</v>
      </c>
      <c r="BS55" s="175">
        <f t="shared" si="209"/>
        <v>0.2829101524987514</v>
      </c>
      <c r="BT55" s="175">
        <f t="shared" si="210"/>
        <v>0.52422795611540085</v>
      </c>
      <c r="BU55" s="175">
        <f t="shared" si="211"/>
        <v>0.38682443516108572</v>
      </c>
      <c r="BV55" s="175">
        <f t="shared" si="212"/>
        <v>0.17453140906641099</v>
      </c>
      <c r="BW55" s="175">
        <f t="shared" si="213"/>
        <v>0.44223399646772621</v>
      </c>
      <c r="BX55" s="175">
        <f t="shared" si="214"/>
        <v>0.30122857097796768</v>
      </c>
      <c r="BY55" s="175">
        <f t="shared" si="215"/>
        <v>0.24042113850154267</v>
      </c>
      <c r="BZ55" s="175">
        <f t="shared" si="216"/>
        <v>0.4738760665308554</v>
      </c>
      <c r="CA55" s="175">
        <f t="shared" si="217"/>
        <v>0.36288261795308807</v>
      </c>
      <c r="CB55" s="175">
        <f t="shared" si="218"/>
        <v>0.37687443074460941</v>
      </c>
      <c r="CC55" s="175">
        <f t="shared" si="219"/>
        <v>0.12016460548675817</v>
      </c>
      <c r="CD55" s="175">
        <f t="shared" si="220"/>
        <v>0.23124757892442377</v>
      </c>
      <c r="CE55" s="175">
        <f t="shared" si="221"/>
        <v>-8.8783506344838906E-2</v>
      </c>
      <c r="CF55" s="175">
        <f t="shared" si="222"/>
        <v>2.4130471976858088E-2</v>
      </c>
      <c r="CG55" s="175">
        <f t="shared" si="223"/>
        <v>-3.0508391843244238E-2</v>
      </c>
      <c r="CH55" s="175">
        <f t="shared" si="224"/>
        <v>0.11892175134145636</v>
      </c>
      <c r="CI55" s="175">
        <f t="shared" si="225"/>
        <v>-0.1187736244662855</v>
      </c>
      <c r="CJ55" s="175">
        <f t="shared" si="226"/>
        <v>-1.0667026280819517E-2</v>
      </c>
      <c r="CK55" s="175">
        <f t="shared" si="227"/>
        <v>-4.1119741746563541E-2</v>
      </c>
      <c r="CL55" s="175">
        <f t="shared" si="228"/>
        <v>8.3200353492067312E-3</v>
      </c>
      <c r="CM55" s="175">
        <f t="shared" si="229"/>
        <v>-1.7111068129602103E-2</v>
      </c>
      <c r="CN55" s="175">
        <f t="shared" si="230"/>
        <v>0.10926990268519676</v>
      </c>
      <c r="CO55" s="175">
        <f t="shared" si="231"/>
        <v>0.4537175835508056</v>
      </c>
      <c r="CP55" s="175">
        <f t="shared" si="232"/>
        <v>0.28086658261967745</v>
      </c>
      <c r="CQ55" s="175">
        <f t="shared" si="233"/>
        <v>0.16852014974675109</v>
      </c>
      <c r="CR55" s="175">
        <f t="shared" si="234"/>
        <v>-7.7364957789391162E-2</v>
      </c>
      <c r="CS55" s="175">
        <f t="shared" si="235"/>
        <v>2.9494802071993113E-2</v>
      </c>
      <c r="CT55" s="175">
        <f t="shared" si="236"/>
        <v>1.8150765606596456E-2</v>
      </c>
      <c r="CU55" s="175">
        <f t="shared" si="237"/>
        <v>7.9092445068895678E-2</v>
      </c>
      <c r="CV55" s="175">
        <f t="shared" si="238"/>
        <v>4.9031098242396785E-2</v>
      </c>
      <c r="CW55" s="175">
        <f t="shared" si="239"/>
        <v>2.7924984193772172E-2</v>
      </c>
      <c r="CX55" s="175">
        <f t="shared" si="240"/>
        <v>-1.5013965648600875E-2</v>
      </c>
      <c r="CY55" s="175">
        <f t="shared" si="241"/>
        <v>5.5434806091846592E-3</v>
      </c>
      <c r="CZ55" s="175">
        <f t="shared" si="242"/>
        <v>5.3806830508148329E-2</v>
      </c>
      <c r="DA55" s="175">
        <f t="shared" si="243"/>
        <v>0.25021439542394297</v>
      </c>
      <c r="DB55" s="175">
        <f t="shared" si="244"/>
        <v>0.15408935766168136</v>
      </c>
      <c r="DC55" s="175">
        <f t="shared" si="245"/>
        <v>0.22080624122473647</v>
      </c>
      <c r="DD55" s="175">
        <f t="shared" si="246"/>
        <v>6.9314941839441799E-2</v>
      </c>
      <c r="DE55" s="175">
        <f t="shared" si="247"/>
        <v>0.13701477148362914</v>
      </c>
      <c r="DF55" s="175">
        <f t="shared" si="248"/>
        <v>-1.7675310923207895E-2</v>
      </c>
      <c r="DG55" s="175">
        <f t="shared" si="249"/>
        <v>-0.33953859034475531</v>
      </c>
      <c r="DH55" s="1082">
        <f t="shared" si="250"/>
        <v>-0.1851013789471449</v>
      </c>
      <c r="DI55" s="175">
        <f t="shared" si="251"/>
        <v>-0.10500203496885761</v>
      </c>
      <c r="DJ55" s="175">
        <f t="shared" si="252"/>
        <v>0.55288044883198717</v>
      </c>
      <c r="DK55" s="1082">
        <f t="shared" si="253"/>
        <v>0.17235796827039768</v>
      </c>
      <c r="DL55" s="1003">
        <f t="shared" si="254"/>
        <v>0.37213930348258711</v>
      </c>
      <c r="DM55" s="1003">
        <f t="shared" si="255"/>
        <v>7.3957513768685895E-2</v>
      </c>
      <c r="DN55" s="1082">
        <f t="shared" si="256"/>
        <v>0.20562390158172225</v>
      </c>
      <c r="DO55" s="1003">
        <f t="shared" si="257"/>
        <v>-7.6142131979695424E-2</v>
      </c>
      <c r="DP55" s="1003">
        <f t="shared" si="258"/>
        <v>0.20952380952380972</v>
      </c>
      <c r="DQ55" s="1082">
        <f t="shared" si="259"/>
        <v>6.5962099125364521E-2</v>
      </c>
      <c r="DR55" s="1003">
        <f t="shared" si="260"/>
        <v>0.26295133437990581</v>
      </c>
      <c r="DS55" s="1003">
        <f t="shared" si="261"/>
        <v>0.1435493640218049</v>
      </c>
      <c r="DT55" s="1082">
        <f t="shared" si="262"/>
        <v>0.19555555555555551</v>
      </c>
      <c r="DU55" s="1003">
        <f t="shared" si="263"/>
        <v>-8.0174021131137391E-2</v>
      </c>
      <c r="DV55" s="1003">
        <f t="shared" si="264"/>
        <v>5.5084745762711898E-2</v>
      </c>
      <c r="DW55" s="1082">
        <f t="shared" si="265"/>
        <v>-7.1489848441521307E-3</v>
      </c>
      <c r="DX55" s="1003">
        <f t="shared" si="265"/>
        <v>9.3918918918918959E-2</v>
      </c>
      <c r="DY55" s="1003">
        <f t="shared" si="266"/>
        <v>9.553420454055532E-2</v>
      </c>
      <c r="DZ55" s="1082">
        <f t="shared" si="267"/>
        <v>9.4845661130410874E-2</v>
      </c>
      <c r="EA55" s="1003">
        <f t="shared" si="268"/>
        <v>0.19145883980519032</v>
      </c>
      <c r="EB55" s="1003">
        <f t="shared" si="269"/>
        <v>8.1369954296803493E-2</v>
      </c>
      <c r="EC55" s="1082">
        <f t="shared" si="270"/>
        <v>0.12825752216493536</v>
      </c>
      <c r="ED55" s="1003">
        <f t="shared" si="271"/>
        <v>0.10024808110125452</v>
      </c>
      <c r="EE55" s="1003">
        <f t="shared" si="272"/>
        <v>0.10025529486790333</v>
      </c>
      <c r="EF55" s="1082">
        <f t="shared" si="273"/>
        <v>0.100252050372775</v>
      </c>
      <c r="EG55" s="1003">
        <f t="shared" si="274"/>
        <v>9.6100937120555022E-2</v>
      </c>
      <c r="EH55" s="1003">
        <f t="shared" si="275"/>
        <v>9.610092091037635E-2</v>
      </c>
      <c r="EI55" s="1082">
        <f t="shared" si="276"/>
        <v>9.6100928201110852E-2</v>
      </c>
      <c r="EJ55" s="1003">
        <f t="shared" si="277"/>
        <v>9.2426791634308891E-2</v>
      </c>
      <c r="EK55" s="1003">
        <f t="shared" si="278"/>
        <v>9.2426785222217228E-2</v>
      </c>
      <c r="EL55" s="1082">
        <f t="shared" si="279"/>
        <v>9.2426788106137081E-2</v>
      </c>
      <c r="EM55" s="1003">
        <f t="shared" si="280"/>
        <v>9.2421400593296898E-2</v>
      </c>
      <c r="EN55" s="1003">
        <f t="shared" si="281"/>
        <v>9.2421394209662625E-2</v>
      </c>
      <c r="EO55" s="1082">
        <f t="shared" si="282"/>
        <v>9.2421397080783424E-2</v>
      </c>
      <c r="EP55" s="1003">
        <f t="shared" si="283"/>
        <v>9.0000000000000094E-2</v>
      </c>
      <c r="EQ55" s="1003">
        <f t="shared" si="284"/>
        <v>9.0000000000000094E-2</v>
      </c>
      <c r="ER55" s="1082">
        <f t="shared" si="285"/>
        <v>9.0000000000000094E-2</v>
      </c>
      <c r="ES55" s="1003">
        <f t="shared" si="286"/>
        <v>8.9999999999999941E-2</v>
      </c>
      <c r="ET55" s="1003">
        <f t="shared" si="287"/>
        <v>9.0000000000000149E-2</v>
      </c>
      <c r="EU55" s="1082">
        <f t="shared" si="288"/>
        <v>8.9999999999999969E-2</v>
      </c>
      <c r="EV55" s="1003">
        <f t="shared" si="289"/>
        <v>9.0000000000000066E-2</v>
      </c>
      <c r="EW55" s="1003">
        <f t="shared" si="290"/>
        <v>8.9999999999999677E-2</v>
      </c>
      <c r="EX55" s="1082">
        <f t="shared" si="291"/>
        <v>8.9999999999999858E-2</v>
      </c>
      <c r="EY55" s="1003">
        <f t="shared" si="292"/>
        <v>9.0000000000000011E-2</v>
      </c>
      <c r="EZ55" s="1003">
        <f t="shared" si="293"/>
        <v>9.0000000000000635E-2</v>
      </c>
      <c r="FA55" s="1082">
        <f t="shared" si="294"/>
        <v>9.0000000000000357E-2</v>
      </c>
      <c r="FB55" s="261"/>
      <c r="FC55" s="261"/>
      <c r="FD55" s="261"/>
      <c r="FE55" s="261"/>
      <c r="FF55" s="261"/>
      <c r="FG55" s="261"/>
      <c r="FH55" s="261"/>
      <c r="FI55" s="261"/>
      <c r="FJ55" s="35"/>
      <c r="FK55" s="35"/>
      <c r="FL55" s="35"/>
      <c r="FM55" s="35"/>
      <c r="FN55" s="35"/>
      <c r="FO55" s="35"/>
      <c r="FP55" s="35"/>
      <c r="FQ55" s="35"/>
    </row>
    <row r="56" spans="1:173" s="321" customFormat="1" ht="13.35" customHeight="1" outlineLevel="1">
      <c r="A56" s="1168"/>
      <c r="B56" s="321" t="s">
        <v>628</v>
      </c>
      <c r="C56" s="186" t="s">
        <v>384</v>
      </c>
      <c r="D56" s="926" t="s">
        <v>460</v>
      </c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 t="str">
        <f t="shared" si="192"/>
        <v/>
      </c>
      <c r="AS56" s="175" t="str">
        <f t="shared" si="192"/>
        <v/>
      </c>
      <c r="AT56" s="175"/>
      <c r="AU56" s="175"/>
      <c r="AV56" s="175"/>
      <c r="AW56" s="175"/>
      <c r="AX56" s="175" t="str">
        <f t="shared" si="193"/>
        <v/>
      </c>
      <c r="AY56" s="175" t="str">
        <f t="shared" si="193"/>
        <v/>
      </c>
      <c r="AZ56" s="175" t="str">
        <f t="shared" si="193"/>
        <v/>
      </c>
      <c r="BA56" s="175"/>
      <c r="BB56" s="175"/>
      <c r="BC56" s="929"/>
      <c r="BD56" s="175" t="str">
        <f t="shared" si="194"/>
        <v/>
      </c>
      <c r="BE56" s="175" t="str">
        <f t="shared" si="195"/>
        <v/>
      </c>
      <c r="BF56" s="929" t="str">
        <f t="shared" si="196"/>
        <v/>
      </c>
      <c r="BG56" s="175">
        <f t="shared" si="197"/>
        <v>1.5641772734243262E-2</v>
      </c>
      <c r="BH56" s="175">
        <f t="shared" si="198"/>
        <v>-0.29382889200561013</v>
      </c>
      <c r="BI56" s="929">
        <f t="shared" si="199"/>
        <v>-0.12875255623721882</v>
      </c>
      <c r="BJ56" s="175">
        <f t="shared" si="200"/>
        <v>-4.6202627208213803E-2</v>
      </c>
      <c r="BK56" s="175">
        <f t="shared" si="201"/>
        <v>-0.17527308838133079</v>
      </c>
      <c r="BL56" s="929">
        <f t="shared" si="202"/>
        <v>-9.501455262416679E-2</v>
      </c>
      <c r="BM56" s="175">
        <f t="shared" si="203"/>
        <v>-0.14373911666930511</v>
      </c>
      <c r="BN56" s="175">
        <f t="shared" si="204"/>
        <v>0.90216736905478678</v>
      </c>
      <c r="BO56" s="929">
        <f t="shared" si="205"/>
        <v>0.21672372652764815</v>
      </c>
      <c r="BP56" s="175">
        <f t="shared" si="206"/>
        <v>0.75522277685339256</v>
      </c>
      <c r="BQ56" s="175">
        <f t="shared" si="207"/>
        <v>-0.59582212375375843</v>
      </c>
      <c r="BR56" s="929">
        <f t="shared" si="208"/>
        <v>2.7285129604365646E-2</v>
      </c>
      <c r="BS56" s="175">
        <f t="shared" si="209"/>
        <v>0.15420265430798386</v>
      </c>
      <c r="BT56" s="175">
        <f t="shared" si="210"/>
        <v>2.6570086139389182</v>
      </c>
      <c r="BU56" s="175">
        <f t="shared" si="211"/>
        <v>0.68476095617529831</v>
      </c>
      <c r="BV56" s="175">
        <f t="shared" si="212"/>
        <v>-0.13414856725679827</v>
      </c>
      <c r="BW56" s="175">
        <f t="shared" si="213"/>
        <v>0.28447537473233431</v>
      </c>
      <c r="BX56" s="175">
        <f t="shared" si="214"/>
        <v>5.8478667849049593E-2</v>
      </c>
      <c r="BY56" s="175">
        <f t="shared" si="215"/>
        <v>-9.4329679595278548E-2</v>
      </c>
      <c r="BZ56" s="175">
        <f t="shared" si="216"/>
        <v>-6.1825726915945414E-2</v>
      </c>
      <c r="CA56" s="175">
        <f t="shared" si="217"/>
        <v>-7.6179811301400974E-2</v>
      </c>
      <c r="CB56" s="175">
        <f t="shared" si="218"/>
        <v>0.79235337570471975</v>
      </c>
      <c r="CC56" s="175">
        <f t="shared" si="219"/>
        <v>0.37587902145614599</v>
      </c>
      <c r="CD56" s="175">
        <f t="shared" si="220"/>
        <v>0.55618505861892475</v>
      </c>
      <c r="CE56" s="175">
        <f t="shared" si="221"/>
        <v>0.11200542308947406</v>
      </c>
      <c r="CF56" s="175">
        <f t="shared" si="222"/>
        <v>0.31066940159900763</v>
      </c>
      <c r="CG56" s="175">
        <f t="shared" si="223"/>
        <v>0.21160821396869189</v>
      </c>
      <c r="CH56" s="175">
        <f t="shared" si="224"/>
        <v>0.1541677904941024</v>
      </c>
      <c r="CI56" s="175">
        <f t="shared" si="225"/>
        <v>0.18863204133428235</v>
      </c>
      <c r="CJ56" s="175">
        <f t="shared" si="226"/>
        <v>0.17285963559216294</v>
      </c>
      <c r="CK56" s="175">
        <f t="shared" si="227"/>
        <v>0.56234671752274223</v>
      </c>
      <c r="CL56" s="175">
        <f t="shared" si="228"/>
        <v>0.1103918649737812</v>
      </c>
      <c r="CM56" s="175">
        <f t="shared" si="229"/>
        <v>0.3139305957063821</v>
      </c>
      <c r="CN56" s="175">
        <f t="shared" si="230"/>
        <v>-0.62649546940126866</v>
      </c>
      <c r="CO56" s="175">
        <f t="shared" si="231"/>
        <v>0.19187860667980802</v>
      </c>
      <c r="CP56" s="175">
        <f t="shared" si="232"/>
        <v>-0.24635821539938119</v>
      </c>
      <c r="CQ56" s="175">
        <f t="shared" si="233"/>
        <v>0.34677069787603182</v>
      </c>
      <c r="CR56" s="175">
        <f t="shared" si="234"/>
        <v>-5.3869523004157907E-3</v>
      </c>
      <c r="CS56" s="175">
        <f t="shared" si="235"/>
        <v>8.8072887907234623E-2</v>
      </c>
      <c r="CT56" s="175">
        <f t="shared" si="236"/>
        <v>1.2059864821371082</v>
      </c>
      <c r="CU56" s="175">
        <f t="shared" si="237"/>
        <v>-3.8043913634532807E-2</v>
      </c>
      <c r="CV56" s="175">
        <f t="shared" si="238"/>
        <v>0.37060897053852943</v>
      </c>
      <c r="CW56" s="175">
        <f t="shared" si="239"/>
        <v>3.2013467143648375E-2</v>
      </c>
      <c r="CX56" s="175">
        <f t="shared" si="240"/>
        <v>3.7351552444204315E-2</v>
      </c>
      <c r="CY56" s="175">
        <f t="shared" si="241"/>
        <v>3.4529283720397423E-2</v>
      </c>
      <c r="CZ56" s="175">
        <f t="shared" si="242"/>
        <v>-0.18037994475204494</v>
      </c>
      <c r="DA56" s="175">
        <f t="shared" si="243"/>
        <v>0.30901032924642569</v>
      </c>
      <c r="DB56" s="175">
        <f t="shared" si="244"/>
        <v>5.089680312555752E-2</v>
      </c>
      <c r="DC56" s="175">
        <f t="shared" si="245"/>
        <v>0.20642810021004332</v>
      </c>
      <c r="DD56" s="175">
        <f t="shared" si="246"/>
        <v>6.5302316978914685E-2</v>
      </c>
      <c r="DE56" s="175">
        <f t="shared" si="247"/>
        <v>0.12335393121978995</v>
      </c>
      <c r="DF56" s="175">
        <f t="shared" si="248"/>
        <v>0.15453899671526378</v>
      </c>
      <c r="DG56" s="175">
        <f t="shared" si="249"/>
        <v>-0.57321430101070647</v>
      </c>
      <c r="DH56" s="1082">
        <f t="shared" si="250"/>
        <v>-0.25171728059916865</v>
      </c>
      <c r="DI56" s="175">
        <f t="shared" si="251"/>
        <v>0.12195672356883763</v>
      </c>
      <c r="DJ56" s="175">
        <f t="shared" si="252"/>
        <v>0.53232667599805228</v>
      </c>
      <c r="DK56" s="1082">
        <f t="shared" si="253"/>
        <v>0.25261460107485278</v>
      </c>
      <c r="DL56" s="1003">
        <f t="shared" si="254"/>
        <v>2.2075055187637971E-2</v>
      </c>
      <c r="DM56" s="1003">
        <f t="shared" si="255"/>
        <v>0.58131487889273337</v>
      </c>
      <c r="DN56" s="1082">
        <f t="shared" si="256"/>
        <v>0.23989218328840967</v>
      </c>
      <c r="DO56" s="1003">
        <f t="shared" si="257"/>
        <v>0.22678185745140389</v>
      </c>
      <c r="DP56" s="1003">
        <f t="shared" si="258"/>
        <v>5.2516411378555922E-2</v>
      </c>
      <c r="DQ56" s="1082">
        <f t="shared" si="259"/>
        <v>0.14021739130434788</v>
      </c>
      <c r="DR56" s="1003">
        <f t="shared" si="260"/>
        <v>-0.57570422535211263</v>
      </c>
      <c r="DS56" s="1003">
        <f t="shared" si="261"/>
        <v>0.62370062370062329</v>
      </c>
      <c r="DT56" s="1082">
        <f t="shared" si="262"/>
        <v>-2.5738798856053544E-2</v>
      </c>
      <c r="DU56" s="1003">
        <f t="shared" si="263"/>
        <v>2.1784232365145222</v>
      </c>
      <c r="DV56" s="1003">
        <f t="shared" si="264"/>
        <v>-0.30601792573623532</v>
      </c>
      <c r="DW56" s="1082">
        <f t="shared" si="265"/>
        <v>0.27984344422700613</v>
      </c>
      <c r="DX56" s="1003">
        <f t="shared" si="265"/>
        <v>-0.26631853785900772</v>
      </c>
      <c r="DY56" s="1003">
        <f t="shared" si="266"/>
        <v>0.31929835613553958</v>
      </c>
      <c r="DZ56" s="1082">
        <f t="shared" si="267"/>
        <v>-2.3654656708361938E-2</v>
      </c>
      <c r="EA56" s="1003">
        <f t="shared" si="268"/>
        <v>0.55099745504373376</v>
      </c>
      <c r="EB56" s="1003">
        <f t="shared" si="269"/>
        <v>0.21867073818830543</v>
      </c>
      <c r="EC56" s="1082">
        <f t="shared" si="270"/>
        <v>0.36491888426385188</v>
      </c>
      <c r="ED56" s="1003">
        <f t="shared" si="271"/>
        <v>0.11659546309099625</v>
      </c>
      <c r="EE56" s="1003">
        <f t="shared" si="272"/>
        <v>0.11591653133996706</v>
      </c>
      <c r="EF56" s="1082">
        <f t="shared" si="273"/>
        <v>0.11625604361011656</v>
      </c>
      <c r="EG56" s="1003">
        <f t="shared" si="274"/>
        <v>0.11761356094431884</v>
      </c>
      <c r="EH56" s="1003">
        <f t="shared" si="275"/>
        <v>0.1169271976500821</v>
      </c>
      <c r="EI56" s="1082">
        <f t="shared" si="276"/>
        <v>0.11727053056502114</v>
      </c>
      <c r="EJ56" s="1003">
        <f t="shared" si="277"/>
        <v>0.11557714996039117</v>
      </c>
      <c r="EK56" s="1003">
        <f t="shared" si="278"/>
        <v>0.11493668050608823</v>
      </c>
      <c r="EL56" s="1082">
        <f t="shared" si="279"/>
        <v>0.11525715475002045</v>
      </c>
      <c r="EM56" s="1003">
        <f t="shared" si="280"/>
        <v>0.11374091342256837</v>
      </c>
      <c r="EN56" s="1003">
        <f t="shared" si="281"/>
        <v>0.11314139776007889</v>
      </c>
      <c r="EO56" s="1082">
        <f t="shared" si="282"/>
        <v>0.11344146586494665</v>
      </c>
      <c r="EP56" s="1003">
        <f t="shared" si="283"/>
        <v>0.11207901077740441</v>
      </c>
      <c r="EQ56" s="1003">
        <f t="shared" si="284"/>
        <v>0.11151628589099026</v>
      </c>
      <c r="ER56" s="1082">
        <f t="shared" si="285"/>
        <v>0.11179801531469231</v>
      </c>
      <c r="ES56" s="1003">
        <f t="shared" si="286"/>
        <v>0.11056978535556367</v>
      </c>
      <c r="ET56" s="1003">
        <f t="shared" si="287"/>
        <v>0.11004031258443364</v>
      </c>
      <c r="EU56" s="1082">
        <f t="shared" si="288"/>
        <v>0.11030546126181506</v>
      </c>
      <c r="EV56" s="1003">
        <f t="shared" si="289"/>
        <v>0.10919495307970752</v>
      </c>
      <c r="EW56" s="1003">
        <f t="shared" si="290"/>
        <v>0.10869570017570035</v>
      </c>
      <c r="EX56" s="1082">
        <f t="shared" si="291"/>
        <v>0.10894577490749907</v>
      </c>
      <c r="EY56" s="1003">
        <f t="shared" si="292"/>
        <v>0.10793897289009624</v>
      </c>
      <c r="EZ56" s="1003">
        <f t="shared" si="293"/>
        <v>0.10746732194021962</v>
      </c>
      <c r="FA56" s="1082">
        <f t="shared" si="294"/>
        <v>0.10770362399585431</v>
      </c>
      <c r="FB56" s="1004"/>
      <c r="FC56" s="1003"/>
      <c r="FD56" s="1003"/>
      <c r="FG56" s="1008"/>
      <c r="FH56" s="1004"/>
      <c r="FI56" s="1003"/>
      <c r="FJ56" s="35"/>
      <c r="FK56" s="35"/>
      <c r="FL56" s="35"/>
      <c r="FM56" s="35"/>
      <c r="FN56" s="35"/>
      <c r="FO56" s="35"/>
      <c r="FP56" s="35"/>
      <c r="FQ56" s="35"/>
    </row>
    <row r="57" spans="1:173" s="321" customFormat="1" ht="13.35" customHeight="1" outlineLevel="1">
      <c r="A57" s="1168"/>
      <c r="B57" s="927"/>
      <c r="C57" s="321" t="s">
        <v>314</v>
      </c>
      <c r="D57" s="926" t="s">
        <v>460</v>
      </c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 t="str">
        <f>IF(ISERROR((AR47-AO47)/AO47),"",(AR47-AO47)/AO47)</f>
        <v/>
      </c>
      <c r="AS57" s="175" t="str">
        <f>IF(ISERROR((AS47-AP47)/AP47),"",(AS47-AP47)/AP47)</f>
        <v/>
      </c>
      <c r="AT57" s="175"/>
      <c r="AU57" s="175"/>
      <c r="AV57" s="175"/>
      <c r="AW57" s="175"/>
      <c r="AX57" s="175" t="str">
        <f>IF(ISERROR((AX47-AU47)/AU47),"",(AX47-AU47)/AU47)</f>
        <v/>
      </c>
      <c r="AY57" s="175" t="str">
        <f>IF(ISERROR((AY47-AV47)/AV47),"",(AY47-AV47)/AV47)</f>
        <v/>
      </c>
      <c r="AZ57" s="175" t="str">
        <f>IF(ISERROR((AZ47-AW47)/AW47),"",(AZ47-AW47)/AW47)</f>
        <v/>
      </c>
      <c r="BA57" s="175"/>
      <c r="BB57" s="175"/>
      <c r="BC57" s="929"/>
      <c r="BD57" s="175" t="str">
        <f t="shared" si="194"/>
        <v/>
      </c>
      <c r="BE57" s="175" t="str">
        <f t="shared" si="195"/>
        <v/>
      </c>
      <c r="BF57" s="929" t="str">
        <f t="shared" si="196"/>
        <v/>
      </c>
      <c r="BG57" s="175">
        <f t="shared" si="197"/>
        <v>-0.67265055619486003</v>
      </c>
      <c r="BH57" s="175">
        <f t="shared" si="198"/>
        <v>-2.1656744591258894</v>
      </c>
      <c r="BI57" s="929">
        <f t="shared" si="199"/>
        <v>-1.1887862664391124</v>
      </c>
      <c r="BJ57" s="175">
        <f t="shared" si="200"/>
        <v>-3.3620810874150453</v>
      </c>
      <c r="BK57" s="175">
        <f t="shared" si="201"/>
        <v>-1.5387394120577977</v>
      </c>
      <c r="BL57" s="929">
        <f t="shared" si="202"/>
        <v>0.52991225737835668</v>
      </c>
      <c r="BM57" s="175">
        <f t="shared" si="203"/>
        <v>-0.83877368786585971</v>
      </c>
      <c r="BN57" s="175">
        <f t="shared" si="204"/>
        <v>-2.4344508670520226</v>
      </c>
      <c r="BO57" s="929">
        <f t="shared" si="205"/>
        <v>0.36061870003475849</v>
      </c>
      <c r="BP57" s="175">
        <f t="shared" si="206"/>
        <v>-2.4639999999999995</v>
      </c>
      <c r="BQ57" s="175">
        <f t="shared" si="207"/>
        <v>-0.8320438426821406</v>
      </c>
      <c r="BR57" s="929">
        <f t="shared" si="208"/>
        <v>-1.1707753225188402</v>
      </c>
      <c r="BS57" s="175">
        <f t="shared" si="209"/>
        <v>3.002525655258252</v>
      </c>
      <c r="BT57" s="175">
        <f t="shared" si="210"/>
        <v>-5.9258574108645048</v>
      </c>
      <c r="BU57" s="175">
        <f t="shared" si="211"/>
        <v>9.960921433044275</v>
      </c>
      <c r="BV57" s="175">
        <f t="shared" si="212"/>
        <v>0.10010260590137275</v>
      </c>
      <c r="BW57" s="175">
        <f t="shared" si="213"/>
        <v>0.76825448671826935</v>
      </c>
      <c r="BX57" s="175">
        <f t="shared" si="214"/>
        <v>0.33411899741328194</v>
      </c>
      <c r="BY57" s="175">
        <f t="shared" si="215"/>
        <v>0.39062604408505341</v>
      </c>
      <c r="BZ57" s="175">
        <f t="shared" si="216"/>
        <v>0.78629285523789771</v>
      </c>
      <c r="CA57" s="175">
        <f t="shared" si="217"/>
        <v>0.57430140681732167</v>
      </c>
      <c r="CB57" s="175">
        <f t="shared" si="218"/>
        <v>3.8684838719461889</v>
      </c>
      <c r="CC57" s="175">
        <f t="shared" si="219"/>
        <v>4.1676826239631897</v>
      </c>
      <c r="CD57" s="175">
        <f t="shared" si="220"/>
        <v>4.0260801072281103</v>
      </c>
      <c r="CE57" s="175">
        <f t="shared" si="221"/>
        <v>-4.9863263065636064E-2</v>
      </c>
      <c r="CF57" s="175">
        <f t="shared" si="222"/>
        <v>0.11725572043331975</v>
      </c>
      <c r="CG57" s="175">
        <f t="shared" si="223"/>
        <v>4.0642924959709226E-2</v>
      </c>
      <c r="CH57" s="175">
        <f t="shared" si="224"/>
        <v>0.24111904882780963</v>
      </c>
      <c r="CI57" s="175">
        <f t="shared" si="225"/>
        <v>-4.6645935364910608E-2</v>
      </c>
      <c r="CJ57" s="175">
        <f t="shared" si="226"/>
        <v>7.3801579927230188E-2</v>
      </c>
      <c r="CK57" s="175">
        <f t="shared" si="227"/>
        <v>3.6264907594634452E-2</v>
      </c>
      <c r="CL57" s="175">
        <f t="shared" si="228"/>
        <v>-7.8350056993934779E-3</v>
      </c>
      <c r="CM57" s="175">
        <f t="shared" si="229"/>
        <v>1.3499718678295428E-2</v>
      </c>
      <c r="CN57" s="175">
        <f t="shared" si="230"/>
        <v>2.9429343031739871E-2</v>
      </c>
      <c r="CO57" s="175">
        <f t="shared" si="231"/>
        <v>9.3300536742592616E-2</v>
      </c>
      <c r="CP57" s="175">
        <f t="shared" si="232"/>
        <v>6.1706763791571445E-2</v>
      </c>
      <c r="CQ57" s="175">
        <f t="shared" si="233"/>
        <v>0.12056041619987956</v>
      </c>
      <c r="CR57" s="175">
        <f t="shared" si="234"/>
        <v>9.5390119990983652E-2</v>
      </c>
      <c r="CS57" s="175">
        <f t="shared" si="235"/>
        <v>0.10746205101891486</v>
      </c>
      <c r="CT57" s="175">
        <f t="shared" si="236"/>
        <v>0.17533713218732275</v>
      </c>
      <c r="CU57" s="175">
        <f t="shared" si="237"/>
        <v>0.21558682834828349</v>
      </c>
      <c r="CV57" s="175">
        <f t="shared" si="238"/>
        <v>0.19605434562155249</v>
      </c>
      <c r="CW57" s="175">
        <f t="shared" si="239"/>
        <v>8.5146236969343161E-2</v>
      </c>
      <c r="CX57" s="175">
        <f t="shared" si="240"/>
        <v>7.6158269764247458E-2</v>
      </c>
      <c r="CY57" s="175">
        <f t="shared" si="241"/>
        <v>8.044442469527098E-2</v>
      </c>
      <c r="CZ57" s="175">
        <f t="shared" si="242"/>
        <v>0.10841933137885991</v>
      </c>
      <c r="DA57" s="175">
        <f t="shared" si="243"/>
        <v>0.15640057340246014</v>
      </c>
      <c r="DB57" s="175">
        <f t="shared" si="244"/>
        <v>0.13341984934619849</v>
      </c>
      <c r="DC57" s="175">
        <f t="shared" si="245"/>
        <v>0.13438734516539305</v>
      </c>
      <c r="DD57" s="175">
        <f t="shared" si="246"/>
        <v>4.7177853929917656E-2</v>
      </c>
      <c r="DE57" s="175">
        <f t="shared" si="247"/>
        <v>8.8025708616029347E-2</v>
      </c>
      <c r="DF57" s="175">
        <f t="shared" si="248"/>
        <v>3.686936643817685E-2</v>
      </c>
      <c r="DG57" s="175">
        <f t="shared" si="249"/>
        <v>-4.2546332294602807E-2</v>
      </c>
      <c r="DH57" s="1082">
        <f t="shared" si="250"/>
        <v>-3.7639862909317257E-3</v>
      </c>
      <c r="DI57" s="175">
        <f t="shared" si="251"/>
        <v>-3.1599189670560045E-2</v>
      </c>
      <c r="DJ57" s="175">
        <f t="shared" si="252"/>
        <v>0.12620897477943338</v>
      </c>
      <c r="DK57" s="1082">
        <f t="shared" si="253"/>
        <v>4.6000734166244173E-2</v>
      </c>
      <c r="DL57" s="1003">
        <f t="shared" si="254"/>
        <v>0.18650609034508669</v>
      </c>
      <c r="DM57" s="1003">
        <f t="shared" si="255"/>
        <v>0.25975538460027675</v>
      </c>
      <c r="DN57" s="1082">
        <f t="shared" si="256"/>
        <v>0.22528738166553075</v>
      </c>
      <c r="DO57" s="1003">
        <f t="shared" si="257"/>
        <v>0.16466172774869159</v>
      </c>
      <c r="DP57" s="1003">
        <f t="shared" si="258"/>
        <v>0.42730566624127952</v>
      </c>
      <c r="DQ57" s="1082">
        <f t="shared" si="259"/>
        <v>0.30762828718014035</v>
      </c>
      <c r="DR57" s="1003">
        <f t="shared" si="260"/>
        <v>0.13056574996339629</v>
      </c>
      <c r="DS57" s="1003">
        <f t="shared" si="261"/>
        <v>-0.20597414070386472</v>
      </c>
      <c r="DT57" s="1082">
        <f t="shared" si="262"/>
        <v>-6.9391113541088623E-2</v>
      </c>
      <c r="DU57" s="1003">
        <f t="shared" si="263"/>
        <v>5.9909483135539565E-2</v>
      </c>
      <c r="DV57" s="1003">
        <f t="shared" si="264"/>
        <v>4.4936025195099726E-2</v>
      </c>
      <c r="DW57" s="1082">
        <f t="shared" si="265"/>
        <v>5.2318652097449257E-2</v>
      </c>
      <c r="DX57" s="1003">
        <f t="shared" si="265"/>
        <v>1.8449329829679235E-2</v>
      </c>
      <c r="DY57" s="1003">
        <f t="shared" si="266"/>
        <v>0.14257084826594096</v>
      </c>
      <c r="DZ57" s="1082">
        <f t="shared" si="267"/>
        <v>8.0931590086731203E-2</v>
      </c>
      <c r="EA57" s="1003">
        <f t="shared" si="268"/>
        <v>0.16476159315627392</v>
      </c>
      <c r="EB57" s="1003">
        <f t="shared" si="269"/>
        <v>5.5895266321387062E-2</v>
      </c>
      <c r="EC57" s="1082">
        <f t="shared" si="270"/>
        <v>0.10683364422452214</v>
      </c>
      <c r="ED57" s="1003">
        <f t="shared" si="271"/>
        <v>6.4041633792629893E-2</v>
      </c>
      <c r="EE57" s="1003">
        <f t="shared" si="272"/>
        <v>6.4050270840369225E-2</v>
      </c>
      <c r="EF57" s="1082">
        <f t="shared" si="273"/>
        <v>6.4046018073743757E-2</v>
      </c>
      <c r="EG57" s="1003">
        <f t="shared" si="274"/>
        <v>6.5560538116591932E-2</v>
      </c>
      <c r="EH57" s="1003">
        <f t="shared" si="275"/>
        <v>6.5560538116591821E-2</v>
      </c>
      <c r="EI57" s="1082">
        <f t="shared" si="276"/>
        <v>6.5560538116591793E-2</v>
      </c>
      <c r="EJ57" s="1003">
        <f t="shared" si="277"/>
        <v>9.0000000000000108E-2</v>
      </c>
      <c r="EK57" s="1003">
        <f t="shared" si="278"/>
        <v>9.0000000000000024E-2</v>
      </c>
      <c r="EL57" s="1082">
        <f t="shared" si="279"/>
        <v>9.0000000000000149E-2</v>
      </c>
      <c r="EM57" s="1003">
        <f t="shared" si="280"/>
        <v>9.0000000000000066E-2</v>
      </c>
      <c r="EN57" s="1003">
        <f t="shared" si="281"/>
        <v>0.09</v>
      </c>
      <c r="EO57" s="1082">
        <f t="shared" si="282"/>
        <v>8.9999999999999955E-2</v>
      </c>
      <c r="EP57" s="1003">
        <f t="shared" si="283"/>
        <v>6.5000000000000113E-2</v>
      </c>
      <c r="EQ57" s="1003">
        <f t="shared" si="284"/>
        <v>6.500000000000021E-2</v>
      </c>
      <c r="ER57" s="1082">
        <f t="shared" si="285"/>
        <v>6.5000000000000169E-2</v>
      </c>
      <c r="ES57" s="1003">
        <f t="shared" si="286"/>
        <v>9.0000000000000316E-2</v>
      </c>
      <c r="ET57" s="1003">
        <f t="shared" si="287"/>
        <v>9.0000000000000163E-2</v>
      </c>
      <c r="EU57" s="1082">
        <f t="shared" si="288"/>
        <v>9.0000000000000302E-2</v>
      </c>
      <c r="EV57" s="1003">
        <f t="shared" si="289"/>
        <v>8.9999999999999983E-2</v>
      </c>
      <c r="EW57" s="1003">
        <f t="shared" si="290"/>
        <v>8.9999999999999872E-2</v>
      </c>
      <c r="EX57" s="1082">
        <f t="shared" si="291"/>
        <v>9.0000000000000038E-2</v>
      </c>
      <c r="EY57" s="1003">
        <f t="shared" si="292"/>
        <v>0.09</v>
      </c>
      <c r="EZ57" s="1003">
        <f t="shared" si="293"/>
        <v>9.0000000000000455E-2</v>
      </c>
      <c r="FA57" s="1082">
        <f t="shared" si="294"/>
        <v>9.0000000000000122E-2</v>
      </c>
      <c r="FB57" s="1010"/>
      <c r="FC57" s="1010"/>
      <c r="FD57" s="1010"/>
      <c r="FE57" s="1010"/>
      <c r="FF57" s="1010"/>
      <c r="FG57" s="1010"/>
      <c r="FH57" s="1010"/>
      <c r="FI57" s="1010"/>
      <c r="FJ57" s="35"/>
      <c r="FK57" s="35"/>
      <c r="FL57" s="35"/>
      <c r="FM57" s="35"/>
      <c r="FN57" s="35"/>
      <c r="FO57" s="35"/>
      <c r="FP57" s="35"/>
      <c r="FQ57" s="35"/>
    </row>
    <row r="58" spans="1:173" s="321" customFormat="1" ht="13.35" customHeight="1" outlineLevel="1">
      <c r="A58" s="1168"/>
      <c r="B58" s="927" t="s">
        <v>159</v>
      </c>
      <c r="C58" s="927"/>
      <c r="D58" s="926" t="s">
        <v>460</v>
      </c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 t="str">
        <f>IF(ISERROR((#REF!-#REF!)/#REF!),"",(#REF!-#REF!)/#REF!)</f>
        <v/>
      </c>
      <c r="AS58" s="175" t="str">
        <f>IF(ISERROR((#REF!-#REF!)/#REF!),"",(#REF!-#REF!)/#REF!)</f>
        <v/>
      </c>
      <c r="AT58" s="175"/>
      <c r="AU58" s="175"/>
      <c r="AV58" s="175"/>
      <c r="AW58" s="175"/>
      <c r="AX58" s="175" t="str">
        <f>IF(ISERROR((#REF!-#REF!)/#REF!),"",(#REF!-#REF!)/#REF!)</f>
        <v/>
      </c>
      <c r="AY58" s="175" t="str">
        <f>IF(ISERROR((#REF!-#REF!)/#REF!),"",(#REF!-#REF!)/#REF!)</f>
        <v/>
      </c>
      <c r="AZ58" s="175" t="str">
        <f>IF(ISERROR((#REF!-#REF!)/#REF!),"",(#REF!-#REF!)/#REF!)</f>
        <v/>
      </c>
      <c r="BA58" s="175"/>
      <c r="BB58" s="175"/>
      <c r="BC58" s="929"/>
      <c r="BD58" s="175" t="str">
        <f t="shared" si="194"/>
        <v/>
      </c>
      <c r="BE58" s="175" t="str">
        <f t="shared" si="195"/>
        <v/>
      </c>
      <c r="BF58" s="929" t="str">
        <f t="shared" si="196"/>
        <v/>
      </c>
      <c r="BG58" s="175">
        <f t="shared" si="197"/>
        <v>0.76323836334514383</v>
      </c>
      <c r="BH58" s="175">
        <f t="shared" si="198"/>
        <v>2.8790829423740809</v>
      </c>
      <c r="BI58" s="929">
        <f t="shared" si="199"/>
        <v>1.5125391849529779</v>
      </c>
      <c r="BJ58" s="175">
        <f t="shared" si="200"/>
        <v>-2.0645232327680934E-2</v>
      </c>
      <c r="BK58" s="175">
        <f t="shared" si="201"/>
        <v>-0.77447400848888681</v>
      </c>
      <c r="BL58" s="929">
        <f t="shared" si="202"/>
        <v>-0.43280099812850903</v>
      </c>
      <c r="BM58" s="175">
        <f t="shared" si="203"/>
        <v>0.25139130923604458</v>
      </c>
      <c r="BN58" s="175">
        <f t="shared" si="204"/>
        <v>2.8113933016290602</v>
      </c>
      <c r="BO58" s="929">
        <f t="shared" si="205"/>
        <v>0.80792327489496496</v>
      </c>
      <c r="BP58" s="175">
        <f t="shared" si="206"/>
        <v>0.39548987017654202</v>
      </c>
      <c r="BQ58" s="175">
        <f t="shared" si="207"/>
        <v>0.23093872783264305</v>
      </c>
      <c r="BR58" s="929">
        <f t="shared" si="208"/>
        <v>0.32007543496775764</v>
      </c>
      <c r="BS58" s="175">
        <f t="shared" si="209"/>
        <v>0.24264553614347537</v>
      </c>
      <c r="BT58" s="175">
        <f t="shared" si="210"/>
        <v>0.54431755779833368</v>
      </c>
      <c r="BU58" s="175">
        <f t="shared" si="211"/>
        <v>0.37156731857129194</v>
      </c>
      <c r="BV58" s="175">
        <f t="shared" si="212"/>
        <v>-5.497499194525314E-2</v>
      </c>
      <c r="BW58" s="175">
        <f t="shared" si="213"/>
        <v>0.14382932618787039</v>
      </c>
      <c r="BX58" s="175">
        <f t="shared" si="214"/>
        <v>4.0686370427077442E-2</v>
      </c>
      <c r="BY58" s="175">
        <f t="shared" si="215"/>
        <v>0.23324284996730665</v>
      </c>
      <c r="BZ58" s="175">
        <f t="shared" si="216"/>
        <v>0.43430754255074994</v>
      </c>
      <c r="CA58" s="175">
        <f t="shared" si="217"/>
        <v>0.33958071162315812</v>
      </c>
      <c r="CB58" s="175">
        <f t="shared" si="218"/>
        <v>-6.4626869513557117E-2</v>
      </c>
      <c r="CC58" s="175">
        <f t="shared" si="219"/>
        <v>-0.24428095832612609</v>
      </c>
      <c r="CD58" s="175">
        <f t="shared" si="220"/>
        <v>-0.16636004746024743</v>
      </c>
      <c r="CE58" s="175">
        <f t="shared" si="221"/>
        <v>8.6079289820223434E-2</v>
      </c>
      <c r="CF58" s="175">
        <f t="shared" si="222"/>
        <v>-0.20990974702663237</v>
      </c>
      <c r="CG58" s="175">
        <f t="shared" si="223"/>
        <v>-6.5864507450586557E-2</v>
      </c>
      <c r="CH58" s="175">
        <f t="shared" si="224"/>
        <v>-0.16078946875473216</v>
      </c>
      <c r="CI58" s="175">
        <f t="shared" si="225"/>
        <v>2.4013732079873364E-2</v>
      </c>
      <c r="CJ58" s="175">
        <f t="shared" si="226"/>
        <v>-8.0550808255634335E-2</v>
      </c>
      <c r="CK58" s="175">
        <f t="shared" si="227"/>
        <v>0.13176308799646791</v>
      </c>
      <c r="CL58" s="175">
        <f t="shared" si="228"/>
        <v>-0.156144131213593</v>
      </c>
      <c r="CM58" s="175">
        <f t="shared" si="229"/>
        <v>-7.4579223039165435E-3</v>
      </c>
      <c r="CN58" s="175">
        <f t="shared" si="230"/>
        <v>-0.32776376977900168</v>
      </c>
      <c r="CO58" s="175">
        <f t="shared" si="231"/>
        <v>0.90188533373861979</v>
      </c>
      <c r="CP58" s="175">
        <f t="shared" si="232"/>
        <v>0.17777302613850221</v>
      </c>
      <c r="CQ58" s="175">
        <f t="shared" si="233"/>
        <v>0.72143166400499492</v>
      </c>
      <c r="CR58" s="175">
        <f t="shared" si="234"/>
        <v>2.2001556982300725E-2</v>
      </c>
      <c r="CS58" s="175">
        <f t="shared" si="235"/>
        <v>0.25708896393787112</v>
      </c>
      <c r="CT58" s="175">
        <f t="shared" si="236"/>
        <v>0.66197375170759543</v>
      </c>
      <c r="CU58" s="175">
        <f t="shared" si="237"/>
        <v>9.3286916501570338E-2</v>
      </c>
      <c r="CV58" s="175">
        <f t="shared" si="238"/>
        <v>0.35503408430333627</v>
      </c>
      <c r="CW58" s="175">
        <f t="shared" si="239"/>
        <v>-0.1226868269003507</v>
      </c>
      <c r="CX58" s="175">
        <f t="shared" si="240"/>
        <v>0.16879931903014395</v>
      </c>
      <c r="CY58" s="175">
        <f t="shared" si="241"/>
        <v>4.2482623841578592E-3</v>
      </c>
      <c r="CZ58" s="175">
        <f t="shared" si="242"/>
        <v>1.5401380214775495E-2</v>
      </c>
      <c r="DA58" s="175">
        <f t="shared" si="243"/>
        <v>0.17265528296590157</v>
      </c>
      <c r="DB58" s="175">
        <f t="shared" si="244"/>
        <v>9.5102434895631499E-2</v>
      </c>
      <c r="DC58" s="175">
        <f t="shared" si="245"/>
        <v>0.20047990097357221</v>
      </c>
      <c r="DD58" s="175">
        <f t="shared" si="246"/>
        <v>4.2784476834881138E-2</v>
      </c>
      <c r="DE58" s="175">
        <f t="shared" si="247"/>
        <v>0.1148949616288039</v>
      </c>
      <c r="DF58" s="175">
        <f t="shared" si="248"/>
        <v>0.10447615570203868</v>
      </c>
      <c r="DG58" s="175">
        <f t="shared" si="249"/>
        <v>-0.64441480873933543</v>
      </c>
      <c r="DH58" s="1082">
        <f t="shared" si="250"/>
        <v>-0.27567599435465101</v>
      </c>
      <c r="DI58" s="175">
        <f t="shared" si="251"/>
        <v>-4.6636653663705958E-2</v>
      </c>
      <c r="DJ58" s="175">
        <f t="shared" si="252"/>
        <v>1.3751556134701519</v>
      </c>
      <c r="DK58" s="1082">
        <f t="shared" si="253"/>
        <v>0.30767529237465102</v>
      </c>
      <c r="DL58" s="1003">
        <f t="shared" si="254"/>
        <v>0.10146004892054178</v>
      </c>
      <c r="DM58" s="1003">
        <f t="shared" si="255"/>
        <v>-6.092374264214875E-3</v>
      </c>
      <c r="DN58" s="1082">
        <f t="shared" si="256"/>
        <v>5.2778767936944727E-2</v>
      </c>
      <c r="DO58" s="1003">
        <f t="shared" si="257"/>
        <v>-6.2049203283438499E-2</v>
      </c>
      <c r="DP58" s="1003">
        <f t="shared" si="258"/>
        <v>0.15726435251436852</v>
      </c>
      <c r="DQ58" s="1082">
        <f t="shared" si="259"/>
        <v>3.1667322306526954E-2</v>
      </c>
      <c r="DR58" s="1003">
        <f t="shared" si="260"/>
        <v>0.38123936516526391</v>
      </c>
      <c r="DS58" s="1003">
        <f t="shared" si="261"/>
        <v>0.766515414456164</v>
      </c>
      <c r="DT58" s="1082">
        <f t="shared" si="262"/>
        <v>0.56591755794201082</v>
      </c>
      <c r="DU58" s="1003">
        <f t="shared" si="263"/>
        <v>4.9599111769720332E-4</v>
      </c>
      <c r="DV58" s="1003">
        <f t="shared" si="264"/>
        <v>-0.14947138729925069</v>
      </c>
      <c r="DW58" s="1082">
        <f t="shared" si="265"/>
        <v>-8.059804971633662E-2</v>
      </c>
      <c r="DX58" s="1003">
        <f t="shared" si="265"/>
        <v>-6.4140943978985385E-2</v>
      </c>
      <c r="DY58" s="1003">
        <f t="shared" si="266"/>
        <v>6.6482337308242642E-2</v>
      </c>
      <c r="DZ58" s="1082">
        <f t="shared" si="267"/>
        <v>1.2016300538906218E-3</v>
      </c>
      <c r="EA58" s="1003">
        <f t="shared" si="268"/>
        <v>0.27427581171210103</v>
      </c>
      <c r="EB58" s="1003">
        <f t="shared" si="269"/>
        <v>0.14110689921547678</v>
      </c>
      <c r="EC58" s="1082">
        <f t="shared" si="270"/>
        <v>0.20331629943456345</v>
      </c>
      <c r="ED58" s="1003">
        <f t="shared" si="271"/>
        <v>0.13841768368552304</v>
      </c>
      <c r="EE58" s="1003">
        <f t="shared" si="272"/>
        <v>0.13866923947137033</v>
      </c>
      <c r="EF58" s="1082">
        <f t="shared" si="273"/>
        <v>0.1385447962881641</v>
      </c>
      <c r="EG58" s="1003">
        <f t="shared" si="274"/>
        <v>0.12909587911807771</v>
      </c>
      <c r="EH58" s="1003">
        <f t="shared" si="275"/>
        <v>0.12913397870585708</v>
      </c>
      <c r="EI58" s="1082">
        <f t="shared" si="276"/>
        <v>0.12911513316576323</v>
      </c>
      <c r="EJ58" s="1003">
        <f t="shared" si="277"/>
        <v>0.1002976593565887</v>
      </c>
      <c r="EK58" s="1003">
        <f t="shared" si="278"/>
        <v>0.10004637553881038</v>
      </c>
      <c r="EL58" s="1082">
        <f t="shared" si="279"/>
        <v>0.10017066818306705</v>
      </c>
      <c r="EM58" s="1003">
        <f t="shared" si="280"/>
        <v>9.9866301611167357E-2</v>
      </c>
      <c r="EN58" s="1003">
        <f t="shared" si="281"/>
        <v>9.963057824441636E-2</v>
      </c>
      <c r="EO58" s="1082">
        <f t="shared" si="282"/>
        <v>9.9747187673275228E-2</v>
      </c>
      <c r="EP58" s="1003">
        <f t="shared" si="283"/>
        <v>0.11737705126048945</v>
      </c>
      <c r="EQ58" s="1003">
        <f t="shared" si="284"/>
        <v>0.11729043770274022</v>
      </c>
      <c r="ER58" s="1082">
        <f t="shared" si="285"/>
        <v>0.11733328899732819</v>
      </c>
      <c r="ES58" s="1003">
        <f t="shared" si="286"/>
        <v>9.5556271768776554E-2</v>
      </c>
      <c r="ET58" s="1003">
        <f t="shared" si="287"/>
        <v>9.528449312543634E-2</v>
      </c>
      <c r="EU58" s="1082">
        <f t="shared" si="288"/>
        <v>9.5418958481082436E-2</v>
      </c>
      <c r="EV58" s="1003">
        <f t="shared" si="289"/>
        <v>9.5255958640620669E-2</v>
      </c>
      <c r="EW58" s="1003">
        <f t="shared" si="290"/>
        <v>9.4996344696895163E-2</v>
      </c>
      <c r="EX58" s="1082">
        <f t="shared" si="291"/>
        <v>9.5124807539958847E-2</v>
      </c>
      <c r="EY58" s="1003">
        <f t="shared" si="292"/>
        <v>9.4974560510781833E-2</v>
      </c>
      <c r="EZ58" s="1003">
        <f t="shared" si="293"/>
        <v>9.4726467507046247E-2</v>
      </c>
      <c r="FA58" s="1082">
        <f t="shared" si="294"/>
        <v>9.4849244230650206E-2</v>
      </c>
      <c r="FB58" s="1003"/>
      <c r="FC58" s="1003"/>
      <c r="FD58" s="1003"/>
      <c r="FE58" s="1003"/>
      <c r="FF58" s="1003"/>
      <c r="FG58" s="1003"/>
      <c r="FH58" s="1003"/>
      <c r="FI58" s="1003"/>
      <c r="FJ58" s="35"/>
      <c r="FK58" s="35"/>
      <c r="FL58" s="35"/>
      <c r="FM58" s="35"/>
      <c r="FN58" s="35"/>
      <c r="FO58" s="35"/>
      <c r="FP58" s="35"/>
      <c r="FQ58" s="35"/>
    </row>
    <row r="59" spans="1:173" s="321" customFormat="1" ht="13.35" customHeight="1" outlineLevel="1">
      <c r="A59" s="1168"/>
      <c r="B59" s="927"/>
      <c r="C59" s="186" t="s">
        <v>286</v>
      </c>
      <c r="D59" s="926" t="s">
        <v>460</v>
      </c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929"/>
      <c r="BD59" s="175" t="str">
        <f t="shared" si="194"/>
        <v/>
      </c>
      <c r="BE59" s="175" t="str">
        <f t="shared" si="195"/>
        <v/>
      </c>
      <c r="BF59" s="929" t="str">
        <f t="shared" si="196"/>
        <v/>
      </c>
      <c r="BG59" s="175" t="str">
        <f t="shared" si="197"/>
        <v/>
      </c>
      <c r="BH59" s="175" t="str">
        <f t="shared" si="198"/>
        <v/>
      </c>
      <c r="BI59" s="929" t="str">
        <f t="shared" si="199"/>
        <v/>
      </c>
      <c r="BJ59" s="175">
        <f t="shared" si="200"/>
        <v>2.9353661714881416</v>
      </c>
      <c r="BK59" s="175">
        <f t="shared" si="201"/>
        <v>-4.9580401355225439</v>
      </c>
      <c r="BL59" s="929" t="str">
        <f t="shared" si="202"/>
        <v/>
      </c>
      <c r="BM59" s="175">
        <f t="shared" si="203"/>
        <v>-0.21496688741721859</v>
      </c>
      <c r="BN59" s="175">
        <f t="shared" si="204"/>
        <v>-1.6461447290445661E-2</v>
      </c>
      <c r="BO59" s="929">
        <f t="shared" si="205"/>
        <v>-0.11542906197378409</v>
      </c>
      <c r="BP59" s="175">
        <f t="shared" si="206"/>
        <v>4.8085034587481049E-2</v>
      </c>
      <c r="BQ59" s="175">
        <f t="shared" si="207"/>
        <v>-0.44640824797482753</v>
      </c>
      <c r="BR59" s="929">
        <f t="shared" si="208"/>
        <v>-0.22761375088649169</v>
      </c>
      <c r="BS59" s="175">
        <f t="shared" si="209"/>
        <v>-0.56138364461820223</v>
      </c>
      <c r="BT59" s="175">
        <f t="shared" si="210"/>
        <v>0.33952696352412787</v>
      </c>
      <c r="BU59" s="175">
        <f t="shared" si="211"/>
        <v>-0.20137640455011499</v>
      </c>
      <c r="BV59" s="175">
        <f t="shared" si="212"/>
        <v>1.5306405265387597</v>
      </c>
      <c r="BW59" s="175">
        <f t="shared" si="213"/>
        <v>-0.323561443879473</v>
      </c>
      <c r="BX59" s="175">
        <f t="shared" si="214"/>
        <v>0.28785583481042715</v>
      </c>
      <c r="BY59" s="175">
        <f t="shared" si="215"/>
        <v>-0.39931367547553315</v>
      </c>
      <c r="BZ59" s="175">
        <f t="shared" si="216"/>
        <v>-4.3916227231311256</v>
      </c>
      <c r="CA59" s="175">
        <f t="shared" si="217"/>
        <v>-1.8047918753682781</v>
      </c>
      <c r="CB59" s="175">
        <f t="shared" si="218"/>
        <v>0.29083698096339272</v>
      </c>
      <c r="CC59" s="175">
        <f t="shared" si="219"/>
        <v>-2.1002109520758454</v>
      </c>
      <c r="CD59" s="175">
        <f t="shared" si="220"/>
        <v>-3.2565796364938859</v>
      </c>
      <c r="CE59" s="175">
        <f t="shared" si="221"/>
        <v>1.0448130809338507</v>
      </c>
      <c r="CF59" s="175">
        <f t="shared" si="222"/>
        <v>0.98671917723578728</v>
      </c>
      <c r="CG59" s="175">
        <f t="shared" si="223"/>
        <v>1.0027907853542621</v>
      </c>
      <c r="CH59" s="175">
        <f t="shared" si="224"/>
        <v>0.65941001600731786</v>
      </c>
      <c r="CI59" s="175">
        <f t="shared" si="225"/>
        <v>-0.31303784250891042</v>
      </c>
      <c r="CJ59" s="175">
        <f t="shared" si="226"/>
        <v>-3.8366640399942413E-2</v>
      </c>
      <c r="CK59" s="175">
        <f t="shared" si="227"/>
        <v>-0.35209326681917158</v>
      </c>
      <c r="CL59" s="175">
        <f t="shared" si="228"/>
        <v>-0.62830861156245132</v>
      </c>
      <c r="CM59" s="175">
        <f t="shared" si="229"/>
        <v>-0.4936795583079221</v>
      </c>
      <c r="CN59" s="175">
        <f t="shared" si="230"/>
        <v>-1.2512761613067891</v>
      </c>
      <c r="CO59" s="175">
        <f t="shared" si="231"/>
        <v>-1.7064591885447242</v>
      </c>
      <c r="CP59" s="175">
        <f t="shared" si="232"/>
        <v>-1.4225600453988969</v>
      </c>
      <c r="CQ59" s="175">
        <f t="shared" si="233"/>
        <v>-0.63856441510072803</v>
      </c>
      <c r="CR59" s="175">
        <f t="shared" si="234"/>
        <v>0.41071937742950126</v>
      </c>
      <c r="CS59" s="175">
        <f t="shared" si="235"/>
        <v>2.1554314381590993E-2</v>
      </c>
      <c r="CT59" s="175">
        <f t="shared" si="236"/>
        <v>10.068612725191649</v>
      </c>
      <c r="CU59" s="175">
        <f t="shared" si="237"/>
        <v>-0.72072785060376132</v>
      </c>
      <c r="CV59" s="175">
        <f t="shared" si="238"/>
        <v>0.69508297480024595</v>
      </c>
      <c r="CW59" s="175">
        <f t="shared" si="239"/>
        <v>-1.2021722176952356</v>
      </c>
      <c r="CX59" s="175">
        <f t="shared" si="240"/>
        <v>-3.3615803725155056</v>
      </c>
      <c r="CY59" s="175">
        <f t="shared" si="241"/>
        <v>-1.5112584514476082</v>
      </c>
      <c r="CZ59" s="175">
        <f t="shared" si="242"/>
        <v>1.0930841759384942</v>
      </c>
      <c r="DA59" s="175">
        <f t="shared" si="243"/>
        <v>-0.753281528959169</v>
      </c>
      <c r="DB59" s="175">
        <f t="shared" si="244"/>
        <v>-0.1276606177327059</v>
      </c>
      <c r="DC59" s="175">
        <f t="shared" si="245"/>
        <v>-1.8099075169294134</v>
      </c>
      <c r="DD59" s="175">
        <f t="shared" si="246"/>
        <v>-5.9025971328918745</v>
      </c>
      <c r="DE59" s="175">
        <f t="shared" si="247"/>
        <v>-2.5752082883894811</v>
      </c>
      <c r="DF59" s="175">
        <f t="shared" si="248"/>
        <v>1.7040171635127399</v>
      </c>
      <c r="DG59" s="175">
        <f t="shared" si="249"/>
        <v>-0.13089543160075037</v>
      </c>
      <c r="DH59" s="1082">
        <f t="shared" si="250"/>
        <v>0.63612612537678725</v>
      </c>
      <c r="DI59" s="175">
        <f t="shared" si="251"/>
        <v>-1.0182648401826484</v>
      </c>
      <c r="DJ59" s="175">
        <f t="shared" si="252"/>
        <v>-1.3979591836734695</v>
      </c>
      <c r="DK59" s="1082"/>
      <c r="DL59" s="1003"/>
      <c r="DM59" s="1003"/>
      <c r="DN59" s="1082"/>
      <c r="DO59" s="1003"/>
      <c r="DP59" s="1003"/>
      <c r="DQ59" s="1082"/>
      <c r="DR59" s="1003"/>
      <c r="DS59" s="1003"/>
      <c r="DT59" s="1082"/>
      <c r="DU59" s="1003"/>
      <c r="DV59" s="1003"/>
      <c r="DW59" s="1082"/>
      <c r="DX59" s="1003"/>
      <c r="DY59" s="1003"/>
      <c r="DZ59" s="1082"/>
      <c r="EA59" s="1003"/>
      <c r="EB59" s="1003"/>
      <c r="EC59" s="1082"/>
      <c r="ED59" s="1003"/>
      <c r="EE59" s="1003"/>
      <c r="EF59" s="1082"/>
      <c r="EG59" s="1003"/>
      <c r="EH59" s="1003"/>
      <c r="EI59" s="1082"/>
      <c r="EJ59" s="1003"/>
      <c r="EK59" s="1003"/>
      <c r="EL59" s="1082"/>
      <c r="EM59" s="1003"/>
      <c r="EN59" s="1003"/>
      <c r="EO59" s="1082"/>
      <c r="EP59" s="1003"/>
      <c r="EQ59" s="1003"/>
      <c r="ER59" s="1082"/>
      <c r="ES59" s="1003"/>
      <c r="ET59" s="1003"/>
      <c r="EU59" s="1082"/>
      <c r="EV59" s="1003"/>
      <c r="EW59" s="1003"/>
      <c r="EX59" s="1082"/>
      <c r="EY59" s="1003"/>
      <c r="EZ59" s="1003"/>
      <c r="FA59" s="1082"/>
      <c r="FB59" s="1003"/>
      <c r="FC59" s="1003"/>
      <c r="FE59" s="1003"/>
      <c r="FF59" s="1003"/>
      <c r="FG59" s="1003"/>
      <c r="FH59" s="35"/>
      <c r="FI59" s="35"/>
      <c r="FJ59" s="35"/>
      <c r="FK59" s="35"/>
      <c r="FL59" s="35"/>
      <c r="FM59" s="35"/>
      <c r="FN59" s="35"/>
      <c r="FO59" s="35"/>
      <c r="FP59" s="35"/>
      <c r="FQ59" s="35"/>
    </row>
    <row r="60" spans="1:173" s="321" customFormat="1" ht="13.35" customHeight="1" outlineLevel="1">
      <c r="A60" s="1168"/>
      <c r="B60" s="927" t="s">
        <v>160</v>
      </c>
      <c r="C60" s="186"/>
      <c r="D60" s="926" t="s">
        <v>460</v>
      </c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929"/>
      <c r="BD60" s="175" t="str">
        <f t="shared" si="194"/>
        <v/>
      </c>
      <c r="BE60" s="175" t="str">
        <f t="shared" si="195"/>
        <v/>
      </c>
      <c r="BF60" s="929" t="str">
        <f t="shared" si="196"/>
        <v/>
      </c>
      <c r="BG60" s="175">
        <f t="shared" si="197"/>
        <v>0.94947337766344719</v>
      </c>
      <c r="BH60" s="175">
        <f t="shared" si="198"/>
        <v>2.539435248296007</v>
      </c>
      <c r="BI60" s="929">
        <f t="shared" si="199"/>
        <v>1.5125391849529779</v>
      </c>
      <c r="BJ60" s="175">
        <f t="shared" si="200"/>
        <v>0.26174530063488127</v>
      </c>
      <c r="BK60" s="175">
        <f t="shared" si="201"/>
        <v>-0.37301488058021748</v>
      </c>
      <c r="BL60" s="929">
        <f t="shared" si="202"/>
        <v>-5.4922021210230661E-2</v>
      </c>
      <c r="BM60" s="175">
        <f t="shared" si="203"/>
        <v>0.11243537629740702</v>
      </c>
      <c r="BN60" s="175">
        <f t="shared" si="204"/>
        <v>1.0983246908655766</v>
      </c>
      <c r="BO60" s="929">
        <f t="shared" si="205"/>
        <v>0.43873105560542836</v>
      </c>
      <c r="BP60" s="175">
        <f t="shared" si="206"/>
        <v>0.32244217397474112</v>
      </c>
      <c r="BQ60" s="175">
        <f t="shared" si="207"/>
        <v>3.860849729113186E-2</v>
      </c>
      <c r="BR60" s="929">
        <f t="shared" si="208"/>
        <v>0.18543599343004749</v>
      </c>
      <c r="BS60" s="175">
        <f t="shared" si="209"/>
        <v>0.10865864688490993</v>
      </c>
      <c r="BT60" s="175">
        <f t="shared" si="210"/>
        <v>0.51332309583088742</v>
      </c>
      <c r="BU60" s="175">
        <f t="shared" si="211"/>
        <v>0.27979609430818125</v>
      </c>
      <c r="BV60" s="175">
        <f t="shared" si="212"/>
        <v>4.9563289024596634E-2</v>
      </c>
      <c r="BW60" s="175">
        <f t="shared" si="213"/>
        <v>8.1214954466837824E-2</v>
      </c>
      <c r="BX60" s="175">
        <f t="shared" si="214"/>
        <v>6.5391704610523474E-2</v>
      </c>
      <c r="BY60" s="175">
        <f t="shared" si="215"/>
        <v>0.13268901610244527</v>
      </c>
      <c r="BZ60" s="175">
        <f t="shared" si="216"/>
        <v>2.9832948800734973E-2</v>
      </c>
      <c r="CA60" s="175">
        <f t="shared" si="217"/>
        <v>8.0488652770806787E-2</v>
      </c>
      <c r="CB60" s="175">
        <f t="shared" si="218"/>
        <v>-3.4660661483019349E-2</v>
      </c>
      <c r="CC60" s="175">
        <f t="shared" si="219"/>
        <v>0.26800511485157702</v>
      </c>
      <c r="CD60" s="175">
        <f t="shared" si="220"/>
        <v>0.11174352624420068</v>
      </c>
      <c r="CE60" s="175">
        <f t="shared" si="221"/>
        <v>0.19415442271322905</v>
      </c>
      <c r="CF60" s="175">
        <f t="shared" si="222"/>
        <v>7.6683144083111582E-2</v>
      </c>
      <c r="CG60" s="175">
        <f t="shared" si="223"/>
        <v>0.12934498176023204</v>
      </c>
      <c r="CH60" s="175">
        <f t="shared" si="224"/>
        <v>-2.467799912777173E-3</v>
      </c>
      <c r="CI60" s="175">
        <f t="shared" si="225"/>
        <v>-0.12493981430840116</v>
      </c>
      <c r="CJ60" s="175">
        <f t="shared" si="226"/>
        <v>-6.6885427759206792E-2</v>
      </c>
      <c r="CK60" s="175">
        <f t="shared" si="227"/>
        <v>-2.3605815173076312E-2</v>
      </c>
      <c r="CL60" s="175">
        <f t="shared" si="228"/>
        <v>-0.31995499107087555</v>
      </c>
      <c r="CM60" s="175">
        <f t="shared" si="229"/>
        <v>-0.16978130015851983</v>
      </c>
      <c r="CN60" s="175">
        <f t="shared" si="230"/>
        <v>-0.52454228834021654</v>
      </c>
      <c r="CO60" s="175">
        <f t="shared" si="231"/>
        <v>0.40727957000071663</v>
      </c>
      <c r="CP60" s="175">
        <f t="shared" si="232"/>
        <v>-0.14805626365554467</v>
      </c>
      <c r="CQ60" s="175">
        <f t="shared" si="233"/>
        <v>0.87457990353840775</v>
      </c>
      <c r="CR60" s="175">
        <f t="shared" si="234"/>
        <v>-1.5001309163533883E-2</v>
      </c>
      <c r="CS60" s="175">
        <f t="shared" si="235"/>
        <v>0.28087445177598575</v>
      </c>
      <c r="CT60" s="175">
        <f t="shared" si="236"/>
        <v>0.45773611317038471</v>
      </c>
      <c r="CU60" s="175">
        <f t="shared" si="237"/>
        <v>0.20426524407478083</v>
      </c>
      <c r="CV60" s="175">
        <f t="shared" si="238"/>
        <v>0.32764651314077847</v>
      </c>
      <c r="CW60" s="175">
        <f t="shared" si="239"/>
        <v>5.5277252726370643E-2</v>
      </c>
      <c r="CX60" s="175">
        <f t="shared" si="240"/>
        <v>0.28041694560089891</v>
      </c>
      <c r="CY60" s="175">
        <f t="shared" si="241"/>
        <v>0.16008811335286208</v>
      </c>
      <c r="CZ60" s="175">
        <f t="shared" si="242"/>
        <v>4.9439176272907906E-2</v>
      </c>
      <c r="DA60" s="175">
        <f t="shared" si="243"/>
        <v>0.11866146534658341</v>
      </c>
      <c r="DB60" s="175">
        <f t="shared" si="244"/>
        <v>8.5007271711866755E-2</v>
      </c>
      <c r="DC60" s="175">
        <f t="shared" si="245"/>
        <v>7.3837346700914047E-2</v>
      </c>
      <c r="DD60" s="175">
        <f t="shared" si="246"/>
        <v>-3.3677479765194925E-2</v>
      </c>
      <c r="DE60" s="175">
        <f t="shared" si="247"/>
        <v>1.6880092892018864E-2</v>
      </c>
      <c r="DF60" s="175">
        <f t="shared" si="248"/>
        <v>2.8479897767737461E-2</v>
      </c>
      <c r="DG60" s="175">
        <f t="shared" si="249"/>
        <v>-0.67792111960745882</v>
      </c>
      <c r="DH60" s="1082">
        <f t="shared" si="250"/>
        <v>-0.32713860975601683</v>
      </c>
      <c r="DI60" s="175">
        <f t="shared" si="251"/>
        <v>7.4733128028834556E-2</v>
      </c>
      <c r="DJ60" s="175">
        <f t="shared" si="252"/>
        <v>1.8634114131856039</v>
      </c>
      <c r="DK60" s="1082">
        <f t="shared" si="253"/>
        <v>0.50575758443475138</v>
      </c>
      <c r="DL60" s="1003">
        <f t="shared" si="254"/>
        <v>0.12778067721707129</v>
      </c>
      <c r="DM60" s="1003">
        <f t="shared" si="255"/>
        <v>-1.9119458895777718E-2</v>
      </c>
      <c r="DN60" s="1082">
        <f t="shared" si="256"/>
        <v>6.0464325840639654E-2</v>
      </c>
      <c r="DO60" s="1003">
        <f t="shared" si="257"/>
        <v>-0.12070771764705938</v>
      </c>
      <c r="DP60" s="1003">
        <f t="shared" si="258"/>
        <v>6.590029927437531E-2</v>
      </c>
      <c r="DQ60" s="1082">
        <f t="shared" si="259"/>
        <v>-4.1612773487381051E-2</v>
      </c>
      <c r="DR60" s="1003">
        <f t="shared" si="260"/>
        <v>0.35619875256897837</v>
      </c>
      <c r="DS60" s="1003">
        <f t="shared" si="261"/>
        <v>0.84964076005011002</v>
      </c>
      <c r="DT60" s="1082">
        <f t="shared" si="262"/>
        <v>0.58880967975409115</v>
      </c>
      <c r="DU60" s="1003">
        <f t="shared" si="263"/>
        <v>6.7177297319003459E-2</v>
      </c>
      <c r="DV60" s="1003">
        <f t="shared" ref="DV60:DV62" si="295">IF(ISERROR((DV49-DS49)/DS49),"",(DV49-DS49)/DS49)</f>
        <v>-0.1758847471558071</v>
      </c>
      <c r="DW60" s="1082">
        <f t="shared" ref="DW60:DW62" si="296">IF(ISERROR((DW49-DT49)/DT49),"",(DW49-DT49)/DT49)</f>
        <v>-6.621374012614982E-2</v>
      </c>
      <c r="DX60" s="1003">
        <f t="shared" si="265"/>
        <v>-0.10356862263871523</v>
      </c>
      <c r="DY60" s="1003">
        <f t="shared" si="266"/>
        <v>0.14786051812939655</v>
      </c>
      <c r="DZ60" s="1082">
        <f t="shared" si="267"/>
        <v>1.8208466236000569E-2</v>
      </c>
      <c r="EA60" s="1003">
        <f t="shared" si="268"/>
        <v>0.34189556473176097</v>
      </c>
      <c r="EB60" s="1003">
        <f t="shared" si="269"/>
        <v>0.1392859335300852</v>
      </c>
      <c r="EC60" s="1082">
        <f t="shared" si="270"/>
        <v>0.23126822295770275</v>
      </c>
      <c r="ED60" s="1003">
        <f t="shared" si="271"/>
        <v>0.12029421796646969</v>
      </c>
      <c r="EE60" s="1003">
        <f t="shared" si="272"/>
        <v>0.12091651854321421</v>
      </c>
      <c r="EF60" s="1082">
        <f t="shared" si="273"/>
        <v>0.12060861805421516</v>
      </c>
      <c r="EG60" s="1003">
        <f t="shared" si="274"/>
        <v>0.12909587911807771</v>
      </c>
      <c r="EH60" s="1003">
        <f t="shared" si="275"/>
        <v>0.12913397870585708</v>
      </c>
      <c r="EI60" s="1082">
        <f t="shared" si="276"/>
        <v>0.12911513316576323</v>
      </c>
      <c r="EJ60" s="1003">
        <f t="shared" si="277"/>
        <v>0.1002976593565887</v>
      </c>
      <c r="EK60" s="1003">
        <f t="shared" si="278"/>
        <v>0.10004637553881038</v>
      </c>
      <c r="EL60" s="1082">
        <f t="shared" si="279"/>
        <v>0.10017066818306705</v>
      </c>
      <c r="EM60" s="1003">
        <f t="shared" si="280"/>
        <v>9.9866301611167357E-2</v>
      </c>
      <c r="EN60" s="1003">
        <f t="shared" si="281"/>
        <v>9.963057824441636E-2</v>
      </c>
      <c r="EO60" s="1082">
        <f t="shared" si="282"/>
        <v>9.9747187673275228E-2</v>
      </c>
      <c r="EP60" s="1003">
        <f t="shared" si="283"/>
        <v>0.11737705126048945</v>
      </c>
      <c r="EQ60" s="1003">
        <f t="shared" si="284"/>
        <v>0.11729043770274022</v>
      </c>
      <c r="ER60" s="1082">
        <f t="shared" si="285"/>
        <v>0.11733328899732819</v>
      </c>
      <c r="ES60" s="1003">
        <f t="shared" ref="ES60:ES62" si="297">IF(ISERROR((ES49-EP49)/EP49),"",(ES49-EP49)/EP49)</f>
        <v>9.5556271768776554E-2</v>
      </c>
      <c r="ET60" s="1003">
        <f t="shared" ref="ET60:ET62" si="298">IF(ISERROR((ET49-EQ49)/EQ49),"",(ET49-EQ49)/EQ49)</f>
        <v>9.528449312543634E-2</v>
      </c>
      <c r="EU60" s="1082">
        <f t="shared" ref="EU60:EU62" si="299">IF(ISERROR((EU49-ER49)/ER49),"",(EU49-ER49)/ER49)</f>
        <v>9.5418958481082436E-2</v>
      </c>
      <c r="EV60" s="1003">
        <f t="shared" ref="EV60:EV62" si="300">IF(ISERROR((EV49-ES49)/ES49),"",(EV49-ES49)/ES49)</f>
        <v>9.5255958640620669E-2</v>
      </c>
      <c r="EW60" s="1003">
        <f t="shared" ref="EW60:EW62" si="301">IF(ISERROR((EW49-ET49)/ET49),"",(EW49-ET49)/ET49)</f>
        <v>9.4996344696895163E-2</v>
      </c>
      <c r="EX60" s="1082">
        <f t="shared" ref="EX60:EX62" si="302">IF(ISERROR((EX49-EU49)/EU49),"",(EX49-EU49)/EU49)</f>
        <v>9.5124807539958847E-2</v>
      </c>
      <c r="EY60" s="1003">
        <f t="shared" ref="EY60:EY62" si="303">IF(ISERROR((EY49-EV49)/EV49),"",(EY49-EV49)/EV49)</f>
        <v>9.4974560510781833E-2</v>
      </c>
      <c r="EZ60" s="1003">
        <f t="shared" ref="EZ60:EZ62" si="304">IF(ISERROR((EZ49-EW49)/EW49),"",(EZ49-EW49)/EW49)</f>
        <v>9.4726467507046247E-2</v>
      </c>
      <c r="FA60" s="1082">
        <f t="shared" ref="FA60:FA62" si="305">IF(ISERROR((FA49-EX49)/EX49),"",(FA49-EX49)/EX49)</f>
        <v>9.4849244230650206E-2</v>
      </c>
      <c r="FB60" s="1003"/>
      <c r="FC60" s="1003"/>
      <c r="FE60" s="1003"/>
      <c r="FF60" s="1003"/>
      <c r="FG60" s="1003"/>
      <c r="FH60" s="35"/>
      <c r="FI60" s="35"/>
      <c r="FJ60" s="35"/>
      <c r="FK60" s="35"/>
      <c r="FL60" s="35"/>
      <c r="FM60" s="35"/>
      <c r="FN60" s="35"/>
      <c r="FO60" s="35"/>
      <c r="FP60" s="35"/>
      <c r="FQ60" s="35"/>
    </row>
    <row r="61" spans="1:173" s="918" customFormat="1" ht="13.35" customHeight="1" outlineLevel="1">
      <c r="A61" s="1420"/>
      <c r="B61" s="321"/>
      <c r="C61" s="321" t="s">
        <v>108</v>
      </c>
      <c r="D61" s="926" t="s">
        <v>460</v>
      </c>
      <c r="E61" s="934"/>
      <c r="F61" s="934"/>
      <c r="G61" s="934"/>
      <c r="H61" s="934"/>
      <c r="I61" s="934"/>
      <c r="J61" s="934"/>
      <c r="K61" s="934"/>
      <c r="L61" s="934"/>
      <c r="M61" s="934"/>
      <c r="N61" s="934"/>
      <c r="O61" s="934"/>
      <c r="P61" s="934"/>
      <c r="Q61" s="934"/>
      <c r="R61" s="934"/>
      <c r="S61" s="934"/>
      <c r="T61" s="934"/>
      <c r="U61" s="934"/>
      <c r="V61" s="934"/>
      <c r="W61" s="934"/>
      <c r="X61" s="934"/>
      <c r="Y61" s="934"/>
      <c r="Z61" s="934"/>
      <c r="AA61" s="934"/>
      <c r="AB61" s="934"/>
      <c r="AC61" s="934"/>
      <c r="AD61" s="934"/>
      <c r="AE61" s="934"/>
      <c r="AF61" s="934"/>
      <c r="AG61" s="934"/>
      <c r="AH61" s="934"/>
      <c r="AI61" s="934"/>
      <c r="AJ61" s="934"/>
      <c r="AK61" s="934"/>
      <c r="AL61" s="934"/>
      <c r="AM61" s="934"/>
      <c r="AN61" s="934"/>
      <c r="AO61" s="934"/>
      <c r="AP61" s="934"/>
      <c r="AQ61" s="934"/>
      <c r="AR61" s="934"/>
      <c r="AS61" s="934"/>
      <c r="AT61" s="934"/>
      <c r="AU61" s="934"/>
      <c r="AV61" s="934"/>
      <c r="AW61" s="934"/>
      <c r="AX61" s="934"/>
      <c r="AY61" s="934"/>
      <c r="AZ61" s="934"/>
      <c r="BA61" s="175"/>
      <c r="BB61" s="175"/>
      <c r="BC61" s="929"/>
      <c r="BD61" s="175" t="str">
        <f t="shared" si="194"/>
        <v/>
      </c>
      <c r="BE61" s="175" t="str">
        <f t="shared" si="195"/>
        <v/>
      </c>
      <c r="BF61" s="929" t="str">
        <f t="shared" si="196"/>
        <v/>
      </c>
      <c r="BG61" s="175" t="str">
        <f t="shared" si="197"/>
        <v/>
      </c>
      <c r="BH61" s="175" t="str">
        <f t="shared" si="198"/>
        <v/>
      </c>
      <c r="BI61" s="929" t="str">
        <f t="shared" si="199"/>
        <v/>
      </c>
      <c r="BJ61" s="175" t="str">
        <f t="shared" si="200"/>
        <v/>
      </c>
      <c r="BK61" s="175" t="str">
        <f t="shared" si="201"/>
        <v/>
      </c>
      <c r="BL61" s="929" t="str">
        <f t="shared" si="202"/>
        <v/>
      </c>
      <c r="BM61" s="175" t="str">
        <f t="shared" si="203"/>
        <v/>
      </c>
      <c r="BN61" s="175" t="str">
        <f t="shared" si="204"/>
        <v/>
      </c>
      <c r="BO61" s="929" t="str">
        <f t="shared" si="205"/>
        <v/>
      </c>
      <c r="BP61" s="175" t="str">
        <f t="shared" si="206"/>
        <v/>
      </c>
      <c r="BQ61" s="175" t="str">
        <f t="shared" si="207"/>
        <v/>
      </c>
      <c r="BR61" s="929" t="str">
        <f t="shared" si="208"/>
        <v/>
      </c>
      <c r="BS61" s="175" t="str">
        <f t="shared" si="209"/>
        <v/>
      </c>
      <c r="BT61" s="175" t="str">
        <f t="shared" si="210"/>
        <v/>
      </c>
      <c r="BU61" s="175" t="str">
        <f t="shared" si="211"/>
        <v/>
      </c>
      <c r="BV61" s="175" t="str">
        <f t="shared" si="212"/>
        <v/>
      </c>
      <c r="BW61" s="175">
        <f t="shared" si="213"/>
        <v>0.20035304501323908</v>
      </c>
      <c r="BX61" s="175">
        <f t="shared" si="214"/>
        <v>1.2153574580759046</v>
      </c>
      <c r="BY61" s="175">
        <f t="shared" si="215"/>
        <v>9.5652173913044532E-3</v>
      </c>
      <c r="BZ61" s="175">
        <f t="shared" si="216"/>
        <v>0.41176470588235303</v>
      </c>
      <c r="CA61" s="175">
        <f t="shared" si="217"/>
        <v>0.22749003984063754</v>
      </c>
      <c r="CB61" s="175">
        <f t="shared" si="218"/>
        <v>6.1326442721791565</v>
      </c>
      <c r="CC61" s="175">
        <f t="shared" si="219"/>
        <v>-0.59218750000000031</v>
      </c>
      <c r="CD61" s="175">
        <f t="shared" si="220"/>
        <v>1.9419019798766637</v>
      </c>
      <c r="CE61" s="175">
        <f t="shared" si="221"/>
        <v>-0.1865716700881537</v>
      </c>
      <c r="CF61" s="175">
        <f t="shared" si="222"/>
        <v>-1</v>
      </c>
      <c r="CG61" s="175">
        <f t="shared" si="223"/>
        <v>-0.25684024713150932</v>
      </c>
      <c r="CH61" s="175">
        <f t="shared" si="224"/>
        <v>-1.1972980997624703</v>
      </c>
      <c r="CI61" s="175" t="str">
        <f t="shared" si="225"/>
        <v/>
      </c>
      <c r="CJ61" s="175">
        <f t="shared" si="226"/>
        <v>-1.1839370546318291</v>
      </c>
      <c r="CK61" s="175">
        <f t="shared" si="227"/>
        <v>-1.1504890895410083</v>
      </c>
      <c r="CL61" s="175">
        <f t="shared" si="228"/>
        <v>-4.7333333333333352</v>
      </c>
      <c r="CM61" s="175">
        <f t="shared" si="229"/>
        <v>-0.890234059725585</v>
      </c>
      <c r="CN61" s="175">
        <f t="shared" si="230"/>
        <v>2.5899999999999981</v>
      </c>
      <c r="CO61" s="175">
        <f t="shared" si="231"/>
        <v>2.8630952380952359</v>
      </c>
      <c r="CP61" s="175">
        <f t="shared" si="232"/>
        <v>3.2647058823529389</v>
      </c>
      <c r="CQ61" s="175">
        <f t="shared" si="233"/>
        <v>1.9052924791086352</v>
      </c>
      <c r="CR61" s="175">
        <f t="shared" si="234"/>
        <v>-2.8043143297380584</v>
      </c>
      <c r="CS61" s="175">
        <f t="shared" si="235"/>
        <v>-8.6344827586206865</v>
      </c>
      <c r="CT61" s="175">
        <f t="shared" si="236"/>
        <v>2.8048897411313525</v>
      </c>
      <c r="CU61" s="175">
        <f t="shared" si="237"/>
        <v>2.3889837745516656</v>
      </c>
      <c r="CV61" s="175">
        <f t="shared" si="238"/>
        <v>2.5849141824751585</v>
      </c>
      <c r="CW61" s="175">
        <f t="shared" si="239"/>
        <v>-0.36046365125362234</v>
      </c>
      <c r="CX61" s="175">
        <f t="shared" si="240"/>
        <v>-1.0725715005669645</v>
      </c>
      <c r="CY61" s="175">
        <f t="shared" si="241"/>
        <v>-0.71651757591029341</v>
      </c>
      <c r="CZ61" s="175">
        <f t="shared" si="242"/>
        <v>-0.66508718022277868</v>
      </c>
      <c r="DA61" s="175">
        <f t="shared" si="243"/>
        <v>-11.937469664602149</v>
      </c>
      <c r="DB61" s="175">
        <f t="shared" si="244"/>
        <v>0.77777777777777746</v>
      </c>
      <c r="DC61" s="175">
        <f t="shared" si="245"/>
        <v>3.7058339847485628</v>
      </c>
      <c r="DD61" s="175">
        <f t="shared" si="246"/>
        <v>-7.9362525956706842E-2</v>
      </c>
      <c r="DE61" s="175">
        <f t="shared" si="247"/>
        <v>0.72500000000000009</v>
      </c>
      <c r="DF61" s="175">
        <f t="shared" si="248"/>
        <v>-0.25</v>
      </c>
      <c r="DG61" s="175">
        <f t="shared" si="249"/>
        <v>-5.5517241379310347</v>
      </c>
      <c r="DH61" s="1082">
        <f t="shared" si="250"/>
        <v>-2.4782608695652173</v>
      </c>
      <c r="DI61" s="175">
        <f t="shared" si="251"/>
        <v>-2</v>
      </c>
      <c r="DJ61" s="175">
        <f t="shared" si="252"/>
        <v>-1.0037878787878789</v>
      </c>
      <c r="DK61" s="1082">
        <f t="shared" si="253"/>
        <v>-0.71078431372549011</v>
      </c>
      <c r="DL61" s="1003">
        <f t="shared" si="254"/>
        <v>-1.8499999999999999</v>
      </c>
      <c r="DM61" s="1003">
        <f t="shared" si="255"/>
        <v>86.000000000000313</v>
      </c>
      <c r="DN61" s="1082">
        <f t="shared" si="256"/>
        <v>-3.3389830508474581</v>
      </c>
      <c r="DO61" s="1003">
        <f t="shared" si="257"/>
        <v>-1.2156862745098038</v>
      </c>
      <c r="DP61" s="1003">
        <f t="shared" si="258"/>
        <v>-0.4942528735632184</v>
      </c>
      <c r="DQ61" s="1082">
        <f t="shared" si="259"/>
        <v>-0.76086956521739124</v>
      </c>
      <c r="DR61" s="1003">
        <f t="shared" si="260"/>
        <v>-2.7272727272727271</v>
      </c>
      <c r="DS61" s="1003">
        <f t="shared" si="261"/>
        <v>-9.0909090909090981E-2</v>
      </c>
      <c r="DT61" s="1082">
        <f t="shared" si="262"/>
        <v>0.78787878787878785</v>
      </c>
      <c r="DU61" s="1003">
        <f t="shared" si="263"/>
        <v>6.9473684210526319</v>
      </c>
      <c r="DV61" s="1003">
        <f t="shared" si="295"/>
        <v>1.4250000000000003</v>
      </c>
      <c r="DW61" s="1082">
        <f t="shared" si="296"/>
        <v>3.203389830508474</v>
      </c>
      <c r="DX61" s="1003">
        <f t="shared" si="265"/>
        <v>-0.40397350993377484</v>
      </c>
      <c r="DY61" s="1003">
        <f t="shared" si="266"/>
        <v>-1</v>
      </c>
      <c r="DZ61" s="1082">
        <f t="shared" si="267"/>
        <v>-0.63709677419354838</v>
      </c>
      <c r="EA61" s="1003">
        <f t="shared" si="268"/>
        <v>-1</v>
      </c>
      <c r="EB61" s="1003" t="str">
        <f t="shared" si="269"/>
        <v/>
      </c>
      <c r="EC61" s="1082">
        <f t="shared" si="270"/>
        <v>-1</v>
      </c>
      <c r="ED61" s="1003" t="str">
        <f t="shared" si="271"/>
        <v/>
      </c>
      <c r="EE61" s="1003" t="str">
        <f t="shared" si="272"/>
        <v/>
      </c>
      <c r="EF61" s="1082" t="str">
        <f t="shared" si="273"/>
        <v/>
      </c>
      <c r="EG61" s="1003" t="str">
        <f t="shared" si="274"/>
        <v/>
      </c>
      <c r="EH61" s="1003" t="str">
        <f t="shared" si="275"/>
        <v/>
      </c>
      <c r="EI61" s="1082" t="str">
        <f t="shared" si="276"/>
        <v/>
      </c>
      <c r="EJ61" s="1003" t="str">
        <f t="shared" si="277"/>
        <v/>
      </c>
      <c r="EK61" s="1003" t="str">
        <f t="shared" si="278"/>
        <v/>
      </c>
      <c r="EL61" s="1082" t="str">
        <f t="shared" si="279"/>
        <v/>
      </c>
      <c r="EM61" s="1003" t="str">
        <f t="shared" si="280"/>
        <v/>
      </c>
      <c r="EN61" s="1003" t="str">
        <f t="shared" si="281"/>
        <v/>
      </c>
      <c r="EO61" s="1082" t="str">
        <f t="shared" si="282"/>
        <v/>
      </c>
      <c r="EP61" s="1003" t="str">
        <f t="shared" si="283"/>
        <v/>
      </c>
      <c r="EQ61" s="1003" t="str">
        <f t="shared" si="284"/>
        <v/>
      </c>
      <c r="ER61" s="1082" t="str">
        <f t="shared" si="285"/>
        <v/>
      </c>
      <c r="ES61" s="1003" t="str">
        <f t="shared" si="297"/>
        <v/>
      </c>
      <c r="ET61" s="1003" t="str">
        <f t="shared" si="298"/>
        <v/>
      </c>
      <c r="EU61" s="1082" t="str">
        <f t="shared" si="299"/>
        <v/>
      </c>
      <c r="EV61" s="1003" t="str">
        <f t="shared" si="300"/>
        <v/>
      </c>
      <c r="EW61" s="1003" t="str">
        <f t="shared" si="301"/>
        <v/>
      </c>
      <c r="EX61" s="1082" t="str">
        <f t="shared" si="302"/>
        <v/>
      </c>
      <c r="EY61" s="1003" t="str">
        <f t="shared" si="303"/>
        <v/>
      </c>
      <c r="EZ61" s="1003" t="str">
        <f t="shared" si="304"/>
        <v/>
      </c>
      <c r="FA61" s="1082" t="str">
        <f t="shared" si="305"/>
        <v/>
      </c>
      <c r="FB61" s="1011"/>
      <c r="FC61" s="1011"/>
      <c r="FE61" s="1011"/>
      <c r="FF61" s="1011"/>
      <c r="FG61" s="1011"/>
      <c r="FH61" s="78"/>
      <c r="FI61" s="78"/>
      <c r="FJ61" s="78"/>
      <c r="FK61" s="78"/>
      <c r="FL61" s="78"/>
      <c r="FM61" s="78"/>
      <c r="FN61" s="78"/>
      <c r="FO61" s="78"/>
      <c r="FP61" s="78"/>
      <c r="FQ61" s="78"/>
    </row>
    <row r="62" spans="1:173" s="321" customFormat="1" ht="13.35" customHeight="1" outlineLevel="1">
      <c r="A62" s="1168"/>
      <c r="B62" s="321" t="s">
        <v>158</v>
      </c>
      <c r="D62" s="926" t="s">
        <v>460</v>
      </c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929"/>
      <c r="BD62" s="175" t="str">
        <f t="shared" si="194"/>
        <v/>
      </c>
      <c r="BE62" s="175" t="str">
        <f t="shared" si="195"/>
        <v/>
      </c>
      <c r="BF62" s="929" t="str">
        <f t="shared" si="196"/>
        <v/>
      </c>
      <c r="BG62" s="175">
        <f t="shared" si="197"/>
        <v>0.94947337766344719</v>
      </c>
      <c r="BH62" s="175">
        <f t="shared" si="198"/>
        <v>2.539435248296007</v>
      </c>
      <c r="BI62" s="929">
        <f t="shared" si="199"/>
        <v>1.5125391849529779</v>
      </c>
      <c r="BJ62" s="175">
        <f t="shared" si="200"/>
        <v>0.26174530063488127</v>
      </c>
      <c r="BK62" s="175">
        <f t="shared" si="201"/>
        <v>-0.37301488058021748</v>
      </c>
      <c r="BL62" s="929">
        <f t="shared" si="202"/>
        <v>-5.4922021210230661E-2</v>
      </c>
      <c r="BM62" s="175">
        <f t="shared" si="203"/>
        <v>0.11243537629740702</v>
      </c>
      <c r="BN62" s="175">
        <f t="shared" si="204"/>
        <v>1.0983246908655766</v>
      </c>
      <c r="BO62" s="929">
        <f t="shared" si="205"/>
        <v>0.43873105560542836</v>
      </c>
      <c r="BP62" s="175">
        <f t="shared" si="206"/>
        <v>0.32244217397474112</v>
      </c>
      <c r="BQ62" s="175">
        <f t="shared" si="207"/>
        <v>3.860849729113186E-2</v>
      </c>
      <c r="BR62" s="929">
        <f t="shared" si="208"/>
        <v>0.18543599343004749</v>
      </c>
      <c r="BS62" s="175">
        <f t="shared" si="209"/>
        <v>0.10865864688490993</v>
      </c>
      <c r="BT62" s="175">
        <f t="shared" si="210"/>
        <v>0.5340603386744337</v>
      </c>
      <c r="BU62" s="175">
        <f t="shared" si="211"/>
        <v>0.28856612294816897</v>
      </c>
      <c r="BV62" s="175">
        <f t="shared" si="212"/>
        <v>6.3476553556407606E-2</v>
      </c>
      <c r="BW62" s="175">
        <f t="shared" si="213"/>
        <v>8.2825448821780875E-2</v>
      </c>
      <c r="BX62" s="175">
        <f t="shared" si="214"/>
        <v>7.3218414015099251E-2</v>
      </c>
      <c r="BY62" s="175">
        <f t="shared" si="215"/>
        <v>0.13107821050837651</v>
      </c>
      <c r="BZ62" s="175">
        <f t="shared" si="216"/>
        <v>3.5556227396247836E-2</v>
      </c>
      <c r="CA62" s="175">
        <f t="shared" si="217"/>
        <v>8.2553897065068771E-2</v>
      </c>
      <c r="CB62" s="175">
        <f t="shared" si="218"/>
        <v>3.7356879478435467E-2</v>
      </c>
      <c r="CC62" s="175">
        <f t="shared" si="219"/>
        <v>0.25043221389574932</v>
      </c>
      <c r="CD62" s="175">
        <f t="shared" si="220"/>
        <v>0.14089812975682833</v>
      </c>
      <c r="CE62" s="175">
        <f t="shared" si="221"/>
        <v>0.16358565853008591</v>
      </c>
      <c r="CF62" s="175">
        <f t="shared" si="222"/>
        <v>6.9509562438220499E-2</v>
      </c>
      <c r="CG62" s="175">
        <f t="shared" si="223"/>
        <v>0.11348161240478863</v>
      </c>
      <c r="CH62" s="175">
        <f t="shared" si="224"/>
        <v>-6.9532255151022335E-2</v>
      </c>
      <c r="CI62" s="175">
        <f t="shared" si="225"/>
        <v>-0.12422376289401564</v>
      </c>
      <c r="CJ62" s="175">
        <f t="shared" si="226"/>
        <v>-9.7510149765313275E-2</v>
      </c>
      <c r="CK62" s="175">
        <f t="shared" si="227"/>
        <v>-1.0194026969187168E-2</v>
      </c>
      <c r="CL62" s="175">
        <f t="shared" si="228"/>
        <v>-0.32356345367844558</v>
      </c>
      <c r="CM62" s="175">
        <f t="shared" si="229"/>
        <v>-0.16575569366080997</v>
      </c>
      <c r="CN62" s="175">
        <f t="shared" si="230"/>
        <v>-0.5189064707269917</v>
      </c>
      <c r="CO62" s="175">
        <f t="shared" si="231"/>
        <v>0.39619761148387589</v>
      </c>
      <c r="CP62" s="175">
        <f t="shared" si="232"/>
        <v>-0.15056529555501863</v>
      </c>
      <c r="CQ62" s="175">
        <f t="shared" si="233"/>
        <v>0.8884975309482307</v>
      </c>
      <c r="CR62" s="175">
        <f t="shared" si="234"/>
        <v>1.9824926363133131E-2</v>
      </c>
      <c r="CS62" s="175">
        <f t="shared" si="235"/>
        <v>0.31378218707284822</v>
      </c>
      <c r="CT62" s="175">
        <f t="shared" si="236"/>
        <v>0.50649374299123295</v>
      </c>
      <c r="CU62" s="175">
        <f t="shared" si="237"/>
        <v>0.25252569178772627</v>
      </c>
      <c r="CV62" s="175">
        <f t="shared" si="238"/>
        <v>0.37606358906147452</v>
      </c>
      <c r="CW62" s="175">
        <f t="shared" si="239"/>
        <v>3.3465098014340729E-2</v>
      </c>
      <c r="CX62" s="175">
        <f t="shared" si="240"/>
        <v>0.19954967431908055</v>
      </c>
      <c r="CY62" s="175">
        <f t="shared" si="241"/>
        <v>0.1111034597480698</v>
      </c>
      <c r="CZ62" s="175">
        <f t="shared" si="242"/>
        <v>2.6240485002498013E-2</v>
      </c>
      <c r="DA62" s="175">
        <f t="shared" si="243"/>
        <v>0.16225624931374988</v>
      </c>
      <c r="DB62" s="175">
        <f t="shared" si="244"/>
        <v>9.4884083638257052E-2</v>
      </c>
      <c r="DC62" s="175">
        <f t="shared" si="245"/>
        <v>0.11232073460081603</v>
      </c>
      <c r="DD62" s="175">
        <f t="shared" si="246"/>
        <v>-3.5232068823693757E-2</v>
      </c>
      <c r="DE62" s="175">
        <f t="shared" si="247"/>
        <v>3.327253009830939E-2</v>
      </c>
      <c r="DF62" s="175">
        <f t="shared" si="248"/>
        <v>1.5996630174302345E-2</v>
      </c>
      <c r="DG62" s="175">
        <f t="shared" si="249"/>
        <v>-0.83618262792407505</v>
      </c>
      <c r="DH62" s="1082">
        <f t="shared" si="250"/>
        <v>-0.41027210401347791</v>
      </c>
      <c r="DI62" s="175">
        <f t="shared" si="251"/>
        <v>6.0791563048750372E-3</v>
      </c>
      <c r="DJ62" s="175">
        <f t="shared" si="252"/>
        <v>4.4503206239907271</v>
      </c>
      <c r="DK62" s="1082">
        <f t="shared" si="253"/>
        <v>0.62360971026440526</v>
      </c>
      <c r="DL62" s="1003">
        <f t="shared" si="254"/>
        <v>0.19283099212741897</v>
      </c>
      <c r="DM62" s="1003">
        <f t="shared" si="255"/>
        <v>3.4818228382436818E-2</v>
      </c>
      <c r="DN62" s="1082">
        <f t="shared" si="256"/>
        <v>0.11912659751869012</v>
      </c>
      <c r="DO62" s="1003">
        <f t="shared" si="257"/>
        <v>-0.14637127757352991</v>
      </c>
      <c r="DP62" s="1003">
        <f t="shared" si="258"/>
        <v>3.6370580494167887E-2</v>
      </c>
      <c r="DQ62" s="1082">
        <f t="shared" si="259"/>
        <v>-6.7553514810308857E-2</v>
      </c>
      <c r="DR62" s="1003">
        <f t="shared" si="260"/>
        <v>0.37445891811024584</v>
      </c>
      <c r="DS62" s="1003">
        <f t="shared" si="261"/>
        <v>0.82544425296176926</v>
      </c>
      <c r="DT62" s="1082">
        <f t="shared" si="262"/>
        <v>0.59065093170264493</v>
      </c>
      <c r="DU62" s="1003">
        <f t="shared" si="263"/>
        <v>0.11838018204469972</v>
      </c>
      <c r="DV62" s="1003">
        <f t="shared" si="295"/>
        <v>-0.15537455800627323</v>
      </c>
      <c r="DW62" s="1082">
        <f t="shared" si="296"/>
        <v>-3.222245102366704E-2</v>
      </c>
      <c r="DX62" s="1003">
        <f t="shared" si="265"/>
        <v>-0.11945536324010757</v>
      </c>
      <c r="DY62" s="1003">
        <f t="shared" si="266"/>
        <v>0.10563778905155218</v>
      </c>
      <c r="DZ62" s="1082">
        <f t="shared" si="267"/>
        <v>-1.1381216156914903E-2</v>
      </c>
      <c r="EA62" s="1003">
        <f t="shared" si="268"/>
        <v>0.29386024189166587</v>
      </c>
      <c r="EB62" s="1003">
        <f t="shared" si="269"/>
        <v>0.1392859335300852</v>
      </c>
      <c r="EC62" s="1082">
        <f t="shared" si="270"/>
        <v>0.2108597126764552</v>
      </c>
      <c r="ED62" s="1003">
        <f t="shared" si="271"/>
        <v>0.12029421796646969</v>
      </c>
      <c r="EE62" s="1003">
        <f t="shared" si="272"/>
        <v>0.12091651854321421</v>
      </c>
      <c r="EF62" s="1082">
        <f t="shared" si="273"/>
        <v>0.12060861805421516</v>
      </c>
      <c r="EG62" s="1003">
        <f t="shared" si="274"/>
        <v>0.12909587911807771</v>
      </c>
      <c r="EH62" s="1003">
        <f t="shared" si="275"/>
        <v>0.12913397870585708</v>
      </c>
      <c r="EI62" s="1082">
        <f t="shared" si="276"/>
        <v>0.12911513316576323</v>
      </c>
      <c r="EJ62" s="1003">
        <f t="shared" si="277"/>
        <v>0.1002976593565887</v>
      </c>
      <c r="EK62" s="1003">
        <f t="shared" si="278"/>
        <v>0.10004637553881038</v>
      </c>
      <c r="EL62" s="1082">
        <f t="shared" si="279"/>
        <v>0.10017066818306705</v>
      </c>
      <c r="EM62" s="1003">
        <f t="shared" si="280"/>
        <v>9.9866301611167357E-2</v>
      </c>
      <c r="EN62" s="1003">
        <f t="shared" si="281"/>
        <v>9.963057824441636E-2</v>
      </c>
      <c r="EO62" s="1082">
        <f t="shared" si="282"/>
        <v>9.9747187673275228E-2</v>
      </c>
      <c r="EP62" s="1003">
        <f t="shared" si="283"/>
        <v>0.11737705126048945</v>
      </c>
      <c r="EQ62" s="1003">
        <f t="shared" si="284"/>
        <v>0.11729043770274022</v>
      </c>
      <c r="ER62" s="1082">
        <f t="shared" si="285"/>
        <v>0.11733328899732819</v>
      </c>
      <c r="ES62" s="1003">
        <f t="shared" si="297"/>
        <v>9.5556271768776554E-2</v>
      </c>
      <c r="ET62" s="1003">
        <f t="shared" si="298"/>
        <v>9.528449312543634E-2</v>
      </c>
      <c r="EU62" s="1082">
        <f t="shared" si="299"/>
        <v>9.5418958481082436E-2</v>
      </c>
      <c r="EV62" s="1003">
        <f t="shared" si="300"/>
        <v>9.5255958640620669E-2</v>
      </c>
      <c r="EW62" s="1003">
        <f t="shared" si="301"/>
        <v>9.4996344696895163E-2</v>
      </c>
      <c r="EX62" s="1082">
        <f t="shared" si="302"/>
        <v>9.5124807539958847E-2</v>
      </c>
      <c r="EY62" s="1003">
        <f t="shared" si="303"/>
        <v>9.4974560510781833E-2</v>
      </c>
      <c r="EZ62" s="1003">
        <f t="shared" si="304"/>
        <v>9.4726467507046247E-2</v>
      </c>
      <c r="FA62" s="1082">
        <f t="shared" si="305"/>
        <v>9.4849244230650206E-2</v>
      </c>
      <c r="FB62" s="1003"/>
      <c r="FC62" s="1003"/>
      <c r="FE62" s="1003"/>
      <c r="FF62" s="1003"/>
      <c r="FG62" s="1003"/>
      <c r="FH62" s="35"/>
      <c r="FI62" s="35"/>
      <c r="FJ62" s="35"/>
      <c r="FK62" s="35"/>
      <c r="FL62" s="35"/>
      <c r="FM62" s="35"/>
      <c r="FN62" s="35"/>
      <c r="FO62" s="35"/>
      <c r="FP62" s="35"/>
      <c r="FQ62" s="35"/>
    </row>
    <row r="63" spans="1:173" s="321" customFormat="1" ht="13.35" customHeight="1" outlineLevel="1">
      <c r="A63" s="1168"/>
      <c r="B63" s="935" t="s">
        <v>430</v>
      </c>
      <c r="D63" s="926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 t="str">
        <f>IF(ISERROR((#REF!-#REF!)/#REF!),"",(#REF!-#REF!)/#REF!)</f>
        <v/>
      </c>
      <c r="AS63" s="175" t="str">
        <f>IF(ISERROR((#REF!-#REF!)/#REF!),"",(#REF!-#REF!)/#REF!)</f>
        <v/>
      </c>
      <c r="AT63" s="175"/>
      <c r="AU63" s="175"/>
      <c r="AV63" s="175"/>
      <c r="AW63" s="175"/>
      <c r="AX63" s="175" t="str">
        <f>IF(ISERROR((#REF!-#REF!)/#REF!),"",(#REF!-#REF!)/#REF!)</f>
        <v/>
      </c>
      <c r="AY63" s="175" t="str">
        <f>IF(ISERROR((#REF!-#REF!)/#REF!),"",(#REF!-#REF!)/#REF!)</f>
        <v/>
      </c>
      <c r="AZ63" s="175" t="str">
        <f>IF(ISERROR((#REF!-#REF!)/#REF!),"",(#REF!-#REF!)/#REF!)</f>
        <v/>
      </c>
      <c r="BA63" s="175"/>
      <c r="BB63" s="175"/>
      <c r="BC63" s="929"/>
      <c r="BD63" s="175" t="str">
        <f>IF(ISERROR((#REF!-#REF!)/#REF!),"",(#REF!-#REF!)/#REF!)</f>
        <v/>
      </c>
      <c r="BE63" s="175" t="str">
        <f>IF(ISERROR((#REF!-#REF!)/#REF!),"",(#REF!-#REF!)/#REF!)</f>
        <v/>
      </c>
      <c r="BF63" s="929" t="str">
        <f>IF(ISERROR((#REF!-#REF!)/#REF!),"",(#REF!-#REF!)/#REF!)</f>
        <v/>
      </c>
      <c r="BG63" s="175" t="str">
        <f>IF(ISERROR((#REF!-#REF!)/#REF!),"",(#REF!-#REF!)/#REF!)</f>
        <v/>
      </c>
      <c r="BH63" s="175" t="str">
        <f>IF(ISERROR((#REF!-#REF!)/#REF!),"",(#REF!-#REF!)/#REF!)</f>
        <v/>
      </c>
      <c r="BI63" s="929" t="str">
        <f>IF(ISERROR((#REF!-#REF!)/#REF!),"",(#REF!-#REF!)/#REF!)</f>
        <v/>
      </c>
      <c r="BJ63" s="175" t="str">
        <f>IF(ISERROR((#REF!-#REF!)/#REF!),"",(#REF!-#REF!)/#REF!)</f>
        <v/>
      </c>
      <c r="BK63" s="175" t="str">
        <f>IF(ISERROR((#REF!-#REF!)/#REF!),"",(#REF!-#REF!)/#REF!)</f>
        <v/>
      </c>
      <c r="BL63" s="929" t="str">
        <f>IF(ISERROR((#REF!-#REF!)/#REF!),"",(#REF!-#REF!)/#REF!)</f>
        <v/>
      </c>
      <c r="BM63" s="175" t="str">
        <f>IF(ISERROR((#REF!-#REF!)/#REF!),"",(#REF!-#REF!)/#REF!)</f>
        <v/>
      </c>
      <c r="BN63" s="175" t="str">
        <f>IF(ISERROR((#REF!-#REF!)/#REF!),"",(#REF!-#REF!)/#REF!)</f>
        <v/>
      </c>
      <c r="BO63" s="929" t="str">
        <f>IF(ISERROR((#REF!-#REF!)/#REF!),"",(#REF!-#REF!)/#REF!)</f>
        <v/>
      </c>
      <c r="BP63" s="175" t="str">
        <f>IF(ISERROR((#REF!-#REF!)/#REF!),"",(#REF!-#REF!)/#REF!)</f>
        <v/>
      </c>
      <c r="BQ63" s="175" t="str">
        <f>IF(ISERROR((#REF!-#REF!)/#REF!),"",(#REF!-#REF!)/#REF!)</f>
        <v/>
      </c>
      <c r="BR63" s="929" t="str">
        <f>IF(ISERROR((#REF!-#REF!)/#REF!),"",(#REF!-#REF!)/#REF!)</f>
        <v/>
      </c>
      <c r="BS63" s="175" t="str">
        <f>IF(ISERROR((#REF!-#REF!)/#REF!),"",(#REF!-#REF!)/#REF!)</f>
        <v/>
      </c>
      <c r="BT63" s="175" t="str">
        <f>IF(ISERROR((#REF!-#REF!)/#REF!),"",(#REF!-#REF!)/#REF!)</f>
        <v/>
      </c>
      <c r="BU63" s="175" t="str">
        <f>IF(ISERROR((#REF!-#REF!)/#REF!),"",(#REF!-#REF!)/#REF!)</f>
        <v/>
      </c>
      <c r="BV63" s="175"/>
      <c r="BW63" s="175"/>
      <c r="BX63" s="175"/>
      <c r="BY63" s="175"/>
      <c r="BZ63" s="175"/>
      <c r="CA63" s="175"/>
      <c r="CB63" s="175"/>
      <c r="CC63" s="175"/>
      <c r="CD63" s="175"/>
      <c r="CE63" s="175" t="str">
        <f>IF(ISERROR((#REF!-#REF!)/#REF!),"",(#REF!-#REF!)/#REF!)</f>
        <v/>
      </c>
      <c r="CF63" s="175" t="str">
        <f>IF(ISERROR((#REF!-#REF!)/#REF!),"",(#REF!-#REF!)/#REF!)</f>
        <v/>
      </c>
      <c r="CG63" s="175"/>
      <c r="CH63" s="175"/>
      <c r="CI63" s="175"/>
      <c r="CJ63" s="175"/>
      <c r="CK63" s="175"/>
      <c r="CL63" s="175"/>
      <c r="CM63" s="175"/>
      <c r="CN63" s="175"/>
      <c r="CO63" s="175"/>
      <c r="CP63" s="175"/>
      <c r="CQ63" s="175"/>
      <c r="CR63" s="175"/>
      <c r="CS63" s="175"/>
      <c r="CT63" s="175"/>
      <c r="CU63" s="175"/>
      <c r="CV63" s="175"/>
      <c r="CW63" s="175"/>
      <c r="CX63" s="175"/>
      <c r="CY63" s="175"/>
      <c r="CZ63" s="175"/>
      <c r="DA63" s="175"/>
      <c r="DB63" s="175"/>
      <c r="DC63" s="175"/>
      <c r="DD63" s="175"/>
      <c r="DE63" s="175"/>
      <c r="DF63" s="175"/>
      <c r="DG63" s="175"/>
      <c r="DH63" s="1082"/>
      <c r="DI63" s="175"/>
      <c r="DJ63" s="175"/>
      <c r="DK63" s="1082"/>
      <c r="DL63" s="1003"/>
      <c r="DM63" s="1003"/>
      <c r="DN63" s="1082"/>
      <c r="DO63" s="1003"/>
      <c r="DP63" s="1003"/>
      <c r="DQ63" s="1082"/>
      <c r="DR63" s="1003"/>
      <c r="DS63" s="1003"/>
      <c r="DT63" s="1082"/>
      <c r="DU63" s="1003"/>
      <c r="DV63" s="1003"/>
      <c r="DW63" s="1082"/>
      <c r="DX63" s="1003"/>
      <c r="DY63" s="1003"/>
      <c r="DZ63" s="1082"/>
      <c r="EA63" s="1003"/>
      <c r="EB63" s="1003"/>
      <c r="EC63" s="1082"/>
      <c r="ED63" s="1003"/>
      <c r="EE63" s="1003"/>
      <c r="EF63" s="1082"/>
      <c r="EG63" s="1003"/>
      <c r="EH63" s="1003"/>
      <c r="EI63" s="1082"/>
      <c r="EJ63" s="1003"/>
      <c r="EK63" s="1003"/>
      <c r="EL63" s="1082"/>
      <c r="EM63" s="1003"/>
      <c r="EN63" s="1003"/>
      <c r="EO63" s="1082"/>
      <c r="EP63" s="1003"/>
      <c r="EQ63" s="1003"/>
      <c r="ER63" s="1082"/>
      <c r="ES63" s="1003"/>
      <c r="ET63" s="1003"/>
      <c r="EU63" s="1082"/>
      <c r="EV63" s="1003"/>
      <c r="EW63" s="1003"/>
      <c r="EX63" s="1082"/>
      <c r="EY63" s="1003"/>
      <c r="EZ63" s="1003"/>
      <c r="FA63" s="1082"/>
      <c r="FB63" s="1003"/>
      <c r="FC63" s="172"/>
      <c r="FE63" s="1003"/>
      <c r="FF63" s="1003"/>
      <c r="FG63" s="172"/>
      <c r="FH63" s="35"/>
      <c r="FI63" s="35"/>
      <c r="FJ63" s="35"/>
      <c r="FK63" s="35"/>
      <c r="FL63" s="35"/>
      <c r="FM63" s="35"/>
      <c r="FN63" s="35"/>
      <c r="FO63" s="35"/>
      <c r="FP63" s="35"/>
      <c r="FQ63" s="35"/>
    </row>
    <row r="64" spans="1:173" s="321" customFormat="1" ht="13.35" customHeight="1" outlineLevel="1">
      <c r="A64" s="1168"/>
      <c r="B64" s="321" t="s">
        <v>626</v>
      </c>
      <c r="C64" s="186" t="s">
        <v>316</v>
      </c>
      <c r="D64" s="926" t="s">
        <v>460</v>
      </c>
      <c r="E64" s="175" t="str">
        <f>IF(ISERROR(E43/E15),"",E43/E15)</f>
        <v/>
      </c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>
        <f t="shared" ref="BD64:CI64" si="306">BD43/BD15</f>
        <v>0.27235015688985797</v>
      </c>
      <c r="BE64" s="175">
        <f t="shared" si="306"/>
        <v>0.2612816455696203</v>
      </c>
      <c r="BF64" s="175">
        <f t="shared" si="306"/>
        <v>0.26629685633369815</v>
      </c>
      <c r="BG64" s="175">
        <f t="shared" si="306"/>
        <v>0.27746527379175756</v>
      </c>
      <c r="BH64" s="175">
        <f t="shared" si="306"/>
        <v>0.2282634096184705</v>
      </c>
      <c r="BI64" s="175">
        <f t="shared" si="306"/>
        <v>0.25531601537296267</v>
      </c>
      <c r="BJ64" s="175">
        <f t="shared" si="306"/>
        <v>0.20212006567206797</v>
      </c>
      <c r="BK64" s="175">
        <f t="shared" si="306"/>
        <v>-4.5721073172571139E-2</v>
      </c>
      <c r="BL64" s="175">
        <f t="shared" si="306"/>
        <v>8.160440064176025E-2</v>
      </c>
      <c r="BM64" s="175">
        <f t="shared" si="306"/>
        <v>0.21829221428022441</v>
      </c>
      <c r="BN64" s="175">
        <f t="shared" si="306"/>
        <v>0.16108489138984691</v>
      </c>
      <c r="BO64" s="175">
        <f t="shared" si="306"/>
        <v>0.18945891753009614</v>
      </c>
      <c r="BP64" s="175">
        <f t="shared" si="306"/>
        <v>0.33741345945911688</v>
      </c>
      <c r="BQ64" s="175">
        <f t="shared" si="306"/>
        <v>0.20555975305026822</v>
      </c>
      <c r="BR64" s="175">
        <f t="shared" si="306"/>
        <v>0.26270510828102611</v>
      </c>
      <c r="BS64" s="175">
        <f t="shared" si="306"/>
        <v>0.37659931793076556</v>
      </c>
      <c r="BT64" s="175">
        <f t="shared" si="306"/>
        <v>0.33104604295754814</v>
      </c>
      <c r="BU64" s="175">
        <f t="shared" si="306"/>
        <v>0.35377910628526943</v>
      </c>
      <c r="BV64" s="175">
        <f t="shared" si="306"/>
        <v>0.326843226836603</v>
      </c>
      <c r="BW64" s="175">
        <f t="shared" si="306"/>
        <v>0.35136519891663831</v>
      </c>
      <c r="BX64" s="175">
        <f t="shared" si="306"/>
        <v>0.3388317121377134</v>
      </c>
      <c r="BY64" s="175">
        <f t="shared" si="306"/>
        <v>0.35592133123866787</v>
      </c>
      <c r="BZ64" s="175">
        <f t="shared" si="306"/>
        <v>0.4249156898778419</v>
      </c>
      <c r="CA64" s="175">
        <f t="shared" si="306"/>
        <v>0.39107209653304548</v>
      </c>
      <c r="CB64" s="175">
        <f t="shared" si="306"/>
        <v>0.55119963265403837</v>
      </c>
      <c r="CC64" s="175">
        <f t="shared" si="306"/>
        <v>0.58804991609227775</v>
      </c>
      <c r="CD64" s="175">
        <f t="shared" si="306"/>
        <v>0.57053649683620067</v>
      </c>
      <c r="CE64" s="175">
        <f t="shared" si="306"/>
        <v>0.54441551092501117</v>
      </c>
      <c r="CF64" s="175">
        <f t="shared" si="306"/>
        <v>0.49862851534131963</v>
      </c>
      <c r="CG64" s="175">
        <f t="shared" si="306"/>
        <v>0.52208840246961485</v>
      </c>
      <c r="CH64" s="175">
        <f t="shared" si="306"/>
        <v>0.5279864917382272</v>
      </c>
      <c r="CI64" s="175">
        <f t="shared" si="306"/>
        <v>0.53756343341809198</v>
      </c>
      <c r="CJ64" s="175">
        <f t="shared" ref="CJ64:DO64" si="307">CJ43/CJ15</f>
        <v>0.53273808663762889</v>
      </c>
      <c r="CK64" s="175">
        <f t="shared" si="307"/>
        <v>0.56200860752745729</v>
      </c>
      <c r="CL64" s="175">
        <f t="shared" si="307"/>
        <v>0.4803945086395871</v>
      </c>
      <c r="CM64" s="175">
        <f t="shared" si="307"/>
        <v>0.52403759477772882</v>
      </c>
      <c r="CN64" s="175">
        <f t="shared" si="307"/>
        <v>0.47137426215017869</v>
      </c>
      <c r="CO64" s="175">
        <f t="shared" si="307"/>
        <v>0.55495254735531352</v>
      </c>
      <c r="CP64" s="175">
        <f t="shared" si="307"/>
        <v>0.51603136560932306</v>
      </c>
      <c r="CQ64" s="175">
        <f t="shared" si="307"/>
        <v>0.5120430107526881</v>
      </c>
      <c r="CR64" s="175">
        <f t="shared" si="307"/>
        <v>0.50503703132975708</v>
      </c>
      <c r="CS64" s="175">
        <f t="shared" si="307"/>
        <v>0.50843255691603673</v>
      </c>
      <c r="CT64" s="175">
        <f t="shared" si="307"/>
        <v>0.62011715201428419</v>
      </c>
      <c r="CU64" s="175">
        <f t="shared" si="307"/>
        <v>0.52199571485487295</v>
      </c>
      <c r="CV64" s="175">
        <f t="shared" si="307"/>
        <v>0.57192794928904722</v>
      </c>
      <c r="CW64" s="175">
        <f t="shared" si="307"/>
        <v>0.52531838180278745</v>
      </c>
      <c r="CX64" s="175">
        <f t="shared" si="307"/>
        <v>0.53199431848789702</v>
      </c>
      <c r="CY64" s="175">
        <f t="shared" si="307"/>
        <v>0.5287954922978757</v>
      </c>
      <c r="CZ64" s="175">
        <f t="shared" si="307"/>
        <v>0.52655824494675518</v>
      </c>
      <c r="DA64" s="175">
        <f t="shared" si="307"/>
        <v>0.55076318861446161</v>
      </c>
      <c r="DB64" s="175">
        <f t="shared" si="307"/>
        <v>0.5388116067468588</v>
      </c>
      <c r="DC64" s="175">
        <f t="shared" si="307"/>
        <v>0.54320640659097574</v>
      </c>
      <c r="DD64" s="175">
        <f t="shared" si="307"/>
        <v>0.54448512126454629</v>
      </c>
      <c r="DE64" s="175">
        <f t="shared" si="307"/>
        <v>0.54383533308849397</v>
      </c>
      <c r="DF64" s="175">
        <f t="shared" si="307"/>
        <v>0.55429170152656926</v>
      </c>
      <c r="DG64" s="175">
        <f t="shared" si="307"/>
        <v>0.4626009904168662</v>
      </c>
      <c r="DH64" s="1082">
        <f t="shared" si="307"/>
        <v>0.51610109324326003</v>
      </c>
      <c r="DI64" s="175">
        <f t="shared" si="307"/>
        <v>0.54085706680862389</v>
      </c>
      <c r="DJ64" s="175">
        <f t="shared" si="307"/>
        <v>0.51733027785734753</v>
      </c>
      <c r="DK64" s="1082">
        <f t="shared" si="307"/>
        <v>0.5295253863134658</v>
      </c>
      <c r="DL64" s="1003">
        <f t="shared" si="307"/>
        <v>0.5507209062821834</v>
      </c>
      <c r="DM64" s="1003">
        <f t="shared" si="307"/>
        <v>0.51239458216202383</v>
      </c>
      <c r="DN64" s="1082">
        <f t="shared" si="307"/>
        <v>0.53148646915480302</v>
      </c>
      <c r="DO64" s="1003">
        <f t="shared" si="307"/>
        <v>0.5230596175478065</v>
      </c>
      <c r="DP64" s="1003">
        <f t="shared" ref="DP64:EF64" si="308">DP43/DP15</f>
        <v>0.54571000374672163</v>
      </c>
      <c r="DQ64" s="1082">
        <f t="shared" si="308"/>
        <v>0.53541858325666969</v>
      </c>
      <c r="DR64" s="1003">
        <f t="shared" si="308"/>
        <v>0.57191663819610528</v>
      </c>
      <c r="DS64" s="1003">
        <f t="shared" si="308"/>
        <v>0.55393481001260569</v>
      </c>
      <c r="DT64" s="1082">
        <f t="shared" si="308"/>
        <v>0.56316297010607519</v>
      </c>
      <c r="DU64" s="1003">
        <f t="shared" si="308"/>
        <v>0.53452729464439463</v>
      </c>
      <c r="DV64" s="1003">
        <f t="shared" ref="DV64:DX64" si="309">DV43/DV15</f>
        <v>0.51293568091987074</v>
      </c>
      <c r="DW64" s="1082">
        <f t="shared" si="309"/>
        <v>0.52396025674843927</v>
      </c>
      <c r="DX64" s="1003">
        <f t="shared" si="309"/>
        <v>0.51064543168482823</v>
      </c>
      <c r="DY64" s="1003">
        <f t="shared" si="308"/>
        <v>0.51207400311339957</v>
      </c>
      <c r="DZ64" s="1082">
        <f t="shared" si="308"/>
        <v>0.51135983252195039</v>
      </c>
      <c r="EA64" s="1003">
        <f t="shared" si="308"/>
        <v>0.51707400311339979</v>
      </c>
      <c r="EB64" s="1003">
        <f t="shared" si="308"/>
        <v>0.51707400311339957</v>
      </c>
      <c r="EC64" s="1082">
        <f t="shared" si="308"/>
        <v>0.51707400311339968</v>
      </c>
      <c r="ED64" s="1003">
        <f t="shared" si="308"/>
        <v>0.52207400311339947</v>
      </c>
      <c r="EE64" s="1003">
        <f t="shared" si="308"/>
        <v>0.52207400311339947</v>
      </c>
      <c r="EF64" s="1082">
        <f t="shared" si="308"/>
        <v>0.52207400311339947</v>
      </c>
      <c r="EG64" s="1003">
        <f t="shared" ref="EG64:EL64" si="310">EG43/EG15</f>
        <v>0.52457400311339963</v>
      </c>
      <c r="EH64" s="1003">
        <f t="shared" si="310"/>
        <v>0.52457400311339963</v>
      </c>
      <c r="EI64" s="1082">
        <f t="shared" si="310"/>
        <v>0.52457400311339963</v>
      </c>
      <c r="EJ64" s="1003">
        <f t="shared" si="310"/>
        <v>0.52557400311339963</v>
      </c>
      <c r="EK64" s="1003">
        <f t="shared" si="310"/>
        <v>0.52557400311339952</v>
      </c>
      <c r="EL64" s="1082">
        <f t="shared" si="310"/>
        <v>0.52557400311339952</v>
      </c>
      <c r="EM64" s="1003">
        <f t="shared" ref="EM64:ER64" si="311">EM43/EM15</f>
        <v>0.52657400311339964</v>
      </c>
      <c r="EN64" s="1003">
        <f t="shared" si="311"/>
        <v>0.52657400311339952</v>
      </c>
      <c r="EO64" s="1082">
        <f t="shared" si="311"/>
        <v>0.52657400311339964</v>
      </c>
      <c r="EP64" s="1003">
        <f t="shared" si="311"/>
        <v>0.52657400311339952</v>
      </c>
      <c r="EQ64" s="1003">
        <f t="shared" si="311"/>
        <v>0.52657400311339952</v>
      </c>
      <c r="ER64" s="1082">
        <f t="shared" si="311"/>
        <v>0.52657400311339964</v>
      </c>
      <c r="ES64" s="1003">
        <f t="shared" ref="ES64:EX64" si="312">ES43/ES15</f>
        <v>0.52657400311339941</v>
      </c>
      <c r="ET64" s="1003">
        <f t="shared" si="312"/>
        <v>0.52657400311339941</v>
      </c>
      <c r="EU64" s="1082">
        <f t="shared" si="312"/>
        <v>0.52657400311339952</v>
      </c>
      <c r="EV64" s="1003">
        <f t="shared" si="312"/>
        <v>0.52657400311339952</v>
      </c>
      <c r="EW64" s="1003">
        <f t="shared" si="312"/>
        <v>0.52657400311339952</v>
      </c>
      <c r="EX64" s="1082">
        <f t="shared" si="312"/>
        <v>0.52657400311339964</v>
      </c>
      <c r="EY64" s="1003">
        <f t="shared" ref="EY64:FA64" si="313">EY43/EY15</f>
        <v>0.52657400311339941</v>
      </c>
      <c r="EZ64" s="1003">
        <f t="shared" si="313"/>
        <v>0.52657400311339964</v>
      </c>
      <c r="FA64" s="1082">
        <f t="shared" si="313"/>
        <v>0.52657400311339952</v>
      </c>
      <c r="FB64" s="1003"/>
      <c r="FC64" s="1003"/>
      <c r="FE64" s="1003"/>
      <c r="FF64" s="1003"/>
      <c r="FG64" s="1003"/>
      <c r="FH64" s="35"/>
      <c r="FI64" s="35"/>
      <c r="FJ64" s="35"/>
      <c r="FK64" s="35"/>
      <c r="FL64" s="35"/>
      <c r="FM64" s="35"/>
      <c r="FN64" s="35"/>
      <c r="FO64" s="35"/>
      <c r="FP64" s="35"/>
      <c r="FQ64" s="35"/>
    </row>
    <row r="65" spans="1:173" s="321" customFormat="1" ht="13.35" customHeight="1" outlineLevel="1">
      <c r="A65" s="1168"/>
      <c r="B65" s="321" t="s">
        <v>627</v>
      </c>
      <c r="C65" s="186" t="s">
        <v>317</v>
      </c>
      <c r="D65" s="926" t="s">
        <v>460</v>
      </c>
      <c r="E65" s="175" t="str">
        <f>IF(ISERROR(E44/E16),"",E44/E16)</f>
        <v/>
      </c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>
        <f t="shared" ref="BD65:CI65" si="314">BD44/BD16</f>
        <v>0.29798453542907843</v>
      </c>
      <c r="BE65" s="175">
        <f t="shared" si="314"/>
        <v>0.32478079331941545</v>
      </c>
      <c r="BF65" s="175">
        <f t="shared" si="314"/>
        <v>0.31235417905668145</v>
      </c>
      <c r="BG65" s="175">
        <f t="shared" si="314"/>
        <v>0.2899689124089323</v>
      </c>
      <c r="BH65" s="175">
        <f t="shared" si="314"/>
        <v>0.30441124155104943</v>
      </c>
      <c r="BI65" s="175">
        <f t="shared" si="314"/>
        <v>0.29822385343486613</v>
      </c>
      <c r="BJ65" s="175">
        <f t="shared" si="314"/>
        <v>0.19257733980487327</v>
      </c>
      <c r="BK65" s="175">
        <f t="shared" si="314"/>
        <v>0.25360082304526754</v>
      </c>
      <c r="BL65" s="175">
        <f t="shared" si="314"/>
        <v>0.22691408846294037</v>
      </c>
      <c r="BM65" s="175">
        <f t="shared" si="314"/>
        <v>0.38616012204828865</v>
      </c>
      <c r="BN65" s="175">
        <f t="shared" si="314"/>
        <v>0.19934815792730731</v>
      </c>
      <c r="BO65" s="175">
        <f t="shared" si="314"/>
        <v>0.28403785868396725</v>
      </c>
      <c r="BP65" s="175">
        <f t="shared" si="314"/>
        <v>0.31980768130319387</v>
      </c>
      <c r="BQ65" s="175">
        <f t="shared" si="314"/>
        <v>0.21325834149576345</v>
      </c>
      <c r="BR65" s="175">
        <f t="shared" si="314"/>
        <v>0.26318485856713597</v>
      </c>
      <c r="BS65" s="175">
        <f t="shared" si="314"/>
        <v>0.3221848139608916</v>
      </c>
      <c r="BT65" s="175">
        <f t="shared" si="314"/>
        <v>0.27447841874674161</v>
      </c>
      <c r="BU65" s="175">
        <f t="shared" si="314"/>
        <v>0.29769662710336536</v>
      </c>
      <c r="BV65" s="175">
        <f t="shared" si="314"/>
        <v>0.32063920222331205</v>
      </c>
      <c r="BW65" s="175">
        <f t="shared" si="314"/>
        <v>0.32091588563293394</v>
      </c>
      <c r="BX65" s="175">
        <f t="shared" si="314"/>
        <v>0.32078428018226779</v>
      </c>
      <c r="BY65" s="175">
        <f t="shared" si="314"/>
        <v>0.31795340935080207</v>
      </c>
      <c r="BZ65" s="175">
        <f t="shared" si="314"/>
        <v>0.3845881303910626</v>
      </c>
      <c r="CA65" s="175">
        <f t="shared" si="314"/>
        <v>0.3526111031867889</v>
      </c>
      <c r="CB65" s="175">
        <f t="shared" si="314"/>
        <v>0.47296402318071018</v>
      </c>
      <c r="CC65" s="175">
        <f t="shared" si="314"/>
        <v>0.47698407427518802</v>
      </c>
      <c r="CD65" s="175">
        <f t="shared" si="314"/>
        <v>0.47503028054621865</v>
      </c>
      <c r="CE65" s="175">
        <f t="shared" si="314"/>
        <v>0.44729112532803206</v>
      </c>
      <c r="CF65" s="175">
        <f t="shared" si="314"/>
        <v>0.46655888440170989</v>
      </c>
      <c r="CG65" s="175">
        <f t="shared" si="314"/>
        <v>0.45759383759138833</v>
      </c>
      <c r="CH65" s="175">
        <f t="shared" si="314"/>
        <v>0.47923807638896154</v>
      </c>
      <c r="CI65" s="175">
        <f t="shared" si="314"/>
        <v>0.4536323740091287</v>
      </c>
      <c r="CJ65" s="175">
        <f t="shared" ref="CJ65:DO65" si="315">CJ44/CJ16</f>
        <v>0.46645217248187754</v>
      </c>
      <c r="CK65" s="175">
        <f t="shared" si="315"/>
        <v>0.4674030233866302</v>
      </c>
      <c r="CL65" s="175">
        <f t="shared" si="315"/>
        <v>0.45506347048735746</v>
      </c>
      <c r="CM65" s="175">
        <f t="shared" si="315"/>
        <v>0.46117318029894688</v>
      </c>
      <c r="CN65" s="175">
        <f t="shared" si="315"/>
        <v>0.42954353313981364</v>
      </c>
      <c r="CO65" s="175">
        <f t="shared" si="315"/>
        <v>0.49931207043305292</v>
      </c>
      <c r="CP65" s="175">
        <f t="shared" si="315"/>
        <v>0.46639024842944593</v>
      </c>
      <c r="CQ65" s="175">
        <f t="shared" si="315"/>
        <v>0.46751358762988787</v>
      </c>
      <c r="CR65" s="175">
        <f t="shared" si="315"/>
        <v>0.44488938086954782</v>
      </c>
      <c r="CS65" s="175">
        <f t="shared" si="315"/>
        <v>0.45576910855012309</v>
      </c>
      <c r="CT65" s="175">
        <f t="shared" si="315"/>
        <v>0.41080220511358251</v>
      </c>
      <c r="CU65" s="175">
        <f t="shared" si="315"/>
        <v>0.43410348343501071</v>
      </c>
      <c r="CV65" s="175">
        <f t="shared" si="315"/>
        <v>0.42262666217727041</v>
      </c>
      <c r="CW65" s="175">
        <f t="shared" si="315"/>
        <v>0.42732891827391289</v>
      </c>
      <c r="CX65" s="175">
        <f t="shared" si="315"/>
        <v>0.42020956470647575</v>
      </c>
      <c r="CY65" s="175">
        <f t="shared" si="315"/>
        <v>0.42366400874623633</v>
      </c>
      <c r="CZ65" s="175">
        <f t="shared" si="315"/>
        <v>0.43220272181140135</v>
      </c>
      <c r="DA65" s="175">
        <f t="shared" si="315"/>
        <v>0.45703120167144939</v>
      </c>
      <c r="DB65" s="175">
        <f t="shared" si="315"/>
        <v>0.44559189248824299</v>
      </c>
      <c r="DC65" s="175">
        <f t="shared" si="315"/>
        <v>0.46188255672137518</v>
      </c>
      <c r="DD65" s="175">
        <f t="shared" si="315"/>
        <v>0.45812504102188945</v>
      </c>
      <c r="DE65" s="175">
        <f t="shared" si="315"/>
        <v>0.45992032171876951</v>
      </c>
      <c r="DF65" s="175">
        <f t="shared" si="315"/>
        <v>0.42969431285980569</v>
      </c>
      <c r="DG65" s="175">
        <f t="shared" si="315"/>
        <v>0.37033630671487611</v>
      </c>
      <c r="DH65" s="1082">
        <f t="shared" si="315"/>
        <v>0.40249610986306283</v>
      </c>
      <c r="DI65" s="175">
        <f t="shared" si="315"/>
        <v>0.42297979797979801</v>
      </c>
      <c r="DJ65" s="175">
        <f t="shared" si="315"/>
        <v>0.45376651196001422</v>
      </c>
      <c r="DK65" s="1082">
        <f t="shared" si="315"/>
        <v>0.43963685532161478</v>
      </c>
      <c r="DL65" s="1003">
        <f t="shared" si="315"/>
        <v>0.48082287308228733</v>
      </c>
      <c r="DM65" s="1003">
        <f t="shared" si="315"/>
        <v>0.46794652039766876</v>
      </c>
      <c r="DN65" s="1082">
        <f t="shared" si="315"/>
        <v>0.47433016421780461</v>
      </c>
      <c r="DO65" s="1003">
        <f t="shared" si="315"/>
        <v>0.44436693407743288</v>
      </c>
      <c r="DP65" s="1003">
        <f t="shared" ref="DP65:EF65" si="316">DP44/DP16</f>
        <v>0.46810320385596826</v>
      </c>
      <c r="DQ65" s="1082">
        <f t="shared" si="316"/>
        <v>0.45746011886143262</v>
      </c>
      <c r="DR65" s="1003">
        <f t="shared" si="316"/>
        <v>0.45645390070921987</v>
      </c>
      <c r="DS65" s="1003">
        <f t="shared" si="316"/>
        <v>0.48028491477995416</v>
      </c>
      <c r="DT65" s="1082">
        <f t="shared" si="316"/>
        <v>0.4690182403433476</v>
      </c>
      <c r="DU65" s="1003">
        <f t="shared" si="316"/>
        <v>0.41088284286507498</v>
      </c>
      <c r="DV65" s="1003">
        <f t="shared" ref="DV65:DX65" si="317">DV44/DV16</f>
        <v>0.46379511059371353</v>
      </c>
      <c r="DW65" s="1082">
        <f t="shared" si="317"/>
        <v>0.43966063061922245</v>
      </c>
      <c r="DX65" s="1003">
        <f t="shared" si="317"/>
        <v>0.43556631692224917</v>
      </c>
      <c r="DY65" s="1003">
        <f t="shared" si="316"/>
        <v>0.4366418570909617</v>
      </c>
      <c r="DZ65" s="1082">
        <f t="shared" si="316"/>
        <v>0.43618312888840632</v>
      </c>
      <c r="EA65" s="1003">
        <f t="shared" si="316"/>
        <v>0.44164696374820062</v>
      </c>
      <c r="EB65" s="1003">
        <f t="shared" si="316"/>
        <v>0.44164816808178992</v>
      </c>
      <c r="EC65" s="1082">
        <f t="shared" si="316"/>
        <v>0.44164762641465305</v>
      </c>
      <c r="ED65" s="1003">
        <f t="shared" si="316"/>
        <v>0.44665269386548367</v>
      </c>
      <c r="EE65" s="1003">
        <f t="shared" si="316"/>
        <v>0.44665388062404787</v>
      </c>
      <c r="EF65" s="1082">
        <f t="shared" si="316"/>
        <v>0.4466533468634889</v>
      </c>
      <c r="EG65" s="1003">
        <f t="shared" ref="EG65:EL65" si="318">EG44/EG16</f>
        <v>0.44915269386548351</v>
      </c>
      <c r="EH65" s="1003">
        <f t="shared" si="318"/>
        <v>0.44915388062404782</v>
      </c>
      <c r="EI65" s="1082">
        <f t="shared" si="318"/>
        <v>0.4491533468634889</v>
      </c>
      <c r="EJ65" s="1003">
        <f t="shared" si="318"/>
        <v>0.45015269386548351</v>
      </c>
      <c r="EK65" s="1003">
        <f t="shared" si="318"/>
        <v>0.45015388062404776</v>
      </c>
      <c r="EL65" s="1082">
        <f t="shared" si="318"/>
        <v>0.45015334686348885</v>
      </c>
      <c r="EM65" s="1003">
        <f t="shared" ref="EM65:ER65" si="319">EM44/EM16</f>
        <v>0.45115269386548362</v>
      </c>
      <c r="EN65" s="1003">
        <f t="shared" si="319"/>
        <v>0.45115388062404793</v>
      </c>
      <c r="EO65" s="1082">
        <f t="shared" si="319"/>
        <v>0.45115334686348901</v>
      </c>
      <c r="EP65" s="1003">
        <f t="shared" si="319"/>
        <v>0.45115269386548357</v>
      </c>
      <c r="EQ65" s="1003">
        <f t="shared" si="319"/>
        <v>0.45115388062404793</v>
      </c>
      <c r="ER65" s="1082">
        <f t="shared" si="319"/>
        <v>0.4511533468634889</v>
      </c>
      <c r="ES65" s="1003">
        <f t="shared" ref="ES65:EX65" si="320">ES44/ES16</f>
        <v>0.45115269386548351</v>
      </c>
      <c r="ET65" s="1003">
        <f t="shared" si="320"/>
        <v>0.45115388062404793</v>
      </c>
      <c r="EU65" s="1082">
        <f t="shared" si="320"/>
        <v>0.45115334686348885</v>
      </c>
      <c r="EV65" s="1003">
        <f t="shared" si="320"/>
        <v>0.45115269386548351</v>
      </c>
      <c r="EW65" s="1003">
        <f t="shared" si="320"/>
        <v>0.45115388062404788</v>
      </c>
      <c r="EX65" s="1082">
        <f t="shared" si="320"/>
        <v>0.45115334686348885</v>
      </c>
      <c r="EY65" s="1003">
        <f t="shared" ref="EY65:FA65" si="321">EY44/EY16</f>
        <v>0.45115269386548346</v>
      </c>
      <c r="EZ65" s="1003">
        <f t="shared" si="321"/>
        <v>0.45115388062404799</v>
      </c>
      <c r="FA65" s="1082">
        <f t="shared" si="321"/>
        <v>0.4511533468634889</v>
      </c>
      <c r="FB65" s="1003"/>
      <c r="FC65" s="1003"/>
      <c r="FE65" s="1003"/>
      <c r="FF65" s="1003"/>
      <c r="FG65" s="1003"/>
      <c r="FH65" s="35"/>
      <c r="FI65" s="35"/>
      <c r="FJ65" s="35"/>
      <c r="FK65" s="35"/>
      <c r="FL65" s="35"/>
      <c r="FM65" s="35"/>
      <c r="FN65" s="35"/>
      <c r="FO65" s="35"/>
      <c r="FP65" s="35"/>
      <c r="FQ65" s="35"/>
    </row>
    <row r="66" spans="1:173" s="321" customFormat="1" ht="13.35" customHeight="1" outlineLevel="1">
      <c r="A66" s="1168"/>
      <c r="B66" s="321" t="s">
        <v>628</v>
      </c>
      <c r="C66" s="186" t="s">
        <v>384</v>
      </c>
      <c r="D66" s="926" t="s">
        <v>460</v>
      </c>
      <c r="E66" s="175" t="str">
        <f>IF(ISERROR(E45/E17),"",E45/E17)</f>
        <v/>
      </c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>
        <f>BD45/BD17</f>
        <v>0.26911807189137876</v>
      </c>
      <c r="BE66" s="175">
        <f>BE45/BE17</f>
        <v>0.16051718816999969</v>
      </c>
      <c r="BF66" s="175">
        <f>BF45/BF17</f>
        <v>0.24916435675851947</v>
      </c>
      <c r="BG66" s="175">
        <f>BG45/BG17</f>
        <v>0.25388124353126079</v>
      </c>
      <c r="BH66" s="175"/>
      <c r="BI66" s="175">
        <f t="shared" ref="BI66:CN66" si="322">BI45/BI17</f>
        <v>0.21693347997881787</v>
      </c>
      <c r="BJ66" s="175">
        <f t="shared" si="322"/>
        <v>0.23169747652582162</v>
      </c>
      <c r="BK66" s="175">
        <f t="shared" si="322"/>
        <v>0.14241618794478259</v>
      </c>
      <c r="BL66" s="175">
        <f t="shared" si="322"/>
        <v>0.19053172563747775</v>
      </c>
      <c r="BM66" s="175">
        <f t="shared" si="322"/>
        <v>0.19346185485890052</v>
      </c>
      <c r="BN66" s="175">
        <f t="shared" si="322"/>
        <v>0.21040889717634523</v>
      </c>
      <c r="BO66" s="175">
        <f t="shared" si="322"/>
        <v>0.20223827835353761</v>
      </c>
      <c r="BP66" s="175">
        <f t="shared" si="322"/>
        <v>0.29388084528845571</v>
      </c>
      <c r="BQ66" s="175">
        <f t="shared" si="322"/>
        <v>9.3377338707359328E-2</v>
      </c>
      <c r="BR66" s="175">
        <f t="shared" si="322"/>
        <v>0.20195450659604072</v>
      </c>
      <c r="BS66" s="175">
        <f t="shared" si="322"/>
        <v>0.2595022142231273</v>
      </c>
      <c r="BT66" s="175">
        <f t="shared" si="322"/>
        <v>0.24644449721628534</v>
      </c>
      <c r="BU66" s="175">
        <f t="shared" si="322"/>
        <v>0.25332601153183726</v>
      </c>
      <c r="BV66" s="175">
        <f t="shared" si="322"/>
        <v>0.22096462423437915</v>
      </c>
      <c r="BW66" s="175">
        <f t="shared" si="322"/>
        <v>0.24918993020937186</v>
      </c>
      <c r="BX66" s="175">
        <f t="shared" si="322"/>
        <v>0.23588375437787515</v>
      </c>
      <c r="BY66" s="175">
        <f t="shared" si="322"/>
        <v>0.18954450204036616</v>
      </c>
      <c r="BZ66" s="175">
        <f t="shared" si="322"/>
        <v>0.23854011432242719</v>
      </c>
      <c r="CA66" s="175">
        <f t="shared" si="322"/>
        <v>0.21453189889849009</v>
      </c>
      <c r="CB66" s="175">
        <f t="shared" si="322"/>
        <v>0.32384938304605992</v>
      </c>
      <c r="CC66" s="175">
        <f t="shared" si="322"/>
        <v>0.31241334540625088</v>
      </c>
      <c r="CD66" s="175">
        <f t="shared" si="322"/>
        <v>0.3180130070697611</v>
      </c>
      <c r="CE66" s="175">
        <f t="shared" si="322"/>
        <v>0.30461289703301664</v>
      </c>
      <c r="CF66" s="175">
        <f t="shared" si="322"/>
        <v>0.30885449047942076</v>
      </c>
      <c r="CG66" s="175">
        <f t="shared" si="322"/>
        <v>0.30689877798809134</v>
      </c>
      <c r="CH66" s="175">
        <f t="shared" si="322"/>
        <v>0.33125544302769916</v>
      </c>
      <c r="CI66" s="175">
        <f t="shared" si="322"/>
        <v>0.38147120049679456</v>
      </c>
      <c r="CJ66" s="175">
        <f t="shared" si="322"/>
        <v>0.35709254308025995</v>
      </c>
      <c r="CK66" s="175">
        <f t="shared" si="322"/>
        <v>0.39767828714576436</v>
      </c>
      <c r="CL66" s="175">
        <f t="shared" si="322"/>
        <v>0.38294983517584796</v>
      </c>
      <c r="CM66" s="175">
        <f t="shared" si="322"/>
        <v>0.39069844709502799</v>
      </c>
      <c r="CN66" s="175">
        <f t="shared" si="322"/>
        <v>0.19937430862831865</v>
      </c>
      <c r="CO66" s="175">
        <f t="shared" ref="CO66:DT66" si="323">CO45/CO17</f>
        <v>0.38125231361006279</v>
      </c>
      <c r="CP66" s="175">
        <f t="shared" si="323"/>
        <v>0.30694115711609088</v>
      </c>
      <c r="CQ66" s="175">
        <f t="shared" si="323"/>
        <v>0.24429941814750808</v>
      </c>
      <c r="CR66" s="175">
        <f t="shared" si="323"/>
        <v>0.32499616230875517</v>
      </c>
      <c r="CS66" s="175">
        <f t="shared" si="323"/>
        <v>0.29318372028145467</v>
      </c>
      <c r="CT66" s="175">
        <f t="shared" si="323"/>
        <v>0.3196261856573932</v>
      </c>
      <c r="CU66" s="175">
        <f t="shared" si="323"/>
        <v>0.29635238310781742</v>
      </c>
      <c r="CV66" s="175">
        <f t="shared" si="323"/>
        <v>0.30821815694063942</v>
      </c>
      <c r="CW66" s="175">
        <f t="shared" si="323"/>
        <v>0.31774087683736008</v>
      </c>
      <c r="CX66" s="175">
        <f t="shared" si="323"/>
        <v>0.30209348910538358</v>
      </c>
      <c r="CY66" s="175">
        <f t="shared" si="323"/>
        <v>0.31014902818710721</v>
      </c>
      <c r="CZ66" s="175">
        <f t="shared" si="323"/>
        <v>0.30712816621120287</v>
      </c>
      <c r="DA66" s="175">
        <f t="shared" si="323"/>
        <v>0.33872937375789453</v>
      </c>
      <c r="DB66" s="175">
        <f t="shared" si="323"/>
        <v>0.32497496664316755</v>
      </c>
      <c r="DC66" s="175">
        <f t="shared" si="323"/>
        <v>0.31001379718230215</v>
      </c>
      <c r="DD66" s="175">
        <f t="shared" si="323"/>
        <v>0.35280796951183524</v>
      </c>
      <c r="DE66" s="175">
        <f t="shared" si="323"/>
        <v>0.33252987917667576</v>
      </c>
      <c r="DF66" s="175">
        <f t="shared" si="323"/>
        <v>0.30321229956148771</v>
      </c>
      <c r="DG66" s="175">
        <f t="shared" si="323"/>
        <v>0.21049829500171066</v>
      </c>
      <c r="DH66" s="1082">
        <f t="shared" si="323"/>
        <v>0.26592085546598315</v>
      </c>
      <c r="DI66" s="175">
        <f t="shared" si="323"/>
        <v>0.34980694980694976</v>
      </c>
      <c r="DJ66" s="175">
        <f t="shared" si="323"/>
        <v>0.23825226710634792</v>
      </c>
      <c r="DK66" s="1082">
        <f t="shared" si="323"/>
        <v>0.29585326953748003</v>
      </c>
      <c r="DL66" s="1003">
        <f t="shared" si="323"/>
        <v>0.33047822983583153</v>
      </c>
      <c r="DM66" s="1003">
        <f t="shared" si="323"/>
        <v>0.32002801120448188</v>
      </c>
      <c r="DN66" s="1082">
        <f t="shared" si="323"/>
        <v>0.32520325203252037</v>
      </c>
      <c r="DO66" s="1003">
        <f t="shared" si="323"/>
        <v>0.35257603972687773</v>
      </c>
      <c r="DP66" s="1003">
        <f t="shared" si="323"/>
        <v>0.27190503109101188</v>
      </c>
      <c r="DQ66" s="1082">
        <f t="shared" si="323"/>
        <v>0.31035502958579886</v>
      </c>
      <c r="DR66" s="1003">
        <f t="shared" si="323"/>
        <v>0.13732193732193734</v>
      </c>
      <c r="DS66" s="1003">
        <f t="shared" si="323"/>
        <v>0.39765784114052954</v>
      </c>
      <c r="DT66" s="1082">
        <f t="shared" si="323"/>
        <v>0.27480505512234471</v>
      </c>
      <c r="DU66" s="1003">
        <f t="shared" ref="DU66:EF66" si="324">DU45/DU17</f>
        <v>0.33449781659388644</v>
      </c>
      <c r="DV66" s="1003">
        <f t="shared" si="324"/>
        <v>0.27127127127127132</v>
      </c>
      <c r="DW66" s="1082">
        <f t="shared" si="324"/>
        <v>0.30503731343283585</v>
      </c>
      <c r="DX66" s="1003">
        <f t="shared" ref="DX66" si="325">DX45/DX17</f>
        <v>0.27045235803657364</v>
      </c>
      <c r="DY66" s="1003">
        <f t="shared" si="324"/>
        <v>0.29685154511502737</v>
      </c>
      <c r="DZ66" s="1082">
        <f t="shared" si="324"/>
        <v>0.28462515702930985</v>
      </c>
      <c r="EA66" s="1003">
        <f t="shared" si="324"/>
        <v>0.33383850398926651</v>
      </c>
      <c r="EB66" s="1003">
        <f t="shared" si="324"/>
        <v>0.33838742196624183</v>
      </c>
      <c r="EC66" s="1082">
        <f t="shared" si="324"/>
        <v>0.33609726099706644</v>
      </c>
      <c r="ED66" s="1003">
        <f t="shared" si="324"/>
        <v>0.34264708200656363</v>
      </c>
      <c r="EE66" s="1003">
        <f t="shared" si="324"/>
        <v>0.3471025193212095</v>
      </c>
      <c r="EF66" s="1082">
        <f t="shared" si="324"/>
        <v>0.34485942882452547</v>
      </c>
      <c r="EG66" s="1003">
        <f t="shared" ref="EG66:EL66" si="326">EG45/EG17</f>
        <v>0.35132754630140889</v>
      </c>
      <c r="EH66" s="1003">
        <f t="shared" si="326"/>
        <v>0.355677288259378</v>
      </c>
      <c r="EI66" s="1082">
        <f t="shared" si="326"/>
        <v>0.35348741010378698</v>
      </c>
      <c r="EJ66" s="1003">
        <f t="shared" si="326"/>
        <v>0.35957154385825968</v>
      </c>
      <c r="EK66" s="1003">
        <f t="shared" si="326"/>
        <v>0.36381436248010823</v>
      </c>
      <c r="EL66" s="1082">
        <f t="shared" si="326"/>
        <v>0.36167831489202112</v>
      </c>
      <c r="EM66" s="1003">
        <f t="shared" ref="EM66:ER66" si="327">EM45/EM17</f>
        <v>0.36740324742886343</v>
      </c>
      <c r="EN66" s="1003">
        <f t="shared" si="327"/>
        <v>0.37153837429018316</v>
      </c>
      <c r="EO66" s="1082">
        <f t="shared" si="327"/>
        <v>0.36945654413296852</v>
      </c>
      <c r="EP66" s="1003">
        <f t="shared" si="327"/>
        <v>0.37484535775880401</v>
      </c>
      <c r="EQ66" s="1003">
        <f t="shared" si="327"/>
        <v>0.37887243473119353</v>
      </c>
      <c r="ER66" s="1082">
        <f t="shared" si="327"/>
        <v>0.37684500230464169</v>
      </c>
      <c r="ES66" s="1003">
        <f t="shared" ref="ES66:EX66" si="328">ES45/ES17</f>
        <v>0.38191920046580219</v>
      </c>
      <c r="ET66" s="1003">
        <f t="shared" si="328"/>
        <v>0.38583823475104539</v>
      </c>
      <c r="EU66" s="1082">
        <f t="shared" si="328"/>
        <v>0.3838651964294173</v>
      </c>
      <c r="EV66" s="1003">
        <f t="shared" si="328"/>
        <v>0.38864481618431634</v>
      </c>
      <c r="EW66" s="1003">
        <f t="shared" si="328"/>
        <v>0.39245613929529038</v>
      </c>
      <c r="EX66" s="1082">
        <f t="shared" si="328"/>
        <v>0.39053732817838488</v>
      </c>
      <c r="EY66" s="1003">
        <f t="shared" ref="EY66:FA66" si="329">EY45/EY17</f>
        <v>0.39504104446083643</v>
      </c>
      <c r="EZ66" s="1003">
        <f t="shared" si="329"/>
        <v>0.3987452748296817</v>
      </c>
      <c r="FA66" s="1082">
        <f t="shared" si="329"/>
        <v>0.39688037956775707</v>
      </c>
      <c r="FB66" s="1003"/>
      <c r="FC66" s="1003"/>
      <c r="FE66" s="1003"/>
      <c r="FF66" s="1003"/>
      <c r="FG66" s="1003"/>
      <c r="FH66" s="35"/>
      <c r="FI66" s="35"/>
      <c r="FJ66" s="35"/>
      <c r="FK66" s="35"/>
      <c r="FL66" s="35"/>
      <c r="FM66" s="35"/>
      <c r="FN66" s="35"/>
      <c r="FO66" s="35"/>
      <c r="FP66" s="35"/>
      <c r="FQ66" s="35"/>
    </row>
    <row r="67" spans="1:173" s="321" customFormat="1" ht="13.35" customHeight="1" outlineLevel="1">
      <c r="A67" s="1168"/>
      <c r="B67" s="927"/>
      <c r="C67" s="321" t="s">
        <v>314</v>
      </c>
      <c r="D67" s="926" t="s">
        <v>460</v>
      </c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>
        <f>BG46/(BG18+BG19)</f>
        <v>-1.1120667187907221</v>
      </c>
      <c r="BH67" s="175">
        <f>BH46/(BH18+BH19)</f>
        <v>-2.0922595777951525</v>
      </c>
      <c r="BI67" s="175"/>
      <c r="BJ67" s="175">
        <f t="shared" ref="BJ67:DB67" si="330">BJ46/(BJ18+BJ19)</f>
        <v>0.66748344370860935</v>
      </c>
      <c r="BK67" s="175">
        <f t="shared" si="330"/>
        <v>-0.28478303812471201</v>
      </c>
      <c r="BL67" s="175">
        <f t="shared" si="330"/>
        <v>0.189982500742893</v>
      </c>
      <c r="BM67" s="175">
        <f t="shared" si="330"/>
        <v>0.13708452842922222</v>
      </c>
      <c r="BN67" s="175">
        <f t="shared" si="330"/>
        <v>0.41534444667603931</v>
      </c>
      <c r="BO67" s="175">
        <f t="shared" si="330"/>
        <v>0.29222500093314918</v>
      </c>
      <c r="BP67" s="175">
        <f t="shared" si="330"/>
        <v>-0.19148422408242113</v>
      </c>
      <c r="BQ67" s="175">
        <f t="shared" si="330"/>
        <v>0.12601281896238961</v>
      </c>
      <c r="BR67" s="175">
        <f t="shared" si="330"/>
        <v>-6.4611221185908271E-2</v>
      </c>
      <c r="BS67" s="175">
        <f t="shared" si="330"/>
        <v>-1.747359645993986</v>
      </c>
      <c r="BT67" s="175">
        <f t="shared" si="330"/>
        <v>-0.46338834159543485</v>
      </c>
      <c r="BU67" s="175">
        <f t="shared" si="330"/>
        <v>-0.88677384833945472</v>
      </c>
      <c r="BV67" s="175">
        <f t="shared" si="330"/>
        <v>-0.75960014069404114</v>
      </c>
      <c r="BW67" s="175">
        <f t="shared" si="330"/>
        <v>-1.2113273359495906</v>
      </c>
      <c r="BX67" s="175">
        <f t="shared" si="330"/>
        <v>-0.91862909302507301</v>
      </c>
      <c r="BY67" s="175">
        <f t="shared" si="330"/>
        <v>-1.7585213706605349</v>
      </c>
      <c r="BZ67" s="175">
        <f t="shared" si="330"/>
        <v>0.637979381021341</v>
      </c>
      <c r="CA67" s="175">
        <f t="shared" si="330"/>
        <v>1.7969851805858534</v>
      </c>
      <c r="CB67" s="175">
        <f t="shared" si="330"/>
        <v>-6.6323889521230832</v>
      </c>
      <c r="CC67" s="175">
        <f t="shared" si="330"/>
        <v>-2.9965843873216578</v>
      </c>
      <c r="CD67" s="175">
        <f t="shared" si="330"/>
        <v>-4.0024253179733691</v>
      </c>
      <c r="CE67" s="175">
        <f t="shared" si="330"/>
        <v>-3.0817860350207775</v>
      </c>
      <c r="CF67" s="175">
        <f t="shared" si="330"/>
        <v>-1.6851657178617732</v>
      </c>
      <c r="CG67" s="175">
        <f t="shared" si="330"/>
        <v>-2.0796458722930766</v>
      </c>
      <c r="CH67" s="175">
        <f t="shared" si="330"/>
        <v>-2.3049537580101886</v>
      </c>
      <c r="CI67" s="175">
        <f t="shared" si="330"/>
        <v>-2.3386435034131674</v>
      </c>
      <c r="CJ67" s="175">
        <f t="shared" si="330"/>
        <v>-2.3222229148604039</v>
      </c>
      <c r="CK67" s="1003">
        <f t="shared" si="330"/>
        <v>-3.6865532810996422</v>
      </c>
      <c r="CL67" s="178">
        <f t="shared" si="330"/>
        <v>-6.2425988075452388</v>
      </c>
      <c r="CM67" s="178">
        <f t="shared" si="330"/>
        <v>-4.648384851012298</v>
      </c>
      <c r="CN67" s="178">
        <f t="shared" si="330"/>
        <v>15.103088579821328</v>
      </c>
      <c r="CO67" s="178">
        <f t="shared" si="330"/>
        <v>9.6609071516461746</v>
      </c>
      <c r="CP67" s="178">
        <f t="shared" si="330"/>
        <v>11.679338098251055</v>
      </c>
      <c r="CQ67" s="175">
        <f t="shared" si="330"/>
        <v>46.82417540493347</v>
      </c>
      <c r="CR67" s="175">
        <f t="shared" si="330"/>
        <v>7.501465148473371</v>
      </c>
      <c r="CS67" s="175">
        <f t="shared" si="330"/>
        <v>12.661513482680027</v>
      </c>
      <c r="CT67" s="175">
        <f t="shared" si="330"/>
        <v>4.9720948237908269</v>
      </c>
      <c r="CU67" s="175">
        <f t="shared" si="330"/>
        <v>32.651598977956453</v>
      </c>
      <c r="CV67" s="175">
        <f t="shared" si="330"/>
        <v>8.9339922872447737</v>
      </c>
      <c r="CW67" s="175">
        <f t="shared" si="330"/>
        <v>-26.687395772769964</v>
      </c>
      <c r="CX67" s="175">
        <f t="shared" si="330"/>
        <v>-14.879141387733132</v>
      </c>
      <c r="CY67" s="175">
        <f t="shared" si="330"/>
        <v>-18.880239788101264</v>
      </c>
      <c r="CZ67" s="175">
        <f t="shared" si="330"/>
        <v>-14.132649665383518</v>
      </c>
      <c r="DA67" s="175">
        <f t="shared" si="330"/>
        <v>-69.740411246563283</v>
      </c>
      <c r="DB67" s="175">
        <f t="shared" si="330"/>
        <v>-24.530863756983155</v>
      </c>
      <c r="DC67" s="175"/>
      <c r="DD67" s="175"/>
      <c r="DE67" s="175"/>
      <c r="DF67" s="175"/>
      <c r="DG67" s="175"/>
      <c r="DH67" s="1082"/>
      <c r="DI67" s="175"/>
      <c r="DJ67" s="175"/>
      <c r="DK67" s="1082"/>
      <c r="DL67" s="1003"/>
      <c r="DM67" s="1003"/>
      <c r="DN67" s="1082"/>
      <c r="DO67" s="1003"/>
      <c r="DP67" s="1003"/>
      <c r="DQ67" s="1082"/>
      <c r="DR67" s="1003"/>
      <c r="DS67" s="1003"/>
      <c r="DT67" s="1082"/>
      <c r="DU67" s="1003"/>
      <c r="DV67" s="1003"/>
      <c r="DW67" s="1082"/>
      <c r="DX67" s="1003"/>
      <c r="DY67" s="1003"/>
      <c r="DZ67" s="1082"/>
      <c r="EA67" s="1003"/>
      <c r="EB67" s="1003"/>
      <c r="EC67" s="1082"/>
      <c r="ED67" s="1003"/>
      <c r="EE67" s="1003"/>
      <c r="EF67" s="1082"/>
      <c r="EG67" s="1003"/>
      <c r="EH67" s="1003"/>
      <c r="EI67" s="1082"/>
      <c r="EJ67" s="1003"/>
      <c r="EK67" s="1003"/>
      <c r="EL67" s="1082"/>
      <c r="EM67" s="1003"/>
      <c r="EN67" s="1003"/>
      <c r="EO67" s="1082"/>
      <c r="EP67" s="1003"/>
      <c r="EQ67" s="1003"/>
      <c r="ER67" s="1082"/>
      <c r="ES67" s="1003"/>
      <c r="ET67" s="1003"/>
      <c r="EU67" s="1082"/>
      <c r="EV67" s="1003"/>
      <c r="EW67" s="1003"/>
      <c r="EX67" s="1082"/>
      <c r="EY67" s="1003"/>
      <c r="EZ67" s="1003"/>
      <c r="FA67" s="1082"/>
      <c r="FB67" s="1003"/>
      <c r="FC67" s="1003"/>
      <c r="FE67" s="1003"/>
      <c r="FF67" s="1003"/>
      <c r="FG67" s="1003"/>
      <c r="FH67" s="35"/>
      <c r="FI67" s="35"/>
      <c r="FJ67" s="35"/>
      <c r="FK67" s="35"/>
      <c r="FL67" s="35"/>
      <c r="FM67" s="35"/>
      <c r="FN67" s="35"/>
      <c r="FO67" s="35"/>
      <c r="FP67" s="35"/>
      <c r="FQ67" s="35"/>
    </row>
    <row r="68" spans="1:173" s="321" customFormat="1" ht="13.35" customHeight="1" outlineLevel="1">
      <c r="A68" s="1168"/>
      <c r="B68" s="927" t="s">
        <v>159</v>
      </c>
      <c r="C68" s="927"/>
      <c r="D68" s="926" t="s">
        <v>460</v>
      </c>
      <c r="E68" s="175" t="str">
        <f>IF(ISERROR(#REF!/#REF!),"",#REF!/#REF!)</f>
        <v/>
      </c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>
        <f>BD47/BD20</f>
        <v>0.17157013781904482</v>
      </c>
      <c r="BE68" s="175">
        <f>BE47/BE20</f>
        <v>7.7041562901646099E-2</v>
      </c>
      <c r="BF68" s="175">
        <f>BF47/BF20</f>
        <v>0.119601019112483</v>
      </c>
      <c r="BG68" s="175">
        <f>BG47/BG20</f>
        <v>0.24144302215841873</v>
      </c>
      <c r="BH68" s="175"/>
      <c r="BI68" s="175">
        <f t="shared" ref="BI68:CN68" si="331">BI47/BI20</f>
        <v>0.27633643055387952</v>
      </c>
      <c r="BJ68" s="175">
        <f t="shared" si="331"/>
        <v>0.25560009770536091</v>
      </c>
      <c r="BK68" s="175">
        <f t="shared" si="331"/>
        <v>6.861288530963619E-2</v>
      </c>
      <c r="BL68" s="175">
        <f t="shared" si="331"/>
        <v>0.16050686005211237</v>
      </c>
      <c r="BM68" s="175">
        <f t="shared" si="331"/>
        <v>0.26954931828639234</v>
      </c>
      <c r="BN68" s="175">
        <f t="shared" si="331"/>
        <v>0.20494684266080501</v>
      </c>
      <c r="BO68" s="175">
        <f t="shared" si="331"/>
        <v>0.23552437773307427</v>
      </c>
      <c r="BP68" s="175">
        <f t="shared" si="331"/>
        <v>0.2930297203388631</v>
      </c>
      <c r="BQ68" s="175">
        <f t="shared" si="331"/>
        <v>0.19300787162743935</v>
      </c>
      <c r="BR68" s="175">
        <f t="shared" si="331"/>
        <v>0.2398996152655552</v>
      </c>
      <c r="BS68" s="175">
        <f t="shared" si="331"/>
        <v>0.29261336591304477</v>
      </c>
      <c r="BT68" s="175">
        <f t="shared" si="331"/>
        <v>0.26398401815666195</v>
      </c>
      <c r="BU68" s="175">
        <f t="shared" si="331"/>
        <v>0.27810071742145454</v>
      </c>
      <c r="BV68" s="175">
        <f t="shared" si="331"/>
        <v>0.2557332738626224</v>
      </c>
      <c r="BW68" s="175">
        <f t="shared" si="331"/>
        <v>0.28038504224822058</v>
      </c>
      <c r="BX68" s="175">
        <f t="shared" si="331"/>
        <v>0.26820456781798863</v>
      </c>
      <c r="BY68" s="175">
        <f t="shared" si="331"/>
        <v>0.26500693940628789</v>
      </c>
      <c r="BZ68" s="175">
        <f t="shared" si="331"/>
        <v>0.36074459138622678</v>
      </c>
      <c r="CA68" s="175">
        <f t="shared" si="331"/>
        <v>0.31187652775833258</v>
      </c>
      <c r="CB68" s="175">
        <f t="shared" si="331"/>
        <v>0.25368077681186624</v>
      </c>
      <c r="CC68" s="175">
        <f t="shared" si="331"/>
        <v>0.23805756466810707</v>
      </c>
      <c r="CD68" s="175">
        <f t="shared" si="331"/>
        <v>0.24541291686845942</v>
      </c>
      <c r="CE68" s="175">
        <f t="shared" si="331"/>
        <v>0.25205488661798481</v>
      </c>
      <c r="CF68" s="175">
        <f t="shared" si="331"/>
        <v>0.16739012662762778</v>
      </c>
      <c r="CG68" s="175">
        <f t="shared" si="331"/>
        <v>0.20666886814105562</v>
      </c>
      <c r="CH68" s="175">
        <f t="shared" si="331"/>
        <v>0.20436500060796944</v>
      </c>
      <c r="CI68" s="175">
        <f t="shared" si="331"/>
        <v>0.18985010961174775</v>
      </c>
      <c r="CJ68" s="175">
        <f t="shared" si="331"/>
        <v>0.19707889808303203</v>
      </c>
      <c r="CK68" s="175">
        <f t="shared" si="331"/>
        <v>0.22938355852781278</v>
      </c>
      <c r="CL68" s="175">
        <f t="shared" si="331"/>
        <v>0.17498603529871579</v>
      </c>
      <c r="CM68" s="175">
        <f t="shared" si="331"/>
        <v>0.2033894073778803</v>
      </c>
      <c r="CN68" s="175">
        <f t="shared" si="331"/>
        <v>0.16414030863696974</v>
      </c>
      <c r="CO68" s="175">
        <f t="shared" ref="CO68:DT68" si="332">CO47/CO20</f>
        <v>0.27622790877432074</v>
      </c>
      <c r="CP68" s="175">
        <f t="shared" si="332"/>
        <v>0.22466254919621834</v>
      </c>
      <c r="CQ68" s="175">
        <f t="shared" si="332"/>
        <v>0.22919235483300504</v>
      </c>
      <c r="CR68" s="175">
        <f t="shared" si="332"/>
        <v>0.24178090426623355</v>
      </c>
      <c r="CS68" s="175">
        <f t="shared" si="332"/>
        <v>0.23581929221836834</v>
      </c>
      <c r="CT68" s="175">
        <f t="shared" si="332"/>
        <v>0.29918938319130489</v>
      </c>
      <c r="CU68" s="175">
        <f t="shared" si="332"/>
        <v>0.22565908004365379</v>
      </c>
      <c r="CV68" s="175">
        <f t="shared" si="332"/>
        <v>0.26201052444139622</v>
      </c>
      <c r="CW68" s="175">
        <f t="shared" si="332"/>
        <v>0.24049294255363915</v>
      </c>
      <c r="CX68" s="175">
        <f t="shared" si="332"/>
        <v>0.23350406253723263</v>
      </c>
      <c r="CY68" s="175">
        <f t="shared" si="332"/>
        <v>0.23689926185483945</v>
      </c>
      <c r="CZ68" s="175">
        <f t="shared" si="332"/>
        <v>0.23276480421241688</v>
      </c>
      <c r="DA68" s="175">
        <f t="shared" si="332"/>
        <v>0.25063226508969744</v>
      </c>
      <c r="DB68" s="175">
        <f t="shared" si="332"/>
        <v>0.24213304803813193</v>
      </c>
      <c r="DC68" s="175">
        <f t="shared" si="332"/>
        <v>0.25464281008530226</v>
      </c>
      <c r="DD68" s="175">
        <f t="shared" si="332"/>
        <v>0.2548622550056549</v>
      </c>
      <c r="DE68" s="175">
        <f t="shared" si="332"/>
        <v>0.25475415750351826</v>
      </c>
      <c r="DF68" s="175">
        <f t="shared" si="332"/>
        <v>0.2619610212648214</v>
      </c>
      <c r="DG68" s="175">
        <f t="shared" si="332"/>
        <v>0.11438842447121189</v>
      </c>
      <c r="DH68" s="1082">
        <f t="shared" si="332"/>
        <v>0.19823091148356192</v>
      </c>
      <c r="DI68" s="175">
        <f t="shared" si="332"/>
        <v>0.25299133597575024</v>
      </c>
      <c r="DJ68" s="175">
        <f t="shared" si="332"/>
        <v>0.20609583032393178</v>
      </c>
      <c r="DK68" s="1082">
        <f t="shared" si="332"/>
        <v>0.22936822602400619</v>
      </c>
      <c r="DL68" s="1003">
        <f t="shared" si="332"/>
        <v>0.25234555866942859</v>
      </c>
      <c r="DM68" s="1003">
        <f t="shared" si="332"/>
        <v>0.18672240212663116</v>
      </c>
      <c r="DN68" s="1082">
        <f t="shared" si="332"/>
        <v>0.21939662682764061</v>
      </c>
      <c r="DO68" s="1003">
        <f t="shared" si="332"/>
        <v>0.2195158888009944</v>
      </c>
      <c r="DP68" s="1003">
        <f t="shared" si="332"/>
        <v>0.17012343036529676</v>
      </c>
      <c r="DQ68" s="1082">
        <f t="shared" si="332"/>
        <v>0.19269839367801245</v>
      </c>
      <c r="DR68" s="1003">
        <f t="shared" si="332"/>
        <v>0.24424688939462907</v>
      </c>
      <c r="DS68" s="1003">
        <f t="shared" si="332"/>
        <v>0.27782303755166643</v>
      </c>
      <c r="DT68" s="1082">
        <f t="shared" si="332"/>
        <v>0.26132482733941664</v>
      </c>
      <c r="DU68" s="1003">
        <f t="shared" ref="DU68:EF68" si="333">DU47/DU20</f>
        <v>0.22906440450895554</v>
      </c>
      <c r="DV68" s="1003">
        <f t="shared" si="333"/>
        <v>0.2294146096771715</v>
      </c>
      <c r="DW68" s="1082">
        <f t="shared" si="333"/>
        <v>0.22923945627587383</v>
      </c>
      <c r="DX68" s="1003">
        <f t="shared" ref="DX68" si="334">DX47/DX20</f>
        <v>0.21523337902673068</v>
      </c>
      <c r="DY68" s="1003">
        <f t="shared" si="333"/>
        <v>0.21347022188418208</v>
      </c>
      <c r="DZ68" s="1082">
        <f t="shared" si="333"/>
        <v>0.21429026559282638</v>
      </c>
      <c r="EA68" s="1003">
        <f t="shared" si="333"/>
        <v>0.2299642148905873</v>
      </c>
      <c r="EB68" s="1003">
        <f t="shared" si="333"/>
        <v>0.22787641869715689</v>
      </c>
      <c r="EC68" s="1082">
        <f t="shared" si="333"/>
        <v>0.22890447981630033</v>
      </c>
      <c r="ED68" s="1003">
        <f t="shared" si="333"/>
        <v>0.24154161999312598</v>
      </c>
      <c r="EE68" s="1003">
        <f t="shared" si="333"/>
        <v>0.23937294475397175</v>
      </c>
      <c r="EF68" s="1082">
        <f t="shared" si="333"/>
        <v>0.24044076699542322</v>
      </c>
      <c r="EG68" s="1003">
        <f t="shared" ref="EG68:EL68" si="335">EG47/EG20</f>
        <v>0.25020518144013143</v>
      </c>
      <c r="EH68" s="1003">
        <f t="shared" si="335"/>
        <v>0.24796708761888941</v>
      </c>
      <c r="EI68" s="1082">
        <f t="shared" si="335"/>
        <v>0.24906909049955556</v>
      </c>
      <c r="EJ68" s="1003">
        <f t="shared" si="335"/>
        <v>0.25256896834630016</v>
      </c>
      <c r="EK68" s="1003">
        <f t="shared" si="335"/>
        <v>0.25025256512667327</v>
      </c>
      <c r="EL68" s="1082">
        <f t="shared" si="335"/>
        <v>0.25139312634738054</v>
      </c>
      <c r="EM68" s="1003">
        <f t="shared" ref="EM68:ER68" si="336">EM47/EM20</f>
        <v>0.25485513496953499</v>
      </c>
      <c r="EN68" s="1003">
        <f t="shared" si="336"/>
        <v>0.25246364485999284</v>
      </c>
      <c r="EO68" s="1082">
        <f t="shared" si="336"/>
        <v>0.25364117770726979</v>
      </c>
      <c r="EP68" s="1003">
        <f t="shared" si="336"/>
        <v>0.26125621945949823</v>
      </c>
      <c r="EQ68" s="1003">
        <f t="shared" si="336"/>
        <v>0.25878460208224818</v>
      </c>
      <c r="ER68" s="1082">
        <f t="shared" si="336"/>
        <v>0.26000158836038489</v>
      </c>
      <c r="ES68" s="1003">
        <f t="shared" ref="ES68:EX68" si="337">ES47/ES20</f>
        <v>0.26258797226371844</v>
      </c>
      <c r="ET68" s="1003">
        <f t="shared" si="337"/>
        <v>0.26003923093607606</v>
      </c>
      <c r="EU68" s="1082">
        <f t="shared" si="337"/>
        <v>0.26129419185794489</v>
      </c>
      <c r="EV68" s="1003">
        <f t="shared" si="337"/>
        <v>0.26385416632036296</v>
      </c>
      <c r="EW68" s="1003">
        <f t="shared" si="337"/>
        <v>0.26123119940623407</v>
      </c>
      <c r="EX68" s="1082">
        <f t="shared" si="337"/>
        <v>0.26252270786214765</v>
      </c>
      <c r="EY68" s="1003">
        <f t="shared" ref="EY68:FA68" si="338">EY47/EY20</f>
        <v>0.26505834844548459</v>
      </c>
      <c r="EZ68" s="1003">
        <f t="shared" si="338"/>
        <v>0.26236395241157368</v>
      </c>
      <c r="FA68" s="1082">
        <f t="shared" si="338"/>
        <v>0.26369063146445515</v>
      </c>
      <c r="FB68" s="1003"/>
      <c r="FC68" s="1003"/>
      <c r="FE68" s="1003"/>
      <c r="FF68" s="1003"/>
      <c r="FG68" s="1003"/>
      <c r="FH68" s="35"/>
      <c r="FI68" s="35"/>
      <c r="FJ68" s="35"/>
      <c r="FK68" s="35"/>
      <c r="FL68" s="35"/>
      <c r="FM68" s="35"/>
      <c r="FN68" s="35"/>
      <c r="FO68" s="35"/>
      <c r="FP68" s="35"/>
      <c r="FQ68" s="35"/>
    </row>
    <row r="69" spans="1:173" s="321" customFormat="1" ht="13.35" customHeight="1" outlineLevel="1">
      <c r="A69" s="1168"/>
      <c r="B69" s="927"/>
      <c r="C69" s="186" t="s">
        <v>286</v>
      </c>
      <c r="D69" s="926" t="s">
        <v>460</v>
      </c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>
        <f>BG48/BG18</f>
        <v>1</v>
      </c>
      <c r="BH69" s="175">
        <f>BH48/BH18</f>
        <v>1</v>
      </c>
      <c r="BI69" s="175"/>
      <c r="BJ69" s="175">
        <f t="shared" ref="BJ69:DB69" si="339">BJ48/BJ18</f>
        <v>1</v>
      </c>
      <c r="BK69" s="175">
        <f t="shared" si="339"/>
        <v>1</v>
      </c>
      <c r="BL69" s="175">
        <f t="shared" si="339"/>
        <v>1</v>
      </c>
      <c r="BM69" s="175">
        <f t="shared" si="339"/>
        <v>1</v>
      </c>
      <c r="BN69" s="175">
        <f t="shared" si="339"/>
        <v>1</v>
      </c>
      <c r="BO69" s="175">
        <f t="shared" si="339"/>
        <v>1</v>
      </c>
      <c r="BP69" s="175">
        <f t="shared" si="339"/>
        <v>1</v>
      </c>
      <c r="BQ69" s="175">
        <f t="shared" si="339"/>
        <v>1</v>
      </c>
      <c r="BR69" s="175">
        <f t="shared" si="339"/>
        <v>1</v>
      </c>
      <c r="BS69" s="175">
        <f t="shared" si="339"/>
        <v>1</v>
      </c>
      <c r="BT69" s="175">
        <f t="shared" si="339"/>
        <v>1</v>
      </c>
      <c r="BU69" s="175">
        <f t="shared" si="339"/>
        <v>1</v>
      </c>
      <c r="BV69" s="175">
        <f t="shared" si="339"/>
        <v>1</v>
      </c>
      <c r="BW69" s="175">
        <f t="shared" si="339"/>
        <v>1</v>
      </c>
      <c r="BX69" s="175">
        <f t="shared" si="339"/>
        <v>1</v>
      </c>
      <c r="BY69" s="175">
        <f t="shared" si="339"/>
        <v>1</v>
      </c>
      <c r="BZ69" s="175">
        <f t="shared" si="339"/>
        <v>1</v>
      </c>
      <c r="CA69" s="175">
        <f t="shared" si="339"/>
        <v>1</v>
      </c>
      <c r="CB69" s="175">
        <f t="shared" si="339"/>
        <v>1</v>
      </c>
      <c r="CC69" s="175">
        <f t="shared" si="339"/>
        <v>1</v>
      </c>
      <c r="CD69" s="175">
        <f t="shared" si="339"/>
        <v>1</v>
      </c>
      <c r="CE69" s="175">
        <f t="shared" si="339"/>
        <v>1</v>
      </c>
      <c r="CF69" s="175">
        <f t="shared" si="339"/>
        <v>1</v>
      </c>
      <c r="CG69" s="175">
        <f t="shared" si="339"/>
        <v>1</v>
      </c>
      <c r="CH69" s="175">
        <f t="shared" si="339"/>
        <v>1</v>
      </c>
      <c r="CI69" s="175">
        <f t="shared" si="339"/>
        <v>1</v>
      </c>
      <c r="CJ69" s="175">
        <f t="shared" si="339"/>
        <v>1</v>
      </c>
      <c r="CK69" s="175">
        <f t="shared" si="339"/>
        <v>1</v>
      </c>
      <c r="CL69" s="175">
        <f t="shared" si="339"/>
        <v>1</v>
      </c>
      <c r="CM69" s="175">
        <f t="shared" si="339"/>
        <v>1</v>
      </c>
      <c r="CN69" s="175">
        <f t="shared" si="339"/>
        <v>1</v>
      </c>
      <c r="CO69" s="175">
        <f t="shared" si="339"/>
        <v>1</v>
      </c>
      <c r="CP69" s="175">
        <f t="shared" si="339"/>
        <v>1</v>
      </c>
      <c r="CQ69" s="175">
        <f t="shared" si="339"/>
        <v>1</v>
      </c>
      <c r="CR69" s="175">
        <f t="shared" si="339"/>
        <v>1</v>
      </c>
      <c r="CS69" s="175">
        <f t="shared" si="339"/>
        <v>1</v>
      </c>
      <c r="CT69" s="175">
        <f t="shared" si="339"/>
        <v>1</v>
      </c>
      <c r="CU69" s="175">
        <f t="shared" si="339"/>
        <v>1</v>
      </c>
      <c r="CV69" s="175">
        <f t="shared" si="339"/>
        <v>1</v>
      </c>
      <c r="CW69" s="175">
        <f t="shared" si="339"/>
        <v>1</v>
      </c>
      <c r="CX69" s="175">
        <f t="shared" si="339"/>
        <v>1</v>
      </c>
      <c r="CY69" s="175">
        <f t="shared" si="339"/>
        <v>1</v>
      </c>
      <c r="CZ69" s="175">
        <f t="shared" si="339"/>
        <v>1</v>
      </c>
      <c r="DA69" s="175">
        <f t="shared" si="339"/>
        <v>1</v>
      </c>
      <c r="DB69" s="175">
        <f t="shared" si="339"/>
        <v>1</v>
      </c>
      <c r="DC69" s="175"/>
      <c r="DD69" s="175"/>
      <c r="DE69" s="175"/>
      <c r="DF69" s="175"/>
      <c r="DG69" s="175"/>
      <c r="DH69" s="1082"/>
      <c r="DI69" s="175"/>
      <c r="DJ69" s="175"/>
      <c r="DK69" s="1082"/>
      <c r="DL69" s="1003"/>
      <c r="DM69" s="1003"/>
      <c r="DN69" s="1082"/>
      <c r="DO69" s="1003"/>
      <c r="DP69" s="1003"/>
      <c r="DQ69" s="1082"/>
      <c r="DR69" s="1003"/>
      <c r="DS69" s="1003"/>
      <c r="DT69" s="1082"/>
      <c r="DU69" s="1003"/>
      <c r="DV69" s="1003"/>
      <c r="DW69" s="1082"/>
      <c r="DX69" s="1003"/>
      <c r="DY69" s="1003"/>
      <c r="DZ69" s="1082"/>
      <c r="EA69" s="1003"/>
      <c r="EB69" s="1003"/>
      <c r="EC69" s="1082"/>
      <c r="ED69" s="1003"/>
      <c r="EE69" s="1003"/>
      <c r="EF69" s="1082"/>
      <c r="EG69" s="1003"/>
      <c r="EH69" s="1003"/>
      <c r="EI69" s="1082"/>
      <c r="EJ69" s="1003"/>
      <c r="EK69" s="1003"/>
      <c r="EL69" s="1082"/>
      <c r="EM69" s="1003"/>
      <c r="EN69" s="1003"/>
      <c r="EO69" s="1082"/>
      <c r="EP69" s="1003"/>
      <c r="EQ69" s="1003"/>
      <c r="ER69" s="1082"/>
      <c r="ES69" s="1003"/>
      <c r="ET69" s="1003"/>
      <c r="EU69" s="1082"/>
      <c r="EV69" s="1003"/>
      <c r="EW69" s="1003"/>
      <c r="EX69" s="1082"/>
      <c r="EY69" s="1003"/>
      <c r="EZ69" s="1003"/>
      <c r="FA69" s="1082"/>
      <c r="FB69" s="1003"/>
      <c r="FC69" s="1003"/>
      <c r="FE69" s="1003"/>
      <c r="FF69" s="1003"/>
      <c r="FG69" s="1003"/>
      <c r="FH69" s="35"/>
      <c r="FI69" s="35"/>
      <c r="FJ69" s="35"/>
      <c r="FK69" s="35"/>
      <c r="FL69" s="35"/>
      <c r="FM69" s="35"/>
      <c r="FN69" s="35"/>
      <c r="FO69" s="35"/>
      <c r="FP69" s="35"/>
      <c r="FQ69" s="35"/>
    </row>
    <row r="70" spans="1:173" s="321" customFormat="1" ht="13.35" customHeight="1" outlineLevel="1">
      <c r="A70" s="1168"/>
      <c r="B70" s="927" t="s">
        <v>160</v>
      </c>
      <c r="C70" s="186"/>
      <c r="D70" s="926" t="s">
        <v>460</v>
      </c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>
        <f>BD49/BD20</f>
        <v>0.17157013781904482</v>
      </c>
      <c r="BE70" s="175">
        <f>BE49/BE20</f>
        <v>7.7041562901646099E-2</v>
      </c>
      <c r="BF70" s="175">
        <f>BF49/BF20</f>
        <v>0.119601019112483</v>
      </c>
      <c r="BG70" s="175">
        <f>BG49/BG20</f>
        <v>0.26694447767542639</v>
      </c>
      <c r="BH70" s="175"/>
      <c r="BI70" s="175">
        <f t="shared" ref="BI70:CN70" si="340">BI49/BI20</f>
        <v>0.27633643055387952</v>
      </c>
      <c r="BJ70" s="175">
        <f t="shared" si="340"/>
        <v>0.3640817851344168</v>
      </c>
      <c r="BK70" s="175">
        <f t="shared" si="340"/>
        <v>0.1740488753124132</v>
      </c>
      <c r="BL70" s="175">
        <f t="shared" si="340"/>
        <v>0.2674396435456195</v>
      </c>
      <c r="BM70" s="175">
        <f t="shared" si="340"/>
        <v>0.34131693023030529</v>
      </c>
      <c r="BN70" s="175">
        <f t="shared" si="340"/>
        <v>0.28621717792746226</v>
      </c>
      <c r="BO70" s="175">
        <f t="shared" si="340"/>
        <v>0.3122968999845257</v>
      </c>
      <c r="BP70" s="175">
        <f t="shared" si="340"/>
        <v>0.35162623161344919</v>
      </c>
      <c r="BQ70" s="175">
        <f t="shared" si="340"/>
        <v>0.22742851757147922</v>
      </c>
      <c r="BR70" s="175">
        <f t="shared" si="340"/>
        <v>0.28565426966789009</v>
      </c>
      <c r="BS70" s="175">
        <f t="shared" si="340"/>
        <v>0.31326677782604684</v>
      </c>
      <c r="BT70" s="175">
        <f t="shared" si="340"/>
        <v>0.30481938679179499</v>
      </c>
      <c r="BU70" s="175">
        <f t="shared" si="340"/>
        <v>0.30898466781102651</v>
      </c>
      <c r="BV70" s="175">
        <f t="shared" si="340"/>
        <v>0.30406942242124307</v>
      </c>
      <c r="BW70" s="175">
        <f t="shared" si="340"/>
        <v>0.30603465506168082</v>
      </c>
      <c r="BX70" s="175">
        <f t="shared" si="340"/>
        <v>0.30506363077036491</v>
      </c>
      <c r="BY70" s="175">
        <f t="shared" si="340"/>
        <v>0.28940420697510699</v>
      </c>
      <c r="BZ70" s="175">
        <f t="shared" si="340"/>
        <v>0.28270930029848634</v>
      </c>
      <c r="CA70" s="175">
        <f t="shared" si="340"/>
        <v>0.28612663003960498</v>
      </c>
      <c r="CB70" s="175">
        <f t="shared" si="340"/>
        <v>0.28591060648725264</v>
      </c>
      <c r="CC70" s="175">
        <f t="shared" si="340"/>
        <v>0.3130277891683621</v>
      </c>
      <c r="CD70" s="175">
        <f t="shared" si="340"/>
        <v>0.30026111689472668</v>
      </c>
      <c r="CE70" s="175">
        <f t="shared" si="340"/>
        <v>0.31234660410613629</v>
      </c>
      <c r="CF70" s="175">
        <f t="shared" si="340"/>
        <v>0.29994522691283115</v>
      </c>
      <c r="CG70" s="175">
        <f t="shared" si="340"/>
        <v>0.30569862997263825</v>
      </c>
      <c r="CH70" s="175">
        <f t="shared" si="340"/>
        <v>0.30102612367854648</v>
      </c>
      <c r="CI70" s="175">
        <f t="shared" si="340"/>
        <v>0.29070674833037558</v>
      </c>
      <c r="CJ70" s="175">
        <f t="shared" si="340"/>
        <v>0.29584606226439902</v>
      </c>
      <c r="CK70" s="175">
        <f t="shared" si="340"/>
        <v>0.29149399332170456</v>
      </c>
      <c r="CL70" s="175">
        <f t="shared" si="340"/>
        <v>0.21593201373738877</v>
      </c>
      <c r="CM70" s="175">
        <f t="shared" si="340"/>
        <v>0.25538629205319913</v>
      </c>
      <c r="CN70" s="175">
        <f t="shared" si="340"/>
        <v>0.14752735308833378</v>
      </c>
      <c r="CO70" s="175">
        <f t="shared" ref="CO70:DT70" si="341">CO49/CO20</f>
        <v>0.25221868240592743</v>
      </c>
      <c r="CP70" s="175">
        <f t="shared" si="341"/>
        <v>0.20405594152864889</v>
      </c>
      <c r="CQ70" s="175">
        <f t="shared" si="341"/>
        <v>0.22432186203494683</v>
      </c>
      <c r="CR70" s="175">
        <f t="shared" si="341"/>
        <v>0.21277264404356666</v>
      </c>
      <c r="CS70" s="175">
        <f t="shared" si="341"/>
        <v>0.21824205555011353</v>
      </c>
      <c r="CT70" s="175">
        <f t="shared" si="341"/>
        <v>0.25684576265928089</v>
      </c>
      <c r="CU70" s="175">
        <f t="shared" si="341"/>
        <v>0.21874322351533562</v>
      </c>
      <c r="CV70" s="175">
        <f t="shared" si="341"/>
        <v>0.2375801148895306</v>
      </c>
      <c r="CW70" s="175">
        <f t="shared" si="341"/>
        <v>0.24833646188701769</v>
      </c>
      <c r="CX70" s="175">
        <f t="shared" si="341"/>
        <v>0.24796346624635196</v>
      </c>
      <c r="CY70" s="175">
        <f t="shared" si="341"/>
        <v>0.24814466760360601</v>
      </c>
      <c r="CZ70" s="175">
        <f t="shared" si="341"/>
        <v>0.24841338270060248</v>
      </c>
      <c r="DA70" s="175">
        <f t="shared" si="341"/>
        <v>0.25389757361469278</v>
      </c>
      <c r="DB70" s="175">
        <f t="shared" si="341"/>
        <v>0.25128884654086742</v>
      </c>
      <c r="DC70" s="175">
        <f t="shared" si="341"/>
        <v>0.24309314116895417</v>
      </c>
      <c r="DD70" s="175">
        <f t="shared" si="341"/>
        <v>0.23925148181530029</v>
      </c>
      <c r="DE70" s="175">
        <f t="shared" si="341"/>
        <v>0.24114386455773215</v>
      </c>
      <c r="DF70" s="175">
        <f t="shared" si="341"/>
        <v>0.23287208158921308</v>
      </c>
      <c r="DG70" s="175">
        <f t="shared" si="341"/>
        <v>9.7263473469884315E-2</v>
      </c>
      <c r="DH70" s="1082">
        <f t="shared" si="341"/>
        <v>0.17430869197280924</v>
      </c>
      <c r="DI70" s="175">
        <f t="shared" si="341"/>
        <v>0.25352954910815068</v>
      </c>
      <c r="DJ70" s="175">
        <f t="shared" si="341"/>
        <v>0.2112655015858618</v>
      </c>
      <c r="DK70" s="1082">
        <f t="shared" si="341"/>
        <v>0.2322394867077669</v>
      </c>
      <c r="DL70" s="1003">
        <f t="shared" si="341"/>
        <v>0.2589253076641892</v>
      </c>
      <c r="DM70" s="1003">
        <f t="shared" si="341"/>
        <v>0.18889736587723532</v>
      </c>
      <c r="DN70" s="1082">
        <f t="shared" si="341"/>
        <v>0.22376476369592915</v>
      </c>
      <c r="DO70" s="1003">
        <f t="shared" si="341"/>
        <v>0.21115336196180351</v>
      </c>
      <c r="DP70" s="1003">
        <f t="shared" si="341"/>
        <v>0.15851764649923891</v>
      </c>
      <c r="DQ70" s="1082">
        <f t="shared" si="341"/>
        <v>0.18257494964103091</v>
      </c>
      <c r="DR70" s="1003">
        <f t="shared" si="341"/>
        <v>0.23068293855257174</v>
      </c>
      <c r="DS70" s="1003">
        <f t="shared" si="341"/>
        <v>0.27105142555623951</v>
      </c>
      <c r="DT70" s="1082">
        <f t="shared" si="341"/>
        <v>0.25121568438003217</v>
      </c>
      <c r="DU70" s="1003">
        <f t="shared" ref="DU70:EF70" si="342">DU49/DU20</f>
        <v>0.23076251610646045</v>
      </c>
      <c r="DV70" s="1003">
        <f t="shared" si="342"/>
        <v>0.21687202551207727</v>
      </c>
      <c r="DW70" s="1082">
        <f t="shared" si="342"/>
        <v>0.2238192864154325</v>
      </c>
      <c r="DX70" s="1003">
        <f t="shared" ref="DX70" si="343">DX49/DX20</f>
        <v>0.20769396847155588</v>
      </c>
      <c r="DY70" s="1003">
        <f t="shared" si="342"/>
        <v>0.21719769733900737</v>
      </c>
      <c r="DZ70" s="1082">
        <f t="shared" si="342"/>
        <v>0.21277751669920919</v>
      </c>
      <c r="EA70" s="1003">
        <f t="shared" si="342"/>
        <v>0.23368444168310237</v>
      </c>
      <c r="EB70" s="1003">
        <f t="shared" si="342"/>
        <v>0.23148545326870187</v>
      </c>
      <c r="EC70" s="1082">
        <f t="shared" si="342"/>
        <v>0.23256826704976233</v>
      </c>
      <c r="ED70" s="1003">
        <f t="shared" si="342"/>
        <v>0.24154161999312598</v>
      </c>
      <c r="EE70" s="1003">
        <f t="shared" si="342"/>
        <v>0.23937294475397175</v>
      </c>
      <c r="EF70" s="1082">
        <f t="shared" si="342"/>
        <v>0.24044076699542322</v>
      </c>
      <c r="EG70" s="1003">
        <f t="shared" ref="EG70:EL70" si="344">EG49/EG20</f>
        <v>0.25020518144013143</v>
      </c>
      <c r="EH70" s="1003">
        <f t="shared" si="344"/>
        <v>0.24796708761888941</v>
      </c>
      <c r="EI70" s="1082">
        <f t="shared" si="344"/>
        <v>0.24906909049955556</v>
      </c>
      <c r="EJ70" s="1003">
        <f t="shared" si="344"/>
        <v>0.25256896834630016</v>
      </c>
      <c r="EK70" s="1003">
        <f t="shared" si="344"/>
        <v>0.25025256512667327</v>
      </c>
      <c r="EL70" s="1082">
        <f t="shared" si="344"/>
        <v>0.25139312634738054</v>
      </c>
      <c r="EM70" s="1003">
        <f t="shared" ref="EM70:ER70" si="345">EM49/EM20</f>
        <v>0.25485513496953499</v>
      </c>
      <c r="EN70" s="1003">
        <f t="shared" si="345"/>
        <v>0.25246364485999284</v>
      </c>
      <c r="EO70" s="1082">
        <f t="shared" si="345"/>
        <v>0.25364117770726979</v>
      </c>
      <c r="EP70" s="1003">
        <f t="shared" si="345"/>
        <v>0.26125621945949823</v>
      </c>
      <c r="EQ70" s="1003">
        <f t="shared" si="345"/>
        <v>0.25878460208224818</v>
      </c>
      <c r="ER70" s="1082">
        <f t="shared" si="345"/>
        <v>0.26000158836038489</v>
      </c>
      <c r="ES70" s="1003">
        <f t="shared" ref="ES70:EX70" si="346">ES49/ES20</f>
        <v>0.26258797226371844</v>
      </c>
      <c r="ET70" s="1003">
        <f t="shared" si="346"/>
        <v>0.26003923093607606</v>
      </c>
      <c r="EU70" s="1082">
        <f t="shared" si="346"/>
        <v>0.26129419185794489</v>
      </c>
      <c r="EV70" s="1003">
        <f t="shared" si="346"/>
        <v>0.26385416632036296</v>
      </c>
      <c r="EW70" s="1003">
        <f t="shared" si="346"/>
        <v>0.26123119940623407</v>
      </c>
      <c r="EX70" s="1082">
        <f t="shared" si="346"/>
        <v>0.26252270786214765</v>
      </c>
      <c r="EY70" s="1003">
        <f t="shared" ref="EY70:FA70" si="347">EY49/EY20</f>
        <v>0.26505834844548459</v>
      </c>
      <c r="EZ70" s="1003">
        <f t="shared" si="347"/>
        <v>0.26236395241157368</v>
      </c>
      <c r="FA70" s="1082">
        <f t="shared" si="347"/>
        <v>0.26369063146445515</v>
      </c>
      <c r="FB70" s="1003"/>
      <c r="FC70" s="1003"/>
      <c r="FE70" s="1003"/>
      <c r="FF70" s="1003"/>
      <c r="FG70" s="1003"/>
      <c r="FH70" s="35"/>
      <c r="FI70" s="35"/>
      <c r="FJ70" s="35"/>
      <c r="FK70" s="35"/>
      <c r="FL70" s="35"/>
      <c r="FM70" s="35"/>
      <c r="FN70" s="35"/>
      <c r="FO70" s="35"/>
      <c r="FP70" s="35"/>
      <c r="FQ70" s="35"/>
    </row>
    <row r="71" spans="1:173" s="321" customFormat="1" ht="13.35" customHeight="1" outlineLevel="1">
      <c r="A71" s="1168"/>
      <c r="C71" s="321" t="s">
        <v>108</v>
      </c>
      <c r="D71" s="926" t="s">
        <v>460</v>
      </c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>
        <f>BD50/BD20</f>
        <v>0</v>
      </c>
      <c r="BE71" s="175">
        <f>BE50/BE20</f>
        <v>0</v>
      </c>
      <c r="BF71" s="175">
        <f>BF50/BF20</f>
        <v>0</v>
      </c>
      <c r="BG71" s="175">
        <f>BG50/BG20</f>
        <v>0</v>
      </c>
      <c r="BH71" s="175"/>
      <c r="BI71" s="175">
        <f t="shared" ref="BI71:CN71" si="348">BI50/BI20</f>
        <v>0</v>
      </c>
      <c r="BJ71" s="175">
        <f t="shared" si="348"/>
        <v>0</v>
      </c>
      <c r="BK71" s="175">
        <f t="shared" si="348"/>
        <v>0</v>
      </c>
      <c r="BL71" s="175">
        <f t="shared" si="348"/>
        <v>0</v>
      </c>
      <c r="BM71" s="175">
        <f t="shared" si="348"/>
        <v>0</v>
      </c>
      <c r="BN71" s="175">
        <f t="shared" si="348"/>
        <v>0</v>
      </c>
      <c r="BO71" s="175">
        <f t="shared" si="348"/>
        <v>0</v>
      </c>
      <c r="BP71" s="175">
        <f t="shared" si="348"/>
        <v>0</v>
      </c>
      <c r="BQ71" s="175">
        <f t="shared" si="348"/>
        <v>0</v>
      </c>
      <c r="BR71" s="175">
        <f t="shared" si="348"/>
        <v>0</v>
      </c>
      <c r="BS71" s="175">
        <f t="shared" si="348"/>
        <v>0</v>
      </c>
      <c r="BT71" s="175">
        <f t="shared" si="348"/>
        <v>4.1769756007402712E-3</v>
      </c>
      <c r="BU71" s="175">
        <f t="shared" si="348"/>
        <v>2.1173719767324335E-3</v>
      </c>
      <c r="BV71" s="175">
        <f t="shared" si="348"/>
        <v>4.0308177262119967E-3</v>
      </c>
      <c r="BW71" s="175">
        <f t="shared" si="348"/>
        <v>4.6557206734094457E-3</v>
      </c>
      <c r="BX71" s="175">
        <f t="shared" si="348"/>
        <v>4.3469552229697152E-3</v>
      </c>
      <c r="BY71" s="175">
        <f t="shared" si="348"/>
        <v>3.4193923907847572E-3</v>
      </c>
      <c r="BZ71" s="175">
        <f t="shared" si="348"/>
        <v>5.8959248775080214E-3</v>
      </c>
      <c r="CA71" s="175">
        <f t="shared" si="348"/>
        <v>4.6318104498521287E-3</v>
      </c>
      <c r="CB71" s="175">
        <f t="shared" si="348"/>
        <v>2.4960019947767531E-2</v>
      </c>
      <c r="CC71" s="175">
        <f t="shared" si="348"/>
        <v>2.0995888971761332E-3</v>
      </c>
      <c r="CD71" s="175">
        <f t="shared" si="348"/>
        <v>1.286219778206785E-2</v>
      </c>
      <c r="CE71" s="175">
        <f t="shared" si="348"/>
        <v>1.8574205762642963E-2</v>
      </c>
      <c r="CF71" s="175">
        <f t="shared" si="348"/>
        <v>0</v>
      </c>
      <c r="CG71" s="175">
        <f t="shared" si="348"/>
        <v>8.6171794150384368E-3</v>
      </c>
      <c r="CH71" s="175">
        <f t="shared" si="348"/>
        <v>-3.5405736174185403E-3</v>
      </c>
      <c r="CI71" s="175">
        <f t="shared" si="348"/>
        <v>2.3788189854490505E-4</v>
      </c>
      <c r="CJ71" s="175">
        <f t="shared" si="348"/>
        <v>-1.6438859824654899E-3</v>
      </c>
      <c r="CK71" s="175">
        <f t="shared" si="348"/>
        <v>5.2841955754544679E-4</v>
      </c>
      <c r="CL71" s="175">
        <f t="shared" si="348"/>
        <v>-9.7002388460791945E-4</v>
      </c>
      <c r="CM71" s="175">
        <f t="shared" si="348"/>
        <v>-1.8761975845277046E-4</v>
      </c>
      <c r="CN71" s="175">
        <f t="shared" si="348"/>
        <v>2.0193164184731005E-3</v>
      </c>
      <c r="CO71" s="175">
        <f t="shared" ref="CO71:DT71" si="349">CO50/CO20</f>
        <v>-3.1102670375471458E-3</v>
      </c>
      <c r="CP71" s="175">
        <f t="shared" si="349"/>
        <v>-7.5042692078630202E-4</v>
      </c>
      <c r="CQ71" s="175">
        <f t="shared" si="349"/>
        <v>4.7587109961355423E-3</v>
      </c>
      <c r="CR71" s="175">
        <f t="shared" si="349"/>
        <v>4.8063208660407376E-3</v>
      </c>
      <c r="CS71" s="175">
        <f t="shared" si="349"/>
        <v>4.7837740606657747E-3</v>
      </c>
      <c r="CT71" s="175">
        <f t="shared" si="349"/>
        <v>1.4221758433890317E-2</v>
      </c>
      <c r="CU71" s="175">
        <f t="shared" si="349"/>
        <v>1.3905253639582454E-2</v>
      </c>
      <c r="CV71" s="175">
        <f t="shared" si="349"/>
        <v>1.4061725270180766E-2</v>
      </c>
      <c r="CW71" s="175">
        <f t="shared" si="349"/>
        <v>8.3333579723379649E-3</v>
      </c>
      <c r="CX71" s="175">
        <f t="shared" si="349"/>
        <v>-8.9340153815608474E-4</v>
      </c>
      <c r="CY71" s="175">
        <f t="shared" si="349"/>
        <v>3.5889600877713171E-3</v>
      </c>
      <c r="CZ71" s="175">
        <f t="shared" si="349"/>
        <v>2.6602903344244075E-3</v>
      </c>
      <c r="DA71" s="175">
        <f t="shared" si="349"/>
        <v>8.944081153094351E-3</v>
      </c>
      <c r="DB71" s="175">
        <f t="shared" si="349"/>
        <v>5.9549993556678137E-3</v>
      </c>
      <c r="DC71" s="175">
        <f t="shared" si="349"/>
        <v>1.1408402916052891E-2</v>
      </c>
      <c r="DD71" s="175">
        <f t="shared" si="349"/>
        <v>8.0296823384381679E-3</v>
      </c>
      <c r="DE71" s="175">
        <f t="shared" si="349"/>
        <v>9.694023687833524E-3</v>
      </c>
      <c r="DF71" s="175">
        <f t="shared" si="349"/>
        <v>7.9695725138653022E-3</v>
      </c>
      <c r="DG71" s="175">
        <f t="shared" si="349"/>
        <v>-4.6132521064800848E-2</v>
      </c>
      <c r="DH71" s="1082">
        <f t="shared" si="349"/>
        <v>-1.5394740631525381E-2</v>
      </c>
      <c r="DI71" s="175">
        <f t="shared" si="349"/>
        <v>-8.07319698600646E-3</v>
      </c>
      <c r="DJ71" s="175">
        <f t="shared" si="349"/>
        <v>1.3255567338282031E-4</v>
      </c>
      <c r="DK71" s="1082">
        <f t="shared" si="349"/>
        <v>-3.9396367521367529E-3</v>
      </c>
      <c r="DL71" s="1003">
        <f t="shared" si="349"/>
        <v>6.2142073839405376E-3</v>
      </c>
      <c r="DM71" s="1003">
        <f t="shared" si="349"/>
        <v>1.0512324794586759E-2</v>
      </c>
      <c r="DN71" s="1082">
        <f t="shared" si="349"/>
        <v>8.3722623308863688E-3</v>
      </c>
      <c r="DO71" s="1003">
        <f t="shared" si="349"/>
        <v>-1.2430783139337777E-3</v>
      </c>
      <c r="DP71" s="1003">
        <f t="shared" si="349"/>
        <v>4.1856925418569252E-3</v>
      </c>
      <c r="DQ71" s="1082">
        <f t="shared" si="349"/>
        <v>1.7044574143897527E-3</v>
      </c>
      <c r="DR71" s="1003">
        <f t="shared" si="349"/>
        <v>1.729631315430132E-3</v>
      </c>
      <c r="DS71" s="1003">
        <f t="shared" si="349"/>
        <v>3.5177205171049155E-3</v>
      </c>
      <c r="DT71" s="1082">
        <f t="shared" si="349"/>
        <v>2.6391125424941849E-3</v>
      </c>
      <c r="DU71" s="1003">
        <f t="shared" ref="DU71:EF71" si="350">DU50/DU20</f>
        <v>1.2885168403177771E-2</v>
      </c>
      <c r="DV71" s="1003">
        <f t="shared" si="350"/>
        <v>8.2820331110560891E-3</v>
      </c>
      <c r="DW71" s="1082">
        <f t="shared" si="350"/>
        <v>1.058426870385387E-2</v>
      </c>
      <c r="DX71" s="1003">
        <f t="shared" ref="DX71" si="351">DX50/DX20</f>
        <v>7.7107607950651124E-3</v>
      </c>
      <c r="DY71" s="1003">
        <f t="shared" si="350"/>
        <v>0</v>
      </c>
      <c r="DZ71" s="1082">
        <f t="shared" si="350"/>
        <v>3.586271879155706E-3</v>
      </c>
      <c r="EA71" s="1003">
        <f t="shared" si="350"/>
        <v>0</v>
      </c>
      <c r="EB71" s="1003">
        <f t="shared" si="350"/>
        <v>0</v>
      </c>
      <c r="EC71" s="1082">
        <f t="shared" si="350"/>
        <v>0</v>
      </c>
      <c r="ED71" s="1003">
        <f t="shared" si="350"/>
        <v>0</v>
      </c>
      <c r="EE71" s="1003">
        <f t="shared" si="350"/>
        <v>0</v>
      </c>
      <c r="EF71" s="1082">
        <f t="shared" si="350"/>
        <v>0</v>
      </c>
      <c r="EG71" s="1003">
        <f t="shared" ref="EG71:EL71" si="352">EG50/EG20</f>
        <v>0</v>
      </c>
      <c r="EH71" s="1003">
        <f t="shared" si="352"/>
        <v>0</v>
      </c>
      <c r="EI71" s="1082">
        <f t="shared" si="352"/>
        <v>0</v>
      </c>
      <c r="EJ71" s="1003">
        <f t="shared" si="352"/>
        <v>0</v>
      </c>
      <c r="EK71" s="1003">
        <f t="shared" si="352"/>
        <v>0</v>
      </c>
      <c r="EL71" s="1082">
        <f t="shared" si="352"/>
        <v>0</v>
      </c>
      <c r="EM71" s="1003">
        <f t="shared" ref="EM71:ER71" si="353">EM50/EM20</f>
        <v>0</v>
      </c>
      <c r="EN71" s="1003">
        <f t="shared" si="353"/>
        <v>0</v>
      </c>
      <c r="EO71" s="1082">
        <f t="shared" si="353"/>
        <v>0</v>
      </c>
      <c r="EP71" s="1003">
        <f t="shared" si="353"/>
        <v>0</v>
      </c>
      <c r="EQ71" s="1003">
        <f t="shared" si="353"/>
        <v>0</v>
      </c>
      <c r="ER71" s="1082">
        <f t="shared" si="353"/>
        <v>0</v>
      </c>
      <c r="ES71" s="1003">
        <f t="shared" ref="ES71:EX71" si="354">ES50/ES20</f>
        <v>0</v>
      </c>
      <c r="ET71" s="1003">
        <f t="shared" si="354"/>
        <v>0</v>
      </c>
      <c r="EU71" s="1082">
        <f t="shared" si="354"/>
        <v>0</v>
      </c>
      <c r="EV71" s="1003">
        <f t="shared" si="354"/>
        <v>0</v>
      </c>
      <c r="EW71" s="1003">
        <f t="shared" si="354"/>
        <v>0</v>
      </c>
      <c r="EX71" s="1082">
        <f t="shared" si="354"/>
        <v>0</v>
      </c>
      <c r="EY71" s="1003">
        <f t="shared" ref="EY71:FA71" si="355">EY50/EY20</f>
        <v>0</v>
      </c>
      <c r="EZ71" s="1003">
        <f t="shared" si="355"/>
        <v>0</v>
      </c>
      <c r="FA71" s="1082">
        <f t="shared" si="355"/>
        <v>0</v>
      </c>
      <c r="FB71" s="1003"/>
      <c r="FC71" s="1003"/>
      <c r="FE71" s="1003"/>
      <c r="FF71" s="1003"/>
      <c r="FG71" s="1003"/>
      <c r="FH71" s="35"/>
      <c r="FI71" s="35"/>
      <c r="FJ71" s="35"/>
      <c r="FK71" s="35"/>
      <c r="FL71" s="35"/>
      <c r="FM71" s="35"/>
      <c r="FN71" s="35"/>
      <c r="FO71" s="35"/>
      <c r="FP71" s="35"/>
      <c r="FQ71" s="35"/>
    </row>
    <row r="72" spans="1:173" s="321" customFormat="1" ht="13.35" customHeight="1" outlineLevel="1">
      <c r="A72" s="1168"/>
      <c r="B72" s="321" t="s">
        <v>158</v>
      </c>
      <c r="D72" s="926" t="s">
        <v>460</v>
      </c>
      <c r="E72" s="936"/>
      <c r="F72" s="936"/>
      <c r="G72" s="936"/>
      <c r="H72" s="936"/>
      <c r="I72" s="936"/>
      <c r="J72" s="936"/>
      <c r="K72" s="936"/>
      <c r="L72" s="936"/>
      <c r="M72" s="936"/>
      <c r="N72" s="936"/>
      <c r="O72" s="936"/>
      <c r="P72" s="936"/>
      <c r="Q72" s="936"/>
      <c r="R72" s="936"/>
      <c r="S72" s="936"/>
      <c r="T72" s="936"/>
      <c r="U72" s="936"/>
      <c r="V72" s="936"/>
      <c r="W72" s="936"/>
      <c r="X72" s="936"/>
      <c r="Y72" s="936"/>
      <c r="Z72" s="936"/>
      <c r="AA72" s="936"/>
      <c r="AB72" s="936"/>
      <c r="AC72" s="936"/>
      <c r="AD72" s="936"/>
      <c r="AE72" s="936"/>
      <c r="AF72" s="936"/>
      <c r="AG72" s="936"/>
      <c r="AH72" s="936"/>
      <c r="AI72" s="936"/>
      <c r="AJ72" s="936"/>
      <c r="AK72" s="936"/>
      <c r="AL72" s="936"/>
      <c r="AM72" s="936"/>
      <c r="AN72" s="936"/>
      <c r="AO72" s="936"/>
      <c r="AP72" s="936"/>
      <c r="AQ72" s="936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>
        <f>BD51/BD20</f>
        <v>0.17157013781904482</v>
      </c>
      <c r="BE72" s="175">
        <f>BE51/BE20</f>
        <v>7.7041562901646099E-2</v>
      </c>
      <c r="BF72" s="175">
        <f>BF51/BF20</f>
        <v>0.119601019112483</v>
      </c>
      <c r="BG72" s="175">
        <f>BG51/BG20</f>
        <v>0.26694447767542639</v>
      </c>
      <c r="BH72" s="175"/>
      <c r="BI72" s="175">
        <f t="shared" ref="BI72:CN72" si="356">BI51/BI20</f>
        <v>0.27633643055387952</v>
      </c>
      <c r="BJ72" s="175">
        <f t="shared" si="356"/>
        <v>0.3640817851344168</v>
      </c>
      <c r="BK72" s="175">
        <f t="shared" si="356"/>
        <v>0.1740488753124132</v>
      </c>
      <c r="BL72" s="175">
        <f t="shared" si="356"/>
        <v>0.2674396435456195</v>
      </c>
      <c r="BM72" s="175">
        <f t="shared" si="356"/>
        <v>0.34131693023030529</v>
      </c>
      <c r="BN72" s="175">
        <f t="shared" si="356"/>
        <v>0.28621717792746226</v>
      </c>
      <c r="BO72" s="175">
        <f t="shared" si="356"/>
        <v>0.3122968999845257</v>
      </c>
      <c r="BP72" s="175">
        <f t="shared" si="356"/>
        <v>0.35162623161344919</v>
      </c>
      <c r="BQ72" s="175">
        <f t="shared" si="356"/>
        <v>0.22742851757147922</v>
      </c>
      <c r="BR72" s="175">
        <f t="shared" si="356"/>
        <v>0.28565426966789009</v>
      </c>
      <c r="BS72" s="175">
        <f t="shared" si="356"/>
        <v>0.31326677782604684</v>
      </c>
      <c r="BT72" s="175">
        <f t="shared" si="356"/>
        <v>0.30899636239253525</v>
      </c>
      <c r="BU72" s="175">
        <f t="shared" si="356"/>
        <v>0.31110203978775897</v>
      </c>
      <c r="BV72" s="175">
        <f t="shared" si="356"/>
        <v>0.30810024014745507</v>
      </c>
      <c r="BW72" s="175">
        <f t="shared" si="356"/>
        <v>0.31069037573509029</v>
      </c>
      <c r="BX72" s="175">
        <f t="shared" si="356"/>
        <v>0.3094105859933346</v>
      </c>
      <c r="BY72" s="175">
        <f t="shared" si="356"/>
        <v>0.29282359936589175</v>
      </c>
      <c r="BZ72" s="175">
        <f t="shared" si="356"/>
        <v>0.28860522517599435</v>
      </c>
      <c r="CA72" s="175">
        <f t="shared" si="356"/>
        <v>0.29075844048945709</v>
      </c>
      <c r="CB72" s="175">
        <f t="shared" si="356"/>
        <v>0.31087062643502017</v>
      </c>
      <c r="CC72" s="175">
        <f t="shared" si="356"/>
        <v>0.31512737806553826</v>
      </c>
      <c r="CD72" s="175">
        <f t="shared" si="356"/>
        <v>0.3131233146767945</v>
      </c>
      <c r="CE72" s="175">
        <f t="shared" si="356"/>
        <v>0.33092080986877925</v>
      </c>
      <c r="CF72" s="175">
        <f t="shared" si="356"/>
        <v>0.29994522691283115</v>
      </c>
      <c r="CG72" s="175">
        <f t="shared" si="356"/>
        <v>0.31431580938767667</v>
      </c>
      <c r="CH72" s="175">
        <f t="shared" si="356"/>
        <v>0.29748555006112798</v>
      </c>
      <c r="CI72" s="175">
        <f t="shared" si="356"/>
        <v>0.29094463022892048</v>
      </c>
      <c r="CJ72" s="175">
        <f t="shared" si="356"/>
        <v>0.29420217628193351</v>
      </c>
      <c r="CK72" s="175">
        <f t="shared" si="356"/>
        <v>0.29202241287925002</v>
      </c>
      <c r="CL72" s="175">
        <f t="shared" si="356"/>
        <v>0.21496198985278087</v>
      </c>
      <c r="CM72" s="175">
        <f t="shared" si="356"/>
        <v>0.25519867229474641</v>
      </c>
      <c r="CN72" s="175">
        <f t="shared" si="356"/>
        <v>0.1495466695068069</v>
      </c>
      <c r="CO72" s="175">
        <f t="shared" ref="CO72:DT72" si="357">CO51/CO20</f>
        <v>0.2491084153683803</v>
      </c>
      <c r="CP72" s="175">
        <f t="shared" si="357"/>
        <v>0.20330551460786256</v>
      </c>
      <c r="CQ72" s="175">
        <f t="shared" si="357"/>
        <v>0.22908057303108237</v>
      </c>
      <c r="CR72" s="175">
        <f t="shared" si="357"/>
        <v>0.2175789649096074</v>
      </c>
      <c r="CS72" s="175">
        <f t="shared" si="357"/>
        <v>0.22302582961077932</v>
      </c>
      <c r="CT72" s="175">
        <f t="shared" si="357"/>
        <v>0.27106752109317123</v>
      </c>
      <c r="CU72" s="175">
        <f t="shared" si="357"/>
        <v>0.23264847715491807</v>
      </c>
      <c r="CV72" s="175">
        <f t="shared" si="357"/>
        <v>0.25164184015971136</v>
      </c>
      <c r="CW72" s="175">
        <f t="shared" si="357"/>
        <v>0.25666981985935566</v>
      </c>
      <c r="CX72" s="175">
        <f t="shared" si="357"/>
        <v>0.2470700647081959</v>
      </c>
      <c r="CY72" s="175">
        <f t="shared" si="357"/>
        <v>0.25173362769137736</v>
      </c>
      <c r="CZ72" s="175">
        <f t="shared" si="357"/>
        <v>0.25107367303502687</v>
      </c>
      <c r="DA72" s="175">
        <f t="shared" si="357"/>
        <v>0.26284165476778709</v>
      </c>
      <c r="DB72" s="175">
        <f t="shared" si="357"/>
        <v>0.25724384589653521</v>
      </c>
      <c r="DC72" s="175">
        <f t="shared" si="357"/>
        <v>0.25450154408500708</v>
      </c>
      <c r="DD72" s="175">
        <f t="shared" si="357"/>
        <v>0.24728116415373846</v>
      </c>
      <c r="DE72" s="175">
        <f t="shared" si="357"/>
        <v>0.25083788824556574</v>
      </c>
      <c r="DF72" s="175">
        <f t="shared" si="357"/>
        <v>0.24084165410307837</v>
      </c>
      <c r="DG72" s="175">
        <f t="shared" si="357"/>
        <v>5.113095240508346E-2</v>
      </c>
      <c r="DH72" s="1082">
        <f t="shared" si="357"/>
        <v>0.15891395134128386</v>
      </c>
      <c r="DI72" s="175">
        <f t="shared" si="357"/>
        <v>0.2454563521221442</v>
      </c>
      <c r="DJ72" s="175">
        <f t="shared" si="357"/>
        <v>0.2113980572592446</v>
      </c>
      <c r="DK72" s="1082">
        <f t="shared" si="357"/>
        <v>0.22829984995563013</v>
      </c>
      <c r="DL72" s="1003">
        <f t="shared" si="357"/>
        <v>0.26513951504812971</v>
      </c>
      <c r="DM72" s="1003">
        <f t="shared" si="357"/>
        <v>0.19940969067182207</v>
      </c>
      <c r="DN72" s="1082">
        <f t="shared" si="357"/>
        <v>0.23213702602681552</v>
      </c>
      <c r="DO72" s="1003">
        <f t="shared" si="357"/>
        <v>0.20991028364786976</v>
      </c>
      <c r="DP72" s="1003">
        <f t="shared" si="357"/>
        <v>0.16270333904109585</v>
      </c>
      <c r="DQ72" s="1082">
        <f t="shared" si="357"/>
        <v>0.18427940705542062</v>
      </c>
      <c r="DR72" s="1003">
        <f t="shared" si="357"/>
        <v>0.23241256986800188</v>
      </c>
      <c r="DS72" s="1003">
        <f t="shared" si="357"/>
        <v>0.27456914607334443</v>
      </c>
      <c r="DT72" s="1082">
        <f t="shared" si="357"/>
        <v>0.25385479692252633</v>
      </c>
      <c r="DU72" s="1003">
        <f t="shared" ref="DU72:EF72" si="358">DU51/DU20</f>
        <v>0.24364768450963825</v>
      </c>
      <c r="DV72" s="1003">
        <f t="shared" si="358"/>
        <v>0.22515405862313337</v>
      </c>
      <c r="DW72" s="1082">
        <f t="shared" si="358"/>
        <v>0.2344035551192864</v>
      </c>
      <c r="DX72" s="1003">
        <f t="shared" ref="DX72" si="359">DX51/DX20</f>
        <v>0.21540472926662099</v>
      </c>
      <c r="DY72" s="1003">
        <f t="shared" si="358"/>
        <v>0.21719769733900737</v>
      </c>
      <c r="DZ72" s="1082">
        <f t="shared" si="358"/>
        <v>0.21636378857836491</v>
      </c>
      <c r="EA72" s="1003">
        <f t="shared" si="358"/>
        <v>0.23368444168310237</v>
      </c>
      <c r="EB72" s="1003">
        <f t="shared" si="358"/>
        <v>0.23148545326870187</v>
      </c>
      <c r="EC72" s="1082">
        <f t="shared" si="358"/>
        <v>0.23256826704976233</v>
      </c>
      <c r="ED72" s="1003">
        <f t="shared" si="358"/>
        <v>0.24154161999312598</v>
      </c>
      <c r="EE72" s="1003">
        <f t="shared" si="358"/>
        <v>0.23937294475397175</v>
      </c>
      <c r="EF72" s="1082">
        <f t="shared" si="358"/>
        <v>0.24044076699542322</v>
      </c>
      <c r="EG72" s="1003">
        <f t="shared" ref="EG72:EL72" si="360">EG51/EG20</f>
        <v>0.25020518144013143</v>
      </c>
      <c r="EH72" s="1003">
        <f t="shared" si="360"/>
        <v>0.24796708761888941</v>
      </c>
      <c r="EI72" s="1082">
        <f t="shared" si="360"/>
        <v>0.24906909049955556</v>
      </c>
      <c r="EJ72" s="1003">
        <f t="shared" si="360"/>
        <v>0.25256896834630016</v>
      </c>
      <c r="EK72" s="1003">
        <f t="shared" si="360"/>
        <v>0.25025256512667327</v>
      </c>
      <c r="EL72" s="1082">
        <f t="shared" si="360"/>
        <v>0.25139312634738054</v>
      </c>
      <c r="EM72" s="1003">
        <f t="shared" ref="EM72:ER72" si="361">EM51/EM20</f>
        <v>0.25485513496953499</v>
      </c>
      <c r="EN72" s="1003">
        <f t="shared" si="361"/>
        <v>0.25246364485999284</v>
      </c>
      <c r="EO72" s="1082">
        <f t="shared" si="361"/>
        <v>0.25364117770726979</v>
      </c>
      <c r="EP72" s="1003">
        <f t="shared" si="361"/>
        <v>0.26125621945949823</v>
      </c>
      <c r="EQ72" s="1003">
        <f t="shared" si="361"/>
        <v>0.25878460208224818</v>
      </c>
      <c r="ER72" s="1082">
        <f t="shared" si="361"/>
        <v>0.26000158836038489</v>
      </c>
      <c r="ES72" s="1003">
        <f t="shared" ref="ES72:EX72" si="362">ES51/ES20</f>
        <v>0.26258797226371844</v>
      </c>
      <c r="ET72" s="1003">
        <f t="shared" si="362"/>
        <v>0.26003923093607606</v>
      </c>
      <c r="EU72" s="1082">
        <f t="shared" si="362"/>
        <v>0.26129419185794489</v>
      </c>
      <c r="EV72" s="1003">
        <f t="shared" si="362"/>
        <v>0.26385416632036296</v>
      </c>
      <c r="EW72" s="1003">
        <f t="shared" si="362"/>
        <v>0.26123119940623407</v>
      </c>
      <c r="EX72" s="1082">
        <f t="shared" si="362"/>
        <v>0.26252270786214765</v>
      </c>
      <c r="EY72" s="1003">
        <f t="shared" ref="EY72:FA72" si="363">EY51/EY20</f>
        <v>0.26505834844548459</v>
      </c>
      <c r="EZ72" s="1003">
        <f t="shared" si="363"/>
        <v>0.26236395241157368</v>
      </c>
      <c r="FA72" s="1082">
        <f t="shared" si="363"/>
        <v>0.26369063146445515</v>
      </c>
      <c r="FB72" s="1003"/>
      <c r="FC72" s="1003"/>
      <c r="FE72" s="1003"/>
      <c r="FF72" s="1003"/>
      <c r="FG72" s="1003"/>
      <c r="FH72" s="35"/>
      <c r="FI72" s="35"/>
      <c r="FJ72" s="35"/>
      <c r="FK72" s="35"/>
      <c r="FL72" s="35"/>
      <c r="FM72" s="35"/>
      <c r="FN72" s="35"/>
      <c r="FO72" s="35"/>
      <c r="FP72" s="35"/>
      <c r="FQ72" s="35"/>
    </row>
    <row r="73" spans="1:173" s="321" customFormat="1" ht="13.35" customHeight="1">
      <c r="A73" s="1168"/>
      <c r="D73" s="926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75"/>
      <c r="BI73" s="175"/>
      <c r="BJ73" s="175"/>
      <c r="BK73" s="175"/>
      <c r="BL73" s="175"/>
      <c r="BM73" s="175"/>
      <c r="BN73" s="175"/>
      <c r="BO73" s="175"/>
      <c r="BP73" s="175"/>
      <c r="BQ73" s="175"/>
      <c r="BR73" s="175"/>
      <c r="BS73" s="175"/>
      <c r="BT73" s="175"/>
      <c r="BU73" s="175"/>
      <c r="BV73" s="175"/>
      <c r="BW73" s="175"/>
      <c r="BX73" s="175"/>
      <c r="BY73" s="175"/>
      <c r="BZ73" s="175"/>
      <c r="CA73" s="175"/>
      <c r="CB73" s="175"/>
      <c r="CC73" s="175"/>
      <c r="CD73" s="175"/>
      <c r="CE73" s="175"/>
      <c r="CF73" s="175"/>
      <c r="CG73" s="175"/>
      <c r="CH73" s="175"/>
      <c r="CI73" s="175"/>
      <c r="CJ73" s="175"/>
      <c r="CK73" s="175"/>
      <c r="CL73" s="175"/>
      <c r="CM73" s="175"/>
      <c r="CN73" s="175"/>
      <c r="CO73" s="175"/>
      <c r="CP73" s="175"/>
      <c r="CQ73" s="175"/>
      <c r="CR73" s="175"/>
      <c r="CS73" s="175"/>
      <c r="CT73" s="175"/>
      <c r="CU73" s="175"/>
      <c r="CV73" s="175"/>
      <c r="CW73" s="175"/>
      <c r="CX73" s="175"/>
      <c r="CY73" s="175"/>
      <c r="CZ73" s="175"/>
      <c r="DA73" s="175"/>
      <c r="DB73" s="175"/>
      <c r="DC73" s="175"/>
      <c r="DD73" s="175"/>
      <c r="DE73" s="175"/>
      <c r="DF73" s="175"/>
      <c r="DG73" s="175"/>
      <c r="DH73" s="1061"/>
      <c r="DI73" s="175"/>
      <c r="DJ73" s="175"/>
      <c r="DK73" s="1061"/>
      <c r="DL73" s="175"/>
      <c r="DM73" s="175"/>
      <c r="DN73" s="1061"/>
      <c r="DO73" s="175"/>
      <c r="DP73" s="175"/>
      <c r="DQ73" s="1061"/>
      <c r="DR73" s="175"/>
      <c r="DS73" s="175"/>
      <c r="DT73" s="1061"/>
      <c r="DU73" s="175"/>
      <c r="DV73" s="175"/>
      <c r="DW73" s="1061"/>
      <c r="DX73" s="1645"/>
      <c r="DY73" s="174"/>
      <c r="DZ73" s="1061"/>
      <c r="EA73" s="175"/>
      <c r="EB73" s="175"/>
      <c r="EC73" s="1061"/>
      <c r="ED73" s="175"/>
      <c r="EE73" s="175"/>
      <c r="EF73" s="1061"/>
      <c r="EG73" s="175"/>
      <c r="EH73" s="175"/>
      <c r="EI73" s="1061"/>
      <c r="EJ73" s="175"/>
      <c r="EK73" s="175"/>
      <c r="EL73" s="1061"/>
      <c r="EM73" s="175"/>
      <c r="EN73" s="175"/>
      <c r="EO73" s="1061"/>
      <c r="EP73" s="175"/>
      <c r="EQ73" s="175"/>
      <c r="ER73" s="1061"/>
      <c r="ES73" s="175"/>
      <c r="ET73" s="175"/>
      <c r="EU73" s="1061"/>
      <c r="EV73" s="175"/>
      <c r="EW73" s="175"/>
      <c r="EX73" s="1061"/>
      <c r="EY73" s="175"/>
      <c r="EZ73" s="175"/>
      <c r="FA73" s="1061"/>
      <c r="FB73" s="1003"/>
      <c r="FC73" s="1003"/>
      <c r="FE73" s="1003"/>
      <c r="FF73" s="1003"/>
      <c r="FG73" s="1003"/>
      <c r="FH73" s="35"/>
      <c r="FI73" s="35"/>
      <c r="FJ73" s="35"/>
      <c r="FK73" s="35"/>
      <c r="FL73" s="35"/>
      <c r="FM73" s="35"/>
      <c r="FN73" s="35"/>
      <c r="FO73" s="35"/>
      <c r="FP73" s="35"/>
      <c r="FQ73" s="35"/>
    </row>
    <row r="74" spans="1:173" s="321" customFormat="1" ht="16.5" customHeight="1">
      <c r="A74" s="1418" t="s">
        <v>130</v>
      </c>
      <c r="B74" s="906" t="s">
        <v>288</v>
      </c>
      <c r="C74" s="906"/>
      <c r="D74" s="907"/>
      <c r="E74" s="925" t="str">
        <f t="shared" ref="E74:AZ74" si="364">+E2</f>
        <v>1h85</v>
      </c>
      <c r="F74" s="925" t="str">
        <f t="shared" si="364"/>
        <v>2h85</v>
      </c>
      <c r="G74" s="925" t="str">
        <f t="shared" si="364"/>
        <v>1985</v>
      </c>
      <c r="H74" s="925" t="str">
        <f t="shared" si="364"/>
        <v>1h86</v>
      </c>
      <c r="I74" s="925" t="str">
        <f t="shared" si="364"/>
        <v>2h86</v>
      </c>
      <c r="J74" s="925" t="str">
        <f t="shared" si="364"/>
        <v>1986</v>
      </c>
      <c r="K74" s="925" t="str">
        <f t="shared" si="364"/>
        <v>1h87</v>
      </c>
      <c r="L74" s="925" t="str">
        <f t="shared" si="364"/>
        <v>2h87</v>
      </c>
      <c r="M74" s="925" t="str">
        <f t="shared" si="364"/>
        <v>1987</v>
      </c>
      <c r="N74" s="925" t="str">
        <f t="shared" si="364"/>
        <v>1h88</v>
      </c>
      <c r="O74" s="925" t="str">
        <f t="shared" si="364"/>
        <v>2h88</v>
      </c>
      <c r="P74" s="925" t="str">
        <f t="shared" si="364"/>
        <v>1988</v>
      </c>
      <c r="Q74" s="925" t="str">
        <f t="shared" si="364"/>
        <v>1h89</v>
      </c>
      <c r="R74" s="925" t="str">
        <f t="shared" si="364"/>
        <v>2h89</v>
      </c>
      <c r="S74" s="925" t="str">
        <f t="shared" si="364"/>
        <v>1989</v>
      </c>
      <c r="T74" s="925" t="str">
        <f t="shared" si="364"/>
        <v>1h90</v>
      </c>
      <c r="U74" s="925" t="str">
        <f t="shared" si="364"/>
        <v>2h90</v>
      </c>
      <c r="V74" s="925" t="str">
        <f t="shared" si="364"/>
        <v>1990</v>
      </c>
      <c r="W74" s="925" t="str">
        <f t="shared" si="364"/>
        <v>1h91</v>
      </c>
      <c r="X74" s="925" t="str">
        <f t="shared" si="364"/>
        <v>2h91</v>
      </c>
      <c r="Y74" s="925" t="str">
        <f t="shared" si="364"/>
        <v>1991</v>
      </c>
      <c r="Z74" s="925" t="str">
        <f t="shared" si="364"/>
        <v>1h92</v>
      </c>
      <c r="AA74" s="925" t="str">
        <f t="shared" si="364"/>
        <v>2h92</v>
      </c>
      <c r="AB74" s="925" t="str">
        <f t="shared" si="364"/>
        <v>1992</v>
      </c>
      <c r="AC74" s="925" t="str">
        <f t="shared" si="364"/>
        <v>1h93</v>
      </c>
      <c r="AD74" s="925" t="str">
        <f t="shared" si="364"/>
        <v>2h93</v>
      </c>
      <c r="AE74" s="925" t="str">
        <f t="shared" si="364"/>
        <v>1993</v>
      </c>
      <c r="AF74" s="925" t="str">
        <f t="shared" si="364"/>
        <v>1h94</v>
      </c>
      <c r="AG74" s="925" t="str">
        <f t="shared" si="364"/>
        <v>2h94</v>
      </c>
      <c r="AH74" s="925" t="str">
        <f t="shared" si="364"/>
        <v>1994</v>
      </c>
      <c r="AI74" s="925" t="str">
        <f t="shared" si="364"/>
        <v>1h95</v>
      </c>
      <c r="AJ74" s="925" t="str">
        <f t="shared" si="364"/>
        <v>2h95</v>
      </c>
      <c r="AK74" s="925" t="str">
        <f t="shared" si="364"/>
        <v>1995</v>
      </c>
      <c r="AL74" s="925" t="str">
        <f t="shared" si="364"/>
        <v>1h96</v>
      </c>
      <c r="AM74" s="925" t="str">
        <f t="shared" si="364"/>
        <v>2h96</v>
      </c>
      <c r="AN74" s="925" t="str">
        <f t="shared" si="364"/>
        <v>1996</v>
      </c>
      <c r="AO74" s="925" t="str">
        <f t="shared" si="364"/>
        <v>1h97</v>
      </c>
      <c r="AP74" s="925" t="str">
        <f t="shared" si="364"/>
        <v>2h97</v>
      </c>
      <c r="AQ74" s="925" t="str">
        <f t="shared" si="364"/>
        <v>FY97</v>
      </c>
      <c r="AR74" s="925" t="str">
        <f t="shared" si="364"/>
        <v>1H98</v>
      </c>
      <c r="AS74" s="925" t="str">
        <f t="shared" si="364"/>
        <v>2H98</v>
      </c>
      <c r="AT74" s="925" t="str">
        <f t="shared" si="364"/>
        <v>FY98</v>
      </c>
      <c r="AU74" s="925" t="str">
        <f t="shared" si="364"/>
        <v>1H99</v>
      </c>
      <c r="AV74" s="925" t="str">
        <f t="shared" si="364"/>
        <v>2H99</v>
      </c>
      <c r="AW74" s="925" t="str">
        <f t="shared" si="364"/>
        <v>FY99</v>
      </c>
      <c r="AX74" s="925" t="str">
        <f t="shared" si="364"/>
        <v>1H00</v>
      </c>
      <c r="AY74" s="925" t="str">
        <f t="shared" si="364"/>
        <v>2H00</v>
      </c>
      <c r="AZ74" s="925" t="str">
        <f t="shared" si="364"/>
        <v>FY00</v>
      </c>
      <c r="BA74" s="925"/>
      <c r="BB74" s="925"/>
      <c r="BC74" s="925"/>
      <c r="BD74" s="925" t="str">
        <f t="shared" ref="BD74:CI74" si="365">+BD2</f>
        <v>1H02</v>
      </c>
      <c r="BE74" s="925" t="str">
        <f t="shared" si="365"/>
        <v>2H02</v>
      </c>
      <c r="BF74" s="925" t="str">
        <f t="shared" si="365"/>
        <v>FY02</v>
      </c>
      <c r="BG74" s="925" t="str">
        <f t="shared" si="365"/>
        <v>1H03</v>
      </c>
      <c r="BH74" s="925" t="str">
        <f t="shared" si="365"/>
        <v>2H03</v>
      </c>
      <c r="BI74" s="925" t="str">
        <f t="shared" si="365"/>
        <v>FY03</v>
      </c>
      <c r="BJ74" s="106" t="str">
        <f t="shared" si="365"/>
        <v>1H04</v>
      </c>
      <c r="BK74" s="106" t="str">
        <f t="shared" si="365"/>
        <v>2H04</v>
      </c>
      <c r="BL74" s="106" t="str">
        <f t="shared" si="365"/>
        <v>FY04</v>
      </c>
      <c r="BM74" s="106" t="str">
        <f t="shared" si="365"/>
        <v>1H05</v>
      </c>
      <c r="BN74" s="106" t="str">
        <f t="shared" si="365"/>
        <v>2H05</v>
      </c>
      <c r="BO74" s="106" t="str">
        <f t="shared" si="365"/>
        <v>FY05</v>
      </c>
      <c r="BP74" s="106" t="str">
        <f t="shared" si="365"/>
        <v>1H06</v>
      </c>
      <c r="BQ74" s="106" t="str">
        <f t="shared" si="365"/>
        <v>2H06</v>
      </c>
      <c r="BR74" s="106" t="str">
        <f t="shared" si="365"/>
        <v>FY06</v>
      </c>
      <c r="BS74" s="179" t="str">
        <f t="shared" si="365"/>
        <v>1H07</v>
      </c>
      <c r="BT74" s="179" t="str">
        <f t="shared" si="365"/>
        <v>2H07</v>
      </c>
      <c r="BU74" s="179" t="str">
        <f t="shared" si="365"/>
        <v>FY07</v>
      </c>
      <c r="BV74" s="179" t="str">
        <f t="shared" si="365"/>
        <v>1H08</v>
      </c>
      <c r="BW74" s="179" t="str">
        <f t="shared" si="365"/>
        <v>2H08</v>
      </c>
      <c r="BX74" s="179" t="str">
        <f t="shared" si="365"/>
        <v>FY08</v>
      </c>
      <c r="BY74" s="179" t="str">
        <f t="shared" si="365"/>
        <v>1H09</v>
      </c>
      <c r="BZ74" s="179" t="str">
        <f t="shared" si="365"/>
        <v>2H09</v>
      </c>
      <c r="CA74" s="179" t="str">
        <f t="shared" si="365"/>
        <v>FY09</v>
      </c>
      <c r="CB74" s="179" t="str">
        <f t="shared" si="365"/>
        <v>1H10</v>
      </c>
      <c r="CC74" s="179" t="str">
        <f t="shared" si="365"/>
        <v>2H10</v>
      </c>
      <c r="CD74" s="179" t="str">
        <f t="shared" si="365"/>
        <v>FY10</v>
      </c>
      <c r="CE74" s="179" t="str">
        <f t="shared" si="365"/>
        <v>1H11</v>
      </c>
      <c r="CF74" s="179" t="str">
        <f t="shared" si="365"/>
        <v>2H11</v>
      </c>
      <c r="CG74" s="179" t="str">
        <f t="shared" si="365"/>
        <v>FY11</v>
      </c>
      <c r="CH74" s="179" t="str">
        <f t="shared" si="365"/>
        <v>1H12</v>
      </c>
      <c r="CI74" s="179" t="str">
        <f t="shared" si="365"/>
        <v>2H12</v>
      </c>
      <c r="CJ74" s="179" t="str">
        <f t="shared" ref="CJ74:DO74" si="366">+CJ2</f>
        <v>FY12</v>
      </c>
      <c r="CK74" s="179" t="str">
        <f t="shared" si="366"/>
        <v>1H13</v>
      </c>
      <c r="CL74" s="179" t="str">
        <f t="shared" si="366"/>
        <v>2H13</v>
      </c>
      <c r="CM74" s="179" t="str">
        <f t="shared" si="366"/>
        <v>FY13</v>
      </c>
      <c r="CN74" s="179" t="str">
        <f t="shared" si="366"/>
        <v>1H14</v>
      </c>
      <c r="CO74" s="179" t="str">
        <f t="shared" si="366"/>
        <v>2H14</v>
      </c>
      <c r="CP74" s="179" t="str">
        <f t="shared" si="366"/>
        <v>FY14</v>
      </c>
      <c r="CQ74" s="179" t="str">
        <f t="shared" si="366"/>
        <v>1H15</v>
      </c>
      <c r="CR74" s="179" t="str">
        <f t="shared" si="366"/>
        <v>2H15</v>
      </c>
      <c r="CS74" s="179" t="str">
        <f t="shared" si="366"/>
        <v>FY15</v>
      </c>
      <c r="CT74" s="179" t="str">
        <f t="shared" si="366"/>
        <v>1H16</v>
      </c>
      <c r="CU74" s="179" t="str">
        <f t="shared" si="366"/>
        <v>2H16</v>
      </c>
      <c r="CV74" s="179" t="str">
        <f t="shared" si="366"/>
        <v>FY16</v>
      </c>
      <c r="CW74" s="179" t="str">
        <f t="shared" si="366"/>
        <v>1H17</v>
      </c>
      <c r="CX74" s="179" t="str">
        <f t="shared" si="366"/>
        <v>2H17</v>
      </c>
      <c r="CY74" s="179" t="str">
        <f t="shared" si="366"/>
        <v>FY17</v>
      </c>
      <c r="CZ74" s="179" t="str">
        <f t="shared" si="366"/>
        <v>1H18</v>
      </c>
      <c r="DA74" s="179" t="str">
        <f t="shared" si="366"/>
        <v>2H18</v>
      </c>
      <c r="DB74" s="179" t="str">
        <f t="shared" si="366"/>
        <v>FY18</v>
      </c>
      <c r="DC74" s="179" t="str">
        <f t="shared" si="366"/>
        <v>1H19</v>
      </c>
      <c r="DD74" s="179" t="str">
        <f t="shared" si="366"/>
        <v>2H19</v>
      </c>
      <c r="DE74" s="179" t="str">
        <f t="shared" si="366"/>
        <v>FY19</v>
      </c>
      <c r="DF74" s="179" t="str">
        <f t="shared" si="366"/>
        <v>1H20</v>
      </c>
      <c r="DG74" s="179" t="str">
        <f t="shared" si="366"/>
        <v>2H20</v>
      </c>
      <c r="DH74" s="1064" t="str">
        <f t="shared" si="366"/>
        <v>FY20</v>
      </c>
      <c r="DI74" s="179" t="str">
        <f t="shared" si="366"/>
        <v>1H21</v>
      </c>
      <c r="DJ74" s="179" t="str">
        <f t="shared" si="366"/>
        <v>2H21</v>
      </c>
      <c r="DK74" s="1064" t="str">
        <f t="shared" si="366"/>
        <v>FY21</v>
      </c>
      <c r="DL74" s="179" t="str">
        <f t="shared" si="366"/>
        <v>1H22</v>
      </c>
      <c r="DM74" s="179" t="str">
        <f t="shared" si="366"/>
        <v>2H22</v>
      </c>
      <c r="DN74" s="1064" t="str">
        <f t="shared" si="366"/>
        <v>FY22</v>
      </c>
      <c r="DO74" s="179" t="str">
        <f t="shared" si="366"/>
        <v>1H23</v>
      </c>
      <c r="DP74" s="179" t="str">
        <f t="shared" ref="DP74:EF74" si="367">+DP2</f>
        <v>2H23</v>
      </c>
      <c r="DQ74" s="1064" t="str">
        <f t="shared" si="367"/>
        <v>FY23</v>
      </c>
      <c r="DR74" s="179" t="str">
        <f t="shared" si="367"/>
        <v>1H24</v>
      </c>
      <c r="DS74" s="179" t="str">
        <f t="shared" si="367"/>
        <v>2H24</v>
      </c>
      <c r="DT74" s="1064" t="str">
        <f t="shared" si="367"/>
        <v>FY24</v>
      </c>
      <c r="DU74" s="179" t="str">
        <f t="shared" si="367"/>
        <v>1H25</v>
      </c>
      <c r="DV74" s="179" t="str">
        <f t="shared" si="367"/>
        <v>2H25</v>
      </c>
      <c r="DW74" s="1064" t="str">
        <f t="shared" si="367"/>
        <v>FY25</v>
      </c>
      <c r="DX74" s="179" t="str">
        <f t="shared" si="367"/>
        <v>1H26</v>
      </c>
      <c r="DY74" s="179" t="str">
        <f t="shared" si="367"/>
        <v>2H26E</v>
      </c>
      <c r="DZ74" s="1064" t="str">
        <f t="shared" si="367"/>
        <v>FY26E</v>
      </c>
      <c r="EA74" s="179" t="str">
        <f t="shared" si="367"/>
        <v>1H27E</v>
      </c>
      <c r="EB74" s="179" t="str">
        <f t="shared" si="367"/>
        <v>2H27E</v>
      </c>
      <c r="EC74" s="1064" t="str">
        <f t="shared" si="367"/>
        <v>FY27E</v>
      </c>
      <c r="ED74" s="179" t="str">
        <f t="shared" si="367"/>
        <v>1H28E</v>
      </c>
      <c r="EE74" s="179" t="str">
        <f t="shared" si="367"/>
        <v>2H28E</v>
      </c>
      <c r="EF74" s="1064" t="str">
        <f t="shared" si="367"/>
        <v>FY28E</v>
      </c>
      <c r="EG74" s="179" t="str">
        <f t="shared" ref="EG74:EL74" si="368">+EG2</f>
        <v>1H29E</v>
      </c>
      <c r="EH74" s="179" t="str">
        <f t="shared" si="368"/>
        <v>2H29E</v>
      </c>
      <c r="EI74" s="1064" t="str">
        <f t="shared" si="368"/>
        <v>FY29E</v>
      </c>
      <c r="EJ74" s="179" t="str">
        <f t="shared" si="368"/>
        <v>1H30E</v>
      </c>
      <c r="EK74" s="179" t="str">
        <f t="shared" si="368"/>
        <v>2H30E</v>
      </c>
      <c r="EL74" s="1064" t="str">
        <f t="shared" si="368"/>
        <v>FY30E</v>
      </c>
      <c r="EM74" s="179" t="str">
        <f t="shared" ref="EM74:ER74" si="369">+EM2</f>
        <v>1H31E</v>
      </c>
      <c r="EN74" s="179" t="str">
        <f t="shared" si="369"/>
        <v>2H31E</v>
      </c>
      <c r="EO74" s="1064" t="str">
        <f t="shared" si="369"/>
        <v>FY31E</v>
      </c>
      <c r="EP74" s="179" t="str">
        <f t="shared" si="369"/>
        <v>1H32E</v>
      </c>
      <c r="EQ74" s="179" t="str">
        <f t="shared" si="369"/>
        <v>2H32E</v>
      </c>
      <c r="ER74" s="1064" t="str">
        <f t="shared" si="369"/>
        <v>FY32E</v>
      </c>
      <c r="ES74" s="179" t="str">
        <f t="shared" ref="ES74:EX74" si="370">+ES2</f>
        <v>1H33E</v>
      </c>
      <c r="ET74" s="179" t="str">
        <f t="shared" si="370"/>
        <v>2H33E</v>
      </c>
      <c r="EU74" s="1064" t="str">
        <f t="shared" si="370"/>
        <v>FY33E</v>
      </c>
      <c r="EV74" s="179" t="str">
        <f t="shared" si="370"/>
        <v>1H34E</v>
      </c>
      <c r="EW74" s="179" t="str">
        <f t="shared" si="370"/>
        <v>2H34E</v>
      </c>
      <c r="EX74" s="1064" t="str">
        <f t="shared" si="370"/>
        <v>FY34E</v>
      </c>
      <c r="EY74" s="179" t="str">
        <f t="shared" ref="EY74:FA74" si="371">+EY2</f>
        <v>1H35E</v>
      </c>
      <c r="EZ74" s="179" t="str">
        <f t="shared" si="371"/>
        <v>2H35E</v>
      </c>
      <c r="FA74" s="1064" t="str">
        <f t="shared" si="371"/>
        <v>FY35E</v>
      </c>
      <c r="FF74" s="35"/>
      <c r="FG74" s="35"/>
      <c r="FH74" s="35"/>
      <c r="FI74" s="35"/>
      <c r="FJ74" s="35"/>
      <c r="FK74" s="35"/>
      <c r="FL74" s="35"/>
      <c r="FM74" s="35"/>
      <c r="FN74" s="35"/>
      <c r="FO74" s="35"/>
      <c r="FP74" s="35"/>
      <c r="FQ74" s="35"/>
    </row>
    <row r="75" spans="1:173" ht="13.35" customHeight="1" outlineLevel="1">
      <c r="A75" s="1421"/>
      <c r="B75" s="186" t="s">
        <v>489</v>
      </c>
      <c r="D75" s="926" t="s">
        <v>98</v>
      </c>
      <c r="BA75" s="180"/>
      <c r="BB75" s="180"/>
      <c r="BC75" s="63"/>
      <c r="BD75" s="180">
        <v>0.51078000000000001</v>
      </c>
      <c r="BE75" s="180">
        <v>0.53808</v>
      </c>
      <c r="BF75" s="63">
        <f>AVERAGE(BD75:BE75)</f>
        <v>0.52442999999999995</v>
      </c>
      <c r="BG75" s="180">
        <v>0.55227000000000004</v>
      </c>
      <c r="BH75" s="180">
        <v>0.62565000000000004</v>
      </c>
      <c r="BI75" s="63">
        <f>(BG75+BH75)/2</f>
        <v>0.58896000000000004</v>
      </c>
      <c r="BJ75" s="938">
        <v>0.687392</v>
      </c>
      <c r="BK75" s="938">
        <v>0.69</v>
      </c>
      <c r="BL75" s="939">
        <f>(BJ75+BK75)/2</f>
        <v>0.68869599999999997</v>
      </c>
      <c r="BM75" s="938">
        <v>0.73250000000000004</v>
      </c>
      <c r="BN75" s="938">
        <v>0.77</v>
      </c>
      <c r="BO75" s="939">
        <f>BN75</f>
        <v>0.77</v>
      </c>
      <c r="BP75" s="938">
        <v>0.74</v>
      </c>
      <c r="BQ75" s="938">
        <v>0.75</v>
      </c>
      <c r="BR75" s="940">
        <f>(BP75+BQ75)/2</f>
        <v>0.745</v>
      </c>
      <c r="BS75" s="180">
        <v>0.75</v>
      </c>
      <c r="BT75" s="180">
        <v>0.8</v>
      </c>
      <c r="BU75" s="35">
        <v>0.77500000000000002</v>
      </c>
      <c r="BV75" s="180">
        <v>0.86877000000000004</v>
      </c>
      <c r="BW75" s="180">
        <v>0.92300000000000004</v>
      </c>
      <c r="BX75" s="181">
        <v>0.89588500000000004</v>
      </c>
      <c r="BY75" s="180">
        <v>0.8</v>
      </c>
      <c r="BZ75" s="180">
        <v>0.8925398496240603</v>
      </c>
      <c r="CA75" s="181">
        <v>0.84626992481203023</v>
      </c>
      <c r="CB75" s="180">
        <v>0.87153560606060609</v>
      </c>
      <c r="CC75" s="180">
        <v>0.8925398496240603</v>
      </c>
      <c r="CD75" s="181">
        <v>0.88203772784233325</v>
      </c>
      <c r="CE75" s="180">
        <v>0.94315887096774165</v>
      </c>
      <c r="CF75" s="180">
        <v>1.0427209790209795</v>
      </c>
      <c r="CG75" s="181">
        <v>0.99293992499436057</v>
      </c>
      <c r="CH75" s="180">
        <v>1.03</v>
      </c>
      <c r="CI75" s="180">
        <v>1.03</v>
      </c>
      <c r="CJ75" s="181">
        <v>1.03</v>
      </c>
      <c r="CK75" s="180">
        <v>1.0261180645161301</v>
      </c>
      <c r="CL75" s="180">
        <v>1.0232349650349644</v>
      </c>
      <c r="CM75" s="181">
        <v>1.0246765147755472</v>
      </c>
      <c r="CN75" s="180">
        <v>0.89</v>
      </c>
      <c r="CO75" s="180">
        <v>0.91510155000000004</v>
      </c>
      <c r="CP75" s="181">
        <v>0.90255077500000003</v>
      </c>
      <c r="CQ75" s="180">
        <v>0.89</v>
      </c>
      <c r="CR75" s="180">
        <v>0.74</v>
      </c>
      <c r="CS75" s="181">
        <f>AVERAGE(CQ75:CR75)</f>
        <v>0.81499999999999995</v>
      </c>
      <c r="CT75" s="180">
        <f>1/1.383725</f>
        <v>0.72268695008039885</v>
      </c>
      <c r="CU75" s="180">
        <v>0.73359705206846149</v>
      </c>
      <c r="CV75" s="181">
        <f>AVERAGE(CT75:CU75)</f>
        <v>0.72814200107443017</v>
      </c>
      <c r="CW75" s="180">
        <v>0.75354135676559353</v>
      </c>
      <c r="CX75" s="180">
        <v>0.75431847325941015</v>
      </c>
      <c r="CY75" s="181">
        <f>AVERAGE(CW75:CX75)</f>
        <v>0.75392991501250184</v>
      </c>
      <c r="CZ75" s="180">
        <v>0.77935746362133695</v>
      </c>
      <c r="DA75" s="180">
        <v>0.76186165799200423</v>
      </c>
      <c r="DB75" s="181">
        <f>AVERAGE(CZ75:DA75)</f>
        <v>0.77060956080667053</v>
      </c>
      <c r="DC75" s="180">
        <v>0.72391799999999995</v>
      </c>
      <c r="DD75" s="256">
        <v>0.71709999999999996</v>
      </c>
      <c r="DE75" s="181">
        <f>AVERAGE(DC75:DD75)</f>
        <v>0.72050899999999996</v>
      </c>
      <c r="DF75" s="268">
        <f>AVERAGE(0.7022,0.675)</f>
        <v>0.6886000000000001</v>
      </c>
      <c r="DG75" s="268">
        <v>0.66</v>
      </c>
      <c r="DH75" s="1065">
        <f>AVERAGE(DF75:DG75)</f>
        <v>0.67430000000000012</v>
      </c>
      <c r="DI75" s="256">
        <v>0.72306183822039161</v>
      </c>
      <c r="DJ75" s="180">
        <v>0.74173191435073227</v>
      </c>
      <c r="DK75" s="1065">
        <f>AVERAGE(DI75:DJ75)</f>
        <v>0.73239687628556194</v>
      </c>
      <c r="DL75" s="1051">
        <v>0.72</v>
      </c>
      <c r="DM75" s="1051">
        <v>0.72399999999999998</v>
      </c>
      <c r="DN75" s="1065">
        <f>AVERAGE(DL75:DM75)</f>
        <v>0.72199999999999998</v>
      </c>
      <c r="DO75" s="1051">
        <v>0.67051145038167925</v>
      </c>
      <c r="DP75" s="1051">
        <v>0.67643923076923074</v>
      </c>
      <c r="DQ75" s="1065">
        <f>AVERAGE(DO75:DP75)</f>
        <v>0.67347534057545499</v>
      </c>
      <c r="DR75" s="1568">
        <v>0.65334807423076913</v>
      </c>
      <c r="DS75" s="1568">
        <v>0.65850015192307698</v>
      </c>
      <c r="DT75" s="1065">
        <f>AVERAGE(DR75:DS75)</f>
        <v>0.65592411307692311</v>
      </c>
      <c r="DU75" s="1568">
        <v>0.66146154115384614</v>
      </c>
      <c r="DV75" s="1568">
        <v>0.63400000000000001</v>
      </c>
      <c r="DW75" s="1065">
        <f>AVERAGE(DU75:DV75)</f>
        <v>0.64773077057692308</v>
      </c>
      <c r="DX75" s="1568">
        <v>0.65545067378787891</v>
      </c>
      <c r="DY75" s="1568">
        <f>0.713</f>
        <v>0.71299999999999997</v>
      </c>
      <c r="DZ75" s="1065">
        <f>AVERAGE(DX75:DY75)</f>
        <v>0.6842253368939395</v>
      </c>
      <c r="EA75" s="1051">
        <f>DY75</f>
        <v>0.71299999999999997</v>
      </c>
      <c r="EB75" s="1051">
        <f>EA75</f>
        <v>0.71299999999999997</v>
      </c>
      <c r="EC75" s="1065">
        <f>AVERAGE(EA75:EB75)</f>
        <v>0.71299999999999997</v>
      </c>
      <c r="ED75" s="1051">
        <f>EB75</f>
        <v>0.71299999999999997</v>
      </c>
      <c r="EE75" s="1051">
        <f>ED75</f>
        <v>0.71299999999999997</v>
      </c>
      <c r="EF75" s="1065">
        <f>AVERAGE(ED75:EE75)</f>
        <v>0.71299999999999997</v>
      </c>
      <c r="EG75" s="1051">
        <f>EE75</f>
        <v>0.71299999999999997</v>
      </c>
      <c r="EH75" s="1051">
        <f>EG75</f>
        <v>0.71299999999999997</v>
      </c>
      <c r="EI75" s="1065">
        <f>AVERAGE(EG75:EH75)</f>
        <v>0.71299999999999997</v>
      </c>
      <c r="EJ75" s="1051">
        <f>EH75</f>
        <v>0.71299999999999997</v>
      </c>
      <c r="EK75" s="1051">
        <f>EJ75</f>
        <v>0.71299999999999997</v>
      </c>
      <c r="EL75" s="1065">
        <f>AVERAGE(EJ75:EK75)</f>
        <v>0.71299999999999997</v>
      </c>
      <c r="EM75" s="1051">
        <f>EK75</f>
        <v>0.71299999999999997</v>
      </c>
      <c r="EN75" s="1051">
        <f>EM75</f>
        <v>0.71299999999999997</v>
      </c>
      <c r="EO75" s="1065">
        <f>AVERAGE(EM75:EN75)</f>
        <v>0.71299999999999997</v>
      </c>
      <c r="EP75" s="1051">
        <f>EN75</f>
        <v>0.71299999999999997</v>
      </c>
      <c r="EQ75" s="1051">
        <f>EP75</f>
        <v>0.71299999999999997</v>
      </c>
      <c r="ER75" s="1065">
        <f>AVERAGE(EP75:EQ75)</f>
        <v>0.71299999999999997</v>
      </c>
      <c r="ES75" s="1051">
        <f>EQ75</f>
        <v>0.71299999999999997</v>
      </c>
      <c r="ET75" s="1051">
        <f>ES75</f>
        <v>0.71299999999999997</v>
      </c>
      <c r="EU75" s="1065">
        <f>AVERAGE(ES75:ET75)</f>
        <v>0.71299999999999997</v>
      </c>
      <c r="EV75" s="1051">
        <f>ET75</f>
        <v>0.71299999999999997</v>
      </c>
      <c r="EW75" s="1051">
        <f>EV75</f>
        <v>0.71299999999999997</v>
      </c>
      <c r="EX75" s="1065">
        <f>AVERAGE(EV75:EW75)</f>
        <v>0.71299999999999997</v>
      </c>
      <c r="EY75" s="1051">
        <f>EW75</f>
        <v>0.71299999999999997</v>
      </c>
      <c r="EZ75" s="1051">
        <f>EY75</f>
        <v>0.71299999999999997</v>
      </c>
      <c r="FA75" s="1065">
        <f>AVERAGE(EY75:EZ75)</f>
        <v>0.71299999999999997</v>
      </c>
    </row>
    <row r="76" spans="1:173" ht="13.35" customHeight="1" outlineLevel="1">
      <c r="C76" s="186" t="s">
        <v>209</v>
      </c>
      <c r="D76" s="926" t="s">
        <v>460</v>
      </c>
      <c r="BA76" s="35"/>
      <c r="BB76" s="35"/>
      <c r="BD76" s="171"/>
      <c r="BE76" s="171"/>
      <c r="BF76" s="64"/>
      <c r="BG76" s="171">
        <f>(BG75-BD75)/BD75</f>
        <v>8.1228709033243321E-2</v>
      </c>
      <c r="BH76" s="171">
        <f>(BH75-BE75)/BE75</f>
        <v>0.16274531668153441</v>
      </c>
      <c r="BI76" s="64">
        <f>BI75/BF75-1</f>
        <v>0.12304788055603244</v>
      </c>
      <c r="BJ76" s="171">
        <f>(BJ75-BG75)/BG75</f>
        <v>0.24466655802415477</v>
      </c>
      <c r="BK76" s="171">
        <f>(BK75-BH75)/BH75</f>
        <v>0.10285303284584017</v>
      </c>
      <c r="BL76" s="64">
        <f>BL75/BI75-1</f>
        <v>0.16934256995381669</v>
      </c>
      <c r="BM76" s="171">
        <f>(BM75-BJ75)/BJ75</f>
        <v>6.5621944974628796E-2</v>
      </c>
      <c r="BN76" s="171">
        <f>(BN75-BK75)/BK75</f>
        <v>0.11594202898550736</v>
      </c>
      <c r="BO76" s="64">
        <f>BO75/BL75-1</f>
        <v>0.11805499088131777</v>
      </c>
      <c r="BP76" s="171">
        <f>(BP75-BM75)/BM75</f>
        <v>1.0238907849829284E-2</v>
      </c>
      <c r="BQ76" s="171">
        <f>(BQ75-BN75)/BN75</f>
        <v>-2.5974025974025997E-2</v>
      </c>
      <c r="BR76" s="64">
        <f>BR75/BO75-1</f>
        <v>-3.2467532467532534E-2</v>
      </c>
      <c r="BS76" s="171">
        <f>(BS75-BP75)/BP75</f>
        <v>1.3513513513513526E-2</v>
      </c>
      <c r="BT76" s="171">
        <f>(BT75-BQ75)/BQ75</f>
        <v>6.6666666666666721E-2</v>
      </c>
      <c r="BU76" s="65">
        <f>BU75/BR75-1</f>
        <v>4.0268456375838868E-2</v>
      </c>
      <c r="BV76" s="171">
        <f>(BV75-BS75)/BS75</f>
        <v>0.15836000000000006</v>
      </c>
      <c r="BW76" s="171">
        <f>(BW75-BT75)/BT75</f>
        <v>0.15375</v>
      </c>
      <c r="BX76" s="65">
        <f>BX75/BU75-1</f>
        <v>0.1559806451612904</v>
      </c>
      <c r="BY76" s="171">
        <f>(BY75-BV75)/BV75</f>
        <v>-7.9157889890304672E-2</v>
      </c>
      <c r="BZ76" s="171">
        <f>(BZ75-BW75)/BW75</f>
        <v>-3.3001246344463428E-2</v>
      </c>
      <c r="CA76" s="65">
        <f>CA75/BX75-1</f>
        <v>-5.5381075905914012E-2</v>
      </c>
      <c r="CB76" s="171">
        <v>8.9419507575757562E-2</v>
      </c>
      <c r="CC76" s="171">
        <v>0</v>
      </c>
      <c r="CD76" s="65">
        <v>4.2265241835514278E-2</v>
      </c>
      <c r="CE76" s="171">
        <v>8.218053790237792E-2</v>
      </c>
      <c r="CF76" s="171">
        <v>0.16826266016041277</v>
      </c>
      <c r="CG76" s="65">
        <v>0.12573407423661975</v>
      </c>
      <c r="CH76" s="171">
        <v>9.2074762487420386E-2</v>
      </c>
      <c r="CI76" s="171">
        <f>(CI75-CF75)/CF75</f>
        <v>-1.2199791964407687E-2</v>
      </c>
      <c r="CJ76" s="65">
        <f>CJ75/CG75-1</f>
        <v>3.732358229612931E-2</v>
      </c>
      <c r="CK76" s="171">
        <f>(CK75-CH75)/CH75</f>
        <v>-3.7688694018154826E-3</v>
      </c>
      <c r="CL76" s="171">
        <f>(CL75-CI75)/CI75</f>
        <v>-6.5679951116851118E-3</v>
      </c>
      <c r="CM76" s="65">
        <f>CM75/CJ75-1</f>
        <v>-5.1684322567503438E-3</v>
      </c>
      <c r="CN76" s="171">
        <f>(CN75-CK75)/CK75</f>
        <v>-0.13265341408867709</v>
      </c>
      <c r="CO76" s="171">
        <f>(CO75-CL75)/CL75</f>
        <v>-0.10567799061799003</v>
      </c>
      <c r="CP76" s="65">
        <f>CP75/CM75-1</f>
        <v>-0.11918467732452964</v>
      </c>
      <c r="CQ76" s="171">
        <f>(CQ75-CN75)/CN75</f>
        <v>0</v>
      </c>
      <c r="CR76" s="171">
        <f>(CR75-CO75)/CO75</f>
        <v>-0.19134657787433543</v>
      </c>
      <c r="CS76" s="65">
        <f>CS75/CP75-1</f>
        <v>-9.7003711508640733E-2</v>
      </c>
      <c r="CT76" s="171">
        <f>(CT75-CQ75)/CQ75</f>
        <v>-0.18799219092090019</v>
      </c>
      <c r="CU76" s="171">
        <f>(CU75-CR75)/CR75</f>
        <v>-8.6526323399168988E-3</v>
      </c>
      <c r="CV76" s="65">
        <f>CV75/CS75-1</f>
        <v>-0.10657423181051506</v>
      </c>
      <c r="CW76" s="171">
        <v>4.2694013890470561E-2</v>
      </c>
      <c r="CX76" s="171">
        <v>2.8246325598667799E-2</v>
      </c>
      <c r="CY76" s="65">
        <f>CY75/CV75-1</f>
        <v>3.5416050578073399E-2</v>
      </c>
      <c r="CZ76" s="171">
        <v>4.2694013890470561E-2</v>
      </c>
      <c r="DA76" s="171">
        <v>2.8246325598667799E-2</v>
      </c>
      <c r="DB76" s="65">
        <f>DB75/CY75-1</f>
        <v>2.2123602555142119E-2</v>
      </c>
      <c r="DC76" s="171"/>
      <c r="DD76" s="171">
        <f>(DD75-DA75)/DA75</f>
        <v>-5.8753000000000055E-2</v>
      </c>
      <c r="DE76" s="65">
        <f>DE75/DB75-1</f>
        <v>-6.5014195715694889E-2</v>
      </c>
      <c r="DF76" s="171">
        <f>(DF75-DC75)/DC75</f>
        <v>-4.8787293588500154E-2</v>
      </c>
      <c r="DG76" s="171">
        <f>(DG75-DD75)/DD75</f>
        <v>-7.9626272486403471E-2</v>
      </c>
      <c r="DH76" s="1066">
        <f>DH75/DE75-1</f>
        <v>-6.4133827613534145E-2</v>
      </c>
      <c r="DI76" s="171">
        <f>(DI75-DF75)/DF75</f>
        <v>5.0046236160893841E-2</v>
      </c>
      <c r="DJ76" s="171">
        <f>(DJ75-DG75)/DG75</f>
        <v>0.12383623386474581</v>
      </c>
      <c r="DK76" s="1066">
        <f>DK75/DH75-1</f>
        <v>8.6158796211718514E-2</v>
      </c>
      <c r="DL76" s="171">
        <f>(DL75-DI75)/DI75</f>
        <v>-4.2345454545457207E-3</v>
      </c>
      <c r="DM76" s="171">
        <f>(DM75-DJ75)/DJ75</f>
        <v>-2.3906095999999877E-2</v>
      </c>
      <c r="DN76" s="1066">
        <f>DN75/DK75-1</f>
        <v>-1.4195686276395558E-2</v>
      </c>
      <c r="DO76" s="171">
        <f>(DO75-DL75)/DL75</f>
        <v>-6.8734096692112112E-2</v>
      </c>
      <c r="DP76" s="171">
        <f>(DP75-DM75)/DM75</f>
        <v>-6.5691670208244804E-2</v>
      </c>
      <c r="DQ76" s="1066">
        <f>DQ75/DN75-1</f>
        <v>-6.7208669563081691E-2</v>
      </c>
      <c r="DR76" s="171">
        <f>(DR75-DO75)/DO75</f>
        <v>-2.5597439299716827E-2</v>
      </c>
      <c r="DS76" s="171">
        <f>(DS75-DP75)/DP75</f>
        <v>-2.6519867609916502E-2</v>
      </c>
      <c r="DT76" s="1066">
        <f>DT75/DQ75-1</f>
        <v>-2.6060683207101754E-2</v>
      </c>
      <c r="DU76" s="171">
        <f>(DU75-DR75)/DR75</f>
        <v>1.2418291632112869E-2</v>
      </c>
      <c r="DV76" s="171">
        <f>(DV75-DS75)/DS75</f>
        <v>-3.7205992817962129E-2</v>
      </c>
      <c r="DW76" s="1066">
        <f>DW75/DT75-1</f>
        <v>-1.2491296381170192E-2</v>
      </c>
      <c r="DX76" s="171">
        <f>(DX75-DU75)/DU75</f>
        <v>-9.0872514756971997E-3</v>
      </c>
      <c r="DY76" s="171">
        <f>(DY75-DV75)/DV75</f>
        <v>0.12460567823343842</v>
      </c>
      <c r="DZ76" s="1066">
        <f>DZ75/DW75-1</f>
        <v>5.6342184090638847E-2</v>
      </c>
      <c r="EA76" s="171">
        <f>(EA75-DX75)/DX75</f>
        <v>8.7801155012231374E-2</v>
      </c>
      <c r="EB76" s="171">
        <f>(EB75-DY75)/DY75</f>
        <v>0</v>
      </c>
      <c r="EC76" s="1066">
        <f>EC75/DZ75-1</f>
        <v>4.2054366528845533E-2</v>
      </c>
      <c r="ED76" s="171">
        <f>(ED75-EA75)/EA75</f>
        <v>0</v>
      </c>
      <c r="EE76" s="171">
        <f>(EE75-EB75)/EB75</f>
        <v>0</v>
      </c>
      <c r="EF76" s="1066">
        <f>EF75/EC75-1</f>
        <v>0</v>
      </c>
      <c r="EG76" s="171">
        <f>(EG75-ED75)/ED75</f>
        <v>0</v>
      </c>
      <c r="EH76" s="171">
        <f>(EH75-EE75)/EE75</f>
        <v>0</v>
      </c>
      <c r="EI76" s="1066">
        <f>EI75/EF75-1</f>
        <v>0</v>
      </c>
      <c r="EJ76" s="171">
        <f>(EJ75-EG75)/EG75</f>
        <v>0</v>
      </c>
      <c r="EK76" s="171">
        <f>(EK75-EH75)/EH75</f>
        <v>0</v>
      </c>
      <c r="EL76" s="1066">
        <f>EL75/EI75-1</f>
        <v>0</v>
      </c>
      <c r="EM76" s="171">
        <f>(EM75-EJ75)/EJ75</f>
        <v>0</v>
      </c>
      <c r="EN76" s="171">
        <f>(EN75-EK75)/EK75</f>
        <v>0</v>
      </c>
      <c r="EO76" s="1066">
        <f>EO75/EL75-1</f>
        <v>0</v>
      </c>
      <c r="EP76" s="171">
        <f>(EP75-EM75)/EM75</f>
        <v>0</v>
      </c>
      <c r="EQ76" s="171">
        <f>(EQ75-EN75)/EN75</f>
        <v>0</v>
      </c>
      <c r="ER76" s="1066">
        <f>ER75/EO75-1</f>
        <v>0</v>
      </c>
      <c r="ES76" s="171">
        <f>(ES75-EP75)/EP75</f>
        <v>0</v>
      </c>
      <c r="ET76" s="171">
        <f>(ET75-EQ75)/EQ75</f>
        <v>0</v>
      </c>
      <c r="EU76" s="1066">
        <f>EU75/ER75-1</f>
        <v>0</v>
      </c>
      <c r="EV76" s="171">
        <f>(EV75-ES75)/ES75</f>
        <v>0</v>
      </c>
      <c r="EW76" s="171">
        <f>(EW75-ET75)/ET75</f>
        <v>0</v>
      </c>
      <c r="EX76" s="1066">
        <f>EX75/EU75-1</f>
        <v>0</v>
      </c>
      <c r="EY76" s="171">
        <f>(EY75-EV75)/EV75</f>
        <v>0</v>
      </c>
      <c r="EZ76" s="171">
        <f>(EZ75-EW75)/EW75</f>
        <v>0</v>
      </c>
      <c r="FA76" s="1066">
        <f>FA75/EX75-1</f>
        <v>0</v>
      </c>
    </row>
    <row r="77" spans="1:173" ht="13.35" customHeight="1" outlineLevel="1">
      <c r="D77" s="1012"/>
      <c r="BK77" s="938"/>
      <c r="CA77" s="181"/>
      <c r="DH77" s="1067"/>
      <c r="DK77" s="1067"/>
      <c r="DN77" s="1067"/>
      <c r="DQ77" s="1067"/>
      <c r="DT77" s="1067"/>
      <c r="DW77" s="1067"/>
      <c r="DZ77" s="1067"/>
      <c r="EC77" s="1067"/>
      <c r="EF77" s="1067"/>
      <c r="EI77" s="1067"/>
      <c r="EL77" s="1067"/>
      <c r="EO77" s="1067"/>
      <c r="ER77" s="1067"/>
      <c r="EU77" s="1067"/>
      <c r="EX77" s="1067"/>
      <c r="FA77" s="1067"/>
    </row>
    <row r="78" spans="1:173" ht="13.35" customHeight="1" outlineLevel="1">
      <c r="A78" s="1421"/>
      <c r="B78" s="186" t="s">
        <v>289</v>
      </c>
      <c r="D78" s="926" t="s">
        <v>98</v>
      </c>
      <c r="K78" s="186" t="s">
        <v>489</v>
      </c>
      <c r="BA78" s="180"/>
      <c r="BB78" s="180"/>
      <c r="BC78" s="63"/>
      <c r="BD78" s="180">
        <v>0.56908999999999998</v>
      </c>
      <c r="BE78" s="180">
        <v>0.59519</v>
      </c>
      <c r="BF78" s="63">
        <f>(BD78+BE78)/2</f>
        <v>0.58213999999999999</v>
      </c>
      <c r="BG78" s="180">
        <v>0.55388000000000004</v>
      </c>
      <c r="BH78" s="180">
        <v>0.56020999999999999</v>
      </c>
      <c r="BI78" s="63">
        <f>(BG78+BH78)/2</f>
        <v>0.55704500000000001</v>
      </c>
      <c r="BJ78" s="938">
        <v>0.6</v>
      </c>
      <c r="BK78" s="938">
        <v>0.57499999999999996</v>
      </c>
      <c r="BL78" s="939">
        <f>(BJ78+BK78)/2</f>
        <v>0.58749999999999991</v>
      </c>
      <c r="BM78" s="938">
        <v>0.5625</v>
      </c>
      <c r="BN78" s="938">
        <v>0.6</v>
      </c>
      <c r="BO78" s="939">
        <f>(BM78+BN78)/2</f>
        <v>0.58125000000000004</v>
      </c>
      <c r="BP78" s="938">
        <f>BN78</f>
        <v>0.6</v>
      </c>
      <c r="BQ78" s="938">
        <v>0.6</v>
      </c>
      <c r="BR78" s="940">
        <f>(BP78+BQ78)/2</f>
        <v>0.6</v>
      </c>
      <c r="BS78" s="180">
        <v>0.6</v>
      </c>
      <c r="BT78" s="180">
        <v>0.6</v>
      </c>
      <c r="BU78" s="181">
        <v>0.6</v>
      </c>
      <c r="BV78" s="180">
        <v>0.61609000000000003</v>
      </c>
      <c r="BW78" s="180">
        <v>0.60299999999999998</v>
      </c>
      <c r="BX78" s="181">
        <v>0.609545</v>
      </c>
      <c r="BY78" s="180">
        <v>0.56000000000000005</v>
      </c>
      <c r="BZ78" s="180">
        <v>0.67460864661654174</v>
      </c>
      <c r="CA78" s="181">
        <v>0.6173043233082709</v>
      </c>
      <c r="CB78" s="180">
        <v>0.599275</v>
      </c>
      <c r="CC78" s="182">
        <v>0.67460864661654174</v>
      </c>
      <c r="CD78" s="181">
        <v>0.63694182330827087</v>
      </c>
      <c r="CE78" s="180">
        <v>0.71117096774193567</v>
      </c>
      <c r="CF78" s="180">
        <v>0.74068741258741366</v>
      </c>
      <c r="CG78" s="181">
        <v>0.72592919016467472</v>
      </c>
      <c r="CH78" s="180">
        <v>0.74</v>
      </c>
      <c r="CI78" s="180">
        <v>0.8</v>
      </c>
      <c r="CJ78" s="181">
        <v>0.77</v>
      </c>
      <c r="CK78" s="180">
        <v>0.80223612903224994</v>
      </c>
      <c r="CL78" s="180">
        <v>0.78154475524475364</v>
      </c>
      <c r="CM78" s="181">
        <v>0.79189044213850179</v>
      </c>
      <c r="CN78" s="180">
        <v>0.67</v>
      </c>
      <c r="CO78" s="180">
        <v>0.667478295</v>
      </c>
      <c r="CP78" s="181">
        <v>0.66873914749999996</v>
      </c>
      <c r="CQ78" s="101">
        <v>0.69</v>
      </c>
      <c r="CR78" s="101">
        <v>0.67</v>
      </c>
      <c r="CS78" s="181">
        <f>AVERAGE(CQ78:CR78)</f>
        <v>0.67999999999999994</v>
      </c>
      <c r="CT78" s="180">
        <v>0.65525833333333328</v>
      </c>
      <c r="CU78" s="180">
        <v>0.65761461538461574</v>
      </c>
      <c r="CV78" s="181">
        <f>AVERAGE(CT78:CU78)</f>
        <v>0.65643647435897456</v>
      </c>
      <c r="CW78" s="180">
        <v>0.68713740458015238</v>
      </c>
      <c r="CX78" s="180">
        <v>0.69683384615384614</v>
      </c>
      <c r="CY78" s="181">
        <f>AVERAGE(CW78:CX78)</f>
        <v>0.69198562536699926</v>
      </c>
      <c r="CZ78" s="180">
        <v>0.66321735537190096</v>
      </c>
      <c r="DA78" s="180">
        <v>0.63678264462809908</v>
      </c>
      <c r="DB78" s="181">
        <f>AVERAGE(CZ78:DA78)</f>
        <v>0.65</v>
      </c>
      <c r="DC78" s="180">
        <v>0.62875499999999995</v>
      </c>
      <c r="DD78" s="256">
        <v>0.63256299999999999</v>
      </c>
      <c r="DE78" s="181">
        <f>AVERAGE(DC78:DD78)</f>
        <v>0.63065899999999997</v>
      </c>
      <c r="DF78" s="268">
        <f>1/AVERAGE(1.5978,1.6149)</f>
        <v>0.62252933669499178</v>
      </c>
      <c r="DG78" s="268">
        <v>0.6</v>
      </c>
      <c r="DH78" s="1065">
        <f>AVERAGE(DF78:DG78)</f>
        <v>0.61126466834749582</v>
      </c>
      <c r="DI78" s="256">
        <v>0.61254469696969693</v>
      </c>
      <c r="DJ78" s="180">
        <v>0.62705200000000005</v>
      </c>
      <c r="DK78" s="1065">
        <f>AVERAGE(DI78:DJ78)</f>
        <v>0.61979834848484849</v>
      </c>
      <c r="DL78" s="1051">
        <v>0.64</v>
      </c>
      <c r="DM78" s="1051">
        <v>0.64300000000000002</v>
      </c>
      <c r="DN78" s="1065">
        <f>AVERAGE(DL78:DM78)</f>
        <v>0.64149999999999996</v>
      </c>
      <c r="DO78" s="1051">
        <v>0.66065870699004647</v>
      </c>
      <c r="DP78" s="1051">
        <v>0.6250447748420439</v>
      </c>
      <c r="DQ78" s="1065">
        <f>AVERAGE(DO78:DP78)</f>
        <v>0.64285174091604524</v>
      </c>
      <c r="DR78" s="1568">
        <v>0.60354763115384613</v>
      </c>
      <c r="DS78" s="1568">
        <v>0.60934795615384618</v>
      </c>
      <c r="DT78" s="1065">
        <f>AVERAGE(DR78:DS78)</f>
        <v>0.60644779365384616</v>
      </c>
      <c r="DU78" s="1568">
        <v>0.61054772999999996</v>
      </c>
      <c r="DV78" s="1568">
        <v>0.57999999999999996</v>
      </c>
      <c r="DW78" s="1065">
        <f>AVERAGE(DU78:DV78)</f>
        <v>0.59527386500000001</v>
      </c>
      <c r="DX78" s="1568">
        <v>0.56194253734848487</v>
      </c>
      <c r="DY78" s="1568">
        <v>0.6</v>
      </c>
      <c r="DZ78" s="1065">
        <f>AVERAGE(DX78:DY78)</f>
        <v>0.58097126867424242</v>
      </c>
      <c r="EA78" s="1051">
        <f>DY78</f>
        <v>0.6</v>
      </c>
      <c r="EB78" s="1051">
        <f>EA78</f>
        <v>0.6</v>
      </c>
      <c r="EC78" s="1065">
        <f>AVERAGE(EA78:EB78)</f>
        <v>0.6</v>
      </c>
      <c r="ED78" s="1051">
        <f>EB78</f>
        <v>0.6</v>
      </c>
      <c r="EE78" s="1051">
        <f>ED78</f>
        <v>0.6</v>
      </c>
      <c r="EF78" s="1065">
        <f>AVERAGE(ED78:EE78)</f>
        <v>0.6</v>
      </c>
      <c r="EG78" s="1051">
        <f>EE78</f>
        <v>0.6</v>
      </c>
      <c r="EH78" s="1051">
        <f>EG78</f>
        <v>0.6</v>
      </c>
      <c r="EI78" s="1065">
        <f>AVERAGE(EG78:EH78)</f>
        <v>0.6</v>
      </c>
      <c r="EJ78" s="1051">
        <f>EH78</f>
        <v>0.6</v>
      </c>
      <c r="EK78" s="1051">
        <f>EJ78</f>
        <v>0.6</v>
      </c>
      <c r="EL78" s="1065">
        <f>AVERAGE(EJ78:EK78)</f>
        <v>0.6</v>
      </c>
      <c r="EM78" s="1051">
        <f>EK78</f>
        <v>0.6</v>
      </c>
      <c r="EN78" s="1051">
        <f>EM78</f>
        <v>0.6</v>
      </c>
      <c r="EO78" s="1065">
        <f>AVERAGE(EM78:EN78)</f>
        <v>0.6</v>
      </c>
      <c r="EP78" s="1051">
        <f>EN78</f>
        <v>0.6</v>
      </c>
      <c r="EQ78" s="1051">
        <f>EP78</f>
        <v>0.6</v>
      </c>
      <c r="ER78" s="1065">
        <f>AVERAGE(EP78:EQ78)</f>
        <v>0.6</v>
      </c>
      <c r="ES78" s="1051">
        <f>EQ78</f>
        <v>0.6</v>
      </c>
      <c r="ET78" s="1051">
        <f>ES78</f>
        <v>0.6</v>
      </c>
      <c r="EU78" s="1065">
        <f>AVERAGE(ES78:ET78)</f>
        <v>0.6</v>
      </c>
      <c r="EV78" s="1051">
        <f>ET78</f>
        <v>0.6</v>
      </c>
      <c r="EW78" s="1051">
        <f>EV78</f>
        <v>0.6</v>
      </c>
      <c r="EX78" s="1065">
        <f>AVERAGE(EV78:EW78)</f>
        <v>0.6</v>
      </c>
      <c r="EY78" s="1051">
        <f>EW78</f>
        <v>0.6</v>
      </c>
      <c r="EZ78" s="1051">
        <f>EY78</f>
        <v>0.6</v>
      </c>
      <c r="FA78" s="1065">
        <f>AVERAGE(EY78:EZ78)</f>
        <v>0.6</v>
      </c>
    </row>
    <row r="79" spans="1:173" ht="13.35" customHeight="1" outlineLevel="1">
      <c r="C79" s="186" t="s">
        <v>209</v>
      </c>
      <c r="D79" s="926" t="s">
        <v>460</v>
      </c>
      <c r="K79" s="186"/>
      <c r="BA79" s="35"/>
      <c r="BB79" s="35"/>
      <c r="BD79" s="171"/>
      <c r="BE79" s="171"/>
      <c r="BF79" s="64"/>
      <c r="BG79" s="171">
        <f>(BG78-BD78)/BD78</f>
        <v>-2.6726879755398877E-2</v>
      </c>
      <c r="BH79" s="171">
        <f>(BH78-BE78)/BE78</f>
        <v>-5.8771148708815689E-2</v>
      </c>
      <c r="BI79" s="64">
        <f>BI78/BF78-1</f>
        <v>-4.310818703404673E-2</v>
      </c>
      <c r="BJ79" s="171">
        <f>(BJ78-BG78)/BG78</f>
        <v>8.3267133675164182E-2</v>
      </c>
      <c r="BK79" s="171">
        <f>(BK78-BH78)/BH78</f>
        <v>2.6400813980471557E-2</v>
      </c>
      <c r="BL79" s="64">
        <f>BL78/BI78-1</f>
        <v>5.467242323331134E-2</v>
      </c>
      <c r="BM79" s="171">
        <f>(BM78-BJ78)/BJ78</f>
        <v>-6.2499999999999965E-2</v>
      </c>
      <c r="BN79" s="171">
        <f>(BN78-BK78)/BK78</f>
        <v>4.3478260869565258E-2</v>
      </c>
      <c r="BO79" s="64">
        <f>BO78/BL78-1</f>
        <v>-1.0638297872340163E-2</v>
      </c>
      <c r="BP79" s="171">
        <f>(BP78-BM78)/BM78</f>
        <v>6.6666666666666624E-2</v>
      </c>
      <c r="BQ79" s="171">
        <f>(BQ78-BN78)/BN78</f>
        <v>0</v>
      </c>
      <c r="BR79" s="64">
        <f>BR78/BO78-1</f>
        <v>3.2258064516129004E-2</v>
      </c>
      <c r="BS79" s="171">
        <f>(BS78-BP78)/BP78</f>
        <v>0</v>
      </c>
      <c r="BT79" s="171">
        <f>(BT78-BQ78)/BQ78</f>
        <v>0</v>
      </c>
      <c r="BU79" s="65">
        <f>BU78/BR78-1</f>
        <v>0</v>
      </c>
      <c r="BV79" s="171">
        <f>(BV78-BS78)/BS78</f>
        <v>2.6816666666666749E-2</v>
      </c>
      <c r="BW79" s="171">
        <f>(BW78-BT78)/BT78</f>
        <v>5.0000000000000044E-3</v>
      </c>
      <c r="BX79" s="171">
        <f>BX78/BU78-1</f>
        <v>1.5908333333333413E-2</v>
      </c>
      <c r="BY79" s="171">
        <f>(BY78-BV78)/BV78</f>
        <v>-9.1041893229885193E-2</v>
      </c>
      <c r="BZ79" s="171">
        <f>(BZ78-BW78)/BW78</f>
        <v>0.11875397448846063</v>
      </c>
      <c r="CA79" s="65">
        <f>CA78/BX78-1</f>
        <v>1.2729697246750993E-2</v>
      </c>
      <c r="CB79" s="171">
        <v>7.0133928571428472E-2</v>
      </c>
      <c r="CC79" s="171">
        <v>0</v>
      </c>
      <c r="CD79" s="65">
        <v>3.1811700094303896E-2</v>
      </c>
      <c r="CE79" s="171">
        <v>0.18671889823859775</v>
      </c>
      <c r="CF79" s="171">
        <v>9.7951258558997015E-2</v>
      </c>
      <c r="CG79" s="65">
        <v>0.13971035281402022</v>
      </c>
      <c r="CH79" s="171">
        <v>4.0537414441425265E-2</v>
      </c>
      <c r="CI79" s="171">
        <f>(CI78-CF78)/CF78</f>
        <v>8.0077758045586464E-2</v>
      </c>
      <c r="CJ79" s="65">
        <f>CJ78/CG78-1</f>
        <v>6.0709516069092029E-2</v>
      </c>
      <c r="CK79" s="171">
        <f>(CK78-CH78)/CH78</f>
        <v>8.4102877070608054E-2</v>
      </c>
      <c r="CL79" s="171">
        <f>(CL78-CI78)/CI78</f>
        <v>-2.3069055944058003E-2</v>
      </c>
      <c r="CM79" s="65">
        <f>CM78/CJ78-1</f>
        <v>2.8429145634417896E-2</v>
      </c>
      <c r="CN79" s="171">
        <f>(CN78-CK78)/CK78</f>
        <v>-0.16483442249324826</v>
      </c>
      <c r="CO79" s="171">
        <f>(CO78-CL78)/CL78</f>
        <v>-0.14595000411592787</v>
      </c>
      <c r="CP79" s="65">
        <f>CP78/CM78-1</f>
        <v>-0.15551557145446981</v>
      </c>
      <c r="CQ79" s="171">
        <f>(CQ78-CN78)/CN78</f>
        <v>2.9850746268656577E-2</v>
      </c>
      <c r="CR79" s="171">
        <f>(CR78-CO78)/CO78</f>
        <v>3.7779580533027529E-3</v>
      </c>
      <c r="CS79" s="65">
        <f>CS78/CP78-1</f>
        <v>1.6838931206730301E-2</v>
      </c>
      <c r="CT79" s="171">
        <f>(CT78-CQ78)/CQ78</f>
        <v>-5.035024154589373E-2</v>
      </c>
      <c r="CU79" s="171">
        <f>(CU78-CR78)/CR78</f>
        <v>-1.8485648679678057E-2</v>
      </c>
      <c r="CV79" s="65">
        <f>CV78/CS78-1</f>
        <v>-3.465224358974317E-2</v>
      </c>
      <c r="CW79" s="171">
        <v>4.8651149668938354E-2</v>
      </c>
      <c r="CX79" s="171">
        <v>5.9638623977802618E-2</v>
      </c>
      <c r="CY79" s="65">
        <f>CY78/CV78-1</f>
        <v>5.4154746722048452E-2</v>
      </c>
      <c r="CZ79" s="171">
        <v>4.8651149668938354E-2</v>
      </c>
      <c r="DA79" s="171">
        <v>5.9638623977802618E-2</v>
      </c>
      <c r="DB79" s="65">
        <f>DB78/CY78-1</f>
        <v>-6.0674129386332099E-2</v>
      </c>
      <c r="DC79" s="171">
        <f>(DC78-CZ78)/CZ78</f>
        <v>-5.1962384718620865E-2</v>
      </c>
      <c r="DD79" s="171">
        <f>(DD78-DA78)/DA78</f>
        <v>-6.6265069622987276E-3</v>
      </c>
      <c r="DE79" s="65">
        <f>DE78/DB78-1</f>
        <v>-2.9755384615384739E-2</v>
      </c>
      <c r="DF79" s="171">
        <f>(DF78-DC78)/DC78</f>
        <v>-9.9015726395944026E-3</v>
      </c>
      <c r="DG79" s="171">
        <f>(DG78-DD78)/DD78</f>
        <v>-5.147787651190476E-2</v>
      </c>
      <c r="DH79" s="1066">
        <f>DH78/DE78-1</f>
        <v>-3.075248534073749E-2</v>
      </c>
      <c r="DI79" s="171">
        <f>(DI78-DF78)/DF78</f>
        <v>-1.6038826022727368E-2</v>
      </c>
      <c r="DJ79" s="171">
        <f>(DJ78-DG78)/DG78</f>
        <v>4.5086666666666796E-2</v>
      </c>
      <c r="DK79" s="1066">
        <f>DK78/DH78-1</f>
        <v>1.3960695880595786E-2</v>
      </c>
      <c r="DL79" s="171">
        <f>(DL78-DI78)/DI78</f>
        <v>4.4821713690652222E-2</v>
      </c>
      <c r="DM79" s="171">
        <f>(DM78-DJ78)/DJ78</f>
        <v>2.543329739798288E-2</v>
      </c>
      <c r="DN79" s="1066">
        <f>DN78/DK78-1</f>
        <v>3.5014051857677586E-2</v>
      </c>
      <c r="DO79" s="171">
        <f>(DO78-DL78)/DL78</f>
        <v>3.2279229671947594E-2</v>
      </c>
      <c r="DP79" s="171">
        <f>(DP78-DM78)/DM78</f>
        <v>-2.7924144880180579E-2</v>
      </c>
      <c r="DQ79" s="1066">
        <f>DQ78/DN78-1</f>
        <v>2.1071565331960418E-3</v>
      </c>
      <c r="DR79" s="171">
        <f>(DR78-DO78)/DO78</f>
        <v>-8.6445656784571501E-2</v>
      </c>
      <c r="DS79" s="171">
        <f>(DS78-DP78)/DP78</f>
        <v>-2.5113110804205172E-2</v>
      </c>
      <c r="DT79" s="1066">
        <f>DT78/DQ78-1</f>
        <v>-5.6628838261096548E-2</v>
      </c>
      <c r="DU79" s="171">
        <f>(DU78-DR78)/DR78</f>
        <v>1.1598254197056864E-2</v>
      </c>
      <c r="DV79" s="171">
        <f>(DV78-DS78)/DS78</f>
        <v>-4.8162886011939861E-2</v>
      </c>
      <c r="DW79" s="1066">
        <f>DW78/DT78-1</f>
        <v>-1.8425211157127364E-2</v>
      </c>
      <c r="DX79" s="171">
        <f>(DX78-DU78)/DU78</f>
        <v>-7.9609161189601152E-2</v>
      </c>
      <c r="DY79" s="171">
        <f>(DY78-DV78)/DV78</f>
        <v>3.4482758620689689E-2</v>
      </c>
      <c r="DZ79" s="1066">
        <f>DZ78/DW78-1</f>
        <v>-2.4026917972885586E-2</v>
      </c>
      <c r="EA79" s="171">
        <f>(EA78-DX78)/DX78</f>
        <v>6.7724829714953624E-2</v>
      </c>
      <c r="EB79" s="171">
        <f>(EB78-DY78)/DY78</f>
        <v>0</v>
      </c>
      <c r="EC79" s="1066">
        <f>EC78/DZ78-1</f>
        <v>3.2753308729329245E-2</v>
      </c>
      <c r="ED79" s="171">
        <f>(ED78-EA78)/EA78</f>
        <v>0</v>
      </c>
      <c r="EE79" s="171">
        <f>(EE78-EB78)/EB78</f>
        <v>0</v>
      </c>
      <c r="EF79" s="1066">
        <f>EF78/EC78-1</f>
        <v>0</v>
      </c>
      <c r="EG79" s="171">
        <f>(EG78-ED78)/ED78</f>
        <v>0</v>
      </c>
      <c r="EH79" s="171">
        <f>(EH78-EE78)/EE78</f>
        <v>0</v>
      </c>
      <c r="EI79" s="1066">
        <f>EI78/EF78-1</f>
        <v>0</v>
      </c>
      <c r="EJ79" s="171">
        <f>(EJ78-EG78)/EG78</f>
        <v>0</v>
      </c>
      <c r="EK79" s="171">
        <f>(EK78-EH78)/EH78</f>
        <v>0</v>
      </c>
      <c r="EL79" s="1066">
        <f>EL78/EI78-1</f>
        <v>0</v>
      </c>
      <c r="EM79" s="171">
        <f>(EM78-EJ78)/EJ78</f>
        <v>0</v>
      </c>
      <c r="EN79" s="171">
        <f>(EN78-EK78)/EK78</f>
        <v>0</v>
      </c>
      <c r="EO79" s="1066">
        <f>EO78/EL78-1</f>
        <v>0</v>
      </c>
      <c r="EP79" s="171">
        <f>(EP78-EM78)/EM78</f>
        <v>0</v>
      </c>
      <c r="EQ79" s="171">
        <f>(EQ78-EN78)/EN78</f>
        <v>0</v>
      </c>
      <c r="ER79" s="1066">
        <f>ER78/EO78-1</f>
        <v>0</v>
      </c>
      <c r="ES79" s="171">
        <f>(ES78-EP78)/EP78</f>
        <v>0</v>
      </c>
      <c r="ET79" s="171">
        <f>(ET78-EQ78)/EQ78</f>
        <v>0</v>
      </c>
      <c r="EU79" s="1066">
        <f>EU78/ER78-1</f>
        <v>0</v>
      </c>
      <c r="EV79" s="171">
        <f>(EV78-ES78)/ES78</f>
        <v>0</v>
      </c>
      <c r="EW79" s="171">
        <f>(EW78-ET78)/ET78</f>
        <v>0</v>
      </c>
      <c r="EX79" s="1066">
        <f>EX78/EU78-1</f>
        <v>0</v>
      </c>
      <c r="EY79" s="171">
        <f>(EY78-EV78)/EV78</f>
        <v>0</v>
      </c>
      <c r="EZ79" s="171">
        <f>(EZ78-EW78)/EW78</f>
        <v>0</v>
      </c>
      <c r="FA79" s="1066">
        <f>FA78/EX78-1</f>
        <v>0</v>
      </c>
    </row>
    <row r="80" spans="1:173" ht="13.35" customHeight="1" outlineLevel="1">
      <c r="C80" s="186"/>
      <c r="K80" s="186"/>
      <c r="BA80" s="35"/>
      <c r="BB80" s="35"/>
      <c r="BD80" s="171"/>
      <c r="BE80" s="171"/>
      <c r="BG80" s="171"/>
      <c r="BH80" s="171"/>
      <c r="BJ80" s="171"/>
      <c r="BK80" s="171"/>
      <c r="BL80" s="962"/>
      <c r="BM80" s="171"/>
      <c r="BN80" s="171"/>
      <c r="BO80" s="31"/>
      <c r="BP80" s="171"/>
      <c r="BQ80" s="171"/>
      <c r="BR80" s="31"/>
      <c r="BS80" s="171"/>
      <c r="BT80" s="171"/>
      <c r="BV80" s="171"/>
      <c r="BW80" s="171"/>
      <c r="BY80" s="171"/>
      <c r="BZ80" s="171"/>
      <c r="CB80" s="171"/>
      <c r="CC80" s="171"/>
      <c r="CE80" s="171"/>
      <c r="CF80" s="171"/>
      <c r="CH80" s="171"/>
      <c r="CI80" s="171"/>
      <c r="CK80" s="171"/>
      <c r="CL80" s="171"/>
      <c r="CN80" s="171"/>
      <c r="CO80" s="171"/>
      <c r="CQ80" s="171"/>
      <c r="CR80" s="171"/>
      <c r="CT80" s="171"/>
      <c r="CU80" s="171"/>
      <c r="CW80" s="171"/>
      <c r="CX80" s="171"/>
      <c r="CZ80" s="171"/>
      <c r="DA80" s="171"/>
      <c r="DC80" s="171"/>
      <c r="DD80" s="171"/>
      <c r="DF80" s="171"/>
      <c r="DG80" s="171"/>
      <c r="DH80" s="1067"/>
      <c r="DI80" s="171"/>
      <c r="DJ80" s="171"/>
      <c r="DK80" s="1067"/>
      <c r="DL80" s="171"/>
      <c r="DM80" s="171"/>
      <c r="DN80" s="1067"/>
      <c r="DO80" s="171"/>
      <c r="DP80" s="171"/>
      <c r="DQ80" s="1067"/>
      <c r="DR80" s="171"/>
      <c r="DS80" s="171"/>
      <c r="DT80" s="1067"/>
      <c r="DU80" s="171"/>
      <c r="DV80" s="171"/>
      <c r="DW80" s="1067"/>
      <c r="DX80" s="171"/>
      <c r="DY80" s="171"/>
      <c r="DZ80" s="1067"/>
      <c r="EA80" s="171"/>
      <c r="EB80" s="171"/>
      <c r="EC80" s="1067"/>
      <c r="ED80" s="171"/>
      <c r="EE80" s="171"/>
      <c r="EF80" s="1067"/>
      <c r="EG80" s="171"/>
      <c r="EH80" s="171"/>
      <c r="EI80" s="1067"/>
      <c r="EJ80" s="171"/>
      <c r="EK80" s="171"/>
      <c r="EL80" s="1067"/>
      <c r="EM80" s="171"/>
      <c r="EN80" s="171"/>
      <c r="EO80" s="1067"/>
      <c r="EP80" s="171"/>
      <c r="EQ80" s="171"/>
      <c r="ER80" s="1067"/>
      <c r="ES80" s="171"/>
      <c r="ET80" s="171"/>
      <c r="EU80" s="1067"/>
      <c r="EV80" s="171"/>
      <c r="EW80" s="171"/>
      <c r="EX80" s="1067"/>
      <c r="EY80" s="171"/>
      <c r="EZ80" s="171"/>
      <c r="FA80" s="1067"/>
    </row>
    <row r="81" spans="1:173" ht="13.35" customHeight="1" outlineLevel="1">
      <c r="B81" s="186" t="s">
        <v>856</v>
      </c>
      <c r="D81" s="926" t="s">
        <v>98</v>
      </c>
      <c r="K81" s="186"/>
      <c r="BA81" s="35"/>
      <c r="BB81" s="35"/>
      <c r="BD81" s="171"/>
      <c r="BE81" s="171"/>
      <c r="BG81" s="171"/>
      <c r="BH81" s="171"/>
      <c r="BJ81" s="171"/>
      <c r="BK81" s="171"/>
      <c r="BL81" s="962"/>
      <c r="BM81" s="181">
        <f>1/6.8136</f>
        <v>0.14676529294352472</v>
      </c>
      <c r="BN81" s="181">
        <f>1/7.55</f>
        <v>0.13245033112582782</v>
      </c>
      <c r="BO81" s="63">
        <f>BN81</f>
        <v>0.13245033112582782</v>
      </c>
      <c r="BP81" s="181">
        <f>BO81</f>
        <v>0.13245033112582782</v>
      </c>
      <c r="BQ81" s="181">
        <f>1/7.2</f>
        <v>0.1388888888888889</v>
      </c>
      <c r="BR81" s="63">
        <f>BQ81</f>
        <v>0.1388888888888889</v>
      </c>
      <c r="BS81" s="181">
        <v>0.1388888888888889</v>
      </c>
      <c r="BT81" s="181">
        <v>0.1388888888888889</v>
      </c>
      <c r="BU81" s="181">
        <v>0.1388888888888889</v>
      </c>
      <c r="BV81" s="181">
        <v>0.15217</v>
      </c>
      <c r="BW81" s="181">
        <v>0.16300000000000001</v>
      </c>
      <c r="BX81" s="181">
        <v>0.16300000000000001</v>
      </c>
      <c r="BY81" s="181">
        <v>0.15220700152207001</v>
      </c>
      <c r="BZ81" s="181">
        <v>0.15220700152207001</v>
      </c>
      <c r="CA81" s="181">
        <v>0.15220700152207001</v>
      </c>
      <c r="CB81" s="181">
        <v>0.15220700152207001</v>
      </c>
      <c r="CC81" s="181">
        <v>0.15220700152207001</v>
      </c>
      <c r="CD81" s="181">
        <v>0.15220700152207001</v>
      </c>
      <c r="CE81" s="181">
        <v>0.15220700152207001</v>
      </c>
      <c r="CF81" s="181">
        <v>0.15764125874125909</v>
      </c>
      <c r="CG81" s="181">
        <v>0.15764125874125909</v>
      </c>
      <c r="CH81" s="181">
        <v>0.1595</v>
      </c>
      <c r="CI81" s="181">
        <v>0.1595</v>
      </c>
      <c r="CJ81" s="181">
        <v>0.1595</v>
      </c>
      <c r="CK81" s="181">
        <v>0.14959753386454186</v>
      </c>
      <c r="CL81" s="181">
        <v>0.1515</v>
      </c>
      <c r="CM81" s="181">
        <v>0.15054876693227093</v>
      </c>
      <c r="CN81" s="181">
        <v>0.15</v>
      </c>
      <c r="CO81" s="181">
        <v>0.15310775200000001</v>
      </c>
      <c r="CP81" s="181">
        <v>0.15310775200000001</v>
      </c>
      <c r="CQ81" s="74">
        <v>0.14206794565217348</v>
      </c>
      <c r="CR81" s="74">
        <v>0.12</v>
      </c>
      <c r="CS81" s="181">
        <f>CR81</f>
        <v>0.12</v>
      </c>
      <c r="CT81" s="181">
        <f>CR81</f>
        <v>0.12</v>
      </c>
      <c r="CU81" s="181">
        <f t="shared" ref="CU81:EF81" si="372">CT81</f>
        <v>0.12</v>
      </c>
      <c r="CV81" s="181">
        <f t="shared" si="372"/>
        <v>0.12</v>
      </c>
      <c r="CW81" s="181">
        <f t="shared" si="372"/>
        <v>0.12</v>
      </c>
      <c r="CX81" s="181">
        <f t="shared" si="372"/>
        <v>0.12</v>
      </c>
      <c r="CY81" s="181">
        <f t="shared" si="372"/>
        <v>0.12</v>
      </c>
      <c r="CZ81" s="181">
        <f t="shared" si="372"/>
        <v>0.12</v>
      </c>
      <c r="DA81" s="181">
        <f t="shared" si="372"/>
        <v>0.12</v>
      </c>
      <c r="DB81" s="181">
        <f t="shared" si="372"/>
        <v>0.12</v>
      </c>
      <c r="DC81" s="181">
        <f t="shared" si="372"/>
        <v>0.12</v>
      </c>
      <c r="DD81" s="181">
        <f t="shared" si="372"/>
        <v>0.12</v>
      </c>
      <c r="DE81" s="181">
        <f t="shared" si="372"/>
        <v>0.12</v>
      </c>
      <c r="DF81" s="181">
        <f t="shared" si="372"/>
        <v>0.12</v>
      </c>
      <c r="DG81" s="181">
        <f t="shared" si="372"/>
        <v>0.12</v>
      </c>
      <c r="DH81" s="1065">
        <f t="shared" si="372"/>
        <v>0.12</v>
      </c>
      <c r="DI81" s="181">
        <f t="shared" si="372"/>
        <v>0.12</v>
      </c>
      <c r="DJ81" s="181">
        <f t="shared" si="372"/>
        <v>0.12</v>
      </c>
      <c r="DK81" s="1065">
        <f t="shared" si="372"/>
        <v>0.12</v>
      </c>
      <c r="DL81" s="1050">
        <v>0.11</v>
      </c>
      <c r="DM81" s="1050">
        <f>0.108</f>
        <v>0.108</v>
      </c>
      <c r="DN81" s="1065">
        <f t="shared" si="372"/>
        <v>0.108</v>
      </c>
      <c r="DO81" s="1050">
        <v>0.1</v>
      </c>
      <c r="DP81" s="1050">
        <v>9.6000000000000002E-2</v>
      </c>
      <c r="DQ81" s="1065">
        <f t="shared" si="372"/>
        <v>9.6000000000000002E-2</v>
      </c>
      <c r="DR81" s="1050">
        <v>9.5000000000000001E-2</v>
      </c>
      <c r="DS81" s="1050">
        <f t="shared" si="372"/>
        <v>9.5000000000000001E-2</v>
      </c>
      <c r="DT81" s="1065">
        <f t="shared" si="372"/>
        <v>9.5000000000000001E-2</v>
      </c>
      <c r="DU81" s="1050">
        <f t="shared" si="372"/>
        <v>9.5000000000000001E-2</v>
      </c>
      <c r="DV81" s="1050">
        <f t="shared" si="372"/>
        <v>9.5000000000000001E-2</v>
      </c>
      <c r="DW81" s="1065">
        <f t="shared" si="372"/>
        <v>9.5000000000000001E-2</v>
      </c>
      <c r="DX81" s="1050">
        <f t="shared" si="372"/>
        <v>9.5000000000000001E-2</v>
      </c>
      <c r="DY81" s="1050">
        <f t="shared" si="372"/>
        <v>9.5000000000000001E-2</v>
      </c>
      <c r="DZ81" s="1065">
        <f t="shared" si="372"/>
        <v>9.5000000000000001E-2</v>
      </c>
      <c r="EA81" s="1050">
        <f t="shared" si="372"/>
        <v>9.5000000000000001E-2</v>
      </c>
      <c r="EB81" s="1050">
        <f t="shared" si="372"/>
        <v>9.5000000000000001E-2</v>
      </c>
      <c r="EC81" s="1065">
        <f t="shared" si="372"/>
        <v>9.5000000000000001E-2</v>
      </c>
      <c r="ED81" s="1050">
        <f t="shared" si="372"/>
        <v>9.5000000000000001E-2</v>
      </c>
      <c r="EE81" s="1050">
        <f t="shared" si="372"/>
        <v>9.5000000000000001E-2</v>
      </c>
      <c r="EF81" s="1065">
        <f t="shared" si="372"/>
        <v>9.5000000000000001E-2</v>
      </c>
      <c r="EG81" s="1050">
        <f t="shared" ref="EG81:EL81" si="373">EF81</f>
        <v>9.5000000000000001E-2</v>
      </c>
      <c r="EH81" s="1050">
        <f t="shared" si="373"/>
        <v>9.5000000000000001E-2</v>
      </c>
      <c r="EI81" s="1065">
        <f t="shared" si="373"/>
        <v>9.5000000000000001E-2</v>
      </c>
      <c r="EJ81" s="1050">
        <f t="shared" si="373"/>
        <v>9.5000000000000001E-2</v>
      </c>
      <c r="EK81" s="1050">
        <f t="shared" si="373"/>
        <v>9.5000000000000001E-2</v>
      </c>
      <c r="EL81" s="1065">
        <f t="shared" si="373"/>
        <v>9.5000000000000001E-2</v>
      </c>
      <c r="EM81" s="1050">
        <f t="shared" ref="EM81:ER81" si="374">EL81</f>
        <v>9.5000000000000001E-2</v>
      </c>
      <c r="EN81" s="1050">
        <f t="shared" si="374"/>
        <v>9.5000000000000001E-2</v>
      </c>
      <c r="EO81" s="1065">
        <f t="shared" si="374"/>
        <v>9.5000000000000001E-2</v>
      </c>
      <c r="EP81" s="1050">
        <f t="shared" si="374"/>
        <v>9.5000000000000001E-2</v>
      </c>
      <c r="EQ81" s="1050">
        <f t="shared" si="374"/>
        <v>9.5000000000000001E-2</v>
      </c>
      <c r="ER81" s="1065">
        <f t="shared" si="374"/>
        <v>9.5000000000000001E-2</v>
      </c>
      <c r="ES81" s="1050">
        <f t="shared" ref="ES81" si="375">ER81</f>
        <v>9.5000000000000001E-2</v>
      </c>
      <c r="ET81" s="1050">
        <f t="shared" ref="ET81" si="376">ES81</f>
        <v>9.5000000000000001E-2</v>
      </c>
      <c r="EU81" s="1065">
        <f t="shared" ref="EU81" si="377">ET81</f>
        <v>9.5000000000000001E-2</v>
      </c>
      <c r="EV81" s="1050">
        <f t="shared" ref="EV81" si="378">EU81</f>
        <v>9.5000000000000001E-2</v>
      </c>
      <c r="EW81" s="1050">
        <f t="shared" ref="EW81" si="379">EV81</f>
        <v>9.5000000000000001E-2</v>
      </c>
      <c r="EX81" s="1065">
        <f t="shared" ref="EX81" si="380">EW81</f>
        <v>9.5000000000000001E-2</v>
      </c>
      <c r="EY81" s="1050">
        <f t="shared" ref="EY81" si="381">EX81</f>
        <v>9.5000000000000001E-2</v>
      </c>
      <c r="EZ81" s="1050">
        <f t="shared" ref="EZ81" si="382">EY81</f>
        <v>9.5000000000000001E-2</v>
      </c>
      <c r="FA81" s="1065">
        <f t="shared" ref="FA81" si="383">EZ81</f>
        <v>9.5000000000000001E-2</v>
      </c>
    </row>
    <row r="82" spans="1:173" ht="13.35" customHeight="1" outlineLevel="1">
      <c r="C82" s="186" t="s">
        <v>209</v>
      </c>
      <c r="D82" s="926" t="s">
        <v>460</v>
      </c>
      <c r="K82" s="186"/>
      <c r="BA82" s="35"/>
      <c r="BB82" s="35"/>
      <c r="BD82" s="171"/>
      <c r="BE82" s="171"/>
      <c r="BG82" s="171"/>
      <c r="BH82" s="171"/>
      <c r="BJ82" s="171"/>
      <c r="BK82" s="171"/>
      <c r="BL82" s="962"/>
      <c r="BM82" s="171"/>
      <c r="BN82" s="181"/>
      <c r="BO82" s="63"/>
      <c r="BP82" s="171">
        <f t="shared" ref="BP82:CA82" si="384">(BP81-BM81)/BM81</f>
        <v>-9.753642384105958E-2</v>
      </c>
      <c r="BQ82" s="171">
        <f t="shared" si="384"/>
        <v>4.8611111111111077E-2</v>
      </c>
      <c r="BR82" s="962">
        <f t="shared" si="384"/>
        <v>4.8611111111111077E-2</v>
      </c>
      <c r="BS82" s="171">
        <f t="shared" si="384"/>
        <v>4.8611111111111077E-2</v>
      </c>
      <c r="BT82" s="171">
        <f t="shared" si="384"/>
        <v>0</v>
      </c>
      <c r="BU82" s="171">
        <f t="shared" si="384"/>
        <v>0</v>
      </c>
      <c r="BV82" s="171">
        <f t="shared" si="384"/>
        <v>9.5623999999999945E-2</v>
      </c>
      <c r="BW82" s="171">
        <f t="shared" si="384"/>
        <v>0.1736</v>
      </c>
      <c r="BX82" s="171">
        <f t="shared" si="384"/>
        <v>0.1736</v>
      </c>
      <c r="BY82" s="171">
        <f t="shared" si="384"/>
        <v>2.4315911198006878E-4</v>
      </c>
      <c r="BZ82" s="171">
        <f t="shared" si="384"/>
        <v>-6.6214714588527596E-2</v>
      </c>
      <c r="CA82" s="171">
        <f t="shared" si="384"/>
        <v>-6.6214714588527596E-2</v>
      </c>
      <c r="CB82" s="171">
        <v>0</v>
      </c>
      <c r="CC82" s="171">
        <v>0</v>
      </c>
      <c r="CD82" s="171">
        <v>0</v>
      </c>
      <c r="CE82" s="171">
        <v>0</v>
      </c>
      <c r="CF82" s="171">
        <v>3.5703069930072266E-2</v>
      </c>
      <c r="CG82" s="171">
        <v>3.5703069930072266E-2</v>
      </c>
      <c r="CH82" s="171">
        <v>4.7915000000000076E-2</v>
      </c>
      <c r="CI82" s="171">
        <f t="shared" ref="CI82:DN82" si="385">(CI81-CF81)/CF81</f>
        <v>1.1790956717693542E-2</v>
      </c>
      <c r="CJ82" s="171">
        <f t="shared" si="385"/>
        <v>1.1790956717693542E-2</v>
      </c>
      <c r="CK82" s="171">
        <f t="shared" si="385"/>
        <v>-6.2084427181555754E-2</v>
      </c>
      <c r="CL82" s="171">
        <f t="shared" si="385"/>
        <v>-5.0156739811912272E-2</v>
      </c>
      <c r="CM82" s="171">
        <f t="shared" si="385"/>
        <v>-5.612058349673401E-2</v>
      </c>
      <c r="CN82" s="171">
        <f t="shared" si="385"/>
        <v>2.6903260037866765E-3</v>
      </c>
      <c r="CO82" s="171">
        <f t="shared" si="385"/>
        <v>1.0612224422442362E-2</v>
      </c>
      <c r="CP82" s="171">
        <f t="shared" si="385"/>
        <v>1.6997715224597792E-2</v>
      </c>
      <c r="CQ82" s="171">
        <f t="shared" si="385"/>
        <v>-5.288036231884341E-2</v>
      </c>
      <c r="CR82" s="171">
        <f t="shared" si="385"/>
        <v>-0.21623824768846461</v>
      </c>
      <c r="CS82" s="171">
        <f t="shared" si="385"/>
        <v>-0.21623824768846461</v>
      </c>
      <c r="CT82" s="171">
        <f t="shared" si="385"/>
        <v>-0.15533374225177213</v>
      </c>
      <c r="CU82" s="171">
        <f t="shared" si="385"/>
        <v>0</v>
      </c>
      <c r="CV82" s="171">
        <f t="shared" si="385"/>
        <v>0</v>
      </c>
      <c r="CW82" s="171">
        <f t="shared" si="385"/>
        <v>0</v>
      </c>
      <c r="CX82" s="171">
        <f t="shared" si="385"/>
        <v>0</v>
      </c>
      <c r="CY82" s="171">
        <f t="shared" si="385"/>
        <v>0</v>
      </c>
      <c r="CZ82" s="171">
        <f t="shared" si="385"/>
        <v>0</v>
      </c>
      <c r="DA82" s="171">
        <f t="shared" si="385"/>
        <v>0</v>
      </c>
      <c r="DB82" s="171">
        <f t="shared" si="385"/>
        <v>0</v>
      </c>
      <c r="DC82" s="171">
        <f t="shared" si="385"/>
        <v>0</v>
      </c>
      <c r="DD82" s="171">
        <f t="shared" si="385"/>
        <v>0</v>
      </c>
      <c r="DE82" s="171">
        <f t="shared" si="385"/>
        <v>0</v>
      </c>
      <c r="DF82" s="171">
        <f t="shared" si="385"/>
        <v>0</v>
      </c>
      <c r="DG82" s="171">
        <f t="shared" si="385"/>
        <v>0</v>
      </c>
      <c r="DH82" s="1068">
        <f t="shared" si="385"/>
        <v>0</v>
      </c>
      <c r="DI82" s="171">
        <f t="shared" si="385"/>
        <v>0</v>
      </c>
      <c r="DJ82" s="171">
        <f t="shared" si="385"/>
        <v>0</v>
      </c>
      <c r="DK82" s="1068">
        <f t="shared" si="385"/>
        <v>0</v>
      </c>
      <c r="DL82" s="171">
        <f t="shared" si="385"/>
        <v>-8.3333333333333301E-2</v>
      </c>
      <c r="DM82" s="171">
        <f t="shared" si="385"/>
        <v>-9.9999999999999978E-2</v>
      </c>
      <c r="DN82" s="1068">
        <f t="shared" si="385"/>
        <v>-9.9999999999999978E-2</v>
      </c>
      <c r="DO82" s="171">
        <f t="shared" ref="DO82:EF82" si="386">(DO81-DL81)/DL81</f>
        <v>-9.090909090909087E-2</v>
      </c>
      <c r="DP82" s="171">
        <f t="shared" si="386"/>
        <v>-0.11111111111111108</v>
      </c>
      <c r="DQ82" s="1068">
        <f t="shared" si="386"/>
        <v>-0.11111111111111108</v>
      </c>
      <c r="DR82" s="171">
        <f t="shared" si="386"/>
        <v>-5.0000000000000044E-2</v>
      </c>
      <c r="DS82" s="171">
        <f t="shared" si="386"/>
        <v>-1.0416666666666676E-2</v>
      </c>
      <c r="DT82" s="1068">
        <f t="shared" si="386"/>
        <v>-1.0416666666666676E-2</v>
      </c>
      <c r="DU82" s="171">
        <f t="shared" si="386"/>
        <v>0</v>
      </c>
      <c r="DV82" s="171">
        <f t="shared" si="386"/>
        <v>0</v>
      </c>
      <c r="DW82" s="1068">
        <f t="shared" si="386"/>
        <v>0</v>
      </c>
      <c r="DX82" s="171">
        <f t="shared" si="386"/>
        <v>0</v>
      </c>
      <c r="DY82" s="171">
        <f t="shared" si="386"/>
        <v>0</v>
      </c>
      <c r="DZ82" s="1068">
        <f t="shared" si="386"/>
        <v>0</v>
      </c>
      <c r="EA82" s="171">
        <f t="shared" si="386"/>
        <v>0</v>
      </c>
      <c r="EB82" s="171">
        <f t="shared" si="386"/>
        <v>0</v>
      </c>
      <c r="EC82" s="1068">
        <f t="shared" si="386"/>
        <v>0</v>
      </c>
      <c r="ED82" s="171">
        <f t="shared" si="386"/>
        <v>0</v>
      </c>
      <c r="EE82" s="171">
        <f t="shared" si="386"/>
        <v>0</v>
      </c>
      <c r="EF82" s="1068">
        <f t="shared" si="386"/>
        <v>0</v>
      </c>
      <c r="EG82" s="171">
        <f t="shared" ref="EG82:EL82" si="387">(EG81-ED81)/ED81</f>
        <v>0</v>
      </c>
      <c r="EH82" s="171">
        <f t="shared" si="387"/>
        <v>0</v>
      </c>
      <c r="EI82" s="1068">
        <f t="shared" si="387"/>
        <v>0</v>
      </c>
      <c r="EJ82" s="171">
        <f t="shared" si="387"/>
        <v>0</v>
      </c>
      <c r="EK82" s="171">
        <f t="shared" si="387"/>
        <v>0</v>
      </c>
      <c r="EL82" s="1068">
        <f t="shared" si="387"/>
        <v>0</v>
      </c>
      <c r="EM82" s="171">
        <f t="shared" ref="EM82:ER82" si="388">(EM81-EJ81)/EJ81</f>
        <v>0</v>
      </c>
      <c r="EN82" s="171">
        <f t="shared" si="388"/>
        <v>0</v>
      </c>
      <c r="EO82" s="1068">
        <f t="shared" si="388"/>
        <v>0</v>
      </c>
      <c r="EP82" s="171">
        <f t="shared" si="388"/>
        <v>0</v>
      </c>
      <c r="EQ82" s="171">
        <f t="shared" si="388"/>
        <v>0</v>
      </c>
      <c r="ER82" s="1068">
        <f t="shared" si="388"/>
        <v>0</v>
      </c>
      <c r="ES82" s="171">
        <f t="shared" ref="ES82" si="389">(ES81-EP81)/EP81</f>
        <v>0</v>
      </c>
      <c r="ET82" s="171">
        <f t="shared" ref="ET82" si="390">(ET81-EQ81)/EQ81</f>
        <v>0</v>
      </c>
      <c r="EU82" s="1068">
        <f t="shared" ref="EU82" si="391">(EU81-ER81)/ER81</f>
        <v>0</v>
      </c>
      <c r="EV82" s="171">
        <f t="shared" ref="EV82" si="392">(EV81-ES81)/ES81</f>
        <v>0</v>
      </c>
      <c r="EW82" s="171">
        <f t="shared" ref="EW82" si="393">(EW81-ET81)/ET81</f>
        <v>0</v>
      </c>
      <c r="EX82" s="1068">
        <f t="shared" ref="EX82" si="394">(EX81-EU81)/EU81</f>
        <v>0</v>
      </c>
      <c r="EY82" s="171">
        <f t="shared" ref="EY82" si="395">(EY81-EV81)/EV81</f>
        <v>0</v>
      </c>
      <c r="EZ82" s="171">
        <f t="shared" ref="EZ82" si="396">(EZ81-EW81)/EW81</f>
        <v>0</v>
      </c>
      <c r="FA82" s="1068">
        <f t="shared" ref="FA82" si="397">(FA81-EX81)/EX81</f>
        <v>0</v>
      </c>
    </row>
    <row r="83" spans="1:173" ht="13.35" customHeight="1" outlineLevel="1">
      <c r="C83" s="186"/>
      <c r="K83" s="186"/>
      <c r="BA83" s="35"/>
      <c r="BB83" s="35"/>
      <c r="BD83" s="171"/>
      <c r="BE83" s="171"/>
      <c r="BG83" s="171"/>
      <c r="BH83" s="171"/>
      <c r="BJ83" s="171"/>
      <c r="BK83" s="171"/>
      <c r="BL83" s="962"/>
      <c r="BM83" s="171"/>
      <c r="BN83" s="181"/>
      <c r="BO83" s="63"/>
      <c r="BP83" s="181"/>
      <c r="BQ83" s="181"/>
      <c r="BR83" s="63"/>
      <c r="BS83" s="181"/>
      <c r="BT83" s="181"/>
      <c r="BU83" s="181"/>
      <c r="BV83" s="181"/>
      <c r="BW83" s="181"/>
      <c r="BX83" s="181"/>
      <c r="BY83" s="181"/>
      <c r="BZ83" s="181"/>
      <c r="CA83" s="181"/>
      <c r="CB83" s="181"/>
      <c r="CC83" s="181"/>
      <c r="CD83" s="181"/>
      <c r="CE83" s="181"/>
      <c r="CF83" s="181"/>
      <c r="CG83" s="181"/>
      <c r="CH83" s="181"/>
      <c r="CI83" s="181"/>
      <c r="CJ83" s="181"/>
      <c r="CK83" s="181"/>
      <c r="CL83" s="181"/>
      <c r="CM83" s="181"/>
      <c r="CN83" s="181"/>
      <c r="CO83" s="181"/>
      <c r="CP83" s="181"/>
      <c r="CQ83" s="181"/>
      <c r="CR83" s="181"/>
      <c r="CS83" s="181"/>
      <c r="CT83" s="181"/>
      <c r="CU83" s="181"/>
      <c r="CV83" s="181"/>
      <c r="CW83" s="181"/>
      <c r="CX83" s="181"/>
      <c r="CY83" s="181"/>
      <c r="CZ83" s="181"/>
      <c r="DA83" s="181"/>
      <c r="DB83" s="181"/>
      <c r="DC83" s="181"/>
      <c r="DD83" s="181"/>
      <c r="DE83" s="181"/>
      <c r="DF83" s="181"/>
      <c r="DG83" s="181"/>
      <c r="DH83" s="1069"/>
      <c r="DI83" s="181"/>
      <c r="DJ83" s="181"/>
      <c r="DK83" s="1069"/>
      <c r="DL83" s="181"/>
      <c r="DM83" s="181"/>
      <c r="DN83" s="1069"/>
      <c r="DO83" s="181"/>
      <c r="DP83" s="181"/>
      <c r="DQ83" s="1069"/>
      <c r="DR83" s="181"/>
      <c r="DS83" s="181"/>
      <c r="DT83" s="1069"/>
      <c r="DU83" s="181"/>
      <c r="DV83" s="181"/>
      <c r="DW83" s="1069"/>
      <c r="DX83" s="181"/>
      <c r="DY83" s="181"/>
      <c r="DZ83" s="1069"/>
      <c r="EA83" s="181"/>
      <c r="EB83" s="181"/>
      <c r="EC83" s="1069"/>
      <c r="ED83" s="181"/>
      <c r="EE83" s="181"/>
      <c r="EF83" s="1069"/>
      <c r="EG83" s="181"/>
      <c r="EH83" s="181"/>
      <c r="EI83" s="1069"/>
      <c r="EJ83" s="181"/>
      <c r="EK83" s="181"/>
      <c r="EL83" s="1069"/>
      <c r="EM83" s="181"/>
      <c r="EN83" s="181"/>
      <c r="EO83" s="1069"/>
      <c r="EP83" s="181"/>
      <c r="EQ83" s="181"/>
      <c r="ER83" s="1069"/>
      <c r="ES83" s="181"/>
      <c r="ET83" s="181"/>
      <c r="EU83" s="1069"/>
      <c r="EV83" s="181"/>
      <c r="EW83" s="181"/>
      <c r="EX83" s="1069"/>
      <c r="EY83" s="181"/>
      <c r="EZ83" s="181"/>
      <c r="FA83" s="1069"/>
    </row>
    <row r="84" spans="1:173" ht="13.35" customHeight="1" outlineLevel="1">
      <c r="B84" s="186" t="s">
        <v>290</v>
      </c>
      <c r="D84" s="926" t="s">
        <v>98</v>
      </c>
      <c r="K84" s="186"/>
      <c r="BA84" s="35"/>
      <c r="BB84" s="35"/>
      <c r="BD84" s="171"/>
      <c r="BE84" s="171"/>
      <c r="BG84" s="171"/>
      <c r="BH84" s="171"/>
      <c r="BJ84" s="171"/>
      <c r="BK84" s="171"/>
      <c r="BL84" s="962"/>
      <c r="BM84" s="181">
        <f>1/9.028</f>
        <v>0.11076650420912715</v>
      </c>
      <c r="BN84" s="181">
        <f>1/9.31</f>
        <v>0.10741138560687433</v>
      </c>
      <c r="BO84" s="63">
        <f>BN84</f>
        <v>0.10741138560687433</v>
      </c>
      <c r="BP84" s="181">
        <f>BO84</f>
        <v>0.10741138560687433</v>
      </c>
      <c r="BQ84" s="181">
        <f>1/8</f>
        <v>0.125</v>
      </c>
      <c r="BR84" s="63">
        <f>BQ84</f>
        <v>0.125</v>
      </c>
      <c r="BS84" s="181">
        <v>0.12820512820512822</v>
      </c>
      <c r="BT84" s="181">
        <v>0.12820512820512822</v>
      </c>
      <c r="BU84" s="181">
        <v>0.12820512820512822</v>
      </c>
      <c r="BV84" s="181">
        <v>0.10788</v>
      </c>
      <c r="BW84" s="181">
        <v>0.107</v>
      </c>
      <c r="BX84" s="181">
        <v>0.107</v>
      </c>
      <c r="BY84" s="181">
        <v>0.10596026490066225</v>
      </c>
      <c r="BZ84" s="181">
        <v>0.10596026490066224</v>
      </c>
      <c r="CA84" s="181">
        <v>0.10596026490066224</v>
      </c>
      <c r="CB84" s="181">
        <v>0.10596026490066224</v>
      </c>
      <c r="CC84" s="181">
        <v>0.10596026490066224</v>
      </c>
      <c r="CD84" s="181">
        <v>0.10596026490066224</v>
      </c>
      <c r="CE84" s="181">
        <v>0.10596026490066224</v>
      </c>
      <c r="CF84" s="181">
        <v>0.11197552447552447</v>
      </c>
      <c r="CG84" s="181">
        <v>0.11197552447552447</v>
      </c>
      <c r="CH84" s="181">
        <v>0.1113</v>
      </c>
      <c r="CI84" s="181">
        <v>0.1113</v>
      </c>
      <c r="CJ84" s="181">
        <v>0.1113</v>
      </c>
      <c r="CK84" s="181">
        <v>0.11695783422042508</v>
      </c>
      <c r="CL84" s="181">
        <v>0.11571538743844065</v>
      </c>
      <c r="CM84" s="181">
        <v>0.11633661082943286</v>
      </c>
      <c r="CN84" s="181">
        <v>0.11571538743844065</v>
      </c>
      <c r="CO84" s="181">
        <v>0.11167907000000001</v>
      </c>
      <c r="CP84" s="181">
        <v>0.11167907000000001</v>
      </c>
      <c r="CQ84" s="74">
        <v>0.10936440217391308</v>
      </c>
      <c r="CR84" s="74">
        <v>0.1</v>
      </c>
      <c r="CS84" s="181">
        <f>CR84</f>
        <v>0.1</v>
      </c>
      <c r="CT84" s="181">
        <f>CR84</f>
        <v>0.1</v>
      </c>
      <c r="CU84" s="181">
        <f t="shared" ref="CU84:EF84" si="398">CT84</f>
        <v>0.1</v>
      </c>
      <c r="CV84" s="181">
        <f t="shared" si="398"/>
        <v>0.1</v>
      </c>
      <c r="CW84" s="181">
        <f t="shared" si="398"/>
        <v>0.1</v>
      </c>
      <c r="CX84" s="181">
        <f t="shared" si="398"/>
        <v>0.1</v>
      </c>
      <c r="CY84" s="181">
        <f t="shared" si="398"/>
        <v>0.1</v>
      </c>
      <c r="CZ84" s="181">
        <f t="shared" si="398"/>
        <v>0.1</v>
      </c>
      <c r="DA84" s="181">
        <f t="shared" si="398"/>
        <v>0.1</v>
      </c>
      <c r="DB84" s="181">
        <f t="shared" si="398"/>
        <v>0.1</v>
      </c>
      <c r="DC84" s="181">
        <f t="shared" si="398"/>
        <v>0.1</v>
      </c>
      <c r="DD84" s="181">
        <f t="shared" si="398"/>
        <v>0.1</v>
      </c>
      <c r="DE84" s="181">
        <f t="shared" si="398"/>
        <v>0.1</v>
      </c>
      <c r="DF84" s="181">
        <f t="shared" si="398"/>
        <v>0.1</v>
      </c>
      <c r="DG84" s="181">
        <f t="shared" si="398"/>
        <v>0.1</v>
      </c>
      <c r="DH84" s="1065">
        <f t="shared" si="398"/>
        <v>0.1</v>
      </c>
      <c r="DI84" s="181">
        <f t="shared" si="398"/>
        <v>0.1</v>
      </c>
      <c r="DJ84" s="181">
        <f t="shared" si="398"/>
        <v>0.1</v>
      </c>
      <c r="DK84" s="1065">
        <f t="shared" si="398"/>
        <v>0.1</v>
      </c>
      <c r="DL84" s="1050">
        <v>0.09</v>
      </c>
      <c r="DM84" s="1050">
        <f>0.643/6.696</f>
        <v>9.602747909199523E-2</v>
      </c>
      <c r="DN84" s="1065">
        <f t="shared" si="398"/>
        <v>9.602747909199523E-2</v>
      </c>
      <c r="DO84" s="1050">
        <v>9.2788549618320587E-2</v>
      </c>
      <c r="DP84" s="1050">
        <v>8.8239999999999999E-2</v>
      </c>
      <c r="DQ84" s="1065">
        <f t="shared" si="398"/>
        <v>8.8239999999999999E-2</v>
      </c>
      <c r="DR84" s="1050">
        <v>8.6094663560436824E-2</v>
      </c>
      <c r="DS84" s="1050">
        <v>8.8591379730905223E-2</v>
      </c>
      <c r="DT84" s="1065">
        <f t="shared" si="398"/>
        <v>8.8591379730905223E-2</v>
      </c>
      <c r="DU84" s="1050">
        <f t="shared" si="398"/>
        <v>8.8591379730905223E-2</v>
      </c>
      <c r="DV84" s="1050">
        <f t="shared" si="398"/>
        <v>8.8591379730905223E-2</v>
      </c>
      <c r="DW84" s="1065">
        <f t="shared" si="398"/>
        <v>8.8591379730905223E-2</v>
      </c>
      <c r="DX84" s="1050">
        <f t="shared" si="398"/>
        <v>8.8591379730905223E-2</v>
      </c>
      <c r="DY84" s="1050">
        <f t="shared" si="398"/>
        <v>8.8591379730905223E-2</v>
      </c>
      <c r="DZ84" s="1065">
        <f t="shared" si="398"/>
        <v>8.8591379730905223E-2</v>
      </c>
      <c r="EA84" s="1050">
        <f t="shared" si="398"/>
        <v>8.8591379730905223E-2</v>
      </c>
      <c r="EB84" s="1050">
        <f t="shared" si="398"/>
        <v>8.8591379730905223E-2</v>
      </c>
      <c r="EC84" s="1065">
        <f t="shared" si="398"/>
        <v>8.8591379730905223E-2</v>
      </c>
      <c r="ED84" s="1050">
        <f t="shared" si="398"/>
        <v>8.8591379730905223E-2</v>
      </c>
      <c r="EE84" s="1050">
        <f t="shared" si="398"/>
        <v>8.8591379730905223E-2</v>
      </c>
      <c r="EF84" s="1065">
        <f t="shared" si="398"/>
        <v>8.8591379730905223E-2</v>
      </c>
      <c r="EG84" s="1050">
        <f t="shared" ref="EG84:EL84" si="399">EF84</f>
        <v>8.8591379730905223E-2</v>
      </c>
      <c r="EH84" s="1050">
        <f t="shared" si="399"/>
        <v>8.8591379730905223E-2</v>
      </c>
      <c r="EI84" s="1065">
        <f t="shared" si="399"/>
        <v>8.8591379730905223E-2</v>
      </c>
      <c r="EJ84" s="1050">
        <f t="shared" si="399"/>
        <v>8.8591379730905223E-2</v>
      </c>
      <c r="EK84" s="1050">
        <f t="shared" si="399"/>
        <v>8.8591379730905223E-2</v>
      </c>
      <c r="EL84" s="1065">
        <f t="shared" si="399"/>
        <v>8.8591379730905223E-2</v>
      </c>
      <c r="EM84" s="1050">
        <f t="shared" ref="EM84:ER84" si="400">EL84</f>
        <v>8.8591379730905223E-2</v>
      </c>
      <c r="EN84" s="1050">
        <f t="shared" si="400"/>
        <v>8.8591379730905223E-2</v>
      </c>
      <c r="EO84" s="1065">
        <f t="shared" si="400"/>
        <v>8.8591379730905223E-2</v>
      </c>
      <c r="EP84" s="1050">
        <f t="shared" si="400"/>
        <v>8.8591379730905223E-2</v>
      </c>
      <c r="EQ84" s="1050">
        <f t="shared" si="400"/>
        <v>8.8591379730905223E-2</v>
      </c>
      <c r="ER84" s="1065">
        <f t="shared" si="400"/>
        <v>8.8591379730905223E-2</v>
      </c>
      <c r="ES84" s="1050">
        <f t="shared" ref="ES84" si="401">ER84</f>
        <v>8.8591379730905223E-2</v>
      </c>
      <c r="ET84" s="1050">
        <f t="shared" ref="ET84" si="402">ES84</f>
        <v>8.8591379730905223E-2</v>
      </c>
      <c r="EU84" s="1065">
        <f t="shared" ref="EU84" si="403">ET84</f>
        <v>8.8591379730905223E-2</v>
      </c>
      <c r="EV84" s="1050">
        <f t="shared" ref="EV84" si="404">EU84</f>
        <v>8.8591379730905223E-2</v>
      </c>
      <c r="EW84" s="1050">
        <f t="shared" ref="EW84" si="405">EV84</f>
        <v>8.8591379730905223E-2</v>
      </c>
      <c r="EX84" s="1065">
        <f t="shared" ref="EX84" si="406">EW84</f>
        <v>8.8591379730905223E-2</v>
      </c>
      <c r="EY84" s="1050">
        <f t="shared" ref="EY84" si="407">EX84</f>
        <v>8.8591379730905223E-2</v>
      </c>
      <c r="EZ84" s="1050">
        <f t="shared" ref="EZ84" si="408">EY84</f>
        <v>8.8591379730905223E-2</v>
      </c>
      <c r="FA84" s="1065">
        <f t="shared" ref="FA84" si="409">EZ84</f>
        <v>8.8591379730905223E-2</v>
      </c>
    </row>
    <row r="85" spans="1:173" ht="13.35" customHeight="1" outlineLevel="1">
      <c r="C85" s="186" t="s">
        <v>209</v>
      </c>
      <c r="D85" s="926" t="s">
        <v>460</v>
      </c>
      <c r="K85" s="186"/>
      <c r="BA85" s="35"/>
      <c r="BB85" s="35"/>
      <c r="BD85" s="171"/>
      <c r="BE85" s="171"/>
      <c r="BG85" s="171"/>
      <c r="BH85" s="171"/>
      <c r="BJ85" s="171"/>
      <c r="BK85" s="171"/>
      <c r="BL85" s="962"/>
      <c r="BM85" s="171"/>
      <c r="BN85" s="181"/>
      <c r="BO85" s="63"/>
      <c r="BP85" s="171">
        <f t="shared" ref="BP85:CA85" si="410">(BP84-BM84)/BM84</f>
        <v>-3.0290010741138473E-2</v>
      </c>
      <c r="BQ85" s="171">
        <f t="shared" si="410"/>
        <v>0.16375000000000003</v>
      </c>
      <c r="BR85" s="962">
        <f t="shared" si="410"/>
        <v>0.16375000000000003</v>
      </c>
      <c r="BS85" s="171">
        <f t="shared" si="410"/>
        <v>0.19358974358974376</v>
      </c>
      <c r="BT85" s="171">
        <f t="shared" si="410"/>
        <v>2.5641025641025772E-2</v>
      </c>
      <c r="BU85" s="171">
        <f t="shared" si="410"/>
        <v>2.5641025641025772E-2</v>
      </c>
      <c r="BV85" s="171">
        <f t="shared" si="410"/>
        <v>-0.15853600000000007</v>
      </c>
      <c r="BW85" s="171">
        <f t="shared" si="410"/>
        <v>-0.16540000000000013</v>
      </c>
      <c r="BX85" s="171">
        <f t="shared" si="410"/>
        <v>-0.16540000000000013</v>
      </c>
      <c r="BY85" s="171">
        <f t="shared" si="410"/>
        <v>-1.7795097324228328E-2</v>
      </c>
      <c r="BZ85" s="171">
        <f t="shared" si="410"/>
        <v>-9.717150461100563E-3</v>
      </c>
      <c r="CA85" s="171">
        <f t="shared" si="410"/>
        <v>-9.717150461100563E-3</v>
      </c>
      <c r="CB85" s="171">
        <v>-1.3097162243624894E-16</v>
      </c>
      <c r="CC85" s="171">
        <v>0</v>
      </c>
      <c r="CD85" s="171">
        <v>0</v>
      </c>
      <c r="CE85" s="171">
        <v>0</v>
      </c>
      <c r="CF85" s="171">
        <v>5.6769012237762359E-2</v>
      </c>
      <c r="CG85" s="171">
        <v>5.6769012237762359E-2</v>
      </c>
      <c r="CH85" s="171">
        <v>5.0393750000000105E-2</v>
      </c>
      <c r="CI85" s="171">
        <f t="shared" ref="CI85:DN85" si="411">(CI84-CF84)/CF84</f>
        <v>-6.0327868852459209E-3</v>
      </c>
      <c r="CJ85" s="171">
        <f t="shared" si="411"/>
        <v>-6.0327868852459209E-3</v>
      </c>
      <c r="CK85" s="171">
        <f t="shared" si="411"/>
        <v>5.0834090030773417E-2</v>
      </c>
      <c r="CL85" s="171">
        <f t="shared" si="411"/>
        <v>3.9671046167481148E-2</v>
      </c>
      <c r="CM85" s="171">
        <f t="shared" si="411"/>
        <v>4.5252568099127283E-2</v>
      </c>
      <c r="CN85" s="171">
        <f t="shared" si="411"/>
        <v>-1.062303171280384E-2</v>
      </c>
      <c r="CO85" s="171">
        <f t="shared" si="411"/>
        <v>-3.4881423532267225E-2</v>
      </c>
      <c r="CP85" s="171">
        <f t="shared" si="411"/>
        <v>-4.0035039668308021E-2</v>
      </c>
      <c r="CQ85" s="171">
        <f t="shared" si="411"/>
        <v>-5.4884535281932371E-2</v>
      </c>
      <c r="CR85" s="171">
        <f t="shared" si="411"/>
        <v>-0.10457707070805657</v>
      </c>
      <c r="CS85" s="171">
        <f t="shared" si="411"/>
        <v>-0.10457707070805657</v>
      </c>
      <c r="CT85" s="171">
        <f t="shared" si="411"/>
        <v>-8.5625687954857976E-2</v>
      </c>
      <c r="CU85" s="171">
        <f t="shared" si="411"/>
        <v>0</v>
      </c>
      <c r="CV85" s="171">
        <f t="shared" si="411"/>
        <v>0</v>
      </c>
      <c r="CW85" s="171">
        <f t="shared" si="411"/>
        <v>0</v>
      </c>
      <c r="CX85" s="171">
        <f t="shared" si="411"/>
        <v>0</v>
      </c>
      <c r="CY85" s="171">
        <f t="shared" si="411"/>
        <v>0</v>
      </c>
      <c r="CZ85" s="171">
        <f t="shared" si="411"/>
        <v>0</v>
      </c>
      <c r="DA85" s="171">
        <f t="shared" si="411"/>
        <v>0</v>
      </c>
      <c r="DB85" s="171">
        <f t="shared" si="411"/>
        <v>0</v>
      </c>
      <c r="DC85" s="171">
        <f t="shared" si="411"/>
        <v>0</v>
      </c>
      <c r="DD85" s="171">
        <f t="shared" si="411"/>
        <v>0</v>
      </c>
      <c r="DE85" s="171">
        <f t="shared" si="411"/>
        <v>0</v>
      </c>
      <c r="DF85" s="171">
        <f t="shared" si="411"/>
        <v>0</v>
      </c>
      <c r="DG85" s="171">
        <f t="shared" si="411"/>
        <v>0</v>
      </c>
      <c r="DH85" s="1068">
        <f t="shared" si="411"/>
        <v>0</v>
      </c>
      <c r="DI85" s="171">
        <f t="shared" si="411"/>
        <v>0</v>
      </c>
      <c r="DJ85" s="171">
        <f t="shared" si="411"/>
        <v>0</v>
      </c>
      <c r="DK85" s="1068">
        <f t="shared" si="411"/>
        <v>0</v>
      </c>
      <c r="DL85" s="171">
        <f t="shared" si="411"/>
        <v>-0.10000000000000009</v>
      </c>
      <c r="DM85" s="171">
        <f t="shared" si="411"/>
        <v>-3.9725209080047758E-2</v>
      </c>
      <c r="DN85" s="1068">
        <f t="shared" si="411"/>
        <v>-3.9725209080047758E-2</v>
      </c>
      <c r="DO85" s="171">
        <f t="shared" ref="DO85:EF85" si="412">(DO84-DL84)/DL84</f>
        <v>3.0983884648006561E-2</v>
      </c>
      <c r="DP85" s="171">
        <f t="shared" si="412"/>
        <v>-8.1096360808709272E-2</v>
      </c>
      <c r="DQ85" s="1068">
        <f t="shared" si="412"/>
        <v>-8.1096360808709272E-2</v>
      </c>
      <c r="DR85" s="171">
        <f t="shared" si="412"/>
        <v>-7.2141294215920068E-2</v>
      </c>
      <c r="DS85" s="171">
        <f t="shared" si="412"/>
        <v>3.9820912387264745E-3</v>
      </c>
      <c r="DT85" s="1068">
        <f t="shared" si="412"/>
        <v>3.9820912387264745E-3</v>
      </c>
      <c r="DU85" s="171">
        <f t="shared" si="412"/>
        <v>2.8999662316070866E-2</v>
      </c>
      <c r="DV85" s="171">
        <f t="shared" si="412"/>
        <v>0</v>
      </c>
      <c r="DW85" s="1068">
        <f t="shared" si="412"/>
        <v>0</v>
      </c>
      <c r="DX85" s="171">
        <f t="shared" si="412"/>
        <v>0</v>
      </c>
      <c r="DY85" s="171">
        <f t="shared" si="412"/>
        <v>0</v>
      </c>
      <c r="DZ85" s="1068">
        <f t="shared" si="412"/>
        <v>0</v>
      </c>
      <c r="EA85" s="171">
        <f t="shared" si="412"/>
        <v>0</v>
      </c>
      <c r="EB85" s="171">
        <f t="shared" si="412"/>
        <v>0</v>
      </c>
      <c r="EC85" s="1068">
        <f t="shared" si="412"/>
        <v>0</v>
      </c>
      <c r="ED85" s="171">
        <f t="shared" si="412"/>
        <v>0</v>
      </c>
      <c r="EE85" s="171">
        <f t="shared" si="412"/>
        <v>0</v>
      </c>
      <c r="EF85" s="1068">
        <f t="shared" si="412"/>
        <v>0</v>
      </c>
      <c r="EG85" s="171">
        <f t="shared" ref="EG85:EL85" si="413">(EG84-ED84)/ED84</f>
        <v>0</v>
      </c>
      <c r="EH85" s="171">
        <f t="shared" si="413"/>
        <v>0</v>
      </c>
      <c r="EI85" s="1068">
        <f t="shared" si="413"/>
        <v>0</v>
      </c>
      <c r="EJ85" s="171">
        <f t="shared" si="413"/>
        <v>0</v>
      </c>
      <c r="EK85" s="171">
        <f t="shared" si="413"/>
        <v>0</v>
      </c>
      <c r="EL85" s="1068">
        <f t="shared" si="413"/>
        <v>0</v>
      </c>
      <c r="EM85" s="171">
        <f t="shared" ref="EM85:ER85" si="414">(EM84-EJ84)/EJ84</f>
        <v>0</v>
      </c>
      <c r="EN85" s="171">
        <f t="shared" si="414"/>
        <v>0</v>
      </c>
      <c r="EO85" s="1068">
        <f t="shared" si="414"/>
        <v>0</v>
      </c>
      <c r="EP85" s="171">
        <f t="shared" si="414"/>
        <v>0</v>
      </c>
      <c r="EQ85" s="171">
        <f t="shared" si="414"/>
        <v>0</v>
      </c>
      <c r="ER85" s="1068">
        <f t="shared" si="414"/>
        <v>0</v>
      </c>
      <c r="ES85" s="171">
        <f t="shared" ref="ES85" si="415">(ES84-EP84)/EP84</f>
        <v>0</v>
      </c>
      <c r="ET85" s="171">
        <f t="shared" ref="ET85" si="416">(ET84-EQ84)/EQ84</f>
        <v>0</v>
      </c>
      <c r="EU85" s="1068">
        <f t="shared" ref="EU85" si="417">(EU84-ER84)/ER84</f>
        <v>0</v>
      </c>
      <c r="EV85" s="171">
        <f t="shared" ref="EV85" si="418">(EV84-ES84)/ES84</f>
        <v>0</v>
      </c>
      <c r="EW85" s="171">
        <f t="shared" ref="EW85" si="419">(EW84-ET84)/ET84</f>
        <v>0</v>
      </c>
      <c r="EX85" s="1068">
        <f t="shared" ref="EX85" si="420">(EX84-EU84)/EU84</f>
        <v>0</v>
      </c>
      <c r="EY85" s="171">
        <f t="shared" ref="EY85" si="421">(EY84-EV84)/EV84</f>
        <v>0</v>
      </c>
      <c r="EZ85" s="171">
        <f t="shared" ref="EZ85" si="422">(EZ84-EW84)/EW84</f>
        <v>0</v>
      </c>
      <c r="FA85" s="1068">
        <f t="shared" ref="FA85" si="423">(FA84-EX84)/EX84</f>
        <v>0</v>
      </c>
    </row>
    <row r="86" spans="1:173" ht="13.35" customHeight="1" outlineLevel="1">
      <c r="C86" s="186"/>
      <c r="K86" s="186"/>
      <c r="BA86" s="35"/>
      <c r="BB86" s="35"/>
      <c r="BD86" s="171"/>
      <c r="BE86" s="171"/>
      <c r="BG86" s="171"/>
      <c r="BH86" s="171"/>
      <c r="BJ86" s="171"/>
      <c r="BK86" s="171"/>
      <c r="BL86" s="962"/>
      <c r="BM86" s="171"/>
      <c r="BN86" s="181"/>
      <c r="BO86" s="63"/>
      <c r="BP86" s="181"/>
      <c r="BQ86" s="181"/>
      <c r="BR86" s="63"/>
      <c r="BS86" s="181"/>
      <c r="BT86" s="181"/>
      <c r="BU86" s="181"/>
      <c r="BV86" s="181"/>
      <c r="BW86" s="181"/>
      <c r="BX86" s="181"/>
      <c r="BY86" s="181"/>
      <c r="BZ86" s="181"/>
      <c r="CA86" s="181"/>
      <c r="CB86" s="181"/>
      <c r="CC86" s="181"/>
      <c r="CD86" s="181"/>
      <c r="CE86" s="181"/>
      <c r="CF86" s="181"/>
      <c r="CG86" s="181"/>
      <c r="CH86" s="181"/>
      <c r="CI86" s="181"/>
      <c r="CJ86" s="181"/>
      <c r="CK86" s="181"/>
      <c r="CL86" s="181"/>
      <c r="CM86" s="181"/>
      <c r="CN86" s="181"/>
      <c r="CO86" s="181"/>
      <c r="CP86" s="181"/>
      <c r="CQ86" s="181"/>
      <c r="CR86" s="181"/>
      <c r="CS86" s="181"/>
      <c r="CT86" s="181"/>
      <c r="CU86" s="1023"/>
      <c r="CV86" s="181"/>
      <c r="CW86" s="181"/>
      <c r="CX86" s="181"/>
      <c r="CY86" s="181"/>
      <c r="CZ86" s="181"/>
      <c r="DA86" s="181"/>
      <c r="DB86" s="181"/>
      <c r="DC86" s="181"/>
      <c r="DD86" s="181"/>
      <c r="DE86" s="181"/>
      <c r="DF86" s="181"/>
      <c r="DG86" s="181"/>
      <c r="DH86" s="1069"/>
      <c r="DI86" s="181"/>
      <c r="DJ86" s="181"/>
      <c r="DK86" s="1069"/>
      <c r="DL86" s="181"/>
      <c r="DM86" s="181"/>
      <c r="DN86" s="1069"/>
      <c r="DO86" s="181"/>
      <c r="DP86" s="181"/>
      <c r="DQ86" s="1069"/>
      <c r="DR86" s="181"/>
      <c r="DS86" s="181"/>
      <c r="DT86" s="1069"/>
      <c r="DU86" s="181"/>
      <c r="DV86" s="181"/>
      <c r="DW86" s="1069"/>
      <c r="DX86" s="181"/>
      <c r="DY86" s="181"/>
      <c r="DZ86" s="1069"/>
      <c r="EA86" s="181"/>
      <c r="EB86" s="181"/>
      <c r="EC86" s="1069"/>
      <c r="ED86" s="181"/>
      <c r="EE86" s="181"/>
      <c r="EF86" s="1069"/>
      <c r="EG86" s="181"/>
      <c r="EH86" s="181"/>
      <c r="EI86" s="1069"/>
      <c r="EJ86" s="181"/>
      <c r="EK86" s="181"/>
      <c r="EL86" s="1069"/>
      <c r="EM86" s="181"/>
      <c r="EN86" s="181"/>
      <c r="EO86" s="1069"/>
      <c r="EP86" s="181"/>
      <c r="EQ86" s="181"/>
      <c r="ER86" s="1069"/>
      <c r="ES86" s="181"/>
      <c r="ET86" s="181"/>
      <c r="EU86" s="1069"/>
      <c r="EV86" s="181"/>
      <c r="EW86" s="181"/>
      <c r="EX86" s="1069"/>
      <c r="EY86" s="181"/>
      <c r="EZ86" s="181"/>
      <c r="FA86" s="1069"/>
    </row>
    <row r="87" spans="1:173" ht="13.35" customHeight="1" outlineLevel="1">
      <c r="B87" s="186" t="s">
        <v>81</v>
      </c>
      <c r="D87" s="926" t="s">
        <v>98</v>
      </c>
      <c r="K87" s="186"/>
      <c r="BA87" s="35"/>
      <c r="BB87" s="35"/>
      <c r="BD87" s="171"/>
      <c r="BE87" s="171"/>
      <c r="BG87" s="171"/>
      <c r="BH87" s="171"/>
      <c r="BJ87" s="171"/>
      <c r="BK87" s="171"/>
      <c r="BL87" s="962"/>
      <c r="BM87" s="181">
        <f>1/5.3943</f>
        <v>0.18538086498711601</v>
      </c>
      <c r="BN87" s="181">
        <f>1/5.78</f>
        <v>0.17301038062283736</v>
      </c>
      <c r="BO87" s="63">
        <f>BN87</f>
        <v>0.17301038062283736</v>
      </c>
      <c r="BP87" s="181">
        <f>1/5.95</f>
        <v>0.16806722689075629</v>
      </c>
      <c r="BQ87" s="181">
        <f>1/5.525</f>
        <v>0.18099547511312217</v>
      </c>
      <c r="BR87" s="63">
        <f>BQ87</f>
        <v>0.18099547511312217</v>
      </c>
      <c r="BS87" s="181">
        <v>0.18099547511312217</v>
      </c>
      <c r="BT87" s="181">
        <v>0.18099547511312217</v>
      </c>
      <c r="BU87" s="181">
        <v>0.18099547511312217</v>
      </c>
      <c r="BV87" s="181">
        <v>0.17530999999999999</v>
      </c>
      <c r="BW87" s="181">
        <v>0.17599999999999999</v>
      </c>
      <c r="BX87" s="181">
        <v>0.17565500000000001</v>
      </c>
      <c r="BY87" s="181">
        <v>0.18281535648994515</v>
      </c>
      <c r="BZ87" s="181">
        <v>0.17246541836196852</v>
      </c>
      <c r="CA87" s="181">
        <v>0.17246541836196852</v>
      </c>
      <c r="CB87" s="181">
        <v>0.17246541836196852</v>
      </c>
      <c r="CC87" s="181">
        <v>0.17246541836196852</v>
      </c>
      <c r="CD87" s="181">
        <v>0.17246541836196852</v>
      </c>
      <c r="CE87" s="181">
        <v>0.17246541836196852</v>
      </c>
      <c r="CF87" s="181">
        <v>0.15124825174825166</v>
      </c>
      <c r="CG87" s="181">
        <v>0.15124825174825166</v>
      </c>
      <c r="CH87" s="181">
        <v>0.14799999999999999</v>
      </c>
      <c r="CI87" s="181">
        <v>0.14799999999999999</v>
      </c>
      <c r="CJ87" s="181">
        <v>0.14799999999999999</v>
      </c>
      <c r="CK87" s="181">
        <v>0.14578978680692573</v>
      </c>
      <c r="CL87" s="181">
        <v>0.14805983491272035</v>
      </c>
      <c r="CM87" s="181">
        <v>0.14692481085982304</v>
      </c>
      <c r="CN87" s="181">
        <v>0.14692481085982304</v>
      </c>
      <c r="CO87" s="181">
        <v>0.167437209</v>
      </c>
      <c r="CP87" s="181">
        <v>0.167437209</v>
      </c>
      <c r="CQ87" s="74">
        <v>0.15783695652173893</v>
      </c>
      <c r="CR87" s="74">
        <v>0.15</v>
      </c>
      <c r="CS87" s="181">
        <f>CR87</f>
        <v>0.15</v>
      </c>
      <c r="CT87" s="181">
        <f>CR87</f>
        <v>0.15</v>
      </c>
      <c r="CU87" s="181">
        <f t="shared" ref="CU87:EF87" si="424">CT87</f>
        <v>0.15</v>
      </c>
      <c r="CV87" s="181">
        <f t="shared" si="424"/>
        <v>0.15</v>
      </c>
      <c r="CW87" s="181">
        <f t="shared" si="424"/>
        <v>0.15</v>
      </c>
      <c r="CX87" s="181">
        <f t="shared" si="424"/>
        <v>0.15</v>
      </c>
      <c r="CY87" s="181">
        <f t="shared" si="424"/>
        <v>0.15</v>
      </c>
      <c r="CZ87" s="181">
        <f t="shared" si="424"/>
        <v>0.15</v>
      </c>
      <c r="DA87" s="181">
        <f t="shared" si="424"/>
        <v>0.15</v>
      </c>
      <c r="DB87" s="181">
        <f t="shared" si="424"/>
        <v>0.15</v>
      </c>
      <c r="DC87" s="181">
        <f t="shared" si="424"/>
        <v>0.15</v>
      </c>
      <c r="DD87" s="181">
        <f t="shared" si="424"/>
        <v>0.15</v>
      </c>
      <c r="DE87" s="181">
        <f t="shared" si="424"/>
        <v>0.15</v>
      </c>
      <c r="DF87" s="181">
        <f t="shared" si="424"/>
        <v>0.15</v>
      </c>
      <c r="DG87" s="181">
        <f t="shared" si="424"/>
        <v>0.15</v>
      </c>
      <c r="DH87" s="1069">
        <f t="shared" si="424"/>
        <v>0.15</v>
      </c>
      <c r="DI87" s="181">
        <f t="shared" si="424"/>
        <v>0.15</v>
      </c>
      <c r="DJ87" s="181">
        <f t="shared" si="424"/>
        <v>0.15</v>
      </c>
      <c r="DK87" s="1069">
        <f t="shared" si="424"/>
        <v>0.15</v>
      </c>
      <c r="DL87" s="181">
        <f t="shared" si="424"/>
        <v>0.15</v>
      </c>
      <c r="DM87" s="181">
        <f>1/6.696</f>
        <v>0.14934289127837516</v>
      </c>
      <c r="DN87" s="1069">
        <f t="shared" si="424"/>
        <v>0.14934289127837516</v>
      </c>
      <c r="DO87" s="181">
        <v>0.14038186009179474</v>
      </c>
      <c r="DP87" s="181">
        <v>0.1411512</v>
      </c>
      <c r="DQ87" s="1069">
        <f t="shared" si="424"/>
        <v>0.1411512</v>
      </c>
      <c r="DR87" s="181">
        <f>1/7.00874077384921</f>
        <v>0.14267898218338565</v>
      </c>
      <c r="DS87" s="181">
        <f>1/6.869785478125</f>
        <v>0.14556495296457703</v>
      </c>
      <c r="DT87" s="1069">
        <f t="shared" si="424"/>
        <v>0.14556495296457703</v>
      </c>
      <c r="DU87" s="181">
        <f t="shared" si="424"/>
        <v>0.14556495296457703</v>
      </c>
      <c r="DV87" s="181">
        <f t="shared" si="424"/>
        <v>0.14556495296457703</v>
      </c>
      <c r="DW87" s="1069">
        <f t="shared" si="424"/>
        <v>0.14556495296457703</v>
      </c>
      <c r="DX87" s="181">
        <f t="shared" si="424"/>
        <v>0.14556495296457703</v>
      </c>
      <c r="DY87" s="181">
        <f t="shared" si="424"/>
        <v>0.14556495296457703</v>
      </c>
      <c r="DZ87" s="1069">
        <f t="shared" si="424"/>
        <v>0.14556495296457703</v>
      </c>
      <c r="EA87" s="181">
        <f t="shared" si="424"/>
        <v>0.14556495296457703</v>
      </c>
      <c r="EB87" s="181">
        <f t="shared" si="424"/>
        <v>0.14556495296457703</v>
      </c>
      <c r="EC87" s="1069">
        <f t="shared" si="424"/>
        <v>0.14556495296457703</v>
      </c>
      <c r="ED87" s="181">
        <f t="shared" si="424"/>
        <v>0.14556495296457703</v>
      </c>
      <c r="EE87" s="181">
        <f t="shared" si="424"/>
        <v>0.14556495296457703</v>
      </c>
      <c r="EF87" s="1069">
        <f t="shared" si="424"/>
        <v>0.14556495296457703</v>
      </c>
      <c r="EG87" s="181">
        <f t="shared" ref="EG87:EL87" si="425">EF87</f>
        <v>0.14556495296457703</v>
      </c>
      <c r="EH87" s="181">
        <f t="shared" si="425"/>
        <v>0.14556495296457703</v>
      </c>
      <c r="EI87" s="1069">
        <f t="shared" si="425"/>
        <v>0.14556495296457703</v>
      </c>
      <c r="EJ87" s="181">
        <f t="shared" si="425"/>
        <v>0.14556495296457703</v>
      </c>
      <c r="EK87" s="181">
        <f t="shared" si="425"/>
        <v>0.14556495296457703</v>
      </c>
      <c r="EL87" s="1069">
        <f t="shared" si="425"/>
        <v>0.14556495296457703</v>
      </c>
      <c r="EM87" s="181">
        <f t="shared" ref="EM87:ER87" si="426">EL87</f>
        <v>0.14556495296457703</v>
      </c>
      <c r="EN87" s="181">
        <f t="shared" si="426"/>
        <v>0.14556495296457703</v>
      </c>
      <c r="EO87" s="1069">
        <f t="shared" si="426"/>
        <v>0.14556495296457703</v>
      </c>
      <c r="EP87" s="181">
        <f t="shared" si="426"/>
        <v>0.14556495296457703</v>
      </c>
      <c r="EQ87" s="181">
        <f t="shared" si="426"/>
        <v>0.14556495296457703</v>
      </c>
      <c r="ER87" s="1069">
        <f t="shared" si="426"/>
        <v>0.14556495296457703</v>
      </c>
      <c r="ES87" s="181">
        <f t="shared" ref="ES87" si="427">ER87</f>
        <v>0.14556495296457703</v>
      </c>
      <c r="ET87" s="181">
        <f t="shared" ref="ET87" si="428">ES87</f>
        <v>0.14556495296457703</v>
      </c>
      <c r="EU87" s="1069">
        <f t="shared" ref="EU87" si="429">ET87</f>
        <v>0.14556495296457703</v>
      </c>
      <c r="EV87" s="181">
        <f t="shared" ref="EV87" si="430">EU87</f>
        <v>0.14556495296457703</v>
      </c>
      <c r="EW87" s="181">
        <f t="shared" ref="EW87" si="431">EV87</f>
        <v>0.14556495296457703</v>
      </c>
      <c r="EX87" s="1069">
        <f t="shared" ref="EX87" si="432">EW87</f>
        <v>0.14556495296457703</v>
      </c>
      <c r="EY87" s="181">
        <f t="shared" ref="EY87" si="433">EX87</f>
        <v>0.14556495296457703</v>
      </c>
      <c r="EZ87" s="181">
        <f t="shared" ref="EZ87" si="434">EY87</f>
        <v>0.14556495296457703</v>
      </c>
      <c r="FA87" s="1069">
        <f t="shared" ref="FA87" si="435">EZ87</f>
        <v>0.14556495296457703</v>
      </c>
    </row>
    <row r="88" spans="1:173" ht="13.35" customHeight="1" outlineLevel="1">
      <c r="C88" s="186" t="s">
        <v>209</v>
      </c>
      <c r="D88" s="926" t="s">
        <v>460</v>
      </c>
      <c r="K88" s="186"/>
      <c r="BA88" s="35"/>
      <c r="BB88" s="35"/>
      <c r="BD88" s="171"/>
      <c r="BE88" s="171"/>
      <c r="BG88" s="171"/>
      <c r="BH88" s="171"/>
      <c r="BJ88" s="171"/>
      <c r="BK88" s="171"/>
      <c r="BL88" s="962"/>
      <c r="BM88" s="171"/>
      <c r="BN88" s="171"/>
      <c r="BO88" s="31"/>
      <c r="BP88" s="171">
        <f t="shared" ref="BP88:CU88" si="436">(BP87-BM87)/BM87</f>
        <v>-9.3394957983193236E-2</v>
      </c>
      <c r="BQ88" s="171">
        <f t="shared" si="436"/>
        <v>4.6153846153846212E-2</v>
      </c>
      <c r="BR88" s="962">
        <f t="shared" si="436"/>
        <v>4.6153846153846212E-2</v>
      </c>
      <c r="BS88" s="171">
        <f t="shared" si="436"/>
        <v>7.6923076923076983E-2</v>
      </c>
      <c r="BT88" s="171">
        <f t="shared" si="436"/>
        <v>0</v>
      </c>
      <c r="BU88" s="171">
        <f t="shared" si="436"/>
        <v>0</v>
      </c>
      <c r="BV88" s="171">
        <f t="shared" si="436"/>
        <v>-3.141225000000001E-2</v>
      </c>
      <c r="BW88" s="171">
        <f t="shared" si="436"/>
        <v>-2.7600000000000031E-2</v>
      </c>
      <c r="BX88" s="171">
        <f t="shared" si="436"/>
        <v>-2.9506124999999946E-2</v>
      </c>
      <c r="BY88" s="171">
        <f t="shared" si="436"/>
        <v>4.2811913125008039E-2</v>
      </c>
      <c r="BZ88" s="171">
        <f t="shared" si="436"/>
        <v>-2.0082850216087897E-2</v>
      </c>
      <c r="CA88" s="171">
        <f t="shared" si="436"/>
        <v>-1.8158217175893002E-2</v>
      </c>
      <c r="CB88" s="171">
        <f t="shared" si="436"/>
        <v>-5.6614161560032177E-2</v>
      </c>
      <c r="CC88" s="171">
        <f t="shared" si="436"/>
        <v>0</v>
      </c>
      <c r="CD88" s="171">
        <f t="shared" si="436"/>
        <v>0</v>
      </c>
      <c r="CE88" s="171">
        <f t="shared" si="436"/>
        <v>0</v>
      </c>
      <c r="CF88" s="171">
        <f t="shared" si="436"/>
        <v>-0.12302273009413696</v>
      </c>
      <c r="CG88" s="171">
        <f t="shared" si="436"/>
        <v>-0.12302273009413696</v>
      </c>
      <c r="CH88" s="171">
        <f t="shared" si="436"/>
        <v>-0.14185695076923061</v>
      </c>
      <c r="CI88" s="171">
        <f t="shared" si="436"/>
        <v>-2.1476292854335163E-2</v>
      </c>
      <c r="CJ88" s="171">
        <f t="shared" si="436"/>
        <v>-2.1476292854335163E-2</v>
      </c>
      <c r="CK88" s="171">
        <f t="shared" si="436"/>
        <v>-1.4933872926177483E-2</v>
      </c>
      <c r="CL88" s="171">
        <f t="shared" si="436"/>
        <v>4.0428995081319159E-4</v>
      </c>
      <c r="CM88" s="171">
        <f t="shared" si="436"/>
        <v>-7.264791487682146E-3</v>
      </c>
      <c r="CN88" s="171">
        <f t="shared" si="436"/>
        <v>7.7853468185700835E-3</v>
      </c>
      <c r="CO88" s="171">
        <f t="shared" si="436"/>
        <v>0.1308752917271751</v>
      </c>
      <c r="CP88" s="171">
        <f t="shared" si="436"/>
        <v>0.13961153341042778</v>
      </c>
      <c r="CQ88" s="171">
        <f t="shared" si="436"/>
        <v>7.4270271971470334E-2</v>
      </c>
      <c r="CR88" s="171">
        <f t="shared" si="436"/>
        <v>-0.10414178009859211</v>
      </c>
      <c r="CS88" s="171">
        <f t="shared" si="436"/>
        <v>-0.10414178009859211</v>
      </c>
      <c r="CT88" s="171">
        <f t="shared" si="436"/>
        <v>-4.9652227808001034E-2</v>
      </c>
      <c r="CU88" s="171">
        <f t="shared" si="436"/>
        <v>0</v>
      </c>
      <c r="CV88" s="171">
        <f t="shared" ref="CV88:EA88" si="437">(CV87-CS87)/CS87</f>
        <v>0</v>
      </c>
      <c r="CW88" s="171">
        <f t="shared" si="437"/>
        <v>0</v>
      </c>
      <c r="CX88" s="171">
        <f t="shared" si="437"/>
        <v>0</v>
      </c>
      <c r="CY88" s="171">
        <f t="shared" si="437"/>
        <v>0</v>
      </c>
      <c r="CZ88" s="171">
        <f t="shared" si="437"/>
        <v>0</v>
      </c>
      <c r="DA88" s="171">
        <f t="shared" si="437"/>
        <v>0</v>
      </c>
      <c r="DB88" s="171">
        <f t="shared" si="437"/>
        <v>0</v>
      </c>
      <c r="DC88" s="171">
        <f t="shared" si="437"/>
        <v>0</v>
      </c>
      <c r="DD88" s="171">
        <f t="shared" si="437"/>
        <v>0</v>
      </c>
      <c r="DE88" s="171">
        <f t="shared" si="437"/>
        <v>0</v>
      </c>
      <c r="DF88" s="171">
        <f t="shared" si="437"/>
        <v>0</v>
      </c>
      <c r="DG88" s="171">
        <f t="shared" si="437"/>
        <v>0</v>
      </c>
      <c r="DH88" s="1068">
        <f t="shared" si="437"/>
        <v>0</v>
      </c>
      <c r="DI88" s="171">
        <f t="shared" si="437"/>
        <v>0</v>
      </c>
      <c r="DJ88" s="171">
        <f t="shared" si="437"/>
        <v>0</v>
      </c>
      <c r="DK88" s="1068">
        <f t="shared" si="437"/>
        <v>0</v>
      </c>
      <c r="DL88" s="171">
        <f t="shared" si="437"/>
        <v>0</v>
      </c>
      <c r="DM88" s="171">
        <f t="shared" si="437"/>
        <v>-4.380724810832219E-3</v>
      </c>
      <c r="DN88" s="1068">
        <f t="shared" si="437"/>
        <v>-4.380724810832219E-3</v>
      </c>
      <c r="DO88" s="171">
        <f t="shared" si="437"/>
        <v>-6.4120932721368401E-2</v>
      </c>
      <c r="DP88" s="171">
        <f t="shared" si="437"/>
        <v>-5.4851564800000051E-2</v>
      </c>
      <c r="DQ88" s="1068">
        <f t="shared" si="437"/>
        <v>-5.4851564800000051E-2</v>
      </c>
      <c r="DR88" s="171">
        <f t="shared" si="437"/>
        <v>1.6363382634258027E-2</v>
      </c>
      <c r="DS88" s="171">
        <f t="shared" si="437"/>
        <v>3.1269680771945418E-2</v>
      </c>
      <c r="DT88" s="1068">
        <f t="shared" si="437"/>
        <v>3.1269680771945418E-2</v>
      </c>
      <c r="DU88" s="171">
        <f t="shared" si="437"/>
        <v>2.0227021086273462E-2</v>
      </c>
      <c r="DV88" s="171">
        <f t="shared" si="437"/>
        <v>0</v>
      </c>
      <c r="DW88" s="1068">
        <f t="shared" si="437"/>
        <v>0</v>
      </c>
      <c r="DX88" s="171">
        <f t="shared" si="437"/>
        <v>0</v>
      </c>
      <c r="DY88" s="171">
        <f t="shared" si="437"/>
        <v>0</v>
      </c>
      <c r="DZ88" s="1068">
        <f t="shared" si="437"/>
        <v>0</v>
      </c>
      <c r="EA88" s="171">
        <f t="shared" si="437"/>
        <v>0</v>
      </c>
      <c r="EB88" s="171">
        <f t="shared" ref="EB88:EL88" si="438">(EB87-DY87)/DY87</f>
        <v>0</v>
      </c>
      <c r="EC88" s="1068">
        <f t="shared" si="438"/>
        <v>0</v>
      </c>
      <c r="ED88" s="171">
        <f t="shared" si="438"/>
        <v>0</v>
      </c>
      <c r="EE88" s="171">
        <f t="shared" si="438"/>
        <v>0</v>
      </c>
      <c r="EF88" s="1068">
        <f t="shared" si="438"/>
        <v>0</v>
      </c>
      <c r="EG88" s="171">
        <f t="shared" si="438"/>
        <v>0</v>
      </c>
      <c r="EH88" s="171">
        <f t="shared" si="438"/>
        <v>0</v>
      </c>
      <c r="EI88" s="1068">
        <f t="shared" si="438"/>
        <v>0</v>
      </c>
      <c r="EJ88" s="171">
        <f t="shared" si="438"/>
        <v>0</v>
      </c>
      <c r="EK88" s="171">
        <f t="shared" si="438"/>
        <v>0</v>
      </c>
      <c r="EL88" s="1068">
        <f t="shared" si="438"/>
        <v>0</v>
      </c>
      <c r="EM88" s="171">
        <f t="shared" ref="EM88:ER88" si="439">(EM87-EJ87)/EJ87</f>
        <v>0</v>
      </c>
      <c r="EN88" s="171">
        <f t="shared" si="439"/>
        <v>0</v>
      </c>
      <c r="EO88" s="1068">
        <f t="shared" si="439"/>
        <v>0</v>
      </c>
      <c r="EP88" s="171">
        <f t="shared" si="439"/>
        <v>0</v>
      </c>
      <c r="EQ88" s="171">
        <f t="shared" si="439"/>
        <v>0</v>
      </c>
      <c r="ER88" s="1068">
        <f t="shared" si="439"/>
        <v>0</v>
      </c>
      <c r="ES88" s="171">
        <f t="shared" ref="ES88" si="440">(ES87-EP87)/EP87</f>
        <v>0</v>
      </c>
      <c r="ET88" s="171">
        <f t="shared" ref="ET88" si="441">(ET87-EQ87)/EQ87</f>
        <v>0</v>
      </c>
      <c r="EU88" s="1068">
        <f t="shared" ref="EU88" si="442">(EU87-ER87)/ER87</f>
        <v>0</v>
      </c>
      <c r="EV88" s="171">
        <f t="shared" ref="EV88" si="443">(EV87-ES87)/ES87</f>
        <v>0</v>
      </c>
      <c r="EW88" s="171">
        <f t="shared" ref="EW88" si="444">(EW87-ET87)/ET87</f>
        <v>0</v>
      </c>
      <c r="EX88" s="1068">
        <f t="shared" ref="EX88" si="445">(EX87-EU87)/EU87</f>
        <v>0</v>
      </c>
      <c r="EY88" s="171">
        <f t="shared" ref="EY88" si="446">(EY87-EV87)/EV87</f>
        <v>0</v>
      </c>
      <c r="EZ88" s="171">
        <f t="shared" ref="EZ88" si="447">(EZ87-EW87)/EW87</f>
        <v>0</v>
      </c>
      <c r="FA88" s="1068">
        <f t="shared" ref="FA88" si="448">(FA87-EX87)/EX87</f>
        <v>0</v>
      </c>
    </row>
    <row r="89" spans="1:173" ht="13.35" customHeight="1">
      <c r="C89" s="186"/>
      <c r="D89" s="926"/>
      <c r="K89" s="186"/>
      <c r="BA89" s="35"/>
      <c r="BB89" s="35"/>
      <c r="BD89" s="171"/>
      <c r="BE89" s="171"/>
      <c r="BG89" s="171"/>
      <c r="BH89" s="171"/>
      <c r="BJ89" s="171"/>
      <c r="BK89" s="171"/>
      <c r="BL89" s="962"/>
      <c r="BM89" s="171"/>
      <c r="BN89" s="171"/>
      <c r="BO89" s="31"/>
      <c r="BP89" s="171"/>
      <c r="BQ89" s="171"/>
      <c r="BR89" s="962"/>
      <c r="BS89" s="171"/>
      <c r="BT89" s="171"/>
      <c r="BU89" s="171"/>
      <c r="BV89" s="171"/>
      <c r="BW89" s="171"/>
      <c r="BX89" s="171"/>
      <c r="BY89" s="171"/>
      <c r="BZ89" s="171"/>
      <c r="CA89" s="171"/>
      <c r="CB89" s="171"/>
      <c r="CC89" s="171"/>
      <c r="CD89" s="171"/>
      <c r="CE89" s="171"/>
      <c r="CF89" s="171"/>
      <c r="CG89" s="171"/>
      <c r="CH89" s="171"/>
      <c r="CI89" s="171"/>
      <c r="CJ89" s="171"/>
      <c r="CK89" s="171"/>
      <c r="CL89" s="171"/>
      <c r="CM89" s="171"/>
      <c r="CN89" s="171"/>
      <c r="CO89" s="171"/>
      <c r="CP89" s="171"/>
      <c r="CQ89" s="171"/>
      <c r="CR89" s="171"/>
      <c r="CS89" s="171"/>
      <c r="CT89" s="171"/>
      <c r="CU89" s="171"/>
      <c r="CV89" s="171"/>
      <c r="CW89" s="171"/>
      <c r="CX89" s="171"/>
      <c r="CY89" s="171"/>
      <c r="CZ89" s="171"/>
      <c r="DA89" s="171"/>
      <c r="DB89" s="171"/>
      <c r="DC89" s="171"/>
      <c r="DD89" s="171"/>
      <c r="DE89" s="171"/>
      <c r="DF89" s="171"/>
      <c r="DG89" s="171"/>
      <c r="DH89" s="1068"/>
      <c r="DI89" s="171"/>
      <c r="DJ89" s="171"/>
      <c r="DK89" s="1068"/>
      <c r="DL89" s="171"/>
      <c r="DM89" s="171"/>
      <c r="DN89" s="1068"/>
      <c r="DO89" s="171"/>
      <c r="DP89" s="171"/>
      <c r="DQ89" s="1068"/>
      <c r="DR89" s="171"/>
      <c r="DS89" s="171"/>
      <c r="DT89" s="1068"/>
      <c r="DU89" s="171"/>
      <c r="DV89" s="171"/>
      <c r="DW89" s="1068"/>
      <c r="DX89" s="171"/>
      <c r="DY89" s="171"/>
      <c r="DZ89" s="1068"/>
      <c r="EA89" s="171"/>
      <c r="EB89" s="171"/>
      <c r="EC89" s="1068"/>
      <c r="ED89" s="171"/>
      <c r="EE89" s="171"/>
      <c r="EF89" s="1068"/>
      <c r="EG89" s="171"/>
      <c r="EH89" s="171"/>
      <c r="EI89" s="1068"/>
      <c r="EJ89" s="171"/>
      <c r="EK89" s="171"/>
      <c r="EL89" s="1068"/>
      <c r="EM89" s="171"/>
      <c r="EN89" s="171"/>
      <c r="EO89" s="1068"/>
      <c r="EP89" s="171"/>
      <c r="EQ89" s="171"/>
      <c r="ER89" s="1068"/>
      <c r="ES89" s="171"/>
      <c r="ET89" s="171"/>
      <c r="EU89" s="1068"/>
      <c r="EV89" s="171"/>
      <c r="EW89" s="171"/>
      <c r="EX89" s="1068"/>
      <c r="EY89" s="171"/>
      <c r="EZ89" s="171"/>
      <c r="FA89" s="1068"/>
    </row>
    <row r="90" spans="1:173" s="321" customFormat="1" ht="16.5" customHeight="1">
      <c r="A90" s="1418"/>
      <c r="B90" s="906" t="s">
        <v>1014</v>
      </c>
      <c r="C90" s="906"/>
      <c r="D90" s="907"/>
      <c r="E90" s="925"/>
      <c r="F90" s="925"/>
      <c r="G90" s="925"/>
      <c r="H90" s="925"/>
      <c r="I90" s="925"/>
      <c r="J90" s="925"/>
      <c r="K90" s="925"/>
      <c r="L90" s="925"/>
      <c r="M90" s="925"/>
      <c r="N90" s="925"/>
      <c r="O90" s="925"/>
      <c r="P90" s="925"/>
      <c r="Q90" s="925"/>
      <c r="R90" s="925"/>
      <c r="S90" s="925"/>
      <c r="T90" s="925"/>
      <c r="U90" s="925"/>
      <c r="V90" s="925"/>
      <c r="W90" s="925"/>
      <c r="X90" s="925"/>
      <c r="Y90" s="925"/>
      <c r="Z90" s="925"/>
      <c r="AA90" s="925"/>
      <c r="AB90" s="925"/>
      <c r="AC90" s="925"/>
      <c r="AD90" s="925"/>
      <c r="AE90" s="925"/>
      <c r="AF90" s="925"/>
      <c r="AG90" s="925"/>
      <c r="AH90" s="925"/>
      <c r="AI90" s="925"/>
      <c r="AJ90" s="925"/>
      <c r="AK90" s="925"/>
      <c r="AL90" s="925"/>
      <c r="AM90" s="925"/>
      <c r="AN90" s="925"/>
      <c r="AO90" s="925"/>
      <c r="AP90" s="925"/>
      <c r="AQ90" s="925"/>
      <c r="AR90" s="925"/>
      <c r="AS90" s="925"/>
      <c r="AT90" s="925"/>
      <c r="AU90" s="925"/>
      <c r="AV90" s="925"/>
      <c r="AW90" s="925"/>
      <c r="AX90" s="925"/>
      <c r="AY90" s="925"/>
      <c r="AZ90" s="925"/>
      <c r="BA90" s="925"/>
      <c r="BB90" s="925"/>
      <c r="BC90" s="925"/>
      <c r="BD90" s="925"/>
      <c r="BE90" s="925"/>
      <c r="BF90" s="925"/>
      <c r="BG90" s="925"/>
      <c r="BH90" s="925"/>
      <c r="BI90" s="925"/>
      <c r="BJ90" s="106"/>
      <c r="BK90" s="106"/>
      <c r="BL90" s="106"/>
      <c r="BM90" s="106"/>
      <c r="BN90" s="106"/>
      <c r="BO90" s="106"/>
      <c r="BP90" s="106"/>
      <c r="BQ90" s="106"/>
      <c r="BR90" s="106"/>
      <c r="BS90" s="179"/>
      <c r="BT90" s="179"/>
      <c r="BU90" s="179"/>
      <c r="BV90" s="179"/>
      <c r="BW90" s="179"/>
      <c r="BX90" s="179"/>
      <c r="BY90" s="179"/>
      <c r="BZ90" s="179"/>
      <c r="CA90" s="179"/>
      <c r="CB90" s="179"/>
      <c r="CC90" s="179"/>
      <c r="CD90" s="179"/>
      <c r="CE90" s="179"/>
      <c r="CF90" s="179"/>
      <c r="CG90" s="179"/>
      <c r="CH90" s="179"/>
      <c r="CI90" s="179"/>
      <c r="CJ90" s="179"/>
      <c r="CK90" s="179"/>
      <c r="CL90" s="179"/>
      <c r="CM90" s="179"/>
      <c r="CN90" s="179"/>
      <c r="CO90" s="179"/>
      <c r="CP90" s="179"/>
      <c r="CQ90" s="179"/>
      <c r="CR90" s="179"/>
      <c r="CS90" s="179"/>
      <c r="CT90" s="179"/>
      <c r="CU90" s="179"/>
      <c r="CV90" s="179"/>
      <c r="CW90" s="179"/>
      <c r="CX90" s="179"/>
      <c r="CY90" s="179"/>
      <c r="CZ90" s="179"/>
      <c r="DA90" s="179"/>
      <c r="DB90" s="179"/>
      <c r="DC90" s="179"/>
      <c r="DD90" s="179"/>
      <c r="DE90" s="179"/>
      <c r="DF90" s="179"/>
      <c r="DG90" s="179"/>
      <c r="DH90" s="1064" t="str">
        <f>+DH2</f>
        <v>FY20</v>
      </c>
      <c r="DI90" s="179" t="str">
        <f t="shared" ref="DI90:ER90" si="449">+DI2</f>
        <v>1H21</v>
      </c>
      <c r="DJ90" s="179" t="str">
        <f t="shared" si="449"/>
        <v>2H21</v>
      </c>
      <c r="DK90" s="1064" t="str">
        <f t="shared" si="449"/>
        <v>FY21</v>
      </c>
      <c r="DL90" s="179" t="str">
        <f t="shared" si="449"/>
        <v>1H22</v>
      </c>
      <c r="DM90" s="179" t="str">
        <f t="shared" si="449"/>
        <v>2H22</v>
      </c>
      <c r="DN90" s="1064" t="str">
        <f t="shared" si="449"/>
        <v>FY22</v>
      </c>
      <c r="DO90" s="179" t="str">
        <f t="shared" si="449"/>
        <v>1H23</v>
      </c>
      <c r="DP90" s="179" t="str">
        <f t="shared" si="449"/>
        <v>2H23</v>
      </c>
      <c r="DQ90" s="1064" t="str">
        <f t="shared" si="449"/>
        <v>FY23</v>
      </c>
      <c r="DR90" s="179" t="str">
        <f t="shared" si="449"/>
        <v>1H24</v>
      </c>
      <c r="DS90" s="179" t="str">
        <f t="shared" si="449"/>
        <v>2H24</v>
      </c>
      <c r="DT90" s="1064" t="str">
        <f t="shared" si="449"/>
        <v>FY24</v>
      </c>
      <c r="DU90" s="179" t="str">
        <f t="shared" si="449"/>
        <v>1H25</v>
      </c>
      <c r="DV90" s="179" t="str">
        <f t="shared" si="449"/>
        <v>2H25</v>
      </c>
      <c r="DW90" s="1064" t="str">
        <f t="shared" si="449"/>
        <v>FY25</v>
      </c>
      <c r="DX90" s="179" t="str">
        <f t="shared" si="449"/>
        <v>1H26</v>
      </c>
      <c r="DY90" s="179" t="str">
        <f t="shared" si="449"/>
        <v>2H26E</v>
      </c>
      <c r="DZ90" s="1064" t="str">
        <f t="shared" si="449"/>
        <v>FY26E</v>
      </c>
      <c r="EA90" s="179" t="str">
        <f t="shared" si="449"/>
        <v>1H27E</v>
      </c>
      <c r="EB90" s="179" t="str">
        <f t="shared" si="449"/>
        <v>2H27E</v>
      </c>
      <c r="EC90" s="1064" t="str">
        <f t="shared" si="449"/>
        <v>FY27E</v>
      </c>
      <c r="ED90" s="179" t="str">
        <f t="shared" si="449"/>
        <v>1H28E</v>
      </c>
      <c r="EE90" s="179" t="str">
        <f t="shared" si="449"/>
        <v>2H28E</v>
      </c>
      <c r="EF90" s="1064" t="str">
        <f t="shared" si="449"/>
        <v>FY28E</v>
      </c>
      <c r="EG90" s="179" t="str">
        <f t="shared" si="449"/>
        <v>1H29E</v>
      </c>
      <c r="EH90" s="179" t="str">
        <f t="shared" si="449"/>
        <v>2H29E</v>
      </c>
      <c r="EI90" s="1064" t="str">
        <f t="shared" si="449"/>
        <v>FY29E</v>
      </c>
      <c r="EJ90" s="179" t="str">
        <f t="shared" si="449"/>
        <v>1H30E</v>
      </c>
      <c r="EK90" s="179" t="str">
        <f t="shared" si="449"/>
        <v>2H30E</v>
      </c>
      <c r="EL90" s="1064" t="str">
        <f t="shared" si="449"/>
        <v>FY30E</v>
      </c>
      <c r="EM90" s="179" t="str">
        <f t="shared" si="449"/>
        <v>1H31E</v>
      </c>
      <c r="EN90" s="179" t="str">
        <f t="shared" si="449"/>
        <v>2H31E</v>
      </c>
      <c r="EO90" s="1064" t="str">
        <f t="shared" si="449"/>
        <v>FY31E</v>
      </c>
      <c r="EP90" s="179" t="str">
        <f t="shared" si="449"/>
        <v>1H32E</v>
      </c>
      <c r="EQ90" s="179" t="str">
        <f t="shared" si="449"/>
        <v>2H32E</v>
      </c>
      <c r="ER90" s="1064" t="str">
        <f t="shared" si="449"/>
        <v>FY32E</v>
      </c>
      <c r="ES90" s="179" t="str">
        <f t="shared" ref="ES90:EX90" si="450">+ES2</f>
        <v>1H33E</v>
      </c>
      <c r="ET90" s="179" t="str">
        <f t="shared" si="450"/>
        <v>2H33E</v>
      </c>
      <c r="EU90" s="1064" t="str">
        <f t="shared" si="450"/>
        <v>FY33E</v>
      </c>
      <c r="EV90" s="179" t="str">
        <f t="shared" si="450"/>
        <v>1H34E</v>
      </c>
      <c r="EW90" s="179" t="str">
        <f t="shared" si="450"/>
        <v>2H34E</v>
      </c>
      <c r="EX90" s="1064" t="str">
        <f t="shared" si="450"/>
        <v>FY34E</v>
      </c>
      <c r="EY90" s="179" t="str">
        <f t="shared" ref="EY90:FA90" si="451">+EY2</f>
        <v>1H35E</v>
      </c>
      <c r="EZ90" s="179" t="str">
        <f t="shared" si="451"/>
        <v>2H35E</v>
      </c>
      <c r="FA90" s="1064" t="str">
        <f t="shared" si="451"/>
        <v>FY35E</v>
      </c>
      <c r="FF90" s="35"/>
      <c r="FG90" s="35"/>
      <c r="FH90" s="35"/>
      <c r="FI90" s="35"/>
      <c r="FJ90" s="35"/>
      <c r="FK90" s="35"/>
      <c r="FL90" s="35"/>
      <c r="FM90" s="35"/>
      <c r="FN90" s="35"/>
      <c r="FO90" s="35"/>
      <c r="FP90" s="35"/>
      <c r="FQ90" s="35"/>
    </row>
    <row r="91" spans="1:173" ht="13.35" customHeight="1">
      <c r="B91" s="186" t="s">
        <v>316</v>
      </c>
      <c r="D91" s="926"/>
      <c r="K91" s="186"/>
      <c r="BA91" s="35"/>
      <c r="BB91" s="35"/>
      <c r="BD91" s="171"/>
      <c r="BE91" s="171"/>
      <c r="BG91" s="171"/>
      <c r="BH91" s="171"/>
      <c r="BJ91" s="171"/>
      <c r="BK91" s="171"/>
      <c r="BL91" s="962"/>
      <c r="BM91" s="171"/>
      <c r="BN91" s="171"/>
      <c r="BO91" s="31"/>
      <c r="BP91" s="171"/>
      <c r="BQ91" s="171"/>
      <c r="BR91" s="962"/>
      <c r="BS91" s="171"/>
      <c r="BT91" s="171"/>
      <c r="BU91" s="171"/>
      <c r="BV91" s="171"/>
      <c r="BW91" s="171"/>
      <c r="BX91" s="171"/>
      <c r="BY91" s="171"/>
      <c r="BZ91" s="171"/>
      <c r="CA91" s="171"/>
      <c r="CB91" s="171"/>
      <c r="CC91" s="171"/>
      <c r="CD91" s="171"/>
      <c r="CE91" s="171"/>
      <c r="CF91" s="171"/>
      <c r="CG91" s="171"/>
      <c r="CH91" s="171"/>
      <c r="CI91" s="171"/>
      <c r="CJ91" s="171"/>
      <c r="CK91" s="171"/>
      <c r="CL91" s="171"/>
      <c r="CM91" s="171"/>
      <c r="CN91" s="171"/>
      <c r="CO91" s="171"/>
      <c r="CP91" s="171"/>
      <c r="CQ91" s="171"/>
      <c r="CR91" s="171"/>
      <c r="CS91" s="171"/>
      <c r="CT91" s="171"/>
      <c r="CU91" s="171"/>
      <c r="CV91" s="171"/>
      <c r="CW91" s="171"/>
      <c r="CX91" s="171"/>
      <c r="CY91" s="171"/>
      <c r="CZ91" s="171"/>
      <c r="DA91" s="171"/>
      <c r="DB91" s="171"/>
      <c r="DC91" s="171"/>
      <c r="DD91" s="171"/>
      <c r="DE91" s="171"/>
      <c r="DF91" s="171"/>
      <c r="DG91" s="171"/>
      <c r="DH91" s="1068">
        <f>+DH420/DH$426</f>
        <v>0.48033563491897446</v>
      </c>
      <c r="DI91" s="171">
        <f t="shared" ref="DI91:DT91" si="452">+DI420/DI$426</f>
        <v>0.50578890683898758</v>
      </c>
      <c r="DJ91" s="171">
        <f t="shared" si="452"/>
        <v>0.46515656229180541</v>
      </c>
      <c r="DK91" s="1068">
        <f t="shared" si="452"/>
        <v>0.48536797696377149</v>
      </c>
      <c r="DL91" s="171">
        <f t="shared" si="452"/>
        <v>0.47638905924199676</v>
      </c>
      <c r="DM91" s="171">
        <f t="shared" si="452"/>
        <v>0.47384354565270054</v>
      </c>
      <c r="DN91" s="1068">
        <f t="shared" si="452"/>
        <v>0.47510815916153804</v>
      </c>
      <c r="DO91" s="171">
        <f t="shared" si="452"/>
        <v>0.49815084612798383</v>
      </c>
      <c r="DP91" s="171">
        <f t="shared" si="452"/>
        <v>0.50197479781831855</v>
      </c>
      <c r="DQ91" s="1068">
        <f t="shared" si="452"/>
        <v>0.50023009664058893</v>
      </c>
      <c r="DR91" s="171">
        <f t="shared" si="452"/>
        <v>0.52577689958685103</v>
      </c>
      <c r="DS91" s="171">
        <f t="shared" si="452"/>
        <v>0.48506289308176098</v>
      </c>
      <c r="DT91" s="1068">
        <f t="shared" si="452"/>
        <v>0.50513683464706394</v>
      </c>
      <c r="DU91" s="171">
        <f t="shared" ref="DU91:ER91" si="453">+DU420/DU$426</f>
        <v>0.49636721087272417</v>
      </c>
      <c r="DV91" s="171">
        <f t="shared" si="453"/>
        <v>0.46934817438232562</v>
      </c>
      <c r="DW91" s="1068">
        <f t="shared" si="453"/>
        <v>0.48276593938364881</v>
      </c>
      <c r="DX91" s="171">
        <f>+DX420/DX$426</f>
        <v>0.50722789115646261</v>
      </c>
      <c r="DY91" s="171">
        <f t="shared" si="453"/>
        <v>0.44616970461247429</v>
      </c>
      <c r="DZ91" s="1068">
        <f t="shared" si="453"/>
        <v>0.47473873114879639</v>
      </c>
      <c r="EA91" s="171">
        <f t="shared" si="453"/>
        <v>0.49680615645853388</v>
      </c>
      <c r="EB91" s="171">
        <f t="shared" si="453"/>
        <v>0.44616519518329451</v>
      </c>
      <c r="EC91" s="1068">
        <f t="shared" si="453"/>
        <v>0.47110012624855979</v>
      </c>
      <c r="ED91" s="171">
        <f t="shared" si="453"/>
        <v>0.49680231447430256</v>
      </c>
      <c r="EE91" s="171">
        <f t="shared" si="453"/>
        <v>0.44616111323535179</v>
      </c>
      <c r="EF91" s="1068">
        <f t="shared" si="453"/>
        <v>0.47109605971348822</v>
      </c>
      <c r="EG91" s="171">
        <f t="shared" si="453"/>
        <v>0.49680231447430262</v>
      </c>
      <c r="EH91" s="171">
        <f t="shared" si="453"/>
        <v>0.4461611132353519</v>
      </c>
      <c r="EI91" s="1068">
        <f t="shared" si="453"/>
        <v>0.47109605971348828</v>
      </c>
      <c r="EJ91" s="171">
        <f t="shared" si="453"/>
        <v>0.49680231447430262</v>
      </c>
      <c r="EK91" s="171">
        <f t="shared" si="453"/>
        <v>0.44616111323535185</v>
      </c>
      <c r="EL91" s="1068">
        <f t="shared" si="453"/>
        <v>0.47109605971348828</v>
      </c>
      <c r="EM91" s="171">
        <f t="shared" si="453"/>
        <v>0.49680231447430262</v>
      </c>
      <c r="EN91" s="171">
        <f t="shared" si="453"/>
        <v>0.4461611132353519</v>
      </c>
      <c r="EO91" s="1068">
        <f t="shared" si="453"/>
        <v>0.47109605971348817</v>
      </c>
      <c r="EP91" s="171">
        <f t="shared" si="453"/>
        <v>0.49680231447430262</v>
      </c>
      <c r="EQ91" s="171">
        <f t="shared" si="453"/>
        <v>0.44616111323535179</v>
      </c>
      <c r="ER91" s="1068">
        <f t="shared" si="453"/>
        <v>0.47109605971348817</v>
      </c>
      <c r="ES91" s="171">
        <f t="shared" ref="ES91:EX91" si="454">+ES420/ES$426</f>
        <v>0.49680231447430262</v>
      </c>
      <c r="ET91" s="171">
        <f t="shared" si="454"/>
        <v>0.44616111323535185</v>
      </c>
      <c r="EU91" s="1068">
        <f t="shared" si="454"/>
        <v>0.47109605971348822</v>
      </c>
      <c r="EV91" s="171">
        <f t="shared" si="454"/>
        <v>0.49680231447430251</v>
      </c>
      <c r="EW91" s="171">
        <f t="shared" si="454"/>
        <v>0.44616111323535185</v>
      </c>
      <c r="EX91" s="1068">
        <f t="shared" si="454"/>
        <v>0.47109605971348817</v>
      </c>
      <c r="EY91" s="171">
        <f t="shared" ref="EY91:FA91" si="455">+EY420/EY$426</f>
        <v>0.49680231447430262</v>
      </c>
      <c r="EZ91" s="171">
        <f t="shared" si="455"/>
        <v>0.44616111323535185</v>
      </c>
      <c r="FA91" s="1068">
        <f t="shared" si="455"/>
        <v>0.47109605971348822</v>
      </c>
    </row>
    <row r="92" spans="1:173" ht="13.35" customHeight="1">
      <c r="B92" s="186" t="s">
        <v>317</v>
      </c>
      <c r="C92" s="186"/>
      <c r="D92" s="926"/>
      <c r="K92" s="186"/>
      <c r="BA92" s="35"/>
      <c r="BB92" s="35"/>
      <c r="BD92" s="171"/>
      <c r="BE92" s="171"/>
      <c r="BG92" s="171"/>
      <c r="BH92" s="171"/>
      <c r="BJ92" s="171"/>
      <c r="BK92" s="171"/>
      <c r="BL92" s="962"/>
      <c r="BM92" s="171"/>
      <c r="BN92" s="171"/>
      <c r="BO92" s="31"/>
      <c r="BP92" s="171"/>
      <c r="BQ92" s="171"/>
      <c r="BR92" s="962"/>
      <c r="BS92" s="171"/>
      <c r="BT92" s="171"/>
      <c r="BU92" s="171"/>
      <c r="BV92" s="171"/>
      <c r="BW92" s="171"/>
      <c r="BX92" s="171"/>
      <c r="BY92" s="171"/>
      <c r="BZ92" s="171"/>
      <c r="CA92" s="171"/>
      <c r="CB92" s="171"/>
      <c r="CC92" s="171"/>
      <c r="CD92" s="171"/>
      <c r="CE92" s="171"/>
      <c r="CF92" s="171"/>
      <c r="CG92" s="171"/>
      <c r="CH92" s="171"/>
      <c r="CI92" s="171"/>
      <c r="CJ92" s="171"/>
      <c r="CK92" s="171"/>
      <c r="CL92" s="171"/>
      <c r="CM92" s="171"/>
      <c r="CN92" s="171"/>
      <c r="CO92" s="171"/>
      <c r="CP92" s="171"/>
      <c r="CQ92" s="171"/>
      <c r="CR92" s="171"/>
      <c r="CS92" s="171"/>
      <c r="CT92" s="171"/>
      <c r="CU92" s="171"/>
      <c r="CV92" s="171"/>
      <c r="CW92" s="171"/>
      <c r="CX92" s="171"/>
      <c r="CY92" s="171"/>
      <c r="CZ92" s="171"/>
      <c r="DA92" s="171"/>
      <c r="DB92" s="171"/>
      <c r="DC92" s="171"/>
      <c r="DD92" s="171"/>
      <c r="DE92" s="171"/>
      <c r="DF92" s="171"/>
      <c r="DG92" s="171"/>
      <c r="DH92" s="1068">
        <f>+DH422/DH$426</f>
        <v>0.35548851344753779</v>
      </c>
      <c r="DI92" s="171">
        <f t="shared" ref="DI92:DT92" si="456">+DI422/DI$426</f>
        <v>0.31987075928917608</v>
      </c>
      <c r="DJ92" s="171">
        <f t="shared" si="456"/>
        <v>0.37321785476349106</v>
      </c>
      <c r="DK92" s="1068">
        <f t="shared" si="456"/>
        <v>0.34668184557691023</v>
      </c>
      <c r="DL92" s="171">
        <f t="shared" si="456"/>
        <v>0.35177235373482152</v>
      </c>
      <c r="DM92" s="171">
        <f t="shared" si="456"/>
        <v>0.35323322838459675</v>
      </c>
      <c r="DN92" s="1068">
        <f t="shared" si="456"/>
        <v>0.35250746450551462</v>
      </c>
      <c r="DO92" s="171">
        <f t="shared" si="456"/>
        <v>0.32130449400425865</v>
      </c>
      <c r="DP92" s="171">
        <f t="shared" si="456"/>
        <v>0.33167199548617637</v>
      </c>
      <c r="DQ92" s="1068">
        <f t="shared" si="456"/>
        <v>0.3269417599836375</v>
      </c>
      <c r="DR92" s="171">
        <f t="shared" si="456"/>
        <v>0.31659780851446018</v>
      </c>
      <c r="DS92" s="171">
        <f t="shared" si="456"/>
        <v>0.34337875611460511</v>
      </c>
      <c r="DT92" s="1068">
        <f t="shared" si="456"/>
        <v>0.33017447524577093</v>
      </c>
      <c r="DU92" s="171">
        <f t="shared" ref="DU92:ER92" si="457">+DU422/DU$426</f>
        <v>0.30788956321053079</v>
      </c>
      <c r="DV92" s="171">
        <f t="shared" si="457"/>
        <v>0.3621721898979679</v>
      </c>
      <c r="DW92" s="1068">
        <f t="shared" si="457"/>
        <v>0.33521521351557859</v>
      </c>
      <c r="DX92" s="171">
        <f t="shared" si="457"/>
        <v>0.31607142857142856</v>
      </c>
      <c r="DY92" s="171">
        <f t="shared" si="457"/>
        <v>0.37371415515049305</v>
      </c>
      <c r="DZ92" s="1068">
        <f t="shared" si="457"/>
        <v>0.34674321679684827</v>
      </c>
      <c r="EA92" s="171">
        <f t="shared" si="457"/>
        <v>0.31492798036142289</v>
      </c>
      <c r="EB92" s="171">
        <f t="shared" si="457"/>
        <v>0.37372048501026267</v>
      </c>
      <c r="EC92" s="1068">
        <f t="shared" si="457"/>
        <v>0.3447718431666511</v>
      </c>
      <c r="ED92" s="171">
        <f t="shared" si="457"/>
        <v>0.31493327827462808</v>
      </c>
      <c r="EE92" s="171">
        <f t="shared" si="457"/>
        <v>0.37372621481708163</v>
      </c>
      <c r="EF92" s="1068">
        <f t="shared" si="457"/>
        <v>0.34477747959531574</v>
      </c>
      <c r="EG92" s="171">
        <f t="shared" si="457"/>
        <v>0.31493327827462814</v>
      </c>
      <c r="EH92" s="171">
        <f t="shared" si="457"/>
        <v>0.37372621481708168</v>
      </c>
      <c r="EI92" s="1068">
        <f t="shared" si="457"/>
        <v>0.34477747959531585</v>
      </c>
      <c r="EJ92" s="171">
        <f t="shared" si="457"/>
        <v>0.31493327827462814</v>
      </c>
      <c r="EK92" s="171">
        <f t="shared" si="457"/>
        <v>0.37372621481708163</v>
      </c>
      <c r="EL92" s="1068">
        <f t="shared" si="457"/>
        <v>0.34477747959531585</v>
      </c>
      <c r="EM92" s="171">
        <f t="shared" si="457"/>
        <v>0.31493327827462808</v>
      </c>
      <c r="EN92" s="171">
        <f t="shared" si="457"/>
        <v>0.37372621481708168</v>
      </c>
      <c r="EO92" s="1068">
        <f t="shared" si="457"/>
        <v>0.34477747959531574</v>
      </c>
      <c r="EP92" s="171">
        <f t="shared" si="457"/>
        <v>0.31493327827462814</v>
      </c>
      <c r="EQ92" s="171">
        <f t="shared" si="457"/>
        <v>0.37372621481708168</v>
      </c>
      <c r="ER92" s="1068">
        <f t="shared" si="457"/>
        <v>0.34477747959531585</v>
      </c>
      <c r="ES92" s="171">
        <f t="shared" ref="ES92:EX92" si="458">+ES422/ES$426</f>
        <v>0.31493327827462814</v>
      </c>
      <c r="ET92" s="171">
        <f t="shared" si="458"/>
        <v>0.37372621481708168</v>
      </c>
      <c r="EU92" s="1068">
        <f t="shared" si="458"/>
        <v>0.34477747959531579</v>
      </c>
      <c r="EV92" s="171">
        <f t="shared" si="458"/>
        <v>0.31493327827462814</v>
      </c>
      <c r="EW92" s="171">
        <f t="shared" si="458"/>
        <v>0.37372621481708168</v>
      </c>
      <c r="EX92" s="1068">
        <f t="shared" si="458"/>
        <v>0.34477747959531574</v>
      </c>
      <c r="EY92" s="171">
        <f t="shared" ref="EY92:FA92" si="459">+EY422/EY$426</f>
        <v>0.31493327827462819</v>
      </c>
      <c r="EZ92" s="171">
        <f t="shared" si="459"/>
        <v>0.37372621481708163</v>
      </c>
      <c r="FA92" s="1068">
        <f t="shared" si="459"/>
        <v>0.34477747959531579</v>
      </c>
    </row>
    <row r="93" spans="1:173" ht="13.35" customHeight="1">
      <c r="B93" s="186" t="s">
        <v>948</v>
      </c>
      <c r="C93" s="186"/>
      <c r="D93" s="926"/>
      <c r="K93" s="186"/>
      <c r="BA93" s="35"/>
      <c r="BB93" s="35"/>
      <c r="BD93" s="171"/>
      <c r="BE93" s="171"/>
      <c r="BG93" s="171"/>
      <c r="BH93" s="171"/>
      <c r="BJ93" s="171"/>
      <c r="BK93" s="171"/>
      <c r="BL93" s="962"/>
      <c r="BM93" s="171"/>
      <c r="BN93" s="171"/>
      <c r="BO93" s="31"/>
      <c r="BP93" s="171"/>
      <c r="BQ93" s="171"/>
      <c r="BR93" s="962"/>
      <c r="BS93" s="171"/>
      <c r="BT93" s="171"/>
      <c r="BU93" s="171"/>
      <c r="BV93" s="171"/>
      <c r="BW93" s="171"/>
      <c r="BX93" s="171"/>
      <c r="BY93" s="171"/>
      <c r="BZ93" s="171"/>
      <c r="CA93" s="171"/>
      <c r="CB93" s="171"/>
      <c r="CC93" s="171"/>
      <c r="CD93" s="171"/>
      <c r="CE93" s="171"/>
      <c r="CF93" s="171"/>
      <c r="CG93" s="171"/>
      <c r="CH93" s="171"/>
      <c r="CI93" s="171"/>
      <c r="CJ93" s="171"/>
      <c r="CK93" s="171"/>
      <c r="CL93" s="171"/>
      <c r="CM93" s="171"/>
      <c r="CN93" s="171"/>
      <c r="CO93" s="171"/>
      <c r="CP93" s="171"/>
      <c r="CQ93" s="171"/>
      <c r="CR93" s="171"/>
      <c r="CS93" s="171"/>
      <c r="CT93" s="171"/>
      <c r="CU93" s="171"/>
      <c r="CV93" s="171"/>
      <c r="CW93" s="171"/>
      <c r="CX93" s="171"/>
      <c r="CY93" s="171"/>
      <c r="CZ93" s="171"/>
      <c r="DA93" s="171"/>
      <c r="DB93" s="171"/>
      <c r="DC93" s="171"/>
      <c r="DD93" s="171"/>
      <c r="DE93" s="171"/>
      <c r="DF93" s="171"/>
      <c r="DG93" s="171"/>
      <c r="DH93" s="1068">
        <f>+DH424/DH$426</f>
        <v>0.16417585163348769</v>
      </c>
      <c r="DI93" s="171">
        <f t="shared" ref="DI93:DT93" si="460">+DI424/DI$426</f>
        <v>0.17434033387183631</v>
      </c>
      <c r="DJ93" s="171">
        <f t="shared" si="460"/>
        <v>0.16162558294470356</v>
      </c>
      <c r="DK93" s="1068">
        <f t="shared" si="460"/>
        <v>0.16795017745931831</v>
      </c>
      <c r="DL93" s="171">
        <f t="shared" si="460"/>
        <v>0.17183858702318164</v>
      </c>
      <c r="DM93" s="171">
        <f t="shared" si="460"/>
        <v>0.17292322596270282</v>
      </c>
      <c r="DN93" s="1068">
        <f t="shared" si="460"/>
        <v>0.1723843763329474</v>
      </c>
      <c r="DO93" s="171">
        <f t="shared" si="460"/>
        <v>0.18054465986775747</v>
      </c>
      <c r="DP93" s="171">
        <f t="shared" si="460"/>
        <v>0.16635320669550496</v>
      </c>
      <c r="DQ93" s="1068">
        <f t="shared" si="460"/>
        <v>0.17282814337577335</v>
      </c>
      <c r="DR93" s="171">
        <f t="shared" si="460"/>
        <v>0.15762529189868868</v>
      </c>
      <c r="DS93" s="171">
        <f t="shared" si="460"/>
        <v>0.17155835080363377</v>
      </c>
      <c r="DT93" s="1068">
        <f t="shared" si="460"/>
        <v>0.16468869010716497</v>
      </c>
      <c r="DU93" s="171">
        <f t="shared" ref="DU93:ER93" si="461">+DU424/DU$426</f>
        <v>0.19574322591674501</v>
      </c>
      <c r="DV93" s="171">
        <f t="shared" si="461"/>
        <v>0.16847963571970659</v>
      </c>
      <c r="DW93" s="1068">
        <f t="shared" si="461"/>
        <v>0.18201884710077254</v>
      </c>
      <c r="DX93" s="171">
        <f t="shared" si="461"/>
        <v>0.17670068027210886</v>
      </c>
      <c r="DY93" s="171">
        <f t="shared" si="461"/>
        <v>0.18011614023703265</v>
      </c>
      <c r="DZ93" s="1068">
        <f t="shared" si="461"/>
        <v>0.17851805205435536</v>
      </c>
      <c r="EA93" s="171">
        <f t="shared" si="461"/>
        <v>0.18826586318004318</v>
      </c>
      <c r="EB93" s="171">
        <f t="shared" si="461"/>
        <v>0.18011431980644282</v>
      </c>
      <c r="EC93" s="1068">
        <f t="shared" si="461"/>
        <v>0.1841280305847891</v>
      </c>
      <c r="ED93" s="171">
        <f t="shared" si="461"/>
        <v>0.18826440725106927</v>
      </c>
      <c r="EE93" s="171">
        <f t="shared" si="461"/>
        <v>0.1801126719475665</v>
      </c>
      <c r="EF93" s="1068">
        <f t="shared" si="461"/>
        <v>0.18412646069119598</v>
      </c>
      <c r="EG93" s="171">
        <f t="shared" si="461"/>
        <v>0.1882644072510693</v>
      </c>
      <c r="EH93" s="171">
        <f t="shared" si="461"/>
        <v>0.1801126719475665</v>
      </c>
      <c r="EI93" s="1068">
        <f t="shared" si="461"/>
        <v>0.18412646069119598</v>
      </c>
      <c r="EJ93" s="171">
        <f t="shared" si="461"/>
        <v>0.1882644072510693</v>
      </c>
      <c r="EK93" s="171">
        <f t="shared" si="461"/>
        <v>0.18011267194756647</v>
      </c>
      <c r="EL93" s="1068">
        <f t="shared" si="461"/>
        <v>0.18412646069119601</v>
      </c>
      <c r="EM93" s="171">
        <f t="shared" si="461"/>
        <v>0.1882644072510693</v>
      </c>
      <c r="EN93" s="171">
        <f t="shared" si="461"/>
        <v>0.1801126719475665</v>
      </c>
      <c r="EO93" s="1068">
        <f t="shared" si="461"/>
        <v>0.18412646069119601</v>
      </c>
      <c r="EP93" s="171">
        <f t="shared" si="461"/>
        <v>0.18826440725106933</v>
      </c>
      <c r="EQ93" s="171">
        <f t="shared" si="461"/>
        <v>0.18011267194756647</v>
      </c>
      <c r="ER93" s="1068">
        <f t="shared" si="461"/>
        <v>0.18412646069119601</v>
      </c>
      <c r="ES93" s="171">
        <f t="shared" ref="ES93:EX93" si="462">+ES424/ES$426</f>
        <v>0.18826440725106933</v>
      </c>
      <c r="ET93" s="171">
        <f t="shared" si="462"/>
        <v>0.18011267194756647</v>
      </c>
      <c r="EU93" s="1068">
        <f t="shared" si="462"/>
        <v>0.18412646069119601</v>
      </c>
      <c r="EV93" s="171">
        <f t="shared" si="462"/>
        <v>0.1882644072510693</v>
      </c>
      <c r="EW93" s="171">
        <f t="shared" si="462"/>
        <v>0.1801126719475665</v>
      </c>
      <c r="EX93" s="1068">
        <f t="shared" si="462"/>
        <v>0.18412646069119598</v>
      </c>
      <c r="EY93" s="171">
        <f t="shared" ref="EY93:FA93" si="463">+EY424/EY$426</f>
        <v>0.1882644072510693</v>
      </c>
      <c r="EZ93" s="171">
        <f t="shared" si="463"/>
        <v>0.18011267194756642</v>
      </c>
      <c r="FA93" s="1068">
        <f t="shared" si="463"/>
        <v>0.18412646069119598</v>
      </c>
    </row>
    <row r="94" spans="1:173" ht="13.35" customHeight="1">
      <c r="B94" s="186"/>
      <c r="C94" s="186"/>
      <c r="D94" s="926"/>
      <c r="K94" s="186"/>
      <c r="BA94" s="35"/>
      <c r="BB94" s="35"/>
      <c r="BD94" s="171"/>
      <c r="BE94" s="171"/>
      <c r="BG94" s="171"/>
      <c r="BH94" s="171"/>
      <c r="BJ94" s="171"/>
      <c r="BK94" s="171"/>
      <c r="BL94" s="962"/>
      <c r="BM94" s="171"/>
      <c r="BN94" s="171"/>
      <c r="BO94" s="31"/>
      <c r="BP94" s="171"/>
      <c r="BQ94" s="171"/>
      <c r="BR94" s="962"/>
      <c r="BS94" s="171"/>
      <c r="BT94" s="171"/>
      <c r="BU94" s="171"/>
      <c r="BV94" s="171"/>
      <c r="BW94" s="171"/>
      <c r="BX94" s="171"/>
      <c r="BY94" s="171"/>
      <c r="BZ94" s="171"/>
      <c r="CA94" s="171"/>
      <c r="CB94" s="171"/>
      <c r="CC94" s="171"/>
      <c r="CD94" s="171"/>
      <c r="CE94" s="171"/>
      <c r="CF94" s="171"/>
      <c r="CG94" s="171"/>
      <c r="CH94" s="171"/>
      <c r="CI94" s="171"/>
      <c r="CJ94" s="171"/>
      <c r="CK94" s="171"/>
      <c r="CL94" s="171"/>
      <c r="CM94" s="171"/>
      <c r="CN94" s="171"/>
      <c r="CO94" s="171"/>
      <c r="CP94" s="171"/>
      <c r="CQ94" s="171"/>
      <c r="CR94" s="171"/>
      <c r="CS94" s="171"/>
      <c r="CT94" s="171"/>
      <c r="CU94" s="171"/>
      <c r="CV94" s="171"/>
      <c r="CW94" s="171"/>
      <c r="CX94" s="171"/>
      <c r="CY94" s="171"/>
      <c r="CZ94" s="171"/>
      <c r="DA94" s="171"/>
      <c r="DB94" s="171"/>
      <c r="DC94" s="171"/>
      <c r="DD94" s="171"/>
      <c r="DE94" s="171"/>
      <c r="DF94" s="171"/>
      <c r="DG94" s="171"/>
      <c r="DH94" s="1067"/>
      <c r="DI94" s="171"/>
      <c r="DJ94" s="171"/>
      <c r="DK94" s="1068"/>
      <c r="DL94" s="171"/>
      <c r="DM94" s="171"/>
      <c r="DN94" s="1068"/>
      <c r="DO94" s="171"/>
      <c r="DP94" s="171"/>
      <c r="DQ94" s="1068"/>
      <c r="DR94" s="171"/>
      <c r="DS94" s="171"/>
      <c r="DT94" s="1068"/>
      <c r="DU94" s="171"/>
      <c r="DV94" s="171"/>
      <c r="DW94" s="1068"/>
      <c r="DX94" s="171"/>
      <c r="DY94" s="171"/>
      <c r="DZ94" s="1068"/>
      <c r="EA94" s="171"/>
      <c r="EB94" s="171"/>
      <c r="EC94" s="1070"/>
      <c r="ED94" s="171"/>
      <c r="EE94" s="171"/>
      <c r="EF94" s="1068"/>
      <c r="EG94" s="171"/>
      <c r="EH94" s="171"/>
      <c r="EI94" s="1068"/>
      <c r="EJ94" s="171"/>
      <c r="EK94" s="171"/>
      <c r="EL94" s="1068"/>
      <c r="EM94" s="171"/>
      <c r="EN94" s="171"/>
      <c r="EO94" s="1068"/>
      <c r="EP94" s="171"/>
      <c r="EQ94" s="171"/>
      <c r="ER94" s="1068"/>
      <c r="ES94" s="171"/>
      <c r="ET94" s="171"/>
      <c r="EU94" s="1068"/>
      <c r="EV94" s="171"/>
      <c r="EW94" s="171"/>
      <c r="EX94" s="1068"/>
      <c r="EY94" s="171"/>
      <c r="EZ94" s="171"/>
      <c r="FA94" s="1068"/>
    </row>
    <row r="95" spans="1:173">
      <c r="A95" s="1422" t="s">
        <v>124</v>
      </c>
      <c r="B95" s="445"/>
      <c r="C95" s="445"/>
      <c r="D95" s="960"/>
      <c r="E95" s="445"/>
      <c r="F95" s="445"/>
      <c r="G95" s="445"/>
      <c r="H95" s="445"/>
      <c r="I95" s="445"/>
      <c r="J95" s="445"/>
      <c r="K95" s="445"/>
      <c r="L95" s="445"/>
      <c r="M95" s="445"/>
      <c r="N95" s="445"/>
      <c r="O95" s="445"/>
      <c r="P95" s="445"/>
      <c r="Q95" s="445"/>
      <c r="R95" s="445"/>
      <c r="S95" s="445"/>
      <c r="T95" s="445"/>
      <c r="U95" s="445"/>
      <c r="V95" s="445"/>
      <c r="W95" s="445"/>
      <c r="X95" s="445"/>
      <c r="Y95" s="445"/>
      <c r="Z95" s="445"/>
      <c r="AA95" s="445"/>
      <c r="AB95" s="445"/>
      <c r="AC95" s="445"/>
      <c r="AD95" s="445"/>
      <c r="AE95" s="445"/>
      <c r="AF95" s="445"/>
      <c r="AG95" s="445"/>
      <c r="AH95" s="445"/>
      <c r="AI95" s="445"/>
      <c r="AJ95" s="445"/>
      <c r="AK95" s="445"/>
      <c r="AL95" s="445"/>
      <c r="AM95" s="445"/>
      <c r="AN95" s="445"/>
      <c r="AO95" s="445"/>
      <c r="AP95" s="445"/>
      <c r="AQ95" s="445"/>
      <c r="AR95" s="445"/>
      <c r="AS95" s="445"/>
      <c r="AT95" s="445"/>
      <c r="AU95" s="445"/>
      <c r="AV95" s="445"/>
      <c r="AW95" s="445"/>
      <c r="AX95" s="445"/>
      <c r="AY95" s="445"/>
      <c r="AZ95" s="445"/>
      <c r="BA95" s="76" t="str">
        <f t="shared" ref="BA95:CF95" si="464">BA2</f>
        <v>1H01</v>
      </c>
      <c r="BB95" s="76" t="str">
        <f t="shared" si="464"/>
        <v>2H01</v>
      </c>
      <c r="BC95" s="76" t="str">
        <f t="shared" si="464"/>
        <v>FY01</v>
      </c>
      <c r="BD95" s="76" t="str">
        <f t="shared" si="464"/>
        <v>1H02</v>
      </c>
      <c r="BE95" s="76" t="str">
        <f t="shared" si="464"/>
        <v>2H02</v>
      </c>
      <c r="BF95" s="76" t="str">
        <f t="shared" si="464"/>
        <v>FY02</v>
      </c>
      <c r="BG95" s="76" t="str">
        <f t="shared" si="464"/>
        <v>1H03</v>
      </c>
      <c r="BH95" s="76" t="str">
        <f t="shared" si="464"/>
        <v>2H03</v>
      </c>
      <c r="BI95" s="76" t="str">
        <f t="shared" si="464"/>
        <v>FY03</v>
      </c>
      <c r="BJ95" s="954" t="str">
        <f t="shared" si="464"/>
        <v>1H04</v>
      </c>
      <c r="BK95" s="954" t="str">
        <f t="shared" si="464"/>
        <v>2H04</v>
      </c>
      <c r="BL95" s="954" t="str">
        <f t="shared" si="464"/>
        <v>FY04</v>
      </c>
      <c r="BM95" s="954" t="str">
        <f t="shared" si="464"/>
        <v>1H05</v>
      </c>
      <c r="BN95" s="954" t="str">
        <f t="shared" si="464"/>
        <v>2H05</v>
      </c>
      <c r="BO95" s="954" t="str">
        <f t="shared" si="464"/>
        <v>FY05</v>
      </c>
      <c r="BP95" s="954" t="str">
        <f t="shared" si="464"/>
        <v>1H06</v>
      </c>
      <c r="BQ95" s="954" t="str">
        <f t="shared" si="464"/>
        <v>2H06</v>
      </c>
      <c r="BR95" s="954" t="str">
        <f t="shared" si="464"/>
        <v>FY06</v>
      </c>
      <c r="BS95" s="76" t="str">
        <f t="shared" si="464"/>
        <v>1H07</v>
      </c>
      <c r="BT95" s="76" t="str">
        <f t="shared" si="464"/>
        <v>2H07</v>
      </c>
      <c r="BU95" s="76" t="str">
        <f t="shared" si="464"/>
        <v>FY07</v>
      </c>
      <c r="BV95" s="76" t="str">
        <f t="shared" si="464"/>
        <v>1H08</v>
      </c>
      <c r="BW95" s="76" t="str">
        <f t="shared" si="464"/>
        <v>2H08</v>
      </c>
      <c r="BX95" s="76" t="str">
        <f t="shared" si="464"/>
        <v>FY08</v>
      </c>
      <c r="BY95" s="76" t="str">
        <f t="shared" si="464"/>
        <v>1H09</v>
      </c>
      <c r="BZ95" s="76" t="str">
        <f t="shared" si="464"/>
        <v>2H09</v>
      </c>
      <c r="CA95" s="76" t="str">
        <f t="shared" si="464"/>
        <v>FY09</v>
      </c>
      <c r="CB95" s="76" t="str">
        <f t="shared" si="464"/>
        <v>1H10</v>
      </c>
      <c r="CC95" s="76" t="str">
        <f t="shared" si="464"/>
        <v>2H10</v>
      </c>
      <c r="CD95" s="76" t="str">
        <f t="shared" si="464"/>
        <v>FY10</v>
      </c>
      <c r="CE95" s="76" t="str">
        <f t="shared" si="464"/>
        <v>1H11</v>
      </c>
      <c r="CF95" s="76" t="str">
        <f t="shared" si="464"/>
        <v>2H11</v>
      </c>
      <c r="CG95" s="76" t="str">
        <f t="shared" ref="CG95:DL95" si="465">CG2</f>
        <v>FY11</v>
      </c>
      <c r="CH95" s="76" t="str">
        <f t="shared" si="465"/>
        <v>1H12</v>
      </c>
      <c r="CI95" s="76" t="str">
        <f t="shared" si="465"/>
        <v>2H12</v>
      </c>
      <c r="CJ95" s="76" t="str">
        <f t="shared" si="465"/>
        <v>FY12</v>
      </c>
      <c r="CK95" s="76" t="str">
        <f t="shared" si="465"/>
        <v>1H13</v>
      </c>
      <c r="CL95" s="76" t="str">
        <f t="shared" si="465"/>
        <v>2H13</v>
      </c>
      <c r="CM95" s="76" t="str">
        <f t="shared" si="465"/>
        <v>FY13</v>
      </c>
      <c r="CN95" s="76" t="str">
        <f t="shared" si="465"/>
        <v>1H14</v>
      </c>
      <c r="CO95" s="76" t="str">
        <f t="shared" si="465"/>
        <v>2H14</v>
      </c>
      <c r="CP95" s="76" t="str">
        <f t="shared" si="465"/>
        <v>FY14</v>
      </c>
      <c r="CQ95" s="76" t="str">
        <f t="shared" si="465"/>
        <v>1H15</v>
      </c>
      <c r="CR95" s="76" t="str">
        <f t="shared" si="465"/>
        <v>2H15</v>
      </c>
      <c r="CS95" s="76" t="str">
        <f t="shared" si="465"/>
        <v>FY15</v>
      </c>
      <c r="CT95" s="76" t="str">
        <f t="shared" si="465"/>
        <v>1H16</v>
      </c>
      <c r="CU95" s="76" t="str">
        <f t="shared" si="465"/>
        <v>2H16</v>
      </c>
      <c r="CV95" s="76" t="str">
        <f t="shared" si="465"/>
        <v>FY16</v>
      </c>
      <c r="CW95" s="76" t="str">
        <f t="shared" si="465"/>
        <v>1H17</v>
      </c>
      <c r="CX95" s="76" t="str">
        <f t="shared" si="465"/>
        <v>2H17</v>
      </c>
      <c r="CY95" s="76" t="str">
        <f t="shared" si="465"/>
        <v>FY17</v>
      </c>
      <c r="CZ95" s="76" t="str">
        <f t="shared" si="465"/>
        <v>1H18</v>
      </c>
      <c r="DA95" s="76" t="str">
        <f t="shared" si="465"/>
        <v>2H18</v>
      </c>
      <c r="DB95" s="76" t="str">
        <f t="shared" si="465"/>
        <v>FY18</v>
      </c>
      <c r="DC95" s="76" t="str">
        <f t="shared" si="465"/>
        <v>1H19</v>
      </c>
      <c r="DD95" s="76" t="str">
        <f t="shared" si="465"/>
        <v>2H19</v>
      </c>
      <c r="DE95" s="76" t="str">
        <f t="shared" si="465"/>
        <v>FY19</v>
      </c>
      <c r="DF95" s="76" t="str">
        <f t="shared" si="465"/>
        <v>1H20</v>
      </c>
      <c r="DG95" s="76" t="str">
        <f t="shared" si="465"/>
        <v>2H20</v>
      </c>
      <c r="DH95" s="1089" t="str">
        <f t="shared" si="465"/>
        <v>FY20</v>
      </c>
      <c r="DI95" s="76" t="str">
        <f t="shared" si="465"/>
        <v>1H21</v>
      </c>
      <c r="DJ95" s="76" t="str">
        <f t="shared" si="465"/>
        <v>2H21</v>
      </c>
      <c r="DK95" s="1089" t="str">
        <f t="shared" si="465"/>
        <v>FY21</v>
      </c>
      <c r="DL95" s="76" t="str">
        <f t="shared" si="465"/>
        <v>1H22</v>
      </c>
      <c r="DM95" s="76" t="str">
        <f t="shared" ref="DM95:ER95" si="466">DM2</f>
        <v>2H22</v>
      </c>
      <c r="DN95" s="1089" t="str">
        <f t="shared" si="466"/>
        <v>FY22</v>
      </c>
      <c r="DO95" s="76" t="str">
        <f t="shared" si="466"/>
        <v>1H23</v>
      </c>
      <c r="DP95" s="76" t="str">
        <f t="shared" si="466"/>
        <v>2H23</v>
      </c>
      <c r="DQ95" s="1089" t="str">
        <f t="shared" si="466"/>
        <v>FY23</v>
      </c>
      <c r="DR95" s="76" t="str">
        <f t="shared" si="466"/>
        <v>1H24</v>
      </c>
      <c r="DS95" s="76" t="str">
        <f t="shared" si="466"/>
        <v>2H24</v>
      </c>
      <c r="DT95" s="1089" t="str">
        <f t="shared" si="466"/>
        <v>FY24</v>
      </c>
      <c r="DU95" s="76" t="str">
        <f t="shared" si="466"/>
        <v>1H25</v>
      </c>
      <c r="DV95" s="76" t="str">
        <f t="shared" si="466"/>
        <v>2H25</v>
      </c>
      <c r="DW95" s="1089" t="str">
        <f t="shared" si="466"/>
        <v>FY25</v>
      </c>
      <c r="DX95" s="76" t="str">
        <f t="shared" si="466"/>
        <v>1H26</v>
      </c>
      <c r="DY95" s="76" t="str">
        <f t="shared" si="466"/>
        <v>2H26E</v>
      </c>
      <c r="DZ95" s="1089" t="str">
        <f t="shared" si="466"/>
        <v>FY26E</v>
      </c>
      <c r="EA95" s="76" t="str">
        <f t="shared" si="466"/>
        <v>1H27E</v>
      </c>
      <c r="EB95" s="76" t="str">
        <f t="shared" si="466"/>
        <v>2H27E</v>
      </c>
      <c r="EC95" s="1089" t="str">
        <f t="shared" si="466"/>
        <v>FY27E</v>
      </c>
      <c r="ED95" s="76" t="str">
        <f t="shared" si="466"/>
        <v>1H28E</v>
      </c>
      <c r="EE95" s="76" t="str">
        <f t="shared" si="466"/>
        <v>2H28E</v>
      </c>
      <c r="EF95" s="1089" t="str">
        <f t="shared" si="466"/>
        <v>FY28E</v>
      </c>
      <c r="EG95" s="76" t="str">
        <f t="shared" si="466"/>
        <v>1H29E</v>
      </c>
      <c r="EH95" s="76" t="str">
        <f t="shared" si="466"/>
        <v>2H29E</v>
      </c>
      <c r="EI95" s="1089" t="str">
        <f t="shared" si="466"/>
        <v>FY29E</v>
      </c>
      <c r="EJ95" s="76" t="str">
        <f t="shared" si="466"/>
        <v>1H30E</v>
      </c>
      <c r="EK95" s="76" t="str">
        <f t="shared" si="466"/>
        <v>2H30E</v>
      </c>
      <c r="EL95" s="1089" t="str">
        <f t="shared" si="466"/>
        <v>FY30E</v>
      </c>
      <c r="EM95" s="76" t="str">
        <f t="shared" si="466"/>
        <v>1H31E</v>
      </c>
      <c r="EN95" s="76" t="str">
        <f t="shared" si="466"/>
        <v>2H31E</v>
      </c>
      <c r="EO95" s="1089" t="str">
        <f t="shared" si="466"/>
        <v>FY31E</v>
      </c>
      <c r="EP95" s="76" t="str">
        <f t="shared" si="466"/>
        <v>1H32E</v>
      </c>
      <c r="EQ95" s="76" t="str">
        <f t="shared" si="466"/>
        <v>2H32E</v>
      </c>
      <c r="ER95" s="1089" t="str">
        <f t="shared" si="466"/>
        <v>FY32E</v>
      </c>
      <c r="ES95" s="76" t="str">
        <f t="shared" ref="ES95:EX95" si="467">ES2</f>
        <v>1H33E</v>
      </c>
      <c r="ET95" s="76" t="str">
        <f t="shared" si="467"/>
        <v>2H33E</v>
      </c>
      <c r="EU95" s="1089" t="str">
        <f t="shared" si="467"/>
        <v>FY33E</v>
      </c>
      <c r="EV95" s="76" t="str">
        <f t="shared" si="467"/>
        <v>1H34E</v>
      </c>
      <c r="EW95" s="76" t="str">
        <f t="shared" si="467"/>
        <v>2H34E</v>
      </c>
      <c r="EX95" s="1089" t="str">
        <f t="shared" si="467"/>
        <v>FY34E</v>
      </c>
      <c r="EY95" s="76" t="str">
        <f t="shared" ref="EY95:FA95" si="468">EY2</f>
        <v>1H35E</v>
      </c>
      <c r="EZ95" s="76" t="str">
        <f t="shared" si="468"/>
        <v>2H35E</v>
      </c>
      <c r="FA95" s="1089" t="str">
        <f t="shared" si="468"/>
        <v>FY35E</v>
      </c>
      <c r="FK95" s="266" t="s">
        <v>1062</v>
      </c>
      <c r="FL95" s="35" t="s">
        <v>943</v>
      </c>
      <c r="FM95" s="35" t="s">
        <v>944</v>
      </c>
      <c r="FN95" s="35" t="s">
        <v>1093</v>
      </c>
      <c r="FO95" s="35" t="s">
        <v>945</v>
      </c>
      <c r="FP95" s="35" t="s">
        <v>946</v>
      </c>
      <c r="FQ95" s="35" t="s">
        <v>1096</v>
      </c>
    </row>
    <row r="96" spans="1:173" s="233" customFormat="1">
      <c r="A96" s="1423" t="s">
        <v>1040</v>
      </c>
      <c r="B96" s="1018" t="s">
        <v>141</v>
      </c>
      <c r="C96" s="1018"/>
      <c r="D96" s="1019" t="s">
        <v>98</v>
      </c>
      <c r="BA96" s="233">
        <v>3072</v>
      </c>
      <c r="BB96" s="233">
        <v>3410</v>
      </c>
      <c r="BC96" s="1020">
        <v>6482</v>
      </c>
      <c r="BD96" s="233">
        <v>3608</v>
      </c>
      <c r="BE96" s="233">
        <v>4237</v>
      </c>
      <c r="BF96" s="246">
        <v>7845</v>
      </c>
      <c r="BG96" s="233">
        <v>4412</v>
      </c>
      <c r="BH96" s="233">
        <v>4916</v>
      </c>
      <c r="BI96" s="246">
        <v>9328</v>
      </c>
      <c r="BJ96" s="233">
        <v>4482.1744499999995</v>
      </c>
      <c r="BK96" s="233">
        <v>4824.2463334601089</v>
      </c>
      <c r="BL96" s="246">
        <v>9306.4207834601075</v>
      </c>
      <c r="BM96" s="233">
        <v>5014.3946105625</v>
      </c>
      <c r="BN96" s="233">
        <v>5787.7886736578039</v>
      </c>
      <c r="BO96" s="246">
        <v>10802.183284220304</v>
      </c>
      <c r="BP96" s="233">
        <v>6519.2775095681254</v>
      </c>
      <c r="BQ96" s="233">
        <v>6381.9826192544733</v>
      </c>
      <c r="BR96" s="246">
        <v>12901.2601288226</v>
      </c>
      <c r="BS96" s="233">
        <v>7938.9664410187133</v>
      </c>
      <c r="BT96" s="233">
        <v>8007.9597543037435</v>
      </c>
      <c r="BU96" s="233">
        <v>15946.926195322456</v>
      </c>
      <c r="BV96" s="233">
        <v>8967.8333262464857</v>
      </c>
      <c r="BW96" s="233">
        <v>9260.0263433575437</v>
      </c>
      <c r="BX96" s="233">
        <v>18227.859669604029</v>
      </c>
      <c r="BY96" s="233">
        <v>9178.3564302221512</v>
      </c>
      <c r="BZ96" s="233">
        <v>9374.1561395621775</v>
      </c>
      <c r="CA96" s="233">
        <v>18552.512569784329</v>
      </c>
      <c r="CB96" s="233">
        <v>9810.6477189115649</v>
      </c>
      <c r="CC96" s="233">
        <v>11212.221960365816</v>
      </c>
      <c r="CD96" s="233">
        <v>21022.869679277381</v>
      </c>
      <c r="CE96" s="233">
        <v>11765</v>
      </c>
      <c r="CF96" s="233">
        <f>SUM(CF99,CF102,CF105)</f>
        <v>12895.999999999998</v>
      </c>
      <c r="CG96" s="233">
        <f>SUM(CE96:CF96)</f>
        <v>24661</v>
      </c>
      <c r="CH96" s="233">
        <f>SUM(CH99,CH102,CH105)</f>
        <v>10724.064029141631</v>
      </c>
      <c r="CI96" s="233">
        <f>SUM(CI99,CI102,CI105)</f>
        <v>12362.935970858371</v>
      </c>
      <c r="CJ96" s="233">
        <f>SUM(CH96:CI96)</f>
        <v>23087</v>
      </c>
      <c r="CK96" s="233">
        <f>SUM(CK99,CK102,CK105)</f>
        <v>13672.000000000004</v>
      </c>
      <c r="CL96" s="233">
        <f>SUM(CL99,CL102,CL105)</f>
        <v>13001.999999999993</v>
      </c>
      <c r="CM96" s="233">
        <f>SUM(CK96:CL96)</f>
        <v>26673.999999999996</v>
      </c>
      <c r="CN96" s="233">
        <f>SUM(CN99,CN102,CN105)</f>
        <v>11711.999999999996</v>
      </c>
      <c r="CO96" s="233">
        <f>SUM(CO99,CO102,CO105)</f>
        <v>14285.000000000004</v>
      </c>
      <c r="CP96" s="233">
        <f>SUM(CN96:CO96)</f>
        <v>25997</v>
      </c>
      <c r="CQ96" s="233">
        <f>SUM(CQ99,CQ102,CQ105)</f>
        <v>11689</v>
      </c>
      <c r="CR96" s="233">
        <f>SUM(CR99,CR102,CR105)</f>
        <v>15149</v>
      </c>
      <c r="CS96" s="233">
        <f>SUM(CQ96:CR96)</f>
        <v>26838</v>
      </c>
      <c r="CT96" s="233">
        <f>SUM(CT99,CT102,CT105)</f>
        <v>14748</v>
      </c>
      <c r="CU96" s="233">
        <f>SUM(CU99,CU102,CU105)</f>
        <v>15423.999999999998</v>
      </c>
      <c r="CV96" s="233">
        <f>SUM(CT96:CU96)</f>
        <v>30172</v>
      </c>
      <c r="CW96" s="233">
        <f>SUM(CW99,CW102,CW105)</f>
        <v>16234</v>
      </c>
      <c r="CX96" s="233">
        <f>SUM(CX99,CX102,CX105)</f>
        <v>16319.999999999998</v>
      </c>
      <c r="CY96" s="233">
        <f>SUM(CW96:CX96)</f>
        <v>32554</v>
      </c>
      <c r="CZ96" s="233">
        <f>SUM(CZ99,CZ102,CZ105)</f>
        <v>15972.000000000009</v>
      </c>
      <c r="DA96" s="233">
        <f>SUM(DA99,DA102,DA105)</f>
        <v>19287.999999999989</v>
      </c>
      <c r="DB96" s="233">
        <f>SUM(CZ96:DA96)</f>
        <v>35260</v>
      </c>
      <c r="DC96" s="233">
        <f>SUM(DC99,DC102,DC105)</f>
        <v>16740</v>
      </c>
      <c r="DD96" s="233">
        <f>SUM(DD99,DD102,DD105)</f>
        <v>17343</v>
      </c>
      <c r="DE96" s="233">
        <f>SUM(DC96:DD96)</f>
        <v>34083</v>
      </c>
      <c r="DF96" s="233">
        <f>SUM(DF99,DF102,DF105)</f>
        <v>18894</v>
      </c>
      <c r="DG96" s="233">
        <f>31662-DF96</f>
        <v>12768</v>
      </c>
      <c r="DH96" s="1122">
        <f>SUM(DF96:DG96)</f>
        <v>31662</v>
      </c>
      <c r="DI96" s="1120">
        <v>17377</v>
      </c>
      <c r="DJ96" s="233">
        <f>+DK96-DI96</f>
        <v>19079</v>
      </c>
      <c r="DK96" s="1122">
        <v>36456</v>
      </c>
      <c r="DL96" s="1120">
        <v>18598</v>
      </c>
      <c r="DM96" s="233">
        <f>+DN96-DL96</f>
        <v>19584</v>
      </c>
      <c r="DN96" s="1122">
        <v>38182</v>
      </c>
      <c r="DO96" s="1120">
        <v>21249</v>
      </c>
      <c r="DP96" s="233">
        <f>+DQ96-DO96</f>
        <v>22907</v>
      </c>
      <c r="DQ96" s="1122">
        <v>44156</v>
      </c>
      <c r="DR96" s="1120">
        <v>24193</v>
      </c>
      <c r="DS96" s="233">
        <f>+DT96-DR96</f>
        <v>23847</v>
      </c>
      <c r="DT96" s="1122">
        <v>48040</v>
      </c>
      <c r="DU96" s="1120">
        <v>25390</v>
      </c>
      <c r="DV96" s="233">
        <f>+DW96-DU96</f>
        <v>28578</v>
      </c>
      <c r="DW96" s="1122">
        <v>53968</v>
      </c>
      <c r="DX96" s="1120">
        <v>27016</v>
      </c>
      <c r="DY96" s="233">
        <f>SUM(DY99,DY102,DY105)</f>
        <v>31435.800000000007</v>
      </c>
      <c r="DZ96" s="1070">
        <f>SUM(DX96:DY96)</f>
        <v>58451.8</v>
      </c>
      <c r="EA96" s="233">
        <f>SUM(EA99,EA102,EA105)</f>
        <v>32419.200000000001</v>
      </c>
      <c r="EB96" s="233">
        <f>SUM(EB99,EB102,EB105)</f>
        <v>33636.306000000011</v>
      </c>
      <c r="EC96" s="1070">
        <f>SUM(EA96:EB96)</f>
        <v>66055.506000000008</v>
      </c>
      <c r="ED96" s="233">
        <f>SUM(ED99,ED102,ED105)</f>
        <v>35336.928</v>
      </c>
      <c r="EE96" s="233">
        <f>SUM(EE99,EE102,EE105)</f>
        <v>36663.573540000012</v>
      </c>
      <c r="EF96" s="1070">
        <f>SUM(ED96:EE96)</f>
        <v>72000.501540000012</v>
      </c>
      <c r="EG96" s="233">
        <f>SUM(EG99,EG102,EG105)</f>
        <v>38517.251519999998</v>
      </c>
      <c r="EH96" s="233">
        <f>SUM(EH99,EH102,EH105)</f>
        <v>39963.29515860002</v>
      </c>
      <c r="EI96" s="1070">
        <f>SUM(EG96:EH96)</f>
        <v>78480.546678600018</v>
      </c>
      <c r="EJ96" s="233">
        <f>SUM(EJ99,EJ102,EJ105)</f>
        <v>41983.804156800004</v>
      </c>
      <c r="EK96" s="233">
        <f>SUM(EK99,EK102,EK105)</f>
        <v>43559.991722874023</v>
      </c>
      <c r="EL96" s="1070">
        <f>SUM(EJ96:EK96)</f>
        <v>85543.795879674028</v>
      </c>
      <c r="EM96" s="233">
        <f>SUM(EM99,EM102,EM105)</f>
        <v>45762.346530912007</v>
      </c>
      <c r="EN96" s="233">
        <f>SUM(EN99,EN102,EN105)</f>
        <v>47480.390977932686</v>
      </c>
      <c r="EO96" s="1070">
        <f>SUM(EM96:EN96)</f>
        <v>93242.737508844701</v>
      </c>
      <c r="EP96" s="233">
        <f>SUM(EP99,EP102,EP105)</f>
        <v>49880.957718694095</v>
      </c>
      <c r="EQ96" s="233">
        <f>SUM(EQ99,EQ102,EQ105)</f>
        <v>51753.626165946633</v>
      </c>
      <c r="ER96" s="1070">
        <f>SUM(EP96:EQ96)</f>
        <v>101634.58388464073</v>
      </c>
      <c r="ES96" s="233">
        <f>SUM(ES99,ES102,ES105)</f>
        <v>54370.243913376558</v>
      </c>
      <c r="ET96" s="233">
        <f>SUM(ET99,ET102,ET105)</f>
        <v>56411.45252088183</v>
      </c>
      <c r="EU96" s="1070">
        <f>SUM(ES96:ET96)</f>
        <v>110781.6964342584</v>
      </c>
      <c r="EV96" s="233">
        <f>SUM(EV99,EV102,EV105)</f>
        <v>59263.565865580458</v>
      </c>
      <c r="EW96" s="233">
        <f>SUM(EW99,EW102,EW105)</f>
        <v>61488.483247761207</v>
      </c>
      <c r="EX96" s="1070">
        <f>SUM(EV96:EW96)</f>
        <v>120752.04911334167</v>
      </c>
      <c r="EY96" s="233">
        <f>SUM(EY99,EY102,EY105)</f>
        <v>64597.286793482708</v>
      </c>
      <c r="EZ96" s="233">
        <f>SUM(EZ99,EZ102,EZ105)</f>
        <v>67022.44674005972</v>
      </c>
      <c r="FA96" s="1070">
        <f>SUM(EY96:EZ96)</f>
        <v>131619.73353354243</v>
      </c>
      <c r="FC96" s="261">
        <f>+(EX96/DT96)^(0.1)-1</f>
        <v>9.6551797284851304E-2</v>
      </c>
      <c r="FI96" s="233" t="s">
        <v>1094</v>
      </c>
      <c r="FJ96" s="266">
        <v>0.65</v>
      </c>
      <c r="FK96" s="266">
        <v>0.06</v>
      </c>
      <c r="FL96" s="266">
        <v>7.0000000000000007E-2</v>
      </c>
      <c r="FM96" s="266">
        <v>0.15</v>
      </c>
      <c r="FN96" s="266">
        <f>+AVERAGE(FL96:FM96)</f>
        <v>0.11</v>
      </c>
      <c r="FO96" s="266">
        <v>0.15</v>
      </c>
      <c r="FP96" s="266">
        <v>0.15</v>
      </c>
      <c r="FQ96" s="266">
        <f>+AVERAGE(FO96:FP96)</f>
        <v>0.15</v>
      </c>
    </row>
    <row r="97" spans="1:173">
      <c r="B97" s="35" t="s">
        <v>491</v>
      </c>
      <c r="D97" s="162" t="s">
        <v>460</v>
      </c>
      <c r="BA97" s="167">
        <v>0.34</v>
      </c>
      <c r="BB97" s="171">
        <v>0.28399999999999997</v>
      </c>
      <c r="BC97" s="961">
        <v>0.31</v>
      </c>
      <c r="BD97" s="167">
        <v>0.17</v>
      </c>
      <c r="BE97" s="171">
        <v>0.24252199413489736</v>
      </c>
      <c r="BF97" s="962">
        <v>0.21027460660290034</v>
      </c>
      <c r="BG97" s="171">
        <v>0.22283813747228381</v>
      </c>
      <c r="BH97" s="171">
        <v>0.16025489733301865</v>
      </c>
      <c r="BI97" s="962">
        <v>0.18903760356915233</v>
      </c>
      <c r="BJ97" s="171">
        <v>1.5905360380779585E-2</v>
      </c>
      <c r="BK97" s="171">
        <v>-1.8664293437732127E-2</v>
      </c>
      <c r="BL97" s="962">
        <v>-2.3133808469009984E-3</v>
      </c>
      <c r="BM97" s="171">
        <v>0.1187415096176144</v>
      </c>
      <c r="BN97" s="171">
        <v>0.19972909208941877</v>
      </c>
      <c r="BO97" s="962">
        <v>0.1607237127530865</v>
      </c>
      <c r="BP97" s="171">
        <v>0.3001125790610269</v>
      </c>
      <c r="BQ97" s="171">
        <v>0.10266337959107738</v>
      </c>
      <c r="BR97" s="962">
        <v>0.1943196842131536</v>
      </c>
      <c r="BS97" s="171">
        <v>0.21776783230457025</v>
      </c>
      <c r="BT97" s="171">
        <v>0.25477617725621643</v>
      </c>
      <c r="BU97" s="171">
        <v>0.23607508383584627</v>
      </c>
      <c r="BV97" s="171">
        <v>0.12959708204733891</v>
      </c>
      <c r="BW97" s="171">
        <v>0.15635275743998314</v>
      </c>
      <c r="BX97" s="171">
        <v>0.14303279806679081</v>
      </c>
      <c r="BY97" s="171">
        <v>2.3475358686642824E-2</v>
      </c>
      <c r="BZ97" s="167">
        <v>1.2324996924711991E-2</v>
      </c>
      <c r="CA97" s="171">
        <v>1.7810807525673239E-2</v>
      </c>
      <c r="CB97" s="171">
        <v>6.8889380522141025E-2</v>
      </c>
      <c r="CC97" s="167">
        <v>0.19607800354917981</v>
      </c>
      <c r="CD97" s="171">
        <v>0.13315485437354807</v>
      </c>
      <c r="CE97" s="171">
        <v>0.19920726307612821</v>
      </c>
      <c r="CF97" s="167">
        <f t="shared" ref="CF97:DK97" si="469">CF96/CC96-1</f>
        <v>0.15017344872284766</v>
      </c>
      <c r="CG97" s="171">
        <f t="shared" si="469"/>
        <v>0.17305583758190668</v>
      </c>
      <c r="CH97" s="171">
        <f t="shared" si="469"/>
        <v>-8.8477345589321632E-2</v>
      </c>
      <c r="CI97" s="167">
        <f t="shared" si="469"/>
        <v>-4.1335610200188277E-2</v>
      </c>
      <c r="CJ97" s="171">
        <f t="shared" si="469"/>
        <v>-6.3825473419569345E-2</v>
      </c>
      <c r="CK97" s="171">
        <f t="shared" si="469"/>
        <v>0.27488981442554183</v>
      </c>
      <c r="CL97" s="167">
        <f t="shared" si="469"/>
        <v>5.1691930674720776E-2</v>
      </c>
      <c r="CM97" s="171">
        <f t="shared" si="469"/>
        <v>0.15536882228093707</v>
      </c>
      <c r="CN97" s="171">
        <f t="shared" si="469"/>
        <v>-0.14335868929198414</v>
      </c>
      <c r="CO97" s="167">
        <f t="shared" si="469"/>
        <v>9.8677126595909215E-2</v>
      </c>
      <c r="CP97" s="171">
        <f t="shared" si="469"/>
        <v>-2.5380520356901748E-2</v>
      </c>
      <c r="CQ97" s="171">
        <f t="shared" si="469"/>
        <v>-1.963797814207302E-3</v>
      </c>
      <c r="CR97" s="167">
        <f t="shared" si="469"/>
        <v>6.0483024151207321E-2</v>
      </c>
      <c r="CS97" s="171">
        <f t="shared" si="469"/>
        <v>3.234988652536841E-2</v>
      </c>
      <c r="CT97" s="171">
        <f t="shared" si="469"/>
        <v>0.26169903327915134</v>
      </c>
      <c r="CU97" s="167">
        <f t="shared" si="469"/>
        <v>1.8153013400224349E-2</v>
      </c>
      <c r="CV97" s="171">
        <f t="shared" si="469"/>
        <v>0.12422684253670169</v>
      </c>
      <c r="CW97" s="171">
        <f t="shared" si="469"/>
        <v>0.10075942500678048</v>
      </c>
      <c r="CX97" s="167">
        <f t="shared" si="469"/>
        <v>5.8091286307053958E-2</v>
      </c>
      <c r="CY97" s="171">
        <f t="shared" si="469"/>
        <v>7.8947368421052655E-2</v>
      </c>
      <c r="CZ97" s="171">
        <f t="shared" si="469"/>
        <v>-1.6138967598866016E-2</v>
      </c>
      <c r="DA97" s="167">
        <f t="shared" si="469"/>
        <v>0.18186274509803857</v>
      </c>
      <c r="DB97" s="171">
        <f t="shared" si="469"/>
        <v>8.3123425692695152E-2</v>
      </c>
      <c r="DC97" s="171">
        <f t="shared" si="469"/>
        <v>4.8084147257700272E-2</v>
      </c>
      <c r="DD97" s="167">
        <f t="shared" si="469"/>
        <v>-0.10083990045624169</v>
      </c>
      <c r="DE97" s="171">
        <f t="shared" si="469"/>
        <v>-3.3380601247872899E-2</v>
      </c>
      <c r="DF97" s="171">
        <f t="shared" si="469"/>
        <v>0.12867383512544794</v>
      </c>
      <c r="DG97" s="167">
        <f t="shared" si="469"/>
        <v>-0.26379519114340078</v>
      </c>
      <c r="DH97" s="1068">
        <f t="shared" si="469"/>
        <v>-7.1032479535252158E-2</v>
      </c>
      <c r="DI97" s="171">
        <f t="shared" si="469"/>
        <v>-8.029003916587274E-2</v>
      </c>
      <c r="DJ97" s="171">
        <f t="shared" si="469"/>
        <v>0.49428258145363402</v>
      </c>
      <c r="DK97" s="1068">
        <f t="shared" si="469"/>
        <v>0.15141178700018942</v>
      </c>
      <c r="DL97" s="171">
        <f>DL96/DI96-1</f>
        <v>7.026529320366004E-2</v>
      </c>
      <c r="DM97" s="171">
        <f>DM96/DJ96-1</f>
        <v>2.6468892499606822E-2</v>
      </c>
      <c r="DN97" s="1068">
        <f>DN96/DK96-1</f>
        <v>4.7344744349352652E-2</v>
      </c>
      <c r="DO97" s="171">
        <f t="shared" ref="DO97:EF97" si="470">DO96/DL96-1</f>
        <v>0.14254220883966018</v>
      </c>
      <c r="DP97" s="171">
        <f t="shared" si="470"/>
        <v>0.1696793300653594</v>
      </c>
      <c r="DQ97" s="1068">
        <f t="shared" si="470"/>
        <v>0.15646115970876329</v>
      </c>
      <c r="DR97" s="171">
        <f t="shared" si="470"/>
        <v>0.13854769636218167</v>
      </c>
      <c r="DS97" s="171">
        <f t="shared" si="470"/>
        <v>4.1035491334526553E-2</v>
      </c>
      <c r="DT97" s="1068">
        <f t="shared" si="470"/>
        <v>8.7960866020472928E-2</v>
      </c>
      <c r="DU97" s="171">
        <f t="shared" si="470"/>
        <v>4.947712148142025E-2</v>
      </c>
      <c r="DV97" s="171">
        <f t="shared" ref="DV97" si="471">DV96/DS96-1</f>
        <v>0.19838973455780606</v>
      </c>
      <c r="DW97" s="1068">
        <f t="shared" ref="DW97" si="472">DW96/DT96-1</f>
        <v>0.12339716902581177</v>
      </c>
      <c r="DX97" s="171">
        <f t="shared" si="470"/>
        <v>6.4040961008271058E-2</v>
      </c>
      <c r="DY97" s="171">
        <f t="shared" si="470"/>
        <v>0.10000000000000031</v>
      </c>
      <c r="DZ97" s="1068">
        <f t="shared" si="470"/>
        <v>8.3082567447376299E-2</v>
      </c>
      <c r="EA97" s="171">
        <f t="shared" si="470"/>
        <v>0.19999999999999996</v>
      </c>
      <c r="EB97" s="171">
        <f t="shared" si="470"/>
        <v>7.0000000000000062E-2</v>
      </c>
      <c r="EC97" s="1068">
        <f t="shared" si="470"/>
        <v>0.13008506153788257</v>
      </c>
      <c r="ED97" s="171">
        <f t="shared" si="470"/>
        <v>9.000000000000008E-2</v>
      </c>
      <c r="EE97" s="171">
        <f t="shared" si="470"/>
        <v>9.000000000000008E-2</v>
      </c>
      <c r="EF97" s="1068">
        <f t="shared" si="470"/>
        <v>9.000000000000008E-2</v>
      </c>
      <c r="EG97" s="171">
        <f t="shared" ref="EG97:EL97" si="473">EG96/ED96-1</f>
        <v>8.9999999999999858E-2</v>
      </c>
      <c r="EH97" s="171">
        <f t="shared" si="473"/>
        <v>9.000000000000008E-2</v>
      </c>
      <c r="EI97" s="1068">
        <f t="shared" si="473"/>
        <v>9.000000000000008E-2</v>
      </c>
      <c r="EJ97" s="171">
        <f t="shared" si="473"/>
        <v>9.000000000000008E-2</v>
      </c>
      <c r="EK97" s="171">
        <f t="shared" si="473"/>
        <v>9.000000000000008E-2</v>
      </c>
      <c r="EL97" s="1068">
        <f t="shared" si="473"/>
        <v>9.000000000000008E-2</v>
      </c>
      <c r="EM97" s="171">
        <f t="shared" ref="EM97:ER97" si="474">EM96/EJ96-1</f>
        <v>9.000000000000008E-2</v>
      </c>
      <c r="EN97" s="171">
        <f t="shared" si="474"/>
        <v>9.000000000000008E-2</v>
      </c>
      <c r="EO97" s="1068">
        <f t="shared" si="474"/>
        <v>9.000000000000008E-2</v>
      </c>
      <c r="EP97" s="171">
        <f t="shared" si="474"/>
        <v>9.000000000000008E-2</v>
      </c>
      <c r="EQ97" s="171">
        <f t="shared" si="474"/>
        <v>9.000000000000008E-2</v>
      </c>
      <c r="ER97" s="1068">
        <f t="shared" si="474"/>
        <v>9.000000000000008E-2</v>
      </c>
      <c r="ES97" s="171">
        <f t="shared" ref="ES97" si="475">ES96/EP96-1</f>
        <v>8.9999999999999858E-2</v>
      </c>
      <c r="ET97" s="171">
        <f t="shared" ref="ET97" si="476">ET96/EQ96-1</f>
        <v>9.000000000000008E-2</v>
      </c>
      <c r="EU97" s="1068">
        <f t="shared" ref="EU97" si="477">EU96/ER96-1</f>
        <v>9.000000000000008E-2</v>
      </c>
      <c r="EV97" s="171">
        <f t="shared" ref="EV97" si="478">EV96/ES96-1</f>
        <v>9.000000000000008E-2</v>
      </c>
      <c r="EW97" s="171">
        <f t="shared" ref="EW97" si="479">EW96/ET96-1</f>
        <v>9.0000000000000302E-2</v>
      </c>
      <c r="EX97" s="1068">
        <f t="shared" ref="EX97" si="480">EX96/EU96-1</f>
        <v>9.000000000000008E-2</v>
      </c>
      <c r="EY97" s="171">
        <f t="shared" ref="EY97" si="481">EY96/EV96-1</f>
        <v>9.000000000000008E-2</v>
      </c>
      <c r="EZ97" s="171">
        <f t="shared" ref="EZ97" si="482">EZ96/EW96-1</f>
        <v>9.000000000000008E-2</v>
      </c>
      <c r="FA97" s="1068">
        <f t="shared" ref="FA97" si="483">FA96/EX96-1</f>
        <v>9.000000000000008E-2</v>
      </c>
      <c r="FB97" s="171"/>
      <c r="FC97" s="171"/>
      <c r="FD97" s="233"/>
      <c r="FE97" s="233"/>
      <c r="FF97" s="233"/>
      <c r="FG97" s="233"/>
      <c r="FH97" s="233"/>
      <c r="FI97" s="233" t="s">
        <v>1095</v>
      </c>
      <c r="FJ97" s="266">
        <f>1-FJ96</f>
        <v>0.35</v>
      </c>
      <c r="FK97" s="266">
        <v>0.22</v>
      </c>
      <c r="FL97" s="266">
        <v>0.08</v>
      </c>
      <c r="FM97" s="266">
        <f>+FL97</f>
        <v>0.08</v>
      </c>
      <c r="FN97" s="266">
        <f>+AVERAGE(FL97:FM97)</f>
        <v>0.08</v>
      </c>
      <c r="FO97" s="266">
        <v>0.08</v>
      </c>
      <c r="FP97" s="266">
        <f>+FO97</f>
        <v>0.08</v>
      </c>
      <c r="FQ97" s="266">
        <f>+AVERAGE(FO97:FP97)</f>
        <v>0.08</v>
      </c>
    </row>
    <row r="98" spans="1:173">
      <c r="BA98" s="163"/>
      <c r="BB98" s="163"/>
      <c r="BC98" s="56"/>
      <c r="BD98" s="163"/>
      <c r="BE98" s="163"/>
      <c r="BF98" s="56"/>
      <c r="BG98" s="163"/>
      <c r="BH98" s="163"/>
      <c r="BI98" s="56"/>
      <c r="BJ98" s="35"/>
      <c r="BK98" s="35"/>
      <c r="BL98" s="31"/>
      <c r="BM98" s="35"/>
      <c r="BN98" s="35"/>
      <c r="BO98" s="31"/>
      <c r="BP98" s="35"/>
      <c r="BQ98" s="35"/>
      <c r="BR98" s="31"/>
      <c r="BS98" s="35"/>
      <c r="BT98" s="35"/>
      <c r="BV98" s="35"/>
      <c r="BW98" s="35"/>
      <c r="BY98" s="244"/>
      <c r="BZ98" s="35"/>
      <c r="CB98" s="244"/>
      <c r="CC98" s="35"/>
      <c r="CE98" s="244"/>
      <c r="CF98" s="35"/>
      <c r="CH98" s="244"/>
      <c r="CI98" s="35"/>
      <c r="CK98" s="244"/>
      <c r="CL98" s="35"/>
      <c r="CN98" s="244"/>
      <c r="CO98" s="35"/>
      <c r="CQ98" s="244"/>
      <c r="CR98" s="35"/>
      <c r="CT98" s="244"/>
      <c r="CU98" s="35"/>
      <c r="CW98" s="244"/>
      <c r="CX98" s="35"/>
      <c r="CZ98" s="244"/>
      <c r="DA98" s="35"/>
      <c r="DC98" s="244"/>
      <c r="DD98" s="35"/>
      <c r="DF98" s="244"/>
      <c r="DG98" s="35"/>
      <c r="DH98" s="1067"/>
      <c r="DI98" s="244"/>
      <c r="DJ98" s="35"/>
      <c r="DK98" s="1067"/>
      <c r="DL98" s="244"/>
      <c r="DM98" s="35"/>
      <c r="DN98" s="1067"/>
      <c r="DO98" s="244"/>
      <c r="DP98" s="35"/>
      <c r="DQ98" s="1067"/>
      <c r="DR98" s="233"/>
      <c r="DS98" s="233"/>
      <c r="DT98" s="1070"/>
      <c r="DU98" s="233"/>
      <c r="DV98" s="233"/>
      <c r="DW98" s="1070"/>
      <c r="DX98" s="233"/>
      <c r="DY98" s="233"/>
      <c r="DZ98" s="1067"/>
      <c r="EA98" s="233"/>
      <c r="EB98" s="233"/>
      <c r="EC98" s="1067"/>
      <c r="ED98" s="1644">
        <v>0</v>
      </c>
      <c r="EE98" s="35"/>
      <c r="EF98" s="1067"/>
      <c r="EG98" s="35"/>
      <c r="EH98" s="35"/>
      <c r="EI98" s="1067"/>
      <c r="EJ98" s="35"/>
      <c r="EK98" s="35"/>
      <c r="EL98" s="1067"/>
      <c r="EM98" s="35"/>
      <c r="EN98" s="35"/>
      <c r="EO98" s="1067"/>
      <c r="EP98" s="35"/>
      <c r="EQ98" s="35"/>
      <c r="ER98" s="1067"/>
      <c r="ES98" s="35"/>
      <c r="ET98" s="35"/>
      <c r="EU98" s="1067"/>
      <c r="EV98" s="35"/>
      <c r="EW98" s="35"/>
      <c r="EX98" s="1067"/>
      <c r="EY98" s="35"/>
      <c r="EZ98" s="35"/>
      <c r="FA98" s="1067"/>
      <c r="FB98" s="163"/>
      <c r="FC98" s="163"/>
      <c r="FD98" s="255"/>
      <c r="FE98" s="255"/>
      <c r="FF98" s="163"/>
      <c r="FG98" s="255"/>
      <c r="FH98" s="255"/>
      <c r="FI98" s="255"/>
      <c r="FJ98" s="255"/>
      <c r="FK98" s="261">
        <f>+SUMPRODUCT($FJ96:$FJ97,FK96:FK97)</f>
        <v>0.11599999999999999</v>
      </c>
      <c r="FL98" s="261">
        <f t="shared" ref="FL98:FN98" si="484">+SUMPRODUCT($FJ96:$FJ97,FL96:FL97)</f>
        <v>7.350000000000001E-2</v>
      </c>
      <c r="FM98" s="261">
        <f t="shared" si="484"/>
        <v>0.1255</v>
      </c>
      <c r="FN98" s="261">
        <f t="shared" si="484"/>
        <v>9.9500000000000005E-2</v>
      </c>
      <c r="FO98" s="261">
        <f t="shared" ref="FO98" si="485">+SUMPRODUCT($FJ96:$FJ97,FO96:FO97)</f>
        <v>0.1255</v>
      </c>
      <c r="FP98" s="261">
        <f t="shared" ref="FP98" si="486">+SUMPRODUCT($FJ96:$FJ97,FP96:FP97)</f>
        <v>0.1255</v>
      </c>
      <c r="FQ98" s="261">
        <f t="shared" ref="FQ98" si="487">+SUMPRODUCT($FJ96:$FJ97,FQ96:FQ97)</f>
        <v>0.1255</v>
      </c>
    </row>
    <row r="99" spans="1:173" s="233" customFormat="1">
      <c r="A99" s="1147"/>
      <c r="C99" s="233" t="s">
        <v>316</v>
      </c>
      <c r="D99" s="245" t="s">
        <v>98</v>
      </c>
      <c r="BA99" s="233">
        <v>1400</v>
      </c>
      <c r="BB99" s="233">
        <v>1800</v>
      </c>
      <c r="BC99" s="246">
        <v>3200</v>
      </c>
      <c r="BD99" s="233">
        <v>1610</v>
      </c>
      <c r="BE99" s="233">
        <v>1983.5437037037034</v>
      </c>
      <c r="BF99" s="246">
        <v>3593.5437037037032</v>
      </c>
      <c r="BG99" s="233">
        <v>2270.1</v>
      </c>
      <c r="BH99" s="233">
        <v>2281.0752592592589</v>
      </c>
      <c r="BI99" s="246">
        <v>4774.9060056729295</v>
      </c>
      <c r="BJ99" s="233">
        <v>2148.6496499999994</v>
      </c>
      <c r="BK99" s="233">
        <v>2196.6754746666661</v>
      </c>
      <c r="BL99" s="246">
        <v>4345.3251246666659</v>
      </c>
      <c r="BM99" s="233">
        <v>2516.6059025624995</v>
      </c>
      <c r="BN99" s="233">
        <v>2679.9440790933327</v>
      </c>
      <c r="BO99" s="246">
        <v>5196.5499816558322</v>
      </c>
      <c r="BP99" s="233">
        <v>3347.0858504081248</v>
      </c>
      <c r="BQ99" s="233">
        <v>3014.9370889799993</v>
      </c>
      <c r="BR99" s="246">
        <v>6362.0229393881236</v>
      </c>
      <c r="BS99" s="233">
        <v>4083.4447374979122</v>
      </c>
      <c r="BT99" s="233">
        <v>3844.828672092634</v>
      </c>
      <c r="BU99" s="233">
        <v>7928.2734095905462</v>
      </c>
      <c r="BV99" s="233">
        <v>4410.1203164977451</v>
      </c>
      <c r="BW99" s="233">
        <v>4271.6046546949165</v>
      </c>
      <c r="BX99" s="233">
        <v>8681.7249711926615</v>
      </c>
      <c r="BY99" s="233">
        <v>4525.8859748058112</v>
      </c>
      <c r="BZ99" s="233">
        <v>4399.7527943357645</v>
      </c>
      <c r="CA99" s="233">
        <v>8925.6387691415766</v>
      </c>
      <c r="CB99" s="233">
        <v>4942.7200730854265</v>
      </c>
      <c r="CC99" s="233">
        <v>5411.6959370329905</v>
      </c>
      <c r="CD99" s="233">
        <v>10354.416010118417</v>
      </c>
      <c r="CE99" s="233">
        <v>5684.1280840482405</v>
      </c>
      <c r="CF99" s="233">
        <f>CC99*(1+CF100)</f>
        <v>6223.4503275879388</v>
      </c>
      <c r="CG99" s="233">
        <f>SUM(CE99:CF99)</f>
        <v>11907.578411636179</v>
      </c>
      <c r="CH99" s="233">
        <f>CE99*(1+CH100)</f>
        <v>4956.906806931147</v>
      </c>
      <c r="CI99" s="233">
        <f>CF99*(1+CI100)</f>
        <v>5966.2002107465296</v>
      </c>
      <c r="CJ99" s="233">
        <f>SUM(CH99:CI99)</f>
        <v>10923.107017677678</v>
      </c>
      <c r="CK99" s="233">
        <f>CH99*(1+CK100)</f>
        <v>5432.6873731116611</v>
      </c>
      <c r="CL99" s="233">
        <f>CI99*(1+CL100)</f>
        <v>5311.7355925784541</v>
      </c>
      <c r="CM99" s="233">
        <f>SUM(CK99:CL99)</f>
        <v>10744.422965690115</v>
      </c>
      <c r="CN99" s="233">
        <f>CK99*(1+CN100)</f>
        <v>5324.5891151558772</v>
      </c>
      <c r="CO99" s="233">
        <f>CL99*(1+CO100)</f>
        <v>6100.1989033070558</v>
      </c>
      <c r="CP99" s="233">
        <f>SUM(CN99:CO99)</f>
        <v>11424.788018462932</v>
      </c>
      <c r="CQ99" s="233">
        <f>CN99*(1+CQ100)</f>
        <v>6229.7692647323756</v>
      </c>
      <c r="CR99" s="233">
        <f>CO99*(1+CR100)</f>
        <v>7015.2287388031136</v>
      </c>
      <c r="CS99" s="233">
        <f>SUM(CQ99:CR99)</f>
        <v>13244.998003535489</v>
      </c>
      <c r="CT99" s="233">
        <f>CQ99*(1+CT100)</f>
        <v>6852.7461912056142</v>
      </c>
      <c r="CU99" s="233">
        <f>CR99*(1+CU100)</f>
        <v>7224.2349890086507</v>
      </c>
      <c r="CV99" s="233">
        <f>SUM(CT99:CU99)</f>
        <v>14076.981180214265</v>
      </c>
      <c r="CW99" s="233">
        <f>CT99*(1+CW100)</f>
        <v>8187.1321946729049</v>
      </c>
      <c r="CX99" s="233">
        <f>CU99*(1+CX100)</f>
        <v>8175.9169661972965</v>
      </c>
      <c r="CY99" s="233">
        <f>SUM(CW99:CX99)</f>
        <v>16363.049160870201</v>
      </c>
      <c r="CZ99" s="233">
        <f>CW99*(1+CZ100)</f>
        <v>9100.6670152658862</v>
      </c>
      <c r="DA99" s="233">
        <f>CX99*(1+DA100)</f>
        <v>8911.7494931550536</v>
      </c>
      <c r="DB99" s="233">
        <f>SUM(CZ99:DA99)</f>
        <v>18012.416508420938</v>
      </c>
      <c r="DC99" s="233">
        <f>CZ99*(1+DC100)</f>
        <v>8918.6536749605675</v>
      </c>
      <c r="DD99" s="233">
        <f>DA99*(1+DD100)</f>
        <v>7931.4570489079979</v>
      </c>
      <c r="DE99" s="233">
        <f>SUM(DC99:DD99)</f>
        <v>16850.110723868565</v>
      </c>
      <c r="DF99" s="233">
        <f>DC99*(1+DF100)</f>
        <v>9810.5190424566244</v>
      </c>
      <c r="DG99" s="233">
        <f>DD99*(1+DG100)</f>
        <v>5948.592786680998</v>
      </c>
      <c r="DH99" s="1070">
        <f>SUM(DF99:DG99)</f>
        <v>15759.111829137622</v>
      </c>
      <c r="DI99" s="233">
        <f>+DI$96*DI91</f>
        <v>8789.0938341410874</v>
      </c>
      <c r="DJ99" s="233">
        <f>+DJ$96*DJ91</f>
        <v>8874.7220519653547</v>
      </c>
      <c r="DK99" s="1070">
        <f>SUM(DI99:DJ99)</f>
        <v>17663.815886106444</v>
      </c>
      <c r="DL99" s="233">
        <f>+DL$96*DL91</f>
        <v>8859.8837237826556</v>
      </c>
      <c r="DM99" s="233">
        <f>+DM$96*DM91</f>
        <v>9279.7519980624875</v>
      </c>
      <c r="DN99" s="1070">
        <f>SUM(DL99:DM99)</f>
        <v>18139.635721845145</v>
      </c>
      <c r="DO99" s="233">
        <f>+DO$96*DO91</f>
        <v>10585.207329373528</v>
      </c>
      <c r="DP99" s="233">
        <f>+DP$96*DP91</f>
        <v>11498.736693624223</v>
      </c>
      <c r="DQ99" s="1070">
        <f>SUM(DO99:DP99)</f>
        <v>22083.944022997752</v>
      </c>
      <c r="DR99" s="233">
        <f>+DR$96*DR91</f>
        <v>12720.120531704688</v>
      </c>
      <c r="DS99" s="233">
        <f>+DS$96*DS91</f>
        <v>11567.294811320755</v>
      </c>
      <c r="DT99" s="1070">
        <f>SUM(DR99:DS99)</f>
        <v>24287.415343025445</v>
      </c>
      <c r="DU99" s="233">
        <f>+DU$96*DU91</f>
        <v>12602.763484058467</v>
      </c>
      <c r="DV99" s="233">
        <f>+DV$96*DV91</f>
        <v>13413.032127498102</v>
      </c>
      <c r="DW99" s="1070">
        <f>SUM(DU99:DV99)</f>
        <v>26015.795611556568</v>
      </c>
      <c r="DX99" s="233">
        <f>+DX$96*DX91</f>
        <v>13703.268707482994</v>
      </c>
      <c r="DY99" s="233">
        <f>DV99*(1+DY100)</f>
        <v>14754.335340247913</v>
      </c>
      <c r="DZ99" s="1070">
        <f>SUM(DX99:DY99)</f>
        <v>28457.604047730907</v>
      </c>
      <c r="EA99" s="233">
        <f t="shared" ref="EA99:EB99" si="488">DX99*(1+EA100)</f>
        <v>16443.922448979592</v>
      </c>
      <c r="EB99" s="233">
        <f t="shared" si="488"/>
        <v>15787.138814065269</v>
      </c>
      <c r="EC99" s="1070">
        <f t="shared" ref="EC99" si="489">SUM(EA99:EB99)</f>
        <v>32231.06126304486</v>
      </c>
      <c r="ED99" s="233">
        <f t="shared" ref="ED99:EE99" si="490">EA99*(1+ED100)</f>
        <v>17923.875469387756</v>
      </c>
      <c r="EE99" s="233">
        <f t="shared" si="490"/>
        <v>17207.981307331145</v>
      </c>
      <c r="EF99" s="1070">
        <f t="shared" ref="EF99" si="491">SUM(ED99:EE99)</f>
        <v>35131.856776718902</v>
      </c>
      <c r="EG99" s="233">
        <f t="shared" ref="EG99:EH99" si="492">ED99*(1+EG100)</f>
        <v>19537.024261632654</v>
      </c>
      <c r="EH99" s="233">
        <f t="shared" si="492"/>
        <v>18756.69962499095</v>
      </c>
      <c r="EI99" s="1070">
        <f t="shared" ref="EI99" si="493">SUM(EG99:EH99)</f>
        <v>38293.7238866236</v>
      </c>
      <c r="EJ99" s="233">
        <f t="shared" ref="EJ99:EK99" si="494">EG99*(1+EJ100)</f>
        <v>21295.356445179594</v>
      </c>
      <c r="EK99" s="233">
        <f t="shared" si="494"/>
        <v>20444.802591240135</v>
      </c>
      <c r="EL99" s="1070">
        <f t="shared" ref="EL99" si="495">SUM(EJ99:EK99)</f>
        <v>41740.159036419733</v>
      </c>
      <c r="EM99" s="233">
        <f t="shared" ref="EM99:EN99" si="496">EJ99*(1+EM100)</f>
        <v>23211.938525245758</v>
      </c>
      <c r="EN99" s="233">
        <f t="shared" si="496"/>
        <v>22284.834824451747</v>
      </c>
      <c r="EO99" s="1070">
        <f t="shared" ref="EO99" si="497">SUM(EM99:EN99)</f>
        <v>45496.773349697505</v>
      </c>
      <c r="EP99" s="233">
        <f t="shared" ref="EP99:EQ99" si="498">EM99*(1+EP100)</f>
        <v>25301.012992517877</v>
      </c>
      <c r="EQ99" s="233">
        <f t="shared" si="498"/>
        <v>24290.469958652408</v>
      </c>
      <c r="ER99" s="1070">
        <f t="shared" ref="ER99" si="499">SUM(EP99:EQ99)</f>
        <v>49591.482951170285</v>
      </c>
      <c r="ES99" s="233">
        <f t="shared" ref="ES99" si="500">EP99*(1+ES100)</f>
        <v>27578.104161844487</v>
      </c>
      <c r="ET99" s="233">
        <f t="shared" ref="ET99" si="501">EQ99*(1+ET100)</f>
        <v>26476.612254931126</v>
      </c>
      <c r="EU99" s="1070">
        <f t="shared" ref="EU99" si="502">SUM(ES99:ET99)</f>
        <v>54054.716416775613</v>
      </c>
      <c r="EV99" s="233">
        <f t="shared" ref="EV99" si="503">ES99*(1+EV100)</f>
        <v>30060.133536410493</v>
      </c>
      <c r="EW99" s="233">
        <f t="shared" ref="EW99" si="504">ET99*(1+EW100)</f>
        <v>28859.507357874929</v>
      </c>
      <c r="EX99" s="1070">
        <f t="shared" ref="EX99" si="505">SUM(EV99:EW99)</f>
        <v>58919.640894285418</v>
      </c>
      <c r="EY99" s="233">
        <f t="shared" ref="EY99" si="506">EV99*(1+EY100)</f>
        <v>32765.54555468744</v>
      </c>
      <c r="EZ99" s="233">
        <f t="shared" ref="EZ99" si="507">EW99*(1+EZ100)</f>
        <v>31456.863020083674</v>
      </c>
      <c r="FA99" s="1070">
        <f t="shared" ref="FA99" si="508">SUM(EY99:EZ99)</f>
        <v>64222.408574771114</v>
      </c>
      <c r="FD99" s="1014"/>
      <c r="FE99" s="1014"/>
      <c r="FG99" s="1014"/>
      <c r="FH99" s="1014"/>
      <c r="FI99" s="1014"/>
      <c r="FJ99" s="1014" t="s">
        <v>986</v>
      </c>
      <c r="FK99" s="1014"/>
      <c r="FM99" s="1014"/>
      <c r="FN99" s="1014"/>
    </row>
    <row r="100" spans="1:173">
      <c r="B100" s="247"/>
      <c r="C100" s="35" t="s">
        <v>491</v>
      </c>
      <c r="D100" s="162" t="s">
        <v>460</v>
      </c>
      <c r="BA100" s="35"/>
      <c r="BB100" s="35"/>
      <c r="BC100" s="56"/>
      <c r="BD100" s="167">
        <v>0.15</v>
      </c>
      <c r="BE100" s="171">
        <v>0.10196872427983522</v>
      </c>
      <c r="BF100" s="962">
        <v>0.12298240740740723</v>
      </c>
      <c r="BG100" s="167">
        <v>0.41</v>
      </c>
      <c r="BH100" s="171">
        <v>0.15</v>
      </c>
      <c r="BI100" s="962">
        <v>0.32874577280127404</v>
      </c>
      <c r="BJ100" s="167">
        <v>-5.3499999999999999E-2</v>
      </c>
      <c r="BK100" s="167">
        <v>-3.6999999999999998E-2</v>
      </c>
      <c r="BL100" s="1027">
        <v>-8.9966353368190033E-2</v>
      </c>
      <c r="BM100" s="171">
        <v>0.17125000000000001</v>
      </c>
      <c r="BN100" s="171">
        <v>0.22</v>
      </c>
      <c r="BO100" s="962">
        <v>0.22</v>
      </c>
      <c r="BP100" s="171">
        <v>0.33</v>
      </c>
      <c r="BQ100" s="171">
        <v>0.125</v>
      </c>
      <c r="BR100" s="962">
        <v>0.12</v>
      </c>
      <c r="BS100" s="171">
        <v>0.22</v>
      </c>
      <c r="BT100" s="171">
        <v>0.27526</v>
      </c>
      <c r="BU100" s="171">
        <v>0.27526</v>
      </c>
      <c r="BV100" s="167">
        <v>0.08</v>
      </c>
      <c r="BW100" s="167">
        <v>0.111</v>
      </c>
      <c r="BX100" s="167">
        <v>9.5033498805766739E-2</v>
      </c>
      <c r="BY100" s="1027">
        <v>2.6249999999999999E-2</v>
      </c>
      <c r="BZ100" s="1027">
        <v>0.03</v>
      </c>
      <c r="CA100" s="167">
        <v>2.8095084647147855E-2</v>
      </c>
      <c r="CB100" s="1027">
        <v>9.2100000000000001E-2</v>
      </c>
      <c r="CC100" s="1027">
        <v>0.23</v>
      </c>
      <c r="CD100" s="167">
        <v>0.16007562908735698</v>
      </c>
      <c r="CE100" s="1027">
        <v>0.15</v>
      </c>
      <c r="CF100" s="1027">
        <f>CE100</f>
        <v>0.15</v>
      </c>
      <c r="CG100" s="167">
        <f>CG99/CD99-1</f>
        <v>0.14999999999999991</v>
      </c>
      <c r="CH100" s="1027">
        <v>-0.12793893212187543</v>
      </c>
      <c r="CI100" s="1027">
        <v>-4.1335610200188319E-2</v>
      </c>
      <c r="CJ100" s="167">
        <f>CJ99/CG99-1</f>
        <v>-8.2676037051871765E-2</v>
      </c>
      <c r="CK100" s="1027">
        <v>9.5983359121304998E-2</v>
      </c>
      <c r="CL100" s="1027">
        <v>-0.10969538316686574</v>
      </c>
      <c r="CM100" s="167">
        <f>CM99/CJ99-1</f>
        <v>-1.6358354056074442E-2</v>
      </c>
      <c r="CN100" s="1027">
        <v>-1.989775051124824E-2</v>
      </c>
      <c r="CO100" s="1027">
        <v>0.14843798170794512</v>
      </c>
      <c r="CP100" s="167">
        <f>CP99/CM99-1</f>
        <v>6.332262374121056E-2</v>
      </c>
      <c r="CQ100" s="1027">
        <v>0.17</v>
      </c>
      <c r="CR100" s="1027">
        <v>0.15</v>
      </c>
      <c r="CS100" s="167">
        <f>CS99/CP99-1</f>
        <v>0.15932111669214533</v>
      </c>
      <c r="CT100" s="1027">
        <v>0.1</v>
      </c>
      <c r="CU100" s="1027">
        <v>2.9793219578068464E-2</v>
      </c>
      <c r="CV100" s="167">
        <f>CV99/CS99-1</f>
        <v>6.2814896344770554E-2</v>
      </c>
      <c r="CW100" s="1027">
        <v>0.19472281129859409</v>
      </c>
      <c r="CX100" s="1027">
        <v>0.13173463745802649</v>
      </c>
      <c r="CY100" s="167">
        <f>CY99/CV99-1</f>
        <v>0.16239760154464733</v>
      </c>
      <c r="CZ100" s="1027">
        <v>0.11158178454567855</v>
      </c>
      <c r="DA100" s="1027">
        <v>0.09</v>
      </c>
      <c r="DB100" s="167">
        <f>DB99/CY99-1</f>
        <v>0.10079828834682925</v>
      </c>
      <c r="DC100" s="1027">
        <v>-0.02</v>
      </c>
      <c r="DD100" s="1027">
        <v>-0.11</v>
      </c>
      <c r="DE100" s="167">
        <f>DE99/DB99-1</f>
        <v>-6.4528031761256766E-2</v>
      </c>
      <c r="DF100" s="167">
        <v>0.1</v>
      </c>
      <c r="DG100" s="167">
        <v>-0.25</v>
      </c>
      <c r="DH100" s="1068">
        <f t="shared" ref="DH100:DU100" si="509">DH99/DE99-1</f>
        <v>-6.4747283422032287E-2</v>
      </c>
      <c r="DI100" s="171">
        <f t="shared" si="509"/>
        <v>-0.10411530765040589</v>
      </c>
      <c r="DJ100" s="171">
        <f t="shared" si="509"/>
        <v>0.49190276931310728</v>
      </c>
      <c r="DK100" s="1068">
        <f t="shared" si="509"/>
        <v>0.12086366780183266</v>
      </c>
      <c r="DL100" s="171">
        <f t="shared" si="509"/>
        <v>8.0542876179778844E-3</v>
      </c>
      <c r="DM100" s="171">
        <f t="shared" si="509"/>
        <v>4.5638606338937349E-2</v>
      </c>
      <c r="DN100" s="1068">
        <f t="shared" si="509"/>
        <v>2.6937545024626308E-2</v>
      </c>
      <c r="DO100" s="171">
        <f t="shared" si="509"/>
        <v>0.19473433956695985</v>
      </c>
      <c r="DP100" s="171">
        <f t="shared" si="509"/>
        <v>0.2391211204809176</v>
      </c>
      <c r="DQ100" s="1068">
        <f t="shared" si="509"/>
        <v>0.21744142835253122</v>
      </c>
      <c r="DR100" s="171">
        <f t="shared" si="509"/>
        <v>0.20168836905129495</v>
      </c>
      <c r="DS100" s="171">
        <f t="shared" si="509"/>
        <v>5.9622304191506714E-3</v>
      </c>
      <c r="DT100" s="1068">
        <f t="shared" si="509"/>
        <v>9.9777074137348043E-2</v>
      </c>
      <c r="DU100" s="171">
        <f t="shared" si="509"/>
        <v>-9.2260955667605726E-3</v>
      </c>
      <c r="DV100" s="171">
        <f t="shared" ref="DV100" si="510">DV99/DS99-1</f>
        <v>0.15956516595141568</v>
      </c>
      <c r="DW100" s="1068">
        <f t="shared" ref="DW100:DX100" si="511">DW99/DT99-1</f>
        <v>7.116361474122268E-2</v>
      </c>
      <c r="DX100" s="171">
        <f t="shared" si="511"/>
        <v>8.7322532460168967E-2</v>
      </c>
      <c r="DY100" s="1141">
        <v>0.1</v>
      </c>
      <c r="DZ100" s="1142">
        <f>DZ99/DW99-1</f>
        <v>9.3858687723148204E-2</v>
      </c>
      <c r="EA100" s="1141">
        <v>0.2</v>
      </c>
      <c r="EB100" s="1143">
        <v>7.0000000000000007E-2</v>
      </c>
      <c r="EC100" s="1142">
        <f t="shared" ref="EC100" si="512">EC99/DZ99-1</f>
        <v>0.13259925919922377</v>
      </c>
      <c r="ED100" s="1141">
        <f>9%+$ED$98</f>
        <v>0.09</v>
      </c>
      <c r="EE100" s="1141">
        <v>0.09</v>
      </c>
      <c r="EF100" s="1142">
        <f t="shared" ref="EF100" si="513">EF99/EC99-1</f>
        <v>9.000000000000008E-2</v>
      </c>
      <c r="EG100" s="1141">
        <f>9%+$ED$98</f>
        <v>0.09</v>
      </c>
      <c r="EH100" s="1143">
        <f t="shared" ref="EH100" si="514">EG100</f>
        <v>0.09</v>
      </c>
      <c r="EI100" s="1142">
        <f t="shared" ref="EI100" si="515">EI99/EF99-1</f>
        <v>8.9999999999999858E-2</v>
      </c>
      <c r="EJ100" s="1141">
        <f>9%+$ED$98</f>
        <v>0.09</v>
      </c>
      <c r="EK100" s="1143">
        <f t="shared" ref="EK100" si="516">EJ100</f>
        <v>0.09</v>
      </c>
      <c r="EL100" s="1142">
        <f t="shared" ref="EL100" si="517">EL99/EI99-1</f>
        <v>9.0000000000000302E-2</v>
      </c>
      <c r="EM100" s="1143">
        <f t="shared" ref="EM100" si="518">EJ100</f>
        <v>0.09</v>
      </c>
      <c r="EN100" s="1143">
        <f t="shared" ref="EN100" si="519">EM100</f>
        <v>0.09</v>
      </c>
      <c r="EO100" s="1142">
        <f t="shared" ref="EO100" si="520">EO99/EL99-1</f>
        <v>8.9999999999999858E-2</v>
      </c>
      <c r="EP100" s="1143">
        <f t="shared" ref="EP100" si="521">EM100</f>
        <v>0.09</v>
      </c>
      <c r="EQ100" s="1143">
        <f t="shared" ref="EQ100" si="522">EP100</f>
        <v>0.09</v>
      </c>
      <c r="ER100" s="1142">
        <f t="shared" ref="ER100" si="523">ER99/EO99-1</f>
        <v>9.000000000000008E-2</v>
      </c>
      <c r="ES100" s="1143">
        <f t="shared" ref="ES100" si="524">EP100</f>
        <v>0.09</v>
      </c>
      <c r="ET100" s="1143">
        <f t="shared" ref="ET100" si="525">ES100</f>
        <v>0.09</v>
      </c>
      <c r="EU100" s="1142">
        <f t="shared" ref="EU100" si="526">EU99/ER99-1</f>
        <v>9.000000000000008E-2</v>
      </c>
      <c r="EV100" s="1143">
        <f t="shared" ref="EV100" si="527">ES100</f>
        <v>0.09</v>
      </c>
      <c r="EW100" s="1143">
        <f t="shared" ref="EW100" si="528">EV100</f>
        <v>0.09</v>
      </c>
      <c r="EX100" s="1142">
        <f t="shared" ref="EX100" si="529">EX99/EU99-1</f>
        <v>9.000000000000008E-2</v>
      </c>
      <c r="EY100" s="1143">
        <f t="shared" ref="EY100" si="530">EV100</f>
        <v>0.09</v>
      </c>
      <c r="EZ100" s="1143">
        <f t="shared" ref="EZ100" si="531">EY100</f>
        <v>0.09</v>
      </c>
      <c r="FA100" s="1142">
        <f t="shared" ref="FA100" si="532">FA99/EX99-1</f>
        <v>9.000000000000008E-2</v>
      </c>
      <c r="FB100" s="65"/>
      <c r="FC100" s="65"/>
      <c r="FD100" s="65"/>
      <c r="FE100" s="65"/>
      <c r="FF100" s="65"/>
      <c r="FG100" s="65"/>
      <c r="FH100" s="65"/>
      <c r="FJ100" s="35">
        <v>48040</v>
      </c>
      <c r="FK100" s="65"/>
      <c r="FL100" s="65"/>
      <c r="FM100" s="65"/>
      <c r="FN100" s="65"/>
    </row>
    <row r="101" spans="1:173">
      <c r="BA101" s="35"/>
      <c r="BB101" s="35"/>
      <c r="BC101" s="56"/>
      <c r="BD101" s="35"/>
      <c r="BE101" s="35"/>
      <c r="BG101" s="35"/>
      <c r="BH101" s="35"/>
      <c r="BJ101" s="35"/>
      <c r="BK101" s="35"/>
      <c r="BL101" s="31"/>
      <c r="BM101" s="35"/>
      <c r="BN101" s="35"/>
      <c r="BO101" s="31"/>
      <c r="BP101" s="35"/>
      <c r="BQ101" s="35"/>
      <c r="BR101" s="31"/>
      <c r="BS101" s="35"/>
      <c r="BT101" s="35"/>
      <c r="BV101" s="35"/>
      <c r="BW101" s="35"/>
      <c r="BY101" s="244"/>
      <c r="BZ101" s="35"/>
      <c r="CB101" s="244"/>
      <c r="CC101" s="35"/>
      <c r="CE101" s="244"/>
      <c r="CF101" s="35"/>
      <c r="CH101" s="244"/>
      <c r="CI101" s="35"/>
      <c r="CK101" s="244"/>
      <c r="CL101" s="35"/>
      <c r="CN101" s="244"/>
      <c r="CO101" s="35"/>
      <c r="CQ101" s="244"/>
      <c r="CR101" s="35"/>
      <c r="CT101" s="244"/>
      <c r="CU101" s="35"/>
      <c r="CW101" s="244"/>
      <c r="CX101" s="35"/>
      <c r="CZ101" s="244"/>
      <c r="DA101" s="35"/>
      <c r="DC101" s="244"/>
      <c r="DD101" s="35"/>
      <c r="DE101" s="35">
        <f>(DE102+DE99)*1.1</f>
        <v>32960.910464301945</v>
      </c>
      <c r="DF101" s="244"/>
      <c r="DG101" s="35"/>
      <c r="DH101" s="1067"/>
      <c r="DI101" s="244"/>
      <c r="DJ101" s="244"/>
      <c r="DK101" s="1067"/>
      <c r="DL101" s="244"/>
      <c r="DM101" s="244"/>
      <c r="DN101" s="1067"/>
      <c r="DO101" s="244"/>
      <c r="DP101" s="244"/>
      <c r="DQ101" s="1067"/>
      <c r="DR101" s="244"/>
      <c r="DS101" s="244"/>
      <c r="DT101" s="1067"/>
      <c r="DU101" s="244"/>
      <c r="DV101" s="244"/>
      <c r="DW101" s="1067"/>
      <c r="DX101" s="244"/>
      <c r="DY101" s="233"/>
      <c r="DZ101" s="1067"/>
      <c r="EA101" s="233"/>
      <c r="EB101" s="233"/>
      <c r="EC101" s="1067"/>
      <c r="ED101" s="35"/>
      <c r="EE101" s="35"/>
      <c r="EF101" s="1067"/>
      <c r="EG101" s="35"/>
      <c r="EH101" s="35"/>
      <c r="EI101" s="1067"/>
      <c r="EJ101" s="35"/>
      <c r="EK101" s="35"/>
      <c r="EL101" s="1067"/>
      <c r="EM101" s="35"/>
      <c r="EN101" s="35"/>
      <c r="EO101" s="1067"/>
      <c r="EP101" s="35"/>
      <c r="EQ101" s="35"/>
      <c r="ER101" s="1067"/>
      <c r="ES101" s="35"/>
      <c r="ET101" s="35"/>
      <c r="EU101" s="1067"/>
      <c r="EV101" s="35"/>
      <c r="EW101" s="35"/>
      <c r="EX101" s="1067"/>
      <c r="EY101" s="35"/>
      <c r="EZ101" s="35"/>
      <c r="FA101" s="1067"/>
      <c r="FD101" s="233"/>
      <c r="FI101" s="65" t="s">
        <v>1094</v>
      </c>
      <c r="FJ101" s="35">
        <f>+FJ100*FJ96</f>
        <v>31226</v>
      </c>
      <c r="FK101" s="35">
        <f>+FJ101*(1+FK96)</f>
        <v>33099.560000000005</v>
      </c>
    </row>
    <row r="102" spans="1:173" s="233" customFormat="1">
      <c r="A102" s="1147"/>
      <c r="C102" s="233" t="s">
        <v>317</v>
      </c>
      <c r="D102" s="245" t="s">
        <v>98</v>
      </c>
      <c r="BA102" s="233">
        <v>1100</v>
      </c>
      <c r="BB102" s="233">
        <v>1337.6479539299812</v>
      </c>
      <c r="BC102" s="246">
        <v>2437.6479539299812</v>
      </c>
      <c r="BD102" s="233">
        <v>1298</v>
      </c>
      <c r="BE102" s="233">
        <v>1650.3978744050639</v>
      </c>
      <c r="BF102" s="246">
        <v>2948.3978744050637</v>
      </c>
      <c r="BG102" s="233">
        <v>1479.72</v>
      </c>
      <c r="BH102" s="233">
        <v>1732.9177681253173</v>
      </c>
      <c r="BI102" s="246">
        <v>3212.6377681253175</v>
      </c>
      <c r="BJ102" s="233">
        <v>1538.9088000000004</v>
      </c>
      <c r="BK102" s="233">
        <v>1802.2344788503301</v>
      </c>
      <c r="BL102" s="246">
        <v>3341.1432788503307</v>
      </c>
      <c r="BM102" s="233">
        <v>1679.3342280000004</v>
      </c>
      <c r="BN102" s="233">
        <v>2076.1741196355802</v>
      </c>
      <c r="BO102" s="246">
        <v>3755.5083476355803</v>
      </c>
      <c r="BP102" s="233">
        <v>2132.7544695600004</v>
      </c>
      <c r="BQ102" s="233">
        <v>2283.7915315991386</v>
      </c>
      <c r="BR102" s="246">
        <v>4416.5460011591385</v>
      </c>
      <c r="BS102" s="233">
        <v>2601.9604528632003</v>
      </c>
      <c r="BT102" s="233">
        <v>2809.0635838669405</v>
      </c>
      <c r="BU102" s="233">
        <v>5411.0240367301412</v>
      </c>
      <c r="BV102" s="233">
        <v>3226.4309615503685</v>
      </c>
      <c r="BW102" s="233">
        <v>3417.70339058339</v>
      </c>
      <c r="BX102" s="233">
        <v>6644.1343521337585</v>
      </c>
      <c r="BY102" s="233">
        <v>3387.7525096278869</v>
      </c>
      <c r="BZ102" s="233">
        <v>3322.0076956470552</v>
      </c>
      <c r="CA102" s="233">
        <v>6709.7602052749426</v>
      </c>
      <c r="CB102" s="233">
        <v>3489.3850849167234</v>
      </c>
      <c r="CC102" s="233">
        <v>3817.6512438375958</v>
      </c>
      <c r="CD102" s="233">
        <v>7307.0363287543187</v>
      </c>
      <c r="CE102" s="233">
        <v>4358.8371295954312</v>
      </c>
      <c r="CF102" s="233">
        <f>CC102*(1+CF103)</f>
        <v>4390.2989304132352</v>
      </c>
      <c r="CG102" s="233">
        <f>SUM(CE102:CF102)</f>
        <v>8749.1360600086664</v>
      </c>
      <c r="CH102" s="233">
        <f>CE102*(1+CH103)</f>
        <v>3881.5291311503056</v>
      </c>
      <c r="CI102" s="233">
        <f>CF102*(1+CI103)</f>
        <v>4208.8232451633703</v>
      </c>
      <c r="CJ102" s="233">
        <f>SUM(CH102:CI102)</f>
        <v>8090.3523763136764</v>
      </c>
      <c r="CK102" s="233">
        <f>CH102*(1+CK103)</f>
        <v>4347.3126268883425</v>
      </c>
      <c r="CL102" s="233">
        <f>CI102*(1+CL103)</f>
        <v>4419.2644074215386</v>
      </c>
      <c r="CM102" s="233">
        <f>SUM(CK102:CL102)</f>
        <v>8766.5770343098811</v>
      </c>
      <c r="CN102" s="233">
        <f>CK102*(1+CN103)</f>
        <v>4260.8108848441188</v>
      </c>
      <c r="CO102" s="233">
        <f>CL102*(1+CO103)</f>
        <v>5075.2510966929494</v>
      </c>
      <c r="CP102" s="233">
        <f>SUM(CN102:CO102)</f>
        <v>9336.0619815370683</v>
      </c>
      <c r="CQ102" s="233">
        <f>CN102*(1+CQ103)</f>
        <v>4431.2433202378834</v>
      </c>
      <c r="CR102" s="233">
        <f>CO102*(1+CR103)</f>
        <v>5430.5186734614563</v>
      </c>
      <c r="CS102" s="233">
        <f>SUM(CQ102:CR102)</f>
        <v>9861.7619936993397</v>
      </c>
      <c r="CT102" s="233">
        <f>CQ102*(1+CT103)</f>
        <v>4874.3676522616724</v>
      </c>
      <c r="CU102" s="233">
        <f>CR102*(1+CU103)</f>
        <v>5756.3497938691444</v>
      </c>
      <c r="CV102" s="233">
        <f>SUM(CT102:CU102)</f>
        <v>10630.717446130817</v>
      </c>
      <c r="CW102" s="233">
        <f>CT102*(1+CW103)</f>
        <v>5361.8044174878405</v>
      </c>
      <c r="CX102" s="233">
        <f>CU102*(1+CX103)</f>
        <v>6331.9847732560593</v>
      </c>
      <c r="CY102" s="233">
        <f>SUM(CW102:CX102)</f>
        <v>11693.789190743901</v>
      </c>
      <c r="CZ102" s="233">
        <f>CW102*(1+CZ103)</f>
        <v>5254.5683291380838</v>
      </c>
      <c r="DA102" s="233">
        <f>CX102*(1+DA103)</f>
        <v>7914.9809665700741</v>
      </c>
      <c r="DB102" s="233">
        <f>SUM(CZ102:DA102)</f>
        <v>13169.549295708159</v>
      </c>
      <c r="DC102" s="233">
        <f>CZ102*(1+DC103)</f>
        <v>5832.5708453432735</v>
      </c>
      <c r="DD102" s="233">
        <f>DA102*(1+DD103)</f>
        <v>7281.7824892444687</v>
      </c>
      <c r="DE102" s="233">
        <f>SUM(DC102:DD102)</f>
        <v>13114.353334587742</v>
      </c>
      <c r="DF102" s="233">
        <f>DC102*(1+DF103)</f>
        <v>6619.9679094646153</v>
      </c>
      <c r="DG102" s="233">
        <f>DD102*(1+DG103)</f>
        <v>5461.3368669333513</v>
      </c>
      <c r="DH102" s="1070">
        <f>SUM(DF102:DG102)</f>
        <v>12081.304776397967</v>
      </c>
      <c r="DI102" s="233">
        <f>+DI$96*DI92</f>
        <v>5558.3941841680125</v>
      </c>
      <c r="DJ102" s="233">
        <f>+DJ$96*DJ92</f>
        <v>7120.6234510326458</v>
      </c>
      <c r="DK102" s="1070">
        <f>SUM(DI102:DJ102)</f>
        <v>12679.017635200658</v>
      </c>
      <c r="DL102" s="233">
        <f>+DL$96*DL92</f>
        <v>6542.262234760211</v>
      </c>
      <c r="DM102" s="233">
        <f>+DM$96*DM92</f>
        <v>6917.7195446839432</v>
      </c>
      <c r="DN102" s="1070">
        <f>SUM(DL102:DM102)</f>
        <v>13459.981779444155</v>
      </c>
      <c r="DO102" s="233">
        <f>+DO$96*DO92</f>
        <v>6827.3991930964921</v>
      </c>
      <c r="DP102" s="233">
        <f>+DP$96*DP92</f>
        <v>7597.6104006018422</v>
      </c>
      <c r="DQ102" s="1070">
        <f>SUM(DO102:DP102)</f>
        <v>14425.009593698334</v>
      </c>
      <c r="DR102" s="233">
        <f>+DR$96*DR92</f>
        <v>7659.4507813903347</v>
      </c>
      <c r="DS102" s="233">
        <f>+DS$96*DS92</f>
        <v>8188.5531970649881</v>
      </c>
      <c r="DT102" s="1070">
        <f>SUM(DR102:DS102)</f>
        <v>15848.003978455323</v>
      </c>
      <c r="DU102" s="233">
        <f>+DU$96*DU92</f>
        <v>7817.3160099153765</v>
      </c>
      <c r="DV102" s="233">
        <f>+DV$96*DV92</f>
        <v>10350.156842904127</v>
      </c>
      <c r="DW102" s="1070">
        <f>SUM(DU102:DV102)</f>
        <v>18167.472852819505</v>
      </c>
      <c r="DX102" s="233">
        <f>+DX$96*DX92</f>
        <v>8538.9857142857145</v>
      </c>
      <c r="DY102" s="233">
        <f>DV102*(1+DY103)</f>
        <v>11385.172527194542</v>
      </c>
      <c r="DZ102" s="1070">
        <f>SUM(DX102:DY102)</f>
        <v>19924.158241480254</v>
      </c>
      <c r="EA102" s="233">
        <f t="shared" ref="EA102:EB102" si="533">DX102*(1+EA103)</f>
        <v>10246.782857142856</v>
      </c>
      <c r="EB102" s="233">
        <f t="shared" si="533"/>
        <v>12182.134604098161</v>
      </c>
      <c r="EC102" s="1070">
        <f t="shared" ref="EC102" si="534">SUM(EA102:EB102)</f>
        <v>22428.917461241017</v>
      </c>
      <c r="ED102" s="233">
        <f t="shared" ref="ED102:EE102" si="535">EA102*(1+ED103)</f>
        <v>11168.993314285713</v>
      </c>
      <c r="EE102" s="233">
        <f t="shared" si="535"/>
        <v>13278.526718466996</v>
      </c>
      <c r="EF102" s="1070">
        <f t="shared" ref="EF102" si="536">SUM(ED102:EE102)</f>
        <v>24447.520032752709</v>
      </c>
      <c r="EG102" s="233">
        <f t="shared" ref="EG102:EH102" si="537">ED102*(1+EG103)</f>
        <v>12174.202712571428</v>
      </c>
      <c r="EH102" s="233">
        <f t="shared" si="537"/>
        <v>14473.594123129027</v>
      </c>
      <c r="EI102" s="1070">
        <f t="shared" ref="EI102" si="538">SUM(EG102:EH102)</f>
        <v>26647.796835700457</v>
      </c>
      <c r="EJ102" s="233">
        <f t="shared" ref="EJ102:EK102" si="539">EG102*(1+EJ103)</f>
        <v>13269.880956702858</v>
      </c>
      <c r="EK102" s="233">
        <f t="shared" si="539"/>
        <v>15776.217594210641</v>
      </c>
      <c r="EL102" s="1070">
        <f t="shared" ref="EL102" si="540">SUM(EJ102:EK102)</f>
        <v>29046.098550913499</v>
      </c>
      <c r="EM102" s="233">
        <f t="shared" ref="EM102:EN102" si="541">EJ102*(1+EM103)</f>
        <v>14464.170242806116</v>
      </c>
      <c r="EN102" s="233">
        <f t="shared" si="541"/>
        <v>17196.0771776896</v>
      </c>
      <c r="EO102" s="1070">
        <f t="shared" ref="EO102" si="542">SUM(EM102:EN102)</f>
        <v>31660.247420495718</v>
      </c>
      <c r="EP102" s="233">
        <f t="shared" ref="EP102:EQ102" si="543">EM102*(1+EP103)</f>
        <v>15765.945564658668</v>
      </c>
      <c r="EQ102" s="233">
        <f t="shared" si="543"/>
        <v>18743.724123681666</v>
      </c>
      <c r="ER102" s="1070">
        <f t="shared" ref="ER102" si="544">SUM(EP102:EQ102)</f>
        <v>34509.669688340335</v>
      </c>
      <c r="ES102" s="233">
        <f t="shared" ref="ES102" si="545">EP102*(1+ES103)</f>
        <v>17184.880665477951</v>
      </c>
      <c r="ET102" s="233">
        <f t="shared" ref="ET102" si="546">EQ102*(1+ET103)</f>
        <v>20430.659294813016</v>
      </c>
      <c r="EU102" s="1070">
        <f t="shared" ref="EU102" si="547">SUM(ES102:ET102)</f>
        <v>37615.539960290967</v>
      </c>
      <c r="EV102" s="233">
        <f t="shared" ref="EV102" si="548">ES102*(1+EV103)</f>
        <v>18731.519925370969</v>
      </c>
      <c r="EW102" s="233">
        <f t="shared" ref="EW102" si="549">ET102*(1+EW103)</f>
        <v>22269.418631346191</v>
      </c>
      <c r="EX102" s="1070">
        <f t="shared" ref="EX102" si="550">SUM(EV102:EW102)</f>
        <v>41000.938556717156</v>
      </c>
      <c r="EY102" s="233">
        <f t="shared" ref="EY102" si="551">EV102*(1+EY103)</f>
        <v>20417.356718654359</v>
      </c>
      <c r="EZ102" s="233">
        <f t="shared" ref="EZ102" si="552">EW102*(1+EZ103)</f>
        <v>24273.666308167351</v>
      </c>
      <c r="FA102" s="1070">
        <f t="shared" ref="FA102" si="553">SUM(EY102:EZ102)</f>
        <v>44691.023026821713</v>
      </c>
      <c r="FI102" s="1014" t="s">
        <v>982</v>
      </c>
      <c r="FJ102" s="233">
        <f>+FJ100-FJ101</f>
        <v>16814</v>
      </c>
      <c r="FK102" s="35">
        <f>+FJ102*(1+FK97)</f>
        <v>20513.079999999998</v>
      </c>
    </row>
    <row r="103" spans="1:173">
      <c r="B103" s="247"/>
      <c r="C103" s="35" t="s">
        <v>491</v>
      </c>
      <c r="D103" s="162" t="s">
        <v>460</v>
      </c>
      <c r="BA103" s="35"/>
      <c r="BB103" s="35"/>
      <c r="BC103" s="56"/>
      <c r="BD103" s="171">
        <v>0.18</v>
      </c>
      <c r="BE103" s="171">
        <v>0.23380585269556919</v>
      </c>
      <c r="BF103" s="962">
        <v>0.20952571090162975</v>
      </c>
      <c r="BG103" s="171">
        <v>0.14000000000000001</v>
      </c>
      <c r="BH103" s="171">
        <v>0.05</v>
      </c>
      <c r="BI103" s="962">
        <v>8.9621518185897114E-2</v>
      </c>
      <c r="BJ103" s="167">
        <v>0.04</v>
      </c>
      <c r="BK103" s="167">
        <v>0.04</v>
      </c>
      <c r="BL103" s="1027">
        <v>4.000000000000016E-2</v>
      </c>
      <c r="BM103" s="167">
        <v>9.1249999999999998E-2</v>
      </c>
      <c r="BN103" s="167">
        <v>0.152</v>
      </c>
      <c r="BO103" s="1027">
        <v>0.12401894627153805</v>
      </c>
      <c r="BP103" s="167">
        <v>0.27</v>
      </c>
      <c r="BQ103" s="167">
        <v>0.1</v>
      </c>
      <c r="BR103" s="1027">
        <v>0.17601815582163172</v>
      </c>
      <c r="BS103" s="167">
        <v>0.22</v>
      </c>
      <c r="BT103" s="167">
        <v>0.23</v>
      </c>
      <c r="BU103" s="167">
        <v>0.22517099002478369</v>
      </c>
      <c r="BV103" s="167">
        <v>0.24</v>
      </c>
      <c r="BW103" s="167">
        <v>0.21667</v>
      </c>
      <c r="BX103" s="167">
        <v>0.22788853034716522</v>
      </c>
      <c r="BY103" s="167">
        <v>0.05</v>
      </c>
      <c r="BZ103" s="167">
        <v>-2.8000000000000001E-2</v>
      </c>
      <c r="CA103" s="167">
        <v>9.8772616059620115E-3</v>
      </c>
      <c r="CB103" s="167">
        <v>0.03</v>
      </c>
      <c r="CC103" s="167">
        <v>0.1492</v>
      </c>
      <c r="CD103" s="167">
        <v>8.9016016251940236E-2</v>
      </c>
      <c r="CE103" s="167">
        <v>0.24917056258336648</v>
      </c>
      <c r="CF103" s="167">
        <f>CF100</f>
        <v>0.15</v>
      </c>
      <c r="CG103" s="167">
        <f>CG102/CD102-1</f>
        <v>0.19735767914270008</v>
      </c>
      <c r="CH103" s="167">
        <v>-0.10950351762499268</v>
      </c>
      <c r="CI103" s="167">
        <f>CI100</f>
        <v>-4.1335610200188319E-2</v>
      </c>
      <c r="CJ103" s="167">
        <f>CJ102/CG102-1</f>
        <v>-7.5296998375212976E-2</v>
      </c>
      <c r="CK103" s="167">
        <v>0.12</v>
      </c>
      <c r="CL103" s="167">
        <v>0.05</v>
      </c>
      <c r="CM103" s="167">
        <f>CM102/CJ102-1</f>
        <v>8.3584079721422899E-2</v>
      </c>
      <c r="CN103" s="167">
        <f>CN100</f>
        <v>-1.989775051124824E-2</v>
      </c>
      <c r="CO103" s="167">
        <f>CO100</f>
        <v>0.14843798170794512</v>
      </c>
      <c r="CP103" s="167">
        <f>CP102/CM102-1</f>
        <v>6.4960924314973356E-2</v>
      </c>
      <c r="CQ103" s="167">
        <v>0.04</v>
      </c>
      <c r="CR103" s="167">
        <v>7.0000000000000007E-2</v>
      </c>
      <c r="CS103" s="167">
        <f>CS102/CP102-1</f>
        <v>5.630853921084622E-2</v>
      </c>
      <c r="CT103" s="167">
        <f>CT100</f>
        <v>0.1</v>
      </c>
      <c r="CU103" s="167">
        <v>0.06</v>
      </c>
      <c r="CV103" s="167">
        <f>CV102/CS102-1</f>
        <v>7.7973434455502089E-2</v>
      </c>
      <c r="CW103" s="167">
        <v>0.1</v>
      </c>
      <c r="CX103" s="167">
        <f>CW103</f>
        <v>0.1</v>
      </c>
      <c r="CY103" s="167">
        <f>CY102/CV102-1</f>
        <v>0.10000000000000031</v>
      </c>
      <c r="CZ103" s="167">
        <v>-0.02</v>
      </c>
      <c r="DA103" s="167">
        <v>0.25</v>
      </c>
      <c r="DB103" s="167">
        <f>DB102/CY102-1</f>
        <v>0.12620033428791255</v>
      </c>
      <c r="DC103" s="167">
        <v>0.11</v>
      </c>
      <c r="DD103" s="167">
        <v>-0.08</v>
      </c>
      <c r="DE103" s="167">
        <f>DE102/DB102-1</f>
        <v>-4.1911807216064023E-3</v>
      </c>
      <c r="DF103" s="167">
        <v>0.13500000000000001</v>
      </c>
      <c r="DG103" s="167">
        <f>DG100</f>
        <v>-0.25</v>
      </c>
      <c r="DH103" s="1068">
        <f t="shared" ref="DH103:DU103" si="554">DH102/DE102-1</f>
        <v>-7.8772359706461237E-2</v>
      </c>
      <c r="DI103" s="171">
        <f t="shared" si="554"/>
        <v>-0.16035934611992053</v>
      </c>
      <c r="DJ103" s="171">
        <f t="shared" si="554"/>
        <v>0.30382425119126855</v>
      </c>
      <c r="DK103" s="1068">
        <f t="shared" si="554"/>
        <v>4.9474197519657315E-2</v>
      </c>
      <c r="DL103" s="171">
        <f t="shared" si="554"/>
        <v>0.17700580743167738</v>
      </c>
      <c r="DM103" s="171">
        <f t="shared" si="554"/>
        <v>-2.8495244516725138E-2</v>
      </c>
      <c r="DN103" s="1068">
        <f t="shared" si="554"/>
        <v>6.1595004180395874E-2</v>
      </c>
      <c r="DO103" s="171">
        <f t="shared" si="554"/>
        <v>4.3583847315275426E-2</v>
      </c>
      <c r="DP103" s="171">
        <f t="shared" si="554"/>
        <v>9.828251225367679E-2</v>
      </c>
      <c r="DQ103" s="1068">
        <f t="shared" si="554"/>
        <v>7.1696071366749825E-2</v>
      </c>
      <c r="DR103" s="171">
        <f t="shared" si="554"/>
        <v>0.12186947983577245</v>
      </c>
      <c r="DS103" s="171">
        <f t="shared" si="554"/>
        <v>7.7780086804179138E-2</v>
      </c>
      <c r="DT103" s="1068">
        <f t="shared" si="554"/>
        <v>9.8647725362944083E-2</v>
      </c>
      <c r="DU103" s="171">
        <f t="shared" si="554"/>
        <v>2.0610515431288778E-2</v>
      </c>
      <c r="DV103" s="171">
        <f t="shared" ref="DV103" si="555">DV102/DS102-1</f>
        <v>0.26397870219783393</v>
      </c>
      <c r="DW103" s="1068">
        <f t="shared" ref="DW103:DX103" si="556">DW102/DT102-1</f>
        <v>0.14635716128778098</v>
      </c>
      <c r="DX103" s="171">
        <f t="shared" si="556"/>
        <v>9.2316813527172581E-2</v>
      </c>
      <c r="DY103" s="1143">
        <f>+DY100</f>
        <v>0.1</v>
      </c>
      <c r="DZ103" s="1142">
        <f>DZ102/DW102-1</f>
        <v>9.6693987264613979E-2</v>
      </c>
      <c r="EA103" s="1143">
        <f t="shared" ref="EA103:EB103" si="557">+EA100</f>
        <v>0.2</v>
      </c>
      <c r="EB103" s="1143">
        <f t="shared" si="557"/>
        <v>7.0000000000000007E-2</v>
      </c>
      <c r="EC103" s="1142">
        <f t="shared" ref="EC103" si="558">EC102/DZ102-1</f>
        <v>0.12571468211621029</v>
      </c>
      <c r="ED103" s="171">
        <f t="shared" ref="ED103:EE103" si="559">ED100</f>
        <v>0.09</v>
      </c>
      <c r="EE103" s="171">
        <f t="shared" si="559"/>
        <v>0.09</v>
      </c>
      <c r="EF103" s="1068">
        <f t="shared" ref="EF103" si="560">EF102/EC102-1</f>
        <v>9.000000000000008E-2</v>
      </c>
      <c r="EG103" s="171">
        <f t="shared" ref="EG103:EH103" si="561">EG100</f>
        <v>0.09</v>
      </c>
      <c r="EH103" s="171">
        <f t="shared" si="561"/>
        <v>0.09</v>
      </c>
      <c r="EI103" s="1068">
        <f t="shared" ref="EI103" si="562">EI102/EF102-1</f>
        <v>9.000000000000008E-2</v>
      </c>
      <c r="EJ103" s="171">
        <f t="shared" ref="EJ103:EK103" si="563">EJ100</f>
        <v>0.09</v>
      </c>
      <c r="EK103" s="171">
        <f t="shared" si="563"/>
        <v>0.09</v>
      </c>
      <c r="EL103" s="1068">
        <f t="shared" ref="EL103" si="564">EL102/EI102-1</f>
        <v>9.000000000000008E-2</v>
      </c>
      <c r="EM103" s="171">
        <f t="shared" ref="EM103:EN103" si="565">EM100</f>
        <v>0.09</v>
      </c>
      <c r="EN103" s="171">
        <f t="shared" si="565"/>
        <v>0.09</v>
      </c>
      <c r="EO103" s="1068">
        <f t="shared" ref="EO103" si="566">EO102/EL102-1</f>
        <v>9.000000000000008E-2</v>
      </c>
      <c r="EP103" s="171">
        <f t="shared" ref="EP103:EQ103" si="567">EP100</f>
        <v>0.09</v>
      </c>
      <c r="EQ103" s="171">
        <f t="shared" si="567"/>
        <v>0.09</v>
      </c>
      <c r="ER103" s="1068">
        <f t="shared" ref="ER103" si="568">ER102/EO102-1</f>
        <v>9.000000000000008E-2</v>
      </c>
      <c r="ES103" s="171">
        <f t="shared" ref="ES103:ET103" si="569">ES100</f>
        <v>0.09</v>
      </c>
      <c r="ET103" s="171">
        <f t="shared" si="569"/>
        <v>0.09</v>
      </c>
      <c r="EU103" s="1068">
        <f t="shared" ref="EU103" si="570">EU102/ER102-1</f>
        <v>9.000000000000008E-2</v>
      </c>
      <c r="EV103" s="171">
        <f t="shared" ref="EV103:EW103" si="571">EV100</f>
        <v>0.09</v>
      </c>
      <c r="EW103" s="171">
        <f t="shared" si="571"/>
        <v>0.09</v>
      </c>
      <c r="EX103" s="1068">
        <f t="shared" ref="EX103" si="572">EX102/EU102-1</f>
        <v>9.000000000000008E-2</v>
      </c>
      <c r="EY103" s="171">
        <f t="shared" ref="EY103:EZ103" si="573">EY100</f>
        <v>0.09</v>
      </c>
      <c r="EZ103" s="171">
        <f t="shared" si="573"/>
        <v>0.09</v>
      </c>
      <c r="FA103" s="1068">
        <f t="shared" ref="FA103" si="574">FA102/EX102-1</f>
        <v>9.0000000000000302E-2</v>
      </c>
      <c r="FD103" s="261"/>
      <c r="FK103" s="233">
        <f>+FK102-FJ102</f>
        <v>3699.0799999999981</v>
      </c>
    </row>
    <row r="104" spans="1:173">
      <c r="BA104" s="35"/>
      <c r="BB104" s="35"/>
      <c r="BC104" s="56"/>
      <c r="BD104" s="35"/>
      <c r="BE104" s="35"/>
      <c r="BG104" s="35"/>
      <c r="BH104" s="35"/>
      <c r="BJ104" s="35"/>
      <c r="BK104" s="35"/>
      <c r="BL104" s="31"/>
      <c r="BM104" s="35"/>
      <c r="BN104" s="35"/>
      <c r="BO104" s="31"/>
      <c r="BP104" s="35"/>
      <c r="BQ104" s="35"/>
      <c r="BR104" s="31"/>
      <c r="BS104" s="35"/>
      <c r="BT104" s="35"/>
      <c r="BV104" s="167"/>
      <c r="BW104" s="35"/>
      <c r="BY104" s="163"/>
      <c r="BZ104" s="163"/>
      <c r="CA104" s="167"/>
      <c r="CB104" s="163"/>
      <c r="CC104" s="163">
        <v>15</v>
      </c>
      <c r="CD104" s="167"/>
      <c r="CE104" s="163"/>
      <c r="CF104" s="163"/>
      <c r="CG104" s="167"/>
      <c r="CH104" s="163"/>
      <c r="CI104" s="163"/>
      <c r="CJ104" s="167"/>
      <c r="CK104" s="163"/>
      <c r="CL104" s="163"/>
      <c r="CM104" s="167"/>
      <c r="CN104" s="163"/>
      <c r="CO104" s="163"/>
      <c r="CP104" s="167"/>
      <c r="CQ104" s="163"/>
      <c r="CR104" s="163"/>
      <c r="CS104" s="167"/>
      <c r="CT104" s="163"/>
      <c r="CU104" s="163"/>
      <c r="CV104" s="167"/>
      <c r="CW104" s="163"/>
      <c r="CX104" s="163"/>
      <c r="CY104" s="167"/>
      <c r="CZ104" s="163"/>
      <c r="DA104" s="163"/>
      <c r="DB104" s="167"/>
      <c r="DC104" s="163"/>
      <c r="DD104" s="163"/>
      <c r="DE104" s="167"/>
      <c r="DF104" s="163"/>
      <c r="DG104" s="163"/>
      <c r="DH104" s="1072"/>
      <c r="DI104" s="163"/>
      <c r="DJ104" s="163"/>
      <c r="DK104" s="1072"/>
      <c r="DL104" s="163"/>
      <c r="DM104" s="163"/>
      <c r="DN104" s="1072"/>
      <c r="DO104" s="163"/>
      <c r="DP104" s="163"/>
      <c r="DQ104" s="1072"/>
      <c r="DR104" s="163"/>
      <c r="DS104" s="163"/>
      <c r="DT104" s="1072"/>
      <c r="DU104" s="163"/>
      <c r="DV104" s="163"/>
      <c r="DW104" s="1072"/>
      <c r="DX104" s="163"/>
      <c r="DY104" s="35"/>
      <c r="DZ104" s="1072"/>
      <c r="EA104" s="163"/>
      <c r="EB104" s="35"/>
      <c r="EC104" s="1072"/>
      <c r="ED104" s="163"/>
      <c r="EE104" s="35"/>
      <c r="EF104" s="1072"/>
      <c r="EG104" s="163"/>
      <c r="EH104" s="35"/>
      <c r="EI104" s="1072"/>
      <c r="EJ104" s="163"/>
      <c r="EK104" s="35"/>
      <c r="EL104" s="1072"/>
      <c r="EM104" s="163"/>
      <c r="EN104" s="35"/>
      <c r="EO104" s="1072"/>
      <c r="EP104" s="163"/>
      <c r="EQ104" s="35"/>
      <c r="ER104" s="1072"/>
      <c r="ES104" s="163"/>
      <c r="ET104" s="35"/>
      <c r="EU104" s="1072"/>
      <c r="EV104" s="163"/>
      <c r="EW104" s="35"/>
      <c r="EX104" s="1072"/>
      <c r="EY104" s="163"/>
      <c r="EZ104" s="35"/>
      <c r="FA104" s="1072"/>
      <c r="FK104" s="35">
        <f>+FJ102*1.09</f>
        <v>18327.260000000002</v>
      </c>
    </row>
    <row r="105" spans="1:173" s="233" customFormat="1">
      <c r="A105" s="1147"/>
      <c r="C105" s="233" t="s">
        <v>492</v>
      </c>
      <c r="D105" s="245" t="s">
        <v>98</v>
      </c>
      <c r="BA105" s="233">
        <v>572</v>
      </c>
      <c r="BB105" s="233">
        <v>272.35204607001879</v>
      </c>
      <c r="BC105" s="246">
        <v>844.35204607001879</v>
      </c>
      <c r="BD105" s="233">
        <v>700</v>
      </c>
      <c r="BE105" s="233">
        <v>603.05842189123246</v>
      </c>
      <c r="BF105" s="246">
        <v>1303.0584218912336</v>
      </c>
      <c r="BG105" s="233">
        <v>662.18</v>
      </c>
      <c r="BH105" s="233">
        <v>902.00697261542382</v>
      </c>
      <c r="BI105" s="246">
        <v>1368</v>
      </c>
      <c r="BJ105" s="233">
        <v>794.61600000000033</v>
      </c>
      <c r="BK105" s="233">
        <v>825.33637994311277</v>
      </c>
      <c r="BL105" s="246">
        <v>1619.9523799431131</v>
      </c>
      <c r="BM105" s="233">
        <v>818.45448000000033</v>
      </c>
      <c r="BN105" s="233">
        <v>1031.6704749288911</v>
      </c>
      <c r="BO105" s="246">
        <v>1850.1249549288914</v>
      </c>
      <c r="BP105" s="233">
        <v>1039.4371896000005</v>
      </c>
      <c r="BQ105" s="233">
        <v>1083.2539986753357</v>
      </c>
      <c r="BR105" s="246">
        <v>2122.6911882753361</v>
      </c>
      <c r="BS105" s="233">
        <v>1253.5612506576006</v>
      </c>
      <c r="BT105" s="233">
        <v>1354.0674983441695</v>
      </c>
      <c r="BU105" s="233">
        <v>2607.6287490017703</v>
      </c>
      <c r="BV105" s="233">
        <v>1331.282048198372</v>
      </c>
      <c r="BW105" s="233">
        <v>1570.7182980792365</v>
      </c>
      <c r="BX105" s="233">
        <v>2902.0003462776085</v>
      </c>
      <c r="BY105" s="233">
        <v>1264.7179457884533</v>
      </c>
      <c r="BZ105" s="233">
        <v>1652.3956495793568</v>
      </c>
      <c r="CA105" s="233">
        <v>2917.1135953678104</v>
      </c>
      <c r="CB105" s="233">
        <v>1378.5425609094143</v>
      </c>
      <c r="CC105" s="233">
        <v>1982.874779495228</v>
      </c>
      <c r="CD105" s="233">
        <v>3361.4173404046423</v>
      </c>
      <c r="CE105" s="233">
        <v>1722.0347863563277</v>
      </c>
      <c r="CF105" s="233">
        <f>CC105*(1+CF106)</f>
        <v>2282.2507419988237</v>
      </c>
      <c r="CG105" s="233">
        <f>SUM(CE105:CF105)</f>
        <v>4004.2855283551517</v>
      </c>
      <c r="CH105" s="233">
        <f>CE105*(1+CH106)</f>
        <v>1885.6280910601788</v>
      </c>
      <c r="CI105" s="233">
        <f>CF105*(1+CI106)</f>
        <v>2187.9125149484698</v>
      </c>
      <c r="CJ105" s="233">
        <f>SUM(CH105:CI105)</f>
        <v>4073.5406060086489</v>
      </c>
      <c r="CK105" s="233">
        <f>CH105*(1+CK106)</f>
        <v>3892.0000000000005</v>
      </c>
      <c r="CL105" s="233">
        <f>CI105*(1+CL106)</f>
        <v>3270.9999999999995</v>
      </c>
      <c r="CM105" s="233">
        <f>SUM(CK105:CL105)</f>
        <v>7163</v>
      </c>
      <c r="CN105" s="233">
        <f>CN354</f>
        <v>2126.6000000000008</v>
      </c>
      <c r="CO105" s="233">
        <f>CO354</f>
        <v>3109.5499999999993</v>
      </c>
      <c r="CP105" s="233">
        <f>SUM(CN105:CO105)</f>
        <v>5236.1499999999996</v>
      </c>
      <c r="CQ105" s="233">
        <f>CN105*(1+CQ106)</f>
        <v>1027.9874150297394</v>
      </c>
      <c r="CR105" s="233">
        <f>CO105*(1+CR106)+1900</f>
        <v>2703.2525877354306</v>
      </c>
      <c r="CS105" s="233">
        <f>SUM(CQ105:CR105)</f>
        <v>3731.2400027651702</v>
      </c>
      <c r="CT105" s="233">
        <f>CQ105*(1+CT106)</f>
        <v>3020.8861565327129</v>
      </c>
      <c r="CU105" s="233">
        <f>+CU108+CU111</f>
        <v>2443.4152171222026</v>
      </c>
      <c r="CV105" s="233">
        <f>SUM(CT105:CU105)</f>
        <v>5464.3013736549156</v>
      </c>
      <c r="CW105" s="233">
        <f>+CW108+CW111</f>
        <v>2685.0633878392555</v>
      </c>
      <c r="CX105" s="233">
        <f>+CX108+CX111</f>
        <v>1812.0982605466431</v>
      </c>
      <c r="CY105" s="233">
        <f>SUM(CW105:CX105)</f>
        <v>4497.1616483858988</v>
      </c>
      <c r="CZ105" s="233">
        <f>+CZ108+CZ111</f>
        <v>1616.7646555960407</v>
      </c>
      <c r="DA105" s="233">
        <f>+DA108+DA111</f>
        <v>2461.26954027486</v>
      </c>
      <c r="DB105" s="233">
        <f>SUM(CZ105:DA105)</f>
        <v>4078.0341958709005</v>
      </c>
      <c r="DC105" s="233">
        <f>+DC108+DC111</f>
        <v>1988.775479696159</v>
      </c>
      <c r="DD105" s="233">
        <f>+DD108+DD111</f>
        <v>2129.7604618475343</v>
      </c>
      <c r="DE105" s="233">
        <f>SUM(DC105:DD105)</f>
        <v>4118.5359415436933</v>
      </c>
      <c r="DF105" s="233">
        <f>+DF108+DF111</f>
        <v>2463.5130480787589</v>
      </c>
      <c r="DG105" s="233">
        <f>+DG108+DG111</f>
        <v>1358.0703463856507</v>
      </c>
      <c r="DH105" s="1070">
        <f>SUM(DF105:DG105)</f>
        <v>3821.5833944644096</v>
      </c>
      <c r="DI105" s="233">
        <f>+DI108+DI111</f>
        <v>3029.5119816908996</v>
      </c>
      <c r="DJ105" s="233">
        <f>+DJ108+DJ111</f>
        <v>3083.6544970019991</v>
      </c>
      <c r="DK105" s="1070">
        <f>SUM(DI105:DJ105)</f>
        <v>6113.1664786928986</v>
      </c>
      <c r="DL105" s="233">
        <f>+DL108+DL111</f>
        <v>3195.8540414571321</v>
      </c>
      <c r="DM105" s="233">
        <f>+DM108+DM111</f>
        <v>3386.528457253572</v>
      </c>
      <c r="DN105" s="1070">
        <f>SUM(DL105:DM105)</f>
        <v>6582.3824987107037</v>
      </c>
      <c r="DO105" s="233">
        <f>+DO108+DO111</f>
        <v>3836.3934775299786</v>
      </c>
      <c r="DP105" s="233">
        <f>+DP108+DP111</f>
        <v>3810.6529057739322</v>
      </c>
      <c r="DQ105" s="1070">
        <f>SUM(DO105:DP105)</f>
        <v>7647.0463833039103</v>
      </c>
      <c r="DR105" s="233">
        <f>+DR108+DR111</f>
        <v>3813.4286869049752</v>
      </c>
      <c r="DS105" s="233">
        <f>+DS108+DS111</f>
        <v>4091.1519916142547</v>
      </c>
      <c r="DT105" s="1070">
        <f>SUM(DR105:DS105)</f>
        <v>7904.5806785192299</v>
      </c>
      <c r="DU105" s="233">
        <f>+DU108+DU111</f>
        <v>4969.9205060261556</v>
      </c>
      <c r="DV105" s="233">
        <f>+DV108+DV111</f>
        <v>4814.8110295977749</v>
      </c>
      <c r="DW105" s="1070">
        <f>SUM(DU105:DV105)</f>
        <v>9784.7315356239305</v>
      </c>
      <c r="DX105" s="233">
        <f>+DX108+DX111</f>
        <v>4773.7455782312927</v>
      </c>
      <c r="DY105" s="233">
        <f>+DY108+DY111</f>
        <v>5296.2921325575526</v>
      </c>
      <c r="DZ105" s="1070">
        <f>SUM(DX105:DY105)</f>
        <v>10070.037710788845</v>
      </c>
      <c r="EA105" s="233">
        <f t="shared" ref="EA105:EB105" si="575">+EA108+EA111</f>
        <v>5728.4946938775511</v>
      </c>
      <c r="EB105" s="233">
        <f t="shared" si="575"/>
        <v>5667.0325818365818</v>
      </c>
      <c r="EC105" s="1070">
        <f t="shared" ref="EC105" si="576">SUM(EA105:EB105)</f>
        <v>11395.527275714132</v>
      </c>
      <c r="ED105" s="233">
        <f t="shared" ref="ED105:EE105" si="577">+ED108+ED111</f>
        <v>6244.059216326531</v>
      </c>
      <c r="EE105" s="233">
        <f t="shared" si="577"/>
        <v>6177.065514201875</v>
      </c>
      <c r="EF105" s="1070">
        <f t="shared" ref="EF105" si="578">SUM(ED105:EE105)</f>
        <v>12421.124730528405</v>
      </c>
      <c r="EG105" s="233">
        <f t="shared" ref="EG105:EH105" si="579">+EG108+EG111</f>
        <v>6806.024545795919</v>
      </c>
      <c r="EH105" s="233">
        <f t="shared" si="579"/>
        <v>6733.0014104800439</v>
      </c>
      <c r="EI105" s="1070">
        <f t="shared" ref="EI105" si="580">SUM(EG105:EH105)</f>
        <v>13539.025956275964</v>
      </c>
      <c r="EJ105" s="233">
        <f t="shared" ref="EJ105:EK105" si="581">+EJ108+EJ111</f>
        <v>7418.5667549175523</v>
      </c>
      <c r="EK105" s="233">
        <f t="shared" si="581"/>
        <v>7338.9715374232483</v>
      </c>
      <c r="EL105" s="1070">
        <f t="shared" ref="EL105" si="582">SUM(EJ105:EK105)</f>
        <v>14757.5382923408</v>
      </c>
      <c r="EM105" s="233">
        <f t="shared" ref="EM105:EN105" si="583">+EM108+EM111</f>
        <v>8086.2377628601325</v>
      </c>
      <c r="EN105" s="233">
        <f t="shared" si="583"/>
        <v>7999.4789757913413</v>
      </c>
      <c r="EO105" s="1070">
        <f t="shared" ref="EO105" si="584">SUM(EM105:EN105)</f>
        <v>16085.716738651474</v>
      </c>
      <c r="EP105" s="233">
        <f t="shared" ref="EP105:EQ105" si="585">+EP108+EP111</f>
        <v>8813.9991615175459</v>
      </c>
      <c r="EQ105" s="233">
        <f t="shared" si="585"/>
        <v>8719.4320836125626</v>
      </c>
      <c r="ER105" s="1070">
        <f t="shared" ref="ER105" si="586">SUM(EP105:EQ105)</f>
        <v>17533.431245130108</v>
      </c>
      <c r="ES105" s="233">
        <f t="shared" ref="ES105:ET105" si="587">+ES108+ES111</f>
        <v>9607.2590860541259</v>
      </c>
      <c r="ET105" s="233">
        <f t="shared" si="587"/>
        <v>9504.1809711376936</v>
      </c>
      <c r="EU105" s="1070">
        <f t="shared" ref="EU105" si="588">SUM(ES105:ET105)</f>
        <v>19111.44005719182</v>
      </c>
      <c r="EV105" s="233">
        <f t="shared" ref="EV105:EW105" si="589">+EV108+EV111</f>
        <v>10471.912403798999</v>
      </c>
      <c r="EW105" s="233">
        <f t="shared" si="589"/>
        <v>10359.557258540086</v>
      </c>
      <c r="EX105" s="1070">
        <f t="shared" ref="EX105" si="590">SUM(EV105:EW105)</f>
        <v>20831.469662339085</v>
      </c>
      <c r="EY105" s="233">
        <f t="shared" ref="EY105:EZ105" si="591">+EY108+EY111</f>
        <v>11414.384520140909</v>
      </c>
      <c r="EZ105" s="233">
        <f t="shared" si="591"/>
        <v>11291.917411808694</v>
      </c>
      <c r="FA105" s="1070">
        <f t="shared" ref="FA105" si="592">SUM(EY105:EZ105)</f>
        <v>22706.301931949602</v>
      </c>
      <c r="FK105" s="233">
        <f>+FK102-FK104</f>
        <v>2185.8199999999961</v>
      </c>
    </row>
    <row r="106" spans="1:173">
      <c r="C106" s="35" t="s">
        <v>491</v>
      </c>
      <c r="D106" s="162" t="s">
        <v>460</v>
      </c>
      <c r="BA106" s="35"/>
      <c r="BB106" s="35"/>
      <c r="BD106" s="171">
        <v>0.22377622377622416</v>
      </c>
      <c r="BE106" s="171">
        <v>1.2142606622319725</v>
      </c>
      <c r="BF106" s="962">
        <v>0.54326436224822761</v>
      </c>
      <c r="BG106" s="171">
        <v>-5.4028571428571322E-2</v>
      </c>
      <c r="BH106" s="171">
        <v>0.2</v>
      </c>
      <c r="BI106" s="962">
        <v>4.9837810045777892E-2</v>
      </c>
      <c r="BJ106" s="167">
        <v>0.2</v>
      </c>
      <c r="BK106" s="167">
        <v>-8.5000000000000006E-2</v>
      </c>
      <c r="BL106" s="1027">
        <v>0.18417571633268501</v>
      </c>
      <c r="BM106" s="167">
        <v>0.03</v>
      </c>
      <c r="BN106" s="167">
        <v>0.25</v>
      </c>
      <c r="BO106" s="1027">
        <v>0.14208601304308779</v>
      </c>
      <c r="BP106" s="167">
        <v>0.27</v>
      </c>
      <c r="BQ106" s="167">
        <v>0.05</v>
      </c>
      <c r="BR106" s="1027">
        <v>0.14732314842859934</v>
      </c>
      <c r="BS106" s="167">
        <v>0.20599999999999999</v>
      </c>
      <c r="BT106" s="167">
        <v>0.25</v>
      </c>
      <c r="BU106" s="167">
        <v>0.22845412625490794</v>
      </c>
      <c r="BV106" s="167">
        <v>6.2E-2</v>
      </c>
      <c r="BW106" s="167">
        <v>0.16</v>
      </c>
      <c r="BX106" s="167">
        <v>0.11288861475719156</v>
      </c>
      <c r="BY106" s="167">
        <v>-0.05</v>
      </c>
      <c r="BZ106" s="167">
        <v>5.1999999999999998E-2</v>
      </c>
      <c r="CA106" s="167">
        <v>5.2078729451523337E-3</v>
      </c>
      <c r="CB106" s="167">
        <v>0.09</v>
      </c>
      <c r="CC106" s="167">
        <v>0.2</v>
      </c>
      <c r="CD106" s="167">
        <v>0.15230937380784823</v>
      </c>
      <c r="CE106" s="167">
        <v>0.24917056258336648</v>
      </c>
      <c r="CF106" s="167">
        <v>0.15098077074731184</v>
      </c>
      <c r="CG106" s="167">
        <f>CG105/CD105-1</f>
        <v>0.1912491436939876</v>
      </c>
      <c r="CH106" s="167">
        <v>9.5000000000000001E-2</v>
      </c>
      <c r="CI106" s="167">
        <f>CI100</f>
        <v>-4.1335610200188319E-2</v>
      </c>
      <c r="CJ106" s="167">
        <f>CJ105/CG105-1</f>
        <v>1.7295239603441814E-2</v>
      </c>
      <c r="CK106" s="167">
        <v>1.0640337394484589</v>
      </c>
      <c r="CL106" s="167">
        <v>0.49503235511088933</v>
      </c>
      <c r="CM106" s="167">
        <f>CM105/CJ105-1</f>
        <v>0.7584211605585236</v>
      </c>
      <c r="CN106" s="167">
        <f>CN105/CK105-1</f>
        <v>-0.4535971223021581</v>
      </c>
      <c r="CO106" s="167">
        <f>CO105/CL105-1</f>
        <v>-4.935799449709577E-2</v>
      </c>
      <c r="CP106" s="167">
        <f>CP105/CM105-1</f>
        <v>-0.26900041881893066</v>
      </c>
      <c r="CQ106" s="167">
        <v>-0.51660518431781299</v>
      </c>
      <c r="CR106" s="167">
        <v>-0.74168204796982495</v>
      </c>
      <c r="CS106" s="167">
        <f>CS105/CP105-1</f>
        <v>-0.28740773225267224</v>
      </c>
      <c r="CT106" s="167">
        <v>1.9386411860356478</v>
      </c>
      <c r="CU106" s="167">
        <v>-9.6120270740552238E-2</v>
      </c>
      <c r="CV106" s="167">
        <f>CV105/CS105-1</f>
        <v>0.46447330367529238</v>
      </c>
      <c r="CW106" s="167">
        <f>+CW105/CT105-1</f>
        <v>-0.11116697263391917</v>
      </c>
      <c r="CX106" s="167">
        <f>+CX105/CU105-1</f>
        <v>-0.25837481577081678</v>
      </c>
      <c r="CY106" s="167">
        <f>CY105/CV105-1</f>
        <v>-0.17699238367998804</v>
      </c>
      <c r="CZ106" s="167">
        <f>+CZ105/CW105-1</f>
        <v>-0.39786722990659229</v>
      </c>
      <c r="DA106" s="167">
        <f>+DA105/CX105-1</f>
        <v>0.35824286897796909</v>
      </c>
      <c r="DB106" s="167">
        <f>DB105/CY105-1</f>
        <v>-9.3198218184002757E-2</v>
      </c>
      <c r="DC106" s="167">
        <f>+DC105/CZ105-1</f>
        <v>0.23009584160099772</v>
      </c>
      <c r="DD106" s="167">
        <f>+DD105/DA105-1</f>
        <v>-0.1346902779247432</v>
      </c>
      <c r="DE106" s="167">
        <f>DE105/DB105-1</f>
        <v>9.9316836807796793E-3</v>
      </c>
      <c r="DF106" s="167">
        <f>+DF105/DC105-1</f>
        <v>0.2387084782718305</v>
      </c>
      <c r="DG106" s="167">
        <f>+DG105/DD105-1</f>
        <v>-0.36233657694652399</v>
      </c>
      <c r="DH106" s="1068">
        <f t="shared" ref="DH106:DK106" si="593">DH105/DE105-1</f>
        <v>-7.2101482491368274E-2</v>
      </c>
      <c r="DI106" s="171">
        <f t="shared" si="593"/>
        <v>0.22975276467626227</v>
      </c>
      <c r="DJ106" s="171">
        <f t="shared" si="593"/>
        <v>1.2706147035820301</v>
      </c>
      <c r="DK106" s="1068">
        <f t="shared" si="593"/>
        <v>0.59964230730850021</v>
      </c>
      <c r="DL106" s="171">
        <f t="shared" ref="DL106" si="594">DL105/DI105-1</f>
        <v>5.490721303349666E-2</v>
      </c>
      <c r="DM106" s="171">
        <f t="shared" ref="DM106" si="595">DM105/DJ105-1</f>
        <v>9.8219161889256501E-2</v>
      </c>
      <c r="DN106" s="1068">
        <f t="shared" ref="DN106" si="596">DN105/DK105-1</f>
        <v>7.6754988049684503E-2</v>
      </c>
      <c r="DO106" s="171">
        <f t="shared" ref="DO106" si="597">DO105/DL105-1</f>
        <v>0.20042825102888484</v>
      </c>
      <c r="DP106" s="171">
        <f t="shared" ref="DP106" si="598">DP105/DM105-1</f>
        <v>0.12523870797894299</v>
      </c>
      <c r="DQ106" s="1068">
        <f t="shared" ref="DQ106" si="599">DQ105/DN105-1</f>
        <v>0.16174445723896214</v>
      </c>
      <c r="DR106" s="171">
        <f t="shared" ref="DR106" si="600">DR105/DO105-1</f>
        <v>-5.9860363019356155E-3</v>
      </c>
      <c r="DS106" s="171">
        <f t="shared" ref="DS106" si="601">DS105/DP105-1</f>
        <v>7.3609193168789444E-2</v>
      </c>
      <c r="DT106" s="1068">
        <f t="shared" ref="DT106:DU106" si="602">DT105/DQ105-1</f>
        <v>3.3677616468706706E-2</v>
      </c>
      <c r="DU106" s="171">
        <f t="shared" si="602"/>
        <v>0.30326824337701286</v>
      </c>
      <c r="DV106" s="171">
        <f t="shared" ref="DV106" si="603">DV105/DS105-1</f>
        <v>0.17688392889504567</v>
      </c>
      <c r="DW106" s="1068">
        <f t="shared" ref="DW106:DX106" si="604">DW105/DT105-1</f>
        <v>0.23785586276752513</v>
      </c>
      <c r="DX106" s="171">
        <f t="shared" si="604"/>
        <v>-3.9472447810180444E-2</v>
      </c>
      <c r="DY106" s="1143">
        <f>+DY103</f>
        <v>0.1</v>
      </c>
      <c r="DZ106" s="1142">
        <f>DZ105/DW105-1</f>
        <v>2.9158303845760347E-2</v>
      </c>
      <c r="EA106" s="1143">
        <f>+EA103</f>
        <v>0.2</v>
      </c>
      <c r="EB106" s="1143">
        <f>+EB103</f>
        <v>7.0000000000000007E-2</v>
      </c>
      <c r="EC106" s="1142">
        <f t="shared" ref="EC106" si="605">EC105/DZ105-1</f>
        <v>0.13162707062210721</v>
      </c>
      <c r="ED106" s="171">
        <f t="shared" ref="ED106:EE106" si="606">ED100</f>
        <v>0.09</v>
      </c>
      <c r="EE106" s="171">
        <f t="shared" si="606"/>
        <v>0.09</v>
      </c>
      <c r="EF106" s="1068">
        <f t="shared" ref="EF106" si="607">EF105/EC105-1</f>
        <v>9.000000000000008E-2</v>
      </c>
      <c r="EG106" s="171">
        <f t="shared" ref="EG106:EH106" si="608">EG100</f>
        <v>0.09</v>
      </c>
      <c r="EH106" s="171">
        <f t="shared" si="608"/>
        <v>0.09</v>
      </c>
      <c r="EI106" s="1068">
        <f t="shared" ref="EI106" si="609">EI105/EF105-1</f>
        <v>9.000000000000008E-2</v>
      </c>
      <c r="EJ106" s="171">
        <f t="shared" ref="EJ106:EK106" si="610">EJ100</f>
        <v>0.09</v>
      </c>
      <c r="EK106" s="171">
        <f t="shared" si="610"/>
        <v>0.09</v>
      </c>
      <c r="EL106" s="1068">
        <f t="shared" ref="EL106" si="611">EL105/EI105-1</f>
        <v>8.9999999999999858E-2</v>
      </c>
      <c r="EM106" s="171">
        <f t="shared" ref="EM106:EN106" si="612">EM100</f>
        <v>0.09</v>
      </c>
      <c r="EN106" s="171">
        <f t="shared" si="612"/>
        <v>0.09</v>
      </c>
      <c r="EO106" s="1068">
        <f t="shared" ref="EO106" si="613">EO105/EL105-1</f>
        <v>9.000000000000008E-2</v>
      </c>
      <c r="EP106" s="171">
        <f t="shared" ref="EP106:EQ106" si="614">EP100</f>
        <v>0.09</v>
      </c>
      <c r="EQ106" s="171">
        <f t="shared" si="614"/>
        <v>0.09</v>
      </c>
      <c r="ER106" s="1068">
        <f t="shared" ref="ER106" si="615">ER105/EO105-1</f>
        <v>9.000000000000008E-2</v>
      </c>
      <c r="ES106" s="171">
        <f t="shared" ref="ES106:ET106" si="616">ES100</f>
        <v>0.09</v>
      </c>
      <c r="ET106" s="171">
        <f t="shared" si="616"/>
        <v>0.09</v>
      </c>
      <c r="EU106" s="1068">
        <f t="shared" ref="EU106" si="617">EU105/ER105-1</f>
        <v>9.000000000000008E-2</v>
      </c>
      <c r="EV106" s="171">
        <f t="shared" ref="EV106:EW106" si="618">EV100</f>
        <v>0.09</v>
      </c>
      <c r="EW106" s="171">
        <f t="shared" si="618"/>
        <v>0.09</v>
      </c>
      <c r="EX106" s="1068">
        <f t="shared" ref="EX106" si="619">EX105/EU105-1</f>
        <v>9.000000000000008E-2</v>
      </c>
      <c r="EY106" s="171">
        <f t="shared" ref="EY106:EZ106" si="620">EY100</f>
        <v>0.09</v>
      </c>
      <c r="EZ106" s="171">
        <f t="shared" si="620"/>
        <v>0.09</v>
      </c>
      <c r="FA106" s="1068">
        <f t="shared" ref="FA106" si="621">FA105/EX105-1</f>
        <v>8.9999999999999858E-2</v>
      </c>
    </row>
    <row r="107" spans="1:173">
      <c r="BA107" s="35"/>
      <c r="BB107" s="35"/>
      <c r="BD107" s="171"/>
      <c r="BE107" s="171"/>
      <c r="BF107" s="962"/>
      <c r="BG107" s="171"/>
      <c r="BH107" s="171"/>
      <c r="BI107" s="962"/>
      <c r="BJ107" s="167"/>
      <c r="BK107" s="167"/>
      <c r="BL107" s="1027"/>
      <c r="BM107" s="167"/>
      <c r="BN107" s="167"/>
      <c r="BO107" s="1027"/>
      <c r="BP107" s="167"/>
      <c r="BQ107" s="167"/>
      <c r="BR107" s="1027"/>
      <c r="BS107" s="167"/>
      <c r="BT107" s="167"/>
      <c r="BU107" s="167"/>
      <c r="BV107" s="167"/>
      <c r="BW107" s="167"/>
      <c r="BX107" s="167"/>
      <c r="BY107" s="167"/>
      <c r="BZ107" s="167"/>
      <c r="CA107" s="167"/>
      <c r="CB107" s="167"/>
      <c r="CC107" s="167"/>
      <c r="CD107" s="167"/>
      <c r="CE107" s="167"/>
      <c r="CF107" s="167"/>
      <c r="CG107" s="167"/>
      <c r="CH107" s="167"/>
      <c r="CI107" s="167"/>
      <c r="CJ107" s="167"/>
      <c r="CK107" s="167"/>
      <c r="CL107" s="167"/>
      <c r="CM107" s="167"/>
      <c r="CN107" s="167"/>
      <c r="CO107" s="167"/>
      <c r="CP107" s="167"/>
      <c r="CQ107" s="167"/>
      <c r="CR107" s="167"/>
      <c r="CS107" s="167"/>
      <c r="CT107" s="167"/>
      <c r="CU107" s="167"/>
      <c r="CV107" s="167"/>
      <c r="CW107" s="167"/>
      <c r="CX107" s="167"/>
      <c r="CY107" s="167"/>
      <c r="CZ107" s="167"/>
      <c r="DA107" s="167"/>
      <c r="DB107" s="167"/>
      <c r="DC107" s="167"/>
      <c r="DD107" s="167"/>
      <c r="DE107" s="167"/>
      <c r="DF107" s="167"/>
      <c r="DG107" s="167"/>
      <c r="DH107" s="1072"/>
      <c r="DI107" s="167"/>
      <c r="DJ107" s="167"/>
      <c r="DK107" s="1072"/>
      <c r="DL107" s="167"/>
      <c r="DM107" s="167"/>
      <c r="DN107" s="1072"/>
      <c r="DO107" s="167"/>
      <c r="DP107" s="167"/>
      <c r="DQ107" s="1072"/>
      <c r="DR107" s="167"/>
      <c r="DS107" s="167"/>
      <c r="DT107" s="1072"/>
      <c r="DU107" s="167"/>
      <c r="DV107" s="167"/>
      <c r="DW107" s="1072"/>
      <c r="DX107" s="167"/>
      <c r="DY107" s="167"/>
      <c r="DZ107" s="1072"/>
      <c r="EA107" s="167"/>
      <c r="EB107" s="167"/>
      <c r="EC107" s="1072"/>
      <c r="ED107" s="167"/>
      <c r="EE107" s="167"/>
      <c r="EF107" s="1072"/>
      <c r="EG107" s="167"/>
      <c r="EH107" s="167"/>
      <c r="EI107" s="1072"/>
      <c r="EJ107" s="167"/>
      <c r="EK107" s="167"/>
      <c r="EL107" s="1072"/>
      <c r="EM107" s="167"/>
      <c r="EN107" s="167"/>
      <c r="EO107" s="1072"/>
      <c r="EP107" s="167"/>
      <c r="EQ107" s="167"/>
      <c r="ER107" s="1072"/>
      <c r="ES107" s="167"/>
      <c r="ET107" s="167"/>
      <c r="EU107" s="1072"/>
      <c r="EV107" s="167"/>
      <c r="EW107" s="167"/>
      <c r="EX107" s="1072"/>
      <c r="EY107" s="167"/>
      <c r="EZ107" s="167"/>
      <c r="FA107" s="1072"/>
    </row>
    <row r="108" spans="1:173" s="233" customFormat="1">
      <c r="A108" s="1147"/>
      <c r="C108" s="233" t="s">
        <v>936</v>
      </c>
      <c r="D108" s="245" t="s">
        <v>98</v>
      </c>
      <c r="BC108" s="246"/>
      <c r="BF108" s="246"/>
      <c r="BI108" s="246"/>
      <c r="BL108" s="246"/>
      <c r="BO108" s="246"/>
      <c r="BR108" s="246"/>
      <c r="CK108" s="233">
        <f>+CK105-CK111</f>
        <v>1992.0000000000005</v>
      </c>
      <c r="CL108" s="233">
        <f>+CL105-CL111</f>
        <v>2370.9999999999995</v>
      </c>
      <c r="CM108" s="233">
        <f>SUM(CK108:CL108)</f>
        <v>4363</v>
      </c>
      <c r="CN108" s="233">
        <f>+CN105-CN111</f>
        <v>2126.6000000000008</v>
      </c>
      <c r="CO108" s="233">
        <f>+CO105-CO111</f>
        <v>1309.5499999999993</v>
      </c>
      <c r="CP108" s="233">
        <f>SUM(CN108:CO108)</f>
        <v>3436.15</v>
      </c>
      <c r="CQ108" s="233">
        <f>+CQ105-CQ111</f>
        <v>1027.9874150297394</v>
      </c>
      <c r="CR108" s="233">
        <f>+CR105-CR111</f>
        <v>803.25258773543055</v>
      </c>
      <c r="CS108" s="233">
        <f>SUM(CQ108:CR108)</f>
        <v>1831.2400027651699</v>
      </c>
      <c r="CT108" s="233">
        <f>+CT105-CT111</f>
        <v>1320.8861565327129</v>
      </c>
      <c r="CU108" s="233">
        <f>CR108*(1+CU109)</f>
        <v>843.41521712220265</v>
      </c>
      <c r="CV108" s="233">
        <f>SUM(CT108:CU108)</f>
        <v>2164.3013736549156</v>
      </c>
      <c r="CW108" s="233">
        <f>CT108*(1+CW109)</f>
        <v>1585.0633878392555</v>
      </c>
      <c r="CX108" s="233">
        <f>CU108*(1+CX109)</f>
        <v>1012.0982605466431</v>
      </c>
      <c r="CY108" s="233">
        <f>SUM(CW108:CX108)</f>
        <v>2597.1616483858988</v>
      </c>
      <c r="CZ108" s="233">
        <f>CW108*(1+CZ109)</f>
        <v>1616.7646555960407</v>
      </c>
      <c r="DA108" s="233">
        <f>CX108*(1+DA109)</f>
        <v>1361.26954027486</v>
      </c>
      <c r="DB108" s="233">
        <f>SUM(CZ108:DA108)</f>
        <v>2978.0341958709005</v>
      </c>
      <c r="DC108" s="233">
        <f>CZ108*(1+DC109)</f>
        <v>1988.775479696159</v>
      </c>
      <c r="DD108" s="233">
        <f>DA108*(1+DD109)</f>
        <v>1729.7604618475343</v>
      </c>
      <c r="DE108" s="233">
        <f>SUM(DC108:DD108)</f>
        <v>3718.5359415436933</v>
      </c>
      <c r="DF108" s="233">
        <f>DC108*(1+DF109)</f>
        <v>2463.5130480787589</v>
      </c>
      <c r="DG108" s="233">
        <f>DG96-DG99-DG102</f>
        <v>1358.0703463856507</v>
      </c>
      <c r="DH108" s="1070">
        <f>SUM(DF108:DG108)</f>
        <v>3821.5833944644096</v>
      </c>
      <c r="DI108" s="233">
        <f>+DI$96*DI93</f>
        <v>3029.5119816908996</v>
      </c>
      <c r="DJ108" s="233">
        <f>+DJ$96*DJ93</f>
        <v>3083.6544970019991</v>
      </c>
      <c r="DK108" s="1070">
        <f>SUM(DI108:DJ108)</f>
        <v>6113.1664786928986</v>
      </c>
      <c r="DL108" s="233">
        <f>+DL$96*DL93</f>
        <v>3195.8540414571321</v>
      </c>
      <c r="DM108" s="233">
        <f>+DM$96*DM93</f>
        <v>3386.528457253572</v>
      </c>
      <c r="DN108" s="1070">
        <f>SUM(DL108:DM108)</f>
        <v>6582.3824987107037</v>
      </c>
      <c r="DO108" s="233">
        <f>+DO$96*DO93</f>
        <v>3836.3934775299786</v>
      </c>
      <c r="DP108" s="233">
        <f>+DP$96*DP93</f>
        <v>3810.6529057739322</v>
      </c>
      <c r="DQ108" s="1070">
        <f>SUM(DO108:DP108)</f>
        <v>7647.0463833039103</v>
      </c>
      <c r="DR108" s="233">
        <f>+DR$96*DR93</f>
        <v>3813.4286869049752</v>
      </c>
      <c r="DS108" s="233">
        <f>+DS$96*DS93</f>
        <v>4091.1519916142547</v>
      </c>
      <c r="DT108" s="1070">
        <f>SUM(DR108:DS108)</f>
        <v>7904.5806785192299</v>
      </c>
      <c r="DU108" s="233">
        <f>+DU$96*DU93</f>
        <v>4969.9205060261556</v>
      </c>
      <c r="DV108" s="233">
        <f>+DV$96*DV93</f>
        <v>4814.8110295977749</v>
      </c>
      <c r="DW108" s="1070">
        <f>SUM(DU108:DV108)</f>
        <v>9784.7315356239305</v>
      </c>
      <c r="DX108" s="233">
        <f>+DX$96*DX93</f>
        <v>4773.7455782312927</v>
      </c>
      <c r="DY108" s="233">
        <f>DV108*(1+DY109)</f>
        <v>5296.2921325575526</v>
      </c>
      <c r="DZ108" s="1070">
        <f>SUM(DX108:DY108)</f>
        <v>10070.037710788845</v>
      </c>
      <c r="EA108" s="233">
        <f t="shared" ref="EA108:EB108" si="622">DX108*(1+EA109)</f>
        <v>5728.4946938775511</v>
      </c>
      <c r="EB108" s="233">
        <f t="shared" si="622"/>
        <v>5667.0325818365818</v>
      </c>
      <c r="EC108" s="1070">
        <f t="shared" ref="EC108" si="623">SUM(EA108:EB108)</f>
        <v>11395.527275714132</v>
      </c>
      <c r="ED108" s="233">
        <f t="shared" ref="ED108:EE108" si="624">EA108*(1+ED109)</f>
        <v>6244.059216326531</v>
      </c>
      <c r="EE108" s="233">
        <f t="shared" si="624"/>
        <v>6177.065514201875</v>
      </c>
      <c r="EF108" s="1070">
        <f t="shared" ref="EF108" si="625">SUM(ED108:EE108)</f>
        <v>12421.124730528405</v>
      </c>
      <c r="EG108" s="233">
        <f t="shared" ref="EG108:EH108" si="626">ED108*(1+EG109)</f>
        <v>6806.024545795919</v>
      </c>
      <c r="EH108" s="233">
        <f t="shared" si="626"/>
        <v>6733.0014104800439</v>
      </c>
      <c r="EI108" s="1070">
        <f t="shared" ref="EI108" si="627">SUM(EG108:EH108)</f>
        <v>13539.025956275964</v>
      </c>
      <c r="EJ108" s="233">
        <f t="shared" ref="EJ108:EK108" si="628">EG108*(1+EJ109)</f>
        <v>7418.5667549175523</v>
      </c>
      <c r="EK108" s="233">
        <f t="shared" si="628"/>
        <v>7338.9715374232483</v>
      </c>
      <c r="EL108" s="1070">
        <f t="shared" ref="EL108" si="629">SUM(EJ108:EK108)</f>
        <v>14757.5382923408</v>
      </c>
      <c r="EM108" s="233">
        <f t="shared" ref="EM108:EN108" si="630">EJ108*(1+EM109)</f>
        <v>8086.2377628601325</v>
      </c>
      <c r="EN108" s="233">
        <f t="shared" si="630"/>
        <v>7999.4789757913413</v>
      </c>
      <c r="EO108" s="1070">
        <f t="shared" ref="EO108" si="631">SUM(EM108:EN108)</f>
        <v>16085.716738651474</v>
      </c>
      <c r="EP108" s="233">
        <f t="shared" ref="EP108:EQ108" si="632">EM108*(1+EP109)</f>
        <v>8813.9991615175459</v>
      </c>
      <c r="EQ108" s="233">
        <f t="shared" si="632"/>
        <v>8719.4320836125626</v>
      </c>
      <c r="ER108" s="1070">
        <f t="shared" ref="ER108" si="633">SUM(EP108:EQ108)</f>
        <v>17533.431245130108</v>
      </c>
      <c r="ES108" s="233">
        <f t="shared" ref="ES108" si="634">EP108*(1+ES109)</f>
        <v>9607.2590860541259</v>
      </c>
      <c r="ET108" s="233">
        <f t="shared" ref="ET108" si="635">EQ108*(1+ET109)</f>
        <v>9504.1809711376936</v>
      </c>
      <c r="EU108" s="1070">
        <f t="shared" ref="EU108" si="636">SUM(ES108:ET108)</f>
        <v>19111.44005719182</v>
      </c>
      <c r="EV108" s="233">
        <f t="shared" ref="EV108" si="637">ES108*(1+EV109)</f>
        <v>10471.912403798999</v>
      </c>
      <c r="EW108" s="233">
        <f t="shared" ref="EW108" si="638">ET108*(1+EW109)</f>
        <v>10359.557258540086</v>
      </c>
      <c r="EX108" s="1070">
        <f t="shared" ref="EX108" si="639">SUM(EV108:EW108)</f>
        <v>20831.469662339085</v>
      </c>
      <c r="EY108" s="233">
        <f t="shared" ref="EY108" si="640">EV108*(1+EY109)</f>
        <v>11414.384520140909</v>
      </c>
      <c r="EZ108" s="233">
        <f t="shared" ref="EZ108" si="641">EW108*(1+EZ109)</f>
        <v>11291.917411808694</v>
      </c>
      <c r="FA108" s="1070">
        <f t="shared" ref="FA108" si="642">SUM(EY108:EZ108)</f>
        <v>22706.301931949602</v>
      </c>
    </row>
    <row r="109" spans="1:173">
      <c r="C109" s="35" t="s">
        <v>491</v>
      </c>
      <c r="D109" s="162" t="s">
        <v>460</v>
      </c>
      <c r="BA109" s="35"/>
      <c r="BB109" s="35"/>
      <c r="BD109" s="171"/>
      <c r="BE109" s="171"/>
      <c r="BF109" s="962"/>
      <c r="BG109" s="171"/>
      <c r="BH109" s="171"/>
      <c r="BI109" s="962"/>
      <c r="BJ109" s="167"/>
      <c r="BK109" s="167"/>
      <c r="BL109" s="1027"/>
      <c r="BM109" s="167"/>
      <c r="BN109" s="167"/>
      <c r="BO109" s="1027"/>
      <c r="BP109" s="167"/>
      <c r="BQ109" s="167"/>
      <c r="BR109" s="1027"/>
      <c r="BS109" s="167"/>
      <c r="BT109" s="167"/>
      <c r="BU109" s="167"/>
      <c r="BV109" s="167"/>
      <c r="BW109" s="167"/>
      <c r="BX109" s="167"/>
      <c r="BY109" s="167"/>
      <c r="BZ109" s="167"/>
      <c r="CA109" s="167"/>
      <c r="CB109" s="167"/>
      <c r="CC109" s="167"/>
      <c r="CD109" s="167"/>
      <c r="CE109" s="167"/>
      <c r="CF109" s="167"/>
      <c r="CG109" s="167"/>
      <c r="CH109" s="167"/>
      <c r="CI109" s="167"/>
      <c r="CJ109" s="167"/>
      <c r="CK109" s="167"/>
      <c r="CL109" s="167"/>
      <c r="CM109" s="167"/>
      <c r="CN109" s="167">
        <f>CN108/CK108-1</f>
        <v>6.7570281124498255E-2</v>
      </c>
      <c r="CO109" s="167">
        <f>CO108/CL108-1</f>
        <v>-0.44768030366933809</v>
      </c>
      <c r="CP109" s="167">
        <f>+CP108/CM108-1</f>
        <v>-0.21243410497364201</v>
      </c>
      <c r="CQ109" s="167">
        <f>CQ108/CN108-1</f>
        <v>-0.51660518431781299</v>
      </c>
      <c r="CR109" s="167">
        <f>CR108/CO108-1</f>
        <v>-0.38661938243256766</v>
      </c>
      <c r="CS109" s="167">
        <f>+CS108/CP108-1</f>
        <v>-0.46706633797559194</v>
      </c>
      <c r="CT109" s="167">
        <f>CT108/CQ108-1</f>
        <v>0.2849244428683011</v>
      </c>
      <c r="CU109" s="167">
        <v>5.0000000000000711E-2</v>
      </c>
      <c r="CV109" s="167">
        <f>+CV108/CS108-1</f>
        <v>0.18187750943995518</v>
      </c>
      <c r="CW109" s="167">
        <v>0.2</v>
      </c>
      <c r="CX109" s="167">
        <f>+CW109</f>
        <v>0.2</v>
      </c>
      <c r="CY109" s="167">
        <f>+CY108/CV108-1</f>
        <v>0.20000000000000018</v>
      </c>
      <c r="CZ109" s="167">
        <v>0.02</v>
      </c>
      <c r="DA109" s="167">
        <v>0.34499741116008481</v>
      </c>
      <c r="DB109" s="167">
        <f>+DB108/CY108-1</f>
        <v>0.14664953478028941</v>
      </c>
      <c r="DC109" s="167">
        <v>0.23009584160099769</v>
      </c>
      <c r="DD109" s="167">
        <v>0.27069651576738496</v>
      </c>
      <c r="DE109" s="167">
        <f>+DE108/DB108-1</f>
        <v>0.24865454758696592</v>
      </c>
      <c r="DF109" s="167">
        <v>0.23870847827183059</v>
      </c>
      <c r="DG109" s="167">
        <f>+DG108/DD108-1</f>
        <v>-0.21487953023558315</v>
      </c>
      <c r="DH109" s="1068">
        <f>+DH108/DE108-1</f>
        <v>2.7711834587764494E-2</v>
      </c>
      <c r="DI109" s="171">
        <f t="shared" ref="DI109:DU109" si="643">DI108/DF108-1</f>
        <v>0.22975276467626227</v>
      </c>
      <c r="DJ109" s="171">
        <f t="shared" si="643"/>
        <v>1.2706147035820301</v>
      </c>
      <c r="DK109" s="1068">
        <f t="shared" si="643"/>
        <v>0.59964230730850021</v>
      </c>
      <c r="DL109" s="171">
        <f t="shared" si="643"/>
        <v>5.490721303349666E-2</v>
      </c>
      <c r="DM109" s="171">
        <f t="shared" si="643"/>
        <v>9.8219161889256501E-2</v>
      </c>
      <c r="DN109" s="1068">
        <f t="shared" si="643"/>
        <v>7.6754988049684503E-2</v>
      </c>
      <c r="DO109" s="171">
        <f t="shared" si="643"/>
        <v>0.20042825102888484</v>
      </c>
      <c r="DP109" s="171">
        <f t="shared" si="643"/>
        <v>0.12523870797894299</v>
      </c>
      <c r="DQ109" s="1068">
        <f t="shared" si="643"/>
        <v>0.16174445723896214</v>
      </c>
      <c r="DR109" s="171">
        <f t="shared" si="643"/>
        <v>-5.9860363019356155E-3</v>
      </c>
      <c r="DS109" s="171">
        <f t="shared" si="643"/>
        <v>7.3609193168789444E-2</v>
      </c>
      <c r="DT109" s="1068">
        <f t="shared" si="643"/>
        <v>3.3677616468706706E-2</v>
      </c>
      <c r="DU109" s="171">
        <f t="shared" si="643"/>
        <v>0.30326824337701286</v>
      </c>
      <c r="DV109" s="171">
        <f t="shared" ref="DV109" si="644">DV108/DS108-1</f>
        <v>0.17688392889504567</v>
      </c>
      <c r="DW109" s="1068">
        <f t="shared" ref="DW109:DX109" si="645">DW108/DT108-1</f>
        <v>0.23785586276752513</v>
      </c>
      <c r="DX109" s="171">
        <f t="shared" si="645"/>
        <v>-3.9472447810180444E-2</v>
      </c>
      <c r="DY109" s="171">
        <f>DY106</f>
        <v>0.1</v>
      </c>
      <c r="DZ109" s="1068">
        <f>+DZ108/DW108-1</f>
        <v>2.9158303845760347E-2</v>
      </c>
      <c r="EA109" s="171">
        <f>+EA106</f>
        <v>0.2</v>
      </c>
      <c r="EB109" s="171">
        <f t="shared" ref="EB109" si="646">EB100</f>
        <v>7.0000000000000007E-2</v>
      </c>
      <c r="EC109" s="1068">
        <f t="shared" ref="EC109" si="647">+EC108/DZ108-1</f>
        <v>0.13162707062210721</v>
      </c>
      <c r="ED109" s="171">
        <f t="shared" ref="ED109:EE109" si="648">ED100</f>
        <v>0.09</v>
      </c>
      <c r="EE109" s="171">
        <f t="shared" si="648"/>
        <v>0.09</v>
      </c>
      <c r="EF109" s="1068">
        <f t="shared" ref="EF109" si="649">+EF108/EC108-1</f>
        <v>9.000000000000008E-2</v>
      </c>
      <c r="EG109" s="171">
        <f t="shared" ref="EG109:EH109" si="650">EG100</f>
        <v>0.09</v>
      </c>
      <c r="EH109" s="171">
        <f t="shared" si="650"/>
        <v>0.09</v>
      </c>
      <c r="EI109" s="1068">
        <f t="shared" ref="EI109" si="651">+EI108/EF108-1</f>
        <v>9.000000000000008E-2</v>
      </c>
      <c r="EJ109" s="171">
        <f t="shared" ref="EJ109:EK109" si="652">EJ100</f>
        <v>0.09</v>
      </c>
      <c r="EK109" s="171">
        <f t="shared" si="652"/>
        <v>0.09</v>
      </c>
      <c r="EL109" s="1068">
        <f t="shared" ref="EL109" si="653">+EL108/EI108-1</f>
        <v>8.9999999999999858E-2</v>
      </c>
      <c r="EM109" s="171">
        <f t="shared" ref="EM109:EN109" si="654">EM100</f>
        <v>0.09</v>
      </c>
      <c r="EN109" s="171">
        <f t="shared" si="654"/>
        <v>0.09</v>
      </c>
      <c r="EO109" s="1068">
        <f t="shared" ref="EO109" si="655">+EO108/EL108-1</f>
        <v>9.000000000000008E-2</v>
      </c>
      <c r="EP109" s="171">
        <f t="shared" ref="EP109:EQ109" si="656">EP100</f>
        <v>0.09</v>
      </c>
      <c r="EQ109" s="171">
        <f t="shared" si="656"/>
        <v>0.09</v>
      </c>
      <c r="ER109" s="1068">
        <f t="shared" ref="ER109" si="657">+ER108/EO108-1</f>
        <v>9.000000000000008E-2</v>
      </c>
      <c r="ES109" s="171">
        <f t="shared" ref="ES109:ET109" si="658">ES100</f>
        <v>0.09</v>
      </c>
      <c r="ET109" s="171">
        <f t="shared" si="658"/>
        <v>0.09</v>
      </c>
      <c r="EU109" s="1068">
        <f t="shared" ref="EU109" si="659">+EU108/ER108-1</f>
        <v>9.000000000000008E-2</v>
      </c>
      <c r="EV109" s="171">
        <f t="shared" ref="EV109:EW109" si="660">EV100</f>
        <v>0.09</v>
      </c>
      <c r="EW109" s="171">
        <f t="shared" si="660"/>
        <v>0.09</v>
      </c>
      <c r="EX109" s="1068">
        <f t="shared" ref="EX109" si="661">+EX108/EU108-1</f>
        <v>9.000000000000008E-2</v>
      </c>
      <c r="EY109" s="171">
        <f t="shared" ref="EY109:EZ109" si="662">EY100</f>
        <v>0.09</v>
      </c>
      <c r="EZ109" s="171">
        <f t="shared" si="662"/>
        <v>0.09</v>
      </c>
      <c r="FA109" s="1068">
        <f t="shared" ref="FA109" si="663">+FA108/EX108-1</f>
        <v>8.9999999999999858E-2</v>
      </c>
    </row>
    <row r="110" spans="1:173">
      <c r="D110" s="35"/>
      <c r="BA110" s="35"/>
      <c r="BB110" s="35"/>
      <c r="BD110" s="171"/>
      <c r="BE110" s="171"/>
      <c r="BF110" s="962"/>
      <c r="BG110" s="171"/>
      <c r="BH110" s="171"/>
      <c r="BI110" s="962"/>
      <c r="BJ110" s="167"/>
      <c r="BK110" s="167"/>
      <c r="BL110" s="1027"/>
      <c r="BM110" s="167"/>
      <c r="BN110" s="167"/>
      <c r="BO110" s="1027"/>
      <c r="BP110" s="167"/>
      <c r="BQ110" s="167"/>
      <c r="BR110" s="1027"/>
      <c r="BS110" s="167"/>
      <c r="BT110" s="167"/>
      <c r="BU110" s="167"/>
      <c r="BV110" s="167"/>
      <c r="BW110" s="167"/>
      <c r="BX110" s="167"/>
      <c r="BY110" s="167"/>
      <c r="BZ110" s="167"/>
      <c r="CA110" s="167"/>
      <c r="CB110" s="167"/>
      <c r="CC110" s="167"/>
      <c r="CD110" s="167"/>
      <c r="CE110" s="167"/>
      <c r="CF110" s="167"/>
      <c r="CG110" s="167"/>
      <c r="CH110" s="167"/>
      <c r="CI110" s="167"/>
      <c r="CJ110" s="167"/>
      <c r="CK110" s="167"/>
      <c r="CL110" s="167"/>
      <c r="CM110" s="167"/>
      <c r="CN110" s="167"/>
      <c r="CO110" s="167"/>
      <c r="CP110" s="167"/>
      <c r="CQ110" s="167"/>
      <c r="CR110" s="167"/>
      <c r="CS110" s="167"/>
      <c r="CT110" s="167"/>
      <c r="CU110" s="167"/>
      <c r="CV110" s="167"/>
      <c r="CW110" s="167"/>
      <c r="CX110" s="167"/>
      <c r="CY110" s="167"/>
      <c r="CZ110" s="167"/>
      <c r="DA110" s="244"/>
      <c r="DB110" s="167"/>
      <c r="DC110" s="167"/>
      <c r="DD110" s="167"/>
      <c r="DE110" s="167"/>
      <c r="DF110" s="167"/>
      <c r="DG110" s="244"/>
      <c r="DH110" s="1072"/>
      <c r="DI110" s="167"/>
      <c r="DJ110" s="167"/>
      <c r="DK110" s="1072"/>
      <c r="DL110" s="167"/>
      <c r="DM110" s="167"/>
      <c r="DN110" s="1072"/>
      <c r="DO110" s="167"/>
      <c r="DP110" s="167"/>
      <c r="DQ110" s="1072"/>
      <c r="DR110" s="167"/>
      <c r="DS110" s="167"/>
      <c r="DT110" s="1072"/>
      <c r="DU110" s="167"/>
      <c r="DV110" s="167"/>
      <c r="DW110" s="1072"/>
      <c r="DX110" s="167"/>
      <c r="DY110" s="167"/>
      <c r="DZ110" s="1072"/>
      <c r="EA110" s="167"/>
      <c r="EB110" s="167"/>
      <c r="EC110" s="1072"/>
      <c r="ED110" s="167"/>
      <c r="EE110" s="167"/>
      <c r="EF110" s="1072"/>
      <c r="EG110" s="167"/>
      <c r="EH110" s="167"/>
      <c r="EI110" s="1072"/>
      <c r="EJ110" s="167"/>
      <c r="EK110" s="167"/>
      <c r="EL110" s="1072"/>
      <c r="EM110" s="167"/>
      <c r="EN110" s="167"/>
      <c r="EO110" s="1072"/>
      <c r="EP110" s="167"/>
      <c r="EQ110" s="167"/>
      <c r="ER110" s="1072"/>
      <c r="ES110" s="167"/>
      <c r="ET110" s="167"/>
      <c r="EU110" s="1072"/>
      <c r="EV110" s="167"/>
      <c r="EW110" s="167"/>
      <c r="EX110" s="1072"/>
      <c r="EY110" s="167"/>
      <c r="EZ110" s="167"/>
      <c r="FA110" s="1072"/>
    </row>
    <row r="111" spans="1:173" s="233" customFormat="1">
      <c r="A111" s="1147"/>
      <c r="B111" s="963"/>
      <c r="C111" s="233" t="s">
        <v>935</v>
      </c>
      <c r="D111" s="245" t="s">
        <v>98</v>
      </c>
      <c r="BC111" s="246"/>
      <c r="BF111" s="246"/>
      <c r="BI111" s="246"/>
      <c r="BL111" s="246"/>
      <c r="BO111" s="246"/>
      <c r="BR111" s="246"/>
      <c r="CK111" s="233">
        <v>1900</v>
      </c>
      <c r="CL111" s="233">
        <v>900</v>
      </c>
      <c r="CM111" s="233">
        <f>SUM(CK111:CL111)</f>
        <v>2800</v>
      </c>
      <c r="CN111" s="233">
        <v>0</v>
      </c>
      <c r="CO111" s="233">
        <v>1800</v>
      </c>
      <c r="CP111" s="233">
        <f>SUM(CN111:CO111)</f>
        <v>1800</v>
      </c>
      <c r="CQ111" s="233">
        <v>0</v>
      </c>
      <c r="CR111" s="233">
        <v>1900</v>
      </c>
      <c r="CS111" s="233">
        <f>SUM(CQ111:CR111)</f>
        <v>1900</v>
      </c>
      <c r="CT111" s="233">
        <v>1700</v>
      </c>
      <c r="CU111" s="233">
        <v>1600</v>
      </c>
      <c r="CV111" s="233">
        <f>SUM(CT111:CU111)</f>
        <v>3300</v>
      </c>
      <c r="CW111" s="233">
        <v>1100</v>
      </c>
      <c r="CX111" s="233">
        <v>800</v>
      </c>
      <c r="CY111" s="233">
        <f>SUM(CW111:CX111)</f>
        <v>1900</v>
      </c>
      <c r="CZ111" s="233">
        <v>0</v>
      </c>
      <c r="DA111" s="233">
        <v>1100</v>
      </c>
      <c r="DB111" s="233">
        <f>SUM(CZ111:DA111)</f>
        <v>1100</v>
      </c>
      <c r="DC111" s="233">
        <v>0</v>
      </c>
      <c r="DD111" s="233">
        <f>DA111-700</f>
        <v>400</v>
      </c>
      <c r="DE111" s="233">
        <f>SUM(DC111:DD111)</f>
        <v>400</v>
      </c>
      <c r="DF111" s="246">
        <v>0</v>
      </c>
      <c r="DG111" s="233">
        <v>0</v>
      </c>
      <c r="DH111" s="1070">
        <f>SUM(DF111:DG111)</f>
        <v>0</v>
      </c>
      <c r="DI111" s="233">
        <f>+DF111</f>
        <v>0</v>
      </c>
      <c r="DJ111" s="233">
        <f>+DG111</f>
        <v>0</v>
      </c>
      <c r="DK111" s="1070">
        <f>SUM(DI111:DJ111)</f>
        <v>0</v>
      </c>
      <c r="DL111" s="233">
        <f>+DI111</f>
        <v>0</v>
      </c>
      <c r="DM111" s="233">
        <f>+DJ111</f>
        <v>0</v>
      </c>
      <c r="DN111" s="1070">
        <f>SUM(DL111:DM111)</f>
        <v>0</v>
      </c>
      <c r="DO111" s="233">
        <f>+DL111</f>
        <v>0</v>
      </c>
      <c r="DP111" s="233">
        <f>+DM111</f>
        <v>0</v>
      </c>
      <c r="DQ111" s="1070">
        <f>SUM(DO111:DP111)</f>
        <v>0</v>
      </c>
      <c r="DR111" s="233">
        <f>+DO111</f>
        <v>0</v>
      </c>
      <c r="DS111" s="233">
        <f>+DP111</f>
        <v>0</v>
      </c>
      <c r="DT111" s="1070">
        <f>SUM(DR111:DS111)</f>
        <v>0</v>
      </c>
      <c r="DU111" s="233">
        <f>+DR111</f>
        <v>0</v>
      </c>
      <c r="DV111" s="233">
        <f>+DS111</f>
        <v>0</v>
      </c>
      <c r="DW111" s="1070">
        <f>SUM(DU111:DV111)</f>
        <v>0</v>
      </c>
      <c r="DX111" s="233">
        <f>+DU111</f>
        <v>0</v>
      </c>
      <c r="DY111" s="233">
        <f>+DV111</f>
        <v>0</v>
      </c>
      <c r="DZ111" s="1070">
        <f>SUM(DX111:DY111)</f>
        <v>0</v>
      </c>
      <c r="EA111" s="233">
        <f>+DX111</f>
        <v>0</v>
      </c>
      <c r="EB111" s="233">
        <f>+DY111</f>
        <v>0</v>
      </c>
      <c r="EC111" s="1070">
        <f>SUM(EA111:EB111)</f>
        <v>0</v>
      </c>
      <c r="ED111" s="233">
        <f>+EA111</f>
        <v>0</v>
      </c>
      <c r="EE111" s="233">
        <f>+EB111</f>
        <v>0</v>
      </c>
      <c r="EF111" s="1070">
        <f>SUM(ED111:EE111)</f>
        <v>0</v>
      </c>
      <c r="EG111" s="233">
        <f>+ED111</f>
        <v>0</v>
      </c>
      <c r="EH111" s="233">
        <f>+EE111</f>
        <v>0</v>
      </c>
      <c r="EI111" s="1070">
        <f>SUM(EG111:EH111)</f>
        <v>0</v>
      </c>
      <c r="EJ111" s="233">
        <f>+EG111</f>
        <v>0</v>
      </c>
      <c r="EK111" s="233">
        <f>+EH111</f>
        <v>0</v>
      </c>
      <c r="EL111" s="1070">
        <f>SUM(EJ111:EK111)</f>
        <v>0</v>
      </c>
      <c r="EM111" s="233">
        <f>+EJ111</f>
        <v>0</v>
      </c>
      <c r="EN111" s="233">
        <f>+EK111</f>
        <v>0</v>
      </c>
      <c r="EO111" s="1070">
        <f>SUM(EM111:EN111)</f>
        <v>0</v>
      </c>
      <c r="EP111" s="233">
        <f>+EM111</f>
        <v>0</v>
      </c>
      <c r="EQ111" s="233">
        <f>+EN111</f>
        <v>0</v>
      </c>
      <c r="ER111" s="1070">
        <f>SUM(EP111:EQ111)</f>
        <v>0</v>
      </c>
      <c r="ES111" s="233">
        <f>+EP111</f>
        <v>0</v>
      </c>
      <c r="ET111" s="233">
        <f>+EQ111</f>
        <v>0</v>
      </c>
      <c r="EU111" s="1070">
        <f>SUM(ES111:ET111)</f>
        <v>0</v>
      </c>
      <c r="EV111" s="233">
        <f>+ES111</f>
        <v>0</v>
      </c>
      <c r="EW111" s="233">
        <f>+ET111</f>
        <v>0</v>
      </c>
      <c r="EX111" s="1070">
        <f>SUM(EV111:EW111)</f>
        <v>0</v>
      </c>
      <c r="EY111" s="233">
        <f>+EV111</f>
        <v>0</v>
      </c>
      <c r="EZ111" s="233">
        <f>+EW111</f>
        <v>0</v>
      </c>
      <c r="FA111" s="1070">
        <f>SUM(EY111:EZ111)</f>
        <v>0</v>
      </c>
    </row>
    <row r="112" spans="1:173" s="233" customFormat="1">
      <c r="A112" s="1147"/>
      <c r="D112" s="245"/>
      <c r="BC112" s="246"/>
      <c r="BF112" s="246"/>
      <c r="BI112" s="246"/>
      <c r="BL112" s="246"/>
      <c r="BO112" s="246"/>
      <c r="BR112" s="246"/>
      <c r="DF112" s="246"/>
      <c r="DH112" s="1070"/>
      <c r="DK112" s="1070"/>
      <c r="DN112" s="1070"/>
      <c r="DQ112" s="1070"/>
      <c r="DT112" s="1070"/>
      <c r="DW112" s="1070"/>
      <c r="DZ112" s="1070"/>
      <c r="EC112" s="1070"/>
      <c r="EF112" s="1070"/>
      <c r="EI112" s="1070"/>
      <c r="EL112" s="1070"/>
      <c r="EO112" s="1070"/>
      <c r="ER112" s="1070"/>
      <c r="EU112" s="1070"/>
      <c r="EX112" s="1070"/>
      <c r="FA112" s="1070"/>
    </row>
    <row r="113" spans="1:157" s="233" customFormat="1">
      <c r="A113" s="1147"/>
      <c r="B113" s="233" t="s">
        <v>421</v>
      </c>
      <c r="D113" s="162" t="s">
        <v>604</v>
      </c>
      <c r="BC113" s="246"/>
      <c r="BF113" s="246"/>
      <c r="BI113" s="246"/>
      <c r="BL113" s="246"/>
      <c r="BO113" s="246"/>
      <c r="BR113" s="246"/>
      <c r="CZ113" s="233">
        <f>+CZ118</f>
        <v>393.30012768183576</v>
      </c>
      <c r="DA113" s="233">
        <f>+DA118</f>
        <v>437.69981603566868</v>
      </c>
      <c r="DB113" s="1070">
        <f>+SUM(CZ113:DA113)</f>
        <v>830.99994371750449</v>
      </c>
      <c r="DC113" s="233">
        <f>+DC118</f>
        <v>413.9</v>
      </c>
      <c r="DD113" s="233">
        <f>+DD118</f>
        <v>431.20290469853671</v>
      </c>
      <c r="DE113" s="1070">
        <f>+SUM(DC113:DD113)</f>
        <v>845.10290469853669</v>
      </c>
      <c r="DF113" s="233">
        <f>+DF118</f>
        <v>469.9</v>
      </c>
      <c r="DG113" s="233">
        <f>+DG118</f>
        <v>348.03900982800087</v>
      </c>
      <c r="DH113" s="1070">
        <f>+SUM(DF113:DG113)</f>
        <v>817.93900982800085</v>
      </c>
      <c r="DI113" s="233">
        <f>+DI118</f>
        <v>454.7</v>
      </c>
      <c r="DJ113" s="233">
        <f>+DJ118</f>
        <v>443.90000000000003</v>
      </c>
      <c r="DK113" s="1070">
        <f>+SUM(DI113:DJ113)</f>
        <v>898.6</v>
      </c>
      <c r="DL113" s="233">
        <f>+DL118</f>
        <v>457.9</v>
      </c>
      <c r="DM113" s="233">
        <f>+DM118</f>
        <v>477.30000000000007</v>
      </c>
      <c r="DN113" s="1070">
        <f>+SUM(DL113:DM113)</f>
        <v>935.2</v>
      </c>
      <c r="DO113" s="233">
        <f>+DO118</f>
        <v>513.1</v>
      </c>
      <c r="DP113" s="233">
        <f>+DP118</f>
        <v>618.30000000000007</v>
      </c>
      <c r="DQ113" s="1070">
        <f>+SUM(DO113:DP113)</f>
        <v>1131.4000000000001</v>
      </c>
      <c r="DR113" s="233">
        <f>+DR118</f>
        <v>648.5</v>
      </c>
      <c r="DS113" s="233">
        <f>+DS118</f>
        <v>681.09999999999991</v>
      </c>
      <c r="DT113" s="1070">
        <f>+SUM(DR113:DS113)</f>
        <v>1329.6</v>
      </c>
      <c r="DU113" s="233">
        <f>+DU118</f>
        <v>724.5</v>
      </c>
      <c r="DV113" s="233">
        <f>+DV118</f>
        <v>745.7</v>
      </c>
      <c r="DW113" s="1070">
        <f>+SUM(DU113:DV113)</f>
        <v>1470.2</v>
      </c>
      <c r="DX113" s="233">
        <f>+DX118</f>
        <v>724</v>
      </c>
      <c r="DY113" s="233">
        <f t="shared" ref="DY113" si="664">+DY118</f>
        <v>867.51280227652524</v>
      </c>
      <c r="DZ113" s="1070">
        <f t="shared" ref="DZ113" si="665">+SUM(DX113:DY113)</f>
        <v>1591.5128022765252</v>
      </c>
      <c r="EA113" s="233">
        <f t="shared" ref="EA113:EB113" si="666">+EA118</f>
        <v>897.39432550488641</v>
      </c>
      <c r="EB113" s="233">
        <f t="shared" si="666"/>
        <v>928.23869843588216</v>
      </c>
      <c r="EC113" s="1070">
        <f t="shared" ref="EC113" si="667">+SUM(EA113:EB113)</f>
        <v>1825.6330239407685</v>
      </c>
      <c r="ED113" s="233">
        <f t="shared" ref="ED113:EE113" si="668">+ED118</f>
        <v>978.15981480032633</v>
      </c>
      <c r="EE113" s="233">
        <f t="shared" si="668"/>
        <v>1011.7801812951117</v>
      </c>
      <c r="EF113" s="1070">
        <f t="shared" ref="EF113" si="669">+SUM(ED113:EE113)</f>
        <v>1989.9399960954379</v>
      </c>
      <c r="EG113" s="233">
        <f t="shared" ref="EG113:EH113" si="670">+EG118</f>
        <v>1066.1941981323557</v>
      </c>
      <c r="EH113" s="233">
        <f t="shared" si="670"/>
        <v>1102.8403976116717</v>
      </c>
      <c r="EI113" s="1070">
        <f t="shared" ref="EI113" si="671">+SUM(EG113:EH113)</f>
        <v>2169.0345957440277</v>
      </c>
      <c r="EJ113" s="233">
        <f t="shared" ref="EJ113:EK113" si="672">+EJ118</f>
        <v>1162.1516759642677</v>
      </c>
      <c r="EK113" s="233">
        <f t="shared" si="672"/>
        <v>1202.0960333967223</v>
      </c>
      <c r="EL113" s="1070">
        <f t="shared" ref="EL113" si="673">+SUM(EJ113:EK113)</f>
        <v>2364.24770936099</v>
      </c>
      <c r="EM113" s="233">
        <f t="shared" ref="EM113:EN113" si="674">+EM118</f>
        <v>1266.745326801052</v>
      </c>
      <c r="EN113" s="233">
        <f t="shared" si="674"/>
        <v>1310.2846764024273</v>
      </c>
      <c r="EO113" s="1070">
        <f t="shared" ref="EO113" si="675">+SUM(EM113:EN113)</f>
        <v>2577.0300032034793</v>
      </c>
      <c r="EP113" s="233">
        <f t="shared" ref="EP113:EQ113" si="676">+EP118</f>
        <v>1380.7524062131467</v>
      </c>
      <c r="EQ113" s="233">
        <f t="shared" si="676"/>
        <v>1428.2102972786458</v>
      </c>
      <c r="ER113" s="1070">
        <f t="shared" ref="ER113" si="677">+SUM(EP113:EQ113)</f>
        <v>2808.9627034917926</v>
      </c>
      <c r="ES113" s="233">
        <f t="shared" ref="ES113:ET113" si="678">+ES118</f>
        <v>1505.0201227723303</v>
      </c>
      <c r="ET113" s="233">
        <f t="shared" si="678"/>
        <v>1556.7492240337242</v>
      </c>
      <c r="EU113" s="1070">
        <f t="shared" ref="EU113" si="679">+SUM(ES113:ET113)</f>
        <v>3061.7693468060543</v>
      </c>
      <c r="EV113" s="233">
        <f t="shared" ref="EV113:EW113" si="680">+EV118</f>
        <v>1640.4719338218401</v>
      </c>
      <c r="EW113" s="233">
        <f t="shared" si="680"/>
        <v>1696.8566541967593</v>
      </c>
      <c r="EX113" s="1070">
        <f t="shared" ref="EX113" si="681">+SUM(EV113:EW113)</f>
        <v>3337.3285880185995</v>
      </c>
      <c r="EY113" s="233">
        <f t="shared" ref="EY113:EZ113" si="682">+EY118</f>
        <v>1788.1144078658058</v>
      </c>
      <c r="EZ113" s="233">
        <f t="shared" si="682"/>
        <v>1849.5737530744677</v>
      </c>
      <c r="FA113" s="1070">
        <f t="shared" ref="FA113" si="683">+SUM(EY113:EZ113)</f>
        <v>3637.6881609402735</v>
      </c>
    </row>
    <row r="114" spans="1:157" s="233" customFormat="1">
      <c r="A114" s="1147"/>
      <c r="D114" s="245"/>
      <c r="BC114" s="246"/>
      <c r="BF114" s="246"/>
      <c r="BI114" s="246"/>
      <c r="BL114" s="246"/>
      <c r="BO114" s="246"/>
      <c r="BR114" s="246"/>
      <c r="CZ114" s="246"/>
      <c r="DB114" s="1070"/>
      <c r="DC114" s="246"/>
      <c r="DE114" s="1070"/>
      <c r="DF114" s="246"/>
      <c r="DH114" s="1070"/>
      <c r="DK114" s="1070"/>
      <c r="DN114" s="1070"/>
      <c r="DQ114" s="1070"/>
      <c r="DT114" s="1070"/>
      <c r="DW114" s="1070"/>
      <c r="DZ114" s="1070"/>
      <c r="EC114" s="1070"/>
      <c r="EF114" s="1070"/>
      <c r="EI114" s="1070"/>
      <c r="EL114" s="1070"/>
      <c r="EO114" s="1070"/>
      <c r="ER114" s="1070"/>
      <c r="EU114" s="1070"/>
      <c r="EX114" s="1070"/>
      <c r="FA114" s="1070"/>
    </row>
    <row r="115" spans="1:157" s="233" customFormat="1">
      <c r="A115" s="233" t="s">
        <v>1015</v>
      </c>
      <c r="B115" s="233" t="s">
        <v>1015</v>
      </c>
      <c r="D115" s="245" t="s">
        <v>908</v>
      </c>
      <c r="BC115" s="246"/>
      <c r="BF115" s="246"/>
      <c r="BI115" s="246"/>
      <c r="BL115" s="246"/>
      <c r="BO115" s="246"/>
      <c r="BR115" s="246"/>
      <c r="CZ115" s="233">
        <f>+CZ113/CZ96*1000000</f>
        <v>24624.350593653617</v>
      </c>
      <c r="DA115" s="233">
        <f t="shared" ref="DA115:DB115" si="684">+DA113/DA96*1000000</f>
        <v>22692.856492931816</v>
      </c>
      <c r="DB115" s="1070">
        <f t="shared" si="684"/>
        <v>23567.78059323609</v>
      </c>
      <c r="DC115" s="233">
        <f>+DC113/DC96*1000000</f>
        <v>24725.209080047789</v>
      </c>
      <c r="DD115" s="233">
        <f t="shared" ref="DD115:DE115" si="685">+DD113/DD96*1000000</f>
        <v>24863.224626566149</v>
      </c>
      <c r="DE115" s="1070">
        <f t="shared" si="685"/>
        <v>24795.43774604749</v>
      </c>
      <c r="DF115" s="233">
        <f>+DF113/DF96*1000000</f>
        <v>24870.329205038637</v>
      </c>
      <c r="DG115" s="233">
        <f t="shared" ref="DG115:DH115" si="686">+DG113/DG96*1000000</f>
        <v>27258.694378759468</v>
      </c>
      <c r="DH115" s="1070">
        <f t="shared" si="686"/>
        <v>25833.459978144172</v>
      </c>
      <c r="DI115" s="233">
        <f>+DI113/DI96*1000000</f>
        <v>26166.772170109914</v>
      </c>
      <c r="DJ115" s="233">
        <f t="shared" ref="DJ115:DK115" si="687">+DJ113/DJ96*1000000</f>
        <v>23266.418575397038</v>
      </c>
      <c r="DK115" s="1070">
        <f t="shared" si="687"/>
        <v>24648.891814790433</v>
      </c>
      <c r="DL115" s="233">
        <f>+DL113/DL96*1000000</f>
        <v>24620.926981395849</v>
      </c>
      <c r="DM115" s="233">
        <f t="shared" ref="DM115:DN115" si="688">+DM113/DM96*1000000</f>
        <v>24371.936274509808</v>
      </c>
      <c r="DN115" s="1070">
        <f t="shared" si="688"/>
        <v>24493.216698968099</v>
      </c>
      <c r="DO115" s="233">
        <f>+DO113/DO96*1000000</f>
        <v>24147.018683232152</v>
      </c>
      <c r="DP115" s="233">
        <f t="shared" ref="DP115:DQ115" si="689">+DP113/DP96*1000000</f>
        <v>26991.749246955085</v>
      </c>
      <c r="DQ115" s="1070">
        <f t="shared" si="689"/>
        <v>25622.791919557931</v>
      </c>
      <c r="DR115" s="233">
        <f>+DR113/DR96*1000000</f>
        <v>26805.274252883064</v>
      </c>
      <c r="DS115" s="233">
        <f t="shared" ref="DS115:DT115" si="690">+DS113/DS96*1000000</f>
        <v>28561.244600998027</v>
      </c>
      <c r="DT115" s="1070">
        <f t="shared" si="690"/>
        <v>27676.935886761028</v>
      </c>
      <c r="DU115" s="233">
        <f>+DU113/DU96*1000000</f>
        <v>28534.856242615202</v>
      </c>
      <c r="DV115" s="233">
        <f t="shared" ref="DV115:DW115" si="691">+DV113/DV96*1000000</f>
        <v>26093.498495346073</v>
      </c>
      <c r="DW115" s="1070">
        <f t="shared" si="691"/>
        <v>27242.069374444116</v>
      </c>
      <c r="DX115" s="233">
        <f>+DX113/DX96*1000000</f>
        <v>26798.933965057742</v>
      </c>
      <c r="DY115" s="233">
        <f t="shared" ref="DY115:ER115" si="692">+DY113/DY96*1000000</f>
        <v>27596.332915864241</v>
      </c>
      <c r="DZ115" s="1070">
        <f t="shared" si="692"/>
        <v>27227.780877176156</v>
      </c>
      <c r="EA115" s="233">
        <f t="shared" si="692"/>
        <v>27680.952198230876</v>
      </c>
      <c r="EB115" s="233">
        <f t="shared" si="692"/>
        <v>27596.332915864241</v>
      </c>
      <c r="EC115" s="1070">
        <f t="shared" si="692"/>
        <v>27637.862980578306</v>
      </c>
      <c r="ED115" s="233">
        <f t="shared" si="692"/>
        <v>27680.95219823088</v>
      </c>
      <c r="EE115" s="233">
        <f t="shared" si="692"/>
        <v>27596.332915864245</v>
      </c>
      <c r="EF115" s="1070">
        <f t="shared" si="692"/>
        <v>27637.862980578309</v>
      </c>
      <c r="EG115" s="233">
        <f t="shared" si="692"/>
        <v>27680.95219823088</v>
      </c>
      <c r="EH115" s="233">
        <f t="shared" si="692"/>
        <v>27596.332915864241</v>
      </c>
      <c r="EI115" s="1070">
        <f t="shared" si="692"/>
        <v>27637.862980578313</v>
      </c>
      <c r="EJ115" s="233">
        <f t="shared" si="692"/>
        <v>27680.952198230876</v>
      </c>
      <c r="EK115" s="233">
        <f t="shared" si="692"/>
        <v>27596.332915864241</v>
      </c>
      <c r="EL115" s="1070">
        <f t="shared" si="692"/>
        <v>27637.862980578309</v>
      </c>
      <c r="EM115" s="233">
        <f t="shared" si="692"/>
        <v>27680.952198230876</v>
      </c>
      <c r="EN115" s="233">
        <f t="shared" si="692"/>
        <v>27596.332915864241</v>
      </c>
      <c r="EO115" s="1070">
        <f t="shared" si="692"/>
        <v>27637.862980578306</v>
      </c>
      <c r="EP115" s="233">
        <f t="shared" si="692"/>
        <v>27680.952198230876</v>
      </c>
      <c r="EQ115" s="233">
        <f t="shared" si="692"/>
        <v>27596.332915864241</v>
      </c>
      <c r="ER115" s="1070">
        <f t="shared" si="692"/>
        <v>27637.862980578309</v>
      </c>
      <c r="ES115" s="233">
        <f t="shared" ref="ES115:EX115" si="693">+ES113/ES96*1000000</f>
        <v>27680.952198230883</v>
      </c>
      <c r="ET115" s="233">
        <f t="shared" si="693"/>
        <v>27596.332915864245</v>
      </c>
      <c r="EU115" s="1070">
        <f t="shared" si="693"/>
        <v>27637.862980578309</v>
      </c>
      <c r="EV115" s="233">
        <f t="shared" si="693"/>
        <v>27680.952198230883</v>
      </c>
      <c r="EW115" s="233">
        <f t="shared" si="693"/>
        <v>27596.332915864237</v>
      </c>
      <c r="EX115" s="1070">
        <f t="shared" si="693"/>
        <v>27637.862980578309</v>
      </c>
      <c r="EY115" s="233">
        <f t="shared" ref="EY115:FA115" si="694">+EY113/EY96*1000000</f>
        <v>27680.95219823088</v>
      </c>
      <c r="EZ115" s="233">
        <f t="shared" si="694"/>
        <v>27596.332915864237</v>
      </c>
      <c r="FA115" s="1070">
        <f t="shared" si="694"/>
        <v>27637.862980578309</v>
      </c>
    </row>
    <row r="116" spans="1:157" ht="13.35" customHeight="1">
      <c r="C116" s="186"/>
      <c r="D116" s="926"/>
      <c r="K116" s="186"/>
      <c r="BA116" s="35"/>
      <c r="BB116" s="35"/>
      <c r="BD116" s="171"/>
      <c r="BE116" s="171"/>
      <c r="BG116" s="171"/>
      <c r="BH116" s="171"/>
      <c r="BJ116" s="171"/>
      <c r="BK116" s="171"/>
      <c r="BL116" s="962"/>
      <c r="BM116" s="171"/>
      <c r="BN116" s="171"/>
      <c r="BO116" s="31"/>
      <c r="BP116" s="171"/>
      <c r="BQ116" s="171"/>
      <c r="BR116" s="962"/>
      <c r="BS116" s="171"/>
      <c r="BT116" s="171"/>
      <c r="BU116" s="171"/>
      <c r="BV116" s="171"/>
      <c r="BW116" s="171"/>
      <c r="BX116" s="171"/>
      <c r="BY116" s="171"/>
      <c r="BZ116" s="171"/>
      <c r="CA116" s="171"/>
      <c r="CB116" s="171"/>
      <c r="CC116" s="171"/>
      <c r="CD116" s="171"/>
      <c r="CE116" s="171"/>
      <c r="CF116" s="171"/>
      <c r="CG116" s="171"/>
      <c r="CH116" s="171"/>
      <c r="CI116" s="171"/>
      <c r="CJ116" s="171"/>
      <c r="CK116" s="171"/>
      <c r="CL116" s="171"/>
      <c r="CM116" s="171"/>
      <c r="CN116" s="171"/>
      <c r="CO116" s="171"/>
      <c r="CP116" s="171"/>
      <c r="CQ116" s="171"/>
      <c r="CR116" s="171"/>
      <c r="CS116" s="171"/>
      <c r="CT116" s="171"/>
      <c r="CU116" s="171"/>
      <c r="CV116" s="171"/>
      <c r="CW116" s="171"/>
      <c r="CX116" s="171"/>
      <c r="CY116" s="171"/>
      <c r="CZ116" s="171"/>
      <c r="DA116" s="171"/>
      <c r="DB116" s="171"/>
      <c r="DC116" s="171"/>
      <c r="DD116" s="171"/>
      <c r="DE116" s="171"/>
      <c r="DF116" s="171"/>
      <c r="DG116" s="171"/>
      <c r="DH116" s="1068"/>
      <c r="DI116" s="171"/>
      <c r="DJ116" s="171"/>
      <c r="DK116" s="1068"/>
      <c r="DL116" s="171"/>
      <c r="DM116" s="171"/>
      <c r="DN116" s="1068"/>
      <c r="DO116" s="171"/>
      <c r="DP116" s="171"/>
      <c r="DQ116" s="1068"/>
      <c r="DR116" s="171">
        <f t="shared" ref="DR116:DX116" si="695">+DR115/DO115-1</f>
        <v>0.11008628454397229</v>
      </c>
      <c r="DS116" s="171">
        <f t="shared" si="695"/>
        <v>5.8147226386966899E-2</v>
      </c>
      <c r="DT116" s="1068">
        <f t="shared" si="695"/>
        <v>8.0168623842867159E-2</v>
      </c>
      <c r="DU116" s="171">
        <f t="shared" si="695"/>
        <v>6.4523943064902944E-2</v>
      </c>
      <c r="DV116" s="171">
        <f t="shared" si="695"/>
        <v>-8.6401910705450224E-2</v>
      </c>
      <c r="DW116" s="1068">
        <f>+DW115/DT115-1</f>
        <v>-1.5712234695926974E-2</v>
      </c>
      <c r="DX116" s="171">
        <f t="shared" si="695"/>
        <v>-6.0835150624132361E-2</v>
      </c>
      <c r="DY116" s="171"/>
      <c r="DZ116" s="1068"/>
      <c r="EA116" s="171"/>
      <c r="EB116" s="171"/>
      <c r="EC116" s="1068"/>
      <c r="ED116" s="171"/>
      <c r="EE116" s="171"/>
      <c r="EF116" s="1068"/>
      <c r="EG116" s="171"/>
      <c r="EH116" s="171"/>
      <c r="EI116" s="1068"/>
      <c r="EJ116" s="171"/>
      <c r="EK116" s="171"/>
      <c r="EL116" s="1068"/>
      <c r="EM116" s="171"/>
      <c r="EN116" s="171"/>
      <c r="EO116" s="1068"/>
      <c r="EP116" s="171"/>
      <c r="EQ116" s="171"/>
      <c r="ER116" s="1068"/>
      <c r="ES116" s="171"/>
      <c r="ET116" s="171"/>
      <c r="EU116" s="1068"/>
      <c r="EV116" s="171"/>
      <c r="EW116" s="171"/>
      <c r="EX116" s="1068"/>
      <c r="EY116" s="171"/>
      <c r="EZ116" s="171"/>
      <c r="FA116" s="1068"/>
    </row>
    <row r="117" spans="1:157">
      <c r="A117" s="1422" t="s">
        <v>670</v>
      </c>
      <c r="B117" s="445"/>
      <c r="C117" s="445"/>
      <c r="D117" s="952"/>
      <c r="E117" s="445"/>
      <c r="F117" s="445"/>
      <c r="G117" s="445"/>
      <c r="H117" s="445"/>
      <c r="I117" s="445"/>
      <c r="J117" s="445"/>
      <c r="K117" s="445"/>
      <c r="L117" s="445"/>
      <c r="M117" s="445"/>
      <c r="N117" s="445"/>
      <c r="O117" s="445"/>
      <c r="P117" s="445"/>
      <c r="Q117" s="445"/>
      <c r="R117" s="445"/>
      <c r="S117" s="445"/>
      <c r="T117" s="445"/>
      <c r="U117" s="445"/>
      <c r="V117" s="445"/>
      <c r="W117" s="445"/>
      <c r="X117" s="445"/>
      <c r="Y117" s="445"/>
      <c r="Z117" s="445"/>
      <c r="AA117" s="445"/>
      <c r="AB117" s="445"/>
      <c r="AC117" s="445"/>
      <c r="AD117" s="445"/>
      <c r="AE117" s="445"/>
      <c r="AF117" s="445"/>
      <c r="AG117" s="445"/>
      <c r="AH117" s="445"/>
      <c r="AI117" s="445"/>
      <c r="AJ117" s="445"/>
      <c r="AK117" s="445"/>
      <c r="AL117" s="445"/>
      <c r="AM117" s="445"/>
      <c r="AN117" s="445"/>
      <c r="AO117" s="445"/>
      <c r="AP117" s="445"/>
      <c r="AQ117" s="445"/>
      <c r="AR117" s="445"/>
      <c r="AS117" s="445"/>
      <c r="AT117" s="445"/>
      <c r="AU117" s="445"/>
      <c r="AV117" s="445"/>
      <c r="AW117" s="445"/>
      <c r="AX117" s="445"/>
      <c r="AY117" s="445"/>
      <c r="AZ117" s="445"/>
      <c r="BA117" s="959" t="str">
        <f t="shared" ref="BA117:CF117" si="696">BA2</f>
        <v>1H01</v>
      </c>
      <c r="BB117" s="959" t="str">
        <f t="shared" si="696"/>
        <v>2H01</v>
      </c>
      <c r="BC117" s="959" t="str">
        <f t="shared" si="696"/>
        <v>FY01</v>
      </c>
      <c r="BD117" s="959" t="str">
        <f t="shared" si="696"/>
        <v>1H02</v>
      </c>
      <c r="BE117" s="959" t="str">
        <f t="shared" si="696"/>
        <v>2H02</v>
      </c>
      <c r="BF117" s="959" t="str">
        <f t="shared" si="696"/>
        <v>FY02</v>
      </c>
      <c r="BG117" s="959" t="str">
        <f t="shared" si="696"/>
        <v>1H03</v>
      </c>
      <c r="BH117" s="959" t="str">
        <f t="shared" si="696"/>
        <v>2H03</v>
      </c>
      <c r="BI117" s="959" t="str">
        <f t="shared" si="696"/>
        <v>FY03</v>
      </c>
      <c r="BJ117" s="954" t="str">
        <f t="shared" si="696"/>
        <v>1H04</v>
      </c>
      <c r="BK117" s="954" t="str">
        <f t="shared" si="696"/>
        <v>2H04</v>
      </c>
      <c r="BL117" s="954" t="str">
        <f t="shared" si="696"/>
        <v>FY04</v>
      </c>
      <c r="BM117" s="954" t="str">
        <f t="shared" si="696"/>
        <v>1H05</v>
      </c>
      <c r="BN117" s="954" t="str">
        <f t="shared" si="696"/>
        <v>2H05</v>
      </c>
      <c r="BO117" s="954" t="str">
        <f t="shared" si="696"/>
        <v>FY05</v>
      </c>
      <c r="BP117" s="954" t="str">
        <f t="shared" si="696"/>
        <v>1H06</v>
      </c>
      <c r="BQ117" s="954" t="str">
        <f t="shared" si="696"/>
        <v>2H06</v>
      </c>
      <c r="BR117" s="954" t="str">
        <f t="shared" si="696"/>
        <v>FY06</v>
      </c>
      <c r="BS117" s="76" t="str">
        <f t="shared" si="696"/>
        <v>1H07</v>
      </c>
      <c r="BT117" s="76" t="str">
        <f t="shared" si="696"/>
        <v>2H07</v>
      </c>
      <c r="BU117" s="76" t="str">
        <f t="shared" si="696"/>
        <v>FY07</v>
      </c>
      <c r="BV117" s="76" t="str">
        <f t="shared" si="696"/>
        <v>1H08</v>
      </c>
      <c r="BW117" s="76" t="str">
        <f t="shared" si="696"/>
        <v>2H08</v>
      </c>
      <c r="BX117" s="76" t="str">
        <f t="shared" si="696"/>
        <v>FY08</v>
      </c>
      <c r="BY117" s="76" t="str">
        <f t="shared" si="696"/>
        <v>1H09</v>
      </c>
      <c r="BZ117" s="76" t="str">
        <f t="shared" si="696"/>
        <v>2H09</v>
      </c>
      <c r="CA117" s="76" t="str">
        <f t="shared" si="696"/>
        <v>FY09</v>
      </c>
      <c r="CB117" s="76" t="str">
        <f t="shared" si="696"/>
        <v>1H10</v>
      </c>
      <c r="CC117" s="76" t="str">
        <f t="shared" si="696"/>
        <v>2H10</v>
      </c>
      <c r="CD117" s="76" t="str">
        <f t="shared" si="696"/>
        <v>FY10</v>
      </c>
      <c r="CE117" s="76" t="str">
        <f t="shared" si="696"/>
        <v>1H11</v>
      </c>
      <c r="CF117" s="76" t="str">
        <f t="shared" si="696"/>
        <v>2H11</v>
      </c>
      <c r="CG117" s="76" t="str">
        <f t="shared" ref="CG117:DL117" si="697">CG2</f>
        <v>FY11</v>
      </c>
      <c r="CH117" s="76" t="str">
        <f t="shared" si="697"/>
        <v>1H12</v>
      </c>
      <c r="CI117" s="76" t="str">
        <f t="shared" si="697"/>
        <v>2H12</v>
      </c>
      <c r="CJ117" s="76" t="str">
        <f t="shared" si="697"/>
        <v>FY12</v>
      </c>
      <c r="CK117" s="76" t="str">
        <f t="shared" si="697"/>
        <v>1H13</v>
      </c>
      <c r="CL117" s="76" t="str">
        <f t="shared" si="697"/>
        <v>2H13</v>
      </c>
      <c r="CM117" s="76" t="str">
        <f t="shared" si="697"/>
        <v>FY13</v>
      </c>
      <c r="CN117" s="76" t="str">
        <f t="shared" si="697"/>
        <v>1H14</v>
      </c>
      <c r="CO117" s="76" t="str">
        <f t="shared" si="697"/>
        <v>2H14</v>
      </c>
      <c r="CP117" s="76" t="str">
        <f t="shared" si="697"/>
        <v>FY14</v>
      </c>
      <c r="CQ117" s="76" t="str">
        <f t="shared" si="697"/>
        <v>1H15</v>
      </c>
      <c r="CR117" s="76" t="str">
        <f t="shared" si="697"/>
        <v>2H15</v>
      </c>
      <c r="CS117" s="76" t="str">
        <f t="shared" si="697"/>
        <v>FY15</v>
      </c>
      <c r="CT117" s="76" t="str">
        <f t="shared" si="697"/>
        <v>1H16</v>
      </c>
      <c r="CU117" s="76" t="str">
        <f t="shared" si="697"/>
        <v>2H16</v>
      </c>
      <c r="CV117" s="76" t="str">
        <f t="shared" si="697"/>
        <v>FY16</v>
      </c>
      <c r="CW117" s="76" t="str">
        <f t="shared" si="697"/>
        <v>1H17</v>
      </c>
      <c r="CX117" s="76" t="str">
        <f t="shared" si="697"/>
        <v>2H17</v>
      </c>
      <c r="CY117" s="76" t="str">
        <f t="shared" si="697"/>
        <v>FY17</v>
      </c>
      <c r="CZ117" s="76" t="str">
        <f t="shared" si="697"/>
        <v>1H18</v>
      </c>
      <c r="DA117" s="76" t="str">
        <f t="shared" si="697"/>
        <v>2H18</v>
      </c>
      <c r="DB117" s="76" t="str">
        <f t="shared" si="697"/>
        <v>FY18</v>
      </c>
      <c r="DC117" s="76" t="str">
        <f t="shared" si="697"/>
        <v>1H19</v>
      </c>
      <c r="DD117" s="76" t="str">
        <f t="shared" si="697"/>
        <v>2H19</v>
      </c>
      <c r="DE117" s="76" t="str">
        <f t="shared" si="697"/>
        <v>FY19</v>
      </c>
      <c r="DF117" s="76" t="str">
        <f t="shared" si="697"/>
        <v>1H20</v>
      </c>
      <c r="DG117" s="76" t="str">
        <f t="shared" si="697"/>
        <v>2H20</v>
      </c>
      <c r="DH117" s="1089" t="str">
        <f t="shared" si="697"/>
        <v>FY20</v>
      </c>
      <c r="DI117" s="76" t="str">
        <f t="shared" si="697"/>
        <v>1H21</v>
      </c>
      <c r="DJ117" s="76" t="str">
        <f t="shared" si="697"/>
        <v>2H21</v>
      </c>
      <c r="DK117" s="1089" t="str">
        <f t="shared" si="697"/>
        <v>FY21</v>
      </c>
      <c r="DL117" s="76" t="str">
        <f t="shared" si="697"/>
        <v>1H22</v>
      </c>
      <c r="DM117" s="76" t="str">
        <f t="shared" ref="DM117:ER117" si="698">DM2</f>
        <v>2H22</v>
      </c>
      <c r="DN117" s="1089" t="str">
        <f t="shared" si="698"/>
        <v>FY22</v>
      </c>
      <c r="DO117" s="76" t="str">
        <f t="shared" si="698"/>
        <v>1H23</v>
      </c>
      <c r="DP117" s="76" t="str">
        <f t="shared" si="698"/>
        <v>2H23</v>
      </c>
      <c r="DQ117" s="1089" t="str">
        <f t="shared" si="698"/>
        <v>FY23</v>
      </c>
      <c r="DR117" s="76" t="str">
        <f t="shared" si="698"/>
        <v>1H24</v>
      </c>
      <c r="DS117" s="76" t="str">
        <f t="shared" si="698"/>
        <v>2H24</v>
      </c>
      <c r="DT117" s="1089" t="str">
        <f t="shared" si="698"/>
        <v>FY24</v>
      </c>
      <c r="DU117" s="76" t="str">
        <f t="shared" si="698"/>
        <v>1H25</v>
      </c>
      <c r="DV117" s="76" t="str">
        <f t="shared" si="698"/>
        <v>2H25</v>
      </c>
      <c r="DW117" s="1089" t="str">
        <f t="shared" si="698"/>
        <v>FY25</v>
      </c>
      <c r="DX117" s="76" t="str">
        <f t="shared" ref="DX117" si="699">DX2</f>
        <v>1H26</v>
      </c>
      <c r="DY117" s="76" t="str">
        <f t="shared" si="698"/>
        <v>2H26E</v>
      </c>
      <c r="DZ117" s="1089" t="str">
        <f t="shared" si="698"/>
        <v>FY26E</v>
      </c>
      <c r="EA117" s="76" t="str">
        <f t="shared" si="698"/>
        <v>1H27E</v>
      </c>
      <c r="EB117" s="76" t="str">
        <f t="shared" si="698"/>
        <v>2H27E</v>
      </c>
      <c r="EC117" s="1089" t="str">
        <f t="shared" si="698"/>
        <v>FY27E</v>
      </c>
      <c r="ED117" s="76" t="str">
        <f t="shared" si="698"/>
        <v>1H28E</v>
      </c>
      <c r="EE117" s="76" t="str">
        <f t="shared" si="698"/>
        <v>2H28E</v>
      </c>
      <c r="EF117" s="1089" t="str">
        <f t="shared" si="698"/>
        <v>FY28E</v>
      </c>
      <c r="EG117" s="76" t="str">
        <f t="shared" si="698"/>
        <v>1H29E</v>
      </c>
      <c r="EH117" s="76" t="str">
        <f t="shared" si="698"/>
        <v>2H29E</v>
      </c>
      <c r="EI117" s="1089" t="str">
        <f t="shared" si="698"/>
        <v>FY29E</v>
      </c>
      <c r="EJ117" s="76" t="str">
        <f t="shared" si="698"/>
        <v>1H30E</v>
      </c>
      <c r="EK117" s="76" t="str">
        <f t="shared" si="698"/>
        <v>2H30E</v>
      </c>
      <c r="EL117" s="1089" t="str">
        <f t="shared" si="698"/>
        <v>FY30E</v>
      </c>
      <c r="EM117" s="76" t="str">
        <f t="shared" si="698"/>
        <v>1H31E</v>
      </c>
      <c r="EN117" s="76" t="str">
        <f t="shared" si="698"/>
        <v>2H31E</v>
      </c>
      <c r="EO117" s="1089" t="str">
        <f t="shared" si="698"/>
        <v>FY31E</v>
      </c>
      <c r="EP117" s="76" t="str">
        <f t="shared" si="698"/>
        <v>1H32E</v>
      </c>
      <c r="EQ117" s="76" t="str">
        <f t="shared" si="698"/>
        <v>2H32E</v>
      </c>
      <c r="ER117" s="1089" t="str">
        <f t="shared" si="698"/>
        <v>FY32E</v>
      </c>
      <c r="ES117" s="76" t="str">
        <f t="shared" ref="ES117:EX117" si="700">ES2</f>
        <v>1H33E</v>
      </c>
      <c r="ET117" s="76" t="str">
        <f t="shared" si="700"/>
        <v>2H33E</v>
      </c>
      <c r="EU117" s="1089" t="str">
        <f t="shared" si="700"/>
        <v>FY33E</v>
      </c>
      <c r="EV117" s="76" t="str">
        <f t="shared" si="700"/>
        <v>1H34E</v>
      </c>
      <c r="EW117" s="76" t="str">
        <f t="shared" si="700"/>
        <v>2H34E</v>
      </c>
      <c r="EX117" s="1089" t="str">
        <f t="shared" si="700"/>
        <v>FY34E</v>
      </c>
      <c r="EY117" s="76" t="str">
        <f t="shared" ref="EY117:FA117" si="701">EY2</f>
        <v>1H35E</v>
      </c>
      <c r="EZ117" s="76" t="str">
        <f t="shared" si="701"/>
        <v>2H35E</v>
      </c>
      <c r="FA117" s="1089" t="str">
        <f t="shared" si="701"/>
        <v>FY35E</v>
      </c>
    </row>
    <row r="118" spans="1:157" s="233" customFormat="1">
      <c r="A118" s="1174" t="s">
        <v>1029</v>
      </c>
      <c r="B118" s="233" t="s">
        <v>396</v>
      </c>
      <c r="D118" s="245" t="s">
        <v>604</v>
      </c>
      <c r="BC118" s="889"/>
      <c r="BF118" s="889"/>
      <c r="BI118" s="889"/>
      <c r="BL118" s="889"/>
      <c r="BO118" s="889"/>
      <c r="BR118" s="889"/>
      <c r="BS118" s="233">
        <f>BS180+BS198+BS272+BS291+BS359+BS371</f>
        <v>240.26298874121534</v>
      </c>
      <c r="BT118" s="233">
        <f>BT180+BT198+BT272+BT291+BT359+BT371</f>
        <v>239.92298944488934</v>
      </c>
      <c r="BU118" s="889">
        <f>SUM(BS118:BT118)</f>
        <v>480.18597818610465</v>
      </c>
      <c r="BV118" s="233">
        <f>BV180+BV198+BV272+BV291+BV359+BV371</f>
        <v>247.47600000000003</v>
      </c>
      <c r="BW118" s="233">
        <f>BW180+BW198+BW272+BW291+BW359+BW371</f>
        <v>257.36599999999999</v>
      </c>
      <c r="BX118" s="889">
        <f>SUM(BV118:BW118)</f>
        <v>504.84199999999998</v>
      </c>
      <c r="BY118" s="233">
        <f>BY180+BY198+BY272+BY291+BY359+BY371</f>
        <v>301.125</v>
      </c>
      <c r="BZ118" s="233">
        <f>BZ180+BZ198+BZ272+BZ291+BZ359+BZ371</f>
        <v>320.53470584989981</v>
      </c>
      <c r="CA118" s="889">
        <f>SUM(BY118:BZ118)</f>
        <v>621.65970584989986</v>
      </c>
      <c r="CB118" s="233">
        <f>CB180+CB198+CB272+CB291+CB359+CB371</f>
        <v>290.50063374778705</v>
      </c>
      <c r="CC118" s="233">
        <f>CC180+CC198+CC272+CC291+CC359+CC371</f>
        <v>313.24028843046295</v>
      </c>
      <c r="CD118" s="889">
        <f>SUM(CB118:CC118)</f>
        <v>603.74092217825</v>
      </c>
      <c r="CE118" s="233">
        <f>CE180+CE198+CE272+CE291+CE359+CE371</f>
        <v>309.60735564144721</v>
      </c>
      <c r="CF118" s="233">
        <f>CF180+CF198+CF272+CF291+CF359+CF371</f>
        <v>338.38816507561154</v>
      </c>
      <c r="CG118" s="889">
        <f>SUM(CE118:CF118)</f>
        <v>647.99552071705875</v>
      </c>
      <c r="CH118" s="233">
        <f>CH180+CH198+CH272+CH291+CH359+CH371</f>
        <v>311.52883226867505</v>
      </c>
      <c r="CI118" s="233">
        <f>CI180+CI198+CI272+CI291+CI359+CI371</f>
        <v>315.16325555617033</v>
      </c>
      <c r="CJ118" s="889">
        <f>SUM(CH118:CI118)</f>
        <v>626.69208782484543</v>
      </c>
      <c r="CK118" s="233">
        <f>CK180+CK198+CK272+CK291+CK359+CK371</f>
        <v>329.6963354977903</v>
      </c>
      <c r="CL118" s="233">
        <f>CL180+CL198+CL272+CL291+CL359+CL371</f>
        <v>306.7016742169655</v>
      </c>
      <c r="CM118" s="889">
        <f>SUM(CK118:CL118)</f>
        <v>636.39800971475574</v>
      </c>
      <c r="CN118" s="233">
        <f>CN180+CN198+CN272+CN291+CN359+CN371</f>
        <v>330.97228841609268</v>
      </c>
      <c r="CO118" s="233">
        <f>CO180+CO198+CO272+CO291+CO359+CO371</f>
        <v>389.69500000000005</v>
      </c>
      <c r="CP118" s="1570">
        <v>612.73800000000006</v>
      </c>
      <c r="CQ118" s="945">
        <v>271.22399999999999</v>
      </c>
      <c r="CR118" s="945">
        <f>+CS118-CQ118</f>
        <v>393.45599999999996</v>
      </c>
      <c r="CS118" s="1570">
        <v>664.68</v>
      </c>
      <c r="CT118" s="233">
        <f>CT180+CT272+CT359</f>
        <v>362.70699999999988</v>
      </c>
      <c r="CU118" s="233">
        <f>CU180+CU272+CU359</f>
        <v>366.36966605092869</v>
      </c>
      <c r="CV118" s="889">
        <f>SUM(CT118:CU118)</f>
        <v>729.07666605092857</v>
      </c>
      <c r="CW118" s="233">
        <f>CW180+CW272+CW359</f>
        <v>377.09124853852416</v>
      </c>
      <c r="CX118" s="233">
        <f>CX180+CX272+CX359</f>
        <v>390.77654280262499</v>
      </c>
      <c r="CY118" s="889">
        <f>SUM(CW118:CX118)</f>
        <v>767.86779134114909</v>
      </c>
      <c r="CZ118" s="233">
        <f>CZ180+CZ272+CZ359</f>
        <v>393.30012768183576</v>
      </c>
      <c r="DA118" s="233">
        <f>DA180+DA272+DA359</f>
        <v>437.69981603566868</v>
      </c>
      <c r="DB118" s="1020">
        <f>SUM(CZ118:DA118)</f>
        <v>830.99994371750449</v>
      </c>
      <c r="DC118" s="233">
        <f>DC180+DC272+DC359</f>
        <v>413.9</v>
      </c>
      <c r="DD118" s="233">
        <f>DD180+DD272+DD359</f>
        <v>431.20290469853671</v>
      </c>
      <c r="DE118" s="889">
        <f>SUM(DC118:DD118)</f>
        <v>845.10290469853669</v>
      </c>
      <c r="DF118" s="233">
        <f>DF180+DF272+DF359</f>
        <v>469.9</v>
      </c>
      <c r="DG118" s="233">
        <f>DG180+DG272+DG359</f>
        <v>348.03900982800087</v>
      </c>
      <c r="DH118" s="1131">
        <f>SUM(DF118:DG118)</f>
        <v>817.93900982800085</v>
      </c>
      <c r="DI118" s="1120">
        <v>454.7</v>
      </c>
      <c r="DJ118" s="233">
        <f>+DK118-DI118</f>
        <v>443.90000000000003</v>
      </c>
      <c r="DK118" s="1131">
        <v>898.6</v>
      </c>
      <c r="DL118" s="1120">
        <v>457.9</v>
      </c>
      <c r="DM118" s="233">
        <f>+DN118-DL118</f>
        <v>477.30000000000007</v>
      </c>
      <c r="DN118" s="1131">
        <v>935.2</v>
      </c>
      <c r="DO118" s="1120">
        <v>513.1</v>
      </c>
      <c r="DP118" s="233">
        <f>+DQ118-DO118</f>
        <v>618.30000000000007</v>
      </c>
      <c r="DQ118" s="1131">
        <v>1131.4000000000001</v>
      </c>
      <c r="DR118" s="1120">
        <v>648.5</v>
      </c>
      <c r="DS118" s="233">
        <f>+DT118-DR118</f>
        <v>681.09999999999991</v>
      </c>
      <c r="DT118" s="1131">
        <v>1329.6</v>
      </c>
      <c r="DU118" s="1120">
        <v>724.5</v>
      </c>
      <c r="DV118" s="233">
        <f>+DW118-DU118</f>
        <v>745.7</v>
      </c>
      <c r="DW118" s="1131">
        <v>1470.2</v>
      </c>
      <c r="DX118" s="1120">
        <v>724</v>
      </c>
      <c r="DY118" s="233">
        <f>DY180+DY272+DY359</f>
        <v>867.51280227652524</v>
      </c>
      <c r="DZ118" s="1060">
        <f>SUM(DX118:DY118)</f>
        <v>1591.5128022765252</v>
      </c>
      <c r="EA118" s="233">
        <f>EA180+EA272+EA359</f>
        <v>897.39432550488641</v>
      </c>
      <c r="EB118" s="233">
        <f>EB180+EB272+EB359</f>
        <v>928.23869843588216</v>
      </c>
      <c r="EC118" s="1060">
        <f>SUM(EA118:EB118)</f>
        <v>1825.6330239407685</v>
      </c>
      <c r="ED118" s="233">
        <f>ED180+ED272+ED359</f>
        <v>978.15981480032633</v>
      </c>
      <c r="EE118" s="233">
        <f>EE180+EE272+EE359</f>
        <v>1011.7801812951117</v>
      </c>
      <c r="EF118" s="1060">
        <f>SUM(ED118:EE118)</f>
        <v>1989.9399960954379</v>
      </c>
      <c r="EG118" s="233">
        <f>EG180+EG272+EG359</f>
        <v>1066.1941981323557</v>
      </c>
      <c r="EH118" s="233">
        <f>EH180+EH272+EH359</f>
        <v>1102.8403976116717</v>
      </c>
      <c r="EI118" s="1060">
        <f>SUM(EG118:EH118)</f>
        <v>2169.0345957440277</v>
      </c>
      <c r="EJ118" s="233">
        <f>EJ180+EJ272+EJ359</f>
        <v>1162.1516759642677</v>
      </c>
      <c r="EK118" s="233">
        <f>EK180+EK272+EK359</f>
        <v>1202.0960333967223</v>
      </c>
      <c r="EL118" s="1060">
        <f>SUM(EJ118:EK118)</f>
        <v>2364.24770936099</v>
      </c>
      <c r="EM118" s="233">
        <f>EM180+EM272+EM359</f>
        <v>1266.745326801052</v>
      </c>
      <c r="EN118" s="233">
        <f>EN180+EN272+EN359</f>
        <v>1310.2846764024273</v>
      </c>
      <c r="EO118" s="1060">
        <f>SUM(EM118:EN118)</f>
        <v>2577.0300032034793</v>
      </c>
      <c r="EP118" s="233">
        <f>EP180+EP272+EP359</f>
        <v>1380.7524062131467</v>
      </c>
      <c r="EQ118" s="233">
        <f>EQ180+EQ272+EQ359</f>
        <v>1428.2102972786458</v>
      </c>
      <c r="ER118" s="1060">
        <f>SUM(EP118:EQ118)</f>
        <v>2808.9627034917926</v>
      </c>
      <c r="ES118" s="233">
        <f>ES180+ES272+ES359</f>
        <v>1505.0201227723303</v>
      </c>
      <c r="ET118" s="233">
        <f>ET180+ET272+ET359</f>
        <v>1556.7492240337242</v>
      </c>
      <c r="EU118" s="1060">
        <f>SUM(ES118:ET118)</f>
        <v>3061.7693468060543</v>
      </c>
      <c r="EV118" s="233">
        <f>EV180+EV272+EV359</f>
        <v>1640.4719338218401</v>
      </c>
      <c r="EW118" s="233">
        <f>EW180+EW272+EW359</f>
        <v>1696.8566541967593</v>
      </c>
      <c r="EX118" s="1060">
        <f>SUM(EV118:EW118)</f>
        <v>3337.3285880185995</v>
      </c>
      <c r="EY118" s="233">
        <f>EY180+EY272+EY359</f>
        <v>1788.1144078658058</v>
      </c>
      <c r="EZ118" s="233">
        <f>EZ180+EZ272+EZ359</f>
        <v>1849.5737530744677</v>
      </c>
      <c r="FA118" s="1060">
        <f>SUM(EY118:EZ118)</f>
        <v>3637.6881609402735</v>
      </c>
    </row>
    <row r="119" spans="1:157">
      <c r="C119" s="35" t="s">
        <v>209</v>
      </c>
      <c r="D119" s="162" t="s">
        <v>460</v>
      </c>
      <c r="BA119" s="70"/>
      <c r="BB119" s="70"/>
      <c r="BC119" s="321"/>
      <c r="BD119" s="65"/>
      <c r="BE119" s="65"/>
      <c r="BF119" s="65"/>
      <c r="BG119" s="65"/>
      <c r="BH119" s="65"/>
      <c r="BI119" s="65"/>
      <c r="BJ119" s="65"/>
      <c r="BK119" s="65"/>
      <c r="BL119" s="65"/>
      <c r="BM119" s="65"/>
      <c r="BN119" s="65"/>
      <c r="BO119" s="65"/>
      <c r="BP119" s="65"/>
      <c r="BQ119" s="65"/>
      <c r="BR119" s="65"/>
      <c r="BS119" s="65"/>
      <c r="BT119" s="65"/>
      <c r="BU119" s="65"/>
      <c r="BV119" s="65">
        <f t="shared" ref="BV119:DA119" si="702">BV118/BS118-1</f>
        <v>3.0021316627147021E-2</v>
      </c>
      <c r="BW119" s="65">
        <f t="shared" si="702"/>
        <v>7.2702539241731756E-2</v>
      </c>
      <c r="BX119" s="65">
        <f t="shared" si="702"/>
        <v>5.1346817553967528E-2</v>
      </c>
      <c r="BY119" s="65">
        <f t="shared" si="702"/>
        <v>0.21678465790622115</v>
      </c>
      <c r="BZ119" s="65">
        <f t="shared" si="702"/>
        <v>0.24544308824747563</v>
      </c>
      <c r="CA119" s="65">
        <f t="shared" si="702"/>
        <v>0.23139458652390221</v>
      </c>
      <c r="CB119" s="65">
        <f t="shared" si="702"/>
        <v>-3.5282245752471408E-2</v>
      </c>
      <c r="CC119" s="65">
        <f t="shared" si="702"/>
        <v>-2.2757028447498828E-2</v>
      </c>
      <c r="CD119" s="65">
        <f t="shared" si="702"/>
        <v>-2.8824103449253236E-2</v>
      </c>
      <c r="CE119" s="65">
        <f t="shared" si="702"/>
        <v>6.5771704684984167E-2</v>
      </c>
      <c r="CF119" s="65">
        <f t="shared" si="702"/>
        <v>8.0283020971394725E-2</v>
      </c>
      <c r="CG119" s="65">
        <f t="shared" si="702"/>
        <v>7.3300644221931499E-2</v>
      </c>
      <c r="CH119" s="65">
        <f t="shared" si="702"/>
        <v>6.2061724058426471E-3</v>
      </c>
      <c r="CI119" s="65">
        <f t="shared" si="702"/>
        <v>-6.8633929659601689E-2</v>
      </c>
      <c r="CJ119" s="65">
        <f t="shared" si="702"/>
        <v>-3.287589529729984E-2</v>
      </c>
      <c r="CK119" s="65">
        <f t="shared" si="702"/>
        <v>5.8317244977976523E-2</v>
      </c>
      <c r="CL119" s="65">
        <f t="shared" si="702"/>
        <v>-2.6848248296815647E-2</v>
      </c>
      <c r="CM119" s="65">
        <f t="shared" si="702"/>
        <v>1.5487544965818945E-2</v>
      </c>
      <c r="CN119" s="65">
        <f t="shared" si="702"/>
        <v>3.8700852297186561E-3</v>
      </c>
      <c r="CO119" s="65">
        <f t="shared" si="702"/>
        <v>0.27059951985890951</v>
      </c>
      <c r="CP119" s="65">
        <f t="shared" si="702"/>
        <v>-3.7178007086100862E-2</v>
      </c>
      <c r="CQ119" s="997">
        <f t="shared" si="702"/>
        <v>-0.18052353779231867</v>
      </c>
      <c r="CR119" s="997">
        <f t="shared" si="702"/>
        <v>9.6511374279883988E-3</v>
      </c>
      <c r="CS119" s="65">
        <f t="shared" si="702"/>
        <v>8.4770325979455885E-2</v>
      </c>
      <c r="CT119" s="65">
        <f t="shared" si="702"/>
        <v>0.33729684688670569</v>
      </c>
      <c r="CU119" s="65">
        <f t="shared" si="702"/>
        <v>-6.8842091489445534E-2</v>
      </c>
      <c r="CV119" s="65">
        <f t="shared" si="702"/>
        <v>9.6883712539761468E-2</v>
      </c>
      <c r="CW119" s="65">
        <f t="shared" si="702"/>
        <v>3.9658039515433341E-2</v>
      </c>
      <c r="CX119" s="65">
        <f t="shared" si="702"/>
        <v>6.6618170152502598E-2</v>
      </c>
      <c r="CY119" s="65">
        <f t="shared" si="702"/>
        <v>5.3205824704738003E-2</v>
      </c>
      <c r="CZ119" s="65">
        <f t="shared" si="702"/>
        <v>4.2983970606933042E-2</v>
      </c>
      <c r="DA119" s="65">
        <f t="shared" si="702"/>
        <v>0.12007699565719299</v>
      </c>
      <c r="DB119" s="65">
        <f t="shared" ref="DB119:EF119" si="703">DB118/CY118-1</f>
        <v>8.2217476873316375E-2</v>
      </c>
      <c r="DC119" s="65">
        <f t="shared" si="703"/>
        <v>5.2376978465739743E-2</v>
      </c>
      <c r="DD119" s="65">
        <f t="shared" si="703"/>
        <v>-1.4843303787458129E-2</v>
      </c>
      <c r="DE119" s="65">
        <f t="shared" si="703"/>
        <v>1.697107332876846E-2</v>
      </c>
      <c r="DF119" s="65">
        <f t="shared" si="703"/>
        <v>0.13529838125151006</v>
      </c>
      <c r="DG119" s="65">
        <f t="shared" si="703"/>
        <v>-0.19286487628991633</v>
      </c>
      <c r="DH119" s="1066">
        <f t="shared" si="703"/>
        <v>-3.2142706786963071E-2</v>
      </c>
      <c r="DI119" s="65">
        <f t="shared" si="703"/>
        <v>-3.2347307937859116E-2</v>
      </c>
      <c r="DJ119" s="65">
        <f t="shared" si="703"/>
        <v>0.27543174030799933</v>
      </c>
      <c r="DK119" s="1066">
        <f t="shared" si="703"/>
        <v>9.8614920186971933E-2</v>
      </c>
      <c r="DL119" s="65">
        <f>DL118/DI118-1</f>
        <v>7.0376072135474033E-3</v>
      </c>
      <c r="DM119" s="65">
        <f t="shared" si="703"/>
        <v>7.5242171660284018E-2</v>
      </c>
      <c r="DN119" s="1066">
        <f>DN118/DK118-1</f>
        <v>4.0730024482528382E-2</v>
      </c>
      <c r="DO119" s="65">
        <f t="shared" si="703"/>
        <v>0.12055033850185648</v>
      </c>
      <c r="DP119" s="65">
        <f t="shared" si="703"/>
        <v>0.29541169076052798</v>
      </c>
      <c r="DQ119" s="1066">
        <f t="shared" si="703"/>
        <v>0.20979469632164238</v>
      </c>
      <c r="DR119" s="65">
        <f t="shared" si="703"/>
        <v>0.26388618203079317</v>
      </c>
      <c r="DS119" s="65">
        <f t="shared" si="703"/>
        <v>0.10156881772602278</v>
      </c>
      <c r="DT119" s="1066">
        <f t="shared" si="703"/>
        <v>0.17518119144422828</v>
      </c>
      <c r="DU119" s="65">
        <f t="shared" si="703"/>
        <v>0.1171935235158057</v>
      </c>
      <c r="DV119" s="65">
        <f t="shared" ref="DV119" si="704">DV118/DS118-1</f>
        <v>9.4846571722214223E-2</v>
      </c>
      <c r="DW119" s="1066">
        <f t="shared" ref="DW119" si="705">DW118/DT118-1</f>
        <v>0.10574608904933824</v>
      </c>
      <c r="DX119" s="65">
        <f t="shared" si="703"/>
        <v>-6.9013112491378426E-4</v>
      </c>
      <c r="DY119" s="65">
        <f t="shared" si="703"/>
        <v>0.16335363051699781</v>
      </c>
      <c r="DZ119" s="1066">
        <f t="shared" si="703"/>
        <v>8.2514489373231692E-2</v>
      </c>
      <c r="EA119" s="65">
        <f t="shared" si="703"/>
        <v>0.23949492473050604</v>
      </c>
      <c r="EB119" s="65">
        <f t="shared" si="703"/>
        <v>7.0000000000000284E-2</v>
      </c>
      <c r="EC119" s="1066">
        <f t="shared" si="703"/>
        <v>0.14710545923938145</v>
      </c>
      <c r="ED119" s="65">
        <f t="shared" si="703"/>
        <v>9.000000000000008E-2</v>
      </c>
      <c r="EE119" s="65">
        <f t="shared" si="703"/>
        <v>9.000000000000008E-2</v>
      </c>
      <c r="EF119" s="1066">
        <f t="shared" si="703"/>
        <v>9.000000000000008E-2</v>
      </c>
      <c r="EG119" s="65">
        <f t="shared" ref="EG119:EL119" si="706">EG118/ED118-1</f>
        <v>9.000000000000008E-2</v>
      </c>
      <c r="EH119" s="65">
        <f t="shared" si="706"/>
        <v>9.000000000000008E-2</v>
      </c>
      <c r="EI119" s="1066">
        <f t="shared" si="706"/>
        <v>9.0000000000000302E-2</v>
      </c>
      <c r="EJ119" s="65">
        <f t="shared" si="706"/>
        <v>9.000000000000008E-2</v>
      </c>
      <c r="EK119" s="65">
        <f t="shared" si="706"/>
        <v>9.000000000000008E-2</v>
      </c>
      <c r="EL119" s="1066">
        <f t="shared" si="706"/>
        <v>8.9999999999999858E-2</v>
      </c>
      <c r="EM119" s="65">
        <f t="shared" ref="EM119:ER119" si="707">EM118/EJ118-1</f>
        <v>9.000000000000008E-2</v>
      </c>
      <c r="EN119" s="65">
        <f t="shared" si="707"/>
        <v>9.000000000000008E-2</v>
      </c>
      <c r="EO119" s="1066">
        <f t="shared" si="707"/>
        <v>9.000000000000008E-2</v>
      </c>
      <c r="EP119" s="65">
        <f t="shared" si="707"/>
        <v>9.000000000000008E-2</v>
      </c>
      <c r="EQ119" s="65">
        <f t="shared" si="707"/>
        <v>9.000000000000008E-2</v>
      </c>
      <c r="ER119" s="1066">
        <f t="shared" si="707"/>
        <v>9.000000000000008E-2</v>
      </c>
      <c r="ES119" s="65">
        <f t="shared" ref="ES119" si="708">ES118/EP118-1</f>
        <v>9.0000000000000302E-2</v>
      </c>
      <c r="ET119" s="65">
        <f t="shared" ref="ET119" si="709">ET118/EQ118-1</f>
        <v>9.000000000000008E-2</v>
      </c>
      <c r="EU119" s="1066">
        <f t="shared" ref="EU119" si="710">EU118/ER118-1</f>
        <v>9.000000000000008E-2</v>
      </c>
      <c r="EV119" s="65">
        <f t="shared" ref="EV119" si="711">EV118/ES118-1</f>
        <v>9.000000000000008E-2</v>
      </c>
      <c r="EW119" s="65">
        <f t="shared" ref="EW119" si="712">EW118/ET118-1</f>
        <v>9.000000000000008E-2</v>
      </c>
      <c r="EX119" s="1066">
        <f t="shared" ref="EX119" si="713">EX118/EU118-1</f>
        <v>9.000000000000008E-2</v>
      </c>
      <c r="EY119" s="65">
        <f t="shared" ref="EY119" si="714">EY118/EV118-1</f>
        <v>9.000000000000008E-2</v>
      </c>
      <c r="EZ119" s="65">
        <f t="shared" ref="EZ119" si="715">EZ118/EW118-1</f>
        <v>9.000000000000008E-2</v>
      </c>
      <c r="FA119" s="1066">
        <f t="shared" ref="FA119" si="716">FA118/EX118-1</f>
        <v>9.000000000000008E-2</v>
      </c>
    </row>
    <row r="120" spans="1:157">
      <c r="BA120" s="70"/>
      <c r="BB120" s="70"/>
      <c r="BC120" s="321"/>
      <c r="BD120" s="70"/>
      <c r="BE120" s="70"/>
      <c r="BF120" s="321"/>
      <c r="BG120" s="70"/>
      <c r="BH120" s="70"/>
      <c r="BI120" s="321"/>
      <c r="BJ120" s="70"/>
      <c r="BK120" s="70"/>
      <c r="BL120" s="321"/>
      <c r="BM120" s="70"/>
      <c r="BN120" s="70"/>
      <c r="BO120" s="321"/>
      <c r="BP120" s="70"/>
      <c r="BQ120" s="70"/>
      <c r="BR120" s="321"/>
      <c r="BS120" s="74">
        <v>240.3</v>
      </c>
      <c r="BT120" s="74">
        <f>BU120-BS120</f>
        <v>239.89999999999998</v>
      </c>
      <c r="BU120" s="198">
        <v>480.2</v>
      </c>
      <c r="BV120" s="74">
        <v>247.5</v>
      </c>
      <c r="BW120" s="74">
        <f>BX120-BV120</f>
        <v>257.3</v>
      </c>
      <c r="BX120" s="198">
        <v>504.8</v>
      </c>
      <c r="BY120" s="74">
        <v>301.10000000000002</v>
      </c>
      <c r="BZ120" s="74">
        <f>CA120-BY120</f>
        <v>312.89999999999998</v>
      </c>
      <c r="CA120" s="198">
        <v>614</v>
      </c>
      <c r="CB120" s="74">
        <v>290.5</v>
      </c>
      <c r="CC120" s="74">
        <f>CD120-CB120</f>
        <v>313.20000000000005</v>
      </c>
      <c r="CD120" s="198">
        <v>603.70000000000005</v>
      </c>
      <c r="CE120" s="74">
        <v>309.60000000000002</v>
      </c>
      <c r="CF120" s="74">
        <f>CG120-CE120</f>
        <v>-309.60000000000002</v>
      </c>
      <c r="CG120" s="74"/>
      <c r="CH120" s="74"/>
      <c r="CI120" s="74"/>
      <c r="CJ120" s="70"/>
      <c r="CK120" s="70"/>
      <c r="CL120" s="70"/>
      <c r="CM120" s="70"/>
      <c r="CN120" s="70"/>
      <c r="CO120" s="321"/>
      <c r="CP120" s="321"/>
      <c r="CQ120" s="1042">
        <v>383</v>
      </c>
      <c r="CR120" s="1043"/>
      <c r="CS120" s="321">
        <v>826.8</v>
      </c>
      <c r="CT120" s="321">
        <v>362.709</v>
      </c>
      <c r="CU120" s="321"/>
      <c r="CV120" s="321"/>
      <c r="CW120" s="321"/>
      <c r="CX120" s="304"/>
      <c r="CY120" s="321"/>
      <c r="CZ120" s="321"/>
      <c r="DA120" s="321"/>
      <c r="DB120" s="889"/>
      <c r="DC120" s="233"/>
      <c r="DD120" s="233"/>
      <c r="DE120" s="889"/>
      <c r="DF120" s="70"/>
      <c r="DG120" s="70"/>
      <c r="DH120" s="1092"/>
      <c r="DI120" s="70"/>
      <c r="DJ120" s="1044"/>
      <c r="DK120" s="1092"/>
      <c r="DL120" s="70"/>
      <c r="DM120" s="1044"/>
      <c r="DN120" s="1092"/>
      <c r="DO120" s="244"/>
      <c r="DP120" s="1044"/>
      <c r="DQ120" s="1092"/>
      <c r="DR120" s="70"/>
      <c r="DS120" s="1044"/>
      <c r="DT120" s="1092"/>
      <c r="DU120" s="70"/>
      <c r="DV120" s="1044"/>
      <c r="DW120" s="1092"/>
      <c r="DX120" s="70"/>
      <c r="DY120" s="70"/>
      <c r="DZ120" s="1092"/>
      <c r="EA120" s="70"/>
      <c r="EB120" s="70"/>
      <c r="EC120" s="1092"/>
      <c r="ED120" s="70"/>
      <c r="EE120" s="70"/>
      <c r="EF120" s="1092"/>
      <c r="EG120" s="70"/>
      <c r="EH120" s="70"/>
      <c r="EI120" s="1092"/>
      <c r="EJ120" s="70"/>
      <c r="EK120" s="70"/>
      <c r="EL120" s="1092"/>
      <c r="EM120" s="70"/>
      <c r="EN120" s="70"/>
      <c r="EO120" s="1092"/>
      <c r="EP120" s="70"/>
      <c r="EQ120" s="70"/>
      <c r="ER120" s="1092"/>
      <c r="ES120" s="70"/>
      <c r="ET120" s="70"/>
      <c r="EU120" s="1092"/>
      <c r="EV120" s="70"/>
      <c r="EW120" s="70"/>
      <c r="EX120" s="1092"/>
      <c r="EY120" s="70"/>
      <c r="EZ120" s="70"/>
      <c r="FA120" s="1092"/>
    </row>
    <row r="121" spans="1:157" s="233" customFormat="1">
      <c r="A121" s="1174" t="s">
        <v>1030</v>
      </c>
      <c r="B121" s="233" t="s">
        <v>934</v>
      </c>
      <c r="D121" s="245" t="s">
        <v>604</v>
      </c>
      <c r="BC121" s="889"/>
      <c r="BF121" s="889"/>
      <c r="BI121" s="889"/>
      <c r="BL121" s="889"/>
      <c r="BO121" s="889"/>
      <c r="BR121" s="889"/>
      <c r="BU121" s="889"/>
      <c r="BX121" s="889"/>
      <c r="CA121" s="889"/>
      <c r="CD121" s="889"/>
      <c r="CG121" s="889"/>
      <c r="CJ121" s="889"/>
      <c r="CM121" s="889"/>
      <c r="CP121" s="1570">
        <v>108.024</v>
      </c>
      <c r="CQ121" s="945">
        <v>111.78100000000001</v>
      </c>
      <c r="CR121" s="945">
        <f>+CS121-CQ121</f>
        <v>50.342999999999989</v>
      </c>
      <c r="CS121" s="1570">
        <v>162.124</v>
      </c>
      <c r="CT121" s="233">
        <f>+CT198+CT291+CT371</f>
        <v>146.29999999999998</v>
      </c>
      <c r="CU121" s="233">
        <f>+CU198+CU291+CU371</f>
        <v>141.54030386729582</v>
      </c>
      <c r="CV121" s="889">
        <f>SUM(CT121:CU121)</f>
        <v>287.8403038672958</v>
      </c>
      <c r="CW121" s="233">
        <f>+CW198+CW291+CW371</f>
        <v>144.77730621259633</v>
      </c>
      <c r="CX121" s="233">
        <f>+CX198+CX291+CX371</f>
        <v>160.80000000000004</v>
      </c>
      <c r="CY121" s="889">
        <f>SUM(CW121:CX121)</f>
        <v>305.57730621259634</v>
      </c>
      <c r="CZ121" s="233">
        <f>+CZ198+CZ291+CZ371</f>
        <v>151.03443396031815</v>
      </c>
      <c r="DA121" s="233">
        <f>+DA198+DA291+DA371</f>
        <v>183.87468523645583</v>
      </c>
      <c r="DB121" s="889">
        <f>SUM(CZ121:DA121)</f>
        <v>334.90911919677399</v>
      </c>
      <c r="DC121" s="233">
        <f>+DC198+DC291+DC371</f>
        <v>204.63656629043851</v>
      </c>
      <c r="DD121" s="233">
        <f>+DD198+DD291+DD371</f>
        <v>219.4030504373188</v>
      </c>
      <c r="DE121" s="889">
        <f>SUM(DC121:DD121)</f>
        <v>424.03961672775733</v>
      </c>
      <c r="DF121" s="233">
        <f>+DF198+DF291+DF371</f>
        <v>222.41894873096487</v>
      </c>
      <c r="DG121" s="233">
        <f>+DG198+DG291+DG371</f>
        <v>177.66621683241007</v>
      </c>
      <c r="DH121" s="1131">
        <f>SUM(DF121:DG121)</f>
        <v>400.08516556337497</v>
      </c>
      <c r="DI121" s="1120">
        <v>214.9</v>
      </c>
      <c r="DJ121" s="233">
        <f>+DK121-DI121</f>
        <v>223.6</v>
      </c>
      <c r="DK121" s="1131">
        <v>438.5</v>
      </c>
      <c r="DL121" s="1120">
        <v>256.5</v>
      </c>
      <c r="DM121" s="233">
        <f>+DN121-DL121</f>
        <v>247.39999999999998</v>
      </c>
      <c r="DN121" s="1131">
        <v>503.9</v>
      </c>
      <c r="DO121" s="1120">
        <v>258.60000000000002</v>
      </c>
      <c r="DP121" s="233">
        <f>+DQ121-DO121</f>
        <v>325.79999999999995</v>
      </c>
      <c r="DQ121" s="1131">
        <v>584.4</v>
      </c>
      <c r="DR121" s="1120">
        <v>348.9</v>
      </c>
      <c r="DS121" s="233">
        <f>+DT121-DR121</f>
        <v>323.39999999999998</v>
      </c>
      <c r="DT121" s="1131">
        <v>672.3</v>
      </c>
      <c r="DU121" s="1120">
        <v>305</v>
      </c>
      <c r="DV121" s="233">
        <f>+DW121-DU121</f>
        <v>304.20000000000005</v>
      </c>
      <c r="DW121" s="1131">
        <v>609.20000000000005</v>
      </c>
      <c r="DX121" s="1120">
        <v>311.60000000000002</v>
      </c>
      <c r="DY121" s="233">
        <f>+DY198+DY291+DY371</f>
        <v>327.41432064663024</v>
      </c>
      <c r="DZ121" s="1060">
        <f>SUM(DX121:DY121)</f>
        <v>639.01432064663027</v>
      </c>
      <c r="EA121" s="233">
        <f>+EA198+EA291+EA371</f>
        <v>343.80020969059115</v>
      </c>
      <c r="EB121" s="233">
        <f>+EB198+EB291+EB371</f>
        <v>351.97039469512748</v>
      </c>
      <c r="EC121" s="1060">
        <f>SUM(EA121:EB121)</f>
        <v>695.77060438571857</v>
      </c>
      <c r="ED121" s="233">
        <f>+ED198+ED291+ED371</f>
        <v>374.74222856274434</v>
      </c>
      <c r="EE121" s="233">
        <f>+EE198+EE291+EE371</f>
        <v>383.64773021768895</v>
      </c>
      <c r="EF121" s="1060">
        <f>SUM(ED121:EE121)</f>
        <v>758.38995878043329</v>
      </c>
      <c r="EG121" s="233">
        <f>+EG198+EG291+EG371</f>
        <v>408.46902913339136</v>
      </c>
      <c r="EH121" s="233">
        <f>+EH198+EH291+EH371</f>
        <v>418.176025937281</v>
      </c>
      <c r="EI121" s="1060">
        <f>SUM(EG121:EH121)</f>
        <v>826.64505507067236</v>
      </c>
      <c r="EJ121" s="233">
        <f>+EJ198+EJ291+EJ371</f>
        <v>445.23124175539658</v>
      </c>
      <c r="EK121" s="233">
        <f>+EK198+EK291+EK371</f>
        <v>455.81186827163634</v>
      </c>
      <c r="EL121" s="1060">
        <f>SUM(EJ121:EK121)</f>
        <v>901.04311002703298</v>
      </c>
      <c r="EM121" s="233">
        <f>+EM198+EM291+EM371</f>
        <v>485.30205351338236</v>
      </c>
      <c r="EN121" s="233">
        <f>+EN198+EN291+EN371</f>
        <v>496.83493641608362</v>
      </c>
      <c r="EO121" s="1060">
        <f>SUM(EM121:EN121)</f>
        <v>982.13698992946593</v>
      </c>
      <c r="EP121" s="233">
        <f>+EP198+EP291+EP371</f>
        <v>528.97923832958679</v>
      </c>
      <c r="EQ121" s="233">
        <f>+EQ198+EQ291+EQ371</f>
        <v>541.55008069353119</v>
      </c>
      <c r="ER121" s="1060">
        <f>SUM(EP121:EQ121)</f>
        <v>1070.529319023118</v>
      </c>
      <c r="ES121" s="233">
        <f>+ES198+ES291+ES371</f>
        <v>576.58736977924968</v>
      </c>
      <c r="ET121" s="233">
        <f>+ET198+ET291+ET371</f>
        <v>590.28958795594906</v>
      </c>
      <c r="EU121" s="1060">
        <f>SUM(ES121:ET121)</f>
        <v>1166.8769577351986</v>
      </c>
      <c r="EV121" s="233">
        <f>+EV198+EV291+EV371</f>
        <v>628.48023305938204</v>
      </c>
      <c r="EW121" s="233">
        <f>+EW198+EW291+EW371</f>
        <v>643.41565087198444</v>
      </c>
      <c r="EX121" s="1060">
        <f>SUM(EV121:EW121)</f>
        <v>1271.8958839313664</v>
      </c>
      <c r="EY121" s="233">
        <f>+EY198+EY291+EY371</f>
        <v>685.04345403472655</v>
      </c>
      <c r="EZ121" s="233">
        <f>+EZ198+EZ291+EZ371</f>
        <v>701.32305945046312</v>
      </c>
      <c r="FA121" s="1060">
        <f>SUM(EY121:EZ121)</f>
        <v>1386.3665134851897</v>
      </c>
    </row>
    <row r="122" spans="1:157">
      <c r="C122" s="35" t="s">
        <v>209</v>
      </c>
      <c r="D122" s="162" t="s">
        <v>460</v>
      </c>
      <c r="BA122" s="70"/>
      <c r="BB122" s="70"/>
      <c r="BC122" s="321"/>
      <c r="BD122" s="70"/>
      <c r="BE122" s="70"/>
      <c r="BF122" s="321"/>
      <c r="BG122" s="70"/>
      <c r="BH122" s="70"/>
      <c r="BI122" s="321"/>
      <c r="BJ122" s="70"/>
      <c r="BK122" s="70"/>
      <c r="BL122" s="321"/>
      <c r="BM122" s="70"/>
      <c r="BN122" s="70"/>
      <c r="BO122" s="321"/>
      <c r="BP122" s="70"/>
      <c r="BQ122" s="70"/>
      <c r="BR122" s="321"/>
      <c r="BS122" s="74"/>
      <c r="BT122" s="74"/>
      <c r="BU122" s="198"/>
      <c r="BV122" s="74"/>
      <c r="BW122" s="74"/>
      <c r="BX122" s="198"/>
      <c r="BY122" s="74"/>
      <c r="BZ122" s="74"/>
      <c r="CA122" s="198"/>
      <c r="CB122" s="74"/>
      <c r="CC122" s="74"/>
      <c r="CD122" s="198"/>
      <c r="CE122" s="74"/>
      <c r="CF122" s="74"/>
      <c r="CG122" s="74"/>
      <c r="CH122" s="74"/>
      <c r="CI122" s="74"/>
      <c r="CJ122" s="70"/>
      <c r="CK122" s="70"/>
      <c r="CL122" s="70"/>
      <c r="CM122" s="70"/>
      <c r="CN122" s="70"/>
      <c r="CO122" s="321"/>
      <c r="CP122" s="197"/>
      <c r="CQ122" s="1042"/>
      <c r="CR122" s="1043"/>
      <c r="CS122" s="321"/>
      <c r="CT122" s="65">
        <f t="shared" ref="CT122:EF122" si="717">IFERROR(CT121/CQ121-1,"")</f>
        <v>0.30880918939712454</v>
      </c>
      <c r="CU122" s="65">
        <f t="shared" si="717"/>
        <v>1.811519056617521</v>
      </c>
      <c r="CV122" s="65">
        <f t="shared" si="717"/>
        <v>0.77543302575371831</v>
      </c>
      <c r="CW122" s="65">
        <f t="shared" si="717"/>
        <v>-1.0408023153818502E-2</v>
      </c>
      <c r="CX122" s="65">
        <f t="shared" si="717"/>
        <v>0.13607216889092988</v>
      </c>
      <c r="CY122" s="65">
        <f t="shared" si="717"/>
        <v>6.1620982562184512E-2</v>
      </c>
      <c r="CZ122" s="65">
        <f t="shared" si="717"/>
        <v>4.3218981699615355E-2</v>
      </c>
      <c r="DA122" s="65">
        <f t="shared" si="717"/>
        <v>0.14349928629636688</v>
      </c>
      <c r="DB122" s="65">
        <f t="shared" si="717"/>
        <v>9.5988191491454877E-2</v>
      </c>
      <c r="DC122" s="65">
        <f t="shared" si="717"/>
        <v>0.354900077582331</v>
      </c>
      <c r="DD122" s="65">
        <f t="shared" si="717"/>
        <v>0.19322053579683818</v>
      </c>
      <c r="DE122" s="65">
        <f t="shared" si="717"/>
        <v>0.26613338491573058</v>
      </c>
      <c r="DF122" s="65">
        <f t="shared" si="717"/>
        <v>8.6897384777694153E-2</v>
      </c>
      <c r="DG122" s="65">
        <f t="shared" si="717"/>
        <v>-0.19022904887474434</v>
      </c>
      <c r="DH122" s="1066">
        <f t="shared" si="717"/>
        <v>-5.6491068804454758E-2</v>
      </c>
      <c r="DI122" s="65">
        <f t="shared" si="717"/>
        <v>-3.3805342457848275E-2</v>
      </c>
      <c r="DJ122" s="65">
        <f t="shared" si="717"/>
        <v>0.25853977186286681</v>
      </c>
      <c r="DK122" s="1066">
        <f t="shared" si="717"/>
        <v>9.6016642812866149E-2</v>
      </c>
      <c r="DL122" s="65">
        <f>IFERROR(DL121/DI121-1,"")</f>
        <v>0.19357840856212194</v>
      </c>
      <c r="DM122" s="65">
        <f t="shared" si="717"/>
        <v>0.10644007155635049</v>
      </c>
      <c r="DN122" s="1066">
        <f>IFERROR(DN121/DK121-1,"")</f>
        <v>0.14914481185860895</v>
      </c>
      <c r="DO122" s="65">
        <f t="shared" si="717"/>
        <v>8.1871345029240761E-3</v>
      </c>
      <c r="DP122" s="65">
        <f t="shared" si="717"/>
        <v>0.31689571544058204</v>
      </c>
      <c r="DQ122" s="1066">
        <f t="shared" si="717"/>
        <v>0.15975391942845807</v>
      </c>
      <c r="DR122" s="65">
        <f t="shared" si="717"/>
        <v>0.34918793503480261</v>
      </c>
      <c r="DS122" s="65">
        <f t="shared" si="717"/>
        <v>-7.3664825046040328E-3</v>
      </c>
      <c r="DT122" s="1066">
        <f t="shared" si="717"/>
        <v>0.15041067761806981</v>
      </c>
      <c r="DU122" s="65">
        <f t="shared" si="717"/>
        <v>-0.12582401834336476</v>
      </c>
      <c r="DV122" s="65">
        <f t="shared" ref="DV122" si="718">IFERROR(DV121/DS121-1,"")</f>
        <v>-5.9369202226344897E-2</v>
      </c>
      <c r="DW122" s="1066">
        <f t="shared" ref="DW122" si="719">IFERROR(DW121/DT121-1,"")</f>
        <v>-9.3856909117953191E-2</v>
      </c>
      <c r="DX122" s="65">
        <f t="shared" si="717"/>
        <v>2.1639344262295079E-2</v>
      </c>
      <c r="DY122" s="65">
        <f t="shared" si="717"/>
        <v>7.6312691146055878E-2</v>
      </c>
      <c r="DZ122" s="1066">
        <f t="shared" si="717"/>
        <v>4.8940119249228919E-2</v>
      </c>
      <c r="EA122" s="65">
        <f t="shared" si="717"/>
        <v>0.10333828527147348</v>
      </c>
      <c r="EB122" s="65">
        <f t="shared" si="717"/>
        <v>7.4999999999999956E-2</v>
      </c>
      <c r="EC122" s="1066">
        <f t="shared" si="717"/>
        <v>8.8818484821522548E-2</v>
      </c>
      <c r="ED122" s="65">
        <f t="shared" si="717"/>
        <v>9.000000000000008E-2</v>
      </c>
      <c r="EE122" s="65">
        <f t="shared" si="717"/>
        <v>9.000000000000008E-2</v>
      </c>
      <c r="EF122" s="1066">
        <f t="shared" si="717"/>
        <v>9.000000000000008E-2</v>
      </c>
      <c r="EG122" s="65">
        <f t="shared" ref="EG122:EL122" si="720">IFERROR(EG121/ED121-1,"")</f>
        <v>9.000000000000008E-2</v>
      </c>
      <c r="EH122" s="65">
        <f t="shared" si="720"/>
        <v>9.000000000000008E-2</v>
      </c>
      <c r="EI122" s="1066">
        <f t="shared" si="720"/>
        <v>9.000000000000008E-2</v>
      </c>
      <c r="EJ122" s="65">
        <f t="shared" si="720"/>
        <v>9.000000000000008E-2</v>
      </c>
      <c r="EK122" s="65">
        <f t="shared" si="720"/>
        <v>9.000000000000008E-2</v>
      </c>
      <c r="EL122" s="1066">
        <f t="shared" si="720"/>
        <v>9.000000000000008E-2</v>
      </c>
      <c r="EM122" s="65">
        <f t="shared" ref="EM122:ER122" si="721">IFERROR(EM121/EJ121-1,"")</f>
        <v>9.0000000000000302E-2</v>
      </c>
      <c r="EN122" s="65">
        <f t="shared" si="721"/>
        <v>9.000000000000008E-2</v>
      </c>
      <c r="EO122" s="1066">
        <f t="shared" si="721"/>
        <v>9.000000000000008E-2</v>
      </c>
      <c r="EP122" s="65">
        <f t="shared" si="721"/>
        <v>9.000000000000008E-2</v>
      </c>
      <c r="EQ122" s="65">
        <f t="shared" si="721"/>
        <v>9.000000000000008E-2</v>
      </c>
      <c r="ER122" s="1066">
        <f t="shared" si="721"/>
        <v>9.000000000000008E-2</v>
      </c>
      <c r="ES122" s="65">
        <f t="shared" ref="ES122" si="722">IFERROR(ES121/EP121-1,"")</f>
        <v>9.000000000000008E-2</v>
      </c>
      <c r="ET122" s="65">
        <f t="shared" ref="ET122" si="723">IFERROR(ET121/EQ121-1,"")</f>
        <v>9.000000000000008E-2</v>
      </c>
      <c r="EU122" s="1066">
        <f t="shared" ref="EU122" si="724">IFERROR(EU121/ER121-1,"")</f>
        <v>9.000000000000008E-2</v>
      </c>
      <c r="EV122" s="65">
        <f t="shared" ref="EV122" si="725">IFERROR(EV121/ES121-1,"")</f>
        <v>8.9999999999999858E-2</v>
      </c>
      <c r="EW122" s="65">
        <f t="shared" ref="EW122" si="726">IFERROR(EW121/ET121-1,"")</f>
        <v>8.9999999999999858E-2</v>
      </c>
      <c r="EX122" s="1066">
        <f t="shared" ref="EX122" si="727">IFERROR(EX121/EU121-1,"")</f>
        <v>8.9999999999999858E-2</v>
      </c>
      <c r="EY122" s="65">
        <f t="shared" ref="EY122" si="728">IFERROR(EY121/EV121-1,"")</f>
        <v>9.0000000000000302E-2</v>
      </c>
      <c r="EZ122" s="65">
        <f t="shared" ref="EZ122" si="729">IFERROR(EZ121/EW121-1,"")</f>
        <v>9.000000000000008E-2</v>
      </c>
      <c r="FA122" s="1066">
        <f t="shared" ref="FA122" si="730">IFERROR(FA121/EX121-1,"")</f>
        <v>9.0000000000000302E-2</v>
      </c>
    </row>
    <row r="123" spans="1:157">
      <c r="BA123" s="70"/>
      <c r="BB123" s="70"/>
      <c r="BC123" s="321"/>
      <c r="BD123" s="70"/>
      <c r="BE123" s="70"/>
      <c r="BF123" s="321"/>
      <c r="BG123" s="70"/>
      <c r="BH123" s="70"/>
      <c r="BI123" s="321"/>
      <c r="BJ123" s="70"/>
      <c r="BK123" s="70"/>
      <c r="BL123" s="321"/>
      <c r="BM123" s="70"/>
      <c r="BN123" s="70"/>
      <c r="BO123" s="321"/>
      <c r="BP123" s="70"/>
      <c r="BQ123" s="70"/>
      <c r="BR123" s="321"/>
      <c r="BS123" s="74"/>
      <c r="BT123" s="74"/>
      <c r="BU123" s="198"/>
      <c r="BV123" s="74"/>
      <c r="BW123" s="74"/>
      <c r="BX123" s="198"/>
      <c r="BY123" s="74"/>
      <c r="BZ123" s="74"/>
      <c r="CA123" s="198"/>
      <c r="CB123" s="74"/>
      <c r="CC123" s="74"/>
      <c r="CD123" s="198"/>
      <c r="CE123" s="74"/>
      <c r="CF123" s="74"/>
      <c r="CG123" s="74"/>
      <c r="CH123" s="74"/>
      <c r="CI123" s="74"/>
      <c r="CJ123" s="70"/>
      <c r="CK123" s="70"/>
      <c r="CL123" s="70"/>
      <c r="CM123" s="70"/>
      <c r="CN123" s="70"/>
      <c r="CO123" s="321"/>
      <c r="CP123" s="178"/>
      <c r="CQ123" s="178"/>
      <c r="CR123" s="178"/>
      <c r="CS123" s="178"/>
      <c r="CT123" s="178"/>
      <c r="CU123" s="178"/>
      <c r="CV123" s="178"/>
      <c r="CW123" s="178"/>
      <c r="CX123" s="178"/>
      <c r="CY123" s="178"/>
      <c r="CZ123" s="178"/>
      <c r="DA123" s="178"/>
      <c r="DB123" s="178"/>
      <c r="DC123" s="178"/>
      <c r="DD123" s="178"/>
      <c r="DE123" s="178"/>
      <c r="DF123" s="304"/>
      <c r="DG123" s="178"/>
      <c r="DH123" s="1084"/>
      <c r="DI123" s="178"/>
      <c r="DJ123" s="178"/>
      <c r="DK123" s="1084"/>
      <c r="DL123" s="178"/>
      <c r="DM123" s="178"/>
      <c r="DN123" s="1084"/>
      <c r="DO123" s="304"/>
      <c r="DP123" s="178"/>
      <c r="DQ123" s="1084"/>
      <c r="DR123" s="178"/>
      <c r="DS123" s="178"/>
      <c r="DT123" s="1084"/>
      <c r="DU123" s="178"/>
      <c r="DV123" s="178"/>
      <c r="DW123" s="1084"/>
      <c r="DX123" s="178"/>
      <c r="DY123" s="178"/>
      <c r="DZ123" s="1084"/>
      <c r="EA123" s="178"/>
      <c r="EB123" s="178"/>
      <c r="EC123" s="1084"/>
      <c r="ED123" s="178"/>
      <c r="EE123" s="178"/>
      <c r="EF123" s="1084"/>
      <c r="EG123" s="178"/>
      <c r="EH123" s="178"/>
      <c r="EI123" s="1084"/>
      <c r="EJ123" s="178"/>
      <c r="EK123" s="178"/>
      <c r="EL123" s="1084"/>
      <c r="EM123" s="178"/>
      <c r="EN123" s="178"/>
      <c r="EO123" s="1084"/>
      <c r="EP123" s="178"/>
      <c r="EQ123" s="178"/>
      <c r="ER123" s="1084"/>
      <c r="ES123" s="178"/>
      <c r="ET123" s="178"/>
      <c r="EU123" s="1084"/>
      <c r="EV123" s="178"/>
      <c r="EW123" s="178"/>
      <c r="EX123" s="1084"/>
      <c r="EY123" s="178"/>
      <c r="EZ123" s="178"/>
      <c r="FA123" s="1084"/>
    </row>
    <row r="124" spans="1:157" s="233" customFormat="1">
      <c r="A124" s="1174" t="s">
        <v>1031</v>
      </c>
      <c r="B124" s="233" t="s">
        <v>671</v>
      </c>
      <c r="D124" s="245" t="s">
        <v>604</v>
      </c>
      <c r="BC124" s="889"/>
      <c r="BF124" s="889"/>
      <c r="BI124" s="889"/>
      <c r="BL124" s="889"/>
      <c r="BO124" s="889"/>
      <c r="BR124" s="889"/>
      <c r="BS124" s="233">
        <f>BS191+BS284+BS366</f>
        <v>18.136037373396896</v>
      </c>
      <c r="BT124" s="233">
        <f>BT191+BT284+BT366</f>
        <v>20.249353229029133</v>
      </c>
      <c r="BU124" s="889">
        <f>SUM(BS124:BT124)</f>
        <v>38.385390602426028</v>
      </c>
      <c r="BV124" s="233">
        <f>BV191+BV284+BV366</f>
        <v>24.03551540312214</v>
      </c>
      <c r="BW124" s="233">
        <f>BW191+BW284+BW366</f>
        <v>27.255140211853256</v>
      </c>
      <c r="BX124" s="889">
        <f>SUM(BV124:BW124)</f>
        <v>51.290655614975392</v>
      </c>
      <c r="BY124" s="233">
        <f>BY191+BY284+BY366</f>
        <v>30.125304997213306</v>
      </c>
      <c r="BZ124" s="233">
        <f>BZ191+BZ284+BZ366</f>
        <v>30.526035575845352</v>
      </c>
      <c r="CA124" s="889">
        <f>SUM(BY124:BZ124)</f>
        <v>60.651340573058661</v>
      </c>
      <c r="CB124" s="233">
        <f>CB191+CB284+CB366</f>
        <v>30.577025534088662</v>
      </c>
      <c r="CC124" s="233">
        <f>CC191+CC284+CC366</f>
        <v>31.731203460379731</v>
      </c>
      <c r="CD124" s="889">
        <f>SUM(CB124:CC124)</f>
        <v>62.308228994468394</v>
      </c>
      <c r="CE124" s="233">
        <f>CE191+CE284+CE366</f>
        <v>31.181105081361061</v>
      </c>
      <c r="CF124" s="233">
        <f>CF191+CF284+CF366</f>
        <v>25.10667062582997</v>
      </c>
      <c r="CG124" s="889">
        <f>SUM(CE124:CF124)</f>
        <v>56.287775707191031</v>
      </c>
      <c r="CH124" s="233">
        <f>CH191+CH284+CH366</f>
        <v>27.551073183064862</v>
      </c>
      <c r="CI124" s="233">
        <f>CI191+CI284+CI366</f>
        <v>25.017746068245625</v>
      </c>
      <c r="CJ124" s="889">
        <f>SUM(CH124:CI124)</f>
        <v>52.568819251310487</v>
      </c>
      <c r="CK124" s="233">
        <f>CK191+CK284+CK366</f>
        <v>25.282791150240794</v>
      </c>
      <c r="CL124" s="233">
        <f>CL191+CL284+CL366</f>
        <v>25.498549259856798</v>
      </c>
      <c r="CM124" s="889">
        <f>SUM(CK124:CL124)</f>
        <v>50.781340410097592</v>
      </c>
      <c r="CN124" s="233">
        <f>CN191+CN284+CN366</f>
        <v>30.500582009956354</v>
      </c>
      <c r="CO124" s="233">
        <f>CO191+CO284+CO366</f>
        <v>37.652221245155417</v>
      </c>
      <c r="CP124" s="889">
        <f>SUM(CN124:CO124)</f>
        <v>68.152803255111763</v>
      </c>
      <c r="CQ124" s="233">
        <f>CQ191+CQ284+CQ366</f>
        <v>57.500000000000007</v>
      </c>
      <c r="CR124" s="233">
        <f>CR191+CR284+CR366</f>
        <v>57.600000000000009</v>
      </c>
      <c r="CS124" s="889">
        <f>SUM(CQ124:CR124)</f>
        <v>115.10000000000002</v>
      </c>
      <c r="CT124" s="233">
        <f>CT191+CT284+CT366</f>
        <v>72.713000000000008</v>
      </c>
      <c r="CU124" s="233">
        <f>CU191+CU284+CU366</f>
        <v>66.828999999999979</v>
      </c>
      <c r="CV124" s="889">
        <f>SUM(CT124:CU124)</f>
        <v>139.54199999999997</v>
      </c>
      <c r="CW124" s="233">
        <f>CW191+CW284+CW366</f>
        <v>82.472013910523415</v>
      </c>
      <c r="CX124" s="233">
        <f>CX191+CX284+CX366</f>
        <v>83.827986089476667</v>
      </c>
      <c r="CY124" s="889">
        <f>SUM(CW124:CX124)</f>
        <v>166.30000000000007</v>
      </c>
      <c r="CZ124" s="233">
        <f>CZ191+CZ284+CZ366</f>
        <v>84.700019536653883</v>
      </c>
      <c r="DA124" s="233">
        <f>DA191+DA284+DA366</f>
        <v>80.499980463346205</v>
      </c>
      <c r="DB124" s="889">
        <f>SUM(CZ124:DA124)</f>
        <v>165.2000000000001</v>
      </c>
      <c r="DC124" s="233">
        <f>DC191+DC284+DC366</f>
        <v>90.80000000000004</v>
      </c>
      <c r="DD124" s="233">
        <f>DD191+DD284+DD366</f>
        <v>82.99</v>
      </c>
      <c r="DE124" s="889">
        <f>SUM(DC124:DD124)</f>
        <v>173.79000000000002</v>
      </c>
      <c r="DF124" s="233">
        <f>DF191+DF284+DF366</f>
        <v>82.444519110167278</v>
      </c>
      <c r="DG124" s="233">
        <f>DG191+DG284+DG366</f>
        <v>56.359184445948827</v>
      </c>
      <c r="DH124" s="1131">
        <f>SUM(DF124:DG124)</f>
        <v>138.80370355611609</v>
      </c>
      <c r="DI124" s="1120">
        <v>73.2</v>
      </c>
      <c r="DJ124" s="233">
        <f>+DK124-DI124</f>
        <v>82.999999999999986</v>
      </c>
      <c r="DK124" s="1131">
        <v>156.19999999999999</v>
      </c>
      <c r="DL124" s="1120">
        <v>100.9</v>
      </c>
      <c r="DM124" s="233">
        <f>+DN124-DL124</f>
        <v>101.1</v>
      </c>
      <c r="DN124" s="1131">
        <v>202</v>
      </c>
      <c r="DO124" s="1120">
        <v>120.9</v>
      </c>
      <c r="DP124" s="233">
        <f>+DQ124-DO124</f>
        <v>119</v>
      </c>
      <c r="DQ124" s="1131">
        <v>239.9</v>
      </c>
      <c r="DR124" s="1120">
        <v>116</v>
      </c>
      <c r="DS124" s="233">
        <f>+DT124-DR124</f>
        <v>140.30000000000001</v>
      </c>
      <c r="DT124" s="1131">
        <v>256.3</v>
      </c>
      <c r="DU124" s="1120">
        <v>140.4</v>
      </c>
      <c r="DV124" s="233">
        <f>+DW124-DU124</f>
        <v>135.99999999999997</v>
      </c>
      <c r="DW124" s="1131">
        <v>276.39999999999998</v>
      </c>
      <c r="DX124" s="1120">
        <v>140.4</v>
      </c>
      <c r="DY124" s="233">
        <f>DY191+DY284+DY366</f>
        <v>142.43913701711867</v>
      </c>
      <c r="DZ124" s="1060">
        <f>SUM(DX124:DY124)</f>
        <v>282.83913701711867</v>
      </c>
      <c r="EA124" s="233">
        <f>EA191+EA284+EA366</f>
        <v>145.68709377569758</v>
      </c>
      <c r="EB124" s="233">
        <f>EB191+EB284+EB366</f>
        <v>149.56109386797462</v>
      </c>
      <c r="EC124" s="1060">
        <f>SUM(EA124:EB124)</f>
        <v>295.24818764367217</v>
      </c>
      <c r="ED124" s="233">
        <f>ED191+ED284+ED366</f>
        <v>155.8851903399964</v>
      </c>
      <c r="EE124" s="233">
        <f>EE191+EE284+EE366</f>
        <v>160.03037043873289</v>
      </c>
      <c r="EF124" s="1060">
        <f>SUM(ED124:EE124)</f>
        <v>315.91556077872929</v>
      </c>
      <c r="EG124" s="233">
        <f>EG191+EG284+EG366</f>
        <v>169.91485747059608</v>
      </c>
      <c r="EH124" s="233">
        <f>EH191+EH284+EH366</f>
        <v>174.43310377821885</v>
      </c>
      <c r="EI124" s="1060">
        <f>SUM(EG124:EH124)</f>
        <v>344.34796124881495</v>
      </c>
      <c r="EJ124" s="233">
        <f>EJ191+EJ284+EJ366</f>
        <v>185.20719464294973</v>
      </c>
      <c r="EK124" s="233">
        <f>EK191+EK284+EK366</f>
        <v>190.13208311825855</v>
      </c>
      <c r="EL124" s="1060">
        <f>SUM(EJ124:EK124)</f>
        <v>375.33927776120828</v>
      </c>
      <c r="EM124" s="233">
        <f>EM191+EM284+EM366</f>
        <v>201.87584216081524</v>
      </c>
      <c r="EN124" s="233">
        <f>EN191+EN284+EN366</f>
        <v>207.24397059890183</v>
      </c>
      <c r="EO124" s="1060">
        <f>SUM(EM124:EN124)</f>
        <v>409.11981275971709</v>
      </c>
      <c r="EP124" s="233">
        <f>EP191+EP284+EP366</f>
        <v>220.04466795528865</v>
      </c>
      <c r="EQ124" s="233">
        <f>EQ191+EQ284+EQ366</f>
        <v>225.89592795280299</v>
      </c>
      <c r="ER124" s="1060">
        <f>SUM(EP124:EQ124)</f>
        <v>445.94059590809161</v>
      </c>
      <c r="ES124" s="233">
        <f>ES191+ES284+ES366</f>
        <v>239.84868807126466</v>
      </c>
      <c r="ET124" s="233">
        <f>ET191+ET284+ET366</f>
        <v>246.2265614685553</v>
      </c>
      <c r="EU124" s="1060">
        <f>SUM(ES124:ET124)</f>
        <v>486.07524953981999</v>
      </c>
      <c r="EV124" s="233">
        <f>EV191+EV284+EV366</f>
        <v>261.43506999767851</v>
      </c>
      <c r="EW124" s="233">
        <f>EW191+EW284+EW366</f>
        <v>268.38695200072533</v>
      </c>
      <c r="EX124" s="1060">
        <f>SUM(EV124:EW124)</f>
        <v>529.8220219984039</v>
      </c>
      <c r="EY124" s="233">
        <f>EY191+EY284+EY366</f>
        <v>284.96422629746957</v>
      </c>
      <c r="EZ124" s="233">
        <f>EZ191+EZ284+EZ366</f>
        <v>292.54177768079057</v>
      </c>
      <c r="FA124" s="1060">
        <f>SUM(EY124:EZ124)</f>
        <v>577.5060039782602</v>
      </c>
    </row>
    <row r="125" spans="1:157">
      <c r="C125" s="35" t="s">
        <v>209</v>
      </c>
      <c r="D125" s="162" t="s">
        <v>460</v>
      </c>
      <c r="BA125" s="35"/>
      <c r="BB125" s="35"/>
      <c r="BC125" s="322"/>
      <c r="BD125" s="65"/>
      <c r="BE125" s="65"/>
      <c r="BF125" s="65"/>
      <c r="BG125" s="65"/>
      <c r="BH125" s="65"/>
      <c r="BI125" s="65"/>
      <c r="BJ125" s="65"/>
      <c r="BK125" s="65"/>
      <c r="BL125" s="65"/>
      <c r="BM125" s="65"/>
      <c r="BN125" s="65"/>
      <c r="BO125" s="65"/>
      <c r="BP125" s="65"/>
      <c r="BQ125" s="65"/>
      <c r="BR125" s="65"/>
      <c r="BS125" s="65"/>
      <c r="BT125" s="65"/>
      <c r="BU125" s="65"/>
      <c r="BV125" s="65">
        <f t="shared" ref="BV125:DA125" si="731">BV124/BS124-1</f>
        <v>0.32529035468238376</v>
      </c>
      <c r="BW125" s="65">
        <f t="shared" si="731"/>
        <v>0.34597583950388811</v>
      </c>
      <c r="BX125" s="65">
        <f t="shared" si="731"/>
        <v>0.33620251897954456</v>
      </c>
      <c r="BY125" s="65">
        <f t="shared" si="731"/>
        <v>0.25336629949279632</v>
      </c>
      <c r="BZ125" s="65">
        <f t="shared" si="731"/>
        <v>0.12001021967113501</v>
      </c>
      <c r="CA125" s="65">
        <f t="shared" si="731"/>
        <v>0.18250273555384644</v>
      </c>
      <c r="CB125" s="65">
        <f t="shared" si="731"/>
        <v>1.499472078098929E-2</v>
      </c>
      <c r="CC125" s="65">
        <f t="shared" si="731"/>
        <v>3.9480000000000182E-2</v>
      </c>
      <c r="CD125" s="65">
        <f t="shared" si="731"/>
        <v>2.7318248957974856E-2</v>
      </c>
      <c r="CE125" s="65">
        <f t="shared" si="731"/>
        <v>1.9755994467118621E-2</v>
      </c>
      <c r="CF125" s="65">
        <f t="shared" si="731"/>
        <v>-0.20877029901564548</v>
      </c>
      <c r="CG125" s="65">
        <f t="shared" si="731"/>
        <v>-9.6623726663966791E-2</v>
      </c>
      <c r="CH125" s="65">
        <f t="shared" si="731"/>
        <v>-0.11641767951534532</v>
      </c>
      <c r="CI125" s="65">
        <f t="shared" si="731"/>
        <v>-3.5418697647970898E-3</v>
      </c>
      <c r="CJ125" s="65">
        <f t="shared" si="731"/>
        <v>-6.607041065588648E-2</v>
      </c>
      <c r="CK125" s="65">
        <f t="shared" si="731"/>
        <v>-8.2330079040926041E-2</v>
      </c>
      <c r="CL125" s="65">
        <f t="shared" si="731"/>
        <v>1.9218485562192411E-2</v>
      </c>
      <c r="CM125" s="65">
        <f t="shared" si="731"/>
        <v>-3.4002643899374574E-2</v>
      </c>
      <c r="CN125" s="65">
        <f t="shared" si="731"/>
        <v>0.20637716890944868</v>
      </c>
      <c r="CO125" s="65">
        <f t="shared" si="731"/>
        <v>0.47664170464915601</v>
      </c>
      <c r="CP125" s="65">
        <f t="shared" si="731"/>
        <v>0.34208358236955783</v>
      </c>
      <c r="CQ125" s="65">
        <f t="shared" si="731"/>
        <v>0.88520992750991412</v>
      </c>
      <c r="CR125" s="65">
        <f t="shared" si="731"/>
        <v>0.52979022472442328</v>
      </c>
      <c r="CS125" s="65">
        <f t="shared" si="731"/>
        <v>0.68885202812794066</v>
      </c>
      <c r="CT125" s="65">
        <f t="shared" si="731"/>
        <v>0.26457391304347833</v>
      </c>
      <c r="CU125" s="65">
        <f t="shared" si="731"/>
        <v>0.16022569444444401</v>
      </c>
      <c r="CV125" s="65">
        <f t="shared" si="731"/>
        <v>0.21235447437011246</v>
      </c>
      <c r="CW125" s="65">
        <f t="shared" si="731"/>
        <v>0.13421278052787544</v>
      </c>
      <c r="CX125" s="65">
        <f t="shared" si="731"/>
        <v>0.2543654115649896</v>
      </c>
      <c r="CY125" s="65">
        <f t="shared" si="731"/>
        <v>0.19175588711642444</v>
      </c>
      <c r="CZ125" s="65">
        <f t="shared" si="731"/>
        <v>2.7015293073207935E-2</v>
      </c>
      <c r="DA125" s="65">
        <f t="shared" si="731"/>
        <v>-3.9700412492054915E-2</v>
      </c>
      <c r="DB125" s="65">
        <f t="shared" ref="DB125:EF125" si="732">DB124/CY124-1</f>
        <v>-6.6145520144315073E-3</v>
      </c>
      <c r="DC125" s="65">
        <f t="shared" si="732"/>
        <v>7.2018642932029087E-2</v>
      </c>
      <c r="DD125" s="65">
        <f t="shared" si="732"/>
        <v>3.0931927216896193E-2</v>
      </c>
      <c r="DE125" s="65">
        <f t="shared" si="732"/>
        <v>5.1997578692493329E-2</v>
      </c>
      <c r="DF125" s="65">
        <f t="shared" si="732"/>
        <v>-9.2020714645735247E-2</v>
      </c>
      <c r="DG125" s="65">
        <f t="shared" si="732"/>
        <v>-0.32089186111641366</v>
      </c>
      <c r="DH125" s="1066">
        <f t="shared" si="732"/>
        <v>-0.201313633948351</v>
      </c>
      <c r="DI125" s="65">
        <f t="shared" si="732"/>
        <v>-0.1121301841522564</v>
      </c>
      <c r="DJ125" s="65">
        <f t="shared" si="732"/>
        <v>0.47269696706844622</v>
      </c>
      <c r="DK125" s="1066">
        <f t="shared" si="732"/>
        <v>0.12533020372075909</v>
      </c>
      <c r="DL125" s="65">
        <f>DL124/DI124-1</f>
        <v>0.37841530054644812</v>
      </c>
      <c r="DM125" s="65">
        <f t="shared" si="732"/>
        <v>0.21807228915662669</v>
      </c>
      <c r="DN125" s="1066">
        <f>DN124/DK124-1</f>
        <v>0.29321382842509602</v>
      </c>
      <c r="DO125" s="65">
        <f t="shared" si="732"/>
        <v>0.19821605550049548</v>
      </c>
      <c r="DP125" s="65">
        <f t="shared" si="732"/>
        <v>0.17705242334322469</v>
      </c>
      <c r="DQ125" s="1066">
        <f t="shared" si="732"/>
        <v>0.18762376237623757</v>
      </c>
      <c r="DR125" s="65">
        <f t="shared" si="732"/>
        <v>-4.0529363110008321E-2</v>
      </c>
      <c r="DS125" s="65">
        <f t="shared" si="732"/>
        <v>0.17899159663865549</v>
      </c>
      <c r="DT125" s="1066">
        <f t="shared" si="732"/>
        <v>6.8361817423926663E-2</v>
      </c>
      <c r="DU125" s="65">
        <f t="shared" si="732"/>
        <v>0.21034482758620698</v>
      </c>
      <c r="DV125" s="65">
        <f t="shared" ref="DV125" si="733">DV124/DS124-1</f>
        <v>-3.0648610121169151E-2</v>
      </c>
      <c r="DW125" s="1066">
        <f t="shared" ref="DW125" si="734">DW124/DT124-1</f>
        <v>7.8423722200546164E-2</v>
      </c>
      <c r="DX125" s="65">
        <f t="shared" si="732"/>
        <v>0</v>
      </c>
      <c r="DY125" s="65">
        <f t="shared" si="732"/>
        <v>4.7346595714108153E-2</v>
      </c>
      <c r="DZ125" s="1066">
        <f t="shared" si="732"/>
        <v>2.3296443621992458E-2</v>
      </c>
      <c r="EA125" s="65">
        <f t="shared" si="732"/>
        <v>3.7657363074768968E-2</v>
      </c>
      <c r="EB125" s="65">
        <f t="shared" si="732"/>
        <v>5.0000000000000044E-2</v>
      </c>
      <c r="EC125" s="1066">
        <f t="shared" si="732"/>
        <v>4.3873173838040902E-2</v>
      </c>
      <c r="ED125" s="65">
        <f t="shared" si="732"/>
        <v>6.999999999999984E-2</v>
      </c>
      <c r="EE125" s="65">
        <f t="shared" si="732"/>
        <v>7.0000000000000284E-2</v>
      </c>
      <c r="EF125" s="1066">
        <f t="shared" si="732"/>
        <v>7.0000000000000284E-2</v>
      </c>
      <c r="EG125" s="65">
        <f t="shared" ref="EG125:EL125" si="735">EG124/ED124-1</f>
        <v>9.000000000000008E-2</v>
      </c>
      <c r="EH125" s="65">
        <f t="shared" si="735"/>
        <v>9.000000000000008E-2</v>
      </c>
      <c r="EI125" s="1066">
        <f t="shared" si="735"/>
        <v>9.000000000000008E-2</v>
      </c>
      <c r="EJ125" s="65">
        <f t="shared" si="735"/>
        <v>9.000000000000008E-2</v>
      </c>
      <c r="EK125" s="65">
        <f t="shared" si="735"/>
        <v>9.000000000000008E-2</v>
      </c>
      <c r="EL125" s="1066">
        <f t="shared" si="735"/>
        <v>8.9999999999999858E-2</v>
      </c>
      <c r="EM125" s="65">
        <f t="shared" ref="EM125:ER125" si="736">EM124/EJ124-1</f>
        <v>9.000000000000008E-2</v>
      </c>
      <c r="EN125" s="65">
        <f t="shared" si="736"/>
        <v>9.000000000000008E-2</v>
      </c>
      <c r="EO125" s="1066">
        <f t="shared" si="736"/>
        <v>9.000000000000008E-2</v>
      </c>
      <c r="EP125" s="65">
        <f t="shared" si="736"/>
        <v>9.000000000000008E-2</v>
      </c>
      <c r="EQ125" s="65">
        <f t="shared" si="736"/>
        <v>9.000000000000008E-2</v>
      </c>
      <c r="ER125" s="1066">
        <f t="shared" si="736"/>
        <v>8.9999999999999858E-2</v>
      </c>
      <c r="ES125" s="65">
        <f t="shared" ref="ES125" si="737">ES124/EP124-1</f>
        <v>9.000000000000008E-2</v>
      </c>
      <c r="ET125" s="65">
        <f t="shared" ref="ET125" si="738">ET124/EQ124-1</f>
        <v>9.000000000000008E-2</v>
      </c>
      <c r="EU125" s="1066">
        <f t="shared" ref="EU125" si="739">EU124/ER124-1</f>
        <v>9.0000000000000302E-2</v>
      </c>
      <c r="EV125" s="65">
        <f t="shared" ref="EV125" si="740">EV124/ES124-1</f>
        <v>9.000000000000008E-2</v>
      </c>
      <c r="EW125" s="65">
        <f t="shared" ref="EW125" si="741">EW124/ET124-1</f>
        <v>9.0000000000000302E-2</v>
      </c>
      <c r="EX125" s="1066">
        <f t="shared" ref="EX125" si="742">EX124/EU124-1</f>
        <v>9.0000000000000302E-2</v>
      </c>
      <c r="EY125" s="65">
        <f t="shared" ref="EY125" si="743">EY124/EV124-1</f>
        <v>8.9999999999999858E-2</v>
      </c>
      <c r="EZ125" s="65">
        <f t="shared" ref="EZ125" si="744">EZ124/EW124-1</f>
        <v>8.9999999999999858E-2</v>
      </c>
      <c r="FA125" s="1066">
        <f t="shared" ref="FA125" si="745">FA124/EX124-1</f>
        <v>8.9999999999999858E-2</v>
      </c>
    </row>
    <row r="126" spans="1:157">
      <c r="BA126" s="35"/>
      <c r="BB126" s="35"/>
      <c r="BC126" s="322"/>
      <c r="BD126" s="35"/>
      <c r="BE126" s="35"/>
      <c r="BG126" s="35"/>
      <c r="BH126" s="35"/>
      <c r="BJ126" s="35"/>
      <c r="BK126" s="35"/>
      <c r="BL126" s="31"/>
      <c r="BM126" s="35"/>
      <c r="BN126" s="35"/>
      <c r="BO126" s="31"/>
      <c r="BP126" s="35"/>
      <c r="BQ126" s="35"/>
      <c r="BR126" s="1024"/>
      <c r="BS126" s="74">
        <v>30.4</v>
      </c>
      <c r="BT126" s="74">
        <f>BU126-BS126</f>
        <v>32.300000000000004</v>
      </c>
      <c r="BU126" s="74">
        <v>62.7</v>
      </c>
      <c r="BV126" s="74">
        <v>36.700000000000003</v>
      </c>
      <c r="BW126" s="74">
        <f>BX126-BV126</f>
        <v>38.899999999999991</v>
      </c>
      <c r="BX126" s="74">
        <v>75.599999999999994</v>
      </c>
      <c r="BY126" s="74">
        <v>45.8</v>
      </c>
      <c r="BZ126" s="74">
        <f>CA126-BY126</f>
        <v>52</v>
      </c>
      <c r="CA126" s="187">
        <v>97.8</v>
      </c>
      <c r="CB126" s="187">
        <v>46.4</v>
      </c>
      <c r="CC126" s="187">
        <f>CD126-CB126</f>
        <v>46.1</v>
      </c>
      <c r="CD126" s="187">
        <v>92.5</v>
      </c>
      <c r="CE126" s="187">
        <v>45.6</v>
      </c>
      <c r="CF126" s="74">
        <f>CG126-CE126</f>
        <v>38.639999999999993</v>
      </c>
      <c r="CG126" s="74">
        <v>84.24</v>
      </c>
      <c r="CH126" s="74">
        <v>39.700000000000003</v>
      </c>
      <c r="CI126" s="74">
        <f>CJ126-CH126</f>
        <v>38.170999999999992</v>
      </c>
      <c r="CJ126" s="74">
        <v>77.870999999999995</v>
      </c>
      <c r="CK126" s="190">
        <v>38.5</v>
      </c>
      <c r="CL126" s="70">
        <f>CM126-CK126</f>
        <v>40.137</v>
      </c>
      <c r="CM126" s="70">
        <v>78.637</v>
      </c>
      <c r="CN126" s="70">
        <v>45.9</v>
      </c>
      <c r="CO126" s="35">
        <f>CP126-CN126</f>
        <v>54.201000000000001</v>
      </c>
      <c r="CP126" s="35">
        <v>100.101</v>
      </c>
      <c r="CQ126" s="70">
        <v>57.5</v>
      </c>
      <c r="CR126" s="70">
        <f>+CS126-CQ126</f>
        <v>57.599999999999994</v>
      </c>
      <c r="CS126" s="35">
        <v>115.1</v>
      </c>
      <c r="CT126" s="35"/>
      <c r="CU126" s="35"/>
      <c r="CW126" s="35"/>
      <c r="CX126" s="35"/>
      <c r="CZ126" s="35"/>
      <c r="DA126" s="35"/>
      <c r="DC126" s="35"/>
      <c r="DD126" s="35"/>
      <c r="DF126" s="244"/>
      <c r="DG126" s="35"/>
      <c r="DH126" s="1067"/>
      <c r="DI126" s="35"/>
      <c r="DJ126" s="35"/>
      <c r="DK126" s="1067"/>
      <c r="DL126" s="35"/>
      <c r="DM126" s="35"/>
      <c r="DN126" s="1067"/>
      <c r="DO126" s="35"/>
      <c r="DP126" s="35"/>
      <c r="DQ126" s="1067"/>
      <c r="DR126" s="35"/>
      <c r="DS126" s="35"/>
      <c r="DT126" s="1067"/>
      <c r="DU126" s="35"/>
      <c r="DV126" s="35"/>
      <c r="DW126" s="1067"/>
      <c r="DX126" s="35"/>
      <c r="DY126" s="35"/>
      <c r="DZ126" s="1067"/>
      <c r="EA126" s="35"/>
      <c r="EB126" s="35"/>
      <c r="EC126" s="1067"/>
      <c r="ED126" s="35"/>
      <c r="EE126" s="35"/>
      <c r="EF126" s="1067"/>
      <c r="EG126" s="35"/>
      <c r="EH126" s="35"/>
      <c r="EI126" s="1067"/>
      <c r="EJ126" s="35"/>
      <c r="EK126" s="35"/>
      <c r="EL126" s="1067"/>
      <c r="EM126" s="35"/>
      <c r="EN126" s="35"/>
      <c r="EO126" s="1067"/>
      <c r="EP126" s="35"/>
      <c r="EQ126" s="35"/>
      <c r="ER126" s="1067"/>
      <c r="ES126" s="35"/>
      <c r="ET126" s="35"/>
      <c r="EU126" s="1067"/>
      <c r="EV126" s="35"/>
      <c r="EW126" s="35"/>
      <c r="EX126" s="1067"/>
      <c r="EY126" s="35"/>
      <c r="EZ126" s="35"/>
      <c r="FA126" s="1067"/>
    </row>
    <row r="127" spans="1:157" s="233" customFormat="1">
      <c r="A127" s="1147"/>
      <c r="B127" s="1133" t="s">
        <v>1013</v>
      </c>
      <c r="C127" s="1133"/>
      <c r="D127" s="1134" t="s">
        <v>604</v>
      </c>
      <c r="E127" s="1133"/>
      <c r="F127" s="1133"/>
      <c r="G127" s="1133"/>
      <c r="H127" s="1133"/>
      <c r="I127" s="1133"/>
      <c r="J127" s="1133"/>
      <c r="K127" s="1133"/>
      <c r="L127" s="1133"/>
      <c r="M127" s="1133"/>
      <c r="N127" s="1133"/>
      <c r="O127" s="1133"/>
      <c r="P127" s="1133"/>
      <c r="Q127" s="1133"/>
      <c r="R127" s="1133"/>
      <c r="S127" s="1133"/>
      <c r="T127" s="1133"/>
      <c r="U127" s="1133"/>
      <c r="V127" s="1133"/>
      <c r="W127" s="1133"/>
      <c r="X127" s="1133"/>
      <c r="Y127" s="1133"/>
      <c r="Z127" s="1133"/>
      <c r="AA127" s="1133"/>
      <c r="AB127" s="1133"/>
      <c r="AC127" s="1133"/>
      <c r="AD127" s="1133"/>
      <c r="AE127" s="1133"/>
      <c r="AF127" s="1133"/>
      <c r="AG127" s="1133"/>
      <c r="AH127" s="1133"/>
      <c r="AI127" s="1133"/>
      <c r="AJ127" s="1133"/>
      <c r="AK127" s="1133"/>
      <c r="AL127" s="1133"/>
      <c r="AM127" s="1133"/>
      <c r="AN127" s="1133"/>
      <c r="AO127" s="1133"/>
      <c r="AP127" s="1133"/>
      <c r="AQ127" s="1133"/>
      <c r="AR127" s="1133"/>
      <c r="AS127" s="1133"/>
      <c r="AT127" s="1133"/>
      <c r="AU127" s="1133"/>
      <c r="AV127" s="1133"/>
      <c r="AW127" s="1133"/>
      <c r="AX127" s="1133"/>
      <c r="AY127" s="1133"/>
      <c r="AZ127" s="1133"/>
      <c r="BA127" s="1133"/>
      <c r="BB127" s="1133"/>
      <c r="BC127" s="1135"/>
      <c r="BD127" s="1133"/>
      <c r="BE127" s="1133"/>
      <c r="BF127" s="1135"/>
      <c r="BG127" s="1133"/>
      <c r="BH127" s="1133"/>
      <c r="BI127" s="1135"/>
      <c r="BJ127" s="1133"/>
      <c r="BK127" s="1133"/>
      <c r="BL127" s="1135"/>
      <c r="BM127" s="1133"/>
      <c r="BN127" s="1133"/>
      <c r="BO127" s="1135"/>
      <c r="BP127" s="1133"/>
      <c r="BQ127" s="1133"/>
      <c r="BR127" s="1135"/>
      <c r="BS127" s="1133">
        <f>BS118+BS124</f>
        <v>258.39902611461224</v>
      </c>
      <c r="BT127" s="1133">
        <f>BT118+BT124</f>
        <v>260.17234267391848</v>
      </c>
      <c r="BU127" s="1135">
        <f>SUM(BS127:BT127)</f>
        <v>518.57136878853066</v>
      </c>
      <c r="BV127" s="1133">
        <f>BV118+BV124</f>
        <v>271.51151540312219</v>
      </c>
      <c r="BW127" s="1133">
        <f>BW118+BW124</f>
        <v>284.62114021185323</v>
      </c>
      <c r="BX127" s="1135">
        <f>SUM(BV127:BW127)</f>
        <v>556.13265561497542</v>
      </c>
      <c r="BY127" s="1133">
        <f>BY118+BY124</f>
        <v>331.25030499721333</v>
      </c>
      <c r="BZ127" s="1133">
        <f>BZ118+BZ124</f>
        <v>351.06074142574516</v>
      </c>
      <c r="CA127" s="1135">
        <f>SUM(BY127:BZ127)</f>
        <v>682.3110464229585</v>
      </c>
      <c r="CB127" s="1133">
        <f>CB118+CB124</f>
        <v>321.0776592818757</v>
      </c>
      <c r="CC127" s="1133">
        <f>CC118+CC124</f>
        <v>344.97149189084269</v>
      </c>
      <c r="CD127" s="1135">
        <f>SUM(CB127:CC127)</f>
        <v>666.04915117271844</v>
      </c>
      <c r="CE127" s="1133">
        <f>CE118+CE124</f>
        <v>340.78846072280828</v>
      </c>
      <c r="CF127" s="1133">
        <f>CF118+CF124</f>
        <v>363.4948357014415</v>
      </c>
      <c r="CG127" s="1135">
        <f>SUM(CE127:CF127)</f>
        <v>704.28329642424978</v>
      </c>
      <c r="CH127" s="1133">
        <f>CH118+CH124</f>
        <v>339.07990545173993</v>
      </c>
      <c r="CI127" s="1133">
        <f>CI118+CI124</f>
        <v>340.18100162441596</v>
      </c>
      <c r="CJ127" s="1135">
        <f>SUM(CH127:CI127)</f>
        <v>679.26090707615595</v>
      </c>
      <c r="CK127" s="1133">
        <f>CK118+CK124</f>
        <v>354.97912664803107</v>
      </c>
      <c r="CL127" s="1133">
        <f>CL118+CL124</f>
        <v>332.20022347682232</v>
      </c>
      <c r="CM127" s="1135">
        <f>SUM(CK127:CL127)</f>
        <v>687.17935012485339</v>
      </c>
      <c r="CN127" s="1133">
        <f>CN118+CN124</f>
        <v>361.47287042604904</v>
      </c>
      <c r="CO127" s="1133">
        <f>CO118+CO124</f>
        <v>427.34722124515548</v>
      </c>
      <c r="CP127" s="1135">
        <f>SUM(CN127:CO127)</f>
        <v>788.82009167120452</v>
      </c>
      <c r="CQ127" s="1133">
        <f>CQ118+CQ124+CQ121</f>
        <v>440.505</v>
      </c>
      <c r="CR127" s="1133">
        <f>CR118+CR124+CR121</f>
        <v>501.399</v>
      </c>
      <c r="CS127" s="1135">
        <f>SUM(CQ127:CR127)</f>
        <v>941.904</v>
      </c>
      <c r="CT127" s="1133">
        <f>CT118+CT124+CT121</f>
        <v>581.71999999999991</v>
      </c>
      <c r="CU127" s="1133">
        <f>CU118+CU124+CU121</f>
        <v>574.73896991822448</v>
      </c>
      <c r="CV127" s="1135">
        <f>SUM(CT127:CU127)</f>
        <v>1156.4589699182243</v>
      </c>
      <c r="CW127" s="1133">
        <f>CW118+CW124+CW121</f>
        <v>604.34056866164383</v>
      </c>
      <c r="CX127" s="1133">
        <f>CX118+CX124+CX121</f>
        <v>635.40452889210167</v>
      </c>
      <c r="CY127" s="1135">
        <f>SUM(CW127:CX127)</f>
        <v>1239.7450975537454</v>
      </c>
      <c r="CZ127" s="1133">
        <f>CZ118+CZ124+CZ121</f>
        <v>629.0345811788078</v>
      </c>
      <c r="DA127" s="1133">
        <f>DA118+DA124+DA121</f>
        <v>702.07448173547073</v>
      </c>
      <c r="DB127" s="1135">
        <f>SUM(CZ127:DA127)</f>
        <v>1331.1090629142786</v>
      </c>
      <c r="DC127" s="1133">
        <f>DC118+DC124+DC121</f>
        <v>709.33656629043855</v>
      </c>
      <c r="DD127" s="1133">
        <f>DD118+DD124+DD121</f>
        <v>733.59595513585555</v>
      </c>
      <c r="DE127" s="1135">
        <f>SUM(DC127:DD127)</f>
        <v>1442.932521426294</v>
      </c>
      <c r="DF127" s="1133">
        <f>DF118+DF124+DF121</f>
        <v>774.76346784113218</v>
      </c>
      <c r="DG127" s="1133">
        <f>DG118+DG124+DG121</f>
        <v>582.06441110635978</v>
      </c>
      <c r="DH127" s="1136">
        <f>SUM(DF127:DG127)</f>
        <v>1356.8278789474921</v>
      </c>
      <c r="DI127" s="1133">
        <f>DI118+DI124+DI121</f>
        <v>742.8</v>
      </c>
      <c r="DJ127" s="1133">
        <f>DJ118+DJ124+DJ121</f>
        <v>750.5</v>
      </c>
      <c r="DK127" s="1136">
        <f>SUM(DI127:DJ127)</f>
        <v>1493.3</v>
      </c>
      <c r="DL127" s="1133">
        <f>DL118+DL124+DL121</f>
        <v>815.3</v>
      </c>
      <c r="DM127" s="1133">
        <f>DM118+DM124+DM121</f>
        <v>825.80000000000007</v>
      </c>
      <c r="DN127" s="1136">
        <f>SUM(DL127:DM127)</f>
        <v>1641.1</v>
      </c>
      <c r="DO127" s="1133">
        <f>DO118+DO124+DO121</f>
        <v>892.6</v>
      </c>
      <c r="DP127" s="1133">
        <f>DP118+DP124+DP121</f>
        <v>1063.0999999999999</v>
      </c>
      <c r="DQ127" s="1136">
        <f>SUM(DO127:DP127)</f>
        <v>1955.6999999999998</v>
      </c>
      <c r="DR127" s="1133">
        <f>DR118+DR124+DR121</f>
        <v>1113.4000000000001</v>
      </c>
      <c r="DS127" s="1133">
        <f>DS118+DS124+DS121</f>
        <v>1144.7999999999997</v>
      </c>
      <c r="DT127" s="1136">
        <f>SUM(DR127:DS127)</f>
        <v>2258.1999999999998</v>
      </c>
      <c r="DU127" s="1133">
        <f>DU118+DU124+DU121</f>
        <v>1169.9000000000001</v>
      </c>
      <c r="DV127" s="1133">
        <f>DV118+DV124+DV121</f>
        <v>1185.9000000000001</v>
      </c>
      <c r="DW127" s="1136">
        <f>SUM(DU127:DV127)</f>
        <v>2355.8000000000002</v>
      </c>
      <c r="DX127" s="1133">
        <f>DX118+DX124+DX121</f>
        <v>1176</v>
      </c>
      <c r="DY127" s="1133">
        <f>DY118+DY124+DY121</f>
        <v>1337.3662599402742</v>
      </c>
      <c r="DZ127" s="1136">
        <f>SUM(DX127:DY127)</f>
        <v>2513.3662599402742</v>
      </c>
      <c r="EA127" s="1133">
        <f>EA118+EA124+EA121</f>
        <v>1386.8816289711751</v>
      </c>
      <c r="EB127" s="1133">
        <f>EB118+EB124+EB121</f>
        <v>1429.7701869989842</v>
      </c>
      <c r="EC127" s="1136">
        <f>SUM(EA127:EB127)</f>
        <v>2816.6518159701591</v>
      </c>
      <c r="ED127" s="1133">
        <f>ED118+ED124+ED121</f>
        <v>1508.7872337030672</v>
      </c>
      <c r="EE127" s="1133">
        <f>EE118+EE124+EE121</f>
        <v>1555.4582819515335</v>
      </c>
      <c r="EF127" s="1136">
        <f>SUM(ED127:EE127)</f>
        <v>3064.2455156546007</v>
      </c>
      <c r="EG127" s="1133">
        <f>EG118+EG124+EG121</f>
        <v>1644.578084736343</v>
      </c>
      <c r="EH127" s="1133">
        <f>EH118+EH124+EH121</f>
        <v>1695.4495273271714</v>
      </c>
      <c r="EI127" s="1136">
        <f>SUM(EG127:EH127)</f>
        <v>3340.0276120635144</v>
      </c>
      <c r="EJ127" s="1133">
        <f>EJ118+EJ124+EJ121</f>
        <v>1792.590112362614</v>
      </c>
      <c r="EK127" s="1133">
        <f>EK118+EK124+EK121</f>
        <v>1848.0399847866172</v>
      </c>
      <c r="EL127" s="1136">
        <f>SUM(EJ127:EK127)</f>
        <v>3640.630097149231</v>
      </c>
      <c r="EM127" s="1133">
        <f>EM118+EM124+EM121</f>
        <v>1953.9232224752495</v>
      </c>
      <c r="EN127" s="1133">
        <f>EN118+EN124+EN121</f>
        <v>2014.3635834174127</v>
      </c>
      <c r="EO127" s="1136">
        <f>SUM(EM127:EN127)</f>
        <v>3968.2868058926624</v>
      </c>
      <c r="EP127" s="1133">
        <f>EP118+EP124+EP121</f>
        <v>2129.776312498022</v>
      </c>
      <c r="EQ127" s="1133">
        <f>EQ118+EQ124+EQ121</f>
        <v>2195.6563059249802</v>
      </c>
      <c r="ER127" s="1136">
        <f>SUM(EP127:EQ127)</f>
        <v>4325.4326184230022</v>
      </c>
      <c r="ES127" s="1133">
        <f>ES118+ES124+ES121</f>
        <v>2321.4561806228448</v>
      </c>
      <c r="ET127" s="1133">
        <f>ET118+ET124+ET121</f>
        <v>2393.2653734582286</v>
      </c>
      <c r="EU127" s="1136">
        <f>SUM(ES127:ET127)</f>
        <v>4714.7215540810739</v>
      </c>
      <c r="EV127" s="1133">
        <f>EV118+EV124+EV121</f>
        <v>2530.3872368789007</v>
      </c>
      <c r="EW127" s="1133">
        <f>EW118+EW124+EW121</f>
        <v>2608.6592570694693</v>
      </c>
      <c r="EX127" s="1136">
        <f>SUM(EV127:EW127)</f>
        <v>5139.04649394837</v>
      </c>
      <c r="EY127" s="1133">
        <f>EY118+EY124+EY121</f>
        <v>2758.1220881980016</v>
      </c>
      <c r="EZ127" s="1133">
        <f>EZ118+EZ124+EZ121</f>
        <v>2843.4385902057211</v>
      </c>
      <c r="FA127" s="1136">
        <f>SUM(EY127:EZ127)</f>
        <v>5601.5606784037227</v>
      </c>
    </row>
    <row r="128" spans="1:157">
      <c r="C128" s="35" t="s">
        <v>209</v>
      </c>
      <c r="D128" s="162" t="s">
        <v>460</v>
      </c>
      <c r="BA128" s="35"/>
      <c r="BB128" s="35"/>
      <c r="BC128" s="322"/>
      <c r="BD128" s="65"/>
      <c r="BE128" s="65"/>
      <c r="BF128" s="65"/>
      <c r="BG128" s="65"/>
      <c r="BH128" s="65"/>
      <c r="BI128" s="65"/>
      <c r="BJ128" s="65"/>
      <c r="BK128" s="65"/>
      <c r="BL128" s="65"/>
      <c r="BM128" s="65"/>
      <c r="BN128" s="65"/>
      <c r="BO128" s="65"/>
      <c r="BP128" s="65"/>
      <c r="BQ128" s="65"/>
      <c r="BR128" s="65"/>
      <c r="BS128" s="65"/>
      <c r="BT128" s="65"/>
      <c r="BU128" s="65"/>
      <c r="BV128" s="65">
        <f t="shared" ref="BV128:DA128" si="746">BV127/BS127-1</f>
        <v>5.0745118840710868E-2</v>
      </c>
      <c r="BW128" s="65">
        <f t="shared" si="746"/>
        <v>9.3971547039406689E-2</v>
      </c>
      <c r="BX128" s="65">
        <f t="shared" si="746"/>
        <v>7.2432241899883953E-2</v>
      </c>
      <c r="BY128" s="65">
        <f t="shared" si="746"/>
        <v>0.22002304213651858</v>
      </c>
      <c r="BZ128" s="65">
        <f t="shared" si="746"/>
        <v>0.23343171615586478</v>
      </c>
      <c r="CA128" s="65">
        <f t="shared" si="746"/>
        <v>0.22688541939414453</v>
      </c>
      <c r="CB128" s="65">
        <f t="shared" si="746"/>
        <v>-3.0709845581646245E-2</v>
      </c>
      <c r="CC128" s="65">
        <f t="shared" si="746"/>
        <v>-1.7345287627925976E-2</v>
      </c>
      <c r="CD128" s="65">
        <f t="shared" si="746"/>
        <v>-2.3833551186799085E-2</v>
      </c>
      <c r="CE128" s="65">
        <f t="shared" si="746"/>
        <v>6.1389513941947582E-2</v>
      </c>
      <c r="CF128" s="65">
        <f t="shared" si="746"/>
        <v>5.3695288584773904E-2</v>
      </c>
      <c r="CG128" s="65">
        <f t="shared" si="746"/>
        <v>5.7404390027691043E-2</v>
      </c>
      <c r="CH128" s="65">
        <f t="shared" si="746"/>
        <v>-5.0135361609501272E-3</v>
      </c>
      <c r="CI128" s="65">
        <f t="shared" si="746"/>
        <v>-6.4138006340685672E-2</v>
      </c>
      <c r="CJ128" s="65">
        <f t="shared" si="746"/>
        <v>-3.5528869526135543E-2</v>
      </c>
      <c r="CK128" s="65">
        <f t="shared" si="746"/>
        <v>4.6889305265994441E-2</v>
      </c>
      <c r="CL128" s="65">
        <f t="shared" si="746"/>
        <v>-2.3460387586267895E-2</v>
      </c>
      <c r="CM128" s="65">
        <f t="shared" si="746"/>
        <v>1.1657439676282744E-2</v>
      </c>
      <c r="CN128" s="65">
        <f t="shared" si="746"/>
        <v>1.8293311607745943E-2</v>
      </c>
      <c r="CO128" s="65">
        <f t="shared" si="746"/>
        <v>0.28641461096118626</v>
      </c>
      <c r="CP128" s="65">
        <f t="shared" si="746"/>
        <v>0.14791006383978811</v>
      </c>
      <c r="CQ128" s="65">
        <f t="shared" si="746"/>
        <v>0.21863917333768357</v>
      </c>
      <c r="CR128" s="65">
        <f t="shared" si="746"/>
        <v>0.17328246230098543</v>
      </c>
      <c r="CS128" s="65">
        <f t="shared" si="746"/>
        <v>0.19406694878228814</v>
      </c>
      <c r="CT128" s="65">
        <f t="shared" si="746"/>
        <v>0.3205752488621012</v>
      </c>
      <c r="CU128" s="65">
        <f t="shared" si="746"/>
        <v>0.14627067448922815</v>
      </c>
      <c r="CV128" s="65">
        <f t="shared" si="746"/>
        <v>0.22778857496966176</v>
      </c>
      <c r="CW128" s="65">
        <f t="shared" si="746"/>
        <v>3.8885664343058401E-2</v>
      </c>
      <c r="CX128" s="65">
        <f t="shared" si="746"/>
        <v>0.10555323746797418</v>
      </c>
      <c r="CY128" s="65">
        <f t="shared" si="746"/>
        <v>7.2018229614674967E-2</v>
      </c>
      <c r="CZ128" s="65">
        <f t="shared" si="746"/>
        <v>4.0861086939522728E-2</v>
      </c>
      <c r="DA128" s="65">
        <f t="shared" si="746"/>
        <v>0.10492520876364475</v>
      </c>
      <c r="DB128" s="65">
        <f t="shared" ref="DB128:EF128" si="747">DB127/CY127-1</f>
        <v>7.3695766606225677E-2</v>
      </c>
      <c r="DC128" s="65">
        <f t="shared" si="747"/>
        <v>0.12765909460994207</v>
      </c>
      <c r="DD128" s="65">
        <f t="shared" si="747"/>
        <v>4.4897620153443452E-2</v>
      </c>
      <c r="DE128" s="65">
        <f t="shared" si="747"/>
        <v>8.4007735825337493E-2</v>
      </c>
      <c r="DF128" s="65">
        <f t="shared" si="747"/>
        <v>9.2236752847596026E-2</v>
      </c>
      <c r="DG128" s="65">
        <f t="shared" si="747"/>
        <v>-0.20655995029502783</v>
      </c>
      <c r="DH128" s="1066">
        <f t="shared" si="747"/>
        <v>-5.9673367396065213E-2</v>
      </c>
      <c r="DI128" s="65">
        <f t="shared" si="747"/>
        <v>-4.1255775688802121E-2</v>
      </c>
      <c r="DJ128" s="65">
        <f t="shared" si="747"/>
        <v>0.28937620249533214</v>
      </c>
      <c r="DK128" s="1066">
        <f t="shared" si="747"/>
        <v>0.10058174892335714</v>
      </c>
      <c r="DL128" s="65">
        <f>DL127/DI127-1</f>
        <v>9.7603661820139909E-2</v>
      </c>
      <c r="DM128" s="65">
        <f>DM127/DJ127-1</f>
        <v>0.10033311125916056</v>
      </c>
      <c r="DN128" s="1066">
        <f>DN127/DK127-1</f>
        <v>9.8975423558561593E-2</v>
      </c>
      <c r="DO128" s="65">
        <f t="shared" si="747"/>
        <v>9.4811725745124642E-2</v>
      </c>
      <c r="DP128" s="65">
        <f t="shared" si="747"/>
        <v>0.28735771373213836</v>
      </c>
      <c r="DQ128" s="1066">
        <f t="shared" si="747"/>
        <v>0.1917006885625494</v>
      </c>
      <c r="DR128" s="65">
        <f t="shared" si="747"/>
        <v>0.24736724176562852</v>
      </c>
      <c r="DS128" s="65">
        <f t="shared" si="747"/>
        <v>7.6850719593640981E-2</v>
      </c>
      <c r="DT128" s="1066">
        <f t="shared" si="747"/>
        <v>0.15467607506263747</v>
      </c>
      <c r="DU128" s="65">
        <f t="shared" si="747"/>
        <v>5.0745464343452396E-2</v>
      </c>
      <c r="DV128" s="65">
        <f t="shared" ref="DV128" si="748">DV127/DS127-1</f>
        <v>3.5901467505241369E-2</v>
      </c>
      <c r="DW128" s="1066">
        <f t="shared" ref="DW128" si="749">DW127/DT127-1</f>
        <v>4.3220263927021607E-2</v>
      </c>
      <c r="DX128" s="65">
        <f t="shared" si="747"/>
        <v>5.2141208650311466E-3</v>
      </c>
      <c r="DY128" s="65">
        <f t="shared" si="747"/>
        <v>0.1277226241169358</v>
      </c>
      <c r="DZ128" s="1066">
        <f t="shared" si="747"/>
        <v>6.6884395933557217E-2</v>
      </c>
      <c r="EA128" s="65">
        <f t="shared" si="747"/>
        <v>0.17932111307072707</v>
      </c>
      <c r="EB128" s="65">
        <f t="shared" si="747"/>
        <v>6.9093957150404561E-2</v>
      </c>
      <c r="EC128" s="1066">
        <f t="shared" si="747"/>
        <v>0.12066906477732853</v>
      </c>
      <c r="ED128" s="65">
        <f t="shared" si="747"/>
        <v>8.789906952789095E-2</v>
      </c>
      <c r="EE128" s="65">
        <f t="shared" si="747"/>
        <v>8.7907900231408709E-2</v>
      </c>
      <c r="EF128" s="1066">
        <f t="shared" si="747"/>
        <v>8.7903552111271877E-2</v>
      </c>
      <c r="EG128" s="65">
        <f t="shared" ref="EG128:EL128" si="750">EG127/ED127-1</f>
        <v>8.9999999999999858E-2</v>
      </c>
      <c r="EH128" s="65">
        <f t="shared" si="750"/>
        <v>8.9999999999999858E-2</v>
      </c>
      <c r="EI128" s="1066">
        <f t="shared" si="750"/>
        <v>8.9999999999999858E-2</v>
      </c>
      <c r="EJ128" s="65">
        <f t="shared" si="750"/>
        <v>9.000000000000008E-2</v>
      </c>
      <c r="EK128" s="65">
        <f t="shared" si="750"/>
        <v>9.0000000000000302E-2</v>
      </c>
      <c r="EL128" s="1066">
        <f t="shared" si="750"/>
        <v>9.000000000000008E-2</v>
      </c>
      <c r="EM128" s="65">
        <f t="shared" ref="EM128:ER128" si="751">EM127/EJ127-1</f>
        <v>9.000000000000008E-2</v>
      </c>
      <c r="EN128" s="65">
        <f t="shared" si="751"/>
        <v>8.9999999999999858E-2</v>
      </c>
      <c r="EO128" s="1066">
        <f t="shared" si="751"/>
        <v>9.000000000000008E-2</v>
      </c>
      <c r="EP128" s="65">
        <f t="shared" si="751"/>
        <v>9.000000000000008E-2</v>
      </c>
      <c r="EQ128" s="65">
        <f t="shared" si="751"/>
        <v>9.0000000000000302E-2</v>
      </c>
      <c r="ER128" s="1066">
        <f t="shared" si="751"/>
        <v>9.000000000000008E-2</v>
      </c>
      <c r="ES128" s="65">
        <f t="shared" ref="ES128" si="752">ES127/EP127-1</f>
        <v>9.0000000000000524E-2</v>
      </c>
      <c r="ET128" s="65">
        <f t="shared" ref="ET128" si="753">ET127/EQ127-1</f>
        <v>9.000000000000008E-2</v>
      </c>
      <c r="EU128" s="1066">
        <f t="shared" ref="EU128" si="754">EU127/ER127-1</f>
        <v>9.0000000000000302E-2</v>
      </c>
      <c r="EV128" s="65">
        <f t="shared" ref="EV128" si="755">EV127/ES127-1</f>
        <v>8.9999999999999858E-2</v>
      </c>
      <c r="EW128" s="65">
        <f t="shared" ref="EW128" si="756">EW127/ET127-1</f>
        <v>9.000000000000008E-2</v>
      </c>
      <c r="EX128" s="1066">
        <f t="shared" ref="EX128" si="757">EX127/EU127-1</f>
        <v>8.9999999999999858E-2</v>
      </c>
      <c r="EY128" s="65">
        <f t="shared" ref="EY128" si="758">EY127/EV127-1</f>
        <v>8.9999999999999858E-2</v>
      </c>
      <c r="EZ128" s="65">
        <f t="shared" ref="EZ128" si="759">EZ127/EW127-1</f>
        <v>8.9999999999999858E-2</v>
      </c>
      <c r="FA128" s="1066">
        <f t="shared" ref="FA128" si="760">FA127/EX127-1</f>
        <v>8.9999999999999858E-2</v>
      </c>
    </row>
    <row r="129" spans="1:173">
      <c r="BA129" s="35"/>
      <c r="BB129" s="35"/>
      <c r="BC129" s="322"/>
      <c r="BD129" s="35"/>
      <c r="BE129" s="35"/>
      <c r="BG129" s="35"/>
      <c r="BH129" s="35"/>
      <c r="BJ129" s="35"/>
      <c r="BK129" s="35"/>
      <c r="BL129" s="31"/>
      <c r="BM129" s="35"/>
      <c r="BN129" s="35"/>
      <c r="BO129" s="31"/>
      <c r="BP129" s="35"/>
      <c r="BQ129" s="35"/>
      <c r="BR129" s="1024"/>
      <c r="BS129" s="74">
        <f>270.663</f>
        <v>270.66300000000001</v>
      </c>
      <c r="BT129" s="74">
        <f>BU129-BS129</f>
        <v>272.22299999999996</v>
      </c>
      <c r="BU129" s="74">
        <f>542.886</f>
        <v>542.88599999999997</v>
      </c>
      <c r="BV129" s="74">
        <f>284.176</f>
        <v>284.17599999999999</v>
      </c>
      <c r="BW129" s="74">
        <f>BX129-BV129</f>
        <v>296.26600000000002</v>
      </c>
      <c r="BX129" s="74">
        <f>580.442</f>
        <v>580.44200000000001</v>
      </c>
      <c r="BY129" s="70">
        <f>346.943</f>
        <v>346.94299999999998</v>
      </c>
      <c r="BZ129" s="70">
        <f>CA129-BY129</f>
        <v>364.88400000000001</v>
      </c>
      <c r="CA129" s="187">
        <v>711.827</v>
      </c>
      <c r="CB129" s="187">
        <v>335.03699999999998</v>
      </c>
      <c r="CC129" s="187">
        <f>CD129-CB129</f>
        <v>361.11399999999998</v>
      </c>
      <c r="CD129" s="187">
        <v>696.15099999999995</v>
      </c>
      <c r="CE129" s="187">
        <v>355.20699999999999</v>
      </c>
      <c r="CF129" s="70"/>
      <c r="CG129" s="70"/>
      <c r="CH129" s="74">
        <v>351.20800000000003</v>
      </c>
      <c r="CI129" s="70"/>
      <c r="CJ129" s="70"/>
      <c r="CK129" s="35"/>
      <c r="CL129" s="35"/>
      <c r="CN129" s="35"/>
      <c r="CO129" s="35"/>
      <c r="CQ129" s="35"/>
      <c r="CR129" s="35"/>
      <c r="CT129" s="35"/>
      <c r="CU129" s="35"/>
      <c r="CW129" s="35"/>
      <c r="CX129" s="35"/>
      <c r="CZ129" s="35"/>
      <c r="DA129" s="35"/>
      <c r="DB129" s="70"/>
      <c r="DC129" s="70"/>
      <c r="DD129" s="35"/>
      <c r="DF129" s="35"/>
      <c r="DG129" s="35"/>
      <c r="DH129" s="1074"/>
      <c r="DI129" s="35"/>
      <c r="DJ129" s="35"/>
      <c r="DK129" s="1074"/>
      <c r="DL129" s="35"/>
      <c r="DM129" s="35"/>
      <c r="DN129" s="1067"/>
      <c r="DO129" s="35"/>
      <c r="DP129" s="35"/>
      <c r="DQ129" s="1067"/>
      <c r="DR129" s="35"/>
      <c r="DS129" s="35"/>
      <c r="DT129" s="1067"/>
      <c r="DU129" s="35"/>
      <c r="DV129" s="35"/>
      <c r="DW129" s="1067"/>
      <c r="DX129" s="35"/>
      <c r="DY129" s="35"/>
      <c r="DZ129" s="1067"/>
      <c r="EA129" s="35"/>
      <c r="EB129" s="35"/>
      <c r="EC129" s="1067"/>
      <c r="ED129" s="35"/>
      <c r="EE129" s="35"/>
      <c r="EF129" s="1067"/>
      <c r="EG129" s="35"/>
      <c r="EH129" s="35"/>
      <c r="EI129" s="1067"/>
      <c r="EJ129" s="35"/>
      <c r="EK129" s="35"/>
      <c r="EL129" s="1067"/>
      <c r="EM129" s="35"/>
      <c r="EN129" s="35"/>
      <c r="EO129" s="1067"/>
      <c r="EP129" s="35"/>
      <c r="EQ129" s="35"/>
      <c r="ER129" s="1067"/>
      <c r="ES129" s="35"/>
      <c r="ET129" s="35"/>
      <c r="EU129" s="1067"/>
      <c r="EV129" s="35"/>
      <c r="EW129" s="35"/>
      <c r="EX129" s="1067"/>
      <c r="EY129" s="35"/>
      <c r="EZ129" s="35"/>
      <c r="FA129" s="1067"/>
    </row>
    <row r="130" spans="1:173" s="233" customFormat="1">
      <c r="A130" s="1147" t="s">
        <v>426</v>
      </c>
      <c r="B130" s="233" t="s">
        <v>426</v>
      </c>
      <c r="D130" s="245" t="s">
        <v>604</v>
      </c>
      <c r="BA130" s="233">
        <f>BA235+BA326+BA400</f>
        <v>0</v>
      </c>
      <c r="BB130" s="233">
        <f>BB235+BB326+BB400</f>
        <v>0</v>
      </c>
      <c r="BC130" s="233">
        <f>SUM(BA130:BB130)</f>
        <v>0</v>
      </c>
      <c r="BD130" s="233">
        <f t="shared" ref="BD130:CI130" si="761">BD235+BD326+BD400</f>
        <v>0</v>
      </c>
      <c r="BE130" s="233">
        <f t="shared" si="761"/>
        <v>0</v>
      </c>
      <c r="BF130" s="233">
        <f t="shared" si="761"/>
        <v>0</v>
      </c>
      <c r="BG130" s="233">
        <f t="shared" si="761"/>
        <v>0</v>
      </c>
      <c r="BH130" s="233">
        <f t="shared" si="761"/>
        <v>0</v>
      </c>
      <c r="BI130" s="233">
        <f t="shared" si="761"/>
        <v>0</v>
      </c>
      <c r="BJ130" s="233">
        <f t="shared" si="761"/>
        <v>0</v>
      </c>
      <c r="BK130" s="233">
        <f t="shared" si="761"/>
        <v>0</v>
      </c>
      <c r="BL130" s="233">
        <f t="shared" si="761"/>
        <v>0</v>
      </c>
      <c r="BM130" s="233">
        <f t="shared" si="761"/>
        <v>26.359076639425808</v>
      </c>
      <c r="BN130" s="233">
        <f t="shared" si="761"/>
        <v>29.867916263629958</v>
      </c>
      <c r="BO130" s="233">
        <f t="shared" si="761"/>
        <v>56.226992903055766</v>
      </c>
      <c r="BP130" s="233">
        <f t="shared" si="761"/>
        <v>23.957738794480804</v>
      </c>
      <c r="BQ130" s="233">
        <f t="shared" si="761"/>
        <v>23.852596658154436</v>
      </c>
      <c r="BR130" s="233">
        <f t="shared" si="761"/>
        <v>47.810335452635243</v>
      </c>
      <c r="BS130" s="233">
        <f t="shared" si="761"/>
        <v>68.127037373396888</v>
      </c>
      <c r="BT130" s="233">
        <f t="shared" si="761"/>
        <v>68.892353229029112</v>
      </c>
      <c r="BU130" s="233">
        <f t="shared" si="761"/>
        <v>137.01939060242597</v>
      </c>
      <c r="BV130" s="233">
        <f t="shared" si="761"/>
        <v>71.343515403122097</v>
      </c>
      <c r="BW130" s="233">
        <f t="shared" si="761"/>
        <v>73.360140211853263</v>
      </c>
      <c r="BX130" s="233">
        <f t="shared" si="761"/>
        <v>144.70365561497536</v>
      </c>
      <c r="BY130" s="233">
        <f t="shared" si="761"/>
        <v>90.786304997213279</v>
      </c>
      <c r="BZ130" s="233">
        <f t="shared" si="761"/>
        <v>75.940277428627951</v>
      </c>
      <c r="CA130" s="233">
        <f t="shared" si="761"/>
        <v>166.72658242584123</v>
      </c>
      <c r="CB130" s="233">
        <f t="shared" si="761"/>
        <v>81.590135434157133</v>
      </c>
      <c r="CC130" s="233">
        <f t="shared" si="761"/>
        <v>90.408792116636874</v>
      </c>
      <c r="CD130" s="233">
        <f t="shared" si="761"/>
        <v>171.99892755079404</v>
      </c>
      <c r="CE130" s="233">
        <f t="shared" si="761"/>
        <v>86.745211848105413</v>
      </c>
      <c r="CF130" s="233">
        <f t="shared" si="761"/>
        <v>113.78872074374127</v>
      </c>
      <c r="CG130" s="233">
        <f t="shared" si="761"/>
        <v>200.53393259184671</v>
      </c>
      <c r="CH130" s="233">
        <f t="shared" si="761"/>
        <v>88.151639128679648</v>
      </c>
      <c r="CI130" s="233">
        <f t="shared" si="761"/>
        <v>89.813566246821324</v>
      </c>
      <c r="CJ130" s="233">
        <f t="shared" ref="CJ130:DH130" si="762">CJ235+CJ326+CJ400</f>
        <v>177.965205375501</v>
      </c>
      <c r="CK130" s="233">
        <f t="shared" si="762"/>
        <v>91.631098413318455</v>
      </c>
      <c r="CL130" s="233">
        <f t="shared" si="762"/>
        <v>88.591910289175019</v>
      </c>
      <c r="CM130" s="233">
        <f t="shared" si="762"/>
        <v>180.2230087024935</v>
      </c>
      <c r="CN130" s="233">
        <f t="shared" si="762"/>
        <v>108.26958200995639</v>
      </c>
      <c r="CO130" s="233">
        <f t="shared" si="762"/>
        <v>108.06722124515537</v>
      </c>
      <c r="CP130" s="233">
        <f t="shared" si="762"/>
        <v>216.33680325511179</v>
      </c>
      <c r="CQ130" s="233">
        <f t="shared" si="762"/>
        <v>127.40000000000003</v>
      </c>
      <c r="CR130" s="233">
        <f t="shared" si="762"/>
        <v>147.91999999999999</v>
      </c>
      <c r="CS130" s="233">
        <f t="shared" si="762"/>
        <v>275.32000000000005</v>
      </c>
      <c r="CT130" s="233">
        <f t="shared" si="762"/>
        <v>150.96584237891568</v>
      </c>
      <c r="CU130" s="233">
        <f t="shared" si="762"/>
        <v>161.97563143339562</v>
      </c>
      <c r="CV130" s="233">
        <f t="shared" si="762"/>
        <v>312.9414738123113</v>
      </c>
      <c r="CW130" s="233">
        <f t="shared" si="762"/>
        <v>176.22694061344947</v>
      </c>
      <c r="CX130" s="233">
        <f t="shared" si="762"/>
        <v>182.19986101779784</v>
      </c>
      <c r="CY130" s="233">
        <f t="shared" si="762"/>
        <v>358.42680163124737</v>
      </c>
      <c r="CZ130" s="233">
        <f t="shared" si="762"/>
        <v>173.41023156092621</v>
      </c>
      <c r="DA130" s="233">
        <f t="shared" si="762"/>
        <v>181.81302439240102</v>
      </c>
      <c r="DB130" s="233">
        <f t="shared" si="762"/>
        <v>355.22325595332728</v>
      </c>
      <c r="DC130" s="963">
        <f t="shared" si="762"/>
        <v>178.97147741056287</v>
      </c>
      <c r="DD130" s="233">
        <f t="shared" si="762"/>
        <v>171.49662877211435</v>
      </c>
      <c r="DE130" s="233">
        <f t="shared" si="762"/>
        <v>350.46810618267722</v>
      </c>
      <c r="DF130" s="233">
        <f t="shared" si="762"/>
        <v>191.74258493249408</v>
      </c>
      <c r="DG130" s="233">
        <f t="shared" si="762"/>
        <v>153.50398673895728</v>
      </c>
      <c r="DH130" s="1122">
        <f t="shared" si="762"/>
        <v>345.24657167145136</v>
      </c>
      <c r="DI130" s="1120">
        <v>209.2</v>
      </c>
      <c r="DJ130" s="233">
        <f>+DK130-DI130</f>
        <v>201</v>
      </c>
      <c r="DK130" s="1122">
        <v>410.2</v>
      </c>
      <c r="DL130" s="1120">
        <v>207.7</v>
      </c>
      <c r="DM130" s="233">
        <f>+DN130-DL130</f>
        <v>203.3</v>
      </c>
      <c r="DN130" s="1122">
        <v>411</v>
      </c>
      <c r="DO130" s="1120">
        <v>226.9</v>
      </c>
      <c r="DP130" s="233">
        <f>+DQ130-DO130</f>
        <v>261.10000000000002</v>
      </c>
      <c r="DQ130" s="1122">
        <v>488</v>
      </c>
      <c r="DR130" s="1120">
        <v>285.8</v>
      </c>
      <c r="DS130" s="233">
        <f>+DT130-DR130</f>
        <v>276.3</v>
      </c>
      <c r="DT130" s="1122">
        <v>562.1</v>
      </c>
      <c r="DU130" s="1120">
        <v>297.5</v>
      </c>
      <c r="DV130" s="233">
        <f>+DW130-DU130</f>
        <v>317.70000000000005</v>
      </c>
      <c r="DW130" s="1122">
        <v>615.20000000000005</v>
      </c>
      <c r="DX130" s="1120">
        <v>319.2</v>
      </c>
      <c r="DY130" s="233">
        <f t="shared" ref="DY130" si="763">+DY127-DY133</f>
        <v>361.08889018387401</v>
      </c>
      <c r="DZ130" s="1070">
        <f t="shared" ref="DZ130" si="764">SUM(DX130:DY130)</f>
        <v>680.28889018387395</v>
      </c>
      <c r="EA130" s="233">
        <f t="shared" ref="EA130:EB130" si="765">+EA127-EA133</f>
        <v>367.52363167736144</v>
      </c>
      <c r="EB130" s="233">
        <f t="shared" si="765"/>
        <v>378.88909955473082</v>
      </c>
      <c r="EC130" s="1070">
        <f t="shared" ref="EC130" si="766">SUM(EA130:EB130)</f>
        <v>746.41273123209226</v>
      </c>
      <c r="ED130" s="233">
        <f t="shared" ref="ED130:EE130" si="767">+ED127-ED133</f>
        <v>392.28468076279751</v>
      </c>
      <c r="EE130" s="233">
        <f t="shared" si="767"/>
        <v>404.4191533073988</v>
      </c>
      <c r="EF130" s="1070">
        <f t="shared" ref="EF130" si="768">SUM(ED130:EE130)</f>
        <v>796.70383407019631</v>
      </c>
      <c r="EG130" s="233">
        <f t="shared" ref="EG130:EH130" si="769">+EG127-EG133</f>
        <v>423.47885681960838</v>
      </c>
      <c r="EH130" s="233">
        <f t="shared" si="769"/>
        <v>436.57825328674676</v>
      </c>
      <c r="EI130" s="1070">
        <f t="shared" ref="EI130" si="770">SUM(EG130:EH130)</f>
        <v>860.05711010635514</v>
      </c>
      <c r="EJ130" s="233">
        <f t="shared" ref="EJ130:EK130" si="771">+EJ127-EJ133</f>
        <v>459.7993638210105</v>
      </c>
      <c r="EK130" s="233">
        <f t="shared" si="771"/>
        <v>474.02225609776747</v>
      </c>
      <c r="EL130" s="1070">
        <f t="shared" ref="EL130" si="772">SUM(EJ130:EK130)</f>
        <v>933.82161991877797</v>
      </c>
      <c r="EM130" s="233">
        <f t="shared" ref="EM130:EN130" si="773">+EM127-EM133</f>
        <v>499.22738334242626</v>
      </c>
      <c r="EN130" s="233">
        <f t="shared" si="773"/>
        <v>514.66989556314911</v>
      </c>
      <c r="EO130" s="1070">
        <f t="shared" ref="EO130" si="774">SUM(EM130:EN130)</f>
        <v>1013.8972789055754</v>
      </c>
      <c r="EP130" s="233">
        <f t="shared" ref="EP130:EQ130" si="775">+EP127-EP133</f>
        <v>544.15784784324478</v>
      </c>
      <c r="EQ130" s="233">
        <f t="shared" si="775"/>
        <v>560.9901861638325</v>
      </c>
      <c r="ER130" s="1070">
        <f t="shared" ref="ER130" si="776">SUM(EP130:EQ130)</f>
        <v>1105.1480340070773</v>
      </c>
      <c r="ES130" s="233">
        <f t="shared" ref="ES130:ET130" si="777">+ES127-ES133</f>
        <v>593.13205414913705</v>
      </c>
      <c r="ET130" s="233">
        <f t="shared" si="777"/>
        <v>611.47930291857756</v>
      </c>
      <c r="EU130" s="1070">
        <f t="shared" ref="EU130" si="778">SUM(ES130:ET130)</f>
        <v>1204.6113570677146</v>
      </c>
      <c r="EV130" s="233">
        <f t="shared" ref="EV130:EW130" si="779">+EV127-EV133</f>
        <v>646.51393902255927</v>
      </c>
      <c r="EW130" s="233">
        <f t="shared" si="779"/>
        <v>666.51244018124953</v>
      </c>
      <c r="EX130" s="1070">
        <f t="shared" ref="EX130" si="780">SUM(EV130:EW130)</f>
        <v>1313.0263792038088</v>
      </c>
      <c r="EY130" s="233">
        <f t="shared" ref="EY130:EZ130" si="781">+EY127-EY133</f>
        <v>704.70019353458974</v>
      </c>
      <c r="EZ130" s="233">
        <f t="shared" si="781"/>
        <v>726.49855979756194</v>
      </c>
      <c r="FA130" s="1070">
        <f t="shared" ref="FA130" si="782">SUM(EY130:EZ130)</f>
        <v>1431.1987533321517</v>
      </c>
    </row>
    <row r="131" spans="1:173">
      <c r="C131" s="35" t="s">
        <v>488</v>
      </c>
      <c r="D131" s="162" t="s">
        <v>460</v>
      </c>
      <c r="BA131" s="35"/>
      <c r="BB131" s="35"/>
      <c r="BC131" s="322"/>
      <c r="BD131" s="65"/>
      <c r="BE131" s="65"/>
      <c r="BF131" s="65"/>
      <c r="BG131" s="65"/>
      <c r="BH131" s="65"/>
      <c r="BI131" s="65"/>
      <c r="BJ131" s="65"/>
      <c r="BK131" s="65"/>
      <c r="BL131" s="65"/>
      <c r="BM131" s="65"/>
      <c r="BN131" s="65"/>
      <c r="BO131" s="65"/>
      <c r="BP131" s="65"/>
      <c r="BQ131" s="65"/>
      <c r="BR131" s="65"/>
      <c r="BS131" s="65">
        <f t="shared" ref="BS131:CS131" si="783">BS130/(BS118+BS124)</f>
        <v>0.26365051911294479</v>
      </c>
      <c r="BT131" s="65">
        <f t="shared" si="783"/>
        <v>0.26479506822665577</v>
      </c>
      <c r="BU131" s="65">
        <f t="shared" si="783"/>
        <v>0.26422475063080741</v>
      </c>
      <c r="BV131" s="65">
        <f t="shared" si="783"/>
        <v>0.26276423413274391</v>
      </c>
      <c r="BW131" s="65">
        <f t="shared" si="783"/>
        <v>0.25774663174087775</v>
      </c>
      <c r="BX131" s="65">
        <f t="shared" si="783"/>
        <v>0.26019629337349565</v>
      </c>
      <c r="BY131" s="65">
        <f t="shared" si="783"/>
        <v>0.27407161179210693</v>
      </c>
      <c r="BZ131" s="65">
        <f t="shared" si="783"/>
        <v>0.21631663261524361</v>
      </c>
      <c r="CA131" s="65">
        <f t="shared" si="783"/>
        <v>0.24435568396541674</v>
      </c>
      <c r="CB131" s="65">
        <f t="shared" si="783"/>
        <v>0.25411339928365662</v>
      </c>
      <c r="CC131" s="65">
        <f t="shared" si="783"/>
        <v>0.26207612583025963</v>
      </c>
      <c r="CD131" s="65">
        <f t="shared" si="783"/>
        <v>0.25823758989551154</v>
      </c>
      <c r="CE131" s="65">
        <f t="shared" si="783"/>
        <v>0.25454269098231747</v>
      </c>
      <c r="CF131" s="65">
        <f t="shared" si="783"/>
        <v>0.31304081810175222</v>
      </c>
      <c r="CG131" s="65">
        <f t="shared" si="783"/>
        <v>0.28473475604204596</v>
      </c>
      <c r="CH131" s="65">
        <f t="shared" si="783"/>
        <v>0.25997305564669021</v>
      </c>
      <c r="CI131" s="65">
        <f t="shared" si="783"/>
        <v>0.26401699629887593</v>
      </c>
      <c r="CJ131" s="65">
        <f t="shared" si="783"/>
        <v>0.26199830362907706</v>
      </c>
      <c r="CK131" s="65">
        <f t="shared" si="783"/>
        <v>0.25813094780689044</v>
      </c>
      <c r="CL131" s="65">
        <f t="shared" si="783"/>
        <v>0.26668227179972409</v>
      </c>
      <c r="CM131" s="65">
        <f t="shared" si="783"/>
        <v>0.26226487840437701</v>
      </c>
      <c r="CN131" s="65">
        <f t="shared" si="783"/>
        <v>0.29952339682462126</v>
      </c>
      <c r="CO131" s="65">
        <f t="shared" si="783"/>
        <v>0.25287919488579202</v>
      </c>
      <c r="CP131" s="65">
        <f t="shared" si="783"/>
        <v>0.3177261349703619</v>
      </c>
      <c r="CQ131" s="65">
        <f t="shared" si="783"/>
        <v>0.38755916817755942</v>
      </c>
      <c r="CR131" s="65">
        <f t="shared" si="783"/>
        <v>0.32794154162676031</v>
      </c>
      <c r="CS131" s="65">
        <f t="shared" si="783"/>
        <v>0.35307394393290426</v>
      </c>
      <c r="CT131" s="65">
        <f t="shared" ref="CT131:DY131" si="784">+CT130/CT$127</f>
        <v>0.25951633497028759</v>
      </c>
      <c r="CU131" s="65">
        <f t="shared" si="784"/>
        <v>0.28182468896522184</v>
      </c>
      <c r="CV131" s="65">
        <f t="shared" si="784"/>
        <v>0.27060317914645954</v>
      </c>
      <c r="CW131" s="65">
        <f t="shared" si="784"/>
        <v>0.29160203658628586</v>
      </c>
      <c r="CX131" s="65">
        <f t="shared" si="784"/>
        <v>0.2867462423276767</v>
      </c>
      <c r="CY131" s="65">
        <f t="shared" si="784"/>
        <v>0.28911330429012555</v>
      </c>
      <c r="CZ131" s="65">
        <f t="shared" si="784"/>
        <v>0.2756767859025433</v>
      </c>
      <c r="DA131" s="65">
        <f t="shared" si="784"/>
        <v>0.25896543617847223</v>
      </c>
      <c r="DB131" s="65">
        <f t="shared" si="784"/>
        <v>0.26686262294361907</v>
      </c>
      <c r="DC131" s="65">
        <f t="shared" si="784"/>
        <v>0.25230826368717446</v>
      </c>
      <c r="DD131" s="65">
        <f t="shared" si="784"/>
        <v>0.23377531946772345</v>
      </c>
      <c r="DE131" s="65">
        <f t="shared" si="784"/>
        <v>0.24288599846391318</v>
      </c>
      <c r="DF131" s="65">
        <f t="shared" si="784"/>
        <v>0.24748532021880457</v>
      </c>
      <c r="DG131" s="65">
        <f t="shared" si="784"/>
        <v>0.26372336774066696</v>
      </c>
      <c r="DH131" s="1066">
        <f t="shared" si="784"/>
        <v>0.25445126609519797</v>
      </c>
      <c r="DI131" s="65">
        <f t="shared" si="784"/>
        <v>0.28163704900376951</v>
      </c>
      <c r="DJ131" s="65">
        <f t="shared" si="784"/>
        <v>0.26782145236508992</v>
      </c>
      <c r="DK131" s="1066">
        <f t="shared" si="784"/>
        <v>0.27469363155427579</v>
      </c>
      <c r="DL131" s="65">
        <f t="shared" si="784"/>
        <v>0.25475285171102663</v>
      </c>
      <c r="DM131" s="65">
        <f t="shared" si="784"/>
        <v>0.24618551707435213</v>
      </c>
      <c r="DN131" s="1066">
        <f t="shared" si="784"/>
        <v>0.25044177685698621</v>
      </c>
      <c r="DO131" s="65">
        <f t="shared" si="784"/>
        <v>0.25420120994846518</v>
      </c>
      <c r="DP131" s="65">
        <f t="shared" si="784"/>
        <v>0.24560248330354628</v>
      </c>
      <c r="DQ131" s="1066">
        <f t="shared" si="784"/>
        <v>0.24952702357212253</v>
      </c>
      <c r="DR131" s="65">
        <f t="shared" si="784"/>
        <v>0.25669121609484463</v>
      </c>
      <c r="DS131" s="65">
        <f t="shared" si="784"/>
        <v>0.24135220125786169</v>
      </c>
      <c r="DT131" s="1066">
        <f t="shared" si="784"/>
        <v>0.24891506509609426</v>
      </c>
      <c r="DU131" s="65">
        <f t="shared" si="784"/>
        <v>0.25429523890930844</v>
      </c>
      <c r="DV131" s="65">
        <f t="shared" ref="DV131:DX131" si="785">+DV130/DV$127</f>
        <v>0.26789779913989376</v>
      </c>
      <c r="DW131" s="1066">
        <f t="shared" si="785"/>
        <v>0.26114271160539942</v>
      </c>
      <c r="DX131" s="65">
        <f t="shared" si="785"/>
        <v>0.27142857142857141</v>
      </c>
      <c r="DY131" s="65">
        <f t="shared" si="784"/>
        <v>0.26999999999999996</v>
      </c>
      <c r="DZ131" s="1066">
        <f t="shared" ref="DZ131:ER131" si="786">+DZ130/DZ$127</f>
        <v>0.27066842625636262</v>
      </c>
      <c r="EA131" s="65">
        <f t="shared" si="786"/>
        <v>0.26500000000000001</v>
      </c>
      <c r="EB131" s="65">
        <f t="shared" si="786"/>
        <v>0.26500000000000001</v>
      </c>
      <c r="EC131" s="1066">
        <f t="shared" si="786"/>
        <v>0.26500000000000001</v>
      </c>
      <c r="ED131" s="65">
        <f t="shared" si="786"/>
        <v>0.26</v>
      </c>
      <c r="EE131" s="65">
        <f t="shared" si="786"/>
        <v>0.26000000000000006</v>
      </c>
      <c r="EF131" s="1066">
        <f t="shared" si="786"/>
        <v>0.26000000000000006</v>
      </c>
      <c r="EG131" s="65">
        <f t="shared" si="786"/>
        <v>0.25750000000000001</v>
      </c>
      <c r="EH131" s="65">
        <f t="shared" si="786"/>
        <v>0.25750000000000006</v>
      </c>
      <c r="EI131" s="1066">
        <f t="shared" si="786"/>
        <v>0.25750000000000006</v>
      </c>
      <c r="EJ131" s="65">
        <f t="shared" si="786"/>
        <v>0.25650000000000001</v>
      </c>
      <c r="EK131" s="65">
        <f t="shared" si="786"/>
        <v>0.25650000000000006</v>
      </c>
      <c r="EL131" s="1066">
        <f t="shared" si="786"/>
        <v>0.25650000000000006</v>
      </c>
      <c r="EM131" s="65">
        <f t="shared" si="786"/>
        <v>0.2555</v>
      </c>
      <c r="EN131" s="65">
        <f t="shared" si="786"/>
        <v>0.25550000000000012</v>
      </c>
      <c r="EO131" s="1066">
        <f t="shared" si="786"/>
        <v>0.25550000000000006</v>
      </c>
      <c r="EP131" s="65">
        <f t="shared" si="786"/>
        <v>0.25550000000000006</v>
      </c>
      <c r="EQ131" s="65">
        <f t="shared" si="786"/>
        <v>0.2555</v>
      </c>
      <c r="ER131" s="1066">
        <f t="shared" si="786"/>
        <v>0.25550000000000006</v>
      </c>
      <c r="ES131" s="65">
        <f t="shared" ref="ES131:EX131" si="787">+ES130/ES$127</f>
        <v>0.25550000000000006</v>
      </c>
      <c r="ET131" s="65">
        <f t="shared" si="787"/>
        <v>0.25550000000000006</v>
      </c>
      <c r="EU131" s="1066">
        <f t="shared" si="787"/>
        <v>0.25550000000000006</v>
      </c>
      <c r="EV131" s="65">
        <f t="shared" si="787"/>
        <v>0.25550000000000006</v>
      </c>
      <c r="EW131" s="65">
        <f t="shared" si="787"/>
        <v>0.25550000000000006</v>
      </c>
      <c r="EX131" s="1066">
        <f t="shared" si="787"/>
        <v>0.25550000000000006</v>
      </c>
      <c r="EY131" s="65">
        <f t="shared" ref="EY131:FA131" si="788">+EY130/EY$127</f>
        <v>0.25550000000000012</v>
      </c>
      <c r="EZ131" s="65">
        <f t="shared" si="788"/>
        <v>0.25550000000000006</v>
      </c>
      <c r="FA131" s="1066">
        <f t="shared" si="788"/>
        <v>0.25550000000000012</v>
      </c>
    </row>
    <row r="132" spans="1:173">
      <c r="BA132" s="35"/>
      <c r="BB132" s="35"/>
      <c r="BC132" s="322"/>
      <c r="BD132" s="35"/>
      <c r="BE132" s="35"/>
      <c r="BG132" s="35"/>
      <c r="BH132" s="35"/>
      <c r="BJ132" s="35"/>
      <c r="BK132" s="35"/>
      <c r="BL132" s="31"/>
      <c r="BM132" s="35"/>
      <c r="BN132" s="35"/>
      <c r="BO132" s="31"/>
      <c r="BP132" s="35"/>
      <c r="BQ132" s="35"/>
      <c r="BR132" s="1024"/>
      <c r="BS132" s="74">
        <v>80.391000000000005</v>
      </c>
      <c r="BT132" s="74">
        <f>BU132-BS132</f>
        <v>80.942999999999998</v>
      </c>
      <c r="BU132" s="74">
        <v>161.334</v>
      </c>
      <c r="BV132" s="74">
        <v>84.007999999999996</v>
      </c>
      <c r="BW132" s="74">
        <f>BX132-BV132</f>
        <v>85.00500000000001</v>
      </c>
      <c r="BX132" s="74">
        <v>169.01300000000001</v>
      </c>
      <c r="BY132" s="74">
        <v>106.461</v>
      </c>
      <c r="BZ132" s="74">
        <f>CA132-BY132</f>
        <v>89.762999999999991</v>
      </c>
      <c r="CA132" s="187">
        <v>196.22399999999999</v>
      </c>
      <c r="CB132" s="187">
        <v>97.412999999999997</v>
      </c>
      <c r="CC132" s="187">
        <f>CD132-CB132</f>
        <v>104.77800000000001</v>
      </c>
      <c r="CD132" s="187">
        <v>202.191</v>
      </c>
      <c r="CE132" s="187">
        <v>101.164</v>
      </c>
      <c r="CF132" s="74">
        <f>CG132-CE132</f>
        <v>127.32199999999999</v>
      </c>
      <c r="CG132" s="70">
        <v>228.48599999999999</v>
      </c>
      <c r="CH132" s="74">
        <v>100.28</v>
      </c>
      <c r="CI132" s="70">
        <f>CJ132-CH132</f>
        <v>102.97999999999999</v>
      </c>
      <c r="CJ132" s="70">
        <v>203.26</v>
      </c>
      <c r="CK132" s="35">
        <v>104.842</v>
      </c>
      <c r="CL132" s="70">
        <f>CM132-CK132</f>
        <v>103.23</v>
      </c>
      <c r="CM132" s="70">
        <v>208.072</v>
      </c>
      <c r="CN132" s="35">
        <v>123.669</v>
      </c>
      <c r="CO132" s="35">
        <f>CP132-CN132</f>
        <v>124.616</v>
      </c>
      <c r="CP132" s="35">
        <v>248.285</v>
      </c>
      <c r="CQ132" s="35">
        <v>127.4</v>
      </c>
      <c r="CR132" s="35"/>
      <c r="CS132" s="35">
        <v>275.32</v>
      </c>
      <c r="CT132" s="74">
        <v>171.27799999999999</v>
      </c>
      <c r="CU132" s="35"/>
      <c r="CV132" s="35">
        <v>333.59300000000002</v>
      </c>
      <c r="CW132" s="35">
        <v>176.21799999999999</v>
      </c>
      <c r="CX132" s="35"/>
      <c r="CZ132" s="35"/>
      <c r="DA132" s="35"/>
      <c r="DC132" s="35"/>
      <c r="DD132" s="35"/>
      <c r="DF132" s="35"/>
      <c r="DG132" s="35"/>
      <c r="DH132" s="1067"/>
      <c r="DI132" s="35"/>
      <c r="DJ132" s="35"/>
      <c r="DK132" s="1067"/>
      <c r="DL132" s="261"/>
      <c r="DM132" s="35"/>
      <c r="DN132" s="1067"/>
      <c r="DO132" s="35"/>
      <c r="DP132" s="35"/>
      <c r="DQ132" s="1067"/>
      <c r="DR132" s="35"/>
      <c r="DS132" s="35"/>
      <c r="DT132" s="1067"/>
      <c r="DU132" s="35"/>
      <c r="DV132" s="35"/>
      <c r="DW132" s="1067"/>
      <c r="DX132" s="35"/>
      <c r="DY132" s="35"/>
      <c r="DZ132" s="1067"/>
      <c r="EA132" s="35"/>
      <c r="EB132" s="35"/>
      <c r="EC132" s="1067"/>
      <c r="ED132" s="35"/>
      <c r="EE132" s="35"/>
      <c r="EF132" s="1067"/>
      <c r="EG132" s="35"/>
      <c r="EH132" s="35"/>
      <c r="EI132" s="1067"/>
      <c r="EJ132" s="35"/>
      <c r="EK132" s="35"/>
      <c r="EL132" s="1067"/>
      <c r="EM132" s="35"/>
      <c r="EN132" s="35"/>
      <c r="EO132" s="1067"/>
      <c r="EP132" s="35"/>
      <c r="EQ132" s="35"/>
      <c r="ER132" s="1067"/>
      <c r="ES132" s="35"/>
      <c r="ET132" s="35"/>
      <c r="EU132" s="1067"/>
      <c r="EV132" s="35"/>
      <c r="EW132" s="35"/>
      <c r="EX132" s="1067"/>
      <c r="EY132" s="35"/>
      <c r="EZ132" s="35"/>
      <c r="FA132" s="1067"/>
    </row>
    <row r="133" spans="1:173" s="233" customFormat="1">
      <c r="A133" s="1147" t="s">
        <v>673</v>
      </c>
      <c r="B133" s="1133" t="s">
        <v>673</v>
      </c>
      <c r="C133" s="1133"/>
      <c r="D133" s="1134" t="s">
        <v>604</v>
      </c>
      <c r="E133" s="1133"/>
      <c r="F133" s="1133"/>
      <c r="G133" s="1133"/>
      <c r="H133" s="1133"/>
      <c r="I133" s="1133"/>
      <c r="J133" s="1133"/>
      <c r="K133" s="1133"/>
      <c r="L133" s="1133"/>
      <c r="M133" s="1133"/>
      <c r="N133" s="1133"/>
      <c r="O133" s="1133"/>
      <c r="P133" s="1133"/>
      <c r="Q133" s="1133"/>
      <c r="R133" s="1133"/>
      <c r="S133" s="1133"/>
      <c r="T133" s="1133"/>
      <c r="U133" s="1133"/>
      <c r="V133" s="1133"/>
      <c r="W133" s="1133"/>
      <c r="X133" s="1133"/>
      <c r="Y133" s="1133"/>
      <c r="Z133" s="1133"/>
      <c r="AA133" s="1133"/>
      <c r="AB133" s="1133"/>
      <c r="AC133" s="1133"/>
      <c r="AD133" s="1133"/>
      <c r="AE133" s="1133"/>
      <c r="AF133" s="1133"/>
      <c r="AG133" s="1133"/>
      <c r="AH133" s="1133"/>
      <c r="AI133" s="1133"/>
      <c r="AJ133" s="1133"/>
      <c r="AK133" s="1133"/>
      <c r="AL133" s="1133"/>
      <c r="AM133" s="1133"/>
      <c r="AN133" s="1133"/>
      <c r="AO133" s="1133"/>
      <c r="AP133" s="1133"/>
      <c r="AQ133" s="1133"/>
      <c r="AR133" s="1133"/>
      <c r="AS133" s="1133"/>
      <c r="AT133" s="1133"/>
      <c r="AU133" s="1133"/>
      <c r="AV133" s="1133"/>
      <c r="AW133" s="1133"/>
      <c r="AX133" s="1133"/>
      <c r="AY133" s="1133"/>
      <c r="AZ133" s="1133"/>
      <c r="BA133" s="1137"/>
      <c r="BB133" s="1137"/>
      <c r="BC133" s="1137"/>
      <c r="BD133" s="1137"/>
      <c r="BE133" s="1137"/>
      <c r="BF133" s="1137"/>
      <c r="BG133" s="1137"/>
      <c r="BH133" s="1137"/>
      <c r="BI133" s="1137"/>
      <c r="BJ133" s="1137"/>
      <c r="BK133" s="1137"/>
      <c r="BL133" s="1137"/>
      <c r="BM133" s="1137"/>
      <c r="BN133" s="1137"/>
      <c r="BO133" s="1137"/>
      <c r="BP133" s="1137"/>
      <c r="BQ133" s="1137"/>
      <c r="BR133" s="1137"/>
      <c r="BS133" s="1137">
        <f>BS127-BS130</f>
        <v>190.27198874121535</v>
      </c>
      <c r="BT133" s="1137">
        <f>BT127-BT130</f>
        <v>191.27998944488937</v>
      </c>
      <c r="BU133" s="1137">
        <f>SUM(BS133:BT133)</f>
        <v>381.55197818610475</v>
      </c>
      <c r="BV133" s="1137">
        <f>BV127-BV130</f>
        <v>200.16800000000009</v>
      </c>
      <c r="BW133" s="1137">
        <f>BW127-BW130</f>
        <v>211.26099999999997</v>
      </c>
      <c r="BX133" s="1137">
        <f>SUM(BV133:BW133)</f>
        <v>411.42900000000009</v>
      </c>
      <c r="BY133" s="1137">
        <f>BY127-BY130</f>
        <v>240.46400000000006</v>
      </c>
      <c r="BZ133" s="1137">
        <f>BZ127-BZ130</f>
        <v>275.12046399711721</v>
      </c>
      <c r="CA133" s="1137">
        <f>SUM(BY133:BZ133)</f>
        <v>515.58446399711727</v>
      </c>
      <c r="CB133" s="1137">
        <f>CB127-CB130</f>
        <v>239.48752384771856</v>
      </c>
      <c r="CC133" s="1137">
        <f>CC127-CC130</f>
        <v>254.56269977420581</v>
      </c>
      <c r="CD133" s="1137">
        <f>SUM(CB133:CC133)</f>
        <v>494.05022362192437</v>
      </c>
      <c r="CE133" s="1137">
        <f>CE127-CE130</f>
        <v>254.04324887470287</v>
      </c>
      <c r="CF133" s="1137">
        <f>CF127-CF130</f>
        <v>249.70611495770024</v>
      </c>
      <c r="CG133" s="1137">
        <f>SUM(CE133:CF133)</f>
        <v>503.74936383240311</v>
      </c>
      <c r="CH133" s="1137">
        <f>CH127-CH130</f>
        <v>250.92826632306029</v>
      </c>
      <c r="CI133" s="1137">
        <f>CI127-CI130</f>
        <v>250.36743537759463</v>
      </c>
      <c r="CJ133" s="1137">
        <f>SUM(CH133:CI133)</f>
        <v>501.29570170065494</v>
      </c>
      <c r="CK133" s="1137">
        <f>CK127-CK130</f>
        <v>263.34802823471261</v>
      </c>
      <c r="CL133" s="1137">
        <f>CL127-CL130</f>
        <v>243.6083131876473</v>
      </c>
      <c r="CM133" s="1137">
        <f>SUM(CK133:CL133)</f>
        <v>506.95634142235991</v>
      </c>
      <c r="CN133" s="1137">
        <f>CN127-CN130</f>
        <v>253.20328841609265</v>
      </c>
      <c r="CO133" s="1137">
        <f>CO127-CO130</f>
        <v>319.28000000000009</v>
      </c>
      <c r="CP133" s="1137">
        <f>SUM(CN133:CO133)</f>
        <v>572.48328841609271</v>
      </c>
      <c r="CQ133" s="1137">
        <f>CQ127-CQ130</f>
        <v>313.10499999999996</v>
      </c>
      <c r="CR133" s="1137">
        <f>CR127-CR130</f>
        <v>353.47900000000004</v>
      </c>
      <c r="CS133" s="1137">
        <f>SUM(CQ133:CR133)</f>
        <v>666.58400000000006</v>
      </c>
      <c r="CT133" s="1137">
        <f>CT127-CT130</f>
        <v>430.75415762108423</v>
      </c>
      <c r="CU133" s="1137">
        <f>CU127-CU130</f>
        <v>412.76333848482886</v>
      </c>
      <c r="CV133" s="1137">
        <f>SUM(CT133:CU133)</f>
        <v>843.5174961059131</v>
      </c>
      <c r="CW133" s="1137">
        <f>CW127-CW130</f>
        <v>428.11362804819436</v>
      </c>
      <c r="CX133" s="1137">
        <f>CX127-CX130</f>
        <v>453.20466787430382</v>
      </c>
      <c r="CY133" s="1137">
        <f>SUM(CW133:CX133)</f>
        <v>881.31829592249824</v>
      </c>
      <c r="CZ133" s="1137">
        <f>CZ127-CZ130</f>
        <v>455.62434961788159</v>
      </c>
      <c r="DA133" s="1137">
        <f>DA127-DA130</f>
        <v>520.26145734306965</v>
      </c>
      <c r="DB133" s="1137">
        <f>SUM(CZ133:DA133)</f>
        <v>975.88580696095119</v>
      </c>
      <c r="DC133" s="1137">
        <f>DC127-DC130</f>
        <v>530.36508887987566</v>
      </c>
      <c r="DD133" s="1137">
        <f>DD127-DD130</f>
        <v>562.09932636374117</v>
      </c>
      <c r="DE133" s="1137">
        <f>SUM(DC133:DD133)</f>
        <v>1092.4644152436167</v>
      </c>
      <c r="DF133" s="1137">
        <f>DF127-DF130</f>
        <v>583.0208829086381</v>
      </c>
      <c r="DG133" s="1137">
        <f>DG127-DG130</f>
        <v>428.5604243674025</v>
      </c>
      <c r="DH133" s="1136">
        <f>SUM(DF133:DG133)</f>
        <v>1011.5813072760407</v>
      </c>
      <c r="DI133" s="1133">
        <f>DI127-DI130</f>
        <v>533.59999999999991</v>
      </c>
      <c r="DJ133" s="1133">
        <f>DJ127-DJ130</f>
        <v>549.5</v>
      </c>
      <c r="DK133" s="1136">
        <f>SUM(DI133:DJ133)</f>
        <v>1083.0999999999999</v>
      </c>
      <c r="DL133" s="1133">
        <f>DL127-DL130</f>
        <v>607.59999999999991</v>
      </c>
      <c r="DM133" s="1133">
        <f>DM127-DM130</f>
        <v>622.5</v>
      </c>
      <c r="DN133" s="1136">
        <f>SUM(DL133:DM133)</f>
        <v>1230.0999999999999</v>
      </c>
      <c r="DO133" s="1133">
        <f>DO127-DO130</f>
        <v>665.7</v>
      </c>
      <c r="DP133" s="1133">
        <f>DP127-DP130</f>
        <v>801.99999999999989</v>
      </c>
      <c r="DQ133" s="1136">
        <f>SUM(DO133:DP133)</f>
        <v>1467.6999999999998</v>
      </c>
      <c r="DR133" s="1133">
        <f>DR127-DR130</f>
        <v>827.60000000000014</v>
      </c>
      <c r="DS133" s="1133">
        <f>DS127-DS130</f>
        <v>868.49999999999977</v>
      </c>
      <c r="DT133" s="1136">
        <f>SUM(DR133:DS133)</f>
        <v>1696.1</v>
      </c>
      <c r="DU133" s="1133">
        <f>DU127-DU130</f>
        <v>872.40000000000009</v>
      </c>
      <c r="DV133" s="1133">
        <f>DV127-DV130</f>
        <v>868.2</v>
      </c>
      <c r="DW133" s="1136">
        <f>SUM(DU133:DV133)</f>
        <v>1740.6000000000001</v>
      </c>
      <c r="DX133" s="1133">
        <f>DX127-DX130</f>
        <v>856.8</v>
      </c>
      <c r="DY133" s="1133">
        <f t="shared" ref="DY133" si="789">+DY127*DY134</f>
        <v>976.27736975640016</v>
      </c>
      <c r="DZ133" s="1136">
        <f t="shared" ref="DZ133" si="790">SUM(DX133:DY133)</f>
        <v>1833.0773697564</v>
      </c>
      <c r="EA133" s="1133">
        <f t="shared" ref="EA133" si="791">+EA127*EA134</f>
        <v>1019.3579972938137</v>
      </c>
      <c r="EB133" s="1133">
        <f t="shared" ref="EB133" si="792">+EB127*EB134</f>
        <v>1050.8810874442534</v>
      </c>
      <c r="EC133" s="1136">
        <f t="shared" ref="EC133" si="793">SUM(EA133:EB133)</f>
        <v>2070.239084738067</v>
      </c>
      <c r="ED133" s="1133">
        <f t="shared" ref="ED133" si="794">+ED127*ED134</f>
        <v>1116.5025529402697</v>
      </c>
      <c r="EE133" s="1133">
        <f t="shared" ref="EE133" si="795">+EE127*EE134</f>
        <v>1151.0391286441347</v>
      </c>
      <c r="EF133" s="1136">
        <f t="shared" ref="EF133" si="796">SUM(ED133:EE133)</f>
        <v>2267.5416815844046</v>
      </c>
      <c r="EG133" s="1133">
        <f t="shared" ref="EG133" si="797">+EG127*EG134</f>
        <v>1221.0992279167347</v>
      </c>
      <c r="EH133" s="1133">
        <f t="shared" ref="EH133" si="798">+EH127*EH134</f>
        <v>1258.8712740404246</v>
      </c>
      <c r="EI133" s="1136">
        <f t="shared" ref="EI133" si="799">SUM(EG133:EH133)</f>
        <v>2479.9705019571593</v>
      </c>
      <c r="EJ133" s="1133">
        <f t="shared" ref="EJ133" si="800">+EJ127*EJ134</f>
        <v>1332.7907485416035</v>
      </c>
      <c r="EK133" s="1133">
        <f t="shared" ref="EK133" si="801">+EK127*EK134</f>
        <v>1374.0177286888497</v>
      </c>
      <c r="EL133" s="1136">
        <f t="shared" ref="EL133" si="802">SUM(EJ133:EK133)</f>
        <v>2706.8084772304533</v>
      </c>
      <c r="EM133" s="1133">
        <f t="shared" ref="EM133" si="803">+EM127*EM134</f>
        <v>1454.6958391328233</v>
      </c>
      <c r="EN133" s="1133">
        <f t="shared" ref="EN133" si="804">+EN127*EN134</f>
        <v>1499.6936878542635</v>
      </c>
      <c r="EO133" s="1136">
        <f t="shared" ref="EO133" si="805">SUM(EM133:EN133)</f>
        <v>2954.3895269870868</v>
      </c>
      <c r="EP133" s="1133">
        <f t="shared" ref="EP133" si="806">+EP127*EP134</f>
        <v>1585.6184646547772</v>
      </c>
      <c r="EQ133" s="1133">
        <f t="shared" ref="EQ133" si="807">+EQ127*EQ134</f>
        <v>1634.6661197611477</v>
      </c>
      <c r="ER133" s="1136">
        <f t="shared" ref="ER133" si="808">SUM(EP133:EQ133)</f>
        <v>3220.2845844159247</v>
      </c>
      <c r="ES133" s="1133">
        <f t="shared" ref="ES133:ET133" si="809">+ES127*ES134</f>
        <v>1728.3241264737078</v>
      </c>
      <c r="ET133" s="1133">
        <f t="shared" si="809"/>
        <v>1781.7860705396511</v>
      </c>
      <c r="EU133" s="1136">
        <f t="shared" ref="EU133" si="810">SUM(ES133:ET133)</f>
        <v>3510.1101970133586</v>
      </c>
      <c r="EV133" s="1133">
        <f t="shared" ref="EV133:EW133" si="811">+EV127*EV134</f>
        <v>1883.8732978563414</v>
      </c>
      <c r="EW133" s="1133">
        <f t="shared" si="811"/>
        <v>1942.1468168882197</v>
      </c>
      <c r="EX133" s="1136">
        <f t="shared" ref="EX133" si="812">SUM(EV133:EW133)</f>
        <v>3826.0201147445614</v>
      </c>
      <c r="EY133" s="1133">
        <f t="shared" ref="EY133:EZ133" si="813">+EY127*EY134</f>
        <v>2053.4218946634119</v>
      </c>
      <c r="EZ133" s="1133">
        <f t="shared" si="813"/>
        <v>2116.9400304081591</v>
      </c>
      <c r="FA133" s="1136">
        <f t="shared" ref="FA133" si="814">SUM(EY133:EZ133)</f>
        <v>4170.361925071571</v>
      </c>
      <c r="FB133" s="1014"/>
      <c r="FC133" s="1014"/>
      <c r="FD133" s="1014"/>
      <c r="FE133" s="1014"/>
      <c r="FF133" s="1014"/>
      <c r="FG133" s="1014"/>
      <c r="FH133" s="1014"/>
      <c r="FI133" s="1014"/>
      <c r="FJ133" s="1014"/>
      <c r="FK133" s="1014"/>
      <c r="FL133" s="1014"/>
      <c r="FM133" s="1014"/>
      <c r="FN133" s="1014"/>
      <c r="FO133" s="1014"/>
      <c r="FP133" s="1014"/>
      <c r="FQ133" s="1014"/>
    </row>
    <row r="134" spans="1:173">
      <c r="A134" s="1147" t="s">
        <v>1061</v>
      </c>
      <c r="C134" s="35" t="s">
        <v>401</v>
      </c>
      <c r="D134" s="162" t="s">
        <v>460</v>
      </c>
      <c r="BA134" s="65"/>
      <c r="BB134" s="65"/>
      <c r="BC134" s="65"/>
      <c r="BD134" s="65"/>
      <c r="BE134" s="65"/>
      <c r="BF134" s="65"/>
      <c r="BG134" s="65"/>
      <c r="BH134" s="65"/>
      <c r="BI134" s="65"/>
      <c r="BJ134" s="65"/>
      <c r="BK134" s="65"/>
      <c r="BL134" s="65"/>
      <c r="BM134" s="65"/>
      <c r="BN134" s="65"/>
      <c r="BO134" s="65"/>
      <c r="BP134" s="65"/>
      <c r="BQ134" s="65"/>
      <c r="BR134" s="65"/>
      <c r="BS134" s="65">
        <f t="shared" ref="BS134:CX134" si="815">BS133/(BS127+BS535)</f>
        <v>0.72114135174636962</v>
      </c>
      <c r="BT134" s="65">
        <f t="shared" si="815"/>
        <v>0.70518256736201179</v>
      </c>
      <c r="BU134" s="65">
        <f t="shared" si="815"/>
        <v>0.71305160306979964</v>
      </c>
      <c r="BV134" s="65">
        <f t="shared" si="815"/>
        <v>0.70160062836556802</v>
      </c>
      <c r="BW134" s="65">
        <f t="shared" si="815"/>
        <v>0.72321485675378905</v>
      </c>
      <c r="BX134" s="65">
        <f t="shared" si="815"/>
        <v>0.71253523523155671</v>
      </c>
      <c r="BY134" s="65">
        <f t="shared" si="815"/>
        <v>0.70821771908498354</v>
      </c>
      <c r="BZ134" s="65">
        <f t="shared" si="815"/>
        <v>0.84483832707924655</v>
      </c>
      <c r="CA134" s="65">
        <f t="shared" si="815"/>
        <v>0.77510207988421165</v>
      </c>
      <c r="CB134" s="65">
        <f t="shared" si="815"/>
        <v>0.72184680261810275</v>
      </c>
      <c r="CC134" s="65">
        <f t="shared" si="815"/>
        <v>0.68260155565913705</v>
      </c>
      <c r="CD134" s="65">
        <f t="shared" si="815"/>
        <v>0.70107807706311132</v>
      </c>
      <c r="CE134" s="65">
        <f t="shared" si="815"/>
        <v>0.70051240754291078</v>
      </c>
      <c r="CF134" s="65">
        <f t="shared" si="815"/>
        <v>0.59589923864988426</v>
      </c>
      <c r="CG134" s="65">
        <f t="shared" si="815"/>
        <v>0.64443269720238905</v>
      </c>
      <c r="CH134" s="65">
        <f t="shared" si="815"/>
        <v>0.7219054761288074</v>
      </c>
      <c r="CI134" s="65">
        <f t="shared" si="815"/>
        <v>0.70677692202704334</v>
      </c>
      <c r="CJ134" s="65">
        <f t="shared" si="815"/>
        <v>0.71426956148025367</v>
      </c>
      <c r="CK134" s="65">
        <f t="shared" si="815"/>
        <v>0.74186905219310961</v>
      </c>
      <c r="CL134" s="65">
        <f t="shared" si="815"/>
        <v>0.73331772820027585</v>
      </c>
      <c r="CM134" s="65">
        <f t="shared" si="815"/>
        <v>0.73773512159562304</v>
      </c>
      <c r="CN134" s="65">
        <f t="shared" si="815"/>
        <v>0.70047660317537874</v>
      </c>
      <c r="CO134" s="65">
        <f t="shared" si="815"/>
        <v>0.74712080511420786</v>
      </c>
      <c r="CP134" s="65">
        <f t="shared" si="815"/>
        <v>0.72574633235218711</v>
      </c>
      <c r="CQ134" s="65">
        <f t="shared" si="815"/>
        <v>0.7107864836948502</v>
      </c>
      <c r="CR134" s="65">
        <f t="shared" si="815"/>
        <v>0.70498545070891649</v>
      </c>
      <c r="CS134" s="65">
        <f t="shared" si="815"/>
        <v>0.7076984490988466</v>
      </c>
      <c r="CT134" s="65">
        <f t="shared" si="815"/>
        <v>0.74048366502971241</v>
      </c>
      <c r="CU134" s="65">
        <f t="shared" si="815"/>
        <v>0.71817531103477816</v>
      </c>
      <c r="CV134" s="65">
        <f t="shared" si="815"/>
        <v>0.72939682085354052</v>
      </c>
      <c r="CW134" s="65">
        <f t="shared" si="815"/>
        <v>0.70839796341371408</v>
      </c>
      <c r="CX134" s="65">
        <f t="shared" si="815"/>
        <v>0.71325375767232324</v>
      </c>
      <c r="CY134" s="65">
        <f t="shared" ref="CY134:DT134" si="816">CY133/(CY127+CY535)</f>
        <v>0.71088669570987462</v>
      </c>
      <c r="CZ134" s="65">
        <f t="shared" si="816"/>
        <v>0.7243232140974567</v>
      </c>
      <c r="DA134" s="65">
        <f t="shared" si="816"/>
        <v>0.74103456382152766</v>
      </c>
      <c r="DB134" s="65">
        <f t="shared" si="816"/>
        <v>0.73313737705638082</v>
      </c>
      <c r="DC134" s="65">
        <f t="shared" si="816"/>
        <v>0.74769173631282548</v>
      </c>
      <c r="DD134" s="65">
        <f t="shared" si="816"/>
        <v>0.76622468053227655</v>
      </c>
      <c r="DE134" s="65">
        <f t="shared" si="816"/>
        <v>0.75711400153608677</v>
      </c>
      <c r="DF134" s="65">
        <f t="shared" si="816"/>
        <v>0.75251467978119546</v>
      </c>
      <c r="DG134" s="65">
        <f t="shared" si="816"/>
        <v>0.73627663225933304</v>
      </c>
      <c r="DH134" s="1066">
        <f t="shared" si="816"/>
        <v>0.74554873390480203</v>
      </c>
      <c r="DI134" s="65">
        <f t="shared" si="816"/>
        <v>0.71836295099623038</v>
      </c>
      <c r="DJ134" s="65">
        <f t="shared" si="816"/>
        <v>0.73217854763491008</v>
      </c>
      <c r="DK134" s="1066">
        <f t="shared" si="816"/>
        <v>0.72530636844572416</v>
      </c>
      <c r="DL134" s="65">
        <f t="shared" si="816"/>
        <v>0.74524714828897332</v>
      </c>
      <c r="DM134" s="65">
        <f t="shared" si="816"/>
        <v>0.75381448292564779</v>
      </c>
      <c r="DN134" s="1066">
        <f t="shared" si="816"/>
        <v>0.74955822314301379</v>
      </c>
      <c r="DO134" s="65">
        <f t="shared" si="816"/>
        <v>0.74579879005153482</v>
      </c>
      <c r="DP134" s="65">
        <f t="shared" si="816"/>
        <v>0.75439751669645372</v>
      </c>
      <c r="DQ134" s="1066">
        <f t="shared" si="816"/>
        <v>0.75047297642787747</v>
      </c>
      <c r="DR134" s="65">
        <f t="shared" si="816"/>
        <v>0.74330878390515542</v>
      </c>
      <c r="DS134" s="65">
        <f t="shared" si="816"/>
        <v>0.75864779874213839</v>
      </c>
      <c r="DT134" s="1066">
        <f t="shared" si="816"/>
        <v>0.75108493490390582</v>
      </c>
      <c r="DU134" s="65">
        <f t="shared" ref="DU134:DW134" si="817">DU133/(DU127+DU535)</f>
        <v>0.7457047610906915</v>
      </c>
      <c r="DV134" s="65">
        <f t="shared" si="817"/>
        <v>0.73210220086010624</v>
      </c>
      <c r="DW134" s="1066">
        <f t="shared" si="817"/>
        <v>0.73885728839460052</v>
      </c>
      <c r="DX134" s="65">
        <f t="shared" ref="DX134" si="818">DX133/(DX127+DX535)</f>
        <v>0.72857142857142854</v>
      </c>
      <c r="DY134" s="1145">
        <v>0.73</v>
      </c>
      <c r="DZ134" s="1146">
        <f>+DZ133/DZ127</f>
        <v>0.72933157374363733</v>
      </c>
      <c r="EA134" s="1145">
        <v>0.73499999999999999</v>
      </c>
      <c r="EB134" s="1163">
        <f t="shared" ref="EB134" si="819">+EA134</f>
        <v>0.73499999999999999</v>
      </c>
      <c r="EC134" s="1146">
        <f t="shared" ref="EC134" si="820">+EC133/EC127</f>
        <v>0.7350000000000001</v>
      </c>
      <c r="ED134" s="1163">
        <v>0.74</v>
      </c>
      <c r="EE134" s="1163">
        <f t="shared" ref="EE134" si="821">+ED134</f>
        <v>0.74</v>
      </c>
      <c r="EF134" s="1146">
        <f t="shared" ref="EF134" si="822">+EF133/EF127</f>
        <v>0.74</v>
      </c>
      <c r="EG134" s="1163">
        <f>+ED134+0.25%</f>
        <v>0.74249999999999994</v>
      </c>
      <c r="EH134" s="1163">
        <f t="shared" ref="EH134" si="823">+EG134</f>
        <v>0.74249999999999994</v>
      </c>
      <c r="EI134" s="1146">
        <f t="shared" ref="EI134" si="824">+EI133/EI127</f>
        <v>0.74249999999999994</v>
      </c>
      <c r="EJ134" s="1163">
        <f>+EH134+0.1%</f>
        <v>0.74349999999999994</v>
      </c>
      <c r="EK134" s="1163">
        <f t="shared" ref="EK134" si="825">+EJ134</f>
        <v>0.74349999999999994</v>
      </c>
      <c r="EL134" s="1146">
        <f t="shared" ref="EL134" si="826">+EL133/EL127</f>
        <v>0.74350000000000005</v>
      </c>
      <c r="EM134" s="1163">
        <f>+EK134+0.1%</f>
        <v>0.74449999999999994</v>
      </c>
      <c r="EN134" s="1163">
        <f t="shared" ref="EN134" si="827">+EM134</f>
        <v>0.74449999999999994</v>
      </c>
      <c r="EO134" s="1146">
        <f t="shared" ref="EO134" si="828">+EO133/EO127</f>
        <v>0.74449999999999994</v>
      </c>
      <c r="EP134" s="1163">
        <f>+EM134</f>
        <v>0.74449999999999994</v>
      </c>
      <c r="EQ134" s="1163">
        <f>+EP134</f>
        <v>0.74449999999999994</v>
      </c>
      <c r="ER134" s="1146">
        <f t="shared" ref="ER134:FA134" si="829">+ER133/ER127</f>
        <v>0.74449999999999994</v>
      </c>
      <c r="ES134" s="1163">
        <f t="shared" ref="ES134" si="830">+EP134</f>
        <v>0.74449999999999994</v>
      </c>
      <c r="ET134" s="1163">
        <f t="shared" ref="ET134" si="831">+ES134</f>
        <v>0.74449999999999994</v>
      </c>
      <c r="EU134" s="1146">
        <f t="shared" si="829"/>
        <v>0.74449999999999983</v>
      </c>
      <c r="EV134" s="1163">
        <f t="shared" ref="EV134" si="832">+ES134</f>
        <v>0.74449999999999994</v>
      </c>
      <c r="EW134" s="1163">
        <f t="shared" ref="EW134" si="833">+EV134</f>
        <v>0.74449999999999994</v>
      </c>
      <c r="EX134" s="1146">
        <f t="shared" si="829"/>
        <v>0.74449999999999994</v>
      </c>
      <c r="EY134" s="1163">
        <f t="shared" ref="EY134" si="834">+EV134</f>
        <v>0.74449999999999994</v>
      </c>
      <c r="EZ134" s="1163">
        <f t="shared" ref="EZ134" si="835">+EY134</f>
        <v>0.74449999999999994</v>
      </c>
      <c r="FA134" s="1146">
        <f t="shared" si="829"/>
        <v>0.74449999999999994</v>
      </c>
    </row>
    <row r="135" spans="1:173">
      <c r="BA135" s="35"/>
      <c r="BB135" s="35"/>
      <c r="BC135" s="322"/>
      <c r="BD135" s="35"/>
      <c r="BE135" s="35"/>
      <c r="BG135" s="35"/>
      <c r="BH135" s="35"/>
      <c r="BJ135" s="35"/>
      <c r="BK135" s="35"/>
      <c r="BL135" s="31"/>
      <c r="BM135" s="35"/>
      <c r="BN135" s="35"/>
      <c r="BO135" s="31"/>
      <c r="BP135" s="35"/>
      <c r="BQ135" s="35"/>
      <c r="BR135" s="1024"/>
      <c r="BS135" s="74">
        <f>195.721</f>
        <v>195.721</v>
      </c>
      <c r="BT135" s="74">
        <f>BU135-BS135</f>
        <v>202.35699999999997</v>
      </c>
      <c r="BU135" s="74">
        <f>398.078</f>
        <v>398.07799999999997</v>
      </c>
      <c r="BV135" s="74">
        <f>213.964</f>
        <v>213.964</v>
      </c>
      <c r="BW135" s="74">
        <f>BX135-BV135</f>
        <v>218.74799999999999</v>
      </c>
      <c r="BX135" s="74">
        <v>432.71199999999999</v>
      </c>
      <c r="BY135" s="74">
        <f>248.766</f>
        <v>248.76599999999999</v>
      </c>
      <c r="BZ135" s="74">
        <f>CA135-BY135</f>
        <v>249.68899999999999</v>
      </c>
      <c r="CA135" s="187">
        <f>498.455</f>
        <v>498.45499999999998</v>
      </c>
      <c r="CB135" s="187">
        <f>250.18</f>
        <v>250.18</v>
      </c>
      <c r="CC135" s="187">
        <f>CD135-CB135</f>
        <v>282.43199999999996</v>
      </c>
      <c r="CD135" s="187">
        <f>532.612</f>
        <v>532.61199999999997</v>
      </c>
      <c r="CE135" s="187">
        <f>275.908</f>
        <v>275.90800000000002</v>
      </c>
      <c r="CF135" s="70"/>
      <c r="CG135" s="70"/>
      <c r="CH135" s="187">
        <v>287.21100000000001</v>
      </c>
      <c r="CI135" s="70"/>
      <c r="CJ135" s="70"/>
      <c r="CK135" s="35">
        <v>263.34899999999999</v>
      </c>
      <c r="CL135" s="70"/>
      <c r="CM135" s="70"/>
      <c r="CN135" s="35"/>
      <c r="CO135" s="35"/>
      <c r="CQ135" s="35"/>
      <c r="CR135" s="35"/>
      <c r="CT135" s="35"/>
      <c r="CU135" s="35"/>
      <c r="CV135" s="244"/>
      <c r="CW135" s="35"/>
      <c r="CX135" s="35"/>
      <c r="CY135" s="244"/>
      <c r="CZ135" s="35"/>
      <c r="DA135" s="35"/>
      <c r="DC135" s="35"/>
      <c r="DD135" s="35"/>
      <c r="DF135" s="35"/>
      <c r="DG135" s="35"/>
      <c r="DH135" s="1074"/>
      <c r="DI135" s="70"/>
      <c r="DJ135" s="70"/>
      <c r="DK135" s="1074"/>
      <c r="DL135" s="244"/>
      <c r="DM135" s="35"/>
      <c r="DN135" s="1069"/>
      <c r="DO135" s="35"/>
      <c r="DP135" s="70"/>
      <c r="DQ135" s="1074"/>
      <c r="DR135" s="35"/>
      <c r="DS135" s="35"/>
      <c r="DT135" s="1067"/>
      <c r="DU135" s="35"/>
      <c r="DV135" s="35"/>
      <c r="DW135" s="1067"/>
      <c r="DX135" s="35"/>
      <c r="DY135" s="35"/>
      <c r="DZ135" s="1067"/>
      <c r="EA135" s="35"/>
      <c r="EB135" s="35"/>
      <c r="EC135" s="1067"/>
      <c r="ED135" s="35"/>
      <c r="EE135" s="35"/>
      <c r="EF135" s="1067"/>
      <c r="EG135" s="35"/>
      <c r="EH135" s="35"/>
      <c r="EI135" s="1067"/>
      <c r="EJ135" s="35"/>
      <c r="EK135" s="35"/>
      <c r="EL135" s="1067"/>
      <c r="EM135" s="35"/>
      <c r="EN135" s="35"/>
      <c r="EO135" s="1067"/>
      <c r="EP135" s="35"/>
      <c r="EQ135" s="35"/>
      <c r="ER135" s="1067"/>
      <c r="ES135" s="35"/>
      <c r="ET135" s="35"/>
      <c r="EU135" s="1067"/>
      <c r="EV135" s="35"/>
      <c r="EW135" s="35"/>
      <c r="EX135" s="1067"/>
      <c r="EY135" s="35"/>
      <c r="EZ135" s="35"/>
      <c r="FA135" s="1067"/>
      <c r="FB135" s="70"/>
      <c r="FC135" s="70"/>
      <c r="FD135" s="70"/>
      <c r="FE135" s="70"/>
      <c r="FF135" s="70"/>
    </row>
    <row r="136" spans="1:173" s="233" customFormat="1">
      <c r="A136" s="1147" t="s">
        <v>311</v>
      </c>
      <c r="B136" s="233" t="s">
        <v>427</v>
      </c>
      <c r="D136" s="245" t="s">
        <v>604</v>
      </c>
      <c r="BA136" s="233">
        <f>BA243+BA334+BA405</f>
        <v>0</v>
      </c>
      <c r="BB136" s="233">
        <f>BB243+BB334+BB405</f>
        <v>0</v>
      </c>
      <c r="BC136" s="233">
        <f>SUM(BA136:BB136)</f>
        <v>0</v>
      </c>
      <c r="BD136" s="233">
        <f>BD243+BD334+BD405</f>
        <v>0</v>
      </c>
      <c r="BE136" s="233">
        <f>BE243+BE334+BE405</f>
        <v>0</v>
      </c>
      <c r="BF136" s="233">
        <f>SUM(BD136:BE136)</f>
        <v>0</v>
      </c>
      <c r="BG136" s="233">
        <f>BG243+BG334+BG405</f>
        <v>0</v>
      </c>
      <c r="BH136" s="233">
        <f>BH243+BH334+BH405</f>
        <v>0</v>
      </c>
      <c r="BI136" s="233">
        <f>SUM(BG136:BH136)</f>
        <v>0</v>
      </c>
      <c r="BJ136" s="233">
        <f>BJ243+BJ334+BJ405</f>
        <v>0</v>
      </c>
      <c r="BK136" s="233">
        <f>BK243+BK334+BK405</f>
        <v>0</v>
      </c>
      <c r="BL136" s="233">
        <f>SUM(BJ136:BK136)</f>
        <v>0</v>
      </c>
      <c r="BM136" s="233">
        <f>BM243+BM334+BM405</f>
        <v>25.87399045548521</v>
      </c>
      <c r="BN136" s="233">
        <f>BN243+BN334+BN405</f>
        <v>26.402671311418004</v>
      </c>
      <c r="BO136" s="233">
        <f>SUM(BM136:BN136)</f>
        <v>52.276661766903217</v>
      </c>
      <c r="BP136" s="233">
        <f>BP243+BP334+BP405</f>
        <v>31.551562727575771</v>
      </c>
      <c r="BQ136" s="233">
        <f>BQ243+BQ334+BQ405</f>
        <v>33.535315823491118</v>
      </c>
      <c r="BR136" s="233">
        <f>SUM(BP136:BQ136)</f>
        <v>65.086878551066889</v>
      </c>
      <c r="BS136" s="233">
        <f>BS243+BS334+BS405+BS479</f>
        <v>64.943997330093708</v>
      </c>
      <c r="BT136" s="233">
        <f>BT243+BT334+BT405+BT479</f>
        <v>76.101997080558533</v>
      </c>
      <c r="BU136" s="233">
        <f>SUM(BS136:BT136)</f>
        <v>141.04599441065224</v>
      </c>
      <c r="BV136" s="233">
        <f>BV243+BV334+BV405+BV479</f>
        <v>75.488</v>
      </c>
      <c r="BW136" s="233">
        <f>BW243+BW334+BW405+BW479</f>
        <v>80.998999999999995</v>
      </c>
      <c r="BX136" s="233">
        <f>SUM(BV136:BW136)</f>
        <v>156.48699999999999</v>
      </c>
      <c r="BY136" s="233">
        <f>BY243+BY334+BY405+BY479</f>
        <v>90.106999999999985</v>
      </c>
      <c r="BZ136" s="233">
        <f>BZ243+BZ334+BZ405+BZ479</f>
        <v>95.12299999999999</v>
      </c>
      <c r="CA136" s="233">
        <f>SUM(BY136:BZ136)</f>
        <v>185.22999999999996</v>
      </c>
      <c r="CB136" s="233">
        <f>CB243+CB334+CB405+CB479</f>
        <v>90.917677512837173</v>
      </c>
      <c r="CC136" s="233">
        <f>CC243+CC334+CC405+CC479</f>
        <v>92.788058219401137</v>
      </c>
      <c r="CD136" s="233">
        <f>SUM(CB136:CC136)</f>
        <v>183.70573573223831</v>
      </c>
      <c r="CE136" s="233">
        <f>CE243+CE334+CE405+CE479</f>
        <v>92.886847696630667</v>
      </c>
      <c r="CF136" s="233">
        <f>CF243+CF334+CF405+CF479</f>
        <v>102.22597098531756</v>
      </c>
      <c r="CG136" s="233">
        <f>SUM(CE136:CF136)</f>
        <v>195.11281868194823</v>
      </c>
      <c r="CH136" s="233">
        <f>CH243+CH334+CH405+CH479</f>
        <v>97.857710834385074</v>
      </c>
      <c r="CI136" s="233">
        <f>CI243+CI334+CI405+CI479</f>
        <v>97.646171989569396</v>
      </c>
      <c r="CJ136" s="233">
        <f>SUM(CH136:CI136)</f>
        <v>195.50388282395448</v>
      </c>
      <c r="CK136" s="233">
        <f>CK243+CK334+CK405+CK479</f>
        <v>97.661240088259703</v>
      </c>
      <c r="CL136" s="233">
        <f>CL243+CL334+CL405+CL479</f>
        <v>104.16596638019266</v>
      </c>
      <c r="CM136" s="233">
        <f>SUM(CK136:CL136)</f>
        <v>201.82720646845235</v>
      </c>
      <c r="CN136" s="233">
        <f>CN243+CN334+CN405+CN479</f>
        <v>112.9614273314093</v>
      </c>
      <c r="CO136" s="233">
        <f>CO243+CO334+CO405+CO479</f>
        <v>118.78932102684254</v>
      </c>
      <c r="CP136" s="233">
        <f>SUM(CN136:CO136)</f>
        <v>231.75074835825183</v>
      </c>
      <c r="CQ136" s="233">
        <f>CQ243+CQ334+CQ405+CQ479</f>
        <v>122.70767714831217</v>
      </c>
      <c r="CR136" s="233">
        <f>CR243+CR334+CR405+CR479</f>
        <v>143.80000000000001</v>
      </c>
      <c r="CS136" s="233">
        <f>SUM(CQ136:CR136)</f>
        <v>266.50767714831215</v>
      </c>
      <c r="CT136" s="233">
        <f>CT243+CT334+CT405+CT479</f>
        <v>158.86999999999995</v>
      </c>
      <c r="CU136" s="233">
        <f>CU243+CU334+CU405+CU479</f>
        <v>166.7518171113509</v>
      </c>
      <c r="CV136" s="233">
        <f>SUM(CT136:CU136)</f>
        <v>325.62181711135088</v>
      </c>
      <c r="CW136" s="233">
        <f>CW243+CW334+CW405+CW479</f>
        <v>165.166</v>
      </c>
      <c r="CX136" s="233">
        <f>CX243+CX334+CX405+CX479</f>
        <v>183.74419002753052</v>
      </c>
      <c r="CY136" s="233">
        <f>SUM(CW136:CX136)</f>
        <v>348.91019002753052</v>
      </c>
      <c r="CZ136" s="233">
        <f>CZ243+CZ334+CZ405+CZ479</f>
        <v>185.12726696442076</v>
      </c>
      <c r="DA136" s="233">
        <f>DA243+DA334+DA405+DA479</f>
        <v>205.17393187539807</v>
      </c>
      <c r="DB136" s="233">
        <f>SUM(CZ136:DA136)</f>
        <v>390.30119883981882</v>
      </c>
      <c r="DC136" s="233">
        <f>DC243+DC334+DC405+DC479</f>
        <v>216.1</v>
      </c>
      <c r="DD136" s="233">
        <f>DD243+DD334+DD405+DD479</f>
        <v>234.61495966490696</v>
      </c>
      <c r="DE136" s="233">
        <f>SUM(DC136:DD136)</f>
        <v>450.71495966490693</v>
      </c>
      <c r="DF136" s="233">
        <f>DF243+DF334+DF405+DF479</f>
        <v>243.5</v>
      </c>
      <c r="DG136" s="233">
        <f>DG243+DG334+DG405+DG479</f>
        <v>226.50000000000003</v>
      </c>
      <c r="DH136" s="1122">
        <f>SUM(DF136:DG136)</f>
        <v>470</v>
      </c>
      <c r="DI136" s="1120">
        <v>209.8</v>
      </c>
      <c r="DJ136" s="233">
        <f>+DK136-DI136</f>
        <v>234.3</v>
      </c>
      <c r="DK136" s="1122">
        <v>444.1</v>
      </c>
      <c r="DL136" s="1120">
        <v>231.6</v>
      </c>
      <c r="DM136" s="233">
        <f>+DN136-DL136</f>
        <v>267.10000000000002</v>
      </c>
      <c r="DN136" s="1122">
        <v>498.7</v>
      </c>
      <c r="DO136" s="1120">
        <v>275.39999999999998</v>
      </c>
      <c r="DP136" s="233">
        <f>+DQ136-DO136</f>
        <v>331.1</v>
      </c>
      <c r="DQ136" s="1122">
        <v>606.5</v>
      </c>
      <c r="DR136" s="1120">
        <v>330.5</v>
      </c>
      <c r="DS136" s="233">
        <f>+DT136-DR136</f>
        <v>354.5</v>
      </c>
      <c r="DT136" s="1122">
        <v>685</v>
      </c>
      <c r="DU136" s="1120">
        <v>367.2</v>
      </c>
      <c r="DV136" s="233">
        <f>+DW136-DU136</f>
        <v>364.8</v>
      </c>
      <c r="DW136" s="1122">
        <v>732</v>
      </c>
      <c r="DX136" s="1120">
        <v>363.7</v>
      </c>
      <c r="DY136" s="233">
        <f t="shared" ref="DY136" si="836">+DY$127*DY137</f>
        <v>414.58354058148501</v>
      </c>
      <c r="DZ136" s="1070">
        <f t="shared" ref="DZ136" si="837">SUM(DX136:DY136)</f>
        <v>778.283540581485</v>
      </c>
      <c r="EA136" s="233">
        <f t="shared" ref="EA136:EB136" si="838">+EA$127*EA137</f>
        <v>429.93330498106428</v>
      </c>
      <c r="EB136" s="233">
        <f t="shared" si="838"/>
        <v>443.22875796968509</v>
      </c>
      <c r="EC136" s="1070">
        <f t="shared" ref="EC136" si="839">SUM(EA136:EB136)</f>
        <v>873.16206295074937</v>
      </c>
      <c r="ED136" s="233">
        <f t="shared" ref="ED136:EE136" si="840">+ED$127*ED137</f>
        <v>461.68889351313857</v>
      </c>
      <c r="EE136" s="233">
        <f t="shared" si="840"/>
        <v>475.97023427716925</v>
      </c>
      <c r="EF136" s="1070">
        <f t="shared" ref="EF136" si="841">SUM(ED136:EE136)</f>
        <v>937.65912779030782</v>
      </c>
      <c r="EG136" s="233">
        <f t="shared" ref="EG136:EH136" si="842">+EG$127*EG137</f>
        <v>502.41860488695278</v>
      </c>
      <c r="EH136" s="233">
        <f t="shared" si="842"/>
        <v>517.95983059845082</v>
      </c>
      <c r="EI136" s="1070">
        <f t="shared" ref="EI136" si="843">SUM(EG136:EH136)</f>
        <v>1020.3784354854035</v>
      </c>
      <c r="EJ136" s="233">
        <f t="shared" ref="EJ136:EK136" si="844">+EJ$127*EJ137</f>
        <v>546.73998427059723</v>
      </c>
      <c r="EK136" s="233">
        <f t="shared" si="844"/>
        <v>563.65219535991821</v>
      </c>
      <c r="EL136" s="1070">
        <f t="shared" ref="EL136" si="845">SUM(EJ136:EK136)</f>
        <v>1110.3921796305153</v>
      </c>
      <c r="EM136" s="233">
        <f t="shared" ref="EM136:EN136" si="846">+EM$127*EM137</f>
        <v>595.94658285495109</v>
      </c>
      <c r="EN136" s="233">
        <f t="shared" si="846"/>
        <v>614.38089294231088</v>
      </c>
      <c r="EO136" s="1070">
        <f t="shared" ref="EO136" si="847">SUM(EM136:EN136)</f>
        <v>1210.327475797262</v>
      </c>
      <c r="EP136" s="233">
        <f t="shared" ref="EP136:EZ136" si="848">+EP$127*EP137</f>
        <v>649.58177531189665</v>
      </c>
      <c r="EQ136" s="233">
        <f t="shared" si="848"/>
        <v>669.67517330711894</v>
      </c>
      <c r="ER136" s="1070">
        <f t="shared" ref="ER136" si="849">SUM(EP136:EQ136)</f>
        <v>1319.2569486190155</v>
      </c>
      <c r="ES136" s="233">
        <f t="shared" si="848"/>
        <v>708.04413508996765</v>
      </c>
      <c r="ET136" s="233">
        <f t="shared" si="848"/>
        <v>729.94593890475971</v>
      </c>
      <c r="EU136" s="1070">
        <f t="shared" ref="EU136" si="850">SUM(ES136:ET136)</f>
        <v>1437.9900739947275</v>
      </c>
      <c r="EV136" s="233">
        <f t="shared" si="848"/>
        <v>771.76810724806467</v>
      </c>
      <c r="EW136" s="233">
        <f t="shared" si="848"/>
        <v>795.64107340618807</v>
      </c>
      <c r="EX136" s="1070">
        <f t="shared" ref="EX136" si="851">SUM(EV136:EW136)</f>
        <v>1567.4091806542529</v>
      </c>
      <c r="EY136" s="233">
        <f t="shared" si="848"/>
        <v>841.22723690039049</v>
      </c>
      <c r="EZ136" s="233">
        <f t="shared" si="848"/>
        <v>867.2487700127449</v>
      </c>
      <c r="FA136" s="1070">
        <f t="shared" ref="FA136" si="852">SUM(EY136:EZ136)</f>
        <v>1708.4760069131353</v>
      </c>
    </row>
    <row r="137" spans="1:173">
      <c r="C137" s="35" t="s">
        <v>488</v>
      </c>
      <c r="D137" s="162" t="s">
        <v>460</v>
      </c>
      <c r="BA137" s="65"/>
      <c r="BB137" s="65"/>
      <c r="BC137" s="65"/>
      <c r="BD137" s="65"/>
      <c r="BE137" s="65"/>
      <c r="BF137" s="65"/>
      <c r="BG137" s="65"/>
      <c r="BH137" s="65"/>
      <c r="BI137" s="65"/>
      <c r="BJ137" s="65"/>
      <c r="BK137" s="65"/>
      <c r="BL137" s="65"/>
      <c r="BM137" s="65"/>
      <c r="BN137" s="65"/>
      <c r="BO137" s="65"/>
      <c r="BP137" s="65"/>
      <c r="BQ137" s="65"/>
      <c r="BR137" s="65"/>
      <c r="BS137" s="65">
        <f t="shared" ref="BS137:CS137" si="853">BS136/(BS127)</f>
        <v>0.25133220626492592</v>
      </c>
      <c r="BT137" s="65">
        <f t="shared" si="853"/>
        <v>0.29250609922031323</v>
      </c>
      <c r="BU137" s="65">
        <f t="shared" si="853"/>
        <v>0.27198955225808019</v>
      </c>
      <c r="BV137" s="65">
        <f t="shared" si="853"/>
        <v>0.27802872334133027</v>
      </c>
      <c r="BW137" s="65">
        <f t="shared" si="853"/>
        <v>0.28458532609246689</v>
      </c>
      <c r="BX137" s="65">
        <f t="shared" si="853"/>
        <v>0.28138430358302835</v>
      </c>
      <c r="BY137" s="65">
        <f t="shared" si="853"/>
        <v>0.27202088161325017</v>
      </c>
      <c r="BZ137" s="65">
        <f t="shared" si="853"/>
        <v>0.27095880790794713</v>
      </c>
      <c r="CA137" s="65">
        <f t="shared" si="853"/>
        <v>0.27147442646733516</v>
      </c>
      <c r="CB137" s="65">
        <f t="shared" si="853"/>
        <v>0.28316413454671441</v>
      </c>
      <c r="CC137" s="65">
        <f t="shared" si="853"/>
        <v>0.268973119230274</v>
      </c>
      <c r="CD137" s="65">
        <f t="shared" si="853"/>
        <v>0.27581408280272718</v>
      </c>
      <c r="CE137" s="65">
        <f t="shared" si="853"/>
        <v>0.27256453314064322</v>
      </c>
      <c r="CF137" s="65">
        <f t="shared" si="853"/>
        <v>0.28123087577860784</v>
      </c>
      <c r="CG137" s="65">
        <f t="shared" si="853"/>
        <v>0.27703740763491735</v>
      </c>
      <c r="CH137" s="65">
        <f t="shared" si="853"/>
        <v>0.28859778848886347</v>
      </c>
      <c r="CI137" s="65">
        <f t="shared" si="853"/>
        <v>0.28704181457310696</v>
      </c>
      <c r="CJ137" s="65">
        <f t="shared" si="853"/>
        <v>0.28781854039781418</v>
      </c>
      <c r="CK137" s="65">
        <f t="shared" si="853"/>
        <v>0.27511826120720834</v>
      </c>
      <c r="CL137" s="65">
        <f t="shared" si="853"/>
        <v>0.31356380585776561</v>
      </c>
      <c r="CM137" s="65">
        <f t="shared" si="853"/>
        <v>0.29370382918488808</v>
      </c>
      <c r="CN137" s="65">
        <f t="shared" si="853"/>
        <v>0.31250319615485284</v>
      </c>
      <c r="CO137" s="65">
        <f t="shared" si="853"/>
        <v>0.27796909660656688</v>
      </c>
      <c r="CP137" s="65">
        <f t="shared" si="853"/>
        <v>0.29379417538321273</v>
      </c>
      <c r="CQ137" s="65">
        <f t="shared" si="853"/>
        <v>0.27856137194427344</v>
      </c>
      <c r="CR137" s="65">
        <f t="shared" si="853"/>
        <v>0.28679754048173212</v>
      </c>
      <c r="CS137" s="65">
        <f t="shared" si="853"/>
        <v>0.28294568995174896</v>
      </c>
      <c r="CT137" s="65">
        <f t="shared" ref="CT137:DU137" si="854">+CT136/CT$127</f>
        <v>0.27310389878291957</v>
      </c>
      <c r="CU137" s="65">
        <f t="shared" si="854"/>
        <v>0.2901348713748727</v>
      </c>
      <c r="CV137" s="65">
        <f t="shared" si="854"/>
        <v>0.28156798086349427</v>
      </c>
      <c r="CW137" s="65">
        <f t="shared" si="854"/>
        <v>0.27329954096209713</v>
      </c>
      <c r="CX137" s="65">
        <f t="shared" si="854"/>
        <v>0.28917670817976215</v>
      </c>
      <c r="CY137" s="65">
        <f t="shared" si="854"/>
        <v>0.28143703953013982</v>
      </c>
      <c r="CZ137" s="65">
        <f t="shared" si="854"/>
        <v>0.29430379903358117</v>
      </c>
      <c r="DA137" s="65">
        <f t="shared" si="854"/>
        <v>0.29223955180399791</v>
      </c>
      <c r="DB137" s="65">
        <f t="shared" si="854"/>
        <v>0.29321504128693143</v>
      </c>
      <c r="DC137" s="65">
        <f t="shared" si="854"/>
        <v>0.30465086711956935</v>
      </c>
      <c r="DD137" s="65">
        <f t="shared" si="854"/>
        <v>0.31981495811472721</v>
      </c>
      <c r="DE137" s="65">
        <f t="shared" si="854"/>
        <v>0.31236038620807383</v>
      </c>
      <c r="DF137" s="65">
        <f t="shared" si="854"/>
        <v>0.3142894704089616</v>
      </c>
      <c r="DG137" s="65">
        <f t="shared" si="854"/>
        <v>0.38913219169246205</v>
      </c>
      <c r="DH137" s="1066">
        <f t="shared" si="854"/>
        <v>0.34639618428579516</v>
      </c>
      <c r="DI137" s="65">
        <f t="shared" si="854"/>
        <v>0.28244480344641898</v>
      </c>
      <c r="DJ137" s="65">
        <f t="shared" si="854"/>
        <v>0.31219187208527649</v>
      </c>
      <c r="DK137" s="1066">
        <f t="shared" si="854"/>
        <v>0.29739503113908794</v>
      </c>
      <c r="DL137" s="65">
        <f t="shared" si="854"/>
        <v>0.28406721452226175</v>
      </c>
      <c r="DM137" s="65">
        <f t="shared" si="854"/>
        <v>0.32344393315572778</v>
      </c>
      <c r="DN137" s="1066">
        <f t="shared" si="854"/>
        <v>0.30388154286758884</v>
      </c>
      <c r="DO137" s="65">
        <f t="shared" si="854"/>
        <v>0.30853685861528118</v>
      </c>
      <c r="DP137" s="65">
        <f t="shared" si="854"/>
        <v>0.31144765309001982</v>
      </c>
      <c r="DQ137" s="1066">
        <f t="shared" si="854"/>
        <v>0.31011913892723836</v>
      </c>
      <c r="DR137" s="65">
        <f t="shared" si="854"/>
        <v>0.29683851266391231</v>
      </c>
      <c r="DS137" s="65">
        <f t="shared" si="854"/>
        <v>0.3096610761705102</v>
      </c>
      <c r="DT137" s="1066">
        <f t="shared" si="854"/>
        <v>0.30333894252059163</v>
      </c>
      <c r="DU137" s="65">
        <f t="shared" si="854"/>
        <v>0.31387298059663216</v>
      </c>
      <c r="DV137" s="65">
        <f t="shared" ref="DV137:DX137" si="855">+DV136/DV$127</f>
        <v>0.30761447002276748</v>
      </c>
      <c r="DW137" s="1066">
        <f t="shared" si="855"/>
        <v>0.31072247219628152</v>
      </c>
      <c r="DX137" s="65">
        <f t="shared" si="855"/>
        <v>0.30926870748299318</v>
      </c>
      <c r="DY137" s="1145">
        <v>0.31</v>
      </c>
      <c r="DZ137" s="1146">
        <f>+DZ136/DZ$127</f>
        <v>0.30965782941638581</v>
      </c>
      <c r="EA137" s="997">
        <v>0.31</v>
      </c>
      <c r="EB137" s="1163">
        <f t="shared" ref="EB137" si="856">+EA137</f>
        <v>0.31</v>
      </c>
      <c r="EC137" s="1146">
        <f t="shared" ref="EC137" si="857">+EC136/EC$127</f>
        <v>0.31</v>
      </c>
      <c r="ED137" s="1145">
        <f>30.6%+ED138</f>
        <v>0.30599999999999999</v>
      </c>
      <c r="EE137" s="1163">
        <f t="shared" ref="EE137" si="858">+ED137</f>
        <v>0.30599999999999999</v>
      </c>
      <c r="EF137" s="1146">
        <f t="shared" ref="EF137" si="859">+EF136/EF$127</f>
        <v>0.30599999999999999</v>
      </c>
      <c r="EG137" s="1145">
        <f>+EE137-0.05%</f>
        <v>0.30549999999999999</v>
      </c>
      <c r="EH137" s="1163">
        <f t="shared" ref="EH137" si="860">+EG137</f>
        <v>0.30549999999999999</v>
      </c>
      <c r="EI137" s="1146">
        <f t="shared" ref="EI137:FA137" si="861">+EI136/EI$127</f>
        <v>0.30549999999999994</v>
      </c>
      <c r="EJ137" s="1145">
        <f>+EH137-0.05%</f>
        <v>0.30499999999999999</v>
      </c>
      <c r="EK137" s="1163">
        <f t="shared" ref="EK137" si="862">+EJ137</f>
        <v>0.30499999999999999</v>
      </c>
      <c r="EL137" s="1146">
        <f t="shared" si="861"/>
        <v>0.30499999999999994</v>
      </c>
      <c r="EM137" s="1145">
        <f>+EK137</f>
        <v>0.30499999999999999</v>
      </c>
      <c r="EN137" s="1163">
        <f>+EM137</f>
        <v>0.30499999999999999</v>
      </c>
      <c r="EO137" s="1146">
        <f t="shared" si="861"/>
        <v>0.30499999999999999</v>
      </c>
      <c r="EP137" s="1145">
        <f t="shared" ref="EP137" si="863">+EN137</f>
        <v>0.30499999999999999</v>
      </c>
      <c r="EQ137" s="1163">
        <f t="shared" ref="EQ137" si="864">+EP137</f>
        <v>0.30499999999999999</v>
      </c>
      <c r="ER137" s="1146">
        <f t="shared" si="861"/>
        <v>0.30499999999999994</v>
      </c>
      <c r="ES137" s="1145">
        <f t="shared" ref="ES137" si="865">+EQ137</f>
        <v>0.30499999999999999</v>
      </c>
      <c r="ET137" s="1163">
        <f t="shared" ref="ET137" si="866">+ES137</f>
        <v>0.30499999999999999</v>
      </c>
      <c r="EU137" s="1146">
        <f t="shared" si="861"/>
        <v>0.30499999999999999</v>
      </c>
      <c r="EV137" s="1145">
        <f t="shared" ref="EV137" si="867">+ET137</f>
        <v>0.30499999999999999</v>
      </c>
      <c r="EW137" s="1163">
        <f t="shared" ref="EW137" si="868">+EV137</f>
        <v>0.30499999999999999</v>
      </c>
      <c r="EX137" s="1146">
        <f t="shared" si="861"/>
        <v>0.30499999999999999</v>
      </c>
      <c r="EY137" s="1145">
        <f t="shared" ref="EY137" si="869">+EW137</f>
        <v>0.30499999999999999</v>
      </c>
      <c r="EZ137" s="1163">
        <f t="shared" ref="EZ137" si="870">+EY137</f>
        <v>0.30499999999999999</v>
      </c>
      <c r="FA137" s="1146">
        <f t="shared" si="861"/>
        <v>0.30499999999999999</v>
      </c>
      <c r="FB137" s="70"/>
      <c r="FC137" s="70"/>
      <c r="FD137" s="70"/>
      <c r="FE137" s="70"/>
      <c r="FF137" s="70"/>
    </row>
    <row r="138" spans="1:173">
      <c r="BA138" s="35"/>
      <c r="BB138" s="35"/>
      <c r="BC138" s="322"/>
      <c r="BD138" s="35"/>
      <c r="BE138" s="35"/>
      <c r="BG138" s="35"/>
      <c r="BH138" s="35"/>
      <c r="BJ138" s="35"/>
      <c r="BK138" s="35"/>
      <c r="BL138" s="31"/>
      <c r="BM138" s="35"/>
      <c r="BN138" s="35"/>
      <c r="BO138" s="31"/>
      <c r="BP138" s="35"/>
      <c r="BQ138" s="35"/>
      <c r="BR138" s="1024"/>
      <c r="BS138" s="74">
        <v>64.944000000000003</v>
      </c>
      <c r="BT138" s="74">
        <f>BU138-BS138</f>
        <v>76.10199999999999</v>
      </c>
      <c r="BU138" s="74">
        <v>141.04599999999999</v>
      </c>
      <c r="BV138" s="74">
        <v>75.488</v>
      </c>
      <c r="BW138" s="74">
        <f>BX138-BV138</f>
        <v>80.998999999999995</v>
      </c>
      <c r="BX138" s="74">
        <v>156.48699999999999</v>
      </c>
      <c r="BY138" s="74">
        <v>90.106999999999999</v>
      </c>
      <c r="BZ138" s="74">
        <f>CA138-BY138</f>
        <v>95.12299999999999</v>
      </c>
      <c r="CA138" s="187">
        <v>185.23</v>
      </c>
      <c r="CB138" s="187">
        <v>90.917000000000002</v>
      </c>
      <c r="CC138" s="187">
        <f>CD138-CB138</f>
        <v>92.788000000000011</v>
      </c>
      <c r="CD138" s="187">
        <v>183.70500000000001</v>
      </c>
      <c r="CE138" s="187">
        <v>92.887</v>
      </c>
      <c r="CF138" s="74">
        <f>CG138-CE138</f>
        <v>103.35</v>
      </c>
      <c r="CG138" s="74">
        <v>196.23699999999999</v>
      </c>
      <c r="CH138" s="74">
        <v>98.572999999999993</v>
      </c>
      <c r="CI138" s="74">
        <f>CJ138-CH138</f>
        <v>98.518000000000015</v>
      </c>
      <c r="CJ138" s="74">
        <v>197.09100000000001</v>
      </c>
      <c r="CK138" s="74">
        <v>97.536000000000001</v>
      </c>
      <c r="CL138" s="70">
        <f>CM138-CK138</f>
        <v>105.245</v>
      </c>
      <c r="CM138" s="70">
        <v>202.78100000000001</v>
      </c>
      <c r="CN138" s="70">
        <v>114.276</v>
      </c>
      <c r="CO138" s="70">
        <f>CP138-CN138</f>
        <v>120.43500000000002</v>
      </c>
      <c r="CP138" s="35">
        <f>234.711</f>
        <v>234.71100000000001</v>
      </c>
      <c r="CQ138" s="70">
        <v>122.68600000000001</v>
      </c>
      <c r="CR138" s="70">
        <f>+CS138-CQ138</f>
        <v>143.797</v>
      </c>
      <c r="CS138" s="70">
        <v>266.483</v>
      </c>
      <c r="CT138" s="35">
        <v>158.87</v>
      </c>
      <c r="CU138" s="70"/>
      <c r="CV138" s="35">
        <v>326.08999999999997</v>
      </c>
      <c r="CW138" s="35">
        <v>165.166</v>
      </c>
      <c r="CX138" s="70"/>
      <c r="CZ138" s="35">
        <v>189.1</v>
      </c>
      <c r="DA138" s="35"/>
      <c r="DC138" s="171"/>
      <c r="DD138" s="171"/>
      <c r="DE138" s="171"/>
      <c r="DF138" s="171"/>
      <c r="DG138" s="171"/>
      <c r="DH138" s="1068"/>
      <c r="DI138" s="171"/>
      <c r="DJ138" s="171"/>
      <c r="DK138" s="1068"/>
      <c r="DL138" s="171"/>
      <c r="DM138" s="171"/>
      <c r="DN138" s="1068"/>
      <c r="DO138" s="171"/>
      <c r="DP138" s="171"/>
      <c r="DQ138" s="1068"/>
      <c r="DR138" s="171"/>
      <c r="DS138" s="171"/>
      <c r="DT138" s="1068"/>
      <c r="DU138" s="35"/>
      <c r="DV138" s="171"/>
      <c r="DW138" s="1068"/>
      <c r="DX138" s="35"/>
      <c r="DY138" s="35"/>
      <c r="DZ138" s="1068"/>
      <c r="EA138" s="35"/>
      <c r="EB138" s="35"/>
      <c r="EC138" s="1068"/>
      <c r="ED138" s="1644">
        <v>0</v>
      </c>
      <c r="EE138" s="35"/>
      <c r="EF138" s="1068"/>
      <c r="EG138" s="35"/>
      <c r="EH138" s="35"/>
      <c r="EI138" s="1068"/>
      <c r="EJ138" s="35"/>
      <c r="EK138" s="35"/>
      <c r="EL138" s="1068"/>
      <c r="EM138" s="35"/>
      <c r="EN138" s="35"/>
      <c r="EO138" s="1068"/>
      <c r="EP138" s="35"/>
      <c r="EQ138" s="35"/>
      <c r="ER138" s="1068"/>
      <c r="ES138" s="35"/>
      <c r="ET138" s="35"/>
      <c r="EU138" s="1068"/>
      <c r="EV138" s="35"/>
      <c r="EW138" s="35"/>
      <c r="EX138" s="1068"/>
      <c r="EY138" s="35"/>
      <c r="EZ138" s="35"/>
      <c r="FA138" s="1068"/>
    </row>
    <row r="139" spans="1:173" s="233" customFormat="1">
      <c r="A139" s="1147" t="s">
        <v>1032</v>
      </c>
      <c r="B139" s="233" t="s">
        <v>672</v>
      </c>
      <c r="D139" s="245" t="s">
        <v>604</v>
      </c>
      <c r="BA139" s="233">
        <f t="shared" ref="BA139:BT139" si="871">BA248+BA339+BA409+BA483</f>
        <v>0</v>
      </c>
      <c r="BB139" s="233">
        <f t="shared" si="871"/>
        <v>0</v>
      </c>
      <c r="BC139" s="233">
        <f t="shared" si="871"/>
        <v>0</v>
      </c>
      <c r="BD139" s="233">
        <f t="shared" si="871"/>
        <v>0</v>
      </c>
      <c r="BE139" s="233">
        <f t="shared" si="871"/>
        <v>0</v>
      </c>
      <c r="BF139" s="233">
        <f t="shared" si="871"/>
        <v>0</v>
      </c>
      <c r="BG139" s="233">
        <f t="shared" si="871"/>
        <v>0</v>
      </c>
      <c r="BH139" s="233">
        <f t="shared" si="871"/>
        <v>0</v>
      </c>
      <c r="BI139" s="233">
        <f t="shared" si="871"/>
        <v>0</v>
      </c>
      <c r="BJ139" s="233">
        <f t="shared" si="871"/>
        <v>0</v>
      </c>
      <c r="BK139" s="233">
        <f t="shared" si="871"/>
        <v>0</v>
      </c>
      <c r="BL139" s="233">
        <f t="shared" si="871"/>
        <v>0</v>
      </c>
      <c r="BM139" s="233">
        <f t="shared" si="871"/>
        <v>8.6246634851617383</v>
      </c>
      <c r="BN139" s="233">
        <f t="shared" si="871"/>
        <v>8.8008904371393335</v>
      </c>
      <c r="BO139" s="233">
        <f t="shared" si="871"/>
        <v>17.425553922301074</v>
      </c>
      <c r="BP139" s="233">
        <f t="shared" si="871"/>
        <v>10.517187575858591</v>
      </c>
      <c r="BQ139" s="233">
        <f t="shared" si="871"/>
        <v>11.178438607830374</v>
      </c>
      <c r="BR139" s="233">
        <f t="shared" si="871"/>
        <v>21.695626183688965</v>
      </c>
      <c r="BS139" s="233">
        <f t="shared" si="871"/>
        <v>19.186</v>
      </c>
      <c r="BT139" s="233">
        <f t="shared" si="871"/>
        <v>19.448999818760065</v>
      </c>
      <c r="BU139" s="233">
        <f>SUM(BS139:BT139)</f>
        <v>38.634999818760065</v>
      </c>
      <c r="BV139" s="233">
        <f>BV248+BV339+BV409+BV483</f>
        <v>19.841000000000001</v>
      </c>
      <c r="BW139" s="233">
        <f>BW248+BW339+BW409+BW483</f>
        <v>16.250999999999998</v>
      </c>
      <c r="BX139" s="233">
        <f>SUM(BV139:BW139)</f>
        <v>36.091999999999999</v>
      </c>
      <c r="BY139" s="233">
        <f>BY248+BY339+BY409+BY483</f>
        <v>24.940999999999999</v>
      </c>
      <c r="BZ139" s="233">
        <f>BZ248+BZ339+BZ409+BZ483</f>
        <v>20.038</v>
      </c>
      <c r="CA139" s="233">
        <f>SUM(BY139:BZ139)</f>
        <v>44.978999999999999</v>
      </c>
      <c r="CB139" s="233">
        <f>CB248+CB339+CB409+CB483</f>
        <v>20.456005255210133</v>
      </c>
      <c r="CC139" s="233">
        <f>CC248+CC339+CC409+CC483</f>
        <v>23.266000000000002</v>
      </c>
      <c r="CD139" s="233">
        <f>SUM(CB139:CC139)</f>
        <v>43.722005255210135</v>
      </c>
      <c r="CE139" s="233">
        <f>CE248+CE339+CE409+CE483</f>
        <v>19.895</v>
      </c>
      <c r="CF139" s="233">
        <f>CF248+CF339+CF409+CF483</f>
        <v>22.949145487917875</v>
      </c>
      <c r="CG139" s="233">
        <f>SUM(CE139:CF139)</f>
        <v>42.844145487917871</v>
      </c>
      <c r="CH139" s="233">
        <f>CH248+CH339+CH409+CH483</f>
        <v>21.480686135839051</v>
      </c>
      <c r="CI139" s="233">
        <f>CI248+CI339+CI409+CI483</f>
        <v>22.314652272963613</v>
      </c>
      <c r="CJ139" s="233">
        <f>SUM(CH139:CI139)</f>
        <v>43.795338408802664</v>
      </c>
      <c r="CK139" s="233">
        <f>CK248+CK339+CK409+CK483</f>
        <v>20.554005939877328</v>
      </c>
      <c r="CL139" s="233">
        <f>CL248+CL339+CL409+CL483</f>
        <v>16.127656449352767</v>
      </c>
      <c r="CM139" s="233">
        <f>SUM(CK139:CL139)</f>
        <v>36.681662389230098</v>
      </c>
      <c r="CN139" s="233">
        <f>CN248+CN339+CN409+CN483</f>
        <v>18.555633558413533</v>
      </c>
      <c r="CO139" s="233">
        <f>CO248+CO339+CO409+CO483</f>
        <v>23.886027146704517</v>
      </c>
      <c r="CP139" s="233">
        <f>SUM(CN139:CO139)</f>
        <v>42.441660705118053</v>
      </c>
      <c r="CQ139" s="233">
        <f>CQ248+CQ339+CQ409+CQ483</f>
        <v>28.558609739015164</v>
      </c>
      <c r="CR139" s="233">
        <f>CR248+CR339+CR409+CR483</f>
        <v>25.3</v>
      </c>
      <c r="CS139" s="233">
        <f>SUM(CQ139:CR139)</f>
        <v>53.858609739015165</v>
      </c>
      <c r="CT139" s="233">
        <f>CT248+CT339+CT409+CT483</f>
        <v>34.716999999999977</v>
      </c>
      <c r="CU139" s="233">
        <f>CU248+CU339+CU409+CU483</f>
        <v>44.447833114243792</v>
      </c>
      <c r="CV139" s="233">
        <f>SUM(CT139:CU139)</f>
        <v>79.164833114243777</v>
      </c>
      <c r="CW139" s="233">
        <f>CW248+CW339+CW409+CW483</f>
        <v>44.252000000000002</v>
      </c>
      <c r="CX139" s="233">
        <f>CX248+CX339+CX409+CX483</f>
        <v>39.267999885531886</v>
      </c>
      <c r="CY139" s="233">
        <f>SUM(CW139:CX139)</f>
        <v>83.519999885531888</v>
      </c>
      <c r="CZ139" s="233">
        <f>CZ248+CZ339+CZ409+CZ483</f>
        <v>43.469869431055812</v>
      </c>
      <c r="DA139" s="233">
        <f>DA248+DA339+DA409+DA483</f>
        <v>52.473114966747261</v>
      </c>
      <c r="DB139" s="233">
        <f>SUM(CZ139:DA139)</f>
        <v>95.942984397803073</v>
      </c>
      <c r="DC139" s="233">
        <f>DC248+DC339+DC409+DC483</f>
        <v>47.5</v>
      </c>
      <c r="DD139" s="233">
        <f>DD248+DD339+DD409+DD483</f>
        <v>47.261541831671003</v>
      </c>
      <c r="DE139" s="233">
        <f>SUM(DC139:DD139)</f>
        <v>94.761541831670996</v>
      </c>
      <c r="DF139" s="233">
        <f>DF248+DF339+DF409+DF483</f>
        <v>47.9</v>
      </c>
      <c r="DG139" s="233">
        <f>DG248+DG339+DG409+DG483</f>
        <v>45.9</v>
      </c>
      <c r="DH139" s="1122">
        <f>SUM(DF139:DG139)</f>
        <v>93.8</v>
      </c>
      <c r="DI139" s="273">
        <f>+DI142</f>
        <v>54.2</v>
      </c>
      <c r="DJ139" s="273">
        <f>+DK139-DI139</f>
        <v>58</v>
      </c>
      <c r="DK139" s="1139">
        <f>+DK142</f>
        <v>112.2</v>
      </c>
      <c r="DL139" s="273">
        <f>+DL142</f>
        <v>65.099999999999994</v>
      </c>
      <c r="DM139" s="273">
        <f>+DN139-DL139</f>
        <v>72.300000000000011</v>
      </c>
      <c r="DN139" s="1139">
        <f>+DN142</f>
        <v>137.4</v>
      </c>
      <c r="DO139" s="273">
        <f>+DO142</f>
        <v>76.2</v>
      </c>
      <c r="DP139" s="273">
        <f>+DQ139-DO139</f>
        <v>89.2</v>
      </c>
      <c r="DQ139" s="1139">
        <f>+DQ142</f>
        <v>165.4</v>
      </c>
      <c r="DR139" s="273">
        <f>+DR142</f>
        <v>84.6</v>
      </c>
      <c r="DS139" s="273">
        <f>+DT139-DR139</f>
        <v>97.700000000000017</v>
      </c>
      <c r="DT139" s="1139">
        <f>+DT142</f>
        <v>182.3</v>
      </c>
      <c r="DU139" s="273">
        <f>+DU142</f>
        <v>91.1</v>
      </c>
      <c r="DV139" s="273">
        <f>+DW139-DU139</f>
        <v>84.1</v>
      </c>
      <c r="DW139" s="1139">
        <f>+DW142</f>
        <v>175.2</v>
      </c>
      <c r="DX139" s="273">
        <f>+DX142</f>
        <v>85.7</v>
      </c>
      <c r="DY139" s="233">
        <f t="shared" ref="DY139" si="872">+DZ139-DX139</f>
        <v>97.45942897694006</v>
      </c>
      <c r="DZ139" s="1070">
        <f t="shared" ref="DZ139:EA139" si="873">+DZ142</f>
        <v>183.15942897694006</v>
      </c>
      <c r="EA139" s="233">
        <f t="shared" si="873"/>
        <v>99.855477285924607</v>
      </c>
      <c r="EB139" s="233">
        <f t="shared" ref="EB139" si="874">+EC139-EA139</f>
        <v>102.94345346392687</v>
      </c>
      <c r="EC139" s="1070">
        <f t="shared" ref="EC139:ED139" si="875">+EC142</f>
        <v>202.79893074985148</v>
      </c>
      <c r="ED139" s="233">
        <f t="shared" si="875"/>
        <v>107.8782872097693</v>
      </c>
      <c r="EE139" s="233">
        <f t="shared" ref="EE139" si="876">+EF139-ED139</f>
        <v>111.21526715953465</v>
      </c>
      <c r="EF139" s="1070">
        <f t="shared" ref="EF139:EG139" si="877">+EF142</f>
        <v>219.09355436930394</v>
      </c>
      <c r="EG139" s="233">
        <f t="shared" si="877"/>
        <v>116.76504401628034</v>
      </c>
      <c r="EH139" s="233">
        <f t="shared" ref="EH139" si="878">+EI139-EG139</f>
        <v>120.37691644022914</v>
      </c>
      <c r="EI139" s="1070">
        <f t="shared" ref="EI139:EJ139" si="879">+EI142</f>
        <v>237.14196045650948</v>
      </c>
      <c r="EJ139" s="233">
        <f t="shared" si="879"/>
        <v>126.37760292156428</v>
      </c>
      <c r="EK139" s="233">
        <f t="shared" ref="EK139" si="880">+EL139-EJ139</f>
        <v>130.28681892745647</v>
      </c>
      <c r="EL139" s="1070">
        <f t="shared" ref="EL139:EM139" si="881">+EL142</f>
        <v>256.66442184902075</v>
      </c>
      <c r="EM139" s="233">
        <f t="shared" si="881"/>
        <v>137.75158718450507</v>
      </c>
      <c r="EN139" s="233">
        <f t="shared" ref="EN139" si="882">+EO139-EM139</f>
        <v>142.01263263092756</v>
      </c>
      <c r="EO139" s="1070">
        <f t="shared" ref="EO139:EP139" si="883">+EO142</f>
        <v>279.76421981543263</v>
      </c>
      <c r="EP139" s="233">
        <f t="shared" si="883"/>
        <v>150.14923003111053</v>
      </c>
      <c r="EQ139" s="233">
        <f t="shared" ref="EQ139" si="884">+ER139-EP139</f>
        <v>154.79376956771111</v>
      </c>
      <c r="ER139" s="1070">
        <f t="shared" ref="ER139:ES139" si="885">+ER142</f>
        <v>304.94299959882164</v>
      </c>
      <c r="ES139" s="233">
        <f t="shared" si="885"/>
        <v>163.66266073391054</v>
      </c>
      <c r="ET139" s="233">
        <f t="shared" ref="ET139" si="886">+EU139-ES139</f>
        <v>168.72520882880511</v>
      </c>
      <c r="EU139" s="1070">
        <f t="shared" ref="EU139:EV139" si="887">+EU142</f>
        <v>332.38786956271565</v>
      </c>
      <c r="EV139" s="233">
        <f t="shared" si="887"/>
        <v>178.39230019996248</v>
      </c>
      <c r="EW139" s="233">
        <f t="shared" ref="EW139" si="888">+EX139-EV139</f>
        <v>183.91047762339755</v>
      </c>
      <c r="EX139" s="1070">
        <f t="shared" ref="EX139:EY139" si="889">+EX142</f>
        <v>362.30277782336003</v>
      </c>
      <c r="EY139" s="233">
        <f t="shared" si="889"/>
        <v>194.4476072179591</v>
      </c>
      <c r="EZ139" s="233">
        <f t="shared" ref="EZ139" si="890">+FA139-EY139</f>
        <v>200.46242060950328</v>
      </c>
      <c r="FA139" s="1070">
        <f t="shared" ref="FA139" si="891">+FA142</f>
        <v>394.91002782746239</v>
      </c>
    </row>
    <row r="140" spans="1:173">
      <c r="C140" s="35" t="s">
        <v>488</v>
      </c>
      <c r="D140" s="162" t="s">
        <v>460</v>
      </c>
      <c r="BA140" s="65"/>
      <c r="BB140" s="65"/>
      <c r="BC140" s="65"/>
      <c r="BD140" s="65"/>
      <c r="BE140" s="65"/>
      <c r="BF140" s="65"/>
      <c r="BG140" s="65"/>
      <c r="BH140" s="65"/>
      <c r="BI140" s="65"/>
      <c r="BJ140" s="65"/>
      <c r="BK140" s="65"/>
      <c r="BL140" s="65"/>
      <c r="BM140" s="65"/>
      <c r="BN140" s="65"/>
      <c r="BO140" s="65"/>
      <c r="BP140" s="65"/>
      <c r="BQ140" s="65"/>
      <c r="BR140" s="65"/>
      <c r="BS140" s="65">
        <f t="shared" ref="BS140:CS140" si="892">BS139/(BS118+BS124)</f>
        <v>7.424950584562226E-2</v>
      </c>
      <c r="BT140" s="65">
        <f t="shared" si="892"/>
        <v>7.4754294091651616E-2</v>
      </c>
      <c r="BU140" s="65">
        <f t="shared" si="892"/>
        <v>7.4502763060401656E-2</v>
      </c>
      <c r="BV140" s="65">
        <f t="shared" si="892"/>
        <v>7.3076090237061977E-2</v>
      </c>
      <c r="BW140" s="65">
        <f t="shared" si="892"/>
        <v>5.7096953472619158E-2</v>
      </c>
      <c r="BX140" s="65">
        <f t="shared" si="892"/>
        <v>6.4898185056385893E-2</v>
      </c>
      <c r="BY140" s="65">
        <f t="shared" si="892"/>
        <v>7.5293515579434159E-2</v>
      </c>
      <c r="BZ140" s="65">
        <f t="shared" si="892"/>
        <v>5.7078441521603039E-2</v>
      </c>
      <c r="CA140" s="65">
        <f t="shared" si="892"/>
        <v>6.5921547417126122E-2</v>
      </c>
      <c r="CB140" s="65">
        <f t="shared" si="892"/>
        <v>6.3710459646934517E-2</v>
      </c>
      <c r="CC140" s="65">
        <f t="shared" si="892"/>
        <v>6.7443254143916123E-2</v>
      </c>
      <c r="CD140" s="65">
        <f t="shared" si="892"/>
        <v>6.5643811989293019E-2</v>
      </c>
      <c r="CE140" s="65">
        <f t="shared" si="892"/>
        <v>5.8379324105642956E-2</v>
      </c>
      <c r="CF140" s="65">
        <f t="shared" si="892"/>
        <v>6.3134722240640803E-2</v>
      </c>
      <c r="CG140" s="65">
        <f t="shared" si="892"/>
        <v>6.0833681141443961E-2</v>
      </c>
      <c r="CH140" s="65">
        <f t="shared" si="892"/>
        <v>6.3349923691943227E-2</v>
      </c>
      <c r="CI140" s="65">
        <f t="shared" si="892"/>
        <v>6.5596409459692806E-2</v>
      </c>
      <c r="CJ140" s="65">
        <f t="shared" si="892"/>
        <v>6.4474987376084203E-2</v>
      </c>
      <c r="CK140" s="65">
        <f t="shared" si="892"/>
        <v>5.7902012814001418E-2</v>
      </c>
      <c r="CL140" s="65">
        <f t="shared" si="892"/>
        <v>4.8547999999999987E-2</v>
      </c>
      <c r="CM140" s="65">
        <f t="shared" si="892"/>
        <v>5.3380041735196816E-2</v>
      </c>
      <c r="CN140" s="65">
        <f t="shared" si="892"/>
        <v>5.133340584189066E-2</v>
      </c>
      <c r="CO140" s="65">
        <f t="shared" si="892"/>
        <v>5.5893722854001814E-2</v>
      </c>
      <c r="CP140" s="65">
        <f t="shared" si="892"/>
        <v>6.2332550979127099E-2</v>
      </c>
      <c r="CQ140" s="65">
        <f t="shared" si="892"/>
        <v>8.6877166677867046E-2</v>
      </c>
      <c r="CR140" s="65">
        <f t="shared" si="892"/>
        <v>5.6090596289595972E-2</v>
      </c>
      <c r="CS140" s="65">
        <f t="shared" si="892"/>
        <v>6.9068980659949181E-2</v>
      </c>
      <c r="CT140" s="65">
        <f t="shared" ref="CT140:EX140" si="893">+CT139/CT$127</f>
        <v>5.9679914735611607E-2</v>
      </c>
      <c r="CU140" s="65">
        <f t="shared" si="893"/>
        <v>7.7335687052102906E-2</v>
      </c>
      <c r="CV140" s="65">
        <f t="shared" si="893"/>
        <v>6.8454510858990264E-2</v>
      </c>
      <c r="CW140" s="65">
        <f t="shared" si="893"/>
        <v>7.3223613132574028E-2</v>
      </c>
      <c r="CX140" s="65">
        <f t="shared" si="893"/>
        <v>6.1800000000000008E-2</v>
      </c>
      <c r="CY140" s="65">
        <f t="shared" si="893"/>
        <v>6.7368687361888224E-2</v>
      </c>
      <c r="CZ140" s="65">
        <f t="shared" si="893"/>
        <v>6.9105691056910556E-2</v>
      </c>
      <c r="DA140" s="65">
        <f t="shared" si="893"/>
        <v>7.4740097143308801E-2</v>
      </c>
      <c r="DB140" s="65">
        <f t="shared" si="893"/>
        <v>7.2077478150249549E-2</v>
      </c>
      <c r="DC140" s="65">
        <f t="shared" si="893"/>
        <v>6.6963980509854443E-2</v>
      </c>
      <c r="DD140" s="65">
        <f t="shared" si="893"/>
        <v>6.4424485305291226E-2</v>
      </c>
      <c r="DE140" s="65">
        <f t="shared" si="893"/>
        <v>6.5672885200481965E-2</v>
      </c>
      <c r="DF140" s="65">
        <f t="shared" si="893"/>
        <v>6.1825320873056512E-2</v>
      </c>
      <c r="DG140" s="65">
        <f t="shared" si="893"/>
        <v>7.8857252091320107E-2</v>
      </c>
      <c r="DH140" s="1066">
        <f t="shared" si="893"/>
        <v>6.9131834225548042E-2</v>
      </c>
      <c r="DI140" s="65">
        <f t="shared" si="893"/>
        <v>7.2967151319332263E-2</v>
      </c>
      <c r="DJ140" s="65">
        <f t="shared" si="893"/>
        <v>7.728181212524983E-2</v>
      </c>
      <c r="DK140" s="1066">
        <f t="shared" si="893"/>
        <v>7.5135605705484498E-2</v>
      </c>
      <c r="DL140" s="65">
        <f t="shared" ref="DL140:DU140" si="894">+DL139/DL$127</f>
        <v>7.9847908745247151E-2</v>
      </c>
      <c r="DM140" s="65">
        <f t="shared" si="894"/>
        <v>8.7551465245822246E-2</v>
      </c>
      <c r="DN140" s="1066">
        <f t="shared" si="894"/>
        <v>8.3724331241240638E-2</v>
      </c>
      <c r="DO140" s="65">
        <f t="shared" si="894"/>
        <v>8.5368586152812009E-2</v>
      </c>
      <c r="DP140" s="65">
        <f t="shared" si="894"/>
        <v>8.3905559213620556E-2</v>
      </c>
      <c r="DQ140" s="1066">
        <f t="shared" si="894"/>
        <v>8.4573298563174318E-2</v>
      </c>
      <c r="DR140" s="65">
        <f t="shared" si="894"/>
        <v>7.5983474043470445E-2</v>
      </c>
      <c r="DS140" s="65">
        <f t="shared" si="894"/>
        <v>8.5342417889587741E-2</v>
      </c>
      <c r="DT140" s="1066">
        <f t="shared" si="894"/>
        <v>8.0728013462049428E-2</v>
      </c>
      <c r="DU140" s="65">
        <f t="shared" si="894"/>
        <v>7.7869903410547905E-2</v>
      </c>
      <c r="DV140" s="65">
        <f t="shared" ref="DV140:DX140" si="895">+DV139/DV$127</f>
        <v>7.0916603423560154E-2</v>
      </c>
      <c r="DW140" s="1066">
        <f t="shared" si="895"/>
        <v>7.4369640886323113E-2</v>
      </c>
      <c r="DX140" s="65">
        <f t="shared" si="895"/>
        <v>7.2874149659863954E-2</v>
      </c>
      <c r="DY140" s="65">
        <f t="shared" si="893"/>
        <v>7.2874149659863954E-2</v>
      </c>
      <c r="DZ140" s="1066">
        <f t="shared" si="893"/>
        <v>7.2874149659863954E-2</v>
      </c>
      <c r="EA140" s="65">
        <f t="shared" si="893"/>
        <v>7.1999999999999995E-2</v>
      </c>
      <c r="EB140" s="65">
        <f t="shared" si="893"/>
        <v>7.2000000000000008E-2</v>
      </c>
      <c r="EC140" s="1066">
        <f t="shared" si="893"/>
        <v>7.2000000000000008E-2</v>
      </c>
      <c r="ED140" s="65">
        <f t="shared" si="893"/>
        <v>7.1499999999999994E-2</v>
      </c>
      <c r="EE140" s="65">
        <f t="shared" si="893"/>
        <v>7.1499999999999994E-2</v>
      </c>
      <c r="EF140" s="1066">
        <f t="shared" si="893"/>
        <v>7.1499999999999994E-2</v>
      </c>
      <c r="EG140" s="65">
        <f t="shared" si="893"/>
        <v>7.0999999999999994E-2</v>
      </c>
      <c r="EH140" s="65">
        <f t="shared" si="893"/>
        <v>7.099999999999998E-2</v>
      </c>
      <c r="EI140" s="1066">
        <f t="shared" si="893"/>
        <v>7.0999999999999994E-2</v>
      </c>
      <c r="EJ140" s="65">
        <f t="shared" si="893"/>
        <v>7.0499999999999993E-2</v>
      </c>
      <c r="EK140" s="65">
        <f t="shared" si="893"/>
        <v>7.0499999999999979E-2</v>
      </c>
      <c r="EL140" s="1066">
        <f t="shared" si="893"/>
        <v>7.0499999999999993E-2</v>
      </c>
      <c r="EM140" s="65">
        <f t="shared" si="893"/>
        <v>7.0499999999999993E-2</v>
      </c>
      <c r="EN140" s="65">
        <f t="shared" si="893"/>
        <v>7.0499999999999979E-2</v>
      </c>
      <c r="EO140" s="1066">
        <f t="shared" si="893"/>
        <v>7.0499999999999979E-2</v>
      </c>
      <c r="EP140" s="65">
        <f t="shared" si="893"/>
        <v>7.0499999999999993E-2</v>
      </c>
      <c r="EQ140" s="65">
        <f t="shared" si="893"/>
        <v>7.0500000000000007E-2</v>
      </c>
      <c r="ER140" s="1066">
        <f t="shared" si="893"/>
        <v>7.0499999999999993E-2</v>
      </c>
      <c r="ES140" s="65">
        <f t="shared" si="893"/>
        <v>7.0499999999999993E-2</v>
      </c>
      <c r="ET140" s="65">
        <f t="shared" si="893"/>
        <v>7.0499999999999993E-2</v>
      </c>
      <c r="EU140" s="1066">
        <f t="shared" si="893"/>
        <v>7.0499999999999993E-2</v>
      </c>
      <c r="EV140" s="65">
        <f t="shared" si="893"/>
        <v>7.0499999999999993E-2</v>
      </c>
      <c r="EW140" s="65">
        <f t="shared" si="893"/>
        <v>7.0499999999999993E-2</v>
      </c>
      <c r="EX140" s="1066">
        <f t="shared" si="893"/>
        <v>7.0499999999999993E-2</v>
      </c>
      <c r="EY140" s="65">
        <f t="shared" ref="EY140:FA140" si="896">+EY139/EY$127</f>
        <v>7.0499999999999993E-2</v>
      </c>
      <c r="EZ140" s="65">
        <f t="shared" si="896"/>
        <v>7.0499999999999979E-2</v>
      </c>
      <c r="FA140" s="1066">
        <f t="shared" si="896"/>
        <v>7.0499999999999993E-2</v>
      </c>
    </row>
    <row r="141" spans="1:173">
      <c r="BA141" s="35"/>
      <c r="BB141" s="35"/>
      <c r="BC141" s="322"/>
      <c r="BD141" s="35"/>
      <c r="BE141" s="35"/>
      <c r="BG141" s="35"/>
      <c r="BH141" s="35"/>
      <c r="BJ141" s="35"/>
      <c r="BK141" s="35"/>
      <c r="BL141" s="31"/>
      <c r="BM141" s="35"/>
      <c r="BN141" s="35"/>
      <c r="BO141" s="31"/>
      <c r="BP141" s="35"/>
      <c r="BQ141" s="35"/>
      <c r="BR141" s="1024"/>
      <c r="BS141" s="74">
        <v>19.186</v>
      </c>
      <c r="BT141" s="74">
        <f>BU141-BS141</f>
        <v>19.448999999999998</v>
      </c>
      <c r="BU141" s="74">
        <v>38.634999999999998</v>
      </c>
      <c r="BV141" s="74">
        <v>19.841000000000001</v>
      </c>
      <c r="BW141" s="74">
        <f>BX141-BV141</f>
        <v>16.250999999999998</v>
      </c>
      <c r="BX141" s="74">
        <v>36.091999999999999</v>
      </c>
      <c r="BY141" s="74">
        <v>24.940999999999999</v>
      </c>
      <c r="BZ141" s="74">
        <f>CA141-BY141</f>
        <v>20.038</v>
      </c>
      <c r="CA141" s="187">
        <v>44.978999999999999</v>
      </c>
      <c r="CB141" s="187">
        <v>20.456</v>
      </c>
      <c r="CC141" s="187">
        <f>CD141-CB141</f>
        <v>23.266000000000002</v>
      </c>
      <c r="CD141" s="187">
        <v>43.722000000000001</v>
      </c>
      <c r="CE141" s="187">
        <v>19.895</v>
      </c>
      <c r="CF141" s="74">
        <f>CG141-CE141</f>
        <v>23.803999999999998</v>
      </c>
      <c r="CG141" s="74">
        <v>43.698999999999998</v>
      </c>
      <c r="CH141" s="74">
        <v>22.248999999999999</v>
      </c>
      <c r="CI141" s="74">
        <f>CJ141-CH141</f>
        <v>23.180000000000003</v>
      </c>
      <c r="CJ141" s="74">
        <v>45.429000000000002</v>
      </c>
      <c r="CK141" s="74">
        <v>21.318999999999999</v>
      </c>
      <c r="CL141" s="181">
        <f>CM141-CK141</f>
        <v>16.837999999999997</v>
      </c>
      <c r="CM141" s="74">
        <v>38.156999999999996</v>
      </c>
      <c r="CN141" s="74">
        <v>19.350999999999999</v>
      </c>
      <c r="CO141" s="74">
        <f>CP141-CN141</f>
        <v>24.811</v>
      </c>
      <c r="CP141" s="35">
        <v>44.161999999999999</v>
      </c>
      <c r="CQ141" s="74">
        <v>28.559000000000001</v>
      </c>
      <c r="CR141" s="35"/>
      <c r="CS141" s="70">
        <v>53.862000000000002</v>
      </c>
      <c r="CT141" s="35">
        <v>34.716999999999999</v>
      </c>
      <c r="CU141" s="35"/>
      <c r="CW141" s="35">
        <v>44.252000000000002</v>
      </c>
      <c r="CX141" s="35"/>
      <c r="CZ141" s="35">
        <v>44.2</v>
      </c>
      <c r="DA141" s="35"/>
      <c r="DC141" s="35"/>
      <c r="DD141" s="35"/>
      <c r="DF141" s="35"/>
      <c r="DG141" s="35"/>
      <c r="DH141" s="1074"/>
      <c r="DI141" s="35"/>
      <c r="DJ141" s="35"/>
      <c r="DK141" s="1074"/>
      <c r="DL141" s="35"/>
      <c r="DM141" s="35"/>
      <c r="DN141" s="1112"/>
      <c r="DO141" s="35"/>
      <c r="DP141" s="35"/>
      <c r="DQ141" s="1067"/>
      <c r="DR141" s="35"/>
      <c r="DS141" s="35"/>
      <c r="DT141" s="1067"/>
      <c r="DU141" s="35"/>
      <c r="DV141" s="35"/>
      <c r="DW141" s="1067"/>
      <c r="DX141" s="35"/>
      <c r="DY141" s="35"/>
      <c r="DZ141" s="1067"/>
      <c r="EA141" s="35"/>
      <c r="EB141" s="35"/>
      <c r="EC141" s="1067"/>
      <c r="ED141" s="35"/>
      <c r="EE141" s="35"/>
      <c r="EF141" s="1067"/>
      <c r="EG141" s="35"/>
      <c r="EH141" s="35"/>
      <c r="EI141" s="1067"/>
      <c r="EJ141" s="35"/>
      <c r="EK141" s="35"/>
      <c r="EL141" s="1067"/>
      <c r="EM141" s="35"/>
      <c r="EN141" s="35"/>
      <c r="EO141" s="1067"/>
      <c r="EP141" s="35"/>
      <c r="EQ141" s="35"/>
      <c r="ER141" s="1067"/>
      <c r="ES141" s="35"/>
      <c r="ET141" s="35"/>
      <c r="EU141" s="1067"/>
      <c r="EV141" s="35"/>
      <c r="EW141" s="35"/>
      <c r="EX141" s="1067"/>
      <c r="EY141" s="35"/>
      <c r="EZ141" s="35"/>
      <c r="FA141" s="1067"/>
    </row>
    <row r="142" spans="1:173">
      <c r="B142" s="35" t="s">
        <v>1063</v>
      </c>
      <c r="D142" s="245" t="s">
        <v>604</v>
      </c>
      <c r="BA142" s="35"/>
      <c r="BB142" s="35"/>
      <c r="BC142" s="322"/>
      <c r="BD142" s="35"/>
      <c r="BE142" s="35"/>
      <c r="BG142" s="35"/>
      <c r="BH142" s="35"/>
      <c r="BJ142" s="35"/>
      <c r="BK142" s="35"/>
      <c r="BL142" s="31"/>
      <c r="BM142" s="35"/>
      <c r="BN142" s="35"/>
      <c r="BO142" s="31"/>
      <c r="BP142" s="35"/>
      <c r="BQ142" s="35"/>
      <c r="BR142" s="1024"/>
      <c r="BS142" s="74"/>
      <c r="BT142" s="74"/>
      <c r="BU142" s="74"/>
      <c r="BV142" s="74"/>
      <c r="BW142" s="74"/>
      <c r="BX142" s="74"/>
      <c r="BY142" s="74"/>
      <c r="BZ142" s="74"/>
      <c r="CA142" s="187"/>
      <c r="CB142" s="187"/>
      <c r="CC142" s="187"/>
      <c r="CD142" s="187"/>
      <c r="CE142" s="187"/>
      <c r="CF142" s="74"/>
      <c r="CG142" s="74"/>
      <c r="CH142" s="74"/>
      <c r="CI142" s="74"/>
      <c r="CJ142" s="74"/>
      <c r="CK142" s="74"/>
      <c r="CL142" s="181"/>
      <c r="CM142" s="74"/>
      <c r="CN142" s="74"/>
      <c r="CO142" s="74"/>
      <c r="CQ142" s="74"/>
      <c r="CR142" s="35"/>
      <c r="CS142" s="70"/>
      <c r="CT142" s="35"/>
      <c r="CU142" s="35"/>
      <c r="CW142" s="35"/>
      <c r="CX142" s="35"/>
      <c r="CZ142" s="35"/>
      <c r="DA142" s="35"/>
      <c r="DC142" s="35"/>
      <c r="DD142" s="35"/>
      <c r="DF142" s="35"/>
      <c r="DG142" s="35"/>
      <c r="DH142" s="1074"/>
      <c r="DI142" s="1573">
        <v>54.2</v>
      </c>
      <c r="DJ142" s="70">
        <f>+DK142-DI142</f>
        <v>58</v>
      </c>
      <c r="DK142" s="1572">
        <v>112.2</v>
      </c>
      <c r="DL142" s="1573">
        <v>65.099999999999994</v>
      </c>
      <c r="DM142" s="70">
        <f>+DN142-DL142</f>
        <v>72.300000000000011</v>
      </c>
      <c r="DN142" s="1572">
        <v>137.4</v>
      </c>
      <c r="DO142" s="1573">
        <v>76.2</v>
      </c>
      <c r="DP142" s="70">
        <f>+DQ142-DO142</f>
        <v>89.2</v>
      </c>
      <c r="DQ142" s="1572">
        <v>165.4</v>
      </c>
      <c r="DR142" s="1573">
        <v>84.6</v>
      </c>
      <c r="DS142" s="70">
        <f>+DT142-DR142</f>
        <v>97.700000000000017</v>
      </c>
      <c r="DT142" s="1572">
        <v>182.3</v>
      </c>
      <c r="DU142" s="1573">
        <v>91.1</v>
      </c>
      <c r="DV142" s="70">
        <f>+DW142-DU142</f>
        <v>84.1</v>
      </c>
      <c r="DW142" s="1572">
        <v>175.2</v>
      </c>
      <c r="DX142" s="1573">
        <v>85.7</v>
      </c>
      <c r="DY142" s="233">
        <f t="shared" ref="DY142" si="897">+DY127*DY143</f>
        <v>97.45942897694006</v>
      </c>
      <c r="DZ142" s="1085">
        <f>+SUM(DX142:DY142)</f>
        <v>183.15942897694006</v>
      </c>
      <c r="EA142" s="163">
        <f t="shared" ref="EA142" si="898">+EA127*EA143</f>
        <v>99.855477285924607</v>
      </c>
      <c r="EB142" s="163">
        <f t="shared" ref="EB142" si="899">+EB127*EB143</f>
        <v>102.94345346392686</v>
      </c>
      <c r="EC142" s="1085">
        <f t="shared" ref="EC142" si="900">+SUM(EA142:EB142)</f>
        <v>202.79893074985148</v>
      </c>
      <c r="ED142" s="163">
        <f t="shared" ref="ED142" si="901">+ED127*ED143</f>
        <v>107.8782872097693</v>
      </c>
      <c r="EE142" s="163">
        <f t="shared" ref="EE142" si="902">+EE127*EE143</f>
        <v>111.21526715953463</v>
      </c>
      <c r="EF142" s="1085">
        <f t="shared" ref="EF142" si="903">+SUM(ED142:EE142)</f>
        <v>219.09355436930394</v>
      </c>
      <c r="EG142" s="163">
        <f t="shared" ref="EG142" si="904">+EG127*EG143</f>
        <v>116.76504401628034</v>
      </c>
      <c r="EH142" s="163">
        <f t="shared" ref="EH142" si="905">+EH127*EH143</f>
        <v>120.37691644022915</v>
      </c>
      <c r="EI142" s="1085">
        <f t="shared" ref="EI142" si="906">+SUM(EG142:EH142)</f>
        <v>237.14196045650948</v>
      </c>
      <c r="EJ142" s="163">
        <f t="shared" ref="EJ142" si="907">+EJ127*EJ143</f>
        <v>126.37760292156428</v>
      </c>
      <c r="EK142" s="163">
        <f t="shared" ref="EK142" si="908">+EK127*EK143</f>
        <v>130.28681892745649</v>
      </c>
      <c r="EL142" s="1085">
        <f t="shared" ref="EL142" si="909">+SUM(EJ142:EK142)</f>
        <v>256.66442184902075</v>
      </c>
      <c r="EM142" s="163">
        <f t="shared" ref="EM142" si="910">+EM127*EM143</f>
        <v>137.75158718450507</v>
      </c>
      <c r="EN142" s="163">
        <f t="shared" ref="EN142" si="911">+EN127*EN143</f>
        <v>142.01263263092758</v>
      </c>
      <c r="EO142" s="1085">
        <f t="shared" ref="EO142" si="912">+SUM(EM142:EN142)</f>
        <v>279.76421981543263</v>
      </c>
      <c r="EP142" s="163">
        <f t="shared" ref="EP142" si="913">+EP127*EP143</f>
        <v>150.14923003111053</v>
      </c>
      <c r="EQ142" s="163">
        <f t="shared" ref="EQ142" si="914">+EQ127*EQ143</f>
        <v>154.79376956771108</v>
      </c>
      <c r="ER142" s="1085">
        <f t="shared" ref="ER142" si="915">+SUM(EP142:EQ142)</f>
        <v>304.94299959882164</v>
      </c>
      <c r="ES142" s="163">
        <f t="shared" ref="ES142" si="916">+ES127*ES143</f>
        <v>163.66266073391054</v>
      </c>
      <c r="ET142" s="163">
        <f t="shared" ref="ET142" si="917">+ET127*ET143</f>
        <v>168.72520882880511</v>
      </c>
      <c r="EU142" s="1085">
        <f t="shared" ref="EU142" si="918">+SUM(ES142:ET142)</f>
        <v>332.38786956271565</v>
      </c>
      <c r="EV142" s="163">
        <f t="shared" ref="EV142" si="919">+EV127*EV143</f>
        <v>178.39230019996248</v>
      </c>
      <c r="EW142" s="163">
        <f t="shared" ref="EW142" si="920">+EW127*EW143</f>
        <v>183.91047762339755</v>
      </c>
      <c r="EX142" s="1085">
        <f t="shared" ref="EX142" si="921">+SUM(EV142:EW142)</f>
        <v>362.30277782336003</v>
      </c>
      <c r="EY142" s="163">
        <f t="shared" ref="EY142:EZ142" si="922">+EY127*EY143</f>
        <v>194.4476072179591</v>
      </c>
      <c r="EZ142" s="163">
        <f t="shared" si="922"/>
        <v>200.46242060950331</v>
      </c>
      <c r="FA142" s="1085">
        <f t="shared" ref="FA142" si="923">+SUM(EY142:EZ142)</f>
        <v>394.91002782746239</v>
      </c>
    </row>
    <row r="143" spans="1:173">
      <c r="C143" s="35" t="s">
        <v>488</v>
      </c>
      <c r="D143" s="162" t="s">
        <v>460</v>
      </c>
      <c r="BA143" s="35"/>
      <c r="BB143" s="35"/>
      <c r="BC143" s="322"/>
      <c r="BD143" s="35"/>
      <c r="BE143" s="35"/>
      <c r="BG143" s="35"/>
      <c r="BH143" s="35"/>
      <c r="BJ143" s="35"/>
      <c r="BK143" s="35"/>
      <c r="BL143" s="31"/>
      <c r="BM143" s="35"/>
      <c r="BN143" s="35"/>
      <c r="BO143" s="31"/>
      <c r="BP143" s="35"/>
      <c r="BQ143" s="35"/>
      <c r="BR143" s="1024"/>
      <c r="BS143" s="74"/>
      <c r="BT143" s="74"/>
      <c r="BU143" s="74"/>
      <c r="BV143" s="74"/>
      <c r="BW143" s="74"/>
      <c r="BX143" s="74"/>
      <c r="BY143" s="74"/>
      <c r="BZ143" s="74"/>
      <c r="CA143" s="187"/>
      <c r="CB143" s="187"/>
      <c r="CC143" s="187"/>
      <c r="CD143" s="187"/>
      <c r="CE143" s="187"/>
      <c r="CF143" s="74"/>
      <c r="CG143" s="74"/>
      <c r="CH143" s="74"/>
      <c r="CI143" s="74"/>
      <c r="CJ143" s="74"/>
      <c r="CK143" s="74"/>
      <c r="CL143" s="181"/>
      <c r="CM143" s="74"/>
      <c r="CN143" s="74"/>
      <c r="CO143" s="74"/>
      <c r="CQ143" s="74"/>
      <c r="CR143" s="35"/>
      <c r="CS143" s="70"/>
      <c r="CT143" s="35"/>
      <c r="CU143" s="35"/>
      <c r="CW143" s="35"/>
      <c r="CX143" s="35"/>
      <c r="CZ143" s="35"/>
      <c r="DA143" s="35"/>
      <c r="DC143" s="35"/>
      <c r="DD143" s="35"/>
      <c r="DF143" s="35"/>
      <c r="DG143" s="35"/>
      <c r="DH143" s="1074"/>
      <c r="DI143" s="65">
        <f t="shared" ref="DI143:DU143" si="924">+DI142/DI$127</f>
        <v>7.2967151319332263E-2</v>
      </c>
      <c r="DJ143" s="65">
        <f t="shared" si="924"/>
        <v>7.728181212524983E-2</v>
      </c>
      <c r="DK143" s="1066">
        <f t="shared" si="924"/>
        <v>7.5135605705484498E-2</v>
      </c>
      <c r="DL143" s="65">
        <f t="shared" si="924"/>
        <v>7.9847908745247151E-2</v>
      </c>
      <c r="DM143" s="65">
        <f t="shared" si="924"/>
        <v>8.7551465245822246E-2</v>
      </c>
      <c r="DN143" s="1066">
        <f t="shared" si="924"/>
        <v>8.3724331241240638E-2</v>
      </c>
      <c r="DO143" s="65">
        <f t="shared" si="924"/>
        <v>8.5368586152812009E-2</v>
      </c>
      <c r="DP143" s="65">
        <f t="shared" si="924"/>
        <v>8.3905559213620556E-2</v>
      </c>
      <c r="DQ143" s="1066">
        <f t="shared" si="924"/>
        <v>8.4573298563174318E-2</v>
      </c>
      <c r="DR143" s="65">
        <f t="shared" si="924"/>
        <v>7.5983474043470445E-2</v>
      </c>
      <c r="DS143" s="65">
        <f t="shared" si="924"/>
        <v>8.5342417889587741E-2</v>
      </c>
      <c r="DT143" s="1066">
        <f t="shared" si="924"/>
        <v>8.0728013462049428E-2</v>
      </c>
      <c r="DU143" s="65">
        <f t="shared" si="924"/>
        <v>7.7869903410547905E-2</v>
      </c>
      <c r="DV143" s="65">
        <f t="shared" ref="DV143:DX143" si="925">+DV142/DV$127</f>
        <v>7.0916603423560154E-2</v>
      </c>
      <c r="DW143" s="1066">
        <f t="shared" si="925"/>
        <v>7.4369640886323113E-2</v>
      </c>
      <c r="DX143" s="65">
        <f t="shared" si="925"/>
        <v>7.2874149659863954E-2</v>
      </c>
      <c r="DY143" s="1143">
        <f t="shared" ref="DY143" si="926">DX143</f>
        <v>7.2874149659863954E-2</v>
      </c>
      <c r="DZ143" s="1142">
        <f t="shared" ref="DZ143" si="927">+DZ142/DZ$127</f>
        <v>7.2874149659863954E-2</v>
      </c>
      <c r="EA143" s="1143">
        <v>7.1999999999999995E-2</v>
      </c>
      <c r="EB143" s="1143">
        <f t="shared" ref="EB143" si="928">EA143</f>
        <v>7.1999999999999995E-2</v>
      </c>
      <c r="EC143" s="1142">
        <f t="shared" ref="EC143" si="929">+EC142/EC$127</f>
        <v>7.2000000000000008E-2</v>
      </c>
      <c r="ED143" s="1145">
        <v>7.1499999999999994E-2</v>
      </c>
      <c r="EE143" s="1163">
        <f t="shared" ref="EE143" si="930">+ED143</f>
        <v>7.1499999999999994E-2</v>
      </c>
      <c r="EF143" s="1146">
        <f t="shared" ref="EF143" si="931">+EF142/EF$127</f>
        <v>7.1499999999999994E-2</v>
      </c>
      <c r="EG143" s="1145">
        <f t="shared" ref="EG143" si="932">+EF143-0.05%</f>
        <v>7.0999999999999994E-2</v>
      </c>
      <c r="EH143" s="1163">
        <f t="shared" ref="EH143" si="933">+EG143</f>
        <v>7.0999999999999994E-2</v>
      </c>
      <c r="EI143" s="1146">
        <f t="shared" ref="EI143:EL143" si="934">+EI142/EI$127</f>
        <v>7.0999999999999994E-2</v>
      </c>
      <c r="EJ143" s="1145">
        <f t="shared" ref="EJ143" si="935">+EI143-0.05%</f>
        <v>7.0499999999999993E-2</v>
      </c>
      <c r="EK143" s="1163">
        <f t="shared" ref="EK143" si="936">+EJ143</f>
        <v>7.0499999999999993E-2</v>
      </c>
      <c r="EL143" s="1146">
        <f t="shared" si="934"/>
        <v>7.0499999999999993E-2</v>
      </c>
      <c r="EM143" s="1145">
        <f>+EK143</f>
        <v>7.0499999999999993E-2</v>
      </c>
      <c r="EN143" s="1163">
        <f>+EM143</f>
        <v>7.0499999999999993E-2</v>
      </c>
      <c r="EO143" s="1146">
        <f t="shared" ref="EO143:FA143" si="937">+EO142/EO$127</f>
        <v>7.0499999999999979E-2</v>
      </c>
      <c r="EP143" s="1145">
        <f t="shared" ref="EP143" si="938">+EN143</f>
        <v>7.0499999999999993E-2</v>
      </c>
      <c r="EQ143" s="1163">
        <f t="shared" ref="EQ143" si="939">+EP143</f>
        <v>7.0499999999999993E-2</v>
      </c>
      <c r="ER143" s="1146">
        <f t="shared" si="937"/>
        <v>7.0499999999999993E-2</v>
      </c>
      <c r="ES143" s="1145">
        <f t="shared" ref="ES143" si="940">+EQ143</f>
        <v>7.0499999999999993E-2</v>
      </c>
      <c r="ET143" s="1163">
        <f t="shared" ref="ET143" si="941">+ES143</f>
        <v>7.0499999999999993E-2</v>
      </c>
      <c r="EU143" s="1146">
        <f t="shared" si="937"/>
        <v>7.0499999999999993E-2</v>
      </c>
      <c r="EV143" s="1145">
        <f t="shared" ref="EV143" si="942">+ET143</f>
        <v>7.0499999999999993E-2</v>
      </c>
      <c r="EW143" s="1163">
        <f t="shared" ref="EW143" si="943">+EV143</f>
        <v>7.0499999999999993E-2</v>
      </c>
      <c r="EX143" s="1146">
        <f t="shared" si="937"/>
        <v>7.0499999999999993E-2</v>
      </c>
      <c r="EY143" s="1145">
        <f t="shared" ref="EY143" si="944">+EW143</f>
        <v>7.0499999999999993E-2</v>
      </c>
      <c r="EZ143" s="1163">
        <f t="shared" ref="EZ143" si="945">+EY143</f>
        <v>7.0499999999999993E-2</v>
      </c>
      <c r="FA143" s="1146">
        <f t="shared" si="937"/>
        <v>7.0499999999999993E-2</v>
      </c>
    </row>
    <row r="144" spans="1:173">
      <c r="A144" s="1173" t="s">
        <v>1065</v>
      </c>
      <c r="B144" s="35" t="s">
        <v>1064</v>
      </c>
      <c r="D144" s="245" t="s">
        <v>604</v>
      </c>
      <c r="BA144" s="35"/>
      <c r="BB144" s="35"/>
      <c r="BC144" s="322"/>
      <c r="BD144" s="35"/>
      <c r="BE144" s="35"/>
      <c r="BG144" s="35"/>
      <c r="BH144" s="35"/>
      <c r="BJ144" s="35"/>
      <c r="BK144" s="35"/>
      <c r="BL144" s="31"/>
      <c r="BM144" s="35"/>
      <c r="BN144" s="35"/>
      <c r="BO144" s="31"/>
      <c r="BP144" s="35"/>
      <c r="BQ144" s="35"/>
      <c r="BR144" s="1024"/>
      <c r="BS144" s="74"/>
      <c r="BT144" s="74"/>
      <c r="BU144" s="74"/>
      <c r="BV144" s="74"/>
      <c r="BW144" s="74"/>
      <c r="BX144" s="74"/>
      <c r="BY144" s="74"/>
      <c r="BZ144" s="74"/>
      <c r="CA144" s="187"/>
      <c r="CB144" s="187"/>
      <c r="CC144" s="187"/>
      <c r="CD144" s="187"/>
      <c r="CE144" s="187"/>
      <c r="CF144" s="74"/>
      <c r="CG144" s="74"/>
      <c r="CH144" s="74"/>
      <c r="CI144" s="74"/>
      <c r="CJ144" s="74"/>
      <c r="CK144" s="74"/>
      <c r="CL144" s="181"/>
      <c r="CM144" s="74"/>
      <c r="CN144" s="74"/>
      <c r="CO144" s="74"/>
      <c r="CQ144" s="74"/>
      <c r="CR144" s="35"/>
      <c r="CS144" s="70"/>
      <c r="CT144" s="35"/>
      <c r="CU144" s="35"/>
      <c r="CW144" s="35"/>
      <c r="CX144" s="35"/>
      <c r="CZ144" s="35"/>
      <c r="DA144" s="35"/>
      <c r="DC144" s="35"/>
      <c r="DD144" s="35"/>
      <c r="DF144" s="35"/>
      <c r="DG144" s="35"/>
      <c r="DH144" s="1074"/>
      <c r="DI144" s="1573">
        <v>0.7</v>
      </c>
      <c r="DJ144" s="35">
        <f>+DK144-DI144</f>
        <v>3.2</v>
      </c>
      <c r="DK144" s="1572">
        <v>3.9</v>
      </c>
      <c r="DL144" s="1573">
        <v>5.2</v>
      </c>
      <c r="DM144" s="35">
        <f>+DN144-DL144</f>
        <v>16.400000000000002</v>
      </c>
      <c r="DN144" s="1572">
        <v>21.6</v>
      </c>
      <c r="DO144" s="1573">
        <v>17.2</v>
      </c>
      <c r="DP144" s="35">
        <f>+DQ144-DO144</f>
        <v>21.3</v>
      </c>
      <c r="DQ144" s="1572">
        <v>38.5</v>
      </c>
      <c r="DR144" s="1573">
        <v>16.899999999999999</v>
      </c>
      <c r="DS144" s="35">
        <f>+DT144-DR144</f>
        <v>13.400000000000002</v>
      </c>
      <c r="DT144" s="1572">
        <v>30.3</v>
      </c>
      <c r="DU144" s="1573">
        <v>11.7</v>
      </c>
      <c r="DV144" s="35">
        <f>+DW144-DU144</f>
        <v>21.000000000000004</v>
      </c>
      <c r="DW144" s="1572">
        <v>32.700000000000003</v>
      </c>
      <c r="DX144" s="1573">
        <v>33.799999999999997</v>
      </c>
      <c r="DY144" s="70">
        <f>+DZ144-DX144</f>
        <v>72.866666666666674</v>
      </c>
      <c r="DZ144" s="1109">
        <f>80/0.75</f>
        <v>106.66666666666667</v>
      </c>
      <c r="EA144" s="259">
        <f>+EC144/2</f>
        <v>33.333333333333336</v>
      </c>
      <c r="EB144" s="70">
        <f>+EC144-EA144</f>
        <v>33.333333333333336</v>
      </c>
      <c r="EC144" s="1109">
        <f>50/0.75</f>
        <v>66.666666666666671</v>
      </c>
      <c r="ED144" s="35"/>
      <c r="EE144" s="35"/>
      <c r="EF144" s="1067"/>
      <c r="EG144" s="35"/>
      <c r="EH144" s="35"/>
      <c r="EI144" s="1067"/>
      <c r="EJ144" s="35"/>
      <c r="EK144" s="35"/>
      <c r="EL144" s="1067"/>
      <c r="EM144" s="35"/>
      <c r="EN144" s="35"/>
      <c r="EO144" s="1067"/>
      <c r="EP144" s="35"/>
      <c r="EQ144" s="35"/>
      <c r="ER144" s="1067"/>
      <c r="ES144" s="35"/>
      <c r="ET144" s="35"/>
      <c r="EU144" s="1067"/>
      <c r="EV144" s="35"/>
      <c r="EW144" s="35"/>
      <c r="EX144" s="1067"/>
      <c r="EY144" s="35"/>
      <c r="EZ144" s="35"/>
      <c r="FA144" s="1067"/>
    </row>
    <row r="145" spans="1:158">
      <c r="BA145" s="35"/>
      <c r="BB145" s="35"/>
      <c r="BC145" s="322"/>
      <c r="BD145" s="35"/>
      <c r="BE145" s="35"/>
      <c r="BG145" s="35"/>
      <c r="BH145" s="35"/>
      <c r="BJ145" s="35"/>
      <c r="BK145" s="35"/>
      <c r="BL145" s="31"/>
      <c r="BM145" s="35"/>
      <c r="BN145" s="35"/>
      <c r="BO145" s="31"/>
      <c r="BP145" s="35"/>
      <c r="BQ145" s="35"/>
      <c r="BR145" s="1024"/>
      <c r="BS145" s="74"/>
      <c r="BT145" s="74"/>
      <c r="BU145" s="74"/>
      <c r="BV145" s="74"/>
      <c r="BW145" s="74"/>
      <c r="BX145" s="74"/>
      <c r="BY145" s="74"/>
      <c r="BZ145" s="74"/>
      <c r="CA145" s="187"/>
      <c r="CB145" s="187"/>
      <c r="CC145" s="187"/>
      <c r="CD145" s="187"/>
      <c r="CE145" s="187"/>
      <c r="CF145" s="74"/>
      <c r="CG145" s="74"/>
      <c r="CH145" s="74"/>
      <c r="CI145" s="74"/>
      <c r="CJ145" s="74"/>
      <c r="CK145" s="74"/>
      <c r="CL145" s="181"/>
      <c r="CM145" s="74"/>
      <c r="CN145" s="74"/>
      <c r="CO145" s="74"/>
      <c r="CQ145" s="74"/>
      <c r="CR145" s="35"/>
      <c r="CS145" s="70"/>
      <c r="CT145" s="35"/>
      <c r="CU145" s="35"/>
      <c r="CW145" s="35"/>
      <c r="CX145" s="35"/>
      <c r="CZ145" s="35"/>
      <c r="DA145" s="35"/>
      <c r="DC145" s="35"/>
      <c r="DD145" s="35"/>
      <c r="DF145" s="35"/>
      <c r="DG145" s="35"/>
      <c r="DH145" s="1074"/>
      <c r="DI145" s="35"/>
      <c r="DJ145" s="35"/>
      <c r="DK145" s="1074"/>
      <c r="DL145" s="35"/>
      <c r="DM145" s="35"/>
      <c r="DN145" s="1112"/>
      <c r="DO145" s="35"/>
      <c r="DP145" s="35"/>
      <c r="DQ145" s="1067"/>
      <c r="DR145" s="35"/>
      <c r="DS145" s="35"/>
      <c r="DT145" s="1067"/>
      <c r="DU145" s="35"/>
      <c r="DV145" s="35"/>
      <c r="DW145" s="1067"/>
      <c r="DX145" s="35"/>
      <c r="DY145" s="35"/>
      <c r="DZ145" s="1067"/>
      <c r="EA145" s="35"/>
      <c r="EB145" s="35"/>
      <c r="EC145" s="1067"/>
      <c r="ED145" s="35"/>
      <c r="EE145" s="35"/>
      <c r="EF145" s="1067"/>
      <c r="EG145" s="35"/>
      <c r="EH145" s="35"/>
      <c r="EI145" s="1067"/>
      <c r="EJ145" s="35"/>
      <c r="EK145" s="35"/>
      <c r="EL145" s="1067"/>
      <c r="EM145" s="35"/>
      <c r="EN145" s="35"/>
      <c r="EO145" s="1067"/>
      <c r="EP145" s="35"/>
      <c r="EQ145" s="35"/>
      <c r="ER145" s="1067"/>
      <c r="ES145" s="35"/>
      <c r="ET145" s="35"/>
      <c r="EU145" s="1067"/>
      <c r="EV145" s="35"/>
      <c r="EW145" s="35"/>
      <c r="EX145" s="1067"/>
      <c r="EY145" s="35"/>
      <c r="EZ145" s="35"/>
      <c r="FA145" s="1067"/>
    </row>
    <row r="146" spans="1:158" s="233" customFormat="1">
      <c r="A146" s="1147" t="s">
        <v>428</v>
      </c>
      <c r="B146" s="233" t="s">
        <v>428</v>
      </c>
      <c r="D146" s="245" t="s">
        <v>604</v>
      </c>
      <c r="BA146" s="233">
        <f t="shared" ref="BA146:BL146" si="946">BA253+BA342+BA413+BA486</f>
        <v>0</v>
      </c>
      <c r="BB146" s="233">
        <f t="shared" si="946"/>
        <v>0</v>
      </c>
      <c r="BC146" s="233">
        <f t="shared" si="946"/>
        <v>0</v>
      </c>
      <c r="BD146" s="233">
        <f t="shared" si="946"/>
        <v>0</v>
      </c>
      <c r="BE146" s="233">
        <f t="shared" si="946"/>
        <v>0</v>
      </c>
      <c r="BF146" s="233">
        <f t="shared" si="946"/>
        <v>0</v>
      </c>
      <c r="BG146" s="233">
        <f t="shared" si="946"/>
        <v>0</v>
      </c>
      <c r="BH146" s="233">
        <f t="shared" si="946"/>
        <v>0</v>
      </c>
      <c r="BI146" s="233">
        <f t="shared" si="946"/>
        <v>0</v>
      </c>
      <c r="BJ146" s="233">
        <f t="shared" si="946"/>
        <v>0</v>
      </c>
      <c r="BK146" s="233">
        <f t="shared" si="946"/>
        <v>0</v>
      </c>
      <c r="BL146" s="233">
        <f t="shared" si="946"/>
        <v>0</v>
      </c>
      <c r="BM146" s="233">
        <f>BM253+BM344+BM413+BM486</f>
        <v>34.955761105360523</v>
      </c>
      <c r="BN146" s="233">
        <f>BN253+BN344+BN413+BN486</f>
        <v>29.826217691465203</v>
      </c>
      <c r="BO146" s="233">
        <f>SUM(BM146:BN146)</f>
        <v>64.781978796825726</v>
      </c>
      <c r="BP146" s="233">
        <f>BP253+BP344+BP413+BP486</f>
        <v>40.449400981902571</v>
      </c>
      <c r="BQ146" s="233">
        <f>BQ253+BQ344+BQ413+BQ486</f>
        <v>35.746418392079981</v>
      </c>
      <c r="BR146" s="233">
        <f>SUM(BP146:BQ146)</f>
        <v>76.195819373982545</v>
      </c>
      <c r="BS146" s="233">
        <f>BS253+BS344+BS413+BS486</f>
        <v>34.391415716668078</v>
      </c>
      <c r="BT146" s="233">
        <f>BT253+BT344+BT413+BT486</f>
        <v>28.997876921014608</v>
      </c>
      <c r="BU146" s="233">
        <f>SUM(BS146:BT146)</f>
        <v>63.389292637682686</v>
      </c>
      <c r="BV146" s="233">
        <f>BV253+BV344+BV413+BV486</f>
        <v>38.457621870674423</v>
      </c>
      <c r="BW146" s="233">
        <f>BW253+BW344+BW413+BW486</f>
        <v>39.372678776917915</v>
      </c>
      <c r="BX146" s="233">
        <f>SUM(BV146:BW146)</f>
        <v>77.830300647592338</v>
      </c>
      <c r="BY146" s="233">
        <f>BY253+BY344+BY413+BY486</f>
        <v>44.257064949991637</v>
      </c>
      <c r="BZ146" s="233">
        <f>BZ253+BZ344+BZ413+BZ486</f>
        <v>50.062486393040928</v>
      </c>
      <c r="CA146" s="233">
        <f>SUM(BY146:BZ146)</f>
        <v>94.319551343032572</v>
      </c>
      <c r="CB146" s="233">
        <f>CB253+CB344+CB413+CB486</f>
        <v>43.950025618980646</v>
      </c>
      <c r="CC146" s="233">
        <f>CC253+CC344+CC413+CC486</f>
        <v>50.946967111833338</v>
      </c>
      <c r="CD146" s="233">
        <f>SUM(CB146:CC146)</f>
        <v>94.896992730813992</v>
      </c>
      <c r="CE146" s="233">
        <f>CE253+CE344+CE413+CE486</f>
        <v>51.422977114795856</v>
      </c>
      <c r="CF146" s="233">
        <f>CF253+CF344+CF413+CF486</f>
        <v>56.007732324191153</v>
      </c>
      <c r="CG146" s="233">
        <f>SUM(CE146:CF146)</f>
        <v>107.43070943898701</v>
      </c>
      <c r="CH146" s="233">
        <f>CH253+CH344+CH413+CH486</f>
        <v>56.354919907771745</v>
      </c>
      <c r="CI146" s="233">
        <f>CI253+CI344+CI413+CI486</f>
        <v>59.71136271266213</v>
      </c>
      <c r="CJ146" s="233">
        <f>SUM(CH146:CI146)</f>
        <v>116.06628262043387</v>
      </c>
      <c r="CK146" s="233">
        <f>CK253+CK344+CK413+CK486</f>
        <v>58.31405823908328</v>
      </c>
      <c r="CL146" s="233">
        <f>CL253+CL344+CL413+CL486</f>
        <v>62.702463387903649</v>
      </c>
      <c r="CM146" s="233">
        <f>SUM(CK146:CL146)</f>
        <v>121.01652162698693</v>
      </c>
      <c r="CN146" s="233">
        <f>CN253+CN344+CN413+CN486</f>
        <v>63.323535813765325</v>
      </c>
      <c r="CO146" s="233">
        <f>CO253+CO344+CO413+CO486</f>
        <v>61.327146306596703</v>
      </c>
      <c r="CP146" s="233">
        <f>SUM(CN146:CO146)</f>
        <v>124.65068212036203</v>
      </c>
      <c r="CQ146" s="233">
        <f>CQ253+CQ344+CQ413+CQ486</f>
        <v>61.355327602205577</v>
      </c>
      <c r="CR146" s="233">
        <f>CR253+CR344+CR413+CR486</f>
        <v>66.57620987367099</v>
      </c>
      <c r="CS146" s="233">
        <f>SUM(CQ146:CR146)</f>
        <v>127.93153747587657</v>
      </c>
      <c r="CT146" s="233">
        <f>CT253+CT344+CT413+CT486</f>
        <v>70.192999999999984</v>
      </c>
      <c r="CU146" s="233">
        <f>CU253+CU344+CU413+CU486</f>
        <v>72.759412930656893</v>
      </c>
      <c r="CV146" s="233">
        <f>SUM(CT146:CU146)</f>
        <v>142.95241293065686</v>
      </c>
      <c r="CW146" s="233">
        <f>CW253+CW344+CW413+CW486</f>
        <v>72.206999999999994</v>
      </c>
      <c r="CX146" s="233">
        <f>CX253+CX344+CX413+CX486</f>
        <v>79.646128669029167</v>
      </c>
      <c r="CY146" s="233">
        <f>SUM(CW146:CX146)</f>
        <v>151.85312866902916</v>
      </c>
      <c r="CZ146" s="233">
        <f>CZ253+CZ344+CZ413+CZ486</f>
        <v>78.28245811649947</v>
      </c>
      <c r="DA146" s="233">
        <f>DA253+DA344+DA413+DA486</f>
        <v>86.075438672181619</v>
      </c>
      <c r="DB146" s="233">
        <f>SUM(CZ146:DA146)</f>
        <v>164.3578967886811</v>
      </c>
      <c r="DC146" s="233">
        <f>DC253+DC344+DC413+DC486</f>
        <v>88.2</v>
      </c>
      <c r="DD146" s="233">
        <f>DD253+DD344+DD413+DD486</f>
        <v>96.130725487759889</v>
      </c>
      <c r="DE146" s="233">
        <f>SUM(DC146:DD146)</f>
        <v>184.33072548775988</v>
      </c>
      <c r="DF146" s="233">
        <f>DF253+DF344+DF413+DF486</f>
        <v>94.4</v>
      </c>
      <c r="DG146" s="233">
        <f>DG253+DG344+DG413+DG486</f>
        <v>90.699999999999989</v>
      </c>
      <c r="DH146" s="1122">
        <f>SUM(DF146:DG146)</f>
        <v>185.1</v>
      </c>
      <c r="DI146" s="1120">
        <v>88.4</v>
      </c>
      <c r="DJ146" s="233">
        <f>+DK146-DI146</f>
        <v>106.6</v>
      </c>
      <c r="DK146" s="1122">
        <v>195</v>
      </c>
      <c r="DL146" s="1120">
        <v>98.6</v>
      </c>
      <c r="DM146" s="233">
        <f>+DN146-DL146</f>
        <v>112.1</v>
      </c>
      <c r="DN146" s="1122">
        <v>210.7</v>
      </c>
      <c r="DO146" s="1120">
        <v>102.6</v>
      </c>
      <c r="DP146" s="233">
        <f>+DQ146-DO146</f>
        <v>142.30000000000001</v>
      </c>
      <c r="DQ146" s="1122">
        <v>244.9</v>
      </c>
      <c r="DR146" s="1120">
        <v>127.3</v>
      </c>
      <c r="DS146" s="233">
        <f>+DT146-DR146</f>
        <v>149.69999999999999</v>
      </c>
      <c r="DT146" s="1122">
        <v>277</v>
      </c>
      <c r="DU146" s="1120">
        <v>144.4</v>
      </c>
      <c r="DV146" s="233">
        <f>+DW146-DU146</f>
        <v>147.1</v>
      </c>
      <c r="DW146" s="1122">
        <v>291.5</v>
      </c>
      <c r="DX146" s="1120">
        <v>152.80000000000001</v>
      </c>
      <c r="DY146" s="233">
        <f t="shared" ref="DY146" si="947">+DY$127*DY147</f>
        <v>173.85761379223564</v>
      </c>
      <c r="DZ146" s="1070">
        <f t="shared" ref="DZ146" si="948">SUM(DX146:DY146)</f>
        <v>326.65761379223568</v>
      </c>
      <c r="EA146" s="233">
        <f t="shared" ref="EA146" si="949">+EA$127*EA147</f>
        <v>179.55702675675425</v>
      </c>
      <c r="EB146" s="233">
        <f t="shared" ref="EB146" si="950">+EB$127*EB147</f>
        <v>185.10972988619918</v>
      </c>
      <c r="EC146" s="1070">
        <f t="shared" ref="EC146" si="951">SUM(EA146:EB146)</f>
        <v>364.66675664295343</v>
      </c>
      <c r="ED146" s="233">
        <f t="shared" ref="ED146" si="952">+ED$127*ED147</f>
        <v>194.58552871901605</v>
      </c>
      <c r="EE146" s="233">
        <f t="shared" ref="EE146" si="953">+EE$127*EE147</f>
        <v>200.60460841192244</v>
      </c>
      <c r="EF146" s="1070">
        <f t="shared" ref="EF146" si="954">SUM(ED146:EE146)</f>
        <v>395.19013713093852</v>
      </c>
      <c r="EG146" s="233">
        <f t="shared" ref="EG146" si="955">+EG$127*EG147</f>
        <v>211.2759372613593</v>
      </c>
      <c r="EH146" s="233">
        <f t="shared" ref="EH146" si="956">+EH$127*EH147</f>
        <v>217.81129840533185</v>
      </c>
      <c r="EI146" s="1070">
        <f t="shared" ref="EI146" si="957">SUM(EG146:EH146)</f>
        <v>429.08723566669119</v>
      </c>
      <c r="EJ146" s="233">
        <f t="shared" ref="EJ146" si="958">+EJ$127*EJ147</f>
        <v>229.39447655870035</v>
      </c>
      <c r="EK146" s="233">
        <f t="shared" ref="EK146" si="959">+EK$127*EK147</f>
        <v>236.49029526941845</v>
      </c>
      <c r="EL146" s="1070">
        <f t="shared" ref="EL146" si="960">SUM(EJ146:EK146)</f>
        <v>465.8847718281188</v>
      </c>
      <c r="EM146" s="233">
        <f t="shared" ref="EM146" si="961">+EM$127*EM147</f>
        <v>250.03997944898342</v>
      </c>
      <c r="EN146" s="233">
        <f t="shared" ref="EN146" si="962">+EN$127*EN147</f>
        <v>257.77442184366612</v>
      </c>
      <c r="EO146" s="1070">
        <f t="shared" ref="EO146" si="963">SUM(EM146:EN146)</f>
        <v>507.81440129264956</v>
      </c>
      <c r="EP146" s="233">
        <f t="shared" ref="EP146" si="964">+EP$127*EP147</f>
        <v>272.54357759939194</v>
      </c>
      <c r="EQ146" s="233">
        <f t="shared" ref="EQ146" si="965">+EQ$127*EQ147</f>
        <v>280.97411980959612</v>
      </c>
      <c r="ER146" s="1070">
        <f t="shared" ref="ER146" si="966">SUM(EP146:EQ146)</f>
        <v>553.51769740898806</v>
      </c>
      <c r="ES146" s="233">
        <f t="shared" ref="ES146:ET146" si="967">+ES$127*ES147</f>
        <v>297.07249958333728</v>
      </c>
      <c r="ET146" s="233">
        <f t="shared" si="967"/>
        <v>306.26179059245982</v>
      </c>
      <c r="EU146" s="1070">
        <f t="shared" ref="EU146" si="968">SUM(ES146:ET146)</f>
        <v>603.33429017579715</v>
      </c>
      <c r="EV146" s="233">
        <f t="shared" ref="EV146:EZ146" si="969">+EV$127*EV147</f>
        <v>323.80902454583764</v>
      </c>
      <c r="EW146" s="233">
        <f t="shared" si="969"/>
        <v>333.82535174578118</v>
      </c>
      <c r="EX146" s="1070">
        <f t="shared" ref="EX146" si="970">SUM(EV146:EW146)</f>
        <v>657.63437629161876</v>
      </c>
      <c r="EY146" s="233">
        <f t="shared" si="969"/>
        <v>352.95183675496298</v>
      </c>
      <c r="EZ146" s="233">
        <f t="shared" si="969"/>
        <v>363.86963340290146</v>
      </c>
      <c r="FA146" s="1070">
        <f t="shared" ref="FA146" si="971">SUM(EY146:EZ146)</f>
        <v>716.8214701578645</v>
      </c>
    </row>
    <row r="147" spans="1:158">
      <c r="C147" s="35" t="s">
        <v>488</v>
      </c>
      <c r="D147" s="162" t="s">
        <v>460</v>
      </c>
      <c r="BA147" s="65"/>
      <c r="BB147" s="65"/>
      <c r="BC147" s="65"/>
      <c r="BD147" s="65"/>
      <c r="BE147" s="65"/>
      <c r="BF147" s="65"/>
      <c r="BG147" s="6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>
        <f t="shared" ref="BS147:CS147" si="972">BS146/(BS118+BS124)</f>
        <v>0.13309421569342081</v>
      </c>
      <c r="BT147" s="65">
        <f t="shared" si="972"/>
        <v>0.11145641624697397</v>
      </c>
      <c r="BU147" s="65">
        <f t="shared" si="972"/>
        <v>0.12223831945402358</v>
      </c>
      <c r="BV147" s="65">
        <f t="shared" si="972"/>
        <v>0.1416426917052675</v>
      </c>
      <c r="BW147" s="65">
        <f t="shared" si="972"/>
        <v>0.13833364151240307</v>
      </c>
      <c r="BX147" s="65">
        <f t="shared" si="972"/>
        <v>0.13994916475733121</v>
      </c>
      <c r="BY147" s="65">
        <f t="shared" si="972"/>
        <v>0.13360611079396276</v>
      </c>
      <c r="BZ147" s="65">
        <f t="shared" si="972"/>
        <v>0.14260348847246404</v>
      </c>
      <c r="CA147" s="65">
        <f t="shared" si="972"/>
        <v>0.13823541599906142</v>
      </c>
      <c r="CB147" s="65">
        <f t="shared" si="972"/>
        <v>0.13688285169787132</v>
      </c>
      <c r="CC147" s="65">
        <f t="shared" si="972"/>
        <v>0.14768457194124954</v>
      </c>
      <c r="CD147" s="65">
        <f t="shared" si="972"/>
        <v>0.14247746215685139</v>
      </c>
      <c r="CE147" s="65">
        <f t="shared" si="972"/>
        <v>0.15089412653740777</v>
      </c>
      <c r="CF147" s="65">
        <f t="shared" si="972"/>
        <v>0.15408123258783632</v>
      </c>
      <c r="CG147" s="65">
        <f t="shared" si="972"/>
        <v>0.15253905634909784</v>
      </c>
      <c r="CH147" s="65">
        <f t="shared" si="972"/>
        <v>0.16619952701913368</v>
      </c>
      <c r="CI147" s="65">
        <f t="shared" si="972"/>
        <v>0.17552821123910889</v>
      </c>
      <c r="CJ147" s="65">
        <f t="shared" si="972"/>
        <v>0.17087143012548048</v>
      </c>
      <c r="CK147" s="65">
        <f t="shared" si="972"/>
        <v>0.16427461183345252</v>
      </c>
      <c r="CL147" s="65">
        <f t="shared" si="972"/>
        <v>0.18874901025549254</v>
      </c>
      <c r="CM147" s="65">
        <f t="shared" si="972"/>
        <v>0.17610616734190204</v>
      </c>
      <c r="CN147" s="65">
        <f t="shared" si="972"/>
        <v>0.17518198734839827</v>
      </c>
      <c r="CO147" s="65">
        <f t="shared" si="972"/>
        <v>0.14350659898503301</v>
      </c>
      <c r="CP147" s="65">
        <f t="shared" si="972"/>
        <v>0.18307000406592175</v>
      </c>
      <c r="CQ147" s="65">
        <f t="shared" si="972"/>
        <v>0.18664693664656545</v>
      </c>
      <c r="CR147" s="65">
        <f t="shared" si="972"/>
        <v>0.14760076326148192</v>
      </c>
      <c r="CS147" s="65">
        <f t="shared" si="972"/>
        <v>0.16406106526953315</v>
      </c>
      <c r="CT147" s="65">
        <f t="shared" ref="CT147:DU147" si="973">+CT146/CT$127</f>
        <v>0.12066458089802654</v>
      </c>
      <c r="CU147" s="65">
        <f t="shared" si="973"/>
        <v>0.12659557945237176</v>
      </c>
      <c r="CV147" s="65">
        <f t="shared" si="973"/>
        <v>0.12361217877082603</v>
      </c>
      <c r="CW147" s="65">
        <f t="shared" si="973"/>
        <v>0.11948064343902587</v>
      </c>
      <c r="CX147" s="65">
        <f t="shared" si="973"/>
        <v>0.12534712147535529</v>
      </c>
      <c r="CY147" s="65">
        <f t="shared" si="973"/>
        <v>0.12248737984014979</v>
      </c>
      <c r="CZ147" s="65">
        <f t="shared" si="973"/>
        <v>0.12444857637206291</v>
      </c>
      <c r="DA147" s="65">
        <f t="shared" si="973"/>
        <v>0.12260157705691022</v>
      </c>
      <c r="DB147" s="65">
        <f t="shared" si="973"/>
        <v>0.12347440293798488</v>
      </c>
      <c r="DC147" s="65">
        <f t="shared" si="973"/>
        <v>0.1243415385467192</v>
      </c>
      <c r="DD147" s="65">
        <f t="shared" si="973"/>
        <v>0.13104042465713611</v>
      </c>
      <c r="DE147" s="65">
        <f t="shared" si="973"/>
        <v>0.12774729431252591</v>
      </c>
      <c r="DF147" s="65">
        <f t="shared" si="973"/>
        <v>0.12184363863082537</v>
      </c>
      <c r="DG147" s="65">
        <f t="shared" si="973"/>
        <v>0.15582467896912272</v>
      </c>
      <c r="DH147" s="1066">
        <f t="shared" si="973"/>
        <v>0.13642113555595889</v>
      </c>
      <c r="DI147" s="65">
        <f t="shared" si="973"/>
        <v>0.11900915455035004</v>
      </c>
      <c r="DJ147" s="65">
        <f t="shared" si="973"/>
        <v>0.14203864090606261</v>
      </c>
      <c r="DK147" s="1066">
        <f t="shared" si="973"/>
        <v>0.13058327194803457</v>
      </c>
      <c r="DL147" s="65">
        <f t="shared" si="973"/>
        <v>0.1209370783760579</v>
      </c>
      <c r="DM147" s="65">
        <f t="shared" si="973"/>
        <v>0.13574715427464276</v>
      </c>
      <c r="DN147" s="1066">
        <f t="shared" si="973"/>
        <v>0.12838949485101456</v>
      </c>
      <c r="DO147" s="65">
        <f t="shared" si="973"/>
        <v>0.11494510419000671</v>
      </c>
      <c r="DP147" s="65">
        <f t="shared" si="973"/>
        <v>0.13385382372307406</v>
      </c>
      <c r="DQ147" s="1066">
        <f t="shared" si="973"/>
        <v>0.12522370506723937</v>
      </c>
      <c r="DR147" s="65">
        <f t="shared" si="973"/>
        <v>0.11433447098976109</v>
      </c>
      <c r="DS147" s="65">
        <f t="shared" si="973"/>
        <v>0.13076519916142559</v>
      </c>
      <c r="DT147" s="1066">
        <f t="shared" si="973"/>
        <v>0.12266406872730494</v>
      </c>
      <c r="DU147" s="65">
        <f t="shared" si="973"/>
        <v>0.12342935293614839</v>
      </c>
      <c r="DV147" s="65">
        <f t="shared" ref="DV147:DX147" si="974">+DV146/DV$127</f>
        <v>0.12404081288472889</v>
      </c>
      <c r="DW147" s="1066">
        <f t="shared" si="974"/>
        <v>0.12373715935138806</v>
      </c>
      <c r="DX147" s="65">
        <f t="shared" si="974"/>
        <v>0.12993197278911567</v>
      </c>
      <c r="DY147" s="1145">
        <v>0.13</v>
      </c>
      <c r="DZ147" s="1146">
        <f>+DZ146/DZ$127</f>
        <v>0.12996817017826845</v>
      </c>
      <c r="EA147" s="1145">
        <f>+DZ147-0.05%</f>
        <v>0.12946817017826845</v>
      </c>
      <c r="EB147" s="1163">
        <f t="shared" ref="EB147" si="975">+EA147</f>
        <v>0.12946817017826845</v>
      </c>
      <c r="EC147" s="1146">
        <f t="shared" ref="EC147" si="976">+EC146/EC$127</f>
        <v>0.12946817017826845</v>
      </c>
      <c r="ED147" s="1145">
        <f>+EC147-0.05%</f>
        <v>0.12896817017826845</v>
      </c>
      <c r="EE147" s="1163">
        <f t="shared" ref="EE147" si="977">+ED147</f>
        <v>0.12896817017826845</v>
      </c>
      <c r="EF147" s="1146">
        <f t="shared" ref="EF147" si="978">+EF146/EF$127</f>
        <v>0.12896817017826845</v>
      </c>
      <c r="EG147" s="1145">
        <f t="shared" ref="EG147" si="979">+EF147-0.05%</f>
        <v>0.12846817017826845</v>
      </c>
      <c r="EH147" s="1163">
        <f t="shared" ref="EH147" si="980">+EG147</f>
        <v>0.12846817017826845</v>
      </c>
      <c r="EI147" s="1146">
        <f t="shared" ref="EI147:EL147" si="981">+EI146/EI$127</f>
        <v>0.12846817017826845</v>
      </c>
      <c r="EJ147" s="1145">
        <f t="shared" ref="EJ147" si="982">+EI147-0.05%</f>
        <v>0.12796817017826845</v>
      </c>
      <c r="EK147" s="1163">
        <f t="shared" ref="EK147" si="983">+EJ147</f>
        <v>0.12796817017826845</v>
      </c>
      <c r="EL147" s="1146">
        <f t="shared" si="981"/>
        <v>0.12796817017826845</v>
      </c>
      <c r="EM147" s="1145">
        <f>+EK147</f>
        <v>0.12796817017826845</v>
      </c>
      <c r="EN147" s="1163">
        <f>+EM147</f>
        <v>0.12796817017826845</v>
      </c>
      <c r="EO147" s="1146">
        <f t="shared" ref="EO147:FA147" si="984">+EO146/EO$127</f>
        <v>0.12796817017826845</v>
      </c>
      <c r="EP147" s="1145">
        <f t="shared" ref="EP147" si="985">+EN147</f>
        <v>0.12796817017826845</v>
      </c>
      <c r="EQ147" s="1163">
        <f t="shared" ref="EQ147" si="986">+EP147</f>
        <v>0.12796817017826845</v>
      </c>
      <c r="ER147" s="1146">
        <f t="shared" si="984"/>
        <v>0.12796817017826845</v>
      </c>
      <c r="ES147" s="1145">
        <f t="shared" ref="ES147" si="987">+EQ147</f>
        <v>0.12796817017826845</v>
      </c>
      <c r="ET147" s="1163">
        <f t="shared" ref="ET147" si="988">+ES147</f>
        <v>0.12796817017826845</v>
      </c>
      <c r="EU147" s="1146">
        <f t="shared" si="984"/>
        <v>0.12796817017826845</v>
      </c>
      <c r="EV147" s="1145">
        <f t="shared" ref="EV147" si="989">+ET147</f>
        <v>0.12796817017826845</v>
      </c>
      <c r="EW147" s="1163">
        <f t="shared" ref="EW147" si="990">+EV147</f>
        <v>0.12796817017826845</v>
      </c>
      <c r="EX147" s="1146">
        <f t="shared" si="984"/>
        <v>0.12796817017826845</v>
      </c>
      <c r="EY147" s="1145">
        <f t="shared" ref="EY147" si="991">+EW147</f>
        <v>0.12796817017826845</v>
      </c>
      <c r="EZ147" s="1163">
        <f t="shared" ref="EZ147" si="992">+EY147</f>
        <v>0.12796817017826845</v>
      </c>
      <c r="FA147" s="1146">
        <f t="shared" si="984"/>
        <v>0.12796817017826845</v>
      </c>
    </row>
    <row r="148" spans="1:158">
      <c r="BA148" s="35"/>
      <c r="BB148" s="35"/>
      <c r="BC148" s="322"/>
      <c r="BD148" s="35"/>
      <c r="BE148" s="35"/>
      <c r="BG148" s="35"/>
      <c r="BH148" s="35"/>
      <c r="BJ148" s="35"/>
      <c r="BK148" s="35"/>
      <c r="BL148" s="31"/>
      <c r="BM148" s="35"/>
      <c r="BN148" s="35"/>
      <c r="BO148" s="31"/>
      <c r="BP148" s="35"/>
      <c r="BQ148" s="35"/>
      <c r="BR148" s="1024"/>
      <c r="BS148" s="74">
        <v>35.607999999999997</v>
      </c>
      <c r="BT148" s="74">
        <f>BU148-BS148</f>
        <v>30.341000000000001</v>
      </c>
      <c r="BU148" s="74">
        <v>65.948999999999998</v>
      </c>
      <c r="BV148" s="74">
        <v>39.811</v>
      </c>
      <c r="BW148" s="74">
        <f>BX148-BV148</f>
        <v>40.205999999999996</v>
      </c>
      <c r="BX148" s="74">
        <v>80.016999999999996</v>
      </c>
      <c r="BY148" s="74">
        <v>45.442</v>
      </c>
      <c r="BZ148" s="74">
        <f>CA148-BY148</f>
        <v>51.24</v>
      </c>
      <c r="CA148" s="187">
        <v>96.682000000000002</v>
      </c>
      <c r="CB148" s="187">
        <v>43.95</v>
      </c>
      <c r="CC148" s="187">
        <f>CD148-CB148</f>
        <v>50.947000000000003</v>
      </c>
      <c r="CD148" s="187">
        <v>94.897000000000006</v>
      </c>
      <c r="CE148" s="187">
        <v>51.423000000000002</v>
      </c>
      <c r="CF148" s="74">
        <f>CG148-CE148</f>
        <v>57.512</v>
      </c>
      <c r="CG148" s="74">
        <v>108.935</v>
      </c>
      <c r="CH148" s="74">
        <v>57.862000000000002</v>
      </c>
      <c r="CI148" s="74">
        <f>CJ148-CH148</f>
        <v>61.46</v>
      </c>
      <c r="CJ148" s="74">
        <v>119.322</v>
      </c>
      <c r="CK148" s="74">
        <v>59.901000000000003</v>
      </c>
      <c r="CL148" s="74">
        <f>CM148-CK148</f>
        <v>64.813999999999993</v>
      </c>
      <c r="CM148" s="74">
        <v>124.715</v>
      </c>
      <c r="CN148" s="74">
        <v>65.057000000000002</v>
      </c>
      <c r="CO148" s="74">
        <f>CP148-CN148</f>
        <v>62.504999999999995</v>
      </c>
      <c r="CP148" s="35">
        <v>127.562</v>
      </c>
      <c r="CQ148" s="74">
        <v>61.36</v>
      </c>
      <c r="CR148" s="35"/>
      <c r="CS148" s="70">
        <v>127.985</v>
      </c>
      <c r="CT148" s="35">
        <v>70.192999999999998</v>
      </c>
      <c r="CU148" s="35"/>
      <c r="CW148" s="35">
        <v>72.206999999999994</v>
      </c>
      <c r="CX148" s="35"/>
      <c r="CZ148" s="35">
        <v>80.599999999999994</v>
      </c>
      <c r="DA148" s="35"/>
      <c r="DB148" s="70"/>
      <c r="DC148" s="244"/>
      <c r="DD148" s="35"/>
      <c r="DF148" s="35"/>
      <c r="DG148" s="35"/>
      <c r="DH148" s="1067"/>
      <c r="DI148" s="70"/>
      <c r="DJ148" s="35"/>
      <c r="DK148" s="1067"/>
      <c r="DL148" s="35"/>
      <c r="DM148" s="35"/>
      <c r="DN148" s="1067"/>
      <c r="DO148" s="35"/>
      <c r="DP148" s="35"/>
      <c r="DQ148" s="1067"/>
      <c r="DR148" s="35"/>
      <c r="DS148" s="35"/>
      <c r="DT148" s="1067"/>
      <c r="DU148" s="35"/>
      <c r="DV148" s="35"/>
      <c r="DW148" s="1067"/>
      <c r="DX148" s="35"/>
      <c r="DY148" s="35"/>
      <c r="DZ148" s="1067"/>
      <c r="EA148" s="35"/>
      <c r="EB148" s="35"/>
      <c r="EC148" s="1067"/>
      <c r="ED148" s="35"/>
      <c r="EE148" s="35"/>
      <c r="EF148" s="1067"/>
      <c r="EG148" s="35"/>
      <c r="EH148" s="35"/>
      <c r="EI148" s="1067"/>
      <c r="EJ148" s="35"/>
      <c r="EK148" s="35"/>
      <c r="EL148" s="1067"/>
      <c r="EM148" s="35"/>
      <c r="EN148" s="35"/>
      <c r="EO148" s="1067"/>
      <c r="EP148" s="35"/>
      <c r="EQ148" s="35"/>
      <c r="ER148" s="1067"/>
      <c r="ES148" s="35"/>
      <c r="ET148" s="35"/>
      <c r="EU148" s="1067"/>
      <c r="EV148" s="35"/>
      <c r="EW148" s="35"/>
      <c r="EX148" s="1067"/>
      <c r="EY148" s="35"/>
      <c r="EZ148" s="35"/>
      <c r="FA148" s="1067"/>
    </row>
    <row r="149" spans="1:158" s="233" customFormat="1">
      <c r="A149" s="1147"/>
      <c r="B149" s="1133" t="s">
        <v>155</v>
      </c>
      <c r="C149" s="1133"/>
      <c r="D149" s="1134" t="s">
        <v>604</v>
      </c>
      <c r="E149" s="1133"/>
      <c r="F149" s="1133"/>
      <c r="G149" s="1133"/>
      <c r="H149" s="1133"/>
      <c r="I149" s="1133"/>
      <c r="J149" s="1133"/>
      <c r="K149" s="1133"/>
      <c r="L149" s="1133"/>
      <c r="M149" s="1133"/>
      <c r="N149" s="1133"/>
      <c r="O149" s="1133"/>
      <c r="P149" s="1133"/>
      <c r="Q149" s="1133"/>
      <c r="R149" s="1133"/>
      <c r="S149" s="1133"/>
      <c r="T149" s="1133"/>
      <c r="U149" s="1133"/>
      <c r="V149" s="1133"/>
      <c r="W149" s="1133"/>
      <c r="X149" s="1133"/>
      <c r="Y149" s="1133"/>
      <c r="Z149" s="1133"/>
      <c r="AA149" s="1133"/>
      <c r="AB149" s="1133"/>
      <c r="AC149" s="1133"/>
      <c r="AD149" s="1133"/>
      <c r="AE149" s="1133"/>
      <c r="AF149" s="1133"/>
      <c r="AG149" s="1133"/>
      <c r="AH149" s="1133"/>
      <c r="AI149" s="1133"/>
      <c r="AJ149" s="1133"/>
      <c r="AK149" s="1133"/>
      <c r="AL149" s="1133"/>
      <c r="AM149" s="1133"/>
      <c r="AN149" s="1133"/>
      <c r="AO149" s="1133"/>
      <c r="AP149" s="1133"/>
      <c r="AQ149" s="1133"/>
      <c r="AR149" s="1133"/>
      <c r="AS149" s="1133"/>
      <c r="AT149" s="1133"/>
      <c r="AU149" s="1133"/>
      <c r="AV149" s="1133"/>
      <c r="AW149" s="1133"/>
      <c r="AX149" s="1133"/>
      <c r="AY149" s="1133"/>
      <c r="AZ149" s="1133"/>
      <c r="BA149" s="1133"/>
      <c r="BB149" s="1133"/>
      <c r="BC149" s="1133"/>
      <c r="BD149" s="1133"/>
      <c r="BE149" s="1133"/>
      <c r="BF149" s="1133"/>
      <c r="BG149" s="1133"/>
      <c r="BH149" s="1133"/>
      <c r="BI149" s="1133"/>
      <c r="BJ149" s="1133"/>
      <c r="BK149" s="1133"/>
      <c r="BL149" s="1133"/>
      <c r="BM149" s="1133"/>
      <c r="BN149" s="1133"/>
      <c r="BO149" s="1133"/>
      <c r="BP149" s="1133"/>
      <c r="BQ149" s="1133"/>
      <c r="BR149" s="1133"/>
      <c r="BS149" s="1133">
        <f>BS133-BS136-BS139-BS146</f>
        <v>71.750575694453559</v>
      </c>
      <c r="BT149" s="1133">
        <f>BT133-BT136-BT139-BT146</f>
        <v>66.731115624556168</v>
      </c>
      <c r="BU149" s="1133">
        <f>SUM(BS149:BT149)</f>
        <v>138.48169131900971</v>
      </c>
      <c r="BV149" s="1133">
        <f>BV133-BV136-BV139-BV146</f>
        <v>66.381378129325668</v>
      </c>
      <c r="BW149" s="1133">
        <f>BW133-BW136-BW139-BW146</f>
        <v>74.638321223082045</v>
      </c>
      <c r="BX149" s="1133">
        <f>SUM(BV149:BW149)</f>
        <v>141.01969935240771</v>
      </c>
      <c r="BY149" s="1133">
        <f>BY133-BY136-BY139-BY146</f>
        <v>81.158935050008438</v>
      </c>
      <c r="BZ149" s="1133">
        <f>BZ133-BZ136-BZ139-BZ146</f>
        <v>109.89697760407628</v>
      </c>
      <c r="CA149" s="1133">
        <f>SUM(BY149:BZ149)</f>
        <v>191.05591265408472</v>
      </c>
      <c r="CB149" s="1133">
        <f>CB133-CB136-CB139-CB146</f>
        <v>84.163815460690614</v>
      </c>
      <c r="CC149" s="1133">
        <f>CC133-CC136-CC139-CC146</f>
        <v>87.561674442971338</v>
      </c>
      <c r="CD149" s="1133">
        <f>SUM(CB149:CC149)</f>
        <v>171.72548990366195</v>
      </c>
      <c r="CE149" s="1133">
        <f>CE133-CE136-CE139-CE146</f>
        <v>89.838424063276335</v>
      </c>
      <c r="CF149" s="1133">
        <f>CF133-CF136-CF139-CF146</f>
        <v>68.52326616027365</v>
      </c>
      <c r="CG149" s="1133">
        <f>SUM(CE149:CF149)</f>
        <v>158.36169022355</v>
      </c>
      <c r="CH149" s="1133">
        <f>CH133-CH136-CH139-CH146</f>
        <v>75.234949445064416</v>
      </c>
      <c r="CI149" s="1133">
        <f>CI133-CI136-CI139-CI146</f>
        <v>70.695248402399528</v>
      </c>
      <c r="CJ149" s="1133">
        <f>SUM(CH149:CI149)</f>
        <v>145.93019784746394</v>
      </c>
      <c r="CK149" s="1133">
        <f>CK133-CK136-CK139-CK146</f>
        <v>86.818723967492289</v>
      </c>
      <c r="CL149" s="1133">
        <f>CL133-CL136-CL139-CL146</f>
        <v>60.612226970198222</v>
      </c>
      <c r="CM149" s="1133">
        <f>SUM(CK149:CL149)</f>
        <v>147.43095093769051</v>
      </c>
      <c r="CN149" s="1133">
        <f>CN133-CN136-CN139-CN146</f>
        <v>58.362691712504507</v>
      </c>
      <c r="CO149" s="1133">
        <f>CO133-CO136-CO139-CO146</f>
        <v>115.27750551985632</v>
      </c>
      <c r="CP149" s="1133">
        <f>SUM(CN149:CO149)</f>
        <v>173.64019723236083</v>
      </c>
      <c r="CQ149" s="1133">
        <f>CQ133-CQ136-CQ139-CQ146</f>
        <v>100.48338551046704</v>
      </c>
      <c r="CR149" s="1133">
        <f>CR133-CR136-CR139-CR146</f>
        <v>117.80279012632903</v>
      </c>
      <c r="CS149" s="1133">
        <f>SUM(CQ149:CR149)</f>
        <v>218.28617563679609</v>
      </c>
      <c r="CT149" s="1133">
        <f>CT133-CT136-CT139-CT146</f>
        <v>166.97415762108432</v>
      </c>
      <c r="CU149" s="1133">
        <f>CU133-CU136-CU139-CU146</f>
        <v>128.80427532857726</v>
      </c>
      <c r="CV149" s="1133">
        <f>SUM(CT149:CU149)</f>
        <v>295.77843294966158</v>
      </c>
      <c r="CW149" s="1133">
        <f>CW133-CW136-CW139-CW146</f>
        <v>146.48862804819436</v>
      </c>
      <c r="CX149" s="1133">
        <f>CX133-CX136-CX139-CX146</f>
        <v>150.54634929221226</v>
      </c>
      <c r="CY149" s="1133">
        <f>SUM(CW149:CX149)</f>
        <v>297.03497734040661</v>
      </c>
      <c r="CZ149" s="1133">
        <f>CZ133-CZ136-CZ139-CZ146</f>
        <v>148.74475510590554</v>
      </c>
      <c r="DA149" s="1133">
        <f>DA133-DA136-DA139-DA146</f>
        <v>176.53897182874272</v>
      </c>
      <c r="DB149" s="1133">
        <f>SUM(CZ149:DA149)</f>
        <v>325.28372693464826</v>
      </c>
      <c r="DC149" s="1133">
        <f>DC133-DC136-DC139-DC146</f>
        <v>178.56508887987565</v>
      </c>
      <c r="DD149" s="1133">
        <f>DD133-DD136-DD139-DD146</f>
        <v>184.09209937940329</v>
      </c>
      <c r="DE149" s="1133">
        <f>SUM(DC149:DD149)</f>
        <v>362.65718825927894</v>
      </c>
      <c r="DF149" s="1133">
        <f>DF133-DF136-DF139-DF146</f>
        <v>197.22088290863812</v>
      </c>
      <c r="DG149" s="1133">
        <f>DG133-DG136-DG139-DG146</f>
        <v>65.460424367402481</v>
      </c>
      <c r="DH149" s="1136">
        <f>SUM(DF149:DG149)</f>
        <v>262.68130727604057</v>
      </c>
      <c r="DI149" s="1133">
        <f>DI133-DI136-DI139-DI146</f>
        <v>181.1999999999999</v>
      </c>
      <c r="DJ149" s="1133">
        <f>DJ133-DJ136-DJ139-DJ146</f>
        <v>150.6</v>
      </c>
      <c r="DK149" s="1136">
        <f>SUM(DI149:DJ149)</f>
        <v>331.7999999999999</v>
      </c>
      <c r="DL149" s="1133">
        <f>DL133-DL136-DL139-DL146</f>
        <v>212.29999999999987</v>
      </c>
      <c r="DM149" s="1133">
        <f>DM133-DM136-DM139-DM146</f>
        <v>170.99999999999997</v>
      </c>
      <c r="DN149" s="1136">
        <f>SUM(DL149:DM149)</f>
        <v>383.29999999999984</v>
      </c>
      <c r="DO149" s="1133">
        <f>DO133-DO136-DO139-DO146</f>
        <v>211.50000000000009</v>
      </c>
      <c r="DP149" s="1133">
        <f>DP133-DP136-DP139-DP146</f>
        <v>239.39999999999986</v>
      </c>
      <c r="DQ149" s="1136">
        <f>SUM(DO149:DP149)</f>
        <v>450.9</v>
      </c>
      <c r="DR149" s="1133">
        <f>DR133-DR136-DR139-DR146</f>
        <v>285.2000000000001</v>
      </c>
      <c r="DS149" s="1133">
        <f>DS133-DS136-DS139-DS146</f>
        <v>266.59999999999974</v>
      </c>
      <c r="DT149" s="1136">
        <f>SUM(DR149:DS149)</f>
        <v>551.79999999999984</v>
      </c>
      <c r="DU149" s="1133">
        <f>DU133-DU136-DU139-DU146</f>
        <v>269.70000000000016</v>
      </c>
      <c r="DV149" s="1133">
        <f>DV133-DV136-DV139-DV146</f>
        <v>272.20000000000005</v>
      </c>
      <c r="DW149" s="1136">
        <f>SUM(DU149:DV149)</f>
        <v>541.9000000000002</v>
      </c>
      <c r="DX149" s="1642">
        <f>DX133-DX136-DX139-DX146</f>
        <v>254.59999999999997</v>
      </c>
      <c r="DY149" s="1133">
        <f>DY133-DY136-DY139-DY146</f>
        <v>290.37678640573949</v>
      </c>
      <c r="DZ149" s="1136">
        <f>SUM(DX149:DY149)</f>
        <v>544.9767864057394</v>
      </c>
      <c r="EA149" s="1133">
        <f>EA133-EA136-EA139-EA146</f>
        <v>310.01218827007051</v>
      </c>
      <c r="EB149" s="1133">
        <f>EB133-EB136-EB139-EB146</f>
        <v>319.5991461244422</v>
      </c>
      <c r="EC149" s="1136">
        <f>SUM(EA149:EB149)</f>
        <v>629.61133439451271</v>
      </c>
      <c r="ED149" s="1133">
        <f>ED133-ED136-ED139-ED146</f>
        <v>352.34984349834582</v>
      </c>
      <c r="EE149" s="1133">
        <f>EE133-EE136-EE139-EE146</f>
        <v>363.24901879550839</v>
      </c>
      <c r="EF149" s="1136">
        <f>SUM(ED149:EE149)</f>
        <v>715.59886229385415</v>
      </c>
      <c r="EG149" s="1133">
        <f>EG133-EG136-EG139-EG146</f>
        <v>390.6396417521421</v>
      </c>
      <c r="EH149" s="1133">
        <f>EH133-EH136-EH139-EH146</f>
        <v>402.72322859641281</v>
      </c>
      <c r="EI149" s="1136">
        <f>SUM(EG149:EH149)</f>
        <v>793.36287034855491</v>
      </c>
      <c r="EJ149" s="1133">
        <f>EJ133-EJ136-EJ139-EJ146</f>
        <v>430.27868479074164</v>
      </c>
      <c r="EK149" s="1133">
        <f>EK133-EK136-EK139-EK146</f>
        <v>443.58841913205663</v>
      </c>
      <c r="EL149" s="1136">
        <f>SUM(EJ149:EK149)</f>
        <v>873.86710392279826</v>
      </c>
      <c r="EM149" s="1133">
        <f>EM133-EM136-EM139-EM146</f>
        <v>470.95768964438366</v>
      </c>
      <c r="EN149" s="1133">
        <f>EN133-EN136-EN139-EN146</f>
        <v>485.52574043735899</v>
      </c>
      <c r="EO149" s="1136">
        <f>SUM(EM149:EN149)</f>
        <v>956.48343008174265</v>
      </c>
      <c r="EP149" s="1133">
        <f>EP133-EP136-EP139-EP146</f>
        <v>513.34388171237811</v>
      </c>
      <c r="EQ149" s="1133">
        <f>EQ133-EQ136-EQ139-EQ146</f>
        <v>529.22305707672149</v>
      </c>
      <c r="ER149" s="1136">
        <f>SUM(EP149:EQ149)</f>
        <v>1042.5669387890996</v>
      </c>
      <c r="ES149" s="1133">
        <f>ES133-ES136-ES139-ES146</f>
        <v>559.54483106649229</v>
      </c>
      <c r="ET149" s="1133">
        <f>ET133-ET136-ET139-ET146</f>
        <v>576.8531322136264</v>
      </c>
      <c r="EU149" s="1136">
        <f>SUM(ES149:ET149)</f>
        <v>1136.3979632801188</v>
      </c>
      <c r="EV149" s="1133">
        <f>EV133-EV136-EV139-EV146</f>
        <v>609.90386586247655</v>
      </c>
      <c r="EW149" s="1133">
        <f>EW133-EW136-EW139-EW146</f>
        <v>628.76991411285292</v>
      </c>
      <c r="EX149" s="1136">
        <f>SUM(EV149:EW149)</f>
        <v>1238.6737799753296</v>
      </c>
      <c r="EY149" s="1133">
        <f>EY133-EY136-EY139-EY146</f>
        <v>664.79521379009941</v>
      </c>
      <c r="EZ149" s="1133">
        <f>EZ133-EZ136-EZ139-EZ146</f>
        <v>685.35920638300968</v>
      </c>
      <c r="FA149" s="1136">
        <f>SUM(EY149:EZ149)</f>
        <v>1350.154420173109</v>
      </c>
    </row>
    <row r="150" spans="1:158">
      <c r="C150" s="35" t="s">
        <v>401</v>
      </c>
      <c r="D150" s="162" t="s">
        <v>460</v>
      </c>
      <c r="BA150" s="65"/>
      <c r="BB150" s="65"/>
      <c r="BC150" s="65"/>
      <c r="BD150" s="65"/>
      <c r="BE150" s="65"/>
      <c r="BF150" s="65"/>
      <c r="BG150" s="65"/>
      <c r="BH150" s="65"/>
      <c r="BI150" s="65"/>
      <c r="BJ150" s="65"/>
      <c r="BK150" s="65"/>
      <c r="BL150" s="65"/>
      <c r="BM150" s="65"/>
      <c r="BN150" s="65"/>
      <c r="BO150" s="65"/>
      <c r="BP150" s="65"/>
      <c r="BQ150" s="65"/>
      <c r="BR150" s="65"/>
      <c r="BS150" s="65">
        <f t="shared" ref="BS150:CS150" si="993">BS149/(BS118+BS124)</f>
        <v>0.27767355308308622</v>
      </c>
      <c r="BT150" s="65">
        <f t="shared" si="993"/>
        <v>0.25648812221440542</v>
      </c>
      <c r="BU150" s="65">
        <f t="shared" si="993"/>
        <v>0.26704461459668721</v>
      </c>
      <c r="BV150" s="65">
        <f t="shared" si="993"/>
        <v>0.24448826058359632</v>
      </c>
      <c r="BW150" s="65">
        <f t="shared" si="993"/>
        <v>0.26223744718163305</v>
      </c>
      <c r="BX150" s="65">
        <f t="shared" si="993"/>
        <v>0.2535720532297589</v>
      </c>
      <c r="BY150" s="65">
        <f t="shared" si="993"/>
        <v>0.24500788022124598</v>
      </c>
      <c r="BZ150" s="65">
        <f t="shared" si="993"/>
        <v>0.31304262948274214</v>
      </c>
      <c r="CA150" s="65">
        <f t="shared" si="993"/>
        <v>0.28001292615106055</v>
      </c>
      <c r="CB150" s="65">
        <f t="shared" si="993"/>
        <v>0.26212915482482319</v>
      </c>
      <c r="CC150" s="65">
        <f t="shared" si="993"/>
        <v>0.25382292885430069</v>
      </c>
      <c r="CD150" s="65">
        <f t="shared" si="993"/>
        <v>0.25782705315561683</v>
      </c>
      <c r="CE150" s="65">
        <f t="shared" si="993"/>
        <v>0.26361932523398857</v>
      </c>
      <c r="CF150" s="65">
        <f t="shared" si="993"/>
        <v>0.18851235129116281</v>
      </c>
      <c r="CG150" s="65">
        <f t="shared" si="993"/>
        <v>0.22485509883249491</v>
      </c>
      <c r="CH150" s="65">
        <f t="shared" si="993"/>
        <v>0.22187970515336936</v>
      </c>
      <c r="CI150" s="65">
        <f t="shared" si="993"/>
        <v>0.20781656842921556</v>
      </c>
      <c r="CJ150" s="65">
        <f t="shared" si="993"/>
        <v>0.21483673847154411</v>
      </c>
      <c r="CK150" s="65">
        <f t="shared" si="993"/>
        <v>0.24457416633844728</v>
      </c>
      <c r="CL150" s="65">
        <f t="shared" si="993"/>
        <v>0.18245691208701775</v>
      </c>
      <c r="CM150" s="65">
        <f t="shared" si="993"/>
        <v>0.21454508333363601</v>
      </c>
      <c r="CN150" s="65">
        <f t="shared" si="993"/>
        <v>0.16145801383023703</v>
      </c>
      <c r="CO150" s="65">
        <f t="shared" si="993"/>
        <v>0.26975138666860615</v>
      </c>
      <c r="CP150" s="65">
        <f t="shared" si="993"/>
        <v>0.25501915491036886</v>
      </c>
      <c r="CQ150" s="65">
        <f t="shared" si="993"/>
        <v>0.30567705890189656</v>
      </c>
      <c r="CR150" s="65">
        <f t="shared" si="993"/>
        <v>0.26117109655193377</v>
      </c>
      <c r="CS150" s="65">
        <f t="shared" si="993"/>
        <v>0.27993302679832271</v>
      </c>
      <c r="CT150" s="65">
        <f t="shared" ref="CT150:DY150" si="994">+CT149/CT$127</f>
        <v>0.2870352706131547</v>
      </c>
      <c r="CU150" s="65">
        <f t="shared" si="994"/>
        <v>0.22410917315543072</v>
      </c>
      <c r="CV150" s="65">
        <f t="shared" si="994"/>
        <v>0.25576215036022998</v>
      </c>
      <c r="CW150" s="65">
        <f t="shared" si="994"/>
        <v>0.24239416588001711</v>
      </c>
      <c r="CX150" s="65">
        <f t="shared" si="994"/>
        <v>0.23692992801720586</v>
      </c>
      <c r="CY150" s="65">
        <f t="shared" si="994"/>
        <v>0.23959358897769673</v>
      </c>
      <c r="CZ150" s="65">
        <f t="shared" si="994"/>
        <v>0.23646514763490201</v>
      </c>
      <c r="DA150" s="65">
        <f t="shared" si="994"/>
        <v>0.25145333781731077</v>
      </c>
      <c r="DB150" s="65">
        <f t="shared" si="994"/>
        <v>0.24437045468121496</v>
      </c>
      <c r="DC150" s="65">
        <f t="shared" si="994"/>
        <v>0.25173535013668252</v>
      </c>
      <c r="DD150" s="65">
        <f t="shared" si="994"/>
        <v>0.2509448124551219</v>
      </c>
      <c r="DE150" s="65">
        <f t="shared" si="994"/>
        <v>0.25133343581500511</v>
      </c>
      <c r="DF150" s="65">
        <f t="shared" si="994"/>
        <v>0.25455624986835196</v>
      </c>
      <c r="DG150" s="65">
        <f t="shared" si="994"/>
        <v>0.11246250950642814</v>
      </c>
      <c r="DH150" s="1066">
        <f t="shared" si="994"/>
        <v>0.19359957983749984</v>
      </c>
      <c r="DI150" s="65">
        <f t="shared" si="994"/>
        <v>0.24394184168012911</v>
      </c>
      <c r="DJ150" s="65">
        <f t="shared" si="994"/>
        <v>0.20066622251832111</v>
      </c>
      <c r="DK150" s="1066">
        <f t="shared" si="994"/>
        <v>0.22219245965311721</v>
      </c>
      <c r="DL150" s="65">
        <f t="shared" si="994"/>
        <v>0.26039494664540647</v>
      </c>
      <c r="DM150" s="65">
        <f t="shared" si="994"/>
        <v>0.20707193024945503</v>
      </c>
      <c r="DN150" s="1066">
        <f t="shared" si="994"/>
        <v>0.23356285418316974</v>
      </c>
      <c r="DO150" s="65">
        <f t="shared" si="994"/>
        <v>0.23694824109343499</v>
      </c>
      <c r="DP150" s="65">
        <f t="shared" si="994"/>
        <v>0.22519048066973935</v>
      </c>
      <c r="DQ150" s="1066">
        <f t="shared" si="994"/>
        <v>0.23055683387022549</v>
      </c>
      <c r="DR150" s="65">
        <f t="shared" si="994"/>
        <v>0.25615232620801159</v>
      </c>
      <c r="DS150" s="65">
        <f t="shared" si="994"/>
        <v>0.23287910552061478</v>
      </c>
      <c r="DT150" s="1066">
        <f t="shared" si="994"/>
        <v>0.24435391019395974</v>
      </c>
      <c r="DU150" s="65">
        <f t="shared" ref="DU150:DW150" si="995">+DU149/DU$127</f>
        <v>0.23053252414736314</v>
      </c>
      <c r="DV150" s="65">
        <f t="shared" si="995"/>
        <v>0.22953031452904968</v>
      </c>
      <c r="DW150" s="1066">
        <f t="shared" si="995"/>
        <v>0.23002801596060793</v>
      </c>
      <c r="DX150" s="65">
        <f t="shared" ref="DX150" si="996">+DX149/DX$127</f>
        <v>0.21649659863945575</v>
      </c>
      <c r="DY150" s="65">
        <f t="shared" si="994"/>
        <v>0.21712585034013607</v>
      </c>
      <c r="DZ150" s="1066">
        <f t="shared" ref="DZ150:ER150" si="997">+DZ149/DZ$127</f>
        <v>0.21683142448911916</v>
      </c>
      <c r="EA150" s="65">
        <f t="shared" si="997"/>
        <v>0.2235318298217315</v>
      </c>
      <c r="EB150" s="65">
        <f t="shared" si="997"/>
        <v>0.22353182982173153</v>
      </c>
      <c r="EC150" s="1066">
        <f t="shared" si="997"/>
        <v>0.22353182982173153</v>
      </c>
      <c r="ED150" s="65">
        <f t="shared" si="997"/>
        <v>0.23353182982173157</v>
      </c>
      <c r="EE150" s="65">
        <f t="shared" si="997"/>
        <v>0.23353182982173151</v>
      </c>
      <c r="EF150" s="1066">
        <f t="shared" si="997"/>
        <v>0.23353182982173151</v>
      </c>
      <c r="EG150" s="65">
        <f t="shared" si="997"/>
        <v>0.23753182982173146</v>
      </c>
      <c r="EH150" s="65">
        <f t="shared" si="997"/>
        <v>0.23753182982173152</v>
      </c>
      <c r="EI150" s="1066">
        <f t="shared" si="997"/>
        <v>0.23753182982173149</v>
      </c>
      <c r="EJ150" s="65">
        <f t="shared" si="997"/>
        <v>0.24003182982173157</v>
      </c>
      <c r="EK150" s="65">
        <f t="shared" si="997"/>
        <v>0.24003182982173155</v>
      </c>
      <c r="EL150" s="1066">
        <f t="shared" si="997"/>
        <v>0.24003182982173157</v>
      </c>
      <c r="EM150" s="65">
        <f t="shared" si="997"/>
        <v>0.24103182982173155</v>
      </c>
      <c r="EN150" s="65">
        <f t="shared" si="997"/>
        <v>0.24103182982173146</v>
      </c>
      <c r="EO150" s="1066">
        <f t="shared" si="997"/>
        <v>0.24103182982173149</v>
      </c>
      <c r="EP150" s="65">
        <f t="shared" si="997"/>
        <v>0.24103182982173152</v>
      </c>
      <c r="EQ150" s="65">
        <f t="shared" si="997"/>
        <v>0.24103182982173152</v>
      </c>
      <c r="ER150" s="1066">
        <f t="shared" si="997"/>
        <v>0.24103182982173152</v>
      </c>
      <c r="ES150" s="65">
        <f t="shared" ref="ES150:EX150" si="998">+ES149/ES$127</f>
        <v>0.24103182982173149</v>
      </c>
      <c r="ET150" s="65">
        <f t="shared" si="998"/>
        <v>0.24103182982173149</v>
      </c>
      <c r="EU150" s="1066">
        <f t="shared" si="998"/>
        <v>0.24103182982173149</v>
      </c>
      <c r="EV150" s="65">
        <f t="shared" si="998"/>
        <v>0.24103182982173149</v>
      </c>
      <c r="EW150" s="65">
        <f t="shared" si="998"/>
        <v>0.24103182982173152</v>
      </c>
      <c r="EX150" s="1066">
        <f t="shared" si="998"/>
        <v>0.24103182982173152</v>
      </c>
      <c r="EY150" s="65">
        <f t="shared" ref="EY150:FA150" si="999">+EY149/EY$127</f>
        <v>0.24103182982173149</v>
      </c>
      <c r="EZ150" s="65">
        <f t="shared" si="999"/>
        <v>0.24103182982173157</v>
      </c>
      <c r="FA150" s="1066">
        <f t="shared" si="999"/>
        <v>0.24103182982173152</v>
      </c>
    </row>
    <row r="151" spans="1:158">
      <c r="BA151" s="35"/>
      <c r="BB151" s="35"/>
      <c r="BC151" s="322"/>
      <c r="BD151" s="35"/>
      <c r="BE151" s="35"/>
      <c r="BG151" s="35"/>
      <c r="BH151" s="35"/>
      <c r="BJ151" s="35"/>
      <c r="BK151" s="35"/>
      <c r="BL151" s="31"/>
      <c r="BM151" s="35"/>
      <c r="BN151" s="35"/>
      <c r="BO151" s="31"/>
      <c r="BP151" s="35"/>
      <c r="BQ151" s="35"/>
      <c r="BR151" s="1024"/>
      <c r="BS151" s="74">
        <f>75.983-BS153+BS159</f>
        <v>70.534000000000006</v>
      </c>
      <c r="BT151" s="74">
        <f>BU151-BS151</f>
        <v>67.653999999999982</v>
      </c>
      <c r="BU151" s="74">
        <f>153.581-BU153+BU159</f>
        <v>138.18799999999999</v>
      </c>
      <c r="BV151" s="74">
        <f>79.974-BV153+BV159</f>
        <v>67.328000000000003</v>
      </c>
      <c r="BW151" s="74">
        <f>BX151-BV151</f>
        <v>76.525000000000006</v>
      </c>
      <c r="BX151" s="74">
        <f>162.626-BX153+BX159</f>
        <v>143.85300000000001</v>
      </c>
      <c r="BY151" s="74">
        <f>89.437-BY153+BY159</f>
        <v>82.313999999999993</v>
      </c>
      <c r="BZ151" s="74">
        <f>CA151-BY151</f>
        <v>113.34</v>
      </c>
      <c r="CA151" s="187">
        <f>174.645-CA153+CA159</f>
        <v>195.654</v>
      </c>
      <c r="CB151" s="187">
        <f>103.138-CB153+CB159</f>
        <v>100.72600000000001</v>
      </c>
      <c r="CC151" s="187">
        <f>CD151-CB151</f>
        <v>89.037999999999968</v>
      </c>
      <c r="CD151" s="187">
        <f>219.352-CD153+CD159</f>
        <v>189.76399999999998</v>
      </c>
      <c r="CE151" s="187">
        <f>118.439-CE153+CE159</f>
        <v>103.31</v>
      </c>
      <c r="CF151" s="70"/>
      <c r="CG151" s="70"/>
      <c r="CH151" s="70"/>
      <c r="CI151" s="70"/>
      <c r="CJ151" s="70"/>
      <c r="CK151" s="35"/>
      <c r="CL151" s="35"/>
      <c r="CN151" s="35"/>
      <c r="CO151" s="35"/>
      <c r="CP151" s="74"/>
      <c r="CQ151" s="35"/>
      <c r="CR151" s="35"/>
      <c r="CT151" s="35"/>
      <c r="CU151" s="35"/>
      <c r="CW151" s="35"/>
      <c r="CX151" s="35"/>
      <c r="CZ151" s="321"/>
      <c r="DA151" s="35"/>
      <c r="DC151" s="244"/>
      <c r="DD151" s="35"/>
      <c r="DE151" s="244"/>
      <c r="DF151" s="35"/>
      <c r="DG151" s="35"/>
      <c r="DH151" s="1074"/>
      <c r="DI151" s="35"/>
      <c r="DJ151" s="35"/>
      <c r="DK151" s="1074"/>
      <c r="DL151" s="35"/>
      <c r="DM151" s="35"/>
      <c r="DN151" s="1067"/>
      <c r="DO151" s="35"/>
      <c r="DP151" s="35"/>
      <c r="DQ151" s="1074"/>
      <c r="DR151" s="70"/>
      <c r="DS151" s="70"/>
      <c r="DT151" s="1067"/>
      <c r="DU151" s="35"/>
      <c r="DV151" s="70"/>
      <c r="DW151" s="1070"/>
      <c r="DX151" s="35"/>
      <c r="DY151" s="35"/>
      <c r="DZ151" s="1067"/>
      <c r="EA151" s="35"/>
      <c r="EB151" s="35"/>
      <c r="EC151" s="1067"/>
      <c r="ED151" s="35"/>
      <c r="EE151" s="35"/>
      <c r="EF151" s="1067"/>
      <c r="EG151" s="35"/>
      <c r="EH151" s="35"/>
      <c r="EI151" s="1067"/>
      <c r="EJ151" s="35"/>
      <c r="EK151" s="35"/>
      <c r="EL151" s="1067"/>
      <c r="EM151" s="35"/>
      <c r="EN151" s="35"/>
      <c r="EO151" s="1067"/>
      <c r="EP151" s="35"/>
      <c r="EQ151" s="35"/>
      <c r="ER151" s="1067"/>
      <c r="ES151" s="35"/>
      <c r="ET151" s="35"/>
      <c r="EU151" s="1067"/>
      <c r="EV151" s="35"/>
      <c r="EW151" s="35"/>
      <c r="EX151" s="1067"/>
      <c r="EY151" s="35"/>
      <c r="EZ151" s="35"/>
      <c r="FA151" s="1067"/>
    </row>
    <row r="152" spans="1:158" s="233" customFormat="1">
      <c r="A152" s="1147" t="s">
        <v>1033</v>
      </c>
      <c r="B152" s="233" t="s">
        <v>285</v>
      </c>
      <c r="D152" s="245" t="s">
        <v>604</v>
      </c>
      <c r="BC152" s="1020"/>
      <c r="BF152" s="246"/>
      <c r="BI152" s="246"/>
      <c r="BL152" s="246"/>
      <c r="BO152" s="246"/>
      <c r="BR152" s="246"/>
      <c r="BS152" s="233">
        <f>BS535</f>
        <v>5.4493695992634557</v>
      </c>
      <c r="BT152" s="233">
        <f>BT535</f>
        <v>11.076548461381016</v>
      </c>
      <c r="BU152" s="233">
        <f>SUM(BS152:BT152)</f>
        <v>16.525918060644472</v>
      </c>
      <c r="BV152" s="233">
        <f>BV535</f>
        <v>13.790395551984382</v>
      </c>
      <c r="BW152" s="233">
        <f>BW535</f>
        <v>7.4926044480156193</v>
      </c>
      <c r="BX152" s="233">
        <f>SUM(BV152:BW152)</f>
        <v>21.283000000000001</v>
      </c>
      <c r="BY152" s="233">
        <f>BY535</f>
        <v>8.2837020178600547</v>
      </c>
      <c r="BZ152" s="233">
        <f>BZ535</f>
        <v>-25.412087501323118</v>
      </c>
      <c r="CA152" s="233">
        <f>SUM(BY152:BZ152)</f>
        <v>-17.128385483463063</v>
      </c>
      <c r="CB152" s="233">
        <f>CB535</f>
        <v>10.692908903934837</v>
      </c>
      <c r="CC152" s="233">
        <f>CC535</f>
        <v>27.958656984065399</v>
      </c>
      <c r="CD152" s="233">
        <f>SUM(CB152:CC152)</f>
        <v>38.651565888000235</v>
      </c>
      <c r="CE152" s="233">
        <f>CE535</f>
        <v>21.864999999999998</v>
      </c>
      <c r="CF152" s="233">
        <f>CF535</f>
        <v>55.546000000000006</v>
      </c>
      <c r="CG152" s="233">
        <f>SUM(CE152:CF152)</f>
        <v>77.411000000000001</v>
      </c>
      <c r="CH152" s="233">
        <f>CH535+CH563</f>
        <v>36.283000000000001</v>
      </c>
      <c r="CI152" s="233">
        <f>CI535+CI563</f>
        <v>38.158000000000065</v>
      </c>
      <c r="CJ152" s="233">
        <f>SUM(CH152:CI152)</f>
        <v>74.441000000000059</v>
      </c>
      <c r="CK152" s="233">
        <f>CK535+CK563</f>
        <v>23.507999999999999</v>
      </c>
      <c r="CL152" s="233">
        <f>CL535+CL563</f>
        <v>14.183000000000007</v>
      </c>
      <c r="CM152" s="233">
        <f>SUM(CK152:CL152)</f>
        <v>37.691000000000003</v>
      </c>
      <c r="CN152" s="233">
        <f>CN535+CN563</f>
        <v>-5.907</v>
      </c>
      <c r="CO152" s="233">
        <f>CO535+CO563</f>
        <v>-10.019710671129827</v>
      </c>
      <c r="CP152" s="233">
        <f>SUM(CN152:CO152)</f>
        <v>-15.926710671129827</v>
      </c>
      <c r="CQ152" s="233">
        <f>CQ535+CQ563</f>
        <v>-2.1349999999999998</v>
      </c>
      <c r="CR152" s="233">
        <f>CR535+CR563</f>
        <v>-14.135</v>
      </c>
      <c r="CS152" s="233">
        <f>SUM(CQ152:CR152)</f>
        <v>-16.27</v>
      </c>
      <c r="CT152" s="233">
        <f>CT535+CT563</f>
        <v>-23.631488168284168</v>
      </c>
      <c r="CU152" s="233">
        <f>CU535+CU563</f>
        <v>-3.9475118317158344</v>
      </c>
      <c r="CV152" s="233">
        <f>SUM(CT152:CU152)</f>
        <v>-27.579000000000001</v>
      </c>
      <c r="CW152" s="233">
        <f>CW535+CW563</f>
        <v>4.7776303704207361</v>
      </c>
      <c r="CX152" s="233">
        <f>CX535+CX563</f>
        <v>9.3223664620528464</v>
      </c>
      <c r="CY152" s="233">
        <f>SUM(CW152:CX152)</f>
        <v>14.099996832473582</v>
      </c>
      <c r="CZ152" s="233">
        <f>CZ535+CZ563</f>
        <v>9.9999825268108093</v>
      </c>
      <c r="DA152" s="233">
        <f>DA535+DA563</f>
        <v>2.2999999999999998</v>
      </c>
      <c r="DB152" s="233">
        <f>SUM(CZ152:DA152)</f>
        <v>12.299982526810808</v>
      </c>
      <c r="DC152" s="233">
        <f>DC535+DC563</f>
        <v>-8.0990610176268643</v>
      </c>
      <c r="DD152" s="233">
        <f>DD535+DD563</f>
        <v>-11.275973405651312</v>
      </c>
      <c r="DE152" s="233">
        <f>SUM(DC152:DD152)</f>
        <v>-19.375034423278176</v>
      </c>
      <c r="DF152" s="233">
        <f>DF535+DF563</f>
        <v>-21.9</v>
      </c>
      <c r="DG152" s="233">
        <f>DG535+DG563</f>
        <v>-9.8000000000000007</v>
      </c>
      <c r="DH152" s="1122">
        <f>SUM(DF152:DG152)</f>
        <v>-31.7</v>
      </c>
      <c r="DI152" s="1120">
        <v>0.4</v>
      </c>
      <c r="DJ152" s="233">
        <f>+DK152-DI152</f>
        <v>3.9</v>
      </c>
      <c r="DK152" s="1122">
        <v>4.3</v>
      </c>
      <c r="DL152" s="1120">
        <v>5.4</v>
      </c>
      <c r="DM152" s="233">
        <f>+DN152-DL152</f>
        <v>1.7999999999999998</v>
      </c>
      <c r="DN152" s="1122">
        <v>7.2</v>
      </c>
      <c r="DO152" s="1120">
        <v>-7.4</v>
      </c>
      <c r="DP152" s="233">
        <f>+DQ152-DO152</f>
        <v>-12.200000000000001</v>
      </c>
      <c r="DQ152" s="1122">
        <v>-19.600000000000001</v>
      </c>
      <c r="DR152" s="1120">
        <v>-14.9</v>
      </c>
      <c r="DS152" s="233">
        <f>+DT152-DR152</f>
        <v>-7.7000000000000011</v>
      </c>
      <c r="DT152" s="1122">
        <v>-22.6</v>
      </c>
      <c r="DU152" s="1120">
        <v>1.9</v>
      </c>
      <c r="DV152" s="233">
        <f>+DW152-DU152</f>
        <v>-14.6</v>
      </c>
      <c r="DW152" s="1122">
        <v>-12.7</v>
      </c>
      <c r="DX152" s="1120">
        <v>-8.8000000000000007</v>
      </c>
      <c r="DY152" s="233">
        <f>DY535+DY563</f>
        <v>5.0036508939305016</v>
      </c>
      <c r="DZ152" s="1070">
        <f>SUM(DX152:DY152)</f>
        <v>-3.7963491060694992</v>
      </c>
      <c r="EA152" s="233">
        <f>EA535+EA563</f>
        <v>5.1787804318606829</v>
      </c>
      <c r="EB152" s="233">
        <f>EB535+EB563</f>
        <v>5.1787804318606829</v>
      </c>
      <c r="EC152" s="1070">
        <f>SUM(EA152:EB152)</f>
        <v>10.357560863721366</v>
      </c>
      <c r="ED152" s="233">
        <f>ED535+ED563</f>
        <v>0</v>
      </c>
      <c r="EE152" s="233">
        <f>EE535+EE563</f>
        <v>0</v>
      </c>
      <c r="EF152" s="1070">
        <f>SUM(ED152:EE152)</f>
        <v>0</v>
      </c>
      <c r="EG152" s="233">
        <f>EG535+EG563</f>
        <v>0</v>
      </c>
      <c r="EH152" s="233">
        <f>EH535+EH563</f>
        <v>0</v>
      </c>
      <c r="EI152" s="1070">
        <f>SUM(EG152:EH152)</f>
        <v>0</v>
      </c>
      <c r="EJ152" s="233">
        <f>EJ535+EJ563</f>
        <v>0</v>
      </c>
      <c r="EK152" s="233">
        <f>EK535+EK563</f>
        <v>0</v>
      </c>
      <c r="EL152" s="1070">
        <f>SUM(EJ152:EK152)</f>
        <v>0</v>
      </c>
      <c r="EM152" s="233">
        <f>EM535+EM563</f>
        <v>0</v>
      </c>
      <c r="EN152" s="233">
        <f>EN535+EN563</f>
        <v>0</v>
      </c>
      <c r="EO152" s="1070">
        <f>SUM(EM152:EN152)</f>
        <v>0</v>
      </c>
      <c r="EP152" s="233">
        <f>EP535+EP563</f>
        <v>0</v>
      </c>
      <c r="EQ152" s="233">
        <f>EQ535+EQ563</f>
        <v>0</v>
      </c>
      <c r="ER152" s="1070">
        <f>SUM(EP152:EQ152)</f>
        <v>0</v>
      </c>
      <c r="ES152" s="233">
        <f>ES535+ES563</f>
        <v>0</v>
      </c>
      <c r="ET152" s="233">
        <f>ET535+ET563</f>
        <v>0</v>
      </c>
      <c r="EU152" s="1070">
        <f>SUM(ES152:ET152)</f>
        <v>0</v>
      </c>
      <c r="EV152" s="233">
        <f>EV535+EV563</f>
        <v>0</v>
      </c>
      <c r="EW152" s="233">
        <f>EW535+EW563</f>
        <v>0</v>
      </c>
      <c r="EX152" s="1070">
        <f>SUM(EV152:EW152)</f>
        <v>0</v>
      </c>
      <c r="EY152" s="233">
        <f>EY535+EY563</f>
        <v>0</v>
      </c>
      <c r="EZ152" s="233">
        <f>EZ535+EZ563</f>
        <v>0</v>
      </c>
      <c r="FA152" s="1070">
        <f>SUM(EY152:EZ152)</f>
        <v>0</v>
      </c>
    </row>
    <row r="153" spans="1:158">
      <c r="BA153" s="35"/>
      <c r="BB153" s="35"/>
      <c r="BC153" s="322"/>
      <c r="BD153" s="35"/>
      <c r="BE153" s="35"/>
      <c r="BG153" s="35"/>
      <c r="BH153" s="35"/>
      <c r="BJ153" s="35"/>
      <c r="BK153" s="35"/>
      <c r="BL153" s="31"/>
      <c r="BM153" s="35"/>
      <c r="BN153" s="35"/>
      <c r="BO153" s="31"/>
      <c r="BP153" s="35"/>
      <c r="BQ153" s="35"/>
      <c r="BR153" s="1024"/>
      <c r="BS153" s="74">
        <v>5.4489999999999998</v>
      </c>
      <c r="BT153" s="74">
        <f>BU153-BS153</f>
        <v>11.077</v>
      </c>
      <c r="BU153" s="74">
        <v>16.526</v>
      </c>
      <c r="BV153" s="74">
        <v>13.795999999999999</v>
      </c>
      <c r="BW153" s="74">
        <f>BX153-BV153</f>
        <v>7.4870000000000019</v>
      </c>
      <c r="BX153" s="74">
        <v>21.283000000000001</v>
      </c>
      <c r="BY153" s="74">
        <v>8.2840000000000007</v>
      </c>
      <c r="BZ153" s="74">
        <f>CA153-BY153</f>
        <v>-26.212000000000003</v>
      </c>
      <c r="CA153" s="187">
        <f>-17.928</f>
        <v>-17.928000000000001</v>
      </c>
      <c r="CB153" s="187">
        <v>10.693</v>
      </c>
      <c r="CC153" s="187">
        <f>CD153-CB153</f>
        <v>27.959000000000003</v>
      </c>
      <c r="CD153" s="187">
        <v>38.652000000000001</v>
      </c>
      <c r="CE153" s="187">
        <v>21.864999999999998</v>
      </c>
      <c r="CF153" s="70"/>
      <c r="CG153" s="70"/>
      <c r="CH153" s="187">
        <v>36.283000000000001</v>
      </c>
      <c r="CI153" s="70"/>
      <c r="CJ153" s="70"/>
      <c r="CK153" s="187">
        <v>23.507999999999999</v>
      </c>
      <c r="CL153" s="35"/>
      <c r="CN153" s="187">
        <v>-5.907</v>
      </c>
      <c r="CO153" s="74">
        <f>CP153-CN153</f>
        <v>-10.02</v>
      </c>
      <c r="CP153" s="35">
        <v>-15.927</v>
      </c>
      <c r="CQ153" s="187">
        <f>+-2.135</f>
        <v>-2.1349999999999998</v>
      </c>
      <c r="CR153" s="35"/>
      <c r="CS153" s="187">
        <v>-16.27</v>
      </c>
      <c r="CT153" s="35"/>
      <c r="CU153" s="35"/>
      <c r="CW153" s="35"/>
      <c r="CX153" s="35"/>
      <c r="CZ153" s="35"/>
      <c r="DA153" s="35"/>
      <c r="DC153" s="74"/>
      <c r="DD153" s="244"/>
      <c r="DF153" s="35"/>
      <c r="DG153" s="35"/>
      <c r="DH153" s="1067"/>
      <c r="DI153" s="35"/>
      <c r="DJ153" s="35"/>
      <c r="DK153" s="1067"/>
      <c r="DL153" s="35"/>
      <c r="DM153" s="35"/>
      <c r="DN153" s="1067"/>
      <c r="DO153" s="35"/>
      <c r="DP153" s="35"/>
      <c r="DQ153" s="1067"/>
      <c r="DR153" s="35"/>
      <c r="DS153" s="35"/>
      <c r="DT153" s="1067"/>
      <c r="DU153" s="35"/>
      <c r="DV153" s="35"/>
      <c r="DW153" s="1067"/>
      <c r="DX153" s="35"/>
      <c r="DY153" s="35"/>
      <c r="DZ153" s="1067"/>
      <c r="EA153" s="35"/>
      <c r="EB153" s="35"/>
      <c r="EC153" s="1067"/>
      <c r="ED153" s="35"/>
      <c r="EE153" s="35"/>
      <c r="EF153" s="1067"/>
      <c r="EG153" s="35"/>
      <c r="EH153" s="35"/>
      <c r="EI153" s="1067"/>
      <c r="EJ153" s="35"/>
      <c r="EK153" s="35"/>
      <c r="EL153" s="1067"/>
      <c r="EM153" s="35"/>
      <c r="EN153" s="35"/>
      <c r="EO153" s="1067"/>
      <c r="EP153" s="35"/>
      <c r="EQ153" s="35"/>
      <c r="ER153" s="1067"/>
      <c r="ES153" s="35"/>
      <c r="ET153" s="35"/>
      <c r="EU153" s="1067"/>
      <c r="EV153" s="35"/>
      <c r="EW153" s="35"/>
      <c r="EX153" s="1067"/>
      <c r="EY153" s="35"/>
      <c r="EZ153" s="35"/>
      <c r="FA153" s="1067"/>
    </row>
    <row r="154" spans="1:158" s="233" customFormat="1">
      <c r="A154" s="1147"/>
      <c r="B154" s="233" t="s">
        <v>157</v>
      </c>
      <c r="D154" s="245" t="s">
        <v>604</v>
      </c>
      <c r="BC154" s="1020"/>
      <c r="BF154" s="246"/>
      <c r="BI154" s="246"/>
      <c r="BL154" s="246"/>
      <c r="BO154" s="246"/>
      <c r="BR154" s="246"/>
      <c r="BS154" s="233">
        <f>BS149+BS152</f>
        <v>77.199945293717008</v>
      </c>
      <c r="BT154" s="233">
        <f>BT149+BT152</f>
        <v>77.807664085937176</v>
      </c>
      <c r="BU154" s="233">
        <f>SUM(BS154:BT154)</f>
        <v>155.00760937965418</v>
      </c>
      <c r="BV154" s="233">
        <f>BV149+BV152</f>
        <v>80.171773681310043</v>
      </c>
      <c r="BW154" s="233">
        <f>BW149+BW152</f>
        <v>82.130925671097657</v>
      </c>
      <c r="BX154" s="233">
        <f>SUM(BV154:BW154)</f>
        <v>162.3026993524077</v>
      </c>
      <c r="BY154" s="233">
        <f>BY149+BY152</f>
        <v>89.442637067868489</v>
      </c>
      <c r="BZ154" s="233">
        <f>BZ149+BZ152</f>
        <v>84.48489010275317</v>
      </c>
      <c r="CA154" s="233">
        <f>SUM(BY154:BZ154)</f>
        <v>173.92752717062166</v>
      </c>
      <c r="CB154" s="233">
        <f>CB149+CB152</f>
        <v>94.85672436462545</v>
      </c>
      <c r="CC154" s="233">
        <f>CC149+CC152</f>
        <v>115.52033142703674</v>
      </c>
      <c r="CD154" s="233">
        <f>SUM(CB154:CC154)</f>
        <v>210.3770557916622</v>
      </c>
      <c r="CE154" s="233">
        <f>CE149+CE152</f>
        <v>111.70342406327633</v>
      </c>
      <c r="CF154" s="233">
        <f>CF149+CF152</f>
        <v>124.06926616027366</v>
      </c>
      <c r="CG154" s="233">
        <f>SUM(CE154:CF154)</f>
        <v>235.77269022355</v>
      </c>
      <c r="CH154" s="233">
        <f>CH149+CH152</f>
        <v>111.51794944506442</v>
      </c>
      <c r="CI154" s="233">
        <f>CI149+CI152</f>
        <v>108.8532484023996</v>
      </c>
      <c r="CJ154" s="233">
        <f>SUM(CH154:CI154)</f>
        <v>220.37119784746403</v>
      </c>
      <c r="CK154" s="233">
        <f>CK149+CK152</f>
        <v>110.32672396749228</v>
      </c>
      <c r="CL154" s="233">
        <f>CL149+CL152</f>
        <v>74.795226970198229</v>
      </c>
      <c r="CM154" s="233">
        <f>SUM(CK154:CL154)</f>
        <v>185.12195093769051</v>
      </c>
      <c r="CN154" s="233">
        <f>CN149+CN152</f>
        <v>52.455691712504503</v>
      </c>
      <c r="CO154" s="233">
        <f>CO149+CO152</f>
        <v>105.25779484872649</v>
      </c>
      <c r="CP154" s="233">
        <f>SUM(CN154:CO154)</f>
        <v>157.71348656123098</v>
      </c>
      <c r="CQ154" s="233">
        <f>CQ149+CQ152</f>
        <v>98.34838551046704</v>
      </c>
      <c r="CR154" s="233">
        <f>CR149+CR152</f>
        <v>103.66779012632902</v>
      </c>
      <c r="CS154" s="233">
        <f>SUM(CQ154:CR154)</f>
        <v>202.01617563679605</v>
      </c>
      <c r="CT154" s="233">
        <f>CT149+CT152</f>
        <v>143.34266945280015</v>
      </c>
      <c r="CU154" s="233">
        <f>CU149+CU152</f>
        <v>124.85676349686143</v>
      </c>
      <c r="CV154" s="233">
        <f>SUM(CT154:CU154)</f>
        <v>268.19943294966157</v>
      </c>
      <c r="CW154" s="233">
        <f>CW149+CW152</f>
        <v>151.26625841861508</v>
      </c>
      <c r="CX154" s="233">
        <f>CX149+CX152</f>
        <v>159.86871575426511</v>
      </c>
      <c r="CY154" s="233">
        <f>SUM(CW154:CX154)</f>
        <v>311.13497417288022</v>
      </c>
      <c r="CZ154" s="233">
        <f>CZ149+CZ152</f>
        <v>158.74473763271635</v>
      </c>
      <c r="DA154" s="233">
        <f>DA149+DA152</f>
        <v>178.83897182874273</v>
      </c>
      <c r="DB154" s="233">
        <f>SUM(CZ154:DA154)</f>
        <v>337.58370946145908</v>
      </c>
      <c r="DC154" s="233">
        <f>DC149+DC152</f>
        <v>170.46602786224878</v>
      </c>
      <c r="DD154" s="233">
        <f>DD149+DD152</f>
        <v>172.81612597375198</v>
      </c>
      <c r="DE154" s="233">
        <f>SUM(DC154:DD154)</f>
        <v>343.28215383600076</v>
      </c>
      <c r="DF154" s="233">
        <f>DF149+DF152</f>
        <v>175.32088290863811</v>
      </c>
      <c r="DG154" s="233">
        <f>DG149+DG152</f>
        <v>55.660424367402484</v>
      </c>
      <c r="DH154" s="1070">
        <f>SUM(DF154:DG154)</f>
        <v>230.98130727604058</v>
      </c>
      <c r="DI154" s="233">
        <f>DI149+DI152</f>
        <v>181.59999999999991</v>
      </c>
      <c r="DJ154" s="233">
        <f>DJ149+DJ152</f>
        <v>154.5</v>
      </c>
      <c r="DK154" s="1070">
        <f>SUM(DI154:DJ154)</f>
        <v>336.09999999999991</v>
      </c>
      <c r="DL154" s="233">
        <f>DL149+DL152</f>
        <v>217.69999999999987</v>
      </c>
      <c r="DM154" s="233">
        <f>DM149+DM152</f>
        <v>172.79999999999998</v>
      </c>
      <c r="DN154" s="1070">
        <f>SUM(DL154:DM154)</f>
        <v>390.49999999999989</v>
      </c>
      <c r="DO154" s="233">
        <f>DO149+DO152</f>
        <v>204.10000000000008</v>
      </c>
      <c r="DP154" s="233">
        <f>DP149+DP152</f>
        <v>227.19999999999987</v>
      </c>
      <c r="DQ154" s="1070">
        <f>SUM(DO154:DP154)</f>
        <v>431.29999999999995</v>
      </c>
      <c r="DR154" s="233">
        <f>DR149+DR152</f>
        <v>270.30000000000013</v>
      </c>
      <c r="DS154" s="233">
        <f>DS149+DS152</f>
        <v>258.89999999999975</v>
      </c>
      <c r="DT154" s="1070">
        <f>SUM(DR154:DS154)</f>
        <v>529.19999999999982</v>
      </c>
      <c r="DU154" s="233">
        <f>DU149+DU152</f>
        <v>271.60000000000014</v>
      </c>
      <c r="DV154" s="233">
        <f>DV149+DV152</f>
        <v>257.60000000000002</v>
      </c>
      <c r="DW154" s="1070">
        <f>SUM(DU154:DV154)</f>
        <v>529.20000000000016</v>
      </c>
      <c r="DX154" s="233">
        <f>DX149+DX152</f>
        <v>245.79999999999995</v>
      </c>
      <c r="DY154" s="233">
        <f>DY149+DY152</f>
        <v>295.38043729967001</v>
      </c>
      <c r="DZ154" s="1070">
        <f>SUM(DX154:DY154)</f>
        <v>541.18043729966996</v>
      </c>
      <c r="EA154" s="233">
        <f>EA149+EA152</f>
        <v>315.19096870193118</v>
      </c>
      <c r="EB154" s="233">
        <f>EB149+EB152</f>
        <v>324.77792655630287</v>
      </c>
      <c r="EC154" s="1070">
        <f>SUM(EA154:EB154)</f>
        <v>639.96889525823406</v>
      </c>
      <c r="ED154" s="233">
        <f>ED149+ED152</f>
        <v>352.34984349834582</v>
      </c>
      <c r="EE154" s="233">
        <f>EE149+EE152</f>
        <v>363.24901879550839</v>
      </c>
      <c r="EF154" s="1070">
        <f>SUM(ED154:EE154)</f>
        <v>715.59886229385415</v>
      </c>
      <c r="EG154" s="233">
        <f>EG149+EG152</f>
        <v>390.6396417521421</v>
      </c>
      <c r="EH154" s="233">
        <f>EH149+EH152</f>
        <v>402.72322859641281</v>
      </c>
      <c r="EI154" s="1070">
        <f>SUM(EG154:EH154)</f>
        <v>793.36287034855491</v>
      </c>
      <c r="EJ154" s="233">
        <f>EJ149+EJ152</f>
        <v>430.27868479074164</v>
      </c>
      <c r="EK154" s="233">
        <f>EK149+EK152</f>
        <v>443.58841913205663</v>
      </c>
      <c r="EL154" s="1070">
        <f>SUM(EJ154:EK154)</f>
        <v>873.86710392279826</v>
      </c>
      <c r="EM154" s="233">
        <f>EM149+EM152</f>
        <v>470.95768964438366</v>
      </c>
      <c r="EN154" s="233">
        <f>EN149+EN152</f>
        <v>485.52574043735899</v>
      </c>
      <c r="EO154" s="1070">
        <f>SUM(EM154:EN154)</f>
        <v>956.48343008174265</v>
      </c>
      <c r="EP154" s="233">
        <f>EP149+EP152</f>
        <v>513.34388171237811</v>
      </c>
      <c r="EQ154" s="233">
        <f>EQ149+EQ152</f>
        <v>529.22305707672149</v>
      </c>
      <c r="ER154" s="1070">
        <f>SUM(EP154:EQ154)</f>
        <v>1042.5669387890996</v>
      </c>
      <c r="ES154" s="233">
        <f>ES149+ES152</f>
        <v>559.54483106649229</v>
      </c>
      <c r="ET154" s="233">
        <f>ET149+ET152</f>
        <v>576.8531322136264</v>
      </c>
      <c r="EU154" s="1070">
        <f>SUM(ES154:ET154)</f>
        <v>1136.3979632801188</v>
      </c>
      <c r="EV154" s="233">
        <f>EV149+EV152</f>
        <v>609.90386586247655</v>
      </c>
      <c r="EW154" s="233">
        <f>EW149+EW152</f>
        <v>628.76991411285292</v>
      </c>
      <c r="EX154" s="1070">
        <f>SUM(EV154:EW154)</f>
        <v>1238.6737799753296</v>
      </c>
      <c r="EY154" s="233">
        <f>EY149+EY152</f>
        <v>664.79521379009941</v>
      </c>
      <c r="EZ154" s="233">
        <f>EZ149+EZ152</f>
        <v>685.35920638300968</v>
      </c>
      <c r="FA154" s="1070">
        <f>SUM(EY154:EZ154)</f>
        <v>1350.154420173109</v>
      </c>
    </row>
    <row r="155" spans="1:158">
      <c r="C155" s="35" t="s">
        <v>401</v>
      </c>
      <c r="D155" s="162" t="s">
        <v>460</v>
      </c>
      <c r="BA155" s="35"/>
      <c r="BB155" s="35"/>
      <c r="BC155" s="322"/>
      <c r="BD155" s="35"/>
      <c r="BE155" s="35"/>
      <c r="BG155" s="35"/>
      <c r="BH155" s="35"/>
      <c r="BJ155" s="35"/>
      <c r="BK155" s="35"/>
      <c r="BL155" s="31"/>
      <c r="BM155" s="35"/>
      <c r="BN155" s="35"/>
      <c r="BO155" s="31"/>
      <c r="BP155" s="35"/>
      <c r="BQ155" s="35"/>
      <c r="BR155" s="1024"/>
      <c r="BS155" s="65">
        <f t="shared" ref="BS155:CS155" si="1000">BS154/(BS127+BS152)</f>
        <v>0.29259205872691646</v>
      </c>
      <c r="BT155" s="65">
        <f t="shared" si="1000"/>
        <v>0.2868497038283801</v>
      </c>
      <c r="BU155" s="65">
        <f t="shared" si="1000"/>
        <v>0.28968117235725271</v>
      </c>
      <c r="BV155" s="65">
        <f t="shared" si="1000"/>
        <v>0.28100678825780945</v>
      </c>
      <c r="BW155" s="65">
        <f t="shared" si="1000"/>
        <v>0.28116077100969417</v>
      </c>
      <c r="BX155" s="65">
        <f t="shared" si="1000"/>
        <v>0.28108468790917612</v>
      </c>
      <c r="BY155" s="65">
        <f t="shared" si="1000"/>
        <v>0.26342762497983818</v>
      </c>
      <c r="BZ155" s="65">
        <f t="shared" si="1000"/>
        <v>0.25943571110955915</v>
      </c>
      <c r="CA155" s="65">
        <f t="shared" si="1000"/>
        <v>0.26147333264064437</v>
      </c>
      <c r="CB155" s="65">
        <f t="shared" si="1000"/>
        <v>0.28591060648725253</v>
      </c>
      <c r="CC155" s="65">
        <f t="shared" si="1000"/>
        <v>0.30976399139503658</v>
      </c>
      <c r="CD155" s="65">
        <f t="shared" si="1000"/>
        <v>0.29853390339822178</v>
      </c>
      <c r="CE155" s="65">
        <f t="shared" si="1000"/>
        <v>0.30801698084071527</v>
      </c>
      <c r="CF155" s="65">
        <f t="shared" si="1000"/>
        <v>0.29607917794596661</v>
      </c>
      <c r="CG155" s="65">
        <f t="shared" si="1000"/>
        <v>0.30161751378007856</v>
      </c>
      <c r="CH155" s="65">
        <f t="shared" si="1000"/>
        <v>0.29709368673725317</v>
      </c>
      <c r="CI155" s="65">
        <f t="shared" si="1000"/>
        <v>0.287713526586033</v>
      </c>
      <c r="CJ155" s="65">
        <f t="shared" si="1000"/>
        <v>0.29238508723210271</v>
      </c>
      <c r="CK155" s="65">
        <f t="shared" si="1000"/>
        <v>0.2914939933217045</v>
      </c>
      <c r="CL155" s="65">
        <f t="shared" si="1000"/>
        <v>0.21593201373738885</v>
      </c>
      <c r="CM155" s="65">
        <f t="shared" si="1000"/>
        <v>0.25538629205319913</v>
      </c>
      <c r="CN155" s="65">
        <f t="shared" si="1000"/>
        <v>0.14752735308833384</v>
      </c>
      <c r="CO155" s="65">
        <f t="shared" si="1000"/>
        <v>0.25221868240592743</v>
      </c>
      <c r="CP155" s="65">
        <f t="shared" si="1000"/>
        <v>0.20405594152864889</v>
      </c>
      <c r="CQ155" s="65">
        <f t="shared" si="1000"/>
        <v>0.22435017339340521</v>
      </c>
      <c r="CR155" s="65">
        <f t="shared" si="1000"/>
        <v>0.21275487236144888</v>
      </c>
      <c r="CS155" s="65">
        <f t="shared" si="1000"/>
        <v>0.21824627837438559</v>
      </c>
      <c r="CT155" s="65">
        <f t="shared" ref="CT155:DY155" si="1001">+CT154/CT$127</f>
        <v>0.24641179511242553</v>
      </c>
      <c r="CU155" s="65">
        <f t="shared" si="1001"/>
        <v>0.2172408171915442</v>
      </c>
      <c r="CV155" s="65">
        <f t="shared" si="1001"/>
        <v>0.23191435228231791</v>
      </c>
      <c r="CW155" s="65">
        <f t="shared" si="1001"/>
        <v>0.25029969236320709</v>
      </c>
      <c r="CX155" s="65">
        <f t="shared" si="1001"/>
        <v>0.2516014735258717</v>
      </c>
      <c r="CY155" s="65">
        <f t="shared" si="1001"/>
        <v>0.25096689213517293</v>
      </c>
      <c r="CZ155" s="65">
        <f t="shared" si="1001"/>
        <v>0.25236249704305519</v>
      </c>
      <c r="DA155" s="65">
        <f t="shared" si="1001"/>
        <v>0.25472934351162774</v>
      </c>
      <c r="DB155" s="65">
        <f t="shared" si="1001"/>
        <v>0.25361085644054315</v>
      </c>
      <c r="DC155" s="65">
        <f t="shared" si="1001"/>
        <v>0.24031755299705118</v>
      </c>
      <c r="DD155" s="65">
        <f t="shared" si="1001"/>
        <v>0.23557398969266119</v>
      </c>
      <c r="DE155" s="65">
        <f t="shared" si="1001"/>
        <v>0.23790589562474967</v>
      </c>
      <c r="DF155" s="65">
        <f t="shared" si="1001"/>
        <v>0.22628955827920921</v>
      </c>
      <c r="DG155" s="65">
        <f t="shared" si="1001"/>
        <v>9.5625884876908818E-2</v>
      </c>
      <c r="DH155" s="1066">
        <f t="shared" si="1001"/>
        <v>0.17023626272716005</v>
      </c>
      <c r="DI155" s="65">
        <f t="shared" si="1001"/>
        <v>0.24448034464189541</v>
      </c>
      <c r="DJ155" s="65">
        <f t="shared" si="1001"/>
        <v>0.20586275816122585</v>
      </c>
      <c r="DK155" s="1066">
        <f t="shared" si="1001"/>
        <v>0.22507198821402258</v>
      </c>
      <c r="DL155" s="65">
        <f t="shared" si="1001"/>
        <v>0.26701827548141777</v>
      </c>
      <c r="DM155" s="65">
        <f t="shared" si="1001"/>
        <v>0.20925163477839667</v>
      </c>
      <c r="DN155" s="1066">
        <f t="shared" si="1001"/>
        <v>0.23795015538358413</v>
      </c>
      <c r="DO155" s="65">
        <f t="shared" si="1001"/>
        <v>0.22865785346179707</v>
      </c>
      <c r="DP155" s="65">
        <f t="shared" si="1001"/>
        <v>0.21371460822123967</v>
      </c>
      <c r="DQ155" s="1066">
        <f t="shared" si="1001"/>
        <v>0.22053484685790253</v>
      </c>
      <c r="DR155" s="65">
        <f t="shared" si="1001"/>
        <v>0.24276989401832236</v>
      </c>
      <c r="DS155" s="65">
        <f t="shared" si="1001"/>
        <v>0.22615303983228496</v>
      </c>
      <c r="DT155" s="1066">
        <f t="shared" si="1001"/>
        <v>0.23434593924364533</v>
      </c>
      <c r="DU155" s="65">
        <f t="shared" ref="DU155:DW155" si="1002">+DU154/DU$127</f>
        <v>0.23215659458073348</v>
      </c>
      <c r="DV155" s="65">
        <f t="shared" si="1002"/>
        <v>0.21721898979677881</v>
      </c>
      <c r="DW155" s="1066">
        <f t="shared" si="1002"/>
        <v>0.22463706596485275</v>
      </c>
      <c r="DX155" s="65">
        <f t="shared" ref="DX155" si="1003">+DX154/DX$127</f>
        <v>0.20901360544217684</v>
      </c>
      <c r="DY155" s="65">
        <f t="shared" si="1001"/>
        <v>0.22086727185181229</v>
      </c>
      <c r="DZ155" s="1066">
        <f t="shared" ref="DZ155:ER155" si="1004">+DZ154/DZ$127</f>
        <v>0.2153209605481575</v>
      </c>
      <c r="EA155" s="65">
        <f t="shared" si="1004"/>
        <v>0.22726594838216152</v>
      </c>
      <c r="EB155" s="65">
        <f t="shared" si="1004"/>
        <v>0.22715393670223005</v>
      </c>
      <c r="EC155" s="1066">
        <f t="shared" si="1004"/>
        <v>0.22720908975318452</v>
      </c>
      <c r="ED155" s="65">
        <f t="shared" si="1004"/>
        <v>0.23353182982173157</v>
      </c>
      <c r="EE155" s="65">
        <f t="shared" si="1004"/>
        <v>0.23353182982173151</v>
      </c>
      <c r="EF155" s="1066">
        <f t="shared" si="1004"/>
        <v>0.23353182982173151</v>
      </c>
      <c r="EG155" s="65">
        <f t="shared" si="1004"/>
        <v>0.23753182982173146</v>
      </c>
      <c r="EH155" s="65">
        <f t="shared" si="1004"/>
        <v>0.23753182982173152</v>
      </c>
      <c r="EI155" s="1066">
        <f t="shared" si="1004"/>
        <v>0.23753182982173149</v>
      </c>
      <c r="EJ155" s="65">
        <f t="shared" si="1004"/>
        <v>0.24003182982173157</v>
      </c>
      <c r="EK155" s="65">
        <f t="shared" si="1004"/>
        <v>0.24003182982173155</v>
      </c>
      <c r="EL155" s="1066">
        <f t="shared" si="1004"/>
        <v>0.24003182982173157</v>
      </c>
      <c r="EM155" s="65">
        <f t="shared" si="1004"/>
        <v>0.24103182982173155</v>
      </c>
      <c r="EN155" s="65">
        <f t="shared" si="1004"/>
        <v>0.24103182982173146</v>
      </c>
      <c r="EO155" s="1066">
        <f t="shared" si="1004"/>
        <v>0.24103182982173149</v>
      </c>
      <c r="EP155" s="65">
        <f t="shared" si="1004"/>
        <v>0.24103182982173152</v>
      </c>
      <c r="EQ155" s="65">
        <f t="shared" si="1004"/>
        <v>0.24103182982173152</v>
      </c>
      <c r="ER155" s="1066">
        <f t="shared" si="1004"/>
        <v>0.24103182982173152</v>
      </c>
      <c r="ES155" s="65">
        <f t="shared" ref="ES155:EX155" si="1005">+ES154/ES$127</f>
        <v>0.24103182982173149</v>
      </c>
      <c r="ET155" s="65">
        <f t="shared" si="1005"/>
        <v>0.24103182982173149</v>
      </c>
      <c r="EU155" s="1066">
        <f t="shared" si="1005"/>
        <v>0.24103182982173149</v>
      </c>
      <c r="EV155" s="65">
        <f t="shared" si="1005"/>
        <v>0.24103182982173149</v>
      </c>
      <c r="EW155" s="65">
        <f t="shared" si="1005"/>
        <v>0.24103182982173152</v>
      </c>
      <c r="EX155" s="1066">
        <f t="shared" si="1005"/>
        <v>0.24103182982173152</v>
      </c>
      <c r="EY155" s="65">
        <f t="shared" ref="EY155:FA155" si="1006">+EY154/EY$127</f>
        <v>0.24103182982173149</v>
      </c>
      <c r="EZ155" s="65">
        <f t="shared" si="1006"/>
        <v>0.24103182982173157</v>
      </c>
      <c r="FA155" s="1066">
        <f t="shared" si="1006"/>
        <v>0.24103182982173152</v>
      </c>
      <c r="FB155" s="70"/>
    </row>
    <row r="156" spans="1:158">
      <c r="BA156" s="35"/>
      <c r="BB156" s="35"/>
      <c r="BC156" s="322"/>
      <c r="BD156" s="35"/>
      <c r="BE156" s="35"/>
      <c r="BG156" s="35"/>
      <c r="BH156" s="35"/>
      <c r="BJ156" s="35"/>
      <c r="BK156" s="35"/>
      <c r="BL156" s="31"/>
      <c r="BM156" s="35"/>
      <c r="BN156" s="35"/>
      <c r="BO156" s="31"/>
      <c r="BP156" s="35"/>
      <c r="BQ156" s="35"/>
      <c r="BR156" s="1024"/>
      <c r="BS156" s="74"/>
      <c r="BT156" s="74"/>
      <c r="BU156" s="74"/>
      <c r="BV156" s="74"/>
      <c r="BW156" s="74"/>
      <c r="BX156" s="74"/>
      <c r="BY156" s="74"/>
      <c r="BZ156" s="74"/>
      <c r="CA156" s="187"/>
      <c r="CB156" s="187"/>
      <c r="CC156" s="187"/>
      <c r="CD156" s="187"/>
      <c r="CE156" s="187"/>
      <c r="CF156" s="70"/>
      <c r="CG156" s="70"/>
      <c r="CH156" s="70"/>
      <c r="CI156" s="70"/>
      <c r="CJ156" s="70"/>
      <c r="CK156" s="35"/>
      <c r="CL156" s="35"/>
      <c r="CN156" s="35"/>
      <c r="CO156" s="35"/>
      <c r="CQ156" s="35"/>
      <c r="CR156" s="35"/>
      <c r="CT156" s="35"/>
      <c r="CU156" s="35"/>
      <c r="CW156" s="35"/>
      <c r="CX156" s="35"/>
      <c r="CZ156" s="35"/>
      <c r="DA156" s="35"/>
      <c r="DC156" s="244"/>
      <c r="DD156" s="35"/>
      <c r="DE156" s="244"/>
      <c r="DF156" s="35"/>
      <c r="DG156" s="35"/>
      <c r="DH156" s="1067"/>
      <c r="DI156" s="35"/>
      <c r="DJ156" s="35"/>
      <c r="DK156" s="1067"/>
      <c r="DL156" s="35"/>
      <c r="DM156" s="35"/>
      <c r="DN156" s="1067"/>
      <c r="DO156" s="35"/>
      <c r="DP156" s="35"/>
      <c r="DQ156" s="1067"/>
      <c r="DR156" s="35"/>
      <c r="DS156" s="35"/>
      <c r="DT156" s="1067"/>
      <c r="DU156" s="35"/>
      <c r="DV156" s="35"/>
      <c r="DW156" s="1067"/>
      <c r="DX156" s="35"/>
      <c r="DY156" s="35"/>
      <c r="DZ156" s="1067"/>
      <c r="EA156" s="35"/>
      <c r="EB156" s="35"/>
      <c r="EC156" s="1067"/>
      <c r="ED156" s="35"/>
      <c r="EE156" s="35"/>
      <c r="EF156" s="1067"/>
      <c r="EG156" s="35"/>
      <c r="EH156" s="35"/>
      <c r="EI156" s="1067"/>
      <c r="EJ156" s="35"/>
      <c r="EK156" s="35"/>
      <c r="EL156" s="1067"/>
      <c r="EM156" s="35"/>
      <c r="EN156" s="35"/>
      <c r="EO156" s="1067"/>
      <c r="EP156" s="35"/>
      <c r="EQ156" s="35"/>
      <c r="ER156" s="1067"/>
      <c r="ES156" s="35"/>
      <c r="ET156" s="35"/>
      <c r="EU156" s="1067"/>
      <c r="EV156" s="35"/>
      <c r="EW156" s="35"/>
      <c r="EX156" s="1067"/>
      <c r="EY156" s="35"/>
      <c r="EZ156" s="35"/>
      <c r="FA156" s="1067"/>
      <c r="FB156" s="70"/>
    </row>
    <row r="157" spans="1:158" s="1045" customFormat="1">
      <c r="A157" s="1424"/>
      <c r="B157" s="1045" t="s">
        <v>16</v>
      </c>
      <c r="D157" s="1046" t="s">
        <v>604</v>
      </c>
      <c r="BC157" s="1047"/>
      <c r="BF157" s="1048"/>
      <c r="BI157" s="1048"/>
      <c r="BL157" s="1048"/>
      <c r="BO157" s="1048"/>
      <c r="BR157" s="1048"/>
      <c r="BS157" s="1045">
        <v>9.5280000000000005</v>
      </c>
      <c r="BT157" s="1045">
        <f>BU157-BS157</f>
        <v>-2.2030000000000003</v>
      </c>
      <c r="BU157" s="1045">
        <v>7.3250000000000002</v>
      </c>
      <c r="BV157" s="1045">
        <v>2.109</v>
      </c>
      <c r="BW157" s="1045">
        <f>BX157-BV157</f>
        <v>7.5850000000000009</v>
      </c>
      <c r="BX157" s="1045">
        <v>9.6940000000000008</v>
      </c>
      <c r="BY157" s="1045">
        <v>13.923999999999999</v>
      </c>
      <c r="BZ157" s="1045">
        <f>CA157-BY157</f>
        <v>168.07</v>
      </c>
      <c r="CA157" s="1049">
        <v>181.994</v>
      </c>
      <c r="CB157" s="1049">
        <v>51.945999999999998</v>
      </c>
      <c r="CC157" s="1049">
        <f>CD157-CB157</f>
        <v>56.346000000000004</v>
      </c>
      <c r="CD157" s="1049">
        <v>108.292</v>
      </c>
      <c r="CE157" s="1049">
        <v>40.353000000000002</v>
      </c>
      <c r="CF157" s="1045">
        <f>CF489-CF152</f>
        <v>38.058214964350057</v>
      </c>
      <c r="CG157" s="1045">
        <f>SUM(CE157:CF157)</f>
        <v>78.411214964350052</v>
      </c>
      <c r="CH157" s="1049">
        <v>41.353000000000002</v>
      </c>
      <c r="CI157" s="1045">
        <f>CI489-CI152</f>
        <v>51.079958803239727</v>
      </c>
      <c r="CJ157" s="1045">
        <f>SUM(CH157:CI157)</f>
        <v>92.432958803239728</v>
      </c>
      <c r="CK157" s="1049"/>
      <c r="CL157" s="1045">
        <f>CL489-CL152</f>
        <v>74.355778887414161</v>
      </c>
      <c r="CM157" s="1045">
        <f>SUM(CK157:CL157)</f>
        <v>74.355778887414161</v>
      </c>
      <c r="CN157" s="1049">
        <v>43.353000000000002</v>
      </c>
      <c r="CO157" s="1045">
        <f>CO489-CO152</f>
        <v>106.81920515127347</v>
      </c>
      <c r="CP157" s="1045">
        <f>SUM(CN157:CO157)</f>
        <v>150.17220515127346</v>
      </c>
      <c r="CQ157" s="1045">
        <f>CQ489-CQ152</f>
        <v>102.10461448953295</v>
      </c>
      <c r="CR157" s="1045">
        <f>CR489-CR152</f>
        <v>120.1682098736711</v>
      </c>
      <c r="CS157" s="1045">
        <f>SUM(CQ157:CR157)</f>
        <v>222.27282436320405</v>
      </c>
      <c r="CT157" s="1045">
        <f>CT489-CT152</f>
        <v>141.12948816828404</v>
      </c>
      <c r="CU157" s="1045">
        <f>CU489-CU152</f>
        <v>132.84008512163959</v>
      </c>
      <c r="CV157" s="1045">
        <f>SUM(CT157:CU157)</f>
        <v>273.96957328992363</v>
      </c>
      <c r="CW157" s="1045">
        <f>CW489-CW152</f>
        <v>122.72488218100301</v>
      </c>
      <c r="CX157" s="1045">
        <f>CX489-CX152</f>
        <v>129.38644219509294</v>
      </c>
      <c r="CY157" s="1045">
        <f>SUM(CW157:CX157)</f>
        <v>252.11132437609595</v>
      </c>
      <c r="CZ157" s="1045">
        <f>CZ489-CZ152</f>
        <v>131.32626718456299</v>
      </c>
      <c r="DA157" s="1045">
        <f>DA489-DA152</f>
        <v>158.10294586709551</v>
      </c>
      <c r="DB157" s="1045">
        <f>SUM(CZ157:DA157)</f>
        <v>289.42921305165851</v>
      </c>
      <c r="DC157" s="1045">
        <f>DC489-DC152</f>
        <v>168.41777022989359</v>
      </c>
      <c r="DD157" s="1045">
        <f>DD489-DD152</f>
        <v>179.24638602279316</v>
      </c>
      <c r="DE157" s="1045">
        <f>SUM(DC157:DD157)</f>
        <v>347.66415625268678</v>
      </c>
      <c r="DF157" s="1045">
        <f>DF489-DF152</f>
        <v>188.12955844910931</v>
      </c>
      <c r="DG157" s="1045">
        <f>DG489-DG152</f>
        <v>170.6238876262714</v>
      </c>
      <c r="DH157" s="1094">
        <f>SUM(DF157:DG157)</f>
        <v>358.75344607538068</v>
      </c>
      <c r="DI157" s="1045">
        <f>DI489-DI152</f>
        <v>160.57683910282245</v>
      </c>
      <c r="DJ157" s="1045">
        <f>DJ489-DJ152</f>
        <v>177.22130560362589</v>
      </c>
      <c r="DK157" s="1094">
        <f>SUM(DI157:DJ157)</f>
        <v>337.79814470644834</v>
      </c>
      <c r="DL157" s="1045">
        <f>DL489-DL152</f>
        <v>185.59999999999994</v>
      </c>
      <c r="DM157" s="1045">
        <f>DM489-DM152</f>
        <v>226.36854</v>
      </c>
      <c r="DN157" s="1094">
        <f>SUM(DL157:DM157)</f>
        <v>411.96853999999996</v>
      </c>
      <c r="DO157" s="1045">
        <f>DO489-DO152</f>
        <v>229.85039000000003</v>
      </c>
      <c r="DP157" s="1045">
        <f>DP489-DP152</f>
        <v>337.86625000000004</v>
      </c>
      <c r="DQ157" s="1094">
        <f>SUM(DO157:DP157)</f>
        <v>567.7166400000001</v>
      </c>
      <c r="DR157" s="1045">
        <f>DR489-DR152</f>
        <v>266.394792</v>
      </c>
      <c r="DS157" s="1045">
        <f>DS489-DS152</f>
        <v>266.28742400000004</v>
      </c>
      <c r="DT157" s="1094">
        <f>SUM(DR157:DS157)</f>
        <v>532.68221600000004</v>
      </c>
      <c r="DU157" s="1045">
        <f>DU489-DU152</f>
        <v>264.66171500000007</v>
      </c>
      <c r="DV157" s="1045">
        <f>DV489-DV152</f>
        <v>284.80731500000002</v>
      </c>
      <c r="DW157" s="1094">
        <f>SUM(DU157:DV157)</f>
        <v>549.46903000000009</v>
      </c>
      <c r="DX157" s="1045">
        <f>DX489-DX152</f>
        <v>280.27960000000002</v>
      </c>
      <c r="DY157" s="1045">
        <f>DY489-DY152</f>
        <v>303.7273502132818</v>
      </c>
      <c r="DZ157" s="1094">
        <f>SUM(DX157:DY157)</f>
        <v>584.00695021328181</v>
      </c>
      <c r="EA157" s="1045">
        <f>EA489-EA152</f>
        <v>311.03023097356731</v>
      </c>
      <c r="EB157" s="1045">
        <f>EB489-EB152</f>
        <v>320.80882220390771</v>
      </c>
      <c r="EC157" s="1094">
        <f>SUM(EA157:EB157)</f>
        <v>631.83905317747508</v>
      </c>
      <c r="ED157" s="1045">
        <f>ED489-ED152</f>
        <v>336.45955311578393</v>
      </c>
      <c r="EE157" s="1045">
        <f>EE489-EE152</f>
        <v>346.86719687519201</v>
      </c>
      <c r="EF157" s="1094">
        <f>SUM(ED157:EE157)</f>
        <v>683.32674999097594</v>
      </c>
      <c r="EG157" s="1045">
        <f>EG489-EG152</f>
        <v>358.51802247252277</v>
      </c>
      <c r="EH157" s="1045">
        <f>EH489-EH152</f>
        <v>369.60799695732339</v>
      </c>
      <c r="EI157" s="1094">
        <f>SUM(EG157:EH157)</f>
        <v>728.12601942984611</v>
      </c>
      <c r="EJ157" s="1045">
        <f>EJ489-EJ152</f>
        <v>390.78464449504986</v>
      </c>
      <c r="EK157" s="1045">
        <f>EK489-EK152</f>
        <v>402.87271668348251</v>
      </c>
      <c r="EL157" s="1094">
        <f>SUM(EJ157:EK157)</f>
        <v>793.65736117853237</v>
      </c>
      <c r="EM157" s="1045">
        <f>EM489-EM152</f>
        <v>425.95526249960437</v>
      </c>
      <c r="EN157" s="1045">
        <f>EN489-EN152</f>
        <v>439.13126118499594</v>
      </c>
      <c r="EO157" s="1094">
        <f>SUM(EM157:EN157)</f>
        <v>865.08652368460025</v>
      </c>
      <c r="EP157" s="1045">
        <f>EP489-EP152</f>
        <v>453.64235456207871</v>
      </c>
      <c r="EQ157" s="1045">
        <f>EQ489-EQ152</f>
        <v>467.67479316202076</v>
      </c>
      <c r="ER157" s="1094">
        <f>SUM(EP157:EQ157)</f>
        <v>921.31714772409941</v>
      </c>
      <c r="ES157" s="1045">
        <f>ES489-ES152</f>
        <v>494.47016647266594</v>
      </c>
      <c r="ET157" s="1045">
        <f>ET489-ET152</f>
        <v>509.76552454660271</v>
      </c>
      <c r="EU157" s="1094">
        <f>SUM(ES157:ET157)</f>
        <v>1004.2356910192686</v>
      </c>
      <c r="EV157" s="1045">
        <f>EV489-EV152</f>
        <v>538.97248145520587</v>
      </c>
      <c r="EW157" s="1045">
        <f>EW489-EW152</f>
        <v>555.64442175579688</v>
      </c>
      <c r="EX157" s="1094">
        <f>SUM(EV157:EW157)</f>
        <v>1094.6169032110029</v>
      </c>
      <c r="EY157" s="1045">
        <f>EY489-EY152</f>
        <v>587.48000478617439</v>
      </c>
      <c r="EZ157" s="1045">
        <f>EZ489-EZ152</f>
        <v>605.65241971381886</v>
      </c>
      <c r="FA157" s="1094">
        <f>SUM(EY157:EZ157)</f>
        <v>1193.1324244999932</v>
      </c>
    </row>
    <row r="158" spans="1:158">
      <c r="BA158" s="91"/>
      <c r="BB158" s="91"/>
      <c r="BC158" s="942"/>
      <c r="BD158" s="91"/>
      <c r="BE158" s="91"/>
      <c r="BF158" s="87"/>
      <c r="BG158" s="91"/>
      <c r="BH158" s="91"/>
      <c r="BI158" s="87"/>
      <c r="BR158" s="124"/>
      <c r="BS158" s="77">
        <f>9.528</f>
        <v>9.5280000000000005</v>
      </c>
      <c r="BT158" s="77">
        <f>BU158-BS158</f>
        <v>-2.2030000000000003</v>
      </c>
      <c r="BU158" s="77">
        <f>7.325</f>
        <v>7.3250000000000002</v>
      </c>
      <c r="BV158" s="77">
        <f>2.109</f>
        <v>2.109</v>
      </c>
      <c r="BW158" s="77">
        <f>BX158-BV158</f>
        <v>7.5850000000000009</v>
      </c>
      <c r="BX158" s="77">
        <f>9.694</f>
        <v>9.6940000000000008</v>
      </c>
      <c r="BY158" s="77">
        <f>13.924</f>
        <v>13.923999999999999</v>
      </c>
      <c r="BZ158" s="77">
        <f>CA158-BY158</f>
        <v>168.07</v>
      </c>
      <c r="CA158" s="188">
        <v>181.994</v>
      </c>
      <c r="CB158" s="188">
        <v>51.945999999999998</v>
      </c>
      <c r="CC158" s="188">
        <f>CD158-CB158</f>
        <v>56.346000000000004</v>
      </c>
      <c r="CD158" s="188">
        <v>108.292</v>
      </c>
      <c r="CE158" s="188">
        <v>40.353000000000002</v>
      </c>
      <c r="CF158" s="71"/>
      <c r="CG158" s="70"/>
      <c r="CH158" s="71"/>
      <c r="CI158" s="71"/>
      <c r="CJ158" s="70"/>
      <c r="DC158" s="35"/>
      <c r="DE158" s="70"/>
      <c r="DH158" s="1067"/>
      <c r="DK158" s="1067"/>
      <c r="DN158" s="1067"/>
      <c r="DQ158" s="1067"/>
      <c r="DT158" s="1067"/>
      <c r="DW158" s="1067"/>
      <c r="DZ158" s="1067"/>
      <c r="EC158" s="1067"/>
      <c r="EF158" s="1067"/>
      <c r="EI158" s="1067"/>
      <c r="EL158" s="1067"/>
      <c r="EO158" s="1067"/>
      <c r="ER158" s="1067"/>
      <c r="EU158" s="1067"/>
      <c r="EX158" s="1067"/>
      <c r="FA158" s="1067"/>
      <c r="FB158" s="65"/>
    </row>
    <row r="159" spans="1:158" s="233" customFormat="1">
      <c r="A159" s="1147" t="s">
        <v>1034</v>
      </c>
      <c r="B159" s="233" t="s">
        <v>108</v>
      </c>
      <c r="D159" s="245"/>
      <c r="BA159" s="946"/>
      <c r="BB159" s="946"/>
      <c r="BC159" s="947"/>
      <c r="BD159" s="946"/>
      <c r="BE159" s="946"/>
      <c r="BF159" s="231"/>
      <c r="BG159" s="946"/>
      <c r="BH159" s="946"/>
      <c r="BI159" s="231"/>
      <c r="BJ159" s="948"/>
      <c r="BK159" s="948"/>
      <c r="BL159" s="949"/>
      <c r="BM159" s="948"/>
      <c r="BN159" s="948"/>
      <c r="BO159" s="949"/>
      <c r="BP159" s="948"/>
      <c r="BQ159" s="948"/>
      <c r="BR159" s="949"/>
      <c r="BS159" s="1015">
        <v>0</v>
      </c>
      <c r="BT159" s="1015">
        <f>BU159-BS159</f>
        <v>1.133</v>
      </c>
      <c r="BU159" s="1015">
        <v>1.133</v>
      </c>
      <c r="BV159" s="1015">
        <v>1.1499999999999999</v>
      </c>
      <c r="BW159" s="1015">
        <f>BX159-BV159</f>
        <v>1.3599999999999999</v>
      </c>
      <c r="BX159" s="1015">
        <v>2.5099999999999998</v>
      </c>
      <c r="BY159" s="1015">
        <v>1.161</v>
      </c>
      <c r="BZ159" s="1015">
        <f>CA159-BY159</f>
        <v>1.92</v>
      </c>
      <c r="CA159" s="1016">
        <v>3.081</v>
      </c>
      <c r="CB159" s="1016">
        <v>8.2810000000000006</v>
      </c>
      <c r="CC159" s="1016">
        <f>CD159-CB159</f>
        <v>0.78299999999999947</v>
      </c>
      <c r="CD159" s="1016">
        <v>9.0640000000000001</v>
      </c>
      <c r="CE159" s="1016">
        <v>6.7359999999999998</v>
      </c>
      <c r="CF159" s="232"/>
      <c r="CH159" s="232"/>
      <c r="CI159" s="232"/>
      <c r="CK159" s="1016">
        <f>0.898-0.698</f>
        <v>0.20000000000000007</v>
      </c>
      <c r="CL159" s="232">
        <f>CM159-CK159</f>
        <v>-0.33600000000000019</v>
      </c>
      <c r="CM159" s="233">
        <f>2.379-2.515</f>
        <v>-0.13600000000000012</v>
      </c>
      <c r="CN159" s="1016">
        <f>1.255-0.537</f>
        <v>0.71799999999999986</v>
      </c>
      <c r="CO159" s="1015">
        <f>(2.532-3.112)-CN159</f>
        <v>-1.298</v>
      </c>
      <c r="CP159" s="233">
        <f>SUM(CN159:CO159)</f>
        <v>-0.58000000000000018</v>
      </c>
      <c r="CQ159" s="1016">
        <v>2.0859999999999999</v>
      </c>
      <c r="CR159" s="232">
        <f>4.428-CQ159</f>
        <v>2.3420000000000001</v>
      </c>
      <c r="CS159" s="233">
        <f>SUM(CQ159:CR159)</f>
        <v>4.4279999999999999</v>
      </c>
      <c r="CT159" s="232">
        <v>7.9370000000000003</v>
      </c>
      <c r="CU159" s="232">
        <f>14.156-CT159</f>
        <v>6.2190000000000003</v>
      </c>
      <c r="CV159" s="233">
        <f>SUM(CT159:CU159)</f>
        <v>14.156000000000001</v>
      </c>
      <c r="CW159" s="232">
        <v>5.0759999999999996</v>
      </c>
      <c r="CX159" s="232">
        <v>-0.57599999999999874</v>
      </c>
      <c r="CY159" s="233">
        <f>SUM(CW159:CX159)</f>
        <v>4.5000000000000009</v>
      </c>
      <c r="CZ159" s="232">
        <v>1.7000174731891753</v>
      </c>
      <c r="DA159" s="232">
        <f>8-CZ159</f>
        <v>6.2999825268108243</v>
      </c>
      <c r="DB159" s="233">
        <f>SUM(CZ159:DA159)</f>
        <v>8</v>
      </c>
      <c r="DC159" s="232">
        <v>8</v>
      </c>
      <c r="DD159" s="232">
        <f>13.8-DC159</f>
        <v>5.8000000000000007</v>
      </c>
      <c r="DE159" s="233">
        <f>SUM(DC159:DD159)</f>
        <v>13.8</v>
      </c>
      <c r="DF159" s="1017">
        <v>6</v>
      </c>
      <c r="DG159" s="232">
        <f>-20.4-DF159</f>
        <v>-26.4</v>
      </c>
      <c r="DH159" s="1122">
        <f>SUM(DF159:DG159)</f>
        <v>-20.399999999999999</v>
      </c>
      <c r="DI159" s="1120">
        <v>-6</v>
      </c>
      <c r="DJ159" s="233">
        <f>+DK159-DI159</f>
        <v>9.9999999999999645E-2</v>
      </c>
      <c r="DK159" s="1122">
        <v>-5.9</v>
      </c>
      <c r="DL159" s="1120">
        <v>5.0999999999999996</v>
      </c>
      <c r="DM159" s="233">
        <f>+DN159-DL159</f>
        <v>8.7000000000000011</v>
      </c>
      <c r="DN159" s="1122">
        <v>13.8</v>
      </c>
      <c r="DO159" s="1120">
        <v>-1.1000000000000001</v>
      </c>
      <c r="DP159" s="233">
        <f>+DQ159-DO159</f>
        <v>4.4000000000000004</v>
      </c>
      <c r="DQ159" s="1122">
        <v>3.3</v>
      </c>
      <c r="DR159" s="1120">
        <v>1.9</v>
      </c>
      <c r="DS159" s="233">
        <f>+DT159-DR159</f>
        <v>4</v>
      </c>
      <c r="DT159" s="1122">
        <v>5.9</v>
      </c>
      <c r="DU159" s="1120">
        <v>15.1</v>
      </c>
      <c r="DV159" s="233">
        <f>+DW159-DU159</f>
        <v>9.7000000000000011</v>
      </c>
      <c r="DW159" s="1122">
        <v>24.8</v>
      </c>
      <c r="DX159" s="1120">
        <v>9</v>
      </c>
      <c r="DY159" s="232">
        <v>0</v>
      </c>
      <c r="DZ159" s="1070">
        <f>SUM(DX159:DY159)</f>
        <v>9</v>
      </c>
      <c r="EA159" s="232">
        <v>0</v>
      </c>
      <c r="EB159" s="232">
        <f>DY159</f>
        <v>0</v>
      </c>
      <c r="EC159" s="1070">
        <f>SUM(EA159:EB159)</f>
        <v>0</v>
      </c>
      <c r="ED159" s="232">
        <f>EA159</f>
        <v>0</v>
      </c>
      <c r="EE159" s="232">
        <f>EB159</f>
        <v>0</v>
      </c>
      <c r="EF159" s="1070">
        <f>SUM(ED159:EE159)</f>
        <v>0</v>
      </c>
      <c r="EG159" s="232">
        <f>ED159</f>
        <v>0</v>
      </c>
      <c r="EH159" s="232">
        <f>EE159</f>
        <v>0</v>
      </c>
      <c r="EI159" s="1070">
        <f>SUM(EG159:EH159)</f>
        <v>0</v>
      </c>
      <c r="EJ159" s="232">
        <f>EG159</f>
        <v>0</v>
      </c>
      <c r="EK159" s="232">
        <f>EH159</f>
        <v>0</v>
      </c>
      <c r="EL159" s="1070">
        <f>SUM(EJ159:EK159)</f>
        <v>0</v>
      </c>
      <c r="EM159" s="232">
        <f>EJ159</f>
        <v>0</v>
      </c>
      <c r="EN159" s="232">
        <f>EK159</f>
        <v>0</v>
      </c>
      <c r="EO159" s="1070">
        <f>SUM(EM159:EN159)</f>
        <v>0</v>
      </c>
      <c r="EP159" s="232">
        <f>EM159</f>
        <v>0</v>
      </c>
      <c r="EQ159" s="232">
        <f>EN159</f>
        <v>0</v>
      </c>
      <c r="ER159" s="1070">
        <f>SUM(EP159:EQ159)</f>
        <v>0</v>
      </c>
      <c r="ES159" s="232">
        <f>EP159</f>
        <v>0</v>
      </c>
      <c r="ET159" s="232">
        <f>EQ159</f>
        <v>0</v>
      </c>
      <c r="EU159" s="1070">
        <f>SUM(ES159:ET159)</f>
        <v>0</v>
      </c>
      <c r="EV159" s="232">
        <f>ES159</f>
        <v>0</v>
      </c>
      <c r="EW159" s="232">
        <f>ET159</f>
        <v>0</v>
      </c>
      <c r="EX159" s="1070">
        <f>SUM(EV159:EW159)</f>
        <v>0</v>
      </c>
      <c r="EY159" s="232">
        <f>EV159</f>
        <v>0</v>
      </c>
      <c r="EZ159" s="232">
        <f>EW159</f>
        <v>0</v>
      </c>
      <c r="FA159" s="1070">
        <f>SUM(EY159:EZ159)</f>
        <v>0</v>
      </c>
    </row>
    <row r="160" spans="1:158" s="233" customFormat="1">
      <c r="A160" s="1147" t="s">
        <v>1059</v>
      </c>
      <c r="B160" s="1133" t="s">
        <v>156</v>
      </c>
      <c r="C160" s="1133"/>
      <c r="D160" s="1134" t="s">
        <v>604</v>
      </c>
      <c r="E160" s="1133"/>
      <c r="F160" s="1133"/>
      <c r="G160" s="1133"/>
      <c r="H160" s="1133"/>
      <c r="I160" s="1133"/>
      <c r="J160" s="1133"/>
      <c r="K160" s="1133"/>
      <c r="L160" s="1133"/>
      <c r="M160" s="1133"/>
      <c r="N160" s="1133"/>
      <c r="O160" s="1133"/>
      <c r="P160" s="1133"/>
      <c r="Q160" s="1133"/>
      <c r="R160" s="1133"/>
      <c r="S160" s="1133"/>
      <c r="T160" s="1133"/>
      <c r="U160" s="1133"/>
      <c r="V160" s="1133"/>
      <c r="W160" s="1133"/>
      <c r="X160" s="1133"/>
      <c r="Y160" s="1133"/>
      <c r="Z160" s="1133"/>
      <c r="AA160" s="1133"/>
      <c r="AB160" s="1133"/>
      <c r="AC160" s="1133"/>
      <c r="AD160" s="1133"/>
      <c r="AE160" s="1133"/>
      <c r="AF160" s="1133"/>
      <c r="AG160" s="1133"/>
      <c r="AH160" s="1133"/>
      <c r="AI160" s="1133"/>
      <c r="AJ160" s="1133"/>
      <c r="AK160" s="1133"/>
      <c r="AL160" s="1133"/>
      <c r="AM160" s="1133"/>
      <c r="AN160" s="1133"/>
      <c r="AO160" s="1133"/>
      <c r="AP160" s="1133"/>
      <c r="AQ160" s="1133"/>
      <c r="AR160" s="1133"/>
      <c r="AS160" s="1133"/>
      <c r="AT160" s="1133"/>
      <c r="AU160" s="1133"/>
      <c r="AV160" s="1133"/>
      <c r="AW160" s="1133"/>
      <c r="AX160" s="1133"/>
      <c r="AY160" s="1133"/>
      <c r="AZ160" s="1133"/>
      <c r="BA160" s="1133"/>
      <c r="BB160" s="1133"/>
      <c r="BC160" s="1135"/>
      <c r="BD160" s="1133"/>
      <c r="BE160" s="1133"/>
      <c r="BF160" s="1133"/>
      <c r="BG160" s="1133"/>
      <c r="BH160" s="1133"/>
      <c r="BI160" s="1133"/>
      <c r="BJ160" s="1133"/>
      <c r="BK160" s="1133"/>
      <c r="BL160" s="1133"/>
      <c r="BM160" s="1133"/>
      <c r="BN160" s="1133"/>
      <c r="BO160" s="1133"/>
      <c r="BP160" s="1133"/>
      <c r="BQ160" s="1133"/>
      <c r="BR160" s="1133"/>
      <c r="BS160" s="1133">
        <f>BS154+BS159</f>
        <v>77.199945293717008</v>
      </c>
      <c r="BT160" s="1133">
        <f>BT154+BT159</f>
        <v>78.940664085937172</v>
      </c>
      <c r="BU160" s="1133">
        <f>SUM(BS160:BT160)</f>
        <v>156.14060937965417</v>
      </c>
      <c r="BV160" s="1133">
        <f>BV154+BV159</f>
        <v>81.321773681310049</v>
      </c>
      <c r="BW160" s="1133">
        <f>BW154+BW159</f>
        <v>83.490925671097656</v>
      </c>
      <c r="BX160" s="1133">
        <f>SUM(BV160:BW160)</f>
        <v>164.81269935240772</v>
      </c>
      <c r="BY160" s="1133">
        <f>BY154+BY159</f>
        <v>90.60363706786849</v>
      </c>
      <c r="BZ160" s="1133">
        <f>BZ154+BZ159</f>
        <v>86.404890102753171</v>
      </c>
      <c r="CA160" s="1133">
        <f>SUM(BY160:BZ160)</f>
        <v>177.00852717062168</v>
      </c>
      <c r="CB160" s="1133">
        <f>CB154+CB159</f>
        <v>103.13772436462546</v>
      </c>
      <c r="CC160" s="1133">
        <f>CC154+CC159</f>
        <v>116.30333142703674</v>
      </c>
      <c r="CD160" s="1133">
        <f>SUM(CB160:CC160)</f>
        <v>219.44105579166219</v>
      </c>
      <c r="CE160" s="1133">
        <f>CE154+CE159</f>
        <v>118.43942406327633</v>
      </c>
      <c r="CF160" s="1133">
        <f>CF154+CF159</f>
        <v>124.06926616027366</v>
      </c>
      <c r="CG160" s="1133">
        <f>SUM(CE160:CF160)</f>
        <v>242.50869022354999</v>
      </c>
      <c r="CH160" s="1133">
        <f>CH154+CH159</f>
        <v>111.51794944506442</v>
      </c>
      <c r="CI160" s="1133">
        <f>CI154+CI159</f>
        <v>108.8532484023996</v>
      </c>
      <c r="CJ160" s="1133">
        <f>SUM(CH160:CI160)</f>
        <v>220.37119784746403</v>
      </c>
      <c r="CK160" s="1133">
        <f>CK154+CK159</f>
        <v>110.52672396749229</v>
      </c>
      <c r="CL160" s="1133">
        <f>CL154+CL159</f>
        <v>74.45922697019823</v>
      </c>
      <c r="CM160" s="1133">
        <f>SUM(CK160:CL160)</f>
        <v>184.98595093769052</v>
      </c>
      <c r="CN160" s="1133">
        <f>CN154+CN159</f>
        <v>53.1736917125045</v>
      </c>
      <c r="CO160" s="1133">
        <f>CO154+CO159</f>
        <v>103.95979484872649</v>
      </c>
      <c r="CP160" s="1133">
        <f>SUM(CN160:CO160)</f>
        <v>157.133486561231</v>
      </c>
      <c r="CQ160" s="1133">
        <f>CQ154+CQ159</f>
        <v>100.43438551046704</v>
      </c>
      <c r="CR160" s="1133">
        <f>CR154+CR159</f>
        <v>106.00979012632902</v>
      </c>
      <c r="CS160" s="1133">
        <f>SUM(CQ160:CR160)</f>
        <v>206.44417563679605</v>
      </c>
      <c r="CT160" s="1133">
        <f>CT154+CT159</f>
        <v>151.27966945280016</v>
      </c>
      <c r="CU160" s="1133">
        <f>CU154+CU159</f>
        <v>131.07576349686144</v>
      </c>
      <c r="CV160" s="1133">
        <f>SUM(CT160:CU160)</f>
        <v>282.35543294966158</v>
      </c>
      <c r="CW160" s="1133">
        <f>CW154+CW159</f>
        <v>156.34225841861507</v>
      </c>
      <c r="CX160" s="1133">
        <f>CX154+CX159</f>
        <v>159.29271575426512</v>
      </c>
      <c r="CY160" s="1133">
        <f>SUM(CW160:CX160)</f>
        <v>315.63497417288022</v>
      </c>
      <c r="CZ160" s="1133">
        <f>CZ154+CZ159</f>
        <v>160.44475510590553</v>
      </c>
      <c r="DA160" s="1133">
        <f>DA154+DA159</f>
        <v>185.13895435555355</v>
      </c>
      <c r="DB160" s="1133">
        <f>SUM(CZ160:DA160)</f>
        <v>345.58370946145908</v>
      </c>
      <c r="DC160" s="1133">
        <f>DC154+DC159</f>
        <v>178.46602786224878</v>
      </c>
      <c r="DD160" s="1133">
        <f>DD154+DD159</f>
        <v>178.61612597375199</v>
      </c>
      <c r="DE160" s="1133">
        <f>SUM(DC160:DD160)</f>
        <v>357.08215383600077</v>
      </c>
      <c r="DF160" s="1133">
        <f>DF154+DF159</f>
        <v>181.32088290863811</v>
      </c>
      <c r="DG160" s="1133">
        <f>DG154+DG159</f>
        <v>29.260424367402486</v>
      </c>
      <c r="DH160" s="1138">
        <f>SUM(DF160:DG160)</f>
        <v>210.5813072760406</v>
      </c>
      <c r="DI160" s="1133">
        <f>DI154+DI159</f>
        <v>175.59999999999991</v>
      </c>
      <c r="DJ160" s="1133">
        <f>DJ154+DJ159</f>
        <v>154.6</v>
      </c>
      <c r="DK160" s="1138">
        <f>SUM(DI160:DJ160)</f>
        <v>330.19999999999993</v>
      </c>
      <c r="DL160" s="1133">
        <f>DL154+DL159</f>
        <v>222.79999999999987</v>
      </c>
      <c r="DM160" s="1133">
        <f>DM154+DM159</f>
        <v>181.49999999999997</v>
      </c>
      <c r="DN160" s="1138">
        <f>SUM(DL160:DM160)</f>
        <v>404.29999999999984</v>
      </c>
      <c r="DO160" s="1133">
        <f>DO154+DO159</f>
        <v>203.00000000000009</v>
      </c>
      <c r="DP160" s="1133">
        <f>DP154+DP159</f>
        <v>231.59999999999988</v>
      </c>
      <c r="DQ160" s="1138">
        <f>SUM(DO160:DP160)</f>
        <v>434.59999999999997</v>
      </c>
      <c r="DR160" s="1133">
        <f>DR154+DR159</f>
        <v>272.2000000000001</v>
      </c>
      <c r="DS160" s="1133">
        <f>DS154+DS159</f>
        <v>262.89999999999975</v>
      </c>
      <c r="DT160" s="1138">
        <f>SUM(DR160:DS160)</f>
        <v>535.09999999999991</v>
      </c>
      <c r="DU160" s="1133">
        <f>DU154+DU159</f>
        <v>286.70000000000016</v>
      </c>
      <c r="DV160" s="1133">
        <f>DV154+DV159</f>
        <v>267.3</v>
      </c>
      <c r="DW160" s="1138">
        <f>SUM(DU160:DV160)</f>
        <v>554.00000000000023</v>
      </c>
      <c r="DX160" s="1642">
        <f>DX154+DX159</f>
        <v>254.79999999999995</v>
      </c>
      <c r="DY160" s="1133">
        <f>DY154+DY159</f>
        <v>295.38043729967001</v>
      </c>
      <c r="DZ160" s="1138">
        <f>SUM(DX160:DY160)</f>
        <v>550.18043729966996</v>
      </c>
      <c r="EA160" s="1133">
        <f>EA154+EA159</f>
        <v>315.19096870193118</v>
      </c>
      <c r="EB160" s="1133">
        <f>EB154+EB159</f>
        <v>324.77792655630287</v>
      </c>
      <c r="EC160" s="1138">
        <f>SUM(EA160:EB160)</f>
        <v>639.96889525823406</v>
      </c>
      <c r="ED160" s="1133">
        <f>ED154+ED159</f>
        <v>352.34984349834582</v>
      </c>
      <c r="EE160" s="1133">
        <f>EE154+EE159</f>
        <v>363.24901879550839</v>
      </c>
      <c r="EF160" s="1138">
        <f>SUM(ED160:EE160)</f>
        <v>715.59886229385415</v>
      </c>
      <c r="EG160" s="1133">
        <f>EG154+EG159</f>
        <v>390.6396417521421</v>
      </c>
      <c r="EH160" s="1133">
        <f>EH154+EH159</f>
        <v>402.72322859641281</v>
      </c>
      <c r="EI160" s="1138">
        <f>SUM(EG160:EH160)</f>
        <v>793.36287034855491</v>
      </c>
      <c r="EJ160" s="1133">
        <f>EJ154+EJ159</f>
        <v>430.27868479074164</v>
      </c>
      <c r="EK160" s="1133">
        <f>EK154+EK159</f>
        <v>443.58841913205663</v>
      </c>
      <c r="EL160" s="1138">
        <f>SUM(EJ160:EK160)</f>
        <v>873.86710392279826</v>
      </c>
      <c r="EM160" s="1133">
        <f>EM154+EM159</f>
        <v>470.95768964438366</v>
      </c>
      <c r="EN160" s="1133">
        <f>EN154+EN159</f>
        <v>485.52574043735899</v>
      </c>
      <c r="EO160" s="1138">
        <f>SUM(EM160:EN160)</f>
        <v>956.48343008174265</v>
      </c>
      <c r="EP160" s="1133">
        <f>EP154+EP159</f>
        <v>513.34388171237811</v>
      </c>
      <c r="EQ160" s="1133">
        <f>EQ154+EQ159</f>
        <v>529.22305707672149</v>
      </c>
      <c r="ER160" s="1138">
        <f>SUM(EP160:EQ160)</f>
        <v>1042.5669387890996</v>
      </c>
      <c r="ES160" s="1133">
        <f>ES154+ES159</f>
        <v>559.54483106649229</v>
      </c>
      <c r="ET160" s="1133">
        <f>ET154+ET159</f>
        <v>576.8531322136264</v>
      </c>
      <c r="EU160" s="1138">
        <f>SUM(ES160:ET160)</f>
        <v>1136.3979632801188</v>
      </c>
      <c r="EV160" s="1133">
        <f>EV154+EV159</f>
        <v>609.90386586247655</v>
      </c>
      <c r="EW160" s="1133">
        <f>EW154+EW159</f>
        <v>628.76991411285292</v>
      </c>
      <c r="EX160" s="1138">
        <f>SUM(EV160:EW160)</f>
        <v>1238.6737799753296</v>
      </c>
      <c r="EY160" s="1133">
        <f>EY154+EY159</f>
        <v>664.79521379009941</v>
      </c>
      <c r="EZ160" s="1133">
        <f>EZ154+EZ159</f>
        <v>685.35920638300968</v>
      </c>
      <c r="FA160" s="1138">
        <f>SUM(EY160:EZ160)</f>
        <v>1350.154420173109</v>
      </c>
    </row>
    <row r="161" spans="1:173">
      <c r="C161" s="35" t="s">
        <v>401</v>
      </c>
      <c r="D161" s="162" t="s">
        <v>460</v>
      </c>
      <c r="BA161" s="35"/>
      <c r="BB161" s="35"/>
      <c r="BC161" s="322"/>
      <c r="BD161" s="35"/>
      <c r="BE161" s="35"/>
      <c r="BG161" s="35"/>
      <c r="BH161" s="35"/>
      <c r="BJ161" s="35"/>
      <c r="BK161" s="35"/>
      <c r="BL161" s="31"/>
      <c r="BM161" s="35"/>
      <c r="BN161" s="35"/>
      <c r="BO161" s="31"/>
      <c r="BP161" s="35"/>
      <c r="BQ161" s="35"/>
      <c r="BR161" s="1024"/>
      <c r="BS161" s="65">
        <f t="shared" ref="BS161:CS161" si="1007">BS160/(BS127+BS152)</f>
        <v>0.29259205872691646</v>
      </c>
      <c r="BT161" s="65">
        <f t="shared" si="1007"/>
        <v>0.29102667942912031</v>
      </c>
      <c r="BU161" s="65">
        <f t="shared" si="1007"/>
        <v>0.29179854433398511</v>
      </c>
      <c r="BV161" s="65">
        <f t="shared" si="1007"/>
        <v>0.2850376059840215</v>
      </c>
      <c r="BW161" s="65">
        <f t="shared" si="1007"/>
        <v>0.28581649168310358</v>
      </c>
      <c r="BX161" s="65">
        <f t="shared" si="1007"/>
        <v>0.28543164313214586</v>
      </c>
      <c r="BY161" s="65">
        <f t="shared" si="1007"/>
        <v>0.26684701737062294</v>
      </c>
      <c r="BZ161" s="65">
        <f t="shared" si="1007"/>
        <v>0.26533163598706722</v>
      </c>
      <c r="CA161" s="65">
        <f t="shared" si="1007"/>
        <v>0.26610514309049654</v>
      </c>
      <c r="CB161" s="65">
        <f t="shared" si="1007"/>
        <v>0.31087062643502006</v>
      </c>
      <c r="CC161" s="65">
        <f t="shared" si="1007"/>
        <v>0.31186358029221273</v>
      </c>
      <c r="CD161" s="65">
        <f t="shared" si="1007"/>
        <v>0.3113961011802896</v>
      </c>
      <c r="CE161" s="65">
        <f t="shared" si="1007"/>
        <v>0.32659118660335823</v>
      </c>
      <c r="CF161" s="65">
        <f t="shared" si="1007"/>
        <v>0.29607917794596661</v>
      </c>
      <c r="CG161" s="65">
        <f t="shared" si="1007"/>
        <v>0.31023469319511698</v>
      </c>
      <c r="CH161" s="65">
        <f t="shared" si="1007"/>
        <v>0.29709368673725317</v>
      </c>
      <c r="CI161" s="65">
        <f t="shared" si="1007"/>
        <v>0.287713526586033</v>
      </c>
      <c r="CJ161" s="65">
        <f t="shared" si="1007"/>
        <v>0.29238508723210271</v>
      </c>
      <c r="CK161" s="65">
        <f t="shared" si="1007"/>
        <v>0.29202241287924996</v>
      </c>
      <c r="CL161" s="65">
        <f t="shared" si="1007"/>
        <v>0.21496198985278095</v>
      </c>
      <c r="CM161" s="65">
        <f t="shared" si="1007"/>
        <v>0.25519867229474635</v>
      </c>
      <c r="CN161" s="65">
        <f t="shared" si="1007"/>
        <v>0.14954666950680695</v>
      </c>
      <c r="CO161" s="65">
        <f t="shared" si="1007"/>
        <v>0.24910841536838024</v>
      </c>
      <c r="CP161" s="65">
        <f t="shared" si="1007"/>
        <v>0.20330551460786261</v>
      </c>
      <c r="CQ161" s="65">
        <f t="shared" si="1007"/>
        <v>0.22910871070207139</v>
      </c>
      <c r="CR161" s="65">
        <f t="shared" si="1007"/>
        <v>0.21756130173033308</v>
      </c>
      <c r="CS161" s="65">
        <f t="shared" si="1007"/>
        <v>0.22303002659452445</v>
      </c>
      <c r="CT161" s="65">
        <f t="shared" ref="CT161:DY161" si="1008">+CT160/CT$127</f>
        <v>0.26005581629099944</v>
      </c>
      <c r="CU161" s="65">
        <f t="shared" si="1008"/>
        <v>0.22806138152683691</v>
      </c>
      <c r="CV161" s="65">
        <f t="shared" si="1008"/>
        <v>0.24415516701783854</v>
      </c>
      <c r="CW161" s="65">
        <f t="shared" si="1008"/>
        <v>0.25869892991768928</v>
      </c>
      <c r="CX161" s="65">
        <f t="shared" si="1008"/>
        <v>0.25069496440639105</v>
      </c>
      <c r="CY161" s="65">
        <f t="shared" si="1008"/>
        <v>0.2545966705540425</v>
      </c>
      <c r="CZ161" s="65">
        <f t="shared" si="1008"/>
        <v>0.25506507894245312</v>
      </c>
      <c r="DA161" s="65">
        <f t="shared" si="1008"/>
        <v>0.26370272552551005</v>
      </c>
      <c r="DB161" s="65">
        <f t="shared" si="1008"/>
        <v>0.2596208823827339</v>
      </c>
      <c r="DC161" s="65">
        <f t="shared" si="1008"/>
        <v>0.2515956970829214</v>
      </c>
      <c r="DD161" s="65">
        <f t="shared" si="1008"/>
        <v>0.2434802492070364</v>
      </c>
      <c r="DE161" s="65">
        <f t="shared" si="1008"/>
        <v>0.24746975241990954</v>
      </c>
      <c r="DF161" s="65">
        <f t="shared" si="1008"/>
        <v>0.23403385734472776</v>
      </c>
      <c r="DG161" s="65">
        <f t="shared" si="1008"/>
        <v>5.0270079752489406E-2</v>
      </c>
      <c r="DH161" s="1066">
        <f t="shared" si="1008"/>
        <v>0.15520119430284046</v>
      </c>
      <c r="DI161" s="65">
        <f t="shared" si="1008"/>
        <v>0.23640280021540108</v>
      </c>
      <c r="DJ161" s="65">
        <f t="shared" si="1008"/>
        <v>0.20599600266489007</v>
      </c>
      <c r="DK161" s="1066">
        <f t="shared" si="1008"/>
        <v>0.22112100716533847</v>
      </c>
      <c r="DL161" s="65">
        <f t="shared" si="1008"/>
        <v>0.27327364160431727</v>
      </c>
      <c r="DM161" s="65">
        <f t="shared" si="1008"/>
        <v>0.21978687333494787</v>
      </c>
      <c r="DN161" s="1066">
        <f t="shared" si="1008"/>
        <v>0.24635914935104494</v>
      </c>
      <c r="DO161" s="65">
        <f t="shared" si="1008"/>
        <v>0.22742549854358063</v>
      </c>
      <c r="DP161" s="65">
        <f t="shared" si="1008"/>
        <v>0.21785344746496088</v>
      </c>
      <c r="DQ161" s="1066">
        <f t="shared" si="1008"/>
        <v>0.22222222222222224</v>
      </c>
      <c r="DR161" s="65">
        <f t="shared" si="1008"/>
        <v>0.24447637865996055</v>
      </c>
      <c r="DS161" s="65">
        <f t="shared" si="1008"/>
        <v>0.22964709993011864</v>
      </c>
      <c r="DT161" s="1066">
        <f t="shared" si="1008"/>
        <v>0.23695863962447966</v>
      </c>
      <c r="DU161" s="65">
        <f t="shared" si="1008"/>
        <v>0.24506368065646647</v>
      </c>
      <c r="DV161" s="65">
        <f t="shared" ref="DV161:DX161" si="1009">+DV160/DV$127</f>
        <v>0.22539843157095876</v>
      </c>
      <c r="DW161" s="1066">
        <f t="shared" si="1009"/>
        <v>0.23516427540538254</v>
      </c>
      <c r="DX161" s="65">
        <f t="shared" si="1009"/>
        <v>0.21666666666666662</v>
      </c>
      <c r="DY161" s="65">
        <f t="shared" si="1008"/>
        <v>0.22086727185181229</v>
      </c>
      <c r="DZ161" s="1066">
        <f t="shared" ref="DZ161:ER161" si="1010">+DZ160/DZ$127</f>
        <v>0.21890181549295726</v>
      </c>
      <c r="EA161" s="65">
        <f t="shared" si="1010"/>
        <v>0.22726594838216152</v>
      </c>
      <c r="EB161" s="65">
        <f t="shared" si="1010"/>
        <v>0.22715393670223005</v>
      </c>
      <c r="EC161" s="1066">
        <f t="shared" si="1010"/>
        <v>0.22720908975318452</v>
      </c>
      <c r="ED161" s="65">
        <f t="shared" si="1010"/>
        <v>0.23353182982173157</v>
      </c>
      <c r="EE161" s="65">
        <f t="shared" si="1010"/>
        <v>0.23353182982173151</v>
      </c>
      <c r="EF161" s="1066">
        <f t="shared" si="1010"/>
        <v>0.23353182982173151</v>
      </c>
      <c r="EG161" s="65">
        <f t="shared" si="1010"/>
        <v>0.23753182982173146</v>
      </c>
      <c r="EH161" s="65">
        <f t="shared" si="1010"/>
        <v>0.23753182982173152</v>
      </c>
      <c r="EI161" s="1066">
        <f t="shared" si="1010"/>
        <v>0.23753182982173149</v>
      </c>
      <c r="EJ161" s="65">
        <f t="shared" si="1010"/>
        <v>0.24003182982173157</v>
      </c>
      <c r="EK161" s="65">
        <f t="shared" si="1010"/>
        <v>0.24003182982173155</v>
      </c>
      <c r="EL161" s="1066">
        <f t="shared" si="1010"/>
        <v>0.24003182982173157</v>
      </c>
      <c r="EM161" s="65">
        <f t="shared" si="1010"/>
        <v>0.24103182982173155</v>
      </c>
      <c r="EN161" s="65">
        <f t="shared" si="1010"/>
        <v>0.24103182982173146</v>
      </c>
      <c r="EO161" s="1066">
        <f t="shared" si="1010"/>
        <v>0.24103182982173149</v>
      </c>
      <c r="EP161" s="65">
        <f t="shared" si="1010"/>
        <v>0.24103182982173152</v>
      </c>
      <c r="EQ161" s="65">
        <f t="shared" si="1010"/>
        <v>0.24103182982173152</v>
      </c>
      <c r="ER161" s="1066">
        <f t="shared" si="1010"/>
        <v>0.24103182982173152</v>
      </c>
      <c r="ES161" s="65">
        <f t="shared" ref="ES161:EX161" si="1011">+ES160/ES$127</f>
        <v>0.24103182982173149</v>
      </c>
      <c r="ET161" s="65">
        <f t="shared" si="1011"/>
        <v>0.24103182982173149</v>
      </c>
      <c r="EU161" s="1066">
        <f t="shared" si="1011"/>
        <v>0.24103182982173149</v>
      </c>
      <c r="EV161" s="65">
        <f t="shared" si="1011"/>
        <v>0.24103182982173149</v>
      </c>
      <c r="EW161" s="65">
        <f t="shared" si="1011"/>
        <v>0.24103182982173152</v>
      </c>
      <c r="EX161" s="1066">
        <f t="shared" si="1011"/>
        <v>0.24103182982173152</v>
      </c>
      <c r="EY161" s="65">
        <f t="shared" ref="EY161:FA161" si="1012">+EY160/EY$127</f>
        <v>0.24103182982173149</v>
      </c>
      <c r="EZ161" s="65">
        <f t="shared" si="1012"/>
        <v>0.24103182982173157</v>
      </c>
      <c r="FA161" s="1066">
        <f t="shared" si="1012"/>
        <v>0.24103182982173152</v>
      </c>
    </row>
    <row r="162" spans="1:173">
      <c r="BA162" s="35"/>
      <c r="BB162" s="35"/>
      <c r="BC162" s="322"/>
      <c r="BD162" s="35"/>
      <c r="BE162" s="35"/>
      <c r="BG162" s="35"/>
      <c r="BH162" s="35"/>
      <c r="BJ162" s="35"/>
      <c r="BK162" s="35"/>
      <c r="BL162" s="31"/>
      <c r="BM162" s="35"/>
      <c r="BN162" s="35"/>
      <c r="BO162" s="31"/>
      <c r="BP162" s="35"/>
      <c r="BQ162" s="35"/>
      <c r="BR162" s="1024"/>
      <c r="BS162" s="74">
        <v>75.983000000000004</v>
      </c>
      <c r="BT162" s="70">
        <f>BU162-BS162</f>
        <v>77.597999999999985</v>
      </c>
      <c r="BU162" s="74">
        <v>153.58099999999999</v>
      </c>
      <c r="BV162" s="74">
        <v>79.974000000000004</v>
      </c>
      <c r="BW162" s="74">
        <f>BX162-BV162</f>
        <v>82.652000000000001</v>
      </c>
      <c r="BX162" s="74">
        <v>162.626</v>
      </c>
      <c r="BY162" s="70">
        <v>89.436999999999998</v>
      </c>
      <c r="BZ162" s="70">
        <f>CA162-BY162</f>
        <v>85.208000000000013</v>
      </c>
      <c r="CA162" s="187">
        <v>174.64500000000001</v>
      </c>
      <c r="CB162" s="187">
        <v>103.13800000000001</v>
      </c>
      <c r="CC162" s="187">
        <f>CD162-CB162</f>
        <v>116.214</v>
      </c>
      <c r="CD162" s="187">
        <v>219.352</v>
      </c>
      <c r="CE162" s="187">
        <v>118.43899999999999</v>
      </c>
      <c r="CF162" s="70"/>
      <c r="CG162" s="70"/>
      <c r="CH162" s="70"/>
      <c r="CI162" s="70"/>
      <c r="CJ162" s="70"/>
      <c r="CK162" s="35"/>
      <c r="CL162" s="35"/>
      <c r="CN162" s="35"/>
      <c r="CO162" s="35"/>
      <c r="CQ162" s="35"/>
      <c r="CR162" s="35"/>
      <c r="CT162" s="35"/>
      <c r="CU162" s="35"/>
      <c r="CW162" s="35"/>
      <c r="CX162" s="70"/>
      <c r="CY162" s="244">
        <v>315.60000000000002</v>
      </c>
      <c r="CZ162" s="35"/>
      <c r="DA162" s="35"/>
      <c r="DC162" s="244"/>
      <c r="DD162" s="35"/>
      <c r="DE162" s="244"/>
      <c r="DF162" s="70"/>
      <c r="DG162" s="35"/>
      <c r="DH162" s="1067"/>
      <c r="DI162" s="35"/>
      <c r="DJ162" s="35"/>
      <c r="DK162" s="1067"/>
      <c r="DL162" s="35"/>
      <c r="DM162" s="35"/>
      <c r="DN162" s="1067"/>
      <c r="DO162" s="35"/>
      <c r="DP162" s="35"/>
      <c r="DQ162" s="1067"/>
      <c r="DR162" s="35"/>
      <c r="DS162" s="35"/>
      <c r="DT162" s="1067"/>
      <c r="DU162" s="35"/>
      <c r="DV162" s="35"/>
      <c r="DW162" s="1067"/>
      <c r="DX162" s="35"/>
      <c r="DY162" s="35"/>
      <c r="DZ162" s="1067"/>
      <c r="EA162" s="35"/>
      <c r="EB162" s="35"/>
      <c r="EC162" s="1067"/>
      <c r="ED162" s="35"/>
      <c r="EE162" s="35"/>
      <c r="EF162" s="1067"/>
      <c r="EG162" s="35"/>
      <c r="EH162" s="35"/>
      <c r="EI162" s="1067"/>
      <c r="EJ162" s="35"/>
      <c r="EK162" s="35"/>
      <c r="EL162" s="1067"/>
      <c r="EM162" s="35"/>
      <c r="EN162" s="35"/>
      <c r="EO162" s="1067"/>
      <c r="EP162" s="35"/>
      <c r="EQ162" s="35"/>
      <c r="ER162" s="1067"/>
      <c r="ES162" s="35"/>
      <c r="ET162" s="35"/>
      <c r="EU162" s="1067"/>
      <c r="EV162" s="35"/>
      <c r="EW162" s="35"/>
      <c r="EX162" s="1067"/>
      <c r="EY162" s="35"/>
      <c r="EZ162" s="35"/>
      <c r="FA162" s="1067"/>
    </row>
    <row r="163" spans="1:173" s="233" customFormat="1">
      <c r="A163" s="1147"/>
      <c r="B163" s="233" t="s">
        <v>124</v>
      </c>
      <c r="D163" s="245" t="s">
        <v>98</v>
      </c>
      <c r="BA163" s="233">
        <f>BA173+BA265+BA354</f>
        <v>3072</v>
      </c>
      <c r="BB163" s="233">
        <f>BB173+BB265+BB354</f>
        <v>3410</v>
      </c>
      <c r="BC163" s="246">
        <f>SUM(BA163:BB163)</f>
        <v>6482</v>
      </c>
      <c r="BD163" s="233">
        <f>BD173+BD265+BD354</f>
        <v>3608</v>
      </c>
      <c r="BE163" s="233">
        <f>BE173+BE265+BE354</f>
        <v>4237</v>
      </c>
      <c r="BF163" s="246">
        <f>SUM(BD163:BE163)</f>
        <v>7845</v>
      </c>
      <c r="BG163" s="233">
        <f>BG173+BG265+BG354</f>
        <v>4412</v>
      </c>
      <c r="BH163" s="233">
        <f>BH173+BH265+BH354</f>
        <v>4916</v>
      </c>
      <c r="BI163" s="246">
        <f>SUM(BG163:BH163)</f>
        <v>9328</v>
      </c>
      <c r="BJ163" s="233">
        <f>BJ173+BJ265+BJ354</f>
        <v>4482.1744499999995</v>
      </c>
      <c r="BK163" s="233">
        <f>BK173+BK265+BK354</f>
        <v>4824.2463334601089</v>
      </c>
      <c r="BL163" s="246">
        <f>SUM(BJ163:BK163)</f>
        <v>9306.4207834601075</v>
      </c>
      <c r="BM163" s="233">
        <f>BM173+BM265+BM354</f>
        <v>5014.3946105625</v>
      </c>
      <c r="BN163" s="233">
        <f>BN173+BN265+BN354</f>
        <v>5787.7886736578039</v>
      </c>
      <c r="BO163" s="246">
        <f>SUM(BM163:BN163)</f>
        <v>10802.183284220304</v>
      </c>
      <c r="BP163" s="233">
        <f>BP173+BP265+BP354</f>
        <v>6519.2775095681245</v>
      </c>
      <c r="BQ163" s="233">
        <f>BQ173+BQ265+BQ354</f>
        <v>6381.9826192544733</v>
      </c>
      <c r="BR163" s="246">
        <f>SUM(BP163:BQ163)</f>
        <v>12901.260128822598</v>
      </c>
      <c r="BS163" s="233">
        <f>BS173+BS265+BS354</f>
        <v>7938.9664410187124</v>
      </c>
      <c r="BT163" s="233">
        <f>BT173+BT265+BT354</f>
        <v>8007.9597543037435</v>
      </c>
      <c r="BU163" s="233">
        <f>SUM(BS163:BT163)</f>
        <v>15946.926195322456</v>
      </c>
      <c r="BV163" s="233">
        <f>BV173+BV265+BV354</f>
        <v>8967.8333262464839</v>
      </c>
      <c r="BW163" s="233">
        <f>BW173+BW265+BW354</f>
        <v>9260.0263433575437</v>
      </c>
      <c r="BX163" s="233">
        <f>SUM(BV163:BW163)</f>
        <v>18227.859669604026</v>
      </c>
      <c r="BY163" s="233">
        <f>BY173+BY265+BY354</f>
        <v>9178.3564302221494</v>
      </c>
      <c r="BZ163" s="233">
        <f>BZ173+BZ265+BZ354</f>
        <v>9374.1561395621775</v>
      </c>
      <c r="CA163" s="233">
        <f>SUM(BY163:BZ163)</f>
        <v>18552.512569784325</v>
      </c>
      <c r="CB163" s="233">
        <f>CB173+CB265+CB354</f>
        <v>9810.6477189115631</v>
      </c>
      <c r="CC163" s="233">
        <f>CC173+CC265+CC354</f>
        <v>11209.962995132775</v>
      </c>
      <c r="CD163" s="233">
        <f>SUM(CB163:CC163)</f>
        <v>21020.610714044338</v>
      </c>
      <c r="CE163" s="233">
        <f>CE173+CE265+CE354</f>
        <v>11764.999999999996</v>
      </c>
      <c r="CF163" s="233">
        <f>CF173+CF265+CF354</f>
        <v>12895.999999999998</v>
      </c>
      <c r="CG163" s="233">
        <f>SUM(CE163:CF163)</f>
        <v>24660.999999999993</v>
      </c>
      <c r="CH163" s="233">
        <f>CH173+CH265+CH354</f>
        <v>10724.064029141631</v>
      </c>
      <c r="CI163" s="233">
        <f>CI173+CI265+CI354</f>
        <v>12362.935970858371</v>
      </c>
      <c r="CJ163" s="233">
        <f>SUM(CH163:CI163)</f>
        <v>23087</v>
      </c>
      <c r="CK163" s="233">
        <f>CK173+CK265+CK354</f>
        <v>13672.000000000004</v>
      </c>
      <c r="CL163" s="233">
        <f>CL173+CL265+CL354</f>
        <v>13001.999999999993</v>
      </c>
      <c r="CM163" s="233">
        <f>SUM(CK163:CL163)</f>
        <v>26673.999999999996</v>
      </c>
      <c r="CN163" s="233">
        <f>CN173+CN265+CN354</f>
        <v>11711.999999999996</v>
      </c>
      <c r="CO163" s="233">
        <f>CO173+CO265+CO354</f>
        <v>14285.000000000004</v>
      </c>
      <c r="CP163" s="233">
        <f>SUM(CN163:CO163)</f>
        <v>25997</v>
      </c>
      <c r="CQ163" s="233">
        <f>CQ173+CQ265+CQ354</f>
        <v>11689</v>
      </c>
      <c r="CR163" s="233">
        <f>CR173+CR265+CR354</f>
        <v>15149</v>
      </c>
      <c r="CS163" s="233">
        <f>SUM(CQ163:CR163)</f>
        <v>26838</v>
      </c>
      <c r="CT163" s="233">
        <f>CT173+CT265+CT354</f>
        <v>14748</v>
      </c>
      <c r="CU163" s="233">
        <f>CU173+CU265+CU354</f>
        <v>15423.999999999998</v>
      </c>
      <c r="CV163" s="233">
        <f>SUM(CT163:CU163)</f>
        <v>30172</v>
      </c>
      <c r="CW163" s="233">
        <f>CW173+CW265+CW354</f>
        <v>16234</v>
      </c>
      <c r="CX163" s="233">
        <f>CX173+CX265+CX354</f>
        <v>16319.999999999998</v>
      </c>
      <c r="CY163" s="233">
        <f>SUM(CW163:CX163)</f>
        <v>32554</v>
      </c>
      <c r="CZ163" s="233">
        <f>CZ173+CZ265+CZ354</f>
        <v>15972.000000000009</v>
      </c>
      <c r="DA163" s="233">
        <f>DA173+DA265+DA354</f>
        <v>19287.999999999989</v>
      </c>
      <c r="DB163" s="233">
        <f>SUM(CZ163:DA163)</f>
        <v>35260</v>
      </c>
      <c r="DC163" s="233">
        <f>DC173+DC265+DC354</f>
        <v>16740</v>
      </c>
      <c r="DD163" s="233">
        <f>DD173+DD265+DD354</f>
        <v>17343</v>
      </c>
      <c r="DE163" s="233">
        <f>SUM(DC163:DD163)</f>
        <v>34083</v>
      </c>
      <c r="DF163" s="233">
        <f>DF173+DF265+DF354</f>
        <v>18894</v>
      </c>
      <c r="DG163" s="233">
        <f>DG173+DG265+DG354</f>
        <v>12768</v>
      </c>
      <c r="DH163" s="1070">
        <f>SUM(DF163:DG163)</f>
        <v>31662</v>
      </c>
      <c r="DI163" s="233">
        <f>DI173+DI265+DI354</f>
        <v>17377</v>
      </c>
      <c r="DJ163" s="233">
        <f>DJ173+DJ265+DJ354</f>
        <v>19079</v>
      </c>
      <c r="DK163" s="1070">
        <f>SUM(DI163:DJ163)</f>
        <v>36456</v>
      </c>
      <c r="DL163" s="233">
        <f>DL173+DL265+DL354</f>
        <v>18598</v>
      </c>
      <c r="DM163" s="233">
        <f>DM173+DM265+DM354</f>
        <v>19584.000000000004</v>
      </c>
      <c r="DN163" s="1070">
        <f>SUM(DL163:DM163)</f>
        <v>38182</v>
      </c>
      <c r="DO163" s="233">
        <f>DO173+DO265+DO354</f>
        <v>21249</v>
      </c>
      <c r="DP163" s="233">
        <f>DP173+DP265+DP354</f>
        <v>22906.999999999996</v>
      </c>
      <c r="DQ163" s="1070">
        <f>SUM(DO163:DP163)</f>
        <v>44156</v>
      </c>
      <c r="DR163" s="233">
        <f>DR173+DR265+DR354</f>
        <v>24193</v>
      </c>
      <c r="DS163" s="233">
        <f>DS173+DS265+DS354</f>
        <v>23846.999999999996</v>
      </c>
      <c r="DT163" s="1070">
        <f>SUM(DR163:DS163)</f>
        <v>48040</v>
      </c>
      <c r="DU163" s="233">
        <f>DU173+DU265+DU354</f>
        <v>25390</v>
      </c>
      <c r="DV163" s="233">
        <f>DV173+DV265+DV354</f>
        <v>28578.000000000004</v>
      </c>
      <c r="DW163" s="1070">
        <f>SUM(DU163:DV163)</f>
        <v>53968</v>
      </c>
      <c r="DX163" s="233">
        <f>DX173+DX265+DX354</f>
        <v>27016.000000000004</v>
      </c>
      <c r="DY163" s="233">
        <f>DY173+DY265+DY354</f>
        <v>31435.800000000007</v>
      </c>
      <c r="DZ163" s="1070">
        <f>SUM(DX163:DY163)</f>
        <v>58451.80000000001</v>
      </c>
      <c r="EA163" s="233">
        <f>EA173+EA265+EA354</f>
        <v>32419.200000000001</v>
      </c>
      <c r="EB163" s="233">
        <f>EB173+EB265+EB354</f>
        <v>33636.306000000011</v>
      </c>
      <c r="EC163" s="1070">
        <f>SUM(EA163:EB163)</f>
        <v>66055.506000000008</v>
      </c>
      <c r="ED163" s="233">
        <f>ED173+ED265+ED354</f>
        <v>35336.928</v>
      </c>
      <c r="EE163" s="233">
        <f>EE173+EE265+EE354</f>
        <v>36663.573540000012</v>
      </c>
      <c r="EF163" s="1070">
        <f>SUM(ED163:EE163)</f>
        <v>72000.501540000012</v>
      </c>
      <c r="EG163" s="233">
        <f>EG173+EG265+EG354</f>
        <v>38517.251519999998</v>
      </c>
      <c r="EH163" s="233">
        <f>EH173+EH265+EH354</f>
        <v>39963.29515860002</v>
      </c>
      <c r="EI163" s="1070">
        <f>SUM(EG163:EH163)</f>
        <v>78480.546678600018</v>
      </c>
      <c r="EJ163" s="233">
        <f>EJ173+EJ265+EJ354</f>
        <v>41983.804156800004</v>
      </c>
      <c r="EK163" s="233">
        <f>EK173+EK265+EK354</f>
        <v>43559.991722874023</v>
      </c>
      <c r="EL163" s="1070">
        <f>SUM(EJ163:EK163)</f>
        <v>85543.795879674028</v>
      </c>
      <c r="EM163" s="233">
        <f>EM173+EM265+EM354</f>
        <v>45762.346530912007</v>
      </c>
      <c r="EN163" s="233">
        <f>EN173+EN265+EN354</f>
        <v>47480.390977932686</v>
      </c>
      <c r="EO163" s="1070">
        <f>SUM(EM163:EN163)</f>
        <v>93242.737508844701</v>
      </c>
      <c r="EP163" s="233">
        <f>EP173+EP265+EP354</f>
        <v>49880.957718694095</v>
      </c>
      <c r="EQ163" s="233">
        <f>EQ173+EQ265+EQ354</f>
        <v>51753.626165946633</v>
      </c>
      <c r="ER163" s="1070">
        <f>SUM(EP163:EQ163)</f>
        <v>101634.58388464073</v>
      </c>
      <c r="ES163" s="233">
        <f>ES173+ES265+ES354</f>
        <v>54370.243913376558</v>
      </c>
      <c r="ET163" s="233">
        <f>ET173+ET265+ET354</f>
        <v>56411.45252088183</v>
      </c>
      <c r="EU163" s="1070">
        <f>SUM(ES163:ET163)</f>
        <v>110781.6964342584</v>
      </c>
      <c r="EV163" s="233">
        <f>EV173+EV265+EV354</f>
        <v>59263.565865580458</v>
      </c>
      <c r="EW163" s="233">
        <f>EW173+EW265+EW354</f>
        <v>61488.483247761207</v>
      </c>
      <c r="EX163" s="1070">
        <f>SUM(EV163:EW163)</f>
        <v>120752.04911334167</v>
      </c>
      <c r="EY163" s="233">
        <f>EY173+EY265+EY354</f>
        <v>64597.286793482708</v>
      </c>
      <c r="EZ163" s="233">
        <f>EZ173+EZ265+EZ354</f>
        <v>67022.44674005972</v>
      </c>
      <c r="FA163" s="1070">
        <f>SUM(EY163:EZ163)</f>
        <v>131619.73353354243</v>
      </c>
    </row>
    <row r="164" spans="1:173">
      <c r="C164" s="35" t="s">
        <v>209</v>
      </c>
      <c r="D164" s="162" t="s">
        <v>460</v>
      </c>
      <c r="BA164" s="35"/>
      <c r="BB164" s="35"/>
      <c r="BC164" s="322"/>
      <c r="BD164" s="65">
        <f t="shared" ref="BD164:CI164" si="1013">BD163/BA163-1</f>
        <v>0.17447916666666674</v>
      </c>
      <c r="BE164" s="65">
        <f t="shared" si="1013"/>
        <v>0.24252199413489728</v>
      </c>
      <c r="BF164" s="65">
        <f t="shared" si="1013"/>
        <v>0.21027460660290043</v>
      </c>
      <c r="BG164" s="65">
        <f t="shared" si="1013"/>
        <v>0.22283813747228387</v>
      </c>
      <c r="BH164" s="65">
        <f t="shared" si="1013"/>
        <v>0.16025489733301868</v>
      </c>
      <c r="BI164" s="65">
        <f t="shared" si="1013"/>
        <v>0.18903760356915233</v>
      </c>
      <c r="BJ164" s="65">
        <f t="shared" si="1013"/>
        <v>1.5905360380779499E-2</v>
      </c>
      <c r="BK164" s="65">
        <f t="shared" si="1013"/>
        <v>-1.8664293437732127E-2</v>
      </c>
      <c r="BL164" s="65">
        <f t="shared" si="1013"/>
        <v>-2.3133808469010253E-3</v>
      </c>
      <c r="BM164" s="65">
        <f t="shared" si="1013"/>
        <v>0.11874150961761432</v>
      </c>
      <c r="BN164" s="65">
        <f t="shared" si="1013"/>
        <v>0.1997290920894188</v>
      </c>
      <c r="BO164" s="65">
        <f t="shared" si="1013"/>
        <v>0.1607237127530865</v>
      </c>
      <c r="BP164" s="65">
        <f t="shared" si="1013"/>
        <v>0.30011257906102662</v>
      </c>
      <c r="BQ164" s="65">
        <f t="shared" si="1013"/>
        <v>0.10266337959107741</v>
      </c>
      <c r="BR164" s="65">
        <f t="shared" si="1013"/>
        <v>0.19431968421315338</v>
      </c>
      <c r="BS164" s="65">
        <f t="shared" si="1013"/>
        <v>0.2177678323045702</v>
      </c>
      <c r="BT164" s="65">
        <f t="shared" si="1013"/>
        <v>0.25477617725621649</v>
      </c>
      <c r="BU164" s="65">
        <f t="shared" si="1013"/>
        <v>0.23607508383584652</v>
      </c>
      <c r="BV164" s="65">
        <f t="shared" si="1013"/>
        <v>0.12959708204733889</v>
      </c>
      <c r="BW164" s="65">
        <f t="shared" si="1013"/>
        <v>0.15635275743998323</v>
      </c>
      <c r="BX164" s="65">
        <f t="shared" si="1013"/>
        <v>0.14303279806679048</v>
      </c>
      <c r="BY164" s="65">
        <f t="shared" si="1013"/>
        <v>2.3475358686642744E-2</v>
      </c>
      <c r="BZ164" s="65">
        <f t="shared" si="1013"/>
        <v>1.2324996924711895E-2</v>
      </c>
      <c r="CA164" s="65">
        <f t="shared" si="1013"/>
        <v>1.7810807525673322E-2</v>
      </c>
      <c r="CB164" s="65">
        <f t="shared" si="1013"/>
        <v>6.8889380522141108E-2</v>
      </c>
      <c r="CC164" s="65">
        <f t="shared" si="1013"/>
        <v>0.19583702556679827</v>
      </c>
      <c r="CD164" s="65">
        <f t="shared" si="1013"/>
        <v>0.13303309376432915</v>
      </c>
      <c r="CE164" s="65">
        <f t="shared" si="1013"/>
        <v>0.19920726307612835</v>
      </c>
      <c r="CF164" s="65">
        <f t="shared" si="1013"/>
        <v>0.15040522485214969</v>
      </c>
      <c r="CG164" s="65">
        <f t="shared" si="1013"/>
        <v>0.17318189920730664</v>
      </c>
      <c r="CH164" s="65">
        <f t="shared" si="1013"/>
        <v>-8.8477345589321299E-2</v>
      </c>
      <c r="CI164" s="65">
        <f t="shared" si="1013"/>
        <v>-4.1335610200188277E-2</v>
      </c>
      <c r="CJ164" s="65">
        <f t="shared" ref="CJ164:DO164" si="1014">CJ163/CG163-1</f>
        <v>-6.3825473419569123E-2</v>
      </c>
      <c r="CK164" s="65">
        <f t="shared" si="1014"/>
        <v>0.27488981442554183</v>
      </c>
      <c r="CL164" s="65">
        <f t="shared" si="1014"/>
        <v>5.1691930674720776E-2</v>
      </c>
      <c r="CM164" s="65">
        <f t="shared" si="1014"/>
        <v>0.15536882228093707</v>
      </c>
      <c r="CN164" s="65">
        <f t="shared" si="1014"/>
        <v>-0.14335868929198414</v>
      </c>
      <c r="CO164" s="65">
        <f t="shared" si="1014"/>
        <v>9.8677126595909215E-2</v>
      </c>
      <c r="CP164" s="65">
        <f t="shared" si="1014"/>
        <v>-2.5380520356901748E-2</v>
      </c>
      <c r="CQ164" s="65">
        <f t="shared" si="1014"/>
        <v>-1.963797814207302E-3</v>
      </c>
      <c r="CR164" s="65">
        <f t="shared" si="1014"/>
        <v>6.0483024151207321E-2</v>
      </c>
      <c r="CS164" s="65">
        <f t="shared" si="1014"/>
        <v>3.234988652536841E-2</v>
      </c>
      <c r="CT164" s="65">
        <f t="shared" si="1014"/>
        <v>0.26169903327915134</v>
      </c>
      <c r="CU164" s="65">
        <f t="shared" si="1014"/>
        <v>1.8153013400224349E-2</v>
      </c>
      <c r="CV164" s="65">
        <f t="shared" si="1014"/>
        <v>0.12422684253670169</v>
      </c>
      <c r="CW164" s="65">
        <f t="shared" si="1014"/>
        <v>0.10075942500678048</v>
      </c>
      <c r="CX164" s="65">
        <f t="shared" si="1014"/>
        <v>5.8091286307053958E-2</v>
      </c>
      <c r="CY164" s="65">
        <f t="shared" si="1014"/>
        <v>7.8947368421052655E-2</v>
      </c>
      <c r="CZ164" s="65">
        <f t="shared" si="1014"/>
        <v>-1.6138967598866016E-2</v>
      </c>
      <c r="DA164" s="65">
        <f t="shared" si="1014"/>
        <v>0.18186274509803857</v>
      </c>
      <c r="DB164" s="65">
        <f t="shared" si="1014"/>
        <v>8.3123425692695152E-2</v>
      </c>
      <c r="DC164" s="65">
        <f t="shared" si="1014"/>
        <v>4.8084147257700272E-2</v>
      </c>
      <c r="DD164" s="65">
        <f t="shared" si="1014"/>
        <v>-0.10083990045624169</v>
      </c>
      <c r="DE164" s="65">
        <f t="shared" si="1014"/>
        <v>-3.3380601247872899E-2</v>
      </c>
      <c r="DF164" s="65">
        <f t="shared" si="1014"/>
        <v>0.12867383512544794</v>
      </c>
      <c r="DG164" s="65">
        <f t="shared" si="1014"/>
        <v>-0.26379519114340078</v>
      </c>
      <c r="DH164" s="1066">
        <f t="shared" si="1014"/>
        <v>-7.1032479535252158E-2</v>
      </c>
      <c r="DI164" s="65">
        <f t="shared" si="1014"/>
        <v>-8.029003916587274E-2</v>
      </c>
      <c r="DJ164" s="65">
        <f t="shared" si="1014"/>
        <v>0.49428258145363402</v>
      </c>
      <c r="DK164" s="1066">
        <f t="shared" si="1014"/>
        <v>0.15141178700018942</v>
      </c>
      <c r="DL164" s="65">
        <f>DL163/DI163-1</f>
        <v>7.026529320366004E-2</v>
      </c>
      <c r="DM164" s="65">
        <f>DM163/DJ163-1</f>
        <v>2.6468892499607044E-2</v>
      </c>
      <c r="DN164" s="1066">
        <f>DN163/DK163-1</f>
        <v>4.7344744349352652E-2</v>
      </c>
      <c r="DO164" s="65">
        <f t="shared" si="1014"/>
        <v>0.14254220883966018</v>
      </c>
      <c r="DP164" s="65">
        <f t="shared" ref="DP164:EF164" si="1015">DP163/DM163-1</f>
        <v>0.16967933006535918</v>
      </c>
      <c r="DQ164" s="1066">
        <f t="shared" si="1015"/>
        <v>0.15646115970876329</v>
      </c>
      <c r="DR164" s="65">
        <f t="shared" si="1015"/>
        <v>0.13854769636218167</v>
      </c>
      <c r="DS164" s="65">
        <f t="shared" si="1015"/>
        <v>4.1035491334526553E-2</v>
      </c>
      <c r="DT164" s="1066">
        <f t="shared" si="1015"/>
        <v>8.7960866020472928E-2</v>
      </c>
      <c r="DU164" s="65">
        <f t="shared" si="1015"/>
        <v>4.947712148142025E-2</v>
      </c>
      <c r="DV164" s="65">
        <f t="shared" ref="DV164" si="1016">DV163/DS163-1</f>
        <v>0.19838973455780629</v>
      </c>
      <c r="DW164" s="1066">
        <f t="shared" ref="DW164" si="1017">DW163/DT163-1</f>
        <v>0.12339716902581177</v>
      </c>
      <c r="DX164" s="65">
        <f t="shared" si="1015"/>
        <v>6.4040961008271058E-2</v>
      </c>
      <c r="DY164" s="65">
        <f t="shared" si="1015"/>
        <v>0.10000000000000009</v>
      </c>
      <c r="DZ164" s="1066">
        <f t="shared" si="1015"/>
        <v>8.3082567447376521E-2</v>
      </c>
      <c r="EA164" s="65">
        <f t="shared" si="1015"/>
        <v>0.19999999999999996</v>
      </c>
      <c r="EB164" s="65">
        <f t="shared" si="1015"/>
        <v>7.0000000000000062E-2</v>
      </c>
      <c r="EC164" s="1066">
        <f t="shared" si="1015"/>
        <v>0.13008506153788235</v>
      </c>
      <c r="ED164" s="65">
        <f t="shared" si="1015"/>
        <v>9.000000000000008E-2</v>
      </c>
      <c r="EE164" s="65">
        <f t="shared" si="1015"/>
        <v>9.000000000000008E-2</v>
      </c>
      <c r="EF164" s="1066">
        <f t="shared" si="1015"/>
        <v>9.000000000000008E-2</v>
      </c>
      <c r="EG164" s="65">
        <f t="shared" ref="EG164:EL164" si="1018">EG163/ED163-1</f>
        <v>8.9999999999999858E-2</v>
      </c>
      <c r="EH164" s="65">
        <f t="shared" si="1018"/>
        <v>9.000000000000008E-2</v>
      </c>
      <c r="EI164" s="1066">
        <f t="shared" si="1018"/>
        <v>9.000000000000008E-2</v>
      </c>
      <c r="EJ164" s="65">
        <f t="shared" si="1018"/>
        <v>9.000000000000008E-2</v>
      </c>
      <c r="EK164" s="65">
        <f t="shared" si="1018"/>
        <v>9.000000000000008E-2</v>
      </c>
      <c r="EL164" s="1066">
        <f t="shared" si="1018"/>
        <v>9.000000000000008E-2</v>
      </c>
      <c r="EM164" s="65">
        <f t="shared" ref="EM164:ER164" si="1019">EM163/EJ163-1</f>
        <v>9.000000000000008E-2</v>
      </c>
      <c r="EN164" s="65">
        <f t="shared" si="1019"/>
        <v>9.000000000000008E-2</v>
      </c>
      <c r="EO164" s="1066">
        <f t="shared" si="1019"/>
        <v>9.000000000000008E-2</v>
      </c>
      <c r="EP164" s="65">
        <f t="shared" si="1019"/>
        <v>9.000000000000008E-2</v>
      </c>
      <c r="EQ164" s="65">
        <f t="shared" si="1019"/>
        <v>9.000000000000008E-2</v>
      </c>
      <c r="ER164" s="1066">
        <f t="shared" si="1019"/>
        <v>9.000000000000008E-2</v>
      </c>
      <c r="ES164" s="65">
        <f t="shared" ref="ES164" si="1020">ES163/EP163-1</f>
        <v>8.9999999999999858E-2</v>
      </c>
      <c r="ET164" s="65">
        <f t="shared" ref="ET164" si="1021">ET163/EQ163-1</f>
        <v>9.000000000000008E-2</v>
      </c>
      <c r="EU164" s="1066">
        <f t="shared" ref="EU164" si="1022">EU163/ER163-1</f>
        <v>9.000000000000008E-2</v>
      </c>
      <c r="EV164" s="65">
        <f t="shared" ref="EV164" si="1023">EV163/ES163-1</f>
        <v>9.000000000000008E-2</v>
      </c>
      <c r="EW164" s="65">
        <f t="shared" ref="EW164" si="1024">EW163/ET163-1</f>
        <v>9.0000000000000302E-2</v>
      </c>
      <c r="EX164" s="1066">
        <f t="shared" ref="EX164" si="1025">EX163/EU163-1</f>
        <v>9.000000000000008E-2</v>
      </c>
      <c r="EY164" s="65">
        <f t="shared" ref="EY164" si="1026">EY163/EV163-1</f>
        <v>9.000000000000008E-2</v>
      </c>
      <c r="EZ164" s="65">
        <f t="shared" ref="EZ164" si="1027">EZ163/EW163-1</f>
        <v>9.000000000000008E-2</v>
      </c>
      <c r="FA164" s="1066">
        <f t="shared" ref="FA164" si="1028">FA163/EX163-1</f>
        <v>9.000000000000008E-2</v>
      </c>
      <c r="FH164" s="244"/>
    </row>
    <row r="165" spans="1:173" s="233" customFormat="1">
      <c r="A165" s="1147"/>
      <c r="B165" s="233" t="s">
        <v>790</v>
      </c>
      <c r="D165" s="245" t="s">
        <v>604</v>
      </c>
      <c r="BA165" s="946"/>
      <c r="BB165" s="946"/>
      <c r="BC165" s="947"/>
      <c r="BD165" s="946"/>
      <c r="BE165" s="946"/>
      <c r="BF165" s="231"/>
      <c r="BG165" s="946"/>
      <c r="BH165" s="946"/>
      <c r="BI165" s="231"/>
      <c r="BJ165" s="948"/>
      <c r="BK165" s="948"/>
      <c r="BL165" s="949"/>
      <c r="BM165" s="948"/>
      <c r="BN165" s="948"/>
      <c r="BO165" s="949"/>
      <c r="BP165" s="948"/>
      <c r="BQ165" s="948"/>
      <c r="BR165" s="949"/>
      <c r="BS165" s="1015">
        <v>7939</v>
      </c>
      <c r="BT165" s="1015"/>
      <c r="BU165" s="233">
        <f t="shared" ref="BU165:CL165" si="1029">BU198+BU291+BU371</f>
        <v>84.759130038480691</v>
      </c>
      <c r="BV165" s="233">
        <f t="shared" si="1029"/>
        <v>28.918582121455401</v>
      </c>
      <c r="BW165" s="233">
        <f t="shared" si="1029"/>
        <v>35.466660162625253</v>
      </c>
      <c r="BX165" s="233">
        <f t="shared" si="1029"/>
        <v>64.385242284080661</v>
      </c>
      <c r="BY165" s="233">
        <f t="shared" si="1029"/>
        <v>38.028656336165469</v>
      </c>
      <c r="BZ165" s="233">
        <f t="shared" si="1029"/>
        <v>36.067971007997684</v>
      </c>
      <c r="CA165" s="233">
        <f t="shared" si="1029"/>
        <v>74.096627344163153</v>
      </c>
      <c r="CB165" s="233">
        <f t="shared" si="1029"/>
        <v>26.999999999999996</v>
      </c>
      <c r="CC165" s="233">
        <f t="shared" si="1029"/>
        <v>29.100000000000005</v>
      </c>
      <c r="CD165" s="233">
        <f t="shared" si="1029"/>
        <v>56.1</v>
      </c>
      <c r="CE165" s="233">
        <f t="shared" si="1029"/>
        <v>38.700000000000003</v>
      </c>
      <c r="CF165" s="233">
        <f t="shared" si="1029"/>
        <v>50.8</v>
      </c>
      <c r="CG165" s="233">
        <f t="shared" si="1029"/>
        <v>89.5</v>
      </c>
      <c r="CH165" s="233">
        <f t="shared" si="1029"/>
        <v>62.299999999999969</v>
      </c>
      <c r="CI165" s="233">
        <f t="shared" si="1029"/>
        <v>47.299999999999969</v>
      </c>
      <c r="CJ165" s="233">
        <f t="shared" si="1029"/>
        <v>109.59999999999994</v>
      </c>
      <c r="CK165" s="233">
        <f t="shared" si="1029"/>
        <v>57.9</v>
      </c>
      <c r="CL165" s="233">
        <f t="shared" si="1029"/>
        <v>29.800000000049003</v>
      </c>
      <c r="CM165" s="233">
        <f>CK165+CL165</f>
        <v>87.700000000049002</v>
      </c>
      <c r="CN165" s="233">
        <f>CN198+CN291+CN371</f>
        <v>54.010260476053674</v>
      </c>
      <c r="CO165" s="233">
        <f>CO198+CO291+CO371</f>
        <v>41.480739236737485</v>
      </c>
      <c r="CP165" s="233">
        <f>CN165+CO165</f>
        <v>95.490999712791165</v>
      </c>
      <c r="CQ165" s="233">
        <f>CQ198+CQ291+CQ371</f>
        <v>34.039192041865</v>
      </c>
      <c r="CR165" s="233">
        <f>CR198+CR291+CR371</f>
        <v>29.195165410151027</v>
      </c>
      <c r="CS165" s="233">
        <f>CQ165+CR165</f>
        <v>63.234357452016027</v>
      </c>
      <c r="CT165" s="233">
        <f>CT198+CT291+CT371</f>
        <v>146.29999999999998</v>
      </c>
      <c r="CU165" s="233">
        <f>CU198+CU291+CU371</f>
        <v>141.54030386729582</v>
      </c>
      <c r="CV165" s="233">
        <f>CT165+CU165</f>
        <v>287.8403038672958</v>
      </c>
      <c r="CW165" s="233">
        <f>CW198+CW291+CW371</f>
        <v>144.77730621259633</v>
      </c>
      <c r="CX165" s="233">
        <f>CX198+CX291+CX371</f>
        <v>160.80000000000004</v>
      </c>
      <c r="CY165" s="233">
        <f>CW165+CX165</f>
        <v>305.57730621259634</v>
      </c>
      <c r="CZ165" s="233">
        <f>CZ198+CZ291+CZ371</f>
        <v>151.03443396031815</v>
      </c>
      <c r="DA165" s="233">
        <f>DA198+DA291+DA371</f>
        <v>183.87468523645583</v>
      </c>
      <c r="DB165" s="233">
        <f>CZ165+DA165</f>
        <v>334.90911919677399</v>
      </c>
      <c r="DC165" s="233">
        <f>DC198+DC291+DC371</f>
        <v>204.63656629043851</v>
      </c>
      <c r="DD165" s="233">
        <f>DD198+DD291+DD371</f>
        <v>219.4030504373188</v>
      </c>
      <c r="DE165" s="233">
        <f>DC165+DD165</f>
        <v>424.03961672775733</v>
      </c>
      <c r="DF165" s="233">
        <f>DF198+DF291+DF371</f>
        <v>222.41894873096487</v>
      </c>
      <c r="DG165" s="233">
        <f>DG198+DG291+DG371</f>
        <v>177.66621683241007</v>
      </c>
      <c r="DH165" s="1070">
        <f>DF165+DG165</f>
        <v>400.08516556337497</v>
      </c>
      <c r="DI165" s="233">
        <f>DI198+DI291+DI371</f>
        <v>214.89999999999998</v>
      </c>
      <c r="DJ165" s="233">
        <f>DJ198+DJ291+DJ371</f>
        <v>223.6</v>
      </c>
      <c r="DK165" s="1070">
        <f>DI165+DJ165</f>
        <v>438.5</v>
      </c>
      <c r="DL165" s="233">
        <f>DL198+DL291+DL371</f>
        <v>256.5</v>
      </c>
      <c r="DM165" s="233">
        <f>DM198+DM291+DM371</f>
        <v>247.4</v>
      </c>
      <c r="DN165" s="1070">
        <f>DL165+DM165</f>
        <v>503.9</v>
      </c>
      <c r="DO165" s="233">
        <f>DO198+DO291+DO371</f>
        <v>258.60000000000002</v>
      </c>
      <c r="DP165" s="233">
        <f>DP198+DP291+DP371</f>
        <v>325.79999999999995</v>
      </c>
      <c r="DQ165" s="1070">
        <f>DO165+DP165</f>
        <v>584.4</v>
      </c>
      <c r="DR165" s="233">
        <f>DR198+DR291+DR371</f>
        <v>348.89999999999992</v>
      </c>
      <c r="DS165" s="233">
        <f>DS198+DS291+DS371</f>
        <v>323.39999999999998</v>
      </c>
      <c r="DT165" s="1070">
        <f>DR165+DS165</f>
        <v>672.3</v>
      </c>
      <c r="DU165" s="233">
        <f>DU198+DU291+DU371</f>
        <v>305</v>
      </c>
      <c r="DV165" s="233">
        <f>DV198+DV291+DV371</f>
        <v>304.2000000000001</v>
      </c>
      <c r="DW165" s="1070">
        <f>DU165+DV165</f>
        <v>609.20000000000005</v>
      </c>
      <c r="DX165" s="233">
        <f>DX198+DX291+DX371</f>
        <v>311.60000000000002</v>
      </c>
      <c r="DY165" s="233">
        <f>DY198+DY291+DY371</f>
        <v>327.41432064663024</v>
      </c>
      <c r="DZ165" s="1070">
        <f>DX165+DY165</f>
        <v>639.01432064663027</v>
      </c>
      <c r="EA165" s="233">
        <f>EA198+EA291+EA371</f>
        <v>343.80020969059115</v>
      </c>
      <c r="EB165" s="233">
        <f>EB198+EB291+EB371</f>
        <v>351.97039469512748</v>
      </c>
      <c r="EC165" s="1070">
        <f>EA165+EB165</f>
        <v>695.77060438571857</v>
      </c>
      <c r="ED165" s="233">
        <f>ED198+ED291+ED371</f>
        <v>374.74222856274434</v>
      </c>
      <c r="EE165" s="233">
        <f>EE198+EE291+EE371</f>
        <v>383.64773021768895</v>
      </c>
      <c r="EF165" s="1070">
        <f>ED165+EE165</f>
        <v>758.38995878043329</v>
      </c>
      <c r="EG165" s="233">
        <f>EG198+EG291+EG371</f>
        <v>408.46902913339136</v>
      </c>
      <c r="EH165" s="233">
        <f>EH198+EH291+EH371</f>
        <v>418.176025937281</v>
      </c>
      <c r="EI165" s="1070">
        <f>EG165+EH165</f>
        <v>826.64505507067236</v>
      </c>
      <c r="EJ165" s="233">
        <f>EJ198+EJ291+EJ371</f>
        <v>445.23124175539658</v>
      </c>
      <c r="EK165" s="233">
        <f>EK198+EK291+EK371</f>
        <v>455.81186827163634</v>
      </c>
      <c r="EL165" s="1070">
        <f>EJ165+EK165</f>
        <v>901.04311002703298</v>
      </c>
      <c r="EM165" s="233">
        <f>EM198+EM291+EM371</f>
        <v>485.30205351338236</v>
      </c>
      <c r="EN165" s="233">
        <f>EN198+EN291+EN371</f>
        <v>496.83493641608362</v>
      </c>
      <c r="EO165" s="1070">
        <f>EM165+EN165</f>
        <v>982.13698992946593</v>
      </c>
      <c r="EP165" s="233">
        <f>EP198+EP291+EP371</f>
        <v>528.97923832958679</v>
      </c>
      <c r="EQ165" s="233">
        <f>EQ198+EQ291+EQ371</f>
        <v>541.55008069353119</v>
      </c>
      <c r="ER165" s="1070">
        <f>EP165+EQ165</f>
        <v>1070.529319023118</v>
      </c>
      <c r="ES165" s="233">
        <f>ES198+ES291+ES371</f>
        <v>576.58736977924968</v>
      </c>
      <c r="ET165" s="233">
        <f>ET198+ET291+ET371</f>
        <v>590.28958795594906</v>
      </c>
      <c r="EU165" s="1070">
        <f>ES165+ET165</f>
        <v>1166.8769577351986</v>
      </c>
      <c r="EV165" s="233">
        <f>EV198+EV291+EV371</f>
        <v>628.48023305938204</v>
      </c>
      <c r="EW165" s="233">
        <f>EW198+EW291+EW371</f>
        <v>643.41565087198444</v>
      </c>
      <c r="EX165" s="1070">
        <f>EV165+EW165</f>
        <v>1271.8958839313664</v>
      </c>
      <c r="EY165" s="233">
        <f>EY198+EY291+EY371</f>
        <v>685.04345403472655</v>
      </c>
      <c r="EZ165" s="233">
        <f>EZ198+EZ291+EZ371</f>
        <v>701.32305945046312</v>
      </c>
      <c r="FA165" s="1070">
        <f>EY165+EZ165</f>
        <v>1386.3665134851897</v>
      </c>
    </row>
    <row r="166" spans="1:173" ht="13.35" customHeight="1">
      <c r="C166" s="186"/>
      <c r="D166" s="926"/>
      <c r="K166" s="186"/>
      <c r="BA166" s="35"/>
      <c r="BB166" s="35"/>
      <c r="BD166" s="171"/>
      <c r="BE166" s="171"/>
      <c r="BG166" s="171"/>
      <c r="BH166" s="171"/>
      <c r="BJ166" s="171"/>
      <c r="BK166" s="171"/>
      <c r="BL166" s="962"/>
      <c r="BM166" s="171"/>
      <c r="BN166" s="171"/>
      <c r="BO166" s="31"/>
      <c r="BP166" s="171"/>
      <c r="BQ166" s="171"/>
      <c r="BR166" s="962"/>
      <c r="BS166" s="171"/>
      <c r="BT166" s="171"/>
      <c r="BU166" s="171"/>
      <c r="BV166" s="171"/>
      <c r="BW166" s="171"/>
      <c r="BX166" s="171"/>
      <c r="BY166" s="171"/>
      <c r="BZ166" s="171"/>
      <c r="CA166" s="171"/>
      <c r="CB166" s="171"/>
      <c r="CC166" s="171"/>
      <c r="CD166" s="171"/>
      <c r="CE166" s="171"/>
      <c r="CF166" s="171"/>
      <c r="CG166" s="171"/>
      <c r="CH166" s="171"/>
      <c r="CI166" s="171"/>
      <c r="CJ166" s="171"/>
      <c r="CK166" s="171"/>
      <c r="CL166" s="171"/>
      <c r="CM166" s="171"/>
      <c r="CN166" s="171"/>
      <c r="CO166" s="171"/>
      <c r="CP166" s="171"/>
      <c r="CQ166" s="171"/>
      <c r="CR166" s="171"/>
      <c r="CS166" s="171"/>
      <c r="CT166" s="171"/>
      <c r="CU166" s="171"/>
      <c r="CV166" s="171"/>
      <c r="CW166" s="171"/>
      <c r="CX166" s="171"/>
      <c r="CY166" s="171"/>
      <c r="CZ166" s="171"/>
      <c r="DA166" s="171"/>
      <c r="DB166" s="171"/>
      <c r="DC166" s="171"/>
      <c r="DD166" s="171"/>
      <c r="DE166" s="171"/>
      <c r="DF166" s="171"/>
      <c r="DG166" s="171"/>
      <c r="DH166" s="1068"/>
      <c r="DI166" s="171"/>
      <c r="DJ166" s="171"/>
      <c r="DK166" s="1068"/>
      <c r="DL166" s="171"/>
      <c r="DM166" s="171"/>
      <c r="DN166" s="1068"/>
      <c r="DO166" s="171"/>
      <c r="DP166" s="171"/>
      <c r="DQ166" s="1068"/>
      <c r="DR166" s="171"/>
      <c r="DS166" s="171"/>
      <c r="DT166" s="1068"/>
      <c r="DU166" s="171"/>
      <c r="DV166" s="171"/>
      <c r="DW166" s="1068"/>
      <c r="DX166" s="171"/>
      <c r="DY166" s="171"/>
      <c r="DZ166" s="1068"/>
      <c r="EA166" s="171"/>
      <c r="EB166" s="171"/>
      <c r="EC166" s="1068"/>
      <c r="ED166" s="171"/>
      <c r="EE166" s="171"/>
      <c r="EF166" s="1068"/>
      <c r="EG166" s="171"/>
      <c r="EH166" s="171"/>
      <c r="EI166" s="1068"/>
      <c r="EJ166" s="171"/>
      <c r="EK166" s="171"/>
      <c r="EL166" s="1068"/>
      <c r="EM166" s="171"/>
      <c r="EN166" s="171"/>
      <c r="EO166" s="1068"/>
      <c r="EP166" s="171"/>
      <c r="EQ166" s="171"/>
      <c r="ER166" s="1068"/>
      <c r="ES166" s="171"/>
      <c r="ET166" s="171"/>
      <c r="EU166" s="1068"/>
      <c r="EV166" s="171"/>
      <c r="EW166" s="171"/>
      <c r="EX166" s="1068"/>
      <c r="EY166" s="171"/>
      <c r="EZ166" s="171"/>
      <c r="FA166" s="1068"/>
    </row>
    <row r="167" spans="1:173" s="321" customFormat="1" ht="16.5" customHeight="1">
      <c r="A167" s="1418"/>
      <c r="B167" s="906" t="s">
        <v>316</v>
      </c>
      <c r="C167" s="941"/>
      <c r="D167" s="907"/>
      <c r="E167" s="908"/>
      <c r="F167" s="908"/>
      <c r="G167" s="908"/>
      <c r="H167" s="908"/>
      <c r="I167" s="908"/>
      <c r="J167" s="908"/>
      <c r="K167" s="908"/>
      <c r="L167" s="908"/>
      <c r="M167" s="908"/>
      <c r="N167" s="908"/>
      <c r="O167" s="908"/>
      <c r="P167" s="908"/>
      <c r="Q167" s="908"/>
      <c r="R167" s="908"/>
      <c r="S167" s="908"/>
      <c r="T167" s="908"/>
      <c r="U167" s="908"/>
      <c r="V167" s="908"/>
      <c r="W167" s="908"/>
      <c r="X167" s="908"/>
      <c r="Y167" s="908"/>
      <c r="Z167" s="908"/>
      <c r="AA167" s="908"/>
      <c r="AB167" s="908"/>
      <c r="AC167" s="908"/>
      <c r="AD167" s="908"/>
      <c r="AE167" s="908"/>
      <c r="AF167" s="908"/>
      <c r="AG167" s="908"/>
      <c r="AH167" s="908"/>
      <c r="AI167" s="908"/>
      <c r="AJ167" s="908"/>
      <c r="AK167" s="908"/>
      <c r="AL167" s="908"/>
      <c r="AM167" s="908"/>
      <c r="AN167" s="908"/>
      <c r="AO167" s="908"/>
      <c r="AP167" s="908"/>
      <c r="AQ167" s="908"/>
      <c r="AR167" s="908"/>
      <c r="AS167" s="908"/>
      <c r="AT167" s="908"/>
      <c r="AU167" s="908"/>
      <c r="AV167" s="908"/>
      <c r="AW167" s="908"/>
      <c r="AX167" s="908"/>
      <c r="AY167" s="908"/>
      <c r="AZ167" s="908"/>
      <c r="BA167" s="908" t="str">
        <f t="shared" ref="BA167:CF167" si="1030">BA2</f>
        <v>1H01</v>
      </c>
      <c r="BB167" s="908" t="str">
        <f t="shared" si="1030"/>
        <v>2H01</v>
      </c>
      <c r="BC167" s="908" t="str">
        <f t="shared" si="1030"/>
        <v>FY01</v>
      </c>
      <c r="BD167" s="908" t="str">
        <f t="shared" si="1030"/>
        <v>1H02</v>
      </c>
      <c r="BE167" s="908" t="str">
        <f t="shared" si="1030"/>
        <v>2H02</v>
      </c>
      <c r="BF167" s="908" t="str">
        <f t="shared" si="1030"/>
        <v>FY02</v>
      </c>
      <c r="BG167" s="908" t="str">
        <f t="shared" si="1030"/>
        <v>1H03</v>
      </c>
      <c r="BH167" s="908" t="str">
        <f t="shared" si="1030"/>
        <v>2H03</v>
      </c>
      <c r="BI167" s="908" t="str">
        <f t="shared" si="1030"/>
        <v>FY03</v>
      </c>
      <c r="BJ167" s="908" t="str">
        <f t="shared" si="1030"/>
        <v>1H04</v>
      </c>
      <c r="BK167" s="908" t="str">
        <f t="shared" si="1030"/>
        <v>2H04</v>
      </c>
      <c r="BL167" s="908" t="str">
        <f t="shared" si="1030"/>
        <v>FY04</v>
      </c>
      <c r="BM167" s="908" t="str">
        <f t="shared" si="1030"/>
        <v>1H05</v>
      </c>
      <c r="BN167" s="908" t="str">
        <f t="shared" si="1030"/>
        <v>2H05</v>
      </c>
      <c r="BO167" s="908" t="str">
        <f t="shared" si="1030"/>
        <v>FY05</v>
      </c>
      <c r="BP167" s="908" t="str">
        <f t="shared" si="1030"/>
        <v>1H06</v>
      </c>
      <c r="BQ167" s="908" t="str">
        <f t="shared" si="1030"/>
        <v>2H06</v>
      </c>
      <c r="BR167" s="908" t="str">
        <f t="shared" si="1030"/>
        <v>FY06</v>
      </c>
      <c r="BS167" s="909" t="str">
        <f t="shared" si="1030"/>
        <v>1H07</v>
      </c>
      <c r="BT167" s="909" t="str">
        <f t="shared" si="1030"/>
        <v>2H07</v>
      </c>
      <c r="BU167" s="909" t="str">
        <f t="shared" si="1030"/>
        <v>FY07</v>
      </c>
      <c r="BV167" s="909" t="str">
        <f t="shared" si="1030"/>
        <v>1H08</v>
      </c>
      <c r="BW167" s="909" t="str">
        <f t="shared" si="1030"/>
        <v>2H08</v>
      </c>
      <c r="BX167" s="909" t="str">
        <f t="shared" si="1030"/>
        <v>FY08</v>
      </c>
      <c r="BY167" s="909" t="str">
        <f t="shared" si="1030"/>
        <v>1H09</v>
      </c>
      <c r="BZ167" s="909" t="str">
        <f t="shared" si="1030"/>
        <v>2H09</v>
      </c>
      <c r="CA167" s="909" t="str">
        <f t="shared" si="1030"/>
        <v>FY09</v>
      </c>
      <c r="CB167" s="909" t="str">
        <f t="shared" si="1030"/>
        <v>1H10</v>
      </c>
      <c r="CC167" s="909" t="str">
        <f t="shared" si="1030"/>
        <v>2H10</v>
      </c>
      <c r="CD167" s="909" t="str">
        <f t="shared" si="1030"/>
        <v>FY10</v>
      </c>
      <c r="CE167" s="909" t="str">
        <f t="shared" si="1030"/>
        <v>1H11</v>
      </c>
      <c r="CF167" s="909" t="str">
        <f t="shared" si="1030"/>
        <v>2H11</v>
      </c>
      <c r="CG167" s="909" t="str">
        <f t="shared" ref="CG167:DL167" si="1031">CG2</f>
        <v>FY11</v>
      </c>
      <c r="CH167" s="909" t="str">
        <f t="shared" si="1031"/>
        <v>1H12</v>
      </c>
      <c r="CI167" s="909" t="str">
        <f t="shared" si="1031"/>
        <v>2H12</v>
      </c>
      <c r="CJ167" s="909" t="str">
        <f t="shared" si="1031"/>
        <v>FY12</v>
      </c>
      <c r="CK167" s="909" t="str">
        <f t="shared" si="1031"/>
        <v>1H13</v>
      </c>
      <c r="CL167" s="909" t="str">
        <f t="shared" si="1031"/>
        <v>2H13</v>
      </c>
      <c r="CM167" s="909" t="str">
        <f t="shared" si="1031"/>
        <v>FY13</v>
      </c>
      <c r="CN167" s="909" t="str">
        <f t="shared" si="1031"/>
        <v>1H14</v>
      </c>
      <c r="CO167" s="909" t="str">
        <f t="shared" si="1031"/>
        <v>2H14</v>
      </c>
      <c r="CP167" s="909" t="str">
        <f t="shared" si="1031"/>
        <v>FY14</v>
      </c>
      <c r="CQ167" s="909" t="str">
        <f t="shared" si="1031"/>
        <v>1H15</v>
      </c>
      <c r="CR167" s="909" t="str">
        <f t="shared" si="1031"/>
        <v>2H15</v>
      </c>
      <c r="CS167" s="909" t="str">
        <f t="shared" si="1031"/>
        <v>FY15</v>
      </c>
      <c r="CT167" s="909" t="str">
        <f t="shared" si="1031"/>
        <v>1H16</v>
      </c>
      <c r="CU167" s="909" t="str">
        <f t="shared" si="1031"/>
        <v>2H16</v>
      </c>
      <c r="CV167" s="909" t="str">
        <f t="shared" si="1031"/>
        <v>FY16</v>
      </c>
      <c r="CW167" s="909" t="str">
        <f t="shared" si="1031"/>
        <v>1H17</v>
      </c>
      <c r="CX167" s="909" t="str">
        <f t="shared" si="1031"/>
        <v>2H17</v>
      </c>
      <c r="CY167" s="909" t="str">
        <f t="shared" si="1031"/>
        <v>FY17</v>
      </c>
      <c r="CZ167" s="909" t="str">
        <f t="shared" si="1031"/>
        <v>1H18</v>
      </c>
      <c r="DA167" s="909" t="str">
        <f t="shared" si="1031"/>
        <v>2H18</v>
      </c>
      <c r="DB167" s="909" t="str">
        <f t="shared" si="1031"/>
        <v>FY18</v>
      </c>
      <c r="DC167" s="909" t="str">
        <f t="shared" si="1031"/>
        <v>1H19</v>
      </c>
      <c r="DD167" s="909" t="str">
        <f t="shared" si="1031"/>
        <v>2H19</v>
      </c>
      <c r="DE167" s="909" t="str">
        <f t="shared" si="1031"/>
        <v>FY19</v>
      </c>
      <c r="DF167" s="909" t="str">
        <f t="shared" si="1031"/>
        <v>1H20</v>
      </c>
      <c r="DG167" s="909" t="str">
        <f t="shared" si="1031"/>
        <v>2H20</v>
      </c>
      <c r="DH167" s="1059" t="str">
        <f t="shared" si="1031"/>
        <v>FY20</v>
      </c>
      <c r="DI167" s="909" t="str">
        <f t="shared" si="1031"/>
        <v>1H21</v>
      </c>
      <c r="DJ167" s="909" t="str">
        <f t="shared" si="1031"/>
        <v>2H21</v>
      </c>
      <c r="DK167" s="1059" t="str">
        <f t="shared" si="1031"/>
        <v>FY21</v>
      </c>
      <c r="DL167" s="909" t="str">
        <f t="shared" si="1031"/>
        <v>1H22</v>
      </c>
      <c r="DM167" s="909" t="str">
        <f t="shared" ref="DM167:ER167" si="1032">DM2</f>
        <v>2H22</v>
      </c>
      <c r="DN167" s="1059" t="str">
        <f t="shared" si="1032"/>
        <v>FY22</v>
      </c>
      <c r="DO167" s="909" t="str">
        <f t="shared" si="1032"/>
        <v>1H23</v>
      </c>
      <c r="DP167" s="909" t="str">
        <f t="shared" si="1032"/>
        <v>2H23</v>
      </c>
      <c r="DQ167" s="1059" t="str">
        <f t="shared" si="1032"/>
        <v>FY23</v>
      </c>
      <c r="DR167" s="909" t="str">
        <f t="shared" si="1032"/>
        <v>1H24</v>
      </c>
      <c r="DS167" s="909" t="str">
        <f t="shared" si="1032"/>
        <v>2H24</v>
      </c>
      <c r="DT167" s="1059" t="str">
        <f t="shared" si="1032"/>
        <v>FY24</v>
      </c>
      <c r="DU167" s="909" t="str">
        <f t="shared" si="1032"/>
        <v>1H25</v>
      </c>
      <c r="DV167" s="909" t="str">
        <f t="shared" si="1032"/>
        <v>2H25</v>
      </c>
      <c r="DW167" s="1059" t="str">
        <f t="shared" si="1032"/>
        <v>FY25</v>
      </c>
      <c r="DX167" s="909" t="str">
        <f t="shared" si="1032"/>
        <v>1H26</v>
      </c>
      <c r="DY167" s="909" t="str">
        <f t="shared" si="1032"/>
        <v>2H26E</v>
      </c>
      <c r="DZ167" s="1059" t="str">
        <f t="shared" si="1032"/>
        <v>FY26E</v>
      </c>
      <c r="EA167" s="909" t="str">
        <f t="shared" si="1032"/>
        <v>1H27E</v>
      </c>
      <c r="EB167" s="909" t="str">
        <f t="shared" si="1032"/>
        <v>2H27E</v>
      </c>
      <c r="EC167" s="1059" t="str">
        <f t="shared" si="1032"/>
        <v>FY27E</v>
      </c>
      <c r="ED167" s="909" t="str">
        <f t="shared" si="1032"/>
        <v>1H28E</v>
      </c>
      <c r="EE167" s="909" t="str">
        <f t="shared" si="1032"/>
        <v>2H28E</v>
      </c>
      <c r="EF167" s="1059" t="str">
        <f t="shared" si="1032"/>
        <v>FY28E</v>
      </c>
      <c r="EG167" s="909" t="str">
        <f t="shared" si="1032"/>
        <v>1H29E</v>
      </c>
      <c r="EH167" s="909" t="str">
        <f t="shared" si="1032"/>
        <v>2H29E</v>
      </c>
      <c r="EI167" s="1059" t="str">
        <f t="shared" si="1032"/>
        <v>FY29E</v>
      </c>
      <c r="EJ167" s="909" t="str">
        <f t="shared" si="1032"/>
        <v>1H30E</v>
      </c>
      <c r="EK167" s="909" t="str">
        <f t="shared" si="1032"/>
        <v>2H30E</v>
      </c>
      <c r="EL167" s="1059" t="str">
        <f t="shared" si="1032"/>
        <v>FY30E</v>
      </c>
      <c r="EM167" s="909" t="str">
        <f t="shared" si="1032"/>
        <v>1H31E</v>
      </c>
      <c r="EN167" s="909" t="str">
        <f t="shared" si="1032"/>
        <v>2H31E</v>
      </c>
      <c r="EO167" s="1059" t="str">
        <f t="shared" si="1032"/>
        <v>FY31E</v>
      </c>
      <c r="EP167" s="909" t="str">
        <f t="shared" si="1032"/>
        <v>1H32E</v>
      </c>
      <c r="EQ167" s="909" t="str">
        <f t="shared" si="1032"/>
        <v>2H32E</v>
      </c>
      <c r="ER167" s="1059" t="str">
        <f t="shared" si="1032"/>
        <v>FY32E</v>
      </c>
      <c r="ES167" s="909" t="str">
        <f t="shared" ref="ES167:EX167" si="1033">ES2</f>
        <v>1H33E</v>
      </c>
      <c r="ET167" s="909" t="str">
        <f t="shared" si="1033"/>
        <v>2H33E</v>
      </c>
      <c r="EU167" s="1059" t="str">
        <f t="shared" si="1033"/>
        <v>FY33E</v>
      </c>
      <c r="EV167" s="909" t="str">
        <f t="shared" si="1033"/>
        <v>1H34E</v>
      </c>
      <c r="EW167" s="909" t="str">
        <f t="shared" si="1033"/>
        <v>2H34E</v>
      </c>
      <c r="EX167" s="1059" t="str">
        <f t="shared" si="1033"/>
        <v>FY34E</v>
      </c>
      <c r="EY167" s="909" t="str">
        <f t="shared" ref="EY167:FA167" si="1034">EY2</f>
        <v>1H35E</v>
      </c>
      <c r="EZ167" s="909" t="str">
        <f t="shared" si="1034"/>
        <v>2H35E</v>
      </c>
      <c r="FA167" s="1059" t="str">
        <f t="shared" si="1034"/>
        <v>FY35E</v>
      </c>
      <c r="FH167" s="35"/>
      <c r="FI167" s="35"/>
      <c r="FJ167" s="35"/>
      <c r="FK167" s="35"/>
      <c r="FL167" s="35"/>
      <c r="FM167" s="35"/>
      <c r="FN167" s="35"/>
      <c r="FO167" s="35"/>
      <c r="FP167" s="35"/>
      <c r="FQ167" s="35"/>
    </row>
    <row r="168" spans="1:173" ht="13.35" customHeight="1" outlineLevel="1">
      <c r="A168" s="1425" t="s">
        <v>27</v>
      </c>
      <c r="C168" s="186"/>
      <c r="D168" s="162" t="s">
        <v>39</v>
      </c>
      <c r="BA168" s="70">
        <f>BA178+BA196+BA188</f>
        <v>27.476279999999996</v>
      </c>
      <c r="BB168" s="70">
        <f>BB178+BB196+BB188</f>
        <v>40.639145320400004</v>
      </c>
      <c r="BC168" s="1024">
        <f>BA168+BB168</f>
        <v>68.115425320399993</v>
      </c>
      <c r="BD168" s="70">
        <f>BD178+BD196+BD188</f>
        <v>28.807991999999999</v>
      </c>
      <c r="BE168" s="70">
        <f>BE178+BE196+BE188</f>
        <v>34.006656</v>
      </c>
      <c r="BF168" s="1024">
        <f>BD168+BE168</f>
        <v>62.814647999999998</v>
      </c>
      <c r="BG168" s="70">
        <f>BG178+BG196+BG188</f>
        <v>43.297968000000012</v>
      </c>
      <c r="BH168" s="70">
        <f>BH178+BH196+BH188</f>
        <v>43.507300815382202</v>
      </c>
      <c r="BI168" s="1024">
        <f>BG168+BH168</f>
        <v>86.80526881538222</v>
      </c>
      <c r="BJ168" s="70">
        <f>BJ178+BJ196+BJ188</f>
        <v>38.932450376400006</v>
      </c>
      <c r="BK168" s="70">
        <f>BK178+BK196+BK188</f>
        <v>36.220415277366683</v>
      </c>
      <c r="BL168" s="1024">
        <f>BJ168+BK168</f>
        <v>75.152865653766696</v>
      </c>
      <c r="BM168" s="70">
        <f>BM178+BM196+BM188</f>
        <v>53.248203925366752</v>
      </c>
      <c r="BN168" s="70">
        <f>BN178+BN196+BN188</f>
        <v>59.098416175593201</v>
      </c>
      <c r="BO168" s="1024">
        <f>BM168+BN168</f>
        <v>112.34662010095995</v>
      </c>
      <c r="BP168" s="70">
        <f>BP178+BP196+BP188</f>
        <v>70.842749515509666</v>
      </c>
      <c r="BQ168" s="70">
        <f>BQ178+BQ196+BQ188</f>
        <v>76.982096229475246</v>
      </c>
      <c r="BR168" s="1024">
        <f>BP168+BQ168</f>
        <v>147.82484574498491</v>
      </c>
      <c r="BS168" s="70">
        <f>BS178+BS196+BS188</f>
        <v>93.794157573734452</v>
      </c>
      <c r="BT168" s="70">
        <f>BT178+BT196+BT188</f>
        <v>99.601071834914549</v>
      </c>
      <c r="BU168" s="70">
        <f>BS168+BT168</f>
        <v>193.39522940864902</v>
      </c>
      <c r="BV168" s="70">
        <f>BV178+BV196+BV188</f>
        <v>103.28446149813378</v>
      </c>
      <c r="BW168" s="70">
        <f>BW178+BW196+BW188</f>
        <v>104.5736565147901</v>
      </c>
      <c r="BX168" s="70">
        <f>BV168+BW168</f>
        <v>207.85811801292388</v>
      </c>
      <c r="BY168" s="70">
        <f>BY178+BY196+BY188</f>
        <v>119.35456084179548</v>
      </c>
      <c r="BZ168" s="70">
        <f>BZ178+BZ196+BZ188</f>
        <v>135.38111472301938</v>
      </c>
      <c r="CA168" s="70">
        <f>BY168+BZ168</f>
        <v>254.73567556481487</v>
      </c>
      <c r="CB168" s="70">
        <f>CB178+CB196+CB188</f>
        <v>128.89231418698077</v>
      </c>
      <c r="CC168" s="70">
        <f>CC178+CC196+CC188</f>
        <v>142.63288137281543</v>
      </c>
      <c r="CD168" s="70">
        <f>CB168+CC168</f>
        <v>271.5251955597962</v>
      </c>
      <c r="CE168" s="70">
        <f>CE178+CE196+CE188</f>
        <v>152.38844446469741</v>
      </c>
      <c r="CF168" s="70">
        <f>CF178+CF196+CF188</f>
        <v>161.05607352396251</v>
      </c>
      <c r="CG168" s="70">
        <f>CE168+CF168</f>
        <v>313.44451798865992</v>
      </c>
      <c r="CH168" s="70">
        <f>CH178+CH196+CH188</f>
        <v>154.04984698130019</v>
      </c>
      <c r="CI168" s="70">
        <f>CI178+CI196+CI188</f>
        <v>153.01348124561807</v>
      </c>
      <c r="CJ168" s="70">
        <f>CH168+CI168</f>
        <v>307.06332822691826</v>
      </c>
      <c r="CK168" s="70">
        <f>CK178+CK196+CK188</f>
        <v>154.32558317353102</v>
      </c>
      <c r="CL168" s="70">
        <f>CL178+CL196+CL188</f>
        <v>137.1089440254018</v>
      </c>
      <c r="CM168" s="70">
        <f>CK168+CL168</f>
        <v>291.43452719893281</v>
      </c>
      <c r="CN168" s="70">
        <f>CN178+CN196+CN188</f>
        <v>133.38366669032246</v>
      </c>
      <c r="CO168" s="70">
        <f>CO178+CO196+CO188</f>
        <v>156.33214583490886</v>
      </c>
      <c r="CP168" s="70">
        <f>CN168+CO168</f>
        <v>289.71581252523129</v>
      </c>
      <c r="CQ168" s="70">
        <f>CQ178+CQ196+CQ188</f>
        <v>173.81700000000006</v>
      </c>
      <c r="CR168" s="70">
        <f>CR178+CR196+CR188</f>
        <v>175.28975904323136</v>
      </c>
      <c r="CS168" s="70">
        <f>CQ168+CR168</f>
        <v>349.10675904323142</v>
      </c>
      <c r="CT168" s="70">
        <f>CT178+CT196+CT188</f>
        <v>190.84789246418165</v>
      </c>
      <c r="CU168" s="70">
        <f>CU178+CU196+CU188</f>
        <v>186.96636026514392</v>
      </c>
      <c r="CV168" s="70">
        <f>CT168+CU168</f>
        <v>377.81425272932557</v>
      </c>
      <c r="CW168" s="70">
        <f>CW178+CW196+CW188</f>
        <v>214.83593880180229</v>
      </c>
      <c r="CX168" s="70">
        <f>CX178+CX196+CX188</f>
        <v>233.76658566360481</v>
      </c>
      <c r="CY168" s="70">
        <f>CW168+CX168</f>
        <v>448.6025244654071</v>
      </c>
      <c r="CZ168" s="70">
        <f>CZ178+CZ196+CZ188</f>
        <v>247.83868554990337</v>
      </c>
      <c r="DA168" s="70">
        <f>DA178+DA196+DA188</f>
        <v>248.39244475482619</v>
      </c>
      <c r="DB168" s="70">
        <f>CZ168+DA168</f>
        <v>496.23113030472956</v>
      </c>
      <c r="DC168" s="70">
        <f>DC178+DC196+DC188</f>
        <v>252.67680660018152</v>
      </c>
      <c r="DD168" s="70">
        <f>DD178+DD196+DD188</f>
        <v>242.26117249947427</v>
      </c>
      <c r="DE168" s="70">
        <f>DC168+DD168</f>
        <v>494.93797909965576</v>
      </c>
      <c r="DF168" s="70">
        <f>DF178+DF196+DF188</f>
        <v>261.85800797929801</v>
      </c>
      <c r="DG168" s="70">
        <f>DG178+DG196+DG188</f>
        <v>179.16151899451842</v>
      </c>
      <c r="DH168" s="1070">
        <f>DF168+DG168</f>
        <v>441.01952697381643</v>
      </c>
      <c r="DI168" s="233">
        <f>DI178+DI196+DI188</f>
        <v>271.65433261940109</v>
      </c>
      <c r="DJ168" s="233">
        <f>DJ178+DJ196+DJ188</f>
        <v>258.9386112998406</v>
      </c>
      <c r="DK168" s="1070">
        <f>DI168+DJ168</f>
        <v>530.59294391924163</v>
      </c>
      <c r="DL168" s="233">
        <f>DL178+DL196+DL188</f>
        <v>279.64799999999991</v>
      </c>
      <c r="DM168" s="233">
        <f>DM178+DM196+DM188</f>
        <v>283.30120000000011</v>
      </c>
      <c r="DN168" s="1070">
        <f>DL168+DM168</f>
        <v>562.94920000000002</v>
      </c>
      <c r="DO168" s="233">
        <f>DO178+DO196+DO188</f>
        <v>298.14254444856027</v>
      </c>
      <c r="DP168" s="233">
        <f>DP178+DP196+DP188</f>
        <v>360.98139475078477</v>
      </c>
      <c r="DQ168" s="1070">
        <f>DO168+DP168</f>
        <v>659.12393919934505</v>
      </c>
      <c r="DR168" s="233">
        <f>DR178+DR196+DR188</f>
        <v>382.46996265469215</v>
      </c>
      <c r="DS168" s="233">
        <f>DS178+DS196+DS188</f>
        <v>365.6651343628846</v>
      </c>
      <c r="DT168" s="1070">
        <f>DR168+DS168</f>
        <v>748.13509701757675</v>
      </c>
      <c r="DU168" s="233">
        <f>DU178+DU196+DU188</f>
        <v>384.11071694803849</v>
      </c>
      <c r="DV168" s="233">
        <f>DV178+DV196+DV188</f>
        <v>352.88440000000003</v>
      </c>
      <c r="DW168" s="1070">
        <f>DU168+DV168</f>
        <v>736.99511694803846</v>
      </c>
      <c r="DX168" s="233">
        <f>DX178+DX196+DX188</f>
        <v>390.97632691446978</v>
      </c>
      <c r="DY168" s="233">
        <f>DY178+DY196+DY188</f>
        <v>425.44161642840032</v>
      </c>
      <c r="DZ168" s="1070">
        <f>DX168+DY168</f>
        <v>816.4179433428701</v>
      </c>
      <c r="EA168" s="233">
        <f>EA178+EA196+EA188</f>
        <v>491.26507939666146</v>
      </c>
      <c r="EB168" s="233">
        <f>EB178+EB196+EB188</f>
        <v>454.83246421390567</v>
      </c>
      <c r="EC168" s="1070">
        <f>EA168+EB168</f>
        <v>946.09754361056707</v>
      </c>
      <c r="ED168" s="233">
        <f>ED178+ED196+ED188</f>
        <v>534.44268969386349</v>
      </c>
      <c r="EE168" s="233">
        <f>EE178+EE196+EE188</f>
        <v>494.81130404931713</v>
      </c>
      <c r="EF168" s="1070">
        <f>ED168+EE168</f>
        <v>1029.2539937431807</v>
      </c>
      <c r="EG168" s="233">
        <f>EG178+EG196+EG188</f>
        <v>582.54253176631107</v>
      </c>
      <c r="EH168" s="233">
        <f>EH178+EH196+EH188</f>
        <v>539.34432141375567</v>
      </c>
      <c r="EI168" s="1070">
        <f>EG168+EH168</f>
        <v>1121.8868531800667</v>
      </c>
      <c r="EJ168" s="233">
        <f>EJ178+EJ196+EJ188</f>
        <v>634.97135962527921</v>
      </c>
      <c r="EK168" s="233">
        <f>EK178+EK196+EK188</f>
        <v>587.88531034099367</v>
      </c>
      <c r="EL168" s="1070">
        <f>EJ168+EK168</f>
        <v>1222.8566699662729</v>
      </c>
      <c r="EM168" s="233">
        <f>EM178+EM196+EM188</f>
        <v>692.11878199155433</v>
      </c>
      <c r="EN168" s="233">
        <f>EN178+EN196+EN188</f>
        <v>640.79498827168311</v>
      </c>
      <c r="EO168" s="1070">
        <f>EM168+EN168</f>
        <v>1332.9137702632374</v>
      </c>
      <c r="EP168" s="233">
        <f>EP178+EP196+EP188</f>
        <v>754.40947237079433</v>
      </c>
      <c r="EQ168" s="233">
        <f>EQ178+EQ196+EQ188</f>
        <v>698.46653721613472</v>
      </c>
      <c r="ER168" s="1070">
        <f>EP168+EQ168</f>
        <v>1452.8760095869291</v>
      </c>
      <c r="ES168" s="233">
        <f>ES178+ES196+ES188</f>
        <v>822.30632488416597</v>
      </c>
      <c r="ET168" s="233">
        <f>ET178+ET196+ET188</f>
        <v>761.32852556558703</v>
      </c>
      <c r="EU168" s="1070">
        <f>ES168+ET168</f>
        <v>1583.634850449753</v>
      </c>
      <c r="EV168" s="233">
        <f>EV178+EV196+EV188</f>
        <v>896.31389412374085</v>
      </c>
      <c r="EW168" s="233">
        <f>EW178+EW196+EW188</f>
        <v>829.84809286648988</v>
      </c>
      <c r="EX168" s="1070">
        <f>EV168+EW168</f>
        <v>1726.1619869902306</v>
      </c>
      <c r="EY168" s="233">
        <f>EY178+EY196+EY188</f>
        <v>976.98214459487758</v>
      </c>
      <c r="EZ168" s="233">
        <f>EZ178+EZ196+EZ188</f>
        <v>904.53442122447404</v>
      </c>
      <c r="FA168" s="1070">
        <f>EY168+EZ168</f>
        <v>1881.5165658193516</v>
      </c>
    </row>
    <row r="169" spans="1:173" ht="13.35" customHeight="1" outlineLevel="1">
      <c r="B169" s="83"/>
      <c r="D169" s="305" t="s">
        <v>209</v>
      </c>
      <c r="BA169" s="35"/>
      <c r="BB169" s="35"/>
      <c r="BC169" s="322"/>
      <c r="BD169" s="65">
        <f t="shared" ref="BD169:CI169" si="1035">BD168/BA168-1</f>
        <v>4.8467696500399837E-2</v>
      </c>
      <c r="BE169" s="65">
        <f t="shared" si="1035"/>
        <v>-0.16320444901361231</v>
      </c>
      <c r="BF169" s="64">
        <f t="shared" si="1035"/>
        <v>-7.7820512688077659E-2</v>
      </c>
      <c r="BG169" s="65">
        <f t="shared" si="1035"/>
        <v>0.50298458844337413</v>
      </c>
      <c r="BH169" s="65">
        <f t="shared" si="1035"/>
        <v>0.27937603789629306</v>
      </c>
      <c r="BI169" s="64">
        <f t="shared" si="1035"/>
        <v>0.38192717111751096</v>
      </c>
      <c r="BJ169" s="65">
        <f t="shared" si="1035"/>
        <v>-0.10082500000000016</v>
      </c>
      <c r="BK169" s="65">
        <f t="shared" si="1035"/>
        <v>-0.1674865000000002</v>
      </c>
      <c r="BL169" s="64">
        <f t="shared" si="1035"/>
        <v>-0.13423612783687011</v>
      </c>
      <c r="BM169" s="65">
        <f t="shared" si="1035"/>
        <v>0.36770748849768364</v>
      </c>
      <c r="BN169" s="65">
        <f t="shared" si="1035"/>
        <v>0.6316327607795944</v>
      </c>
      <c r="BO169" s="64">
        <f t="shared" si="1035"/>
        <v>0.49490800016258718</v>
      </c>
      <c r="BP169" s="65">
        <f t="shared" si="1035"/>
        <v>0.33042514663599953</v>
      </c>
      <c r="BQ169" s="65">
        <f t="shared" si="1035"/>
        <v>0.30260844894296413</v>
      </c>
      <c r="BR169" s="64">
        <f t="shared" si="1035"/>
        <v>0.31579254998630635</v>
      </c>
      <c r="BS169" s="65">
        <f t="shared" si="1035"/>
        <v>0.32397681082663254</v>
      </c>
      <c r="BT169" s="65">
        <f t="shared" si="1035"/>
        <v>0.29382124822912847</v>
      </c>
      <c r="BU169" s="65">
        <f t="shared" si="1035"/>
        <v>0.30827283082221735</v>
      </c>
      <c r="BV169" s="65">
        <f t="shared" si="1035"/>
        <v>0.1011822502583779</v>
      </c>
      <c r="BW169" s="65">
        <f t="shared" si="1035"/>
        <v>4.9925011731976499E-2</v>
      </c>
      <c r="BX169" s="65">
        <f t="shared" si="1035"/>
        <v>7.4784102216474135E-2</v>
      </c>
      <c r="BY169" s="65">
        <f t="shared" si="1035"/>
        <v>0.15559067753818967</v>
      </c>
      <c r="BZ169" s="65">
        <f t="shared" si="1035"/>
        <v>0.2946005641858005</v>
      </c>
      <c r="CA169" s="65">
        <f t="shared" si="1035"/>
        <v>0.22552671023883852</v>
      </c>
      <c r="CB169" s="65">
        <f t="shared" si="1035"/>
        <v>7.9911092445202669E-2</v>
      </c>
      <c r="CC169" s="65">
        <f t="shared" si="1035"/>
        <v>5.3565570534950036E-2</v>
      </c>
      <c r="CD169" s="65">
        <f t="shared" si="1035"/>
        <v>6.5909574533502768E-2</v>
      </c>
      <c r="CE169" s="65">
        <f t="shared" si="1035"/>
        <v>0.18229271796324031</v>
      </c>
      <c r="CF169" s="65">
        <f t="shared" si="1035"/>
        <v>0.12916511237680406</v>
      </c>
      <c r="CG169" s="65">
        <f t="shared" si="1035"/>
        <v>0.15438465053837747</v>
      </c>
      <c r="CH169" s="65">
        <f t="shared" si="1035"/>
        <v>1.0902417978206014E-2</v>
      </c>
      <c r="CI169" s="65">
        <f t="shared" si="1035"/>
        <v>-4.9936597250694992E-2</v>
      </c>
      <c r="CJ169" s="65">
        <f t="shared" ref="CJ169:DO169" si="1036">CJ168/CG168-1</f>
        <v>-2.0358275214666599E-2</v>
      </c>
      <c r="CK169" s="65">
        <f t="shared" si="1036"/>
        <v>1.7899153918945476E-3</v>
      </c>
      <c r="CL169" s="65">
        <f t="shared" si="1036"/>
        <v>-0.10394206504383896</v>
      </c>
      <c r="CM169" s="65">
        <f t="shared" si="1036"/>
        <v>-5.0897647459991813E-2</v>
      </c>
      <c r="CN169" s="65">
        <f t="shared" si="1036"/>
        <v>-0.13569957781828357</v>
      </c>
      <c r="CO169" s="65">
        <f t="shared" si="1036"/>
        <v>0.14020384991037216</v>
      </c>
      <c r="CP169" s="65">
        <f t="shared" si="1036"/>
        <v>-5.8974298283069881E-3</v>
      </c>
      <c r="CQ169" s="65">
        <f t="shared" si="1036"/>
        <v>0.30313556609260028</v>
      </c>
      <c r="CR169" s="65">
        <f t="shared" si="1036"/>
        <v>0.121264971494361</v>
      </c>
      <c r="CS169" s="65">
        <f t="shared" si="1036"/>
        <v>0.20499725576016936</v>
      </c>
      <c r="CT169" s="65">
        <f t="shared" si="1036"/>
        <v>9.7981742086111101E-2</v>
      </c>
      <c r="CU169" s="65">
        <f t="shared" si="1036"/>
        <v>6.6613139784354347E-2</v>
      </c>
      <c r="CV169" s="65">
        <f t="shared" si="1036"/>
        <v>8.2231274366530327E-2</v>
      </c>
      <c r="CW169" s="65">
        <f t="shared" si="1036"/>
        <v>0.12569196352075362</v>
      </c>
      <c r="CX169" s="65">
        <f t="shared" si="1036"/>
        <v>0.25031361434266453</v>
      </c>
      <c r="CY169" s="65">
        <f t="shared" si="1036"/>
        <v>0.18736262918804125</v>
      </c>
      <c r="CZ169" s="65">
        <f t="shared" si="1036"/>
        <v>0.15361837005561663</v>
      </c>
      <c r="DA169" s="65">
        <f t="shared" si="1036"/>
        <v>6.2566080818189818E-2</v>
      </c>
      <c r="DB169" s="65">
        <f t="shared" si="1036"/>
        <v>0.10617106066462911</v>
      </c>
      <c r="DC169" s="65">
        <f t="shared" si="1036"/>
        <v>1.9521250443784943E-2</v>
      </c>
      <c r="DD169" s="65">
        <f t="shared" si="1036"/>
        <v>-2.4683811383247711E-2</v>
      </c>
      <c r="DE169" s="65">
        <f t="shared" si="1036"/>
        <v>-2.6059453470396177E-3</v>
      </c>
      <c r="DF169" s="65">
        <f t="shared" si="1036"/>
        <v>3.6335750410381618E-2</v>
      </c>
      <c r="DG169" s="65">
        <f t="shared" si="1036"/>
        <v>-0.26046127348406511</v>
      </c>
      <c r="DH169" s="1066">
        <f t="shared" si="1036"/>
        <v>-0.10893981549753506</v>
      </c>
      <c r="DI169" s="65">
        <f t="shared" si="1036"/>
        <v>3.7410827019189519E-2</v>
      </c>
      <c r="DJ169" s="65">
        <f t="shared" si="1036"/>
        <v>0.44528028537067166</v>
      </c>
      <c r="DK169" s="1066">
        <f t="shared" si="1036"/>
        <v>0.20310533086836147</v>
      </c>
      <c r="DL169" s="65">
        <f t="shared" si="1036"/>
        <v>2.9425878481379897E-2</v>
      </c>
      <c r="DM169" s="65">
        <f t="shared" si="1036"/>
        <v>9.4086349570897232E-2</v>
      </c>
      <c r="DN169" s="1066">
        <f t="shared" si="1036"/>
        <v>6.0981316188937429E-2</v>
      </c>
      <c r="DO169" s="65">
        <f t="shared" si="1036"/>
        <v>6.6135085709750685E-2</v>
      </c>
      <c r="DP169" s="65">
        <f t="shared" ref="DP169:EF169" si="1037">DP168/DM168-1</f>
        <v>0.27419649034590976</v>
      </c>
      <c r="DQ169" s="1066">
        <f t="shared" si="1037"/>
        <v>0.17084088439835243</v>
      </c>
      <c r="DR169" s="65">
        <f t="shared" si="1037"/>
        <v>0.28284261933197929</v>
      </c>
      <c r="DS169" s="65">
        <f t="shared" si="1037"/>
        <v>1.2975016663485883E-2</v>
      </c>
      <c r="DT169" s="1066">
        <f t="shared" si="1037"/>
        <v>0.13504464414743578</v>
      </c>
      <c r="DU169" s="65">
        <f t="shared" si="1037"/>
        <v>4.2898905889445782E-3</v>
      </c>
      <c r="DV169" s="65">
        <f t="shared" ref="DV169" si="1038">DV168/DS168-1</f>
        <v>-3.4952018012745611E-2</v>
      </c>
      <c r="DW169" s="1066">
        <f t="shared" ref="DW169" si="1039">DW168/DT168-1</f>
        <v>-1.4890332125771844E-2</v>
      </c>
      <c r="DX169" s="65">
        <f t="shared" si="1037"/>
        <v>1.7874039081705817E-2</v>
      </c>
      <c r="DY169" s="65">
        <f t="shared" si="1037"/>
        <v>0.20561185597436515</v>
      </c>
      <c r="DZ169" s="1066">
        <f t="shared" si="1037"/>
        <v>0.10776574304010111</v>
      </c>
      <c r="EA169" s="65">
        <f t="shared" si="1037"/>
        <v>0.25650850340136033</v>
      </c>
      <c r="EB169" s="65">
        <f t="shared" si="1037"/>
        <v>6.9083151837008083E-2</v>
      </c>
      <c r="EC169" s="1066">
        <f t="shared" si="1037"/>
        <v>0.15883972336119467</v>
      </c>
      <c r="ED169" s="65">
        <f t="shared" si="1037"/>
        <v>8.7890656405356316E-2</v>
      </c>
      <c r="EE169" s="65">
        <f t="shared" si="1037"/>
        <v>8.7897947004525134E-2</v>
      </c>
      <c r="EF169" s="1066">
        <f t="shared" si="1037"/>
        <v>8.7894161330623222E-2</v>
      </c>
      <c r="EG169" s="65">
        <f t="shared" ref="EG169:EL169" si="1040">EG168/ED168-1</f>
        <v>8.9999999999999858E-2</v>
      </c>
      <c r="EH169" s="65">
        <f t="shared" si="1040"/>
        <v>9.000000000000008E-2</v>
      </c>
      <c r="EI169" s="1066">
        <f t="shared" si="1040"/>
        <v>8.9999999999999858E-2</v>
      </c>
      <c r="EJ169" s="65">
        <f t="shared" si="1040"/>
        <v>9.0000000000000302E-2</v>
      </c>
      <c r="EK169" s="65">
        <f t="shared" si="1040"/>
        <v>9.000000000000008E-2</v>
      </c>
      <c r="EL169" s="1066">
        <f t="shared" si="1040"/>
        <v>9.000000000000008E-2</v>
      </c>
      <c r="EM169" s="65">
        <f t="shared" ref="EM169:ER169" si="1041">EM168/EJ168-1</f>
        <v>9.000000000000008E-2</v>
      </c>
      <c r="EN169" s="65">
        <f t="shared" si="1041"/>
        <v>9.000000000000008E-2</v>
      </c>
      <c r="EO169" s="1066">
        <f t="shared" si="1041"/>
        <v>9.000000000000008E-2</v>
      </c>
      <c r="EP169" s="65">
        <f t="shared" si="1041"/>
        <v>9.000000000000008E-2</v>
      </c>
      <c r="EQ169" s="65">
        <f t="shared" si="1041"/>
        <v>9.0000000000000302E-2</v>
      </c>
      <c r="ER169" s="1066">
        <f t="shared" si="1041"/>
        <v>9.000000000000008E-2</v>
      </c>
      <c r="ES169" s="65">
        <f t="shared" ref="ES169" si="1042">ES168/EP168-1</f>
        <v>9.0000000000000302E-2</v>
      </c>
      <c r="ET169" s="65">
        <f t="shared" ref="ET169" si="1043">ET168/EQ168-1</f>
        <v>9.0000000000000302E-2</v>
      </c>
      <c r="EU169" s="1066">
        <f t="shared" ref="EU169" si="1044">EU168/ER168-1</f>
        <v>9.0000000000000302E-2</v>
      </c>
      <c r="EV169" s="65">
        <f t="shared" ref="EV169" si="1045">EV168/ES168-1</f>
        <v>8.9999999999999858E-2</v>
      </c>
      <c r="EW169" s="65">
        <f t="shared" ref="EW169" si="1046">EW168/ET168-1</f>
        <v>9.000000000000008E-2</v>
      </c>
      <c r="EX169" s="1066">
        <f t="shared" ref="EX169" si="1047">EX168/EU168-1</f>
        <v>8.9999999999999858E-2</v>
      </c>
      <c r="EY169" s="65">
        <f t="shared" ref="EY169" si="1048">EY168/EV168-1</f>
        <v>9.000000000000008E-2</v>
      </c>
      <c r="EZ169" s="65">
        <f t="shared" ref="EZ169" si="1049">EZ168/EW168-1</f>
        <v>9.000000000000008E-2</v>
      </c>
      <c r="FA169" s="1066">
        <f t="shared" ref="FA169" si="1050">FA168/EX168-1</f>
        <v>9.000000000000008E-2</v>
      </c>
    </row>
    <row r="170" spans="1:173" ht="13.35" customHeight="1" outlineLevel="1">
      <c r="B170" s="83"/>
      <c r="C170" s="83"/>
      <c r="D170" s="162" t="s">
        <v>604</v>
      </c>
      <c r="BA170" s="70"/>
      <c r="BB170" s="70"/>
      <c r="BC170" s="1024"/>
      <c r="BD170" s="70">
        <f>BD168/BD75</f>
        <v>56.4</v>
      </c>
      <c r="BE170" s="70">
        <f>BE168/BE75</f>
        <v>63.199999999999996</v>
      </c>
      <c r="BF170" s="1024">
        <f>BD170+BE170</f>
        <v>119.6</v>
      </c>
      <c r="BG170" s="70">
        <f>BG168/BG75</f>
        <v>78.40000000000002</v>
      </c>
      <c r="BH170" s="70">
        <f>BH168/BH75</f>
        <v>69.539360369826895</v>
      </c>
      <c r="BI170" s="1024">
        <f>BG170+BH170</f>
        <v>147.93936036982691</v>
      </c>
      <c r="BJ170" s="70">
        <f>BJ168/BJ75</f>
        <v>56.63791603102743</v>
      </c>
      <c r="BK170" s="70">
        <f>BK168/BK75</f>
        <v>52.493355474444471</v>
      </c>
      <c r="BL170" s="1024">
        <f>BJ170+BK170</f>
        <v>109.1312715054719</v>
      </c>
      <c r="BM170" s="70">
        <f>BM168/BM75</f>
        <v>72.693793754766887</v>
      </c>
      <c r="BN170" s="70">
        <f>BN168/BN75</f>
        <v>76.751189838432722</v>
      </c>
      <c r="BO170" s="1024">
        <f>BM170+BN170</f>
        <v>149.44498359319959</v>
      </c>
      <c r="BP170" s="70">
        <f>BP180+BP198+BP191</f>
        <v>85.894617382658495</v>
      </c>
      <c r="BQ170" s="70">
        <f>BQ180+BQ198+BQ191</f>
        <v>92.449769259354341</v>
      </c>
      <c r="BR170" s="1024">
        <f>BP170+BQ170</f>
        <v>178.34438664201284</v>
      </c>
      <c r="BS170" s="70">
        <f>BS180+BS198+BS191</f>
        <v>112.51102611461221</v>
      </c>
      <c r="BT170" s="70">
        <f>BT180+BT198+BT191</f>
        <v>112.94234267391849</v>
      </c>
      <c r="BU170" s="70">
        <f>BS170+BT170</f>
        <v>225.4533687885307</v>
      </c>
      <c r="BV170" s="70">
        <f>BV180+BV198+BV191</f>
        <v>106.23251540312218</v>
      </c>
      <c r="BW170" s="70">
        <f>BW180+BW198+BW191</f>
        <v>101.61314021185328</v>
      </c>
      <c r="BX170" s="70">
        <f>BV170+BW170</f>
        <v>207.84565561497544</v>
      </c>
      <c r="BY170" s="74">
        <f>BY180+BY198+BY191</f>
        <v>132.8803049972133</v>
      </c>
      <c r="BZ170" s="74">
        <f>BZ180+BZ198+BZ191</f>
        <v>138.01266211941768</v>
      </c>
      <c r="CA170" s="74">
        <f>BY170+BZ170</f>
        <v>270.89296711663098</v>
      </c>
      <c r="CB170" s="74">
        <f>CB180+CB198+CB191</f>
        <v>131.86818972034055</v>
      </c>
      <c r="CC170" s="74">
        <f>CC180+CC198+CC191</f>
        <v>145.59791193744326</v>
      </c>
      <c r="CD170" s="74">
        <f>CB170+CC170</f>
        <v>277.46610165778384</v>
      </c>
      <c r="CE170" s="74">
        <f>CE180+CE198+CE191</f>
        <v>148.08035618275719</v>
      </c>
      <c r="CF170" s="74">
        <f>CF180+CF198+CF191</f>
        <v>140.93018242267829</v>
      </c>
      <c r="CG170" s="74">
        <f>CE170+CF170</f>
        <v>289.0105386054355</v>
      </c>
      <c r="CH170" s="74">
        <f>CH180+CH198+CH191</f>
        <v>136.87240794092111</v>
      </c>
      <c r="CI170" s="74">
        <f>CI180+CI198+CI191</f>
        <v>134.78041372572176</v>
      </c>
      <c r="CJ170" s="70">
        <f>CH170+CI170</f>
        <v>271.65282166664286</v>
      </c>
      <c r="CK170" s="74">
        <f>CK180+CK198+CK191</f>
        <v>137.18672716164451</v>
      </c>
      <c r="CL170" s="74">
        <f>CL180+CL198+CL191</f>
        <v>119.35725511390577</v>
      </c>
      <c r="CM170" s="74">
        <f>CK170+CL170</f>
        <v>256.54398227555026</v>
      </c>
      <c r="CN170" s="70">
        <f>CN180+CN198+CN191</f>
        <v>134.469870426049</v>
      </c>
      <c r="CO170" s="74">
        <f>CO180+CO198+CO191</f>
        <v>154.28706545819261</v>
      </c>
      <c r="CP170" s="70">
        <f>CN170+CO170</f>
        <v>288.75693588424161</v>
      </c>
      <c r="CQ170" s="70">
        <f>CQ180+CQ198+CQ191</f>
        <v>195.30000000000004</v>
      </c>
      <c r="CR170" s="70">
        <v>207.66200000000001</v>
      </c>
      <c r="CS170" s="70">
        <f>CQ170+CR170</f>
        <v>402.96200000000005</v>
      </c>
      <c r="CT170" s="70">
        <f>CT180+CT198+CT191</f>
        <v>264.08099999999979</v>
      </c>
      <c r="CU170" s="70">
        <f>CU180+CU198+CU191</f>
        <v>254.86247489404531</v>
      </c>
      <c r="CV170" s="70">
        <f>CT170+CU170</f>
        <v>518.94347489404504</v>
      </c>
      <c r="CW170" s="70">
        <f>CW180+CW198+CW191</f>
        <v>285.1017225171783</v>
      </c>
      <c r="CX170" s="70">
        <f>CX180+CX198+CX191</f>
        <v>309.90436261424088</v>
      </c>
      <c r="CY170" s="70">
        <f>CW170+CX170</f>
        <v>595.00608513141924</v>
      </c>
      <c r="CZ170" s="70">
        <f>CZ180+CZ198+CZ191</f>
        <v>318.00386487389784</v>
      </c>
      <c r="DA170" s="70">
        <f>DA180+DA198+DA191</f>
        <v>326.03352872423079</v>
      </c>
      <c r="DB170" s="70">
        <f>CZ170+DA170</f>
        <v>644.03739359812857</v>
      </c>
      <c r="DC170" s="70">
        <f>DC180+DC198+DC191</f>
        <v>349.04064631654632</v>
      </c>
      <c r="DD170" s="70">
        <f>DD180+DD198+DD191</f>
        <v>337.83457328053868</v>
      </c>
      <c r="DE170" s="70">
        <f>DC170+DD170</f>
        <v>686.87521959708499</v>
      </c>
      <c r="DF170" s="70">
        <f>DF180+DF198+DF191</f>
        <v>380.27593374861743</v>
      </c>
      <c r="DG170" s="70">
        <f>DG180+DG198+DG191</f>
        <v>271.45684696139153</v>
      </c>
      <c r="DH170" s="1085">
        <f>DF170+DG170</f>
        <v>651.73278071000891</v>
      </c>
      <c r="DI170" s="1124">
        <v>375.7</v>
      </c>
      <c r="DJ170" s="1116">
        <f>+DK170-DI170</f>
        <v>349.09999999999997</v>
      </c>
      <c r="DK170" s="1115">
        <v>724.8</v>
      </c>
      <c r="DL170" s="1124">
        <v>388.4</v>
      </c>
      <c r="DM170" s="1116">
        <f>+DN170-DL170</f>
        <v>391.30000000000007</v>
      </c>
      <c r="DN170" s="1115">
        <v>779.7</v>
      </c>
      <c r="DO170" s="1124">
        <v>444.5</v>
      </c>
      <c r="DP170" s="1116">
        <f>+DQ170-DO170</f>
        <v>533.79999999999995</v>
      </c>
      <c r="DQ170" s="1125">
        <v>978.3</v>
      </c>
      <c r="DR170" s="1124">
        <v>585.4</v>
      </c>
      <c r="DS170" s="1116">
        <f>+DT170-DR170</f>
        <v>555.30000000000007</v>
      </c>
      <c r="DT170" s="1125">
        <v>1140.7</v>
      </c>
      <c r="DU170" s="1124">
        <v>580.70000000000005</v>
      </c>
      <c r="DV170" s="1116">
        <f>+DW170-DU170</f>
        <v>556.59999999999991</v>
      </c>
      <c r="DW170" s="1125">
        <v>1137.3</v>
      </c>
      <c r="DX170" s="1124">
        <v>596.5</v>
      </c>
      <c r="DY170" s="1116">
        <f>DY180+DY198+DY191</f>
        <v>596.69230915624166</v>
      </c>
      <c r="DZ170" s="1115">
        <f>DX170+DY170</f>
        <v>1193.1923091562417</v>
      </c>
      <c r="EA170" s="1116">
        <f>EA180+EA198+EA191</f>
        <v>689.01133155212005</v>
      </c>
      <c r="EB170" s="1116">
        <f>EB180+EB198+EB191</f>
        <v>637.91369454965729</v>
      </c>
      <c r="EC170" s="1115">
        <f>EA170+EB170</f>
        <v>1326.9250261017773</v>
      </c>
      <c r="ED170" s="1116">
        <f>ED180+ED198+ED191</f>
        <v>749.56898975296417</v>
      </c>
      <c r="EE170" s="1116">
        <f>EE180+EE198+EE191</f>
        <v>693.98499866664395</v>
      </c>
      <c r="EF170" s="1115">
        <f>ED170+EE170</f>
        <v>1443.5539884196082</v>
      </c>
      <c r="EG170" s="1116">
        <f>EG180+EG198+EG191</f>
        <v>817.03019883073102</v>
      </c>
      <c r="EH170" s="1116">
        <f>EH180+EH198+EH191</f>
        <v>756.44364854664195</v>
      </c>
      <c r="EI170" s="1115">
        <f>EG170+EH170</f>
        <v>1573.473847377373</v>
      </c>
      <c r="EJ170" s="1116">
        <f>EJ180+EJ198+EJ191</f>
        <v>890.56291672549685</v>
      </c>
      <c r="EK170" s="1116">
        <f>EK180+EK198+EK191</f>
        <v>824.52357691583984</v>
      </c>
      <c r="EL170" s="1115">
        <f>EJ170+EK170</f>
        <v>1715.0864936413368</v>
      </c>
      <c r="EM170" s="1116">
        <f>EM180+EM198+EM191</f>
        <v>970.71357923079165</v>
      </c>
      <c r="EN170" s="1116">
        <f>EN180+EN198+EN191</f>
        <v>898.73069883826543</v>
      </c>
      <c r="EO170" s="1115">
        <f>EM170+EN170</f>
        <v>1869.444278069057</v>
      </c>
      <c r="EP170" s="1116">
        <f>EP180+EP198+EP191</f>
        <v>1058.0778013615629</v>
      </c>
      <c r="EQ170" s="1116">
        <f>EQ180+EQ198+EQ191</f>
        <v>979.61646173370934</v>
      </c>
      <c r="ER170" s="1115">
        <f>EP170+EQ170</f>
        <v>2037.6942630952722</v>
      </c>
      <c r="ES170" s="1116">
        <f>ES180+ES198+ES191</f>
        <v>1153.3048034841038</v>
      </c>
      <c r="ET170" s="1116">
        <f>ET180+ET198+ET191</f>
        <v>1067.7819432897434</v>
      </c>
      <c r="EU170" s="1115">
        <f>ES170+ET170</f>
        <v>2221.0867467738472</v>
      </c>
      <c r="EV170" s="1116">
        <f>EV180+EV198+EV191</f>
        <v>1257.1022357976731</v>
      </c>
      <c r="EW170" s="1116">
        <f>EW180+EW198+EW191</f>
        <v>1163.8823181858202</v>
      </c>
      <c r="EX170" s="1115">
        <f>EV170+EW170</f>
        <v>2420.9845539834932</v>
      </c>
      <c r="EY170" s="1116">
        <f>EY180+EY198+EY191</f>
        <v>1370.2414370194638</v>
      </c>
      <c r="EZ170" s="1116">
        <f>EZ180+EZ198+EZ191</f>
        <v>1268.6317268225444</v>
      </c>
      <c r="FA170" s="1115">
        <f>EY170+EZ170</f>
        <v>2638.8731638420081</v>
      </c>
    </row>
    <row r="171" spans="1:173" ht="13.35" customHeight="1" outlineLevel="1">
      <c r="B171" s="83"/>
      <c r="C171" s="83"/>
      <c r="D171" s="305" t="s">
        <v>209</v>
      </c>
      <c r="BA171" s="74"/>
      <c r="BB171" s="74"/>
      <c r="BC171" s="986"/>
      <c r="BD171" s="65"/>
      <c r="BE171" s="65"/>
      <c r="BF171" s="64"/>
      <c r="BG171" s="65">
        <f t="shared" ref="BG171:CL171" si="1051">BG170/BD170-1</f>
        <v>0.39007092198581605</v>
      </c>
      <c r="BH171" s="65">
        <f t="shared" si="1051"/>
        <v>0.10030633496561547</v>
      </c>
      <c r="BI171" s="64">
        <f t="shared" si="1051"/>
        <v>0.23695117366076013</v>
      </c>
      <c r="BJ171" s="65">
        <f t="shared" si="1051"/>
        <v>-0.27757760164505851</v>
      </c>
      <c r="BK171" s="65">
        <f t="shared" si="1051"/>
        <v>-0.24512743293478267</v>
      </c>
      <c r="BL171" s="64">
        <f t="shared" si="1051"/>
        <v>-0.26232429805928881</v>
      </c>
      <c r="BM171" s="65">
        <f t="shared" si="1051"/>
        <v>0.28348284769064791</v>
      </c>
      <c r="BN171" s="65">
        <f t="shared" si="1051"/>
        <v>0.4621124739453506</v>
      </c>
      <c r="BO171" s="64">
        <f t="shared" si="1051"/>
        <v>0.36940568483806535</v>
      </c>
      <c r="BP171" s="65">
        <f t="shared" si="1051"/>
        <v>0.18159491953913842</v>
      </c>
      <c r="BQ171" s="65">
        <f t="shared" si="1051"/>
        <v>0.20453858049586415</v>
      </c>
      <c r="BR171" s="64">
        <f t="shared" si="1051"/>
        <v>0.19337820751133128</v>
      </c>
      <c r="BS171" s="65">
        <f t="shared" si="1051"/>
        <v>0.30987283654083053</v>
      </c>
      <c r="BT171" s="65">
        <f t="shared" si="1051"/>
        <v>0.22166170428262744</v>
      </c>
      <c r="BU171" s="65">
        <f t="shared" si="1051"/>
        <v>0.26414614462230768</v>
      </c>
      <c r="BV171" s="65">
        <f t="shared" si="1051"/>
        <v>-5.580351480480028E-2</v>
      </c>
      <c r="BW171" s="65">
        <f t="shared" si="1051"/>
        <v>-0.10030961102670166</v>
      </c>
      <c r="BX171" s="65">
        <f t="shared" si="1051"/>
        <v>-7.809913539181057E-2</v>
      </c>
      <c r="BY171" s="65">
        <f t="shared" si="1051"/>
        <v>0.25084400470957813</v>
      </c>
      <c r="BZ171" s="65">
        <f t="shared" si="1051"/>
        <v>0.35821668173697829</v>
      </c>
      <c r="CA171" s="65">
        <f t="shared" si="1051"/>
        <v>0.30333716293039958</v>
      </c>
      <c r="CB171" s="65">
        <f t="shared" si="1051"/>
        <v>-7.6167440832858313E-3</v>
      </c>
      <c r="CC171" s="65">
        <f t="shared" si="1051"/>
        <v>5.4960535515663933E-2</v>
      </c>
      <c r="CD171" s="65">
        <f t="shared" si="1051"/>
        <v>2.4264692476578142E-2</v>
      </c>
      <c r="CE171" s="65">
        <f t="shared" si="1051"/>
        <v>0.12294220840369907</v>
      </c>
      <c r="CF171" s="65">
        <f t="shared" si="1051"/>
        <v>-3.2059041593745397E-2</v>
      </c>
      <c r="CG171" s="65">
        <f t="shared" si="1051"/>
        <v>4.1606657096765476E-2</v>
      </c>
      <c r="CH171" s="65">
        <f t="shared" si="1051"/>
        <v>-7.5688285271298894E-2</v>
      </c>
      <c r="CI171" s="65">
        <f t="shared" si="1051"/>
        <v>-4.3636988125880127E-2</v>
      </c>
      <c r="CJ171" s="65">
        <f t="shared" si="1051"/>
        <v>-6.0059114185070706E-2</v>
      </c>
      <c r="CK171" s="65">
        <f t="shared" si="1051"/>
        <v>2.2964396217759475E-3</v>
      </c>
      <c r="CL171" s="65">
        <f t="shared" si="1051"/>
        <v>-0.11443175002565387</v>
      </c>
      <c r="CM171" s="65">
        <f t="shared" ref="CM171:DR171" si="1052">CM170/CJ170-1</f>
        <v>-5.5618194202426974E-2</v>
      </c>
      <c r="CN171" s="65">
        <f t="shared" si="1052"/>
        <v>-1.9804078658384294E-2</v>
      </c>
      <c r="CO171" s="65">
        <f t="shared" si="1052"/>
        <v>0.29264924290486083</v>
      </c>
      <c r="CP171" s="65">
        <f t="shared" si="1052"/>
        <v>0.12556503303239386</v>
      </c>
      <c r="CQ171" s="65">
        <f t="shared" si="1052"/>
        <v>0.4523699575318938</v>
      </c>
      <c r="CR171" s="65">
        <f t="shared" si="1052"/>
        <v>0.34594562015485653</v>
      </c>
      <c r="CS171" s="65">
        <f t="shared" si="1052"/>
        <v>0.39550587336036003</v>
      </c>
      <c r="CT171" s="65">
        <f t="shared" si="1052"/>
        <v>0.35218125960061308</v>
      </c>
      <c r="CU171" s="65">
        <f t="shared" si="1052"/>
        <v>0.22729471397773926</v>
      </c>
      <c r="CV171" s="65">
        <f t="shared" si="1052"/>
        <v>0.28782236263976491</v>
      </c>
      <c r="CW171" s="65">
        <f t="shared" si="1052"/>
        <v>7.9599526346759264E-2</v>
      </c>
      <c r="CX171" s="65">
        <f t="shared" si="1052"/>
        <v>0.21596701414391539</v>
      </c>
      <c r="CY171" s="65">
        <f t="shared" si="1052"/>
        <v>0.14657205248202465</v>
      </c>
      <c r="CZ171" s="65">
        <f t="shared" si="1052"/>
        <v>0.11540492307876904</v>
      </c>
      <c r="DA171" s="65">
        <f t="shared" si="1052"/>
        <v>5.2045624572465199E-2</v>
      </c>
      <c r="DB171" s="65">
        <f t="shared" si="1052"/>
        <v>8.2404717686004547E-2</v>
      </c>
      <c r="DC171" s="65">
        <f t="shared" si="1052"/>
        <v>9.7598755458383701E-2</v>
      </c>
      <c r="DD171" s="65">
        <f t="shared" si="1052"/>
        <v>3.6195800482500706E-2</v>
      </c>
      <c r="DE171" s="65">
        <f t="shared" si="1052"/>
        <v>6.6514501214950617E-2</v>
      </c>
      <c r="DF171" s="65">
        <f t="shared" si="1052"/>
        <v>8.9488968582025041E-2</v>
      </c>
      <c r="DG171" s="65">
        <f t="shared" si="1052"/>
        <v>-0.19647996850821692</v>
      </c>
      <c r="DH171" s="1066">
        <f t="shared" si="1052"/>
        <v>-5.1162770011837555E-2</v>
      </c>
      <c r="DI171" s="65">
        <f t="shared" si="1052"/>
        <v>-1.2033193117191532E-2</v>
      </c>
      <c r="DJ171" s="65">
        <f t="shared" si="1052"/>
        <v>0.28602392574629509</v>
      </c>
      <c r="DK171" s="1066">
        <f t="shared" si="1052"/>
        <v>0.11211223595411357</v>
      </c>
      <c r="DL171" s="65">
        <f t="shared" si="1052"/>
        <v>3.3803566675538965E-2</v>
      </c>
      <c r="DM171" s="65">
        <f t="shared" si="1052"/>
        <v>0.12088226869091989</v>
      </c>
      <c r="DN171" s="1066">
        <f t="shared" si="1052"/>
        <v>7.5745033112582849E-2</v>
      </c>
      <c r="DO171" s="65">
        <f t="shared" si="1052"/>
        <v>0.14443872296601445</v>
      </c>
      <c r="DP171" s="65">
        <f t="shared" si="1052"/>
        <v>0.36417071300792192</v>
      </c>
      <c r="DQ171" s="1066">
        <f t="shared" si="1052"/>
        <v>0.25471335128895722</v>
      </c>
      <c r="DR171" s="65">
        <f t="shared" si="1052"/>
        <v>0.31698537682789651</v>
      </c>
      <c r="DS171" s="65">
        <f t="shared" ref="DS171:EF171" si="1053">DS170/DP170-1</f>
        <v>4.027725739977539E-2</v>
      </c>
      <c r="DT171" s="1066">
        <f t="shared" si="1053"/>
        <v>0.16600224879893699</v>
      </c>
      <c r="DU171" s="65">
        <f t="shared" si="1053"/>
        <v>-8.0286983259308942E-3</v>
      </c>
      <c r="DV171" s="65">
        <f t="shared" ref="DV171" si="1054">DV170/DS170-1</f>
        <v>2.3410768953715522E-3</v>
      </c>
      <c r="DW171" s="1066">
        <f t="shared" ref="DW171" si="1055">DW170/DT170-1</f>
        <v>-2.9806259314456574E-3</v>
      </c>
      <c r="DX171" s="65">
        <f t="shared" si="1053"/>
        <v>2.7208541415532972E-2</v>
      </c>
      <c r="DY171" s="65">
        <f t="shared" si="1053"/>
        <v>7.2030738692493212E-2</v>
      </c>
      <c r="DZ171" s="1066">
        <f t="shared" si="1053"/>
        <v>4.9144736794374033E-2</v>
      </c>
      <c r="EA171" s="65">
        <f t="shared" si="1053"/>
        <v>0.15509024568670582</v>
      </c>
      <c r="EB171" s="65">
        <f t="shared" si="1053"/>
        <v>6.9083151837008083E-2</v>
      </c>
      <c r="EC171" s="1066">
        <f t="shared" si="1053"/>
        <v>0.11207976779543949</v>
      </c>
      <c r="ED171" s="65">
        <f t="shared" si="1053"/>
        <v>8.7890656405355871E-2</v>
      </c>
      <c r="EE171" s="65">
        <f t="shared" si="1053"/>
        <v>8.7897947004525134E-2</v>
      </c>
      <c r="EF171" s="1066">
        <f t="shared" si="1053"/>
        <v>8.7894161330623E-2</v>
      </c>
      <c r="EG171" s="65">
        <f t="shared" ref="EG171:EL171" si="1056">EG170/ED170-1</f>
        <v>9.000000000000008E-2</v>
      </c>
      <c r="EH171" s="65">
        <f t="shared" si="1056"/>
        <v>9.000000000000008E-2</v>
      </c>
      <c r="EI171" s="1066">
        <f t="shared" si="1056"/>
        <v>9.000000000000008E-2</v>
      </c>
      <c r="EJ171" s="65">
        <f t="shared" si="1056"/>
        <v>9.000000000000008E-2</v>
      </c>
      <c r="EK171" s="65">
        <f t="shared" si="1056"/>
        <v>9.000000000000008E-2</v>
      </c>
      <c r="EL171" s="1066">
        <f t="shared" si="1056"/>
        <v>9.000000000000008E-2</v>
      </c>
      <c r="EM171" s="65">
        <f t="shared" ref="EM171:ER171" si="1057">EM170/EJ170-1</f>
        <v>9.000000000000008E-2</v>
      </c>
      <c r="EN171" s="65">
        <f t="shared" si="1057"/>
        <v>9.000000000000008E-2</v>
      </c>
      <c r="EO171" s="1066">
        <f t="shared" si="1057"/>
        <v>8.9999999999999858E-2</v>
      </c>
      <c r="EP171" s="65">
        <f t="shared" si="1057"/>
        <v>9.000000000000008E-2</v>
      </c>
      <c r="EQ171" s="65">
        <f t="shared" si="1057"/>
        <v>9.000000000000008E-2</v>
      </c>
      <c r="ER171" s="1066">
        <f t="shared" si="1057"/>
        <v>9.000000000000008E-2</v>
      </c>
      <c r="ES171" s="65">
        <f t="shared" ref="ES171" si="1058">ES170/EP170-1</f>
        <v>9.000000000000008E-2</v>
      </c>
      <c r="ET171" s="65">
        <f t="shared" ref="ET171" si="1059">ET170/EQ170-1</f>
        <v>9.000000000000008E-2</v>
      </c>
      <c r="EU171" s="1066">
        <f t="shared" ref="EU171" si="1060">EU170/ER170-1</f>
        <v>9.0000000000000302E-2</v>
      </c>
      <c r="EV171" s="65">
        <f t="shared" ref="EV171" si="1061">EV170/ES170-1</f>
        <v>8.9999999999999858E-2</v>
      </c>
      <c r="EW171" s="65">
        <f t="shared" ref="EW171" si="1062">EW170/ET170-1</f>
        <v>8.9999999999999858E-2</v>
      </c>
      <c r="EX171" s="1066">
        <f t="shared" ref="EX171" si="1063">EX170/EU170-1</f>
        <v>8.9999999999999858E-2</v>
      </c>
      <c r="EY171" s="65">
        <f t="shared" ref="EY171" si="1064">EY170/EV170-1</f>
        <v>9.000000000000008E-2</v>
      </c>
      <c r="EZ171" s="65">
        <f t="shared" ref="EZ171" si="1065">EZ170/EW170-1</f>
        <v>9.0000000000000302E-2</v>
      </c>
      <c r="FA171" s="1066">
        <f t="shared" ref="FA171" si="1066">FA170/EX170-1</f>
        <v>9.0000000000000302E-2</v>
      </c>
    </row>
    <row r="172" spans="1:173" ht="13.35" customHeight="1" outlineLevel="1">
      <c r="A172" s="1426" t="s">
        <v>396</v>
      </c>
      <c r="BA172" s="35"/>
      <c r="BB172" s="35"/>
      <c r="BC172" s="322"/>
      <c r="BD172" s="35"/>
      <c r="BE172" s="35"/>
      <c r="BG172" s="35"/>
      <c r="BH172" s="35"/>
      <c r="BJ172" s="35"/>
      <c r="BK172" s="35"/>
      <c r="BL172" s="31"/>
      <c r="BM172" s="35"/>
      <c r="BN172" s="35"/>
      <c r="BO172" s="31"/>
      <c r="BP172" s="74"/>
      <c r="BQ172" s="74"/>
      <c r="BR172" s="986"/>
      <c r="BS172" s="74"/>
      <c r="BT172" s="74"/>
      <c r="BU172" s="74"/>
      <c r="BV172" s="74"/>
      <c r="BW172" s="74"/>
      <c r="BX172" s="74"/>
      <c r="BY172" s="74"/>
      <c r="BZ172" s="74"/>
      <c r="CA172" s="74"/>
      <c r="CB172" s="74"/>
      <c r="CC172" s="74"/>
      <c r="CD172" s="74"/>
      <c r="CE172" s="74"/>
      <c r="CF172" s="74"/>
      <c r="CG172" s="74"/>
      <c r="CH172" s="74"/>
      <c r="CI172" s="74"/>
      <c r="CJ172" s="74"/>
      <c r="CK172" s="74"/>
      <c r="CL172" s="74"/>
      <c r="CM172" s="74"/>
      <c r="CN172" s="74"/>
      <c r="CO172" s="74"/>
      <c r="CP172" s="74"/>
      <c r="CQ172" s="74"/>
      <c r="CR172" s="74"/>
      <c r="CS172" s="74"/>
      <c r="CT172" s="74"/>
      <c r="CU172" s="74"/>
      <c r="CV172" s="74"/>
      <c r="CW172" s="74"/>
      <c r="CX172" s="74"/>
      <c r="CY172" s="74"/>
      <c r="CZ172" s="74"/>
      <c r="DA172" s="74"/>
      <c r="DB172" s="1026"/>
      <c r="DC172" s="244"/>
      <c r="DD172" s="74"/>
      <c r="DE172" s="74"/>
      <c r="DF172" s="74"/>
      <c r="DG172" s="74"/>
      <c r="DH172" s="1071"/>
      <c r="DI172" s="74"/>
      <c r="DJ172" s="74"/>
      <c r="DK172" s="1071"/>
      <c r="DL172" s="74"/>
      <c r="DM172" s="74"/>
      <c r="DN172" s="1071"/>
      <c r="DO172" s="35"/>
      <c r="DP172" s="35"/>
      <c r="DQ172" s="1067"/>
      <c r="DR172" s="35"/>
      <c r="DS172" s="35"/>
      <c r="DT172" s="1067"/>
      <c r="DU172" s="35"/>
      <c r="DV172" s="35"/>
      <c r="DW172" s="1067"/>
      <c r="DX172" s="35"/>
      <c r="DY172" s="35"/>
      <c r="DZ172" s="1067"/>
      <c r="EA172" s="35"/>
      <c r="EB172" s="35"/>
      <c r="EC172" s="1067"/>
      <c r="ED172" s="1644">
        <v>0</v>
      </c>
      <c r="EE172" s="35"/>
      <c r="EF172" s="1067"/>
      <c r="EG172" s="35"/>
      <c r="EH172" s="35"/>
      <c r="EI172" s="1067"/>
      <c r="EJ172" s="35"/>
      <c r="EK172" s="35"/>
      <c r="EL172" s="1067"/>
      <c r="EM172" s="35"/>
      <c r="EN172" s="35"/>
      <c r="EO172" s="1067"/>
      <c r="EP172" s="35"/>
      <c r="EQ172" s="35"/>
      <c r="ER172" s="1067"/>
      <c r="ES172" s="35"/>
      <c r="ET172" s="35"/>
      <c r="EU172" s="1067"/>
      <c r="EV172" s="35"/>
      <c r="EW172" s="35"/>
      <c r="EX172" s="1067"/>
      <c r="EY172" s="35"/>
      <c r="EZ172" s="35"/>
      <c r="FA172" s="1067"/>
    </row>
    <row r="173" spans="1:173" ht="13.35" customHeight="1" outlineLevel="1">
      <c r="B173" s="31" t="s">
        <v>789</v>
      </c>
      <c r="D173" s="306" t="s">
        <v>98</v>
      </c>
      <c r="BA173" s="163">
        <v>1400</v>
      </c>
      <c r="BB173" s="163">
        <v>1800</v>
      </c>
      <c r="BC173" s="56">
        <f>SUM(BA173:BB173)</f>
        <v>3200</v>
      </c>
      <c r="BD173" s="163">
        <f>BA173*(1+BD174)</f>
        <v>1609.9999999999998</v>
      </c>
      <c r="BE173" s="163">
        <v>1983.5437037037034</v>
      </c>
      <c r="BF173" s="56">
        <f>SUM(BD173:BE173)</f>
        <v>3593.5437037037032</v>
      </c>
      <c r="BG173" s="163">
        <f>BD173*(1+BG174)</f>
        <v>2270.0999999999995</v>
      </c>
      <c r="BH173" s="163">
        <f>BE173*(1+BH174)</f>
        <v>2281.0752592592589</v>
      </c>
      <c r="BI173" s="56"/>
      <c r="BJ173" s="163">
        <f>BG173*(1+BJ174)</f>
        <v>2148.6496499999994</v>
      </c>
      <c r="BK173" s="163">
        <f>BH173*(1+BK174)</f>
        <v>2196.6754746666661</v>
      </c>
      <c r="BL173" s="56">
        <f>SUM(BJ173:BK173)</f>
        <v>4345.3251246666659</v>
      </c>
      <c r="BM173" s="163">
        <f>BJ173*(1+BM174)</f>
        <v>2516.6059025624995</v>
      </c>
      <c r="BN173" s="163">
        <f>BK173*(1+BN174)</f>
        <v>2679.9440790933327</v>
      </c>
      <c r="BO173" s="56">
        <f>SUM(BM173:BN173)</f>
        <v>5196.5499816558322</v>
      </c>
      <c r="BP173" s="163">
        <f>BM173*(1+BP174)</f>
        <v>3347.0858504081248</v>
      </c>
      <c r="BQ173" s="163">
        <f>BN173*(1+BQ174)</f>
        <v>3014.9370889799993</v>
      </c>
      <c r="BR173" s="56">
        <f>SUM(BP173:BQ173)</f>
        <v>6362.0229393881236</v>
      </c>
      <c r="BS173" s="163">
        <f>BP173*(1+BS174)</f>
        <v>4083.4447374979122</v>
      </c>
      <c r="BT173" s="163">
        <f>BQ173*(1+BT174)</f>
        <v>3844.828672092634</v>
      </c>
      <c r="BU173" s="163">
        <f>SUM(BS173:BT173)</f>
        <v>7928.2734095905462</v>
      </c>
      <c r="BV173" s="163">
        <f>BS173*(1+BV174)</f>
        <v>4410.1203164977451</v>
      </c>
      <c r="BW173" s="163">
        <f>BT173*(1+BW174)</f>
        <v>4271.6046546949165</v>
      </c>
      <c r="BX173" s="163">
        <f>SUM(BV173:BW173)</f>
        <v>8681.7249711926615</v>
      </c>
      <c r="BY173" s="163">
        <f>BV173*(1+BY174)</f>
        <v>4525.8859748058112</v>
      </c>
      <c r="BZ173" s="163">
        <f>BW173*(1+BZ174)</f>
        <v>4399.7527943357645</v>
      </c>
      <c r="CA173" s="163">
        <f>SUM(BY173:BZ173)</f>
        <v>8925.6387691415766</v>
      </c>
      <c r="CB173" s="163">
        <f>BY173*(1+CB174)</f>
        <v>4942.7200730854265</v>
      </c>
      <c r="CC173" s="163">
        <f>BZ173*(1+CC174)</f>
        <v>5411.6959370329905</v>
      </c>
      <c r="CD173" s="163">
        <f>SUM(CB173:CC173)</f>
        <v>10354.416010118417</v>
      </c>
      <c r="CE173" s="163">
        <f>CB173*(1+CE174)</f>
        <v>5684.1280840482405</v>
      </c>
      <c r="CF173" s="163">
        <f>CF99</f>
        <v>6223.4503275879388</v>
      </c>
      <c r="CG173" s="163">
        <f>SUM(CE173:CF173)</f>
        <v>11907.578411636179</v>
      </c>
      <c r="CH173" s="163">
        <f>CH99</f>
        <v>4956.906806931147</v>
      </c>
      <c r="CI173" s="163">
        <f>CI99</f>
        <v>5966.2002107465296</v>
      </c>
      <c r="CJ173" s="163">
        <f>SUM(CH173:CI173)</f>
        <v>10923.107017677678</v>
      </c>
      <c r="CK173" s="163">
        <f>CK99</f>
        <v>5432.6873731116611</v>
      </c>
      <c r="CL173" s="163">
        <f>CL99</f>
        <v>5311.7355925784541</v>
      </c>
      <c r="CM173" s="163">
        <f>SUM(CK173:CL173)</f>
        <v>10744.422965690115</v>
      </c>
      <c r="CN173" s="163">
        <f>CN99</f>
        <v>5324.5891151558772</v>
      </c>
      <c r="CO173" s="163">
        <f>CO99</f>
        <v>6100.1989033070558</v>
      </c>
      <c r="CP173" s="163">
        <f>SUM(CN173:CO173)</f>
        <v>11424.788018462932</v>
      </c>
      <c r="CQ173" s="163">
        <f>CQ99</f>
        <v>6229.7692647323756</v>
      </c>
      <c r="CR173" s="163">
        <f>CR99</f>
        <v>7015.2287388031136</v>
      </c>
      <c r="CS173" s="163">
        <f>SUM(CQ173:CR173)</f>
        <v>13244.998003535489</v>
      </c>
      <c r="CT173" s="163">
        <f>CT99</f>
        <v>6852.7461912056142</v>
      </c>
      <c r="CU173" s="163">
        <f>CU99</f>
        <v>7224.2349890086507</v>
      </c>
      <c r="CV173" s="163">
        <f>SUM(CT173:CU173)</f>
        <v>14076.981180214265</v>
      </c>
      <c r="CW173" s="163">
        <f>CW99</f>
        <v>8187.1321946729049</v>
      </c>
      <c r="CX173" s="163">
        <f>CX99</f>
        <v>8175.9169661972965</v>
      </c>
      <c r="CY173" s="163">
        <f>SUM(CW173:CX173)</f>
        <v>16363.049160870201</v>
      </c>
      <c r="CZ173" s="163">
        <f>CZ99</f>
        <v>9100.6670152658862</v>
      </c>
      <c r="DA173" s="163">
        <f>DA99</f>
        <v>8911.7494931550536</v>
      </c>
      <c r="DB173" s="163">
        <f>SUM(CZ173:DA173)</f>
        <v>18012.416508420938</v>
      </c>
      <c r="DC173" s="163">
        <f>DC99</f>
        <v>8918.6536749605675</v>
      </c>
      <c r="DD173" s="163">
        <f>DD99</f>
        <v>7931.4570489079979</v>
      </c>
      <c r="DE173" s="163">
        <f>SUM(DC173:DD173)</f>
        <v>16850.110723868565</v>
      </c>
      <c r="DF173" s="163">
        <f>DF99</f>
        <v>9810.5190424566244</v>
      </c>
      <c r="DG173" s="163">
        <f>DG99</f>
        <v>5948.592786680998</v>
      </c>
      <c r="DH173" s="1070">
        <f>SUM(DF173:DG173)</f>
        <v>15759.111829137622</v>
      </c>
      <c r="DI173" s="233">
        <f>DI99</f>
        <v>8789.0938341410874</v>
      </c>
      <c r="DJ173" s="233">
        <f>DJ99</f>
        <v>8874.7220519653547</v>
      </c>
      <c r="DK173" s="1070">
        <f>SUM(DI173:DJ173)</f>
        <v>17663.815886106444</v>
      </c>
      <c r="DL173" s="233">
        <f>DL99</f>
        <v>8859.8837237826556</v>
      </c>
      <c r="DM173" s="233">
        <f>DM99</f>
        <v>9279.7519980624875</v>
      </c>
      <c r="DN173" s="1070">
        <f>SUM(DL173:DM173)</f>
        <v>18139.635721845145</v>
      </c>
      <c r="DO173" s="233">
        <f>DO99</f>
        <v>10585.207329373528</v>
      </c>
      <c r="DP173" s="233">
        <f>DP99</f>
        <v>11498.736693624223</v>
      </c>
      <c r="DQ173" s="1070">
        <f>SUM(DO173:DP173)</f>
        <v>22083.944022997752</v>
      </c>
      <c r="DR173" s="233">
        <f>DR99</f>
        <v>12720.120531704688</v>
      </c>
      <c r="DS173" s="233">
        <f>DS99</f>
        <v>11567.294811320755</v>
      </c>
      <c r="DT173" s="1070">
        <f>SUM(DR173:DS173)</f>
        <v>24287.415343025445</v>
      </c>
      <c r="DU173" s="233">
        <f>DU99</f>
        <v>12602.763484058467</v>
      </c>
      <c r="DV173" s="233">
        <f>DV99</f>
        <v>13413.032127498102</v>
      </c>
      <c r="DW173" s="1070">
        <f>SUM(DU173:DV173)</f>
        <v>26015.795611556568</v>
      </c>
      <c r="DX173" s="233">
        <f>DX99</f>
        <v>13703.268707482994</v>
      </c>
      <c r="DY173" s="233">
        <f>DY99</f>
        <v>14754.335340247913</v>
      </c>
      <c r="DZ173" s="1070">
        <f>SUM(DX173:DY173)</f>
        <v>28457.604047730907</v>
      </c>
      <c r="EA173" s="233">
        <f>EA99</f>
        <v>16443.922448979592</v>
      </c>
      <c r="EB173" s="233">
        <f>EB99</f>
        <v>15787.138814065269</v>
      </c>
      <c r="EC173" s="1070">
        <f>SUM(EA173:EB173)</f>
        <v>32231.06126304486</v>
      </c>
      <c r="ED173" s="233">
        <f>ED99</f>
        <v>17923.875469387756</v>
      </c>
      <c r="EE173" s="233">
        <f>EE99</f>
        <v>17207.981307331145</v>
      </c>
      <c r="EF173" s="1070">
        <f>SUM(ED173:EE173)</f>
        <v>35131.856776718902</v>
      </c>
      <c r="EG173" s="233">
        <f>EG99</f>
        <v>19537.024261632654</v>
      </c>
      <c r="EH173" s="233">
        <f>EH99</f>
        <v>18756.69962499095</v>
      </c>
      <c r="EI173" s="1070">
        <f>SUM(EG173:EH173)</f>
        <v>38293.7238866236</v>
      </c>
      <c r="EJ173" s="233">
        <f>EJ99</f>
        <v>21295.356445179594</v>
      </c>
      <c r="EK173" s="233">
        <f>EK99</f>
        <v>20444.802591240135</v>
      </c>
      <c r="EL173" s="1070">
        <f>SUM(EJ173:EK173)</f>
        <v>41740.159036419733</v>
      </c>
      <c r="EM173" s="233">
        <f>EM99</f>
        <v>23211.938525245758</v>
      </c>
      <c r="EN173" s="233">
        <f>EN99</f>
        <v>22284.834824451747</v>
      </c>
      <c r="EO173" s="1070">
        <f>SUM(EM173:EN173)</f>
        <v>45496.773349697505</v>
      </c>
      <c r="EP173" s="233">
        <f>EP99</f>
        <v>25301.012992517877</v>
      </c>
      <c r="EQ173" s="233">
        <f>EQ99</f>
        <v>24290.469958652408</v>
      </c>
      <c r="ER173" s="1070">
        <f>SUM(EP173:EQ173)</f>
        <v>49591.482951170285</v>
      </c>
      <c r="ES173" s="233">
        <f>ES99</f>
        <v>27578.104161844487</v>
      </c>
      <c r="ET173" s="233">
        <f>ET99</f>
        <v>26476.612254931126</v>
      </c>
      <c r="EU173" s="1070">
        <f>SUM(ES173:ET173)</f>
        <v>54054.716416775613</v>
      </c>
      <c r="EV173" s="233">
        <f>EV99</f>
        <v>30060.133536410493</v>
      </c>
      <c r="EW173" s="233">
        <f>EW99</f>
        <v>28859.507357874929</v>
      </c>
      <c r="EX173" s="1070">
        <f>SUM(EV173:EW173)</f>
        <v>58919.640894285418</v>
      </c>
      <c r="EY173" s="233">
        <f>EY99</f>
        <v>32765.54555468744</v>
      </c>
      <c r="EZ173" s="233">
        <f>EZ99</f>
        <v>31456.863020083674</v>
      </c>
      <c r="FA173" s="1070">
        <f>SUM(EY173:EZ173)</f>
        <v>64222.408574771114</v>
      </c>
    </row>
    <row r="174" spans="1:173" ht="13.35" customHeight="1" outlineLevel="1">
      <c r="D174" s="162" t="s">
        <v>209</v>
      </c>
      <c r="BA174" s="35"/>
      <c r="BB174" s="35"/>
      <c r="BC174" s="56"/>
      <c r="BD174" s="167">
        <v>0.15</v>
      </c>
      <c r="BE174" s="171">
        <f>(BE173-BB173)/BB173</f>
        <v>0.10196872427983522</v>
      </c>
      <c r="BF174" s="962">
        <f>(BF173-BC173)/BC173</f>
        <v>0.12298240740740723</v>
      </c>
      <c r="BG174" s="167">
        <v>0.41</v>
      </c>
      <c r="BH174" s="171">
        <v>0.15</v>
      </c>
      <c r="BI174" s="962"/>
      <c r="BJ174" s="167">
        <v>-5.3499999999999999E-2</v>
      </c>
      <c r="BK174" s="167">
        <v>-3.6999999999999998E-2</v>
      </c>
      <c r="BL174" s="1027"/>
      <c r="BM174" s="171">
        <v>0.17125000000000001</v>
      </c>
      <c r="BN174" s="171">
        <v>0.22</v>
      </c>
      <c r="BO174" s="962">
        <f>BN174</f>
        <v>0.22</v>
      </c>
      <c r="BP174" s="171">
        <v>0.33</v>
      </c>
      <c r="BQ174" s="171">
        <v>0.125</v>
      </c>
      <c r="BR174" s="962">
        <v>0.12</v>
      </c>
      <c r="BS174" s="171">
        <v>0.22</v>
      </c>
      <c r="BT174" s="171">
        <v>0.27526</v>
      </c>
      <c r="BU174" s="171">
        <f>BT174</f>
        <v>0.27526</v>
      </c>
      <c r="BV174" s="167">
        <v>0.08</v>
      </c>
      <c r="BW174" s="167">
        <v>0.111</v>
      </c>
      <c r="BX174" s="167">
        <f>(BX173-BU173)/BU173</f>
        <v>9.5033498805766739E-2</v>
      </c>
      <c r="BY174" s="167">
        <v>2.6249999999999999E-2</v>
      </c>
      <c r="BZ174" s="167">
        <v>0.03</v>
      </c>
      <c r="CA174" s="167">
        <f>(CA173-BX173)/BX173</f>
        <v>2.8095084647147855E-2</v>
      </c>
      <c r="CB174" s="167">
        <v>9.2100000000000001E-2</v>
      </c>
      <c r="CC174" s="167">
        <v>0.23</v>
      </c>
      <c r="CD174" s="167">
        <f>(CD173-CA173)/CA173</f>
        <v>0.16007562908735698</v>
      </c>
      <c r="CE174" s="167">
        <v>0.15</v>
      </c>
      <c r="CF174" s="167">
        <f>CF173/CC173-1</f>
        <v>0.14999999999999991</v>
      </c>
      <c r="CG174" s="167">
        <f>(CG173-CD173)/CD173</f>
        <v>0.14999999999999997</v>
      </c>
      <c r="CH174" s="171">
        <f>CH173/CE173-1</f>
        <v>-0.12793893212187535</v>
      </c>
      <c r="CI174" s="171">
        <f>CI173/CF173-1</f>
        <v>-4.1335610200188277E-2</v>
      </c>
      <c r="CJ174" s="167">
        <f>(CJ173-CG173)/CG173</f>
        <v>-8.267603705187182E-2</v>
      </c>
      <c r="CK174" s="171">
        <f>CK173/CH173-1</f>
        <v>9.5983359121305067E-2</v>
      </c>
      <c r="CL174" s="171">
        <f>CL173/CI173-1</f>
        <v>-0.10969538316686567</v>
      </c>
      <c r="CM174" s="167">
        <f>(CM173-CJ173)/CJ173</f>
        <v>-1.635835405607439E-2</v>
      </c>
      <c r="CN174" s="171">
        <f>CN173/CK173-1</f>
        <v>-1.9897750511248202E-2</v>
      </c>
      <c r="CO174" s="171">
        <f>CO173/CL173-1</f>
        <v>0.14843798170794509</v>
      </c>
      <c r="CP174" s="167">
        <f>(CP173-CM173)/CM173</f>
        <v>6.332262374121056E-2</v>
      </c>
      <c r="CQ174" s="171">
        <f>CQ173/CN173-1</f>
        <v>0.16999999999999993</v>
      </c>
      <c r="CR174" s="171">
        <f>CR173/CO173-1</f>
        <v>0.14999999999999991</v>
      </c>
      <c r="CS174" s="167">
        <f>(CS173-CP173)/CP173</f>
        <v>0.15932111669214538</v>
      </c>
      <c r="CT174" s="171">
        <f>CT173/CQ173-1</f>
        <v>0.10000000000000009</v>
      </c>
      <c r="CU174" s="171">
        <f>CU173/CR173-1</f>
        <v>2.9793219578068353E-2</v>
      </c>
      <c r="CV174" s="167">
        <f>(CV173-CS173)/CS173</f>
        <v>6.2814896344770624E-2</v>
      </c>
      <c r="CW174" s="171">
        <f>CW173/CT173-1</f>
        <v>0.19472281129859415</v>
      </c>
      <c r="CX174" s="171">
        <f>CX173/CU173-1</f>
        <v>0.1317346374580266</v>
      </c>
      <c r="CY174" s="167">
        <f>(CY173-CV173)/CV173</f>
        <v>0.16239760154464741</v>
      </c>
      <c r="CZ174" s="171">
        <f>CZ173/CW173-1</f>
        <v>0.11158178454567858</v>
      </c>
      <c r="DA174" s="171">
        <f>DA173/CX173-1</f>
        <v>9.000000000000008E-2</v>
      </c>
      <c r="DB174" s="167">
        <f>(DB173-CY173)/CY173</f>
        <v>0.10079828834682923</v>
      </c>
      <c r="DC174" s="171">
        <f>DC173/CZ173-1</f>
        <v>-2.0000000000000129E-2</v>
      </c>
      <c r="DD174" s="171">
        <f>DD173/DA173-1</f>
        <v>-0.10999999999999999</v>
      </c>
      <c r="DE174" s="167">
        <f>(DE173-DB173)/DB173</f>
        <v>-6.4528031761256807E-2</v>
      </c>
      <c r="DF174" s="171">
        <f>DF173/DC173-1</f>
        <v>0.10000000000000009</v>
      </c>
      <c r="DG174" s="171">
        <f>DG173/DD173-1</f>
        <v>-0.25000000000000011</v>
      </c>
      <c r="DH174" s="1068">
        <f>(DH173-DE173)/DE173</f>
        <v>-6.4747283422032245E-2</v>
      </c>
      <c r="DI174" s="171">
        <f>DI173/DF173-1</f>
        <v>-0.10411530765040589</v>
      </c>
      <c r="DJ174" s="171">
        <f>DJ173/DG173-1</f>
        <v>0.49190276931310728</v>
      </c>
      <c r="DK174" s="1068">
        <f>(DK173-DH173)/DH173</f>
        <v>0.12086366780183269</v>
      </c>
      <c r="DL174" s="171">
        <f>DL173/DI173-1</f>
        <v>8.0542876179778844E-3</v>
      </c>
      <c r="DM174" s="171">
        <f>DM173/DJ173-1</f>
        <v>4.5638606338937349E-2</v>
      </c>
      <c r="DN174" s="1068">
        <f>(DN173-DK173)/DK173</f>
        <v>2.693754502462626E-2</v>
      </c>
      <c r="DO174" s="171">
        <f>DO173/DL173-1</f>
        <v>0.19473433956695985</v>
      </c>
      <c r="DP174" s="171">
        <f>DP173/DM173-1</f>
        <v>0.2391211204809176</v>
      </c>
      <c r="DQ174" s="1068">
        <f>(DQ173-DN173)/DN173</f>
        <v>0.21744142835253122</v>
      </c>
      <c r="DR174" s="171">
        <f>DR173/DO173-1</f>
        <v>0.20168836905129495</v>
      </c>
      <c r="DS174" s="171">
        <f>DS173/DP173-1</f>
        <v>5.9622304191506714E-3</v>
      </c>
      <c r="DT174" s="1068">
        <f>(DT173-DQ173)/DQ173</f>
        <v>9.9777074137348126E-2</v>
      </c>
      <c r="DU174" s="171">
        <f>DU173/DR173-1</f>
        <v>-9.2260955667605726E-3</v>
      </c>
      <c r="DV174" s="171">
        <f>DV173/DS173-1</f>
        <v>0.15956516595141568</v>
      </c>
      <c r="DW174" s="1068">
        <f>(DW173-DT173)/DT173</f>
        <v>7.1163614741222694E-2</v>
      </c>
      <c r="DX174" s="171">
        <f>DX173/DU173-1</f>
        <v>8.7322532460168967E-2</v>
      </c>
      <c r="DY174" s="171">
        <f>DY173/DV173-1</f>
        <v>0.10000000000000009</v>
      </c>
      <c r="DZ174" s="1068">
        <f>(DZ173-DW173)/DW173</f>
        <v>9.3858687723148246E-2</v>
      </c>
      <c r="EA174" s="171">
        <f>EA173/DX173-1</f>
        <v>0.19999999999999996</v>
      </c>
      <c r="EB174" s="171">
        <f>EB173/DY173-1</f>
        <v>7.0000000000000062E-2</v>
      </c>
      <c r="EC174" s="1068">
        <f>(EC173-DZ173)/DZ173</f>
        <v>0.13259925919922386</v>
      </c>
      <c r="ED174" s="171">
        <f>ED173/EA173-1</f>
        <v>9.000000000000008E-2</v>
      </c>
      <c r="EE174" s="171">
        <f>EE173/EB173-1</f>
        <v>9.000000000000008E-2</v>
      </c>
      <c r="EF174" s="1068">
        <f>(EF173-EC173)/EC173</f>
        <v>9.0000000000000149E-2</v>
      </c>
      <c r="EG174" s="171">
        <f>EG173/ED173-1</f>
        <v>9.000000000000008E-2</v>
      </c>
      <c r="EH174" s="171">
        <f>EH173/EE173-1</f>
        <v>9.000000000000008E-2</v>
      </c>
      <c r="EI174" s="1068">
        <f>(EI173-EF173)/EF173</f>
        <v>8.9999999999999927E-2</v>
      </c>
      <c r="EJ174" s="171">
        <f>EJ173/EG173-1</f>
        <v>9.000000000000008E-2</v>
      </c>
      <c r="EK174" s="171">
        <f>EK173/EH173-1</f>
        <v>9.000000000000008E-2</v>
      </c>
      <c r="EL174" s="1068">
        <f>(EL173-EI173)/EI173</f>
        <v>9.0000000000000219E-2</v>
      </c>
      <c r="EM174" s="171">
        <f>EM173/EJ173-1</f>
        <v>9.000000000000008E-2</v>
      </c>
      <c r="EN174" s="171">
        <f>EN173/EK173-1</f>
        <v>9.000000000000008E-2</v>
      </c>
      <c r="EO174" s="1068">
        <f>(EO173-EL173)/EL173</f>
        <v>8.9999999999999913E-2</v>
      </c>
      <c r="EP174" s="171">
        <f>EP173/EM173-1</f>
        <v>9.000000000000008E-2</v>
      </c>
      <c r="EQ174" s="171">
        <f>EQ173/EN173-1</f>
        <v>9.000000000000008E-2</v>
      </c>
      <c r="ER174" s="1068">
        <f>(ER173-EO173)/EO173</f>
        <v>9.0000000000000094E-2</v>
      </c>
      <c r="ES174" s="171">
        <f>ES173/EP173-1</f>
        <v>9.000000000000008E-2</v>
      </c>
      <c r="ET174" s="171">
        <f>ET173/EQ173-1</f>
        <v>9.000000000000008E-2</v>
      </c>
      <c r="EU174" s="1068">
        <f>(EU173-ER173)/ER173</f>
        <v>9.0000000000000052E-2</v>
      </c>
      <c r="EV174" s="171">
        <f>EV173/ES173-1</f>
        <v>9.000000000000008E-2</v>
      </c>
      <c r="EW174" s="171">
        <f>EW173/ET173-1</f>
        <v>9.000000000000008E-2</v>
      </c>
      <c r="EX174" s="1068">
        <f>(EX173-EU173)/EU173</f>
        <v>0.09</v>
      </c>
      <c r="EY174" s="171">
        <f>EY173/EV173-1</f>
        <v>9.000000000000008E-2</v>
      </c>
      <c r="EZ174" s="171">
        <f>EZ173/EW173-1</f>
        <v>9.000000000000008E-2</v>
      </c>
      <c r="FA174" s="1068">
        <f>(FA173-EX173)/EX173</f>
        <v>9.0000000000000149E-2</v>
      </c>
    </row>
    <row r="175" spans="1:173" ht="13.35" customHeight="1" outlineLevel="1">
      <c r="B175" s="31" t="s">
        <v>424</v>
      </c>
      <c r="D175" s="162" t="s">
        <v>39</v>
      </c>
      <c r="BA175" s="35">
        <v>1.9625914285714283E-2</v>
      </c>
      <c r="BB175" s="35">
        <v>2.257730295577778E-2</v>
      </c>
      <c r="BC175" s="31">
        <v>2.1286070412624997E-2</v>
      </c>
      <c r="BD175" s="35">
        <v>1.7893162732919257E-2</v>
      </c>
      <c r="BE175" s="35">
        <v>1.7144394618834085E-2</v>
      </c>
      <c r="BF175" s="31">
        <v>1.7479861991175946E-2</v>
      </c>
      <c r="BG175" s="35">
        <v>1.9073154486586502E-2</v>
      </c>
      <c r="BH175" s="35">
        <f>BG175</f>
        <v>1.9073154486586502E-2</v>
      </c>
      <c r="BI175" s="31">
        <f>BH175</f>
        <v>1.9073154486586502E-2</v>
      </c>
      <c r="BJ175" s="35">
        <f>BG175*0.95</f>
        <v>1.8119496762257176E-2</v>
      </c>
      <c r="BK175" s="35">
        <f>BJ175*(1+BK176)</f>
        <v>1.648874205365403E-2</v>
      </c>
      <c r="BL175" s="31">
        <f>BK175*(1+BL176)</f>
        <v>1.648874205365403E-2</v>
      </c>
      <c r="BM175" s="35">
        <f>BJ175*(1+BM176)</f>
        <v>1.8844276632747466E-2</v>
      </c>
      <c r="BN175" s="35">
        <f>BM175*(1+BN176)</f>
        <v>1.920495608749825E-2</v>
      </c>
      <c r="BO175" s="31">
        <f>BN175*(1+BO176)</f>
        <v>1.9572538947012965E-2</v>
      </c>
      <c r="BP175" s="35">
        <f>BO175*(1+BP176)</f>
        <v>1.8990255913339329E-2</v>
      </c>
      <c r="BQ175" s="35">
        <f>BN175*(1+BQ176)</f>
        <v>2.2997934914779156E-2</v>
      </c>
      <c r="BR175" s="31">
        <v>2.0889478877054286E-2</v>
      </c>
      <c r="BS175" s="35">
        <f>BP175*(1+BS176)</f>
        <v>1.6356611267429183E-2</v>
      </c>
      <c r="BT175" s="35">
        <f>BQ175*(1+BT176)</f>
        <v>1.8924620304825203E-2</v>
      </c>
      <c r="BU175" s="35">
        <f>BU178/BU173</f>
        <v>1.7601971293135354E-2</v>
      </c>
      <c r="BV175" s="35">
        <f>BS175*(1+BV176)</f>
        <v>1.8267902779783123E-2</v>
      </c>
      <c r="BW175" s="35">
        <f>BT175*(1+BW176)</f>
        <v>1.8524411383966894E-2</v>
      </c>
      <c r="BX175" s="35">
        <f>BX178/BX173</f>
        <v>1.8394110803100657E-2</v>
      </c>
      <c r="BY175" s="35">
        <f>BV175*(1+BY176)</f>
        <v>2.0248914353039715E-2</v>
      </c>
      <c r="BZ175" s="35">
        <f>BW175*(1+BZ176)</f>
        <v>2.4665439001865758E-2</v>
      </c>
      <c r="CA175" s="35">
        <f>CA178/CA173</f>
        <v>2.2425970490703013E-2</v>
      </c>
      <c r="CB175" s="35">
        <f>BY175*(1+CB176)</f>
        <v>1.8491106098052337E-2</v>
      </c>
      <c r="CC175" s="35">
        <f>BZ175*(1+CC176)</f>
        <v>1.9213760346478377E-2</v>
      </c>
      <c r="CD175" s="35">
        <f>CD178/CD173</f>
        <v>1.8868798577885596E-2</v>
      </c>
      <c r="CE175" s="35">
        <f>CB175*(1+CE176)</f>
        <v>2.0754787306575904E-2</v>
      </c>
      <c r="CF175" s="35">
        <f>CC175*(1+CF176)</f>
        <v>2.0283774660173757E-2</v>
      </c>
      <c r="CG175" s="35">
        <f>CG178/CG173</f>
        <v>2.0508614347875504E-2</v>
      </c>
      <c r="CH175" s="35">
        <f>CE175*(1+CH176)</f>
        <v>2.3908684785683181E-2</v>
      </c>
      <c r="CI175" s="35">
        <f>CF175*(1+CI176)</f>
        <v>1.9197375689374848E-2</v>
      </c>
      <c r="CJ175" s="35">
        <f>CJ178/CJ173</f>
        <v>2.1335368120580792E-2</v>
      </c>
      <c r="CK175" s="35">
        <f>CH175*(1+CK176)</f>
        <v>2.0862718343987147E-2</v>
      </c>
      <c r="CL175" s="35">
        <f>CI175*(1+CL176)</f>
        <v>2.2666725423958669E-2</v>
      </c>
      <c r="CM175" s="35">
        <f>CM178/CM173</f>
        <v>2.1754567878070785E-2</v>
      </c>
      <c r="CN175" s="35">
        <f>CK175*(1+CN176)</f>
        <v>1.8079211790715529E-2</v>
      </c>
      <c r="CO175" s="35">
        <f>CL175*(1+CO176)</f>
        <v>1.9992966805013879E-2</v>
      </c>
      <c r="CP175" s="35">
        <f>CP178/CP173</f>
        <v>1.9101050114591216E-2</v>
      </c>
      <c r="CQ175" s="35">
        <f>CN175*(1+CQ176)</f>
        <v>2.0276607346451793E-2</v>
      </c>
      <c r="CR175" s="35">
        <f>CO175*(1+CR176)</f>
        <v>1.9567430387654048E-2</v>
      </c>
      <c r="CS175" s="35">
        <f>CS178/CS173</f>
        <v>1.9900990937832708E-2</v>
      </c>
      <c r="CT175" s="35">
        <f>CQ175*(1+CT176)</f>
        <v>1.5129386350462725E-2</v>
      </c>
      <c r="CU175" s="35">
        <f>CR175*(1+CU176)</f>
        <v>1.6418066626969575E-2</v>
      </c>
      <c r="CV175" s="35">
        <f>CV178/CV173</f>
        <v>1.5790730499751729E-2</v>
      </c>
      <c r="CW175" s="35">
        <f>CT175*(1+CW176)</f>
        <v>1.6052278917840949E-2</v>
      </c>
      <c r="CX175" s="35">
        <f>CU175*(1+CX176)</f>
        <v>1.8215844922622744E-2</v>
      </c>
      <c r="CY175" s="35">
        <f>CY178/CY173</f>
        <v>1.7133320466520281E-2</v>
      </c>
      <c r="CZ175" s="35">
        <f>CW175*(1+CZ176)</f>
        <v>1.704352939732047E-2</v>
      </c>
      <c r="DA175" s="35">
        <f>CX175*(1+DA176)</f>
        <v>1.8352800936245948E-2</v>
      </c>
      <c r="DB175" s="35">
        <f>DB178/DB173</f>
        <v>1.7691299226980286E-2</v>
      </c>
      <c r="DC175" s="35">
        <f>CZ175*(1+DC176)</f>
        <v>1.6361788221427649E-2</v>
      </c>
      <c r="DD175" s="35">
        <f>DA175*(1+DD176)</f>
        <v>1.8903384964333327E-2</v>
      </c>
      <c r="DE175" s="35">
        <f>DE178/DE173</f>
        <v>1.7558134389850495E-2</v>
      </c>
      <c r="DF175" s="35">
        <f>DC175*(1+DF176)</f>
        <v>1.5707316692570542E-2</v>
      </c>
      <c r="DG175" s="35">
        <f>DD175*(1+DG176)</f>
        <v>1.9820199135103495E-2</v>
      </c>
      <c r="DH175" s="1071">
        <f>DH178/DH173</f>
        <v>1.7259806648564292E-2</v>
      </c>
      <c r="DI175" s="35">
        <f>DI178/DI173</f>
        <v>1.8920194385613862E-2</v>
      </c>
      <c r="DJ175" s="35">
        <f t="shared" ref="DJ175:DT175" si="1067">DJ178/DJ173</f>
        <v>1.7257445190014684E-2</v>
      </c>
      <c r="DK175" s="1071">
        <f t="shared" si="1067"/>
        <v>1.808478956435559E-2</v>
      </c>
      <c r="DL175" s="74">
        <f t="shared" si="1067"/>
        <v>1.7727067426605007E-2</v>
      </c>
      <c r="DM175" s="74">
        <f t="shared" si="1067"/>
        <v>1.76452818627451E-2</v>
      </c>
      <c r="DN175" s="1071">
        <f t="shared" si="1067"/>
        <v>1.7685228121710493E-2</v>
      </c>
      <c r="DO175" s="74">
        <f t="shared" si="1067"/>
        <v>1.6190852519687497E-2</v>
      </c>
      <c r="DP175" s="74">
        <f t="shared" si="1067"/>
        <v>1.8258278097726257E-2</v>
      </c>
      <c r="DQ175" s="1071">
        <f t="shared" si="1067"/>
        <v>1.7267326102973844E-2</v>
      </c>
      <c r="DR175" s="74">
        <f t="shared" si="1067"/>
        <v>1.7513174312348768E-2</v>
      </c>
      <c r="DS175" s="74">
        <f t="shared" si="1067"/>
        <v>1.8807583908869361E-2</v>
      </c>
      <c r="DT175" s="1071">
        <f t="shared" si="1067"/>
        <v>1.8129658907275255E-2</v>
      </c>
      <c r="DU175" s="74">
        <f t="shared" ref="DU175:DW175" si="1068">DU178/DU173</f>
        <v>1.88747099868437E-2</v>
      </c>
      <c r="DV175" s="74">
        <f t="shared" si="1068"/>
        <v>1.6543278046049409E-2</v>
      </c>
      <c r="DW175" s="1071">
        <f t="shared" si="1068"/>
        <v>1.7672687492822498E-2</v>
      </c>
      <c r="DX175" s="74">
        <f t="shared" ref="DX175" si="1069">DX178/DX173</f>
        <v>1.7565379324193969E-2</v>
      </c>
      <c r="DY175" s="74">
        <f>DV175*(1+DY176)</f>
        <v>1.8693904192035829E-2</v>
      </c>
      <c r="DZ175" s="1071">
        <f>DZ178/DZ173</f>
        <v>1.8150482494229656E-2</v>
      </c>
      <c r="EA175" s="74">
        <f>DX175*(1+EA176)</f>
        <v>1.9321917256613367E-2</v>
      </c>
      <c r="EB175" s="74">
        <f>DY175*(1+EB176)</f>
        <v>1.8693904192035829E-2</v>
      </c>
      <c r="EC175" s="1071">
        <f>EC178/EC173</f>
        <v>1.9014309345517375E-2</v>
      </c>
      <c r="ED175" s="74">
        <f>EA175*(1+ED176)</f>
        <v>1.9321917256613367E-2</v>
      </c>
      <c r="EE175" s="74">
        <f>EB175*(1+EE176)</f>
        <v>1.8693904192035829E-2</v>
      </c>
      <c r="EF175" s="1071">
        <f>EF178/EF173</f>
        <v>1.9014309345517379E-2</v>
      </c>
      <c r="EG175" s="74">
        <f>ED175*(1+EG176)</f>
        <v>1.9321917256613367E-2</v>
      </c>
      <c r="EH175" s="74">
        <f>EE175*(1+EH176)</f>
        <v>1.8693904192035829E-2</v>
      </c>
      <c r="EI175" s="1071">
        <f>EI178/EI173</f>
        <v>1.9014309345517379E-2</v>
      </c>
      <c r="EJ175" s="74">
        <f>EG175*(1+EJ176)</f>
        <v>1.9321917256613367E-2</v>
      </c>
      <c r="EK175" s="74">
        <f>EH175*(1+EK176)</f>
        <v>1.8693904192035829E-2</v>
      </c>
      <c r="EL175" s="1071">
        <f>EL178/EL173</f>
        <v>1.9014309345517375E-2</v>
      </c>
      <c r="EM175" s="74">
        <f>EJ175*(1+EM176)</f>
        <v>1.9321917256613367E-2</v>
      </c>
      <c r="EN175" s="74">
        <f>EK175*(1+EN176)</f>
        <v>1.8693904192035829E-2</v>
      </c>
      <c r="EO175" s="1071">
        <f>EO178/EO173</f>
        <v>1.9014309345517379E-2</v>
      </c>
      <c r="EP175" s="74">
        <f>EM175*(1+EP176)</f>
        <v>1.9321917256613367E-2</v>
      </c>
      <c r="EQ175" s="74">
        <f>EN175*(1+EQ176)</f>
        <v>1.8693904192035829E-2</v>
      </c>
      <c r="ER175" s="1071">
        <f>ER178/ER173</f>
        <v>1.9014309345517375E-2</v>
      </c>
      <c r="ES175" s="74">
        <f>EP175*(1+ES176)</f>
        <v>1.9321917256613367E-2</v>
      </c>
      <c r="ET175" s="74">
        <f>EQ175*(1+ET176)</f>
        <v>1.8693904192035829E-2</v>
      </c>
      <c r="EU175" s="1071">
        <f>EU178/EU173</f>
        <v>1.9014309345517375E-2</v>
      </c>
      <c r="EV175" s="74">
        <f>ES175*(1+EV176)</f>
        <v>1.9321917256613367E-2</v>
      </c>
      <c r="EW175" s="74">
        <f>ET175*(1+EW176)</f>
        <v>1.8693904192035829E-2</v>
      </c>
      <c r="EX175" s="1071">
        <f>EX178/EX173</f>
        <v>1.9014309345517375E-2</v>
      </c>
      <c r="EY175" s="74">
        <f>EV175*(1+EY176)</f>
        <v>1.9321917256613367E-2</v>
      </c>
      <c r="EZ175" s="74">
        <f>EW175*(1+EZ176)</f>
        <v>1.8693904192035829E-2</v>
      </c>
      <c r="FA175" s="1071">
        <f>FA178/FA173</f>
        <v>1.9014309345517379E-2</v>
      </c>
    </row>
    <row r="176" spans="1:173" ht="13.35" customHeight="1" outlineLevel="1">
      <c r="A176" s="1421"/>
      <c r="D176" s="162" t="s">
        <v>209</v>
      </c>
      <c r="BA176" s="91"/>
      <c r="BB176" s="91"/>
      <c r="BC176" s="87"/>
      <c r="BD176" s="169">
        <f t="shared" ref="BD176:BI176" si="1070">(BD175-BA175)/BA175</f>
        <v>-8.8288959564869665E-2</v>
      </c>
      <c r="BE176" s="169">
        <f t="shared" si="1070"/>
        <v>-0.24063584333279961</v>
      </c>
      <c r="BF176" s="88">
        <f t="shared" si="1070"/>
        <v>-0.17881216906956898</v>
      </c>
      <c r="BG176" s="169">
        <f t="shared" si="1070"/>
        <v>6.5946516626506427E-2</v>
      </c>
      <c r="BH176" s="169">
        <f t="shared" si="1070"/>
        <v>0.11250090251851562</v>
      </c>
      <c r="BI176" s="88">
        <f t="shared" si="1070"/>
        <v>9.1150175911850442E-2</v>
      </c>
      <c r="BJ176" s="165">
        <v>0.12</v>
      </c>
      <c r="BK176" s="165">
        <v>-0.09</v>
      </c>
      <c r="BL176" s="943">
        <v>0</v>
      </c>
      <c r="BM176" s="165">
        <v>0.04</v>
      </c>
      <c r="BN176" s="165">
        <v>1.9140000000000001E-2</v>
      </c>
      <c r="BO176" s="943">
        <f>BN176</f>
        <v>1.9140000000000001E-2</v>
      </c>
      <c r="BP176" s="165">
        <v>-2.9749999999999999E-2</v>
      </c>
      <c r="BQ176" s="165">
        <v>0.19750000000000001</v>
      </c>
      <c r="BR176" s="943">
        <f>BR175/BO175-1</f>
        <v>6.7285084148078989E-2</v>
      </c>
      <c r="BS176" s="166">
        <v>-0.13868399972747047</v>
      </c>
      <c r="BT176" s="166">
        <v>-0.17711653785646292</v>
      </c>
      <c r="BU176" s="167">
        <f>BT176</f>
        <v>-0.17711653785646292</v>
      </c>
      <c r="BV176" s="166">
        <v>0.11685131358228729</v>
      </c>
      <c r="BW176" s="166">
        <v>-2.1147527105538272E-2</v>
      </c>
      <c r="BX176" s="167">
        <f>BW176</f>
        <v>-2.1147527105538272E-2</v>
      </c>
      <c r="BY176" s="166">
        <v>0.10844220035202708</v>
      </c>
      <c r="BZ176" s="166">
        <v>0.33151000000000003</v>
      </c>
      <c r="CA176" s="167">
        <f>CA175/BX175-1</f>
        <v>0.21919296511591702</v>
      </c>
      <c r="CB176" s="166">
        <v>-8.6809999999999998E-2</v>
      </c>
      <c r="CC176" s="166">
        <v>-0.221025</v>
      </c>
      <c r="CD176" s="167">
        <f>CC176</f>
        <v>-0.221025</v>
      </c>
      <c r="CE176" s="183">
        <v>0.12242</v>
      </c>
      <c r="CF176" s="183">
        <v>5.5690000000000003E-2</v>
      </c>
      <c r="CG176" s="167">
        <f>CF176</f>
        <v>5.5690000000000003E-2</v>
      </c>
      <c r="CH176" s="170">
        <v>0.15196000000000001</v>
      </c>
      <c r="CI176" s="72">
        <v>-5.3560000000000003E-2</v>
      </c>
      <c r="CJ176" s="171">
        <f>CI176</f>
        <v>-5.3560000000000003E-2</v>
      </c>
      <c r="CK176" s="170">
        <v>-0.12740000000000001</v>
      </c>
      <c r="CL176" s="170">
        <v>0.18071999999999999</v>
      </c>
      <c r="CM176" s="171">
        <f>CM175/CJ175-1</f>
        <v>1.9648114582359488E-2</v>
      </c>
      <c r="CN176" s="170">
        <v>-0.13342012806657355</v>
      </c>
      <c r="CO176" s="170">
        <v>-0.11795963329218408</v>
      </c>
      <c r="CP176" s="171">
        <f>CO176</f>
        <v>-0.11795963329218408</v>
      </c>
      <c r="CQ176" s="72">
        <v>0.12154266353938743</v>
      </c>
      <c r="CR176" s="72">
        <v>-2.1284305701598748E-2</v>
      </c>
      <c r="CS176" s="171">
        <f>CR176</f>
        <v>-2.1284305701598748E-2</v>
      </c>
      <c r="CT176" s="72">
        <v>-0.25385020817547083</v>
      </c>
      <c r="CU176" s="72">
        <v>-0.16094927633786518</v>
      </c>
      <c r="CV176" s="171">
        <f>CU176</f>
        <v>-0.16094927633786518</v>
      </c>
      <c r="CW176" s="72">
        <v>6.0999999999999999E-2</v>
      </c>
      <c r="CX176" s="72">
        <v>0.1095</v>
      </c>
      <c r="CY176" s="171">
        <f>CX176</f>
        <v>0.1095</v>
      </c>
      <c r="CZ176" s="72">
        <v>6.1751386488669673E-2</v>
      </c>
      <c r="DA176" s="72">
        <v>7.5185100776256541E-3</v>
      </c>
      <c r="DB176" s="171">
        <f>DB175/CY175-1</f>
        <v>3.2566878180463332E-2</v>
      </c>
      <c r="DC176" s="72">
        <v>-0.04</v>
      </c>
      <c r="DD176" s="72">
        <v>0.03</v>
      </c>
      <c r="DE176" s="171">
        <f>DE175/DB175-1</f>
        <v>-7.5271372340312004E-3</v>
      </c>
      <c r="DF176" s="72">
        <v>-0.04</v>
      </c>
      <c r="DG176" s="72">
        <v>4.8500000000000001E-2</v>
      </c>
      <c r="DH176" s="1068">
        <f>DG176</f>
        <v>4.8500000000000001E-2</v>
      </c>
      <c r="DI176" s="171">
        <f>DI175/DF175-1</f>
        <v>0.20454656615938682</v>
      </c>
      <c r="DJ176" s="171">
        <f t="shared" ref="DJ176:DU176" si="1071">DJ175/DG175-1</f>
        <v>-0.12930011084247506</v>
      </c>
      <c r="DK176" s="1068">
        <f t="shared" si="1071"/>
        <v>4.7797923382874252E-2</v>
      </c>
      <c r="DL176" s="171">
        <f t="shared" si="1071"/>
        <v>-6.3061030700406473E-2</v>
      </c>
      <c r="DM176" s="171">
        <f t="shared" si="1071"/>
        <v>2.2473585658833395E-2</v>
      </c>
      <c r="DN176" s="1068">
        <f t="shared" si="1071"/>
        <v>-2.2093784460318955E-2</v>
      </c>
      <c r="DO176" s="171">
        <f t="shared" si="1071"/>
        <v>-8.665928040708748E-2</v>
      </c>
      <c r="DP176" s="171">
        <f t="shared" si="1071"/>
        <v>3.4739951435708738E-2</v>
      </c>
      <c r="DQ176" s="1068">
        <f t="shared" si="1071"/>
        <v>-2.3630004422935835E-2</v>
      </c>
      <c r="DR176" s="171">
        <f t="shared" si="1071"/>
        <v>8.1670918257909841E-2</v>
      </c>
      <c r="DS176" s="171">
        <f t="shared" si="1071"/>
        <v>3.0085302031384265E-2</v>
      </c>
      <c r="DT176" s="1068">
        <f t="shared" si="1071"/>
        <v>4.9940147024436943E-2</v>
      </c>
      <c r="DU176" s="171">
        <f t="shared" si="1071"/>
        <v>7.7743511839249768E-2</v>
      </c>
      <c r="DV176" s="171">
        <f t="shared" ref="DV176" si="1072">DV175/DS175-1</f>
        <v>-0.12039323465424712</v>
      </c>
      <c r="DW176" s="1068">
        <f t="shared" ref="DW176:DX176" si="1073">DW175/DT175-1</f>
        <v>-2.5205737007516382E-2</v>
      </c>
      <c r="DX176" s="171">
        <f t="shared" si="1073"/>
        <v>-6.9369577787546266E-2</v>
      </c>
      <c r="DY176" s="1141">
        <v>0.13</v>
      </c>
      <c r="DZ176" s="1142">
        <f t="shared" ref="DZ176" si="1074">DZ175/DW175-1</f>
        <v>2.7035786243671645E-2</v>
      </c>
      <c r="EA176" s="1141">
        <v>0.1</v>
      </c>
      <c r="EB176" s="1143">
        <v>0</v>
      </c>
      <c r="EC176" s="1142">
        <f t="shared" ref="EC176" si="1075">EC175/DZ175-1</f>
        <v>4.7592500726211684E-2</v>
      </c>
      <c r="ED176" s="1143">
        <f>0%+ED172</f>
        <v>0</v>
      </c>
      <c r="EE176" s="1143">
        <f>+ED176</f>
        <v>0</v>
      </c>
      <c r="EF176" s="1142">
        <f t="shared" ref="EF176" si="1076">EF175/EC175-1</f>
        <v>0</v>
      </c>
      <c r="EG176" s="1143">
        <f t="shared" ref="EG176" si="1077">+EE176</f>
        <v>0</v>
      </c>
      <c r="EH176" s="1143">
        <f t="shared" ref="EH176" si="1078">+EG176</f>
        <v>0</v>
      </c>
      <c r="EI176" s="1142">
        <f t="shared" ref="EI176" si="1079">EI175/EF175-1</f>
        <v>0</v>
      </c>
      <c r="EJ176" s="1143">
        <f t="shared" ref="EJ176" si="1080">+EH176</f>
        <v>0</v>
      </c>
      <c r="EK176" s="1143">
        <f t="shared" ref="EK176" si="1081">+EJ176</f>
        <v>0</v>
      </c>
      <c r="EL176" s="1142">
        <f t="shared" ref="EL176" si="1082">EL175/EI175-1</f>
        <v>0</v>
      </c>
      <c r="EM176" s="1143">
        <f t="shared" ref="EM176" si="1083">+EK176</f>
        <v>0</v>
      </c>
      <c r="EN176" s="1143">
        <f t="shared" ref="EN176" si="1084">+EM176</f>
        <v>0</v>
      </c>
      <c r="EO176" s="1142">
        <f t="shared" ref="EO176" si="1085">EO175/EL175-1</f>
        <v>0</v>
      </c>
      <c r="EP176" s="1143">
        <f t="shared" ref="EP176" si="1086">+EN176</f>
        <v>0</v>
      </c>
      <c r="EQ176" s="1143">
        <f t="shared" ref="EQ176" si="1087">+EP176</f>
        <v>0</v>
      </c>
      <c r="ER176" s="1142">
        <f t="shared" ref="ER176" si="1088">ER175/EO175-1</f>
        <v>0</v>
      </c>
      <c r="ES176" s="1143">
        <f t="shared" ref="ES176" si="1089">+EQ176</f>
        <v>0</v>
      </c>
      <c r="ET176" s="1143">
        <f t="shared" ref="ET176" si="1090">+ES176</f>
        <v>0</v>
      </c>
      <c r="EU176" s="1142">
        <f t="shared" ref="EU176" si="1091">EU175/ER175-1</f>
        <v>0</v>
      </c>
      <c r="EV176" s="1143">
        <f t="shared" ref="EV176" si="1092">+ET176</f>
        <v>0</v>
      </c>
      <c r="EW176" s="1143">
        <f t="shared" ref="EW176" si="1093">+EV176</f>
        <v>0</v>
      </c>
      <c r="EX176" s="1142">
        <f t="shared" ref="EX176" si="1094">EX175/EU175-1</f>
        <v>0</v>
      </c>
      <c r="EY176" s="1143">
        <f t="shared" ref="EY176" si="1095">+EW176</f>
        <v>0</v>
      </c>
      <c r="EZ176" s="1143">
        <f t="shared" ref="EZ176" si="1096">+EY176</f>
        <v>0</v>
      </c>
      <c r="FA176" s="1142">
        <f t="shared" ref="FA176" si="1097">FA175/EX175-1</f>
        <v>0</v>
      </c>
    </row>
    <row r="177" spans="1:173" outlineLevel="1">
      <c r="DH177" s="1071"/>
      <c r="DK177" s="1071"/>
      <c r="DL177" s="74"/>
      <c r="DM177" s="74"/>
      <c r="DN177" s="1071"/>
      <c r="DO177" s="74"/>
      <c r="DP177" s="74"/>
      <c r="DQ177" s="1071"/>
      <c r="DR177" s="74"/>
      <c r="DS177" s="74"/>
      <c r="DT177" s="1071"/>
      <c r="DU177" s="1629">
        <f>+DU175*1000000</f>
        <v>18874.7099868437</v>
      </c>
      <c r="DV177" s="1629">
        <f>+DV175*1000000</f>
        <v>16543.27804604941</v>
      </c>
      <c r="DW177" s="1625"/>
      <c r="DX177" s="1629">
        <f>+DX175*1000000</f>
        <v>17565.379324193971</v>
      </c>
      <c r="DY177" s="1629">
        <f>+DY175*1000000</f>
        <v>18693.904192035829</v>
      </c>
      <c r="DZ177" s="1071"/>
      <c r="EA177" s="1629">
        <f>+EA175*1000000</f>
        <v>19321.917256613367</v>
      </c>
      <c r="EB177" s="1629">
        <f>+EB175*1000000</f>
        <v>18693.904192035829</v>
      </c>
      <c r="EC177" s="1071"/>
      <c r="ED177" s="1629">
        <f>+ED175*1000000</f>
        <v>19321.917256613367</v>
      </c>
      <c r="EE177" s="1629">
        <f>+EE175*1000000</f>
        <v>18693.904192035829</v>
      </c>
      <c r="EF177" s="1071"/>
      <c r="EG177" s="74"/>
      <c r="EH177" s="74"/>
      <c r="EI177" s="1071"/>
      <c r="EJ177" s="74"/>
      <c r="EK177" s="74"/>
      <c r="EL177" s="1071"/>
      <c r="EM177" s="74"/>
      <c r="EN177" s="74"/>
      <c r="EO177" s="1071"/>
      <c r="EP177" s="74"/>
      <c r="EQ177" s="74"/>
      <c r="ER177" s="1071"/>
      <c r="ES177" s="74"/>
      <c r="ET177" s="74"/>
      <c r="EU177" s="1071"/>
      <c r="EV177" s="74"/>
      <c r="EW177" s="74"/>
      <c r="EX177" s="1071"/>
      <c r="EY177" s="74"/>
      <c r="EZ177" s="74"/>
      <c r="FA177" s="1071"/>
    </row>
    <row r="178" spans="1:173" ht="13.35" customHeight="1" outlineLevel="1">
      <c r="B178" s="35" t="s">
        <v>395</v>
      </c>
      <c r="D178" s="162" t="s">
        <v>39</v>
      </c>
      <c r="BA178" s="70">
        <f>BA175*BA173</f>
        <v>27.476279999999996</v>
      </c>
      <c r="BB178" s="70">
        <f>BB175*BB173</f>
        <v>40.639145320400004</v>
      </c>
      <c r="BC178" s="1024">
        <f>SUM(BA178:BB178)</f>
        <v>68.115425320399993</v>
      </c>
      <c r="BD178" s="70">
        <f>BD175*BD173</f>
        <v>28.807991999999999</v>
      </c>
      <c r="BE178" s="70">
        <f>BE175*BE173</f>
        <v>34.006656</v>
      </c>
      <c r="BF178" s="1024">
        <f>SUM(BD178:BE178)</f>
        <v>62.814647999999998</v>
      </c>
      <c r="BG178" s="70">
        <f>BG175*BG173</f>
        <v>43.297968000000012</v>
      </c>
      <c r="BH178" s="70">
        <f>BH175*BH173</f>
        <v>43.507300815382202</v>
      </c>
      <c r="BI178" s="1024">
        <f>SUM(BG178:BH178)</f>
        <v>86.80526881538222</v>
      </c>
      <c r="BJ178" s="70">
        <f>BJ175*BJ173</f>
        <v>38.932450376400006</v>
      </c>
      <c r="BK178" s="70">
        <f>BK175*BK173</f>
        <v>36.220415277366683</v>
      </c>
      <c r="BL178" s="1024">
        <f>SUM(BJ178:BK178)</f>
        <v>75.152865653766696</v>
      </c>
      <c r="BM178" s="70">
        <f>BM175*BM173</f>
        <v>47.423617803492853</v>
      </c>
      <c r="BN178" s="70">
        <f>BN175*BN173</f>
        <v>51.468208355938394</v>
      </c>
      <c r="BO178" s="1024">
        <f>SUM(BM178:BN178)</f>
        <v>98.891826159431247</v>
      </c>
      <c r="BP178" s="70">
        <f>BP175*BP173</f>
        <v>63.562016863167287</v>
      </c>
      <c r="BQ178" s="70">
        <f>BQ175*BQ173</f>
        <v>69.337326944515752</v>
      </c>
      <c r="BR178" s="1024">
        <f>SUM(BP178:BQ178)</f>
        <v>132.89934380768304</v>
      </c>
      <c r="BS178" s="70">
        <f>BS175*BS173</f>
        <v>66.791318203282756</v>
      </c>
      <c r="BT178" s="70">
        <f>BT175*BT173</f>
        <v>72.761922756458389</v>
      </c>
      <c r="BU178" s="70">
        <f>SUM(BS178:BT178)</f>
        <v>139.55324095974115</v>
      </c>
      <c r="BV178" s="70">
        <f>BV175*BV173</f>
        <v>80.563649188927187</v>
      </c>
      <c r="BW178" s="70">
        <f>BW175*BW173</f>
        <v>79.128961893236479</v>
      </c>
      <c r="BX178" s="70">
        <f>SUM(BV178:BW178)</f>
        <v>159.69261108216367</v>
      </c>
      <c r="BY178" s="70">
        <f>BY175*BY173</f>
        <v>91.644277475466538</v>
      </c>
      <c r="BZ178" s="70">
        <f>BZ175*BZ173</f>
        <v>108.52183417197722</v>
      </c>
      <c r="CA178" s="70">
        <f>SUM(BY178:BZ178)</f>
        <v>200.16611164744376</v>
      </c>
      <c r="CB178" s="70">
        <f>CB175*CB173</f>
        <v>91.396361284395624</v>
      </c>
      <c r="CC178" s="70">
        <f>CC175*CC173</f>
        <v>103.97902880216262</v>
      </c>
      <c r="CD178" s="70">
        <f>SUM(CB178:CC178)</f>
        <v>195.37539008655824</v>
      </c>
      <c r="CE178" s="70">
        <f>CE175*CE173</f>
        <v>117.97286940775604</v>
      </c>
      <c r="CF178" s="70">
        <f>CF175*CF173</f>
        <v>126.2350640535783</v>
      </c>
      <c r="CG178" s="70">
        <f>SUM(CE178:CF178)</f>
        <v>244.20793346133433</v>
      </c>
      <c r="CH178" s="70">
        <f>CH175*CH173</f>
        <v>118.51312235892411</v>
      </c>
      <c r="CI178" s="70">
        <f>CI175*CI173</f>
        <v>114.53538688372852</v>
      </c>
      <c r="CJ178" s="70">
        <f>SUM(CH178:CI178)</f>
        <v>233.04850924265264</v>
      </c>
      <c r="CK178" s="70">
        <f>CK175*CK173</f>
        <v>113.34062651616399</v>
      </c>
      <c r="CL178" s="70">
        <f>CL175*CL173</f>
        <v>120.39965220164422</v>
      </c>
      <c r="CM178" s="70">
        <f>SUM(CK178:CL178)</f>
        <v>233.74027871780822</v>
      </c>
      <c r="CN178" s="70">
        <f>CN175*CN173</f>
        <v>96.264374311441699</v>
      </c>
      <c r="CO178" s="74">
        <f>CO175*CO173</f>
        <v>121.96107417780004</v>
      </c>
      <c r="CP178" s="70">
        <f>SUM(CN178:CO178)</f>
        <v>218.22544848924173</v>
      </c>
      <c r="CQ178" s="70">
        <f>CQ175*CQ173</f>
        <v>126.31858523997207</v>
      </c>
      <c r="CR178" s="70">
        <f>CR175*CR173</f>
        <v>137.27000000000004</v>
      </c>
      <c r="CS178" s="70">
        <f>SUM(CQ178:CR178)</f>
        <v>263.58858523997208</v>
      </c>
      <c r="CT178" s="70">
        <f>CT175*CT173</f>
        <v>103.67784468841164</v>
      </c>
      <c r="CU178" s="70">
        <f>CU175*CU173</f>
        <v>118.60797137842884</v>
      </c>
      <c r="CV178" s="70">
        <f>SUM(CT178:CU178)</f>
        <v>222.28581606684048</v>
      </c>
      <c r="CW178" s="70">
        <f>CW175*CW173</f>
        <v>131.42212952612476</v>
      </c>
      <c r="CX178" s="70">
        <f>CX175*CX173</f>
        <v>148.93123555649018</v>
      </c>
      <c r="CY178" s="70">
        <f>SUM(CW178:CX178)</f>
        <v>280.35336508261491</v>
      </c>
      <c r="CZ178" s="70">
        <f>CZ175*CZ173</f>
        <v>155.10748580990887</v>
      </c>
      <c r="DA178" s="70">
        <f>DA175*DA173</f>
        <v>163.55556444156542</v>
      </c>
      <c r="DB178" s="70">
        <f>SUM(CZ178:DA178)</f>
        <v>318.66305025147426</v>
      </c>
      <c r="DC178" s="70">
        <f>DC175*DC173</f>
        <v>145.92512264996222</v>
      </c>
      <c r="DD178" s="70">
        <f>DD175*DD173</f>
        <v>149.93138592358304</v>
      </c>
      <c r="DE178" s="70">
        <f>SUM(DC178:DD178)</f>
        <v>295.85650857354528</v>
      </c>
      <c r="DF178" s="70">
        <f>DF175*DF173</f>
        <v>154.0969295183601</v>
      </c>
      <c r="DG178" s="70">
        <f>DG175*DG173</f>
        <v>117.9022936056576</v>
      </c>
      <c r="DH178" s="1070">
        <f>SUM(DF178:DG178)</f>
        <v>271.9992231240177</v>
      </c>
      <c r="DI178" s="233">
        <f>DI180*DI75</f>
        <v>166.2913638153496</v>
      </c>
      <c r="DJ178" s="233">
        <f>DJ180*DJ75</f>
        <v>153.15502938840675</v>
      </c>
      <c r="DK178" s="1070">
        <f>SUM(DI178:DJ178)</f>
        <v>319.44639320375632</v>
      </c>
      <c r="DL178" s="233">
        <f>DL180*DL75</f>
        <v>157.0597561633754</v>
      </c>
      <c r="DM178" s="233">
        <f>DM180*DM75</f>
        <v>163.74383962218462</v>
      </c>
      <c r="DN178" s="1070">
        <f>SUM(DL178:DM178)</f>
        <v>320.80359578555999</v>
      </c>
      <c r="DO178" s="233">
        <f>DO180*DO75</f>
        <v>171.38353076020195</v>
      </c>
      <c r="DP178" s="233">
        <f>DP180*DP75</f>
        <v>209.9471323247204</v>
      </c>
      <c r="DQ178" s="1070">
        <f>SUM(DO178:DP178)</f>
        <v>381.33066308492232</v>
      </c>
      <c r="DR178" s="233">
        <f>DR180*DR75</f>
        <v>222.76968814583068</v>
      </c>
      <c r="DS178" s="233">
        <f>DS180*DS75</f>
        <v>217.55286776254428</v>
      </c>
      <c r="DT178" s="1070">
        <f>SUM(DR178:DS178)</f>
        <v>440.32255590837497</v>
      </c>
      <c r="DU178" s="233">
        <f>DU180*DU75</f>
        <v>237.87350579438746</v>
      </c>
      <c r="DV178" s="233">
        <f>DV180*DV75</f>
        <v>221.89551992579476</v>
      </c>
      <c r="DW178" s="1070">
        <f>SUM(DU178:DV178)</f>
        <v>459.76902572018219</v>
      </c>
      <c r="DX178" s="233">
        <f>DX180*DX75</f>
        <v>240.70311282829601</v>
      </c>
      <c r="DY178" s="233">
        <f>DY175*DY173</f>
        <v>275.81613126776284</v>
      </c>
      <c r="DZ178" s="1070">
        <f>SUM(DX178:DY178)</f>
        <v>516.51924409605886</v>
      </c>
      <c r="EA178" s="233">
        <f>EA175*EA173</f>
        <v>317.72810893335071</v>
      </c>
      <c r="EB178" s="233">
        <f>EB175*EB173</f>
        <v>295.12326045650627</v>
      </c>
      <c r="EC178" s="1070">
        <f>SUM(EA178:EB178)</f>
        <v>612.85136938985693</v>
      </c>
      <c r="ED178" s="233">
        <f>ED175*ED173</f>
        <v>346.32363873735233</v>
      </c>
      <c r="EE178" s="233">
        <f>EE175*EE173</f>
        <v>321.6843538975919</v>
      </c>
      <c r="EF178" s="1070">
        <f>SUM(ED178:EE178)</f>
        <v>668.00799263494423</v>
      </c>
      <c r="EG178" s="233">
        <f>EG175*EG173</f>
        <v>377.492766223714</v>
      </c>
      <c r="EH178" s="233">
        <f>EH175*EH173</f>
        <v>350.63594574837515</v>
      </c>
      <c r="EI178" s="1070">
        <f>SUM(EG178:EH178)</f>
        <v>728.12871197208915</v>
      </c>
      <c r="EJ178" s="233">
        <f>EJ175*EJ173</f>
        <v>411.46711518384825</v>
      </c>
      <c r="EK178" s="233">
        <f>EK175*EK173</f>
        <v>382.19318086572895</v>
      </c>
      <c r="EL178" s="1070">
        <f>SUM(EJ178:EK178)</f>
        <v>793.66029604957725</v>
      </c>
      <c r="EM178" s="233">
        <f>EM175*EM173</f>
        <v>448.49915555039462</v>
      </c>
      <c r="EN178" s="233">
        <f>EN175*EN173</f>
        <v>416.59056714364453</v>
      </c>
      <c r="EO178" s="1070">
        <f>SUM(EM178:EN178)</f>
        <v>865.08972269403921</v>
      </c>
      <c r="EP178" s="233">
        <f>EP175*EP173</f>
        <v>488.86407954993018</v>
      </c>
      <c r="EQ178" s="233">
        <f>EQ175*EQ173</f>
        <v>454.08371818657258</v>
      </c>
      <c r="ER178" s="1070">
        <f>SUM(EP178:EQ178)</f>
        <v>942.94779773650271</v>
      </c>
      <c r="ES178" s="233">
        <f>ES175*ES173</f>
        <v>532.86184670942396</v>
      </c>
      <c r="ET178" s="233">
        <f>ET175*ET173</f>
        <v>494.9512528233642</v>
      </c>
      <c r="EU178" s="1070">
        <f>SUM(ES178:ET178)</f>
        <v>1027.8130995327881</v>
      </c>
      <c r="EV178" s="233">
        <f>EV175*EV173</f>
        <v>580.81941291327212</v>
      </c>
      <c r="EW178" s="233">
        <f>EW175*EW173</f>
        <v>539.49686557746702</v>
      </c>
      <c r="EX178" s="1070">
        <f>SUM(EV178:EW178)</f>
        <v>1120.316278490739</v>
      </c>
      <c r="EY178" s="233">
        <f>EY175*EY173</f>
        <v>633.09316007546659</v>
      </c>
      <c r="EZ178" s="233">
        <f>EZ175*EZ173</f>
        <v>588.05158347943905</v>
      </c>
      <c r="FA178" s="1070">
        <f>SUM(EY178:EZ178)</f>
        <v>1221.1447435549057</v>
      </c>
    </row>
    <row r="179" spans="1:173" ht="13.35" customHeight="1" outlineLevel="1">
      <c r="D179" s="162" t="s">
        <v>209</v>
      </c>
      <c r="BA179" s="70"/>
      <c r="BB179" s="70"/>
      <c r="BC179" s="1024"/>
      <c r="BD179" s="65">
        <f t="shared" ref="BD179:CI179" si="1098">BD178/BA178-1</f>
        <v>4.8467696500399837E-2</v>
      </c>
      <c r="BE179" s="65">
        <f t="shared" si="1098"/>
        <v>-0.16320444901361231</v>
      </c>
      <c r="BF179" s="64">
        <f t="shared" si="1098"/>
        <v>-7.7820512688077659E-2</v>
      </c>
      <c r="BG179" s="65">
        <f t="shared" si="1098"/>
        <v>0.50298458844337413</v>
      </c>
      <c r="BH179" s="65">
        <f t="shared" si="1098"/>
        <v>0.27937603789629306</v>
      </c>
      <c r="BI179" s="64">
        <f t="shared" si="1098"/>
        <v>0.38192717111751096</v>
      </c>
      <c r="BJ179" s="65">
        <f t="shared" si="1098"/>
        <v>-0.10082500000000016</v>
      </c>
      <c r="BK179" s="65">
        <f t="shared" si="1098"/>
        <v>-0.1674865000000002</v>
      </c>
      <c r="BL179" s="64">
        <f t="shared" si="1098"/>
        <v>-0.13423612783687011</v>
      </c>
      <c r="BM179" s="65">
        <f t="shared" si="1098"/>
        <v>0.21810000000000018</v>
      </c>
      <c r="BN179" s="65">
        <f t="shared" si="1098"/>
        <v>0.42097234285714302</v>
      </c>
      <c r="BO179" s="64">
        <f t="shared" si="1098"/>
        <v>0.31587565289966757</v>
      </c>
      <c r="BP179" s="65">
        <f t="shared" si="1098"/>
        <v>0.34030299262587693</v>
      </c>
      <c r="BQ179" s="65">
        <f t="shared" si="1098"/>
        <v>0.34718749999999998</v>
      </c>
      <c r="BR179" s="64">
        <f t="shared" si="1098"/>
        <v>0.34388603152525077</v>
      </c>
      <c r="BS179" s="65">
        <f t="shared" si="1098"/>
        <v>5.0805520332486198E-2</v>
      </c>
      <c r="BT179" s="65">
        <f t="shared" si="1098"/>
        <v>4.9390363933167203E-2</v>
      </c>
      <c r="BU179" s="65">
        <f t="shared" si="1098"/>
        <v>5.0067193421864387E-2</v>
      </c>
      <c r="BV179" s="65">
        <f t="shared" si="1098"/>
        <v>0.20619941866887026</v>
      </c>
      <c r="BW179" s="65">
        <f t="shared" si="1098"/>
        <v>8.7505097385746966E-2</v>
      </c>
      <c r="BX179" s="65">
        <f t="shared" si="1098"/>
        <v>0.14431316667330152</v>
      </c>
      <c r="BY179" s="65">
        <f t="shared" si="1098"/>
        <v>0.13753880811126784</v>
      </c>
      <c r="BZ179" s="65">
        <f t="shared" si="1098"/>
        <v>0.37145530000000027</v>
      </c>
      <c r="CA179" s="65">
        <f t="shared" si="1098"/>
        <v>0.25344629467205593</v>
      </c>
      <c r="CB179" s="65">
        <f t="shared" si="1098"/>
        <v>-2.7052010000000459E-3</v>
      </c>
      <c r="CC179" s="65">
        <f t="shared" si="1098"/>
        <v>-4.1860750000000002E-2</v>
      </c>
      <c r="CD179" s="65">
        <f t="shared" si="1098"/>
        <v>-2.3933729448286978E-2</v>
      </c>
      <c r="CE179" s="65">
        <f t="shared" si="1098"/>
        <v>0.29078300000000001</v>
      </c>
      <c r="CF179" s="65">
        <f t="shared" si="1098"/>
        <v>0.21404349999999983</v>
      </c>
      <c r="CG179" s="65">
        <f t="shared" si="1098"/>
        <v>0.24994214139836934</v>
      </c>
      <c r="CH179" s="65">
        <f t="shared" si="1098"/>
        <v>4.5794677528845362E-3</v>
      </c>
      <c r="CI179" s="65">
        <f t="shared" si="1098"/>
        <v>-9.2681674917866386E-2</v>
      </c>
      <c r="CJ179" s="65">
        <f t="shared" ref="CJ179:DO179" si="1099">CJ178/CG178-1</f>
        <v>-4.5696403308898126E-2</v>
      </c>
      <c r="CK179" s="65">
        <f t="shared" si="1099"/>
        <v>-4.3644920830749001E-2</v>
      </c>
      <c r="CL179" s="65">
        <f t="shared" si="1099"/>
        <v>5.1200467187218379E-2</v>
      </c>
      <c r="CM179" s="65">
        <f t="shared" si="1099"/>
        <v>2.9683497114125768E-3</v>
      </c>
      <c r="CN179" s="65">
        <f t="shared" si="1099"/>
        <v>-0.15066311815637423</v>
      </c>
      <c r="CO179" s="65">
        <f t="shared" si="1099"/>
        <v>1.2968658526860022E-2</v>
      </c>
      <c r="CP179" s="65">
        <f t="shared" si="1099"/>
        <v>-6.6376365740957177E-2</v>
      </c>
      <c r="CQ179" s="65">
        <f t="shared" si="1099"/>
        <v>0.31220491634108316</v>
      </c>
      <c r="CR179" s="65">
        <f t="shared" si="1099"/>
        <v>0.12552304844316131</v>
      </c>
      <c r="CS179" s="65">
        <f t="shared" si="1099"/>
        <v>0.20787280798264329</v>
      </c>
      <c r="CT179" s="65">
        <f t="shared" si="1099"/>
        <v>-0.1792352289930178</v>
      </c>
      <c r="CU179" s="65">
        <f t="shared" si="1099"/>
        <v>-0.13595125389066209</v>
      </c>
      <c r="CV179" s="65">
        <f t="shared" si="1099"/>
        <v>-0.15669407359021026</v>
      </c>
      <c r="CW179" s="65">
        <f t="shared" si="1099"/>
        <v>0.26760090278780835</v>
      </c>
      <c r="CX179" s="65">
        <f t="shared" si="1099"/>
        <v>0.25565958025968061</v>
      </c>
      <c r="CY179" s="65">
        <f t="shared" si="1099"/>
        <v>0.26122921400578147</v>
      </c>
      <c r="CZ179" s="65">
        <f t="shared" si="1099"/>
        <v>0.18022350093692396</v>
      </c>
      <c r="DA179" s="65">
        <f t="shared" si="1099"/>
        <v>9.8195175984611804E-2</v>
      </c>
      <c r="DB179" s="65">
        <f t="shared" si="1099"/>
        <v>0.136647852104683</v>
      </c>
      <c r="DC179" s="65">
        <f t="shared" si="1099"/>
        <v>-5.9200000000000252E-2</v>
      </c>
      <c r="DD179" s="65">
        <f t="shared" si="1099"/>
        <v>-8.329999999999993E-2</v>
      </c>
      <c r="DE179" s="65">
        <f t="shared" si="1099"/>
        <v>-7.1569457644779066E-2</v>
      </c>
      <c r="DF179" s="65">
        <f t="shared" si="1099"/>
        <v>5.600000000000005E-2</v>
      </c>
      <c r="DG179" s="65">
        <f t="shared" si="1099"/>
        <v>-0.21362500000000006</v>
      </c>
      <c r="DH179" s="1066">
        <f t="shared" si="1099"/>
        <v>-8.0638028091908676E-2</v>
      </c>
      <c r="DI179" s="65">
        <f t="shared" si="1099"/>
        <v>7.9134829844462073E-2</v>
      </c>
      <c r="DJ179" s="65">
        <f t="shared" si="1099"/>
        <v>0.29899957587472681</v>
      </c>
      <c r="DK179" s="1066">
        <f t="shared" si="1099"/>
        <v>0.17443862351807216</v>
      </c>
      <c r="DL179" s="65">
        <f t="shared" si="1099"/>
        <v>-5.5514654761175675E-2</v>
      </c>
      <c r="DM179" s="65">
        <f t="shared" si="1099"/>
        <v>6.9137855126678582E-2</v>
      </c>
      <c r="DN179" s="1066">
        <f t="shared" si="1099"/>
        <v>4.2486082506432155E-3</v>
      </c>
      <c r="DO179" s="65">
        <f t="shared" si="1099"/>
        <v>9.1199521422450136E-2</v>
      </c>
      <c r="DP179" s="65">
        <f t="shared" ref="DP179:EF179" si="1100">DP178/DM178-1</f>
        <v>0.28216812802938551</v>
      </c>
      <c r="DQ179" s="1066">
        <f t="shared" si="1100"/>
        <v>0.18867328201589562</v>
      </c>
      <c r="DR179" s="65">
        <f t="shared" si="1100"/>
        <v>0.29983136161156421</v>
      </c>
      <c r="DS179" s="65">
        <f t="shared" si="1100"/>
        <v>3.6226907953476051E-2</v>
      </c>
      <c r="DT179" s="1066">
        <f t="shared" si="1100"/>
        <v>0.15470010291387237</v>
      </c>
      <c r="DU179" s="65">
        <f t="shared" si="1100"/>
        <v>6.7800147202564887E-2</v>
      </c>
      <c r="DV179" s="65">
        <f t="shared" ref="DV179" si="1101">DV178/DS178-1</f>
        <v>1.9961364830135997E-2</v>
      </c>
      <c r="DW179" s="1066">
        <f t="shared" ref="DW179" si="1102">DW178/DT178-1</f>
        <v>4.4164146376034719E-2</v>
      </c>
      <c r="DX179" s="65">
        <f t="shared" si="1100"/>
        <v>1.1895427464521546E-2</v>
      </c>
      <c r="DY179" s="65">
        <f t="shared" si="1100"/>
        <v>0.24299999999999988</v>
      </c>
      <c r="DZ179" s="1066">
        <f t="shared" si="1100"/>
        <v>0.12343201738521459</v>
      </c>
      <c r="EA179" s="65">
        <f t="shared" si="1100"/>
        <v>0.31999999999999984</v>
      </c>
      <c r="EB179" s="65">
        <f t="shared" si="1100"/>
        <v>7.0000000000000062E-2</v>
      </c>
      <c r="EC179" s="1066">
        <f t="shared" si="1100"/>
        <v>0.18650249026516974</v>
      </c>
      <c r="ED179" s="65">
        <f t="shared" si="1100"/>
        <v>9.000000000000008E-2</v>
      </c>
      <c r="EE179" s="65">
        <f t="shared" si="1100"/>
        <v>9.0000000000000302E-2</v>
      </c>
      <c r="EF179" s="1066">
        <f t="shared" si="1100"/>
        <v>9.0000000000000302E-2</v>
      </c>
      <c r="EG179" s="65">
        <f t="shared" ref="EG179:EL179" si="1103">EG178/ED178-1</f>
        <v>8.9999999999999858E-2</v>
      </c>
      <c r="EH179" s="65">
        <f t="shared" si="1103"/>
        <v>8.9999999999999858E-2</v>
      </c>
      <c r="EI179" s="1066">
        <f t="shared" si="1103"/>
        <v>8.9999999999999858E-2</v>
      </c>
      <c r="EJ179" s="65">
        <f t="shared" si="1103"/>
        <v>9.000000000000008E-2</v>
      </c>
      <c r="EK179" s="65">
        <f t="shared" si="1103"/>
        <v>9.000000000000008E-2</v>
      </c>
      <c r="EL179" s="1066">
        <f t="shared" si="1103"/>
        <v>9.000000000000008E-2</v>
      </c>
      <c r="EM179" s="65">
        <f t="shared" ref="EM179:ER179" si="1104">EM178/EJ178-1</f>
        <v>9.000000000000008E-2</v>
      </c>
      <c r="EN179" s="65">
        <f t="shared" si="1104"/>
        <v>8.9999999999999858E-2</v>
      </c>
      <c r="EO179" s="1066">
        <f t="shared" si="1104"/>
        <v>9.000000000000008E-2</v>
      </c>
      <c r="EP179" s="65">
        <f t="shared" si="1104"/>
        <v>9.000000000000008E-2</v>
      </c>
      <c r="EQ179" s="65">
        <f t="shared" si="1104"/>
        <v>9.000000000000008E-2</v>
      </c>
      <c r="ER179" s="1066">
        <f t="shared" si="1104"/>
        <v>8.9999999999999858E-2</v>
      </c>
      <c r="ES179" s="65">
        <f t="shared" ref="ES179" si="1105">ES178/EP178-1</f>
        <v>9.000000000000008E-2</v>
      </c>
      <c r="ET179" s="65">
        <f t="shared" ref="ET179" si="1106">ET178/EQ178-1</f>
        <v>9.000000000000008E-2</v>
      </c>
      <c r="EU179" s="1066">
        <f t="shared" ref="EU179" si="1107">EU178/ER178-1</f>
        <v>9.000000000000008E-2</v>
      </c>
      <c r="EV179" s="65">
        <f t="shared" ref="EV179" si="1108">EV178/ES178-1</f>
        <v>9.000000000000008E-2</v>
      </c>
      <c r="EW179" s="65">
        <f t="shared" ref="EW179" si="1109">EW178/ET178-1</f>
        <v>9.000000000000008E-2</v>
      </c>
      <c r="EX179" s="1066">
        <f t="shared" ref="EX179" si="1110">EX178/EU178-1</f>
        <v>9.000000000000008E-2</v>
      </c>
      <c r="EY179" s="65">
        <f t="shared" ref="EY179" si="1111">EY178/EV178-1</f>
        <v>8.9999999999999858E-2</v>
      </c>
      <c r="EZ179" s="65">
        <f t="shared" ref="EZ179" si="1112">EZ178/EW178-1</f>
        <v>9.000000000000008E-2</v>
      </c>
      <c r="FA179" s="1066">
        <f t="shared" ref="FA179" si="1113">FA178/EX178-1</f>
        <v>9.000000000000008E-2</v>
      </c>
    </row>
    <row r="180" spans="1:173" ht="13.35" customHeight="1" outlineLevel="1">
      <c r="B180" s="35" t="str">
        <f>B178</f>
        <v>Cochlear system revenue</v>
      </c>
      <c r="D180" s="162" t="s">
        <v>908</v>
      </c>
      <c r="BA180" s="70"/>
      <c r="BB180" s="70"/>
      <c r="BC180" s="1024"/>
      <c r="BD180" s="70">
        <f>BD178/BD75</f>
        <v>56.4</v>
      </c>
      <c r="BE180" s="70">
        <f>BE178/BE75</f>
        <v>63.199999999999996</v>
      </c>
      <c r="BF180" s="1024">
        <f>SUM(BD180:BE180)</f>
        <v>119.6</v>
      </c>
      <c r="BG180" s="70">
        <f>BG178/BG75</f>
        <v>78.40000000000002</v>
      </c>
      <c r="BH180" s="70">
        <f>BH178/BH75</f>
        <v>69.539360369826895</v>
      </c>
      <c r="BI180" s="1024">
        <f>SUM(BG180:BH180)</f>
        <v>147.93936036982691</v>
      </c>
      <c r="BJ180" s="70">
        <f>BJ178/BJ75</f>
        <v>56.63791603102743</v>
      </c>
      <c r="BK180" s="70">
        <f>BK178/BK75</f>
        <v>52.493355474444471</v>
      </c>
      <c r="BL180" s="1024">
        <f>SUM(BJ180:BK180)</f>
        <v>109.1312715054719</v>
      </c>
      <c r="BM180" s="70">
        <f>BM178/BM75</f>
        <v>64.742140346065327</v>
      </c>
      <c r="BN180" s="70">
        <f>BN178/BN75</f>
        <v>66.841829033686224</v>
      </c>
      <c r="BO180" s="1024">
        <f>SUM(BM180:BN180)</f>
        <v>131.58396937975155</v>
      </c>
      <c r="BP180" s="70">
        <f>BP178/BP75</f>
        <v>85.894617382658495</v>
      </c>
      <c r="BQ180" s="70">
        <f>BQ178/BQ75</f>
        <v>92.449769259354341</v>
      </c>
      <c r="BR180" s="1024">
        <f>SUM(BP180:BQ180)</f>
        <v>178.34438664201284</v>
      </c>
      <c r="BS180" s="70">
        <f>BS178/BS75</f>
        <v>89.055090937710347</v>
      </c>
      <c r="BT180" s="70">
        <f>BT178/BT75</f>
        <v>90.952403445572983</v>
      </c>
      <c r="BU180" s="70">
        <f>SUM(BS180:BT180)</f>
        <v>180.00749438328333</v>
      </c>
      <c r="BV180" s="70">
        <f>BV178/BV75</f>
        <v>92.733000896586191</v>
      </c>
      <c r="BW180" s="70">
        <f>BW178/BW75</f>
        <v>85.730186233192285</v>
      </c>
      <c r="BX180" s="70">
        <f>SUM(BV180:BW180)</f>
        <v>178.46318712977848</v>
      </c>
      <c r="BY180" s="70">
        <f>BY178/BY75</f>
        <v>114.55534684433317</v>
      </c>
      <c r="BZ180" s="70">
        <f>BZ178/BZ75</f>
        <v>121.58766268832349</v>
      </c>
      <c r="CA180" s="70">
        <f>SUM(BY180:BZ180)</f>
        <v>236.14300953265666</v>
      </c>
      <c r="CB180" s="70">
        <f>CB178/CB75</f>
        <v>104.86818972034055</v>
      </c>
      <c r="CC180" s="70">
        <f>CC178/CC75</f>
        <v>116.49791193744325</v>
      </c>
      <c r="CD180" s="70">
        <f>SUM(CB180:CC180)</f>
        <v>221.36610165778382</v>
      </c>
      <c r="CE180" s="70">
        <f>CE178/CE75</f>
        <v>125.08271197906275</v>
      </c>
      <c r="CF180" s="70">
        <f>CF178/CF75</f>
        <v>121.06312867331161</v>
      </c>
      <c r="CG180" s="70">
        <f>SUM(CE180:CF180)</f>
        <v>246.14584065237437</v>
      </c>
      <c r="CH180" s="70">
        <f>CH178/CH75</f>
        <v>115.06128384361564</v>
      </c>
      <c r="CI180" s="70">
        <f>CI178/CI75</f>
        <v>111.199404741484</v>
      </c>
      <c r="CJ180" s="70">
        <f>SUM(CH180:CI180)</f>
        <v>226.26068858509964</v>
      </c>
      <c r="CK180" s="70">
        <f>CK178/CK75</f>
        <v>110.4557364649946</v>
      </c>
      <c r="CL180" s="70">
        <f>CL178/CL75</f>
        <v>117.66569391765273</v>
      </c>
      <c r="CM180" s="70">
        <f>SUM(CK180:CL180)</f>
        <v>228.12143038264733</v>
      </c>
      <c r="CN180" s="70">
        <f>CN178/CN75</f>
        <v>108.16221832746258</v>
      </c>
      <c r="CO180" s="74">
        <f>CO178/CO75</f>
        <v>133.27600000000004</v>
      </c>
      <c r="CP180" s="70">
        <f>SUM(CN180:CO180)</f>
        <v>241.43821832746261</v>
      </c>
      <c r="CQ180" s="70">
        <f>CQ178/CQ75</f>
        <v>141.930994651654</v>
      </c>
      <c r="CR180" s="70">
        <f>CR178/CR75</f>
        <v>185.50000000000006</v>
      </c>
      <c r="CS180" s="70">
        <f>SUM(CQ180:CR180)</f>
        <v>327.43099465165403</v>
      </c>
      <c r="CT180" s="70">
        <f>CT178/CT75</f>
        <v>143.46162564147241</v>
      </c>
      <c r="CU180" s="70">
        <f>CU178/CU75</f>
        <v>161.67999999999998</v>
      </c>
      <c r="CV180" s="70">
        <f>SUM(CT180:CU180)</f>
        <v>305.14162564147239</v>
      </c>
      <c r="CW180" s="70">
        <f>CW178/CW75</f>
        <v>174.40599423796013</v>
      </c>
      <c r="CX180" s="70">
        <f>CX178/CX75</f>
        <v>197.43813897723902</v>
      </c>
      <c r="CY180" s="70">
        <f>SUM(CW180:CX180)</f>
        <v>371.84413321519912</v>
      </c>
      <c r="CZ180" s="70">
        <f>CZ178/CZ75</f>
        <v>199.01969641657305</v>
      </c>
      <c r="DA180" s="70">
        <f>DA178/DA75</f>
        <v>214.67882354473593</v>
      </c>
      <c r="DB180" s="70">
        <f>SUM(CZ180:DA180)</f>
        <v>413.69851996130899</v>
      </c>
      <c r="DC180" s="70">
        <f>DC178/DC75</f>
        <v>201.57686733851381</v>
      </c>
      <c r="DD180" s="70">
        <f>DD178/DD75</f>
        <v>209.08016444510255</v>
      </c>
      <c r="DE180" s="70">
        <f>SUM(DC180:DD180)</f>
        <v>410.65703178361639</v>
      </c>
      <c r="DF180" s="70">
        <f>DF178/DF75</f>
        <v>223.78293569323276</v>
      </c>
      <c r="DG180" s="70">
        <f>DG178/DG75</f>
        <v>178.6398387964509</v>
      </c>
      <c r="DH180" s="1070">
        <f>SUM(DF180:DG180)</f>
        <v>402.42277448968366</v>
      </c>
      <c r="DI180" s="1152">
        <f>+DI118*DI91</f>
        <v>229.98221593968765</v>
      </c>
      <c r="DJ180" s="1152">
        <f t="shared" ref="DJ180" si="1114">+DJ118*DJ91</f>
        <v>206.48299800133245</v>
      </c>
      <c r="DK180" s="1153">
        <f>SUM(DI180:DJ180)</f>
        <v>436.46521394102012</v>
      </c>
      <c r="DL180" s="1152">
        <f>+DL118*DL91</f>
        <v>218.1385502269103</v>
      </c>
      <c r="DM180" s="1152">
        <f t="shared" ref="DM180" si="1115">+DM118*DM91</f>
        <v>226.16552434003401</v>
      </c>
      <c r="DN180" s="1153">
        <f>SUM(DL180:DM180)</f>
        <v>444.30407456694434</v>
      </c>
      <c r="DO180" s="1152">
        <f>+DO118*DO91</f>
        <v>255.60119914826851</v>
      </c>
      <c r="DP180" s="1152">
        <f t="shared" ref="DP180" si="1116">+DP118*DP91</f>
        <v>310.37101749106637</v>
      </c>
      <c r="DQ180" s="1153">
        <f>SUM(DO180:DP180)</f>
        <v>565.97221663933487</v>
      </c>
      <c r="DR180" s="1152">
        <f>+DR118*DR91</f>
        <v>340.96631938207287</v>
      </c>
      <c r="DS180" s="1152">
        <f t="shared" ref="DS180" si="1117">+DS118*DS91</f>
        <v>330.37633647798737</v>
      </c>
      <c r="DT180" s="1153">
        <f>SUM(DR180:DS180)</f>
        <v>671.34265586006018</v>
      </c>
      <c r="DU180" s="1152">
        <f>+DU118*DU91</f>
        <v>359.61804427728867</v>
      </c>
      <c r="DV180" s="1152">
        <f t="shared" ref="DV180" si="1118">+DV118*DV91</f>
        <v>349.99293363690026</v>
      </c>
      <c r="DW180" s="1153">
        <f>SUM(DU180:DV180)</f>
        <v>709.61097791418888</v>
      </c>
      <c r="DX180" s="1152">
        <f>+DX118*DX91</f>
        <v>367.23299319727892</v>
      </c>
      <c r="DY180" s="1154">
        <f>DY178/DY75</f>
        <v>386.8388937836786</v>
      </c>
      <c r="DZ180" s="1153">
        <f>SUM(DX180:DY180)</f>
        <v>754.07188698095752</v>
      </c>
      <c r="EA180" s="1154">
        <f>EA178/EA75</f>
        <v>445.62147115476961</v>
      </c>
      <c r="EB180" s="1154">
        <f>EB178/EB75</f>
        <v>413.91761634853617</v>
      </c>
      <c r="EC180" s="1153">
        <f>SUM(EA180:EB180)</f>
        <v>859.53908750330584</v>
      </c>
      <c r="ED180" s="1154">
        <f>ED178/ED75</f>
        <v>485.72740355869894</v>
      </c>
      <c r="EE180" s="1154">
        <f>EE178/EE75</f>
        <v>451.17020181990449</v>
      </c>
      <c r="EF180" s="1153">
        <f>SUM(ED180:EE180)</f>
        <v>936.89760537860343</v>
      </c>
      <c r="EG180" s="1154">
        <f>EG178/EG75</f>
        <v>529.44286987898181</v>
      </c>
      <c r="EH180" s="1154">
        <f>EH178/EH75</f>
        <v>491.77551998369586</v>
      </c>
      <c r="EI180" s="1153">
        <f>SUM(EG180:EH180)</f>
        <v>1021.2183898626777</v>
      </c>
      <c r="EJ180" s="1154">
        <f>EJ178/EJ75</f>
        <v>577.09272816809016</v>
      </c>
      <c r="EK180" s="1154">
        <f>EK178/EK75</f>
        <v>536.03531678222862</v>
      </c>
      <c r="EL180" s="1153">
        <f>SUM(EJ180:EK180)</f>
        <v>1113.1280449503188</v>
      </c>
      <c r="EM180" s="1154">
        <f>EM178/EM75</f>
        <v>629.03107370321834</v>
      </c>
      <c r="EN180" s="1154">
        <f>EN178/EN75</f>
        <v>584.27849529262915</v>
      </c>
      <c r="EO180" s="1153">
        <f>SUM(EM180:EN180)</f>
        <v>1213.3095689958475</v>
      </c>
      <c r="EP180" s="1154">
        <f>EP178/EP75</f>
        <v>685.64387033650803</v>
      </c>
      <c r="EQ180" s="1154">
        <f>EQ178/EQ75</f>
        <v>636.86355986896581</v>
      </c>
      <c r="ER180" s="1153">
        <f>SUM(EP180:EQ180)</f>
        <v>1322.5074302054738</v>
      </c>
      <c r="ES180" s="1154">
        <f>ES178/ES75</f>
        <v>747.35181866679386</v>
      </c>
      <c r="ET180" s="1154">
        <f>ET178/ET75</f>
        <v>694.18128025717283</v>
      </c>
      <c r="EU180" s="1153">
        <f>SUM(ES180:ET180)</f>
        <v>1441.5330989239667</v>
      </c>
      <c r="EV180" s="1154">
        <f>EV178/EV75</f>
        <v>814.6134823468052</v>
      </c>
      <c r="EW180" s="1154">
        <f>EW178/EW75</f>
        <v>756.65759548031849</v>
      </c>
      <c r="EX180" s="1153">
        <f>SUM(EV180:EW180)</f>
        <v>1571.2710778271237</v>
      </c>
      <c r="EY180" s="1154">
        <f>EY178/EY75</f>
        <v>887.92869575801774</v>
      </c>
      <c r="EZ180" s="1154">
        <f>EZ178/EZ75</f>
        <v>824.75677907354714</v>
      </c>
      <c r="FA180" s="1153">
        <f>SUM(EY180:EZ180)</f>
        <v>1712.685474831565</v>
      </c>
    </row>
    <row r="181" spans="1:173" ht="13.35" customHeight="1" outlineLevel="1">
      <c r="D181" s="162" t="s">
        <v>209</v>
      </c>
      <c r="BA181" s="70"/>
      <c r="BB181" s="70"/>
      <c r="BC181" s="1024"/>
      <c r="BD181" s="65"/>
      <c r="BE181" s="65"/>
      <c r="BF181" s="64"/>
      <c r="BG181" s="65">
        <f t="shared" ref="BG181:CL181" si="1119">BG180/BD180-1</f>
        <v>0.39007092198581605</v>
      </c>
      <c r="BH181" s="65">
        <f t="shared" si="1119"/>
        <v>0.10030633496561547</v>
      </c>
      <c r="BI181" s="64">
        <f t="shared" si="1119"/>
        <v>0.23695117366076013</v>
      </c>
      <c r="BJ181" s="65">
        <f t="shared" si="1119"/>
        <v>-0.27757760164505851</v>
      </c>
      <c r="BK181" s="65">
        <f t="shared" si="1119"/>
        <v>-0.24512743293478267</v>
      </c>
      <c r="BL181" s="64">
        <f t="shared" si="1119"/>
        <v>-0.26232429805928881</v>
      </c>
      <c r="BM181" s="65">
        <f t="shared" si="1119"/>
        <v>0.14308832109215031</v>
      </c>
      <c r="BN181" s="65">
        <f t="shared" si="1119"/>
        <v>0.273338852690167</v>
      </c>
      <c r="BO181" s="64">
        <f t="shared" si="1119"/>
        <v>0.20574027558318941</v>
      </c>
      <c r="BP181" s="65">
        <f t="shared" si="1119"/>
        <v>0.3267188406735877</v>
      </c>
      <c r="BQ181" s="65">
        <f t="shared" si="1119"/>
        <v>0.38311249999999997</v>
      </c>
      <c r="BR181" s="64">
        <f t="shared" si="1119"/>
        <v>0.3553656078523566</v>
      </c>
      <c r="BS181" s="65">
        <f t="shared" si="1119"/>
        <v>3.6794780061386367E-2</v>
      </c>
      <c r="BT181" s="65">
        <f t="shared" si="1119"/>
        <v>-1.6196533812655733E-2</v>
      </c>
      <c r="BU181" s="65">
        <f t="shared" si="1119"/>
        <v>9.3252598110016294E-3</v>
      </c>
      <c r="BV181" s="65">
        <f t="shared" si="1119"/>
        <v>4.1299266781372079E-2</v>
      </c>
      <c r="BW181" s="65">
        <f t="shared" si="1119"/>
        <v>-5.7417033685159713E-2</v>
      </c>
      <c r="BX181" s="65">
        <f t="shared" si="1119"/>
        <v>-8.5791275457488547E-3</v>
      </c>
      <c r="BY181" s="65">
        <f t="shared" si="1119"/>
        <v>0.23532448790353278</v>
      </c>
      <c r="BZ181" s="65">
        <f t="shared" si="1119"/>
        <v>0.41825963561535118</v>
      </c>
      <c r="CA181" s="65">
        <f t="shared" si="1119"/>
        <v>0.32320291557347014</v>
      </c>
      <c r="CB181" s="65">
        <f t="shared" si="1119"/>
        <v>-8.4563116352450063E-2</v>
      </c>
      <c r="CC181" s="65">
        <f t="shared" si="1119"/>
        <v>-4.1860750000000002E-2</v>
      </c>
      <c r="CD181" s="65">
        <f t="shared" si="1119"/>
        <v>-6.257609701899447E-2</v>
      </c>
      <c r="CE181" s="65">
        <f t="shared" si="1119"/>
        <v>0.19276123972989034</v>
      </c>
      <c r="CF181" s="65">
        <f t="shared" si="1119"/>
        <v>3.9187112111672695E-2</v>
      </c>
      <c r="CG181" s="65">
        <f t="shared" si="1119"/>
        <v>0.11194007939344863</v>
      </c>
      <c r="CH181" s="65">
        <f t="shared" si="1119"/>
        <v>-8.0118411064868611E-2</v>
      </c>
      <c r="CI181" s="65">
        <f t="shared" si="1119"/>
        <v>-8.1475871637555541E-2</v>
      </c>
      <c r="CJ181" s="65">
        <f t="shared" si="1119"/>
        <v>-8.0786057625722885E-2</v>
      </c>
      <c r="CK181" s="65">
        <f t="shared" si="1119"/>
        <v>-4.0026907616297902E-2</v>
      </c>
      <c r="CL181" s="65">
        <f t="shared" si="1119"/>
        <v>5.8150393801131628E-2</v>
      </c>
      <c r="CM181" s="65">
        <f t="shared" ref="CM181:DR181" si="1120">CM180/CJ180-1</f>
        <v>8.2238846225726192E-3</v>
      </c>
      <c r="CN181" s="65">
        <f t="shared" si="1120"/>
        <v>-2.0764137843206298E-2</v>
      </c>
      <c r="CO181" s="65">
        <f t="shared" si="1120"/>
        <v>0.13266658753801286</v>
      </c>
      <c r="CP181" s="65">
        <f t="shared" si="1120"/>
        <v>5.8375874298516761E-2</v>
      </c>
      <c r="CQ181" s="65">
        <f t="shared" si="1120"/>
        <v>0.31220491634108316</v>
      </c>
      <c r="CR181" s="65">
        <f t="shared" si="1120"/>
        <v>0.39184849485278672</v>
      </c>
      <c r="CS181" s="65">
        <f t="shared" si="1120"/>
        <v>0.35616886555863925</v>
      </c>
      <c r="CT181" s="65">
        <f t="shared" si="1120"/>
        <v>1.078433215785668E-2</v>
      </c>
      <c r="CU181" s="65">
        <f t="shared" si="1120"/>
        <v>-0.12840970350404346</v>
      </c>
      <c r="CV181" s="65">
        <f t="shared" si="1120"/>
        <v>-6.8073485327480254E-2</v>
      </c>
      <c r="CW181" s="65">
        <f t="shared" si="1120"/>
        <v>0.21569788058739392</v>
      </c>
      <c r="CX181" s="65">
        <f t="shared" si="1120"/>
        <v>0.2211661243025671</v>
      </c>
      <c r="CY181" s="65">
        <f t="shared" si="1120"/>
        <v>0.21859524223712157</v>
      </c>
      <c r="CZ181" s="65">
        <f t="shared" si="1120"/>
        <v>0.14112876272492048</v>
      </c>
      <c r="DA181" s="65">
        <f t="shared" si="1120"/>
        <v>8.7321956420407965E-2</v>
      </c>
      <c r="DB181" s="65">
        <f t="shared" si="1120"/>
        <v>0.11255895416235395</v>
      </c>
      <c r="DC181" s="65">
        <f t="shared" si="1120"/>
        <v>1.284883339681242E-2</v>
      </c>
      <c r="DD181" s="65">
        <f t="shared" si="1120"/>
        <v>-2.6079233187462969E-2</v>
      </c>
      <c r="DE181" s="65">
        <f t="shared" si="1120"/>
        <v>-7.3519435795348365E-3</v>
      </c>
      <c r="DF181" s="65">
        <f t="shared" si="1120"/>
        <v>0.11016178913737984</v>
      </c>
      <c r="DG181" s="65">
        <f t="shared" si="1120"/>
        <v>-0.14559164772727284</v>
      </c>
      <c r="DH181" s="1066">
        <f t="shared" si="1120"/>
        <v>-2.0051421640507883E-2</v>
      </c>
      <c r="DI181" s="65">
        <f t="shared" si="1120"/>
        <v>2.7702202704825707E-2</v>
      </c>
      <c r="DJ181" s="65">
        <f t="shared" si="1120"/>
        <v>0.15586198124936246</v>
      </c>
      <c r="DK181" s="1066">
        <f t="shared" si="1120"/>
        <v>8.4593719862167349E-2</v>
      </c>
      <c r="DL181" s="65">
        <f t="shared" si="1120"/>
        <v>-5.1498180693603457E-2</v>
      </c>
      <c r="DM181" s="65">
        <f t="shared" si="1120"/>
        <v>9.5322745839706124E-2</v>
      </c>
      <c r="DN181" s="1066">
        <f t="shared" si="1120"/>
        <v>1.7959874866416037E-2</v>
      </c>
      <c r="DO181" s="65">
        <f t="shared" si="1120"/>
        <v>0.17173786514299794</v>
      </c>
      <c r="DP181" s="65">
        <f t="shared" si="1120"/>
        <v>0.37231798876840116</v>
      </c>
      <c r="DQ181" s="1066">
        <f t="shared" si="1120"/>
        <v>0.27383980709827704</v>
      </c>
      <c r="DR181" s="65">
        <f t="shared" si="1120"/>
        <v>0.33397777677985774</v>
      </c>
      <c r="DS181" s="65">
        <f t="shared" ref="DS181:EF181" si="1121">DS180/DP180-1</f>
        <v>6.4456143968071533E-2</v>
      </c>
      <c r="DT181" s="1066">
        <f t="shared" si="1121"/>
        <v>0.18617599260684647</v>
      </c>
      <c r="DU181" s="65">
        <f t="shared" si="1121"/>
        <v>5.4702543433081674E-2</v>
      </c>
      <c r="DV181" s="65">
        <f t="shared" ref="DV181" si="1122">DV180/DS180-1</f>
        <v>5.9376520025731017E-2</v>
      </c>
      <c r="DW181" s="1066">
        <f t="shared" ref="DW181" si="1123">DW180/DT180-1</f>
        <v>5.7002667296781606E-2</v>
      </c>
      <c r="DX181" s="65">
        <f t="shared" si="1121"/>
        <v>2.117510242094145E-2</v>
      </c>
      <c r="DY181" s="65">
        <f t="shared" si="1121"/>
        <v>0.10527629733520305</v>
      </c>
      <c r="DZ181" s="1066">
        <f t="shared" si="1121"/>
        <v>6.2655328694964485E-2</v>
      </c>
      <c r="EA181" s="65">
        <f t="shared" si="1121"/>
        <v>0.2134570678821881</v>
      </c>
      <c r="EB181" s="65">
        <f t="shared" si="1121"/>
        <v>7.0000000000000284E-2</v>
      </c>
      <c r="EC181" s="1066">
        <f t="shared" si="1121"/>
        <v>0.13986358905992691</v>
      </c>
      <c r="ED181" s="65">
        <f t="shared" si="1121"/>
        <v>9.000000000000008E-2</v>
      </c>
      <c r="EE181" s="65">
        <f t="shared" si="1121"/>
        <v>9.000000000000008E-2</v>
      </c>
      <c r="EF181" s="1066">
        <f t="shared" si="1121"/>
        <v>9.000000000000008E-2</v>
      </c>
      <c r="EG181" s="65">
        <f t="shared" ref="EG181:EL181" si="1124">EG180/ED180-1</f>
        <v>8.9999999999999858E-2</v>
      </c>
      <c r="EH181" s="65">
        <f t="shared" si="1124"/>
        <v>8.9999999999999858E-2</v>
      </c>
      <c r="EI181" s="1066">
        <f t="shared" si="1124"/>
        <v>8.9999999999999858E-2</v>
      </c>
      <c r="EJ181" s="65">
        <f t="shared" si="1124"/>
        <v>9.000000000000008E-2</v>
      </c>
      <c r="EK181" s="65">
        <f t="shared" si="1124"/>
        <v>9.0000000000000302E-2</v>
      </c>
      <c r="EL181" s="1066">
        <f t="shared" si="1124"/>
        <v>9.000000000000008E-2</v>
      </c>
      <c r="EM181" s="65">
        <f t="shared" ref="EM181:ER181" si="1125">EM180/EJ180-1</f>
        <v>9.000000000000008E-2</v>
      </c>
      <c r="EN181" s="65">
        <f t="shared" si="1125"/>
        <v>8.9999999999999858E-2</v>
      </c>
      <c r="EO181" s="1066">
        <f t="shared" si="1125"/>
        <v>9.000000000000008E-2</v>
      </c>
      <c r="EP181" s="65">
        <f t="shared" si="1125"/>
        <v>9.000000000000008E-2</v>
      </c>
      <c r="EQ181" s="65">
        <f t="shared" si="1125"/>
        <v>9.000000000000008E-2</v>
      </c>
      <c r="ER181" s="1066">
        <f t="shared" si="1125"/>
        <v>9.000000000000008E-2</v>
      </c>
      <c r="ES181" s="65">
        <f t="shared" ref="ES181" si="1126">ES180/EP180-1</f>
        <v>9.000000000000008E-2</v>
      </c>
      <c r="ET181" s="65">
        <f t="shared" ref="ET181" si="1127">ET180/EQ180-1</f>
        <v>9.000000000000008E-2</v>
      </c>
      <c r="EU181" s="1066">
        <f t="shared" ref="EU181" si="1128">EU180/ER180-1</f>
        <v>9.000000000000008E-2</v>
      </c>
      <c r="EV181" s="65">
        <f t="shared" ref="EV181" si="1129">EV180/ES180-1</f>
        <v>8.9999999999999858E-2</v>
      </c>
      <c r="EW181" s="65">
        <f t="shared" ref="EW181" si="1130">EW180/ET180-1</f>
        <v>9.000000000000008E-2</v>
      </c>
      <c r="EX181" s="1066">
        <f t="shared" ref="EX181" si="1131">EX180/EU180-1</f>
        <v>9.000000000000008E-2</v>
      </c>
      <c r="EY181" s="65">
        <f t="shared" ref="EY181" si="1132">EY180/EV180-1</f>
        <v>9.000000000000008E-2</v>
      </c>
      <c r="EZ181" s="65">
        <f t="shared" ref="EZ181" si="1133">EZ180/EW180-1</f>
        <v>9.000000000000008E-2</v>
      </c>
      <c r="FA181" s="1066">
        <f t="shared" ref="FA181" si="1134">FA180/EX180-1</f>
        <v>9.000000000000008E-2</v>
      </c>
    </row>
    <row r="182" spans="1:173" ht="13.35" customHeight="1" outlineLevel="1">
      <c r="A182" s="1426" t="s">
        <v>738</v>
      </c>
      <c r="BA182" s="35"/>
      <c r="BB182" s="35"/>
      <c r="BC182" s="322"/>
      <c r="BD182" s="35"/>
      <c r="BE182" s="35"/>
      <c r="BG182" s="35"/>
      <c r="BH182" s="35"/>
      <c r="BJ182" s="35"/>
      <c r="BK182" s="35"/>
      <c r="BL182" s="31"/>
      <c r="BM182" s="35"/>
      <c r="BN182" s="35"/>
      <c r="BO182" s="31"/>
      <c r="BP182" s="35"/>
      <c r="BQ182" s="35"/>
      <c r="BR182" s="1024"/>
      <c r="BS182" s="74"/>
      <c r="BT182" s="74"/>
      <c r="BU182" s="74"/>
      <c r="BV182" s="74"/>
      <c r="BW182" s="74"/>
      <c r="BX182" s="74"/>
      <c r="BY182" s="74"/>
      <c r="BZ182" s="74"/>
      <c r="CA182" s="74"/>
      <c r="CB182" s="74"/>
      <c r="CC182" s="74"/>
      <c r="CD182" s="74"/>
      <c r="CE182" s="74"/>
      <c r="CF182" s="74"/>
      <c r="CG182" s="74"/>
      <c r="CH182" s="70"/>
      <c r="CI182" s="70"/>
      <c r="CJ182" s="70"/>
      <c r="CK182" s="35"/>
      <c r="CL182" s="35"/>
      <c r="CN182" s="35"/>
      <c r="CO182" s="35"/>
      <c r="CQ182" s="35"/>
      <c r="CR182" s="181"/>
      <c r="CT182" s="70">
        <f>+CT124</f>
        <v>72.713000000000008</v>
      </c>
      <c r="CU182" s="181"/>
      <c r="CW182" s="70">
        <f>+CW124</f>
        <v>82.472013910523415</v>
      </c>
      <c r="CX182" s="35"/>
      <c r="CZ182" s="35"/>
      <c r="DA182" s="35"/>
      <c r="DC182" s="35"/>
      <c r="DD182" s="35"/>
      <c r="DF182" s="35"/>
      <c r="DG182" s="35"/>
      <c r="DH182" s="1067"/>
      <c r="DI182" s="35"/>
      <c r="DJ182" s="35"/>
      <c r="DK182" s="1067"/>
      <c r="DL182" s="35"/>
      <c r="DM182" s="70"/>
      <c r="DN182" s="1074"/>
      <c r="DO182" s="35"/>
      <c r="DP182" s="1028"/>
      <c r="DQ182" s="1067"/>
      <c r="DR182" s="35"/>
      <c r="DS182" s="35"/>
      <c r="DT182" s="1067"/>
      <c r="DU182" s="35"/>
      <c r="DV182" s="35"/>
      <c r="DW182" s="1067"/>
      <c r="DX182" s="35"/>
      <c r="DY182" s="35"/>
      <c r="DZ182" s="1067"/>
      <c r="EA182" s="35"/>
      <c r="EB182" s="35"/>
      <c r="EC182" s="1067"/>
      <c r="ED182" s="35"/>
      <c r="EE182" s="35"/>
      <c r="EF182" s="1067"/>
      <c r="EG182" s="35"/>
      <c r="EH182" s="35"/>
      <c r="EI182" s="1067"/>
      <c r="EJ182" s="35"/>
      <c r="EK182" s="35"/>
      <c r="EL182" s="1067"/>
      <c r="EM182" s="35"/>
      <c r="EN182" s="35"/>
      <c r="EO182" s="1067"/>
      <c r="EP182" s="35"/>
      <c r="EQ182" s="35"/>
      <c r="ER182" s="1067"/>
      <c r="ES182" s="35"/>
      <c r="ET182" s="35"/>
      <c r="EU182" s="1067"/>
      <c r="EV182" s="35"/>
      <c r="EW182" s="35"/>
      <c r="EX182" s="1067"/>
      <c r="EY182" s="35"/>
      <c r="EZ182" s="35"/>
      <c r="FA182" s="1067"/>
    </row>
    <row r="183" spans="1:173" s="321" customFormat="1" ht="13.35" customHeight="1" outlineLevel="1">
      <c r="A183" s="1168"/>
      <c r="B183" s="186" t="s">
        <v>397</v>
      </c>
      <c r="C183" s="186"/>
      <c r="D183" s="910" t="s">
        <v>98</v>
      </c>
      <c r="E183" s="186"/>
      <c r="F183" s="186"/>
      <c r="G183" s="186"/>
      <c r="H183" s="186"/>
      <c r="I183" s="186"/>
      <c r="J183" s="186"/>
      <c r="K183" s="186"/>
      <c r="L183" s="186"/>
      <c r="M183" s="186"/>
      <c r="N183" s="186"/>
      <c r="O183" s="186"/>
      <c r="P183" s="186"/>
      <c r="Q183" s="186"/>
      <c r="R183" s="186"/>
      <c r="S183" s="186"/>
      <c r="T183" s="186"/>
      <c r="U183" s="186"/>
      <c r="V183" s="186"/>
      <c r="W183" s="186"/>
      <c r="X183" s="186"/>
      <c r="Y183" s="186"/>
      <c r="Z183" s="186"/>
      <c r="AA183" s="186"/>
      <c r="AB183" s="186"/>
      <c r="AC183" s="186"/>
      <c r="AD183" s="186"/>
      <c r="AE183" s="186"/>
      <c r="AF183" s="186"/>
      <c r="AG183" s="186"/>
      <c r="AH183" s="186"/>
      <c r="AI183" s="186"/>
      <c r="AJ183" s="186"/>
      <c r="AK183" s="186"/>
      <c r="AL183" s="186"/>
      <c r="AM183" s="186"/>
      <c r="AN183" s="186"/>
      <c r="AO183" s="186"/>
      <c r="AP183" s="186"/>
      <c r="AQ183" s="186"/>
      <c r="AR183" s="186"/>
      <c r="AS183" s="186"/>
      <c r="AT183" s="186"/>
      <c r="AU183" s="186"/>
      <c r="AV183" s="186"/>
      <c r="AW183" s="186"/>
      <c r="AX183" s="186"/>
      <c r="AY183" s="186"/>
      <c r="AZ183" s="186"/>
      <c r="BA183" s="186"/>
      <c r="BB183" s="186"/>
      <c r="BC183" s="331"/>
      <c r="BD183" s="186"/>
      <c r="BE183" s="186"/>
      <c r="BF183" s="331"/>
      <c r="BG183" s="186"/>
      <c r="BH183" s="186"/>
      <c r="BI183" s="331"/>
      <c r="BJ183" s="186"/>
      <c r="BK183" s="186"/>
      <c r="BL183" s="331"/>
      <c r="BM183" s="184">
        <f>(6300*0.52)*0.36</f>
        <v>1179.3599999999999</v>
      </c>
      <c r="BN183" s="184">
        <f>BM183*(1+BN184)</f>
        <v>1544.9615999999999</v>
      </c>
      <c r="BO183" s="58">
        <f>SUM(BM183:BN183)</f>
        <v>2724.3215999999998</v>
      </c>
      <c r="BP183" s="184">
        <f>BM183*(1+BP184)</f>
        <v>1474.1999999999998</v>
      </c>
      <c r="BQ183" s="184">
        <f>BP183*(1+BQ184)</f>
        <v>1547.9099999999999</v>
      </c>
      <c r="BR183" s="58">
        <f>SUM(BP183:BQ183)</f>
        <v>3022.1099999999997</v>
      </c>
      <c r="BS183" s="184">
        <f>BP183*(1+BS184)</f>
        <v>1905.5130484862557</v>
      </c>
      <c r="BT183" s="184">
        <f>BQ183*(1+BT184)</f>
        <v>1872.3690999329212</v>
      </c>
      <c r="BU183" s="184">
        <f>SUM(BS183:BT183)</f>
        <v>3777.8821484191767</v>
      </c>
      <c r="BV183" s="184">
        <f>BS183*(1+BV184)</f>
        <v>2225.8259109780797</v>
      </c>
      <c r="BW183" s="184">
        <f>BT183*(1+BW184)</f>
        <v>2183.6876758273279</v>
      </c>
      <c r="BX183" s="184">
        <f>SUM(BV183:BW183)</f>
        <v>4409.5135868054076</v>
      </c>
      <c r="BY183" s="184">
        <f>BV183*(1+BY184)</f>
        <v>2642.4232299302853</v>
      </c>
      <c r="BZ183" s="184">
        <f>BW183*(1+BZ184)</f>
        <v>2470.1125010241594</v>
      </c>
      <c r="CA183" s="184">
        <f>SUM(BY183:BZ183)</f>
        <v>5112.5357309544452</v>
      </c>
      <c r="CB183" s="184">
        <f>BY183*(1+CB184)</f>
        <v>2827.5249771869017</v>
      </c>
      <c r="CC183" s="184">
        <f>BZ183*(1+CC184)</f>
        <v>2567.6325425645932</v>
      </c>
      <c r="CD183" s="184">
        <f>SUM(CB183:CC183)</f>
        <v>5395.1575197514949</v>
      </c>
      <c r="CE183" s="184">
        <f>CB183*(1+CE184)</f>
        <v>2576.5821354615641</v>
      </c>
      <c r="CF183" s="184">
        <f>CC183*(1+CF184)</f>
        <v>2380.0156326793985</v>
      </c>
      <c r="CG183" s="184">
        <f>SUM(CE183:CF183)</f>
        <v>4956.5977681409622</v>
      </c>
      <c r="CH183" s="184">
        <f>CE183*(1+CH184)</f>
        <v>2756.9428849438737</v>
      </c>
      <c r="CI183" s="184">
        <f>CF183*(1+CI184)</f>
        <v>2406.2948171744156</v>
      </c>
      <c r="CJ183" s="184">
        <f>SUM(CH183:CI183)</f>
        <v>5163.2377021182892</v>
      </c>
      <c r="CK183" s="184">
        <f>CH183*(1+CK184)</f>
        <v>2787.3839500028039</v>
      </c>
      <c r="CL183" s="184">
        <f>CI183*(1+CL184)</f>
        <v>2432.8641659558521</v>
      </c>
      <c r="CM183" s="184">
        <f>SUM(CK183:CL183)</f>
        <v>5220.2481159586559</v>
      </c>
      <c r="CN183" s="184">
        <f>CK183*(1+CN184)</f>
        <v>2818.161133175382</v>
      </c>
      <c r="CO183" s="184">
        <f>CL183*(1+CO184)</f>
        <v>2459.7268829021664</v>
      </c>
      <c r="CP183" s="184">
        <f>SUM(CN183:CO183)</f>
        <v>5277.8880160775479</v>
      </c>
      <c r="CQ183" s="184">
        <f>CN183*(1+CQ184)</f>
        <v>3537.4407401033741</v>
      </c>
      <c r="CR183" s="184">
        <f>CO183*(1+CR184)</f>
        <v>2799.0948369573025</v>
      </c>
      <c r="CS183" s="184">
        <f>SUM(CQ183:CR183)</f>
        <v>6336.5355770606766</v>
      </c>
      <c r="CT183" s="184">
        <f>CQ183*(1+CT184)</f>
        <v>4074.5463326806184</v>
      </c>
      <c r="CU183" s="184">
        <f>CR183*(1+CU184)</f>
        <v>3236.1617962912414</v>
      </c>
      <c r="CV183" s="184">
        <f>SUM(CT183:CU183)</f>
        <v>7310.7081289718599</v>
      </c>
      <c r="CW183" s="184">
        <f>CT183*(1+CW184)</f>
        <v>4693.877375248072</v>
      </c>
      <c r="CX183" s="184">
        <f>CU183*(1+CX184)</f>
        <v>4105.159530718418</v>
      </c>
      <c r="CY183" s="184">
        <f>SUM(CW183:CX183)</f>
        <v>8799.0369059664899</v>
      </c>
      <c r="CZ183" s="184">
        <f>CW183*(1+CZ184)</f>
        <v>4880.0618968978342</v>
      </c>
      <c r="DA183" s="184">
        <f>CX183*(1+DA184)</f>
        <v>3957.8459021175095</v>
      </c>
      <c r="DB183" s="184">
        <f>SUM(CZ183:DA183)</f>
        <v>8837.9077990153437</v>
      </c>
      <c r="DC183" s="184">
        <f>CZ183*(1+DC184)</f>
        <v>4365.1417270145912</v>
      </c>
      <c r="DD183" s="184">
        <f>DA183*(1+DD184)</f>
        <v>3225.7694593800261</v>
      </c>
      <c r="DE183" s="184">
        <f>SUM(DC183:DD183)</f>
        <v>7590.9111863946173</v>
      </c>
      <c r="DF183" s="184">
        <f>DC183*(1+DF184)</f>
        <v>4125.0589320287881</v>
      </c>
      <c r="DG183" s="184">
        <f>DD183*(1+DG184)</f>
        <v>1684.8193024747491</v>
      </c>
      <c r="DH183" s="1060">
        <f>SUM(DF183:DG183)</f>
        <v>5809.878234503537</v>
      </c>
      <c r="DI183" s="234">
        <f>+DI188/DI185</f>
        <v>5242.495060991364</v>
      </c>
      <c r="DJ183" s="234">
        <f>+DJ188/DJ185</f>
        <v>4429.8248814408398</v>
      </c>
      <c r="DK183" s="1060">
        <f>SUM(DI183:DJ183)</f>
        <v>9672.3199424322047</v>
      </c>
      <c r="DL183" s="234">
        <f>+DL188/DL185</f>
        <v>6777.470713126253</v>
      </c>
      <c r="DM183" s="234">
        <f>+DM188/DM185</f>
        <v>5365.2138741856952</v>
      </c>
      <c r="DN183" s="1060">
        <f>SUM(DL183:DM183)</f>
        <v>12142.684587311949</v>
      </c>
      <c r="DO183" s="234">
        <f>+DO188/DO185</f>
        <v>7908.1624113151674</v>
      </c>
      <c r="DP183" s="234">
        <f>+DP188/DP185</f>
        <v>6250.5755627109547</v>
      </c>
      <c r="DQ183" s="1060">
        <f>SUM(DO183:DP183)</f>
        <v>14158.737974026122</v>
      </c>
      <c r="DR183" s="234">
        <f>+DR188/DR185</f>
        <v>7803.4439210232094</v>
      </c>
      <c r="DS183" s="234">
        <f>+DS188/DS185</f>
        <v>6932.2457644080378</v>
      </c>
      <c r="DT183" s="1060">
        <f>SUM(DR183:DS183)</f>
        <v>14735.689685431247</v>
      </c>
      <c r="DU183" s="234">
        <f>+DU188/DU185</f>
        <v>9027.2817884485321</v>
      </c>
      <c r="DV183" s="234">
        <f>+DV188/DV185</f>
        <v>6260.1630814277851</v>
      </c>
      <c r="DW183" s="1060">
        <f>SUM(DU183:DV183)</f>
        <v>15287.444869876317</v>
      </c>
      <c r="DX183" s="234">
        <f>+DX188/DX185</f>
        <v>9140.9736345820602</v>
      </c>
      <c r="DY183" s="234">
        <f>DV183*(1+DY184)</f>
        <v>7042.6834666062587</v>
      </c>
      <c r="DZ183" s="1060">
        <f>SUM(DX183:DY183)</f>
        <v>16183.657101188319</v>
      </c>
      <c r="EA183" s="234">
        <f>DX183*(1+EA184)</f>
        <v>10146.480734386088</v>
      </c>
      <c r="EB183" s="234">
        <f>DY183*(1+EB184)</f>
        <v>7394.817639936572</v>
      </c>
      <c r="EC183" s="1060">
        <f>SUM(EA183:EB183)</f>
        <v>17541.298374322661</v>
      </c>
      <c r="ED183" s="234">
        <f>EA183*(1+ED184)</f>
        <v>10856.734385793116</v>
      </c>
      <c r="EE183" s="234">
        <f>EB183*(1+EE184)</f>
        <v>7912.4548747321323</v>
      </c>
      <c r="EF183" s="1060">
        <f>SUM(ED183:EE183)</f>
        <v>18769.189260525247</v>
      </c>
      <c r="EG183" s="234">
        <f>ED183*(1+EG184)</f>
        <v>11833.840480514496</v>
      </c>
      <c r="EH183" s="234">
        <f>EE183*(1+EH184)</f>
        <v>8624.5758134580246</v>
      </c>
      <c r="EI183" s="1060">
        <f>SUM(EG183:EH183)</f>
        <v>20458.416293972521</v>
      </c>
      <c r="EJ183" s="234">
        <f>EG183*(1+EJ184)</f>
        <v>12898.886123760802</v>
      </c>
      <c r="EK183" s="234">
        <f>EH183*(1+EK184)</f>
        <v>9400.7876366692471</v>
      </c>
      <c r="EL183" s="1060">
        <f>SUM(EJ183:EK183)</f>
        <v>22299.673760430051</v>
      </c>
      <c r="EM183" s="234">
        <f>EJ183*(1+EM184)</f>
        <v>14059.785874899275</v>
      </c>
      <c r="EN183" s="234">
        <f>EK183*(1+EN184)</f>
        <v>10246.85852396948</v>
      </c>
      <c r="EO183" s="1060">
        <f>SUM(EM183:EN183)</f>
        <v>24306.644398868753</v>
      </c>
      <c r="EP183" s="234">
        <f>EM183*(1+EP184)</f>
        <v>15325.166603640211</v>
      </c>
      <c r="EQ183" s="234">
        <f>EN183*(1+EQ184)</f>
        <v>11169.075791126734</v>
      </c>
      <c r="ER183" s="1060">
        <f>SUM(EP183:EQ183)</f>
        <v>26494.242394766945</v>
      </c>
      <c r="ES183" s="234">
        <f>EP183*(1+ES184)</f>
        <v>16704.431597967832</v>
      </c>
      <c r="ET183" s="234">
        <f>EQ183*(1+ET184)</f>
        <v>12174.292612328141</v>
      </c>
      <c r="EU183" s="1060">
        <f>SUM(ES183:ET183)</f>
        <v>28878.724210295972</v>
      </c>
      <c r="EV183" s="234">
        <f>ES183*(1+EV184)</f>
        <v>18207.830441784939</v>
      </c>
      <c r="EW183" s="234">
        <f>ET183*(1+EW184)</f>
        <v>13269.978947437676</v>
      </c>
      <c r="EX183" s="1060">
        <f>SUM(EV183:EW183)</f>
        <v>31477.809389222617</v>
      </c>
      <c r="EY183" s="234">
        <f>EV183*(1+EY184)</f>
        <v>19846.535181545587</v>
      </c>
      <c r="EZ183" s="234">
        <f>EW183*(1+EZ184)</f>
        <v>14464.277052707068</v>
      </c>
      <c r="FA183" s="1060">
        <f>SUM(EY183:EZ183)</f>
        <v>34310.812234252655</v>
      </c>
      <c r="FH183" s="35"/>
      <c r="FI183" s="35"/>
      <c r="FJ183" s="35"/>
      <c r="FK183" s="35"/>
      <c r="FL183" s="35"/>
      <c r="FM183" s="35"/>
      <c r="FN183" s="35"/>
      <c r="FO183" s="35"/>
      <c r="FP183" s="35"/>
      <c r="FQ183" s="35"/>
    </row>
    <row r="184" spans="1:173" s="321" customFormat="1" ht="13.35" customHeight="1" outlineLevel="1">
      <c r="A184" s="1427"/>
      <c r="B184" s="186"/>
      <c r="C184" s="186"/>
      <c r="D184" s="910" t="s">
        <v>209</v>
      </c>
      <c r="E184" s="1"/>
      <c r="F184" s="1"/>
      <c r="G184" s="5"/>
      <c r="H184" s="1"/>
      <c r="I184" s="1"/>
      <c r="J184" s="5"/>
      <c r="K184" s="1"/>
      <c r="L184" s="1"/>
      <c r="M184" s="5"/>
      <c r="N184" s="1"/>
      <c r="O184" s="1"/>
      <c r="P184" s="5"/>
      <c r="Q184" s="1"/>
      <c r="R184" s="1"/>
      <c r="S184" s="5"/>
      <c r="T184" s="1"/>
      <c r="U184" s="1"/>
      <c r="V184" s="5"/>
      <c r="W184" s="1"/>
      <c r="X184" s="1"/>
      <c r="Y184" s="5"/>
      <c r="Z184" s="1"/>
      <c r="AA184" s="1"/>
      <c r="AB184" s="5"/>
      <c r="AC184" s="1"/>
      <c r="AD184" s="1"/>
      <c r="AE184" s="5"/>
      <c r="AF184" s="1"/>
      <c r="AG184" s="1"/>
      <c r="AH184" s="5"/>
      <c r="AI184" s="1"/>
      <c r="AJ184" s="1"/>
      <c r="AK184" s="5"/>
      <c r="AL184" s="1"/>
      <c r="AM184" s="1"/>
      <c r="AN184" s="5"/>
      <c r="AO184" s="1"/>
      <c r="AP184" s="1"/>
      <c r="AQ184" s="5"/>
      <c r="AR184" s="1"/>
      <c r="AS184" s="1"/>
      <c r="AT184" s="5"/>
      <c r="AU184" s="1"/>
      <c r="AV184" s="1"/>
      <c r="AW184" s="5"/>
      <c r="AX184" s="1"/>
      <c r="AY184" s="1"/>
      <c r="AZ184" s="5"/>
      <c r="BA184" s="89"/>
      <c r="BB184" s="89"/>
      <c r="BC184" s="944"/>
      <c r="BD184" s="89"/>
      <c r="BE184" s="89"/>
      <c r="BF184" s="944"/>
      <c r="BG184" s="89"/>
      <c r="BH184" s="89"/>
      <c r="BI184" s="944"/>
      <c r="BJ184" s="108"/>
      <c r="BK184" s="108"/>
      <c r="BL184" s="109"/>
      <c r="BM184" s="110"/>
      <c r="BN184" s="112">
        <v>0.31</v>
      </c>
      <c r="BO184" s="113"/>
      <c r="BP184" s="112">
        <v>0.25</v>
      </c>
      <c r="BQ184" s="112">
        <v>0.05</v>
      </c>
      <c r="BR184" s="114">
        <f>(BR183-BO183)/BO183</f>
        <v>0.10930735930735928</v>
      </c>
      <c r="BS184" s="29">
        <v>0.29257431046415411</v>
      </c>
      <c r="BT184" s="29">
        <v>0.20961108845664239</v>
      </c>
      <c r="BU184" s="4">
        <f>(BU183-BR183)/BR183</f>
        <v>0.25008095285055049</v>
      </c>
      <c r="BV184" s="29">
        <v>0.16809796329984811</v>
      </c>
      <c r="BW184" s="29">
        <v>0.166269874836943</v>
      </c>
      <c r="BX184" s="185">
        <f>(BX183-BU183)/BU183</f>
        <v>0.16719193812081506</v>
      </c>
      <c r="BY184" s="29">
        <v>0.18716527509967876</v>
      </c>
      <c r="BZ184" s="29">
        <v>0.13116565540368058</v>
      </c>
      <c r="CA184" s="185">
        <f>(CA183-BX183)/BX183</f>
        <v>0.15943303729751315</v>
      </c>
      <c r="CB184" s="29">
        <v>7.0050000000000001E-2</v>
      </c>
      <c r="CC184" s="29">
        <v>3.9480000000000001E-2</v>
      </c>
      <c r="CD184" s="185">
        <f>(CD183-CA183)/CA183</f>
        <v>5.528015913627421E-2</v>
      </c>
      <c r="CE184" s="29">
        <v>-8.8749999999999996E-2</v>
      </c>
      <c r="CF184" s="29">
        <v>-7.3069999999999996E-2</v>
      </c>
      <c r="CG184" s="185">
        <f>(CG183-CD183)/CD183</f>
        <v>-8.1287663984782613E-2</v>
      </c>
      <c r="CH184" s="159">
        <v>7.0000000000000007E-2</v>
      </c>
      <c r="CI184" s="29">
        <v>1.1041601632436438E-2</v>
      </c>
      <c r="CJ184" s="185">
        <f>(CJ183-CG183)/CG183</f>
        <v>4.1689873506687646E-2</v>
      </c>
      <c r="CK184" s="4">
        <f>CI184</f>
        <v>1.1041601632436438E-2</v>
      </c>
      <c r="CL184" s="4">
        <f>CK184</f>
        <v>1.1041601632436438E-2</v>
      </c>
      <c r="CM184" s="185">
        <f>(CM183-CJ183)/CJ183</f>
        <v>1.1041601632436447E-2</v>
      </c>
      <c r="CN184" s="4">
        <f>CM184</f>
        <v>1.1041601632436447E-2</v>
      </c>
      <c r="CO184" s="4">
        <f>CN184</f>
        <v>1.1041601632436447E-2</v>
      </c>
      <c r="CP184" s="185">
        <f>(CP183-CM183)/CM183</f>
        <v>1.1041601632436374E-2</v>
      </c>
      <c r="CQ184" s="29">
        <v>0.25523012096811465</v>
      </c>
      <c r="CR184" s="29">
        <v>0.13796977071483843</v>
      </c>
      <c r="CS184" s="185">
        <f>(CS183-CP183)/CP183</f>
        <v>0.20058166405923492</v>
      </c>
      <c r="CT184" s="29">
        <v>0.15183451315188634</v>
      </c>
      <c r="CU184" s="29">
        <v>0.15614582027132856</v>
      </c>
      <c r="CV184" s="185">
        <f>(CV183-CS183)/CS183</f>
        <v>0.15373898561192517</v>
      </c>
      <c r="CW184" s="29">
        <v>0.152</v>
      </c>
      <c r="CX184" s="29">
        <v>0.26852728297549266</v>
      </c>
      <c r="CY184" s="4">
        <f>(CY183-CV183)/CV183</f>
        <v>0.20358202662974331</v>
      </c>
      <c r="CZ184" s="29">
        <v>3.966539957595782E-2</v>
      </c>
      <c r="DA184" s="29">
        <v>-3.5884994845773552E-2</v>
      </c>
      <c r="DB184" s="4">
        <f>(DB183-CY183)/CY183</f>
        <v>4.4176304139031414E-3</v>
      </c>
      <c r="DC184" s="265">
        <v>-0.10551508992346346</v>
      </c>
      <c r="DD184" s="265">
        <v>-0.18496840474405815</v>
      </c>
      <c r="DE184" s="4">
        <f>(DE183-DB183)/DB183</f>
        <v>-0.14109635911337046</v>
      </c>
      <c r="DF184" s="265">
        <v>-5.5E-2</v>
      </c>
      <c r="DG184" s="29">
        <v>-0.47770002670973216</v>
      </c>
      <c r="DH184" s="1110">
        <f>(DH183-DE183)/DE183</f>
        <v>-0.23462703068944751</v>
      </c>
      <c r="DI184" s="265"/>
      <c r="DJ184" s="4"/>
      <c r="DK184" s="1110"/>
      <c r="DL184" s="185">
        <v>0.06</v>
      </c>
      <c r="DM184" s="185">
        <v>4.2000000000000003E-2</v>
      </c>
      <c r="DN184" s="1082">
        <f>(DN183-DK183)/DK183</f>
        <v>0.25540559654590433</v>
      </c>
      <c r="DO184" s="185">
        <v>2.1999999999999999E-2</v>
      </c>
      <c r="DP184" s="185">
        <v>0.27300000000000002</v>
      </c>
      <c r="DQ184" s="1082">
        <f>(DQ183-DN183)/DN183</f>
        <v>0.16603028533087105</v>
      </c>
      <c r="DR184" s="185">
        <v>0.05</v>
      </c>
      <c r="DS184" s="185">
        <v>0.06</v>
      </c>
      <c r="DT184" s="1082">
        <f>(DT183-DQ183)/DQ183</f>
        <v>4.074880914270252E-2</v>
      </c>
      <c r="DU184" s="185">
        <v>0.05</v>
      </c>
      <c r="DV184" s="185">
        <v>0.06</v>
      </c>
      <c r="DW184" s="1082">
        <f>(DW183-DT183)/DT183</f>
        <v>3.7443458448407373E-2</v>
      </c>
      <c r="DX184" s="185">
        <v>0.05</v>
      </c>
      <c r="DY184" s="1141">
        <v>0.125</v>
      </c>
      <c r="DZ184" s="1142">
        <f>DY184</f>
        <v>0.125</v>
      </c>
      <c r="EA184" s="1143">
        <v>0.11</v>
      </c>
      <c r="EB184" s="1143">
        <v>0.05</v>
      </c>
      <c r="EC184" s="1142">
        <f>EB184</f>
        <v>0.05</v>
      </c>
      <c r="ED184" s="1143">
        <v>7.0000000000000007E-2</v>
      </c>
      <c r="EE184" s="1143">
        <f>+ED184</f>
        <v>7.0000000000000007E-2</v>
      </c>
      <c r="EF184" s="1142">
        <f>EE184</f>
        <v>7.0000000000000007E-2</v>
      </c>
      <c r="EG184" s="1143">
        <v>0.09</v>
      </c>
      <c r="EH184" s="1143">
        <f>+EG184</f>
        <v>0.09</v>
      </c>
      <c r="EI184" s="1142">
        <f>EH184</f>
        <v>0.09</v>
      </c>
      <c r="EJ184" s="1143">
        <f>+EH184</f>
        <v>0.09</v>
      </c>
      <c r="EK184" s="1143">
        <f>+EJ184</f>
        <v>0.09</v>
      </c>
      <c r="EL184" s="1142">
        <f>EK184</f>
        <v>0.09</v>
      </c>
      <c r="EM184" s="1143">
        <f>+EK184</f>
        <v>0.09</v>
      </c>
      <c r="EN184" s="1143">
        <f>+EM184</f>
        <v>0.09</v>
      </c>
      <c r="EO184" s="1142">
        <f>EN184</f>
        <v>0.09</v>
      </c>
      <c r="EP184" s="1143">
        <f>+EN184</f>
        <v>0.09</v>
      </c>
      <c r="EQ184" s="1143">
        <f>+EP184</f>
        <v>0.09</v>
      </c>
      <c r="ER184" s="1142">
        <f>EQ184</f>
        <v>0.09</v>
      </c>
      <c r="ES184" s="1143">
        <f>+EQ184</f>
        <v>0.09</v>
      </c>
      <c r="ET184" s="1143">
        <f>+ES184</f>
        <v>0.09</v>
      </c>
      <c r="EU184" s="1142">
        <f>ET184</f>
        <v>0.09</v>
      </c>
      <c r="EV184" s="1143">
        <f>+ET184</f>
        <v>0.09</v>
      </c>
      <c r="EW184" s="1143">
        <f>+EV184</f>
        <v>0.09</v>
      </c>
      <c r="EX184" s="1142">
        <f>EW184</f>
        <v>0.09</v>
      </c>
      <c r="EY184" s="1143">
        <f>+EW184</f>
        <v>0.09</v>
      </c>
      <c r="EZ184" s="1143">
        <f>+EY184</f>
        <v>0.09</v>
      </c>
      <c r="FA184" s="1142">
        <f>EZ184</f>
        <v>0.09</v>
      </c>
      <c r="FH184" s="35"/>
      <c r="FI184" s="35"/>
      <c r="FJ184" s="35"/>
      <c r="FK184" s="35"/>
      <c r="FL184" s="35"/>
      <c r="FM184" s="35"/>
      <c r="FN184" s="35"/>
      <c r="FO184" s="35"/>
      <c r="FP184" s="35"/>
      <c r="FQ184" s="35"/>
    </row>
    <row r="185" spans="1:173" s="321" customFormat="1" ht="13.35" customHeight="1" outlineLevel="1">
      <c r="A185" s="1168"/>
      <c r="B185" s="186" t="s">
        <v>739</v>
      </c>
      <c r="C185" s="186"/>
      <c r="D185" s="910" t="s">
        <v>39</v>
      </c>
      <c r="E185" s="186"/>
      <c r="F185" s="186"/>
      <c r="G185" s="186"/>
      <c r="H185" s="186"/>
      <c r="I185" s="186"/>
      <c r="J185" s="186"/>
      <c r="K185" s="186"/>
      <c r="L185" s="186"/>
      <c r="M185" s="186"/>
      <c r="N185" s="186"/>
      <c r="O185" s="186"/>
      <c r="P185" s="186"/>
      <c r="Q185" s="186"/>
      <c r="R185" s="186"/>
      <c r="S185" s="186"/>
      <c r="T185" s="186"/>
      <c r="U185" s="186"/>
      <c r="V185" s="186"/>
      <c r="W185" s="186"/>
      <c r="X185" s="186"/>
      <c r="Y185" s="186"/>
      <c r="Z185" s="186"/>
      <c r="AA185" s="186"/>
      <c r="AB185" s="186"/>
      <c r="AC185" s="186"/>
      <c r="AD185" s="186"/>
      <c r="AE185" s="186"/>
      <c r="AF185" s="186"/>
      <c r="AG185" s="186"/>
      <c r="AH185" s="186"/>
      <c r="AI185" s="186"/>
      <c r="AJ185" s="186"/>
      <c r="AK185" s="186"/>
      <c r="AL185" s="186"/>
      <c r="AM185" s="186"/>
      <c r="AN185" s="186"/>
      <c r="AO185" s="186"/>
      <c r="AP185" s="186"/>
      <c r="AQ185" s="186"/>
      <c r="AR185" s="186"/>
      <c r="AS185" s="186"/>
      <c r="AT185" s="186"/>
      <c r="AU185" s="186"/>
      <c r="AV185" s="186"/>
      <c r="AW185" s="186"/>
      <c r="AX185" s="186"/>
      <c r="AY185" s="186"/>
      <c r="AZ185" s="186"/>
      <c r="BA185" s="186"/>
      <c r="BB185" s="186"/>
      <c r="BC185" s="331"/>
      <c r="BD185" s="186"/>
      <c r="BE185" s="186"/>
      <c r="BF185" s="331"/>
      <c r="BG185" s="186"/>
      <c r="BH185" s="186"/>
      <c r="BI185" s="331"/>
      <c r="BJ185" s="186"/>
      <c r="BK185" s="186"/>
      <c r="BL185" s="331"/>
      <c r="BM185" s="187">
        <v>4.9387685879408319E-3</v>
      </c>
      <c r="BN185" s="187">
        <f>BM185</f>
        <v>4.9387685879408319E-3</v>
      </c>
      <c r="BO185" s="978">
        <f>BN185</f>
        <v>4.9387685879408319E-3</v>
      </c>
      <c r="BP185" s="187">
        <f>BN185</f>
        <v>4.9387685879408319E-3</v>
      </c>
      <c r="BQ185" s="187">
        <f>BO185</f>
        <v>4.9387685879408319E-3</v>
      </c>
      <c r="BR185" s="978">
        <f>BR188/BR183</f>
        <v>4.9387685879408319E-3</v>
      </c>
      <c r="BS185" s="1029">
        <f>BP185*(1+BS186)</f>
        <v>4.9387685879408319E-3</v>
      </c>
      <c r="BT185" s="1029">
        <f>BQ185*(1+BT186)</f>
        <v>4.9387685879408319E-3</v>
      </c>
      <c r="BU185" s="187">
        <f>BU188/BU183</f>
        <v>4.9387685879408319E-3</v>
      </c>
      <c r="BV185" s="187">
        <f>BS185*(1+BV186)</f>
        <v>4.9387685879408319E-3</v>
      </c>
      <c r="BW185" s="187">
        <f>BT185*(1+BW186)</f>
        <v>4.9387685879408319E-3</v>
      </c>
      <c r="BX185" s="187">
        <f>BX188/BX183</f>
        <v>4.9387685879408319E-3</v>
      </c>
      <c r="BY185" s="187">
        <f>BV185*(1+BY186)</f>
        <v>4.9387685879408319E-3</v>
      </c>
      <c r="BZ185" s="187">
        <f>BW185*(1+BZ186)</f>
        <v>4.9387685879408319E-3</v>
      </c>
      <c r="CA185" s="187">
        <f>CA188/CA183</f>
        <v>4.9387685879408311E-3</v>
      </c>
      <c r="CB185" s="187">
        <f>BY185*(1+CB186)</f>
        <v>4.9387685879408319E-3</v>
      </c>
      <c r="CC185" s="187">
        <f>BZ185*(1+CC186)</f>
        <v>4.9387685879408319E-3</v>
      </c>
      <c r="CD185" s="187">
        <f>CD188/CD183</f>
        <v>4.9387685879408319E-3</v>
      </c>
      <c r="CE185" s="187">
        <f>CB185*(1+CE186)</f>
        <v>4.9387685879408319E-3</v>
      </c>
      <c r="CF185" s="187">
        <f>CC185*(1+CF186)</f>
        <v>5.926522305528998E-3</v>
      </c>
      <c r="CG185" s="187">
        <f>CG188/CG183</f>
        <v>5.4130595026096557E-3</v>
      </c>
      <c r="CH185" s="187">
        <f>CE185*(1+CH186)</f>
        <v>4.7412178444231987E-3</v>
      </c>
      <c r="CI185" s="187">
        <f>CF185*(1+CI186)</f>
        <v>5.8968896940013527E-3</v>
      </c>
      <c r="CJ185" s="187">
        <f>CJ188/CJ183</f>
        <v>5.2798115219626586E-3</v>
      </c>
      <c r="CK185" s="187">
        <f>CH185*(1+CK186)</f>
        <v>4.8632712479772591E-3</v>
      </c>
      <c r="CL185" s="187">
        <f>CI185*(1+CL186)</f>
        <v>6.1567051181298429E-3</v>
      </c>
      <c r="CM185" s="187">
        <f>CM188/CM183</f>
        <v>5.4660680583641036E-3</v>
      </c>
      <c r="CN185" s="187">
        <f>CK185*(1+CN186)</f>
        <v>4.8632712479772591E-3</v>
      </c>
      <c r="CO185" s="187">
        <f>CL185*(1+CO186)</f>
        <v>6.1567051181298429E-3</v>
      </c>
      <c r="CP185" s="187">
        <f>CP188/CP183</f>
        <v>5.4660680583641045E-3</v>
      </c>
      <c r="CQ185" s="187">
        <f>CN185*(1+CQ186)</f>
        <v>4.8632712479772591E-3</v>
      </c>
      <c r="CR185" s="187">
        <f>CO185*(1+CR186)</f>
        <v>6.1567051181298429E-3</v>
      </c>
      <c r="CS185" s="187">
        <f>CS188/CS183</f>
        <v>5.4346314216652944E-3</v>
      </c>
      <c r="CT185" s="187">
        <f>CQ185*(1+CT186)</f>
        <v>4.8632712479772591E-3</v>
      </c>
      <c r="CU185" s="187">
        <f>CR185*(1+CU186)</f>
        <v>6.1567051181298429E-3</v>
      </c>
      <c r="CV185" s="187">
        <f>CV188/CV183</f>
        <v>5.4358233459100187E-3</v>
      </c>
      <c r="CW185" s="187">
        <f>CT185*(1+CW186)</f>
        <v>4.8632712479772591E-3</v>
      </c>
      <c r="CX185" s="187">
        <f>CU185*(1+CX186)</f>
        <v>6.1567051181298429E-3</v>
      </c>
      <c r="CY185" s="187">
        <f>CY188/CY183</f>
        <v>5.4667182429330857E-3</v>
      </c>
      <c r="CZ185" s="187">
        <f>CW185*(1+CZ186)</f>
        <v>4.8632712479772591E-3</v>
      </c>
      <c r="DA185" s="187">
        <f>CX185*(1+DA186)</f>
        <v>6.1567051181298429E-3</v>
      </c>
      <c r="DB185" s="187">
        <f>DB188/DB183</f>
        <v>5.4425047112652272E-3</v>
      </c>
      <c r="DC185" s="187">
        <f>CZ185*(1+DC186)</f>
        <v>4.8632712479772591E-3</v>
      </c>
      <c r="DD185" s="187">
        <f>DA185*(1+DD186)</f>
        <v>6.1567051181298429E-3</v>
      </c>
      <c r="DE185" s="187">
        <f>DE188/DE183</f>
        <v>5.4129179733327162E-3</v>
      </c>
      <c r="DF185" s="187">
        <f>DC185*(1+DF186)</f>
        <v>4.8632712479772591E-3</v>
      </c>
      <c r="DG185" s="187">
        <f>DD185*(1+DG186)</f>
        <v>6.1567051181298429E-3</v>
      </c>
      <c r="DH185" s="1076">
        <f>DH188/DH183</f>
        <v>5.2383569662916131E-3</v>
      </c>
      <c r="DI185" s="314">
        <v>5.1064348103761221E-3</v>
      </c>
      <c r="DJ185" s="314">
        <v>6.4645403740363353E-3</v>
      </c>
      <c r="DK185" s="1076">
        <f>DK188/DK183</f>
        <v>5.7284334470354076E-3</v>
      </c>
      <c r="DL185" s="187">
        <f>DI185*(1+DL186)</f>
        <v>5.1064348103761221E-3</v>
      </c>
      <c r="DM185" s="187">
        <f>DJ185*(1+DM186)</f>
        <v>6.4645403740363353E-3</v>
      </c>
      <c r="DN185" s="1076">
        <f>DN188/DN183</f>
        <v>5.7065102517140564E-3</v>
      </c>
      <c r="DO185" s="187">
        <f>DL185*(1+DO186)</f>
        <v>5.1064348103761221E-3</v>
      </c>
      <c r="DP185" s="187">
        <f>DM185*(1+DP186)</f>
        <v>6.4645403740363353E-3</v>
      </c>
      <c r="DQ185" s="1076">
        <f>DQ188/DQ183</f>
        <v>5.7059897610623406E-3</v>
      </c>
      <c r="DR185" s="187">
        <f>DO185*(1+DR186)</f>
        <v>5.1064348103761221E-3</v>
      </c>
      <c r="DS185" s="187">
        <f>DP185*(1+DS186)</f>
        <v>6.4645403740363353E-3</v>
      </c>
      <c r="DT185" s="1076">
        <f>DT188/DT183</f>
        <v>5.7453408773660217E-3</v>
      </c>
      <c r="DU185" s="187">
        <f>DR185*(1+DU186)</f>
        <v>5.1064348103761221E-3</v>
      </c>
      <c r="DV185" s="187">
        <f>DS185*(1+DV186)</f>
        <v>6.4645403740363353E-3</v>
      </c>
      <c r="DW185" s="1076">
        <f>DW188/DW183</f>
        <v>5.6625749883243894E-3</v>
      </c>
      <c r="DX185" s="187">
        <f>DU185*(1+DX186)</f>
        <v>5.1064348103761221E-3</v>
      </c>
      <c r="DY185" s="187">
        <f>DV185*(1+DY186)</f>
        <v>6.4645403740363353E-3</v>
      </c>
      <c r="DZ185" s="1076">
        <f>DZ188/DZ183</f>
        <v>5.6974450832268392E-3</v>
      </c>
      <c r="EA185" s="187">
        <f>DX185*(1+EA186)</f>
        <v>5.1064348103761221E-3</v>
      </c>
      <c r="EB185" s="187">
        <f>DY185*(1+EB186)</f>
        <v>6.4645403740363353E-3</v>
      </c>
      <c r="EC185" s="1076">
        <f>EC188/EC183</f>
        <v>5.6789661455566246E-3</v>
      </c>
      <c r="ED185" s="187">
        <f>EA185*(1+ED186)</f>
        <v>5.1064348103761221E-3</v>
      </c>
      <c r="EE185" s="187">
        <f>EB185*(1+EE186)</f>
        <v>6.4645403740363353E-3</v>
      </c>
      <c r="EF185" s="1076">
        <f>EF188/EF183</f>
        <v>5.6789661455566263E-3</v>
      </c>
      <c r="EG185" s="187">
        <f>ED185*(1+EG186)</f>
        <v>5.1064348103761221E-3</v>
      </c>
      <c r="EH185" s="187">
        <f>EE185*(1+EH186)</f>
        <v>6.4645403740363353E-3</v>
      </c>
      <c r="EI185" s="1076">
        <f>EI188/EI183</f>
        <v>5.6789661455566255E-3</v>
      </c>
      <c r="EJ185" s="187">
        <f>EG185*(1+EJ186)</f>
        <v>5.1064348103761221E-3</v>
      </c>
      <c r="EK185" s="187">
        <f>EH185*(1+EK186)</f>
        <v>6.4645403740363353E-3</v>
      </c>
      <c r="EL185" s="1076">
        <f>EL188/EL183</f>
        <v>5.6789661455566246E-3</v>
      </c>
      <c r="EM185" s="187">
        <f>EJ185*(1+EM186)</f>
        <v>5.1064348103761221E-3</v>
      </c>
      <c r="EN185" s="187">
        <f>EK185*(1+EN186)</f>
        <v>6.4645403740363353E-3</v>
      </c>
      <c r="EO185" s="1076">
        <f>EO188/EO183</f>
        <v>5.6789661455566255E-3</v>
      </c>
      <c r="EP185" s="187">
        <f>EM185*(1+EP186)</f>
        <v>5.1064348103761221E-3</v>
      </c>
      <c r="EQ185" s="187">
        <f>EN185*(1+EQ186)</f>
        <v>6.4645403740363353E-3</v>
      </c>
      <c r="ER185" s="1076">
        <f>ER188/ER183</f>
        <v>5.6789661455566255E-3</v>
      </c>
      <c r="ES185" s="187">
        <f>EP185*(1+ES186)</f>
        <v>5.1064348103761221E-3</v>
      </c>
      <c r="ET185" s="187">
        <f>EQ185*(1+ET186)</f>
        <v>6.4645403740363353E-3</v>
      </c>
      <c r="EU185" s="1076">
        <f>EU188/EU183</f>
        <v>5.6789661455566255E-3</v>
      </c>
      <c r="EV185" s="187">
        <f>ES185*(1+EV186)</f>
        <v>5.1064348103761221E-3</v>
      </c>
      <c r="EW185" s="187">
        <f>ET185*(1+EW186)</f>
        <v>6.4645403740363353E-3</v>
      </c>
      <c r="EX185" s="1076">
        <f>EX188/EX183</f>
        <v>5.6789661455566255E-3</v>
      </c>
      <c r="EY185" s="187">
        <f>EV185*(1+EY186)</f>
        <v>5.1064348103761221E-3</v>
      </c>
      <c r="EZ185" s="187">
        <f>EW185*(1+EZ186)</f>
        <v>6.4645403740363353E-3</v>
      </c>
      <c r="FA185" s="1076">
        <f>FA188/FA183</f>
        <v>5.6789661455566246E-3</v>
      </c>
      <c r="FH185" s="35"/>
      <c r="FI185" s="35"/>
      <c r="FJ185" s="35"/>
      <c r="FK185" s="35"/>
      <c r="FL185" s="35"/>
      <c r="FM185" s="35"/>
      <c r="FN185" s="35"/>
      <c r="FO185" s="35"/>
      <c r="FP185" s="35"/>
      <c r="FQ185" s="35"/>
    </row>
    <row r="186" spans="1:173" s="321" customFormat="1" ht="13.35" customHeight="1" outlineLevel="1">
      <c r="A186" s="1168"/>
      <c r="B186" s="186"/>
      <c r="C186" s="186"/>
      <c r="D186" s="910" t="s">
        <v>209</v>
      </c>
      <c r="E186" s="1"/>
      <c r="F186" s="1"/>
      <c r="G186" s="5"/>
      <c r="H186" s="1"/>
      <c r="I186" s="1"/>
      <c r="J186" s="5"/>
      <c r="K186" s="1"/>
      <c r="L186" s="1"/>
      <c r="M186" s="5"/>
      <c r="N186" s="1"/>
      <c r="O186" s="1"/>
      <c r="P186" s="5"/>
      <c r="Q186" s="1"/>
      <c r="R186" s="1"/>
      <c r="S186" s="5"/>
      <c r="T186" s="1"/>
      <c r="U186" s="1"/>
      <c r="V186" s="5"/>
      <c r="W186" s="1"/>
      <c r="X186" s="1"/>
      <c r="Y186" s="5"/>
      <c r="Z186" s="1"/>
      <c r="AA186" s="1"/>
      <c r="AB186" s="5"/>
      <c r="AC186" s="1"/>
      <c r="AD186" s="1"/>
      <c r="AE186" s="5"/>
      <c r="AF186" s="1"/>
      <c r="AG186" s="1"/>
      <c r="AH186" s="5"/>
      <c r="AI186" s="1"/>
      <c r="AJ186" s="1"/>
      <c r="AK186" s="5"/>
      <c r="AL186" s="1"/>
      <c r="AM186" s="1"/>
      <c r="AN186" s="5"/>
      <c r="AO186" s="1"/>
      <c r="AP186" s="1"/>
      <c r="AQ186" s="5"/>
      <c r="AR186" s="1"/>
      <c r="AS186" s="1"/>
      <c r="AT186" s="5"/>
      <c r="AU186" s="1"/>
      <c r="AV186" s="1"/>
      <c r="AW186" s="5"/>
      <c r="AX186" s="1"/>
      <c r="AY186" s="1"/>
      <c r="AZ186" s="5"/>
      <c r="BA186" s="89"/>
      <c r="BB186" s="89"/>
      <c r="BC186" s="944"/>
      <c r="BD186" s="89"/>
      <c r="BE186" s="89"/>
      <c r="BF186" s="944"/>
      <c r="BG186" s="89"/>
      <c r="BH186" s="89"/>
      <c r="BI186" s="944"/>
      <c r="BJ186" s="108"/>
      <c r="BK186" s="108"/>
      <c r="BL186" s="109"/>
      <c r="BM186" s="115"/>
      <c r="BN186" s="115"/>
      <c r="BO186" s="116"/>
      <c r="BP186" s="117">
        <f>BP185/BM185-1</f>
        <v>0</v>
      </c>
      <c r="BQ186" s="117">
        <f>BQ185/BN185-1</f>
        <v>0</v>
      </c>
      <c r="BR186" s="117">
        <f>BR185/BO185-1</f>
        <v>0</v>
      </c>
      <c r="BS186" s="75">
        <v>0</v>
      </c>
      <c r="BT186" s="75">
        <f>BS186</f>
        <v>0</v>
      </c>
      <c r="BU186" s="189">
        <f>BU185/BR185-1</f>
        <v>0</v>
      </c>
      <c r="BV186" s="75">
        <v>0</v>
      </c>
      <c r="BW186" s="75">
        <v>0</v>
      </c>
      <c r="BX186" s="189">
        <f>BX185/BU185-1</f>
        <v>0</v>
      </c>
      <c r="BY186" s="75">
        <v>0</v>
      </c>
      <c r="BZ186" s="75">
        <v>0</v>
      </c>
      <c r="CA186" s="189">
        <f>CA185/BX185-1</f>
        <v>0</v>
      </c>
      <c r="CB186" s="75">
        <v>0</v>
      </c>
      <c r="CC186" s="75">
        <v>0</v>
      </c>
      <c r="CD186" s="189">
        <f>CD185/CA185-1</f>
        <v>0</v>
      </c>
      <c r="CE186" s="75">
        <v>0</v>
      </c>
      <c r="CF186" s="75">
        <v>0.2</v>
      </c>
      <c r="CG186" s="189">
        <f>CG185/CD185-1</f>
        <v>9.6034245424439835E-2</v>
      </c>
      <c r="CH186" s="161">
        <v>-0.04</v>
      </c>
      <c r="CI186" s="161">
        <v>-5.0000000000000001E-3</v>
      </c>
      <c r="CJ186" s="189">
        <f>CJ185/CG185-1</f>
        <v>-2.4616019938956457E-2</v>
      </c>
      <c r="CK186" s="75">
        <v>2.5743049055977216E-2</v>
      </c>
      <c r="CL186" s="161">
        <v>4.4059739559447503E-2</v>
      </c>
      <c r="CM186" s="83">
        <f>CM185/CJ185-1</f>
        <v>3.5277118440055322E-2</v>
      </c>
      <c r="CN186" s="161">
        <v>0</v>
      </c>
      <c r="CO186" s="33">
        <v>0</v>
      </c>
      <c r="CP186" s="83">
        <f>CP185/CM185-1</f>
        <v>0</v>
      </c>
      <c r="CQ186" s="33">
        <f>CN186</f>
        <v>0</v>
      </c>
      <c r="CR186" s="33">
        <f>CQ186</f>
        <v>0</v>
      </c>
      <c r="CS186" s="83">
        <f>CS185/CP185-1</f>
        <v>-5.751234043035014E-3</v>
      </c>
      <c r="CT186" s="33">
        <f>CQ186</f>
        <v>0</v>
      </c>
      <c r="CU186" s="33">
        <v>0</v>
      </c>
      <c r="CV186" s="83">
        <f>CV185/CS185-1</f>
        <v>2.1932016216830164E-4</v>
      </c>
      <c r="CW186" s="33">
        <f>CT186</f>
        <v>0</v>
      </c>
      <c r="CX186" s="33">
        <f>CW186</f>
        <v>0</v>
      </c>
      <c r="CY186" s="83">
        <f>CY185/CV185-1</f>
        <v>5.6835726728154956E-3</v>
      </c>
      <c r="CZ186" s="33">
        <f>CW186</f>
        <v>0</v>
      </c>
      <c r="DA186" s="33">
        <f>CZ186</f>
        <v>0</v>
      </c>
      <c r="DB186" s="83">
        <f>DB185/CY185-1</f>
        <v>-4.4292627846990174E-3</v>
      </c>
      <c r="DC186" s="33">
        <f>CZ186</f>
        <v>0</v>
      </c>
      <c r="DD186" s="33">
        <v>0</v>
      </c>
      <c r="DE186" s="83">
        <f>DE185/DB185-1</f>
        <v>-5.4362356124875166E-3</v>
      </c>
      <c r="DF186" s="33">
        <f>DC186</f>
        <v>0</v>
      </c>
      <c r="DG186" s="33">
        <f>DF186</f>
        <v>0</v>
      </c>
      <c r="DH186" s="1066">
        <f>DH185/DE185-1</f>
        <v>-3.2248965881451652E-2</v>
      </c>
      <c r="DI186" s="75"/>
      <c r="DJ186" s="75"/>
      <c r="DK186" s="1066"/>
      <c r="DL186" s="1144">
        <v>0</v>
      </c>
      <c r="DM186" s="189">
        <f>+DL186</f>
        <v>0</v>
      </c>
      <c r="DN186" s="1066">
        <f>DN185/DK185-1</f>
        <v>-3.8270838832380472E-3</v>
      </c>
      <c r="DO186" s="189">
        <f>+DM186</f>
        <v>0</v>
      </c>
      <c r="DP186" s="189">
        <f>+DO186</f>
        <v>0</v>
      </c>
      <c r="DQ186" s="1066">
        <f>DQ185/DN185-1</f>
        <v>-9.1209974004580197E-5</v>
      </c>
      <c r="DR186" s="189">
        <f>+DP186</f>
        <v>0</v>
      </c>
      <c r="DS186" s="189">
        <f>+DR186</f>
        <v>0</v>
      </c>
      <c r="DT186" s="1066">
        <f>DT185/DQ185-1</f>
        <v>6.8964575737959777E-3</v>
      </c>
      <c r="DU186" s="189">
        <f>+DS186</f>
        <v>0</v>
      </c>
      <c r="DV186" s="189">
        <f>+DU186</f>
        <v>0</v>
      </c>
      <c r="DW186" s="1066">
        <f>DW185/DT185-1</f>
        <v>-1.4405740374377363E-2</v>
      </c>
      <c r="DX186" s="189">
        <f>+DV186</f>
        <v>0</v>
      </c>
      <c r="DY186" s="1143">
        <f>+DX186</f>
        <v>0</v>
      </c>
      <c r="DZ186" s="1142">
        <f>DY186</f>
        <v>0</v>
      </c>
      <c r="EA186" s="1143">
        <f>+DY186</f>
        <v>0</v>
      </c>
      <c r="EB186" s="1143">
        <f>+EA186</f>
        <v>0</v>
      </c>
      <c r="EC186" s="1142">
        <f>EB186</f>
        <v>0</v>
      </c>
      <c r="ED186" s="1143">
        <f>+EB186</f>
        <v>0</v>
      </c>
      <c r="EE186" s="1143">
        <f>+ED186</f>
        <v>0</v>
      </c>
      <c r="EF186" s="1142">
        <f>EE186</f>
        <v>0</v>
      </c>
      <c r="EG186" s="1143">
        <f>+EE186</f>
        <v>0</v>
      </c>
      <c r="EH186" s="1143">
        <f>+EG186</f>
        <v>0</v>
      </c>
      <c r="EI186" s="1142">
        <f>EH186</f>
        <v>0</v>
      </c>
      <c r="EJ186" s="1143">
        <f>+EH186</f>
        <v>0</v>
      </c>
      <c r="EK186" s="1143">
        <f>+EJ186</f>
        <v>0</v>
      </c>
      <c r="EL186" s="1142">
        <f>EK186</f>
        <v>0</v>
      </c>
      <c r="EM186" s="1143">
        <f>+EK186</f>
        <v>0</v>
      </c>
      <c r="EN186" s="1143">
        <f>+EM186</f>
        <v>0</v>
      </c>
      <c r="EO186" s="1142">
        <f>EN186</f>
        <v>0</v>
      </c>
      <c r="EP186" s="1143">
        <f>+EN186</f>
        <v>0</v>
      </c>
      <c r="EQ186" s="1143">
        <f>+EP186</f>
        <v>0</v>
      </c>
      <c r="ER186" s="1142">
        <f>EQ186</f>
        <v>0</v>
      </c>
      <c r="ES186" s="1143">
        <f>+EQ186</f>
        <v>0</v>
      </c>
      <c r="ET186" s="1143">
        <f>+ES186</f>
        <v>0</v>
      </c>
      <c r="EU186" s="1142">
        <f>ET186</f>
        <v>0</v>
      </c>
      <c r="EV186" s="1143">
        <f>+ET186</f>
        <v>0</v>
      </c>
      <c r="EW186" s="1143">
        <f>+EV186</f>
        <v>0</v>
      </c>
      <c r="EX186" s="1142">
        <f>EW186</f>
        <v>0</v>
      </c>
      <c r="EY186" s="1143">
        <f>+EW186</f>
        <v>0</v>
      </c>
      <c r="EZ186" s="1143">
        <f>+EY186</f>
        <v>0</v>
      </c>
      <c r="FA186" s="1142">
        <f>EZ186</f>
        <v>0</v>
      </c>
      <c r="FH186" s="35"/>
      <c r="FI186" s="35"/>
      <c r="FJ186" s="35"/>
      <c r="FK186" s="35"/>
      <c r="FL186" s="35"/>
      <c r="FM186" s="35"/>
      <c r="FN186" s="35"/>
      <c r="FO186" s="35"/>
      <c r="FP186" s="35"/>
      <c r="FQ186" s="35"/>
    </row>
    <row r="187" spans="1:173" s="321" customFormat="1" ht="13.35" customHeight="1" outlineLevel="1">
      <c r="A187" s="1168"/>
      <c r="B187" s="186"/>
      <c r="C187" s="186"/>
      <c r="D187" s="910"/>
      <c r="E187" s="1"/>
      <c r="F187" s="1"/>
      <c r="G187" s="5"/>
      <c r="H187" s="1"/>
      <c r="I187" s="1"/>
      <c r="J187" s="5"/>
      <c r="K187" s="1"/>
      <c r="L187" s="1"/>
      <c r="M187" s="5"/>
      <c r="N187" s="1"/>
      <c r="O187" s="1"/>
      <c r="P187" s="5"/>
      <c r="Q187" s="1"/>
      <c r="R187" s="1"/>
      <c r="S187" s="5"/>
      <c r="T187" s="1"/>
      <c r="U187" s="1"/>
      <c r="V187" s="5"/>
      <c r="W187" s="1"/>
      <c r="X187" s="1"/>
      <c r="Y187" s="5"/>
      <c r="Z187" s="1"/>
      <c r="AA187" s="1"/>
      <c r="AB187" s="5"/>
      <c r="AC187" s="1"/>
      <c r="AD187" s="1"/>
      <c r="AE187" s="5"/>
      <c r="AF187" s="1"/>
      <c r="AG187" s="1"/>
      <c r="AH187" s="5"/>
      <c r="AI187" s="1"/>
      <c r="AJ187" s="1"/>
      <c r="AK187" s="5"/>
      <c r="AL187" s="1"/>
      <c r="AM187" s="1"/>
      <c r="AN187" s="5"/>
      <c r="AO187" s="1"/>
      <c r="AP187" s="1"/>
      <c r="AQ187" s="5"/>
      <c r="AR187" s="1"/>
      <c r="AS187" s="1"/>
      <c r="AT187" s="5"/>
      <c r="AU187" s="1"/>
      <c r="AV187" s="1"/>
      <c r="AW187" s="5"/>
      <c r="AX187" s="1"/>
      <c r="AY187" s="1"/>
      <c r="AZ187" s="5"/>
      <c r="BA187" s="89"/>
      <c r="BB187" s="89"/>
      <c r="BC187" s="944"/>
      <c r="BD187" s="89"/>
      <c r="BE187" s="89"/>
      <c r="BF187" s="944"/>
      <c r="BG187" s="89"/>
      <c r="BH187" s="89"/>
      <c r="BI187" s="944"/>
      <c r="BJ187" s="108"/>
      <c r="BK187" s="108"/>
      <c r="BL187" s="109"/>
      <c r="BM187" s="115"/>
      <c r="BN187" s="115"/>
      <c r="BO187" s="116"/>
      <c r="BP187" s="115"/>
      <c r="BQ187" s="115"/>
      <c r="BR187" s="116"/>
      <c r="BS187" s="8"/>
      <c r="BT187" s="8"/>
      <c r="BU187" s="188"/>
      <c r="BV187" s="8"/>
      <c r="BW187" s="8"/>
      <c r="BX187" s="187"/>
      <c r="BY187" s="8"/>
      <c r="BZ187" s="8"/>
      <c r="CA187" s="187"/>
      <c r="CB187" s="8"/>
      <c r="CC187" s="8"/>
      <c r="CD187" s="187"/>
      <c r="CE187" s="8"/>
      <c r="CF187" s="8"/>
      <c r="CG187" s="187"/>
      <c r="CH187" s="8"/>
      <c r="CI187" s="8"/>
      <c r="CJ187" s="187"/>
      <c r="CK187" s="8"/>
      <c r="CL187" s="8"/>
      <c r="CM187" s="187"/>
      <c r="CN187" s="8"/>
      <c r="CO187" s="8"/>
      <c r="CP187" s="187"/>
      <c r="CQ187" s="8"/>
      <c r="CR187" s="8"/>
      <c r="CS187" s="187"/>
      <c r="CT187" s="8"/>
      <c r="CU187" s="8"/>
      <c r="CV187" s="187"/>
      <c r="CW187" s="8"/>
      <c r="CX187" s="8"/>
      <c r="CY187" s="188"/>
      <c r="CZ187" s="8"/>
      <c r="DA187" s="8"/>
      <c r="DB187" s="188"/>
      <c r="DC187" s="8"/>
      <c r="DD187" s="8"/>
      <c r="DE187" s="188"/>
      <c r="DF187" s="8"/>
      <c r="DG187" s="8"/>
      <c r="DH187" s="1078"/>
      <c r="DI187" s="8"/>
      <c r="DJ187" s="8"/>
      <c r="DK187" s="1078"/>
      <c r="DL187" s="8"/>
      <c r="DM187" s="8"/>
      <c r="DN187" s="1078"/>
      <c r="DO187" s="8"/>
      <c r="DP187" s="8"/>
      <c r="DQ187" s="1078"/>
      <c r="DR187" s="8"/>
      <c r="DS187" s="8"/>
      <c r="DT187" s="1078"/>
      <c r="DU187" s="8"/>
      <c r="DV187" s="8"/>
      <c r="DW187" s="1078"/>
      <c r="DX187" s="8"/>
      <c r="DY187" s="8"/>
      <c r="DZ187" s="1078"/>
      <c r="EA187" s="8"/>
      <c r="EB187" s="8"/>
      <c r="EC187" s="1078"/>
      <c r="ED187" s="8"/>
      <c r="EE187" s="8"/>
      <c r="EF187" s="1078"/>
      <c r="EG187" s="8"/>
      <c r="EH187" s="8"/>
      <c r="EI187" s="1078"/>
      <c r="EJ187" s="8"/>
      <c r="EK187" s="8"/>
      <c r="EL187" s="1078"/>
      <c r="EM187" s="8"/>
      <c r="EN187" s="8"/>
      <c r="EO187" s="1078"/>
      <c r="EP187" s="8"/>
      <c r="EQ187" s="8"/>
      <c r="ER187" s="1078"/>
      <c r="ES187" s="8"/>
      <c r="ET187" s="8"/>
      <c r="EU187" s="1078"/>
      <c r="EV187" s="8"/>
      <c r="EW187" s="8"/>
      <c r="EX187" s="1078"/>
      <c r="EY187" s="8"/>
      <c r="EZ187" s="8"/>
      <c r="FA187" s="1078"/>
      <c r="FH187" s="35"/>
      <c r="FI187" s="35"/>
      <c r="FJ187" s="35"/>
      <c r="FK187" s="35"/>
      <c r="FL187" s="35"/>
      <c r="FM187" s="35"/>
      <c r="FN187" s="35"/>
      <c r="FO187" s="35"/>
      <c r="FP187" s="35"/>
      <c r="FQ187" s="35"/>
    </row>
    <row r="188" spans="1:173" s="321" customFormat="1" ht="13.35" customHeight="1" outlineLevel="1">
      <c r="A188" s="1168"/>
      <c r="B188" s="186" t="s">
        <v>422</v>
      </c>
      <c r="C188" s="186"/>
      <c r="D188" s="910" t="s">
        <v>853</v>
      </c>
      <c r="E188" s="186"/>
      <c r="F188" s="186"/>
      <c r="G188" s="186"/>
      <c r="H188" s="186"/>
      <c r="I188" s="186"/>
      <c r="J188" s="186"/>
      <c r="K188" s="186"/>
      <c r="L188" s="186"/>
      <c r="M188" s="186"/>
      <c r="N188" s="186"/>
      <c r="O188" s="186"/>
      <c r="P188" s="186"/>
      <c r="Q188" s="186"/>
      <c r="R188" s="186"/>
      <c r="S188" s="186"/>
      <c r="T188" s="186"/>
      <c r="U188" s="186"/>
      <c r="V188" s="186"/>
      <c r="W188" s="186"/>
      <c r="X188" s="186"/>
      <c r="Y188" s="186"/>
      <c r="Z188" s="186"/>
      <c r="AA188" s="186"/>
      <c r="AB188" s="186"/>
      <c r="AC188" s="186"/>
      <c r="AD188" s="186"/>
      <c r="AE188" s="186"/>
      <c r="AF188" s="186"/>
      <c r="AG188" s="186"/>
      <c r="AH188" s="186"/>
      <c r="AI188" s="186"/>
      <c r="AJ188" s="186"/>
      <c r="AK188" s="186"/>
      <c r="AL188" s="186"/>
      <c r="AM188" s="186"/>
      <c r="AN188" s="186"/>
      <c r="AO188" s="186"/>
      <c r="AP188" s="186"/>
      <c r="AQ188" s="186"/>
      <c r="AR188" s="186"/>
      <c r="AS188" s="186"/>
      <c r="AT188" s="186"/>
      <c r="AU188" s="186"/>
      <c r="AV188" s="186"/>
      <c r="AW188" s="186"/>
      <c r="AX188" s="186"/>
      <c r="AY188" s="186"/>
      <c r="AZ188" s="186"/>
      <c r="BA188" s="186"/>
      <c r="BB188" s="186"/>
      <c r="BC188" s="331"/>
      <c r="BD188" s="186"/>
      <c r="BE188" s="186"/>
      <c r="BF188" s="331"/>
      <c r="BG188" s="186"/>
      <c r="BH188" s="186"/>
      <c r="BI188" s="331"/>
      <c r="BJ188" s="186"/>
      <c r="BK188" s="186"/>
      <c r="BL188" s="331"/>
      <c r="BM188" s="190">
        <f>BM185*BM183</f>
        <v>5.8245861218738995</v>
      </c>
      <c r="BN188" s="190">
        <f>BN183*BN185</f>
        <v>7.6302078196548075</v>
      </c>
      <c r="BO188" s="973">
        <f>SUM(BM188:BN188)</f>
        <v>13.454793941528706</v>
      </c>
      <c r="BP188" s="190">
        <f>BP183*BP185</f>
        <v>7.2807326523423734</v>
      </c>
      <c r="BQ188" s="190">
        <f>BQ183*BQ185</f>
        <v>7.6447692849594926</v>
      </c>
      <c r="BR188" s="973">
        <f>SUM(BP188:BQ188)</f>
        <v>14.925501937301867</v>
      </c>
      <c r="BS188" s="190">
        <f>BS183*BS185</f>
        <v>9.4108879877752951</v>
      </c>
      <c r="BT188" s="190">
        <f>BT183*BT185</f>
        <v>9.247197695779759</v>
      </c>
      <c r="BU188" s="190">
        <f>SUM(BS188:BT188)</f>
        <v>18.658085683555054</v>
      </c>
      <c r="BV188" s="190">
        <f>BV183*BV185</f>
        <v>10.992839091363326</v>
      </c>
      <c r="BW188" s="190">
        <f>BW183*BW185</f>
        <v>10.784728099249529</v>
      </c>
      <c r="BX188" s="190">
        <f>SUM(BV188:BW188)</f>
        <v>21.777567190612857</v>
      </c>
      <c r="BY188" s="190">
        <f>BY183*BY185</f>
        <v>13.050316844024847</v>
      </c>
      <c r="BZ188" s="190">
        <f>BZ183*BZ185</f>
        <v>12.199314028738085</v>
      </c>
      <c r="CA188" s="190">
        <f>SUM(BY188:BZ188)</f>
        <v>25.249630872762932</v>
      </c>
      <c r="CB188" s="190">
        <f>CB183*CB185</f>
        <v>13.964491538948787</v>
      </c>
      <c r="CC188" s="190">
        <f>CC183*CC185</f>
        <v>12.680942946592664</v>
      </c>
      <c r="CD188" s="190">
        <f>SUM(CB188:CC188)</f>
        <v>26.64543448554145</v>
      </c>
      <c r="CE188" s="190">
        <f>CE183*CE185</f>
        <v>12.725142914867082</v>
      </c>
      <c r="CF188" s="1030">
        <f>CF183*CF185</f>
        <v>14.105215734582165</v>
      </c>
      <c r="CG188" s="190">
        <f>SUM(CE188:CF188)</f>
        <v>26.830358649449245</v>
      </c>
      <c r="CH188" s="190">
        <f>CH183*CH185</f>
        <v>13.071266802151467</v>
      </c>
      <c r="CI188" s="190">
        <f>CI183*CI185</f>
        <v>14.189655108124681</v>
      </c>
      <c r="CJ188" s="190">
        <f>SUM(CH188:CI188)</f>
        <v>27.260921910276146</v>
      </c>
      <c r="CK188" s="190">
        <f>CK183*CK185</f>
        <v>13.555804221121917</v>
      </c>
      <c r="CL188" s="190">
        <f>CL183*CL185</f>
        <v>14.978427262255085</v>
      </c>
      <c r="CM188" s="190">
        <f>SUM(CK188:CL188)</f>
        <v>28.534231483377003</v>
      </c>
      <c r="CN188" s="190">
        <f>CN183*CN185</f>
        <v>13.705482011138846</v>
      </c>
      <c r="CO188" s="187">
        <f>CO183*CO185</f>
        <v>15.143813089165333</v>
      </c>
      <c r="CP188" s="190">
        <f>SUM(CN188:CO188)</f>
        <v>28.849295100304179</v>
      </c>
      <c r="CQ188" s="190">
        <f>CQ183*CQ185</f>
        <v>17.203533842768135</v>
      </c>
      <c r="CR188" s="190">
        <f>CR183*CR185</f>
        <v>17.233201508825843</v>
      </c>
      <c r="CS188" s="190">
        <f>SUM(CQ188:CR188)</f>
        <v>34.436735351593981</v>
      </c>
      <c r="CT188" s="190">
        <f>CT183*CT185</f>
        <v>19.815624028276837</v>
      </c>
      <c r="CU188" s="190">
        <f>CU183*CU185</f>
        <v>19.924093894322553</v>
      </c>
      <c r="CV188" s="190">
        <f>SUM(CT188:CU188)</f>
        <v>39.73971792259939</v>
      </c>
      <c r="CW188" s="190">
        <f>CW183*CW185</f>
        <v>22.827598880574911</v>
      </c>
      <c r="CX188" s="190">
        <f>CX183*CX185</f>
        <v>25.274256693513589</v>
      </c>
      <c r="CY188" s="190">
        <f>SUM(CW188:CX188)</f>
        <v>48.101855574088503</v>
      </c>
      <c r="CZ188" s="190">
        <f>CZ183*CZ185</f>
        <v>23.733064711532602</v>
      </c>
      <c r="DA188" s="190">
        <f>DA183*DA185</f>
        <v>24.367290122336097</v>
      </c>
      <c r="DB188" s="190">
        <f>SUM(CZ188:DA188)</f>
        <v>48.1003548338687</v>
      </c>
      <c r="DC188" s="190">
        <f>DC183*DC185</f>
        <v>21.228868254335858</v>
      </c>
      <c r="DD188" s="190">
        <f>DD183*DD185</f>
        <v>19.860111340471942</v>
      </c>
      <c r="DE188" s="190">
        <f>SUM(DC188:DD188)</f>
        <v>41.088979594807796</v>
      </c>
      <c r="DF188" s="190">
        <f>DF183*DF185</f>
        <v>20.061280500347383</v>
      </c>
      <c r="DG188" s="190">
        <f>DG183*DG185</f>
        <v>10.372935622670239</v>
      </c>
      <c r="DH188" s="1060">
        <f>SUM(DF188:DG188)</f>
        <v>30.43421612301762</v>
      </c>
      <c r="DI188" s="234">
        <f>+DI191*DI75</f>
        <v>26.770459272671193</v>
      </c>
      <c r="DJ188" s="234">
        <f>+DJ191*DJ75</f>
        <v>28.636781795985033</v>
      </c>
      <c r="DK188" s="1060">
        <f>SUM(DI188:DJ188)</f>
        <v>55.407241068656226</v>
      </c>
      <c r="DL188" s="234">
        <f>+DL191*DL75</f>
        <v>34.60871237581258</v>
      </c>
      <c r="DM188" s="234">
        <f>+DM191*DM75</f>
        <v>34.683641705013329</v>
      </c>
      <c r="DN188" s="1060">
        <f>SUM(DL188:DM188)</f>
        <v>69.292354080825902</v>
      </c>
      <c r="DO188" s="234">
        <f>+DO191*DO75</f>
        <v>40.382515823247743</v>
      </c>
      <c r="DP188" s="234">
        <f>+DP191*DP75</f>
        <v>40.407098086109855</v>
      </c>
      <c r="DQ188" s="1060">
        <f>SUM(DO188:DP188)</f>
        <v>80.789613909357598</v>
      </c>
      <c r="DR188" s="234">
        <f>+DR191*DR75</f>
        <v>39.847777679130857</v>
      </c>
      <c r="DS188" s="234">
        <f>+DS191*DS75</f>
        <v>44.81378262675814</v>
      </c>
      <c r="DT188" s="1060">
        <f>SUM(DR188:DS188)</f>
        <v>84.661560305888997</v>
      </c>
      <c r="DU188" s="234">
        <f>+DU191*DU75</f>
        <v>46.097225967607997</v>
      </c>
      <c r="DV188" s="234">
        <f>+DV191*DV75</f>
        <v>40.469076987941634</v>
      </c>
      <c r="DW188" s="1060">
        <f>SUM(DU188:DV188)</f>
        <v>86.566302955549631</v>
      </c>
      <c r="DX188" s="234">
        <f>+DX191*DX75</f>
        <v>46.677785968360176</v>
      </c>
      <c r="DY188" s="234">
        <f>DY183*DY185</f>
        <v>45.527711611434334</v>
      </c>
      <c r="DZ188" s="1060">
        <f>SUM(DX188:DY188)</f>
        <v>92.20549757979451</v>
      </c>
      <c r="EA188" s="234">
        <f>EA183*EA185</f>
        <v>51.812342424879802</v>
      </c>
      <c r="EB188" s="234">
        <f>EB183*EB185</f>
        <v>47.804097192006054</v>
      </c>
      <c r="EC188" s="1060">
        <f>SUM(EA188:EB188)</f>
        <v>99.616439616885856</v>
      </c>
      <c r="ED188" s="234">
        <f>ED183*ED185</f>
        <v>55.439206394621394</v>
      </c>
      <c r="EE188" s="234">
        <f>EE183*EE185</f>
        <v>51.150383995446482</v>
      </c>
      <c r="EF188" s="1060">
        <f>SUM(ED188:EE188)</f>
        <v>106.58959039006788</v>
      </c>
      <c r="EG188" s="234">
        <f>EG183*EG185</f>
        <v>60.42873497013732</v>
      </c>
      <c r="EH188" s="234">
        <f>EH183*EH185</f>
        <v>55.75391855503667</v>
      </c>
      <c r="EI188" s="1060">
        <f>SUM(EG188:EH188)</f>
        <v>116.18265352517399</v>
      </c>
      <c r="EJ188" s="234">
        <f>EJ183*EJ185</f>
        <v>65.867321117449677</v>
      </c>
      <c r="EK188" s="234">
        <f>EK183*EK185</f>
        <v>60.771771224989969</v>
      </c>
      <c r="EL188" s="1060">
        <f>SUM(EJ188:EK188)</f>
        <v>126.63909234243965</v>
      </c>
      <c r="EM188" s="234">
        <f>EM183*EM185</f>
        <v>71.795380018020154</v>
      </c>
      <c r="EN188" s="234">
        <f>EN183*EN185</f>
        <v>66.241230635239077</v>
      </c>
      <c r="EO188" s="1060">
        <f>SUM(EM188:EN188)</f>
        <v>138.03661065325923</v>
      </c>
      <c r="EP188" s="234">
        <f>EP183*EP185</f>
        <v>78.256964219641986</v>
      </c>
      <c r="EQ188" s="234">
        <f>EQ183*EQ185</f>
        <v>72.202941392410594</v>
      </c>
      <c r="ER188" s="1060">
        <f>SUM(EP188:EQ188)</f>
        <v>150.45990561205258</v>
      </c>
      <c r="ES188" s="234">
        <f>ES183*ES185</f>
        <v>85.300090999409775</v>
      </c>
      <c r="ET188" s="234">
        <f>ET183*ET185</f>
        <v>78.701206117727551</v>
      </c>
      <c r="EU188" s="1060">
        <f>SUM(ES188:ET188)</f>
        <v>164.00129711713731</v>
      </c>
      <c r="EV188" s="234">
        <f>EV183*EV185</f>
        <v>92.977099189356665</v>
      </c>
      <c r="EW188" s="234">
        <f>EW183*EW185</f>
        <v>85.784314668323049</v>
      </c>
      <c r="EX188" s="1060">
        <f>SUM(EV188:EW188)</f>
        <v>178.76141385767971</v>
      </c>
      <c r="EY188" s="234">
        <f>EY183*EY185</f>
        <v>101.34503811639877</v>
      </c>
      <c r="EZ188" s="234">
        <f>EZ183*EZ185</f>
        <v>93.504902988472125</v>
      </c>
      <c r="FA188" s="1060">
        <f>SUM(EY188:EZ188)</f>
        <v>194.84994110487088</v>
      </c>
      <c r="FH188" s="35"/>
      <c r="FI188" s="35"/>
      <c r="FJ188" s="35"/>
      <c r="FK188" s="35"/>
      <c r="FL188" s="35"/>
      <c r="FM188" s="35"/>
      <c r="FN188" s="35"/>
      <c r="FO188" s="35"/>
      <c r="FP188" s="35"/>
      <c r="FQ188" s="35"/>
    </row>
    <row r="189" spans="1:173" s="321" customFormat="1" ht="13.35" customHeight="1" outlineLevel="1">
      <c r="A189" s="1168"/>
      <c r="B189" s="186"/>
      <c r="C189" s="186"/>
      <c r="D189" s="910" t="s">
        <v>209</v>
      </c>
      <c r="E189" s="186"/>
      <c r="F189" s="186"/>
      <c r="G189" s="186"/>
      <c r="H189" s="186"/>
      <c r="I189" s="186"/>
      <c r="J189" s="186"/>
      <c r="K189" s="186"/>
      <c r="L189" s="186"/>
      <c r="M189" s="186"/>
      <c r="N189" s="186"/>
      <c r="O189" s="186"/>
      <c r="P189" s="186"/>
      <c r="Q189" s="186"/>
      <c r="R189" s="186"/>
      <c r="S189" s="186"/>
      <c r="T189" s="186"/>
      <c r="U189" s="186"/>
      <c r="V189" s="186"/>
      <c r="W189" s="186"/>
      <c r="X189" s="186"/>
      <c r="Y189" s="186"/>
      <c r="Z189" s="186"/>
      <c r="AA189" s="186"/>
      <c r="AB189" s="186"/>
      <c r="AC189" s="186"/>
      <c r="AD189" s="186"/>
      <c r="AE189" s="186"/>
      <c r="AF189" s="186"/>
      <c r="AG189" s="186"/>
      <c r="AH189" s="186"/>
      <c r="AI189" s="186"/>
      <c r="AJ189" s="186"/>
      <c r="AK189" s="186"/>
      <c r="AL189" s="186"/>
      <c r="AM189" s="186"/>
      <c r="AN189" s="186"/>
      <c r="AO189" s="186"/>
      <c r="AP189" s="186"/>
      <c r="AQ189" s="186"/>
      <c r="AR189" s="186"/>
      <c r="AS189" s="186"/>
      <c r="AT189" s="186"/>
      <c r="AU189" s="186"/>
      <c r="AV189" s="186"/>
      <c r="AW189" s="186"/>
      <c r="AX189" s="186"/>
      <c r="AY189" s="186"/>
      <c r="AZ189" s="186"/>
      <c r="BA189" s="186"/>
      <c r="BB189" s="186"/>
      <c r="BC189" s="331"/>
      <c r="BD189" s="186"/>
      <c r="BE189" s="186"/>
      <c r="BF189" s="331"/>
      <c r="BG189" s="186"/>
      <c r="BH189" s="186"/>
      <c r="BI189" s="331"/>
      <c r="BJ189" s="186"/>
      <c r="BK189" s="186"/>
      <c r="BL189" s="331"/>
      <c r="BM189" s="190"/>
      <c r="BN189" s="190"/>
      <c r="BO189" s="973"/>
      <c r="BP189" s="83">
        <f t="shared" ref="BP189:CU189" si="1135">BP188/BM188-1</f>
        <v>0.24999999999999978</v>
      </c>
      <c r="BQ189" s="83">
        <f t="shared" si="1135"/>
        <v>1.9083969465649719E-3</v>
      </c>
      <c r="BR189" s="83">
        <f t="shared" si="1135"/>
        <v>0.10930735930735946</v>
      </c>
      <c r="BS189" s="83">
        <f t="shared" si="1135"/>
        <v>0.29257431046415405</v>
      </c>
      <c r="BT189" s="83">
        <f t="shared" si="1135"/>
        <v>0.20961108845664222</v>
      </c>
      <c r="BU189" s="83">
        <f t="shared" si="1135"/>
        <v>0.25008095285055032</v>
      </c>
      <c r="BV189" s="83">
        <f t="shared" si="1135"/>
        <v>0.16809796329984783</v>
      </c>
      <c r="BW189" s="83">
        <f t="shared" si="1135"/>
        <v>0.16626987483694311</v>
      </c>
      <c r="BX189" s="83">
        <f t="shared" si="1135"/>
        <v>0.16719193812081512</v>
      </c>
      <c r="BY189" s="83">
        <f t="shared" si="1135"/>
        <v>0.18716527509967884</v>
      </c>
      <c r="BZ189" s="83">
        <f t="shared" si="1135"/>
        <v>0.13116565540368064</v>
      </c>
      <c r="CA189" s="83">
        <f t="shared" si="1135"/>
        <v>0.15943303729751301</v>
      </c>
      <c r="CB189" s="83">
        <f t="shared" si="1135"/>
        <v>7.0049999999999946E-2</v>
      </c>
      <c r="CC189" s="83">
        <f t="shared" si="1135"/>
        <v>3.947999999999996E-2</v>
      </c>
      <c r="CD189" s="83">
        <f t="shared" si="1135"/>
        <v>5.5280159136274154E-2</v>
      </c>
      <c r="CE189" s="83">
        <f t="shared" si="1135"/>
        <v>-8.8749999999999996E-2</v>
      </c>
      <c r="CF189" s="83">
        <f t="shared" si="1135"/>
        <v>0.11231600000000008</v>
      </c>
      <c r="CG189" s="83">
        <f t="shared" si="1135"/>
        <v>6.940181966563097E-3</v>
      </c>
      <c r="CH189" s="83">
        <f t="shared" si="1135"/>
        <v>2.7200000000000113E-2</v>
      </c>
      <c r="CI189" s="83">
        <f t="shared" si="1135"/>
        <v>5.9863936242743332E-3</v>
      </c>
      <c r="CJ189" s="83">
        <f t="shared" si="1135"/>
        <v>1.6047614810237976E-2</v>
      </c>
      <c r="CK189" s="83">
        <f t="shared" si="1135"/>
        <v>3.7068895180893957E-2</v>
      </c>
      <c r="CL189" s="83">
        <f t="shared" si="1135"/>
        <v>5.5587831284128253E-2</v>
      </c>
      <c r="CM189" s="83">
        <f t="shared" si="1135"/>
        <v>4.6708235961047118E-2</v>
      </c>
      <c r="CN189" s="83">
        <f t="shared" si="1135"/>
        <v>1.1041601632436393E-2</v>
      </c>
      <c r="CO189" s="83">
        <f t="shared" si="1135"/>
        <v>1.1041601632436615E-2</v>
      </c>
      <c r="CP189" s="83">
        <f t="shared" si="1135"/>
        <v>1.1041601632436393E-2</v>
      </c>
      <c r="CQ189" s="83">
        <f t="shared" si="1135"/>
        <v>0.2552301209681147</v>
      </c>
      <c r="CR189" s="83">
        <f t="shared" si="1135"/>
        <v>0.1379697707148384</v>
      </c>
      <c r="CS189" s="83">
        <f t="shared" si="1135"/>
        <v>0.19367683792145374</v>
      </c>
      <c r="CT189" s="83">
        <f t="shared" si="1135"/>
        <v>0.15183451315188634</v>
      </c>
      <c r="CU189" s="83">
        <f t="shared" si="1135"/>
        <v>0.15614582027132862</v>
      </c>
      <c r="CV189" s="83">
        <f t="shared" ref="CV189:EA189" si="1136">CV188/CS188-1</f>
        <v>0.15399202383334942</v>
      </c>
      <c r="CW189" s="83">
        <f t="shared" si="1136"/>
        <v>0.15199999999999969</v>
      </c>
      <c r="CX189" s="83">
        <f t="shared" si="1136"/>
        <v>0.26852728297549255</v>
      </c>
      <c r="CY189" s="83">
        <f t="shared" si="1136"/>
        <v>0.21042267254578806</v>
      </c>
      <c r="CZ189" s="83">
        <f t="shared" si="1136"/>
        <v>3.9665399575957938E-2</v>
      </c>
      <c r="DA189" s="83">
        <f t="shared" si="1136"/>
        <v>-3.5884994845773455E-2</v>
      </c>
      <c r="DB189" s="83">
        <f t="shared" si="1136"/>
        <v>-3.1199216784738582E-5</v>
      </c>
      <c r="DC189" s="83">
        <f t="shared" si="1136"/>
        <v>-0.1055150899234637</v>
      </c>
      <c r="DD189" s="83">
        <f t="shared" si="1136"/>
        <v>-0.18496840474405818</v>
      </c>
      <c r="DE189" s="83">
        <f t="shared" si="1136"/>
        <v>-0.14576556167365351</v>
      </c>
      <c r="DF189" s="83">
        <f t="shared" si="1136"/>
        <v>-5.500000000000016E-2</v>
      </c>
      <c r="DG189" s="83">
        <f t="shared" si="1136"/>
        <v>-0.47770002670973222</v>
      </c>
      <c r="DH189" s="1066">
        <f t="shared" si="1136"/>
        <v>-0.25930951746332886</v>
      </c>
      <c r="DI189" s="83"/>
      <c r="DJ189" s="83"/>
      <c r="DK189" s="1079"/>
      <c r="DL189" s="83">
        <f t="shared" si="1136"/>
        <v>0.29279486852670922</v>
      </c>
      <c r="DM189" s="83">
        <f t="shared" si="1136"/>
        <v>0.21115710389901721</v>
      </c>
      <c r="DN189" s="1079">
        <f t="shared" si="1136"/>
        <v>0.25060105402043664</v>
      </c>
      <c r="DO189" s="83">
        <f t="shared" si="1136"/>
        <v>0.166830923518275</v>
      </c>
      <c r="DP189" s="83">
        <f t="shared" si="1136"/>
        <v>0.16501889939282899</v>
      </c>
      <c r="DQ189" s="1079">
        <f t="shared" si="1136"/>
        <v>0.16592393173885744</v>
      </c>
      <c r="DR189" s="83">
        <f t="shared" si="1136"/>
        <v>-1.3241823428173927E-2</v>
      </c>
      <c r="DS189" s="83">
        <f t="shared" si="1136"/>
        <v>0.1090571891912997</v>
      </c>
      <c r="DT189" s="1079">
        <f t="shared" si="1136"/>
        <v>4.7926289149933909E-2</v>
      </c>
      <c r="DU189" s="83">
        <f t="shared" si="1136"/>
        <v>0.15683304446235424</v>
      </c>
      <c r="DV189" s="83">
        <f t="shared" ref="DV189" si="1137">DV188/DS188-1</f>
        <v>-9.6950210050385288E-2</v>
      </c>
      <c r="DW189" s="1079">
        <f t="shared" ref="DW189" si="1138">DW188/DT188-1</f>
        <v>2.2498317332903417E-2</v>
      </c>
      <c r="DX189" s="83">
        <f t="shared" si="1136"/>
        <v>1.2594250273544327E-2</v>
      </c>
      <c r="DY189" s="83">
        <f t="shared" si="1136"/>
        <v>0.125</v>
      </c>
      <c r="DZ189" s="1079">
        <f t="shared" si="1136"/>
        <v>6.5143068742816945E-2</v>
      </c>
      <c r="EA189" s="83">
        <f t="shared" si="1136"/>
        <v>0.1100000000000001</v>
      </c>
      <c r="EB189" s="83">
        <f t="shared" ref="EB189:EL189" si="1139">EB188/DY188-1</f>
        <v>5.0000000000000044E-2</v>
      </c>
      <c r="EC189" s="1079">
        <f t="shared" si="1139"/>
        <v>8.0374188433590232E-2</v>
      </c>
      <c r="ED189" s="83">
        <f t="shared" si="1139"/>
        <v>7.0000000000000062E-2</v>
      </c>
      <c r="EE189" s="83">
        <f t="shared" si="1139"/>
        <v>7.0000000000000062E-2</v>
      </c>
      <c r="EF189" s="1079">
        <f t="shared" si="1139"/>
        <v>7.0000000000000284E-2</v>
      </c>
      <c r="EG189" s="83">
        <f t="shared" si="1139"/>
        <v>9.000000000000008E-2</v>
      </c>
      <c r="EH189" s="83">
        <f t="shared" si="1139"/>
        <v>9.000000000000008E-2</v>
      </c>
      <c r="EI189" s="1079">
        <f t="shared" si="1139"/>
        <v>9.000000000000008E-2</v>
      </c>
      <c r="EJ189" s="83">
        <f t="shared" si="1139"/>
        <v>8.9999999999999858E-2</v>
      </c>
      <c r="EK189" s="83">
        <f t="shared" si="1139"/>
        <v>9.000000000000008E-2</v>
      </c>
      <c r="EL189" s="1079">
        <f t="shared" si="1139"/>
        <v>9.000000000000008E-2</v>
      </c>
      <c r="EM189" s="83">
        <f t="shared" ref="EM189:ER189" si="1140">EM188/EJ188-1</f>
        <v>9.000000000000008E-2</v>
      </c>
      <c r="EN189" s="83">
        <f t="shared" si="1140"/>
        <v>9.000000000000008E-2</v>
      </c>
      <c r="EO189" s="1079">
        <f t="shared" si="1140"/>
        <v>9.000000000000008E-2</v>
      </c>
      <c r="EP189" s="83">
        <f t="shared" si="1140"/>
        <v>9.0000000000000302E-2</v>
      </c>
      <c r="EQ189" s="83">
        <f t="shared" si="1140"/>
        <v>9.000000000000008E-2</v>
      </c>
      <c r="ER189" s="1079">
        <f t="shared" si="1140"/>
        <v>9.000000000000008E-2</v>
      </c>
      <c r="ES189" s="83">
        <f t="shared" ref="ES189" si="1141">ES188/EP188-1</f>
        <v>9.000000000000008E-2</v>
      </c>
      <c r="ET189" s="83">
        <f t="shared" ref="ET189" si="1142">ET188/EQ188-1</f>
        <v>9.000000000000008E-2</v>
      </c>
      <c r="EU189" s="1079">
        <f t="shared" ref="EU189" si="1143">EU188/ER188-1</f>
        <v>9.000000000000008E-2</v>
      </c>
      <c r="EV189" s="83">
        <f t="shared" ref="EV189" si="1144">EV188/ES188-1</f>
        <v>9.000000000000008E-2</v>
      </c>
      <c r="EW189" s="83">
        <f t="shared" ref="EW189" si="1145">EW188/ET188-1</f>
        <v>9.0000000000000302E-2</v>
      </c>
      <c r="EX189" s="1079">
        <f t="shared" ref="EX189" si="1146">EX188/EU188-1</f>
        <v>9.0000000000000302E-2</v>
      </c>
      <c r="EY189" s="83">
        <f t="shared" ref="EY189" si="1147">EY188/EV188-1</f>
        <v>9.000000000000008E-2</v>
      </c>
      <c r="EZ189" s="83">
        <f t="shared" ref="EZ189" si="1148">EZ188/EW188-1</f>
        <v>9.000000000000008E-2</v>
      </c>
      <c r="FA189" s="1079">
        <f t="shared" ref="FA189" si="1149">FA188/EX188-1</f>
        <v>8.9999999999999858E-2</v>
      </c>
      <c r="FH189" s="35"/>
      <c r="FI189" s="35"/>
      <c r="FJ189" s="35"/>
      <c r="FK189" s="35"/>
      <c r="FL189" s="35"/>
      <c r="FM189" s="35"/>
      <c r="FN189" s="35"/>
      <c r="FO189" s="35"/>
      <c r="FP189" s="35"/>
      <c r="FQ189" s="35"/>
    </row>
    <row r="190" spans="1:173" s="321" customFormat="1" ht="13.35" customHeight="1" outlineLevel="1">
      <c r="A190" s="1168"/>
      <c r="B190" s="186"/>
      <c r="C190" s="186"/>
      <c r="D190" s="910"/>
      <c r="E190" s="186"/>
      <c r="F190" s="186"/>
      <c r="G190" s="186"/>
      <c r="H190" s="186"/>
      <c r="I190" s="186"/>
      <c r="J190" s="186"/>
      <c r="K190" s="186"/>
      <c r="L190" s="186"/>
      <c r="M190" s="186"/>
      <c r="N190" s="186"/>
      <c r="O190" s="186"/>
      <c r="P190" s="186"/>
      <c r="Q190" s="186"/>
      <c r="R190" s="186"/>
      <c r="S190" s="186"/>
      <c r="T190" s="186"/>
      <c r="U190" s="186"/>
      <c r="V190" s="186"/>
      <c r="W190" s="186"/>
      <c r="X190" s="186"/>
      <c r="Y190" s="186"/>
      <c r="Z190" s="186"/>
      <c r="AA190" s="186"/>
      <c r="AB190" s="186"/>
      <c r="AC190" s="186"/>
      <c r="AD190" s="186"/>
      <c r="AE190" s="186"/>
      <c r="AF190" s="186"/>
      <c r="AG190" s="186"/>
      <c r="AH190" s="186"/>
      <c r="AI190" s="186"/>
      <c r="AJ190" s="186"/>
      <c r="AK190" s="186"/>
      <c r="AL190" s="186"/>
      <c r="AM190" s="186"/>
      <c r="AN190" s="186"/>
      <c r="AO190" s="186"/>
      <c r="AP190" s="186"/>
      <c r="AQ190" s="186"/>
      <c r="AR190" s="186"/>
      <c r="AS190" s="186"/>
      <c r="AT190" s="186"/>
      <c r="AU190" s="186"/>
      <c r="AV190" s="186"/>
      <c r="AW190" s="186"/>
      <c r="AX190" s="186"/>
      <c r="AY190" s="186"/>
      <c r="AZ190" s="186"/>
      <c r="BA190" s="186"/>
      <c r="BB190" s="186"/>
      <c r="BC190" s="331"/>
      <c r="BD190" s="186"/>
      <c r="BE190" s="186"/>
      <c r="BF190" s="331"/>
      <c r="BG190" s="186"/>
      <c r="BH190" s="186"/>
      <c r="BI190" s="331"/>
      <c r="BJ190" s="186"/>
      <c r="BK190" s="186"/>
      <c r="BL190" s="331"/>
      <c r="BM190" s="190"/>
      <c r="BN190" s="190"/>
      <c r="BO190" s="973"/>
      <c r="BP190" s="190"/>
      <c r="BQ190" s="190"/>
      <c r="BR190" s="973"/>
      <c r="BS190" s="190"/>
      <c r="BT190" s="190"/>
      <c r="BU190" s="190"/>
      <c r="BV190" s="190"/>
      <c r="BW190" s="190"/>
      <c r="BX190" s="190"/>
      <c r="BY190" s="190"/>
      <c r="BZ190" s="190"/>
      <c r="CA190" s="190"/>
      <c r="CB190" s="190"/>
      <c r="CC190" s="190"/>
      <c r="CD190" s="190"/>
      <c r="CE190" s="190"/>
      <c r="CF190" s="190"/>
      <c r="CG190" s="190"/>
      <c r="CH190" s="190"/>
      <c r="CI190" s="190"/>
      <c r="CJ190" s="190"/>
      <c r="CK190" s="190"/>
      <c r="CL190" s="190"/>
      <c r="CM190" s="190"/>
      <c r="CN190" s="190"/>
      <c r="CO190" s="190"/>
      <c r="CP190" s="190"/>
      <c r="CQ190" s="190">
        <f>CQ124</f>
        <v>57.500000000000007</v>
      </c>
      <c r="CR190" s="190"/>
      <c r="CS190" s="190"/>
      <c r="CT190" s="190"/>
      <c r="CU190" s="190"/>
      <c r="CV190" s="190"/>
      <c r="CW190" s="190"/>
      <c r="CX190" s="190"/>
      <c r="CY190" s="190"/>
      <c r="CZ190" s="190"/>
      <c r="DA190" s="190"/>
      <c r="DB190" s="190"/>
      <c r="DC190" s="190"/>
      <c r="DD190" s="190"/>
      <c r="DE190" s="190"/>
      <c r="DF190" s="190"/>
      <c r="DG190" s="190"/>
      <c r="DH190" s="1080"/>
      <c r="DI190" s="190"/>
      <c r="DJ190" s="190"/>
      <c r="DK190" s="1080"/>
      <c r="DL190" s="190"/>
      <c r="DM190" s="190"/>
      <c r="DN190" s="1080"/>
      <c r="DO190" s="190"/>
      <c r="DP190" s="190"/>
      <c r="DQ190" s="1080"/>
      <c r="DR190" s="190"/>
      <c r="DS190" s="190"/>
      <c r="DT190" s="1080"/>
      <c r="DU190" s="190"/>
      <c r="DV190" s="190"/>
      <c r="DW190" s="1080"/>
      <c r="DX190" s="190"/>
      <c r="DY190" s="190"/>
      <c r="DZ190" s="1080"/>
      <c r="EA190" s="190"/>
      <c r="EB190" s="190"/>
      <c r="EC190" s="1080"/>
      <c r="ED190" s="190"/>
      <c r="EE190" s="190"/>
      <c r="EF190" s="1080"/>
      <c r="EG190" s="190"/>
      <c r="EH190" s="190"/>
      <c r="EI190" s="1080"/>
      <c r="EJ190" s="190"/>
      <c r="EK190" s="190"/>
      <c r="EL190" s="1080"/>
      <c r="EM190" s="190"/>
      <c r="EN190" s="190"/>
      <c r="EO190" s="1080"/>
      <c r="EP190" s="190"/>
      <c r="EQ190" s="190"/>
      <c r="ER190" s="1080"/>
      <c r="ES190" s="190"/>
      <c r="ET190" s="190"/>
      <c r="EU190" s="1080"/>
      <c r="EV190" s="190"/>
      <c r="EW190" s="190"/>
      <c r="EX190" s="1080"/>
      <c r="EY190" s="190"/>
      <c r="EZ190" s="190"/>
      <c r="FA190" s="1080"/>
      <c r="FH190" s="35"/>
      <c r="FI190" s="35"/>
      <c r="FJ190" s="35"/>
      <c r="FK190" s="35"/>
      <c r="FL190" s="35"/>
      <c r="FM190" s="35"/>
      <c r="FN190" s="35"/>
      <c r="FO190" s="35"/>
      <c r="FP190" s="35"/>
      <c r="FQ190" s="35"/>
    </row>
    <row r="191" spans="1:173" outlineLevel="1">
      <c r="B191" s="186" t="s">
        <v>422</v>
      </c>
      <c r="D191" s="926" t="s">
        <v>604</v>
      </c>
      <c r="BA191" s="35"/>
      <c r="BB191" s="35"/>
      <c r="BC191" s="322"/>
      <c r="BD191" s="35"/>
      <c r="BE191" s="35"/>
      <c r="BG191" s="35"/>
      <c r="BH191" s="35"/>
      <c r="BJ191" s="35"/>
      <c r="BK191" s="35"/>
      <c r="BL191" s="31"/>
      <c r="BM191" s="190"/>
      <c r="BN191" s="190"/>
      <c r="BO191" s="973"/>
      <c r="BP191" s="190"/>
      <c r="BQ191" s="190"/>
      <c r="BR191" s="973"/>
      <c r="BS191" s="190"/>
      <c r="BT191" s="190"/>
      <c r="BU191" s="190"/>
      <c r="BV191" s="190"/>
      <c r="BW191" s="190"/>
      <c r="BX191" s="190"/>
      <c r="BY191" s="190"/>
      <c r="BZ191" s="190"/>
      <c r="CA191" s="190"/>
      <c r="CB191" s="190"/>
      <c r="CC191" s="190"/>
      <c r="CD191" s="190"/>
      <c r="CE191" s="190"/>
      <c r="CF191" s="190"/>
      <c r="CG191" s="190"/>
      <c r="CH191" s="190"/>
      <c r="CI191" s="190"/>
      <c r="CJ191" s="190"/>
      <c r="CK191" s="190"/>
      <c r="CL191" s="190"/>
      <c r="CM191" s="190"/>
      <c r="CN191" s="190"/>
      <c r="CO191" s="187"/>
      <c r="CP191" s="190"/>
      <c r="CQ191" s="190">
        <f>CQ188*1/CQ75</f>
        <v>19.32981330648105</v>
      </c>
      <c r="CR191" s="190">
        <f>CR188*1/CR75</f>
        <v>23.28811014706195</v>
      </c>
      <c r="CS191" s="190">
        <f>CQ191+CR191</f>
        <v>42.617923453543</v>
      </c>
      <c r="CT191" s="190">
        <f>CT188*1/CT75</f>
        <v>27.419374358527367</v>
      </c>
      <c r="CU191" s="190">
        <f>CU188*1/CU75</f>
        <v>27.159451960915426</v>
      </c>
      <c r="CV191" s="190">
        <f>CT191+CU191</f>
        <v>54.578826319442797</v>
      </c>
      <c r="CW191" s="190">
        <f>CW188*1/CW75</f>
        <v>30.29375717154694</v>
      </c>
      <c r="CX191" s="190">
        <f>CX188*1/CX75</f>
        <v>33.506082098590966</v>
      </c>
      <c r="CY191" s="190">
        <f>CW191+CX191</f>
        <v>63.799839270137909</v>
      </c>
      <c r="CZ191" s="190">
        <f>CZ188*1/CZ75</f>
        <v>30.452091394949012</v>
      </c>
      <c r="DA191" s="190">
        <f>DA188*1/DA75</f>
        <v>31.983877737802935</v>
      </c>
      <c r="DB191" s="190">
        <f>CZ191+DA191</f>
        <v>62.43596913275195</v>
      </c>
      <c r="DC191" s="190">
        <f>DC188*1/DC75</f>
        <v>29.32496257081031</v>
      </c>
      <c r="DD191" s="190">
        <f>DD188*1/DD75</f>
        <v>27.695037429189714</v>
      </c>
      <c r="DE191" s="190">
        <f>DC191+DD191</f>
        <v>57.020000000000024</v>
      </c>
      <c r="DF191" s="190">
        <f>DF188*1/DF75</f>
        <v>29.133430874742057</v>
      </c>
      <c r="DG191" s="190">
        <f>DG188*1/DG75</f>
        <v>15.716569125257937</v>
      </c>
      <c r="DH191" s="1060">
        <f>DF191+DG191</f>
        <v>44.849999999999994</v>
      </c>
      <c r="DI191" s="1155">
        <f>+DI124*DI91</f>
        <v>37.023747980613891</v>
      </c>
      <c r="DJ191" s="1155">
        <f>+DJ124*DJ91</f>
        <v>38.607994670219846</v>
      </c>
      <c r="DK191" s="1156">
        <f>DI191+DJ191</f>
        <v>75.631742650833729</v>
      </c>
      <c r="DL191" s="1155">
        <f>+DL124*DL91</f>
        <v>48.067656077517476</v>
      </c>
      <c r="DM191" s="1155">
        <f>+DM124*DM91</f>
        <v>47.905582465488024</v>
      </c>
      <c r="DN191" s="1156">
        <f>DL191+DM191</f>
        <v>95.973238543005493</v>
      </c>
      <c r="DO191" s="1155">
        <f>+DO124*DO91</f>
        <v>60.22643729687325</v>
      </c>
      <c r="DP191" s="1155">
        <f>+DP124*DP91</f>
        <v>59.735000940379905</v>
      </c>
      <c r="DQ191" s="1156">
        <f>DO191+DP191</f>
        <v>119.96143823725316</v>
      </c>
      <c r="DR191" s="1155">
        <f>+DR124*DR91</f>
        <v>60.990120352074719</v>
      </c>
      <c r="DS191" s="1155">
        <f>+DS124*DS91</f>
        <v>68.05432389937107</v>
      </c>
      <c r="DT191" s="1156">
        <f>DR191+DS191</f>
        <v>129.04444425144578</v>
      </c>
      <c r="DU191" s="1155">
        <f>+DU124*DU91</f>
        <v>69.68995640653047</v>
      </c>
      <c r="DV191" s="1155">
        <f>+DV124*DV91</f>
        <v>63.83135171599627</v>
      </c>
      <c r="DW191" s="1156">
        <f>DU191+DV191</f>
        <v>133.52130812252673</v>
      </c>
      <c r="DX191" s="1155">
        <f>+DX124*DX91</f>
        <v>71.214795918367358</v>
      </c>
      <c r="DY191" s="1155">
        <f>DY188*1/DY75</f>
        <v>63.853732975363727</v>
      </c>
      <c r="DZ191" s="1156">
        <f>DX191+DY191</f>
        <v>135.06852889373107</v>
      </c>
      <c r="EA191" s="1155">
        <f>EA188*1/EA75</f>
        <v>72.668081942327916</v>
      </c>
      <c r="EB191" s="1155">
        <f>EB188*1/EB75</f>
        <v>67.046419624131914</v>
      </c>
      <c r="EC191" s="1156">
        <f>EA191+EB191</f>
        <v>139.71450156645983</v>
      </c>
      <c r="ED191" s="1155">
        <f>ED188*1/ED75</f>
        <v>77.754847678290872</v>
      </c>
      <c r="EE191" s="1155">
        <f>EE188*1/EE75</f>
        <v>71.739668997821155</v>
      </c>
      <c r="EF191" s="1156">
        <f>ED191+EE191</f>
        <v>149.49451667611203</v>
      </c>
      <c r="EG191" s="1155">
        <f>EG188*1/EG75</f>
        <v>84.752783969337059</v>
      </c>
      <c r="EH191" s="1155">
        <f>EH188*1/EH75</f>
        <v>78.196239207625069</v>
      </c>
      <c r="EI191" s="1156">
        <f>EG191+EH191</f>
        <v>162.94902317696213</v>
      </c>
      <c r="EJ191" s="1155">
        <f>EJ188*1/EJ75</f>
        <v>92.380534526577392</v>
      </c>
      <c r="EK191" s="1155">
        <f>EK188*1/EK75</f>
        <v>85.233900736311327</v>
      </c>
      <c r="EL191" s="1156">
        <f>EJ191+EK191</f>
        <v>177.61443526288872</v>
      </c>
      <c r="EM191" s="1155">
        <f>EM188*1/EM75</f>
        <v>100.69478263396937</v>
      </c>
      <c r="EN191" s="1155">
        <f>EN188*1/EN75</f>
        <v>92.904951802579362</v>
      </c>
      <c r="EO191" s="1156">
        <f>EM191+EN191</f>
        <v>193.59973443654872</v>
      </c>
      <c r="EP191" s="1155">
        <f>EP188*1/EP75</f>
        <v>109.75731307102663</v>
      </c>
      <c r="EQ191" s="1155">
        <f>EQ188*1/EQ75</f>
        <v>101.26639746481149</v>
      </c>
      <c r="ER191" s="1156">
        <f>EP191+EQ191</f>
        <v>211.02371053583812</v>
      </c>
      <c r="ES191" s="1155">
        <f>ES188*1/ES75</f>
        <v>119.63547124741905</v>
      </c>
      <c r="ET191" s="1155">
        <f>ET188*1/ET75</f>
        <v>110.38037323664453</v>
      </c>
      <c r="EU191" s="1156">
        <f>ES191+ET191</f>
        <v>230.01584448406356</v>
      </c>
      <c r="EV191" s="1155">
        <f>EV188*1/EV75</f>
        <v>130.40266365968677</v>
      </c>
      <c r="EW191" s="1155">
        <f>EW188*1/EW75</f>
        <v>120.31460682794257</v>
      </c>
      <c r="EX191" s="1156">
        <f>EV191+EW191</f>
        <v>250.71727048762932</v>
      </c>
      <c r="EY191" s="1155">
        <f>EY188*1/EY75</f>
        <v>142.13890338905858</v>
      </c>
      <c r="EZ191" s="1155">
        <f>EZ188*1/EZ75</f>
        <v>131.14292144245741</v>
      </c>
      <c r="FA191" s="1156">
        <f>EY191+EZ191</f>
        <v>273.28182483151602</v>
      </c>
    </row>
    <row r="192" spans="1:173" outlineLevel="1">
      <c r="B192" s="321"/>
      <c r="D192" s="926" t="s">
        <v>209</v>
      </c>
      <c r="BA192" s="35"/>
      <c r="BB192" s="35"/>
      <c r="BC192" s="322"/>
      <c r="BD192" s="35"/>
      <c r="BE192" s="35"/>
      <c r="BG192" s="35"/>
      <c r="BH192" s="35"/>
      <c r="BJ192" s="35"/>
      <c r="BK192" s="35"/>
      <c r="BL192" s="31"/>
      <c r="BM192" s="190"/>
      <c r="BN192" s="190"/>
      <c r="BO192" s="973"/>
      <c r="BP192" s="83"/>
      <c r="BQ192" s="83"/>
      <c r="BR192" s="83"/>
      <c r="BS192" s="83"/>
      <c r="BT192" s="83"/>
      <c r="BU192" s="83"/>
      <c r="BV192" s="83"/>
      <c r="BW192" s="83"/>
      <c r="BX192" s="83"/>
      <c r="BY192" s="83"/>
      <c r="BZ192" s="83"/>
      <c r="CA192" s="83"/>
      <c r="CB192" s="83"/>
      <c r="CC192" s="83"/>
      <c r="CD192" s="83"/>
      <c r="CE192" s="83"/>
      <c r="CF192" s="83"/>
      <c r="CG192" s="83"/>
      <c r="CH192" s="83"/>
      <c r="CI192" s="83"/>
      <c r="CJ192" s="83"/>
      <c r="CK192" s="83"/>
      <c r="CL192" s="83"/>
      <c r="CM192" s="83"/>
      <c r="CN192" s="83"/>
      <c r="CO192" s="83"/>
      <c r="CP192" s="83"/>
      <c r="CQ192" s="83"/>
      <c r="CR192" s="83"/>
      <c r="CS192" s="83"/>
      <c r="CT192" s="83">
        <f t="shared" ref="CT192:CU192" si="1150">CT191/CQ191-1</f>
        <v>0.41850176842287379</v>
      </c>
      <c r="CU192" s="83">
        <f t="shared" si="1150"/>
        <v>0.16623683885924456</v>
      </c>
      <c r="CV192" s="83">
        <f t="shared" ref="CV192:EA192" si="1151">CV191/CS191-1</f>
        <v>0.28065428572413098</v>
      </c>
      <c r="CW192" s="83">
        <f t="shared" si="1151"/>
        <v>0.10483035737559221</v>
      </c>
      <c r="CX192" s="83">
        <f t="shared" si="1151"/>
        <v>0.23368034623116984</v>
      </c>
      <c r="CY192" s="83">
        <f t="shared" si="1151"/>
        <v>0.16894853870117532</v>
      </c>
      <c r="CZ192" s="83">
        <f t="shared" si="1151"/>
        <v>5.2266287903959263E-3</v>
      </c>
      <c r="DA192" s="83">
        <f t="shared" si="1151"/>
        <v>-4.5430687966112382E-2</v>
      </c>
      <c r="DB192" s="83">
        <f t="shared" si="1151"/>
        <v>-2.1377328736066792E-2</v>
      </c>
      <c r="DC192" s="83">
        <f t="shared" si="1151"/>
        <v>-3.7013182757150598E-2</v>
      </c>
      <c r="DD192" s="83">
        <f t="shared" si="1151"/>
        <v>-0.13409381888500904</v>
      </c>
      <c r="DE192" s="83">
        <f t="shared" si="1151"/>
        <v>-8.6744375205203283E-2</v>
      </c>
      <c r="DF192" s="83">
        <f t="shared" si="1151"/>
        <v>-6.5313534708105747E-3</v>
      </c>
      <c r="DG192" s="83">
        <f t="shared" si="1151"/>
        <v>-0.43251316538416518</v>
      </c>
      <c r="DH192" s="1066">
        <f t="shared" si="1151"/>
        <v>-0.21343388284812392</v>
      </c>
      <c r="DI192" s="83"/>
      <c r="DJ192" s="83"/>
      <c r="DK192" s="1079"/>
      <c r="DL192" s="83">
        <f t="shared" si="1151"/>
        <v>0.29829254733168331</v>
      </c>
      <c r="DM192" s="83">
        <f t="shared" si="1151"/>
        <v>0.24082027245097626</v>
      </c>
      <c r="DN192" s="1079">
        <f t="shared" si="1151"/>
        <v>0.26895447836078024</v>
      </c>
      <c r="DO192" s="83">
        <f t="shared" si="1151"/>
        <v>0.25295140665373039</v>
      </c>
      <c r="DP192" s="83">
        <f t="shared" si="1151"/>
        <v>0.246931941249519</v>
      </c>
      <c r="DQ192" s="1079">
        <f t="shared" si="1151"/>
        <v>0.249946756600264</v>
      </c>
      <c r="DR192" s="83">
        <f t="shared" si="1151"/>
        <v>1.2680196429967427E-2</v>
      </c>
      <c r="DS192" s="83">
        <f t="shared" si="1151"/>
        <v>0.13927049180587581</v>
      </c>
      <c r="DT192" s="1079">
        <f t="shared" si="1151"/>
        <v>7.5716047987260282E-2</v>
      </c>
      <c r="DU192" s="83">
        <f t="shared" si="1151"/>
        <v>0.14264336591294824</v>
      </c>
      <c r="DV192" s="83">
        <f t="shared" ref="DV192" si="1152">DV191/DS191-1</f>
        <v>-6.2052959186239542E-2</v>
      </c>
      <c r="DW192" s="1079">
        <f t="shared" ref="DW192" si="1153">DW191/DT191-1</f>
        <v>3.4692418546572235E-2</v>
      </c>
      <c r="DX192" s="83">
        <f t="shared" si="1151"/>
        <v>2.1880333845265554E-2</v>
      </c>
      <c r="DY192" s="83">
        <f t="shared" si="1151"/>
        <v>3.506311360448322E-4</v>
      </c>
      <c r="DZ192" s="1079">
        <f t="shared" si="1151"/>
        <v>1.1587819150068013E-2</v>
      </c>
      <c r="EA192" s="83">
        <f t="shared" si="1151"/>
        <v>2.0407079810021989E-2</v>
      </c>
      <c r="EB192" s="83">
        <f t="shared" ref="EB192:EL192" si="1154">EB191/DY191-1</f>
        <v>5.0000000000000044E-2</v>
      </c>
      <c r="EC192" s="1079">
        <f t="shared" si="1154"/>
        <v>3.4397151659096847E-2</v>
      </c>
      <c r="ED192" s="83">
        <f t="shared" si="1154"/>
        <v>7.0000000000000062E-2</v>
      </c>
      <c r="EE192" s="83">
        <f t="shared" si="1154"/>
        <v>7.0000000000000062E-2</v>
      </c>
      <c r="EF192" s="1079">
        <f t="shared" si="1154"/>
        <v>7.0000000000000062E-2</v>
      </c>
      <c r="EG192" s="83">
        <f t="shared" si="1154"/>
        <v>9.000000000000008E-2</v>
      </c>
      <c r="EH192" s="83">
        <f t="shared" si="1154"/>
        <v>9.000000000000008E-2</v>
      </c>
      <c r="EI192" s="1079">
        <f t="shared" si="1154"/>
        <v>9.000000000000008E-2</v>
      </c>
      <c r="EJ192" s="83">
        <f t="shared" si="1154"/>
        <v>9.000000000000008E-2</v>
      </c>
      <c r="EK192" s="83">
        <f t="shared" si="1154"/>
        <v>9.000000000000008E-2</v>
      </c>
      <c r="EL192" s="1079">
        <f t="shared" si="1154"/>
        <v>9.000000000000008E-2</v>
      </c>
      <c r="EM192" s="83">
        <f t="shared" ref="EM192:ER192" si="1155">EM191/EJ191-1</f>
        <v>9.000000000000008E-2</v>
      </c>
      <c r="EN192" s="83">
        <f t="shared" si="1155"/>
        <v>9.000000000000008E-2</v>
      </c>
      <c r="EO192" s="1079">
        <f t="shared" si="1155"/>
        <v>9.000000000000008E-2</v>
      </c>
      <c r="EP192" s="83">
        <f t="shared" si="1155"/>
        <v>9.000000000000008E-2</v>
      </c>
      <c r="EQ192" s="83">
        <f t="shared" si="1155"/>
        <v>8.9999999999999858E-2</v>
      </c>
      <c r="ER192" s="1079">
        <f t="shared" si="1155"/>
        <v>9.000000000000008E-2</v>
      </c>
      <c r="ES192" s="83">
        <f t="shared" ref="ES192" si="1156">ES191/EP191-1</f>
        <v>9.0000000000000302E-2</v>
      </c>
      <c r="ET192" s="83">
        <f t="shared" ref="ET192" si="1157">ET191/EQ191-1</f>
        <v>9.000000000000008E-2</v>
      </c>
      <c r="EU192" s="1079">
        <f t="shared" ref="EU192" si="1158">EU191/ER191-1</f>
        <v>9.000000000000008E-2</v>
      </c>
      <c r="EV192" s="83">
        <f t="shared" ref="EV192" si="1159">EV191/ES191-1</f>
        <v>9.000000000000008E-2</v>
      </c>
      <c r="EW192" s="83">
        <f t="shared" ref="EW192" si="1160">EW191/ET191-1</f>
        <v>9.0000000000000302E-2</v>
      </c>
      <c r="EX192" s="1079">
        <f t="shared" ref="EX192" si="1161">EX191/EU191-1</f>
        <v>9.000000000000008E-2</v>
      </c>
      <c r="EY192" s="83">
        <f t="shared" ref="EY192" si="1162">EY191/EV191-1</f>
        <v>9.000000000000008E-2</v>
      </c>
      <c r="EZ192" s="83">
        <f t="shared" ref="EZ192" si="1163">EZ191/EW191-1</f>
        <v>9.000000000000008E-2</v>
      </c>
      <c r="FA192" s="1079">
        <f t="shared" ref="FA192" si="1164">FA191/EX191-1</f>
        <v>9.0000000000000302E-2</v>
      </c>
    </row>
    <row r="193" spans="1:173" outlineLevel="1">
      <c r="A193" s="1426" t="s">
        <v>790</v>
      </c>
      <c r="BA193" s="91"/>
      <c r="BB193" s="91"/>
      <c r="BC193" s="942"/>
      <c r="BD193" s="91"/>
      <c r="BE193" s="91"/>
      <c r="BF193" s="87"/>
      <c r="BG193" s="91"/>
      <c r="BH193" s="91"/>
      <c r="BI193" s="87"/>
      <c r="BR193" s="124"/>
      <c r="BS193" s="101"/>
      <c r="BT193" s="71"/>
      <c r="BU193" s="74"/>
      <c r="BV193" s="101"/>
      <c r="BW193" s="101"/>
      <c r="BX193" s="74"/>
      <c r="BY193" s="71"/>
      <c r="BZ193" s="71"/>
      <c r="CA193" s="70"/>
      <c r="CB193" s="71"/>
      <c r="CC193" s="71"/>
      <c r="CD193" s="70"/>
      <c r="CE193" s="71"/>
      <c r="CF193" s="71"/>
      <c r="CG193" s="70"/>
      <c r="CH193" s="71"/>
      <c r="CI193" s="71"/>
      <c r="CJ193" s="70"/>
      <c r="DH193" s="1067"/>
      <c r="DK193" s="1067"/>
      <c r="DM193" s="259"/>
      <c r="DN193" s="1107"/>
      <c r="DQ193" s="1067"/>
      <c r="DT193" s="1067"/>
      <c r="DW193" s="1067"/>
      <c r="DZ193" s="1067"/>
      <c r="EC193" s="1067"/>
      <c r="EF193" s="1067"/>
      <c r="EI193" s="1067"/>
      <c r="EL193" s="1067"/>
      <c r="EO193" s="1067"/>
      <c r="ER193" s="1067"/>
      <c r="EU193" s="1067"/>
      <c r="EX193" s="1067"/>
      <c r="FA193" s="1067"/>
    </row>
    <row r="194" spans="1:173" s="1147" customFormat="1" outlineLevel="1">
      <c r="B194" s="1147" t="s">
        <v>21</v>
      </c>
      <c r="D194" s="1148" t="s">
        <v>98</v>
      </c>
      <c r="BC194" s="1149"/>
      <c r="BF194" s="1150"/>
      <c r="BG194" s="1150"/>
      <c r="BH194" s="1150"/>
      <c r="BI194" s="1150"/>
      <c r="BL194" s="1150"/>
      <c r="BO194" s="1150"/>
      <c r="BR194" s="1150"/>
      <c r="BS194" s="1147">
        <v>2931.9933044608188</v>
      </c>
      <c r="BT194" s="1147">
        <v>2931.9933044608188</v>
      </c>
      <c r="BU194" s="1147">
        <v>5863.9866089216375</v>
      </c>
      <c r="BV194" s="1147">
        <v>1954.6622029738792</v>
      </c>
      <c r="BW194" s="1147">
        <v>2443.327753717349</v>
      </c>
      <c r="BY194" s="1147">
        <v>2443.327753717349</v>
      </c>
      <c r="BZ194" s="1147">
        <v>2443.327753717349</v>
      </c>
      <c r="CB194" s="1147">
        <v>2950.6534625249355</v>
      </c>
      <c r="CC194" s="1147">
        <v>3256.7911754307411</v>
      </c>
      <c r="CE194" s="1147">
        <v>2719.8034033948943</v>
      </c>
      <c r="CF194" s="1147">
        <v>2597.5916910096603</v>
      </c>
      <c r="CG194" s="1147">
        <v>5317.3950944045546</v>
      </c>
      <c r="CH194" s="1147">
        <v>3744.2429700374378</v>
      </c>
      <c r="CI194" s="1147">
        <v>3045.572320221303</v>
      </c>
      <c r="CJ194" s="1147">
        <v>6789.8152902587408</v>
      </c>
      <c r="CK194" s="1147">
        <v>3439.392155015059</v>
      </c>
      <c r="CL194" s="1147">
        <v>217.0363086460784</v>
      </c>
      <c r="CM194" s="1147">
        <v>3656.4284636611374</v>
      </c>
      <c r="CN194" s="1147">
        <v>2946.4706805541609</v>
      </c>
      <c r="CO194" s="1147">
        <v>2410.9415132217546</v>
      </c>
      <c r="CP194" s="1147">
        <v>5357.4121937759155</v>
      </c>
      <c r="CQ194" s="1147">
        <v>3798.7311494996684</v>
      </c>
      <c r="CR194" s="1147">
        <v>2870.2871309206166</v>
      </c>
      <c r="CU194" s="1147">
        <v>5328.4755091690522</v>
      </c>
      <c r="CV194" s="1147">
        <f>SUM(CT194:CU194)</f>
        <v>5328.4755091690522</v>
      </c>
      <c r="CW194" s="1147">
        <v>6454.3501622548583</v>
      </c>
      <c r="CX194" s="1147">
        <v>6600.1774537482388</v>
      </c>
      <c r="CY194" s="1147">
        <f>SUM(CW194:CX194)</f>
        <v>13054.527616003097</v>
      </c>
      <c r="CZ194" s="1147">
        <v>7390.2830230420195</v>
      </c>
      <c r="DA194" s="1147">
        <v>6693.2702582645343</v>
      </c>
      <c r="DB194" s="1147">
        <f>SUM(CZ194:DA194)</f>
        <v>14083.553281306555</v>
      </c>
      <c r="DC194" s="1147">
        <v>8528.5402199722848</v>
      </c>
      <c r="DD194" s="1147">
        <v>7605.3099612561828</v>
      </c>
      <c r="DE194" s="1147">
        <f>SUM(DC194:DD194)</f>
        <v>16133.850181228467</v>
      </c>
      <c r="DF194" s="1147">
        <v>8493.9659103265403</v>
      </c>
      <c r="DG194" s="1147">
        <v>5222.6782537894524</v>
      </c>
      <c r="DH194" s="1151">
        <f>SUM(DF194:DG194)</f>
        <v>13716.644164115993</v>
      </c>
      <c r="DI194" s="1147">
        <v>8944.2594217208789</v>
      </c>
      <c r="DJ194" s="1147">
        <v>8191.1810703388137</v>
      </c>
      <c r="DK194" s="1151">
        <f>SUM(DI194:DJ194)</f>
        <v>17135.440492059693</v>
      </c>
      <c r="DL194" s="1147">
        <v>10657.225507454583</v>
      </c>
      <c r="DM194" s="1147">
        <v>11656.863147856118</v>
      </c>
      <c r="DN194" s="1151">
        <f>SUM(DL194:DM194)</f>
        <v>22314.088655310701</v>
      </c>
      <c r="DO194" s="1147">
        <v>9845.7523510908704</v>
      </c>
      <c r="DP194" s="1147">
        <v>14897.358291756258</v>
      </c>
      <c r="DQ194" s="1151">
        <f>SUM(DO194:DP194)</f>
        <v>24743.110642847128</v>
      </c>
      <c r="DR194" s="1147">
        <v>13552.271430000048</v>
      </c>
      <c r="DS194" s="1147">
        <v>15524.267736139995</v>
      </c>
      <c r="DT194" s="1151">
        <f>SUM(DR194:DS194)</f>
        <v>29076.539166140043</v>
      </c>
      <c r="DU194" s="1147">
        <v>13880.059335109192</v>
      </c>
      <c r="DV194" s="1147">
        <v>16463.761737262277</v>
      </c>
      <c r="DW194" s="1151">
        <f>SUM(DU194:DV194)</f>
        <v>30343.821072371469</v>
      </c>
      <c r="DX194" s="1147">
        <v>14688.733311470782</v>
      </c>
      <c r="DY194" s="1147">
        <v>17374.320660168756</v>
      </c>
      <c r="DZ194" s="1151">
        <f>SUM(DX194:DY194)</f>
        <v>32063.053971639536</v>
      </c>
      <c r="EA194" s="1147">
        <v>15880.72611048545</v>
      </c>
      <c r="EB194" s="1147">
        <v>18570.912343910826</v>
      </c>
      <c r="EC194" s="1151">
        <f>SUM(EA194:EB194)</f>
        <v>34451.638454396278</v>
      </c>
      <c r="ED194" s="1147">
        <v>16674.762416009722</v>
      </c>
      <c r="EE194" s="1147">
        <v>19499.457961106367</v>
      </c>
      <c r="EF194" s="1151">
        <f>SUM(ED194:EE194)</f>
        <v>36174.220377116086</v>
      </c>
      <c r="EG194" s="1147">
        <v>17508.50053681021</v>
      </c>
      <c r="EH194" s="1147">
        <v>20474.43085916169</v>
      </c>
      <c r="EI194" s="1151">
        <f>SUM(EG194:EH194)</f>
        <v>37982.9313959719</v>
      </c>
      <c r="EJ194" s="1147">
        <v>18383.925563650722</v>
      </c>
      <c r="EK194" s="1147">
        <v>21498.152402119777</v>
      </c>
      <c r="EL194" s="1151">
        <f>SUM(EJ194:EK194)</f>
        <v>39882.077965770499</v>
      </c>
      <c r="EM194" s="1147">
        <v>19303.121841833254</v>
      </c>
      <c r="EN194" s="1147">
        <v>22573.060022225771</v>
      </c>
      <c r="EO194" s="1151">
        <f>SUM(EM194:EN194)</f>
        <v>41876.181864059021</v>
      </c>
      <c r="EP194" s="1147">
        <v>20268.277933924925</v>
      </c>
      <c r="EQ194" s="1147">
        <v>23701.713023337055</v>
      </c>
      <c r="ER194" s="1151">
        <f>SUM(EP194:EQ194)</f>
        <v>43969.99095726198</v>
      </c>
      <c r="EU194" s="1151"/>
      <c r="EX194" s="1151"/>
      <c r="FA194" s="1151"/>
    </row>
    <row r="195" spans="1:173" outlineLevel="1">
      <c r="B195" s="31"/>
      <c r="BA195" s="91"/>
      <c r="BB195" s="91"/>
      <c r="BC195" s="942"/>
      <c r="BD195" s="91"/>
      <c r="BE195" s="91"/>
      <c r="BF195" s="87"/>
      <c r="BG195" s="1013"/>
      <c r="BH195" s="1013"/>
      <c r="BI195" s="87"/>
      <c r="BR195" s="124"/>
      <c r="BS195" s="101"/>
      <c r="BT195" s="71"/>
      <c r="BU195" s="70"/>
      <c r="BV195" s="71"/>
      <c r="BW195" s="71"/>
      <c r="BX195" s="74"/>
      <c r="BY195" s="71"/>
      <c r="BZ195" s="71"/>
      <c r="CA195" s="70"/>
      <c r="CB195" s="71"/>
      <c r="CC195" s="71"/>
      <c r="CD195" s="70"/>
      <c r="CE195" s="71"/>
      <c r="CF195" s="71"/>
      <c r="CG195" s="70"/>
      <c r="CH195" s="71"/>
      <c r="CI195" s="71"/>
      <c r="CJ195" s="70"/>
      <c r="CK195" s="71"/>
      <c r="CL195" s="71"/>
      <c r="CN195" s="71"/>
      <c r="CQ195" s="71"/>
      <c r="CR195" s="71"/>
      <c r="CS195" s="74"/>
      <c r="CT195" s="71"/>
      <c r="CU195" s="71"/>
      <c r="CV195" s="70"/>
      <c r="CW195" s="71"/>
      <c r="CX195" s="71"/>
      <c r="CY195" s="70"/>
      <c r="CZ195" s="71"/>
      <c r="DA195" s="71"/>
      <c r="DB195" s="70"/>
      <c r="DC195" s="71"/>
      <c r="DD195" s="71"/>
      <c r="DE195" s="70"/>
      <c r="DF195" s="71"/>
      <c r="DG195" s="71"/>
      <c r="DH195" s="1067"/>
      <c r="DI195" s="71"/>
      <c r="DK195" s="1067"/>
      <c r="DM195" s="35"/>
      <c r="DN195" s="1067"/>
      <c r="DQ195" s="1067"/>
      <c r="DT195" s="1067"/>
      <c r="DW195" s="1067"/>
      <c r="DZ195" s="1067"/>
      <c r="EC195" s="1067"/>
      <c r="EF195" s="1067"/>
      <c r="EI195" s="1067"/>
      <c r="EL195" s="1067"/>
      <c r="EO195" s="1067"/>
      <c r="ER195" s="1067"/>
      <c r="EU195" s="1067"/>
      <c r="EX195" s="1067"/>
      <c r="FA195" s="1067"/>
    </row>
    <row r="196" spans="1:173" outlineLevel="1">
      <c r="B196" s="35" t="s">
        <v>625</v>
      </c>
      <c r="D196" s="162" t="s">
        <v>39</v>
      </c>
      <c r="BA196" s="91"/>
      <c r="BB196" s="91"/>
      <c r="BC196" s="942"/>
      <c r="BD196" s="91"/>
      <c r="BE196" s="91"/>
      <c r="BF196" s="87"/>
      <c r="BG196" s="1013"/>
      <c r="BH196" s="1013"/>
      <c r="BI196" s="87"/>
      <c r="BR196" s="124"/>
      <c r="BS196" s="71">
        <v>17.591951382676399</v>
      </c>
      <c r="BT196" s="71">
        <v>17.591951382676399</v>
      </c>
      <c r="BU196" s="70">
        <v>35.183919653521002</v>
      </c>
      <c r="BV196" s="71">
        <v>11.727973217843275</v>
      </c>
      <c r="BW196" s="71">
        <v>14.659966522304094</v>
      </c>
      <c r="BX196" s="70">
        <v>26.387939740147367</v>
      </c>
      <c r="BY196" s="71">
        <v>14.659966522304094</v>
      </c>
      <c r="BZ196" s="71">
        <v>14.659966522304094</v>
      </c>
      <c r="CA196" s="70">
        <v>29.319933044608188</v>
      </c>
      <c r="CB196" s="71">
        <v>23.53146136363636</v>
      </c>
      <c r="CC196" s="71">
        <v>25.972909624060158</v>
      </c>
      <c r="CD196" s="70">
        <v>49.504370138769602</v>
      </c>
      <c r="CE196" s="71">
        <v>21.690432142074279</v>
      </c>
      <c r="CF196" s="71">
        <v>20.715793735802038</v>
      </c>
      <c r="CG196" s="70">
        <v>42.406225877876317</v>
      </c>
      <c r="CH196" s="71">
        <v>22.465457820224628</v>
      </c>
      <c r="CI196" s="71">
        <v>24.288439253764889</v>
      </c>
      <c r="CJ196" s="70">
        <v>46.753897073138901</v>
      </c>
      <c r="CK196" s="71">
        <v>27.429152436245094</v>
      </c>
      <c r="CL196" s="71">
        <v>1.73086456150248</v>
      </c>
      <c r="CM196" s="70">
        <v>29.160016997697568</v>
      </c>
      <c r="CN196" s="71">
        <v>23.413810367741899</v>
      </c>
      <c r="CO196" s="71">
        <v>19.22725856794349</v>
      </c>
      <c r="CP196" s="70">
        <v>42.725362245362923</v>
      </c>
      <c r="CQ196" s="71">
        <v>30.294880917259853</v>
      </c>
      <c r="CR196" s="71">
        <v>20.7865575344055</v>
      </c>
      <c r="CS196" s="70">
        <v>53.18542078635177</v>
      </c>
      <c r="CT196" s="71">
        <v>67.354423747493172</v>
      </c>
      <c r="CU196" s="71">
        <v>48.434294992392537</v>
      </c>
      <c r="CV196" s="70">
        <f>CT196+CU196</f>
        <v>115.78871873988571</v>
      </c>
      <c r="CW196" s="71">
        <v>60.58621039510264</v>
      </c>
      <c r="CX196" s="71">
        <v>59.561093413601043</v>
      </c>
      <c r="CY196" s="70">
        <f>SUM(CW196:CX196)</f>
        <v>120.14730380870368</v>
      </c>
      <c r="CZ196" s="71">
        <v>68.998135028461903</v>
      </c>
      <c r="DA196" s="71">
        <v>60.46959019092467</v>
      </c>
      <c r="DB196" s="70">
        <f>SUM(CZ196:DA196)</f>
        <v>129.46772521938658</v>
      </c>
      <c r="DC196" s="71">
        <v>85.522815695883438</v>
      </c>
      <c r="DD196" s="71">
        <v>72.469675235419288</v>
      </c>
      <c r="DE196" s="70">
        <f>SUM(DC196:DD196)</f>
        <v>157.99249093130271</v>
      </c>
      <c r="DF196" s="71">
        <v>87.69979796059053</v>
      </c>
      <c r="DG196" s="302">
        <v>50.886289766190579</v>
      </c>
      <c r="DH196" s="1070">
        <f>SUM(DF196:DG196)</f>
        <v>138.5860877267811</v>
      </c>
      <c r="DI196" s="163">
        <f>+DI198*DI75</f>
        <v>78.592509531380315</v>
      </c>
      <c r="DJ196" s="163">
        <f t="shared" ref="DJ196" si="1165">+DJ198*DJ75</f>
        <v>77.146800115448841</v>
      </c>
      <c r="DK196" s="1085">
        <f>SUM(DI196:DJ196)</f>
        <v>155.73930964682916</v>
      </c>
      <c r="DL196" s="163">
        <f>+DL198*DL75</f>
        <v>87.979531460811955</v>
      </c>
      <c r="DM196" s="163">
        <f t="shared" ref="DM196" si="1166">+DM198*DM75</f>
        <v>84.873718672802141</v>
      </c>
      <c r="DN196" s="1085">
        <f>SUM(DL196:DM196)</f>
        <v>172.8532501336141</v>
      </c>
      <c r="DO196" s="163">
        <f>+DO198*DO75</f>
        <v>86.376497865110565</v>
      </c>
      <c r="DP196" s="163">
        <f t="shared" ref="DP196" si="1167">+DP198*DP75</f>
        <v>110.62716433995453</v>
      </c>
      <c r="DQ196" s="1085">
        <f>SUM(DO196:DP196)</f>
        <v>197.0036622050651</v>
      </c>
      <c r="DR196" s="163">
        <f>+DR198*DR75</f>
        <v>119.85249682973064</v>
      </c>
      <c r="DS196" s="163">
        <f t="shared" ref="DS196" si="1168">+DS198*DS75</f>
        <v>103.29848397358218</v>
      </c>
      <c r="DT196" s="1085">
        <f>SUM(DR196:DS196)</f>
        <v>223.15098080331282</v>
      </c>
      <c r="DU196" s="163">
        <f>+DU198*DU75</f>
        <v>100.13998518604303</v>
      </c>
      <c r="DV196" s="163">
        <f t="shared" ref="DV196" si="1169">+DV198*DV75</f>
        <v>90.519803086263607</v>
      </c>
      <c r="DW196" s="1085">
        <f>SUM(DU196:DV196)</f>
        <v>190.65978827230663</v>
      </c>
      <c r="DX196" s="163">
        <f>+DX198*DX75</f>
        <v>103.59542811781361</v>
      </c>
      <c r="DY196" s="163">
        <f t="shared" ref="DY196" si="1170">+DV196*(1+DY197)</f>
        <v>104.09777354920314</v>
      </c>
      <c r="DZ196" s="1085">
        <f t="shared" ref="DZ196" si="1171">SUM(DX196:DY196)</f>
        <v>207.69320166701675</v>
      </c>
      <c r="EA196" s="163">
        <f t="shared" ref="EA196:EB196" si="1172">+DX196*(1+EA197)</f>
        <v>121.72462803843099</v>
      </c>
      <c r="EB196" s="163">
        <f t="shared" si="1172"/>
        <v>111.90510656539337</v>
      </c>
      <c r="EC196" s="1085">
        <f t="shared" ref="EC196" si="1173">SUM(EA196:EB196)</f>
        <v>233.62973460382437</v>
      </c>
      <c r="ED196" s="163">
        <f t="shared" ref="ED196:EE196" si="1174">+EA196*(1+ED197)</f>
        <v>132.67984456188978</v>
      </c>
      <c r="EE196" s="163">
        <f t="shared" si="1174"/>
        <v>121.97656615627878</v>
      </c>
      <c r="EF196" s="1085">
        <f t="shared" ref="EF196" si="1175">SUM(ED196:EE196)</f>
        <v>254.65641071816856</v>
      </c>
      <c r="EG196" s="163">
        <f t="shared" ref="EG196:EH196" si="1176">+ED196*(1+EG197)</f>
        <v>144.62103057245986</v>
      </c>
      <c r="EH196" s="163">
        <f t="shared" si="1176"/>
        <v>132.95445711034387</v>
      </c>
      <c r="EI196" s="1085">
        <f t="shared" ref="EI196" si="1177">SUM(EG196:EH196)</f>
        <v>277.57548768280373</v>
      </c>
      <c r="EJ196" s="163">
        <f t="shared" ref="EJ196:EK196" si="1178">+EG196*(1+EJ197)</f>
        <v>157.63692332398125</v>
      </c>
      <c r="EK196" s="163">
        <f t="shared" si="1178"/>
        <v>144.92035825027483</v>
      </c>
      <c r="EL196" s="1085">
        <f t="shared" ref="EL196" si="1179">SUM(EJ196:EK196)</f>
        <v>302.55728157425608</v>
      </c>
      <c r="EM196" s="163">
        <f t="shared" ref="EM196:EN196" si="1180">+EJ196*(1+EM197)</f>
        <v>171.82424642313958</v>
      </c>
      <c r="EN196" s="163">
        <f t="shared" si="1180"/>
        <v>157.96319049279958</v>
      </c>
      <c r="EO196" s="1085">
        <f t="shared" ref="EO196" si="1181">SUM(EM196:EN196)</f>
        <v>329.78743691593917</v>
      </c>
      <c r="EP196" s="163">
        <f t="shared" ref="EP196:EQ196" si="1182">+EM196*(1+EP197)</f>
        <v>187.28842860122217</v>
      </c>
      <c r="EQ196" s="163">
        <f t="shared" si="1182"/>
        <v>172.17987763715155</v>
      </c>
      <c r="ER196" s="1085">
        <f t="shared" ref="ER196" si="1183">SUM(EP196:EQ196)</f>
        <v>359.46830623837371</v>
      </c>
      <c r="ES196" s="163">
        <f t="shared" ref="ES196" si="1184">+EP196*(1+ES197)</f>
        <v>204.14438717533218</v>
      </c>
      <c r="ET196" s="163">
        <f t="shared" ref="ET196" si="1185">+EQ196*(1+ET197)</f>
        <v>187.67606662449521</v>
      </c>
      <c r="EU196" s="1085">
        <f t="shared" ref="EU196" si="1186">SUM(ES196:ET196)</f>
        <v>391.82045379982742</v>
      </c>
      <c r="EV196" s="163">
        <f t="shared" ref="EV196" si="1187">+ES196*(1+EV197)</f>
        <v>222.5173820211121</v>
      </c>
      <c r="EW196" s="163">
        <f t="shared" ref="EW196" si="1188">+ET196*(1+EW197)</f>
        <v>204.56691262069978</v>
      </c>
      <c r="EX196" s="1085">
        <f t="shared" ref="EX196" si="1189">SUM(EV196:EW196)</f>
        <v>427.08429464181188</v>
      </c>
      <c r="EY196" s="163">
        <f t="shared" ref="EY196" si="1190">+EV196*(1+EY197)</f>
        <v>242.5439464030122</v>
      </c>
      <c r="EZ196" s="163">
        <f t="shared" ref="EZ196" si="1191">+EW196*(1+EZ197)</f>
        <v>222.97793475656277</v>
      </c>
      <c r="FA196" s="1085">
        <f t="shared" ref="FA196" si="1192">SUM(EY196:EZ196)</f>
        <v>465.52188115957495</v>
      </c>
    </row>
    <row r="197" spans="1:173" outlineLevel="1">
      <c r="A197" s="1427"/>
      <c r="D197" s="162" t="s">
        <v>209</v>
      </c>
      <c r="BA197" s="35"/>
      <c r="BB197" s="35"/>
      <c r="BC197" s="322"/>
      <c r="BD197" s="35"/>
      <c r="BE197" s="35"/>
      <c r="BG197" s="439"/>
      <c r="BH197" s="439"/>
      <c r="BJ197" s="35"/>
      <c r="BK197" s="35"/>
      <c r="BL197" s="31"/>
      <c r="BM197" s="35"/>
      <c r="BN197" s="35"/>
      <c r="BO197" s="31"/>
      <c r="BP197" s="35"/>
      <c r="BQ197" s="35"/>
      <c r="BR197" s="1024"/>
      <c r="BS197" s="70"/>
      <c r="BT197" s="70"/>
      <c r="BU197" s="70"/>
      <c r="BV197" s="65">
        <v>-0.33333333333333337</v>
      </c>
      <c r="BW197" s="65">
        <v>-0.16666666666666674</v>
      </c>
      <c r="BX197" s="65">
        <v>-0.25000000000000011</v>
      </c>
      <c r="BY197" s="65">
        <v>0.25</v>
      </c>
      <c r="BZ197" s="65">
        <v>0</v>
      </c>
      <c r="CA197" s="65">
        <v>0.11111111111111116</v>
      </c>
      <c r="CB197" s="65">
        <v>0.60515109825352731</v>
      </c>
      <c r="CC197" s="65">
        <v>0.7716895590821593</v>
      </c>
      <c r="CD197" s="65">
        <v>0.68842032866784342</v>
      </c>
      <c r="CE197" s="65">
        <v>-7.8236926857719991E-2</v>
      </c>
      <c r="CF197" s="65">
        <v>-0.20240766107268016</v>
      </c>
      <c r="CG197" s="65">
        <v>-0.14338420968088506</v>
      </c>
      <c r="CH197" s="65">
        <v>3.5731223475579554E-2</v>
      </c>
      <c r="CI197" s="65">
        <v>0.17245998698029275</v>
      </c>
      <c r="CJ197" s="65">
        <v>0.10252436065953741</v>
      </c>
      <c r="CK197" s="65">
        <v>0.22094785050638399</v>
      </c>
      <c r="CL197" s="65">
        <v>-0.92873710231569617</v>
      </c>
      <c r="CM197" s="65">
        <v>-0.37630831176381041</v>
      </c>
      <c r="CN197" s="65">
        <v>-0.14331645018790817</v>
      </c>
      <c r="CO197" s="65">
        <v>10.108470874121261</v>
      </c>
      <c r="CP197" s="65">
        <v>0.46520361249228537</v>
      </c>
      <c r="CQ197" s="65">
        <v>0.28924790413499624</v>
      </c>
      <c r="CR197" s="65">
        <v>0.19052540892418257</v>
      </c>
      <c r="CS197" s="65">
        <v>0.24482082751970347</v>
      </c>
      <c r="CT197" s="65">
        <v>1.2232938934947075</v>
      </c>
      <c r="CU197" s="65">
        <f t="shared" ref="CU197:EC197" si="1193">CU196/CR196-1</f>
        <v>1.3300777395307062</v>
      </c>
      <c r="CV197" s="65">
        <f t="shared" si="1193"/>
        <v>1.1770762932385965</v>
      </c>
      <c r="CW197" s="65">
        <f t="shared" si="1193"/>
        <v>-0.10048654529009216</v>
      </c>
      <c r="CX197" s="65">
        <f t="shared" si="1193"/>
        <v>0.22972974878556962</v>
      </c>
      <c r="CY197" s="65">
        <f t="shared" si="1193"/>
        <v>3.7642571022910687E-2</v>
      </c>
      <c r="CZ197" s="65">
        <f t="shared" si="1193"/>
        <v>0.13884223123549622</v>
      </c>
      <c r="DA197" s="65">
        <f t="shared" si="1193"/>
        <v>1.5253191727272242E-2</v>
      </c>
      <c r="DB197" s="65">
        <f t="shared" si="1193"/>
        <v>7.7574952705744549E-2</v>
      </c>
      <c r="DC197" s="65">
        <f t="shared" si="1193"/>
        <v>0.23949459881205581</v>
      </c>
      <c r="DD197" s="65">
        <f t="shared" si="1193"/>
        <v>0.19844826145846128</v>
      </c>
      <c r="DE197" s="65">
        <f t="shared" si="1193"/>
        <v>0.22032337143160685</v>
      </c>
      <c r="DF197" s="65">
        <f t="shared" si="1193"/>
        <v>2.5454988203947648E-2</v>
      </c>
      <c r="DG197" s="65">
        <f t="shared" si="1193"/>
        <v>-0.29782644118542856</v>
      </c>
      <c r="DH197" s="1066">
        <f t="shared" si="1193"/>
        <v>-0.12283117438131774</v>
      </c>
      <c r="DI197" s="65">
        <f t="shared" si="1193"/>
        <v>-0.10384617343477509</v>
      </c>
      <c r="DJ197" s="65">
        <f t="shared" si="1193"/>
        <v>0.51606258719035236</v>
      </c>
      <c r="DK197" s="1066">
        <f t="shared" si="1193"/>
        <v>0.1237730438993645</v>
      </c>
      <c r="DL197" s="65">
        <f t="shared" si="1193"/>
        <v>0.11943914229744257</v>
      </c>
      <c r="DM197" s="65">
        <f t="shared" si="1193"/>
        <v>0.10015863970754579</v>
      </c>
      <c r="DN197" s="1066">
        <f t="shared" si="1193"/>
        <v>0.10988838030420389</v>
      </c>
      <c r="DO197" s="65">
        <f t="shared" si="1193"/>
        <v>-1.8220528901264021E-2</v>
      </c>
      <c r="DP197" s="65">
        <f t="shared" si="1193"/>
        <v>0.30343251208816313</v>
      </c>
      <c r="DQ197" s="1066">
        <f t="shared" si="1193"/>
        <v>0.13971627408094989</v>
      </c>
      <c r="DR197" s="65">
        <f t="shared" si="1193"/>
        <v>0.38755911378692054</v>
      </c>
      <c r="DS197" s="65">
        <f t="shared" si="1193"/>
        <v>-6.6246662021015923E-2</v>
      </c>
      <c r="DT197" s="1066">
        <f t="shared" si="1193"/>
        <v>0.13272503823320014</v>
      </c>
      <c r="DU197" s="65">
        <f t="shared" si="1193"/>
        <v>-0.16447309956080713</v>
      </c>
      <c r="DV197" s="65">
        <f t="shared" ref="DV197" si="1194">DV196/DS196-1</f>
        <v>-0.12370637395401296</v>
      </c>
      <c r="DW197" s="1066">
        <f t="shared" ref="DW197" si="1195">DW196/DT196-1</f>
        <v>-0.14560183609340349</v>
      </c>
      <c r="DX197" s="65">
        <f t="shared" si="1193"/>
        <v>3.4506125853233982E-2</v>
      </c>
      <c r="DY197" s="1145">
        <v>0.15</v>
      </c>
      <c r="DZ197" s="1146">
        <f t="shared" si="1193"/>
        <v>8.9339307197710882E-2</v>
      </c>
      <c r="EA197" s="1145">
        <v>0.17499999999999999</v>
      </c>
      <c r="EB197" s="1145">
        <v>7.4999999999999997E-2</v>
      </c>
      <c r="EC197" s="1146">
        <f t="shared" si="1193"/>
        <v>0.12487906550928063</v>
      </c>
      <c r="ED197" s="1141">
        <v>0.09</v>
      </c>
      <c r="EE197" s="1143">
        <f t="shared" ref="EE197" si="1196">+ED197</f>
        <v>0.09</v>
      </c>
      <c r="EF197" s="1142">
        <f t="shared" ref="EF197" si="1197">EF196/EC196-1</f>
        <v>8.9999999999999858E-2</v>
      </c>
      <c r="EG197" s="1143">
        <f>+EE197</f>
        <v>0.09</v>
      </c>
      <c r="EH197" s="1143">
        <f t="shared" ref="EH197" si="1198">+EG197</f>
        <v>0.09</v>
      </c>
      <c r="EI197" s="1142">
        <f t="shared" ref="EI197" si="1199">EI196/EF196-1</f>
        <v>9.000000000000008E-2</v>
      </c>
      <c r="EJ197" s="1143">
        <v>0.09</v>
      </c>
      <c r="EK197" s="1143">
        <f t="shared" ref="EK197" si="1200">+EJ197</f>
        <v>0.09</v>
      </c>
      <c r="EL197" s="1142">
        <f t="shared" ref="EL197" si="1201">EL196/EI196-1</f>
        <v>9.000000000000008E-2</v>
      </c>
      <c r="EM197" s="1143">
        <f t="shared" ref="EM197" si="1202">+EK197</f>
        <v>0.09</v>
      </c>
      <c r="EN197" s="1143">
        <f t="shared" ref="EN197" si="1203">+EM197</f>
        <v>0.09</v>
      </c>
      <c r="EO197" s="1142">
        <f t="shared" ref="EO197" si="1204">EO196/EL196-1</f>
        <v>9.000000000000008E-2</v>
      </c>
      <c r="EP197" s="1143">
        <f t="shared" ref="EP197" si="1205">+EN197</f>
        <v>0.09</v>
      </c>
      <c r="EQ197" s="1143">
        <f t="shared" ref="EQ197" si="1206">+EP197</f>
        <v>0.09</v>
      </c>
      <c r="ER197" s="1142">
        <f t="shared" ref="ER197" si="1207">ER196/EO196-1</f>
        <v>9.000000000000008E-2</v>
      </c>
      <c r="ES197" s="1143">
        <f t="shared" ref="ES197" si="1208">+EQ197</f>
        <v>0.09</v>
      </c>
      <c r="ET197" s="1143">
        <f t="shared" ref="ET197" si="1209">+ES197</f>
        <v>0.09</v>
      </c>
      <c r="EU197" s="1142">
        <f t="shared" ref="EU197" si="1210">EU196/ER196-1</f>
        <v>9.0000000000000302E-2</v>
      </c>
      <c r="EV197" s="1143">
        <f t="shared" ref="EV197" si="1211">+ET197</f>
        <v>0.09</v>
      </c>
      <c r="EW197" s="1143">
        <f t="shared" ref="EW197" si="1212">+EV197</f>
        <v>0.09</v>
      </c>
      <c r="EX197" s="1142">
        <f t="shared" ref="EX197" si="1213">EX196/EU196-1</f>
        <v>9.000000000000008E-2</v>
      </c>
      <c r="EY197" s="1143">
        <f t="shared" ref="EY197" si="1214">+EW197</f>
        <v>0.09</v>
      </c>
      <c r="EZ197" s="1143">
        <f t="shared" ref="EZ197" si="1215">+EY197</f>
        <v>0.09</v>
      </c>
      <c r="FA197" s="1142">
        <f t="shared" ref="FA197" si="1216">FA196/EX196-1</f>
        <v>9.000000000000008E-2</v>
      </c>
    </row>
    <row r="198" spans="1:173" outlineLevel="1">
      <c r="B198" s="35" t="s">
        <v>625</v>
      </c>
      <c r="D198" s="162" t="s">
        <v>604</v>
      </c>
      <c r="BA198" s="35"/>
      <c r="BB198" s="35"/>
      <c r="BC198" s="322"/>
      <c r="BD198" s="35"/>
      <c r="BE198" s="35"/>
      <c r="BG198" s="35"/>
      <c r="BH198" s="35"/>
      <c r="BJ198" s="35"/>
      <c r="BK198" s="35"/>
      <c r="BL198" s="31"/>
      <c r="BM198" s="35"/>
      <c r="BN198" s="35"/>
      <c r="BO198" s="31"/>
      <c r="BP198" s="35"/>
      <c r="BQ198" s="35"/>
      <c r="BR198" s="1024"/>
      <c r="BS198" s="70">
        <f>BS196/BS75</f>
        <v>23.455935176901864</v>
      </c>
      <c r="BT198" s="70">
        <f>BT196/BT75</f>
        <v>21.989939228345499</v>
      </c>
      <c r="BU198" s="70">
        <f>BS198+BT198</f>
        <v>45.445874405247366</v>
      </c>
      <c r="BV198" s="70">
        <f>BV196/BV75</f>
        <v>13.499514506535991</v>
      </c>
      <c r="BW198" s="70">
        <f>BW196/BW75</f>
        <v>15.882953978660989</v>
      </c>
      <c r="BX198" s="70">
        <f>BV198+BW198</f>
        <v>29.382468485196981</v>
      </c>
      <c r="BY198" s="70">
        <f>BY196/BY75</f>
        <v>18.324958152880118</v>
      </c>
      <c r="BZ198" s="70">
        <f>BZ196/BZ75</f>
        <v>16.4249994310942</v>
      </c>
      <c r="CA198" s="70">
        <f>BY198+BZ198</f>
        <v>34.749957583974322</v>
      </c>
      <c r="CB198" s="70">
        <f>CB196/CB75</f>
        <v>26.999999999999996</v>
      </c>
      <c r="CC198" s="70">
        <f>CC196/CC75</f>
        <v>29.100000000000005</v>
      </c>
      <c r="CD198" s="70">
        <f>CB198+CC198</f>
        <v>56.1</v>
      </c>
      <c r="CE198" s="70">
        <f>CE196/CE75</f>
        <v>22.997644203694442</v>
      </c>
      <c r="CF198" s="70">
        <f>CF196/CF75</f>
        <v>19.867053749366672</v>
      </c>
      <c r="CG198" s="70">
        <f>CE198+CF198</f>
        <v>42.864697953061111</v>
      </c>
      <c r="CH198" s="70">
        <f>CH196/CH75</f>
        <v>21.811124097305463</v>
      </c>
      <c r="CI198" s="70">
        <f>CI196/CI75</f>
        <v>23.581008984237755</v>
      </c>
      <c r="CJ198" s="70">
        <f>SUM(CH198:CI198)</f>
        <v>45.392133081543221</v>
      </c>
      <c r="CK198" s="70">
        <f>CK196/CK75</f>
        <v>26.730990696649918</v>
      </c>
      <c r="CL198" s="70">
        <f>CL196/CL75</f>
        <v>1.6915611962530381</v>
      </c>
      <c r="CM198" s="70">
        <f>SUM(CK198:CL198)</f>
        <v>28.422551892902955</v>
      </c>
      <c r="CN198" s="70">
        <f>CN196/CN75</f>
        <v>26.307652098586402</v>
      </c>
      <c r="CO198" s="70">
        <f>CO196/CO75</f>
        <v>21.011065458192579</v>
      </c>
      <c r="CP198" s="70">
        <f>CN198+CO198</f>
        <v>47.318717556778978</v>
      </c>
      <c r="CQ198" s="70">
        <f>CQ196/CQ75</f>
        <v>34.039192041865</v>
      </c>
      <c r="CR198" s="70">
        <f>CR196/CR75</f>
        <v>28.089942614061485</v>
      </c>
      <c r="CS198" s="70">
        <f>CQ198+CR198</f>
        <v>62.129134655926485</v>
      </c>
      <c r="CT198" s="70">
        <f>CT196/CT75</f>
        <v>93.2</v>
      </c>
      <c r="CU198" s="70">
        <f>CU196/CU75</f>
        <v>66.023022933129923</v>
      </c>
      <c r="CV198" s="70">
        <f>CT198+CU198</f>
        <v>159.22302293312993</v>
      </c>
      <c r="CW198" s="70">
        <f>CW196/CW75</f>
        <v>80.401971107671244</v>
      </c>
      <c r="CX198" s="70">
        <f>CX196/CX75</f>
        <v>78.960141538410895</v>
      </c>
      <c r="CY198" s="70">
        <f>CW198+CX198</f>
        <v>159.36211264608215</v>
      </c>
      <c r="CZ198" s="70">
        <f>CZ196/CZ75</f>
        <v>88.532077062375748</v>
      </c>
      <c r="DA198" s="70">
        <f>DA196/DA75</f>
        <v>79.370827441691915</v>
      </c>
      <c r="DB198" s="70">
        <f>CZ198+DA198</f>
        <v>167.90290450406766</v>
      </c>
      <c r="DC198" s="70">
        <f>DC196/DC75</f>
        <v>118.13881640722215</v>
      </c>
      <c r="DD198" s="70">
        <f>DD196/DD75</f>
        <v>101.0593714062464</v>
      </c>
      <c r="DE198" s="70">
        <f>SUM(DC198:DD198)</f>
        <v>219.19818781346856</v>
      </c>
      <c r="DF198" s="70">
        <f>DF196/DF75</f>
        <v>127.35956718064263</v>
      </c>
      <c r="DG198" s="70">
        <f>DG196/DG75</f>
        <v>77.100439039682698</v>
      </c>
      <c r="DH198" s="1070">
        <f>SUM(DF198:DG198)</f>
        <v>204.46000622032534</v>
      </c>
      <c r="DI198" s="1152">
        <f>+DI121*DI91</f>
        <v>108.69403607969844</v>
      </c>
      <c r="DJ198" s="1152">
        <f t="shared" ref="DJ198" si="1217">+DJ121*DJ91</f>
        <v>104.00900732844768</v>
      </c>
      <c r="DK198" s="1157">
        <f>DI198+DJ198</f>
        <v>212.70304340814613</v>
      </c>
      <c r="DL198" s="1152">
        <f t="shared" ref="DL198:DS198" si="1218">+DL121*DL91</f>
        <v>122.19379369557217</v>
      </c>
      <c r="DM198" s="1152">
        <f t="shared" si="1218"/>
        <v>117.2288931944781</v>
      </c>
      <c r="DN198" s="1157">
        <f t="shared" ref="DN198" si="1219">DL198+DM198</f>
        <v>239.42268689005027</v>
      </c>
      <c r="DO198" s="1152">
        <f t="shared" ref="DO198" si="1220">+DO121*DO91</f>
        <v>128.82180880869663</v>
      </c>
      <c r="DP198" s="1152">
        <f t="shared" si="1218"/>
        <v>163.54338912920815</v>
      </c>
      <c r="DQ198" s="1157">
        <f t="shared" ref="DQ198" si="1221">DO198+DP198</f>
        <v>292.36519793790478</v>
      </c>
      <c r="DR198" s="1152">
        <f t="shared" ref="DR198" si="1222">+DR121*DR91</f>
        <v>183.44356026585231</v>
      </c>
      <c r="DS198" s="1152">
        <f t="shared" si="1218"/>
        <v>156.86933962264149</v>
      </c>
      <c r="DT198" s="1157">
        <f t="shared" ref="DT198" si="1223">DR198+DS198</f>
        <v>340.3128998884938</v>
      </c>
      <c r="DU198" s="1152">
        <f t="shared" ref="DU198:DV198" si="1224">+DU121*DU91</f>
        <v>151.39199931618089</v>
      </c>
      <c r="DV198" s="1152">
        <f t="shared" si="1224"/>
        <v>142.77571464710348</v>
      </c>
      <c r="DW198" s="1157">
        <f t="shared" ref="DW198" si="1225">DU198+DV198</f>
        <v>294.16771396328437</v>
      </c>
      <c r="DX198" s="1152">
        <f t="shared" ref="DX198" si="1226">+DX121*DX91</f>
        <v>158.05221088435377</v>
      </c>
      <c r="DY198" s="1154">
        <f>DY196/DY75</f>
        <v>145.99968239719936</v>
      </c>
      <c r="DZ198" s="1153">
        <f>DX198+DY198</f>
        <v>304.05189328155313</v>
      </c>
      <c r="EA198" s="1154">
        <f>EA196/EA75</f>
        <v>170.72177845502245</v>
      </c>
      <c r="EB198" s="1154">
        <f>EB196/EB75</f>
        <v>156.94965857698929</v>
      </c>
      <c r="EC198" s="1153">
        <f>EA198+EB198</f>
        <v>327.67143703201174</v>
      </c>
      <c r="ED198" s="1154">
        <f>ED196/ED75</f>
        <v>186.08673851597445</v>
      </c>
      <c r="EE198" s="1154">
        <f>EE196/EE75</f>
        <v>171.07512784891836</v>
      </c>
      <c r="EF198" s="1153">
        <f>ED198+EE198</f>
        <v>357.16186636489283</v>
      </c>
      <c r="EG198" s="1154">
        <f>EG196/EG75</f>
        <v>202.83454498241215</v>
      </c>
      <c r="EH198" s="1154">
        <f>EH196/EH75</f>
        <v>186.471889355321</v>
      </c>
      <c r="EI198" s="1153">
        <f>EG198+EH198</f>
        <v>389.30643433773315</v>
      </c>
      <c r="EJ198" s="1154">
        <f>EJ196/EJ75</f>
        <v>221.08965403082925</v>
      </c>
      <c r="EK198" s="1154">
        <f>EK196/EK75</f>
        <v>203.25435939729991</v>
      </c>
      <c r="EL198" s="1153">
        <f>EJ198+EK198</f>
        <v>424.34401342812919</v>
      </c>
      <c r="EM198" s="1154">
        <f>EM196/EM75</f>
        <v>240.98772289360392</v>
      </c>
      <c r="EN198" s="1154">
        <f>EN196/EN75</f>
        <v>221.54725174305693</v>
      </c>
      <c r="EO198" s="1153">
        <f>EM198+EN198</f>
        <v>462.53497463666088</v>
      </c>
      <c r="EP198" s="1154">
        <f>EP196/EP75</f>
        <v>262.6766179540283</v>
      </c>
      <c r="EQ198" s="1154">
        <f>EQ196/EQ75</f>
        <v>241.48650439993204</v>
      </c>
      <c r="ER198" s="1153">
        <f>EP198+EQ198</f>
        <v>504.16312235396038</v>
      </c>
      <c r="ES198" s="1154">
        <f>ES196/ES75</f>
        <v>286.31751356989088</v>
      </c>
      <c r="ET198" s="1154">
        <f>ET196/ET75</f>
        <v>263.22028979592596</v>
      </c>
      <c r="EU198" s="1153">
        <f>ES198+ET198</f>
        <v>549.5378033658169</v>
      </c>
      <c r="EV198" s="1154">
        <f>EV196/EV75</f>
        <v>312.08608979118105</v>
      </c>
      <c r="EW198" s="1154">
        <f>EW196/EW75</f>
        <v>286.91011587755929</v>
      </c>
      <c r="EX198" s="1153">
        <f>EV198+EW198</f>
        <v>598.99620566874034</v>
      </c>
      <c r="EY198" s="1154">
        <f>EY196/EY75</f>
        <v>340.17383787238737</v>
      </c>
      <c r="EZ198" s="1154">
        <f>EZ196/EZ75</f>
        <v>312.73202630653969</v>
      </c>
      <c r="FA198" s="1153">
        <f>EY198+EZ198</f>
        <v>652.905864178927</v>
      </c>
    </row>
    <row r="199" spans="1:173" outlineLevel="1">
      <c r="B199" s="31"/>
      <c r="D199" s="162" t="s">
        <v>209</v>
      </c>
      <c r="BA199" s="35"/>
      <c r="BB199" s="35"/>
      <c r="BC199" s="322"/>
      <c r="BD199" s="35"/>
      <c r="BE199" s="35"/>
      <c r="BG199" s="35"/>
      <c r="BH199" s="35"/>
      <c r="BJ199" s="35"/>
      <c r="BK199" s="35"/>
      <c r="BL199" s="31"/>
      <c r="BM199" s="35"/>
      <c r="BN199" s="35"/>
      <c r="BO199" s="31"/>
      <c r="BP199" s="35"/>
      <c r="BQ199" s="35"/>
      <c r="BR199" s="1024"/>
      <c r="BS199" s="74"/>
      <c r="BT199" s="70"/>
      <c r="BU199" s="74"/>
      <c r="BV199" s="65">
        <f t="shared" ref="BV199:DA199" si="1227">BV198/BS198-1</f>
        <v>-0.42447340493038266</v>
      </c>
      <c r="BW199" s="65">
        <f t="shared" si="1227"/>
        <v>-0.27771724088316152</v>
      </c>
      <c r="BX199" s="65">
        <f t="shared" si="1227"/>
        <v>-0.35346235781075963</v>
      </c>
      <c r="BY199" s="65">
        <f t="shared" si="1227"/>
        <v>0.35745312500000037</v>
      </c>
      <c r="BZ199" s="65">
        <f t="shared" si="1227"/>
        <v>3.4127496255511369E-2</v>
      </c>
      <c r="CA199" s="65">
        <f t="shared" si="1227"/>
        <v>0.18267658830235822</v>
      </c>
      <c r="CB199" s="65">
        <f t="shared" si="1227"/>
        <v>0.47340036330486401</v>
      </c>
      <c r="CC199" s="65">
        <f t="shared" si="1227"/>
        <v>0.77168955908215953</v>
      </c>
      <c r="CD199" s="65">
        <f t="shared" si="1227"/>
        <v>0.61439045974178974</v>
      </c>
      <c r="CE199" s="65">
        <f t="shared" si="1227"/>
        <v>-0.14823539986316869</v>
      </c>
      <c r="CF199" s="65">
        <f t="shared" si="1227"/>
        <v>-0.3172833763104238</v>
      </c>
      <c r="CG199" s="65">
        <f t="shared" si="1227"/>
        <v>-0.23592338764596954</v>
      </c>
      <c r="CH199" s="65">
        <f t="shared" si="1227"/>
        <v>-5.1593115185179284E-2</v>
      </c>
      <c r="CI199" s="65">
        <f t="shared" si="1227"/>
        <v>0.18694041309419007</v>
      </c>
      <c r="CJ199" s="65">
        <f t="shared" si="1227"/>
        <v>5.8963091988885052E-2</v>
      </c>
      <c r="CK199" s="65">
        <f t="shared" si="1227"/>
        <v>0.22556685191444359</v>
      </c>
      <c r="CL199" s="65">
        <f t="shared" si="1227"/>
        <v>-0.92826595344653284</v>
      </c>
      <c r="CM199" s="65">
        <f t="shared" si="1227"/>
        <v>-0.37384410109469435</v>
      </c>
      <c r="CN199" s="65">
        <f t="shared" si="1227"/>
        <v>-1.5836996199193321E-2</v>
      </c>
      <c r="CO199" s="65">
        <f t="shared" si="1227"/>
        <v>11.421108680391818</v>
      </c>
      <c r="CP199" s="65">
        <f t="shared" si="1227"/>
        <v>0.66483001720174006</v>
      </c>
      <c r="CQ199" s="65">
        <f t="shared" si="1227"/>
        <v>0.29388939439768702</v>
      </c>
      <c r="CR199" s="65">
        <f t="shared" si="1227"/>
        <v>0.33691186056006162</v>
      </c>
      <c r="CS199" s="65">
        <f t="shared" si="1227"/>
        <v>0.31299278306467415</v>
      </c>
      <c r="CT199" s="65">
        <f t="shared" si="1227"/>
        <v>1.7380203350706087</v>
      </c>
      <c r="CU199" s="65">
        <f t="shared" si="1227"/>
        <v>1.350415016514829</v>
      </c>
      <c r="CV199" s="65">
        <f t="shared" si="1227"/>
        <v>1.5627754806969887</v>
      </c>
      <c r="CW199" s="65">
        <f t="shared" si="1227"/>
        <v>-0.13731790657005105</v>
      </c>
      <c r="CX199" s="65">
        <f t="shared" si="1227"/>
        <v>0.19594859536171305</v>
      </c>
      <c r="CY199" s="65">
        <f t="shared" si="1227"/>
        <v>8.7355277138945198E-4</v>
      </c>
      <c r="CZ199" s="65">
        <f t="shared" si="1227"/>
        <v>0.10111824178808981</v>
      </c>
      <c r="DA199" s="65">
        <f t="shared" si="1227"/>
        <v>5.2011799279922943E-3</v>
      </c>
      <c r="DB199" s="65">
        <f t="shared" ref="DB199:EF199" si="1228">DB198/CY198-1</f>
        <v>5.3593615923963389E-2</v>
      </c>
      <c r="DC199" s="65">
        <f t="shared" si="1228"/>
        <v>0.33441821684570683</v>
      </c>
      <c r="DD199" s="65">
        <f t="shared" si="1228"/>
        <v>0.27325586318836748</v>
      </c>
      <c r="DE199" s="65">
        <f t="shared" si="1228"/>
        <v>0.30550563410985077</v>
      </c>
      <c r="DF199" s="65">
        <f t="shared" si="1228"/>
        <v>7.8050136727599639E-2</v>
      </c>
      <c r="DG199" s="65">
        <f t="shared" si="1228"/>
        <v>-0.23707778935465273</v>
      </c>
      <c r="DH199" s="1066">
        <f t="shared" si="1228"/>
        <v>-6.7236785760678819E-2</v>
      </c>
      <c r="DI199" s="65">
        <f t="shared" si="1228"/>
        <v>-0.14655774602680316</v>
      </c>
      <c r="DJ199" s="65">
        <f t="shared" si="1228"/>
        <v>0.34900668042779182</v>
      </c>
      <c r="DK199" s="1066">
        <f t="shared" si="1228"/>
        <v>4.031613487743968E-2</v>
      </c>
      <c r="DL199" s="65">
        <f t="shared" si="1228"/>
        <v>0.12419961667423252</v>
      </c>
      <c r="DM199" s="65">
        <f t="shared" si="1228"/>
        <v>0.12710327889471773</v>
      </c>
      <c r="DN199" s="1066">
        <f t="shared" si="1228"/>
        <v>0.12561946953731651</v>
      </c>
      <c r="DO199" s="65">
        <f t="shared" si="1228"/>
        <v>5.42418310510695E-2</v>
      </c>
      <c r="DP199" s="65">
        <f t="shared" si="1228"/>
        <v>0.39507748194718628</v>
      </c>
      <c r="DQ199" s="1066">
        <f t="shared" si="1228"/>
        <v>0.22112570757409977</v>
      </c>
      <c r="DR199" s="65">
        <f t="shared" si="1228"/>
        <v>0.42401012656382009</v>
      </c>
      <c r="DS199" s="65">
        <f t="shared" si="1228"/>
        <v>-4.0809044878566181E-2</v>
      </c>
      <c r="DT199" s="1066">
        <f t="shared" si="1228"/>
        <v>0.16399934837925745</v>
      </c>
      <c r="DU199" s="65">
        <f t="shared" si="1228"/>
        <v>-0.17472164682816482</v>
      </c>
      <c r="DV199" s="65">
        <f t="shared" ref="DV199" si="1229">DV198/DS198-1</f>
        <v>-8.9843082207403002E-2</v>
      </c>
      <c r="DW199" s="1066">
        <f t="shared" ref="DW199" si="1230">DW198/DT198-1</f>
        <v>-0.13559634659846653</v>
      </c>
      <c r="DX199" s="65">
        <f t="shared" si="1228"/>
        <v>4.3993154184212235E-2</v>
      </c>
      <c r="DY199" s="65">
        <f t="shared" si="1228"/>
        <v>2.2580645161290214E-2</v>
      </c>
      <c r="DZ199" s="1066">
        <f t="shared" si="1228"/>
        <v>3.360048995554421E-2</v>
      </c>
      <c r="EA199" s="65">
        <f t="shared" si="1228"/>
        <v>8.0160647546644981E-2</v>
      </c>
      <c r="EB199" s="65">
        <f t="shared" si="1228"/>
        <v>7.4999999999999734E-2</v>
      </c>
      <c r="EC199" s="1066">
        <f t="shared" si="1228"/>
        <v>7.7682607056114739E-2</v>
      </c>
      <c r="ED199" s="65">
        <f t="shared" si="1228"/>
        <v>8.9999999999999858E-2</v>
      </c>
      <c r="EE199" s="65">
        <f t="shared" si="1228"/>
        <v>9.000000000000008E-2</v>
      </c>
      <c r="EF199" s="1066">
        <f t="shared" si="1228"/>
        <v>9.000000000000008E-2</v>
      </c>
      <c r="EG199" s="65">
        <f t="shared" ref="EG199:EL199" si="1231">EG198/ED198-1</f>
        <v>9.000000000000008E-2</v>
      </c>
      <c r="EH199" s="65">
        <f t="shared" si="1231"/>
        <v>8.9999999999999858E-2</v>
      </c>
      <c r="EI199" s="1066">
        <f t="shared" si="1231"/>
        <v>8.9999999999999858E-2</v>
      </c>
      <c r="EJ199" s="65">
        <f t="shared" si="1231"/>
        <v>9.000000000000008E-2</v>
      </c>
      <c r="EK199" s="65">
        <f t="shared" si="1231"/>
        <v>9.000000000000008E-2</v>
      </c>
      <c r="EL199" s="1066">
        <f t="shared" si="1231"/>
        <v>9.000000000000008E-2</v>
      </c>
      <c r="EM199" s="65">
        <f t="shared" ref="EM199:ER199" si="1232">EM198/EJ198-1</f>
        <v>9.000000000000008E-2</v>
      </c>
      <c r="EN199" s="65">
        <f t="shared" si="1232"/>
        <v>9.000000000000008E-2</v>
      </c>
      <c r="EO199" s="1066">
        <f t="shared" si="1232"/>
        <v>9.000000000000008E-2</v>
      </c>
      <c r="EP199" s="65">
        <f t="shared" si="1232"/>
        <v>9.000000000000008E-2</v>
      </c>
      <c r="EQ199" s="65">
        <f t="shared" si="1232"/>
        <v>8.9999999999999858E-2</v>
      </c>
      <c r="ER199" s="1066">
        <f t="shared" si="1232"/>
        <v>9.000000000000008E-2</v>
      </c>
      <c r="ES199" s="65">
        <f t="shared" ref="ES199" si="1233">ES198/EP198-1</f>
        <v>9.000000000000008E-2</v>
      </c>
      <c r="ET199" s="65">
        <f t="shared" ref="ET199" si="1234">ET198/EQ198-1</f>
        <v>9.000000000000008E-2</v>
      </c>
      <c r="EU199" s="1066">
        <f t="shared" ref="EU199" si="1235">EU198/ER198-1</f>
        <v>9.000000000000008E-2</v>
      </c>
      <c r="EV199" s="65">
        <f t="shared" ref="EV199" si="1236">EV198/ES198-1</f>
        <v>9.000000000000008E-2</v>
      </c>
      <c r="EW199" s="65">
        <f t="shared" ref="EW199" si="1237">EW198/ET198-1</f>
        <v>8.9999999999999858E-2</v>
      </c>
      <c r="EX199" s="1066">
        <f t="shared" ref="EX199" si="1238">EX198/EU198-1</f>
        <v>8.9999999999999858E-2</v>
      </c>
      <c r="EY199" s="65">
        <f t="shared" ref="EY199" si="1239">EY198/EV198-1</f>
        <v>9.000000000000008E-2</v>
      </c>
      <c r="EZ199" s="65">
        <f t="shared" ref="EZ199" si="1240">EZ198/EW198-1</f>
        <v>9.0000000000000302E-2</v>
      </c>
      <c r="FA199" s="1066">
        <f t="shared" ref="FA199" si="1241">FA198/EX198-1</f>
        <v>9.000000000000008E-2</v>
      </c>
    </row>
    <row r="200" spans="1:173" outlineLevel="1">
      <c r="B200" s="31"/>
      <c r="BA200" s="35"/>
      <c r="BB200" s="35"/>
      <c r="BC200" s="322"/>
      <c r="BD200" s="35"/>
      <c r="BE200" s="35"/>
      <c r="BG200" s="35"/>
      <c r="BH200" s="35"/>
      <c r="BJ200" s="35"/>
      <c r="BK200" s="35"/>
      <c r="BL200" s="31"/>
      <c r="BM200" s="35"/>
      <c r="BN200" s="35"/>
      <c r="BO200" s="31"/>
      <c r="BP200" s="35"/>
      <c r="BQ200" s="35"/>
      <c r="BR200" s="1024"/>
      <c r="BS200" s="74"/>
      <c r="BT200" s="70"/>
      <c r="BU200" s="74"/>
      <c r="BV200" s="65"/>
      <c r="BW200" s="65"/>
      <c r="BX200" s="65"/>
      <c r="BY200" s="65"/>
      <c r="BZ200" s="65"/>
      <c r="CA200" s="65"/>
      <c r="CB200" s="65"/>
      <c r="CC200" s="65"/>
      <c r="CD200" s="65"/>
      <c r="CE200" s="65"/>
      <c r="CF200" s="65"/>
      <c r="CG200" s="65"/>
      <c r="CH200" s="65"/>
      <c r="CI200" s="65"/>
      <c r="CJ200" s="65"/>
      <c r="CK200" s="65"/>
      <c r="CL200" s="65"/>
      <c r="CM200" s="65"/>
      <c r="CN200" s="65"/>
      <c r="CO200" s="65"/>
      <c r="CP200" s="65"/>
      <c r="CQ200" s="65"/>
      <c r="CR200" s="65"/>
      <c r="CS200" s="65"/>
      <c r="CT200" s="65"/>
      <c r="CU200" s="65"/>
      <c r="CV200" s="65"/>
      <c r="CW200" s="65"/>
      <c r="CX200" s="65"/>
      <c r="CY200" s="65"/>
      <c r="CZ200" s="65"/>
      <c r="DA200" s="65"/>
      <c r="DB200" s="65"/>
      <c r="DC200" s="65"/>
      <c r="DD200" s="65"/>
      <c r="DE200" s="65"/>
      <c r="DF200" s="65"/>
      <c r="DG200" s="65"/>
      <c r="DH200" s="1066"/>
      <c r="DI200" s="65"/>
      <c r="DJ200" s="65"/>
      <c r="DK200" s="1066"/>
      <c r="DL200" s="65"/>
      <c r="DM200" s="65"/>
      <c r="DN200" s="1066"/>
      <c r="DO200" s="65"/>
      <c r="DP200" s="65"/>
      <c r="DQ200" s="1066"/>
      <c r="DR200" s="65"/>
      <c r="DS200" s="65"/>
      <c r="DT200" s="1066"/>
      <c r="DU200" s="65"/>
      <c r="DV200" s="65"/>
      <c r="DW200" s="1066"/>
      <c r="DX200" s="65"/>
      <c r="DY200" s="65"/>
      <c r="DZ200" s="1066"/>
      <c r="EA200" s="65"/>
      <c r="EB200" s="65"/>
      <c r="EC200" s="1066"/>
      <c r="ED200" s="65"/>
      <c r="EE200" s="65"/>
      <c r="EF200" s="1066"/>
      <c r="EG200" s="65"/>
      <c r="EH200" s="65"/>
      <c r="EI200" s="1066"/>
      <c r="EJ200" s="65"/>
      <c r="EK200" s="65"/>
      <c r="EL200" s="1066"/>
      <c r="EM200" s="65"/>
      <c r="EN200" s="65"/>
      <c r="EO200" s="1066"/>
      <c r="EP200" s="65"/>
      <c r="EQ200" s="65"/>
      <c r="ER200" s="1066"/>
      <c r="ES200" s="65"/>
      <c r="ET200" s="65"/>
      <c r="EU200" s="1066"/>
      <c r="EV200" s="65"/>
      <c r="EW200" s="65"/>
      <c r="EX200" s="1066"/>
      <c r="EY200" s="65"/>
      <c r="EZ200" s="65"/>
      <c r="FA200" s="1066"/>
    </row>
    <row r="201" spans="1:173" outlineLevel="1">
      <c r="A201" s="1425" t="s">
        <v>426</v>
      </c>
      <c r="BA201" s="35"/>
      <c r="BB201" s="35"/>
      <c r="BC201" s="322"/>
      <c r="BD201" s="35"/>
      <c r="BE201" s="35"/>
      <c r="BG201" s="439"/>
      <c r="BH201" s="439"/>
      <c r="BJ201" s="35"/>
      <c r="BK201" s="35"/>
      <c r="BL201" s="31"/>
      <c r="BM201" s="35"/>
      <c r="BN201" s="35"/>
      <c r="BO201" s="31"/>
      <c r="BP201" s="35"/>
      <c r="BQ201" s="35"/>
      <c r="BR201" s="1024"/>
      <c r="BS201" s="74"/>
      <c r="BT201" s="70"/>
      <c r="BU201" s="74"/>
      <c r="BV201" s="74"/>
      <c r="BW201" s="74"/>
      <c r="BX201" s="74"/>
      <c r="BY201" s="70"/>
      <c r="BZ201" s="70"/>
      <c r="CA201" s="70"/>
      <c r="CB201" s="70"/>
      <c r="CC201" s="70"/>
      <c r="CD201" s="70"/>
      <c r="CE201" s="70"/>
      <c r="CF201" s="70"/>
      <c r="CG201" s="70"/>
      <c r="CH201" s="70"/>
      <c r="CI201" s="70"/>
      <c r="CJ201" s="70"/>
      <c r="CK201" s="35"/>
      <c r="CL201" s="35"/>
      <c r="CN201" s="35"/>
      <c r="CO201" s="35"/>
      <c r="CQ201" s="35"/>
      <c r="CR201" s="35"/>
      <c r="CT201" s="35"/>
      <c r="CU201" s="35"/>
      <c r="CW201" s="35"/>
      <c r="CX201" s="35"/>
      <c r="CZ201" s="35"/>
      <c r="DA201" s="35"/>
      <c r="DC201" s="35"/>
      <c r="DD201" s="35"/>
      <c r="DE201" s="70"/>
      <c r="DF201" s="35"/>
      <c r="DG201" s="35"/>
      <c r="DH201" s="1067"/>
      <c r="DI201" s="35"/>
      <c r="DJ201" s="35"/>
      <c r="DK201" s="1067"/>
      <c r="DL201" s="35"/>
      <c r="DM201" s="70"/>
      <c r="DN201" s="1067"/>
      <c r="DO201" s="35"/>
      <c r="DP201" s="35"/>
      <c r="DQ201" s="1067"/>
      <c r="DR201" s="35"/>
      <c r="DS201" s="35"/>
      <c r="DT201" s="1067"/>
      <c r="DU201" s="35"/>
      <c r="DV201" s="35"/>
      <c r="DW201" s="1067"/>
      <c r="DX201" s="35"/>
      <c r="DY201" s="35"/>
      <c r="DZ201" s="1067"/>
      <c r="EA201" s="35"/>
      <c r="EB201" s="35"/>
      <c r="EC201" s="1067"/>
      <c r="ED201" s="35"/>
      <c r="EE201" s="35"/>
      <c r="EF201" s="1067"/>
      <c r="EG201" s="35"/>
      <c r="EH201" s="35"/>
      <c r="EI201" s="1067"/>
      <c r="EJ201" s="35"/>
      <c r="EK201" s="35"/>
      <c r="EL201" s="1067"/>
      <c r="EM201" s="35"/>
      <c r="EN201" s="35"/>
      <c r="EO201" s="1067"/>
      <c r="EP201" s="35"/>
      <c r="EQ201" s="35"/>
      <c r="ER201" s="1067"/>
      <c r="ES201" s="35"/>
      <c r="ET201" s="35"/>
      <c r="EU201" s="1067"/>
      <c r="EV201" s="35"/>
      <c r="EW201" s="35"/>
      <c r="EX201" s="1067"/>
      <c r="EY201" s="35"/>
      <c r="EZ201" s="35"/>
      <c r="FA201" s="1067"/>
    </row>
    <row r="202" spans="1:173" outlineLevel="1">
      <c r="B202" s="34" t="s">
        <v>789</v>
      </c>
      <c r="BA202" s="35"/>
      <c r="BB202" s="35"/>
      <c r="BC202" s="322"/>
      <c r="BD202" s="35"/>
      <c r="BE202" s="35"/>
      <c r="BG202" s="439"/>
      <c r="BH202" s="439"/>
      <c r="BJ202" s="35"/>
      <c r="BK202" s="35"/>
      <c r="BL202" s="31"/>
      <c r="BM202" s="35"/>
      <c r="BN202" s="35"/>
      <c r="BO202" s="31"/>
      <c r="BP202" s="35"/>
      <c r="BQ202" s="35"/>
      <c r="BR202" s="1024"/>
      <c r="BS202" s="74"/>
      <c r="BT202" s="70"/>
      <c r="BU202" s="74"/>
      <c r="BV202" s="74"/>
      <c r="BW202" s="74"/>
      <c r="BX202" s="74"/>
      <c r="BY202" s="70"/>
      <c r="BZ202" s="70"/>
      <c r="CA202" s="70"/>
      <c r="CB202" s="70"/>
      <c r="CC202" s="70"/>
      <c r="CD202" s="70"/>
      <c r="CE202" s="70"/>
      <c r="CF202" s="70"/>
      <c r="CG202" s="70"/>
      <c r="CH202" s="70"/>
      <c r="CI202" s="70"/>
      <c r="CJ202" s="70"/>
      <c r="CK202" s="35"/>
      <c r="CL202" s="35"/>
      <c r="CN202" s="35"/>
      <c r="CO202" s="35"/>
      <c r="CQ202" s="35"/>
      <c r="CR202" s="35"/>
      <c r="CT202" s="35"/>
      <c r="CU202" s="35"/>
      <c r="CW202" s="35"/>
      <c r="CX202" s="35"/>
      <c r="CZ202" s="35"/>
      <c r="DA202" s="35"/>
      <c r="DC202" s="35"/>
      <c r="DD202" s="35"/>
      <c r="DF202" s="35"/>
      <c r="DG202" s="35"/>
      <c r="DH202" s="1067"/>
      <c r="DI202" s="35"/>
      <c r="DJ202" s="35"/>
      <c r="DK202" s="1067"/>
      <c r="DL202" s="35"/>
      <c r="DM202" s="35"/>
      <c r="DN202" s="1067"/>
      <c r="DO202" s="35"/>
      <c r="DP202" s="35"/>
      <c r="DQ202" s="1067"/>
      <c r="DR202" s="35"/>
      <c r="DS202" s="35"/>
      <c r="DT202" s="1067"/>
      <c r="DU202" s="35"/>
      <c r="DV202" s="35"/>
      <c r="DW202" s="1067"/>
      <c r="DX202" s="35"/>
      <c r="DY202" s="35"/>
      <c r="DZ202" s="1067"/>
      <c r="EA202" s="35"/>
      <c r="EB202" s="35"/>
      <c r="EC202" s="1067"/>
      <c r="ED202" s="35"/>
      <c r="EE202" s="35"/>
      <c r="EF202" s="1067"/>
      <c r="EG202" s="35"/>
      <c r="EH202" s="35"/>
      <c r="EI202" s="1067"/>
      <c r="EJ202" s="35"/>
      <c r="EK202" s="35"/>
      <c r="EL202" s="1067"/>
      <c r="EM202" s="35"/>
      <c r="EN202" s="35"/>
      <c r="EO202" s="1067"/>
      <c r="EP202" s="35"/>
      <c r="EQ202" s="35"/>
      <c r="ER202" s="1067"/>
      <c r="ES202" s="35"/>
      <c r="ET202" s="35"/>
      <c r="EU202" s="1067"/>
      <c r="EV202" s="35"/>
      <c r="EW202" s="35"/>
      <c r="EX202" s="1067"/>
      <c r="EY202" s="35"/>
      <c r="EZ202" s="35"/>
      <c r="FA202" s="1067"/>
    </row>
    <row r="203" spans="1:173" s="321" customFormat="1" outlineLevel="1">
      <c r="A203" s="1168"/>
      <c r="B203" s="186" t="s">
        <v>399</v>
      </c>
      <c r="C203" s="186"/>
      <c r="D203" s="910" t="s">
        <v>907</v>
      </c>
      <c r="E203" s="190"/>
      <c r="F203" s="190"/>
      <c r="G203" s="190"/>
      <c r="H203" s="190"/>
      <c r="I203" s="190"/>
      <c r="J203" s="190"/>
      <c r="K203" s="190"/>
      <c r="L203" s="190"/>
      <c r="M203" s="190"/>
      <c r="N203" s="190"/>
      <c r="O203" s="190"/>
      <c r="P203" s="190"/>
      <c r="Q203" s="190"/>
      <c r="R203" s="190"/>
      <c r="S203" s="190"/>
      <c r="T203" s="190"/>
      <c r="U203" s="190"/>
      <c r="V203" s="190"/>
      <c r="W203" s="190"/>
      <c r="X203" s="190"/>
      <c r="Y203" s="190"/>
      <c r="Z203" s="190"/>
      <c r="AA203" s="190"/>
      <c r="AB203" s="190"/>
      <c r="AC203" s="190"/>
      <c r="AD203" s="190"/>
      <c r="AE203" s="190"/>
      <c r="AF203" s="190"/>
      <c r="AG203" s="190"/>
      <c r="AH203" s="190"/>
      <c r="AI203" s="190"/>
      <c r="AJ203" s="190"/>
      <c r="AK203" s="190"/>
      <c r="AL203" s="190"/>
      <c r="AM203" s="190"/>
      <c r="AN203" s="190"/>
      <c r="AO203" s="190"/>
      <c r="AP203" s="190"/>
      <c r="AQ203" s="190"/>
      <c r="AR203" s="190"/>
      <c r="AS203" s="190"/>
      <c r="AT203" s="190"/>
      <c r="AU203" s="190"/>
      <c r="AV203" s="190"/>
      <c r="AW203" s="190"/>
      <c r="AX203" s="190"/>
      <c r="AY203" s="190"/>
      <c r="AZ203" s="190"/>
      <c r="BA203" s="190"/>
      <c r="BB203" s="190"/>
      <c r="BC203" s="973"/>
      <c r="BD203" s="190"/>
      <c r="BE203" s="35"/>
      <c r="BF203" s="31"/>
      <c r="BG203" s="439"/>
      <c r="BH203" s="439"/>
      <c r="BI203" s="973"/>
      <c r="BJ203" s="190"/>
      <c r="BK203" s="190"/>
      <c r="BL203" s="973"/>
      <c r="BM203" s="190">
        <f>BM375*BM75</f>
        <v>3274.3263490781487</v>
      </c>
      <c r="BN203" s="190">
        <f>BN375*BN75</f>
        <v>3509.33556203649</v>
      </c>
      <c r="BO203" s="973">
        <f>BO205/BO173*1000000</f>
        <v>3395.5243652664599</v>
      </c>
      <c r="BP203" s="190">
        <f>BP375*BP75</f>
        <v>3307.8518748366278</v>
      </c>
      <c r="BQ203" s="190">
        <f>BQ375*BQ75</f>
        <v>3418.1839889965813</v>
      </c>
      <c r="BR203" s="973">
        <f>BR205/BR173*1000000</f>
        <v>3360.1378200863655</v>
      </c>
      <c r="BS203" s="190">
        <f>BS375*BS75</f>
        <v>5338.7264217301854</v>
      </c>
      <c r="BT203" s="190">
        <f>BT375*BT75</f>
        <v>5597.6162804151672</v>
      </c>
      <c r="BU203" s="190">
        <f>BU205/BU173*1000000</f>
        <v>5464.2754662903726</v>
      </c>
      <c r="BV203" s="190">
        <f>BV375*BV75</f>
        <v>6155.4247005853858</v>
      </c>
      <c r="BW203" s="190">
        <f>BW375*BW75</f>
        <v>6416.7545140756511</v>
      </c>
      <c r="BX203" s="190">
        <f>BX205/BX173*1000000</f>
        <v>6284.0048677088125</v>
      </c>
      <c r="BY203" s="190">
        <f>BY375*BY75</f>
        <v>6832.3374274881198</v>
      </c>
      <c r="BZ203" s="190">
        <f>BZ375*BZ75</f>
        <v>6120.5436544888207</v>
      </c>
      <c r="CA203" s="190">
        <f>CA205/CA173*1000000</f>
        <v>6481.4699184229212</v>
      </c>
      <c r="CB203" s="190">
        <f>CB375*CB75</f>
        <v>6725.9726207442927</v>
      </c>
      <c r="CC203" s="190">
        <f>CC375*CC75</f>
        <v>6786.4588040972048</v>
      </c>
      <c r="CD203" s="190">
        <f>CD205/CD173*1000000</f>
        <v>6757.5854932015818</v>
      </c>
      <c r="CE203" s="190">
        <f>CE375*CE75</f>
        <v>6275.9642667793996</v>
      </c>
      <c r="CF203" s="190">
        <f>CF375*CF75</f>
        <v>8136.9617359366075</v>
      </c>
      <c r="CG203" s="190">
        <f>CG205/CG173*1000000</f>
        <v>7248.6074784124976</v>
      </c>
      <c r="CH203" s="190">
        <f>CH375*CH75</f>
        <v>6784.5300437219612</v>
      </c>
      <c r="CI203" s="190">
        <f>CI375*CI75</f>
        <v>6806.9610206193884</v>
      </c>
      <c r="CJ203" s="190">
        <f>CJ205/CJ173*1000000</f>
        <v>6796.7818415736247</v>
      </c>
      <c r="CK203" s="190">
        <f>CK375*CK75</f>
        <v>5837.3758351211782</v>
      </c>
      <c r="CL203" s="190">
        <f>CL375*CL75</f>
        <v>6501.0271030735648</v>
      </c>
      <c r="CM203" s="190">
        <f>CM205/CM173*1000000</f>
        <v>6165.466051999204</v>
      </c>
      <c r="CN203" s="190">
        <f>CN375*CN75</f>
        <v>6698.6092730971641</v>
      </c>
      <c r="CO203" s="190">
        <f>CO375*CO75</f>
        <v>6289.6415121945156</v>
      </c>
      <c r="CP203" s="190">
        <f>CP205/CP173*1000000</f>
        <v>6480.2433233294669</v>
      </c>
      <c r="CQ203" s="190">
        <f>CQ375*CQ75</f>
        <v>7076.6974670978243</v>
      </c>
      <c r="CR203" s="190">
        <f>CR375*CR75</f>
        <v>7072.2242714691001</v>
      </c>
      <c r="CS203" s="190">
        <f>CS205/CS173*1000000</f>
        <v>7074.3282337826868</v>
      </c>
      <c r="CT203" s="190">
        <f>CT375*CT75</f>
        <v>5845.1537168484365</v>
      </c>
      <c r="CU203" s="190">
        <f>CU375*CU75</f>
        <v>5518.3123229051716</v>
      </c>
      <c r="CV203" s="190">
        <f>CV205/CV173*1000000</f>
        <v>5677.4203794408377</v>
      </c>
      <c r="CW203" s="190">
        <f>CW375*CW75</f>
        <v>5512.6622923034756</v>
      </c>
      <c r="CX203" s="190">
        <f>CX375*CX75</f>
        <v>5804.6906100323531</v>
      </c>
      <c r="CY203" s="190">
        <f>CY205/CY173*1000000</f>
        <v>5658.5763731117868</v>
      </c>
      <c r="CZ203" s="190">
        <f>CZ375*CZ75</f>
        <v>5637.6471151428614</v>
      </c>
      <c r="DA203" s="190">
        <f>DA375*DA75</f>
        <v>5156.3419917995925</v>
      </c>
      <c r="DB203" s="190">
        <f>DB205/DB173*1000000</f>
        <v>5399.5185615974769</v>
      </c>
      <c r="DC203" s="190">
        <f>DC375*DC75</f>
        <v>4993.2764310733073</v>
      </c>
      <c r="DD203" s="190">
        <f>DD375*DD75</f>
        <v>4800.1570358061399</v>
      </c>
      <c r="DE203" s="190">
        <f>DE205/DE173*1000000</f>
        <v>4902.3738717979604</v>
      </c>
      <c r="DF203" s="190">
        <f>DF375*DF75</f>
        <v>4716.4203119469621</v>
      </c>
      <c r="DG203" s="190">
        <f>DG375*DG75</f>
        <v>5456.9449388026678</v>
      </c>
      <c r="DH203" s="1060">
        <f>DH205/DH173*1000000</f>
        <v>4995.9461825311637</v>
      </c>
      <c r="DI203" s="234">
        <f>DI375*DI75</f>
        <v>5950.379965150305</v>
      </c>
      <c r="DJ203" s="234">
        <f>DJ375*DJ75</f>
        <v>5501.0430662428544</v>
      </c>
      <c r="DK203" s="1060">
        <f>DK205/DK173*1000000</f>
        <v>5724.6223988799129</v>
      </c>
      <c r="DL203" s="234">
        <f>DL375*DL75</f>
        <v>5188.4367238875466</v>
      </c>
      <c r="DM203" s="234">
        <f>DM375*DM75</f>
        <v>5101.0578724710631</v>
      </c>
      <c r="DN203" s="1060">
        <f>DN205/DN173*1000000</f>
        <v>5143.7360428234815</v>
      </c>
      <c r="DO203" s="234">
        <f>DO375*DO75</f>
        <v>4901.875518507145</v>
      </c>
      <c r="DP203" s="234">
        <f>DP375*DP75</f>
        <v>6009.8766457203992</v>
      </c>
      <c r="DQ203" s="1060">
        <f>DQ205/DQ173*1000000</f>
        <v>5478.7929932478992</v>
      </c>
      <c r="DR203" s="234">
        <f>DR375*DR75</f>
        <v>5294.6394637026024</v>
      </c>
      <c r="DS203" s="234">
        <f>DS375*DS75</f>
        <v>5265.4459614515681</v>
      </c>
      <c r="DT203" s="1060">
        <f>DT205/DT173*1000000</f>
        <v>5280.7355615234992</v>
      </c>
      <c r="DU203" s="234">
        <f>DU375*DU75</f>
        <v>5145.9742470237643</v>
      </c>
      <c r="DV203" s="234">
        <f>DV375*DV75</f>
        <v>4562.585835143791</v>
      </c>
      <c r="DW203" s="1060">
        <f>DW205/DW173*1000000</f>
        <v>4845.1951500400755</v>
      </c>
      <c r="DX203" s="234">
        <f>DX375*DX75</f>
        <v>4895.2430255554536</v>
      </c>
      <c r="DY203" s="234">
        <f>DY375*DY75</f>
        <v>5079.7988382538597</v>
      </c>
      <c r="DZ203" s="1060">
        <f>DZ205/DZ173*1000000</f>
        <v>4990.9291678243917</v>
      </c>
      <c r="EA203" s="234">
        <f>EA375*EA75</f>
        <v>5112.0489765742013</v>
      </c>
      <c r="EB203" s="234">
        <f>EB375*EB75</f>
        <v>4876.6068847237057</v>
      </c>
      <c r="EC203" s="1060">
        <f>EC205/EC173*1000000</f>
        <v>4996.7267736723861</v>
      </c>
      <c r="ED203" s="234">
        <f>ED375*ED75</f>
        <v>4907.5670175112327</v>
      </c>
      <c r="EE203" s="234">
        <f>EE375*EE75</f>
        <v>4681.5426093347569</v>
      </c>
      <c r="EF203" s="1060">
        <f>EF205/EF173*1000000</f>
        <v>4796.8577027254905</v>
      </c>
      <c r="EG203" s="234">
        <f>EG375*EG75</f>
        <v>4711.2643368107829</v>
      </c>
      <c r="EH203" s="234">
        <f>EH375*EH75</f>
        <v>4494.2809049613661</v>
      </c>
      <c r="EI203" s="1060">
        <f>EI205/EI173*1000000</f>
        <v>4604.9833946164708</v>
      </c>
      <c r="EJ203" s="234">
        <f>EJ375*EJ75</f>
        <v>4522.8137633383512</v>
      </c>
      <c r="EK203" s="234">
        <f>EK375*EK75</f>
        <v>4314.5096687629111</v>
      </c>
      <c r="EL203" s="1060">
        <f>EL205/EL173*1000000</f>
        <v>4420.7840588318104</v>
      </c>
      <c r="EM203" s="234">
        <f>EM375*EM75</f>
        <v>4341.9012128048171</v>
      </c>
      <c r="EN203" s="234">
        <f>EN375*EN75</f>
        <v>4141.9292820123947</v>
      </c>
      <c r="EO203" s="1060">
        <f>EO205/EO173*1000000</f>
        <v>4243.9526964785382</v>
      </c>
      <c r="EP203" s="234">
        <f>EP375*EP75</f>
        <v>4168.225164292624</v>
      </c>
      <c r="EQ203" s="234">
        <f>EQ375*EQ75</f>
        <v>3976.2521107318989</v>
      </c>
      <c r="ER203" s="1060">
        <f>ER205/ER173*1000000</f>
        <v>4074.1945886193967</v>
      </c>
      <c r="ES203" s="234">
        <f>ES375*ES75</f>
        <v>4001.4961577209187</v>
      </c>
      <c r="ET203" s="234">
        <f>ET375*ET75</f>
        <v>3817.2020263026225</v>
      </c>
      <c r="EU203" s="1060">
        <f>EU205/EU173*1000000</f>
        <v>3911.2268050746211</v>
      </c>
      <c r="EV203" s="234">
        <f>EV375*EV75</f>
        <v>3841.4363114120824</v>
      </c>
      <c r="EW203" s="234">
        <f>EW375*EW75</f>
        <v>3664.5139452505177</v>
      </c>
      <c r="EX203" s="1060">
        <f>EX205/EX173*1000000</f>
        <v>3754.7777328716365</v>
      </c>
      <c r="EY203" s="234">
        <f>EY375*EY75</f>
        <v>3687.7788589555985</v>
      </c>
      <c r="EZ203" s="234">
        <f>EZ375*EZ75</f>
        <v>3517.933387440497</v>
      </c>
      <c r="FA203" s="1060">
        <f>FA205/FA173*1000000</f>
        <v>3604.5866235567705</v>
      </c>
      <c r="FH203" s="35"/>
      <c r="FI203" s="35"/>
      <c r="FJ203" s="35"/>
      <c r="FK203" s="35"/>
      <c r="FL203" s="35"/>
      <c r="FM203" s="35"/>
      <c r="FN203" s="35"/>
      <c r="FO203" s="35"/>
      <c r="FP203" s="35"/>
      <c r="FQ203" s="35"/>
    </row>
    <row r="204" spans="1:173" s="321" customFormat="1" outlineLevel="1">
      <c r="A204" s="1168"/>
      <c r="B204" s="35" t="s">
        <v>753</v>
      </c>
      <c r="C204" s="186"/>
      <c r="D204" s="910" t="s">
        <v>460</v>
      </c>
      <c r="E204" s="190"/>
      <c r="F204" s="190"/>
      <c r="G204" s="190"/>
      <c r="H204" s="190"/>
      <c r="I204" s="190"/>
      <c r="J204" s="190"/>
      <c r="K204" s="190"/>
      <c r="L204" s="190"/>
      <c r="M204" s="190"/>
      <c r="N204" s="190"/>
      <c r="O204" s="190"/>
      <c r="P204" s="190"/>
      <c r="Q204" s="190"/>
      <c r="R204" s="190"/>
      <c r="S204" s="190"/>
      <c r="T204" s="190"/>
      <c r="U204" s="190"/>
      <c r="V204" s="190"/>
      <c r="W204" s="190"/>
      <c r="X204" s="190"/>
      <c r="Y204" s="190"/>
      <c r="Z204" s="190"/>
      <c r="AA204" s="190"/>
      <c r="AB204" s="190"/>
      <c r="AC204" s="190"/>
      <c r="AD204" s="190"/>
      <c r="AE204" s="190"/>
      <c r="AF204" s="190"/>
      <c r="AG204" s="190"/>
      <c r="AH204" s="190"/>
      <c r="AI204" s="190"/>
      <c r="AJ204" s="190"/>
      <c r="AK204" s="190"/>
      <c r="AL204" s="190"/>
      <c r="AM204" s="190"/>
      <c r="AN204" s="190"/>
      <c r="AO204" s="190"/>
      <c r="AP204" s="190"/>
      <c r="AQ204" s="190"/>
      <c r="AR204" s="190"/>
      <c r="AS204" s="190"/>
      <c r="AT204" s="190"/>
      <c r="AU204" s="190"/>
      <c r="AV204" s="190"/>
      <c r="AW204" s="190"/>
      <c r="AX204" s="190"/>
      <c r="AY204" s="190"/>
      <c r="AZ204" s="190"/>
      <c r="BA204" s="190"/>
      <c r="BB204" s="190"/>
      <c r="BC204" s="973"/>
      <c r="BD204" s="190"/>
      <c r="BE204" s="35"/>
      <c r="BF204" s="31"/>
      <c r="BG204" s="35"/>
      <c r="BH204" s="35"/>
      <c r="BI204" s="973"/>
      <c r="BJ204" s="190"/>
      <c r="BK204" s="190"/>
      <c r="BL204" s="973"/>
      <c r="BM204" s="185"/>
      <c r="BN204" s="185"/>
      <c r="BO204" s="971"/>
      <c r="BP204" s="185">
        <f t="shared" ref="BP204:CU204" si="1242">BP203/BM203-1</f>
        <v>1.0238907849829282E-2</v>
      </c>
      <c r="BQ204" s="185">
        <f t="shared" si="1242"/>
        <v>-2.5974025974025983E-2</v>
      </c>
      <c r="BR204" s="185">
        <f t="shared" si="1242"/>
        <v>-1.0421525918668406E-2</v>
      </c>
      <c r="BS204" s="185">
        <f t="shared" si="1242"/>
        <v>0.61395571015218486</v>
      </c>
      <c r="BT204" s="185">
        <f t="shared" si="1242"/>
        <v>0.63759946756358343</v>
      </c>
      <c r="BU204" s="185">
        <f t="shared" si="1242"/>
        <v>0.62620575668825529</v>
      </c>
      <c r="BV204" s="185">
        <f t="shared" si="1242"/>
        <v>0.15297623709111563</v>
      </c>
      <c r="BW204" s="185">
        <f t="shared" si="1242"/>
        <v>0.14633697499531517</v>
      </c>
      <c r="BX204" s="185">
        <f t="shared" si="1242"/>
        <v>0.15001611951583094</v>
      </c>
      <c r="BY204" s="185">
        <f t="shared" si="1242"/>
        <v>0.10997010926611761</v>
      </c>
      <c r="BZ204" s="185">
        <f t="shared" si="1242"/>
        <v>-4.6162099381715227E-2</v>
      </c>
      <c r="CA204" s="185">
        <f t="shared" si="1242"/>
        <v>3.1423440126345126E-2</v>
      </c>
      <c r="CB204" s="185">
        <f t="shared" si="1242"/>
        <v>-1.5567850369318181E-2</v>
      </c>
      <c r="CC204" s="185">
        <f t="shared" si="1242"/>
        <v>0.10880000000000001</v>
      </c>
      <c r="CD204" s="185">
        <f t="shared" si="1242"/>
        <v>4.2600764680528647E-2</v>
      </c>
      <c r="CE204" s="185">
        <f t="shared" si="1242"/>
        <v>-6.6906063901743251E-2</v>
      </c>
      <c r="CF204" s="185">
        <f t="shared" si="1242"/>
        <v>0.19899965074923331</v>
      </c>
      <c r="CG204" s="185">
        <f t="shared" si="1242"/>
        <v>7.2662341557484522E-2</v>
      </c>
      <c r="CH204" s="185">
        <f t="shared" si="1242"/>
        <v>8.1033886638672614E-2</v>
      </c>
      <c r="CI204" s="185">
        <f t="shared" si="1242"/>
        <v>-0.16345175981881754</v>
      </c>
      <c r="CJ204" s="185">
        <f t="shared" si="1242"/>
        <v>-6.2332749867403003E-2</v>
      </c>
      <c r="CK204" s="185">
        <f t="shared" si="1242"/>
        <v>-0.139604984058878</v>
      </c>
      <c r="CL204" s="185">
        <f t="shared" si="1242"/>
        <v>-4.4944273460520767E-2</v>
      </c>
      <c r="CM204" s="185">
        <f t="shared" si="1242"/>
        <v>-9.2884515685478508E-2</v>
      </c>
      <c r="CN204" s="185">
        <f t="shared" si="1242"/>
        <v>0.14753777421599024</v>
      </c>
      <c r="CO204" s="185">
        <f t="shared" si="1242"/>
        <v>-3.2515722135523784E-2</v>
      </c>
      <c r="CP204" s="185">
        <f t="shared" si="1242"/>
        <v>5.1054903015513853E-2</v>
      </c>
      <c r="CQ204" s="185">
        <f t="shared" si="1242"/>
        <v>5.6442789627860757E-2</v>
      </c>
      <c r="CR204" s="185">
        <f t="shared" si="1242"/>
        <v>0.12442406419464347</v>
      </c>
      <c r="CS204" s="185">
        <f t="shared" si="1242"/>
        <v>9.1676327695051185E-2</v>
      </c>
      <c r="CT204" s="185">
        <f t="shared" si="1242"/>
        <v>-0.17402803440097425</v>
      </c>
      <c r="CU204" s="185">
        <f t="shared" si="1242"/>
        <v>-0.21972040038842511</v>
      </c>
      <c r="CV204" s="185">
        <f t="shared" ref="CV204:EA204" si="1243">CV203/CS203-1</f>
        <v>-0.19746155510159502</v>
      </c>
      <c r="CW204" s="185">
        <f t="shared" si="1243"/>
        <v>-5.6883264436068948E-2</v>
      </c>
      <c r="CX204" s="185">
        <f t="shared" si="1243"/>
        <v>5.1895991087437254E-2</v>
      </c>
      <c r="CY204" s="185">
        <f t="shared" si="1243"/>
        <v>-3.3191141521401457E-3</v>
      </c>
      <c r="CZ204" s="185">
        <f t="shared" si="1243"/>
        <v>2.2672316244346069E-2</v>
      </c>
      <c r="DA204" s="185">
        <f t="shared" si="1243"/>
        <v>-0.11169391476476076</v>
      </c>
      <c r="DB204" s="185">
        <f t="shared" si="1243"/>
        <v>-4.5781446503981305E-2</v>
      </c>
      <c r="DC204" s="185">
        <f t="shared" si="1243"/>
        <v>-0.11429780383712884</v>
      </c>
      <c r="DD204" s="185">
        <f t="shared" si="1243"/>
        <v>-6.9077062103311326E-2</v>
      </c>
      <c r="DE204" s="185">
        <f t="shared" si="1243"/>
        <v>-9.2072040151008117E-2</v>
      </c>
      <c r="DF204" s="185">
        <f t="shared" ref="DF204:DN204" si="1244">DF203/DC203-1</f>
        <v>-5.5445782533380616E-2</v>
      </c>
      <c r="DG204" s="185">
        <f t="shared" si="1244"/>
        <v>0.13682633674217426</v>
      </c>
      <c r="DH204" s="1082">
        <f t="shared" si="1244"/>
        <v>1.9087142918964073E-2</v>
      </c>
      <c r="DI204" s="185">
        <f t="shared" si="1244"/>
        <v>0.26163055274731395</v>
      </c>
      <c r="DJ204" s="185">
        <f t="shared" si="1244"/>
        <v>8.0811017766768689E-3</v>
      </c>
      <c r="DK204" s="1082">
        <f t="shared" si="1244"/>
        <v>0.14585349595971242</v>
      </c>
      <c r="DL204" s="185">
        <f t="shared" si="1244"/>
        <v>-0.12804951040525892</v>
      </c>
      <c r="DM204" s="185">
        <f t="shared" si="1244"/>
        <v>-7.2710791199999902E-2</v>
      </c>
      <c r="DN204" s="1082">
        <f t="shared" si="1244"/>
        <v>-0.10147155839834754</v>
      </c>
      <c r="DO204" s="185">
        <f t="shared" si="1243"/>
        <v>-5.5230741094147828E-2</v>
      </c>
      <c r="DP204" s="185">
        <f t="shared" si="1243"/>
        <v>0.17816280386740346</v>
      </c>
      <c r="DQ204" s="1082">
        <f t="shared" si="1243"/>
        <v>6.5138830537754266E-2</v>
      </c>
      <c r="DR204" s="185">
        <f>DR203/DO203-1</f>
        <v>8.0125238536263854E-2</v>
      </c>
      <c r="DS204" s="185">
        <f>DS203/DP203-1</f>
        <v>-0.12386788084892497</v>
      </c>
      <c r="DT204" s="1082">
        <f>DT203/DQ203-1</f>
        <v>-3.614982934534805E-2</v>
      </c>
      <c r="DU204" s="185">
        <f t="shared" si="1243"/>
        <v>-2.8078440033171725E-2</v>
      </c>
      <c r="DV204" s="185">
        <f>DV203/DS203-1</f>
        <v>-0.13348539353616573</v>
      </c>
      <c r="DW204" s="1082">
        <f>DW203/DT203-1</f>
        <v>-8.2477224320198661E-2</v>
      </c>
      <c r="DX204" s="185">
        <f t="shared" si="1243"/>
        <v>-4.8723761416669342E-2</v>
      </c>
      <c r="DY204" s="185">
        <f t="shared" si="1243"/>
        <v>0.1133596214511039</v>
      </c>
      <c r="DZ204" s="1082">
        <f t="shared" si="1243"/>
        <v>3.0078049133503093E-2</v>
      </c>
      <c r="EA204" s="185">
        <f t="shared" si="1243"/>
        <v>4.4289108811742306E-2</v>
      </c>
      <c r="EB204" s="185">
        <f t="shared" ref="EB204:EL204" si="1245">EB203/DY203-1</f>
        <v>-3.9999999999999925E-2</v>
      </c>
      <c r="EC204" s="1082">
        <f t="shared" si="1245"/>
        <v>1.1616285571374174E-3</v>
      </c>
      <c r="ED204" s="185">
        <f t="shared" si="1245"/>
        <v>-4.0000000000000147E-2</v>
      </c>
      <c r="EE204" s="185">
        <f t="shared" si="1245"/>
        <v>-4.0000000000000147E-2</v>
      </c>
      <c r="EF204" s="1082">
        <f t="shared" si="1245"/>
        <v>-4.0000000000000036E-2</v>
      </c>
      <c r="EG204" s="185">
        <f t="shared" si="1245"/>
        <v>-4.0000000000000147E-2</v>
      </c>
      <c r="EH204" s="185">
        <f t="shared" si="1245"/>
        <v>-4.0000000000000147E-2</v>
      </c>
      <c r="EI204" s="1082">
        <f t="shared" si="1245"/>
        <v>-4.0000000000000036E-2</v>
      </c>
      <c r="EJ204" s="185">
        <f t="shared" si="1245"/>
        <v>-4.0000000000000036E-2</v>
      </c>
      <c r="EK204" s="185">
        <f t="shared" si="1245"/>
        <v>-4.0000000000000036E-2</v>
      </c>
      <c r="EL204" s="1082">
        <f t="shared" si="1245"/>
        <v>-4.0000000000000369E-2</v>
      </c>
      <c r="EM204" s="185">
        <f t="shared" ref="EM204:ER204" si="1246">EM203/EJ203-1</f>
        <v>-4.0000000000000036E-2</v>
      </c>
      <c r="EN204" s="185">
        <f t="shared" si="1246"/>
        <v>-4.0000000000000036E-2</v>
      </c>
      <c r="EO204" s="1082">
        <f t="shared" si="1246"/>
        <v>-3.9999999999999925E-2</v>
      </c>
      <c r="EP204" s="185">
        <f t="shared" si="1246"/>
        <v>-4.0000000000000147E-2</v>
      </c>
      <c r="EQ204" s="185">
        <f t="shared" si="1246"/>
        <v>-4.0000000000000036E-2</v>
      </c>
      <c r="ER204" s="1082">
        <f t="shared" si="1246"/>
        <v>-4.0000000000000036E-2</v>
      </c>
      <c r="ES204" s="185">
        <f t="shared" ref="ES204" si="1247">ES203/EP203-1</f>
        <v>-4.0000000000000036E-2</v>
      </c>
      <c r="ET204" s="185">
        <f t="shared" ref="ET204" si="1248">ET203/EQ203-1</f>
        <v>-4.0000000000000147E-2</v>
      </c>
      <c r="EU204" s="1082">
        <f t="shared" ref="EU204" si="1249">EU203/ER203-1</f>
        <v>-3.9999999999999925E-2</v>
      </c>
      <c r="EV204" s="185">
        <f t="shared" ref="EV204" si="1250">EV203/ES203-1</f>
        <v>-3.9999999999999925E-2</v>
      </c>
      <c r="EW204" s="185">
        <f t="shared" ref="EW204" si="1251">EW203/ET203-1</f>
        <v>-3.9999999999999925E-2</v>
      </c>
      <c r="EX204" s="1082">
        <f t="shared" ref="EX204" si="1252">EX203/EU203-1</f>
        <v>-3.9999999999999925E-2</v>
      </c>
      <c r="EY204" s="185">
        <f t="shared" ref="EY204" si="1253">EY203/EV203-1</f>
        <v>-4.0000000000000147E-2</v>
      </c>
      <c r="EZ204" s="185">
        <f t="shared" ref="EZ204" si="1254">EZ203/EW203-1</f>
        <v>-4.0000000000000036E-2</v>
      </c>
      <c r="FA204" s="1082">
        <f t="shared" ref="FA204" si="1255">FA203/EX203-1</f>
        <v>-4.0000000000000147E-2</v>
      </c>
      <c r="FH204" s="35"/>
      <c r="FI204" s="35"/>
      <c r="FJ204" s="35"/>
      <c r="FK204" s="35"/>
      <c r="FL204" s="35"/>
      <c r="FM204" s="35"/>
      <c r="FN204" s="35"/>
      <c r="FO204" s="35"/>
      <c r="FP204" s="35"/>
      <c r="FQ204" s="35"/>
    </row>
    <row r="205" spans="1:173" s="321" customFormat="1" outlineLevel="1">
      <c r="A205" s="1168"/>
      <c r="B205" s="186" t="s">
        <v>429</v>
      </c>
      <c r="C205" s="35"/>
      <c r="D205" s="910" t="s">
        <v>39</v>
      </c>
      <c r="E205" s="190"/>
      <c r="F205" s="190"/>
      <c r="G205" s="190"/>
      <c r="H205" s="190"/>
      <c r="I205" s="190"/>
      <c r="J205" s="190"/>
      <c r="K205" s="190"/>
      <c r="L205" s="190"/>
      <c r="M205" s="190"/>
      <c r="N205" s="190"/>
      <c r="O205" s="190"/>
      <c r="P205" s="190"/>
      <c r="Q205" s="190"/>
      <c r="R205" s="190"/>
      <c r="S205" s="190"/>
      <c r="T205" s="190"/>
      <c r="U205" s="190"/>
      <c r="V205" s="190"/>
      <c r="W205" s="190"/>
      <c r="X205" s="190"/>
      <c r="Y205" s="190"/>
      <c r="Z205" s="190"/>
      <c r="AA205" s="190"/>
      <c r="AB205" s="190"/>
      <c r="AC205" s="190"/>
      <c r="AD205" s="190"/>
      <c r="AE205" s="190"/>
      <c r="AF205" s="190"/>
      <c r="AG205" s="190"/>
      <c r="AH205" s="190"/>
      <c r="AI205" s="190"/>
      <c r="AJ205" s="190"/>
      <c r="AK205" s="190"/>
      <c r="AL205" s="190"/>
      <c r="AM205" s="190"/>
      <c r="AN205" s="190"/>
      <c r="AO205" s="190"/>
      <c r="AP205" s="190"/>
      <c r="AQ205" s="190"/>
      <c r="AR205" s="190"/>
      <c r="AS205" s="190"/>
      <c r="AT205" s="190"/>
      <c r="AU205" s="190"/>
      <c r="AV205" s="190"/>
      <c r="AW205" s="190"/>
      <c r="AX205" s="190"/>
      <c r="AY205" s="190"/>
      <c r="AZ205" s="190"/>
      <c r="BA205" s="190"/>
      <c r="BB205" s="190"/>
      <c r="BC205" s="973"/>
      <c r="BD205" s="190"/>
      <c r="BE205" s="35"/>
      <c r="BF205" s="31"/>
      <c r="BG205" s="35"/>
      <c r="BH205" s="35"/>
      <c r="BI205" s="973"/>
      <c r="BJ205" s="190"/>
      <c r="BK205" s="190"/>
      <c r="BL205" s="973"/>
      <c r="BM205" s="70">
        <f>BM203*BM173/1000000</f>
        <v>8.2401890170059886</v>
      </c>
      <c r="BN205" s="70">
        <f>BN203*BN173/1000000</f>
        <v>9.4048230610313635</v>
      </c>
      <c r="BO205" s="1024">
        <f>SUM(BM205:BN205)</f>
        <v>17.645012078037354</v>
      </c>
      <c r="BP205" s="70">
        <f>BP203*BP173/1000000</f>
        <v>11.071664205511665</v>
      </c>
      <c r="BQ205" s="70">
        <f>BQ203*BQ173/1000000</f>
        <v>10.305609685383395</v>
      </c>
      <c r="BR205" s="1024">
        <f>SUM(BP205:BQ205)</f>
        <v>21.377273890895061</v>
      </c>
      <c r="BS205" s="70">
        <f>BS203*BS173/1000000</f>
        <v>21.800394311755184</v>
      </c>
      <c r="BT205" s="70">
        <f>BT203*BT173/1000000</f>
        <v>21.521875570312758</v>
      </c>
      <c r="BU205" s="70">
        <f>SUM(BS205:BT205)</f>
        <v>43.322269882067943</v>
      </c>
      <c r="BV205" s="70">
        <f>BV203*BV173/1000000</f>
        <v>27.146163528723662</v>
      </c>
      <c r="BW205" s="70">
        <f>BW203*BW173/1000000</f>
        <v>27.409838450360169</v>
      </c>
      <c r="BX205" s="70">
        <f>SUM(BV205:BW205)</f>
        <v>54.556001979083831</v>
      </c>
      <c r="BY205" s="70">
        <f>BY203*BY173/1000000</f>
        <v>30.922380138209299</v>
      </c>
      <c r="BZ205" s="70">
        <f>BZ203*BZ173/1000000</f>
        <v>26.928879046691222</v>
      </c>
      <c r="CA205" s="70">
        <f>SUM(BY205:BZ205)</f>
        <v>57.85125918490052</v>
      </c>
      <c r="CB205" s="70">
        <f>CB203*CB173/1000000</f>
        <v>33.244599883575809</v>
      </c>
      <c r="CC205" s="70">
        <f>CC203*CC173/1000000</f>
        <v>36.726251536974608</v>
      </c>
      <c r="CD205" s="70">
        <f>SUM(CB205:CC205)</f>
        <v>69.970851420550417</v>
      </c>
      <c r="CE205" s="70">
        <f>CE203*CE173/1000000</f>
        <v>35.673384743284011</v>
      </c>
      <c r="CF205" s="70">
        <f>CF203*CF173/1000000</f>
        <v>50.639977181085207</v>
      </c>
      <c r="CG205" s="70">
        <f>SUM(CE205:CF205)</f>
        <v>86.313361924369218</v>
      </c>
      <c r="CH205" s="70">
        <f>CH203*CH173/1000000</f>
        <v>33.630283155554267</v>
      </c>
      <c r="CI205" s="70">
        <f>CI203*CI173/1000000</f>
        <v>40.611692275762806</v>
      </c>
      <c r="CJ205" s="70">
        <f>SUM(CH205:CI205)</f>
        <v>74.241975431317073</v>
      </c>
      <c r="CK205" s="70">
        <f>CK203*CK173/1000000</f>
        <v>31.712637991569963</v>
      </c>
      <c r="CL205" s="70">
        <f>CL203*CL173/1000000</f>
        <v>34.531737051713051</v>
      </c>
      <c r="CM205" s="70">
        <f>SUM(CK205:CL205)</f>
        <v>66.244375043283014</v>
      </c>
      <c r="CN205" s="70">
        <f>CN203*CN173/1000000</f>
        <v>35.667342022215379</v>
      </c>
      <c r="CO205" s="70">
        <f>CO203*CO173/1000000</f>
        <v>38.368064254883514</v>
      </c>
      <c r="CP205" s="70">
        <f>SUM(CN205:CO205)</f>
        <v>74.0354062770989</v>
      </c>
      <c r="CQ205" s="70">
        <f>CQ203*CQ173/1000000</f>
        <v>44.086192376335482</v>
      </c>
      <c r="CR205" s="70">
        <f>CR203*CR173/1000000</f>
        <v>49.613270956470942</v>
      </c>
      <c r="CS205" s="70">
        <f>SUM(CQ205:CR205)</f>
        <v>93.699463332806431</v>
      </c>
      <c r="CT205" s="70">
        <f>CT203*CT173/1000000</f>
        <v>40.055354870144463</v>
      </c>
      <c r="CU205" s="70">
        <f>CU203*CU173/1000000</f>
        <v>39.865584963409141</v>
      </c>
      <c r="CV205" s="70">
        <f>SUM(CT205:CU205)</f>
        <v>79.920939833553604</v>
      </c>
      <c r="CW205" s="70">
        <f>CW203*CW173/1000000</f>
        <v>45.132894931677114</v>
      </c>
      <c r="CX205" s="70">
        <f>CX203*CX173/1000000</f>
        <v>47.458668442089646</v>
      </c>
      <c r="CY205" s="70">
        <f>SUM(CW205:CX205)</f>
        <v>92.59156337376676</v>
      </c>
      <c r="CZ205" s="70">
        <f>CZ203*CZ173/1000000</f>
        <v>51.306349144489516</v>
      </c>
      <c r="DA205" s="70">
        <f>DA203*DA173/1000000</f>
        <v>45.952028131954144</v>
      </c>
      <c r="DB205" s="70">
        <f>SUM(CZ205:DA205)</f>
        <v>97.258377276443667</v>
      </c>
      <c r="DC205" s="70">
        <f>DC203*DC173/1000000</f>
        <v>44.533303192085938</v>
      </c>
      <c r="DD205" s="70">
        <f>DD203*DD173/1000000</f>
        <v>38.072239357509929</v>
      </c>
      <c r="DE205" s="70">
        <f>SUM(DC205:DD205)</f>
        <v>82.605542549595867</v>
      </c>
      <c r="DF205" s="70">
        <f>DF203*DF173/1000000</f>
        <v>46.270531282584884</v>
      </c>
      <c r="DG205" s="70">
        <f>DG203*DG173/1000000</f>
        <v>32.46114330027693</v>
      </c>
      <c r="DH205" s="1070">
        <f>SUM(DF205:DG205)</f>
        <v>78.731674582861814</v>
      </c>
      <c r="DI205" s="70">
        <f>DI203*DI173/1000000</f>
        <v>52.298447862499209</v>
      </c>
      <c r="DJ205" s="70">
        <f>DJ203*DJ173/1000000</f>
        <v>48.820228208796571</v>
      </c>
      <c r="DK205" s="1070">
        <f>SUM(DI205:DJ205)</f>
        <v>101.11867607129578</v>
      </c>
      <c r="DL205" s="233">
        <f>DL203*DL173/1000000</f>
        <v>45.968946081847484</v>
      </c>
      <c r="DM205" s="233">
        <f>DM203*DM173/1000000</f>
        <v>47.336551984295724</v>
      </c>
      <c r="DN205" s="1070">
        <f>SUM(DL205:DM205)</f>
        <v>93.305498066143201</v>
      </c>
      <c r="DO205" s="233">
        <f>DO203*DO173/1000000</f>
        <v>51.887368666178496</v>
      </c>
      <c r="DP205" s="233">
        <f>DP203*DP173/1000000</f>
        <v>69.105989110300428</v>
      </c>
      <c r="DQ205" s="1070">
        <f>SUM(DO205:DP205)</f>
        <v>120.99335777647892</v>
      </c>
      <c r="DR205" s="233">
        <f>DR203*DR173/1000000</f>
        <v>67.348452150217369</v>
      </c>
      <c r="DS205" s="233">
        <f>DS203*DS173/1000000</f>
        <v>60.906965749188551</v>
      </c>
      <c r="DT205" s="1070">
        <f>SUM(DR205:DS205)</f>
        <v>128.25541789940593</v>
      </c>
      <c r="DU205" s="233">
        <f>DU203*DU173/1000000</f>
        <v>64.853496330296366</v>
      </c>
      <c r="DV205" s="233">
        <f>DV203*DV173/1000000</f>
        <v>61.198110391251426</v>
      </c>
      <c r="DW205" s="1070">
        <f>SUM(DU205:DV205)</f>
        <v>126.05160672154778</v>
      </c>
      <c r="DX205" s="233">
        <f>DX203*DX173/1000000</f>
        <v>67.08083056761842</v>
      </c>
      <c r="DY205" s="233">
        <f>DY203*DY173/1000000</f>
        <v>74.949055520599217</v>
      </c>
      <c r="DZ205" s="1070">
        <f>SUM(DX205:DY205)</f>
        <v>142.02988608821764</v>
      </c>
      <c r="EA205" s="233">
        <f>EA203*EA173/1000000</f>
        <v>84.062136926171661</v>
      </c>
      <c r="EB205" s="233">
        <f>EB203*EB173/1000000</f>
        <v>76.987669830759529</v>
      </c>
      <c r="EC205" s="1070">
        <f>SUM(EA205:EB205)</f>
        <v>161.04980675693119</v>
      </c>
      <c r="ED205" s="233">
        <f>ED203*ED173/1000000</f>
        <v>87.962620079546014</v>
      </c>
      <c r="EE205" s="233">
        <f>EE203*EE173/1000000</f>
        <v>80.559897710906768</v>
      </c>
      <c r="EF205" s="1070">
        <f>SUM(ED205:EE205)</f>
        <v>168.52251779045278</v>
      </c>
      <c r="EG205" s="233">
        <f>EG203*EG173/1000000</f>
        <v>92.044085651236941</v>
      </c>
      <c r="EH205" s="233">
        <f>EH203*EH173/1000000</f>
        <v>84.297876964692847</v>
      </c>
      <c r="EI205" s="1070">
        <f>SUM(EG205:EH205)</f>
        <v>176.34196261592979</v>
      </c>
      <c r="EJ205" s="233">
        <f>EJ203*EJ173/1000000</f>
        <v>96.31493122545433</v>
      </c>
      <c r="EK205" s="233">
        <f>EK203*EK173/1000000</f>
        <v>88.209298455854579</v>
      </c>
      <c r="EL205" s="1070">
        <f>SUM(EJ205:EK205)</f>
        <v>184.5242296813089</v>
      </c>
      <c r="EM205" s="233">
        <f>EM203*EM173/1000000</f>
        <v>100.78394403431541</v>
      </c>
      <c r="EN205" s="233">
        <f>EN203*EN173/1000000</f>
        <v>92.302209904206237</v>
      </c>
      <c r="EO205" s="1070">
        <f>SUM(EM205:EN205)</f>
        <v>193.08615393852165</v>
      </c>
      <c r="EP205" s="233">
        <f>EP203*EP173/1000000</f>
        <v>105.46031903750765</v>
      </c>
      <c r="EQ205" s="233">
        <f>EQ203*EQ173/1000000</f>
        <v>96.58503244376142</v>
      </c>
      <c r="ER205" s="1070">
        <f>SUM(EP205:EQ205)</f>
        <v>202.04535148126905</v>
      </c>
      <c r="ES205" s="233">
        <f>ES203*ES173/1000000</f>
        <v>110.35367784084799</v>
      </c>
      <c r="ET205" s="233">
        <f>ET203*ET173/1000000</f>
        <v>101.06657794915193</v>
      </c>
      <c r="EU205" s="1070">
        <f>SUM(ES205:ET205)</f>
        <v>211.42025578999994</v>
      </c>
      <c r="EV205" s="233">
        <f>EV203*EV173/1000000</f>
        <v>115.47408849266336</v>
      </c>
      <c r="EW205" s="233">
        <f>EW203*EW173/1000000</f>
        <v>105.7560671659926</v>
      </c>
      <c r="EX205" s="1070">
        <f>SUM(EV205:EW205)</f>
        <v>221.23015565865597</v>
      </c>
      <c r="EY205" s="233">
        <f>EY203*EY173/1000000</f>
        <v>120.83208619872293</v>
      </c>
      <c r="EZ205" s="233">
        <f>EZ203*EZ173/1000000</f>
        <v>110.66314868249465</v>
      </c>
      <c r="FA205" s="1070">
        <f>SUM(EY205:EZ205)</f>
        <v>231.49523488121758</v>
      </c>
      <c r="FH205" s="35"/>
      <c r="FI205" s="35"/>
      <c r="FJ205" s="35"/>
      <c r="FK205" s="35"/>
      <c r="FL205" s="35"/>
      <c r="FM205" s="35"/>
      <c r="FN205" s="35"/>
      <c r="FO205" s="35"/>
      <c r="FP205" s="35"/>
      <c r="FQ205" s="35"/>
    </row>
    <row r="206" spans="1:173" s="321" customFormat="1" outlineLevel="1">
      <c r="A206" s="1168"/>
      <c r="B206" s="186"/>
      <c r="C206" s="35"/>
      <c r="D206" s="910" t="s">
        <v>604</v>
      </c>
      <c r="E206" s="190"/>
      <c r="F206" s="190"/>
      <c r="G206" s="190"/>
      <c r="H206" s="190"/>
      <c r="I206" s="190"/>
      <c r="J206" s="190"/>
      <c r="K206" s="190"/>
      <c r="L206" s="190"/>
      <c r="M206" s="190"/>
      <c r="N206" s="190"/>
      <c r="O206" s="190"/>
      <c r="P206" s="190"/>
      <c r="Q206" s="190"/>
      <c r="R206" s="190"/>
      <c r="S206" s="190"/>
      <c r="T206" s="190"/>
      <c r="U206" s="190"/>
      <c r="V206" s="190"/>
      <c r="W206" s="190"/>
      <c r="X206" s="190"/>
      <c r="Y206" s="190"/>
      <c r="Z206" s="190"/>
      <c r="AA206" s="190"/>
      <c r="AB206" s="190"/>
      <c r="AC206" s="190"/>
      <c r="AD206" s="190"/>
      <c r="AE206" s="190"/>
      <c r="AF206" s="190"/>
      <c r="AG206" s="190"/>
      <c r="AH206" s="190"/>
      <c r="AI206" s="190"/>
      <c r="AJ206" s="190"/>
      <c r="AK206" s="190"/>
      <c r="AL206" s="190"/>
      <c r="AM206" s="190"/>
      <c r="AN206" s="190"/>
      <c r="AO206" s="190"/>
      <c r="AP206" s="190"/>
      <c r="AQ206" s="190"/>
      <c r="AR206" s="190"/>
      <c r="AS206" s="190"/>
      <c r="AT206" s="190"/>
      <c r="AU206" s="190"/>
      <c r="AV206" s="190"/>
      <c r="AW206" s="190"/>
      <c r="AX206" s="190"/>
      <c r="AY206" s="190"/>
      <c r="AZ206" s="190"/>
      <c r="BA206" s="190"/>
      <c r="BB206" s="190"/>
      <c r="BC206" s="973"/>
      <c r="BD206" s="190"/>
      <c r="BE206" s="35"/>
      <c r="BF206" s="31"/>
      <c r="BG206" s="439"/>
      <c r="BH206" s="83"/>
      <c r="BI206" s="973"/>
      <c r="BJ206" s="190"/>
      <c r="BK206" s="190"/>
      <c r="BL206" s="973"/>
      <c r="BM206" s="70">
        <f>BM205/BM75</f>
        <v>11.249404801373363</v>
      </c>
      <c r="BN206" s="70">
        <f>BN205/BN75</f>
        <v>12.214055923417355</v>
      </c>
      <c r="BO206" s="1024">
        <f>SUM(BM206:BN206)</f>
        <v>23.463460724790718</v>
      </c>
      <c r="BP206" s="70">
        <f>BP205/BP75</f>
        <v>14.961708385826574</v>
      </c>
      <c r="BQ206" s="70">
        <f>BQ205/BQ75</f>
        <v>13.740812913844527</v>
      </c>
      <c r="BR206" s="1024">
        <f>SUM(BP206:BQ206)</f>
        <v>28.702521299671101</v>
      </c>
      <c r="BS206" s="70">
        <f>BS205/BS75</f>
        <v>29.067192415673578</v>
      </c>
      <c r="BT206" s="70">
        <f>BT205/BT75</f>
        <v>26.902344462890948</v>
      </c>
      <c r="BU206" s="70">
        <f>SUM(BS206:BT206)</f>
        <v>55.969536878564526</v>
      </c>
      <c r="BV206" s="70">
        <f>BV205/BV75</f>
        <v>31.246663131465937</v>
      </c>
      <c r="BW206" s="70">
        <f>BW205/BW75</f>
        <v>29.696466360086855</v>
      </c>
      <c r="BX206" s="70">
        <f>SUM(BV206:BW206)</f>
        <v>60.943129491552796</v>
      </c>
      <c r="BY206" s="70">
        <f>BY205/BY75</f>
        <v>38.652975172761622</v>
      </c>
      <c r="BZ206" s="70">
        <f>BZ205/BZ75</f>
        <v>30.17106637651386</v>
      </c>
      <c r="CA206" s="70">
        <f>SUM(BY206:BZ206)</f>
        <v>68.824041549275478</v>
      </c>
      <c r="CB206" s="70">
        <f>CB205/CB75</f>
        <v>38.144855646051482</v>
      </c>
      <c r="CC206" s="70">
        <f>CC205/CC75</f>
        <v>41.148024429882639</v>
      </c>
      <c r="CD206" s="70">
        <f>SUM(CB206:CC206)</f>
        <v>79.292880075934121</v>
      </c>
      <c r="CE206" s="70">
        <f>CE205/CE75</f>
        <v>37.823304049169174</v>
      </c>
      <c r="CF206" s="70">
        <f>CF205/CF75</f>
        <v>48.56522329552778</v>
      </c>
      <c r="CG206" s="70">
        <f>SUM(CE206:CF206)</f>
        <v>86.388527344696953</v>
      </c>
      <c r="CH206" s="70">
        <f>CH205/CH75</f>
        <v>32.650760345198314</v>
      </c>
      <c r="CI206" s="70">
        <f>CI205/CI75</f>
        <v>39.428827452196899</v>
      </c>
      <c r="CJ206" s="70">
        <f>SUM(CH206:CI206)</f>
        <v>72.07958779739522</v>
      </c>
      <c r="CK206" s="70">
        <f>CK205/CK75</f>
        <v>30.905447519359459</v>
      </c>
      <c r="CL206" s="70">
        <f>CL205/CL75</f>
        <v>33.747612456277906</v>
      </c>
      <c r="CM206" s="70">
        <f>SUM(CK206:CL206)</f>
        <v>64.653059975637362</v>
      </c>
      <c r="CN206" s="70">
        <f>CN205/CN75</f>
        <v>40.075665193500427</v>
      </c>
      <c r="CO206" s="70">
        <f>CO205/CO75</f>
        <v>41.927657378444515</v>
      </c>
      <c r="CP206" s="70">
        <f>SUM(CN206:CO206)</f>
        <v>82.003322571944949</v>
      </c>
      <c r="CQ206" s="70">
        <f>CQ205/CQ75</f>
        <v>49.535047613860094</v>
      </c>
      <c r="CR206" s="70">
        <f>CR205/CR75</f>
        <v>67.044960751987759</v>
      </c>
      <c r="CS206" s="70">
        <f>SUM(CQ206:CR206)</f>
        <v>116.58000836584785</v>
      </c>
      <c r="CT206" s="70">
        <f>CT205/CT75</f>
        <v>55.42559591769065</v>
      </c>
      <c r="CU206" s="70">
        <f>CU205/CU75</f>
        <v>54.342618813698238</v>
      </c>
      <c r="CV206" s="70">
        <f>SUM(CT206:CU206)</f>
        <v>109.76821473138889</v>
      </c>
      <c r="CW206" s="70">
        <f>CW205/CW75</f>
        <v>59.894383402392002</v>
      </c>
      <c r="CX206" s="70">
        <f>CX205/CX75</f>
        <v>62.915956753678245</v>
      </c>
      <c r="CY206" s="70">
        <f>SUM(CW206:CX206)</f>
        <v>122.81034015607025</v>
      </c>
      <c r="CZ206" s="70">
        <f>CZ205/CZ75</f>
        <v>65.831600439278674</v>
      </c>
      <c r="DA206" s="70">
        <f>DA205/DA75</f>
        <v>60.315449202506542</v>
      </c>
      <c r="DB206" s="70">
        <f>SUM(CZ206:DA206)</f>
        <v>126.14704964178522</v>
      </c>
      <c r="DC206" s="70">
        <f>DC205/DC75</f>
        <v>61.517054683107673</v>
      </c>
      <c r="DD206" s="70">
        <f>DD205/DD75</f>
        <v>53.091952806456462</v>
      </c>
      <c r="DE206" s="70">
        <f>SUM(DC206:DD206)</f>
        <v>114.60900748956414</v>
      </c>
      <c r="DF206" s="70">
        <f>DF205/DF75</f>
        <v>67.195078830358526</v>
      </c>
      <c r="DG206" s="70">
        <f>DG205/DG75</f>
        <v>49.183550454965044</v>
      </c>
      <c r="DH206" s="1070">
        <f>SUM(DF206:DG206)</f>
        <v>116.37862928532357</v>
      </c>
      <c r="DI206" s="70">
        <f>DI205/DI75</f>
        <v>72.329149594198981</v>
      </c>
      <c r="DJ206" s="70">
        <f>DJ205/DJ75</f>
        <v>65.819236390186717</v>
      </c>
      <c r="DK206" s="1070">
        <f>SUM(DI206:DJ206)</f>
        <v>138.1483859843857</v>
      </c>
      <c r="DL206" s="233">
        <f>DL205/DL75</f>
        <v>63.845758447010397</v>
      </c>
      <c r="DM206" s="233">
        <f>DM205/DM75</f>
        <v>65.381977878861505</v>
      </c>
      <c r="DN206" s="1070">
        <f>SUM(DL206:DM206)</f>
        <v>129.22773632587189</v>
      </c>
      <c r="DO206" s="233">
        <f>DO205/DO75</f>
        <v>77.384761493099546</v>
      </c>
      <c r="DP206" s="233">
        <f>DP205/DP75</f>
        <v>102.16141519721546</v>
      </c>
      <c r="DQ206" s="1070">
        <f>SUM(DO206:DP206)</f>
        <v>179.54617669031501</v>
      </c>
      <c r="DR206" s="233">
        <f>DR205/DR75</f>
        <v>103.08203973741142</v>
      </c>
      <c r="DS206" s="233">
        <f>DS205/DS75</f>
        <v>92.493472585111007</v>
      </c>
      <c r="DT206" s="1070">
        <f>SUM(DR206:DS206)</f>
        <v>195.57551232252243</v>
      </c>
      <c r="DU206" s="233">
        <f>DU205/DU75</f>
        <v>98.045755188074352</v>
      </c>
      <c r="DV206" s="233">
        <f>DV205/DV75</f>
        <v>96.52698799881928</v>
      </c>
      <c r="DW206" s="1070">
        <f>SUM(DU206:DV206)</f>
        <v>194.57274318689363</v>
      </c>
      <c r="DX206" s="233">
        <f>DX205/DX75</f>
        <v>102.34306447494406</v>
      </c>
      <c r="DY206" s="233">
        <f>DY205/DY75</f>
        <v>105.1178899307142</v>
      </c>
      <c r="DZ206" s="1070">
        <f>SUM(DX206:DY206)</f>
        <v>207.46095440565824</v>
      </c>
      <c r="EA206" s="233">
        <f>EA205/EA75</f>
        <v>117.89921027513557</v>
      </c>
      <c r="EB206" s="233">
        <f>EB205/EB75</f>
        <v>107.97709653682963</v>
      </c>
      <c r="EC206" s="1070">
        <f>SUM(EA206:EB206)</f>
        <v>225.87630681196521</v>
      </c>
      <c r="ED206" s="233">
        <f>ED205/ED75</f>
        <v>123.36973363190185</v>
      </c>
      <c r="EE206" s="233">
        <f>EE205/EE75</f>
        <v>112.98723381613853</v>
      </c>
      <c r="EF206" s="1070">
        <f>SUM(ED206:EE206)</f>
        <v>236.35696744804039</v>
      </c>
      <c r="EG206" s="233">
        <f>EG205/EG75</f>
        <v>129.09408927242208</v>
      </c>
      <c r="EH206" s="233">
        <f>EH205/EH75</f>
        <v>118.22984146520736</v>
      </c>
      <c r="EI206" s="1070">
        <f>SUM(EG206:EH206)</f>
        <v>247.32393073762944</v>
      </c>
      <c r="EJ206" s="233">
        <f>EJ205/EJ75</f>
        <v>135.08405501466245</v>
      </c>
      <c r="EK206" s="233">
        <f>EK205/EK75</f>
        <v>123.71570610919296</v>
      </c>
      <c r="EL206" s="1070">
        <f>SUM(EJ206:EK206)</f>
        <v>258.79976112385543</v>
      </c>
      <c r="EM206" s="233">
        <f>EM205/EM75</f>
        <v>141.35195516734279</v>
      </c>
      <c r="EN206" s="233">
        <f>EN205/EN75</f>
        <v>129.45611487265953</v>
      </c>
      <c r="EO206" s="1070">
        <f>SUM(EM206:EN206)</f>
        <v>270.80807004000235</v>
      </c>
      <c r="EP206" s="233">
        <f>EP205/EP75</f>
        <v>147.91068588710749</v>
      </c>
      <c r="EQ206" s="233">
        <f>EQ205/EQ75</f>
        <v>135.46287860275095</v>
      </c>
      <c r="ER206" s="1070">
        <f>SUM(EP206:EQ206)</f>
        <v>283.37356448985844</v>
      </c>
      <c r="ES206" s="233">
        <f>ES205/ES75</f>
        <v>154.77374171226927</v>
      </c>
      <c r="ET206" s="233">
        <f>ET205/ET75</f>
        <v>141.74835616991857</v>
      </c>
      <c r="EU206" s="1070">
        <f>SUM(ES206:ET206)</f>
        <v>296.52209788218784</v>
      </c>
      <c r="EV206" s="233">
        <f>EV205/EV75</f>
        <v>161.95524332771859</v>
      </c>
      <c r="EW206" s="233">
        <f>EW205/EW75</f>
        <v>148.32547989620281</v>
      </c>
      <c r="EX206" s="1070">
        <f>SUM(EV206:EW206)</f>
        <v>310.28072322392143</v>
      </c>
      <c r="EY206" s="233">
        <f>EY205/EY75</f>
        <v>169.46996661812474</v>
      </c>
      <c r="EZ206" s="233">
        <f>EZ205/EZ75</f>
        <v>155.20778216338661</v>
      </c>
      <c r="FA206" s="1070">
        <f>SUM(EY206:EZ206)</f>
        <v>324.67774878151135</v>
      </c>
      <c r="FH206" s="35"/>
      <c r="FI206" s="35"/>
      <c r="FJ206" s="35"/>
      <c r="FK206" s="35"/>
      <c r="FL206" s="35"/>
      <c r="FM206" s="35"/>
      <c r="FN206" s="35"/>
      <c r="FO206" s="35"/>
      <c r="FP206" s="35"/>
      <c r="FQ206" s="35"/>
    </row>
    <row r="207" spans="1:173" s="321" customFormat="1" outlineLevel="1">
      <c r="A207" s="1168"/>
      <c r="B207" s="186"/>
      <c r="C207" s="35"/>
      <c r="D207" s="910"/>
      <c r="E207" s="190"/>
      <c r="F207" s="190"/>
      <c r="G207" s="190"/>
      <c r="H207" s="190"/>
      <c r="I207" s="190"/>
      <c r="J207" s="190"/>
      <c r="K207" s="190"/>
      <c r="L207" s="190"/>
      <c r="M207" s="190"/>
      <c r="N207" s="190"/>
      <c r="O207" s="190"/>
      <c r="P207" s="190"/>
      <c r="Q207" s="190"/>
      <c r="R207" s="190"/>
      <c r="S207" s="190"/>
      <c r="T207" s="190"/>
      <c r="U207" s="190"/>
      <c r="V207" s="190"/>
      <c r="W207" s="190"/>
      <c r="X207" s="190"/>
      <c r="Y207" s="190"/>
      <c r="Z207" s="190"/>
      <c r="AA207" s="190"/>
      <c r="AB207" s="190"/>
      <c r="AC207" s="190"/>
      <c r="AD207" s="190"/>
      <c r="AE207" s="190"/>
      <c r="AF207" s="190"/>
      <c r="AG207" s="190"/>
      <c r="AH207" s="190"/>
      <c r="AI207" s="190"/>
      <c r="AJ207" s="190"/>
      <c r="AK207" s="190"/>
      <c r="AL207" s="190"/>
      <c r="AM207" s="190"/>
      <c r="AN207" s="190"/>
      <c r="AO207" s="190"/>
      <c r="AP207" s="190"/>
      <c r="AQ207" s="190"/>
      <c r="AR207" s="190"/>
      <c r="AS207" s="190"/>
      <c r="AT207" s="190"/>
      <c r="AU207" s="190"/>
      <c r="AV207" s="190"/>
      <c r="AW207" s="190"/>
      <c r="AX207" s="190"/>
      <c r="AY207" s="190"/>
      <c r="AZ207" s="190"/>
      <c r="BA207" s="190"/>
      <c r="BB207" s="190"/>
      <c r="BC207" s="973"/>
      <c r="BD207" s="190"/>
      <c r="BE207" s="35"/>
      <c r="BF207" s="31"/>
      <c r="BG207" s="439"/>
      <c r="BH207" s="83"/>
      <c r="BI207" s="973"/>
      <c r="BJ207" s="190"/>
      <c r="BK207" s="190"/>
      <c r="BL207" s="973"/>
      <c r="BM207" s="185"/>
      <c r="BN207" s="185"/>
      <c r="BO207" s="971"/>
      <c r="BP207" s="185"/>
      <c r="BQ207" s="185"/>
      <c r="BR207" s="971"/>
      <c r="BS207" s="185"/>
      <c r="BT207" s="185"/>
      <c r="BU207" s="185"/>
      <c r="BV207" s="185"/>
      <c r="BW207" s="185"/>
      <c r="BX207" s="185"/>
      <c r="BY207" s="185"/>
      <c r="BZ207" s="185"/>
      <c r="CA207" s="185"/>
      <c r="CB207" s="185"/>
      <c r="CC207" s="185"/>
      <c r="CD207" s="185"/>
      <c r="CE207" s="185"/>
      <c r="CF207" s="185"/>
      <c r="CG207" s="185"/>
      <c r="CH207" s="185"/>
      <c r="CI207" s="185"/>
      <c r="CJ207" s="185"/>
      <c r="CK207" s="185"/>
      <c r="CL207" s="185"/>
      <c r="CM207" s="185"/>
      <c r="CN207" s="185"/>
      <c r="CO207" s="185"/>
      <c r="CP207" s="185"/>
      <c r="CQ207" s="185"/>
      <c r="CR207" s="185"/>
      <c r="CS207" s="185"/>
      <c r="CT207" s="185"/>
      <c r="CU207" s="185"/>
      <c r="CV207" s="185"/>
      <c r="CW207" s="185"/>
      <c r="CX207" s="185"/>
      <c r="CY207" s="185"/>
      <c r="CZ207" s="185"/>
      <c r="DA207" s="185"/>
      <c r="DB207" s="185"/>
      <c r="DC207" s="185"/>
      <c r="DD207" s="185"/>
      <c r="DE207" s="185"/>
      <c r="DF207" s="185"/>
      <c r="DG207" s="185"/>
      <c r="DH207" s="1082"/>
      <c r="DI207" s="185"/>
      <c r="DJ207" s="185"/>
      <c r="DK207" s="1082"/>
      <c r="DL207" s="185"/>
      <c r="DM207" s="185"/>
      <c r="DN207" s="1082"/>
      <c r="DO207" s="185"/>
      <c r="DP207" s="185"/>
      <c r="DQ207" s="1082"/>
      <c r="DR207" s="185"/>
      <c r="DS207" s="185"/>
      <c r="DT207" s="1082"/>
      <c r="DU207" s="185"/>
      <c r="DV207" s="185"/>
      <c r="DW207" s="1082"/>
      <c r="DX207" s="185"/>
      <c r="DY207" s="185"/>
      <c r="DZ207" s="1082"/>
      <c r="EA207" s="185"/>
      <c r="EB207" s="185"/>
      <c r="EC207" s="1082"/>
      <c r="ED207" s="185"/>
      <c r="EE207" s="185"/>
      <c r="EF207" s="1082"/>
      <c r="EG207" s="185"/>
      <c r="EH207" s="185"/>
      <c r="EI207" s="1082"/>
      <c r="EJ207" s="185"/>
      <c r="EK207" s="185"/>
      <c r="EL207" s="1082"/>
      <c r="EM207" s="185"/>
      <c r="EN207" s="185"/>
      <c r="EO207" s="1082"/>
      <c r="EP207" s="185"/>
      <c r="EQ207" s="185"/>
      <c r="ER207" s="1082"/>
      <c r="ES207" s="185"/>
      <c r="ET207" s="185"/>
      <c r="EU207" s="1082"/>
      <c r="EV207" s="185"/>
      <c r="EW207" s="185"/>
      <c r="EX207" s="1082"/>
      <c r="EY207" s="185"/>
      <c r="EZ207" s="185"/>
      <c r="FA207" s="1082"/>
      <c r="FH207" s="35"/>
      <c r="FI207" s="35"/>
      <c r="FJ207" s="35"/>
      <c r="FK207" s="35"/>
      <c r="FL207" s="35"/>
      <c r="FM207" s="35"/>
      <c r="FN207" s="35"/>
      <c r="FO207" s="35"/>
      <c r="FP207" s="35"/>
      <c r="FQ207" s="35"/>
    </row>
    <row r="208" spans="1:173" s="321" customFormat="1" outlineLevel="1">
      <c r="A208" s="1168"/>
      <c r="B208" s="186" t="s">
        <v>486</v>
      </c>
      <c r="C208" s="35"/>
      <c r="D208" s="910" t="s">
        <v>39</v>
      </c>
      <c r="E208" s="190"/>
      <c r="F208" s="190"/>
      <c r="G208" s="190"/>
      <c r="H208" s="190"/>
      <c r="I208" s="190"/>
      <c r="J208" s="190"/>
      <c r="K208" s="190"/>
      <c r="L208" s="190"/>
      <c r="M208" s="190"/>
      <c r="N208" s="190"/>
      <c r="O208" s="190"/>
      <c r="P208" s="190"/>
      <c r="Q208" s="190"/>
      <c r="R208" s="190"/>
      <c r="S208" s="190"/>
      <c r="T208" s="190"/>
      <c r="U208" s="190"/>
      <c r="V208" s="190"/>
      <c r="W208" s="190"/>
      <c r="X208" s="190"/>
      <c r="Y208" s="190"/>
      <c r="Z208" s="190"/>
      <c r="AA208" s="190"/>
      <c r="AB208" s="190"/>
      <c r="AC208" s="190"/>
      <c r="AD208" s="190"/>
      <c r="AE208" s="190"/>
      <c r="AF208" s="190"/>
      <c r="AG208" s="190"/>
      <c r="AH208" s="190"/>
      <c r="AI208" s="190"/>
      <c r="AJ208" s="190"/>
      <c r="AK208" s="190"/>
      <c r="AL208" s="190"/>
      <c r="AM208" s="190"/>
      <c r="AN208" s="190"/>
      <c r="AO208" s="190"/>
      <c r="AP208" s="190"/>
      <c r="AQ208" s="190"/>
      <c r="AR208" s="190"/>
      <c r="AS208" s="190"/>
      <c r="AT208" s="190"/>
      <c r="AU208" s="190"/>
      <c r="AV208" s="190"/>
      <c r="AW208" s="190"/>
      <c r="AX208" s="190"/>
      <c r="AY208" s="190"/>
      <c r="AZ208" s="190"/>
      <c r="BA208" s="190"/>
      <c r="BB208" s="190"/>
      <c r="BC208" s="973"/>
      <c r="BD208" s="190"/>
      <c r="BE208" s="35"/>
      <c r="BF208" s="31"/>
      <c r="BG208" s="439"/>
      <c r="BH208" s="83"/>
      <c r="BI208" s="973"/>
      <c r="BJ208" s="190"/>
      <c r="BK208" s="190"/>
      <c r="BL208" s="973"/>
      <c r="BM208" s="70">
        <f>BM178-BM205</f>
        <v>39.183428786486864</v>
      </c>
      <c r="BN208" s="70">
        <f>BN178-BN205</f>
        <v>42.063385294907029</v>
      </c>
      <c r="BO208" s="1024">
        <f>SUM(BN208,BM208)</f>
        <v>81.246814081393893</v>
      </c>
      <c r="BP208" s="70">
        <f>BP178-BP205</f>
        <v>52.49035265765562</v>
      </c>
      <c r="BQ208" s="70">
        <f>BQ178-BQ205</f>
        <v>59.031717259132357</v>
      </c>
      <c r="BR208" s="1024">
        <f>SUM(BQ208,BP208)</f>
        <v>111.52206991678798</v>
      </c>
      <c r="BS208" s="70">
        <f>BS178-BS205</f>
        <v>44.990923891527572</v>
      </c>
      <c r="BT208" s="70">
        <f>BT178-BT205</f>
        <v>51.240047186145631</v>
      </c>
      <c r="BU208" s="70">
        <f>SUM(BT208,BS208)</f>
        <v>96.230971077673203</v>
      </c>
      <c r="BV208" s="70">
        <f>BV178-BV205</f>
        <v>53.417485660203525</v>
      </c>
      <c r="BW208" s="70">
        <f>BW178-BW205</f>
        <v>51.71912344287631</v>
      </c>
      <c r="BX208" s="70">
        <f>SUM(BW208,BV208)</f>
        <v>105.13660910307983</v>
      </c>
      <c r="BY208" s="70">
        <f>BY178-BY205</f>
        <v>60.721897337257239</v>
      </c>
      <c r="BZ208" s="70">
        <f>BZ178-BZ205</f>
        <v>81.592955125285997</v>
      </c>
      <c r="CA208" s="70">
        <f>SUM(BZ208,BY208)</f>
        <v>142.31485246254323</v>
      </c>
      <c r="CB208" s="70">
        <f>CB178-CB205</f>
        <v>58.151761400819815</v>
      </c>
      <c r="CC208" s="70">
        <f>CC178-CC205</f>
        <v>67.252777265188001</v>
      </c>
      <c r="CD208" s="70">
        <f>SUM(CC208,CB208)</f>
        <v>125.40453866600782</v>
      </c>
      <c r="CE208" s="70">
        <f>CE178-CE205</f>
        <v>82.299484664472033</v>
      </c>
      <c r="CF208" s="70">
        <f>CF178-CF205</f>
        <v>75.595086872493084</v>
      </c>
      <c r="CG208" s="70">
        <f>SUM(CF208,CE208)</f>
        <v>157.89457153696512</v>
      </c>
      <c r="CH208" s="70">
        <f>CH178-CH205</f>
        <v>84.882839203369841</v>
      </c>
      <c r="CI208" s="70">
        <f>CI178-CI205</f>
        <v>73.923694607965714</v>
      </c>
      <c r="CJ208" s="70">
        <f>SUM(CI208,CH208)</f>
        <v>158.80653381133556</v>
      </c>
      <c r="CK208" s="70">
        <f>CK178-CK205</f>
        <v>81.627988524594031</v>
      </c>
      <c r="CL208" s="70">
        <f>CL178-CL205</f>
        <v>85.867915149931164</v>
      </c>
      <c r="CM208" s="70">
        <f>SUM(CL208,CK208)</f>
        <v>167.49590367452521</v>
      </c>
      <c r="CN208" s="70">
        <f>CN178-CN205</f>
        <v>60.59703228922632</v>
      </c>
      <c r="CO208" s="70">
        <f>CO178-CO205</f>
        <v>83.593009922916536</v>
      </c>
      <c r="CP208" s="70">
        <f>SUM(CO208,CN208)</f>
        <v>144.19004221214286</v>
      </c>
      <c r="CQ208" s="70">
        <f>CQ178-CQ205</f>
        <v>82.232392863636591</v>
      </c>
      <c r="CR208" s="70">
        <f>CR178-CR205</f>
        <v>87.656729043529097</v>
      </c>
      <c r="CS208" s="70">
        <f>SUM(CR208,CQ208)</f>
        <v>169.8891219071657</v>
      </c>
      <c r="CT208" s="70">
        <f>CT178-CT205</f>
        <v>63.622489818267177</v>
      </c>
      <c r="CU208" s="70">
        <f>CU178-CU205</f>
        <v>78.742386415019695</v>
      </c>
      <c r="CV208" s="70">
        <f>SUM(CU208,CT208)</f>
        <v>142.36487623328688</v>
      </c>
      <c r="CW208" s="70">
        <f>CW178-CW205</f>
        <v>86.289234594447649</v>
      </c>
      <c r="CX208" s="70">
        <f>CX178-CX205</f>
        <v>101.47256711440053</v>
      </c>
      <c r="CY208" s="70">
        <f>SUM(CX208,CW208)</f>
        <v>187.76180170884817</v>
      </c>
      <c r="CZ208" s="70">
        <f>CZ178-CZ205</f>
        <v>103.80113666541935</v>
      </c>
      <c r="DA208" s="70">
        <f>DA178-DA205</f>
        <v>117.60353630961129</v>
      </c>
      <c r="DB208" s="70">
        <f>SUM(DA208,CZ208)</f>
        <v>221.40467297503062</v>
      </c>
      <c r="DC208" s="70">
        <f>DC178-DC205</f>
        <v>101.39181945787628</v>
      </c>
      <c r="DD208" s="70">
        <f>DD178-DD205</f>
        <v>111.85914656607311</v>
      </c>
      <c r="DE208" s="70">
        <f>SUM(DD208,DC208)</f>
        <v>213.25096602394939</v>
      </c>
      <c r="DF208" s="70">
        <f>DF178-DF205</f>
        <v>107.82639823577522</v>
      </c>
      <c r="DG208" s="70">
        <f>DG178-DG205</f>
        <v>85.441150305380674</v>
      </c>
      <c r="DH208" s="1070">
        <f>SUM(DG208,DF208)</f>
        <v>193.26754854115589</v>
      </c>
      <c r="DI208" s="70">
        <f>DI178-DI205</f>
        <v>113.99291595285038</v>
      </c>
      <c r="DJ208" s="70">
        <f>DJ178-DJ205</f>
        <v>104.33480117961017</v>
      </c>
      <c r="DK208" s="1070">
        <f>SUM(DJ208,DI208)</f>
        <v>218.32771713246055</v>
      </c>
      <c r="DL208" s="233">
        <f>DL178-DL205</f>
        <v>111.09081008152791</v>
      </c>
      <c r="DM208" s="233">
        <f>DM178-DM205</f>
        <v>116.4072876378889</v>
      </c>
      <c r="DN208" s="1070">
        <f>SUM(DM208,DL208)</f>
        <v>227.49809771941682</v>
      </c>
      <c r="DO208" s="233">
        <f>DO178-DO205</f>
        <v>119.49616209402345</v>
      </c>
      <c r="DP208" s="233">
        <f>DP178-DP205</f>
        <v>140.84114321441996</v>
      </c>
      <c r="DQ208" s="1070">
        <f>SUM(DP208,DO208)</f>
        <v>260.33730530844343</v>
      </c>
      <c r="DR208" s="233">
        <f>DR178-DR205</f>
        <v>155.4212359956133</v>
      </c>
      <c r="DS208" s="233">
        <f>DS178-DS205</f>
        <v>156.64590201335574</v>
      </c>
      <c r="DT208" s="1070">
        <f>SUM(DS208,DR208)</f>
        <v>312.06713800896904</v>
      </c>
      <c r="DU208" s="233">
        <f>DU178-DU205</f>
        <v>173.02000946409109</v>
      </c>
      <c r="DV208" s="233">
        <f>DV178-DV205</f>
        <v>160.69740953454334</v>
      </c>
      <c r="DW208" s="1070">
        <f>SUM(DV208,DU208)</f>
        <v>333.71741899863446</v>
      </c>
      <c r="DX208" s="233">
        <f>DX178-DX205</f>
        <v>173.62228226067759</v>
      </c>
      <c r="DY208" s="233">
        <f>DY178-DY205</f>
        <v>200.86707574716363</v>
      </c>
      <c r="DZ208" s="1070">
        <f>SUM(DY208,DX208)</f>
        <v>374.48935800784125</v>
      </c>
      <c r="EA208" s="233">
        <f>EA178-EA205</f>
        <v>233.66597200717905</v>
      </c>
      <c r="EB208" s="233">
        <f>EB178-EB205</f>
        <v>218.13559062574674</v>
      </c>
      <c r="EC208" s="1070">
        <f>SUM(EB208,EA208)</f>
        <v>451.80156263292577</v>
      </c>
      <c r="ED208" s="233">
        <f>ED178-ED205</f>
        <v>258.36101865780631</v>
      </c>
      <c r="EE208" s="233">
        <f>EE178-EE205</f>
        <v>241.12445618668514</v>
      </c>
      <c r="EF208" s="1070">
        <f>SUM(EE208,ED208)</f>
        <v>499.48547484449148</v>
      </c>
      <c r="EG208" s="233">
        <f>EG178-EG205</f>
        <v>285.44868057247709</v>
      </c>
      <c r="EH208" s="233">
        <f>EH178-EH205</f>
        <v>266.33806878368227</v>
      </c>
      <c r="EI208" s="1070">
        <f>SUM(EH208,EG208)</f>
        <v>551.78674935615936</v>
      </c>
      <c r="EJ208" s="233">
        <f>EJ178-EJ205</f>
        <v>315.15218395839395</v>
      </c>
      <c r="EK208" s="233">
        <f>EK178-EK205</f>
        <v>293.98388240987435</v>
      </c>
      <c r="EL208" s="1070">
        <f>SUM(EK208,EJ208)</f>
        <v>609.1360663682683</v>
      </c>
      <c r="EM208" s="233">
        <f>EM178-EM205</f>
        <v>347.71521151607919</v>
      </c>
      <c r="EN208" s="233">
        <f>EN178-EN205</f>
        <v>324.28835723943831</v>
      </c>
      <c r="EO208" s="1070">
        <f>SUM(EN208,EM208)</f>
        <v>672.00356875551756</v>
      </c>
      <c r="EP208" s="233">
        <f>EP178-EP205</f>
        <v>383.40376051242254</v>
      </c>
      <c r="EQ208" s="233">
        <f>EQ178-EQ205</f>
        <v>357.49868574281118</v>
      </c>
      <c r="ER208" s="1070">
        <f>SUM(EQ208,EP208)</f>
        <v>740.90244625523371</v>
      </c>
      <c r="ES208" s="233">
        <f>ES178-ES205</f>
        <v>422.50816886857598</v>
      </c>
      <c r="ET208" s="233">
        <f>ET178-ET205</f>
        <v>393.88467487421224</v>
      </c>
      <c r="EU208" s="1070">
        <f>SUM(ET208,ES208)</f>
        <v>816.39284374278827</v>
      </c>
      <c r="EV208" s="233">
        <f>EV178-EV205</f>
        <v>465.34532442060879</v>
      </c>
      <c r="EW208" s="233">
        <f>EW178-EW205</f>
        <v>433.74079841147443</v>
      </c>
      <c r="EX208" s="1070">
        <f>SUM(EW208,EV208)</f>
        <v>899.08612283208322</v>
      </c>
      <c r="EY208" s="233">
        <f>EY178-EY205</f>
        <v>512.26107387674369</v>
      </c>
      <c r="EZ208" s="233">
        <f>EZ178-EZ205</f>
        <v>477.38843479694441</v>
      </c>
      <c r="FA208" s="1070">
        <f>SUM(EZ208,EY208)</f>
        <v>989.64950867368816</v>
      </c>
      <c r="FH208" s="35"/>
      <c r="FI208" s="35"/>
      <c r="FJ208" s="35"/>
      <c r="FK208" s="35"/>
      <c r="FL208" s="35"/>
      <c r="FM208" s="35"/>
      <c r="FN208" s="35"/>
      <c r="FO208" s="35"/>
      <c r="FP208" s="35"/>
      <c r="FQ208" s="35"/>
    </row>
    <row r="209" spans="1:173" s="321" customFormat="1" outlineLevel="1">
      <c r="A209" s="1168"/>
      <c r="B209" s="186" t="s">
        <v>486</v>
      </c>
      <c r="C209" s="35"/>
      <c r="D209" s="910" t="s">
        <v>604</v>
      </c>
      <c r="E209" s="190"/>
      <c r="F209" s="190"/>
      <c r="G209" s="190"/>
      <c r="H209" s="190"/>
      <c r="I209" s="190"/>
      <c r="J209" s="190"/>
      <c r="K209" s="190"/>
      <c r="L209" s="190"/>
      <c r="M209" s="190"/>
      <c r="N209" s="190"/>
      <c r="O209" s="190"/>
      <c r="P209" s="190"/>
      <c r="Q209" s="190"/>
      <c r="R209" s="190"/>
      <c r="S209" s="190"/>
      <c r="T209" s="190"/>
      <c r="U209" s="190"/>
      <c r="V209" s="190"/>
      <c r="W209" s="190"/>
      <c r="X209" s="190"/>
      <c r="Y209" s="190"/>
      <c r="Z209" s="190"/>
      <c r="AA209" s="190"/>
      <c r="AB209" s="190"/>
      <c r="AC209" s="190"/>
      <c r="AD209" s="190"/>
      <c r="AE209" s="190"/>
      <c r="AF209" s="190"/>
      <c r="AG209" s="190"/>
      <c r="AH209" s="190"/>
      <c r="AI209" s="190"/>
      <c r="AJ209" s="190"/>
      <c r="AK209" s="190"/>
      <c r="AL209" s="190"/>
      <c r="AM209" s="190"/>
      <c r="AN209" s="190"/>
      <c r="AO209" s="190"/>
      <c r="AP209" s="190"/>
      <c r="AQ209" s="190"/>
      <c r="AR209" s="190"/>
      <c r="AS209" s="190"/>
      <c r="AT209" s="190"/>
      <c r="AU209" s="190"/>
      <c r="AV209" s="190"/>
      <c r="AW209" s="190"/>
      <c r="AX209" s="190"/>
      <c r="AY209" s="190"/>
      <c r="AZ209" s="190"/>
      <c r="BA209" s="190"/>
      <c r="BB209" s="190"/>
      <c r="BC209" s="973"/>
      <c r="BD209" s="190"/>
      <c r="BE209" s="35"/>
      <c r="BF209" s="31"/>
      <c r="BG209" s="35"/>
      <c r="BH209" s="35"/>
      <c r="BI209" s="973"/>
      <c r="BJ209" s="190"/>
      <c r="BK209" s="190"/>
      <c r="BL209" s="973"/>
      <c r="BM209" s="70">
        <f>BM180-BM206</f>
        <v>53.492735544691968</v>
      </c>
      <c r="BN209" s="70">
        <f>BN180-BN206</f>
        <v>54.627773110268869</v>
      </c>
      <c r="BO209" s="1024">
        <f>SUM(BN209,BM209)</f>
        <v>108.12050865496084</v>
      </c>
      <c r="BP209" s="70">
        <f>BP180-BP206</f>
        <v>70.932908996831927</v>
      </c>
      <c r="BQ209" s="70">
        <f>BQ180-BQ206</f>
        <v>78.708956345509819</v>
      </c>
      <c r="BR209" s="1024">
        <f>SUM(BQ209,BP209)</f>
        <v>149.64186534234176</v>
      </c>
      <c r="BS209" s="70">
        <f>BS180-BS206</f>
        <v>59.987898522036772</v>
      </c>
      <c r="BT209" s="70">
        <f>BT180-BT206</f>
        <v>64.050058982682032</v>
      </c>
      <c r="BU209" s="70">
        <f>SUM(BT209,BS209)</f>
        <v>124.0379575047188</v>
      </c>
      <c r="BV209" s="70">
        <f>BV180-BV206</f>
        <v>61.486337765120254</v>
      </c>
      <c r="BW209" s="70">
        <f>BW180-BW206</f>
        <v>56.033719873105426</v>
      </c>
      <c r="BX209" s="70">
        <f>SUM(BW209,BV209)</f>
        <v>117.52005763822568</v>
      </c>
      <c r="BY209" s="70">
        <f>BY180-BY206</f>
        <v>75.902371671571558</v>
      </c>
      <c r="BZ209" s="70">
        <f>BZ180-BZ206</f>
        <v>91.416596311809627</v>
      </c>
      <c r="CA209" s="70">
        <f>SUM(BZ209,BY209)</f>
        <v>167.31896798338119</v>
      </c>
      <c r="CB209" s="70">
        <f>CB180-CB206</f>
        <v>66.72333407428907</v>
      </c>
      <c r="CC209" s="70">
        <f>CC180-CC206</f>
        <v>75.349887507560609</v>
      </c>
      <c r="CD209" s="70">
        <f>SUM(CC209,CB209)</f>
        <v>142.07322158184968</v>
      </c>
      <c r="CE209" s="70">
        <f>CE180-CE206</f>
        <v>87.25940792989357</v>
      </c>
      <c r="CF209" s="70">
        <f>CF180-CF206</f>
        <v>72.497905377783837</v>
      </c>
      <c r="CG209" s="70">
        <f>SUM(CF209,CE209)</f>
        <v>159.75731330767741</v>
      </c>
      <c r="CH209" s="70">
        <f>CH180-CH206</f>
        <v>82.410523498417319</v>
      </c>
      <c r="CI209" s="70">
        <f>CI180-CI206</f>
        <v>71.770577289287104</v>
      </c>
      <c r="CJ209" s="70">
        <f>SUM(CI209,CH209)</f>
        <v>154.18110078770442</v>
      </c>
      <c r="CK209" s="70">
        <f>CK180-CK206</f>
        <v>79.550288945635145</v>
      </c>
      <c r="CL209" s="70">
        <f>CL180-CL206</f>
        <v>83.918081461374825</v>
      </c>
      <c r="CM209" s="70">
        <f>SUM(CL209,CK209)</f>
        <v>163.46837040700996</v>
      </c>
      <c r="CN209" s="70">
        <f>CN180-CN206</f>
        <v>68.086553133962155</v>
      </c>
      <c r="CO209" s="70">
        <f>CO180-CO206</f>
        <v>91.348342621555531</v>
      </c>
      <c r="CP209" s="70">
        <f>SUM(CO209,CN209)</f>
        <v>159.43489575551769</v>
      </c>
      <c r="CQ209" s="70">
        <f>CQ180-CQ206</f>
        <v>92.395947037793917</v>
      </c>
      <c r="CR209" s="70">
        <f>CR180-CR206</f>
        <v>118.4550392480123</v>
      </c>
      <c r="CS209" s="70">
        <f>SUM(CR209,CQ209)</f>
        <v>210.85098628580621</v>
      </c>
      <c r="CT209" s="70">
        <f>CT180-CT206</f>
        <v>88.036029723781752</v>
      </c>
      <c r="CU209" s="70">
        <f>CU180-CU206</f>
        <v>107.33738118630174</v>
      </c>
      <c r="CV209" s="70">
        <f>SUM(CU209,CT209)</f>
        <v>195.37341091008349</v>
      </c>
      <c r="CW209" s="70">
        <f>CW180-CW206</f>
        <v>114.51161083556812</v>
      </c>
      <c r="CX209" s="70">
        <f>CX180-CX206</f>
        <v>134.52218222356078</v>
      </c>
      <c r="CY209" s="70">
        <f>SUM(CX209,CW209)</f>
        <v>249.0337930591289</v>
      </c>
      <c r="CZ209" s="70">
        <f>CZ180-CZ206</f>
        <v>133.18809597729438</v>
      </c>
      <c r="DA209" s="70">
        <f>DA180-DA206</f>
        <v>154.36337434222941</v>
      </c>
      <c r="DB209" s="70">
        <f>SUM(DA209,CZ209)</f>
        <v>287.55147031952379</v>
      </c>
      <c r="DC209" s="70">
        <f>DC180-DC206</f>
        <v>140.05981265540612</v>
      </c>
      <c r="DD209" s="70">
        <f>DD180-DD206</f>
        <v>155.98821163864608</v>
      </c>
      <c r="DE209" s="70">
        <f>SUM(DD209,DC209)</f>
        <v>296.0480242940522</v>
      </c>
      <c r="DF209" s="70">
        <f>DF180-DF206</f>
        <v>156.58785686287422</v>
      </c>
      <c r="DG209" s="70">
        <f>DG180-DG206</f>
        <v>129.45628834148584</v>
      </c>
      <c r="DH209" s="1070">
        <f>SUM(DG209,DF209)</f>
        <v>286.04414520436006</v>
      </c>
      <c r="DI209" s="70">
        <f>DI180-DI206</f>
        <v>157.65306634548867</v>
      </c>
      <c r="DJ209" s="70">
        <f>DJ180-DJ206</f>
        <v>140.66376161114573</v>
      </c>
      <c r="DK209" s="1070">
        <f>SUM(DJ209,DI209)</f>
        <v>298.31682795663437</v>
      </c>
      <c r="DL209" s="233">
        <f>DL180-DL206</f>
        <v>154.29279177989991</v>
      </c>
      <c r="DM209" s="233">
        <f>DM180-DM206</f>
        <v>160.78354646117251</v>
      </c>
      <c r="DN209" s="1070">
        <f>SUM(DM209,DL209)</f>
        <v>315.07633824107245</v>
      </c>
      <c r="DO209" s="233">
        <f>DO180-DO206</f>
        <v>178.21643765516896</v>
      </c>
      <c r="DP209" s="233">
        <f>DP180-DP206</f>
        <v>208.20960229385091</v>
      </c>
      <c r="DQ209" s="1070">
        <f>SUM(DP209,DO209)</f>
        <v>386.42603994901987</v>
      </c>
      <c r="DR209" s="233">
        <f>DR180-DR206</f>
        <v>237.88427964466143</v>
      </c>
      <c r="DS209" s="233">
        <f>DS180-DS206</f>
        <v>237.88286389287634</v>
      </c>
      <c r="DT209" s="1070">
        <f>SUM(DS209,DR209)</f>
        <v>475.76714353753778</v>
      </c>
      <c r="DU209" s="233">
        <f>DU180-DU206</f>
        <v>261.57228908921434</v>
      </c>
      <c r="DV209" s="233">
        <f>DV180-DV206</f>
        <v>253.465945638081</v>
      </c>
      <c r="DW209" s="1070">
        <f>SUM(DV209,DU209)</f>
        <v>515.03823472729528</v>
      </c>
      <c r="DX209" s="233">
        <f>DX180-DX206</f>
        <v>264.88992872233484</v>
      </c>
      <c r="DY209" s="233">
        <f>DY180-DY206</f>
        <v>281.72100385296437</v>
      </c>
      <c r="DZ209" s="1070">
        <f>SUM(DY209,DX209)</f>
        <v>546.61093257529922</v>
      </c>
      <c r="EA209" s="233">
        <f>EA180-EA206</f>
        <v>327.72226087963406</v>
      </c>
      <c r="EB209" s="233">
        <f>EB180-EB206</f>
        <v>305.94051981170651</v>
      </c>
      <c r="EC209" s="1070">
        <f>SUM(EB209,EA209)</f>
        <v>633.66278069134057</v>
      </c>
      <c r="ED209" s="233">
        <f>ED180-ED206</f>
        <v>362.35766992679709</v>
      </c>
      <c r="EE209" s="233">
        <f>EE180-EE206</f>
        <v>338.18296800376595</v>
      </c>
      <c r="EF209" s="1070">
        <f>SUM(EE209,ED209)</f>
        <v>700.54063793056298</v>
      </c>
      <c r="EG209" s="233">
        <f>EG180-EG206</f>
        <v>400.34878060655973</v>
      </c>
      <c r="EH209" s="233">
        <f>EH180-EH206</f>
        <v>373.5456785184885</v>
      </c>
      <c r="EI209" s="1070">
        <f>SUM(EH209,EG209)</f>
        <v>773.89445912504823</v>
      </c>
      <c r="EJ209" s="233">
        <f>EJ180-EJ206</f>
        <v>442.00867315342771</v>
      </c>
      <c r="EK209" s="233">
        <f>EK180-EK206</f>
        <v>412.31961067303564</v>
      </c>
      <c r="EL209" s="1070">
        <f>SUM(EK209,EJ209)</f>
        <v>854.32828382646335</v>
      </c>
      <c r="EM209" s="233">
        <f>EM180-EM206</f>
        <v>487.67911853587555</v>
      </c>
      <c r="EN209" s="233">
        <f>EN180-EN206</f>
        <v>454.82238041996959</v>
      </c>
      <c r="EO209" s="1070">
        <f>SUM(EN209,EM209)</f>
        <v>942.50149895584514</v>
      </c>
      <c r="EP209" s="233">
        <f>EP180-EP206</f>
        <v>537.7331844494006</v>
      </c>
      <c r="EQ209" s="233">
        <f>EQ180-EQ206</f>
        <v>501.40068126621486</v>
      </c>
      <c r="ER209" s="1070">
        <f>SUM(EQ209,EP209)</f>
        <v>1039.1338657156155</v>
      </c>
      <c r="ES209" s="233">
        <f>ES180-ES206</f>
        <v>592.57807695452459</v>
      </c>
      <c r="ET209" s="233">
        <f>ET180-ET206</f>
        <v>552.43292408725426</v>
      </c>
      <c r="EU209" s="1070">
        <f>SUM(ET209,ES209)</f>
        <v>1145.0110010417789</v>
      </c>
      <c r="EV209" s="233">
        <f>EV180-EV206</f>
        <v>652.65823901908664</v>
      </c>
      <c r="EW209" s="233">
        <f>EW180-EW206</f>
        <v>608.33211558411563</v>
      </c>
      <c r="EX209" s="1070">
        <f>SUM(EW209,EV209)</f>
        <v>1260.9903546032024</v>
      </c>
      <c r="EY209" s="233">
        <f>EY180-EY206</f>
        <v>718.45872913989297</v>
      </c>
      <c r="EZ209" s="233">
        <f>EZ180-EZ206</f>
        <v>669.54899691016055</v>
      </c>
      <c r="FA209" s="1070">
        <f>SUM(EZ209,EY209)</f>
        <v>1388.0077260500534</v>
      </c>
      <c r="FH209" s="35"/>
      <c r="FI209" s="35"/>
      <c r="FJ209" s="35"/>
      <c r="FK209" s="35"/>
      <c r="FL209" s="35"/>
      <c r="FM209" s="35"/>
      <c r="FN209" s="35"/>
      <c r="FO209" s="35"/>
      <c r="FP209" s="35"/>
      <c r="FQ209" s="35"/>
    </row>
    <row r="210" spans="1:173" outlineLevel="1">
      <c r="B210" s="35" t="s">
        <v>487</v>
      </c>
      <c r="D210" s="926" t="s">
        <v>460</v>
      </c>
      <c r="BA210" s="35"/>
      <c r="BB210" s="35"/>
      <c r="BD210" s="35"/>
      <c r="BE210" s="35"/>
      <c r="BG210" s="35"/>
      <c r="BH210" s="35"/>
      <c r="BJ210" s="35"/>
      <c r="BK210" s="35"/>
      <c r="BL210" s="31"/>
      <c r="BM210" s="65">
        <f t="shared" ref="BM210:CR210" si="1256">BM209/BM180</f>
        <v>0.82624292707590352</v>
      </c>
      <c r="BN210" s="65">
        <f t="shared" si="1256"/>
        <v>0.817269274345233</v>
      </c>
      <c r="BO210" s="65">
        <f t="shared" si="1256"/>
        <v>0.82168450431013274</v>
      </c>
      <c r="BP210" s="65">
        <f t="shared" si="1256"/>
        <v>0.82581320178454831</v>
      </c>
      <c r="BQ210" s="65">
        <f t="shared" si="1256"/>
        <v>0.85136995988279129</v>
      </c>
      <c r="BR210" s="65">
        <f t="shared" si="1256"/>
        <v>0.83906125760332972</v>
      </c>
      <c r="BS210" s="65">
        <f t="shared" si="1256"/>
        <v>0.67360437107402826</v>
      </c>
      <c r="BT210" s="65">
        <f t="shared" si="1256"/>
        <v>0.70421513402897995</v>
      </c>
      <c r="BU210" s="65">
        <f t="shared" si="1256"/>
        <v>0.68907107412211044</v>
      </c>
      <c r="BV210" s="65">
        <f t="shared" si="1256"/>
        <v>0.66304699697671243</v>
      </c>
      <c r="BW210" s="65">
        <f t="shared" si="1256"/>
        <v>0.65360548407873131</v>
      </c>
      <c r="BX210" s="65">
        <f t="shared" si="1256"/>
        <v>0.65851148087344791</v>
      </c>
      <c r="BY210" s="65">
        <f t="shared" si="1256"/>
        <v>0.662582531173457</v>
      </c>
      <c r="BZ210" s="65">
        <f t="shared" si="1256"/>
        <v>0.7518575017446133</v>
      </c>
      <c r="CA210" s="65">
        <f t="shared" si="1256"/>
        <v>0.70854931642701169</v>
      </c>
      <c r="CB210" s="65">
        <f t="shared" si="1256"/>
        <v>0.63625904339747752</v>
      </c>
      <c r="CC210" s="65">
        <f t="shared" si="1256"/>
        <v>0.64679174291142483</v>
      </c>
      <c r="CD210" s="65">
        <f t="shared" si="1256"/>
        <v>0.64180206688323371</v>
      </c>
      <c r="CE210" s="65">
        <f t="shared" si="1256"/>
        <v>0.6976136553906801</v>
      </c>
      <c r="CF210" s="65">
        <f t="shared" si="1256"/>
        <v>0.59884381125998454</v>
      </c>
      <c r="CG210" s="65">
        <f t="shared" si="1256"/>
        <v>0.64903519346198768</v>
      </c>
      <c r="CH210" s="65">
        <f t="shared" si="1256"/>
        <v>0.71623156587079917</v>
      </c>
      <c r="CI210" s="65">
        <f t="shared" si="1256"/>
        <v>0.6454223154893598</v>
      </c>
      <c r="CJ210" s="65">
        <f t="shared" si="1256"/>
        <v>0.68143123647267989</v>
      </c>
      <c r="CK210" s="65">
        <f t="shared" si="1256"/>
        <v>0.72020061149876136</v>
      </c>
      <c r="CL210" s="65">
        <f t="shared" si="1256"/>
        <v>0.71319072422335883</v>
      </c>
      <c r="CM210" s="65">
        <f t="shared" si="1256"/>
        <v>0.71658489135725068</v>
      </c>
      <c r="CN210" s="65">
        <f t="shared" si="1256"/>
        <v>0.62948554667979528</v>
      </c>
      <c r="CO210" s="65">
        <f t="shared" si="1256"/>
        <v>0.68540729479842966</v>
      </c>
      <c r="CP210" s="65">
        <f t="shared" si="1256"/>
        <v>0.66035483884857105</v>
      </c>
      <c r="CQ210" s="65">
        <f t="shared" si="1256"/>
        <v>0.65099203499957414</v>
      </c>
      <c r="CR210" s="65">
        <f t="shared" si="1256"/>
        <v>0.63857164015100953</v>
      </c>
      <c r="CS210" s="65">
        <f t="shared" ref="CS210:DU210" si="1257">CS209/CS180</f>
        <v>0.64395548903403454</v>
      </c>
      <c r="CT210" s="65">
        <f t="shared" si="1257"/>
        <v>0.61365559835348737</v>
      </c>
      <c r="CU210" s="65">
        <f t="shared" si="1257"/>
        <v>0.66388781040513212</v>
      </c>
      <c r="CV210" s="65">
        <f t="shared" si="1257"/>
        <v>0.64027125273180008</v>
      </c>
      <c r="CW210" s="65">
        <f t="shared" si="1257"/>
        <v>0.65658070604688101</v>
      </c>
      <c r="CX210" s="65">
        <f t="shared" si="1257"/>
        <v>0.68133838234298139</v>
      </c>
      <c r="CY210" s="65">
        <f t="shared" si="1257"/>
        <v>0.66972629339563727</v>
      </c>
      <c r="CZ210" s="65">
        <f t="shared" si="1257"/>
        <v>0.66922067702542909</v>
      </c>
      <c r="DA210" s="65">
        <f t="shared" si="1257"/>
        <v>0.71904332152287176</v>
      </c>
      <c r="DB210" s="65">
        <f t="shared" si="1257"/>
        <v>0.69507493124804254</v>
      </c>
      <c r="DC210" s="65">
        <f t="shared" si="1257"/>
        <v>0.69482086166266122</v>
      </c>
      <c r="DD210" s="65">
        <f t="shared" si="1257"/>
        <v>0.74606891597123914</v>
      </c>
      <c r="DE210" s="65">
        <f t="shared" si="1257"/>
        <v>0.72091307680333594</v>
      </c>
      <c r="DF210" s="65">
        <f t="shared" si="1257"/>
        <v>0.6997309977089976</v>
      </c>
      <c r="DG210" s="65">
        <f t="shared" si="1257"/>
        <v>0.72467759271207877</v>
      </c>
      <c r="DH210" s="1066">
        <f t="shared" si="1257"/>
        <v>0.71080506208202432</v>
      </c>
      <c r="DI210" s="65">
        <f t="shared" si="1257"/>
        <v>0.68550111886404663</v>
      </c>
      <c r="DJ210" s="65">
        <f t="shared" si="1257"/>
        <v>0.68123653265746376</v>
      </c>
      <c r="DK210" s="1066">
        <f t="shared" si="1257"/>
        <v>0.68348362808346541</v>
      </c>
      <c r="DL210" s="65">
        <f t="shared" si="1257"/>
        <v>0.70731556444013555</v>
      </c>
      <c r="DM210" s="65">
        <f t="shared" si="1257"/>
        <v>0.71091094423144086</v>
      </c>
      <c r="DN210" s="1066">
        <f t="shared" si="1257"/>
        <v>0.70914573211639353</v>
      </c>
      <c r="DO210" s="65">
        <f t="shared" si="1257"/>
        <v>0.69724413754330472</v>
      </c>
      <c r="DP210" s="65">
        <f t="shared" si="1257"/>
        <v>0.67084099532535746</v>
      </c>
      <c r="DQ210" s="1066">
        <f t="shared" si="1257"/>
        <v>0.68276503437494607</v>
      </c>
      <c r="DR210" s="65">
        <f t="shared" si="1257"/>
        <v>0.697676767827904</v>
      </c>
      <c r="DS210" s="65">
        <f t="shared" si="1257"/>
        <v>0.72003602445881054</v>
      </c>
      <c r="DT210" s="1066">
        <f t="shared" si="1257"/>
        <v>0.70868004495860659</v>
      </c>
      <c r="DU210" s="65">
        <f t="shared" si="1257"/>
        <v>0.72736141373241348</v>
      </c>
      <c r="DV210" s="65">
        <f t="shared" ref="DV210:DX210" si="1258">DV209/DV180</f>
        <v>0.72420303748486226</v>
      </c>
      <c r="DW210" s="1066">
        <f t="shared" si="1258"/>
        <v>0.72580364559914867</v>
      </c>
      <c r="DX210" s="65">
        <f t="shared" si="1258"/>
        <v>0.72131299101449475</v>
      </c>
      <c r="DY210" s="65">
        <f t="shared" ref="DY210:ER210" si="1259">DY209/DY180</f>
        <v>0.72826442320069174</v>
      </c>
      <c r="DZ210" s="1066">
        <f t="shared" si="1259"/>
        <v>0.72487907587132039</v>
      </c>
      <c r="EA210" s="65">
        <f t="shared" si="1259"/>
        <v>0.73542744704465157</v>
      </c>
      <c r="EB210" s="65">
        <f t="shared" si="1259"/>
        <v>0.7391338462726641</v>
      </c>
      <c r="EC210" s="1066">
        <f t="shared" si="1259"/>
        <v>0.73721229191790938</v>
      </c>
      <c r="ED210" s="65">
        <f t="shared" si="1259"/>
        <v>0.74601034916286557</v>
      </c>
      <c r="EE210" s="65">
        <f t="shared" si="1259"/>
        <v>0.7495684924217576</v>
      </c>
      <c r="EF210" s="1066">
        <f t="shared" si="1259"/>
        <v>0.747723800241193</v>
      </c>
      <c r="EG210" s="65">
        <f t="shared" si="1259"/>
        <v>0.7561699351963509</v>
      </c>
      <c r="EH210" s="65">
        <f t="shared" si="1259"/>
        <v>0.75958575272488738</v>
      </c>
      <c r="EI210" s="1066">
        <f t="shared" si="1259"/>
        <v>0.75781484823154543</v>
      </c>
      <c r="EJ210" s="65">
        <f t="shared" si="1259"/>
        <v>0.76592313778849686</v>
      </c>
      <c r="EK210" s="65">
        <f t="shared" si="1259"/>
        <v>0.76920232261589194</v>
      </c>
      <c r="EL210" s="1066">
        <f t="shared" si="1259"/>
        <v>0.76750225430228358</v>
      </c>
      <c r="EM210" s="65">
        <f t="shared" si="1259"/>
        <v>0.77528621227695704</v>
      </c>
      <c r="EN210" s="65">
        <f t="shared" si="1259"/>
        <v>0.7784342297112562</v>
      </c>
      <c r="EO210" s="1066">
        <f t="shared" si="1259"/>
        <v>0.77680216413019221</v>
      </c>
      <c r="EP210" s="65">
        <f t="shared" si="1259"/>
        <v>0.7842747637858789</v>
      </c>
      <c r="EQ210" s="65">
        <f t="shared" si="1259"/>
        <v>0.78729686052280601</v>
      </c>
      <c r="ER210" s="1066">
        <f t="shared" si="1259"/>
        <v>0.78573007756498459</v>
      </c>
      <c r="ES210" s="65">
        <f t="shared" ref="ES210:EX210" si="1260">ES209/ES180</f>
        <v>0.79290377323444372</v>
      </c>
      <c r="ET210" s="65">
        <f t="shared" si="1260"/>
        <v>0.79580498610189376</v>
      </c>
      <c r="EU210" s="1066">
        <f t="shared" si="1260"/>
        <v>0.79430087446238529</v>
      </c>
      <c r="EV210" s="65">
        <f t="shared" si="1260"/>
        <v>0.80118762230506591</v>
      </c>
      <c r="EW210" s="65">
        <f t="shared" si="1260"/>
        <v>0.80397278665781802</v>
      </c>
      <c r="EX210" s="1066">
        <f t="shared" si="1260"/>
        <v>0.80252883948388987</v>
      </c>
      <c r="EY210" s="65">
        <f t="shared" ref="EY210:FA210" si="1261">EY209/EY180</f>
        <v>0.80914011741286318</v>
      </c>
      <c r="EZ210" s="65">
        <f t="shared" si="1261"/>
        <v>0.81181387519150539</v>
      </c>
      <c r="FA210" s="1066">
        <f t="shared" si="1261"/>
        <v>0.81042768590453407</v>
      </c>
    </row>
    <row r="211" spans="1:173" outlineLevel="1">
      <c r="B211" s="31"/>
      <c r="D211" s="926"/>
      <c r="BA211" s="35"/>
      <c r="BB211" s="35"/>
      <c r="BD211" s="35"/>
      <c r="BE211" s="35"/>
      <c r="BG211" s="70"/>
      <c r="BH211" s="70"/>
      <c r="BJ211" s="35"/>
      <c r="BK211" s="35"/>
      <c r="BL211" s="31"/>
      <c r="BM211" s="65"/>
      <c r="BN211" s="65"/>
      <c r="BO211" s="64"/>
      <c r="BP211" s="65"/>
      <c r="BQ211" s="65"/>
      <c r="BR211" s="64"/>
      <c r="BS211" s="65"/>
      <c r="BT211" s="65"/>
      <c r="BU211" s="65"/>
      <c r="BV211" s="65"/>
      <c r="BW211" s="65"/>
      <c r="BX211" s="65"/>
      <c r="BY211" s="65"/>
      <c r="BZ211" s="65"/>
      <c r="CA211" s="65"/>
      <c r="CB211" s="65"/>
      <c r="CC211" s="65"/>
      <c r="CD211" s="65"/>
      <c r="CE211" s="65"/>
      <c r="CF211" s="65"/>
      <c r="CG211" s="65"/>
      <c r="CH211" s="65"/>
      <c r="CI211" s="65"/>
      <c r="CJ211" s="65"/>
      <c r="CK211" s="65"/>
      <c r="CL211" s="65"/>
      <c r="CM211" s="65"/>
      <c r="CN211" s="65"/>
      <c r="CO211" s="65"/>
      <c r="CP211" s="65"/>
      <c r="CQ211" s="65"/>
      <c r="CR211" s="65"/>
      <c r="CS211" s="65"/>
      <c r="CT211" s="65"/>
      <c r="CU211" s="65"/>
      <c r="CV211" s="65"/>
      <c r="CW211" s="65"/>
      <c r="CX211" s="65"/>
      <c r="CY211" s="65"/>
      <c r="CZ211" s="65"/>
      <c r="DA211" s="65"/>
      <c r="DB211" s="65"/>
      <c r="DC211" s="65"/>
      <c r="DD211" s="65"/>
      <c r="DE211" s="65"/>
      <c r="DF211" s="65"/>
      <c r="DG211" s="65"/>
      <c r="DH211" s="1066"/>
      <c r="DI211" s="65"/>
      <c r="DJ211" s="65"/>
      <c r="DK211" s="1066"/>
      <c r="DL211" s="65"/>
      <c r="DM211" s="65"/>
      <c r="DN211" s="1066"/>
      <c r="DO211" s="65"/>
      <c r="DP211" s="65"/>
      <c r="DQ211" s="1066"/>
      <c r="DR211" s="65"/>
      <c r="DS211" s="65"/>
      <c r="DT211" s="1066"/>
      <c r="DU211" s="65"/>
      <c r="DV211" s="65"/>
      <c r="DW211" s="1066"/>
      <c r="DX211" s="65"/>
      <c r="DY211" s="65"/>
      <c r="DZ211" s="1066"/>
      <c r="EA211" s="65"/>
      <c r="EB211" s="65"/>
      <c r="EC211" s="1066"/>
      <c r="ED211" s="65"/>
      <c r="EE211" s="65"/>
      <c r="EF211" s="1066"/>
      <c r="EG211" s="65"/>
      <c r="EH211" s="65"/>
      <c r="EI211" s="1066"/>
      <c r="EJ211" s="65"/>
      <c r="EK211" s="65"/>
      <c r="EL211" s="1066"/>
      <c r="EM211" s="65"/>
      <c r="EN211" s="65"/>
      <c r="EO211" s="1066"/>
      <c r="EP211" s="65"/>
      <c r="EQ211" s="65"/>
      <c r="ER211" s="1066"/>
      <c r="ES211" s="65"/>
      <c r="ET211" s="65"/>
      <c r="EU211" s="1066"/>
      <c r="EV211" s="65"/>
      <c r="EW211" s="65"/>
      <c r="EX211" s="1066"/>
      <c r="EY211" s="65"/>
      <c r="EZ211" s="65"/>
      <c r="FA211" s="1066"/>
    </row>
    <row r="212" spans="1:173" outlineLevel="1">
      <c r="B212" s="68" t="s">
        <v>738</v>
      </c>
      <c r="BA212" s="35"/>
      <c r="BB212" s="35"/>
      <c r="BD212" s="35"/>
      <c r="BE212" s="35"/>
      <c r="BG212" s="189"/>
      <c r="BH212" s="189"/>
      <c r="BJ212" s="35"/>
      <c r="BK212" s="35"/>
      <c r="BL212" s="31"/>
      <c r="BM212" s="35"/>
      <c r="BN212" s="35"/>
      <c r="BO212" s="31"/>
      <c r="BP212" s="35"/>
      <c r="BQ212" s="35"/>
      <c r="BR212" s="31"/>
      <c r="BS212" s="35"/>
      <c r="BT212" s="35"/>
      <c r="BV212" s="35"/>
      <c r="BW212" s="35"/>
      <c r="BY212" s="35"/>
      <c r="BZ212" s="35"/>
      <c r="CB212" s="35"/>
      <c r="CC212" s="35"/>
      <c r="CE212" s="35"/>
      <c r="CF212" s="35"/>
      <c r="CH212" s="35"/>
      <c r="CI212" s="35"/>
      <c r="CK212" s="35"/>
      <c r="CL212" s="35"/>
      <c r="CN212" s="35"/>
      <c r="CO212" s="35"/>
      <c r="CQ212" s="35"/>
      <c r="CR212" s="35"/>
      <c r="CT212" s="35"/>
      <c r="CU212" s="35"/>
      <c r="CW212" s="35"/>
      <c r="CX212" s="35"/>
      <c r="CZ212" s="35"/>
      <c r="DA212" s="35"/>
      <c r="DC212" s="35"/>
      <c r="DD212" s="35"/>
      <c r="DF212" s="35"/>
      <c r="DG212" s="35"/>
      <c r="DH212" s="1067"/>
      <c r="DI212" s="35"/>
      <c r="DJ212" s="35"/>
      <c r="DK212" s="1067"/>
      <c r="DL212" s="35"/>
      <c r="DM212" s="35"/>
      <c r="DN212" s="1067"/>
      <c r="DO212" s="35"/>
      <c r="DP212" s="35"/>
      <c r="DQ212" s="1067"/>
      <c r="DR212" s="35"/>
      <c r="DS212" s="35"/>
      <c r="DT212" s="1067"/>
      <c r="DU212" s="35"/>
      <c r="DV212" s="35"/>
      <c r="DW212" s="1067"/>
      <c r="DX212" s="35"/>
      <c r="DY212" s="35"/>
      <c r="DZ212" s="1067"/>
      <c r="EA212" s="35"/>
      <c r="EB212" s="35"/>
      <c r="EC212" s="1067"/>
      <c r="ED212" s="35"/>
      <c r="EE212" s="35"/>
      <c r="EF212" s="1067"/>
      <c r="EG212" s="35"/>
      <c r="EH212" s="35"/>
      <c r="EI212" s="1067"/>
      <c r="EJ212" s="35"/>
      <c r="EK212" s="35"/>
      <c r="EL212" s="1067"/>
      <c r="EM212" s="35"/>
      <c r="EN212" s="35"/>
      <c r="EO212" s="1067"/>
      <c r="EP212" s="35"/>
      <c r="EQ212" s="35"/>
      <c r="ER212" s="1067"/>
      <c r="ES212" s="35"/>
      <c r="ET212" s="35"/>
      <c r="EU212" s="1067"/>
      <c r="EV212" s="35"/>
      <c r="EW212" s="35"/>
      <c r="EX212" s="1067"/>
      <c r="EY212" s="35"/>
      <c r="EZ212" s="35"/>
      <c r="FA212" s="1067"/>
    </row>
    <row r="213" spans="1:173" s="321" customFormat="1" outlineLevel="1">
      <c r="A213" s="1168"/>
      <c r="B213" s="321" t="s">
        <v>400</v>
      </c>
      <c r="C213" s="186"/>
      <c r="D213" s="910" t="s">
        <v>855</v>
      </c>
      <c r="E213" s="186"/>
      <c r="F213" s="186"/>
      <c r="G213" s="186"/>
      <c r="H213" s="186"/>
      <c r="I213" s="186"/>
      <c r="J213" s="186"/>
      <c r="K213" s="186"/>
      <c r="L213" s="186"/>
      <c r="M213" s="186"/>
      <c r="N213" s="186"/>
      <c r="O213" s="186"/>
      <c r="P213" s="186"/>
      <c r="Q213" s="186"/>
      <c r="R213" s="186"/>
      <c r="S213" s="186"/>
      <c r="T213" s="186"/>
      <c r="U213" s="186"/>
      <c r="V213" s="186"/>
      <c r="W213" s="186"/>
      <c r="X213" s="186"/>
      <c r="Y213" s="186"/>
      <c r="Z213" s="186"/>
      <c r="AA213" s="186"/>
      <c r="AB213" s="186"/>
      <c r="AC213" s="186"/>
      <c r="AD213" s="186"/>
      <c r="AE213" s="186"/>
      <c r="AF213" s="186"/>
      <c r="AG213" s="186"/>
      <c r="AH213" s="186"/>
      <c r="AI213" s="186"/>
      <c r="AJ213" s="186"/>
      <c r="AK213" s="186"/>
      <c r="AL213" s="186"/>
      <c r="AM213" s="186"/>
      <c r="AN213" s="186"/>
      <c r="AO213" s="186"/>
      <c r="AP213" s="186"/>
      <c r="AQ213" s="186"/>
      <c r="AR213" s="186"/>
      <c r="AS213" s="186"/>
      <c r="AT213" s="186"/>
      <c r="AU213" s="186"/>
      <c r="AV213" s="186"/>
      <c r="AW213" s="186"/>
      <c r="AX213" s="186"/>
      <c r="AY213" s="186"/>
      <c r="AZ213" s="186"/>
      <c r="BA213" s="186"/>
      <c r="BB213" s="186"/>
      <c r="BC213" s="331"/>
      <c r="BD213" s="186"/>
      <c r="BE213" s="186"/>
      <c r="BF213" s="331"/>
      <c r="BG213" s="186"/>
      <c r="BH213" s="186"/>
      <c r="BI213" s="331"/>
      <c r="BJ213" s="186"/>
      <c r="BK213" s="186"/>
      <c r="BL213" s="331"/>
      <c r="BM213" s="190">
        <f t="shared" ref="BM213:CR213" si="1262">BM383</f>
        <v>7095.4973211760034</v>
      </c>
      <c r="BN213" s="190">
        <f t="shared" si="1262"/>
        <v>7095.4973211760034</v>
      </c>
      <c r="BO213" s="190">
        <f t="shared" si="1262"/>
        <v>7349.1663159276468</v>
      </c>
      <c r="BP213" s="190">
        <f t="shared" si="1262"/>
        <v>8869.3716514700045</v>
      </c>
      <c r="BQ213" s="190">
        <f t="shared" si="1262"/>
        <v>7450.2721872348038</v>
      </c>
      <c r="BR213" s="190">
        <f t="shared" si="1262"/>
        <v>7799.4157062133045</v>
      </c>
      <c r="BS213" s="190">
        <f t="shared" si="1262"/>
        <v>14123.909382053902</v>
      </c>
      <c r="BT213" s="190">
        <f t="shared" si="1262"/>
        <v>11438.026656580771</v>
      </c>
      <c r="BU213" s="190">
        <f t="shared" si="1262"/>
        <v>12675.892182692891</v>
      </c>
      <c r="BV213" s="190">
        <f t="shared" si="1262"/>
        <v>14058.265040519709</v>
      </c>
      <c r="BW213" s="190">
        <f t="shared" si="1262"/>
        <v>11364.535538392704</v>
      </c>
      <c r="BX213" s="190">
        <f t="shared" si="1262"/>
        <v>12606.354487925742</v>
      </c>
      <c r="BY213" s="190">
        <f t="shared" si="1262"/>
        <v>16945.634666141457</v>
      </c>
      <c r="BZ213" s="190">
        <f t="shared" si="1262"/>
        <v>11209.864209715179</v>
      </c>
      <c r="CA213" s="190">
        <f t="shared" si="1262"/>
        <v>14405.888117084947</v>
      </c>
      <c r="CB213" s="190">
        <f t="shared" si="1262"/>
        <v>15312.583853365406</v>
      </c>
      <c r="CC213" s="190">
        <f t="shared" si="1262"/>
        <v>12429.49743573219</v>
      </c>
      <c r="CD213" s="190">
        <f t="shared" si="1262"/>
        <v>13814.895070404102</v>
      </c>
      <c r="CE213" s="190">
        <f t="shared" si="1262"/>
        <v>13203.045738806521</v>
      </c>
      <c r="CF213" s="190">
        <f t="shared" si="1262"/>
        <v>12438.228305700679</v>
      </c>
      <c r="CG213" s="190">
        <f t="shared" si="1262"/>
        <v>13684.597752038771</v>
      </c>
      <c r="CH213" s="190">
        <f t="shared" si="1262"/>
        <v>13069.562946387186</v>
      </c>
      <c r="CI213" s="190">
        <f t="shared" si="1262"/>
        <v>10533.686787531791</v>
      </c>
      <c r="CJ213" s="190">
        <f t="shared" si="1262"/>
        <v>11741.445165560579</v>
      </c>
      <c r="CK213" s="190">
        <f t="shared" si="1262"/>
        <v>14637.91049995365</v>
      </c>
      <c r="CL213" s="190">
        <f t="shared" si="1262"/>
        <v>14637.91049995365</v>
      </c>
      <c r="CM213" s="190">
        <f t="shared" si="1262"/>
        <v>14643.27761612406</v>
      </c>
      <c r="CN213" s="190">
        <f t="shared" si="1262"/>
        <v>19366.600972597887</v>
      </c>
      <c r="CO213" s="190">
        <f t="shared" si="1262"/>
        <v>15835.401701987197</v>
      </c>
      <c r="CP213" s="190">
        <f t="shared" si="1262"/>
        <v>16387.223570721562</v>
      </c>
      <c r="CQ213" s="190">
        <f t="shared" si="1262"/>
        <v>20459.705957100952</v>
      </c>
      <c r="CR213" s="190">
        <f t="shared" si="1262"/>
        <v>22018.959238555246</v>
      </c>
      <c r="CS213" s="190">
        <f t="shared" ref="CS213:DU213" si="1263">CS383</f>
        <v>21773.428247147964</v>
      </c>
      <c r="CT213" s="190">
        <f t="shared" si="1263"/>
        <v>20811.552987563176</v>
      </c>
      <c r="CU213" s="190">
        <f t="shared" si="1263"/>
        <v>17330.902627074451</v>
      </c>
      <c r="CV213" s="190">
        <f t="shared" si="1263"/>
        <v>19070.653906272608</v>
      </c>
      <c r="CW213" s="190">
        <f t="shared" si="1263"/>
        <v>18824.049677250892</v>
      </c>
      <c r="CX213" s="190">
        <f t="shared" si="1263"/>
        <v>17729.513387497162</v>
      </c>
      <c r="CY213" s="190">
        <f t="shared" si="1263"/>
        <v>18250.25529346419</v>
      </c>
      <c r="CZ213" s="190">
        <f t="shared" si="1263"/>
        <v>18613.153287761212</v>
      </c>
      <c r="DA213" s="190">
        <f t="shared" si="1263"/>
        <v>15593.301614231061</v>
      </c>
      <c r="DB213" s="190">
        <f t="shared" si="1263"/>
        <v>17086.941300029313</v>
      </c>
      <c r="DC213" s="190">
        <f t="shared" si="1263"/>
        <v>17748.227992421576</v>
      </c>
      <c r="DD213" s="190">
        <f t="shared" si="1263"/>
        <v>15422.266578516752</v>
      </c>
      <c r="DE213" s="190">
        <f t="shared" si="1263"/>
        <v>16567.358957479089</v>
      </c>
      <c r="DF213" s="190">
        <f t="shared" si="1263"/>
        <v>17623.990396474626</v>
      </c>
      <c r="DG213" s="190">
        <f t="shared" si="1263"/>
        <v>17735.606565294263</v>
      </c>
      <c r="DH213" s="1060">
        <f t="shared" si="1263"/>
        <v>17688.445631647817</v>
      </c>
      <c r="DI213" s="190">
        <f t="shared" si="1263"/>
        <v>21175.224461364265</v>
      </c>
      <c r="DJ213" s="190">
        <f t="shared" si="1263"/>
        <v>15908.839089068955</v>
      </c>
      <c r="DK213" s="1060">
        <f t="shared" si="1263"/>
        <v>18054.837880313371</v>
      </c>
      <c r="DL213" s="234">
        <f t="shared" si="1263"/>
        <v>20539.967727523337</v>
      </c>
      <c r="DM213" s="234">
        <f t="shared" si="1263"/>
        <v>15272.485525506196</v>
      </c>
      <c r="DN213" s="1060">
        <f t="shared" si="1263"/>
        <v>17509.832731355986</v>
      </c>
      <c r="DO213" s="234">
        <f t="shared" si="1263"/>
        <v>20026.468534335254</v>
      </c>
      <c r="DP213" s="234">
        <f t="shared" si="1263"/>
        <v>19090.606906882746</v>
      </c>
      <c r="DQ213" s="1060">
        <f t="shared" si="1263"/>
        <v>19457.301092870734</v>
      </c>
      <c r="DR213" s="234">
        <f t="shared" si="1263"/>
        <v>22029.115387768779</v>
      </c>
      <c r="DS213" s="234">
        <f t="shared" si="1263"/>
        <v>17181.546216194471</v>
      </c>
      <c r="DT213" s="1060">
        <f t="shared" si="1263"/>
        <v>18745.169516298436</v>
      </c>
      <c r="DU213" s="234">
        <f t="shared" si="1263"/>
        <v>21147.950772258027</v>
      </c>
      <c r="DV213" s="234">
        <f t="shared" ref="DV213:DX213" si="1264">DV383</f>
        <v>15463.391594575023</v>
      </c>
      <c r="DW213" s="1060">
        <f t="shared" si="1264"/>
        <v>18103.353609157468</v>
      </c>
      <c r="DX213" s="234">
        <f t="shared" si="1264"/>
        <v>20302.032741367704</v>
      </c>
      <c r="DY213" s="234">
        <f t="shared" ref="DY213:EF213" si="1265">DY383</f>
        <v>14844.855930792022</v>
      </c>
      <c r="DZ213" s="1060">
        <f t="shared" si="1265"/>
        <v>17083.924655780949</v>
      </c>
      <c r="EA213" s="234">
        <f t="shared" si="1265"/>
        <v>19489.951431712994</v>
      </c>
      <c r="EB213" s="234">
        <f t="shared" si="1265"/>
        <v>14251.061693560341</v>
      </c>
      <c r="EC213" s="1060">
        <f t="shared" si="1265"/>
        <v>16471.340806630345</v>
      </c>
      <c r="ED213" s="234">
        <f t="shared" si="1265"/>
        <v>18710.353374444472</v>
      </c>
      <c r="EE213" s="234">
        <f t="shared" si="1265"/>
        <v>13681.019225817927</v>
      </c>
      <c r="EF213" s="1060">
        <f t="shared" si="1265"/>
        <v>15812.487174365129</v>
      </c>
      <c r="EG213" s="234">
        <f t="shared" ref="EG213:EL213" si="1266">EG383</f>
        <v>17961.939239466694</v>
      </c>
      <c r="EH213" s="234">
        <f t="shared" si="1266"/>
        <v>13133.778456785209</v>
      </c>
      <c r="EI213" s="1060">
        <f t="shared" si="1266"/>
        <v>15179.987687390525</v>
      </c>
      <c r="EJ213" s="234">
        <f t="shared" si="1266"/>
        <v>17243.461669888027</v>
      </c>
      <c r="EK213" s="234">
        <f t="shared" si="1266"/>
        <v>12608.427318513799</v>
      </c>
      <c r="EL213" s="1060">
        <f t="shared" si="1266"/>
        <v>14572.7881798949</v>
      </c>
      <c r="EM213" s="234">
        <f t="shared" ref="EM213:ER213" si="1267">EM383</f>
        <v>16553.723203092504</v>
      </c>
      <c r="EN213" s="234">
        <f t="shared" si="1267"/>
        <v>12104.090225773247</v>
      </c>
      <c r="EO213" s="1060">
        <f t="shared" si="1267"/>
        <v>13989.876652699106</v>
      </c>
      <c r="EP213" s="234">
        <f t="shared" si="1267"/>
        <v>15891.574274968803</v>
      </c>
      <c r="EQ213" s="234">
        <f t="shared" si="1267"/>
        <v>11619.926616742316</v>
      </c>
      <c r="ER213" s="1060">
        <f t="shared" si="1267"/>
        <v>13430.28158659114</v>
      </c>
      <c r="ES213" s="234">
        <f t="shared" ref="ES213:EX213" si="1268">ES383</f>
        <v>15255.911303970051</v>
      </c>
      <c r="ET213" s="234">
        <f t="shared" si="1268"/>
        <v>11155.129552072623</v>
      </c>
      <c r="EU213" s="1060">
        <f t="shared" si="1268"/>
        <v>12893.070323127495</v>
      </c>
      <c r="EV213" s="234">
        <f t="shared" si="1268"/>
        <v>14645.674851811249</v>
      </c>
      <c r="EW213" s="234">
        <f t="shared" si="1268"/>
        <v>10708.924369989718</v>
      </c>
      <c r="EX213" s="1060">
        <f t="shared" si="1268"/>
        <v>12377.347510202393</v>
      </c>
      <c r="EY213" s="234">
        <f t="shared" ref="EY213:FA213" si="1269">EY383</f>
        <v>14059.847857738798</v>
      </c>
      <c r="EZ213" s="234">
        <f t="shared" si="1269"/>
        <v>10280.567395190128</v>
      </c>
      <c r="FA213" s="1060">
        <f t="shared" si="1269"/>
        <v>11882.253609794296</v>
      </c>
      <c r="FH213" s="35"/>
      <c r="FI213" s="35"/>
      <c r="FJ213" s="35"/>
      <c r="FK213" s="35"/>
      <c r="FL213" s="35"/>
      <c r="FM213" s="35"/>
      <c r="FN213" s="35"/>
      <c r="FO213" s="35"/>
      <c r="FP213" s="35"/>
      <c r="FQ213" s="35"/>
    </row>
    <row r="214" spans="1:173" s="321" customFormat="1" outlineLevel="1">
      <c r="A214" s="1168"/>
      <c r="B214" s="186" t="s">
        <v>753</v>
      </c>
      <c r="C214" s="186"/>
      <c r="D214" s="910" t="s">
        <v>460</v>
      </c>
      <c r="E214" s="186"/>
      <c r="F214" s="186"/>
      <c r="G214" s="186"/>
      <c r="H214" s="186"/>
      <c r="I214" s="186"/>
      <c r="J214" s="186"/>
      <c r="K214" s="186"/>
      <c r="L214" s="186"/>
      <c r="M214" s="186"/>
      <c r="N214" s="186"/>
      <c r="O214" s="186"/>
      <c r="P214" s="186"/>
      <c r="Q214" s="186"/>
      <c r="R214" s="186"/>
      <c r="S214" s="186"/>
      <c r="T214" s="186"/>
      <c r="U214" s="186"/>
      <c r="V214" s="186"/>
      <c r="W214" s="186"/>
      <c r="X214" s="186"/>
      <c r="Y214" s="186"/>
      <c r="Z214" s="186"/>
      <c r="AA214" s="186"/>
      <c r="AB214" s="186"/>
      <c r="AC214" s="186"/>
      <c r="AD214" s="186"/>
      <c r="AE214" s="186"/>
      <c r="AF214" s="186"/>
      <c r="AG214" s="186"/>
      <c r="AH214" s="186"/>
      <c r="AI214" s="186"/>
      <c r="AJ214" s="186"/>
      <c r="AK214" s="186"/>
      <c r="AL214" s="186"/>
      <c r="AM214" s="186"/>
      <c r="AN214" s="186"/>
      <c r="AO214" s="186"/>
      <c r="AP214" s="186"/>
      <c r="AQ214" s="186"/>
      <c r="AR214" s="186"/>
      <c r="AS214" s="186"/>
      <c r="AT214" s="186"/>
      <c r="AU214" s="186"/>
      <c r="AV214" s="186"/>
      <c r="AW214" s="186"/>
      <c r="AX214" s="186"/>
      <c r="AY214" s="186"/>
      <c r="AZ214" s="186"/>
      <c r="BA214" s="186"/>
      <c r="BB214" s="186"/>
      <c r="BC214" s="331"/>
      <c r="BD214" s="186"/>
      <c r="BE214" s="186"/>
      <c r="BF214" s="331"/>
      <c r="BG214" s="186"/>
      <c r="BH214" s="186"/>
      <c r="BI214" s="331"/>
      <c r="BJ214" s="186"/>
      <c r="BK214" s="186"/>
      <c r="BL214" s="331"/>
      <c r="BM214" s="186"/>
      <c r="BN214" s="186"/>
      <c r="BO214" s="331"/>
      <c r="BP214" s="83">
        <f t="shared" ref="BP214:CU214" si="1270">BP213/BM213-1</f>
        <v>0.25</v>
      </c>
      <c r="BQ214" s="83">
        <f t="shared" si="1270"/>
        <v>5.0000000000000044E-2</v>
      </c>
      <c r="BR214" s="83">
        <f t="shared" si="1270"/>
        <v>6.1265369557611526E-2</v>
      </c>
      <c r="BS214" s="83">
        <f t="shared" si="1270"/>
        <v>0.59243630068348896</v>
      </c>
      <c r="BT214" s="83">
        <f t="shared" si="1270"/>
        <v>0.53524950084085954</v>
      </c>
      <c r="BU214" s="83">
        <f t="shared" si="1270"/>
        <v>0.62523612795697048</v>
      </c>
      <c r="BV214" s="83">
        <f t="shared" si="1270"/>
        <v>-4.6477458725132648E-3</v>
      </c>
      <c r="BW214" s="83">
        <f t="shared" si="1270"/>
        <v>-6.4251571004850794E-3</v>
      </c>
      <c r="BX214" s="83">
        <f t="shared" si="1270"/>
        <v>-5.4858225176521724E-3</v>
      </c>
      <c r="BY214" s="83">
        <f t="shared" si="1270"/>
        <v>0.20538591478390611</v>
      </c>
      <c r="BZ214" s="83">
        <f t="shared" si="1270"/>
        <v>-1.3610000000000011E-2</v>
      </c>
      <c r="CA214" s="83">
        <f t="shared" si="1270"/>
        <v>0.14274813792383689</v>
      </c>
      <c r="CB214" s="83">
        <f t="shared" si="1270"/>
        <v>-9.6369999999999956E-2</v>
      </c>
      <c r="CC214" s="83">
        <f t="shared" si="1270"/>
        <v>0.10880000000000001</v>
      </c>
      <c r="CD214" s="83">
        <f t="shared" si="1270"/>
        <v>-4.1024409038686427E-2</v>
      </c>
      <c r="CE214" s="83">
        <f t="shared" si="1270"/>
        <v>-0.13776500000000003</v>
      </c>
      <c r="CF214" s="83">
        <f t="shared" si="1270"/>
        <v>7.0243145498305459E-4</v>
      </c>
      <c r="CG214" s="83">
        <f t="shared" si="1270"/>
        <v>-9.4316545801689244E-3</v>
      </c>
      <c r="CH214" s="83">
        <f t="shared" si="1270"/>
        <v>-1.0110000000000063E-2</v>
      </c>
      <c r="CI214" s="83">
        <f t="shared" si="1270"/>
        <v>-0.15312000000000003</v>
      </c>
      <c r="CJ214" s="83">
        <f t="shared" si="1270"/>
        <v>-0.14199559400192785</v>
      </c>
      <c r="CK214" s="83">
        <f t="shared" si="1270"/>
        <v>0.12000000000000011</v>
      </c>
      <c r="CL214" s="83">
        <f t="shared" si="1270"/>
        <v>0.38962841740081244</v>
      </c>
      <c r="CM214" s="83">
        <f t="shared" si="1270"/>
        <v>0.24714440255403924</v>
      </c>
      <c r="CN214" s="83">
        <f t="shared" si="1270"/>
        <v>0.32304408970523557</v>
      </c>
      <c r="CO214" s="83">
        <f t="shared" si="1270"/>
        <v>8.1807523145966732E-2</v>
      </c>
      <c r="CP214" s="83">
        <f t="shared" si="1270"/>
        <v>0.11909532826702685</v>
      </c>
      <c r="CQ214" s="83">
        <f t="shared" si="1270"/>
        <v>5.6442789627860757E-2</v>
      </c>
      <c r="CR214" s="83">
        <f t="shared" si="1270"/>
        <v>0.39048946486732117</v>
      </c>
      <c r="CS214" s="83">
        <f t="shared" si="1270"/>
        <v>0.32868317522986201</v>
      </c>
      <c r="CT214" s="83">
        <f t="shared" si="1270"/>
        <v>1.7197071707675704E-2</v>
      </c>
      <c r="CU214" s="83">
        <f t="shared" si="1270"/>
        <v>-0.21290999999999993</v>
      </c>
      <c r="CV214" s="83">
        <f t="shared" ref="CV214:EA214" si="1271">CV213/CS213-1</f>
        <v>-0.1241317770539595</v>
      </c>
      <c r="CW214" s="83">
        <f t="shared" si="1271"/>
        <v>-9.5500000000000029E-2</v>
      </c>
      <c r="CX214" s="83">
        <f t="shared" si="1271"/>
        <v>2.2999999999999909E-2</v>
      </c>
      <c r="CY214" s="83">
        <f t="shared" si="1271"/>
        <v>-4.3018903118921203E-2</v>
      </c>
      <c r="CZ214" s="83">
        <f t="shared" si="1271"/>
        <v>-1.1203561035251219E-2</v>
      </c>
      <c r="DA214" s="83">
        <f t="shared" si="1271"/>
        <v>-0.120489024519565</v>
      </c>
      <c r="DB214" s="83">
        <f t="shared" si="1271"/>
        <v>-6.3742340845581724E-2</v>
      </c>
      <c r="DC214" s="83">
        <f t="shared" si="1271"/>
        <v>-4.6468499021514731E-2</v>
      </c>
      <c r="DD214" s="83">
        <f t="shared" si="1271"/>
        <v>-1.0968494033246623E-2</v>
      </c>
      <c r="DE214" s="83">
        <f t="shared" si="1271"/>
        <v>-3.0408154006436039E-2</v>
      </c>
      <c r="DF214" s="83">
        <f t="shared" si="1271"/>
        <v>-6.9999999999998952E-3</v>
      </c>
      <c r="DG214" s="83">
        <f t="shared" si="1271"/>
        <v>0.14999999999999991</v>
      </c>
      <c r="DH214" s="1066">
        <f t="shared" si="1271"/>
        <v>6.76684000778911E-2</v>
      </c>
      <c r="DI214" s="83">
        <f t="shared" si="1271"/>
        <v>0.20150000000000001</v>
      </c>
      <c r="DJ214" s="83">
        <f t="shared" si="1271"/>
        <v>-0.10299999999999998</v>
      </c>
      <c r="DK214" s="1079">
        <f t="shared" si="1271"/>
        <v>2.0713648688837516E-2</v>
      </c>
      <c r="DL214" s="83">
        <f t="shared" si="1271"/>
        <v>-3.0000000000000027E-2</v>
      </c>
      <c r="DM214" s="83">
        <f t="shared" si="1271"/>
        <v>-4.0000000000000036E-2</v>
      </c>
      <c r="DN214" s="1079">
        <f t="shared" si="1271"/>
        <v>-3.0186100399807403E-2</v>
      </c>
      <c r="DO214" s="83">
        <f t="shared" si="1271"/>
        <v>-2.5000000000000022E-2</v>
      </c>
      <c r="DP214" s="83">
        <f t="shared" si="1271"/>
        <v>0.25</v>
      </c>
      <c r="DQ214" s="1079">
        <f t="shared" si="1271"/>
        <v>0.11122141435579169</v>
      </c>
      <c r="DR214" s="83">
        <f t="shared" si="1271"/>
        <v>0.10000000000000009</v>
      </c>
      <c r="DS214" s="83">
        <f t="shared" si="1271"/>
        <v>-9.9999999999999978E-2</v>
      </c>
      <c r="DT214" s="1079">
        <f t="shared" si="1271"/>
        <v>-3.6599709958398452E-2</v>
      </c>
      <c r="DU214" s="83">
        <f t="shared" si="1271"/>
        <v>-4.0000000000000036E-2</v>
      </c>
      <c r="DV214" s="83">
        <f t="shared" ref="DV214" si="1272">DV213/DS213-1</f>
        <v>-9.9999999999999978E-2</v>
      </c>
      <c r="DW214" s="1079">
        <f t="shared" ref="DW214" si="1273">DW213/DT213-1</f>
        <v>-3.4239002564523391E-2</v>
      </c>
      <c r="DX214" s="83">
        <f t="shared" si="1271"/>
        <v>-4.0000000000000147E-2</v>
      </c>
      <c r="DY214" s="83">
        <f t="shared" si="1271"/>
        <v>-4.0000000000000036E-2</v>
      </c>
      <c r="DZ214" s="1079">
        <f t="shared" si="1271"/>
        <v>-5.6311608080220399E-2</v>
      </c>
      <c r="EA214" s="83">
        <f t="shared" si="1271"/>
        <v>-4.0000000000000036E-2</v>
      </c>
      <c r="EB214" s="83">
        <f t="shared" ref="EB214:EL214" si="1274">EB213/DY213-1</f>
        <v>-4.0000000000000036E-2</v>
      </c>
      <c r="EC214" s="1079">
        <f t="shared" si="1274"/>
        <v>-3.585732561418864E-2</v>
      </c>
      <c r="ED214" s="83">
        <f t="shared" si="1274"/>
        <v>-4.0000000000000147E-2</v>
      </c>
      <c r="EE214" s="83">
        <f t="shared" si="1274"/>
        <v>-4.0000000000000036E-2</v>
      </c>
      <c r="EF214" s="1079">
        <f t="shared" si="1274"/>
        <v>-4.0000000000000147E-2</v>
      </c>
      <c r="EG214" s="83">
        <f t="shared" si="1274"/>
        <v>-3.9999999999999925E-2</v>
      </c>
      <c r="EH214" s="83">
        <f t="shared" si="1274"/>
        <v>-4.0000000000000036E-2</v>
      </c>
      <c r="EI214" s="1079">
        <f t="shared" si="1274"/>
        <v>-3.9999999999999925E-2</v>
      </c>
      <c r="EJ214" s="83">
        <f t="shared" si="1274"/>
        <v>-3.9999999999999925E-2</v>
      </c>
      <c r="EK214" s="83">
        <f t="shared" si="1274"/>
        <v>-4.0000000000000147E-2</v>
      </c>
      <c r="EL214" s="1079">
        <f t="shared" si="1274"/>
        <v>-4.0000000000000258E-2</v>
      </c>
      <c r="EM214" s="83">
        <f t="shared" ref="EM214:ER214" si="1275">EM213/EJ213-1</f>
        <v>-4.0000000000000147E-2</v>
      </c>
      <c r="EN214" s="83">
        <f t="shared" si="1275"/>
        <v>-4.0000000000000036E-2</v>
      </c>
      <c r="EO214" s="1079">
        <f t="shared" si="1275"/>
        <v>-3.9999999999999925E-2</v>
      </c>
      <c r="EP214" s="83">
        <f t="shared" si="1275"/>
        <v>-4.0000000000000036E-2</v>
      </c>
      <c r="EQ214" s="83">
        <f t="shared" si="1275"/>
        <v>-4.0000000000000147E-2</v>
      </c>
      <c r="ER214" s="1079">
        <f t="shared" si="1275"/>
        <v>-4.0000000000000147E-2</v>
      </c>
      <c r="ES214" s="83">
        <f t="shared" ref="ES214" si="1276">ES213/EP213-1</f>
        <v>-4.0000000000000036E-2</v>
      </c>
      <c r="ET214" s="83">
        <f t="shared" ref="ET214" si="1277">ET213/EQ213-1</f>
        <v>-3.9999999999999925E-2</v>
      </c>
      <c r="EU214" s="1079">
        <f t="shared" ref="EU214" si="1278">EU213/ER213-1</f>
        <v>-3.9999999999999925E-2</v>
      </c>
      <c r="EV214" s="83">
        <f t="shared" ref="EV214" si="1279">EV213/ES213-1</f>
        <v>-4.0000000000000036E-2</v>
      </c>
      <c r="EW214" s="83">
        <f t="shared" ref="EW214" si="1280">EW213/ET213-1</f>
        <v>-4.0000000000000036E-2</v>
      </c>
      <c r="EX214" s="1079">
        <f t="shared" ref="EX214" si="1281">EX213/EU213-1</f>
        <v>-4.0000000000000147E-2</v>
      </c>
      <c r="EY214" s="83">
        <f t="shared" ref="EY214" si="1282">EY213/EV213-1</f>
        <v>-4.0000000000000036E-2</v>
      </c>
      <c r="EZ214" s="83">
        <f t="shared" ref="EZ214" si="1283">EZ213/EW213-1</f>
        <v>-4.0000000000000147E-2</v>
      </c>
      <c r="FA214" s="1079">
        <f t="shared" ref="FA214" si="1284">FA213/EX213-1</f>
        <v>-4.0000000000000147E-2</v>
      </c>
      <c r="FH214" s="35"/>
      <c r="FI214" s="35"/>
      <c r="FJ214" s="35"/>
      <c r="FK214" s="35"/>
      <c r="FL214" s="35"/>
      <c r="FM214" s="35"/>
      <c r="FN214" s="35"/>
      <c r="FO214" s="35"/>
      <c r="FP214" s="35"/>
      <c r="FQ214" s="35"/>
    </row>
    <row r="215" spans="1:173" outlineLevel="1">
      <c r="B215" s="35" t="s">
        <v>791</v>
      </c>
      <c r="D215" s="162" t="s">
        <v>907</v>
      </c>
      <c r="BA215" s="35"/>
      <c r="BB215" s="35"/>
      <c r="BC215" s="322"/>
      <c r="BD215" s="35"/>
      <c r="BE215" s="35"/>
      <c r="BG215" s="35"/>
      <c r="BH215" s="35"/>
      <c r="BJ215" s="35"/>
      <c r="BK215" s="35"/>
      <c r="BL215" s="31"/>
      <c r="BM215" s="190">
        <f t="shared" ref="BM215:CR215" si="1285">BM213*BM81</f>
        <v>1041.3727429223911</v>
      </c>
      <c r="BN215" s="190">
        <f t="shared" si="1285"/>
        <v>939.80096969218596</v>
      </c>
      <c r="BO215" s="973">
        <f t="shared" si="1285"/>
        <v>973.39951204339695</v>
      </c>
      <c r="BP215" s="190">
        <f t="shared" si="1285"/>
        <v>1174.7512121152324</v>
      </c>
      <c r="BQ215" s="190">
        <f t="shared" si="1285"/>
        <v>1034.7600260048339</v>
      </c>
      <c r="BR215" s="973">
        <f t="shared" si="1285"/>
        <v>1083.2521814185145</v>
      </c>
      <c r="BS215" s="190">
        <f t="shared" si="1285"/>
        <v>1961.6540808408197</v>
      </c>
      <c r="BT215" s="190">
        <f t="shared" si="1285"/>
        <v>1588.614813413996</v>
      </c>
      <c r="BU215" s="190">
        <f t="shared" si="1285"/>
        <v>1760.5405809295683</v>
      </c>
      <c r="BV215" s="190">
        <f t="shared" si="1285"/>
        <v>2139.2461912158842</v>
      </c>
      <c r="BW215" s="190">
        <f t="shared" si="1285"/>
        <v>1852.4192927580107</v>
      </c>
      <c r="BX215" s="190">
        <f t="shared" si="1285"/>
        <v>2054.8357815318959</v>
      </c>
      <c r="BY215" s="190">
        <f t="shared" si="1285"/>
        <v>2579.2442414218349</v>
      </c>
      <c r="BZ215" s="190">
        <f t="shared" si="1285"/>
        <v>1706.2198188303164</v>
      </c>
      <c r="CA215" s="190">
        <f t="shared" si="1285"/>
        <v>2192.6770345639188</v>
      </c>
      <c r="CB215" s="190">
        <f t="shared" si="1285"/>
        <v>2330.6824738760129</v>
      </c>
      <c r="CC215" s="190">
        <f t="shared" si="1285"/>
        <v>1891.8565351190546</v>
      </c>
      <c r="CD215" s="190">
        <f t="shared" si="1285"/>
        <v>2102.7237550082345</v>
      </c>
      <c r="CE215" s="190">
        <f t="shared" si="1285"/>
        <v>2009.5960028624841</v>
      </c>
      <c r="CF215" s="190">
        <f t="shared" si="1285"/>
        <v>1960.7779666218134</v>
      </c>
      <c r="CG215" s="190">
        <f t="shared" si="1285"/>
        <v>2157.2572149991965</v>
      </c>
      <c r="CH215" s="190">
        <f t="shared" si="1285"/>
        <v>2084.5952899487561</v>
      </c>
      <c r="CI215" s="190">
        <f t="shared" si="1285"/>
        <v>1680.1230426113207</v>
      </c>
      <c r="CJ215" s="190">
        <f t="shared" si="1285"/>
        <v>1872.7605039069124</v>
      </c>
      <c r="CK215" s="190">
        <f t="shared" si="1285"/>
        <v>2189.795311722949</v>
      </c>
      <c r="CL215" s="190">
        <f t="shared" si="1285"/>
        <v>2217.6434407429779</v>
      </c>
      <c r="CM215" s="190">
        <f t="shared" si="1285"/>
        <v>2204.527388954401</v>
      </c>
      <c r="CN215" s="190">
        <f t="shared" si="1285"/>
        <v>2904.9901458896829</v>
      </c>
      <c r="CO215" s="190">
        <f t="shared" si="1285"/>
        <v>2424.522756608234</v>
      </c>
      <c r="CP215" s="190">
        <f t="shared" si="1285"/>
        <v>2509.0109624345914</v>
      </c>
      <c r="CQ215" s="190">
        <f t="shared" si="1285"/>
        <v>2906.6683939728682</v>
      </c>
      <c r="CR215" s="190">
        <f t="shared" si="1285"/>
        <v>2642.2751086266294</v>
      </c>
      <c r="CS215" s="190">
        <f t="shared" ref="CS215:DU215" si="1286">CS213*CS81</f>
        <v>2612.8113896577556</v>
      </c>
      <c r="CT215" s="190">
        <f t="shared" si="1286"/>
        <v>2497.386358507581</v>
      </c>
      <c r="CU215" s="190">
        <f t="shared" si="1286"/>
        <v>2079.708315248934</v>
      </c>
      <c r="CV215" s="190">
        <f t="shared" si="1286"/>
        <v>2288.4784687527131</v>
      </c>
      <c r="CW215" s="190">
        <f t="shared" si="1286"/>
        <v>2258.8859612701071</v>
      </c>
      <c r="CX215" s="190">
        <f t="shared" si="1286"/>
        <v>2127.5416064996593</v>
      </c>
      <c r="CY215" s="190">
        <f t="shared" si="1286"/>
        <v>2190.0306352157027</v>
      </c>
      <c r="CZ215" s="190">
        <f t="shared" si="1286"/>
        <v>2233.5783945313451</v>
      </c>
      <c r="DA215" s="190">
        <f t="shared" si="1286"/>
        <v>1871.1961937077272</v>
      </c>
      <c r="DB215" s="190">
        <f t="shared" si="1286"/>
        <v>2050.4329560035176</v>
      </c>
      <c r="DC215" s="190">
        <f t="shared" si="1286"/>
        <v>2129.7873590905892</v>
      </c>
      <c r="DD215" s="190">
        <f t="shared" si="1286"/>
        <v>1850.6719894220103</v>
      </c>
      <c r="DE215" s="190">
        <f t="shared" si="1286"/>
        <v>1988.0830748974906</v>
      </c>
      <c r="DF215" s="190">
        <f t="shared" si="1286"/>
        <v>2114.8788475769552</v>
      </c>
      <c r="DG215" s="190">
        <f t="shared" si="1286"/>
        <v>2128.2727878353116</v>
      </c>
      <c r="DH215" s="1060">
        <f t="shared" si="1286"/>
        <v>2122.6134757977379</v>
      </c>
      <c r="DI215" s="190">
        <f t="shared" si="1286"/>
        <v>2541.0269353637118</v>
      </c>
      <c r="DJ215" s="190">
        <f t="shared" si="1286"/>
        <v>1909.0606906882745</v>
      </c>
      <c r="DK215" s="1060">
        <f t="shared" si="1286"/>
        <v>2166.5805456376042</v>
      </c>
      <c r="DL215" s="234">
        <f t="shared" si="1286"/>
        <v>2259.396450027567</v>
      </c>
      <c r="DM215" s="234">
        <f t="shared" si="1286"/>
        <v>1649.4284367546691</v>
      </c>
      <c r="DN215" s="1060">
        <f t="shared" si="1286"/>
        <v>1891.0619349864464</v>
      </c>
      <c r="DO215" s="234">
        <f t="shared" si="1286"/>
        <v>2002.6468534335254</v>
      </c>
      <c r="DP215" s="234">
        <f t="shared" si="1286"/>
        <v>1832.6982630607436</v>
      </c>
      <c r="DQ215" s="1060">
        <f t="shared" si="1286"/>
        <v>1867.9009049155904</v>
      </c>
      <c r="DR215" s="234">
        <f t="shared" si="1286"/>
        <v>2092.7659618380339</v>
      </c>
      <c r="DS215" s="234">
        <f t="shared" si="1286"/>
        <v>1632.2468905384746</v>
      </c>
      <c r="DT215" s="1060">
        <f t="shared" si="1286"/>
        <v>1780.7911040483514</v>
      </c>
      <c r="DU215" s="234">
        <f t="shared" si="1286"/>
        <v>2009.0553233645126</v>
      </c>
      <c r="DV215" s="234">
        <f t="shared" ref="DV215:DX215" si="1287">DV213*DV81</f>
        <v>1469.0222014846272</v>
      </c>
      <c r="DW215" s="1060">
        <f t="shared" si="1287"/>
        <v>1719.8185928699595</v>
      </c>
      <c r="DX215" s="234">
        <f t="shared" si="1287"/>
        <v>1928.6931104299319</v>
      </c>
      <c r="DY215" s="234">
        <f t="shared" ref="DY215:ER215" si="1288">DY213*DY81</f>
        <v>1410.2613134252422</v>
      </c>
      <c r="DZ215" s="1060">
        <f t="shared" si="1288"/>
        <v>1622.9728422991902</v>
      </c>
      <c r="EA215" s="234">
        <f t="shared" si="1288"/>
        <v>1851.5453860127345</v>
      </c>
      <c r="EB215" s="234">
        <f t="shared" si="1288"/>
        <v>1353.8508608882323</v>
      </c>
      <c r="EC215" s="1060">
        <f t="shared" si="1288"/>
        <v>1564.7773766298828</v>
      </c>
      <c r="ED215" s="234">
        <f t="shared" si="1288"/>
        <v>1777.4835705722248</v>
      </c>
      <c r="EE215" s="234">
        <f t="shared" si="1288"/>
        <v>1299.6968264527031</v>
      </c>
      <c r="EF215" s="1060">
        <f t="shared" si="1288"/>
        <v>1502.1862815646873</v>
      </c>
      <c r="EG215" s="234">
        <f t="shared" si="1288"/>
        <v>1706.3842277493359</v>
      </c>
      <c r="EH215" s="234">
        <f t="shared" si="1288"/>
        <v>1247.7089533945948</v>
      </c>
      <c r="EI215" s="1060">
        <f t="shared" si="1288"/>
        <v>1442.0988303020999</v>
      </c>
      <c r="EJ215" s="234">
        <f t="shared" si="1288"/>
        <v>1638.1288586393625</v>
      </c>
      <c r="EK215" s="234">
        <f t="shared" si="1288"/>
        <v>1197.800595258811</v>
      </c>
      <c r="EL215" s="1060">
        <f t="shared" si="1288"/>
        <v>1384.4148770900156</v>
      </c>
      <c r="EM215" s="234">
        <f t="shared" si="1288"/>
        <v>1572.6037042937878</v>
      </c>
      <c r="EN215" s="234">
        <f t="shared" si="1288"/>
        <v>1149.8885714484584</v>
      </c>
      <c r="EO215" s="1060">
        <f t="shared" si="1288"/>
        <v>1329.0382820064151</v>
      </c>
      <c r="EP215" s="234">
        <f t="shared" si="1288"/>
        <v>1509.6995561220363</v>
      </c>
      <c r="EQ215" s="234">
        <f t="shared" si="1288"/>
        <v>1103.8930285905201</v>
      </c>
      <c r="ER215" s="1060">
        <f t="shared" si="1288"/>
        <v>1275.8767507261582</v>
      </c>
      <c r="ES215" s="234">
        <f t="shared" ref="ES215:EX215" si="1289">ES213*ES81</f>
        <v>1449.3115738771548</v>
      </c>
      <c r="ET215" s="234">
        <f t="shared" si="1289"/>
        <v>1059.7373074468992</v>
      </c>
      <c r="EU215" s="1060">
        <f t="shared" si="1289"/>
        <v>1224.841680697112</v>
      </c>
      <c r="EV215" s="234">
        <f t="shared" si="1289"/>
        <v>1391.3391109220686</v>
      </c>
      <c r="EW215" s="234">
        <f t="shared" si="1289"/>
        <v>1017.3478151490232</v>
      </c>
      <c r="EX215" s="1060">
        <f t="shared" si="1289"/>
        <v>1175.8480134692275</v>
      </c>
      <c r="EY215" s="234">
        <f t="shared" ref="EY215:FA215" si="1290">EY213*EY81</f>
        <v>1335.6855464851858</v>
      </c>
      <c r="EZ215" s="234">
        <f t="shared" si="1290"/>
        <v>976.65390254306215</v>
      </c>
      <c r="FA215" s="1060">
        <f t="shared" si="1290"/>
        <v>1128.8140929304582</v>
      </c>
    </row>
    <row r="216" spans="1:173" outlineLevel="1">
      <c r="B216" s="31"/>
      <c r="BA216" s="35"/>
      <c r="BB216" s="35"/>
      <c r="BC216" s="322"/>
      <c r="BD216" s="35"/>
      <c r="BE216" s="35"/>
      <c r="BG216" s="35"/>
      <c r="BH216" s="35"/>
      <c r="BJ216" s="35"/>
      <c r="BK216" s="35"/>
      <c r="BL216" s="31"/>
      <c r="BM216" s="35"/>
      <c r="BN216" s="35"/>
      <c r="BO216" s="31"/>
      <c r="BP216" s="35"/>
      <c r="BQ216" s="35"/>
      <c r="BR216" s="1024"/>
      <c r="BS216" s="74"/>
      <c r="BT216" s="70"/>
      <c r="BU216" s="74"/>
      <c r="BV216" s="74"/>
      <c r="BW216" s="74"/>
      <c r="BX216" s="74"/>
      <c r="BY216" s="70"/>
      <c r="BZ216" s="70"/>
      <c r="CA216" s="70"/>
      <c r="CB216" s="70"/>
      <c r="CC216" s="70"/>
      <c r="CD216" s="70"/>
      <c r="CE216" s="70"/>
      <c r="CF216" s="70"/>
      <c r="CG216" s="70"/>
      <c r="CH216" s="70"/>
      <c r="CI216" s="70"/>
      <c r="CJ216" s="70"/>
      <c r="CK216" s="35"/>
      <c r="CL216" s="35"/>
      <c r="CN216" s="35"/>
      <c r="CO216" s="35"/>
      <c r="CQ216" s="35"/>
      <c r="CR216" s="35"/>
      <c r="CT216" s="35"/>
      <c r="CU216" s="35"/>
      <c r="CW216" s="35"/>
      <c r="CX216" s="35"/>
      <c r="CZ216" s="35"/>
      <c r="DA216" s="35"/>
      <c r="DC216" s="35"/>
      <c r="DD216" s="35"/>
      <c r="DF216" s="35"/>
      <c r="DG216" s="35"/>
      <c r="DH216" s="1067"/>
      <c r="DI216" s="35"/>
      <c r="DJ216" s="35"/>
      <c r="DK216" s="1067"/>
      <c r="DL216" s="35"/>
      <c r="DM216" s="35"/>
      <c r="DN216" s="1067"/>
      <c r="DO216" s="35"/>
      <c r="DP216" s="35"/>
      <c r="DQ216" s="1067"/>
      <c r="DR216" s="35"/>
      <c r="DS216" s="35"/>
      <c r="DT216" s="1067"/>
      <c r="DU216" s="35"/>
      <c r="DV216" s="35"/>
      <c r="DW216" s="1067"/>
      <c r="DX216" s="35"/>
      <c r="DY216" s="35"/>
      <c r="DZ216" s="1067"/>
      <c r="EA216" s="35"/>
      <c r="EB216" s="35"/>
      <c r="EC216" s="1067"/>
      <c r="ED216" s="35"/>
      <c r="EE216" s="35"/>
      <c r="EF216" s="1067"/>
      <c r="EG216" s="35"/>
      <c r="EH216" s="35"/>
      <c r="EI216" s="1067"/>
      <c r="EJ216" s="35"/>
      <c r="EK216" s="35"/>
      <c r="EL216" s="1067"/>
      <c r="EM216" s="35"/>
      <c r="EN216" s="35"/>
      <c r="EO216" s="1067"/>
      <c r="EP216" s="35"/>
      <c r="EQ216" s="35"/>
      <c r="ER216" s="1067"/>
      <c r="ES216" s="35"/>
      <c r="ET216" s="35"/>
      <c r="EU216" s="1067"/>
      <c r="EV216" s="35"/>
      <c r="EW216" s="35"/>
      <c r="EX216" s="1067"/>
      <c r="EY216" s="35"/>
      <c r="EZ216" s="35"/>
      <c r="FA216" s="1067"/>
    </row>
    <row r="217" spans="1:173" outlineLevel="1">
      <c r="B217" s="35" t="s">
        <v>429</v>
      </c>
      <c r="D217" s="162" t="s">
        <v>39</v>
      </c>
      <c r="BA217" s="35"/>
      <c r="BB217" s="35"/>
      <c r="BC217" s="322"/>
      <c r="BD217" s="35"/>
      <c r="BE217" s="35"/>
      <c r="BG217" s="35"/>
      <c r="BH217" s="35"/>
      <c r="BJ217" s="35"/>
      <c r="BK217" s="35"/>
      <c r="BL217" s="31"/>
      <c r="BM217" s="190">
        <f>BM215*BM183/1000000</f>
        <v>1.2281533580929511</v>
      </c>
      <c r="BN217" s="190">
        <f>BN215*BN183/1000000</f>
        <v>1.4519564098171911</v>
      </c>
      <c r="BO217" s="973">
        <f>SUM(BM217:BN217)</f>
        <v>2.6801097679101424</v>
      </c>
      <c r="BP217" s="190">
        <f>BP215*BP183/1000000</f>
        <v>1.7318182369002753</v>
      </c>
      <c r="BQ217" s="190">
        <f>BQ215*BQ183/1000000</f>
        <v>1.6017153918531424</v>
      </c>
      <c r="BR217" s="973">
        <f>SUM(BP217:BQ217)</f>
        <v>3.3335336287534174</v>
      </c>
      <c r="BS217" s="190">
        <f>BS215*BS183/1000000</f>
        <v>3.737957447658494</v>
      </c>
      <c r="BT217" s="190">
        <f>BT215*BT183/1000000</f>
        <v>2.9744732883320695</v>
      </c>
      <c r="BU217" s="190">
        <f>SUM(BS217:BT217)</f>
        <v>6.7124307359905639</v>
      </c>
      <c r="BV217" s="190">
        <f>BV215*BV183/1000000</f>
        <v>4.761589602369483</v>
      </c>
      <c r="BW217" s="190">
        <f>BW215*BW183/1000000</f>
        <v>4.0451051800604434</v>
      </c>
      <c r="BX217" s="190">
        <f>SUM(BV217:BW217)</f>
        <v>8.8066947824299255</v>
      </c>
      <c r="BY217" s="190">
        <f>BY215*BY183/1000000</f>
        <v>6.8154548991969728</v>
      </c>
      <c r="BZ217" s="190">
        <f>BZ215*BZ183/1000000</f>
        <v>4.2145549039879411</v>
      </c>
      <c r="CA217" s="190">
        <f>SUM(BY217:BZ217)</f>
        <v>11.030009803184914</v>
      </c>
      <c r="CB217" s="190">
        <f>CB215*CB183/1000000</f>
        <v>6.5900629087761846</v>
      </c>
      <c r="CC217" s="190">
        <f>CC215*CC183/1000000</f>
        <v>4.8575924054351791</v>
      </c>
      <c r="CD217" s="190">
        <f>SUM(CB217:CC217)</f>
        <v>11.447655314211364</v>
      </c>
      <c r="CE217" s="190">
        <f>CE215*CE183/1000000</f>
        <v>5.1778891604704427</v>
      </c>
      <c r="CF217" s="190">
        <f>CF215*CF183/1000000</f>
        <v>4.6666822127732406</v>
      </c>
      <c r="CG217" s="190">
        <f>SUM(CE217:CF217)</f>
        <v>9.8445713732436833</v>
      </c>
      <c r="CH217" s="190">
        <f>CH215*CH183/1000000</f>
        <v>5.7471101526117341</v>
      </c>
      <c r="CI217" s="190">
        <f>CI215*CI183/1000000</f>
        <v>4.0428713696509302</v>
      </c>
      <c r="CJ217" s="190">
        <f>SUM(CH217:CI217)</f>
        <v>9.7899815222626643</v>
      </c>
      <c r="CK217" s="190">
        <f>CK215*CK183/1000000</f>
        <v>6.1038003056879351</v>
      </c>
      <c r="CL217" s="190">
        <f>CL215*CL183/1000000</f>
        <v>5.3952252598506307</v>
      </c>
      <c r="CM217" s="190">
        <f>SUM(CK217:CL217)</f>
        <v>11.499025565538567</v>
      </c>
      <c r="CN217" s="190">
        <f>CN215*CN183/1000000</f>
        <v>8.1867303214037879</v>
      </c>
      <c r="CO217" s="190">
        <f>CO215*CO183/1000000</f>
        <v>5.9636638026373392</v>
      </c>
      <c r="CP217" s="190">
        <f>SUM(CN217:CO217)</f>
        <v>14.150394124041128</v>
      </c>
      <c r="CQ217" s="190">
        <f>CQ215*CQ183/1000000</f>
        <v>10.282167194810469</v>
      </c>
      <c r="CR217" s="190">
        <f>CR215*CR183/1000000</f>
        <v>7.3959786143775936</v>
      </c>
      <c r="CS217" s="190">
        <f>SUM(CQ217:CR217)</f>
        <v>17.678145809188063</v>
      </c>
      <c r="CT217" s="190">
        <f>CT215*CT183/1000000</f>
        <v>10.175716428343669</v>
      </c>
      <c r="CU217" s="190">
        <f>CU215*CU183/1000000</f>
        <v>6.7302725972378212</v>
      </c>
      <c r="CV217" s="190">
        <f>SUM(CT217:CU217)</f>
        <v>16.905989025581491</v>
      </c>
      <c r="CW217" s="190">
        <f>CW215*CW183/1000000</f>
        <v>10.602933706871248</v>
      </c>
      <c r="CX217" s="190">
        <f>CX215*CX183/1000000</f>
        <v>8.7338977029220501</v>
      </c>
      <c r="CY217" s="190">
        <f>SUM(CW217:CX217)</f>
        <v>19.336831409793298</v>
      </c>
      <c r="CZ217" s="190">
        <f>CZ215*CZ183/1000000</f>
        <v>10.900000816886656</v>
      </c>
      <c r="DA217" s="190">
        <f>DA215*DA183/1000000</f>
        <v>7.4059061873240095</v>
      </c>
      <c r="DB217" s="190">
        <f>SUM(CZ217:DA217)</f>
        <v>18.305907004210667</v>
      </c>
      <c r="DC217" s="190">
        <f>DC215*DC183/1000000</f>
        <v>9.2968236708345398</v>
      </c>
      <c r="DD217" s="190">
        <f>DD215*DD183/1000000</f>
        <v>5.9698411828075955</v>
      </c>
      <c r="DE217" s="190">
        <f>SUM(DC217:DD217)</f>
        <v>15.266664853642135</v>
      </c>
      <c r="DF217" s="190">
        <f>DF215*DF183/1000000</f>
        <v>8.7239998803560699</v>
      </c>
      <c r="DG217" s="190">
        <f>DG215*DG183/1000000</f>
        <v>3.5857550738766792</v>
      </c>
      <c r="DH217" s="1080">
        <f>SUM(DF217:DG217)</f>
        <v>12.30975495423275</v>
      </c>
      <c r="DI217" s="190">
        <f>DI215*DI183/1000000</f>
        <v>13.321321158490282</v>
      </c>
      <c r="DJ217" s="190">
        <f>DJ215*DJ183/1000000</f>
        <v>8.4568045477915543</v>
      </c>
      <c r="DK217" s="1080">
        <f>SUM(DI217:DJ217)</f>
        <v>21.778125706281834</v>
      </c>
      <c r="DL217" s="184">
        <f>DL215*DL183/1000000</f>
        <v>15.312993269403258</v>
      </c>
      <c r="DM217" s="184">
        <f>DM215*DM183/1000000</f>
        <v>8.8495363333525727</v>
      </c>
      <c r="DN217" s="1119">
        <f>SUM(DL217:DM217)</f>
        <v>24.162529602755832</v>
      </c>
      <c r="DO217" s="184">
        <f>DO215*DO183/1000000</f>
        <v>15.837256569461601</v>
      </c>
      <c r="DP217" s="184">
        <f>DP215*DP183/1000000</f>
        <v>11.455418976910297</v>
      </c>
      <c r="DQ217" s="1119">
        <f>SUM(DO217:DP217)</f>
        <v>27.292675546371896</v>
      </c>
      <c r="DR217" s="184">
        <f>DR215*DR183/1000000</f>
        <v>16.330781823029298</v>
      </c>
      <c r="DS217" s="184">
        <f>DS215*DS183/1000000</f>
        <v>11.315136593403532</v>
      </c>
      <c r="DT217" s="1119">
        <f>SUM(DR217:DS217)</f>
        <v>27.645918416432828</v>
      </c>
      <c r="DU217" s="184">
        <f>DU215*DU183/1000000</f>
        <v>18.13630853259404</v>
      </c>
      <c r="DV217" s="184">
        <f>DV215*DV183/1000000</f>
        <v>9.1963185515318333</v>
      </c>
      <c r="DW217" s="1119">
        <f>SUM(DU217:DV217)</f>
        <v>27.332627084125875</v>
      </c>
      <c r="DX217" s="184">
        <f>DX215*DX183/1000000</f>
        <v>17.630132871640075</v>
      </c>
      <c r="DY217" s="184">
        <f>DY215*DY183/1000000</f>
        <v>9.932024035654381</v>
      </c>
      <c r="DZ217" s="1119">
        <f>SUM(DX217:DY217)</f>
        <v>27.562156907294458</v>
      </c>
      <c r="EA217" s="184">
        <f>EA215*EA183/1000000</f>
        <v>18.786669588019667</v>
      </c>
      <c r="EB217" s="184">
        <f>EB215*EB183/1000000</f>
        <v>10.011480227939614</v>
      </c>
      <c r="EC217" s="1119">
        <f>SUM(EA217:EB217)</f>
        <v>28.798149815959281</v>
      </c>
      <c r="ED217" s="184">
        <f>ED215*ED183/1000000</f>
        <v>19.297667000813796</v>
      </c>
      <c r="EE217" s="184">
        <f>EE215*EE183/1000000</f>
        <v>10.283792490139573</v>
      </c>
      <c r="EF217" s="1119">
        <f>SUM(ED217:EE217)</f>
        <v>29.581459490953371</v>
      </c>
      <c r="EG217" s="184">
        <f>EG215*EG183/1000000</f>
        <v>20.193078749651558</v>
      </c>
      <c r="EH217" s="184">
        <f>EH215*EH183/1000000</f>
        <v>10.760960461682048</v>
      </c>
      <c r="EI217" s="1119">
        <f>SUM(EG217:EH217)</f>
        <v>30.954039211333608</v>
      </c>
      <c r="EJ217" s="184">
        <f>EJ215*EJ183/1000000</f>
        <v>21.130037603635394</v>
      </c>
      <c r="EK217" s="184">
        <f>EK215*EK183/1000000</f>
        <v>11.260269027104094</v>
      </c>
      <c r="EL217" s="1119">
        <f>SUM(EJ217:EK217)</f>
        <v>32.390306630739488</v>
      </c>
      <c r="EM217" s="184">
        <f>EM215*EM183/1000000</f>
        <v>22.110471348444076</v>
      </c>
      <c r="EN217" s="184">
        <f>EN215*EN183/1000000</f>
        <v>11.782745509961725</v>
      </c>
      <c r="EO217" s="1119">
        <f>SUM(EM217:EN217)</f>
        <v>33.8932168584058</v>
      </c>
      <c r="EP217" s="184">
        <f>EP215*EP183/1000000</f>
        <v>23.136397219011879</v>
      </c>
      <c r="EQ217" s="184">
        <f>EQ215*EQ183/1000000</f>
        <v>12.329464901623949</v>
      </c>
      <c r="ER217" s="1119">
        <f>SUM(EP217:EQ217)</f>
        <v>35.465862120635826</v>
      </c>
      <c r="ES217" s="184">
        <f>ES215*ES183/1000000</f>
        <v>24.209926049974037</v>
      </c>
      <c r="ET217" s="184">
        <f>ET215*ET183/1000000</f>
        <v>12.901552073059301</v>
      </c>
      <c r="EU217" s="1119">
        <f>SUM(ES217:ET217)</f>
        <v>37.111478123033336</v>
      </c>
      <c r="EV217" s="184">
        <f>EV215*EV183/1000000</f>
        <v>25.333266618692836</v>
      </c>
      <c r="EW217" s="184">
        <f>EW215*EW183/1000000</f>
        <v>13.500184089249252</v>
      </c>
      <c r="EX217" s="1119">
        <f>SUM(EV217:EW217)</f>
        <v>38.833450707942092</v>
      </c>
      <c r="EY217" s="184">
        <f>EY215*EY183/1000000</f>
        <v>26.508730189800183</v>
      </c>
      <c r="EZ217" s="184">
        <f>EZ215*EZ183/1000000</f>
        <v>14.12659263099042</v>
      </c>
      <c r="FA217" s="1119">
        <f>SUM(EY217:EZ217)</f>
        <v>40.635322820790606</v>
      </c>
    </row>
    <row r="218" spans="1:173" outlineLevel="1">
      <c r="D218" s="162" t="s">
        <v>604</v>
      </c>
      <c r="BA218" s="35"/>
      <c r="BB218" s="35"/>
      <c r="BC218" s="322"/>
      <c r="BD218" s="35"/>
      <c r="BE218" s="35"/>
      <c r="BG218" s="35"/>
      <c r="BH218" s="35"/>
      <c r="BJ218" s="35"/>
      <c r="BK218" s="35"/>
      <c r="BL218" s="31"/>
      <c r="BM218" s="190">
        <f>BM217/BM75</f>
        <v>1.6766598745296259</v>
      </c>
      <c r="BN218" s="190">
        <f>BN217/BN75</f>
        <v>1.8856576750872611</v>
      </c>
      <c r="BO218" s="973">
        <f>SUM(BM218:BN218)</f>
        <v>3.5623175496168873</v>
      </c>
      <c r="BP218" s="190">
        <f>BP217/BP75</f>
        <v>2.3402949147301015</v>
      </c>
      <c r="BQ218" s="190">
        <f>BQ217/BQ75</f>
        <v>2.1356205224708567</v>
      </c>
      <c r="BR218" s="973">
        <f>SUM(BP218:BQ218)</f>
        <v>4.4759154372009586</v>
      </c>
      <c r="BS218" s="190">
        <f>BS217/BS75</f>
        <v>4.983943263544659</v>
      </c>
      <c r="BT218" s="190">
        <f>BT217/BT75</f>
        <v>3.7180916104150867</v>
      </c>
      <c r="BU218" s="190">
        <f>SUM(BS218:BT218)</f>
        <v>8.7020348739597466</v>
      </c>
      <c r="BV218" s="190">
        <f>BV217/BV75</f>
        <v>5.4808402711528741</v>
      </c>
      <c r="BW218" s="190">
        <f>BW217/BW75</f>
        <v>4.3825624919398081</v>
      </c>
      <c r="BX218" s="190">
        <f>SUM(BV218:BW218)</f>
        <v>9.863402763092683</v>
      </c>
      <c r="BY218" s="190">
        <f>BY217/BY75</f>
        <v>8.5193186239962149</v>
      </c>
      <c r="BZ218" s="190">
        <f>BZ217/BZ75</f>
        <v>4.721979534878046</v>
      </c>
      <c r="CA218" s="190">
        <f>SUM(BY218:BZ218)</f>
        <v>13.241298158874262</v>
      </c>
      <c r="CB218" s="190">
        <f>CB217/CB75</f>
        <v>7.5614385263772173</v>
      </c>
      <c r="CC218" s="190">
        <f>CC217/CC75</f>
        <v>5.4424375645313852</v>
      </c>
      <c r="CD218" s="190">
        <f>SUM(CB218:CC218)</f>
        <v>13.003876090908602</v>
      </c>
      <c r="CE218" s="190">
        <f>CE217/CE75</f>
        <v>5.4899437622397542</v>
      </c>
      <c r="CF218" s="190">
        <f>CF217/CF75</f>
        <v>4.4754851073916555</v>
      </c>
      <c r="CG218" s="190">
        <f>SUM(CE218:CF218)</f>
        <v>9.9654288696314097</v>
      </c>
      <c r="CH218" s="190">
        <f>CH217/CH75</f>
        <v>5.579718594768674</v>
      </c>
      <c r="CI218" s="190">
        <f>CI217/CI75</f>
        <v>3.9251178346125535</v>
      </c>
      <c r="CJ218" s="190">
        <f>SUM(CH218:CI218)</f>
        <v>9.5048364293812284</v>
      </c>
      <c r="CK218" s="190">
        <f>CK217/CK75</f>
        <v>5.9484386024976628</v>
      </c>
      <c r="CL218" s="190">
        <f>CL217/CL75</f>
        <v>5.2727139359103834</v>
      </c>
      <c r="CM218" s="190">
        <f>SUM(CK218:CL218)</f>
        <v>11.221152538408045</v>
      </c>
      <c r="CN218" s="190">
        <f>CN217/CN75</f>
        <v>9.1985733948357158</v>
      </c>
      <c r="CO218" s="190">
        <f>CO217/CO75</f>
        <v>6.5169420843373489</v>
      </c>
      <c r="CP218" s="190">
        <f>SUM(CN218:CO218)</f>
        <v>15.715515479173064</v>
      </c>
      <c r="CQ218" s="190">
        <f>CQ217/CQ75</f>
        <v>11.552996848101651</v>
      </c>
      <c r="CR218" s="190">
        <f>CR217/CR75</f>
        <v>9.9945656951048569</v>
      </c>
      <c r="CS218" s="190">
        <f>SUM(CQ218:CR218)</f>
        <v>21.54756254320651</v>
      </c>
      <c r="CT218" s="190">
        <f>CT217/CT75</f>
        <v>14.080393214809845</v>
      </c>
      <c r="CU218" s="190">
        <f>CU217/CU75</f>
        <v>9.1743452052609005</v>
      </c>
      <c r="CV218" s="190">
        <f>SUM(CT218:CU218)</f>
        <v>23.254738420070744</v>
      </c>
      <c r="CW218" s="190">
        <f>CW217/CW75</f>
        <v>14.070805287160285</v>
      </c>
      <c r="CX218" s="190">
        <f>CX217/CX75</f>
        <v>11.578528184763762</v>
      </c>
      <c r="CY218" s="190">
        <f>SUM(CW218:CX218)</f>
        <v>25.649333471924045</v>
      </c>
      <c r="CZ218" s="190">
        <f>CZ217/CZ75</f>
        <v>13.9858810952282</v>
      </c>
      <c r="DA218" s="190">
        <f>DA217/DA75</f>
        <v>9.7208018143915247</v>
      </c>
      <c r="DB218" s="190">
        <f>SUM(CZ218:DA218)</f>
        <v>23.706682909619722</v>
      </c>
      <c r="DC218" s="190">
        <f>DC217/DC75</f>
        <v>12.84237119512782</v>
      </c>
      <c r="DD218" s="190">
        <f>DD217/DD75</f>
        <v>8.3249772455830371</v>
      </c>
      <c r="DE218" s="190">
        <f>SUM(DC218:DD218)</f>
        <v>21.167348440710857</v>
      </c>
      <c r="DF218" s="190">
        <f>DF217/DF75</f>
        <v>12.669183677542939</v>
      </c>
      <c r="DG218" s="190">
        <f>DG217/DG75</f>
        <v>5.4329622331464833</v>
      </c>
      <c r="DH218" s="1080">
        <f>SUM(DF218:DG218)</f>
        <v>18.102145910689423</v>
      </c>
      <c r="DI218" s="190">
        <f>DI217/DI75</f>
        <v>18.42348808129174</v>
      </c>
      <c r="DJ218" s="190">
        <f>DJ217/DJ75</f>
        <v>11.401430064114384</v>
      </c>
      <c r="DK218" s="1080">
        <f>SUM(DI218:DJ218)</f>
        <v>29.824918145406123</v>
      </c>
      <c r="DL218" s="184">
        <f>DL217/DL75</f>
        <v>21.268046207504526</v>
      </c>
      <c r="DM218" s="184">
        <f>DM217/DM75</f>
        <v>12.223116482531179</v>
      </c>
      <c r="DN218" s="1119">
        <f>SUM(DL218:DM218)</f>
        <v>33.491162690035708</v>
      </c>
      <c r="DO218" s="184">
        <f>DO217/DO75</f>
        <v>23.619666092870546</v>
      </c>
      <c r="DP218" s="184">
        <f>DP217/DP75</f>
        <v>16.934882626312884</v>
      </c>
      <c r="DQ218" s="1119">
        <f>SUM(DO218:DP218)</f>
        <v>40.55454871918343</v>
      </c>
      <c r="DR218" s="184">
        <f>DR217/DR75</f>
        <v>24.995530662972616</v>
      </c>
      <c r="DS218" s="184">
        <f>DS217/DS75</f>
        <v>17.183195114471765</v>
      </c>
      <c r="DT218" s="1119">
        <f>SUM(DR218:DS218)</f>
        <v>42.178725777444384</v>
      </c>
      <c r="DU218" s="184">
        <f>DU217/DU75</f>
        <v>27.41853819793856</v>
      </c>
      <c r="DV218" s="184">
        <f>DV217/DV75</f>
        <v>14.505234308409831</v>
      </c>
      <c r="DW218" s="1119">
        <f>SUM(DU218:DV218)</f>
        <v>41.923772506348392</v>
      </c>
      <c r="DX218" s="184">
        <f>DX217/DX75</f>
        <v>26.897726368568279</v>
      </c>
      <c r="DY218" s="184">
        <f>DY217/DY75</f>
        <v>13.929907483386229</v>
      </c>
      <c r="DZ218" s="1119">
        <f>SUM(DX218:DY218)</f>
        <v>40.827633851954509</v>
      </c>
      <c r="EA218" s="184">
        <f>EA217/EA75</f>
        <v>26.348765200588595</v>
      </c>
      <c r="EB218" s="184">
        <f>EB217/EB75</f>
        <v>14.041346743253317</v>
      </c>
      <c r="EC218" s="1119">
        <f>SUM(EA218:EB218)</f>
        <v>40.390111943841916</v>
      </c>
      <c r="ED218" s="184">
        <f>ED217/ED75</f>
        <v>27.065451614044594</v>
      </c>
      <c r="EE218" s="184">
        <f>EE217/EE75</f>
        <v>14.42327137466981</v>
      </c>
      <c r="EF218" s="1119">
        <f>SUM(ED218:EE218)</f>
        <v>41.4887229887144</v>
      </c>
      <c r="EG218" s="184">
        <f>EG217/EG75</f>
        <v>28.321288568936268</v>
      </c>
      <c r="EH218" s="184">
        <f>EH217/EH75</f>
        <v>15.092511166454486</v>
      </c>
      <c r="EI218" s="1119">
        <f>SUM(EG218:EH218)</f>
        <v>43.413799735390754</v>
      </c>
      <c r="EJ218" s="184">
        <f>EJ217/EJ75</f>
        <v>29.635396358534916</v>
      </c>
      <c r="EK218" s="184">
        <f>EK217/EK75</f>
        <v>15.792803684577972</v>
      </c>
      <c r="EL218" s="1119">
        <f>SUM(EJ218:EK218)</f>
        <v>45.428200043112888</v>
      </c>
      <c r="EM218" s="184">
        <f>EM217/EM75</f>
        <v>31.010478749570936</v>
      </c>
      <c r="EN218" s="184">
        <f>EN217/EN75</f>
        <v>16.525589775542393</v>
      </c>
      <c r="EO218" s="1119">
        <f>SUM(EM218:EN218)</f>
        <v>47.536068525113329</v>
      </c>
      <c r="EP218" s="184">
        <f>EP217/EP75</f>
        <v>32.449364963551027</v>
      </c>
      <c r="EQ218" s="184">
        <f>EQ217/EQ75</f>
        <v>17.29237714112756</v>
      </c>
      <c r="ER218" s="1119">
        <f>SUM(EP218:EQ218)</f>
        <v>49.741742104678586</v>
      </c>
      <c r="ES218" s="184">
        <f>ES217/ES75</f>
        <v>33.955015497859797</v>
      </c>
      <c r="ET218" s="184">
        <f>ET217/ET75</f>
        <v>18.094743440475881</v>
      </c>
      <c r="EU218" s="1119">
        <f>SUM(ES218:ET218)</f>
        <v>52.049758938335678</v>
      </c>
      <c r="EV218" s="184">
        <f>EV217/EV75</f>
        <v>35.530528216960498</v>
      </c>
      <c r="EW218" s="184">
        <f>EW217/EW75</f>
        <v>18.93433953611396</v>
      </c>
      <c r="EX218" s="1119">
        <f>SUM(EV218:EW218)</f>
        <v>54.464867753074458</v>
      </c>
      <c r="EY218" s="184">
        <f>EY217/EY75</f>
        <v>37.17914472622747</v>
      </c>
      <c r="EZ218" s="184">
        <f>EZ217/EZ75</f>
        <v>19.812892890589648</v>
      </c>
      <c r="FA218" s="1119">
        <f>SUM(EY218:EZ218)</f>
        <v>56.992037616817115</v>
      </c>
    </row>
    <row r="219" spans="1:173" outlineLevel="1">
      <c r="BA219" s="35"/>
      <c r="BB219" s="35"/>
      <c r="BC219" s="322"/>
      <c r="BD219" s="35"/>
      <c r="BE219" s="35"/>
      <c r="BG219" s="35"/>
      <c r="BH219" s="35"/>
      <c r="BJ219" s="35"/>
      <c r="BK219" s="35"/>
      <c r="BL219" s="31"/>
      <c r="BM219" s="190"/>
      <c r="BN219" s="190"/>
      <c r="BO219" s="973"/>
      <c r="BP219" s="190"/>
      <c r="BQ219" s="190"/>
      <c r="BR219" s="973"/>
      <c r="BS219" s="190"/>
      <c r="BT219" s="190"/>
      <c r="BU219" s="190"/>
      <c r="BV219" s="190"/>
      <c r="BW219" s="190"/>
      <c r="BX219" s="190"/>
      <c r="BY219" s="190"/>
      <c r="BZ219" s="190"/>
      <c r="CA219" s="190"/>
      <c r="CB219" s="190"/>
      <c r="CC219" s="190"/>
      <c r="CD219" s="190"/>
      <c r="CE219" s="190"/>
      <c r="CF219" s="190"/>
      <c r="CG219" s="190"/>
      <c r="CH219" s="190"/>
      <c r="CI219" s="190"/>
      <c r="CJ219" s="190"/>
      <c r="CK219" s="190"/>
      <c r="CL219" s="190"/>
      <c r="CM219" s="190"/>
      <c r="CN219" s="190"/>
      <c r="CO219" s="190"/>
      <c r="CP219" s="190"/>
      <c r="CQ219" s="190"/>
      <c r="CR219" s="190"/>
      <c r="CS219" s="190"/>
      <c r="CT219" s="190"/>
      <c r="CU219" s="190"/>
      <c r="CV219" s="190"/>
      <c r="CW219" s="190"/>
      <c r="CX219" s="190"/>
      <c r="CY219" s="190"/>
      <c r="CZ219" s="190"/>
      <c r="DA219" s="190"/>
      <c r="DB219" s="190"/>
      <c r="DC219" s="190"/>
      <c r="DD219" s="190"/>
      <c r="DE219" s="190"/>
      <c r="DF219" s="190"/>
      <c r="DG219" s="190"/>
      <c r="DH219" s="1080"/>
      <c r="DI219" s="190"/>
      <c r="DJ219" s="190"/>
      <c r="DK219" s="1080"/>
      <c r="DL219" s="184"/>
      <c r="DM219" s="184"/>
      <c r="DN219" s="1119"/>
      <c r="DO219" s="184"/>
      <c r="DP219" s="184"/>
      <c r="DQ219" s="1119"/>
      <c r="DR219" s="184"/>
      <c r="DS219" s="184"/>
      <c r="DT219" s="1119"/>
      <c r="DU219" s="184"/>
      <c r="DV219" s="184"/>
      <c r="DW219" s="1119"/>
      <c r="DX219" s="184"/>
      <c r="DY219" s="184"/>
      <c r="DZ219" s="1119"/>
      <c r="EA219" s="184"/>
      <c r="EB219" s="184"/>
      <c r="EC219" s="1119"/>
      <c r="ED219" s="184"/>
      <c r="EE219" s="184"/>
      <c r="EF219" s="1119"/>
      <c r="EG219" s="184"/>
      <c r="EH219" s="184"/>
      <c r="EI219" s="1119"/>
      <c r="EJ219" s="184"/>
      <c r="EK219" s="184"/>
      <c r="EL219" s="1119"/>
      <c r="EM219" s="184"/>
      <c r="EN219" s="184"/>
      <c r="EO219" s="1119"/>
      <c r="EP219" s="184"/>
      <c r="EQ219" s="184"/>
      <c r="ER219" s="1119"/>
      <c r="ES219" s="184"/>
      <c r="ET219" s="184"/>
      <c r="EU219" s="1119"/>
      <c r="EV219" s="184"/>
      <c r="EW219" s="184"/>
      <c r="EX219" s="1119"/>
      <c r="EY219" s="184"/>
      <c r="EZ219" s="184"/>
      <c r="FA219" s="1119"/>
    </row>
    <row r="220" spans="1:173" outlineLevel="1">
      <c r="B220" s="35" t="s">
        <v>486</v>
      </c>
      <c r="D220" s="162" t="s">
        <v>39</v>
      </c>
      <c r="BA220" s="35"/>
      <c r="BB220" s="35"/>
      <c r="BC220" s="322"/>
      <c r="BD220" s="35"/>
      <c r="BE220" s="35"/>
      <c r="BG220" s="35"/>
      <c r="BH220" s="35"/>
      <c r="BJ220" s="35"/>
      <c r="BK220" s="35"/>
      <c r="BL220" s="31"/>
      <c r="BM220" s="190">
        <f>BM188-BM217</f>
        <v>4.5964327637809479</v>
      </c>
      <c r="BN220" s="190">
        <f>BN188-BN217</f>
        <v>6.1782514098376167</v>
      </c>
      <c r="BO220" s="973">
        <f>SUM(BM220:BN220)</f>
        <v>10.774684173618564</v>
      </c>
      <c r="BP220" s="190">
        <f>BP188-BP217</f>
        <v>5.5489144154420984</v>
      </c>
      <c r="BQ220" s="190">
        <f>BQ188-BQ217</f>
        <v>6.0430538931063502</v>
      </c>
      <c r="BR220" s="973">
        <f>SUM(BP220:BQ220)</f>
        <v>11.591968308548449</v>
      </c>
      <c r="BS220" s="190">
        <f>BS188-BS217</f>
        <v>5.6729305401168011</v>
      </c>
      <c r="BT220" s="190">
        <f>BT188-BT217</f>
        <v>6.27272440744769</v>
      </c>
      <c r="BU220" s="190">
        <f>SUM(BS220:BT220)</f>
        <v>11.945654947564492</v>
      </c>
      <c r="BV220" s="190">
        <f>BV188-BV217</f>
        <v>6.2312494889938428</v>
      </c>
      <c r="BW220" s="190">
        <f>BW188-BW217</f>
        <v>6.7396229191890855</v>
      </c>
      <c r="BX220" s="190">
        <f>SUM(BV220:BW220)</f>
        <v>12.970872408182927</v>
      </c>
      <c r="BY220" s="190">
        <f>BY188-BY217</f>
        <v>6.2348619448278741</v>
      </c>
      <c r="BZ220" s="190">
        <f>BZ188-BZ217</f>
        <v>7.9847591247501439</v>
      </c>
      <c r="CA220" s="190">
        <f>SUM(BY220:BZ220)</f>
        <v>14.219621069578018</v>
      </c>
      <c r="CB220" s="190">
        <f>CB188-CB217</f>
        <v>7.3744286301726021</v>
      </c>
      <c r="CC220" s="190">
        <f>CC188-CC217</f>
        <v>7.8233505411574846</v>
      </c>
      <c r="CD220" s="190">
        <f>SUM(CB220:CC220)</f>
        <v>15.197779171330087</v>
      </c>
      <c r="CE220" s="190">
        <f>CE188-CE217</f>
        <v>7.5472537543966389</v>
      </c>
      <c r="CF220" s="190">
        <f>CF188-CF217</f>
        <v>9.4385335218089246</v>
      </c>
      <c r="CG220" s="190">
        <f>SUM(CE220:CF220)</f>
        <v>16.985787276205564</v>
      </c>
      <c r="CH220" s="190">
        <f>CH188-CH217</f>
        <v>7.3241566495397326</v>
      </c>
      <c r="CI220" s="190">
        <f>CI188-CI217</f>
        <v>10.146783738473751</v>
      </c>
      <c r="CJ220" s="190">
        <f>SUM(CH220:CI220)</f>
        <v>17.470940388013481</v>
      </c>
      <c r="CK220" s="190">
        <f>CK188-CK217</f>
        <v>7.4520039154339823</v>
      </c>
      <c r="CL220" s="190">
        <f>CL188-CL217</f>
        <v>9.5832020024044553</v>
      </c>
      <c r="CM220" s="190">
        <f>SUM(CK220:CL220)</f>
        <v>17.035205917838439</v>
      </c>
      <c r="CN220" s="190">
        <f>CN188-CN217</f>
        <v>5.5187516897350584</v>
      </c>
      <c r="CO220" s="190">
        <f>CO188-CO217</f>
        <v>9.1801492865279926</v>
      </c>
      <c r="CP220" s="190">
        <f>SUM(CN220:CO220)</f>
        <v>14.698900976263051</v>
      </c>
      <c r="CQ220" s="190">
        <f>CQ188-CQ217</f>
        <v>6.9213666479576652</v>
      </c>
      <c r="CR220" s="190">
        <f>CR188-CR217</f>
        <v>9.8372228944482494</v>
      </c>
      <c r="CS220" s="190">
        <f>SUM(CQ220:CR220)</f>
        <v>16.758589542405915</v>
      </c>
      <c r="CT220" s="190">
        <f>CT188-CT217</f>
        <v>9.6399075999331671</v>
      </c>
      <c r="CU220" s="190">
        <f>CU188-CU217</f>
        <v>13.193821297084732</v>
      </c>
      <c r="CV220" s="190">
        <f>SUM(CT220:CU220)</f>
        <v>22.833728897017899</v>
      </c>
      <c r="CW220" s="190">
        <f>CW188-CW217</f>
        <v>12.224665173703663</v>
      </c>
      <c r="CX220" s="190">
        <f>CX188-CX217</f>
        <v>16.540358990591539</v>
      </c>
      <c r="CY220" s="190">
        <f>SUM(CW220:CX220)</f>
        <v>28.765024164295202</v>
      </c>
      <c r="CZ220" s="190">
        <f>CZ188-CZ217</f>
        <v>12.833063894645946</v>
      </c>
      <c r="DA220" s="190">
        <f>DA188-DA217</f>
        <v>16.961383935012087</v>
      </c>
      <c r="DB220" s="190">
        <f>SUM(CZ220:DA220)</f>
        <v>29.794447829658033</v>
      </c>
      <c r="DC220" s="190">
        <f>DC188-DC217</f>
        <v>11.932044583501318</v>
      </c>
      <c r="DD220" s="190">
        <f>DD188-DD217</f>
        <v>13.890270157664347</v>
      </c>
      <c r="DE220" s="190">
        <f>SUM(DC220:DD220)</f>
        <v>25.822314741165663</v>
      </c>
      <c r="DF220" s="190">
        <f>DF188-DF217</f>
        <v>11.337280619991313</v>
      </c>
      <c r="DG220" s="190">
        <f>DG188-DG217</f>
        <v>6.7871805487935593</v>
      </c>
      <c r="DH220" s="1060">
        <f>SUM(DF220:DG220)</f>
        <v>18.124461168784872</v>
      </c>
      <c r="DI220" s="190">
        <f>DI188-DI217</f>
        <v>13.449138114180911</v>
      </c>
      <c r="DJ220" s="190">
        <f>DJ188-DJ217</f>
        <v>20.179977248193481</v>
      </c>
      <c r="DK220" s="1060">
        <f>SUM(DI220:DJ220)</f>
        <v>33.629115362374392</v>
      </c>
      <c r="DL220" s="234">
        <f>DL188-DL217</f>
        <v>19.295719106409322</v>
      </c>
      <c r="DM220" s="234">
        <f>DM188-DM217</f>
        <v>25.834105371660755</v>
      </c>
      <c r="DN220" s="1060">
        <f>SUM(DL220:DM220)</f>
        <v>45.129824478070077</v>
      </c>
      <c r="DO220" s="234">
        <f>DO188-DO217</f>
        <v>24.545259253786142</v>
      </c>
      <c r="DP220" s="234">
        <f>DP188-DP217</f>
        <v>28.95167910919956</v>
      </c>
      <c r="DQ220" s="1060">
        <f>SUM(DO220:DP220)</f>
        <v>53.496938362985702</v>
      </c>
      <c r="DR220" s="234">
        <f>DR188-DR217</f>
        <v>23.516995856101559</v>
      </c>
      <c r="DS220" s="234">
        <f>DS188-DS217</f>
        <v>33.498646033354611</v>
      </c>
      <c r="DT220" s="1060">
        <f>SUM(DR220:DS220)</f>
        <v>57.01564188945617</v>
      </c>
      <c r="DU220" s="234">
        <f>DU188-DU217</f>
        <v>27.960917435013958</v>
      </c>
      <c r="DV220" s="234">
        <f>DV188-DV217</f>
        <v>31.272758436409802</v>
      </c>
      <c r="DW220" s="1060">
        <f>SUM(DU220:DV220)</f>
        <v>59.233675871423756</v>
      </c>
      <c r="DX220" s="234">
        <f>DX188-DX217</f>
        <v>29.047653096720101</v>
      </c>
      <c r="DY220" s="234">
        <f>DY188-DY217</f>
        <v>35.595687575779955</v>
      </c>
      <c r="DZ220" s="1060">
        <f>SUM(DX220:DY220)</f>
        <v>64.643340672500059</v>
      </c>
      <c r="EA220" s="234">
        <f>EA188-EA217</f>
        <v>33.025672836860139</v>
      </c>
      <c r="EB220" s="234">
        <f>EB188-EB217</f>
        <v>37.79261696406644</v>
      </c>
      <c r="EC220" s="1060">
        <f>SUM(EA220:EB220)</f>
        <v>70.818289800926578</v>
      </c>
      <c r="ED220" s="234">
        <f>ED188-ED217</f>
        <v>36.141539393807598</v>
      </c>
      <c r="EE220" s="234">
        <f>EE188-EE217</f>
        <v>40.866591505306907</v>
      </c>
      <c r="EF220" s="1060">
        <f>SUM(ED220:EE220)</f>
        <v>77.008130899114505</v>
      </c>
      <c r="EG220" s="234">
        <f>EG188-EG217</f>
        <v>40.235656220485765</v>
      </c>
      <c r="EH220" s="234">
        <f>EH188-EH217</f>
        <v>44.992958093354623</v>
      </c>
      <c r="EI220" s="1060">
        <f>SUM(EG220:EH220)</f>
        <v>85.228614313840382</v>
      </c>
      <c r="EJ220" s="234">
        <f>EJ188-EJ217</f>
        <v>44.737283513814283</v>
      </c>
      <c r="EK220" s="234">
        <f>EK188-EK217</f>
        <v>49.511502197885875</v>
      </c>
      <c r="EL220" s="1060">
        <f>SUM(EJ220:EK220)</f>
        <v>94.248785711700151</v>
      </c>
      <c r="EM220" s="234">
        <f>EM188-EM217</f>
        <v>49.684908669576075</v>
      </c>
      <c r="EN220" s="234">
        <f>EN188-EN217</f>
        <v>54.458485125277349</v>
      </c>
      <c r="EO220" s="1060">
        <f>SUM(EM220:EN220)</f>
        <v>104.14339379485342</v>
      </c>
      <c r="EP220" s="234">
        <f>EP188-EP217</f>
        <v>55.120567000630103</v>
      </c>
      <c r="EQ220" s="234">
        <f>EQ188-EQ217</f>
        <v>59.873476490786643</v>
      </c>
      <c r="ER220" s="1060">
        <f>SUM(EP220:EQ220)</f>
        <v>114.99404349141675</v>
      </c>
      <c r="ES220" s="234">
        <f>ES188-ES217</f>
        <v>61.090164949435739</v>
      </c>
      <c r="ET220" s="234">
        <f>ET188-ET217</f>
        <v>65.799654044668245</v>
      </c>
      <c r="EU220" s="1060">
        <f>SUM(ES220:ET220)</f>
        <v>126.88981899410399</v>
      </c>
      <c r="EV220" s="234">
        <f>EV188-EV217</f>
        <v>67.643832570663832</v>
      </c>
      <c r="EW220" s="234">
        <f>EW188-EW217</f>
        <v>72.284130579073803</v>
      </c>
      <c r="EX220" s="1060">
        <f>SUM(EV220:EW220)</f>
        <v>139.92796314973765</v>
      </c>
      <c r="EY220" s="234">
        <f>EY188-EY217</f>
        <v>74.836307926598579</v>
      </c>
      <c r="EZ220" s="234">
        <f>EZ188-EZ217</f>
        <v>79.378310357481709</v>
      </c>
      <c r="FA220" s="1060">
        <f>SUM(EY220:EZ220)</f>
        <v>154.2146182840803</v>
      </c>
    </row>
    <row r="221" spans="1:173" outlineLevel="1">
      <c r="D221" s="162" t="s">
        <v>604</v>
      </c>
      <c r="BA221" s="35"/>
      <c r="BB221" s="35"/>
      <c r="BC221" s="322"/>
      <c r="BD221" s="35"/>
      <c r="BE221" s="35"/>
      <c r="BG221" s="35"/>
      <c r="BH221" s="35"/>
      <c r="BJ221" s="35"/>
      <c r="BK221" s="35"/>
      <c r="BL221" s="31"/>
      <c r="BM221" s="190">
        <f>BM220/BM75</f>
        <v>6.2749935341719425</v>
      </c>
      <c r="BN221" s="190">
        <f>BN220/BN75</f>
        <v>8.0237031296592427</v>
      </c>
      <c r="BO221" s="973">
        <f>SUM(BM221:BN221)</f>
        <v>14.298696663831185</v>
      </c>
      <c r="BP221" s="190">
        <f>BP220/BP75</f>
        <v>7.4985329938406737</v>
      </c>
      <c r="BQ221" s="190">
        <f>BQ220/BQ75</f>
        <v>8.057405190808467</v>
      </c>
      <c r="BR221" s="973">
        <f>SUM(BP221:BQ221)</f>
        <v>15.55593818464914</v>
      </c>
      <c r="BS221" s="190">
        <f>BS220/BS75</f>
        <v>7.5639073868224012</v>
      </c>
      <c r="BT221" s="190">
        <f>BT220/BT75</f>
        <v>7.8409055093096125</v>
      </c>
      <c r="BU221" s="190">
        <f>SUM(BS221:BT221)</f>
        <v>15.404812896132015</v>
      </c>
      <c r="BV221" s="190">
        <f>BV220/BV75</f>
        <v>7.1724961600813133</v>
      </c>
      <c r="BW221" s="190">
        <f>BW220/BW75</f>
        <v>7.3018666513424542</v>
      </c>
      <c r="BX221" s="190">
        <f>SUM(BV221:BW221)</f>
        <v>14.474362811423767</v>
      </c>
      <c r="BY221" s="190">
        <f>BY220/BY75</f>
        <v>7.7935774310348425</v>
      </c>
      <c r="BZ221" s="190">
        <f>BZ220/BZ75</f>
        <v>8.9461093844866895</v>
      </c>
      <c r="CA221" s="190">
        <f>SUM(BY221:BZ221)</f>
        <v>16.73968681552153</v>
      </c>
      <c r="CB221" s="190">
        <f>CB220/CB75</f>
        <v>8.4614197961520681</v>
      </c>
      <c r="CC221" s="190">
        <f>CC220/CC75</f>
        <v>8.7652675053698683</v>
      </c>
      <c r="CD221" s="190">
        <f>SUM(CB221:CC221)</f>
        <v>17.226687301521935</v>
      </c>
      <c r="CE221" s="190">
        <f>CE220/CE75</f>
        <v>8.0021022827815536</v>
      </c>
      <c r="CF221" s="190">
        <f>CF220/CF75</f>
        <v>9.05183046251822</v>
      </c>
      <c r="CG221" s="190">
        <f>SUM(CE221:CF221)</f>
        <v>17.053932745299775</v>
      </c>
      <c r="CH221" s="190">
        <f>CH220/CH75</f>
        <v>7.1108316985822642</v>
      </c>
      <c r="CI221" s="190">
        <f>CI220/CI75</f>
        <v>9.8512463480327668</v>
      </c>
      <c r="CJ221" s="190">
        <f>SUM(CH221:CI221)</f>
        <v>16.96207804661503</v>
      </c>
      <c r="CK221" s="190">
        <f>CK220/CK75</f>
        <v>7.262326016010646</v>
      </c>
      <c r="CL221" s="190">
        <f>CL220/CL75</f>
        <v>9.36559278159244</v>
      </c>
      <c r="CM221" s="190">
        <f>SUM(CK221:CL221)</f>
        <v>16.627918797603087</v>
      </c>
      <c r="CN221" s="190">
        <f>CN220/CN75</f>
        <v>6.200844595207931</v>
      </c>
      <c r="CO221" s="190">
        <f>CO220/CO75</f>
        <v>10.031836670507216</v>
      </c>
      <c r="CP221" s="190">
        <f>SUM(CN221:CO221)</f>
        <v>16.232681265715147</v>
      </c>
      <c r="CQ221" s="190">
        <f>CQ220/CQ75</f>
        <v>7.7768164583793986</v>
      </c>
      <c r="CR221" s="190">
        <f>CR220/CR75</f>
        <v>13.293544451957095</v>
      </c>
      <c r="CS221" s="190">
        <f>SUM(CQ221:CR221)</f>
        <v>21.070360910336493</v>
      </c>
      <c r="CT221" s="190">
        <f>CT220/CT75</f>
        <v>13.338981143717524</v>
      </c>
      <c r="CU221" s="190">
        <f>CU220/CU75</f>
        <v>17.985106755654527</v>
      </c>
      <c r="CV221" s="190">
        <f>SUM(CT221:CU221)</f>
        <v>31.324087899372053</v>
      </c>
      <c r="CW221" s="190">
        <f>CW220/CW75</f>
        <v>16.222951884386656</v>
      </c>
      <c r="CX221" s="190">
        <f>CX220/CX75</f>
        <v>21.927553913827204</v>
      </c>
      <c r="CY221" s="190">
        <f>SUM(CW221:CX221)</f>
        <v>38.150505798213857</v>
      </c>
      <c r="CZ221" s="190">
        <f>CZ220/CZ75</f>
        <v>16.46621029972081</v>
      </c>
      <c r="DA221" s="190">
        <f>DA220/DA75</f>
        <v>22.26307592341141</v>
      </c>
      <c r="DB221" s="190">
        <f>SUM(CZ221:DA221)</f>
        <v>38.72928622313222</v>
      </c>
      <c r="DC221" s="190">
        <f>DC220/DC75</f>
        <v>16.482591375682492</v>
      </c>
      <c r="DD221" s="190">
        <f>DD220/DD75</f>
        <v>19.370060183606675</v>
      </c>
      <c r="DE221" s="190">
        <f>SUM(DC221:DD221)</f>
        <v>35.852651559289171</v>
      </c>
      <c r="DF221" s="190">
        <f>DF220/DF75</f>
        <v>16.464247197199118</v>
      </c>
      <c r="DG221" s="190">
        <f>DG220/DG75</f>
        <v>10.283606892111452</v>
      </c>
      <c r="DH221" s="1060">
        <f>SUM(DF221:DG221)</f>
        <v>26.747854089310572</v>
      </c>
      <c r="DI221" s="190">
        <f>DI220/DI75</f>
        <v>18.60025989932215</v>
      </c>
      <c r="DJ221" s="190">
        <f>DJ220/DJ75</f>
        <v>27.206564606105463</v>
      </c>
      <c r="DK221" s="1060">
        <f>SUM(DI221:DJ221)</f>
        <v>45.806824505427613</v>
      </c>
      <c r="DL221" s="234">
        <f>DL220/DL75</f>
        <v>26.799609870012947</v>
      </c>
      <c r="DM221" s="234">
        <f>DM220/DM75</f>
        <v>35.682465982956842</v>
      </c>
      <c r="DN221" s="1060">
        <f>SUM(DL221:DM221)</f>
        <v>62.482075852969786</v>
      </c>
      <c r="DO221" s="234">
        <f>DO220/DO75</f>
        <v>36.606771204002705</v>
      </c>
      <c r="DP221" s="234">
        <f>DP220/DP75</f>
        <v>42.800118314067021</v>
      </c>
      <c r="DQ221" s="1060">
        <f>SUM(DO221:DP221)</f>
        <v>79.406889518069733</v>
      </c>
      <c r="DR221" s="234">
        <f>DR220/DR75</f>
        <v>35.994589689102106</v>
      </c>
      <c r="DS221" s="234">
        <f>DS220/DS75</f>
        <v>50.871128784899312</v>
      </c>
      <c r="DT221" s="1060">
        <f>SUM(DR221:DS221)</f>
        <v>86.865718474001426</v>
      </c>
      <c r="DU221" s="234">
        <f>DU220/DU75</f>
        <v>42.271418208591911</v>
      </c>
      <c r="DV221" s="234">
        <f>DV220/DV75</f>
        <v>49.326117407586437</v>
      </c>
      <c r="DW221" s="1060">
        <f>SUM(DU221:DV221)</f>
        <v>91.597535616178348</v>
      </c>
      <c r="DX221" s="234">
        <f>DX220/DX75</f>
        <v>44.317069549799086</v>
      </c>
      <c r="DY221" s="234">
        <f>DY220/DY75</f>
        <v>49.923825491977496</v>
      </c>
      <c r="DZ221" s="1060">
        <f>SUM(DX221:DY221)</f>
        <v>94.240895041776582</v>
      </c>
      <c r="EA221" s="234">
        <f>EA220/EA75</f>
        <v>46.319316741739328</v>
      </c>
      <c r="EB221" s="234">
        <f>EB220/EB75</f>
        <v>53.0050728808786</v>
      </c>
      <c r="EC221" s="1060">
        <f>SUM(EA221:EB221)</f>
        <v>99.324389622617929</v>
      </c>
      <c r="ED221" s="234">
        <f>ED220/ED75</f>
        <v>50.689396064246282</v>
      </c>
      <c r="EE221" s="234">
        <f>EE220/EE75</f>
        <v>57.316397623151346</v>
      </c>
      <c r="EF221" s="1060">
        <f>SUM(ED221:EE221)</f>
        <v>108.00579368739763</v>
      </c>
      <c r="EG221" s="234">
        <f>EG220/EG75</f>
        <v>56.431495400400799</v>
      </c>
      <c r="EH221" s="234">
        <f>EH220/EH75</f>
        <v>63.103728041170584</v>
      </c>
      <c r="EI221" s="1060">
        <f>SUM(EG221:EH221)</f>
        <v>119.53522344157139</v>
      </c>
      <c r="EJ221" s="234">
        <f>EJ220/EJ75</f>
        <v>62.745138168042473</v>
      </c>
      <c r="EK221" s="234">
        <f>EK220/EK75</f>
        <v>69.441097051733351</v>
      </c>
      <c r="EL221" s="1060">
        <f>SUM(EJ221:EK221)</f>
        <v>132.18623521977582</v>
      </c>
      <c r="EM221" s="234">
        <f>EM220/EM75</f>
        <v>69.684303884398432</v>
      </c>
      <c r="EN221" s="234">
        <f>EN220/EN75</f>
        <v>76.379362027036962</v>
      </c>
      <c r="EO221" s="1060">
        <f>SUM(EM221:EN221)</f>
        <v>146.06366591143541</v>
      </c>
      <c r="EP221" s="234">
        <f>EP220/EP75</f>
        <v>77.30794810747561</v>
      </c>
      <c r="EQ221" s="234">
        <f>EQ220/EQ75</f>
        <v>83.974020323683931</v>
      </c>
      <c r="ER221" s="1060">
        <f>SUM(EP221:EQ221)</f>
        <v>161.28196843115956</v>
      </c>
      <c r="ES221" s="234">
        <f>ES220/ES75</f>
        <v>85.680455749559243</v>
      </c>
      <c r="ET221" s="234">
        <f>ET220/ET75</f>
        <v>92.285629796168649</v>
      </c>
      <c r="EU221" s="1060">
        <f>SUM(ES221:ET221)</f>
        <v>177.96608554572788</v>
      </c>
      <c r="EV221" s="234">
        <f>EV220/EV75</f>
        <v>94.872135442726275</v>
      </c>
      <c r="EW221" s="234">
        <f>EW220/EW75</f>
        <v>101.38026729182862</v>
      </c>
      <c r="EX221" s="1060">
        <f>SUM(EV221:EW221)</f>
        <v>196.25240273455489</v>
      </c>
      <c r="EY221" s="234">
        <f>EY220/EY75</f>
        <v>104.95975866283111</v>
      </c>
      <c r="EZ221" s="234">
        <f>EZ220/EZ75</f>
        <v>111.33002855186776</v>
      </c>
      <c r="FA221" s="1060">
        <f>SUM(EY221:EZ221)</f>
        <v>216.28978721469886</v>
      </c>
    </row>
    <row r="222" spans="1:173" outlineLevel="1">
      <c r="B222" s="35" t="s">
        <v>487</v>
      </c>
      <c r="D222" s="162" t="s">
        <v>460</v>
      </c>
      <c r="BA222" s="35"/>
      <c r="BB222" s="35"/>
      <c r="BC222" s="322"/>
      <c r="BD222" s="35"/>
      <c r="BE222" s="35"/>
      <c r="BG222" s="35"/>
      <c r="BH222" s="35"/>
      <c r="BJ222" s="35"/>
      <c r="BK222" s="35"/>
      <c r="BL222" s="31"/>
      <c r="BM222" s="65">
        <f t="shared" ref="BM222:CR222" si="1291">BM220/BM188</f>
        <v>0.78914323998392055</v>
      </c>
      <c r="BN222" s="65">
        <f t="shared" si="1291"/>
        <v>0.80970945429860153</v>
      </c>
      <c r="BO222" s="64">
        <f t="shared" si="1291"/>
        <v>0.80080633121865308</v>
      </c>
      <c r="BP222" s="65">
        <f t="shared" si="1291"/>
        <v>0.76213681787325205</v>
      </c>
      <c r="BQ222" s="65">
        <f t="shared" si="1291"/>
        <v>0.79048218041002272</v>
      </c>
      <c r="BR222" s="64">
        <f t="shared" si="1291"/>
        <v>0.7766551742945248</v>
      </c>
      <c r="BS222" s="65">
        <f t="shared" si="1291"/>
        <v>0.60280502195817387</v>
      </c>
      <c r="BT222" s="65">
        <f t="shared" si="1291"/>
        <v>0.67833787205722218</v>
      </c>
      <c r="BU222" s="65">
        <f t="shared" si="1291"/>
        <v>0.64024011627801702</v>
      </c>
      <c r="BV222" s="65">
        <f t="shared" si="1291"/>
        <v>0.56684623846532145</v>
      </c>
      <c r="BW222" s="65">
        <f t="shared" si="1291"/>
        <v>0.62492284062850612</v>
      </c>
      <c r="BX222" s="65">
        <f t="shared" si="1291"/>
        <v>0.59560704346140081</v>
      </c>
      <c r="BY222" s="65">
        <f t="shared" si="1291"/>
        <v>0.4777555992966207</v>
      </c>
      <c r="BZ222" s="65">
        <f t="shared" si="1291"/>
        <v>0.65452525493977298</v>
      </c>
      <c r="CA222" s="65">
        <f t="shared" si="1291"/>
        <v>0.56316154248880079</v>
      </c>
      <c r="CB222" s="65">
        <f t="shared" si="1291"/>
        <v>0.52808429219240527</v>
      </c>
      <c r="CC222" s="65">
        <f t="shared" si="1291"/>
        <v>0.61693760267722031</v>
      </c>
      <c r="CD222" s="65">
        <f t="shared" si="1291"/>
        <v>0.57037085207136784</v>
      </c>
      <c r="CE222" s="65">
        <f t="shared" si="1291"/>
        <v>0.59309775967851852</v>
      </c>
      <c r="CF222" s="65">
        <f t="shared" si="1291"/>
        <v>0.66915201436219085</v>
      </c>
      <c r="CG222" s="65">
        <f t="shared" si="1291"/>
        <v>0.6330808878901899</v>
      </c>
      <c r="CH222" s="65">
        <f t="shared" si="1291"/>
        <v>0.56032492951136248</v>
      </c>
      <c r="CI222" s="65">
        <f t="shared" si="1291"/>
        <v>0.71508318286495409</v>
      </c>
      <c r="CJ222" s="65">
        <f t="shared" si="1291"/>
        <v>0.64087856036254298</v>
      </c>
      <c r="CK222" s="65">
        <f t="shared" si="1291"/>
        <v>0.54972790945318273</v>
      </c>
      <c r="CL222" s="65">
        <f t="shared" si="1291"/>
        <v>0.63980028307468984</v>
      </c>
      <c r="CM222" s="65">
        <f t="shared" si="1291"/>
        <v>0.59700945258548588</v>
      </c>
      <c r="CN222" s="65">
        <f t="shared" si="1291"/>
        <v>0.4026674643948901</v>
      </c>
      <c r="CO222" s="65">
        <f t="shared" si="1291"/>
        <v>0.60619800524981027</v>
      </c>
      <c r="CP222" s="65">
        <f t="shared" si="1291"/>
        <v>0.50950641688670129</v>
      </c>
      <c r="CQ222" s="65">
        <f t="shared" si="1291"/>
        <v>0.40232237813553678</v>
      </c>
      <c r="CR222" s="65">
        <f t="shared" si="1291"/>
        <v>0.57082967952357522</v>
      </c>
      <c r="CS222" s="65">
        <f t="shared" ref="CS222:DU222" si="1292">CS220/CS188</f>
        <v>0.48664861437366785</v>
      </c>
      <c r="CT222" s="65">
        <f t="shared" si="1292"/>
        <v>0.48648014244603388</v>
      </c>
      <c r="CU222" s="65">
        <f t="shared" si="1292"/>
        <v>0.6622043324562108</v>
      </c>
      <c r="CV222" s="65">
        <f t="shared" si="1292"/>
        <v>0.57458205771593296</v>
      </c>
      <c r="CW222" s="65">
        <f t="shared" si="1292"/>
        <v>0.53552128884243766</v>
      </c>
      <c r="CX222" s="65">
        <f t="shared" si="1292"/>
        <v>0.65443503210270371</v>
      </c>
      <c r="CY222" s="65">
        <f t="shared" si="1292"/>
        <v>0.59800238100981573</v>
      </c>
      <c r="CZ222" s="65">
        <f t="shared" si="1292"/>
        <v>0.54072510443246624</v>
      </c>
      <c r="DA222" s="65">
        <f t="shared" si="1292"/>
        <v>0.69607181799278361</v>
      </c>
      <c r="DB222" s="65">
        <f t="shared" si="1292"/>
        <v>0.61942262032293771</v>
      </c>
      <c r="DC222" s="65">
        <f t="shared" si="1292"/>
        <v>0.56206691946775245</v>
      </c>
      <c r="DD222" s="65">
        <f t="shared" si="1292"/>
        <v>0.69940545244366525</v>
      </c>
      <c r="DE222" s="65">
        <f t="shared" si="1292"/>
        <v>0.62844867397068915</v>
      </c>
      <c r="DF222" s="65">
        <f t="shared" si="1292"/>
        <v>0.56513245103147802</v>
      </c>
      <c r="DG222" s="65">
        <f t="shared" si="1292"/>
        <v>0.65431627031021511</v>
      </c>
      <c r="DH222" s="1066">
        <f t="shared" si="1292"/>
        <v>0.59552909447459734</v>
      </c>
      <c r="DI222" s="65">
        <f t="shared" si="1292"/>
        <v>0.50238727610887712</v>
      </c>
      <c r="DJ222" s="65">
        <f t="shared" si="1292"/>
        <v>0.70468732806501244</v>
      </c>
      <c r="DK222" s="1066">
        <f t="shared" si="1292"/>
        <v>0.60694441220604867</v>
      </c>
      <c r="DL222" s="65">
        <f t="shared" si="1292"/>
        <v>0.5575393530068099</v>
      </c>
      <c r="DM222" s="65">
        <f t="shared" si="1292"/>
        <v>0.74484985144817062</v>
      </c>
      <c r="DN222" s="1066">
        <f t="shared" si="1292"/>
        <v>0.65129587638815822</v>
      </c>
      <c r="DO222" s="65">
        <f t="shared" si="1292"/>
        <v>0.6078189719833087</v>
      </c>
      <c r="DP222" s="65">
        <f t="shared" si="1292"/>
        <v>0.71649983494241198</v>
      </c>
      <c r="DQ222" s="1066">
        <f t="shared" si="1292"/>
        <v>0.66217593789972706</v>
      </c>
      <c r="DR222" s="65">
        <f t="shared" si="1292"/>
        <v>0.59017082572255763</v>
      </c>
      <c r="DS222" s="65">
        <f t="shared" si="1292"/>
        <v>0.74750766549558567</v>
      </c>
      <c r="DT222" s="1066">
        <f t="shared" si="1292"/>
        <v>0.67345371008346755</v>
      </c>
      <c r="DU222" s="65">
        <f t="shared" si="1292"/>
        <v>0.60656399269365535</v>
      </c>
      <c r="DV222" s="65">
        <f t="shared" ref="DV222:DX222" si="1293">DV220/DV188</f>
        <v>0.77275689894602706</v>
      </c>
      <c r="DW222" s="1066">
        <f t="shared" si="1293"/>
        <v>0.6842578907619431</v>
      </c>
      <c r="DX222" s="65">
        <f t="shared" si="1293"/>
        <v>0.62230143298590912</v>
      </c>
      <c r="DY222" s="65">
        <f t="shared" ref="DY222:ER222" si="1294">DY220/DY188</f>
        <v>0.78184662298818597</v>
      </c>
      <c r="DZ222" s="1066">
        <f t="shared" si="1294"/>
        <v>0.70107902857481796</v>
      </c>
      <c r="EA222" s="65">
        <f t="shared" si="1294"/>
        <v>0.63740937566647282</v>
      </c>
      <c r="EB222" s="65">
        <f t="shared" si="1294"/>
        <v>0.79057275806865845</v>
      </c>
      <c r="EC222" s="1066">
        <f t="shared" si="1294"/>
        <v>0.71090966584718474</v>
      </c>
      <c r="ED222" s="65">
        <f t="shared" si="1294"/>
        <v>0.65191300063981406</v>
      </c>
      <c r="EE222" s="65">
        <f t="shared" si="1294"/>
        <v>0.79894984774591216</v>
      </c>
      <c r="EF222" s="1066">
        <f t="shared" si="1294"/>
        <v>0.72247327921329729</v>
      </c>
      <c r="EG222" s="65">
        <f t="shared" si="1294"/>
        <v>0.66583648061422152</v>
      </c>
      <c r="EH222" s="65">
        <f t="shared" si="1294"/>
        <v>0.80699185383607575</v>
      </c>
      <c r="EI222" s="1066">
        <f t="shared" si="1294"/>
        <v>0.73357434804476551</v>
      </c>
      <c r="EJ222" s="65">
        <f t="shared" si="1294"/>
        <v>0.67920302138965249</v>
      </c>
      <c r="EK222" s="65">
        <f t="shared" si="1294"/>
        <v>0.81471217968263265</v>
      </c>
      <c r="EL222" s="1066">
        <f t="shared" si="1294"/>
        <v>0.74423137412297469</v>
      </c>
      <c r="EM222" s="65">
        <f t="shared" si="1294"/>
        <v>0.69203490053406636</v>
      </c>
      <c r="EN222" s="65">
        <f t="shared" si="1294"/>
        <v>0.82212369249532735</v>
      </c>
      <c r="EO222" s="1066">
        <f t="shared" si="1294"/>
        <v>0.75446211915805583</v>
      </c>
      <c r="EP222" s="65">
        <f t="shared" si="1294"/>
        <v>0.70435350451270384</v>
      </c>
      <c r="EQ222" s="65">
        <f t="shared" si="1294"/>
        <v>0.82923874479551429</v>
      </c>
      <c r="ER222" s="1066">
        <f t="shared" si="1294"/>
        <v>0.76428363439173364</v>
      </c>
      <c r="ES222" s="65">
        <f t="shared" ref="ES222:EX222" si="1295">ES220/ES188</f>
        <v>0.71617936433219564</v>
      </c>
      <c r="ET222" s="65">
        <f t="shared" si="1295"/>
        <v>0.8360691950036937</v>
      </c>
      <c r="EU222" s="1066">
        <f t="shared" si="1295"/>
        <v>0.77371228901606437</v>
      </c>
      <c r="EV222" s="65">
        <f t="shared" si="1295"/>
        <v>0.72753218975890788</v>
      </c>
      <c r="EW222" s="65">
        <f t="shared" si="1295"/>
        <v>0.84262642720354608</v>
      </c>
      <c r="EX222" s="1066">
        <f t="shared" si="1295"/>
        <v>0.78276379745542191</v>
      </c>
      <c r="EY222" s="65">
        <f t="shared" ref="EY222:FA222" si="1296">EY220/EY188</f>
        <v>0.73843090216855145</v>
      </c>
      <c r="EZ222" s="65">
        <f t="shared" si="1296"/>
        <v>0.84892137011540425</v>
      </c>
      <c r="FA222" s="1066">
        <f t="shared" si="1296"/>
        <v>0.79145324555720498</v>
      </c>
    </row>
    <row r="223" spans="1:173" outlineLevel="1">
      <c r="B223" s="31"/>
      <c r="BA223" s="35"/>
      <c r="BB223" s="35"/>
      <c r="BC223" s="322"/>
      <c r="BD223" s="35"/>
      <c r="BE223" s="35"/>
      <c r="BG223" s="35"/>
      <c r="BH223" s="35"/>
      <c r="BJ223" s="35"/>
      <c r="BK223" s="35"/>
      <c r="BL223" s="31"/>
      <c r="BM223" s="35"/>
      <c r="BN223" s="35"/>
      <c r="BO223" s="31"/>
      <c r="BP223" s="35"/>
      <c r="BQ223" s="35"/>
      <c r="BR223" s="1024"/>
      <c r="BS223" s="74"/>
      <c r="BT223" s="70"/>
      <c r="BU223" s="74"/>
      <c r="BV223" s="74"/>
      <c r="BW223" s="74"/>
      <c r="BX223" s="74"/>
      <c r="BY223" s="70"/>
      <c r="BZ223" s="70"/>
      <c r="CA223" s="70"/>
      <c r="CB223" s="70"/>
      <c r="CC223" s="70"/>
      <c r="CD223" s="70"/>
      <c r="CE223" s="70"/>
      <c r="CF223" s="70"/>
      <c r="CG223" s="70"/>
      <c r="CH223" s="70"/>
      <c r="CI223" s="70"/>
      <c r="CJ223" s="70"/>
      <c r="CK223" s="35"/>
      <c r="CL223" s="35"/>
      <c r="CN223" s="35"/>
      <c r="CO223" s="35"/>
      <c r="CQ223" s="35"/>
      <c r="CR223" s="35"/>
      <c r="CT223" s="35"/>
      <c r="CU223" s="35"/>
      <c r="CW223" s="35"/>
      <c r="CX223" s="35"/>
      <c r="CZ223" s="35"/>
      <c r="DA223" s="35"/>
      <c r="DC223" s="35"/>
      <c r="DD223" s="35"/>
      <c r="DF223" s="35"/>
      <c r="DG223" s="35"/>
      <c r="DH223" s="1067"/>
      <c r="DI223" s="35"/>
      <c r="DJ223" s="35"/>
      <c r="DK223" s="1067"/>
      <c r="DL223" s="35"/>
      <c r="DM223" s="35"/>
      <c r="DN223" s="1067"/>
      <c r="DO223" s="35"/>
      <c r="DP223" s="35"/>
      <c r="DQ223" s="1067"/>
      <c r="DR223" s="35"/>
      <c r="DS223" s="35"/>
      <c r="DT223" s="1067"/>
      <c r="DU223" s="35"/>
      <c r="DV223" s="35"/>
      <c r="DW223" s="1067"/>
      <c r="DX223" s="35"/>
      <c r="DY223" s="35"/>
      <c r="DZ223" s="1067"/>
      <c r="EA223" s="35"/>
      <c r="EB223" s="35"/>
      <c r="EC223" s="1067"/>
      <c r="ED223" s="35"/>
      <c r="EE223" s="35"/>
      <c r="EF223" s="1067"/>
      <c r="EG223" s="35"/>
      <c r="EH223" s="35"/>
      <c r="EI223" s="1067"/>
      <c r="EJ223" s="35"/>
      <c r="EK223" s="35"/>
      <c r="EL223" s="1067"/>
      <c r="EM223" s="35"/>
      <c r="EN223" s="35"/>
      <c r="EO223" s="1067"/>
      <c r="EP223" s="35"/>
      <c r="EQ223" s="35"/>
      <c r="ER223" s="1067"/>
      <c r="ES223" s="35"/>
      <c r="ET223" s="35"/>
      <c r="EU223" s="1067"/>
      <c r="EV223" s="35"/>
      <c r="EW223" s="35"/>
      <c r="EX223" s="1067"/>
      <c r="EY223" s="35"/>
      <c r="EZ223" s="35"/>
      <c r="FA223" s="1067"/>
    </row>
    <row r="224" spans="1:173" outlineLevel="1">
      <c r="B224" s="34" t="s">
        <v>790</v>
      </c>
      <c r="C224" s="69"/>
      <c r="BA224" s="35"/>
      <c r="BB224" s="35"/>
      <c r="BC224" s="322"/>
      <c r="BD224" s="35"/>
      <c r="BE224" s="35"/>
      <c r="BG224" s="35"/>
      <c r="BH224" s="35"/>
      <c r="BJ224" s="35"/>
      <c r="BK224" s="35"/>
      <c r="BL224" s="31"/>
      <c r="BM224" s="35"/>
      <c r="BN224" s="35"/>
      <c r="BO224" s="31"/>
      <c r="BP224" s="35"/>
      <c r="BQ224" s="35"/>
      <c r="BR224" s="1024"/>
      <c r="BS224" s="74"/>
      <c r="BT224" s="70"/>
      <c r="BU224" s="74"/>
      <c r="BV224" s="74"/>
      <c r="BW224" s="74"/>
      <c r="BX224" s="74"/>
      <c r="BY224" s="70"/>
      <c r="BZ224" s="70"/>
      <c r="CA224" s="70"/>
      <c r="CB224" s="70"/>
      <c r="CC224" s="70"/>
      <c r="CD224" s="70"/>
      <c r="CE224" s="70"/>
      <c r="CF224" s="70"/>
      <c r="CG224" s="70"/>
      <c r="CH224" s="70"/>
      <c r="CI224" s="70"/>
      <c r="CJ224" s="70"/>
      <c r="CK224" s="35"/>
      <c r="CL224" s="35"/>
      <c r="CN224" s="35"/>
      <c r="CO224" s="35"/>
      <c r="CQ224" s="35"/>
      <c r="CR224" s="35"/>
      <c r="CT224" s="35"/>
      <c r="CU224" s="35"/>
      <c r="CW224" s="35"/>
      <c r="CX224" s="35"/>
      <c r="CZ224" s="35"/>
      <c r="DA224" s="35"/>
      <c r="DC224" s="35"/>
      <c r="DD224" s="35"/>
      <c r="DF224" s="35"/>
      <c r="DG224" s="35"/>
      <c r="DH224" s="1067"/>
      <c r="DI224" s="35"/>
      <c r="DJ224" s="35"/>
      <c r="DK224" s="1067"/>
      <c r="DL224" s="35"/>
      <c r="DM224" s="35"/>
      <c r="DN224" s="1067"/>
      <c r="DO224" s="35"/>
      <c r="DP224" s="35"/>
      <c r="DQ224" s="1067"/>
      <c r="DR224" s="35"/>
      <c r="DS224" s="35"/>
      <c r="DT224" s="1067"/>
      <c r="DU224" s="35"/>
      <c r="DV224" s="35"/>
      <c r="DW224" s="1067"/>
      <c r="DX224" s="35"/>
      <c r="DY224" s="35"/>
      <c r="DZ224" s="1067"/>
      <c r="EA224" s="35"/>
      <c r="EB224" s="35"/>
      <c r="EC224" s="1067"/>
      <c r="ED224" s="35"/>
      <c r="EE224" s="35"/>
      <c r="EF224" s="1067"/>
      <c r="EG224" s="35"/>
      <c r="EH224" s="35"/>
      <c r="EI224" s="1067"/>
      <c r="EJ224" s="35"/>
      <c r="EK224" s="35"/>
      <c r="EL224" s="1067"/>
      <c r="EM224" s="35"/>
      <c r="EN224" s="35"/>
      <c r="EO224" s="1067"/>
      <c r="EP224" s="35"/>
      <c r="EQ224" s="35"/>
      <c r="ER224" s="1067"/>
      <c r="ES224" s="35"/>
      <c r="ET224" s="35"/>
      <c r="EU224" s="1067"/>
      <c r="EV224" s="35"/>
      <c r="EW224" s="35"/>
      <c r="EX224" s="1067"/>
      <c r="EY224" s="35"/>
      <c r="EZ224" s="35"/>
      <c r="FA224" s="1067"/>
    </row>
    <row r="225" spans="1:157" outlineLevel="1">
      <c r="B225" s="35" t="s">
        <v>22</v>
      </c>
      <c r="D225" s="162" t="s">
        <v>907</v>
      </c>
      <c r="BA225" s="35"/>
      <c r="BB225" s="35"/>
      <c r="BC225" s="322"/>
      <c r="BD225" s="35"/>
      <c r="BE225" s="35"/>
      <c r="BG225" s="35"/>
      <c r="BH225" s="35"/>
      <c r="BJ225" s="35"/>
      <c r="BK225" s="35"/>
      <c r="BL225" s="31"/>
      <c r="BM225" s="187">
        <f>BM392*BM75</f>
        <v>2E-3</v>
      </c>
      <c r="BN225" s="187">
        <f>BN392*BN75</f>
        <v>2E-3</v>
      </c>
      <c r="BO225" s="978">
        <f>AVERAGE(BM225:BN225)</f>
        <v>2E-3</v>
      </c>
      <c r="BP225" s="187">
        <f>BP392*BP75</f>
        <v>2E-3</v>
      </c>
      <c r="BQ225" s="187">
        <f>BQ392*BQ75</f>
        <v>2E-3</v>
      </c>
      <c r="BR225" s="978">
        <f>AVERAGE(BP225:BQ225)</f>
        <v>2E-3</v>
      </c>
      <c r="BS225" s="187">
        <f>BS392*BS75</f>
        <v>2E-3</v>
      </c>
      <c r="BT225" s="187">
        <f>BT392*BT75</f>
        <v>2E-3</v>
      </c>
      <c r="BU225" s="187">
        <f>AVERAGE(BS225:BT225)</f>
        <v>2E-3</v>
      </c>
      <c r="BV225" s="187">
        <f>BV392*BV75</f>
        <v>2E-3</v>
      </c>
      <c r="BW225" s="187">
        <f>BW392*BW75</f>
        <v>2E-3</v>
      </c>
      <c r="BX225" s="187">
        <f>AVERAGE(BV225:BW225)</f>
        <v>2E-3</v>
      </c>
      <c r="BY225" s="187">
        <f>BY392*BY75</f>
        <v>2E-3</v>
      </c>
      <c r="BZ225" s="187">
        <f>BZ392*BZ75</f>
        <v>2.4954179906296822E-3</v>
      </c>
      <c r="CA225" s="187">
        <f>AVERAGE(BY225:BZ225)</f>
        <v>2.2477089953148411E-3</v>
      </c>
      <c r="CB225" s="187">
        <f>CB392*CB75</f>
        <v>2E-3</v>
      </c>
      <c r="CC225" s="187">
        <f>CC392*CC75</f>
        <v>2E-3</v>
      </c>
      <c r="CD225" s="187">
        <f>AVERAGE(CB225:CC225)</f>
        <v>2E-3</v>
      </c>
      <c r="CE225" s="187">
        <f>CE392*CE75</f>
        <v>1.8661878721965134E-3</v>
      </c>
      <c r="CF225" s="187">
        <f>CF392*CF75</f>
        <v>2.3979993014984664E-3</v>
      </c>
      <c r="CG225" s="187">
        <f>AVERAGE(CE225:CF225)</f>
        <v>2.1320935868474897E-3</v>
      </c>
      <c r="CH225" s="187">
        <f>CH392*CH75</f>
        <v>2.0174123286785511E-3</v>
      </c>
      <c r="CI225" s="187">
        <f>CI392*CI75</f>
        <v>2.0060420956242468E-3</v>
      </c>
      <c r="CJ225" s="187">
        <f>AVERAGE(CH225:CI225)</f>
        <v>2.0117272121513989E-3</v>
      </c>
      <c r="CK225" s="187">
        <f>CK392*CK75</f>
        <v>1.7357715126931981E-3</v>
      </c>
      <c r="CL225" s="187">
        <f>CL392*CL75</f>
        <v>1.8098771248724861E-3</v>
      </c>
      <c r="CM225" s="187">
        <f>AVERAGE(CK225:CL225)</f>
        <v>1.7728243187828422E-3</v>
      </c>
      <c r="CN225" s="187">
        <f>CN392*CN75</f>
        <v>1.9918633782234751E-3</v>
      </c>
      <c r="CO225" s="187">
        <f>CO392*CO75</f>
        <v>1.7510276631806916E-3</v>
      </c>
      <c r="CP225" s="187">
        <f>AVERAGE(CN225:CO225)</f>
        <v>1.8714455207020832E-3</v>
      </c>
      <c r="CQ225" s="187">
        <f>CQ392*CQ75</f>
        <v>2.1042897038479826E-3</v>
      </c>
      <c r="CR225" s="187">
        <f>CR392*CR75</f>
        <v>1.9688976415508821E-3</v>
      </c>
      <c r="CS225" s="187">
        <f>AVERAGE(CQ225:CR225)</f>
        <v>2.0365936726994324E-3</v>
      </c>
      <c r="CT225" s="187">
        <f>CT392*CT75</f>
        <v>1.7380843028771099E-3</v>
      </c>
      <c r="CU225" s="187">
        <f>CU392*CU75</f>
        <v>1.5362906634254964E-3</v>
      </c>
      <c r="CV225" s="187">
        <f>AVERAGE(CT225:CU225)</f>
        <v>1.6371874831513033E-3</v>
      </c>
      <c r="CW225" s="187">
        <f>CW392*CW75</f>
        <v>1.6392163938643708E-3</v>
      </c>
      <c r="CX225" s="187">
        <f>CX392*CX75</f>
        <v>1.6160179900023388E-3</v>
      </c>
      <c r="CY225" s="187">
        <f>AVERAGE(CW225:CX225)</f>
        <v>1.6276171919333547E-3</v>
      </c>
      <c r="CZ225" s="187">
        <f>CZ392*CZ75</f>
        <v>1.6763812263389803E-3</v>
      </c>
      <c r="DA225" s="187">
        <f>DA392*DA75</f>
        <v>1.4355186143686976E-3</v>
      </c>
      <c r="DB225" s="187">
        <f>AVERAGE(CZ225:DA225)</f>
        <v>1.555949920353839E-3</v>
      </c>
      <c r="DC225" s="187">
        <f>DC392*DC75</f>
        <v>1.4847745337746418E-3</v>
      </c>
      <c r="DD225" s="187">
        <f>DD392*DD75</f>
        <v>1.3363572058934917E-3</v>
      </c>
      <c r="DE225" s="187">
        <f>AVERAGE(DC225:DD225)</f>
        <v>1.4105658698340667E-3</v>
      </c>
      <c r="DF225" s="187">
        <f>DF392*DF75</f>
        <v>1.4024500478638713E-3</v>
      </c>
      <c r="DG225" s="187">
        <f>DG392*DG75</f>
        <v>1.5192060669549058E-3</v>
      </c>
      <c r="DH225" s="1076">
        <f>AVERAGE(DF225:DG225)</f>
        <v>1.4608280574093884E-3</v>
      </c>
      <c r="DI225" s="187">
        <f>DI392*DI75</f>
        <v>1.7693738290869927E-3</v>
      </c>
      <c r="DJ225" s="187">
        <f>DJ392*DJ75</f>
        <v>1.5314829258017135E-3</v>
      </c>
      <c r="DK225" s="1076">
        <f>AVERAGE(DI225:DJ225)</f>
        <v>1.6504283774443531E-3</v>
      </c>
      <c r="DL225" s="187">
        <f>DL392*DL75</f>
        <v>1.5428063765485246E-3</v>
      </c>
      <c r="DM225" s="187">
        <f>DM392*DM75</f>
        <v>1.4201275905573801E-3</v>
      </c>
      <c r="DN225" s="1076">
        <f>AVERAGE(DL225:DM225)</f>
        <v>1.4814669835529525E-3</v>
      </c>
      <c r="DO225" s="187">
        <f>DO392*DO75</f>
        <v>1.457596037006973E-3</v>
      </c>
      <c r="DP225" s="187">
        <f>DP392*DP75</f>
        <v>1.6731415039405427E-3</v>
      </c>
      <c r="DQ225" s="1076">
        <f>AVERAGE(DO225:DP225)</f>
        <v>1.5653687704737579E-3</v>
      </c>
      <c r="DR225" s="187">
        <f>DR392*DR75</f>
        <v>1.4912995764724882E-3</v>
      </c>
      <c r="DS225" s="187">
        <f>DS392*DS75</f>
        <v>1.5473315121252139E-3</v>
      </c>
      <c r="DT225" s="1076">
        <f>AVERAGE(DR225:DS225)</f>
        <v>1.519315544298851E-3</v>
      </c>
      <c r="DU225" s="187">
        <f>DU392*DU75</f>
        <v>1.4494262107430111E-3</v>
      </c>
      <c r="DV225" s="187">
        <f>DV392*DV75</f>
        <v>1.4152734316481728E-3</v>
      </c>
      <c r="DW225" s="1076">
        <f>AVERAGE(DU225:DV225)</f>
        <v>1.4323498211955919E-3</v>
      </c>
      <c r="DX225" s="187">
        <f>DX392*DX75</f>
        <v>1.3788047138597014E-3</v>
      </c>
      <c r="DY225" s="187">
        <f>DY392*DY75</f>
        <v>1.5757082921096146E-3</v>
      </c>
      <c r="DZ225" s="1076">
        <f>AVERAGE(DX225:DY225)</f>
        <v>1.477256502984658E-3</v>
      </c>
      <c r="EA225" s="187">
        <f>EA392*EA75</f>
        <v>1.4398707458619768E-3</v>
      </c>
      <c r="EB225" s="187">
        <f>EB392*EB75</f>
        <v>1.5126799604252301E-3</v>
      </c>
      <c r="EC225" s="1076">
        <f>AVERAGE(EA225:EB225)</f>
        <v>1.4762753531436033E-3</v>
      </c>
      <c r="ED225" s="187">
        <f>ED392*ED75</f>
        <v>1.3822759160274976E-3</v>
      </c>
      <c r="EE225" s="187">
        <f>EE392*EE75</f>
        <v>1.4521727620082207E-3</v>
      </c>
      <c r="EF225" s="1076">
        <f>AVERAGE(ED225:EE225)</f>
        <v>1.4172243390178593E-3</v>
      </c>
      <c r="EG225" s="187">
        <f>EG392*EG75</f>
        <v>1.3269848793863977E-3</v>
      </c>
      <c r="EH225" s="187">
        <f>EH392*EH75</f>
        <v>1.394085851527892E-3</v>
      </c>
      <c r="EI225" s="1076">
        <f>AVERAGE(EG225:EH225)</f>
        <v>1.360535365457145E-3</v>
      </c>
      <c r="EJ225" s="187">
        <f>EJ392*EJ75</f>
        <v>1.2739054842109416E-3</v>
      </c>
      <c r="EK225" s="187">
        <f>EK392*EK75</f>
        <v>1.3383224174667763E-3</v>
      </c>
      <c r="EL225" s="1076">
        <f>AVERAGE(EJ225:EK225)</f>
        <v>1.3061139508388588E-3</v>
      </c>
      <c r="EM225" s="187">
        <f>EM392*EM75</f>
        <v>1.2229492648425039E-3</v>
      </c>
      <c r="EN225" s="187">
        <f>EN392*EN75</f>
        <v>1.2847895207681052E-3</v>
      </c>
      <c r="EO225" s="1076">
        <f>AVERAGE(EM225:EN225)</f>
        <v>1.2538693928053047E-3</v>
      </c>
      <c r="EP225" s="187">
        <f>EP392*EP75</f>
        <v>1.1740312942488038E-3</v>
      </c>
      <c r="EQ225" s="187">
        <f>EQ392*EQ75</f>
        <v>1.233397939937381E-3</v>
      </c>
      <c r="ER225" s="1076">
        <f>AVERAGE(EP225:EQ225)</f>
        <v>1.2037146170930924E-3</v>
      </c>
      <c r="ES225" s="187">
        <f>ES392*ES75</f>
        <v>1.1270700424788518E-3</v>
      </c>
      <c r="ET225" s="187">
        <f>ET392*ET75</f>
        <v>1.1840620223398856E-3</v>
      </c>
      <c r="EU225" s="1076">
        <f>AVERAGE(ES225:ET225)</f>
        <v>1.1555660324093688E-3</v>
      </c>
      <c r="EV225" s="187">
        <f>EV392*EV75</f>
        <v>1.0819872407796976E-3</v>
      </c>
      <c r="EW225" s="187">
        <f>EW392*EW75</f>
        <v>1.1366995414462903E-3</v>
      </c>
      <c r="EX225" s="1076">
        <f>AVERAGE(EV225:EW225)</f>
        <v>1.109343391112994E-3</v>
      </c>
      <c r="EY225" s="187">
        <f>EY392*EY75</f>
        <v>1.0387077511485098E-3</v>
      </c>
      <c r="EZ225" s="187">
        <f>EZ392*EZ75</f>
        <v>1.0912315597884385E-3</v>
      </c>
      <c r="FA225" s="1076">
        <f>AVERAGE(EY225:EZ225)</f>
        <v>1.064969655468474E-3</v>
      </c>
    </row>
    <row r="226" spans="1:157" outlineLevel="1">
      <c r="B226" s="31" t="s">
        <v>753</v>
      </c>
      <c r="D226" s="162" t="s">
        <v>460</v>
      </c>
      <c r="BA226" s="35"/>
      <c r="BB226" s="35"/>
      <c r="BC226" s="322"/>
      <c r="BD226" s="35"/>
      <c r="BE226" s="35"/>
      <c r="BG226" s="35"/>
      <c r="BH226" s="35"/>
      <c r="BJ226" s="35"/>
      <c r="BK226" s="35"/>
      <c r="BL226" s="31"/>
      <c r="BM226" s="35"/>
      <c r="BN226" s="35"/>
      <c r="BO226" s="31"/>
      <c r="BP226" s="35"/>
      <c r="BQ226" s="35"/>
      <c r="BR226" s="1024"/>
      <c r="BS226" s="74"/>
      <c r="BT226" s="70"/>
      <c r="BU226" s="74"/>
      <c r="BV226" s="74"/>
      <c r="BW226" s="74"/>
      <c r="BX226" s="74"/>
      <c r="BY226" s="70"/>
      <c r="BZ226" s="70"/>
      <c r="CA226" s="70"/>
      <c r="CB226" s="70"/>
      <c r="CC226" s="70"/>
      <c r="CD226" s="70"/>
      <c r="CE226" s="65">
        <f t="shared" ref="CE226:DJ226" si="1297">CE225/CB225-1</f>
        <v>-6.6906063901743362E-2</v>
      </c>
      <c r="CF226" s="65">
        <f t="shared" si="1297"/>
        <v>0.19899965074923309</v>
      </c>
      <c r="CG226" s="65">
        <f t="shared" si="1297"/>
        <v>6.6046793423744754E-2</v>
      </c>
      <c r="CH226" s="65">
        <f t="shared" si="1297"/>
        <v>8.1033886638672392E-2</v>
      </c>
      <c r="CI226" s="65">
        <f t="shared" si="1297"/>
        <v>-0.16345175981881754</v>
      </c>
      <c r="CJ226" s="65">
        <f t="shared" si="1297"/>
        <v>-5.6454545634680331E-2</v>
      </c>
      <c r="CK226" s="65">
        <f t="shared" si="1297"/>
        <v>-0.139604984058878</v>
      </c>
      <c r="CL226" s="65">
        <f t="shared" si="1297"/>
        <v>-9.7787065974165088E-2</v>
      </c>
      <c r="CM226" s="65">
        <f t="shared" si="1297"/>
        <v>-0.11875511347936041</v>
      </c>
      <c r="CN226" s="65">
        <f t="shared" si="1297"/>
        <v>0.14753777421599024</v>
      </c>
      <c r="CO226" s="65">
        <f t="shared" si="1297"/>
        <v>-3.2515722135523784E-2</v>
      </c>
      <c r="CP226" s="65">
        <f t="shared" si="1297"/>
        <v>5.5629427504103157E-2</v>
      </c>
      <c r="CQ226" s="65">
        <f t="shared" si="1297"/>
        <v>5.6442789627860757E-2</v>
      </c>
      <c r="CR226" s="65">
        <f t="shared" si="1297"/>
        <v>0.12442406419464325</v>
      </c>
      <c r="CS226" s="65">
        <f t="shared" si="1297"/>
        <v>8.8246304885964744E-2</v>
      </c>
      <c r="CT226" s="65">
        <f t="shared" si="1297"/>
        <v>-0.17402803440097425</v>
      </c>
      <c r="CU226" s="65">
        <f t="shared" si="1297"/>
        <v>-0.21972040038842511</v>
      </c>
      <c r="CV226" s="65">
        <f t="shared" si="1297"/>
        <v>-0.1961148141144573</v>
      </c>
      <c r="CW226" s="65">
        <f t="shared" si="1297"/>
        <v>-5.6883264436068837E-2</v>
      </c>
      <c r="CX226" s="65">
        <f t="shared" si="1297"/>
        <v>5.1895991087437032E-2</v>
      </c>
      <c r="CY226" s="65">
        <f t="shared" si="1297"/>
        <v>-5.8455682787944552E-3</v>
      </c>
      <c r="CZ226" s="65">
        <f t="shared" si="1297"/>
        <v>2.2672316244346069E-2</v>
      </c>
      <c r="DA226" s="65">
        <f t="shared" si="1297"/>
        <v>-0.11169391476476076</v>
      </c>
      <c r="DB226" s="65">
        <f t="shared" si="1297"/>
        <v>-4.4032019282363444E-2</v>
      </c>
      <c r="DC226" s="65">
        <f t="shared" si="1297"/>
        <v>-0.11429780383712906</v>
      </c>
      <c r="DD226" s="65">
        <f t="shared" si="1297"/>
        <v>-6.9077062103311326E-2</v>
      </c>
      <c r="DE226" s="65">
        <f t="shared" si="1297"/>
        <v>-9.3437487041170608E-2</v>
      </c>
      <c r="DF226" s="65">
        <f t="shared" si="1297"/>
        <v>-5.5445782533380727E-2</v>
      </c>
      <c r="DG226" s="65">
        <f t="shared" si="1297"/>
        <v>0.13682633674217426</v>
      </c>
      <c r="DH226" s="1066">
        <f t="shared" si="1297"/>
        <v>3.5632641233007023E-2</v>
      </c>
      <c r="DI226" s="65">
        <f t="shared" si="1297"/>
        <v>0.26163055274731395</v>
      </c>
      <c r="DJ226" s="65">
        <f t="shared" si="1297"/>
        <v>8.081101776677091E-3</v>
      </c>
      <c r="DK226" s="1066">
        <f t="shared" ref="DK226:EF226" si="1298">DK225/DH225-1</f>
        <v>0.12978962108052561</v>
      </c>
      <c r="DL226" s="65">
        <f t="shared" si="1298"/>
        <v>-0.12804951040525914</v>
      </c>
      <c r="DM226" s="65">
        <f t="shared" si="1298"/>
        <v>-7.2710791200000013E-2</v>
      </c>
      <c r="DN226" s="1066">
        <f t="shared" si="1298"/>
        <v>-0.10237426609995226</v>
      </c>
      <c r="DO226" s="65">
        <f t="shared" si="1298"/>
        <v>-5.5230741094147606E-2</v>
      </c>
      <c r="DP226" s="65">
        <f t="shared" si="1298"/>
        <v>0.17816280386740324</v>
      </c>
      <c r="DQ226" s="1066">
        <f t="shared" si="1298"/>
        <v>5.6634260400178826E-2</v>
      </c>
      <c r="DR226" s="65">
        <f t="shared" si="1298"/>
        <v>2.3122688735297325E-2</v>
      </c>
      <c r="DS226" s="65">
        <f t="shared" si="1298"/>
        <v>-7.5193874229420588E-2</v>
      </c>
      <c r="DT226" s="1066">
        <f t="shared" si="1298"/>
        <v>-2.9420049156192674E-2</v>
      </c>
      <c r="DU226" s="65">
        <f t="shared" si="1298"/>
        <v>-2.8078440033171725E-2</v>
      </c>
      <c r="DV226" s="65">
        <f t="shared" ref="DV226" si="1299">DV225/DS225-1</f>
        <v>-8.5345693177064086E-2</v>
      </c>
      <c r="DW226" s="1066">
        <f t="shared" ref="DW226" si="1300">DW225/DT225-1</f>
        <v>-5.7240066706085724E-2</v>
      </c>
      <c r="DX226" s="65">
        <f t="shared" si="1298"/>
        <v>-4.8723761416669453E-2</v>
      </c>
      <c r="DY226" s="65">
        <f t="shared" si="1298"/>
        <v>0.1133596214511039</v>
      </c>
      <c r="DZ226" s="1066">
        <f t="shared" si="1298"/>
        <v>3.1351755782384361E-2</v>
      </c>
      <c r="EA226" s="65">
        <f t="shared" si="1298"/>
        <v>4.4289108811742306E-2</v>
      </c>
      <c r="EB226" s="65">
        <f t="shared" si="1298"/>
        <v>-3.9999999999999925E-2</v>
      </c>
      <c r="EC226" s="1066">
        <f t="shared" si="1298"/>
        <v>-6.6417026364229415E-4</v>
      </c>
      <c r="ED226" s="65">
        <f t="shared" si="1298"/>
        <v>-4.0000000000000036E-2</v>
      </c>
      <c r="EE226" s="65">
        <f t="shared" si="1298"/>
        <v>-4.0000000000000147E-2</v>
      </c>
      <c r="EF226" s="1066">
        <f t="shared" si="1298"/>
        <v>-3.9999999999999925E-2</v>
      </c>
      <c r="EG226" s="65">
        <f t="shared" ref="EG226:EL226" si="1301">EG225/ED225-1</f>
        <v>-4.0000000000000036E-2</v>
      </c>
      <c r="EH226" s="65">
        <f t="shared" si="1301"/>
        <v>-3.9999999999999925E-2</v>
      </c>
      <c r="EI226" s="1066">
        <f t="shared" si="1301"/>
        <v>-3.9999999999999925E-2</v>
      </c>
      <c r="EJ226" s="65">
        <f t="shared" si="1301"/>
        <v>-4.0000000000000147E-2</v>
      </c>
      <c r="EK226" s="65">
        <f t="shared" si="1301"/>
        <v>-4.0000000000000036E-2</v>
      </c>
      <c r="EL226" s="1066">
        <f t="shared" si="1301"/>
        <v>-4.0000000000000258E-2</v>
      </c>
      <c r="EM226" s="65">
        <f t="shared" ref="EM226:ER226" si="1302">EM225/EJ225-1</f>
        <v>-4.0000000000000036E-2</v>
      </c>
      <c r="EN226" s="65">
        <f t="shared" si="1302"/>
        <v>-4.0000000000000036E-2</v>
      </c>
      <c r="EO226" s="1066">
        <f t="shared" si="1302"/>
        <v>-3.9999999999999813E-2</v>
      </c>
      <c r="EP226" s="65">
        <f t="shared" si="1302"/>
        <v>-3.9999999999999925E-2</v>
      </c>
      <c r="EQ226" s="65">
        <f t="shared" si="1302"/>
        <v>-4.0000000000000036E-2</v>
      </c>
      <c r="ER226" s="1066">
        <f t="shared" si="1302"/>
        <v>-4.0000000000000036E-2</v>
      </c>
      <c r="ES226" s="65">
        <f t="shared" ref="ES226" si="1303">ES225/EP225-1</f>
        <v>-3.9999999999999813E-2</v>
      </c>
      <c r="ET226" s="65">
        <f t="shared" ref="ET226" si="1304">ET225/EQ225-1</f>
        <v>-4.0000000000000036E-2</v>
      </c>
      <c r="EU226" s="1066">
        <f t="shared" ref="EU226" si="1305">EU225/ER225-1</f>
        <v>-3.9999999999999925E-2</v>
      </c>
      <c r="EV226" s="65">
        <f t="shared" ref="EV226" si="1306">EV225/ES225-1</f>
        <v>-4.0000000000000147E-2</v>
      </c>
      <c r="EW226" s="65">
        <f t="shared" ref="EW226" si="1307">EW225/ET225-1</f>
        <v>-3.9999999999999925E-2</v>
      </c>
      <c r="EX226" s="1066">
        <f t="shared" ref="EX226" si="1308">EX225/EU225-1</f>
        <v>-4.0000000000000036E-2</v>
      </c>
      <c r="EY226" s="65">
        <f t="shared" ref="EY226" si="1309">EY225/EV225-1</f>
        <v>-3.9999999999999925E-2</v>
      </c>
      <c r="EZ226" s="65">
        <f t="shared" ref="EZ226" si="1310">EZ225/EW225-1</f>
        <v>-4.0000000000000147E-2</v>
      </c>
      <c r="FA226" s="1066">
        <f t="shared" ref="FA226" si="1311">FA225/EX225-1</f>
        <v>-4.0000000000000258E-2</v>
      </c>
    </row>
    <row r="227" spans="1:157" outlineLevel="1">
      <c r="B227" s="31"/>
      <c r="BA227" s="35"/>
      <c r="BB227" s="35"/>
      <c r="BC227" s="322"/>
      <c r="BD227" s="35"/>
      <c r="BE227" s="35"/>
      <c r="BG227" s="35"/>
      <c r="BH227" s="35"/>
      <c r="BJ227" s="35"/>
      <c r="BK227" s="35"/>
      <c r="BL227" s="31"/>
      <c r="BM227" s="35"/>
      <c r="BN227" s="35"/>
      <c r="BO227" s="31"/>
      <c r="BP227" s="35"/>
      <c r="BQ227" s="35"/>
      <c r="BR227" s="1024"/>
      <c r="BS227" s="74"/>
      <c r="BT227" s="70"/>
      <c r="BU227" s="74"/>
      <c r="BV227" s="74"/>
      <c r="BW227" s="74"/>
      <c r="BX227" s="74"/>
      <c r="BY227" s="70"/>
      <c r="BZ227" s="70"/>
      <c r="CA227" s="70"/>
      <c r="CB227" s="70"/>
      <c r="CC227" s="70"/>
      <c r="CD227" s="70"/>
      <c r="CE227" s="70"/>
      <c r="CF227" s="70"/>
      <c r="CG227" s="70"/>
      <c r="CH227" s="70"/>
      <c r="CI227" s="70"/>
      <c r="CJ227" s="70"/>
      <c r="CK227" s="35"/>
      <c r="CL227" s="35"/>
      <c r="CN227" s="35"/>
      <c r="CO227" s="35"/>
      <c r="CQ227" s="35"/>
      <c r="CR227" s="35"/>
      <c r="CT227" s="35"/>
      <c r="CU227" s="35"/>
      <c r="CW227" s="35"/>
      <c r="CX227" s="35"/>
      <c r="CZ227" s="35"/>
      <c r="DA227" s="35"/>
      <c r="DC227" s="35"/>
      <c r="DD227" s="35"/>
      <c r="DF227" s="35"/>
      <c r="DG227" s="35"/>
      <c r="DH227" s="1067"/>
      <c r="DI227" s="35"/>
      <c r="DJ227" s="35"/>
      <c r="DK227" s="1067"/>
      <c r="DL227" s="35"/>
      <c r="DM227" s="35"/>
      <c r="DN227" s="1067"/>
      <c r="DO227" s="35"/>
      <c r="DP227" s="35"/>
      <c r="DQ227" s="1067"/>
      <c r="DR227" s="35"/>
      <c r="DS227" s="35"/>
      <c r="DT227" s="1067"/>
      <c r="DU227" s="35"/>
      <c r="DV227" s="35"/>
      <c r="DW227" s="1067"/>
      <c r="DX227" s="35"/>
      <c r="DY227" s="35"/>
      <c r="DZ227" s="1067"/>
      <c r="EA227" s="35"/>
      <c r="EB227" s="35"/>
      <c r="EC227" s="1067"/>
      <c r="ED227" s="35"/>
      <c r="EE227" s="35"/>
      <c r="EF227" s="1067"/>
      <c r="EG227" s="35"/>
      <c r="EH227" s="35"/>
      <c r="EI227" s="1067"/>
      <c r="EJ227" s="35"/>
      <c r="EK227" s="35"/>
      <c r="EL227" s="1067"/>
      <c r="EM227" s="35"/>
      <c r="EN227" s="35"/>
      <c r="EO227" s="1067"/>
      <c r="EP227" s="35"/>
      <c r="EQ227" s="35"/>
      <c r="ER227" s="1067"/>
      <c r="ES227" s="35"/>
      <c r="ET227" s="35"/>
      <c r="EU227" s="1067"/>
      <c r="EV227" s="35"/>
      <c r="EW227" s="35"/>
      <c r="EX227" s="1067"/>
      <c r="EY227" s="35"/>
      <c r="EZ227" s="35"/>
      <c r="FA227" s="1067"/>
    </row>
    <row r="228" spans="1:157" outlineLevel="1">
      <c r="B228" s="35" t="s">
        <v>429</v>
      </c>
      <c r="D228" s="162" t="s">
        <v>39</v>
      </c>
      <c r="BA228" s="35"/>
      <c r="BB228" s="35"/>
      <c r="BC228" s="322"/>
      <c r="BD228" s="35"/>
      <c r="BE228" s="35"/>
      <c r="BG228" s="35"/>
      <c r="BH228" s="35"/>
      <c r="BJ228" s="35"/>
      <c r="BK228" s="35"/>
      <c r="BL228" s="31"/>
      <c r="BM228" s="70">
        <f t="shared" ref="BM228:CI228" si="1312">BM225*BM194</f>
        <v>0</v>
      </c>
      <c r="BN228" s="70">
        <f t="shared" si="1312"/>
        <v>0</v>
      </c>
      <c r="BO228" s="1024">
        <f t="shared" si="1312"/>
        <v>0</v>
      </c>
      <c r="BP228" s="70">
        <f t="shared" si="1312"/>
        <v>0</v>
      </c>
      <c r="BQ228" s="70">
        <f t="shared" si="1312"/>
        <v>0</v>
      </c>
      <c r="BR228" s="1024">
        <f t="shared" si="1312"/>
        <v>0</v>
      </c>
      <c r="BS228" s="70">
        <f t="shared" si="1312"/>
        <v>5.8639866089216373</v>
      </c>
      <c r="BT228" s="70">
        <f t="shared" si="1312"/>
        <v>5.8639866089216373</v>
      </c>
      <c r="BU228" s="70">
        <f t="shared" si="1312"/>
        <v>11.727973217843275</v>
      </c>
      <c r="BV228" s="70">
        <f t="shared" si="1312"/>
        <v>3.9093244059477583</v>
      </c>
      <c r="BW228" s="70">
        <f t="shared" si="1312"/>
        <v>4.886655507434698</v>
      </c>
      <c r="BX228" s="70">
        <f t="shared" si="1312"/>
        <v>0</v>
      </c>
      <c r="BY228" s="70">
        <f t="shared" si="1312"/>
        <v>4.886655507434698</v>
      </c>
      <c r="BZ228" s="70">
        <f t="shared" si="1312"/>
        <v>6.0971240336310819</v>
      </c>
      <c r="CA228" s="70">
        <f t="shared" si="1312"/>
        <v>0</v>
      </c>
      <c r="CB228" s="70">
        <f t="shared" si="1312"/>
        <v>5.9013069250498713</v>
      </c>
      <c r="CC228" s="70">
        <f t="shared" si="1312"/>
        <v>6.5135823508614825</v>
      </c>
      <c r="CD228" s="70">
        <f t="shared" si="1312"/>
        <v>0</v>
      </c>
      <c r="CE228" s="70">
        <f t="shared" si="1312"/>
        <v>5.0756641261743534</v>
      </c>
      <c r="CF228" s="70">
        <f t="shared" si="1312"/>
        <v>6.2290230606193857</v>
      </c>
      <c r="CG228" s="70">
        <f t="shared" si="1312"/>
        <v>11.337183979514252</v>
      </c>
      <c r="CH228" s="70">
        <f t="shared" si="1312"/>
        <v>7.553681929321522</v>
      </c>
      <c r="CI228" s="70">
        <f t="shared" si="1312"/>
        <v>6.1095462796319424</v>
      </c>
      <c r="CJ228" s="70">
        <f>CH228+CI228</f>
        <v>13.663228208953464</v>
      </c>
      <c r="CK228" s="70">
        <f>CK225*CK194</f>
        <v>5.9699989236556075</v>
      </c>
      <c r="CL228" s="70">
        <f>CL225*CL194</f>
        <v>0.39280905028530189</v>
      </c>
      <c r="CM228" s="70">
        <f>CK228+CL228</f>
        <v>6.3628079739409094</v>
      </c>
      <c r="CN228" s="70">
        <f>CN225*CN194</f>
        <v>5.868967043605033</v>
      </c>
      <c r="CO228" s="70">
        <f>CO225*CO194</f>
        <v>4.2216252839620099</v>
      </c>
      <c r="CP228" s="70">
        <f>CN228+CO228</f>
        <v>10.090592327567043</v>
      </c>
      <c r="CQ228" s="70">
        <f>CQ225*CQ194</f>
        <v>7.9936308455787639</v>
      </c>
      <c r="CR228" s="70">
        <f>CR225*CR194</f>
        <v>5.6513015626434502</v>
      </c>
      <c r="CS228" s="70">
        <f>CQ228+CR228</f>
        <v>13.644932408222214</v>
      </c>
      <c r="CT228" s="70">
        <f>CT225*CT194</f>
        <v>0</v>
      </c>
      <c r="CU228" s="70">
        <f>CU225*CU194</f>
        <v>8.1860871750278328</v>
      </c>
      <c r="CV228" s="70">
        <f>CT228+CU228</f>
        <v>8.1860871750278328</v>
      </c>
      <c r="CW228" s="70">
        <f>CW225*CW194</f>
        <v>10.580076597709326</v>
      </c>
      <c r="CX228" s="70">
        <f>CX225*CX194</f>
        <v>10.666005502464984</v>
      </c>
      <c r="CY228" s="70">
        <f>CW228+CX228</f>
        <v>21.246082100174309</v>
      </c>
      <c r="CZ228" s="70">
        <f>CZ225*CZ194</f>
        <v>12.388931717159327</v>
      </c>
      <c r="DA228" s="70">
        <f>DA225*DA194</f>
        <v>9.6083140467391193</v>
      </c>
      <c r="DB228" s="70">
        <f>CZ228+DA228</f>
        <v>21.997245763898448</v>
      </c>
      <c r="DC228" s="70">
        <f>DC225*DC194</f>
        <v>12.662959328887631</v>
      </c>
      <c r="DD228" s="70">
        <f>DD225*DD194</f>
        <v>10.163410769778253</v>
      </c>
      <c r="DE228" s="70">
        <f>DC228+DD228</f>
        <v>22.826370098665883</v>
      </c>
      <c r="DF228" s="70">
        <f>DF225*DF194</f>
        <v>11.912362897491548</v>
      </c>
      <c r="DG228" s="70">
        <f>DG225*DG194</f>
        <v>7.9343244889103888</v>
      </c>
      <c r="DH228" s="1070">
        <f>DF228+DG228</f>
        <v>19.846687386401936</v>
      </c>
      <c r="DI228" s="70">
        <f>DI225*DI194</f>
        <v>15.825738541357683</v>
      </c>
      <c r="DJ228" s="70">
        <f>DJ225*DJ194</f>
        <v>12.544653951374098</v>
      </c>
      <c r="DK228" s="1070">
        <f>DI228+DJ228</f>
        <v>28.370392492731781</v>
      </c>
      <c r="DL228" s="233">
        <f>DL225*DL194</f>
        <v>16.442035469216517</v>
      </c>
      <c r="DM228" s="233">
        <f>DM225*DM194</f>
        <v>16.554232975622025</v>
      </c>
      <c r="DN228" s="1070">
        <f>DL228+DM228</f>
        <v>32.996268444838542</v>
      </c>
      <c r="DO228" s="233">
        <f>DO225*DO194</f>
        <v>14.35112960830214</v>
      </c>
      <c r="DP228" s="233">
        <f>DP225*DP194</f>
        <v>24.925388457010179</v>
      </c>
      <c r="DQ228" s="1070">
        <f>DO228+DP228</f>
        <v>39.276518065312317</v>
      </c>
      <c r="DR228" s="233">
        <f>DR225*DR194</f>
        <v>20.210496643799274</v>
      </c>
      <c r="DS228" s="233">
        <f>DS225*DS194</f>
        <v>24.021188670798168</v>
      </c>
      <c r="DT228" s="1070">
        <f>DR228+DS228</f>
        <v>44.231685314597442</v>
      </c>
      <c r="DU228" s="233">
        <f>DU225*DU194</f>
        <v>20.118121806975473</v>
      </c>
      <c r="DV228" s="233">
        <f>DV225*DV194</f>
        <v>23.300724571733067</v>
      </c>
      <c r="DW228" s="1070">
        <f>DU228+DV228</f>
        <v>43.418846378708537</v>
      </c>
      <c r="DX228" s="233">
        <f>DX225*DX194</f>
        <v>20.252894730483934</v>
      </c>
      <c r="DY228" s="233">
        <f>DY225*DY194</f>
        <v>27.376861133999302</v>
      </c>
      <c r="DZ228" s="1070">
        <f>DX228+DY228</f>
        <v>47.629755864483236</v>
      </c>
      <c r="EA228" s="233">
        <f>EA225*EA194</f>
        <v>22.866192949534454</v>
      </c>
      <c r="EB228" s="233">
        <f>EB225*EB194</f>
        <v>28.091846949447444</v>
      </c>
      <c r="EC228" s="1070">
        <f>EA228+EB228</f>
        <v>50.958039898981895</v>
      </c>
      <c r="ED228" s="233">
        <f>ED225*ED194</f>
        <v>23.049122493130728</v>
      </c>
      <c r="EE228" s="233">
        <f>EE225*EE194</f>
        <v>28.316581725043022</v>
      </c>
      <c r="EF228" s="1070">
        <f>ED228+EE228</f>
        <v>51.365704218173747</v>
      </c>
      <c r="EG228" s="233">
        <f>EG225*EG194</f>
        <v>23.233515473075776</v>
      </c>
      <c r="EH228" s="233">
        <f>EH225*EH194</f>
        <v>28.543114378843374</v>
      </c>
      <c r="EI228" s="1070">
        <f>EG228+EH228</f>
        <v>51.776629851919154</v>
      </c>
      <c r="EJ228" s="233">
        <f>EJ225*EJ194</f>
        <v>23.419383596860381</v>
      </c>
      <c r="EK228" s="233">
        <f>EK225*EK194</f>
        <v>28.771459293874123</v>
      </c>
      <c r="EL228" s="1070">
        <f>EJ228+EK228</f>
        <v>52.190842890734501</v>
      </c>
      <c r="EM228" s="233">
        <f>EM225*EM194</f>
        <v>23.606738665635259</v>
      </c>
      <c r="EN228" s="233">
        <f>EN225*EN194</f>
        <v>29.001630968225122</v>
      </c>
      <c r="EO228" s="1070">
        <f>EM228+EN228</f>
        <v>52.608369633860377</v>
      </c>
      <c r="EP228" s="233">
        <f>EP225*EP194</f>
        <v>23.795592574960349</v>
      </c>
      <c r="EQ228" s="233">
        <f>EQ225*EQ194</f>
        <v>29.233644015970917</v>
      </c>
      <c r="ER228" s="1070">
        <f>EP228+EQ228</f>
        <v>53.029236590931262</v>
      </c>
      <c r="ES228" s="233">
        <f>ES225*ES194</f>
        <v>0</v>
      </c>
      <c r="ET228" s="233">
        <f>ET225*ET194</f>
        <v>0</v>
      </c>
      <c r="EU228" s="1070">
        <f>ES228+ET228</f>
        <v>0</v>
      </c>
      <c r="EV228" s="233">
        <f>EV225*EV194</f>
        <v>0</v>
      </c>
      <c r="EW228" s="233">
        <f>EW225*EW194</f>
        <v>0</v>
      </c>
      <c r="EX228" s="1070">
        <f>EV228+EW228</f>
        <v>0</v>
      </c>
      <c r="EY228" s="233">
        <f>EY225*EY194</f>
        <v>0</v>
      </c>
      <c r="EZ228" s="233">
        <f>EZ225*EZ194</f>
        <v>0</v>
      </c>
      <c r="FA228" s="1070">
        <f>EY228+EZ228</f>
        <v>0</v>
      </c>
    </row>
    <row r="229" spans="1:157" outlineLevel="1">
      <c r="D229" s="162" t="s">
        <v>604</v>
      </c>
      <c r="BA229" s="35"/>
      <c r="BB229" s="35"/>
      <c r="BC229" s="322"/>
      <c r="BD229" s="35"/>
      <c r="BE229" s="35"/>
      <c r="BG229" s="35"/>
      <c r="BH229" s="35"/>
      <c r="BJ229" s="35"/>
      <c r="BK229" s="35"/>
      <c r="BL229" s="31"/>
      <c r="BM229" s="70">
        <f>BM228/BM75</f>
        <v>0</v>
      </c>
      <c r="BN229" s="70">
        <f>BN228/BN75</f>
        <v>0</v>
      </c>
      <c r="BO229" s="1024">
        <f>BM229+BN229</f>
        <v>0</v>
      </c>
      <c r="BP229" s="70">
        <f>BP228/BP75</f>
        <v>0</v>
      </c>
      <c r="BQ229" s="70">
        <f>BQ228/BQ75</f>
        <v>0</v>
      </c>
      <c r="BR229" s="1024">
        <f>BP229+BQ229</f>
        <v>0</v>
      </c>
      <c r="BS229" s="70">
        <f>BS228/BS75</f>
        <v>7.8186488118955166</v>
      </c>
      <c r="BT229" s="70">
        <f>BT228/BT75</f>
        <v>7.3299832611520461</v>
      </c>
      <c r="BU229" s="70">
        <f>BS229+BT229</f>
        <v>15.148632073047562</v>
      </c>
      <c r="BV229" s="70">
        <f>BV228/BV75</f>
        <v>4.4998381688453311</v>
      </c>
      <c r="BW229" s="70">
        <f>BW228/BW75</f>
        <v>5.2943179928869961</v>
      </c>
      <c r="BX229" s="70">
        <f>BV229+BW229</f>
        <v>9.7941561617323281</v>
      </c>
      <c r="BY229" s="70">
        <f>BY228/BY75</f>
        <v>6.1083193842933721</v>
      </c>
      <c r="BZ229" s="70">
        <f>BZ228/BZ75</f>
        <v>6.8312065127391275</v>
      </c>
      <c r="CA229" s="70">
        <f>BY229+BZ229</f>
        <v>12.9395258970325</v>
      </c>
      <c r="CB229" s="70">
        <f>CB228/CB75</f>
        <v>6.7711598746081494</v>
      </c>
      <c r="CC229" s="70">
        <f>CC228/CC75</f>
        <v>7.2978056426332305</v>
      </c>
      <c r="CD229" s="70">
        <f>CB229+CC229</f>
        <v>14.068965517241381</v>
      </c>
      <c r="CE229" s="70">
        <f>CE228/CE75</f>
        <v>5.3815579563667741</v>
      </c>
      <c r="CF229" s="70">
        <f>CF228/CF75</f>
        <v>5.9738158011051761</v>
      </c>
      <c r="CG229" s="70">
        <f>CE229+CF229</f>
        <v>11.35537375747195</v>
      </c>
      <c r="CH229" s="70">
        <f>CH228/CH75</f>
        <v>7.3336717760403127</v>
      </c>
      <c r="CI229" s="70">
        <f>CI228/CI75</f>
        <v>5.9315983297397494</v>
      </c>
      <c r="CJ229" s="70">
        <f>CH229+CI229</f>
        <v>13.265270105780061</v>
      </c>
      <c r="CK229" s="70">
        <f>CK228/CK75</f>
        <v>5.8180429037381618</v>
      </c>
      <c r="CL229" s="70">
        <f>CL228/CL75</f>
        <v>0.38388939364662877</v>
      </c>
      <c r="CM229" s="70">
        <f>CK229+CL229</f>
        <v>6.2019322973847908</v>
      </c>
      <c r="CN229" s="70">
        <f>CN228/CN75</f>
        <v>6.5943449928146434</v>
      </c>
      <c r="CO229" s="70">
        <f>CO228/CO75</f>
        <v>4.6132861254163648</v>
      </c>
      <c r="CP229" s="70">
        <f>CN229+CO229</f>
        <v>11.207631118231008</v>
      </c>
      <c r="CQ229" s="70">
        <f>CQ228/CQ75</f>
        <v>8.9816076916615319</v>
      </c>
      <c r="CR229" s="70">
        <f>CR228/CR75</f>
        <v>7.6368940035722304</v>
      </c>
      <c r="CS229" s="70">
        <f>CQ229+CR229</f>
        <v>16.618501695233761</v>
      </c>
      <c r="CT229" s="70">
        <f>CT228/CT75</f>
        <v>0</v>
      </c>
      <c r="CU229" s="70">
        <f>CU228/CU75</f>
        <v>11.158833247688518</v>
      </c>
      <c r="CV229" s="70">
        <f>CT229+CU229</f>
        <v>11.158833247688518</v>
      </c>
      <c r="CW229" s="70">
        <f>CW228/CW75</f>
        <v>14.040472367863019</v>
      </c>
      <c r="CX229" s="70">
        <f>CX228/CX75</f>
        <v>14.139923494617829</v>
      </c>
      <c r="CY229" s="70">
        <f>CW229+CX229</f>
        <v>28.18039586248085</v>
      </c>
      <c r="CZ229" s="70">
        <f>CZ228/CZ75</f>
        <v>15.896340633723222</v>
      </c>
      <c r="DA229" s="70">
        <f>DA228/DA75</f>
        <v>12.611625675011931</v>
      </c>
      <c r="DB229" s="70">
        <f>CZ229+DA229</f>
        <v>28.507966308735153</v>
      </c>
      <c r="DC229" s="70">
        <f>DC228/DC75</f>
        <v>17.492256483313898</v>
      </c>
      <c r="DD229" s="70">
        <f>DD228/DD75</f>
        <v>14.172933718837335</v>
      </c>
      <c r="DE229" s="70">
        <f>DC229+DD229</f>
        <v>31.665190202151233</v>
      </c>
      <c r="DF229" s="70">
        <f>DF228/DF75</f>
        <v>17.299394274602886</v>
      </c>
      <c r="DG229" s="70">
        <f>DG228/DG75</f>
        <v>12.021703771076346</v>
      </c>
      <c r="DH229" s="1070">
        <f>DF229+DG229</f>
        <v>29.321098045679232</v>
      </c>
      <c r="DI229" s="70">
        <f>DI228/DI75</f>
        <v>21.887116294656316</v>
      </c>
      <c r="DJ229" s="70">
        <f>DJ228/DJ75</f>
        <v>16.912652278626755</v>
      </c>
      <c r="DK229" s="1070">
        <f>DI229+DJ229</f>
        <v>38.799768573283075</v>
      </c>
      <c r="DL229" s="233">
        <f>DL228/DL75</f>
        <v>22.836160373911831</v>
      </c>
      <c r="DM229" s="233">
        <f>DM228/DM75</f>
        <v>22.864962673511084</v>
      </c>
      <c r="DN229" s="1070">
        <f>DL229+DM229</f>
        <v>45.701123047422911</v>
      </c>
      <c r="DO229" s="233">
        <f>DO228/DO75</f>
        <v>21.403258065366312</v>
      </c>
      <c r="DP229" s="233">
        <f>DP228/DP75</f>
        <v>36.847934482844252</v>
      </c>
      <c r="DQ229" s="1070">
        <f>DO229+DP229</f>
        <v>58.251192548210568</v>
      </c>
      <c r="DR229" s="233">
        <f>DR228/DR75</f>
        <v>30.93373569302161</v>
      </c>
      <c r="DS229" s="233">
        <f>DS228/DS75</f>
        <v>36.478638008885703</v>
      </c>
      <c r="DT229" s="1070">
        <f>DR229+DS229</f>
        <v>67.412373701907313</v>
      </c>
      <c r="DU229" s="233">
        <f>DU228/DU75</f>
        <v>30.414650822905962</v>
      </c>
      <c r="DV229" s="233">
        <f>DV228/DV75</f>
        <v>36.751931501156257</v>
      </c>
      <c r="DW229" s="1070">
        <f>DU229+DV229</f>
        <v>67.166582324062219</v>
      </c>
      <c r="DX229" s="233">
        <f>DX228/DX75</f>
        <v>30.899189733746926</v>
      </c>
      <c r="DY229" s="233">
        <f>DY228/DY75</f>
        <v>38.396719683028479</v>
      </c>
      <c r="DZ229" s="1070">
        <f>DX229+DY229</f>
        <v>69.295909416775402</v>
      </c>
      <c r="EA229" s="233">
        <f>EA228/EA75</f>
        <v>32.070396843666835</v>
      </c>
      <c r="EB229" s="233">
        <f>EB228/EB75</f>
        <v>39.399504837934707</v>
      </c>
      <c r="EC229" s="1070">
        <f>EA229+EB229</f>
        <v>71.469901681601542</v>
      </c>
      <c r="ED229" s="233">
        <f>ED228/ED75</f>
        <v>32.326960018416173</v>
      </c>
      <c r="EE229" s="233">
        <f>EE228/EE75</f>
        <v>39.714700876638183</v>
      </c>
      <c r="EF229" s="1070">
        <f>ED229+EE229</f>
        <v>72.041660895054349</v>
      </c>
      <c r="EG229" s="233">
        <f>EG228/EG75</f>
        <v>32.585575698563503</v>
      </c>
      <c r="EH229" s="233">
        <f>EH228/EH75</f>
        <v>40.032418483651298</v>
      </c>
      <c r="EI229" s="1070">
        <f>EG229+EH229</f>
        <v>72.617994182214801</v>
      </c>
      <c r="EJ229" s="233">
        <f>EJ228/EJ75</f>
        <v>32.846260304152011</v>
      </c>
      <c r="EK229" s="233">
        <f>EK228/EK75</f>
        <v>40.352677831520509</v>
      </c>
      <c r="EL229" s="1070">
        <f>EJ229+EK229</f>
        <v>73.19893813567252</v>
      </c>
      <c r="EM229" s="233">
        <f>EM228/EM75</f>
        <v>33.109030386585218</v>
      </c>
      <c r="EN229" s="233">
        <f>EN228/EN75</f>
        <v>40.675499254172685</v>
      </c>
      <c r="EO229" s="1070">
        <f>EM229+EN229</f>
        <v>73.78452964075791</v>
      </c>
      <c r="EP229" s="233">
        <f>EP228/EP75</f>
        <v>33.373902629677907</v>
      </c>
      <c r="EQ229" s="233">
        <f>EQ228/EQ75</f>
        <v>41.000903248206058</v>
      </c>
      <c r="ER229" s="1070">
        <f>EP229+EQ229</f>
        <v>74.374805877883972</v>
      </c>
      <c r="ES229" s="233">
        <f>ES228/ES75</f>
        <v>0</v>
      </c>
      <c r="ET229" s="233">
        <f>ET228/ET75</f>
        <v>0</v>
      </c>
      <c r="EU229" s="1070">
        <f>ES229+ET229</f>
        <v>0</v>
      </c>
      <c r="EV229" s="233">
        <f>EV228/EV75</f>
        <v>0</v>
      </c>
      <c r="EW229" s="233">
        <f>EW228/EW75</f>
        <v>0</v>
      </c>
      <c r="EX229" s="1070">
        <f>EV229+EW229</f>
        <v>0</v>
      </c>
      <c r="EY229" s="233">
        <f>EY228/EY75</f>
        <v>0</v>
      </c>
      <c r="EZ229" s="233">
        <f>EZ228/EZ75</f>
        <v>0</v>
      </c>
      <c r="FA229" s="1070">
        <f>EY229+EZ229</f>
        <v>0</v>
      </c>
    </row>
    <row r="230" spans="1:157" outlineLevel="1">
      <c r="BA230" s="35"/>
      <c r="BB230" s="35"/>
      <c r="BC230" s="322"/>
      <c r="BD230" s="35"/>
      <c r="BE230" s="35"/>
      <c r="BG230" s="35"/>
      <c r="BH230" s="35"/>
      <c r="BJ230" s="35"/>
      <c r="BK230" s="35"/>
      <c r="BL230" s="31"/>
      <c r="BM230" s="70"/>
      <c r="BN230" s="70"/>
      <c r="BO230" s="1024"/>
      <c r="BP230" s="70"/>
      <c r="BQ230" s="70"/>
      <c r="BR230" s="1024"/>
      <c r="BS230" s="70"/>
      <c r="BT230" s="70"/>
      <c r="BU230" s="70"/>
      <c r="BV230" s="70"/>
      <c r="BW230" s="70"/>
      <c r="BX230" s="70"/>
      <c r="BY230" s="70"/>
      <c r="BZ230" s="70"/>
      <c r="CA230" s="70"/>
      <c r="CB230" s="70"/>
      <c r="CC230" s="70"/>
      <c r="CD230" s="70"/>
      <c r="CE230" s="70"/>
      <c r="CF230" s="70"/>
      <c r="CG230" s="70"/>
      <c r="CH230" s="70"/>
      <c r="CI230" s="70"/>
      <c r="CJ230" s="70"/>
      <c r="CK230" s="70"/>
      <c r="CL230" s="70"/>
      <c r="CM230" s="70"/>
      <c r="CN230" s="70"/>
      <c r="CO230" s="70"/>
      <c r="CP230" s="70"/>
      <c r="CQ230" s="70"/>
      <c r="CR230" s="70"/>
      <c r="CS230" s="70"/>
      <c r="CT230" s="70"/>
      <c r="CU230" s="70"/>
      <c r="CV230" s="70"/>
      <c r="CW230" s="70"/>
      <c r="CX230" s="70"/>
      <c r="CY230" s="70"/>
      <c r="CZ230" s="70"/>
      <c r="DA230" s="70"/>
      <c r="DB230" s="70"/>
      <c r="DC230" s="70"/>
      <c r="DD230" s="70"/>
      <c r="DE230" s="70"/>
      <c r="DF230" s="70"/>
      <c r="DG230" s="70"/>
      <c r="DH230" s="1070"/>
      <c r="DI230" s="70"/>
      <c r="DJ230" s="70"/>
      <c r="DK230" s="1070"/>
      <c r="DL230" s="233"/>
      <c r="DM230" s="233"/>
      <c r="DN230" s="1070"/>
      <c r="DO230" s="233"/>
      <c r="DP230" s="233"/>
      <c r="DQ230" s="1070"/>
      <c r="DR230" s="233"/>
      <c r="DS230" s="233"/>
      <c r="DT230" s="1070"/>
      <c r="DU230" s="233"/>
      <c r="DV230" s="233"/>
      <c r="DW230" s="1070"/>
      <c r="DX230" s="233"/>
      <c r="DY230" s="233"/>
      <c r="DZ230" s="1070"/>
      <c r="EA230" s="233"/>
      <c r="EB230" s="233"/>
      <c r="EC230" s="1070"/>
      <c r="ED230" s="233"/>
      <c r="EE230" s="233"/>
      <c r="EF230" s="1070"/>
      <c r="EG230" s="233"/>
      <c r="EH230" s="233"/>
      <c r="EI230" s="1070"/>
      <c r="EJ230" s="233"/>
      <c r="EK230" s="233"/>
      <c r="EL230" s="1070"/>
      <c r="EM230" s="233"/>
      <c r="EN230" s="233"/>
      <c r="EO230" s="1070"/>
      <c r="EP230" s="233"/>
      <c r="EQ230" s="233"/>
      <c r="ER230" s="1070"/>
      <c r="ES230" s="233"/>
      <c r="ET230" s="233"/>
      <c r="EU230" s="1070"/>
      <c r="EV230" s="233"/>
      <c r="EW230" s="233"/>
      <c r="EX230" s="1070"/>
      <c r="EY230" s="233"/>
      <c r="EZ230" s="233"/>
      <c r="FA230" s="1070"/>
    </row>
    <row r="231" spans="1:157" outlineLevel="1">
      <c r="B231" s="35" t="s">
        <v>486</v>
      </c>
      <c r="D231" s="162" t="s">
        <v>39</v>
      </c>
      <c r="BA231" s="35"/>
      <c r="BB231" s="35"/>
      <c r="BC231" s="322"/>
      <c r="BD231" s="35"/>
      <c r="BE231" s="35"/>
      <c r="BG231" s="35"/>
      <c r="BH231" s="35"/>
      <c r="BJ231" s="35"/>
      <c r="BK231" s="35"/>
      <c r="BL231" s="31"/>
      <c r="BM231" s="70">
        <f t="shared" ref="BM231:CI231" si="1313">BM196-BM228</f>
        <v>0</v>
      </c>
      <c r="BN231" s="70">
        <f t="shared" si="1313"/>
        <v>0</v>
      </c>
      <c r="BO231" s="1024">
        <f t="shared" si="1313"/>
        <v>0</v>
      </c>
      <c r="BP231" s="70">
        <f t="shared" si="1313"/>
        <v>0</v>
      </c>
      <c r="BQ231" s="70">
        <f t="shared" si="1313"/>
        <v>0</v>
      </c>
      <c r="BR231" s="1024">
        <f t="shared" si="1313"/>
        <v>0</v>
      </c>
      <c r="BS231" s="70">
        <f t="shared" si="1313"/>
        <v>11.727964773754762</v>
      </c>
      <c r="BT231" s="70">
        <f t="shared" si="1313"/>
        <v>11.727964773754762</v>
      </c>
      <c r="BU231" s="70">
        <f t="shared" si="1313"/>
        <v>23.455946435677728</v>
      </c>
      <c r="BV231" s="70">
        <f t="shared" si="1313"/>
        <v>7.8186488118955157</v>
      </c>
      <c r="BW231" s="70">
        <f t="shared" si="1313"/>
        <v>9.773311014869396</v>
      </c>
      <c r="BX231" s="70">
        <f t="shared" si="1313"/>
        <v>26.387939740147367</v>
      </c>
      <c r="BY231" s="70">
        <f t="shared" si="1313"/>
        <v>9.773311014869396</v>
      </c>
      <c r="BZ231" s="70">
        <f t="shared" si="1313"/>
        <v>8.562842488673013</v>
      </c>
      <c r="CA231" s="70">
        <f t="shared" si="1313"/>
        <v>29.319933044608188</v>
      </c>
      <c r="CB231" s="70">
        <f t="shared" si="1313"/>
        <v>17.630154438586487</v>
      </c>
      <c r="CC231" s="70">
        <f t="shared" si="1313"/>
        <v>19.459327273198674</v>
      </c>
      <c r="CD231" s="70">
        <f t="shared" si="1313"/>
        <v>49.504370138769602</v>
      </c>
      <c r="CE231" s="70">
        <f t="shared" si="1313"/>
        <v>16.614768015899926</v>
      </c>
      <c r="CF231" s="70">
        <f t="shared" si="1313"/>
        <v>14.486770675182651</v>
      </c>
      <c r="CG231" s="70">
        <f t="shared" si="1313"/>
        <v>31.069041898362066</v>
      </c>
      <c r="CH231" s="70">
        <f t="shared" si="1313"/>
        <v>14.911775890903106</v>
      </c>
      <c r="CI231" s="70">
        <f t="shared" si="1313"/>
        <v>18.178892974132946</v>
      </c>
      <c r="CJ231" s="70">
        <f>CH231+CI231</f>
        <v>33.090668865036051</v>
      </c>
      <c r="CK231" s="70">
        <f>CK196-CK228</f>
        <v>21.459153512589488</v>
      </c>
      <c r="CL231" s="70">
        <f>CL196-CL228</f>
        <v>1.3380555112171781</v>
      </c>
      <c r="CM231" s="70">
        <f>CK231+CL231</f>
        <v>22.797209023806666</v>
      </c>
      <c r="CN231" s="70">
        <f>CN196-CN228</f>
        <v>17.544843324136867</v>
      </c>
      <c r="CO231" s="70">
        <f>CO196-CO228</f>
        <v>15.005633283981481</v>
      </c>
      <c r="CP231" s="70">
        <f>CN231+CO231</f>
        <v>32.550476608118345</v>
      </c>
      <c r="CQ231" s="70">
        <f>CQ196-CQ228</f>
        <v>22.301250071681089</v>
      </c>
      <c r="CR231" s="70">
        <f>CR196-CR228</f>
        <v>15.135255971762049</v>
      </c>
      <c r="CS231" s="70">
        <f>CQ231+CR231</f>
        <v>37.436506043443138</v>
      </c>
      <c r="CT231" s="70">
        <f>CT196-CT228</f>
        <v>67.354423747493172</v>
      </c>
      <c r="CU231" s="70">
        <f>CU196-CU228</f>
        <v>40.248207817364701</v>
      </c>
      <c r="CV231" s="70">
        <f>CT231+CU231</f>
        <v>107.60263156485787</v>
      </c>
      <c r="CW231" s="70">
        <f>CW196-CW228</f>
        <v>50.006133797393318</v>
      </c>
      <c r="CX231" s="70">
        <f>CX196-CX228</f>
        <v>48.895087911136059</v>
      </c>
      <c r="CY231" s="70">
        <f>CW231+CX231</f>
        <v>98.901221708529377</v>
      </c>
      <c r="CZ231" s="70">
        <f>CZ196-CZ228</f>
        <v>56.609203311302579</v>
      </c>
      <c r="DA231" s="70">
        <f>DA196-DA228</f>
        <v>50.861276144185553</v>
      </c>
      <c r="DB231" s="70">
        <f>CZ231+DA231</f>
        <v>107.47047945548813</v>
      </c>
      <c r="DC231" s="70">
        <f>DC196-DC228</f>
        <v>72.859856366995814</v>
      </c>
      <c r="DD231" s="70">
        <f>DD196-DD228</f>
        <v>62.306264465641036</v>
      </c>
      <c r="DE231" s="70">
        <f>DC231+DD231</f>
        <v>135.16612083263686</v>
      </c>
      <c r="DF231" s="70">
        <f>DF196-DF228</f>
        <v>75.787435063098982</v>
      </c>
      <c r="DG231" s="70">
        <f>DG196-DG228</f>
        <v>42.951965277280188</v>
      </c>
      <c r="DH231" s="1070">
        <f>DF231+DG231</f>
        <v>118.73940034037918</v>
      </c>
      <c r="DI231" s="70">
        <f>DI196-DI228</f>
        <v>62.766770990022636</v>
      </c>
      <c r="DJ231" s="70">
        <f>DJ196-DJ228</f>
        <v>64.602146164074739</v>
      </c>
      <c r="DK231" s="1070">
        <f>DI231+DJ231</f>
        <v>127.36891715409737</v>
      </c>
      <c r="DL231" s="233">
        <f>DL196-DL228</f>
        <v>71.537495991595435</v>
      </c>
      <c r="DM231" s="233">
        <f>DM196-DM228</f>
        <v>68.319485697180113</v>
      </c>
      <c r="DN231" s="1070">
        <f>DL231+DM231</f>
        <v>139.85698168877553</v>
      </c>
      <c r="DO231" s="233">
        <f>DO196-DO228</f>
        <v>72.02536825680842</v>
      </c>
      <c r="DP231" s="233">
        <f>DP196-DP228</f>
        <v>85.701775882944361</v>
      </c>
      <c r="DQ231" s="1070">
        <f>DO231+DP231</f>
        <v>157.7271441397528</v>
      </c>
      <c r="DR231" s="233">
        <f>DR196-DR228</f>
        <v>99.642000185931366</v>
      </c>
      <c r="DS231" s="233">
        <f>DS196-DS228</f>
        <v>79.277295302784012</v>
      </c>
      <c r="DT231" s="1070">
        <f>DR231+DS231</f>
        <v>178.91929548871536</v>
      </c>
      <c r="DU231" s="233">
        <f>DU196-DU228</f>
        <v>80.021863379067554</v>
      </c>
      <c r="DV231" s="233">
        <f>DV196-DV228</f>
        <v>67.219078514530537</v>
      </c>
      <c r="DW231" s="1070">
        <f>DU231+DV231</f>
        <v>147.24094189359809</v>
      </c>
      <c r="DX231" s="233">
        <f>DX196-DX228</f>
        <v>83.342533387329681</v>
      </c>
      <c r="DY231" s="233">
        <f>DY196-DY228</f>
        <v>76.720912415203841</v>
      </c>
      <c r="DZ231" s="1070">
        <f>DX231+DY231</f>
        <v>160.06344580253352</v>
      </c>
      <c r="EA231" s="233">
        <f>EA196-EA228</f>
        <v>98.858435088896542</v>
      </c>
      <c r="EB231" s="233">
        <f>EB196-EB228</f>
        <v>83.813259615945924</v>
      </c>
      <c r="EC231" s="1070">
        <f>EA231+EB231</f>
        <v>182.67169470484248</v>
      </c>
      <c r="ED231" s="233">
        <f>ED196-ED228</f>
        <v>109.63072206875906</v>
      </c>
      <c r="EE231" s="233">
        <f>EE196-EE228</f>
        <v>93.659984431235756</v>
      </c>
      <c r="EF231" s="1070">
        <f>ED231+EE231</f>
        <v>203.29070649999483</v>
      </c>
      <c r="EG231" s="233">
        <f>EG196-EG228</f>
        <v>121.38751509938407</v>
      </c>
      <c r="EH231" s="233">
        <f>EH196-EH228</f>
        <v>104.4113427315005</v>
      </c>
      <c r="EI231" s="1070">
        <f>EG231+EH231</f>
        <v>225.79885783088457</v>
      </c>
      <c r="EJ231" s="233">
        <f>EJ196-EJ228</f>
        <v>134.21753972712088</v>
      </c>
      <c r="EK231" s="233">
        <f>EK196-EK228</f>
        <v>116.1488989564007</v>
      </c>
      <c r="EL231" s="1070">
        <f>EJ231+EK231</f>
        <v>250.36643868352158</v>
      </c>
      <c r="EM231" s="233">
        <f>EM196-EM228</f>
        <v>148.21750775750434</v>
      </c>
      <c r="EN231" s="233">
        <f>EN196-EN228</f>
        <v>128.96155952457445</v>
      </c>
      <c r="EO231" s="1070">
        <f>EM231+EN231</f>
        <v>277.17906728207879</v>
      </c>
      <c r="EP231" s="233">
        <f>EP196-EP228</f>
        <v>163.49283602626181</v>
      </c>
      <c r="EQ231" s="233">
        <f>EQ196-EQ228</f>
        <v>142.94623362118062</v>
      </c>
      <c r="ER231" s="1070">
        <f>EP231+EQ231</f>
        <v>306.43906964744247</v>
      </c>
      <c r="ES231" s="233">
        <f>ES196-ES228</f>
        <v>204.14438717533218</v>
      </c>
      <c r="ET231" s="233">
        <f>ET196-ET228</f>
        <v>187.67606662449521</v>
      </c>
      <c r="EU231" s="1070">
        <f>ES231+ET231</f>
        <v>391.82045379982742</v>
      </c>
      <c r="EV231" s="233">
        <f>EV196-EV228</f>
        <v>222.5173820211121</v>
      </c>
      <c r="EW231" s="233">
        <f>EW196-EW228</f>
        <v>204.56691262069978</v>
      </c>
      <c r="EX231" s="1070">
        <f>EV231+EW231</f>
        <v>427.08429464181188</v>
      </c>
      <c r="EY231" s="233">
        <f>EY196-EY228</f>
        <v>242.5439464030122</v>
      </c>
      <c r="EZ231" s="233">
        <f>EZ196-EZ228</f>
        <v>222.97793475656277</v>
      </c>
      <c r="FA231" s="1070">
        <f>EY231+EZ231</f>
        <v>465.52188115957495</v>
      </c>
    </row>
    <row r="232" spans="1:157" outlineLevel="1">
      <c r="B232" s="35" t="s">
        <v>486</v>
      </c>
      <c r="D232" s="162" t="s">
        <v>604</v>
      </c>
      <c r="BA232" s="35"/>
      <c r="BB232" s="35"/>
      <c r="BC232" s="322"/>
      <c r="BD232" s="35"/>
      <c r="BE232" s="35"/>
      <c r="BG232" s="35"/>
      <c r="BH232" s="35"/>
      <c r="BJ232" s="35"/>
      <c r="BK232" s="35"/>
      <c r="BL232" s="31"/>
      <c r="BM232" s="70">
        <f>BM231/BM75</f>
        <v>0</v>
      </c>
      <c r="BN232" s="70">
        <f>BN231/BN75</f>
        <v>0</v>
      </c>
      <c r="BO232" s="1024">
        <f>SUM(BM232,BN232)</f>
        <v>0</v>
      </c>
      <c r="BP232" s="70">
        <f>BP231/BP75</f>
        <v>0</v>
      </c>
      <c r="BQ232" s="70">
        <f>BQ231/BQ75</f>
        <v>0</v>
      </c>
      <c r="BR232" s="1024">
        <f>SUM(BP232,BQ232)</f>
        <v>0</v>
      </c>
      <c r="BS232" s="70">
        <f>BS231/BS75</f>
        <v>15.637286365006348</v>
      </c>
      <c r="BT232" s="70">
        <f>BT231/BT75</f>
        <v>14.659955967193451</v>
      </c>
      <c r="BU232" s="70">
        <f>SUM(BS232,BT232)</f>
        <v>30.297242332199801</v>
      </c>
      <c r="BV232" s="70">
        <f>BV231/BV75</f>
        <v>8.9996763376906603</v>
      </c>
      <c r="BW232" s="70">
        <f>BW231/BW75</f>
        <v>10.588635985773992</v>
      </c>
      <c r="BX232" s="70">
        <f>SUM(BV232,BW232)</f>
        <v>19.588312323464653</v>
      </c>
      <c r="BY232" s="70">
        <f>BY231/BY75</f>
        <v>12.216638768586744</v>
      </c>
      <c r="BZ232" s="70">
        <f>BZ231/BZ75</f>
        <v>9.5937929183550743</v>
      </c>
      <c r="CA232" s="70">
        <f>SUM(BY232,BZ232)</f>
        <v>21.810431686941818</v>
      </c>
      <c r="CB232" s="70">
        <f>CB231/CB75</f>
        <v>20.228840125391844</v>
      </c>
      <c r="CC232" s="70">
        <f>CC231/CC75</f>
        <v>21.802194357366773</v>
      </c>
      <c r="CD232" s="70">
        <f>SUM(CB232,CC232)</f>
        <v>42.031034482758614</v>
      </c>
      <c r="CE232" s="70">
        <f>CE231/CE75</f>
        <v>17.616086247327669</v>
      </c>
      <c r="CF232" s="70">
        <f>CF231/CF75</f>
        <v>13.893237948261495</v>
      </c>
      <c r="CG232" s="70">
        <f>SUM(CE232,CF232)</f>
        <v>31.509324195589166</v>
      </c>
      <c r="CH232" s="70">
        <f>CH231/CH75</f>
        <v>14.477452321265151</v>
      </c>
      <c r="CI232" s="70">
        <f>CI231/CI75</f>
        <v>17.649410654498006</v>
      </c>
      <c r="CJ232" s="70">
        <f>CH232+CI232</f>
        <v>32.12686297576316</v>
      </c>
      <c r="CK232" s="70">
        <f>CK231/CK75</f>
        <v>20.912947792911758</v>
      </c>
      <c r="CL232" s="70">
        <f>CL231/CL75</f>
        <v>1.3076718026064094</v>
      </c>
      <c r="CM232" s="70">
        <f>CK232+CL232</f>
        <v>22.220619595518169</v>
      </c>
      <c r="CN232" s="70">
        <f>CN231/CN75</f>
        <v>19.713307105771761</v>
      </c>
      <c r="CO232" s="70">
        <f>CO231/CO75</f>
        <v>16.397779332776217</v>
      </c>
      <c r="CP232" s="70">
        <f>CN232+CO232</f>
        <v>36.111086438547979</v>
      </c>
      <c r="CQ232" s="70">
        <f>CQ231/CQ75</f>
        <v>25.05758435020347</v>
      </c>
      <c r="CR232" s="70">
        <f>CR231/CR75</f>
        <v>20.453048610489255</v>
      </c>
      <c r="CS232" s="70">
        <f>CQ232+CR232</f>
        <v>45.510632960692725</v>
      </c>
      <c r="CT232" s="70">
        <f>CT231/CT75</f>
        <v>93.2</v>
      </c>
      <c r="CU232" s="70">
        <f>CU231/CU75</f>
        <v>54.864189685441396</v>
      </c>
      <c r="CV232" s="70">
        <f>CT232+CU232</f>
        <v>148.06418968544139</v>
      </c>
      <c r="CW232" s="70">
        <f>CW231/CW75</f>
        <v>66.361498739808226</v>
      </c>
      <c r="CX232" s="70">
        <f>CX231/CX75</f>
        <v>64.820218043793076</v>
      </c>
      <c r="CY232" s="70">
        <f>CW232+CX232</f>
        <v>131.1817167836013</v>
      </c>
      <c r="CZ232" s="70">
        <f>CZ231/CZ75</f>
        <v>72.635736428652521</v>
      </c>
      <c r="DA232" s="70">
        <f>DA231/DA75</f>
        <v>66.759201766679993</v>
      </c>
      <c r="DB232" s="70">
        <f>CZ232+DA232</f>
        <v>139.39493819533251</v>
      </c>
      <c r="DC232" s="70">
        <f>DC231/DC75</f>
        <v>100.64655992390826</v>
      </c>
      <c r="DD232" s="70">
        <f>DD231/DD75</f>
        <v>86.886437687409057</v>
      </c>
      <c r="DE232" s="70">
        <f>DC232+DD232</f>
        <v>187.53299761131731</v>
      </c>
      <c r="DF232" s="70">
        <f>DF231/DF75</f>
        <v>110.06017290603975</v>
      </c>
      <c r="DG232" s="70">
        <f>DG231/DG75</f>
        <v>65.078735268606337</v>
      </c>
      <c r="DH232" s="1070">
        <f>DF232+DG232</f>
        <v>175.13890817464608</v>
      </c>
      <c r="DI232" s="70">
        <f>DI231/DI75</f>
        <v>86.806919785042112</v>
      </c>
      <c r="DJ232" s="70">
        <f>DJ231/DJ75</f>
        <v>87.096355049820914</v>
      </c>
      <c r="DK232" s="1070">
        <f>DI232+DJ232</f>
        <v>173.90327483486303</v>
      </c>
      <c r="DL232" s="233">
        <f>DL231/DL75</f>
        <v>99.35763332166033</v>
      </c>
      <c r="DM232" s="233">
        <f>DM231/DM75</f>
        <v>94.363930520967017</v>
      </c>
      <c r="DN232" s="1070">
        <f>DL232+DM232</f>
        <v>193.72156384262735</v>
      </c>
      <c r="DO232" s="233">
        <f>DO231/DO75</f>
        <v>107.41855074333031</v>
      </c>
      <c r="DP232" s="233">
        <f>DP231/DP75</f>
        <v>126.6954546463639</v>
      </c>
      <c r="DQ232" s="1070">
        <f>DO232+DP232</f>
        <v>234.11400538969423</v>
      </c>
      <c r="DR232" s="233">
        <f>DR231/DR75</f>
        <v>152.50982457283069</v>
      </c>
      <c r="DS232" s="233">
        <f>DS231/DS75</f>
        <v>120.39070161375578</v>
      </c>
      <c r="DT232" s="1070">
        <f>DR232+DS232</f>
        <v>272.90052618658649</v>
      </c>
      <c r="DU232" s="233">
        <f>DU231/DU75</f>
        <v>120.97734849327492</v>
      </c>
      <c r="DV232" s="233">
        <f>DV231/DV75</f>
        <v>106.02378314594722</v>
      </c>
      <c r="DW232" s="1070">
        <f>DU232+DV232</f>
        <v>227.00113163922214</v>
      </c>
      <c r="DX232" s="233">
        <f>DX231/DX75</f>
        <v>127.15302115060685</v>
      </c>
      <c r="DY232" s="233">
        <f>DY231/DY75</f>
        <v>107.60296271417089</v>
      </c>
      <c r="DZ232" s="1070">
        <f>DX232+DY232</f>
        <v>234.75598386477773</v>
      </c>
      <c r="EA232" s="233">
        <f>EA231/EA75</f>
        <v>138.65138161135562</v>
      </c>
      <c r="EB232" s="233">
        <f>EB231/EB75</f>
        <v>117.55015373905459</v>
      </c>
      <c r="EC232" s="1070">
        <f>EA232+EB232</f>
        <v>256.20153535041021</v>
      </c>
      <c r="ED232" s="233">
        <f>ED231/ED75</f>
        <v>153.7597784975583</v>
      </c>
      <c r="EE232" s="233">
        <f>EE231/EE75</f>
        <v>131.36042697228018</v>
      </c>
      <c r="EF232" s="1070">
        <f>ED232+EE232</f>
        <v>285.12020546983848</v>
      </c>
      <c r="EG232" s="233">
        <f>EG231/EG75</f>
        <v>170.24896928384865</v>
      </c>
      <c r="EH232" s="233">
        <f>EH231/EH75</f>
        <v>146.4394708716697</v>
      </c>
      <c r="EI232" s="1070">
        <f>EG232+EH232</f>
        <v>316.68844015551838</v>
      </c>
      <c r="EJ232" s="233">
        <f>EJ231/EJ75</f>
        <v>188.24339372667725</v>
      </c>
      <c r="EK232" s="233">
        <f>EK231/EK75</f>
        <v>162.9016815657794</v>
      </c>
      <c r="EL232" s="1070">
        <f>EJ232+EK232</f>
        <v>351.14507529245668</v>
      </c>
      <c r="EM232" s="233">
        <f>EM231/EM75</f>
        <v>207.87869250701871</v>
      </c>
      <c r="EN232" s="233">
        <f>EN231/EN75</f>
        <v>180.87175248888423</v>
      </c>
      <c r="EO232" s="1070">
        <f>EM232+EN232</f>
        <v>388.75044499590297</v>
      </c>
      <c r="EP232" s="233">
        <f>EP231/EP75</f>
        <v>229.30271532435037</v>
      </c>
      <c r="EQ232" s="233">
        <f>EQ231/EQ75</f>
        <v>200.485601151726</v>
      </c>
      <c r="ER232" s="1070">
        <f>EP232+EQ232</f>
        <v>429.78831647607637</v>
      </c>
      <c r="ES232" s="233">
        <f>ES231/ES75</f>
        <v>286.31751356989088</v>
      </c>
      <c r="ET232" s="233">
        <f>ET231/ET75</f>
        <v>263.22028979592596</v>
      </c>
      <c r="EU232" s="1070">
        <f>ES232+ET232</f>
        <v>549.5378033658169</v>
      </c>
      <c r="EV232" s="233">
        <f>EV231/EV75</f>
        <v>312.08608979118105</v>
      </c>
      <c r="EW232" s="233">
        <f>EW231/EW75</f>
        <v>286.91011587755929</v>
      </c>
      <c r="EX232" s="1070">
        <f>EV232+EW232</f>
        <v>598.99620566874034</v>
      </c>
      <c r="EY232" s="233">
        <f>EY231/EY75</f>
        <v>340.17383787238737</v>
      </c>
      <c r="EZ232" s="233">
        <f>EZ231/EZ75</f>
        <v>312.73202630653969</v>
      </c>
      <c r="FA232" s="1070">
        <f>EY232+EZ232</f>
        <v>652.905864178927</v>
      </c>
    </row>
    <row r="233" spans="1:157" outlineLevel="1">
      <c r="B233" s="35" t="s">
        <v>487</v>
      </c>
      <c r="D233" s="162" t="s">
        <v>460</v>
      </c>
      <c r="BA233" s="35"/>
      <c r="BB233" s="35"/>
      <c r="BC233" s="322"/>
      <c r="BD233" s="35"/>
      <c r="BE233" s="35"/>
      <c r="BG233" s="35"/>
      <c r="BH233" s="35"/>
      <c r="BJ233" s="35"/>
      <c r="BK233" s="35"/>
      <c r="BL233" s="31"/>
      <c r="BM233" s="65"/>
      <c r="BN233" s="65"/>
      <c r="BO233" s="64"/>
      <c r="BP233" s="65"/>
      <c r="BQ233" s="65"/>
      <c r="BR233" s="64"/>
      <c r="BS233" s="65">
        <f t="shared" ref="BS233:CX233" si="1314">BS231/BS196</f>
        <v>0.66666650666757898</v>
      </c>
      <c r="BT233" s="65">
        <f t="shared" si="1314"/>
        <v>0.66666650666757898</v>
      </c>
      <c r="BU233" s="65">
        <f t="shared" si="1314"/>
        <v>0.66666666666658314</v>
      </c>
      <c r="BV233" s="65">
        <f t="shared" si="1314"/>
        <v>0.66666666666666663</v>
      </c>
      <c r="BW233" s="65">
        <f t="shared" si="1314"/>
        <v>0.66666666666666663</v>
      </c>
      <c r="BX233" s="65">
        <f t="shared" si="1314"/>
        <v>1</v>
      </c>
      <c r="BY233" s="65">
        <f t="shared" si="1314"/>
        <v>0.66666666666666663</v>
      </c>
      <c r="BZ233" s="65">
        <f t="shared" si="1314"/>
        <v>0.58409700156171973</v>
      </c>
      <c r="CA233" s="65">
        <f t="shared" si="1314"/>
        <v>1</v>
      </c>
      <c r="CB233" s="65">
        <f t="shared" si="1314"/>
        <v>0.74921630094043878</v>
      </c>
      <c r="CC233" s="65">
        <f t="shared" si="1314"/>
        <v>0.74921630094043878</v>
      </c>
      <c r="CD233" s="65">
        <f t="shared" si="1314"/>
        <v>1</v>
      </c>
      <c r="CE233" s="65">
        <f t="shared" si="1314"/>
        <v>0.76599525113523348</v>
      </c>
      <c r="CF233" s="65">
        <f t="shared" si="1314"/>
        <v>0.69931043241398527</v>
      </c>
      <c r="CG233" s="65">
        <f t="shared" si="1314"/>
        <v>0.73265284177460943</v>
      </c>
      <c r="CH233" s="65">
        <f t="shared" si="1314"/>
        <v>0.66376461188690816</v>
      </c>
      <c r="CI233" s="65">
        <f t="shared" si="1314"/>
        <v>0.74845867139507871</v>
      </c>
      <c r="CJ233" s="65">
        <f t="shared" si="1314"/>
        <v>0.70776279490180372</v>
      </c>
      <c r="CK233" s="65">
        <f t="shared" si="1314"/>
        <v>0.78234839966229497</v>
      </c>
      <c r="CL233" s="65">
        <f t="shared" si="1314"/>
        <v>0.77305615989715382</v>
      </c>
      <c r="CM233" s="65">
        <f t="shared" si="1314"/>
        <v>0.78179683590742421</v>
      </c>
      <c r="CN233" s="65">
        <f t="shared" si="1314"/>
        <v>0.74933738031418706</v>
      </c>
      <c r="CO233" s="65">
        <f t="shared" si="1314"/>
        <v>0.78043540273596346</v>
      </c>
      <c r="CP233" s="65">
        <f t="shared" si="1314"/>
        <v>0.76185373037185</v>
      </c>
      <c r="CQ233" s="65">
        <f t="shared" si="1314"/>
        <v>0.73613922208802718</v>
      </c>
      <c r="CR233" s="65">
        <f t="shared" si="1314"/>
        <v>0.72812710554455551</v>
      </c>
      <c r="CS233" s="65">
        <f t="shared" si="1314"/>
        <v>0.70388661948971443</v>
      </c>
      <c r="CT233" s="65">
        <f t="shared" si="1314"/>
        <v>1</v>
      </c>
      <c r="CU233" s="65">
        <f t="shared" si="1314"/>
        <v>0.8309857266155396</v>
      </c>
      <c r="CV233" s="65">
        <f t="shared" si="1314"/>
        <v>0.92930151344521283</v>
      </c>
      <c r="CW233" s="65">
        <f t="shared" si="1314"/>
        <v>0.82537154034369942</v>
      </c>
      <c r="CX233" s="65">
        <f t="shared" si="1314"/>
        <v>0.82092327572970059</v>
      </c>
      <c r="CY233" s="65">
        <f t="shared" ref="CY233:ED233" si="1315">CY231/CY196</f>
        <v>0.82316638470720971</v>
      </c>
      <c r="CZ233" s="65">
        <f t="shared" si="1315"/>
        <v>0.82044541186440967</v>
      </c>
      <c r="DA233" s="65">
        <f t="shared" si="1315"/>
        <v>0.84110502458504932</v>
      </c>
      <c r="DB233" s="65">
        <f t="shared" si="1315"/>
        <v>0.8300947535254557</v>
      </c>
      <c r="DC233" s="65">
        <f t="shared" si="1315"/>
        <v>0.85193472378275381</v>
      </c>
      <c r="DD233" s="65">
        <f t="shared" si="1315"/>
        <v>0.85975636379268716</v>
      </c>
      <c r="DE233" s="65">
        <f t="shared" si="1315"/>
        <v>0.85552243676826978</v>
      </c>
      <c r="DF233" s="65">
        <f t="shared" si="1315"/>
        <v>0.86416886726643793</v>
      </c>
      <c r="DG233" s="65">
        <f t="shared" si="1315"/>
        <v>0.84407736297209768</v>
      </c>
      <c r="DH233" s="1066">
        <f t="shared" si="1315"/>
        <v>0.8567916324650916</v>
      </c>
      <c r="DI233" s="65">
        <f t="shared" si="1315"/>
        <v>0.79863553618886796</v>
      </c>
      <c r="DJ233" s="65">
        <f t="shared" si="1315"/>
        <v>0.83739242674224668</v>
      </c>
      <c r="DK233" s="1066">
        <f t="shared" si="1315"/>
        <v>0.81783409367187088</v>
      </c>
      <c r="DL233" s="65">
        <f t="shared" si="1315"/>
        <v>0.81311521900363648</v>
      </c>
      <c r="DM233" s="65">
        <f t="shared" si="1315"/>
        <v>0.80495454618360152</v>
      </c>
      <c r="DN233" s="1066">
        <f t="shared" si="1315"/>
        <v>0.80910819773806553</v>
      </c>
      <c r="DO233" s="65">
        <f t="shared" si="1315"/>
        <v>0.83385376852493465</v>
      </c>
      <c r="DP233" s="65">
        <f t="shared" si="1315"/>
        <v>0.7746901621701604</v>
      </c>
      <c r="DQ233" s="1066">
        <f t="shared" si="1315"/>
        <v>0.80063051810464025</v>
      </c>
      <c r="DR233" s="65">
        <f t="shared" si="1315"/>
        <v>0.83137191816277745</v>
      </c>
      <c r="DS233" s="65">
        <f t="shared" si="1315"/>
        <v>0.76745845876168517</v>
      </c>
      <c r="DT233" s="1066">
        <f t="shared" si="1315"/>
        <v>0.80178583506391288</v>
      </c>
      <c r="DU233" s="65">
        <f t="shared" si="1315"/>
        <v>0.79910001215199467</v>
      </c>
      <c r="DV233" s="65">
        <f t="shared" ref="DV233:DX233" si="1316">DV231/DV196</f>
        <v>0.74258975630417656</v>
      </c>
      <c r="DW233" s="1066">
        <f t="shared" si="1316"/>
        <v>0.77227056228187818</v>
      </c>
      <c r="DX233" s="65">
        <f t="shared" si="1316"/>
        <v>0.80450011068585592</v>
      </c>
      <c r="DY233" s="65">
        <f t="shared" si="1315"/>
        <v>0.73700819719204391</v>
      </c>
      <c r="DZ233" s="1066">
        <f t="shared" si="1315"/>
        <v>0.77067253293708937</v>
      </c>
      <c r="EA233" s="65">
        <f t="shared" si="1315"/>
        <v>0.81214817972320996</v>
      </c>
      <c r="EB233" s="65">
        <f t="shared" si="1315"/>
        <v>0.74896724723610741</v>
      </c>
      <c r="EC233" s="1066">
        <f t="shared" si="1315"/>
        <v>0.7818854693928684</v>
      </c>
      <c r="ED233" s="65">
        <f t="shared" si="1315"/>
        <v>0.82628015152384926</v>
      </c>
      <c r="EE233" s="65">
        <f t="shared" ref="EE233:ER233" si="1317">EE231/EE196</f>
        <v>0.76785228001284067</v>
      </c>
      <c r="EF233" s="1066">
        <f t="shared" si="1317"/>
        <v>0.79829408545689118</v>
      </c>
      <c r="EG233" s="65">
        <f t="shared" si="1317"/>
        <v>0.8393489841615045</v>
      </c>
      <c r="EH233" s="65">
        <f t="shared" si="1317"/>
        <v>0.78531660390178293</v>
      </c>
      <c r="EI233" s="1066">
        <f t="shared" si="1317"/>
        <v>0.81346829187206071</v>
      </c>
      <c r="EJ233" s="65">
        <f t="shared" si="1317"/>
        <v>0.85143465691265752</v>
      </c>
      <c r="EK233" s="65">
        <f t="shared" si="1317"/>
        <v>0.80146709792018078</v>
      </c>
      <c r="EL233" s="1066">
        <f t="shared" si="1317"/>
        <v>0.8275009524835204</v>
      </c>
      <c r="EM233" s="65">
        <f t="shared" si="1317"/>
        <v>0.8626111322641824</v>
      </c>
      <c r="EN233" s="65">
        <f t="shared" si="1317"/>
        <v>0.81640260064545156</v>
      </c>
      <c r="EO233" s="1066">
        <f t="shared" si="1317"/>
        <v>0.84047794504898032</v>
      </c>
      <c r="EP233" s="65">
        <f t="shared" si="1317"/>
        <v>0.8729468085525649</v>
      </c>
      <c r="EQ233" s="65">
        <f t="shared" si="1317"/>
        <v>0.83021451509230759</v>
      </c>
      <c r="ER233" s="1066">
        <f t="shared" si="1317"/>
        <v>0.8524786867975892</v>
      </c>
      <c r="ES233" s="65">
        <f t="shared" ref="ES233:EX233" si="1318">ES231/ES196</f>
        <v>1</v>
      </c>
      <c r="ET233" s="65">
        <f t="shared" si="1318"/>
        <v>1</v>
      </c>
      <c r="EU233" s="1066">
        <f t="shared" si="1318"/>
        <v>1</v>
      </c>
      <c r="EV233" s="65">
        <f t="shared" si="1318"/>
        <v>1</v>
      </c>
      <c r="EW233" s="65">
        <f t="shared" si="1318"/>
        <v>1</v>
      </c>
      <c r="EX233" s="1066">
        <f t="shared" si="1318"/>
        <v>1</v>
      </c>
      <c r="EY233" s="65">
        <f t="shared" ref="EY233:FA233" si="1319">EY231/EY196</f>
        <v>1</v>
      </c>
      <c r="EZ233" s="65">
        <f t="shared" si="1319"/>
        <v>1</v>
      </c>
      <c r="FA233" s="1066">
        <f t="shared" si="1319"/>
        <v>1</v>
      </c>
    </row>
    <row r="234" spans="1:157" outlineLevel="1">
      <c r="B234" s="31"/>
      <c r="BA234" s="35"/>
      <c r="BB234" s="35"/>
      <c r="BC234" s="322"/>
      <c r="BD234" s="35"/>
      <c r="BE234" s="35"/>
      <c r="BG234" s="35"/>
      <c r="BH234" s="35"/>
      <c r="BJ234" s="35"/>
      <c r="BK234" s="35"/>
      <c r="BL234" s="31"/>
      <c r="BM234" s="35"/>
      <c r="BN234" s="35"/>
      <c r="BO234" s="31"/>
      <c r="BP234" s="35"/>
      <c r="BQ234" s="35"/>
      <c r="BR234" s="1024"/>
      <c r="BS234" s="74"/>
      <c r="BT234" s="70"/>
      <c r="BU234" s="74"/>
      <c r="BV234" s="74"/>
      <c r="BW234" s="74"/>
      <c r="BX234" s="74"/>
      <c r="BY234" s="70"/>
      <c r="BZ234" s="70"/>
      <c r="CA234" s="70"/>
      <c r="CB234" s="70"/>
      <c r="CC234" s="70"/>
      <c r="CD234" s="70"/>
      <c r="CE234" s="65"/>
      <c r="CF234" s="65"/>
      <c r="CG234" s="65"/>
      <c r="CH234" s="70"/>
      <c r="CI234" s="70"/>
      <c r="CJ234" s="70"/>
      <c r="CK234" s="35"/>
      <c r="CL234" s="35"/>
      <c r="CN234" s="35"/>
      <c r="CO234" s="35"/>
      <c r="CQ234" s="35"/>
      <c r="CR234" s="35"/>
      <c r="CT234" s="35"/>
      <c r="CU234" s="35"/>
      <c r="CW234" s="35"/>
      <c r="CX234" s="35"/>
      <c r="CZ234" s="35"/>
      <c r="DA234" s="35"/>
      <c r="DC234" s="35"/>
      <c r="DD234" s="35"/>
      <c r="DF234" s="35"/>
      <c r="DG234" s="35"/>
      <c r="DH234" s="1067"/>
      <c r="DI234" s="35"/>
      <c r="DJ234" s="35"/>
      <c r="DK234" s="1067"/>
      <c r="DL234" s="35"/>
      <c r="DM234" s="35"/>
      <c r="DN234" s="1067"/>
      <c r="DO234" s="35"/>
      <c r="DP234" s="35"/>
      <c r="DQ234" s="1067"/>
      <c r="DR234" s="35"/>
      <c r="DS234" s="35"/>
      <c r="DT234" s="1067"/>
      <c r="DU234" s="35"/>
      <c r="DV234" s="35"/>
      <c r="DW234" s="1067"/>
      <c r="DX234" s="35"/>
      <c r="DY234" s="35"/>
      <c r="DZ234" s="1067"/>
      <c r="EA234" s="35"/>
      <c r="EB234" s="35"/>
      <c r="EC234" s="1067"/>
      <c r="ED234" s="35"/>
      <c r="EE234" s="35"/>
      <c r="EF234" s="1067"/>
      <c r="EG234" s="35"/>
      <c r="EH234" s="35"/>
      <c r="EI234" s="1067"/>
      <c r="EJ234" s="35"/>
      <c r="EK234" s="35"/>
      <c r="EL234" s="1067"/>
      <c r="EM234" s="35"/>
      <c r="EN234" s="35"/>
      <c r="EO234" s="1067"/>
      <c r="EP234" s="35"/>
      <c r="EQ234" s="35"/>
      <c r="ER234" s="1067"/>
      <c r="ES234" s="35"/>
      <c r="ET234" s="35"/>
      <c r="EU234" s="1067"/>
      <c r="EV234" s="35"/>
      <c r="EW234" s="35"/>
      <c r="EX234" s="1067"/>
      <c r="EY234" s="35"/>
      <c r="EZ234" s="35"/>
      <c r="FA234" s="1067"/>
    </row>
    <row r="235" spans="1:157" outlineLevel="1">
      <c r="A235" s="1426" t="s">
        <v>429</v>
      </c>
      <c r="D235" s="162" t="s">
        <v>604</v>
      </c>
      <c r="BA235" s="35"/>
      <c r="BB235" s="35"/>
      <c r="BC235" s="322"/>
      <c r="BD235" s="35"/>
      <c r="BE235" s="35"/>
      <c r="BG235" s="35"/>
      <c r="BH235" s="35"/>
      <c r="BJ235" s="35"/>
      <c r="BK235" s="35"/>
      <c r="BL235" s="31"/>
      <c r="BM235" s="70">
        <f>BM170-BM237</f>
        <v>12.926064675902978</v>
      </c>
      <c r="BN235" s="70">
        <f>BN170-BN237</f>
        <v>14.099713598504607</v>
      </c>
      <c r="BO235" s="1024">
        <f>SUM(BM235:BN235)</f>
        <v>27.025778274407585</v>
      </c>
      <c r="BP235" s="70">
        <f>BP170-BP237</f>
        <v>7.4631753919858994</v>
      </c>
      <c r="BQ235" s="70">
        <f>BQ170-BQ237</f>
        <v>5.6834077230360549</v>
      </c>
      <c r="BR235" s="1024">
        <f>SUM(BP235:BQ235)</f>
        <v>13.146583115021954</v>
      </c>
      <c r="BS235" s="70">
        <f>BS170-BS237</f>
        <v>29.321933840746681</v>
      </c>
      <c r="BT235" s="70">
        <f>BT170-BT237</f>
        <v>26.391422214733396</v>
      </c>
      <c r="BU235" s="70">
        <f>SUM(BS235:BT235)</f>
        <v>55.713356055480077</v>
      </c>
      <c r="BV235" s="70">
        <f>BV170-BV237</f>
        <v>28.574005140229943</v>
      </c>
      <c r="BW235" s="70">
        <f>BW170-BW237</f>
        <v>27.688917701631397</v>
      </c>
      <c r="BX235" s="70">
        <f>SUM(BV235:BW235)</f>
        <v>56.262922841861339</v>
      </c>
      <c r="BY235" s="70">
        <f>BY170-BY237</f>
        <v>36.967717126020148</v>
      </c>
      <c r="BZ235" s="70">
        <f>BZ170-BZ237</f>
        <v>28.056163504766289</v>
      </c>
      <c r="CA235" s="70">
        <f>SUM(BY235:BZ235)</f>
        <v>65.023880630786437</v>
      </c>
      <c r="CB235" s="70">
        <f>CB170-CB237</f>
        <v>36.45459572450757</v>
      </c>
      <c r="CC235" s="70">
        <f>CC170-CC237</f>
        <v>39.680562567146012</v>
      </c>
      <c r="CD235" s="70">
        <f>SUM(CB235:CC235)</f>
        <v>76.135158291653582</v>
      </c>
      <c r="CE235" s="70">
        <f>CE170-CE237</f>
        <v>35.202759722754394</v>
      </c>
      <c r="CF235" s="70">
        <f>CF170-CF237</f>
        <v>45.487208634114737</v>
      </c>
      <c r="CG235" s="70">
        <f>SUM(CE235:CF235)</f>
        <v>80.68996835686913</v>
      </c>
      <c r="CH235" s="70">
        <f>CH170-CH237</f>
        <v>32.873600422656381</v>
      </c>
      <c r="CI235" s="70">
        <f>CI170-CI237</f>
        <v>35.509179433903881</v>
      </c>
      <c r="CJ235" s="70">
        <f>SUM(CH235:CI235)</f>
        <v>68.382779856560262</v>
      </c>
      <c r="CK235" s="70">
        <f>CK170-CK237</f>
        <v>29.461164407086954</v>
      </c>
      <c r="CL235" s="70">
        <f>CL170-CL237</f>
        <v>24.765909068332093</v>
      </c>
      <c r="CM235" s="70">
        <f>SUM(CK235:CL235)</f>
        <v>54.227073475419047</v>
      </c>
      <c r="CN235" s="70">
        <f>CN170-CN237</f>
        <v>40.469165591107156</v>
      </c>
      <c r="CO235" s="70">
        <f>CO170-CO237</f>
        <v>36.509106833353655</v>
      </c>
      <c r="CP235" s="70">
        <f>SUM(CN235:CO235)</f>
        <v>76.978272424460812</v>
      </c>
      <c r="CQ235" s="70">
        <f>CQ170-CQ237</f>
        <v>70.069652153623252</v>
      </c>
      <c r="CR235" s="70">
        <f>CR170-CR237</f>
        <v>55.460367689541357</v>
      </c>
      <c r="CS235" s="70">
        <f>SUM(CQ235:CR235)</f>
        <v>125.53001984316461</v>
      </c>
      <c r="CT235" s="70">
        <f>CT170-CT237</f>
        <v>69.505989132500531</v>
      </c>
      <c r="CU235" s="70">
        <f>CU170-CU237</f>
        <v>74.675797266647635</v>
      </c>
      <c r="CV235" s="70">
        <f>SUM(CT235:CU235)</f>
        <v>144.18178639914817</v>
      </c>
      <c r="CW235" s="70">
        <f>CW170-CW237</f>
        <v>88.005661057415296</v>
      </c>
      <c r="CX235" s="70">
        <f>CX170-CX237</f>
        <v>88.634408433059832</v>
      </c>
      <c r="CY235" s="70">
        <f>SUM(CW235:CX235)</f>
        <v>176.64006949047513</v>
      </c>
      <c r="CZ235" s="70">
        <f>CZ170-CZ237</f>
        <v>95.713822168230138</v>
      </c>
      <c r="DA235" s="70">
        <f>DA170-DA237</f>
        <v>82.647876691909971</v>
      </c>
      <c r="DB235" s="70">
        <f>SUM(CZ235:DA235)</f>
        <v>178.36169886014011</v>
      </c>
      <c r="DC235" s="70">
        <f>DC170-DC237</f>
        <v>91.851682361549422</v>
      </c>
      <c r="DD235" s="70">
        <f>DD170-DD237</f>
        <v>75.589863770876889</v>
      </c>
      <c r="DE235" s="70">
        <f>SUM(DC235:DD235)</f>
        <v>167.44154613242631</v>
      </c>
      <c r="DF235" s="70">
        <f>DF170-DF237</f>
        <v>97.163656782504347</v>
      </c>
      <c r="DG235" s="70">
        <f>DG170-DG237</f>
        <v>66.638216459187902</v>
      </c>
      <c r="DH235" s="1070">
        <f>SUM(DF235:DG235)</f>
        <v>163.80187324169225</v>
      </c>
      <c r="DI235" s="1152">
        <f>+DI130*DI91</f>
        <v>105.8110393107162</v>
      </c>
      <c r="DJ235" s="1152">
        <f>+DJ130*DJ91</f>
        <v>93.496469020652881</v>
      </c>
      <c r="DK235" s="1157">
        <f>SUM(DI235:DJ235)</f>
        <v>199.30750833136909</v>
      </c>
      <c r="DL235" s="1152">
        <f t="shared" ref="DL235:DM235" si="1320">+DL130*DL91</f>
        <v>98.946007604562723</v>
      </c>
      <c r="DM235" s="1152">
        <f t="shared" si="1320"/>
        <v>96.332392831194028</v>
      </c>
      <c r="DN235" s="1157">
        <f t="shared" ref="DN235" si="1321">SUM(DL235:DM235)</f>
        <v>195.27840043575674</v>
      </c>
      <c r="DO235" s="1152">
        <f t="shared" ref="DO235:DP235" si="1322">+DO130*DO91</f>
        <v>113.03042698643954</v>
      </c>
      <c r="DP235" s="1152">
        <f t="shared" si="1322"/>
        <v>131.06561971036299</v>
      </c>
      <c r="DQ235" s="1157">
        <f t="shared" ref="DQ235" si="1323">SUM(DO235:DP235)</f>
        <v>244.09604669680255</v>
      </c>
      <c r="DR235" s="1152">
        <f t="shared" ref="DR235:DS235" si="1324">+DR130*DR91</f>
        <v>150.26703790192204</v>
      </c>
      <c r="DS235" s="1152">
        <f t="shared" si="1324"/>
        <v>134.02287735849058</v>
      </c>
      <c r="DT235" s="1157">
        <f t="shared" ref="DT235" si="1325">SUM(DR235:DS235)</f>
        <v>284.28991526041261</v>
      </c>
      <c r="DU235" s="1152">
        <f>+DU130*DU91</f>
        <v>147.66924523463544</v>
      </c>
      <c r="DV235" s="1152">
        <f t="shared" ref="DV235" si="1326">+DV130*DV91</f>
        <v>149.11191500126486</v>
      </c>
      <c r="DW235" s="1157">
        <f t="shared" ref="DW235" si="1327">SUM(DU235:DV235)</f>
        <v>296.7811602359003</v>
      </c>
      <c r="DX235" s="1152">
        <f>+DX130*DX91</f>
        <v>161.90714285714284</v>
      </c>
      <c r="DY235" s="1152">
        <f t="shared" ref="DY235" si="1328">+DY130*DY91</f>
        <v>161.10692347218523</v>
      </c>
      <c r="DZ235" s="1157">
        <f t="shared" ref="DZ235" si="1329">SUM(DX235:DY235)</f>
        <v>323.0140663293281</v>
      </c>
      <c r="EA235" s="1152">
        <f t="shared" ref="EA235:EB235" si="1330">+EA130*EA91</f>
        <v>182.58800286131179</v>
      </c>
      <c r="EB235" s="1152">
        <f t="shared" si="1330"/>
        <v>169.04712905565918</v>
      </c>
      <c r="EC235" s="1157">
        <f t="shared" ref="EC235" si="1331">SUM(EA235:EB235)</f>
        <v>351.63513191697098</v>
      </c>
      <c r="ED235" s="1152">
        <f t="shared" ref="ED235:EE235" si="1332">+ED130*ED91</f>
        <v>194.88793733577072</v>
      </c>
      <c r="EE235" s="1152">
        <f t="shared" si="1332"/>
        <v>180.43609965332746</v>
      </c>
      <c r="EF235" s="1157">
        <f t="shared" ref="EF235" si="1333">SUM(ED235:EE235)</f>
        <v>375.3240369890982</v>
      </c>
      <c r="EG235" s="1152">
        <f t="shared" ref="EG235:EH235" si="1334">+EG130*EG91</f>
        <v>210.38527619891326</v>
      </c>
      <c r="EH235" s="1152">
        <f t="shared" si="1334"/>
        <v>194.78423950076038</v>
      </c>
      <c r="EI235" s="1157">
        <f t="shared" ref="EI235" si="1335">SUM(EG235:EH235)</f>
        <v>405.16951569967364</v>
      </c>
      <c r="EJ235" s="1152">
        <f t="shared" ref="EJ235:EK235" si="1336">+EJ130*EJ91</f>
        <v>228.42938814008994</v>
      </c>
      <c r="EK235" s="1152">
        <f t="shared" si="1336"/>
        <v>211.49029747891299</v>
      </c>
      <c r="EL235" s="1157">
        <f t="shared" ref="EL235" si="1337">SUM(EJ235:EK235)</f>
        <v>439.91968561900296</v>
      </c>
      <c r="EM235" s="1152">
        <f t="shared" ref="EM235:EN235" si="1338">+EM130*EM91</f>
        <v>248.01731949346728</v>
      </c>
      <c r="EN235" s="1152">
        <f t="shared" si="1338"/>
        <v>229.62569355317692</v>
      </c>
      <c r="EO235" s="1157">
        <f t="shared" ref="EO235" si="1339">SUM(EM235:EN235)</f>
        <v>477.64301304664423</v>
      </c>
      <c r="EP235" s="1152">
        <f t="shared" ref="EP235:EQ235" si="1340">+EP130*EP91</f>
        <v>270.33887824787939</v>
      </c>
      <c r="EQ235" s="1152">
        <f t="shared" si="1340"/>
        <v>250.29200597296276</v>
      </c>
      <c r="ER235" s="1157">
        <f t="shared" ref="ER235" si="1341">SUM(EP235:EQ235)</f>
        <v>520.63088422084218</v>
      </c>
      <c r="ES235" s="1152">
        <f t="shared" ref="ES235:ET235" si="1342">+ES130*ES91</f>
        <v>294.66937729018866</v>
      </c>
      <c r="ET235" s="1152">
        <f t="shared" si="1342"/>
        <v>272.8182865105295</v>
      </c>
      <c r="EU235" s="1157">
        <f t="shared" ref="EU235" si="1343">SUM(ES235:ET235)</f>
        <v>567.48766380071811</v>
      </c>
      <c r="EV235" s="1152">
        <f t="shared" ref="EV235:EW235" si="1344">+EV130*EV91</f>
        <v>321.18962124630553</v>
      </c>
      <c r="EW235" s="1152">
        <f t="shared" si="1344"/>
        <v>297.37193229647715</v>
      </c>
      <c r="EX235" s="1157">
        <f t="shared" ref="EX235" si="1345">SUM(EV235:EW235)</f>
        <v>618.56155354278269</v>
      </c>
      <c r="EY235" s="1152">
        <f t="shared" ref="EY235:EZ235" si="1346">+EY130*EY91</f>
        <v>350.09668715847317</v>
      </c>
      <c r="EZ235" s="1152">
        <f t="shared" si="1346"/>
        <v>324.13540620316007</v>
      </c>
      <c r="FA235" s="1157">
        <f t="shared" ref="FA235" si="1347">SUM(EY235:EZ235)</f>
        <v>674.23209336163325</v>
      </c>
    </row>
    <row r="236" spans="1:157" outlineLevel="1">
      <c r="B236" s="31"/>
      <c r="BA236" s="35"/>
      <c r="BB236" s="35"/>
      <c r="BC236" s="322"/>
      <c r="BD236" s="35"/>
      <c r="BE236" s="35"/>
      <c r="BG236" s="35"/>
      <c r="BH236" s="35"/>
      <c r="BJ236" s="35"/>
      <c r="BK236" s="35"/>
      <c r="BL236" s="31"/>
      <c r="BM236" s="35"/>
      <c r="BN236" s="35"/>
      <c r="BO236" s="31"/>
      <c r="BP236" s="35"/>
      <c r="BQ236" s="35"/>
      <c r="BR236" s="1024"/>
      <c r="BS236" s="74"/>
      <c r="BT236" s="70"/>
      <c r="BU236" s="74"/>
      <c r="BV236" s="74"/>
      <c r="BW236" s="74"/>
      <c r="BX236" s="74"/>
      <c r="BY236" s="70"/>
      <c r="BZ236" s="70"/>
      <c r="CA236" s="70"/>
      <c r="CB236" s="70"/>
      <c r="CC236" s="70"/>
      <c r="CD236" s="70"/>
      <c r="CE236" s="65"/>
      <c r="CF236" s="65"/>
      <c r="CG236" s="65"/>
      <c r="CH236" s="70"/>
      <c r="CI236" s="70"/>
      <c r="CJ236" s="70"/>
      <c r="CK236" s="35"/>
      <c r="CL236" s="35"/>
      <c r="CN236" s="35"/>
      <c r="CO236" s="35"/>
      <c r="CQ236" s="35"/>
      <c r="CR236" s="35"/>
      <c r="CT236" s="35"/>
      <c r="CU236" s="35"/>
      <c r="CW236" s="35"/>
      <c r="CX236" s="35"/>
      <c r="CZ236" s="35"/>
      <c r="DA236" s="35"/>
      <c r="DC236" s="35"/>
      <c r="DD236" s="35"/>
      <c r="DF236" s="70">
        <v>97.578470245942242</v>
      </c>
      <c r="DG236" s="70">
        <v>85.637984173452992</v>
      </c>
      <c r="DH236" s="1070"/>
      <c r="DI236" s="70"/>
      <c r="DJ236" s="70"/>
      <c r="DK236" s="1070"/>
      <c r="DL236" s="70"/>
      <c r="DM236" s="70"/>
      <c r="DN236" s="1070"/>
      <c r="DO236" s="70"/>
      <c r="DP236" s="70"/>
      <c r="DQ236" s="1070"/>
      <c r="DR236" s="70"/>
      <c r="DS236" s="70"/>
      <c r="DT236" s="1070"/>
      <c r="DU236" s="70"/>
      <c r="DV236" s="70"/>
      <c r="DW236" s="1070"/>
      <c r="DX236" s="70"/>
      <c r="DY236" s="70"/>
      <c r="DZ236" s="1070"/>
      <c r="EA236" s="70"/>
      <c r="EB236" s="70"/>
      <c r="EC236" s="1070"/>
      <c r="ED236" s="70"/>
      <c r="EE236" s="70"/>
      <c r="EF236" s="1070"/>
      <c r="EG236" s="70"/>
      <c r="EH236" s="70"/>
      <c r="EI236" s="1070"/>
      <c r="EJ236" s="70"/>
      <c r="EK236" s="70"/>
      <c r="EL236" s="1070"/>
      <c r="EM236" s="70"/>
      <c r="EN236" s="70"/>
      <c r="EO236" s="1070"/>
      <c r="EP236" s="70"/>
      <c r="EQ236" s="70"/>
      <c r="ER236" s="1070"/>
      <c r="ES236" s="70"/>
      <c r="ET236" s="70"/>
      <c r="EU236" s="1070"/>
      <c r="EV236" s="70"/>
      <c r="EW236" s="70"/>
      <c r="EX236" s="1070"/>
      <c r="EY236" s="70"/>
      <c r="EZ236" s="70"/>
      <c r="FA236" s="1070"/>
    </row>
    <row r="237" spans="1:157" outlineLevel="1">
      <c r="B237" s="31" t="s">
        <v>23</v>
      </c>
      <c r="D237" s="162" t="s">
        <v>604</v>
      </c>
      <c r="BA237" s="35"/>
      <c r="BB237" s="35"/>
      <c r="BC237" s="322"/>
      <c r="BD237" s="35"/>
      <c r="BE237" s="35"/>
      <c r="BG237" s="35"/>
      <c r="BH237" s="35"/>
      <c r="BJ237" s="35"/>
      <c r="BK237" s="35"/>
      <c r="BL237" s="31"/>
      <c r="BM237" s="190">
        <f>BM232+BM221+BM209</f>
        <v>59.767729078863908</v>
      </c>
      <c r="BN237" s="190">
        <f>BN232+BN221+BN209</f>
        <v>62.651476239928115</v>
      </c>
      <c r="BO237" s="973">
        <f>BM237+BN237</f>
        <v>122.41920531879202</v>
      </c>
      <c r="BP237" s="190">
        <f>BP232+BP221+BP209</f>
        <v>78.431441990672596</v>
      </c>
      <c r="BQ237" s="190">
        <f>BQ232+BQ221+BQ209</f>
        <v>86.766361536318286</v>
      </c>
      <c r="BR237" s="973">
        <f>BP237+BQ237</f>
        <v>165.19780352699087</v>
      </c>
      <c r="BS237" s="190">
        <f t="shared" ref="BS237:BX237" si="1348">BS232+BS221+BS209</f>
        <v>83.189092273865526</v>
      </c>
      <c r="BT237" s="190">
        <f t="shared" si="1348"/>
        <v>86.550920459185093</v>
      </c>
      <c r="BU237" s="190">
        <f t="shared" si="1348"/>
        <v>169.74001273305061</v>
      </c>
      <c r="BV237" s="190">
        <f t="shared" si="1348"/>
        <v>77.658510262892236</v>
      </c>
      <c r="BW237" s="190">
        <f t="shared" si="1348"/>
        <v>73.924222510221881</v>
      </c>
      <c r="BX237" s="190">
        <f t="shared" si="1348"/>
        <v>151.58273277311412</v>
      </c>
      <c r="BY237" s="190">
        <f>BY232+BY221+BY209</f>
        <v>95.912587871193153</v>
      </c>
      <c r="BZ237" s="190">
        <f>BZ232+BZ221+BZ209</f>
        <v>109.95649861465139</v>
      </c>
      <c r="CA237" s="190">
        <f>BY237+BZ237</f>
        <v>205.86908648584455</v>
      </c>
      <c r="CB237" s="190">
        <f>CB232+CB221+CB209</f>
        <v>95.413593995832983</v>
      </c>
      <c r="CC237" s="190">
        <f>CC232+CC221+CC209</f>
        <v>105.91734937029725</v>
      </c>
      <c r="CD237" s="190">
        <f>CB237+CC237</f>
        <v>201.33094336613021</v>
      </c>
      <c r="CE237" s="190">
        <f>CE232+CE221+CE209</f>
        <v>112.87759646000279</v>
      </c>
      <c r="CF237" s="190">
        <f>CF232+CF221+CF209</f>
        <v>95.442973788563549</v>
      </c>
      <c r="CG237" s="190">
        <f>CE237+CF237</f>
        <v>208.32057024856636</v>
      </c>
      <c r="CH237" s="190">
        <f>CH232+CH221+CH209</f>
        <v>103.99880751826473</v>
      </c>
      <c r="CI237" s="190">
        <f>CI232+CI221+CI209</f>
        <v>99.271234291817876</v>
      </c>
      <c r="CJ237" s="190">
        <f>CH237+CI237</f>
        <v>203.2700418100826</v>
      </c>
      <c r="CK237" s="190">
        <f>CK232+CK221+CK209</f>
        <v>107.72556275455756</v>
      </c>
      <c r="CL237" s="190">
        <f>CL232+CL221+CL209</f>
        <v>94.591346045573673</v>
      </c>
      <c r="CM237" s="190">
        <f>CK237+CL237</f>
        <v>202.31690880013122</v>
      </c>
      <c r="CN237" s="190">
        <f>CN232+CN221+CN209</f>
        <v>94.000704834941843</v>
      </c>
      <c r="CO237" s="190">
        <f>CO232+CO221+CO209</f>
        <v>117.77795862483896</v>
      </c>
      <c r="CP237" s="190">
        <f>CN237+CO237</f>
        <v>211.7786634597808</v>
      </c>
      <c r="CQ237" s="190">
        <f>CQ232+CQ221+CQ209</f>
        <v>125.23034784637679</v>
      </c>
      <c r="CR237" s="190">
        <f>CR232+CR221+CR209</f>
        <v>152.20163231045865</v>
      </c>
      <c r="CS237" s="190">
        <f>CQ237+CR237</f>
        <v>277.43198015683544</v>
      </c>
      <c r="CT237" s="190">
        <f>CT232+CT221+CT209</f>
        <v>194.57501086749926</v>
      </c>
      <c r="CU237" s="190">
        <f>CU232+CU221+CU209</f>
        <v>180.18667762739767</v>
      </c>
      <c r="CV237" s="190">
        <f>CT237+CU237</f>
        <v>374.76168849489693</v>
      </c>
      <c r="CW237" s="190">
        <f>CW232+CW221+CW209</f>
        <v>197.09606145976301</v>
      </c>
      <c r="CX237" s="190">
        <f>CX232+CX221+CX209</f>
        <v>221.26995418118105</v>
      </c>
      <c r="CY237" s="190">
        <f>CW237+CX237</f>
        <v>418.36601564094406</v>
      </c>
      <c r="CZ237" s="190">
        <f>CZ232+CZ221+CZ209</f>
        <v>222.2900427056677</v>
      </c>
      <c r="DA237" s="190">
        <f>DA232+DA221+DA209</f>
        <v>243.38565203232082</v>
      </c>
      <c r="DB237" s="190">
        <f>CZ237+DA237</f>
        <v>465.67569473798852</v>
      </c>
      <c r="DC237" s="190">
        <f>DC232+DC221+DC209</f>
        <v>257.18896395499689</v>
      </c>
      <c r="DD237" s="190">
        <f>DD232+DD221+DD209</f>
        <v>262.24470950966179</v>
      </c>
      <c r="DE237" s="190">
        <f>DC237+DD237</f>
        <v>519.43367346465868</v>
      </c>
      <c r="DF237" s="190">
        <f>DF232+DF221+DF209</f>
        <v>283.11227696611309</v>
      </c>
      <c r="DG237" s="190">
        <f>DG232+DG221+DG209</f>
        <v>204.81863050220363</v>
      </c>
      <c r="DH237" s="1060">
        <f>DF237+DG237</f>
        <v>487.93090746831672</v>
      </c>
      <c r="DI237" s="233">
        <f>+DI170-DI235</f>
        <v>269.88896068928381</v>
      </c>
      <c r="DJ237" s="233">
        <f>+DJ170-DJ235</f>
        <v>255.60353097934708</v>
      </c>
      <c r="DK237" s="1070">
        <f>DI237+DJ237</f>
        <v>525.49249166863092</v>
      </c>
      <c r="DL237" s="233">
        <f t="shared" ref="DL237:DM237" si="1349">+DL170-DL235</f>
        <v>289.45399239543724</v>
      </c>
      <c r="DM237" s="233">
        <f t="shared" si="1349"/>
        <v>294.96760716880601</v>
      </c>
      <c r="DN237" s="1070">
        <f t="shared" ref="DN237" si="1350">DL237+DM237</f>
        <v>584.42159956424325</v>
      </c>
      <c r="DO237" s="233">
        <f t="shared" ref="DO237:DP237" si="1351">+DO170-DO235</f>
        <v>331.46957301356048</v>
      </c>
      <c r="DP237" s="233">
        <f t="shared" si="1351"/>
        <v>402.73438028963699</v>
      </c>
      <c r="DQ237" s="1070">
        <f t="shared" ref="DQ237" si="1352">DO237+DP237</f>
        <v>734.20395330319752</v>
      </c>
      <c r="DR237" s="233">
        <f t="shared" ref="DR237:DS237" si="1353">+DR170-DR235</f>
        <v>435.13296209807794</v>
      </c>
      <c r="DS237" s="233">
        <f t="shared" si="1353"/>
        <v>421.27712264150949</v>
      </c>
      <c r="DT237" s="1070">
        <f t="shared" ref="DT237" si="1354">DR237+DS237</f>
        <v>856.41008473958743</v>
      </c>
      <c r="DU237" s="233">
        <f t="shared" ref="DU237:DV237" si="1355">+DU170-DU235</f>
        <v>433.03075476536458</v>
      </c>
      <c r="DV237" s="233">
        <f t="shared" si="1355"/>
        <v>407.48808499873508</v>
      </c>
      <c r="DW237" s="1070">
        <f t="shared" ref="DW237" si="1356">DU237+DV237</f>
        <v>840.51883976409965</v>
      </c>
      <c r="DX237" s="233">
        <f t="shared" ref="DX237" si="1357">+DX170-DX235</f>
        <v>434.59285714285716</v>
      </c>
      <c r="DY237" s="233">
        <f t="shared" ref="DY237" si="1358">+DY170-DY235</f>
        <v>435.5853856840564</v>
      </c>
      <c r="DZ237" s="1070">
        <f t="shared" ref="DZ237" si="1359">DX237+DY237</f>
        <v>870.17824282691356</v>
      </c>
      <c r="EA237" s="233">
        <f t="shared" ref="EA237:EB237" si="1360">+EA170-EA235</f>
        <v>506.42332869080826</v>
      </c>
      <c r="EB237" s="233">
        <f t="shared" si="1360"/>
        <v>468.86656549399811</v>
      </c>
      <c r="EC237" s="1070">
        <f t="shared" ref="EC237" si="1361">EA237+EB237</f>
        <v>975.28989418480637</v>
      </c>
      <c r="ED237" s="233">
        <f t="shared" ref="ED237:EE237" si="1362">+ED170-ED235</f>
        <v>554.68105241719343</v>
      </c>
      <c r="EE237" s="233">
        <f t="shared" si="1362"/>
        <v>513.54889901331649</v>
      </c>
      <c r="EF237" s="1070">
        <f t="shared" ref="EF237" si="1363">ED237+EE237</f>
        <v>1068.22995143051</v>
      </c>
      <c r="EG237" s="233">
        <f t="shared" ref="EG237:EH237" si="1364">+EG170-EG235</f>
        <v>606.64492263181774</v>
      </c>
      <c r="EH237" s="233">
        <f t="shared" si="1364"/>
        <v>561.6594090458816</v>
      </c>
      <c r="EI237" s="1070">
        <f t="shared" ref="EI237" si="1365">EG237+EH237</f>
        <v>1168.3043316776993</v>
      </c>
      <c r="EJ237" s="233">
        <f t="shared" ref="EJ237:EK237" si="1366">+EJ170-EJ235</f>
        <v>662.13352858540691</v>
      </c>
      <c r="EK237" s="233">
        <f t="shared" si="1366"/>
        <v>613.03327943692682</v>
      </c>
      <c r="EL237" s="1070">
        <f t="shared" ref="EL237" si="1367">EJ237+EK237</f>
        <v>1275.1668080223337</v>
      </c>
      <c r="EM237" s="233">
        <f t="shared" ref="EM237:EN237" si="1368">+EM170-EM235</f>
        <v>722.69625973732434</v>
      </c>
      <c r="EN237" s="233">
        <f t="shared" si="1368"/>
        <v>669.10500528508851</v>
      </c>
      <c r="EO237" s="1070">
        <f t="shared" ref="EO237" si="1369">EM237+EN237</f>
        <v>1391.8012650224127</v>
      </c>
      <c r="EP237" s="233">
        <f t="shared" ref="EP237:EQ237" si="1370">+EP170-EP235</f>
        <v>787.73892311368354</v>
      </c>
      <c r="EQ237" s="233">
        <f t="shared" si="1370"/>
        <v>729.32445576074656</v>
      </c>
      <c r="ER237" s="1070">
        <f t="shared" ref="ER237" si="1371">EP237+EQ237</f>
        <v>1517.0633788744301</v>
      </c>
      <c r="ES237" s="233">
        <f t="shared" ref="ES237:ET237" si="1372">+ES170-ES235</f>
        <v>858.63542619391512</v>
      </c>
      <c r="ET237" s="233">
        <f t="shared" si="1372"/>
        <v>794.96365677921381</v>
      </c>
      <c r="EU237" s="1070">
        <f t="shared" ref="EU237" si="1373">ES237+ET237</f>
        <v>1653.599082973129</v>
      </c>
      <c r="EV237" s="233">
        <f t="shared" ref="EV237:EW237" si="1374">+EV170-EV235</f>
        <v>935.9126145513676</v>
      </c>
      <c r="EW237" s="233">
        <f t="shared" si="1374"/>
        <v>866.51038588934307</v>
      </c>
      <c r="EX237" s="1070">
        <f t="shared" ref="EX237" si="1375">EV237+EW237</f>
        <v>1802.4230004407107</v>
      </c>
      <c r="EY237" s="233">
        <f t="shared" ref="EY237:EZ237" si="1376">+EY170-EY235</f>
        <v>1020.1447498609906</v>
      </c>
      <c r="EZ237" s="233">
        <f t="shared" si="1376"/>
        <v>944.49632061938428</v>
      </c>
      <c r="FA237" s="1070">
        <f t="shared" ref="FA237" si="1377">EY237+EZ237</f>
        <v>1964.6410704803748</v>
      </c>
    </row>
    <row r="238" spans="1:157" outlineLevel="1">
      <c r="B238" s="31" t="s">
        <v>213</v>
      </c>
      <c r="D238" s="162" t="s">
        <v>460</v>
      </c>
      <c r="BA238" s="35"/>
      <c r="BB238" s="35"/>
      <c r="BC238" s="322"/>
      <c r="BD238" s="35"/>
      <c r="BE238" s="35"/>
      <c r="BG238" s="35"/>
      <c r="BH238" s="35"/>
      <c r="BJ238" s="35"/>
      <c r="BK238" s="35"/>
      <c r="BL238" s="31"/>
      <c r="BM238" s="83">
        <f t="shared" ref="BM238:CR238" si="1378">BM237/BM170</f>
        <v>0.82218475597092699</v>
      </c>
      <c r="BN238" s="83">
        <f t="shared" si="1378"/>
        <v>0.81629322453260189</v>
      </c>
      <c r="BO238" s="1031">
        <f t="shared" si="1378"/>
        <v>0.81915901340674135</v>
      </c>
      <c r="BP238" s="83">
        <f t="shared" si="1378"/>
        <v>0.91311242055206288</v>
      </c>
      <c r="BQ238" s="83">
        <f t="shared" si="1378"/>
        <v>0.93852437092523089</v>
      </c>
      <c r="BR238" s="1031">
        <f t="shared" si="1378"/>
        <v>0.92628541126213948</v>
      </c>
      <c r="BS238" s="83">
        <f t="shared" si="1378"/>
        <v>0.73938613082350568</v>
      </c>
      <c r="BT238" s="83">
        <f t="shared" si="1378"/>
        <v>0.76632836197731968</v>
      </c>
      <c r="BU238" s="83">
        <f t="shared" si="1378"/>
        <v>0.75288301809436364</v>
      </c>
      <c r="BV238" s="83">
        <f t="shared" si="1378"/>
        <v>0.73102392396716087</v>
      </c>
      <c r="BW238" s="83">
        <f t="shared" si="1378"/>
        <v>0.72750652480670552</v>
      </c>
      <c r="BX238" s="83">
        <f t="shared" si="1378"/>
        <v>0.72930431153160202</v>
      </c>
      <c r="BY238" s="83">
        <f t="shared" si="1378"/>
        <v>0.72179686728747794</v>
      </c>
      <c r="BZ238" s="83">
        <f t="shared" si="1378"/>
        <v>0.79671311984048077</v>
      </c>
      <c r="CA238" s="83">
        <f t="shared" si="1378"/>
        <v>0.75996467784713329</v>
      </c>
      <c r="CB238" s="83">
        <f t="shared" si="1378"/>
        <v>0.72355277037002896</v>
      </c>
      <c r="CC238" s="83">
        <f t="shared" si="1378"/>
        <v>0.72746475523498633</v>
      </c>
      <c r="CD238" s="83">
        <f t="shared" si="1378"/>
        <v>0.72560555023922946</v>
      </c>
      <c r="CE238" s="83">
        <f t="shared" si="1378"/>
        <v>0.76227258881449478</v>
      </c>
      <c r="CF238" s="83">
        <f t="shared" si="1378"/>
        <v>0.67723586351652232</v>
      </c>
      <c r="CG238" s="83">
        <f t="shared" si="1378"/>
        <v>0.72080613825979156</v>
      </c>
      <c r="CH238" s="83">
        <f t="shared" si="1378"/>
        <v>0.75982302848908911</v>
      </c>
      <c r="CI238" s="83">
        <f t="shared" si="1378"/>
        <v>0.73654050724191211</v>
      </c>
      <c r="CJ238" s="83">
        <f t="shared" si="1378"/>
        <v>0.74827141703510158</v>
      </c>
      <c r="CK238" s="83">
        <f t="shared" si="1378"/>
        <v>0.78524770568822289</v>
      </c>
      <c r="CL238" s="83">
        <f t="shared" si="1378"/>
        <v>0.79250604377004708</v>
      </c>
      <c r="CM238" s="83">
        <f t="shared" si="1378"/>
        <v>0.78862465221587419</v>
      </c>
      <c r="CN238" s="83">
        <f t="shared" si="1378"/>
        <v>0.69904659339013075</v>
      </c>
      <c r="CO238" s="83">
        <f t="shared" si="1378"/>
        <v>0.76336897247393309</v>
      </c>
      <c r="CP238" s="83">
        <f t="shared" si="1378"/>
        <v>0.73341498382113235</v>
      </c>
      <c r="CQ238" s="83">
        <f t="shared" si="1378"/>
        <v>0.64122041908027017</v>
      </c>
      <c r="CR238" s="83">
        <f t="shared" si="1378"/>
        <v>0.73292962752192814</v>
      </c>
      <c r="CS238" s="83">
        <f t="shared" ref="CS238:DK238" si="1379">CS237/CS170</f>
        <v>0.68848174308454746</v>
      </c>
      <c r="CT238" s="83">
        <f t="shared" si="1379"/>
        <v>0.7368004925288052</v>
      </c>
      <c r="CU238" s="83">
        <f t="shared" si="1379"/>
        <v>0.706995714854873</v>
      </c>
      <c r="CV238" s="83">
        <f t="shared" si="1379"/>
        <v>0.72216283010671567</v>
      </c>
      <c r="CW238" s="83">
        <f t="shared" si="1379"/>
        <v>0.69131838180278737</v>
      </c>
      <c r="CX238" s="83">
        <f t="shared" si="1379"/>
        <v>0.71399431848789707</v>
      </c>
      <c r="CY238" s="83">
        <f t="shared" si="1379"/>
        <v>0.70312896976261907</v>
      </c>
      <c r="CZ238" s="83">
        <f t="shared" si="1379"/>
        <v>0.69901679589276444</v>
      </c>
      <c r="DA238" s="83">
        <f t="shared" si="1379"/>
        <v>0.74650497752390343</v>
      </c>
      <c r="DB238" s="83">
        <f t="shared" si="1379"/>
        <v>0.72305692086656137</v>
      </c>
      <c r="DC238" s="83">
        <f t="shared" si="1379"/>
        <v>0.73684531205500703</v>
      </c>
      <c r="DD238" s="83">
        <f t="shared" si="1379"/>
        <v>0.77625184113969625</v>
      </c>
      <c r="DE238" s="83">
        <f t="shared" si="1379"/>
        <v>0.75622712633213629</v>
      </c>
      <c r="DF238" s="83">
        <f t="shared" si="1379"/>
        <v>0.74449170152656918</v>
      </c>
      <c r="DG238" s="83">
        <f t="shared" si="1379"/>
        <v>0.75451635423782237</v>
      </c>
      <c r="DH238" s="1066">
        <f t="shared" si="1379"/>
        <v>0.74866712540798763</v>
      </c>
      <c r="DI238" s="83">
        <f t="shared" si="1379"/>
        <v>0.71836295099623049</v>
      </c>
      <c r="DJ238" s="83">
        <f t="shared" si="1379"/>
        <v>0.73217854763491008</v>
      </c>
      <c r="DK238" s="1079">
        <f t="shared" si="1379"/>
        <v>0.72501723464215084</v>
      </c>
      <c r="DL238" s="83">
        <f t="shared" ref="DL238:DT238" si="1380">DL237/DL170</f>
        <v>0.74524714828897332</v>
      </c>
      <c r="DM238" s="83">
        <f t="shared" si="1380"/>
        <v>0.75381448292564779</v>
      </c>
      <c r="DN238" s="1079">
        <f t="shared" si="1380"/>
        <v>0.7495467481906416</v>
      </c>
      <c r="DO238" s="83">
        <f t="shared" si="1380"/>
        <v>0.74571332511487176</v>
      </c>
      <c r="DP238" s="83">
        <f t="shared" si="1380"/>
        <v>0.75446680458905402</v>
      </c>
      <c r="DQ238" s="1079">
        <f t="shared" si="1380"/>
        <v>0.75048957712685016</v>
      </c>
      <c r="DR238" s="83">
        <f t="shared" si="1380"/>
        <v>0.74330878390515542</v>
      </c>
      <c r="DS238" s="83">
        <f t="shared" si="1380"/>
        <v>0.75864779874213839</v>
      </c>
      <c r="DT238" s="1079">
        <f t="shared" si="1380"/>
        <v>0.75077591368421792</v>
      </c>
      <c r="DU238" s="83">
        <f t="shared" ref="DU238:DW238" si="1381">DU237/DU170</f>
        <v>0.7457047610906915</v>
      </c>
      <c r="DV238" s="83">
        <f t="shared" si="1381"/>
        <v>0.73210220086010624</v>
      </c>
      <c r="DW238" s="1079">
        <f t="shared" si="1381"/>
        <v>0.73904760376690382</v>
      </c>
      <c r="DX238" s="83">
        <f t="shared" ref="DX238" si="1382">DX237/DX170</f>
        <v>0.72857142857142865</v>
      </c>
      <c r="DY238" s="83">
        <f t="shared" ref="DY238" si="1383">DY237/DY170</f>
        <v>0.73</v>
      </c>
      <c r="DZ238" s="1079">
        <f t="shared" ref="DZ238" si="1384">DZ237/DZ170</f>
        <v>0.72928582940855069</v>
      </c>
      <c r="EA238" s="83">
        <f t="shared" ref="EA238" si="1385">EA237/EA170</f>
        <v>0.73499999999999999</v>
      </c>
      <c r="EB238" s="83">
        <f t="shared" ref="EB238" si="1386">EB237/EB170</f>
        <v>0.73499999999999999</v>
      </c>
      <c r="EC238" s="1079">
        <f t="shared" ref="EC238" si="1387">EC237/EC170</f>
        <v>0.73499999999999999</v>
      </c>
      <c r="ED238" s="83">
        <f t="shared" ref="ED238" si="1388">ED237/ED170</f>
        <v>0.73999999999999988</v>
      </c>
      <c r="EE238" s="83">
        <f t="shared" ref="EE238" si="1389">EE237/EE170</f>
        <v>0.74</v>
      </c>
      <c r="EF238" s="1079">
        <f t="shared" ref="EF238" si="1390">EF237/EF170</f>
        <v>0.74</v>
      </c>
      <c r="EG238" s="83">
        <f t="shared" ref="EG238" si="1391">EG237/EG170</f>
        <v>0.74249999999999994</v>
      </c>
      <c r="EH238" s="83">
        <f t="shared" ref="EH238" si="1392">EH237/EH170</f>
        <v>0.74249999999999994</v>
      </c>
      <c r="EI238" s="1079">
        <f t="shared" ref="EI238" si="1393">EI237/EI170</f>
        <v>0.74249999999999994</v>
      </c>
      <c r="EJ238" s="83">
        <f t="shared" ref="EJ238" si="1394">EJ237/EJ170</f>
        <v>0.74350000000000005</v>
      </c>
      <c r="EK238" s="83">
        <f t="shared" ref="EK238" si="1395">EK237/EK170</f>
        <v>0.74349999999999983</v>
      </c>
      <c r="EL238" s="1079">
        <f t="shared" ref="EL238" si="1396">EL237/EL170</f>
        <v>0.74349999999999994</v>
      </c>
      <c r="EM238" s="83">
        <f t="shared" ref="EM238" si="1397">EM237/EM170</f>
        <v>0.74449999999999994</v>
      </c>
      <c r="EN238" s="83">
        <f t="shared" ref="EN238" si="1398">EN237/EN170</f>
        <v>0.74449999999999994</v>
      </c>
      <c r="EO238" s="1079">
        <f t="shared" ref="EO238" si="1399">EO237/EO170</f>
        <v>0.74449999999999994</v>
      </c>
      <c r="EP238" s="83">
        <f t="shared" ref="EP238" si="1400">EP237/EP170</f>
        <v>0.74449999999999994</v>
      </c>
      <c r="EQ238" s="83">
        <f t="shared" ref="EQ238" si="1401">EQ237/EQ170</f>
        <v>0.74449999999999994</v>
      </c>
      <c r="ER238" s="1079">
        <f t="shared" ref="ER238:ET238" si="1402">ER237/ER170</f>
        <v>0.74449999999999994</v>
      </c>
      <c r="ES238" s="83">
        <f t="shared" si="1402"/>
        <v>0.74449999999999983</v>
      </c>
      <c r="ET238" s="83">
        <f t="shared" si="1402"/>
        <v>0.74449999999999983</v>
      </c>
      <c r="EU238" s="1079">
        <f t="shared" ref="EU238:EX238" si="1403">EU237/EU170</f>
        <v>0.74449999999999994</v>
      </c>
      <c r="EV238" s="83">
        <f t="shared" si="1403"/>
        <v>0.74449999999999994</v>
      </c>
      <c r="EW238" s="83">
        <f t="shared" si="1403"/>
        <v>0.74449999999999994</v>
      </c>
      <c r="EX238" s="1079">
        <f t="shared" si="1403"/>
        <v>0.74449999999999994</v>
      </c>
      <c r="EY238" s="83">
        <f t="shared" ref="EY238:FA238" si="1404">EY237/EY170</f>
        <v>0.74449999999999983</v>
      </c>
      <c r="EZ238" s="83">
        <f t="shared" si="1404"/>
        <v>0.74450000000000005</v>
      </c>
      <c r="FA238" s="1079">
        <f t="shared" si="1404"/>
        <v>0.74449999999999994</v>
      </c>
    </row>
    <row r="239" spans="1:157" outlineLevel="1">
      <c r="B239" s="31"/>
      <c r="BA239" s="35"/>
      <c r="BB239" s="35"/>
      <c r="BC239" s="322"/>
      <c r="BD239" s="35"/>
      <c r="BE239" s="35"/>
      <c r="BG239" s="35"/>
      <c r="BH239" s="35"/>
      <c r="BJ239" s="35"/>
      <c r="BK239" s="35"/>
      <c r="BL239" s="31"/>
      <c r="BM239" s="35"/>
      <c r="BN239" s="35"/>
      <c r="BO239" s="31"/>
      <c r="BP239" s="35"/>
      <c r="BQ239" s="35"/>
      <c r="BR239" s="1024"/>
      <c r="BS239" s="74"/>
      <c r="BT239" s="70"/>
      <c r="BU239" s="74"/>
      <c r="BV239" s="74"/>
      <c r="BW239" s="74"/>
      <c r="BX239" s="74"/>
      <c r="BY239" s="70"/>
      <c r="BZ239" s="70"/>
      <c r="CA239" s="70"/>
      <c r="CB239" s="70"/>
      <c r="CC239" s="70"/>
      <c r="CD239" s="65"/>
      <c r="CE239" s="65"/>
      <c r="CF239" s="65"/>
      <c r="CG239" s="65"/>
      <c r="CH239" s="70"/>
      <c r="CI239" s="70"/>
      <c r="CJ239" s="70"/>
      <c r="CK239" s="35"/>
      <c r="CL239" s="35"/>
      <c r="CN239" s="35"/>
      <c r="CO239" s="35"/>
      <c r="CQ239" s="35"/>
      <c r="CR239" s="35"/>
      <c r="CT239" s="35"/>
      <c r="CU239" s="35"/>
      <c r="CW239" s="35"/>
      <c r="CX239" s="35"/>
      <c r="CZ239" s="35"/>
      <c r="DA239" s="35"/>
      <c r="DC239" s="35"/>
      <c r="DD239" s="35"/>
      <c r="DF239" s="35"/>
      <c r="DG239" s="35"/>
      <c r="DH239" s="1067"/>
      <c r="DI239" s="35"/>
      <c r="DJ239" s="35"/>
      <c r="DK239" s="1067"/>
      <c r="DL239" s="35"/>
      <c r="DM239" s="35"/>
      <c r="DN239" s="1067"/>
      <c r="DO239" s="35"/>
      <c r="DP239" s="35"/>
      <c r="DQ239" s="1067"/>
      <c r="DR239" s="35"/>
      <c r="DS239" s="35"/>
      <c r="DT239" s="1067"/>
      <c r="DU239" s="35"/>
      <c r="DV239" s="35"/>
      <c r="DW239" s="1067"/>
      <c r="DX239" s="35"/>
      <c r="DY239" s="35"/>
      <c r="DZ239" s="1067"/>
      <c r="EA239" s="35"/>
      <c r="EB239" s="35"/>
      <c r="EC239" s="1067"/>
      <c r="ED239" s="35"/>
      <c r="EE239" s="35"/>
      <c r="EF239" s="1067"/>
      <c r="EG239" s="35"/>
      <c r="EH239" s="35"/>
      <c r="EI239" s="1067"/>
      <c r="EJ239" s="35"/>
      <c r="EK239" s="35"/>
      <c r="EL239" s="1067"/>
      <c r="EM239" s="35"/>
      <c r="EN239" s="35"/>
      <c r="EO239" s="1067"/>
      <c r="EP239" s="35"/>
      <c r="EQ239" s="35"/>
      <c r="ER239" s="1067"/>
      <c r="ES239" s="35"/>
      <c r="ET239" s="35"/>
      <c r="EU239" s="1067"/>
      <c r="EV239" s="35"/>
      <c r="EW239" s="35"/>
      <c r="EX239" s="1067"/>
      <c r="EY239" s="35"/>
      <c r="EZ239" s="35"/>
      <c r="FA239" s="1067"/>
    </row>
    <row r="240" spans="1:157" outlineLevel="1">
      <c r="A240" s="1426" t="s">
        <v>24</v>
      </c>
      <c r="BA240" s="35"/>
      <c r="BB240" s="35"/>
      <c r="BC240" s="322"/>
      <c r="BD240" s="35"/>
      <c r="BE240" s="35"/>
      <c r="BG240" s="35"/>
      <c r="BH240" s="35"/>
      <c r="BJ240" s="35"/>
      <c r="BK240" s="35"/>
      <c r="BL240" s="31"/>
      <c r="BM240" s="35"/>
      <c r="BN240" s="35"/>
      <c r="BO240" s="31"/>
      <c r="BP240" s="35"/>
      <c r="BQ240" s="35"/>
      <c r="BR240" s="1024"/>
      <c r="BS240" s="74"/>
      <c r="BT240" s="74"/>
      <c r="BU240" s="74"/>
      <c r="BV240" s="74"/>
      <c r="BW240" s="74"/>
      <c r="BX240" s="74"/>
      <c r="BY240" s="74"/>
      <c r="BZ240" s="74"/>
      <c r="CA240" s="74"/>
      <c r="CB240" s="74"/>
      <c r="CC240" s="74"/>
      <c r="CD240" s="74"/>
      <c r="CE240" s="74"/>
      <c r="CF240" s="74"/>
      <c r="CG240" s="74"/>
      <c r="CH240" s="74"/>
      <c r="CI240" s="70"/>
      <c r="CJ240" s="70"/>
      <c r="CK240" s="35"/>
      <c r="CL240" s="35"/>
      <c r="CN240" s="35"/>
      <c r="CO240" s="35"/>
      <c r="CQ240" s="35"/>
      <c r="CR240" s="35"/>
      <c r="CT240" s="35"/>
      <c r="CU240" s="35"/>
      <c r="CW240" s="35"/>
      <c r="CX240" s="35"/>
      <c r="CZ240" s="35"/>
      <c r="DA240" s="35"/>
      <c r="DC240" s="35"/>
      <c r="DD240" s="35"/>
      <c r="DF240" s="70"/>
      <c r="DG240" s="70"/>
      <c r="DH240" s="1074"/>
      <c r="DI240" s="70"/>
      <c r="DJ240" s="70"/>
      <c r="DK240" s="1074"/>
      <c r="DL240" s="70"/>
      <c r="DM240" s="70"/>
      <c r="DN240" s="1074"/>
      <c r="DO240" s="70"/>
      <c r="DP240" s="70"/>
      <c r="DQ240" s="1074"/>
      <c r="DR240" s="35"/>
      <c r="DS240" s="35"/>
      <c r="DT240" s="1067"/>
      <c r="DU240" s="35"/>
      <c r="DV240" s="35"/>
      <c r="DW240" s="1067"/>
      <c r="DX240" s="35"/>
      <c r="DY240" s="35"/>
      <c r="DZ240" s="1067"/>
      <c r="EA240" s="35"/>
      <c r="EB240" s="35"/>
      <c r="EC240" s="1067"/>
      <c r="ED240" s="35"/>
      <c r="EE240" s="35"/>
      <c r="EF240" s="1067"/>
      <c r="EG240" s="35"/>
      <c r="EH240" s="35"/>
      <c r="EI240" s="1067"/>
      <c r="EJ240" s="35"/>
      <c r="EK240" s="35"/>
      <c r="EL240" s="1067"/>
      <c r="EM240" s="35"/>
      <c r="EN240" s="35"/>
      <c r="EO240" s="1067"/>
      <c r="EP240" s="35"/>
      <c r="EQ240" s="35"/>
      <c r="ER240" s="1067"/>
      <c r="ES240" s="35"/>
      <c r="ET240" s="35"/>
      <c r="EU240" s="1067"/>
      <c r="EV240" s="35"/>
      <c r="EW240" s="35"/>
      <c r="EX240" s="1067"/>
      <c r="EY240" s="35"/>
      <c r="EZ240" s="35"/>
      <c r="FA240" s="1067"/>
    </row>
    <row r="241" spans="1:157" outlineLevel="1">
      <c r="B241" s="31"/>
      <c r="C241" s="35" t="s">
        <v>24</v>
      </c>
      <c r="D241" s="162" t="s">
        <v>39</v>
      </c>
      <c r="BA241" s="35"/>
      <c r="BB241" s="35"/>
      <c r="BC241" s="322"/>
      <c r="BD241" s="35"/>
      <c r="BE241" s="35"/>
      <c r="BG241" s="35"/>
      <c r="BH241" s="35"/>
      <c r="BJ241" s="35"/>
      <c r="BK241" s="35"/>
      <c r="BL241" s="31"/>
      <c r="BM241" s="70">
        <f>BM242*BM168</f>
        <v>7.9872305888050121</v>
      </c>
      <c r="BN241" s="70">
        <f>BN242*BN168</f>
        <v>8.864762426338979</v>
      </c>
      <c r="BO241" s="1024">
        <f>SUM(BM241:BN241)</f>
        <v>16.851993015143989</v>
      </c>
      <c r="BP241" s="70">
        <f>BP242*BP168</f>
        <v>10.62641242732645</v>
      </c>
      <c r="BQ241" s="70">
        <f>BQ242*BQ168</f>
        <v>11.547314434421287</v>
      </c>
      <c r="BR241" s="1024">
        <f>SUM(BP241:BQ241)</f>
        <v>22.173726861747738</v>
      </c>
      <c r="BS241" s="70">
        <f>BS242*BS168</f>
        <v>22.242330344309597</v>
      </c>
      <c r="BT241" s="70">
        <f>BT242*BT168</f>
        <v>27.548692526983324</v>
      </c>
      <c r="BU241" s="70">
        <f>SUM(BS241:BT241)</f>
        <v>49.791022871292924</v>
      </c>
      <c r="BV241" s="70">
        <f>BV242*BV168</f>
        <v>27.439835629171785</v>
      </c>
      <c r="BW241" s="70">
        <f>BW242*BW168</f>
        <v>28.566234902829471</v>
      </c>
      <c r="BX241" s="70">
        <f>SUM(BV241:BW241)</f>
        <v>56.00607053200126</v>
      </c>
      <c r="BY241" s="70">
        <f>BY242*BY168</f>
        <v>30.85800897658061</v>
      </c>
      <c r="BZ241" s="70">
        <f>BZ242*BZ168</f>
        <v>35.305435224161442</v>
      </c>
      <c r="CA241" s="70">
        <f>SUM(BY241:BZ241)</f>
        <v>66.163444200742049</v>
      </c>
      <c r="CB241" s="70">
        <f>CB242*CB168</f>
        <v>19.808170844255205</v>
      </c>
      <c r="CC241" s="70">
        <f>CC242*CC168</f>
        <v>18.117228591975014</v>
      </c>
      <c r="CD241" s="70">
        <f>SUM(CB241:CC241)</f>
        <v>37.925399436230222</v>
      </c>
      <c r="CE241" s="70">
        <f>CE242*CE168</f>
        <v>30.426638764043812</v>
      </c>
      <c r="CF241" s="70">
        <f>CF242*CF168</f>
        <v>26.246503021832549</v>
      </c>
      <c r="CG241" s="70">
        <f>SUM(CE241:CF241)</f>
        <v>56.673141785876361</v>
      </c>
      <c r="CH241" s="70">
        <f>CH242*CH168</f>
        <v>32.683985784787552</v>
      </c>
      <c r="CI241" s="70">
        <f>CI242*CI168</f>
        <v>27.622758701865202</v>
      </c>
      <c r="CJ241" s="70">
        <f>SUM(CH241:CI241)</f>
        <v>60.306744486652754</v>
      </c>
      <c r="CK241" s="70">
        <f>CK242*CK168</f>
        <v>31.425318501626123</v>
      </c>
      <c r="CL241" s="70">
        <f>CL242*CL168</f>
        <v>38.118343073222086</v>
      </c>
      <c r="CM241" s="70">
        <f>SUM(CK241:CL241)</f>
        <v>69.543661574848215</v>
      </c>
      <c r="CN241" s="70">
        <f>CN242*CN168</f>
        <v>27.24741130447525</v>
      </c>
      <c r="CO241" s="70">
        <f>CO242*CO168</f>
        <v>29.425967579326009</v>
      </c>
      <c r="CP241" s="70">
        <f>SUM(CN241:CO241)</f>
        <v>56.673378883801263</v>
      </c>
      <c r="CQ241" s="70">
        <f>CQ242*CQ168</f>
        <v>22.453229583275348</v>
      </c>
      <c r="CR241" s="70">
        <f>CR242*CR168</f>
        <v>35.020227909739397</v>
      </c>
      <c r="CS241" s="70">
        <f>SUM(CQ241:CR241)</f>
        <v>57.473457493014749</v>
      </c>
      <c r="CT241" s="70">
        <f>CT242*CT168</f>
        <v>22.268769622876782</v>
      </c>
      <c r="CU241" s="70">
        <f>CU242*CU168</f>
        <v>34.588776649051624</v>
      </c>
      <c r="CV241" s="70">
        <f>SUM(CT241:CU241)</f>
        <v>56.857546271928406</v>
      </c>
      <c r="CW241" s="70">
        <f>CW242*CW168</f>
        <v>35.66276584109918</v>
      </c>
      <c r="CX241" s="70">
        <f>CX242*CX168</f>
        <v>42.545518590776076</v>
      </c>
      <c r="CY241" s="70">
        <f>SUM(CW241:CX241)</f>
        <v>78.208284431875256</v>
      </c>
      <c r="CZ241" s="70">
        <f>CZ242*CZ168</f>
        <v>42.741900578299983</v>
      </c>
      <c r="DA241" s="70">
        <f>DA242*DA168</f>
        <v>48.620781487899379</v>
      </c>
      <c r="DB241" s="70">
        <f>SUM(CZ241:DA241)</f>
        <v>91.362682066199369</v>
      </c>
      <c r="DC241" s="70">
        <f>DC242*DC168</f>
        <v>48.928060266205868</v>
      </c>
      <c r="DD241" s="70">
        <f>DD242*DD168</f>
        <v>56.148077303311041</v>
      </c>
      <c r="DE241" s="70">
        <f>SUM(DC241:DD241)</f>
        <v>105.0761375695169</v>
      </c>
      <c r="DF241" s="70">
        <f>DF242*DF168</f>
        <v>49.805393117662483</v>
      </c>
      <c r="DG241" s="70">
        <v>52.3</v>
      </c>
      <c r="DH241" s="1070">
        <f>SUM(DF241:DG241)</f>
        <v>102.10539311766249</v>
      </c>
      <c r="DI241" s="163">
        <f>+DI243*DI75</f>
        <v>48.220242505000989</v>
      </c>
      <c r="DJ241" s="163">
        <f t="shared" ref="DJ241" si="1405">+DJ243*DJ75</f>
        <v>55.63251261637555</v>
      </c>
      <c r="DK241" s="1070">
        <f>SUM(DI241:DJ241)</f>
        <v>103.85275512137653</v>
      </c>
      <c r="DL241" s="163">
        <f>+DL243*DL75</f>
        <v>54.398874524714806</v>
      </c>
      <c r="DM241" s="163">
        <f t="shared" ref="DM241" si="1406">+DM243*DM75</f>
        <v>68.394547590215566</v>
      </c>
      <c r="DN241" s="1070">
        <f>SUM(DL241:DM241)</f>
        <v>122.79342211493037</v>
      </c>
      <c r="DO241" s="163">
        <f>+DO243*DO75</f>
        <v>66.36023194497794</v>
      </c>
      <c r="DP241" s="163">
        <f t="shared" ref="DP241" si="1407">+DP243*DP75</f>
        <v>75.378586484368</v>
      </c>
      <c r="DQ241" s="1070">
        <f>SUM(DO241:DP241)</f>
        <v>141.73881842934594</v>
      </c>
      <c r="DR241" s="163">
        <f>+DR243*DR75</f>
        <v>65.55234756864796</v>
      </c>
      <c r="DS241" s="163">
        <f t="shared" ref="DS241" si="1408">+DS243*DS75</f>
        <v>74.856402529612282</v>
      </c>
      <c r="DT241" s="1070">
        <f>SUM(DR241:DS241)</f>
        <v>140.40875009826024</v>
      </c>
      <c r="DU241" s="163">
        <f>+DU243*DU75</f>
        <v>81.115528039957425</v>
      </c>
      <c r="DV241" s="163">
        <f t="shared" ref="DV241" si="1409">+DV243*DV75</f>
        <v>77.340445889198037</v>
      </c>
      <c r="DW241" s="1070">
        <f>SUM(DU241:DV241)</f>
        <v>158.45597392915545</v>
      </c>
      <c r="DX241" s="163">
        <f>+DX243*DX75</f>
        <v>85.203905801897193</v>
      </c>
      <c r="DY241" s="233">
        <f>DY242*DY168</f>
        <v>92.714788377205807</v>
      </c>
      <c r="DZ241" s="1070">
        <f>SUM(DX241:DY241)</f>
        <v>177.918694179103</v>
      </c>
      <c r="EA241" s="233">
        <f>EA242*EA168</f>
        <v>107.05943216309234</v>
      </c>
      <c r="EB241" s="233">
        <f>EB242*EB168</f>
        <v>99.119818180204391</v>
      </c>
      <c r="EC241" s="1070">
        <f>SUM(EA241:EB241)</f>
        <v>206.17925034329673</v>
      </c>
      <c r="ED241" s="233">
        <f>ED242*ED168</f>
        <v>116.46895593029123</v>
      </c>
      <c r="EE241" s="233">
        <f>EE242*EE168</f>
        <v>107.83224670570617</v>
      </c>
      <c r="EF241" s="1070">
        <f>SUM(ED241:EE241)</f>
        <v>224.30120263599741</v>
      </c>
      <c r="EG241" s="233">
        <f>EG242*EG168</f>
        <v>126.95116196401742</v>
      </c>
      <c r="EH241" s="233">
        <f>EH242*EH168</f>
        <v>117.53714890921971</v>
      </c>
      <c r="EI241" s="1070">
        <f>SUM(EG241:EH241)</f>
        <v>244.48831087323714</v>
      </c>
      <c r="EJ241" s="233">
        <f>EJ242*EJ168</f>
        <v>138.37676654077902</v>
      </c>
      <c r="EK241" s="233">
        <f>EK242*EK168</f>
        <v>128.11549231104948</v>
      </c>
      <c r="EL241" s="1070">
        <f>SUM(EJ241:EK241)</f>
        <v>266.49225885182852</v>
      </c>
      <c r="EM241" s="233">
        <f>EM242*EM168</f>
        <v>150.83067552944911</v>
      </c>
      <c r="EN241" s="233">
        <f>EN242*EN168</f>
        <v>139.64588661904395</v>
      </c>
      <c r="EO241" s="1070">
        <f>SUM(EM241:EN241)</f>
        <v>290.47656214849303</v>
      </c>
      <c r="EP241" s="233">
        <f>EP242*EP168</f>
        <v>164.40543632709958</v>
      </c>
      <c r="EQ241" s="233">
        <f>EQ242*EQ168</f>
        <v>152.21401641475794</v>
      </c>
      <c r="ER241" s="1070">
        <f>SUM(EP241:EQ241)</f>
        <v>316.61945274185751</v>
      </c>
      <c r="ES241" s="233">
        <f>ES242*ES168</f>
        <v>179.20192559653856</v>
      </c>
      <c r="ET241" s="233">
        <f>ET242*ET168</f>
        <v>165.91327789208617</v>
      </c>
      <c r="EU241" s="1070">
        <f>SUM(ES241:ET241)</f>
        <v>345.11520348862473</v>
      </c>
      <c r="EV241" s="233">
        <f>EV242*EV168</f>
        <v>195.33009890022703</v>
      </c>
      <c r="EW241" s="233">
        <f>EW242*EW168</f>
        <v>180.84547290237396</v>
      </c>
      <c r="EX241" s="1070">
        <f>SUM(EV241:EW241)</f>
        <v>376.17557180260098</v>
      </c>
      <c r="EY241" s="233">
        <f>EY242*EY168</f>
        <v>212.90980780124747</v>
      </c>
      <c r="EZ241" s="233">
        <f>EZ242*EZ168</f>
        <v>197.12156546358761</v>
      </c>
      <c r="FA241" s="1070">
        <f>SUM(EY241:EZ241)</f>
        <v>410.03137326483511</v>
      </c>
    </row>
    <row r="242" spans="1:157" outlineLevel="1">
      <c r="A242" s="1421"/>
      <c r="B242" s="31"/>
      <c r="C242" s="35" t="s">
        <v>488</v>
      </c>
      <c r="D242" s="162" t="s">
        <v>460</v>
      </c>
      <c r="BA242" s="91"/>
      <c r="BB242" s="91"/>
      <c r="BC242" s="942"/>
      <c r="BD242" s="91"/>
      <c r="BE242" s="91"/>
      <c r="BF242" s="87"/>
      <c r="BG242" s="91"/>
      <c r="BH242" s="91"/>
      <c r="BI242" s="87"/>
      <c r="BM242" s="123">
        <f>BM406</f>
        <v>0.15</v>
      </c>
      <c r="BN242" s="123">
        <f>BN406</f>
        <v>0.15</v>
      </c>
      <c r="BO242" s="107">
        <f>BO241/BO168</f>
        <v>0.14999999999999997</v>
      </c>
      <c r="BP242" s="123">
        <f>BP406</f>
        <v>0.15</v>
      </c>
      <c r="BQ242" s="123">
        <f>BQ406</f>
        <v>0.15</v>
      </c>
      <c r="BR242" s="107">
        <f>BR241/BR168</f>
        <v>0.15000000000000002</v>
      </c>
      <c r="BS242" s="72">
        <f>BS406</f>
        <v>0.23713982746552439</v>
      </c>
      <c r="BT242" s="72">
        <f>BT406</f>
        <v>0.27659032196605637</v>
      </c>
      <c r="BU242" s="65">
        <f>BU241/BU168</f>
        <v>0.25745734795806796</v>
      </c>
      <c r="BV242" s="72">
        <f>BV406</f>
        <v>0.26567244705698145</v>
      </c>
      <c r="BW242" s="72">
        <f>BW406</f>
        <v>0.27316855750175745</v>
      </c>
      <c r="BX242" s="65">
        <f>BX241/BX168</f>
        <v>0.269443748781171</v>
      </c>
      <c r="BY242" s="72">
        <f>BY406</f>
        <v>0.25854067711315126</v>
      </c>
      <c r="BZ242" s="72">
        <f>BZ406</f>
        <v>0.26078552607868521</v>
      </c>
      <c r="CA242" s="65">
        <f>CA241/CA168</f>
        <v>0.25973371831032532</v>
      </c>
      <c r="CB242" s="170">
        <v>0.15368000000000001</v>
      </c>
      <c r="CC242" s="170">
        <v>0.12701999999999999</v>
      </c>
      <c r="CD242" s="65">
        <f>CD241/CD168</f>
        <v>0.13967543364821244</v>
      </c>
      <c r="CE242" s="170">
        <v>0.19966500000000001</v>
      </c>
      <c r="CF242" s="170">
        <v>0.162965</v>
      </c>
      <c r="CG242" s="65">
        <f>CG241/CG168</f>
        <v>0.18080757050575288</v>
      </c>
      <c r="CH242" s="170">
        <v>0.21216499999999999</v>
      </c>
      <c r="CI242" s="72">
        <v>0.18052499999999999</v>
      </c>
      <c r="CJ242" s="65">
        <f>CJ241/CJ168</f>
        <v>0.19639839389119879</v>
      </c>
      <c r="CK242" s="72">
        <v>0.20363000000000001</v>
      </c>
      <c r="CL242" s="72">
        <v>0.27801500000000001</v>
      </c>
      <c r="CM242" s="65">
        <f>CM241/CM168</f>
        <v>0.23862533462748498</v>
      </c>
      <c r="CN242" s="170">
        <v>0.20427846962503815</v>
      </c>
      <c r="CO242" s="170">
        <v>0.18822723517401635</v>
      </c>
      <c r="CP242" s="65">
        <f>CP241/CP168</f>
        <v>0.19561714077606859</v>
      </c>
      <c r="CQ242" s="72">
        <v>0.12917740832758212</v>
      </c>
      <c r="CR242" s="72">
        <v>0.19978479119879691</v>
      </c>
      <c r="CS242" s="65">
        <f>CS241/CS168</f>
        <v>0.16463003366227452</v>
      </c>
      <c r="CT242" s="72">
        <v>0.11668334051452094</v>
      </c>
      <c r="CU242" s="72">
        <v>0.185</v>
      </c>
      <c r="CV242" s="65">
        <f>CV241/CV168</f>
        <v>0.1504907394604364</v>
      </c>
      <c r="CW242" s="72">
        <v>0.16600000000000001</v>
      </c>
      <c r="CX242" s="72">
        <v>0.182</v>
      </c>
      <c r="CY242" s="65">
        <f>CY241/CY168</f>
        <v>0.17433759322927328</v>
      </c>
      <c r="CZ242" s="170">
        <v>0.17245855094600926</v>
      </c>
      <c r="DA242" s="170">
        <v>0.19574178890944183</v>
      </c>
      <c r="DB242" s="65">
        <f>DB241/DB168</f>
        <v>0.18411316115958837</v>
      </c>
      <c r="DC242" s="72">
        <v>0.19363890546403129</v>
      </c>
      <c r="DD242" s="264">
        <v>0.23176671987514999</v>
      </c>
      <c r="DE242" s="65">
        <f>DE241/DE168</f>
        <v>0.21230162567168809</v>
      </c>
      <c r="DF242" s="72">
        <v>0.19020000000000001</v>
      </c>
      <c r="DG242" s="65">
        <f>DG241/DG168</f>
        <v>0.29191536382095618</v>
      </c>
      <c r="DH242" s="1066">
        <f>DH241/DH168</f>
        <v>0.23152125217286476</v>
      </c>
      <c r="DI242" s="65">
        <f t="shared" ref="DI242:DJ242" si="1410">DI241/DI168</f>
        <v>0.17750588418760666</v>
      </c>
      <c r="DJ242" s="65">
        <f t="shared" si="1410"/>
        <v>0.21484826977756252</v>
      </c>
      <c r="DK242" s="1066">
        <f>DK241/DK168</f>
        <v>0.19572961968597785</v>
      </c>
      <c r="DL242" s="65">
        <f t="shared" ref="DL242" si="1411">DL241/DL168</f>
        <v>0.19452624200679006</v>
      </c>
      <c r="DM242" s="65">
        <f t="shared" ref="DM242" si="1412">DM241/DM168</f>
        <v>0.2414199007636238</v>
      </c>
      <c r="DN242" s="1066">
        <f>DN241/DN168</f>
        <v>0.21812522713404756</v>
      </c>
      <c r="DO242" s="65">
        <f t="shared" ref="DO242" si="1413">DO241/DO168</f>
        <v>0.22257887436936172</v>
      </c>
      <c r="DP242" s="65">
        <f t="shared" ref="DP242" si="1414">DP241/DP168</f>
        <v>0.20881571067231333</v>
      </c>
      <c r="DQ242" s="1066">
        <f>DQ241/DQ168</f>
        <v>0.2150412236604845</v>
      </c>
      <c r="DR242" s="65">
        <f t="shared" ref="DR242" si="1415">DR241/DR168</f>
        <v>0.17139214570905012</v>
      </c>
      <c r="DS242" s="65">
        <f t="shared" ref="DS242" si="1416">DS241/DS168</f>
        <v>0.20471298872953278</v>
      </c>
      <c r="DT242" s="1066">
        <f>DT241/DT168</f>
        <v>0.18767833598235997</v>
      </c>
      <c r="DU242" s="65">
        <f t="shared" ref="DU242:DV242" si="1417">DU241/DU168</f>
        <v>0.21117746644629684</v>
      </c>
      <c r="DV242" s="65">
        <f t="shared" si="1417"/>
        <v>0.21916651994023548</v>
      </c>
      <c r="DW242" s="1066">
        <f>DW241/DW168</f>
        <v>0.21500274599557126</v>
      </c>
      <c r="DX242" s="65">
        <f t="shared" ref="DX242" si="1418">DX241/DX168</f>
        <v>0.21792599688660039</v>
      </c>
      <c r="DY242" s="1143">
        <f>+DX242</f>
        <v>0.21792599688660039</v>
      </c>
      <c r="DZ242" s="1146">
        <f>DZ241/DZ168</f>
        <v>0.21792599688660039</v>
      </c>
      <c r="EA242" s="1143">
        <f t="shared" ref="EA242" si="1419">+DY242</f>
        <v>0.21792599688660039</v>
      </c>
      <c r="EB242" s="1143">
        <f t="shared" ref="EB242" si="1420">+EA242</f>
        <v>0.21792599688660039</v>
      </c>
      <c r="EC242" s="1146">
        <f t="shared" ref="EC242" si="1421">EC241/EC168</f>
        <v>0.21792599688660041</v>
      </c>
      <c r="ED242" s="1143">
        <f t="shared" ref="ED242" si="1422">+EB242</f>
        <v>0.21792599688660039</v>
      </c>
      <c r="EE242" s="1143">
        <f t="shared" ref="EE242" si="1423">+ED242</f>
        <v>0.21792599688660039</v>
      </c>
      <c r="EF242" s="1146">
        <f t="shared" ref="EF242" si="1424">EF241/EF168</f>
        <v>0.21792599688660039</v>
      </c>
      <c r="EG242" s="1143">
        <f t="shared" ref="EG242" si="1425">+EE242</f>
        <v>0.21792599688660039</v>
      </c>
      <c r="EH242" s="1143">
        <f t="shared" ref="EH242" si="1426">+EG242</f>
        <v>0.21792599688660039</v>
      </c>
      <c r="EI242" s="1146">
        <f t="shared" ref="EI242" si="1427">EI241/EI168</f>
        <v>0.21792599688660039</v>
      </c>
      <c r="EJ242" s="1143">
        <f t="shared" ref="EJ242" si="1428">+EH242</f>
        <v>0.21792599688660039</v>
      </c>
      <c r="EK242" s="1143">
        <f t="shared" ref="EK242" si="1429">+EJ242</f>
        <v>0.21792599688660039</v>
      </c>
      <c r="EL242" s="1146">
        <f t="shared" ref="EL242" si="1430">EL241/EL168</f>
        <v>0.21792599688660041</v>
      </c>
      <c r="EM242" s="1143">
        <f t="shared" ref="EM242" si="1431">+EK242</f>
        <v>0.21792599688660039</v>
      </c>
      <c r="EN242" s="1143">
        <f t="shared" ref="EN242" si="1432">+EM242</f>
        <v>0.21792599688660039</v>
      </c>
      <c r="EO242" s="1146">
        <f t="shared" ref="EO242" si="1433">EO241/EO168</f>
        <v>0.21792599688660036</v>
      </c>
      <c r="EP242" s="1143">
        <f t="shared" ref="EP242" si="1434">+EN242</f>
        <v>0.21792599688660039</v>
      </c>
      <c r="EQ242" s="1143">
        <f t="shared" ref="EQ242" si="1435">+EP242</f>
        <v>0.21792599688660039</v>
      </c>
      <c r="ER242" s="1146">
        <f t="shared" ref="ER242" si="1436">ER241/ER168</f>
        <v>0.21792599688660039</v>
      </c>
      <c r="ES242" s="1143">
        <f t="shared" ref="ES242" si="1437">+EQ242</f>
        <v>0.21792599688660039</v>
      </c>
      <c r="ET242" s="1143">
        <f t="shared" ref="ET242" si="1438">+ES242</f>
        <v>0.21792599688660039</v>
      </c>
      <c r="EU242" s="1146">
        <f t="shared" ref="EU242" si="1439">EU241/EU168</f>
        <v>0.21792599688660039</v>
      </c>
      <c r="EV242" s="1143">
        <f t="shared" ref="EV242" si="1440">+ET242</f>
        <v>0.21792599688660039</v>
      </c>
      <c r="EW242" s="1143">
        <f t="shared" ref="EW242" si="1441">+EV242</f>
        <v>0.21792599688660039</v>
      </c>
      <c r="EX242" s="1146">
        <f t="shared" ref="EX242" si="1442">EX241/EX168</f>
        <v>0.21792599688660041</v>
      </c>
      <c r="EY242" s="1143">
        <f t="shared" ref="EY242" si="1443">+EW242</f>
        <v>0.21792599688660039</v>
      </c>
      <c r="EZ242" s="1143">
        <f t="shared" ref="EZ242" si="1444">+EY242</f>
        <v>0.21792599688660039</v>
      </c>
      <c r="FA242" s="1146">
        <f t="shared" ref="FA242" si="1445">FA241/FA168</f>
        <v>0.21792599688660041</v>
      </c>
    </row>
    <row r="243" spans="1:157" outlineLevel="1">
      <c r="D243" s="162" t="s">
        <v>604</v>
      </c>
      <c r="BA243" s="35"/>
      <c r="BB243" s="35"/>
      <c r="BC243" s="322"/>
      <c r="BD243" s="35"/>
      <c r="BE243" s="35"/>
      <c r="BG243" s="35"/>
      <c r="BH243" s="35"/>
      <c r="BJ243" s="35"/>
      <c r="BK243" s="35"/>
      <c r="BL243" s="31"/>
      <c r="BM243" s="70">
        <f>BM241/BM75</f>
        <v>10.904069063215033</v>
      </c>
      <c r="BN243" s="70">
        <f>BN241/BN75</f>
        <v>11.512678475764908</v>
      </c>
      <c r="BO243" s="1024">
        <f>SUM(BM243:BN243)</f>
        <v>22.416747538979941</v>
      </c>
      <c r="BP243" s="70">
        <f>BP241/BP75</f>
        <v>14.360016793684393</v>
      </c>
      <c r="BQ243" s="70">
        <f>BQ241/BQ75</f>
        <v>15.396419245895048</v>
      </c>
      <c r="BR243" s="1024">
        <f>SUM(BP243:BQ243)</f>
        <v>29.756436039579441</v>
      </c>
      <c r="BS243" s="70">
        <f>BS241/BS75</f>
        <v>29.656440459079462</v>
      </c>
      <c r="BT243" s="70">
        <f>BT241/BT75</f>
        <v>34.435865658729149</v>
      </c>
      <c r="BU243" s="70">
        <f>SUM(BS243:BT243)</f>
        <v>64.092306117808619</v>
      </c>
      <c r="BV243" s="70">
        <f>BV241/BV75</f>
        <v>31.58469517728718</v>
      </c>
      <c r="BW243" s="70">
        <f>BW241/BW75</f>
        <v>30.949333589197693</v>
      </c>
      <c r="BX243" s="70">
        <f>SUM(BV243:BW243)</f>
        <v>62.534028766484873</v>
      </c>
      <c r="BY243" s="70">
        <f>BY241/BY75</f>
        <v>38.572511220725758</v>
      </c>
      <c r="BZ243" s="70">
        <f>BZ241/BZ75</f>
        <v>39.556144455658945</v>
      </c>
      <c r="CA243" s="70">
        <f>SUM(BY243:BZ243)</f>
        <v>78.12865567638471</v>
      </c>
      <c r="CB243" s="70">
        <f>CB241/CB75</f>
        <v>22.727896263228235</v>
      </c>
      <c r="CC243" s="70">
        <f>CC241/CC75</f>
        <v>20.298509472272894</v>
      </c>
      <c r="CD243" s="70">
        <f>SUM(CB243:CC243)</f>
        <v>43.026405735501129</v>
      </c>
      <c r="CE243" s="70">
        <f>CE241/CE75</f>
        <v>32.260353690809403</v>
      </c>
      <c r="CF243" s="70">
        <f>CF241/CF75</f>
        <v>25.17116616036213</v>
      </c>
      <c r="CG243" s="70">
        <f>SUM(CE243:CF243)</f>
        <v>57.431519851171529</v>
      </c>
      <c r="CH243" s="70">
        <f>CH241/CH75</f>
        <v>31.73202503377432</v>
      </c>
      <c r="CI243" s="70">
        <f>CI241/CI75</f>
        <v>26.818212331907961</v>
      </c>
      <c r="CJ243" s="70">
        <f>SUM(CH243:CI243)</f>
        <v>58.550237365682278</v>
      </c>
      <c r="CK243" s="70">
        <f>CK241/CK75</f>
        <v>30.625441251192523</v>
      </c>
      <c r="CL243" s="70">
        <f>CL241/CL75</f>
        <v>37.252776122559069</v>
      </c>
      <c r="CM243" s="70">
        <f>SUM(CK243:CL243)</f>
        <v>67.878217373751596</v>
      </c>
      <c r="CN243" s="70">
        <f>CN241/CN75</f>
        <v>30.615068881432865</v>
      </c>
      <c r="CO243" s="70">
        <f>CO241/CO75</f>
        <v>32.155958624838966</v>
      </c>
      <c r="CP243" s="70">
        <f>SUM(CN243:CO243)</f>
        <v>62.771027506271835</v>
      </c>
      <c r="CQ243" s="70">
        <f>CQ241/CQ75</f>
        <v>25.228347846376796</v>
      </c>
      <c r="CR243" s="70">
        <f>CR241/CR75</f>
        <v>47.324632310458647</v>
      </c>
      <c r="CS243" s="70">
        <f>SUM(CQ243:CR243)</f>
        <v>72.552980156835446</v>
      </c>
      <c r="CT243" s="70">
        <f>CT241/CT75</f>
        <v>30.813853246415178</v>
      </c>
      <c r="CU243" s="70">
        <f>CU241/CU75</f>
        <v>47.149557855398385</v>
      </c>
      <c r="CV243" s="70">
        <f>SUM(CT243:CU243)</f>
        <v>77.963411101813563</v>
      </c>
      <c r="CW243" s="70">
        <f>CW241/CW75</f>
        <v>47.326885937851593</v>
      </c>
      <c r="CX243" s="70">
        <f>CX241/CX75</f>
        <v>56.40259399579184</v>
      </c>
      <c r="CY243" s="70">
        <f>SUM(CW243:CX243)</f>
        <v>103.72947993364343</v>
      </c>
      <c r="CZ243" s="70">
        <f>CZ241/CZ75</f>
        <v>54.842485731382958</v>
      </c>
      <c r="DA243" s="70">
        <f>DA241/DA75</f>
        <v>63.818386156938821</v>
      </c>
      <c r="DB243" s="70">
        <f>SUM(CZ243:DA243)</f>
        <v>118.66087188832178</v>
      </c>
      <c r="DC243" s="70">
        <f>DC241/DC75</f>
        <v>67.587848715194085</v>
      </c>
      <c r="DD243" s="70">
        <f>DD241/DD75</f>
        <v>78.298810909651436</v>
      </c>
      <c r="DE243" s="70">
        <f>SUM(DC243:DD243)</f>
        <v>145.88665962484552</v>
      </c>
      <c r="DF243" s="70">
        <f>DF241/DF75</f>
        <v>72.328482598987037</v>
      </c>
      <c r="DG243" s="70">
        <f>DG241/DG75</f>
        <v>79.242424242424235</v>
      </c>
      <c r="DH243" s="1070">
        <f>SUM(DF243:DG243)</f>
        <v>151.57090684141127</v>
      </c>
      <c r="DI243" s="163">
        <f>+DI237-DI256</f>
        <v>66.688960689283817</v>
      </c>
      <c r="DJ243" s="163">
        <f>+DJ237-DJ256</f>
        <v>75.003530979347062</v>
      </c>
      <c r="DK243" s="1070">
        <f>SUM(DI243:DJ243)</f>
        <v>141.69249166863088</v>
      </c>
      <c r="DL243" s="163">
        <f>+DL237-DL256</f>
        <v>75.553992395437234</v>
      </c>
      <c r="DM243" s="163">
        <f>+DM237-DM256</f>
        <v>94.46760716880604</v>
      </c>
      <c r="DN243" s="1070">
        <f>SUM(DL243:DM243)</f>
        <v>170.02159956424327</v>
      </c>
      <c r="DO243" s="163">
        <f>+DO237-DO256</f>
        <v>98.969573013560478</v>
      </c>
      <c r="DP243" s="163">
        <f>+DP237-DP256</f>
        <v>111.43438028963703</v>
      </c>
      <c r="DQ243" s="1070">
        <f>SUM(DO243:DP243)</f>
        <v>210.40395330319751</v>
      </c>
      <c r="DR243" s="163">
        <f>+DR237-DR256</f>
        <v>100.33296209807793</v>
      </c>
      <c r="DS243" s="163">
        <f>+DS237-DS256</f>
        <v>113.67712264150953</v>
      </c>
      <c r="DT243" s="1070">
        <f>SUM(DR243:DS243)</f>
        <v>214.01008473958746</v>
      </c>
      <c r="DU243" s="163">
        <f>+DU237-DU256</f>
        <v>122.6307547653646</v>
      </c>
      <c r="DV243" s="163">
        <f>+DV237-DV256</f>
        <v>121.98808499873508</v>
      </c>
      <c r="DW243" s="1070">
        <f>SUM(DU243:DV243)</f>
        <v>244.61883976409968</v>
      </c>
      <c r="DX243" s="163">
        <f>+DX237-DX256</f>
        <v>129.99285714285713</v>
      </c>
      <c r="DY243" s="233">
        <f>DY241/DY75</f>
        <v>130.03476630744154</v>
      </c>
      <c r="DZ243" s="1070">
        <f>SUM(DX243:DY243)</f>
        <v>260.02762345029868</v>
      </c>
      <c r="EA243" s="233">
        <f>EA241/EA75</f>
        <v>150.15348129465966</v>
      </c>
      <c r="EB243" s="233">
        <f>EB241/EB75</f>
        <v>139.01797781234839</v>
      </c>
      <c r="EC243" s="1070">
        <f>SUM(EA243:EB243)</f>
        <v>289.17145910700805</v>
      </c>
      <c r="ED243" s="233">
        <f>ED241/ED75</f>
        <v>163.35056932719669</v>
      </c>
      <c r="EE243" s="233">
        <f>EE241/EE75</f>
        <v>151.23737265877443</v>
      </c>
      <c r="EF243" s="1070">
        <f>SUM(ED243:EE243)</f>
        <v>314.58794198597116</v>
      </c>
      <c r="EG243" s="233">
        <f>EG241/EG75</f>
        <v>178.05212056664436</v>
      </c>
      <c r="EH243" s="233">
        <f>EH241/EH75</f>
        <v>164.8487361980641</v>
      </c>
      <c r="EI243" s="1070">
        <f>SUM(EG243:EH243)</f>
        <v>342.90085676470846</v>
      </c>
      <c r="EJ243" s="233">
        <f>EJ241/EJ75</f>
        <v>194.07681141764238</v>
      </c>
      <c r="EK243" s="233">
        <f>EK241/EK75</f>
        <v>179.68512245588988</v>
      </c>
      <c r="EL243" s="1070">
        <f>SUM(EJ243:EK243)</f>
        <v>373.76193387353226</v>
      </c>
      <c r="EM243" s="233">
        <f>EM241/EM75</f>
        <v>211.54372444523017</v>
      </c>
      <c r="EN243" s="233">
        <f>EN241/EN75</f>
        <v>195.85678347691999</v>
      </c>
      <c r="EO243" s="1070">
        <f>SUM(EM243:EN243)</f>
        <v>407.40050792215015</v>
      </c>
      <c r="EP243" s="233">
        <f>EP241/EP75</f>
        <v>230.58265964530096</v>
      </c>
      <c r="EQ243" s="233">
        <f>EQ241/EQ75</f>
        <v>213.48389398984284</v>
      </c>
      <c r="ER243" s="1070">
        <f>SUM(EP243:EQ243)</f>
        <v>444.0665536351438</v>
      </c>
      <c r="ES243" s="233">
        <f>ES241/ES75</f>
        <v>251.33509901337808</v>
      </c>
      <c r="ET243" s="233">
        <f>ET241/ET75</f>
        <v>232.69744444892874</v>
      </c>
      <c r="EU243" s="1070">
        <f>SUM(ES243:ET243)</f>
        <v>484.03254346230682</v>
      </c>
      <c r="EV243" s="233">
        <f>EV241/EV75</f>
        <v>273.9552579245821</v>
      </c>
      <c r="EW243" s="233">
        <f>EW241/EW75</f>
        <v>253.64021444933235</v>
      </c>
      <c r="EX243" s="1070">
        <f>SUM(EV243:EW243)</f>
        <v>527.59547237391439</v>
      </c>
      <c r="EY243" s="233">
        <f>EY241/EY75</f>
        <v>298.6112311377945</v>
      </c>
      <c r="EZ243" s="233">
        <f>EZ241/EZ75</f>
        <v>276.46783374977224</v>
      </c>
      <c r="FA243" s="1070">
        <f>SUM(EY243:EZ243)</f>
        <v>575.0790648875668</v>
      </c>
    </row>
    <row r="244" spans="1:157" outlineLevel="1">
      <c r="B244" s="31"/>
      <c r="C244" s="35" t="str">
        <f>C242</f>
        <v>% of sales</v>
      </c>
      <c r="D244" s="162" t="s">
        <v>460</v>
      </c>
      <c r="BA244" s="35"/>
      <c r="BB244" s="35"/>
      <c r="BC244" s="322"/>
      <c r="BD244" s="35"/>
      <c r="BE244" s="35"/>
      <c r="BG244" s="35"/>
      <c r="BH244" s="35"/>
      <c r="BJ244" s="35"/>
      <c r="BK244" s="35"/>
      <c r="BL244" s="31"/>
      <c r="BM244" s="65">
        <f t="shared" ref="BM244:CR244" si="1446">BM243/BM170</f>
        <v>0.15</v>
      </c>
      <c r="BN244" s="65">
        <f t="shared" si="1446"/>
        <v>0.15</v>
      </c>
      <c r="BO244" s="65">
        <f t="shared" si="1446"/>
        <v>0.15000000000000002</v>
      </c>
      <c r="BP244" s="65">
        <f t="shared" si="1446"/>
        <v>0.1671818005744278</v>
      </c>
      <c r="BQ244" s="65">
        <f t="shared" si="1446"/>
        <v>0.16653821171475983</v>
      </c>
      <c r="BR244" s="65">
        <f t="shared" si="1446"/>
        <v>0.16684817840277164</v>
      </c>
      <c r="BS244" s="65">
        <f t="shared" si="1446"/>
        <v>0.26358696994612046</v>
      </c>
      <c r="BT244" s="65">
        <f t="shared" si="1446"/>
        <v>0.30489774555279647</v>
      </c>
      <c r="BU244" s="65">
        <f t="shared" si="1446"/>
        <v>0.28428187372939862</v>
      </c>
      <c r="BV244" s="65">
        <f t="shared" si="1446"/>
        <v>0.29731664601400282</v>
      </c>
      <c r="BW244" s="65">
        <f t="shared" si="1446"/>
        <v>0.30458003290392771</v>
      </c>
      <c r="BX244" s="65">
        <f t="shared" si="1446"/>
        <v>0.30086762497613273</v>
      </c>
      <c r="BY244" s="65">
        <f t="shared" si="1446"/>
        <v>0.29028012256244207</v>
      </c>
      <c r="BZ244" s="65">
        <f t="shared" si="1446"/>
        <v>0.28661242996263886</v>
      </c>
      <c r="CA244" s="65">
        <f t="shared" si="1446"/>
        <v>0.28841153208214149</v>
      </c>
      <c r="CB244" s="65">
        <f t="shared" si="1446"/>
        <v>0.17235313771599062</v>
      </c>
      <c r="CC244" s="65">
        <f t="shared" si="1446"/>
        <v>0.13941483914270852</v>
      </c>
      <c r="CD244" s="65">
        <f t="shared" si="1446"/>
        <v>0.1550690534030289</v>
      </c>
      <c r="CE244" s="65">
        <f t="shared" si="1446"/>
        <v>0.21785707788948358</v>
      </c>
      <c r="CF244" s="65">
        <f t="shared" si="1446"/>
        <v>0.17860734817520268</v>
      </c>
      <c r="CG244" s="65">
        <f t="shared" si="1446"/>
        <v>0.19871773579017649</v>
      </c>
      <c r="CH244" s="65">
        <f t="shared" si="1446"/>
        <v>0.23183653675086191</v>
      </c>
      <c r="CI244" s="65">
        <f t="shared" si="1446"/>
        <v>0.19897707382382016</v>
      </c>
      <c r="CJ244" s="65">
        <f t="shared" si="1446"/>
        <v>0.21553333039747274</v>
      </c>
      <c r="CK244" s="65">
        <f t="shared" si="1446"/>
        <v>0.22323909816076556</v>
      </c>
      <c r="CL244" s="65">
        <f t="shared" si="1446"/>
        <v>0.31211153513045997</v>
      </c>
      <c r="CM244" s="65">
        <f t="shared" si="1446"/>
        <v>0.26458705743814548</v>
      </c>
      <c r="CN244" s="65">
        <f t="shared" si="1446"/>
        <v>0.22767233123995209</v>
      </c>
      <c r="CO244" s="65">
        <f t="shared" si="1446"/>
        <v>0.20841642511861963</v>
      </c>
      <c r="CP244" s="65">
        <f t="shared" si="1446"/>
        <v>0.21738361821180915</v>
      </c>
      <c r="CQ244" s="65">
        <f t="shared" si="1446"/>
        <v>0.12917740832758212</v>
      </c>
      <c r="CR244" s="65">
        <f t="shared" si="1446"/>
        <v>0.22789259619217114</v>
      </c>
      <c r="CS244" s="65">
        <f t="shared" ref="CS244:DT244" si="1447">CS243/CS170</f>
        <v>0.18004918616851076</v>
      </c>
      <c r="CT244" s="65">
        <f t="shared" si="1447"/>
        <v>0.11668334051452094</v>
      </c>
      <c r="CU244" s="65">
        <f t="shared" si="1447"/>
        <v>0.18500000000000003</v>
      </c>
      <c r="CV244" s="65">
        <f t="shared" si="1447"/>
        <v>0.15023488081766842</v>
      </c>
      <c r="CW244" s="65">
        <f t="shared" si="1447"/>
        <v>0.16599999999999998</v>
      </c>
      <c r="CX244" s="65">
        <f t="shared" si="1447"/>
        <v>0.182</v>
      </c>
      <c r="CY244" s="65">
        <f t="shared" si="1447"/>
        <v>0.17433347746474334</v>
      </c>
      <c r="CZ244" s="65">
        <f t="shared" si="1447"/>
        <v>0.17245855094600926</v>
      </c>
      <c r="DA244" s="65">
        <f t="shared" si="1447"/>
        <v>0.19574178890944183</v>
      </c>
      <c r="DB244" s="65">
        <f t="shared" si="1447"/>
        <v>0.18424531411970266</v>
      </c>
      <c r="DC244" s="65">
        <f t="shared" si="1447"/>
        <v>0.19363890546403126</v>
      </c>
      <c r="DD244" s="65">
        <f t="shared" si="1447"/>
        <v>0.23176671987514999</v>
      </c>
      <c r="DE244" s="65">
        <f t="shared" si="1447"/>
        <v>0.21239179324364235</v>
      </c>
      <c r="DF244" s="65">
        <f t="shared" si="1447"/>
        <v>0.19020000000000001</v>
      </c>
      <c r="DG244" s="65">
        <f t="shared" si="1447"/>
        <v>0.29191536382095618</v>
      </c>
      <c r="DH244" s="1066">
        <f t="shared" si="1447"/>
        <v>0.23256603216472757</v>
      </c>
      <c r="DI244" s="65">
        <f t="shared" si="1447"/>
        <v>0.17750588418760666</v>
      </c>
      <c r="DJ244" s="65">
        <f t="shared" si="1447"/>
        <v>0.21484826977756249</v>
      </c>
      <c r="DK244" s="1066">
        <f t="shared" si="1447"/>
        <v>0.19549184832868499</v>
      </c>
      <c r="DL244" s="65">
        <f t="shared" si="1447"/>
        <v>0.19452624200679</v>
      </c>
      <c r="DM244" s="65">
        <f t="shared" si="1447"/>
        <v>0.24141990076362388</v>
      </c>
      <c r="DN244" s="1066">
        <f t="shared" si="1447"/>
        <v>0.21806027903583849</v>
      </c>
      <c r="DO244" s="65">
        <f t="shared" si="1447"/>
        <v>0.22265370756706518</v>
      </c>
      <c r="DP244" s="65">
        <f t="shared" si="1447"/>
        <v>0.20875680084233242</v>
      </c>
      <c r="DQ244" s="1066">
        <f t="shared" si="1447"/>
        <v>0.21507099387018044</v>
      </c>
      <c r="DR244" s="65">
        <f t="shared" si="1447"/>
        <v>0.17139214570905012</v>
      </c>
      <c r="DS244" s="65">
        <f t="shared" si="1447"/>
        <v>0.2047129887295327</v>
      </c>
      <c r="DT244" s="1066">
        <f t="shared" si="1447"/>
        <v>0.18761294357814276</v>
      </c>
      <c r="DU244" s="65">
        <f t="shared" ref="DU244:DW244" si="1448">DU243/DU170</f>
        <v>0.21117746644629687</v>
      </c>
      <c r="DV244" s="65">
        <f t="shared" si="1448"/>
        <v>0.21916651994023553</v>
      </c>
      <c r="DW244" s="1066">
        <f t="shared" si="1448"/>
        <v>0.21508734701846452</v>
      </c>
      <c r="DX244" s="65">
        <f t="shared" ref="DX244" si="1449">DX243/DX170</f>
        <v>0.21792599688660039</v>
      </c>
      <c r="DY244" s="65">
        <f t="shared" ref="DY244:ER244" si="1450">DY243/DY170</f>
        <v>0.21792599688660044</v>
      </c>
      <c r="DZ244" s="1066">
        <f t="shared" si="1450"/>
        <v>0.21792599688660041</v>
      </c>
      <c r="EA244" s="65">
        <f t="shared" si="1450"/>
        <v>0.21792599688660033</v>
      </c>
      <c r="EB244" s="65">
        <f t="shared" si="1450"/>
        <v>0.21792599688660041</v>
      </c>
      <c r="EC244" s="1066">
        <f t="shared" si="1450"/>
        <v>0.21792599688660036</v>
      </c>
      <c r="ED244" s="65">
        <f t="shared" si="1450"/>
        <v>0.21792599688660041</v>
      </c>
      <c r="EE244" s="65">
        <f t="shared" si="1450"/>
        <v>0.21792599688660041</v>
      </c>
      <c r="EF244" s="1066">
        <f t="shared" si="1450"/>
        <v>0.21792599688660041</v>
      </c>
      <c r="EG244" s="65">
        <f t="shared" si="1450"/>
        <v>0.21792599688660036</v>
      </c>
      <c r="EH244" s="65">
        <f t="shared" si="1450"/>
        <v>0.21792599688660036</v>
      </c>
      <c r="EI244" s="1066">
        <f t="shared" si="1450"/>
        <v>0.21792599688660036</v>
      </c>
      <c r="EJ244" s="65">
        <f t="shared" si="1450"/>
        <v>0.21792599688660039</v>
      </c>
      <c r="EK244" s="65">
        <f t="shared" si="1450"/>
        <v>0.21792599688660033</v>
      </c>
      <c r="EL244" s="1066">
        <f t="shared" si="1450"/>
        <v>0.21792599688660033</v>
      </c>
      <c r="EM244" s="65">
        <f t="shared" si="1450"/>
        <v>0.21792599688660033</v>
      </c>
      <c r="EN244" s="65">
        <f t="shared" si="1450"/>
        <v>0.21792599688660036</v>
      </c>
      <c r="EO244" s="1066">
        <f t="shared" si="1450"/>
        <v>0.21792599688660036</v>
      </c>
      <c r="EP244" s="65">
        <f t="shared" si="1450"/>
        <v>0.21792599688660041</v>
      </c>
      <c r="EQ244" s="65">
        <f t="shared" si="1450"/>
        <v>0.21792599688660039</v>
      </c>
      <c r="ER244" s="1066">
        <f t="shared" si="1450"/>
        <v>0.21792599688660041</v>
      </c>
      <c r="ES244" s="65">
        <f t="shared" ref="ES244:EX244" si="1451">ES243/ES170</f>
        <v>0.21792599688660039</v>
      </c>
      <c r="ET244" s="65">
        <f t="shared" si="1451"/>
        <v>0.21792599688660039</v>
      </c>
      <c r="EU244" s="1066">
        <f t="shared" si="1451"/>
        <v>0.21792599688660039</v>
      </c>
      <c r="EV244" s="65">
        <f t="shared" si="1451"/>
        <v>0.21792599688660039</v>
      </c>
      <c r="EW244" s="65">
        <f t="shared" si="1451"/>
        <v>0.21792599688660044</v>
      </c>
      <c r="EX244" s="1066">
        <f t="shared" si="1451"/>
        <v>0.21792599688660039</v>
      </c>
      <c r="EY244" s="65">
        <f t="shared" ref="EY244:FA244" si="1452">EY243/EY170</f>
        <v>0.21792599688660039</v>
      </c>
      <c r="EZ244" s="65">
        <f t="shared" si="1452"/>
        <v>0.21792599688660036</v>
      </c>
      <c r="FA244" s="1066">
        <f t="shared" si="1452"/>
        <v>0.21792599688660039</v>
      </c>
    </row>
    <row r="245" spans="1:157" outlineLevel="1">
      <c r="A245" s="1426" t="s">
        <v>25</v>
      </c>
      <c r="BA245" s="35"/>
      <c r="BB245" s="35"/>
      <c r="BC245" s="322"/>
      <c r="BD245" s="35"/>
      <c r="BE245" s="35"/>
      <c r="BG245" s="35"/>
      <c r="BH245" s="35"/>
      <c r="BJ245" s="35"/>
      <c r="BK245" s="35"/>
      <c r="BL245" s="31"/>
      <c r="BM245" s="35"/>
      <c r="BN245" s="35"/>
      <c r="BO245" s="31"/>
      <c r="BP245" s="35"/>
      <c r="BQ245" s="35"/>
      <c r="BR245" s="1024"/>
      <c r="BS245" s="74"/>
      <c r="BT245" s="70"/>
      <c r="BU245" s="74"/>
      <c r="BV245" s="74"/>
      <c r="BW245" s="74"/>
      <c r="BX245" s="74"/>
      <c r="BY245" s="70"/>
      <c r="BZ245" s="70"/>
      <c r="CA245" s="70"/>
      <c r="CB245" s="70"/>
      <c r="CC245" s="70"/>
      <c r="CD245" s="70"/>
      <c r="CE245" s="35"/>
      <c r="CF245" s="35"/>
      <c r="CG245" s="70"/>
      <c r="CH245" s="35"/>
      <c r="CI245" s="35"/>
      <c r="CJ245" s="70"/>
      <c r="CK245" s="35"/>
      <c r="CL245" s="35"/>
      <c r="CM245" s="70"/>
      <c r="CN245" s="35"/>
      <c r="CO245" s="35"/>
      <c r="CP245" s="70"/>
      <c r="CQ245" s="35"/>
      <c r="CR245" s="35"/>
      <c r="CS245" s="70"/>
      <c r="CT245" s="35"/>
      <c r="CU245" s="35"/>
      <c r="CV245" s="70"/>
      <c r="CW245" s="35"/>
      <c r="CX245" s="35"/>
      <c r="CY245" s="70"/>
      <c r="CZ245" s="35"/>
      <c r="DA245" s="35"/>
      <c r="DB245" s="70"/>
      <c r="DC245" s="35"/>
      <c r="DD245" s="35"/>
      <c r="DE245" s="70"/>
      <c r="DF245" s="35"/>
      <c r="DG245" s="35"/>
      <c r="DH245" s="1074"/>
      <c r="DI245" s="35"/>
      <c r="DJ245" s="35"/>
      <c r="DK245" s="1074"/>
      <c r="DL245" s="35"/>
      <c r="DM245" s="35"/>
      <c r="DN245" s="1074"/>
      <c r="DO245" s="35"/>
      <c r="DP245" s="35"/>
      <c r="DQ245" s="1074"/>
      <c r="DR245" s="35"/>
      <c r="DS245" s="35"/>
      <c r="DT245" s="1074"/>
      <c r="DU245" s="35"/>
      <c r="DV245" s="35"/>
      <c r="DW245" s="1074"/>
      <c r="DX245" s="35"/>
      <c r="DY245" s="35"/>
      <c r="DZ245" s="1074"/>
      <c r="EA245" s="35"/>
      <c r="EB245" s="35"/>
      <c r="EC245" s="1074"/>
      <c r="ED245" s="35"/>
      <c r="EE245" s="35"/>
      <c r="EF245" s="1074"/>
      <c r="EG245" s="35"/>
      <c r="EH245" s="35"/>
      <c r="EI245" s="1074"/>
      <c r="EJ245" s="35"/>
      <c r="EK245" s="35"/>
      <c r="EL245" s="1074"/>
      <c r="EM245" s="35"/>
      <c r="EN245" s="35"/>
      <c r="EO245" s="1074"/>
      <c r="EP245" s="35"/>
      <c r="EQ245" s="35"/>
      <c r="ER245" s="1074"/>
      <c r="ES245" s="35"/>
      <c r="ET245" s="35"/>
      <c r="EU245" s="1074"/>
      <c r="EV245" s="35"/>
      <c r="EW245" s="35"/>
      <c r="EX245" s="1074"/>
      <c r="EY245" s="35"/>
      <c r="EZ245" s="35"/>
      <c r="FA245" s="1074"/>
    </row>
    <row r="246" spans="1:157" outlineLevel="1">
      <c r="B246" s="31"/>
      <c r="C246" s="35" t="s">
        <v>25</v>
      </c>
      <c r="D246" s="162" t="s">
        <v>39</v>
      </c>
      <c r="BA246" s="35"/>
      <c r="BB246" s="35"/>
      <c r="BC246" s="322"/>
      <c r="BD246" s="35"/>
      <c r="BE246" s="35"/>
      <c r="BG246" s="35"/>
      <c r="BH246" s="35"/>
      <c r="BJ246" s="35"/>
      <c r="BK246" s="35"/>
      <c r="BL246" s="31"/>
      <c r="BM246" s="190">
        <f>BM247*BM168</f>
        <v>2.662410196268338</v>
      </c>
      <c r="BN246" s="190">
        <f>BN247*BN168</f>
        <v>2.9549208087796601</v>
      </c>
      <c r="BO246" s="973">
        <f>SUM(BM246:BN246)</f>
        <v>5.6173310050479976</v>
      </c>
      <c r="BP246" s="190">
        <f>BP247*BP168</f>
        <v>3.5421374757754833</v>
      </c>
      <c r="BQ246" s="190">
        <f>BQ247*BQ168</f>
        <v>3.8491048114737625</v>
      </c>
      <c r="BR246" s="973">
        <f>SUM(BP246:BQ246)</f>
        <v>7.3912422872492458</v>
      </c>
      <c r="BS246" s="190">
        <f>BS247*BS168</f>
        <v>0</v>
      </c>
      <c r="BT246" s="190">
        <f>BT247*BT168</f>
        <v>1.7102323351417417</v>
      </c>
      <c r="BU246" s="190">
        <f>SUM(BS246:BT246)</f>
        <v>1.7102323351417417</v>
      </c>
      <c r="BV246" s="190">
        <f>BV247*BV168</f>
        <v>0</v>
      </c>
      <c r="BW246" s="190">
        <f>BW247*BW168</f>
        <v>0</v>
      </c>
      <c r="BX246" s="190">
        <f>SUM(BV246:BW246)</f>
        <v>0</v>
      </c>
      <c r="BY246" s="190">
        <f>BY247*BY168</f>
        <v>0</v>
      </c>
      <c r="BZ246" s="190">
        <f>BZ247*BZ168</f>
        <v>0</v>
      </c>
      <c r="CA246" s="190">
        <f>SUM(BY246:BZ246)</f>
        <v>0</v>
      </c>
      <c r="CB246" s="190">
        <f>CB247*CB168</f>
        <v>0</v>
      </c>
      <c r="CC246" s="190">
        <f>CC247*CC168</f>
        <v>0</v>
      </c>
      <c r="CD246" s="190">
        <f>SUM(CB246:CC246)</f>
        <v>0</v>
      </c>
      <c r="CE246" s="190">
        <f>CE247*CE168</f>
        <v>0</v>
      </c>
      <c r="CF246" s="190">
        <f>CF247*CF168</f>
        <v>0</v>
      </c>
      <c r="CG246" s="190">
        <f>SUM(CE246:CF246)</f>
        <v>0</v>
      </c>
      <c r="CH246" s="190">
        <f>CH247*CH168</f>
        <v>0</v>
      </c>
      <c r="CI246" s="190">
        <f>CI247*CI168</f>
        <v>0</v>
      </c>
      <c r="CJ246" s="190">
        <f>CH246+CI246</f>
        <v>0</v>
      </c>
      <c r="CK246" s="190">
        <f>CK247*CK168</f>
        <v>0</v>
      </c>
      <c r="CL246" s="190">
        <f>CL247*CL168</f>
        <v>0</v>
      </c>
      <c r="CM246" s="190">
        <f>CK246+CL246</f>
        <v>0</v>
      </c>
      <c r="CN246" s="190">
        <f>CN247*CN168</f>
        <v>0</v>
      </c>
      <c r="CO246" s="190">
        <f>CO247*CO168</f>
        <v>0</v>
      </c>
      <c r="CP246" s="190">
        <f>CN246+CO246</f>
        <v>0</v>
      </c>
      <c r="CQ246" s="190">
        <f>CQ247*CQ168</f>
        <v>0</v>
      </c>
      <c r="CR246" s="190">
        <f>CR247*CR168</f>
        <v>0</v>
      </c>
      <c r="CS246" s="190">
        <f>CQ246+CR246</f>
        <v>0</v>
      </c>
      <c r="CT246" s="190">
        <f>CT247*CT168</f>
        <v>0</v>
      </c>
      <c r="CU246" s="190">
        <f>CU247*CU168</f>
        <v>0</v>
      </c>
      <c r="CV246" s="190">
        <f>CT246+CU246</f>
        <v>0</v>
      </c>
      <c r="CW246" s="190">
        <f>CW247*CW168</f>
        <v>0</v>
      </c>
      <c r="CX246" s="190">
        <f>CX247*CX168</f>
        <v>0</v>
      </c>
      <c r="CY246" s="190">
        <f>CW246+CX246</f>
        <v>0</v>
      </c>
      <c r="CZ246" s="190">
        <f>CZ247*CZ168</f>
        <v>0</v>
      </c>
      <c r="DA246" s="190">
        <f>DA247*DA168</f>
        <v>0</v>
      </c>
      <c r="DB246" s="190">
        <f>CZ246+DA246</f>
        <v>0</v>
      </c>
      <c r="DC246" s="190">
        <f>DC247*DC168</f>
        <v>0</v>
      </c>
      <c r="DD246" s="190">
        <f>DD247*DD168</f>
        <v>0</v>
      </c>
      <c r="DE246" s="190">
        <f>DC246+DD246</f>
        <v>0</v>
      </c>
      <c r="DF246" s="190">
        <f>DF247*DF168</f>
        <v>0</v>
      </c>
      <c r="DG246" s="190">
        <f>DG247*DG168</f>
        <v>0</v>
      </c>
      <c r="DH246" s="1060">
        <f>DF246+DG246</f>
        <v>0</v>
      </c>
      <c r="DI246" s="190">
        <f>DI247*DI168</f>
        <v>0</v>
      </c>
      <c r="DJ246" s="190">
        <f>DJ247*DJ168</f>
        <v>0</v>
      </c>
      <c r="DK246" s="1060">
        <f>DI246+DJ246</f>
        <v>0</v>
      </c>
      <c r="DL246" s="234">
        <f>DL247*DL168</f>
        <v>0</v>
      </c>
      <c r="DM246" s="234">
        <f>DM247*DM168</f>
        <v>0</v>
      </c>
      <c r="DN246" s="1060">
        <f>DL246+DM246</f>
        <v>0</v>
      </c>
      <c r="DO246" s="234">
        <f>DO247*DO168</f>
        <v>0</v>
      </c>
      <c r="DP246" s="234">
        <f>DP247*DP168</f>
        <v>0</v>
      </c>
      <c r="DQ246" s="1060">
        <f>DO246+DP246</f>
        <v>0</v>
      </c>
      <c r="DR246" s="234">
        <f>DR247*DR168</f>
        <v>0</v>
      </c>
      <c r="DS246" s="234">
        <f>DS247*DS168</f>
        <v>0</v>
      </c>
      <c r="DT246" s="1060">
        <f>DR246+DS246</f>
        <v>0</v>
      </c>
      <c r="DU246" s="234">
        <f>DU247*DU168</f>
        <v>0</v>
      </c>
      <c r="DV246" s="234">
        <f>DV247*DV168</f>
        <v>0</v>
      </c>
      <c r="DW246" s="1060">
        <f>DU246+DV246</f>
        <v>0</v>
      </c>
      <c r="DX246" s="234">
        <f>DX247*DX168</f>
        <v>0</v>
      </c>
      <c r="DY246" s="234">
        <f>DY247*DY168</f>
        <v>0</v>
      </c>
      <c r="DZ246" s="1060">
        <f>DX246+DY246</f>
        <v>0</v>
      </c>
      <c r="EA246" s="234">
        <f>EA247*EA168</f>
        <v>0</v>
      </c>
      <c r="EB246" s="234">
        <f>EB247*EB168</f>
        <v>0</v>
      </c>
      <c r="EC246" s="1060">
        <f>EA246+EB246</f>
        <v>0</v>
      </c>
      <c r="ED246" s="234">
        <f>ED247*ED168</f>
        <v>0</v>
      </c>
      <c r="EE246" s="234">
        <f>EE247*EE168</f>
        <v>0</v>
      </c>
      <c r="EF246" s="1060">
        <f>ED246+EE246</f>
        <v>0</v>
      </c>
      <c r="EG246" s="234">
        <f>EG247*EG168</f>
        <v>0</v>
      </c>
      <c r="EH246" s="234">
        <f>EH247*EH168</f>
        <v>0</v>
      </c>
      <c r="EI246" s="1060">
        <f>EG246+EH246</f>
        <v>0</v>
      </c>
      <c r="EJ246" s="234">
        <f>EJ247*EJ168</f>
        <v>0</v>
      </c>
      <c r="EK246" s="234">
        <f>EK247*EK168</f>
        <v>0</v>
      </c>
      <c r="EL246" s="1060">
        <f>EJ246+EK246</f>
        <v>0</v>
      </c>
      <c r="EM246" s="234">
        <f>EM247*EM168</f>
        <v>0</v>
      </c>
      <c r="EN246" s="234">
        <f>EN247*EN168</f>
        <v>0</v>
      </c>
      <c r="EO246" s="1060">
        <f>EM246+EN246</f>
        <v>0</v>
      </c>
      <c r="EP246" s="234">
        <f>EP247*EP168</f>
        <v>0</v>
      </c>
      <c r="EQ246" s="234">
        <f>EQ247*EQ168</f>
        <v>0</v>
      </c>
      <c r="ER246" s="1060">
        <f>EP246+EQ246</f>
        <v>0</v>
      </c>
      <c r="ES246" s="234">
        <f>ES247*ES168</f>
        <v>0</v>
      </c>
      <c r="ET246" s="234">
        <f>ET247*ET168</f>
        <v>0</v>
      </c>
      <c r="EU246" s="1060">
        <f>ES246+ET246</f>
        <v>0</v>
      </c>
      <c r="EV246" s="234">
        <f>EV247*EV168</f>
        <v>0</v>
      </c>
      <c r="EW246" s="234">
        <f>EW247*EW168</f>
        <v>0</v>
      </c>
      <c r="EX246" s="1060">
        <f>EV246+EW246</f>
        <v>0</v>
      </c>
      <c r="EY246" s="234">
        <f>EY247*EY168</f>
        <v>0</v>
      </c>
      <c r="EZ246" s="234">
        <f>EZ247*EZ168</f>
        <v>0</v>
      </c>
      <c r="FA246" s="1060">
        <f>EY246+EZ246</f>
        <v>0</v>
      </c>
    </row>
    <row r="247" spans="1:157" outlineLevel="1">
      <c r="B247" s="31"/>
      <c r="C247" s="35" t="s">
        <v>488</v>
      </c>
      <c r="D247" s="162" t="s">
        <v>460</v>
      </c>
      <c r="BA247" s="35"/>
      <c r="BB247" s="35"/>
      <c r="BC247" s="322"/>
      <c r="BD247" s="35"/>
      <c r="BE247" s="35"/>
      <c r="BG247" s="35"/>
      <c r="BH247" s="35"/>
      <c r="BJ247" s="35"/>
      <c r="BK247" s="35"/>
      <c r="BL247" s="31"/>
      <c r="BM247" s="65">
        <f>BM410</f>
        <v>0.05</v>
      </c>
      <c r="BN247" s="65">
        <f>BN410</f>
        <v>0.05</v>
      </c>
      <c r="BO247" s="64">
        <f>BO246/BO168</f>
        <v>0.05</v>
      </c>
      <c r="BP247" s="65">
        <f>BP410</f>
        <v>0.05</v>
      </c>
      <c r="BQ247" s="65">
        <f>BQ410</f>
        <v>0.05</v>
      </c>
      <c r="BR247" s="64">
        <f>BR246/BR168</f>
        <v>0.05</v>
      </c>
      <c r="BS247" s="1032">
        <v>0</v>
      </c>
      <c r="BT247" s="1032">
        <v>1.7170822598941451E-2</v>
      </c>
      <c r="BU247" s="65">
        <f>BU246/BU168</f>
        <v>8.8431981511186992E-3</v>
      </c>
      <c r="BV247" s="1032">
        <v>0</v>
      </c>
      <c r="BW247" s="1032">
        <f>BV247</f>
        <v>0</v>
      </c>
      <c r="BX247" s="65">
        <f>BX246/BX168</f>
        <v>0</v>
      </c>
      <c r="BY247" s="1032">
        <v>0</v>
      </c>
      <c r="BZ247" s="1032">
        <v>0</v>
      </c>
      <c r="CA247" s="65">
        <f>CA246/CA168</f>
        <v>0</v>
      </c>
      <c r="CB247" s="1032">
        <v>0</v>
      </c>
      <c r="CC247" s="1032">
        <v>0</v>
      </c>
      <c r="CD247" s="65">
        <f>CD246/CD168</f>
        <v>0</v>
      </c>
      <c r="CE247" s="1032">
        <v>0</v>
      </c>
      <c r="CF247" s="65">
        <f>CF410</f>
        <v>0</v>
      </c>
      <c r="CG247" s="65">
        <f>CG246/CG168</f>
        <v>0</v>
      </c>
      <c r="CH247" s="65">
        <f>CE247</f>
        <v>0</v>
      </c>
      <c r="CI247" s="65">
        <v>0</v>
      </c>
      <c r="CJ247" s="65">
        <f>CJ246/CJ168</f>
        <v>0</v>
      </c>
      <c r="CK247" s="65">
        <f>CH247</f>
        <v>0</v>
      </c>
      <c r="CL247" s="65">
        <f>CI247</f>
        <v>0</v>
      </c>
      <c r="CM247" s="65">
        <f>CM246/CM168</f>
        <v>0</v>
      </c>
      <c r="CN247" s="65">
        <f>CK247</f>
        <v>0</v>
      </c>
      <c r="CO247" s="65">
        <f>CL247</f>
        <v>0</v>
      </c>
      <c r="CP247" s="65">
        <f>CP246/CP168</f>
        <v>0</v>
      </c>
      <c r="CQ247" s="65">
        <f>CN247</f>
        <v>0</v>
      </c>
      <c r="CR247" s="65">
        <f>CO247</f>
        <v>0</v>
      </c>
      <c r="CS247" s="65">
        <f>CS246/CS168</f>
        <v>0</v>
      </c>
      <c r="CT247" s="65">
        <f>CQ247</f>
        <v>0</v>
      </c>
      <c r="CU247" s="65">
        <f>CR247</f>
        <v>0</v>
      </c>
      <c r="CV247" s="65">
        <f>CV246/CV168</f>
        <v>0</v>
      </c>
      <c r="CW247" s="65">
        <f>CT247</f>
        <v>0</v>
      </c>
      <c r="CX247" s="65">
        <f>CU247</f>
        <v>0</v>
      </c>
      <c r="CY247" s="65">
        <f>CY246/CY168</f>
        <v>0</v>
      </c>
      <c r="CZ247" s="65">
        <f>CW247</f>
        <v>0</v>
      </c>
      <c r="DA247" s="65">
        <f>CX247</f>
        <v>0</v>
      </c>
      <c r="DB247" s="65">
        <f>DB246/DB168</f>
        <v>0</v>
      </c>
      <c r="DC247" s="65">
        <f>CZ247</f>
        <v>0</v>
      </c>
      <c r="DD247" s="65">
        <f>DA247</f>
        <v>0</v>
      </c>
      <c r="DE247" s="65">
        <f>DE246/DE168</f>
        <v>0</v>
      </c>
      <c r="DF247" s="65">
        <f>DC247</f>
        <v>0</v>
      </c>
      <c r="DG247" s="65">
        <f>DD247</f>
        <v>0</v>
      </c>
      <c r="DH247" s="1066">
        <f>DH246/DH168</f>
        <v>0</v>
      </c>
      <c r="DI247" s="65">
        <f>DF247</f>
        <v>0</v>
      </c>
      <c r="DJ247" s="65">
        <f>DG247</f>
        <v>0</v>
      </c>
      <c r="DK247" s="1066">
        <f>DK246/DK168</f>
        <v>0</v>
      </c>
      <c r="DL247" s="65">
        <f>DI247</f>
        <v>0</v>
      </c>
      <c r="DM247" s="65">
        <f>DJ247</f>
        <v>0</v>
      </c>
      <c r="DN247" s="1066">
        <f>DN246/DN168</f>
        <v>0</v>
      </c>
      <c r="DO247" s="65">
        <f>DL247</f>
        <v>0</v>
      </c>
      <c r="DP247" s="65">
        <f>DM247</f>
        <v>0</v>
      </c>
      <c r="DQ247" s="1066">
        <f>DQ246/DQ168</f>
        <v>0</v>
      </c>
      <c r="DR247" s="65">
        <f>DO247</f>
        <v>0</v>
      </c>
      <c r="DS247" s="65">
        <f>DP247</f>
        <v>0</v>
      </c>
      <c r="DT247" s="1066">
        <f>DT246/DT168</f>
        <v>0</v>
      </c>
      <c r="DU247" s="65">
        <f>DR247</f>
        <v>0</v>
      </c>
      <c r="DV247" s="65">
        <f>DS247</f>
        <v>0</v>
      </c>
      <c r="DW247" s="1066">
        <f>DW246/DW168</f>
        <v>0</v>
      </c>
      <c r="DX247" s="65">
        <f>DU247</f>
        <v>0</v>
      </c>
      <c r="DY247" s="65">
        <f>DV247</f>
        <v>0</v>
      </c>
      <c r="DZ247" s="1066">
        <f>DZ246/DZ168</f>
        <v>0</v>
      </c>
      <c r="EA247" s="65">
        <f>DX247</f>
        <v>0</v>
      </c>
      <c r="EB247" s="65">
        <f>DY247</f>
        <v>0</v>
      </c>
      <c r="EC247" s="1066">
        <f>EC246/EC168</f>
        <v>0</v>
      </c>
      <c r="ED247" s="65">
        <f>EA247</f>
        <v>0</v>
      </c>
      <c r="EE247" s="65">
        <f>EB247</f>
        <v>0</v>
      </c>
      <c r="EF247" s="1066">
        <f>EF246/EF168</f>
        <v>0</v>
      </c>
      <c r="EG247" s="65">
        <f>ED247</f>
        <v>0</v>
      </c>
      <c r="EH247" s="65">
        <f>EE247</f>
        <v>0</v>
      </c>
      <c r="EI247" s="1066">
        <f>EI246/EI168</f>
        <v>0</v>
      </c>
      <c r="EJ247" s="65">
        <f>EG247</f>
        <v>0</v>
      </c>
      <c r="EK247" s="65">
        <f>EH247</f>
        <v>0</v>
      </c>
      <c r="EL247" s="1066">
        <f>EL246/EL168</f>
        <v>0</v>
      </c>
      <c r="EM247" s="65">
        <f>EJ247</f>
        <v>0</v>
      </c>
      <c r="EN247" s="65">
        <f>EK247</f>
        <v>0</v>
      </c>
      <c r="EO247" s="1066">
        <f>EO246/EO168</f>
        <v>0</v>
      </c>
      <c r="EP247" s="65">
        <f>EM247</f>
        <v>0</v>
      </c>
      <c r="EQ247" s="65">
        <f>EN247</f>
        <v>0</v>
      </c>
      <c r="ER247" s="1066">
        <f>ER246/ER168</f>
        <v>0</v>
      </c>
      <c r="ES247" s="65">
        <f>EP247</f>
        <v>0</v>
      </c>
      <c r="ET247" s="65">
        <f>EQ247</f>
        <v>0</v>
      </c>
      <c r="EU247" s="1066">
        <f>EU246/EU168</f>
        <v>0</v>
      </c>
      <c r="EV247" s="65">
        <f>ES247</f>
        <v>0</v>
      </c>
      <c r="EW247" s="65">
        <f>ET247</f>
        <v>0</v>
      </c>
      <c r="EX247" s="1066">
        <f>EX246/EX168</f>
        <v>0</v>
      </c>
      <c r="EY247" s="65">
        <f>EV247</f>
        <v>0</v>
      </c>
      <c r="EZ247" s="65">
        <f>EW247</f>
        <v>0</v>
      </c>
      <c r="FA247" s="1066">
        <f>FA246/FA168</f>
        <v>0</v>
      </c>
    </row>
    <row r="248" spans="1:157" outlineLevel="1">
      <c r="B248" s="31"/>
      <c r="D248" s="162" t="s">
        <v>604</v>
      </c>
      <c r="BA248" s="35"/>
      <c r="BB248" s="35"/>
      <c r="BC248" s="322"/>
      <c r="BD248" s="35"/>
      <c r="BE248" s="35"/>
      <c r="BG248" s="35"/>
      <c r="BH248" s="35"/>
      <c r="BJ248" s="35"/>
      <c r="BK248" s="35"/>
      <c r="BL248" s="31"/>
      <c r="BM248" s="190">
        <f>BM246/BM75</f>
        <v>3.6346896877383452</v>
      </c>
      <c r="BN248" s="190">
        <f>BN246/BN75</f>
        <v>3.8375594919216365</v>
      </c>
      <c r="BO248" s="973">
        <f>SUM(BM248:BN248)</f>
        <v>7.4722491796599817</v>
      </c>
      <c r="BP248" s="190">
        <f>BP246/BP75</f>
        <v>4.7866722645614637</v>
      </c>
      <c r="BQ248" s="190">
        <f>BQ246/BQ75</f>
        <v>5.1321397486316833</v>
      </c>
      <c r="BR248" s="973">
        <f>SUM(BP248:BQ248)</f>
        <v>9.918812013193147</v>
      </c>
      <c r="BS248" s="190">
        <f>BS246/BS75</f>
        <v>0</v>
      </c>
      <c r="BT248" s="190">
        <f>BT246/BT75</f>
        <v>2.1377904189271768</v>
      </c>
      <c r="BU248" s="190">
        <f>SUM(BS248:BT248)</f>
        <v>2.1377904189271768</v>
      </c>
      <c r="BV248" s="190">
        <f>BV246/BV75</f>
        <v>0</v>
      </c>
      <c r="BW248" s="190">
        <f>BW246/BW75</f>
        <v>0</v>
      </c>
      <c r="BX248" s="190">
        <f>SUM(BV248:BW248)</f>
        <v>0</v>
      </c>
      <c r="BY248" s="190">
        <f>BY246/BY75</f>
        <v>0</v>
      </c>
      <c r="BZ248" s="190">
        <f>BZ246/BZ75</f>
        <v>0</v>
      </c>
      <c r="CA248" s="190">
        <f>SUM(BY248:BZ248)</f>
        <v>0</v>
      </c>
      <c r="CB248" s="190">
        <f>CB246/CB75</f>
        <v>0</v>
      </c>
      <c r="CC248" s="190">
        <f>CC246/CC75</f>
        <v>0</v>
      </c>
      <c r="CD248" s="190">
        <f>SUM(CB248:CC248)</f>
        <v>0</v>
      </c>
      <c r="CE248" s="190">
        <f>CE246/CE75</f>
        <v>0</v>
      </c>
      <c r="CF248" s="190">
        <f>CF246/CF75</f>
        <v>0</v>
      </c>
      <c r="CG248" s="190">
        <f>SUM(CE248:CF248)</f>
        <v>0</v>
      </c>
      <c r="CH248" s="190">
        <f>CH246/CH75</f>
        <v>0</v>
      </c>
      <c r="CI248" s="190">
        <f>CI246/CI75</f>
        <v>0</v>
      </c>
      <c r="CJ248" s="190">
        <f>CH248+CI248</f>
        <v>0</v>
      </c>
      <c r="CK248" s="190">
        <f>CK246/CK75</f>
        <v>0</v>
      </c>
      <c r="CL248" s="190">
        <f>CL246/CL75</f>
        <v>0</v>
      </c>
      <c r="CM248" s="190">
        <f>CK248+CL248</f>
        <v>0</v>
      </c>
      <c r="CN248" s="190">
        <f>CN246/CN75</f>
        <v>0</v>
      </c>
      <c r="CO248" s="190">
        <f>CO246/CO75</f>
        <v>0</v>
      </c>
      <c r="CP248" s="190">
        <f>CN248+CO248</f>
        <v>0</v>
      </c>
      <c r="CQ248" s="190">
        <f>CQ246/CQ75</f>
        <v>0</v>
      </c>
      <c r="CR248" s="190">
        <f>CR246/CR75</f>
        <v>0</v>
      </c>
      <c r="CS248" s="190">
        <f>CQ248+CR248</f>
        <v>0</v>
      </c>
      <c r="CT248" s="190">
        <f>CT246/CT75</f>
        <v>0</v>
      </c>
      <c r="CU248" s="190">
        <f>CU246/CU75</f>
        <v>0</v>
      </c>
      <c r="CV248" s="190">
        <f>CT248+CU248</f>
        <v>0</v>
      </c>
      <c r="CW248" s="190">
        <f>CW246/CW75</f>
        <v>0</v>
      </c>
      <c r="CX248" s="190">
        <f>CX246/CX75</f>
        <v>0</v>
      </c>
      <c r="CY248" s="190">
        <f>CW248+CX248</f>
        <v>0</v>
      </c>
      <c r="CZ248" s="190">
        <f>CZ246/CZ75</f>
        <v>0</v>
      </c>
      <c r="DA248" s="190">
        <f>DA246/DA75</f>
        <v>0</v>
      </c>
      <c r="DB248" s="190">
        <f>CZ248+DA248</f>
        <v>0</v>
      </c>
      <c r="DC248" s="190">
        <f>DC246/DC75</f>
        <v>0</v>
      </c>
      <c r="DD248" s="190">
        <f>DD246/DD75</f>
        <v>0</v>
      </c>
      <c r="DE248" s="190">
        <f>DC248+DD248</f>
        <v>0</v>
      </c>
      <c r="DF248" s="190">
        <f>DF246/DF75</f>
        <v>0</v>
      </c>
      <c r="DG248" s="190">
        <f>DG246/DG75</f>
        <v>0</v>
      </c>
      <c r="DH248" s="1060">
        <f>DF248+DG248</f>
        <v>0</v>
      </c>
      <c r="DI248" s="190">
        <f>DI246/DI75</f>
        <v>0</v>
      </c>
      <c r="DJ248" s="190">
        <f>DJ246/DJ75</f>
        <v>0</v>
      </c>
      <c r="DK248" s="1060">
        <f>DI248+DJ248</f>
        <v>0</v>
      </c>
      <c r="DL248" s="234">
        <f>DL246/DL75</f>
        <v>0</v>
      </c>
      <c r="DM248" s="234">
        <f>DM246/DM75</f>
        <v>0</v>
      </c>
      <c r="DN248" s="1060">
        <f>DL248+DM248</f>
        <v>0</v>
      </c>
      <c r="DO248" s="234">
        <f>DO246/DO75</f>
        <v>0</v>
      </c>
      <c r="DP248" s="234">
        <f>DP246/DP75</f>
        <v>0</v>
      </c>
      <c r="DQ248" s="1060">
        <f>DO248+DP248</f>
        <v>0</v>
      </c>
      <c r="DR248" s="234">
        <f>DR246/DR75</f>
        <v>0</v>
      </c>
      <c r="DS248" s="234">
        <f>DS246/DS75</f>
        <v>0</v>
      </c>
      <c r="DT248" s="1060">
        <f>DR248+DS248</f>
        <v>0</v>
      </c>
      <c r="DU248" s="234">
        <f>DU246/DU75</f>
        <v>0</v>
      </c>
      <c r="DV248" s="234">
        <f>DV246/DV75</f>
        <v>0</v>
      </c>
      <c r="DW248" s="1060">
        <f>DU248+DV248</f>
        <v>0</v>
      </c>
      <c r="DX248" s="234">
        <f>DX246/DX75</f>
        <v>0</v>
      </c>
      <c r="DY248" s="234">
        <f>DY246/DY75</f>
        <v>0</v>
      </c>
      <c r="DZ248" s="1060">
        <f>DX248+DY248</f>
        <v>0</v>
      </c>
      <c r="EA248" s="234">
        <f>EA246/EA75</f>
        <v>0</v>
      </c>
      <c r="EB248" s="234">
        <f>EB246/EB75</f>
        <v>0</v>
      </c>
      <c r="EC248" s="1060">
        <f>EA248+EB248</f>
        <v>0</v>
      </c>
      <c r="ED248" s="234">
        <f>ED246/ED75</f>
        <v>0</v>
      </c>
      <c r="EE248" s="234">
        <f>EE246/EE75</f>
        <v>0</v>
      </c>
      <c r="EF248" s="1060">
        <f>ED248+EE248</f>
        <v>0</v>
      </c>
      <c r="EG248" s="234">
        <f>EG246/EG75</f>
        <v>0</v>
      </c>
      <c r="EH248" s="234">
        <f>EH246/EH75</f>
        <v>0</v>
      </c>
      <c r="EI248" s="1060">
        <f>EG248+EH248</f>
        <v>0</v>
      </c>
      <c r="EJ248" s="234">
        <f>EJ246/EJ75</f>
        <v>0</v>
      </c>
      <c r="EK248" s="234">
        <f>EK246/EK75</f>
        <v>0</v>
      </c>
      <c r="EL248" s="1060">
        <f>EJ248+EK248</f>
        <v>0</v>
      </c>
      <c r="EM248" s="234">
        <f>EM246/EM75</f>
        <v>0</v>
      </c>
      <c r="EN248" s="234">
        <f>EN246/EN75</f>
        <v>0</v>
      </c>
      <c r="EO248" s="1060">
        <f>EM248+EN248</f>
        <v>0</v>
      </c>
      <c r="EP248" s="234">
        <f>EP246/EP75</f>
        <v>0</v>
      </c>
      <c r="EQ248" s="234">
        <f>EQ246/EQ75</f>
        <v>0</v>
      </c>
      <c r="ER248" s="1060">
        <f>EP248+EQ248</f>
        <v>0</v>
      </c>
      <c r="ES248" s="234">
        <f>ES246/ES75</f>
        <v>0</v>
      </c>
      <c r="ET248" s="234">
        <f>ET246/ET75</f>
        <v>0</v>
      </c>
      <c r="EU248" s="1060">
        <f>ES248+ET248</f>
        <v>0</v>
      </c>
      <c r="EV248" s="234">
        <f>EV246/EV75</f>
        <v>0</v>
      </c>
      <c r="EW248" s="234">
        <f>EW246/EW75</f>
        <v>0</v>
      </c>
      <c r="EX248" s="1060">
        <f>EV248+EW248</f>
        <v>0</v>
      </c>
      <c r="EY248" s="234">
        <f>EY246/EY75</f>
        <v>0</v>
      </c>
      <c r="EZ248" s="234">
        <f>EZ246/EZ75</f>
        <v>0</v>
      </c>
      <c r="FA248" s="1060">
        <f>EY248+EZ248</f>
        <v>0</v>
      </c>
    </row>
    <row r="249" spans="1:157" outlineLevel="1">
      <c r="B249" s="31"/>
      <c r="C249" s="35" t="str">
        <f>C247</f>
        <v>% of sales</v>
      </c>
      <c r="D249" s="162" t="s">
        <v>460</v>
      </c>
      <c r="BA249" s="35"/>
      <c r="BB249" s="35"/>
      <c r="BC249" s="322"/>
      <c r="BD249" s="35"/>
      <c r="BE249" s="35"/>
      <c r="BG249" s="35"/>
      <c r="BH249" s="35"/>
      <c r="BJ249" s="35"/>
      <c r="BK249" s="35"/>
      <c r="BL249" s="31"/>
      <c r="BM249" s="35"/>
      <c r="BN249" s="35"/>
      <c r="BO249" s="31"/>
      <c r="BP249" s="35"/>
      <c r="BQ249" s="35"/>
      <c r="BR249" s="1024"/>
      <c r="BS249" s="74"/>
      <c r="BT249" s="70"/>
      <c r="BU249" s="74"/>
      <c r="BV249" s="74"/>
      <c r="BW249" s="74"/>
      <c r="BX249" s="74"/>
      <c r="BY249" s="70"/>
      <c r="BZ249" s="70"/>
      <c r="CA249" s="70"/>
      <c r="CB249" s="70"/>
      <c r="CC249" s="70"/>
      <c r="CD249" s="70"/>
      <c r="CE249" s="190"/>
      <c r="CF249" s="190"/>
      <c r="CG249" s="70"/>
      <c r="CH249" s="190"/>
      <c r="CI249" s="190"/>
      <c r="CJ249" s="70"/>
      <c r="CK249" s="190"/>
      <c r="CL249" s="190"/>
      <c r="CM249" s="70"/>
      <c r="CN249" s="190"/>
      <c r="CO249" s="190"/>
      <c r="CP249" s="70"/>
      <c r="CQ249" s="190"/>
      <c r="CR249" s="190"/>
      <c r="CS249" s="70"/>
      <c r="CT249" s="190"/>
      <c r="CU249" s="190"/>
      <c r="CV249" s="70"/>
      <c r="CW249" s="190"/>
      <c r="CX249" s="190"/>
      <c r="CY249" s="70"/>
      <c r="CZ249" s="190"/>
      <c r="DA249" s="190"/>
      <c r="DB249" s="70"/>
      <c r="DC249" s="190"/>
      <c r="DD249" s="190"/>
      <c r="DE249" s="70"/>
      <c r="DF249" s="190"/>
      <c r="DG249" s="190"/>
      <c r="DH249" s="1074"/>
      <c r="DI249" s="190"/>
      <c r="DJ249" s="190"/>
      <c r="DK249" s="1074"/>
      <c r="DL249" s="190"/>
      <c r="DM249" s="190"/>
      <c r="DN249" s="1074"/>
      <c r="DO249" s="190"/>
      <c r="DP249" s="190"/>
      <c r="DQ249" s="1074"/>
      <c r="DR249" s="190"/>
      <c r="DS249" s="190"/>
      <c r="DT249" s="1074"/>
      <c r="DU249" s="190"/>
      <c r="DV249" s="190"/>
      <c r="DW249" s="1074"/>
      <c r="DX249" s="190"/>
      <c r="DY249" s="190"/>
      <c r="DZ249" s="1074"/>
      <c r="EA249" s="190"/>
      <c r="EB249" s="190"/>
      <c r="EC249" s="1074"/>
      <c r="ED249" s="190"/>
      <c r="EE249" s="190"/>
      <c r="EF249" s="1074"/>
      <c r="EG249" s="190"/>
      <c r="EH249" s="190"/>
      <c r="EI249" s="1074"/>
      <c r="EJ249" s="190"/>
      <c r="EK249" s="190"/>
      <c r="EL249" s="1074"/>
      <c r="EM249" s="190"/>
      <c r="EN249" s="190"/>
      <c r="EO249" s="1074"/>
      <c r="EP249" s="190"/>
      <c r="EQ249" s="190"/>
      <c r="ER249" s="1074"/>
      <c r="ES249" s="190"/>
      <c r="ET249" s="190"/>
      <c r="EU249" s="1074"/>
      <c r="EV249" s="190"/>
      <c r="EW249" s="190"/>
      <c r="EX249" s="1074"/>
      <c r="EY249" s="190"/>
      <c r="EZ249" s="190"/>
      <c r="FA249" s="1074"/>
    </row>
    <row r="250" spans="1:157" outlineLevel="1">
      <c r="A250" s="1426" t="s">
        <v>428</v>
      </c>
      <c r="BA250" s="35"/>
      <c r="BB250" s="35"/>
      <c r="BC250" s="322"/>
      <c r="BD250" s="35"/>
      <c r="BE250" s="35"/>
      <c r="BG250" s="35"/>
      <c r="BH250" s="35"/>
      <c r="BJ250" s="35"/>
      <c r="BK250" s="35"/>
      <c r="BL250" s="31"/>
      <c r="BM250" s="35"/>
      <c r="BN250" s="35"/>
      <c r="BO250" s="31"/>
      <c r="BP250" s="35"/>
      <c r="BQ250" s="35"/>
      <c r="BR250" s="1024"/>
      <c r="BS250" s="74"/>
      <c r="BT250" s="70"/>
      <c r="BU250" s="74"/>
      <c r="BV250" s="74"/>
      <c r="BW250" s="74"/>
      <c r="BX250" s="74"/>
      <c r="BY250" s="70"/>
      <c r="BZ250" s="70"/>
      <c r="CA250" s="70"/>
      <c r="CB250" s="70"/>
      <c r="CC250" s="70"/>
      <c r="CD250" s="70"/>
      <c r="CE250" s="35"/>
      <c r="CF250" s="35"/>
      <c r="CG250" s="70"/>
      <c r="CH250" s="35"/>
      <c r="CI250" s="35"/>
      <c r="CJ250" s="70"/>
      <c r="CK250" s="35"/>
      <c r="CL250" s="35"/>
      <c r="CM250" s="70"/>
      <c r="CN250" s="35"/>
      <c r="CO250" s="35"/>
      <c r="CP250" s="70"/>
      <c r="CQ250" s="35"/>
      <c r="CR250" s="35"/>
      <c r="CS250" s="70"/>
      <c r="CT250" s="35"/>
      <c r="CU250" s="35"/>
      <c r="CV250" s="70"/>
      <c r="CW250" s="35"/>
      <c r="CX250" s="35"/>
      <c r="CY250" s="70"/>
      <c r="CZ250" s="35"/>
      <c r="DA250" s="35"/>
      <c r="DB250" s="70"/>
      <c r="DC250" s="35"/>
      <c r="DD250" s="35"/>
      <c r="DE250" s="70"/>
      <c r="DF250" s="35"/>
      <c r="DG250" s="35"/>
      <c r="DH250" s="1074"/>
      <c r="DI250" s="35"/>
      <c r="DJ250" s="35"/>
      <c r="DK250" s="1074"/>
      <c r="DL250" s="35"/>
      <c r="DM250" s="35"/>
      <c r="DN250" s="1074"/>
      <c r="DO250" s="233"/>
      <c r="DP250" s="35"/>
      <c r="DQ250" s="1074"/>
      <c r="DR250" s="35"/>
      <c r="DS250" s="35"/>
      <c r="DT250" s="1074"/>
      <c r="DU250" s="35"/>
      <c r="DV250" s="35"/>
      <c r="DW250" s="1074"/>
      <c r="DX250" s="35"/>
      <c r="DY250" s="35"/>
      <c r="DZ250" s="1074"/>
      <c r="EA250" s="35"/>
      <c r="EB250" s="35"/>
      <c r="EC250" s="1074"/>
      <c r="ED250" s="35"/>
      <c r="EE250" s="35"/>
      <c r="EF250" s="1074"/>
      <c r="EG250" s="35"/>
      <c r="EH250" s="35"/>
      <c r="EI250" s="1074"/>
      <c r="EJ250" s="35"/>
      <c r="EK250" s="35"/>
      <c r="EL250" s="1074"/>
      <c r="EM250" s="35"/>
      <c r="EN250" s="35"/>
      <c r="EO250" s="1074"/>
      <c r="EP250" s="35"/>
      <c r="EQ250" s="35"/>
      <c r="ER250" s="1074"/>
      <c r="ES250" s="35"/>
      <c r="ET250" s="35"/>
      <c r="EU250" s="1074"/>
      <c r="EV250" s="35"/>
      <c r="EW250" s="35"/>
      <c r="EX250" s="1074"/>
      <c r="EY250" s="35"/>
      <c r="EZ250" s="35"/>
      <c r="FA250" s="1074"/>
    </row>
    <row r="251" spans="1:157" outlineLevel="1">
      <c r="B251" s="31"/>
      <c r="C251" s="35" t="s">
        <v>29</v>
      </c>
      <c r="D251" s="162" t="s">
        <v>39</v>
      </c>
      <c r="BA251" s="35"/>
      <c r="BB251" s="35"/>
      <c r="BC251" s="322"/>
      <c r="BD251" s="35"/>
      <c r="BE251" s="35"/>
      <c r="BG251" s="35"/>
      <c r="BH251" s="35"/>
      <c r="BJ251" s="35"/>
      <c r="BK251" s="35"/>
      <c r="BL251" s="31"/>
      <c r="BM251" s="190">
        <f>BM253*BM75</f>
        <v>10.790748525475571</v>
      </c>
      <c r="BN251" s="190">
        <f>BN253*BN75</f>
        <v>10.014226620954267</v>
      </c>
      <c r="BO251" s="973">
        <f>SUM(BM251:BN251)</f>
        <v>20.80497514642984</v>
      </c>
      <c r="BP251" s="190">
        <f>BP253*BP75</f>
        <v>12.880842717320851</v>
      </c>
      <c r="BQ251" s="190">
        <f>BQ253*BQ75</f>
        <v>11.749210050748195</v>
      </c>
      <c r="BR251" s="973">
        <f>SUM(BP251:BQ251)</f>
        <v>24.630052768069046</v>
      </c>
      <c r="BS251" s="190">
        <f>BS253*BS75</f>
        <v>8.370807090249416</v>
      </c>
      <c r="BT251" s="190">
        <f>BT253*BT75</f>
        <v>10.070519005578106</v>
      </c>
      <c r="BU251" s="190">
        <f>SUM(BS251:BT251)</f>
        <v>18.44132609582752</v>
      </c>
      <c r="BV251" s="190">
        <f>BV253*BV75</f>
        <v>9.8626566545069139</v>
      </c>
      <c r="BW251" s="190">
        <f>BW253*BW75</f>
        <v>6.7116569852005625</v>
      </c>
      <c r="BX251" s="190">
        <f>SUM(BV251:BW251)</f>
        <v>16.574313639707476</v>
      </c>
      <c r="BY251" s="190">
        <f>BY253*BY75</f>
        <v>8.0361132803672195</v>
      </c>
      <c r="BZ251" s="190">
        <f>BZ253*BZ75</f>
        <v>10.493241692142353</v>
      </c>
      <c r="CA251" s="190">
        <f>SUM(BY251:BZ251)</f>
        <v>18.529354972509573</v>
      </c>
      <c r="CB251" s="190">
        <f>CB253*CB75</f>
        <v>0</v>
      </c>
      <c r="CC251" s="190">
        <f>CC253*CC75</f>
        <v>0</v>
      </c>
      <c r="CD251" s="190">
        <f>SUM(CB251:CC251)</f>
        <v>0</v>
      </c>
      <c r="CE251" s="190">
        <f>CE253*CE75</f>
        <v>0</v>
      </c>
      <c r="CF251" s="190">
        <f>CF253*CF75</f>
        <v>0</v>
      </c>
      <c r="CG251" s="190">
        <f>SUM(CE251:CF251)</f>
        <v>0</v>
      </c>
      <c r="CH251" s="190">
        <f>CH253*CH75</f>
        <v>0</v>
      </c>
      <c r="CI251" s="190">
        <f>CI253*CI75</f>
        <v>0</v>
      </c>
      <c r="CJ251" s="190">
        <f>SUM(CH251:CI251)</f>
        <v>0</v>
      </c>
      <c r="CK251" s="190">
        <f>CK253*CK75</f>
        <v>0</v>
      </c>
      <c r="CL251" s="190">
        <f>CL253*CL75</f>
        <v>0</v>
      </c>
      <c r="CM251" s="190">
        <f>SUM(CK251:CL251)</f>
        <v>0</v>
      </c>
      <c r="CN251" s="190">
        <f>CN253*CN75</f>
        <v>0</v>
      </c>
      <c r="CO251" s="190">
        <f>CO253*CO75</f>
        <v>0</v>
      </c>
      <c r="CP251" s="190">
        <f>SUM(CN251:CO251)</f>
        <v>0</v>
      </c>
      <c r="CQ251" s="190">
        <f>CQ253*CQ75</f>
        <v>0</v>
      </c>
      <c r="CR251" s="190">
        <f>CR253*CR75</f>
        <v>0</v>
      </c>
      <c r="CS251" s="190">
        <f>SUM(CQ251:CR251)</f>
        <v>0</v>
      </c>
      <c r="CT251" s="190">
        <f>CT253*CT75</f>
        <v>0</v>
      </c>
      <c r="CU251" s="190">
        <f>CU253*CU75</f>
        <v>0</v>
      </c>
      <c r="CV251" s="190">
        <f>SUM(CT251:CU251)</f>
        <v>0</v>
      </c>
      <c r="CW251" s="190">
        <f>CW253*CW75</f>
        <v>0</v>
      </c>
      <c r="CX251" s="190">
        <f>CX253*CX75</f>
        <v>0</v>
      </c>
      <c r="CY251" s="190">
        <f>SUM(CW251:CX251)</f>
        <v>0</v>
      </c>
      <c r="CZ251" s="190">
        <f>CZ253*CZ75</f>
        <v>0</v>
      </c>
      <c r="DA251" s="190">
        <f>DA253*DA75</f>
        <v>0</v>
      </c>
      <c r="DB251" s="190">
        <f>SUM(CZ251:DA251)</f>
        <v>0</v>
      </c>
      <c r="DC251" s="190">
        <f>DC253*DC75</f>
        <v>0</v>
      </c>
      <c r="DD251" s="190">
        <f>DD253*DD75</f>
        <v>0</v>
      </c>
      <c r="DE251" s="190">
        <f>SUM(DC251:DD251)</f>
        <v>0</v>
      </c>
      <c r="DF251" s="190">
        <f>DF253*DF75</f>
        <v>0</v>
      </c>
      <c r="DG251" s="190">
        <f>DG253*DG75</f>
        <v>0</v>
      </c>
      <c r="DH251" s="1060">
        <f>SUM(DF251:DG251)</f>
        <v>0</v>
      </c>
      <c r="DI251" s="190">
        <f>DI253*DI75</f>
        <v>0</v>
      </c>
      <c r="DJ251" s="190">
        <f>DJ253*DJ75</f>
        <v>0</v>
      </c>
      <c r="DK251" s="1060">
        <f>SUM(DI251:DJ251)</f>
        <v>0</v>
      </c>
      <c r="DL251" s="234">
        <f>DL253*DL75</f>
        <v>0</v>
      </c>
      <c r="DM251" s="234">
        <f>DM253*DM75</f>
        <v>0</v>
      </c>
      <c r="DN251" s="1060">
        <f>SUM(DL251:DM251)</f>
        <v>0</v>
      </c>
      <c r="DO251" s="234">
        <f>DO253*DO75</f>
        <v>0</v>
      </c>
      <c r="DP251" s="234">
        <f>DP253*DP75</f>
        <v>0</v>
      </c>
      <c r="DQ251" s="1060">
        <f>SUM(DO251:DP251)</f>
        <v>0</v>
      </c>
      <c r="DR251" s="234">
        <f>DR253*DR75</f>
        <v>0</v>
      </c>
      <c r="DS251" s="234">
        <f>DS253*DS75</f>
        <v>0</v>
      </c>
      <c r="DT251" s="1060">
        <f>SUM(DR251:DS251)</f>
        <v>0</v>
      </c>
      <c r="DU251" s="234">
        <f>DU253*DU75</f>
        <v>0</v>
      </c>
      <c r="DV251" s="234">
        <f>DV253*DV75</f>
        <v>0</v>
      </c>
      <c r="DW251" s="1060">
        <f>SUM(DU251:DV251)</f>
        <v>0</v>
      </c>
      <c r="DX251" s="234">
        <f>DX253*DX75</f>
        <v>0</v>
      </c>
      <c r="DY251" s="234">
        <f>DY253*DY75</f>
        <v>0</v>
      </c>
      <c r="DZ251" s="1060">
        <f>SUM(DX251:DY251)</f>
        <v>0</v>
      </c>
      <c r="EA251" s="234">
        <f>EA253*EA75</f>
        <v>0</v>
      </c>
      <c r="EB251" s="234">
        <f>EB253*EB75</f>
        <v>0</v>
      </c>
      <c r="EC251" s="1060">
        <f>SUM(EA251:EB251)</f>
        <v>0</v>
      </c>
      <c r="ED251" s="234">
        <f>ED253*ED75</f>
        <v>0</v>
      </c>
      <c r="EE251" s="234">
        <f>EE253*EE75</f>
        <v>0</v>
      </c>
      <c r="EF251" s="1060">
        <f>SUM(ED251:EE251)</f>
        <v>0</v>
      </c>
      <c r="EG251" s="234">
        <f>EG253*EG75</f>
        <v>0</v>
      </c>
      <c r="EH251" s="234">
        <f>EH253*EH75</f>
        <v>0</v>
      </c>
      <c r="EI251" s="1060">
        <f>SUM(EG251:EH251)</f>
        <v>0</v>
      </c>
      <c r="EJ251" s="234">
        <f>EJ253*EJ75</f>
        <v>0</v>
      </c>
      <c r="EK251" s="234">
        <f>EK253*EK75</f>
        <v>0</v>
      </c>
      <c r="EL251" s="1060">
        <f>SUM(EJ251:EK251)</f>
        <v>0</v>
      </c>
      <c r="EM251" s="234">
        <f>EM253*EM75</f>
        <v>0</v>
      </c>
      <c r="EN251" s="234">
        <f>EN253*EN75</f>
        <v>0</v>
      </c>
      <c r="EO251" s="1060">
        <f>SUM(EM251:EN251)</f>
        <v>0</v>
      </c>
      <c r="EP251" s="234">
        <f>EP253*EP75</f>
        <v>0</v>
      </c>
      <c r="EQ251" s="234">
        <f>EQ253*EQ75</f>
        <v>0</v>
      </c>
      <c r="ER251" s="1060">
        <f>SUM(EP251:EQ251)</f>
        <v>0</v>
      </c>
      <c r="ES251" s="234">
        <f>ES253*ES75</f>
        <v>0</v>
      </c>
      <c r="ET251" s="234">
        <f>ET253*ET75</f>
        <v>0</v>
      </c>
      <c r="EU251" s="1060">
        <f>SUM(ES251:ET251)</f>
        <v>0</v>
      </c>
      <c r="EV251" s="234">
        <f>EV253*EV75</f>
        <v>0</v>
      </c>
      <c r="EW251" s="234">
        <f>EW253*EW75</f>
        <v>0</v>
      </c>
      <c r="EX251" s="1060">
        <f>SUM(EV251:EW251)</f>
        <v>0</v>
      </c>
      <c r="EY251" s="234">
        <f>EY253*EY75</f>
        <v>0</v>
      </c>
      <c r="EZ251" s="234">
        <f>EZ253*EZ75</f>
        <v>0</v>
      </c>
      <c r="FA251" s="1060">
        <f>SUM(EY251:EZ251)</f>
        <v>0</v>
      </c>
    </row>
    <row r="252" spans="1:157" outlineLevel="1">
      <c r="C252" s="35" t="s">
        <v>488</v>
      </c>
      <c r="BA252" s="35"/>
      <c r="BB252" s="35"/>
      <c r="BD252" s="35"/>
      <c r="BE252" s="35"/>
      <c r="BG252" s="35"/>
      <c r="BH252" s="35"/>
      <c r="BJ252" s="35"/>
      <c r="BK252" s="35"/>
      <c r="BL252" s="31"/>
      <c r="BM252" s="83">
        <f t="shared" ref="BM252:CR252" si="1453">BM251/BM168</f>
        <v>0.20264999999999997</v>
      </c>
      <c r="BN252" s="83">
        <f t="shared" si="1453"/>
        <v>0.16944999999999999</v>
      </c>
      <c r="BO252" s="83">
        <f t="shared" si="1453"/>
        <v>0.18518559016491562</v>
      </c>
      <c r="BP252" s="83">
        <f t="shared" si="1453"/>
        <v>0.18182302078070581</v>
      </c>
      <c r="BQ252" s="83">
        <f t="shared" si="1453"/>
        <v>0.1526226307961929</v>
      </c>
      <c r="BR252" s="83">
        <f t="shared" si="1453"/>
        <v>0.1666164618264426</v>
      </c>
      <c r="BS252" s="83">
        <f t="shared" si="1453"/>
        <v>8.9246572566834659E-2</v>
      </c>
      <c r="BT252" s="83">
        <f t="shared" si="1453"/>
        <v>0.10110854050114697</v>
      </c>
      <c r="BU252" s="83">
        <f t="shared" si="1453"/>
        <v>9.5355641151108908E-2</v>
      </c>
      <c r="BV252" s="83">
        <f t="shared" si="1453"/>
        <v>9.5490226810981821E-2</v>
      </c>
      <c r="BW252" s="83">
        <f t="shared" si="1453"/>
        <v>6.418114474414803E-2</v>
      </c>
      <c r="BX252" s="83">
        <f t="shared" si="1453"/>
        <v>7.9738591872928172E-2</v>
      </c>
      <c r="BY252" s="83">
        <f t="shared" si="1453"/>
        <v>6.7329754503634695E-2</v>
      </c>
      <c r="BZ252" s="83">
        <f t="shared" si="1453"/>
        <v>7.7508903022484463E-2</v>
      </c>
      <c r="CA252" s="83">
        <f t="shared" si="1453"/>
        <v>7.2739536507500174E-2</v>
      </c>
      <c r="CB252" s="83">
        <f t="shared" si="1453"/>
        <v>0</v>
      </c>
      <c r="CC252" s="83">
        <f t="shared" si="1453"/>
        <v>0</v>
      </c>
      <c r="CD252" s="83">
        <f t="shared" si="1453"/>
        <v>0</v>
      </c>
      <c r="CE252" s="83">
        <f t="shared" si="1453"/>
        <v>0</v>
      </c>
      <c r="CF252" s="83">
        <f t="shared" si="1453"/>
        <v>0</v>
      </c>
      <c r="CG252" s="83">
        <f t="shared" si="1453"/>
        <v>0</v>
      </c>
      <c r="CH252" s="83">
        <f t="shared" si="1453"/>
        <v>0</v>
      </c>
      <c r="CI252" s="83">
        <f t="shared" si="1453"/>
        <v>0</v>
      </c>
      <c r="CJ252" s="83">
        <f t="shared" si="1453"/>
        <v>0</v>
      </c>
      <c r="CK252" s="83">
        <f t="shared" si="1453"/>
        <v>0</v>
      </c>
      <c r="CL252" s="83">
        <f t="shared" si="1453"/>
        <v>0</v>
      </c>
      <c r="CM252" s="83">
        <f t="shared" si="1453"/>
        <v>0</v>
      </c>
      <c r="CN252" s="83">
        <f t="shared" si="1453"/>
        <v>0</v>
      </c>
      <c r="CO252" s="83">
        <f t="shared" si="1453"/>
        <v>0</v>
      </c>
      <c r="CP252" s="83">
        <f t="shared" si="1453"/>
        <v>0</v>
      </c>
      <c r="CQ252" s="83">
        <f t="shared" si="1453"/>
        <v>0</v>
      </c>
      <c r="CR252" s="83">
        <f t="shared" si="1453"/>
        <v>0</v>
      </c>
      <c r="CS252" s="83">
        <f t="shared" ref="CS252:DU252" si="1454">CS251/CS168</f>
        <v>0</v>
      </c>
      <c r="CT252" s="83">
        <f t="shared" si="1454"/>
        <v>0</v>
      </c>
      <c r="CU252" s="83">
        <f t="shared" si="1454"/>
        <v>0</v>
      </c>
      <c r="CV252" s="83">
        <f t="shared" si="1454"/>
        <v>0</v>
      </c>
      <c r="CW252" s="83">
        <f t="shared" si="1454"/>
        <v>0</v>
      </c>
      <c r="CX252" s="83">
        <f t="shared" si="1454"/>
        <v>0</v>
      </c>
      <c r="CY252" s="83">
        <f t="shared" si="1454"/>
        <v>0</v>
      </c>
      <c r="CZ252" s="83">
        <f t="shared" si="1454"/>
        <v>0</v>
      </c>
      <c r="DA252" s="83">
        <f t="shared" si="1454"/>
        <v>0</v>
      </c>
      <c r="DB252" s="83">
        <f t="shared" si="1454"/>
        <v>0</v>
      </c>
      <c r="DC252" s="83">
        <f t="shared" si="1454"/>
        <v>0</v>
      </c>
      <c r="DD252" s="83">
        <f t="shared" si="1454"/>
        <v>0</v>
      </c>
      <c r="DE252" s="83">
        <f t="shared" si="1454"/>
        <v>0</v>
      </c>
      <c r="DF252" s="83">
        <f t="shared" si="1454"/>
        <v>0</v>
      </c>
      <c r="DG252" s="83">
        <f t="shared" si="1454"/>
        <v>0</v>
      </c>
      <c r="DH252" s="1079">
        <f t="shared" si="1454"/>
        <v>0</v>
      </c>
      <c r="DI252" s="83">
        <f t="shared" si="1454"/>
        <v>0</v>
      </c>
      <c r="DJ252" s="83">
        <f t="shared" si="1454"/>
        <v>0</v>
      </c>
      <c r="DK252" s="1079">
        <f t="shared" si="1454"/>
        <v>0</v>
      </c>
      <c r="DL252" s="83">
        <f t="shared" si="1454"/>
        <v>0</v>
      </c>
      <c r="DM252" s="83">
        <f t="shared" si="1454"/>
        <v>0</v>
      </c>
      <c r="DN252" s="1079">
        <f t="shared" si="1454"/>
        <v>0</v>
      </c>
      <c r="DO252" s="83">
        <f t="shared" si="1454"/>
        <v>0</v>
      </c>
      <c r="DP252" s="83">
        <f t="shared" si="1454"/>
        <v>0</v>
      </c>
      <c r="DQ252" s="1079">
        <f t="shared" si="1454"/>
        <v>0</v>
      </c>
      <c r="DR252" s="83">
        <f t="shared" si="1454"/>
        <v>0</v>
      </c>
      <c r="DS252" s="83">
        <f t="shared" si="1454"/>
        <v>0</v>
      </c>
      <c r="DT252" s="1079">
        <f t="shared" si="1454"/>
        <v>0</v>
      </c>
      <c r="DU252" s="83">
        <f t="shared" si="1454"/>
        <v>0</v>
      </c>
      <c r="DV252" s="83">
        <f t="shared" ref="DV252:DX252" si="1455">DV251/DV168</f>
        <v>0</v>
      </c>
      <c r="DW252" s="1079">
        <f t="shared" si="1455"/>
        <v>0</v>
      </c>
      <c r="DX252" s="83">
        <f t="shared" si="1455"/>
        <v>0</v>
      </c>
      <c r="DY252" s="83">
        <f t="shared" ref="DY252:ER252" si="1456">DY251/DY168</f>
        <v>0</v>
      </c>
      <c r="DZ252" s="1079">
        <f t="shared" si="1456"/>
        <v>0</v>
      </c>
      <c r="EA252" s="83">
        <f t="shared" si="1456"/>
        <v>0</v>
      </c>
      <c r="EB252" s="83">
        <f t="shared" si="1456"/>
        <v>0</v>
      </c>
      <c r="EC252" s="1079">
        <f t="shared" si="1456"/>
        <v>0</v>
      </c>
      <c r="ED252" s="83">
        <f t="shared" si="1456"/>
        <v>0</v>
      </c>
      <c r="EE252" s="83">
        <f t="shared" si="1456"/>
        <v>0</v>
      </c>
      <c r="EF252" s="1079">
        <f t="shared" si="1456"/>
        <v>0</v>
      </c>
      <c r="EG252" s="83">
        <f t="shared" si="1456"/>
        <v>0</v>
      </c>
      <c r="EH252" s="83">
        <f t="shared" si="1456"/>
        <v>0</v>
      </c>
      <c r="EI252" s="1079">
        <f t="shared" si="1456"/>
        <v>0</v>
      </c>
      <c r="EJ252" s="83">
        <f t="shared" si="1456"/>
        <v>0</v>
      </c>
      <c r="EK252" s="83">
        <f t="shared" si="1456"/>
        <v>0</v>
      </c>
      <c r="EL252" s="1079">
        <f t="shared" si="1456"/>
        <v>0</v>
      </c>
      <c r="EM252" s="83">
        <f t="shared" si="1456"/>
        <v>0</v>
      </c>
      <c r="EN252" s="83">
        <f t="shared" si="1456"/>
        <v>0</v>
      </c>
      <c r="EO252" s="1079">
        <f t="shared" si="1456"/>
        <v>0</v>
      </c>
      <c r="EP252" s="83">
        <f t="shared" si="1456"/>
        <v>0</v>
      </c>
      <c r="EQ252" s="83">
        <f t="shared" si="1456"/>
        <v>0</v>
      </c>
      <c r="ER252" s="1079">
        <f t="shared" si="1456"/>
        <v>0</v>
      </c>
      <c r="ES252" s="83">
        <f t="shared" ref="ES252:EX252" si="1457">ES251/ES168</f>
        <v>0</v>
      </c>
      <c r="ET252" s="83">
        <f t="shared" si="1457"/>
        <v>0</v>
      </c>
      <c r="EU252" s="1079">
        <f t="shared" si="1457"/>
        <v>0</v>
      </c>
      <c r="EV252" s="83">
        <f t="shared" si="1457"/>
        <v>0</v>
      </c>
      <c r="EW252" s="83">
        <f t="shared" si="1457"/>
        <v>0</v>
      </c>
      <c r="EX252" s="1079">
        <f t="shared" si="1457"/>
        <v>0</v>
      </c>
      <c r="EY252" s="83">
        <f t="shared" ref="EY252:FA252" si="1458">EY251/EY168</f>
        <v>0</v>
      </c>
      <c r="EZ252" s="83">
        <f t="shared" si="1458"/>
        <v>0</v>
      </c>
      <c r="FA252" s="1079">
        <f t="shared" si="1458"/>
        <v>0</v>
      </c>
    </row>
    <row r="253" spans="1:157" outlineLevel="1">
      <c r="B253" s="31"/>
      <c r="D253" s="162" t="s">
        <v>604</v>
      </c>
      <c r="BA253" s="35"/>
      <c r="BB253" s="35"/>
      <c r="BC253" s="322"/>
      <c r="BD253" s="35"/>
      <c r="BE253" s="35"/>
      <c r="BG253" s="35"/>
      <c r="BH253" s="35"/>
      <c r="BJ253" s="35"/>
      <c r="BK253" s="35"/>
      <c r="BL253" s="31"/>
      <c r="BM253" s="190">
        <f>BM254*BM170</f>
        <v>14.73139730440351</v>
      </c>
      <c r="BN253" s="190">
        <f>BN254*BN170</f>
        <v>13.005489118122425</v>
      </c>
      <c r="BO253" s="973">
        <f>SUM(BM253:BN253)</f>
        <v>27.736886422525934</v>
      </c>
      <c r="BP253" s="190">
        <f>BP254*BP170</f>
        <v>17.406544212595744</v>
      </c>
      <c r="BQ253" s="190">
        <f>BQ254*BQ170</f>
        <v>15.665613400997593</v>
      </c>
      <c r="BR253" s="973">
        <f>SUM(BP253:BQ253)</f>
        <v>33.072157613593333</v>
      </c>
      <c r="BS253" s="190">
        <f>BS254*BS170</f>
        <v>11.161076120332554</v>
      </c>
      <c r="BT253" s="190">
        <f>BT254*BT170</f>
        <v>12.588148756972631</v>
      </c>
      <c r="BU253" s="190">
        <f>SUM(BS253:BT253)</f>
        <v>23.749224877305185</v>
      </c>
      <c r="BV253" s="190">
        <f>BV254*BV170</f>
        <v>11.352436956279469</v>
      </c>
      <c r="BW253" s="190">
        <f>BW254*BW170</f>
        <v>7.2715676979421042</v>
      </c>
      <c r="BX253" s="190">
        <f>SUM(BV253:BW253)</f>
        <v>18.624004654221572</v>
      </c>
      <c r="BY253" s="190">
        <f>BY254*BY170</f>
        <v>10.045141600459024</v>
      </c>
      <c r="BZ253" s="190">
        <f>BZ254*BZ170</f>
        <v>11.756608622642595</v>
      </c>
      <c r="CA253" s="190">
        <f>SUM(BY253:BZ253)</f>
        <v>21.801750223101621</v>
      </c>
      <c r="CB253" s="190">
        <f>CB254*CB170</f>
        <v>0</v>
      </c>
      <c r="CC253" s="190">
        <f>CC254*CC170</f>
        <v>0</v>
      </c>
      <c r="CD253" s="190">
        <f>SUM(CB253:CC253)</f>
        <v>0</v>
      </c>
      <c r="CE253" s="190">
        <f>CE254*CE170</f>
        <v>0</v>
      </c>
      <c r="CF253" s="190">
        <f>CF254*CF170</f>
        <v>0</v>
      </c>
      <c r="CG253" s="190">
        <f>SUM(CE253:CF253)</f>
        <v>0</v>
      </c>
      <c r="CH253" s="190">
        <f>CH254*CH170</f>
        <v>0</v>
      </c>
      <c r="CI253" s="190">
        <f>CI254*CI170</f>
        <v>0</v>
      </c>
      <c r="CJ253" s="190">
        <f>SUM(CH253:CI253)</f>
        <v>0</v>
      </c>
      <c r="CK253" s="190">
        <f>CK254*CK170</f>
        <v>0</v>
      </c>
      <c r="CL253" s="190">
        <f>CL254*CL170</f>
        <v>0</v>
      </c>
      <c r="CM253" s="190">
        <f>SUM(CK253:CL253)</f>
        <v>0</v>
      </c>
      <c r="CN253" s="190">
        <f>CN254*CN170</f>
        <v>0</v>
      </c>
      <c r="CO253" s="190">
        <f>CO254*CO170</f>
        <v>0</v>
      </c>
      <c r="CP253" s="190">
        <f>SUM(CN253:CO253)</f>
        <v>0</v>
      </c>
      <c r="CQ253" s="190">
        <f>CQ254*CQ170</f>
        <v>0</v>
      </c>
      <c r="CR253" s="190">
        <f>CR254*CR170</f>
        <v>0</v>
      </c>
      <c r="CS253" s="190">
        <f>SUM(CQ253:CR253)</f>
        <v>0</v>
      </c>
      <c r="CT253" s="190">
        <f>CT254*CT170</f>
        <v>0</v>
      </c>
      <c r="CU253" s="190">
        <f>CU254*CU170</f>
        <v>0</v>
      </c>
      <c r="CV253" s="190">
        <f>SUM(CT253:CU253)</f>
        <v>0</v>
      </c>
      <c r="CW253" s="190">
        <f>CW254*CW170</f>
        <v>0</v>
      </c>
      <c r="CX253" s="190">
        <f>CX254*CX170</f>
        <v>0</v>
      </c>
      <c r="CY253" s="190">
        <f>SUM(CW253:CX253)</f>
        <v>0</v>
      </c>
      <c r="CZ253" s="190">
        <f>CZ254*CZ170</f>
        <v>0</v>
      </c>
      <c r="DA253" s="190">
        <f>DA254*DA170</f>
        <v>0</v>
      </c>
      <c r="DB253" s="190">
        <f>SUM(CZ253:DA253)</f>
        <v>0</v>
      </c>
      <c r="DC253" s="190">
        <f>DC254*DC170</f>
        <v>0</v>
      </c>
      <c r="DD253" s="190">
        <f>DD254*DD170</f>
        <v>0</v>
      </c>
      <c r="DE253" s="190">
        <f>SUM(DC253:DD253)</f>
        <v>0</v>
      </c>
      <c r="DF253" s="190">
        <f>DF254*DF170</f>
        <v>0</v>
      </c>
      <c r="DG253" s="190">
        <f>DG254*DG170</f>
        <v>0</v>
      </c>
      <c r="DH253" s="1060">
        <f>SUM(DF253:DG253)</f>
        <v>0</v>
      </c>
      <c r="DI253" s="190">
        <f>DI254*DI170</f>
        <v>0</v>
      </c>
      <c r="DJ253" s="190">
        <f>DJ254*DJ170</f>
        <v>0</v>
      </c>
      <c r="DK253" s="1060">
        <f>SUM(DI253:DJ253)</f>
        <v>0</v>
      </c>
      <c r="DL253" s="234">
        <f>DL254*DL170</f>
        <v>0</v>
      </c>
      <c r="DM253" s="234">
        <f>DM254*DM170</f>
        <v>0</v>
      </c>
      <c r="DN253" s="1060">
        <f>SUM(DL253:DM253)</f>
        <v>0</v>
      </c>
      <c r="DO253" s="234">
        <f>DO254*DO170</f>
        <v>0</v>
      </c>
      <c r="DP253" s="234">
        <f>DP254*DP170</f>
        <v>0</v>
      </c>
      <c r="DQ253" s="1060">
        <f>SUM(DO253:DP253)</f>
        <v>0</v>
      </c>
      <c r="DR253" s="234">
        <f>DR254*DR170</f>
        <v>0</v>
      </c>
      <c r="DS253" s="234">
        <f>DS254*DS170</f>
        <v>0</v>
      </c>
      <c r="DT253" s="1060">
        <f>SUM(DR253:DS253)</f>
        <v>0</v>
      </c>
      <c r="DU253" s="234">
        <f>DU254*DU170</f>
        <v>0</v>
      </c>
      <c r="DV253" s="234">
        <f>DV254*DV170</f>
        <v>0</v>
      </c>
      <c r="DW253" s="1060">
        <f>SUM(DU253:DV253)</f>
        <v>0</v>
      </c>
      <c r="DX253" s="234">
        <f>DX254*DX170</f>
        <v>0</v>
      </c>
      <c r="DY253" s="234">
        <f>DY254*DY170</f>
        <v>0</v>
      </c>
      <c r="DZ253" s="1060">
        <f>SUM(DX253:DY253)</f>
        <v>0</v>
      </c>
      <c r="EA253" s="234">
        <f>EA254*EA170</f>
        <v>0</v>
      </c>
      <c r="EB253" s="234">
        <f>EB254*EB170</f>
        <v>0</v>
      </c>
      <c r="EC253" s="1060">
        <f>SUM(EA253:EB253)</f>
        <v>0</v>
      </c>
      <c r="ED253" s="234">
        <f>ED254*ED170</f>
        <v>0</v>
      </c>
      <c r="EE253" s="234">
        <f>EE254*EE170</f>
        <v>0</v>
      </c>
      <c r="EF253" s="1060">
        <f>SUM(ED253:EE253)</f>
        <v>0</v>
      </c>
      <c r="EG253" s="234">
        <f>EG254*EG170</f>
        <v>0</v>
      </c>
      <c r="EH253" s="234">
        <f>EH254*EH170</f>
        <v>0</v>
      </c>
      <c r="EI253" s="1060">
        <f>SUM(EG253:EH253)</f>
        <v>0</v>
      </c>
      <c r="EJ253" s="234">
        <f>EJ254*EJ170</f>
        <v>0</v>
      </c>
      <c r="EK253" s="234">
        <f>EK254*EK170</f>
        <v>0</v>
      </c>
      <c r="EL253" s="1060">
        <f>SUM(EJ253:EK253)</f>
        <v>0</v>
      </c>
      <c r="EM253" s="234">
        <f>EM254*EM170</f>
        <v>0</v>
      </c>
      <c r="EN253" s="234">
        <f>EN254*EN170</f>
        <v>0</v>
      </c>
      <c r="EO253" s="1060">
        <f>SUM(EM253:EN253)</f>
        <v>0</v>
      </c>
      <c r="EP253" s="234">
        <f>EP254*EP170</f>
        <v>0</v>
      </c>
      <c r="EQ253" s="234">
        <f>EQ254*EQ170</f>
        <v>0</v>
      </c>
      <c r="ER253" s="1060">
        <f>SUM(EP253:EQ253)</f>
        <v>0</v>
      </c>
      <c r="ES253" s="234">
        <f>ES254*ES170</f>
        <v>0</v>
      </c>
      <c r="ET253" s="234">
        <f>ET254*ET170</f>
        <v>0</v>
      </c>
      <c r="EU253" s="1060">
        <f>SUM(ES253:ET253)</f>
        <v>0</v>
      </c>
      <c r="EV253" s="234">
        <f>EV254*EV170</f>
        <v>0</v>
      </c>
      <c r="EW253" s="234">
        <f>EW254*EW170</f>
        <v>0</v>
      </c>
      <c r="EX253" s="1060">
        <f>SUM(EV253:EW253)</f>
        <v>0</v>
      </c>
      <c r="EY253" s="234">
        <f>EY254*EY170</f>
        <v>0</v>
      </c>
      <c r="EZ253" s="234">
        <f>EZ254*EZ170</f>
        <v>0</v>
      </c>
      <c r="FA253" s="1060">
        <f>SUM(EY253:EZ253)</f>
        <v>0</v>
      </c>
    </row>
    <row r="254" spans="1:157" outlineLevel="1">
      <c r="B254" s="31"/>
      <c r="C254" s="35" t="s">
        <v>291</v>
      </c>
      <c r="D254" s="162" t="s">
        <v>460</v>
      </c>
      <c r="BA254" s="35"/>
      <c r="BB254" s="35"/>
      <c r="BC254" s="322"/>
      <c r="BD254" s="35"/>
      <c r="BE254" s="35"/>
      <c r="BG254" s="35"/>
      <c r="BH254" s="35"/>
      <c r="BJ254" s="35"/>
      <c r="BK254" s="35"/>
      <c r="BL254" s="31"/>
      <c r="BM254" s="65">
        <f>BM414</f>
        <v>0.20265</v>
      </c>
      <c r="BN254" s="65">
        <f>BN414</f>
        <v>0.16944999999999999</v>
      </c>
      <c r="BO254" s="64">
        <f>BO251/BO168</f>
        <v>0.18518559016491562</v>
      </c>
      <c r="BP254" s="65">
        <f>BP414</f>
        <v>0.20265</v>
      </c>
      <c r="BQ254" s="65">
        <f>BQ414</f>
        <v>0.16944999999999999</v>
      </c>
      <c r="BR254" s="64">
        <f>BR251/BR168</f>
        <v>0.1666164618264426</v>
      </c>
      <c r="BS254" s="1032">
        <v>9.9199842946619654E-2</v>
      </c>
      <c r="BT254" s="65">
        <f>BT414</f>
        <v>0.11145641624697397</v>
      </c>
      <c r="BU254" s="65">
        <f>BU251/BU168</f>
        <v>9.5355641151108908E-2</v>
      </c>
      <c r="BV254" s="1032">
        <v>0.10686405111655503</v>
      </c>
      <c r="BW254" s="1032">
        <v>7.1561292986139488E-2</v>
      </c>
      <c r="BX254" s="65">
        <f>BX251/BX168</f>
        <v>7.9738591872928172E-2</v>
      </c>
      <c r="BY254" s="1032">
        <v>7.5595413486367946E-2</v>
      </c>
      <c r="BZ254" s="1032">
        <v>8.5184999999999997E-2</v>
      </c>
      <c r="CA254" s="65">
        <f>CA251/CA168</f>
        <v>7.2739536507500174E-2</v>
      </c>
      <c r="CB254" s="1032">
        <v>0</v>
      </c>
      <c r="CC254" s="1032">
        <v>0</v>
      </c>
      <c r="CD254" s="65">
        <f>CD251/CD168</f>
        <v>0</v>
      </c>
      <c r="CE254" s="1032">
        <v>0</v>
      </c>
      <c r="CF254" s="65">
        <f>CE254</f>
        <v>0</v>
      </c>
      <c r="CG254" s="65">
        <f>CG251/CG168</f>
        <v>0</v>
      </c>
      <c r="CH254" s="65">
        <f>CF254</f>
        <v>0</v>
      </c>
      <c r="CI254" s="65">
        <f>CF254</f>
        <v>0</v>
      </c>
      <c r="CJ254" s="65">
        <f>CJ251/CJ168</f>
        <v>0</v>
      </c>
      <c r="CK254" s="65">
        <f>CI254</f>
        <v>0</v>
      </c>
      <c r="CL254" s="65">
        <f>CI254</f>
        <v>0</v>
      </c>
      <c r="CM254" s="65">
        <f>CM251/CM168</f>
        <v>0</v>
      </c>
      <c r="CN254" s="65">
        <f>CL254</f>
        <v>0</v>
      </c>
      <c r="CO254" s="65">
        <f>CL254</f>
        <v>0</v>
      </c>
      <c r="CP254" s="65">
        <f>CP251/CP168</f>
        <v>0</v>
      </c>
      <c r="CQ254" s="65">
        <f>CO254</f>
        <v>0</v>
      </c>
      <c r="CR254" s="65">
        <f>CO254</f>
        <v>0</v>
      </c>
      <c r="CS254" s="65">
        <f>CS251/CS168</f>
        <v>0</v>
      </c>
      <c r="CT254" s="65">
        <f>CR254</f>
        <v>0</v>
      </c>
      <c r="CU254" s="65">
        <f>CR254</f>
        <v>0</v>
      </c>
      <c r="CV254" s="65">
        <f>CV251/CV168</f>
        <v>0</v>
      </c>
      <c r="CW254" s="65">
        <f>CU254</f>
        <v>0</v>
      </c>
      <c r="CX254" s="65">
        <f>CU254</f>
        <v>0</v>
      </c>
      <c r="CY254" s="65">
        <f>CY251/CY168</f>
        <v>0</v>
      </c>
      <c r="CZ254" s="65">
        <f>CX254</f>
        <v>0</v>
      </c>
      <c r="DA254" s="65">
        <f>CX254</f>
        <v>0</v>
      </c>
      <c r="DB254" s="65">
        <f>DB251/DB168</f>
        <v>0</v>
      </c>
      <c r="DC254" s="65">
        <f>DA254</f>
        <v>0</v>
      </c>
      <c r="DD254" s="65">
        <f>DA254</f>
        <v>0</v>
      </c>
      <c r="DE254" s="65">
        <f>DE251/DE168</f>
        <v>0</v>
      </c>
      <c r="DF254" s="65">
        <f>DD254</f>
        <v>0</v>
      </c>
      <c r="DG254" s="65">
        <f>DD254</f>
        <v>0</v>
      </c>
      <c r="DH254" s="1066">
        <f>DH251/DH168</f>
        <v>0</v>
      </c>
      <c r="DI254" s="65">
        <f>DG254</f>
        <v>0</v>
      </c>
      <c r="DJ254" s="65">
        <f>DG254</f>
        <v>0</v>
      </c>
      <c r="DK254" s="1066">
        <f>DK251/DK168</f>
        <v>0</v>
      </c>
      <c r="DL254" s="65">
        <f>DJ254</f>
        <v>0</v>
      </c>
      <c r="DM254" s="65">
        <f>DJ254</f>
        <v>0</v>
      </c>
      <c r="DN254" s="1066">
        <f>DN251/DN168</f>
        <v>0</v>
      </c>
      <c r="DO254" s="65">
        <f>DM254</f>
        <v>0</v>
      </c>
      <c r="DP254" s="65">
        <f>DM254</f>
        <v>0</v>
      </c>
      <c r="DQ254" s="1066">
        <f>DQ251/DQ168</f>
        <v>0</v>
      </c>
      <c r="DR254" s="65">
        <f>DP254</f>
        <v>0</v>
      </c>
      <c r="DS254" s="65">
        <f>DP254</f>
        <v>0</v>
      </c>
      <c r="DT254" s="1066">
        <f>DT251/DT168</f>
        <v>0</v>
      </c>
      <c r="DU254" s="65">
        <f>DS254</f>
        <v>0</v>
      </c>
      <c r="DV254" s="65">
        <f>DS254</f>
        <v>0</v>
      </c>
      <c r="DW254" s="1066">
        <f>DW251/DW168</f>
        <v>0</v>
      </c>
      <c r="DX254" s="65">
        <f>DV254</f>
        <v>0</v>
      </c>
      <c r="DY254" s="65">
        <f>DV254</f>
        <v>0</v>
      </c>
      <c r="DZ254" s="1066">
        <f>DZ251/DZ168</f>
        <v>0</v>
      </c>
      <c r="EA254" s="65">
        <f>DY254</f>
        <v>0</v>
      </c>
      <c r="EB254" s="65">
        <f>DY254</f>
        <v>0</v>
      </c>
      <c r="EC254" s="1066">
        <f>EC251/EC168</f>
        <v>0</v>
      </c>
      <c r="ED254" s="65">
        <f>EB254</f>
        <v>0</v>
      </c>
      <c r="EE254" s="65">
        <f>EB254</f>
        <v>0</v>
      </c>
      <c r="EF254" s="1066">
        <f>EF251/EF168</f>
        <v>0</v>
      </c>
      <c r="EG254" s="65">
        <f>EE254</f>
        <v>0</v>
      </c>
      <c r="EH254" s="65">
        <f>EE254</f>
        <v>0</v>
      </c>
      <c r="EI254" s="1066">
        <f>EI251/EI168</f>
        <v>0</v>
      </c>
      <c r="EJ254" s="65">
        <f>EH254</f>
        <v>0</v>
      </c>
      <c r="EK254" s="65">
        <f>EH254</f>
        <v>0</v>
      </c>
      <c r="EL254" s="1066">
        <f>EL251/EL168</f>
        <v>0</v>
      </c>
      <c r="EM254" s="65">
        <f>EK254</f>
        <v>0</v>
      </c>
      <c r="EN254" s="65">
        <f>EK254</f>
        <v>0</v>
      </c>
      <c r="EO254" s="1066">
        <f>EO251/EO168</f>
        <v>0</v>
      </c>
      <c r="EP254" s="65">
        <f>EN254</f>
        <v>0</v>
      </c>
      <c r="EQ254" s="65">
        <f>EN254</f>
        <v>0</v>
      </c>
      <c r="ER254" s="1066">
        <f>ER251/ER168</f>
        <v>0</v>
      </c>
      <c r="ES254" s="65">
        <f>EQ254</f>
        <v>0</v>
      </c>
      <c r="ET254" s="65">
        <f>EQ254</f>
        <v>0</v>
      </c>
      <c r="EU254" s="1066">
        <f>EU251/EU168</f>
        <v>0</v>
      </c>
      <c r="EV254" s="65">
        <f>ET254</f>
        <v>0</v>
      </c>
      <c r="EW254" s="65">
        <f>ET254</f>
        <v>0</v>
      </c>
      <c r="EX254" s="1066">
        <f>EX251/EX168</f>
        <v>0</v>
      </c>
      <c r="EY254" s="65">
        <f>EW254</f>
        <v>0</v>
      </c>
      <c r="EZ254" s="65">
        <f>EW254</f>
        <v>0</v>
      </c>
      <c r="FA254" s="1066">
        <f>FA251/FA168</f>
        <v>0</v>
      </c>
    </row>
    <row r="255" spans="1:157" outlineLevel="1">
      <c r="B255" s="31"/>
      <c r="BA255" s="35"/>
      <c r="BB255" s="35"/>
      <c r="BC255" s="322"/>
      <c r="BD255" s="35"/>
      <c r="BE255" s="35"/>
      <c r="BG255" s="35"/>
      <c r="BH255" s="35"/>
      <c r="BJ255" s="35"/>
      <c r="BK255" s="35"/>
      <c r="BL255" s="31"/>
      <c r="BM255" s="35"/>
      <c r="BN255" s="35"/>
      <c r="BO255" s="31"/>
      <c r="BP255" s="35"/>
      <c r="BQ255" s="35"/>
      <c r="BR255" s="1024"/>
      <c r="BS255" s="74"/>
      <c r="BT255" s="70"/>
      <c r="BU255" s="74"/>
      <c r="BV255" s="74"/>
      <c r="BW255" s="74"/>
      <c r="BX255" s="74"/>
      <c r="BY255" s="70"/>
      <c r="BZ255" s="70"/>
      <c r="CA255" s="70"/>
      <c r="CB255" s="70"/>
      <c r="CC255" s="70"/>
      <c r="CD255" s="70"/>
      <c r="CE255" s="190"/>
      <c r="CF255" s="65"/>
      <c r="CG255" s="65"/>
      <c r="CH255" s="65"/>
      <c r="CI255" s="65"/>
      <c r="CJ255" s="70"/>
      <c r="CK255" s="65"/>
      <c r="CL255" s="65"/>
      <c r="CN255" s="65"/>
      <c r="CO255" s="65"/>
      <c r="CQ255" s="65"/>
      <c r="CR255" s="65"/>
      <c r="CT255" s="65"/>
      <c r="CU255" s="65"/>
      <c r="CW255" s="65"/>
      <c r="CX255" s="65"/>
      <c r="CZ255" s="65"/>
      <c r="DA255" s="65"/>
      <c r="DC255" s="65"/>
      <c r="DD255" s="65"/>
      <c r="DF255" s="65"/>
      <c r="DG255" s="65"/>
      <c r="DH255" s="1067"/>
      <c r="DI255" s="65"/>
      <c r="DJ255" s="65"/>
      <c r="DK255" s="1067"/>
      <c r="DL255" s="65"/>
      <c r="DM255" s="65"/>
      <c r="DN255" s="1067"/>
      <c r="DO255" s="65"/>
      <c r="DP255" s="65"/>
      <c r="DQ255" s="1067"/>
      <c r="DR255" s="65"/>
      <c r="DS255" s="65"/>
      <c r="DT255" s="1067"/>
      <c r="DU255" s="65"/>
      <c r="DV255" s="65"/>
      <c r="DW255" s="1067"/>
      <c r="DX255" s="65"/>
      <c r="DY255" s="65"/>
      <c r="DZ255" s="1067"/>
      <c r="EA255" s="65"/>
      <c r="EB255" s="65"/>
      <c r="EC255" s="1067"/>
      <c r="ED255" s="65"/>
      <c r="EE255" s="65"/>
      <c r="EF255" s="1067"/>
      <c r="EG255" s="65"/>
      <c r="EH255" s="65"/>
      <c r="EI255" s="1067"/>
      <c r="EJ255" s="65"/>
      <c r="EK255" s="65"/>
      <c r="EL255" s="1067"/>
      <c r="EM255" s="65"/>
      <c r="EN255" s="65"/>
      <c r="EO255" s="1067"/>
      <c r="EP255" s="65"/>
      <c r="EQ255" s="65"/>
      <c r="ER255" s="1067"/>
      <c r="ES255" s="65"/>
      <c r="ET255" s="65"/>
      <c r="EU255" s="1067"/>
      <c r="EV255" s="65"/>
      <c r="EW255" s="65"/>
      <c r="EX255" s="1067"/>
      <c r="EY255" s="65"/>
      <c r="EZ255" s="65"/>
      <c r="FA255" s="1067"/>
    </row>
    <row r="256" spans="1:157" outlineLevel="1">
      <c r="A256" s="1426" t="s">
        <v>293</v>
      </c>
      <c r="D256" s="162" t="s">
        <v>604</v>
      </c>
      <c r="BA256" s="35"/>
      <c r="BB256" s="35"/>
      <c r="BC256" s="322"/>
      <c r="BD256" s="35"/>
      <c r="BE256" s="35"/>
      <c r="BG256" s="35"/>
      <c r="BH256" s="35"/>
      <c r="BJ256" s="35"/>
      <c r="BK256" s="35"/>
      <c r="BL256" s="31"/>
      <c r="BM256" s="190">
        <f>BM237-BM243-BM248-BM253</f>
        <v>30.497573023507023</v>
      </c>
      <c r="BN256" s="190">
        <f>BN237-BN243-BN248-BN253</f>
        <v>34.295749154119143</v>
      </c>
      <c r="BO256" s="973">
        <f>SUM(BM256:BN256)</f>
        <v>64.793322177626166</v>
      </c>
      <c r="BP256" s="190">
        <f>BP237-BP243-BP248-BP253</f>
        <v>41.878208719830994</v>
      </c>
      <c r="BQ256" s="190">
        <f>BQ237-BQ243-BQ248-BQ253</f>
        <v>50.572189140793959</v>
      </c>
      <c r="BR256" s="973">
        <f>SUM(BP256:BQ256)</f>
        <v>92.450397860624946</v>
      </c>
      <c r="BS256" s="190">
        <f>BS237-BS243-BS248-BS253</f>
        <v>42.371575694453512</v>
      </c>
      <c r="BT256" s="190">
        <f>BT237-BT243-BT248-BT253</f>
        <v>37.38911562455614</v>
      </c>
      <c r="BU256" s="190">
        <f>SUM(BS256:BT256)</f>
        <v>79.760691319009652</v>
      </c>
      <c r="BV256" s="190">
        <f>BV237-BV243-BV248-BV253</f>
        <v>34.721378129325586</v>
      </c>
      <c r="BW256" s="190">
        <f>BW237-BW243-BW248-BW253</f>
        <v>35.703321223082085</v>
      </c>
      <c r="BX256" s="190">
        <f>SUM(BV256:BW256)</f>
        <v>70.424699352407671</v>
      </c>
      <c r="BY256" s="187">
        <f>BY237-BY243-BY248-BY253</f>
        <v>47.29493505000837</v>
      </c>
      <c r="BZ256" s="187">
        <f>BZ237-BZ243-BZ248-BZ253</f>
        <v>58.643745536349861</v>
      </c>
      <c r="CA256" s="187">
        <f>SUM(BY256:BZ256)</f>
        <v>105.93868058635823</v>
      </c>
      <c r="CB256" s="187">
        <f>CB237-CB243-CB248-CB253</f>
        <v>72.685697732604751</v>
      </c>
      <c r="CC256" s="187">
        <f>CC237-CC243-CC248-CC253</f>
        <v>85.618839898024348</v>
      </c>
      <c r="CD256" s="187">
        <f>SUM(CB256:CC256)</f>
        <v>158.30453763062911</v>
      </c>
      <c r="CE256" s="187">
        <f>CE237-CE243-CE248-CE253</f>
        <v>80.617242769193382</v>
      </c>
      <c r="CF256" s="187">
        <f>CF237-CF243-CF248-CF253</f>
        <v>70.271807628201415</v>
      </c>
      <c r="CG256" s="187">
        <f>SUM(CE256:CF256)</f>
        <v>150.88905039739478</v>
      </c>
      <c r="CH256" s="187">
        <f>CH237-CH243-CH248-CH253</f>
        <v>72.266782484490406</v>
      </c>
      <c r="CI256" s="187">
        <f>CI237-CI243-CI248-CI253</f>
        <v>72.453021959909918</v>
      </c>
      <c r="CJ256" s="70">
        <f>CH256+CI256</f>
        <v>144.71980444440032</v>
      </c>
      <c r="CK256" s="187">
        <f>CK237-CK243-CK248-CK253</f>
        <v>77.100121503365031</v>
      </c>
      <c r="CL256" s="187">
        <f>CL237-CL243-CL248-CL253</f>
        <v>57.338569923014603</v>
      </c>
      <c r="CM256" s="70">
        <f>CK256+CL256</f>
        <v>134.43869142637965</v>
      </c>
      <c r="CN256" s="190">
        <f>CN237-CN243-CN248-CN253</f>
        <v>63.385635953508981</v>
      </c>
      <c r="CO256" s="190">
        <f>CO237-CO243-CO248-CO253</f>
        <v>85.621999999999986</v>
      </c>
      <c r="CP256" s="70">
        <f>CN256+CO256</f>
        <v>149.00763595350895</v>
      </c>
      <c r="CQ256" s="190">
        <f>CQ237-CQ243-CQ248-CQ253</f>
        <v>100.002</v>
      </c>
      <c r="CR256" s="190">
        <f>CR237-CR243-CR248-CR253</f>
        <v>104.87700000000001</v>
      </c>
      <c r="CS256" s="70">
        <f>CQ256+CR256</f>
        <v>204.87900000000002</v>
      </c>
      <c r="CT256" s="190">
        <f>CT237-CT243-CT248-CT253</f>
        <v>163.76115762108407</v>
      </c>
      <c r="CU256" s="190">
        <f>CU237-CU243-CU248-CU253</f>
        <v>133.0371197719993</v>
      </c>
      <c r="CV256" s="70">
        <f>CT256+CU256</f>
        <v>296.79827739308337</v>
      </c>
      <c r="CW256" s="190">
        <f>CW237-CW243-CW248-CW253</f>
        <v>149.76917552191142</v>
      </c>
      <c r="CX256" s="190">
        <f>CX237-CX243-CX248-CX253</f>
        <v>164.8673601853892</v>
      </c>
      <c r="CY256" s="70">
        <f>CW256+CX256</f>
        <v>314.6365357073006</v>
      </c>
      <c r="CZ256" s="190">
        <f>CZ237-CZ243-CZ248-CZ253</f>
        <v>167.44755697428474</v>
      </c>
      <c r="DA256" s="190">
        <f>DA237-DA243-DA248-DA253</f>
        <v>179.56726587538199</v>
      </c>
      <c r="DB256" s="70">
        <f>CZ256+DA256</f>
        <v>347.01482284966676</v>
      </c>
      <c r="DC256" s="190">
        <f>DC237-DC243-DC248-DC253</f>
        <v>189.60111523980282</v>
      </c>
      <c r="DD256" s="190">
        <f>DD237-DD243-DD248-DD253</f>
        <v>183.94589860001037</v>
      </c>
      <c r="DE256" s="70">
        <f>DC256+DD256</f>
        <v>373.54701383981319</v>
      </c>
      <c r="DF256" s="190">
        <f>DF237-DF243-DF248-DF253</f>
        <v>210.78379436712606</v>
      </c>
      <c r="DG256" s="190">
        <f>DG237-DG243-DG248-DG253</f>
        <v>125.5762062597794</v>
      </c>
      <c r="DH256" s="1125">
        <f>DF256+DG256</f>
        <v>336.36000062690545</v>
      </c>
      <c r="DI256" s="1129">
        <v>203.2</v>
      </c>
      <c r="DJ256" s="1130">
        <f>+DK256-DI256</f>
        <v>180.60000000000002</v>
      </c>
      <c r="DK256" s="1125">
        <v>383.8</v>
      </c>
      <c r="DL256" s="1129">
        <v>213.9</v>
      </c>
      <c r="DM256" s="1130">
        <f>+DN256-DL256</f>
        <v>200.49999999999997</v>
      </c>
      <c r="DN256" s="1115">
        <v>414.4</v>
      </c>
      <c r="DO256" s="1129">
        <v>232.5</v>
      </c>
      <c r="DP256" s="1130">
        <f>+DQ256-DO256</f>
        <v>291.29999999999995</v>
      </c>
      <c r="DQ256" s="1125">
        <v>523.79999999999995</v>
      </c>
      <c r="DR256" s="1129">
        <v>334.8</v>
      </c>
      <c r="DS256" s="1130">
        <f>+DT256-DR256</f>
        <v>307.59999999999997</v>
      </c>
      <c r="DT256" s="1125">
        <v>642.4</v>
      </c>
      <c r="DU256" s="1129">
        <v>310.39999999999998</v>
      </c>
      <c r="DV256" s="1130">
        <f>+DW256-DU256</f>
        <v>285.5</v>
      </c>
      <c r="DW256" s="1125">
        <v>595.9</v>
      </c>
      <c r="DX256" s="1129">
        <v>304.60000000000002</v>
      </c>
      <c r="DY256" s="1130">
        <f>DY237-DY243-DY248-DY253</f>
        <v>305.55061937661486</v>
      </c>
      <c r="DZ256" s="1115">
        <f>DX256+DY256</f>
        <v>610.15061937661494</v>
      </c>
      <c r="EA256" s="1130">
        <f>EA237-EA243-EA248-EA253</f>
        <v>356.26984739614863</v>
      </c>
      <c r="EB256" s="1130">
        <f>EB237-EB243-EB248-EB253</f>
        <v>329.84858768164975</v>
      </c>
      <c r="EC256" s="1115">
        <f>EA256+EB256</f>
        <v>686.11843507779838</v>
      </c>
      <c r="ED256" s="1130">
        <f>ED237-ED243-ED248-ED253</f>
        <v>391.33048308999673</v>
      </c>
      <c r="EE256" s="1130">
        <f>EE237-EE243-EE248-EE253</f>
        <v>362.31152635454202</v>
      </c>
      <c r="EF256" s="1115">
        <f>ED256+EE256</f>
        <v>753.64200944453876</v>
      </c>
      <c r="EG256" s="1130">
        <f>EG237-EG243-EG248-EG253</f>
        <v>428.59280206517337</v>
      </c>
      <c r="EH256" s="1130">
        <f>EH237-EH243-EH248-EH253</f>
        <v>396.8106728478175</v>
      </c>
      <c r="EI256" s="1115">
        <f>EG256+EH256</f>
        <v>825.40347491299087</v>
      </c>
      <c r="EJ256" s="1130">
        <f>EJ237-EJ243-EJ248-EJ253</f>
        <v>468.05671716776453</v>
      </c>
      <c r="EK256" s="1130">
        <f>EK237-EK243-EK248-EK253</f>
        <v>433.34815698103694</v>
      </c>
      <c r="EL256" s="1115">
        <f>EJ256+EK256</f>
        <v>901.40487414880147</v>
      </c>
      <c r="EM256" s="1130">
        <f>EM237-EM243-EM248-EM253</f>
        <v>511.15253529209417</v>
      </c>
      <c r="EN256" s="1130">
        <f>EN237-EN243-EN248-EN253</f>
        <v>473.24822180816852</v>
      </c>
      <c r="EO256" s="1115">
        <f>EM256+EN256</f>
        <v>984.40075710026269</v>
      </c>
      <c r="EP256" s="1130">
        <f>EP237-EP243-EP248-EP253</f>
        <v>557.15626346838258</v>
      </c>
      <c r="EQ256" s="1130">
        <f>EQ237-EQ243-EQ248-EQ253</f>
        <v>515.84056177090372</v>
      </c>
      <c r="ER256" s="1115">
        <f>EP256+EQ256</f>
        <v>1072.9968252392864</v>
      </c>
      <c r="ES256" s="1130">
        <f>ES237-ES243-ES248-ES253</f>
        <v>607.30032718053701</v>
      </c>
      <c r="ET256" s="1130">
        <f>ET237-ET243-ET248-ET253</f>
        <v>562.26621233028504</v>
      </c>
      <c r="EU256" s="1115">
        <f>ES256+ET256</f>
        <v>1169.5665395108222</v>
      </c>
      <c r="EV256" s="1130">
        <f>EV237-EV243-EV248-EV253</f>
        <v>661.95735662678544</v>
      </c>
      <c r="EW256" s="1130">
        <f>EW237-EW243-EW248-EW253</f>
        <v>612.87017144001072</v>
      </c>
      <c r="EX256" s="1115">
        <f>EV256+EW256</f>
        <v>1274.8275280667963</v>
      </c>
      <c r="EY256" s="1130">
        <f>EY237-EY243-EY248-EY253</f>
        <v>721.53351872319604</v>
      </c>
      <c r="EZ256" s="1130">
        <f>EZ237-EZ243-EZ248-EZ253</f>
        <v>668.02848686961204</v>
      </c>
      <c r="FA256" s="1115">
        <f>EY256+EZ256</f>
        <v>1389.562005592808</v>
      </c>
    </row>
    <row r="257" spans="1:173" outlineLevel="1">
      <c r="B257" s="31"/>
      <c r="C257" s="35" t="s">
        <v>401</v>
      </c>
      <c r="D257" s="162" t="s">
        <v>460</v>
      </c>
      <c r="BA257" s="35"/>
      <c r="BB257" s="35"/>
      <c r="BC257" s="322"/>
      <c r="BD257" s="35"/>
      <c r="BE257" s="35"/>
      <c r="BG257" s="35"/>
      <c r="BH257" s="35"/>
      <c r="BJ257" s="35"/>
      <c r="BK257" s="35"/>
      <c r="BL257" s="31"/>
      <c r="BM257" s="83">
        <f t="shared" ref="BM257:CR257" si="1459">BM256/BM170</f>
        <v>0.41953475597092699</v>
      </c>
      <c r="BN257" s="83">
        <f t="shared" si="1459"/>
        <v>0.44684322453260183</v>
      </c>
      <c r="BO257" s="83">
        <f t="shared" si="1459"/>
        <v>0.43355969949448708</v>
      </c>
      <c r="BP257" s="83">
        <f t="shared" si="1459"/>
        <v>0.48755335311949249</v>
      </c>
      <c r="BQ257" s="83">
        <f t="shared" si="1459"/>
        <v>0.54702342197221776</v>
      </c>
      <c r="BR257" s="83">
        <f t="shared" si="1459"/>
        <v>0.51838131606686788</v>
      </c>
      <c r="BS257" s="83">
        <f t="shared" si="1459"/>
        <v>0.37659931793076556</v>
      </c>
      <c r="BT257" s="83">
        <f t="shared" si="1459"/>
        <v>0.33104604295754814</v>
      </c>
      <c r="BU257" s="83">
        <f t="shared" si="1459"/>
        <v>0.35377910628526943</v>
      </c>
      <c r="BV257" s="83">
        <f t="shared" si="1459"/>
        <v>0.326843226836603</v>
      </c>
      <c r="BW257" s="83">
        <f t="shared" si="1459"/>
        <v>0.35136519891663831</v>
      </c>
      <c r="BX257" s="83">
        <f t="shared" si="1459"/>
        <v>0.3388317121377134</v>
      </c>
      <c r="BY257" s="83">
        <f t="shared" si="1459"/>
        <v>0.35592133123866787</v>
      </c>
      <c r="BZ257" s="83">
        <f t="shared" si="1459"/>
        <v>0.4249156898778419</v>
      </c>
      <c r="CA257" s="83">
        <f t="shared" si="1459"/>
        <v>0.39107209653304548</v>
      </c>
      <c r="CB257" s="83">
        <f t="shared" si="1459"/>
        <v>0.55119963265403837</v>
      </c>
      <c r="CC257" s="83">
        <f t="shared" si="1459"/>
        <v>0.58804991609227775</v>
      </c>
      <c r="CD257" s="83">
        <f t="shared" si="1459"/>
        <v>0.57053649683620067</v>
      </c>
      <c r="CE257" s="83">
        <f t="shared" si="1459"/>
        <v>0.54441551092501117</v>
      </c>
      <c r="CF257" s="83">
        <f t="shared" si="1459"/>
        <v>0.49862851534131963</v>
      </c>
      <c r="CG257" s="83">
        <f t="shared" si="1459"/>
        <v>0.52208840246961485</v>
      </c>
      <c r="CH257" s="83">
        <f t="shared" si="1459"/>
        <v>0.5279864917382272</v>
      </c>
      <c r="CI257" s="83">
        <f t="shared" si="1459"/>
        <v>0.53756343341809198</v>
      </c>
      <c r="CJ257" s="83">
        <f t="shared" si="1459"/>
        <v>0.53273808663762889</v>
      </c>
      <c r="CK257" s="83">
        <f t="shared" si="1459"/>
        <v>0.56200860752745729</v>
      </c>
      <c r="CL257" s="83">
        <f t="shared" si="1459"/>
        <v>0.4803945086395871</v>
      </c>
      <c r="CM257" s="83">
        <f t="shared" si="1459"/>
        <v>0.52403759477772882</v>
      </c>
      <c r="CN257" s="83">
        <f t="shared" si="1459"/>
        <v>0.47137426215017869</v>
      </c>
      <c r="CO257" s="83">
        <f t="shared" si="1459"/>
        <v>0.55495254735531352</v>
      </c>
      <c r="CP257" s="83">
        <f t="shared" si="1459"/>
        <v>0.51603136560932306</v>
      </c>
      <c r="CQ257" s="83">
        <f t="shared" si="1459"/>
        <v>0.5120430107526881</v>
      </c>
      <c r="CR257" s="83">
        <f t="shared" si="1459"/>
        <v>0.50503703132975708</v>
      </c>
      <c r="CS257" s="83">
        <f t="shared" ref="CS257:DW257" si="1460">CS256/CS170</f>
        <v>0.50843255691603673</v>
      </c>
      <c r="CT257" s="83">
        <f t="shared" si="1460"/>
        <v>0.62011715201428419</v>
      </c>
      <c r="CU257" s="83">
        <f t="shared" si="1460"/>
        <v>0.52199571485487295</v>
      </c>
      <c r="CV257" s="83">
        <f t="shared" si="1460"/>
        <v>0.57192794928904722</v>
      </c>
      <c r="CW257" s="83">
        <f t="shared" si="1460"/>
        <v>0.52531838180278745</v>
      </c>
      <c r="CX257" s="83">
        <f t="shared" si="1460"/>
        <v>0.53199431848789702</v>
      </c>
      <c r="CY257" s="83">
        <f t="shared" si="1460"/>
        <v>0.5287954922978757</v>
      </c>
      <c r="CZ257" s="83">
        <f t="shared" si="1460"/>
        <v>0.52655824494675518</v>
      </c>
      <c r="DA257" s="83">
        <f t="shared" si="1460"/>
        <v>0.55076318861446161</v>
      </c>
      <c r="DB257" s="83">
        <f t="shared" si="1460"/>
        <v>0.5388116067468588</v>
      </c>
      <c r="DC257" s="83">
        <f t="shared" si="1460"/>
        <v>0.54320640659097574</v>
      </c>
      <c r="DD257" s="83">
        <f t="shared" si="1460"/>
        <v>0.54448512126454629</v>
      </c>
      <c r="DE257" s="83">
        <f t="shared" si="1460"/>
        <v>0.54383533308849397</v>
      </c>
      <c r="DF257" s="83">
        <f t="shared" si="1460"/>
        <v>0.55429170152656926</v>
      </c>
      <c r="DG257" s="83">
        <f t="shared" si="1460"/>
        <v>0.4626009904168662</v>
      </c>
      <c r="DH257" s="1079">
        <f t="shared" si="1460"/>
        <v>0.51610109324326003</v>
      </c>
      <c r="DI257" s="83">
        <f t="shared" si="1460"/>
        <v>0.54085706680862389</v>
      </c>
      <c r="DJ257" s="83">
        <f t="shared" si="1460"/>
        <v>0.51733027785734753</v>
      </c>
      <c r="DK257" s="1079">
        <f t="shared" si="1460"/>
        <v>0.5295253863134658</v>
      </c>
      <c r="DL257" s="83">
        <f t="shared" si="1460"/>
        <v>0.5507209062821834</v>
      </c>
      <c r="DM257" s="83">
        <f t="shared" si="1460"/>
        <v>0.51239458216202383</v>
      </c>
      <c r="DN257" s="1079">
        <f t="shared" si="1460"/>
        <v>0.53148646915480302</v>
      </c>
      <c r="DO257" s="83">
        <f t="shared" si="1460"/>
        <v>0.5230596175478065</v>
      </c>
      <c r="DP257" s="83">
        <f t="shared" si="1460"/>
        <v>0.54571000374672163</v>
      </c>
      <c r="DQ257" s="1079">
        <f t="shared" si="1460"/>
        <v>0.53541858325666969</v>
      </c>
      <c r="DR257" s="83">
        <f t="shared" si="1460"/>
        <v>0.57191663819610528</v>
      </c>
      <c r="DS257" s="83">
        <f t="shared" si="1460"/>
        <v>0.55393481001260569</v>
      </c>
      <c r="DT257" s="1079">
        <f t="shared" si="1460"/>
        <v>0.56316297010607519</v>
      </c>
      <c r="DU257" s="83">
        <f t="shared" si="1460"/>
        <v>0.53452729464439463</v>
      </c>
      <c r="DV257" s="83">
        <f t="shared" si="1460"/>
        <v>0.51293568091987074</v>
      </c>
      <c r="DW257" s="1079">
        <f t="shared" si="1460"/>
        <v>0.52396025674843927</v>
      </c>
      <c r="DX257" s="83">
        <f t="shared" ref="DX257" si="1461">DX256/DX170</f>
        <v>0.51064543168482823</v>
      </c>
      <c r="DY257" s="83">
        <f t="shared" ref="DY257:ER257" si="1462">DY256/DY170</f>
        <v>0.51207400311339957</v>
      </c>
      <c r="DZ257" s="1079">
        <f t="shared" si="1462"/>
        <v>0.51135983252195039</v>
      </c>
      <c r="EA257" s="83">
        <f t="shared" si="1462"/>
        <v>0.51707400311339979</v>
      </c>
      <c r="EB257" s="83">
        <f t="shared" si="1462"/>
        <v>0.51707400311339957</v>
      </c>
      <c r="EC257" s="1079">
        <f t="shared" si="1462"/>
        <v>0.51707400311339968</v>
      </c>
      <c r="ED257" s="83">
        <f t="shared" si="1462"/>
        <v>0.52207400311339947</v>
      </c>
      <c r="EE257" s="83">
        <f t="shared" si="1462"/>
        <v>0.52207400311339947</v>
      </c>
      <c r="EF257" s="1079">
        <f t="shared" si="1462"/>
        <v>0.52207400311339947</v>
      </c>
      <c r="EG257" s="83">
        <f t="shared" si="1462"/>
        <v>0.52457400311339963</v>
      </c>
      <c r="EH257" s="83">
        <f t="shared" si="1462"/>
        <v>0.52457400311339963</v>
      </c>
      <c r="EI257" s="1079">
        <f t="shared" si="1462"/>
        <v>0.52457400311339963</v>
      </c>
      <c r="EJ257" s="83">
        <f t="shared" si="1462"/>
        <v>0.52557400311339963</v>
      </c>
      <c r="EK257" s="83">
        <f t="shared" si="1462"/>
        <v>0.52557400311339952</v>
      </c>
      <c r="EL257" s="1079">
        <f t="shared" si="1462"/>
        <v>0.52557400311339952</v>
      </c>
      <c r="EM257" s="83">
        <f t="shared" si="1462"/>
        <v>0.52657400311339964</v>
      </c>
      <c r="EN257" s="83">
        <f t="shared" si="1462"/>
        <v>0.52657400311339952</v>
      </c>
      <c r="EO257" s="1079">
        <f t="shared" si="1462"/>
        <v>0.52657400311339964</v>
      </c>
      <c r="EP257" s="83">
        <f t="shared" si="1462"/>
        <v>0.52657400311339952</v>
      </c>
      <c r="EQ257" s="83">
        <f t="shared" si="1462"/>
        <v>0.52657400311339952</v>
      </c>
      <c r="ER257" s="1079">
        <f t="shared" si="1462"/>
        <v>0.52657400311339964</v>
      </c>
      <c r="ES257" s="83">
        <f t="shared" ref="ES257:EX257" si="1463">ES256/ES170</f>
        <v>0.52657400311339941</v>
      </c>
      <c r="ET257" s="83">
        <f t="shared" si="1463"/>
        <v>0.52657400311339941</v>
      </c>
      <c r="EU257" s="1079">
        <f t="shared" si="1463"/>
        <v>0.52657400311339952</v>
      </c>
      <c r="EV257" s="83">
        <f t="shared" si="1463"/>
        <v>0.52657400311339952</v>
      </c>
      <c r="EW257" s="83">
        <f t="shared" si="1463"/>
        <v>0.52657400311339952</v>
      </c>
      <c r="EX257" s="1079">
        <f t="shared" si="1463"/>
        <v>0.52657400311339964</v>
      </c>
      <c r="EY257" s="83">
        <f t="shared" ref="EY257:FA257" si="1464">EY256/EY170</f>
        <v>0.52657400311339941</v>
      </c>
      <c r="EZ257" s="83">
        <f t="shared" si="1464"/>
        <v>0.52657400311339964</v>
      </c>
      <c r="FA257" s="1079">
        <f t="shared" si="1464"/>
        <v>0.52657400311339952</v>
      </c>
    </row>
    <row r="258" spans="1:173" s="188" customFormat="1">
      <c r="A258" s="1428"/>
      <c r="BS258" s="188">
        <v>41.155000000000001</v>
      </c>
      <c r="BT258" s="188">
        <f>BU258-BS258</f>
        <v>36.045999999999992</v>
      </c>
      <c r="BU258" s="188">
        <v>77.200999999999993</v>
      </c>
      <c r="BV258" s="188">
        <v>33.368000000000002</v>
      </c>
      <c r="BW258" s="188">
        <f>BX258-BV258</f>
        <v>34.869999999999997</v>
      </c>
      <c r="BX258" s="188">
        <v>68.238</v>
      </c>
      <c r="BY258" s="188">
        <v>46.11</v>
      </c>
      <c r="BZ258" s="188">
        <f>CA258-BY258</f>
        <v>57.465999999999994</v>
      </c>
      <c r="CA258" s="188">
        <v>103.57599999999999</v>
      </c>
      <c r="CB258" s="188">
        <v>72.686000000000007</v>
      </c>
      <c r="CC258" s="188">
        <f>CD258-CB258</f>
        <v>85.619</v>
      </c>
      <c r="CD258" s="188">
        <v>158.30500000000001</v>
      </c>
      <c r="CE258" s="188">
        <v>80.617000000000004</v>
      </c>
      <c r="CF258" s="188">
        <f>CG258-CE258</f>
        <v>70.272000000000006</v>
      </c>
      <c r="CG258" s="188">
        <v>150.88900000000001</v>
      </c>
      <c r="CH258" s="188">
        <v>72.266999999999996</v>
      </c>
      <c r="CI258" s="188">
        <f>CJ258-CH258</f>
        <v>72.453000000000003</v>
      </c>
      <c r="CJ258" s="188">
        <v>144.72</v>
      </c>
      <c r="CK258" s="188">
        <v>77.099999999999994</v>
      </c>
      <c r="CL258" s="188">
        <f>CM258-CK258</f>
        <v>57.338999999999999</v>
      </c>
      <c r="CM258" s="188">
        <v>134.43899999999999</v>
      </c>
      <c r="CN258" s="188">
        <v>63.460999999999999</v>
      </c>
      <c r="CO258" s="188">
        <f>CP258-CN258</f>
        <v>85.622</v>
      </c>
      <c r="CP258" s="188">
        <f>149.083</f>
        <v>149.083</v>
      </c>
      <c r="CQ258" s="188">
        <v>100.002</v>
      </c>
      <c r="CR258" s="188">
        <f>+CS258-CQ258</f>
        <v>104.877</v>
      </c>
      <c r="CS258" s="188">
        <v>204.87899999999999</v>
      </c>
      <c r="CT258" s="251">
        <v>143.44900000000001</v>
      </c>
      <c r="CU258" s="251">
        <f>+CV258-CT258</f>
        <v>133.48199999999997</v>
      </c>
      <c r="CV258" s="251">
        <v>276.93099999999998</v>
      </c>
      <c r="DH258" s="1078"/>
      <c r="DK258" s="1078"/>
      <c r="DN258" s="1078"/>
      <c r="DQ258" s="1078"/>
      <c r="DT258" s="1078"/>
      <c r="DW258" s="1078"/>
      <c r="DZ258" s="1078"/>
      <c r="EC258" s="1078"/>
      <c r="EF258" s="1078"/>
      <c r="EI258" s="1078"/>
      <c r="EL258" s="1078"/>
      <c r="EO258" s="1078"/>
      <c r="ER258" s="1078"/>
      <c r="EU258" s="1078"/>
      <c r="EX258" s="1078"/>
      <c r="FA258" s="1078"/>
    </row>
    <row r="259" spans="1:173" s="321" customFormat="1">
      <c r="A259" s="1418"/>
      <c r="B259" s="906" t="s">
        <v>394</v>
      </c>
      <c r="C259" s="941"/>
      <c r="D259" s="907"/>
      <c r="E259" s="908"/>
      <c r="F259" s="908"/>
      <c r="G259" s="908"/>
      <c r="H259" s="908"/>
      <c r="I259" s="908"/>
      <c r="J259" s="908"/>
      <c r="K259" s="908"/>
      <c r="L259" s="908"/>
      <c r="M259" s="908"/>
      <c r="N259" s="908"/>
      <c r="O259" s="908"/>
      <c r="P259" s="908"/>
      <c r="Q259" s="908"/>
      <c r="R259" s="908"/>
      <c r="S259" s="908"/>
      <c r="T259" s="908"/>
      <c r="U259" s="908"/>
      <c r="V259" s="908"/>
      <c r="W259" s="908"/>
      <c r="X259" s="908"/>
      <c r="Y259" s="908"/>
      <c r="Z259" s="908"/>
      <c r="AA259" s="908"/>
      <c r="AB259" s="908"/>
      <c r="AC259" s="908"/>
      <c r="AD259" s="908"/>
      <c r="AE259" s="908"/>
      <c r="AF259" s="908"/>
      <c r="AG259" s="908"/>
      <c r="AH259" s="908"/>
      <c r="AI259" s="908"/>
      <c r="AJ259" s="908"/>
      <c r="AK259" s="908"/>
      <c r="AL259" s="908"/>
      <c r="AM259" s="908"/>
      <c r="AN259" s="908"/>
      <c r="AO259" s="908"/>
      <c r="AP259" s="908"/>
      <c r="AQ259" s="908"/>
      <c r="AR259" s="908"/>
      <c r="AS259" s="908"/>
      <c r="AT259" s="908"/>
      <c r="AU259" s="908"/>
      <c r="AV259" s="908"/>
      <c r="AW259" s="908"/>
      <c r="AX259" s="908"/>
      <c r="AY259" s="908"/>
      <c r="AZ259" s="908"/>
      <c r="BA259" s="908" t="str">
        <f t="shared" ref="BA259:CF259" si="1465">BA2</f>
        <v>1H01</v>
      </c>
      <c r="BB259" s="908" t="str">
        <f t="shared" si="1465"/>
        <v>2H01</v>
      </c>
      <c r="BC259" s="908" t="str">
        <f t="shared" si="1465"/>
        <v>FY01</v>
      </c>
      <c r="BD259" s="908" t="str">
        <f t="shared" si="1465"/>
        <v>1H02</v>
      </c>
      <c r="BE259" s="908" t="str">
        <f t="shared" si="1465"/>
        <v>2H02</v>
      </c>
      <c r="BF259" s="908" t="str">
        <f t="shared" si="1465"/>
        <v>FY02</v>
      </c>
      <c r="BG259" s="908" t="str">
        <f t="shared" si="1465"/>
        <v>1H03</v>
      </c>
      <c r="BH259" s="908" t="str">
        <f t="shared" si="1465"/>
        <v>2H03</v>
      </c>
      <c r="BI259" s="908" t="str">
        <f t="shared" si="1465"/>
        <v>FY03</v>
      </c>
      <c r="BJ259" s="908" t="str">
        <f t="shared" si="1465"/>
        <v>1H04</v>
      </c>
      <c r="BK259" s="908" t="str">
        <f t="shared" si="1465"/>
        <v>2H04</v>
      </c>
      <c r="BL259" s="908" t="str">
        <f t="shared" si="1465"/>
        <v>FY04</v>
      </c>
      <c r="BM259" s="908" t="str">
        <f t="shared" si="1465"/>
        <v>1H05</v>
      </c>
      <c r="BN259" s="908" t="str">
        <f t="shared" si="1465"/>
        <v>2H05</v>
      </c>
      <c r="BO259" s="908" t="str">
        <f t="shared" si="1465"/>
        <v>FY05</v>
      </c>
      <c r="BP259" s="908" t="str">
        <f t="shared" si="1465"/>
        <v>1H06</v>
      </c>
      <c r="BQ259" s="908" t="str">
        <f t="shared" si="1465"/>
        <v>2H06</v>
      </c>
      <c r="BR259" s="908" t="str">
        <f t="shared" si="1465"/>
        <v>FY06</v>
      </c>
      <c r="BS259" s="909" t="str">
        <f t="shared" si="1465"/>
        <v>1H07</v>
      </c>
      <c r="BT259" s="909" t="str">
        <f t="shared" si="1465"/>
        <v>2H07</v>
      </c>
      <c r="BU259" s="909" t="str">
        <f t="shared" si="1465"/>
        <v>FY07</v>
      </c>
      <c r="BV259" s="909" t="str">
        <f t="shared" si="1465"/>
        <v>1H08</v>
      </c>
      <c r="BW259" s="909" t="str">
        <f t="shared" si="1465"/>
        <v>2H08</v>
      </c>
      <c r="BX259" s="909" t="str">
        <f t="shared" si="1465"/>
        <v>FY08</v>
      </c>
      <c r="BY259" s="909" t="str">
        <f t="shared" si="1465"/>
        <v>1H09</v>
      </c>
      <c r="BZ259" s="909" t="str">
        <f t="shared" si="1465"/>
        <v>2H09</v>
      </c>
      <c r="CA259" s="909" t="str">
        <f t="shared" si="1465"/>
        <v>FY09</v>
      </c>
      <c r="CB259" s="909" t="str">
        <f t="shared" si="1465"/>
        <v>1H10</v>
      </c>
      <c r="CC259" s="909" t="str">
        <f t="shared" si="1465"/>
        <v>2H10</v>
      </c>
      <c r="CD259" s="909" t="str">
        <f t="shared" si="1465"/>
        <v>FY10</v>
      </c>
      <c r="CE259" s="909" t="str">
        <f t="shared" si="1465"/>
        <v>1H11</v>
      </c>
      <c r="CF259" s="909" t="str">
        <f t="shared" si="1465"/>
        <v>2H11</v>
      </c>
      <c r="CG259" s="909" t="str">
        <f t="shared" ref="CG259:DL259" si="1466">CG2</f>
        <v>FY11</v>
      </c>
      <c r="CH259" s="909" t="str">
        <f t="shared" si="1466"/>
        <v>1H12</v>
      </c>
      <c r="CI259" s="909" t="str">
        <f t="shared" si="1466"/>
        <v>2H12</v>
      </c>
      <c r="CJ259" s="909" t="str">
        <f t="shared" si="1466"/>
        <v>FY12</v>
      </c>
      <c r="CK259" s="909" t="str">
        <f t="shared" si="1466"/>
        <v>1H13</v>
      </c>
      <c r="CL259" s="909" t="str">
        <f t="shared" si="1466"/>
        <v>2H13</v>
      </c>
      <c r="CM259" s="909" t="str">
        <f t="shared" si="1466"/>
        <v>FY13</v>
      </c>
      <c r="CN259" s="909" t="str">
        <f t="shared" si="1466"/>
        <v>1H14</v>
      </c>
      <c r="CO259" s="909" t="str">
        <f t="shared" si="1466"/>
        <v>2H14</v>
      </c>
      <c r="CP259" s="909" t="str">
        <f t="shared" si="1466"/>
        <v>FY14</v>
      </c>
      <c r="CQ259" s="909" t="str">
        <f t="shared" si="1466"/>
        <v>1H15</v>
      </c>
      <c r="CR259" s="909" t="str">
        <f t="shared" si="1466"/>
        <v>2H15</v>
      </c>
      <c r="CS259" s="909" t="str">
        <f t="shared" si="1466"/>
        <v>FY15</v>
      </c>
      <c r="CT259" s="909" t="str">
        <f t="shared" si="1466"/>
        <v>1H16</v>
      </c>
      <c r="CU259" s="909" t="str">
        <f t="shared" si="1466"/>
        <v>2H16</v>
      </c>
      <c r="CV259" s="909" t="str">
        <f t="shared" si="1466"/>
        <v>FY16</v>
      </c>
      <c r="CW259" s="909" t="str">
        <f t="shared" si="1466"/>
        <v>1H17</v>
      </c>
      <c r="CX259" s="909" t="str">
        <f t="shared" si="1466"/>
        <v>2H17</v>
      </c>
      <c r="CY259" s="909" t="str">
        <f t="shared" si="1466"/>
        <v>FY17</v>
      </c>
      <c r="CZ259" s="909" t="str">
        <f t="shared" si="1466"/>
        <v>1H18</v>
      </c>
      <c r="DA259" s="909" t="str">
        <f t="shared" si="1466"/>
        <v>2H18</v>
      </c>
      <c r="DB259" s="909" t="str">
        <f t="shared" si="1466"/>
        <v>FY18</v>
      </c>
      <c r="DC259" s="909" t="str">
        <f t="shared" si="1466"/>
        <v>1H19</v>
      </c>
      <c r="DD259" s="909" t="str">
        <f t="shared" si="1466"/>
        <v>2H19</v>
      </c>
      <c r="DE259" s="909" t="str">
        <f t="shared" si="1466"/>
        <v>FY19</v>
      </c>
      <c r="DF259" s="909" t="str">
        <f t="shared" si="1466"/>
        <v>1H20</v>
      </c>
      <c r="DG259" s="909" t="str">
        <f t="shared" si="1466"/>
        <v>2H20</v>
      </c>
      <c r="DH259" s="1059" t="str">
        <f t="shared" si="1466"/>
        <v>FY20</v>
      </c>
      <c r="DI259" s="909" t="str">
        <f t="shared" si="1466"/>
        <v>1H21</v>
      </c>
      <c r="DJ259" s="909" t="str">
        <f t="shared" si="1466"/>
        <v>2H21</v>
      </c>
      <c r="DK259" s="1059" t="str">
        <f t="shared" si="1466"/>
        <v>FY21</v>
      </c>
      <c r="DL259" s="909" t="str">
        <f t="shared" si="1466"/>
        <v>1H22</v>
      </c>
      <c r="DM259" s="909" t="str">
        <f t="shared" ref="DM259:ER259" si="1467">DM2</f>
        <v>2H22</v>
      </c>
      <c r="DN259" s="1059" t="str">
        <f t="shared" si="1467"/>
        <v>FY22</v>
      </c>
      <c r="DO259" s="909" t="str">
        <f t="shared" si="1467"/>
        <v>1H23</v>
      </c>
      <c r="DP259" s="909" t="str">
        <f t="shared" si="1467"/>
        <v>2H23</v>
      </c>
      <c r="DQ259" s="1059" t="str">
        <f t="shared" si="1467"/>
        <v>FY23</v>
      </c>
      <c r="DR259" s="909" t="str">
        <f t="shared" si="1467"/>
        <v>1H24</v>
      </c>
      <c r="DS259" s="909" t="str">
        <f t="shared" si="1467"/>
        <v>2H24</v>
      </c>
      <c r="DT259" s="1059" t="str">
        <f t="shared" si="1467"/>
        <v>FY24</v>
      </c>
      <c r="DU259" s="909" t="str">
        <f t="shared" si="1467"/>
        <v>1H25</v>
      </c>
      <c r="DV259" s="909" t="str">
        <f t="shared" si="1467"/>
        <v>2H25</v>
      </c>
      <c r="DW259" s="1059" t="str">
        <f t="shared" si="1467"/>
        <v>FY25</v>
      </c>
      <c r="DX259" s="909" t="str">
        <f t="shared" si="1467"/>
        <v>1H26</v>
      </c>
      <c r="DY259" s="909" t="str">
        <f t="shared" si="1467"/>
        <v>2H26E</v>
      </c>
      <c r="DZ259" s="1059" t="str">
        <f t="shared" si="1467"/>
        <v>FY26E</v>
      </c>
      <c r="EA259" s="909" t="str">
        <f t="shared" si="1467"/>
        <v>1H27E</v>
      </c>
      <c r="EB259" s="909" t="str">
        <f t="shared" si="1467"/>
        <v>2H27E</v>
      </c>
      <c r="EC259" s="1059" t="str">
        <f t="shared" si="1467"/>
        <v>FY27E</v>
      </c>
      <c r="ED259" s="909" t="str">
        <f t="shared" si="1467"/>
        <v>1H28E</v>
      </c>
      <c r="EE259" s="909" t="str">
        <f t="shared" si="1467"/>
        <v>2H28E</v>
      </c>
      <c r="EF259" s="1059" t="str">
        <f t="shared" si="1467"/>
        <v>FY28E</v>
      </c>
      <c r="EG259" s="909" t="str">
        <f t="shared" si="1467"/>
        <v>1H29E</v>
      </c>
      <c r="EH259" s="909" t="str">
        <f t="shared" si="1467"/>
        <v>2H29E</v>
      </c>
      <c r="EI259" s="1059" t="str">
        <f t="shared" si="1467"/>
        <v>FY29E</v>
      </c>
      <c r="EJ259" s="909" t="str">
        <f t="shared" si="1467"/>
        <v>1H30E</v>
      </c>
      <c r="EK259" s="909" t="str">
        <f t="shared" si="1467"/>
        <v>2H30E</v>
      </c>
      <c r="EL259" s="1059" t="str">
        <f t="shared" si="1467"/>
        <v>FY30E</v>
      </c>
      <c r="EM259" s="909" t="str">
        <f t="shared" si="1467"/>
        <v>1H31E</v>
      </c>
      <c r="EN259" s="909" t="str">
        <f t="shared" si="1467"/>
        <v>2H31E</v>
      </c>
      <c r="EO259" s="1059" t="str">
        <f t="shared" si="1467"/>
        <v>FY31E</v>
      </c>
      <c r="EP259" s="909" t="str">
        <f t="shared" si="1467"/>
        <v>1H32E</v>
      </c>
      <c r="EQ259" s="909" t="str">
        <f t="shared" si="1467"/>
        <v>2H32E</v>
      </c>
      <c r="ER259" s="1059" t="str">
        <f t="shared" si="1467"/>
        <v>FY32E</v>
      </c>
      <c r="ES259" s="909" t="str">
        <f t="shared" ref="ES259:EX259" si="1468">ES2</f>
        <v>1H33E</v>
      </c>
      <c r="ET259" s="909" t="str">
        <f t="shared" si="1468"/>
        <v>2H33E</v>
      </c>
      <c r="EU259" s="1059" t="str">
        <f t="shared" si="1468"/>
        <v>FY33E</v>
      </c>
      <c r="EV259" s="909" t="str">
        <f t="shared" si="1468"/>
        <v>1H34E</v>
      </c>
      <c r="EW259" s="909" t="str">
        <f t="shared" si="1468"/>
        <v>2H34E</v>
      </c>
      <c r="EX259" s="1059" t="str">
        <f t="shared" si="1468"/>
        <v>FY34E</v>
      </c>
      <c r="EY259" s="909" t="str">
        <f t="shared" ref="EY259:FA259" si="1469">EY2</f>
        <v>1H35E</v>
      </c>
      <c r="EZ259" s="909" t="str">
        <f t="shared" si="1469"/>
        <v>2H35E</v>
      </c>
      <c r="FA259" s="1059" t="str">
        <f t="shared" si="1469"/>
        <v>FY35E</v>
      </c>
      <c r="FH259" s="35"/>
      <c r="FI259" s="35"/>
      <c r="FJ259" s="35"/>
      <c r="FK259" s="35"/>
      <c r="FL259" s="35"/>
      <c r="FM259" s="35"/>
      <c r="FN259" s="35"/>
      <c r="FO259" s="35"/>
      <c r="FP259" s="35"/>
      <c r="FQ259" s="35"/>
    </row>
    <row r="260" spans="1:173" outlineLevel="1">
      <c r="A260" s="1425" t="s">
        <v>27</v>
      </c>
      <c r="C260" s="186"/>
      <c r="D260" s="162" t="s">
        <v>696</v>
      </c>
      <c r="BA260" s="70">
        <f>BA270+BA280+BA289</f>
        <v>19.428514</v>
      </c>
      <c r="BB260" s="70">
        <f>BB270+BB280+BB289</f>
        <v>23.625919999999994</v>
      </c>
      <c r="BC260" s="1024">
        <f>BA260+BB260</f>
        <v>43.054433999999993</v>
      </c>
      <c r="BD260" s="70">
        <f>BD270+BD280+BD289</f>
        <v>22.422145999999998</v>
      </c>
      <c r="BE260" s="70">
        <f>BE270+BE280+BE289</f>
        <v>28.509601</v>
      </c>
      <c r="BF260" s="1024">
        <f>BD260+BE260</f>
        <v>50.931747000000001</v>
      </c>
      <c r="BG260" s="70">
        <f>BG270+BG280+BG289</f>
        <v>23.318348</v>
      </c>
      <c r="BH260" s="70">
        <f>BH270+BH280+BH289</f>
        <v>27.308395894175554</v>
      </c>
      <c r="BI260" s="1024">
        <f>BG260+BH260</f>
        <v>50.626743894175554</v>
      </c>
      <c r="BJ260" s="70">
        <f>BJ270+BJ280+BJ289</f>
        <v>24.251081920000004</v>
      </c>
      <c r="BK260" s="70">
        <f>BK270+BK280+BK289</f>
        <v>30.388782951038557</v>
      </c>
      <c r="BL260" s="1024">
        <f>BJ260+BK260</f>
        <v>54.639864871038561</v>
      </c>
      <c r="BM260" s="70">
        <f>BM270+BM280+BM289</f>
        <v>40.453284702059705</v>
      </c>
      <c r="BN260" s="70">
        <f>BN270+BN280+BN289</f>
        <v>41.508745142910463</v>
      </c>
      <c r="BO260" s="1024">
        <f>BM260+BN260</f>
        <v>81.962029844970175</v>
      </c>
      <c r="BP260" s="70">
        <f>BP270+BP280+BP289</f>
        <v>49.382817683216118</v>
      </c>
      <c r="BQ260" s="70">
        <f>BQ270+BQ280+BQ289</f>
        <v>56.222585532222922</v>
      </c>
      <c r="BR260" s="1024">
        <f>BP260+BQ260</f>
        <v>105.60540321543904</v>
      </c>
      <c r="BS260" s="70">
        <f>BS270+BS280+BS289</f>
        <v>63.946711052495502</v>
      </c>
      <c r="BT260" s="70">
        <f>BT270+BT280+BT289</f>
        <v>67.645826335452313</v>
      </c>
      <c r="BU260" s="70">
        <f>BS260+BT260</f>
        <v>131.5925373879478</v>
      </c>
      <c r="BV260" s="70">
        <f>BV270+BV280+BV289</f>
        <v>75.356747477573819</v>
      </c>
      <c r="BW260" s="70">
        <f>BW270+BW280+BW289</f>
        <v>81.450217216360201</v>
      </c>
      <c r="BX260" s="70">
        <f>BV260+BW260</f>
        <v>156.80696469393402</v>
      </c>
      <c r="BY260" s="70">
        <f>BY270+BY280+BY289</f>
        <v>86.236280770464532</v>
      </c>
      <c r="BZ260" s="70">
        <f>BZ270+BZ280+BZ289</f>
        <v>110.16237578008779</v>
      </c>
      <c r="CA260" s="70">
        <f>BY260+BZ260</f>
        <v>196.39865655055232</v>
      </c>
      <c r="CB260" s="70">
        <f>CB270+CB280+CB289</f>
        <v>85.305681293263547</v>
      </c>
      <c r="CC260" s="70">
        <f>CC270+CC280+CC289</f>
        <v>99.260414805934602</v>
      </c>
      <c r="CD260" s="70">
        <f>CB260+CC260</f>
        <v>184.56609609919815</v>
      </c>
      <c r="CE260" s="70">
        <f>CE270+CE280+CE289</f>
        <v>94.62555651777015</v>
      </c>
      <c r="CF260" s="70">
        <f>CF270+CF280+CF289</f>
        <v>116.16736757703147</v>
      </c>
      <c r="CG260" s="70">
        <f>CE260+CF260</f>
        <v>210.79292409480161</v>
      </c>
      <c r="CH260" s="70">
        <f>CH270+CH280+CH289</f>
        <v>105.72936827743868</v>
      </c>
      <c r="CI260" s="70">
        <f>CI270+CI280+CI289</f>
        <v>112.6308882928314</v>
      </c>
      <c r="CJ260" s="70">
        <f>CH260+CI260</f>
        <v>218.36025657027008</v>
      </c>
      <c r="CK260" s="70">
        <f>CK270+CK280+CK289</f>
        <v>112.42035551194211</v>
      </c>
      <c r="CL260" s="70">
        <f>CL270+CL280+CL289</f>
        <v>111.6742682414737</v>
      </c>
      <c r="CM260" s="70">
        <f>CK260+CL260</f>
        <v>224.09462375341582</v>
      </c>
      <c r="CN260" s="70">
        <f>CN270+CN280+CN289</f>
        <v>116.08420097064436</v>
      </c>
      <c r="CO260" s="70">
        <f>CO270+CO280+CO289</f>
        <v>126.34474814984216</v>
      </c>
      <c r="CP260" s="70">
        <f>CN260+CO260</f>
        <v>242.42894912048652</v>
      </c>
      <c r="CQ260" s="70">
        <f>CQ270+CQ280+CQ289</f>
        <v>125.38813569732952</v>
      </c>
      <c r="CR260" s="70">
        <f>CR270+CR280+CR289</f>
        <v>131.23662469028409</v>
      </c>
      <c r="CS260" s="70">
        <f>CQ260+CR260</f>
        <v>256.62476038761361</v>
      </c>
      <c r="CT260" s="70">
        <f>CT270+CT280+CT289</f>
        <v>138.279664638768</v>
      </c>
      <c r="CU260" s="70">
        <f>CU270+CU280+CU289</f>
        <v>142.89787573888847</v>
      </c>
      <c r="CV260" s="70">
        <f>CT260+CU260</f>
        <v>281.17754037765644</v>
      </c>
      <c r="CW260" s="70">
        <f>CW270+CW280+CW289</f>
        <v>142.04979148395165</v>
      </c>
      <c r="CX260" s="70">
        <f>CX270+CX280+CX289</f>
        <v>152.32091451410503</v>
      </c>
      <c r="CY260" s="70">
        <f>CW260+CX260</f>
        <v>294.37070599805668</v>
      </c>
      <c r="CZ260" s="70">
        <f>CZ270+CZ280+CZ289</f>
        <v>143.82964804128648</v>
      </c>
      <c r="DA260" s="70">
        <f>DA270+DA280+DA289</f>
        <v>162.81015400769846</v>
      </c>
      <c r="DB260" s="70">
        <f>CZ260+DA260</f>
        <v>306.63980204898496</v>
      </c>
      <c r="DC260" s="70">
        <f>DC270+DC280+DC289</f>
        <v>157.42897944343196</v>
      </c>
      <c r="DD260" s="70">
        <f>DD270+DD280+DD289</f>
        <v>172.85421917914721</v>
      </c>
      <c r="DE260" s="70">
        <f>DC260+DD260</f>
        <v>330.28319862257916</v>
      </c>
      <c r="DF260" s="70">
        <f>DF270+DF280+DF289</f>
        <v>164.53201946757545</v>
      </c>
      <c r="DG260" s="70">
        <f>DG270+DG280+DG289</f>
        <v>135.00717406609613</v>
      </c>
      <c r="DH260" s="1070">
        <f>DF260+DG260</f>
        <v>299.53919353367155</v>
      </c>
      <c r="DI260" s="163">
        <f>DI270+DI280+DI289</f>
        <v>145.54061999999999</v>
      </c>
      <c r="DJ260" s="163">
        <f>DJ270+DJ280+DJ289</f>
        <v>175.63726520000006</v>
      </c>
      <c r="DK260" s="1070">
        <f>DI260+DJ260</f>
        <v>321.17788520000005</v>
      </c>
      <c r="DL260" s="233">
        <f>DL270+DL280+DL289</f>
        <v>183.55199999999996</v>
      </c>
      <c r="DM260" s="233">
        <f>DM270+DM280+DM289</f>
        <v>187.56310000000002</v>
      </c>
      <c r="DN260" s="1070">
        <f>DL260+DM260</f>
        <v>371.11509999999998</v>
      </c>
      <c r="DO260" s="233">
        <f>DO270+DO280+DO289</f>
        <v>189.474533077514</v>
      </c>
      <c r="DP260" s="233">
        <f>DP270+DP280+DP289</f>
        <v>220.39109913246682</v>
      </c>
      <c r="DQ260" s="1070">
        <f>DO260+DP260</f>
        <v>409.86563220998084</v>
      </c>
      <c r="DR260" s="233">
        <f>DR270+DR280+DR289</f>
        <v>212.75053998173075</v>
      </c>
      <c r="DS260" s="233">
        <f>DS270+DS280+DS289</f>
        <v>239.53468156407689</v>
      </c>
      <c r="DT260" s="1070">
        <f>DR260+DS260</f>
        <v>452.28522154580764</v>
      </c>
      <c r="DU260" s="233">
        <f>DU270+DU280+DU289</f>
        <v>219.91929234599996</v>
      </c>
      <c r="DV260" s="233">
        <f>DV270+DV280+DV289</f>
        <v>249.11000000000007</v>
      </c>
      <c r="DW260" s="1070">
        <f>DU260+DV260</f>
        <v>469.02929234600003</v>
      </c>
      <c r="DX260" s="233">
        <f>DX270+DX280+DX289</f>
        <v>208.87404113243184</v>
      </c>
      <c r="DY260" s="233">
        <f>DY270+DY280+DY289</f>
        <v>300.32996944177427</v>
      </c>
      <c r="DZ260" s="1070">
        <f>DX260+DY260</f>
        <v>509.20401057420611</v>
      </c>
      <c r="EA260" s="233">
        <f>EA270+EA280+EA289</f>
        <v>262.45200882270615</v>
      </c>
      <c r="EB260" s="233">
        <f>EB270+EB280+EB289</f>
        <v>321.07771032192437</v>
      </c>
      <c r="EC260" s="1070">
        <f>EA260+EB260</f>
        <v>583.52971914463046</v>
      </c>
      <c r="ED260" s="233">
        <f>ED270+ED280+ED289</f>
        <v>285.51908815303807</v>
      </c>
      <c r="EE260" s="233">
        <f>EE270+EE280+EE289</f>
        <v>349.2997818881351</v>
      </c>
      <c r="EF260" s="1070">
        <f>ED260+EE260</f>
        <v>634.81887004117311</v>
      </c>
      <c r="EG260" s="233">
        <f>EG270+EG280+EG289</f>
        <v>311.21580608681154</v>
      </c>
      <c r="EH260" s="233">
        <f>EH270+EH280+EH289</f>
        <v>380.73676225806742</v>
      </c>
      <c r="EI260" s="1070">
        <f>EG260+EH260</f>
        <v>691.95256834487896</v>
      </c>
      <c r="EJ260" s="233">
        <f>EJ270+EJ280+EJ289</f>
        <v>339.22522863462461</v>
      </c>
      <c r="EK260" s="233">
        <f>EK270+EK280+EK289</f>
        <v>415.00307086129345</v>
      </c>
      <c r="EL260" s="1070">
        <f>EJ260+EK260</f>
        <v>754.22829949591801</v>
      </c>
      <c r="EM260" s="233">
        <f>EM270+EM280+EM289</f>
        <v>369.75549921174081</v>
      </c>
      <c r="EN260" s="233">
        <f>EN270+EN280+EN289</f>
        <v>452.35334723880987</v>
      </c>
      <c r="EO260" s="1070">
        <f>EM260+EN260</f>
        <v>822.10884645055069</v>
      </c>
      <c r="EP260" s="233">
        <f>EP270+EP280+EP289</f>
        <v>403.03349414079753</v>
      </c>
      <c r="EQ260" s="233">
        <f>EQ270+EQ280+EQ289</f>
        <v>493.06514849030282</v>
      </c>
      <c r="ER260" s="1070">
        <f>EP260+EQ260</f>
        <v>896.09864263110035</v>
      </c>
      <c r="ES260" s="233">
        <f>ES270+ES280+ES289</f>
        <v>439.30650861346942</v>
      </c>
      <c r="ET260" s="233">
        <f>ET270+ET280+ET289</f>
        <v>537.44101185443014</v>
      </c>
      <c r="EU260" s="1070">
        <f>ES260+ET260</f>
        <v>976.74752046789956</v>
      </c>
      <c r="EV260" s="233">
        <f>EV270+EV280+EV289</f>
        <v>478.8440943886817</v>
      </c>
      <c r="EW260" s="233">
        <f>EW270+EW280+EW289</f>
        <v>585.81070292132881</v>
      </c>
      <c r="EX260" s="1070">
        <f>EV260+EW260</f>
        <v>1064.6547973100105</v>
      </c>
      <c r="EY260" s="233">
        <f>EY270+EY280+EY289</f>
        <v>521.94006288366313</v>
      </c>
      <c r="EZ260" s="233">
        <f>EZ270+EZ280+EZ289</f>
        <v>638.53366618424843</v>
      </c>
      <c r="FA260" s="1070">
        <f>EY260+EZ260</f>
        <v>1160.4737290679116</v>
      </c>
    </row>
    <row r="261" spans="1:173" outlineLevel="1">
      <c r="B261" s="83"/>
      <c r="C261" s="83"/>
      <c r="D261" s="162" t="s">
        <v>209</v>
      </c>
      <c r="BA261" s="35"/>
      <c r="BB261" s="35"/>
      <c r="BC261" s="322"/>
      <c r="BD261" s="65">
        <f t="shared" ref="BD261:CI261" si="1470">BD260/BA260-1</f>
        <v>0.15408445545552274</v>
      </c>
      <c r="BE261" s="65">
        <f t="shared" si="1470"/>
        <v>0.20670860647966327</v>
      </c>
      <c r="BF261" s="65">
        <f t="shared" si="1470"/>
        <v>0.18296171307234022</v>
      </c>
      <c r="BG261" s="65">
        <f t="shared" si="1470"/>
        <v>3.9969501581160083E-2</v>
      </c>
      <c r="BH261" s="65">
        <f t="shared" si="1470"/>
        <v>-4.2133353806826146E-2</v>
      </c>
      <c r="BI261" s="65">
        <f t="shared" si="1470"/>
        <v>-5.9884673860578497E-3</v>
      </c>
      <c r="BJ261" s="65">
        <f t="shared" si="1470"/>
        <v>4.0000000000000258E-2</v>
      </c>
      <c r="BK261" s="65">
        <f t="shared" si="1470"/>
        <v>0.11280000000000001</v>
      </c>
      <c r="BL261" s="65">
        <f t="shared" si="1470"/>
        <v>7.9268794873547099E-2</v>
      </c>
      <c r="BM261" s="65">
        <f t="shared" si="1470"/>
        <v>0.668102265932212</v>
      </c>
      <c r="BN261" s="65">
        <f t="shared" si="1470"/>
        <v>0.3659232490418598</v>
      </c>
      <c r="BO261" s="65">
        <f t="shared" si="1470"/>
        <v>0.50004085914958973</v>
      </c>
      <c r="BP261" s="65">
        <f t="shared" si="1470"/>
        <v>0.22073690794017931</v>
      </c>
      <c r="BQ261" s="65">
        <f t="shared" si="1470"/>
        <v>0.35447567346722186</v>
      </c>
      <c r="BR261" s="65">
        <f t="shared" si="1470"/>
        <v>0.28846739661267429</v>
      </c>
      <c r="BS261" s="65">
        <f t="shared" si="1470"/>
        <v>0.29491823376107718</v>
      </c>
      <c r="BT261" s="65">
        <f t="shared" si="1470"/>
        <v>0.20317885944043557</v>
      </c>
      <c r="BU261" s="65">
        <f t="shared" si="1470"/>
        <v>0.24607769471315799</v>
      </c>
      <c r="BV261" s="65">
        <f t="shared" si="1470"/>
        <v>0.17843038738476369</v>
      </c>
      <c r="BW261" s="65">
        <f t="shared" si="1470"/>
        <v>0.20406862667997583</v>
      </c>
      <c r="BX261" s="65">
        <f t="shared" si="1470"/>
        <v>0.19160985726456192</v>
      </c>
      <c r="BY261" s="65">
        <f t="shared" si="1470"/>
        <v>0.14437371114150688</v>
      </c>
      <c r="BZ261" s="65">
        <f t="shared" si="1470"/>
        <v>0.35251174944638963</v>
      </c>
      <c r="CA261" s="65">
        <f t="shared" si="1470"/>
        <v>0.25248681991833677</v>
      </c>
      <c r="CB261" s="65">
        <f t="shared" si="1470"/>
        <v>-1.0791275654361332E-2</v>
      </c>
      <c r="CC261" s="65">
        <f t="shared" si="1470"/>
        <v>-9.8962653056033245E-2</v>
      </c>
      <c r="CD261" s="65">
        <f t="shared" si="1470"/>
        <v>-6.0247664923861133E-2</v>
      </c>
      <c r="CE261" s="65">
        <f t="shared" si="1470"/>
        <v>0.10925269083153766</v>
      </c>
      <c r="CF261" s="65">
        <f t="shared" si="1470"/>
        <v>0.17032925768194596</v>
      </c>
      <c r="CG261" s="65">
        <f t="shared" si="1470"/>
        <v>0.14209992273720418</v>
      </c>
      <c r="CH261" s="65">
        <f t="shared" si="1470"/>
        <v>0.11734474457313548</v>
      </c>
      <c r="CI261" s="65">
        <f t="shared" si="1470"/>
        <v>-3.0442966540108585E-2</v>
      </c>
      <c r="CJ261" s="65">
        <f t="shared" ref="CJ261:DO261" si="1471">CJ260/CG260-1</f>
        <v>3.5899366679239986E-2</v>
      </c>
      <c r="CK261" s="65">
        <f t="shared" si="1471"/>
        <v>6.3284093563729327E-2</v>
      </c>
      <c r="CL261" s="65">
        <f t="shared" si="1471"/>
        <v>-8.4934076775685652E-3</v>
      </c>
      <c r="CM261" s="65">
        <f t="shared" si="1471"/>
        <v>2.6261038859424435E-2</v>
      </c>
      <c r="CN261" s="65">
        <f t="shared" si="1471"/>
        <v>3.2590587727798548E-2</v>
      </c>
      <c r="CO261" s="65">
        <f t="shared" si="1471"/>
        <v>0.13136848926241829</v>
      </c>
      <c r="CP261" s="65">
        <f t="shared" si="1471"/>
        <v>8.1815105869050386E-2</v>
      </c>
      <c r="CQ261" s="65">
        <f t="shared" si="1471"/>
        <v>8.0148156673257809E-2</v>
      </c>
      <c r="CR261" s="65">
        <f t="shared" si="1471"/>
        <v>3.8718479494219027E-2</v>
      </c>
      <c r="CS261" s="65">
        <f t="shared" si="1471"/>
        <v>5.8556584593665084E-2</v>
      </c>
      <c r="CT261" s="65">
        <f t="shared" si="1471"/>
        <v>0.10281298840391839</v>
      </c>
      <c r="CU261" s="65">
        <f t="shared" si="1471"/>
        <v>8.8856682165704193E-2</v>
      </c>
      <c r="CV261" s="65">
        <f t="shared" si="1471"/>
        <v>9.5675802884170658E-2</v>
      </c>
      <c r="CW261" s="65">
        <f t="shared" si="1471"/>
        <v>2.7264506715665382E-2</v>
      </c>
      <c r="CX261" s="65">
        <f t="shared" si="1471"/>
        <v>6.5942469238905232E-2</v>
      </c>
      <c r="CY261" s="65">
        <f t="shared" si="1471"/>
        <v>4.6921121803257027E-2</v>
      </c>
      <c r="CZ261" s="65">
        <f t="shared" si="1471"/>
        <v>1.2529807602962295E-2</v>
      </c>
      <c r="DA261" s="65">
        <f t="shared" si="1471"/>
        <v>6.8862766003299658E-2</v>
      </c>
      <c r="DB261" s="65">
        <f t="shared" si="1471"/>
        <v>4.1679065888469591E-2</v>
      </c>
      <c r="DC261" s="65">
        <f t="shared" si="1471"/>
        <v>9.4551655985710026E-2</v>
      </c>
      <c r="DD261" s="65">
        <f t="shared" si="1471"/>
        <v>6.1691884223473048E-2</v>
      </c>
      <c r="DE261" s="65">
        <f t="shared" si="1471"/>
        <v>7.7104786839828465E-2</v>
      </c>
      <c r="DF261" s="65">
        <f t="shared" si="1471"/>
        <v>4.5119012072969644E-2</v>
      </c>
      <c r="DG261" s="65">
        <f t="shared" si="1471"/>
        <v>-0.21895355110670545</v>
      </c>
      <c r="DH261" s="1066">
        <f t="shared" si="1471"/>
        <v>-9.3083769374655234E-2</v>
      </c>
      <c r="DI261" s="65">
        <f t="shared" si="1471"/>
        <v>-0.11542676938526319</v>
      </c>
      <c r="DJ261" s="65">
        <f t="shared" si="1471"/>
        <v>0.30094764530077822</v>
      </c>
      <c r="DK261" s="1066">
        <f t="shared" si="1471"/>
        <v>7.2239934317296806E-2</v>
      </c>
      <c r="DL261" s="65">
        <f t="shared" si="1471"/>
        <v>0.2611736847074031</v>
      </c>
      <c r="DM261" s="65">
        <f t="shared" si="1471"/>
        <v>6.7900367193829192E-2</v>
      </c>
      <c r="DN261" s="1066">
        <f t="shared" si="1471"/>
        <v>0.15548148580934718</v>
      </c>
      <c r="DO261" s="65">
        <f t="shared" si="1471"/>
        <v>3.226624105165854E-2</v>
      </c>
      <c r="DP261" s="65">
        <f t="shared" ref="DP261:EF261" si="1472">DP260/DM260-1</f>
        <v>0.17502376071021852</v>
      </c>
      <c r="DQ261" s="1066">
        <f t="shared" si="1472"/>
        <v>0.10441647944257948</v>
      </c>
      <c r="DR261" s="65">
        <f t="shared" si="1472"/>
        <v>0.12284504163255838</v>
      </c>
      <c r="DS261" s="65">
        <f t="shared" si="1472"/>
        <v>8.6861867411912819E-2</v>
      </c>
      <c r="DT261" s="1066">
        <f t="shared" si="1472"/>
        <v>0.10349633148576487</v>
      </c>
      <c r="DU261" s="65">
        <f t="shared" si="1472"/>
        <v>3.3695577763914519E-2</v>
      </c>
      <c r="DV261" s="65">
        <f t="shared" ref="DV261" si="1473">DV260/DS260-1</f>
        <v>3.9974664100412172E-2</v>
      </c>
      <c r="DW261" s="1066">
        <f t="shared" ref="DW261" si="1474">DW260/DT260-1</f>
        <v>3.7021043364992012E-2</v>
      </c>
      <c r="DX261" s="65">
        <f t="shared" si="1472"/>
        <v>-5.0224112199263482E-2</v>
      </c>
      <c r="DY261" s="65">
        <f t="shared" si="1472"/>
        <v>0.20561185597436538</v>
      </c>
      <c r="DZ261" s="1066">
        <f t="shared" si="1472"/>
        <v>8.5655030258897868E-2</v>
      </c>
      <c r="EA261" s="65">
        <f t="shared" si="1472"/>
        <v>0.25650850340136055</v>
      </c>
      <c r="EB261" s="65">
        <f t="shared" si="1472"/>
        <v>6.9083151837008083E-2</v>
      </c>
      <c r="EC261" s="1066">
        <f t="shared" si="1472"/>
        <v>0.14596449954628321</v>
      </c>
      <c r="ED261" s="65">
        <f t="shared" si="1472"/>
        <v>8.7890656405355871E-2</v>
      </c>
      <c r="EE261" s="65">
        <f t="shared" si="1472"/>
        <v>8.7897947004524912E-2</v>
      </c>
      <c r="EF261" s="1066">
        <f t="shared" si="1472"/>
        <v>8.7894667938635651E-2</v>
      </c>
      <c r="EG261" s="65">
        <f t="shared" ref="EG261:EL261" si="1475">EG260/ED260-1</f>
        <v>9.000000000000008E-2</v>
      </c>
      <c r="EH261" s="65">
        <f t="shared" si="1475"/>
        <v>9.0000000000000524E-2</v>
      </c>
      <c r="EI261" s="1066">
        <f t="shared" si="1475"/>
        <v>9.0000000000000302E-2</v>
      </c>
      <c r="EJ261" s="65">
        <f t="shared" si="1475"/>
        <v>9.000000000000008E-2</v>
      </c>
      <c r="EK261" s="65">
        <f t="shared" si="1475"/>
        <v>8.9999999999999858E-2</v>
      </c>
      <c r="EL261" s="1066">
        <f t="shared" si="1475"/>
        <v>8.9999999999999858E-2</v>
      </c>
      <c r="EM261" s="65">
        <f t="shared" ref="EM261:ER261" si="1476">EM260/EJ260-1</f>
        <v>8.9999999999999858E-2</v>
      </c>
      <c r="EN261" s="65">
        <f t="shared" si="1476"/>
        <v>9.000000000000008E-2</v>
      </c>
      <c r="EO261" s="1066">
        <f t="shared" si="1476"/>
        <v>9.000000000000008E-2</v>
      </c>
      <c r="EP261" s="65">
        <f t="shared" si="1476"/>
        <v>9.000000000000008E-2</v>
      </c>
      <c r="EQ261" s="65">
        <f t="shared" si="1476"/>
        <v>9.000000000000008E-2</v>
      </c>
      <c r="ER261" s="1066">
        <f t="shared" si="1476"/>
        <v>9.000000000000008E-2</v>
      </c>
      <c r="ES261" s="65">
        <f t="shared" ref="ES261" si="1477">ES260/EP260-1</f>
        <v>9.0000000000000302E-2</v>
      </c>
      <c r="ET261" s="65">
        <f t="shared" ref="ET261" si="1478">ET260/EQ260-1</f>
        <v>9.000000000000008E-2</v>
      </c>
      <c r="EU261" s="1066">
        <f t="shared" ref="EU261" si="1479">EU260/ER260-1</f>
        <v>9.0000000000000302E-2</v>
      </c>
      <c r="EV261" s="65">
        <f t="shared" ref="EV261" si="1480">EV260/ES260-1</f>
        <v>9.000000000000008E-2</v>
      </c>
      <c r="EW261" s="65">
        <f t="shared" ref="EW261" si="1481">EW260/ET260-1</f>
        <v>8.9999999999999858E-2</v>
      </c>
      <c r="EX261" s="1066">
        <f t="shared" ref="EX261" si="1482">EX260/EU260-1</f>
        <v>9.000000000000008E-2</v>
      </c>
      <c r="EY261" s="65">
        <f t="shared" ref="EY261" si="1483">EY260/EV260-1</f>
        <v>9.000000000000008E-2</v>
      </c>
      <c r="EZ261" s="65">
        <f t="shared" ref="EZ261" si="1484">EZ260/EW260-1</f>
        <v>9.000000000000008E-2</v>
      </c>
      <c r="FA261" s="1066">
        <f t="shared" ref="FA261" si="1485">FA260/EX260-1</f>
        <v>9.000000000000008E-2</v>
      </c>
    </row>
    <row r="262" spans="1:173" outlineLevel="1">
      <c r="B262" s="83"/>
      <c r="C262" s="83"/>
      <c r="D262" s="162" t="s">
        <v>604</v>
      </c>
      <c r="BA262" s="70"/>
      <c r="BB262" s="70"/>
      <c r="BC262" s="1024"/>
      <c r="BD262" s="70">
        <f>BD260/BD78</f>
        <v>39.4</v>
      </c>
      <c r="BE262" s="70">
        <f>BE260/BE78</f>
        <v>47.9</v>
      </c>
      <c r="BF262" s="1024">
        <f>BD262+BE262</f>
        <v>87.3</v>
      </c>
      <c r="BG262" s="70">
        <f>BG260/BG78</f>
        <v>42.099999999999994</v>
      </c>
      <c r="BH262" s="70">
        <f>BH260/BH78</f>
        <v>48.746712650926533</v>
      </c>
      <c r="BI262" s="1024">
        <f>BG262+BH262</f>
        <v>90.84671265092652</v>
      </c>
      <c r="BJ262" s="70">
        <f>BJ260/BJ78</f>
        <v>40.418469866666676</v>
      </c>
      <c r="BK262" s="70">
        <f>BK260/BK78</f>
        <v>52.850057306154014</v>
      </c>
      <c r="BL262" s="1024">
        <f>BJ262+BK262</f>
        <v>93.268527172820683</v>
      </c>
      <c r="BM262" s="70">
        <f>BM260/BM78</f>
        <v>71.91695058143948</v>
      </c>
      <c r="BN262" s="70">
        <f>BN260/BN78</f>
        <v>69.181241904850779</v>
      </c>
      <c r="BO262" s="1024">
        <f>BM262+BN262</f>
        <v>141.09819248629026</v>
      </c>
      <c r="BP262" s="70">
        <f>BP272+BP284+BP291</f>
        <v>81.402047298918376</v>
      </c>
      <c r="BQ262" s="70">
        <f>BQ272+BQ284+BQ291</f>
        <v>91.284115400708117</v>
      </c>
      <c r="BR262" s="1024">
        <f>BP262+BQ262</f>
        <v>172.68616269962649</v>
      </c>
      <c r="BS262" s="70">
        <f>BS272+BS284+BS291</f>
        <v>103.66100000000003</v>
      </c>
      <c r="BT262" s="70">
        <f>BT272+BT284+BT291</f>
        <v>109.33099999999999</v>
      </c>
      <c r="BU262" s="70">
        <f>BS262+BT262</f>
        <v>212.99200000000002</v>
      </c>
      <c r="BV262" s="70">
        <f>BV272+BV284+BV291</f>
        <v>122.33999999999997</v>
      </c>
      <c r="BW262" s="70">
        <f>BW272+BW284+BW291</f>
        <v>134.864</v>
      </c>
      <c r="BX262" s="70">
        <f>BV262+BW262</f>
        <v>257.20399999999995</v>
      </c>
      <c r="BY262" s="74">
        <f>BY272+BY284+BY291</f>
        <v>153.03500000000003</v>
      </c>
      <c r="BZ262" s="74">
        <f>BZ272+BZ284+BZ291</f>
        <v>165.86407930632748</v>
      </c>
      <c r="CA262" s="74">
        <f>BY262+BZ262</f>
        <v>318.89907930632751</v>
      </c>
      <c r="CB262" s="74">
        <f>CB272+CB284+CB291</f>
        <v>141.65127317849581</v>
      </c>
      <c r="CC262" s="74">
        <f>CC272+CC284+CC291</f>
        <v>149.80495750343681</v>
      </c>
      <c r="CD262" s="74">
        <f>CB262+CC262</f>
        <v>291.45623068193265</v>
      </c>
      <c r="CE262" s="74">
        <f>CE272+CE284+CE291</f>
        <v>136.48341472738267</v>
      </c>
      <c r="CF262" s="74">
        <f>CF272+CF284+CF291</f>
        <v>156.84796525965757</v>
      </c>
      <c r="CG262" s="70">
        <f>CE262+CF262</f>
        <v>293.33137998704024</v>
      </c>
      <c r="CH262" s="74">
        <f>CH272+CH284+CH291</f>
        <v>142.53402894437241</v>
      </c>
      <c r="CI262" s="74">
        <f>CI272+CI284+CI291</f>
        <v>142.15717988439917</v>
      </c>
      <c r="CJ262" s="70">
        <f>CH262+CI262</f>
        <v>284.69120882877155</v>
      </c>
      <c r="CK262" s="74">
        <f>CK272+CK284+CK291</f>
        <v>140.1337479621574</v>
      </c>
      <c r="CL262" s="74">
        <f>CL272+CL284+CL291</f>
        <v>142.88915317012277</v>
      </c>
      <c r="CM262" s="70">
        <f>CK262+CL262</f>
        <v>283.02290113228014</v>
      </c>
      <c r="CN262" s="70">
        <f>CN272+CN284+CN291</f>
        <v>169.14700000000002</v>
      </c>
      <c r="CO262" s="74">
        <f>CO272+CO284+CO291</f>
        <v>189.31246728727723</v>
      </c>
      <c r="CP262" s="70">
        <f>CN262+CO262</f>
        <v>358.45946728727722</v>
      </c>
      <c r="CQ262" s="70">
        <f>CQ272+CQ284+CQ291</f>
        <v>181.59900000000002</v>
      </c>
      <c r="CR262" s="70">
        <f>CR272+CR284+CR291</f>
        <v>196.03299999999987</v>
      </c>
      <c r="CS262" s="70">
        <f>CQ262+CR262</f>
        <v>377.63199999999989</v>
      </c>
      <c r="CT262" s="70">
        <f>CT272+CT284+CT291</f>
        <v>210.42000000000007</v>
      </c>
      <c r="CU262" s="70">
        <f>CU272+CU284+CU291</f>
        <v>216.79367478718441</v>
      </c>
      <c r="CV262" s="70">
        <f>CT262+CU262</f>
        <v>427.21367478718446</v>
      </c>
      <c r="CW262" s="70">
        <f>CW272+CW284+CW291</f>
        <v>207.93084614446565</v>
      </c>
      <c r="CX262" s="70">
        <f>CX272+CX284+CX291</f>
        <v>220.59924270347557</v>
      </c>
      <c r="CY262" s="70">
        <f>CW262+CX262</f>
        <v>428.53008884794122</v>
      </c>
      <c r="CZ262" s="70">
        <f>CZ272+CZ284+CZ291</f>
        <v>216.64801588843471</v>
      </c>
      <c r="DA262" s="70">
        <f>DA272+DA284+DA291</f>
        <v>253.57626191167182</v>
      </c>
      <c r="DB262" s="1024">
        <f>CZ262+DA262</f>
        <v>470.22427780010651</v>
      </c>
      <c r="DC262" s="70">
        <f>DC272+DC284+DC291</f>
        <v>247.48985048680964</v>
      </c>
      <c r="DD262" s="70">
        <f>DD272+DD284+DD291</f>
        <v>270.50546928892379</v>
      </c>
      <c r="DE262" s="70">
        <f>DC262+DD262</f>
        <v>517.99531977573338</v>
      </c>
      <c r="DF262" s="70">
        <f>DF272+DF284+DF291</f>
        <v>261.32707543269834</v>
      </c>
      <c r="DG262" s="70">
        <f>DG272+DG284+DG291</f>
        <v>221.00965025852128</v>
      </c>
      <c r="DH262" s="1125">
        <f>DF262+DG262</f>
        <v>482.33672569121961</v>
      </c>
      <c r="DI262" s="1129">
        <v>237.6</v>
      </c>
      <c r="DJ262" s="1130">
        <f>+DK262-DI262</f>
        <v>280.10000000000002</v>
      </c>
      <c r="DK262" s="1125">
        <v>517.70000000000005</v>
      </c>
      <c r="DL262" s="1129">
        <v>286.8</v>
      </c>
      <c r="DM262" s="1130">
        <f>+DN262-DL262</f>
        <v>291.7</v>
      </c>
      <c r="DN262" s="1115">
        <v>578.5</v>
      </c>
      <c r="DO262" s="1129">
        <v>286.7</v>
      </c>
      <c r="DP262" s="1130">
        <f>+DQ262-DO262</f>
        <v>352.7</v>
      </c>
      <c r="DQ262" s="1125">
        <v>639.4</v>
      </c>
      <c r="DR262" s="1129">
        <v>352.5</v>
      </c>
      <c r="DS262" s="1130">
        <f>+DT262-DR262</f>
        <v>393.1</v>
      </c>
      <c r="DT262" s="1125">
        <v>745.6</v>
      </c>
      <c r="DU262" s="1129">
        <v>360.2</v>
      </c>
      <c r="DV262" s="1130">
        <f>+DW262-DU262</f>
        <v>429.50000000000006</v>
      </c>
      <c r="DW262" s="1125">
        <v>789.7</v>
      </c>
      <c r="DX262" s="1129">
        <v>371.7</v>
      </c>
      <c r="DY262" s="1130">
        <f>DY272+DY284+DY291</f>
        <v>499.79270196035424</v>
      </c>
      <c r="DZ262" s="1115">
        <f>DX262+DY262</f>
        <v>871.49270196035422</v>
      </c>
      <c r="EA262" s="1130">
        <f>EA272+EA284+EA291</f>
        <v>436.76783041225252</v>
      </c>
      <c r="EB262" s="1130">
        <f>EB272+EB284+EB291</f>
        <v>534.33440773847428</v>
      </c>
      <c r="EC262" s="1115">
        <f>EA262+EB262</f>
        <v>971.10223815072686</v>
      </c>
      <c r="ED262" s="1130">
        <f>ED272+ED284+ED291</f>
        <v>475.16730972901439</v>
      </c>
      <c r="EE262" s="1130">
        <f>EE272+EE284+EE291</f>
        <v>581.31553601962753</v>
      </c>
      <c r="EF262" s="1115">
        <f>ED262+EE262</f>
        <v>1056.4828457486419</v>
      </c>
      <c r="EG262" s="1130">
        <f>EG272+EG284+EG291</f>
        <v>517.93236760462571</v>
      </c>
      <c r="EH262" s="1130">
        <f>EH272+EH284+EH291</f>
        <v>633.63393426139407</v>
      </c>
      <c r="EI262" s="1115">
        <f>EG262+EH262</f>
        <v>1151.5663018660198</v>
      </c>
      <c r="EJ262" s="1130">
        <f>EJ272+EJ284+EJ291</f>
        <v>564.54628068904208</v>
      </c>
      <c r="EK262" s="1130">
        <f>EK272+EK284+EK291</f>
        <v>690.66098834491959</v>
      </c>
      <c r="EL262" s="1115">
        <f>EJ262+EK262</f>
        <v>1255.2072690339617</v>
      </c>
      <c r="EM262" s="1130">
        <f>EM272+EM284+EM291</f>
        <v>615.3554459510558</v>
      </c>
      <c r="EN262" s="1130">
        <f>EN272+EN284+EN291</f>
        <v>752.82047729596241</v>
      </c>
      <c r="EO262" s="1115">
        <f>EM262+EN262</f>
        <v>1368.1759232470181</v>
      </c>
      <c r="EP262" s="1130">
        <f>EP272+EP284+EP291</f>
        <v>670.73743608665097</v>
      </c>
      <c r="EQ262" s="1130">
        <f>EQ272+EQ284+EQ291</f>
        <v>820.57432025259914</v>
      </c>
      <c r="ER262" s="1115">
        <f>EP262+EQ262</f>
        <v>1491.3117563392502</v>
      </c>
      <c r="ES262" s="1130">
        <f>ES272+ES284+ES291</f>
        <v>731.10380533444959</v>
      </c>
      <c r="ET262" s="1130">
        <f>ET272+ET284+ET291</f>
        <v>894.42600907533313</v>
      </c>
      <c r="EU262" s="1115">
        <f>ES262+ET262</f>
        <v>1625.5298144097828</v>
      </c>
      <c r="EV262" s="1130">
        <f>EV272+EV284+EV291</f>
        <v>796.90314781455015</v>
      </c>
      <c r="EW262" s="1130">
        <f>EW272+EW284+EW291</f>
        <v>974.92434989211301</v>
      </c>
      <c r="EX262" s="1115">
        <f>EV262+EW262</f>
        <v>1771.8274977066631</v>
      </c>
      <c r="EY262" s="1130">
        <f>EY272+EY284+EY291</f>
        <v>868.62443111785979</v>
      </c>
      <c r="EZ262" s="1130">
        <f>EZ272+EZ284+EZ291</f>
        <v>1062.6675413824034</v>
      </c>
      <c r="FA262" s="1115">
        <f>EY262+EZ262</f>
        <v>1931.2919725002632</v>
      </c>
    </row>
    <row r="263" spans="1:173" outlineLevel="1">
      <c r="B263" s="83"/>
      <c r="C263" s="83"/>
      <c r="D263" s="162" t="s">
        <v>209</v>
      </c>
      <c r="BA263" s="70"/>
      <c r="BB263" s="70"/>
      <c r="BC263" s="1024"/>
      <c r="BD263" s="65"/>
      <c r="BE263" s="65"/>
      <c r="BF263" s="65"/>
      <c r="BG263" s="65">
        <f t="shared" ref="BG263:CL263" si="1486">BG262/BD262-1</f>
        <v>6.8527918781725816E-2</v>
      </c>
      <c r="BH263" s="65">
        <f t="shared" si="1486"/>
        <v>1.7676673297004841E-2</v>
      </c>
      <c r="BI263" s="65">
        <f t="shared" si="1486"/>
        <v>4.0626719941884604E-2</v>
      </c>
      <c r="BJ263" s="65">
        <f t="shared" si="1486"/>
        <v>-3.994133333333294E-2</v>
      </c>
      <c r="BK263" s="65">
        <f t="shared" si="1486"/>
        <v>8.4176848695652229E-2</v>
      </c>
      <c r="BL263" s="65">
        <f t="shared" si="1486"/>
        <v>2.6658251589134041E-2</v>
      </c>
      <c r="BM263" s="65">
        <f t="shared" si="1486"/>
        <v>0.77930908366102614</v>
      </c>
      <c r="BN263" s="65">
        <f t="shared" si="1486"/>
        <v>0.30900978033178239</v>
      </c>
      <c r="BO263" s="65">
        <f t="shared" si="1486"/>
        <v>0.51281677499682421</v>
      </c>
      <c r="BP263" s="65">
        <f t="shared" si="1486"/>
        <v>0.13188958431625775</v>
      </c>
      <c r="BQ263" s="65">
        <f t="shared" si="1486"/>
        <v>0.31949229136789392</v>
      </c>
      <c r="BR263" s="65">
        <f t="shared" si="1486"/>
        <v>0.2238722527675574</v>
      </c>
      <c r="BS263" s="65">
        <f t="shared" si="1486"/>
        <v>0.27344462995315122</v>
      </c>
      <c r="BT263" s="65">
        <f t="shared" si="1486"/>
        <v>0.19770016415311487</v>
      </c>
      <c r="BU263" s="65">
        <f t="shared" si="1486"/>
        <v>0.23340513605877189</v>
      </c>
      <c r="BV263" s="65">
        <f t="shared" si="1486"/>
        <v>0.18019312952797994</v>
      </c>
      <c r="BW263" s="65">
        <f t="shared" si="1486"/>
        <v>0.23353852063916025</v>
      </c>
      <c r="BX263" s="65">
        <f t="shared" si="1486"/>
        <v>0.20757587139423039</v>
      </c>
      <c r="BY263" s="65">
        <f t="shared" si="1486"/>
        <v>0.25089913356220417</v>
      </c>
      <c r="BZ263" s="65">
        <f t="shared" si="1486"/>
        <v>0.22986178154531589</v>
      </c>
      <c r="CA263" s="65">
        <f t="shared" si="1486"/>
        <v>0.2398682730685664</v>
      </c>
      <c r="CB263" s="65">
        <f t="shared" si="1486"/>
        <v>-7.4386426774948333E-2</v>
      </c>
      <c r="CC263" s="65">
        <f t="shared" si="1486"/>
        <v>-9.6820974559728157E-2</v>
      </c>
      <c r="CD263" s="65">
        <f t="shared" si="1486"/>
        <v>-8.6054963482769531E-2</v>
      </c>
      <c r="CE263" s="65">
        <f t="shared" si="1486"/>
        <v>-3.6482965067324846E-2</v>
      </c>
      <c r="CF263" s="65">
        <f t="shared" si="1486"/>
        <v>4.7014517233578079E-2</v>
      </c>
      <c r="CG263" s="65">
        <f t="shared" si="1486"/>
        <v>6.4337252311272852E-3</v>
      </c>
      <c r="CH263" s="65">
        <f t="shared" si="1486"/>
        <v>4.4332230616265456E-2</v>
      </c>
      <c r="CI263" s="65">
        <f t="shared" si="1486"/>
        <v>-9.3662581793383159E-2</v>
      </c>
      <c r="CJ263" s="65">
        <f t="shared" si="1486"/>
        <v>-2.9455325095632201E-2</v>
      </c>
      <c r="CK263" s="65">
        <f t="shared" si="1486"/>
        <v>-1.6840055669455456E-2</v>
      </c>
      <c r="CL263" s="65">
        <f t="shared" si="1486"/>
        <v>5.149041971139523E-3</v>
      </c>
      <c r="CM263" s="65">
        <f t="shared" ref="CM263:DR263" si="1487">CM262/CJ262-1</f>
        <v>-5.8600604611391827E-3</v>
      </c>
      <c r="CN263" s="65">
        <f t="shared" si="1487"/>
        <v>0.20703972069367294</v>
      </c>
      <c r="CO263" s="65">
        <f t="shared" si="1487"/>
        <v>0.3248903999163828</v>
      </c>
      <c r="CP263" s="65">
        <f t="shared" si="1487"/>
        <v>0.26653873539279171</v>
      </c>
      <c r="CQ263" s="65">
        <f t="shared" si="1487"/>
        <v>7.3616440137868278E-2</v>
      </c>
      <c r="CR263" s="65">
        <f t="shared" si="1487"/>
        <v>3.5499683718792863E-2</v>
      </c>
      <c r="CS263" s="65">
        <f t="shared" si="1487"/>
        <v>5.3485915319283261E-2</v>
      </c>
      <c r="CT263" s="65">
        <f t="shared" si="1487"/>
        <v>0.15870682107280354</v>
      </c>
      <c r="CU263" s="65">
        <f t="shared" si="1487"/>
        <v>0.10590397936666052</v>
      </c>
      <c r="CV263" s="65">
        <f t="shared" si="1487"/>
        <v>0.13129627464617566</v>
      </c>
      <c r="CW263" s="65">
        <f t="shared" si="1487"/>
        <v>-1.1829454688406127E-2</v>
      </c>
      <c r="CX263" s="65">
        <f t="shared" si="1487"/>
        <v>1.755386968751238E-2</v>
      </c>
      <c r="CY263" s="65">
        <f t="shared" si="1487"/>
        <v>3.0813949516306227E-3</v>
      </c>
      <c r="CZ263" s="65">
        <f t="shared" si="1487"/>
        <v>4.1923408217713787E-2</v>
      </c>
      <c r="DA263" s="65">
        <f t="shared" si="1487"/>
        <v>0.14948836090304818</v>
      </c>
      <c r="DB263" s="65">
        <f t="shared" si="1487"/>
        <v>9.7295825980984851E-2</v>
      </c>
      <c r="DC263" s="65">
        <f t="shared" si="1487"/>
        <v>0.1423591832673754</v>
      </c>
      <c r="DD263" s="65">
        <f t="shared" si="1487"/>
        <v>6.6761798796248994E-2</v>
      </c>
      <c r="DE263" s="65">
        <f t="shared" si="1487"/>
        <v>0.10159203646208681</v>
      </c>
      <c r="DF263" s="65">
        <f t="shared" si="1487"/>
        <v>5.5910272355294666E-2</v>
      </c>
      <c r="DG263" s="65">
        <f t="shared" si="1487"/>
        <v>-0.18297529865296958</v>
      </c>
      <c r="DH263" s="1066">
        <f t="shared" si="1487"/>
        <v>-6.8839606697512656E-2</v>
      </c>
      <c r="DI263" s="65">
        <f t="shared" si="1487"/>
        <v>-9.0794554653059523E-2</v>
      </c>
      <c r="DJ263" s="65">
        <f t="shared" si="1487"/>
        <v>0.26736547328299509</v>
      </c>
      <c r="DK263" s="1066">
        <f t="shared" si="1487"/>
        <v>7.3316569991850766E-2</v>
      </c>
      <c r="DL263" s="65">
        <f t="shared" si="1487"/>
        <v>0.20707070707070718</v>
      </c>
      <c r="DM263" s="65">
        <f t="shared" si="1487"/>
        <v>4.1413780792573851E-2</v>
      </c>
      <c r="DN263" s="1066">
        <f t="shared" si="1487"/>
        <v>0.11744253428626616</v>
      </c>
      <c r="DO263" s="65">
        <f t="shared" si="1487"/>
        <v>-3.4867503486757379E-4</v>
      </c>
      <c r="DP263" s="65">
        <f t="shared" si="1487"/>
        <v>0.20911895783339052</v>
      </c>
      <c r="DQ263" s="1066">
        <f t="shared" si="1487"/>
        <v>0.10527225583405353</v>
      </c>
      <c r="DR263" s="65">
        <f t="shared" si="1487"/>
        <v>0.22950819672131151</v>
      </c>
      <c r="DS263" s="65">
        <f t="shared" ref="DS263:EF263" si="1488">DS262/DP262-1</f>
        <v>0.11454493904167862</v>
      </c>
      <c r="DT263" s="1066">
        <f t="shared" si="1488"/>
        <v>0.16609321238661257</v>
      </c>
      <c r="DU263" s="65">
        <f t="shared" si="1488"/>
        <v>2.184397163120555E-2</v>
      </c>
      <c r="DV263" s="65">
        <f t="shared" ref="DV263" si="1489">DV262/DS262-1</f>
        <v>9.259730348511841E-2</v>
      </c>
      <c r="DW263" s="1066">
        <f t="shared" ref="DW263" si="1490">DW262/DT262-1</f>
        <v>5.9146995708154515E-2</v>
      </c>
      <c r="DX263" s="65">
        <f t="shared" si="1488"/>
        <v>3.1926707384786202E-2</v>
      </c>
      <c r="DY263" s="65">
        <f t="shared" si="1488"/>
        <v>0.16366170421502724</v>
      </c>
      <c r="DZ263" s="1066">
        <f t="shared" si="1488"/>
        <v>0.10357439782240618</v>
      </c>
      <c r="EA263" s="65">
        <f t="shared" si="1488"/>
        <v>0.17505469575532029</v>
      </c>
      <c r="EB263" s="65">
        <f t="shared" si="1488"/>
        <v>6.9112065147481916E-2</v>
      </c>
      <c r="EC263" s="1066">
        <f t="shared" si="1488"/>
        <v>0.1142976136992413</v>
      </c>
      <c r="ED263" s="65">
        <f t="shared" si="1488"/>
        <v>8.7917370838684894E-2</v>
      </c>
      <c r="EE263" s="65">
        <f t="shared" si="1488"/>
        <v>8.7924579815095383E-2</v>
      </c>
      <c r="EF263" s="1066">
        <f t="shared" si="1488"/>
        <v>8.792133746958064E-2</v>
      </c>
      <c r="EG263" s="65">
        <f t="shared" ref="EG263:EL263" si="1491">EG262/ED262-1</f>
        <v>9.000000000000008E-2</v>
      </c>
      <c r="EH263" s="65">
        <f t="shared" si="1491"/>
        <v>9.000000000000008E-2</v>
      </c>
      <c r="EI263" s="1066">
        <f t="shared" si="1491"/>
        <v>9.000000000000008E-2</v>
      </c>
      <c r="EJ263" s="65">
        <f t="shared" si="1491"/>
        <v>9.000000000000008E-2</v>
      </c>
      <c r="EK263" s="65">
        <f t="shared" si="1491"/>
        <v>9.000000000000008E-2</v>
      </c>
      <c r="EL263" s="1066">
        <f t="shared" si="1491"/>
        <v>9.000000000000008E-2</v>
      </c>
      <c r="EM263" s="65">
        <f t="shared" ref="EM263:ER263" si="1492">EM262/EJ262-1</f>
        <v>8.9999999999999858E-2</v>
      </c>
      <c r="EN263" s="65">
        <f t="shared" si="1492"/>
        <v>9.000000000000008E-2</v>
      </c>
      <c r="EO263" s="1066">
        <f t="shared" si="1492"/>
        <v>8.9999999999999858E-2</v>
      </c>
      <c r="EP263" s="65">
        <f t="shared" si="1492"/>
        <v>9.0000000000000302E-2</v>
      </c>
      <c r="EQ263" s="65">
        <f t="shared" si="1492"/>
        <v>9.000000000000008E-2</v>
      </c>
      <c r="ER263" s="1066">
        <f t="shared" si="1492"/>
        <v>9.0000000000000302E-2</v>
      </c>
      <c r="ES263" s="65">
        <f t="shared" ref="ES263" si="1493">ES262/EP262-1</f>
        <v>9.000000000000008E-2</v>
      </c>
      <c r="ET263" s="65">
        <f t="shared" ref="ET263" si="1494">ET262/EQ262-1</f>
        <v>9.000000000000008E-2</v>
      </c>
      <c r="EU263" s="1066">
        <f t="shared" ref="EU263" si="1495">EU262/ER262-1</f>
        <v>9.000000000000008E-2</v>
      </c>
      <c r="EV263" s="65">
        <f t="shared" ref="EV263" si="1496">EV262/ES262-1</f>
        <v>9.000000000000008E-2</v>
      </c>
      <c r="EW263" s="65">
        <f t="shared" ref="EW263" si="1497">EW262/ET262-1</f>
        <v>8.9999999999999858E-2</v>
      </c>
      <c r="EX263" s="1066">
        <f t="shared" ref="EX263" si="1498">EX262/EU262-1</f>
        <v>8.9999999999999858E-2</v>
      </c>
      <c r="EY263" s="65">
        <f t="shared" ref="EY263" si="1499">EY262/EV262-1</f>
        <v>9.000000000000008E-2</v>
      </c>
      <c r="EZ263" s="65">
        <f t="shared" ref="EZ263" si="1500">EZ262/EW262-1</f>
        <v>9.0000000000000302E-2</v>
      </c>
      <c r="FA263" s="1066">
        <f t="shared" ref="FA263" si="1501">FA262/EX262-1</f>
        <v>9.0000000000000302E-2</v>
      </c>
    </row>
    <row r="264" spans="1:173" outlineLevel="1">
      <c r="A264" s="1426" t="s">
        <v>396</v>
      </c>
      <c r="BA264" s="35"/>
      <c r="BB264" s="35"/>
      <c r="BC264" s="322"/>
      <c r="BD264" s="70"/>
      <c r="BE264" s="70"/>
      <c r="BF264" s="1024"/>
      <c r="BG264" s="70"/>
      <c r="BH264" s="70"/>
      <c r="BI264" s="1024"/>
      <c r="BJ264" s="70"/>
      <c r="BK264" s="70"/>
      <c r="BL264" s="1024"/>
      <c r="BM264" s="70"/>
      <c r="BN264" s="70"/>
      <c r="BO264" s="1024"/>
      <c r="BP264" s="70"/>
      <c r="BQ264" s="70"/>
      <c r="BR264" s="1024"/>
      <c r="BS264" s="74">
        <v>103.661</v>
      </c>
      <c r="BT264" s="74">
        <f>BU264-BS264</f>
        <v>109.33099999999999</v>
      </c>
      <c r="BU264" s="74">
        <f>212.992</f>
        <v>212.99199999999999</v>
      </c>
      <c r="BV264" s="74">
        <v>122.34</v>
      </c>
      <c r="BW264" s="74">
        <f>BX264-BV264</f>
        <v>134.864</v>
      </c>
      <c r="BX264" s="74">
        <v>257.20400000000001</v>
      </c>
      <c r="BY264" s="74">
        <v>153.053</v>
      </c>
      <c r="BZ264" s="74">
        <f>CA264-BY264</f>
        <v>165.86399999999998</v>
      </c>
      <c r="CA264" s="74">
        <v>318.91699999999997</v>
      </c>
      <c r="CB264" s="74">
        <v>141.65100000000001</v>
      </c>
      <c r="CC264" s="74">
        <f>CD264-CB264</f>
        <v>149.80500000000001</v>
      </c>
      <c r="CD264" s="74">
        <v>291.45600000000002</v>
      </c>
      <c r="CE264" s="74">
        <v>136.483</v>
      </c>
      <c r="CF264" s="74">
        <f>CG264-CE264</f>
        <v>156.84800000000001</v>
      </c>
      <c r="CG264" s="74">
        <v>293.33100000000002</v>
      </c>
      <c r="CH264" s="74">
        <v>142.53399999999999</v>
      </c>
      <c r="CI264" s="74">
        <f>CJ264-CH264</f>
        <v>142.15699999999998</v>
      </c>
      <c r="CJ264" s="74">
        <v>284.69099999999997</v>
      </c>
      <c r="CK264" s="74">
        <v>140.13399999999999</v>
      </c>
      <c r="CL264" s="74">
        <f>CM264-CK264</f>
        <v>142.88900000000004</v>
      </c>
      <c r="CM264" s="74">
        <v>283.02300000000002</v>
      </c>
      <c r="CN264" s="74">
        <v>169.14699999999999</v>
      </c>
      <c r="CO264" s="74">
        <f>CP264-CN264</f>
        <v>189.31200000000001</v>
      </c>
      <c r="CP264" s="74">
        <f>358.459</f>
        <v>358.459</v>
      </c>
      <c r="CQ264" s="74">
        <v>181.6</v>
      </c>
      <c r="CR264" s="74">
        <f>+CS264-CQ264</f>
        <v>196.03299999999999</v>
      </c>
      <c r="CS264" s="74">
        <v>377.63299999999998</v>
      </c>
      <c r="CT264" s="74"/>
      <c r="CU264" s="35"/>
      <c r="CV264" s="35">
        <v>427.89600000000002</v>
      </c>
      <c r="CW264" s="35"/>
      <c r="CX264" s="35"/>
      <c r="CZ264" s="35"/>
      <c r="DA264" s="35"/>
      <c r="DC264" s="35">
        <v>248.4</v>
      </c>
      <c r="DD264" s="35"/>
      <c r="DF264" s="35"/>
      <c r="DG264" s="35"/>
      <c r="DH264" s="1067"/>
      <c r="DI264" s="1573"/>
      <c r="DJ264" s="35"/>
      <c r="DK264" s="1067"/>
      <c r="DL264" s="35"/>
      <c r="DM264" s="1025"/>
      <c r="DN264" s="1106"/>
      <c r="DO264" s="35"/>
      <c r="DP264" s="35"/>
      <c r="DQ264" s="1067"/>
      <c r="DR264" s="35"/>
      <c r="DS264" s="35"/>
      <c r="DT264" s="1067"/>
      <c r="DU264" s="35"/>
      <c r="DV264" s="35"/>
      <c r="DW264" s="1067"/>
      <c r="DX264" s="35"/>
      <c r="DY264" s="35"/>
      <c r="DZ264" s="1067"/>
      <c r="EA264" s="35"/>
      <c r="EB264" s="35"/>
      <c r="EC264" s="1067"/>
      <c r="ED264" s="35"/>
      <c r="EE264" s="35"/>
      <c r="EF264" s="1067"/>
      <c r="EG264" s="35"/>
      <c r="EH264" s="35"/>
      <c r="EI264" s="1067"/>
      <c r="EJ264" s="35"/>
      <c r="EK264" s="35"/>
      <c r="EL264" s="1067"/>
      <c r="EM264" s="35"/>
      <c r="EN264" s="35"/>
      <c r="EO264" s="1067"/>
      <c r="EP264" s="35"/>
      <c r="EQ264" s="35"/>
      <c r="ER264" s="1067"/>
      <c r="ES264" s="35"/>
      <c r="ET264" s="35"/>
      <c r="EU264" s="1067"/>
      <c r="EV264" s="35"/>
      <c r="EW264" s="35"/>
      <c r="EX264" s="1067"/>
      <c r="EY264" s="35"/>
      <c r="EZ264" s="35"/>
      <c r="FA264" s="1067"/>
    </row>
    <row r="265" spans="1:173" outlineLevel="1">
      <c r="B265" s="31" t="s">
        <v>789</v>
      </c>
      <c r="D265" s="306" t="s">
        <v>98</v>
      </c>
      <c r="BA265" s="163">
        <v>1100</v>
      </c>
      <c r="BB265" s="163">
        <v>1337.6479539299812</v>
      </c>
      <c r="BC265" s="56">
        <f>SUM(BA265:BB265)</f>
        <v>2437.6479539299812</v>
      </c>
      <c r="BD265" s="163">
        <f>BA265*(1+BD266)</f>
        <v>1298</v>
      </c>
      <c r="BE265" s="163">
        <v>1650.3978744050639</v>
      </c>
      <c r="BF265" s="56">
        <f>SUM(BD265:BE265)</f>
        <v>2948.3978744050637</v>
      </c>
      <c r="BG265" s="163">
        <f>BD265*(1+BG266)</f>
        <v>1479.7200000000003</v>
      </c>
      <c r="BH265" s="163">
        <f>BE265*(1+BH266)</f>
        <v>1732.9177681253173</v>
      </c>
      <c r="BI265" s="56">
        <f>SUM(BG265:BH265)</f>
        <v>3212.6377681253175</v>
      </c>
      <c r="BJ265" s="163">
        <f>BG265*(1+BJ266)</f>
        <v>1538.9088000000004</v>
      </c>
      <c r="BK265" s="163">
        <f>BH265*(1+BK266)</f>
        <v>1802.2344788503301</v>
      </c>
      <c r="BL265" s="56">
        <f>SUM(BJ265:BK265)</f>
        <v>3341.1432788503307</v>
      </c>
      <c r="BM265" s="163">
        <f>BJ265*(1+BM266)</f>
        <v>1679.3342280000004</v>
      </c>
      <c r="BN265" s="163">
        <f>BK265*(1+BN266)</f>
        <v>2076.1741196355802</v>
      </c>
      <c r="BO265" s="56">
        <f>SUM(BM265:BN265)</f>
        <v>3755.5083476355803</v>
      </c>
      <c r="BP265" s="163">
        <f>BM265*(1+BP266)</f>
        <v>2132.7544695600004</v>
      </c>
      <c r="BQ265" s="163">
        <f>BN265*(1+BQ266)</f>
        <v>2283.7915315991386</v>
      </c>
      <c r="BR265" s="56">
        <f>SUM(BP265:BQ265)</f>
        <v>4416.5460011591385</v>
      </c>
      <c r="BS265" s="163">
        <f>BP265*(1+BS266)</f>
        <v>2601.9604528632003</v>
      </c>
      <c r="BT265" s="163">
        <f>BQ265*(1+BT266)</f>
        <v>2809.0635838669405</v>
      </c>
      <c r="BU265" s="163">
        <f>SUM(BS265:BT265)</f>
        <v>5411.0240367301412</v>
      </c>
      <c r="BV265" s="163">
        <f>BS265*(1+BV266)</f>
        <v>3226.4309615503685</v>
      </c>
      <c r="BW265" s="163">
        <f>BT265*(1+BW266)</f>
        <v>3417.70339058339</v>
      </c>
      <c r="BX265" s="163">
        <f>SUM(BV265:BW265)</f>
        <v>6644.1343521337585</v>
      </c>
      <c r="BY265" s="163">
        <f>BV265*(1+BY266)</f>
        <v>3387.7525096278869</v>
      </c>
      <c r="BZ265" s="163">
        <f>BW265*(1+BZ266)</f>
        <v>3322.0076956470552</v>
      </c>
      <c r="CA265" s="163">
        <f>SUM(BY265:BZ265)</f>
        <v>6709.7602052749426</v>
      </c>
      <c r="CB265" s="163">
        <f>BY265*(1+CB266)</f>
        <v>3489.3850849167234</v>
      </c>
      <c r="CC265" s="163">
        <f>BZ265*(1+CC266)</f>
        <v>3815.3922786045559</v>
      </c>
      <c r="CD265" s="163">
        <f>SUM(CB265:CC265)</f>
        <v>7304.7773635212798</v>
      </c>
      <c r="CE265" s="163">
        <f>CB265*(1+CE266)</f>
        <v>4358.8371295954312</v>
      </c>
      <c r="CF265" s="163">
        <f>CF102</f>
        <v>4390.2989304132352</v>
      </c>
      <c r="CG265" s="163">
        <f>SUM(CE265:CF265)</f>
        <v>8749.1360600086664</v>
      </c>
      <c r="CH265" s="163">
        <f>CH102</f>
        <v>3881.5291311503056</v>
      </c>
      <c r="CI265" s="163">
        <f>CI102</f>
        <v>4208.8232451633703</v>
      </c>
      <c r="CJ265" s="163">
        <f>SUM(CH265:CI265)</f>
        <v>8090.3523763136764</v>
      </c>
      <c r="CK265" s="163">
        <f>CK102</f>
        <v>4347.3126268883425</v>
      </c>
      <c r="CL265" s="163">
        <f>CL102</f>
        <v>4419.2644074215386</v>
      </c>
      <c r="CM265" s="163">
        <f>SUM(CK265:CL265)</f>
        <v>8766.5770343098811</v>
      </c>
      <c r="CN265" s="163">
        <f>CN102</f>
        <v>4260.8108848441188</v>
      </c>
      <c r="CO265" s="163">
        <f>CO102</f>
        <v>5075.2510966929494</v>
      </c>
      <c r="CP265" s="163">
        <f>SUM(CN265:CO265)</f>
        <v>9336.0619815370683</v>
      </c>
      <c r="CQ265" s="163">
        <f>CQ102</f>
        <v>4431.2433202378834</v>
      </c>
      <c r="CR265" s="163">
        <f>CR102</f>
        <v>5430.5186734614563</v>
      </c>
      <c r="CS265" s="163">
        <f>SUM(CQ265:CR265)</f>
        <v>9861.7619936993397</v>
      </c>
      <c r="CT265" s="163">
        <f>CT102</f>
        <v>4874.3676522616724</v>
      </c>
      <c r="CU265" s="163">
        <f>CU102</f>
        <v>5756.3497938691444</v>
      </c>
      <c r="CV265" s="163">
        <f>SUM(CT265:CU265)</f>
        <v>10630.717446130817</v>
      </c>
      <c r="CW265" s="163">
        <f>CW102</f>
        <v>5361.8044174878405</v>
      </c>
      <c r="CX265" s="163">
        <f>CX102</f>
        <v>6331.9847732560593</v>
      </c>
      <c r="CY265" s="163">
        <f>SUM(CW265:CX265)</f>
        <v>11693.789190743901</v>
      </c>
      <c r="CZ265" s="163">
        <f>CZ102</f>
        <v>5254.5683291380838</v>
      </c>
      <c r="DA265" s="163">
        <f>DA102</f>
        <v>7914.9809665700741</v>
      </c>
      <c r="DB265" s="163">
        <f>SUM(CZ265:DA265)</f>
        <v>13169.549295708159</v>
      </c>
      <c r="DC265" s="163">
        <f>DC102</f>
        <v>5832.5708453432735</v>
      </c>
      <c r="DD265" s="163">
        <f>DD102</f>
        <v>7281.7824892444687</v>
      </c>
      <c r="DE265" s="163">
        <f>SUM(DC265:DD265)</f>
        <v>13114.353334587742</v>
      </c>
      <c r="DF265" s="163">
        <f>DF102</f>
        <v>6619.9679094646153</v>
      </c>
      <c r="DG265" s="163">
        <f>DG102</f>
        <v>5461.3368669333513</v>
      </c>
      <c r="DH265" s="1070">
        <f>SUM(DF265:DG265)</f>
        <v>12081.304776397967</v>
      </c>
      <c r="DI265" s="233">
        <f>DI102</f>
        <v>5558.3941841680125</v>
      </c>
      <c r="DJ265" s="233">
        <f>DJ102</f>
        <v>7120.6234510326458</v>
      </c>
      <c r="DK265" s="1070">
        <f>SUM(DI265:DJ265)</f>
        <v>12679.017635200658</v>
      </c>
      <c r="DL265" s="233">
        <f>DL102</f>
        <v>6542.262234760211</v>
      </c>
      <c r="DM265" s="233">
        <f>DM102</f>
        <v>6917.7195446839432</v>
      </c>
      <c r="DN265" s="1070">
        <f>SUM(DL265:DM265)</f>
        <v>13459.981779444155</v>
      </c>
      <c r="DO265" s="233">
        <f>DO102</f>
        <v>6827.3991930964921</v>
      </c>
      <c r="DP265" s="233">
        <f>DP102</f>
        <v>7597.6104006018422</v>
      </c>
      <c r="DQ265" s="1070">
        <f>SUM(DO265:DP265)</f>
        <v>14425.009593698334</v>
      </c>
      <c r="DR265" s="233">
        <f>DR102</f>
        <v>7659.4507813903347</v>
      </c>
      <c r="DS265" s="233">
        <f>DS102</f>
        <v>8188.5531970649881</v>
      </c>
      <c r="DT265" s="1070">
        <f>SUM(DR265:DS265)</f>
        <v>15848.003978455323</v>
      </c>
      <c r="DU265" s="233">
        <f>DU102</f>
        <v>7817.3160099153765</v>
      </c>
      <c r="DV265" s="233">
        <f>DV102</f>
        <v>10350.156842904127</v>
      </c>
      <c r="DW265" s="1070">
        <f>SUM(DU265:DV265)</f>
        <v>18167.472852819505</v>
      </c>
      <c r="DX265" s="233">
        <f>DX102</f>
        <v>8538.9857142857145</v>
      </c>
      <c r="DY265" s="233">
        <f>DY102</f>
        <v>11385.172527194542</v>
      </c>
      <c r="DZ265" s="1070">
        <f>SUM(DX265:DY265)</f>
        <v>19924.158241480254</v>
      </c>
      <c r="EA265" s="233">
        <f>EA102</f>
        <v>10246.782857142856</v>
      </c>
      <c r="EB265" s="233">
        <f>EB102</f>
        <v>12182.134604098161</v>
      </c>
      <c r="EC265" s="1070">
        <f>SUM(EA265:EB265)</f>
        <v>22428.917461241017</v>
      </c>
      <c r="ED265" s="233">
        <f>ED102</f>
        <v>11168.993314285713</v>
      </c>
      <c r="EE265" s="233">
        <f>EE102</f>
        <v>13278.526718466996</v>
      </c>
      <c r="EF265" s="1070">
        <f>SUM(ED265:EE265)</f>
        <v>24447.520032752709</v>
      </c>
      <c r="EG265" s="233">
        <f>EG102</f>
        <v>12174.202712571428</v>
      </c>
      <c r="EH265" s="233">
        <f>EH102</f>
        <v>14473.594123129027</v>
      </c>
      <c r="EI265" s="1070">
        <f>SUM(EG265:EH265)</f>
        <v>26647.796835700457</v>
      </c>
      <c r="EJ265" s="233">
        <f>EJ102</f>
        <v>13269.880956702858</v>
      </c>
      <c r="EK265" s="233">
        <f>EK102</f>
        <v>15776.217594210641</v>
      </c>
      <c r="EL265" s="1070">
        <f>SUM(EJ265:EK265)</f>
        <v>29046.098550913499</v>
      </c>
      <c r="EM265" s="233">
        <f>EM102</f>
        <v>14464.170242806116</v>
      </c>
      <c r="EN265" s="233">
        <f>EN102</f>
        <v>17196.0771776896</v>
      </c>
      <c r="EO265" s="1070">
        <f>SUM(EM265:EN265)</f>
        <v>31660.247420495718</v>
      </c>
      <c r="EP265" s="233">
        <f>EP102</f>
        <v>15765.945564658668</v>
      </c>
      <c r="EQ265" s="233">
        <f>EQ102</f>
        <v>18743.724123681666</v>
      </c>
      <c r="ER265" s="1070">
        <f>SUM(EP265:EQ265)</f>
        <v>34509.669688340335</v>
      </c>
      <c r="ES265" s="233">
        <f>ES102</f>
        <v>17184.880665477951</v>
      </c>
      <c r="ET265" s="233">
        <f>ET102</f>
        <v>20430.659294813016</v>
      </c>
      <c r="EU265" s="1070">
        <f>SUM(ES265:ET265)</f>
        <v>37615.539960290967</v>
      </c>
      <c r="EV265" s="233">
        <f>EV102</f>
        <v>18731.519925370969</v>
      </c>
      <c r="EW265" s="233">
        <f>EW102</f>
        <v>22269.418631346191</v>
      </c>
      <c r="EX265" s="1070">
        <f>SUM(EV265:EW265)</f>
        <v>41000.938556717156</v>
      </c>
      <c r="EY265" s="233">
        <f>EY102</f>
        <v>20417.356718654359</v>
      </c>
      <c r="EZ265" s="233">
        <f>EZ102</f>
        <v>24273.666308167351</v>
      </c>
      <c r="FA265" s="1070">
        <f>SUM(EY265:EZ265)</f>
        <v>44691.023026821713</v>
      </c>
    </row>
    <row r="266" spans="1:173" outlineLevel="1">
      <c r="D266" s="162" t="s">
        <v>209</v>
      </c>
      <c r="BA266" s="35"/>
      <c r="BB266" s="35"/>
      <c r="BC266" s="56"/>
      <c r="BD266" s="171">
        <v>0.18</v>
      </c>
      <c r="BE266" s="171">
        <f>(BE265-BB265)/BB265</f>
        <v>0.23380585269556919</v>
      </c>
      <c r="BF266" s="962">
        <f>(BF265-BC265)/BC265</f>
        <v>0.20952571090162975</v>
      </c>
      <c r="BG266" s="171">
        <v>0.14000000000000001</v>
      </c>
      <c r="BH266" s="171">
        <v>0.05</v>
      </c>
      <c r="BI266" s="962">
        <f>(BI265-BF265)/BF265</f>
        <v>8.9621518185897114E-2</v>
      </c>
      <c r="BJ266" s="167">
        <v>0.04</v>
      </c>
      <c r="BK266" s="167">
        <v>0.04</v>
      </c>
      <c r="BL266" s="1027">
        <f>(BL265-BI265)/BI265</f>
        <v>4.000000000000016E-2</v>
      </c>
      <c r="BM266" s="167">
        <v>9.1249999999999998E-2</v>
      </c>
      <c r="BN266" s="167">
        <v>0.152</v>
      </c>
      <c r="BO266" s="1027">
        <f>(BO265-BL265)/BL265</f>
        <v>0.12401894627153805</v>
      </c>
      <c r="BP266" s="167">
        <v>0.27</v>
      </c>
      <c r="BQ266" s="167">
        <v>0.1</v>
      </c>
      <c r="BR266" s="1027">
        <f>(BR265-BO265)/BO265</f>
        <v>0.17601815582163172</v>
      </c>
      <c r="BS266" s="167">
        <v>0.22</v>
      </c>
      <c r="BT266" s="167">
        <v>0.23</v>
      </c>
      <c r="BU266" s="167">
        <f>(BU265-BR265)/BR265</f>
        <v>0.22517099002478369</v>
      </c>
      <c r="BV266" s="167">
        <v>0.24</v>
      </c>
      <c r="BW266" s="167">
        <v>0.21667</v>
      </c>
      <c r="BX266" s="167">
        <f>(BX265-BU265)/BU265</f>
        <v>0.22788853034716522</v>
      </c>
      <c r="BY266" s="167">
        <v>0.05</v>
      </c>
      <c r="BZ266" s="167">
        <v>-2.8000000000000001E-2</v>
      </c>
      <c r="CA266" s="167">
        <f>(CA265-BX265)/BX265</f>
        <v>9.8772616059620115E-3</v>
      </c>
      <c r="CB266" s="167">
        <v>0.03</v>
      </c>
      <c r="CC266" s="167">
        <v>0.14852000000000001</v>
      </c>
      <c r="CD266" s="167">
        <f>(CD265-CA265)/CA265</f>
        <v>8.8679347702852143E-2</v>
      </c>
      <c r="CE266" s="167">
        <v>0.24917056258336648</v>
      </c>
      <c r="CF266" s="167">
        <f>CF265/CC265-1</f>
        <v>0.15068087625814086</v>
      </c>
      <c r="CG266" s="167">
        <f>(CG265-CD265)/CD265</f>
        <v>0.19772795591283171</v>
      </c>
      <c r="CH266" s="167">
        <f>CH265/CE265-1</f>
        <v>-0.10950351762499266</v>
      </c>
      <c r="CI266" s="167">
        <f>CI265/CF265-1</f>
        <v>-4.1335610200188277E-2</v>
      </c>
      <c r="CJ266" s="167">
        <f>(CJ265-CG265)/CG265</f>
        <v>-7.5296998375213003E-2</v>
      </c>
      <c r="CK266" s="167">
        <f>CK265/CH265-1</f>
        <v>0.12000000000000011</v>
      </c>
      <c r="CL266" s="167">
        <f>CL265/CI265-1</f>
        <v>5.0000000000000044E-2</v>
      </c>
      <c r="CM266" s="167">
        <f>(CM265-CJ265)/CJ265</f>
        <v>8.3584079721422802E-2</v>
      </c>
      <c r="CN266" s="167">
        <f>CN265/CK265-1</f>
        <v>-1.9897750511248313E-2</v>
      </c>
      <c r="CO266" s="167">
        <f>CO265/CL265-1</f>
        <v>0.14843798170794509</v>
      </c>
      <c r="CP266" s="167">
        <f>(CP265-CM265)/CM265</f>
        <v>6.4960924314973287E-2</v>
      </c>
      <c r="CQ266" s="167">
        <f>CQ265/CN265-1</f>
        <v>4.0000000000000036E-2</v>
      </c>
      <c r="CR266" s="167">
        <f>CR265/CO265-1</f>
        <v>7.0000000000000062E-2</v>
      </c>
      <c r="CS266" s="167">
        <f>(CS265-CP265)/CP265</f>
        <v>5.6308539210846296E-2</v>
      </c>
      <c r="CT266" s="167">
        <f>CT265/CQ265-1</f>
        <v>0.10000000000000009</v>
      </c>
      <c r="CU266" s="167">
        <f>CU265/CR265-1</f>
        <v>6.0000000000000053E-2</v>
      </c>
      <c r="CV266" s="167">
        <f>(CV265-CS265)/CS265</f>
        <v>7.7973434455502103E-2</v>
      </c>
      <c r="CW266" s="167">
        <f>CW265/CT265-1</f>
        <v>0.10000000000000009</v>
      </c>
      <c r="CX266" s="167">
        <f>CX265/CU265-1</f>
        <v>0.10000000000000009</v>
      </c>
      <c r="CY266" s="167">
        <f>(CY265-CV265)/CV265</f>
        <v>0.1000000000000002</v>
      </c>
      <c r="CZ266" s="167">
        <f>CZ265/CW265-1</f>
        <v>-2.0000000000000018E-2</v>
      </c>
      <c r="DA266" s="167">
        <f>DA265/CX265-1</f>
        <v>0.25</v>
      </c>
      <c r="DB266" s="167">
        <f>(DB265-CY265)/CY265</f>
        <v>0.1262003342879125</v>
      </c>
      <c r="DC266" s="167">
        <f>DC265/CZ265-1</f>
        <v>0.1100000000000001</v>
      </c>
      <c r="DD266" s="167">
        <f>DD265/DA265-1</f>
        <v>-7.999999999999996E-2</v>
      </c>
      <c r="DE266" s="167">
        <f>(DE265-DB265)/DB265</f>
        <v>-4.191180721606352E-3</v>
      </c>
      <c r="DF266" s="167">
        <f>DF265/DC265-1</f>
        <v>0.13500000000000001</v>
      </c>
      <c r="DG266" s="167">
        <f>DG265/DD265-1</f>
        <v>-0.25</v>
      </c>
      <c r="DH266" s="1072">
        <f>(DH265-DE265)/DE265</f>
        <v>-7.8772359706461278E-2</v>
      </c>
      <c r="DI266" s="167">
        <f>DI265/DF265-1</f>
        <v>-0.16035934611992053</v>
      </c>
      <c r="DJ266" s="167">
        <f>DJ265/DG265-1</f>
        <v>0.30382425119126855</v>
      </c>
      <c r="DK266" s="1072">
        <f>(DK265-DH265)/DH265</f>
        <v>4.9474197519657259E-2</v>
      </c>
      <c r="DL266" s="167">
        <f>DL265/DI265-1</f>
        <v>0.17700580743167738</v>
      </c>
      <c r="DM266" s="167">
        <f>DM265/DJ265-1</f>
        <v>-2.8495244516725138E-2</v>
      </c>
      <c r="DN266" s="1072">
        <f>(DN265-DK265)/DK265</f>
        <v>6.1595004180395811E-2</v>
      </c>
      <c r="DO266" s="167">
        <f>DO265/DL265-1</f>
        <v>4.3583847315275426E-2</v>
      </c>
      <c r="DP266" s="167">
        <f>DP265/DM265-1</f>
        <v>9.828251225367679E-2</v>
      </c>
      <c r="DQ266" s="1072">
        <f>(DQ265-DN265)/DN265</f>
        <v>7.1696071366749742E-2</v>
      </c>
      <c r="DR266" s="167">
        <f>DR265/DO265-1</f>
        <v>0.12186947983577245</v>
      </c>
      <c r="DS266" s="167">
        <f>DS265/DP265-1</f>
        <v>7.7780086804179138E-2</v>
      </c>
      <c r="DT266" s="1072">
        <f>(DT265-DQ265)/DQ265</f>
        <v>9.8647725362944194E-2</v>
      </c>
      <c r="DU266" s="167">
        <f>DU265/DR265-1</f>
        <v>2.0610515431288778E-2</v>
      </c>
      <c r="DV266" s="167">
        <f>DV265/DS265-1</f>
        <v>0.26397870219783393</v>
      </c>
      <c r="DW266" s="1072">
        <f>(DW265-DT265)/DT265</f>
        <v>0.14635716128778106</v>
      </c>
      <c r="DX266" s="167">
        <f>DX265/DU265-1</f>
        <v>9.2316813527172581E-2</v>
      </c>
      <c r="DY266" s="167">
        <f>DY265/DV265-1</f>
        <v>0.10000000000000009</v>
      </c>
      <c r="DZ266" s="1072">
        <f>(DZ265-DW265)/DW265</f>
        <v>9.6693987264613993E-2</v>
      </c>
      <c r="EA266" s="167">
        <f>EA265/DX265-1</f>
        <v>0.19999999999999996</v>
      </c>
      <c r="EB266" s="167">
        <f>EB265/DY265-1</f>
        <v>7.0000000000000062E-2</v>
      </c>
      <c r="EC266" s="1072">
        <f>(EC265-DZ265)/DZ265</f>
        <v>0.12571468211621034</v>
      </c>
      <c r="ED266" s="167">
        <f>ED265/EA265-1</f>
        <v>9.000000000000008E-2</v>
      </c>
      <c r="EE266" s="167">
        <f>EE265/EB265-1</f>
        <v>9.000000000000008E-2</v>
      </c>
      <c r="EF266" s="1072">
        <f>(EF265-EC265)/EC265</f>
        <v>9.0000000000000024E-2</v>
      </c>
      <c r="EG266" s="167">
        <f>EG265/ED265-1</f>
        <v>9.000000000000008E-2</v>
      </c>
      <c r="EH266" s="167">
        <f>EH265/EE265-1</f>
        <v>9.000000000000008E-2</v>
      </c>
      <c r="EI266" s="1072">
        <f>(EI265-EF265)/EF265</f>
        <v>9.0000000000000191E-2</v>
      </c>
      <c r="EJ266" s="167">
        <f>EJ265/EG265-1</f>
        <v>9.000000000000008E-2</v>
      </c>
      <c r="EK266" s="167">
        <f>EK265/EH265-1</f>
        <v>9.000000000000008E-2</v>
      </c>
      <c r="EL266" s="1072">
        <f>(EL265-EI265)/EI265</f>
        <v>9.0000000000000011E-2</v>
      </c>
      <c r="EM266" s="167">
        <f>EM265/EJ265-1</f>
        <v>9.000000000000008E-2</v>
      </c>
      <c r="EN266" s="167">
        <f>EN265/EK265-1</f>
        <v>9.000000000000008E-2</v>
      </c>
      <c r="EO266" s="1072">
        <f>(EO265-EL265)/EL265</f>
        <v>9.0000000000000149E-2</v>
      </c>
      <c r="EP266" s="167">
        <f>EP265/EM265-1</f>
        <v>9.000000000000008E-2</v>
      </c>
      <c r="EQ266" s="167">
        <f>EQ265/EN265-1</f>
        <v>9.000000000000008E-2</v>
      </c>
      <c r="ER266" s="1072">
        <f>(ER265-EO265)/EO265</f>
        <v>9.0000000000000066E-2</v>
      </c>
      <c r="ES266" s="167">
        <f>ES265/EP265-1</f>
        <v>9.000000000000008E-2</v>
      </c>
      <c r="ET266" s="167">
        <f>ET265/EQ265-1</f>
        <v>9.000000000000008E-2</v>
      </c>
      <c r="EU266" s="1072">
        <f>(EU265-ER265)/ER265</f>
        <v>9.000000000000008E-2</v>
      </c>
      <c r="EV266" s="167">
        <f>EV265/ES265-1</f>
        <v>9.000000000000008E-2</v>
      </c>
      <c r="EW266" s="167">
        <f>EW265/ET265-1</f>
        <v>9.000000000000008E-2</v>
      </c>
      <c r="EX266" s="1072">
        <f>(EX265-EU265)/EU265</f>
        <v>9.0000000000000038E-2</v>
      </c>
      <c r="EY266" s="167">
        <f>EY265/EV265-1</f>
        <v>9.000000000000008E-2</v>
      </c>
      <c r="EZ266" s="167">
        <f>EZ265/EW265-1</f>
        <v>9.000000000000008E-2</v>
      </c>
      <c r="FA266" s="1072">
        <f>(FA265-EX265)/EX265</f>
        <v>9.0000000000000316E-2</v>
      </c>
    </row>
    <row r="267" spans="1:173" outlineLevel="1">
      <c r="B267" s="31" t="s">
        <v>424</v>
      </c>
      <c r="D267" s="162" t="s">
        <v>696</v>
      </c>
      <c r="BA267" s="35">
        <v>1.7662285454545453E-2</v>
      </c>
      <c r="BB267" s="35">
        <v>1.7662285454545453E-2</v>
      </c>
      <c r="BC267" s="31">
        <v>1.7662285454545453E-2</v>
      </c>
      <c r="BD267" s="35">
        <v>1.7274380585516176E-2</v>
      </c>
      <c r="BE267" s="35">
        <v>1.7274380585516176E-2</v>
      </c>
      <c r="BF267" s="31">
        <v>1.727438058551618E-2</v>
      </c>
      <c r="BG267" s="35">
        <v>1.5758621901440811E-2</v>
      </c>
      <c r="BH267" s="35">
        <f>BG267</f>
        <v>1.5758621901440811E-2</v>
      </c>
      <c r="BI267" s="31">
        <f>BH267</f>
        <v>1.5758621901440811E-2</v>
      </c>
      <c r="BJ267" s="35">
        <f>BI267</f>
        <v>1.5758621901440811E-2</v>
      </c>
      <c r="BK267" s="35">
        <f>BJ267*(1+BK268)</f>
        <v>1.6861725434541668E-2</v>
      </c>
      <c r="BL267" s="31">
        <f>BK267</f>
        <v>1.6861725434541668E-2</v>
      </c>
      <c r="BM267" s="35">
        <f>BL267*(1+BM268)</f>
        <v>1.9871543424607358E-2</v>
      </c>
      <c r="BN267" s="35">
        <f>BM267*(1+BN268)</f>
        <v>1.7089527345162329E-2</v>
      </c>
      <c r="BO267" s="31"/>
      <c r="BP267" s="35">
        <f>BN267*(1+BP268)</f>
        <v>1.9003554407820512E-2</v>
      </c>
      <c r="BQ267" s="35">
        <f>BN267*(1+BQ268)</f>
        <v>1.9772583138352815E-2</v>
      </c>
      <c r="BR267" s="31">
        <f>BR270/BR265</f>
        <v>1.9401218397255959E-2</v>
      </c>
      <c r="BS267" s="35">
        <f>BQ267*(1+BS268)</f>
        <v>1.7474592313415999E-2</v>
      </c>
      <c r="BT267" s="35">
        <f>BS267*(1+BT268)</f>
        <v>1.5559240899400601E-2</v>
      </c>
      <c r="BU267" s="35">
        <f>BU270/BU265</f>
        <v>1.6480262243747702E-2</v>
      </c>
      <c r="BV267" s="35">
        <f>BS267*(1+BV268)</f>
        <v>1.7032654512939768E-2</v>
      </c>
      <c r="BW267" s="35">
        <f>BV267*(1+BW268)</f>
        <v>1.6690891721494544E-2</v>
      </c>
      <c r="BX267" s="35">
        <f>BX270/BX265</f>
        <v>1.6856853755581141E-2</v>
      </c>
      <c r="BY267" s="35">
        <f>BV267*(1+BY268)</f>
        <v>1.8175349809253439E-2</v>
      </c>
      <c r="BZ267" s="35">
        <f>BY267*(1+BZ268)</f>
        <v>2.4668857035605413E-2</v>
      </c>
      <c r="CA267" s="35">
        <f>CA270/CA265</f>
        <v>2.1390290480415186E-2</v>
      </c>
      <c r="CB267" s="1033">
        <f>BY267*(1+CB268)</f>
        <v>1.9581031363501099E-2</v>
      </c>
      <c r="CC267" s="35">
        <f>CB267*(1+CC268)</f>
        <v>2.1204690484162611E-2</v>
      </c>
      <c r="CD267" s="35">
        <f>CD270/CD265</f>
        <v>2.0429092319197567E-2</v>
      </c>
      <c r="CE267" s="35">
        <f>CC267*(1+CE268)</f>
        <v>1.6368112631629961E-2</v>
      </c>
      <c r="CF267" s="35">
        <f>CD267*(1+CF268)</f>
        <v>1.9017646330864207E-2</v>
      </c>
      <c r="CG267" s="35">
        <f>CG270/CG265</f>
        <v>1.7697643328839215E-2</v>
      </c>
      <c r="CH267" s="35">
        <f>CE267*(1+CH268)</f>
        <v>1.7532376483117798E-2</v>
      </c>
      <c r="CI267" s="35">
        <f>CF267*(1+CI268)</f>
        <v>1.9224748499407321E-2</v>
      </c>
      <c r="CJ267" s="35">
        <f>CJ270/CJ265</f>
        <v>1.8412794832073427E-2</v>
      </c>
      <c r="CK267" s="35">
        <f>CH267*(1+CK268)</f>
        <v>1.8097970948463177E-2</v>
      </c>
      <c r="CL267" s="35">
        <f>CI267*(1+CL268)</f>
        <v>1.7409355498608288E-2</v>
      </c>
      <c r="CM267" s="35">
        <f>CM270/CM265</f>
        <v>1.7750837313974577E-2</v>
      </c>
      <c r="CN267" s="35">
        <f>CK267*(1+CN268)</f>
        <v>1.8808000054146189E-2</v>
      </c>
      <c r="CO267" s="35">
        <f>CL267*(1+CO268)</f>
        <v>1.8263704221623017E-2</v>
      </c>
      <c r="CP267" s="35">
        <f>CP270/CP265</f>
        <v>1.8512111056579378E-2</v>
      </c>
      <c r="CQ267" s="35">
        <f>CN267*(1+CQ268)</f>
        <v>2.3714383051823294E-2</v>
      </c>
      <c r="CR267" s="35">
        <f>CO267*(1+CR268)</f>
        <v>2.0281591753907636E-2</v>
      </c>
      <c r="CS267" s="35">
        <f>CS270/CS265</f>
        <v>2.1824067988720251E-2</v>
      </c>
      <c r="CT267" s="35">
        <f>CQ267*(1+CT268)</f>
        <v>1.7938238257636307E-2</v>
      </c>
      <c r="CU267" s="35">
        <f>CR267*(1+CU268)</f>
        <v>1.3499096006303982E-2</v>
      </c>
      <c r="CV267" s="35">
        <f>CV270/CV265</f>
        <v>1.5534519438760816E-2</v>
      </c>
      <c r="CW267" s="35">
        <f>CT267*(1+CW268)</f>
        <v>1.524750251899086E-2</v>
      </c>
      <c r="CX267" s="35">
        <f>CU267*(1+CX268)</f>
        <v>1.1460732509352081E-2</v>
      </c>
      <c r="CY267" s="35">
        <f>CY270/CY265</f>
        <v>1.3197031995729263E-2</v>
      </c>
      <c r="CZ267" s="35">
        <f>CW267*(1+CZ268)</f>
        <v>1.5544651638754995E-2</v>
      </c>
      <c r="DA267" s="35">
        <f>CX267*(1+DA268)</f>
        <v>9.5548645392787117E-3</v>
      </c>
      <c r="DB267" s="35">
        <f>DB270/DB265</f>
        <v>1.1944752369490559E-2</v>
      </c>
      <c r="DC267" s="35">
        <f>CZ267*(1+DC268)</f>
        <v>1.3834604869600718E-2</v>
      </c>
      <c r="DD267" s="35">
        <f>DA267*(1+DD268)</f>
        <v>1.0128156411635435E-2</v>
      </c>
      <c r="DE267" s="35">
        <f>DE270/DE265</f>
        <v>1.1776588680017307E-2</v>
      </c>
      <c r="DF267" s="35">
        <f>DC267*(1+DF268)</f>
        <v>1.3696258820904712E-2</v>
      </c>
      <c r="DG267" s="35">
        <f>DD267*(1+DG268)</f>
        <v>1.0644692388628842E-2</v>
      </c>
      <c r="DH267" s="1067">
        <f>DH270/DH265</f>
        <v>1.2316802498352328E-2</v>
      </c>
      <c r="DI267" s="1033">
        <f>DI270/DI265</f>
        <v>1.6028317529615074E-2</v>
      </c>
      <c r="DJ267" s="1033">
        <f t="shared" ref="DJ267:DK267" si="1502">DJ270/DJ265</f>
        <v>1.4589254300539863E-2</v>
      </c>
      <c r="DK267" s="1158">
        <f t="shared" si="1502"/>
        <v>1.5220129729006377E-2</v>
      </c>
      <c r="DL267" s="1033">
        <f>DL270/DL265</f>
        <v>1.5757393268093341E-2</v>
      </c>
      <c r="DM267" s="1033">
        <f t="shared" ref="DM267:DN267" si="1503">DM270/DM265</f>
        <v>1.5671155024509806E-2</v>
      </c>
      <c r="DN267" s="1158">
        <f t="shared" si="1503"/>
        <v>1.5713071366852127E-2</v>
      </c>
      <c r="DO267" s="1033">
        <f>DO270/DO265</f>
        <v>1.5952938140928651E-2</v>
      </c>
      <c r="DP267" s="1033">
        <f t="shared" ref="DP267:DQ267" si="1504">DP270/DP265</f>
        <v>1.6871051830655945E-2</v>
      </c>
      <c r="DQ267" s="1158">
        <f t="shared" si="1504"/>
        <v>1.6436505938419357E-2</v>
      </c>
      <c r="DR267" s="1033">
        <f>DR270/DR265</f>
        <v>1.6178259777756759E-2</v>
      </c>
      <c r="DS267" s="1033">
        <f t="shared" ref="DS267:DT267" si="1505">DS270/DS265</f>
        <v>1.7403736022828221E-2</v>
      </c>
      <c r="DT267" s="1158">
        <f t="shared" si="1505"/>
        <v>1.6811454812169242E-2</v>
      </c>
      <c r="DU267" s="1033">
        <f>DU270/DU265</f>
        <v>1.7421891704805039E-2</v>
      </c>
      <c r="DV267" s="1033">
        <f t="shared" ref="DV267:DW267" si="1506">DV270/DV265</f>
        <v>1.5134229127300719E-2</v>
      </c>
      <c r="DW267" s="1158">
        <f t="shared" si="1506"/>
        <v>1.6118591753698334E-2</v>
      </c>
      <c r="DX267" s="1033">
        <f>DX270/DX265</f>
        <v>1.505946095055904E-2</v>
      </c>
      <c r="DY267" s="35">
        <f>DV267*(1+DY268)</f>
        <v>1.710167891384981E-2</v>
      </c>
      <c r="DZ267" s="1067">
        <f>DZ270/DZ265</f>
        <v>1.622643641664397E-2</v>
      </c>
      <c r="EA267" s="35">
        <f>DX267*(1+EA268)</f>
        <v>1.6565407045614947E-2</v>
      </c>
      <c r="EB267" s="35">
        <f>DY267*(1+EB268)</f>
        <v>1.710167891384981E-2</v>
      </c>
      <c r="EC267" s="1067">
        <f>EC270/EC265</f>
        <v>1.6856679956780533E-2</v>
      </c>
      <c r="ED267" s="35">
        <f>EA267*(1+ED268)</f>
        <v>1.6565407045614947E-2</v>
      </c>
      <c r="EE267" s="35">
        <f>EB267*(1+EE268)</f>
        <v>1.710167891384981E-2</v>
      </c>
      <c r="EF267" s="1067">
        <f>EF270/EF265</f>
        <v>1.6856679956780533E-2</v>
      </c>
      <c r="EG267" s="35">
        <f>ED267*(1+EG268)</f>
        <v>1.6565407045614947E-2</v>
      </c>
      <c r="EH267" s="35">
        <f>EE267*(1+EH268)</f>
        <v>1.710167891384981E-2</v>
      </c>
      <c r="EI267" s="1067">
        <f>EI270/EI265</f>
        <v>1.6856679956780529E-2</v>
      </c>
      <c r="EJ267" s="35">
        <f>EG267*(1+EJ268)</f>
        <v>1.6565407045614947E-2</v>
      </c>
      <c r="EK267" s="35">
        <f>EH267*(1+EK268)</f>
        <v>1.710167891384981E-2</v>
      </c>
      <c r="EL267" s="1067">
        <f>EL270/EL265</f>
        <v>1.6856679956780529E-2</v>
      </c>
      <c r="EM267" s="35">
        <f>EJ267*(1+EM268)</f>
        <v>1.6565407045614947E-2</v>
      </c>
      <c r="EN267" s="35">
        <f>EK267*(1+EN268)</f>
        <v>1.710167891384981E-2</v>
      </c>
      <c r="EO267" s="1067">
        <f>EO270/EO265</f>
        <v>1.6856679956780533E-2</v>
      </c>
      <c r="EP267" s="35">
        <f>EM267*(1+EP268)</f>
        <v>1.6565407045614947E-2</v>
      </c>
      <c r="EQ267" s="35">
        <f>EN267*(1+EQ268)</f>
        <v>1.710167891384981E-2</v>
      </c>
      <c r="ER267" s="1067">
        <f>ER270/ER265</f>
        <v>1.6856679956780533E-2</v>
      </c>
      <c r="ES267" s="35">
        <f>EP267*(1+ES268)</f>
        <v>1.6565407045614947E-2</v>
      </c>
      <c r="ET267" s="35">
        <f>EQ267*(1+ET268)</f>
        <v>1.710167891384981E-2</v>
      </c>
      <c r="EU267" s="1067">
        <f>EU270/EU265</f>
        <v>1.6856679956780533E-2</v>
      </c>
      <c r="EV267" s="35">
        <f>ES267*(1+EV268)</f>
        <v>1.6565407045614947E-2</v>
      </c>
      <c r="EW267" s="35">
        <f>ET267*(1+EW268)</f>
        <v>1.710167891384981E-2</v>
      </c>
      <c r="EX267" s="1067">
        <f>EX270/EX265</f>
        <v>1.6856679956780533E-2</v>
      </c>
      <c r="EY267" s="35">
        <f>EV267*(1+EY268)</f>
        <v>1.6565407045614947E-2</v>
      </c>
      <c r="EZ267" s="35">
        <f>EW267*(1+EZ268)</f>
        <v>1.710167891384981E-2</v>
      </c>
      <c r="FA267" s="1067">
        <f>FA270/FA265</f>
        <v>1.6856679956780529E-2</v>
      </c>
    </row>
    <row r="268" spans="1:173" outlineLevel="1">
      <c r="A268" s="1421"/>
      <c r="D268" s="162" t="s">
        <v>209</v>
      </c>
      <c r="BA268" s="91"/>
      <c r="BB268" s="91"/>
      <c r="BC268" s="87"/>
      <c r="BD268" s="169">
        <f t="shared" ref="BD268:BI268" si="1507">(BD267-BA267)/BA267</f>
        <v>-2.1962325885150288E-2</v>
      </c>
      <c r="BE268" s="169">
        <f t="shared" si="1507"/>
        <v>-2.1962325885150288E-2</v>
      </c>
      <c r="BF268" s="88">
        <f t="shared" si="1507"/>
        <v>-2.1962325885150093E-2</v>
      </c>
      <c r="BG268" s="169">
        <f t="shared" si="1507"/>
        <v>-8.7746051244596474E-2</v>
      </c>
      <c r="BH268" s="169">
        <f t="shared" si="1507"/>
        <v>-8.7746051244596474E-2</v>
      </c>
      <c r="BI268" s="88">
        <f t="shared" si="1507"/>
        <v>-8.7746051244596654E-2</v>
      </c>
      <c r="BJ268" s="165">
        <v>0</v>
      </c>
      <c r="BK268" s="165">
        <v>7.0000000000000007E-2</v>
      </c>
      <c r="BL268" s="943">
        <f>(BL267-BI267)/BI267</f>
        <v>6.9999999999999965E-2</v>
      </c>
      <c r="BM268" s="165">
        <v>0.17849999999999999</v>
      </c>
      <c r="BN268" s="165">
        <v>-0.14000000000000001</v>
      </c>
      <c r="BO268" s="943">
        <v>0</v>
      </c>
      <c r="BP268" s="165">
        <f>11.2%</f>
        <v>0.11199999999999999</v>
      </c>
      <c r="BQ268" s="165">
        <v>0.157</v>
      </c>
      <c r="BR268" s="943"/>
      <c r="BS268" s="166">
        <v>-0.11622107282884098</v>
      </c>
      <c r="BT268" s="166">
        <v>-0.10960778824836451</v>
      </c>
      <c r="BU268" s="167">
        <f>BT268</f>
        <v>-0.10960778824836451</v>
      </c>
      <c r="BV268" s="166">
        <v>-2.5290306780830298E-2</v>
      </c>
      <c r="BW268" s="166">
        <v>-2.0065151394081566E-2</v>
      </c>
      <c r="BX268" s="167">
        <v>0</v>
      </c>
      <c r="BY268" s="166">
        <v>6.70885031716906E-2</v>
      </c>
      <c r="BZ268" s="166">
        <v>0.35726999999999998</v>
      </c>
      <c r="CA268" s="167">
        <v>0.1034948520526382</v>
      </c>
      <c r="CB268" s="166">
        <v>7.7340000000000006E-2</v>
      </c>
      <c r="CC268" s="166">
        <v>8.2919999999999994E-2</v>
      </c>
      <c r="CD268" s="167">
        <v>9.955E-2</v>
      </c>
      <c r="CE268" s="192">
        <v>-0.22808999999999999</v>
      </c>
      <c r="CF268" s="193">
        <v>-6.9089999999999999E-2</v>
      </c>
      <c r="CG268" s="167">
        <v>-0.20243349999999999</v>
      </c>
      <c r="CH268" s="170">
        <v>7.1129999999999999E-2</v>
      </c>
      <c r="CI268" s="170">
        <v>1.089E-2</v>
      </c>
      <c r="CJ268" s="171">
        <f>CJ267/CG267-1</f>
        <v>4.0409420053620027E-2</v>
      </c>
      <c r="CK268" s="72">
        <v>3.2259999999999997E-2</v>
      </c>
      <c r="CL268" s="72">
        <v>-9.443E-2</v>
      </c>
      <c r="CM268" s="171">
        <f>CM267/CJ267-1</f>
        <v>-3.595095280949856E-2</v>
      </c>
      <c r="CN268" s="170">
        <v>3.9232525441936505E-2</v>
      </c>
      <c r="CO268" s="170">
        <v>4.9074115528459666E-2</v>
      </c>
      <c r="CP268" s="171">
        <f>CP267/CM267-1</f>
        <v>4.2886638480173378E-2</v>
      </c>
      <c r="CQ268" s="72">
        <v>0.26086681112038285</v>
      </c>
      <c r="CR268" s="72">
        <v>0.11048621395738423</v>
      </c>
      <c r="CS268" s="171">
        <f>CS267/CP267-1</f>
        <v>0.17890757688404069</v>
      </c>
      <c r="CT268" s="170">
        <v>-0.24357137107738863</v>
      </c>
      <c r="CU268" s="72">
        <v>-0.33441634315003282</v>
      </c>
      <c r="CV268" s="171">
        <f>CV267/CS267-1</f>
        <v>-0.28819322562641314</v>
      </c>
      <c r="CW268" s="72">
        <v>-0.15</v>
      </c>
      <c r="CX268" s="72">
        <v>-0.151</v>
      </c>
      <c r="CY268" s="171">
        <f>CY267/CV267-1</f>
        <v>-0.15047053449231218</v>
      </c>
      <c r="CZ268" s="72">
        <v>1.94883797785265E-2</v>
      </c>
      <c r="DA268" s="257">
        <v>-0.16629547618515317</v>
      </c>
      <c r="DB268" s="171">
        <f>DB267/CY267-1</f>
        <v>-9.4891004783799748E-2</v>
      </c>
      <c r="DC268" s="264">
        <v>-0.11000869037752446</v>
      </c>
      <c r="DD268" s="72">
        <v>0.06</v>
      </c>
      <c r="DE268" s="171">
        <f>DE267/DB267-1</f>
        <v>-1.4078457574623116E-2</v>
      </c>
      <c r="DF268" s="264">
        <v>-0.01</v>
      </c>
      <c r="DG268" s="72">
        <v>5.0999999999999997E-2</v>
      </c>
      <c r="DH268" s="1068">
        <f>DH267/DE267-1</f>
        <v>4.5871842263767171E-2</v>
      </c>
      <c r="DI268" s="171">
        <f t="shared" ref="DI268:DK268" si="1508">DI267/DF267-1</f>
        <v>0.17026976046560405</v>
      </c>
      <c r="DJ268" s="171">
        <f t="shared" si="1508"/>
        <v>0.37056607818228615</v>
      </c>
      <c r="DK268" s="1068">
        <f t="shared" si="1508"/>
        <v>0.23572085620780547</v>
      </c>
      <c r="DL268" s="171">
        <f t="shared" ref="DL268" si="1509">DL267/DI267-1</f>
        <v>-1.6902850908784073E-2</v>
      </c>
      <c r="DM268" s="171">
        <f t="shared" ref="DM268" si="1510">DM267/DJ267-1</f>
        <v>7.4157369642251503E-2</v>
      </c>
      <c r="DN268" s="1068">
        <f t="shared" ref="DN268" si="1511">DN267/DK267-1</f>
        <v>3.2387479385691975E-2</v>
      </c>
      <c r="DO268" s="171">
        <f t="shared" ref="DO268" si="1512">DO267/DL267-1</f>
        <v>1.2409722186172978E-2</v>
      </c>
      <c r="DP268" s="171">
        <f t="shared" ref="DP268" si="1513">DP267/DM267-1</f>
        <v>7.6567222024763959E-2</v>
      </c>
      <c r="DQ268" s="1068">
        <f t="shared" ref="DQ268" si="1514">DQ267/DN267-1</f>
        <v>4.6040303303997332E-2</v>
      </c>
      <c r="DR268" s="171">
        <f t="shared" ref="DR268" si="1515">DR267/DO267-1</f>
        <v>1.4124146589024056E-2</v>
      </c>
      <c r="DS268" s="171">
        <f t="shared" ref="DS268" si="1516">DS267/DP267-1</f>
        <v>3.1573857843548936E-2</v>
      </c>
      <c r="DT268" s="1068">
        <f t="shared" ref="DT268:DU268" si="1517">DT267/DQ267-1</f>
        <v>2.2811957429070384E-2</v>
      </c>
      <c r="DU268" s="171">
        <f t="shared" si="1517"/>
        <v>7.6870562355422889E-2</v>
      </c>
      <c r="DV268" s="171">
        <f t="shared" ref="DV268" si="1518">DV267/DS267-1</f>
        <v>-0.13040343134086974</v>
      </c>
      <c r="DW268" s="1068">
        <f t="shared" ref="DW268:DX268" si="1519">DW267/DT267-1</f>
        <v>-4.1213747781623677E-2</v>
      </c>
      <c r="DX268" s="171">
        <f t="shared" si="1519"/>
        <v>-0.13560127650170328</v>
      </c>
      <c r="DY268" s="1143">
        <f>+DY176</f>
        <v>0.13</v>
      </c>
      <c r="DZ268" s="1142">
        <f t="shared" ref="DZ268" si="1520">DZ267/DW267-1</f>
        <v>6.69070006819239E-3</v>
      </c>
      <c r="EA268" s="1143">
        <f t="shared" ref="EA268:EB268" si="1521">+EA176</f>
        <v>0.1</v>
      </c>
      <c r="EB268" s="1143">
        <f t="shared" si="1521"/>
        <v>0</v>
      </c>
      <c r="EC268" s="1142">
        <f t="shared" ref="EC268" si="1522">EC267/DZ267-1</f>
        <v>3.8840539225858839E-2</v>
      </c>
      <c r="ED268" s="1143">
        <f>+ED176</f>
        <v>0</v>
      </c>
      <c r="EE268" s="1143">
        <v>0</v>
      </c>
      <c r="EF268" s="1142">
        <f t="shared" ref="EF268" si="1523">EF267/EC267-1</f>
        <v>0</v>
      </c>
      <c r="EG268" s="1143">
        <f t="shared" ref="EG268" si="1524">+EE268</f>
        <v>0</v>
      </c>
      <c r="EH268" s="1143">
        <f t="shared" ref="EH268" si="1525">+EG268</f>
        <v>0</v>
      </c>
      <c r="EI268" s="1142">
        <f t="shared" ref="EI268" si="1526">EI267/EF267-1</f>
        <v>0</v>
      </c>
      <c r="EJ268" s="1143">
        <f t="shared" ref="EJ268" si="1527">+EH268</f>
        <v>0</v>
      </c>
      <c r="EK268" s="1143">
        <f t="shared" ref="EK268" si="1528">+EJ268</f>
        <v>0</v>
      </c>
      <c r="EL268" s="1142">
        <f t="shared" ref="EL268" si="1529">EL267/EI267-1</f>
        <v>0</v>
      </c>
      <c r="EM268" s="1143">
        <f t="shared" ref="EM268" si="1530">+EK268</f>
        <v>0</v>
      </c>
      <c r="EN268" s="1143">
        <f t="shared" ref="EN268" si="1531">+EM268</f>
        <v>0</v>
      </c>
      <c r="EO268" s="1142">
        <f t="shared" ref="EO268" si="1532">EO267/EL267-1</f>
        <v>0</v>
      </c>
      <c r="EP268" s="1143">
        <f t="shared" ref="EP268" si="1533">+EN268</f>
        <v>0</v>
      </c>
      <c r="EQ268" s="1143">
        <f t="shared" ref="EQ268" si="1534">+EP268</f>
        <v>0</v>
      </c>
      <c r="ER268" s="1142">
        <f t="shared" ref="ER268" si="1535">ER267/EO267-1</f>
        <v>0</v>
      </c>
      <c r="ES268" s="1143">
        <f t="shared" ref="ES268" si="1536">+EQ268</f>
        <v>0</v>
      </c>
      <c r="ET268" s="1143">
        <f t="shared" ref="ET268" si="1537">+ES268</f>
        <v>0</v>
      </c>
      <c r="EU268" s="1142">
        <f t="shared" ref="EU268" si="1538">EU267/ER267-1</f>
        <v>0</v>
      </c>
      <c r="EV268" s="1143">
        <f t="shared" ref="EV268" si="1539">+ET268</f>
        <v>0</v>
      </c>
      <c r="EW268" s="1143">
        <f t="shared" ref="EW268" si="1540">+EV268</f>
        <v>0</v>
      </c>
      <c r="EX268" s="1142">
        <f t="shared" ref="EX268" si="1541">EX267/EU267-1</f>
        <v>0</v>
      </c>
      <c r="EY268" s="1143">
        <f t="shared" ref="EY268" si="1542">+EW268</f>
        <v>0</v>
      </c>
      <c r="EZ268" s="1143">
        <f t="shared" ref="EZ268" si="1543">+EY268</f>
        <v>0</v>
      </c>
      <c r="FA268" s="1142">
        <f t="shared" ref="FA268" si="1544">FA267/EX267-1</f>
        <v>0</v>
      </c>
    </row>
    <row r="269" spans="1:173" outlineLevel="1">
      <c r="BA269" s="91"/>
      <c r="BB269" s="91"/>
      <c r="BC269" s="87"/>
      <c r="BD269" s="169"/>
      <c r="BE269" s="169"/>
      <c r="BF269" s="88"/>
      <c r="BG269" s="169"/>
      <c r="BH269" s="169"/>
      <c r="BI269" s="88"/>
      <c r="BJ269" s="165"/>
      <c r="BK269" s="165"/>
      <c r="BL269" s="943"/>
      <c r="BM269" s="165"/>
      <c r="BN269" s="165"/>
      <c r="BO269" s="943"/>
      <c r="BP269" s="165"/>
      <c r="BQ269" s="165"/>
      <c r="BR269" s="943"/>
      <c r="BS269" s="166"/>
      <c r="BT269" s="166"/>
      <c r="BU269" s="167"/>
      <c r="BV269" s="166"/>
      <c r="BW269" s="166"/>
      <c r="BX269" s="167"/>
      <c r="BY269" s="166"/>
      <c r="BZ269" s="166"/>
      <c r="CA269" s="167"/>
      <c r="CB269" s="166"/>
      <c r="CC269" s="166"/>
      <c r="CD269" s="167"/>
      <c r="CE269" s="166"/>
      <c r="CF269" s="166"/>
      <c r="CG269" s="167"/>
      <c r="CH269" s="166"/>
      <c r="CI269" s="166"/>
      <c r="CJ269" s="167"/>
      <c r="CK269" s="166"/>
      <c r="CL269" s="166"/>
      <c r="CM269" s="167"/>
      <c r="CN269" s="166"/>
      <c r="CO269" s="166"/>
      <c r="CP269" s="167"/>
      <c r="CQ269" s="166"/>
      <c r="CR269" s="166"/>
      <c r="CS269" s="167"/>
      <c r="CT269" s="166"/>
      <c r="CU269" s="71"/>
      <c r="CV269" s="167"/>
      <c r="CW269" s="166"/>
      <c r="CX269" s="166"/>
      <c r="CY269" s="167"/>
      <c r="CZ269" s="166"/>
      <c r="DA269" s="166"/>
      <c r="DB269" s="167"/>
      <c r="DC269" s="166"/>
      <c r="DD269" s="166"/>
      <c r="DE269" s="167"/>
      <c r="DF269" s="166"/>
      <c r="DG269" s="166"/>
      <c r="DH269" s="1072"/>
      <c r="DI269" s="230"/>
      <c r="DJ269" s="166"/>
      <c r="DK269" s="1072"/>
      <c r="DL269" s="166"/>
      <c r="DM269" s="166"/>
      <c r="DN269" s="1072"/>
      <c r="DO269" s="166"/>
      <c r="DP269" s="166"/>
      <c r="DQ269" s="1072"/>
      <c r="DR269" s="318"/>
      <c r="DS269" s="166"/>
      <c r="DT269" s="1072"/>
      <c r="DU269" s="1629">
        <f>+DU267*1000000</f>
        <v>17421.891704805039</v>
      </c>
      <c r="DV269" s="1629">
        <f>+DV267*1000000</f>
        <v>15134.229127300719</v>
      </c>
      <c r="DW269" s="1625"/>
      <c r="DX269" s="1629">
        <f>+DX267*1000000</f>
        <v>15059.46095055904</v>
      </c>
      <c r="DY269" s="1629">
        <f>+DY267*1000000</f>
        <v>17101.67891384981</v>
      </c>
      <c r="DZ269" s="1072"/>
      <c r="EA269" s="1629">
        <f>+EA267*1000000</f>
        <v>16565.407045614946</v>
      </c>
      <c r="EB269" s="1629">
        <f>+EB267*1000000</f>
        <v>17101.67891384981</v>
      </c>
      <c r="EC269" s="1072"/>
      <c r="ED269" s="1629">
        <f>+ED267*1000000</f>
        <v>16565.407045614946</v>
      </c>
      <c r="EE269" s="1629">
        <f>+EE267*1000000</f>
        <v>17101.67891384981</v>
      </c>
      <c r="EF269" s="1072"/>
      <c r="EG269" s="166"/>
      <c r="EH269" s="166"/>
      <c r="EI269" s="1072"/>
      <c r="EJ269" s="166"/>
      <c r="EK269" s="166"/>
      <c r="EL269" s="1072"/>
      <c r="EM269" s="166"/>
      <c r="EN269" s="166"/>
      <c r="EO269" s="1072"/>
      <c r="EP269" s="166"/>
      <c r="EQ269" s="166"/>
      <c r="ER269" s="1072"/>
      <c r="ES269" s="166"/>
      <c r="ET269" s="166"/>
      <c r="EU269" s="1072"/>
      <c r="EV269" s="166"/>
      <c r="EW269" s="166"/>
      <c r="EX269" s="1072"/>
      <c r="EY269" s="166"/>
      <c r="EZ269" s="166"/>
      <c r="FA269" s="1072"/>
    </row>
    <row r="270" spans="1:173" outlineLevel="1">
      <c r="B270" s="35" t="s">
        <v>395</v>
      </c>
      <c r="D270" s="162" t="s">
        <v>696</v>
      </c>
      <c r="BA270" s="70">
        <f>BA267*BA265</f>
        <v>19.428514</v>
      </c>
      <c r="BB270" s="70">
        <f>BB267*BB265</f>
        <v>23.625919999999994</v>
      </c>
      <c r="BC270" s="1024">
        <f>SUM(BA270:BB270)</f>
        <v>43.054433999999993</v>
      </c>
      <c r="BD270" s="70">
        <f>BD267*BD265</f>
        <v>22.422145999999998</v>
      </c>
      <c r="BE270" s="70">
        <f>BE267*BE265</f>
        <v>28.509601</v>
      </c>
      <c r="BF270" s="1024">
        <f>SUM(BD270:BE270)</f>
        <v>50.931747000000001</v>
      </c>
      <c r="BG270" s="70">
        <f>BG267*BG265</f>
        <v>23.318348</v>
      </c>
      <c r="BH270" s="70">
        <f>BH267*BH265</f>
        <v>27.308395894175554</v>
      </c>
      <c r="BI270" s="1024">
        <f>SUM(BG270:BH270)</f>
        <v>50.626743894175554</v>
      </c>
      <c r="BJ270" s="70">
        <f>BJ267*BJ265</f>
        <v>24.251081920000004</v>
      </c>
      <c r="BK270" s="70">
        <f>BK267*BK265</f>
        <v>30.388782951038557</v>
      </c>
      <c r="BL270" s="1024">
        <f>SUM(BJ270:BK270)</f>
        <v>54.639864871038561</v>
      </c>
      <c r="BM270" s="70">
        <f>BM267*BM265</f>
        <v>33.370963036131485</v>
      </c>
      <c r="BN270" s="70">
        <f>BN267*BN265</f>
        <v>35.480834390830573</v>
      </c>
      <c r="BO270" s="1024">
        <f>SUM(BM270:BN270)</f>
        <v>68.851797426962065</v>
      </c>
      <c r="BP270" s="70">
        <f>BP267*BP265</f>
        <v>40.529915600805843</v>
      </c>
      <c r="BQ270" s="70">
        <f>BQ267*BQ265</f>
        <v>45.156457929210077</v>
      </c>
      <c r="BR270" s="1024">
        <f>SUM(BP270:BQ270)</f>
        <v>85.686373530015914</v>
      </c>
      <c r="BS270" s="70">
        <f>BS267*BS265</f>
        <v>45.46819812941569</v>
      </c>
      <c r="BT270" s="70">
        <f>BT267*BT265</f>
        <v>43.70689700311933</v>
      </c>
      <c r="BU270" s="70">
        <f>SUM(BS270:BT270)</f>
        <v>89.17509513253502</v>
      </c>
      <c r="BV270" s="70">
        <f>BV267*BV265</f>
        <v>54.95468387793948</v>
      </c>
      <c r="BW270" s="70">
        <f>BW267*BW265</f>
        <v>57.04451722841214</v>
      </c>
      <c r="BX270" s="70">
        <f>SUM(BV270:BW270)</f>
        <v>111.99920110635162</v>
      </c>
      <c r="BY270" s="70">
        <f>BY267*BY265</f>
        <v>61.573586929663072</v>
      </c>
      <c r="BZ270" s="70">
        <f>BZ267*BZ265</f>
        <v>81.95013291509818</v>
      </c>
      <c r="CA270" s="70">
        <f>SUM(BY270:BZ270)</f>
        <v>143.52371984476125</v>
      </c>
      <c r="CB270" s="70">
        <f>CB267*CB265</f>
        <v>68.32575878708731</v>
      </c>
      <c r="CC270" s="70">
        <f>CC267*CC265</f>
        <v>80.904212343473532</v>
      </c>
      <c r="CD270" s="70">
        <f>SUM(CB270:CC270)</f>
        <v>149.22997113056084</v>
      </c>
      <c r="CE270" s="70">
        <f>CE267*CE265</f>
        <v>71.345937080148659</v>
      </c>
      <c r="CF270" s="70">
        <f>CF267*CF265</f>
        <v>83.493152345370319</v>
      </c>
      <c r="CG270" s="70">
        <f>SUM(CE270:CF270)</f>
        <v>154.83908942551898</v>
      </c>
      <c r="CH270" s="70">
        <f>CH267*CH265</f>
        <v>68.052430057516275</v>
      </c>
      <c r="CI270" s="70">
        <f>CI267*CI265</f>
        <v>80.913568366725158</v>
      </c>
      <c r="CJ270" s="70">
        <f>SUM(CH270:CI270)</f>
        <v>148.96599842424143</v>
      </c>
      <c r="CK270" s="70">
        <f>CK267*CK265</f>
        <v>78.677537625312368</v>
      </c>
      <c r="CL270" s="70">
        <f>CL267*CL265</f>
        <v>76.936545111148064</v>
      </c>
      <c r="CM270" s="70">
        <f>SUM(CK270:CL270)</f>
        <v>155.61408273646043</v>
      </c>
      <c r="CN270" s="70">
        <f>CN267*CN265</f>
        <v>80.137331352854858</v>
      </c>
      <c r="CO270" s="70">
        <f>CO267*CO265</f>
        <v>92.692884880467872</v>
      </c>
      <c r="CP270" s="70">
        <f>SUM(CN270:CO270)</f>
        <v>172.83021623332274</v>
      </c>
      <c r="CQ270" s="70">
        <f>CQ267*CQ265</f>
        <v>105.08420149195445</v>
      </c>
      <c r="CR270" s="70">
        <f>CR267*CR265</f>
        <v>110.13956274711731</v>
      </c>
      <c r="CS270" s="70">
        <f>SUM(CQ270:CR270)</f>
        <v>215.22376423907176</v>
      </c>
      <c r="CT270" s="70">
        <f>CT267*CT265</f>
        <v>87.437568301585202</v>
      </c>
      <c r="CU270" s="70">
        <f>CU267*CU265</f>
        <v>77.705518513307723</v>
      </c>
      <c r="CV270" s="70">
        <f>SUM(CT270:CU270)</f>
        <v>165.14308681489291</v>
      </c>
      <c r="CW270" s="70">
        <f>CW267*CW265</f>
        <v>81.754126361982173</v>
      </c>
      <c r="CX270" s="70">
        <f>CX267*CX265</f>
        <v>72.569183739578079</v>
      </c>
      <c r="CY270" s="70">
        <f>SUM(CW270:CX270)</f>
        <v>154.32331010156025</v>
      </c>
      <c r="CZ270" s="70">
        <f>CZ267*CZ265</f>
        <v>81.680434188486402</v>
      </c>
      <c r="DA270" s="70">
        <f>DA267*DA265</f>
        <v>75.626570966546339</v>
      </c>
      <c r="DB270" s="70">
        <f>SUM(CZ270:DA270)</f>
        <v>157.30700515503275</v>
      </c>
      <c r="DC270" s="70">
        <f>DC267*DC265</f>
        <v>80.691313019277231</v>
      </c>
      <c r="DD270" s="70">
        <f>DD267*DD265</f>
        <v>73.751032006576011</v>
      </c>
      <c r="DE270" s="70">
        <f>SUM(DC270:DD270)</f>
        <v>154.44234502585323</v>
      </c>
      <c r="DF270" s="70">
        <f>DF267*DF265</f>
        <v>90.668793874110861</v>
      </c>
      <c r="DG270" s="70">
        <f>DG267*DG265</f>
        <v>58.134250979183527</v>
      </c>
      <c r="DH270" s="1070">
        <f>SUM(DF270:DG270)</f>
        <v>148.80304485329438</v>
      </c>
      <c r="DI270" s="163">
        <f>+DI272*DI78</f>
        <v>89.091706938610642</v>
      </c>
      <c r="DJ270" s="163">
        <f>+DJ272*DJ78</f>
        <v>103.88458630550303</v>
      </c>
      <c r="DK270" s="1085">
        <f>SUM(DI270:DJ270)</f>
        <v>192.97629324411366</v>
      </c>
      <c r="DL270" s="163">
        <f>+DL272*DL78</f>
        <v>103.08899889611185</v>
      </c>
      <c r="DM270" s="163">
        <f>+DM272*DM78</f>
        <v>108.40865540082346</v>
      </c>
      <c r="DN270" s="1085">
        <f t="shared" ref="DN270" si="1545">SUM(DL270:DM270)</f>
        <v>211.49765429693531</v>
      </c>
      <c r="DO270" s="163">
        <f>+DO272*DO78</f>
        <v>108.91707699089451</v>
      </c>
      <c r="DP270" s="163">
        <f>+DP272*DP78</f>
        <v>128.17967885768437</v>
      </c>
      <c r="DQ270" s="1085">
        <f t="shared" ref="DQ270" si="1546">SUM(DO270:DP270)</f>
        <v>237.09675584857888</v>
      </c>
      <c r="DR270" s="163">
        <f>+DR272*DR78</f>
        <v>123.91658449627482</v>
      </c>
      <c r="DS270" s="163">
        <f>+DS272*DS78</f>
        <v>142.51141825060515</v>
      </c>
      <c r="DT270" s="1085">
        <f t="shared" ref="DT270" si="1547">SUM(DR270:DS270)</f>
        <v>266.42800274688</v>
      </c>
      <c r="DU270" s="163">
        <f>+DU272*DU78</f>
        <v>136.19243294698433</v>
      </c>
      <c r="DV270" s="163">
        <f>+DV272*DV78</f>
        <v>156.6416451640105</v>
      </c>
      <c r="DW270" s="1085">
        <f t="shared" ref="DW270" si="1548">SUM(DU270:DV270)</f>
        <v>292.83407811099482</v>
      </c>
      <c r="DX270" s="163">
        <f>+DX272*DX78</f>
        <v>128.59252192166721</v>
      </c>
      <c r="DY270" s="233">
        <f>DY267*DY265</f>
        <v>194.70556493886505</v>
      </c>
      <c r="DZ270" s="1070">
        <f>SUM(DX270:DY270)</f>
        <v>323.29808686053229</v>
      </c>
      <c r="EA270" s="233">
        <f>EA267*EA265</f>
        <v>169.74212893660072</v>
      </c>
      <c r="EB270" s="233">
        <f>EB267*EB265</f>
        <v>208.33495448458564</v>
      </c>
      <c r="EC270" s="1070">
        <f>SUM(EA270:EB270)</f>
        <v>378.07708342118633</v>
      </c>
      <c r="ED270" s="233">
        <f>ED267*ED265</f>
        <v>185.01892054089478</v>
      </c>
      <c r="EE270" s="233">
        <f>EE267*EE265</f>
        <v>227.08510038819833</v>
      </c>
      <c r="EF270" s="1070">
        <f>SUM(ED270:EE270)</f>
        <v>412.10402092909311</v>
      </c>
      <c r="EG270" s="233">
        <f>EG267*EG265</f>
        <v>201.67062338957533</v>
      </c>
      <c r="EH270" s="233">
        <f>EH267*EH265</f>
        <v>247.52275942313622</v>
      </c>
      <c r="EI270" s="1070">
        <f>SUM(EG270:EH270)</f>
        <v>449.19338281271155</v>
      </c>
      <c r="EJ270" s="233">
        <f>EJ267*EJ265</f>
        <v>219.82097949463713</v>
      </c>
      <c r="EK270" s="233">
        <f>EK267*EK265</f>
        <v>269.79980777121847</v>
      </c>
      <c r="EL270" s="1070">
        <f>SUM(EJ270:EK270)</f>
        <v>489.6207872658556</v>
      </c>
      <c r="EM270" s="233">
        <f>EM267*EM265</f>
        <v>239.6048676491545</v>
      </c>
      <c r="EN270" s="233">
        <f>EN267*EN265</f>
        <v>294.08179047062816</v>
      </c>
      <c r="EO270" s="1070">
        <f>SUM(EM270:EN270)</f>
        <v>533.68665811978269</v>
      </c>
      <c r="EP270" s="233">
        <f>EP267*EP265</f>
        <v>261.16930573757844</v>
      </c>
      <c r="EQ270" s="233">
        <f>EQ267*EQ265</f>
        <v>320.54915161298476</v>
      </c>
      <c r="ER270" s="1070">
        <f>SUM(EP270:EQ270)</f>
        <v>581.7184573505632</v>
      </c>
      <c r="ES270" s="233">
        <f>ES267*ES265</f>
        <v>284.67454325396051</v>
      </c>
      <c r="ET270" s="233">
        <f>ET267*ET265</f>
        <v>349.39857525815341</v>
      </c>
      <c r="EU270" s="1070">
        <f>SUM(ES270:ET270)</f>
        <v>634.07311851211398</v>
      </c>
      <c r="EV270" s="233">
        <f>EV267*EV265</f>
        <v>310.29525214681701</v>
      </c>
      <c r="EW270" s="233">
        <f>EW267*EW265</f>
        <v>380.84444703138723</v>
      </c>
      <c r="EX270" s="1070">
        <f>SUM(EV270:EW270)</f>
        <v>691.13969917820418</v>
      </c>
      <c r="EY270" s="233">
        <f>EY267*EY265</f>
        <v>338.22182484003059</v>
      </c>
      <c r="EZ270" s="233">
        <f>EZ267*EZ265</f>
        <v>415.12044726421215</v>
      </c>
      <c r="FA270" s="1070">
        <f>SUM(EY270:EZ270)</f>
        <v>753.34227210424274</v>
      </c>
    </row>
    <row r="271" spans="1:173" outlineLevel="1">
      <c r="D271" s="162" t="s">
        <v>209</v>
      </c>
      <c r="BA271" s="70"/>
      <c r="BB271" s="70"/>
      <c r="BC271" s="1024"/>
      <c r="BD271" s="65">
        <f t="shared" ref="BD271:CI271" si="1549">BD270/BA270-1</f>
        <v>0.15408445545552274</v>
      </c>
      <c r="BE271" s="65">
        <f t="shared" si="1549"/>
        <v>0.20670860647966327</v>
      </c>
      <c r="BF271" s="64">
        <f t="shared" si="1549"/>
        <v>0.18296171307234022</v>
      </c>
      <c r="BG271" s="65">
        <f t="shared" si="1549"/>
        <v>3.9969501581160083E-2</v>
      </c>
      <c r="BH271" s="65">
        <f t="shared" si="1549"/>
        <v>-4.2133353806826146E-2</v>
      </c>
      <c r="BI271" s="64">
        <f t="shared" si="1549"/>
        <v>-5.9884673860578497E-3</v>
      </c>
      <c r="BJ271" s="65">
        <f t="shared" si="1549"/>
        <v>4.0000000000000258E-2</v>
      </c>
      <c r="BK271" s="65">
        <f t="shared" si="1549"/>
        <v>0.11280000000000001</v>
      </c>
      <c r="BL271" s="64">
        <f t="shared" si="1549"/>
        <v>7.9268794873547099E-2</v>
      </c>
      <c r="BM271" s="65">
        <f t="shared" si="1549"/>
        <v>0.37606079375000023</v>
      </c>
      <c r="BN271" s="65">
        <f t="shared" si="1549"/>
        <v>0.1675635200000003</v>
      </c>
      <c r="BO271" s="64">
        <f t="shared" si="1549"/>
        <v>0.26010189793599636</v>
      </c>
      <c r="BP271" s="65">
        <f t="shared" si="1549"/>
        <v>0.21452640000000001</v>
      </c>
      <c r="BQ271" s="65">
        <f t="shared" si="1549"/>
        <v>0.27270000000000016</v>
      </c>
      <c r="BR271" s="64">
        <f t="shared" si="1549"/>
        <v>0.24450452612964768</v>
      </c>
      <c r="BS271" s="65">
        <f t="shared" si="1549"/>
        <v>0.12184290185177837</v>
      </c>
      <c r="BT271" s="65">
        <f t="shared" si="1549"/>
        <v>-3.2100855393998429E-2</v>
      </c>
      <c r="BU271" s="65">
        <f t="shared" si="1549"/>
        <v>4.0715010552955677E-2</v>
      </c>
      <c r="BV271" s="65">
        <f t="shared" si="1549"/>
        <v>0.20864001959177036</v>
      </c>
      <c r="BW271" s="65">
        <f t="shared" si="1549"/>
        <v>0.30516053849214941</v>
      </c>
      <c r="BX271" s="65">
        <f t="shared" si="1549"/>
        <v>0.25594708858896809</v>
      </c>
      <c r="BY271" s="65">
        <f t="shared" si="1549"/>
        <v>0.12044292833027526</v>
      </c>
      <c r="BZ271" s="65">
        <f t="shared" si="1549"/>
        <v>0.43659964001380502</v>
      </c>
      <c r="CA271" s="65">
        <f t="shared" si="1549"/>
        <v>0.28147092503342708</v>
      </c>
      <c r="CB271" s="65">
        <f t="shared" si="1549"/>
        <v>0.10966019999999999</v>
      </c>
      <c r="CC271" s="65">
        <f t="shared" si="1549"/>
        <v>-1.2762890484976253E-2</v>
      </c>
      <c r="CD271" s="65">
        <f t="shared" si="1549"/>
        <v>3.9758245480061571E-2</v>
      </c>
      <c r="CE271" s="65">
        <f t="shared" si="1549"/>
        <v>4.4202630847798519E-2</v>
      </c>
      <c r="CF271" s="65">
        <f t="shared" si="1549"/>
        <v>3.200006435889402E-2</v>
      </c>
      <c r="CG271" s="65">
        <f t="shared" si="1549"/>
        <v>3.758707619162327E-2</v>
      </c>
      <c r="CH271" s="65">
        <f t="shared" si="1549"/>
        <v>-4.6162502833658525E-2</v>
      </c>
      <c r="CI271" s="65">
        <f t="shared" si="1549"/>
        <v>-3.0895754995268199E-2</v>
      </c>
      <c r="CJ271" s="65">
        <f t="shared" ref="CJ271:DO271" si="1550">CJ270/CG270-1</f>
        <v>-3.793028635771345E-2</v>
      </c>
      <c r="CK271" s="65">
        <f t="shared" si="1550"/>
        <v>0.15613120000000014</v>
      </c>
      <c r="CL271" s="65">
        <f t="shared" si="1550"/>
        <v>-4.9151500000000015E-2</v>
      </c>
      <c r="CM271" s="65">
        <f t="shared" si="1550"/>
        <v>4.4628199606234098E-2</v>
      </c>
      <c r="CN271" s="65">
        <f t="shared" si="1550"/>
        <v>1.8554135927518312E-2</v>
      </c>
      <c r="CO271" s="65">
        <f t="shared" si="1550"/>
        <v>0.20479655989955181</v>
      </c>
      <c r="CP271" s="65">
        <f t="shared" si="1550"/>
        <v>0.11063351847158098</v>
      </c>
      <c r="CQ271" s="65">
        <f t="shared" si="1550"/>
        <v>0.31130148356519816</v>
      </c>
      <c r="CR271" s="65">
        <f t="shared" si="1550"/>
        <v>0.18822024893440092</v>
      </c>
      <c r="CS271" s="65">
        <f t="shared" si="1550"/>
        <v>0.24529014040297925</v>
      </c>
      <c r="CT271" s="65">
        <f t="shared" si="1550"/>
        <v>-0.16792850818512739</v>
      </c>
      <c r="CU271" s="65">
        <f t="shared" si="1550"/>
        <v>-0.29448132373903479</v>
      </c>
      <c r="CV271" s="65">
        <f t="shared" si="1550"/>
        <v>-0.23269120675981181</v>
      </c>
      <c r="CW271" s="65">
        <f t="shared" si="1550"/>
        <v>-6.4999999999999836E-2</v>
      </c>
      <c r="CX271" s="65">
        <f t="shared" si="1550"/>
        <v>-6.6100000000000048E-2</v>
      </c>
      <c r="CY271" s="65">
        <f t="shared" si="1550"/>
        <v>-6.5517587941543276E-2</v>
      </c>
      <c r="CZ271" s="65">
        <f t="shared" si="1550"/>
        <v>-9.0138781704407478E-4</v>
      </c>
      <c r="DA271" s="65">
        <f t="shared" si="1550"/>
        <v>4.2130654768558484E-2</v>
      </c>
      <c r="DB271" s="65">
        <f t="shared" si="1550"/>
        <v>1.9334052979481431E-2</v>
      </c>
      <c r="DC271" s="65">
        <f t="shared" si="1550"/>
        <v>-1.2109646319051981E-2</v>
      </c>
      <c r="DD271" s="65">
        <f t="shared" si="1550"/>
        <v>-2.4799999999999711E-2</v>
      </c>
      <c r="DE271" s="65">
        <f t="shared" si="1550"/>
        <v>-1.8210632936252802E-2</v>
      </c>
      <c r="DF271" s="65">
        <f t="shared" si="1550"/>
        <v>0.12365000000000004</v>
      </c>
      <c r="DG271" s="65">
        <f t="shared" si="1550"/>
        <v>-0.21175000000000022</v>
      </c>
      <c r="DH271" s="1066">
        <f t="shared" si="1550"/>
        <v>-3.6513950701893561E-2</v>
      </c>
      <c r="DI271" s="65">
        <f t="shared" si="1550"/>
        <v>-1.7393933106576109E-2</v>
      </c>
      <c r="DJ271" s="65">
        <f t="shared" si="1550"/>
        <v>0.78697729059417321</v>
      </c>
      <c r="DK271" s="1066">
        <f t="shared" si="1550"/>
        <v>0.29685715392699041</v>
      </c>
      <c r="DL271" s="65">
        <f t="shared" si="1550"/>
        <v>0.15711105374988654</v>
      </c>
      <c r="DM271" s="65">
        <f t="shared" si="1550"/>
        <v>4.3548992744853132E-2</v>
      </c>
      <c r="DN271" s="1066">
        <f t="shared" si="1550"/>
        <v>9.5977390494242032E-2</v>
      </c>
      <c r="DO271" s="65">
        <f t="shared" si="1550"/>
        <v>5.6534432938435408E-2</v>
      </c>
      <c r="DP271" s="65">
        <f t="shared" ref="DP271:EF271" si="1551">DP270/DM270-1</f>
        <v>0.18237495321531982</v>
      </c>
      <c r="DQ271" s="1066">
        <f t="shared" si="1551"/>
        <v>0.12103728354217735</v>
      </c>
      <c r="DR271" s="65">
        <f t="shared" si="1551"/>
        <v>0.13771492882272507</v>
      </c>
      <c r="DS271" s="65">
        <f t="shared" si="1551"/>
        <v>0.11180976205154214</v>
      </c>
      <c r="DT271" s="1066">
        <f t="shared" si="1551"/>
        <v>0.1237100305034684</v>
      </c>
      <c r="DU271" s="65">
        <f t="shared" si="1551"/>
        <v>9.906541969834981E-2</v>
      </c>
      <c r="DV271" s="65">
        <f t="shared" ref="DV271" si="1552">DV270/DS270-1</f>
        <v>9.9151542289456884E-2</v>
      </c>
      <c r="DW271" s="1066">
        <f t="shared" ref="DW271" si="1553">DW270/DT270-1</f>
        <v>9.9111486374808377E-2</v>
      </c>
      <c r="DX271" s="65">
        <f t="shared" si="1551"/>
        <v>-5.5802740731385025E-2</v>
      </c>
      <c r="DY271" s="65">
        <f t="shared" si="1551"/>
        <v>0.2430000000000001</v>
      </c>
      <c r="DZ271" s="1066">
        <f t="shared" si="1551"/>
        <v>0.10403163779999169</v>
      </c>
      <c r="EA271" s="65">
        <f t="shared" si="1551"/>
        <v>0.32000000000000006</v>
      </c>
      <c r="EB271" s="65">
        <f t="shared" si="1551"/>
        <v>7.0000000000000062E-2</v>
      </c>
      <c r="EC271" s="1066">
        <f t="shared" si="1551"/>
        <v>0.16943804738406998</v>
      </c>
      <c r="ED271" s="65">
        <f t="shared" si="1551"/>
        <v>9.000000000000008E-2</v>
      </c>
      <c r="EE271" s="65">
        <f t="shared" si="1551"/>
        <v>8.9999999999999858E-2</v>
      </c>
      <c r="EF271" s="1066">
        <f t="shared" si="1551"/>
        <v>9.000000000000008E-2</v>
      </c>
      <c r="EG271" s="65">
        <f t="shared" ref="EG271:EL271" si="1554">EG270/ED270-1</f>
        <v>9.000000000000008E-2</v>
      </c>
      <c r="EH271" s="65">
        <f t="shared" si="1554"/>
        <v>9.0000000000000302E-2</v>
      </c>
      <c r="EI271" s="1066">
        <f t="shared" si="1554"/>
        <v>9.000000000000008E-2</v>
      </c>
      <c r="EJ271" s="65">
        <f t="shared" si="1554"/>
        <v>9.000000000000008E-2</v>
      </c>
      <c r="EK271" s="65">
        <f t="shared" si="1554"/>
        <v>8.9999999999999858E-2</v>
      </c>
      <c r="EL271" s="1066">
        <f t="shared" si="1554"/>
        <v>9.000000000000008E-2</v>
      </c>
      <c r="EM271" s="65">
        <f t="shared" ref="EM271:ER271" si="1555">EM270/EJ270-1</f>
        <v>9.000000000000008E-2</v>
      </c>
      <c r="EN271" s="65">
        <f t="shared" si="1555"/>
        <v>9.000000000000008E-2</v>
      </c>
      <c r="EO271" s="1066">
        <f t="shared" si="1555"/>
        <v>9.000000000000008E-2</v>
      </c>
      <c r="EP271" s="65">
        <f t="shared" si="1555"/>
        <v>9.000000000000008E-2</v>
      </c>
      <c r="EQ271" s="65">
        <f t="shared" si="1555"/>
        <v>9.0000000000000302E-2</v>
      </c>
      <c r="ER271" s="1066">
        <f t="shared" si="1555"/>
        <v>9.000000000000008E-2</v>
      </c>
      <c r="ES271" s="65">
        <f t="shared" ref="ES271" si="1556">ES270/EP270-1</f>
        <v>9.000000000000008E-2</v>
      </c>
      <c r="ET271" s="65">
        <f t="shared" ref="ET271" si="1557">ET270/EQ270-1</f>
        <v>9.000000000000008E-2</v>
      </c>
      <c r="EU271" s="1066">
        <f t="shared" ref="EU271" si="1558">EU270/ER270-1</f>
        <v>9.000000000000008E-2</v>
      </c>
      <c r="EV271" s="65">
        <f t="shared" ref="EV271" si="1559">EV270/ES270-1</f>
        <v>9.000000000000008E-2</v>
      </c>
      <c r="EW271" s="65">
        <f t="shared" ref="EW271" si="1560">EW270/ET270-1</f>
        <v>9.000000000000008E-2</v>
      </c>
      <c r="EX271" s="1066">
        <f t="shared" ref="EX271" si="1561">EX270/EU270-1</f>
        <v>8.9999999999999858E-2</v>
      </c>
      <c r="EY271" s="65">
        <f t="shared" ref="EY271" si="1562">EY270/EV270-1</f>
        <v>9.000000000000008E-2</v>
      </c>
      <c r="EZ271" s="65">
        <f t="shared" ref="EZ271" si="1563">EZ270/EW270-1</f>
        <v>9.000000000000008E-2</v>
      </c>
      <c r="FA271" s="1066">
        <f t="shared" ref="FA271" si="1564">FA270/EX270-1</f>
        <v>9.0000000000000302E-2</v>
      </c>
    </row>
    <row r="272" spans="1:173" outlineLevel="1">
      <c r="B272" s="35" t="str">
        <f>B270</f>
        <v>Cochlear system revenue</v>
      </c>
      <c r="D272" s="162" t="s">
        <v>604</v>
      </c>
      <c r="BA272" s="70"/>
      <c r="BB272" s="70"/>
      <c r="BC272" s="1024"/>
      <c r="BD272" s="70">
        <f>BD270/BD78</f>
        <v>39.4</v>
      </c>
      <c r="BE272" s="70">
        <f>BE270/BE78</f>
        <v>47.9</v>
      </c>
      <c r="BF272" s="1024">
        <f>SUM(BD272:BE272)</f>
        <v>87.3</v>
      </c>
      <c r="BG272" s="70">
        <f>BG270/BG78</f>
        <v>42.099999999999994</v>
      </c>
      <c r="BH272" s="70">
        <f>BH270/BH78</f>
        <v>48.746712650926533</v>
      </c>
      <c r="BI272" s="1024">
        <f>SUM(BG272:BH272)</f>
        <v>90.84671265092652</v>
      </c>
      <c r="BJ272" s="70">
        <f>BJ270/BJ78</f>
        <v>40.418469866666676</v>
      </c>
      <c r="BK272" s="70">
        <f>BK270/BK78</f>
        <v>52.850057306154014</v>
      </c>
      <c r="BL272" s="1024">
        <f>SUM(BJ272:BK272)</f>
        <v>93.268527172820683</v>
      </c>
      <c r="BM272" s="70">
        <f>BM270/BM78</f>
        <v>59.326156508678196</v>
      </c>
      <c r="BN272" s="70">
        <f>BN270/BN78</f>
        <v>59.134723984717624</v>
      </c>
      <c r="BO272" s="1024">
        <f>SUM(BM272:BN272)</f>
        <v>118.46088049339582</v>
      </c>
      <c r="BP272" s="70">
        <f>BP270/BP78</f>
        <v>67.549859334676412</v>
      </c>
      <c r="BQ272" s="70">
        <f>BQ270/BQ78</f>
        <v>75.260763215350138</v>
      </c>
      <c r="BR272" s="1024">
        <f>SUM(BP272:BQ272)</f>
        <v>142.81062255002655</v>
      </c>
      <c r="BS272" s="70">
        <f>BS270/BS78</f>
        <v>75.780330215692814</v>
      </c>
      <c r="BT272" s="70">
        <f>BT270/BT78</f>
        <v>72.844828338532224</v>
      </c>
      <c r="BU272" s="70">
        <f>SUM(BS272:BT272)</f>
        <v>148.62515855422504</v>
      </c>
      <c r="BV272" s="70">
        <f>BV270/BV78</f>
        <v>89.199116814003602</v>
      </c>
      <c r="BW272" s="70">
        <f>BW270/BW78</f>
        <v>94.601189433519309</v>
      </c>
      <c r="BX272" s="70">
        <f>SUM(BV272:BW272)</f>
        <v>183.80030624752291</v>
      </c>
      <c r="BY272" s="70">
        <f>BY270/BY78</f>
        <v>109.95283380296976</v>
      </c>
      <c r="BZ272" s="70">
        <f>BZ270/BZ78</f>
        <v>121.47803519286929</v>
      </c>
      <c r="CA272" s="70">
        <f>SUM(BY272:BZ272)</f>
        <v>231.43086899583903</v>
      </c>
      <c r="CB272" s="70">
        <f>CB270/CB78</f>
        <v>114.0140315999955</v>
      </c>
      <c r="CC272" s="70">
        <f>CC270/CC78</f>
        <v>119.92762433337261</v>
      </c>
      <c r="CD272" s="70">
        <f>SUM(CB272:CC272)</f>
        <v>233.94165593336811</v>
      </c>
      <c r="CE272" s="70">
        <f>CE270/CE78</f>
        <v>100.32177959497093</v>
      </c>
      <c r="CF272" s="70">
        <f>CF270/CF78</f>
        <v>112.72387099668271</v>
      </c>
      <c r="CG272" s="70">
        <f>SUM(CE272:CF272)</f>
        <v>213.04565059165364</v>
      </c>
      <c r="CH272" s="70">
        <f>CH270/CH78</f>
        <v>91.962743320967945</v>
      </c>
      <c r="CI272" s="70">
        <f>CI270/CI78</f>
        <v>101.14196045840644</v>
      </c>
      <c r="CJ272" s="70">
        <f>SUM(CH272:CI272)</f>
        <v>193.1047037793744</v>
      </c>
      <c r="CK272" s="70">
        <f>CK270/CK78</f>
        <v>98.072792757691332</v>
      </c>
      <c r="CL272" s="70">
        <f>CL270/CL78</f>
        <v>98.441637020587663</v>
      </c>
      <c r="CM272" s="70">
        <f>SUM(CK272:CL272)</f>
        <v>196.51442977827901</v>
      </c>
      <c r="CN272" s="70">
        <f>CN270/CN78</f>
        <v>119.60795724306695</v>
      </c>
      <c r="CO272" s="74">
        <f>CO270/CO78</f>
        <v>138.87026076326254</v>
      </c>
      <c r="CP272" s="70">
        <f>SUM(CN272:CO272)</f>
        <v>258.47821800632948</v>
      </c>
      <c r="CQ272" s="70">
        <f>CQ270/CQ78</f>
        <v>152.29594419123833</v>
      </c>
      <c r="CR272" s="70">
        <f>CR270/CR78</f>
        <v>164.38740708524972</v>
      </c>
      <c r="CS272" s="70">
        <f>SUM(CQ272:CR272)</f>
        <v>316.68335127648805</v>
      </c>
      <c r="CT272" s="70">
        <f>CT270/CT78</f>
        <v>133.43984174422587</v>
      </c>
      <c r="CU272" s="70">
        <f>CU270/CU78</f>
        <v>118.16269999999999</v>
      </c>
      <c r="CV272" s="70">
        <f>SUM(CT272:CU272)</f>
        <v>251.60254174422585</v>
      </c>
      <c r="CW272" s="70">
        <f>CW270/CW78</f>
        <v>118.9778431752449</v>
      </c>
      <c r="CX272" s="70">
        <f>CX270/CX78</f>
        <v>104.14130160313186</v>
      </c>
      <c r="CY272" s="70">
        <f>SUM(CW272:CX272)</f>
        <v>223.11914477837678</v>
      </c>
      <c r="CZ272" s="70">
        <f>CZ270/CZ78</f>
        <v>123.15786601013158</v>
      </c>
      <c r="DA272" s="70">
        <f>DA270/DA78</f>
        <v>118.76355551542177</v>
      </c>
      <c r="DB272" s="70">
        <f>SUM(CZ272:DA272)</f>
        <v>241.92142152555334</v>
      </c>
      <c r="DC272" s="70">
        <f>DC270/DC78</f>
        <v>128.33506376772706</v>
      </c>
      <c r="DD272" s="70">
        <f>DD270/DD78</f>
        <v>116.59080914719327</v>
      </c>
      <c r="DE272" s="70">
        <f>SUM(DC272:DD272)</f>
        <v>244.92587291492032</v>
      </c>
      <c r="DF272" s="70">
        <f>DF270/DF78</f>
        <v>145.64581703967798</v>
      </c>
      <c r="DG272" s="70">
        <f>DG270/DG78</f>
        <v>96.890418298639219</v>
      </c>
      <c r="DH272" s="1070">
        <f>SUM(DF272:DG272)</f>
        <v>242.5362353383172</v>
      </c>
      <c r="DI272" s="1152">
        <f>+DI118*DI92</f>
        <v>145.44523424878835</v>
      </c>
      <c r="DJ272" s="1152">
        <f>+DJ118*DJ92</f>
        <v>165.67140572951371</v>
      </c>
      <c r="DK272" s="1157">
        <f>SUM(DI272:DJ272)</f>
        <v>311.11663997830203</v>
      </c>
      <c r="DL272" s="1152">
        <f>+DL118*DL92</f>
        <v>161.07656077517476</v>
      </c>
      <c r="DM272" s="1152">
        <f>+DM118*DM92</f>
        <v>168.59821990796806</v>
      </c>
      <c r="DN272" s="1157">
        <f t="shared" ref="DN272" si="1565">SUM(DL272:DM272)</f>
        <v>329.67478068314279</v>
      </c>
      <c r="DO272" s="1152">
        <f>+DO118*DO92</f>
        <v>164.86133587358512</v>
      </c>
      <c r="DP272" s="1152">
        <f>+DP118*DP92</f>
        <v>205.07279480910287</v>
      </c>
      <c r="DQ272" s="1157">
        <f t="shared" ref="DQ272" si="1566">SUM(DO272:DP272)</f>
        <v>369.93413068268796</v>
      </c>
      <c r="DR272" s="1152">
        <f>+DR118*DR92</f>
        <v>205.31367882162743</v>
      </c>
      <c r="DS272" s="1152">
        <f>+DS118*DS92</f>
        <v>233.87527078965752</v>
      </c>
      <c r="DT272" s="1157">
        <f t="shared" ref="DT272" si="1567">SUM(DR272:DS272)</f>
        <v>439.18894961128495</v>
      </c>
      <c r="DU272" s="1152">
        <f>+DU118*DU92</f>
        <v>223.06598854602956</v>
      </c>
      <c r="DV272" s="1152">
        <f>+DV118*DV92</f>
        <v>270.07180200691465</v>
      </c>
      <c r="DW272" s="1157">
        <f t="shared" ref="DW272" si="1568">SUM(DU272:DV272)</f>
        <v>493.13779055294424</v>
      </c>
      <c r="DX272" s="1152">
        <f>+DX118*DX92</f>
        <v>228.83571428571429</v>
      </c>
      <c r="DY272" s="1154">
        <f>DY270/DY78</f>
        <v>324.50927489810846</v>
      </c>
      <c r="DZ272" s="1153">
        <f>SUM(DX272:DY272)</f>
        <v>553.34498918382269</v>
      </c>
      <c r="EA272" s="1154">
        <f>EA270/EA78</f>
        <v>282.9035482276679</v>
      </c>
      <c r="EB272" s="1154">
        <f>EB270/EB78</f>
        <v>347.2249241409761</v>
      </c>
      <c r="EC272" s="1153">
        <f>SUM(EA272:EB272)</f>
        <v>630.128472368644</v>
      </c>
      <c r="ED272" s="1154">
        <f>ED270/ED78</f>
        <v>308.36486756815799</v>
      </c>
      <c r="EE272" s="1154">
        <f>EE270/EE78</f>
        <v>378.47516731366392</v>
      </c>
      <c r="EF272" s="1153">
        <f>SUM(ED272:EE272)</f>
        <v>686.84003488182191</v>
      </c>
      <c r="EG272" s="1154">
        <f>EG270/EG78</f>
        <v>336.11770564929225</v>
      </c>
      <c r="EH272" s="1154">
        <f>EH270/EH78</f>
        <v>412.5379323718937</v>
      </c>
      <c r="EI272" s="1153">
        <f>SUM(EG272:EH272)</f>
        <v>748.65563802118595</v>
      </c>
      <c r="EJ272" s="1154">
        <f>EJ270/EJ78</f>
        <v>366.36829915772859</v>
      </c>
      <c r="EK272" s="1154">
        <f>EK270/EK78</f>
        <v>449.66634628536411</v>
      </c>
      <c r="EL272" s="1153">
        <f>SUM(EJ272:EK272)</f>
        <v>816.0346454430927</v>
      </c>
      <c r="EM272" s="1154">
        <f>EM270/EM78</f>
        <v>399.34144608192418</v>
      </c>
      <c r="EN272" s="1154">
        <f>EN270/EN78</f>
        <v>490.13631745104698</v>
      </c>
      <c r="EO272" s="1153">
        <f>SUM(EM272:EN272)</f>
        <v>889.47776353297115</v>
      </c>
      <c r="EP272" s="1154">
        <f>EP270/EP78</f>
        <v>435.28217622929742</v>
      </c>
      <c r="EQ272" s="1154">
        <f>EQ270/EQ78</f>
        <v>534.24858602164124</v>
      </c>
      <c r="ER272" s="1153">
        <f>SUM(EP272:EQ272)</f>
        <v>969.53076225093866</v>
      </c>
      <c r="ES272" s="1154">
        <f>ES270/ES78</f>
        <v>474.45757208993422</v>
      </c>
      <c r="ET272" s="1154">
        <f>ET270/ET78</f>
        <v>582.33095876358902</v>
      </c>
      <c r="EU272" s="1153">
        <f>SUM(ES272:ET272)</f>
        <v>1056.7885308535233</v>
      </c>
      <c r="EV272" s="1154">
        <f>EV270/EV78</f>
        <v>517.15875357802838</v>
      </c>
      <c r="EW272" s="1154">
        <f>EW270/EW78</f>
        <v>634.74074505231204</v>
      </c>
      <c r="EX272" s="1153">
        <f>SUM(EV272:EW272)</f>
        <v>1151.8994986303405</v>
      </c>
      <c r="EY272" s="1154">
        <f>EY270/EY78</f>
        <v>563.70304140005101</v>
      </c>
      <c r="EZ272" s="1154">
        <f>EZ270/EZ78</f>
        <v>691.8674121070203</v>
      </c>
      <c r="FA272" s="1153">
        <f>SUM(EY272:EZ272)</f>
        <v>1255.5704535070713</v>
      </c>
    </row>
    <row r="273" spans="1:173" outlineLevel="1">
      <c r="D273" s="162" t="s">
        <v>209</v>
      </c>
      <c r="BA273" s="35"/>
      <c r="BB273" s="35"/>
      <c r="BC273" s="322"/>
      <c r="BD273" s="65"/>
      <c r="BE273" s="65"/>
      <c r="BF273" s="64"/>
      <c r="BG273" s="65">
        <f t="shared" ref="BG273:CL273" si="1569">BG272/BD272-1</f>
        <v>6.8527918781725816E-2</v>
      </c>
      <c r="BH273" s="65">
        <f t="shared" si="1569"/>
        <v>1.7676673297004841E-2</v>
      </c>
      <c r="BI273" s="64">
        <f t="shared" si="1569"/>
        <v>4.0626719941884604E-2</v>
      </c>
      <c r="BJ273" s="65">
        <f t="shared" si="1569"/>
        <v>-3.994133333333294E-2</v>
      </c>
      <c r="BK273" s="65">
        <f t="shared" si="1569"/>
        <v>8.4176848695652229E-2</v>
      </c>
      <c r="BL273" s="64">
        <f t="shared" si="1569"/>
        <v>2.6658251589134041E-2</v>
      </c>
      <c r="BM273" s="65">
        <f t="shared" si="1569"/>
        <v>0.46779818000000017</v>
      </c>
      <c r="BN273" s="65">
        <f t="shared" si="1569"/>
        <v>0.1189150400000003</v>
      </c>
      <c r="BO273" s="64">
        <f t="shared" si="1569"/>
        <v>0.27010561959336288</v>
      </c>
      <c r="BP273" s="65">
        <f t="shared" si="1569"/>
        <v>0.1386185000000002</v>
      </c>
      <c r="BQ273" s="65">
        <f t="shared" si="1569"/>
        <v>0.27270000000000039</v>
      </c>
      <c r="BR273" s="64">
        <f t="shared" si="1569"/>
        <v>0.20555091229452938</v>
      </c>
      <c r="BS273" s="65">
        <f t="shared" si="1569"/>
        <v>0.12184290185177815</v>
      </c>
      <c r="BT273" s="65">
        <f t="shared" si="1569"/>
        <v>-3.2100855393998429E-2</v>
      </c>
      <c r="BU273" s="65">
        <f t="shared" si="1569"/>
        <v>4.0715010552955677E-2</v>
      </c>
      <c r="BV273" s="65">
        <f t="shared" si="1569"/>
        <v>0.17707479711578222</v>
      </c>
      <c r="BW273" s="65">
        <f t="shared" si="1569"/>
        <v>0.29866720247975076</v>
      </c>
      <c r="BX273" s="65">
        <f t="shared" si="1569"/>
        <v>0.23667021139267219</v>
      </c>
      <c r="BY273" s="65">
        <f t="shared" si="1569"/>
        <v>0.23266729234821271</v>
      </c>
      <c r="BZ273" s="65">
        <f t="shared" si="1569"/>
        <v>0.2841068481304625</v>
      </c>
      <c r="CA273" s="65">
        <f t="shared" si="1569"/>
        <v>0.25914299992608436</v>
      </c>
      <c r="CB273" s="65">
        <f t="shared" si="1569"/>
        <v>3.6935817446080765E-2</v>
      </c>
      <c r="CC273" s="65">
        <f t="shared" si="1569"/>
        <v>-1.2762890484976253E-2</v>
      </c>
      <c r="CD273" s="65">
        <f t="shared" si="1569"/>
        <v>1.0848971653708794E-2</v>
      </c>
      <c r="CE273" s="65">
        <f t="shared" si="1569"/>
        <v>-0.12009269221407926</v>
      </c>
      <c r="CF273" s="65">
        <f t="shared" si="1569"/>
        <v>-6.0067506354207767E-2</v>
      </c>
      <c r="CG273" s="65">
        <f t="shared" si="1569"/>
        <v>-8.9321438964534483E-2</v>
      </c>
      <c r="CH273" s="65">
        <f t="shared" si="1569"/>
        <v>-8.3322248745495986E-2</v>
      </c>
      <c r="CI273" s="65">
        <f t="shared" si="1569"/>
        <v>-0.10274585529995772</v>
      </c>
      <c r="CJ273" s="65">
        <f t="shared" si="1569"/>
        <v>-9.3599408187403976E-2</v>
      </c>
      <c r="CK273" s="65">
        <f t="shared" si="1569"/>
        <v>6.644048683278303E-2</v>
      </c>
      <c r="CL273" s="65">
        <f t="shared" si="1569"/>
        <v>-2.669834978064578E-2</v>
      </c>
      <c r="CM273" s="65">
        <f t="shared" ref="CM273:DR273" si="1570">CM272/CJ272-1</f>
        <v>1.7657394833842543E-2</v>
      </c>
      <c r="CN273" s="65">
        <f t="shared" si="1570"/>
        <v>0.21958347345713491</v>
      </c>
      <c r="CO273" s="65">
        <f t="shared" si="1570"/>
        <v>0.41068621943192385</v>
      </c>
      <c r="CP273" s="65">
        <f t="shared" si="1570"/>
        <v>0.31531418989415805</v>
      </c>
      <c r="CQ273" s="65">
        <f t="shared" si="1570"/>
        <v>0.27329274491113464</v>
      </c>
      <c r="CR273" s="65">
        <f t="shared" si="1570"/>
        <v>0.18374809827344696</v>
      </c>
      <c r="CS273" s="65">
        <f t="shared" si="1570"/>
        <v>0.22518390028800517</v>
      </c>
      <c r="CT273" s="65">
        <f t="shared" si="1570"/>
        <v>-0.12381224297959514</v>
      </c>
      <c r="CU273" s="65">
        <f t="shared" si="1570"/>
        <v>-0.28119372344183302</v>
      </c>
      <c r="CV273" s="65">
        <f t="shared" si="1570"/>
        <v>-0.20550751806160417</v>
      </c>
      <c r="CW273" s="65">
        <f t="shared" si="1570"/>
        <v>-0.10837841517154501</v>
      </c>
      <c r="CX273" s="65">
        <f t="shared" si="1570"/>
        <v>-0.1186617976473805</v>
      </c>
      <c r="CY273" s="65">
        <f t="shared" si="1570"/>
        <v>-0.11320790628102928</v>
      </c>
      <c r="CZ273" s="65">
        <f t="shared" si="1570"/>
        <v>3.5132783746380847E-2</v>
      </c>
      <c r="DA273" s="65">
        <f t="shared" si="1570"/>
        <v>0.14040782751125302</v>
      </c>
      <c r="DB273" s="65">
        <f t="shared" si="1570"/>
        <v>8.4270118397292926E-2</v>
      </c>
      <c r="DC273" s="65">
        <f t="shared" si="1570"/>
        <v>4.2037085614730962E-2</v>
      </c>
      <c r="DD273" s="65">
        <f t="shared" si="1570"/>
        <v>-1.8294723148014613E-2</v>
      </c>
      <c r="DE273" s="65">
        <f t="shared" si="1570"/>
        <v>1.2419120929519023E-2</v>
      </c>
      <c r="DF273" s="65">
        <f t="shared" si="1570"/>
        <v>0.13488716772901244</v>
      </c>
      <c r="DG273" s="65">
        <f t="shared" si="1570"/>
        <v>-0.16897035875000022</v>
      </c>
      <c r="DH273" s="1066">
        <f t="shared" si="1570"/>
        <v>-9.7565747063120822E-3</v>
      </c>
      <c r="DI273" s="65">
        <f t="shared" si="1570"/>
        <v>-1.3771956858533718E-3</v>
      </c>
      <c r="DJ273" s="65">
        <f t="shared" si="1570"/>
        <v>0.70988430681427328</v>
      </c>
      <c r="DK273" s="1066">
        <f t="shared" si="1570"/>
        <v>0.28276354064917797</v>
      </c>
      <c r="DL273" s="65">
        <f t="shared" si="1570"/>
        <v>0.10747224965548585</v>
      </c>
      <c r="DM273" s="65">
        <f t="shared" si="1570"/>
        <v>1.7666381024332267E-2</v>
      </c>
      <c r="DN273" s="1066">
        <f t="shared" si="1570"/>
        <v>5.9650106487827426E-2</v>
      </c>
      <c r="DO273" s="65">
        <f t="shared" si="1570"/>
        <v>2.3496746393120604E-2</v>
      </c>
      <c r="DP273" s="65">
        <f t="shared" si="1570"/>
        <v>0.21634021356242683</v>
      </c>
      <c r="DQ273" s="1066">
        <f t="shared" si="1570"/>
        <v>0.1221183795621883</v>
      </c>
      <c r="DR273" s="65">
        <f t="shared" si="1570"/>
        <v>0.24537192261417173</v>
      </c>
      <c r="DS273" s="65">
        <f t="shared" ref="DS273:EF273" si="1571">DS272/DP272-1</f>
        <v>0.14045000950694675</v>
      </c>
      <c r="DT273" s="1066">
        <f t="shared" si="1571"/>
        <v>0.18720851412328998</v>
      </c>
      <c r="DU273" s="65">
        <f t="shared" si="1571"/>
        <v>8.6464330220418439E-2</v>
      </c>
      <c r="DV273" s="65">
        <f t="shared" ref="DV273" si="1572">DV272/DS272-1</f>
        <v>0.15476852723694567</v>
      </c>
      <c r="DW273" s="1066">
        <f t="shared" ref="DW273" si="1573">DW272/DT272-1</f>
        <v>0.1228374279211899</v>
      </c>
      <c r="DX273" s="65">
        <f t="shared" si="1571"/>
        <v>2.5865555646974681E-2</v>
      </c>
      <c r="DY273" s="65">
        <f t="shared" si="1571"/>
        <v>0.20156666666666689</v>
      </c>
      <c r="DZ273" s="1066">
        <f t="shared" si="1571"/>
        <v>0.12209001172546419</v>
      </c>
      <c r="EA273" s="65">
        <f t="shared" si="1571"/>
        <v>0.23627358216666683</v>
      </c>
      <c r="EB273" s="65">
        <f t="shared" si="1571"/>
        <v>7.0000000000000062E-2</v>
      </c>
      <c r="EC273" s="1066">
        <f t="shared" si="1571"/>
        <v>0.13876240805591467</v>
      </c>
      <c r="ED273" s="65">
        <f t="shared" si="1571"/>
        <v>8.9999999999999858E-2</v>
      </c>
      <c r="EE273" s="65">
        <f t="shared" si="1571"/>
        <v>8.9999999999999858E-2</v>
      </c>
      <c r="EF273" s="1066">
        <f t="shared" si="1571"/>
        <v>8.9999999999999858E-2</v>
      </c>
      <c r="EG273" s="65">
        <f t="shared" ref="EG273:EL273" si="1574">EG272/ED272-1</f>
        <v>9.000000000000008E-2</v>
      </c>
      <c r="EH273" s="65">
        <f t="shared" si="1574"/>
        <v>9.000000000000008E-2</v>
      </c>
      <c r="EI273" s="1066">
        <f t="shared" si="1574"/>
        <v>9.000000000000008E-2</v>
      </c>
      <c r="EJ273" s="65">
        <f t="shared" si="1574"/>
        <v>9.000000000000008E-2</v>
      </c>
      <c r="EK273" s="65">
        <f t="shared" si="1574"/>
        <v>8.9999999999999858E-2</v>
      </c>
      <c r="EL273" s="1066">
        <f t="shared" si="1574"/>
        <v>9.000000000000008E-2</v>
      </c>
      <c r="EM273" s="65">
        <f t="shared" ref="EM273:ER273" si="1575">EM272/EJ272-1</f>
        <v>9.000000000000008E-2</v>
      </c>
      <c r="EN273" s="65">
        <f t="shared" si="1575"/>
        <v>9.0000000000000302E-2</v>
      </c>
      <c r="EO273" s="1066">
        <f t="shared" si="1575"/>
        <v>9.000000000000008E-2</v>
      </c>
      <c r="EP273" s="65">
        <f t="shared" si="1575"/>
        <v>9.000000000000008E-2</v>
      </c>
      <c r="EQ273" s="65">
        <f t="shared" si="1575"/>
        <v>9.000000000000008E-2</v>
      </c>
      <c r="ER273" s="1066">
        <f t="shared" si="1575"/>
        <v>9.000000000000008E-2</v>
      </c>
      <c r="ES273" s="65">
        <f t="shared" ref="ES273" si="1576">ES272/EP272-1</f>
        <v>9.000000000000008E-2</v>
      </c>
      <c r="ET273" s="65">
        <f t="shared" ref="ET273" si="1577">ET272/EQ272-1</f>
        <v>9.000000000000008E-2</v>
      </c>
      <c r="EU273" s="1066">
        <f t="shared" ref="EU273" si="1578">EU272/ER272-1</f>
        <v>9.000000000000008E-2</v>
      </c>
      <c r="EV273" s="65">
        <f t="shared" ref="EV273" si="1579">EV272/ES272-1</f>
        <v>9.000000000000008E-2</v>
      </c>
      <c r="EW273" s="65">
        <f t="shared" ref="EW273" si="1580">EW272/ET272-1</f>
        <v>9.000000000000008E-2</v>
      </c>
      <c r="EX273" s="1066">
        <f t="shared" ref="EX273" si="1581">EX272/EU272-1</f>
        <v>9.000000000000008E-2</v>
      </c>
      <c r="EY273" s="65">
        <f t="shared" ref="EY273" si="1582">EY272/EV272-1</f>
        <v>9.000000000000008E-2</v>
      </c>
      <c r="EZ273" s="65">
        <f t="shared" ref="EZ273" si="1583">EZ272/EW272-1</f>
        <v>9.0000000000000302E-2</v>
      </c>
      <c r="FA273" s="1066">
        <f t="shared" ref="FA273" si="1584">FA272/EX272-1</f>
        <v>9.000000000000008E-2</v>
      </c>
    </row>
    <row r="274" spans="1:173" outlineLevel="1">
      <c r="A274" s="1426" t="s">
        <v>738</v>
      </c>
      <c r="BA274" s="91"/>
      <c r="BB274" s="91"/>
      <c r="BC274" s="942"/>
      <c r="BD274" s="91"/>
      <c r="BE274" s="91"/>
      <c r="BF274" s="87"/>
      <c r="BG274" s="91"/>
      <c r="BH274" s="91"/>
      <c r="BI274" s="87"/>
      <c r="BR274" s="124"/>
      <c r="BS274" s="101"/>
      <c r="BT274" s="71"/>
      <c r="BU274" s="74"/>
      <c r="BV274" s="101"/>
      <c r="BW274" s="101"/>
      <c r="BX274" s="74"/>
      <c r="BY274" s="71"/>
      <c r="BZ274" s="71"/>
      <c r="CA274" s="70"/>
      <c r="CB274" s="71"/>
      <c r="CC274" s="71"/>
      <c r="CD274" s="70"/>
      <c r="CE274" s="71"/>
      <c r="CF274" s="71"/>
      <c r="CG274" s="70"/>
      <c r="CH274" s="71"/>
      <c r="CI274" s="71"/>
      <c r="CJ274" s="70"/>
      <c r="CU274" s="182">
        <f>+CV264-CT262-CU284-CU291</f>
        <v>118.84502521281553</v>
      </c>
      <c r="DH274" s="1067"/>
      <c r="DK274" s="1067"/>
      <c r="DN274" s="1067"/>
      <c r="DO274" s="316"/>
      <c r="DQ274" s="1067"/>
      <c r="DT274" s="1067"/>
      <c r="DW274" s="1067"/>
      <c r="DZ274" s="1067"/>
      <c r="EC274" s="1067"/>
      <c r="EF274" s="1067"/>
      <c r="EI274" s="1067"/>
      <c r="EL274" s="1067"/>
      <c r="EO274" s="1067"/>
      <c r="ER274" s="1067"/>
      <c r="EU274" s="1067"/>
      <c r="EX274" s="1067"/>
      <c r="FA274" s="1067"/>
    </row>
    <row r="275" spans="1:173" s="321" customFormat="1" outlineLevel="1">
      <c r="A275" s="1168"/>
      <c r="B275" s="186" t="s">
        <v>397</v>
      </c>
      <c r="C275" s="186"/>
      <c r="D275" s="910" t="s">
        <v>98</v>
      </c>
      <c r="E275" s="186"/>
      <c r="F275" s="186"/>
      <c r="G275" s="186"/>
      <c r="H275" s="186"/>
      <c r="I275" s="186"/>
      <c r="J275" s="186"/>
      <c r="K275" s="186"/>
      <c r="L275" s="186"/>
      <c r="M275" s="186"/>
      <c r="N275" s="186"/>
      <c r="O275" s="186"/>
      <c r="P275" s="186"/>
      <c r="Q275" s="186"/>
      <c r="R275" s="186"/>
      <c r="S275" s="186"/>
      <c r="T275" s="186"/>
      <c r="U275" s="186"/>
      <c r="V275" s="186"/>
      <c r="W275" s="186"/>
      <c r="X275" s="186"/>
      <c r="Y275" s="186"/>
      <c r="Z275" s="186"/>
      <c r="AA275" s="186"/>
      <c r="AB275" s="186"/>
      <c r="AC275" s="186"/>
      <c r="AD275" s="186"/>
      <c r="AE275" s="186"/>
      <c r="AF275" s="186"/>
      <c r="AG275" s="186"/>
      <c r="AH275" s="186"/>
      <c r="AI275" s="186"/>
      <c r="AJ275" s="186"/>
      <c r="AK275" s="186"/>
      <c r="AL275" s="186"/>
      <c r="AM275" s="186"/>
      <c r="AN275" s="186"/>
      <c r="AO275" s="186"/>
      <c r="AP275" s="186"/>
      <c r="AQ275" s="186"/>
      <c r="AR275" s="186"/>
      <c r="AS275" s="186"/>
      <c r="AT275" s="186"/>
      <c r="AU275" s="186"/>
      <c r="AV275" s="186"/>
      <c r="AW275" s="186"/>
      <c r="AX275" s="186"/>
      <c r="AY275" s="186"/>
      <c r="AZ275" s="186"/>
      <c r="BA275" s="186"/>
      <c r="BB275" s="186"/>
      <c r="BC275" s="331"/>
      <c r="BD275" s="186"/>
      <c r="BE275" s="186"/>
      <c r="BF275" s="331"/>
      <c r="BG275" s="186"/>
      <c r="BH275" s="186"/>
      <c r="BI275" s="331"/>
      <c r="BJ275" s="186"/>
      <c r="BK275" s="186"/>
      <c r="BL275" s="331"/>
      <c r="BM275" s="184">
        <f>(6300*0.52)*0.58</f>
        <v>1900.08</v>
      </c>
      <c r="BN275" s="184">
        <v>1617.1974674509286</v>
      </c>
      <c r="BO275" s="58">
        <f>SUM(BM275:BN275)</f>
        <v>3517.2774674509283</v>
      </c>
      <c r="BP275" s="184">
        <f>BM275*(1+BP276)</f>
        <v>2375.1</v>
      </c>
      <c r="BQ275" s="184">
        <f>BP275*(1+BQ276)</f>
        <v>2968.875</v>
      </c>
      <c r="BR275" s="58">
        <f>SUM(BP275:BQ275)</f>
        <v>5343.9750000000004</v>
      </c>
      <c r="BS275" s="184">
        <f>BP275*(1+BS276)</f>
        <v>3069.9932447834121</v>
      </c>
      <c r="BT275" s="184">
        <f>BQ275*(1+BT276)</f>
        <v>3591.1841202417145</v>
      </c>
      <c r="BU275" s="184">
        <f>SUM(BS275:BT275)</f>
        <v>6661.1773650251271</v>
      </c>
      <c r="BV275" s="184">
        <f>BS275*(1+BV276)</f>
        <v>3586.0528565757954</v>
      </c>
      <c r="BW275" s="184">
        <f>BT275*(1+BW276)</f>
        <v>4188.2898544307218</v>
      </c>
      <c r="BX275" s="184">
        <f>SUM(BV275:BW275)</f>
        <v>7774.3427110065168</v>
      </c>
      <c r="BY275" s="184">
        <f>BV275*(1+BY276)</f>
        <v>4257.2374259987937</v>
      </c>
      <c r="BZ275" s="184">
        <f>BW275*(1+BZ276)</f>
        <v>4737.6496382077139</v>
      </c>
      <c r="CA275" s="184">
        <f>SUM(BY275:BZ275)</f>
        <v>8994.8870642065085</v>
      </c>
      <c r="CB275" s="184">
        <f>BY275*(1+CB276)</f>
        <v>4555.4569076900088</v>
      </c>
      <c r="CC275" s="184">
        <f>BZ275*(1+CC276)</f>
        <v>4924.6920459241546</v>
      </c>
      <c r="CD275" s="184">
        <f>SUM(CB275:CC275)</f>
        <v>9480.1489536141635</v>
      </c>
      <c r="CE275" s="184">
        <f>CB275*(1+CE276)</f>
        <v>4151.1601071325204</v>
      </c>
      <c r="CF275" s="184">
        <f>CC275*(1+CF276)</f>
        <v>4564.8447981284771</v>
      </c>
      <c r="CG275" s="184">
        <f>SUM(CE275:CF275)</f>
        <v>8716.0049052609975</v>
      </c>
      <c r="CH275" s="184">
        <f>CE275*(1+CH276)</f>
        <v>4441.7413146317967</v>
      </c>
      <c r="CI275" s="184">
        <f>CF275*(1+CI276)</f>
        <v>4615.2479959033117</v>
      </c>
      <c r="CJ275" s="184">
        <f>SUM(CH275:CI275)</f>
        <v>9056.9893105351075</v>
      </c>
      <c r="CK275" s="184">
        <f>CH275*(1+CK276)</f>
        <v>4490.7852527822952</v>
      </c>
      <c r="CL275" s="184">
        <f>CI275*(1+CL276)</f>
        <v>4666.2077257089768</v>
      </c>
      <c r="CM275" s="184">
        <f>SUM(CK275:CL275)</f>
        <v>9156.9929784912711</v>
      </c>
      <c r="CN275" s="184">
        <f>CK275*(1+CN276)</f>
        <v>5546.6347678636794</v>
      </c>
      <c r="CO275" s="184">
        <f>CL275*(1+CO276)</f>
        <v>5763.3016384954753</v>
      </c>
      <c r="CP275" s="184">
        <f>SUM(CN275:CO275)</f>
        <v>11309.936406359155</v>
      </c>
      <c r="CQ275" s="184">
        <f>CN275*(1+CQ276)</f>
        <v>6101.2982446500482</v>
      </c>
      <c r="CR275" s="184">
        <f>CO275*(1+CR276)</f>
        <v>6339.6318023450231</v>
      </c>
      <c r="CS275" s="184">
        <f>SUM(CQ275:CR275)</f>
        <v>12440.930046995072</v>
      </c>
      <c r="CT275" s="184">
        <f>CQ275*(1+CT276)</f>
        <v>7027.685893220947</v>
      </c>
      <c r="CU275" s="184">
        <f>CR275*(1+CU276)</f>
        <v>7329.5388103403884</v>
      </c>
      <c r="CV275" s="184">
        <f>SUM(CT275:CU275)</f>
        <v>14357.224703561336</v>
      </c>
      <c r="CW275" s="184">
        <f>CT275*(1+CW276)</f>
        <v>8095.8941489905301</v>
      </c>
      <c r="CX275" s="184">
        <f>CU275*(1+CX276)</f>
        <v>9297.7199525445176</v>
      </c>
      <c r="CY275" s="184">
        <f>SUM(CW275:CX275)</f>
        <v>17393.614101535048</v>
      </c>
      <c r="CZ275" s="184">
        <f>CW275*(1+CZ276)</f>
        <v>8417.0210253348978</v>
      </c>
      <c r="DA275" s="184">
        <f>CX275*(1+DA276)</f>
        <v>8964.0713199700112</v>
      </c>
      <c r="DB275" s="184">
        <f>SUM(CZ275:DA275)</f>
        <v>17381.092345304911</v>
      </c>
      <c r="DC275" s="184">
        <f>CZ275*(1+DC276)</f>
        <v>9609.2804446475602</v>
      </c>
      <c r="DD275" s="184">
        <f>DA275*(1+DD276)</f>
        <v>10235.629019746852</v>
      </c>
      <c r="DE275" s="184">
        <f>SUM(DC275:DD275)</f>
        <v>19844.909464394412</v>
      </c>
      <c r="DF275" s="184">
        <f>DC275*(1+DF276)</f>
        <v>8388.9018281773206</v>
      </c>
      <c r="DG275" s="184">
        <f>DD275*(1+DG276)</f>
        <v>7216.1184589215309</v>
      </c>
      <c r="DH275" s="1060">
        <f>SUM(DF275:DG275)</f>
        <v>15605.020287098851</v>
      </c>
      <c r="DI275" s="234">
        <f>+DI280/DI277</f>
        <v>4309.8828356046424</v>
      </c>
      <c r="DJ275" s="234">
        <f>+DJ280/DJ277</f>
        <v>5574.930243870891</v>
      </c>
      <c r="DK275" s="1060">
        <f>SUM(DI275:DJ275)</f>
        <v>9884.8130794755343</v>
      </c>
      <c r="DL275" s="234">
        <f>+DL280/DL277</f>
        <v>6826.1354588026243</v>
      </c>
      <c r="DM275" s="234">
        <f>+DM280/DM277</f>
        <v>6590.5104767987541</v>
      </c>
      <c r="DN275" s="1060">
        <f>SUM(DL275:DM275)</f>
        <v>13416.645935601378</v>
      </c>
      <c r="DO275" s="234">
        <f>+DO280/DO277</f>
        <v>7711.9165454464001</v>
      </c>
      <c r="DP275" s="234">
        <f>+DP280/DP277</f>
        <v>7080.4729786353746</v>
      </c>
      <c r="DQ275" s="1060">
        <f>SUM(DO275:DP275)</f>
        <v>14792.389524081775</v>
      </c>
      <c r="DR275" s="234">
        <f>+DR280/DR277</f>
        <v>6660.6942838784234</v>
      </c>
      <c r="DS275" s="234">
        <f>+DS280/DS277</f>
        <v>8425.4252233720945</v>
      </c>
      <c r="DT275" s="1060">
        <f>SUM(DR275:DS275)</f>
        <v>15086.119507250518</v>
      </c>
      <c r="DU275" s="234">
        <f>+DU280/DU277</f>
        <v>7930.9233674431753</v>
      </c>
      <c r="DV275" s="234">
        <f>+DV280/DV277</f>
        <v>8199.3113242473264</v>
      </c>
      <c r="DW275" s="1060">
        <f>SUM(DU275:DV275)</f>
        <v>16130.234691690501</v>
      </c>
      <c r="DX275" s="234">
        <f>+DX280/DX277</f>
        <v>7493.5276236577465</v>
      </c>
      <c r="DY275" s="234">
        <f>DV275*(1+DY276)</f>
        <v>9224.2252397782431</v>
      </c>
      <c r="DZ275" s="1060">
        <f>SUM(DX275:DY275)</f>
        <v>16717.752863435991</v>
      </c>
      <c r="EA275" s="234">
        <f>DX275*(1+EA276)</f>
        <v>8317.8156622601</v>
      </c>
      <c r="EB275" s="234">
        <f>DY275*(1+EB276)</f>
        <v>9685.4365017671553</v>
      </c>
      <c r="EC275" s="1060">
        <f>SUM(EA275:EB275)</f>
        <v>18003.252164027253</v>
      </c>
      <c r="ED275" s="234">
        <f>EA275*(1+ED276)</f>
        <v>8900.0627586183073</v>
      </c>
      <c r="EE275" s="234">
        <f>EB275*(1+EE276)</f>
        <v>10363.417056890858</v>
      </c>
      <c r="EF275" s="1060">
        <f>SUM(ED275:EE275)</f>
        <v>19263.479815509163</v>
      </c>
      <c r="EG275" s="234">
        <f>ED275*(1+EG276)</f>
        <v>9701.0684068939554</v>
      </c>
      <c r="EH275" s="234">
        <f>EE275*(1+EH276)</f>
        <v>11296.124592011036</v>
      </c>
      <c r="EI275" s="1060">
        <f>SUM(EG275:EH275)</f>
        <v>20997.19299890499</v>
      </c>
      <c r="EJ275" s="234">
        <f>EG275*(1+EJ276)</f>
        <v>10574.164563514412</v>
      </c>
      <c r="EK275" s="234">
        <f>EH275*(1+EK276)</f>
        <v>12312.775805292031</v>
      </c>
      <c r="EL275" s="1060">
        <f>SUM(EJ275:EK275)</f>
        <v>22886.940368806441</v>
      </c>
      <c r="EM275" s="234">
        <f>EJ275*(1+EM276)</f>
        <v>11525.839374230711</v>
      </c>
      <c r="EN275" s="234">
        <f>EK275*(1+EN276)</f>
        <v>13420.925627768314</v>
      </c>
      <c r="EO275" s="1060">
        <f>SUM(EM275:EN275)</f>
        <v>24946.765001999025</v>
      </c>
      <c r="EP275" s="234">
        <f>EM275*(1+EP276)</f>
        <v>12563.164917911476</v>
      </c>
      <c r="EQ275" s="234">
        <f>EN275*(1+EQ276)</f>
        <v>14628.808934267463</v>
      </c>
      <c r="ER275" s="1060">
        <f>SUM(EP275:EQ275)</f>
        <v>27191.97385217894</v>
      </c>
      <c r="ES275" s="234">
        <f>EP275*(1+ES276)</f>
        <v>13693.84976052351</v>
      </c>
      <c r="ET275" s="234">
        <f>EQ275*(1+ET276)</f>
        <v>15945.401738351537</v>
      </c>
      <c r="EU275" s="1060">
        <f>SUM(ES275:ET275)</f>
        <v>29639.251498875048</v>
      </c>
      <c r="EV275" s="234">
        <f>ES275*(1+EV276)</f>
        <v>14926.296238970626</v>
      </c>
      <c r="EW275" s="234">
        <f>ET275*(1+EW276)</f>
        <v>17380.487894803176</v>
      </c>
      <c r="EX275" s="1060">
        <f>SUM(EV275:EW275)</f>
        <v>32306.784133773803</v>
      </c>
      <c r="EY275" s="234">
        <f>EV275*(1+EY276)</f>
        <v>16269.662900477984</v>
      </c>
      <c r="EZ275" s="234">
        <f>EW275*(1+EZ276)</f>
        <v>18944.731805335465</v>
      </c>
      <c r="FA275" s="1060">
        <f>SUM(EY275:EZ275)</f>
        <v>35214.394705813451</v>
      </c>
      <c r="FH275" s="35"/>
      <c r="FI275" s="35"/>
      <c r="FJ275" s="35"/>
      <c r="FK275" s="35"/>
      <c r="FL275" s="35"/>
      <c r="FM275" s="35"/>
      <c r="FN275" s="35"/>
      <c r="FO275" s="35"/>
      <c r="FP275" s="35"/>
      <c r="FQ275" s="35"/>
    </row>
    <row r="276" spans="1:173" s="321" customFormat="1" outlineLevel="1">
      <c r="A276" s="1168"/>
      <c r="B276" s="186"/>
      <c r="C276" s="186"/>
      <c r="D276" s="910" t="s">
        <v>209</v>
      </c>
      <c r="E276" s="1"/>
      <c r="F276" s="1"/>
      <c r="G276" s="5"/>
      <c r="H276" s="1"/>
      <c r="I276" s="1"/>
      <c r="J276" s="5"/>
      <c r="K276" s="1"/>
      <c r="L276" s="1"/>
      <c r="M276" s="5"/>
      <c r="N276" s="1"/>
      <c r="O276" s="1"/>
      <c r="P276" s="5"/>
      <c r="Q276" s="1"/>
      <c r="R276" s="1"/>
      <c r="S276" s="5"/>
      <c r="T276" s="1"/>
      <c r="U276" s="1"/>
      <c r="V276" s="5"/>
      <c r="W276" s="1"/>
      <c r="X276" s="1"/>
      <c r="Y276" s="5"/>
      <c r="Z276" s="1"/>
      <c r="AA276" s="1"/>
      <c r="AB276" s="5"/>
      <c r="AC276" s="1"/>
      <c r="AD276" s="1"/>
      <c r="AE276" s="5"/>
      <c r="AF276" s="1"/>
      <c r="AG276" s="1"/>
      <c r="AH276" s="5"/>
      <c r="AI276" s="1"/>
      <c r="AJ276" s="1"/>
      <c r="AK276" s="5"/>
      <c r="AL276" s="1"/>
      <c r="AM276" s="1"/>
      <c r="AN276" s="5"/>
      <c r="AO276" s="1"/>
      <c r="AP276" s="1"/>
      <c r="AQ276" s="5"/>
      <c r="AR276" s="1"/>
      <c r="AS276" s="1"/>
      <c r="AT276" s="5"/>
      <c r="AU276" s="1"/>
      <c r="AV276" s="1"/>
      <c r="AW276" s="5"/>
      <c r="AX276" s="1"/>
      <c r="AY276" s="1"/>
      <c r="AZ276" s="5"/>
      <c r="BA276" s="89"/>
      <c r="BB276" s="89"/>
      <c r="BC276" s="944"/>
      <c r="BD276" s="89"/>
      <c r="BE276" s="89"/>
      <c r="BF276" s="944"/>
      <c r="BG276" s="89"/>
      <c r="BH276" s="89"/>
      <c r="BI276" s="944"/>
      <c r="BJ276" s="108"/>
      <c r="BK276" s="108"/>
      <c r="BL276" s="109"/>
      <c r="BM276" s="110"/>
      <c r="BN276" s="112">
        <f>BN184</f>
        <v>0.31</v>
      </c>
      <c r="BO276" s="113">
        <f>BN276</f>
        <v>0.31</v>
      </c>
      <c r="BP276" s="112">
        <f>BP184</f>
        <v>0.25</v>
      </c>
      <c r="BQ276" s="112">
        <f>BP276</f>
        <v>0.25</v>
      </c>
      <c r="BR276" s="114">
        <f>(BR275-BO275)/BO275</f>
        <v>0.51934985210960116</v>
      </c>
      <c r="BS276" s="29">
        <f>BS184</f>
        <v>0.29257431046415411</v>
      </c>
      <c r="BT276" s="29">
        <f>BT184</f>
        <v>0.20961108845664239</v>
      </c>
      <c r="BU276" s="185">
        <f>BU275/BR275-1</f>
        <v>0.2464836315710921</v>
      </c>
      <c r="BV276" s="29">
        <f>BV184</f>
        <v>0.16809796329984811</v>
      </c>
      <c r="BW276" s="29">
        <f>BW184</f>
        <v>0.166269874836943</v>
      </c>
      <c r="BX276" s="185">
        <f>BX275/BU275-1</f>
        <v>0.16711240145415207</v>
      </c>
      <c r="BY276" s="29">
        <f>BY184</f>
        <v>0.18716527509967876</v>
      </c>
      <c r="BZ276" s="29">
        <f>BZ184</f>
        <v>0.13116565540368058</v>
      </c>
      <c r="CA276" s="185">
        <f>CA275/BX275-1</f>
        <v>0.15699646884256957</v>
      </c>
      <c r="CB276" s="29">
        <f>CB184</f>
        <v>7.0050000000000001E-2</v>
      </c>
      <c r="CC276" s="29">
        <f>CC184</f>
        <v>3.9480000000000001E-2</v>
      </c>
      <c r="CD276" s="185">
        <f>CD275/CA275-1</f>
        <v>5.3948636146713191E-2</v>
      </c>
      <c r="CE276" s="29">
        <f>CE184</f>
        <v>-8.8749999999999996E-2</v>
      </c>
      <c r="CF276" s="29">
        <f>CF184</f>
        <v>-7.3069999999999996E-2</v>
      </c>
      <c r="CG276" s="185">
        <f>CG275/CD275-1</f>
        <v>-8.0604645780575801E-2</v>
      </c>
      <c r="CH276" s="29">
        <f>CH184</f>
        <v>7.0000000000000007E-2</v>
      </c>
      <c r="CI276" s="29">
        <f>CI184</f>
        <v>1.1041601632436438E-2</v>
      </c>
      <c r="CJ276" s="185">
        <f>CJ275/CG275-1</f>
        <v>3.9121639900442373E-2</v>
      </c>
      <c r="CK276" s="29">
        <f>CK184</f>
        <v>1.1041601632436438E-2</v>
      </c>
      <c r="CL276" s="29">
        <f>CL184</f>
        <v>1.1041601632436438E-2</v>
      </c>
      <c r="CM276" s="185">
        <f>CM275/CJ275-1</f>
        <v>1.1041601632436393E-2</v>
      </c>
      <c r="CN276" s="29">
        <v>0.23511467497298505</v>
      </c>
      <c r="CO276" s="29">
        <f>CN276</f>
        <v>0.23511467497298505</v>
      </c>
      <c r="CP276" s="185">
        <f>CP275/CM275-1</f>
        <v>0.23511467497298533</v>
      </c>
      <c r="CQ276" s="29">
        <v>0.1</v>
      </c>
      <c r="CR276" s="29">
        <f>CQ276</f>
        <v>0.1</v>
      </c>
      <c r="CS276" s="185">
        <f>CS275/CP275-1</f>
        <v>0.10000000000000009</v>
      </c>
      <c r="CT276" s="29">
        <f>CT184</f>
        <v>0.15183451315188634</v>
      </c>
      <c r="CU276" s="29">
        <f>CU184</f>
        <v>0.15614582027132856</v>
      </c>
      <c r="CV276" s="185">
        <f>CV275/CS275-1</f>
        <v>0.15403146302788806</v>
      </c>
      <c r="CW276" s="29">
        <f>CW184</f>
        <v>0.152</v>
      </c>
      <c r="CX276" s="29">
        <f>CX184</f>
        <v>0.26852728297549266</v>
      </c>
      <c r="CY276" s="185">
        <f>CY275/CV275-1</f>
        <v>0.21148860317137252</v>
      </c>
      <c r="CZ276" s="29">
        <f>CZ184</f>
        <v>3.966539957595782E-2</v>
      </c>
      <c r="DA276" s="29">
        <f>DA184</f>
        <v>-3.5884994845773552E-2</v>
      </c>
      <c r="DB276" s="185">
        <f>DB275/CY275-1</f>
        <v>-7.1990537199695392E-4</v>
      </c>
      <c r="DC276" s="29">
        <v>0.14164862077972834</v>
      </c>
      <c r="DD276" s="29">
        <v>0.14185046664500378</v>
      </c>
      <c r="DE276" s="185">
        <f>DE275/DB275-1</f>
        <v>0.1417527201479396</v>
      </c>
      <c r="DF276" s="265">
        <v>-0.127</v>
      </c>
      <c r="DG276" s="265">
        <v>-0.29499999999999998</v>
      </c>
      <c r="DH276" s="1082">
        <f>DH275/DE275-1</f>
        <v>-0.21365122299513328</v>
      </c>
      <c r="DI276" s="265"/>
      <c r="DJ276" s="185"/>
      <c r="DK276" s="1082"/>
      <c r="DL276" s="185">
        <f t="shared" ref="DL276:DM276" si="1585">DL275/DI275-1</f>
        <v>0.58383318507194915</v>
      </c>
      <c r="DM276" s="194">
        <f t="shared" si="1585"/>
        <v>0.18216913728102657</v>
      </c>
      <c r="DN276" s="1082">
        <f>DN275/DK275-1</f>
        <v>0.35729890163115097</v>
      </c>
      <c r="DO276" s="194">
        <f t="shared" ref="DO276:DU276" si="1586">DO275/DL275-1</f>
        <v>0.12976318621124339</v>
      </c>
      <c r="DP276" s="194">
        <f t="shared" si="1586"/>
        <v>7.4343634466781605E-2</v>
      </c>
      <c r="DQ276" s="1082">
        <f t="shared" si="1586"/>
        <v>0.1025400532356473</v>
      </c>
      <c r="DR276" s="194">
        <f t="shared" si="1586"/>
        <v>-0.13631141563489613</v>
      </c>
      <c r="DS276" s="194">
        <f t="shared" si="1586"/>
        <v>0.18995231657475142</v>
      </c>
      <c r="DT276" s="1082">
        <f t="shared" si="1586"/>
        <v>1.9856831290884891E-2</v>
      </c>
      <c r="DU276" s="194">
        <f t="shared" si="1586"/>
        <v>0.19070520720928763</v>
      </c>
      <c r="DV276" s="194">
        <f t="shared" ref="DV276" si="1587">DV275/DS275-1</f>
        <v>-2.6837090488623483E-2</v>
      </c>
      <c r="DW276" s="1082">
        <f t="shared" ref="DW276:DX276" si="1588">DW275/DT275-1</f>
        <v>6.9210321709182621E-2</v>
      </c>
      <c r="DX276" s="194">
        <f t="shared" si="1588"/>
        <v>-5.515067080095104E-2</v>
      </c>
      <c r="DY276" s="1161">
        <f>+DY184</f>
        <v>0.125</v>
      </c>
      <c r="DZ276" s="1162">
        <f>DZ275/DW275-1</f>
        <v>3.6423411250683824E-2</v>
      </c>
      <c r="EA276" s="1161">
        <f>+EA184</f>
        <v>0.11</v>
      </c>
      <c r="EB276" s="1161">
        <f>+EB184</f>
        <v>0.05</v>
      </c>
      <c r="EC276" s="1162">
        <f t="shared" ref="EC276" si="1589">EC275/DZ275-1</f>
        <v>7.6894263905696647E-2</v>
      </c>
      <c r="ED276" s="1161">
        <f>+ED184</f>
        <v>7.0000000000000007E-2</v>
      </c>
      <c r="EE276" s="1161">
        <f>+EE184</f>
        <v>7.0000000000000007E-2</v>
      </c>
      <c r="EF276" s="1162">
        <f t="shared" ref="EF276" si="1590">EF275/EC275-1</f>
        <v>7.0000000000000062E-2</v>
      </c>
      <c r="EG276" s="1161">
        <f>+EG184</f>
        <v>0.09</v>
      </c>
      <c r="EH276" s="1161">
        <f>+EH184</f>
        <v>0.09</v>
      </c>
      <c r="EI276" s="1162">
        <f t="shared" ref="EI276" si="1591">EI275/EF275-1</f>
        <v>9.000000000000008E-2</v>
      </c>
      <c r="EJ276" s="1161">
        <f>+EJ184</f>
        <v>0.09</v>
      </c>
      <c r="EK276" s="1161">
        <f>+EK184</f>
        <v>0.09</v>
      </c>
      <c r="EL276" s="1162">
        <f t="shared" ref="EL276" si="1592">EL275/EI275-1</f>
        <v>9.000000000000008E-2</v>
      </c>
      <c r="EM276" s="1161">
        <f>+EM184</f>
        <v>0.09</v>
      </c>
      <c r="EN276" s="1161">
        <f>+EN184</f>
        <v>0.09</v>
      </c>
      <c r="EO276" s="1162">
        <f t="shared" ref="EO276" si="1593">EO275/EL275-1</f>
        <v>9.000000000000008E-2</v>
      </c>
      <c r="EP276" s="1161">
        <f>+EP184</f>
        <v>0.09</v>
      </c>
      <c r="EQ276" s="1161">
        <f>+EQ184</f>
        <v>0.09</v>
      </c>
      <c r="ER276" s="1162">
        <f t="shared" ref="ER276" si="1594">ER275/EO275-1</f>
        <v>9.000000000000008E-2</v>
      </c>
      <c r="ES276" s="1161">
        <f>+ES184</f>
        <v>0.09</v>
      </c>
      <c r="ET276" s="1161">
        <f>+ET184</f>
        <v>0.09</v>
      </c>
      <c r="EU276" s="1162">
        <f t="shared" ref="EU276" si="1595">EU275/ER275-1</f>
        <v>9.000000000000008E-2</v>
      </c>
      <c r="EV276" s="1161">
        <f>+EV184</f>
        <v>0.09</v>
      </c>
      <c r="EW276" s="1161">
        <f>+EW184</f>
        <v>0.09</v>
      </c>
      <c r="EX276" s="1162">
        <f t="shared" ref="EX276" si="1596">EX275/EU275-1</f>
        <v>9.000000000000008E-2</v>
      </c>
      <c r="EY276" s="1161">
        <f>+EY184</f>
        <v>0.09</v>
      </c>
      <c r="EZ276" s="1161">
        <f>+EZ184</f>
        <v>0.09</v>
      </c>
      <c r="FA276" s="1162">
        <f t="shared" ref="FA276" si="1597">FA275/EX275-1</f>
        <v>9.000000000000008E-2</v>
      </c>
      <c r="FH276" s="35"/>
      <c r="FI276" s="35"/>
      <c r="FJ276" s="35"/>
      <c r="FK276" s="35"/>
      <c r="FL276" s="35"/>
      <c r="FM276" s="35"/>
      <c r="FN276" s="35"/>
      <c r="FO276" s="35"/>
      <c r="FP276" s="35"/>
      <c r="FQ276" s="35"/>
    </row>
    <row r="277" spans="1:173" s="321" customFormat="1" outlineLevel="1">
      <c r="A277" s="1168"/>
      <c r="B277" s="186" t="s">
        <v>739</v>
      </c>
      <c r="C277" s="186"/>
      <c r="D277" s="910" t="s">
        <v>854</v>
      </c>
      <c r="E277" s="186"/>
      <c r="F277" s="186"/>
      <c r="G277" s="186"/>
      <c r="H277" s="186"/>
      <c r="I277" s="186"/>
      <c r="J277" s="186"/>
      <c r="K277" s="186"/>
      <c r="L277" s="186"/>
      <c r="M277" s="186"/>
      <c r="N277" s="186"/>
      <c r="O277" s="186"/>
      <c r="P277" s="186"/>
      <c r="Q277" s="186"/>
      <c r="R277" s="186"/>
      <c r="S277" s="186"/>
      <c r="T277" s="186"/>
      <c r="U277" s="186"/>
      <c r="V277" s="186"/>
      <c r="W277" s="186"/>
      <c r="X277" s="186"/>
      <c r="Y277" s="186"/>
      <c r="Z277" s="186"/>
      <c r="AA277" s="186"/>
      <c r="AB277" s="186"/>
      <c r="AC277" s="186"/>
      <c r="AD277" s="186"/>
      <c r="AE277" s="186"/>
      <c r="AF277" s="186"/>
      <c r="AG277" s="186"/>
      <c r="AH277" s="186"/>
      <c r="AI277" s="186"/>
      <c r="AJ277" s="186"/>
      <c r="AK277" s="186"/>
      <c r="AL277" s="186"/>
      <c r="AM277" s="186"/>
      <c r="AN277" s="186"/>
      <c r="AO277" s="186"/>
      <c r="AP277" s="186"/>
      <c r="AQ277" s="186"/>
      <c r="AR277" s="186"/>
      <c r="AS277" s="186"/>
      <c r="AT277" s="186"/>
      <c r="AU277" s="186"/>
      <c r="AV277" s="186"/>
      <c r="AW277" s="186"/>
      <c r="AX277" s="186"/>
      <c r="AY277" s="186"/>
      <c r="AZ277" s="186"/>
      <c r="BA277" s="186"/>
      <c r="BB277" s="186"/>
      <c r="BC277" s="331"/>
      <c r="BD277" s="186"/>
      <c r="BE277" s="186"/>
      <c r="BF277" s="331"/>
      <c r="BG277" s="186"/>
      <c r="BH277" s="186"/>
      <c r="BI277" s="331"/>
      <c r="BJ277" s="186"/>
      <c r="BK277" s="186"/>
      <c r="BL277" s="331"/>
      <c r="BM277" s="187">
        <v>3.7273807765611038E-3</v>
      </c>
      <c r="BN277" s="187">
        <f>BM277</f>
        <v>3.7273807765611038E-3</v>
      </c>
      <c r="BO277" s="978">
        <v>3.7273807765611042E-3</v>
      </c>
      <c r="BP277" s="187">
        <f>BN277</f>
        <v>3.7273807765611038E-3</v>
      </c>
      <c r="BQ277" s="187">
        <f>BO277</f>
        <v>3.7273807765611042E-3</v>
      </c>
      <c r="BR277" s="978">
        <f>BR280/BR275</f>
        <v>3.7273807765611038E-3</v>
      </c>
      <c r="BS277" s="187">
        <f>BP277*(1+BS278)</f>
        <v>3.7273807765611038E-3</v>
      </c>
      <c r="BT277" s="187">
        <f>BQ277*(1+BT278)</f>
        <v>3.7273807765611042E-3</v>
      </c>
      <c r="BU277" s="187">
        <f>BU280/BU275</f>
        <v>3.7273807765611038E-3</v>
      </c>
      <c r="BV277" s="187">
        <f>BS277*(1+BV278)</f>
        <v>3.7273807765611038E-3</v>
      </c>
      <c r="BW277" s="187">
        <f>BT277*(1+BW278)</f>
        <v>3.7273807765611042E-3</v>
      </c>
      <c r="BX277" s="187">
        <f>BX280/BX275</f>
        <v>3.7273807765611042E-3</v>
      </c>
      <c r="BY277" s="187">
        <f>BV277*(1+BY278)</f>
        <v>3.7273807765611038E-3</v>
      </c>
      <c r="BZ277" s="187">
        <f>BW277*(1+BZ278)</f>
        <v>3.7273807765611042E-3</v>
      </c>
      <c r="CA277" s="187">
        <f>CA280/CA275</f>
        <v>3.7273807765611034E-3</v>
      </c>
      <c r="CB277" s="187">
        <f>BY277*(1+CB278)</f>
        <v>3.7273807765611038E-3</v>
      </c>
      <c r="CC277" s="187">
        <f>BZ277*(1+CC278)</f>
        <v>3.7273807765611042E-3</v>
      </c>
      <c r="CD277" s="187">
        <f>CD280/CD275</f>
        <v>3.7273807765611042E-3</v>
      </c>
      <c r="CE277" s="187">
        <f>CB277*(1+CE278)</f>
        <v>3.7273807765611038E-3</v>
      </c>
      <c r="CF277" s="187">
        <f>CC277*(1+CF278)</f>
        <v>3.7374512997504486E-3</v>
      </c>
      <c r="CG277" s="187">
        <f>CG280/CG275</f>
        <v>3.7326550250149529E-3</v>
      </c>
      <c r="CH277" s="187">
        <f>CE277*(1+CH278)</f>
        <v>3.5782855454986593E-3</v>
      </c>
      <c r="CI277" s="187">
        <f>CF277*(1+CI278)</f>
        <v>3.7187640432516963E-3</v>
      </c>
      <c r="CJ277" s="187">
        <f>CJ280/CJ275</f>
        <v>3.6498703826882161E-3</v>
      </c>
      <c r="CK277" s="187">
        <f>CH277*(1+CK278)</f>
        <v>3.327805557313753E-3</v>
      </c>
      <c r="CL277" s="187">
        <f>CI277*(1+CL278)</f>
        <v>3.8826118184804043E-3</v>
      </c>
      <c r="CM277" s="187">
        <f>CM280/CM275</f>
        <v>3.6105229589988297E-3</v>
      </c>
      <c r="CN277" s="187">
        <f>CK277*(1+CN278)</f>
        <v>3.327805557313753E-3</v>
      </c>
      <c r="CO277" s="187">
        <f>CL277*(1+CO278)</f>
        <v>4.0863563507963444E-3</v>
      </c>
      <c r="CP277" s="187">
        <f>CP280/CP275</f>
        <v>3.7143468139473608E-3</v>
      </c>
      <c r="CQ277" s="187">
        <f>CN277*(1+CQ278)</f>
        <v>3.327805557313753E-3</v>
      </c>
      <c r="CR277" s="187">
        <f>CQ277</f>
        <v>3.327805557313753E-3</v>
      </c>
      <c r="CS277" s="187">
        <f>CS280/CS275</f>
        <v>3.327805557313753E-3</v>
      </c>
      <c r="CT277" s="187">
        <f>CQ277*(1+CT278)</f>
        <v>3.327805557313753E-3</v>
      </c>
      <c r="CU277" s="187">
        <f>CR277*(1+CU278)</f>
        <v>3.327805557313753E-3</v>
      </c>
      <c r="CV277" s="187">
        <f>CV280/CV275</f>
        <v>3.327805557313753E-3</v>
      </c>
      <c r="CW277" s="187">
        <f>CT277*(1+CW278)</f>
        <v>3.327805557313753E-3</v>
      </c>
      <c r="CX277" s="187">
        <f>CU277*(1+CX278)</f>
        <v>3.327805557313753E-3</v>
      </c>
      <c r="CY277" s="187">
        <f>CY280/CY275</f>
        <v>3.327805557313753E-3</v>
      </c>
      <c r="CZ277" s="187">
        <f>CW277*(1+CZ278)</f>
        <v>3.327805557313753E-3</v>
      </c>
      <c r="DA277" s="187">
        <f>CX277*(1+DA278)</f>
        <v>3.327805557313753E-3</v>
      </c>
      <c r="DB277" s="187">
        <f>DB280/DB275</f>
        <v>3.327805557313753E-3</v>
      </c>
      <c r="DC277" s="187">
        <f>CZ277*(1+DC278)</f>
        <v>3.327805557313753E-3</v>
      </c>
      <c r="DD277" s="187">
        <f>DA277*(1+DD278)</f>
        <v>3.327805557313753E-3</v>
      </c>
      <c r="DE277" s="187">
        <f>DE280/DE275</f>
        <v>3.327805557313753E-3</v>
      </c>
      <c r="DF277" s="187">
        <f>DC277*(1+DF278)</f>
        <v>3.327805557313753E-3</v>
      </c>
      <c r="DG277" s="187">
        <f>DD277*(1+DG278)</f>
        <v>3.327805557313753E-3</v>
      </c>
      <c r="DH277" s="1076">
        <f>DH280/DH275</f>
        <v>3.327805557313753E-3</v>
      </c>
      <c r="DI277" s="314">
        <v>3.327805557313753E-3</v>
      </c>
      <c r="DJ277" s="314">
        <v>3.484212418507499E-3</v>
      </c>
      <c r="DK277" s="1076">
        <f>DK280/DK275</f>
        <v>3.416017376172364E-3</v>
      </c>
      <c r="DL277" s="187">
        <f>DI277*(1+DL278)</f>
        <v>3.327805557313753E-3</v>
      </c>
      <c r="DM277" s="187">
        <f>DJ277*(1+DM278)</f>
        <v>3.484212418507499E-3</v>
      </c>
      <c r="DN277" s="1076">
        <f>DN280/DN275</f>
        <v>3.4046355685019691E-3</v>
      </c>
      <c r="DO277" s="187">
        <f>DL277*(1+DO278)</f>
        <v>3.327805557313753E-3</v>
      </c>
      <c r="DP277" s="187">
        <f>DM277*(1+DP278)</f>
        <v>3.484212418507499E-3</v>
      </c>
      <c r="DQ277" s="1076">
        <f>DQ280/DQ275</f>
        <v>3.4026707136532749E-3</v>
      </c>
      <c r="DR277" s="187">
        <f>DO277*(1+DR278)</f>
        <v>3.327805557313753E-3</v>
      </c>
      <c r="DS277" s="187">
        <f>DP277*(1+DS278)</f>
        <v>3.484212418507499E-3</v>
      </c>
      <c r="DT277" s="1076">
        <f>DT280/DT275</f>
        <v>3.4151570006572124E-3</v>
      </c>
      <c r="DU277" s="187">
        <f>DR277*(1+DU278)</f>
        <v>3.327805557313753E-3</v>
      </c>
      <c r="DV277" s="187">
        <f>DS277*(1+DV278)</f>
        <v>3.484212418507499E-3</v>
      </c>
      <c r="DW277" s="1076">
        <f>DW280/DW275</f>
        <v>3.4073102001591859E-3</v>
      </c>
      <c r="DX277" s="187">
        <f>DU277*(1+DX278)</f>
        <v>3.327805557313753E-3</v>
      </c>
      <c r="DY277" s="187">
        <f>DV277*(1+DY278)</f>
        <v>3.484212418507499E-3</v>
      </c>
      <c r="DZ277" s="1076">
        <f>DZ280/DZ275</f>
        <v>3.4141049618140605E-3</v>
      </c>
      <c r="EA277" s="187">
        <f t="shared" ref="EA277:EB277" si="1598">DX277*(1+EA278)</f>
        <v>3.327805557313753E-3</v>
      </c>
      <c r="EB277" s="187">
        <f t="shared" si="1598"/>
        <v>3.484212418507499E-3</v>
      </c>
      <c r="EC277" s="1076">
        <f t="shared" ref="EC277" si="1599">EC280/EC275</f>
        <v>3.4119497279741875E-3</v>
      </c>
      <c r="ED277" s="187">
        <f t="shared" ref="ED277:EE277" si="1600">EA277*(1+ED278)</f>
        <v>3.327805557313753E-3</v>
      </c>
      <c r="EE277" s="187">
        <f t="shared" si="1600"/>
        <v>3.484212418507499E-3</v>
      </c>
      <c r="EF277" s="1076">
        <f t="shared" ref="EF277" si="1601">EF280/EF275</f>
        <v>3.4119497279741871E-3</v>
      </c>
      <c r="EG277" s="187">
        <f t="shared" ref="EG277:EH277" si="1602">ED277*(1+EG278)</f>
        <v>3.327805557313753E-3</v>
      </c>
      <c r="EH277" s="187">
        <f t="shared" si="1602"/>
        <v>3.484212418507499E-3</v>
      </c>
      <c r="EI277" s="1076">
        <f t="shared" ref="EI277" si="1603">EI280/EI275</f>
        <v>3.4119497279741871E-3</v>
      </c>
      <c r="EJ277" s="187">
        <f t="shared" ref="EJ277:EK277" si="1604">EG277*(1+EJ278)</f>
        <v>3.327805557313753E-3</v>
      </c>
      <c r="EK277" s="187">
        <f t="shared" si="1604"/>
        <v>3.484212418507499E-3</v>
      </c>
      <c r="EL277" s="1076">
        <f t="shared" ref="EL277" si="1605">EL280/EL275</f>
        <v>3.4119497279741871E-3</v>
      </c>
      <c r="EM277" s="187">
        <f t="shared" ref="EM277:EN277" si="1606">EJ277*(1+EM278)</f>
        <v>3.327805557313753E-3</v>
      </c>
      <c r="EN277" s="187">
        <f t="shared" si="1606"/>
        <v>3.484212418507499E-3</v>
      </c>
      <c r="EO277" s="1076">
        <f t="shared" ref="EO277" si="1607">EO280/EO275</f>
        <v>3.4119497279741871E-3</v>
      </c>
      <c r="EP277" s="187">
        <f t="shared" ref="EP277:EQ277" si="1608">EM277*(1+EP278)</f>
        <v>3.327805557313753E-3</v>
      </c>
      <c r="EQ277" s="187">
        <f t="shared" si="1608"/>
        <v>3.484212418507499E-3</v>
      </c>
      <c r="ER277" s="1076">
        <f t="shared" ref="ER277" si="1609">ER280/ER275</f>
        <v>3.4119497279741866E-3</v>
      </c>
      <c r="ES277" s="187">
        <f t="shared" ref="ES277" si="1610">EP277*(1+ES278)</f>
        <v>3.327805557313753E-3</v>
      </c>
      <c r="ET277" s="187">
        <f t="shared" ref="ET277" si="1611">EQ277*(1+ET278)</f>
        <v>3.484212418507499E-3</v>
      </c>
      <c r="EU277" s="1076">
        <f t="shared" ref="EU277" si="1612">EU280/EU275</f>
        <v>3.4119497279741866E-3</v>
      </c>
      <c r="EV277" s="187">
        <f t="shared" ref="EV277" si="1613">ES277*(1+EV278)</f>
        <v>3.327805557313753E-3</v>
      </c>
      <c r="EW277" s="187">
        <f t="shared" ref="EW277" si="1614">ET277*(1+EW278)</f>
        <v>3.484212418507499E-3</v>
      </c>
      <c r="EX277" s="1076">
        <f t="shared" ref="EX277" si="1615">EX280/EX275</f>
        <v>3.4119497279741871E-3</v>
      </c>
      <c r="EY277" s="187">
        <f t="shared" ref="EY277" si="1616">EV277*(1+EY278)</f>
        <v>3.327805557313753E-3</v>
      </c>
      <c r="EZ277" s="187">
        <f t="shared" ref="EZ277" si="1617">EW277*(1+EZ278)</f>
        <v>3.484212418507499E-3</v>
      </c>
      <c r="FA277" s="1076">
        <f t="shared" ref="FA277" si="1618">FA280/FA275</f>
        <v>3.4119497279741866E-3</v>
      </c>
      <c r="FH277" s="35"/>
      <c r="FI277" s="35"/>
      <c r="FJ277" s="35"/>
      <c r="FK277" s="35"/>
      <c r="FL277" s="35"/>
      <c r="FM277" s="35"/>
      <c r="FN277" s="35"/>
      <c r="FO277" s="35"/>
      <c r="FP277" s="35"/>
      <c r="FQ277" s="35"/>
    </row>
    <row r="278" spans="1:173" s="321" customFormat="1" outlineLevel="1">
      <c r="A278" s="1168"/>
      <c r="B278" s="186"/>
      <c r="C278" s="186"/>
      <c r="D278" s="910" t="s">
        <v>209</v>
      </c>
      <c r="E278" s="1"/>
      <c r="F278" s="1"/>
      <c r="G278" s="5"/>
      <c r="H278" s="1"/>
      <c r="I278" s="1"/>
      <c r="J278" s="5"/>
      <c r="K278" s="1"/>
      <c r="L278" s="1"/>
      <c r="M278" s="5"/>
      <c r="N278" s="1"/>
      <c r="O278" s="1"/>
      <c r="P278" s="5"/>
      <c r="Q278" s="1"/>
      <c r="R278" s="1"/>
      <c r="S278" s="5"/>
      <c r="T278" s="1"/>
      <c r="U278" s="1"/>
      <c r="V278" s="5"/>
      <c r="W278" s="1"/>
      <c r="X278" s="1"/>
      <c r="Y278" s="5"/>
      <c r="Z278" s="1"/>
      <c r="AA278" s="1"/>
      <c r="AB278" s="5"/>
      <c r="AC278" s="1"/>
      <c r="AD278" s="1"/>
      <c r="AE278" s="5"/>
      <c r="AF278" s="1"/>
      <c r="AG278" s="1"/>
      <c r="AH278" s="5"/>
      <c r="AI278" s="1"/>
      <c r="AJ278" s="1"/>
      <c r="AK278" s="5"/>
      <c r="AL278" s="1"/>
      <c r="AM278" s="1"/>
      <c r="AN278" s="5"/>
      <c r="AO278" s="1"/>
      <c r="AP278" s="1"/>
      <c r="AQ278" s="5"/>
      <c r="AR278" s="1"/>
      <c r="AS278" s="1"/>
      <c r="AT278" s="5"/>
      <c r="AU278" s="1"/>
      <c r="AV278" s="1"/>
      <c r="AW278" s="5"/>
      <c r="AX278" s="1"/>
      <c r="AY278" s="1"/>
      <c r="AZ278" s="5"/>
      <c r="BA278" s="89"/>
      <c r="BB278" s="89"/>
      <c r="BC278" s="944"/>
      <c r="BD278" s="89"/>
      <c r="BE278" s="89"/>
      <c r="BF278" s="944"/>
      <c r="BG278" s="89"/>
      <c r="BH278" s="89"/>
      <c r="BI278" s="944"/>
      <c r="BJ278" s="108"/>
      <c r="BK278" s="108"/>
      <c r="BL278" s="109"/>
      <c r="BM278" s="115"/>
      <c r="BN278" s="115"/>
      <c r="BO278" s="116"/>
      <c r="BP278" s="120">
        <f>BP277/BM277-1</f>
        <v>0</v>
      </c>
      <c r="BQ278" s="120">
        <f>BQ277/BN277-1</f>
        <v>0</v>
      </c>
      <c r="BR278" s="120">
        <f>BR277/BO277-1</f>
        <v>0</v>
      </c>
      <c r="BS278" s="33">
        <f>BS186</f>
        <v>0</v>
      </c>
      <c r="BT278" s="33">
        <f>BT186</f>
        <v>0</v>
      </c>
      <c r="BU278" s="83">
        <f>BU277/BR277-1</f>
        <v>0</v>
      </c>
      <c r="BV278" s="33">
        <f>BV186</f>
        <v>0</v>
      </c>
      <c r="BW278" s="33">
        <f>BW186</f>
        <v>0</v>
      </c>
      <c r="BX278" s="83">
        <f>BX277/BU277-1</f>
        <v>0</v>
      </c>
      <c r="BY278" s="33">
        <f>BY186</f>
        <v>0</v>
      </c>
      <c r="BZ278" s="33">
        <f>BZ186</f>
        <v>0</v>
      </c>
      <c r="CA278" s="83">
        <f>CA277/BX277-1</f>
        <v>0</v>
      </c>
      <c r="CB278" s="33">
        <f>CB186</f>
        <v>0</v>
      </c>
      <c r="CC278" s="33">
        <f>CC186</f>
        <v>0</v>
      </c>
      <c r="CD278" s="83">
        <f>CD277/CA277-1</f>
        <v>0</v>
      </c>
      <c r="CE278" s="33">
        <f>CE186</f>
        <v>0</v>
      </c>
      <c r="CF278" s="33">
        <v>2.7017693638039519E-3</v>
      </c>
      <c r="CG278" s="83">
        <f>CG277/CD277-1</f>
        <v>1.4150012488700625E-3</v>
      </c>
      <c r="CH278" s="33">
        <f>CH186</f>
        <v>-0.04</v>
      </c>
      <c r="CI278" s="33">
        <f>CI186</f>
        <v>-5.0000000000000001E-3</v>
      </c>
      <c r="CJ278" s="83">
        <f>CJ277/CG277-1</f>
        <v>-2.2178487369430844E-2</v>
      </c>
      <c r="CK278" s="33">
        <v>-7.0000000000000007E-2</v>
      </c>
      <c r="CL278" s="33">
        <f>CL186</f>
        <v>4.4059739559447503E-2</v>
      </c>
      <c r="CM278" s="83">
        <f>CM277/CJ277-1</f>
        <v>-1.0780498911965752E-2</v>
      </c>
      <c r="CN278" s="33">
        <f>CN186</f>
        <v>0</v>
      </c>
      <c r="CO278" s="33">
        <v>5.247615312614038E-2</v>
      </c>
      <c r="CP278" s="83">
        <f>CP277/CM277-1</f>
        <v>2.8755904927778353E-2</v>
      </c>
      <c r="CQ278" s="33">
        <f>CQ186</f>
        <v>0</v>
      </c>
      <c r="CR278" s="33">
        <f>CR186</f>
        <v>0</v>
      </c>
      <c r="CS278" s="83">
        <f>CS277/CP277-1</f>
        <v>-0.10406708796877728</v>
      </c>
      <c r="CT278" s="33">
        <f>CT186</f>
        <v>0</v>
      </c>
      <c r="CU278" s="33">
        <f>CU186</f>
        <v>0</v>
      </c>
      <c r="CV278" s="83">
        <f>CV277/CS277-1</f>
        <v>0</v>
      </c>
      <c r="CW278" s="33">
        <f>CW186</f>
        <v>0</v>
      </c>
      <c r="CX278" s="33">
        <f>CX186</f>
        <v>0</v>
      </c>
      <c r="CY278" s="83">
        <f>CY277/CV277-1</f>
        <v>0</v>
      </c>
      <c r="CZ278" s="33">
        <f>CZ186</f>
        <v>0</v>
      </c>
      <c r="DA278" s="33">
        <f>DA186</f>
        <v>0</v>
      </c>
      <c r="DB278" s="83">
        <f>DB277/CY277-1</f>
        <v>0</v>
      </c>
      <c r="DC278" s="33">
        <f>DC186</f>
        <v>0</v>
      </c>
      <c r="DD278" s="33">
        <f>DD186</f>
        <v>0</v>
      </c>
      <c r="DE278" s="83">
        <f>DE277/DB277-1</f>
        <v>0</v>
      </c>
      <c r="DF278" s="33">
        <f>DF186</f>
        <v>0</v>
      </c>
      <c r="DG278" s="33">
        <f>DG186</f>
        <v>0</v>
      </c>
      <c r="DH278" s="1066">
        <f>DH277/DE277-1</f>
        <v>0</v>
      </c>
      <c r="DI278" s="33"/>
      <c r="DJ278" s="33"/>
      <c r="DK278" s="1066"/>
      <c r="DL278" s="1144">
        <v>0</v>
      </c>
      <c r="DM278" s="189">
        <f>+DL278</f>
        <v>0</v>
      </c>
      <c r="DN278" s="1066">
        <f>DN277/DK277-1</f>
        <v>-3.331893962187138E-3</v>
      </c>
      <c r="DO278" s="189">
        <f>+DM278</f>
        <v>0</v>
      </c>
      <c r="DP278" s="189">
        <f>+DO278</f>
        <v>0</v>
      </c>
      <c r="DQ278" s="1066">
        <f>DQ277/DN277-1</f>
        <v>-5.7711164944407312E-4</v>
      </c>
      <c r="DR278" s="189">
        <f>+DP278</f>
        <v>0</v>
      </c>
      <c r="DS278" s="189">
        <f>+DR278</f>
        <v>0</v>
      </c>
      <c r="DT278" s="1066">
        <f>DT277/DQ277-1</f>
        <v>3.6695549039864606E-3</v>
      </c>
      <c r="DU278" s="189">
        <f>+DS278</f>
        <v>0</v>
      </c>
      <c r="DV278" s="189">
        <f>+DU278</f>
        <v>0</v>
      </c>
      <c r="DW278" s="1066">
        <f>DW277/DT277-1</f>
        <v>-2.29763975609798E-3</v>
      </c>
      <c r="DX278" s="189">
        <f>+DV278</f>
        <v>0</v>
      </c>
      <c r="DY278" s="1143">
        <f>+DY186</f>
        <v>0</v>
      </c>
      <c r="DZ278" s="1142">
        <f>DY278</f>
        <v>0</v>
      </c>
      <c r="EA278" s="1161">
        <f>+EA186</f>
        <v>0</v>
      </c>
      <c r="EB278" s="1143">
        <f>+EB186</f>
        <v>0</v>
      </c>
      <c r="EC278" s="1142">
        <f t="shared" ref="EC278" si="1619">EB278</f>
        <v>0</v>
      </c>
      <c r="ED278" s="1161">
        <f>+ED186</f>
        <v>0</v>
      </c>
      <c r="EE278" s="1143">
        <f>+EE186</f>
        <v>0</v>
      </c>
      <c r="EF278" s="1142">
        <f t="shared" ref="EF278" si="1620">EE278</f>
        <v>0</v>
      </c>
      <c r="EG278" s="1161">
        <f>+EG186</f>
        <v>0</v>
      </c>
      <c r="EH278" s="1143">
        <f>+EH186</f>
        <v>0</v>
      </c>
      <c r="EI278" s="1142">
        <f t="shared" ref="EI278" si="1621">EH278</f>
        <v>0</v>
      </c>
      <c r="EJ278" s="1161">
        <f>+EJ186</f>
        <v>0</v>
      </c>
      <c r="EK278" s="1143">
        <f>+EK186</f>
        <v>0</v>
      </c>
      <c r="EL278" s="1142">
        <f t="shared" ref="EL278" si="1622">EK278</f>
        <v>0</v>
      </c>
      <c r="EM278" s="1161">
        <f>+EM186</f>
        <v>0</v>
      </c>
      <c r="EN278" s="1143">
        <f>+EN186</f>
        <v>0</v>
      </c>
      <c r="EO278" s="1142">
        <f t="shared" ref="EO278" si="1623">EN278</f>
        <v>0</v>
      </c>
      <c r="EP278" s="1161">
        <f>+EP186</f>
        <v>0</v>
      </c>
      <c r="EQ278" s="1143">
        <f>+EQ186</f>
        <v>0</v>
      </c>
      <c r="ER278" s="1142">
        <f t="shared" ref="ER278" si="1624">EQ278</f>
        <v>0</v>
      </c>
      <c r="ES278" s="1161">
        <f>+ES186</f>
        <v>0</v>
      </c>
      <c r="ET278" s="1143">
        <f>+ET186</f>
        <v>0</v>
      </c>
      <c r="EU278" s="1142">
        <f t="shared" ref="EU278" si="1625">ET278</f>
        <v>0</v>
      </c>
      <c r="EV278" s="1161">
        <f>+EV186</f>
        <v>0</v>
      </c>
      <c r="EW278" s="1143">
        <f>+EW186</f>
        <v>0</v>
      </c>
      <c r="EX278" s="1142">
        <f t="shared" ref="EX278" si="1626">EW278</f>
        <v>0</v>
      </c>
      <c r="EY278" s="1161">
        <f>+EY186</f>
        <v>0</v>
      </c>
      <c r="EZ278" s="1143">
        <f>+EZ186</f>
        <v>0</v>
      </c>
      <c r="FA278" s="1142">
        <f t="shared" ref="FA278" si="1627">EZ278</f>
        <v>0</v>
      </c>
      <c r="FH278" s="35"/>
      <c r="FI278" s="35"/>
      <c r="FJ278" s="35"/>
      <c r="FK278" s="35"/>
      <c r="FL278" s="35"/>
      <c r="FM278" s="35"/>
      <c r="FN278" s="35"/>
      <c r="FO278" s="35"/>
      <c r="FP278" s="35"/>
      <c r="FQ278" s="35"/>
    </row>
    <row r="279" spans="1:173" s="321" customFormat="1" outlineLevel="1">
      <c r="A279" s="1168"/>
      <c r="B279" s="186"/>
      <c r="C279" s="186"/>
      <c r="D279" s="910"/>
      <c r="E279" s="1"/>
      <c r="F279" s="1"/>
      <c r="G279" s="5"/>
      <c r="H279" s="1"/>
      <c r="I279" s="1"/>
      <c r="J279" s="5"/>
      <c r="K279" s="1"/>
      <c r="L279" s="1"/>
      <c r="M279" s="5"/>
      <c r="N279" s="1"/>
      <c r="O279" s="1"/>
      <c r="P279" s="5"/>
      <c r="Q279" s="1"/>
      <c r="R279" s="1"/>
      <c r="S279" s="5"/>
      <c r="T279" s="1"/>
      <c r="U279" s="1"/>
      <c r="V279" s="5"/>
      <c r="W279" s="1"/>
      <c r="X279" s="1"/>
      <c r="Y279" s="5"/>
      <c r="Z279" s="1"/>
      <c r="AA279" s="1"/>
      <c r="AB279" s="5"/>
      <c r="AC279" s="1"/>
      <c r="AD279" s="1"/>
      <c r="AE279" s="5"/>
      <c r="AF279" s="1"/>
      <c r="AG279" s="1"/>
      <c r="AH279" s="5"/>
      <c r="AI279" s="1"/>
      <c r="AJ279" s="1"/>
      <c r="AK279" s="5"/>
      <c r="AL279" s="1"/>
      <c r="AM279" s="1"/>
      <c r="AN279" s="5"/>
      <c r="AO279" s="1"/>
      <c r="AP279" s="1"/>
      <c r="AQ279" s="5"/>
      <c r="AR279" s="1"/>
      <c r="AS279" s="1"/>
      <c r="AT279" s="5"/>
      <c r="AU279" s="1"/>
      <c r="AV279" s="1"/>
      <c r="AW279" s="5"/>
      <c r="AX279" s="1"/>
      <c r="AY279" s="1"/>
      <c r="AZ279" s="5"/>
      <c r="BA279" s="89"/>
      <c r="BB279" s="89"/>
      <c r="BC279" s="944"/>
      <c r="BD279" s="89"/>
      <c r="BE279" s="89"/>
      <c r="BF279" s="944"/>
      <c r="BG279" s="89"/>
      <c r="BH279" s="89"/>
      <c r="BI279" s="944"/>
      <c r="BJ279" s="108"/>
      <c r="BK279" s="108"/>
      <c r="BL279" s="109"/>
      <c r="BM279" s="115"/>
      <c r="BN279" s="115"/>
      <c r="BO279" s="116"/>
      <c r="BP279" s="115"/>
      <c r="BQ279" s="115"/>
      <c r="BR279" s="116"/>
      <c r="BS279" s="8"/>
      <c r="BT279" s="8"/>
      <c r="BU279" s="188"/>
      <c r="BV279" s="8"/>
      <c r="BW279" s="8"/>
      <c r="BX279" s="187"/>
      <c r="BY279" s="8"/>
      <c r="BZ279" s="8"/>
      <c r="CA279" s="187"/>
      <c r="CB279" s="8"/>
      <c r="CC279" s="8"/>
      <c r="CD279" s="187"/>
      <c r="CE279" s="8"/>
      <c r="CF279" s="8"/>
      <c r="CG279" s="187"/>
      <c r="CH279" s="8"/>
      <c r="CI279" s="8"/>
      <c r="CJ279" s="187"/>
      <c r="CK279" s="8"/>
      <c r="CL279" s="8"/>
      <c r="CM279" s="187"/>
      <c r="CN279" s="8"/>
      <c r="CO279" s="8"/>
      <c r="CP279" s="187"/>
      <c r="CQ279" s="8"/>
      <c r="CR279" s="8"/>
      <c r="CS279" s="187"/>
      <c r="CT279" s="8"/>
      <c r="CU279" s="8"/>
      <c r="CV279" s="187"/>
      <c r="CW279" s="8"/>
      <c r="CX279" s="8"/>
      <c r="CY279" s="188"/>
      <c r="CZ279" s="8"/>
      <c r="DA279" s="8"/>
      <c r="DB279" s="188"/>
      <c r="DC279" s="8"/>
      <c r="DD279" s="8"/>
      <c r="DE279" s="188"/>
      <c r="DF279" s="8"/>
      <c r="DG279" s="8"/>
      <c r="DH279" s="1078"/>
      <c r="DI279" s="8"/>
      <c r="DJ279" s="8"/>
      <c r="DK279" s="1078"/>
      <c r="DL279" s="8"/>
      <c r="DM279" s="309"/>
      <c r="DN279" s="1108"/>
      <c r="DO279" s="8"/>
      <c r="DP279" s="8"/>
      <c r="DQ279" s="1078"/>
      <c r="DR279" s="8"/>
      <c r="DS279" s="8"/>
      <c r="DT279" s="1078"/>
      <c r="DU279" s="8"/>
      <c r="DV279" s="8"/>
      <c r="DW279" s="1078"/>
      <c r="DX279" s="8"/>
      <c r="DY279" s="8"/>
      <c r="DZ279" s="1078"/>
      <c r="EA279" s="8"/>
      <c r="EB279" s="8"/>
      <c r="EC279" s="1078"/>
      <c r="ED279" s="8"/>
      <c r="EE279" s="8"/>
      <c r="EF279" s="1078"/>
      <c r="EG279" s="8"/>
      <c r="EH279" s="8"/>
      <c r="EI279" s="1078"/>
      <c r="EJ279" s="8"/>
      <c r="EK279" s="8"/>
      <c r="EL279" s="1078"/>
      <c r="EM279" s="8"/>
      <c r="EN279" s="8"/>
      <c r="EO279" s="1078"/>
      <c r="EP279" s="8"/>
      <c r="EQ279" s="8"/>
      <c r="ER279" s="1078"/>
      <c r="ES279" s="8"/>
      <c r="ET279" s="8"/>
      <c r="EU279" s="1078"/>
      <c r="EV279" s="8"/>
      <c r="EW279" s="8"/>
      <c r="EX279" s="1078"/>
      <c r="EY279" s="8"/>
      <c r="EZ279" s="8"/>
      <c r="FA279" s="1078"/>
      <c r="FH279" s="35"/>
      <c r="FI279" s="35"/>
      <c r="FJ279" s="35"/>
      <c r="FK279" s="35"/>
      <c r="FL279" s="35"/>
      <c r="FM279" s="35"/>
      <c r="FN279" s="35"/>
      <c r="FO279" s="35"/>
      <c r="FP279" s="35"/>
      <c r="FQ279" s="35"/>
    </row>
    <row r="280" spans="1:173" s="321" customFormat="1" outlineLevel="1">
      <c r="A280" s="1168"/>
      <c r="B280" s="186" t="s">
        <v>422</v>
      </c>
      <c r="C280" s="186"/>
      <c r="D280" s="910" t="s">
        <v>854</v>
      </c>
      <c r="E280" s="186"/>
      <c r="F280" s="186"/>
      <c r="G280" s="186"/>
      <c r="H280" s="186"/>
      <c r="I280" s="186"/>
      <c r="J280" s="186"/>
      <c r="K280" s="186"/>
      <c r="L280" s="186"/>
      <c r="M280" s="186"/>
      <c r="N280" s="186"/>
      <c r="O280" s="186"/>
      <c r="P280" s="186"/>
      <c r="Q280" s="186"/>
      <c r="R280" s="186"/>
      <c r="S280" s="186"/>
      <c r="T280" s="186"/>
      <c r="U280" s="186"/>
      <c r="V280" s="186"/>
      <c r="W280" s="186"/>
      <c r="X280" s="186"/>
      <c r="Y280" s="186"/>
      <c r="Z280" s="186"/>
      <c r="AA280" s="186"/>
      <c r="AB280" s="186"/>
      <c r="AC280" s="186"/>
      <c r="AD280" s="186"/>
      <c r="AE280" s="186"/>
      <c r="AF280" s="186"/>
      <c r="AG280" s="186"/>
      <c r="AH280" s="186"/>
      <c r="AI280" s="186"/>
      <c r="AJ280" s="186"/>
      <c r="AK280" s="186"/>
      <c r="AL280" s="186"/>
      <c r="AM280" s="186"/>
      <c r="AN280" s="186"/>
      <c r="AO280" s="186"/>
      <c r="AP280" s="186"/>
      <c r="AQ280" s="186"/>
      <c r="AR280" s="186"/>
      <c r="AS280" s="186"/>
      <c r="AT280" s="186"/>
      <c r="AU280" s="186"/>
      <c r="AV280" s="186"/>
      <c r="AW280" s="186"/>
      <c r="AX280" s="186"/>
      <c r="AY280" s="186"/>
      <c r="AZ280" s="186"/>
      <c r="BA280" s="186"/>
      <c r="BB280" s="186"/>
      <c r="BC280" s="331"/>
      <c r="BD280" s="186"/>
      <c r="BE280" s="186"/>
      <c r="BF280" s="331"/>
      <c r="BG280" s="186"/>
      <c r="BH280" s="186"/>
      <c r="BI280" s="331"/>
      <c r="BJ280" s="186"/>
      <c r="BK280" s="186"/>
      <c r="BL280" s="331"/>
      <c r="BM280" s="190">
        <f>BM277*BM275</f>
        <v>7.0823216659282222</v>
      </c>
      <c r="BN280" s="190">
        <f>BN275*BN277</f>
        <v>6.0279107520798929</v>
      </c>
      <c r="BO280" s="973">
        <f>SUM(BM280:BN280)</f>
        <v>13.110232418008115</v>
      </c>
      <c r="BP280" s="190">
        <f>BP275*BP277</f>
        <v>8.852902082410278</v>
      </c>
      <c r="BQ280" s="190">
        <f>BQ275*BQ277</f>
        <v>11.066127603012848</v>
      </c>
      <c r="BR280" s="973">
        <f>SUM(BP280:BQ280)</f>
        <v>19.919029685423126</v>
      </c>
      <c r="BS280" s="190">
        <f>BS275*BS277</f>
        <v>11.443033804778137</v>
      </c>
      <c r="BT280" s="190">
        <f>BT275*BT277</f>
        <v>13.385710654880468</v>
      </c>
      <c r="BU280" s="190">
        <f>SUM(BS280:BT280)</f>
        <v>24.828744459658605</v>
      </c>
      <c r="BV280" s="190">
        <f>BV275*BV277</f>
        <v>13.366584481332653</v>
      </c>
      <c r="BW280" s="190">
        <f>BW275*BW277</f>
        <v>15.611351090070977</v>
      </c>
      <c r="BX280" s="190">
        <f>SUM(BV280:BW280)</f>
        <v>28.977935571403631</v>
      </c>
      <c r="BY280" s="190">
        <f>BY275*BY277</f>
        <v>15.868344942924379</v>
      </c>
      <c r="BZ280" s="190">
        <f>BZ275*BZ277</f>
        <v>17.659024187537103</v>
      </c>
      <c r="CA280" s="190">
        <f>SUM(BY280:BZ280)</f>
        <v>33.52736913046148</v>
      </c>
      <c r="CB280" s="190">
        <f>CB275*CB277</f>
        <v>16.97992250617623</v>
      </c>
      <c r="CC280" s="190">
        <f>CC275*CC277</f>
        <v>18.35620246246107</v>
      </c>
      <c r="CD280" s="190">
        <f>SUM(CB280:CC280)</f>
        <v>35.3361249686373</v>
      </c>
      <c r="CE280" s="190">
        <f>CE275*CE277</f>
        <v>15.472954383753089</v>
      </c>
      <c r="CF280" s="190">
        <f>CF275*CF277</f>
        <v>17.060885123924351</v>
      </c>
      <c r="CG280" s="190">
        <f>SUM(CE280:CF280)</f>
        <v>32.533839507677442</v>
      </c>
      <c r="CH280" s="190">
        <f>CH275*CH277</f>
        <v>15.89381874299117</v>
      </c>
      <c r="CI280" s="190">
        <f>CI275*CI277</f>
        <v>17.163018297854688</v>
      </c>
      <c r="CJ280" s="190">
        <f>SUM(CH280:CI280)</f>
        <v>33.056837040845856</v>
      </c>
      <c r="CK280" s="190">
        <f>CK275*CK277</f>
        <v>14.944460120911568</v>
      </c>
      <c r="CL280" s="190">
        <f>CL275*CL277</f>
        <v>18.117073263322244</v>
      </c>
      <c r="CM280" s="190">
        <f>SUM(CK280:CL280)</f>
        <v>33.061533384233812</v>
      </c>
      <c r="CN280" s="190">
        <f>CN275*CN277</f>
        <v>18.45812200488643</v>
      </c>
      <c r="CO280" s="190">
        <f>CO275*CO277</f>
        <v>23.550904252020963</v>
      </c>
      <c r="CP280" s="190">
        <f>SUM(CN280:CO280)</f>
        <v>42.00902625690739</v>
      </c>
      <c r="CQ280" s="190">
        <f>CQ275*CQ277</f>
        <v>20.303934205375075</v>
      </c>
      <c r="CR280" s="190">
        <f>CR275*CR277</f>
        <v>21.097061943166771</v>
      </c>
      <c r="CS280" s="190">
        <f>SUM(CQ280:CR280)</f>
        <v>41.40099614854185</v>
      </c>
      <c r="CT280" s="190">
        <f>CT275*CT277</f>
        <v>23.386772170516135</v>
      </c>
      <c r="CU280" s="190">
        <f>CU275*CU277</f>
        <v>24.391279985597578</v>
      </c>
      <c r="CV280" s="190">
        <f>SUM(CT280:CU280)</f>
        <v>47.778052156113716</v>
      </c>
      <c r="CW280" s="190">
        <f>CW275*CW277</f>
        <v>26.941561540434584</v>
      </c>
      <c r="CX280" s="190">
        <f>CX275*CX277</f>
        <v>30.941004128424609</v>
      </c>
      <c r="CY280" s="190">
        <f>SUM(CW280:CX280)</f>
        <v>57.882565668859193</v>
      </c>
      <c r="CZ280" s="190">
        <f>CZ275*CZ277</f>
        <v>28.010209344136175</v>
      </c>
      <c r="DA280" s="190">
        <f>DA275*DA277</f>
        <v>29.830686354753034</v>
      </c>
      <c r="DB280" s="190">
        <f>SUM(CZ280:DA280)</f>
        <v>57.840895698889213</v>
      </c>
      <c r="DC280" s="190">
        <f>DC275*DC277</f>
        <v>31.97781686548452</v>
      </c>
      <c r="DD280" s="190">
        <f>DD275*DD277</f>
        <v>34.062183134515493</v>
      </c>
      <c r="DE280" s="190">
        <f>SUM(DC280:DD280)</f>
        <v>66.04000000000002</v>
      </c>
      <c r="DF280" s="190">
        <f>DF275*DF277</f>
        <v>27.916634123567988</v>
      </c>
      <c r="DG280" s="190">
        <f>DG275*DG277</f>
        <v>24.013839109833427</v>
      </c>
      <c r="DH280" s="1060">
        <f>SUM(DF280:DG280)</f>
        <v>51.930473233401415</v>
      </c>
      <c r="DI280" s="184">
        <f>+DI284*DI78</f>
        <v>14.342452051696284</v>
      </c>
      <c r="DJ280" s="184">
        <f>+DJ284*DJ78</f>
        <v>19.424241188007997</v>
      </c>
      <c r="DK280" s="1119">
        <f>SUM(DI280:DJ280)</f>
        <v>33.766693239704281</v>
      </c>
      <c r="DL280" s="184">
        <f>+DL284*DL78</f>
        <v>22.716051514779839</v>
      </c>
      <c r="DM280" s="184">
        <f>+DM284*DM78</f>
        <v>22.962738447565997</v>
      </c>
      <c r="DN280" s="1119">
        <f>SUM(DL280:DM280)</f>
        <v>45.678789962345832</v>
      </c>
      <c r="DO280" s="184">
        <f>+DO284*DO78</f>
        <v>25.66375873747641</v>
      </c>
      <c r="DP280" s="184">
        <f>+DP284*DP78</f>
        <v>24.669871881068154</v>
      </c>
      <c r="DQ280" s="1119">
        <f>SUM(DO280:DP280)</f>
        <v>50.333630618544561</v>
      </c>
      <c r="DR280" s="184">
        <f>+DR284*DR78</f>
        <v>22.165495453458565</v>
      </c>
      <c r="DS280" s="184">
        <f>+DS284*DS78</f>
        <v>29.355971194479373</v>
      </c>
      <c r="DT280" s="1119">
        <f>SUM(DR280:DS280)</f>
        <v>51.521466647937942</v>
      </c>
      <c r="DU280" s="184">
        <f>+DU284*DU78</f>
        <v>26.392570856806902</v>
      </c>
      <c r="DV280" s="184">
        <f>+DV284*DV78</f>
        <v>28.568142339151702</v>
      </c>
      <c r="DW280" s="1119">
        <f>SUM(DU280:DV280)</f>
        <v>54.960713195958604</v>
      </c>
      <c r="DX280" s="184">
        <f>+DX284*DX78</f>
        <v>24.937002869892371</v>
      </c>
      <c r="DY280" s="234">
        <f>DY275*DY277</f>
        <v>32.139160131545665</v>
      </c>
      <c r="DZ280" s="1060">
        <f>SUM(DX280:DY280)</f>
        <v>57.076163001438033</v>
      </c>
      <c r="EA280" s="234">
        <f>EA275*EA277</f>
        <v>27.680073185580536</v>
      </c>
      <c r="EB280" s="234">
        <f>EB275*EB277</f>
        <v>33.746118138122952</v>
      </c>
      <c r="EC280" s="1060">
        <f>SUM(EA280:EB280)</f>
        <v>61.426191323703492</v>
      </c>
      <c r="ED280" s="234">
        <f>ED275*ED277</f>
        <v>29.617678308571172</v>
      </c>
      <c r="EE280" s="234">
        <f>EE275*EE277</f>
        <v>36.108346407791565</v>
      </c>
      <c r="EF280" s="1060">
        <f>SUM(ED280:EE280)</f>
        <v>65.72602471636273</v>
      </c>
      <c r="EG280" s="234">
        <f>EG275*EG277</f>
        <v>32.283269356342579</v>
      </c>
      <c r="EH280" s="234">
        <f>EH275*EH277</f>
        <v>39.35809758449281</v>
      </c>
      <c r="EI280" s="1060">
        <f>SUM(EG280:EH280)</f>
        <v>71.641366940835383</v>
      </c>
      <c r="EJ280" s="234">
        <f>EJ275*EJ277</f>
        <v>35.188763598413416</v>
      </c>
      <c r="EK280" s="234">
        <f>EK275*EK277</f>
        <v>42.900326367097165</v>
      </c>
      <c r="EL280" s="1060">
        <f>SUM(EJ280:EK280)</f>
        <v>78.089089965510581</v>
      </c>
      <c r="EM280" s="234">
        <f>EM275*EM277</f>
        <v>38.355752322270625</v>
      </c>
      <c r="EN280" s="234">
        <f>EN275*EN277</f>
        <v>46.761355740135912</v>
      </c>
      <c r="EO280" s="1060">
        <f>SUM(EM280:EN280)</f>
        <v>85.117108062406544</v>
      </c>
      <c r="EP280" s="234">
        <f>EP275*EP277</f>
        <v>41.807770031274991</v>
      </c>
      <c r="EQ280" s="234">
        <f>EQ275*EQ277</f>
        <v>50.969877756748147</v>
      </c>
      <c r="ER280" s="1060">
        <f>SUM(EP280:EQ280)</f>
        <v>92.777647788023131</v>
      </c>
      <c r="ES280" s="234">
        <f>ES275*ES277</f>
        <v>45.570469334089744</v>
      </c>
      <c r="ET280" s="234">
        <f>ET275*ET277</f>
        <v>55.557166754855487</v>
      </c>
      <c r="EU280" s="1060">
        <f>SUM(ES280:ET280)</f>
        <v>101.12763608894522</v>
      </c>
      <c r="EV280" s="234">
        <f>EV275*EV277</f>
        <v>49.671811574157822</v>
      </c>
      <c r="EW280" s="234">
        <f>EW275*EW277</f>
        <v>60.557311762792487</v>
      </c>
      <c r="EX280" s="1060">
        <f>SUM(EV280:EW280)</f>
        <v>110.22912333695031</v>
      </c>
      <c r="EY280" s="234">
        <f>EY275*EY277</f>
        <v>54.142274615832029</v>
      </c>
      <c r="EZ280" s="234">
        <f>EZ275*EZ277</f>
        <v>66.00746982144382</v>
      </c>
      <c r="FA280" s="1060">
        <f>SUM(EY280:EZ280)</f>
        <v>120.14974443727584</v>
      </c>
      <c r="FH280" s="35"/>
      <c r="FI280" s="35"/>
      <c r="FJ280" s="35"/>
      <c r="FK280" s="35"/>
      <c r="FL280" s="35"/>
      <c r="FM280" s="35"/>
      <c r="FN280" s="35"/>
      <c r="FO280" s="35"/>
      <c r="FP280" s="35"/>
      <c r="FQ280" s="35"/>
    </row>
    <row r="281" spans="1:173" s="321" customFormat="1" outlineLevel="1">
      <c r="A281" s="1168"/>
      <c r="B281" s="186"/>
      <c r="C281" s="186"/>
      <c r="D281" s="910" t="s">
        <v>209</v>
      </c>
      <c r="E281" s="186"/>
      <c r="F281" s="186"/>
      <c r="G281" s="186"/>
      <c r="H281" s="186"/>
      <c r="I281" s="186"/>
      <c r="J281" s="186"/>
      <c r="K281" s="186"/>
      <c r="L281" s="186"/>
      <c r="M281" s="186"/>
      <c r="N281" s="186"/>
      <c r="O281" s="186"/>
      <c r="P281" s="186"/>
      <c r="Q281" s="186"/>
      <c r="R281" s="186"/>
      <c r="S281" s="186"/>
      <c r="T281" s="186"/>
      <c r="U281" s="186"/>
      <c r="V281" s="186"/>
      <c r="W281" s="186"/>
      <c r="X281" s="186"/>
      <c r="Y281" s="186"/>
      <c r="Z281" s="186"/>
      <c r="AA281" s="186"/>
      <c r="AB281" s="186"/>
      <c r="AC281" s="186"/>
      <c r="AD281" s="186"/>
      <c r="AE281" s="186"/>
      <c r="AF281" s="186"/>
      <c r="AG281" s="186"/>
      <c r="AH281" s="186"/>
      <c r="AI281" s="186"/>
      <c r="AJ281" s="186"/>
      <c r="AK281" s="186"/>
      <c r="AL281" s="186"/>
      <c r="AM281" s="186"/>
      <c r="AN281" s="186"/>
      <c r="AO281" s="186"/>
      <c r="AP281" s="186"/>
      <c r="AQ281" s="186"/>
      <c r="AR281" s="186"/>
      <c r="AS281" s="186"/>
      <c r="AT281" s="186"/>
      <c r="AU281" s="186"/>
      <c r="AV281" s="186"/>
      <c r="AW281" s="186"/>
      <c r="AX281" s="186"/>
      <c r="AY281" s="186"/>
      <c r="AZ281" s="186"/>
      <c r="BA281" s="186"/>
      <c r="BB281" s="186"/>
      <c r="BC281" s="331"/>
      <c r="BD281" s="186"/>
      <c r="BE281" s="186"/>
      <c r="BF281" s="331"/>
      <c r="BG281" s="186"/>
      <c r="BH281" s="186"/>
      <c r="BI281" s="331"/>
      <c r="BJ281" s="186"/>
      <c r="BK281" s="186"/>
      <c r="BL281" s="331"/>
      <c r="BM281" s="190"/>
      <c r="BN281" s="190"/>
      <c r="BO281" s="973"/>
      <c r="BP281" s="83">
        <f t="shared" ref="BP281:CU281" si="1628">BP280/BM280-1</f>
        <v>0.25</v>
      </c>
      <c r="BQ281" s="83">
        <f t="shared" si="1628"/>
        <v>0.83581477200778886</v>
      </c>
      <c r="BR281" s="83">
        <f t="shared" si="1628"/>
        <v>0.51934985210960094</v>
      </c>
      <c r="BS281" s="83">
        <f t="shared" si="1628"/>
        <v>0.29257431046415383</v>
      </c>
      <c r="BT281" s="83">
        <f t="shared" si="1628"/>
        <v>0.20961108845664245</v>
      </c>
      <c r="BU281" s="83">
        <f t="shared" si="1628"/>
        <v>0.2464836315710921</v>
      </c>
      <c r="BV281" s="83">
        <f t="shared" si="1628"/>
        <v>0.16809796329984805</v>
      </c>
      <c r="BW281" s="83">
        <f t="shared" si="1628"/>
        <v>0.16626987483694311</v>
      </c>
      <c r="BX281" s="83">
        <f t="shared" si="1628"/>
        <v>0.16711240145415229</v>
      </c>
      <c r="BY281" s="83">
        <f t="shared" si="1628"/>
        <v>0.18716527509967906</v>
      </c>
      <c r="BZ281" s="83">
        <f t="shared" si="1628"/>
        <v>0.13116565540368064</v>
      </c>
      <c r="CA281" s="83">
        <f t="shared" si="1628"/>
        <v>0.15699646884256935</v>
      </c>
      <c r="CB281" s="83">
        <f t="shared" si="1628"/>
        <v>7.0049999999999946E-2</v>
      </c>
      <c r="CC281" s="83">
        <f t="shared" si="1628"/>
        <v>3.9480000000000182E-2</v>
      </c>
      <c r="CD281" s="83">
        <f t="shared" si="1628"/>
        <v>5.3948636146713413E-2</v>
      </c>
      <c r="CE281" s="83">
        <f t="shared" si="1628"/>
        <v>-8.8749999999999996E-2</v>
      </c>
      <c r="CF281" s="83">
        <f t="shared" si="1628"/>
        <v>-7.0565648923609281E-2</v>
      </c>
      <c r="CG281" s="83">
        <f t="shared" si="1628"/>
        <v>-7.9303700206149852E-2</v>
      </c>
      <c r="CH281" s="83">
        <f t="shared" si="1628"/>
        <v>2.7199999999999891E-2</v>
      </c>
      <c r="CI281" s="83">
        <f t="shared" si="1628"/>
        <v>5.9863936242743332E-3</v>
      </c>
      <c r="CJ281" s="83">
        <f t="shared" si="1628"/>
        <v>1.6075493734608148E-2</v>
      </c>
      <c r="CK281" s="83">
        <f t="shared" si="1628"/>
        <v>-5.9731310481834221E-2</v>
      </c>
      <c r="CL281" s="83">
        <f t="shared" si="1628"/>
        <v>5.5587831284128475E-2</v>
      </c>
      <c r="CM281" s="83">
        <f t="shared" si="1628"/>
        <v>1.4206874608579945E-4</v>
      </c>
      <c r="CN281" s="83">
        <f t="shared" si="1628"/>
        <v>0.2351146749729851</v>
      </c>
      <c r="CO281" s="83">
        <f t="shared" si="1628"/>
        <v>0.29992874178521056</v>
      </c>
      <c r="CP281" s="83">
        <f t="shared" si="1628"/>
        <v>0.27063151514141226</v>
      </c>
      <c r="CQ281" s="83">
        <f t="shared" si="1628"/>
        <v>0.10000000000000009</v>
      </c>
      <c r="CR281" s="83">
        <f t="shared" si="1628"/>
        <v>-0.10419312492613197</v>
      </c>
      <c r="CS281" s="83">
        <f t="shared" si="1628"/>
        <v>-1.4473796765654967E-2</v>
      </c>
      <c r="CT281" s="83">
        <f t="shared" si="1628"/>
        <v>0.15183451315188656</v>
      </c>
      <c r="CU281" s="83">
        <f t="shared" si="1628"/>
        <v>0.15614582027132862</v>
      </c>
      <c r="CV281" s="83">
        <f t="shared" ref="CV281:EA281" si="1629">CV280/CS280-1</f>
        <v>0.15403146302788828</v>
      </c>
      <c r="CW281" s="83">
        <f t="shared" si="1629"/>
        <v>0.15199999999999991</v>
      </c>
      <c r="CX281" s="83">
        <f t="shared" si="1629"/>
        <v>0.26852728297549278</v>
      </c>
      <c r="CY281" s="83">
        <f t="shared" si="1629"/>
        <v>0.21148860317137252</v>
      </c>
      <c r="CZ281" s="83">
        <f t="shared" si="1629"/>
        <v>3.9665399575957716E-2</v>
      </c>
      <c r="DA281" s="83">
        <f t="shared" si="1629"/>
        <v>-3.5884994845773566E-2</v>
      </c>
      <c r="DB281" s="83">
        <f t="shared" si="1629"/>
        <v>-7.1990537199695392E-4</v>
      </c>
      <c r="DC281" s="83">
        <f t="shared" si="1629"/>
        <v>0.14164862077972828</v>
      </c>
      <c r="DD281" s="83">
        <f t="shared" si="1629"/>
        <v>0.14185046664500356</v>
      </c>
      <c r="DE281" s="83">
        <f t="shared" si="1629"/>
        <v>0.1417527201479396</v>
      </c>
      <c r="DF281" s="83">
        <f t="shared" si="1629"/>
        <v>-0.12699999999999989</v>
      </c>
      <c r="DG281" s="83">
        <f t="shared" si="1629"/>
        <v>-0.29499999999999993</v>
      </c>
      <c r="DH281" s="1066">
        <f t="shared" si="1629"/>
        <v>-0.21365122299513328</v>
      </c>
      <c r="DI281" s="83"/>
      <c r="DJ281" s="83"/>
      <c r="DK281" s="1079"/>
      <c r="DL281" s="83">
        <f t="shared" si="1629"/>
        <v>0.58383318507194915</v>
      </c>
      <c r="DM281" s="83">
        <f t="shared" si="1629"/>
        <v>0.18216913728102657</v>
      </c>
      <c r="DN281" s="1079">
        <f t="shared" si="1629"/>
        <v>0.35277652561592299</v>
      </c>
      <c r="DO281" s="83">
        <f t="shared" si="1629"/>
        <v>0.12976318621124339</v>
      </c>
      <c r="DP281" s="83">
        <f t="shared" si="1629"/>
        <v>7.4343634466781605E-2</v>
      </c>
      <c r="DQ281" s="1079">
        <f t="shared" si="1629"/>
        <v>0.10190376452694627</v>
      </c>
      <c r="DR281" s="83">
        <f t="shared" si="1629"/>
        <v>-0.13631141563489613</v>
      </c>
      <c r="DS281" s="83">
        <f t="shared" si="1629"/>
        <v>0.18995231657475165</v>
      </c>
      <c r="DT281" s="1079">
        <f t="shared" si="1629"/>
        <v>2.3599251927512332E-2</v>
      </c>
      <c r="DU281" s="83">
        <f t="shared" si="1629"/>
        <v>0.19070520720928763</v>
      </c>
      <c r="DV281" s="83">
        <f t="shared" ref="DV281" si="1630">DV280/DS280-1</f>
        <v>-2.6837090488623594E-2</v>
      </c>
      <c r="DW281" s="1079">
        <f t="shared" ref="DW281" si="1631">DW280/DT280-1</f>
        <v>6.6753661566393063E-2</v>
      </c>
      <c r="DX281" s="83">
        <f t="shared" si="1629"/>
        <v>-5.515067080095104E-2</v>
      </c>
      <c r="DY281" s="83">
        <f t="shared" si="1629"/>
        <v>0.125</v>
      </c>
      <c r="DZ281" s="1079">
        <f t="shared" si="1629"/>
        <v>3.8490217511132796E-2</v>
      </c>
      <c r="EA281" s="83">
        <f t="shared" si="1629"/>
        <v>0.1100000000000001</v>
      </c>
      <c r="EB281" s="83">
        <f t="shared" ref="EB281:EL281" si="1632">EB280/DY280-1</f>
        <v>5.0000000000000044E-2</v>
      </c>
      <c r="EC281" s="1079">
        <f t="shared" si="1632"/>
        <v>7.6214449141506879E-2</v>
      </c>
      <c r="ED281" s="83">
        <f t="shared" si="1632"/>
        <v>6.999999999999984E-2</v>
      </c>
      <c r="EE281" s="83">
        <f t="shared" si="1632"/>
        <v>7.0000000000000284E-2</v>
      </c>
      <c r="EF281" s="1079">
        <f t="shared" si="1632"/>
        <v>6.999999999999984E-2</v>
      </c>
      <c r="EG281" s="83">
        <f t="shared" si="1632"/>
        <v>9.000000000000008E-2</v>
      </c>
      <c r="EH281" s="83">
        <f t="shared" si="1632"/>
        <v>9.000000000000008E-2</v>
      </c>
      <c r="EI281" s="1079">
        <f t="shared" si="1632"/>
        <v>9.000000000000008E-2</v>
      </c>
      <c r="EJ281" s="83">
        <f t="shared" si="1632"/>
        <v>9.000000000000008E-2</v>
      </c>
      <c r="EK281" s="83">
        <f t="shared" si="1632"/>
        <v>9.000000000000008E-2</v>
      </c>
      <c r="EL281" s="1079">
        <f t="shared" si="1632"/>
        <v>9.0000000000000302E-2</v>
      </c>
      <c r="EM281" s="83">
        <f t="shared" ref="EM281:ER281" si="1633">EM280/EJ280-1</f>
        <v>9.000000000000008E-2</v>
      </c>
      <c r="EN281" s="83">
        <f t="shared" si="1633"/>
        <v>9.000000000000008E-2</v>
      </c>
      <c r="EO281" s="1079">
        <f t="shared" si="1633"/>
        <v>9.000000000000008E-2</v>
      </c>
      <c r="EP281" s="83">
        <f t="shared" si="1633"/>
        <v>9.0000000000000302E-2</v>
      </c>
      <c r="EQ281" s="83">
        <f t="shared" si="1633"/>
        <v>9.000000000000008E-2</v>
      </c>
      <c r="ER281" s="1079">
        <f t="shared" si="1633"/>
        <v>9.000000000000008E-2</v>
      </c>
      <c r="ES281" s="83">
        <f t="shared" ref="ES281" si="1634">ES280/EP280-1</f>
        <v>9.000000000000008E-2</v>
      </c>
      <c r="ET281" s="83">
        <f t="shared" ref="ET281" si="1635">ET280/EQ280-1</f>
        <v>9.000000000000008E-2</v>
      </c>
      <c r="EU281" s="1079">
        <f t="shared" ref="EU281" si="1636">EU280/ER280-1</f>
        <v>9.000000000000008E-2</v>
      </c>
      <c r="EV281" s="83">
        <f t="shared" ref="EV281" si="1637">EV280/ES280-1</f>
        <v>9.000000000000008E-2</v>
      </c>
      <c r="EW281" s="83">
        <f t="shared" ref="EW281" si="1638">EW280/ET280-1</f>
        <v>9.000000000000008E-2</v>
      </c>
      <c r="EX281" s="1079">
        <f t="shared" ref="EX281" si="1639">EX280/EU280-1</f>
        <v>9.000000000000008E-2</v>
      </c>
      <c r="EY281" s="83">
        <f t="shared" ref="EY281" si="1640">EY280/EV280-1</f>
        <v>9.000000000000008E-2</v>
      </c>
      <c r="EZ281" s="83">
        <f t="shared" ref="EZ281" si="1641">EZ280/EW280-1</f>
        <v>9.000000000000008E-2</v>
      </c>
      <c r="FA281" s="1079">
        <f t="shared" ref="FA281" si="1642">FA280/EX280-1</f>
        <v>9.000000000000008E-2</v>
      </c>
      <c r="FH281" s="35"/>
      <c r="FI281" s="35"/>
      <c r="FJ281" s="35"/>
      <c r="FK281" s="35"/>
      <c r="FL281" s="35"/>
      <c r="FM281" s="35"/>
      <c r="FN281" s="35"/>
      <c r="FO281" s="35"/>
      <c r="FP281" s="35"/>
      <c r="FQ281" s="35"/>
    </row>
    <row r="282" spans="1:173" s="321" customFormat="1" hidden="1" outlineLevel="1">
      <c r="A282" s="1168"/>
      <c r="B282" s="186"/>
      <c r="C282" s="186"/>
      <c r="D282" s="910" t="s">
        <v>398</v>
      </c>
      <c r="E282" s="186"/>
      <c r="F282" s="186"/>
      <c r="G282" s="186"/>
      <c r="H282" s="186"/>
      <c r="I282" s="186"/>
      <c r="J282" s="186"/>
      <c r="K282" s="186"/>
      <c r="L282" s="186"/>
      <c r="M282" s="186"/>
      <c r="N282" s="186"/>
      <c r="O282" s="186"/>
      <c r="P282" s="186"/>
      <c r="Q282" s="186"/>
      <c r="R282" s="186"/>
      <c r="S282" s="186"/>
      <c r="T282" s="186"/>
      <c r="U282" s="186"/>
      <c r="V282" s="186"/>
      <c r="W282" s="186"/>
      <c r="X282" s="186"/>
      <c r="Y282" s="186"/>
      <c r="Z282" s="186"/>
      <c r="AA282" s="186"/>
      <c r="AB282" s="186"/>
      <c r="AC282" s="186"/>
      <c r="AD282" s="186"/>
      <c r="AE282" s="186"/>
      <c r="AF282" s="186"/>
      <c r="AG282" s="186"/>
      <c r="AH282" s="186"/>
      <c r="AI282" s="186"/>
      <c r="AJ282" s="186"/>
      <c r="AK282" s="186"/>
      <c r="AL282" s="186"/>
      <c r="AM282" s="186"/>
      <c r="AN282" s="186"/>
      <c r="AO282" s="186"/>
      <c r="AP282" s="186"/>
      <c r="AQ282" s="186"/>
      <c r="AR282" s="186"/>
      <c r="AS282" s="186"/>
      <c r="AT282" s="186"/>
      <c r="AU282" s="186"/>
      <c r="AV282" s="186"/>
      <c r="AW282" s="186"/>
      <c r="AX282" s="186"/>
      <c r="AY282" s="186"/>
      <c r="AZ282" s="186"/>
      <c r="BA282" s="186"/>
      <c r="BB282" s="186"/>
      <c r="BC282" s="331"/>
      <c r="BD282" s="186"/>
      <c r="BE282" s="186"/>
      <c r="BF282" s="331"/>
      <c r="BG282" s="186"/>
      <c r="BH282" s="186"/>
      <c r="BI282" s="331"/>
      <c r="BJ282" s="186"/>
      <c r="BK282" s="186"/>
      <c r="BL282" s="331"/>
      <c r="BM282" s="190">
        <f>BM280/BM84</f>
        <v>63.9392</v>
      </c>
      <c r="BN282" s="190">
        <f>BN280/BN84</f>
        <v>56.119849101863807</v>
      </c>
      <c r="BO282" s="973">
        <f>BM282+BN282</f>
        <v>120.05904910186381</v>
      </c>
      <c r="BP282" s="190">
        <f>BP280/BP84</f>
        <v>82.420518387239696</v>
      </c>
      <c r="BQ282" s="190">
        <f>BQ280/BQ84</f>
        <v>88.529020824102787</v>
      </c>
      <c r="BR282" s="973">
        <f>BP282+BQ282</f>
        <v>170.94953921134248</v>
      </c>
      <c r="BS282" s="190">
        <f>BS280/BS84</f>
        <v>89.255663677269453</v>
      </c>
      <c r="BT282" s="190">
        <f>BT280/BT84</f>
        <v>104.40854310806763</v>
      </c>
      <c r="BU282" s="190">
        <f>BS282+BT282</f>
        <v>193.66420678533709</v>
      </c>
      <c r="BV282" s="190">
        <f>BV280/BV84</f>
        <v>123.9023403905511</v>
      </c>
      <c r="BW282" s="190">
        <f>BW280/BW84</f>
        <v>145.90047747729886</v>
      </c>
      <c r="BX282" s="190">
        <f>BV282+BW282</f>
        <v>269.80281786784997</v>
      </c>
      <c r="BY282" s="190">
        <f>BY280/BY84</f>
        <v>149.75750539884882</v>
      </c>
      <c r="BZ282" s="190">
        <f>BZ280/BZ84</f>
        <v>166.65704076988143</v>
      </c>
      <c r="CA282" s="190">
        <f>BY282+BZ282</f>
        <v>316.41454616873023</v>
      </c>
      <c r="CB282" s="190">
        <f>CB280/CB84</f>
        <v>160.24801865203818</v>
      </c>
      <c r="CC282" s="190">
        <f>CC280/CC84</f>
        <v>173.23666073947638</v>
      </c>
      <c r="CD282" s="190">
        <f>CB282+CC282</f>
        <v>333.48467939151453</v>
      </c>
      <c r="CE282" s="190">
        <f>CE280/CE84</f>
        <v>146.02600699666979</v>
      </c>
      <c r="CF282" s="190">
        <f>CF280/CF84</f>
        <v>152.3626274923455</v>
      </c>
      <c r="CG282" s="190">
        <f>CE282+CF282</f>
        <v>298.38863448901532</v>
      </c>
      <c r="CH282" s="190">
        <f>CH280/CH84</f>
        <v>142.80160595679399</v>
      </c>
      <c r="CI282" s="190">
        <f>CI280/CI84</f>
        <v>154.2050161532317</v>
      </c>
      <c r="CJ282" s="190">
        <f>CH282+CI282</f>
        <v>297.00662211002566</v>
      </c>
      <c r="CK282" s="190">
        <f>CK280/CK84</f>
        <v>127.77647791208607</v>
      </c>
      <c r="CL282" s="190">
        <f>CL280/CL84</f>
        <v>156.56580913199926</v>
      </c>
      <c r="CM282" s="190">
        <f>CK282+CL282</f>
        <v>284.34228704408531</v>
      </c>
      <c r="CN282" s="190">
        <f>CN280/CN84</f>
        <v>159.51311587411791</v>
      </c>
      <c r="CO282" s="190">
        <f>CO280/CO84</f>
        <v>210.88019672818695</v>
      </c>
      <c r="CP282" s="190">
        <f>CN282+CO282</f>
        <v>370.39331260230483</v>
      </c>
      <c r="CQ282" s="190">
        <f>CQ280/CQ84</f>
        <v>185.65395870849662</v>
      </c>
      <c r="CR282" s="190">
        <f>CR280/CR84</f>
        <v>210.9706194316677</v>
      </c>
      <c r="CS282" s="190">
        <f>CQ282+CR282</f>
        <v>396.62457814016432</v>
      </c>
      <c r="CT282" s="190">
        <f>CT280/CT84</f>
        <v>233.86772170516133</v>
      </c>
      <c r="CU282" s="190">
        <f>CU280/CU84</f>
        <v>243.91279985597578</v>
      </c>
      <c r="CV282" s="190">
        <f>CT282+CU282</f>
        <v>477.78052156113711</v>
      </c>
      <c r="CW282" s="190">
        <f>CW280/CW84</f>
        <v>269.41561540434583</v>
      </c>
      <c r="CX282" s="190">
        <f>CX280/CX84</f>
        <v>309.41004128424606</v>
      </c>
      <c r="CY282" s="190">
        <f>CW282+CX282</f>
        <v>578.82565668859183</v>
      </c>
      <c r="CZ282" s="190">
        <f>CZ280/CZ84</f>
        <v>280.10209344136172</v>
      </c>
      <c r="DA282" s="190">
        <f>DA280/DA84</f>
        <v>298.30686354753033</v>
      </c>
      <c r="DB282" s="190">
        <f>CZ282+DA282</f>
        <v>578.40895698889199</v>
      </c>
      <c r="DC282" s="190">
        <f>DC280/DC84</f>
        <v>319.77816865484516</v>
      </c>
      <c r="DD282" s="190">
        <f>DD280/DD84</f>
        <v>340.62183134515493</v>
      </c>
      <c r="DE282" s="190">
        <f>DC282+DD282</f>
        <v>660.40000000000009</v>
      </c>
      <c r="DF282" s="190">
        <f>DF280/DF84</f>
        <v>279.16634123567985</v>
      </c>
      <c r="DG282" s="190">
        <f>DG280/DG84</f>
        <v>240.13839109833427</v>
      </c>
      <c r="DH282" s="1060">
        <f>DF282+DG282</f>
        <v>519.30473233401415</v>
      </c>
      <c r="DI282" s="190">
        <f>DI280/DI84</f>
        <v>143.42452051696284</v>
      </c>
      <c r="DJ282" s="190">
        <f>DJ280/DJ84</f>
        <v>194.24241188007997</v>
      </c>
      <c r="DK282" s="1060">
        <f>DI282+DJ282</f>
        <v>337.66693239704284</v>
      </c>
      <c r="DL282" s="234">
        <f>DL280/DL84</f>
        <v>252.40057238644266</v>
      </c>
      <c r="DM282" s="234">
        <f>DM280/DM84</f>
        <v>239.12674439331556</v>
      </c>
      <c r="DN282" s="1060">
        <f>DL282+DM282</f>
        <v>491.52731677975822</v>
      </c>
      <c r="DO282" s="234">
        <f>DO280/DO84</f>
        <v>276.58325130678884</v>
      </c>
      <c r="DP282" s="234">
        <f>DP280/DP84</f>
        <v>279.57697054700992</v>
      </c>
      <c r="DQ282" s="1060">
        <f>DO282+DP282</f>
        <v>556.1602218537987</v>
      </c>
      <c r="DR282" s="234">
        <f>DR280/DR84</f>
        <v>257.45492852642144</v>
      </c>
      <c r="DS282" s="234">
        <f>DS280/DS84</f>
        <v>331.36374310511502</v>
      </c>
      <c r="DT282" s="1060">
        <f>DR282+DS282</f>
        <v>588.81867163153652</v>
      </c>
      <c r="DU282" s="234">
        <f>DU280/DU84</f>
        <v>297.91353218534215</v>
      </c>
      <c r="DV282" s="234">
        <f>DV280/DV84</f>
        <v>322.47090434675403</v>
      </c>
      <c r="DW282" s="1060">
        <f>DU282+DV282</f>
        <v>620.38443653209617</v>
      </c>
      <c r="DX282" s="234">
        <f>DX280/DX84</f>
        <v>281.48340104463983</v>
      </c>
      <c r="DY282" s="234">
        <f>DY280/DY84</f>
        <v>362.7797673900983</v>
      </c>
      <c r="DZ282" s="1060">
        <f>DX282+DY282</f>
        <v>644.26316843473819</v>
      </c>
      <c r="EA282" s="234">
        <f>EA280/EA84</f>
        <v>312.44657515955026</v>
      </c>
      <c r="EB282" s="234">
        <f>EB280/EB84</f>
        <v>380.91875575960324</v>
      </c>
      <c r="EC282" s="1060">
        <f>EA282+EB282</f>
        <v>693.36533091915351</v>
      </c>
      <c r="ED282" s="234">
        <f>ED280/ED84</f>
        <v>334.31783542071878</v>
      </c>
      <c r="EE282" s="234">
        <f>EE280/EE84</f>
        <v>407.58306866277553</v>
      </c>
      <c r="EF282" s="1060">
        <f>ED282+EE282</f>
        <v>741.90090408349431</v>
      </c>
      <c r="EG282" s="234">
        <f>EG280/EG84</f>
        <v>364.40644060858347</v>
      </c>
      <c r="EH282" s="234">
        <f>EH280/EH84</f>
        <v>444.26554484242541</v>
      </c>
      <c r="EI282" s="1060">
        <f>EG282+EH282</f>
        <v>808.67198545100882</v>
      </c>
      <c r="EJ282" s="234">
        <f>EJ280/EJ84</f>
        <v>397.20302026335605</v>
      </c>
      <c r="EK282" s="234">
        <f>EK280/EK84</f>
        <v>484.24944387824371</v>
      </c>
      <c r="EL282" s="1060">
        <f>EJ282+EK282</f>
        <v>881.45246414159976</v>
      </c>
      <c r="EM282" s="234">
        <f>EM280/EM84</f>
        <v>432.95129208705811</v>
      </c>
      <c r="EN282" s="234">
        <f>EN280/EN84</f>
        <v>527.83189382728563</v>
      </c>
      <c r="EO282" s="1060">
        <f>EM282+EN282</f>
        <v>960.78318591434368</v>
      </c>
      <c r="EP282" s="234">
        <f>EP280/EP84</f>
        <v>471.91690837489341</v>
      </c>
      <c r="EQ282" s="234">
        <f>EQ280/EQ84</f>
        <v>575.33676427174134</v>
      </c>
      <c r="ER282" s="1060">
        <f>EP282+EQ282</f>
        <v>1047.2536726466346</v>
      </c>
      <c r="ES282" s="234">
        <f>ES280/ES84</f>
        <v>514.38943012863388</v>
      </c>
      <c r="ET282" s="234">
        <f>ET280/ET84</f>
        <v>627.11707305619825</v>
      </c>
      <c r="EU282" s="1060">
        <f>ES282+ET282</f>
        <v>1141.5065031848321</v>
      </c>
      <c r="EV282" s="234">
        <f>EV280/EV84</f>
        <v>560.68447884021089</v>
      </c>
      <c r="EW282" s="234">
        <f>EW280/EW84</f>
        <v>683.55760963125613</v>
      </c>
      <c r="EX282" s="1060">
        <f>EV282+EW282</f>
        <v>1244.242088471467</v>
      </c>
      <c r="EY282" s="234">
        <f>EY280/EY84</f>
        <v>611.14608193583001</v>
      </c>
      <c r="EZ282" s="234">
        <f>EZ280/EZ84</f>
        <v>745.07779449806924</v>
      </c>
      <c r="FA282" s="1060">
        <f>EY282+EZ282</f>
        <v>1356.2238764338992</v>
      </c>
      <c r="FH282" s="35"/>
      <c r="FI282" s="35"/>
      <c r="FJ282" s="35"/>
      <c r="FK282" s="35"/>
      <c r="FL282" s="35"/>
      <c r="FM282" s="35"/>
      <c r="FN282" s="35"/>
      <c r="FO282" s="35"/>
      <c r="FP282" s="35"/>
      <c r="FQ282" s="35"/>
    </row>
    <row r="283" spans="1:173" s="321" customFormat="1" hidden="1" outlineLevel="1">
      <c r="A283" s="1168"/>
      <c r="B283" s="186"/>
      <c r="C283" s="186"/>
      <c r="D283" s="910" t="s">
        <v>209</v>
      </c>
      <c r="E283" s="186"/>
      <c r="F283" s="186"/>
      <c r="G283" s="186"/>
      <c r="H283" s="186"/>
      <c r="I283" s="186"/>
      <c r="J283" s="186"/>
      <c r="K283" s="186"/>
      <c r="L283" s="186"/>
      <c r="M283" s="186"/>
      <c r="N283" s="186"/>
      <c r="O283" s="186"/>
      <c r="P283" s="186"/>
      <c r="Q283" s="186"/>
      <c r="R283" s="186"/>
      <c r="S283" s="186"/>
      <c r="T283" s="186"/>
      <c r="U283" s="186"/>
      <c r="V283" s="186"/>
      <c r="W283" s="186"/>
      <c r="X283" s="186"/>
      <c r="Y283" s="186"/>
      <c r="Z283" s="186"/>
      <c r="AA283" s="186"/>
      <c r="AB283" s="186"/>
      <c r="AC283" s="186"/>
      <c r="AD283" s="186"/>
      <c r="AE283" s="186"/>
      <c r="AF283" s="186"/>
      <c r="AG283" s="186"/>
      <c r="AH283" s="186"/>
      <c r="AI283" s="186"/>
      <c r="AJ283" s="186"/>
      <c r="AK283" s="186"/>
      <c r="AL283" s="186"/>
      <c r="AM283" s="186"/>
      <c r="AN283" s="186"/>
      <c r="AO283" s="186"/>
      <c r="AP283" s="186"/>
      <c r="AQ283" s="186"/>
      <c r="AR283" s="186"/>
      <c r="AS283" s="186"/>
      <c r="AT283" s="186"/>
      <c r="AU283" s="186"/>
      <c r="AV283" s="186"/>
      <c r="AW283" s="186"/>
      <c r="AX283" s="186"/>
      <c r="AY283" s="186"/>
      <c r="AZ283" s="186"/>
      <c r="BA283" s="186"/>
      <c r="BB283" s="186"/>
      <c r="BC283" s="331"/>
      <c r="BD283" s="186"/>
      <c r="BE283" s="186"/>
      <c r="BF283" s="331"/>
      <c r="BG283" s="186"/>
      <c r="BH283" s="186"/>
      <c r="BI283" s="331"/>
      <c r="BJ283" s="186"/>
      <c r="BK283" s="186"/>
      <c r="BL283" s="331"/>
      <c r="BM283" s="190"/>
      <c r="BN283" s="190"/>
      <c r="BO283" s="973"/>
      <c r="BP283" s="83">
        <f t="shared" ref="BP283:CU283" si="1643">BP282/BM282-1</f>
        <v>0.2890451927337172</v>
      </c>
      <c r="BQ283" s="83">
        <f t="shared" si="1643"/>
        <v>0.57749926703139742</v>
      </c>
      <c r="BR283" s="83">
        <f t="shared" si="1643"/>
        <v>0.42387883704043627</v>
      </c>
      <c r="BS283" s="83">
        <f t="shared" si="1643"/>
        <v>8.2930141957078041E-2</v>
      </c>
      <c r="BT283" s="83">
        <f t="shared" si="1643"/>
        <v>0.17937081124522636</v>
      </c>
      <c r="BU283" s="83">
        <f t="shared" si="1643"/>
        <v>0.13287352325596369</v>
      </c>
      <c r="BV283" s="83">
        <f t="shared" si="1643"/>
        <v>0.38817342548207434</v>
      </c>
      <c r="BW283" s="83">
        <f t="shared" si="1643"/>
        <v>0.39739980210513215</v>
      </c>
      <c r="BX283" s="83">
        <f t="shared" si="1643"/>
        <v>0.39314756374628934</v>
      </c>
      <c r="BY283" s="83">
        <f t="shared" si="1643"/>
        <v>0.2086737419712974</v>
      </c>
      <c r="BZ283" s="83">
        <f t="shared" si="1643"/>
        <v>0.14226521839732942</v>
      </c>
      <c r="CA283" s="83">
        <f t="shared" si="1643"/>
        <v>0.17276219970286144</v>
      </c>
      <c r="CB283" s="83">
        <f t="shared" si="1643"/>
        <v>7.0049999999999946E-2</v>
      </c>
      <c r="CC283" s="83">
        <f t="shared" si="1643"/>
        <v>3.9480000000000182E-2</v>
      </c>
      <c r="CD283" s="83">
        <f t="shared" si="1643"/>
        <v>5.3948636146713413E-2</v>
      </c>
      <c r="CE283" s="83">
        <f t="shared" si="1643"/>
        <v>-8.8749999999999996E-2</v>
      </c>
      <c r="CF283" s="83">
        <f t="shared" si="1643"/>
        <v>-0.12049431776177266</v>
      </c>
      <c r="CG283" s="83">
        <f t="shared" si="1643"/>
        <v>-0.10524035157038225</v>
      </c>
      <c r="CH283" s="83">
        <f t="shared" si="1643"/>
        <v>-2.208100533728441E-2</v>
      </c>
      <c r="CI283" s="83">
        <f t="shared" si="1643"/>
        <v>1.2092129751298586E-2</v>
      </c>
      <c r="CJ283" s="83">
        <f t="shared" si="1643"/>
        <v>-4.6315851853953038E-3</v>
      </c>
      <c r="CK283" s="83">
        <f t="shared" si="1643"/>
        <v>-0.1052168002175965</v>
      </c>
      <c r="CL283" s="83">
        <f t="shared" si="1643"/>
        <v>1.5309443477647067E-2</v>
      </c>
      <c r="CM283" s="83">
        <f t="shared" si="1643"/>
        <v>-4.263990808005913E-2</v>
      </c>
      <c r="CN283" s="83">
        <f t="shared" si="1643"/>
        <v>0.24837621509545427</v>
      </c>
      <c r="CO283" s="83">
        <f t="shared" si="1643"/>
        <v>0.34691091175849076</v>
      </c>
      <c r="CP283" s="83">
        <f t="shared" si="1643"/>
        <v>0.30263182607403705</v>
      </c>
      <c r="CQ283" s="83">
        <f t="shared" si="1643"/>
        <v>0.16387895560267363</v>
      </c>
      <c r="CR283" s="83">
        <f t="shared" si="1643"/>
        <v>4.2878707855775744E-4</v>
      </c>
      <c r="CS283" s="83">
        <f t="shared" si="1643"/>
        <v>7.0820030074420615E-2</v>
      </c>
      <c r="CT283" s="83">
        <f t="shared" si="1643"/>
        <v>0.25969692934136268</v>
      </c>
      <c r="CU283" s="83">
        <f t="shared" si="1643"/>
        <v>0.15614582027132884</v>
      </c>
      <c r="CV283" s="83">
        <f t="shared" ref="CV283:EA283" si="1644">CV282/CS282-1</f>
        <v>0.20461652629175409</v>
      </c>
      <c r="CW283" s="83">
        <f t="shared" si="1644"/>
        <v>0.15199999999999991</v>
      </c>
      <c r="CX283" s="83">
        <f t="shared" si="1644"/>
        <v>0.26852728297549255</v>
      </c>
      <c r="CY283" s="83">
        <f t="shared" si="1644"/>
        <v>0.21148860317137252</v>
      </c>
      <c r="CZ283" s="83">
        <f t="shared" si="1644"/>
        <v>3.9665399575957494E-2</v>
      </c>
      <c r="DA283" s="83">
        <f t="shared" si="1644"/>
        <v>-3.5884994845773455E-2</v>
      </c>
      <c r="DB283" s="83">
        <f t="shared" si="1644"/>
        <v>-7.1990537199706495E-4</v>
      </c>
      <c r="DC283" s="83">
        <f t="shared" si="1644"/>
        <v>0.14164862077972828</v>
      </c>
      <c r="DD283" s="83">
        <f t="shared" si="1644"/>
        <v>0.14185046664500356</v>
      </c>
      <c r="DE283" s="83">
        <f t="shared" si="1644"/>
        <v>0.1417527201479396</v>
      </c>
      <c r="DF283" s="83">
        <f t="shared" si="1644"/>
        <v>-0.12699999999999989</v>
      </c>
      <c r="DG283" s="83">
        <f t="shared" si="1644"/>
        <v>-0.29499999999999993</v>
      </c>
      <c r="DH283" s="1066">
        <f t="shared" si="1644"/>
        <v>-0.21365122299513317</v>
      </c>
      <c r="DI283" s="83">
        <f t="shared" si="1644"/>
        <v>-0.48623992461942267</v>
      </c>
      <c r="DJ283" s="83">
        <f t="shared" si="1644"/>
        <v>-0.19112303954539422</v>
      </c>
      <c r="DK283" s="1079">
        <f t="shared" si="1644"/>
        <v>-0.34977112401922572</v>
      </c>
      <c r="DL283" s="83">
        <f t="shared" si="1644"/>
        <v>0.75981465007994364</v>
      </c>
      <c r="DM283" s="83">
        <f t="shared" si="1644"/>
        <v>0.2310738014360425</v>
      </c>
      <c r="DN283" s="1079">
        <f t="shared" si="1644"/>
        <v>0.4556572457080279</v>
      </c>
      <c r="DO283" s="83">
        <f t="shared" si="1644"/>
        <v>9.5810713469067776E-2</v>
      </c>
      <c r="DP283" s="83">
        <f t="shared" si="1644"/>
        <v>0.16915810172684753</v>
      </c>
      <c r="DQ283" s="1079">
        <f t="shared" si="1644"/>
        <v>0.13149402457931125</v>
      </c>
      <c r="DR283" s="83">
        <f t="shared" si="1644"/>
        <v>-6.915936771294251E-2</v>
      </c>
      <c r="DS283" s="83">
        <f t="shared" si="1644"/>
        <v>0.1852326121739607</v>
      </c>
      <c r="DT283" s="1079">
        <f t="shared" si="1644"/>
        <v>5.8721297378802717E-2</v>
      </c>
      <c r="DU283" s="83">
        <f t="shared" si="1644"/>
        <v>0.15714829733690117</v>
      </c>
      <c r="DV283" s="83">
        <f t="shared" ref="DV283" si="1645">DV282/DS282-1</f>
        <v>-2.6837090488623594E-2</v>
      </c>
      <c r="DW283" s="1079">
        <f t="shared" ref="DW283" si="1646">DW282/DT282-1</f>
        <v>5.360863440878183E-2</v>
      </c>
      <c r="DX283" s="83">
        <f t="shared" si="1644"/>
        <v>-5.5150670800950929E-2</v>
      </c>
      <c r="DY283" s="83">
        <f t="shared" si="1644"/>
        <v>0.125</v>
      </c>
      <c r="DZ283" s="1079">
        <f t="shared" si="1644"/>
        <v>3.8490217511133018E-2</v>
      </c>
      <c r="EA283" s="83">
        <f t="shared" si="1644"/>
        <v>0.1100000000000001</v>
      </c>
      <c r="EB283" s="83">
        <f t="shared" ref="EB283:EL283" si="1647">EB282/DY282-1</f>
        <v>5.0000000000000044E-2</v>
      </c>
      <c r="EC283" s="1079">
        <f t="shared" si="1647"/>
        <v>7.6214449141506657E-2</v>
      </c>
      <c r="ED283" s="83">
        <f t="shared" si="1647"/>
        <v>7.0000000000000062E-2</v>
      </c>
      <c r="EE283" s="83">
        <f t="shared" si="1647"/>
        <v>7.0000000000000062E-2</v>
      </c>
      <c r="EF283" s="1079">
        <f t="shared" si="1647"/>
        <v>7.0000000000000062E-2</v>
      </c>
      <c r="EG283" s="83">
        <f t="shared" si="1647"/>
        <v>9.000000000000008E-2</v>
      </c>
      <c r="EH283" s="83">
        <f t="shared" si="1647"/>
        <v>9.0000000000000302E-2</v>
      </c>
      <c r="EI283" s="1079">
        <f t="shared" si="1647"/>
        <v>9.000000000000008E-2</v>
      </c>
      <c r="EJ283" s="83">
        <f t="shared" si="1647"/>
        <v>9.0000000000000302E-2</v>
      </c>
      <c r="EK283" s="83">
        <f t="shared" si="1647"/>
        <v>9.000000000000008E-2</v>
      </c>
      <c r="EL283" s="1079">
        <f t="shared" si="1647"/>
        <v>9.000000000000008E-2</v>
      </c>
      <c r="EM283" s="83">
        <f t="shared" ref="EM283:ER283" si="1648">EM282/EJ282-1</f>
        <v>9.000000000000008E-2</v>
      </c>
      <c r="EN283" s="83">
        <f t="shared" si="1648"/>
        <v>8.9999999999999858E-2</v>
      </c>
      <c r="EO283" s="1079">
        <f t="shared" si="1648"/>
        <v>8.9999999999999858E-2</v>
      </c>
      <c r="EP283" s="83">
        <f t="shared" si="1648"/>
        <v>9.000000000000008E-2</v>
      </c>
      <c r="EQ283" s="83">
        <f t="shared" si="1648"/>
        <v>9.000000000000008E-2</v>
      </c>
      <c r="ER283" s="1079">
        <f t="shared" si="1648"/>
        <v>9.000000000000008E-2</v>
      </c>
      <c r="ES283" s="83">
        <f t="shared" ref="ES283" si="1649">ES282/EP282-1</f>
        <v>9.000000000000008E-2</v>
      </c>
      <c r="ET283" s="83">
        <f t="shared" ref="ET283" si="1650">ET282/EQ282-1</f>
        <v>9.0000000000000302E-2</v>
      </c>
      <c r="EU283" s="1079">
        <f t="shared" ref="EU283" si="1651">EU282/ER282-1</f>
        <v>9.0000000000000302E-2</v>
      </c>
      <c r="EV283" s="83">
        <f t="shared" ref="EV283" si="1652">EV282/ES282-1</f>
        <v>8.9999999999999858E-2</v>
      </c>
      <c r="EW283" s="83">
        <f t="shared" ref="EW283" si="1653">EW282/ET282-1</f>
        <v>9.000000000000008E-2</v>
      </c>
      <c r="EX283" s="1079">
        <f t="shared" ref="EX283" si="1654">EX282/EU282-1</f>
        <v>9.000000000000008E-2</v>
      </c>
      <c r="EY283" s="83">
        <f t="shared" ref="EY283" si="1655">EY282/EV282-1</f>
        <v>9.0000000000000302E-2</v>
      </c>
      <c r="EZ283" s="83">
        <f t="shared" ref="EZ283" si="1656">EZ282/EW282-1</f>
        <v>9.000000000000008E-2</v>
      </c>
      <c r="FA283" s="1079">
        <f t="shared" ref="FA283" si="1657">FA282/EX282-1</f>
        <v>9.000000000000008E-2</v>
      </c>
      <c r="FH283" s="35"/>
      <c r="FI283" s="35"/>
      <c r="FJ283" s="35"/>
      <c r="FK283" s="35"/>
      <c r="FL283" s="35"/>
      <c r="FM283" s="35"/>
      <c r="FN283" s="35"/>
      <c r="FO283" s="35"/>
      <c r="FP283" s="35"/>
      <c r="FQ283" s="35"/>
    </row>
    <row r="284" spans="1:173" outlineLevel="1">
      <c r="B284" s="186" t="s">
        <v>422</v>
      </c>
      <c r="D284" s="926" t="s">
        <v>604</v>
      </c>
      <c r="BA284" s="35"/>
      <c r="BB284" s="35"/>
      <c r="BC284" s="322"/>
      <c r="BD284" s="35"/>
      <c r="BE284" s="35"/>
      <c r="BG284" s="35"/>
      <c r="BH284" s="35"/>
      <c r="BJ284" s="35"/>
      <c r="BK284" s="35"/>
      <c r="BL284" s="31"/>
      <c r="BM284" s="190">
        <f>BM282*BM87</f>
        <v>11.853104202584207</v>
      </c>
      <c r="BN284" s="190">
        <f>BN282*BN87</f>
        <v>9.7093164536096541</v>
      </c>
      <c r="BO284" s="973">
        <f>BM284+BN284</f>
        <v>21.562420656193861</v>
      </c>
      <c r="BP284" s="190">
        <f>BP282*BP87</f>
        <v>13.852187964241965</v>
      </c>
      <c r="BQ284" s="190">
        <f>BQ282*BQ87</f>
        <v>16.023352185357972</v>
      </c>
      <c r="BR284" s="973">
        <f>BP284+BQ284</f>
        <v>29.875540149599935</v>
      </c>
      <c r="BS284" s="190">
        <f>BS282*BS87</f>
        <v>16.154871253804426</v>
      </c>
      <c r="BT284" s="190">
        <f>BT282*BT87</f>
        <v>18.897473865713597</v>
      </c>
      <c r="BU284" s="190">
        <f>BS284+BT284</f>
        <v>35.052345119518023</v>
      </c>
      <c r="BV284" s="190">
        <f>BV282*BV87</f>
        <v>21.721319293867513</v>
      </c>
      <c r="BW284" s="190">
        <f>BW282*BW87</f>
        <v>25.678484036004598</v>
      </c>
      <c r="BX284" s="190">
        <f>BV284+BW284</f>
        <v>47.399803329872114</v>
      </c>
      <c r="BY284" s="190">
        <f>BY282*BY87</f>
        <v>27.377971736535432</v>
      </c>
      <c r="BZ284" s="190">
        <f>BZ282*BZ87</f>
        <v>28.742576259345245</v>
      </c>
      <c r="CA284" s="190">
        <f>BY284+BZ284</f>
        <v>56.120547995880678</v>
      </c>
      <c r="CB284" s="190">
        <f>CB282*CB87</f>
        <v>27.637241578500301</v>
      </c>
      <c r="CC284" s="190">
        <f>CC282*CC87</f>
        <v>29.877333170064201</v>
      </c>
      <c r="CD284" s="190">
        <f>CB284+CC284</f>
        <v>57.514574748564499</v>
      </c>
      <c r="CE284" s="190">
        <f>CE282*CE87</f>
        <v>25.184436388408397</v>
      </c>
      <c r="CF284" s="190">
        <f>CF282*CF87</f>
        <v>23.04458103998736</v>
      </c>
      <c r="CG284" s="190">
        <f>CE284+CF284</f>
        <v>48.229017428395757</v>
      </c>
      <c r="CH284" s="190">
        <f>CH282*CH87</f>
        <v>21.134637681605511</v>
      </c>
      <c r="CI284" s="190">
        <f>CI282*CI87</f>
        <v>22.822342390678291</v>
      </c>
      <c r="CJ284" s="190">
        <f>CH284+CI284</f>
        <v>43.956980072283798</v>
      </c>
      <c r="CK284" s="190">
        <f>CK282*CK87</f>
        <v>18.62850547374288</v>
      </c>
      <c r="CL284" s="190">
        <f>CL282*CL87</f>
        <v>23.181107853060293</v>
      </c>
      <c r="CM284" s="190">
        <f>CK284+CL284</f>
        <v>41.809613326803174</v>
      </c>
      <c r="CN284" s="190">
        <f>CN282*CN87</f>
        <v>23.436434379465808</v>
      </c>
      <c r="CO284" s="190">
        <f>CO282*CO87</f>
        <v>35.309191573538556</v>
      </c>
      <c r="CP284" s="190">
        <f>CN284+CO284</f>
        <v>58.745625953004364</v>
      </c>
      <c r="CQ284" s="190">
        <f>CQ282*CQ87</f>
        <v>29.303055808761695</v>
      </c>
      <c r="CR284" s="190">
        <f>CR282*CR87</f>
        <v>31.645592914750154</v>
      </c>
      <c r="CS284" s="190">
        <f>CQ284+CR284</f>
        <v>60.948648723511852</v>
      </c>
      <c r="CT284" s="190">
        <f>CT282*CT87</f>
        <v>35.080158255774201</v>
      </c>
      <c r="CU284" s="190">
        <f>CU282*CU87</f>
        <v>36.586919978396367</v>
      </c>
      <c r="CV284" s="190">
        <f>CT284+CU284</f>
        <v>71.66707823417056</v>
      </c>
      <c r="CW284" s="190">
        <f>CW282*CW87</f>
        <v>40.412342310651873</v>
      </c>
      <c r="CX284" s="190">
        <f>CX282*CX87</f>
        <v>46.411506192636907</v>
      </c>
      <c r="CY284" s="190">
        <f>CW284+CX284</f>
        <v>86.823848503288787</v>
      </c>
      <c r="CZ284" s="190">
        <f>CZ282*CZ87</f>
        <v>42.015314016204258</v>
      </c>
      <c r="DA284" s="190">
        <f>DA282*DA87</f>
        <v>44.746029532129548</v>
      </c>
      <c r="DB284" s="190">
        <f>CZ284+DA284</f>
        <v>86.761343548333798</v>
      </c>
      <c r="DC284" s="190">
        <f>DC282*DC87</f>
        <v>47.96672529822677</v>
      </c>
      <c r="DD284" s="190">
        <f>DD282*DD87</f>
        <v>51.09327470177324</v>
      </c>
      <c r="DE284" s="190">
        <f>DC284+DD284</f>
        <v>99.06</v>
      </c>
      <c r="DF284" s="190">
        <f>DF282*DF87</f>
        <v>41.874951185351975</v>
      </c>
      <c r="DG284" s="190">
        <f>DG282*DG87</f>
        <v>36.02075866475014</v>
      </c>
      <c r="DH284" s="1060">
        <f>DF284+DG284</f>
        <v>77.895709850102122</v>
      </c>
      <c r="DI284" s="1159">
        <f>+DI124*DI92</f>
        <v>23.414539579967691</v>
      </c>
      <c r="DJ284" s="1159">
        <f>+DJ124*DJ92</f>
        <v>30.977081945369754</v>
      </c>
      <c r="DK284" s="1160">
        <f>SUM(DI284:DJ284)</f>
        <v>54.391621525337442</v>
      </c>
      <c r="DL284" s="1159">
        <f>+DL124*DL92</f>
        <v>35.493830491843497</v>
      </c>
      <c r="DM284" s="1159">
        <f>+DM124*DM92</f>
        <v>35.711879389682728</v>
      </c>
      <c r="DN284" s="1160">
        <f t="shared" ref="DN284" si="1658">SUM(DL284:DM284)</f>
        <v>71.205709881526218</v>
      </c>
      <c r="DO284" s="1159">
        <f>+DO124*DO92</f>
        <v>38.845713325114872</v>
      </c>
      <c r="DP284" s="1159">
        <f>+DP124*DP92</f>
        <v>39.468967462854991</v>
      </c>
      <c r="DQ284" s="1160">
        <f t="shared" ref="DQ284" si="1659">SUM(DO284:DP284)</f>
        <v>78.314680787969863</v>
      </c>
      <c r="DR284" s="1159">
        <f>+DR124*DR92</f>
        <v>36.725345787677384</v>
      </c>
      <c r="DS284" s="1159">
        <f>+DS124*DS92</f>
        <v>48.176039482879098</v>
      </c>
      <c r="DT284" s="1160">
        <f t="shared" ref="DT284" si="1660">SUM(DR284:DS284)</f>
        <v>84.901385270556489</v>
      </c>
      <c r="DU284" s="1159">
        <f>+DU124*DU92</f>
        <v>43.227694674758524</v>
      </c>
      <c r="DV284" s="1159">
        <f>+DV124*DV92</f>
        <v>49.255417826123626</v>
      </c>
      <c r="DW284" s="1160">
        <f t="shared" ref="DW284" si="1661">SUM(DU284:DV284)</f>
        <v>92.483112500882157</v>
      </c>
      <c r="DX284" s="1159">
        <f>+DX124*DX92</f>
        <v>44.376428571428569</v>
      </c>
      <c r="DY284" s="1155">
        <f>DY282*DY87</f>
        <v>52.808019776639853</v>
      </c>
      <c r="DZ284" s="1156">
        <f>DX284+DY284</f>
        <v>97.184448348068429</v>
      </c>
      <c r="EA284" s="1155">
        <f>EA282*EA87</f>
        <v>45.481271017043113</v>
      </c>
      <c r="EB284" s="1155">
        <f>EB282*EB87</f>
        <v>55.448420765471852</v>
      </c>
      <c r="EC284" s="1156">
        <f>EA284+EB284</f>
        <v>100.92969178251496</v>
      </c>
      <c r="ED284" s="1155">
        <f>ED282*ED87</f>
        <v>48.664959988236134</v>
      </c>
      <c r="EE284" s="1155">
        <f>EE282*EE87</f>
        <v>59.329810219054892</v>
      </c>
      <c r="EF284" s="1156">
        <f>ED284+EE284</f>
        <v>107.99477020729103</v>
      </c>
      <c r="EG284" s="1155">
        <f>EG282*EG87</f>
        <v>53.044806387177381</v>
      </c>
      <c r="EH284" s="1155">
        <f>EH282*EH87</f>
        <v>64.669493138769838</v>
      </c>
      <c r="EI284" s="1156">
        <f>EG284+EH284</f>
        <v>117.71429952594721</v>
      </c>
      <c r="EJ284" s="1155">
        <f>EJ282*EJ87</f>
        <v>57.818838962023356</v>
      </c>
      <c r="EK284" s="1155">
        <f>EK282*EK87</f>
        <v>70.489747521259133</v>
      </c>
      <c r="EL284" s="1156">
        <f>EJ284+EK284</f>
        <v>128.30858648328248</v>
      </c>
      <c r="EM284" s="1155">
        <f>EM282*EM87</f>
        <v>63.022534468605464</v>
      </c>
      <c r="EN284" s="1155">
        <f>EN282*EN87</f>
        <v>76.833824798172444</v>
      </c>
      <c r="EO284" s="1156">
        <f>EM284+EN284</f>
        <v>139.8563592667779</v>
      </c>
      <c r="EP284" s="1155">
        <f>EP282*EP87</f>
        <v>68.694562570779965</v>
      </c>
      <c r="EQ284" s="1155">
        <f>EQ282*EQ87</f>
        <v>83.748869030007967</v>
      </c>
      <c r="ER284" s="1156">
        <f>EP284+EQ284</f>
        <v>152.44343160078793</v>
      </c>
      <c r="ES284" s="1155">
        <f>ES282*ES87</f>
        <v>74.877073202150171</v>
      </c>
      <c r="ET284" s="1155">
        <f>ET282*ET87</f>
        <v>91.286267242708718</v>
      </c>
      <c r="EU284" s="1156">
        <f>ES284+ET284</f>
        <v>166.16334044485887</v>
      </c>
      <c r="EV284" s="1155">
        <f>EV282*EV87</f>
        <v>81.616009790343682</v>
      </c>
      <c r="EW284" s="1155">
        <f>EW282*EW87</f>
        <v>99.502031294552509</v>
      </c>
      <c r="EX284" s="1156">
        <f>EV284+EW284</f>
        <v>181.11804108489619</v>
      </c>
      <c r="EY284" s="1155">
        <f>EY282*EY87</f>
        <v>88.961450671474637</v>
      </c>
      <c r="EZ284" s="1155">
        <f>EZ282*EZ87</f>
        <v>108.45721411106224</v>
      </c>
      <c r="FA284" s="1156">
        <f>EY284+EZ284</f>
        <v>197.41866478253689</v>
      </c>
    </row>
    <row r="285" spans="1:173" outlineLevel="1">
      <c r="D285" s="926" t="s">
        <v>209</v>
      </c>
      <c r="BA285" s="35"/>
      <c r="BB285" s="35"/>
      <c r="BC285" s="322"/>
      <c r="BD285" s="35"/>
      <c r="BE285" s="35"/>
      <c r="BG285" s="35"/>
      <c r="BH285" s="35"/>
      <c r="BJ285" s="35"/>
      <c r="BK285" s="35"/>
      <c r="BL285" s="31"/>
      <c r="BM285" s="190"/>
      <c r="BN285" s="190"/>
      <c r="BO285" s="973"/>
      <c r="BP285" s="83">
        <f t="shared" ref="BP285:CU285" si="1662">BP284/BM284-1</f>
        <v>0.16865487111991473</v>
      </c>
      <c r="BQ285" s="83">
        <f t="shared" si="1662"/>
        <v>0.65030692550976998</v>
      </c>
      <c r="BR285" s="83">
        <f t="shared" si="1662"/>
        <v>0.38553739517265684</v>
      </c>
      <c r="BS285" s="83">
        <f t="shared" si="1662"/>
        <v>0.16623246056916119</v>
      </c>
      <c r="BT285" s="83">
        <f t="shared" si="1662"/>
        <v>0.17937081124522614</v>
      </c>
      <c r="BU285" s="83">
        <f t="shared" si="1662"/>
        <v>0.17327904178453535</v>
      </c>
      <c r="BV285" s="83">
        <f t="shared" si="1662"/>
        <v>0.34456777479747491</v>
      </c>
      <c r="BW285" s="83">
        <f t="shared" si="1662"/>
        <v>0.35883156756703039</v>
      </c>
      <c r="BX285" s="83">
        <f t="shared" si="1662"/>
        <v>0.35225769255246542</v>
      </c>
      <c r="BY285" s="83">
        <f t="shared" si="1662"/>
        <v>0.26041937720905084</v>
      </c>
      <c r="BZ285" s="83">
        <f t="shared" si="1662"/>
        <v>0.11932527710920904</v>
      </c>
      <c r="CA285" s="83">
        <f t="shared" si="1662"/>
        <v>0.18398271835260149</v>
      </c>
      <c r="CB285" s="83">
        <f t="shared" si="1662"/>
        <v>9.4700164226877437E-3</v>
      </c>
      <c r="CC285" s="83">
        <f t="shared" si="1662"/>
        <v>3.9480000000000182E-2</v>
      </c>
      <c r="CD285" s="83">
        <f t="shared" si="1662"/>
        <v>2.483986351641021E-2</v>
      </c>
      <c r="CE285" s="83">
        <f t="shared" si="1662"/>
        <v>-8.8750000000000107E-2</v>
      </c>
      <c r="CF285" s="83">
        <f t="shared" si="1662"/>
        <v>-0.22869350792402598</v>
      </c>
      <c r="CG285" s="83">
        <f t="shared" si="1662"/>
        <v>-0.16144703078762657</v>
      </c>
      <c r="CH285" s="83">
        <f t="shared" si="1662"/>
        <v>-0.16080561201944865</v>
      </c>
      <c r="CI285" s="83">
        <f t="shared" si="1662"/>
        <v>-9.6438572228081387E-3</v>
      </c>
      <c r="CJ285" s="83">
        <f t="shared" si="1662"/>
        <v>-8.8578154478360038E-2</v>
      </c>
      <c r="CK285" s="83">
        <f t="shared" si="1662"/>
        <v>-0.11857937881962544</v>
      </c>
      <c r="CL285" s="83">
        <f t="shared" si="1662"/>
        <v>1.5719922882610815E-2</v>
      </c>
      <c r="CM285" s="83">
        <f t="shared" si="1662"/>
        <v>-4.8851553085527022E-2</v>
      </c>
      <c r="CN285" s="83">
        <f t="shared" si="1662"/>
        <v>0.25809525689002633</v>
      </c>
      <c r="CO285" s="83">
        <f t="shared" si="1662"/>
        <v>0.52318827026539849</v>
      </c>
      <c r="CP285" s="83">
        <f t="shared" si="1662"/>
        <v>0.40507460554158969</v>
      </c>
      <c r="CQ285" s="83">
        <f t="shared" si="1662"/>
        <v>0.25032056217715515</v>
      </c>
      <c r="CR285" s="83">
        <f t="shared" si="1662"/>
        <v>-0.10375764766967877</v>
      </c>
      <c r="CS285" s="83">
        <f t="shared" si="1662"/>
        <v>3.7501051946742026E-2</v>
      </c>
      <c r="CT285" s="83">
        <f t="shared" si="1662"/>
        <v>0.19715017043666605</v>
      </c>
      <c r="CU285" s="83">
        <f t="shared" si="1662"/>
        <v>0.15614582027132884</v>
      </c>
      <c r="CV285" s="83">
        <f t="shared" ref="CV285:EA285" si="1663">CV284/CS284-1</f>
        <v>0.17586000239778765</v>
      </c>
      <c r="CW285" s="83">
        <f t="shared" si="1663"/>
        <v>0.15199999999999991</v>
      </c>
      <c r="CX285" s="83">
        <f t="shared" si="1663"/>
        <v>0.26852728297549255</v>
      </c>
      <c r="CY285" s="83">
        <f t="shared" si="1663"/>
        <v>0.21148860317137275</v>
      </c>
      <c r="CZ285" s="83">
        <f t="shared" si="1663"/>
        <v>3.9665399575957716E-2</v>
      </c>
      <c r="DA285" s="83">
        <f t="shared" si="1663"/>
        <v>-3.5884994845773455E-2</v>
      </c>
      <c r="DB285" s="83">
        <f t="shared" si="1663"/>
        <v>-7.1990537199717597E-4</v>
      </c>
      <c r="DC285" s="83">
        <f t="shared" si="1663"/>
        <v>0.14164862077972806</v>
      </c>
      <c r="DD285" s="83">
        <f t="shared" si="1663"/>
        <v>0.14185046664500378</v>
      </c>
      <c r="DE285" s="83">
        <f t="shared" si="1663"/>
        <v>0.1417527201479396</v>
      </c>
      <c r="DF285" s="83">
        <f t="shared" si="1663"/>
        <v>-0.12699999999999989</v>
      </c>
      <c r="DG285" s="83">
        <f t="shared" si="1663"/>
        <v>-0.29499999999999993</v>
      </c>
      <c r="DH285" s="1066">
        <f t="shared" si="1663"/>
        <v>-0.21365122299513306</v>
      </c>
      <c r="DI285" s="83"/>
      <c r="DJ285" s="83"/>
      <c r="DK285" s="1079"/>
      <c r="DL285" s="83">
        <f t="shared" si="1663"/>
        <v>0.5158884662506984</v>
      </c>
      <c r="DM285" s="83">
        <f t="shared" si="1663"/>
        <v>0.15284840104252306</v>
      </c>
      <c r="DN285" s="1079">
        <f t="shared" si="1663"/>
        <v>0.30913011755599551</v>
      </c>
      <c r="DO285" s="83">
        <f t="shared" si="1663"/>
        <v>9.4435646613054036E-2</v>
      </c>
      <c r="DP285" s="83">
        <f t="shared" si="1663"/>
        <v>0.10520555449281943</v>
      </c>
      <c r="DQ285" s="1079">
        <f t="shared" si="1663"/>
        <v>9.9837090568603681E-2</v>
      </c>
      <c r="DR285" s="83">
        <f t="shared" si="1663"/>
        <v>-5.4584337779855052E-2</v>
      </c>
      <c r="DS285" s="83">
        <f t="shared" si="1663"/>
        <v>0.22060551820157204</v>
      </c>
      <c r="DT285" s="1079">
        <f t="shared" si="1663"/>
        <v>8.4105616166904262E-2</v>
      </c>
      <c r="DU285" s="83">
        <f t="shared" si="1663"/>
        <v>0.17705344218332453</v>
      </c>
      <c r="DV285" s="83">
        <f t="shared" ref="DV285" si="1664">DV284/DS284-1</f>
        <v>2.2404879164633629E-2</v>
      </c>
      <c r="DW285" s="1079">
        <f t="shared" ref="DW285" si="1665">DW284/DT284-1</f>
        <v>8.9300394877714462E-2</v>
      </c>
      <c r="DX285" s="83">
        <f t="shared" si="1663"/>
        <v>2.6574026334575951E-2</v>
      </c>
      <c r="DY285" s="83">
        <f t="shared" si="1663"/>
        <v>7.2126115406375257E-2</v>
      </c>
      <c r="DZ285" s="1079">
        <f t="shared" si="1663"/>
        <v>5.083453313859243E-2</v>
      </c>
      <c r="EA285" s="83">
        <f t="shared" si="1663"/>
        <v>2.4897056414447283E-2</v>
      </c>
      <c r="EB285" s="83">
        <f t="shared" ref="EB285:EL285" si="1666">EB284/DY284-1</f>
        <v>5.0000000000000044E-2</v>
      </c>
      <c r="EC285" s="1079">
        <f t="shared" si="1666"/>
        <v>3.8537476912281932E-2</v>
      </c>
      <c r="ED285" s="83">
        <f t="shared" si="1666"/>
        <v>7.0000000000000062E-2</v>
      </c>
      <c r="EE285" s="83">
        <f t="shared" si="1666"/>
        <v>7.0000000000000284E-2</v>
      </c>
      <c r="EF285" s="1079">
        <f t="shared" si="1666"/>
        <v>7.0000000000000062E-2</v>
      </c>
      <c r="EG285" s="83">
        <f t="shared" si="1666"/>
        <v>8.9999999999999858E-2</v>
      </c>
      <c r="EH285" s="83">
        <f t="shared" si="1666"/>
        <v>9.000000000000008E-2</v>
      </c>
      <c r="EI285" s="1079">
        <f t="shared" si="1666"/>
        <v>8.9999999999999858E-2</v>
      </c>
      <c r="EJ285" s="83">
        <f t="shared" si="1666"/>
        <v>9.0000000000000302E-2</v>
      </c>
      <c r="EK285" s="83">
        <f t="shared" si="1666"/>
        <v>9.000000000000008E-2</v>
      </c>
      <c r="EL285" s="1079">
        <f t="shared" si="1666"/>
        <v>9.000000000000008E-2</v>
      </c>
      <c r="EM285" s="83">
        <f t="shared" ref="EM285:ER285" si="1667">EM284/EJ284-1</f>
        <v>9.000000000000008E-2</v>
      </c>
      <c r="EN285" s="83">
        <f t="shared" si="1667"/>
        <v>8.9999999999999858E-2</v>
      </c>
      <c r="EO285" s="1079">
        <f t="shared" si="1667"/>
        <v>8.9999999999999858E-2</v>
      </c>
      <c r="EP285" s="83">
        <f t="shared" si="1667"/>
        <v>9.000000000000008E-2</v>
      </c>
      <c r="EQ285" s="83">
        <f t="shared" si="1667"/>
        <v>9.000000000000008E-2</v>
      </c>
      <c r="ER285" s="1079">
        <f t="shared" si="1667"/>
        <v>9.000000000000008E-2</v>
      </c>
      <c r="ES285" s="83">
        <f t="shared" ref="ES285" si="1668">ES284/EP284-1</f>
        <v>9.000000000000008E-2</v>
      </c>
      <c r="ET285" s="83">
        <f t="shared" ref="ET285" si="1669">ET284/EQ284-1</f>
        <v>9.0000000000000302E-2</v>
      </c>
      <c r="EU285" s="1079">
        <f t="shared" ref="EU285" si="1670">EU284/ER284-1</f>
        <v>9.0000000000000302E-2</v>
      </c>
      <c r="EV285" s="83">
        <f t="shared" ref="EV285" si="1671">EV284/ES284-1</f>
        <v>8.9999999999999858E-2</v>
      </c>
      <c r="EW285" s="83">
        <f t="shared" ref="EW285" si="1672">EW284/ET284-1</f>
        <v>9.000000000000008E-2</v>
      </c>
      <c r="EX285" s="1079">
        <f t="shared" ref="EX285" si="1673">EX284/EU284-1</f>
        <v>9.000000000000008E-2</v>
      </c>
      <c r="EY285" s="83">
        <f t="shared" ref="EY285" si="1674">EY284/EV284-1</f>
        <v>9.0000000000000302E-2</v>
      </c>
      <c r="EZ285" s="83">
        <f t="shared" ref="EZ285" si="1675">EZ284/EW284-1</f>
        <v>9.000000000000008E-2</v>
      </c>
      <c r="FA285" s="1079">
        <f t="shared" ref="FA285" si="1676">FA284/EX284-1</f>
        <v>9.0000000000000302E-2</v>
      </c>
    </row>
    <row r="286" spans="1:173" outlineLevel="1">
      <c r="A286" s="1426" t="s">
        <v>790</v>
      </c>
      <c r="BA286" s="91"/>
      <c r="BB286" s="91"/>
      <c r="BC286" s="942"/>
      <c r="BD286" s="91"/>
      <c r="BE286" s="91"/>
      <c r="BF286" s="87"/>
      <c r="BG286" s="91"/>
      <c r="BH286" s="91"/>
      <c r="BI286" s="87"/>
      <c r="BR286" s="124"/>
      <c r="BS286" s="101"/>
      <c r="BT286" s="71"/>
      <c r="BU286" s="74"/>
      <c r="BV286" s="101"/>
      <c r="BW286" s="101"/>
      <c r="BX286" s="74"/>
      <c r="BY286" s="71"/>
      <c r="BZ286" s="71"/>
      <c r="CA286" s="70"/>
      <c r="CB286" s="71"/>
      <c r="CC286" s="71"/>
      <c r="CD286" s="70"/>
      <c r="CE286" s="71"/>
      <c r="CF286" s="71"/>
      <c r="CG286" s="70"/>
      <c r="CH286" s="71"/>
      <c r="CI286" s="71"/>
      <c r="CJ286" s="70"/>
      <c r="DH286" s="1067"/>
      <c r="DK286" s="1067"/>
      <c r="DM286" s="259"/>
      <c r="DN286" s="1107"/>
      <c r="DQ286" s="1067"/>
      <c r="DT286" s="1067"/>
      <c r="DW286" s="1067"/>
      <c r="DZ286" s="1067"/>
      <c r="EC286" s="1067"/>
      <c r="EF286" s="1067"/>
      <c r="EI286" s="1067"/>
      <c r="EL286" s="1067"/>
      <c r="EO286" s="1067"/>
      <c r="ER286" s="1067"/>
      <c r="EU286" s="1067"/>
      <c r="EX286" s="1067"/>
      <c r="FA286" s="1067"/>
    </row>
    <row r="287" spans="1:173" s="1147" customFormat="1" outlineLevel="1">
      <c r="B287" s="1147" t="s">
        <v>21</v>
      </c>
      <c r="D287" s="1148" t="s">
        <v>98</v>
      </c>
      <c r="BC287" s="1149"/>
      <c r="BF287" s="1150"/>
      <c r="BG287" s="1150"/>
      <c r="BH287" s="1150"/>
      <c r="BI287" s="1150"/>
      <c r="BL287" s="1150"/>
      <c r="BO287" s="1150"/>
      <c r="BR287" s="1150"/>
      <c r="BS287" s="1147">
        <v>1465.7248163128484</v>
      </c>
      <c r="BT287" s="1147">
        <v>2198.5872244692728</v>
      </c>
      <c r="BU287" s="1147">
        <v>3664.3120407821211</v>
      </c>
      <c r="BV287" s="1147">
        <v>1465.7248163128493</v>
      </c>
      <c r="BW287" s="1147">
        <v>1832.1560203910594</v>
      </c>
      <c r="BY287" s="1147">
        <v>1832.1560203910612</v>
      </c>
      <c r="BZ287" s="1147">
        <v>2198.5872244692728</v>
      </c>
      <c r="CB287" s="1147">
        <v>0</v>
      </c>
      <c r="CC287" s="1147">
        <v>0</v>
      </c>
      <c r="CE287" s="1147">
        <v>1298.2122098787067</v>
      </c>
      <c r="CF287" s="1147">
        <v>2596.4244197574126</v>
      </c>
      <c r="CG287" s="1147">
        <v>3894.6366296361193</v>
      </c>
      <c r="CH287" s="1147">
        <v>3622.4317911764074</v>
      </c>
      <c r="CI287" s="1147">
        <v>2420.3128928518536</v>
      </c>
      <c r="CK287" s="1147">
        <v>3126.0797547642433</v>
      </c>
      <c r="CL287" s="1147">
        <v>2763.9370261915738</v>
      </c>
      <c r="CN287" s="1147">
        <v>2908.2976571804338</v>
      </c>
      <c r="CO287" s="1147">
        <v>1679.7426605762448</v>
      </c>
      <c r="CQ287" s="1147">
        <v>0</v>
      </c>
      <c r="CR287" s="1147">
        <v>0</v>
      </c>
      <c r="CT287" s="1147">
        <v>4565.6931370051088</v>
      </c>
      <c r="CU287" s="1147">
        <v>4245.7878163582718</v>
      </c>
      <c r="CV287" s="1147">
        <f>SUM(CT287:CU287)</f>
        <v>8811.4809533633816</v>
      </c>
      <c r="CW287" s="1147">
        <v>4226.9945554939322</v>
      </c>
      <c r="CX287" s="1147">
        <v>5111.6251927103158</v>
      </c>
      <c r="CY287" s="1147">
        <f>SUM(CW287:CX287)</f>
        <v>9338.619748204248</v>
      </c>
      <c r="CZ287" s="1147">
        <v>4267.0220821290986</v>
      </c>
      <c r="DA287" s="1147">
        <v>5944.635981853402</v>
      </c>
      <c r="DB287" s="1147">
        <f>SUM(CZ287:DA287)</f>
        <v>10211.658063982501</v>
      </c>
      <c r="DC287" s="1147">
        <v>5774.6939701245556</v>
      </c>
      <c r="DD287" s="1147">
        <v>6982.3504760422984</v>
      </c>
      <c r="DE287" s="1147">
        <f>SUM(DC287:DD287)</f>
        <v>12757.044446166854</v>
      </c>
      <c r="DF287" s="1147">
        <v>5945.7761372285777</v>
      </c>
      <c r="DG287" s="1147">
        <v>5732.2078395250091</v>
      </c>
      <c r="DH287" s="1151">
        <f>SUM(DF287:DG287)</f>
        <v>11677.983976753587</v>
      </c>
      <c r="DI287" s="1147">
        <v>5600.031277281736</v>
      </c>
      <c r="DJ287" s="1147">
        <v>8268.4039486065594</v>
      </c>
      <c r="DK287" s="1151">
        <f>SUM(DI287:DJ287)</f>
        <v>13868.435225888295</v>
      </c>
      <c r="DL287" s="1147">
        <v>7681.134110735632</v>
      </c>
      <c r="DM287" s="1147">
        <v>7298.6789780568542</v>
      </c>
      <c r="DN287" s="1151">
        <f>SUM(DL287:DM287)</f>
        <v>14979.813088792485</v>
      </c>
      <c r="DO287" s="1147">
        <v>7099.3166673771984</v>
      </c>
      <c r="DP287" s="1147">
        <v>8708.644322004915</v>
      </c>
      <c r="DQ287" s="1151">
        <f>SUM(DO287:DP287)</f>
        <v>15807.960989382114</v>
      </c>
      <c r="DR287" s="1147">
        <v>8098.8870210275772</v>
      </c>
      <c r="DS287" s="1147">
        <v>8635.1810480858803</v>
      </c>
      <c r="DT287" s="1151">
        <f>SUM(DR287:DS287)</f>
        <v>16734.068069113458</v>
      </c>
      <c r="DU287" s="1147">
        <v>8294.7742731424987</v>
      </c>
      <c r="DV287" s="1147">
        <v>9157.7629135348634</v>
      </c>
      <c r="DW287" s="1151">
        <f>SUM(DU287:DV287)</f>
        <v>17452.537186677364</v>
      </c>
      <c r="DX287" s="1147">
        <v>8778.040801947378</v>
      </c>
      <c r="DY287" s="1147">
        <v>9664.2500012280925</v>
      </c>
      <c r="DZ287" s="1151">
        <f>SUM(DX287:DY287)</f>
        <v>18442.290803175471</v>
      </c>
      <c r="EA287" s="1147">
        <v>9490.380062488457</v>
      </c>
      <c r="EB287" s="1147">
        <v>10329.839258342763</v>
      </c>
      <c r="EC287" s="1151">
        <f>SUM(EA287:EB287)</f>
        <v>19820.21932083122</v>
      </c>
      <c r="ED287" s="1147">
        <v>9964.8990656128808</v>
      </c>
      <c r="EE287" s="1147">
        <v>10846.331221259903</v>
      </c>
      <c r="EF287" s="1151">
        <f>SUM(ED287:EE287)</f>
        <v>20811.230286872786</v>
      </c>
      <c r="EG287" s="1147">
        <v>10463.144018893525</v>
      </c>
      <c r="EH287" s="1147">
        <v>11388.6477823229</v>
      </c>
      <c r="EI287" s="1151">
        <f>SUM(EG287:EH287)</f>
        <v>21851.791801216423</v>
      </c>
      <c r="EJ287" s="1147">
        <v>10986.301219838202</v>
      </c>
      <c r="EK287" s="1147">
        <v>11958.080171439045</v>
      </c>
      <c r="EL287" s="1151">
        <f>SUM(EJ287:EK287)</f>
        <v>22944.381391277246</v>
      </c>
      <c r="EM287" s="1147">
        <v>11535.616280830112</v>
      </c>
      <c r="EN287" s="1147">
        <v>12555.984180010999</v>
      </c>
      <c r="EO287" s="1151">
        <f>SUM(EM287:EN287)</f>
        <v>24091.600460841109</v>
      </c>
      <c r="EP287" s="1147">
        <v>12112.39709487162</v>
      </c>
      <c r="EQ287" s="1147">
        <v>13183.783389011549</v>
      </c>
      <c r="ER287" s="1151">
        <f>SUM(EP287:EQ287)</f>
        <v>25296.180483883167</v>
      </c>
      <c r="EU287" s="1151"/>
      <c r="EX287" s="1151"/>
      <c r="FA287" s="1151"/>
    </row>
    <row r="288" spans="1:173" outlineLevel="1">
      <c r="B288" s="31"/>
      <c r="BA288" s="91"/>
      <c r="BB288" s="91"/>
      <c r="BC288" s="942"/>
      <c r="BD288" s="91"/>
      <c r="BE288" s="91"/>
      <c r="BF288" s="87"/>
      <c r="BG288" s="1013"/>
      <c r="BH288" s="1013"/>
      <c r="BI288" s="87"/>
      <c r="BR288" s="124"/>
      <c r="BS288" s="101"/>
      <c r="BT288" s="71"/>
      <c r="BU288" s="70"/>
      <c r="BV288" s="71"/>
      <c r="BW288" s="71"/>
      <c r="BX288" s="74"/>
      <c r="BY288" s="71"/>
      <c r="BZ288" s="71"/>
      <c r="CA288" s="70"/>
      <c r="CB288" s="71"/>
      <c r="CC288" s="71"/>
      <c r="CD288" s="70"/>
      <c r="CE288" s="71"/>
      <c r="CF288" s="71"/>
      <c r="CG288" s="70"/>
      <c r="CH288" s="71"/>
      <c r="CI288" s="71"/>
      <c r="CJ288" s="70"/>
      <c r="CT288" s="71"/>
      <c r="CU288" s="71"/>
      <c r="CV288" s="74"/>
      <c r="CW288" s="71"/>
      <c r="CX288" s="71"/>
      <c r="CY288" s="70"/>
      <c r="CZ288" s="71"/>
      <c r="DA288" s="71"/>
      <c r="DB288" s="70"/>
      <c r="DC288" s="71"/>
      <c r="DD288" s="71"/>
      <c r="DE288" s="70"/>
      <c r="DF288" s="71"/>
      <c r="DG288" s="71"/>
      <c r="DH288" s="1067"/>
      <c r="DK288" s="1067"/>
      <c r="DN288" s="1067"/>
      <c r="DQ288" s="1067"/>
      <c r="DT288" s="1067"/>
      <c r="DW288" s="1067"/>
      <c r="DZ288" s="1067"/>
      <c r="EC288" s="1067"/>
      <c r="EF288" s="1067"/>
      <c r="EI288" s="1067"/>
      <c r="EL288" s="1067"/>
      <c r="EO288" s="1067"/>
      <c r="ER288" s="1067"/>
      <c r="EU288" s="1067"/>
      <c r="EX288" s="1067"/>
      <c r="FA288" s="1067"/>
    </row>
    <row r="289" spans="1:173" ht="13.35" customHeight="1" outlineLevel="1">
      <c r="A289" s="1429"/>
      <c r="B289" s="35" t="s">
        <v>625</v>
      </c>
      <c r="D289" s="162" t="s">
        <v>696</v>
      </c>
      <c r="BA289" s="91"/>
      <c r="BB289" s="91"/>
      <c r="BC289" s="942"/>
      <c r="BD289" s="91"/>
      <c r="BE289" s="91"/>
      <c r="BF289" s="87"/>
      <c r="BG289" s="1013"/>
      <c r="BH289" s="1013"/>
      <c r="BI289" s="87"/>
      <c r="BR289" s="124"/>
      <c r="BS289" s="71">
        <v>7.0354791183016712</v>
      </c>
      <c r="BT289" s="71">
        <v>10.553218677452508</v>
      </c>
      <c r="BU289" s="70">
        <v>17.588697795754179</v>
      </c>
      <c r="BV289" s="71">
        <v>7.0354791183016756</v>
      </c>
      <c r="BW289" s="71">
        <v>8.7943488978770841</v>
      </c>
      <c r="BX289" s="70">
        <v>15.829828016178759</v>
      </c>
      <c r="BY289" s="71">
        <v>8.794348897877093</v>
      </c>
      <c r="BZ289" s="71">
        <v>10.553218677452508</v>
      </c>
      <c r="CA289" s="70">
        <v>19.347567575329599</v>
      </c>
      <c r="CB289" s="71">
        <v>0</v>
      </c>
      <c r="CC289" s="71">
        <v>0</v>
      </c>
      <c r="CD289" s="70">
        <v>0</v>
      </c>
      <c r="CE289" s="71">
        <v>7.8066650538684037</v>
      </c>
      <c r="CF289" s="71">
        <v>15.613330107736802</v>
      </c>
      <c r="CG289" s="70">
        <v>23.419995161605208</v>
      </c>
      <c r="CH289" s="71">
        <v>21.783119476931226</v>
      </c>
      <c r="CI289" s="71">
        <v>14.554301628251553</v>
      </c>
      <c r="CJ289" s="70">
        <v>36.337421105182777</v>
      </c>
      <c r="CK289" s="71">
        <v>18.798357765718166</v>
      </c>
      <c r="CL289" s="71">
        <v>16.620649867003401</v>
      </c>
      <c r="CM289" s="70">
        <v>35.419007632721566</v>
      </c>
      <c r="CN289" s="71">
        <v>17.488747612903065</v>
      </c>
      <c r="CO289" s="71">
        <v>10.100959017353322</v>
      </c>
      <c r="CP289" s="70">
        <v>27.589706630256387</v>
      </c>
      <c r="CQ289" s="71">
        <v>0</v>
      </c>
      <c r="CR289" s="71">
        <v>0</v>
      </c>
      <c r="CS289" s="70">
        <v>0</v>
      </c>
      <c r="CT289" s="71">
        <v>27.45532416666666</v>
      </c>
      <c r="CU289" s="71">
        <v>40.801077239983165</v>
      </c>
      <c r="CV289" s="70">
        <f>CT289+CU289</f>
        <v>68.256401406649829</v>
      </c>
      <c r="CW289" s="71">
        <v>33.354103581534915</v>
      </c>
      <c r="CX289" s="71">
        <v>48.810726646102331</v>
      </c>
      <c r="CY289" s="70">
        <f>CW289+CX289</f>
        <v>82.164830227637253</v>
      </c>
      <c r="CZ289" s="71">
        <v>34.139004508663909</v>
      </c>
      <c r="DA289" s="71">
        <v>57.35289668639907</v>
      </c>
      <c r="DB289" s="70">
        <f>CZ289+DA289</f>
        <v>91.491901195062979</v>
      </c>
      <c r="DC289" s="71">
        <v>44.759849558670197</v>
      </c>
      <c r="DD289" s="71">
        <v>65.041004038055704</v>
      </c>
      <c r="DE289" s="70">
        <f>DC289+DD289</f>
        <v>109.8008535967259</v>
      </c>
      <c r="DF289" s="71">
        <v>45.946591469896603</v>
      </c>
      <c r="DG289" s="71">
        <v>52.859083977079159</v>
      </c>
      <c r="DH289" s="1070">
        <f>DF289+DG289</f>
        <v>98.805675446975755</v>
      </c>
      <c r="DI289" s="163">
        <f>+DI291*DI78</f>
        <v>42.106461009693056</v>
      </c>
      <c r="DJ289" s="163">
        <f>+DJ291*DJ78</f>
        <v>52.328437706489019</v>
      </c>
      <c r="DK289" s="1085">
        <f>DI289+DJ289</f>
        <v>94.434898716182076</v>
      </c>
      <c r="DL289" s="163">
        <f>+DL291*DL78</f>
        <v>57.746949589108297</v>
      </c>
      <c r="DM289" s="163">
        <f>+DM291*DM78</f>
        <v>56.191706151610553</v>
      </c>
      <c r="DN289" s="1085">
        <f>DL289+DM289</f>
        <v>113.93865574071884</v>
      </c>
      <c r="DO289" s="163">
        <f>+DO291*DO78</f>
        <v>54.893697349143089</v>
      </c>
      <c r="DP289" s="163">
        <f>+DP291*DP78</f>
        <v>67.541548393714308</v>
      </c>
      <c r="DQ289" s="1085">
        <f>DO289+DP289</f>
        <v>122.4352457428574</v>
      </c>
      <c r="DR289" s="163">
        <f>+DR291*DR78</f>
        <v>66.668460031997355</v>
      </c>
      <c r="DS289" s="163">
        <f>+DS291*DS78</f>
        <v>67.667292118992364</v>
      </c>
      <c r="DT289" s="1085">
        <f>DR289+DS289</f>
        <v>134.33575215098972</v>
      </c>
      <c r="DU289" s="163">
        <f>+DU291*DU78</f>
        <v>57.334288542208725</v>
      </c>
      <c r="DV289" s="163">
        <f>+DV291*DV78</f>
        <v>63.900212496837874</v>
      </c>
      <c r="DW289" s="1085">
        <f>DU289+DV289</f>
        <v>121.23450103904659</v>
      </c>
      <c r="DX289" s="163">
        <f>+DX291*DX78</f>
        <v>55.344516340872246</v>
      </c>
      <c r="DY289" s="163">
        <f t="shared" ref="DY289" si="1677">+DV289*(1+DY290)</f>
        <v>73.485244371363549</v>
      </c>
      <c r="DZ289" s="1085">
        <f t="shared" ref="DZ289" si="1678">SUM(DX289:DY289)</f>
        <v>128.82976071223578</v>
      </c>
      <c r="EA289" s="163">
        <f t="shared" ref="EA289" si="1679">+DX289*(1+EA290)</f>
        <v>65.029806700524887</v>
      </c>
      <c r="EB289" s="163">
        <f t="shared" ref="EB289" si="1680">+DY289*(1+EB290)</f>
        <v>78.99663769921581</v>
      </c>
      <c r="EC289" s="1085">
        <f t="shared" ref="EC289" si="1681">SUM(EA289:EB289)</f>
        <v>144.02644439974068</v>
      </c>
      <c r="ED289" s="163">
        <f t="shared" ref="ED289" si="1682">+EA289*(1+ED290)</f>
        <v>70.882489303572129</v>
      </c>
      <c r="EE289" s="163">
        <f t="shared" ref="EE289" si="1683">+EB289*(1+EE290)</f>
        <v>86.106335092145244</v>
      </c>
      <c r="EF289" s="1085">
        <f t="shared" ref="EF289" si="1684">SUM(ED289:EE289)</f>
        <v>156.98882439571736</v>
      </c>
      <c r="EG289" s="163">
        <f t="shared" ref="EG289" si="1685">+ED289*(1+EG290)</f>
        <v>77.261913340893628</v>
      </c>
      <c r="EH289" s="163">
        <f t="shared" ref="EH289" si="1686">+EE289*(1+EH290)</f>
        <v>93.855905250438326</v>
      </c>
      <c r="EI289" s="1085">
        <f t="shared" ref="EI289" si="1687">SUM(EG289:EH289)</f>
        <v>171.11781859133197</v>
      </c>
      <c r="EJ289" s="163">
        <f t="shared" ref="EJ289" si="1688">+EG289*(1+EJ290)</f>
        <v>84.215485541574054</v>
      </c>
      <c r="EK289" s="163">
        <f t="shared" ref="EK289" si="1689">+EH289*(1+EK290)</f>
        <v>102.30293672297778</v>
      </c>
      <c r="EL289" s="1085">
        <f t="shared" ref="EL289" si="1690">SUM(EJ289:EK289)</f>
        <v>186.51842226455182</v>
      </c>
      <c r="EM289" s="163">
        <f t="shared" ref="EM289" si="1691">+EJ289*(1+EM290)</f>
        <v>91.794879240315723</v>
      </c>
      <c r="EN289" s="163">
        <f t="shared" ref="EN289" si="1692">+EK289*(1+EN290)</f>
        <v>111.51020102804578</v>
      </c>
      <c r="EO289" s="1085">
        <f t="shared" ref="EO289" si="1693">SUM(EM289:EN289)</f>
        <v>203.30508026836151</v>
      </c>
      <c r="EP289" s="163">
        <f t="shared" ref="EP289" si="1694">+EM289*(1+EP290)</f>
        <v>100.05641837194415</v>
      </c>
      <c r="EQ289" s="163">
        <f t="shared" ref="EQ289" si="1695">+EN289*(1+EQ290)</f>
        <v>121.54611912056991</v>
      </c>
      <c r="ER289" s="1085">
        <f t="shared" ref="ER289" si="1696">SUM(EP289:EQ289)</f>
        <v>221.60253749251405</v>
      </c>
      <c r="ES289" s="163">
        <f t="shared" ref="ES289" si="1697">+EP289*(1+ES290)</f>
        <v>109.06149602541913</v>
      </c>
      <c r="ET289" s="163">
        <f t="shared" ref="ET289" si="1698">+EQ289*(1+ET290)</f>
        <v>132.4852698414212</v>
      </c>
      <c r="EU289" s="1085">
        <f t="shared" ref="EU289" si="1699">SUM(ES289:ET289)</f>
        <v>241.54676586684033</v>
      </c>
      <c r="EV289" s="163">
        <f t="shared" ref="EV289" si="1700">+ES289*(1+EV290)</f>
        <v>118.87703066770686</v>
      </c>
      <c r="EW289" s="163">
        <f t="shared" ref="EW289" si="1701">+ET289*(1+EW290)</f>
        <v>144.40894412714911</v>
      </c>
      <c r="EX289" s="1085">
        <f t="shared" ref="EX289" si="1702">SUM(EV289:EW289)</f>
        <v>263.28597479485597</v>
      </c>
      <c r="EY289" s="163">
        <f t="shared" ref="EY289" si="1703">+EV289*(1+EY290)</f>
        <v>129.5759634278005</v>
      </c>
      <c r="EZ289" s="163">
        <f t="shared" ref="EZ289" si="1704">+EW289*(1+EZ290)</f>
        <v>157.40574909859254</v>
      </c>
      <c r="FA289" s="1085">
        <f t="shared" ref="FA289" si="1705">SUM(EY289:EZ289)</f>
        <v>286.98171252639304</v>
      </c>
    </row>
    <row r="290" spans="1:173" outlineLevel="1">
      <c r="D290" s="162" t="s">
        <v>209</v>
      </c>
      <c r="BA290" s="35"/>
      <c r="BB290" s="35"/>
      <c r="BC290" s="322"/>
      <c r="BD290" s="35"/>
      <c r="BE290" s="35"/>
      <c r="BG290" s="439"/>
      <c r="BH290" s="439"/>
      <c r="BJ290" s="35"/>
      <c r="BK290" s="35"/>
      <c r="BL290" s="31"/>
      <c r="BM290" s="35"/>
      <c r="BN290" s="35"/>
      <c r="BO290" s="31"/>
      <c r="BP290" s="35"/>
      <c r="BQ290" s="35"/>
      <c r="BR290" s="1024"/>
      <c r="BS290" s="70"/>
      <c r="BT290" s="70"/>
      <c r="BU290" s="70"/>
      <c r="BV290" s="65">
        <v>0</v>
      </c>
      <c r="BW290" s="65">
        <v>-0.16666666666666718</v>
      </c>
      <c r="BX290" s="65">
        <v>-0.10000000000000009</v>
      </c>
      <c r="BY290" s="65">
        <v>0.24999999999999978</v>
      </c>
      <c r="BZ290" s="65">
        <v>0.20000000000000084</v>
      </c>
      <c r="CA290" s="65">
        <v>0.22222222222222254</v>
      </c>
      <c r="CB290" s="65">
        <v>-1</v>
      </c>
      <c r="CC290" s="65">
        <v>-1</v>
      </c>
      <c r="CD290" s="65">
        <v>-1</v>
      </c>
      <c r="CE290" s="65"/>
      <c r="CF290" s="65"/>
      <c r="CG290" s="65"/>
      <c r="CH290" s="65">
        <v>1.7903233104816159</v>
      </c>
      <c r="CI290" s="65">
        <v>-6.7828481955971354E-2</v>
      </c>
      <c r="CJ290" s="65">
        <v>0.55155544885655772</v>
      </c>
      <c r="CK290" s="65">
        <v>-0.13702177570912122</v>
      </c>
      <c r="CL290" s="65">
        <v>0.14197508692143845</v>
      </c>
      <c r="CM290" s="65">
        <v>-2.5274591441224126E-2</v>
      </c>
      <c r="CN290" s="65">
        <v>-6.9666200055165772E-2</v>
      </c>
      <c r="CO290" s="65">
        <v>-0.39226449638371075</v>
      </c>
      <c r="CP290" s="65">
        <v>-0.22104800573893391</v>
      </c>
      <c r="CQ290" s="65">
        <v>-1</v>
      </c>
      <c r="CR290" s="65">
        <v>-1</v>
      </c>
      <c r="CS290" s="65">
        <v>-1</v>
      </c>
      <c r="CT290" s="65"/>
      <c r="CU290" s="65"/>
      <c r="CV290" s="65"/>
      <c r="CW290" s="65">
        <f t="shared" ref="CW290:DG290" si="1706">CW289/CT289-1</f>
        <v>0.21485010991164799</v>
      </c>
      <c r="CX290" s="65">
        <f t="shared" si="1706"/>
        <v>0.19630975326970246</v>
      </c>
      <c r="CY290" s="65">
        <f t="shared" si="1706"/>
        <v>0.20376739081401984</v>
      </c>
      <c r="CZ290" s="65">
        <f t="shared" si="1706"/>
        <v>2.3532364622250501E-2</v>
      </c>
      <c r="DA290" s="65">
        <f t="shared" si="1706"/>
        <v>0.17500600026365021</v>
      </c>
      <c r="DB290" s="65">
        <f t="shared" si="1706"/>
        <v>0.11351658540016607</v>
      </c>
      <c r="DC290" s="65">
        <f t="shared" si="1706"/>
        <v>0.31110588029334285</v>
      </c>
      <c r="DD290" s="65">
        <f t="shared" si="1706"/>
        <v>0.1340491552448444</v>
      </c>
      <c r="DE290" s="65">
        <f t="shared" si="1706"/>
        <v>0.20011555298897754</v>
      </c>
      <c r="DF290" s="65">
        <f t="shared" si="1706"/>
        <v>2.6513536638921309E-2</v>
      </c>
      <c r="DG290" s="65">
        <f t="shared" si="1706"/>
        <v>-0.18729600259320822</v>
      </c>
      <c r="DH290" s="1066"/>
      <c r="DI290" s="65">
        <f>DI289/DF289-1</f>
        <v>-8.3578135773565099E-2</v>
      </c>
      <c r="DJ290" s="65">
        <f>DJ289/DG289-1</f>
        <v>-1.0038885101002482E-2</v>
      </c>
      <c r="DK290" s="1066">
        <f>+DK289/DH289-1</f>
        <v>-4.4236089789591704E-2</v>
      </c>
      <c r="DL290" s="65">
        <f>DL289/DI289-1</f>
        <v>0.37145103635792953</v>
      </c>
      <c r="DM290" s="65">
        <f>DM289/DJ289-1</f>
        <v>7.382732247407553E-2</v>
      </c>
      <c r="DN290" s="1066">
        <f>+DN289/DK289-1</f>
        <v>0.20653124310700055</v>
      </c>
      <c r="DO290" s="65">
        <f>DO289/DL289-1</f>
        <v>-4.9409575055776811E-2</v>
      </c>
      <c r="DP290" s="65">
        <f>DP289/DM289-1</f>
        <v>0.20198429660563799</v>
      </c>
      <c r="DQ290" s="1066">
        <f>+DQ289/DN289-1</f>
        <v>7.4571618796991812E-2</v>
      </c>
      <c r="DR290" s="65">
        <f>DR289/DO289-1</f>
        <v>0.21450117684663628</v>
      </c>
      <c r="DS290" s="65">
        <f>DS289/DP289-1</f>
        <v>1.8617240538383317E-3</v>
      </c>
      <c r="DT290" s="1066">
        <f>+DT289/DQ289-1</f>
        <v>9.719837074633042E-2</v>
      </c>
      <c r="DU290" s="65">
        <f>DU289/DR289-1</f>
        <v>-0.14000880604274824</v>
      </c>
      <c r="DV290" s="65">
        <f>DV289/DS289-1</f>
        <v>-5.5670612849855305E-2</v>
      </c>
      <c r="DW290" s="1066">
        <f>+DW289/DT289-1</f>
        <v>-9.752616784560586E-2</v>
      </c>
      <c r="DX290" s="65">
        <f>DX289/DU289-1</f>
        <v>-3.4704750890414138E-2</v>
      </c>
      <c r="DY290" s="1163">
        <f t="shared" ref="DY290:EB290" si="1707">+DY197</f>
        <v>0.15</v>
      </c>
      <c r="DZ290" s="1142">
        <f t="shared" ref="DZ290" si="1708">DZ289/DW289-1</f>
        <v>6.2649325135119227E-2</v>
      </c>
      <c r="EA290" s="1163">
        <f t="shared" si="1707"/>
        <v>0.17499999999999999</v>
      </c>
      <c r="EB290" s="1163">
        <f t="shared" si="1707"/>
        <v>7.4999999999999997E-2</v>
      </c>
      <c r="EC290" s="1142">
        <f t="shared" ref="EC290" si="1709">EC289/DZ289-1</f>
        <v>0.11795941872041049</v>
      </c>
      <c r="ED290" s="1143">
        <f t="shared" ref="ED290:EE290" si="1710">+ED197</f>
        <v>0.09</v>
      </c>
      <c r="EE290" s="1143">
        <f t="shared" si="1710"/>
        <v>0.09</v>
      </c>
      <c r="EF290" s="1142">
        <f t="shared" ref="EF290" si="1711">EF289/EC289-1</f>
        <v>9.000000000000008E-2</v>
      </c>
      <c r="EG290" s="1143">
        <f t="shared" ref="EG290:EH290" si="1712">+EG197</f>
        <v>0.09</v>
      </c>
      <c r="EH290" s="1143">
        <f t="shared" si="1712"/>
        <v>0.09</v>
      </c>
      <c r="EI290" s="1142">
        <f t="shared" ref="EI290" si="1713">EI289/EF289-1</f>
        <v>9.0000000000000302E-2</v>
      </c>
      <c r="EJ290" s="1143">
        <f t="shared" ref="EJ290:EK290" si="1714">+EJ197</f>
        <v>0.09</v>
      </c>
      <c r="EK290" s="1143">
        <f t="shared" si="1714"/>
        <v>0.09</v>
      </c>
      <c r="EL290" s="1142">
        <f t="shared" ref="EL290" si="1715">EL289/EI289-1</f>
        <v>8.9999999999999858E-2</v>
      </c>
      <c r="EM290" s="1143">
        <f t="shared" ref="EM290:EN290" si="1716">+EM197</f>
        <v>0.09</v>
      </c>
      <c r="EN290" s="1143">
        <f t="shared" si="1716"/>
        <v>0.09</v>
      </c>
      <c r="EO290" s="1142">
        <f t="shared" ref="EO290" si="1717">EO289/EL289-1</f>
        <v>9.000000000000008E-2</v>
      </c>
      <c r="EP290" s="1143">
        <f t="shared" ref="EP290:EQ290" si="1718">+EP197</f>
        <v>0.09</v>
      </c>
      <c r="EQ290" s="1143">
        <f t="shared" si="1718"/>
        <v>0.09</v>
      </c>
      <c r="ER290" s="1142">
        <f t="shared" ref="ER290" si="1719">ER289/EO289-1</f>
        <v>9.000000000000008E-2</v>
      </c>
      <c r="ES290" s="1143">
        <f t="shared" ref="ES290:ET290" si="1720">+ES197</f>
        <v>0.09</v>
      </c>
      <c r="ET290" s="1143">
        <f t="shared" si="1720"/>
        <v>0.09</v>
      </c>
      <c r="EU290" s="1142">
        <f t="shared" ref="EU290" si="1721">EU289/ER289-1</f>
        <v>9.000000000000008E-2</v>
      </c>
      <c r="EV290" s="1143">
        <f t="shared" ref="EV290:EW290" si="1722">+EV197</f>
        <v>0.09</v>
      </c>
      <c r="EW290" s="1143">
        <f t="shared" si="1722"/>
        <v>0.09</v>
      </c>
      <c r="EX290" s="1142">
        <f t="shared" ref="EX290" si="1723">EX289/EU289-1</f>
        <v>9.000000000000008E-2</v>
      </c>
      <c r="EY290" s="1143">
        <f t="shared" ref="EY290:EZ290" si="1724">+EY197</f>
        <v>0.09</v>
      </c>
      <c r="EZ290" s="1143">
        <f t="shared" si="1724"/>
        <v>0.09</v>
      </c>
      <c r="FA290" s="1142">
        <f t="shared" ref="FA290" si="1725">FA289/EX289-1</f>
        <v>9.000000000000008E-2</v>
      </c>
    </row>
    <row r="291" spans="1:173" outlineLevel="1">
      <c r="B291" s="35" t="s">
        <v>625</v>
      </c>
      <c r="D291" s="162" t="s">
        <v>604</v>
      </c>
      <c r="BA291" s="35"/>
      <c r="BB291" s="35"/>
      <c r="BC291" s="322"/>
      <c r="BD291" s="35"/>
      <c r="BE291" s="35"/>
      <c r="BG291" s="35"/>
      <c r="BH291" s="35"/>
      <c r="BJ291" s="35"/>
      <c r="BK291" s="35"/>
      <c r="BL291" s="31"/>
      <c r="BM291" s="35"/>
      <c r="BN291" s="35"/>
      <c r="BO291" s="31"/>
      <c r="BP291" s="35"/>
      <c r="BQ291" s="35"/>
      <c r="BR291" s="1024"/>
      <c r="BS291" s="70">
        <f>BS289/BS78</f>
        <v>11.725798530502786</v>
      </c>
      <c r="BT291" s="70">
        <f>BT289/BT78</f>
        <v>17.588697795754179</v>
      </c>
      <c r="BU291" s="70">
        <f>BS291+BT291</f>
        <v>29.314496326256965</v>
      </c>
      <c r="BV291" s="70">
        <f>BV289/BV78</f>
        <v>11.41956389212887</v>
      </c>
      <c r="BW291" s="70">
        <f>BW289/BW78</f>
        <v>14.584326530476094</v>
      </c>
      <c r="BX291" s="70">
        <f>BV291+BW291</f>
        <v>26.003890422604965</v>
      </c>
      <c r="BY291" s="70">
        <f>BY289/BY78</f>
        <v>15.704194460494808</v>
      </c>
      <c r="BZ291" s="70">
        <f>BZ289/BZ78</f>
        <v>15.643467854112941</v>
      </c>
      <c r="CA291" s="70">
        <f>BY291+BZ291</f>
        <v>31.347662314607749</v>
      </c>
      <c r="CB291" s="70">
        <f>CB289/CB78</f>
        <v>0</v>
      </c>
      <c r="CC291" s="70">
        <f>CC289/CC78</f>
        <v>0</v>
      </c>
      <c r="CD291" s="70">
        <f>CB291+CC291</f>
        <v>0</v>
      </c>
      <c r="CE291" s="70">
        <f>CE289/CE78</f>
        <v>10.977198744003323</v>
      </c>
      <c r="CF291" s="70">
        <f>CF289/CF78</f>
        <v>21.079513222987522</v>
      </c>
      <c r="CG291" s="70">
        <f>CE291+CF291</f>
        <v>32.056711966990846</v>
      </c>
      <c r="CH291" s="70">
        <f>CH289/CH78</f>
        <v>29.436647941798956</v>
      </c>
      <c r="CI291" s="70">
        <f>CI289/CI78</f>
        <v>18.192877035314439</v>
      </c>
      <c r="CJ291" s="70">
        <f>CH291+CI291</f>
        <v>47.629524977113391</v>
      </c>
      <c r="CK291" s="70">
        <f>CK289/CK78</f>
        <v>23.432449730723196</v>
      </c>
      <c r="CL291" s="70">
        <f>CL289/CL78</f>
        <v>21.266408296474808</v>
      </c>
      <c r="CM291" s="70">
        <f>CK291+CL291</f>
        <v>44.698858027198</v>
      </c>
      <c r="CN291" s="70">
        <f>CN289/CN78</f>
        <v>26.102608377467259</v>
      </c>
      <c r="CO291" s="70">
        <f>CO289/CO78</f>
        <v>15.133014950476138</v>
      </c>
      <c r="CP291" s="70">
        <f>CN291+CO291</f>
        <v>41.235623327943401</v>
      </c>
      <c r="CQ291" s="70">
        <f>CQ289/CQ78</f>
        <v>0</v>
      </c>
      <c r="CR291" s="70">
        <f>CR289/CR78</f>
        <v>0</v>
      </c>
      <c r="CS291" s="70">
        <f>CQ291+CR291</f>
        <v>0</v>
      </c>
      <c r="CT291" s="70">
        <f>CT289/CT78</f>
        <v>41.899999999999991</v>
      </c>
      <c r="CU291" s="70">
        <f>CU289/CU78</f>
        <v>62.04405480878804</v>
      </c>
      <c r="CV291" s="70">
        <f>CT291+CU291</f>
        <v>103.94405480878802</v>
      </c>
      <c r="CW291" s="70">
        <f>CW289/CW78</f>
        <v>48.540660658568861</v>
      </c>
      <c r="CX291" s="70">
        <f>CX289/CX78</f>
        <v>70.046434907706768</v>
      </c>
      <c r="CY291" s="70">
        <f>CW291+CX291</f>
        <v>118.58709556627562</v>
      </c>
      <c r="CZ291" s="70">
        <f>CZ289/CZ78</f>
        <v>51.474835862098885</v>
      </c>
      <c r="DA291" s="70">
        <f>DA289/DA78</f>
        <v>90.066676864120495</v>
      </c>
      <c r="DB291" s="70">
        <f>CZ291+DA291</f>
        <v>141.54151272621937</v>
      </c>
      <c r="DC291" s="70">
        <f>DC289/DC78</f>
        <v>71.188061420855817</v>
      </c>
      <c r="DD291" s="70">
        <f>DD289/DD78</f>
        <v>102.8213854399573</v>
      </c>
      <c r="DE291" s="70">
        <f>DC291+DD291</f>
        <v>174.00944686081311</v>
      </c>
      <c r="DF291" s="70">
        <f>DF289/DF78</f>
        <v>73.806307207668411</v>
      </c>
      <c r="DG291" s="70">
        <f>DG289/DG78</f>
        <v>88.098473295131939</v>
      </c>
      <c r="DH291" s="1070">
        <f>DF291+DG291</f>
        <v>161.90478050280035</v>
      </c>
      <c r="DI291" s="1152">
        <f>+DI121*DI92</f>
        <v>68.740226171243947</v>
      </c>
      <c r="DJ291" s="1152">
        <f>+DJ121*DJ92</f>
        <v>83.451512325116596</v>
      </c>
      <c r="DK291" s="1157">
        <f>DI291+DJ291</f>
        <v>152.19173849636053</v>
      </c>
      <c r="DL291" s="1152">
        <f>+DL121*DL92</f>
        <v>90.229608732981717</v>
      </c>
      <c r="DM291" s="1152">
        <f>+DM121*DM92</f>
        <v>87.389900702349223</v>
      </c>
      <c r="DN291" s="1157">
        <f>DL291+DM291</f>
        <v>177.61950943533094</v>
      </c>
      <c r="DO291" s="1152">
        <f>+DO121*DO92</f>
        <v>83.089342149501292</v>
      </c>
      <c r="DP291" s="1152">
        <f>+DP121*DP92</f>
        <v>108.05873612939625</v>
      </c>
      <c r="DQ291" s="1157">
        <f>DO291+DP291</f>
        <v>191.14807827889754</v>
      </c>
      <c r="DR291" s="1152">
        <f>+DR121*DR92</f>
        <v>110.46097539069515</v>
      </c>
      <c r="DS291" s="1152">
        <f>+DS121*DS92</f>
        <v>111.04868972746328</v>
      </c>
      <c r="DT291" s="1157">
        <f>DR291+DS291</f>
        <v>221.50966511815844</v>
      </c>
      <c r="DU291" s="1152">
        <f>+DU121*DU92</f>
        <v>93.906316779211892</v>
      </c>
      <c r="DV291" s="1152">
        <f>+DV121*DV92</f>
        <v>110.17278016696186</v>
      </c>
      <c r="DW291" s="1157">
        <f>DU291+DV291</f>
        <v>204.07909694617376</v>
      </c>
      <c r="DX291" s="1152">
        <f>+DX121*DX92</f>
        <v>98.487857142857152</v>
      </c>
      <c r="DY291" s="1154">
        <f>DY289/DY78</f>
        <v>122.47540728560593</v>
      </c>
      <c r="DZ291" s="1153">
        <f>DX291+DY291</f>
        <v>220.96326442846308</v>
      </c>
      <c r="EA291" s="1154">
        <f>EA289/EA78</f>
        <v>108.38301116754148</v>
      </c>
      <c r="EB291" s="1154">
        <f>EB289/EB78</f>
        <v>131.66106283202635</v>
      </c>
      <c r="EC291" s="1153">
        <f>EA291+EB291</f>
        <v>240.04407399956784</v>
      </c>
      <c r="ED291" s="1154">
        <f>ED289/ED78</f>
        <v>118.13748217262022</v>
      </c>
      <c r="EE291" s="1154">
        <f>EE289/EE78</f>
        <v>143.51055848690874</v>
      </c>
      <c r="EF291" s="1153">
        <f>ED291+EE291</f>
        <v>261.64804065952899</v>
      </c>
      <c r="EG291" s="1154">
        <f>EG289/EG78</f>
        <v>128.76985556815606</v>
      </c>
      <c r="EH291" s="1154">
        <f>EH289/EH78</f>
        <v>156.42650875073056</v>
      </c>
      <c r="EI291" s="1153">
        <f>EG291+EH291</f>
        <v>285.19636431888659</v>
      </c>
      <c r="EJ291" s="1154">
        <f>EJ289/EJ78</f>
        <v>140.3591425692901</v>
      </c>
      <c r="EK291" s="1154">
        <f>EK289/EK78</f>
        <v>170.5048945382963</v>
      </c>
      <c r="EL291" s="1153">
        <f>EJ291+EK291</f>
        <v>310.8640371075864</v>
      </c>
      <c r="EM291" s="1154">
        <f>EM289/EM78</f>
        <v>152.99146540052621</v>
      </c>
      <c r="EN291" s="1154">
        <f>EN289/EN78</f>
        <v>185.85033504674297</v>
      </c>
      <c r="EO291" s="1153">
        <f>EM291+EN291</f>
        <v>338.84180044726918</v>
      </c>
      <c r="EP291" s="1154">
        <f>EP289/EP78</f>
        <v>166.76069728657359</v>
      </c>
      <c r="EQ291" s="1154">
        <f>EQ289/EQ78</f>
        <v>202.57686520094987</v>
      </c>
      <c r="ER291" s="1153">
        <f>EP291+EQ291</f>
        <v>369.33756248752343</v>
      </c>
      <c r="ES291" s="1154">
        <f>ES289/ES78</f>
        <v>181.76916004236523</v>
      </c>
      <c r="ET291" s="1154">
        <f>ET289/ET78</f>
        <v>220.80878306903534</v>
      </c>
      <c r="EU291" s="1153">
        <f>ES291+ET291</f>
        <v>402.5779431114006</v>
      </c>
      <c r="EV291" s="1154">
        <f>EV289/EV78</f>
        <v>198.1283844461781</v>
      </c>
      <c r="EW291" s="1154">
        <f>EW289/EW78</f>
        <v>240.68157354524854</v>
      </c>
      <c r="EX291" s="1153">
        <f>EV291+EW291</f>
        <v>438.80995799142664</v>
      </c>
      <c r="EY291" s="1154">
        <f>EY289/EY78</f>
        <v>215.95993904633417</v>
      </c>
      <c r="EZ291" s="1154">
        <f>EZ289/EZ78</f>
        <v>262.34291516432091</v>
      </c>
      <c r="FA291" s="1153">
        <f>EY291+EZ291</f>
        <v>478.30285421065508</v>
      </c>
    </row>
    <row r="292" spans="1:173" outlineLevel="1">
      <c r="D292" s="162" t="s">
        <v>209</v>
      </c>
      <c r="BA292" s="35"/>
      <c r="BB292" s="35"/>
      <c r="BC292" s="322"/>
      <c r="BD292" s="35"/>
      <c r="BE292" s="35"/>
      <c r="BG292" s="35"/>
      <c r="BH292" s="35"/>
      <c r="BJ292" s="35"/>
      <c r="BK292" s="35"/>
      <c r="BL292" s="31"/>
      <c r="BM292" s="35"/>
      <c r="BN292" s="35"/>
      <c r="BO292" s="31"/>
      <c r="BP292" s="35"/>
      <c r="BQ292" s="35"/>
      <c r="BR292" s="1024"/>
      <c r="BS292" s="70"/>
      <c r="BT292" s="70"/>
      <c r="BU292" s="70"/>
      <c r="BV292" s="65">
        <f t="shared" ref="BV292:CD292" si="1726">BV291/BS291-1</f>
        <v>-2.6116314174876476E-2</v>
      </c>
      <c r="BW292" s="65">
        <f t="shared" si="1726"/>
        <v>-0.17081260364842499</v>
      </c>
      <c r="BX292" s="65">
        <f t="shared" si="1726"/>
        <v>-0.11293408785900561</v>
      </c>
      <c r="BY292" s="65">
        <f t="shared" si="1726"/>
        <v>0.37520089285714242</v>
      </c>
      <c r="BZ292" s="65">
        <f t="shared" si="1726"/>
        <v>7.2621887711003641E-2</v>
      </c>
      <c r="CA292" s="65">
        <f t="shared" si="1726"/>
        <v>0.20549893901096761</v>
      </c>
      <c r="CB292" s="65">
        <f t="shared" si="1726"/>
        <v>-1</v>
      </c>
      <c r="CC292" s="65">
        <f t="shared" si="1726"/>
        <v>-1</v>
      </c>
      <c r="CD292" s="65">
        <f t="shared" si="1726"/>
        <v>-1</v>
      </c>
      <c r="CE292" s="65"/>
      <c r="CF292" s="65"/>
      <c r="CG292" s="65"/>
      <c r="CH292" s="65">
        <f t="shared" ref="CH292:CS292" si="1727">CH291/CE291-1</f>
        <v>1.6816174716595844</v>
      </c>
      <c r="CI292" s="65">
        <f t="shared" si="1727"/>
        <v>-0.13694036276535859</v>
      </c>
      <c r="CJ292" s="65">
        <f t="shared" si="1727"/>
        <v>0.48578946668510614</v>
      </c>
      <c r="CK292" s="65">
        <f t="shared" si="1727"/>
        <v>-0.20397017428570796</v>
      </c>
      <c r="CL292" s="65">
        <f t="shared" si="1727"/>
        <v>0.16894146292498413</v>
      </c>
      <c r="CM292" s="65">
        <f t="shared" si="1727"/>
        <v>-6.1530467736632177E-2</v>
      </c>
      <c r="CN292" s="65">
        <f t="shared" si="1727"/>
        <v>0.11395132294866772</v>
      </c>
      <c r="CO292" s="65">
        <f t="shared" si="1727"/>
        <v>-0.28840757971412412</v>
      </c>
      <c r="CP292" s="65">
        <f t="shared" si="1727"/>
        <v>-7.7479265737556813E-2</v>
      </c>
      <c r="CQ292" s="65">
        <f t="shared" si="1727"/>
        <v>-1</v>
      </c>
      <c r="CR292" s="65">
        <f t="shared" si="1727"/>
        <v>-1</v>
      </c>
      <c r="CS292" s="65">
        <f t="shared" si="1727"/>
        <v>-1</v>
      </c>
      <c r="CT292" s="65"/>
      <c r="CU292" s="65"/>
      <c r="CV292" s="65"/>
      <c r="CW292" s="65">
        <f t="shared" ref="CW292:EF292" si="1728">CW291/CT291-1</f>
        <v>0.15848832120689438</v>
      </c>
      <c r="CX292" s="65">
        <f t="shared" si="1728"/>
        <v>0.12897899925433709</v>
      </c>
      <c r="CY292" s="65">
        <f t="shared" si="1728"/>
        <v>0.1408742499455542</v>
      </c>
      <c r="CZ292" s="65">
        <f t="shared" si="1728"/>
        <v>6.0447780555950459E-2</v>
      </c>
      <c r="DA292" s="65">
        <f t="shared" si="1728"/>
        <v>0.28581386023132249</v>
      </c>
      <c r="DB292" s="65">
        <f t="shared" si="1728"/>
        <v>0.19356589391393819</v>
      </c>
      <c r="DC292" s="65">
        <f t="shared" si="1728"/>
        <v>0.38296820628177763</v>
      </c>
      <c r="DD292" s="65">
        <f t="shared" si="1728"/>
        <v>0.14161406882013927</v>
      </c>
      <c r="DE292" s="65">
        <f t="shared" si="1728"/>
        <v>0.22938806791895572</v>
      </c>
      <c r="DF292" s="65">
        <f t="shared" si="1728"/>
        <v>3.6779282010979575E-2</v>
      </c>
      <c r="DG292" s="65">
        <f t="shared" si="1728"/>
        <v>-0.14318920214727926</v>
      </c>
      <c r="DH292" s="1066">
        <f t="shared" si="1728"/>
        <v>-6.9563271284317496E-2</v>
      </c>
      <c r="DI292" s="65">
        <f t="shared" si="1728"/>
        <v>-6.8640218269829689E-2</v>
      </c>
      <c r="DJ292" s="65">
        <f t="shared" si="1728"/>
        <v>-5.2747349598759929E-2</v>
      </c>
      <c r="DK292" s="1066">
        <f t="shared" si="1728"/>
        <v>-5.9992311383738395E-2</v>
      </c>
      <c r="DL292" s="65">
        <f t="shared" ref="DL292" si="1729">DL291/DI291-1</f>
        <v>0.31261728042913273</v>
      </c>
      <c r="DM292" s="65">
        <f t="shared" ref="DM292" si="1730">DM291/DJ291-1</f>
        <v>4.7193732833614277E-2</v>
      </c>
      <c r="DN292" s="1066">
        <f t="shared" ref="DN292" si="1731">DN291/DK291-1</f>
        <v>0.1670772092506092</v>
      </c>
      <c r="DO292" s="65">
        <f t="shared" ref="DO292" si="1732">DO291/DL291-1</f>
        <v>-7.9134407028304432E-2</v>
      </c>
      <c r="DP292" s="65">
        <f t="shared" ref="DP292" si="1733">DP291/DM291-1</f>
        <v>0.23651286087903078</v>
      </c>
      <c r="DQ292" s="1066">
        <f t="shared" ref="DQ292" si="1734">DQ291/DN291-1</f>
        <v>7.6166007250978218E-2</v>
      </c>
      <c r="DR292" s="65">
        <f t="shared" ref="DR292" si="1735">DR291/DO291-1</f>
        <v>0.32942411786032122</v>
      </c>
      <c r="DS292" s="65">
        <f t="shared" ref="DS292" si="1736">DS291/DP291-1</f>
        <v>2.7669707282960143E-2</v>
      </c>
      <c r="DT292" s="1066">
        <f t="shared" ref="DT292:DU292" si="1737">DT291/DQ291-1</f>
        <v>0.15883804384871381</v>
      </c>
      <c r="DU292" s="65">
        <f t="shared" si="1737"/>
        <v>-0.1498688432990043</v>
      </c>
      <c r="DV292" s="65">
        <f t="shared" ref="DV292" si="1738">DV291/DS291-1</f>
        <v>-7.8876172483537399E-3</v>
      </c>
      <c r="DW292" s="1066">
        <f t="shared" ref="DW292:DX292" si="1739">DW291/DT291-1</f>
        <v>-7.8689876410976467E-2</v>
      </c>
      <c r="DX292" s="65">
        <f t="shared" si="1739"/>
        <v>4.8788415101160387E-2</v>
      </c>
      <c r="DY292" s="65">
        <f t="shared" si="1728"/>
        <v>0.11166666666666658</v>
      </c>
      <c r="DZ292" s="1066">
        <f t="shared" si="1728"/>
        <v>8.2733448623317551E-2</v>
      </c>
      <c r="EA292" s="65">
        <f t="shared" si="1728"/>
        <v>0.10047080230744942</v>
      </c>
      <c r="EB292" s="65">
        <f t="shared" si="1728"/>
        <v>7.4999999999999734E-2</v>
      </c>
      <c r="EC292" s="1066">
        <f t="shared" si="1728"/>
        <v>8.6352858790616605E-2</v>
      </c>
      <c r="ED292" s="65">
        <f t="shared" si="1728"/>
        <v>9.000000000000008E-2</v>
      </c>
      <c r="EE292" s="65">
        <f t="shared" si="1728"/>
        <v>9.000000000000008E-2</v>
      </c>
      <c r="EF292" s="1066">
        <f t="shared" si="1728"/>
        <v>9.000000000000008E-2</v>
      </c>
      <c r="EG292" s="65">
        <f t="shared" ref="EG292:EL292" si="1740">EG291/ED291-1</f>
        <v>9.000000000000008E-2</v>
      </c>
      <c r="EH292" s="65">
        <f t="shared" si="1740"/>
        <v>9.0000000000000302E-2</v>
      </c>
      <c r="EI292" s="1066">
        <f t="shared" si="1740"/>
        <v>9.000000000000008E-2</v>
      </c>
      <c r="EJ292" s="65">
        <f t="shared" si="1740"/>
        <v>8.9999999999999858E-2</v>
      </c>
      <c r="EK292" s="65">
        <f t="shared" si="1740"/>
        <v>8.9999999999999858E-2</v>
      </c>
      <c r="EL292" s="1066">
        <f t="shared" si="1740"/>
        <v>9.000000000000008E-2</v>
      </c>
      <c r="EM292" s="65">
        <f t="shared" ref="EM292:ER292" si="1741">EM291/EJ291-1</f>
        <v>9.000000000000008E-2</v>
      </c>
      <c r="EN292" s="65">
        <f t="shared" si="1741"/>
        <v>9.000000000000008E-2</v>
      </c>
      <c r="EO292" s="1066">
        <f t="shared" si="1741"/>
        <v>9.000000000000008E-2</v>
      </c>
      <c r="EP292" s="65">
        <f t="shared" si="1741"/>
        <v>9.000000000000008E-2</v>
      </c>
      <c r="EQ292" s="65">
        <f t="shared" si="1741"/>
        <v>9.000000000000008E-2</v>
      </c>
      <c r="ER292" s="1066">
        <f t="shared" si="1741"/>
        <v>9.000000000000008E-2</v>
      </c>
      <c r="ES292" s="65">
        <f t="shared" ref="ES292" si="1742">ES291/EP291-1</f>
        <v>9.000000000000008E-2</v>
      </c>
      <c r="ET292" s="65">
        <f t="shared" ref="ET292" si="1743">ET291/EQ291-1</f>
        <v>8.9999999999999858E-2</v>
      </c>
      <c r="EU292" s="1066">
        <f t="shared" ref="EU292" si="1744">EU291/ER291-1</f>
        <v>9.000000000000008E-2</v>
      </c>
      <c r="EV292" s="65">
        <f t="shared" ref="EV292" si="1745">EV291/ES291-1</f>
        <v>9.000000000000008E-2</v>
      </c>
      <c r="EW292" s="65">
        <f t="shared" ref="EW292" si="1746">EW291/ET291-1</f>
        <v>9.000000000000008E-2</v>
      </c>
      <c r="EX292" s="1066">
        <f t="shared" ref="EX292" si="1747">EX291/EU291-1</f>
        <v>9.000000000000008E-2</v>
      </c>
      <c r="EY292" s="65">
        <f t="shared" ref="EY292" si="1748">EY291/EV291-1</f>
        <v>9.0000000000000302E-2</v>
      </c>
      <c r="EZ292" s="65">
        <f t="shared" ref="EZ292" si="1749">EZ291/EW291-1</f>
        <v>9.000000000000008E-2</v>
      </c>
      <c r="FA292" s="1066">
        <f t="shared" ref="FA292" si="1750">FA291/EX291-1</f>
        <v>9.000000000000008E-2</v>
      </c>
    </row>
    <row r="293" spans="1:173" outlineLevel="1">
      <c r="A293" s="1425" t="s">
        <v>426</v>
      </c>
      <c r="BA293" s="35"/>
      <c r="BB293" s="35"/>
      <c r="BC293" s="322"/>
      <c r="BD293" s="35"/>
      <c r="BE293" s="35"/>
      <c r="BG293" s="439"/>
      <c r="BH293" s="439"/>
      <c r="BJ293" s="35"/>
      <c r="BK293" s="35"/>
      <c r="BL293" s="31"/>
      <c r="BM293" s="35"/>
      <c r="BN293" s="35"/>
      <c r="BO293" s="31"/>
      <c r="BP293" s="35"/>
      <c r="BQ293" s="35"/>
      <c r="BR293" s="1024"/>
      <c r="BS293" s="74"/>
      <c r="BT293" s="70"/>
      <c r="BU293" s="74"/>
      <c r="BV293" s="74"/>
      <c r="BW293" s="74"/>
      <c r="BX293" s="74"/>
      <c r="BY293" s="70"/>
      <c r="BZ293" s="70"/>
      <c r="CA293" s="70"/>
      <c r="CB293" s="70"/>
      <c r="CC293" s="70"/>
      <c r="CD293" s="70"/>
      <c r="CE293" s="70"/>
      <c r="CF293" s="70"/>
      <c r="CG293" s="70"/>
      <c r="CH293" s="70"/>
      <c r="CI293" s="70"/>
      <c r="CJ293" s="70"/>
      <c r="CK293" s="35"/>
      <c r="CL293" s="35"/>
      <c r="CN293" s="70">
        <f t="shared" ref="CN293:DB293" si="1751">CN165</f>
        <v>54.010260476053674</v>
      </c>
      <c r="CO293" s="70">
        <f t="shared" si="1751"/>
        <v>41.480739236737485</v>
      </c>
      <c r="CP293" s="70">
        <f t="shared" si="1751"/>
        <v>95.490999712791165</v>
      </c>
      <c r="CQ293" s="70">
        <f t="shared" si="1751"/>
        <v>34.039192041865</v>
      </c>
      <c r="CR293" s="70">
        <f t="shared" si="1751"/>
        <v>29.195165410151027</v>
      </c>
      <c r="CS293" s="70">
        <f t="shared" si="1751"/>
        <v>63.234357452016027</v>
      </c>
      <c r="CT293" s="70">
        <f t="shared" si="1751"/>
        <v>146.29999999999998</v>
      </c>
      <c r="CU293" s="70">
        <f t="shared" si="1751"/>
        <v>141.54030386729582</v>
      </c>
      <c r="CV293" s="70">
        <f t="shared" si="1751"/>
        <v>287.8403038672958</v>
      </c>
      <c r="CW293" s="70">
        <f t="shared" si="1751"/>
        <v>144.77730621259633</v>
      </c>
      <c r="CX293" s="70">
        <f t="shared" si="1751"/>
        <v>160.80000000000004</v>
      </c>
      <c r="CY293" s="70">
        <f t="shared" si="1751"/>
        <v>305.57730621259634</v>
      </c>
      <c r="CZ293" s="70">
        <f t="shared" si="1751"/>
        <v>151.03443396031815</v>
      </c>
      <c r="DA293" s="70">
        <f t="shared" si="1751"/>
        <v>183.87468523645583</v>
      </c>
      <c r="DB293" s="70">
        <f t="shared" si="1751"/>
        <v>334.90911919677399</v>
      </c>
      <c r="DC293" s="35"/>
      <c r="DD293" s="35"/>
      <c r="DF293" s="35"/>
      <c r="DG293" s="35"/>
      <c r="DH293" s="1067"/>
      <c r="DI293" s="35"/>
      <c r="DJ293" s="35"/>
      <c r="DK293" s="1067"/>
      <c r="DL293" s="35"/>
      <c r="DM293" s="70"/>
      <c r="DN293" s="1067"/>
      <c r="DO293" s="35"/>
      <c r="DP293" s="35"/>
      <c r="DQ293" s="1067"/>
      <c r="DR293" s="35"/>
      <c r="DS293" s="35"/>
      <c r="DT293" s="1067"/>
      <c r="DU293" s="35"/>
      <c r="DV293" s="35"/>
      <c r="DW293" s="1067"/>
      <c r="DX293" s="35"/>
      <c r="DY293" s="35"/>
      <c r="DZ293" s="1067"/>
      <c r="EA293" s="35"/>
      <c r="EB293" s="35"/>
      <c r="EC293" s="1067"/>
      <c r="ED293" s="35"/>
      <c r="EE293" s="35"/>
      <c r="EF293" s="1067"/>
      <c r="EG293" s="35"/>
      <c r="EH293" s="35"/>
      <c r="EI293" s="1067"/>
      <c r="EJ293" s="35"/>
      <c r="EK293" s="35"/>
      <c r="EL293" s="1067"/>
      <c r="EM293" s="35"/>
      <c r="EN293" s="35"/>
      <c r="EO293" s="1067"/>
      <c r="EP293" s="35"/>
      <c r="EQ293" s="35"/>
      <c r="ER293" s="1067"/>
      <c r="ES293" s="35"/>
      <c r="ET293" s="35"/>
      <c r="EU293" s="1067"/>
      <c r="EV293" s="35"/>
      <c r="EW293" s="35"/>
      <c r="EX293" s="1067"/>
      <c r="EY293" s="35"/>
      <c r="EZ293" s="35"/>
      <c r="FA293" s="1067"/>
    </row>
    <row r="294" spans="1:173" outlineLevel="1">
      <c r="B294" s="34" t="s">
        <v>789</v>
      </c>
      <c r="BA294" s="35"/>
      <c r="BB294" s="35"/>
      <c r="BC294" s="322"/>
      <c r="BD294" s="35"/>
      <c r="BE294" s="35"/>
      <c r="BG294" s="439"/>
      <c r="BH294" s="439"/>
      <c r="BJ294" s="35"/>
      <c r="BK294" s="35"/>
      <c r="BL294" s="31"/>
      <c r="BM294" s="35"/>
      <c r="BN294" s="35"/>
      <c r="BO294" s="31"/>
      <c r="BP294" s="35"/>
      <c r="BQ294" s="35"/>
      <c r="BR294" s="1024"/>
      <c r="BS294" s="35"/>
      <c r="BT294" s="35"/>
      <c r="BV294" s="35"/>
      <c r="BW294" s="35"/>
      <c r="BY294" s="35"/>
      <c r="BZ294" s="35"/>
      <c r="CB294" s="35"/>
      <c r="CC294" s="35"/>
      <c r="CE294" s="35"/>
      <c r="CF294" s="35"/>
      <c r="CH294" s="70"/>
      <c r="CI294" s="70"/>
      <c r="CJ294" s="70"/>
      <c r="CK294" s="35"/>
      <c r="CL294" s="35"/>
      <c r="CN294" s="35"/>
      <c r="CO294" s="35"/>
      <c r="CQ294" s="35"/>
      <c r="CR294" s="35"/>
      <c r="CT294" s="35"/>
      <c r="CU294" s="35"/>
      <c r="CW294" s="35"/>
      <c r="CX294" s="35"/>
      <c r="CZ294" s="35"/>
      <c r="DA294" s="35"/>
      <c r="DC294" s="35"/>
      <c r="DD294" s="35"/>
      <c r="DF294" s="35"/>
      <c r="DG294" s="35"/>
      <c r="DH294" s="1067"/>
      <c r="DI294" s="35"/>
      <c r="DJ294" s="35"/>
      <c r="DK294" s="1067"/>
      <c r="DL294" s="35"/>
      <c r="DM294" s="35"/>
      <c r="DN294" s="1067"/>
      <c r="DO294" s="35"/>
      <c r="DP294" s="35"/>
      <c r="DQ294" s="1067"/>
      <c r="DR294" s="35"/>
      <c r="DS294" s="35"/>
      <c r="DT294" s="1067"/>
      <c r="DU294" s="35"/>
      <c r="DV294" s="35"/>
      <c r="DW294" s="1067"/>
      <c r="DX294" s="35"/>
      <c r="DY294" s="35"/>
      <c r="DZ294" s="1067"/>
      <c r="EA294" s="35"/>
      <c r="EB294" s="35"/>
      <c r="EC294" s="1067"/>
      <c r="ED294" s="35"/>
      <c r="EE294" s="35"/>
      <c r="EF294" s="1067"/>
      <c r="EG294" s="35"/>
      <c r="EH294" s="35"/>
      <c r="EI294" s="1067"/>
      <c r="EJ294" s="35"/>
      <c r="EK294" s="35"/>
      <c r="EL294" s="1067"/>
      <c r="EM294" s="35"/>
      <c r="EN294" s="35"/>
      <c r="EO294" s="1067"/>
      <c r="EP294" s="35"/>
      <c r="EQ294" s="35"/>
      <c r="ER294" s="1067"/>
      <c r="ES294" s="35"/>
      <c r="ET294" s="35"/>
      <c r="EU294" s="1067"/>
      <c r="EV294" s="35"/>
      <c r="EW294" s="35"/>
      <c r="EX294" s="1067"/>
      <c r="EY294" s="35"/>
      <c r="EZ294" s="35"/>
      <c r="FA294" s="1067"/>
    </row>
    <row r="295" spans="1:173" s="321" customFormat="1" outlineLevel="1">
      <c r="A295" s="1168"/>
      <c r="B295" s="186" t="s">
        <v>399</v>
      </c>
      <c r="C295" s="186"/>
      <c r="D295" s="910" t="s">
        <v>153</v>
      </c>
      <c r="E295" s="190"/>
      <c r="F295" s="190"/>
      <c r="G295" s="190"/>
      <c r="H295" s="190"/>
      <c r="I295" s="190"/>
      <c r="J295" s="190"/>
      <c r="K295" s="190"/>
      <c r="L295" s="190"/>
      <c r="M295" s="190"/>
      <c r="N295" s="190"/>
      <c r="O295" s="190"/>
      <c r="P295" s="190"/>
      <c r="Q295" s="190"/>
      <c r="R295" s="190"/>
      <c r="S295" s="190"/>
      <c r="T295" s="190"/>
      <c r="U295" s="190"/>
      <c r="V295" s="190"/>
      <c r="W295" s="190"/>
      <c r="X295" s="190"/>
      <c r="Y295" s="190"/>
      <c r="Z295" s="190"/>
      <c r="AA295" s="190"/>
      <c r="AB295" s="190"/>
      <c r="AC295" s="190"/>
      <c r="AD295" s="190"/>
      <c r="AE295" s="190"/>
      <c r="AF295" s="190"/>
      <c r="AG295" s="190"/>
      <c r="AH295" s="190"/>
      <c r="AI295" s="190"/>
      <c r="AJ295" s="190"/>
      <c r="AK295" s="190"/>
      <c r="AL295" s="190"/>
      <c r="AM295" s="190"/>
      <c r="AN295" s="190"/>
      <c r="AO295" s="190"/>
      <c r="AP295" s="190"/>
      <c r="AQ295" s="190"/>
      <c r="AR295" s="190"/>
      <c r="AS295" s="190"/>
      <c r="AT295" s="190"/>
      <c r="AU295" s="190"/>
      <c r="AV295" s="190"/>
      <c r="AW295" s="190"/>
      <c r="AX295" s="190"/>
      <c r="AY295" s="190"/>
      <c r="AZ295" s="190"/>
      <c r="BA295" s="190"/>
      <c r="BB295" s="190"/>
      <c r="BC295" s="973"/>
      <c r="BD295" s="190"/>
      <c r="BE295" s="190"/>
      <c r="BF295" s="973"/>
      <c r="BG295" s="190"/>
      <c r="BH295" s="190"/>
      <c r="BI295" s="973"/>
      <c r="BJ295" s="190"/>
      <c r="BK295" s="190"/>
      <c r="BL295" s="973"/>
      <c r="BM295" s="190">
        <f>BM375*BM78</f>
        <v>2514.4144318859503</v>
      </c>
      <c r="BN295" s="190">
        <f>BN375*BN78</f>
        <v>2734.547191197265</v>
      </c>
      <c r="BO295" s="973">
        <f>BO298/BO265*1000000</f>
        <v>2636.1113888515406</v>
      </c>
      <c r="BP295" s="190">
        <f>BP375*BP78</f>
        <v>2682.0420606783468</v>
      </c>
      <c r="BQ295" s="190">
        <f>BQ375*BQ78</f>
        <v>2734.547191197265</v>
      </c>
      <c r="BR295" s="973">
        <f>BR298/BR265*1000000</f>
        <v>2709.1924112946754</v>
      </c>
      <c r="BS295" s="190">
        <f>BS375*BS78</f>
        <v>4270.9811373841485</v>
      </c>
      <c r="BT295" s="190">
        <f>BT375*BT78</f>
        <v>4198.2122103113752</v>
      </c>
      <c r="BU295" s="190">
        <f>BU298/BU265*1000000</f>
        <v>4233.2040841517764</v>
      </c>
      <c r="BV295" s="190">
        <f>BV375*BV78</f>
        <v>4365.1318574348215</v>
      </c>
      <c r="BW295" s="190">
        <f>BW375*BW78</f>
        <v>4192.094227505544</v>
      </c>
      <c r="BX295" s="190">
        <f>BX298/BX265*1000000</f>
        <v>4276.1223246402469</v>
      </c>
      <c r="BY295" s="190">
        <f>BY375*BY78</f>
        <v>4782.6361992416842</v>
      </c>
      <c r="BZ295" s="190">
        <f>BZ375*BZ78</f>
        <v>4626.0922389642292</v>
      </c>
      <c r="CA295" s="190">
        <f>CA298/CA265*1000000</f>
        <v>4705.1311581017726</v>
      </c>
      <c r="CB295" s="190">
        <f>CB375*CB78</f>
        <v>4624.8337007314913</v>
      </c>
      <c r="CC295" s="190">
        <f>CC375*CC78</f>
        <v>5129.411074563538</v>
      </c>
      <c r="CD295" s="190">
        <f>CD298/CD265*1000000</f>
        <v>4888.3818583647753</v>
      </c>
      <c r="CE295" s="190">
        <f>CE375*CE78</f>
        <v>4732.2712201600752</v>
      </c>
      <c r="CF295" s="190">
        <f>CF375*CF78</f>
        <v>5780.0171433900096</v>
      </c>
      <c r="CG295" s="190">
        <f>CG298/CG265*1000000</f>
        <v>5258.0280234091315</v>
      </c>
      <c r="CH295" s="190">
        <f>CH375*CH78</f>
        <v>4874.3225556837388</v>
      </c>
      <c r="CI295" s="190">
        <f>CI375*CI78</f>
        <v>5286.9600160150585</v>
      </c>
      <c r="CJ295" s="190">
        <f>CJ298/CJ265*1000000</f>
        <v>5088.9878822463088</v>
      </c>
      <c r="CK295" s="190">
        <f>CK375*CK78</f>
        <v>4563.7572864310469</v>
      </c>
      <c r="CL295" s="190">
        <f>CL375*CL78</f>
        <v>4965.4710889766402</v>
      </c>
      <c r="CM295" s="190">
        <f>CM298/CM265*1000000</f>
        <v>4766.2627230013031</v>
      </c>
      <c r="CN295" s="190">
        <f>CN375*CN78</f>
        <v>5042.7732730057305</v>
      </c>
      <c r="CO295" s="190">
        <f>CO375*CO78</f>
        <v>4587.6866810255287</v>
      </c>
      <c r="CP295" s="190">
        <f>CP298/CP265*1000000</f>
        <v>4795.3800220177473</v>
      </c>
      <c r="CQ295" s="190">
        <f>CQ375*CQ78</f>
        <v>5486.4283733679758</v>
      </c>
      <c r="CR295" s="190">
        <f>CR375*CR78</f>
        <v>6403.2300836274289</v>
      </c>
      <c r="CS295" s="190">
        <f>CS298/CS265*1000000</f>
        <v>5991.2781974264199</v>
      </c>
      <c r="CT295" s="190">
        <f>CT375*CT78</f>
        <v>5299.785311126966</v>
      </c>
      <c r="CU295" s="190">
        <f>CU375*CU78</f>
        <v>4946.7522062245253</v>
      </c>
      <c r="CV295" s="190">
        <f>CV298/CV265*1000000</f>
        <v>5108.6239853809047</v>
      </c>
      <c r="CW295" s="190">
        <f>CW375*CW78</f>
        <v>5026.8726803784639</v>
      </c>
      <c r="CX295" s="190">
        <f>CX375*CX78</f>
        <v>5362.3304040850617</v>
      </c>
      <c r="CY295" s="190">
        <f>CY298/CY265*1000000</f>
        <v>5208.517240916859</v>
      </c>
      <c r="CZ295" s="190">
        <f>CZ375*CZ78</f>
        <v>4797.5230683640702</v>
      </c>
      <c r="DA295" s="190">
        <f>DA375*DA78</f>
        <v>4309.7970027775364</v>
      </c>
      <c r="DB295" s="190">
        <f>DB298/DB265*1000000</f>
        <v>4504.3966720586486</v>
      </c>
      <c r="DC295" s="190">
        <f>DC375*DC78</f>
        <v>4336.8827994600178</v>
      </c>
      <c r="DD295" s="190">
        <f>DD375*DD78</f>
        <v>4234.279368345613</v>
      </c>
      <c r="DE295" s="190">
        <f>DE298/DE265*1000000</f>
        <v>4279.9119485942892</v>
      </c>
      <c r="DF295" s="190">
        <f>DF375*DF78</f>
        <v>4263.8832535160154</v>
      </c>
      <c r="DG295" s="190">
        <f>DG375*DG78</f>
        <v>4960.8590352751517</v>
      </c>
      <c r="DH295" s="1060">
        <f>DH298/DH265*1000000</f>
        <v>4578.9501773897582</v>
      </c>
      <c r="DI295" s="190">
        <f>DI375*DI78</f>
        <v>5040.887929555729</v>
      </c>
      <c r="DJ295" s="190">
        <f>DJ375*DJ78</f>
        <v>4650.5212867820956</v>
      </c>
      <c r="DK295" s="1060">
        <f>DK298/DK265*1000000</f>
        <v>4821.6553398543247</v>
      </c>
      <c r="DL295" s="234">
        <f>DL375*DL78</f>
        <v>4611.9437545667088</v>
      </c>
      <c r="DM295" s="234">
        <f>DM375*DM78</f>
        <v>4530.3594088382506</v>
      </c>
      <c r="DN295" s="1060">
        <f>DN298/DN265*1000000</f>
        <v>4570.0137109578891</v>
      </c>
      <c r="DO295" s="234">
        <f>DO375*DO78</f>
        <v>4829.8455455751609</v>
      </c>
      <c r="DP295" s="234">
        <f>DP375*DP78</f>
        <v>5553.258628393015</v>
      </c>
      <c r="DQ295" s="1060">
        <f>DQ298/DQ265*1000000</f>
        <v>5210.8651023558668</v>
      </c>
      <c r="DR295" s="234">
        <f>DR375*DR78</f>
        <v>4891.0637869312359</v>
      </c>
      <c r="DS295" s="234">
        <f>DS375*DS78</f>
        <v>4872.4191262203958</v>
      </c>
      <c r="DT295" s="1060">
        <f>DT298/DT265*1000000</f>
        <v>4881.4302206928951</v>
      </c>
      <c r="DU295" s="234">
        <f>DU375*DU78</f>
        <v>4749.8799245050404</v>
      </c>
      <c r="DV295" s="234">
        <f>DV375*DV78</f>
        <v>4173.9744233176634</v>
      </c>
      <c r="DW295" s="1060">
        <f>DW298/DW265*1000000</f>
        <v>4421.7818828968147</v>
      </c>
      <c r="DX295" s="234">
        <f>DX375*DX78</f>
        <v>4196.8761292453137</v>
      </c>
      <c r="DY295" s="234">
        <f>DY375*DY78</f>
        <v>4274.7255300873994</v>
      </c>
      <c r="DZ295" s="1060">
        <f>DZ298/DZ265*1000000</f>
        <v>4241.3612637731367</v>
      </c>
      <c r="EA295" s="234">
        <f>EA375*EA78</f>
        <v>4301.8644964158775</v>
      </c>
      <c r="EB295" s="234">
        <f>EB375*EB78</f>
        <v>4103.7365088839033</v>
      </c>
      <c r="EC295" s="1060">
        <f>EC298/EC265*1000000</f>
        <v>4194.2524452714333</v>
      </c>
      <c r="ED295" s="234">
        <f>ED375*ED78</f>
        <v>4129.7899165592416</v>
      </c>
      <c r="EE295" s="234">
        <f>EE375*EE78</f>
        <v>3939.5870485285468</v>
      </c>
      <c r="EF295" s="1060">
        <f>EF298/EF265*1000000</f>
        <v>4026.4823474605755</v>
      </c>
      <c r="EG295" s="234">
        <f>EG375*EG78</f>
        <v>3964.598319896872</v>
      </c>
      <c r="EH295" s="234">
        <f>EH375*EH78</f>
        <v>3782.0035665874047</v>
      </c>
      <c r="EI295" s="1060">
        <f>EI298/EI265*1000000</f>
        <v>3865.4230535621518</v>
      </c>
      <c r="EJ295" s="234">
        <f>EJ375*EJ78</f>
        <v>3806.0143871009968</v>
      </c>
      <c r="EK295" s="234">
        <f>EK375*EK78</f>
        <v>3630.7234239239083</v>
      </c>
      <c r="EL295" s="1060">
        <f>EL298/EL265*1000000</f>
        <v>3710.8061314196657</v>
      </c>
      <c r="EM295" s="234">
        <f>EM375*EM78</f>
        <v>3653.7738116169567</v>
      </c>
      <c r="EN295" s="234">
        <f>EN375*EN78</f>
        <v>3485.4944869669521</v>
      </c>
      <c r="EO295" s="1060">
        <f>EO298/EO265*1000000</f>
        <v>3562.3738861628785</v>
      </c>
      <c r="EP295" s="234">
        <f>EP375*EP78</f>
        <v>3507.6228591522781</v>
      </c>
      <c r="EQ295" s="234">
        <f>EQ375*EQ78</f>
        <v>3346.0747074882738</v>
      </c>
      <c r="ER295" s="1060">
        <f>ER298/ER265*1000000</f>
        <v>3419.8789307163638</v>
      </c>
      <c r="ES295" s="234">
        <f>ES375*ES78</f>
        <v>3367.3179447861871</v>
      </c>
      <c r="ET295" s="234">
        <f>ET375*ET78</f>
        <v>3212.2317191887428</v>
      </c>
      <c r="EU295" s="1060">
        <f>EU298/EU265*1000000</f>
        <v>3283.0837734877091</v>
      </c>
      <c r="EV295" s="234">
        <f>EV375*EV78</f>
        <v>3232.6252269947395</v>
      </c>
      <c r="EW295" s="234">
        <f>EW375*EW78</f>
        <v>3083.7424504211931</v>
      </c>
      <c r="EX295" s="1060">
        <f>EX298/EX265*1000000</f>
        <v>3151.7604225482009</v>
      </c>
      <c r="EY295" s="234">
        <f>EY375*EY78</f>
        <v>3103.3202179149498</v>
      </c>
      <c r="EZ295" s="234">
        <f>EZ375*EZ78</f>
        <v>2960.3927524043452</v>
      </c>
      <c r="FA295" s="1060">
        <f>FA298/FA265*1000000</f>
        <v>3025.6900056462723</v>
      </c>
      <c r="FH295" s="35"/>
      <c r="FI295" s="35"/>
      <c r="FJ295" s="35"/>
      <c r="FK295" s="35"/>
      <c r="FL295" s="35"/>
      <c r="FM295" s="35"/>
      <c r="FN295" s="35"/>
      <c r="FO295" s="35"/>
      <c r="FP295" s="35"/>
      <c r="FQ295" s="35"/>
    </row>
    <row r="296" spans="1:173" s="321" customFormat="1" outlineLevel="1">
      <c r="A296" s="1168"/>
      <c r="B296" s="35" t="s">
        <v>753</v>
      </c>
      <c r="C296" s="186"/>
      <c r="D296" s="910" t="s">
        <v>460</v>
      </c>
      <c r="E296" s="190"/>
      <c r="F296" s="190"/>
      <c r="G296" s="190"/>
      <c r="H296" s="190"/>
      <c r="I296" s="190"/>
      <c r="J296" s="190"/>
      <c r="K296" s="190"/>
      <c r="L296" s="190"/>
      <c r="M296" s="190"/>
      <c r="N296" s="190"/>
      <c r="O296" s="190"/>
      <c r="P296" s="190"/>
      <c r="Q296" s="190"/>
      <c r="R296" s="190"/>
      <c r="S296" s="190"/>
      <c r="T296" s="190"/>
      <c r="U296" s="190"/>
      <c r="V296" s="190"/>
      <c r="W296" s="190"/>
      <c r="X296" s="190"/>
      <c r="Y296" s="190"/>
      <c r="Z296" s="190"/>
      <c r="AA296" s="190"/>
      <c r="AB296" s="190"/>
      <c r="AC296" s="190"/>
      <c r="AD296" s="190"/>
      <c r="AE296" s="190"/>
      <c r="AF296" s="190"/>
      <c r="AG296" s="190"/>
      <c r="AH296" s="190"/>
      <c r="AI296" s="190"/>
      <c r="AJ296" s="190"/>
      <c r="AK296" s="190"/>
      <c r="AL296" s="190"/>
      <c r="AM296" s="190"/>
      <c r="AN296" s="190"/>
      <c r="AO296" s="190"/>
      <c r="AP296" s="190"/>
      <c r="AQ296" s="190"/>
      <c r="AR296" s="190"/>
      <c r="AS296" s="190"/>
      <c r="AT296" s="190"/>
      <c r="AU296" s="190"/>
      <c r="AV296" s="190"/>
      <c r="AW296" s="190"/>
      <c r="AX296" s="190"/>
      <c r="AY296" s="190"/>
      <c r="AZ296" s="190"/>
      <c r="BA296" s="190"/>
      <c r="BB296" s="190"/>
      <c r="BC296" s="973"/>
      <c r="BD296" s="190"/>
      <c r="BE296" s="190"/>
      <c r="BF296" s="973"/>
      <c r="BG296" s="185"/>
      <c r="BH296" s="185"/>
      <c r="BI296" s="971"/>
      <c r="BJ296" s="185"/>
      <c r="BK296" s="185"/>
      <c r="BL296" s="971"/>
      <c r="BM296" s="185"/>
      <c r="BN296" s="185"/>
      <c r="BO296" s="971"/>
      <c r="BP296" s="185">
        <f t="shared" ref="BP296:CU296" si="1752">BP295/BM295-1</f>
        <v>6.6666666666666652E-2</v>
      </c>
      <c r="BQ296" s="185">
        <f t="shared" si="1752"/>
        <v>0</v>
      </c>
      <c r="BR296" s="185">
        <f t="shared" si="1752"/>
        <v>2.7723040366277374E-2</v>
      </c>
      <c r="BS296" s="185">
        <f t="shared" si="1752"/>
        <v>0.59243630068348896</v>
      </c>
      <c r="BT296" s="185">
        <f t="shared" si="1752"/>
        <v>0.53524950084085932</v>
      </c>
      <c r="BU296" s="185">
        <f t="shared" si="1752"/>
        <v>0.56253356775379526</v>
      </c>
      <c r="BV296" s="185">
        <f t="shared" si="1752"/>
        <v>2.2044283742338688E-2</v>
      </c>
      <c r="BW296" s="185">
        <f t="shared" si="1752"/>
        <v>-1.4572828859876763E-3</v>
      </c>
      <c r="BX296" s="185">
        <f t="shared" si="1752"/>
        <v>1.0138476585418443E-2</v>
      </c>
      <c r="BY296" s="185">
        <f t="shared" si="1752"/>
        <v>9.5645299029342379E-2</v>
      </c>
      <c r="BZ296" s="185">
        <f t="shared" si="1752"/>
        <v>0.10352773289567274</v>
      </c>
      <c r="CA296" s="185">
        <f t="shared" si="1752"/>
        <v>0.10032660454764208</v>
      </c>
      <c r="CB296" s="185">
        <f t="shared" si="1752"/>
        <v>-3.2994878125000016E-2</v>
      </c>
      <c r="CC296" s="185">
        <f t="shared" si="1752"/>
        <v>0.10880000000000023</v>
      </c>
      <c r="CD296" s="185">
        <f t="shared" si="1752"/>
        <v>3.8946990871330467E-2</v>
      </c>
      <c r="CE296" s="185">
        <f t="shared" si="1752"/>
        <v>2.3230569222757458E-2</v>
      </c>
      <c r="CF296" s="185">
        <f t="shared" si="1752"/>
        <v>0.12683835617168415</v>
      </c>
      <c r="CG296" s="185">
        <f t="shared" si="1752"/>
        <v>7.5617285178291471E-2</v>
      </c>
      <c r="CH296" s="185">
        <f t="shared" si="1752"/>
        <v>3.0017581181422281E-2</v>
      </c>
      <c r="CI296" s="185">
        <f t="shared" si="1752"/>
        <v>-8.5303748266353896E-2</v>
      </c>
      <c r="CJ296" s="185">
        <f t="shared" si="1752"/>
        <v>-3.2148961627865735E-2</v>
      </c>
      <c r="CK296" s="185">
        <f t="shared" si="1752"/>
        <v>-6.3714550217969235E-2</v>
      </c>
      <c r="CL296" s="185">
        <f t="shared" si="1752"/>
        <v>-6.080789831293909E-2</v>
      </c>
      <c r="CM296" s="185">
        <f t="shared" si="1752"/>
        <v>-6.341637408312184E-2</v>
      </c>
      <c r="CN296" s="185">
        <f t="shared" si="1752"/>
        <v>0.10496088124556779</v>
      </c>
      <c r="CO296" s="185">
        <f t="shared" si="1752"/>
        <v>-7.6082289309828854E-2</v>
      </c>
      <c r="CP296" s="185">
        <f t="shared" si="1752"/>
        <v>6.1090419703320187E-3</v>
      </c>
      <c r="CQ296" s="185">
        <f t="shared" si="1752"/>
        <v>8.7978395288393685E-2</v>
      </c>
      <c r="CR296" s="185">
        <f t="shared" si="1752"/>
        <v>0.39574267573914934</v>
      </c>
      <c r="CS296" s="185">
        <f t="shared" si="1752"/>
        <v>0.24938548559608753</v>
      </c>
      <c r="CT296" s="185">
        <f t="shared" si="1752"/>
        <v>-3.4019046552581589E-2</v>
      </c>
      <c r="CU296" s="185">
        <f t="shared" si="1752"/>
        <v>-0.22745986921928774</v>
      </c>
      <c r="CV296" s="185">
        <f t="shared" ref="CV296:EA296" si="1753">CV295/CS295-1</f>
        <v>-0.14732318930285415</v>
      </c>
      <c r="CW296" s="185">
        <f t="shared" si="1753"/>
        <v>-5.1495035124445199E-2</v>
      </c>
      <c r="CX296" s="185">
        <f t="shared" si="1753"/>
        <v>8.4010312329291903E-2</v>
      </c>
      <c r="CY296" s="185">
        <f t="shared" si="1753"/>
        <v>1.955384773313007E-2</v>
      </c>
      <c r="CZ296" s="185">
        <f t="shared" si="1753"/>
        <v>-4.5624710749015085E-2</v>
      </c>
      <c r="DA296" s="185">
        <f t="shared" si="1753"/>
        <v>-0.19628283264785362</v>
      </c>
      <c r="DB296" s="185">
        <f t="shared" si="1753"/>
        <v>-0.13518637575523573</v>
      </c>
      <c r="DC296" s="185">
        <f t="shared" si="1753"/>
        <v>-9.6016269716682867E-2</v>
      </c>
      <c r="DD296" s="185">
        <f t="shared" si="1753"/>
        <v>-1.7522318193468167E-2</v>
      </c>
      <c r="DE296" s="185">
        <f t="shared" si="1753"/>
        <v>-4.9836801642463402E-2</v>
      </c>
      <c r="DF296" s="185">
        <f t="shared" si="1753"/>
        <v>-1.6832261631117063E-2</v>
      </c>
      <c r="DG296" s="185">
        <f t="shared" si="1753"/>
        <v>0.17159464544575442</v>
      </c>
      <c r="DH296" s="1082">
        <f t="shared" si="1753"/>
        <v>6.9870182468049657E-2</v>
      </c>
      <c r="DI296" s="185">
        <f t="shared" si="1753"/>
        <v>0.18222935053369316</v>
      </c>
      <c r="DJ296" s="185">
        <f t="shared" si="1753"/>
        <v>-6.2557259999999837E-2</v>
      </c>
      <c r="DK296" s="1082">
        <f t="shared" si="1753"/>
        <v>5.300454319485981E-2</v>
      </c>
      <c r="DL296" s="185">
        <f t="shared" si="1753"/>
        <v>-8.5092979844688665E-2</v>
      </c>
      <c r="DM296" s="185">
        <f t="shared" si="1753"/>
        <v>-2.5838367471916368E-2</v>
      </c>
      <c r="DN296" s="1082">
        <f t="shared" si="1753"/>
        <v>-5.218988317485973E-2</v>
      </c>
      <c r="DO296" s="185">
        <f t="shared" si="1753"/>
        <v>4.7247278502190682E-2</v>
      </c>
      <c r="DP296" s="185">
        <f t="shared" si="1753"/>
        <v>0.2257876533060923</v>
      </c>
      <c r="DQ296" s="1082">
        <f t="shared" si="1753"/>
        <v>0.14022964304491192</v>
      </c>
      <c r="DR296" s="185">
        <f t="shared" si="1753"/>
        <v>1.2674989454302565E-2</v>
      </c>
      <c r="DS296" s="185">
        <f t="shared" si="1753"/>
        <v>-0.1226017997237846</v>
      </c>
      <c r="DT296" s="1082">
        <f t="shared" si="1753"/>
        <v>-6.3220765687070246E-2</v>
      </c>
      <c r="DU296" s="185">
        <f t="shared" si="1753"/>
        <v>-2.8865675970825455E-2</v>
      </c>
      <c r="DV296" s="185">
        <f t="shared" ref="DV296" si="1754">DV295/DS295-1</f>
        <v>-0.14334659741074574</v>
      </c>
      <c r="DW296" s="1082">
        <f t="shared" ref="DW296" si="1755">DW295/DT295-1</f>
        <v>-9.416263615683429E-2</v>
      </c>
      <c r="DX296" s="185">
        <f t="shared" si="1753"/>
        <v>-0.11642479474201706</v>
      </c>
      <c r="DY296" s="185">
        <f t="shared" si="1753"/>
        <v>2.4137931034482696E-2</v>
      </c>
      <c r="DZ296" s="1082">
        <f t="shared" si="1753"/>
        <v>-4.08026953616899E-2</v>
      </c>
      <c r="EA296" s="185">
        <f t="shared" si="1753"/>
        <v>2.5015836526355306E-2</v>
      </c>
      <c r="EB296" s="185">
        <f t="shared" ref="EB296:EL296" si="1756">EB295/DY295-1</f>
        <v>-4.0000000000000036E-2</v>
      </c>
      <c r="EC296" s="1082">
        <f t="shared" si="1756"/>
        <v>-1.1107004466720416E-2</v>
      </c>
      <c r="ED296" s="185">
        <f t="shared" si="1756"/>
        <v>-4.0000000000000147E-2</v>
      </c>
      <c r="EE296" s="185">
        <f t="shared" si="1756"/>
        <v>-4.0000000000000036E-2</v>
      </c>
      <c r="EF296" s="1082">
        <f t="shared" si="1756"/>
        <v>-4.0000000000000147E-2</v>
      </c>
      <c r="EG296" s="185">
        <f t="shared" si="1756"/>
        <v>-4.0000000000000036E-2</v>
      </c>
      <c r="EH296" s="185">
        <f t="shared" si="1756"/>
        <v>-4.0000000000000036E-2</v>
      </c>
      <c r="EI296" s="1082">
        <f t="shared" si="1756"/>
        <v>-4.0000000000000147E-2</v>
      </c>
      <c r="EJ296" s="185">
        <f t="shared" si="1756"/>
        <v>-4.0000000000000036E-2</v>
      </c>
      <c r="EK296" s="185">
        <f t="shared" si="1756"/>
        <v>-4.0000000000000036E-2</v>
      </c>
      <c r="EL296" s="1082">
        <f t="shared" si="1756"/>
        <v>-4.0000000000000036E-2</v>
      </c>
      <c r="EM296" s="185">
        <f t="shared" ref="EM296:ER296" si="1757">EM295/EJ295-1</f>
        <v>-4.0000000000000036E-2</v>
      </c>
      <c r="EN296" s="185">
        <f t="shared" si="1757"/>
        <v>-3.9999999999999925E-2</v>
      </c>
      <c r="EO296" s="1082">
        <f t="shared" si="1757"/>
        <v>-4.0000000000000147E-2</v>
      </c>
      <c r="EP296" s="185">
        <f t="shared" si="1757"/>
        <v>-4.0000000000000036E-2</v>
      </c>
      <c r="EQ296" s="185">
        <f t="shared" si="1757"/>
        <v>-4.0000000000000036E-2</v>
      </c>
      <c r="ER296" s="1082">
        <f t="shared" si="1757"/>
        <v>-3.9999999999999925E-2</v>
      </c>
      <c r="ES296" s="185">
        <f t="shared" ref="ES296" si="1758">ES295/EP295-1</f>
        <v>-3.9999999999999925E-2</v>
      </c>
      <c r="ET296" s="185">
        <f t="shared" ref="ET296" si="1759">ET295/EQ295-1</f>
        <v>-4.0000000000000036E-2</v>
      </c>
      <c r="EU296" s="1082">
        <f t="shared" ref="EU296" si="1760">EU295/ER295-1</f>
        <v>-4.0000000000000036E-2</v>
      </c>
      <c r="EV296" s="185">
        <f t="shared" ref="EV296" si="1761">EV295/ES295-1</f>
        <v>-4.0000000000000036E-2</v>
      </c>
      <c r="EW296" s="185">
        <f t="shared" ref="EW296" si="1762">EW295/ET295-1</f>
        <v>-4.0000000000000036E-2</v>
      </c>
      <c r="EX296" s="1082">
        <f t="shared" ref="EX296" si="1763">EX295/EU295-1</f>
        <v>-3.9999999999999925E-2</v>
      </c>
      <c r="EY296" s="185">
        <f t="shared" ref="EY296" si="1764">EY295/EV295-1</f>
        <v>-4.0000000000000036E-2</v>
      </c>
      <c r="EZ296" s="185">
        <f t="shared" ref="EZ296" si="1765">EZ295/EW295-1</f>
        <v>-4.0000000000000036E-2</v>
      </c>
      <c r="FA296" s="1082">
        <f t="shared" ref="FA296" si="1766">FA295/EX295-1</f>
        <v>-4.0000000000000147E-2</v>
      </c>
      <c r="FH296" s="35"/>
      <c r="FI296" s="35"/>
      <c r="FJ296" s="35"/>
      <c r="FK296" s="35"/>
      <c r="FL296" s="35"/>
      <c r="FM296" s="35"/>
      <c r="FN296" s="35"/>
      <c r="FO296" s="35"/>
      <c r="FP296" s="35"/>
      <c r="FQ296" s="35"/>
    </row>
    <row r="297" spans="1:173" s="321" customFormat="1" outlineLevel="1">
      <c r="A297" s="1168"/>
      <c r="B297" s="186"/>
      <c r="C297" s="35"/>
      <c r="D297" s="910"/>
      <c r="E297" s="190"/>
      <c r="F297" s="190"/>
      <c r="G297" s="190"/>
      <c r="H297" s="190"/>
      <c r="I297" s="190"/>
      <c r="J297" s="190"/>
      <c r="K297" s="190"/>
      <c r="L297" s="190"/>
      <c r="M297" s="190"/>
      <c r="N297" s="190"/>
      <c r="O297" s="190"/>
      <c r="P297" s="190"/>
      <c r="Q297" s="190"/>
      <c r="R297" s="190"/>
      <c r="S297" s="190"/>
      <c r="T297" s="190"/>
      <c r="U297" s="190"/>
      <c r="V297" s="190"/>
      <c r="W297" s="190"/>
      <c r="X297" s="190"/>
      <c r="Y297" s="190"/>
      <c r="Z297" s="190"/>
      <c r="AA297" s="190"/>
      <c r="AB297" s="190"/>
      <c r="AC297" s="190"/>
      <c r="AD297" s="190"/>
      <c r="AE297" s="190"/>
      <c r="AF297" s="190"/>
      <c r="AG297" s="190"/>
      <c r="AH297" s="190"/>
      <c r="AI297" s="190"/>
      <c r="AJ297" s="190"/>
      <c r="AK297" s="190"/>
      <c r="AL297" s="190"/>
      <c r="AM297" s="190"/>
      <c r="AN297" s="190"/>
      <c r="AO297" s="190"/>
      <c r="AP297" s="190"/>
      <c r="AQ297" s="190"/>
      <c r="AR297" s="190"/>
      <c r="AS297" s="190"/>
      <c r="AT297" s="190"/>
      <c r="AU297" s="190"/>
      <c r="AV297" s="190"/>
      <c r="AW297" s="190"/>
      <c r="AX297" s="190"/>
      <c r="AY297" s="190"/>
      <c r="AZ297" s="190"/>
      <c r="BA297" s="190"/>
      <c r="BB297" s="190"/>
      <c r="BC297" s="973"/>
      <c r="BD297" s="190"/>
      <c r="BE297" s="35"/>
      <c r="BF297" s="31"/>
      <c r="BG297" s="35"/>
      <c r="BH297" s="35"/>
      <c r="BI297" s="973"/>
      <c r="BJ297" s="190"/>
      <c r="BK297" s="190"/>
      <c r="BL297" s="973"/>
      <c r="BM297" s="190"/>
      <c r="BN297" s="185"/>
      <c r="BO297" s="971"/>
      <c r="BP297" s="185"/>
      <c r="BQ297" s="185"/>
      <c r="BR297" s="971"/>
      <c r="BS297" s="185"/>
      <c r="BT297" s="185"/>
      <c r="BU297" s="185"/>
      <c r="BV297" s="185"/>
      <c r="BW297" s="185"/>
      <c r="BX297" s="185"/>
      <c r="BY297" s="185"/>
      <c r="BZ297" s="185"/>
      <c r="CA297" s="185"/>
      <c r="CB297" s="185"/>
      <c r="CC297" s="185"/>
      <c r="CD297" s="185"/>
      <c r="CE297" s="185"/>
      <c r="CF297" s="185"/>
      <c r="CG297" s="185"/>
      <c r="CH297" s="185"/>
      <c r="CI297" s="185"/>
      <c r="CJ297" s="185"/>
      <c r="CK297" s="185"/>
      <c r="CL297" s="185"/>
      <c r="CM297" s="185"/>
      <c r="CN297" s="185"/>
      <c r="CO297" s="185"/>
      <c r="CP297" s="185"/>
      <c r="CQ297" s="185"/>
      <c r="CR297" s="185"/>
      <c r="CS297" s="185"/>
      <c r="CT297" s="185"/>
      <c r="CU297" s="185"/>
      <c r="CV297" s="185"/>
      <c r="CW297" s="185"/>
      <c r="CX297" s="185"/>
      <c r="CY297" s="185"/>
      <c r="CZ297" s="185"/>
      <c r="DA297" s="185"/>
      <c r="DB297" s="185"/>
      <c r="DC297" s="185"/>
      <c r="DD297" s="185"/>
      <c r="DE297" s="185"/>
      <c r="DF297" s="185"/>
      <c r="DG297" s="185"/>
      <c r="DH297" s="1082"/>
      <c r="DI297" s="185"/>
      <c r="DJ297" s="185"/>
      <c r="DK297" s="1082"/>
      <c r="DL297" s="185"/>
      <c r="DM297" s="185"/>
      <c r="DN297" s="1082"/>
      <c r="DO297" s="185"/>
      <c r="DP297" s="185"/>
      <c r="DQ297" s="1082"/>
      <c r="DR297" s="185"/>
      <c r="DS297" s="185"/>
      <c r="DT297" s="1082"/>
      <c r="DU297" s="185"/>
      <c r="DV297" s="185"/>
      <c r="DW297" s="1082"/>
      <c r="DX297" s="185"/>
      <c r="DY297" s="185"/>
      <c r="DZ297" s="1082"/>
      <c r="EA297" s="185"/>
      <c r="EB297" s="185"/>
      <c r="EC297" s="1082"/>
      <c r="ED297" s="185"/>
      <c r="EE297" s="185"/>
      <c r="EF297" s="1082"/>
      <c r="EG297" s="185"/>
      <c r="EH297" s="185"/>
      <c r="EI297" s="1082"/>
      <c r="EJ297" s="185"/>
      <c r="EK297" s="185"/>
      <c r="EL297" s="1082"/>
      <c r="EM297" s="185"/>
      <c r="EN297" s="185"/>
      <c r="EO297" s="1082"/>
      <c r="EP297" s="185"/>
      <c r="EQ297" s="185"/>
      <c r="ER297" s="1082"/>
      <c r="ES297" s="185"/>
      <c r="ET297" s="185"/>
      <c r="EU297" s="1082"/>
      <c r="EV297" s="185"/>
      <c r="EW297" s="185"/>
      <c r="EX297" s="1082"/>
      <c r="EY297" s="185"/>
      <c r="EZ297" s="185"/>
      <c r="FA297" s="1082"/>
      <c r="FH297" s="35"/>
      <c r="FI297" s="35"/>
      <c r="FJ297" s="35"/>
      <c r="FK297" s="35"/>
      <c r="FL297" s="35"/>
      <c r="FM297" s="35"/>
      <c r="FN297" s="35"/>
      <c r="FO297" s="35"/>
      <c r="FP297" s="35"/>
      <c r="FQ297" s="35"/>
    </row>
    <row r="298" spans="1:173" s="321" customFormat="1" outlineLevel="1">
      <c r="A298" s="1168"/>
      <c r="B298" s="186" t="s">
        <v>429</v>
      </c>
      <c r="C298" s="35"/>
      <c r="D298" s="910" t="s">
        <v>696</v>
      </c>
      <c r="E298" s="190"/>
      <c r="F298" s="190"/>
      <c r="G298" s="190"/>
      <c r="H298" s="190"/>
      <c r="I298" s="190"/>
      <c r="J298" s="190"/>
      <c r="K298" s="190"/>
      <c r="L298" s="190"/>
      <c r="M298" s="190"/>
      <c r="N298" s="190"/>
      <c r="O298" s="190"/>
      <c r="P298" s="190"/>
      <c r="Q298" s="190"/>
      <c r="R298" s="190"/>
      <c r="S298" s="190"/>
      <c r="T298" s="190"/>
      <c r="U298" s="190"/>
      <c r="V298" s="190"/>
      <c r="W298" s="190"/>
      <c r="X298" s="190"/>
      <c r="Y298" s="190"/>
      <c r="Z298" s="190"/>
      <c r="AA298" s="190"/>
      <c r="AB298" s="190"/>
      <c r="AC298" s="190"/>
      <c r="AD298" s="190"/>
      <c r="AE298" s="190"/>
      <c r="AF298" s="190"/>
      <c r="AG298" s="190"/>
      <c r="AH298" s="190"/>
      <c r="AI298" s="190"/>
      <c r="AJ298" s="190"/>
      <c r="AK298" s="190"/>
      <c r="AL298" s="190"/>
      <c r="AM298" s="190"/>
      <c r="AN298" s="190"/>
      <c r="AO298" s="190"/>
      <c r="AP298" s="190"/>
      <c r="AQ298" s="190"/>
      <c r="AR298" s="190"/>
      <c r="AS298" s="190"/>
      <c r="AT298" s="190"/>
      <c r="AU298" s="190"/>
      <c r="AV298" s="190"/>
      <c r="AW298" s="190"/>
      <c r="AX298" s="190"/>
      <c r="AY298" s="190"/>
      <c r="AZ298" s="190"/>
      <c r="BA298" s="190"/>
      <c r="BB298" s="190"/>
      <c r="BC298" s="973"/>
      <c r="BD298" s="190"/>
      <c r="BE298" s="35"/>
      <c r="BF298" s="31"/>
      <c r="BG298" s="35"/>
      <c r="BH298" s="35"/>
      <c r="BI298" s="973"/>
      <c r="BJ298" s="190"/>
      <c r="BK298" s="190"/>
      <c r="BL298" s="973"/>
      <c r="BM298" s="70">
        <f>BM295*BM265/1000000</f>
        <v>4.2225422188432526</v>
      </c>
      <c r="BN298" s="70">
        <f>BN295*BN265/1000000</f>
        <v>5.6773961072859302</v>
      </c>
      <c r="BO298" s="1024">
        <f>SUM(BM298:BN298)</f>
        <v>9.8999383261291829</v>
      </c>
      <c r="BP298" s="70">
        <f>BP295*BP265/1000000</f>
        <v>5.7201371924596573</v>
      </c>
      <c r="BQ298" s="70">
        <f>BQ295*BQ265/1000000</f>
        <v>6.2451357180145246</v>
      </c>
      <c r="BR298" s="1024">
        <f>SUM(BP298:BQ298)</f>
        <v>11.965272910474182</v>
      </c>
      <c r="BS298" s="70">
        <f>BS295*BS265/1000000</f>
        <v>11.112924014398246</v>
      </c>
      <c r="BT298" s="70">
        <f>BT295*BT265/1000000</f>
        <v>11.793045037331222</v>
      </c>
      <c r="BU298" s="70">
        <f>SUM(BS298:BT298)</f>
        <v>22.905969051729468</v>
      </c>
      <c r="BV298" s="70">
        <f>BV295*BV265/1000000</f>
        <v>14.083796576077576</v>
      </c>
      <c r="BW298" s="70">
        <f>BW295*BW265/1000000</f>
        <v>14.327334654990755</v>
      </c>
      <c r="BX298" s="70">
        <f>SUM(BV298:BW298)</f>
        <v>28.411131231068332</v>
      </c>
      <c r="BY298" s="70">
        <f>BY295*BY265/1000000</f>
        <v>16.202387786618193</v>
      </c>
      <c r="BZ298" s="70">
        <f>BZ295*BZ265/1000000</f>
        <v>15.367914018612286</v>
      </c>
      <c r="CA298" s="70">
        <f>SUM(BY298:BZ298)</f>
        <v>31.570301805230478</v>
      </c>
      <c r="CB298" s="70">
        <f>CB295*CB265/1000000</f>
        <v>16.137825735552678</v>
      </c>
      <c r="CC298" s="70">
        <f>CC295*CC265/1000000</f>
        <v>19.570715407678421</v>
      </c>
      <c r="CD298" s="70">
        <f>SUM(CB298:CC298)</f>
        <v>35.708541143231102</v>
      </c>
      <c r="CE298" s="70">
        <f>CE295*CE265/1000000</f>
        <v>20.627199501749612</v>
      </c>
      <c r="CF298" s="70">
        <f>CF295*CF265/1000000</f>
        <v>25.376003082395322</v>
      </c>
      <c r="CG298" s="70">
        <f>SUM(CE298:CF298)</f>
        <v>46.00320258414493</v>
      </c>
      <c r="CH298" s="70">
        <f>CH295*CH265/1000000</f>
        <v>18.91982499450944</v>
      </c>
      <c r="CI298" s="70">
        <f>CI295*CI265/1000000</f>
        <v>22.251880211653482</v>
      </c>
      <c r="CJ298" s="70">
        <f>SUM(CH298:CI298)</f>
        <v>41.171705206162926</v>
      </c>
      <c r="CK298" s="70">
        <f>CK295*CK265/1000000</f>
        <v>19.840079677355369</v>
      </c>
      <c r="CL298" s="70">
        <f>CL295*CL265/1000000</f>
        <v>21.943729649595134</v>
      </c>
      <c r="CM298" s="70">
        <f>SUM(CK298:CL298)</f>
        <v>41.783809326950504</v>
      </c>
      <c r="CN298" s="70">
        <f>CN295*CN265/1000000</f>
        <v>21.48630325142382</v>
      </c>
      <c r="CO298" s="70">
        <f>CO295*CO265/1000000</f>
        <v>23.283661859158453</v>
      </c>
      <c r="CP298" s="70">
        <f>SUM(CN298:CO298)</f>
        <v>44.769965110582277</v>
      </c>
      <c r="CQ298" s="70">
        <f>CQ295*CQ265/1000000</f>
        <v>24.311699081450438</v>
      </c>
      <c r="CR298" s="70">
        <f>CR295*CR265/1000000</f>
        <v>34.772860539608921</v>
      </c>
      <c r="CS298" s="70">
        <f>SUM(CQ298:CR298)</f>
        <v>59.084559621059356</v>
      </c>
      <c r="CT298" s="70">
        <f>CT295*CT265/1000000</f>
        <v>25.833102084488846</v>
      </c>
      <c r="CU298" s="70">
        <f>CU295*CU265/1000000</f>
        <v>28.475236042622278</v>
      </c>
      <c r="CV298" s="70">
        <f>SUM(CT298:CU298)</f>
        <v>54.308338127111128</v>
      </c>
      <c r="CW298" s="70">
        <f>CW295*CW265/1000000</f>
        <v>26.95310814380219</v>
      </c>
      <c r="CX298" s="70">
        <f>CX295*CX265/1000000</f>
        <v>33.954194467834618</v>
      </c>
      <c r="CY298" s="70">
        <f>SUM(CW298:CX298)</f>
        <v>60.907302611636808</v>
      </c>
      <c r="CZ298" s="70">
        <f>CZ295*CZ265/1000000</f>
        <v>25.208912773335204</v>
      </c>
      <c r="DA298" s="70">
        <f>DA295*DA265/1000000</f>
        <v>34.111961246764949</v>
      </c>
      <c r="DB298" s="70">
        <f>SUM(CZ298:DA298)</f>
        <v>59.320874020100149</v>
      </c>
      <c r="DC298" s="70">
        <f>DC295*DC265/1000000</f>
        <v>25.295176175801217</v>
      </c>
      <c r="DD298" s="70">
        <f>DD295*DD265/1000000</f>
        <v>30.833101358988213</v>
      </c>
      <c r="DE298" s="70">
        <f>SUM(DC298:DD298)</f>
        <v>56.128277534789433</v>
      </c>
      <c r="DF298" s="70">
        <f>DF295*DF265/1000000</f>
        <v>28.226770307979599</v>
      </c>
      <c r="DG298" s="70">
        <f>DG295*DG265/1000000</f>
        <v>27.092922341007604</v>
      </c>
      <c r="DH298" s="1070">
        <f>SUM(DF298:DG298)</f>
        <v>55.3196926489872</v>
      </c>
      <c r="DI298" s="70">
        <f>DI295*DI265/1000000</f>
        <v>28.019242150685301</v>
      </c>
      <c r="DJ298" s="70">
        <f>DJ295*DJ265/1000000</f>
        <v>33.114610934187105</v>
      </c>
      <c r="DK298" s="1070">
        <f>SUM(DI298:DJ298)</f>
        <v>61.133853084872406</v>
      </c>
      <c r="DL298" s="233">
        <f>DL295*DL265/1000000</f>
        <v>30.172545454339993</v>
      </c>
      <c r="DM298" s="233">
        <f>DM295*DM265/1000000</f>
        <v>31.33975582696316</v>
      </c>
      <c r="DN298" s="1070">
        <f>SUM(DL298:DM298)</f>
        <v>61.512301281303152</v>
      </c>
      <c r="DO298" s="233">
        <f>DO295*DO265/1000000</f>
        <v>32.975283580640543</v>
      </c>
      <c r="DP298" s="233">
        <f>DP295*DP265/1000000</f>
        <v>42.191495512310688</v>
      </c>
      <c r="DQ298" s="1070">
        <f>SUM(DO298:DP298)</f>
        <v>75.166779092951231</v>
      </c>
      <c r="DR298" s="233">
        <f>DR295*DR265/1000000</f>
        <v>37.462862344640428</v>
      </c>
      <c r="DS298" s="233">
        <f>DS295*DS265/1000000</f>
        <v>39.898063213452616</v>
      </c>
      <c r="DT298" s="1070">
        <f>SUM(DR298:DS298)</f>
        <v>77.360925558093044</v>
      </c>
      <c r="DU298" s="233">
        <f>DU295*DU265/1000000</f>
        <v>37.131312379008889</v>
      </c>
      <c r="DV298" s="233">
        <f>DV295*DV265/1000000</f>
        <v>43.201289939608117</v>
      </c>
      <c r="DW298" s="1070">
        <f>SUM(DU298:DV298)</f>
        <v>80.332602318617006</v>
      </c>
      <c r="DX298" s="233">
        <f>DX295*DX265/1000000</f>
        <v>35.837065312252463</v>
      </c>
      <c r="DY298" s="233">
        <f>DY295*DY265/1000000</f>
        <v>48.668487666448186</v>
      </c>
      <c r="DZ298" s="1070">
        <f>SUM(DX298:DY298)</f>
        <v>84.505552978700649</v>
      </c>
      <c r="EA298" s="233">
        <f>EA295*EA265/1000000</f>
        <v>44.080271375625699</v>
      </c>
      <c r="EB298" s="233">
        <f>EB295*EB265/1000000</f>
        <v>49.992270530975581</v>
      </c>
      <c r="EC298" s="1070">
        <f>SUM(EA298:EB298)</f>
        <v>94.072541906601288</v>
      </c>
      <c r="ED298" s="233">
        <f>ED295*ED265/1000000</f>
        <v>46.125595967454721</v>
      </c>
      <c r="EE298" s="233">
        <f>EE295*EE265/1000000</f>
        <v>52.311911883612844</v>
      </c>
      <c r="EF298" s="1070">
        <f>SUM(ED298:EE298)</f>
        <v>98.437507851067565</v>
      </c>
      <c r="EG298" s="233">
        <f>EG295*EG265/1000000</f>
        <v>48.265823620344626</v>
      </c>
      <c r="EH298" s="233">
        <f>EH295*EH265/1000000</f>
        <v>54.739184595012482</v>
      </c>
      <c r="EI298" s="1070">
        <f>SUM(EG298:EH298)</f>
        <v>103.00500821535711</v>
      </c>
      <c r="EJ298" s="233">
        <f>EJ295*EJ265/1000000</f>
        <v>50.505357836328621</v>
      </c>
      <c r="EK298" s="233">
        <f>EK295*EK265/1000000</f>
        <v>57.279082760221058</v>
      </c>
      <c r="EL298" s="1070">
        <f>SUM(EJ298:EK298)</f>
        <v>107.78444059654967</v>
      </c>
      <c r="EM298" s="233">
        <f>EM295*EM265/1000000</f>
        <v>52.848806439934258</v>
      </c>
      <c r="EN298" s="233">
        <f>EN295*EN265/1000000</f>
        <v>59.936832200295321</v>
      </c>
      <c r="EO298" s="1070">
        <f>SUM(EM298:EN298)</f>
        <v>112.78563864022958</v>
      </c>
      <c r="EP298" s="233">
        <f>EP295*EP265/1000000</f>
        <v>55.300991058747215</v>
      </c>
      <c r="EQ298" s="233">
        <f>EQ295*EQ265/1000000</f>
        <v>62.71790121438903</v>
      </c>
      <c r="ER298" s="1070">
        <f>SUM(EP298:EQ298)</f>
        <v>118.01889227313625</v>
      </c>
      <c r="ES298" s="233">
        <f>ES295*ES265/1000000</f>
        <v>57.866957043873093</v>
      </c>
      <c r="ET298" s="233">
        <f>ET295*ET265/1000000</f>
        <v>65.628011830736682</v>
      </c>
      <c r="EU298" s="1070">
        <f>SUM(ES298:ET298)</f>
        <v>123.49496887460978</v>
      </c>
      <c r="EV298" s="233">
        <f>EV295*EV265/1000000</f>
        <v>60.551983850708815</v>
      </c>
      <c r="EW298" s="233">
        <f>EW295*EW265/1000000</f>
        <v>68.673151579682866</v>
      </c>
      <c r="EX298" s="1070">
        <f>SUM(EV298:EW298)</f>
        <v>129.22513543039167</v>
      </c>
      <c r="EY298" s="233">
        <f>EY295*EY265/1000000</f>
        <v>63.361595901381712</v>
      </c>
      <c r="EZ298" s="233">
        <f>EZ295*EZ265/1000000</f>
        <v>71.859585812980157</v>
      </c>
      <c r="FA298" s="1070">
        <f>SUM(EY298:EZ298)</f>
        <v>135.22118171436188</v>
      </c>
      <c r="FH298" s="35"/>
      <c r="FI298" s="35"/>
      <c r="FJ298" s="35"/>
      <c r="FK298" s="35"/>
      <c r="FL298" s="35"/>
      <c r="FM298" s="35"/>
      <c r="FN298" s="35"/>
      <c r="FO298" s="35"/>
      <c r="FP298" s="35"/>
      <c r="FQ298" s="35"/>
    </row>
    <row r="299" spans="1:173" s="321" customFormat="1" outlineLevel="1">
      <c r="A299" s="1168"/>
      <c r="B299" s="186"/>
      <c r="C299" s="35"/>
      <c r="D299" s="910" t="s">
        <v>604</v>
      </c>
      <c r="E299" s="190"/>
      <c r="F299" s="190"/>
      <c r="G299" s="190"/>
      <c r="H299" s="190"/>
      <c r="I299" s="190"/>
      <c r="J299" s="190"/>
      <c r="K299" s="190"/>
      <c r="L299" s="190"/>
      <c r="M299" s="190"/>
      <c r="N299" s="190"/>
      <c r="O299" s="190"/>
      <c r="P299" s="190"/>
      <c r="Q299" s="190"/>
      <c r="R299" s="190"/>
      <c r="S299" s="190"/>
      <c r="T299" s="190"/>
      <c r="U299" s="190"/>
      <c r="V299" s="190"/>
      <c r="W299" s="190"/>
      <c r="X299" s="190"/>
      <c r="Y299" s="190"/>
      <c r="Z299" s="190"/>
      <c r="AA299" s="190"/>
      <c r="AB299" s="190"/>
      <c r="AC299" s="190"/>
      <c r="AD299" s="190"/>
      <c r="AE299" s="190"/>
      <c r="AF299" s="190"/>
      <c r="AG299" s="190"/>
      <c r="AH299" s="190"/>
      <c r="AI299" s="190"/>
      <c r="AJ299" s="190"/>
      <c r="AK299" s="190"/>
      <c r="AL299" s="190"/>
      <c r="AM299" s="190"/>
      <c r="AN299" s="190"/>
      <c r="AO299" s="190"/>
      <c r="AP299" s="190"/>
      <c r="AQ299" s="190"/>
      <c r="AR299" s="190"/>
      <c r="AS299" s="190"/>
      <c r="AT299" s="190"/>
      <c r="AU299" s="190"/>
      <c r="AV299" s="190"/>
      <c r="AW299" s="190"/>
      <c r="AX299" s="190"/>
      <c r="AY299" s="190"/>
      <c r="AZ299" s="190"/>
      <c r="BA299" s="190"/>
      <c r="BB299" s="190"/>
      <c r="BC299" s="973"/>
      <c r="BD299" s="190"/>
      <c r="BE299" s="35"/>
      <c r="BF299" s="31"/>
      <c r="BG299" s="35"/>
      <c r="BH299" s="35"/>
      <c r="BI299" s="973"/>
      <c r="BJ299" s="190"/>
      <c r="BK299" s="190"/>
      <c r="BL299" s="973"/>
      <c r="BM299" s="70">
        <f>BM298/BM78</f>
        <v>7.5067417223880044</v>
      </c>
      <c r="BN299" s="70">
        <f>BN298/BN78</f>
        <v>9.4623268454765501</v>
      </c>
      <c r="BO299" s="1024">
        <f>SUM(BM299:BN299)</f>
        <v>16.969068567864554</v>
      </c>
      <c r="BP299" s="70">
        <f>BP298/BP78</f>
        <v>9.533561987432762</v>
      </c>
      <c r="BQ299" s="70">
        <f>BQ298/BQ78</f>
        <v>10.408559530024208</v>
      </c>
      <c r="BR299" s="1024">
        <f>SUM(BP299:BQ299)</f>
        <v>19.942121517456968</v>
      </c>
      <c r="BS299" s="70">
        <f>BS298/BS78</f>
        <v>18.521540023997076</v>
      </c>
      <c r="BT299" s="70">
        <f>BT298/BT78</f>
        <v>19.655075062218703</v>
      </c>
      <c r="BU299" s="70">
        <f>SUM(BS299:BT299)</f>
        <v>38.176615086215776</v>
      </c>
      <c r="BV299" s="70">
        <f>BV298/BV78</f>
        <v>22.859966199869461</v>
      </c>
      <c r="BW299" s="70">
        <f>BW298/BW78</f>
        <v>23.760090638458966</v>
      </c>
      <c r="BX299" s="70">
        <f>SUM(BV299:BW299)</f>
        <v>46.620056838328424</v>
      </c>
      <c r="BY299" s="70">
        <f>BY298/BY78</f>
        <v>28.932835333246771</v>
      </c>
      <c r="BZ299" s="70">
        <f>BZ298/BZ78</f>
        <v>22.780487762333191</v>
      </c>
      <c r="CA299" s="70">
        <f>SUM(BY299:BZ299)</f>
        <v>51.713323095579966</v>
      </c>
      <c r="CB299" s="70">
        <f>CB298/CB78</f>
        <v>26.928915331947234</v>
      </c>
      <c r="CC299" s="70">
        <f>CC298/CC78</f>
        <v>29.010472228356608</v>
      </c>
      <c r="CD299" s="70">
        <f>SUM(CB299:CC299)</f>
        <v>55.939387560303842</v>
      </c>
      <c r="CE299" s="70">
        <f>CE298/CE78</f>
        <v>29.004557887456752</v>
      </c>
      <c r="CF299" s="70">
        <f>CF298/CF78</f>
        <v>34.260070646739287</v>
      </c>
      <c r="CG299" s="70">
        <f>SUM(CE299:CF299)</f>
        <v>63.264628534196035</v>
      </c>
      <c r="CH299" s="70">
        <f>CH298/CH78</f>
        <v>25.567331073661407</v>
      </c>
      <c r="CI299" s="70">
        <f>CI298/CI78</f>
        <v>27.81485026456685</v>
      </c>
      <c r="CJ299" s="70">
        <f>SUM(CH299:CI299)</f>
        <v>53.382181338228257</v>
      </c>
      <c r="CK299" s="70">
        <f>CK298/CK78</f>
        <v>24.730972539579799</v>
      </c>
      <c r="CL299" s="70">
        <f>CL298/CL78</f>
        <v>28.077380728788967</v>
      </c>
      <c r="CM299" s="70">
        <f>SUM(CK299:CL299)</f>
        <v>52.808353268368762</v>
      </c>
      <c r="CN299" s="70">
        <f>CN298/CN78</f>
        <v>32.069109330483315</v>
      </c>
      <c r="CO299" s="70">
        <f>CO298/CO78</f>
        <v>34.883024711924833</v>
      </c>
      <c r="CP299" s="70">
        <f>SUM(CN299:CO299)</f>
        <v>66.952134042408147</v>
      </c>
      <c r="CQ299" s="70">
        <f>CQ298/CQ78</f>
        <v>35.234346494855707</v>
      </c>
      <c r="CR299" s="70">
        <f>CR298/CR78</f>
        <v>51.899791850162565</v>
      </c>
      <c r="CS299" s="70">
        <f>SUM(CQ299:CR299)</f>
        <v>87.134138345018272</v>
      </c>
      <c r="CT299" s="70">
        <f>CT298/CT78</f>
        <v>39.424301485910924</v>
      </c>
      <c r="CU299" s="70">
        <f>CU298/CU78</f>
        <v>43.300795597385118</v>
      </c>
      <c r="CV299" s="70">
        <f>SUM(CT299:CU299)</f>
        <v>82.725097083296049</v>
      </c>
      <c r="CW299" s="70">
        <f>CW298/CW78</f>
        <v>39.225208763407082</v>
      </c>
      <c r="CX299" s="70">
        <f>CX298/CX78</f>
        <v>48.726385285737472</v>
      </c>
      <c r="CY299" s="70">
        <f>SUM(CW299:CX299)</f>
        <v>87.951594049144546</v>
      </c>
      <c r="CZ299" s="70">
        <f>CZ298/CZ78</f>
        <v>38.010031808047657</v>
      </c>
      <c r="DA299" s="70">
        <f>DA298/DA78</f>
        <v>53.569238317868098</v>
      </c>
      <c r="DB299" s="70">
        <f>SUM(CZ299:DA299)</f>
        <v>91.579270125915755</v>
      </c>
      <c r="DC299" s="70">
        <f>DC298/DC78</f>
        <v>40.230576577206094</v>
      </c>
      <c r="DD299" s="70">
        <f>DD298/DD78</f>
        <v>48.743131291251963</v>
      </c>
      <c r="DE299" s="70">
        <f>SUM(DC299:DD299)</f>
        <v>88.973707868458064</v>
      </c>
      <c r="DF299" s="70">
        <f>DF298/DF78</f>
        <v>45.342072484223024</v>
      </c>
      <c r="DG299" s="70">
        <f>DG298/DG78</f>
        <v>45.154870568346006</v>
      </c>
      <c r="DH299" s="1070">
        <f>SUM(DF299:DG299)</f>
        <v>90.496943052569037</v>
      </c>
      <c r="DI299" s="70">
        <f>DI298/DI78</f>
        <v>45.742363437800577</v>
      </c>
      <c r="DJ299" s="70">
        <f>DJ298/DJ78</f>
        <v>52.809991729851916</v>
      </c>
      <c r="DK299" s="1070">
        <f>SUM(DI299:DJ299)</f>
        <v>98.552355167652493</v>
      </c>
      <c r="DL299" s="233">
        <f>DL298/DL78</f>
        <v>47.144602272406239</v>
      </c>
      <c r="DM299" s="233">
        <f>DM298/DM78</f>
        <v>48.739900197454368</v>
      </c>
      <c r="DN299" s="1070">
        <f>SUM(DL299:DM299)</f>
        <v>95.884502469860607</v>
      </c>
      <c r="DO299" s="233">
        <f>DO298/DO78</f>
        <v>49.912735928170171</v>
      </c>
      <c r="DP299" s="233">
        <f>DP298/DP78</f>
        <v>67.501557025211468</v>
      </c>
      <c r="DQ299" s="1070">
        <f>SUM(DO299:DP299)</f>
        <v>117.41429295338165</v>
      </c>
      <c r="DR299" s="233">
        <f>DR298/DR78</f>
        <v>62.07109499049799</v>
      </c>
      <c r="DS299" s="233">
        <f>DS298/DS78</f>
        <v>65.476650591044702</v>
      </c>
      <c r="DT299" s="1070">
        <f>SUM(DR299:DS299)</f>
        <v>127.5477455815427</v>
      </c>
      <c r="DU299" s="233">
        <f>DU298/DU78</f>
        <v>60.816395761571158</v>
      </c>
      <c r="DV299" s="233">
        <f>DV298/DV78</f>
        <v>74.484982654496761</v>
      </c>
      <c r="DW299" s="1070">
        <f>SUM(DU299:DV299)</f>
        <v>135.30137841606791</v>
      </c>
      <c r="DX299" s="233">
        <f>DX298/DX78</f>
        <v>63.773540763347391</v>
      </c>
      <c r="DY299" s="233">
        <f>DY298/DY78</f>
        <v>81.114146110746987</v>
      </c>
      <c r="DZ299" s="1070">
        <f>SUM(DX299:DY299)</f>
        <v>144.88768687409438</v>
      </c>
      <c r="EA299" s="233">
        <f>EA298/EA78</f>
        <v>73.467118959376165</v>
      </c>
      <c r="EB299" s="233">
        <f>EB298/EB78</f>
        <v>83.3204508849593</v>
      </c>
      <c r="EC299" s="1070">
        <f>SUM(EA299:EB299)</f>
        <v>156.78756984433545</v>
      </c>
      <c r="ED299" s="233">
        <f>ED298/ED78</f>
        <v>76.875993279091205</v>
      </c>
      <c r="EE299" s="233">
        <f>EE298/EE78</f>
        <v>87.186519806021408</v>
      </c>
      <c r="EF299" s="1070">
        <f>SUM(ED299:EE299)</f>
        <v>164.06251308511261</v>
      </c>
      <c r="EG299" s="233">
        <f>EG298/EG78</f>
        <v>80.443039367241042</v>
      </c>
      <c r="EH299" s="233">
        <f>EH298/EH78</f>
        <v>91.231974325020801</v>
      </c>
      <c r="EI299" s="1070">
        <f>SUM(EG299:EH299)</f>
        <v>171.67501369226184</v>
      </c>
      <c r="EJ299" s="233">
        <f>EJ298/EJ78</f>
        <v>84.175596393881037</v>
      </c>
      <c r="EK299" s="233">
        <f>EK298/EK78</f>
        <v>95.465137933701769</v>
      </c>
      <c r="EL299" s="1070">
        <f>SUM(EJ299:EK299)</f>
        <v>179.64073432758281</v>
      </c>
      <c r="EM299" s="233">
        <f>EM298/EM78</f>
        <v>88.081344066557094</v>
      </c>
      <c r="EN299" s="233">
        <f>EN298/EN78</f>
        <v>99.894720333825532</v>
      </c>
      <c r="EO299" s="1070">
        <f>SUM(EM299:EN299)</f>
        <v>187.97606440038263</v>
      </c>
      <c r="EP299" s="233">
        <f>EP298/EP78</f>
        <v>92.168318431245368</v>
      </c>
      <c r="EQ299" s="233">
        <f>EQ298/EQ78</f>
        <v>104.52983535731505</v>
      </c>
      <c r="ER299" s="1070">
        <f>SUM(EP299:EQ299)</f>
        <v>196.69815378856043</v>
      </c>
      <c r="ES299" s="233">
        <f>ES298/ES78</f>
        <v>96.444928406455162</v>
      </c>
      <c r="ET299" s="233">
        <f>ET298/ET78</f>
        <v>109.38001971789447</v>
      </c>
      <c r="EU299" s="1070">
        <f>SUM(ES299:ET299)</f>
        <v>205.82494812434965</v>
      </c>
      <c r="EV299" s="233">
        <f>EV298/EV78</f>
        <v>100.91997308451469</v>
      </c>
      <c r="EW299" s="233">
        <f>EW298/EW78</f>
        <v>114.45525263280479</v>
      </c>
      <c r="EX299" s="1070">
        <f>SUM(EV299:EW299)</f>
        <v>215.37522571731949</v>
      </c>
      <c r="EY299" s="233">
        <f>EY298/EY78</f>
        <v>105.60265983563619</v>
      </c>
      <c r="EZ299" s="233">
        <f>EZ298/EZ78</f>
        <v>119.76597635496694</v>
      </c>
      <c r="FA299" s="1070">
        <f>SUM(EY299:EZ299)</f>
        <v>225.36863619060313</v>
      </c>
      <c r="FH299" s="35"/>
      <c r="FI299" s="35"/>
      <c r="FJ299" s="35"/>
      <c r="FK299" s="35"/>
      <c r="FL299" s="35"/>
      <c r="FM299" s="35"/>
      <c r="FN299" s="35"/>
      <c r="FO299" s="35"/>
      <c r="FP299" s="35"/>
      <c r="FQ299" s="35"/>
    </row>
    <row r="300" spans="1:173" s="321" customFormat="1" outlineLevel="1">
      <c r="A300" s="1168"/>
      <c r="B300" s="186" t="s">
        <v>486</v>
      </c>
      <c r="C300" s="35"/>
      <c r="D300" s="910" t="s">
        <v>696</v>
      </c>
      <c r="E300" s="190"/>
      <c r="F300" s="190"/>
      <c r="G300" s="190"/>
      <c r="H300" s="190"/>
      <c r="I300" s="190"/>
      <c r="J300" s="190"/>
      <c r="K300" s="190"/>
      <c r="L300" s="190"/>
      <c r="M300" s="190"/>
      <c r="N300" s="190"/>
      <c r="O300" s="190"/>
      <c r="P300" s="190"/>
      <c r="Q300" s="190"/>
      <c r="R300" s="190"/>
      <c r="S300" s="190"/>
      <c r="T300" s="190"/>
      <c r="U300" s="190"/>
      <c r="V300" s="190"/>
      <c r="W300" s="190"/>
      <c r="X300" s="190"/>
      <c r="Y300" s="190"/>
      <c r="Z300" s="190"/>
      <c r="AA300" s="190"/>
      <c r="AB300" s="190"/>
      <c r="AC300" s="190"/>
      <c r="AD300" s="190"/>
      <c r="AE300" s="190"/>
      <c r="AF300" s="190"/>
      <c r="AG300" s="190"/>
      <c r="AH300" s="190"/>
      <c r="AI300" s="190"/>
      <c r="AJ300" s="190"/>
      <c r="AK300" s="190"/>
      <c r="AL300" s="190"/>
      <c r="AM300" s="190"/>
      <c r="AN300" s="190"/>
      <c r="AO300" s="190"/>
      <c r="AP300" s="190"/>
      <c r="AQ300" s="190"/>
      <c r="AR300" s="190"/>
      <c r="AS300" s="190"/>
      <c r="AT300" s="190"/>
      <c r="AU300" s="190"/>
      <c r="AV300" s="190"/>
      <c r="AW300" s="190"/>
      <c r="AX300" s="190"/>
      <c r="AY300" s="190"/>
      <c r="AZ300" s="190"/>
      <c r="BA300" s="190"/>
      <c r="BB300" s="190"/>
      <c r="BC300" s="973"/>
      <c r="BD300" s="190"/>
      <c r="BE300" s="35"/>
      <c r="BF300" s="31"/>
      <c r="BG300" s="439"/>
      <c r="BH300" s="83"/>
      <c r="BI300" s="973"/>
      <c r="BJ300" s="190"/>
      <c r="BK300" s="190"/>
      <c r="BL300" s="973"/>
      <c r="BM300" s="70">
        <f>BM270-BM298</f>
        <v>29.148420817288233</v>
      </c>
      <c r="BN300" s="70">
        <f>BN270-BN298</f>
        <v>29.803438283544644</v>
      </c>
      <c r="BO300" s="1024">
        <f>SUM(BN300,BM300)</f>
        <v>58.951859100832877</v>
      </c>
      <c r="BP300" s="70">
        <f>BP270-BP298</f>
        <v>34.809778408346183</v>
      </c>
      <c r="BQ300" s="70">
        <f>BQ270-BQ298</f>
        <v>38.911322211195554</v>
      </c>
      <c r="BR300" s="1024">
        <f>SUM(BQ300,BP300)</f>
        <v>73.721100619541744</v>
      </c>
      <c r="BS300" s="70">
        <f>BS270-BS298</f>
        <v>34.355274115017444</v>
      </c>
      <c r="BT300" s="70">
        <f>BT270-BT298</f>
        <v>31.913851965788108</v>
      </c>
      <c r="BU300" s="70">
        <f>SUM(BT300,BS300)</f>
        <v>66.269126080805549</v>
      </c>
      <c r="BV300" s="70">
        <f>BV270-BV298</f>
        <v>40.870887301861906</v>
      </c>
      <c r="BW300" s="70">
        <f>BW270-BW298</f>
        <v>42.717182573421383</v>
      </c>
      <c r="BX300" s="70">
        <f>SUM(BW300,BV300)</f>
        <v>83.588069875283281</v>
      </c>
      <c r="BY300" s="70">
        <f>BY270-BY298</f>
        <v>45.371199143044876</v>
      </c>
      <c r="BZ300" s="70">
        <f>BZ270-BZ298</f>
        <v>66.582218896485898</v>
      </c>
      <c r="CA300" s="70">
        <f>SUM(BZ300,BY300)</f>
        <v>111.95341803953077</v>
      </c>
      <c r="CB300" s="70">
        <f>CB270-CB298</f>
        <v>52.187933051534628</v>
      </c>
      <c r="CC300" s="70">
        <f>CC270-CC298</f>
        <v>61.333496935795111</v>
      </c>
      <c r="CD300" s="70">
        <f>SUM(CC300,CB300)</f>
        <v>113.52142998732974</v>
      </c>
      <c r="CE300" s="70">
        <f>CE270-CE298</f>
        <v>50.718737578399043</v>
      </c>
      <c r="CF300" s="70">
        <f>CF270-CF298</f>
        <v>58.117149262974998</v>
      </c>
      <c r="CG300" s="70">
        <f>SUM(CF300,CE300)</f>
        <v>108.83588684137405</v>
      </c>
      <c r="CH300" s="70">
        <f>CH270-CH298</f>
        <v>49.132605063006835</v>
      </c>
      <c r="CI300" s="70">
        <f>CI270-CI298</f>
        <v>58.661688155071673</v>
      </c>
      <c r="CJ300" s="70">
        <f>SUM(CI300,CH300)</f>
        <v>107.79429321807851</v>
      </c>
      <c r="CK300" s="70">
        <f>CK270-CK298</f>
        <v>58.837457947956999</v>
      </c>
      <c r="CL300" s="70">
        <f>CL270-CL298</f>
        <v>54.992815461552929</v>
      </c>
      <c r="CM300" s="70">
        <f>SUM(CL300,CK300)</f>
        <v>113.83027340950993</v>
      </c>
      <c r="CN300" s="70">
        <f>CN270-CN298</f>
        <v>58.651028101431038</v>
      </c>
      <c r="CO300" s="70">
        <f>CO270-CO298</f>
        <v>69.409223021309415</v>
      </c>
      <c r="CP300" s="70">
        <f>SUM(CO300,CN300)</f>
        <v>128.06025112274045</v>
      </c>
      <c r="CQ300" s="70">
        <f>CQ270-CQ298</f>
        <v>80.772502410504003</v>
      </c>
      <c r="CR300" s="70">
        <f>CR270-CR298</f>
        <v>75.366702207508382</v>
      </c>
      <c r="CS300" s="70">
        <f>SUM(CR300,CQ300)</f>
        <v>156.1392046180124</v>
      </c>
      <c r="CT300" s="70">
        <f>CT270-CT298</f>
        <v>61.604466217096359</v>
      </c>
      <c r="CU300" s="70">
        <f>CU270-CU298</f>
        <v>49.230282470685445</v>
      </c>
      <c r="CV300" s="70">
        <f>SUM(CU300,CT300)</f>
        <v>110.8347486877818</v>
      </c>
      <c r="CW300" s="70">
        <f>CW270-CW298</f>
        <v>54.801018218179983</v>
      </c>
      <c r="CX300" s="70">
        <f>CX270-CX298</f>
        <v>38.614989271743461</v>
      </c>
      <c r="CY300" s="70">
        <f>SUM(CX300,CW300)</f>
        <v>93.416007489923444</v>
      </c>
      <c r="CZ300" s="70">
        <f>CZ270-CZ298</f>
        <v>56.471521415151201</v>
      </c>
      <c r="DA300" s="70">
        <f>DA270-DA298</f>
        <v>41.51460971978139</v>
      </c>
      <c r="DB300" s="70">
        <f>SUM(DA300,CZ300)</f>
        <v>97.986131134932592</v>
      </c>
      <c r="DC300" s="70">
        <f>DC270-DC298</f>
        <v>55.396136843476015</v>
      </c>
      <c r="DD300" s="70">
        <f>DD270-DD298</f>
        <v>42.917930647587795</v>
      </c>
      <c r="DE300" s="70">
        <f>SUM(DD300,DC300)</f>
        <v>98.31406749106381</v>
      </c>
      <c r="DF300" s="70">
        <f>DF270-DF298</f>
        <v>62.442023566131262</v>
      </c>
      <c r="DG300" s="70">
        <f>DG270-DG298</f>
        <v>31.041328638175923</v>
      </c>
      <c r="DH300" s="1070">
        <f>SUM(DG300,DF300)</f>
        <v>93.483352204307181</v>
      </c>
      <c r="DI300" s="70">
        <f>DI270-DI298</f>
        <v>61.072464787925341</v>
      </c>
      <c r="DJ300" s="70">
        <f>DJ270-DJ298</f>
        <v>70.769975371315923</v>
      </c>
      <c r="DK300" s="1070">
        <f>SUM(DJ300,DI300)</f>
        <v>131.84244015924128</v>
      </c>
      <c r="DL300" s="233">
        <f>DL270-DL298</f>
        <v>72.91645344177185</v>
      </c>
      <c r="DM300" s="233">
        <f>DM270-DM298</f>
        <v>77.068899573860307</v>
      </c>
      <c r="DN300" s="1070">
        <f>SUM(DM300,DL300)</f>
        <v>149.98535301563214</v>
      </c>
      <c r="DO300" s="233">
        <f>DO270-DO298</f>
        <v>75.941793410253979</v>
      </c>
      <c r="DP300" s="233">
        <f>DP270-DP298</f>
        <v>85.98818334537367</v>
      </c>
      <c r="DQ300" s="1070">
        <f>SUM(DP300,DO300)</f>
        <v>161.92997675562765</v>
      </c>
      <c r="DR300" s="233">
        <f>DR270-DR298</f>
        <v>86.453722151634395</v>
      </c>
      <c r="DS300" s="233">
        <f>DS270-DS298</f>
        <v>102.61335503715253</v>
      </c>
      <c r="DT300" s="1070">
        <f>SUM(DS300,DR300)</f>
        <v>189.06707718878693</v>
      </c>
      <c r="DU300" s="233">
        <f>DU270-DU298</f>
        <v>99.061120567975436</v>
      </c>
      <c r="DV300" s="233">
        <f>DV270-DV298</f>
        <v>113.44035522440238</v>
      </c>
      <c r="DW300" s="1070">
        <f>SUM(DV300,DU300)</f>
        <v>212.50147579237782</v>
      </c>
      <c r="DX300" s="233">
        <f>DX270-DX298</f>
        <v>92.75545660941475</v>
      </c>
      <c r="DY300" s="233">
        <f>DY270-DY298</f>
        <v>146.03707727241687</v>
      </c>
      <c r="DZ300" s="1070">
        <f>SUM(DY300,DX300)</f>
        <v>238.79253388183162</v>
      </c>
      <c r="EA300" s="233">
        <f>EA270-EA298</f>
        <v>125.66185756097502</v>
      </c>
      <c r="EB300" s="233">
        <f>EB270-EB298</f>
        <v>158.34268395361005</v>
      </c>
      <c r="EC300" s="1070">
        <f>SUM(EB300,EA300)</f>
        <v>284.00454151458507</v>
      </c>
      <c r="ED300" s="233">
        <f>ED270-ED298</f>
        <v>138.89332457344005</v>
      </c>
      <c r="EE300" s="233">
        <f>EE270-EE298</f>
        <v>174.77318850458548</v>
      </c>
      <c r="EF300" s="1070">
        <f>SUM(EE300,ED300)</f>
        <v>313.66651307802556</v>
      </c>
      <c r="EG300" s="233">
        <f>EG270-EG298</f>
        <v>153.40479976923069</v>
      </c>
      <c r="EH300" s="233">
        <f>EH270-EH298</f>
        <v>192.78357482812373</v>
      </c>
      <c r="EI300" s="1070">
        <f>SUM(EH300,EG300)</f>
        <v>346.18837459735443</v>
      </c>
      <c r="EJ300" s="233">
        <f>EJ270-EJ298</f>
        <v>169.31562165830852</v>
      </c>
      <c r="EK300" s="233">
        <f>EK270-EK298</f>
        <v>212.52072501099741</v>
      </c>
      <c r="EL300" s="1070">
        <f>SUM(EK300,EJ300)</f>
        <v>381.83634666930595</v>
      </c>
      <c r="EM300" s="233">
        <f>EM270-EM298</f>
        <v>186.75606120922023</v>
      </c>
      <c r="EN300" s="233">
        <f>EN270-EN298</f>
        <v>234.14495827033284</v>
      </c>
      <c r="EO300" s="1070">
        <f>SUM(EN300,EM300)</f>
        <v>420.90101947955304</v>
      </c>
      <c r="EP300" s="233">
        <f>EP270-EP298</f>
        <v>205.86831467883121</v>
      </c>
      <c r="EQ300" s="233">
        <f>EQ270-EQ298</f>
        <v>257.83125039859573</v>
      </c>
      <c r="ER300" s="1070">
        <f>SUM(EQ300,EP300)</f>
        <v>463.69956507742694</v>
      </c>
      <c r="ES300" s="233">
        <f>ES270-ES298</f>
        <v>226.80758621008741</v>
      </c>
      <c r="ET300" s="233">
        <f>ET270-ET298</f>
        <v>283.77056342741673</v>
      </c>
      <c r="EU300" s="1070">
        <f>SUM(ET300,ES300)</f>
        <v>510.57814963750411</v>
      </c>
      <c r="EV300" s="233">
        <f>EV270-EV298</f>
        <v>249.7432682961082</v>
      </c>
      <c r="EW300" s="233">
        <f>EW270-EW298</f>
        <v>312.1712954517044</v>
      </c>
      <c r="EX300" s="1070">
        <f>SUM(EW300,EV300)</f>
        <v>561.91456374781262</v>
      </c>
      <c r="EY300" s="233">
        <f>EY270-EY298</f>
        <v>274.8602289386489</v>
      </c>
      <c r="EZ300" s="233">
        <f>EZ270-EZ298</f>
        <v>343.26086145123202</v>
      </c>
      <c r="FA300" s="1070">
        <f>SUM(EZ300,EY300)</f>
        <v>618.12109038988092</v>
      </c>
      <c r="FH300" s="35"/>
      <c r="FI300" s="35"/>
      <c r="FJ300" s="35"/>
      <c r="FK300" s="35"/>
      <c r="FL300" s="35"/>
      <c r="FM300" s="35"/>
      <c r="FN300" s="35"/>
      <c r="FO300" s="35"/>
      <c r="FP300" s="35"/>
      <c r="FQ300" s="35"/>
    </row>
    <row r="301" spans="1:173" s="321" customFormat="1" outlineLevel="1">
      <c r="A301" s="1168"/>
      <c r="B301" s="186" t="s">
        <v>486</v>
      </c>
      <c r="C301" s="35"/>
      <c r="D301" s="910" t="s">
        <v>604</v>
      </c>
      <c r="E301" s="190"/>
      <c r="F301" s="190"/>
      <c r="G301" s="190"/>
      <c r="H301" s="190"/>
      <c r="I301" s="190"/>
      <c r="J301" s="190"/>
      <c r="K301" s="190"/>
      <c r="L301" s="190"/>
      <c r="M301" s="190"/>
      <c r="N301" s="190"/>
      <c r="O301" s="190"/>
      <c r="P301" s="190"/>
      <c r="Q301" s="190"/>
      <c r="R301" s="190"/>
      <c r="S301" s="190"/>
      <c r="T301" s="190"/>
      <c r="U301" s="190"/>
      <c r="V301" s="190"/>
      <c r="W301" s="190"/>
      <c r="X301" s="190"/>
      <c r="Y301" s="190"/>
      <c r="Z301" s="190"/>
      <c r="AA301" s="190"/>
      <c r="AB301" s="190"/>
      <c r="AC301" s="190"/>
      <c r="AD301" s="190"/>
      <c r="AE301" s="190"/>
      <c r="AF301" s="190"/>
      <c r="AG301" s="190"/>
      <c r="AH301" s="190"/>
      <c r="AI301" s="190"/>
      <c r="AJ301" s="190"/>
      <c r="AK301" s="190"/>
      <c r="AL301" s="190"/>
      <c r="AM301" s="190"/>
      <c r="AN301" s="190"/>
      <c r="AO301" s="190"/>
      <c r="AP301" s="190"/>
      <c r="AQ301" s="190"/>
      <c r="AR301" s="190"/>
      <c r="AS301" s="190"/>
      <c r="AT301" s="190"/>
      <c r="AU301" s="190"/>
      <c r="AV301" s="190"/>
      <c r="AW301" s="190"/>
      <c r="AX301" s="190"/>
      <c r="AY301" s="190"/>
      <c r="AZ301" s="190"/>
      <c r="BA301" s="190"/>
      <c r="BB301" s="190"/>
      <c r="BC301" s="973"/>
      <c r="BD301" s="190"/>
      <c r="BE301" s="35"/>
      <c r="BF301" s="31"/>
      <c r="BG301" s="35"/>
      <c r="BH301" s="35"/>
      <c r="BI301" s="973"/>
      <c r="BJ301" s="190"/>
      <c r="BK301" s="190"/>
      <c r="BL301" s="973"/>
      <c r="BM301" s="70">
        <f>BM272-BM299</f>
        <v>51.819414786290189</v>
      </c>
      <c r="BN301" s="70">
        <f>BN272-BN299</f>
        <v>49.67239713924107</v>
      </c>
      <c r="BO301" s="1024">
        <f>SUM(BN301,BM301)</f>
        <v>101.49181192553127</v>
      </c>
      <c r="BP301" s="70">
        <f>BP272-BP299</f>
        <v>58.016297347243651</v>
      </c>
      <c r="BQ301" s="70">
        <f>BQ272-BQ299</f>
        <v>64.852203685325932</v>
      </c>
      <c r="BR301" s="1024">
        <f>SUM(BQ301,BP301)</f>
        <v>122.86850103256958</v>
      </c>
      <c r="BS301" s="70">
        <f>BS272-BS299</f>
        <v>57.258790191695738</v>
      </c>
      <c r="BT301" s="70">
        <f>BT272-BT299</f>
        <v>53.189753276313525</v>
      </c>
      <c r="BU301" s="70">
        <f>SUM(BT301,BS301)</f>
        <v>110.44854346800926</v>
      </c>
      <c r="BV301" s="70">
        <f>BV272-BV299</f>
        <v>66.339150614134141</v>
      </c>
      <c r="BW301" s="70">
        <f>BW272-BW299</f>
        <v>70.841098795060347</v>
      </c>
      <c r="BX301" s="70">
        <f>SUM(BW301,BV301)</f>
        <v>137.18024940919449</v>
      </c>
      <c r="BY301" s="70">
        <f>BY272-BY299</f>
        <v>81.019998469722992</v>
      </c>
      <c r="BZ301" s="70">
        <f>BZ272-BZ299</f>
        <v>98.69754743053609</v>
      </c>
      <c r="CA301" s="70">
        <f>SUM(BZ301,BY301)</f>
        <v>179.7175459002591</v>
      </c>
      <c r="CB301" s="70">
        <f>CB272-CB299</f>
        <v>87.085116268048267</v>
      </c>
      <c r="CC301" s="70">
        <f>CC272-CC299</f>
        <v>90.917152105016001</v>
      </c>
      <c r="CD301" s="70">
        <f>SUM(CC301,CB301)</f>
        <v>178.00226837306428</v>
      </c>
      <c r="CE301" s="70">
        <f>CE272-CE299</f>
        <v>71.317221707514179</v>
      </c>
      <c r="CF301" s="70">
        <f>CF272-CF299</f>
        <v>78.463800349943426</v>
      </c>
      <c r="CG301" s="70">
        <f>SUM(CF301,CE301)</f>
        <v>149.78102205745762</v>
      </c>
      <c r="CH301" s="70">
        <f>CH272-CH299</f>
        <v>66.395412247306538</v>
      </c>
      <c r="CI301" s="70">
        <f>CI272-CI299</f>
        <v>73.327110193839587</v>
      </c>
      <c r="CJ301" s="70">
        <f>SUM(CI301,CH301)</f>
        <v>139.72252244114611</v>
      </c>
      <c r="CK301" s="70">
        <f>CK272-CK299</f>
        <v>73.341820218111536</v>
      </c>
      <c r="CL301" s="70">
        <f>CL272-CL299</f>
        <v>70.364256291798696</v>
      </c>
      <c r="CM301" s="70">
        <f>SUM(CL301,CK301)</f>
        <v>143.70607650991025</v>
      </c>
      <c r="CN301" s="70">
        <f>CN272-CN299</f>
        <v>87.538847912583634</v>
      </c>
      <c r="CO301" s="70">
        <f>CO272-CO299</f>
        <v>103.9872360513377</v>
      </c>
      <c r="CP301" s="70">
        <f>SUM(CO301,CN301)</f>
        <v>191.52608396392134</v>
      </c>
      <c r="CQ301" s="70">
        <f>CQ272-CQ299</f>
        <v>117.06159769638262</v>
      </c>
      <c r="CR301" s="70">
        <f>CR272-CR299</f>
        <v>112.48761523508716</v>
      </c>
      <c r="CS301" s="70">
        <f>SUM(CR301,CQ301)</f>
        <v>229.54921293146978</v>
      </c>
      <c r="CT301" s="70">
        <f>CT272-CT299</f>
        <v>94.015540258314957</v>
      </c>
      <c r="CU301" s="70">
        <f>CU272-CU299</f>
        <v>74.861904402614869</v>
      </c>
      <c r="CV301" s="70">
        <f>SUM(CU301,CT301)</f>
        <v>168.87744466092983</v>
      </c>
      <c r="CW301" s="70">
        <f>CW272-CW299</f>
        <v>79.752634411837818</v>
      </c>
      <c r="CX301" s="70">
        <f>CX272-CX299</f>
        <v>55.414916317394393</v>
      </c>
      <c r="CY301" s="70">
        <f>SUM(CX301,CW301)</f>
        <v>135.1675507292322</v>
      </c>
      <c r="CZ301" s="70">
        <f>CZ272-CZ299</f>
        <v>85.147834202083928</v>
      </c>
      <c r="DA301" s="70">
        <f>DA272-DA299</f>
        <v>65.194317197553673</v>
      </c>
      <c r="DB301" s="70">
        <f>SUM(DA301,CZ301)</f>
        <v>150.3421513996376</v>
      </c>
      <c r="DC301" s="70">
        <f>DC272-DC299</f>
        <v>88.10448719052097</v>
      </c>
      <c r="DD301" s="70">
        <f>DD272-DD299</f>
        <v>67.847677855941299</v>
      </c>
      <c r="DE301" s="70">
        <f>SUM(DD301,DC301)</f>
        <v>155.95216504646226</v>
      </c>
      <c r="DF301" s="70">
        <f>DF272-DF299</f>
        <v>100.30374455545495</v>
      </c>
      <c r="DG301" s="70">
        <f>DG272-DG299</f>
        <v>51.735547730293213</v>
      </c>
      <c r="DH301" s="1070">
        <f>SUM(DG301,DF301)</f>
        <v>152.03929228574816</v>
      </c>
      <c r="DI301" s="70">
        <f>DI272-DI299</f>
        <v>99.702870810987775</v>
      </c>
      <c r="DJ301" s="70">
        <f>DJ272-DJ299</f>
        <v>112.86141399966179</v>
      </c>
      <c r="DK301" s="1070">
        <f>SUM(DJ301,DI301)</f>
        <v>212.56428481064955</v>
      </c>
      <c r="DL301" s="233">
        <f>DL272-DL299</f>
        <v>113.93195850276851</v>
      </c>
      <c r="DM301" s="233">
        <f>DM272-DM299</f>
        <v>119.85831971051368</v>
      </c>
      <c r="DN301" s="1070">
        <f>SUM(DM301,DL301)</f>
        <v>233.79027821328219</v>
      </c>
      <c r="DO301" s="233">
        <f>DO272-DO299</f>
        <v>114.94859994541494</v>
      </c>
      <c r="DP301" s="233">
        <f>DP272-DP299</f>
        <v>137.57123778389141</v>
      </c>
      <c r="DQ301" s="1070">
        <f>SUM(DP301,DO301)</f>
        <v>252.51983772930635</v>
      </c>
      <c r="DR301" s="233">
        <f>DR272-DR299</f>
        <v>143.24258383112945</v>
      </c>
      <c r="DS301" s="233">
        <f>DS272-DS299</f>
        <v>168.39862019861283</v>
      </c>
      <c r="DT301" s="1070">
        <f>SUM(DS301,DR301)</f>
        <v>311.64120402974231</v>
      </c>
      <c r="DU301" s="233">
        <f>DU272-DU299</f>
        <v>162.2495927844584</v>
      </c>
      <c r="DV301" s="233">
        <f>DV272-DV299</f>
        <v>195.58681935241788</v>
      </c>
      <c r="DW301" s="1070">
        <f>SUM(DV301,DU301)</f>
        <v>357.83641213687628</v>
      </c>
      <c r="DX301" s="233">
        <f>DX272-DX299</f>
        <v>165.06217352236689</v>
      </c>
      <c r="DY301" s="233">
        <f>DY272-DY299</f>
        <v>243.39512878736147</v>
      </c>
      <c r="DZ301" s="1070">
        <f>SUM(DY301,DX301)</f>
        <v>408.45730230972833</v>
      </c>
      <c r="EA301" s="233">
        <f>EA272-EA299</f>
        <v>209.43642926829173</v>
      </c>
      <c r="EB301" s="233">
        <f>EB272-EB299</f>
        <v>263.90447325601679</v>
      </c>
      <c r="EC301" s="1070">
        <f>SUM(EB301,EA301)</f>
        <v>473.34090252430849</v>
      </c>
      <c r="ED301" s="233">
        <f>ED272-ED299</f>
        <v>231.48887428906679</v>
      </c>
      <c r="EE301" s="233">
        <f>EE272-EE299</f>
        <v>291.28864750764251</v>
      </c>
      <c r="EF301" s="1070">
        <f>SUM(EE301,ED301)</f>
        <v>522.77752179670927</v>
      </c>
      <c r="EG301" s="233">
        <f>EG272-EG299</f>
        <v>255.67466628205119</v>
      </c>
      <c r="EH301" s="233">
        <f>EH272-EH299</f>
        <v>321.30595804687289</v>
      </c>
      <c r="EI301" s="1070">
        <f>SUM(EH301,EG301)</f>
        <v>576.98062432892402</v>
      </c>
      <c r="EJ301" s="233">
        <f>EJ272-EJ299</f>
        <v>282.19270276384754</v>
      </c>
      <c r="EK301" s="233">
        <f>EK272-EK299</f>
        <v>354.20120835166233</v>
      </c>
      <c r="EL301" s="1070">
        <f>SUM(EK301,EJ301)</f>
        <v>636.39391111550981</v>
      </c>
      <c r="EM301" s="233">
        <f>EM272-EM299</f>
        <v>311.26010201536707</v>
      </c>
      <c r="EN301" s="233">
        <f>EN272-EN299</f>
        <v>390.24159711722143</v>
      </c>
      <c r="EO301" s="1070">
        <f>SUM(EN301,EM301)</f>
        <v>701.50169913258856</v>
      </c>
      <c r="EP301" s="233">
        <f>EP272-EP299</f>
        <v>343.11385779805204</v>
      </c>
      <c r="EQ301" s="233">
        <f>EQ272-EQ299</f>
        <v>429.71875066432619</v>
      </c>
      <c r="ER301" s="1070">
        <f>SUM(EQ301,EP301)</f>
        <v>772.83260846237818</v>
      </c>
      <c r="ES301" s="233">
        <f>ES272-ES299</f>
        <v>378.01264368347904</v>
      </c>
      <c r="ET301" s="233">
        <f>ET272-ET299</f>
        <v>472.95093904569455</v>
      </c>
      <c r="EU301" s="1070">
        <f>SUM(ET301,ES301)</f>
        <v>850.96358272917359</v>
      </c>
      <c r="EV301" s="233">
        <f>EV272-EV299</f>
        <v>416.23878049351367</v>
      </c>
      <c r="EW301" s="233">
        <f>EW272-EW299</f>
        <v>520.28549241950725</v>
      </c>
      <c r="EX301" s="1070">
        <f>SUM(EW301,EV301)</f>
        <v>936.52427291302092</v>
      </c>
      <c r="EY301" s="233">
        <f>EY272-EY299</f>
        <v>458.10038156441482</v>
      </c>
      <c r="EZ301" s="233">
        <f>EZ272-EZ299</f>
        <v>572.10143575205336</v>
      </c>
      <c r="FA301" s="1070">
        <f>SUM(EZ301,EY301)</f>
        <v>1030.2018173164681</v>
      </c>
      <c r="FH301" s="35"/>
      <c r="FI301" s="35"/>
      <c r="FJ301" s="35"/>
      <c r="FK301" s="35"/>
      <c r="FL301" s="35"/>
      <c r="FM301" s="35"/>
      <c r="FN301" s="35"/>
      <c r="FO301" s="35"/>
      <c r="FP301" s="35"/>
      <c r="FQ301" s="35"/>
    </row>
    <row r="302" spans="1:173" outlineLevel="1">
      <c r="B302" s="35" t="s">
        <v>487</v>
      </c>
      <c r="D302" s="926" t="s">
        <v>460</v>
      </c>
      <c r="BA302" s="35"/>
      <c r="BB302" s="35"/>
      <c r="BD302" s="35"/>
      <c r="BE302" s="35"/>
      <c r="BG302" s="35"/>
      <c r="BH302" s="35"/>
      <c r="BJ302" s="35"/>
      <c r="BK302" s="35"/>
      <c r="BL302" s="31"/>
      <c r="BM302" s="65">
        <f t="shared" ref="BM302:CR302" si="1767">BM300/BM270</f>
        <v>0.87346657588900234</v>
      </c>
      <c r="BN302" s="65">
        <f t="shared" si="1767"/>
        <v>0.83998696184120303</v>
      </c>
      <c r="BO302" s="64">
        <f t="shared" si="1767"/>
        <v>0.85621379984115831</v>
      </c>
      <c r="BP302" s="65">
        <f t="shared" si="1767"/>
        <v>0.85886629400368331</v>
      </c>
      <c r="BQ302" s="65">
        <f t="shared" si="1767"/>
        <v>0.86170005344961365</v>
      </c>
      <c r="BR302" s="64">
        <f t="shared" si="1767"/>
        <v>0.86035967660268953</v>
      </c>
      <c r="BS302" s="65">
        <f t="shared" si="1767"/>
        <v>0.75558908266459912</v>
      </c>
      <c r="BT302" s="65">
        <f t="shared" si="1767"/>
        <v>0.73017885400353266</v>
      </c>
      <c r="BU302" s="65">
        <f t="shared" si="1767"/>
        <v>0.74313490759179057</v>
      </c>
      <c r="BV302" s="65">
        <f t="shared" si="1767"/>
        <v>0.74371981454102676</v>
      </c>
      <c r="BW302" s="65">
        <f t="shared" si="1767"/>
        <v>0.74883940909478419</v>
      </c>
      <c r="BX302" s="65">
        <f t="shared" si="1767"/>
        <v>0.74632737599538912</v>
      </c>
      <c r="BY302" s="65">
        <f t="shared" si="1767"/>
        <v>0.73686139472227663</v>
      </c>
      <c r="BZ302" s="65">
        <f t="shared" si="1767"/>
        <v>0.81247237225919178</v>
      </c>
      <c r="CA302" s="65">
        <f t="shared" si="1767"/>
        <v>0.7800342560840976</v>
      </c>
      <c r="CB302" s="65">
        <f t="shared" si="1767"/>
        <v>0.76381051565280933</v>
      </c>
      <c r="CC302" s="65">
        <f t="shared" si="1767"/>
        <v>0.75810016758345988</v>
      </c>
      <c r="CD302" s="65">
        <f t="shared" si="1767"/>
        <v>0.76071468169091983</v>
      </c>
      <c r="CE302" s="65">
        <f t="shared" si="1767"/>
        <v>0.71088473505397487</v>
      </c>
      <c r="CF302" s="65">
        <f t="shared" si="1767"/>
        <v>0.69607084689499787</v>
      </c>
      <c r="CG302" s="65">
        <f t="shared" si="1767"/>
        <v>0.70289671196837222</v>
      </c>
      <c r="CH302" s="65">
        <f t="shared" si="1767"/>
        <v>0.72198164006018806</v>
      </c>
      <c r="CI302" s="65">
        <f t="shared" si="1767"/>
        <v>0.72499198019791777</v>
      </c>
      <c r="CJ302" s="65">
        <f t="shared" si="1767"/>
        <v>0.72361676059183855</v>
      </c>
      <c r="CK302" s="65">
        <f t="shared" si="1767"/>
        <v>0.74783044467100401</v>
      </c>
      <c r="CL302" s="65">
        <f t="shared" si="1767"/>
        <v>0.71478145245677926</v>
      </c>
      <c r="CM302" s="65">
        <f t="shared" si="1767"/>
        <v>0.73149082273155641</v>
      </c>
      <c r="CN302" s="65">
        <f t="shared" si="1767"/>
        <v>0.73188147285792571</v>
      </c>
      <c r="CO302" s="65">
        <f t="shared" si="1767"/>
        <v>0.74880853164529393</v>
      </c>
      <c r="CP302" s="65">
        <f t="shared" si="1767"/>
        <v>0.74095985015639665</v>
      </c>
      <c r="CQ302" s="65">
        <f t="shared" si="1767"/>
        <v>0.76864553628157117</v>
      </c>
      <c r="CR302" s="65">
        <f t="shared" si="1767"/>
        <v>0.68428365182955986</v>
      </c>
      <c r="CS302" s="65">
        <f t="shared" ref="CS302:DT302" si="1768">CS300/CS270</f>
        <v>0.72547381173285352</v>
      </c>
      <c r="CT302" s="65">
        <f t="shared" si="1768"/>
        <v>0.70455374518894875</v>
      </c>
      <c r="CU302" s="65">
        <f t="shared" si="1768"/>
        <v>0.63354937220133656</v>
      </c>
      <c r="CV302" s="65">
        <f t="shared" si="1768"/>
        <v>0.6711437385932798</v>
      </c>
      <c r="CW302" s="65">
        <f t="shared" si="1768"/>
        <v>0.67031501230332891</v>
      </c>
      <c r="CX302" s="65">
        <f t="shared" si="1768"/>
        <v>0.53211276855913514</v>
      </c>
      <c r="CY302" s="65">
        <f t="shared" si="1768"/>
        <v>0.60532661869711268</v>
      </c>
      <c r="CZ302" s="65">
        <f t="shared" si="1768"/>
        <v>0.69137146461338683</v>
      </c>
      <c r="DA302" s="65">
        <f t="shared" si="1768"/>
        <v>0.54894211372013035</v>
      </c>
      <c r="DB302" s="65">
        <f t="shared" si="1768"/>
        <v>0.6228974420965111</v>
      </c>
      <c r="DC302" s="65">
        <f t="shared" si="1768"/>
        <v>0.68651921465501275</v>
      </c>
      <c r="DD302" s="65">
        <f t="shared" si="1768"/>
        <v>0.58192989955396168</v>
      </c>
      <c r="DE302" s="65">
        <f t="shared" si="1768"/>
        <v>0.63657455780411976</v>
      </c>
      <c r="DF302" s="65">
        <f t="shared" si="1768"/>
        <v>0.68868263156592691</v>
      </c>
      <c r="DG302" s="65">
        <f t="shared" si="1768"/>
        <v>0.5339593804913918</v>
      </c>
      <c r="DH302" s="1066">
        <f t="shared" si="1768"/>
        <v>0.62823547929730106</v>
      </c>
      <c r="DI302" s="65">
        <f t="shared" si="1768"/>
        <v>0.68550111886404663</v>
      </c>
      <c r="DJ302" s="65">
        <f t="shared" si="1768"/>
        <v>0.68123653265746364</v>
      </c>
      <c r="DK302" s="1066">
        <f t="shared" si="1768"/>
        <v>0.6832053717212897</v>
      </c>
      <c r="DL302" s="65">
        <f t="shared" si="1768"/>
        <v>0.70731556444013544</v>
      </c>
      <c r="DM302" s="65">
        <f t="shared" si="1768"/>
        <v>0.71091094423144097</v>
      </c>
      <c r="DN302" s="1066">
        <f t="shared" si="1768"/>
        <v>0.70915847040581337</v>
      </c>
      <c r="DO302" s="65">
        <f t="shared" si="1768"/>
        <v>0.69724413754330483</v>
      </c>
      <c r="DP302" s="65">
        <f t="shared" si="1768"/>
        <v>0.67084099532535757</v>
      </c>
      <c r="DQ302" s="1066">
        <f t="shared" si="1768"/>
        <v>0.68297002283339436</v>
      </c>
      <c r="DR302" s="65">
        <f t="shared" si="1768"/>
        <v>0.69767676782790411</v>
      </c>
      <c r="DS302" s="65">
        <f t="shared" si="1768"/>
        <v>0.72003602445881076</v>
      </c>
      <c r="DT302" s="1066">
        <f t="shared" si="1768"/>
        <v>0.70963665695610145</v>
      </c>
      <c r="DU302" s="65">
        <f t="shared" ref="DU302:DW302" si="1769">DU300/DU270</f>
        <v>0.72736141373241336</v>
      </c>
      <c r="DV302" s="65">
        <f t="shared" si="1769"/>
        <v>0.72420303748486226</v>
      </c>
      <c r="DW302" s="1066">
        <f t="shared" si="1769"/>
        <v>0.72567194762022191</v>
      </c>
      <c r="DX302" s="65">
        <f t="shared" ref="DX302" si="1770">DX300/DX270</f>
        <v>0.72131299101449464</v>
      </c>
      <c r="DY302" s="65">
        <f t="shared" ref="DY302:ER302" si="1771">DY300/DY270</f>
        <v>0.75004059241075394</v>
      </c>
      <c r="DZ302" s="1066">
        <f t="shared" si="1771"/>
        <v>0.73861412605526622</v>
      </c>
      <c r="EA302" s="65">
        <f t="shared" si="1771"/>
        <v>0.74031036577790399</v>
      </c>
      <c r="EB302" s="65">
        <f t="shared" si="1771"/>
        <v>0.76003896871432375</v>
      </c>
      <c r="EC302" s="1066">
        <f t="shared" si="1771"/>
        <v>0.75118158166227089</v>
      </c>
      <c r="ED302" s="65">
        <f t="shared" si="1771"/>
        <v>0.75069795114678783</v>
      </c>
      <c r="EE302" s="65">
        <f t="shared" si="1771"/>
        <v>0.76963740996575081</v>
      </c>
      <c r="EF302" s="1066">
        <f t="shared" si="1771"/>
        <v>0.76113431839578005</v>
      </c>
      <c r="EG302" s="65">
        <f t="shared" si="1771"/>
        <v>0.7606700331009163</v>
      </c>
      <c r="EH302" s="65">
        <f t="shared" si="1771"/>
        <v>0.7788519135671208</v>
      </c>
      <c r="EI302" s="1066">
        <f t="shared" si="1771"/>
        <v>0.77068894565994883</v>
      </c>
      <c r="EJ302" s="65">
        <f t="shared" si="1771"/>
        <v>0.7702432317768797</v>
      </c>
      <c r="EK302" s="65">
        <f t="shared" si="1771"/>
        <v>0.78769783702443597</v>
      </c>
      <c r="EL302" s="1066">
        <f t="shared" si="1771"/>
        <v>0.77986138783355097</v>
      </c>
      <c r="EM302" s="65">
        <f t="shared" si="1771"/>
        <v>0.77943350250580457</v>
      </c>
      <c r="EN302" s="65">
        <f t="shared" si="1771"/>
        <v>0.79618992354345852</v>
      </c>
      <c r="EO302" s="1066">
        <f t="shared" si="1771"/>
        <v>0.78866693232020879</v>
      </c>
      <c r="EP302" s="65">
        <f t="shared" si="1771"/>
        <v>0.78825616240557239</v>
      </c>
      <c r="EQ302" s="65">
        <f t="shared" si="1771"/>
        <v>0.80434232660172023</v>
      </c>
      <c r="ER302" s="1066">
        <f t="shared" si="1771"/>
        <v>0.79712025502740047</v>
      </c>
      <c r="ES302" s="65">
        <f t="shared" ref="ES302:EX302" si="1772">ES300/ES270</f>
        <v>0.79672591590934949</v>
      </c>
      <c r="ET302" s="65">
        <f t="shared" si="1772"/>
        <v>0.81216863353765145</v>
      </c>
      <c r="EU302" s="1066">
        <f t="shared" si="1772"/>
        <v>0.80523544482630438</v>
      </c>
      <c r="EV302" s="65">
        <f t="shared" si="1772"/>
        <v>0.80485687927297556</v>
      </c>
      <c r="EW302" s="65">
        <f t="shared" si="1772"/>
        <v>0.81968188819614551</v>
      </c>
      <c r="EX302" s="1066">
        <f t="shared" si="1772"/>
        <v>0.81302602703325244</v>
      </c>
      <c r="EY302" s="65">
        <f t="shared" ref="EY302:FA302" si="1773">EY300/EY270</f>
        <v>0.8126626041020566</v>
      </c>
      <c r="EZ302" s="65">
        <f t="shared" si="1773"/>
        <v>0.82689461266829967</v>
      </c>
      <c r="FA302" s="1066">
        <f t="shared" si="1773"/>
        <v>0.82050498595192234</v>
      </c>
    </row>
    <row r="303" spans="1:173" outlineLevel="1">
      <c r="B303" s="31"/>
      <c r="D303" s="926"/>
      <c r="BA303" s="35"/>
      <c r="BB303" s="35"/>
      <c r="BD303" s="35"/>
      <c r="BE303" s="35"/>
      <c r="BG303" s="70"/>
      <c r="BH303" s="70"/>
      <c r="BJ303" s="35"/>
      <c r="BK303" s="35"/>
      <c r="BL303" s="31"/>
      <c r="BM303" s="65"/>
      <c r="BN303" s="65"/>
      <c r="BO303" s="64"/>
      <c r="BP303" s="65"/>
      <c r="BQ303" s="65"/>
      <c r="BR303" s="64"/>
      <c r="BS303" s="65"/>
      <c r="BT303" s="65"/>
      <c r="BU303" s="65"/>
      <c r="BV303" s="65"/>
      <c r="BW303" s="65"/>
      <c r="BX303" s="65"/>
      <c r="BY303" s="65"/>
      <c r="BZ303" s="65"/>
      <c r="CA303" s="65"/>
      <c r="CB303" s="65"/>
      <c r="CC303" s="65"/>
      <c r="CD303" s="65"/>
      <c r="CE303" s="65"/>
      <c r="CF303" s="65"/>
      <c r="CG303" s="65"/>
      <c r="CH303" s="65"/>
      <c r="CI303" s="65"/>
      <c r="CJ303" s="65"/>
      <c r="CK303" s="65"/>
      <c r="CL303" s="65"/>
      <c r="CM303" s="65"/>
      <c r="CN303" s="65"/>
      <c r="CO303" s="65"/>
      <c r="CP303" s="65"/>
      <c r="CQ303" s="65"/>
      <c r="CR303" s="65"/>
      <c r="CS303" s="65"/>
      <c r="CT303" s="65"/>
      <c r="CU303" s="65"/>
      <c r="CV303" s="65"/>
      <c r="CW303" s="65"/>
      <c r="CX303" s="65"/>
      <c r="CY303" s="65"/>
      <c r="CZ303" s="65"/>
      <c r="DA303" s="65"/>
      <c r="DB303" s="65"/>
      <c r="DC303" s="65"/>
      <c r="DD303" s="65"/>
      <c r="DE303" s="65"/>
      <c r="DF303" s="65"/>
      <c r="DG303" s="65"/>
      <c r="DH303" s="1066"/>
      <c r="DI303" s="65"/>
      <c r="DJ303" s="65"/>
      <c r="DK303" s="1066"/>
      <c r="DL303" s="65"/>
      <c r="DM303" s="65"/>
      <c r="DN303" s="1066"/>
      <c r="DO303" s="65"/>
      <c r="DP303" s="65"/>
      <c r="DQ303" s="1066"/>
      <c r="DR303" s="65"/>
      <c r="DS303" s="65"/>
      <c r="DT303" s="1066"/>
      <c r="DU303" s="65"/>
      <c r="DV303" s="65"/>
      <c r="DW303" s="1066"/>
      <c r="DX303" s="65"/>
      <c r="DY303" s="65"/>
      <c r="DZ303" s="1066"/>
      <c r="EA303" s="65"/>
      <c r="EB303" s="65"/>
      <c r="EC303" s="1066"/>
      <c r="ED303" s="65"/>
      <c r="EE303" s="65"/>
      <c r="EF303" s="1066"/>
      <c r="EG303" s="65"/>
      <c r="EH303" s="65"/>
      <c r="EI303" s="1066"/>
      <c r="EJ303" s="65"/>
      <c r="EK303" s="65"/>
      <c r="EL303" s="1066"/>
      <c r="EM303" s="65"/>
      <c r="EN303" s="65"/>
      <c r="EO303" s="1066"/>
      <c r="EP303" s="65"/>
      <c r="EQ303" s="65"/>
      <c r="ER303" s="1066"/>
      <c r="ES303" s="65"/>
      <c r="ET303" s="65"/>
      <c r="EU303" s="1066"/>
      <c r="EV303" s="65"/>
      <c r="EW303" s="65"/>
      <c r="EX303" s="1066"/>
      <c r="EY303" s="65"/>
      <c r="EZ303" s="65"/>
      <c r="FA303" s="1066"/>
    </row>
    <row r="304" spans="1:173" outlineLevel="1">
      <c r="B304" s="68" t="s">
        <v>738</v>
      </c>
      <c r="BA304" s="35"/>
      <c r="BB304" s="35"/>
      <c r="BD304" s="35"/>
      <c r="BE304" s="35"/>
      <c r="BG304" s="189"/>
      <c r="BH304" s="189"/>
      <c r="BJ304" s="35"/>
      <c r="BK304" s="35"/>
      <c r="BL304" s="31"/>
      <c r="BM304" s="35"/>
      <c r="BN304" s="35"/>
      <c r="BO304" s="31"/>
      <c r="BP304" s="35"/>
      <c r="BQ304" s="35"/>
      <c r="BR304" s="31"/>
      <c r="BS304" s="35"/>
      <c r="BT304" s="35"/>
      <c r="BV304" s="35"/>
      <c r="BW304" s="35"/>
      <c r="BY304" s="35"/>
      <c r="BZ304" s="35"/>
      <c r="CB304" s="35"/>
      <c r="CC304" s="35"/>
      <c r="CE304" s="35"/>
      <c r="CF304" s="35"/>
      <c r="CH304" s="35"/>
      <c r="CI304" s="35"/>
      <c r="CK304" s="35"/>
      <c r="CL304" s="35"/>
      <c r="CN304" s="35"/>
      <c r="CO304" s="35"/>
      <c r="CQ304" s="35"/>
      <c r="CR304" s="35"/>
      <c r="CT304" s="35"/>
      <c r="CU304" s="35"/>
      <c r="CW304" s="35"/>
      <c r="CX304" s="35"/>
      <c r="CZ304" s="35"/>
      <c r="DA304" s="35"/>
      <c r="DC304" s="35"/>
      <c r="DD304" s="35"/>
      <c r="DF304" s="35"/>
      <c r="DG304" s="35"/>
      <c r="DH304" s="1067"/>
      <c r="DI304" s="35"/>
      <c r="DJ304" s="35"/>
      <c r="DK304" s="1067"/>
      <c r="DL304" s="35"/>
      <c r="DM304" s="35"/>
      <c r="DN304" s="1067"/>
      <c r="DO304" s="35"/>
      <c r="DP304" s="35"/>
      <c r="DQ304" s="1067"/>
      <c r="DR304" s="35"/>
      <c r="DS304" s="35"/>
      <c r="DT304" s="1067"/>
      <c r="DU304" s="35"/>
      <c r="DV304" s="35"/>
      <c r="DW304" s="1067"/>
      <c r="DX304" s="35"/>
      <c r="DY304" s="35"/>
      <c r="DZ304" s="1067"/>
      <c r="EA304" s="35"/>
      <c r="EB304" s="35"/>
      <c r="EC304" s="1067"/>
      <c r="ED304" s="35"/>
      <c r="EE304" s="35"/>
      <c r="EF304" s="1067"/>
      <c r="EG304" s="35"/>
      <c r="EH304" s="35"/>
      <c r="EI304" s="1067"/>
      <c r="EJ304" s="35"/>
      <c r="EK304" s="35"/>
      <c r="EL304" s="1067"/>
      <c r="EM304" s="35"/>
      <c r="EN304" s="35"/>
      <c r="EO304" s="1067"/>
      <c r="EP304" s="35"/>
      <c r="EQ304" s="35"/>
      <c r="ER304" s="1067"/>
      <c r="ES304" s="35"/>
      <c r="ET304" s="35"/>
      <c r="EU304" s="1067"/>
      <c r="EV304" s="35"/>
      <c r="EW304" s="35"/>
      <c r="EX304" s="1067"/>
      <c r="EY304" s="35"/>
      <c r="EZ304" s="35"/>
      <c r="FA304" s="1067"/>
    </row>
    <row r="305" spans="1:173" s="321" customFormat="1" outlineLevel="1">
      <c r="A305" s="1168"/>
      <c r="B305" s="321" t="s">
        <v>791</v>
      </c>
      <c r="C305" s="186"/>
      <c r="D305" s="910" t="s">
        <v>855</v>
      </c>
      <c r="E305" s="186"/>
      <c r="F305" s="186"/>
      <c r="G305" s="186"/>
      <c r="H305" s="186"/>
      <c r="I305" s="186"/>
      <c r="J305" s="186"/>
      <c r="K305" s="186"/>
      <c r="L305" s="186"/>
      <c r="M305" s="186"/>
      <c r="N305" s="186"/>
      <c r="O305" s="186"/>
      <c r="P305" s="186"/>
      <c r="Q305" s="186"/>
      <c r="R305" s="186"/>
      <c r="S305" s="186"/>
      <c r="T305" s="186"/>
      <c r="U305" s="186"/>
      <c r="V305" s="186"/>
      <c r="W305" s="186"/>
      <c r="X305" s="186"/>
      <c r="Y305" s="186"/>
      <c r="Z305" s="186"/>
      <c r="AA305" s="186"/>
      <c r="AB305" s="186"/>
      <c r="AC305" s="186"/>
      <c r="AD305" s="186"/>
      <c r="AE305" s="186"/>
      <c r="AF305" s="186"/>
      <c r="AG305" s="186"/>
      <c r="AH305" s="186"/>
      <c r="AI305" s="186"/>
      <c r="AJ305" s="186"/>
      <c r="AK305" s="186"/>
      <c r="AL305" s="186"/>
      <c r="AM305" s="186"/>
      <c r="AN305" s="186"/>
      <c r="AO305" s="186"/>
      <c r="AP305" s="186"/>
      <c r="AQ305" s="186"/>
      <c r="AR305" s="186"/>
      <c r="AS305" s="186"/>
      <c r="AT305" s="186"/>
      <c r="AU305" s="186"/>
      <c r="AV305" s="186"/>
      <c r="AW305" s="186"/>
      <c r="AX305" s="186"/>
      <c r="AY305" s="186"/>
      <c r="AZ305" s="186"/>
      <c r="BA305" s="186"/>
      <c r="BB305" s="186"/>
      <c r="BC305" s="331"/>
      <c r="BD305" s="186"/>
      <c r="BE305" s="186"/>
      <c r="BF305" s="331"/>
      <c r="BG305" s="186"/>
      <c r="BH305" s="186"/>
      <c r="BI305" s="331"/>
      <c r="BJ305" s="186"/>
      <c r="BK305" s="186"/>
      <c r="BL305" s="331"/>
      <c r="BM305" s="190">
        <f t="shared" ref="BM305:CS305" si="1774">BM383</f>
        <v>7095.4973211760034</v>
      </c>
      <c r="BN305" s="190">
        <f t="shared" si="1774"/>
        <v>7095.4973211760034</v>
      </c>
      <c r="BO305" s="190">
        <f t="shared" si="1774"/>
        <v>7349.1663159276468</v>
      </c>
      <c r="BP305" s="190">
        <f t="shared" si="1774"/>
        <v>8869.3716514700045</v>
      </c>
      <c r="BQ305" s="190">
        <f t="shared" si="1774"/>
        <v>7450.2721872348038</v>
      </c>
      <c r="BR305" s="190">
        <f t="shared" si="1774"/>
        <v>7799.4157062133045</v>
      </c>
      <c r="BS305" s="190">
        <f t="shared" si="1774"/>
        <v>14123.909382053902</v>
      </c>
      <c r="BT305" s="190">
        <f t="shared" si="1774"/>
        <v>11438.026656580771</v>
      </c>
      <c r="BU305" s="190">
        <f t="shared" si="1774"/>
        <v>12675.892182692891</v>
      </c>
      <c r="BV305" s="190">
        <f t="shared" si="1774"/>
        <v>14058.265040519709</v>
      </c>
      <c r="BW305" s="190">
        <f t="shared" si="1774"/>
        <v>11364.535538392704</v>
      </c>
      <c r="BX305" s="190">
        <f t="shared" si="1774"/>
        <v>12606.354487925742</v>
      </c>
      <c r="BY305" s="190">
        <f t="shared" si="1774"/>
        <v>16945.634666141457</v>
      </c>
      <c r="BZ305" s="190">
        <f t="shared" si="1774"/>
        <v>11209.864209715179</v>
      </c>
      <c r="CA305" s="190">
        <f t="shared" si="1774"/>
        <v>14405.888117084947</v>
      </c>
      <c r="CB305" s="190">
        <f t="shared" si="1774"/>
        <v>15312.583853365406</v>
      </c>
      <c r="CC305" s="190">
        <f t="shared" si="1774"/>
        <v>12429.49743573219</v>
      </c>
      <c r="CD305" s="190">
        <f t="shared" si="1774"/>
        <v>13814.895070404102</v>
      </c>
      <c r="CE305" s="190">
        <f t="shared" si="1774"/>
        <v>13203.045738806521</v>
      </c>
      <c r="CF305" s="190">
        <f t="shared" si="1774"/>
        <v>12438.228305700679</v>
      </c>
      <c r="CG305" s="190">
        <f t="shared" si="1774"/>
        <v>13684.597752038771</v>
      </c>
      <c r="CH305" s="190">
        <f t="shared" si="1774"/>
        <v>13069.562946387186</v>
      </c>
      <c r="CI305" s="190">
        <f t="shared" si="1774"/>
        <v>10533.686787531791</v>
      </c>
      <c r="CJ305" s="190">
        <f t="shared" si="1774"/>
        <v>11741.445165560579</v>
      </c>
      <c r="CK305" s="190">
        <f t="shared" si="1774"/>
        <v>14637.91049995365</v>
      </c>
      <c r="CL305" s="190">
        <f t="shared" si="1774"/>
        <v>14637.91049995365</v>
      </c>
      <c r="CM305" s="190">
        <f t="shared" si="1774"/>
        <v>14643.27761612406</v>
      </c>
      <c r="CN305" s="190">
        <f t="shared" si="1774"/>
        <v>19366.600972597887</v>
      </c>
      <c r="CO305" s="190">
        <f t="shared" si="1774"/>
        <v>15835.401701987197</v>
      </c>
      <c r="CP305" s="190">
        <f t="shared" si="1774"/>
        <v>16387.223570721562</v>
      </c>
      <c r="CQ305" s="190">
        <f t="shared" si="1774"/>
        <v>20459.705957100952</v>
      </c>
      <c r="CR305" s="190">
        <f t="shared" si="1774"/>
        <v>22018.959238555246</v>
      </c>
      <c r="CS305" s="190">
        <f t="shared" si="1774"/>
        <v>21773.428247147964</v>
      </c>
      <c r="CT305" s="190">
        <v>2207.0367336129975</v>
      </c>
      <c r="CU305" s="190">
        <f t="shared" ref="CU305:EF305" si="1775">CU383</f>
        <v>17330.902627074451</v>
      </c>
      <c r="CV305" s="190">
        <f t="shared" si="1775"/>
        <v>19070.653906272608</v>
      </c>
      <c r="CW305" s="190">
        <f t="shared" si="1775"/>
        <v>18824.049677250892</v>
      </c>
      <c r="CX305" s="190">
        <f t="shared" si="1775"/>
        <v>17729.513387497162</v>
      </c>
      <c r="CY305" s="190">
        <f t="shared" si="1775"/>
        <v>18250.25529346419</v>
      </c>
      <c r="CZ305" s="190">
        <f t="shared" si="1775"/>
        <v>18613.153287761212</v>
      </c>
      <c r="DA305" s="190">
        <f t="shared" si="1775"/>
        <v>15593.301614231061</v>
      </c>
      <c r="DB305" s="190">
        <f t="shared" si="1775"/>
        <v>17086.941300029313</v>
      </c>
      <c r="DC305" s="190">
        <f t="shared" si="1775"/>
        <v>17748.227992421576</v>
      </c>
      <c r="DD305" s="190">
        <f t="shared" si="1775"/>
        <v>15422.266578516752</v>
      </c>
      <c r="DE305" s="190">
        <f t="shared" si="1775"/>
        <v>16567.358957479089</v>
      </c>
      <c r="DF305" s="190">
        <f t="shared" si="1775"/>
        <v>17623.990396474626</v>
      </c>
      <c r="DG305" s="190">
        <f t="shared" si="1775"/>
        <v>17735.606565294263</v>
      </c>
      <c r="DH305" s="1060">
        <f t="shared" si="1775"/>
        <v>17688.445631647817</v>
      </c>
      <c r="DI305" s="190">
        <f t="shared" si="1775"/>
        <v>21175.224461364265</v>
      </c>
      <c r="DJ305" s="190">
        <f t="shared" si="1775"/>
        <v>15908.839089068955</v>
      </c>
      <c r="DK305" s="1060">
        <f t="shared" si="1775"/>
        <v>18054.837880313371</v>
      </c>
      <c r="DL305" s="234">
        <f t="shared" si="1775"/>
        <v>20539.967727523337</v>
      </c>
      <c r="DM305" s="234">
        <f t="shared" si="1775"/>
        <v>15272.485525506196</v>
      </c>
      <c r="DN305" s="1060">
        <f t="shared" si="1775"/>
        <v>17509.832731355986</v>
      </c>
      <c r="DO305" s="234">
        <f t="shared" si="1775"/>
        <v>20026.468534335254</v>
      </c>
      <c r="DP305" s="234">
        <f t="shared" si="1775"/>
        <v>19090.606906882746</v>
      </c>
      <c r="DQ305" s="1060">
        <f t="shared" si="1775"/>
        <v>19457.301092870734</v>
      </c>
      <c r="DR305" s="234">
        <f t="shared" si="1775"/>
        <v>22029.115387768779</v>
      </c>
      <c r="DS305" s="234">
        <f t="shared" si="1775"/>
        <v>17181.546216194471</v>
      </c>
      <c r="DT305" s="1060">
        <f t="shared" si="1775"/>
        <v>18745.169516298436</v>
      </c>
      <c r="DU305" s="234">
        <f t="shared" ref="DU305:DW305" si="1776">DU383</f>
        <v>21147.950772258027</v>
      </c>
      <c r="DV305" s="234">
        <f t="shared" si="1776"/>
        <v>15463.391594575023</v>
      </c>
      <c r="DW305" s="1060">
        <f t="shared" si="1776"/>
        <v>18103.353609157468</v>
      </c>
      <c r="DX305" s="234">
        <f t="shared" ref="DX305" si="1777">DX383</f>
        <v>20302.032741367704</v>
      </c>
      <c r="DY305" s="234">
        <f t="shared" si="1775"/>
        <v>14844.855930792022</v>
      </c>
      <c r="DZ305" s="1060">
        <f t="shared" si="1775"/>
        <v>17083.924655780949</v>
      </c>
      <c r="EA305" s="234">
        <f t="shared" si="1775"/>
        <v>19489.951431712994</v>
      </c>
      <c r="EB305" s="234">
        <f t="shared" si="1775"/>
        <v>14251.061693560341</v>
      </c>
      <c r="EC305" s="1060">
        <f t="shared" si="1775"/>
        <v>16471.340806630345</v>
      </c>
      <c r="ED305" s="234">
        <f t="shared" si="1775"/>
        <v>18710.353374444472</v>
      </c>
      <c r="EE305" s="234">
        <f t="shared" si="1775"/>
        <v>13681.019225817927</v>
      </c>
      <c r="EF305" s="1060">
        <f t="shared" si="1775"/>
        <v>15812.487174365129</v>
      </c>
      <c r="EG305" s="234">
        <f t="shared" ref="EG305:EL305" si="1778">EG383</f>
        <v>17961.939239466694</v>
      </c>
      <c r="EH305" s="234">
        <f t="shared" si="1778"/>
        <v>13133.778456785209</v>
      </c>
      <c r="EI305" s="1060">
        <f t="shared" si="1778"/>
        <v>15179.987687390525</v>
      </c>
      <c r="EJ305" s="234">
        <f t="shared" si="1778"/>
        <v>17243.461669888027</v>
      </c>
      <c r="EK305" s="234">
        <f t="shared" si="1778"/>
        <v>12608.427318513799</v>
      </c>
      <c r="EL305" s="1060">
        <f t="shared" si="1778"/>
        <v>14572.7881798949</v>
      </c>
      <c r="EM305" s="234">
        <f t="shared" ref="EM305:ER305" si="1779">EM383</f>
        <v>16553.723203092504</v>
      </c>
      <c r="EN305" s="234">
        <f t="shared" si="1779"/>
        <v>12104.090225773247</v>
      </c>
      <c r="EO305" s="1060">
        <f t="shared" si="1779"/>
        <v>13989.876652699106</v>
      </c>
      <c r="EP305" s="234">
        <f t="shared" si="1779"/>
        <v>15891.574274968803</v>
      </c>
      <c r="EQ305" s="234">
        <f t="shared" si="1779"/>
        <v>11619.926616742316</v>
      </c>
      <c r="ER305" s="1060">
        <f t="shared" si="1779"/>
        <v>13430.28158659114</v>
      </c>
      <c r="ES305" s="234">
        <f t="shared" ref="ES305:EX305" si="1780">ES383</f>
        <v>15255.911303970051</v>
      </c>
      <c r="ET305" s="234">
        <f t="shared" si="1780"/>
        <v>11155.129552072623</v>
      </c>
      <c r="EU305" s="1060">
        <f t="shared" si="1780"/>
        <v>12893.070323127495</v>
      </c>
      <c r="EV305" s="234">
        <f t="shared" si="1780"/>
        <v>14645.674851811249</v>
      </c>
      <c r="EW305" s="234">
        <f t="shared" si="1780"/>
        <v>10708.924369989718</v>
      </c>
      <c r="EX305" s="1060">
        <f t="shared" si="1780"/>
        <v>12377.347510202393</v>
      </c>
      <c r="EY305" s="234">
        <f t="shared" ref="EY305:FA305" si="1781">EY383</f>
        <v>14059.847857738798</v>
      </c>
      <c r="EZ305" s="234">
        <f t="shared" si="1781"/>
        <v>10280.567395190128</v>
      </c>
      <c r="FA305" s="1060">
        <f t="shared" si="1781"/>
        <v>11882.253609794296</v>
      </c>
      <c r="FH305" s="35"/>
      <c r="FI305" s="35"/>
      <c r="FJ305" s="35"/>
      <c r="FK305" s="35"/>
      <c r="FL305" s="35"/>
      <c r="FM305" s="35"/>
      <c r="FN305" s="35"/>
      <c r="FO305" s="35"/>
      <c r="FP305" s="35"/>
      <c r="FQ305" s="35"/>
    </row>
    <row r="306" spans="1:173" s="321" customFormat="1" outlineLevel="1">
      <c r="A306" s="1168"/>
      <c r="B306" s="186" t="s">
        <v>753</v>
      </c>
      <c r="C306" s="186"/>
      <c r="D306" s="910" t="s">
        <v>460</v>
      </c>
      <c r="E306" s="186"/>
      <c r="F306" s="186"/>
      <c r="G306" s="186"/>
      <c r="H306" s="186"/>
      <c r="I306" s="186"/>
      <c r="J306" s="186"/>
      <c r="K306" s="186"/>
      <c r="L306" s="186"/>
      <c r="M306" s="186"/>
      <c r="N306" s="186"/>
      <c r="O306" s="186"/>
      <c r="P306" s="186"/>
      <c r="Q306" s="186"/>
      <c r="R306" s="186"/>
      <c r="S306" s="186"/>
      <c r="T306" s="186"/>
      <c r="U306" s="186"/>
      <c r="V306" s="186"/>
      <c r="W306" s="186"/>
      <c r="X306" s="186"/>
      <c r="Y306" s="186"/>
      <c r="Z306" s="186"/>
      <c r="AA306" s="186"/>
      <c r="AB306" s="186"/>
      <c r="AC306" s="186"/>
      <c r="AD306" s="186"/>
      <c r="AE306" s="186"/>
      <c r="AF306" s="186"/>
      <c r="AG306" s="186"/>
      <c r="AH306" s="186"/>
      <c r="AI306" s="186"/>
      <c r="AJ306" s="186"/>
      <c r="AK306" s="186"/>
      <c r="AL306" s="186"/>
      <c r="AM306" s="186"/>
      <c r="AN306" s="186"/>
      <c r="AO306" s="186"/>
      <c r="AP306" s="186"/>
      <c r="AQ306" s="186"/>
      <c r="AR306" s="186"/>
      <c r="AS306" s="186"/>
      <c r="AT306" s="186"/>
      <c r="AU306" s="186"/>
      <c r="AV306" s="186"/>
      <c r="AW306" s="186"/>
      <c r="AX306" s="186"/>
      <c r="AY306" s="186"/>
      <c r="AZ306" s="186"/>
      <c r="BA306" s="186"/>
      <c r="BB306" s="186"/>
      <c r="BC306" s="331"/>
      <c r="BD306" s="186"/>
      <c r="BE306" s="186"/>
      <c r="BF306" s="331"/>
      <c r="BG306" s="186"/>
      <c r="BH306" s="186"/>
      <c r="BI306" s="331"/>
      <c r="BJ306" s="186"/>
      <c r="BK306" s="186"/>
      <c r="BL306" s="331"/>
      <c r="BM306" s="186"/>
      <c r="BN306" s="186"/>
      <c r="BO306" s="331"/>
      <c r="BP306" s="194">
        <f t="shared" ref="BP306:CU306" si="1782">BP305/BM305-1</f>
        <v>0.25</v>
      </c>
      <c r="BQ306" s="194">
        <f t="shared" si="1782"/>
        <v>5.0000000000000044E-2</v>
      </c>
      <c r="BR306" s="194">
        <f t="shared" si="1782"/>
        <v>6.1265369557611526E-2</v>
      </c>
      <c r="BS306" s="194">
        <f t="shared" si="1782"/>
        <v>0.59243630068348896</v>
      </c>
      <c r="BT306" s="194">
        <f t="shared" si="1782"/>
        <v>0.53524950084085954</v>
      </c>
      <c r="BU306" s="194">
        <f t="shared" si="1782"/>
        <v>0.62523612795697048</v>
      </c>
      <c r="BV306" s="194">
        <f t="shared" si="1782"/>
        <v>-4.6477458725132648E-3</v>
      </c>
      <c r="BW306" s="194">
        <f t="shared" si="1782"/>
        <v>-6.4251571004850794E-3</v>
      </c>
      <c r="BX306" s="194">
        <f t="shared" si="1782"/>
        <v>-5.4858225176521724E-3</v>
      </c>
      <c r="BY306" s="194">
        <f t="shared" si="1782"/>
        <v>0.20538591478390611</v>
      </c>
      <c r="BZ306" s="194">
        <f t="shared" si="1782"/>
        <v>-1.3610000000000011E-2</v>
      </c>
      <c r="CA306" s="194">
        <f t="shared" si="1782"/>
        <v>0.14274813792383689</v>
      </c>
      <c r="CB306" s="194">
        <f t="shared" si="1782"/>
        <v>-9.6369999999999956E-2</v>
      </c>
      <c r="CC306" s="194">
        <f t="shared" si="1782"/>
        <v>0.10880000000000001</v>
      </c>
      <c r="CD306" s="194">
        <f t="shared" si="1782"/>
        <v>-4.1024409038686427E-2</v>
      </c>
      <c r="CE306" s="194">
        <f t="shared" si="1782"/>
        <v>-0.13776500000000003</v>
      </c>
      <c r="CF306" s="194">
        <f t="shared" si="1782"/>
        <v>7.0243145498305459E-4</v>
      </c>
      <c r="CG306" s="194">
        <f t="shared" si="1782"/>
        <v>-9.4316545801689244E-3</v>
      </c>
      <c r="CH306" s="194">
        <f t="shared" si="1782"/>
        <v>-1.0110000000000063E-2</v>
      </c>
      <c r="CI306" s="194">
        <f t="shared" si="1782"/>
        <v>-0.15312000000000003</v>
      </c>
      <c r="CJ306" s="194">
        <f t="shared" si="1782"/>
        <v>-0.14199559400192785</v>
      </c>
      <c r="CK306" s="194">
        <f t="shared" si="1782"/>
        <v>0.12000000000000011</v>
      </c>
      <c r="CL306" s="194">
        <f t="shared" si="1782"/>
        <v>0.38962841740081244</v>
      </c>
      <c r="CM306" s="194">
        <f t="shared" si="1782"/>
        <v>0.24714440255403924</v>
      </c>
      <c r="CN306" s="194">
        <f t="shared" si="1782"/>
        <v>0.32304408970523557</v>
      </c>
      <c r="CO306" s="194">
        <f t="shared" si="1782"/>
        <v>8.1807523145966732E-2</v>
      </c>
      <c r="CP306" s="194">
        <f t="shared" si="1782"/>
        <v>0.11909532826702685</v>
      </c>
      <c r="CQ306" s="194">
        <f t="shared" si="1782"/>
        <v>5.6442789627860757E-2</v>
      </c>
      <c r="CR306" s="194">
        <f t="shared" si="1782"/>
        <v>0.39048946486732117</v>
      </c>
      <c r="CS306" s="194">
        <f t="shared" si="1782"/>
        <v>0.32868317522986201</v>
      </c>
      <c r="CT306" s="194">
        <f t="shared" si="1782"/>
        <v>-0.89212764160733204</v>
      </c>
      <c r="CU306" s="194">
        <f t="shared" si="1782"/>
        <v>-0.21290999999999993</v>
      </c>
      <c r="CV306" s="194">
        <f t="shared" ref="CV306:EA306" si="1783">CV305/CS305-1</f>
        <v>-0.1241317770539595</v>
      </c>
      <c r="CW306" s="194">
        <f t="shared" si="1783"/>
        <v>7.5291057419036491</v>
      </c>
      <c r="CX306" s="194">
        <f t="shared" si="1783"/>
        <v>2.2999999999999909E-2</v>
      </c>
      <c r="CY306" s="194">
        <f t="shared" si="1783"/>
        <v>-4.3018903118921203E-2</v>
      </c>
      <c r="CZ306" s="194">
        <f t="shared" si="1783"/>
        <v>-1.1203561035251219E-2</v>
      </c>
      <c r="DA306" s="194">
        <f t="shared" si="1783"/>
        <v>-0.120489024519565</v>
      </c>
      <c r="DB306" s="194">
        <f t="shared" si="1783"/>
        <v>-6.3742340845581724E-2</v>
      </c>
      <c r="DC306" s="194">
        <f t="shared" si="1783"/>
        <v>-4.6468499021514731E-2</v>
      </c>
      <c r="DD306" s="194">
        <f t="shared" si="1783"/>
        <v>-1.0968494033246623E-2</v>
      </c>
      <c r="DE306" s="194">
        <f t="shared" si="1783"/>
        <v>-3.0408154006436039E-2</v>
      </c>
      <c r="DF306" s="194">
        <f t="shared" si="1783"/>
        <v>-6.9999999999998952E-3</v>
      </c>
      <c r="DG306" s="194">
        <f t="shared" si="1783"/>
        <v>0.14999999999999991</v>
      </c>
      <c r="DH306" s="1084">
        <f t="shared" si="1783"/>
        <v>6.76684000778911E-2</v>
      </c>
      <c r="DI306" s="194">
        <f t="shared" si="1783"/>
        <v>0.20150000000000001</v>
      </c>
      <c r="DJ306" s="194">
        <f t="shared" si="1783"/>
        <v>-0.10299999999999998</v>
      </c>
      <c r="DK306" s="1084">
        <f t="shared" si="1783"/>
        <v>2.0713648688837516E-2</v>
      </c>
      <c r="DL306" s="194">
        <f t="shared" si="1783"/>
        <v>-3.0000000000000027E-2</v>
      </c>
      <c r="DM306" s="194">
        <f t="shared" si="1783"/>
        <v>-4.0000000000000036E-2</v>
      </c>
      <c r="DN306" s="1084">
        <f t="shared" si="1783"/>
        <v>-3.0186100399807403E-2</v>
      </c>
      <c r="DO306" s="194">
        <f t="shared" si="1783"/>
        <v>-2.5000000000000022E-2</v>
      </c>
      <c r="DP306" s="194">
        <f t="shared" si="1783"/>
        <v>0.25</v>
      </c>
      <c r="DQ306" s="1084">
        <f t="shared" si="1783"/>
        <v>0.11122141435579169</v>
      </c>
      <c r="DR306" s="194">
        <f t="shared" si="1783"/>
        <v>0.10000000000000009</v>
      </c>
      <c r="DS306" s="194">
        <f t="shared" si="1783"/>
        <v>-9.9999999999999978E-2</v>
      </c>
      <c r="DT306" s="1084">
        <f t="shared" si="1783"/>
        <v>-3.6599709958398452E-2</v>
      </c>
      <c r="DU306" s="194">
        <f t="shared" si="1783"/>
        <v>-4.0000000000000036E-2</v>
      </c>
      <c r="DV306" s="194">
        <f t="shared" ref="DV306" si="1784">DV305/DS305-1</f>
        <v>-9.9999999999999978E-2</v>
      </c>
      <c r="DW306" s="1084">
        <f t="shared" ref="DW306" si="1785">DW305/DT305-1</f>
        <v>-3.4239002564523391E-2</v>
      </c>
      <c r="DX306" s="194">
        <f t="shared" si="1783"/>
        <v>-4.0000000000000147E-2</v>
      </c>
      <c r="DY306" s="194">
        <f t="shared" si="1783"/>
        <v>-4.0000000000000036E-2</v>
      </c>
      <c r="DZ306" s="1084">
        <f t="shared" si="1783"/>
        <v>-5.6311608080220399E-2</v>
      </c>
      <c r="EA306" s="194">
        <f t="shared" si="1783"/>
        <v>-4.0000000000000036E-2</v>
      </c>
      <c r="EB306" s="194">
        <f t="shared" ref="EB306:EL306" si="1786">EB305/DY305-1</f>
        <v>-4.0000000000000036E-2</v>
      </c>
      <c r="EC306" s="1084">
        <f t="shared" si="1786"/>
        <v>-3.585732561418864E-2</v>
      </c>
      <c r="ED306" s="194">
        <f t="shared" si="1786"/>
        <v>-4.0000000000000147E-2</v>
      </c>
      <c r="EE306" s="194">
        <f t="shared" si="1786"/>
        <v>-4.0000000000000036E-2</v>
      </c>
      <c r="EF306" s="1084">
        <f t="shared" si="1786"/>
        <v>-4.0000000000000147E-2</v>
      </c>
      <c r="EG306" s="194">
        <f t="shared" si="1786"/>
        <v>-3.9999999999999925E-2</v>
      </c>
      <c r="EH306" s="194">
        <f t="shared" si="1786"/>
        <v>-4.0000000000000036E-2</v>
      </c>
      <c r="EI306" s="1084">
        <f t="shared" si="1786"/>
        <v>-3.9999999999999925E-2</v>
      </c>
      <c r="EJ306" s="194">
        <f t="shared" si="1786"/>
        <v>-3.9999999999999925E-2</v>
      </c>
      <c r="EK306" s="194">
        <f t="shared" si="1786"/>
        <v>-4.0000000000000147E-2</v>
      </c>
      <c r="EL306" s="1084">
        <f t="shared" si="1786"/>
        <v>-4.0000000000000258E-2</v>
      </c>
      <c r="EM306" s="194">
        <f t="shared" ref="EM306:ER306" si="1787">EM305/EJ305-1</f>
        <v>-4.0000000000000147E-2</v>
      </c>
      <c r="EN306" s="194">
        <f t="shared" si="1787"/>
        <v>-4.0000000000000036E-2</v>
      </c>
      <c r="EO306" s="1084">
        <f t="shared" si="1787"/>
        <v>-3.9999999999999925E-2</v>
      </c>
      <c r="EP306" s="194">
        <f t="shared" si="1787"/>
        <v>-4.0000000000000036E-2</v>
      </c>
      <c r="EQ306" s="194">
        <f t="shared" si="1787"/>
        <v>-4.0000000000000147E-2</v>
      </c>
      <c r="ER306" s="1084">
        <f t="shared" si="1787"/>
        <v>-4.0000000000000147E-2</v>
      </c>
      <c r="ES306" s="194">
        <f t="shared" ref="ES306" si="1788">ES305/EP305-1</f>
        <v>-4.0000000000000036E-2</v>
      </c>
      <c r="ET306" s="194">
        <f t="shared" ref="ET306" si="1789">ET305/EQ305-1</f>
        <v>-3.9999999999999925E-2</v>
      </c>
      <c r="EU306" s="1084">
        <f t="shared" ref="EU306" si="1790">EU305/ER305-1</f>
        <v>-3.9999999999999925E-2</v>
      </c>
      <c r="EV306" s="194">
        <f t="shared" ref="EV306" si="1791">EV305/ES305-1</f>
        <v>-4.0000000000000036E-2</v>
      </c>
      <c r="EW306" s="194">
        <f t="shared" ref="EW306" si="1792">EW305/ET305-1</f>
        <v>-4.0000000000000036E-2</v>
      </c>
      <c r="EX306" s="1084">
        <f t="shared" ref="EX306" si="1793">EX305/EU305-1</f>
        <v>-4.0000000000000147E-2</v>
      </c>
      <c r="EY306" s="194">
        <f t="shared" ref="EY306" si="1794">EY305/EV305-1</f>
        <v>-4.0000000000000036E-2</v>
      </c>
      <c r="EZ306" s="194">
        <f t="shared" ref="EZ306" si="1795">EZ305/EW305-1</f>
        <v>-4.0000000000000147E-2</v>
      </c>
      <c r="FA306" s="1084">
        <f t="shared" ref="FA306" si="1796">FA305/EX305-1</f>
        <v>-4.0000000000000147E-2</v>
      </c>
      <c r="FH306" s="35"/>
      <c r="FI306" s="35"/>
      <c r="FJ306" s="35"/>
      <c r="FK306" s="35"/>
      <c r="FL306" s="35"/>
      <c r="FM306" s="35"/>
      <c r="FN306" s="35"/>
      <c r="FO306" s="35"/>
      <c r="FP306" s="35"/>
      <c r="FQ306" s="35"/>
    </row>
    <row r="307" spans="1:173" outlineLevel="1">
      <c r="B307" s="35" t="s">
        <v>791</v>
      </c>
      <c r="D307" s="162" t="s">
        <v>153</v>
      </c>
      <c r="BA307" s="35"/>
      <c r="BB307" s="35"/>
      <c r="BC307" s="322"/>
      <c r="BD307" s="35"/>
      <c r="BE307" s="35"/>
      <c r="BG307" s="35"/>
      <c r="BH307" s="35"/>
      <c r="BJ307" s="35"/>
      <c r="BK307" s="35"/>
      <c r="BL307" s="31"/>
      <c r="BM307" s="190">
        <f t="shared" ref="BM307:CR307" si="1797">BM305*BM84</f>
        <v>785.94343389189214</v>
      </c>
      <c r="BN307" s="190">
        <f t="shared" si="1797"/>
        <v>762.13719883737951</v>
      </c>
      <c r="BO307" s="973">
        <f t="shared" si="1797"/>
        <v>789.38413704915649</v>
      </c>
      <c r="BP307" s="190">
        <f t="shared" si="1797"/>
        <v>952.67149854672437</v>
      </c>
      <c r="BQ307" s="190">
        <f t="shared" si="1797"/>
        <v>931.28402340435048</v>
      </c>
      <c r="BR307" s="973">
        <f t="shared" si="1797"/>
        <v>974.92696327666306</v>
      </c>
      <c r="BS307" s="190">
        <f t="shared" si="1797"/>
        <v>1810.7576130838338</v>
      </c>
      <c r="BT307" s="190">
        <f t="shared" si="1797"/>
        <v>1466.4136739206117</v>
      </c>
      <c r="BU307" s="190">
        <f t="shared" si="1797"/>
        <v>1625.1143823965247</v>
      </c>
      <c r="BV307" s="190">
        <f t="shared" si="1797"/>
        <v>1516.6056325712664</v>
      </c>
      <c r="BW307" s="190">
        <f t="shared" si="1797"/>
        <v>1216.0053026080193</v>
      </c>
      <c r="BX307" s="190">
        <f t="shared" si="1797"/>
        <v>1348.8799302080545</v>
      </c>
      <c r="BY307" s="190">
        <f t="shared" si="1797"/>
        <v>1795.5639381341941</v>
      </c>
      <c r="BZ307" s="190">
        <f t="shared" si="1797"/>
        <v>1187.8001811618731</v>
      </c>
      <c r="CA307" s="190">
        <f t="shared" si="1797"/>
        <v>1526.4517210156234</v>
      </c>
      <c r="CB307" s="190">
        <f t="shared" si="1797"/>
        <v>1622.5254414162018</v>
      </c>
      <c r="CC307" s="190">
        <f t="shared" si="1797"/>
        <v>1317.0328408722849</v>
      </c>
      <c r="CD307" s="190">
        <f t="shared" si="1797"/>
        <v>1463.8299412348715</v>
      </c>
      <c r="CE307" s="190">
        <f t="shared" si="1797"/>
        <v>1398.9982239794988</v>
      </c>
      <c r="CF307" s="190">
        <f t="shared" si="1797"/>
        <v>1392.7771380771476</v>
      </c>
      <c r="CG307" s="190">
        <f t="shared" si="1797"/>
        <v>1532.3400105211247</v>
      </c>
      <c r="CH307" s="190">
        <f t="shared" si="1797"/>
        <v>1454.6423559328939</v>
      </c>
      <c r="CI307" s="190">
        <f t="shared" si="1797"/>
        <v>1172.3993394522884</v>
      </c>
      <c r="CJ307" s="190">
        <f t="shared" si="1797"/>
        <v>1306.8228469268925</v>
      </c>
      <c r="CK307" s="190">
        <f t="shared" si="1797"/>
        <v>1712.0183095869986</v>
      </c>
      <c r="CL307" s="190">
        <f t="shared" si="1797"/>
        <v>1693.831484791355</v>
      </c>
      <c r="CM307" s="190">
        <f t="shared" si="1797"/>
        <v>1703.5492892943701</v>
      </c>
      <c r="CN307" s="190">
        <f t="shared" si="1797"/>
        <v>2241.0137349098459</v>
      </c>
      <c r="CO307" s="190">
        <f t="shared" si="1797"/>
        <v>1768.4829351543474</v>
      </c>
      <c r="CP307" s="190">
        <f t="shared" si="1797"/>
        <v>1830.1098882602635</v>
      </c>
      <c r="CQ307" s="190">
        <f t="shared" si="1797"/>
        <v>2237.5635106523937</v>
      </c>
      <c r="CR307" s="190">
        <f t="shared" si="1797"/>
        <v>2201.8959238555249</v>
      </c>
      <c r="CS307" s="190">
        <f t="shared" ref="CS307:DT307" si="1798">CS305*CS84</f>
        <v>2177.3428247147963</v>
      </c>
      <c r="CT307" s="190">
        <f t="shared" si="1798"/>
        <v>220.70367336129976</v>
      </c>
      <c r="CU307" s="190">
        <f t="shared" si="1798"/>
        <v>1733.0902627074452</v>
      </c>
      <c r="CV307" s="190">
        <f t="shared" si="1798"/>
        <v>1907.065390627261</v>
      </c>
      <c r="CW307" s="190">
        <f t="shared" si="1798"/>
        <v>1882.4049677250894</v>
      </c>
      <c r="CX307" s="190">
        <f t="shared" si="1798"/>
        <v>1772.9513387497163</v>
      </c>
      <c r="CY307" s="190">
        <f t="shared" si="1798"/>
        <v>1825.025529346419</v>
      </c>
      <c r="CZ307" s="190">
        <f t="shared" si="1798"/>
        <v>1861.3153287761213</v>
      </c>
      <c r="DA307" s="190">
        <f t="shared" si="1798"/>
        <v>1559.3301614231061</v>
      </c>
      <c r="DB307" s="190">
        <f t="shared" si="1798"/>
        <v>1708.6941300029314</v>
      </c>
      <c r="DC307" s="190">
        <f t="shared" si="1798"/>
        <v>1774.8227992421578</v>
      </c>
      <c r="DD307" s="190">
        <f t="shared" si="1798"/>
        <v>1542.2266578516753</v>
      </c>
      <c r="DE307" s="190">
        <f t="shared" si="1798"/>
        <v>1656.7358957479091</v>
      </c>
      <c r="DF307" s="190">
        <f t="shared" si="1798"/>
        <v>1762.3990396474628</v>
      </c>
      <c r="DG307" s="190">
        <f t="shared" si="1798"/>
        <v>1773.5606565294265</v>
      </c>
      <c r="DH307" s="1060">
        <f t="shared" si="1798"/>
        <v>1768.8445631647819</v>
      </c>
      <c r="DI307" s="190">
        <f t="shared" si="1798"/>
        <v>2117.5224461364264</v>
      </c>
      <c r="DJ307" s="190">
        <f t="shared" si="1798"/>
        <v>1590.8839089068956</v>
      </c>
      <c r="DK307" s="1060">
        <f t="shared" si="1798"/>
        <v>1805.4837880313371</v>
      </c>
      <c r="DL307" s="234">
        <f t="shared" si="1798"/>
        <v>1848.5970954771003</v>
      </c>
      <c r="DM307" s="234">
        <f t="shared" si="1798"/>
        <v>1466.5782844833459</v>
      </c>
      <c r="DN307" s="1060">
        <f t="shared" si="1798"/>
        <v>1681.4250965146207</v>
      </c>
      <c r="DO307" s="234">
        <f t="shared" si="1798"/>
        <v>1858.2269692779028</v>
      </c>
      <c r="DP307" s="234">
        <f t="shared" si="1798"/>
        <v>1684.5551534633335</v>
      </c>
      <c r="DQ307" s="1060">
        <f t="shared" si="1798"/>
        <v>1716.9122484349134</v>
      </c>
      <c r="DR307" s="234">
        <f t="shared" si="1798"/>
        <v>1896.5892778439948</v>
      </c>
      <c r="DS307" s="234">
        <f t="shared" si="1798"/>
        <v>1522.1368852029821</v>
      </c>
      <c r="DT307" s="1060">
        <f t="shared" si="1798"/>
        <v>1660.6604307385837</v>
      </c>
      <c r="DU307" s="234">
        <f t="shared" ref="DU307:DW307" si="1799">DU305*DU84</f>
        <v>1873.5261373956014</v>
      </c>
      <c r="DV307" s="234">
        <f t="shared" si="1799"/>
        <v>1369.923196682684</v>
      </c>
      <c r="DW307" s="1060">
        <f t="shared" si="1799"/>
        <v>1603.8010739917229</v>
      </c>
      <c r="DX307" s="234">
        <f t="shared" ref="DX307" si="1800">DX305*DX84</f>
        <v>1798.5850918997771</v>
      </c>
      <c r="DY307" s="234">
        <f t="shared" ref="DY307:ER307" si="1801">DY305*DY84</f>
        <v>1315.1262688153765</v>
      </c>
      <c r="DZ307" s="1060">
        <f t="shared" si="1801"/>
        <v>1513.4884564744643</v>
      </c>
      <c r="EA307" s="234">
        <f t="shared" si="1801"/>
        <v>1726.6416882237859</v>
      </c>
      <c r="EB307" s="234">
        <f t="shared" si="1801"/>
        <v>1262.5212180627614</v>
      </c>
      <c r="EC307" s="1060">
        <f t="shared" si="1801"/>
        <v>1459.2188080773437</v>
      </c>
      <c r="ED307" s="234">
        <f t="shared" si="1801"/>
        <v>1657.5760206948341</v>
      </c>
      <c r="EE307" s="234">
        <f t="shared" si="1801"/>
        <v>1212.0203693402509</v>
      </c>
      <c r="EF307" s="1060">
        <f t="shared" si="1801"/>
        <v>1400.8500557542498</v>
      </c>
      <c r="EG307" s="234">
        <f t="shared" si="1801"/>
        <v>1591.2729798670409</v>
      </c>
      <c r="EH307" s="234">
        <f t="shared" si="1801"/>
        <v>1163.5395545666408</v>
      </c>
      <c r="EI307" s="1060">
        <f t="shared" si="1801"/>
        <v>1344.8160535240797</v>
      </c>
      <c r="EJ307" s="234">
        <f t="shared" si="1801"/>
        <v>1527.6220606723593</v>
      </c>
      <c r="EK307" s="234">
        <f t="shared" si="1801"/>
        <v>1116.9979723839751</v>
      </c>
      <c r="EL307" s="1060">
        <f t="shared" si="1801"/>
        <v>1291.0234113831164</v>
      </c>
      <c r="EM307" s="234">
        <f t="shared" si="1801"/>
        <v>1466.5171782454647</v>
      </c>
      <c r="EN307" s="234">
        <f t="shared" si="1801"/>
        <v>1072.318053488616</v>
      </c>
      <c r="EO307" s="1060">
        <f t="shared" si="1801"/>
        <v>1239.3824749277917</v>
      </c>
      <c r="EP307" s="234">
        <f t="shared" si="1801"/>
        <v>1407.8564911156461</v>
      </c>
      <c r="EQ307" s="234">
        <f t="shared" si="1801"/>
        <v>1029.4253313490713</v>
      </c>
      <c r="ER307" s="1060">
        <f t="shared" si="1801"/>
        <v>1189.8071759306799</v>
      </c>
      <c r="ES307" s="234">
        <f t="shared" ref="ES307:EX307" si="1802">ES305*ES84</f>
        <v>1351.5422314710204</v>
      </c>
      <c r="ET307" s="234">
        <f t="shared" si="1802"/>
        <v>988.24831809510852</v>
      </c>
      <c r="EU307" s="1060">
        <f t="shared" si="1802"/>
        <v>1142.2148888934528</v>
      </c>
      <c r="EV307" s="234">
        <f t="shared" si="1802"/>
        <v>1297.4805422121794</v>
      </c>
      <c r="EW307" s="234">
        <f t="shared" si="1802"/>
        <v>948.71838537130407</v>
      </c>
      <c r="EX307" s="1060">
        <f t="shared" si="1802"/>
        <v>1096.5262933377146</v>
      </c>
      <c r="EY307" s="234">
        <f t="shared" ref="EY307:FA307" si="1803">EY305*EY84</f>
        <v>1245.5813205236921</v>
      </c>
      <c r="EZ307" s="234">
        <f t="shared" si="1803"/>
        <v>910.76964995645187</v>
      </c>
      <c r="FA307" s="1060">
        <f t="shared" si="1803"/>
        <v>1052.6652416042057</v>
      </c>
    </row>
    <row r="308" spans="1:173" outlineLevel="1">
      <c r="B308" s="31"/>
      <c r="BA308" s="35"/>
      <c r="BB308" s="35"/>
      <c r="BC308" s="322"/>
      <c r="BD308" s="35"/>
      <c r="BE308" s="35"/>
      <c r="BG308" s="35"/>
      <c r="BH308" s="35"/>
      <c r="BJ308" s="35"/>
      <c r="BK308" s="35"/>
      <c r="BL308" s="31"/>
      <c r="BM308" s="35"/>
      <c r="BN308" s="35"/>
      <c r="BO308" s="31"/>
      <c r="BP308" s="35"/>
      <c r="BQ308" s="35"/>
      <c r="BR308" s="1024"/>
      <c r="BS308" s="74"/>
      <c r="BT308" s="70"/>
      <c r="BU308" s="74"/>
      <c r="BV308" s="74"/>
      <c r="BW308" s="74"/>
      <c r="BX308" s="74"/>
      <c r="BY308" s="70"/>
      <c r="BZ308" s="70"/>
      <c r="CA308" s="70"/>
      <c r="CB308" s="70"/>
      <c r="CC308" s="70"/>
      <c r="CD308" s="70"/>
      <c r="CE308" s="70"/>
      <c r="CF308" s="70"/>
      <c r="CG308" s="70"/>
      <c r="CH308" s="70"/>
      <c r="CI308" s="70"/>
      <c r="CJ308" s="70"/>
      <c r="CK308" s="35"/>
      <c r="CL308" s="35"/>
      <c r="CN308" s="35"/>
      <c r="CO308" s="35"/>
      <c r="CQ308" s="35"/>
      <c r="CR308" s="35"/>
      <c r="CT308" s="35"/>
      <c r="CU308" s="35"/>
      <c r="CW308" s="35"/>
      <c r="CX308" s="35"/>
      <c r="CZ308" s="35"/>
      <c r="DA308" s="35"/>
      <c r="DC308" s="35"/>
      <c r="DD308" s="35"/>
      <c r="DF308" s="35"/>
      <c r="DG308" s="35"/>
      <c r="DH308" s="1067"/>
      <c r="DI308" s="35"/>
      <c r="DJ308" s="35"/>
      <c r="DK308" s="1067"/>
      <c r="DL308" s="35"/>
      <c r="DM308" s="35"/>
      <c r="DN308" s="1067"/>
      <c r="DO308" s="35"/>
      <c r="DP308" s="35"/>
      <c r="DQ308" s="1067"/>
      <c r="DR308" s="35"/>
      <c r="DS308" s="35"/>
      <c r="DT308" s="1067"/>
      <c r="DU308" s="35"/>
      <c r="DV308" s="35"/>
      <c r="DW308" s="1067"/>
      <c r="DX308" s="35"/>
      <c r="DY308" s="35"/>
      <c r="DZ308" s="1067"/>
      <c r="EA308" s="35"/>
      <c r="EB308" s="35"/>
      <c r="EC308" s="1067"/>
      <c r="ED308" s="35"/>
      <c r="EE308" s="35"/>
      <c r="EF308" s="1067"/>
      <c r="EG308" s="35"/>
      <c r="EH308" s="35"/>
      <c r="EI308" s="1067"/>
      <c r="EJ308" s="35"/>
      <c r="EK308" s="35"/>
      <c r="EL308" s="1067"/>
      <c r="EM308" s="35"/>
      <c r="EN308" s="35"/>
      <c r="EO308" s="1067"/>
      <c r="EP308" s="35"/>
      <c r="EQ308" s="35"/>
      <c r="ER308" s="1067"/>
      <c r="ES308" s="35"/>
      <c r="ET308" s="35"/>
      <c r="EU308" s="1067"/>
      <c r="EV308" s="35"/>
      <c r="EW308" s="35"/>
      <c r="EX308" s="1067"/>
      <c r="EY308" s="35"/>
      <c r="EZ308" s="35"/>
      <c r="FA308" s="1067"/>
    </row>
    <row r="309" spans="1:173" outlineLevel="1">
      <c r="B309" s="35" t="s">
        <v>429</v>
      </c>
      <c r="D309" s="162" t="s">
        <v>696</v>
      </c>
      <c r="BA309" s="35"/>
      <c r="BB309" s="35"/>
      <c r="BC309" s="322"/>
      <c r="BD309" s="35"/>
      <c r="BE309" s="35"/>
      <c r="BG309" s="35"/>
      <c r="BH309" s="35"/>
      <c r="BJ309" s="35"/>
      <c r="BK309" s="35"/>
      <c r="BL309" s="31"/>
      <c r="BM309" s="190">
        <f>BM307*BM275/1000000</f>
        <v>1.4933553998693065</v>
      </c>
      <c r="BN309" s="190">
        <f>BN307*BN275/1000000</f>
        <v>1.2325263478099551</v>
      </c>
      <c r="BO309" s="973">
        <f>SUM(BM309:BN309)</f>
        <v>2.7258817476792618</v>
      </c>
      <c r="BP309" s="190">
        <f>BP307*BP275/1000000</f>
        <v>2.2626900761983251</v>
      </c>
      <c r="BQ309" s="190">
        <f>BQ307*BQ275/1000000</f>
        <v>2.764865854984591</v>
      </c>
      <c r="BR309" s="973">
        <f>SUM(BP309:BQ309)</f>
        <v>5.0275559311829161</v>
      </c>
      <c r="BS309" s="190">
        <f>BS307*BS275/1000000</f>
        <v>5.559013640107505</v>
      </c>
      <c r="BT309" s="190">
        <f>BT307*BT275/1000000</f>
        <v>5.2661614994890122</v>
      </c>
      <c r="BU309" s="190">
        <f>SUM(BS309:BT309)</f>
        <v>10.825175139596517</v>
      </c>
      <c r="BV309" s="190">
        <f>BV307*BV275/1000000</f>
        <v>5.4386279609811305</v>
      </c>
      <c r="BW309" s="190">
        <f>BW307*BW275/1000000</f>
        <v>5.0929826718471274</v>
      </c>
      <c r="BX309" s="190">
        <f>SUM(BV309:BW309)</f>
        <v>10.531610632828258</v>
      </c>
      <c r="BY309" s="190">
        <f>BY307*BY275/1000000</f>
        <v>7.6441419981986742</v>
      </c>
      <c r="BZ309" s="190">
        <f>BZ307*BZ275/1000000</f>
        <v>5.6273810985446051</v>
      </c>
      <c r="CA309" s="190">
        <f>SUM(BY309:BZ309)</f>
        <v>13.27152309674328</v>
      </c>
      <c r="CB309" s="190">
        <f>CB307*CB275/1000000</f>
        <v>7.391344730002217</v>
      </c>
      <c r="CC309" s="190">
        <f>CC307*CC275/1000000</f>
        <v>6.4859811556646338</v>
      </c>
      <c r="CD309" s="190">
        <f>SUM(CB309:CC309)</f>
        <v>13.877325885666851</v>
      </c>
      <c r="CE309" s="190">
        <f>CE307*CE275/1000000</f>
        <v>5.8074656173329418</v>
      </c>
      <c r="CF309" s="190">
        <f>CF307*CF275/1000000</f>
        <v>6.3578114737037348</v>
      </c>
      <c r="CG309" s="190">
        <f>SUM(CE309:CF309)</f>
        <v>12.165277091036677</v>
      </c>
      <c r="CH309" s="190">
        <f>CH307*CH275/1000000</f>
        <v>6.4611450503604662</v>
      </c>
      <c r="CI309" s="190">
        <f>CI307*CI275/1000000</f>
        <v>5.4109137018055407</v>
      </c>
      <c r="CJ309" s="190">
        <f>SUM(CH309:CI309)</f>
        <v>11.872058752166007</v>
      </c>
      <c r="CK309" s="190">
        <f>CK307*CK275/1000000</f>
        <v>7.6883065771865668</v>
      </c>
      <c r="CL309" s="190">
        <f>CL307*CL275/1000000</f>
        <v>7.9037695603825284</v>
      </c>
      <c r="CM309" s="190">
        <f>SUM(CK309:CL309)</f>
        <v>15.592076137569094</v>
      </c>
      <c r="CN309" s="190">
        <f>CN307*CN275/1000000</f>
        <v>12.43008469731099</v>
      </c>
      <c r="CO309" s="190">
        <f>CO307*CO275/1000000</f>
        <v>10.192300597826337</v>
      </c>
      <c r="CP309" s="190">
        <f>SUM(CN309:CO309)</f>
        <v>22.622385295137327</v>
      </c>
      <c r="CQ309" s="190">
        <f>CQ307*CQ275/1000000</f>
        <v>13.652042319836449</v>
      </c>
      <c r="CR309" s="190">
        <f>CR307*CR275/1000000</f>
        <v>13.95920942432836</v>
      </c>
      <c r="CS309" s="190">
        <f>SUM(CQ309:CR309)</f>
        <v>27.611251744164811</v>
      </c>
      <c r="CT309" s="190">
        <f>CT307*CT275/1000000</f>
        <v>1.5510360918632502</v>
      </c>
      <c r="CU309" s="190">
        <f>CU307*CU275/1000000</f>
        <v>12.70275234233724</v>
      </c>
      <c r="CV309" s="190">
        <f>SUM(CT309:CU309)</f>
        <v>14.253788434200491</v>
      </c>
      <c r="CW309" s="190">
        <f>CW307*CW275/1000000</f>
        <v>15.239751364236257</v>
      </c>
      <c r="CX309" s="190">
        <f>CX307*CX275/1000000</f>
        <v>16.484405037183752</v>
      </c>
      <c r="CY309" s="190">
        <f>SUM(CW309:CX309)</f>
        <v>31.724156401420011</v>
      </c>
      <c r="CZ309" s="190">
        <f>CZ307*CZ275/1000000</f>
        <v>15.666730257086749</v>
      </c>
      <c r="DA309" s="190">
        <f>DA307*DA275/1000000</f>
        <v>13.977946778377072</v>
      </c>
      <c r="DB309" s="190">
        <f>SUM(CZ309:DA309)</f>
        <v>29.644677035463822</v>
      </c>
      <c r="DC309" s="190">
        <f>DC307*DC275/1000000</f>
        <v>17.054770017472308</v>
      </c>
      <c r="DD309" s="190">
        <f>DD307*DD275/1000000</f>
        <v>15.785659934133808</v>
      </c>
      <c r="DE309" s="190">
        <f>SUM(DC309:DD309)</f>
        <v>32.840429951606112</v>
      </c>
      <c r="DF309" s="190">
        <f>DF307*DF275/1000000</f>
        <v>14.784592525676555</v>
      </c>
      <c r="DG309" s="190">
        <f>DG307*DG275/1000000</f>
        <v>12.798223791598984</v>
      </c>
      <c r="DH309" s="1060">
        <f>SUM(DF309:DG309)</f>
        <v>27.582816317275537</v>
      </c>
      <c r="DI309" s="190">
        <f>DI307*DI275/1000000</f>
        <v>9.12627364461094</v>
      </c>
      <c r="DJ309" s="190">
        <f>DJ307*DJ275/1000000</f>
        <v>8.8690668182525947</v>
      </c>
      <c r="DK309" s="1060">
        <f>SUM(DI309:DJ309)</f>
        <v>17.995340462863535</v>
      </c>
      <c r="DL309" s="234">
        <f>DL307*DL275/1000000</f>
        <v>12.618774182475775</v>
      </c>
      <c r="DM309" s="234">
        <f>DM307*DM275/1000000</f>
        <v>9.6654995489330346</v>
      </c>
      <c r="DN309" s="1060">
        <f>SUM(DL309:DM309)</f>
        <v>22.28427373140881</v>
      </c>
      <c r="DO309" s="234">
        <f>DO307*DO275/1000000</f>
        <v>14.330491309568977</v>
      </c>
      <c r="DP309" s="234">
        <f>DP307*DP275/1000000</f>
        <v>11.927447245118099</v>
      </c>
      <c r="DQ309" s="1060">
        <f>SUM(DO309:DP309)</f>
        <v>26.257938554687076</v>
      </c>
      <c r="DR309" s="234">
        <f>DR307*DR275/1000000</f>
        <v>12.632601361800603</v>
      </c>
      <c r="DS309" s="234">
        <f>DS307*DS275/1000000</f>
        <v>12.824650506014239</v>
      </c>
      <c r="DT309" s="1060">
        <f>SUM(DR309:DS309)</f>
        <v>25.45725186781484</v>
      </c>
      <c r="DU309" s="234">
        <f>DU307*DU275/1000000</f>
        <v>14.858792222586327</v>
      </c>
      <c r="DV309" s="234">
        <f>DV307*DV275/1000000</f>
        <v>11.232426779909428</v>
      </c>
      <c r="DW309" s="1060">
        <f>SUM(DU309:DV309)</f>
        <v>26.091219002495755</v>
      </c>
      <c r="DX309" s="234">
        <f>DX307*DX275/1000000</f>
        <v>13.477747069649986</v>
      </c>
      <c r="DY309" s="234">
        <f>DY307*DY275/1000000</f>
        <v>12.131020922302183</v>
      </c>
      <c r="DZ309" s="1060">
        <f>SUM(DX309:DY309)</f>
        <v>25.60876799195217</v>
      </c>
      <c r="EA309" s="234">
        <f>EA307*EA275/1000000</f>
        <v>14.361887277419028</v>
      </c>
      <c r="EB309" s="234">
        <f>EB307*EB275/1000000</f>
        <v>12.228069089680599</v>
      </c>
      <c r="EC309" s="1060">
        <f>SUM(EA309:EB309)</f>
        <v>26.589956367099624</v>
      </c>
      <c r="ED309" s="234">
        <f>ED307*ED275/1000000</f>
        <v>14.752530611364822</v>
      </c>
      <c r="EE309" s="234">
        <f>EE307*EE275/1000000</f>
        <v>12.560672568919914</v>
      </c>
      <c r="EF309" s="1060">
        <f>SUM(ED309:EE309)</f>
        <v>27.313203180284738</v>
      </c>
      <c r="EG309" s="234">
        <f>EG307*EG275/1000000</f>
        <v>15.437048031732152</v>
      </c>
      <c r="EH309" s="234">
        <f>EH307*EH275/1000000</f>
        <v>13.143487776117798</v>
      </c>
      <c r="EI309" s="1060">
        <f>SUM(EG309:EH309)</f>
        <v>28.580535807849948</v>
      </c>
      <c r="EJ309" s="234">
        <f>EJ307*EJ275/1000000</f>
        <v>16.153327060404525</v>
      </c>
      <c r="EK309" s="234">
        <f>EK307*EK275/1000000</f>
        <v>13.753345608929665</v>
      </c>
      <c r="EL309" s="1060">
        <f>SUM(EJ309:EK309)</f>
        <v>29.906672669334192</v>
      </c>
      <c r="EM309" s="234">
        <f>EM307*EM275/1000000</f>
        <v>16.902841436007296</v>
      </c>
      <c r="EN309" s="234">
        <f>EN307*EN275/1000000</f>
        <v>14.391500845184</v>
      </c>
      <c r="EO309" s="1060">
        <f>SUM(EM309:EN309)</f>
        <v>31.294342281191298</v>
      </c>
      <c r="EP309" s="234">
        <f>EP307*EP275/1000000</f>
        <v>17.687133278638036</v>
      </c>
      <c r="EQ309" s="234">
        <f>EQ307*EQ275/1000000</f>
        <v>15.059266484400537</v>
      </c>
      <c r="ER309" s="1060">
        <f>SUM(EP309:EQ309)</f>
        <v>32.746399763038575</v>
      </c>
      <c r="ES309" s="234">
        <f>ES307*ES275/1000000</f>
        <v>18.507816262766841</v>
      </c>
      <c r="ET309" s="234">
        <f>ET307*ET275/1000000</f>
        <v>15.758016449276726</v>
      </c>
      <c r="EU309" s="1060">
        <f>SUM(ES309:ET309)</f>
        <v>34.265832712043569</v>
      </c>
      <c r="EV309" s="234">
        <f>EV307*EV275/1000000</f>
        <v>19.366578937359222</v>
      </c>
      <c r="EW309" s="234">
        <f>EW307*EW275/1000000</f>
        <v>16.489188412523166</v>
      </c>
      <c r="EX309" s="1060">
        <f>SUM(EV309:EW309)</f>
        <v>35.855767349882385</v>
      </c>
      <c r="EY309" s="234">
        <f>EY307*EY275/1000000</f>
        <v>20.265188200052691</v>
      </c>
      <c r="EZ309" s="234">
        <f>EZ307*EZ275/1000000</f>
        <v>17.254286754864243</v>
      </c>
      <c r="FA309" s="1060">
        <f>SUM(EY309:EZ309)</f>
        <v>37.51947495491693</v>
      </c>
    </row>
    <row r="310" spans="1:173" outlineLevel="1">
      <c r="B310" s="31"/>
      <c r="D310" s="162" t="s">
        <v>604</v>
      </c>
      <c r="BA310" s="35"/>
      <c r="BB310" s="35"/>
      <c r="BC310" s="322"/>
      <c r="BD310" s="35"/>
      <c r="BE310" s="35"/>
      <c r="BG310" s="35"/>
      <c r="BH310" s="35"/>
      <c r="BJ310" s="35"/>
      <c r="BK310" s="35"/>
      <c r="BL310" s="31"/>
      <c r="BM310" s="70">
        <f>BM309/BM78</f>
        <v>2.6548540442121005</v>
      </c>
      <c r="BN310" s="70">
        <f>BN309/BN78</f>
        <v>2.0542105796832586</v>
      </c>
      <c r="BO310" s="1024">
        <f>SUM(BM310:BN310)</f>
        <v>4.7090646238953591</v>
      </c>
      <c r="BP310" s="70">
        <f>BP309/BP78</f>
        <v>3.7711501269972088</v>
      </c>
      <c r="BQ310" s="70">
        <f>BQ309/BQ78</f>
        <v>4.608109758307652</v>
      </c>
      <c r="BR310" s="1024">
        <f>SUM(BP310:BQ310)</f>
        <v>8.3792598853048617</v>
      </c>
      <c r="BS310" s="70">
        <f>BS309/BS78</f>
        <v>9.2650227335125095</v>
      </c>
      <c r="BT310" s="70">
        <f>BT309/BT78</f>
        <v>8.7769358324816871</v>
      </c>
      <c r="BU310" s="70">
        <f>SUM(BS310:BT310)</f>
        <v>18.041958565994197</v>
      </c>
      <c r="BV310" s="70">
        <f>BV309/BV78</f>
        <v>8.827651740786461</v>
      </c>
      <c r="BW310" s="70">
        <f>BW309/BW78</f>
        <v>8.4460740826652199</v>
      </c>
      <c r="BX310" s="70">
        <f>SUM(BV310:BW310)</f>
        <v>17.273725823451681</v>
      </c>
      <c r="BY310" s="70">
        <f>BY309/BY78</f>
        <v>13.650253568211918</v>
      </c>
      <c r="BZ310" s="70">
        <f>BZ309/BZ78</f>
        <v>8.3416972592456222</v>
      </c>
      <c r="CA310" s="70">
        <f>SUM(BY310:BZ310)</f>
        <v>21.99195082745754</v>
      </c>
      <c r="CB310" s="70">
        <f>CB309/CB78</f>
        <v>12.33381123858365</v>
      </c>
      <c r="CC310" s="70">
        <f>CC309/CC78</f>
        <v>9.6144352554546622</v>
      </c>
      <c r="CD310" s="70">
        <f>SUM(CB310:CC310)</f>
        <v>21.948246494038312</v>
      </c>
      <c r="CE310" s="70">
        <f>CE309/CE78</f>
        <v>8.166061159347425</v>
      </c>
      <c r="CF310" s="70">
        <f>CF309/CF78</f>
        <v>8.5836634532430445</v>
      </c>
      <c r="CG310" s="70">
        <f>SUM(CE310:CF310)</f>
        <v>16.74972461259047</v>
      </c>
      <c r="CH310" s="70">
        <f>CH309/CH78</f>
        <v>8.7312770950817118</v>
      </c>
      <c r="CI310" s="70">
        <f>CI309/CI78</f>
        <v>6.7636421272569258</v>
      </c>
      <c r="CJ310" s="70">
        <f>SUM(CH310:CI310)</f>
        <v>15.494919222338638</v>
      </c>
      <c r="CK310" s="70">
        <f>CK309/CK78</f>
        <v>9.5835955262462331</v>
      </c>
      <c r="CL310" s="70">
        <f>CL309/CL78</f>
        <v>10.113009533161453</v>
      </c>
      <c r="CM310" s="70">
        <f>SUM(CK310:CL310)</f>
        <v>19.696605059407688</v>
      </c>
      <c r="CN310" s="70">
        <f>CN309/CN78</f>
        <v>18.552365219867148</v>
      </c>
      <c r="CO310" s="70">
        <f>CO309/CO78</f>
        <v>15.269860719330712</v>
      </c>
      <c r="CP310" s="70">
        <f>SUM(CN310:CO310)</f>
        <v>33.822225939197864</v>
      </c>
      <c r="CQ310" s="70">
        <f>CQ309/CQ78</f>
        <v>19.785568579473114</v>
      </c>
      <c r="CR310" s="70">
        <f>CR309/CR78</f>
        <v>20.834640931833373</v>
      </c>
      <c r="CS310" s="70">
        <f>SUM(CQ310:CR310)</f>
        <v>40.620209511306484</v>
      </c>
      <c r="CT310" s="70">
        <f>CT309/CT78</f>
        <v>2.3670604599151739</v>
      </c>
      <c r="CU310" s="70">
        <f>CU309/CU78</f>
        <v>19.316408189784294</v>
      </c>
      <c r="CV310" s="70">
        <f>SUM(CT310:CU310)</f>
        <v>21.683468649699467</v>
      </c>
      <c r="CW310" s="70">
        <f>CW309/CW78</f>
        <v>22.178608328777987</v>
      </c>
      <c r="CX310" s="70">
        <f>CX309/CX78</f>
        <v>23.656148633090858</v>
      </c>
      <c r="CY310" s="70">
        <f>SUM(CW310:CX310)</f>
        <v>45.834756961868848</v>
      </c>
      <c r="CZ310" s="70">
        <f>CZ309/CZ78</f>
        <v>23.62231647014362</v>
      </c>
      <c r="DA310" s="70">
        <f>DA309/DA78</f>
        <v>21.950891558202922</v>
      </c>
      <c r="DB310" s="70">
        <f>SUM(CZ310:DA310)</f>
        <v>45.573208028346542</v>
      </c>
      <c r="DC310" s="70">
        <f>DC309/DC78</f>
        <v>27.124667028448773</v>
      </c>
      <c r="DD310" s="70">
        <f>DD309/DD78</f>
        <v>24.95507946897591</v>
      </c>
      <c r="DE310" s="70">
        <f>SUM(DC310:DD310)</f>
        <v>52.079746497424679</v>
      </c>
      <c r="DF310" s="70">
        <f>DF309/DF78</f>
        <v>23.749230203620534</v>
      </c>
      <c r="DG310" s="70">
        <f>DG309/DG78</f>
        <v>21.330372985998306</v>
      </c>
      <c r="DH310" s="1070">
        <f>SUM(DF310:DG310)</f>
        <v>45.079603189618837</v>
      </c>
      <c r="DI310" s="70">
        <f>DI309/DI78</f>
        <v>14.898951357769119</v>
      </c>
      <c r="DJ310" s="70">
        <f>DJ309/DJ78</f>
        <v>14.144069101530008</v>
      </c>
      <c r="DK310" s="1070">
        <f>SUM(DI310:DJ310)</f>
        <v>29.043020459299129</v>
      </c>
      <c r="DL310" s="233">
        <f>DL309/DL78</f>
        <v>19.716834660118398</v>
      </c>
      <c r="DM310" s="233">
        <f>DM309/DM78</f>
        <v>15.031881102539712</v>
      </c>
      <c r="DN310" s="1070">
        <f>SUM(DL310:DM310)</f>
        <v>34.748715762658108</v>
      </c>
      <c r="DO310" s="233">
        <f>DO309/DO78</f>
        <v>21.691216899052964</v>
      </c>
      <c r="DP310" s="233">
        <f>DP309/DP78</f>
        <v>19.082548523235481</v>
      </c>
      <c r="DQ310" s="1070">
        <f>SUM(DO310:DP310)</f>
        <v>40.773765422288449</v>
      </c>
      <c r="DR310" s="233">
        <f>DR309/DR78</f>
        <v>20.930578979574381</v>
      </c>
      <c r="DS310" s="233">
        <f>DS309/DS78</f>
        <v>21.046514354396738</v>
      </c>
      <c r="DT310" s="1070">
        <f>SUM(DR310:DS310)</f>
        <v>41.977093333971119</v>
      </c>
      <c r="DU310" s="233">
        <f>DU309/DU78</f>
        <v>24.336823302227867</v>
      </c>
      <c r="DV310" s="233">
        <f>DV309/DV78</f>
        <v>19.36625306880936</v>
      </c>
      <c r="DW310" s="1070">
        <f>SUM(DU310:DV310)</f>
        <v>43.703076371037227</v>
      </c>
      <c r="DX310" s="233">
        <f>DX309/DX78</f>
        <v>23.984208658138744</v>
      </c>
      <c r="DY310" s="233">
        <f>DY309/DY78</f>
        <v>20.21836820383697</v>
      </c>
      <c r="DZ310" s="1070">
        <f>SUM(DX310:DY310)</f>
        <v>44.202576861975714</v>
      </c>
      <c r="EA310" s="233">
        <f>EA309/EA78</f>
        <v>23.936478795698381</v>
      </c>
      <c r="EB310" s="233">
        <f>EB309/EB78</f>
        <v>20.380115149467667</v>
      </c>
      <c r="EC310" s="1070">
        <f>SUM(EA310:EB310)</f>
        <v>44.316593945166048</v>
      </c>
      <c r="ED310" s="233">
        <f>ED309/ED78</f>
        <v>24.587551018941372</v>
      </c>
      <c r="EE310" s="233">
        <f>EE309/EE78</f>
        <v>20.934454281533192</v>
      </c>
      <c r="EF310" s="1070">
        <f>SUM(ED310:EE310)</f>
        <v>45.522005300474561</v>
      </c>
      <c r="EG310" s="233">
        <f>EG309/EG78</f>
        <v>25.728413386220254</v>
      </c>
      <c r="EH310" s="233">
        <f>EH309/EH78</f>
        <v>21.905812960196332</v>
      </c>
      <c r="EI310" s="1070">
        <f>SUM(EG310:EH310)</f>
        <v>47.634226346416582</v>
      </c>
      <c r="EJ310" s="233">
        <f>EJ309/EJ78</f>
        <v>26.922211767340876</v>
      </c>
      <c r="EK310" s="233">
        <f>EK309/EK78</f>
        <v>22.922242681549442</v>
      </c>
      <c r="EL310" s="1070">
        <f>SUM(EJ310:EK310)</f>
        <v>49.844454448890318</v>
      </c>
      <c r="EM310" s="233">
        <f>EM309/EM78</f>
        <v>28.171402393345495</v>
      </c>
      <c r="EN310" s="233">
        <f>EN309/EN78</f>
        <v>23.985834741973335</v>
      </c>
      <c r="EO310" s="1070">
        <f>SUM(EM310:EN310)</f>
        <v>52.15723713531883</v>
      </c>
      <c r="EP310" s="233">
        <f>EP309/EP78</f>
        <v>29.478555464396727</v>
      </c>
      <c r="EQ310" s="233">
        <f>EQ309/EQ78</f>
        <v>25.098777474000894</v>
      </c>
      <c r="ER310" s="1070">
        <f>SUM(EP310:EQ310)</f>
        <v>54.577332938397618</v>
      </c>
      <c r="ES310" s="233">
        <f>ES309/ES78</f>
        <v>30.846360437944735</v>
      </c>
      <c r="ET310" s="233">
        <f>ET309/ET78</f>
        <v>26.263360748794543</v>
      </c>
      <c r="EU310" s="1070">
        <f>SUM(ES310:ET310)</f>
        <v>57.109721186739279</v>
      </c>
      <c r="EV310" s="233">
        <f>EV309/EV78</f>
        <v>32.27763156226537</v>
      </c>
      <c r="EW310" s="233">
        <f>EW309/EW78</f>
        <v>27.481980687538613</v>
      </c>
      <c r="EX310" s="1070">
        <f>SUM(EV310:EW310)</f>
        <v>59.759612249803979</v>
      </c>
      <c r="EY310" s="233">
        <f>EY309/EY78</f>
        <v>33.775313666754485</v>
      </c>
      <c r="EZ310" s="233">
        <f>EZ309/EZ78</f>
        <v>28.757144591440404</v>
      </c>
      <c r="FA310" s="1070">
        <f>SUM(EY310:EZ310)</f>
        <v>62.532458258194893</v>
      </c>
    </row>
    <row r="311" spans="1:173" outlineLevel="1">
      <c r="B311" s="31"/>
      <c r="BA311" s="35"/>
      <c r="BB311" s="35"/>
      <c r="BC311" s="322"/>
      <c r="BD311" s="35"/>
      <c r="BE311" s="35"/>
      <c r="BG311" s="35"/>
      <c r="BH311" s="35"/>
      <c r="BJ311" s="35"/>
      <c r="BK311" s="35"/>
      <c r="BL311" s="31"/>
      <c r="BM311" s="35"/>
      <c r="BN311" s="35"/>
      <c r="BO311" s="31"/>
      <c r="BP311" s="35"/>
      <c r="BQ311" s="35"/>
      <c r="BR311" s="31"/>
      <c r="BS311" s="35"/>
      <c r="BT311" s="35"/>
      <c r="BV311" s="35"/>
      <c r="BW311" s="35"/>
      <c r="BY311" s="35"/>
      <c r="BZ311" s="35"/>
      <c r="CB311" s="35"/>
      <c r="CC311" s="35"/>
      <c r="CE311" s="35"/>
      <c r="CF311" s="35"/>
      <c r="CH311" s="35"/>
      <c r="CI311" s="35"/>
      <c r="CK311" s="35"/>
      <c r="CL311" s="35"/>
      <c r="CN311" s="35"/>
      <c r="CO311" s="35"/>
      <c r="CQ311" s="35"/>
      <c r="CR311" s="35"/>
      <c r="CT311" s="35"/>
      <c r="CU311" s="35"/>
      <c r="CW311" s="35"/>
      <c r="CX311" s="35"/>
      <c r="CZ311" s="35"/>
      <c r="DA311" s="35"/>
      <c r="DC311" s="35"/>
      <c r="DD311" s="35"/>
      <c r="DF311" s="35"/>
      <c r="DG311" s="35"/>
      <c r="DH311" s="1070"/>
      <c r="DI311" s="35"/>
      <c r="DJ311" s="35"/>
      <c r="DK311" s="1070"/>
      <c r="DL311" s="233"/>
      <c r="DM311" s="233"/>
      <c r="DN311" s="1070"/>
      <c r="DO311" s="233"/>
      <c r="DP311" s="233"/>
      <c r="DQ311" s="1070"/>
      <c r="DR311" s="233"/>
      <c r="DS311" s="233"/>
      <c r="DT311" s="1070"/>
      <c r="DU311" s="233"/>
      <c r="DV311" s="233"/>
      <c r="DW311" s="1070"/>
      <c r="DX311" s="233"/>
      <c r="DY311" s="233"/>
      <c r="DZ311" s="1070"/>
      <c r="EA311" s="233"/>
      <c r="EB311" s="233"/>
      <c r="EC311" s="1070"/>
      <c r="ED311" s="233"/>
      <c r="EE311" s="233"/>
      <c r="EF311" s="1070"/>
      <c r="EG311" s="233"/>
      <c r="EH311" s="233"/>
      <c r="EI311" s="1070"/>
      <c r="EJ311" s="233"/>
      <c r="EK311" s="233"/>
      <c r="EL311" s="1070"/>
      <c r="EM311" s="233"/>
      <c r="EN311" s="233"/>
      <c r="EO311" s="1070"/>
      <c r="EP311" s="233"/>
      <c r="EQ311" s="233"/>
      <c r="ER311" s="1070"/>
      <c r="ES311" s="233"/>
      <c r="ET311" s="233"/>
      <c r="EU311" s="1070"/>
      <c r="EV311" s="233"/>
      <c r="EW311" s="233"/>
      <c r="EX311" s="1070"/>
      <c r="EY311" s="233"/>
      <c r="EZ311" s="233"/>
      <c r="FA311" s="1070"/>
    </row>
    <row r="312" spans="1:173" outlineLevel="1">
      <c r="B312" s="35" t="s">
        <v>486</v>
      </c>
      <c r="D312" s="162" t="s">
        <v>153</v>
      </c>
      <c r="BA312" s="35"/>
      <c r="BB312" s="35"/>
      <c r="BC312" s="322"/>
      <c r="BD312" s="35"/>
      <c r="BE312" s="35"/>
      <c r="BG312" s="35"/>
      <c r="BH312" s="35"/>
      <c r="BJ312" s="35"/>
      <c r="BK312" s="35"/>
      <c r="BL312" s="31"/>
      <c r="BM312" s="70">
        <f>BM280-BM309</f>
        <v>5.5889662660589154</v>
      </c>
      <c r="BN312" s="70">
        <f>BN280-BN309</f>
        <v>4.7953844042699378</v>
      </c>
      <c r="BO312" s="1024">
        <f>SUM(BM312:BN312)</f>
        <v>10.384350670328853</v>
      </c>
      <c r="BP312" s="70">
        <f>BP280-BP309</f>
        <v>6.5902120062119529</v>
      </c>
      <c r="BQ312" s="70">
        <f>BQ280-BQ309</f>
        <v>8.3012617480282564</v>
      </c>
      <c r="BR312" s="1024">
        <f>SUM(BP312:BQ312)</f>
        <v>14.891473754240209</v>
      </c>
      <c r="BS312" s="70">
        <f>BS280-BS309</f>
        <v>5.8840201646706323</v>
      </c>
      <c r="BT312" s="70">
        <f>BT280-BT309</f>
        <v>8.1195491553914554</v>
      </c>
      <c r="BU312" s="70">
        <f>SUM(BS312:BT312)</f>
        <v>14.003569320062088</v>
      </c>
      <c r="BV312" s="70">
        <f>BV280-BV309</f>
        <v>7.9279565203515228</v>
      </c>
      <c r="BW312" s="70">
        <f>BW280-BW309</f>
        <v>10.518368418223851</v>
      </c>
      <c r="BX312" s="70">
        <f>SUM(BV312:BW312)</f>
        <v>18.446324938575373</v>
      </c>
      <c r="BY312" s="70">
        <f>BY280-BY309</f>
        <v>8.2242029447257039</v>
      </c>
      <c r="BZ312" s="70">
        <f>BZ280-BZ309</f>
        <v>12.031643088992498</v>
      </c>
      <c r="CA312" s="70">
        <f>SUM(BY312:BZ312)</f>
        <v>20.2558460337182</v>
      </c>
      <c r="CB312" s="70">
        <f>CB280-CB309</f>
        <v>9.588577776174013</v>
      </c>
      <c r="CC312" s="70">
        <f>CC280-CC309</f>
        <v>11.870221306796436</v>
      </c>
      <c r="CD312" s="70">
        <f>SUM(CB312:CC312)</f>
        <v>21.458799082970451</v>
      </c>
      <c r="CE312" s="70">
        <f>CE280-CE309</f>
        <v>9.6654887664201468</v>
      </c>
      <c r="CF312" s="70">
        <f>CF280-CF309</f>
        <v>10.703073650220617</v>
      </c>
      <c r="CG312" s="70">
        <f>SUM(CE312:CF312)</f>
        <v>20.368562416640764</v>
      </c>
      <c r="CH312" s="70">
        <f>CH280-CH309</f>
        <v>9.4326736926307042</v>
      </c>
      <c r="CI312" s="70">
        <f>CI280-CI309</f>
        <v>11.752104596049147</v>
      </c>
      <c r="CJ312" s="70">
        <f>SUM(CH312:CI312)</f>
        <v>21.184778288679851</v>
      </c>
      <c r="CK312" s="70">
        <f>CK280-CK309</f>
        <v>7.2561535437250013</v>
      </c>
      <c r="CL312" s="70">
        <f>CL280-CL309</f>
        <v>10.213303702939715</v>
      </c>
      <c r="CM312" s="70">
        <f>SUM(CK312:CL312)</f>
        <v>17.469457246664717</v>
      </c>
      <c r="CN312" s="70">
        <f>CN280-CN309</f>
        <v>6.0280373075754401</v>
      </c>
      <c r="CO312" s="70">
        <f>CO280-CO309</f>
        <v>13.358603654194626</v>
      </c>
      <c r="CP312" s="70">
        <f>SUM(CN312:CO312)</f>
        <v>19.386640961770066</v>
      </c>
      <c r="CQ312" s="70">
        <f>CQ280-CQ309</f>
        <v>6.6518918855386264</v>
      </c>
      <c r="CR312" s="70">
        <f>CR280-CR309</f>
        <v>7.137852518838411</v>
      </c>
      <c r="CS312" s="70">
        <f>SUM(CQ312:CR312)</f>
        <v>13.789744404377037</v>
      </c>
      <c r="CT312" s="70">
        <f>CT280-CT309</f>
        <v>21.835736078652886</v>
      </c>
      <c r="CU312" s="70">
        <f>CU280-CU309</f>
        <v>11.688527643260338</v>
      </c>
      <c r="CV312" s="70">
        <f>SUM(CT312:CU312)</f>
        <v>33.524263721913222</v>
      </c>
      <c r="CW312" s="70">
        <f>CW280-CW309</f>
        <v>11.701810176198327</v>
      </c>
      <c r="CX312" s="70">
        <f>CX280-CX309</f>
        <v>14.456599091240857</v>
      </c>
      <c r="CY312" s="70">
        <f>SUM(CW312:CX312)</f>
        <v>26.158409267439183</v>
      </c>
      <c r="CZ312" s="70">
        <f>CZ280-CZ309</f>
        <v>12.343479087049426</v>
      </c>
      <c r="DA312" s="70">
        <f>DA280-DA309</f>
        <v>15.852739576375962</v>
      </c>
      <c r="DB312" s="70">
        <f>SUM(CZ312:DA312)</f>
        <v>28.196218663425388</v>
      </c>
      <c r="DC312" s="70">
        <f>DC280-DC309</f>
        <v>14.923046848012213</v>
      </c>
      <c r="DD312" s="70">
        <f>DD280-DD309</f>
        <v>18.276523200381686</v>
      </c>
      <c r="DE312" s="70">
        <f>SUM(DC312:DD312)</f>
        <v>33.199570048393895</v>
      </c>
      <c r="DF312" s="70">
        <f>DF280-DF309</f>
        <v>13.132041597891433</v>
      </c>
      <c r="DG312" s="70">
        <f>DG280-DG309</f>
        <v>11.215615318234443</v>
      </c>
      <c r="DH312" s="1070">
        <f>SUM(DF312:DG312)</f>
        <v>24.347656916125878</v>
      </c>
      <c r="DI312" s="70">
        <f>DI280-DI309</f>
        <v>5.2161784070853443</v>
      </c>
      <c r="DJ312" s="70">
        <f>DJ280-DJ309</f>
        <v>10.555174369755402</v>
      </c>
      <c r="DK312" s="1070">
        <f>SUM(DI312:DJ312)</f>
        <v>15.771352776840747</v>
      </c>
      <c r="DL312" s="233">
        <f>DL280-DL309</f>
        <v>10.097277332304063</v>
      </c>
      <c r="DM312" s="233">
        <f>DM280-DM309</f>
        <v>13.297238898632962</v>
      </c>
      <c r="DN312" s="1070">
        <f>SUM(DL312:DM312)</f>
        <v>23.394516230937025</v>
      </c>
      <c r="DO312" s="233">
        <f>DO280-DO309</f>
        <v>11.333267427907433</v>
      </c>
      <c r="DP312" s="233">
        <f>DP280-DP309</f>
        <v>12.742424635950055</v>
      </c>
      <c r="DQ312" s="1070">
        <f>SUM(DO312:DP312)</f>
        <v>24.075692063857488</v>
      </c>
      <c r="DR312" s="233">
        <f>DR280-DR309</f>
        <v>9.5328940916579619</v>
      </c>
      <c r="DS312" s="233">
        <f>DS280-DS309</f>
        <v>16.531320688465136</v>
      </c>
      <c r="DT312" s="1070">
        <f>SUM(DR312:DS312)</f>
        <v>26.064214780123098</v>
      </c>
      <c r="DU312" s="233">
        <f>DU280-DU309</f>
        <v>11.533778634220575</v>
      </c>
      <c r="DV312" s="233">
        <f>DV280-DV309</f>
        <v>17.335715559242274</v>
      </c>
      <c r="DW312" s="1070">
        <f>SUM(DU312:DV312)</f>
        <v>28.869494193462849</v>
      </c>
      <c r="DX312" s="233">
        <f>DX280-DX309</f>
        <v>11.459255800242385</v>
      </c>
      <c r="DY312" s="233">
        <f>DY280-DY309</f>
        <v>20.008139209243481</v>
      </c>
      <c r="DZ312" s="1070">
        <f>SUM(DX312:DY312)</f>
        <v>31.467395009485866</v>
      </c>
      <c r="EA312" s="233">
        <f>EA280-EA309</f>
        <v>13.318185908161508</v>
      </c>
      <c r="EB312" s="233">
        <f>EB280-EB309</f>
        <v>21.518049048442354</v>
      </c>
      <c r="EC312" s="1070">
        <f>SUM(EA312:EB312)</f>
        <v>34.83623495660386</v>
      </c>
      <c r="ED312" s="233">
        <f>ED280-ED309</f>
        <v>14.86514769720635</v>
      </c>
      <c r="EE312" s="233">
        <f>EE280-EE309</f>
        <v>23.547673838871653</v>
      </c>
      <c r="EF312" s="1070">
        <f>SUM(ED312:EE312)</f>
        <v>38.412821536077999</v>
      </c>
      <c r="EG312" s="233">
        <f>EG280-EG309</f>
        <v>16.846221324610426</v>
      </c>
      <c r="EH312" s="233">
        <f>EH280-EH309</f>
        <v>26.214609808375013</v>
      </c>
      <c r="EI312" s="1070">
        <f>SUM(EG312:EH312)</f>
        <v>43.060831132985442</v>
      </c>
      <c r="EJ312" s="233">
        <f>EJ280-EJ309</f>
        <v>19.035436538008891</v>
      </c>
      <c r="EK312" s="233">
        <f>EK280-EK309</f>
        <v>29.146980758167501</v>
      </c>
      <c r="EL312" s="1070">
        <f>SUM(EJ312:EK312)</f>
        <v>48.182417296176396</v>
      </c>
      <c r="EM312" s="233">
        <f>EM280-EM309</f>
        <v>21.452910886263329</v>
      </c>
      <c r="EN312" s="233">
        <f>EN280-EN309</f>
        <v>32.369854894951914</v>
      </c>
      <c r="EO312" s="1070">
        <f>SUM(EM312:EN312)</f>
        <v>53.822765781215239</v>
      </c>
      <c r="EP312" s="233">
        <f>EP280-EP309</f>
        <v>24.120636752636955</v>
      </c>
      <c r="EQ312" s="233">
        <f>EQ280-EQ309</f>
        <v>35.910611272347609</v>
      </c>
      <c r="ER312" s="1070">
        <f>SUM(EP312:EQ312)</f>
        <v>60.031248024984563</v>
      </c>
      <c r="ES312" s="233">
        <f>ES280-ES309</f>
        <v>27.062653071322902</v>
      </c>
      <c r="ET312" s="233">
        <f>ET280-ET309</f>
        <v>39.799150305578763</v>
      </c>
      <c r="EU312" s="1070">
        <f>SUM(ES312:ET312)</f>
        <v>66.861803376901662</v>
      </c>
      <c r="EV312" s="233">
        <f>EV280-EV309</f>
        <v>30.3052326367986</v>
      </c>
      <c r="EW312" s="233">
        <f>EW280-EW309</f>
        <v>44.068123350269317</v>
      </c>
      <c r="EX312" s="1070">
        <f>SUM(EV312:EW312)</f>
        <v>74.373355987067924</v>
      </c>
      <c r="EY312" s="233">
        <f>EY280-EY309</f>
        <v>33.877086415779338</v>
      </c>
      <c r="EZ312" s="233">
        <f>EZ280-EZ309</f>
        <v>48.753183066579581</v>
      </c>
      <c r="FA312" s="1070">
        <f>SUM(EY312:EZ312)</f>
        <v>82.630269482358926</v>
      </c>
    </row>
    <row r="313" spans="1:173" outlineLevel="1">
      <c r="D313" s="162" t="s">
        <v>908</v>
      </c>
      <c r="BA313" s="35"/>
      <c r="BB313" s="35"/>
      <c r="BC313" s="322"/>
      <c r="BD313" s="35"/>
      <c r="BE313" s="35"/>
      <c r="BG313" s="35"/>
      <c r="BH313" s="35"/>
      <c r="BJ313" s="35"/>
      <c r="BK313" s="35"/>
      <c r="BL313" s="31"/>
      <c r="BM313" s="190">
        <f>BM284-BM309</f>
        <v>10.359748802714901</v>
      </c>
      <c r="BN313" s="190">
        <f>BN284-BN309</f>
        <v>8.476790105799699</v>
      </c>
      <c r="BO313" s="973">
        <f>BM313+BN313</f>
        <v>18.836538908514598</v>
      </c>
      <c r="BP313" s="190">
        <f>BP284-BP309</f>
        <v>11.58949788804364</v>
      </c>
      <c r="BQ313" s="190">
        <f>BQ284-BQ309</f>
        <v>13.25848633037338</v>
      </c>
      <c r="BR313" s="973">
        <f>BP313+BQ313</f>
        <v>24.847984218417018</v>
      </c>
      <c r="BS313" s="190">
        <f>BS284-BS309</f>
        <v>10.595857613696921</v>
      </c>
      <c r="BT313" s="190">
        <f>BT284-BT309</f>
        <v>13.631312366224584</v>
      </c>
      <c r="BU313" s="190">
        <f>BS313+BT313</f>
        <v>24.227169979921506</v>
      </c>
      <c r="BV313" s="190">
        <f>BV284-BV309</f>
        <v>16.282691332886383</v>
      </c>
      <c r="BW313" s="190">
        <f>BW284-BW309</f>
        <v>20.585501364157469</v>
      </c>
      <c r="BX313" s="190">
        <f>BV313+BW313</f>
        <v>36.868192697043852</v>
      </c>
      <c r="BY313" s="190">
        <f>BY284-BY309</f>
        <v>19.733829738336759</v>
      </c>
      <c r="BZ313" s="190">
        <f>BZ284-BZ309</f>
        <v>23.115195160800639</v>
      </c>
      <c r="CA313" s="190">
        <f>BY313+BZ313</f>
        <v>42.849024899137397</v>
      </c>
      <c r="CB313" s="190">
        <f>CB284-CB309</f>
        <v>20.245896848498084</v>
      </c>
      <c r="CC313" s="190">
        <f>CC284-CC309</f>
        <v>23.391352014399565</v>
      </c>
      <c r="CD313" s="190">
        <f>CB313+CC313</f>
        <v>43.63724886289765</v>
      </c>
      <c r="CE313" s="190">
        <f>CE284-CE309</f>
        <v>19.376970771075456</v>
      </c>
      <c r="CF313" s="190">
        <f>CF284-CF309</f>
        <v>16.686769566283626</v>
      </c>
      <c r="CG313" s="190">
        <f>CE313+CF313</f>
        <v>36.063740337359079</v>
      </c>
      <c r="CH313" s="190">
        <f>CH284-CH309</f>
        <v>14.673492631245045</v>
      </c>
      <c r="CI313" s="190">
        <f>CI284-CI309</f>
        <v>17.41142868887275</v>
      </c>
      <c r="CJ313" s="190">
        <f>CH313+CI313</f>
        <v>32.084921320117793</v>
      </c>
      <c r="CK313" s="190">
        <f>CK284-CK309</f>
        <v>10.940198896556314</v>
      </c>
      <c r="CL313" s="190">
        <f>CL284-CL309</f>
        <v>15.277338292677765</v>
      </c>
      <c r="CM313" s="190">
        <f>CK313+CL313</f>
        <v>26.217537189234079</v>
      </c>
      <c r="CN313" s="190">
        <f>CN284-CN309</f>
        <v>11.006349682154818</v>
      </c>
      <c r="CO313" s="190">
        <f>CO284-CO309</f>
        <v>25.116890975712217</v>
      </c>
      <c r="CP313" s="190">
        <f>CN313+CO313</f>
        <v>36.123240657867036</v>
      </c>
      <c r="CQ313" s="190">
        <f>CQ284-CQ309</f>
        <v>15.651013488925246</v>
      </c>
      <c r="CR313" s="190">
        <f>CR284-CR309</f>
        <v>17.686383490421793</v>
      </c>
      <c r="CS313" s="190">
        <f>CQ313+CR313</f>
        <v>33.337396979347041</v>
      </c>
      <c r="CT313" s="190">
        <f>CT284-CT309</f>
        <v>33.529122163910948</v>
      </c>
      <c r="CU313" s="190">
        <f>CU284-CU309</f>
        <v>23.884167636059125</v>
      </c>
      <c r="CV313" s="190">
        <f>CT313+CU313</f>
        <v>57.413289799970073</v>
      </c>
      <c r="CW313" s="190">
        <f>CW284-CW309</f>
        <v>25.172590946415617</v>
      </c>
      <c r="CX313" s="190">
        <f>CX284-CX309</f>
        <v>29.927101155453155</v>
      </c>
      <c r="CY313" s="190">
        <f>CW313+CX313</f>
        <v>55.099692101868769</v>
      </c>
      <c r="CZ313" s="190">
        <f>CZ284-CZ309</f>
        <v>26.34858375911751</v>
      </c>
      <c r="DA313" s="190">
        <f>DA284-DA309</f>
        <v>30.768082753752473</v>
      </c>
      <c r="DB313" s="190">
        <f>CZ313+DA313</f>
        <v>57.116666512869983</v>
      </c>
      <c r="DC313" s="190">
        <f>DC284-DC309</f>
        <v>30.911955280754462</v>
      </c>
      <c r="DD313" s="190">
        <f>DD284-DD309</f>
        <v>35.307614767639436</v>
      </c>
      <c r="DE313" s="190">
        <f>DC313+DD313</f>
        <v>66.219570048393905</v>
      </c>
      <c r="DF313" s="190">
        <f>DF284-DF309</f>
        <v>27.09035865967542</v>
      </c>
      <c r="DG313" s="190">
        <f>DG284-DG309</f>
        <v>23.222534873151154</v>
      </c>
      <c r="DH313" s="1060">
        <f>DF313+DG313</f>
        <v>50.312893532826578</v>
      </c>
      <c r="DI313" s="190">
        <f>DI284-DI309</f>
        <v>14.288265935356751</v>
      </c>
      <c r="DJ313" s="190">
        <f>DJ284-DJ309</f>
        <v>22.108015127117159</v>
      </c>
      <c r="DK313" s="1060">
        <f>DI313+DJ313</f>
        <v>36.396281062473911</v>
      </c>
      <c r="DL313" s="234">
        <f>DL284-DL309</f>
        <v>22.875056309367721</v>
      </c>
      <c r="DM313" s="234">
        <f>DM284-DM309</f>
        <v>26.046379840749694</v>
      </c>
      <c r="DN313" s="1060">
        <f>DL313+DM313</f>
        <v>48.921436150117415</v>
      </c>
      <c r="DO313" s="234">
        <f>DO284-DO309</f>
        <v>24.515222015545895</v>
      </c>
      <c r="DP313" s="234">
        <f>DP284-DP309</f>
        <v>27.541520217736892</v>
      </c>
      <c r="DQ313" s="1060">
        <f>DO313+DP313</f>
        <v>52.05674223328279</v>
      </c>
      <c r="DR313" s="234">
        <f>DR284-DR309</f>
        <v>24.092744425876781</v>
      </c>
      <c r="DS313" s="234">
        <f>DS284-DS309</f>
        <v>35.351388976864861</v>
      </c>
      <c r="DT313" s="1060">
        <f>DR313+DS313</f>
        <v>59.444133402741642</v>
      </c>
      <c r="DU313" s="234">
        <f>DU284-DU309</f>
        <v>28.368902452172197</v>
      </c>
      <c r="DV313" s="234">
        <f>DV284-DV309</f>
        <v>38.022991046214202</v>
      </c>
      <c r="DW313" s="1060">
        <f>DU313+DV313</f>
        <v>66.391893498386395</v>
      </c>
      <c r="DX313" s="234">
        <f>DX284-DX309</f>
        <v>30.898681501778583</v>
      </c>
      <c r="DY313" s="234">
        <f>DY284-DY309</f>
        <v>40.676998854337668</v>
      </c>
      <c r="DZ313" s="1060">
        <f>DX313+DY313</f>
        <v>71.575680356116251</v>
      </c>
      <c r="EA313" s="234">
        <f>EA284-EA309</f>
        <v>31.119383739624084</v>
      </c>
      <c r="EB313" s="234">
        <f>EB284-EB309</f>
        <v>43.22035167579125</v>
      </c>
      <c r="EC313" s="1060">
        <f>EA313+EB313</f>
        <v>74.339735415415333</v>
      </c>
      <c r="ED313" s="234">
        <f>ED284-ED309</f>
        <v>33.912429376871316</v>
      </c>
      <c r="EE313" s="234">
        <f>EE284-EE309</f>
        <v>46.769137650134979</v>
      </c>
      <c r="EF313" s="1060">
        <f>ED313+EE313</f>
        <v>80.681567027006295</v>
      </c>
      <c r="EG313" s="234">
        <f>EG284-EG309</f>
        <v>37.607758355445227</v>
      </c>
      <c r="EH313" s="234">
        <f>EH284-EH309</f>
        <v>51.526005362652043</v>
      </c>
      <c r="EI313" s="1060">
        <f>EG313+EH313</f>
        <v>89.133763718097271</v>
      </c>
      <c r="EJ313" s="234">
        <f>EJ284-EJ309</f>
        <v>41.665511901618828</v>
      </c>
      <c r="EK313" s="234">
        <f>EK284-EK309</f>
        <v>56.73640191232947</v>
      </c>
      <c r="EL313" s="1060">
        <f>EJ313+EK313</f>
        <v>98.401913813948298</v>
      </c>
      <c r="EM313" s="234">
        <f>EM284-EM309</f>
        <v>46.119693032598164</v>
      </c>
      <c r="EN313" s="234">
        <f>EN284-EN309</f>
        <v>62.442323952988446</v>
      </c>
      <c r="EO313" s="1060">
        <f>EM313+EN313</f>
        <v>108.56201698558661</v>
      </c>
      <c r="EP313" s="234">
        <f>EP284-EP309</f>
        <v>51.007429292141929</v>
      </c>
      <c r="EQ313" s="234">
        <f>EQ284-EQ309</f>
        <v>68.689602545607428</v>
      </c>
      <c r="ER313" s="1060">
        <f>EP313+EQ313</f>
        <v>119.69703183774936</v>
      </c>
      <c r="ES313" s="234">
        <f>ES284-ES309</f>
        <v>56.369256939383334</v>
      </c>
      <c r="ET313" s="234">
        <f>ET284-ET309</f>
        <v>75.528250793431994</v>
      </c>
      <c r="EU313" s="1060">
        <f>ES313+ET313</f>
        <v>131.89750773281531</v>
      </c>
      <c r="EV313" s="234">
        <f>EV284-EV309</f>
        <v>62.24943085298446</v>
      </c>
      <c r="EW313" s="234">
        <f>EW284-EW309</f>
        <v>83.012842882029346</v>
      </c>
      <c r="EX313" s="1060">
        <f>EV313+EW313</f>
        <v>145.26227373501382</v>
      </c>
      <c r="EY313" s="234">
        <f>EY284-EY309</f>
        <v>68.696262471421946</v>
      </c>
      <c r="EZ313" s="234">
        <f>EZ284-EZ309</f>
        <v>91.202927356198003</v>
      </c>
      <c r="FA313" s="1060">
        <f>EY313+EZ313</f>
        <v>159.89918982761995</v>
      </c>
    </row>
    <row r="314" spans="1:173" outlineLevel="1">
      <c r="B314" s="31"/>
      <c r="BA314" s="35"/>
      <c r="BB314" s="35"/>
      <c r="BC314" s="322"/>
      <c r="BD314" s="35"/>
      <c r="BE314" s="35"/>
      <c r="BG314" s="35"/>
      <c r="BH314" s="35"/>
      <c r="BJ314" s="35"/>
      <c r="BK314" s="35"/>
      <c r="BL314" s="31"/>
      <c r="BM314" s="70"/>
      <c r="BN314" s="70"/>
      <c r="BO314" s="31"/>
      <c r="BP314" s="70"/>
      <c r="BQ314" s="70"/>
      <c r="BR314" s="31"/>
      <c r="BS314" s="70"/>
      <c r="BT314" s="70"/>
      <c r="BV314" s="70"/>
      <c r="BW314" s="70"/>
      <c r="BY314" s="70"/>
      <c r="BZ314" s="70"/>
      <c r="CB314" s="70"/>
      <c r="CC314" s="70"/>
      <c r="CE314" s="70"/>
      <c r="CF314" s="70"/>
      <c r="CH314" s="70"/>
      <c r="CI314" s="70"/>
      <c r="CK314" s="70"/>
      <c r="CL314" s="70"/>
      <c r="CN314" s="70"/>
      <c r="CO314" s="70"/>
      <c r="CQ314" s="70"/>
      <c r="CR314" s="70"/>
      <c r="CT314" s="70"/>
      <c r="CU314" s="70"/>
      <c r="CW314" s="70"/>
      <c r="CX314" s="70"/>
      <c r="CZ314" s="70"/>
      <c r="DA314" s="70"/>
      <c r="DC314" s="70"/>
      <c r="DD314" s="70"/>
      <c r="DF314" s="70"/>
      <c r="DG314" s="70"/>
      <c r="DH314" s="1067"/>
      <c r="DI314" s="70"/>
      <c r="DJ314" s="70"/>
      <c r="DK314" s="1067"/>
      <c r="DL314" s="70"/>
      <c r="DM314" s="70"/>
      <c r="DN314" s="1067"/>
      <c r="DO314" s="70"/>
      <c r="DP314" s="70"/>
      <c r="DQ314" s="1067"/>
      <c r="DR314" s="70"/>
      <c r="DS314" s="70"/>
      <c r="DT314" s="1067"/>
      <c r="DU314" s="70"/>
      <c r="DV314" s="70"/>
      <c r="DW314" s="1067"/>
      <c r="DX314" s="70"/>
      <c r="DY314" s="70"/>
      <c r="DZ314" s="1067"/>
      <c r="EA314" s="70"/>
      <c r="EB314" s="70"/>
      <c r="EC314" s="1067"/>
      <c r="ED314" s="70"/>
      <c r="EE314" s="70"/>
      <c r="EF314" s="1067"/>
      <c r="EG314" s="70"/>
      <c r="EH314" s="70"/>
      <c r="EI314" s="1067"/>
      <c r="EJ314" s="70"/>
      <c r="EK314" s="70"/>
      <c r="EL314" s="1067"/>
      <c r="EM314" s="70"/>
      <c r="EN314" s="70"/>
      <c r="EO314" s="1067"/>
      <c r="EP314" s="70"/>
      <c r="EQ314" s="70"/>
      <c r="ER314" s="1067"/>
      <c r="ES314" s="70"/>
      <c r="ET314" s="70"/>
      <c r="EU314" s="1067"/>
      <c r="EV314" s="70"/>
      <c r="EW314" s="70"/>
      <c r="EX314" s="1067"/>
      <c r="EY314" s="70"/>
      <c r="EZ314" s="70"/>
      <c r="FA314" s="1067"/>
    </row>
    <row r="315" spans="1:173" outlineLevel="1">
      <c r="B315" s="35" t="s">
        <v>487</v>
      </c>
      <c r="D315" s="162" t="s">
        <v>460</v>
      </c>
      <c r="BA315" s="35"/>
      <c r="BB315" s="35"/>
      <c r="BC315" s="322"/>
      <c r="BD315" s="35"/>
      <c r="BE315" s="35"/>
      <c r="BG315" s="35"/>
      <c r="BH315" s="35"/>
      <c r="BJ315" s="35"/>
      <c r="BK315" s="35"/>
      <c r="BL315" s="31"/>
      <c r="BM315" s="65">
        <f t="shared" ref="BM315:CR315" si="1804">BM313/BM284</f>
        <v>0.87401145097975885</v>
      </c>
      <c r="BN315" s="65">
        <f t="shared" si="1804"/>
        <v>0.87305735128740847</v>
      </c>
      <c r="BO315" s="65">
        <f t="shared" si="1804"/>
        <v>0.87358183057725258</v>
      </c>
      <c r="BP315" s="65">
        <f t="shared" si="1804"/>
        <v>0.83665467996541543</v>
      </c>
      <c r="BQ315" s="65">
        <f t="shared" si="1804"/>
        <v>0.8274477261062072</v>
      </c>
      <c r="BR315" s="65">
        <f t="shared" si="1804"/>
        <v>0.8317166516150758</v>
      </c>
      <c r="BS315" s="65">
        <f t="shared" si="1804"/>
        <v>0.65589242075832865</v>
      </c>
      <c r="BT315" s="65">
        <f t="shared" si="1804"/>
        <v>0.72132986996512749</v>
      </c>
      <c r="BU315" s="65">
        <f t="shared" si="1804"/>
        <v>0.69117115837225995</v>
      </c>
      <c r="BV315" s="65">
        <f t="shared" si="1804"/>
        <v>0.74961797267458818</v>
      </c>
      <c r="BW315" s="65">
        <f t="shared" si="1804"/>
        <v>0.80166342122431766</v>
      </c>
      <c r="BX315" s="65">
        <f t="shared" si="1804"/>
        <v>0.77781319978196883</v>
      </c>
      <c r="BY315" s="65">
        <f t="shared" si="1804"/>
        <v>0.72079224597935798</v>
      </c>
      <c r="BZ315" s="65">
        <f t="shared" si="1804"/>
        <v>0.80421445009770332</v>
      </c>
      <c r="CA315" s="65">
        <f t="shared" si="1804"/>
        <v>0.76351757830808376</v>
      </c>
      <c r="CB315" s="65">
        <f t="shared" si="1804"/>
        <v>0.73255852220244266</v>
      </c>
      <c r="CC315" s="65">
        <f t="shared" si="1804"/>
        <v>0.7829129822683335</v>
      </c>
      <c r="CD315" s="65">
        <f t="shared" si="1804"/>
        <v>0.75871636109048668</v>
      </c>
      <c r="CE315" s="65">
        <f t="shared" si="1804"/>
        <v>0.76940259739122319</v>
      </c>
      <c r="CF315" s="65">
        <f t="shared" si="1804"/>
        <v>0.72410817698653107</v>
      </c>
      <c r="CG315" s="65">
        <f t="shared" si="1804"/>
        <v>0.74776021284078376</v>
      </c>
      <c r="CH315" s="65">
        <f t="shared" si="1804"/>
        <v>0.69428645299257197</v>
      </c>
      <c r="CI315" s="65">
        <f t="shared" si="1804"/>
        <v>0.76291155354782469</v>
      </c>
      <c r="CJ315" s="65">
        <f t="shared" si="1804"/>
        <v>0.72991641526230111</v>
      </c>
      <c r="CK315" s="65">
        <f t="shared" si="1804"/>
        <v>0.58728269489877571</v>
      </c>
      <c r="CL315" s="65">
        <f t="shared" si="1804"/>
        <v>0.65904263029693388</v>
      </c>
      <c r="CM315" s="65">
        <f t="shared" si="1804"/>
        <v>0.62706959244769256</v>
      </c>
      <c r="CN315" s="65">
        <f t="shared" si="1804"/>
        <v>0.46962560532664477</v>
      </c>
      <c r="CO315" s="65">
        <f t="shared" si="1804"/>
        <v>0.71134143423819818</v>
      </c>
      <c r="CP315" s="65">
        <f t="shared" si="1804"/>
        <v>0.61490945192694169</v>
      </c>
      <c r="CQ315" s="65">
        <f t="shared" si="1804"/>
        <v>0.53410857867750261</v>
      </c>
      <c r="CR315" s="65">
        <f t="shared" si="1804"/>
        <v>0.55888930689549787</v>
      </c>
      <c r="CS315" s="65">
        <f t="shared" ref="CS315:DT315" si="1805">CS313/CS284</f>
        <v>0.5469751615098013</v>
      </c>
      <c r="CT315" s="65">
        <f t="shared" si="1805"/>
        <v>0.95578594370770975</v>
      </c>
      <c r="CU315" s="65">
        <f t="shared" si="1805"/>
        <v>0.65280618456437745</v>
      </c>
      <c r="CV315" s="65">
        <f t="shared" si="1805"/>
        <v>0.80111107100492429</v>
      </c>
      <c r="CW315" s="65">
        <f t="shared" si="1805"/>
        <v>0.62289363860457636</v>
      </c>
      <c r="CX315" s="65">
        <f t="shared" si="1805"/>
        <v>0.64482072680935809</v>
      </c>
      <c r="CY315" s="65">
        <f t="shared" si="1805"/>
        <v>0.63461471763465604</v>
      </c>
      <c r="CZ315" s="65">
        <f t="shared" si="1805"/>
        <v>0.62711857274125138</v>
      </c>
      <c r="DA315" s="65">
        <f t="shared" si="1805"/>
        <v>0.68761593096566664</v>
      </c>
      <c r="DB315" s="65">
        <f t="shared" si="1805"/>
        <v>0.65831929494096542</v>
      </c>
      <c r="DC315" s="65">
        <f t="shared" si="1805"/>
        <v>0.64444581297896553</v>
      </c>
      <c r="DD315" s="65">
        <f t="shared" si="1805"/>
        <v>0.69104231376295111</v>
      </c>
      <c r="DE315" s="65">
        <f t="shared" si="1805"/>
        <v>0.66847940690888252</v>
      </c>
      <c r="DF315" s="65">
        <f t="shared" si="1805"/>
        <v>0.64693469228811273</v>
      </c>
      <c r="DG315" s="65">
        <f t="shared" si="1805"/>
        <v>0.64469866082739369</v>
      </c>
      <c r="DH315" s="1066">
        <f t="shared" si="1805"/>
        <v>0.64590070017521795</v>
      </c>
      <c r="DI315" s="65">
        <f t="shared" si="1805"/>
        <v>0.61023048890447018</v>
      </c>
      <c r="DJ315" s="65">
        <f t="shared" si="1805"/>
        <v>0.7136894032209421</v>
      </c>
      <c r="DK315" s="1066">
        <f t="shared" si="1805"/>
        <v>0.66915234445656857</v>
      </c>
      <c r="DL315" s="65">
        <f t="shared" si="1805"/>
        <v>0.64447978683575513</v>
      </c>
      <c r="DM315" s="65">
        <f t="shared" si="1805"/>
        <v>0.72934777687098074</v>
      </c>
      <c r="DN315" s="1066">
        <f t="shared" si="1805"/>
        <v>0.68704372488546328</v>
      </c>
      <c r="DO315" s="65">
        <f t="shared" si="1805"/>
        <v>0.63109207984851445</v>
      </c>
      <c r="DP315" s="65">
        <f t="shared" si="1805"/>
        <v>0.69780189318752128</v>
      </c>
      <c r="DQ315" s="1066">
        <f t="shared" si="1805"/>
        <v>0.66471243589974982</v>
      </c>
      <c r="DR315" s="65">
        <f t="shared" si="1805"/>
        <v>0.65602498517415531</v>
      </c>
      <c r="DS315" s="65">
        <f t="shared" si="1805"/>
        <v>0.73379608112925332</v>
      </c>
      <c r="DT315" s="1066">
        <f t="shared" si="1805"/>
        <v>0.70015504709740783</v>
      </c>
      <c r="DU315" s="65">
        <f t="shared" ref="DU315:DW315" si="1806">DU313/DU284</f>
        <v>0.65626683693445587</v>
      </c>
      <c r="DV315" s="65">
        <f t="shared" si="1806"/>
        <v>0.77195550711678107</v>
      </c>
      <c r="DW315" s="1066">
        <f t="shared" si="1806"/>
        <v>0.7178812618114806</v>
      </c>
      <c r="DX315" s="65">
        <f t="shared" ref="DX315" si="1807">DX313/DX284</f>
        <v>0.69628589989038614</v>
      </c>
      <c r="DY315" s="65">
        <f t="shared" ref="DY315:ER315" si="1808">DY313/DY284</f>
        <v>0.77028070786194369</v>
      </c>
      <c r="DZ315" s="1066">
        <f t="shared" si="1808"/>
        <v>0.73649314857214843</v>
      </c>
      <c r="EA315" s="65">
        <f t="shared" si="1808"/>
        <v>0.68422414421889777</v>
      </c>
      <c r="EB315" s="65">
        <f t="shared" si="1808"/>
        <v>0.77946947954746604</v>
      </c>
      <c r="EC315" s="1066">
        <f t="shared" si="1808"/>
        <v>0.73654971200748209</v>
      </c>
      <c r="ED315" s="65">
        <f t="shared" si="1808"/>
        <v>0.69685517845014211</v>
      </c>
      <c r="EE315" s="65">
        <f t="shared" si="1808"/>
        <v>0.78829070036556737</v>
      </c>
      <c r="EF315" s="1066">
        <f t="shared" si="1808"/>
        <v>0.747087723527183</v>
      </c>
      <c r="EG315" s="65">
        <f t="shared" si="1808"/>
        <v>0.70898097131213622</v>
      </c>
      <c r="EH315" s="65">
        <f t="shared" si="1808"/>
        <v>0.79675907235094479</v>
      </c>
      <c r="EI315" s="1066">
        <f t="shared" si="1808"/>
        <v>0.75720421458609566</v>
      </c>
      <c r="EJ315" s="65">
        <f t="shared" si="1808"/>
        <v>0.72062173245965078</v>
      </c>
      <c r="EK315" s="65">
        <f t="shared" si="1808"/>
        <v>0.80488870945690694</v>
      </c>
      <c r="EL315" s="1066">
        <f t="shared" si="1808"/>
        <v>0.76691604600265184</v>
      </c>
      <c r="EM315" s="65">
        <f t="shared" si="1808"/>
        <v>0.7317968631612648</v>
      </c>
      <c r="EN315" s="65">
        <f t="shared" si="1808"/>
        <v>0.81269316107863065</v>
      </c>
      <c r="EO315" s="1066">
        <f t="shared" si="1808"/>
        <v>0.77623940416254578</v>
      </c>
      <c r="EP315" s="65">
        <f t="shared" si="1808"/>
        <v>0.7425249886348142</v>
      </c>
      <c r="EQ315" s="65">
        <f t="shared" si="1808"/>
        <v>0.82018543463548543</v>
      </c>
      <c r="ER315" s="1066">
        <f t="shared" si="1808"/>
        <v>0.78518982799604398</v>
      </c>
      <c r="ES315" s="65">
        <f t="shared" ref="ES315:EX315" si="1809">ES313/ES284</f>
        <v>0.75282398908942172</v>
      </c>
      <c r="ET315" s="65">
        <f t="shared" si="1809"/>
        <v>0.8273780172500661</v>
      </c>
      <c r="EU315" s="1066">
        <f t="shared" si="1809"/>
        <v>0.79378223487620214</v>
      </c>
      <c r="EV315" s="65">
        <f t="shared" si="1809"/>
        <v>0.7627110295258448</v>
      </c>
      <c r="EW315" s="65">
        <f t="shared" si="1809"/>
        <v>0.83428289656006349</v>
      </c>
      <c r="EX315" s="1066">
        <f t="shared" si="1809"/>
        <v>0.80203094548115417</v>
      </c>
      <c r="EY315" s="65">
        <f t="shared" ref="EY315:FA315" si="1810">EY313/EY284</f>
        <v>0.77220258834481104</v>
      </c>
      <c r="EZ315" s="65">
        <f t="shared" si="1810"/>
        <v>0.84091158069766092</v>
      </c>
      <c r="FA315" s="1066">
        <f t="shared" si="1810"/>
        <v>0.80994970766190788</v>
      </c>
    </row>
    <row r="316" spans="1:173" outlineLevel="1">
      <c r="B316" s="34" t="s">
        <v>790</v>
      </c>
      <c r="BA316" s="35"/>
      <c r="BB316" s="35"/>
      <c r="BC316" s="322"/>
      <c r="BD316" s="35"/>
      <c r="BE316" s="35"/>
      <c r="BG316" s="35"/>
      <c r="BH316" s="35"/>
      <c r="BJ316" s="35"/>
      <c r="BK316" s="35"/>
      <c r="BL316" s="31"/>
      <c r="BM316" s="35"/>
      <c r="BN316" s="35"/>
      <c r="BO316" s="31"/>
      <c r="BP316" s="35"/>
      <c r="BQ316" s="35"/>
      <c r="BR316" s="1024"/>
      <c r="BS316" s="74"/>
      <c r="BT316" s="70"/>
      <c r="BU316" s="74"/>
      <c r="BV316" s="74"/>
      <c r="BW316" s="74"/>
      <c r="BX316" s="74"/>
      <c r="BY316" s="70"/>
      <c r="BZ316" s="70"/>
      <c r="CA316" s="70"/>
      <c r="CB316" s="70"/>
      <c r="CC316" s="70"/>
      <c r="CD316" s="70"/>
      <c r="CE316" s="70"/>
      <c r="CF316" s="70"/>
      <c r="CG316" s="70"/>
      <c r="CH316" s="70"/>
      <c r="CI316" s="70"/>
      <c r="CJ316" s="70"/>
      <c r="CK316" s="35"/>
      <c r="CL316" s="35"/>
      <c r="CN316" s="35"/>
      <c r="CO316" s="35"/>
      <c r="CQ316" s="35"/>
      <c r="CR316" s="35"/>
      <c r="CT316" s="35"/>
      <c r="CU316" s="35"/>
      <c r="CW316" s="35"/>
      <c r="CX316" s="35"/>
      <c r="CZ316" s="35"/>
      <c r="DA316" s="35"/>
      <c r="DC316" s="35"/>
      <c r="DD316" s="35"/>
      <c r="DF316" s="35"/>
      <c r="DG316" s="35"/>
      <c r="DH316" s="1067"/>
      <c r="DI316" s="35"/>
      <c r="DJ316" s="35"/>
      <c r="DK316" s="1067"/>
      <c r="DL316" s="35"/>
      <c r="DM316" s="35"/>
      <c r="DN316" s="1067"/>
      <c r="DO316" s="35"/>
      <c r="DP316" s="35"/>
      <c r="DQ316" s="1067"/>
      <c r="DR316" s="35"/>
      <c r="DS316" s="35"/>
      <c r="DT316" s="1067"/>
      <c r="DU316" s="35"/>
      <c r="DV316" s="35"/>
      <c r="DW316" s="1067"/>
      <c r="DX316" s="35"/>
      <c r="DY316" s="35"/>
      <c r="DZ316" s="1067"/>
      <c r="EA316" s="35"/>
      <c r="EB316" s="35"/>
      <c r="EC316" s="1067"/>
      <c r="ED316" s="35"/>
      <c r="EE316" s="35"/>
      <c r="EF316" s="1067"/>
      <c r="EG316" s="35"/>
      <c r="EH316" s="35"/>
      <c r="EI316" s="1067"/>
      <c r="EJ316" s="35"/>
      <c r="EK316" s="35"/>
      <c r="EL316" s="1067"/>
      <c r="EM316" s="35"/>
      <c r="EN316" s="35"/>
      <c r="EO316" s="1067"/>
      <c r="EP316" s="35"/>
      <c r="EQ316" s="35"/>
      <c r="ER316" s="1067"/>
      <c r="ES316" s="35"/>
      <c r="ET316" s="35"/>
      <c r="EU316" s="1067"/>
      <c r="EV316" s="35"/>
      <c r="EW316" s="35"/>
      <c r="EX316" s="1067"/>
      <c r="EY316" s="35"/>
      <c r="EZ316" s="35"/>
      <c r="FA316" s="1067"/>
    </row>
    <row r="317" spans="1:173" outlineLevel="1">
      <c r="B317" s="35" t="s">
        <v>22</v>
      </c>
      <c r="D317" s="162" t="s">
        <v>908</v>
      </c>
      <c r="BA317" s="35"/>
      <c r="BB317" s="35"/>
      <c r="BC317" s="322"/>
      <c r="BD317" s="35"/>
      <c r="BE317" s="35"/>
      <c r="BG317" s="35"/>
      <c r="BH317" s="35"/>
      <c r="BJ317" s="35"/>
      <c r="BK317" s="35"/>
      <c r="BL317" s="31"/>
      <c r="BM317" s="187">
        <f>BM392*BM78</f>
        <v>1.5358361774744029E-3</v>
      </c>
      <c r="BN317" s="187">
        <f>BN392*BN78</f>
        <v>1.5584415584415584E-3</v>
      </c>
      <c r="BO317" s="978">
        <f>AVERAGE(BM317,BN317)</f>
        <v>1.5471388679579806E-3</v>
      </c>
      <c r="BP317" s="187">
        <f>BP392*BP78</f>
        <v>1.6216216216216218E-3</v>
      </c>
      <c r="BQ317" s="187">
        <f>BQ392*BQ78</f>
        <v>1.5999999999999999E-3</v>
      </c>
      <c r="BR317" s="978">
        <f>AVERAGE(BP317,BQ317)</f>
        <v>1.6108108108108107E-3</v>
      </c>
      <c r="BS317" s="187">
        <f>BS392*BS78</f>
        <v>1.5999999999999999E-3</v>
      </c>
      <c r="BT317" s="187">
        <f>BT392*BT78</f>
        <v>1.5E-3</v>
      </c>
      <c r="BU317" s="187">
        <f>AVERAGE(BS317,BT317)</f>
        <v>1.5499999999999999E-3</v>
      </c>
      <c r="BV317" s="187">
        <f>BV392*BV78</f>
        <v>1.4183040390437056E-3</v>
      </c>
      <c r="BW317" s="187">
        <f>BW392*BW78</f>
        <v>1.3066088840736727E-3</v>
      </c>
      <c r="BX317" s="187">
        <f>AVERAGE(BV317,BW317)</f>
        <v>1.362456461558689E-3</v>
      </c>
      <c r="BY317" s="187">
        <f>BY392*BY78</f>
        <v>1.4000000000000002E-3</v>
      </c>
      <c r="BZ317" s="187">
        <f>BZ392*BZ78</f>
        <v>1.8861124846249998E-3</v>
      </c>
      <c r="CA317" s="187">
        <f>AVERAGE(BY317,BZ317)</f>
        <v>1.6430562423124999E-3</v>
      </c>
      <c r="CB317" s="187">
        <f>CB392*CB78</f>
        <v>1.3752163327181992E-3</v>
      </c>
      <c r="CC317" s="187">
        <f>CC392*CC78</f>
        <v>1.5116605648491511E-3</v>
      </c>
      <c r="CD317" s="187">
        <f>AVERAGE(CB317,CC317)</f>
        <v>1.4434384487836752E-3</v>
      </c>
      <c r="CE317" s="187">
        <f>CE392*CE78</f>
        <v>1.4071633909316758E-3</v>
      </c>
      <c r="CF317" s="187">
        <f>CF392*CF78</f>
        <v>1.7033971059841773E-3</v>
      </c>
      <c r="CG317" s="187">
        <f>AVERAGE(CE317,CF317)</f>
        <v>1.5552802484579266E-3</v>
      </c>
      <c r="CH317" s="187">
        <f>CH392*CH78</f>
        <v>1.4494030322544931E-3</v>
      </c>
      <c r="CI317" s="187">
        <f>CI392*CI78</f>
        <v>1.5580909480576676E-3</v>
      </c>
      <c r="CJ317" s="187">
        <f>AVERAGE(CH317,CI317)</f>
        <v>1.5037469901560802E-3</v>
      </c>
      <c r="CK317" s="187">
        <f>CK392*CK78</f>
        <v>1.357054969969837E-3</v>
      </c>
      <c r="CL317" s="187">
        <f>CL392*CL78</f>
        <v>1.3823804139972988E-3</v>
      </c>
      <c r="CM317" s="187">
        <f>AVERAGE(CK317,CL317)</f>
        <v>1.369717691983568E-3</v>
      </c>
      <c r="CN317" s="187">
        <f>CN392*CN78</f>
        <v>1.4994926555165487E-3</v>
      </c>
      <c r="CO317" s="187">
        <f>CO392*CO78</f>
        <v>1.2772057474033152E-3</v>
      </c>
      <c r="CP317" s="187">
        <f>AVERAGE(CN317,CO317)</f>
        <v>1.3883492014599319E-3</v>
      </c>
      <c r="CQ317" s="187">
        <f>CQ392*CQ78</f>
        <v>1.631415613095627E-3</v>
      </c>
      <c r="CR317" s="187">
        <f>CR392*CR78</f>
        <v>1.7826505673501233E-3</v>
      </c>
      <c r="CS317" s="187">
        <f>AVERAGE(CQ317,CR317)</f>
        <v>1.7070330902228751E-3</v>
      </c>
      <c r="CT317" s="187">
        <f>CT392*CT78</f>
        <v>1.5759164094071184E-3</v>
      </c>
      <c r="CU317" s="187">
        <f>CU392*CU78</f>
        <v>1.3771691024369751E-3</v>
      </c>
      <c r="CV317" s="187">
        <f>AVERAGE(CT317,CU317)</f>
        <v>1.4765427559220467E-3</v>
      </c>
      <c r="CW317" s="187">
        <f>CW392*CW78</f>
        <v>1.4947645385515091E-3</v>
      </c>
      <c r="CX317" s="187">
        <f>CX392*CX78</f>
        <v>1.492865508862956E-3</v>
      </c>
      <c r="CY317" s="187">
        <f>AVERAGE(CW317,CX317)</f>
        <v>1.4938150237072327E-3</v>
      </c>
      <c r="CZ317" s="187">
        <f>CZ392*CZ78</f>
        <v>1.4265663388422114E-3</v>
      </c>
      <c r="DA317" s="187">
        <f>DA392*DA78</f>
        <v>1.1998416380210556E-3</v>
      </c>
      <c r="DB317" s="187">
        <f>AVERAGE(CZ317,DA317)</f>
        <v>1.3132039884316336E-3</v>
      </c>
      <c r="DC317" s="187">
        <f>DC392*DC78</f>
        <v>1.2895927604831968E-3</v>
      </c>
      <c r="DD317" s="187">
        <f>DD392*DD78</f>
        <v>1.1788176310578787E-3</v>
      </c>
      <c r="DE317" s="187">
        <f>AVERAGE(DC317,DD317)</f>
        <v>1.2342051957705377E-3</v>
      </c>
      <c r="DF317" s="187">
        <f>DF392*DF78</f>
        <v>1.2678859977411489E-3</v>
      </c>
      <c r="DG317" s="187">
        <f>DG392*DG78</f>
        <v>1.3810964245044596E-3</v>
      </c>
      <c r="DH317" s="1076">
        <f>AVERAGE(DF317,DG317)</f>
        <v>1.3244912111228043E-3</v>
      </c>
      <c r="DI317" s="187">
        <f>DI392*DI78</f>
        <v>1.4989320396602817E-3</v>
      </c>
      <c r="DJ317" s="187">
        <f>DJ392*DJ78</f>
        <v>1.2946988163916641E-3</v>
      </c>
      <c r="DK317" s="1076">
        <f>AVERAGE(DI317,DJ317)</f>
        <v>1.3968154280259728E-3</v>
      </c>
      <c r="DL317" s="187">
        <f>DL392*DL78</f>
        <v>1.3713834458209109E-3</v>
      </c>
      <c r="DM317" s="187">
        <f>DM392*DM78</f>
        <v>1.2612459126082811E-3</v>
      </c>
      <c r="DN317" s="1076">
        <f>AVERAGE(DL317,DM317)</f>
        <v>1.3163146792145959E-3</v>
      </c>
      <c r="DO317" s="187">
        <f>DO392*DO78</f>
        <v>1.4361775814189057E-3</v>
      </c>
      <c r="DP317" s="187">
        <f>DP392*DP78</f>
        <v>1.5460196674580056E-3</v>
      </c>
      <c r="DQ317" s="1076">
        <f>AVERAGE(DO317,DP317)</f>
        <v>1.4910986244384555E-3</v>
      </c>
      <c r="DR317" s="187">
        <f>DR392*DR78</f>
        <v>1.3776275804905644E-3</v>
      </c>
      <c r="DS317" s="187">
        <f>DS392*DS78</f>
        <v>1.4318345890314698E-3</v>
      </c>
      <c r="DT317" s="1076">
        <f>AVERAGE(DR317,DS317)</f>
        <v>1.404731084761017E-3</v>
      </c>
      <c r="DU317" s="187">
        <f>DU392*DU78</f>
        <v>1.3378614291436517E-3</v>
      </c>
      <c r="DV317" s="187">
        <f>DV392*DV78</f>
        <v>1.2947296377853945E-3</v>
      </c>
      <c r="DW317" s="1076">
        <f>AVERAGE(DU317,DV317)</f>
        <v>1.3162955334645231E-3</v>
      </c>
      <c r="DX317" s="187">
        <f>DX392*DX78</f>
        <v>1.1821011868623403E-3</v>
      </c>
      <c r="DY317" s="187">
        <f>DY392*DY78</f>
        <v>1.3259817324905593E-3</v>
      </c>
      <c r="DZ317" s="1076">
        <f>AVERAGE(DX317,DY317)</f>
        <v>1.2540414596764497E-3</v>
      </c>
      <c r="EA317" s="187">
        <f>EA392*EA78</f>
        <v>1.2116724369104993E-3</v>
      </c>
      <c r="EB317" s="187">
        <f>EB392*EB78</f>
        <v>1.272942463190937E-3</v>
      </c>
      <c r="EC317" s="1076">
        <f>AVERAGE(EA317,EB317)</f>
        <v>1.2423074500507183E-3</v>
      </c>
      <c r="ED317" s="187">
        <f>ED392*ED78</f>
        <v>1.1632055394340793E-3</v>
      </c>
      <c r="EE317" s="187">
        <f>EE392*EE78</f>
        <v>1.2220247646632994E-3</v>
      </c>
      <c r="EF317" s="1076">
        <f>AVERAGE(ED317,EE317)</f>
        <v>1.1926151520486893E-3</v>
      </c>
      <c r="EG317" s="187">
        <f>EG392*EG78</f>
        <v>1.1166773178567162E-3</v>
      </c>
      <c r="EH317" s="187">
        <f>EH392*EH78</f>
        <v>1.1731437740767675E-3</v>
      </c>
      <c r="EI317" s="1076">
        <f>AVERAGE(EG317,EH317)</f>
        <v>1.1449105459667417E-3</v>
      </c>
      <c r="EJ317" s="187">
        <f>EJ392*EJ78</f>
        <v>1.0720102251424474E-3</v>
      </c>
      <c r="EK317" s="187">
        <f>EK392*EK78</f>
        <v>1.1262180231136967E-3</v>
      </c>
      <c r="EL317" s="1076">
        <f>AVERAGE(EJ317,EK317)</f>
        <v>1.099114124128072E-3</v>
      </c>
      <c r="EM317" s="187">
        <f>EM392*EM78</f>
        <v>1.0291298161367495E-3</v>
      </c>
      <c r="EN317" s="187">
        <f>EN392*EN78</f>
        <v>1.0811693021891488E-3</v>
      </c>
      <c r="EO317" s="1076">
        <f>AVERAGE(EM317,EN317)</f>
        <v>1.055149559162949E-3</v>
      </c>
      <c r="EP317" s="187">
        <f>EP392*EP78</f>
        <v>9.8796462349127947E-4</v>
      </c>
      <c r="EQ317" s="187">
        <f>EQ392*EQ78</f>
        <v>1.0379225301015828E-3</v>
      </c>
      <c r="ER317" s="1076">
        <f>AVERAGE(EP317,EQ317)</f>
        <v>1.012943576796431E-3</v>
      </c>
      <c r="ES317" s="187">
        <f>ES392*ES78</f>
        <v>9.4844603855162839E-4</v>
      </c>
      <c r="ET317" s="187">
        <f>ET392*ET78</f>
        <v>9.9640562889751947E-4</v>
      </c>
      <c r="EU317" s="1076">
        <f>AVERAGE(ES317,ET317)</f>
        <v>9.7242583372457393E-4</v>
      </c>
      <c r="EV317" s="187">
        <f>EV392*EV78</f>
        <v>9.1050819700956326E-4</v>
      </c>
      <c r="EW317" s="187">
        <f>EW392*EW78</f>
        <v>9.565494037416187E-4</v>
      </c>
      <c r="EX317" s="1076">
        <f>AVERAGE(EV317,EW317)</f>
        <v>9.3352880037559098E-4</v>
      </c>
      <c r="EY317" s="187">
        <f>EY392*EY78</f>
        <v>8.7408786912918069E-4</v>
      </c>
      <c r="EZ317" s="187">
        <f>EZ392*EZ78</f>
        <v>9.1828742759195387E-4</v>
      </c>
      <c r="FA317" s="1076">
        <f>AVERAGE(EY317,EZ317)</f>
        <v>8.9618764836056728E-4</v>
      </c>
    </row>
    <row r="318" spans="1:173" outlineLevel="1">
      <c r="B318" s="35" t="s">
        <v>753</v>
      </c>
      <c r="D318" s="162" t="s">
        <v>460</v>
      </c>
      <c r="BA318" s="35"/>
      <c r="BB318" s="35"/>
      <c r="BC318" s="322"/>
      <c r="BD318" s="35"/>
      <c r="BE318" s="35"/>
      <c r="BG318" s="35"/>
      <c r="BH318" s="35"/>
      <c r="BJ318" s="35"/>
      <c r="BK318" s="35"/>
      <c r="BL318" s="31"/>
      <c r="BM318" s="187"/>
      <c r="BN318" s="187"/>
      <c r="BO318" s="978"/>
      <c r="BP318" s="83">
        <f t="shared" ref="BP318:CU318" si="1811">BP317/BM317-1</f>
        <v>5.5855855855855951E-2</v>
      </c>
      <c r="BQ318" s="83">
        <f t="shared" si="1811"/>
        <v>2.6666666666666616E-2</v>
      </c>
      <c r="BR318" s="83">
        <f t="shared" si="1811"/>
        <v>4.1154639813857585E-2</v>
      </c>
      <c r="BS318" s="83">
        <f t="shared" si="1811"/>
        <v>-1.333333333333353E-2</v>
      </c>
      <c r="BT318" s="83">
        <f t="shared" si="1811"/>
        <v>-6.2499999999999889E-2</v>
      </c>
      <c r="BU318" s="83">
        <f t="shared" si="1811"/>
        <v>-3.7751677852349008E-2</v>
      </c>
      <c r="BV318" s="83">
        <f t="shared" si="1811"/>
        <v>-0.11355997559768394</v>
      </c>
      <c r="BW318" s="83">
        <f t="shared" si="1811"/>
        <v>-0.12892741061755153</v>
      </c>
      <c r="BX318" s="83">
        <f t="shared" si="1811"/>
        <v>-0.12099583125245872</v>
      </c>
      <c r="BY318" s="83">
        <f t="shared" si="1811"/>
        <v>-1.2905581976659142E-2</v>
      </c>
      <c r="BZ318" s="83">
        <f t="shared" si="1811"/>
        <v>0.44351726642526934</v>
      </c>
      <c r="CA318" s="83">
        <f t="shared" si="1811"/>
        <v>0.20595137435276034</v>
      </c>
      <c r="CB318" s="83">
        <f t="shared" si="1811"/>
        <v>-1.7702619487000693E-2</v>
      </c>
      <c r="CC318" s="83">
        <f t="shared" si="1811"/>
        <v>-0.19853106473143245</v>
      </c>
      <c r="CD318" s="83">
        <f t="shared" si="1811"/>
        <v>-0.12149175931304401</v>
      </c>
      <c r="CE318" s="83">
        <f t="shared" si="1811"/>
        <v>2.3230569222757458E-2</v>
      </c>
      <c r="CF318" s="83">
        <f t="shared" si="1811"/>
        <v>0.12683835617168437</v>
      </c>
      <c r="CG318" s="83">
        <f t="shared" si="1811"/>
        <v>7.7482901864291964E-2</v>
      </c>
      <c r="CH318" s="83">
        <f t="shared" si="1811"/>
        <v>3.0017581181422504E-2</v>
      </c>
      <c r="CI318" s="83">
        <f t="shared" si="1811"/>
        <v>-8.5303748266353785E-2</v>
      </c>
      <c r="CJ318" s="83">
        <f t="shared" si="1811"/>
        <v>-3.3134387421779432E-2</v>
      </c>
      <c r="CK318" s="83">
        <f t="shared" si="1811"/>
        <v>-6.3714550217969457E-2</v>
      </c>
      <c r="CL318" s="83">
        <f t="shared" si="1811"/>
        <v>-0.11277296378585044</v>
      </c>
      <c r="CM318" s="83">
        <f t="shared" si="1811"/>
        <v>-8.9130218746839018E-2</v>
      </c>
      <c r="CN318" s="83">
        <f t="shared" si="1811"/>
        <v>0.10496088124556779</v>
      </c>
      <c r="CO318" s="83">
        <f t="shared" si="1811"/>
        <v>-7.6082289309828965E-2</v>
      </c>
      <c r="CP318" s="83">
        <f t="shared" si="1811"/>
        <v>1.3602444931102964E-2</v>
      </c>
      <c r="CQ318" s="83">
        <f t="shared" si="1811"/>
        <v>8.7978395288393907E-2</v>
      </c>
      <c r="CR318" s="83">
        <f t="shared" si="1811"/>
        <v>0.39574267573914934</v>
      </c>
      <c r="CS318" s="83">
        <f t="shared" si="1811"/>
        <v>0.22954159402247498</v>
      </c>
      <c r="CT318" s="83">
        <f t="shared" si="1811"/>
        <v>-3.4019046552581589E-2</v>
      </c>
      <c r="CU318" s="83">
        <f t="shared" si="1811"/>
        <v>-0.22745986921928774</v>
      </c>
      <c r="CV318" s="83">
        <f t="shared" ref="CV318:EA318" si="1812">CV317/CS317-1</f>
        <v>-0.1350239404385154</v>
      </c>
      <c r="CW318" s="83">
        <f t="shared" si="1812"/>
        <v>-5.1495035124445199E-2</v>
      </c>
      <c r="CX318" s="83">
        <f t="shared" si="1812"/>
        <v>8.4010312329291903E-2</v>
      </c>
      <c r="CY318" s="83">
        <f t="shared" si="1812"/>
        <v>1.1697776929189052E-2</v>
      </c>
      <c r="CZ318" s="83">
        <f t="shared" si="1812"/>
        <v>-4.5624710749015196E-2</v>
      </c>
      <c r="DA318" s="83">
        <f t="shared" si="1812"/>
        <v>-0.19628283264785362</v>
      </c>
      <c r="DB318" s="83">
        <f t="shared" si="1812"/>
        <v>-0.12090589022687215</v>
      </c>
      <c r="DC318" s="83">
        <f t="shared" si="1812"/>
        <v>-9.6016269716682867E-2</v>
      </c>
      <c r="DD318" s="83">
        <f t="shared" si="1812"/>
        <v>-1.7522318193468056E-2</v>
      </c>
      <c r="DE318" s="83">
        <f t="shared" si="1812"/>
        <v>-6.0157289619143239E-2</v>
      </c>
      <c r="DF318" s="83">
        <f t="shared" si="1812"/>
        <v>-1.6832261631117285E-2</v>
      </c>
      <c r="DG318" s="83">
        <f t="shared" si="1812"/>
        <v>0.17159464544575465</v>
      </c>
      <c r="DH318" s="1066">
        <f t="shared" si="1812"/>
        <v>7.3153164207754973E-2</v>
      </c>
      <c r="DI318" s="83">
        <f t="shared" si="1812"/>
        <v>0.18222935053369294</v>
      </c>
      <c r="DJ318" s="83">
        <f t="shared" si="1812"/>
        <v>-6.2557259999999837E-2</v>
      </c>
      <c r="DK318" s="1079">
        <f t="shared" si="1812"/>
        <v>5.4605282614036632E-2</v>
      </c>
      <c r="DL318" s="83">
        <f t="shared" si="1812"/>
        <v>-8.5092979844688887E-2</v>
      </c>
      <c r="DM318" s="83">
        <f t="shared" si="1812"/>
        <v>-2.5838367471916368E-2</v>
      </c>
      <c r="DN318" s="1079">
        <f t="shared" si="1812"/>
        <v>-5.7631629201821855E-2</v>
      </c>
      <c r="DO318" s="83">
        <f t="shared" si="1812"/>
        <v>4.7247278502190904E-2</v>
      </c>
      <c r="DP318" s="83">
        <f t="shared" si="1812"/>
        <v>0.2257876533060923</v>
      </c>
      <c r="DQ318" s="1079">
        <f t="shared" si="1812"/>
        <v>0.13278279729292986</v>
      </c>
      <c r="DR318" s="83">
        <f t="shared" si="1812"/>
        <v>-4.0767939623800098E-2</v>
      </c>
      <c r="DS318" s="83">
        <f t="shared" si="1812"/>
        <v>-7.3857455263994787E-2</v>
      </c>
      <c r="DT318" s="1079">
        <f t="shared" si="1812"/>
        <v>-5.7922083933223623E-2</v>
      </c>
      <c r="DU318" s="83">
        <f t="shared" si="1812"/>
        <v>-2.8865675970825344E-2</v>
      </c>
      <c r="DV318" s="83">
        <f t="shared" ref="DV318" si="1813">DV317/DS317-1</f>
        <v>-9.5754741711342906E-2</v>
      </c>
      <c r="DW318" s="1079">
        <f t="shared" ref="DW318" si="1814">DW317/DT317-1</f>
        <v>-6.2955502484334347E-2</v>
      </c>
      <c r="DX318" s="83">
        <f t="shared" si="1812"/>
        <v>-0.11642479474201717</v>
      </c>
      <c r="DY318" s="83">
        <f t="shared" si="1812"/>
        <v>2.4137931034482918E-2</v>
      </c>
      <c r="DZ318" s="1079">
        <f t="shared" si="1812"/>
        <v>-4.7294906201055809E-2</v>
      </c>
      <c r="EA318" s="83">
        <f t="shared" si="1812"/>
        <v>2.5015836526355306E-2</v>
      </c>
      <c r="EB318" s="83">
        <f t="shared" ref="EB318:EL318" si="1815">EB317/DY317-1</f>
        <v>-3.9999999999999925E-2</v>
      </c>
      <c r="EC318" s="1079">
        <f t="shared" si="1815"/>
        <v>-9.3569550952158353E-3</v>
      </c>
      <c r="ED318" s="83">
        <f t="shared" si="1815"/>
        <v>-4.0000000000000036E-2</v>
      </c>
      <c r="EE318" s="83">
        <f t="shared" si="1815"/>
        <v>-4.0000000000000036E-2</v>
      </c>
      <c r="EF318" s="1079">
        <f t="shared" si="1815"/>
        <v>-4.0000000000000147E-2</v>
      </c>
      <c r="EG318" s="83">
        <f t="shared" si="1815"/>
        <v>-3.9999999999999925E-2</v>
      </c>
      <c r="EH318" s="83">
        <f t="shared" si="1815"/>
        <v>-3.9999999999999925E-2</v>
      </c>
      <c r="EI318" s="1079">
        <f t="shared" si="1815"/>
        <v>-4.0000000000000036E-2</v>
      </c>
      <c r="EJ318" s="83">
        <f t="shared" si="1815"/>
        <v>-4.0000000000000036E-2</v>
      </c>
      <c r="EK318" s="83">
        <f t="shared" si="1815"/>
        <v>-4.0000000000000036E-2</v>
      </c>
      <c r="EL318" s="1079">
        <f t="shared" si="1815"/>
        <v>-4.0000000000000036E-2</v>
      </c>
      <c r="EM318" s="83">
        <f t="shared" ref="EM318:ER318" si="1816">EM317/EJ317-1</f>
        <v>-4.0000000000000036E-2</v>
      </c>
      <c r="EN318" s="83">
        <f t="shared" si="1816"/>
        <v>-4.0000000000000036E-2</v>
      </c>
      <c r="EO318" s="1079">
        <f t="shared" si="1816"/>
        <v>-4.0000000000000036E-2</v>
      </c>
      <c r="EP318" s="83">
        <f t="shared" si="1816"/>
        <v>-4.0000000000000036E-2</v>
      </c>
      <c r="EQ318" s="83">
        <f t="shared" si="1816"/>
        <v>-4.0000000000000036E-2</v>
      </c>
      <c r="ER318" s="1079">
        <f t="shared" si="1816"/>
        <v>-4.0000000000000036E-2</v>
      </c>
      <c r="ES318" s="83">
        <f t="shared" ref="ES318" si="1817">ES317/EP317-1</f>
        <v>-3.9999999999999925E-2</v>
      </c>
      <c r="ET318" s="83">
        <f t="shared" ref="ET318" si="1818">ET317/EQ317-1</f>
        <v>-4.0000000000000036E-2</v>
      </c>
      <c r="EU318" s="1079">
        <f t="shared" ref="EU318" si="1819">EU317/ER317-1</f>
        <v>-3.9999999999999813E-2</v>
      </c>
      <c r="EV318" s="83">
        <f t="shared" ref="EV318" si="1820">EV317/ES317-1</f>
        <v>-4.0000000000000036E-2</v>
      </c>
      <c r="EW318" s="83">
        <f t="shared" ref="EW318" si="1821">EW317/ET317-1</f>
        <v>-4.0000000000000036E-2</v>
      </c>
      <c r="EX318" s="1079">
        <f t="shared" ref="EX318" si="1822">EX317/EU317-1</f>
        <v>-4.0000000000000036E-2</v>
      </c>
      <c r="EY318" s="83">
        <f t="shared" ref="EY318" si="1823">EY317/EV317-1</f>
        <v>-4.0000000000000036E-2</v>
      </c>
      <c r="EZ318" s="83">
        <f t="shared" ref="EZ318" si="1824">EZ317/EW317-1</f>
        <v>-4.0000000000000036E-2</v>
      </c>
      <c r="FA318" s="1079">
        <f t="shared" ref="FA318" si="1825">FA317/EX317-1</f>
        <v>-4.0000000000000036E-2</v>
      </c>
    </row>
    <row r="319" spans="1:173" outlineLevel="1">
      <c r="B319" s="31"/>
      <c r="BA319" s="35"/>
      <c r="BB319" s="35"/>
      <c r="BC319" s="322"/>
      <c r="BD319" s="35"/>
      <c r="BE319" s="35"/>
      <c r="BG319" s="35"/>
      <c r="BH319" s="35"/>
      <c r="BJ319" s="35"/>
      <c r="BK319" s="35"/>
      <c r="BL319" s="31"/>
      <c r="BM319" s="35"/>
      <c r="BN319" s="35"/>
      <c r="BO319" s="31"/>
      <c r="BP319" s="35"/>
      <c r="BQ319" s="35"/>
      <c r="BR319" s="1024"/>
      <c r="BS319" s="74"/>
      <c r="BT319" s="70"/>
      <c r="BU319" s="74"/>
      <c r="BV319" s="74"/>
      <c r="BW319" s="74"/>
      <c r="BX319" s="74"/>
      <c r="BY319" s="70"/>
      <c r="BZ319" s="70"/>
      <c r="CA319" s="70"/>
      <c r="CB319" s="70"/>
      <c r="CC319" s="70"/>
      <c r="CD319" s="70"/>
      <c r="CE319" s="70"/>
      <c r="CF319" s="70"/>
      <c r="CG319" s="70"/>
      <c r="CH319" s="70"/>
      <c r="CI319" s="70"/>
      <c r="CJ319" s="70"/>
      <c r="CK319" s="35"/>
      <c r="CL319" s="35"/>
      <c r="CN319" s="35"/>
      <c r="CO319" s="35"/>
      <c r="CQ319" s="35"/>
      <c r="CR319" s="35"/>
      <c r="CT319" s="35"/>
      <c r="CU319" s="35"/>
      <c r="CW319" s="35"/>
      <c r="CX319" s="35"/>
      <c r="CZ319" s="35"/>
      <c r="DA319" s="35"/>
      <c r="DC319" s="35"/>
      <c r="DD319" s="35"/>
      <c r="DF319" s="35"/>
      <c r="DG319" s="35"/>
      <c r="DH319" s="1067"/>
      <c r="DI319" s="35"/>
      <c r="DJ319" s="35"/>
      <c r="DK319" s="1067"/>
      <c r="DL319" s="35"/>
      <c r="DM319" s="35"/>
      <c r="DN319" s="1067"/>
      <c r="DO319" s="35"/>
      <c r="DP319" s="35"/>
      <c r="DQ319" s="1067"/>
      <c r="DR319" s="35"/>
      <c r="DS319" s="35"/>
      <c r="DT319" s="1067"/>
      <c r="DU319" s="35"/>
      <c r="DV319" s="35"/>
      <c r="DW319" s="1067"/>
      <c r="DX319" s="35"/>
      <c r="DY319" s="35"/>
      <c r="DZ319" s="1067"/>
      <c r="EA319" s="35"/>
      <c r="EB319" s="35"/>
      <c r="EC319" s="1067"/>
      <c r="ED319" s="35"/>
      <c r="EE319" s="35"/>
      <c r="EF319" s="1067"/>
      <c r="EG319" s="35"/>
      <c r="EH319" s="35"/>
      <c r="EI319" s="1067"/>
      <c r="EJ319" s="35"/>
      <c r="EK319" s="35"/>
      <c r="EL319" s="1067"/>
      <c r="EM319" s="35"/>
      <c r="EN319" s="35"/>
      <c r="EO319" s="1067"/>
      <c r="EP319" s="35"/>
      <c r="EQ319" s="35"/>
      <c r="ER319" s="1067"/>
      <c r="ES319" s="35"/>
      <c r="ET319" s="35"/>
      <c r="EU319" s="1067"/>
      <c r="EV319" s="35"/>
      <c r="EW319" s="35"/>
      <c r="EX319" s="1067"/>
      <c r="EY319" s="35"/>
      <c r="EZ319" s="35"/>
      <c r="FA319" s="1067"/>
    </row>
    <row r="320" spans="1:173" outlineLevel="1">
      <c r="B320" s="35" t="s">
        <v>429</v>
      </c>
      <c r="D320" s="162" t="s">
        <v>153</v>
      </c>
      <c r="BA320" s="35"/>
      <c r="BB320" s="35"/>
      <c r="BC320" s="322"/>
      <c r="BD320" s="35"/>
      <c r="BE320" s="35"/>
      <c r="BG320" s="35"/>
      <c r="BH320" s="35"/>
      <c r="BJ320" s="35"/>
      <c r="BK320" s="35"/>
      <c r="BL320" s="31"/>
      <c r="BM320" s="70">
        <f>BM317*BM287</f>
        <v>0</v>
      </c>
      <c r="BN320" s="70">
        <f>BN317*BN287</f>
        <v>0</v>
      </c>
      <c r="BO320" s="70">
        <f>SUM(BM320:BN320)</f>
        <v>0</v>
      </c>
      <c r="BP320" s="70">
        <f>BP317*BP287</f>
        <v>0</v>
      </c>
      <c r="BQ320" s="70">
        <f>BQ317*BQ287</f>
        <v>0</v>
      </c>
      <c r="BR320" s="70">
        <f>SUM(BP320:BQ320)</f>
        <v>0</v>
      </c>
      <c r="BS320" s="70">
        <f>BS317*BS287</f>
        <v>2.3451597061005574</v>
      </c>
      <c r="BT320" s="70">
        <f>BT317*BT287</f>
        <v>3.2978808367039094</v>
      </c>
      <c r="BU320" s="70">
        <f>SUM(BS320:BT320)</f>
        <v>5.6430405428044672</v>
      </c>
      <c r="BV320" s="70">
        <f>BV317*BV287</f>
        <v>2.0788434271031075</v>
      </c>
      <c r="BW320" s="70">
        <f>BW317*BW287</f>
        <v>2.3939113332520234</v>
      </c>
      <c r="BX320" s="70">
        <f>SUM(BV320:BW320)</f>
        <v>4.472754760355131</v>
      </c>
      <c r="BY320" s="70">
        <f>BY317*BY287</f>
        <v>2.5650184285474862</v>
      </c>
      <c r="BZ320" s="70">
        <f>BZ317*BZ287</f>
        <v>4.1467828126085218</v>
      </c>
      <c r="CA320" s="70">
        <f>SUM(BY320:BZ320)</f>
        <v>6.7118012411560084</v>
      </c>
      <c r="CB320" s="70">
        <f>CB317*CB287</f>
        <v>0</v>
      </c>
      <c r="CC320" s="70">
        <f>CC317*CC287</f>
        <v>0</v>
      </c>
      <c r="CD320" s="70">
        <f>SUM(CB320:CC320)</f>
        <v>0</v>
      </c>
      <c r="CE320" s="70">
        <f>CE317*CE287</f>
        <v>1.8267966954018253</v>
      </c>
      <c r="CF320" s="70">
        <f>CF317*CF287</f>
        <v>4.4227418425214235</v>
      </c>
      <c r="CG320" s="70">
        <f>SUM(CE320:CF320)</f>
        <v>6.2495385379232484</v>
      </c>
      <c r="CH320" s="70">
        <f>CH317*CH287</f>
        <v>5.2503636222661596</v>
      </c>
      <c r="CI320" s="70">
        <f>CI317*CI287</f>
        <v>3.7710676098197404</v>
      </c>
      <c r="CJ320" s="70">
        <f>SUM(CH320:CI320)</f>
        <v>9.0214312320859005</v>
      </c>
      <c r="CK320" s="70">
        <f>CK317*CK287</f>
        <v>4.2422620677249059</v>
      </c>
      <c r="CL320" s="70">
        <f>CL317*CL287</f>
        <v>3.8208124105291708</v>
      </c>
      <c r="CM320" s="70">
        <f>SUM(CK320:CL320)</f>
        <v>8.0630744782540766</v>
      </c>
      <c r="CN320" s="70">
        <f>CN317*CN287</f>
        <v>4.360970976998046</v>
      </c>
      <c r="CO320" s="70">
        <f>CO317*CO287</f>
        <v>2.1453769802465161</v>
      </c>
      <c r="CP320" s="70">
        <f>SUM(CN320:CO320)</f>
        <v>6.5063479572445626</v>
      </c>
      <c r="CQ320" s="70">
        <f>CQ317*CQ287</f>
        <v>0</v>
      </c>
      <c r="CR320" s="70">
        <f>CR317*CR287</f>
        <v>0</v>
      </c>
      <c r="CS320" s="70">
        <f>SUM(CQ320:CR320)</f>
        <v>0</v>
      </c>
      <c r="CT320" s="70">
        <f>CT317*CT287</f>
        <v>7.1951507349238133</v>
      </c>
      <c r="CU320" s="70">
        <f>CU317*CU287</f>
        <v>5.8471677961919655</v>
      </c>
      <c r="CV320" s="70">
        <f>SUM(CT320:CU320)</f>
        <v>13.042318531115779</v>
      </c>
      <c r="CW320" s="70">
        <f>CW317*CW287</f>
        <v>6.3183615662026291</v>
      </c>
      <c r="CX320" s="70">
        <f>CX317*CX287</f>
        <v>7.6309689444321913</v>
      </c>
      <c r="CY320" s="70">
        <f>SUM(CW320:CX320)</f>
        <v>13.94933051063482</v>
      </c>
      <c r="CZ320" s="70">
        <f>CZ317*CZ287</f>
        <v>6.0871900694617782</v>
      </c>
      <c r="DA320" s="70">
        <f>DA317*DA287</f>
        <v>7.1326217739058917</v>
      </c>
      <c r="DB320" s="70">
        <f>SUM(CZ320:DA320)</f>
        <v>13.219811843367669</v>
      </c>
      <c r="DC320" s="70">
        <f>DC317*DC287</f>
        <v>7.4470035378785973</v>
      </c>
      <c r="DD320" s="70">
        <f>DD317*DD287</f>
        <v>8.230917847384033</v>
      </c>
      <c r="DE320" s="70">
        <f>SUM(DC320:DD320)</f>
        <v>15.67792138526263</v>
      </c>
      <c r="DF320" s="70">
        <f>DF317*DF287</f>
        <v>7.5385663100955691</v>
      </c>
      <c r="DG320" s="70">
        <f>DG317*DG287</f>
        <v>7.9167317516844236</v>
      </c>
      <c r="DH320" s="1070">
        <f>SUM(DF320:DG320)</f>
        <v>15.455298061779992</v>
      </c>
      <c r="DI320" s="70">
        <f>DI317*DI287</f>
        <v>8.3940663046172848</v>
      </c>
      <c r="DJ320" s="70">
        <f>DJ317*DJ287</f>
        <v>10.705092805709073</v>
      </c>
      <c r="DK320" s="1070">
        <f>SUM(DI320:DJ320)</f>
        <v>19.099159110326358</v>
      </c>
      <c r="DL320" s="233">
        <f>DL317*DL287</f>
        <v>10.533780164593169</v>
      </c>
      <c r="DM320" s="233">
        <f>DM317*DM287</f>
        <v>9.2054290285141942</v>
      </c>
      <c r="DN320" s="1070">
        <f>SUM(DL320:DM320)</f>
        <v>19.739209193107364</v>
      </c>
      <c r="DO320" s="233">
        <f>DO317*DO287</f>
        <v>10.195879441080711</v>
      </c>
      <c r="DP320" s="233">
        <f>DP317*DP287</f>
        <v>13.463735398716087</v>
      </c>
      <c r="DQ320" s="1070">
        <f>SUM(DO320:DP320)</f>
        <v>23.659614839796799</v>
      </c>
      <c r="DR320" s="233">
        <f>DR317*DR287</f>
        <v>11.157250131444655</v>
      </c>
      <c r="DS320" s="233">
        <f>DS317*DS287</f>
        <v>12.364150907198383</v>
      </c>
      <c r="DT320" s="1070">
        <f>SUM(DR320:DS320)</f>
        <v>23.521401038643038</v>
      </c>
      <c r="DU320" s="233">
        <f>DU317*DU287</f>
        <v>11.097258563490419</v>
      </c>
      <c r="DV320" s="233">
        <f>DV317*DV287</f>
        <v>11.856827059965513</v>
      </c>
      <c r="DW320" s="1070">
        <f>SUM(DU320:DV320)</f>
        <v>22.954085623455931</v>
      </c>
      <c r="DX320" s="233">
        <f>DX317*DX287</f>
        <v>10.376532450308046</v>
      </c>
      <c r="DY320" s="233">
        <f>DY317*DY287</f>
        <v>12.814618959850316</v>
      </c>
      <c r="DZ320" s="1070">
        <f>SUM(DX320:DY320)</f>
        <v>23.191151410158362</v>
      </c>
      <c r="EA320" s="233">
        <f>EA317*EA287</f>
        <v>11.499231937522206</v>
      </c>
      <c r="EB320" s="233">
        <f>EB317*EB287</f>
        <v>13.149291029881278</v>
      </c>
      <c r="EC320" s="1070">
        <f>SUM(EA320:EB320)</f>
        <v>24.648522967403483</v>
      </c>
      <c r="ED320" s="233">
        <f>ED317*ED287</f>
        <v>11.591225793022383</v>
      </c>
      <c r="EE320" s="233">
        <f>EE317*EE287</f>
        <v>13.254485358120331</v>
      </c>
      <c r="EF320" s="1070">
        <f>SUM(ED320:EE320)</f>
        <v>24.845711151142716</v>
      </c>
      <c r="EG320" s="233">
        <f>EG317*EG287</f>
        <v>11.683955599366563</v>
      </c>
      <c r="EH320" s="233">
        <f>EH317*EH287</f>
        <v>13.360521240985294</v>
      </c>
      <c r="EI320" s="1070">
        <f>SUM(EG320:EH320)</f>
        <v>25.044476840351855</v>
      </c>
      <c r="EJ320" s="233">
        <f>EJ317*EJ287</f>
        <v>11.777427244161496</v>
      </c>
      <c r="EK320" s="233">
        <f>EK317*EK287</f>
        <v>13.467405410913177</v>
      </c>
      <c r="EL320" s="1070">
        <f>SUM(EJ320:EK320)</f>
        <v>25.244832655074674</v>
      </c>
      <c r="EM320" s="233">
        <f>EM317*EM287</f>
        <v>11.871646662114788</v>
      </c>
      <c r="EN320" s="233">
        <f>EN317*EN287</f>
        <v>13.575144654200484</v>
      </c>
      <c r="EO320" s="1070">
        <f>SUM(EM320:EN320)</f>
        <v>25.44679131631527</v>
      </c>
      <c r="EP320" s="233">
        <f>EP317*EP287</f>
        <v>11.966619835411707</v>
      </c>
      <c r="EQ320" s="233">
        <f>EQ317*EQ287</f>
        <v>13.683745811434086</v>
      </c>
      <c r="ER320" s="1070">
        <f>SUM(EP320:EQ320)</f>
        <v>25.650365646845792</v>
      </c>
      <c r="ES320" s="233">
        <f>ES317*ES287</f>
        <v>0</v>
      </c>
      <c r="ET320" s="233">
        <f>ET317*ET287</f>
        <v>0</v>
      </c>
      <c r="EU320" s="1070">
        <f>SUM(ES320:ET320)</f>
        <v>0</v>
      </c>
      <c r="EV320" s="233">
        <f>EV317*EV287</f>
        <v>0</v>
      </c>
      <c r="EW320" s="233">
        <f>EW317*EW287</f>
        <v>0</v>
      </c>
      <c r="EX320" s="1070">
        <f>SUM(EV320:EW320)</f>
        <v>0</v>
      </c>
      <c r="EY320" s="233">
        <f>EY317*EY287</f>
        <v>0</v>
      </c>
      <c r="EZ320" s="233">
        <f>EZ317*EZ287</f>
        <v>0</v>
      </c>
      <c r="FA320" s="1070">
        <f>SUM(EY320:EZ320)</f>
        <v>0</v>
      </c>
    </row>
    <row r="321" spans="1:157" outlineLevel="1">
      <c r="D321" s="162" t="s">
        <v>908</v>
      </c>
      <c r="BA321" s="35"/>
      <c r="BB321" s="35"/>
      <c r="BC321" s="322"/>
      <c r="BD321" s="35"/>
      <c r="BE321" s="35"/>
      <c r="BG321" s="35"/>
      <c r="BH321" s="35"/>
      <c r="BJ321" s="35"/>
      <c r="BK321" s="35"/>
      <c r="BL321" s="31"/>
      <c r="BM321" s="70">
        <f>BM320/BM78</f>
        <v>0</v>
      </c>
      <c r="BN321" s="70">
        <f>BN320/BN78</f>
        <v>0</v>
      </c>
      <c r="BO321" s="70">
        <f>SUM(BM321:BN321)</f>
        <v>0</v>
      </c>
      <c r="BP321" s="70">
        <f>BP320/BP78</f>
        <v>0</v>
      </c>
      <c r="BQ321" s="70">
        <f>BQ320/BQ78</f>
        <v>0</v>
      </c>
      <c r="BR321" s="70">
        <f>SUM(BP321:BQ321)</f>
        <v>0</v>
      </c>
      <c r="BS321" s="70">
        <f>BS320/BS78</f>
        <v>3.9085995101675959</v>
      </c>
      <c r="BT321" s="70">
        <f>BT320/BT78</f>
        <v>5.4964680611731822</v>
      </c>
      <c r="BU321" s="70">
        <f>SUM(BS321:BT321)</f>
        <v>9.4050675713407781</v>
      </c>
      <c r="BV321" s="70">
        <f>BV320/BV78</f>
        <v>3.3742528317341742</v>
      </c>
      <c r="BW321" s="70">
        <f>BW320/BW78</f>
        <v>3.9700022110315483</v>
      </c>
      <c r="BX321" s="70">
        <f>SUM(BV321:BW321)</f>
        <v>7.3442550427657221</v>
      </c>
      <c r="BY321" s="70">
        <f>BY320/BY78</f>
        <v>4.5803900509776536</v>
      </c>
      <c r="BZ321" s="70">
        <f>BZ320/BZ78</f>
        <v>6.146945838015057</v>
      </c>
      <c r="CA321" s="70">
        <f>SUM(BY321:BZ321)</f>
        <v>10.727335888992711</v>
      </c>
      <c r="CB321" s="70">
        <f>CB320/CB78</f>
        <v>0</v>
      </c>
      <c r="CC321" s="70">
        <f>CC320/CC78</f>
        <v>0</v>
      </c>
      <c r="CD321" s="70">
        <f>SUM(CB321:CC321)</f>
        <v>0</v>
      </c>
      <c r="CE321" s="70">
        <f>CE320/CE78</f>
        <v>2.5687166353291286</v>
      </c>
      <c r="CF321" s="70">
        <f>CF320/CF78</f>
        <v>5.9711313671061816</v>
      </c>
      <c r="CG321" s="70">
        <f>SUM(CE321:CF321)</f>
        <v>8.5398480024353098</v>
      </c>
      <c r="CH321" s="70">
        <f>CH320/CH78</f>
        <v>7.0950859760353513</v>
      </c>
      <c r="CI321" s="70">
        <f>CI320/CI78</f>
        <v>4.7138345122746754</v>
      </c>
      <c r="CJ321" s="70">
        <f>SUM(CH321:CI321)</f>
        <v>11.808920488310026</v>
      </c>
      <c r="CK321" s="70">
        <f>CK320/CK78</f>
        <v>5.2880466413827723</v>
      </c>
      <c r="CL321" s="70">
        <f>CL320/CL78</f>
        <v>4.8887954079259615</v>
      </c>
      <c r="CM321" s="70">
        <f>SUM(CK321:CL321)</f>
        <v>10.176842049308734</v>
      </c>
      <c r="CN321" s="70">
        <f>CN320/CN78</f>
        <v>6.5089119059672322</v>
      </c>
      <c r="CO321" s="70">
        <f>CO320/CO78</f>
        <v>3.21415242460658</v>
      </c>
      <c r="CP321" s="70">
        <f>SUM(CN321:CO321)</f>
        <v>9.7230643305738127</v>
      </c>
      <c r="CQ321" s="70">
        <f>CQ320/CQ78</f>
        <v>0</v>
      </c>
      <c r="CR321" s="70">
        <f>CR320/CR78</f>
        <v>0</v>
      </c>
      <c r="CS321" s="70">
        <f>SUM(CQ321:CR321)</f>
        <v>0</v>
      </c>
      <c r="CT321" s="70">
        <f>CT320/CT78</f>
        <v>10.980632170401721</v>
      </c>
      <c r="CU321" s="70">
        <f>CU320/CU78</f>
        <v>8.891480905989539</v>
      </c>
      <c r="CV321" s="70">
        <f>SUM(CT321:CU321)</f>
        <v>19.872113076391258</v>
      </c>
      <c r="CW321" s="70">
        <f>CW320/CW78</f>
        <v>9.1951937474037084</v>
      </c>
      <c r="CX321" s="70">
        <f>CX320/CX78</f>
        <v>10.950916041967679</v>
      </c>
      <c r="CY321" s="70">
        <f>SUM(CW321:CX321)</f>
        <v>20.146109789371387</v>
      </c>
      <c r="CZ321" s="70">
        <f>CZ320/CZ78</f>
        <v>9.1782731862443043</v>
      </c>
      <c r="DA321" s="70">
        <f>DA320/DA78</f>
        <v>11.201030420782848</v>
      </c>
      <c r="DB321" s="70">
        <f>SUM(CZ321:DA321)</f>
        <v>20.379303607027154</v>
      </c>
      <c r="DC321" s="70">
        <f>DC320/DC78</f>
        <v>11.844046628461957</v>
      </c>
      <c r="DD321" s="70">
        <f>DD320/DD78</f>
        <v>13.012012791427942</v>
      </c>
      <c r="DE321" s="70">
        <f>SUM(DC321:DD321)</f>
        <v>24.856059419889899</v>
      </c>
      <c r="DF321" s="70">
        <f>DF320/DF78</f>
        <v>12.109575992222016</v>
      </c>
      <c r="DG321" s="70">
        <f>DG320/DG78</f>
        <v>13.19455291947404</v>
      </c>
      <c r="DH321" s="1070">
        <f>SUM(DF321:DG321)</f>
        <v>25.304128911696054</v>
      </c>
      <c r="DI321" s="70">
        <f>DI320/DI78</f>
        <v>13.703598033161237</v>
      </c>
      <c r="DJ321" s="70">
        <f>DJ320/DJ78</f>
        <v>17.07209737901972</v>
      </c>
      <c r="DK321" s="1070">
        <f>SUM(DI321:DJ321)</f>
        <v>30.775695412180958</v>
      </c>
      <c r="DL321" s="233">
        <f>DL320/DL78</f>
        <v>16.459031507176828</v>
      </c>
      <c r="DM321" s="233">
        <f>DM320/DM78</f>
        <v>14.316374849944314</v>
      </c>
      <c r="DN321" s="1070">
        <f>SUM(DL321:DM321)</f>
        <v>30.775406357121142</v>
      </c>
      <c r="DO321" s="233">
        <f>DO320/DO78</f>
        <v>15.432899518622893</v>
      </c>
      <c r="DP321" s="233">
        <f>DP320/DP78</f>
        <v>21.54043348673466</v>
      </c>
      <c r="DQ321" s="1070">
        <f>SUM(DO321:DP321)</f>
        <v>36.973333005357553</v>
      </c>
      <c r="DR321" s="233">
        <f>DR320/DR78</f>
        <v>18.486113697629008</v>
      </c>
      <c r="DS321" s="233">
        <f>DS320/DS78</f>
        <v>20.290789166242352</v>
      </c>
      <c r="DT321" s="1070">
        <f>SUM(DR321:DS321)</f>
        <v>38.776902863871356</v>
      </c>
      <c r="DU321" s="233">
        <f>DU320/DU78</f>
        <v>18.175906678893753</v>
      </c>
      <c r="DV321" s="233">
        <f>DV320/DV78</f>
        <v>20.442805275802609</v>
      </c>
      <c r="DW321" s="1070">
        <f>SUM(DU321:DV321)</f>
        <v>38.618711954696366</v>
      </c>
      <c r="DX321" s="233">
        <f>DX320/DX78</f>
        <v>18.465468905894749</v>
      </c>
      <c r="DY321" s="233">
        <f>DY320/DY78</f>
        <v>21.357698266417195</v>
      </c>
      <c r="DZ321" s="1070">
        <f>SUM(DX321:DY321)</f>
        <v>39.82316717231194</v>
      </c>
      <c r="EA321" s="233">
        <f>EA320/EA78</f>
        <v>19.165386562537009</v>
      </c>
      <c r="EB321" s="233">
        <f>EB320/EB78</f>
        <v>21.915485049802129</v>
      </c>
      <c r="EC321" s="1070">
        <f>SUM(EA321:EB321)</f>
        <v>41.080871612339138</v>
      </c>
      <c r="ED321" s="233">
        <f>ED320/ED78</f>
        <v>19.318709655037306</v>
      </c>
      <c r="EE321" s="233">
        <f>EE320/EE78</f>
        <v>22.090808930200552</v>
      </c>
      <c r="EF321" s="1070">
        <f>SUM(ED321:EE321)</f>
        <v>41.409518585237862</v>
      </c>
      <c r="EG321" s="233">
        <f>EG320/EG78</f>
        <v>19.473259332277607</v>
      </c>
      <c r="EH321" s="233">
        <f>EH320/EH78</f>
        <v>22.267535401642157</v>
      </c>
      <c r="EI321" s="1070">
        <f>SUM(EG321:EH321)</f>
        <v>41.740794733919763</v>
      </c>
      <c r="EJ321" s="233">
        <f>EJ320/EJ78</f>
        <v>19.629045406935827</v>
      </c>
      <c r="EK321" s="233">
        <f>EK320/EK78</f>
        <v>22.445675684855296</v>
      </c>
      <c r="EL321" s="1070">
        <f>SUM(EJ321:EK321)</f>
        <v>42.074721091791119</v>
      </c>
      <c r="EM321" s="233">
        <f>EM320/EM78</f>
        <v>19.786077770191316</v>
      </c>
      <c r="EN321" s="233">
        <f>EN320/EN78</f>
        <v>22.625241090334139</v>
      </c>
      <c r="EO321" s="1070">
        <f>SUM(EM321:EN321)</f>
        <v>42.411318860525455</v>
      </c>
      <c r="EP321" s="233">
        <f>EP320/EP78</f>
        <v>19.944366392352848</v>
      </c>
      <c r="EQ321" s="233">
        <f>EQ320/EQ78</f>
        <v>22.806243019056812</v>
      </c>
      <c r="ER321" s="1070">
        <f>SUM(EP321:EQ321)</f>
        <v>42.750609411409656</v>
      </c>
      <c r="ES321" s="233">
        <f>ES320/ES78</f>
        <v>0</v>
      </c>
      <c r="ET321" s="233">
        <f>ET320/ET78</f>
        <v>0</v>
      </c>
      <c r="EU321" s="1070">
        <f>SUM(ES321:ET321)</f>
        <v>0</v>
      </c>
      <c r="EV321" s="233">
        <f>EV320/EV78</f>
        <v>0</v>
      </c>
      <c r="EW321" s="233">
        <f>EW320/EW78</f>
        <v>0</v>
      </c>
      <c r="EX321" s="1070">
        <f>SUM(EV321:EW321)</f>
        <v>0</v>
      </c>
      <c r="EY321" s="233">
        <f>EY320/EY78</f>
        <v>0</v>
      </c>
      <c r="EZ321" s="233">
        <f>EZ320/EZ78</f>
        <v>0</v>
      </c>
      <c r="FA321" s="1070">
        <f>SUM(EY321:EZ321)</f>
        <v>0</v>
      </c>
    </row>
    <row r="322" spans="1:157" outlineLevel="1">
      <c r="B322" s="35" t="s">
        <v>486</v>
      </c>
      <c r="D322" s="162" t="s">
        <v>153</v>
      </c>
      <c r="BA322" s="35"/>
      <c r="BB322" s="35"/>
      <c r="BC322" s="322"/>
      <c r="BD322" s="35"/>
      <c r="BE322" s="35"/>
      <c r="BG322" s="35"/>
      <c r="BH322" s="35"/>
      <c r="BJ322" s="35"/>
      <c r="BK322" s="35"/>
      <c r="BL322" s="31"/>
      <c r="BM322" s="70">
        <f>BM289-BM320</f>
        <v>0</v>
      </c>
      <c r="BN322" s="70">
        <f>BN289-BN320</f>
        <v>0</v>
      </c>
      <c r="BO322" s="70">
        <f>SUM(BM322:BN322)</f>
        <v>0</v>
      </c>
      <c r="BP322" s="70">
        <f>BP289-BP320</f>
        <v>0</v>
      </c>
      <c r="BQ322" s="70">
        <f>BQ289-BQ320</f>
        <v>0</v>
      </c>
      <c r="BR322" s="70">
        <f>SUM(BP322:BQ322)</f>
        <v>0</v>
      </c>
      <c r="BS322" s="70">
        <f>BS289-BS320</f>
        <v>4.6903194122011138</v>
      </c>
      <c r="BT322" s="70">
        <f>BT289-BT320</f>
        <v>7.2553378407485987</v>
      </c>
      <c r="BU322" s="70">
        <f>SUM(BS322:BT322)</f>
        <v>11.945657252949712</v>
      </c>
      <c r="BV322" s="70">
        <f>BV289-BV320</f>
        <v>4.9566356911985681</v>
      </c>
      <c r="BW322" s="70">
        <f>BW289-BW320</f>
        <v>6.4004375646250606</v>
      </c>
      <c r="BX322" s="70">
        <f>SUM(BV322:BW322)</f>
        <v>11.357073255823629</v>
      </c>
      <c r="BY322" s="70">
        <f>BY289-BY320</f>
        <v>6.2293304693296072</v>
      </c>
      <c r="BZ322" s="70">
        <f>BZ289-BZ320</f>
        <v>6.4064358648439859</v>
      </c>
      <c r="CA322" s="70">
        <f>SUM(BY322:BZ322)</f>
        <v>12.635766334173592</v>
      </c>
      <c r="CB322" s="70">
        <f>CB289-CB320</f>
        <v>0</v>
      </c>
      <c r="CC322" s="70">
        <f>CC289-CC320</f>
        <v>0</v>
      </c>
      <c r="CD322" s="70">
        <f>SUM(CB322:CC322)</f>
        <v>0</v>
      </c>
      <c r="CE322" s="70">
        <f>CE289-CE320</f>
        <v>5.9798683584665788</v>
      </c>
      <c r="CF322" s="70">
        <f>CF289-CF320</f>
        <v>11.190588265215379</v>
      </c>
      <c r="CG322" s="70">
        <f>SUM(CE322:CF322)</f>
        <v>17.170456623681957</v>
      </c>
      <c r="CH322" s="70">
        <f>CH289-CH320</f>
        <v>16.532755854665066</v>
      </c>
      <c r="CI322" s="70">
        <f>CI289-CI320</f>
        <v>10.783234018431813</v>
      </c>
      <c r="CJ322" s="70">
        <f>SUM(CH322:CI322)</f>
        <v>27.315989873096878</v>
      </c>
      <c r="CK322" s="70">
        <f>CK289-CK320</f>
        <v>14.556095697993261</v>
      </c>
      <c r="CL322" s="70">
        <f>CL289-CL320</f>
        <v>12.799837456474229</v>
      </c>
      <c r="CM322" s="70">
        <f>SUM(CK322:CL322)</f>
        <v>27.35593315446749</v>
      </c>
      <c r="CN322" s="70">
        <f>CN289-CN320</f>
        <v>13.127776635905018</v>
      </c>
      <c r="CO322" s="70">
        <f>CO289-CO320</f>
        <v>7.9555820371068062</v>
      </c>
      <c r="CP322" s="70">
        <f>SUM(CN322:CO322)</f>
        <v>21.083358673011823</v>
      </c>
      <c r="CQ322" s="70">
        <f>CQ289-CQ320</f>
        <v>0</v>
      </c>
      <c r="CR322" s="70">
        <f>CR289-CR320</f>
        <v>0</v>
      </c>
      <c r="CS322" s="70">
        <f>SUM(CQ322:CR322)</f>
        <v>0</v>
      </c>
      <c r="CT322" s="70">
        <f>CT289-CT320</f>
        <v>20.260173431742846</v>
      </c>
      <c r="CU322" s="70">
        <f>CU289-CU320</f>
        <v>34.953909443791197</v>
      </c>
      <c r="CV322" s="70">
        <f>SUM(CT322:CU322)</f>
        <v>55.214082875534046</v>
      </c>
      <c r="CW322" s="70">
        <f>CW289-CW320</f>
        <v>27.035742015332286</v>
      </c>
      <c r="CX322" s="70">
        <f>CX289-CX320</f>
        <v>41.179757701670141</v>
      </c>
      <c r="CY322" s="70">
        <f>SUM(CW322:CX322)</f>
        <v>68.21549971700243</v>
      </c>
      <c r="CZ322" s="70">
        <f>CZ289-CZ320</f>
        <v>28.051814439202133</v>
      </c>
      <c r="DA322" s="70">
        <f>DA289-DA320</f>
        <v>50.220274912493181</v>
      </c>
      <c r="DB322" s="70">
        <f>SUM(CZ322:DA322)</f>
        <v>78.272089351695314</v>
      </c>
      <c r="DC322" s="70">
        <f>DC289-DC320</f>
        <v>37.312846020791596</v>
      </c>
      <c r="DD322" s="70">
        <f>DD289-DD320</f>
        <v>56.810086190671669</v>
      </c>
      <c r="DE322" s="70">
        <f>SUM(DC322:DD322)</f>
        <v>94.122932211463265</v>
      </c>
      <c r="DF322" s="70">
        <f>DF289-DF320</f>
        <v>38.408025159801035</v>
      </c>
      <c r="DG322" s="70">
        <f>DG289-DG320</f>
        <v>44.942352225394735</v>
      </c>
      <c r="DH322" s="1070">
        <f>SUM(DF322:DG322)</f>
        <v>83.35037738519577</v>
      </c>
      <c r="DI322" s="70">
        <f>DI289-DI320</f>
        <v>33.712394705075774</v>
      </c>
      <c r="DJ322" s="70">
        <f>DJ289-DJ320</f>
        <v>41.623344900779948</v>
      </c>
      <c r="DK322" s="1070">
        <f>SUM(DI322:DJ322)</f>
        <v>75.335739605855721</v>
      </c>
      <c r="DL322" s="233">
        <f>DL289-DL320</f>
        <v>47.213169424515129</v>
      </c>
      <c r="DM322" s="233">
        <f>DM289-DM320</f>
        <v>46.986277123096357</v>
      </c>
      <c r="DN322" s="1070">
        <f>SUM(DL322:DM322)</f>
        <v>94.199446547611487</v>
      </c>
      <c r="DO322" s="233">
        <f>DO289-DO320</f>
        <v>44.697817908062376</v>
      </c>
      <c r="DP322" s="233">
        <f>DP289-DP320</f>
        <v>54.077812994998219</v>
      </c>
      <c r="DQ322" s="1070">
        <f>SUM(DO322:DP322)</f>
        <v>98.775630903060602</v>
      </c>
      <c r="DR322" s="233">
        <f>DR289-DR320</f>
        <v>55.5112099005527</v>
      </c>
      <c r="DS322" s="233">
        <f>DS289-DS320</f>
        <v>55.303141211793985</v>
      </c>
      <c r="DT322" s="1070">
        <f>SUM(DR322:DS322)</f>
        <v>110.81435111234669</v>
      </c>
      <c r="DU322" s="233">
        <f>DU289-DU320</f>
        <v>46.237029978718304</v>
      </c>
      <c r="DV322" s="233">
        <f>DV289-DV320</f>
        <v>52.043385436872363</v>
      </c>
      <c r="DW322" s="1070">
        <f>SUM(DU322:DV322)</f>
        <v>98.280415415590667</v>
      </c>
      <c r="DX322" s="233">
        <f>DX289-DX320</f>
        <v>44.967983890564199</v>
      </c>
      <c r="DY322" s="233">
        <f>DY289-DY320</f>
        <v>60.670625411513235</v>
      </c>
      <c r="DZ322" s="1070">
        <f>SUM(DX322:DY322)</f>
        <v>105.63860930207744</v>
      </c>
      <c r="EA322" s="233">
        <f>EA289-EA320</f>
        <v>53.530574763002683</v>
      </c>
      <c r="EB322" s="233">
        <f>EB289-EB320</f>
        <v>65.847346669334527</v>
      </c>
      <c r="EC322" s="1070">
        <f>SUM(EA322:EB322)</f>
        <v>119.37792143233722</v>
      </c>
      <c r="ED322" s="233">
        <f>ED289-ED320</f>
        <v>59.291263510549747</v>
      </c>
      <c r="EE322" s="233">
        <f>EE289-EE320</f>
        <v>72.85184973402491</v>
      </c>
      <c r="EF322" s="1070">
        <f>SUM(ED322:EE322)</f>
        <v>132.14311324457466</v>
      </c>
      <c r="EG322" s="233">
        <f>EG289-EG320</f>
        <v>65.577957741527058</v>
      </c>
      <c r="EH322" s="233">
        <f>EH289-EH320</f>
        <v>80.495384009453034</v>
      </c>
      <c r="EI322" s="1070">
        <f>SUM(EG322:EH322)</f>
        <v>146.07334175098009</v>
      </c>
      <c r="EJ322" s="233">
        <f>EJ289-EJ320</f>
        <v>72.438058297412553</v>
      </c>
      <c r="EK322" s="233">
        <f>EK289-EK320</f>
        <v>88.835531312064603</v>
      </c>
      <c r="EL322" s="1070">
        <f>SUM(EJ322:EK322)</f>
        <v>161.27358960947714</v>
      </c>
      <c r="EM322" s="233">
        <f>EM289-EM320</f>
        <v>79.923232578200938</v>
      </c>
      <c r="EN322" s="233">
        <f>EN289-EN320</f>
        <v>97.935056373845299</v>
      </c>
      <c r="EO322" s="1070">
        <f>SUM(EM322:EN322)</f>
        <v>177.85828895204622</v>
      </c>
      <c r="EP322" s="233">
        <f>EP289-EP320</f>
        <v>88.089798536532442</v>
      </c>
      <c r="EQ322" s="233">
        <f>EQ289-EQ320</f>
        <v>107.86237330913582</v>
      </c>
      <c r="ER322" s="1070">
        <f>SUM(EP322:EQ322)</f>
        <v>195.95217184566826</v>
      </c>
      <c r="ES322" s="233">
        <f>ES289-ES320</f>
        <v>109.06149602541913</v>
      </c>
      <c r="ET322" s="233">
        <f>ET289-ET320</f>
        <v>132.4852698414212</v>
      </c>
      <c r="EU322" s="1070">
        <f>SUM(ES322:ET322)</f>
        <v>241.54676586684033</v>
      </c>
      <c r="EV322" s="233">
        <f>EV289-EV320</f>
        <v>118.87703066770686</v>
      </c>
      <c r="EW322" s="233">
        <f>EW289-EW320</f>
        <v>144.40894412714911</v>
      </c>
      <c r="EX322" s="1070">
        <f>SUM(EV322:EW322)</f>
        <v>263.28597479485597</v>
      </c>
      <c r="EY322" s="233">
        <f>EY289-EY320</f>
        <v>129.5759634278005</v>
      </c>
      <c r="EZ322" s="233">
        <f>EZ289-EZ320</f>
        <v>157.40574909859254</v>
      </c>
      <c r="FA322" s="1070">
        <f>SUM(EY322:EZ322)</f>
        <v>286.98171252639304</v>
      </c>
    </row>
    <row r="323" spans="1:157" outlineLevel="1">
      <c r="B323" s="35" t="s">
        <v>486</v>
      </c>
      <c r="D323" s="162" t="s">
        <v>908</v>
      </c>
      <c r="BA323" s="35"/>
      <c r="BB323" s="35"/>
      <c r="BC323" s="322"/>
      <c r="BD323" s="35"/>
      <c r="BE323" s="35"/>
      <c r="BG323" s="35"/>
      <c r="BH323" s="35"/>
      <c r="BJ323" s="35"/>
      <c r="BK323" s="35"/>
      <c r="BL323" s="31"/>
      <c r="BM323" s="70">
        <f>BM291-BM321</f>
        <v>0</v>
      </c>
      <c r="BN323" s="70">
        <f>BN291-BN321</f>
        <v>0</v>
      </c>
      <c r="BO323" s="70">
        <f>SUM(BM323:BN323)</f>
        <v>0</v>
      </c>
      <c r="BP323" s="70">
        <f>BP291-BP321</f>
        <v>0</v>
      </c>
      <c r="BQ323" s="70">
        <f>BQ291-BQ321</f>
        <v>0</v>
      </c>
      <c r="BR323" s="70">
        <f>SUM(BP323:BQ323)</f>
        <v>0</v>
      </c>
      <c r="BS323" s="70">
        <f>BS291-BS321</f>
        <v>7.81719902033519</v>
      </c>
      <c r="BT323" s="70">
        <f>BT291-BT321</f>
        <v>12.092229734580997</v>
      </c>
      <c r="BU323" s="70">
        <f>SUM(BS323:BT323)</f>
        <v>19.909428754916185</v>
      </c>
      <c r="BV323" s="70">
        <f>BV291-BV321</f>
        <v>8.0453110603946953</v>
      </c>
      <c r="BW323" s="70">
        <f>BW291-BW321</f>
        <v>10.614324319444545</v>
      </c>
      <c r="BX323" s="70">
        <f>SUM(BV323:BW323)</f>
        <v>18.659635379839241</v>
      </c>
      <c r="BY323" s="70">
        <f>BY291-BY321</f>
        <v>11.123804409517154</v>
      </c>
      <c r="BZ323" s="70">
        <f>BZ291-BZ321</f>
        <v>9.4965220160978845</v>
      </c>
      <c r="CA323" s="70">
        <f>SUM(BY323:BZ323)</f>
        <v>20.62032642561504</v>
      </c>
      <c r="CB323" s="70">
        <f>CB291-CB321</f>
        <v>0</v>
      </c>
      <c r="CC323" s="70">
        <f>CC291-CC321</f>
        <v>0</v>
      </c>
      <c r="CD323" s="70">
        <f>SUM(CB323:CC323)</f>
        <v>0</v>
      </c>
      <c r="CE323" s="70">
        <f>CE291-CE321</f>
        <v>8.4084821086741943</v>
      </c>
      <c r="CF323" s="70">
        <f>CF291-CF321</f>
        <v>15.108381855881341</v>
      </c>
      <c r="CG323" s="70">
        <f>SUM(CE323:CF323)</f>
        <v>23.516863964555533</v>
      </c>
      <c r="CH323" s="70">
        <f>CH291-CH321</f>
        <v>22.341561965763603</v>
      </c>
      <c r="CI323" s="70">
        <f>CI291-CI321</f>
        <v>13.479042523039762</v>
      </c>
      <c r="CJ323" s="70">
        <f>SUM(CH323:CI323)</f>
        <v>35.820604488803369</v>
      </c>
      <c r="CK323" s="70">
        <f>CK291-CK321</f>
        <v>18.144403089340422</v>
      </c>
      <c r="CL323" s="70">
        <f>CL291-CL321</f>
        <v>16.377612888548846</v>
      </c>
      <c r="CM323" s="70">
        <f>SUM(CK323:CL323)</f>
        <v>34.522015977889268</v>
      </c>
      <c r="CN323" s="70">
        <f>CN291-CN321</f>
        <v>19.593696471500028</v>
      </c>
      <c r="CO323" s="70">
        <f>CO291-CO321</f>
        <v>11.918862525869558</v>
      </c>
      <c r="CP323" s="70">
        <f>SUM(CN323:CO323)</f>
        <v>31.512558997369588</v>
      </c>
      <c r="CQ323" s="70">
        <f>CQ291-CQ321</f>
        <v>0</v>
      </c>
      <c r="CR323" s="70">
        <f>CR291-CR321</f>
        <v>0</v>
      </c>
      <c r="CS323" s="70">
        <f>SUM(CQ323:CR323)</f>
        <v>0</v>
      </c>
      <c r="CT323" s="70">
        <f>CT291-CT321</f>
        <v>30.919367829598272</v>
      </c>
      <c r="CU323" s="70">
        <f>CU291-CU321</f>
        <v>53.152573902798501</v>
      </c>
      <c r="CV323" s="70">
        <f>SUM(CT323:CU323)</f>
        <v>84.071941732396766</v>
      </c>
      <c r="CW323" s="70">
        <f>CW291-CW321</f>
        <v>39.345466911165154</v>
      </c>
      <c r="CX323" s="70">
        <f>CX291-CX321</f>
        <v>59.095518865739088</v>
      </c>
      <c r="CY323" s="70">
        <f>SUM(CW323:CX323)</f>
        <v>98.440985776904242</v>
      </c>
      <c r="CZ323" s="70">
        <f>CZ291-CZ321</f>
        <v>42.296562675854581</v>
      </c>
      <c r="DA323" s="70">
        <f>DA291-DA321</f>
        <v>78.865646443337653</v>
      </c>
      <c r="DB323" s="70">
        <f>SUM(CZ323:DA323)</f>
        <v>121.16220911919223</v>
      </c>
      <c r="DC323" s="70">
        <f>DC291-DC321</f>
        <v>59.344014792393864</v>
      </c>
      <c r="DD323" s="70">
        <f>DD291-DD321</f>
        <v>89.809372648529347</v>
      </c>
      <c r="DE323" s="70">
        <f>SUM(DC323:DD323)</f>
        <v>149.15338744092321</v>
      </c>
      <c r="DF323" s="70">
        <f>DF291-DF321</f>
        <v>61.696731215446391</v>
      </c>
      <c r="DG323" s="70">
        <f>DG291-DG321</f>
        <v>74.903920375657904</v>
      </c>
      <c r="DH323" s="1070">
        <f>SUM(DF323:DG323)</f>
        <v>136.60065159110428</v>
      </c>
      <c r="DI323" s="70">
        <f>DI291-DI321</f>
        <v>55.036628138082712</v>
      </c>
      <c r="DJ323" s="70">
        <f>DJ291-DJ321</f>
        <v>66.379414946096873</v>
      </c>
      <c r="DK323" s="1070">
        <f>SUM(DI323:DJ323)</f>
        <v>121.41604308417959</v>
      </c>
      <c r="DL323" s="233">
        <f>DL291-DL321</f>
        <v>73.770577225804885</v>
      </c>
      <c r="DM323" s="233">
        <f>DM291-DM321</f>
        <v>73.073525852404913</v>
      </c>
      <c r="DN323" s="1070">
        <f>SUM(DL323:DM323)</f>
        <v>146.8441030782098</v>
      </c>
      <c r="DO323" s="233">
        <f>DO291-DO321</f>
        <v>67.656442630878402</v>
      </c>
      <c r="DP323" s="233">
        <f>DP291-DP321</f>
        <v>86.518302642661595</v>
      </c>
      <c r="DQ323" s="1070">
        <f>SUM(DO323:DP323)</f>
        <v>154.17474527354</v>
      </c>
      <c r="DR323" s="233">
        <f>DR291-DR321</f>
        <v>91.974861693066146</v>
      </c>
      <c r="DS323" s="233">
        <f>DS291-DS321</f>
        <v>90.757900561220936</v>
      </c>
      <c r="DT323" s="1070">
        <f>SUM(DR323:DS323)</f>
        <v>182.73276225428708</v>
      </c>
      <c r="DU323" s="233">
        <f>DU291-DU321</f>
        <v>75.730410100318139</v>
      </c>
      <c r="DV323" s="233">
        <f>DV291-DV321</f>
        <v>89.729974891159245</v>
      </c>
      <c r="DW323" s="1070">
        <f>SUM(DU323:DV323)</f>
        <v>165.46038499147738</v>
      </c>
      <c r="DX323" s="233">
        <f>DX291-DX321</f>
        <v>80.022388236962399</v>
      </c>
      <c r="DY323" s="233">
        <f>DY291-DY321</f>
        <v>101.11770901918874</v>
      </c>
      <c r="DZ323" s="1070">
        <f>SUM(DX323:DY323)</f>
        <v>181.14009725615114</v>
      </c>
      <c r="EA323" s="233">
        <f>EA291-EA321</f>
        <v>89.217624605004474</v>
      </c>
      <c r="EB323" s="233">
        <f>EB291-EB321</f>
        <v>109.74557778222422</v>
      </c>
      <c r="EC323" s="1070">
        <f>SUM(EA323:EB323)</f>
        <v>198.9632023872287</v>
      </c>
      <c r="ED323" s="233">
        <f>ED291-ED321</f>
        <v>98.818772517582914</v>
      </c>
      <c r="EE323" s="233">
        <f>EE291-EE321</f>
        <v>121.41974955670818</v>
      </c>
      <c r="EF323" s="1070">
        <f>SUM(ED323:EE323)</f>
        <v>220.2385220742911</v>
      </c>
      <c r="EG323" s="233">
        <f>EG291-EG321</f>
        <v>109.29659623587845</v>
      </c>
      <c r="EH323" s="233">
        <f>EH291-EH321</f>
        <v>134.1589733490884</v>
      </c>
      <c r="EI323" s="1070">
        <f>SUM(EG323:EH323)</f>
        <v>243.45556958496684</v>
      </c>
      <c r="EJ323" s="233">
        <f>EJ291-EJ321</f>
        <v>120.73009716235427</v>
      </c>
      <c r="EK323" s="233">
        <f>EK291-EK321</f>
        <v>148.059218853441</v>
      </c>
      <c r="EL323" s="1070">
        <f>SUM(EJ323:EK323)</f>
        <v>268.78931601579529</v>
      </c>
      <c r="EM323" s="233">
        <f>EM291-EM321</f>
        <v>133.20538763033488</v>
      </c>
      <c r="EN323" s="233">
        <f>EN291-EN321</f>
        <v>163.22509395640884</v>
      </c>
      <c r="EO323" s="1070">
        <f>SUM(EM323:EN323)</f>
        <v>296.43048158674372</v>
      </c>
      <c r="EP323" s="233">
        <f>EP291-EP321</f>
        <v>146.81633089422075</v>
      </c>
      <c r="EQ323" s="233">
        <f>EQ291-EQ321</f>
        <v>179.77062218189306</v>
      </c>
      <c r="ER323" s="1070">
        <f>SUM(EP323:EQ323)</f>
        <v>326.58695307611379</v>
      </c>
      <c r="ES323" s="233">
        <f>ES291-ES321</f>
        <v>181.76916004236523</v>
      </c>
      <c r="ET323" s="233">
        <f>ET291-ET321</f>
        <v>220.80878306903534</v>
      </c>
      <c r="EU323" s="1070">
        <f>SUM(ES323:ET323)</f>
        <v>402.5779431114006</v>
      </c>
      <c r="EV323" s="233">
        <f>EV291-EV321</f>
        <v>198.1283844461781</v>
      </c>
      <c r="EW323" s="233">
        <f>EW291-EW321</f>
        <v>240.68157354524854</v>
      </c>
      <c r="EX323" s="1070">
        <f>SUM(EV323:EW323)</f>
        <v>438.80995799142664</v>
      </c>
      <c r="EY323" s="233">
        <f>EY291-EY321</f>
        <v>215.95993904633417</v>
      </c>
      <c r="EZ323" s="233">
        <f>EZ291-EZ321</f>
        <v>262.34291516432091</v>
      </c>
      <c r="FA323" s="1070">
        <f>SUM(EY323:EZ323)</f>
        <v>478.30285421065508</v>
      </c>
    </row>
    <row r="324" spans="1:157" outlineLevel="1">
      <c r="B324" s="35" t="s">
        <v>487</v>
      </c>
      <c r="D324" s="162" t="s">
        <v>460</v>
      </c>
      <c r="BA324" s="35"/>
      <c r="BB324" s="35"/>
      <c r="BC324" s="322"/>
      <c r="BD324" s="35"/>
      <c r="BE324" s="35"/>
      <c r="BG324" s="35"/>
      <c r="BH324" s="35"/>
      <c r="BJ324" s="35"/>
      <c r="BK324" s="35"/>
      <c r="BL324" s="31"/>
      <c r="BM324" s="65"/>
      <c r="BN324" s="65"/>
      <c r="BO324" s="65"/>
      <c r="BP324" s="65"/>
      <c r="BQ324" s="65"/>
      <c r="BR324" s="65"/>
      <c r="BS324" s="65">
        <f t="shared" ref="BS324:CA324" si="1826">BS323/BS291</f>
        <v>0.66666666666666663</v>
      </c>
      <c r="BT324" s="65">
        <f t="shared" si="1826"/>
        <v>0.68749999999999989</v>
      </c>
      <c r="BU324" s="65">
        <f t="shared" si="1826"/>
        <v>0.67916666666666659</v>
      </c>
      <c r="BV324" s="65">
        <f t="shared" si="1826"/>
        <v>0.70451999186589453</v>
      </c>
      <c r="BW324" s="65">
        <f t="shared" si="1826"/>
        <v>0.72778981581798474</v>
      </c>
      <c r="BX324" s="65">
        <f t="shared" si="1826"/>
        <v>0.71757091252847982</v>
      </c>
      <c r="BY324" s="65">
        <f t="shared" si="1826"/>
        <v>0.70833333333333326</v>
      </c>
      <c r="BZ324" s="65">
        <f t="shared" si="1826"/>
        <v>0.60705989903645841</v>
      </c>
      <c r="CA324" s="65">
        <f t="shared" si="1826"/>
        <v>0.65779470949596586</v>
      </c>
      <c r="CB324" s="65"/>
      <c r="CC324" s="65"/>
      <c r="CD324" s="65"/>
      <c r="CE324" s="65">
        <f t="shared" ref="CE324:CP324" si="1827">CE323/CE291</f>
        <v>0.76599525113523348</v>
      </c>
      <c r="CF324" s="65">
        <f t="shared" si="1827"/>
        <v>0.71673295754312893</v>
      </c>
      <c r="CG324" s="65">
        <f t="shared" si="1827"/>
        <v>0.73360187372838204</v>
      </c>
      <c r="CH324" s="65">
        <f t="shared" si="1827"/>
        <v>0.7589709945893468</v>
      </c>
      <c r="CI324" s="65">
        <f t="shared" si="1827"/>
        <v>0.74089669802502434</v>
      </c>
      <c r="CJ324" s="65">
        <f t="shared" si="1827"/>
        <v>0.75206722103601997</v>
      </c>
      <c r="CK324" s="65">
        <f t="shared" si="1827"/>
        <v>0.77432804925857113</v>
      </c>
      <c r="CL324" s="65">
        <f t="shared" si="1827"/>
        <v>0.7701165453154426</v>
      </c>
      <c r="CM324" s="65">
        <f t="shared" si="1827"/>
        <v>0.77232433895478025</v>
      </c>
      <c r="CN324" s="65">
        <f t="shared" si="1827"/>
        <v>0.75064132243634452</v>
      </c>
      <c r="CO324" s="65">
        <f t="shared" si="1827"/>
        <v>0.78760660482229605</v>
      </c>
      <c r="CP324" s="65">
        <f t="shared" si="1827"/>
        <v>0.76420716977533942</v>
      </c>
      <c r="CQ324" s="65"/>
      <c r="CR324" s="65"/>
      <c r="CS324" s="65"/>
      <c r="CT324" s="65">
        <f t="shared" ref="CT324:DY324" si="1828">CT323/CT291</f>
        <v>0.73793240643432645</v>
      </c>
      <c r="CU324" s="65">
        <f t="shared" si="1828"/>
        <v>0.85669084760188607</v>
      </c>
      <c r="CV324" s="65">
        <f t="shared" si="1828"/>
        <v>0.8088191468675402</v>
      </c>
      <c r="CW324" s="65">
        <f t="shared" si="1828"/>
        <v>0.81056719000835264</v>
      </c>
      <c r="CX324" s="65">
        <f t="shared" si="1828"/>
        <v>0.84366204994734395</v>
      </c>
      <c r="CY324" s="65">
        <f t="shared" si="1828"/>
        <v>0.83011549702630016</v>
      </c>
      <c r="CZ324" s="65">
        <f t="shared" si="1828"/>
        <v>0.82169397857172577</v>
      </c>
      <c r="DA324" s="65">
        <f t="shared" si="1828"/>
        <v>0.87563624182913591</v>
      </c>
      <c r="DB324" s="65">
        <f t="shared" si="1828"/>
        <v>0.85601889357755856</v>
      </c>
      <c r="DC324" s="65">
        <f t="shared" si="1828"/>
        <v>0.8336231329795416</v>
      </c>
      <c r="DD324" s="65">
        <f t="shared" si="1828"/>
        <v>0.87345032615781726</v>
      </c>
      <c r="DE324" s="65">
        <f t="shared" si="1828"/>
        <v>0.85715683907798523</v>
      </c>
      <c r="DF324" s="65">
        <f t="shared" si="1828"/>
        <v>0.83592762664375864</v>
      </c>
      <c r="DG324" s="65">
        <f t="shared" si="1828"/>
        <v>0.8502294940427404</v>
      </c>
      <c r="DH324" s="1066">
        <f t="shared" si="1828"/>
        <v>0.84370980996908607</v>
      </c>
      <c r="DI324" s="65">
        <f t="shared" si="1828"/>
        <v>0.80064659666636573</v>
      </c>
      <c r="DJ324" s="65">
        <f t="shared" si="1828"/>
        <v>0.79542494913083206</v>
      </c>
      <c r="DK324" s="1066">
        <f t="shared" si="1828"/>
        <v>0.7977834032501252</v>
      </c>
      <c r="DL324" s="65">
        <f t="shared" si="1828"/>
        <v>0.81758724504852531</v>
      </c>
      <c r="DM324" s="65">
        <f t="shared" si="1828"/>
        <v>0.83617815405574136</v>
      </c>
      <c r="DN324" s="1066">
        <f t="shared" si="1828"/>
        <v>0.82673408762945555</v>
      </c>
      <c r="DO324" s="65">
        <f t="shared" si="1828"/>
        <v>0.81426138275526694</v>
      </c>
      <c r="DP324" s="65">
        <f t="shared" si="1828"/>
        <v>0.8006599534817731</v>
      </c>
      <c r="DQ324" s="1066">
        <f t="shared" si="1828"/>
        <v>0.80657230070913377</v>
      </c>
      <c r="DR324" s="65">
        <f t="shared" si="1828"/>
        <v>0.83264574993798024</v>
      </c>
      <c r="DS324" s="65">
        <f t="shared" si="1828"/>
        <v>0.81728024692555856</v>
      </c>
      <c r="DT324" s="1066">
        <f t="shared" si="1828"/>
        <v>0.82494261438575667</v>
      </c>
      <c r="DU324" s="65">
        <f t="shared" ref="DU324:DW324" si="1829">DU323/DU291</f>
        <v>0.80644638931342516</v>
      </c>
      <c r="DV324" s="65">
        <f t="shared" si="1829"/>
        <v>0.8144477679076223</v>
      </c>
      <c r="DW324" s="1066">
        <f t="shared" si="1829"/>
        <v>0.81076596019590319</v>
      </c>
      <c r="DX324" s="65">
        <f t="shared" ref="DX324" si="1830">DX323/DX291</f>
        <v>0.81251019728137153</v>
      </c>
      <c r="DY324" s="65">
        <f t="shared" si="1828"/>
        <v>0.82561643402734552</v>
      </c>
      <c r="DZ324" s="1066">
        <f t="shared" ref="DZ324:ER324" si="1831">DZ323/DZ291</f>
        <v>0.81977471560570325</v>
      </c>
      <c r="EA324" s="65">
        <f t="shared" si="1831"/>
        <v>0.8231698274842113</v>
      </c>
      <c r="EB324" s="65">
        <f t="shared" si="1831"/>
        <v>0.8335461937006996</v>
      </c>
      <c r="EC324" s="1066">
        <f t="shared" si="1831"/>
        <v>0.82886112984229265</v>
      </c>
      <c r="ED324" s="65">
        <f t="shared" si="1831"/>
        <v>0.83647264780191288</v>
      </c>
      <c r="EE324" s="65">
        <f t="shared" si="1831"/>
        <v>0.84606840665165617</v>
      </c>
      <c r="EF324" s="1066">
        <f t="shared" si="1831"/>
        <v>0.84173579713856039</v>
      </c>
      <c r="EG324" s="65">
        <f t="shared" si="1831"/>
        <v>0.84877470549020939</v>
      </c>
      <c r="EH324" s="65">
        <f t="shared" si="1831"/>
        <v>0.8576485815641004</v>
      </c>
      <c r="EI324" s="1066">
        <f t="shared" si="1831"/>
        <v>0.8536419114822652</v>
      </c>
      <c r="EJ324" s="65">
        <f t="shared" si="1831"/>
        <v>0.86015128727901924</v>
      </c>
      <c r="EK324" s="65">
        <f t="shared" si="1831"/>
        <v>0.86835758735469093</v>
      </c>
      <c r="EL324" s="1066">
        <f t="shared" si="1831"/>
        <v>0.86465233649002138</v>
      </c>
      <c r="EM324" s="65">
        <f t="shared" si="1831"/>
        <v>0.87067201612591871</v>
      </c>
      <c r="EN324" s="65">
        <f t="shared" si="1831"/>
        <v>0.87826096151699873</v>
      </c>
      <c r="EO324" s="1066">
        <f t="shared" si="1831"/>
        <v>0.87483445429535922</v>
      </c>
      <c r="EP324" s="65">
        <f t="shared" si="1831"/>
        <v>0.88040127729809736</v>
      </c>
      <c r="EQ324" s="65">
        <f t="shared" si="1831"/>
        <v>0.88741931120104101</v>
      </c>
      <c r="ER324" s="1066">
        <f t="shared" si="1831"/>
        <v>0.88425057791717621</v>
      </c>
      <c r="ES324" s="65">
        <f t="shared" ref="ES324:EX324" si="1832">ES323/ES291</f>
        <v>1</v>
      </c>
      <c r="ET324" s="65">
        <f t="shared" si="1832"/>
        <v>1</v>
      </c>
      <c r="EU324" s="1066">
        <f t="shared" si="1832"/>
        <v>1</v>
      </c>
      <c r="EV324" s="65">
        <f t="shared" si="1832"/>
        <v>1</v>
      </c>
      <c r="EW324" s="65">
        <f t="shared" si="1832"/>
        <v>1</v>
      </c>
      <c r="EX324" s="1066">
        <f t="shared" si="1832"/>
        <v>1</v>
      </c>
      <c r="EY324" s="65">
        <f t="shared" ref="EY324:FA324" si="1833">EY323/EY291</f>
        <v>1</v>
      </c>
      <c r="EZ324" s="65">
        <f t="shared" si="1833"/>
        <v>1</v>
      </c>
      <c r="FA324" s="1066">
        <f t="shared" si="1833"/>
        <v>1</v>
      </c>
    </row>
    <row r="325" spans="1:157" outlineLevel="1">
      <c r="B325" s="31"/>
      <c r="BA325" s="35"/>
      <c r="BB325" s="35"/>
      <c r="BC325" s="322"/>
      <c r="BD325" s="35"/>
      <c r="BE325" s="35"/>
      <c r="BG325" s="35"/>
      <c r="BH325" s="35"/>
      <c r="BJ325" s="35"/>
      <c r="BK325" s="35"/>
      <c r="BL325" s="31"/>
      <c r="BM325" s="35"/>
      <c r="BN325" s="35"/>
      <c r="BO325" s="31"/>
      <c r="BP325" s="35"/>
      <c r="BQ325" s="35"/>
      <c r="BR325" s="1024"/>
      <c r="BS325" s="74"/>
      <c r="BT325" s="70"/>
      <c r="BU325" s="74"/>
      <c r="BV325" s="74"/>
      <c r="BW325" s="74"/>
      <c r="BX325" s="74"/>
      <c r="BY325" s="70"/>
      <c r="BZ325" s="70"/>
      <c r="CA325" s="70"/>
      <c r="CB325" s="70"/>
      <c r="CC325" s="70"/>
      <c r="CD325" s="70"/>
      <c r="CE325" s="65"/>
      <c r="CF325" s="65"/>
      <c r="CG325" s="65"/>
      <c r="CH325" s="70"/>
      <c r="CI325" s="70"/>
      <c r="CJ325" s="70"/>
      <c r="CK325" s="35"/>
      <c r="CL325" s="35"/>
      <c r="CN325" s="35"/>
      <c r="CO325" s="35"/>
      <c r="CQ325" s="35"/>
      <c r="CR325" s="35"/>
      <c r="CT325" s="35"/>
      <c r="CU325" s="35"/>
      <c r="CW325" s="35"/>
      <c r="CX325" s="35"/>
      <c r="CZ325" s="35"/>
      <c r="DA325" s="35"/>
      <c r="DC325" s="35"/>
      <c r="DD325" s="35"/>
      <c r="DF325" s="35"/>
      <c r="DG325" s="35"/>
      <c r="DH325" s="1067"/>
      <c r="DI325" s="35"/>
      <c r="DJ325" s="35"/>
      <c r="DK325" s="1067"/>
      <c r="DL325" s="35"/>
      <c r="DM325" s="35"/>
      <c r="DN325" s="1067"/>
      <c r="DO325" s="35"/>
      <c r="DP325" s="35"/>
      <c r="DQ325" s="1067"/>
      <c r="DR325" s="35"/>
      <c r="DS325" s="35"/>
      <c r="DT325" s="1067"/>
      <c r="DU325" s="35"/>
      <c r="DV325" s="35"/>
      <c r="DW325" s="1067"/>
      <c r="DX325" s="35"/>
      <c r="DY325" s="35"/>
      <c r="DZ325" s="1067"/>
      <c r="EA325" s="35"/>
      <c r="EB325" s="35"/>
      <c r="EC325" s="1067"/>
      <c r="ED325" s="35"/>
      <c r="EE325" s="35"/>
      <c r="EF325" s="1067"/>
      <c r="EG325" s="35"/>
      <c r="EH325" s="35"/>
      <c r="EI325" s="1067"/>
      <c r="EJ325" s="35"/>
      <c r="EK325" s="35"/>
      <c r="EL325" s="1067"/>
      <c r="EM325" s="35"/>
      <c r="EN325" s="35"/>
      <c r="EO325" s="1067"/>
      <c r="EP325" s="35"/>
      <c r="EQ325" s="35"/>
      <c r="ER325" s="1067"/>
      <c r="ES325" s="35"/>
      <c r="ET325" s="35"/>
      <c r="EU325" s="1067"/>
      <c r="EV325" s="35"/>
      <c r="EW325" s="35"/>
      <c r="EX325" s="1067"/>
      <c r="EY325" s="35"/>
      <c r="EZ325" s="35"/>
      <c r="FA325" s="1067"/>
    </row>
    <row r="326" spans="1:157" outlineLevel="1">
      <c r="A326" s="1426" t="s">
        <v>429</v>
      </c>
      <c r="B326" s="31"/>
      <c r="D326" s="162" t="s">
        <v>604</v>
      </c>
      <c r="BA326" s="35"/>
      <c r="BB326" s="35"/>
      <c r="BC326" s="322"/>
      <c r="BD326" s="35"/>
      <c r="BE326" s="35"/>
      <c r="BG326" s="35"/>
      <c r="BH326" s="35"/>
      <c r="BJ326" s="35"/>
      <c r="BK326" s="35"/>
      <c r="BL326" s="31"/>
      <c r="BM326" s="70">
        <f>BM262-BM328</f>
        <v>9.7377869924343941</v>
      </c>
      <c r="BN326" s="70">
        <f>BN262-BN328</f>
        <v>11.032054659810008</v>
      </c>
      <c r="BO326" s="1024">
        <f>SUM(BM326:BN326)</f>
        <v>20.769841652244402</v>
      </c>
      <c r="BP326" s="70">
        <f>BP262-BP328</f>
        <v>11.796252063631087</v>
      </c>
      <c r="BQ326" s="70">
        <f>BQ262-BQ328</f>
        <v>13.173425385008812</v>
      </c>
      <c r="BR326" s="1024">
        <f>SUM(BP326:BQ326)</f>
        <v>24.969677448639899</v>
      </c>
      <c r="BS326" s="70">
        <f>BS262-BS328</f>
        <v>27.98915317427219</v>
      </c>
      <c r="BT326" s="70">
        <f>BT262-BT328</f>
        <v>30.417704622880876</v>
      </c>
      <c r="BU326" s="70">
        <f>SUM(BS326:BT326)</f>
        <v>58.406857797153066</v>
      </c>
      <c r="BV326" s="70">
        <f>BV262-BV328</f>
        <v>31.672846992584752</v>
      </c>
      <c r="BW326" s="70">
        <f>BW262-BW328</f>
        <v>32.823075521337643</v>
      </c>
      <c r="BX326" s="70">
        <f>SUM(BV326:BW326)</f>
        <v>64.495922513922395</v>
      </c>
      <c r="BY326" s="70">
        <f>BY262-BY328</f>
        <v>41.157367382423118</v>
      </c>
      <c r="BZ326" s="70">
        <f>BZ262-BZ328</f>
        <v>34.554814698892869</v>
      </c>
      <c r="CA326" s="70">
        <f>SUM(BY326:BZ326)</f>
        <v>75.712182081315987</v>
      </c>
      <c r="CB326" s="70">
        <f>CB262-CB328</f>
        <v>34.320260061949455</v>
      </c>
      <c r="CC326" s="70">
        <f>CC262-CC328</f>
        <v>35.496453384021237</v>
      </c>
      <c r="CD326" s="70">
        <f>SUM(CB326:CC326)</f>
        <v>69.816713445970692</v>
      </c>
      <c r="CE326" s="70">
        <f>CE262-CE328</f>
        <v>37.380740140118832</v>
      </c>
      <c r="CF326" s="70">
        <f>CF262-CF328</f>
        <v>46.589013487549181</v>
      </c>
      <c r="CG326" s="70">
        <f>SUM(CE326:CF326)</f>
        <v>83.969753627668013</v>
      </c>
      <c r="CH326" s="70">
        <f>CH262-CH328</f>
        <v>39.123562100057228</v>
      </c>
      <c r="CI326" s="70">
        <f>CI262-CI328</f>
        <v>37.939598478647071</v>
      </c>
      <c r="CJ326" s="70">
        <f>SUM(CH326:CI326)</f>
        <v>77.063160578704299</v>
      </c>
      <c r="CK326" s="70">
        <f>CK262-CK328</f>
        <v>37.707325758149125</v>
      </c>
      <c r="CL326" s="70">
        <f>CL262-CL328</f>
        <v>40.869945697097464</v>
      </c>
      <c r="CM326" s="70">
        <f>SUM(CK326:CL326)</f>
        <v>78.577271455246589</v>
      </c>
      <c r="CN326" s="70">
        <f>CN262-CN328</f>
        <v>51.008105933761541</v>
      </c>
      <c r="CO326" s="70">
        <f>CO262-CO328</f>
        <v>48.289477734357746</v>
      </c>
      <c r="CP326" s="70">
        <f>SUM(CN326:CO326)</f>
        <v>99.297583668119287</v>
      </c>
      <c r="CQ326" s="70">
        <f>CQ262-CQ328</f>
        <v>48.88638881469214</v>
      </c>
      <c r="CR326" s="70">
        <f>CR262-CR328</f>
        <v>65.859001274490907</v>
      </c>
      <c r="CS326" s="70">
        <f>SUM(CQ326:CR326)</f>
        <v>114.74539008918305</v>
      </c>
      <c r="CT326" s="70">
        <f>CT262-CT328</f>
        <v>51.955969748175903</v>
      </c>
      <c r="CU326" s="70">
        <f>CU262-CU328</f>
        <v>64.89502884571192</v>
      </c>
      <c r="CV326" s="70">
        <f>SUM(CT326:CU326)</f>
        <v>116.85099859388782</v>
      </c>
      <c r="CW326" s="70">
        <f>CW262-CW328</f>
        <v>63.660153875047058</v>
      </c>
      <c r="CX326" s="70">
        <f>CX262-CX328</f>
        <v>76.161706364888943</v>
      </c>
      <c r="CY326" s="70">
        <f>SUM(CW326:CX326)</f>
        <v>139.821860239936</v>
      </c>
      <c r="CZ326" s="70">
        <f>CZ262-CZ328</f>
        <v>62.855035251378695</v>
      </c>
      <c r="DA326" s="70">
        <f>DA262-DA328</f>
        <v>78.748215517028001</v>
      </c>
      <c r="DB326" s="70">
        <f>SUM(CZ326:DA326)</f>
        <v>141.6032507684067</v>
      </c>
      <c r="DC326" s="70">
        <f>DC262-DC328</f>
        <v>69.129393223140369</v>
      </c>
      <c r="DD326" s="70">
        <f>DD262-DD328</f>
        <v>77.540804016813695</v>
      </c>
      <c r="DE326" s="70">
        <f>SUM(DC326:DD326)</f>
        <v>146.67019723995406</v>
      </c>
      <c r="DF326" s="70">
        <f>DF262-DF328</f>
        <v>72.236241002121574</v>
      </c>
      <c r="DG326" s="70">
        <f>DG262-DG328</f>
        <v>71.147647279419004</v>
      </c>
      <c r="DH326" s="1070">
        <f>SUM(DF326:DG326)</f>
        <v>143.38388828154058</v>
      </c>
      <c r="DI326" s="1152">
        <f>+DI130*DI92</f>
        <v>66.916962843295636</v>
      </c>
      <c r="DJ326" s="1152">
        <f>+DJ130*DJ92</f>
        <v>75.016788807461708</v>
      </c>
      <c r="DK326" s="1157">
        <f>SUM(DI326:DJ326)</f>
        <v>141.93375165075736</v>
      </c>
      <c r="DL326" s="1152">
        <f>+DL130*DL92</f>
        <v>73.063117870722422</v>
      </c>
      <c r="DM326" s="1152">
        <f>+DM130*DM92</f>
        <v>71.812315330588518</v>
      </c>
      <c r="DN326" s="1157">
        <f t="shared" ref="DN326" si="1834">SUM(DL326:DM326)</f>
        <v>144.87543320131095</v>
      </c>
      <c r="DO326" s="1152">
        <f>+DO130*DO92</f>
        <v>72.903989689566288</v>
      </c>
      <c r="DP326" s="1152">
        <f>+DP130*DP92</f>
        <v>86.599558021440657</v>
      </c>
      <c r="DQ326" s="1157">
        <f t="shared" ref="DQ326" si="1835">SUM(DO326:DP326)</f>
        <v>159.50354771100695</v>
      </c>
      <c r="DR326" s="1152">
        <f>+DR130*DR92</f>
        <v>90.483653673432727</v>
      </c>
      <c r="DS326" s="1152">
        <f>+DS130*DS92</f>
        <v>94.8755503144654</v>
      </c>
      <c r="DT326" s="1157">
        <f t="shared" ref="DT326" si="1836">SUM(DR326:DS326)</f>
        <v>185.35920398789813</v>
      </c>
      <c r="DU326" s="1152">
        <f>+DU130*DU92</f>
        <v>91.597145055132913</v>
      </c>
      <c r="DV326" s="1152">
        <f>+DV130*DV92</f>
        <v>115.06210473058442</v>
      </c>
      <c r="DW326" s="1157">
        <f t="shared" ref="DW326" si="1837">SUM(DU326:DV326)</f>
        <v>206.65924978571735</v>
      </c>
      <c r="DX326" s="1152">
        <f>+DX130*DX92</f>
        <v>100.88999999999999</v>
      </c>
      <c r="DY326" s="1152">
        <f>+DY130*DY92</f>
        <v>134.94402952929565</v>
      </c>
      <c r="DZ326" s="1157">
        <f t="shared" ref="DZ326" si="1838">SUM(DX326:DY326)</f>
        <v>235.83402952929563</v>
      </c>
      <c r="EA326" s="1152">
        <f>+EA130*EA92</f>
        <v>115.7434750592469</v>
      </c>
      <c r="EB326" s="1152">
        <f>+EB130*EB92</f>
        <v>141.59861805069571</v>
      </c>
      <c r="EC326" s="1157">
        <f t="shared" ref="EC326" si="1839">SUM(EA326:EB326)</f>
        <v>257.3420931099426</v>
      </c>
      <c r="ED326" s="1152">
        <f>+ED130*ED92</f>
        <v>123.54350052954375</v>
      </c>
      <c r="EE326" s="1152">
        <f>+EE130*EE92</f>
        <v>151.14203936510319</v>
      </c>
      <c r="EF326" s="1157">
        <f t="shared" ref="EF326" si="1840">SUM(ED326:EE326)</f>
        <v>274.68553989464692</v>
      </c>
      <c r="EG326" s="1152">
        <f>+EG130*EG92</f>
        <v>133.36758465819113</v>
      </c>
      <c r="EH326" s="1152">
        <f>+EH130*EH92</f>
        <v>163.16073807230902</v>
      </c>
      <c r="EI326" s="1157">
        <f t="shared" ref="EI326" si="1841">SUM(EG326:EH326)</f>
        <v>296.52832273050012</v>
      </c>
      <c r="EJ326" s="1152">
        <f>+EJ130*EJ92</f>
        <v>144.80612099673928</v>
      </c>
      <c r="EK326" s="1152">
        <f>+EK130*EK92</f>
        <v>177.15454351047194</v>
      </c>
      <c r="EL326" s="1157">
        <f t="shared" ref="EL326" si="1842">SUM(EJ326:EK326)</f>
        <v>321.96066450721122</v>
      </c>
      <c r="EM326" s="1152">
        <f>+EM130*EM92</f>
        <v>157.22331644049476</v>
      </c>
      <c r="EN326" s="1152">
        <f>+EN130*EN92</f>
        <v>192.34563194911846</v>
      </c>
      <c r="EO326" s="1157">
        <f t="shared" ref="EO326" si="1843">SUM(EM326:EN326)</f>
        <v>349.56894838961318</v>
      </c>
      <c r="EP326" s="1152">
        <f>+EP130*EP92</f>
        <v>171.37341492013937</v>
      </c>
      <c r="EQ326" s="1152">
        <f>+EQ130*EQ92</f>
        <v>209.6567388245391</v>
      </c>
      <c r="ER326" s="1157">
        <f t="shared" ref="ER326" si="1844">SUM(EP326:EQ326)</f>
        <v>381.0301537446785</v>
      </c>
      <c r="ES326" s="1152">
        <f>+ES130*ES92</f>
        <v>186.79702226295197</v>
      </c>
      <c r="ET326" s="1152">
        <f>+ET130*ET92</f>
        <v>228.52584531874768</v>
      </c>
      <c r="EU326" s="1157">
        <f t="shared" ref="EU326" si="1845">SUM(ES326:ET326)</f>
        <v>415.32286758169965</v>
      </c>
      <c r="EV326" s="1152">
        <f>+EV130*EV92</f>
        <v>203.60875426661764</v>
      </c>
      <c r="EW326" s="1152">
        <f>+EW130*EW92</f>
        <v>249.09317139743496</v>
      </c>
      <c r="EX326" s="1157">
        <f t="shared" ref="EX326" si="1846">SUM(EV326:EW326)</f>
        <v>452.70192566405262</v>
      </c>
      <c r="EY326" s="1152">
        <f>+EY130*EY92</f>
        <v>221.93354215061331</v>
      </c>
      <c r="EZ326" s="1152">
        <f>+EZ130*EZ92</f>
        <v>271.51155682320405</v>
      </c>
      <c r="FA326" s="1157">
        <f t="shared" ref="FA326" si="1847">SUM(EY326:EZ326)</f>
        <v>493.44509897381738</v>
      </c>
    </row>
    <row r="327" spans="1:157" outlineLevel="1">
      <c r="B327" s="31"/>
      <c r="BA327" s="35"/>
      <c r="BB327" s="35"/>
      <c r="BC327" s="322"/>
      <c r="BD327" s="35"/>
      <c r="BE327" s="35"/>
      <c r="BG327" s="35"/>
      <c r="BH327" s="35"/>
      <c r="BJ327" s="35"/>
      <c r="BK327" s="35"/>
      <c r="BL327" s="31"/>
      <c r="BM327" s="35"/>
      <c r="BN327" s="35"/>
      <c r="BO327" s="31"/>
      <c r="BP327" s="35"/>
      <c r="BQ327" s="35"/>
      <c r="BR327" s="1024"/>
      <c r="BS327" s="74"/>
      <c r="BT327" s="70"/>
      <c r="BU327" s="74"/>
      <c r="BV327" s="74"/>
      <c r="BW327" s="74"/>
      <c r="BX327" s="74"/>
      <c r="BY327" s="70"/>
      <c r="BZ327" s="70"/>
      <c r="CA327" s="70"/>
      <c r="CB327" s="70"/>
      <c r="CC327" s="70"/>
      <c r="CD327" s="70"/>
      <c r="CE327" s="65"/>
      <c r="CF327" s="65"/>
      <c r="CG327" s="65"/>
      <c r="CH327" s="70"/>
      <c r="CI327" s="70"/>
      <c r="CJ327" s="70"/>
      <c r="CK327" s="35"/>
      <c r="CL327" s="35"/>
      <c r="CN327" s="35"/>
      <c r="CO327" s="35"/>
      <c r="CQ327" s="35"/>
      <c r="CR327" s="35"/>
      <c r="CT327" s="35"/>
      <c r="CU327" s="35"/>
      <c r="CW327" s="35"/>
      <c r="CX327" s="35"/>
      <c r="CZ327" s="35"/>
      <c r="DA327" s="35"/>
      <c r="DC327" s="35"/>
      <c r="DD327" s="35"/>
      <c r="DF327" s="190"/>
      <c r="DG327" s="190"/>
      <c r="DH327" s="1080"/>
      <c r="DI327" s="190"/>
      <c r="DJ327" s="190"/>
      <c r="DK327" s="1080"/>
      <c r="DL327" s="190"/>
      <c r="DM327" s="190"/>
      <c r="DN327" s="1080"/>
      <c r="DO327" s="35"/>
      <c r="DP327" s="35"/>
      <c r="DQ327" s="1067"/>
      <c r="DR327" s="35"/>
      <c r="DS327" s="35"/>
      <c r="DT327" s="1067"/>
      <c r="DU327" s="35"/>
      <c r="DV327" s="35"/>
      <c r="DW327" s="1067"/>
      <c r="DX327" s="35"/>
      <c r="DY327" s="35"/>
      <c r="DZ327" s="1067"/>
      <c r="EA327" s="35"/>
      <c r="EB327" s="35"/>
      <c r="EC327" s="1067"/>
      <c r="ED327" s="35"/>
      <c r="EE327" s="35"/>
      <c r="EF327" s="1067"/>
      <c r="EG327" s="35"/>
      <c r="EH327" s="35"/>
      <c r="EI327" s="1067"/>
      <c r="EJ327" s="35"/>
      <c r="EK327" s="35"/>
      <c r="EL327" s="1067"/>
      <c r="EM327" s="35"/>
      <c r="EN327" s="35"/>
      <c r="EO327" s="1067"/>
      <c r="EP327" s="35"/>
      <c r="EQ327" s="35"/>
      <c r="ER327" s="1067"/>
      <c r="ES327" s="35"/>
      <c r="ET327" s="35"/>
      <c r="EU327" s="1067"/>
      <c r="EV327" s="35"/>
      <c r="EW327" s="35"/>
      <c r="EX327" s="1067"/>
      <c r="EY327" s="35"/>
      <c r="EZ327" s="35"/>
      <c r="FA327" s="1067"/>
    </row>
    <row r="328" spans="1:157" outlineLevel="1">
      <c r="B328" s="31" t="s">
        <v>23</v>
      </c>
      <c r="D328" s="162" t="s">
        <v>908</v>
      </c>
      <c r="BA328" s="35"/>
      <c r="BB328" s="35"/>
      <c r="BC328" s="322"/>
      <c r="BD328" s="35"/>
      <c r="BE328" s="35"/>
      <c r="BG328" s="35"/>
      <c r="BH328" s="35"/>
      <c r="BJ328" s="35"/>
      <c r="BK328" s="35"/>
      <c r="BL328" s="31"/>
      <c r="BM328" s="190">
        <f>BM323+BM313+BM301</f>
        <v>62.179163589005086</v>
      </c>
      <c r="BN328" s="190">
        <f>BN323+BN313+BN301</f>
        <v>58.149187245040771</v>
      </c>
      <c r="BO328" s="973">
        <f>BM328+BN328</f>
        <v>120.32835083404586</v>
      </c>
      <c r="BP328" s="190">
        <f>BP323+BP313+BP301</f>
        <v>69.605795235287289</v>
      </c>
      <c r="BQ328" s="190">
        <f>BQ323+BQ313+BQ301</f>
        <v>78.110690015699305</v>
      </c>
      <c r="BR328" s="973">
        <f>BP328+BQ328</f>
        <v>147.71648525098658</v>
      </c>
      <c r="BS328" s="190">
        <f>BS323+BS313+BS301</f>
        <v>75.67184682572784</v>
      </c>
      <c r="BT328" s="190">
        <f>BT323+BT313+BT301</f>
        <v>78.913295377119113</v>
      </c>
      <c r="BU328" s="973">
        <f>BS328+BT328</f>
        <v>154.58514220284695</v>
      </c>
      <c r="BV328" s="190">
        <f>BV323+BV313+BV301</f>
        <v>90.667153007415223</v>
      </c>
      <c r="BW328" s="190">
        <f>BW323+BW313+BW301</f>
        <v>102.04092447866236</v>
      </c>
      <c r="BX328" s="973">
        <f>BV328+BW328</f>
        <v>192.70807748607757</v>
      </c>
      <c r="BY328" s="190">
        <f>BY323+BY313+BY301</f>
        <v>111.87763261757691</v>
      </c>
      <c r="BZ328" s="190">
        <f>BZ323+BZ313+BZ301</f>
        <v>131.30926460743461</v>
      </c>
      <c r="CA328" s="190">
        <f>BY328+BZ328</f>
        <v>243.18689722501153</v>
      </c>
      <c r="CB328" s="190">
        <f>CB323+CB313+CB301</f>
        <v>107.33101311654636</v>
      </c>
      <c r="CC328" s="190">
        <f>CC323+CC313+CC301</f>
        <v>114.30850411941557</v>
      </c>
      <c r="CD328" s="190">
        <f>CB328+CC328</f>
        <v>221.63951723596193</v>
      </c>
      <c r="CE328" s="190">
        <f>CE323+CE313+CE301</f>
        <v>99.102674587263834</v>
      </c>
      <c r="CF328" s="190">
        <f>CF323+CF313+CF301</f>
        <v>110.25895177210839</v>
      </c>
      <c r="CG328" s="190">
        <f>CE328+CF328</f>
        <v>209.36162635937222</v>
      </c>
      <c r="CH328" s="190">
        <f>CH323+CH313+CH301</f>
        <v>103.41046684431518</v>
      </c>
      <c r="CI328" s="190">
        <f>CI323+CI313+CI301</f>
        <v>104.2175814057521</v>
      </c>
      <c r="CJ328" s="190">
        <f>CH328+CI328</f>
        <v>207.62804825006728</v>
      </c>
      <c r="CK328" s="190">
        <f>CK323+CK313+CK301</f>
        <v>102.42642220400828</v>
      </c>
      <c r="CL328" s="190">
        <f>CL323+CL313+CL301</f>
        <v>102.0192074730253</v>
      </c>
      <c r="CM328" s="190">
        <f>CK328+CL328</f>
        <v>204.44562967703359</v>
      </c>
      <c r="CN328" s="190">
        <f>CN323+CN313+CN301</f>
        <v>118.13889406623848</v>
      </c>
      <c r="CO328" s="190">
        <f>CO323+CO313+CO301</f>
        <v>141.02298955291948</v>
      </c>
      <c r="CP328" s="190">
        <f>CN328+CO328</f>
        <v>259.16188361915795</v>
      </c>
      <c r="CQ328" s="190">
        <f>CQ323+CQ313+CQ301</f>
        <v>132.71261118530788</v>
      </c>
      <c r="CR328" s="190">
        <f>CR323+CR313+CR301</f>
        <v>130.17399872550897</v>
      </c>
      <c r="CS328" s="190">
        <f>CQ328+CR328</f>
        <v>262.88660991081684</v>
      </c>
      <c r="CT328" s="190">
        <f>CT323+CT313+CT301</f>
        <v>158.46403025182417</v>
      </c>
      <c r="CU328" s="190">
        <f>CU323+CU313+CU301</f>
        <v>151.89864594147249</v>
      </c>
      <c r="CV328" s="190">
        <f>CT328+CU328</f>
        <v>310.36267619329669</v>
      </c>
      <c r="CW328" s="190">
        <f>CW323+CW313+CW301</f>
        <v>144.27069226941859</v>
      </c>
      <c r="CX328" s="190">
        <f>CX323+CX313+CX301</f>
        <v>144.43753633858663</v>
      </c>
      <c r="CY328" s="190">
        <f>CW328+CX328</f>
        <v>288.70822860800524</v>
      </c>
      <c r="CZ328" s="190">
        <f>CZ323+CZ313+CZ301</f>
        <v>153.79298063705602</v>
      </c>
      <c r="DA328" s="190">
        <f>DA323+DA313+DA301</f>
        <v>174.82804639464382</v>
      </c>
      <c r="DB328" s="190">
        <f>CZ328+DA328</f>
        <v>328.62102703169984</v>
      </c>
      <c r="DC328" s="190">
        <f>DC323+DC313+DC301</f>
        <v>178.36045726366928</v>
      </c>
      <c r="DD328" s="190">
        <f>DD323+DD313+DD301</f>
        <v>192.9646652721101</v>
      </c>
      <c r="DE328" s="190">
        <f>DC328+DD328</f>
        <v>371.32512253577937</v>
      </c>
      <c r="DF328" s="190">
        <f>DF323+DF313+DF301</f>
        <v>189.09083443057676</v>
      </c>
      <c r="DG328" s="190">
        <f>DG323+DG313+DG301</f>
        <v>149.86200297910227</v>
      </c>
      <c r="DH328" s="1060">
        <f>DF328+DG328</f>
        <v>338.95283740967903</v>
      </c>
      <c r="DI328" s="184">
        <f>+DI262-DI326</f>
        <v>170.68303715670436</v>
      </c>
      <c r="DJ328" s="184">
        <f t="shared" ref="DJ328" si="1848">+DJ262-DJ326</f>
        <v>205.08321119253833</v>
      </c>
      <c r="DK328" s="1119">
        <f>DI328+DJ328</f>
        <v>375.76624834924269</v>
      </c>
      <c r="DL328" s="184">
        <f t="shared" ref="DL328:EQ328" si="1849">+DL262-DL326</f>
        <v>213.7368821292776</v>
      </c>
      <c r="DM328" s="184">
        <f t="shared" si="1849"/>
        <v>219.88768466941147</v>
      </c>
      <c r="DN328" s="1119">
        <f t="shared" ref="DN328" si="1850">DL328+DM328</f>
        <v>433.6245667986891</v>
      </c>
      <c r="DO328" s="184">
        <f t="shared" ref="DO328" si="1851">+DO262-DO326</f>
        <v>213.7960103104337</v>
      </c>
      <c r="DP328" s="184">
        <f t="shared" si="1849"/>
        <v>266.10044197855933</v>
      </c>
      <c r="DQ328" s="1119">
        <f t="shared" ref="DQ328" si="1852">DO328+DP328</f>
        <v>479.89645228899303</v>
      </c>
      <c r="DR328" s="184">
        <f t="shared" ref="DR328" si="1853">+DR262-DR326</f>
        <v>262.01634632656726</v>
      </c>
      <c r="DS328" s="184">
        <f t="shared" si="1849"/>
        <v>298.22444968553464</v>
      </c>
      <c r="DT328" s="1119">
        <f t="shared" ref="DT328" si="1854">DR328+DS328</f>
        <v>560.2407960121019</v>
      </c>
      <c r="DU328" s="184">
        <f t="shared" ref="DU328:DV328" si="1855">+DU262-DU326</f>
        <v>268.60285494486709</v>
      </c>
      <c r="DV328" s="184">
        <f t="shared" si="1855"/>
        <v>314.43789526941566</v>
      </c>
      <c r="DW328" s="1119">
        <f t="shared" ref="DW328" si="1856">DU328+DV328</f>
        <v>583.04075021428275</v>
      </c>
      <c r="DX328" s="184">
        <f t="shared" ref="DX328" si="1857">+DX262-DX326</f>
        <v>270.81</v>
      </c>
      <c r="DY328" s="184">
        <f t="shared" si="1849"/>
        <v>364.84867243105862</v>
      </c>
      <c r="DZ328" s="1119">
        <f t="shared" ref="DZ328" si="1858">DX328+DY328</f>
        <v>635.65867243105868</v>
      </c>
      <c r="EA328" s="184">
        <f t="shared" ref="EA328" si="1859">+EA262-EA326</f>
        <v>321.0243553530056</v>
      </c>
      <c r="EB328" s="184">
        <f t="shared" si="1849"/>
        <v>392.73578968777861</v>
      </c>
      <c r="EC328" s="1119">
        <f t="shared" ref="EC328" si="1860">EA328+EB328</f>
        <v>713.76014504078421</v>
      </c>
      <c r="ED328" s="184">
        <f t="shared" ref="ED328" si="1861">+ED262-ED326</f>
        <v>351.62380919947066</v>
      </c>
      <c r="EE328" s="184">
        <f t="shared" si="1849"/>
        <v>430.17349665452434</v>
      </c>
      <c r="EF328" s="1119">
        <f t="shared" ref="EF328" si="1862">ED328+EE328</f>
        <v>781.797305853995</v>
      </c>
      <c r="EG328" s="184">
        <f t="shared" ref="EG328" si="1863">+EG262-EG326</f>
        <v>384.56478294643455</v>
      </c>
      <c r="EH328" s="184">
        <f t="shared" si="1849"/>
        <v>470.47319618908506</v>
      </c>
      <c r="EI328" s="1119">
        <f t="shared" ref="EI328" si="1864">EG328+EH328</f>
        <v>855.03797913551966</v>
      </c>
      <c r="EJ328" s="184">
        <f t="shared" ref="EJ328" si="1865">+EJ262-EJ326</f>
        <v>419.74015969230277</v>
      </c>
      <c r="EK328" s="184">
        <f t="shared" si="1849"/>
        <v>513.50644483444762</v>
      </c>
      <c r="EL328" s="1119">
        <f t="shared" ref="EL328" si="1866">EJ328+EK328</f>
        <v>933.24660452675039</v>
      </c>
      <c r="EM328" s="184">
        <f t="shared" ref="EM328" si="1867">+EM262-EM326</f>
        <v>458.13212951056107</v>
      </c>
      <c r="EN328" s="184">
        <f t="shared" si="1849"/>
        <v>560.47484534684395</v>
      </c>
      <c r="EO328" s="1119">
        <f t="shared" ref="EO328" si="1868">EM328+EN328</f>
        <v>1018.606974857405</v>
      </c>
      <c r="EP328" s="184">
        <f t="shared" ref="EP328" si="1869">+EP262-EP326</f>
        <v>499.36402116651163</v>
      </c>
      <c r="EQ328" s="184">
        <f t="shared" si="1849"/>
        <v>610.91758142805998</v>
      </c>
      <c r="ER328" s="1119">
        <f t="shared" ref="ER328" si="1870">EP328+EQ328</f>
        <v>1110.2816025945717</v>
      </c>
      <c r="ES328" s="184">
        <f t="shared" ref="ES328:ET328" si="1871">+ES262-ES326</f>
        <v>544.30678307149765</v>
      </c>
      <c r="ET328" s="184">
        <f t="shared" si="1871"/>
        <v>665.90016375658547</v>
      </c>
      <c r="EU328" s="1119">
        <f t="shared" ref="EU328" si="1872">ES328+ET328</f>
        <v>1210.2069468280831</v>
      </c>
      <c r="EV328" s="184">
        <f t="shared" ref="EV328:EW328" si="1873">+EV262-EV326</f>
        <v>593.29439354793249</v>
      </c>
      <c r="EW328" s="184">
        <f t="shared" si="1873"/>
        <v>725.83117849467806</v>
      </c>
      <c r="EX328" s="1119">
        <f t="shared" ref="EX328" si="1874">EV328+EW328</f>
        <v>1319.1255720426107</v>
      </c>
      <c r="EY328" s="184">
        <f t="shared" ref="EY328:EZ328" si="1875">+EY262-EY326</f>
        <v>646.69088896724645</v>
      </c>
      <c r="EZ328" s="184">
        <f t="shared" si="1875"/>
        <v>791.1559845591994</v>
      </c>
      <c r="FA328" s="1119">
        <f t="shared" ref="FA328" si="1876">EY328+EZ328</f>
        <v>1437.846873526446</v>
      </c>
    </row>
    <row r="329" spans="1:157" outlineLevel="1">
      <c r="B329" s="31" t="s">
        <v>213</v>
      </c>
      <c r="D329" s="162" t="s">
        <v>460</v>
      </c>
      <c r="BA329" s="35"/>
      <c r="BB329" s="35"/>
      <c r="BC329" s="322"/>
      <c r="BD329" s="35"/>
      <c r="BE329" s="35"/>
      <c r="BG329" s="35"/>
      <c r="BH329" s="35"/>
      <c r="BJ329" s="35"/>
      <c r="BK329" s="35"/>
      <c r="BL329" s="31"/>
      <c r="BM329" s="65">
        <f t="shared" ref="BM329:CR329" si="1877">BM328/BM262</f>
        <v>0.86459677567380688</v>
      </c>
      <c r="BN329" s="65">
        <f t="shared" si="1877"/>
        <v>0.84053401823888807</v>
      </c>
      <c r="BO329" s="65">
        <f t="shared" si="1877"/>
        <v>0.85279866959130257</v>
      </c>
      <c r="BP329" s="65">
        <f t="shared" si="1877"/>
        <v>0.85508654321292688</v>
      </c>
      <c r="BQ329" s="65">
        <f t="shared" si="1877"/>
        <v>0.85568764809538134</v>
      </c>
      <c r="BR329" s="65">
        <f t="shared" si="1877"/>
        <v>0.85540429494589776</v>
      </c>
      <c r="BS329" s="65">
        <f t="shared" si="1877"/>
        <v>0.72999340953422998</v>
      </c>
      <c r="BT329" s="65">
        <f t="shared" si="1877"/>
        <v>0.72178334943537625</v>
      </c>
      <c r="BU329" s="65">
        <f t="shared" si="1877"/>
        <v>0.72577910063686402</v>
      </c>
      <c r="BV329" s="65">
        <f t="shared" si="1877"/>
        <v>0.7411080023493154</v>
      </c>
      <c r="BW329" s="65">
        <f t="shared" si="1877"/>
        <v>0.75662092536675729</v>
      </c>
      <c r="BX329" s="65">
        <f t="shared" si="1877"/>
        <v>0.74924214820172941</v>
      </c>
      <c r="BY329" s="65">
        <f t="shared" si="1877"/>
        <v>0.73105912123093986</v>
      </c>
      <c r="BZ329" s="65">
        <f t="shared" si="1877"/>
        <v>0.79166788346574413</v>
      </c>
      <c r="CA329" s="65">
        <f t="shared" si="1877"/>
        <v>0.76258262568206259</v>
      </c>
      <c r="CB329" s="65">
        <f t="shared" si="1877"/>
        <v>0.75771301385549683</v>
      </c>
      <c r="CC329" s="65">
        <f t="shared" si="1877"/>
        <v>0.76304887384513376</v>
      </c>
      <c r="CD329" s="65">
        <f t="shared" si="1877"/>
        <v>0.76045558098854993</v>
      </c>
      <c r="CE329" s="65">
        <f t="shared" si="1877"/>
        <v>0.72611514582350833</v>
      </c>
      <c r="CF329" s="65">
        <f t="shared" si="1877"/>
        <v>0.70296705213598198</v>
      </c>
      <c r="CG329" s="65">
        <f t="shared" si="1877"/>
        <v>0.71373757000912108</v>
      </c>
      <c r="CH329" s="65">
        <f t="shared" si="1877"/>
        <v>0.72551423411088578</v>
      </c>
      <c r="CI329" s="65">
        <f t="shared" si="1877"/>
        <v>0.73311514402931188</v>
      </c>
      <c r="CJ329" s="65">
        <f t="shared" si="1877"/>
        <v>0.72930965836372508</v>
      </c>
      <c r="CK329" s="65">
        <f t="shared" si="1877"/>
        <v>0.73091902338663028</v>
      </c>
      <c r="CL329" s="65">
        <f t="shared" si="1877"/>
        <v>0.7139744704873574</v>
      </c>
      <c r="CM329" s="65">
        <f t="shared" si="1877"/>
        <v>0.72236426401932452</v>
      </c>
      <c r="CN329" s="65">
        <f t="shared" si="1877"/>
        <v>0.69843919233707052</v>
      </c>
      <c r="CO329" s="65">
        <f t="shared" si="1877"/>
        <v>0.74492182989153277</v>
      </c>
      <c r="CP329" s="65">
        <f t="shared" si="1877"/>
        <v>0.72298797289530081</v>
      </c>
      <c r="CQ329" s="65">
        <f t="shared" si="1877"/>
        <v>0.7308003413306674</v>
      </c>
      <c r="CR329" s="65">
        <f t="shared" si="1877"/>
        <v>0.66404125185815166</v>
      </c>
      <c r="CS329" s="65">
        <f t="shared" ref="CS329:DK329" si="1878">CS328/CS262</f>
        <v>0.69614495040361235</v>
      </c>
      <c r="CT329" s="65">
        <f t="shared" si="1878"/>
        <v>0.7530844513440933</v>
      </c>
      <c r="CU329" s="65">
        <f t="shared" si="1878"/>
        <v>0.7006599527895998</v>
      </c>
      <c r="CV329" s="65">
        <f t="shared" si="1878"/>
        <v>0.72648113698116801</v>
      </c>
      <c r="CW329" s="65">
        <f t="shared" si="1878"/>
        <v>0.69383977867902569</v>
      </c>
      <c r="CX329" s="65">
        <f t="shared" si="1878"/>
        <v>0.65475082583459387</v>
      </c>
      <c r="CY329" s="65">
        <f t="shared" si="1878"/>
        <v>0.67371751977595651</v>
      </c>
      <c r="CZ329" s="65">
        <f t="shared" si="1878"/>
        <v>0.70987486318016135</v>
      </c>
      <c r="DA329" s="65">
        <f t="shared" si="1878"/>
        <v>0.68944957653623606</v>
      </c>
      <c r="DB329" s="65">
        <f t="shared" si="1878"/>
        <v>0.69886018767282243</v>
      </c>
      <c r="DC329" s="65">
        <f t="shared" si="1878"/>
        <v>0.72067786583100824</v>
      </c>
      <c r="DD329" s="65">
        <f t="shared" si="1878"/>
        <v>0.71334847971597481</v>
      </c>
      <c r="DE329" s="65">
        <f t="shared" si="1878"/>
        <v>0.71685034277248871</v>
      </c>
      <c r="DF329" s="65">
        <f t="shared" si="1878"/>
        <v>0.72357919330588016</v>
      </c>
      <c r="DG329" s="65">
        <f t="shared" si="1878"/>
        <v>0.67807900154497514</v>
      </c>
      <c r="DH329" s="1066">
        <f t="shared" si="1878"/>
        <v>0.7027307259755885</v>
      </c>
      <c r="DI329" s="65">
        <f t="shared" si="1878"/>
        <v>0.71836295099623049</v>
      </c>
      <c r="DJ329" s="65">
        <f t="shared" si="1878"/>
        <v>0.73217854763491008</v>
      </c>
      <c r="DK329" s="1066">
        <f t="shared" si="1878"/>
        <v>0.72583783725949902</v>
      </c>
      <c r="DL329" s="65">
        <f t="shared" ref="DL329:ER329" si="1879">DL328/DL262</f>
        <v>0.74524714828897354</v>
      </c>
      <c r="DM329" s="65">
        <f t="shared" si="1879"/>
        <v>0.7538144829256479</v>
      </c>
      <c r="DN329" s="1066">
        <f t="shared" si="1879"/>
        <v>0.74956709904699936</v>
      </c>
      <c r="DO329" s="65">
        <f t="shared" si="1879"/>
        <v>0.74571332511487165</v>
      </c>
      <c r="DP329" s="65">
        <f t="shared" si="1879"/>
        <v>0.75446680458905402</v>
      </c>
      <c r="DQ329" s="1066">
        <f t="shared" si="1879"/>
        <v>0.7505418396762481</v>
      </c>
      <c r="DR329" s="65">
        <f t="shared" si="1879"/>
        <v>0.74330878390515531</v>
      </c>
      <c r="DS329" s="65">
        <f t="shared" si="1879"/>
        <v>0.75864779874213839</v>
      </c>
      <c r="DT329" s="1066">
        <f t="shared" si="1879"/>
        <v>0.75139591739820533</v>
      </c>
      <c r="DU329" s="65">
        <f t="shared" ref="DU329:DW329" si="1880">DU328/DU262</f>
        <v>0.7457047610906915</v>
      </c>
      <c r="DV329" s="65">
        <f t="shared" si="1880"/>
        <v>0.73210220086010624</v>
      </c>
      <c r="DW329" s="1066">
        <f t="shared" si="1880"/>
        <v>0.73830663570252342</v>
      </c>
      <c r="DX329" s="65">
        <f t="shared" ref="DX329" si="1881">DX328/DX262</f>
        <v>0.72857142857142865</v>
      </c>
      <c r="DY329" s="65">
        <f t="shared" si="1879"/>
        <v>0.73000000000000009</v>
      </c>
      <c r="DZ329" s="1066">
        <f t="shared" si="1879"/>
        <v>0.72939070057752009</v>
      </c>
      <c r="EA329" s="65">
        <f t="shared" si="1879"/>
        <v>0.73499999999999999</v>
      </c>
      <c r="EB329" s="65">
        <f t="shared" si="1879"/>
        <v>0.73499999999999999</v>
      </c>
      <c r="EC329" s="1066">
        <f t="shared" si="1879"/>
        <v>0.73499999999999999</v>
      </c>
      <c r="ED329" s="65">
        <f t="shared" si="1879"/>
        <v>0.74</v>
      </c>
      <c r="EE329" s="65">
        <f t="shared" si="1879"/>
        <v>0.74</v>
      </c>
      <c r="EF329" s="1066">
        <f t="shared" si="1879"/>
        <v>0.74</v>
      </c>
      <c r="EG329" s="65">
        <f t="shared" si="1879"/>
        <v>0.74249999999999994</v>
      </c>
      <c r="EH329" s="65">
        <f t="shared" si="1879"/>
        <v>0.74249999999999994</v>
      </c>
      <c r="EI329" s="1066">
        <f t="shared" si="1879"/>
        <v>0.74249999999999994</v>
      </c>
      <c r="EJ329" s="65">
        <f t="shared" si="1879"/>
        <v>0.74349999999999994</v>
      </c>
      <c r="EK329" s="65">
        <f t="shared" si="1879"/>
        <v>0.74349999999999983</v>
      </c>
      <c r="EL329" s="1066">
        <f t="shared" si="1879"/>
        <v>0.74349999999999994</v>
      </c>
      <c r="EM329" s="65">
        <f t="shared" si="1879"/>
        <v>0.74450000000000005</v>
      </c>
      <c r="EN329" s="65">
        <f t="shared" si="1879"/>
        <v>0.74449999999999994</v>
      </c>
      <c r="EO329" s="1066">
        <f t="shared" si="1879"/>
        <v>0.74450000000000005</v>
      </c>
      <c r="EP329" s="65">
        <f t="shared" si="1879"/>
        <v>0.74449999999999994</v>
      </c>
      <c r="EQ329" s="65">
        <f t="shared" si="1879"/>
        <v>0.74449999999999994</v>
      </c>
      <c r="ER329" s="1066">
        <f t="shared" si="1879"/>
        <v>0.74449999999999994</v>
      </c>
      <c r="ES329" s="65">
        <f t="shared" ref="ES329:EX329" si="1882">ES328/ES262</f>
        <v>0.74449999999999994</v>
      </c>
      <c r="ET329" s="65">
        <f t="shared" si="1882"/>
        <v>0.74449999999999994</v>
      </c>
      <c r="EU329" s="1066">
        <f t="shared" si="1882"/>
        <v>0.74449999999999983</v>
      </c>
      <c r="EV329" s="65">
        <f t="shared" si="1882"/>
        <v>0.74449999999999983</v>
      </c>
      <c r="EW329" s="65">
        <f t="shared" si="1882"/>
        <v>0.74449999999999994</v>
      </c>
      <c r="EX329" s="1066">
        <f t="shared" si="1882"/>
        <v>0.74450000000000005</v>
      </c>
      <c r="EY329" s="65">
        <f t="shared" ref="EY329:FA329" si="1883">EY328/EY262</f>
        <v>0.74449999999999983</v>
      </c>
      <c r="EZ329" s="65">
        <f t="shared" si="1883"/>
        <v>0.74450000000000005</v>
      </c>
      <c r="FA329" s="1066">
        <f t="shared" si="1883"/>
        <v>0.74449999999999994</v>
      </c>
    </row>
    <row r="330" spans="1:157" outlineLevel="1">
      <c r="B330" s="31"/>
      <c r="BA330" s="35"/>
      <c r="BB330" s="35"/>
      <c r="BC330" s="322"/>
      <c r="BD330" s="35"/>
      <c r="BE330" s="35"/>
      <c r="BG330" s="35"/>
      <c r="BH330" s="35"/>
      <c r="BJ330" s="35"/>
      <c r="BK330" s="35"/>
      <c r="BL330" s="31"/>
      <c r="BM330" s="35"/>
      <c r="BN330" s="35"/>
      <c r="BO330" s="31"/>
      <c r="BP330" s="35"/>
      <c r="BQ330" s="35"/>
      <c r="BR330" s="1024"/>
      <c r="BS330" s="74"/>
      <c r="BT330" s="70"/>
      <c r="BU330" s="74"/>
      <c r="BV330" s="74"/>
      <c r="BW330" s="74"/>
      <c r="BX330" s="74"/>
      <c r="BY330" s="70"/>
      <c r="BZ330" s="70"/>
      <c r="CA330" s="70"/>
      <c r="CB330" s="70"/>
      <c r="CC330" s="70"/>
      <c r="CD330" s="70"/>
      <c r="CE330" s="65"/>
      <c r="CF330" s="65"/>
      <c r="CG330" s="65"/>
      <c r="CH330" s="70"/>
      <c r="CI330" s="70"/>
      <c r="CJ330" s="70"/>
      <c r="CK330" s="35"/>
      <c r="CL330" s="35"/>
      <c r="CN330" s="35"/>
      <c r="CO330" s="35"/>
      <c r="CQ330" s="35"/>
      <c r="CR330" s="35"/>
      <c r="CT330" s="35"/>
      <c r="CU330" s="35"/>
      <c r="CW330" s="35"/>
      <c r="CX330" s="35"/>
      <c r="CZ330" s="35"/>
      <c r="DA330" s="35"/>
      <c r="DC330" s="35"/>
      <c r="DD330" s="35"/>
      <c r="DF330" s="35"/>
      <c r="DG330" s="35"/>
      <c r="DH330" s="1067"/>
      <c r="DI330" s="35"/>
      <c r="DJ330" s="35"/>
      <c r="DK330" s="1067"/>
      <c r="DL330" s="35"/>
      <c r="DM330" s="35"/>
      <c r="DN330" s="1067"/>
      <c r="DO330" s="35"/>
      <c r="DP330" s="35"/>
      <c r="DQ330" s="1067"/>
      <c r="DR330" s="35"/>
      <c r="DS330" s="35"/>
      <c r="DT330" s="1067"/>
      <c r="DU330" s="35"/>
      <c r="DV330" s="35"/>
      <c r="DW330" s="1067"/>
      <c r="DX330" s="35"/>
      <c r="DY330" s="35"/>
      <c r="DZ330" s="1067"/>
      <c r="EA330" s="35"/>
      <c r="EB330" s="35"/>
      <c r="EC330" s="1067"/>
      <c r="ED330" s="35"/>
      <c r="EE330" s="35"/>
      <c r="EF330" s="1067"/>
      <c r="EG330" s="35"/>
      <c r="EH330" s="35"/>
      <c r="EI330" s="1067"/>
      <c r="EJ330" s="35"/>
      <c r="EK330" s="35"/>
      <c r="EL330" s="1067"/>
      <c r="EM330" s="35"/>
      <c r="EN330" s="35"/>
      <c r="EO330" s="1067"/>
      <c r="EP330" s="35"/>
      <c r="EQ330" s="35"/>
      <c r="ER330" s="1067"/>
      <c r="ES330" s="35"/>
      <c r="ET330" s="35"/>
      <c r="EU330" s="1067"/>
      <c r="EV330" s="35"/>
      <c r="EW330" s="35"/>
      <c r="EX330" s="1067"/>
      <c r="EY330" s="35"/>
      <c r="EZ330" s="35"/>
      <c r="FA330" s="1067"/>
    </row>
    <row r="331" spans="1:157" outlineLevel="1">
      <c r="A331" s="1426" t="s">
        <v>24</v>
      </c>
      <c r="BA331" s="35"/>
      <c r="BB331" s="35"/>
      <c r="BC331" s="322"/>
      <c r="BD331" s="35"/>
      <c r="BE331" s="35"/>
      <c r="BG331" s="35"/>
      <c r="BH331" s="35"/>
      <c r="BJ331" s="35"/>
      <c r="BK331" s="35"/>
      <c r="BL331" s="31"/>
      <c r="BM331" s="35"/>
      <c r="BN331" s="35"/>
      <c r="BO331" s="31"/>
      <c r="BP331" s="35"/>
      <c r="BQ331" s="35"/>
      <c r="BR331" s="1024"/>
      <c r="BS331" s="35"/>
      <c r="BT331" s="35"/>
      <c r="BV331" s="35"/>
      <c r="BW331" s="35"/>
      <c r="BY331" s="35"/>
      <c r="BZ331" s="35"/>
      <c r="CB331" s="35"/>
      <c r="CC331" s="35"/>
      <c r="CE331" s="35"/>
      <c r="CF331" s="35"/>
      <c r="CH331" s="70"/>
      <c r="CI331" s="70"/>
      <c r="CJ331" s="70"/>
      <c r="CK331" s="35"/>
      <c r="CL331" s="35"/>
      <c r="CN331" s="35"/>
      <c r="CO331" s="35"/>
      <c r="CQ331" s="35"/>
      <c r="CR331" s="35"/>
      <c r="CT331" s="35"/>
      <c r="CU331" s="35"/>
      <c r="CW331" s="35"/>
      <c r="CX331" s="35"/>
      <c r="CZ331" s="35"/>
      <c r="DA331" s="35"/>
      <c r="DC331" s="35"/>
      <c r="DD331" s="35"/>
      <c r="DF331" s="70"/>
      <c r="DG331" s="70" t="s">
        <v>976</v>
      </c>
      <c r="DH331" s="1074"/>
      <c r="DI331" s="70"/>
      <c r="DJ331" s="70"/>
      <c r="DK331" s="1074"/>
      <c r="DL331" s="70"/>
      <c r="DM331" s="70"/>
      <c r="DN331" s="1074"/>
      <c r="DO331" s="35"/>
      <c r="DP331" s="35"/>
      <c r="DQ331" s="1067"/>
      <c r="DR331" s="35"/>
      <c r="DS331" s="35"/>
      <c r="DT331" s="1067"/>
      <c r="DU331" s="35"/>
      <c r="DV331" s="35"/>
      <c r="DW331" s="1067"/>
      <c r="DX331" s="35"/>
      <c r="DY331" s="35"/>
      <c r="DZ331" s="1067"/>
      <c r="EA331" s="35"/>
      <c r="EB331" s="35"/>
      <c r="EC331" s="1067"/>
      <c r="ED331" s="35"/>
      <c r="EE331" s="35"/>
      <c r="EF331" s="1067"/>
      <c r="EG331" s="35"/>
      <c r="EH331" s="35"/>
      <c r="EI331" s="1067"/>
      <c r="EJ331" s="35"/>
      <c r="EK331" s="35"/>
      <c r="EL331" s="1067"/>
      <c r="EM331" s="35"/>
      <c r="EN331" s="35"/>
      <c r="EO331" s="1067"/>
      <c r="EP331" s="35"/>
      <c r="EQ331" s="35"/>
      <c r="ER331" s="1067"/>
      <c r="ES331" s="35"/>
      <c r="ET331" s="35"/>
      <c r="EU331" s="1067"/>
      <c r="EV331" s="35"/>
      <c r="EW331" s="35"/>
      <c r="EX331" s="1067"/>
      <c r="EY331" s="35"/>
      <c r="EZ331" s="35"/>
      <c r="FA331" s="1067"/>
    </row>
    <row r="332" spans="1:157" outlineLevel="1">
      <c r="B332" s="31"/>
      <c r="C332" s="35" t="s">
        <v>24</v>
      </c>
      <c r="D332" s="162" t="s">
        <v>696</v>
      </c>
      <c r="BA332" s="35"/>
      <c r="BB332" s="35"/>
      <c r="BC332" s="322"/>
      <c r="BD332" s="35"/>
      <c r="BE332" s="35"/>
      <c r="BG332" s="35"/>
      <c r="BH332" s="35"/>
      <c r="BJ332" s="35"/>
      <c r="BK332" s="35"/>
      <c r="BL332" s="31"/>
      <c r="BM332" s="70">
        <f>BM333*BM260</f>
        <v>6.0679927053089555</v>
      </c>
      <c r="BN332" s="70">
        <f>BN333*BN260</f>
        <v>6.2263117714365697</v>
      </c>
      <c r="BO332" s="1024">
        <f>SUM(BM332:BN332)</f>
        <v>12.294304476745525</v>
      </c>
      <c r="BP332" s="70">
        <f>BP333*BP260</f>
        <v>7.4074226524824169</v>
      </c>
      <c r="BQ332" s="70">
        <f>BQ333*BQ260</f>
        <v>8.4333878298334373</v>
      </c>
      <c r="BR332" s="1024">
        <f>SUM(BP332:BQ332)</f>
        <v>15.840810482315854</v>
      </c>
      <c r="BS332" s="70">
        <f>BS333*BS260</f>
        <v>15.164312025976525</v>
      </c>
      <c r="BT332" s="70">
        <f>BT333*BT260</f>
        <v>18.710180885782691</v>
      </c>
      <c r="BU332" s="70">
        <f>SUM(BS332:BT332)</f>
        <v>33.874492911759219</v>
      </c>
      <c r="BV332" s="70">
        <f>BV333*BV260</f>
        <v>20.020211504622051</v>
      </c>
      <c r="BW332" s="70">
        <f>BW333*BW260</f>
        <v>22.249638345197926</v>
      </c>
      <c r="BX332" s="70">
        <f>SUM(BV332:BW332)</f>
        <v>42.269849849819977</v>
      </c>
      <c r="BY332" s="70">
        <f>BY333*BY260</f>
        <v>22.295586422115726</v>
      </c>
      <c r="BZ332" s="70">
        <f>BZ333*BZ260</f>
        <v>28.728753121888005</v>
      </c>
      <c r="CA332" s="70">
        <f>SUM(BY332:BZ332)</f>
        <v>51.02433954400373</v>
      </c>
      <c r="CB332" s="70">
        <f>CB333*CB260</f>
        <v>24.171791322852695</v>
      </c>
      <c r="CC332" s="70">
        <f>CC333*CC260</f>
        <v>27.207279698306674</v>
      </c>
      <c r="CD332" s="70">
        <f>SUM(CB332:CC332)</f>
        <v>51.379071021159369</v>
      </c>
      <c r="CE332" s="70">
        <f>CE333*CE260</f>
        <v>24.31403674724104</v>
      </c>
      <c r="CF332" s="70">
        <f>CF333*CF260</f>
        <v>24.037351699039352</v>
      </c>
      <c r="CG332" s="70">
        <f>SUM(CE332:CF332)</f>
        <v>48.351388446280396</v>
      </c>
      <c r="CH332" s="70">
        <f>CH333*CH260</f>
        <v>22.867147771044436</v>
      </c>
      <c r="CI332" s="70">
        <f>CI333*CI260</f>
        <v>28.16053784541517</v>
      </c>
      <c r="CJ332" s="70">
        <f>SUM(CH332:CI332)</f>
        <v>51.027685616459607</v>
      </c>
      <c r="CK332" s="70">
        <f>CK333*CK260</f>
        <v>25.14674722268877</v>
      </c>
      <c r="CL332" s="70">
        <f>CL333*CL260</f>
        <v>24.465598686342059</v>
      </c>
      <c r="CM332" s="70">
        <f>SUM(CK332:CL332)</f>
        <v>49.612345909030829</v>
      </c>
      <c r="CN332" s="70">
        <f>CN333*CN260</f>
        <v>25.95955193918974</v>
      </c>
      <c r="CO332" s="70">
        <f>CO333*CO260</f>
        <v>26.002607965657237</v>
      </c>
      <c r="CP332" s="70">
        <f>SUM(CN332:CO332)</f>
        <v>51.962159904846978</v>
      </c>
      <c r="CQ332" s="70">
        <f>CQ333*CQ260</f>
        <v>27.999745577252419</v>
      </c>
      <c r="CR332" s="70">
        <f>CR333*CR260</f>
        <v>23.55238156268101</v>
      </c>
      <c r="CS332" s="70">
        <f>SUM(CQ332:CR332)</f>
        <v>51.552127139933432</v>
      </c>
      <c r="CT332" s="70">
        <f>CT333*CT260</f>
        <v>41.701814052913015</v>
      </c>
      <c r="CU332" s="70">
        <f>CU333*CU260</f>
        <v>32.323499492136577</v>
      </c>
      <c r="CV332" s="70">
        <f>SUM(CT332:CU332)</f>
        <v>74.025313545049585</v>
      </c>
      <c r="CW332" s="70">
        <f>CW333*CW260</f>
        <v>32.387352458340978</v>
      </c>
      <c r="CX332" s="70">
        <f>CX333*CX260</f>
        <v>29.931059702021638</v>
      </c>
      <c r="CY332" s="70">
        <f>SUM(CW332:CX332)</f>
        <v>62.318412160362612</v>
      </c>
      <c r="CZ332" s="70">
        <f>CZ333*CZ260</f>
        <v>34.174138787687511</v>
      </c>
      <c r="DA332" s="70">
        <f>DA333*DA260</f>
        <v>31.097653993222146</v>
      </c>
      <c r="DB332" s="70">
        <f>SUM(CZ332:DA332)</f>
        <v>65.271792780909664</v>
      </c>
      <c r="DC332" s="70">
        <f>DC333*DC260</f>
        <v>34.073141449865354</v>
      </c>
      <c r="DD332" s="70">
        <f>DD333*DD260</f>
        <v>36.856177373680787</v>
      </c>
      <c r="DE332" s="70">
        <f>SUM(DC332:DD332)</f>
        <v>70.92931882354614</v>
      </c>
      <c r="DF332" s="70">
        <f>DF333*DF260</f>
        <v>41.330443290254948</v>
      </c>
      <c r="DG332" s="70">
        <v>30.2</v>
      </c>
      <c r="DH332" s="1070">
        <f>SUM(DF332:DG332)</f>
        <v>71.530443290254951</v>
      </c>
      <c r="DI332" s="163">
        <f>+DI334*DI78</f>
        <v>34.25781002756645</v>
      </c>
      <c r="DJ332" s="163">
        <f>+DJ334*DJ78</f>
        <v>38.361292632703552</v>
      </c>
      <c r="DK332" s="1085">
        <f>SUM(DI332:DJ332)</f>
        <v>72.619102660270002</v>
      </c>
      <c r="DL332" s="163">
        <f>+DL334*DL78</f>
        <v>37.522484562737667</v>
      </c>
      <c r="DM332" s="163">
        <f>+DM334*DM78</f>
        <v>42.364495242431595</v>
      </c>
      <c r="DN332" s="1085">
        <f t="shared" ref="DN332" si="1884">SUM(DL332:DM332)</f>
        <v>79.886979805169261</v>
      </c>
      <c r="DO332" s="163">
        <f>+DO334*DO78</f>
        <v>45.713625383147068</v>
      </c>
      <c r="DP332" s="163">
        <f>+DP334*DP78</f>
        <v>49.902600990228201</v>
      </c>
      <c r="DQ332" s="1085">
        <f t="shared" ref="DQ332" si="1885">SUM(DO332:DP332)</f>
        <v>95.61622637337527</v>
      </c>
      <c r="DR332" s="163">
        <f>+DR334*DR78</f>
        <v>48.263498897427731</v>
      </c>
      <c r="DS332" s="163">
        <f>+DS334*DS78</f>
        <v>52.305483875295302</v>
      </c>
      <c r="DT332" s="1085">
        <f t="shared" ref="DT332" si="1886">SUM(DR332:DS332)</f>
        <v>100.56898277272303</v>
      </c>
      <c r="DU332" s="163">
        <f>+DU334*DU78</f>
        <v>60.438641777347875</v>
      </c>
      <c r="DV332" s="163">
        <f>+DV334*DV78</f>
        <v>51.891379256261082</v>
      </c>
      <c r="DW332" s="1085">
        <f t="shared" ref="DW332" si="1887">SUM(DU332:DV332)</f>
        <v>112.33002103360896</v>
      </c>
      <c r="DX332" s="163">
        <f>+DX334*DX78</f>
        <v>48.668719274677578</v>
      </c>
      <c r="DY332" s="233">
        <f>DY333*DY260</f>
        <v>69.978418061375251</v>
      </c>
      <c r="DZ332" s="1070">
        <f>SUM(DX332:DY332)</f>
        <v>118.64713733605282</v>
      </c>
      <c r="EA332" s="233">
        <f>EA333*EA260</f>
        <v>61.152659618286066</v>
      </c>
      <c r="EB332" s="233">
        <f>EB333*EB260</f>
        <v>74.812747741622871</v>
      </c>
      <c r="EC332" s="1070">
        <f>SUM(EA332:EB332)</f>
        <v>135.96540735990894</v>
      </c>
      <c r="ED332" s="233">
        <f>ED333*ED260</f>
        <v>66.52740701307053</v>
      </c>
      <c r="EE332" s="233">
        <f>EE333*EE260</f>
        <v>81.38863467787894</v>
      </c>
      <c r="EF332" s="1070">
        <f>SUM(ED332:EE332)</f>
        <v>147.91604169094947</v>
      </c>
      <c r="EG332" s="233">
        <f>EG333*EG260</f>
        <v>72.51487364424689</v>
      </c>
      <c r="EH332" s="233">
        <f>EH333*EH260</f>
        <v>88.713611798888081</v>
      </c>
      <c r="EI332" s="1070">
        <f>SUM(EG332:EH332)</f>
        <v>161.22848544313496</v>
      </c>
      <c r="EJ332" s="233">
        <f>EJ333*EJ260</f>
        <v>79.041212272229117</v>
      </c>
      <c r="EK332" s="233">
        <f>EK333*EK260</f>
        <v>96.697836860787987</v>
      </c>
      <c r="EL332" s="1070">
        <f>SUM(EJ332:EK332)</f>
        <v>175.73904913301709</v>
      </c>
      <c r="EM332" s="233">
        <f>EM333*EM260</f>
        <v>86.154921376729732</v>
      </c>
      <c r="EN332" s="233">
        <f>EN333*EN260</f>
        <v>105.40064217825891</v>
      </c>
      <c r="EO332" s="1070">
        <f>SUM(EM332:EN332)</f>
        <v>191.55556355498862</v>
      </c>
      <c r="EP332" s="233">
        <f>EP333*EP260</f>
        <v>93.9088643006354</v>
      </c>
      <c r="EQ332" s="233">
        <f>EQ333*EQ260</f>
        <v>114.8866999743022</v>
      </c>
      <c r="ER332" s="1070">
        <f>SUM(EP332:EQ332)</f>
        <v>208.79556427493759</v>
      </c>
      <c r="ES332" s="233">
        <f>ES333*ES260</f>
        <v>102.3606620876926</v>
      </c>
      <c r="ET332" s="233">
        <f>ET333*ET260</f>
        <v>125.2265029719894</v>
      </c>
      <c r="EU332" s="1070">
        <f>SUM(ES332:ET332)</f>
        <v>227.58716505968201</v>
      </c>
      <c r="EV332" s="233">
        <f>EV333*EV260</f>
        <v>111.57312167558494</v>
      </c>
      <c r="EW332" s="233">
        <f>EW333*EW260</f>
        <v>136.49688823946846</v>
      </c>
      <c r="EX332" s="1070">
        <f>SUM(EV332:EW332)</f>
        <v>248.07000991505339</v>
      </c>
      <c r="EY332" s="233">
        <f>EY333*EY260</f>
        <v>121.61470262638761</v>
      </c>
      <c r="EZ332" s="233">
        <f>EZ333*EZ260</f>
        <v>148.7816081810206</v>
      </c>
      <c r="FA332" s="1070">
        <f>SUM(EY332:EZ332)</f>
        <v>270.39631080740821</v>
      </c>
    </row>
    <row r="333" spans="1:157" outlineLevel="1">
      <c r="A333" s="1421"/>
      <c r="B333" s="31"/>
      <c r="C333" s="35" t="s">
        <v>28</v>
      </c>
      <c r="D333" s="162" t="s">
        <v>460</v>
      </c>
      <c r="BA333" s="91"/>
      <c r="BB333" s="91"/>
      <c r="BC333" s="942"/>
      <c r="BD333" s="91"/>
      <c r="BE333" s="91"/>
      <c r="BF333" s="87"/>
      <c r="BG333" s="91"/>
      <c r="BH333" s="91"/>
      <c r="BI333" s="87"/>
      <c r="BM333" s="123">
        <f>BM406</f>
        <v>0.15</v>
      </c>
      <c r="BN333" s="123">
        <f>BN406</f>
        <v>0.15</v>
      </c>
      <c r="BO333" s="107">
        <f>BO332/BO260</f>
        <v>0.15</v>
      </c>
      <c r="BP333" s="123">
        <f>BP406</f>
        <v>0.15</v>
      </c>
      <c r="BQ333" s="123">
        <f>BQ406</f>
        <v>0.15</v>
      </c>
      <c r="BR333" s="107">
        <f>BR332/BR260</f>
        <v>0.15</v>
      </c>
      <c r="BS333" s="72">
        <f>BS406</f>
        <v>0.23713982746552439</v>
      </c>
      <c r="BT333" s="72">
        <f>BT406</f>
        <v>0.27659032196605637</v>
      </c>
      <c r="BU333" s="65">
        <f>BU332/BU260</f>
        <v>0.25741955876946021</v>
      </c>
      <c r="BV333" s="72">
        <f>BV406</f>
        <v>0.26567244705698145</v>
      </c>
      <c r="BW333" s="72">
        <f>BW406</f>
        <v>0.27316855750175745</v>
      </c>
      <c r="BX333" s="65">
        <f>BX332/BX260</f>
        <v>0.26956615053626609</v>
      </c>
      <c r="BY333" s="72">
        <f>BY406</f>
        <v>0.25854067711315126</v>
      </c>
      <c r="BZ333" s="72">
        <f>BZ406</f>
        <v>0.26078552607868521</v>
      </c>
      <c r="CA333" s="65">
        <f>CA332/CA260</f>
        <v>0.25979983997940559</v>
      </c>
      <c r="CB333" s="195">
        <v>0.28335500000000002</v>
      </c>
      <c r="CC333" s="72">
        <v>0.27410000000000001</v>
      </c>
      <c r="CD333" s="65">
        <f>CD332/CD260</f>
        <v>0.27837762247268222</v>
      </c>
      <c r="CE333" s="72">
        <v>0.25695000000000001</v>
      </c>
      <c r="CF333" s="72">
        <v>0.20691999999999999</v>
      </c>
      <c r="CG333" s="65">
        <f>CG332/CG260</f>
        <v>0.22937861246488014</v>
      </c>
      <c r="CH333" s="170">
        <v>0.21628</v>
      </c>
      <c r="CI333" s="170">
        <v>0.250025</v>
      </c>
      <c r="CJ333" s="65">
        <f>CJ332/CJ260</f>
        <v>0.23368577422438816</v>
      </c>
      <c r="CK333" s="72">
        <v>0.22368499999999999</v>
      </c>
      <c r="CL333" s="72">
        <v>0.21908</v>
      </c>
      <c r="CM333" s="65">
        <f>CM332/CM260</f>
        <v>0.22139016580612902</v>
      </c>
      <c r="CN333" s="170">
        <v>0.22362691668743495</v>
      </c>
      <c r="CO333" s="170">
        <v>0.20580679724667861</v>
      </c>
      <c r="CP333" s="65">
        <f>CP332/CP260</f>
        <v>0.21433974817513204</v>
      </c>
      <c r="CQ333" s="170">
        <v>0.22330458477219986</v>
      </c>
      <c r="CR333" s="170">
        <v>0.1794650054301852</v>
      </c>
      <c r="CS333" s="65">
        <f>CS332/CS260</f>
        <v>0.20088524218032422</v>
      </c>
      <c r="CT333" s="72">
        <v>0.30157589810368635</v>
      </c>
      <c r="CU333" s="72">
        <v>0.22620000000000001</v>
      </c>
      <c r="CV333" s="65">
        <f>CV332/CV260</f>
        <v>0.26326894191344152</v>
      </c>
      <c r="CW333" s="72">
        <v>0.22800000000000001</v>
      </c>
      <c r="CX333" s="72">
        <v>0.19650000000000001</v>
      </c>
      <c r="CY333" s="65">
        <f>CY332/CY260</f>
        <v>0.2117004541911654</v>
      </c>
      <c r="CZ333" s="72">
        <v>0.23760149074325609</v>
      </c>
      <c r="DA333" s="72">
        <v>0.19100561744909164</v>
      </c>
      <c r="DB333" s="65">
        <f>DB332/DB260</f>
        <v>0.21286144963817402</v>
      </c>
      <c r="DC333" s="72">
        <v>0.21643500180415423</v>
      </c>
      <c r="DD333" s="72">
        <v>0.21322116144288505</v>
      </c>
      <c r="DE333" s="65">
        <f>DE332/DE260</f>
        <v>0.21475303351593858</v>
      </c>
      <c r="DF333" s="72">
        <v>0.25119999999999998</v>
      </c>
      <c r="DG333" s="65">
        <f>DG332/DG260</f>
        <v>0.22369181644536043</v>
      </c>
      <c r="DH333" s="1066">
        <f>DH332/DH260</f>
        <v>0.23880161539599701</v>
      </c>
      <c r="DI333" s="171">
        <f>+DI332/DI260</f>
        <v>0.23538315301643248</v>
      </c>
      <c r="DJ333" s="171">
        <f t="shared" ref="DJ333:DL333" si="1888">+DJ332/DJ260</f>
        <v>0.21841203567489584</v>
      </c>
      <c r="DK333" s="1066">
        <f t="shared" si="1888"/>
        <v>0.22610243733017141</v>
      </c>
      <c r="DL333" s="171">
        <f t="shared" si="1888"/>
        <v>0.20442427520668624</v>
      </c>
      <c r="DM333" s="171">
        <f t="shared" ref="DM333" si="1889">+DM332/DM260</f>
        <v>0.22586796252797905</v>
      </c>
      <c r="DN333" s="1066">
        <f t="shared" ref="DN333:DO333" si="1890">+DN332/DN260</f>
        <v>0.21526200309599169</v>
      </c>
      <c r="DO333" s="171">
        <f t="shared" si="1890"/>
        <v>0.24126527528871455</v>
      </c>
      <c r="DP333" s="171">
        <f t="shared" ref="DP333" si="1891">+DP332/DP260</f>
        <v>0.22642747908904468</v>
      </c>
      <c r="DQ333" s="1066">
        <f t="shared" ref="DQ333:DR333" si="1892">+DQ332/DQ260</f>
        <v>0.2332867624392316</v>
      </c>
      <c r="DR333" s="171">
        <f t="shared" si="1892"/>
        <v>0.22685488319593547</v>
      </c>
      <c r="DS333" s="171">
        <f t="shared" ref="DS333" si="1893">+DS332/DS260</f>
        <v>0.21836288396218434</v>
      </c>
      <c r="DT333" s="1066">
        <f t="shared" ref="DT333:DV333" si="1894">+DT332/DT260</f>
        <v>0.22235743725828849</v>
      </c>
      <c r="DU333" s="171">
        <f t="shared" si="1894"/>
        <v>0.27482191822561663</v>
      </c>
      <c r="DV333" s="171">
        <f t="shared" si="1894"/>
        <v>0.20830709026639263</v>
      </c>
      <c r="DW333" s="1066">
        <f t="shared" ref="DW333:DX333" si="1895">+DW332/DW260</f>
        <v>0.23949468160454207</v>
      </c>
      <c r="DX333" s="171">
        <f t="shared" si="1895"/>
        <v>0.23300511164917942</v>
      </c>
      <c r="DY333" s="1143">
        <f>+DX333</f>
        <v>0.23300511164917942</v>
      </c>
      <c r="DZ333" s="1146">
        <f>DZ332/DZ260</f>
        <v>0.23300511164917939</v>
      </c>
      <c r="EA333" s="1143">
        <f>+DY333</f>
        <v>0.23300511164917942</v>
      </c>
      <c r="EB333" s="1143">
        <f>+EA333</f>
        <v>0.23300511164917942</v>
      </c>
      <c r="EC333" s="1146">
        <f>EC332/EC260</f>
        <v>0.23300511164917942</v>
      </c>
      <c r="ED333" s="1143">
        <f>+EC333</f>
        <v>0.23300511164917942</v>
      </c>
      <c r="EE333" s="1143">
        <f>+ED333</f>
        <v>0.23300511164917942</v>
      </c>
      <c r="EF333" s="1146">
        <f>EF332/EF260</f>
        <v>0.23300511164917942</v>
      </c>
      <c r="EG333" s="1143">
        <f>+EF333</f>
        <v>0.23300511164917942</v>
      </c>
      <c r="EH333" s="1143">
        <f>+EG333</f>
        <v>0.23300511164917942</v>
      </c>
      <c r="EI333" s="1146">
        <f>EI332/EI260</f>
        <v>0.23300511164917939</v>
      </c>
      <c r="EJ333" s="1143">
        <f>+EI333</f>
        <v>0.23300511164917939</v>
      </c>
      <c r="EK333" s="1143">
        <f>+EJ333</f>
        <v>0.23300511164917939</v>
      </c>
      <c r="EL333" s="1146">
        <f>EL332/EL260</f>
        <v>0.23300511164917939</v>
      </c>
      <c r="EM333" s="1143">
        <f>+EL333</f>
        <v>0.23300511164917939</v>
      </c>
      <c r="EN333" s="1143">
        <f>+EM333</f>
        <v>0.23300511164917939</v>
      </c>
      <c r="EO333" s="1146">
        <f>EO332/EO260</f>
        <v>0.23300511164917936</v>
      </c>
      <c r="EP333" s="1143">
        <f>+EO333</f>
        <v>0.23300511164917936</v>
      </c>
      <c r="EQ333" s="1143">
        <f>+EP333</f>
        <v>0.23300511164917936</v>
      </c>
      <c r="ER333" s="1146">
        <f>ER332/ER260</f>
        <v>0.23300511164917934</v>
      </c>
      <c r="ES333" s="1143">
        <f>+ER333</f>
        <v>0.23300511164917934</v>
      </c>
      <c r="ET333" s="1143">
        <f>+ES333</f>
        <v>0.23300511164917934</v>
      </c>
      <c r="EU333" s="1146">
        <f>EU332/EU260</f>
        <v>0.23300511164917934</v>
      </c>
      <c r="EV333" s="1143">
        <f>+EU333</f>
        <v>0.23300511164917934</v>
      </c>
      <c r="EW333" s="1143">
        <f>+EV333</f>
        <v>0.23300511164917934</v>
      </c>
      <c r="EX333" s="1146">
        <f>EX332/EX260</f>
        <v>0.23300511164917934</v>
      </c>
      <c r="EY333" s="1143">
        <f>+EX333</f>
        <v>0.23300511164917934</v>
      </c>
      <c r="EZ333" s="1143">
        <f>+EY333</f>
        <v>0.23300511164917934</v>
      </c>
      <c r="FA333" s="1146">
        <f>FA332/FA260</f>
        <v>0.23300511164917934</v>
      </c>
    </row>
    <row r="334" spans="1:157" outlineLevel="1">
      <c r="D334" s="162" t="s">
        <v>604</v>
      </c>
      <c r="BA334" s="35"/>
      <c r="BB334" s="35"/>
      <c r="BC334" s="322"/>
      <c r="BD334" s="35"/>
      <c r="BE334" s="35"/>
      <c r="BG334" s="35"/>
      <c r="BH334" s="35"/>
      <c r="BJ334" s="35"/>
      <c r="BK334" s="35"/>
      <c r="BL334" s="31"/>
      <c r="BM334" s="70">
        <f>BM332/BM78</f>
        <v>10.787542587215921</v>
      </c>
      <c r="BN334" s="70">
        <f>BN332/BN78</f>
        <v>10.377186285727616</v>
      </c>
      <c r="BO334" s="1024">
        <f>SUM(BM334:BN334)</f>
        <v>21.164728872943535</v>
      </c>
      <c r="BP334" s="70">
        <f>BP332/BP78</f>
        <v>12.345704420804029</v>
      </c>
      <c r="BQ334" s="70">
        <f>BQ332/BQ78</f>
        <v>14.055646383055729</v>
      </c>
      <c r="BR334" s="1024">
        <f>SUM(BP334:BQ334)</f>
        <v>26.401350803859756</v>
      </c>
      <c r="BS334" s="70">
        <f>BS332/BS78</f>
        <v>25.273853376627542</v>
      </c>
      <c r="BT334" s="70">
        <f>BT332/BT78</f>
        <v>31.18363480963782</v>
      </c>
      <c r="BU334" s="70">
        <f>SUM(BS334:BT334)</f>
        <v>56.457488186265365</v>
      </c>
      <c r="BV334" s="70">
        <f>BV332/BV78</f>
        <v>32.495595618533088</v>
      </c>
      <c r="BW334" s="70">
        <f>BW332/BW78</f>
        <v>36.898239378437687</v>
      </c>
      <c r="BX334" s="70">
        <f>SUM(BV334:BW334)</f>
        <v>69.393834996970782</v>
      </c>
      <c r="BY334" s="70">
        <f>BY332/BY78</f>
        <v>39.81354718234951</v>
      </c>
      <c r="BZ334" s="70">
        <f>BZ332/BZ78</f>
        <v>42.585806253707688</v>
      </c>
      <c r="CA334" s="70">
        <f>SUM(BY334:BZ334)</f>
        <v>82.399353436057197</v>
      </c>
      <c r="CB334" s="70">
        <f>CB332/CB78</f>
        <v>40.335057065375153</v>
      </c>
      <c r="CC334" s="70">
        <f>CC332/CC78</f>
        <v>40.330463943447974</v>
      </c>
      <c r="CD334" s="70">
        <f>SUM(CB334:CC334)</f>
        <v>80.665521008823134</v>
      </c>
      <c r="CE334" s="70">
        <f>CE332/CE78</f>
        <v>34.188736394064854</v>
      </c>
      <c r="CF334" s="70">
        <f>CF332/CF78</f>
        <v>32.45276116556461</v>
      </c>
      <c r="CG334" s="70">
        <f>SUM(CE334:CF334)</f>
        <v>66.641497559629471</v>
      </c>
      <c r="CH334" s="70">
        <f>CH332/CH78</f>
        <v>30.90155104195194</v>
      </c>
      <c r="CI334" s="70">
        <f>CI332/CI78</f>
        <v>35.200672306768958</v>
      </c>
      <c r="CJ334" s="70">
        <f>SUM(CH334:CI334)</f>
        <v>66.102223348720898</v>
      </c>
      <c r="CK334" s="70">
        <f>CK332/CK78</f>
        <v>31.345817412915181</v>
      </c>
      <c r="CL334" s="70">
        <f>CL332/CL78</f>
        <v>31.304155676510494</v>
      </c>
      <c r="CM334" s="70">
        <f>SUM(CK334:CL334)</f>
        <v>62.649973089425671</v>
      </c>
      <c r="CN334" s="70">
        <f>CN332/CN78</f>
        <v>38.745599909238415</v>
      </c>
      <c r="CO334" s="70">
        <f>CO332/CO78</f>
        <v>38.956484668399945</v>
      </c>
      <c r="CP334" s="70">
        <f>SUM(CN334:CO334)</f>
        <v>77.70208457763836</v>
      </c>
      <c r="CQ334" s="70">
        <f>CQ332/CQ78</f>
        <v>40.579341416307855</v>
      </c>
      <c r="CR334" s="70">
        <f>CR332/CR78</f>
        <v>35.152808302508966</v>
      </c>
      <c r="CS334" s="70">
        <f>SUM(CQ334:CR334)</f>
        <v>75.732149718816828</v>
      </c>
      <c r="CT334" s="70">
        <f>CT332/CT78</f>
        <v>63.641791231824115</v>
      </c>
      <c r="CU334" s="70">
        <f>CU332/CU78</f>
        <v>49.152647669230547</v>
      </c>
      <c r="CV334" s="70">
        <f>SUM(CT334:CU334)</f>
        <v>112.79443890105466</v>
      </c>
      <c r="CW334" s="70">
        <f>CW332/CW78</f>
        <v>47.133735177944452</v>
      </c>
      <c r="CX334" s="70">
        <f>CX332/CX78</f>
        <v>42.952936151458829</v>
      </c>
      <c r="CY334" s="70">
        <f>SUM(CW334:CX334)</f>
        <v>90.086671329403288</v>
      </c>
      <c r="CZ334" s="70">
        <f>CZ332/CZ78</f>
        <v>51.527811374182555</v>
      </c>
      <c r="DA334" s="70">
        <f>DA332/DA78</f>
        <v>48.835586609594465</v>
      </c>
      <c r="DB334" s="70">
        <f>SUM(CZ334:DA334)</f>
        <v>100.36339798377702</v>
      </c>
      <c r="DC334" s="70">
        <f>DC332/DC78</f>
        <v>54.191444123490641</v>
      </c>
      <c r="DD334" s="70">
        <f>DD332/DD78</f>
        <v>58.264832710229314</v>
      </c>
      <c r="DE334" s="70">
        <f>SUM(DC334:DD334)</f>
        <v>112.45627683371995</v>
      </c>
      <c r="DF334" s="70">
        <f>DF332/DF78</f>
        <v>66.391157579301037</v>
      </c>
      <c r="DG334" s="70">
        <f>DG332/DG78</f>
        <v>50.333333333333336</v>
      </c>
      <c r="DH334" s="1070">
        <f>SUM(DF334:DG334)</f>
        <v>116.72449091263437</v>
      </c>
      <c r="DI334" s="163">
        <f>+DI328-DI347-DI344</f>
        <v>55.927037156704358</v>
      </c>
      <c r="DJ334" s="163">
        <f>+DJ328-DJ347-DJ344</f>
        <v>61.177211192538337</v>
      </c>
      <c r="DK334" s="1085">
        <f>SUM(DI334:DJ334)</f>
        <v>117.1042483492427</v>
      </c>
      <c r="DL334" s="163">
        <f t="shared" ref="DL334:DM334" si="1896">+DL328-DL347-DL344</f>
        <v>58.628882129277599</v>
      </c>
      <c r="DM334" s="163">
        <f t="shared" si="1896"/>
        <v>65.885684669411503</v>
      </c>
      <c r="DN334" s="1085">
        <f t="shared" ref="DN334" si="1897">SUM(DL334:DM334)</f>
        <v>124.5145667986891</v>
      </c>
      <c r="DO334" s="163">
        <f t="shared" ref="DO334:DP334" si="1898">+DO328-DO347-DO344</f>
        <v>69.194010310433697</v>
      </c>
      <c r="DP334" s="163">
        <f t="shared" si="1898"/>
        <v>79.838441978559331</v>
      </c>
      <c r="DQ334" s="1085">
        <f t="shared" ref="DQ334" si="1899">SUM(DO334:DP334)</f>
        <v>149.03245228899303</v>
      </c>
      <c r="DR334" s="163">
        <f t="shared" ref="DR334:DS334" si="1900">+DR328-DR347-DR344</f>
        <v>79.966346326567248</v>
      </c>
      <c r="DS334" s="163">
        <f t="shared" si="1900"/>
        <v>85.838449685534655</v>
      </c>
      <c r="DT334" s="1085">
        <f t="shared" ref="DT334" si="1901">SUM(DR334:DS334)</f>
        <v>165.80479601210192</v>
      </c>
      <c r="DU334" s="163">
        <f t="shared" ref="DU334:DV334" si="1902">+DU328-DU347-DU344</f>
        <v>98.990854944867095</v>
      </c>
      <c r="DV334" s="163">
        <f t="shared" si="1902"/>
        <v>89.467895269415664</v>
      </c>
      <c r="DW334" s="1085">
        <f t="shared" ref="DW334" si="1903">SUM(DU334:DV334)</f>
        <v>188.45875021428276</v>
      </c>
      <c r="DX334" s="163">
        <f t="shared" ref="DX334" si="1904">+DX328-DX347-DX344</f>
        <v>86.608000000000004</v>
      </c>
      <c r="DY334" s="233">
        <f>DY332/DY78</f>
        <v>116.63069676895876</v>
      </c>
      <c r="DZ334" s="1070">
        <f>SUM(DX334:DY334)</f>
        <v>203.23869676895876</v>
      </c>
      <c r="EA334" s="233">
        <f>EA332/EA78</f>
        <v>101.92109936381011</v>
      </c>
      <c r="EB334" s="233">
        <f>EB332/EB78</f>
        <v>124.6879129027048</v>
      </c>
      <c r="EC334" s="1070">
        <f>SUM(EA334:EB334)</f>
        <v>226.60901226651492</v>
      </c>
      <c r="ED334" s="233">
        <f>ED332/ED78</f>
        <v>110.87901168845089</v>
      </c>
      <c r="EE334" s="233">
        <f>EE332/EE78</f>
        <v>135.64772446313157</v>
      </c>
      <c r="EF334" s="1070">
        <f>SUM(ED334:EE334)</f>
        <v>246.52673615158244</v>
      </c>
      <c r="EG334" s="233">
        <f>EG332/EG78</f>
        <v>120.85812274041149</v>
      </c>
      <c r="EH334" s="233">
        <f>EH332/EH78</f>
        <v>147.85601966481349</v>
      </c>
      <c r="EI334" s="1070">
        <f>SUM(EG334:EH334)</f>
        <v>268.71414240522495</v>
      </c>
      <c r="EJ334" s="233">
        <f>EJ332/EJ78</f>
        <v>131.73535378704852</v>
      </c>
      <c r="EK334" s="233">
        <f>EK332/EK78</f>
        <v>161.16306143464666</v>
      </c>
      <c r="EL334" s="1070">
        <f>SUM(EJ334:EK334)</f>
        <v>292.89841522169519</v>
      </c>
      <c r="EM334" s="233">
        <f>EM332/EM78</f>
        <v>143.59153562788291</v>
      </c>
      <c r="EN334" s="233">
        <f>EN332/EN78</f>
        <v>175.66773696376484</v>
      </c>
      <c r="EO334" s="1070">
        <f>SUM(EM334:EN334)</f>
        <v>319.25927259164774</v>
      </c>
      <c r="EP334" s="233">
        <f>EP332/EP78</f>
        <v>156.51477383439234</v>
      </c>
      <c r="EQ334" s="233">
        <f>EQ332/EQ78</f>
        <v>191.47783329050367</v>
      </c>
      <c r="ER334" s="1070">
        <f>SUM(EP334:EQ334)</f>
        <v>347.99260712489604</v>
      </c>
      <c r="ES334" s="233">
        <f>ES332/ES78</f>
        <v>170.60110347948768</v>
      </c>
      <c r="ET334" s="233">
        <f>ET332/ET78</f>
        <v>208.71083828664902</v>
      </c>
      <c r="EU334" s="1070">
        <f>SUM(ES334:ET334)</f>
        <v>379.31194176613667</v>
      </c>
      <c r="EV334" s="233">
        <f>EV332/EV78</f>
        <v>185.95520279264159</v>
      </c>
      <c r="EW334" s="233">
        <f>EW332/EW78</f>
        <v>227.49481373244745</v>
      </c>
      <c r="EX334" s="1070">
        <f>SUM(EV334:EW334)</f>
        <v>413.45001652508904</v>
      </c>
      <c r="EY334" s="233">
        <f>EY332/EY78</f>
        <v>202.69117104397935</v>
      </c>
      <c r="EZ334" s="233">
        <f>EZ332/EZ78</f>
        <v>247.96934696836769</v>
      </c>
      <c r="FA334" s="1070">
        <f>SUM(EY334:EZ334)</f>
        <v>450.66051801234704</v>
      </c>
    </row>
    <row r="335" spans="1:157" outlineLevel="1">
      <c r="B335" s="31"/>
      <c r="C335" s="35" t="str">
        <f>C333</f>
        <v>as a % of sales</v>
      </c>
      <c r="D335" s="162" t="s">
        <v>460</v>
      </c>
      <c r="BA335" s="35"/>
      <c r="BB335" s="35"/>
      <c r="BC335" s="322"/>
      <c r="BD335" s="35"/>
      <c r="BE335" s="35"/>
      <c r="BG335" s="35"/>
      <c r="BH335" s="35"/>
      <c r="BJ335" s="35"/>
      <c r="BK335" s="35"/>
      <c r="BL335" s="31"/>
      <c r="BM335" s="65">
        <f t="shared" ref="BM335:CR335" si="1905">BM334/BM262</f>
        <v>0.14999999999999997</v>
      </c>
      <c r="BN335" s="65">
        <f t="shared" si="1905"/>
        <v>0.15</v>
      </c>
      <c r="BO335" s="65">
        <f t="shared" si="1905"/>
        <v>0.14999999999999997</v>
      </c>
      <c r="BP335" s="65">
        <f t="shared" si="1905"/>
        <v>0.15166331597863966</v>
      </c>
      <c r="BQ335" s="65">
        <f t="shared" si="1905"/>
        <v>0.15397691396094412</v>
      </c>
      <c r="BR335" s="65">
        <f t="shared" si="1905"/>
        <v>0.15288631347829967</v>
      </c>
      <c r="BS335" s="65">
        <f t="shared" si="1905"/>
        <v>0.24381255608789743</v>
      </c>
      <c r="BT335" s="65">
        <f t="shared" si="1905"/>
        <v>0.28522225909977794</v>
      </c>
      <c r="BU335" s="65">
        <f t="shared" si="1905"/>
        <v>0.26506858561009505</v>
      </c>
      <c r="BV335" s="65">
        <f t="shared" si="1905"/>
        <v>0.26561709676747663</v>
      </c>
      <c r="BW335" s="65">
        <f t="shared" si="1905"/>
        <v>0.27359591424277557</v>
      </c>
      <c r="BX335" s="65">
        <f t="shared" si="1905"/>
        <v>0.26980076125165547</v>
      </c>
      <c r="BY335" s="65">
        <f t="shared" si="1905"/>
        <v>0.26015974896167221</v>
      </c>
      <c r="BZ335" s="65">
        <f t="shared" si="1905"/>
        <v>0.25675122927043009</v>
      </c>
      <c r="CA335" s="65">
        <f t="shared" si="1905"/>
        <v>0.25838692797512336</v>
      </c>
      <c r="CB335" s="65">
        <f t="shared" si="1905"/>
        <v>0.2847489906747866</v>
      </c>
      <c r="CC335" s="65">
        <f t="shared" si="1905"/>
        <v>0.26921982166393071</v>
      </c>
      <c r="CD335" s="65">
        <f t="shared" si="1905"/>
        <v>0.27676718668901518</v>
      </c>
      <c r="CE335" s="65">
        <f t="shared" si="1905"/>
        <v>0.25049736967934733</v>
      </c>
      <c r="CF335" s="65">
        <f t="shared" si="1905"/>
        <v>0.20690584740350276</v>
      </c>
      <c r="CG335" s="65">
        <f t="shared" si="1905"/>
        <v>0.22718843637722558</v>
      </c>
      <c r="CH335" s="65">
        <f t="shared" si="1905"/>
        <v>0.21680121772192429</v>
      </c>
      <c r="CI335" s="65">
        <f t="shared" si="1905"/>
        <v>0.24761797002018329</v>
      </c>
      <c r="CJ335" s="65">
        <f t="shared" si="1905"/>
        <v>0.23218919762456836</v>
      </c>
      <c r="CK335" s="65">
        <f t="shared" si="1905"/>
        <v>0.22368500000000002</v>
      </c>
      <c r="CL335" s="65">
        <f t="shared" si="1905"/>
        <v>0.21908</v>
      </c>
      <c r="CM335" s="65">
        <f t="shared" si="1905"/>
        <v>0.22136008372037755</v>
      </c>
      <c r="CN335" s="65">
        <f t="shared" si="1905"/>
        <v>0.22906465919725688</v>
      </c>
      <c r="CO335" s="65">
        <f t="shared" si="1905"/>
        <v>0.20577875945847979</v>
      </c>
      <c r="CP335" s="65">
        <f t="shared" si="1905"/>
        <v>0.21676672446585493</v>
      </c>
      <c r="CQ335" s="65">
        <f t="shared" si="1905"/>
        <v>0.22345575370077947</v>
      </c>
      <c r="CR335" s="65">
        <f t="shared" si="1905"/>
        <v>0.17932087098860391</v>
      </c>
      <c r="CS335" s="65">
        <f t="shared" ref="CS335:DT335" si="1906">CS334/CS262</f>
        <v>0.20054484185348925</v>
      </c>
      <c r="CT335" s="65">
        <f t="shared" si="1906"/>
        <v>0.30245124623051084</v>
      </c>
      <c r="CU335" s="65">
        <f t="shared" si="1906"/>
        <v>0.22672546935458915</v>
      </c>
      <c r="CV335" s="65">
        <f t="shared" si="1906"/>
        <v>0.26402347480389748</v>
      </c>
      <c r="CW335" s="65">
        <f t="shared" si="1906"/>
        <v>0.22667986040511276</v>
      </c>
      <c r="CX335" s="65">
        <f t="shared" si="1906"/>
        <v>0.1947102611281181</v>
      </c>
      <c r="CY335" s="65">
        <f t="shared" si="1906"/>
        <v>0.21022251102972017</v>
      </c>
      <c r="CZ335" s="65">
        <f t="shared" si="1906"/>
        <v>0.23784114136875997</v>
      </c>
      <c r="DA335" s="65">
        <f t="shared" si="1906"/>
        <v>0.19258737486478666</v>
      </c>
      <c r="DB335" s="65">
        <f t="shared" si="1906"/>
        <v>0.21343729518457943</v>
      </c>
      <c r="DC335" s="65">
        <f t="shared" si="1906"/>
        <v>0.21896430910963299</v>
      </c>
      <c r="DD335" s="65">
        <f t="shared" si="1906"/>
        <v>0.21539243869408539</v>
      </c>
      <c r="DE335" s="65">
        <f t="shared" si="1906"/>
        <v>0.2170990210537192</v>
      </c>
      <c r="DF335" s="65">
        <f t="shared" si="1906"/>
        <v>0.25405388044607452</v>
      </c>
      <c r="DG335" s="65">
        <f t="shared" si="1906"/>
        <v>0.22774269483009907</v>
      </c>
      <c r="DH335" s="1066">
        <f t="shared" si="1906"/>
        <v>0.24199793359164315</v>
      </c>
      <c r="DI335" s="65">
        <f t="shared" si="1906"/>
        <v>0.23538315301643248</v>
      </c>
      <c r="DJ335" s="65">
        <f t="shared" si="1906"/>
        <v>0.21841203567489587</v>
      </c>
      <c r="DK335" s="1066">
        <f t="shared" si="1906"/>
        <v>0.22620098193788427</v>
      </c>
      <c r="DL335" s="65">
        <f t="shared" si="1906"/>
        <v>0.20442427520668618</v>
      </c>
      <c r="DM335" s="65">
        <f t="shared" si="1906"/>
        <v>0.22586796252797911</v>
      </c>
      <c r="DN335" s="1066">
        <f t="shared" si="1906"/>
        <v>0.21523693482919465</v>
      </c>
      <c r="DO335" s="65">
        <f t="shared" si="1906"/>
        <v>0.2413463910374388</v>
      </c>
      <c r="DP335" s="65">
        <f t="shared" si="1906"/>
        <v>0.22636360073308573</v>
      </c>
      <c r="DQ335" s="1066">
        <f t="shared" si="1906"/>
        <v>0.23308172081481551</v>
      </c>
      <c r="DR335" s="65">
        <f t="shared" si="1906"/>
        <v>0.22685488319593544</v>
      </c>
      <c r="DS335" s="65">
        <f t="shared" si="1906"/>
        <v>0.21836288396218431</v>
      </c>
      <c r="DT335" s="1066">
        <f t="shared" si="1906"/>
        <v>0.22237767705485773</v>
      </c>
      <c r="DU335" s="65">
        <f t="shared" ref="DU335:DW335" si="1907">DU334/DU262</f>
        <v>0.27482191822561658</v>
      </c>
      <c r="DV335" s="65">
        <f t="shared" si="1907"/>
        <v>0.20830709026639266</v>
      </c>
      <c r="DW335" s="1066">
        <f t="shared" si="1907"/>
        <v>0.23864600508330094</v>
      </c>
      <c r="DX335" s="65">
        <f t="shared" ref="DX335" si="1908">DX334/DX262</f>
        <v>0.23300511164917947</v>
      </c>
      <c r="DY335" s="65">
        <f t="shared" ref="DY335:ER335" si="1909">DY334/DY262</f>
        <v>0.23335814290903836</v>
      </c>
      <c r="DZ335" s="1066">
        <f t="shared" si="1909"/>
        <v>0.23320757168911377</v>
      </c>
      <c r="EA335" s="65">
        <f t="shared" si="1909"/>
        <v>0.23335303625179935</v>
      </c>
      <c r="EB335" s="65">
        <f t="shared" si="1909"/>
        <v>0.2333518319182101</v>
      </c>
      <c r="EC335" s="1066">
        <f t="shared" si="1909"/>
        <v>0.23335237358534688</v>
      </c>
      <c r="ED335" s="65">
        <f t="shared" si="1909"/>
        <v>0.23334730613451637</v>
      </c>
      <c r="EE335" s="65">
        <f t="shared" si="1909"/>
        <v>0.23334611937595207</v>
      </c>
      <c r="EF335" s="1066">
        <f t="shared" si="1909"/>
        <v>0.23334665313651104</v>
      </c>
      <c r="EG335" s="65">
        <f t="shared" si="1909"/>
        <v>0.2333473061345164</v>
      </c>
      <c r="EH335" s="65">
        <f t="shared" si="1909"/>
        <v>0.23334611937595218</v>
      </c>
      <c r="EI335" s="1066">
        <f t="shared" si="1909"/>
        <v>0.2333466531365111</v>
      </c>
      <c r="EJ335" s="65">
        <f t="shared" si="1909"/>
        <v>0.2333473061345164</v>
      </c>
      <c r="EK335" s="65">
        <f t="shared" si="1909"/>
        <v>0.23334611937595209</v>
      </c>
      <c r="EL335" s="1066">
        <f t="shared" si="1909"/>
        <v>0.23334665313651107</v>
      </c>
      <c r="EM335" s="65">
        <f t="shared" si="1909"/>
        <v>0.23334730613451646</v>
      </c>
      <c r="EN335" s="65">
        <f t="shared" si="1909"/>
        <v>0.23334611937595204</v>
      </c>
      <c r="EO335" s="1066">
        <f t="shared" si="1909"/>
        <v>0.2333466531365111</v>
      </c>
      <c r="EP335" s="65">
        <f t="shared" si="1909"/>
        <v>0.23334730613451635</v>
      </c>
      <c r="EQ335" s="65">
        <f t="shared" si="1909"/>
        <v>0.23334611937595201</v>
      </c>
      <c r="ER335" s="1066">
        <f t="shared" si="1909"/>
        <v>0.23334665313651101</v>
      </c>
      <c r="ES335" s="65">
        <f t="shared" ref="ES335:EX335" si="1910">ES334/ES262</f>
        <v>0.23334730613451637</v>
      </c>
      <c r="ET335" s="65">
        <f t="shared" si="1910"/>
        <v>0.23334611937595201</v>
      </c>
      <c r="EU335" s="1066">
        <f t="shared" si="1910"/>
        <v>0.23334665313651098</v>
      </c>
      <c r="EV335" s="65">
        <f t="shared" si="1910"/>
        <v>0.23334730613451637</v>
      </c>
      <c r="EW335" s="65">
        <f t="shared" si="1910"/>
        <v>0.23334611937595207</v>
      </c>
      <c r="EX335" s="1066">
        <f t="shared" si="1910"/>
        <v>0.23334665313651107</v>
      </c>
      <c r="EY335" s="65">
        <f t="shared" ref="EY335:FA335" si="1911">EY334/EY262</f>
        <v>0.23334730613451637</v>
      </c>
      <c r="EZ335" s="65">
        <f t="shared" si="1911"/>
        <v>0.23334611937595195</v>
      </c>
      <c r="FA335" s="1066">
        <f t="shared" si="1911"/>
        <v>0.23334665313651098</v>
      </c>
    </row>
    <row r="336" spans="1:157" outlineLevel="1">
      <c r="A336" s="1426" t="s">
        <v>25</v>
      </c>
      <c r="BA336" s="35"/>
      <c r="BB336" s="35"/>
      <c r="BC336" s="322"/>
      <c r="BD336" s="35"/>
      <c r="BE336" s="35"/>
      <c r="BG336" s="35"/>
      <c r="BH336" s="35"/>
      <c r="BJ336" s="35"/>
      <c r="BK336" s="35"/>
      <c r="BL336" s="31"/>
      <c r="BM336" s="35"/>
      <c r="BN336" s="35"/>
      <c r="BO336" s="31"/>
      <c r="BP336" s="35"/>
      <c r="BQ336" s="35"/>
      <c r="BR336" s="1024"/>
      <c r="BS336" s="74"/>
      <c r="BT336" s="70"/>
      <c r="BU336" s="74"/>
      <c r="BV336" s="74"/>
      <c r="BW336" s="74"/>
      <c r="BX336" s="74"/>
      <c r="BY336" s="70"/>
      <c r="BZ336" s="70"/>
      <c r="CA336" s="70"/>
      <c r="CB336" s="35"/>
      <c r="CC336" s="35"/>
      <c r="CD336" s="70"/>
      <c r="CE336" s="35"/>
      <c r="CF336" s="35"/>
      <c r="CG336" s="65"/>
      <c r="CH336" s="35"/>
      <c r="CI336" s="35"/>
      <c r="CJ336" s="70"/>
      <c r="CK336" s="35"/>
      <c r="CL336" s="35"/>
      <c r="CN336" s="35"/>
      <c r="CO336" s="35"/>
      <c r="CQ336" s="35"/>
      <c r="CR336" s="35"/>
      <c r="CT336" s="35"/>
      <c r="CU336" s="35"/>
      <c r="CW336" s="35"/>
      <c r="CX336" s="35"/>
      <c r="CZ336" s="35"/>
      <c r="DA336" s="35"/>
      <c r="DC336" s="35"/>
      <c r="DD336" s="35"/>
      <c r="DF336" s="35"/>
      <c r="DG336" s="35"/>
      <c r="DH336" s="1067"/>
      <c r="DI336" s="35"/>
      <c r="DJ336" s="35"/>
      <c r="DK336" s="1067"/>
      <c r="DL336" s="35"/>
      <c r="DM336" s="35"/>
      <c r="DN336" s="1067"/>
      <c r="DO336" s="35"/>
      <c r="DP336" s="35"/>
      <c r="DQ336" s="1067"/>
      <c r="DR336" s="35"/>
      <c r="DS336" s="35"/>
      <c r="DT336" s="1067"/>
      <c r="DU336" s="35"/>
      <c r="DV336" s="35"/>
      <c r="DW336" s="1067"/>
      <c r="DX336" s="35"/>
      <c r="DY336" s="35"/>
      <c r="DZ336" s="1067"/>
      <c r="EA336" s="35"/>
      <c r="EB336" s="35"/>
      <c r="EC336" s="1067"/>
      <c r="ED336" s="35"/>
      <c r="EE336" s="35"/>
      <c r="EF336" s="1067"/>
      <c r="EG336" s="35"/>
      <c r="EH336" s="35"/>
      <c r="EI336" s="1067"/>
      <c r="EJ336" s="35"/>
      <c r="EK336" s="35"/>
      <c r="EL336" s="1067"/>
      <c r="EM336" s="35"/>
      <c r="EN336" s="35"/>
      <c r="EO336" s="1067"/>
      <c r="EP336" s="35"/>
      <c r="EQ336" s="35"/>
      <c r="ER336" s="1067"/>
      <c r="ES336" s="35"/>
      <c r="ET336" s="35"/>
      <c r="EU336" s="1067"/>
      <c r="EV336" s="35"/>
      <c r="EW336" s="35"/>
      <c r="EX336" s="1067"/>
      <c r="EY336" s="35"/>
      <c r="EZ336" s="35"/>
      <c r="FA336" s="1067"/>
    </row>
    <row r="337" spans="1:173" outlineLevel="1">
      <c r="B337" s="31"/>
      <c r="C337" s="35" t="s">
        <v>25</v>
      </c>
      <c r="D337" s="162" t="s">
        <v>696</v>
      </c>
      <c r="BA337" s="35"/>
      <c r="BB337" s="35"/>
      <c r="BC337" s="322"/>
      <c r="BD337" s="35"/>
      <c r="BE337" s="35"/>
      <c r="BG337" s="35"/>
      <c r="BH337" s="35"/>
      <c r="BJ337" s="35"/>
      <c r="BK337" s="35"/>
      <c r="BL337" s="31"/>
      <c r="BM337" s="190">
        <f>BM338*BM260</f>
        <v>2.0226642351029853</v>
      </c>
      <c r="BN337" s="190">
        <f>BN338*BN260</f>
        <v>2.0754372571455231</v>
      </c>
      <c r="BO337" s="1024">
        <f>SUM(BM337:BN337)</f>
        <v>4.0981014922485084</v>
      </c>
      <c r="BP337" s="190">
        <f>BP338*BP260</f>
        <v>2.4691408841608062</v>
      </c>
      <c r="BQ337" s="190">
        <f>BQ338*BQ260</f>
        <v>2.8111292766111462</v>
      </c>
      <c r="BR337" s="1024">
        <f>SUM(BP337:BQ337)</f>
        <v>5.280270160771952</v>
      </c>
      <c r="BS337" s="190">
        <f>BS338*BS260</f>
        <v>5.2905037499336833</v>
      </c>
      <c r="BT337" s="190">
        <f>BT338*BT260</f>
        <v>6.2455654203975248</v>
      </c>
      <c r="BU337" s="70">
        <f>SUM(BS337:BT337)</f>
        <v>11.536069170331208</v>
      </c>
      <c r="BV337" s="190">
        <f>BV338*BV260</f>
        <v>5.1661751330548666</v>
      </c>
      <c r="BW337" s="190">
        <f>BW338*BW260</f>
        <v>6.5283269854568182</v>
      </c>
      <c r="BX337" s="70">
        <f>SUM(BV337:BW337)</f>
        <v>11.694502118511686</v>
      </c>
      <c r="BY337" s="190">
        <f>BY338*BY260</f>
        <v>6.8212010699520276</v>
      </c>
      <c r="BZ337" s="190">
        <f>BZ338*BZ260</f>
        <v>6.2206490355499966</v>
      </c>
      <c r="CA337" s="70">
        <f>SUM(BY337:BZ337)</f>
        <v>13.041850105502025</v>
      </c>
      <c r="CB337" s="190">
        <f>CB338*CB260</f>
        <v>0</v>
      </c>
      <c r="CC337" s="190">
        <f>CC338*CC260</f>
        <v>0</v>
      </c>
      <c r="CD337" s="70">
        <f>SUM(CB337:CC337)</f>
        <v>0</v>
      </c>
      <c r="CE337" s="190">
        <f>CE338*CE260</f>
        <v>0</v>
      </c>
      <c r="CF337" s="190">
        <f>CF338*CF260</f>
        <v>0</v>
      </c>
      <c r="CG337" s="70">
        <f>SUM(CE337:CF337)</f>
        <v>0</v>
      </c>
      <c r="CH337" s="190">
        <f>CH338*CH260</f>
        <v>0</v>
      </c>
      <c r="CI337" s="190">
        <f>CI338*CI260</f>
        <v>0</v>
      </c>
      <c r="CJ337" s="70">
        <f>SUM(CH337:CI337)</f>
        <v>0</v>
      </c>
      <c r="CK337" s="190">
        <f>CK338*CK260</f>
        <v>0</v>
      </c>
      <c r="CL337" s="190">
        <f>CL338*CL260</f>
        <v>0</v>
      </c>
      <c r="CM337" s="70">
        <f>SUM(CK337:CL337)</f>
        <v>0</v>
      </c>
      <c r="CN337" s="190">
        <f>CN338*CN260</f>
        <v>0</v>
      </c>
      <c r="CO337" s="190">
        <f>CO338*CO260</f>
        <v>0</v>
      </c>
      <c r="CP337" s="70">
        <f>SUM(CN337:CO337)</f>
        <v>0</v>
      </c>
      <c r="CQ337" s="190">
        <f>CQ338*CQ260</f>
        <v>0</v>
      </c>
      <c r="CR337" s="190">
        <f>CR338*CR260</f>
        <v>0</v>
      </c>
      <c r="CS337" s="70">
        <f>SUM(CQ337:CR337)</f>
        <v>0</v>
      </c>
      <c r="CT337" s="190">
        <f>CT338*CT260</f>
        <v>0</v>
      </c>
      <c r="CU337" s="190">
        <f>CU338*CU260</f>
        <v>0</v>
      </c>
      <c r="CV337" s="70">
        <f>SUM(CT337:CU337)</f>
        <v>0</v>
      </c>
      <c r="CW337" s="190">
        <f>CW338*CW260</f>
        <v>0</v>
      </c>
      <c r="CX337" s="190">
        <f>CX338*CX260</f>
        <v>0</v>
      </c>
      <c r="CY337" s="70">
        <f>SUM(CW337:CX337)</f>
        <v>0</v>
      </c>
      <c r="CZ337" s="190">
        <f>CZ338*CZ260</f>
        <v>0</v>
      </c>
      <c r="DA337" s="190">
        <f>DA338*DA260</f>
        <v>0</v>
      </c>
      <c r="DB337" s="70">
        <f>SUM(CZ337:DA337)</f>
        <v>0</v>
      </c>
      <c r="DC337" s="190">
        <f>DC338*DC260</f>
        <v>0</v>
      </c>
      <c r="DD337" s="190">
        <f>DD338*DD260</f>
        <v>0</v>
      </c>
      <c r="DE337" s="70">
        <f>SUM(DC337:DD337)</f>
        <v>0</v>
      </c>
      <c r="DF337" s="190">
        <f>DF338*DF260</f>
        <v>0</v>
      </c>
      <c r="DG337" s="190">
        <f>DG338*DG260</f>
        <v>0</v>
      </c>
      <c r="DH337" s="1070">
        <f>SUM(DF337:DG337)</f>
        <v>0</v>
      </c>
      <c r="DI337" s="190">
        <f>DI338*DI260</f>
        <v>0</v>
      </c>
      <c r="DJ337" s="190">
        <f>DJ338*DJ260</f>
        <v>0</v>
      </c>
      <c r="DK337" s="1070">
        <f>SUM(DI337:DJ337)</f>
        <v>0</v>
      </c>
      <c r="DL337" s="234">
        <f>DL338*DL260</f>
        <v>0</v>
      </c>
      <c r="DM337" s="234">
        <f>DM338*DM260</f>
        <v>0</v>
      </c>
      <c r="DN337" s="1070">
        <f>SUM(DL337:DM337)</f>
        <v>0</v>
      </c>
      <c r="DO337" s="234">
        <f>DO338*DO260</f>
        <v>0</v>
      </c>
      <c r="DP337" s="234">
        <f>DP338*DP260</f>
        <v>0</v>
      </c>
      <c r="DQ337" s="1070">
        <f>SUM(DO337:DP337)</f>
        <v>0</v>
      </c>
      <c r="DR337" s="234">
        <f>DR338*DR260</f>
        <v>0</v>
      </c>
      <c r="DS337" s="234">
        <f>DS338*DS260</f>
        <v>0</v>
      </c>
      <c r="DT337" s="1070">
        <f>SUM(DR337:DS337)</f>
        <v>0</v>
      </c>
      <c r="DU337" s="234">
        <f>DU338*DU260</f>
        <v>0</v>
      </c>
      <c r="DV337" s="234">
        <f>DV338*DV260</f>
        <v>0</v>
      </c>
      <c r="DW337" s="1070">
        <f>SUM(DU337:DV337)</f>
        <v>0</v>
      </c>
      <c r="DX337" s="234">
        <f>DX338*DX260</f>
        <v>0</v>
      </c>
      <c r="DY337" s="234">
        <f>DY338*DY260</f>
        <v>0</v>
      </c>
      <c r="DZ337" s="1070">
        <f>SUM(DX337:DY337)</f>
        <v>0</v>
      </c>
      <c r="EA337" s="234">
        <f>EA338*EA260</f>
        <v>0</v>
      </c>
      <c r="EB337" s="234">
        <f>EB338*EB260</f>
        <v>0</v>
      </c>
      <c r="EC337" s="1070">
        <f>SUM(EA337:EB337)</f>
        <v>0</v>
      </c>
      <c r="ED337" s="234">
        <f>ED338*ED260</f>
        <v>0</v>
      </c>
      <c r="EE337" s="234">
        <f>EE338*EE260</f>
        <v>0</v>
      </c>
      <c r="EF337" s="1070">
        <f>SUM(ED337:EE337)</f>
        <v>0</v>
      </c>
      <c r="EG337" s="234">
        <f>EG338*EG260</f>
        <v>0</v>
      </c>
      <c r="EH337" s="234">
        <f>EH338*EH260</f>
        <v>0</v>
      </c>
      <c r="EI337" s="1070">
        <f>SUM(EG337:EH337)</f>
        <v>0</v>
      </c>
      <c r="EJ337" s="234">
        <f>EJ338*EJ260</f>
        <v>0</v>
      </c>
      <c r="EK337" s="234">
        <f>EK338*EK260</f>
        <v>0</v>
      </c>
      <c r="EL337" s="1070">
        <f>SUM(EJ337:EK337)</f>
        <v>0</v>
      </c>
      <c r="EM337" s="234">
        <f>EM338*EM260</f>
        <v>0</v>
      </c>
      <c r="EN337" s="234">
        <f>EN338*EN260</f>
        <v>0</v>
      </c>
      <c r="EO337" s="1070">
        <f>SUM(EM337:EN337)</f>
        <v>0</v>
      </c>
      <c r="EP337" s="234">
        <f>EP338*EP260</f>
        <v>0</v>
      </c>
      <c r="EQ337" s="234">
        <f>EQ338*EQ260</f>
        <v>0</v>
      </c>
      <c r="ER337" s="1070">
        <f>SUM(EP337:EQ337)</f>
        <v>0</v>
      </c>
      <c r="ES337" s="234">
        <f>ES338*ES260</f>
        <v>0</v>
      </c>
      <c r="ET337" s="234">
        <f>ET338*ET260</f>
        <v>0</v>
      </c>
      <c r="EU337" s="1070">
        <f>SUM(ES337:ET337)</f>
        <v>0</v>
      </c>
      <c r="EV337" s="234">
        <f>EV338*EV260</f>
        <v>0</v>
      </c>
      <c r="EW337" s="234">
        <f>EW338*EW260</f>
        <v>0</v>
      </c>
      <c r="EX337" s="1070">
        <f>SUM(EV337:EW337)</f>
        <v>0</v>
      </c>
      <c r="EY337" s="234">
        <f>EY338*EY260</f>
        <v>0</v>
      </c>
      <c r="EZ337" s="234">
        <f>EZ338*EZ260</f>
        <v>0</v>
      </c>
      <c r="FA337" s="1070">
        <f>SUM(EY337:EZ337)</f>
        <v>0</v>
      </c>
    </row>
    <row r="338" spans="1:173" outlineLevel="1">
      <c r="B338" s="31"/>
      <c r="C338" s="35" t="s">
        <v>28</v>
      </c>
      <c r="D338" s="162" t="s">
        <v>460</v>
      </c>
      <c r="BA338" s="35"/>
      <c r="BB338" s="35"/>
      <c r="BC338" s="322"/>
      <c r="BD338" s="35"/>
      <c r="BE338" s="35"/>
      <c r="BG338" s="35"/>
      <c r="BH338" s="35"/>
      <c r="BJ338" s="35"/>
      <c r="BK338" s="35"/>
      <c r="BL338" s="31"/>
      <c r="BM338" s="65">
        <f>BM410</f>
        <v>0.05</v>
      </c>
      <c r="BN338" s="65">
        <f>BN410</f>
        <v>0.05</v>
      </c>
      <c r="BO338" s="64">
        <f>BO337/BO260</f>
        <v>4.9999999999999996E-2</v>
      </c>
      <c r="BP338" s="65">
        <f>BP410</f>
        <v>0.05</v>
      </c>
      <c r="BQ338" s="65">
        <f>BQ410</f>
        <v>0.05</v>
      </c>
      <c r="BR338" s="64">
        <f>BR337/BR260</f>
        <v>0.05</v>
      </c>
      <c r="BS338" s="1032">
        <v>8.2733007888248902E-2</v>
      </c>
      <c r="BT338" s="1032">
        <v>9.2327431842225929E-2</v>
      </c>
      <c r="BU338" s="65">
        <f>BU337/BU260</f>
        <v>8.7665071282285081E-2</v>
      </c>
      <c r="BV338" s="1032">
        <v>6.8556238239877873E-2</v>
      </c>
      <c r="BW338" s="1032">
        <v>8.0151130452056421E-2</v>
      </c>
      <c r="BX338" s="65">
        <f>BX337/BX260</f>
        <v>7.4578971293384658E-2</v>
      </c>
      <c r="BY338" s="1032">
        <v>7.9098970978445218E-2</v>
      </c>
      <c r="BZ338" s="1032">
        <v>5.6467999999999997E-2</v>
      </c>
      <c r="CA338" s="65">
        <f>CA337/CA260</f>
        <v>6.6404986340347485E-2</v>
      </c>
      <c r="CB338" s="1032">
        <v>0</v>
      </c>
      <c r="CC338" s="1032">
        <v>0</v>
      </c>
      <c r="CD338" s="65">
        <f>CD337/CD260</f>
        <v>0</v>
      </c>
      <c r="CE338" s="1032">
        <v>0</v>
      </c>
      <c r="CF338" s="65">
        <f>CF410</f>
        <v>0</v>
      </c>
      <c r="CG338" s="65">
        <f>CG337/CG260</f>
        <v>0</v>
      </c>
      <c r="CH338" s="65">
        <f>CF338</f>
        <v>0</v>
      </c>
      <c r="CI338" s="65">
        <f>CH338</f>
        <v>0</v>
      </c>
      <c r="CJ338" s="65">
        <f>CJ337/CJ260</f>
        <v>0</v>
      </c>
      <c r="CK338" s="65">
        <f>CI338</f>
        <v>0</v>
      </c>
      <c r="CL338" s="65">
        <f>CK338</f>
        <v>0</v>
      </c>
      <c r="CM338" s="65">
        <f>CM337/CM260</f>
        <v>0</v>
      </c>
      <c r="CN338" s="65">
        <f>CL338</f>
        <v>0</v>
      </c>
      <c r="CO338" s="65">
        <f>CN338</f>
        <v>0</v>
      </c>
      <c r="CP338" s="65">
        <f>CP337/CP260</f>
        <v>0</v>
      </c>
      <c r="CQ338" s="65">
        <f>CO338</f>
        <v>0</v>
      </c>
      <c r="CR338" s="65">
        <f>CQ338</f>
        <v>0</v>
      </c>
      <c r="CS338" s="65">
        <f>CS337/CS260</f>
        <v>0</v>
      </c>
      <c r="CT338" s="65">
        <f>CR338</f>
        <v>0</v>
      </c>
      <c r="CU338" s="65">
        <f>CT338</f>
        <v>0</v>
      </c>
      <c r="CV338" s="65">
        <f>CV337/CV260</f>
        <v>0</v>
      </c>
      <c r="CW338" s="65">
        <f>CU338</f>
        <v>0</v>
      </c>
      <c r="CX338" s="65">
        <f>CW338</f>
        <v>0</v>
      </c>
      <c r="CY338" s="65">
        <f>CY337/CY260</f>
        <v>0</v>
      </c>
      <c r="CZ338" s="65">
        <f>CX338</f>
        <v>0</v>
      </c>
      <c r="DA338" s="65">
        <f>CZ338</f>
        <v>0</v>
      </c>
      <c r="DB338" s="65">
        <f>DB337/DB260</f>
        <v>0</v>
      </c>
      <c r="DC338" s="65">
        <f>DA338</f>
        <v>0</v>
      </c>
      <c r="DD338" s="65">
        <f>DC338</f>
        <v>0</v>
      </c>
      <c r="DE338" s="65">
        <f>DE337/DE260</f>
        <v>0</v>
      </c>
      <c r="DF338" s="65">
        <f>DD338</f>
        <v>0</v>
      </c>
      <c r="DG338" s="65">
        <f>DF338</f>
        <v>0</v>
      </c>
      <c r="DH338" s="1066">
        <f>DH337/DH260</f>
        <v>0</v>
      </c>
      <c r="DI338" s="65">
        <f>DG338</f>
        <v>0</v>
      </c>
      <c r="DJ338" s="65">
        <f>DI338</f>
        <v>0</v>
      </c>
      <c r="DK338" s="1066">
        <f>DK337/DK260</f>
        <v>0</v>
      </c>
      <c r="DL338" s="65">
        <f>DJ338</f>
        <v>0</v>
      </c>
      <c r="DM338" s="65">
        <f>DL338</f>
        <v>0</v>
      </c>
      <c r="DN338" s="1066">
        <f>DN337/DN260</f>
        <v>0</v>
      </c>
      <c r="DO338" s="65">
        <f>DM338</f>
        <v>0</v>
      </c>
      <c r="DP338" s="65">
        <f>DO338</f>
        <v>0</v>
      </c>
      <c r="DQ338" s="1066">
        <f>DQ337/DQ260</f>
        <v>0</v>
      </c>
      <c r="DR338" s="65">
        <f>DP338</f>
        <v>0</v>
      </c>
      <c r="DS338" s="65">
        <f>DR338</f>
        <v>0</v>
      </c>
      <c r="DT338" s="1066">
        <f>DT337/DT260</f>
        <v>0</v>
      </c>
      <c r="DU338" s="65">
        <f>DS338</f>
        <v>0</v>
      </c>
      <c r="DV338" s="65">
        <f>DU338</f>
        <v>0</v>
      </c>
      <c r="DW338" s="1066">
        <f>DW337/DW260</f>
        <v>0</v>
      </c>
      <c r="DX338" s="65">
        <f>DV338</f>
        <v>0</v>
      </c>
      <c r="DY338" s="65">
        <f>DX338</f>
        <v>0</v>
      </c>
      <c r="DZ338" s="1066">
        <f>DZ337/DZ260</f>
        <v>0</v>
      </c>
      <c r="EA338" s="65">
        <f>DY338</f>
        <v>0</v>
      </c>
      <c r="EB338" s="65">
        <f>EA338</f>
        <v>0</v>
      </c>
      <c r="EC338" s="1066">
        <f>EC337/EC260</f>
        <v>0</v>
      </c>
      <c r="ED338" s="65">
        <f>EB338</f>
        <v>0</v>
      </c>
      <c r="EE338" s="65">
        <f>ED338</f>
        <v>0</v>
      </c>
      <c r="EF338" s="1066">
        <f>EF337/EF260</f>
        <v>0</v>
      </c>
      <c r="EG338" s="65">
        <f>EE338</f>
        <v>0</v>
      </c>
      <c r="EH338" s="65">
        <f>EG338</f>
        <v>0</v>
      </c>
      <c r="EI338" s="1066">
        <f>EI337/EI260</f>
        <v>0</v>
      </c>
      <c r="EJ338" s="65">
        <f>EH338</f>
        <v>0</v>
      </c>
      <c r="EK338" s="65">
        <f>EJ338</f>
        <v>0</v>
      </c>
      <c r="EL338" s="1066">
        <f>EL337/EL260</f>
        <v>0</v>
      </c>
      <c r="EM338" s="65">
        <f>EK338</f>
        <v>0</v>
      </c>
      <c r="EN338" s="65">
        <f>EM338</f>
        <v>0</v>
      </c>
      <c r="EO338" s="1066">
        <f>EO337/EO260</f>
        <v>0</v>
      </c>
      <c r="EP338" s="65">
        <f>EN338</f>
        <v>0</v>
      </c>
      <c r="EQ338" s="65">
        <f>EP338</f>
        <v>0</v>
      </c>
      <c r="ER338" s="1066">
        <f>ER337/ER260</f>
        <v>0</v>
      </c>
      <c r="ES338" s="65">
        <f>EQ338</f>
        <v>0</v>
      </c>
      <c r="ET338" s="65">
        <f>ES338</f>
        <v>0</v>
      </c>
      <c r="EU338" s="1066">
        <f>EU337/EU260</f>
        <v>0</v>
      </c>
      <c r="EV338" s="65">
        <f>ET338</f>
        <v>0</v>
      </c>
      <c r="EW338" s="65">
        <f>EV338</f>
        <v>0</v>
      </c>
      <c r="EX338" s="1066">
        <f>EX337/EX260</f>
        <v>0</v>
      </c>
      <c r="EY338" s="65">
        <f>EW338</f>
        <v>0</v>
      </c>
      <c r="EZ338" s="65">
        <f>EY338</f>
        <v>0</v>
      </c>
      <c r="FA338" s="1066">
        <f>FA337/FA260</f>
        <v>0</v>
      </c>
    </row>
    <row r="339" spans="1:173" outlineLevel="1">
      <c r="B339" s="31"/>
      <c r="D339" s="162" t="s">
        <v>908</v>
      </c>
      <c r="BA339" s="35"/>
      <c r="BB339" s="35"/>
      <c r="BC339" s="322"/>
      <c r="BD339" s="35"/>
      <c r="BE339" s="35"/>
      <c r="BG339" s="35"/>
      <c r="BH339" s="35"/>
      <c r="BJ339" s="35"/>
      <c r="BK339" s="35"/>
      <c r="BL339" s="31"/>
      <c r="BM339" s="190">
        <f>BM337/BM78</f>
        <v>3.5958475290719738</v>
      </c>
      <c r="BN339" s="190">
        <f>BN337/BN78</f>
        <v>3.4590620952425386</v>
      </c>
      <c r="BO339" s="1024">
        <f>SUM(BM339:BN339)</f>
        <v>7.0549096243145124</v>
      </c>
      <c r="BP339" s="190">
        <f>BP337/BP78</f>
        <v>4.1152348069346774</v>
      </c>
      <c r="BQ339" s="190">
        <f>BQ337/BQ78</f>
        <v>4.6852154610185774</v>
      </c>
      <c r="BR339" s="1024">
        <f>SUM(BP339:BQ339)</f>
        <v>8.8004502679532557</v>
      </c>
      <c r="BS339" s="190">
        <f>BS337/BS78</f>
        <v>8.8175062498894725</v>
      </c>
      <c r="BT339" s="190">
        <f>BT337/BT78</f>
        <v>10.409275700662542</v>
      </c>
      <c r="BU339" s="70">
        <f>SUM(BS339:BT339)</f>
        <v>19.226781950552017</v>
      </c>
      <c r="BV339" s="190">
        <f>BV337/BV78</f>
        <v>8.3854228003292803</v>
      </c>
      <c r="BW339" s="190">
        <f>BW337/BW78</f>
        <v>10.826412911205338</v>
      </c>
      <c r="BX339" s="70">
        <f>SUM(BV339:BW339)</f>
        <v>19.211835711534619</v>
      </c>
      <c r="BY339" s="190">
        <f>BY337/BY78</f>
        <v>12.180716196342905</v>
      </c>
      <c r="BZ339" s="190">
        <f>BZ337/BZ78</f>
        <v>9.221122597152112</v>
      </c>
      <c r="CA339" s="70">
        <f>SUM(BY339:BZ339)</f>
        <v>21.401838793495017</v>
      </c>
      <c r="CB339" s="190">
        <f>CB337/CB78</f>
        <v>0</v>
      </c>
      <c r="CC339" s="190">
        <f>CC337/CC78</f>
        <v>0</v>
      </c>
      <c r="CD339" s="70">
        <f>SUM(CB339:CC339)</f>
        <v>0</v>
      </c>
      <c r="CE339" s="190">
        <f>CE337/CE78</f>
        <v>0</v>
      </c>
      <c r="CF339" s="190">
        <f>CF337/CF78</f>
        <v>0</v>
      </c>
      <c r="CG339" s="70">
        <f>SUM(CE339:CF339)</f>
        <v>0</v>
      </c>
      <c r="CH339" s="190">
        <f>CH337/CH78</f>
        <v>0</v>
      </c>
      <c r="CI339" s="190">
        <f>CI337/CI78</f>
        <v>0</v>
      </c>
      <c r="CJ339" s="70">
        <f>SUM(CH339:CI339)</f>
        <v>0</v>
      </c>
      <c r="CK339" s="190">
        <f>CK337/CK78</f>
        <v>0</v>
      </c>
      <c r="CL339" s="190">
        <f>CL337/CL78</f>
        <v>0</v>
      </c>
      <c r="CM339" s="70">
        <f>SUM(CK339:CL339)</f>
        <v>0</v>
      </c>
      <c r="CN339" s="190">
        <f>CN337/CN78</f>
        <v>0</v>
      </c>
      <c r="CO339" s="190">
        <f>CO337/CO78</f>
        <v>0</v>
      </c>
      <c r="CP339" s="70">
        <f>SUM(CN339:CO339)</f>
        <v>0</v>
      </c>
      <c r="CQ339" s="190">
        <f>CQ337/CQ78</f>
        <v>0</v>
      </c>
      <c r="CR339" s="190">
        <f>CR337/CR78</f>
        <v>0</v>
      </c>
      <c r="CS339" s="70">
        <f>SUM(CQ339:CR339)</f>
        <v>0</v>
      </c>
      <c r="CT339" s="190">
        <f>CT337/CT78</f>
        <v>0</v>
      </c>
      <c r="CU339" s="190">
        <f>CU337/CU78</f>
        <v>0</v>
      </c>
      <c r="CV339" s="70">
        <f>SUM(CT339:CU339)</f>
        <v>0</v>
      </c>
      <c r="CW339" s="190">
        <f>CW337/CW78</f>
        <v>0</v>
      </c>
      <c r="CX339" s="190">
        <f>CX337/CX78</f>
        <v>0</v>
      </c>
      <c r="CY339" s="70">
        <f>SUM(CW339:CX339)</f>
        <v>0</v>
      </c>
      <c r="CZ339" s="190">
        <f>CZ337/CZ78</f>
        <v>0</v>
      </c>
      <c r="DA339" s="190">
        <f>DA337/DA78</f>
        <v>0</v>
      </c>
      <c r="DB339" s="70">
        <f>SUM(CZ339:DA339)</f>
        <v>0</v>
      </c>
      <c r="DC339" s="190">
        <f>DC337/DC78</f>
        <v>0</v>
      </c>
      <c r="DD339" s="190">
        <f>DD337/DD78</f>
        <v>0</v>
      </c>
      <c r="DE339" s="70">
        <f>SUM(DC339:DD339)</f>
        <v>0</v>
      </c>
      <c r="DF339" s="190">
        <f>DF337/DF78</f>
        <v>0</v>
      </c>
      <c r="DG339" s="190">
        <f>DG337/DG78</f>
        <v>0</v>
      </c>
      <c r="DH339" s="1070">
        <f>SUM(DF339:DG339)</f>
        <v>0</v>
      </c>
      <c r="DI339" s="190">
        <f>DI337/DI78</f>
        <v>0</v>
      </c>
      <c r="DJ339" s="190">
        <f>DJ337/DJ78</f>
        <v>0</v>
      </c>
      <c r="DK339" s="1070">
        <f>SUM(DI339:DJ339)</f>
        <v>0</v>
      </c>
      <c r="DL339" s="234">
        <f>DL337/DL78</f>
        <v>0</v>
      </c>
      <c r="DM339" s="234">
        <f>DM337/DM78</f>
        <v>0</v>
      </c>
      <c r="DN339" s="1070">
        <f>SUM(DL339:DM339)</f>
        <v>0</v>
      </c>
      <c r="DO339" s="234">
        <f>DO337/DO78</f>
        <v>0</v>
      </c>
      <c r="DP339" s="234">
        <f>DP337/DP78</f>
        <v>0</v>
      </c>
      <c r="DQ339" s="1070">
        <f>SUM(DO339:DP339)</f>
        <v>0</v>
      </c>
      <c r="DR339" s="234">
        <f>DR337/DR78</f>
        <v>0</v>
      </c>
      <c r="DS339" s="234">
        <f>DS337/DS78</f>
        <v>0</v>
      </c>
      <c r="DT339" s="1070">
        <f>SUM(DR339:DS339)</f>
        <v>0</v>
      </c>
      <c r="DU339" s="234">
        <f>DU337/DU78</f>
        <v>0</v>
      </c>
      <c r="DV339" s="234">
        <f>DV337/DV78</f>
        <v>0</v>
      </c>
      <c r="DW339" s="1070">
        <f>SUM(DU339:DV339)</f>
        <v>0</v>
      </c>
      <c r="DX339" s="234">
        <f>DX337/DX78</f>
        <v>0</v>
      </c>
      <c r="DY339" s="234">
        <f>DY337/DY78</f>
        <v>0</v>
      </c>
      <c r="DZ339" s="1070">
        <f>SUM(DX339:DY339)</f>
        <v>0</v>
      </c>
      <c r="EA339" s="234">
        <f>EA337/EA78</f>
        <v>0</v>
      </c>
      <c r="EB339" s="234">
        <f>EB337/EB78</f>
        <v>0</v>
      </c>
      <c r="EC339" s="1070">
        <f>SUM(EA339:EB339)</f>
        <v>0</v>
      </c>
      <c r="ED339" s="234">
        <f>ED337/ED78</f>
        <v>0</v>
      </c>
      <c r="EE339" s="234">
        <f>EE337/EE78</f>
        <v>0</v>
      </c>
      <c r="EF339" s="1070">
        <f>SUM(ED339:EE339)</f>
        <v>0</v>
      </c>
      <c r="EG339" s="234">
        <f>EG337/EG78</f>
        <v>0</v>
      </c>
      <c r="EH339" s="234">
        <f>EH337/EH78</f>
        <v>0</v>
      </c>
      <c r="EI339" s="1070">
        <f>SUM(EG339:EH339)</f>
        <v>0</v>
      </c>
      <c r="EJ339" s="234">
        <f>EJ337/EJ78</f>
        <v>0</v>
      </c>
      <c r="EK339" s="234">
        <f>EK337/EK78</f>
        <v>0</v>
      </c>
      <c r="EL339" s="1070">
        <f>SUM(EJ339:EK339)</f>
        <v>0</v>
      </c>
      <c r="EM339" s="234">
        <f>EM337/EM78</f>
        <v>0</v>
      </c>
      <c r="EN339" s="234">
        <f>EN337/EN78</f>
        <v>0</v>
      </c>
      <c r="EO339" s="1070">
        <f>SUM(EM339:EN339)</f>
        <v>0</v>
      </c>
      <c r="EP339" s="234">
        <f>EP337/EP78</f>
        <v>0</v>
      </c>
      <c r="EQ339" s="234">
        <f>EQ337/EQ78</f>
        <v>0</v>
      </c>
      <c r="ER339" s="1070">
        <f>SUM(EP339:EQ339)</f>
        <v>0</v>
      </c>
      <c r="ES339" s="234">
        <f>ES337/ES78</f>
        <v>0</v>
      </c>
      <c r="ET339" s="234">
        <f>ET337/ET78</f>
        <v>0</v>
      </c>
      <c r="EU339" s="1070">
        <f>SUM(ES339:ET339)</f>
        <v>0</v>
      </c>
      <c r="EV339" s="234">
        <f>EV337/EV78</f>
        <v>0</v>
      </c>
      <c r="EW339" s="234">
        <f>EW337/EW78</f>
        <v>0</v>
      </c>
      <c r="EX339" s="1070">
        <f>SUM(EV339:EW339)</f>
        <v>0</v>
      </c>
      <c r="EY339" s="234">
        <f>EY337/EY78</f>
        <v>0</v>
      </c>
      <c r="EZ339" s="234">
        <f>EZ337/EZ78</f>
        <v>0</v>
      </c>
      <c r="FA339" s="1070">
        <f>SUM(EY339:EZ339)</f>
        <v>0</v>
      </c>
    </row>
    <row r="340" spans="1:173" outlineLevel="1">
      <c r="B340" s="31"/>
      <c r="BA340" s="35"/>
      <c r="BB340" s="35"/>
      <c r="BC340" s="322"/>
      <c r="BD340" s="35"/>
      <c r="BE340" s="35"/>
      <c r="BG340" s="35"/>
      <c r="BH340" s="35"/>
      <c r="BJ340" s="35"/>
      <c r="BK340" s="35"/>
      <c r="BL340" s="31"/>
      <c r="BM340" s="35"/>
      <c r="BN340" s="35"/>
      <c r="BO340" s="31"/>
      <c r="BP340" s="35"/>
      <c r="BQ340" s="35"/>
      <c r="BR340" s="1024"/>
      <c r="BS340" s="74"/>
      <c r="BT340" s="70"/>
      <c r="BU340" s="74"/>
      <c r="BV340" s="74"/>
      <c r="BW340" s="74"/>
      <c r="BX340" s="74"/>
      <c r="BY340" s="70"/>
      <c r="BZ340" s="70"/>
      <c r="CA340" s="70"/>
      <c r="CB340" s="190"/>
      <c r="CC340" s="190"/>
      <c r="CD340" s="70"/>
      <c r="CE340" s="190"/>
      <c r="CF340" s="190"/>
      <c r="CG340" s="65"/>
      <c r="CH340" s="190"/>
      <c r="CI340" s="190"/>
      <c r="CJ340" s="70"/>
      <c r="CK340" s="190"/>
      <c r="CL340" s="190"/>
      <c r="CN340" s="190"/>
      <c r="CO340" s="190"/>
      <c r="CQ340" s="190"/>
      <c r="CR340" s="190"/>
      <c r="CT340" s="190"/>
      <c r="CU340" s="190"/>
      <c r="CW340" s="190"/>
      <c r="CX340" s="190"/>
      <c r="CZ340" s="190"/>
      <c r="DA340" s="190"/>
      <c r="DC340" s="190"/>
      <c r="DD340" s="190"/>
      <c r="DF340" s="190"/>
      <c r="DG340" s="190"/>
      <c r="DH340" s="1067"/>
      <c r="DI340" s="190"/>
      <c r="DJ340" s="190"/>
      <c r="DK340" s="1067"/>
      <c r="DL340" s="190"/>
      <c r="DM340" s="190"/>
      <c r="DN340" s="1067"/>
      <c r="DO340" s="190"/>
      <c r="DP340" s="190"/>
      <c r="DQ340" s="1067"/>
      <c r="DR340" s="190"/>
      <c r="DS340" s="190"/>
      <c r="DT340" s="1067"/>
      <c r="DU340" s="190"/>
      <c r="DV340" s="190"/>
      <c r="DW340" s="1067"/>
      <c r="DX340" s="190"/>
      <c r="DY340" s="190"/>
      <c r="DZ340" s="1067"/>
      <c r="EA340" s="190"/>
      <c r="EB340" s="190"/>
      <c r="EC340" s="1067"/>
      <c r="ED340" s="190"/>
      <c r="EE340" s="190"/>
      <c r="EF340" s="1067"/>
      <c r="EG340" s="190"/>
      <c r="EH340" s="190"/>
      <c r="EI340" s="1067"/>
      <c r="EJ340" s="190"/>
      <c r="EK340" s="190"/>
      <c r="EL340" s="1067"/>
      <c r="EM340" s="190"/>
      <c r="EN340" s="190"/>
      <c r="EO340" s="1067"/>
      <c r="EP340" s="190"/>
      <c r="EQ340" s="190"/>
      <c r="ER340" s="1067"/>
      <c r="ES340" s="190"/>
      <c r="ET340" s="190"/>
      <c r="EU340" s="1067"/>
      <c r="EV340" s="190"/>
      <c r="EW340" s="190"/>
      <c r="EX340" s="1067"/>
      <c r="EY340" s="190"/>
      <c r="EZ340" s="190"/>
      <c r="FA340" s="1067"/>
    </row>
    <row r="341" spans="1:173" outlineLevel="1">
      <c r="A341" s="1426" t="s">
        <v>428</v>
      </c>
      <c r="BA341" s="35"/>
      <c r="BB341" s="35"/>
      <c r="BC341" s="322"/>
      <c r="BD341" s="35"/>
      <c r="BE341" s="35"/>
      <c r="BG341" s="35"/>
      <c r="BH341" s="35"/>
      <c r="BJ341" s="35"/>
      <c r="BK341" s="35"/>
      <c r="BL341" s="31"/>
      <c r="BM341" s="35"/>
      <c r="BN341" s="35"/>
      <c r="BO341" s="31"/>
      <c r="BP341" s="35"/>
      <c r="BQ341" s="35"/>
      <c r="BR341" s="1024"/>
      <c r="BS341" s="74"/>
      <c r="BT341" s="70"/>
      <c r="BU341" s="74"/>
      <c r="BV341" s="74"/>
      <c r="BW341" s="74"/>
      <c r="BX341" s="74"/>
      <c r="BY341" s="70"/>
      <c r="BZ341" s="70"/>
      <c r="CA341" s="70"/>
      <c r="CB341" s="35"/>
      <c r="CC341" s="35"/>
      <c r="CD341" s="70"/>
      <c r="CE341" s="35"/>
      <c r="CF341" s="35"/>
      <c r="CG341" s="65"/>
      <c r="CH341" s="35"/>
      <c r="CI341" s="35"/>
      <c r="CJ341" s="70"/>
      <c r="CK341" s="35"/>
      <c r="CL341" s="35"/>
      <c r="CN341" s="35"/>
      <c r="CO341" s="35"/>
      <c r="CQ341" s="35"/>
      <c r="CR341" s="35"/>
      <c r="CT341" s="35"/>
      <c r="CU341" s="35"/>
      <c r="CW341" s="35"/>
      <c r="CX341" s="35"/>
      <c r="CZ341" s="35"/>
      <c r="DA341" s="35"/>
      <c r="DC341" s="35"/>
      <c r="DD341" s="35"/>
      <c r="DF341" s="181"/>
      <c r="DG341" s="181"/>
      <c r="DH341" s="1069"/>
      <c r="DI341" s="181"/>
      <c r="DJ341" s="181"/>
      <c r="DK341" s="1069"/>
      <c r="DL341" s="181"/>
      <c r="DM341" s="181"/>
      <c r="DN341" s="1069"/>
      <c r="DO341" s="181"/>
      <c r="DP341" s="181"/>
      <c r="DQ341" s="1069"/>
      <c r="DR341" s="35"/>
      <c r="DS341" s="35"/>
      <c r="DT341" s="1067"/>
      <c r="DU341" s="35"/>
      <c r="DV341" s="35"/>
      <c r="DW341" s="1067"/>
      <c r="DX341" s="35"/>
      <c r="DY341" s="35"/>
      <c r="DZ341" s="1067"/>
      <c r="EA341" s="35"/>
      <c r="EB341" s="35"/>
      <c r="EC341" s="1067"/>
      <c r="ED341" s="35"/>
      <c r="EE341" s="35"/>
      <c r="EF341" s="1067"/>
      <c r="EG341" s="35"/>
      <c r="EH341" s="35"/>
      <c r="EI341" s="1067"/>
      <c r="EJ341" s="35"/>
      <c r="EK341" s="35"/>
      <c r="EL341" s="1067"/>
      <c r="EM341" s="35"/>
      <c r="EN341" s="35"/>
      <c r="EO341" s="1067"/>
      <c r="EP341" s="35"/>
      <c r="EQ341" s="35"/>
      <c r="ER341" s="1067"/>
      <c r="ES341" s="35"/>
      <c r="ET341" s="35"/>
      <c r="EU341" s="1067"/>
      <c r="EV341" s="35"/>
      <c r="EW341" s="35"/>
      <c r="EX341" s="1067"/>
      <c r="EY341" s="35"/>
      <c r="EZ341" s="35"/>
      <c r="FA341" s="1067"/>
    </row>
    <row r="342" spans="1:173" outlineLevel="1">
      <c r="B342" s="31"/>
      <c r="C342" s="35" t="s">
        <v>29</v>
      </c>
      <c r="D342" s="162" t="s">
        <v>696</v>
      </c>
      <c r="BA342" s="35"/>
      <c r="BB342" s="35"/>
      <c r="BC342" s="322"/>
      <c r="BD342" s="35"/>
      <c r="BE342" s="35"/>
      <c r="BG342" s="35"/>
      <c r="BH342" s="35"/>
      <c r="BJ342" s="35"/>
      <c r="BK342" s="35"/>
      <c r="BL342" s="31"/>
      <c r="BM342" s="190">
        <f>BM344*BM78</f>
        <v>8.1978581448723986</v>
      </c>
      <c r="BN342" s="190">
        <f>BN344*BN78</f>
        <v>7.0336568644661783</v>
      </c>
      <c r="BO342" s="1024">
        <f>SUM(BM342:BN342)</f>
        <v>15.231515009338576</v>
      </c>
      <c r="BP342" s="190">
        <f>BP344*BP78</f>
        <v>9.8976749310754855</v>
      </c>
      <c r="BQ342" s="190">
        <f>BQ344*BQ78</f>
        <v>9.2808560127899931</v>
      </c>
      <c r="BR342" s="1024">
        <f>SUM(BP342:BQ342)</f>
        <v>19.178530943865479</v>
      </c>
      <c r="BS342" s="190">
        <f>BS344*BS78</f>
        <v>8.1824871992108275</v>
      </c>
      <c r="BT342" s="190">
        <f>BT344*BT78</f>
        <v>7.311384866818746</v>
      </c>
      <c r="BU342" s="70">
        <f>SUM(BS342:BT342)</f>
        <v>15.493872066029574</v>
      </c>
      <c r="BV342" s="190">
        <f>BV344*BV78</f>
        <v>10.559134588552865</v>
      </c>
      <c r="BW342" s="190">
        <f>BW344*BW78</f>
        <v>11.036272189019328</v>
      </c>
      <c r="BX342" s="70">
        <f>SUM(BV342:BW342)</f>
        <v>21.595406777572194</v>
      </c>
      <c r="BY342" s="190">
        <f>BY344*BY78</f>
        <v>11.225369238884488</v>
      </c>
      <c r="BZ342" s="190">
        <f>BZ344*BZ78</f>
        <v>15.712979597119386</v>
      </c>
      <c r="CA342" s="70">
        <f>SUM(BY342:BZ342)</f>
        <v>26.938348836003875</v>
      </c>
      <c r="CB342" s="190">
        <f>CB344*CB78</f>
        <v>0</v>
      </c>
      <c r="CC342" s="190">
        <f>CC344*CC78</f>
        <v>2.523461199356916</v>
      </c>
      <c r="CD342" s="70">
        <f>SUM(CB342:CC342)</f>
        <v>2.523461199356916</v>
      </c>
      <c r="CE342" s="190">
        <f>CE344*CE78</f>
        <v>3.8661180311754921</v>
      </c>
      <c r="CF342" s="190">
        <f>CF344*CF78</f>
        <v>4.6273789143197881</v>
      </c>
      <c r="CG342" s="70">
        <f>SUM(CE342:CF342)</f>
        <v>8.4934969454952807</v>
      </c>
      <c r="CH342" s="190">
        <f>CH344*CH78</f>
        <v>4.2011819510936395</v>
      </c>
      <c r="CI342" s="190">
        <f>CI344*CI78</f>
        <v>4.5298101055804025</v>
      </c>
      <c r="CJ342" s="70">
        <f>SUM(CH342:CI342)</f>
        <v>8.730992056674042</v>
      </c>
      <c r="CK342" s="190">
        <f>CK344*CK78</f>
        <v>4.4778151803961652</v>
      </c>
      <c r="CL342" s="190">
        <f>CL344*CL78</f>
        <v>4.4480977783261393</v>
      </c>
      <c r="CM342" s="70">
        <f>SUM(CK342:CL342)</f>
        <v>8.9259129587223036</v>
      </c>
      <c r="CN342" s="190">
        <f>CN344*CN78</f>
        <v>4.513987085190001</v>
      </c>
      <c r="CO342" s="190">
        <f>CO344*CO78</f>
        <v>5.0331233437582741</v>
      </c>
      <c r="CP342" s="70">
        <f>SUM(CN342:CO342)</f>
        <v>9.547110428948276</v>
      </c>
      <c r="CQ342" s="190">
        <f>CQ344*CQ78</f>
        <v>4.9909561406099998</v>
      </c>
      <c r="CR342" s="190">
        <f>CR344*CR78</f>
        <v>5.2314875834099972</v>
      </c>
      <c r="CS342" s="70">
        <f>SUM(CQ342:CR342)</f>
        <v>10.222443724019996</v>
      </c>
      <c r="CT342" s="190">
        <f>CT344*CT78</f>
        <v>5.491876711513501</v>
      </c>
      <c r="CU342" s="190">
        <f>CU344*CU78</f>
        <v>5.6785737920680246</v>
      </c>
      <c r="CV342" s="70">
        <f>SUM(CT342:CU342)</f>
        <v>11.170450503581526</v>
      </c>
      <c r="CW342" s="190">
        <f>CW344*CW78</f>
        <v>5.6909362546046589</v>
      </c>
      <c r="CX342" s="190">
        <f>CX344*CX78</f>
        <v>6.1228618978985114</v>
      </c>
      <c r="CY342" s="70">
        <f>SUM(CW342:CX342)</f>
        <v>11.813798152503171</v>
      </c>
      <c r="CZ342" s="190">
        <f>CZ344*CZ78</f>
        <v>5.7231062473835372</v>
      </c>
      <c r="DA342" s="190">
        <f>DA344*DA78</f>
        <v>6.4316295763087972</v>
      </c>
      <c r="DB342" s="70">
        <f>SUM(CZ342:DA342)</f>
        <v>12.154735823692334</v>
      </c>
      <c r="DC342" s="190">
        <f>DC344*DC78</f>
        <v>6.1981210664340196</v>
      </c>
      <c r="DD342" s="190">
        <f>DD344*DD78</f>
        <v>6.8155521608446819</v>
      </c>
      <c r="DE342" s="70">
        <f>SUM(DC342:DD342)</f>
        <v>13.013673227278701</v>
      </c>
      <c r="DF342" s="190">
        <f>DF344*DF78</f>
        <v>6.4798572798952954</v>
      </c>
      <c r="DG342" s="190">
        <f>DG344*DG78</f>
        <v>10.608463212409021</v>
      </c>
      <c r="DH342" s="1070">
        <f>SUM(DF342:DG342)</f>
        <v>17.088320492304316</v>
      </c>
      <c r="DI342" s="184">
        <f>DI344*DI78</f>
        <v>8.7324371999999979</v>
      </c>
      <c r="DJ342" s="184">
        <f>DJ344*DJ78</f>
        <v>10.538235912000001</v>
      </c>
      <c r="DK342" s="1085">
        <f>SUM(DI342:DJ342)</f>
        <v>19.270673111999997</v>
      </c>
      <c r="DL342" s="184">
        <f>DL344*DL78</f>
        <v>11.013119999999999</v>
      </c>
      <c r="DM342" s="184">
        <f>DM344*DM78</f>
        <v>11.253786</v>
      </c>
      <c r="DN342" s="1085">
        <f>SUM(DL342:DM342)</f>
        <v>22.266905999999999</v>
      </c>
      <c r="DO342" s="184">
        <f>DO344*DO78</f>
        <v>11.364651077642778</v>
      </c>
      <c r="DP342" s="184">
        <f>DP344*DP78</f>
        <v>13.227197525207332</v>
      </c>
      <c r="DQ342" s="1085">
        <f>SUM(DO342:DP342)</f>
        <v>24.59184860285011</v>
      </c>
      <c r="DR342" s="184">
        <f>DR344*DR78</f>
        <v>12.765032398903845</v>
      </c>
      <c r="DS342" s="184">
        <f>DS344*DS78</f>
        <v>14.372080893844617</v>
      </c>
      <c r="DT342" s="1085">
        <f>SUM(DR342:DS342)</f>
        <v>27.13711329274846</v>
      </c>
      <c r="DU342" s="184">
        <f>DU344*DU78</f>
        <v>13.195157540759999</v>
      </c>
      <c r="DV342" s="184">
        <f>DV344*DV78</f>
        <v>14.9466</v>
      </c>
      <c r="DW342" s="1085">
        <f>SUM(DU342:DV342)</f>
        <v>28.141757540759997</v>
      </c>
      <c r="DX342" s="184">
        <f>DX344*DX78</f>
        <v>12.532442467945909</v>
      </c>
      <c r="DY342" s="234">
        <f>DY344*DY78</f>
        <v>17.99253727057275</v>
      </c>
      <c r="DZ342" s="1070">
        <f>SUM(DX342:DY342)</f>
        <v>30.52497973851866</v>
      </c>
      <c r="EA342" s="234">
        <f>EA344*EA78</f>
        <v>15.723641894841089</v>
      </c>
      <c r="EB342" s="234">
        <f>EB344*EB78</f>
        <v>19.236038678585071</v>
      </c>
      <c r="EC342" s="1070">
        <f>SUM(EA342:EB342)</f>
        <v>34.959680573426162</v>
      </c>
      <c r="ED342" s="234">
        <f>ED344*ED78</f>
        <v>17.106023150244518</v>
      </c>
      <c r="EE342" s="234">
        <f>EE344*EE78</f>
        <v>20.927359296706591</v>
      </c>
      <c r="EF342" s="1070">
        <f>SUM(ED342:EE342)</f>
        <v>38.033382446951109</v>
      </c>
      <c r="EG342" s="234">
        <f>EG344*EG78</f>
        <v>18.645565233766522</v>
      </c>
      <c r="EH342" s="234">
        <f>EH344*EH78</f>
        <v>22.810821633410185</v>
      </c>
      <c r="EI342" s="1070">
        <f>SUM(EG342:EH342)</f>
        <v>41.456386867176704</v>
      </c>
      <c r="EJ342" s="234">
        <f>EJ344*EJ78</f>
        <v>20.323666104805511</v>
      </c>
      <c r="EK342" s="234">
        <f>EK344*EK78</f>
        <v>24.863795580417104</v>
      </c>
      <c r="EL342" s="1070">
        <f>SUM(EJ342:EK342)</f>
        <v>45.187461685222615</v>
      </c>
      <c r="EM342" s="234">
        <f>EM344*EM78</f>
        <v>22.152796054238006</v>
      </c>
      <c r="EN342" s="234">
        <f>EN344*EN78</f>
        <v>27.101537182654642</v>
      </c>
      <c r="EO342" s="1070">
        <f>SUM(EM342:EN342)</f>
        <v>49.254333236892649</v>
      </c>
      <c r="EP342" s="234">
        <f>EP344*EP78</f>
        <v>24.146547699119434</v>
      </c>
      <c r="EQ342" s="234">
        <f>EQ344*EQ78</f>
        <v>29.540675529093566</v>
      </c>
      <c r="ER342" s="1070">
        <f>SUM(EP342:EQ342)</f>
        <v>53.687223228213</v>
      </c>
      <c r="ES342" s="234">
        <f>ES344*ES78</f>
        <v>26.319736992040184</v>
      </c>
      <c r="ET342" s="234">
        <f>ET344*ET78</f>
        <v>32.199336326711986</v>
      </c>
      <c r="EU342" s="1070">
        <f>SUM(ES342:ET342)</f>
        <v>58.51907331875217</v>
      </c>
      <c r="EV342" s="234">
        <f>EV344*EV78</f>
        <v>28.688513321323807</v>
      </c>
      <c r="EW342" s="234">
        <f>EW344*EW78</f>
        <v>35.097276596116068</v>
      </c>
      <c r="EX342" s="1070">
        <f>SUM(EV342:EW342)</f>
        <v>63.785789917439871</v>
      </c>
      <c r="EY342" s="234">
        <f>EY344*EY78</f>
        <v>31.270479520242951</v>
      </c>
      <c r="EZ342" s="234">
        <f>EZ344*EZ78</f>
        <v>38.256031489766521</v>
      </c>
      <c r="FA342" s="1070">
        <f>SUM(EY342:EZ342)</f>
        <v>69.526511010009472</v>
      </c>
    </row>
    <row r="343" spans="1:173" outlineLevel="1">
      <c r="C343" s="35" t="s">
        <v>292</v>
      </c>
      <c r="D343" s="162" t="s">
        <v>460</v>
      </c>
      <c r="BA343" s="35"/>
      <c r="BB343" s="35"/>
      <c r="BD343" s="35"/>
      <c r="BE343" s="35"/>
      <c r="BG343" s="35"/>
      <c r="BH343" s="35"/>
      <c r="BJ343" s="35"/>
      <c r="BK343" s="35"/>
      <c r="BL343" s="31"/>
      <c r="BM343" s="83">
        <f t="shared" ref="BM343:CR343" si="1912">BM342/BM260</f>
        <v>0.20265</v>
      </c>
      <c r="BN343" s="83">
        <f t="shared" si="1912"/>
        <v>0.16945000000000002</v>
      </c>
      <c r="BO343" s="83">
        <f t="shared" si="1912"/>
        <v>0.18583623463387541</v>
      </c>
      <c r="BP343" s="83">
        <f t="shared" si="1912"/>
        <v>0.20042750485741193</v>
      </c>
      <c r="BQ343" s="83">
        <f t="shared" si="1912"/>
        <v>0.16507344735099108</v>
      </c>
      <c r="BR343" s="83">
        <f t="shared" si="1912"/>
        <v>0.18160558418342049</v>
      </c>
      <c r="BS343" s="83">
        <f t="shared" si="1912"/>
        <v>0.12795790533298285</v>
      </c>
      <c r="BT343" s="83">
        <f t="shared" si="1912"/>
        <v>0.10808331072137325</v>
      </c>
      <c r="BU343" s="83">
        <f t="shared" si="1912"/>
        <v>0.11774126689534156</v>
      </c>
      <c r="BV343" s="83">
        <f t="shared" si="1912"/>
        <v>0.14012195247273995</v>
      </c>
      <c r="BW343" s="83">
        <f t="shared" si="1912"/>
        <v>0.13549714864115264</v>
      </c>
      <c r="BX343" s="83">
        <f t="shared" si="1912"/>
        <v>0.13771969133975334</v>
      </c>
      <c r="BY343" s="83">
        <f t="shared" si="1912"/>
        <v>0.13016991385288404</v>
      </c>
      <c r="BZ343" s="83">
        <f t="shared" si="1912"/>
        <v>0.14263471975664815</v>
      </c>
      <c r="CA343" s="83">
        <f t="shared" si="1912"/>
        <v>0.13716157385766048</v>
      </c>
      <c r="CB343" s="83">
        <f t="shared" si="1912"/>
        <v>0</v>
      </c>
      <c r="CC343" s="83">
        <f t="shared" si="1912"/>
        <v>2.5422634030802405E-2</v>
      </c>
      <c r="CD343" s="83">
        <f t="shared" si="1912"/>
        <v>1.3672398412765036E-2</v>
      </c>
      <c r="CE343" s="83">
        <f t="shared" si="1912"/>
        <v>4.0857017632963212E-2</v>
      </c>
      <c r="CF343" s="83">
        <f t="shared" si="1912"/>
        <v>3.9833724485934814E-2</v>
      </c>
      <c r="CG343" s="83">
        <f t="shared" si="1912"/>
        <v>4.0293083754914999E-2</v>
      </c>
      <c r="CH343" s="83">
        <f t="shared" si="1912"/>
        <v>3.9735241206298962E-2</v>
      </c>
      <c r="CI343" s="83">
        <f t="shared" si="1912"/>
        <v>4.0218186806830952E-2</v>
      </c>
      <c r="CJ343" s="83">
        <f t="shared" si="1912"/>
        <v>3.9984346024361531E-2</v>
      </c>
      <c r="CK343" s="83">
        <f t="shared" si="1912"/>
        <v>3.9830999999999991E-2</v>
      </c>
      <c r="CL343" s="83">
        <f t="shared" si="1912"/>
        <v>3.9831000000000005E-2</v>
      </c>
      <c r="CM343" s="83">
        <f t="shared" si="1912"/>
        <v>3.9830999999999991E-2</v>
      </c>
      <c r="CN343" s="83">
        <f t="shared" si="1912"/>
        <v>3.8885455965980316E-2</v>
      </c>
      <c r="CO343" s="83">
        <f t="shared" si="1912"/>
        <v>3.9836427057411979E-2</v>
      </c>
      <c r="CP343" s="83">
        <f t="shared" si="1912"/>
        <v>3.9381065931211823E-2</v>
      </c>
      <c r="CQ343" s="83">
        <f t="shared" si="1912"/>
        <v>3.9804054130428354E-2</v>
      </c>
      <c r="CR343" s="83">
        <f t="shared" si="1912"/>
        <v>3.9863015341610679E-2</v>
      </c>
      <c r="CS343" s="83">
        <f t="shared" ref="CS343:DT343" si="1913">CS342/CS260</f>
        <v>3.9834206600250562E-2</v>
      </c>
      <c r="CT343" s="83">
        <f t="shared" si="1913"/>
        <v>3.9715721945523162E-2</v>
      </c>
      <c r="CU343" s="83">
        <f t="shared" si="1913"/>
        <v>3.9738685846137094E-2</v>
      </c>
      <c r="CV343" s="83">
        <f t="shared" si="1913"/>
        <v>3.9727392481555317E-2</v>
      </c>
      <c r="CW343" s="83">
        <f t="shared" si="1913"/>
        <v>4.0062968027993223E-2</v>
      </c>
      <c r="CX343" s="83">
        <f t="shared" si="1913"/>
        <v>4.0197118809521919E-2</v>
      </c>
      <c r="CY343" s="83">
        <f t="shared" si="1913"/>
        <v>4.0132383799701729E-2</v>
      </c>
      <c r="CZ343" s="83">
        <f t="shared" si="1913"/>
        <v>3.9790865967639109E-2</v>
      </c>
      <c r="DA343" s="83">
        <f t="shared" si="1913"/>
        <v>3.9503860281372122E-2</v>
      </c>
      <c r="DB343" s="83">
        <f t="shared" si="1913"/>
        <v>3.9638480531469442E-2</v>
      </c>
      <c r="DC343" s="83">
        <f t="shared" si="1913"/>
        <v>3.9370902919822044E-2</v>
      </c>
      <c r="DD343" s="83">
        <f t="shared" si="1913"/>
        <v>3.9429481057566787E-2</v>
      </c>
      <c r="DE343" s="83">
        <f t="shared" si="1913"/>
        <v>3.9401559878162837E-2</v>
      </c>
      <c r="DF343" s="83">
        <f t="shared" si="1913"/>
        <v>3.9383563763844096E-2</v>
      </c>
      <c r="DG343" s="83">
        <f t="shared" si="1913"/>
        <v>7.857703330058137E-2</v>
      </c>
      <c r="DH343" s="1066">
        <f t="shared" si="1913"/>
        <v>5.704869633490349E-2</v>
      </c>
      <c r="DI343" s="83">
        <f t="shared" si="1913"/>
        <v>5.9999999999999991E-2</v>
      </c>
      <c r="DJ343" s="83">
        <f t="shared" si="1913"/>
        <v>5.9999999999999984E-2</v>
      </c>
      <c r="DK343" s="1079">
        <f t="shared" si="1913"/>
        <v>5.9999999999999984E-2</v>
      </c>
      <c r="DL343" s="83">
        <f t="shared" si="1913"/>
        <v>6.0000000000000005E-2</v>
      </c>
      <c r="DM343" s="83">
        <f t="shared" si="1913"/>
        <v>5.9999999999999991E-2</v>
      </c>
      <c r="DN343" s="1079">
        <f t="shared" si="1913"/>
        <v>0.06</v>
      </c>
      <c r="DO343" s="83">
        <f t="shared" si="1913"/>
        <v>5.997983419224736E-2</v>
      </c>
      <c r="DP343" s="83">
        <f t="shared" si="1913"/>
        <v>6.0016931615087955E-2</v>
      </c>
      <c r="DQ343" s="1079">
        <f t="shared" si="1913"/>
        <v>5.9999782051136472E-2</v>
      </c>
      <c r="DR343" s="83">
        <f t="shared" si="1913"/>
        <v>0.06</v>
      </c>
      <c r="DS343" s="83">
        <f t="shared" si="1913"/>
        <v>6.0000000000000012E-2</v>
      </c>
      <c r="DT343" s="1079">
        <f t="shared" si="1913"/>
        <v>6.0000000000000005E-2</v>
      </c>
      <c r="DU343" s="83">
        <f t="shared" ref="DU343:DW343" si="1914">DU342/DU260</f>
        <v>6.0000000000000005E-2</v>
      </c>
      <c r="DV343" s="83">
        <f t="shared" si="1914"/>
        <v>5.9999999999999984E-2</v>
      </c>
      <c r="DW343" s="1079">
        <f t="shared" si="1914"/>
        <v>5.9999999999999991E-2</v>
      </c>
      <c r="DX343" s="83">
        <f t="shared" ref="DX343" si="1915">DX342/DX260</f>
        <v>5.9999999999999991E-2</v>
      </c>
      <c r="DY343" s="83">
        <f t="shared" ref="DY343:ER343" si="1916">DY342/DY260</f>
        <v>5.9909230184438882E-2</v>
      </c>
      <c r="DZ343" s="1079">
        <f t="shared" si="1916"/>
        <v>5.9946463705376228E-2</v>
      </c>
      <c r="EA343" s="83">
        <f t="shared" si="1916"/>
        <v>5.9910541227607292E-2</v>
      </c>
      <c r="EB343" s="83">
        <f t="shared" si="1916"/>
        <v>5.9910850427138992E-2</v>
      </c>
      <c r="EC343" s="1079">
        <f t="shared" si="1916"/>
        <v>5.9910711359606433E-2</v>
      </c>
      <c r="ED343" s="83">
        <f t="shared" si="1916"/>
        <v>5.9912012401341447E-2</v>
      </c>
      <c r="EE343" s="83">
        <f t="shared" si="1916"/>
        <v>5.9912317103618107E-2</v>
      </c>
      <c r="EF343" s="1079">
        <f t="shared" si="1916"/>
        <v>5.9912180059304695E-2</v>
      </c>
      <c r="EG343" s="83">
        <f t="shared" si="1916"/>
        <v>5.9912012401341426E-2</v>
      </c>
      <c r="EH343" s="83">
        <f t="shared" si="1916"/>
        <v>5.9912317103618086E-2</v>
      </c>
      <c r="EI343" s="1079">
        <f t="shared" si="1916"/>
        <v>5.9912180059304661E-2</v>
      </c>
      <c r="EJ343" s="83">
        <f t="shared" si="1916"/>
        <v>5.9912012401341426E-2</v>
      </c>
      <c r="EK343" s="83">
        <f t="shared" si="1916"/>
        <v>5.9912317103618093E-2</v>
      </c>
      <c r="EL343" s="1079">
        <f t="shared" si="1916"/>
        <v>5.9912180059304675E-2</v>
      </c>
      <c r="EM343" s="83">
        <f t="shared" si="1916"/>
        <v>5.9912012401341426E-2</v>
      </c>
      <c r="EN343" s="83">
        <f t="shared" si="1916"/>
        <v>5.9912317103618093E-2</v>
      </c>
      <c r="EO343" s="1079">
        <f t="shared" si="1916"/>
        <v>5.9912180059304668E-2</v>
      </c>
      <c r="EP343" s="83">
        <f t="shared" si="1916"/>
        <v>5.991201240134144E-2</v>
      </c>
      <c r="EQ343" s="83">
        <f t="shared" si="1916"/>
        <v>5.9912317103618093E-2</v>
      </c>
      <c r="ER343" s="1079">
        <f t="shared" si="1916"/>
        <v>5.9912180059304682E-2</v>
      </c>
      <c r="ES343" s="83">
        <f t="shared" ref="ES343:EX343" si="1917">ES342/ES260</f>
        <v>5.9912012401341426E-2</v>
      </c>
      <c r="ET343" s="83">
        <f t="shared" si="1917"/>
        <v>5.9912317103618086E-2</v>
      </c>
      <c r="EU343" s="1079">
        <f t="shared" si="1917"/>
        <v>5.9912180059304668E-2</v>
      </c>
      <c r="EV343" s="83">
        <f t="shared" si="1917"/>
        <v>5.9912012401341433E-2</v>
      </c>
      <c r="EW343" s="83">
        <f t="shared" si="1917"/>
        <v>5.9912317103618093E-2</v>
      </c>
      <c r="EX343" s="1079">
        <f t="shared" si="1917"/>
        <v>5.9912180059304675E-2</v>
      </c>
      <c r="EY343" s="83">
        <f t="shared" ref="EY343:FA343" si="1918">EY342/EY260</f>
        <v>5.9912012401341426E-2</v>
      </c>
      <c r="EZ343" s="83">
        <f t="shared" si="1918"/>
        <v>5.9912317103618107E-2</v>
      </c>
      <c r="FA343" s="1079">
        <f t="shared" si="1918"/>
        <v>5.9912180059304682E-2</v>
      </c>
    </row>
    <row r="344" spans="1:173" outlineLevel="1">
      <c r="B344" s="31"/>
      <c r="D344" s="162" t="s">
        <v>604</v>
      </c>
      <c r="BA344" s="35"/>
      <c r="BB344" s="35"/>
      <c r="BC344" s="322"/>
      <c r="BD344" s="35"/>
      <c r="BE344" s="35"/>
      <c r="BG344" s="35"/>
      <c r="BH344" s="35"/>
      <c r="BJ344" s="35"/>
      <c r="BK344" s="35"/>
      <c r="BL344" s="31"/>
      <c r="BM344" s="70">
        <f>BM345*BM262</f>
        <v>14.57397003532871</v>
      </c>
      <c r="BN344" s="70">
        <f>BN345*BN262</f>
        <v>11.722761440776964</v>
      </c>
      <c r="BO344" s="1024">
        <f>SUM(BM344:BN344)</f>
        <v>26.296731476105673</v>
      </c>
      <c r="BP344" s="70">
        <f>BP345*BP262</f>
        <v>16.496124885125809</v>
      </c>
      <c r="BQ344" s="70">
        <f>BQ345*BQ262</f>
        <v>15.468093354649989</v>
      </c>
      <c r="BR344" s="1024">
        <f>SUM(BP344:BQ344)</f>
        <v>31.964218239775796</v>
      </c>
      <c r="BS344" s="70">
        <f>BS345*BS262</f>
        <v>13.637478665351381</v>
      </c>
      <c r="BT344" s="70">
        <f>BT345*BT262</f>
        <v>12.185641444697911</v>
      </c>
      <c r="BU344" s="70">
        <f>SUM(BS344:BT344)</f>
        <v>25.823120110049292</v>
      </c>
      <c r="BV344" s="70">
        <f>BV345*BV262</f>
        <v>17.138948187039013</v>
      </c>
      <c r="BW344" s="70">
        <f>BW345*BW262</f>
        <v>18.302275603680478</v>
      </c>
      <c r="BX344" s="70">
        <f>SUM(BV344:BW344)</f>
        <v>35.441223790719491</v>
      </c>
      <c r="BY344" s="70">
        <f>BY345*BY262</f>
        <v>20.045302212293727</v>
      </c>
      <c r="BZ344" s="70">
        <f>BZ345*BZ262</f>
        <v>23.291992588483517</v>
      </c>
      <c r="CA344" s="70">
        <f>SUM(BY344:BZ344)</f>
        <v>43.337294800777244</v>
      </c>
      <c r="CB344" s="70">
        <f>CB345*CB262</f>
        <v>0</v>
      </c>
      <c r="CC344" s="70">
        <f>CC345*CC262</f>
        <v>3.7406297888608169</v>
      </c>
      <c r="CD344" s="70">
        <f>SUM(CB344:CC344)</f>
        <v>3.7406297888608169</v>
      </c>
      <c r="CE344" s="70">
        <f>CE345*CE262</f>
        <v>5.4362708920063785</v>
      </c>
      <c r="CF344" s="70">
        <f>CF345*CF262</f>
        <v>6.2474113042574206</v>
      </c>
      <c r="CG344" s="70">
        <f>SUM(CE344:CF344)</f>
        <v>11.683682196263799</v>
      </c>
      <c r="CH344" s="70">
        <f>CH345*CH262</f>
        <v>5.6772729068832968</v>
      </c>
      <c r="CI344" s="70">
        <f>CI345*CI262</f>
        <v>5.6622626319755032</v>
      </c>
      <c r="CJ344" s="70">
        <f>SUM(CH344:CI344)</f>
        <v>11.339535538858801</v>
      </c>
      <c r="CK344" s="70">
        <f>CK345*CK262</f>
        <v>5.5816673150806908</v>
      </c>
      <c r="CL344" s="70">
        <f>CL345*CL262</f>
        <v>5.6914178599191594</v>
      </c>
      <c r="CM344" s="70">
        <f>SUM(CK344:CL344)</f>
        <v>11.273085174999849</v>
      </c>
      <c r="CN344" s="70">
        <f>CN345*CN262</f>
        <v>6.7372941570000009</v>
      </c>
      <c r="CO344" s="70">
        <f>CO345*CO262</f>
        <v>7.5405048845195388</v>
      </c>
      <c r="CP344" s="70">
        <f>SUM(CN344:CO344)</f>
        <v>14.27779904151954</v>
      </c>
      <c r="CQ344" s="70">
        <f>CQ345*CQ262</f>
        <v>7.2332697690000005</v>
      </c>
      <c r="CR344" s="70">
        <f>CR345*CR262</f>
        <v>7.8081904229999948</v>
      </c>
      <c r="CS344" s="70">
        <f>SUM(CQ344:CR344)</f>
        <v>15.041460191999995</v>
      </c>
      <c r="CT344" s="70">
        <f>CT345*CT262</f>
        <v>8.3812390200000024</v>
      </c>
      <c r="CU344" s="70">
        <f>CU345*CU262</f>
        <v>8.6351088604483426</v>
      </c>
      <c r="CV344" s="70">
        <f>SUM(CT344:CU344)</f>
        <v>17.016347880448343</v>
      </c>
      <c r="CW344" s="70">
        <f>CW345*CW262</f>
        <v>8.2820935327802108</v>
      </c>
      <c r="CX344" s="70">
        <f>CX345*CX262</f>
        <v>8.7866884361221356</v>
      </c>
      <c r="CY344" s="70">
        <f>SUM(CW344:CX344)</f>
        <v>17.068781968902346</v>
      </c>
      <c r="CZ344" s="70">
        <f>CZ345*CZ262</f>
        <v>8.6293071208522427</v>
      </c>
      <c r="DA344" s="70">
        <f>DA345*DA262</f>
        <v>10.1001960882038</v>
      </c>
      <c r="DB344" s="70">
        <f>SUM(CZ344:DA344)</f>
        <v>18.729503209056041</v>
      </c>
      <c r="DC344" s="70">
        <f>DC345*DC262</f>
        <v>9.8577682347401137</v>
      </c>
      <c r="DD344" s="70">
        <f>DD345*DD262</f>
        <v>10.774503347247123</v>
      </c>
      <c r="DE344" s="70">
        <f>SUM(DC344:DD344)</f>
        <v>20.632271581987236</v>
      </c>
      <c r="DF344" s="70">
        <f>DF345*DF262</f>
        <v>10.408918741559807</v>
      </c>
      <c r="DG344" s="70">
        <f>DG345*DG262</f>
        <v>17.680772020681701</v>
      </c>
      <c r="DH344" s="1070">
        <f>SUM(DF344:DG344)</f>
        <v>28.08969076224151</v>
      </c>
      <c r="DI344" s="163">
        <f>DI345*DI262</f>
        <v>14.255999999999998</v>
      </c>
      <c r="DJ344" s="163">
        <f>DJ345*DJ262</f>
        <v>16.806000000000001</v>
      </c>
      <c r="DK344" s="1070">
        <f>SUM(DI344:DJ344)</f>
        <v>31.061999999999998</v>
      </c>
      <c r="DL344" s="233">
        <f>DL345*DL262</f>
        <v>17.207999999999998</v>
      </c>
      <c r="DM344" s="233">
        <f>DM345*DM262</f>
        <v>17.501999999999999</v>
      </c>
      <c r="DN344" s="1070">
        <f>SUM(DL344:DM344)</f>
        <v>34.709999999999994</v>
      </c>
      <c r="DO344" s="233">
        <f>DO345*DO262</f>
        <v>17.201999999999998</v>
      </c>
      <c r="DP344" s="233">
        <f>DP345*DP262</f>
        <v>21.161999999999999</v>
      </c>
      <c r="DQ344" s="1070">
        <f>SUM(DO344:DP344)</f>
        <v>38.363999999999997</v>
      </c>
      <c r="DR344" s="233">
        <f>DR345*DR262</f>
        <v>21.15</v>
      </c>
      <c r="DS344" s="233">
        <f>DS345*DS262</f>
        <v>23.586000000000002</v>
      </c>
      <c r="DT344" s="1070">
        <f>SUM(DR344:DS344)</f>
        <v>44.736000000000004</v>
      </c>
      <c r="DU344" s="233">
        <f>DU345*DU262</f>
        <v>21.611999999999998</v>
      </c>
      <c r="DV344" s="233">
        <f>DV345*DV262</f>
        <v>25.770000000000003</v>
      </c>
      <c r="DW344" s="1070">
        <f>SUM(DU344:DV344)</f>
        <v>47.382000000000005</v>
      </c>
      <c r="DX344" s="233">
        <f>DX345*DX262</f>
        <v>22.302</v>
      </c>
      <c r="DY344" s="233">
        <f>DY345*DY262</f>
        <v>29.987562117621252</v>
      </c>
      <c r="DZ344" s="1070">
        <f>SUM(DX344:DY344)</f>
        <v>52.289562117621252</v>
      </c>
      <c r="EA344" s="233">
        <f>EA345*EA262</f>
        <v>26.206069824735149</v>
      </c>
      <c r="EB344" s="233">
        <f>EB345*EB262</f>
        <v>32.060064464308454</v>
      </c>
      <c r="EC344" s="1070">
        <f>SUM(EA344:EB344)</f>
        <v>58.266134289043606</v>
      </c>
      <c r="ED344" s="233">
        <f>ED345*ED262</f>
        <v>28.510038583740862</v>
      </c>
      <c r="EE344" s="233">
        <f>EE345*EE262</f>
        <v>34.878932161177651</v>
      </c>
      <c r="EF344" s="1070">
        <f>SUM(ED344:EE344)</f>
        <v>63.38897074491851</v>
      </c>
      <c r="EG344" s="233">
        <f>EG345*EG262</f>
        <v>31.07594205627754</v>
      </c>
      <c r="EH344" s="233">
        <f>EH345*EH262</f>
        <v>38.018036055683645</v>
      </c>
      <c r="EI344" s="1070">
        <f>SUM(EG344:EH344)</f>
        <v>69.093978111961178</v>
      </c>
      <c r="EJ344" s="233">
        <f>EJ345*EJ262</f>
        <v>33.872776841342521</v>
      </c>
      <c r="EK344" s="233">
        <f>EK345*EK262</f>
        <v>41.439659300695176</v>
      </c>
      <c r="EL344" s="1070">
        <f>SUM(EJ344:EK344)</f>
        <v>75.312436142037697</v>
      </c>
      <c r="EM344" s="233">
        <f>EM345*EM262</f>
        <v>36.921326757063348</v>
      </c>
      <c r="EN344" s="233">
        <f>EN345*EN262</f>
        <v>45.16922863775774</v>
      </c>
      <c r="EO344" s="1070">
        <f>SUM(EM344:EN344)</f>
        <v>82.090555394821081</v>
      </c>
      <c r="EP344" s="233">
        <f>EP345*EP262</f>
        <v>40.244246165199058</v>
      </c>
      <c r="EQ344" s="233">
        <f>EQ345*EQ262</f>
        <v>49.234459215155944</v>
      </c>
      <c r="ER344" s="1070">
        <f>SUM(EP344:EQ344)</f>
        <v>89.478705380354995</v>
      </c>
      <c r="ES344" s="233">
        <f>ES345*ES262</f>
        <v>43.866228320066973</v>
      </c>
      <c r="ET344" s="233">
        <f>ET345*ET262</f>
        <v>53.665560544519984</v>
      </c>
      <c r="EU344" s="1070">
        <f>SUM(ES344:ET344)</f>
        <v>97.531788864586957</v>
      </c>
      <c r="EV344" s="233">
        <f>EV345*EV262</f>
        <v>47.814188868873011</v>
      </c>
      <c r="EW344" s="233">
        <f>EW345*EW262</f>
        <v>58.495460993526777</v>
      </c>
      <c r="EX344" s="1070">
        <f>SUM(EV344:EW344)</f>
        <v>106.30964986239979</v>
      </c>
      <c r="EY344" s="233">
        <f>EY345*EY262</f>
        <v>52.117465867071587</v>
      </c>
      <c r="EZ344" s="233">
        <f>EZ345*EZ262</f>
        <v>63.760052482944204</v>
      </c>
      <c r="FA344" s="1070">
        <f>SUM(EY344:EZ344)</f>
        <v>115.87751835001579</v>
      </c>
    </row>
    <row r="345" spans="1:173" ht="12" customHeight="1" outlineLevel="1">
      <c r="B345" s="31"/>
      <c r="C345" s="35" t="s">
        <v>292</v>
      </c>
      <c r="D345" s="162" t="s">
        <v>460</v>
      </c>
      <c r="BA345" s="91"/>
      <c r="BB345" s="91"/>
      <c r="BC345" s="942"/>
      <c r="BD345" s="91"/>
      <c r="BE345" s="91"/>
      <c r="BF345" s="87"/>
      <c r="BG345" s="91"/>
      <c r="BH345" s="91"/>
      <c r="BI345" s="87"/>
      <c r="BM345" s="125">
        <f>BM414</f>
        <v>0.20265</v>
      </c>
      <c r="BN345" s="125">
        <f>BN414</f>
        <v>0.16944999999999999</v>
      </c>
      <c r="BO345" s="107">
        <f>BO342/BO262</f>
        <v>0.10794975287028244</v>
      </c>
      <c r="BP345" s="125">
        <f>BP414</f>
        <v>0.20265</v>
      </c>
      <c r="BQ345" s="125">
        <f>BQ414</f>
        <v>0.16944999999999999</v>
      </c>
      <c r="BR345" s="107">
        <f>BR342/BR262</f>
        <v>0.11106003309150468</v>
      </c>
      <c r="BS345" s="32">
        <f>BS414</f>
        <v>0.13155843244181878</v>
      </c>
      <c r="BT345" s="32">
        <f>BT414</f>
        <v>0.11145641624697397</v>
      </c>
      <c r="BU345" s="65">
        <f>BU342/BU262</f>
        <v>7.2743915574432716E-2</v>
      </c>
      <c r="BV345" s="32">
        <f>BV414</f>
        <v>0.14009275941669949</v>
      </c>
      <c r="BW345" s="32">
        <f>BW414</f>
        <v>0.1357091262581599</v>
      </c>
      <c r="BX345" s="65">
        <f>BX342/BX262</f>
        <v>8.396217312939222E-2</v>
      </c>
      <c r="BY345" s="32">
        <f>BY414</f>
        <v>0.13098508323124594</v>
      </c>
      <c r="BZ345" s="32">
        <f>BZ414</f>
        <v>0.14042819087710065</v>
      </c>
      <c r="CA345" s="65">
        <f>CA342/CA262</f>
        <v>8.4472958951780114E-2</v>
      </c>
      <c r="CB345" s="196">
        <v>0</v>
      </c>
      <c r="CC345" s="93">
        <v>2.4969999999999999E-2</v>
      </c>
      <c r="CD345" s="65">
        <f>CD342/CD262</f>
        <v>8.6581137533161181E-3</v>
      </c>
      <c r="CE345" s="93">
        <v>3.9830999999999998E-2</v>
      </c>
      <c r="CF345" s="93">
        <f>CE345</f>
        <v>3.9830999999999998E-2</v>
      </c>
      <c r="CG345" s="65">
        <f>CG342/CG262</f>
        <v>2.8955296040507273E-2</v>
      </c>
      <c r="CH345" s="32">
        <f>CE345</f>
        <v>3.9830999999999998E-2</v>
      </c>
      <c r="CI345" s="32">
        <f>CF345</f>
        <v>3.9830999999999998E-2</v>
      </c>
      <c r="CJ345" s="65">
        <f>CJ342/CJ262</f>
        <v>3.0668288257279224E-2</v>
      </c>
      <c r="CK345" s="32">
        <f>CH345</f>
        <v>3.9830999999999998E-2</v>
      </c>
      <c r="CL345" s="32">
        <f>CI345</f>
        <v>3.9830999999999998E-2</v>
      </c>
      <c r="CM345" s="65">
        <f>CM342/CM262</f>
        <v>3.153777635312445E-2</v>
      </c>
      <c r="CN345" s="32">
        <f>CK345</f>
        <v>3.9830999999999998E-2</v>
      </c>
      <c r="CO345" s="32">
        <f>CL345</f>
        <v>3.9830999999999998E-2</v>
      </c>
      <c r="CP345" s="65">
        <f>CP344/CP262</f>
        <v>3.9831000000000005E-2</v>
      </c>
      <c r="CQ345" s="32">
        <f>CN345</f>
        <v>3.9830999999999998E-2</v>
      </c>
      <c r="CR345" s="32">
        <f>CO345</f>
        <v>3.9830999999999998E-2</v>
      </c>
      <c r="CS345" s="65">
        <f>CS344/CS262</f>
        <v>3.9830999999999998E-2</v>
      </c>
      <c r="CT345" s="32">
        <f>CQ345</f>
        <v>3.9830999999999998E-2</v>
      </c>
      <c r="CU345" s="32">
        <f>CR345</f>
        <v>3.9830999999999998E-2</v>
      </c>
      <c r="CV345" s="65">
        <f>CV344/CV262</f>
        <v>3.9830999999999998E-2</v>
      </c>
      <c r="CW345" s="32">
        <f>CT345</f>
        <v>3.9830999999999998E-2</v>
      </c>
      <c r="CX345" s="32">
        <f>CU345</f>
        <v>3.9830999999999998E-2</v>
      </c>
      <c r="CY345" s="65">
        <f>CY344/CY262</f>
        <v>3.9830999999999998E-2</v>
      </c>
      <c r="CZ345" s="32">
        <f>CW345</f>
        <v>3.9830999999999998E-2</v>
      </c>
      <c r="DA345" s="32">
        <f>CX345</f>
        <v>3.9830999999999998E-2</v>
      </c>
      <c r="DB345" s="65">
        <f>DB344/DB262</f>
        <v>3.9830999999999998E-2</v>
      </c>
      <c r="DC345" s="32">
        <f>CZ345</f>
        <v>3.9830999999999998E-2</v>
      </c>
      <c r="DD345" s="32">
        <f>DA345</f>
        <v>3.9830999999999998E-2</v>
      </c>
      <c r="DE345" s="65">
        <f>DE344/DE262</f>
        <v>3.9830999999999998E-2</v>
      </c>
      <c r="DF345" s="32">
        <f>DC345</f>
        <v>3.9830999999999998E-2</v>
      </c>
      <c r="DG345" s="32">
        <v>0.08</v>
      </c>
      <c r="DH345" s="1066">
        <f>DH344/DH262</f>
        <v>5.8236682520882425E-2</v>
      </c>
      <c r="DI345" s="269">
        <v>0.06</v>
      </c>
      <c r="DJ345" s="269">
        <v>0.06</v>
      </c>
      <c r="DK345" s="1066">
        <f>DK344/DK262</f>
        <v>5.9999999999999991E-2</v>
      </c>
      <c r="DL345" s="65">
        <f>+DJ345</f>
        <v>0.06</v>
      </c>
      <c r="DM345" s="65">
        <f>+DL345</f>
        <v>0.06</v>
      </c>
      <c r="DN345" s="1066">
        <f>DN344/DN262</f>
        <v>5.9999999999999991E-2</v>
      </c>
      <c r="DO345" s="65">
        <f>+DM345</f>
        <v>0.06</v>
      </c>
      <c r="DP345" s="65">
        <f>+DO345</f>
        <v>0.06</v>
      </c>
      <c r="DQ345" s="1066">
        <f>DQ344/DQ262</f>
        <v>0.06</v>
      </c>
      <c r="DR345" s="65">
        <f>+DP345</f>
        <v>0.06</v>
      </c>
      <c r="DS345" s="65">
        <f>+DR345</f>
        <v>0.06</v>
      </c>
      <c r="DT345" s="1066">
        <f>DT344/DT262</f>
        <v>6.0000000000000005E-2</v>
      </c>
      <c r="DU345" s="65">
        <f>+DS345</f>
        <v>0.06</v>
      </c>
      <c r="DV345" s="65">
        <f>+DU345</f>
        <v>0.06</v>
      </c>
      <c r="DW345" s="1066">
        <f>DW344/DW262</f>
        <v>6.0000000000000005E-2</v>
      </c>
      <c r="DX345" s="65">
        <f>+DV345</f>
        <v>0.06</v>
      </c>
      <c r="DY345" s="1163">
        <f>+DX345</f>
        <v>0.06</v>
      </c>
      <c r="DZ345" s="1146">
        <f>DZ344/DZ262</f>
        <v>0.06</v>
      </c>
      <c r="EA345" s="1163">
        <f t="shared" ref="EA345" si="1919">+DY345</f>
        <v>0.06</v>
      </c>
      <c r="EB345" s="1163">
        <f t="shared" ref="EB345" si="1920">+EA345</f>
        <v>0.06</v>
      </c>
      <c r="EC345" s="1146">
        <f t="shared" ref="EC345" si="1921">EC344/EC262</f>
        <v>5.9999999999999991E-2</v>
      </c>
      <c r="ED345" s="1163">
        <f t="shared" ref="ED345" si="1922">+EB345</f>
        <v>0.06</v>
      </c>
      <c r="EE345" s="1163">
        <f t="shared" ref="EE345" si="1923">+ED345</f>
        <v>0.06</v>
      </c>
      <c r="EF345" s="1146">
        <f t="shared" ref="EF345" si="1924">EF344/EF262</f>
        <v>0.06</v>
      </c>
      <c r="EG345" s="1163">
        <f t="shared" ref="EG345" si="1925">+EE345</f>
        <v>0.06</v>
      </c>
      <c r="EH345" s="1163">
        <f t="shared" ref="EH345" si="1926">+EG345</f>
        <v>0.06</v>
      </c>
      <c r="EI345" s="1146">
        <f t="shared" ref="EI345" si="1927">EI344/EI262</f>
        <v>5.9999999999999991E-2</v>
      </c>
      <c r="EJ345" s="1163">
        <f t="shared" ref="EJ345" si="1928">+EH345</f>
        <v>0.06</v>
      </c>
      <c r="EK345" s="1163">
        <f t="shared" ref="EK345" si="1929">+EJ345</f>
        <v>0.06</v>
      </c>
      <c r="EL345" s="1146">
        <f t="shared" ref="EL345" si="1930">EL344/EL262</f>
        <v>0.06</v>
      </c>
      <c r="EM345" s="1163">
        <f t="shared" ref="EM345" si="1931">+EK345</f>
        <v>0.06</v>
      </c>
      <c r="EN345" s="1163">
        <f t="shared" ref="EN345" si="1932">+EM345</f>
        <v>0.06</v>
      </c>
      <c r="EO345" s="1146">
        <f t="shared" ref="EO345" si="1933">EO344/EO262</f>
        <v>0.06</v>
      </c>
      <c r="EP345" s="1163">
        <f t="shared" ref="EP345" si="1934">+EN345</f>
        <v>0.06</v>
      </c>
      <c r="EQ345" s="1163">
        <f t="shared" ref="EQ345" si="1935">+EP345</f>
        <v>0.06</v>
      </c>
      <c r="ER345" s="1146">
        <f t="shared" ref="ER345" si="1936">ER344/ER262</f>
        <v>5.9999999999999991E-2</v>
      </c>
      <c r="ES345" s="1163">
        <f t="shared" ref="ES345" si="1937">+EQ345</f>
        <v>0.06</v>
      </c>
      <c r="ET345" s="1163">
        <f t="shared" ref="ET345" si="1938">+ES345</f>
        <v>0.06</v>
      </c>
      <c r="EU345" s="1146">
        <f t="shared" ref="EU345" si="1939">EU344/EU262</f>
        <v>5.9999999999999991E-2</v>
      </c>
      <c r="EV345" s="1163">
        <f t="shared" ref="EV345" si="1940">+ET345</f>
        <v>0.06</v>
      </c>
      <c r="EW345" s="1163">
        <f t="shared" ref="EW345" si="1941">+EV345</f>
        <v>0.06</v>
      </c>
      <c r="EX345" s="1146">
        <f t="shared" ref="EX345" si="1942">EX344/EX262</f>
        <v>6.0000000000000005E-2</v>
      </c>
      <c r="EY345" s="1163">
        <f t="shared" ref="EY345" si="1943">+EW345</f>
        <v>0.06</v>
      </c>
      <c r="EZ345" s="1163">
        <f t="shared" ref="EZ345" si="1944">+EY345</f>
        <v>0.06</v>
      </c>
      <c r="FA345" s="1146">
        <f t="shared" ref="FA345" si="1945">FA344/FA262</f>
        <v>0.06</v>
      </c>
    </row>
    <row r="346" spans="1:173" ht="13.5" customHeight="1" outlineLevel="1">
      <c r="B346" s="31"/>
      <c r="BA346" s="91"/>
      <c r="BB346" s="91"/>
      <c r="BC346" s="942"/>
      <c r="BD346" s="91"/>
      <c r="BE346" s="91"/>
      <c r="BF346" s="87"/>
      <c r="BG346" s="91"/>
      <c r="BH346" s="91"/>
      <c r="BI346" s="87"/>
      <c r="BM346" s="122"/>
      <c r="BN346" s="122"/>
      <c r="BO346" s="124"/>
      <c r="BP346" s="122"/>
      <c r="BQ346" s="122"/>
      <c r="BR346" s="124"/>
      <c r="BS346" s="71"/>
      <c r="BT346" s="71"/>
      <c r="BU346" s="70"/>
      <c r="BV346" s="71"/>
      <c r="BW346" s="71"/>
      <c r="BX346" s="70"/>
      <c r="BY346" s="71"/>
      <c r="BZ346" s="71"/>
      <c r="CA346" s="70"/>
      <c r="CB346" s="71"/>
      <c r="CC346" s="71"/>
      <c r="CD346" s="79"/>
      <c r="CE346" s="71"/>
      <c r="CF346" s="71"/>
      <c r="CG346" s="70"/>
      <c r="CH346" s="71"/>
      <c r="CI346" s="71"/>
      <c r="CJ346" s="70"/>
      <c r="CK346" s="71"/>
      <c r="CL346" s="71"/>
      <c r="CM346" s="70"/>
      <c r="CN346" s="71"/>
      <c r="CO346" s="71"/>
      <c r="CP346" s="70"/>
      <c r="CQ346" s="71"/>
      <c r="CR346" s="71"/>
      <c r="CS346" s="70"/>
      <c r="CT346" s="71"/>
      <c r="CU346" s="71"/>
      <c r="CV346" s="70"/>
      <c r="CW346" s="71"/>
      <c r="CX346" s="71"/>
      <c r="CY346" s="70"/>
      <c r="CZ346" s="71"/>
      <c r="DA346" s="71"/>
      <c r="DB346" s="70"/>
      <c r="DC346" s="71"/>
      <c r="DD346" s="71"/>
      <c r="DE346" s="70"/>
      <c r="DF346" s="71"/>
      <c r="DG346" s="71"/>
      <c r="DH346" s="1074"/>
      <c r="DI346" s="71"/>
      <c r="DJ346" s="71"/>
      <c r="DK346" s="1074"/>
      <c r="DL346" s="71"/>
      <c r="DM346" s="71"/>
      <c r="DN346" s="1109"/>
      <c r="DO346" s="71"/>
      <c r="DP346" s="71"/>
      <c r="DQ346" s="1074"/>
      <c r="DR346" s="71"/>
      <c r="DS346" s="71"/>
      <c r="DT346" s="1074"/>
      <c r="DU346" s="71"/>
      <c r="DV346" s="71"/>
      <c r="DW346" s="1074"/>
      <c r="DX346" s="71"/>
      <c r="DY346" s="71"/>
      <c r="DZ346" s="1074"/>
      <c r="EA346" s="71"/>
      <c r="EB346" s="71"/>
      <c r="EC346" s="1074"/>
      <c r="ED346" s="71"/>
      <c r="EE346" s="71"/>
      <c r="EF346" s="1074"/>
      <c r="EG346" s="71"/>
      <c r="EH346" s="71"/>
      <c r="EI346" s="1074"/>
      <c r="EJ346" s="71"/>
      <c r="EK346" s="71"/>
      <c r="EL346" s="1074"/>
      <c r="EM346" s="71"/>
      <c r="EN346" s="71"/>
      <c r="EO346" s="1074"/>
      <c r="EP346" s="71"/>
      <c r="EQ346" s="71"/>
      <c r="ER346" s="1074"/>
      <c r="ES346" s="71"/>
      <c r="ET346" s="71"/>
      <c r="EU346" s="1074"/>
      <c r="EV346" s="71"/>
      <c r="EW346" s="71"/>
      <c r="EX346" s="1074"/>
      <c r="EY346" s="71"/>
      <c r="EZ346" s="71"/>
      <c r="FA346" s="1074"/>
    </row>
    <row r="347" spans="1:173" outlineLevel="1">
      <c r="A347" s="1426" t="s">
        <v>26</v>
      </c>
      <c r="D347" s="162" t="s">
        <v>604</v>
      </c>
      <c r="BA347" s="35"/>
      <c r="BB347" s="35"/>
      <c r="BC347" s="322"/>
      <c r="BD347" s="35"/>
      <c r="BE347" s="35"/>
      <c r="BG347" s="35"/>
      <c r="BH347" s="35"/>
      <c r="BJ347" s="35"/>
      <c r="BK347" s="35"/>
      <c r="BL347" s="31"/>
      <c r="BM347" s="190">
        <f>BM328-BM334-BM339-BM342</f>
        <v>39.597915327844788</v>
      </c>
      <c r="BN347" s="190">
        <f>BN328-BN334-BN339-BN342</f>
        <v>37.279281999604436</v>
      </c>
      <c r="BO347" s="1024">
        <f>SUM(BM347:BN347)</f>
        <v>76.877197327449224</v>
      </c>
      <c r="BP347" s="190">
        <f>BP328-BP334-BP339-BP342</f>
        <v>43.247181076473098</v>
      </c>
      <c r="BQ347" s="190">
        <f>BQ328-BQ334-BQ339-BQ342</f>
        <v>50.088972158835006</v>
      </c>
      <c r="BR347" s="1024">
        <f>SUM(BP347:BQ347)</f>
        <v>93.336153235308103</v>
      </c>
      <c r="BS347" s="190">
        <f>BS328-BS334-BS339-BS342</f>
        <v>33.397999999999996</v>
      </c>
      <c r="BT347" s="190">
        <f>BT328-BT334-BT339-BT342</f>
        <v>30.009000000000004</v>
      </c>
      <c r="BU347" s="70">
        <f>SUM(BS347:BT347)</f>
        <v>63.406999999999996</v>
      </c>
      <c r="BV347" s="190">
        <f>BV328-BV334-BV339-BV342</f>
        <v>39.22699999999999</v>
      </c>
      <c r="BW347" s="190">
        <f>BW328-BW334-BW339-BW342</f>
        <v>43.28</v>
      </c>
      <c r="BX347" s="70">
        <f>SUM(BV347:BW347)</f>
        <v>82.506999999999991</v>
      </c>
      <c r="BY347" s="187">
        <f>BY328-BY334-BY339-BY342</f>
        <v>48.658000000000001</v>
      </c>
      <c r="BZ347" s="187">
        <f>BZ328-BZ334-BZ339-BZ342</f>
        <v>63.789356159455423</v>
      </c>
      <c r="CA347" s="74">
        <f>SUM(BY347:BZ347)</f>
        <v>112.44735615945542</v>
      </c>
      <c r="CB347" s="187">
        <f>CB328-CB334-CB339-CB342</f>
        <v>66.995956051171206</v>
      </c>
      <c r="CC347" s="187">
        <f>CC328-CC334-CC339-CC342</f>
        <v>71.454578976610691</v>
      </c>
      <c r="CD347" s="74">
        <f>SUM(CB347:CC347)</f>
        <v>138.45053502778188</v>
      </c>
      <c r="CE347" s="187">
        <f>CE328-CE334-CE339-CE342</f>
        <v>61.047820162023498</v>
      </c>
      <c r="CF347" s="187">
        <f>CF328-CF334-CF339-CF342</f>
        <v>73.178811692223988</v>
      </c>
      <c r="CG347" s="70">
        <f>SUM(CE347:CF347)</f>
        <v>134.2266318542475</v>
      </c>
      <c r="CH347" s="187">
        <f>CH328-CH334-CH339-CH342</f>
        <v>68.307733851269603</v>
      </c>
      <c r="CI347" s="187">
        <f>CI328-CI334-CI339-CI342</f>
        <v>64.487098993402753</v>
      </c>
      <c r="CJ347" s="70">
        <f>SUM(CH347:CI347)</f>
        <v>132.79483284467236</v>
      </c>
      <c r="CK347" s="187">
        <f>CK328-CK334-CK339-CK344</f>
        <v>65.498937476012401</v>
      </c>
      <c r="CL347" s="187">
        <f>CL328-CL334-CL339-CL344</f>
        <v>65.023633936595658</v>
      </c>
      <c r="CM347" s="70">
        <f>SUM(CK347:CL347)</f>
        <v>130.52257141260804</v>
      </c>
      <c r="CN347" s="190">
        <f>CN328-CN334-CN339-CN344</f>
        <v>72.656000000000063</v>
      </c>
      <c r="CO347" s="190">
        <f>CO328-CO334-CO339-CO344</f>
        <v>94.525999999999996</v>
      </c>
      <c r="CP347" s="70">
        <f>SUM(CN347:CO347)</f>
        <v>167.18200000000007</v>
      </c>
      <c r="CQ347" s="190">
        <f>CQ328-CQ334-CQ339-CQ344</f>
        <v>84.90000000000002</v>
      </c>
      <c r="CR347" s="190">
        <f>CR328-CR334-CR339-CR344</f>
        <v>87.213000000000008</v>
      </c>
      <c r="CS347" s="70">
        <f>SUM(CQ347:CR347)</f>
        <v>172.11300000000003</v>
      </c>
      <c r="CT347" s="190">
        <f>CT328-CT334-CT339-CT344</f>
        <v>86.441000000000059</v>
      </c>
      <c r="CU347" s="1034">
        <f>CU328-CU334-CU339-CU344</f>
        <v>94.110889411793607</v>
      </c>
      <c r="CV347" s="70">
        <f>SUM(CT347:CU347)</f>
        <v>180.55188941179367</v>
      </c>
      <c r="CW347" s="190">
        <f>CW328-CW334-CW339-CW344</f>
        <v>88.854863558693921</v>
      </c>
      <c r="CX347" s="190">
        <f>CX328-CX334-CX339-CX344</f>
        <v>92.697911751005662</v>
      </c>
      <c r="CY347" s="70">
        <f>SUM(CW347:CX347)</f>
        <v>181.5527753096996</v>
      </c>
      <c r="CZ347" s="190">
        <f>CZ328-CZ334-CZ339-CZ344</f>
        <v>93.63586214202121</v>
      </c>
      <c r="DA347" s="190">
        <f>DA328-DA334-DA339-DA344</f>
        <v>115.89226369684556</v>
      </c>
      <c r="DB347" s="70">
        <f>SUM(CZ347:DA347)</f>
        <v>209.52812583886677</v>
      </c>
      <c r="DC347" s="190">
        <f>DC328-DC334-DC339-DC344</f>
        <v>114.31124490543851</v>
      </c>
      <c r="DD347" s="190">
        <f>DD328-DD334-DD339-DD344</f>
        <v>123.92532921463366</v>
      </c>
      <c r="DE347" s="70">
        <f>SUM(DC347:DD347)</f>
        <v>238.23657412007219</v>
      </c>
      <c r="DF347" s="190">
        <f>DF328-DF334-DF339-DF344</f>
        <v>112.29075810971592</v>
      </c>
      <c r="DG347" s="190">
        <f>DG328-DG334-DG339-DG344</f>
        <v>81.847897625087228</v>
      </c>
      <c r="DH347" s="1125">
        <f>SUM(DF347:DG347)</f>
        <v>194.13865573480314</v>
      </c>
      <c r="DI347" s="1127">
        <v>100.5</v>
      </c>
      <c r="DJ347" s="1128">
        <f>+DK347-DI347</f>
        <v>127.1</v>
      </c>
      <c r="DK347" s="1125">
        <v>227.6</v>
      </c>
      <c r="DL347" s="1129">
        <v>137.9</v>
      </c>
      <c r="DM347" s="1128">
        <f>+DN347-DL347</f>
        <v>136.49999999999997</v>
      </c>
      <c r="DN347" s="1125">
        <v>274.39999999999998</v>
      </c>
      <c r="DO347" s="1129">
        <v>127.4</v>
      </c>
      <c r="DP347" s="1128">
        <f>+DQ347-DO347</f>
        <v>165.1</v>
      </c>
      <c r="DQ347" s="1125">
        <v>292.5</v>
      </c>
      <c r="DR347" s="1129">
        <v>160.9</v>
      </c>
      <c r="DS347" s="1128">
        <f>+DT347-DR347</f>
        <v>188.79999999999998</v>
      </c>
      <c r="DT347" s="1125">
        <v>349.7</v>
      </c>
      <c r="DU347" s="1129">
        <v>148</v>
      </c>
      <c r="DV347" s="1128">
        <f>+DW347-DU347</f>
        <v>199.2</v>
      </c>
      <c r="DW347" s="1125">
        <v>347.2</v>
      </c>
      <c r="DX347" s="1129">
        <v>161.9</v>
      </c>
      <c r="DY347" s="1130">
        <f>DY328-DY334-DY339-DY344</f>
        <v>218.23041354447861</v>
      </c>
      <c r="DZ347" s="1115">
        <f>SUM(DX347:DY347)</f>
        <v>380.13041354447864</v>
      </c>
      <c r="EA347" s="1130">
        <f>EA328-EA334-EA339-EA344</f>
        <v>192.89718616446032</v>
      </c>
      <c r="EB347" s="1130">
        <f>EB328-EB334-EB339-EB344</f>
        <v>235.98781232076536</v>
      </c>
      <c r="EC347" s="1115">
        <f>SUM(EA347:EB347)</f>
        <v>428.88499848522565</v>
      </c>
      <c r="ED347" s="1130">
        <f>ED328-ED334-ED339-ED344</f>
        <v>212.23475892727893</v>
      </c>
      <c r="EE347" s="1130">
        <f>EE328-EE334-EE339-EE344</f>
        <v>259.64684003021512</v>
      </c>
      <c r="EF347" s="1115">
        <f>SUM(ED347:EE347)</f>
        <v>471.88159895749402</v>
      </c>
      <c r="EG347" s="1130">
        <f>EG328-EG334-EG339-EG344</f>
        <v>232.63071814974552</v>
      </c>
      <c r="EH347" s="1130">
        <f>EH328-EH334-EH339-EH344</f>
        <v>284.59914046858796</v>
      </c>
      <c r="EI347" s="1115">
        <f>SUM(EG347:EH347)</f>
        <v>517.22985861833354</v>
      </c>
      <c r="EJ347" s="1130">
        <f>EJ328-EJ334-EJ339-EJ344</f>
        <v>254.13202906391169</v>
      </c>
      <c r="EK347" s="1130">
        <f>EK328-EK334-EK339-EK344</f>
        <v>310.90372409910577</v>
      </c>
      <c r="EL347" s="1115">
        <f>SUM(EJ347:EK347)</f>
        <v>565.03575316301749</v>
      </c>
      <c r="EM347" s="1130">
        <f>EM328-EM334-EM339-EM344</f>
        <v>277.61926712561484</v>
      </c>
      <c r="EN347" s="1130">
        <f>EN328-EN334-EN339-EN344</f>
        <v>339.63787974532141</v>
      </c>
      <c r="EO347" s="1115">
        <f>SUM(EM347:EN347)</f>
        <v>617.25714687093625</v>
      </c>
      <c r="EP347" s="1130">
        <f>EP328-EP334-EP339-EP344</f>
        <v>302.6050011669202</v>
      </c>
      <c r="EQ347" s="1130">
        <f>EQ328-EQ334-EQ339-EQ344</f>
        <v>370.20528892240037</v>
      </c>
      <c r="ER347" s="1115">
        <f>SUM(EP347:EQ347)</f>
        <v>672.81029008932057</v>
      </c>
      <c r="ES347" s="1130">
        <f>ES328-ES334-ES339-ES344</f>
        <v>329.83945127194301</v>
      </c>
      <c r="ET347" s="1130">
        <f>ET328-ET334-ET339-ET344</f>
        <v>403.52376492541646</v>
      </c>
      <c r="EU347" s="1115">
        <f>SUM(ES347:ET347)</f>
        <v>733.36321619735941</v>
      </c>
      <c r="EV347" s="1130">
        <f>EV328-EV334-EV339-EV344</f>
        <v>359.5250018864179</v>
      </c>
      <c r="EW347" s="1130">
        <f>EW328-EW334-EW339-EW344</f>
        <v>439.84090376870381</v>
      </c>
      <c r="EX347" s="1115">
        <f>SUM(EV347:EW347)</f>
        <v>799.36590565512165</v>
      </c>
      <c r="EY347" s="1130">
        <f>EY328-EY334-EY339-EY344</f>
        <v>391.88225205619551</v>
      </c>
      <c r="EZ347" s="1130">
        <f>EZ328-EZ334-EZ339-EZ344</f>
        <v>479.42658510788743</v>
      </c>
      <c r="FA347" s="1115">
        <f>SUM(EY347:EZ347)</f>
        <v>871.30883716408289</v>
      </c>
    </row>
    <row r="348" spans="1:173" outlineLevel="1">
      <c r="B348" s="31"/>
      <c r="C348" s="35" t="s">
        <v>401</v>
      </c>
      <c r="D348" s="162" t="s">
        <v>460</v>
      </c>
      <c r="BA348" s="35"/>
      <c r="BB348" s="35"/>
      <c r="BC348" s="322"/>
      <c r="BD348" s="35"/>
      <c r="BE348" s="35"/>
      <c r="BG348" s="35"/>
      <c r="BH348" s="35"/>
      <c r="BJ348" s="35"/>
      <c r="BK348" s="35"/>
      <c r="BL348" s="31"/>
      <c r="BM348" s="65">
        <f t="shared" ref="BM348:CG348" si="1946">BM347/BM262</f>
        <v>0.55060615067380692</v>
      </c>
      <c r="BN348" s="65">
        <f t="shared" si="1946"/>
        <v>0.53886401823888808</v>
      </c>
      <c r="BO348" s="65">
        <f t="shared" si="1946"/>
        <v>0.54484891672102009</v>
      </c>
      <c r="BP348" s="65">
        <f t="shared" si="1946"/>
        <v>0.53127878857474065</v>
      </c>
      <c r="BQ348" s="65">
        <f t="shared" si="1946"/>
        <v>0.54871509614745584</v>
      </c>
      <c r="BR348" s="65">
        <f t="shared" si="1946"/>
        <v>0.54049584388332683</v>
      </c>
      <c r="BS348" s="65">
        <f t="shared" si="1946"/>
        <v>0.3221848139608916</v>
      </c>
      <c r="BT348" s="65">
        <f t="shared" si="1946"/>
        <v>0.27447841874674161</v>
      </c>
      <c r="BU348" s="65">
        <f t="shared" si="1946"/>
        <v>0.29769662710336536</v>
      </c>
      <c r="BV348" s="65">
        <f t="shared" si="1946"/>
        <v>0.32063920222331205</v>
      </c>
      <c r="BW348" s="65">
        <f t="shared" si="1946"/>
        <v>0.32091588563293394</v>
      </c>
      <c r="BX348" s="65">
        <f t="shared" si="1946"/>
        <v>0.32078428018226779</v>
      </c>
      <c r="BY348" s="65">
        <f t="shared" si="1946"/>
        <v>0.31795340935080207</v>
      </c>
      <c r="BZ348" s="65">
        <f t="shared" si="1946"/>
        <v>0.3845881303910626</v>
      </c>
      <c r="CA348" s="65">
        <f t="shared" si="1946"/>
        <v>0.3526111031867889</v>
      </c>
      <c r="CB348" s="65">
        <f t="shared" si="1946"/>
        <v>0.47296402318071018</v>
      </c>
      <c r="CC348" s="65">
        <f t="shared" si="1946"/>
        <v>0.47698407427518802</v>
      </c>
      <c r="CD348" s="65">
        <f t="shared" si="1946"/>
        <v>0.47503028054621865</v>
      </c>
      <c r="CE348" s="65">
        <f t="shared" si="1946"/>
        <v>0.44729112532803206</v>
      </c>
      <c r="CF348" s="65">
        <f t="shared" si="1946"/>
        <v>0.46655888440170989</v>
      </c>
      <c r="CG348" s="65">
        <f t="shared" si="1946"/>
        <v>0.45759383759138833</v>
      </c>
      <c r="CH348" s="65">
        <f t="shared" ref="CH348:DM348" si="1947">CH347/CH260</f>
        <v>0.64606206358886964</v>
      </c>
      <c r="CI348" s="65">
        <f t="shared" si="1947"/>
        <v>0.57255252063484929</v>
      </c>
      <c r="CJ348" s="65">
        <f t="shared" si="1947"/>
        <v>0.60814561647090715</v>
      </c>
      <c r="CK348" s="65">
        <f t="shared" si="1947"/>
        <v>0.58262524769417434</v>
      </c>
      <c r="CL348" s="65">
        <f t="shared" si="1947"/>
        <v>0.5822615626725649</v>
      </c>
      <c r="CM348" s="65">
        <f t="shared" si="1947"/>
        <v>0.58244401059897588</v>
      </c>
      <c r="CN348" s="65">
        <f t="shared" si="1947"/>
        <v>0.62589051216688374</v>
      </c>
      <c r="CO348" s="65">
        <f t="shared" si="1947"/>
        <v>0.7481593131824853</v>
      </c>
      <c r="CP348" s="65">
        <f t="shared" si="1947"/>
        <v>0.68961236109187218</v>
      </c>
      <c r="CQ348" s="65">
        <f t="shared" si="1947"/>
        <v>0.67709755414928141</v>
      </c>
      <c r="CR348" s="65">
        <f t="shared" si="1947"/>
        <v>0.66454772214555968</v>
      </c>
      <c r="CS348" s="65">
        <f t="shared" si="1947"/>
        <v>0.67067963255001384</v>
      </c>
      <c r="CT348" s="65">
        <f t="shared" si="1947"/>
        <v>0.6251172233156076</v>
      </c>
      <c r="CU348" s="65">
        <f t="shared" si="1947"/>
        <v>0.6585884424465388</v>
      </c>
      <c r="CV348" s="65">
        <f t="shared" si="1947"/>
        <v>0.64212770753058723</v>
      </c>
      <c r="CW348" s="65">
        <f t="shared" si="1947"/>
        <v>0.62551914107337825</v>
      </c>
      <c r="CX348" s="65">
        <f t="shared" si="1947"/>
        <v>0.60856982146349814</v>
      </c>
      <c r="CY348" s="65">
        <f t="shared" si="1947"/>
        <v>0.61674878515560627</v>
      </c>
      <c r="CZ348" s="65">
        <f t="shared" si="1947"/>
        <v>0.65101919817771448</v>
      </c>
      <c r="DA348" s="65">
        <f t="shared" si="1947"/>
        <v>0.71182454437925047</v>
      </c>
      <c r="DB348" s="65">
        <f t="shared" si="1947"/>
        <v>0.68330374738956801</v>
      </c>
      <c r="DC348" s="65">
        <f t="shared" si="1947"/>
        <v>0.72611310388703443</v>
      </c>
      <c r="DD348" s="65">
        <f t="shared" si="1947"/>
        <v>0.71693551828316482</v>
      </c>
      <c r="DE348" s="65">
        <f t="shared" si="1947"/>
        <v>0.72131000036822823</v>
      </c>
      <c r="DF348" s="65">
        <f t="shared" si="1947"/>
        <v>0.68248574637987236</v>
      </c>
      <c r="DG348" s="65">
        <f t="shared" si="1947"/>
        <v>0.60624850635727368</v>
      </c>
      <c r="DH348" s="1066">
        <f t="shared" si="1947"/>
        <v>0.64812438547538453</v>
      </c>
      <c r="DI348" s="65">
        <f t="shared" si="1947"/>
        <v>0.6905288709090287</v>
      </c>
      <c r="DJ348" s="65">
        <f t="shared" si="1947"/>
        <v>0.72365052971685617</v>
      </c>
      <c r="DK348" s="1066">
        <f t="shared" si="1947"/>
        <v>0.70864156745496865</v>
      </c>
      <c r="DL348" s="65">
        <f t="shared" si="1947"/>
        <v>0.75128573919107411</v>
      </c>
      <c r="DM348" s="65">
        <f t="shared" si="1947"/>
        <v>0.72775508615500573</v>
      </c>
      <c r="DN348" s="1066">
        <f t="shared" ref="DN348:ER348" si="1948">DN347/DN260</f>
        <v>0.73939325023422653</v>
      </c>
      <c r="DO348" s="65">
        <f t="shared" si="1948"/>
        <v>0.67238587651186188</v>
      </c>
      <c r="DP348" s="65">
        <f t="shared" si="1948"/>
        <v>0.74912281235444123</v>
      </c>
      <c r="DQ348" s="1066">
        <f t="shared" si="1948"/>
        <v>0.71364851554605946</v>
      </c>
      <c r="DR348" s="65">
        <f t="shared" si="1948"/>
        <v>0.7562848019742594</v>
      </c>
      <c r="DS348" s="65">
        <f t="shared" si="1948"/>
        <v>0.78819483995888462</v>
      </c>
      <c r="DT348" s="1066">
        <f t="shared" si="1948"/>
        <v>0.77318467051566531</v>
      </c>
      <c r="DU348" s="65">
        <f t="shared" ref="DU348:DW348" si="1949">DU347/DU260</f>
        <v>0.67297415529671212</v>
      </c>
      <c r="DV348" s="65">
        <f t="shared" si="1949"/>
        <v>0.79964674240295419</v>
      </c>
      <c r="DW348" s="1066">
        <f t="shared" si="1949"/>
        <v>0.74025227350592138</v>
      </c>
      <c r="DX348" s="65">
        <f t="shared" ref="DX348" si="1950">DX347/DX260</f>
        <v>0.77510828594229664</v>
      </c>
      <c r="DY348" s="65">
        <f t="shared" si="1948"/>
        <v>0.72663548679509149</v>
      </c>
      <c r="DZ348" s="1066">
        <f t="shared" si="1948"/>
        <v>0.74651889154569484</v>
      </c>
      <c r="EA348" s="65">
        <f t="shared" si="1948"/>
        <v>0.73498079526900439</v>
      </c>
      <c r="EB348" s="65">
        <f t="shared" si="1948"/>
        <v>0.73498659276022382</v>
      </c>
      <c r="EC348" s="1066">
        <f t="shared" si="1948"/>
        <v>0.73498398524398822</v>
      </c>
      <c r="ED348" s="65">
        <f t="shared" si="1948"/>
        <v>0.74332949261003955</v>
      </c>
      <c r="EE348" s="65">
        <f t="shared" si="1948"/>
        <v>0.7433352480974873</v>
      </c>
      <c r="EF348" s="1066">
        <f t="shared" si="1948"/>
        <v>0.74333265948267846</v>
      </c>
      <c r="EG348" s="65">
        <f t="shared" si="1948"/>
        <v>0.74749004902679894</v>
      </c>
      <c r="EH348" s="65">
        <f t="shared" si="1948"/>
        <v>0.7474958256741272</v>
      </c>
      <c r="EI348" s="1066">
        <f t="shared" si="1948"/>
        <v>0.74749322754235203</v>
      </c>
      <c r="EJ348" s="65">
        <f t="shared" si="1948"/>
        <v>0.7491542715935029</v>
      </c>
      <c r="EK348" s="65">
        <f t="shared" si="1948"/>
        <v>0.74916005670478325</v>
      </c>
      <c r="EL348" s="1066">
        <f t="shared" si="1948"/>
        <v>0.74915745476622164</v>
      </c>
      <c r="EM348" s="65">
        <f t="shared" si="1948"/>
        <v>0.75081849416020696</v>
      </c>
      <c r="EN348" s="65">
        <f t="shared" si="1948"/>
        <v>0.75082428773543963</v>
      </c>
      <c r="EO348" s="1066">
        <f t="shared" si="1948"/>
        <v>0.75082168199009136</v>
      </c>
      <c r="EP348" s="65">
        <f t="shared" si="1948"/>
        <v>0.75081849416020696</v>
      </c>
      <c r="EQ348" s="65">
        <f t="shared" si="1948"/>
        <v>0.75082428773543963</v>
      </c>
      <c r="ER348" s="1066">
        <f t="shared" si="1948"/>
        <v>0.75082168199009136</v>
      </c>
      <c r="ES348" s="65">
        <f t="shared" ref="ES348:EX348" si="1951">ES347/ES260</f>
        <v>0.75081849416020674</v>
      </c>
      <c r="ET348" s="65">
        <f t="shared" si="1951"/>
        <v>0.75082428773543963</v>
      </c>
      <c r="EU348" s="1066">
        <f t="shared" si="1951"/>
        <v>0.75082168199009125</v>
      </c>
      <c r="EV348" s="65">
        <f t="shared" si="1951"/>
        <v>0.75081849416020674</v>
      </c>
      <c r="EW348" s="65">
        <f t="shared" si="1951"/>
        <v>0.75082428773543941</v>
      </c>
      <c r="EX348" s="1066">
        <f t="shared" si="1951"/>
        <v>0.75082168199009114</v>
      </c>
      <c r="EY348" s="65">
        <f t="shared" ref="EY348:FA348" si="1952">EY347/EY260</f>
        <v>0.75081849416020663</v>
      </c>
      <c r="EZ348" s="65">
        <f t="shared" si="1952"/>
        <v>0.75082428773543985</v>
      </c>
      <c r="FA348" s="1066">
        <f t="shared" si="1952"/>
        <v>0.75082168199009136</v>
      </c>
    </row>
    <row r="349" spans="1:173">
      <c r="B349" s="31"/>
      <c r="BA349" s="91"/>
      <c r="BB349" s="91"/>
      <c r="BC349" s="942"/>
      <c r="BD349" s="91"/>
      <c r="BE349" s="91"/>
      <c r="BF349" s="87"/>
      <c r="BG349" s="91"/>
      <c r="BH349" s="91"/>
      <c r="BI349" s="87"/>
      <c r="BR349" s="124"/>
      <c r="BS349" s="77">
        <v>33.398000000000003</v>
      </c>
      <c r="BT349" s="77">
        <f>BU349-BS349</f>
        <v>30.008999999999993</v>
      </c>
      <c r="BU349" s="77">
        <v>63.406999999999996</v>
      </c>
      <c r="BV349" s="77">
        <v>39.226999999999997</v>
      </c>
      <c r="BW349" s="77">
        <f>BX349-BV349</f>
        <v>43.280000000000008</v>
      </c>
      <c r="BX349" s="77">
        <v>82.507000000000005</v>
      </c>
      <c r="BY349" s="77">
        <v>48.658000000000001</v>
      </c>
      <c r="BZ349" s="77">
        <f>CA349-BY349</f>
        <v>63.789000000000001</v>
      </c>
      <c r="CA349" s="77">
        <v>112.447</v>
      </c>
      <c r="CB349" s="77">
        <v>66.995999999999995</v>
      </c>
      <c r="CC349" s="77">
        <f>CD349-CB349</f>
        <v>71.454999999999998</v>
      </c>
      <c r="CD349" s="77">
        <v>138.45099999999999</v>
      </c>
      <c r="CE349" s="188">
        <v>61.048000000000002</v>
      </c>
      <c r="CF349" s="188">
        <f>CG349-CE349</f>
        <v>73.179000000000002</v>
      </c>
      <c r="CG349" s="188">
        <v>134.227</v>
      </c>
      <c r="CH349" s="188">
        <v>68.308000000000007</v>
      </c>
      <c r="CI349" s="188">
        <f>CJ349-CH349</f>
        <v>64.486999999999981</v>
      </c>
      <c r="CJ349" s="188">
        <v>132.79499999999999</v>
      </c>
      <c r="CK349" s="188">
        <v>66.498999999999995</v>
      </c>
      <c r="CL349" s="188">
        <f>CM349-CK349</f>
        <v>65.024000000000001</v>
      </c>
      <c r="CM349" s="188">
        <v>131.523</v>
      </c>
      <c r="CN349" s="188">
        <v>72.656000000000006</v>
      </c>
      <c r="CO349" s="188">
        <f>CP349-CN349</f>
        <v>94.525999999999982</v>
      </c>
      <c r="CP349" s="188">
        <f>167.182</f>
        <v>167.18199999999999</v>
      </c>
      <c r="CQ349" s="67">
        <v>84.9</v>
      </c>
      <c r="CR349" s="101">
        <f>+CS349-CQ349</f>
        <v>87.212999999999994</v>
      </c>
      <c r="CS349" s="188">
        <v>172.113</v>
      </c>
      <c r="CT349" s="252">
        <v>86.441000000000003</v>
      </c>
      <c r="CU349" s="252">
        <f>+CV349-CT349</f>
        <v>94.484000000000009</v>
      </c>
      <c r="CV349" s="252">
        <v>180.92500000000001</v>
      </c>
      <c r="CW349" s="67">
        <v>88.921000000000006</v>
      </c>
      <c r="CY349" s="252">
        <v>181.52699999999999</v>
      </c>
      <c r="DH349" s="1067"/>
      <c r="DK349" s="1067"/>
      <c r="DN349" s="1067"/>
      <c r="DQ349" s="1067"/>
      <c r="DT349" s="1067"/>
      <c r="DW349" s="1067"/>
      <c r="DZ349" s="1067"/>
      <c r="EC349" s="1067"/>
      <c r="EF349" s="1067"/>
      <c r="EI349" s="1067"/>
      <c r="EL349" s="1067"/>
      <c r="EO349" s="1067"/>
      <c r="ER349" s="1067"/>
      <c r="EU349" s="1067"/>
      <c r="EX349" s="1067"/>
      <c r="FA349" s="1067"/>
    </row>
    <row r="350" spans="1:173" s="321" customFormat="1">
      <c r="A350" s="1418"/>
      <c r="B350" s="906" t="s">
        <v>384</v>
      </c>
      <c r="C350" s="941"/>
      <c r="D350" s="907"/>
      <c r="E350" s="908"/>
      <c r="F350" s="908"/>
      <c r="G350" s="908"/>
      <c r="H350" s="908"/>
      <c r="I350" s="908"/>
      <c r="J350" s="908"/>
      <c r="K350" s="908"/>
      <c r="L350" s="908"/>
      <c r="M350" s="908"/>
      <c r="N350" s="908"/>
      <c r="O350" s="908"/>
      <c r="P350" s="908"/>
      <c r="Q350" s="908"/>
      <c r="R350" s="908"/>
      <c r="S350" s="908"/>
      <c r="T350" s="908"/>
      <c r="U350" s="908"/>
      <c r="V350" s="908"/>
      <c r="W350" s="908"/>
      <c r="X350" s="908"/>
      <c r="Y350" s="908"/>
      <c r="Z350" s="908"/>
      <c r="AA350" s="908"/>
      <c r="AB350" s="908"/>
      <c r="AC350" s="908"/>
      <c r="AD350" s="908"/>
      <c r="AE350" s="908"/>
      <c r="AF350" s="908"/>
      <c r="AG350" s="908"/>
      <c r="AH350" s="908"/>
      <c r="AI350" s="908"/>
      <c r="AJ350" s="908"/>
      <c r="AK350" s="908"/>
      <c r="AL350" s="908"/>
      <c r="AM350" s="908"/>
      <c r="AN350" s="908"/>
      <c r="AO350" s="908"/>
      <c r="AP350" s="908"/>
      <c r="AQ350" s="908"/>
      <c r="AR350" s="908"/>
      <c r="AS350" s="908"/>
      <c r="AT350" s="908"/>
      <c r="AU350" s="908"/>
      <c r="AV350" s="908"/>
      <c r="AW350" s="908"/>
      <c r="AX350" s="908"/>
      <c r="AY350" s="908"/>
      <c r="AZ350" s="908"/>
      <c r="BA350" s="908" t="str">
        <f t="shared" ref="BA350:CF350" si="1953">BA2</f>
        <v>1H01</v>
      </c>
      <c r="BB350" s="908" t="str">
        <f t="shared" si="1953"/>
        <v>2H01</v>
      </c>
      <c r="BC350" s="908" t="str">
        <f t="shared" si="1953"/>
        <v>FY01</v>
      </c>
      <c r="BD350" s="908" t="str">
        <f t="shared" si="1953"/>
        <v>1H02</v>
      </c>
      <c r="BE350" s="908" t="str">
        <f t="shared" si="1953"/>
        <v>2H02</v>
      </c>
      <c r="BF350" s="908" t="str">
        <f t="shared" si="1953"/>
        <v>FY02</v>
      </c>
      <c r="BG350" s="908" t="str">
        <f t="shared" si="1953"/>
        <v>1H03</v>
      </c>
      <c r="BH350" s="908" t="str">
        <f t="shared" si="1953"/>
        <v>2H03</v>
      </c>
      <c r="BI350" s="908" t="str">
        <f t="shared" si="1953"/>
        <v>FY03</v>
      </c>
      <c r="BJ350" s="908" t="str">
        <f t="shared" si="1953"/>
        <v>1H04</v>
      </c>
      <c r="BK350" s="908" t="str">
        <f t="shared" si="1953"/>
        <v>2H04</v>
      </c>
      <c r="BL350" s="908" t="str">
        <f t="shared" si="1953"/>
        <v>FY04</v>
      </c>
      <c r="BM350" s="908" t="str">
        <f t="shared" si="1953"/>
        <v>1H05</v>
      </c>
      <c r="BN350" s="908" t="str">
        <f t="shared" si="1953"/>
        <v>2H05</v>
      </c>
      <c r="BO350" s="908" t="str">
        <f t="shared" si="1953"/>
        <v>FY05</v>
      </c>
      <c r="BP350" s="908" t="str">
        <f t="shared" si="1953"/>
        <v>1H06</v>
      </c>
      <c r="BQ350" s="908" t="str">
        <f t="shared" si="1953"/>
        <v>2H06</v>
      </c>
      <c r="BR350" s="908" t="str">
        <f t="shared" si="1953"/>
        <v>FY06</v>
      </c>
      <c r="BS350" s="909" t="str">
        <f t="shared" si="1953"/>
        <v>1H07</v>
      </c>
      <c r="BT350" s="909" t="str">
        <f t="shared" si="1953"/>
        <v>2H07</v>
      </c>
      <c r="BU350" s="909" t="str">
        <f t="shared" si="1953"/>
        <v>FY07</v>
      </c>
      <c r="BV350" s="909" t="str">
        <f t="shared" si="1953"/>
        <v>1H08</v>
      </c>
      <c r="BW350" s="909" t="str">
        <f t="shared" si="1953"/>
        <v>2H08</v>
      </c>
      <c r="BX350" s="909" t="str">
        <f t="shared" si="1953"/>
        <v>FY08</v>
      </c>
      <c r="BY350" s="909" t="str">
        <f t="shared" si="1953"/>
        <v>1H09</v>
      </c>
      <c r="BZ350" s="909" t="str">
        <f t="shared" si="1953"/>
        <v>2H09</v>
      </c>
      <c r="CA350" s="909" t="str">
        <f t="shared" si="1953"/>
        <v>FY09</v>
      </c>
      <c r="CB350" s="909" t="str">
        <f t="shared" si="1953"/>
        <v>1H10</v>
      </c>
      <c r="CC350" s="909" t="str">
        <f t="shared" si="1953"/>
        <v>2H10</v>
      </c>
      <c r="CD350" s="909" t="str">
        <f t="shared" si="1953"/>
        <v>FY10</v>
      </c>
      <c r="CE350" s="909" t="str">
        <f t="shared" si="1953"/>
        <v>1H11</v>
      </c>
      <c r="CF350" s="909" t="str">
        <f t="shared" si="1953"/>
        <v>2H11</v>
      </c>
      <c r="CG350" s="909" t="str">
        <f t="shared" ref="CG350:DL350" si="1954">CG2</f>
        <v>FY11</v>
      </c>
      <c r="CH350" s="909" t="str">
        <f t="shared" si="1954"/>
        <v>1H12</v>
      </c>
      <c r="CI350" s="909" t="str">
        <f t="shared" si="1954"/>
        <v>2H12</v>
      </c>
      <c r="CJ350" s="909" t="str">
        <f t="shared" si="1954"/>
        <v>FY12</v>
      </c>
      <c r="CK350" s="909" t="str">
        <f t="shared" si="1954"/>
        <v>1H13</v>
      </c>
      <c r="CL350" s="909" t="str">
        <f t="shared" si="1954"/>
        <v>2H13</v>
      </c>
      <c r="CM350" s="909" t="str">
        <f t="shared" si="1954"/>
        <v>FY13</v>
      </c>
      <c r="CN350" s="909" t="str">
        <f t="shared" si="1954"/>
        <v>1H14</v>
      </c>
      <c r="CO350" s="909" t="str">
        <f t="shared" si="1954"/>
        <v>2H14</v>
      </c>
      <c r="CP350" s="909" t="str">
        <f t="shared" si="1954"/>
        <v>FY14</v>
      </c>
      <c r="CQ350" s="909" t="str">
        <f t="shared" si="1954"/>
        <v>1H15</v>
      </c>
      <c r="CR350" s="909" t="str">
        <f t="shared" si="1954"/>
        <v>2H15</v>
      </c>
      <c r="CS350" s="909" t="str">
        <f t="shared" si="1954"/>
        <v>FY15</v>
      </c>
      <c r="CT350" s="909" t="str">
        <f t="shared" si="1954"/>
        <v>1H16</v>
      </c>
      <c r="CU350" s="909" t="str">
        <f t="shared" si="1954"/>
        <v>2H16</v>
      </c>
      <c r="CV350" s="909" t="str">
        <f t="shared" si="1954"/>
        <v>FY16</v>
      </c>
      <c r="CW350" s="909" t="str">
        <f t="shared" si="1954"/>
        <v>1H17</v>
      </c>
      <c r="CX350" s="909" t="str">
        <f t="shared" si="1954"/>
        <v>2H17</v>
      </c>
      <c r="CY350" s="909" t="str">
        <f t="shared" si="1954"/>
        <v>FY17</v>
      </c>
      <c r="CZ350" s="909" t="str">
        <f t="shared" si="1954"/>
        <v>1H18</v>
      </c>
      <c r="DA350" s="909" t="str">
        <f t="shared" si="1954"/>
        <v>2H18</v>
      </c>
      <c r="DB350" s="909" t="str">
        <f t="shared" si="1954"/>
        <v>FY18</v>
      </c>
      <c r="DC350" s="909" t="str">
        <f t="shared" si="1954"/>
        <v>1H19</v>
      </c>
      <c r="DD350" s="909" t="str">
        <f t="shared" si="1954"/>
        <v>2H19</v>
      </c>
      <c r="DE350" s="909" t="str">
        <f t="shared" si="1954"/>
        <v>FY19</v>
      </c>
      <c r="DF350" s="909" t="str">
        <f t="shared" si="1954"/>
        <v>1H20</v>
      </c>
      <c r="DG350" s="909" t="str">
        <f t="shared" si="1954"/>
        <v>2H20</v>
      </c>
      <c r="DH350" s="1059" t="str">
        <f t="shared" si="1954"/>
        <v>FY20</v>
      </c>
      <c r="DI350" s="909" t="str">
        <f t="shared" si="1954"/>
        <v>1H21</v>
      </c>
      <c r="DJ350" s="909" t="str">
        <f t="shared" si="1954"/>
        <v>2H21</v>
      </c>
      <c r="DK350" s="1059" t="str">
        <f t="shared" si="1954"/>
        <v>FY21</v>
      </c>
      <c r="DL350" s="909" t="str">
        <f t="shared" si="1954"/>
        <v>1H22</v>
      </c>
      <c r="DM350" s="909" t="str">
        <f t="shared" ref="DM350:ER350" si="1955">DM2</f>
        <v>2H22</v>
      </c>
      <c r="DN350" s="1059" t="str">
        <f t="shared" si="1955"/>
        <v>FY22</v>
      </c>
      <c r="DO350" s="909" t="str">
        <f t="shared" si="1955"/>
        <v>1H23</v>
      </c>
      <c r="DP350" s="909" t="str">
        <f t="shared" si="1955"/>
        <v>2H23</v>
      </c>
      <c r="DQ350" s="1059" t="str">
        <f t="shared" si="1955"/>
        <v>FY23</v>
      </c>
      <c r="DR350" s="909" t="str">
        <f t="shared" si="1955"/>
        <v>1H24</v>
      </c>
      <c r="DS350" s="909" t="str">
        <f t="shared" si="1955"/>
        <v>2H24</v>
      </c>
      <c r="DT350" s="1059" t="str">
        <f t="shared" si="1955"/>
        <v>FY24</v>
      </c>
      <c r="DU350" s="909" t="str">
        <f t="shared" si="1955"/>
        <v>1H25</v>
      </c>
      <c r="DV350" s="909" t="str">
        <f t="shared" si="1955"/>
        <v>2H25</v>
      </c>
      <c r="DW350" s="1059" t="str">
        <f t="shared" si="1955"/>
        <v>FY25</v>
      </c>
      <c r="DX350" s="909" t="str">
        <f t="shared" si="1955"/>
        <v>1H26</v>
      </c>
      <c r="DY350" s="909" t="str">
        <f t="shared" si="1955"/>
        <v>2H26E</v>
      </c>
      <c r="DZ350" s="1059" t="str">
        <f t="shared" si="1955"/>
        <v>FY26E</v>
      </c>
      <c r="EA350" s="909" t="str">
        <f t="shared" si="1955"/>
        <v>1H27E</v>
      </c>
      <c r="EB350" s="909" t="str">
        <f t="shared" si="1955"/>
        <v>2H27E</v>
      </c>
      <c r="EC350" s="1059" t="str">
        <f t="shared" si="1955"/>
        <v>FY27E</v>
      </c>
      <c r="ED350" s="909" t="str">
        <f t="shared" si="1955"/>
        <v>1H28E</v>
      </c>
      <c r="EE350" s="909" t="str">
        <f t="shared" si="1955"/>
        <v>2H28E</v>
      </c>
      <c r="EF350" s="1059" t="str">
        <f t="shared" si="1955"/>
        <v>FY28E</v>
      </c>
      <c r="EG350" s="909" t="str">
        <f t="shared" si="1955"/>
        <v>1H29E</v>
      </c>
      <c r="EH350" s="909" t="str">
        <f t="shared" si="1955"/>
        <v>2H29E</v>
      </c>
      <c r="EI350" s="1059" t="str">
        <f t="shared" si="1955"/>
        <v>FY29E</v>
      </c>
      <c r="EJ350" s="909" t="str">
        <f t="shared" si="1955"/>
        <v>1H30E</v>
      </c>
      <c r="EK350" s="909" t="str">
        <f t="shared" si="1955"/>
        <v>2H30E</v>
      </c>
      <c r="EL350" s="1059" t="str">
        <f t="shared" si="1955"/>
        <v>FY30E</v>
      </c>
      <c r="EM350" s="909" t="str">
        <f t="shared" si="1955"/>
        <v>1H31E</v>
      </c>
      <c r="EN350" s="909" t="str">
        <f t="shared" si="1955"/>
        <v>2H31E</v>
      </c>
      <c r="EO350" s="1059" t="str">
        <f t="shared" si="1955"/>
        <v>FY31E</v>
      </c>
      <c r="EP350" s="909" t="str">
        <f t="shared" si="1955"/>
        <v>1H32E</v>
      </c>
      <c r="EQ350" s="909" t="str">
        <f t="shared" si="1955"/>
        <v>2H32E</v>
      </c>
      <c r="ER350" s="1059" t="str">
        <f t="shared" si="1955"/>
        <v>FY32E</v>
      </c>
      <c r="ES350" s="909" t="str">
        <f t="shared" ref="ES350:EX350" si="1956">ES2</f>
        <v>1H33E</v>
      </c>
      <c r="ET350" s="909" t="str">
        <f t="shared" si="1956"/>
        <v>2H33E</v>
      </c>
      <c r="EU350" s="1059" t="str">
        <f t="shared" si="1956"/>
        <v>FY33E</v>
      </c>
      <c r="EV350" s="909" t="str">
        <f t="shared" si="1956"/>
        <v>1H34E</v>
      </c>
      <c r="EW350" s="909" t="str">
        <f t="shared" si="1956"/>
        <v>2H34E</v>
      </c>
      <c r="EX350" s="1059" t="str">
        <f t="shared" si="1956"/>
        <v>FY34E</v>
      </c>
      <c r="EY350" s="909" t="str">
        <f t="shared" ref="EY350:FA350" si="1957">EY2</f>
        <v>1H35E</v>
      </c>
      <c r="EZ350" s="909" t="str">
        <f t="shared" si="1957"/>
        <v>2H35E</v>
      </c>
      <c r="FA350" s="1059" t="str">
        <f t="shared" si="1957"/>
        <v>FY35E</v>
      </c>
      <c r="FH350" s="35"/>
      <c r="FI350" s="35"/>
      <c r="FJ350" s="35"/>
      <c r="FK350" s="35"/>
      <c r="FL350" s="35"/>
      <c r="FM350" s="35"/>
      <c r="FN350" s="35"/>
      <c r="FO350" s="35"/>
      <c r="FP350" s="35"/>
      <c r="FQ350" s="35"/>
    </row>
    <row r="351" spans="1:173" outlineLevel="1">
      <c r="A351" s="1425" t="s">
        <v>27</v>
      </c>
      <c r="C351" s="186"/>
      <c r="D351" s="162" t="s">
        <v>604</v>
      </c>
      <c r="BA351" s="70">
        <f>BA359+BA366+BA371</f>
        <v>19.7</v>
      </c>
      <c r="BB351" s="70">
        <f>BB359+BB366+BB371</f>
        <v>9.3799568314324642</v>
      </c>
      <c r="BC351" s="1035">
        <f>BA351+BB351</f>
        <v>29.079956831432462</v>
      </c>
      <c r="BD351" s="70">
        <f>BD359+BD366+BD371</f>
        <v>26.087</v>
      </c>
      <c r="BE351" s="70">
        <f>BE359+BE366+BE371</f>
        <v>35.535135302513758</v>
      </c>
      <c r="BF351" s="1035">
        <f>BD351+BE351</f>
        <v>61.622135302513755</v>
      </c>
      <c r="BG351" s="70">
        <f>BG359+BG366+BG371</f>
        <v>26.087</v>
      </c>
      <c r="BH351" s="70">
        <f>BH359+BH366+BH371</f>
        <v>35.535135302513758</v>
      </c>
      <c r="BI351" s="1035">
        <f>BG351+BH351</f>
        <v>61.622135302513755</v>
      </c>
      <c r="BJ351" s="70">
        <f>BJ359+BJ366+BJ371</f>
        <v>26.516335919999992</v>
      </c>
      <c r="BK351" s="70">
        <f>BK359+BK366+BK371</f>
        <v>24.098790623863959</v>
      </c>
      <c r="BL351" s="1035">
        <f>BJ351+BK351</f>
        <v>50.615126543863951</v>
      </c>
      <c r="BM351" s="70">
        <f>BM359+BM366+BM371</f>
        <v>27.882525367028375</v>
      </c>
      <c r="BN351" s="70">
        <f>BN359+BN366+BN371</f>
        <v>30.085376999503183</v>
      </c>
      <c r="BO351" s="1035">
        <f>BM351+BN351</f>
        <v>57.967902366531561</v>
      </c>
      <c r="BP351" s="70">
        <f>BP359+BP366+BP371</f>
        <v>32.305610087249008</v>
      </c>
      <c r="BQ351" s="70">
        <f>BQ359+BQ366+BQ371</f>
        <v>27.221667963602268</v>
      </c>
      <c r="BR351" s="1035">
        <f>BP351+BQ351</f>
        <v>59.52727805085128</v>
      </c>
      <c r="BS351" s="70">
        <f>BS359+BS366+BS371</f>
        <v>42.227000000000004</v>
      </c>
      <c r="BT351" s="70">
        <f>BT359+BT366+BT371</f>
        <v>37.899000000000001</v>
      </c>
      <c r="BU351" s="197">
        <f>BS351+BT351</f>
        <v>80.126000000000005</v>
      </c>
      <c r="BV351" s="70">
        <f>BV359+BV366+BV371</f>
        <v>42.938999999999986</v>
      </c>
      <c r="BW351" s="70">
        <f>BW359+BW366+BW371</f>
        <v>48.144000000000005</v>
      </c>
      <c r="BX351" s="197">
        <f>BV351+BW351</f>
        <v>91.082999999999998</v>
      </c>
      <c r="BY351" s="74">
        <f>BY359+BY366+BY371</f>
        <v>45.335000000000001</v>
      </c>
      <c r="BZ351" s="74">
        <f>BZ359+BZ366+BZ371</f>
        <v>47.18399999999999</v>
      </c>
      <c r="CA351" s="198">
        <f>BY351+BZ351</f>
        <v>92.518999999999991</v>
      </c>
      <c r="CB351" s="74">
        <f>CB359+CB366+CB371</f>
        <v>47.558196383039366</v>
      </c>
      <c r="CC351" s="74">
        <f>CC359+CC366+CC371</f>
        <v>49.568622449962653</v>
      </c>
      <c r="CD351" s="198">
        <f>CB351+CC351</f>
        <v>97.126818833002019</v>
      </c>
      <c r="CE351" s="74">
        <f>CE359+CE366+CE371</f>
        <v>56.224689812668473</v>
      </c>
      <c r="CF351" s="74">
        <f>CF359+CF366+CF371</f>
        <v>65.716688019105618</v>
      </c>
      <c r="CG351" s="197">
        <f>CE351+CF351</f>
        <v>121.94137783177409</v>
      </c>
      <c r="CH351" s="74">
        <f>CH359+CH366+CH371</f>
        <v>59.67346856644636</v>
      </c>
      <c r="CI351" s="74">
        <f>CI359+CI366+CI371</f>
        <v>63.243408014295028</v>
      </c>
      <c r="CJ351" s="197">
        <f>CH351+CI351</f>
        <v>122.91687658074139</v>
      </c>
      <c r="CK351" s="74">
        <f>CK359+CK366+CK371</f>
        <v>77.658651524229157</v>
      </c>
      <c r="CL351" s="74">
        <f>CL359+CL366+CL371</f>
        <v>69.953815192793741</v>
      </c>
      <c r="CM351" s="197">
        <f>CK351+CL351</f>
        <v>147.6124667170229</v>
      </c>
      <c r="CN351" s="70">
        <f>CN359+CN366+CN371</f>
        <v>57.856000000000002</v>
      </c>
      <c r="CO351" s="74">
        <f>CO359+CO366+CO371</f>
        <v>83.747688499685623</v>
      </c>
      <c r="CP351" s="197">
        <f>CN351+CO351</f>
        <v>141.60368849968563</v>
      </c>
      <c r="CQ351" s="74">
        <f>CQ359+CQ366+CQ371</f>
        <v>63.589999999999975</v>
      </c>
      <c r="CR351" s="74">
        <f>CR359+CR366+CR371</f>
        <v>97.715000000000018</v>
      </c>
      <c r="CS351" s="197">
        <f>CQ351+CR351</f>
        <v>161.30500000000001</v>
      </c>
      <c r="CT351" s="70">
        <f>CT359+CT366+CT371</f>
        <v>107.21900000000001</v>
      </c>
      <c r="CU351" s="70">
        <f>CU359+CU366+CU371</f>
        <v>103.08282023699479</v>
      </c>
      <c r="CV351" s="197">
        <f>CT351+CU351</f>
        <v>210.30182023699479</v>
      </c>
      <c r="CW351" s="70">
        <f>CW359+CW366+CW371</f>
        <v>111.30800000000001</v>
      </c>
      <c r="CX351" s="70">
        <f>CX359+CX366+CX371</f>
        <v>104.90092357438527</v>
      </c>
      <c r="CY351" s="197">
        <f>CW351+CX351</f>
        <v>216.20892357438527</v>
      </c>
      <c r="CZ351" s="70">
        <f>CZ359+CZ366+CZ371</f>
        <v>94.382700416475231</v>
      </c>
      <c r="DA351" s="70">
        <f>DA359+DA366+DA371</f>
        <v>122.4646910995681</v>
      </c>
      <c r="DB351" s="197">
        <f>CZ351+DA351</f>
        <v>216.84739151604333</v>
      </c>
      <c r="DC351" s="70">
        <f>DC359+DC366+DC371</f>
        <v>112.80606948708262</v>
      </c>
      <c r="DD351" s="70">
        <f>DD359+DD366+DD371</f>
        <v>125.25591256639304</v>
      </c>
      <c r="DE351" s="197">
        <f>DC351+DD351</f>
        <v>238.06198205347567</v>
      </c>
      <c r="DF351" s="70">
        <f>DF359+DF366+DF371</f>
        <v>133.1604586598163</v>
      </c>
      <c r="DG351" s="70">
        <f>DG359+DG366+DG371</f>
        <v>89.597913886446918</v>
      </c>
      <c r="DH351" s="1132">
        <f>DF351+DG351</f>
        <v>222.75837254626322</v>
      </c>
      <c r="DI351" s="1123">
        <v>129.5</v>
      </c>
      <c r="DJ351" s="1126">
        <f>+DK351-DI351</f>
        <v>121.30000000000001</v>
      </c>
      <c r="DK351" s="1132">
        <v>250.8</v>
      </c>
      <c r="DL351" s="1123">
        <v>140.1</v>
      </c>
      <c r="DM351" s="1126">
        <f>+DN351-DL351</f>
        <v>142.79999999999998</v>
      </c>
      <c r="DN351" s="1132">
        <v>282.89999999999998</v>
      </c>
      <c r="DO351" s="1123">
        <v>161.1</v>
      </c>
      <c r="DP351" s="1126">
        <f>+DQ351-DO351</f>
        <v>176.9</v>
      </c>
      <c r="DQ351" s="1132">
        <v>338</v>
      </c>
      <c r="DR351" s="1123">
        <v>175.5</v>
      </c>
      <c r="DS351" s="1126">
        <f>+DT351-DR351</f>
        <v>196.39999999999998</v>
      </c>
      <c r="DT351" s="1132">
        <v>371.9</v>
      </c>
      <c r="DU351" s="1124">
        <v>229</v>
      </c>
      <c r="DV351" s="1126">
        <f>+DW351-DU351</f>
        <v>199.8</v>
      </c>
      <c r="DW351" s="1132">
        <v>428.8</v>
      </c>
      <c r="DX351" s="1124">
        <v>207.8</v>
      </c>
      <c r="DY351" s="1116">
        <f>DY359+DY366+DY371</f>
        <v>240.88124882367828</v>
      </c>
      <c r="DZ351" s="1117">
        <f>DX351+DY351</f>
        <v>448.68124882367829</v>
      </c>
      <c r="EA351" s="1116">
        <f>EA359+EA366+EA371</f>
        <v>261.10246700680273</v>
      </c>
      <c r="EB351" s="1116">
        <f>EB359+EB366+EB371</f>
        <v>257.5220847108526</v>
      </c>
      <c r="EC351" s="1117">
        <f>EA351+EB351</f>
        <v>518.62455171765532</v>
      </c>
      <c r="ED351" s="1116">
        <f>ED359+ED366+ED371</f>
        <v>284.05093422108848</v>
      </c>
      <c r="EE351" s="1116">
        <f>EE359+EE366+EE371</f>
        <v>280.15774726526195</v>
      </c>
      <c r="EF351" s="1117">
        <f>ED351+EE351</f>
        <v>564.20868148635043</v>
      </c>
      <c r="EG351" s="1116">
        <f>EG359+EG366+EG371</f>
        <v>309.61551830098642</v>
      </c>
      <c r="EH351" s="1116">
        <f>EH359+EH366+EH371</f>
        <v>305.37194451913552</v>
      </c>
      <c r="EI351" s="1117">
        <f>EG351+EH351</f>
        <v>614.98746282012189</v>
      </c>
      <c r="EJ351" s="1116">
        <f>EJ359+EJ366+EJ371</f>
        <v>337.48091494807522</v>
      </c>
      <c r="EK351" s="1116">
        <f>EK359+EK366+EK371</f>
        <v>332.85541952585771</v>
      </c>
      <c r="EL351" s="1117">
        <f>EJ351+EK351</f>
        <v>670.33633447393299</v>
      </c>
      <c r="EM351" s="1116">
        <f>EM359+EM366+EM371</f>
        <v>367.85419729340208</v>
      </c>
      <c r="EN351" s="1116">
        <f>EN359+EN366+EN371</f>
        <v>362.81240728318494</v>
      </c>
      <c r="EO351" s="1117">
        <f>EM351+EN351</f>
        <v>730.66660457658702</v>
      </c>
      <c r="EP351" s="1116">
        <f>EP359+EP366+EP371</f>
        <v>400.9610750498083</v>
      </c>
      <c r="EQ351" s="1116">
        <f>EQ359+EQ366+EQ371</f>
        <v>395.46552393867159</v>
      </c>
      <c r="ER351" s="1117">
        <f>EP351+EQ351</f>
        <v>796.4265989884799</v>
      </c>
      <c r="ES351" s="1116">
        <f>ES359+ES366+ES371</f>
        <v>437.04757180429112</v>
      </c>
      <c r="ET351" s="1116">
        <f>ET359+ET366+ET371</f>
        <v>431.05742109315207</v>
      </c>
      <c r="EU351" s="1117">
        <f>ES351+ET351</f>
        <v>868.10499289744325</v>
      </c>
      <c r="EV351" s="1116">
        <f>EV359+EV366+EV371</f>
        <v>476.38185326667735</v>
      </c>
      <c r="EW351" s="1116">
        <f>EW359+EW366+EW371</f>
        <v>469.85258899153575</v>
      </c>
      <c r="EX351" s="1117">
        <f>EV351+EW351</f>
        <v>946.23444225821311</v>
      </c>
      <c r="EY351" s="1116">
        <f>EY359+EY366+EY371</f>
        <v>519.25622006067829</v>
      </c>
      <c r="EZ351" s="1116">
        <f>EZ359+EZ366+EZ371</f>
        <v>512.13932200077397</v>
      </c>
      <c r="FA351" s="1117">
        <f>EY351+EZ351</f>
        <v>1031.3955420614523</v>
      </c>
    </row>
    <row r="352" spans="1:173" outlineLevel="1">
      <c r="B352" s="83"/>
      <c r="C352" s="83"/>
      <c r="D352" s="162" t="s">
        <v>209</v>
      </c>
      <c r="BA352" s="167">
        <v>0.44</v>
      </c>
      <c r="BB352" s="35"/>
      <c r="BC352" s="325">
        <v>0.125</v>
      </c>
      <c r="BD352" s="171">
        <f t="shared" ref="BD352:CI352" si="1958">(BD351-BA351)/BA351</f>
        <v>0.32421319796954318</v>
      </c>
      <c r="BE352" s="171">
        <f t="shared" si="1958"/>
        <v>2.7884113904911216</v>
      </c>
      <c r="BF352" s="962">
        <f t="shared" si="1958"/>
        <v>1.1190586925461501</v>
      </c>
      <c r="BG352" s="171">
        <f t="shared" si="1958"/>
        <v>0</v>
      </c>
      <c r="BH352" s="171">
        <f t="shared" si="1958"/>
        <v>0</v>
      </c>
      <c r="BI352" s="962">
        <f t="shared" si="1958"/>
        <v>0</v>
      </c>
      <c r="BJ352" s="171">
        <f t="shared" si="1958"/>
        <v>1.645784950358388E-2</v>
      </c>
      <c r="BK352" s="171">
        <f t="shared" si="1958"/>
        <v>-0.32183202853432757</v>
      </c>
      <c r="BL352" s="962">
        <f t="shared" si="1958"/>
        <v>-0.17862102156334711</v>
      </c>
      <c r="BM352" s="171">
        <f t="shared" si="1958"/>
        <v>5.1522557684824465E-2</v>
      </c>
      <c r="BN352" s="171">
        <f t="shared" si="1958"/>
        <v>0.24841853971339847</v>
      </c>
      <c r="BO352" s="962">
        <f t="shared" si="1958"/>
        <v>0.14526834811517395</v>
      </c>
      <c r="BP352" s="171">
        <f t="shared" si="1958"/>
        <v>0.15863285918322936</v>
      </c>
      <c r="BQ352" s="171">
        <f t="shared" si="1958"/>
        <v>-9.5186077806111727E-2</v>
      </c>
      <c r="BR352" s="962">
        <f t="shared" si="1958"/>
        <v>2.6900674695105785E-2</v>
      </c>
      <c r="BS352" s="171">
        <f t="shared" si="1958"/>
        <v>0.30711043332585009</v>
      </c>
      <c r="BT352" s="171">
        <f t="shared" si="1958"/>
        <v>0.39223650992563175</v>
      </c>
      <c r="BU352" s="171">
        <f t="shared" si="1958"/>
        <v>0.34603836465615362</v>
      </c>
      <c r="BV352" s="171">
        <f t="shared" si="1958"/>
        <v>1.686124991119383E-2</v>
      </c>
      <c r="BW352" s="171">
        <f t="shared" si="1958"/>
        <v>0.27032375524420182</v>
      </c>
      <c r="BX352" s="171">
        <f t="shared" si="1958"/>
        <v>0.13674712328083261</v>
      </c>
      <c r="BY352" s="171">
        <f t="shared" si="1958"/>
        <v>5.5800088497636548E-2</v>
      </c>
      <c r="BZ352" s="171">
        <f t="shared" si="1958"/>
        <v>-1.9940179461615463E-2</v>
      </c>
      <c r="CA352" s="171">
        <f t="shared" si="1958"/>
        <v>1.5765839948179056E-2</v>
      </c>
      <c r="CB352" s="171">
        <f t="shared" si="1958"/>
        <v>4.9039293769479769E-2</v>
      </c>
      <c r="CC352" s="171">
        <f t="shared" si="1958"/>
        <v>5.0538793870012366E-2</v>
      </c>
      <c r="CD352" s="171">
        <f t="shared" si="1958"/>
        <v>4.9804027637588268E-2</v>
      </c>
      <c r="CE352" s="171">
        <f t="shared" si="1958"/>
        <v>0.18222922837165939</v>
      </c>
      <c r="CF352" s="171">
        <f t="shared" si="1958"/>
        <v>0.3257719252828486</v>
      </c>
      <c r="CG352" s="171">
        <f t="shared" si="1958"/>
        <v>0.25548617052348588</v>
      </c>
      <c r="CH352" s="171">
        <f t="shared" si="1958"/>
        <v>6.1339222417565259E-2</v>
      </c>
      <c r="CI352" s="171">
        <f t="shared" si="1958"/>
        <v>-3.763549380473253E-2</v>
      </c>
      <c r="CJ352" s="171">
        <f t="shared" ref="CJ352:DO352" si="1959">(CJ351-CG351)/CG351</f>
        <v>7.9997353344084705E-3</v>
      </c>
      <c r="CK352" s="171">
        <f t="shared" si="1959"/>
        <v>0.30139328900843615</v>
      </c>
      <c r="CL352" s="171">
        <f t="shared" si="1959"/>
        <v>0.10610445245110679</v>
      </c>
      <c r="CM352" s="171">
        <f t="shared" si="1959"/>
        <v>0.20091293257081358</v>
      </c>
      <c r="CN352" s="171">
        <f t="shared" si="1959"/>
        <v>-0.25499607752074882</v>
      </c>
      <c r="CO352" s="171">
        <f t="shared" si="1959"/>
        <v>0.1971854325439687</v>
      </c>
      <c r="CP352" s="171">
        <f t="shared" si="1959"/>
        <v>-4.0706441339106246E-2</v>
      </c>
      <c r="CQ352" s="171">
        <f t="shared" si="1959"/>
        <v>9.910813053097299E-2</v>
      </c>
      <c r="CR352" s="171">
        <f t="shared" si="1959"/>
        <v>0.16677847174691665</v>
      </c>
      <c r="CS352" s="171">
        <f t="shared" si="1959"/>
        <v>0.13912993163563048</v>
      </c>
      <c r="CT352" s="171">
        <f t="shared" si="1959"/>
        <v>0.68609844315143975</v>
      </c>
      <c r="CU352" s="171">
        <f t="shared" si="1959"/>
        <v>5.4933431274571697E-2</v>
      </c>
      <c r="CV352" s="171">
        <f t="shared" si="1959"/>
        <v>0.30375264397876556</v>
      </c>
      <c r="CW352" s="171">
        <f t="shared" si="1959"/>
        <v>3.8136897378263167E-2</v>
      </c>
      <c r="CX352" s="171">
        <f t="shared" si="1959"/>
        <v>1.7637306907305531E-2</v>
      </c>
      <c r="CY352" s="171">
        <f t="shared" si="1959"/>
        <v>2.8088693339570751E-2</v>
      </c>
      <c r="CZ352" s="171">
        <f t="shared" si="1959"/>
        <v>-0.15205824903443396</v>
      </c>
      <c r="DA352" s="171">
        <f t="shared" si="1959"/>
        <v>0.16743196271983585</v>
      </c>
      <c r="DB352" s="171">
        <f t="shared" si="1959"/>
        <v>2.9530138308024234E-3</v>
      </c>
      <c r="DC352" s="171">
        <f t="shared" si="1959"/>
        <v>0.19519857971123966</v>
      </c>
      <c r="DD352" s="171">
        <f t="shared" si="1959"/>
        <v>2.2792050849624688E-2</v>
      </c>
      <c r="DE352" s="171">
        <f t="shared" si="1959"/>
        <v>9.7831891770129006E-2</v>
      </c>
      <c r="DF352" s="171">
        <f t="shared" si="1959"/>
        <v>0.18043700365842857</v>
      </c>
      <c r="DG352" s="171">
        <f t="shared" si="1959"/>
        <v>-0.28468116154632839</v>
      </c>
      <c r="DH352" s="1068">
        <f t="shared" si="1959"/>
        <v>-6.4284138841517416E-2</v>
      </c>
      <c r="DI352" s="171">
        <f t="shared" si="1959"/>
        <v>-2.7489081193146359E-2</v>
      </c>
      <c r="DJ352" s="171">
        <f t="shared" si="1959"/>
        <v>0.35382616333825745</v>
      </c>
      <c r="DK352" s="1068">
        <f t="shared" si="1959"/>
        <v>0.12588360712643029</v>
      </c>
      <c r="DL352" s="171">
        <f t="shared" si="1959"/>
        <v>8.1853281853281806E-2</v>
      </c>
      <c r="DM352" s="171">
        <f t="shared" si="1959"/>
        <v>0.17724649629018935</v>
      </c>
      <c r="DN352" s="1068">
        <f t="shared" si="1959"/>
        <v>0.12799043062200943</v>
      </c>
      <c r="DO352" s="171">
        <f t="shared" si="1959"/>
        <v>0.14989293361884368</v>
      </c>
      <c r="DP352" s="171">
        <f t="shared" ref="DP352:EF352" si="1960">(DP351-DM351)/DM351</f>
        <v>0.23879551820728309</v>
      </c>
      <c r="DQ352" s="1068">
        <f t="shared" si="1960"/>
        <v>0.19476846942382478</v>
      </c>
      <c r="DR352" s="171">
        <f t="shared" si="1960"/>
        <v>8.938547486033524E-2</v>
      </c>
      <c r="DS352" s="171">
        <f t="shared" si="1960"/>
        <v>0.11023176936122087</v>
      </c>
      <c r="DT352" s="1068">
        <f t="shared" si="1960"/>
        <v>0.10029585798816561</v>
      </c>
      <c r="DU352" s="171">
        <f t="shared" si="1960"/>
        <v>0.30484330484330485</v>
      </c>
      <c r="DV352" s="171">
        <f t="shared" ref="DV352" si="1961">(DV351-DS351)/DS351</f>
        <v>1.7311608961303637E-2</v>
      </c>
      <c r="DW352" s="1068">
        <f t="shared" ref="DW352" si="1962">(DW351-DT351)/DT351</f>
        <v>0.15299811777359515</v>
      </c>
      <c r="DX352" s="171">
        <f t="shared" si="1960"/>
        <v>-9.2576419213973749E-2</v>
      </c>
      <c r="DY352" s="171">
        <f t="shared" si="1960"/>
        <v>0.20561185597436568</v>
      </c>
      <c r="DZ352" s="1068">
        <f t="shared" si="1960"/>
        <v>4.6364852667160159E-2</v>
      </c>
      <c r="EA352" s="171">
        <f t="shared" si="1960"/>
        <v>0.2565085034013605</v>
      </c>
      <c r="EB352" s="171">
        <f t="shared" si="1960"/>
        <v>6.9083151837008194E-2</v>
      </c>
      <c r="EC352" s="1068">
        <f t="shared" si="1960"/>
        <v>0.15588639613834895</v>
      </c>
      <c r="ED352" s="171">
        <f t="shared" si="1960"/>
        <v>8.7890656405356218E-2</v>
      </c>
      <c r="EE352" s="171">
        <f t="shared" si="1960"/>
        <v>8.789794700452512E-2</v>
      </c>
      <c r="EF352" s="1068">
        <f t="shared" si="1960"/>
        <v>8.7894276539209407E-2</v>
      </c>
      <c r="EG352" s="171">
        <f t="shared" ref="EG352:EL352" si="1963">(EG351-ED351)/ED351</f>
        <v>8.9999999999999913E-2</v>
      </c>
      <c r="EH352" s="171">
        <f t="shared" si="1963"/>
        <v>9.0000000000000011E-2</v>
      </c>
      <c r="EI352" s="1068">
        <f t="shared" si="1963"/>
        <v>8.9999999999999872E-2</v>
      </c>
      <c r="EJ352" s="171">
        <f t="shared" si="1963"/>
        <v>9.000000000000008E-2</v>
      </c>
      <c r="EK352" s="171">
        <f t="shared" si="1963"/>
        <v>8.9999999999999969E-2</v>
      </c>
      <c r="EL352" s="1068">
        <f t="shared" si="1963"/>
        <v>9.0000000000000219E-2</v>
      </c>
      <c r="EM352" s="171">
        <f t="shared" ref="EM352:ER352" si="1964">(EM351-EJ351)/EJ351</f>
        <v>9.000000000000026E-2</v>
      </c>
      <c r="EN352" s="171">
        <f t="shared" si="1964"/>
        <v>9.0000000000000094E-2</v>
      </c>
      <c r="EO352" s="1068">
        <f t="shared" si="1964"/>
        <v>9.000000000000008E-2</v>
      </c>
      <c r="EP352" s="171">
        <f t="shared" si="1964"/>
        <v>9.0000000000000094E-2</v>
      </c>
      <c r="EQ352" s="171">
        <f t="shared" si="1964"/>
        <v>9.0000000000000024E-2</v>
      </c>
      <c r="ER352" s="1068">
        <f t="shared" si="1964"/>
        <v>9.0000000000000066E-2</v>
      </c>
      <c r="ES352" s="171">
        <f t="shared" ref="ES352" si="1965">(ES351-EP351)/EP351</f>
        <v>9.0000000000000191E-2</v>
      </c>
      <c r="ET352" s="171">
        <f t="shared" ref="ET352" si="1966">(ET351-EQ351)/EQ351</f>
        <v>9.000000000000008E-2</v>
      </c>
      <c r="EU352" s="1068">
        <f t="shared" ref="EU352" si="1967">(EU351-ER351)/ER351</f>
        <v>9.0000000000000205E-2</v>
      </c>
      <c r="EV352" s="171">
        <f t="shared" ref="EV352" si="1968">(EV351-ES351)/ES351</f>
        <v>9.0000000000000066E-2</v>
      </c>
      <c r="EW352" s="171">
        <f t="shared" ref="EW352" si="1969">(EW351-ET351)/ET351</f>
        <v>8.9999999999999983E-2</v>
      </c>
      <c r="EX352" s="1068">
        <f t="shared" ref="EX352" si="1970">(EX351-EU351)/EU351</f>
        <v>8.9999999999999955E-2</v>
      </c>
      <c r="EY352" s="171">
        <f t="shared" ref="EY352" si="1971">(EY351-EV351)/EV351</f>
        <v>8.9999999999999941E-2</v>
      </c>
      <c r="EZ352" s="171">
        <f t="shared" ref="EZ352" si="1972">(EZ351-EW351)/EW351</f>
        <v>0.09</v>
      </c>
      <c r="FA352" s="1068">
        <f t="shared" ref="FA352" si="1973">(FA351-EX351)/EX351</f>
        <v>8.9999999999999969E-2</v>
      </c>
    </row>
    <row r="353" spans="1:173" outlineLevel="1">
      <c r="A353" s="1426" t="s">
        <v>396</v>
      </c>
      <c r="BA353" s="35"/>
      <c r="BB353" s="35"/>
      <c r="BC353" s="322"/>
      <c r="BD353" s="35"/>
      <c r="BE353" s="35"/>
      <c r="BG353" s="35"/>
      <c r="BH353" s="35"/>
      <c r="BJ353" s="35"/>
      <c r="BK353" s="35"/>
      <c r="BL353" s="31"/>
      <c r="BM353" s="35"/>
      <c r="BN353" s="35"/>
      <c r="BO353" s="31"/>
      <c r="BP353" s="35"/>
      <c r="BQ353" s="35"/>
      <c r="BR353" s="1024"/>
      <c r="BS353" s="74">
        <v>42.226999999999997</v>
      </c>
      <c r="BT353" s="74">
        <f>BU353-BS353</f>
        <v>37.899000000000008</v>
      </c>
      <c r="BU353" s="74">
        <v>80.126000000000005</v>
      </c>
      <c r="BV353" s="74">
        <f>42.939</f>
        <v>42.939</v>
      </c>
      <c r="BW353" s="74">
        <f>BX353-BV353</f>
        <v>48.143999999999998</v>
      </c>
      <c r="BX353" s="74">
        <v>91.082999999999998</v>
      </c>
      <c r="BY353" s="74">
        <v>45.335000000000001</v>
      </c>
      <c r="BZ353" s="74">
        <f>CA353-BY353</f>
        <v>47.184000000000005</v>
      </c>
      <c r="CA353" s="74">
        <v>92.519000000000005</v>
      </c>
      <c r="CB353" s="74">
        <v>47.558</v>
      </c>
      <c r="CC353" s="74">
        <f>CD353-CB353</f>
        <v>49.568999999999996</v>
      </c>
      <c r="CD353" s="74">
        <v>97.126999999999995</v>
      </c>
      <c r="CE353" s="74">
        <v>56.225000000000001</v>
      </c>
      <c r="CF353" s="74">
        <f>CG353-CE353</f>
        <v>65.716999999999985</v>
      </c>
      <c r="CG353" s="74">
        <v>121.94199999999999</v>
      </c>
      <c r="CH353" s="74">
        <v>59.673000000000002</v>
      </c>
      <c r="CI353" s="74">
        <f>CJ353-CH353</f>
        <v>63.242999999999995</v>
      </c>
      <c r="CJ353" s="74">
        <v>122.916</v>
      </c>
      <c r="CK353" s="74">
        <v>77.659000000000006</v>
      </c>
      <c r="CL353" s="74">
        <f>CM353-CK353</f>
        <v>69.953999999999994</v>
      </c>
      <c r="CM353" s="74">
        <v>147.613</v>
      </c>
      <c r="CN353" s="74">
        <v>57.856000000000002</v>
      </c>
      <c r="CO353" s="74">
        <f>CP353-CN353</f>
        <v>83.748000000000019</v>
      </c>
      <c r="CP353" s="74">
        <v>141.60400000000001</v>
      </c>
      <c r="CQ353" s="74">
        <v>63.59</v>
      </c>
      <c r="CR353" s="74">
        <f>+CS353-CQ353</f>
        <v>97.715000000000003</v>
      </c>
      <c r="CS353" s="74">
        <v>161.30500000000001</v>
      </c>
      <c r="CT353" s="163">
        <v>107.21899999999999</v>
      </c>
      <c r="CU353" s="163"/>
      <c r="CV353" s="163"/>
      <c r="CW353" s="163"/>
      <c r="CX353" s="163"/>
      <c r="CY353" s="163"/>
      <c r="CZ353" s="163"/>
      <c r="DA353" s="163"/>
      <c r="DB353" s="56"/>
      <c r="DC353" s="244"/>
      <c r="DD353" s="163"/>
      <c r="DE353" s="163"/>
      <c r="DF353" s="163"/>
      <c r="DG353" s="163"/>
      <c r="DH353" s="1085"/>
      <c r="DI353" s="163"/>
      <c r="DJ353" s="163"/>
      <c r="DK353" s="1085"/>
      <c r="DL353" s="163"/>
      <c r="DM353" s="70"/>
      <c r="DN353" s="1074"/>
      <c r="DO353" s="163"/>
      <c r="DP353" s="163"/>
      <c r="DQ353" s="1085"/>
      <c r="DR353" s="163"/>
      <c r="DS353" s="163"/>
      <c r="DT353" s="1085"/>
      <c r="DU353" s="163"/>
      <c r="DV353" s="163"/>
      <c r="DW353" s="1085"/>
      <c r="DX353" s="163"/>
      <c r="DY353" s="163"/>
      <c r="DZ353" s="1085"/>
      <c r="EA353" s="163"/>
      <c r="EB353" s="163"/>
      <c r="EC353" s="1085"/>
      <c r="ED353" s="163"/>
      <c r="EE353" s="163"/>
      <c r="EF353" s="1085"/>
      <c r="EG353" s="163"/>
      <c r="EH353" s="163"/>
      <c r="EI353" s="1085"/>
      <c r="EJ353" s="163"/>
      <c r="EK353" s="163"/>
      <c r="EL353" s="1085"/>
      <c r="EM353" s="163"/>
      <c r="EN353" s="163"/>
      <c r="EO353" s="1085"/>
      <c r="EP353" s="163"/>
      <c r="EQ353" s="163"/>
      <c r="ER353" s="1085"/>
      <c r="ES353" s="163"/>
      <c r="ET353" s="163"/>
      <c r="EU353" s="1085"/>
      <c r="EV353" s="163"/>
      <c r="EW353" s="163"/>
      <c r="EX353" s="1085"/>
      <c r="EY353" s="163"/>
      <c r="EZ353" s="163"/>
      <c r="FA353" s="1085"/>
    </row>
    <row r="354" spans="1:173" outlineLevel="1">
      <c r="B354" s="35" t="s">
        <v>789</v>
      </c>
      <c r="D354" s="306" t="s">
        <v>98</v>
      </c>
      <c r="BA354" s="163">
        <f>BA105</f>
        <v>572</v>
      </c>
      <c r="BB354" s="163">
        <f>BB105</f>
        <v>272.35204607001879</v>
      </c>
      <c r="BC354" s="163">
        <f>SUM(BA354:BB354)</f>
        <v>844.35204607001879</v>
      </c>
      <c r="BD354" s="163">
        <f>BD105</f>
        <v>700</v>
      </c>
      <c r="BE354" s="163">
        <f>BE105</f>
        <v>603.05842189123246</v>
      </c>
      <c r="BF354" s="163">
        <f>SUM(BD354:BE354)</f>
        <v>1303.0584218912325</v>
      </c>
      <c r="BG354" s="163">
        <f>BG105</f>
        <v>662.18</v>
      </c>
      <c r="BH354" s="163">
        <f>BH105</f>
        <v>902.00697261542382</v>
      </c>
      <c r="BI354" s="163">
        <f>SUM(BG354:BH354)</f>
        <v>1564.1869726154237</v>
      </c>
      <c r="BJ354" s="163">
        <f>BG354*(1+BJ355)</f>
        <v>794.61599999999987</v>
      </c>
      <c r="BK354" s="163">
        <f>BH354*(1+BK355)</f>
        <v>825.33637994311277</v>
      </c>
      <c r="BL354" s="163">
        <f>SUM(BJ354:BK354)</f>
        <v>1619.9523799431126</v>
      </c>
      <c r="BM354" s="163">
        <f>BJ354*(1+BM355)</f>
        <v>818.45447999999988</v>
      </c>
      <c r="BN354" s="163">
        <f>BK354*(1+BN355)</f>
        <v>1031.6704749288911</v>
      </c>
      <c r="BO354" s="163">
        <f>SUM(BM354:BN354)</f>
        <v>1850.1249549288909</v>
      </c>
      <c r="BP354" s="163">
        <f>BM354*(1+BP355)</f>
        <v>1039.4371895999998</v>
      </c>
      <c r="BQ354" s="163">
        <f>BN354*(1+BQ355)</f>
        <v>1083.2539986753357</v>
      </c>
      <c r="BR354" s="163">
        <f>SUM(BP354:BQ354)</f>
        <v>2122.6911882753357</v>
      </c>
      <c r="BS354" s="163">
        <f>BP354*(1+BS355)</f>
        <v>1253.5612506575997</v>
      </c>
      <c r="BT354" s="163">
        <f>BQ354*(1+BT355)</f>
        <v>1354.0674983441695</v>
      </c>
      <c r="BU354" s="163">
        <f>SUM(BS354:BT354)</f>
        <v>2607.6287490017694</v>
      </c>
      <c r="BV354" s="163">
        <f>BS354*(1+BV355)</f>
        <v>1331.2820481983708</v>
      </c>
      <c r="BW354" s="163">
        <f>BT354*(1+BW355)</f>
        <v>1570.7182980792365</v>
      </c>
      <c r="BX354" s="163">
        <f>SUM(BV354:BW354)</f>
        <v>2902.0003462776076</v>
      </c>
      <c r="BY354" s="163">
        <f>BV354*(1+BY355)</f>
        <v>1264.7179457884522</v>
      </c>
      <c r="BZ354" s="163">
        <f>BW354*(1+BZ355)</f>
        <v>1652.3956495793568</v>
      </c>
      <c r="CA354" s="163">
        <f>SUM(BY354:BZ354)</f>
        <v>2917.113595367809</v>
      </c>
      <c r="CB354" s="163">
        <f>BY354*(1+CB355)</f>
        <v>1378.5425609094129</v>
      </c>
      <c r="CC354" s="163">
        <f>BZ354*(1+CC355)</f>
        <v>1982.874779495228</v>
      </c>
      <c r="CD354" s="163">
        <f>SUM(CB354:CC354)</f>
        <v>3361.417340404641</v>
      </c>
      <c r="CE354" s="163">
        <f>CB354*(1+CE355)</f>
        <v>1722.0347863563261</v>
      </c>
      <c r="CF354" s="163">
        <f>CF105</f>
        <v>2282.2507419988237</v>
      </c>
      <c r="CG354" s="163">
        <f>SUM(CE354:CF354)</f>
        <v>4004.2855283551498</v>
      </c>
      <c r="CH354" s="163">
        <f>CH105</f>
        <v>1885.6280910601788</v>
      </c>
      <c r="CI354" s="163">
        <f>CI105</f>
        <v>2187.9125149484698</v>
      </c>
      <c r="CJ354" s="163">
        <f>SUM(CH354:CI354)</f>
        <v>4073.5406060086489</v>
      </c>
      <c r="CK354" s="163">
        <f>CK105</f>
        <v>3892.0000000000005</v>
      </c>
      <c r="CL354" s="163">
        <f>CL105</f>
        <v>3270.9999999999995</v>
      </c>
      <c r="CM354" s="163">
        <f>SUM(CK354:CL354)</f>
        <v>7163</v>
      </c>
      <c r="CN354" s="163">
        <f>(CK354-((2/3)*2800))*1.05</f>
        <v>2126.6000000000008</v>
      </c>
      <c r="CO354" s="163">
        <f>(CL354-((1/3)*2800))*1.05+(1800)-1145</f>
        <v>3109.5499999999993</v>
      </c>
      <c r="CP354" s="163">
        <f>SUM(CN354:CO354)</f>
        <v>5236.1499999999996</v>
      </c>
      <c r="CQ354" s="163">
        <f>CQ105</f>
        <v>1027.9874150297394</v>
      </c>
      <c r="CR354" s="163">
        <f>CR105</f>
        <v>2703.2525877354306</v>
      </c>
      <c r="CS354" s="163">
        <f>SUM(CQ354:CR354)</f>
        <v>3731.2400027651702</v>
      </c>
      <c r="CT354" s="163">
        <f>CT105</f>
        <v>3020.8861565327129</v>
      </c>
      <c r="CU354" s="163">
        <f>CU105</f>
        <v>2443.4152171222026</v>
      </c>
      <c r="CV354" s="163">
        <f>SUM(CT354:CU354)</f>
        <v>5464.3013736549156</v>
      </c>
      <c r="CW354" s="163">
        <f>CW105</f>
        <v>2685.0633878392555</v>
      </c>
      <c r="CX354" s="163">
        <f>CX105</f>
        <v>1812.0982605466431</v>
      </c>
      <c r="CY354" s="163">
        <f>SUM(CW354:CX354)</f>
        <v>4497.1616483858988</v>
      </c>
      <c r="CZ354" s="163">
        <f>CZ105</f>
        <v>1616.7646555960407</v>
      </c>
      <c r="DA354" s="163">
        <f>DA105</f>
        <v>2461.26954027486</v>
      </c>
      <c r="DB354" s="163">
        <f>SUM(CZ354:DA354)</f>
        <v>4078.0341958709005</v>
      </c>
      <c r="DC354" s="163">
        <f>DC105</f>
        <v>1988.775479696159</v>
      </c>
      <c r="DD354" s="163">
        <f>DD105</f>
        <v>2129.7604618475343</v>
      </c>
      <c r="DE354" s="163">
        <f>SUM(DC354:DD354)</f>
        <v>4118.5359415436933</v>
      </c>
      <c r="DF354" s="163">
        <f>DF105</f>
        <v>2463.5130480787589</v>
      </c>
      <c r="DG354" s="163">
        <f>DG105</f>
        <v>1358.0703463856507</v>
      </c>
      <c r="DH354" s="1070">
        <f>SUM(DF354:DG354)</f>
        <v>3821.5833944644096</v>
      </c>
      <c r="DI354" s="233">
        <f>DI105</f>
        <v>3029.5119816908996</v>
      </c>
      <c r="DJ354" s="233">
        <f>DJ105</f>
        <v>3083.6544970019991</v>
      </c>
      <c r="DK354" s="1070">
        <f>SUM(DI354:DJ354)</f>
        <v>6113.1664786928986</v>
      </c>
      <c r="DL354" s="233">
        <f>DL105</f>
        <v>3195.8540414571321</v>
      </c>
      <c r="DM354" s="233">
        <f>DM105</f>
        <v>3386.528457253572</v>
      </c>
      <c r="DN354" s="1070">
        <f>SUM(DL354:DM354)</f>
        <v>6582.3824987107037</v>
      </c>
      <c r="DO354" s="233">
        <f>DO105</f>
        <v>3836.3934775299786</v>
      </c>
      <c r="DP354" s="233">
        <f>DP105</f>
        <v>3810.6529057739322</v>
      </c>
      <c r="DQ354" s="1070">
        <f>SUM(DO354:DP354)</f>
        <v>7647.0463833039103</v>
      </c>
      <c r="DR354" s="233">
        <f>DR105</f>
        <v>3813.4286869049752</v>
      </c>
      <c r="DS354" s="233">
        <f>DS105</f>
        <v>4091.1519916142547</v>
      </c>
      <c r="DT354" s="1070">
        <f>SUM(DR354:DS354)</f>
        <v>7904.5806785192299</v>
      </c>
      <c r="DU354" s="233">
        <f>DU105</f>
        <v>4969.9205060261556</v>
      </c>
      <c r="DV354" s="233">
        <f>DV105</f>
        <v>4814.8110295977749</v>
      </c>
      <c r="DW354" s="1070">
        <f>SUM(DU354:DV354)</f>
        <v>9784.7315356239305</v>
      </c>
      <c r="DX354" s="233">
        <f>DX105</f>
        <v>4773.7455782312927</v>
      </c>
      <c r="DY354" s="233">
        <f>DY105</f>
        <v>5296.2921325575526</v>
      </c>
      <c r="DZ354" s="1070">
        <f>SUM(DX354:DY354)</f>
        <v>10070.037710788845</v>
      </c>
      <c r="EA354" s="233">
        <f>EA105</f>
        <v>5728.4946938775511</v>
      </c>
      <c r="EB354" s="233">
        <f>EB105</f>
        <v>5667.0325818365818</v>
      </c>
      <c r="EC354" s="1070">
        <f>SUM(EA354:EB354)</f>
        <v>11395.527275714132</v>
      </c>
      <c r="ED354" s="233">
        <f>ED105</f>
        <v>6244.059216326531</v>
      </c>
      <c r="EE354" s="233">
        <f>EE105</f>
        <v>6177.065514201875</v>
      </c>
      <c r="EF354" s="1070">
        <f>SUM(ED354:EE354)</f>
        <v>12421.124730528405</v>
      </c>
      <c r="EG354" s="233">
        <f>EG105</f>
        <v>6806.024545795919</v>
      </c>
      <c r="EH354" s="233">
        <f>EH105</f>
        <v>6733.0014104800439</v>
      </c>
      <c r="EI354" s="1070">
        <f>SUM(EG354:EH354)</f>
        <v>13539.025956275964</v>
      </c>
      <c r="EJ354" s="233">
        <f>EJ105</f>
        <v>7418.5667549175523</v>
      </c>
      <c r="EK354" s="233">
        <f>EK105</f>
        <v>7338.9715374232483</v>
      </c>
      <c r="EL354" s="1070">
        <f>SUM(EJ354:EK354)</f>
        <v>14757.5382923408</v>
      </c>
      <c r="EM354" s="233">
        <f>EM105</f>
        <v>8086.2377628601325</v>
      </c>
      <c r="EN354" s="233">
        <f>EN105</f>
        <v>7999.4789757913413</v>
      </c>
      <c r="EO354" s="1070">
        <f>SUM(EM354:EN354)</f>
        <v>16085.716738651474</v>
      </c>
      <c r="EP354" s="233">
        <f>EP105</f>
        <v>8813.9991615175459</v>
      </c>
      <c r="EQ354" s="233">
        <f>EQ105</f>
        <v>8719.4320836125626</v>
      </c>
      <c r="ER354" s="1070">
        <f>SUM(EP354:EQ354)</f>
        <v>17533.431245130108</v>
      </c>
      <c r="ES354" s="233">
        <f>ES105</f>
        <v>9607.2590860541259</v>
      </c>
      <c r="ET354" s="233">
        <f>ET105</f>
        <v>9504.1809711376936</v>
      </c>
      <c r="EU354" s="1070">
        <f>SUM(ES354:ET354)</f>
        <v>19111.44005719182</v>
      </c>
      <c r="EV354" s="233">
        <f>EV105</f>
        <v>10471.912403798999</v>
      </c>
      <c r="EW354" s="233">
        <f>EW105</f>
        <v>10359.557258540086</v>
      </c>
      <c r="EX354" s="1070">
        <f>SUM(EV354:EW354)</f>
        <v>20831.469662339085</v>
      </c>
      <c r="EY354" s="233">
        <f>EY105</f>
        <v>11414.384520140909</v>
      </c>
      <c r="EZ354" s="233">
        <f>EZ105</f>
        <v>11291.917411808694</v>
      </c>
      <c r="FA354" s="1070">
        <f>SUM(EY354:EZ354)</f>
        <v>22706.301931949602</v>
      </c>
    </row>
    <row r="355" spans="1:173" outlineLevel="1">
      <c r="D355" s="162" t="s">
        <v>209</v>
      </c>
      <c r="BA355" s="35"/>
      <c r="BB355" s="35"/>
      <c r="BC355" s="35"/>
      <c r="BD355" s="171">
        <f>BD354/BA354-1</f>
        <v>0.22377622377622375</v>
      </c>
      <c r="BE355" s="171">
        <f>BE354/BB354-1</f>
        <v>1.2142606622319723</v>
      </c>
      <c r="BF355" s="171">
        <f>BF354/BC354-1</f>
        <v>0.54326436224822627</v>
      </c>
      <c r="BG355" s="171">
        <f>(BG354-BD354)/BD354</f>
        <v>-5.4028571428571502E-2</v>
      </c>
      <c r="BH355" s="171">
        <v>0.2</v>
      </c>
      <c r="BI355" s="171">
        <f>(BI354-BF354)/BF354</f>
        <v>0.20039665631046269</v>
      </c>
      <c r="BJ355" s="167">
        <v>0.2</v>
      </c>
      <c r="BK355" s="167">
        <v>-8.5000000000000006E-2</v>
      </c>
      <c r="BL355" s="167">
        <f>(BL354-BI354)/BI354</f>
        <v>3.5651369244205859E-2</v>
      </c>
      <c r="BM355" s="167">
        <v>0.03</v>
      </c>
      <c r="BN355" s="167">
        <v>0.25</v>
      </c>
      <c r="BO355" s="167">
        <f>(BO354-BL354)/BL354</f>
        <v>0.14208601304308782</v>
      </c>
      <c r="BP355" s="167">
        <v>0.27</v>
      </c>
      <c r="BQ355" s="167">
        <v>0.05</v>
      </c>
      <c r="BR355" s="167">
        <f>(BR354-BO354)/BO354</f>
        <v>0.14732314842859937</v>
      </c>
      <c r="BS355" s="167">
        <v>0.20599999999999999</v>
      </c>
      <c r="BT355" s="167">
        <v>0.25</v>
      </c>
      <c r="BU355" s="167">
        <f>(BU354-BR354)/BR354</f>
        <v>0.22845412625490777</v>
      </c>
      <c r="BV355" s="167">
        <v>6.2E-2</v>
      </c>
      <c r="BW355" s="167">
        <v>0.16</v>
      </c>
      <c r="BX355" s="167">
        <f>(BX354-BU354)/BU354</f>
        <v>0.1128886147571916</v>
      </c>
      <c r="BY355" s="167">
        <v>-0.05</v>
      </c>
      <c r="BZ355" s="167">
        <v>5.1999999999999998E-2</v>
      </c>
      <c r="CA355" s="167">
        <f>(CA354-BX354)/BX354</f>
        <v>5.2078729451521784E-3</v>
      </c>
      <c r="CB355" s="167">
        <v>0.09</v>
      </c>
      <c r="CC355" s="167">
        <v>0.2</v>
      </c>
      <c r="CD355" s="167">
        <f>(CD354-CA354)/CA354</f>
        <v>0.15230937380784831</v>
      </c>
      <c r="CE355" s="167">
        <f>CE266</f>
        <v>0.24917056258336648</v>
      </c>
      <c r="CF355" s="167">
        <f>CF354/CC354-1</f>
        <v>0.15098077074731187</v>
      </c>
      <c r="CG355" s="167">
        <f>(CG354-CD354)/CD354</f>
        <v>0.1912491436939876</v>
      </c>
      <c r="CH355" s="167">
        <f>CH354/CE354-1</f>
        <v>9.5000000000001084E-2</v>
      </c>
      <c r="CI355" s="167">
        <f>CI354/CF354-1</f>
        <v>-4.1335610200188277E-2</v>
      </c>
      <c r="CJ355" s="167">
        <f>(CJ354-CG354)/CG354</f>
        <v>1.7295239603442342E-2</v>
      </c>
      <c r="CK355" s="167">
        <f>CK354/CH354-1</f>
        <v>1.0640337394484591</v>
      </c>
      <c r="CL355" s="167">
        <f>CL354/CI354-1</f>
        <v>0.49503235511088928</v>
      </c>
      <c r="CM355" s="167">
        <f>(CM354-CJ354)/CJ354</f>
        <v>0.7584211605585236</v>
      </c>
      <c r="CN355" s="167">
        <f>CN354/CK354-1</f>
        <v>-0.4535971223021581</v>
      </c>
      <c r="CO355" s="167">
        <f>CO354/CL354-1</f>
        <v>-4.935799449709577E-2</v>
      </c>
      <c r="CP355" s="167">
        <f>(CP354-CM354)/CM354</f>
        <v>-0.26900041881893066</v>
      </c>
      <c r="CQ355" s="167">
        <f>CQ354/CN354-1</f>
        <v>-0.51660518431781299</v>
      </c>
      <c r="CR355" s="167">
        <f>CR354/CO354-1</f>
        <v>-0.13066116070317857</v>
      </c>
      <c r="CS355" s="167">
        <f>(CS354-CP354)/CP354</f>
        <v>-0.28740773225267219</v>
      </c>
      <c r="CT355" s="167">
        <f>CT354/CQ354-1</f>
        <v>1.9386411860356478</v>
      </c>
      <c r="CU355" s="167">
        <f>CU354/CR354-1</f>
        <v>-9.6120270740552183E-2</v>
      </c>
      <c r="CV355" s="167">
        <f>(CV354-CS354)/CS354</f>
        <v>0.46447330367529233</v>
      </c>
      <c r="CW355" s="167">
        <f>CW354/CT354-1</f>
        <v>-0.11116697263391917</v>
      </c>
      <c r="CX355" s="167">
        <f>CX354/CU354-1</f>
        <v>-0.25837481577081678</v>
      </c>
      <c r="CY355" s="167">
        <f>(CY354-CV354)/CV354</f>
        <v>-0.17699238367998807</v>
      </c>
      <c r="CZ355" s="167">
        <f>CZ354/CW354-1</f>
        <v>-0.39786722990659229</v>
      </c>
      <c r="DA355" s="167">
        <f>DA354/CX354-1</f>
        <v>0.35824286897796909</v>
      </c>
      <c r="DB355" s="167">
        <f>(DB354-CY354)/CY354</f>
        <v>-9.3198218184002729E-2</v>
      </c>
      <c r="DC355" s="167">
        <f>DC354/CZ354-1</f>
        <v>0.23009584160099772</v>
      </c>
      <c r="DD355" s="167">
        <f>DD354/DA354-1</f>
        <v>-0.1346902779247432</v>
      </c>
      <c r="DE355" s="167">
        <f>(DE354-DB354)/DB354</f>
        <v>9.9316836807797574E-3</v>
      </c>
      <c r="DF355" s="167">
        <f>DF354/DC354-1</f>
        <v>0.2387084782718305</v>
      </c>
      <c r="DG355" s="167">
        <f>DG354/DD354-1</f>
        <v>-0.36233657694652399</v>
      </c>
      <c r="DH355" s="1072">
        <f>(DH354-DE354)/DE354</f>
        <v>-7.2101482491368316E-2</v>
      </c>
      <c r="DI355" s="167">
        <f>DI354/DF354-1</f>
        <v>0.22975276467626227</v>
      </c>
      <c r="DJ355" s="167">
        <f>DJ354/DG354-1</f>
        <v>1.2706147035820301</v>
      </c>
      <c r="DK355" s="1072">
        <f>(DK354-DH354)/DH354</f>
        <v>0.59964230730850021</v>
      </c>
      <c r="DL355" s="167">
        <f>DL354/DI354-1</f>
        <v>5.490721303349666E-2</v>
      </c>
      <c r="DM355" s="167">
        <f>DM354/DJ354-1</f>
        <v>9.8219161889256501E-2</v>
      </c>
      <c r="DN355" s="1072">
        <f>(DN354-DK354)/DK354</f>
        <v>7.6754988049684447E-2</v>
      </c>
      <c r="DO355" s="167">
        <f>DO354/DL354-1</f>
        <v>0.20042825102888484</v>
      </c>
      <c r="DP355" s="167">
        <f>DP354/DM354-1</f>
        <v>0.12523870797894299</v>
      </c>
      <c r="DQ355" s="1072">
        <f>(DQ354-DN354)/DN354</f>
        <v>0.16174445723896222</v>
      </c>
      <c r="DR355" s="167">
        <f>DR354/DO354-1</f>
        <v>-5.9860363019356155E-3</v>
      </c>
      <c r="DS355" s="167">
        <f>DS354/DP354-1</f>
        <v>7.3609193168789444E-2</v>
      </c>
      <c r="DT355" s="1072">
        <f>(DT354-DQ354)/DQ354</f>
        <v>3.3677616468706678E-2</v>
      </c>
      <c r="DU355" s="167">
        <f>DU354/DR354-1</f>
        <v>0.30326824337701286</v>
      </c>
      <c r="DV355" s="167">
        <f>DV354/DS354-1</f>
        <v>0.17688392889504567</v>
      </c>
      <c r="DW355" s="1072">
        <f>(DW354-DT354)/DT354</f>
        <v>0.23785586276752513</v>
      </c>
      <c r="DX355" s="167">
        <f>DX354/DU354-1</f>
        <v>-3.9472447810180444E-2</v>
      </c>
      <c r="DY355" s="167">
        <f>DY354/DV354-1</f>
        <v>0.10000000000000009</v>
      </c>
      <c r="DZ355" s="1072">
        <f>(DZ354-DW354)/DW354</f>
        <v>2.915830384576024E-2</v>
      </c>
      <c r="EA355" s="167">
        <f>EA354/DX354-1</f>
        <v>0.19999999999999996</v>
      </c>
      <c r="EB355" s="167">
        <f>EB354/DY354-1</f>
        <v>7.0000000000000062E-2</v>
      </c>
      <c r="EC355" s="1072">
        <f>(EC354-DZ354)/DZ354</f>
        <v>0.13162707062210727</v>
      </c>
      <c r="ED355" s="167">
        <f>ED354/EA354-1</f>
        <v>9.000000000000008E-2</v>
      </c>
      <c r="EE355" s="167">
        <f>EE354/EB354-1</f>
        <v>9.000000000000008E-2</v>
      </c>
      <c r="EF355" s="1072">
        <f>(EF354-EC354)/EC354</f>
        <v>9.0000000000000108E-2</v>
      </c>
      <c r="EG355" s="167">
        <f>EG354/ED354-1</f>
        <v>9.000000000000008E-2</v>
      </c>
      <c r="EH355" s="167">
        <f>EH354/EE354-1</f>
        <v>9.000000000000008E-2</v>
      </c>
      <c r="EI355" s="1072">
        <f>(EI354-EF354)/EF354</f>
        <v>9.0000000000000191E-2</v>
      </c>
      <c r="EJ355" s="167">
        <f>EJ354/EG354-1</f>
        <v>9.000000000000008E-2</v>
      </c>
      <c r="EK355" s="167">
        <f>EK354/EH354-1</f>
        <v>9.000000000000008E-2</v>
      </c>
      <c r="EL355" s="1072">
        <f>(EL354-EI354)/EI354</f>
        <v>8.9999999999999927E-2</v>
      </c>
      <c r="EM355" s="167">
        <f>EM354/EJ354-1</f>
        <v>9.000000000000008E-2</v>
      </c>
      <c r="EN355" s="167">
        <f>EN354/EK354-1</f>
        <v>9.000000000000008E-2</v>
      </c>
      <c r="EO355" s="1072">
        <f>(EO354-EL354)/EL354</f>
        <v>9.0000000000000149E-2</v>
      </c>
      <c r="EP355" s="167">
        <f>EP354/EM354-1</f>
        <v>9.000000000000008E-2</v>
      </c>
      <c r="EQ355" s="167">
        <f>EQ354/EN354-1</f>
        <v>9.000000000000008E-2</v>
      </c>
      <c r="ER355" s="1072">
        <f>(ER354-EO354)/EO354</f>
        <v>9.0000000000000122E-2</v>
      </c>
      <c r="ES355" s="167">
        <f>ES354/EP354-1</f>
        <v>9.000000000000008E-2</v>
      </c>
      <c r="ET355" s="167">
        <f>ET354/EQ354-1</f>
        <v>9.000000000000008E-2</v>
      </c>
      <c r="EU355" s="1072">
        <f>(EU354-ER354)/ER354</f>
        <v>9.000000000000008E-2</v>
      </c>
      <c r="EV355" s="167">
        <f>EV354/ES354-1</f>
        <v>9.000000000000008E-2</v>
      </c>
      <c r="EW355" s="167">
        <f>EW354/ET354-1</f>
        <v>9.000000000000008E-2</v>
      </c>
      <c r="EX355" s="1072">
        <f>(EX354-EU354)/EU354</f>
        <v>9.0000000000000066E-2</v>
      </c>
      <c r="EY355" s="167">
        <f>EY354/EV354-1</f>
        <v>9.000000000000008E-2</v>
      </c>
      <c r="EZ355" s="167">
        <f>EZ354/EW354-1</f>
        <v>9.000000000000008E-2</v>
      </c>
      <c r="FA355" s="1072">
        <f>(FA354-EX354)/EX354</f>
        <v>8.9999999999999969E-2</v>
      </c>
    </row>
    <row r="356" spans="1:173" outlineLevel="1">
      <c r="B356" s="35" t="s">
        <v>424</v>
      </c>
      <c r="D356" s="162" t="s">
        <v>604</v>
      </c>
      <c r="BA356" s="35">
        <f>BA351/BA354</f>
        <v>3.4440559440559439E-2</v>
      </c>
      <c r="BB356" s="35">
        <f>BA356</f>
        <v>3.4440559440559439E-2</v>
      </c>
      <c r="BC356" s="35">
        <f>BC351/BC354</f>
        <v>3.4440559440559439E-2</v>
      </c>
      <c r="BD356" s="35">
        <f>BD351/BD354</f>
        <v>3.726714285714286E-2</v>
      </c>
      <c r="BE356" s="35">
        <f>BD356</f>
        <v>3.726714285714286E-2</v>
      </c>
      <c r="BF356" s="35">
        <f>BF351/BF354</f>
        <v>4.7290385655216163E-2</v>
      </c>
      <c r="BG356" s="35">
        <f>BG351/BG354</f>
        <v>3.9395632607448126E-2</v>
      </c>
      <c r="BH356" s="35">
        <f>BG356</f>
        <v>3.9395632607448126E-2</v>
      </c>
      <c r="BI356" s="35">
        <f>BI351/BI354</f>
        <v>3.9395632607448126E-2</v>
      </c>
      <c r="BJ356" s="35">
        <v>3.3369999999999997E-2</v>
      </c>
      <c r="BK356" s="35">
        <f>BJ356*(1+BK357)</f>
        <v>2.9198749999999996E-2</v>
      </c>
      <c r="BL356" s="35">
        <f>BK356*(1+BL357)</f>
        <v>2.5548906249999996E-2</v>
      </c>
      <c r="BM356" s="35">
        <f>BJ356*(1+BM357)</f>
        <v>3.2569119999999993E-2</v>
      </c>
      <c r="BN356" s="35">
        <f>BM356*(1+BN357)</f>
        <v>2.8963718415999994E-2</v>
      </c>
      <c r="BO356" s="35">
        <f>BN356*(1+BO357)</f>
        <v>2.5757434787348793E-2</v>
      </c>
      <c r="BP356" s="35">
        <f>BM356*(1+BP357)</f>
        <v>2.9605330079999995E-2</v>
      </c>
      <c r="BQ356" s="35">
        <f>BN356*(1+BQ357)</f>
        <v>2.4097813722111994E-2</v>
      </c>
      <c r="BR356" s="35">
        <f>BR359/BR354</f>
        <v>2.6794728542477549E-2</v>
      </c>
      <c r="BS356" s="35">
        <f>BP356*(1+BS357)</f>
        <v>2.891468616998388E-2</v>
      </c>
      <c r="BT356" s="35">
        <f>BS356*(1+BT357)</f>
        <v>2.2560075542655236E-2</v>
      </c>
      <c r="BU356" s="35">
        <f>BU359/BU354</f>
        <v>2.5614917474615681E-2</v>
      </c>
      <c r="BV356" s="35">
        <f>BS356*(1+BV357)</f>
        <v>2.7511300266926893E-2</v>
      </c>
      <c r="BW356" s="35">
        <f>BV356*(1+BW357)</f>
        <v>2.6464302492365976E-2</v>
      </c>
      <c r="BX356" s="35">
        <f>BX359/BX354</f>
        <v>2.6944608893281635E-2</v>
      </c>
      <c r="BY356" s="35">
        <f>BV356*(1+BY357)</f>
        <v>3.0511279724488208E-2</v>
      </c>
      <c r="BZ356" s="35">
        <f>BY356*(1+BZ357)</f>
        <v>2.5055159744125824E-2</v>
      </c>
      <c r="CA356" s="35">
        <f>CA359/CA354</f>
        <v>2.7420666820880301E-2</v>
      </c>
      <c r="CB356" s="35">
        <f>BY356*(1+CB357)</f>
        <v>3.2366365531737093E-2</v>
      </c>
      <c r="CC356" s="35">
        <f>CB356*(1+CC357)</f>
        <v>2.4063421781880579E-2</v>
      </c>
      <c r="CD356" s="35">
        <f>CD359/CD354</f>
        <v>2.7468521530261171E-2</v>
      </c>
      <c r="CE356" s="35">
        <f>CD356*(1+CE357)</f>
        <v>2.6423893656465337E-2</v>
      </c>
      <c r="CF356" s="35">
        <f>CC356*(1+CF357)</f>
        <v>2.3573731148619308E-2</v>
      </c>
      <c r="CG356" s="35">
        <f>CG359/CG354</f>
        <v>2.4799437694899375E-2</v>
      </c>
      <c r="CH356" s="35">
        <f>CE356*(1+CH357)</f>
        <v>2.2382359121708963E-2</v>
      </c>
      <c r="CI356" s="35">
        <f>CF356*(1+CI357)</f>
        <v>2.5376650106865715E-2</v>
      </c>
      <c r="CJ356" s="35">
        <f>CJ359/CJ354</f>
        <v>2.3990602994412347E-2</v>
      </c>
      <c r="CK356" s="35">
        <f>CH356*(1+CK357)</f>
        <v>1.6255859782914786E-2</v>
      </c>
      <c r="CL356" s="35">
        <f>CI356*(1+CL357)</f>
        <v>1.8585858538268447E-2</v>
      </c>
      <c r="CM356" s="35">
        <f>CM359/CM354</f>
        <v>1.7319858935331629E-2</v>
      </c>
      <c r="CN356" s="35">
        <f>CK356*(1+CN357)</f>
        <v>2.3131690195386734E-2</v>
      </c>
      <c r="CO356" s="35">
        <f>CL356*(1+CO357)</f>
        <v>2.4462703606631185E-2</v>
      </c>
      <c r="CP356" s="35">
        <f>CP359/CP354</f>
        <v>2.3922128351844284E-2</v>
      </c>
      <c r="CQ356" s="35">
        <f>CN356*(1+CQ357)</f>
        <v>5.3233014641195377E-2</v>
      </c>
      <c r="CR356" s="35">
        <f>CO356*(1+CR357)</f>
        <v>3.4752017141106636E-2</v>
      </c>
      <c r="CS356" s="35">
        <f>CS359/CS354</f>
        <v>3.9843684477758254E-2</v>
      </c>
      <c r="CT356" s="35">
        <f>CQ356*(1+CT357)</f>
        <v>2.8404093424290677E-2</v>
      </c>
      <c r="CU356" s="35">
        <f>CR356*(1+CU357)</f>
        <v>3.5412305466787662E-2</v>
      </c>
      <c r="CV356" s="35">
        <f>CV359/CV354</f>
        <v>3.1537883231715309E-2</v>
      </c>
      <c r="CW356" s="35">
        <f>CT356*(1+CW357)</f>
        <v>3.1175208564696431E-2</v>
      </c>
      <c r="CX356" s="35">
        <f>CU356*(1+CX357)</f>
        <v>4.9223104598834853E-2</v>
      </c>
      <c r="CY356" s="35">
        <f>CY359/CY354</f>
        <v>3.8447475733862355E-2</v>
      </c>
      <c r="CZ356" s="35">
        <f>CW356*(1+CZ357)</f>
        <v>4.3990672983206011E-2</v>
      </c>
      <c r="DA356" s="35">
        <f>CX356*(1+DA357)</f>
        <v>4.2359211483951539E-2</v>
      </c>
      <c r="DB356" s="35">
        <f>DB359/DB354</f>
        <v>4.3006015596489658E-2</v>
      </c>
      <c r="DC356" s="35">
        <f>CZ356*(1+DC357)</f>
        <v>4.2231046063877772E-2</v>
      </c>
      <c r="DD356" s="35">
        <f>DA356*(1+DD357)</f>
        <v>4.9551080037749211E-2</v>
      </c>
      <c r="DE356" s="35">
        <f>DE359/DE354</f>
        <v>4.6016352094517564E-2</v>
      </c>
      <c r="DF356" s="35">
        <f>DF359/DF354</f>
        <v>4.0783728482966478E-2</v>
      </c>
      <c r="DG356" s="35">
        <f>DD356*(1+DG357)</f>
        <v>5.3391013894003719E-2</v>
      </c>
      <c r="DH356" s="1067">
        <f>DH359/DH354</f>
        <v>4.5263960548541926E-2</v>
      </c>
      <c r="DI356" s="35">
        <f>+DI359/DI354</f>
        <v>2.6166772170109917E-2</v>
      </c>
      <c r="DJ356" s="35">
        <f t="shared" ref="DJ356" si="1974">+DJ359/DJ354</f>
        <v>2.3266418575397033E-2</v>
      </c>
      <c r="DK356" s="1067">
        <f>DK359/DK354</f>
        <v>2.470375158390389E-2</v>
      </c>
      <c r="DL356" s="35">
        <f>+DL359/DL354</f>
        <v>2.4620926981395848E-2</v>
      </c>
      <c r="DM356" s="35">
        <f t="shared" ref="DM356" si="1975">+DM359/DM354</f>
        <v>2.4371936274509808E-2</v>
      </c>
      <c r="DN356" s="1067">
        <f>DN359/DN354</f>
        <v>2.4492825322972561E-2</v>
      </c>
      <c r="DO356" s="35">
        <f>+DO359/DO354</f>
        <v>2.4147018683232154E-2</v>
      </c>
      <c r="DP356" s="35">
        <f t="shared" ref="DP356" si="1976">+DP359/DP354</f>
        <v>2.699174924695508E-2</v>
      </c>
      <c r="DQ356" s="1067">
        <f>DQ359/DQ354</f>
        <v>2.5564596169418544E-2</v>
      </c>
      <c r="DR356" s="35">
        <f>+DR359/DR354</f>
        <v>2.6805274252883066E-2</v>
      </c>
      <c r="DS356" s="35">
        <f t="shared" ref="DS356" si="1977">+DS359/DS354</f>
        <v>2.8561244600998022E-2</v>
      </c>
      <c r="DT356" s="1067">
        <f>DT359/DT354</f>
        <v>2.7714106976474404E-2</v>
      </c>
      <c r="DU356" s="35">
        <f>+DU359/DU354</f>
        <v>2.8534856242615207E-2</v>
      </c>
      <c r="DV356" s="35">
        <f t="shared" ref="DV356" si="1978">+DV359/DV354</f>
        <v>2.6093498495346073E-2</v>
      </c>
      <c r="DW356" s="1067">
        <f>DW359/DW354</f>
        <v>2.7333527809029742E-2</v>
      </c>
      <c r="DX356" s="35">
        <f>+DX359/DX354</f>
        <v>2.6798933965057743E-2</v>
      </c>
      <c r="DY356" s="35">
        <f>DV356*(1+DY357)</f>
        <v>2.9485653299741059E-2</v>
      </c>
      <c r="DZ356" s="1067">
        <f>DZ359/DZ354</f>
        <v>2.8212002206046367E-2</v>
      </c>
      <c r="EA356" s="35">
        <f>DX356*(1+EA357)</f>
        <v>2.9478827361563518E-2</v>
      </c>
      <c r="EB356" s="35">
        <f>DY356*(1+EB357)</f>
        <v>2.9485653299741059E-2</v>
      </c>
      <c r="EC356" s="1067">
        <f>EC359/EC354</f>
        <v>2.9482221922702976E-2</v>
      </c>
      <c r="ED356" s="35">
        <f>EA356*(1+ED357)</f>
        <v>2.9478827361563518E-2</v>
      </c>
      <c r="EE356" s="35">
        <f>EB356*(1+EE357)</f>
        <v>2.9485653299741059E-2</v>
      </c>
      <c r="EF356" s="1067">
        <f>EF359/EF354</f>
        <v>2.9482221922702972E-2</v>
      </c>
      <c r="EG356" s="35">
        <f>ED356*(1+EG357)</f>
        <v>2.9478827361563518E-2</v>
      </c>
      <c r="EH356" s="35">
        <f>EE356*(1+EH357)</f>
        <v>2.9485653299741059E-2</v>
      </c>
      <c r="EI356" s="1067">
        <f>EI359/EI354</f>
        <v>2.9482221922702972E-2</v>
      </c>
      <c r="EJ356" s="35">
        <f>EG356*(1+EJ357)</f>
        <v>2.9478827361563518E-2</v>
      </c>
      <c r="EK356" s="35">
        <f>EH356*(1+EK357)</f>
        <v>2.9485653299741059E-2</v>
      </c>
      <c r="EL356" s="1067">
        <f>EL359/EL354</f>
        <v>2.9482221922702976E-2</v>
      </c>
      <c r="EM356" s="35">
        <f>EJ356*(1+EM357)</f>
        <v>2.9478827361563518E-2</v>
      </c>
      <c r="EN356" s="35">
        <f>EK356*(1+EN357)</f>
        <v>2.9485653299741059E-2</v>
      </c>
      <c r="EO356" s="1067">
        <f>EO359/EO354</f>
        <v>2.9482221922702972E-2</v>
      </c>
      <c r="EP356" s="35">
        <f>EM356*(1+EP357)</f>
        <v>2.9478827361563518E-2</v>
      </c>
      <c r="EQ356" s="35">
        <f>EN356*(1+EQ357)</f>
        <v>2.9485653299741059E-2</v>
      </c>
      <c r="ER356" s="1067">
        <f>ER359/ER354</f>
        <v>2.9482221922702976E-2</v>
      </c>
      <c r="ES356" s="35">
        <f>EP356*(1+ES357)</f>
        <v>2.9478827361563518E-2</v>
      </c>
      <c r="ET356" s="35">
        <f>EQ356*(1+ET357)</f>
        <v>2.9485653299741059E-2</v>
      </c>
      <c r="EU356" s="1067">
        <f>EU359/EU354</f>
        <v>2.9482221922702972E-2</v>
      </c>
      <c r="EV356" s="35">
        <f>ES356*(1+EV357)</f>
        <v>2.9478827361563518E-2</v>
      </c>
      <c r="EW356" s="35">
        <f>ET356*(1+EW357)</f>
        <v>2.9485653299741059E-2</v>
      </c>
      <c r="EX356" s="1067">
        <f>EX359/EX354</f>
        <v>2.9482221922702972E-2</v>
      </c>
      <c r="EY356" s="35">
        <f>EV356*(1+EY357)</f>
        <v>2.9478827361563518E-2</v>
      </c>
      <c r="EZ356" s="35">
        <f>EW356*(1+EZ357)</f>
        <v>2.9485653299741059E-2</v>
      </c>
      <c r="FA356" s="1067">
        <f>FA359/FA354</f>
        <v>2.9482221922702976E-2</v>
      </c>
    </row>
    <row r="357" spans="1:173" outlineLevel="1">
      <c r="A357" s="1421"/>
      <c r="D357" s="162" t="s">
        <v>209</v>
      </c>
      <c r="BA357" s="91"/>
      <c r="BB357" s="91"/>
      <c r="BC357" s="91"/>
      <c r="BD357" s="169">
        <f t="shared" ref="BD357:BI357" si="1979">(BD356-BA356)/BA356</f>
        <v>8.2071356055112538E-2</v>
      </c>
      <c r="BE357" s="169">
        <f t="shared" si="1979"/>
        <v>8.2071356055112538E-2</v>
      </c>
      <c r="BF357" s="169">
        <f t="shared" si="1979"/>
        <v>0.37310155303470288</v>
      </c>
      <c r="BG357" s="169">
        <f t="shared" si="1979"/>
        <v>5.7114379775891691E-2</v>
      </c>
      <c r="BH357" s="169">
        <f t="shared" si="1979"/>
        <v>5.7114379775891691E-2</v>
      </c>
      <c r="BI357" s="169">
        <f t="shared" si="1979"/>
        <v>-0.16694203141684974</v>
      </c>
      <c r="BJ357" s="165">
        <v>0</v>
      </c>
      <c r="BK357" s="165">
        <v>-0.125</v>
      </c>
      <c r="BL357" s="165">
        <f>BK357</f>
        <v>-0.125</v>
      </c>
      <c r="BM357" s="165">
        <v>-2.4E-2</v>
      </c>
      <c r="BN357" s="165">
        <v>-0.11070000000000001</v>
      </c>
      <c r="BO357" s="165">
        <f>BN357</f>
        <v>-0.11070000000000001</v>
      </c>
      <c r="BP357" s="165">
        <v>-9.0999999999999998E-2</v>
      </c>
      <c r="BQ357" s="165">
        <v>-0.16800000000000001</v>
      </c>
      <c r="BR357" s="165">
        <f>BR356/BO356-1</f>
        <v>4.0271625015944501E-2</v>
      </c>
      <c r="BS357" s="166">
        <v>-2.3328363782800079E-2</v>
      </c>
      <c r="BT357" s="166">
        <v>-0.21977103918649205</v>
      </c>
      <c r="BU357" s="167">
        <f>BT357</f>
        <v>-0.21977103918649205</v>
      </c>
      <c r="BV357" s="166">
        <v>-4.85354015190326E-2</v>
      </c>
      <c r="BW357" s="166">
        <v>-3.8057008007708747E-2</v>
      </c>
      <c r="BX357" s="167">
        <f>BW357</f>
        <v>-3.8057008007708747E-2</v>
      </c>
      <c r="BY357" s="166">
        <v>0.1090453533077019</v>
      </c>
      <c r="BZ357" s="166">
        <v>-0.17882304608755323</v>
      </c>
      <c r="CA357" s="167">
        <f>CA356/BX356-1</f>
        <v>1.7668021439248616E-2</v>
      </c>
      <c r="CB357" s="166">
        <v>6.08E-2</v>
      </c>
      <c r="CC357" s="166">
        <v>-0.25652999999999998</v>
      </c>
      <c r="CD357" s="167">
        <f>CC357</f>
        <v>-0.25652999999999998</v>
      </c>
      <c r="CE357" s="166">
        <v>-3.8030000000000001E-2</v>
      </c>
      <c r="CF357" s="166">
        <v>-2.035E-2</v>
      </c>
      <c r="CG357" s="167">
        <f>CF357</f>
        <v>-2.035E-2</v>
      </c>
      <c r="CH357" s="170">
        <v>-0.15295</v>
      </c>
      <c r="CI357" s="170">
        <v>7.6480000000000006E-2</v>
      </c>
      <c r="CJ357" s="171">
        <f>CJ176</f>
        <v>-5.3560000000000003E-2</v>
      </c>
      <c r="CK357" s="170">
        <v>-0.27372000000000002</v>
      </c>
      <c r="CL357" s="170">
        <v>-0.2676</v>
      </c>
      <c r="CM357" s="171">
        <f>CM268</f>
        <v>-3.595095280949856E-2</v>
      </c>
      <c r="CN357" s="170">
        <v>0.42297549956099967</v>
      </c>
      <c r="CO357" s="170">
        <v>0.31619981698785993</v>
      </c>
      <c r="CP357" s="171">
        <f>CP268</f>
        <v>4.2886638480173378E-2</v>
      </c>
      <c r="CQ357" s="72">
        <v>1.3013024206857091</v>
      </c>
      <c r="CR357" s="72">
        <v>0.42061227981711269</v>
      </c>
      <c r="CS357" s="171">
        <f>CS268</f>
        <v>0.17890757688404069</v>
      </c>
      <c r="CT357" s="72">
        <v>-0.46641959664050975</v>
      </c>
      <c r="CU357" s="72">
        <v>1.9E-2</v>
      </c>
      <c r="CV357" s="171">
        <f>CV356/CS356-1</f>
        <v>-0.20845966819859374</v>
      </c>
      <c r="CW357" s="72">
        <v>9.7560414937797102E-2</v>
      </c>
      <c r="CX357" s="72">
        <v>0.39</v>
      </c>
      <c r="CY357" s="171">
        <f>CY356/CV356-1</f>
        <v>0.21908865764328089</v>
      </c>
      <c r="CZ357" s="72">
        <v>0.41107870672025343</v>
      </c>
      <c r="DA357" s="72">
        <v>-0.13944453871456514</v>
      </c>
      <c r="DB357" s="171">
        <f>DB356/CY356-1</f>
        <v>0.11856538760000834</v>
      </c>
      <c r="DC357" s="264">
        <f>DC176</f>
        <v>-0.04</v>
      </c>
      <c r="DD357" s="72">
        <v>0.16978287134835898</v>
      </c>
      <c r="DE357" s="171">
        <f>DE356/DB356-1</f>
        <v>6.999803297921936E-2</v>
      </c>
      <c r="DF357" s="171">
        <f>DF356/DC356-1</f>
        <v>-3.4271412048901495E-2</v>
      </c>
      <c r="DG357" s="72">
        <v>7.7494453265784705E-2</v>
      </c>
      <c r="DH357" s="1073">
        <f>DH356/DE356-1</f>
        <v>-1.6350525665968174E-2</v>
      </c>
      <c r="DI357" s="264"/>
      <c r="DJ357" s="264"/>
      <c r="DK357" s="1068"/>
      <c r="DL357" s="171">
        <f t="shared" ref="DL357:DU357" si="1980">DL356/DI356-1</f>
        <v>-5.9076647997106657E-2</v>
      </c>
      <c r="DM357" s="171">
        <f t="shared" si="1980"/>
        <v>4.7515594010751672E-2</v>
      </c>
      <c r="DN357" s="1068">
        <f t="shared" si="1980"/>
        <v>-8.5382278968818559E-3</v>
      </c>
      <c r="DO357" s="171">
        <f t="shared" si="1980"/>
        <v>-1.9248190716856017E-2</v>
      </c>
      <c r="DP357" s="171">
        <f t="shared" si="1980"/>
        <v>0.10749301749920015</v>
      </c>
      <c r="DQ357" s="1068">
        <f t="shared" si="1980"/>
        <v>4.3758563265493766E-2</v>
      </c>
      <c r="DR357" s="171">
        <f t="shared" si="1980"/>
        <v>0.11008628454397229</v>
      </c>
      <c r="DS357" s="171">
        <f t="shared" si="1980"/>
        <v>5.8147226386966899E-2</v>
      </c>
      <c r="DT357" s="1068">
        <f>DT356/DQ356-1</f>
        <v>8.4081547496815068E-2</v>
      </c>
      <c r="DU357" s="171">
        <f t="shared" si="1980"/>
        <v>6.4523943064903166E-2</v>
      </c>
      <c r="DV357" s="171">
        <f t="shared" ref="DV357" si="1981">DV356/DS356-1</f>
        <v>-8.6401910705450113E-2</v>
      </c>
      <c r="DW357" s="1068">
        <f>DW356/DT356-1</f>
        <v>-1.3732326564508179E-2</v>
      </c>
      <c r="DX357" s="171">
        <f t="shared" ref="DX357" si="1982">DX356/DU356-1</f>
        <v>-6.0835150624132472E-2</v>
      </c>
      <c r="DY357" s="1143">
        <f>+DY176</f>
        <v>0.13</v>
      </c>
      <c r="DZ357" s="1142">
        <f t="shared" ref="DZ357" si="1983">DZ356/DW356-1</f>
        <v>3.2139078539522359E-2</v>
      </c>
      <c r="EA357" s="1143">
        <f t="shared" ref="EA357:EB357" si="1984">+EA176</f>
        <v>0.1</v>
      </c>
      <c r="EB357" s="1143">
        <f t="shared" si="1984"/>
        <v>0</v>
      </c>
      <c r="EC357" s="1142">
        <f t="shared" ref="EC357" si="1985">EC356/DZ356-1</f>
        <v>4.5024089654451371E-2</v>
      </c>
      <c r="ED357" s="1143">
        <f t="shared" ref="ED357:EE357" si="1986">+ED176</f>
        <v>0</v>
      </c>
      <c r="EE357" s="1143">
        <f t="shared" si="1986"/>
        <v>0</v>
      </c>
      <c r="EF357" s="1142">
        <f t="shared" ref="EF357" si="1987">EF356/EC356-1</f>
        <v>0</v>
      </c>
      <c r="EG357" s="1143">
        <f t="shared" ref="EG357" si="1988">+EE357</f>
        <v>0</v>
      </c>
      <c r="EH357" s="1143">
        <f t="shared" ref="EH357" si="1989">+EG357</f>
        <v>0</v>
      </c>
      <c r="EI357" s="1142">
        <f t="shared" ref="EI357" si="1990">EI356/EF356-1</f>
        <v>0</v>
      </c>
      <c r="EJ357" s="1143">
        <f t="shared" ref="EJ357" si="1991">+EH357</f>
        <v>0</v>
      </c>
      <c r="EK357" s="1143">
        <f t="shared" ref="EK357" si="1992">+EJ357</f>
        <v>0</v>
      </c>
      <c r="EL357" s="1142">
        <f t="shared" ref="EL357" si="1993">EL356/EI356-1</f>
        <v>0</v>
      </c>
      <c r="EM357" s="1143">
        <f t="shared" ref="EM357" si="1994">+EK357</f>
        <v>0</v>
      </c>
      <c r="EN357" s="1143">
        <f t="shared" ref="EN357" si="1995">+EM357</f>
        <v>0</v>
      </c>
      <c r="EO357" s="1142">
        <f t="shared" ref="EO357" si="1996">EO356/EL356-1</f>
        <v>0</v>
      </c>
      <c r="EP357" s="1143">
        <f t="shared" ref="EP357" si="1997">+EN357</f>
        <v>0</v>
      </c>
      <c r="EQ357" s="1143">
        <f t="shared" ref="EQ357" si="1998">+EP357</f>
        <v>0</v>
      </c>
      <c r="ER357" s="1142">
        <f t="shared" ref="ER357" si="1999">ER356/EO356-1</f>
        <v>0</v>
      </c>
      <c r="ES357" s="1143">
        <f t="shared" ref="ES357" si="2000">+EQ357</f>
        <v>0</v>
      </c>
      <c r="ET357" s="1143">
        <f t="shared" ref="ET357" si="2001">+ES357</f>
        <v>0</v>
      </c>
      <c r="EU357" s="1142">
        <f t="shared" ref="EU357" si="2002">EU356/ER356-1</f>
        <v>0</v>
      </c>
      <c r="EV357" s="1143">
        <f t="shared" ref="EV357" si="2003">+ET357</f>
        <v>0</v>
      </c>
      <c r="EW357" s="1143">
        <f t="shared" ref="EW357" si="2004">+EV357</f>
        <v>0</v>
      </c>
      <c r="EX357" s="1142">
        <f t="shared" ref="EX357" si="2005">EX356/EU356-1</f>
        <v>0</v>
      </c>
      <c r="EY357" s="1143">
        <f t="shared" ref="EY357" si="2006">+EW357</f>
        <v>0</v>
      </c>
      <c r="EZ357" s="1143">
        <f t="shared" ref="EZ357" si="2007">+EY357</f>
        <v>0</v>
      </c>
      <c r="FA357" s="1142">
        <f t="shared" ref="FA357" si="2008">FA356/EX356-1</f>
        <v>0</v>
      </c>
    </row>
    <row r="358" spans="1:173" outlineLevel="1">
      <c r="BA358" s="91"/>
      <c r="BB358" s="91"/>
      <c r="BC358" s="91"/>
      <c r="BD358" s="169"/>
      <c r="BE358" s="169"/>
      <c r="BF358" s="169"/>
      <c r="BG358" s="169"/>
      <c r="BH358" s="169"/>
      <c r="BI358" s="169"/>
      <c r="BJ358" s="165"/>
      <c r="BK358" s="165"/>
      <c r="BL358" s="165"/>
      <c r="BM358" s="165"/>
      <c r="BN358" s="165"/>
      <c r="BO358" s="165"/>
      <c r="BP358" s="165"/>
      <c r="BQ358" s="165"/>
      <c r="BR358" s="165"/>
      <c r="BS358" s="166"/>
      <c r="BT358" s="166"/>
      <c r="BU358" s="167"/>
      <c r="BV358" s="166"/>
      <c r="BW358" s="166"/>
      <c r="BX358" s="167"/>
      <c r="BY358" s="166"/>
      <c r="BZ358" s="166"/>
      <c r="CA358" s="167"/>
      <c r="CB358" s="166"/>
      <c r="CC358" s="166"/>
      <c r="CE358" s="166"/>
      <c r="CF358" s="166"/>
      <c r="CG358" s="167"/>
      <c r="CH358" s="71"/>
      <c r="CI358" s="166"/>
      <c r="CJ358" s="167"/>
      <c r="CK358" s="166"/>
      <c r="CL358" s="166"/>
      <c r="CM358" s="167"/>
      <c r="CN358" s="166"/>
      <c r="CO358" s="166"/>
      <c r="CP358" s="167"/>
      <c r="CQ358" s="166"/>
      <c r="CR358" s="166"/>
      <c r="CS358" s="167"/>
      <c r="CT358" s="166"/>
      <c r="CU358" s="166"/>
      <c r="CV358" s="167"/>
      <c r="CW358" s="166"/>
      <c r="CX358" s="166"/>
      <c r="CY358" s="167"/>
      <c r="CZ358" s="166"/>
      <c r="DA358" s="166"/>
      <c r="DB358" s="167"/>
      <c r="DC358" s="166"/>
      <c r="DD358" s="166"/>
      <c r="DE358" s="167"/>
      <c r="DF358" s="166"/>
      <c r="DG358" s="166"/>
      <c r="DH358" s="1072"/>
      <c r="DI358" s="166"/>
      <c r="DJ358" s="166"/>
      <c r="DK358" s="1072"/>
      <c r="DL358" s="166"/>
      <c r="DM358" s="166"/>
      <c r="DN358" s="1072"/>
      <c r="DO358" s="166"/>
      <c r="DP358" s="166"/>
      <c r="DQ358" s="1072"/>
      <c r="DR358" s="318"/>
      <c r="DS358" s="166"/>
      <c r="DT358" s="1625"/>
      <c r="DU358" s="1629">
        <f>+DU356*1000000</f>
        <v>28534.856242615206</v>
      </c>
      <c r="DV358" s="1629">
        <f>+DV356*1000000</f>
        <v>26093.498495346073</v>
      </c>
      <c r="DW358" s="1625"/>
      <c r="DX358" s="1629">
        <f>+DX356*1000000</f>
        <v>26798.933965057742</v>
      </c>
      <c r="DY358" s="1629">
        <f>+DY356*1000000</f>
        <v>29485.653299741058</v>
      </c>
      <c r="DZ358" s="1072"/>
      <c r="EA358" s="1629">
        <f>+EA356*1000000</f>
        <v>29478.827361563519</v>
      </c>
      <c r="EB358" s="1629">
        <f>+EB356*1000000</f>
        <v>29485.653299741058</v>
      </c>
      <c r="EC358" s="1072"/>
      <c r="ED358" s="1629">
        <f>+ED356*1000000</f>
        <v>29478.827361563519</v>
      </c>
      <c r="EE358" s="1629">
        <f>+EE356*1000000</f>
        <v>29485.653299741058</v>
      </c>
      <c r="EF358" s="1072"/>
      <c r="EG358" s="166"/>
      <c r="EH358" s="166"/>
      <c r="EI358" s="1072"/>
      <c r="EJ358" s="166"/>
      <c r="EK358" s="166"/>
      <c r="EL358" s="1072"/>
      <c r="EM358" s="166"/>
      <c r="EN358" s="166"/>
      <c r="EO358" s="1072"/>
      <c r="EP358" s="166"/>
      <c r="EQ358" s="166"/>
      <c r="ER358" s="1072"/>
      <c r="ES358" s="166"/>
      <c r="ET358" s="166"/>
      <c r="EU358" s="1072"/>
      <c r="EV358" s="166"/>
      <c r="EW358" s="166"/>
      <c r="EX358" s="1072"/>
      <c r="EY358" s="166"/>
      <c r="EZ358" s="166"/>
      <c r="FA358" s="1072"/>
    </row>
    <row r="359" spans="1:173" outlineLevel="1">
      <c r="B359" s="35" t="s">
        <v>395</v>
      </c>
      <c r="D359" s="162" t="s">
        <v>604</v>
      </c>
      <c r="BA359" s="70">
        <v>19.7</v>
      </c>
      <c r="BB359" s="70">
        <v>9.3799568314324642</v>
      </c>
      <c r="BC359" s="70">
        <v>29.079956831432462</v>
      </c>
      <c r="BD359" s="70">
        <v>26.087</v>
      </c>
      <c r="BE359" s="70">
        <v>35.535135302513758</v>
      </c>
      <c r="BF359" s="70">
        <v>61.622135302513755</v>
      </c>
      <c r="BG359" s="70">
        <v>26.087</v>
      </c>
      <c r="BH359" s="70">
        <v>35.535135302513758</v>
      </c>
      <c r="BI359" s="70">
        <v>61.622135302513755</v>
      </c>
      <c r="BJ359" s="70">
        <v>26.516335919999992</v>
      </c>
      <c r="BK359" s="70">
        <v>24.098790623863959</v>
      </c>
      <c r="BL359" s="70">
        <v>50.615126543863951</v>
      </c>
      <c r="BM359" s="70">
        <v>26.656342173657592</v>
      </c>
      <c r="BN359" s="70">
        <v>29.881013133941384</v>
      </c>
      <c r="BO359" s="70">
        <v>56.537355307598972</v>
      </c>
      <c r="BP359" s="70">
        <v>30.772881095535531</v>
      </c>
      <c r="BQ359" s="70">
        <v>26.10405307381119</v>
      </c>
      <c r="BR359" s="70">
        <v>56.876934169346725</v>
      </c>
      <c r="BS359" s="70">
        <v>36.246330157616995</v>
      </c>
      <c r="BT359" s="70">
        <v>30.547865052498658</v>
      </c>
      <c r="BU359" s="70">
        <v>66.794195210115646</v>
      </c>
      <c r="BV359" s="70">
        <v>36.625300167954819</v>
      </c>
      <c r="BW359" s="70">
        <v>41.567964170663181</v>
      </c>
      <c r="BX359" s="70">
        <v>78.193264338618008</v>
      </c>
      <c r="BY359" s="70">
        <v>38.588163016531581</v>
      </c>
      <c r="BZ359" s="70">
        <v>41.401036960709341</v>
      </c>
      <c r="CA359" s="70">
        <v>79.989199977240929</v>
      </c>
      <c r="CB359" s="70">
        <v>44.618412427451005</v>
      </c>
      <c r="CC359" s="70">
        <v>47.714752159647119</v>
      </c>
      <c r="CD359" s="70">
        <v>92.333164587098125</v>
      </c>
      <c r="CE359" s="70">
        <f>CE356*CE354</f>
        <v>45.502864067413569</v>
      </c>
      <c r="CF359" s="70">
        <f>CF356*CF354</f>
        <v>53.801165405617198</v>
      </c>
      <c r="CG359" s="70">
        <f>SUM(CE359:CF359)</f>
        <v>99.304029473030766</v>
      </c>
      <c r="CH359" s="70">
        <f>CH356*CH354</f>
        <v>42.204805104091456</v>
      </c>
      <c r="CI359" s="70">
        <f>CI356*CI354</f>
        <v>55.521890356279918</v>
      </c>
      <c r="CJ359" s="70">
        <f>SUM(CH359:CI359)</f>
        <v>97.726695460371374</v>
      </c>
      <c r="CK359" s="70">
        <f>CK356*CK354</f>
        <v>63.267806275104356</v>
      </c>
      <c r="CL359" s="70">
        <f>CL356*CL354</f>
        <v>60.794343278676081</v>
      </c>
      <c r="CM359" s="70">
        <f>SUM(CK359:CL359)</f>
        <v>124.06214955378044</v>
      </c>
      <c r="CN359" s="70">
        <f>CN356*CN354</f>
        <v>49.191852369509448</v>
      </c>
      <c r="CO359" s="74">
        <f>CO356*CO354</f>
        <v>76.067999999999984</v>
      </c>
      <c r="CP359" s="70">
        <f>SUM(CN359:CO359)</f>
        <v>125.25985236950943</v>
      </c>
      <c r="CQ359" s="70">
        <f>CQ356*CQ354</f>
        <v>54.722869115242709</v>
      </c>
      <c r="CR359" s="70">
        <f>CR356*CR354</f>
        <v>93.943480265722556</v>
      </c>
      <c r="CS359" s="70">
        <f>SUM(CQ359:CR359)</f>
        <v>148.66634938096527</v>
      </c>
      <c r="CT359" s="70">
        <f>CT356*CT354</f>
        <v>85.805532614301569</v>
      </c>
      <c r="CU359" s="70">
        <f>CU356*CU354</f>
        <v>86.526966050928735</v>
      </c>
      <c r="CV359" s="70">
        <f>SUM(CT359:CU359)</f>
        <v>172.3324986652303</v>
      </c>
      <c r="CW359" s="70">
        <f>CW356*CW354</f>
        <v>83.707411125319169</v>
      </c>
      <c r="CX359" s="70">
        <f>CX356*CX354</f>
        <v>89.197102222254102</v>
      </c>
      <c r="CY359" s="70">
        <f>SUM(CW359:CX359)</f>
        <v>172.90451334757327</v>
      </c>
      <c r="CZ359" s="70">
        <f>CZ356*CZ354</f>
        <v>71.122565255131121</v>
      </c>
      <c r="DA359" s="70">
        <f>DA356*DA354</f>
        <v>104.25743697551097</v>
      </c>
      <c r="DB359" s="70">
        <f>SUM(CZ359:DA359)</f>
        <v>175.38000223064211</v>
      </c>
      <c r="DC359" s="70">
        <f>DC356*DC354</f>
        <v>83.988068893759106</v>
      </c>
      <c r="DD359" s="70">
        <f>DD356*DD354</f>
        <v>105.5319311062409</v>
      </c>
      <c r="DE359" s="70">
        <f>SUM(DC359:DD359)</f>
        <v>189.52</v>
      </c>
      <c r="DF359" s="1024">
        <f>469.9-DF272-DF180</f>
        <v>100.47124726708924</v>
      </c>
      <c r="DG359" s="70">
        <f>DG356*DG354</f>
        <v>72.508752732910722</v>
      </c>
      <c r="DH359" s="1070">
        <f>SUM(DF359:DG359)</f>
        <v>172.97999999999996</v>
      </c>
      <c r="DI359" s="1152">
        <f>+DI118*DI93</f>
        <v>79.272549811523973</v>
      </c>
      <c r="DJ359" s="1152">
        <f>+DJ118*DJ93</f>
        <v>71.745596269153907</v>
      </c>
      <c r="DK359" s="1157">
        <f>SUM(DI359:DJ359)</f>
        <v>151.01814608067787</v>
      </c>
      <c r="DL359" s="1152">
        <f>+DL118*DL93</f>
        <v>78.684888997914868</v>
      </c>
      <c r="DM359" s="1152">
        <f>+DM118*DM93</f>
        <v>82.53625575199807</v>
      </c>
      <c r="DN359" s="1157">
        <f t="shared" ref="DN359" si="2009">SUM(DL359:DM359)</f>
        <v>161.22114474991292</v>
      </c>
      <c r="DO359" s="1152">
        <f>+DO118*DO93</f>
        <v>92.637464978146369</v>
      </c>
      <c r="DP359" s="1152">
        <f>+DP118*DP93</f>
        <v>102.85618769983073</v>
      </c>
      <c r="DQ359" s="1157">
        <f t="shared" ref="DQ359" si="2010">SUM(DO359:DP359)</f>
        <v>195.49365267797708</v>
      </c>
      <c r="DR359" s="1152">
        <f>+DR118*DR93</f>
        <v>102.22000179629961</v>
      </c>
      <c r="DS359" s="1152">
        <f>+DS118*DS93</f>
        <v>116.84839273235494</v>
      </c>
      <c r="DT359" s="1157">
        <f t="shared" ref="DT359" si="2011">SUM(DR359:DS359)</f>
        <v>219.06839452865455</v>
      </c>
      <c r="DU359" s="1152">
        <f>+DU118*DU93</f>
        <v>141.81596717668177</v>
      </c>
      <c r="DV359" s="1152">
        <f>+DV118*DV93</f>
        <v>125.63526435618522</v>
      </c>
      <c r="DW359" s="1157">
        <f t="shared" ref="DW359" si="2012">SUM(DU359:DV359)</f>
        <v>267.45123153286698</v>
      </c>
      <c r="DX359" s="1152">
        <f>+DX118*DX93</f>
        <v>127.93129251700681</v>
      </c>
      <c r="DY359" s="1154">
        <f>DY356*DY354</f>
        <v>156.16463359473821</v>
      </c>
      <c r="DZ359" s="1153">
        <f>SUM(DX359:DY359)</f>
        <v>284.09592611174503</v>
      </c>
      <c r="EA359" s="1154">
        <f>EA356*EA354</f>
        <v>168.86930612244899</v>
      </c>
      <c r="EB359" s="1154">
        <f>EB356*EB354</f>
        <v>167.09615794636991</v>
      </c>
      <c r="EC359" s="1153">
        <f>SUM(EA359:EB359)</f>
        <v>335.9654640688189</v>
      </c>
      <c r="ED359" s="1154">
        <f>ED356*ED354</f>
        <v>184.0675436734694</v>
      </c>
      <c r="EE359" s="1154">
        <f>EE356*EE354</f>
        <v>182.13481216154321</v>
      </c>
      <c r="EF359" s="1153">
        <f>SUM(ED359:EE359)</f>
        <v>366.20235583501261</v>
      </c>
      <c r="EG359" s="1154">
        <f>EG356*EG354</f>
        <v>200.63362260408167</v>
      </c>
      <c r="EH359" s="1154">
        <f>EH356*EH354</f>
        <v>198.52694525608212</v>
      </c>
      <c r="EI359" s="1153">
        <f>SUM(EG359:EH359)</f>
        <v>399.16056786016378</v>
      </c>
      <c r="EJ359" s="1154">
        <f>EJ356*EJ354</f>
        <v>218.69064863844901</v>
      </c>
      <c r="EK359" s="1154">
        <f>EK356*EK354</f>
        <v>216.39437032912952</v>
      </c>
      <c r="EL359" s="1153">
        <f>SUM(EJ359:EK359)</f>
        <v>435.08501896757855</v>
      </c>
      <c r="EM359" s="1154">
        <f>EM356*EM354</f>
        <v>238.37280701590944</v>
      </c>
      <c r="EN359" s="1154">
        <f>EN356*EN354</f>
        <v>235.8698636587512</v>
      </c>
      <c r="EO359" s="1153">
        <f>SUM(EM359:EN359)</f>
        <v>474.24267067466064</v>
      </c>
      <c r="EP359" s="1154">
        <f>EP356*EP354</f>
        <v>259.82635964734135</v>
      </c>
      <c r="EQ359" s="1154">
        <f>EQ356*EQ354</f>
        <v>257.09815138803879</v>
      </c>
      <c r="ER359" s="1153">
        <f>SUM(EP359:EQ359)</f>
        <v>516.92451103538019</v>
      </c>
      <c r="ES359" s="1154">
        <f>ES356*ES354</f>
        <v>283.2107320156021</v>
      </c>
      <c r="ET359" s="1154">
        <f>ET356*ET354</f>
        <v>280.23698501296229</v>
      </c>
      <c r="EU359" s="1153">
        <f>SUM(ES359:ET359)</f>
        <v>563.4477170285644</v>
      </c>
      <c r="EV359" s="1154">
        <f>EV356*EV354</f>
        <v>308.69969789700633</v>
      </c>
      <c r="EW359" s="1154">
        <f>EW356*EW354</f>
        <v>305.45831366412892</v>
      </c>
      <c r="EX359" s="1153">
        <f>SUM(EV359:EW359)</f>
        <v>614.15801156113525</v>
      </c>
      <c r="EY359" s="1154">
        <f>EY356*EY354</f>
        <v>336.48267070773693</v>
      </c>
      <c r="EZ359" s="1154">
        <f>EZ356*EZ354</f>
        <v>332.94956189390052</v>
      </c>
      <c r="FA359" s="1153">
        <f>SUM(EY359:EZ359)</f>
        <v>669.43223260163745</v>
      </c>
    </row>
    <row r="360" spans="1:173" outlineLevel="1">
      <c r="D360" s="162" t="s">
        <v>209</v>
      </c>
      <c r="BA360" s="35"/>
      <c r="BB360" s="35"/>
      <c r="BC360" s="322"/>
      <c r="BD360" s="65">
        <f t="shared" ref="BD360:CI360" si="2013">BD359/BA359-1</f>
        <v>0.32421319796954329</v>
      </c>
      <c r="BE360" s="65">
        <f t="shared" si="2013"/>
        <v>2.7884113904911216</v>
      </c>
      <c r="BF360" s="65">
        <f t="shared" si="2013"/>
        <v>1.1190586925461501</v>
      </c>
      <c r="BG360" s="65">
        <f t="shared" si="2013"/>
        <v>0</v>
      </c>
      <c r="BH360" s="65">
        <f t="shared" si="2013"/>
        <v>0</v>
      </c>
      <c r="BI360" s="65">
        <f t="shared" si="2013"/>
        <v>0</v>
      </c>
      <c r="BJ360" s="65">
        <f t="shared" si="2013"/>
        <v>1.6457849503583866E-2</v>
      </c>
      <c r="BK360" s="65">
        <f t="shared" si="2013"/>
        <v>-0.32183202853432757</v>
      </c>
      <c r="BL360" s="65">
        <f t="shared" si="2013"/>
        <v>-0.17862102156334714</v>
      </c>
      <c r="BM360" s="65">
        <f t="shared" si="2013"/>
        <v>5.2799999999999514E-3</v>
      </c>
      <c r="BN360" s="65">
        <f t="shared" si="2013"/>
        <v>0.23993828571428599</v>
      </c>
      <c r="BO360" s="65">
        <f t="shared" si="2013"/>
        <v>0.11700511621960907</v>
      </c>
      <c r="BP360" s="65">
        <f t="shared" si="2013"/>
        <v>0.15442999999999985</v>
      </c>
      <c r="BQ360" s="65">
        <f t="shared" si="2013"/>
        <v>-0.12640000000000007</v>
      </c>
      <c r="BR360" s="65">
        <f t="shared" si="2013"/>
        <v>6.0062742570858862E-3</v>
      </c>
      <c r="BS360" s="65">
        <f t="shared" si="2013"/>
        <v>0.17786599327794317</v>
      </c>
      <c r="BT360" s="65">
        <f t="shared" si="2013"/>
        <v>0.17023455959587008</v>
      </c>
      <c r="BU360" s="65">
        <f t="shared" si="2013"/>
        <v>0.17436349524819739</v>
      </c>
      <c r="BV360" s="65">
        <f t="shared" si="2013"/>
        <v>1.0455403586787204E-2</v>
      </c>
      <c r="BW360" s="65">
        <f t="shared" si="2013"/>
        <v>0.36074858584145586</v>
      </c>
      <c r="BX360" s="65">
        <f t="shared" si="2013"/>
        <v>0.17065957741753035</v>
      </c>
      <c r="BY360" s="65">
        <f t="shared" si="2013"/>
        <v>5.3593085642316796E-2</v>
      </c>
      <c r="BZ360" s="65">
        <f t="shared" si="2013"/>
        <v>-4.0157658255405293E-3</v>
      </c>
      <c r="CA360" s="65">
        <f t="shared" si="2013"/>
        <v>2.296790719524866E-2</v>
      </c>
      <c r="CB360" s="65">
        <f t="shared" si="2013"/>
        <v>0.15627199999999997</v>
      </c>
      <c r="CC360" s="65">
        <f t="shared" si="2013"/>
        <v>0.1525013782850333</v>
      </c>
      <c r="CD360" s="65">
        <f t="shared" si="2013"/>
        <v>0.15432039091989158</v>
      </c>
      <c r="CE360" s="65">
        <f t="shared" si="2013"/>
        <v>1.9822570814250096E-2</v>
      </c>
      <c r="CF360" s="65">
        <f t="shared" si="2013"/>
        <v>0.12755831206260404</v>
      </c>
      <c r="CG360" s="65">
        <f t="shared" si="2013"/>
        <v>7.5496869592907911E-2</v>
      </c>
      <c r="CH360" s="65">
        <f t="shared" si="2013"/>
        <v>-7.2480249999999136E-2</v>
      </c>
      <c r="CI360" s="65">
        <f t="shared" si="2013"/>
        <v>3.198304233170135E-2</v>
      </c>
      <c r="CJ360" s="65">
        <f t="shared" ref="CJ360:DO360" si="2014">CJ359/CG359-1</f>
        <v>-1.5883887300744082E-2</v>
      </c>
      <c r="CK360" s="65">
        <f t="shared" si="2014"/>
        <v>0.49906642428662673</v>
      </c>
      <c r="CL360" s="65">
        <f t="shared" si="2014"/>
        <v>9.4961696883215208E-2</v>
      </c>
      <c r="CM360" s="65">
        <f t="shared" si="2014"/>
        <v>0.26948065694176893</v>
      </c>
      <c r="CN360" s="65">
        <f t="shared" si="2014"/>
        <v>-0.22248209214634562</v>
      </c>
      <c r="CO360" s="65">
        <f t="shared" si="2014"/>
        <v>0.25123483366389476</v>
      </c>
      <c r="CP360" s="65">
        <f t="shared" si="2014"/>
        <v>9.6540550041799289E-3</v>
      </c>
      <c r="CQ360" s="65">
        <f t="shared" si="2014"/>
        <v>0.11243765947633944</v>
      </c>
      <c r="CR360" s="65">
        <f t="shared" si="2014"/>
        <v>0.23499343042702026</v>
      </c>
      <c r="CS360" s="65">
        <f t="shared" si="2014"/>
        <v>0.18686352066269407</v>
      </c>
      <c r="CT360" s="65">
        <f t="shared" si="2014"/>
        <v>0.56800134937371149</v>
      </c>
      <c r="CU360" s="65">
        <f t="shared" si="2014"/>
        <v>-7.8946555884622738E-2</v>
      </c>
      <c r="CV360" s="65">
        <f t="shared" si="2014"/>
        <v>0.15918968470544259</v>
      </c>
      <c r="CW360" s="65">
        <f t="shared" si="2014"/>
        <v>-2.4452053673665985E-2</v>
      </c>
      <c r="CX360" s="65">
        <f t="shared" si="2014"/>
        <v>3.0859006078564732E-2</v>
      </c>
      <c r="CY360" s="65">
        <f t="shared" si="2014"/>
        <v>3.3192502097596499E-3</v>
      </c>
      <c r="CZ360" s="65">
        <f t="shared" si="2014"/>
        <v>-0.15034326950271049</v>
      </c>
      <c r="DA360" s="65">
        <f t="shared" si="2014"/>
        <v>0.16884331865098878</v>
      </c>
      <c r="DB360" s="65">
        <f t="shared" si="2014"/>
        <v>1.4317086553389036E-2</v>
      </c>
      <c r="DC360" s="65">
        <f t="shared" si="2014"/>
        <v>0.18089200793695781</v>
      </c>
      <c r="DD360" s="65">
        <f t="shared" si="2014"/>
        <v>1.2224491294844597E-2</v>
      </c>
      <c r="DE360" s="65">
        <f t="shared" si="2014"/>
        <v>8.0624914981825668E-2</v>
      </c>
      <c r="DF360" s="65">
        <f t="shared" si="2014"/>
        <v>0.19625618960450875</v>
      </c>
      <c r="DG360" s="65">
        <f t="shared" si="2014"/>
        <v>-0.31292119860940615</v>
      </c>
      <c r="DH360" s="1066">
        <f t="shared" si="2014"/>
        <v>-8.727311101730717E-2</v>
      </c>
      <c r="DI360" s="65">
        <f t="shared" si="2014"/>
        <v>-0.21099267732997673</v>
      </c>
      <c r="DJ360" s="65">
        <f t="shared" si="2014"/>
        <v>-1.052502539338851E-2</v>
      </c>
      <c r="DK360" s="1066">
        <f t="shared" si="2014"/>
        <v>-0.1269618101475436</v>
      </c>
      <c r="DL360" s="65">
        <f t="shared" si="2014"/>
        <v>-7.413169060492053E-3</v>
      </c>
      <c r="DM360" s="65">
        <f t="shared" si="2014"/>
        <v>0.15040169772041412</v>
      </c>
      <c r="DN360" s="1066">
        <f t="shared" si="2014"/>
        <v>6.7561408572611947E-2</v>
      </c>
      <c r="DO360" s="65">
        <f t="shared" si="2014"/>
        <v>0.17732217911117898</v>
      </c>
      <c r="DP360" s="65">
        <f t="shared" ref="DP360:EF360" si="2015">DP359/DM359-1</f>
        <v>0.24619401210650071</v>
      </c>
      <c r="DQ360" s="1066">
        <f t="shared" si="2015"/>
        <v>0.21258072556939012</v>
      </c>
      <c r="DR360" s="65">
        <f t="shared" si="2015"/>
        <v>0.10344126774641138</v>
      </c>
      <c r="DS360" s="65">
        <f t="shared" si="2015"/>
        <v>0.13603658997510393</v>
      </c>
      <c r="DT360" s="1066">
        <f t="shared" si="2015"/>
        <v>0.12059083007421467</v>
      </c>
      <c r="DU360" s="65">
        <f t="shared" si="2015"/>
        <v>0.38736024931096735</v>
      </c>
      <c r="DV360" s="65">
        <f t="shared" ref="DV360" si="2016">DV359/DS359-1</f>
        <v>7.5198908759976701E-2</v>
      </c>
      <c r="DW360" s="1066">
        <f t="shared" ref="DW360" si="2017">DW359/DT359-1</f>
        <v>0.2208572218202105</v>
      </c>
      <c r="DX360" s="65">
        <f t="shared" si="2015"/>
        <v>-9.7906286126277275E-2</v>
      </c>
      <c r="DY360" s="65">
        <f t="shared" si="2015"/>
        <v>0.24299999999999988</v>
      </c>
      <c r="DZ360" s="1066">
        <f t="shared" si="2015"/>
        <v>6.223450340266079E-2</v>
      </c>
      <c r="EA360" s="65">
        <f t="shared" si="2015"/>
        <v>0.32000000000000006</v>
      </c>
      <c r="EB360" s="65">
        <f t="shared" si="2015"/>
        <v>7.0000000000000284E-2</v>
      </c>
      <c r="EC360" s="1066">
        <f t="shared" si="2015"/>
        <v>0.18257754930520109</v>
      </c>
      <c r="ED360" s="65">
        <f t="shared" si="2015"/>
        <v>9.000000000000008E-2</v>
      </c>
      <c r="EE360" s="65">
        <f t="shared" si="2015"/>
        <v>9.000000000000008E-2</v>
      </c>
      <c r="EF360" s="1066">
        <f t="shared" si="2015"/>
        <v>9.000000000000008E-2</v>
      </c>
      <c r="EG360" s="65">
        <f t="shared" ref="EG360:EL360" si="2018">EG359/ED359-1</f>
        <v>9.000000000000008E-2</v>
      </c>
      <c r="EH360" s="65">
        <f t="shared" si="2018"/>
        <v>9.000000000000008E-2</v>
      </c>
      <c r="EI360" s="1066">
        <f t="shared" si="2018"/>
        <v>9.000000000000008E-2</v>
      </c>
      <c r="EJ360" s="65">
        <f t="shared" si="2018"/>
        <v>8.9999999999999858E-2</v>
      </c>
      <c r="EK360" s="65">
        <f t="shared" si="2018"/>
        <v>9.000000000000008E-2</v>
      </c>
      <c r="EL360" s="1066">
        <f t="shared" si="2018"/>
        <v>9.000000000000008E-2</v>
      </c>
      <c r="EM360" s="65">
        <f t="shared" ref="EM360:ER360" si="2019">EM359/EJ359-1</f>
        <v>9.000000000000008E-2</v>
      </c>
      <c r="EN360" s="65">
        <f t="shared" si="2019"/>
        <v>9.000000000000008E-2</v>
      </c>
      <c r="EO360" s="1066">
        <f t="shared" si="2019"/>
        <v>9.000000000000008E-2</v>
      </c>
      <c r="EP360" s="65">
        <f t="shared" si="2019"/>
        <v>9.0000000000000302E-2</v>
      </c>
      <c r="EQ360" s="65">
        <f t="shared" si="2019"/>
        <v>8.9999999999999858E-2</v>
      </c>
      <c r="ER360" s="1066">
        <f t="shared" si="2019"/>
        <v>9.000000000000008E-2</v>
      </c>
      <c r="ES360" s="65">
        <f t="shared" ref="ES360" si="2020">ES359/EP359-1</f>
        <v>9.000000000000008E-2</v>
      </c>
      <c r="ET360" s="65">
        <f t="shared" ref="ET360" si="2021">ET359/EQ359-1</f>
        <v>9.000000000000008E-2</v>
      </c>
      <c r="EU360" s="1066">
        <f t="shared" ref="EU360" si="2022">EU359/ER359-1</f>
        <v>9.000000000000008E-2</v>
      </c>
      <c r="EV360" s="65">
        <f t="shared" ref="EV360" si="2023">EV359/ES359-1</f>
        <v>9.000000000000008E-2</v>
      </c>
      <c r="EW360" s="65">
        <f t="shared" ref="EW360" si="2024">EW359/ET359-1</f>
        <v>9.000000000000008E-2</v>
      </c>
      <c r="EX360" s="1066">
        <f t="shared" ref="EX360" si="2025">EX359/EU359-1</f>
        <v>9.000000000000008E-2</v>
      </c>
      <c r="EY360" s="65">
        <f t="shared" ref="EY360" si="2026">EY359/EV359-1</f>
        <v>9.000000000000008E-2</v>
      </c>
      <c r="EZ360" s="65">
        <f t="shared" ref="EZ360" si="2027">EZ359/EW359-1</f>
        <v>9.000000000000008E-2</v>
      </c>
      <c r="FA360" s="1066">
        <f t="shared" ref="FA360" si="2028">FA359/EX359-1</f>
        <v>9.000000000000008E-2</v>
      </c>
    </row>
    <row r="361" spans="1:173" outlineLevel="1">
      <c r="A361" s="1426" t="s">
        <v>738</v>
      </c>
      <c r="BA361" s="35"/>
      <c r="BB361" s="35"/>
      <c r="BC361" s="322"/>
      <c r="BD361" s="35"/>
      <c r="BE361" s="35"/>
      <c r="BG361" s="35"/>
      <c r="BH361" s="35"/>
      <c r="BJ361" s="35"/>
      <c r="BK361" s="35"/>
      <c r="BL361" s="31"/>
      <c r="BM361" s="35"/>
      <c r="BN361" s="35"/>
      <c r="BO361" s="31"/>
      <c r="BP361" s="35"/>
      <c r="BQ361" s="35"/>
      <c r="BR361" s="1024"/>
      <c r="BS361" s="74"/>
      <c r="BT361" s="70"/>
      <c r="BU361" s="74"/>
      <c r="BV361" s="74"/>
      <c r="BW361" s="74"/>
      <c r="BX361" s="74"/>
      <c r="BY361" s="70"/>
      <c r="BZ361" s="70"/>
      <c r="CA361" s="70"/>
      <c r="CB361" s="70"/>
      <c r="CC361" s="70"/>
      <c r="CD361" s="70"/>
      <c r="CE361" s="70"/>
      <c r="CF361" s="70"/>
      <c r="CG361" s="70"/>
      <c r="CH361" s="70"/>
      <c r="CI361" s="70"/>
      <c r="CJ361" s="70"/>
      <c r="CK361" s="35"/>
      <c r="CL361" s="35"/>
      <c r="CN361" s="35"/>
      <c r="CO361" s="35"/>
      <c r="CQ361" s="35"/>
      <c r="CR361" s="35"/>
      <c r="CT361" s="35"/>
      <c r="CU361" s="35"/>
      <c r="CW361" s="35"/>
      <c r="CX361" s="35"/>
      <c r="CZ361" s="35"/>
      <c r="DA361" s="35"/>
      <c r="DC361" s="70"/>
      <c r="DD361" s="244"/>
      <c r="DE361" s="244"/>
      <c r="DF361" s="35"/>
      <c r="DG361" s="35"/>
      <c r="DH361" s="1067"/>
      <c r="DI361" s="35"/>
      <c r="DJ361" s="35"/>
      <c r="DK361" s="1067"/>
      <c r="DL361" s="35"/>
      <c r="DM361" s="35"/>
      <c r="DN361" s="1067"/>
      <c r="DO361" s="35"/>
      <c r="DP361" s="1028"/>
      <c r="DQ361" s="1067"/>
      <c r="DR361" s="35"/>
      <c r="DS361" s="35"/>
      <c r="DT361" s="1067"/>
      <c r="DU361" s="35"/>
      <c r="DV361" s="35"/>
      <c r="DW361" s="1067"/>
      <c r="DX361" s="35"/>
      <c r="DY361" s="35"/>
      <c r="DZ361" s="1067"/>
      <c r="EA361" s="35"/>
      <c r="EB361" s="35"/>
      <c r="EC361" s="1067"/>
      <c r="ED361" s="35"/>
      <c r="EE361" s="35"/>
      <c r="EF361" s="1067"/>
      <c r="EG361" s="35"/>
      <c r="EH361" s="35"/>
      <c r="EI361" s="1067"/>
      <c r="EJ361" s="35"/>
      <c r="EK361" s="35"/>
      <c r="EL361" s="1067"/>
      <c r="EM361" s="35"/>
      <c r="EN361" s="35"/>
      <c r="EO361" s="1067"/>
      <c r="EP361" s="35"/>
      <c r="EQ361" s="35"/>
      <c r="ER361" s="1067"/>
      <c r="ES361" s="35"/>
      <c r="ET361" s="35"/>
      <c r="EU361" s="1067"/>
      <c r="EV361" s="35"/>
      <c r="EW361" s="35"/>
      <c r="EX361" s="1067"/>
      <c r="EY361" s="35"/>
      <c r="EZ361" s="35"/>
      <c r="FA361" s="1067"/>
    </row>
    <row r="362" spans="1:173" s="321" customFormat="1" outlineLevel="1">
      <c r="A362" s="1168"/>
      <c r="B362" s="186" t="s">
        <v>397</v>
      </c>
      <c r="C362" s="186"/>
      <c r="D362" s="910" t="s">
        <v>98</v>
      </c>
      <c r="E362" s="186"/>
      <c r="F362" s="186"/>
      <c r="G362" s="186"/>
      <c r="H362" s="186"/>
      <c r="I362" s="186"/>
      <c r="J362" s="186"/>
      <c r="K362" s="186"/>
      <c r="L362" s="186"/>
      <c r="M362" s="186"/>
      <c r="N362" s="186"/>
      <c r="O362" s="186"/>
      <c r="P362" s="186"/>
      <c r="Q362" s="186"/>
      <c r="R362" s="186"/>
      <c r="S362" s="186"/>
      <c r="T362" s="186"/>
      <c r="U362" s="186"/>
      <c r="V362" s="186"/>
      <c r="W362" s="186"/>
      <c r="X362" s="186"/>
      <c r="Y362" s="186"/>
      <c r="Z362" s="186"/>
      <c r="AA362" s="186"/>
      <c r="AB362" s="186"/>
      <c r="AC362" s="186"/>
      <c r="AD362" s="186"/>
      <c r="AE362" s="186"/>
      <c r="AF362" s="186"/>
      <c r="AG362" s="186"/>
      <c r="AH362" s="186"/>
      <c r="AI362" s="186"/>
      <c r="AJ362" s="186"/>
      <c r="AK362" s="186"/>
      <c r="AL362" s="186"/>
      <c r="AM362" s="186"/>
      <c r="AN362" s="186"/>
      <c r="AO362" s="186"/>
      <c r="AP362" s="186"/>
      <c r="AQ362" s="186"/>
      <c r="AR362" s="186"/>
      <c r="AS362" s="186"/>
      <c r="AT362" s="186"/>
      <c r="AU362" s="186"/>
      <c r="AV362" s="186"/>
      <c r="AW362" s="186"/>
      <c r="AX362" s="186"/>
      <c r="AY362" s="186"/>
      <c r="AZ362" s="186"/>
      <c r="BA362" s="186"/>
      <c r="BB362" s="186"/>
      <c r="BC362" s="331"/>
      <c r="BD362" s="186"/>
      <c r="BE362" s="186"/>
      <c r="BF362" s="331"/>
      <c r="BG362" s="186"/>
      <c r="BH362" s="186"/>
      <c r="BI362" s="331"/>
      <c r="BJ362" s="186"/>
      <c r="BK362" s="186"/>
      <c r="BL362" s="331"/>
      <c r="BM362" s="184">
        <v>27.882714956050496</v>
      </c>
      <c r="BN362" s="184">
        <v>27.882714956050496</v>
      </c>
      <c r="BO362" s="58">
        <f>SUM(BM362:BN362)</f>
        <v>55.765429912100991</v>
      </c>
      <c r="BP362" s="184">
        <f>BM362*(1+BP363)</f>
        <v>34.853393695063119</v>
      </c>
      <c r="BQ362" s="184">
        <f>BP362*(1+BQ363)</f>
        <v>43.566742118828898</v>
      </c>
      <c r="BR362" s="58">
        <f>SUM(BP362:BQ362)</f>
        <v>78.420135813892017</v>
      </c>
      <c r="BS362" s="184">
        <f>BP362*(1+BS363)</f>
        <v>45.050601322731907</v>
      </c>
      <c r="BT362" s="184">
        <f>BQ362*(1+BT363)</f>
        <v>52.698814354866471</v>
      </c>
      <c r="BU362" s="184">
        <f>SUM(BS362:BT362)</f>
        <v>97.749415677598378</v>
      </c>
      <c r="BV362" s="184">
        <f>BS362*(1+BV363)</f>
        <v>52.62351565051658</v>
      </c>
      <c r="BW362" s="184">
        <f>BT362*(1+BW363)</f>
        <v>61.461039621705417</v>
      </c>
      <c r="BX362" s="184">
        <f>SUM(BV362:BW362)</f>
        <v>114.08455527222199</v>
      </c>
      <c r="BY362" s="184">
        <f>BV362*(1+BY363)</f>
        <v>62.472810433957768</v>
      </c>
      <c r="BZ362" s="184">
        <f>BW362*(1+BZ363)</f>
        <v>69.522617165477996</v>
      </c>
      <c r="CA362" s="184">
        <f>SUM(BY362:BZ362)</f>
        <v>131.99542759943577</v>
      </c>
      <c r="CB362" s="184">
        <f>BY362*(1+CB363)</f>
        <v>66.849030804856511</v>
      </c>
      <c r="CC362" s="184">
        <f>BZ362*(1+CC363)</f>
        <v>72.26737009117106</v>
      </c>
      <c r="CD362" s="184">
        <f>SUM(CB362:CC362)</f>
        <v>139.11640089602759</v>
      </c>
      <c r="CE362" s="184">
        <f>CB362*(1+CE363)</f>
        <v>60.916179320925494</v>
      </c>
      <c r="CF362" s="184">
        <f>CC362*(1+CF363)</f>
        <v>66.986793358609191</v>
      </c>
      <c r="CG362" s="184">
        <f>SUM(CE362:CF362)</f>
        <v>127.90297267953468</v>
      </c>
      <c r="CH362" s="184">
        <f>CE362*(1+CH363)</f>
        <v>65.180311873390281</v>
      </c>
      <c r="CI362" s="184">
        <f>CF362*(1+CI363)</f>
        <v>71.675868893711836</v>
      </c>
      <c r="CJ362" s="184">
        <f>SUM(CH362:CI362)</f>
        <v>136.8561807671021</v>
      </c>
      <c r="CK362" s="184">
        <f>CH362*(1+CK363)</f>
        <v>65.90000691137422</v>
      </c>
      <c r="CL362" s="184">
        <f>CI362*(1+CL363)</f>
        <v>72.467285284694938</v>
      </c>
      <c r="CM362" s="184">
        <f>SUM(CK362:CL362)</f>
        <v>138.36729219606917</v>
      </c>
      <c r="CN362" s="184">
        <f>CK362*(1+CN363)</f>
        <v>66.627648535264413</v>
      </c>
      <c r="CO362" s="184">
        <f>CL362*(1+CO363)</f>
        <v>73.267440180192665</v>
      </c>
      <c r="CP362" s="184">
        <f>SUM(CN362:CO362)</f>
        <v>139.89508871545706</v>
      </c>
      <c r="CQ362" s="184">
        <f>CN362*(1+CQ363)</f>
        <v>83.633031330740977</v>
      </c>
      <c r="CR362" s="184">
        <f>CO362*(1+CR363)</f>
        <v>83.37613210271698</v>
      </c>
      <c r="CS362" s="184">
        <f>SUM(CQ362:CR362)</f>
        <v>167.00916343345796</v>
      </c>
      <c r="CT362" s="184">
        <f>CQ362*(1+CT363)</f>
        <v>96.331411926260486</v>
      </c>
      <c r="CU362" s="184">
        <f>CR362*(1+CU363)</f>
        <v>96.394966640946379</v>
      </c>
      <c r="CV362" s="184">
        <f>SUM(CT362:CU362)</f>
        <v>192.72637856720687</v>
      </c>
      <c r="CW362" s="184">
        <f>CT362*(1+CW363)</f>
        <v>110.97378653905207</v>
      </c>
      <c r="CX362" s="184">
        <f>CU362*(1+CX363)</f>
        <v>122.27964512555295</v>
      </c>
      <c r="CY362" s="184">
        <f>SUM(CW362:CX362)</f>
        <v>233.25343166460502</v>
      </c>
      <c r="CZ362" s="184">
        <f>CW362*(1+CZ363)</f>
        <v>115.37560612458061</v>
      </c>
      <c r="DA362" s="184">
        <f>CX362*(1+DA363)</f>
        <v>117.89164069047946</v>
      </c>
      <c r="DB362" s="184">
        <f>SUM(CZ362:DA362)</f>
        <v>233.26724681506008</v>
      </c>
      <c r="DC362" s="184">
        <f>CZ362*(1+DC363)</f>
        <v>127.40773834931161</v>
      </c>
      <c r="DD362" s="184">
        <f>DA362*(1+DD363)</f>
        <v>131.38839782087581</v>
      </c>
      <c r="DE362" s="184">
        <f>SUM(DC362:DD362)</f>
        <v>258.79613617018742</v>
      </c>
      <c r="DF362" s="184">
        <f>DC362*(1+DF363)</f>
        <v>105.74842282992863</v>
      </c>
      <c r="DG362" s="184">
        <f>DD362*(1+DG363)</f>
        <v>144.5272376029634</v>
      </c>
      <c r="DH362" s="1060">
        <f>SUM(DF362:DG362)</f>
        <v>250.27566043289204</v>
      </c>
      <c r="DI362" s="184">
        <f>+DI366/DI364</f>
        <v>107.27803669182759</v>
      </c>
      <c r="DJ362" s="184">
        <f t="shared" ref="DJ362" si="2029">+DJ366/DJ364</f>
        <v>155.98748121407436</v>
      </c>
      <c r="DK362" s="1060">
        <f>SUM(DI362:DJ362)</f>
        <v>263.26551790590196</v>
      </c>
      <c r="DL362" s="184">
        <f>+DL366/DL364</f>
        <v>145.75173111161294</v>
      </c>
      <c r="DM362" s="184">
        <f t="shared" ref="DM362" si="2030">+DM366/DM364</f>
        <v>203.28532726545643</v>
      </c>
      <c r="DN362" s="1060">
        <f>SUM(DL362:DM362)</f>
        <v>349.03705837706934</v>
      </c>
      <c r="DO362" s="184">
        <f>+DO366/DO364</f>
        <v>183.49017325019423</v>
      </c>
      <c r="DP362" s="184">
        <f t="shared" ref="DP362" si="2031">+DP366/DP364</f>
        <v>230.18641391587315</v>
      </c>
      <c r="DQ362" s="1060">
        <f>SUM(DO362:DP362)</f>
        <v>413.67658716606741</v>
      </c>
      <c r="DR362" s="184">
        <f>+DR366/DR364</f>
        <v>153.70420730480183</v>
      </c>
      <c r="DS362" s="184">
        <f t="shared" ref="DS362" si="2032">+DS366/DS364</f>
        <v>279.87949555523045</v>
      </c>
      <c r="DT362" s="1060">
        <f>SUM(DR362:DS362)</f>
        <v>433.5837028600323</v>
      </c>
      <c r="DU362" s="184">
        <f>+DU366/DU364</f>
        <v>231.02326193877519</v>
      </c>
      <c r="DV362" s="184">
        <f t="shared" ref="DV362" si="2033">+DV366/DV364</f>
        <v>266.43291230093132</v>
      </c>
      <c r="DW362" s="1060">
        <f>SUM(DU362:DV362)</f>
        <v>497.45617423970651</v>
      </c>
      <c r="DX362" s="184">
        <f>+DX366/DX364</f>
        <v>208.54855820464451</v>
      </c>
      <c r="DY362" s="234">
        <f>DV362*(1+DY363)</f>
        <v>299.73702633854771</v>
      </c>
      <c r="DZ362" s="1060">
        <f>SUM(DX362:DY362)</f>
        <v>508.28558454319221</v>
      </c>
      <c r="EA362" s="234">
        <f>DX362*(1+EA363)</f>
        <v>231.48889960715542</v>
      </c>
      <c r="EB362" s="234">
        <f>DY362*(1+EB363)</f>
        <v>314.72387765547512</v>
      </c>
      <c r="EC362" s="1060">
        <f>SUM(EA362:EB362)</f>
        <v>546.21277726263054</v>
      </c>
      <c r="ED362" s="234">
        <f>EA362*(1+ED363)</f>
        <v>247.69312257965632</v>
      </c>
      <c r="EE362" s="234">
        <f>EB362*(1+EE363)</f>
        <v>336.7545490913584</v>
      </c>
      <c r="EF362" s="1060">
        <f>SUM(ED362:EE362)</f>
        <v>584.44767167101475</v>
      </c>
      <c r="EG362" s="234">
        <f>ED362*(1+EG363)</f>
        <v>269.98550361182538</v>
      </c>
      <c r="EH362" s="234">
        <f>EE362*(1+EH363)</f>
        <v>367.06245850958067</v>
      </c>
      <c r="EI362" s="1060">
        <f>SUM(EG362:EH362)</f>
        <v>637.04796212140604</v>
      </c>
      <c r="EJ362" s="234">
        <f>EG362*(1+EJ363)</f>
        <v>294.28419893688971</v>
      </c>
      <c r="EK362" s="234">
        <f>EH362*(1+EK363)</f>
        <v>400.09807977544295</v>
      </c>
      <c r="EL362" s="1060">
        <f>SUM(EJ362:EK362)</f>
        <v>694.38227871233266</v>
      </c>
      <c r="EM362" s="234">
        <f>EJ362*(1+EM363)</f>
        <v>320.76977684120982</v>
      </c>
      <c r="EN362" s="234">
        <f>EK362*(1+EN363)</f>
        <v>436.10690695523283</v>
      </c>
      <c r="EO362" s="1060">
        <f>SUM(EM362:EN362)</f>
        <v>756.87668379644265</v>
      </c>
      <c r="EP362" s="234">
        <f>EM362*(1+EP363)</f>
        <v>349.63905675691871</v>
      </c>
      <c r="EQ362" s="234">
        <f>EN362*(1+EQ363)</f>
        <v>475.3565285812038</v>
      </c>
      <c r="ER362" s="1060">
        <f>SUM(EP362:EQ362)</f>
        <v>824.99558533812251</v>
      </c>
      <c r="ES362" s="234">
        <f>EP362*(1+ES363)</f>
        <v>381.10657186504142</v>
      </c>
      <c r="ET362" s="234">
        <f>EQ362*(1+ET363)</f>
        <v>518.1386161535122</v>
      </c>
      <c r="EU362" s="1060">
        <f>SUM(ES362:ET362)</f>
        <v>899.24518801855356</v>
      </c>
      <c r="EV362" s="234">
        <f>ES362*(1+EV363)</f>
        <v>415.40616333289518</v>
      </c>
      <c r="EW362" s="234">
        <f>ET362*(1+EW363)</f>
        <v>564.77109160732834</v>
      </c>
      <c r="EX362" s="1060">
        <f>SUM(EV362:EW362)</f>
        <v>980.17725494022352</v>
      </c>
      <c r="EY362" s="234">
        <f>EV362*(1+EY363)</f>
        <v>452.79271803285576</v>
      </c>
      <c r="EZ362" s="234">
        <f>EW362*(1+EZ363)</f>
        <v>615.60048985198796</v>
      </c>
      <c r="FA362" s="1060">
        <f>SUM(EY362:EZ362)</f>
        <v>1068.3932078848438</v>
      </c>
      <c r="FH362" s="35"/>
      <c r="FI362" s="35"/>
      <c r="FJ362" s="35"/>
      <c r="FK362" s="35"/>
      <c r="FL362" s="35"/>
      <c r="FM362" s="35"/>
      <c r="FN362" s="35"/>
      <c r="FO362" s="35"/>
      <c r="FP362" s="35"/>
      <c r="FQ362" s="35"/>
    </row>
    <row r="363" spans="1:173" s="321" customFormat="1" outlineLevel="1">
      <c r="A363" s="1168"/>
      <c r="B363" s="186"/>
      <c r="C363" s="186"/>
      <c r="D363" s="910" t="s">
        <v>209</v>
      </c>
      <c r="E363" s="186"/>
      <c r="F363" s="186"/>
      <c r="G363" s="186"/>
      <c r="H363" s="186"/>
      <c r="I363" s="186"/>
      <c r="J363" s="186"/>
      <c r="K363" s="186"/>
      <c r="L363" s="186"/>
      <c r="M363" s="186"/>
      <c r="N363" s="186"/>
      <c r="O363" s="186"/>
      <c r="P363" s="186"/>
      <c r="Q363" s="186"/>
      <c r="R363" s="186"/>
      <c r="S363" s="186"/>
      <c r="T363" s="186"/>
      <c r="U363" s="186"/>
      <c r="V363" s="186"/>
      <c r="W363" s="186"/>
      <c r="X363" s="186"/>
      <c r="Y363" s="186"/>
      <c r="Z363" s="186"/>
      <c r="AA363" s="186"/>
      <c r="AB363" s="186"/>
      <c r="AC363" s="186"/>
      <c r="AD363" s="186"/>
      <c r="AE363" s="186"/>
      <c r="AF363" s="186"/>
      <c r="AG363" s="186"/>
      <c r="AH363" s="186"/>
      <c r="AI363" s="186"/>
      <c r="AJ363" s="186"/>
      <c r="AK363" s="186"/>
      <c r="AL363" s="186"/>
      <c r="AM363" s="186"/>
      <c r="AN363" s="186"/>
      <c r="AO363" s="186"/>
      <c r="AP363" s="186"/>
      <c r="AQ363" s="186"/>
      <c r="AR363" s="186"/>
      <c r="AS363" s="186"/>
      <c r="AT363" s="186"/>
      <c r="AU363" s="186"/>
      <c r="AV363" s="186"/>
      <c r="AW363" s="186"/>
      <c r="AX363" s="186"/>
      <c r="AY363" s="186"/>
      <c r="AZ363" s="186"/>
      <c r="BA363" s="186"/>
      <c r="BB363" s="186"/>
      <c r="BC363" s="331"/>
      <c r="BD363" s="186"/>
      <c r="BE363" s="186"/>
      <c r="BF363" s="331"/>
      <c r="BG363" s="186"/>
      <c r="BH363" s="186"/>
      <c r="BI363" s="331"/>
      <c r="BJ363" s="186"/>
      <c r="BK363" s="186"/>
      <c r="BL363" s="331"/>
      <c r="BM363" s="184"/>
      <c r="BN363" s="194">
        <f>BN276</f>
        <v>0.31</v>
      </c>
      <c r="BO363" s="982">
        <f>BN363</f>
        <v>0.31</v>
      </c>
      <c r="BP363" s="194">
        <f>BP276</f>
        <v>0.25</v>
      </c>
      <c r="BQ363" s="194">
        <f>BP363</f>
        <v>0.25</v>
      </c>
      <c r="BR363" s="971">
        <f>(BR362-BO362)/BO362</f>
        <v>0.40624999999999994</v>
      </c>
      <c r="BS363" s="194">
        <f>BS184</f>
        <v>0.29257431046415411</v>
      </c>
      <c r="BT363" s="194">
        <f>BT184</f>
        <v>0.20961108845664239</v>
      </c>
      <c r="BU363" s="185">
        <f>BU362/BR362-1</f>
        <v>0.2464836315710921</v>
      </c>
      <c r="BV363" s="194">
        <f>BV184</f>
        <v>0.16809796329984811</v>
      </c>
      <c r="BW363" s="194">
        <f>BW184</f>
        <v>0.166269874836943</v>
      </c>
      <c r="BX363" s="185">
        <f>BX362/BU362-1</f>
        <v>0.16711240145415207</v>
      </c>
      <c r="BY363" s="194">
        <f>BY184</f>
        <v>0.18716527509967876</v>
      </c>
      <c r="BZ363" s="194">
        <f>BZ184</f>
        <v>0.13116565540368058</v>
      </c>
      <c r="CA363" s="185">
        <f>CA362/BX362-1</f>
        <v>0.15699646884256935</v>
      </c>
      <c r="CB363" s="194">
        <f>CB184</f>
        <v>7.0050000000000001E-2</v>
      </c>
      <c r="CC363" s="194">
        <f>CC184</f>
        <v>3.9480000000000001E-2</v>
      </c>
      <c r="CD363" s="185">
        <f>CD362/CA362-1</f>
        <v>5.3948636146713413E-2</v>
      </c>
      <c r="CE363" s="194">
        <f>CE184</f>
        <v>-8.8749999999999996E-2</v>
      </c>
      <c r="CF363" s="194">
        <f>CF184</f>
        <v>-7.3069999999999996E-2</v>
      </c>
      <c r="CG363" s="185">
        <f>CG362/CD362-1</f>
        <v>-8.0604645780575912E-2</v>
      </c>
      <c r="CH363" s="194">
        <f>CH184</f>
        <v>7.0000000000000007E-2</v>
      </c>
      <c r="CI363" s="194">
        <v>7.0000000000000007E-2</v>
      </c>
      <c r="CJ363" s="185">
        <f>CJ362/CG362-1</f>
        <v>6.999999999999984E-2</v>
      </c>
      <c r="CK363" s="194">
        <f>CK184</f>
        <v>1.1041601632436438E-2</v>
      </c>
      <c r="CL363" s="194">
        <f>CL184</f>
        <v>1.1041601632436438E-2</v>
      </c>
      <c r="CM363" s="185">
        <f>CM362/CJ362-1</f>
        <v>1.1041601632436615E-2</v>
      </c>
      <c r="CN363" s="194">
        <f>CN184</f>
        <v>1.1041601632436447E-2</v>
      </c>
      <c r="CO363" s="194">
        <f>CO184</f>
        <v>1.1041601632436447E-2</v>
      </c>
      <c r="CP363" s="185">
        <f>CP362/CM362-1</f>
        <v>1.1041601632436171E-2</v>
      </c>
      <c r="CQ363" s="194">
        <f>CQ184</f>
        <v>0.25523012096811465</v>
      </c>
      <c r="CR363" s="194">
        <f>CR184</f>
        <v>0.13796977071483843</v>
      </c>
      <c r="CS363" s="185">
        <f>CS362/CP362-1</f>
        <v>0.19381720235476041</v>
      </c>
      <c r="CT363" s="194">
        <f>CT184</f>
        <v>0.15183451315188634</v>
      </c>
      <c r="CU363" s="194">
        <f>CU184</f>
        <v>0.15614582027132856</v>
      </c>
      <c r="CV363" s="185">
        <f>CV362/CS362-1</f>
        <v>0.15398685081130603</v>
      </c>
      <c r="CW363" s="194">
        <f>CW184</f>
        <v>0.152</v>
      </c>
      <c r="CX363" s="194">
        <f>CX184</f>
        <v>0.26852728297549266</v>
      </c>
      <c r="CY363" s="185">
        <f>CY362/CV362-1</f>
        <v>0.21028285488831355</v>
      </c>
      <c r="CZ363" s="194">
        <f>CZ184</f>
        <v>3.966539957595782E-2</v>
      </c>
      <c r="DA363" s="194">
        <f>DA184</f>
        <v>-3.5884994845773552E-2</v>
      </c>
      <c r="DB363" s="185">
        <f>DB362/CY362-1</f>
        <v>5.922806947133985E-5</v>
      </c>
      <c r="DC363" s="194">
        <v>0.104286622006899</v>
      </c>
      <c r="DD363" s="194">
        <v>0.11448442867829477</v>
      </c>
      <c r="DE363" s="185">
        <f>DE362/DB362-1</f>
        <v>0.10944052242090918</v>
      </c>
      <c r="DF363" s="982">
        <v>-0.17</v>
      </c>
      <c r="DG363" s="194">
        <v>0.1</v>
      </c>
      <c r="DH363" s="1082">
        <f>DH362/DE362-1</f>
        <v>-3.2923504436295881E-2</v>
      </c>
      <c r="DI363" s="194">
        <v>0.3</v>
      </c>
      <c r="DJ363" s="194">
        <v>0.1</v>
      </c>
      <c r="DK363" s="1082">
        <f>DK362/DH362-1</f>
        <v>5.1902200359962514E-2</v>
      </c>
      <c r="DL363" s="194">
        <v>0.3</v>
      </c>
      <c r="DM363" s="194">
        <v>0.1</v>
      </c>
      <c r="DN363" s="1082">
        <f>DN362/DK362-1</f>
        <v>0.32579861256962794</v>
      </c>
      <c r="DO363" s="194">
        <v>0.3</v>
      </c>
      <c r="DP363" s="194">
        <v>0.1</v>
      </c>
      <c r="DQ363" s="1082">
        <f>DQ362/DN362-1</f>
        <v>0.18519388482573995</v>
      </c>
      <c r="DR363" s="194">
        <v>0.3</v>
      </c>
      <c r="DS363" s="194">
        <v>0.1</v>
      </c>
      <c r="DT363" s="1082">
        <f>DT362/DQ362-1</f>
        <v>4.812241328507505E-2</v>
      </c>
      <c r="DU363" s="194">
        <v>0.3</v>
      </c>
      <c r="DV363" s="194">
        <v>0.1</v>
      </c>
      <c r="DW363" s="1082">
        <f>DW362/DT362-1</f>
        <v>0.14731289704468731</v>
      </c>
      <c r="DX363" s="194">
        <v>0.3</v>
      </c>
      <c r="DY363" s="1161">
        <f>DY184</f>
        <v>0.125</v>
      </c>
      <c r="DZ363" s="1162">
        <f>DZ362/DW362-1</f>
        <v>2.1769576626598175E-2</v>
      </c>
      <c r="EA363" s="1161">
        <f>EA184</f>
        <v>0.11</v>
      </c>
      <c r="EB363" s="1161">
        <f>EB184</f>
        <v>0.05</v>
      </c>
      <c r="EC363" s="1162">
        <f>EC362/DZ362-1</f>
        <v>7.4617879933629006E-2</v>
      </c>
      <c r="ED363" s="1161">
        <f>ED184</f>
        <v>7.0000000000000007E-2</v>
      </c>
      <c r="EE363" s="1161">
        <f>EE184</f>
        <v>7.0000000000000007E-2</v>
      </c>
      <c r="EF363" s="1162">
        <f>EF362/EC362-1</f>
        <v>7.0000000000000062E-2</v>
      </c>
      <c r="EG363" s="1161">
        <f>EG184</f>
        <v>0.09</v>
      </c>
      <c r="EH363" s="1161">
        <f>EH184</f>
        <v>0.09</v>
      </c>
      <c r="EI363" s="1162">
        <f>EI362/EF362-1</f>
        <v>8.9999999999999858E-2</v>
      </c>
      <c r="EJ363" s="1161">
        <f>EJ184</f>
        <v>0.09</v>
      </c>
      <c r="EK363" s="1161">
        <f>EK184</f>
        <v>0.09</v>
      </c>
      <c r="EL363" s="1162">
        <f>EL362/EI362-1</f>
        <v>9.000000000000008E-2</v>
      </c>
      <c r="EM363" s="1161">
        <f>EM184</f>
        <v>0.09</v>
      </c>
      <c r="EN363" s="1161">
        <f>EN184</f>
        <v>0.09</v>
      </c>
      <c r="EO363" s="1162">
        <f>EO362/EL362-1</f>
        <v>9.000000000000008E-2</v>
      </c>
      <c r="EP363" s="1161">
        <f>EP184</f>
        <v>0.09</v>
      </c>
      <c r="EQ363" s="1161">
        <f>EQ184</f>
        <v>0.09</v>
      </c>
      <c r="ER363" s="1162">
        <f>ER362/EO362-1</f>
        <v>9.000000000000008E-2</v>
      </c>
      <c r="ES363" s="1161">
        <f>ES184</f>
        <v>0.09</v>
      </c>
      <c r="ET363" s="1161">
        <f>ET184</f>
        <v>0.09</v>
      </c>
      <c r="EU363" s="1162">
        <f>EU362/ER362-1</f>
        <v>9.000000000000008E-2</v>
      </c>
      <c r="EV363" s="1161">
        <f>EV184</f>
        <v>0.09</v>
      </c>
      <c r="EW363" s="1161">
        <f>EW184</f>
        <v>0.09</v>
      </c>
      <c r="EX363" s="1162">
        <f>EX362/EU362-1</f>
        <v>9.000000000000008E-2</v>
      </c>
      <c r="EY363" s="1161">
        <f>EY184</f>
        <v>0.09</v>
      </c>
      <c r="EZ363" s="1161">
        <f>EZ184</f>
        <v>0.09</v>
      </c>
      <c r="FA363" s="1162">
        <f>FA362/EX362-1</f>
        <v>9.0000000000000302E-2</v>
      </c>
      <c r="FH363" s="35"/>
      <c r="FI363" s="35"/>
      <c r="FJ363" s="35"/>
      <c r="FK363" s="35"/>
      <c r="FL363" s="35"/>
      <c r="FM363" s="35"/>
      <c r="FN363" s="35"/>
      <c r="FO363" s="35"/>
      <c r="FP363" s="35"/>
      <c r="FQ363" s="35"/>
    </row>
    <row r="364" spans="1:173" s="321" customFormat="1" outlineLevel="1">
      <c r="A364" s="1168"/>
      <c r="B364" s="186" t="s">
        <v>739</v>
      </c>
      <c r="C364" s="186"/>
      <c r="D364" s="910" t="s">
        <v>140</v>
      </c>
      <c r="E364" s="186"/>
      <c r="F364" s="186"/>
      <c r="G364" s="186"/>
      <c r="H364" s="186"/>
      <c r="I364" s="186"/>
      <c r="J364" s="186"/>
      <c r="K364" s="186"/>
      <c r="L364" s="186"/>
      <c r="M364" s="186"/>
      <c r="N364" s="186"/>
      <c r="O364" s="186"/>
      <c r="P364" s="186"/>
      <c r="Q364" s="186"/>
      <c r="R364" s="186"/>
      <c r="S364" s="186"/>
      <c r="T364" s="186"/>
      <c r="U364" s="186"/>
      <c r="V364" s="186"/>
      <c r="W364" s="186"/>
      <c r="X364" s="186"/>
      <c r="Y364" s="186"/>
      <c r="Z364" s="186"/>
      <c r="AA364" s="186"/>
      <c r="AB364" s="186"/>
      <c r="AC364" s="186"/>
      <c r="AD364" s="186"/>
      <c r="AE364" s="186"/>
      <c r="AF364" s="186"/>
      <c r="AG364" s="186"/>
      <c r="AH364" s="186"/>
      <c r="AI364" s="186"/>
      <c r="AJ364" s="186"/>
      <c r="AK364" s="186"/>
      <c r="AL364" s="186"/>
      <c r="AM364" s="186"/>
      <c r="AN364" s="186"/>
      <c r="AO364" s="186"/>
      <c r="AP364" s="186"/>
      <c r="AQ364" s="186"/>
      <c r="AR364" s="186"/>
      <c r="AS364" s="186"/>
      <c r="AT364" s="186"/>
      <c r="AU364" s="186"/>
      <c r="AV364" s="186"/>
      <c r="AW364" s="186"/>
      <c r="AX364" s="186"/>
      <c r="AY364" s="186"/>
      <c r="AZ364" s="186"/>
      <c r="BA364" s="186"/>
      <c r="BB364" s="186"/>
      <c r="BC364" s="331"/>
      <c r="BD364" s="186"/>
      <c r="BE364" s="186"/>
      <c r="BF364" s="331"/>
      <c r="BG364" s="186"/>
      <c r="BH364" s="186"/>
      <c r="BI364" s="331"/>
      <c r="BJ364" s="186"/>
      <c r="BK364" s="186"/>
      <c r="BL364" s="331"/>
      <c r="BM364" s="187">
        <v>4.3976463386134645E-2</v>
      </c>
      <c r="BN364" s="187">
        <f>BM364</f>
        <v>4.3976463386134645E-2</v>
      </c>
      <c r="BO364" s="978">
        <f>BO366/BO362</f>
        <v>2.5652936975245209E-2</v>
      </c>
      <c r="BP364" s="187">
        <f>BN364</f>
        <v>4.3976463386134645E-2</v>
      </c>
      <c r="BQ364" s="187">
        <f>BO364</f>
        <v>2.5652936975245209E-2</v>
      </c>
      <c r="BR364" s="978">
        <f>BR366/BR362</f>
        <v>3.3796726491196069E-2</v>
      </c>
      <c r="BS364" s="187">
        <f>BP364*(1+BS365)</f>
        <v>4.3976463386134645E-2</v>
      </c>
      <c r="BT364" s="187">
        <f>BQ364*(1+BT365)</f>
        <v>2.5652936975245209E-2</v>
      </c>
      <c r="BU364" s="187">
        <f>BU366/BU362</f>
        <v>3.4097855826588364E-2</v>
      </c>
      <c r="BV364" s="187">
        <f>BS364*(1+BV365)</f>
        <v>4.3976463386134645E-2</v>
      </c>
      <c r="BW364" s="187">
        <f>BT364*(1+BW365)</f>
        <v>2.5652936975245209E-2</v>
      </c>
      <c r="BX364" s="187">
        <f>BX366/BX362</f>
        <v>3.4104987093293709E-2</v>
      </c>
      <c r="BY364" s="187">
        <f>BV364*(1+BY365)</f>
        <v>4.3976463386134645E-2</v>
      </c>
      <c r="BZ364" s="187">
        <f>BW364*(1+BZ365)</f>
        <v>2.5652936975245209E-2</v>
      </c>
      <c r="CA364" s="187">
        <f>CA366/CA362</f>
        <v>3.4325375201082718E-2</v>
      </c>
      <c r="CB364" s="187">
        <f>BY364*(1+CB365)</f>
        <v>4.3976463386134645E-2</v>
      </c>
      <c r="CC364" s="187">
        <f>BZ364*(1+CC365)</f>
        <v>2.5652936975245209E-2</v>
      </c>
      <c r="CD364" s="187">
        <f>CD366/CD362</f>
        <v>3.4457865607711906E-2</v>
      </c>
      <c r="CE364" s="187">
        <f>CB364*(1+CE365)</f>
        <v>9.8441313289862414E-2</v>
      </c>
      <c r="CF364" s="187">
        <f>CC364*(1+CF365)</f>
        <v>3.078352437029425E-2</v>
      </c>
      <c r="CG364" s="187">
        <f>CG366/CG362</f>
        <v>6.3006809849422127E-2</v>
      </c>
      <c r="CH364" s="187">
        <f>CE364*(1+CH365)</f>
        <v>9.8441313289862414E-2</v>
      </c>
      <c r="CI364" s="187">
        <f>CF364*(1+CI365)</f>
        <v>3.0629606748442777E-2</v>
      </c>
      <c r="CJ364" s="187">
        <f>CJ366/CJ362</f>
        <v>6.2926198369382139E-2</v>
      </c>
      <c r="CK364" s="187">
        <f>CH364*(1+CK365)</f>
        <v>0.10097549284701815</v>
      </c>
      <c r="CL364" s="187">
        <f>CI364*(1+CL365)</f>
        <v>3.1979139244587465E-2</v>
      </c>
      <c r="CM364" s="187">
        <f>CM366/CM362</f>
        <v>6.4839941151564232E-2</v>
      </c>
      <c r="CN364" s="187">
        <f>CK364*(1+CN365)</f>
        <v>0.10602426748936906</v>
      </c>
      <c r="CO364" s="187">
        <f>CL364*(1+CO365)</f>
        <v>3.1979139244587465E-2</v>
      </c>
      <c r="CP364" s="187">
        <f>CP366/CP362</f>
        <v>6.7244514360624605E-2</v>
      </c>
      <c r="CQ364" s="187">
        <f>CN364*(1+CQ365)</f>
        <v>0.10602426748936906</v>
      </c>
      <c r="CR364" s="187">
        <f>CO364*(1+CR365)</f>
        <v>3.1979139244587465E-2</v>
      </c>
      <c r="CS364" s="187">
        <f>CS366/CS362</f>
        <v>6.9058652745964288E-2</v>
      </c>
      <c r="CT364" s="187">
        <f>CQ364*(1+CT365)</f>
        <v>0.10602426748936906</v>
      </c>
      <c r="CU364" s="187">
        <f>CR364*(1+CU365)</f>
        <v>3.1979139244587465E-2</v>
      </c>
      <c r="CV364" s="187">
        <f>CV366/CV362</f>
        <v>6.8989494563402809E-2</v>
      </c>
      <c r="CW364" s="187">
        <f>CT364*(1+CW365)</f>
        <v>0.10602426748936906</v>
      </c>
      <c r="CX364" s="187">
        <f>CU364*(1+CX365)</f>
        <v>3.1979139244587465E-2</v>
      </c>
      <c r="CY364" s="187">
        <f>CY366/CY362</f>
        <v>6.7207209406095078E-2</v>
      </c>
      <c r="CZ364" s="187">
        <f>CW364*(1+CZ365)</f>
        <v>0.10602426748936906</v>
      </c>
      <c r="DA364" s="187">
        <f>CX364*(1+DA365)</f>
        <v>3.1979139244587465E-2</v>
      </c>
      <c r="DB364" s="187">
        <f>DB366/DB362</f>
        <v>6.8602375761744466E-2</v>
      </c>
      <c r="DC364" s="187">
        <f>CZ364*(1+DC365)</f>
        <v>0.10602426748936906</v>
      </c>
      <c r="DD364" s="187">
        <f>DA364*(1+DD365)</f>
        <v>3.1979139244587465E-2</v>
      </c>
      <c r="DE364" s="187">
        <f>DE366/DE362</f>
        <v>6.8432242699147924E-2</v>
      </c>
      <c r="DF364" s="187">
        <f>DC364*(1+DF365)</f>
        <v>0.10814475283915645</v>
      </c>
      <c r="DG364" s="187">
        <f>DD364*(1+DG365)</f>
        <v>3.1979139244587465E-2</v>
      </c>
      <c r="DH364" s="1076">
        <f>DH366/DH362</f>
        <v>6.416122797654035E-2</v>
      </c>
      <c r="DI364" s="187">
        <v>0.11895922812307211</v>
      </c>
      <c r="DJ364" s="187">
        <v>8.5999999999999993E-2</v>
      </c>
      <c r="DK364" s="1076">
        <f>DK366/DK362</f>
        <v>9.9430552212253762E-2</v>
      </c>
      <c r="DL364" s="187">
        <v>0.11895922812307211</v>
      </c>
      <c r="DM364" s="187">
        <v>8.5999999999999993E-2</v>
      </c>
      <c r="DN364" s="1076">
        <f>DN366/DN362</f>
        <v>9.9763193448217297E-2</v>
      </c>
      <c r="DO364" s="187">
        <v>0.11895922812307211</v>
      </c>
      <c r="DP364" s="187">
        <v>8.5999999999999993E-2</v>
      </c>
      <c r="DQ364" s="1076">
        <f>DQ366/DQ362</f>
        <v>0.10061937819571927</v>
      </c>
      <c r="DR364" s="187">
        <v>0.11895922812307211</v>
      </c>
      <c r="DS364" s="187">
        <v>8.5999999999999993E-2</v>
      </c>
      <c r="DT364" s="1076">
        <f>DT366/DT362</f>
        <v>9.7683953983091251E-2</v>
      </c>
      <c r="DU364" s="187">
        <v>0.11895922812307211</v>
      </c>
      <c r="DV364" s="187">
        <v>8.5999999999999993E-2</v>
      </c>
      <c r="DW364" s="1076">
        <f>DW366/DW362</f>
        <v>0.10130657128462384</v>
      </c>
      <c r="DX364" s="187">
        <v>0.11895922812307211</v>
      </c>
      <c r="DY364" s="187">
        <f>DV364*(1+DY365)</f>
        <v>8.5999999999999993E-2</v>
      </c>
      <c r="DZ364" s="1076">
        <f>DZ366/DZ362</f>
        <v>9.9523105343981219E-2</v>
      </c>
      <c r="EA364" s="187">
        <f>DX364*(1+EA365)</f>
        <v>0.11895922812307211</v>
      </c>
      <c r="EB364" s="187">
        <f>DY364*(1+EB365)</f>
        <v>8.5999999999999993E-2</v>
      </c>
      <c r="EC364" s="1076">
        <f>EC366/EC362</f>
        <v>9.9968357694500909E-2</v>
      </c>
      <c r="ED364" s="187">
        <f>EA364*(1+ED365)</f>
        <v>0.11895922812307211</v>
      </c>
      <c r="EE364" s="187">
        <f>EB364*(1+EE365)</f>
        <v>8.5999999999999993E-2</v>
      </c>
      <c r="EF364" s="1076">
        <f>EF366/EF362</f>
        <v>9.9968357694500895E-2</v>
      </c>
      <c r="EG364" s="187">
        <f>ED364*(1+EG365)</f>
        <v>0.11895922812307211</v>
      </c>
      <c r="EH364" s="187">
        <f>EE364*(1+EH365)</f>
        <v>8.5999999999999993E-2</v>
      </c>
      <c r="EI364" s="1076">
        <f>EI366/EI362</f>
        <v>9.9968357694500895E-2</v>
      </c>
      <c r="EJ364" s="187">
        <f>EG364*(1+EJ365)</f>
        <v>0.11895922812307211</v>
      </c>
      <c r="EK364" s="187">
        <f>EH364*(1+EK365)</f>
        <v>8.5999999999999993E-2</v>
      </c>
      <c r="EL364" s="1076">
        <f>EL366/EL362</f>
        <v>9.9968357694500881E-2</v>
      </c>
      <c r="EM364" s="187">
        <f>EJ364*(1+EM365)</f>
        <v>0.11895922812307211</v>
      </c>
      <c r="EN364" s="187">
        <f>EK364*(1+EN365)</f>
        <v>8.5999999999999993E-2</v>
      </c>
      <c r="EO364" s="1076">
        <f>EO366/EO362</f>
        <v>9.9968357694500909E-2</v>
      </c>
      <c r="EP364" s="187">
        <f>EM364*(1+EP365)</f>
        <v>0.11895922812307211</v>
      </c>
      <c r="EQ364" s="187">
        <f>EN364*(1+EQ365)</f>
        <v>8.5999999999999993E-2</v>
      </c>
      <c r="ER364" s="1076">
        <f>ER366/ER362</f>
        <v>9.9968357694500895E-2</v>
      </c>
      <c r="ES364" s="187">
        <f>EP364*(1+ES365)</f>
        <v>0.11895922812307211</v>
      </c>
      <c r="ET364" s="187">
        <f>EQ364*(1+ET365)</f>
        <v>8.5999999999999993E-2</v>
      </c>
      <c r="EU364" s="1076">
        <f>EU366/EU362</f>
        <v>9.9968357694500909E-2</v>
      </c>
      <c r="EV364" s="187">
        <f>ES364*(1+EV365)</f>
        <v>0.11895922812307211</v>
      </c>
      <c r="EW364" s="187">
        <f>ET364*(1+EW365)</f>
        <v>8.5999999999999993E-2</v>
      </c>
      <c r="EX364" s="1076">
        <f>EX366/EX362</f>
        <v>9.9968357694500895E-2</v>
      </c>
      <c r="EY364" s="187">
        <f>EV364*(1+EY365)</f>
        <v>0.11895922812307211</v>
      </c>
      <c r="EZ364" s="187">
        <f>EW364*(1+EZ365)</f>
        <v>8.5999999999999993E-2</v>
      </c>
      <c r="FA364" s="1076">
        <f>FA366/FA362</f>
        <v>9.9968357694500881E-2</v>
      </c>
      <c r="FH364" s="35"/>
      <c r="FI364" s="35"/>
      <c r="FJ364" s="35"/>
      <c r="FK364" s="35"/>
      <c r="FL364" s="35"/>
      <c r="FM364" s="35"/>
      <c r="FN364" s="35"/>
      <c r="FO364" s="35"/>
      <c r="FP364" s="35"/>
      <c r="FQ364" s="35"/>
    </row>
    <row r="365" spans="1:173" s="321" customFormat="1" outlineLevel="1">
      <c r="A365" s="1168"/>
      <c r="B365" s="186"/>
      <c r="C365" s="186"/>
      <c r="D365" s="910" t="s">
        <v>209</v>
      </c>
      <c r="E365" s="1"/>
      <c r="F365" s="1"/>
      <c r="G365" s="5"/>
      <c r="H365" s="1"/>
      <c r="I365" s="1"/>
      <c r="J365" s="5"/>
      <c r="K365" s="1"/>
      <c r="L365" s="1"/>
      <c r="M365" s="5"/>
      <c r="N365" s="1"/>
      <c r="O365" s="1"/>
      <c r="P365" s="5"/>
      <c r="Q365" s="1"/>
      <c r="R365" s="1"/>
      <c r="S365" s="5"/>
      <c r="T365" s="1"/>
      <c r="U365" s="1"/>
      <c r="V365" s="5"/>
      <c r="W365" s="1"/>
      <c r="X365" s="1"/>
      <c r="Y365" s="5"/>
      <c r="Z365" s="1"/>
      <c r="AA365" s="1"/>
      <c r="AB365" s="5"/>
      <c r="AC365" s="1"/>
      <c r="AD365" s="1"/>
      <c r="AE365" s="5"/>
      <c r="AF365" s="1"/>
      <c r="AG365" s="1"/>
      <c r="AH365" s="5"/>
      <c r="AI365" s="1"/>
      <c r="AJ365" s="1"/>
      <c r="AK365" s="5"/>
      <c r="AL365" s="1"/>
      <c r="AM365" s="1"/>
      <c r="AN365" s="5"/>
      <c r="AO365" s="1"/>
      <c r="AP365" s="1"/>
      <c r="AQ365" s="5"/>
      <c r="AR365" s="1"/>
      <c r="AS365" s="1"/>
      <c r="AT365" s="5"/>
      <c r="AU365" s="1"/>
      <c r="AV365" s="1"/>
      <c r="AW365" s="5"/>
      <c r="AX365" s="1"/>
      <c r="AY365" s="1"/>
      <c r="AZ365" s="5"/>
      <c r="BA365" s="89"/>
      <c r="BB365" s="89"/>
      <c r="BC365" s="944"/>
      <c r="BD365" s="89"/>
      <c r="BE365" s="89"/>
      <c r="BF365" s="944"/>
      <c r="BG365" s="89"/>
      <c r="BH365" s="89"/>
      <c r="BI365" s="944"/>
      <c r="BJ365" s="108"/>
      <c r="BK365" s="108"/>
      <c r="BL365" s="109"/>
      <c r="BM365" s="115"/>
      <c r="BN365" s="115"/>
      <c r="BO365" s="116"/>
      <c r="BP365" s="120">
        <f>BP364/BM364-1</f>
        <v>0</v>
      </c>
      <c r="BQ365" s="120">
        <f>BQ364/BN364-1</f>
        <v>-0.41666666666666674</v>
      </c>
      <c r="BR365" s="120">
        <f>BR364/BO364-1</f>
        <v>0.31746031746031744</v>
      </c>
      <c r="BS365" s="33">
        <f>BS186</f>
        <v>0</v>
      </c>
      <c r="BT365" s="33">
        <f>BT186</f>
        <v>0</v>
      </c>
      <c r="BU365" s="83">
        <f>BU364/BR364-1</f>
        <v>8.9100148640353094E-3</v>
      </c>
      <c r="BV365" s="33">
        <f>BV186</f>
        <v>0</v>
      </c>
      <c r="BW365" s="33">
        <f>BW186</f>
        <v>0</v>
      </c>
      <c r="BX365" s="83">
        <f>BX364/BU364-1</f>
        <v>2.0914120646220447E-4</v>
      </c>
      <c r="BY365" s="33">
        <f>BY186</f>
        <v>0</v>
      </c>
      <c r="BZ365" s="33">
        <f>BZ186</f>
        <v>0</v>
      </c>
      <c r="CA365" s="83">
        <f>CA364/BX364-1</f>
        <v>6.462049294613248E-3</v>
      </c>
      <c r="CB365" s="33">
        <f>CB186</f>
        <v>0</v>
      </c>
      <c r="CC365" s="33">
        <f>CC186</f>
        <v>0</v>
      </c>
      <c r="CD365" s="83">
        <f>CD364/CA364-1</f>
        <v>3.8598385553847425E-3</v>
      </c>
      <c r="CE365" s="33">
        <v>1.2384999999999999</v>
      </c>
      <c r="CF365" s="33">
        <f>CF186</f>
        <v>0.2</v>
      </c>
      <c r="CG365" s="83">
        <f>CG364/CD364-1</f>
        <v>0.82851748761016619</v>
      </c>
      <c r="CH365" s="33">
        <v>0</v>
      </c>
      <c r="CI365" s="33">
        <f>CI186</f>
        <v>-5.0000000000000001E-3</v>
      </c>
      <c r="CJ365" s="83">
        <f>CJ364/CG364-1</f>
        <v>-1.2794090072587583E-3</v>
      </c>
      <c r="CK365" s="33">
        <f>CK186</f>
        <v>2.5743049055977216E-2</v>
      </c>
      <c r="CL365" s="33">
        <f>CL186</f>
        <v>4.4059739559447503E-2</v>
      </c>
      <c r="CM365" s="83">
        <f>CM364/CJ364-1</f>
        <v>3.0412496412833612E-2</v>
      </c>
      <c r="CN365" s="33">
        <v>0.05</v>
      </c>
      <c r="CO365" s="33">
        <f>CO186</f>
        <v>0</v>
      </c>
      <c r="CP365" s="83">
        <f>CP364/CM364-1</f>
        <v>3.7084753106725543E-2</v>
      </c>
      <c r="CQ365" s="33">
        <f>CQ186</f>
        <v>0</v>
      </c>
      <c r="CR365" s="33">
        <f>CR186</f>
        <v>0</v>
      </c>
      <c r="CS365" s="83">
        <f>CS364/CP364-1</f>
        <v>2.697823610727057E-2</v>
      </c>
      <c r="CT365" s="33">
        <f>CT186</f>
        <v>0</v>
      </c>
      <c r="CU365" s="33">
        <f>CU186</f>
        <v>0</v>
      </c>
      <c r="CV365" s="83">
        <f>CV364/CS364-1</f>
        <v>-1.0014412359864444E-3</v>
      </c>
      <c r="CW365" s="33">
        <f>CW186</f>
        <v>0</v>
      </c>
      <c r="CX365" s="33">
        <f>CX186</f>
        <v>0</v>
      </c>
      <c r="CY365" s="83">
        <f>CY364/CV364-1</f>
        <v>-2.5834152990782844E-2</v>
      </c>
      <c r="CZ365" s="33">
        <f>CZ186</f>
        <v>0</v>
      </c>
      <c r="DA365" s="33">
        <f>DA186</f>
        <v>0</v>
      </c>
      <c r="DB365" s="83">
        <f>DB364/CY364-1</f>
        <v>2.0759176998693452E-2</v>
      </c>
      <c r="DC365" s="33">
        <f>DC186</f>
        <v>0</v>
      </c>
      <c r="DD365" s="33">
        <v>0</v>
      </c>
      <c r="DE365" s="83">
        <f>DE364/DB364-1</f>
        <v>-2.4799879116054191E-3</v>
      </c>
      <c r="DF365" s="33">
        <v>0.02</v>
      </c>
      <c r="DG365" s="33">
        <f>DG186</f>
        <v>0</v>
      </c>
      <c r="DH365" s="1077">
        <f>DH364/DE364-1</f>
        <v>-6.2412315513090122E-2</v>
      </c>
      <c r="DI365" s="33"/>
      <c r="DJ365" s="33"/>
      <c r="DK365" s="1066"/>
      <c r="DL365" s="75">
        <f t="shared" ref="DL365:DM365" si="2034">DL364/DI364-1</f>
        <v>0</v>
      </c>
      <c r="DM365" s="75">
        <f t="shared" si="2034"/>
        <v>0</v>
      </c>
      <c r="DN365" s="1066">
        <f>DN364/DK364-1</f>
        <v>3.3454630248199724E-3</v>
      </c>
      <c r="DO365" s="75">
        <f t="shared" ref="DO365:DU365" si="2035">DO364/DL364-1</f>
        <v>0</v>
      </c>
      <c r="DP365" s="75">
        <f t="shared" si="2035"/>
        <v>0</v>
      </c>
      <c r="DQ365" s="1066">
        <f t="shared" si="2035"/>
        <v>8.5821706173268009E-3</v>
      </c>
      <c r="DR365" s="75">
        <f t="shared" si="2035"/>
        <v>0</v>
      </c>
      <c r="DS365" s="75">
        <f t="shared" si="2035"/>
        <v>0</v>
      </c>
      <c r="DT365" s="1066">
        <f t="shared" si="2035"/>
        <v>-2.9173547533937194E-2</v>
      </c>
      <c r="DU365" s="75">
        <f t="shared" si="2035"/>
        <v>0</v>
      </c>
      <c r="DV365" s="75">
        <f t="shared" ref="DV365" si="2036">DV364/DS364-1</f>
        <v>0</v>
      </c>
      <c r="DW365" s="1066">
        <f t="shared" ref="DW365:DX365" si="2037">DW364/DT364-1</f>
        <v>3.7085080546183091E-2</v>
      </c>
      <c r="DX365" s="75">
        <f t="shared" si="2037"/>
        <v>0</v>
      </c>
      <c r="DY365" s="1143">
        <f>+DY186</f>
        <v>0</v>
      </c>
      <c r="DZ365" s="1142">
        <f t="shared" ref="DZ365" si="2038">DZ364/DW364-1</f>
        <v>-1.7604642206594079E-2</v>
      </c>
      <c r="EA365" s="1161">
        <f>+EA186</f>
        <v>0</v>
      </c>
      <c r="EB365" s="1143">
        <f>+EB186</f>
        <v>0</v>
      </c>
      <c r="EC365" s="1142">
        <f t="shared" ref="EC365" si="2039">EC364/DZ364-1</f>
        <v>4.473859100163402E-3</v>
      </c>
      <c r="ED365" s="1161">
        <f>+ED186</f>
        <v>0</v>
      </c>
      <c r="EE365" s="1143">
        <f>+EE186</f>
        <v>0</v>
      </c>
      <c r="EF365" s="1142">
        <f t="shared" ref="EF365" si="2040">EF364/EC364-1</f>
        <v>0</v>
      </c>
      <c r="EG365" s="1161">
        <f>+EG186</f>
        <v>0</v>
      </c>
      <c r="EH365" s="1143">
        <f>+EH186</f>
        <v>0</v>
      </c>
      <c r="EI365" s="1142">
        <f t="shared" ref="EI365" si="2041">EI364/EF364-1</f>
        <v>0</v>
      </c>
      <c r="EJ365" s="1161">
        <f>+EJ186</f>
        <v>0</v>
      </c>
      <c r="EK365" s="1143">
        <f>+EK186</f>
        <v>0</v>
      </c>
      <c r="EL365" s="1142">
        <f t="shared" ref="EL365" si="2042">EL364/EI364-1</f>
        <v>0</v>
      </c>
      <c r="EM365" s="1161">
        <f>+EM186</f>
        <v>0</v>
      </c>
      <c r="EN365" s="1143">
        <f>+EN186</f>
        <v>0</v>
      </c>
      <c r="EO365" s="1142">
        <f t="shared" ref="EO365" si="2043">EO364/EL364-1</f>
        <v>0</v>
      </c>
      <c r="EP365" s="1161">
        <f>+EP186</f>
        <v>0</v>
      </c>
      <c r="EQ365" s="1143">
        <f>+EQ186</f>
        <v>0</v>
      </c>
      <c r="ER365" s="1142">
        <f t="shared" ref="ER365" si="2044">ER364/EO364-1</f>
        <v>0</v>
      </c>
      <c r="ES365" s="1161">
        <f>+ES186</f>
        <v>0</v>
      </c>
      <c r="ET365" s="1143">
        <f>+ET186</f>
        <v>0</v>
      </c>
      <c r="EU365" s="1142">
        <f t="shared" ref="EU365" si="2045">EU364/ER364-1</f>
        <v>0</v>
      </c>
      <c r="EV365" s="1161">
        <f>+EV186</f>
        <v>0</v>
      </c>
      <c r="EW365" s="1143">
        <f>+EW186</f>
        <v>0</v>
      </c>
      <c r="EX365" s="1142">
        <f t="shared" ref="EX365" si="2046">EX364/EU364-1</f>
        <v>0</v>
      </c>
      <c r="EY365" s="1161">
        <f>+EY186</f>
        <v>0</v>
      </c>
      <c r="EZ365" s="1143">
        <f>+EZ186</f>
        <v>0</v>
      </c>
      <c r="FA365" s="1142">
        <f t="shared" ref="FA365" si="2047">FA364/EX364-1</f>
        <v>0</v>
      </c>
      <c r="FH365" s="35"/>
      <c r="FI365" s="35"/>
      <c r="FJ365" s="35"/>
      <c r="FK365" s="35"/>
      <c r="FL365" s="35"/>
      <c r="FM365" s="35"/>
      <c r="FN365" s="35"/>
      <c r="FO365" s="35"/>
      <c r="FP365" s="35"/>
      <c r="FQ365" s="35"/>
    </row>
    <row r="366" spans="1:173" s="321" customFormat="1" outlineLevel="1">
      <c r="A366" s="1168"/>
      <c r="B366" s="186" t="s">
        <v>697</v>
      </c>
      <c r="C366" s="186"/>
      <c r="D366" s="910" t="s">
        <v>140</v>
      </c>
      <c r="E366" s="186"/>
      <c r="F366" s="186"/>
      <c r="G366" s="186"/>
      <c r="H366" s="186"/>
      <c r="I366" s="186"/>
      <c r="J366" s="186"/>
      <c r="K366" s="186"/>
      <c r="L366" s="186"/>
      <c r="M366" s="186"/>
      <c r="N366" s="186"/>
      <c r="O366" s="186"/>
      <c r="P366" s="186"/>
      <c r="Q366" s="186"/>
      <c r="R366" s="186"/>
      <c r="S366" s="186"/>
      <c r="T366" s="186"/>
      <c r="U366" s="186"/>
      <c r="V366" s="186"/>
      <c r="W366" s="186"/>
      <c r="X366" s="186"/>
      <c r="Y366" s="186"/>
      <c r="Z366" s="186"/>
      <c r="AA366" s="186"/>
      <c r="AB366" s="186"/>
      <c r="AC366" s="186"/>
      <c r="AD366" s="186"/>
      <c r="AE366" s="186"/>
      <c r="AF366" s="186"/>
      <c r="AG366" s="186"/>
      <c r="AH366" s="186"/>
      <c r="AI366" s="186"/>
      <c r="AJ366" s="186"/>
      <c r="AK366" s="186"/>
      <c r="AL366" s="186"/>
      <c r="AM366" s="186"/>
      <c r="AN366" s="186"/>
      <c r="AO366" s="186"/>
      <c r="AP366" s="186"/>
      <c r="AQ366" s="186"/>
      <c r="AR366" s="186"/>
      <c r="AS366" s="186"/>
      <c r="AT366" s="186"/>
      <c r="AU366" s="186"/>
      <c r="AV366" s="186"/>
      <c r="AW366" s="186"/>
      <c r="AX366" s="186"/>
      <c r="AY366" s="186"/>
      <c r="AZ366" s="186"/>
      <c r="BA366" s="186"/>
      <c r="BB366" s="186"/>
      <c r="BC366" s="331"/>
      <c r="BD366" s="186"/>
      <c r="BE366" s="186"/>
      <c r="BF366" s="331"/>
      <c r="BG366" s="186"/>
      <c r="BH366" s="186"/>
      <c r="BI366" s="331"/>
      <c r="BJ366" s="186"/>
      <c r="BK366" s="186"/>
      <c r="BL366" s="331"/>
      <c r="BM366" s="190">
        <f>BM362*BM364</f>
        <v>1.2261831933707834</v>
      </c>
      <c r="BN366" s="190">
        <f>(BN362*BN364)*(1/6)</f>
        <v>0.20436386556179723</v>
      </c>
      <c r="BO366" s="973">
        <f>SUM(BM366:BN366)</f>
        <v>1.4305470589325806</v>
      </c>
      <c r="BP366" s="190">
        <f>BP362*BP364</f>
        <v>1.5327289917134794</v>
      </c>
      <c r="BQ366" s="190">
        <f>BQ362*BQ364</f>
        <v>1.1176148897910787</v>
      </c>
      <c r="BR366" s="973">
        <f>SUM(BP366:BQ366)</f>
        <v>2.6503438815045581</v>
      </c>
      <c r="BS366" s="190">
        <f>BS362*BS364</f>
        <v>1.9811661195924688</v>
      </c>
      <c r="BT366" s="190">
        <f>BT362*BT364</f>
        <v>1.351879363315537</v>
      </c>
      <c r="BU366" s="190">
        <f>SUM(BS366:BT366)</f>
        <v>3.3330454829080058</v>
      </c>
      <c r="BV366" s="190">
        <f>BV362*BV364</f>
        <v>2.3141961092546257</v>
      </c>
      <c r="BW366" s="190">
        <f>BW362*BW364</f>
        <v>1.5766561758486577</v>
      </c>
      <c r="BX366" s="190">
        <f>SUM(BV366:BW366)</f>
        <v>3.8908522851032834</v>
      </c>
      <c r="BY366" s="190">
        <f>BY362*BY364</f>
        <v>2.7473332606778742</v>
      </c>
      <c r="BZ366" s="190">
        <f>BZ362*BZ364</f>
        <v>1.7834593165001078</v>
      </c>
      <c r="CA366" s="190">
        <f>SUM(BY366:BZ366)</f>
        <v>4.5307925771779818</v>
      </c>
      <c r="CB366" s="190">
        <f>CB362*CB364</f>
        <v>2.9397839555883594</v>
      </c>
      <c r="CC366" s="190">
        <f>CC362*CC364</f>
        <v>1.8538702903155317</v>
      </c>
      <c r="CD366" s="190">
        <f>SUM(CB366:CC366)</f>
        <v>4.7936542459038911</v>
      </c>
      <c r="CE366" s="190">
        <f>CE362*CE364</f>
        <v>5.9966686929526647</v>
      </c>
      <c r="CF366" s="190">
        <f>CF362*CF364</f>
        <v>2.0620895858426112</v>
      </c>
      <c r="CG366" s="190">
        <f>SUM(CE366:CF366)</f>
        <v>8.0587582787952758</v>
      </c>
      <c r="CH366" s="190">
        <f>CH362*CH364</f>
        <v>6.4164355014593513</v>
      </c>
      <c r="CI366" s="190">
        <f>CI362*CI364</f>
        <v>2.1954036775673358</v>
      </c>
      <c r="CJ366" s="187">
        <f>SUM(CH366:CI366)</f>
        <v>8.6118391790266866</v>
      </c>
      <c r="CK366" s="190">
        <f>CK362*CK364</f>
        <v>6.6542856764979144</v>
      </c>
      <c r="CL366" s="190">
        <f>CL362*CL364</f>
        <v>2.3174414067965037</v>
      </c>
      <c r="CM366" s="190">
        <f>SUM(CK366:CL366)</f>
        <v>8.971727083294418</v>
      </c>
      <c r="CN366" s="190">
        <f>CN362*CN364</f>
        <v>7.0641476304905435</v>
      </c>
      <c r="CO366" s="190">
        <f>CO362*CO364</f>
        <v>2.3430296716168639</v>
      </c>
      <c r="CP366" s="190">
        <f>SUM(CN366:CO366)</f>
        <v>9.4071773021074065</v>
      </c>
      <c r="CQ366" s="190">
        <f>CQ362*CQ364</f>
        <v>8.8671308847572643</v>
      </c>
      <c r="CR366" s="190">
        <f>CR362*CR364</f>
        <v>2.6662969381879056</v>
      </c>
      <c r="CS366" s="190">
        <f>SUM(CQ366:CR366)</f>
        <v>11.533427822945169</v>
      </c>
      <c r="CT366" s="190">
        <f>CT362*CT364</f>
        <v>10.21346738569844</v>
      </c>
      <c r="CU366" s="190">
        <f>CU362*CU364</f>
        <v>3.082628060688188</v>
      </c>
      <c r="CV366" s="190">
        <f>SUM(CT366:CU366)</f>
        <v>13.296095446386628</v>
      </c>
      <c r="CW366" s="190">
        <f>CW362*CW364</f>
        <v>11.765914428324601</v>
      </c>
      <c r="CX366" s="190">
        <f>CX362*CX364</f>
        <v>3.9103977982487987</v>
      </c>
      <c r="CY366" s="190">
        <f>SUM(CW366:CX366)</f>
        <v>15.676312226573399</v>
      </c>
      <c r="CZ366" s="190">
        <f>CZ362*CZ364</f>
        <v>12.232614125500623</v>
      </c>
      <c r="DA366" s="190">
        <f>DA362*DA364</f>
        <v>3.7700731934137162</v>
      </c>
      <c r="DB366" s="190">
        <f>SUM(CZ366:DA366)</f>
        <v>16.00268731891434</v>
      </c>
      <c r="DC366" s="190">
        <f>DC362*DC364</f>
        <v>13.50831213096296</v>
      </c>
      <c r="DD366" s="190">
        <f>DD362*DD364</f>
        <v>4.2016878690370394</v>
      </c>
      <c r="DE366" s="190">
        <f>SUM(DC366:DD366)</f>
        <v>17.71</v>
      </c>
      <c r="DF366" s="190">
        <f>DF362*DF364</f>
        <v>11.43613705007324</v>
      </c>
      <c r="DG366" s="190">
        <f>DG362*DG364</f>
        <v>4.6218566559407437</v>
      </c>
      <c r="DH366" s="1060">
        <f>SUM(DF366:DG366)</f>
        <v>16.057993706013985</v>
      </c>
      <c r="DI366" s="1159">
        <f>+DI124*DI93</f>
        <v>12.761712439418419</v>
      </c>
      <c r="DJ366" s="1159">
        <f>+DJ124*DJ93</f>
        <v>13.414923384410393</v>
      </c>
      <c r="DK366" s="1156">
        <f>SUM(DI366:DJ366)</f>
        <v>26.176635823828811</v>
      </c>
      <c r="DL366" s="1159">
        <f>+DL124*DL93</f>
        <v>17.338513430639029</v>
      </c>
      <c r="DM366" s="1159">
        <f>+DM124*DM93</f>
        <v>17.482538144829253</v>
      </c>
      <c r="DN366" s="1156">
        <f>SUM(DL366:DM366)</f>
        <v>34.821051575468282</v>
      </c>
      <c r="DO366" s="1159">
        <f>+DO124*DO93</f>
        <v>21.82784937801188</v>
      </c>
      <c r="DP366" s="1159">
        <f>+DP124*DP93</f>
        <v>19.79603159676509</v>
      </c>
      <c r="DQ366" s="1156">
        <f>SUM(DO366:DP366)</f>
        <v>41.623880974776966</v>
      </c>
      <c r="DR366" s="1159">
        <f>+DR124*DR93</f>
        <v>18.284533860247887</v>
      </c>
      <c r="DS366" s="1159">
        <f>+DS124*DS93</f>
        <v>24.069636617749818</v>
      </c>
      <c r="DT366" s="1156">
        <f>SUM(DR366:DS366)</f>
        <v>42.354170477997705</v>
      </c>
      <c r="DU366" s="1159">
        <f>+DU124*DU93</f>
        <v>27.482348918711001</v>
      </c>
      <c r="DV366" s="1159">
        <f>+DV124*DV93</f>
        <v>22.91323045788009</v>
      </c>
      <c r="DW366" s="1156">
        <f>SUM(DU366:DV366)</f>
        <v>50.395579376591087</v>
      </c>
      <c r="DX366" s="1159">
        <f>+DX124*DX93</f>
        <v>24.808775510204086</v>
      </c>
      <c r="DY366" s="1155">
        <f>DY362*DY364</f>
        <v>25.777384265115099</v>
      </c>
      <c r="DZ366" s="1156">
        <f>SUM(DX366:DY366)</f>
        <v>50.586159775319189</v>
      </c>
      <c r="EA366" s="1155">
        <f>EA362*EA364</f>
        <v>27.53774081632654</v>
      </c>
      <c r="EB366" s="1155">
        <f>EB362*EB364</f>
        <v>27.066253478370857</v>
      </c>
      <c r="EC366" s="1156">
        <f>SUM(EA366:EB366)</f>
        <v>54.603994294697401</v>
      </c>
      <c r="ED366" s="1155">
        <f>ED362*ED364</f>
        <v>29.465382673469399</v>
      </c>
      <c r="EE366" s="1155">
        <f>EE362*EE364</f>
        <v>28.960891221856819</v>
      </c>
      <c r="EF366" s="1156">
        <f>SUM(ED366:EE366)</f>
        <v>58.426273895326219</v>
      </c>
      <c r="EG366" s="1155">
        <f>EG362*EG364</f>
        <v>32.117267114081642</v>
      </c>
      <c r="EH366" s="1155">
        <f>EH362*EH364</f>
        <v>31.567371431823936</v>
      </c>
      <c r="EI366" s="1156">
        <f>SUM(EG366:EH366)</f>
        <v>63.684638545905578</v>
      </c>
      <c r="EJ366" s="1155">
        <f>EJ362*EJ364</f>
        <v>35.007821154348996</v>
      </c>
      <c r="EK366" s="1155">
        <f>EK362*EK364</f>
        <v>34.408434860688089</v>
      </c>
      <c r="EL366" s="1156">
        <f>SUM(EJ366:EK366)</f>
        <v>69.416256015037078</v>
      </c>
      <c r="EM366" s="1155">
        <f>EM362*EM364</f>
        <v>38.158525058240414</v>
      </c>
      <c r="EN366" s="1155">
        <f>EN362*EN364</f>
        <v>37.50519399815002</v>
      </c>
      <c r="EO366" s="1156">
        <f>SUM(EM366:EN366)</f>
        <v>75.663719056390434</v>
      </c>
      <c r="EP366" s="1155">
        <f>EP362*EP364</f>
        <v>41.59279231348205</v>
      </c>
      <c r="EQ366" s="1155">
        <f>EQ362*EQ364</f>
        <v>40.880661457983521</v>
      </c>
      <c r="ER366" s="1156">
        <f>SUM(EP366:EQ366)</f>
        <v>82.473453771465572</v>
      </c>
      <c r="ES366" s="1155">
        <f>ES362*ES364</f>
        <v>45.336143621695435</v>
      </c>
      <c r="ET366" s="1155">
        <f>ET362*ET364</f>
        <v>44.559920989202048</v>
      </c>
      <c r="EU366" s="1156">
        <f>SUM(ES366:ET366)</f>
        <v>89.896064610897483</v>
      </c>
      <c r="EV366" s="1155">
        <f>EV362*EV364</f>
        <v>49.416396547648027</v>
      </c>
      <c r="EW366" s="1155">
        <f>EW362*EW364</f>
        <v>48.57031387823023</v>
      </c>
      <c r="EX366" s="1156">
        <f>SUM(EV366:EW366)</f>
        <v>97.986710425878258</v>
      </c>
      <c r="EY366" s="1155">
        <f>EY362*EY364</f>
        <v>53.863872236936352</v>
      </c>
      <c r="EZ366" s="1155">
        <f>EZ362*EZ364</f>
        <v>52.94164212727096</v>
      </c>
      <c r="FA366" s="1156">
        <f>SUM(EY366:EZ366)</f>
        <v>106.80551436420731</v>
      </c>
      <c r="FH366" s="35"/>
      <c r="FI366" s="35"/>
      <c r="FJ366" s="35"/>
      <c r="FK366" s="35"/>
      <c r="FL366" s="35"/>
      <c r="FM366" s="35"/>
      <c r="FN366" s="35"/>
      <c r="FO366" s="35"/>
      <c r="FP366" s="35"/>
      <c r="FQ366" s="35"/>
    </row>
    <row r="367" spans="1:173" outlineLevel="1">
      <c r="D367" s="910" t="s">
        <v>209</v>
      </c>
      <c r="BA367" s="35"/>
      <c r="BB367" s="35"/>
      <c r="BC367" s="322"/>
      <c r="BD367" s="35"/>
      <c r="BE367" s="35"/>
      <c r="BG367" s="35"/>
      <c r="BH367" s="35"/>
      <c r="BJ367" s="35"/>
      <c r="BK367" s="35"/>
      <c r="BL367" s="31"/>
      <c r="BM367" s="35"/>
      <c r="BN367" s="35"/>
      <c r="BO367" s="31"/>
      <c r="BP367" s="65">
        <f t="shared" ref="BP367:CU367" si="2048">BP366/BM366-1</f>
        <v>0.25000000000000022</v>
      </c>
      <c r="BQ367" s="65">
        <f t="shared" si="2048"/>
        <v>4.4687500000000009</v>
      </c>
      <c r="BR367" s="65">
        <f t="shared" si="2048"/>
        <v>0.85267857142857162</v>
      </c>
      <c r="BS367" s="65">
        <f t="shared" si="2048"/>
        <v>0.29257431046415405</v>
      </c>
      <c r="BT367" s="65">
        <f t="shared" si="2048"/>
        <v>0.20961108845664222</v>
      </c>
      <c r="BU367" s="65">
        <f t="shared" si="2048"/>
        <v>0.2575898192561672</v>
      </c>
      <c r="BV367" s="65">
        <f t="shared" si="2048"/>
        <v>0.16809796329984783</v>
      </c>
      <c r="BW367" s="65">
        <f t="shared" si="2048"/>
        <v>0.16626987483694311</v>
      </c>
      <c r="BX367" s="65">
        <f t="shared" si="2048"/>
        <v>0.16735649274986897</v>
      </c>
      <c r="BY367" s="65">
        <f t="shared" si="2048"/>
        <v>0.18716527509967884</v>
      </c>
      <c r="BZ367" s="65">
        <f t="shared" si="2048"/>
        <v>0.13116565540368086</v>
      </c>
      <c r="CA367" s="65">
        <f t="shared" si="2048"/>
        <v>0.16447303705792349</v>
      </c>
      <c r="CB367" s="65">
        <f t="shared" si="2048"/>
        <v>7.0049999999999946E-2</v>
      </c>
      <c r="CC367" s="65">
        <f t="shared" si="2048"/>
        <v>3.9479999999999738E-2</v>
      </c>
      <c r="CD367" s="65">
        <f t="shared" si="2048"/>
        <v>5.8016707727907901E-2</v>
      </c>
      <c r="CE367" s="65">
        <f t="shared" si="2048"/>
        <v>1.0398331249999999</v>
      </c>
      <c r="CF367" s="65">
        <f t="shared" si="2048"/>
        <v>0.11231600000000008</v>
      </c>
      <c r="CG367" s="65">
        <f t="shared" si="2048"/>
        <v>0.68113048321776004</v>
      </c>
      <c r="CH367" s="65">
        <f t="shared" si="2048"/>
        <v>7.0000000000000062E-2</v>
      </c>
      <c r="CI367" s="65">
        <f t="shared" si="2048"/>
        <v>6.4649999999999874E-2</v>
      </c>
      <c r="CJ367" s="65">
        <f t="shared" si="2048"/>
        <v>6.863103236223278E-2</v>
      </c>
      <c r="CK367" s="65">
        <f t="shared" si="2048"/>
        <v>3.7068895180893957E-2</v>
      </c>
      <c r="CL367" s="65">
        <f t="shared" si="2048"/>
        <v>5.5587831284128253E-2</v>
      </c>
      <c r="CM367" s="65">
        <f t="shared" si="2048"/>
        <v>4.1789900715308859E-2</v>
      </c>
      <c r="CN367" s="65">
        <f t="shared" si="2048"/>
        <v>6.1593681714058324E-2</v>
      </c>
      <c r="CO367" s="65">
        <f t="shared" si="2048"/>
        <v>1.1041601632436615E-2</v>
      </c>
      <c r="CP367" s="65">
        <f t="shared" si="2048"/>
        <v>4.853582980960347E-2</v>
      </c>
      <c r="CQ367" s="65">
        <f t="shared" si="2048"/>
        <v>0.25523012096811448</v>
      </c>
      <c r="CR367" s="65">
        <f t="shared" si="2048"/>
        <v>0.1379697707148384</v>
      </c>
      <c r="CS367" s="65">
        <f t="shared" si="2048"/>
        <v>0.22602428470880831</v>
      </c>
      <c r="CT367" s="65">
        <f t="shared" si="2048"/>
        <v>0.15183451315188656</v>
      </c>
      <c r="CU367" s="65">
        <f t="shared" si="2048"/>
        <v>0.15614582027132862</v>
      </c>
      <c r="CV367" s="65">
        <f t="shared" ref="CV367:EA367" si="2049">CV366/CS366-1</f>
        <v>0.15283120079311741</v>
      </c>
      <c r="CW367" s="65">
        <f t="shared" si="2049"/>
        <v>0.15199999999999991</v>
      </c>
      <c r="CX367" s="65">
        <f t="shared" si="2049"/>
        <v>0.26852728297549255</v>
      </c>
      <c r="CY367" s="65">
        <f t="shared" si="2049"/>
        <v>0.17901622245300763</v>
      </c>
      <c r="CZ367" s="65">
        <f t="shared" si="2049"/>
        <v>3.9665399575957716E-2</v>
      </c>
      <c r="DA367" s="65">
        <f t="shared" si="2049"/>
        <v>-3.5884994845773566E-2</v>
      </c>
      <c r="DB367" s="65">
        <f t="shared" si="2049"/>
        <v>2.0819634594142045E-2</v>
      </c>
      <c r="DC367" s="65">
        <f t="shared" si="2049"/>
        <v>0.10428662200689898</v>
      </c>
      <c r="DD367" s="65">
        <f t="shared" si="2049"/>
        <v>0.11448442867829467</v>
      </c>
      <c r="DE367" s="65">
        <f t="shared" si="2049"/>
        <v>0.10668912333666025</v>
      </c>
      <c r="DF367" s="65">
        <f t="shared" si="2049"/>
        <v>-0.15340000000000009</v>
      </c>
      <c r="DG367" s="65">
        <f t="shared" si="2049"/>
        <v>0.10000000000000009</v>
      </c>
      <c r="DH367" s="1066">
        <f t="shared" si="2049"/>
        <v>-9.3280987802711213E-2</v>
      </c>
      <c r="DI367" s="65"/>
      <c r="DJ367" s="65"/>
      <c r="DK367" s="1066"/>
      <c r="DL367" s="65">
        <f t="shared" si="2049"/>
        <v>0.35863533306735329</v>
      </c>
      <c r="DM367" s="65">
        <f t="shared" si="2049"/>
        <v>0.30321565348229074</v>
      </c>
      <c r="DN367" s="1066">
        <f t="shared" si="2049"/>
        <v>0.3302340228063374</v>
      </c>
      <c r="DO367" s="65">
        <f t="shared" si="2049"/>
        <v>0.25892277128209318</v>
      </c>
      <c r="DP367" s="65">
        <f t="shared" si="2049"/>
        <v>0.1323316690500167</v>
      </c>
      <c r="DQ367" s="1066">
        <f t="shared" si="2049"/>
        <v>0.19536542095992693</v>
      </c>
      <c r="DR367" s="65">
        <f t="shared" si="2049"/>
        <v>-0.1623300333624863</v>
      </c>
      <c r="DS367" s="65">
        <f t="shared" si="2049"/>
        <v>0.21588190542608987</v>
      </c>
      <c r="DT367" s="1066">
        <f t="shared" si="2049"/>
        <v>1.7544964239718075E-2</v>
      </c>
      <c r="DU367" s="65">
        <f t="shared" si="2049"/>
        <v>0.50303798438416503</v>
      </c>
      <c r="DV367" s="65">
        <f t="shared" ref="DV367" si="2050">DV366/DS366-1</f>
        <v>-4.8044188544872024E-2</v>
      </c>
      <c r="DW367" s="1066">
        <f t="shared" ref="DW367" si="2051">DW366/DT366-1</f>
        <v>0.18986108824326431</v>
      </c>
      <c r="DX367" s="65">
        <f t="shared" si="2049"/>
        <v>-9.7283293229955548E-2</v>
      </c>
      <c r="DY367" s="65">
        <f t="shared" si="2049"/>
        <v>0.125</v>
      </c>
      <c r="DZ367" s="1066">
        <f t="shared" si="2049"/>
        <v>3.7816888125037362E-3</v>
      </c>
      <c r="EA367" s="65">
        <f t="shared" si="2049"/>
        <v>0.1100000000000001</v>
      </c>
      <c r="EB367" s="65">
        <f t="shared" ref="EB367:EL367" si="2052">EB366/DY366-1</f>
        <v>5.0000000000000044E-2</v>
      </c>
      <c r="EC367" s="1066">
        <f t="shared" si="2052"/>
        <v>7.9425568914968325E-2</v>
      </c>
      <c r="ED367" s="65">
        <f t="shared" si="2052"/>
        <v>7.0000000000000062E-2</v>
      </c>
      <c r="EE367" s="65">
        <f t="shared" si="2052"/>
        <v>7.0000000000000062E-2</v>
      </c>
      <c r="EF367" s="1066">
        <f t="shared" si="2052"/>
        <v>7.0000000000000062E-2</v>
      </c>
      <c r="EG367" s="65">
        <f t="shared" si="2052"/>
        <v>8.9999999999999858E-2</v>
      </c>
      <c r="EH367" s="65">
        <f t="shared" si="2052"/>
        <v>9.000000000000008E-2</v>
      </c>
      <c r="EI367" s="1066">
        <f t="shared" si="2052"/>
        <v>9.000000000000008E-2</v>
      </c>
      <c r="EJ367" s="65">
        <f t="shared" si="2052"/>
        <v>9.000000000000008E-2</v>
      </c>
      <c r="EK367" s="65">
        <f t="shared" si="2052"/>
        <v>8.9999999999999858E-2</v>
      </c>
      <c r="EL367" s="1066">
        <f t="shared" si="2052"/>
        <v>8.9999999999999858E-2</v>
      </c>
      <c r="EM367" s="65">
        <f t="shared" ref="EM367:ER367" si="2053">EM366/EJ366-1</f>
        <v>9.0000000000000302E-2</v>
      </c>
      <c r="EN367" s="65">
        <f t="shared" si="2053"/>
        <v>9.000000000000008E-2</v>
      </c>
      <c r="EO367" s="1066">
        <f t="shared" si="2053"/>
        <v>9.0000000000000302E-2</v>
      </c>
      <c r="EP367" s="65">
        <f t="shared" si="2053"/>
        <v>8.9999999999999858E-2</v>
      </c>
      <c r="EQ367" s="65">
        <f t="shared" si="2053"/>
        <v>9.000000000000008E-2</v>
      </c>
      <c r="ER367" s="1066">
        <f t="shared" si="2053"/>
        <v>9.000000000000008E-2</v>
      </c>
      <c r="ES367" s="65">
        <f t="shared" ref="ES367" si="2054">ES366/EP366-1</f>
        <v>9.000000000000008E-2</v>
      </c>
      <c r="ET367" s="65">
        <f t="shared" ref="ET367" si="2055">ET366/EQ366-1</f>
        <v>9.0000000000000302E-2</v>
      </c>
      <c r="EU367" s="1066">
        <f t="shared" ref="EU367" si="2056">EU366/ER366-1</f>
        <v>9.000000000000008E-2</v>
      </c>
      <c r="EV367" s="65">
        <f t="shared" ref="EV367" si="2057">EV366/ES366-1</f>
        <v>9.000000000000008E-2</v>
      </c>
      <c r="EW367" s="65">
        <f t="shared" ref="EW367" si="2058">EW366/ET366-1</f>
        <v>8.9999999999999858E-2</v>
      </c>
      <c r="EX367" s="1066">
        <f t="shared" ref="EX367" si="2059">EX366/EU366-1</f>
        <v>9.000000000000008E-2</v>
      </c>
      <c r="EY367" s="65">
        <f t="shared" ref="EY367" si="2060">EY366/EV366-1</f>
        <v>9.000000000000008E-2</v>
      </c>
      <c r="EZ367" s="65">
        <f t="shared" ref="EZ367" si="2061">EZ366/EW366-1</f>
        <v>9.000000000000008E-2</v>
      </c>
      <c r="FA367" s="1066">
        <f t="shared" ref="FA367" si="2062">FA366/EX366-1</f>
        <v>9.000000000000008E-2</v>
      </c>
    </row>
    <row r="368" spans="1:173" outlineLevel="1">
      <c r="A368" s="1426" t="s">
        <v>790</v>
      </c>
      <c r="BA368" s="91"/>
      <c r="BB368" s="91"/>
      <c r="BC368" s="942"/>
      <c r="BD368" s="91"/>
      <c r="BE368" s="91"/>
      <c r="BF368" s="87"/>
      <c r="BG368" s="91"/>
      <c r="BH368" s="91"/>
      <c r="BI368" s="87"/>
      <c r="BR368" s="124"/>
      <c r="BS368" s="101"/>
      <c r="BT368" s="71"/>
      <c r="BU368" s="74"/>
      <c r="BV368" s="101"/>
      <c r="BW368" s="101"/>
      <c r="BX368" s="74"/>
      <c r="BY368" s="71"/>
      <c r="BZ368" s="71"/>
      <c r="CA368" s="70"/>
      <c r="CB368" s="71"/>
      <c r="CC368" s="71"/>
      <c r="CD368" s="70"/>
      <c r="CE368" s="71"/>
      <c r="CF368" s="71"/>
      <c r="CG368" s="70"/>
      <c r="CH368" s="71"/>
      <c r="CI368" s="71"/>
      <c r="CJ368" s="70"/>
      <c r="DH368" s="1067"/>
      <c r="DK368" s="1067"/>
      <c r="DM368" s="259"/>
      <c r="DN368" s="1107"/>
      <c r="DQ368" s="1067"/>
      <c r="DT368" s="1067"/>
      <c r="DW368" s="1067"/>
      <c r="DZ368" s="1067"/>
      <c r="EC368" s="1067"/>
      <c r="EF368" s="1067"/>
      <c r="EI368" s="1067"/>
      <c r="EL368" s="1067"/>
      <c r="EO368" s="1067"/>
      <c r="ER368" s="1067"/>
      <c r="EU368" s="1067"/>
      <c r="EX368" s="1067"/>
      <c r="FA368" s="1067"/>
    </row>
    <row r="369" spans="1:173" s="1147" customFormat="1" outlineLevel="1">
      <c r="B369" s="1147" t="s">
        <v>21</v>
      </c>
      <c r="D369" s="1148" t="s">
        <v>98</v>
      </c>
      <c r="BC369" s="1149"/>
      <c r="BF369" s="1150"/>
      <c r="BG369" s="1150"/>
      <c r="BH369" s="1150"/>
      <c r="BI369" s="1150"/>
      <c r="BL369" s="1150"/>
      <c r="BO369" s="1150"/>
      <c r="BR369" s="1150"/>
      <c r="BS369" s="1147">
        <v>666.58395379842329</v>
      </c>
      <c r="BT369" s="1147">
        <v>999.875930697635</v>
      </c>
      <c r="BU369" s="1147">
        <v>1666.4598844960583</v>
      </c>
      <c r="BV369" s="1147">
        <v>666.58395379842341</v>
      </c>
      <c r="BW369" s="1147">
        <v>833.22994224802869</v>
      </c>
      <c r="BY369" s="1147">
        <v>666.58395379842341</v>
      </c>
      <c r="BZ369" s="1147">
        <v>666.58395379842341</v>
      </c>
      <c r="CE369" s="1147">
        <v>787.52617538370646</v>
      </c>
      <c r="CF369" s="1147">
        <v>1642.2388379409679</v>
      </c>
      <c r="CG369" s="1147">
        <v>2429.7650133246743</v>
      </c>
      <c r="CH369" s="1147">
        <v>1842.0379934825914</v>
      </c>
      <c r="CI369" s="1147">
        <v>921.01899674129527</v>
      </c>
      <c r="CJ369" s="1147">
        <v>2763.0569902238867</v>
      </c>
      <c r="CK369" s="1147">
        <v>1289.4265954378134</v>
      </c>
      <c r="CL369" s="1147">
        <v>1140.33841788686</v>
      </c>
      <c r="CM369" s="1147">
        <v>2429.7650133246734</v>
      </c>
      <c r="CN369" s="1147">
        <v>266.66666666666788</v>
      </c>
      <c r="CO369" s="1147">
        <v>889.443138011462</v>
      </c>
      <c r="CP369" s="1147">
        <v>1156.1098046781299</v>
      </c>
      <c r="CQ369" s="1147">
        <v>0</v>
      </c>
      <c r="CR369" s="1147">
        <v>184.20379934825723</v>
      </c>
      <c r="CS369" s="1147">
        <v>184.20379934825723</v>
      </c>
      <c r="CT369" s="1147">
        <v>1983.3333333333335</v>
      </c>
      <c r="CU369" s="1147">
        <v>1802.2224031991623</v>
      </c>
      <c r="CV369" s="1164">
        <f>SUM(CT369:CU369)</f>
        <v>3785.5557365324958</v>
      </c>
      <c r="CW369" s="1147">
        <v>2116.7777557373697</v>
      </c>
      <c r="CX369" s="1147">
        <v>1462.8536631040604</v>
      </c>
      <c r="CY369" s="1164">
        <f>SUM(CW369:CX369)</f>
        <v>3579.6314188414299</v>
      </c>
      <c r="CZ369" s="1147">
        <v>1312.9090830884224</v>
      </c>
      <c r="DA369" s="1147">
        <v>1848.5643278177279</v>
      </c>
      <c r="DB369" s="1164">
        <f>SUM(CZ369:DA369)</f>
        <v>3161.4734109061501</v>
      </c>
      <c r="DC369" s="1147">
        <v>1917.8162877811242</v>
      </c>
      <c r="DD369" s="1147">
        <v>2042.1832149754478</v>
      </c>
      <c r="DE369" s="1164">
        <f>SUM(DC369:DD369)</f>
        <v>3959.9995027565719</v>
      </c>
      <c r="DF369" s="1147">
        <v>2548.1897730979626</v>
      </c>
      <c r="DG369" s="1147">
        <v>1783.3535500744483</v>
      </c>
      <c r="DH369" s="1165">
        <f>SUM(DF369:DG369)</f>
        <v>4331.543323172411</v>
      </c>
      <c r="DI369" s="1147">
        <v>1788.6639007497724</v>
      </c>
      <c r="DJ369" s="1147">
        <v>2114.5217165167883</v>
      </c>
      <c r="DK369" s="1165">
        <f>SUM(DI369:DJ369)</f>
        <v>3903.1856172665607</v>
      </c>
      <c r="DL369" s="1147">
        <v>3045.4896267238564</v>
      </c>
      <c r="DM369" s="1147">
        <v>3196.1129594802205</v>
      </c>
      <c r="DN369" s="1165">
        <f>SUM(DL369:DM369)</f>
        <v>6241.6025862040769</v>
      </c>
      <c r="DO369" s="1147">
        <v>3081.1567900039381</v>
      </c>
      <c r="DP369" s="1147">
        <v>4110.9897660071483</v>
      </c>
      <c r="DQ369" s="1165">
        <f>SUM(DO369:DP369)</f>
        <v>7192.1465560110864</v>
      </c>
      <c r="DR369" s="1147">
        <v>4010.0581246796314</v>
      </c>
      <c r="DS369" s="1147">
        <v>3913.2583694498803</v>
      </c>
      <c r="DT369" s="1165">
        <f>SUM(DR369:DS369)</f>
        <v>7923.3164941295117</v>
      </c>
      <c r="DU369" s="1147">
        <v>4107.0491389789022</v>
      </c>
      <c r="DV369" s="1147">
        <v>4150.0800234839053</v>
      </c>
      <c r="DW369" s="1165">
        <f>SUM(DU369:DV369)</f>
        <v>8257.1291624628066</v>
      </c>
      <c r="DX369" s="1147">
        <v>4346.3322485207664</v>
      </c>
      <c r="DY369" s="1147">
        <v>4379.6079076008418</v>
      </c>
      <c r="DZ369" s="1165">
        <f>SUM(DX369:DY369)</f>
        <v>8725.9401561216073</v>
      </c>
      <c r="EA369" s="1147">
        <v>4699.0377291435352</v>
      </c>
      <c r="EB369" s="1147">
        <v>4681.2371052419585</v>
      </c>
      <c r="EC369" s="1165">
        <f>SUM(EA369:EB369)</f>
        <v>9380.2748343854946</v>
      </c>
      <c r="ED369" s="1147">
        <v>4933.9896156007126</v>
      </c>
      <c r="EE369" s="1147">
        <v>4915.2989605040566</v>
      </c>
      <c r="EF369" s="1165">
        <f>SUM(ED369:EE369)</f>
        <v>9849.2885761047692</v>
      </c>
      <c r="EG369" s="1147">
        <v>5180.6890963807482</v>
      </c>
      <c r="EH369" s="1147">
        <v>5161.0639085292605</v>
      </c>
      <c r="EI369" s="1165">
        <f>SUM(EG369:EH369)</f>
        <v>10341.75300491001</v>
      </c>
      <c r="EJ369" s="1147">
        <v>5439.723551199786</v>
      </c>
      <c r="EK369" s="1147">
        <v>5419.1171039557239</v>
      </c>
      <c r="EL369" s="1165">
        <f>SUM(EJ369:EK369)</f>
        <v>10858.840655155509</v>
      </c>
      <c r="EM369" s="1147">
        <v>5711.7097287597762</v>
      </c>
      <c r="EN369" s="1147">
        <v>5690.0729591535064</v>
      </c>
      <c r="EO369" s="1165">
        <f>SUM(EM369:EN369)</f>
        <v>11401.782687913283</v>
      </c>
      <c r="EP369" s="1147">
        <v>5997.2952151977652</v>
      </c>
      <c r="EQ369" s="1147">
        <v>5974.5766071111866</v>
      </c>
      <c r="ER369" s="1165">
        <f>SUM(EP369:EQ369)</f>
        <v>11971.871822308953</v>
      </c>
      <c r="ES369" s="1147">
        <f t="shared" ref="ES369:FA369" si="2063">+EP369*1.05</f>
        <v>6297.1599759576538</v>
      </c>
      <c r="ET369" s="1147">
        <f t="shared" si="2063"/>
        <v>6273.3054374667463</v>
      </c>
      <c r="EU369" s="1165">
        <f t="shared" si="2063"/>
        <v>12570.465413424401</v>
      </c>
      <c r="EV369" s="1147">
        <f t="shared" si="2063"/>
        <v>6612.0179747555367</v>
      </c>
      <c r="EW369" s="1147">
        <f t="shared" si="2063"/>
        <v>6586.9707093400839</v>
      </c>
      <c r="EX369" s="1165">
        <f t="shared" si="2063"/>
        <v>13198.988684095622</v>
      </c>
      <c r="EY369" s="1147">
        <f t="shared" si="2063"/>
        <v>6942.6188734933139</v>
      </c>
      <c r="EZ369" s="1147">
        <f t="shared" si="2063"/>
        <v>6916.3192448070886</v>
      </c>
      <c r="FA369" s="1165">
        <f t="shared" si="2063"/>
        <v>13858.938118300404</v>
      </c>
    </row>
    <row r="370" spans="1:173" outlineLevel="1">
      <c r="B370" s="31"/>
      <c r="BA370" s="91"/>
      <c r="BB370" s="91"/>
      <c r="BC370" s="942"/>
      <c r="BD370" s="91"/>
      <c r="BE370" s="91"/>
      <c r="BF370" s="87"/>
      <c r="BG370" s="1013"/>
      <c r="BH370" s="1013"/>
      <c r="BI370" s="87"/>
      <c r="BR370" s="124"/>
      <c r="BS370" s="101"/>
      <c r="BT370" s="71"/>
      <c r="BU370" s="70"/>
      <c r="BV370" s="71"/>
      <c r="BW370" s="71"/>
      <c r="BX370" s="74"/>
      <c r="BY370" s="71"/>
      <c r="BZ370" s="71"/>
      <c r="CA370" s="70"/>
      <c r="CB370" s="71"/>
      <c r="CC370" s="71"/>
      <c r="CD370" s="70"/>
      <c r="CE370" s="71"/>
      <c r="CF370" s="71"/>
      <c r="CG370" s="70"/>
      <c r="CH370" s="71"/>
      <c r="CI370" s="71"/>
      <c r="CJ370" s="70"/>
      <c r="CK370" s="71"/>
      <c r="CL370" s="71"/>
      <c r="CM370" s="70"/>
      <c r="CN370" s="71"/>
      <c r="CO370" s="71"/>
      <c r="CP370" s="70"/>
      <c r="CQ370" s="101"/>
      <c r="CR370" s="71"/>
      <c r="CS370" s="70"/>
      <c r="CT370" s="71"/>
      <c r="CU370" s="71"/>
      <c r="CV370" s="74"/>
      <c r="CW370" s="71"/>
      <c r="CX370" s="71"/>
      <c r="CY370" s="74"/>
      <c r="CZ370" s="71"/>
      <c r="DA370" s="71"/>
      <c r="DB370" s="74"/>
      <c r="DC370" s="71"/>
      <c r="DD370" s="71"/>
      <c r="DE370" s="74"/>
      <c r="DF370" s="71"/>
      <c r="DG370" s="71"/>
      <c r="DH370" s="1071"/>
      <c r="DI370" s="71"/>
      <c r="DJ370" s="71"/>
      <c r="DK370" s="1071"/>
      <c r="DL370" s="71"/>
      <c r="DM370" s="259"/>
      <c r="DN370" s="1109"/>
      <c r="DO370" s="71"/>
      <c r="DP370" s="71"/>
      <c r="DQ370" s="1071"/>
      <c r="DR370" s="71"/>
      <c r="DS370" s="71"/>
      <c r="DT370" s="1071"/>
      <c r="DU370" s="71"/>
      <c r="DV370" s="71"/>
      <c r="DW370" s="1071"/>
      <c r="DX370" s="71"/>
      <c r="DY370" s="71"/>
      <c r="DZ370" s="1071"/>
      <c r="EA370" s="71"/>
      <c r="EB370" s="71"/>
      <c r="EC370" s="1071"/>
      <c r="ED370" s="71"/>
      <c r="EE370" s="71"/>
      <c r="EF370" s="1071"/>
      <c r="EG370" s="71"/>
      <c r="EH370" s="71"/>
      <c r="EI370" s="1071"/>
      <c r="EJ370" s="71"/>
      <c r="EK370" s="71"/>
      <c r="EL370" s="1071"/>
      <c r="EM370" s="71"/>
      <c r="EN370" s="71"/>
      <c r="EO370" s="1071"/>
      <c r="EP370" s="71"/>
      <c r="EQ370" s="71"/>
      <c r="ER370" s="1071"/>
      <c r="ES370" s="71"/>
      <c r="ET370" s="71"/>
      <c r="EU370" s="1071"/>
      <c r="EV370" s="71"/>
      <c r="EW370" s="71"/>
      <c r="EX370" s="1071"/>
      <c r="EY370" s="71"/>
      <c r="EZ370" s="71"/>
      <c r="FA370" s="1071"/>
    </row>
    <row r="371" spans="1:173" outlineLevel="1">
      <c r="B371" s="35" t="s">
        <v>625</v>
      </c>
      <c r="D371" s="162" t="s">
        <v>604</v>
      </c>
      <c r="BA371" s="91"/>
      <c r="BB371" s="91"/>
      <c r="BC371" s="942"/>
      <c r="BD371" s="91"/>
      <c r="BE371" s="91"/>
      <c r="BF371" s="87"/>
      <c r="BG371" s="1013"/>
      <c r="BH371" s="1013"/>
      <c r="BI371" s="87"/>
      <c r="BR371" s="124"/>
      <c r="BS371" s="71">
        <v>3.9995037227905397</v>
      </c>
      <c r="BT371" s="71">
        <v>5.9992555841858097</v>
      </c>
      <c r="BU371" s="70">
        <v>9.9987593069763498</v>
      </c>
      <c r="BV371" s="71">
        <v>3.9995037227905406</v>
      </c>
      <c r="BW371" s="71">
        <v>4.9993796534881723</v>
      </c>
      <c r="BX371" s="70">
        <v>8.9988833762787124</v>
      </c>
      <c r="BY371" s="71">
        <v>3.9995037227905406</v>
      </c>
      <c r="BZ371" s="71">
        <v>3.9995037227905406</v>
      </c>
      <c r="CA371" s="70">
        <v>7.9990074455810811</v>
      </c>
      <c r="CB371" s="71"/>
      <c r="CC371" s="71"/>
      <c r="CD371" s="70"/>
      <c r="CE371" s="71">
        <v>4.7251570523022393</v>
      </c>
      <c r="CF371" s="71">
        <v>9.8534330276458082</v>
      </c>
      <c r="CG371" s="70">
        <v>14.578590079948047</v>
      </c>
      <c r="CH371" s="71">
        <v>11.052227960895548</v>
      </c>
      <c r="CI371" s="71">
        <v>5.5261139804477715</v>
      </c>
      <c r="CJ371" s="70">
        <v>16.578341941343322</v>
      </c>
      <c r="CK371" s="71">
        <v>7.7365595726268808</v>
      </c>
      <c r="CL371" s="71">
        <v>6.8420305073211605</v>
      </c>
      <c r="CM371" s="70">
        <v>14.578590079948041</v>
      </c>
      <c r="CN371" s="71">
        <v>1.6000000000000074</v>
      </c>
      <c r="CO371" s="71">
        <v>5.3366588280687717</v>
      </c>
      <c r="CP371" s="70">
        <v>6.9366588280687793</v>
      </c>
      <c r="CQ371" s="71">
        <v>0</v>
      </c>
      <c r="CR371" s="71">
        <v>1.1052227960895433</v>
      </c>
      <c r="CS371" s="70">
        <v>1.1052227960895433</v>
      </c>
      <c r="CT371" s="71">
        <v>11.2</v>
      </c>
      <c r="CU371" s="71">
        <v>13.473226125377858</v>
      </c>
      <c r="CV371" s="70">
        <f>CT371+CU371</f>
        <v>24.673226125377859</v>
      </c>
      <c r="CW371" s="71">
        <v>15.834674446356232</v>
      </c>
      <c r="CX371" s="71">
        <v>11.793423553882379</v>
      </c>
      <c r="CY371" s="70">
        <f>CW371+CX371</f>
        <v>27.628098000238609</v>
      </c>
      <c r="CZ371" s="71">
        <v>11.027521035843494</v>
      </c>
      <c r="DA371" s="71">
        <v>14.437180930643413</v>
      </c>
      <c r="DB371" s="70">
        <f>CZ371+DA371</f>
        <v>25.464701966486906</v>
      </c>
      <c r="DC371" s="71">
        <v>15.309688462360558</v>
      </c>
      <c r="DD371" s="71">
        <v>15.522293591115091</v>
      </c>
      <c r="DE371" s="70">
        <f>DC371+DD371</f>
        <v>30.831982053475649</v>
      </c>
      <c r="DF371" s="71">
        <v>21.253074342653832</v>
      </c>
      <c r="DG371" s="71">
        <v>12.467304497595457</v>
      </c>
      <c r="DH371" s="1081">
        <f>DF371+DG371</f>
        <v>33.720378840249289</v>
      </c>
      <c r="DI371" s="1152">
        <f>+DI121*DI93</f>
        <v>37.465737749057624</v>
      </c>
      <c r="DJ371" s="1152">
        <f>+DJ121*DJ93</f>
        <v>36.139480346435711</v>
      </c>
      <c r="DK371" s="1157">
        <f>SUM(DI371:DJ371)</f>
        <v>73.605218095493342</v>
      </c>
      <c r="DL371" s="1152">
        <f>+DL121*DL93</f>
        <v>44.076597571446094</v>
      </c>
      <c r="DM371" s="1152">
        <f>+DM121*DM93</f>
        <v>42.781206103172671</v>
      </c>
      <c r="DN371" s="1157">
        <f>SUM(DL371:DM371)</f>
        <v>86.857803674618765</v>
      </c>
      <c r="DO371" s="1152">
        <f>+DO121*DO93</f>
        <v>46.688849041802087</v>
      </c>
      <c r="DP371" s="1152">
        <f>+DP121*DP93</f>
        <v>54.197874741395509</v>
      </c>
      <c r="DQ371" s="1157">
        <f>SUM(DO371:DP371)</f>
        <v>100.8867237831976</v>
      </c>
      <c r="DR371" s="1152">
        <f>+DR121*DR93</f>
        <v>54.995464343452475</v>
      </c>
      <c r="DS371" s="1152">
        <f>+DS121*DS93</f>
        <v>55.48197064989516</v>
      </c>
      <c r="DT371" s="1157">
        <f>SUM(DR371:DS371)</f>
        <v>110.47743499334763</v>
      </c>
      <c r="DU371" s="1152">
        <f>+DU121*DU93</f>
        <v>59.701683904607229</v>
      </c>
      <c r="DV371" s="1152">
        <f>+DV121*DV93</f>
        <v>51.251505185934754</v>
      </c>
      <c r="DW371" s="1157">
        <f>SUM(DU371:DV371)</f>
        <v>110.95318909054198</v>
      </c>
      <c r="DX371" s="1152">
        <f>+DX121*DX93</f>
        <v>55.059931972789123</v>
      </c>
      <c r="DY371" s="1154">
        <f t="shared" ref="DY371" si="2064">+DV371*(1+DY372)</f>
        <v>58.939230963824961</v>
      </c>
      <c r="DZ371" s="1157">
        <f t="shared" ref="DZ371" si="2065">SUM(DX371:DY371)</f>
        <v>113.99916293661408</v>
      </c>
      <c r="EA371" s="1154">
        <f t="shared" ref="EA371:EB371" si="2066">+DX371*(1+EA372)</f>
        <v>64.695420068027218</v>
      </c>
      <c r="EB371" s="1154">
        <f t="shared" si="2066"/>
        <v>63.359673286111828</v>
      </c>
      <c r="EC371" s="1157">
        <f t="shared" ref="EC371" si="2067">SUM(EA371:EB371)</f>
        <v>128.05509335413905</v>
      </c>
      <c r="ED371" s="1154">
        <f t="shared" ref="ED371:EE371" si="2068">+EA371*(1+ED372)</f>
        <v>70.518007874149674</v>
      </c>
      <c r="EE371" s="1154">
        <f t="shared" si="2068"/>
        <v>69.062043881861896</v>
      </c>
      <c r="EF371" s="1157">
        <f t="shared" ref="EF371" si="2069">SUM(ED371:EE371)</f>
        <v>139.58005175601158</v>
      </c>
      <c r="EG371" s="1154">
        <f t="shared" ref="EG371:EH371" si="2070">+ED371*(1+EG372)</f>
        <v>76.864628582823144</v>
      </c>
      <c r="EH371" s="1154">
        <f t="shared" si="2070"/>
        <v>75.277627831229466</v>
      </c>
      <c r="EI371" s="1157">
        <f t="shared" ref="EI371" si="2071">SUM(EG371:EH371)</f>
        <v>152.14225641405261</v>
      </c>
      <c r="EJ371" s="1154">
        <f t="shared" ref="EJ371:EK371" si="2072">+EG371*(1+EJ372)</f>
        <v>83.78244515527723</v>
      </c>
      <c r="EK371" s="1154">
        <f t="shared" si="2072"/>
        <v>82.052614336040122</v>
      </c>
      <c r="EL371" s="1157">
        <f t="shared" ref="EL371" si="2073">SUM(EJ371:EK371)</f>
        <v>165.83505949131734</v>
      </c>
      <c r="EM371" s="1154">
        <f t="shared" ref="EM371:EN371" si="2074">+EJ371*(1+EM372)</f>
        <v>91.322865219252193</v>
      </c>
      <c r="EN371" s="1154">
        <f t="shared" si="2074"/>
        <v>89.437349626283734</v>
      </c>
      <c r="EO371" s="1157">
        <f t="shared" ref="EO371" si="2075">SUM(EM371:EN371)</f>
        <v>180.76021484553593</v>
      </c>
      <c r="EP371" s="1154">
        <f t="shared" ref="EP371:EQ371" si="2076">+EM371*(1+EP372)</f>
        <v>99.541923088984902</v>
      </c>
      <c r="EQ371" s="1154">
        <f t="shared" si="2076"/>
        <v>97.486711092649273</v>
      </c>
      <c r="ER371" s="1157">
        <f t="shared" ref="ER371" si="2077">SUM(EP371:EQ371)</f>
        <v>197.02863418163417</v>
      </c>
      <c r="ES371" s="1154">
        <f t="shared" ref="ES371" si="2078">+EP371*(1+ES372)</f>
        <v>108.50069616699355</v>
      </c>
      <c r="ET371" s="1154">
        <f t="shared" ref="ET371" si="2079">+EQ371*(1+ET372)</f>
        <v>106.26051509098771</v>
      </c>
      <c r="EU371" s="1157">
        <f t="shared" ref="EU371" si="2080">SUM(ES371:ET371)</f>
        <v>214.76121125798124</v>
      </c>
      <c r="EV371" s="1154">
        <f t="shared" ref="EV371" si="2081">+ES371*(1+EV372)</f>
        <v>118.26575882202297</v>
      </c>
      <c r="EW371" s="1154">
        <f t="shared" ref="EW371" si="2082">+ET371*(1+EW372)</f>
        <v>115.82396144917661</v>
      </c>
      <c r="EX371" s="1157">
        <f t="shared" ref="EX371" si="2083">SUM(EV371:EW371)</f>
        <v>234.08972027119958</v>
      </c>
      <c r="EY371" s="1154">
        <f t="shared" ref="EY371" si="2084">+EV371*(1+EY372)</f>
        <v>128.90967711600504</v>
      </c>
      <c r="EZ371" s="1154">
        <f t="shared" ref="EZ371" si="2085">+EW371*(1+EZ372)</f>
        <v>126.24811797960251</v>
      </c>
      <c r="FA371" s="1157">
        <f t="shared" ref="FA371" si="2086">SUM(EY371:EZ371)</f>
        <v>255.15779509560755</v>
      </c>
    </row>
    <row r="372" spans="1:173" outlineLevel="1">
      <c r="B372" s="31"/>
      <c r="BA372" s="91"/>
      <c r="BB372" s="91"/>
      <c r="BC372" s="942"/>
      <c r="BD372" s="91"/>
      <c r="BE372" s="91"/>
      <c r="BF372" s="87"/>
      <c r="BG372" s="91"/>
      <c r="BH372" s="91"/>
      <c r="BI372" s="87"/>
      <c r="BR372" s="124"/>
      <c r="BS372" s="101"/>
      <c r="BT372" s="71"/>
      <c r="BU372" s="74"/>
      <c r="BV372" s="101"/>
      <c r="BW372" s="101"/>
      <c r="BX372" s="74"/>
      <c r="BY372" s="71"/>
      <c r="BZ372" s="71"/>
      <c r="CA372" s="70"/>
      <c r="CB372" s="71"/>
      <c r="CC372" s="71"/>
      <c r="CD372" s="70"/>
      <c r="CE372" s="71"/>
      <c r="CF372" s="71"/>
      <c r="CG372" s="70"/>
      <c r="CH372" s="71"/>
      <c r="CI372" s="71"/>
      <c r="CJ372" s="70"/>
      <c r="CT372" s="261"/>
      <c r="CU372" s="261"/>
      <c r="CV372" s="261"/>
      <c r="CW372" s="261">
        <f t="shared" ref="CW372:DH372" si="2087">CW371/CT371-1</f>
        <v>0.4138102184246637</v>
      </c>
      <c r="CX372" s="261">
        <f t="shared" si="2087"/>
        <v>-0.12467708593797311</v>
      </c>
      <c r="CY372" s="261">
        <f t="shared" si="2087"/>
        <v>0.11976025590838701</v>
      </c>
      <c r="CZ372" s="261">
        <f t="shared" si="2087"/>
        <v>-0.30358397495307698</v>
      </c>
      <c r="DA372" s="261">
        <f t="shared" si="2087"/>
        <v>0.22417217228585939</v>
      </c>
      <c r="DB372" s="261">
        <f t="shared" si="2087"/>
        <v>-7.8304197188420965E-2</v>
      </c>
      <c r="DC372" s="261">
        <f t="shared" si="2087"/>
        <v>0.38831641423294028</v>
      </c>
      <c r="DD372" s="261">
        <f t="shared" si="2087"/>
        <v>7.5160979535034311E-2</v>
      </c>
      <c r="DE372" s="261">
        <f t="shared" si="2087"/>
        <v>0.21077333220127259</v>
      </c>
      <c r="DF372" s="261">
        <f t="shared" si="2087"/>
        <v>0.38821076567987056</v>
      </c>
      <c r="DG372" s="261">
        <f t="shared" si="2087"/>
        <v>-0.19681299516640371</v>
      </c>
      <c r="DH372" s="1086">
        <f t="shared" si="2087"/>
        <v>9.368183925911544E-2</v>
      </c>
      <c r="DI372" s="261">
        <f t="shared" ref="DI372:DU372" si="2088">DI371/DF371-1</f>
        <v>0.76283850256270003</v>
      </c>
      <c r="DJ372" s="261">
        <f t="shared" si="2088"/>
        <v>1.898740489847333</v>
      </c>
      <c r="DK372" s="1086">
        <f t="shared" si="2088"/>
        <v>1.1828111257052885</v>
      </c>
      <c r="DL372" s="261">
        <f t="shared" si="2088"/>
        <v>0.17645081131639406</v>
      </c>
      <c r="DM372" s="261">
        <f t="shared" si="2088"/>
        <v>0.18378033367023794</v>
      </c>
      <c r="DN372" s="1086">
        <f t="shared" si="2088"/>
        <v>0.18004953890540598</v>
      </c>
      <c r="DO372" s="261">
        <f t="shared" si="2088"/>
        <v>5.9266177842372203E-2</v>
      </c>
      <c r="DP372" s="261">
        <f t="shared" si="2088"/>
        <v>0.26686177595577831</v>
      </c>
      <c r="DQ372" s="1086">
        <f t="shared" si="2088"/>
        <v>0.16151594347392306</v>
      </c>
      <c r="DR372" s="261">
        <f t="shared" si="2088"/>
        <v>0.17791433012651914</v>
      </c>
      <c r="DS372" s="261">
        <f t="shared" si="2088"/>
        <v>2.3692735455526526E-2</v>
      </c>
      <c r="DT372" s="1086">
        <f t="shared" si="2088"/>
        <v>9.5064155624283941E-2</v>
      </c>
      <c r="DU372" s="261">
        <f t="shared" si="2088"/>
        <v>8.5574685427945774E-2</v>
      </c>
      <c r="DV372" s="261">
        <f t="shared" ref="DV372" si="2089">DV371/DS371-1</f>
        <v>-7.6249372803566806E-2</v>
      </c>
      <c r="DW372" s="1086">
        <f t="shared" ref="DW372:DX372" si="2090">DW371/DT371-1</f>
        <v>4.3063463341903585E-3</v>
      </c>
      <c r="DX372" s="261">
        <f t="shared" si="2090"/>
        <v>-7.7749095640833321E-2</v>
      </c>
      <c r="DY372" s="1143">
        <f t="shared" ref="DY372" si="2091">+DY197</f>
        <v>0.15</v>
      </c>
      <c r="DZ372" s="1142">
        <f t="shared" ref="DZ372" si="2092">DZ371/DW371-1</f>
        <v>2.7452783205595521E-2</v>
      </c>
      <c r="EA372" s="1143">
        <f t="shared" ref="EA372:EB372" si="2093">+EA197</f>
        <v>0.17499999999999999</v>
      </c>
      <c r="EB372" s="1143">
        <f t="shared" si="2093"/>
        <v>7.4999999999999997E-2</v>
      </c>
      <c r="EC372" s="1142">
        <f t="shared" ref="EC372" si="2094">EC371/DZ371-1</f>
        <v>0.12329854058086687</v>
      </c>
      <c r="ED372" s="1143">
        <f t="shared" ref="ED372:EE372" si="2095">+ED197</f>
        <v>0.09</v>
      </c>
      <c r="EE372" s="1143">
        <f t="shared" si="2095"/>
        <v>0.09</v>
      </c>
      <c r="EF372" s="1142">
        <f t="shared" ref="EF372" si="2096">EF371/EC371-1</f>
        <v>9.000000000000008E-2</v>
      </c>
      <c r="EG372" s="1143">
        <f t="shared" ref="EG372:EH372" si="2097">+EG197</f>
        <v>0.09</v>
      </c>
      <c r="EH372" s="1143">
        <f t="shared" si="2097"/>
        <v>0.09</v>
      </c>
      <c r="EI372" s="1142">
        <f t="shared" ref="EI372" si="2098">EI371/EF371-1</f>
        <v>8.9999999999999858E-2</v>
      </c>
      <c r="EJ372" s="1143">
        <f t="shared" ref="EJ372:EK372" si="2099">+EJ197</f>
        <v>0.09</v>
      </c>
      <c r="EK372" s="1143">
        <f t="shared" si="2099"/>
        <v>0.09</v>
      </c>
      <c r="EL372" s="1142">
        <f t="shared" ref="EL372" si="2100">EL371/EI371-1</f>
        <v>8.9999999999999858E-2</v>
      </c>
      <c r="EM372" s="1143">
        <f t="shared" ref="EM372:EN372" si="2101">+EM197</f>
        <v>0.09</v>
      </c>
      <c r="EN372" s="1143">
        <f t="shared" si="2101"/>
        <v>0.09</v>
      </c>
      <c r="EO372" s="1142">
        <f t="shared" ref="EO372" si="2102">EO371/EL371-1</f>
        <v>9.000000000000008E-2</v>
      </c>
      <c r="EP372" s="1143">
        <f t="shared" ref="EP372:EQ372" si="2103">+EP197</f>
        <v>0.09</v>
      </c>
      <c r="EQ372" s="1143">
        <f t="shared" si="2103"/>
        <v>0.09</v>
      </c>
      <c r="ER372" s="1142">
        <f t="shared" ref="ER372" si="2104">ER371/EO371-1</f>
        <v>9.000000000000008E-2</v>
      </c>
      <c r="ES372" s="1143">
        <f t="shared" ref="ES372:ET372" si="2105">+ES197</f>
        <v>0.09</v>
      </c>
      <c r="ET372" s="1143">
        <f t="shared" si="2105"/>
        <v>0.09</v>
      </c>
      <c r="EU372" s="1142">
        <f t="shared" ref="EU372" si="2106">EU371/ER371-1</f>
        <v>9.000000000000008E-2</v>
      </c>
      <c r="EV372" s="1143">
        <f t="shared" ref="EV372:EW372" si="2107">+EV197</f>
        <v>0.09</v>
      </c>
      <c r="EW372" s="1143">
        <f t="shared" si="2107"/>
        <v>0.09</v>
      </c>
      <c r="EX372" s="1142">
        <f t="shared" ref="EX372" si="2108">EX371/EU371-1</f>
        <v>9.000000000000008E-2</v>
      </c>
      <c r="EY372" s="1143">
        <f t="shared" ref="EY372:EZ372" si="2109">+EY197</f>
        <v>0.09</v>
      </c>
      <c r="EZ372" s="1143">
        <f t="shared" si="2109"/>
        <v>0.09</v>
      </c>
      <c r="FA372" s="1142">
        <f t="shared" ref="FA372" si="2110">FA371/EX371-1</f>
        <v>9.000000000000008E-2</v>
      </c>
    </row>
    <row r="373" spans="1:173" outlineLevel="1">
      <c r="B373" s="68" t="s">
        <v>426</v>
      </c>
      <c r="BA373" s="91"/>
      <c r="BB373" s="91"/>
      <c r="BC373" s="942"/>
      <c r="BD373" s="91"/>
      <c r="BE373" s="91"/>
      <c r="BF373" s="87"/>
      <c r="BG373" s="1013"/>
      <c r="BH373" s="1013"/>
      <c r="BI373" s="87"/>
      <c r="BR373" s="124"/>
      <c r="BS373" s="101"/>
      <c r="BT373" s="71"/>
      <c r="BU373" s="74"/>
      <c r="BV373" s="101"/>
      <c r="BW373" s="101"/>
      <c r="BX373" s="74"/>
      <c r="BY373" s="71"/>
      <c r="BZ373" s="71"/>
      <c r="CA373" s="71"/>
      <c r="CB373" s="71"/>
      <c r="CC373" s="35"/>
      <c r="CD373" s="70"/>
      <c r="CE373" s="71"/>
      <c r="CF373" s="71"/>
      <c r="CG373" s="70"/>
      <c r="CH373" s="71"/>
      <c r="CI373" s="71"/>
      <c r="CJ373" s="70"/>
      <c r="DG373" s="230"/>
      <c r="DH373" s="1074"/>
      <c r="DK373" s="1074"/>
      <c r="DN373" s="1067"/>
      <c r="DP373" s="71"/>
      <c r="DQ373" s="1067"/>
      <c r="DT373" s="1067"/>
      <c r="DW373" s="1067"/>
      <c r="DZ373" s="1067"/>
      <c r="EC373" s="1067"/>
      <c r="EF373" s="1067"/>
      <c r="EI373" s="1067"/>
      <c r="EL373" s="1067"/>
      <c r="EO373" s="1067"/>
      <c r="ER373" s="1067"/>
      <c r="EU373" s="1067"/>
      <c r="EX373" s="1067"/>
      <c r="FA373" s="1067"/>
    </row>
    <row r="374" spans="1:173" outlineLevel="1">
      <c r="B374" s="34" t="s">
        <v>789</v>
      </c>
      <c r="BA374" s="91"/>
      <c r="BB374" s="91"/>
      <c r="BC374" s="942"/>
      <c r="BD374" s="91"/>
      <c r="BE374" s="91"/>
      <c r="BF374" s="87"/>
      <c r="BG374" s="1013"/>
      <c r="BH374" s="1013"/>
      <c r="BI374" s="87"/>
      <c r="BR374" s="124"/>
      <c r="BS374" s="35"/>
      <c r="BT374" s="35"/>
      <c r="BV374" s="35"/>
      <c r="BW374" s="35"/>
      <c r="BY374" s="35"/>
      <c r="BZ374" s="35"/>
      <c r="CB374" s="94"/>
      <c r="CC374" s="94"/>
      <c r="CD374" s="94"/>
      <c r="CE374" s="94"/>
      <c r="CF374" s="35"/>
      <c r="CH374" s="71"/>
      <c r="CI374" s="71"/>
      <c r="CJ374" s="74"/>
      <c r="DF374" s="71"/>
      <c r="DH374" s="1074"/>
      <c r="DI374" s="71"/>
      <c r="DK374" s="1074"/>
      <c r="DN374" s="1067"/>
      <c r="DO374" s="180"/>
      <c r="DQ374" s="1074"/>
      <c r="DT374" s="1067"/>
      <c r="DW374" s="1067"/>
      <c r="DZ374" s="1067"/>
      <c r="EC374" s="1067"/>
      <c r="EF374" s="1067"/>
      <c r="EI374" s="1067"/>
      <c r="EL374" s="1067"/>
      <c r="EO374" s="1067"/>
      <c r="ER374" s="1067"/>
      <c r="EU374" s="1067"/>
      <c r="EX374" s="1067"/>
      <c r="FA374" s="1067"/>
    </row>
    <row r="375" spans="1:173" s="321" customFormat="1" outlineLevel="1">
      <c r="A375" s="1430"/>
      <c r="B375" s="186" t="s">
        <v>399</v>
      </c>
      <c r="C375" s="186"/>
      <c r="D375" s="910" t="s">
        <v>908</v>
      </c>
      <c r="E375" s="190"/>
      <c r="F375" s="190"/>
      <c r="G375" s="190"/>
      <c r="H375" s="190"/>
      <c r="I375" s="190"/>
      <c r="J375" s="190"/>
      <c r="K375" s="190"/>
      <c r="L375" s="190"/>
      <c r="M375" s="190"/>
      <c r="N375" s="190"/>
      <c r="O375" s="190"/>
      <c r="P375" s="190"/>
      <c r="Q375" s="190"/>
      <c r="R375" s="190"/>
      <c r="S375" s="190"/>
      <c r="T375" s="190"/>
      <c r="U375" s="190"/>
      <c r="V375" s="190"/>
      <c r="W375" s="190"/>
      <c r="X375" s="190"/>
      <c r="Y375" s="190"/>
      <c r="Z375" s="190"/>
      <c r="AA375" s="190"/>
      <c r="AB375" s="190"/>
      <c r="AC375" s="190"/>
      <c r="AD375" s="190"/>
      <c r="AE375" s="190"/>
      <c r="AF375" s="190"/>
      <c r="AG375" s="190"/>
      <c r="AH375" s="190"/>
      <c r="AI375" s="190"/>
      <c r="AJ375" s="190"/>
      <c r="AK375" s="190"/>
      <c r="AL375" s="190"/>
      <c r="AM375" s="190"/>
      <c r="AN375" s="190"/>
      <c r="AO375" s="190"/>
      <c r="AP375" s="190"/>
      <c r="AQ375" s="190"/>
      <c r="AR375" s="190"/>
      <c r="AS375" s="190"/>
      <c r="AT375" s="190"/>
      <c r="AU375" s="190"/>
      <c r="AV375" s="190"/>
      <c r="AW375" s="190"/>
      <c r="AX375" s="190"/>
      <c r="AY375" s="190"/>
      <c r="AZ375" s="190"/>
      <c r="BA375" s="190"/>
      <c r="BB375" s="190"/>
      <c r="BC375" s="973"/>
      <c r="BD375" s="190"/>
      <c r="BE375" s="190"/>
      <c r="BF375" s="973"/>
      <c r="BG375" s="190"/>
      <c r="BH375" s="190"/>
      <c r="BI375" s="973"/>
      <c r="BJ375" s="190"/>
      <c r="BK375" s="190"/>
      <c r="BL375" s="973"/>
      <c r="BM375" s="190">
        <v>4470.0701011305782</v>
      </c>
      <c r="BN375" s="190">
        <v>4557.5786519954418</v>
      </c>
      <c r="BO375" s="190">
        <f>BO378/BO354*1000000</f>
        <v>4518.8667988836569</v>
      </c>
      <c r="BP375" s="190">
        <f>BM375*(1+BP376)</f>
        <v>4470.0701011305782</v>
      </c>
      <c r="BQ375" s="190">
        <f>BN375*(1+BQ376)</f>
        <v>4557.5786519954418</v>
      </c>
      <c r="BR375" s="190">
        <f>BR378/BR354*1000000</f>
        <v>4514.7275568011164</v>
      </c>
      <c r="BS375" s="190">
        <f>BP375*(1+BS376)</f>
        <v>7118.3018956402475</v>
      </c>
      <c r="BT375" s="190">
        <f>BQ375*(1+BT376)</f>
        <v>6997.0203505189584</v>
      </c>
      <c r="BU375" s="190">
        <f>BU378/BU354*1000000</f>
        <v>7055.3238361827543</v>
      </c>
      <c r="BV375" s="190">
        <f>BS375*(1+BV376)</f>
        <v>7085.2178373854822</v>
      </c>
      <c r="BW375" s="190">
        <f>BT375*(1+BW376)</f>
        <v>6952.0633955315825</v>
      </c>
      <c r="BX375" s="190">
        <f>BX378/BX354*1000000</f>
        <v>7013.1475088761399</v>
      </c>
      <c r="BY375" s="190">
        <f>BV375*(1+BY376)</f>
        <v>8540.4217843601491</v>
      </c>
      <c r="BZ375" s="190">
        <f>BW375*(1+BZ376)</f>
        <v>6857.445812718398</v>
      </c>
      <c r="CA375" s="190">
        <f>CA378/CA354*1000000</f>
        <v>7587.1019759360343</v>
      </c>
      <c r="CB375" s="190">
        <f>BY375*(1+CB376)</f>
        <v>7717.3813370013622</v>
      </c>
      <c r="CC375" s="190">
        <f>BZ375*(1+CC376)</f>
        <v>7603.5359171421596</v>
      </c>
      <c r="CD375" s="190">
        <f>CD378/CD354*1000000</f>
        <v>7650.2247810193303</v>
      </c>
      <c r="CE375" s="190">
        <f>CB375*(1+CE376)</f>
        <v>6654.196297109369</v>
      </c>
      <c r="CF375" s="190">
        <f>CC375*(1+CF376)</f>
        <v>7803.58494712217</v>
      </c>
      <c r="CG375" s="190">
        <f>CG378/CG354*1000000</f>
        <v>7560.5235491591284</v>
      </c>
      <c r="CH375" s="190">
        <f>CE375*(1+CH376)</f>
        <v>6586.9223725455931</v>
      </c>
      <c r="CI375" s="190">
        <f>CF375*(1+CI376)</f>
        <v>6608.7000200188231</v>
      </c>
      <c r="CJ375" s="190">
        <f>CJ378/CJ354*1000000</f>
        <v>6598.6192210764584</v>
      </c>
      <c r="CK375" s="190">
        <f>CH375*(1+CK376)</f>
        <v>5688.7955070490016</v>
      </c>
      <c r="CL375" s="190">
        <f>CI375*(1+CL376)</f>
        <v>6353.4059382454961</v>
      </c>
      <c r="CM375" s="190">
        <f>CM378/CM354*1000000</f>
        <v>5992.2913496350311</v>
      </c>
      <c r="CN375" s="190">
        <f>CK375*(1+CN376)</f>
        <v>7526.5272731428804</v>
      </c>
      <c r="CO375" s="190">
        <f>CL375*(1+CO376)</f>
        <v>6873.1623415942368</v>
      </c>
      <c r="CP375" s="190">
        <f>CP378/CP354*1000000</f>
        <v>7138.5187319633724</v>
      </c>
      <c r="CQ375" s="190">
        <f>CN375*(1+CQ376)</f>
        <v>7951.3454686492405</v>
      </c>
      <c r="CR375" s="190">
        <f>CO375*(1+CR376)</f>
        <v>9557.0598263095944</v>
      </c>
      <c r="CS375" s="190">
        <f>CS378/CS354*1000000</f>
        <v>9114.6722686654521</v>
      </c>
      <c r="CT375" s="190">
        <f>CQ375*(1+CT376)</f>
        <v>8088.0853268461042</v>
      </c>
      <c r="CU375" s="190">
        <f>CR375*(1+CU376)</f>
        <v>7522.2662186900197</v>
      </c>
      <c r="CV375" s="190">
        <f>CV378/CV354*1000000</f>
        <v>7835.0738392893045</v>
      </c>
      <c r="CW375" s="190">
        <f>CT375*(1+CW376)</f>
        <v>7315.6731781323006</v>
      </c>
      <c r="CX375" s="190">
        <f>CU375*(1+CX376)</f>
        <v>7695.2783417198898</v>
      </c>
      <c r="CY375" s="190">
        <f>CY378/CY354*1000000</f>
        <v>7468.632291104921</v>
      </c>
      <c r="CZ375" s="190">
        <f>CW375*(1+CZ376)</f>
        <v>7233.7115871671449</v>
      </c>
      <c r="DA375" s="190">
        <f>CX375*(1+DA376)</f>
        <v>6768.0817609195246</v>
      </c>
      <c r="DB375" s="190">
        <f>DB378/DB354*1000000</f>
        <v>6952.6839024196415</v>
      </c>
      <c r="DC375" s="190">
        <f>CZ375*(1+DC376)</f>
        <v>6897.571867356949</v>
      </c>
      <c r="DD375" s="190">
        <f>DA375*(1+DD376)</f>
        <v>6693.8460965083532</v>
      </c>
      <c r="DE375" s="190">
        <f>DE378/DE354*1000000</f>
        <v>6792.2220299460059</v>
      </c>
      <c r="DF375" s="190">
        <f>DC375*(1+DF376)</f>
        <v>6849.2888642854505</v>
      </c>
      <c r="DG375" s="190">
        <f>DD375*(1+DG376)</f>
        <v>8268.0983921252537</v>
      </c>
      <c r="DH375" s="1060">
        <f>DH378/DH354*1000000</f>
        <v>7353.4890734761502</v>
      </c>
      <c r="DI375" s="190">
        <f>DF375*(1+DI376)</f>
        <v>8229.4205704389697</v>
      </c>
      <c r="DJ375" s="190">
        <f>DG375*(1+DJ376)</f>
        <v>7416.4842577363524</v>
      </c>
      <c r="DK375" s="1060">
        <f>DK378/DK354*1000000</f>
        <v>7819.352445322631</v>
      </c>
      <c r="DL375" s="234">
        <f>DI375*(1+DL376)</f>
        <v>7206.1621165104816</v>
      </c>
      <c r="DM375" s="234">
        <f>DJ375*(1+DM376)</f>
        <v>7045.6600448495346</v>
      </c>
      <c r="DN375" s="1060">
        <f>DN378/DN354*1000000</f>
        <v>7123.586417934107</v>
      </c>
      <c r="DO375" s="234">
        <f>DL375*(1+DO376)</f>
        <v>7310.651467199883</v>
      </c>
      <c r="DP375" s="234">
        <f>DM375*(1+DP376)</f>
        <v>8884.5773165552637</v>
      </c>
      <c r="DQ375" s="1060">
        <f>DQ378/DQ354*1000000</f>
        <v>8094.9654115240292</v>
      </c>
      <c r="DR375" s="234">
        <f>DO375*(1+DR376)</f>
        <v>8103.8571513910701</v>
      </c>
      <c r="DS375" s="234">
        <f>DP375*(1+DS376)</f>
        <v>7996.1195848997377</v>
      </c>
      <c r="DT375" s="1060">
        <f>DT378/DT354*1000000</f>
        <v>8048.0957166421676</v>
      </c>
      <c r="DU375" s="234">
        <f>DR375*(1+DU376)</f>
        <v>7779.7028653354273</v>
      </c>
      <c r="DV375" s="234">
        <f>DS375*(1+DV376)</f>
        <v>7196.5076264097643</v>
      </c>
      <c r="DW375" s="1060">
        <f>DW378/DW354*1000000</f>
        <v>7492.7277083201307</v>
      </c>
      <c r="DX375" s="234">
        <f>DU375*(1+DX376)</f>
        <v>7468.5147507220099</v>
      </c>
      <c r="DY375" s="234">
        <f>DV375*(1+DY376)</f>
        <v>7124.5425501456666</v>
      </c>
      <c r="DZ375" s="1060">
        <f>DZ378/DZ354*1000000</f>
        <v>7287.6040816607438</v>
      </c>
      <c r="EA375" s="234">
        <f>DX375*(1+EA376)</f>
        <v>7169.7741606931295</v>
      </c>
      <c r="EB375" s="234">
        <f>DY375*(1+EB376)</f>
        <v>6839.5608481398394</v>
      </c>
      <c r="EC375" s="1060">
        <f>EC378/EC354*1000000</f>
        <v>7005.5580120306804</v>
      </c>
      <c r="ED375" s="234">
        <f>EA375*(1+ED376)</f>
        <v>6882.9831942654037</v>
      </c>
      <c r="EE375" s="234">
        <f>EB375*(1+EE376)</f>
        <v>6565.9784142142453</v>
      </c>
      <c r="EF375" s="1060">
        <f>EF378/EF354*1000000</f>
        <v>6725.3356915494514</v>
      </c>
      <c r="EG375" s="234">
        <f>ED375*(1+EG376)</f>
        <v>6607.6638664947868</v>
      </c>
      <c r="EH375" s="234">
        <f>EE375*(1+EH376)</f>
        <v>6303.3392776456749</v>
      </c>
      <c r="EI375" s="1060">
        <f>EI378/EI354*1000000</f>
        <v>6456.3222638874722</v>
      </c>
      <c r="EJ375" s="234">
        <f>EG375*(1+EJ376)</f>
        <v>6343.357311834995</v>
      </c>
      <c r="EK375" s="234">
        <f>EH375*(1+EK376)</f>
        <v>6051.2057065398476</v>
      </c>
      <c r="EL375" s="1060">
        <f>EL378/EL354*1000000</f>
        <v>6198.0693733319731</v>
      </c>
      <c r="EM375" s="234">
        <f>EJ375*(1+EM376)</f>
        <v>6089.6230193615947</v>
      </c>
      <c r="EN375" s="234">
        <f>EK375*(1+EN376)</f>
        <v>5809.1574782782536</v>
      </c>
      <c r="EO375" s="1060">
        <f>EO378/EO354*1000000</f>
        <v>5950.1465983986946</v>
      </c>
      <c r="EP375" s="234">
        <f>EM375*(1+EP376)</f>
        <v>5846.0380985871307</v>
      </c>
      <c r="EQ375" s="234">
        <f>EN375*(1+EQ376)</f>
        <v>5576.7911791471233</v>
      </c>
      <c r="ER375" s="1060">
        <f>ER378/ER354*1000000</f>
        <v>5712.140734462746</v>
      </c>
      <c r="ES375" s="234">
        <f>EP375*(1+ES376)</f>
        <v>5612.1965746436454</v>
      </c>
      <c r="ET375" s="234">
        <f>EQ375*(1+ET376)</f>
        <v>5353.7195319812381</v>
      </c>
      <c r="EU375" s="1060">
        <f>EU378/EU354*1000000</f>
        <v>5483.6551050842363</v>
      </c>
      <c r="EV375" s="234">
        <f>ES375*(1+EV376)</f>
        <v>5387.7087116578996</v>
      </c>
      <c r="EW375" s="234">
        <f>ET375*(1+EW376)</f>
        <v>5139.5707507019888</v>
      </c>
      <c r="EX375" s="1060">
        <f>EX378/EX354*1000000</f>
        <v>5264.3089008808665</v>
      </c>
      <c r="EY375" s="234">
        <f>EV375*(1+EY376)</f>
        <v>5172.2003631915832</v>
      </c>
      <c r="EZ375" s="234">
        <f>EW375*(1+EZ376)</f>
        <v>4933.9879206739088</v>
      </c>
      <c r="FA375" s="1060">
        <f>FA378/FA354*1000000</f>
        <v>5053.7365448456321</v>
      </c>
      <c r="FH375" s="35"/>
      <c r="FI375" s="35"/>
      <c r="FJ375" s="35"/>
      <c r="FK375" s="35"/>
      <c r="FL375" s="35"/>
      <c r="FM375" s="35"/>
      <c r="FN375" s="35"/>
      <c r="FO375" s="35"/>
      <c r="FP375" s="35"/>
      <c r="FQ375" s="35"/>
    </row>
    <row r="376" spans="1:173" s="321" customFormat="1" outlineLevel="1">
      <c r="A376" s="1168"/>
      <c r="B376" s="35" t="s">
        <v>753</v>
      </c>
      <c r="C376" s="186"/>
      <c r="D376" s="910" t="s">
        <v>460</v>
      </c>
      <c r="E376" s="3"/>
      <c r="F376" s="3"/>
      <c r="G376" s="2"/>
      <c r="H376" s="3"/>
      <c r="I376" s="3"/>
      <c r="J376" s="2"/>
      <c r="K376" s="3"/>
      <c r="L376" s="3"/>
      <c r="M376" s="2"/>
      <c r="N376" s="3"/>
      <c r="O376" s="3"/>
      <c r="P376" s="2"/>
      <c r="Q376" s="3"/>
      <c r="R376" s="3"/>
      <c r="S376" s="2"/>
      <c r="T376" s="3"/>
      <c r="U376" s="3"/>
      <c r="V376" s="2"/>
      <c r="W376" s="3"/>
      <c r="X376" s="3"/>
      <c r="Y376" s="2"/>
      <c r="Z376" s="3"/>
      <c r="AA376" s="3"/>
      <c r="AB376" s="2"/>
      <c r="AC376" s="3"/>
      <c r="AD376" s="3"/>
      <c r="AE376" s="2"/>
      <c r="AF376" s="3"/>
      <c r="AG376" s="3"/>
      <c r="AH376" s="2"/>
      <c r="AI376" s="3"/>
      <c r="AJ376" s="3"/>
      <c r="AK376" s="2"/>
      <c r="AL376" s="3"/>
      <c r="AM376" s="3"/>
      <c r="AN376" s="2"/>
      <c r="AO376" s="3"/>
      <c r="AP376" s="3"/>
      <c r="AQ376" s="2"/>
      <c r="AR376" s="3"/>
      <c r="AS376" s="3"/>
      <c r="AT376" s="2"/>
      <c r="AU376" s="3"/>
      <c r="AV376" s="3"/>
      <c r="AW376" s="2"/>
      <c r="AX376" s="3"/>
      <c r="AY376" s="3"/>
      <c r="AZ376" s="2"/>
      <c r="BA376" s="90"/>
      <c r="BB376" s="90"/>
      <c r="BC376" s="950"/>
      <c r="BD376" s="90"/>
      <c r="BE376" s="90"/>
      <c r="BF376" s="950"/>
      <c r="BG376" s="92"/>
      <c r="BH376" s="92"/>
      <c r="BI376" s="951"/>
      <c r="BJ376" s="121"/>
      <c r="BK376" s="121"/>
      <c r="BL376" s="114"/>
      <c r="BM376" s="121"/>
      <c r="BN376" s="121"/>
      <c r="BO376" s="114"/>
      <c r="BP376" s="121">
        <v>0</v>
      </c>
      <c r="BQ376" s="121">
        <f>BP376</f>
        <v>0</v>
      </c>
      <c r="BR376" s="121">
        <f>BR375/BO375-1</f>
        <v>-9.159911691938305E-4</v>
      </c>
      <c r="BS376" s="4">
        <v>0.59243630068348896</v>
      </c>
      <c r="BT376" s="4">
        <v>0.5352495008408592</v>
      </c>
      <c r="BU376" s="185">
        <f>BU375/BR375-1</f>
        <v>0.56273523649381896</v>
      </c>
      <c r="BV376" s="4">
        <v>-4.6477458725132891E-3</v>
      </c>
      <c r="BW376" s="4">
        <v>-6.4251571004850325E-3</v>
      </c>
      <c r="BX376" s="185">
        <f>BX375/BU375-1</f>
        <v>-5.9779435056285246E-3</v>
      </c>
      <c r="BY376" s="4">
        <v>0.20538591478390603</v>
      </c>
      <c r="BZ376" s="4">
        <v>-1.3610000000000001E-2</v>
      </c>
      <c r="CA376" s="185">
        <f>CA375/BX375-1</f>
        <v>8.1839782541786477E-2</v>
      </c>
      <c r="CB376" s="4">
        <v>-9.6369999999999997E-2</v>
      </c>
      <c r="CC376" s="4">
        <v>0.10879999999999999</v>
      </c>
      <c r="CD376" s="185">
        <f>CD375/CA375-1</f>
        <v>8.3197517686597333E-3</v>
      </c>
      <c r="CE376" s="4">
        <v>-0.137765</v>
      </c>
      <c r="CF376" s="100">
        <v>2.631E-2</v>
      </c>
      <c r="CG376" s="185">
        <f>CG375/CD375-1</f>
        <v>-1.1725306697230153E-2</v>
      </c>
      <c r="CH376" s="158">
        <v>-1.0109999999999999E-2</v>
      </c>
      <c r="CI376" s="4">
        <v>-0.15312000000000001</v>
      </c>
      <c r="CJ376" s="185">
        <f>CJ375/CG375-1</f>
        <v>-0.12722721142633719</v>
      </c>
      <c r="CK376" s="4">
        <v>-0.13635</v>
      </c>
      <c r="CL376" s="4">
        <v>-3.8629999999999998E-2</v>
      </c>
      <c r="CM376" s="185">
        <f>CM375/CJ375-1</f>
        <v>-9.1887082907401774E-2</v>
      </c>
      <c r="CN376" s="158">
        <v>0.32304408970523563</v>
      </c>
      <c r="CO376" s="158">
        <v>8.1807523145966676E-2</v>
      </c>
      <c r="CP376" s="185">
        <f>CP375/CM375-1</f>
        <v>0.19128365352231302</v>
      </c>
      <c r="CQ376" s="158">
        <v>5.644278962786077E-2</v>
      </c>
      <c r="CR376" s="158">
        <v>0.39048946486732117</v>
      </c>
      <c r="CS376" s="185">
        <f>CS375/CP375-1</f>
        <v>0.27682963523702342</v>
      </c>
      <c r="CT376" s="158">
        <v>1.7197071707675773E-2</v>
      </c>
      <c r="CU376" s="4">
        <v>-0.21290999999999999</v>
      </c>
      <c r="CV376" s="185">
        <f>CV375/CS375-1</f>
        <v>-0.14038885783915334</v>
      </c>
      <c r="CW376" s="250">
        <v>-9.5500000000000002E-2</v>
      </c>
      <c r="CX376" s="4">
        <v>2.3E-2</v>
      </c>
      <c r="CY376" s="185">
        <f>CY375/CV375-1</f>
        <v>-4.676938031481559E-2</v>
      </c>
      <c r="CZ376" s="4">
        <v>-1.1203561035251219E-2</v>
      </c>
      <c r="DA376" s="250">
        <v>-0.12048902451956504</v>
      </c>
      <c r="DB376" s="185">
        <f>DB375/CY375-1</f>
        <v>-6.9082044553160027E-2</v>
      </c>
      <c r="DC376" s="4">
        <v>-4.6468499021514759E-2</v>
      </c>
      <c r="DD376" s="4">
        <v>-1.0968494033246649E-2</v>
      </c>
      <c r="DE376" s="185">
        <f>DE375/DB375-1</f>
        <v>-2.3079126669025229E-2</v>
      </c>
      <c r="DF376" s="57">
        <v>-7.0000000000000001E-3</v>
      </c>
      <c r="DG376" s="57">
        <v>0.23517903951183802</v>
      </c>
      <c r="DH376" s="1083">
        <f>DH375/DE375-1</f>
        <v>8.2633789215899034E-2</v>
      </c>
      <c r="DI376" s="57">
        <v>0.20150000000000001</v>
      </c>
      <c r="DJ376" s="38">
        <v>-0.10299999999999999</v>
      </c>
      <c r="DK376" s="1083">
        <f>DK375/DH375-1</f>
        <v>6.3352697908648281E-2</v>
      </c>
      <c r="DL376" s="1052">
        <v>-0.12434149466174463</v>
      </c>
      <c r="DM376" s="1052">
        <v>-0.05</v>
      </c>
      <c r="DN376" s="1083">
        <f>DN375/DK375-1</f>
        <v>-8.898000598562561E-2</v>
      </c>
      <c r="DO376" s="1052">
        <v>1.4500000000000001E-2</v>
      </c>
      <c r="DP376" s="1052">
        <v>0.26100000000000001</v>
      </c>
      <c r="DQ376" s="1083">
        <f>DQ375/DN375-1</f>
        <v>0.13636094750593752</v>
      </c>
      <c r="DR376" s="1052">
        <v>0.1085</v>
      </c>
      <c r="DS376" s="1052">
        <v>-0.1</v>
      </c>
      <c r="DT376" s="1083">
        <f>DT375/DQ375-1</f>
        <v>-5.7899808707196909E-3</v>
      </c>
      <c r="DU376" s="1052">
        <v>-0.04</v>
      </c>
      <c r="DV376" s="1052">
        <v>-0.1</v>
      </c>
      <c r="DW376" s="1083">
        <f>DW375/DT375-1</f>
        <v>-6.9006138579294607E-2</v>
      </c>
      <c r="DX376" s="1052">
        <v>-0.04</v>
      </c>
      <c r="DY376" s="1052">
        <v>-0.01</v>
      </c>
      <c r="DZ376" s="1083">
        <f>DZ375/DW375-1</f>
        <v>-2.7376362073268989E-2</v>
      </c>
      <c r="EA376" s="1052">
        <v>-0.04</v>
      </c>
      <c r="EB376" s="1052">
        <f>EA376</f>
        <v>-0.04</v>
      </c>
      <c r="EC376" s="1083">
        <f>EC375/DZ375-1</f>
        <v>-3.8702166922024772E-2</v>
      </c>
      <c r="ED376" s="1052">
        <f>EA376</f>
        <v>-0.04</v>
      </c>
      <c r="EE376" s="1052">
        <f>ED376</f>
        <v>-0.04</v>
      </c>
      <c r="EF376" s="1083">
        <f>EF375/EC375-1</f>
        <v>-4.0000000000000258E-2</v>
      </c>
      <c r="EG376" s="1052">
        <f>ED376</f>
        <v>-0.04</v>
      </c>
      <c r="EH376" s="1052">
        <f>EG376</f>
        <v>-0.04</v>
      </c>
      <c r="EI376" s="1083">
        <f>EI375/EF375-1</f>
        <v>-4.0000000000000147E-2</v>
      </c>
      <c r="EJ376" s="1052">
        <f>EG376</f>
        <v>-0.04</v>
      </c>
      <c r="EK376" s="1052">
        <f>EJ376</f>
        <v>-0.04</v>
      </c>
      <c r="EL376" s="1083">
        <f>EL375/EI375-1</f>
        <v>-4.0000000000000036E-2</v>
      </c>
      <c r="EM376" s="1052">
        <f>EJ376</f>
        <v>-0.04</v>
      </c>
      <c r="EN376" s="1052">
        <f>EM376</f>
        <v>-0.04</v>
      </c>
      <c r="EO376" s="1083">
        <f>EO375/EL375-1</f>
        <v>-3.9999999999999925E-2</v>
      </c>
      <c r="EP376" s="1052">
        <f>EM376</f>
        <v>-0.04</v>
      </c>
      <c r="EQ376" s="1052">
        <f>EP376</f>
        <v>-0.04</v>
      </c>
      <c r="ER376" s="1083">
        <f>ER375/EO375-1</f>
        <v>-4.0000000000000147E-2</v>
      </c>
      <c r="ES376" s="1052">
        <f>EP376</f>
        <v>-0.04</v>
      </c>
      <c r="ET376" s="1052">
        <f>ES376</f>
        <v>-0.04</v>
      </c>
      <c r="EU376" s="1083">
        <f>EU375/ER375-1</f>
        <v>-3.9999999999999925E-2</v>
      </c>
      <c r="EV376" s="1052">
        <f>ES376</f>
        <v>-0.04</v>
      </c>
      <c r="EW376" s="1052">
        <f>EV376</f>
        <v>-0.04</v>
      </c>
      <c r="EX376" s="1083">
        <f>EX375/EU375-1</f>
        <v>-4.0000000000000036E-2</v>
      </c>
      <c r="EY376" s="1052">
        <f>EV376</f>
        <v>-0.04</v>
      </c>
      <c r="EZ376" s="1052">
        <f>EY376</f>
        <v>-0.04</v>
      </c>
      <c r="FA376" s="1083">
        <f>FA375/EX375-1</f>
        <v>-3.9999999999999925E-2</v>
      </c>
      <c r="FH376" s="35"/>
      <c r="FI376" s="35"/>
      <c r="FJ376" s="35"/>
      <c r="FK376" s="35"/>
      <c r="FL376" s="35"/>
      <c r="FM376" s="35"/>
      <c r="FN376" s="35"/>
      <c r="FO376" s="35"/>
      <c r="FP376" s="35"/>
      <c r="FQ376" s="35"/>
    </row>
    <row r="377" spans="1:173" s="321" customFormat="1" outlineLevel="1">
      <c r="A377" s="1168"/>
      <c r="B377" s="186"/>
      <c r="C377" s="35"/>
      <c r="D377" s="910"/>
      <c r="E377" s="3"/>
      <c r="F377" s="3"/>
      <c r="G377" s="2"/>
      <c r="H377" s="3"/>
      <c r="I377" s="3"/>
      <c r="J377" s="2"/>
      <c r="K377" s="3"/>
      <c r="L377" s="3"/>
      <c r="M377" s="2"/>
      <c r="N377" s="3"/>
      <c r="O377" s="3"/>
      <c r="P377" s="2"/>
      <c r="Q377" s="3"/>
      <c r="R377" s="3"/>
      <c r="S377" s="2"/>
      <c r="T377" s="3"/>
      <c r="U377" s="3"/>
      <c r="V377" s="2"/>
      <c r="W377" s="3"/>
      <c r="X377" s="3"/>
      <c r="Y377" s="2"/>
      <c r="Z377" s="3"/>
      <c r="AA377" s="3"/>
      <c r="AB377" s="2"/>
      <c r="AC377" s="3"/>
      <c r="AD377" s="3"/>
      <c r="AE377" s="2"/>
      <c r="AF377" s="3"/>
      <c r="AG377" s="3"/>
      <c r="AH377" s="2"/>
      <c r="AI377" s="3"/>
      <c r="AJ377" s="3"/>
      <c r="AK377" s="2"/>
      <c r="AL377" s="3"/>
      <c r="AM377" s="3"/>
      <c r="AN377" s="2"/>
      <c r="AO377" s="3"/>
      <c r="AP377" s="3"/>
      <c r="AQ377" s="2"/>
      <c r="AR377" s="3"/>
      <c r="AS377" s="3"/>
      <c r="AT377" s="2"/>
      <c r="AU377" s="3"/>
      <c r="AV377" s="3"/>
      <c r="AW377" s="2"/>
      <c r="AX377" s="3"/>
      <c r="AY377" s="3"/>
      <c r="AZ377" s="2"/>
      <c r="BA377" s="90"/>
      <c r="BB377" s="90"/>
      <c r="BC377" s="950"/>
      <c r="BD377" s="90"/>
      <c r="BE377" s="91"/>
      <c r="BF377" s="87"/>
      <c r="BG377" s="91"/>
      <c r="BH377" s="91"/>
      <c r="BI377" s="950"/>
      <c r="BJ377" s="118"/>
      <c r="BK377" s="118"/>
      <c r="BL377" s="119"/>
      <c r="BM377" s="118"/>
      <c r="BN377" s="121"/>
      <c r="BO377" s="114"/>
      <c r="BP377" s="121"/>
      <c r="BQ377" s="121"/>
      <c r="BR377" s="114"/>
      <c r="BS377" s="4"/>
      <c r="BT377" s="4"/>
      <c r="BU377" s="10"/>
      <c r="BV377" s="4"/>
      <c r="BW377" s="4"/>
      <c r="BX377" s="10"/>
      <c r="BY377" s="4"/>
      <c r="BZ377" s="4"/>
      <c r="CA377" s="10"/>
      <c r="CB377" s="8"/>
      <c r="CC377" s="8"/>
      <c r="CD377" s="67"/>
      <c r="CE377" s="94"/>
      <c r="CF377" s="8"/>
      <c r="CG377" s="77">
        <f>CG130-CG132</f>
        <v>-27.952067408153283</v>
      </c>
      <c r="CH377" s="77">
        <f>CH130-CH132</f>
        <v>-12.128360871320353</v>
      </c>
      <c r="CI377" s="77">
        <f>CI130-CI132</f>
        <v>-13.166433753178666</v>
      </c>
      <c r="CJ377" s="10"/>
      <c r="CK377" s="77">
        <f>CK130-CK132</f>
        <v>-13.210901586681544</v>
      </c>
      <c r="CL377" s="4"/>
      <c r="CM377" s="77">
        <f>CM130-CM132</f>
        <v>-27.848991297506501</v>
      </c>
      <c r="CN377" s="4"/>
      <c r="CO377" s="4"/>
      <c r="CP377" s="10"/>
      <c r="CQ377" s="4"/>
      <c r="CR377" s="4"/>
      <c r="CS377" s="10">
        <f>+CS134</f>
        <v>0.7076984490988466</v>
      </c>
      <c r="CT377" s="101"/>
      <c r="CU377" s="249"/>
      <c r="CV377" s="10">
        <f>+CV134</f>
        <v>0.72939682085354052</v>
      </c>
      <c r="CW377" s="249">
        <f>+CW130</f>
        <v>176.22694061344947</v>
      </c>
      <c r="CX377" s="4">
        <f>+CX134</f>
        <v>0.71325375767232324</v>
      </c>
      <c r="CY377" s="10">
        <f>+CY134</f>
        <v>0.71088669570987462</v>
      </c>
      <c r="CZ377" s="249">
        <f>+CZ133</f>
        <v>455.62434961788159</v>
      </c>
      <c r="DA377" s="4"/>
      <c r="DB377" s="10">
        <f>+DB134</f>
        <v>0.73313737705638082</v>
      </c>
      <c r="DC377" s="4"/>
      <c r="DD377" s="4"/>
      <c r="DE377" s="10"/>
      <c r="DF377" s="4"/>
      <c r="DG377" s="4"/>
      <c r="DH377" s="1087"/>
      <c r="DI377" s="4"/>
      <c r="DJ377" s="4"/>
      <c r="DK377" s="1087"/>
      <c r="DL377" s="4"/>
      <c r="DM377" s="4"/>
      <c r="DN377" s="1110"/>
      <c r="DO377" s="4"/>
      <c r="DP377" s="4"/>
      <c r="DQ377" s="1110"/>
      <c r="DR377" s="4"/>
      <c r="DS377" s="4"/>
      <c r="DT377" s="1110"/>
      <c r="DU377" s="4"/>
      <c r="DV377" s="4"/>
      <c r="DW377" s="1110"/>
      <c r="DX377" s="4"/>
      <c r="DY377" s="4"/>
      <c r="DZ377" s="1110"/>
      <c r="EA377" s="4"/>
      <c r="EB377" s="4"/>
      <c r="EC377" s="1110"/>
      <c r="ED377" s="4"/>
      <c r="EE377" s="4"/>
      <c r="EF377" s="1110"/>
      <c r="EG377" s="4"/>
      <c r="EH377" s="4"/>
      <c r="EI377" s="1110"/>
      <c r="EJ377" s="4"/>
      <c r="EK377" s="4"/>
      <c r="EL377" s="1110"/>
      <c r="EM377" s="4"/>
      <c r="EN377" s="4"/>
      <c r="EO377" s="1110"/>
      <c r="EP377" s="4"/>
      <c r="EQ377" s="4"/>
      <c r="ER377" s="1110"/>
      <c r="ES377" s="4"/>
      <c r="ET377" s="4"/>
      <c r="EU377" s="1110"/>
      <c r="EV377" s="4"/>
      <c r="EW377" s="4"/>
      <c r="EX377" s="1110"/>
      <c r="EY377" s="4"/>
      <c r="EZ377" s="4"/>
      <c r="FA377" s="1110"/>
      <c r="FB377" s="4"/>
      <c r="FH377" s="35"/>
      <c r="FI377" s="35"/>
      <c r="FJ377" s="35"/>
      <c r="FK377" s="35"/>
      <c r="FL377" s="35"/>
      <c r="FM377" s="35"/>
      <c r="FN377" s="35"/>
      <c r="FO377" s="35"/>
      <c r="FP377" s="35"/>
      <c r="FQ377" s="35"/>
    </row>
    <row r="378" spans="1:173" s="321" customFormat="1" outlineLevel="1">
      <c r="A378" s="1168"/>
      <c r="B378" s="186" t="s">
        <v>429</v>
      </c>
      <c r="C378" s="35"/>
      <c r="D378" s="910" t="s">
        <v>604</v>
      </c>
      <c r="E378" s="190"/>
      <c r="F378" s="190"/>
      <c r="G378" s="190"/>
      <c r="H378" s="190"/>
      <c r="I378" s="190"/>
      <c r="J378" s="190"/>
      <c r="K378" s="190"/>
      <c r="L378" s="190"/>
      <c r="M378" s="190"/>
      <c r="N378" s="190"/>
      <c r="O378" s="190"/>
      <c r="P378" s="190"/>
      <c r="Q378" s="190"/>
      <c r="R378" s="190"/>
      <c r="S378" s="190"/>
      <c r="T378" s="190"/>
      <c r="U378" s="190"/>
      <c r="V378" s="190"/>
      <c r="W378" s="190"/>
      <c r="X378" s="190"/>
      <c r="Y378" s="190"/>
      <c r="Z378" s="190"/>
      <c r="AA378" s="190"/>
      <c r="AB378" s="190"/>
      <c r="AC378" s="190"/>
      <c r="AD378" s="190"/>
      <c r="AE378" s="190"/>
      <c r="AF378" s="190"/>
      <c r="AG378" s="190"/>
      <c r="AH378" s="190"/>
      <c r="AI378" s="190"/>
      <c r="AJ378" s="190"/>
      <c r="AK378" s="190"/>
      <c r="AL378" s="190"/>
      <c r="AM378" s="190"/>
      <c r="AN378" s="190"/>
      <c r="AO378" s="190"/>
      <c r="AP378" s="190"/>
      <c r="AQ378" s="190"/>
      <c r="AR378" s="190"/>
      <c r="AS378" s="190"/>
      <c r="AT378" s="190"/>
      <c r="AU378" s="190"/>
      <c r="AV378" s="190"/>
      <c r="AW378" s="190"/>
      <c r="AX378" s="190"/>
      <c r="AY378" s="190"/>
      <c r="AZ378" s="190"/>
      <c r="BA378" s="190"/>
      <c r="BB378" s="190"/>
      <c r="BC378" s="973"/>
      <c r="BD378" s="190"/>
      <c r="BE378" s="35"/>
      <c r="BF378" s="31"/>
      <c r="BG378" s="439"/>
      <c r="BH378" s="83"/>
      <c r="BI378" s="973"/>
      <c r="BJ378" s="190"/>
      <c r="BK378" s="190"/>
      <c r="BL378" s="973"/>
      <c r="BM378" s="70">
        <f>BM375*BM354/1000000</f>
        <v>3.6585489001843743</v>
      </c>
      <c r="BN378" s="70">
        <f>BN375*BN354/1000000</f>
        <v>4.7019193324299131</v>
      </c>
      <c r="BO378" s="1024">
        <f>SUM(BM378:BN378)</f>
        <v>8.3604682326142878</v>
      </c>
      <c r="BP378" s="70">
        <f>BP375*BP354/1000000</f>
        <v>4.6463571032341555</v>
      </c>
      <c r="BQ378" s="70">
        <f>BQ375*BQ354/1000000</f>
        <v>4.9370152990514082</v>
      </c>
      <c r="BR378" s="1024">
        <f>SUM(BP378:BQ378)</f>
        <v>9.5833724022855638</v>
      </c>
      <c r="BS378" s="70">
        <f>BS375*BS354/1000000</f>
        <v>8.9232274268571512</v>
      </c>
      <c r="BT378" s="70">
        <f>BT375*BT354/1000000</f>
        <v>9.4744378418904507</v>
      </c>
      <c r="BU378" s="70">
        <f>SUM(BS378:BT378)</f>
        <v>18.397665268747602</v>
      </c>
      <c r="BV378" s="70">
        <f>BV375*BV354/1000000</f>
        <v>9.4324233144861758</v>
      </c>
      <c r="BW378" s="70">
        <f>BW375*BW354/1000000</f>
        <v>10.919733184768324</v>
      </c>
      <c r="BX378" s="70">
        <f>SUM(BV378:BW378)</f>
        <v>20.352156499254498</v>
      </c>
      <c r="BY378" s="70">
        <f>BY375*BY354/1000000</f>
        <v>10.801224695282915</v>
      </c>
      <c r="BZ378" s="70">
        <f>BZ375*BZ354/1000000</f>
        <v>11.331213628162057</v>
      </c>
      <c r="CA378" s="70">
        <f>SUM(BY378:BZ378)</f>
        <v>22.132438323444973</v>
      </c>
      <c r="CB378" s="70">
        <f>CB375*CB354/1000000</f>
        <v>10.638738631824367</v>
      </c>
      <c r="CC378" s="70">
        <f>CC375*CC354/1000000</f>
        <v>15.076859605087307</v>
      </c>
      <c r="CD378" s="70">
        <f>SUM(CB378:CC378)</f>
        <v>25.715598236911674</v>
      </c>
      <c r="CE378" s="1036">
        <f>CE375*CE354/1000000+1.006</f>
        <v>12.464757498865788</v>
      </c>
      <c r="CF378" s="70">
        <f>CF375*CF354/1000000</f>
        <v>17.809737535820425</v>
      </c>
      <c r="CG378" s="70">
        <f>SUM(CE378:CF378)</f>
        <v>30.274495034686211</v>
      </c>
      <c r="CH378" s="70">
        <f>CH375*CH354/1000000</f>
        <v>12.42048585930473</v>
      </c>
      <c r="CI378" s="70">
        <f>CI375*CI354/1000000</f>
        <v>14.459257481339385</v>
      </c>
      <c r="CJ378" s="70">
        <f>SUM(CH378:CI378)</f>
        <v>26.879743340644115</v>
      </c>
      <c r="CK378" s="70">
        <f>CK375*CK354/1000000</f>
        <v>22.140792113434717</v>
      </c>
      <c r="CL378" s="70">
        <f>CL375*CL354/1000000</f>
        <v>20.781990824001014</v>
      </c>
      <c r="CM378" s="70">
        <f>SUM(CK378:CL378)</f>
        <v>42.922782937435727</v>
      </c>
      <c r="CN378" s="70">
        <f>CN375*CN354/1000000</f>
        <v>16.005912899065656</v>
      </c>
      <c r="CO378" s="74">
        <f>CO375*CO354/1000000</f>
        <v>21.372441959304354</v>
      </c>
      <c r="CP378" s="70">
        <f>SUM(CN378:CO378)</f>
        <v>37.37835485837001</v>
      </c>
      <c r="CQ378" s="70">
        <f>CQ375*CQ354/1000000</f>
        <v>8.1738830743251647</v>
      </c>
      <c r="CR378" s="70">
        <f>CR375*CR354/1000000</f>
        <v>25.835146706613735</v>
      </c>
      <c r="CS378" s="70">
        <f>SUM(CQ378:CR378)</f>
        <v>34.009029780938903</v>
      </c>
      <c r="CT378" s="70">
        <f>CT375*CT354/1000000</f>
        <v>24.433184996724759</v>
      </c>
      <c r="CU378" s="70">
        <f>CU375*CU354/1000000</f>
        <v>18.380019745991483</v>
      </c>
      <c r="CV378" s="70">
        <f>SUM(CT378:CU378)</f>
        <v>42.813204742716238</v>
      </c>
      <c r="CW378" s="70">
        <f>CW375*CW354/1000000</f>
        <v>19.64304620800069</v>
      </c>
      <c r="CX378" s="70">
        <f>CX375*CX354/1000000</f>
        <v>13.944600497452868</v>
      </c>
      <c r="CY378" s="70">
        <f>SUM(CW378:CX378)</f>
        <v>33.587646705453558</v>
      </c>
      <c r="CZ378" s="70">
        <f>CZ375*CZ354/1000000</f>
        <v>11.695209222907378</v>
      </c>
      <c r="DA378" s="70">
        <f>DA375*DA354/1000000</f>
        <v>16.658073484241061</v>
      </c>
      <c r="DB378" s="70">
        <f>SUM(CZ378:DA378)</f>
        <v>28.353282707148438</v>
      </c>
      <c r="DC378" s="70">
        <f>DC375*DC354/1000000</f>
        <v>13.717721799241547</v>
      </c>
      <c r="DD378" s="70">
        <f>DD375*DD354/1000000</f>
        <v>14.256288754035944</v>
      </c>
      <c r="DE378" s="70">
        <f>SUM(DC378:DD378)</f>
        <v>27.974010553277491</v>
      </c>
      <c r="DF378" s="70">
        <f>DF375*DF354/1000000</f>
        <v>16.87331248722775</v>
      </c>
      <c r="DG378" s="70">
        <f>DG375*DG354/1000000</f>
        <v>11.228659247344185</v>
      </c>
      <c r="DH378" s="1070">
        <f>SUM(DF378:DG378)</f>
        <v>28.101971734571933</v>
      </c>
      <c r="DI378" s="70">
        <f>DI375*DI354/1000000</f>
        <v>24.931128220518417</v>
      </c>
      <c r="DJ378" s="70">
        <f>DJ375*DJ354/1000000</f>
        <v>22.869875033313239</v>
      </c>
      <c r="DK378" s="1070">
        <f>SUM(DI378:DJ378)</f>
        <v>47.801003253831652</v>
      </c>
      <c r="DL378" s="233">
        <f>DL375*DL354/1000000</f>
        <v>23.029842323445305</v>
      </c>
      <c r="DM378" s="233">
        <f>DM375*DM354/1000000</f>
        <v>23.860328242017431</v>
      </c>
      <c r="DN378" s="1070">
        <f>SUM(DL378:DM378)</f>
        <v>46.890170565462739</v>
      </c>
      <c r="DO378" s="233">
        <f>DO375*DO354/1000000</f>
        <v>28.046535605260598</v>
      </c>
      <c r="DP378" s="233">
        <f>DP375*DP354/1000000</f>
        <v>33.856040367904477</v>
      </c>
      <c r="DQ378" s="1070">
        <f>SUM(DO378:DP378)</f>
        <v>61.902575973165071</v>
      </c>
      <c r="DR378" s="233">
        <f>DR375*DR354/1000000</f>
        <v>30.903481335694742</v>
      </c>
      <c r="DS378" s="233">
        <f>DS375*DS354/1000000</f>
        <v>32.713340564948311</v>
      </c>
      <c r="DT378" s="1070">
        <f>SUM(DR378:DS378)</f>
        <v>63.616821900643053</v>
      </c>
      <c r="DU378" s="233">
        <f>DU375*DU354/1000000</f>
        <v>38.664504801220986</v>
      </c>
      <c r="DV378" s="233">
        <f>DV375*DV354/1000000</f>
        <v>34.649824294222235</v>
      </c>
      <c r="DW378" s="1070">
        <f>SUM(DU378:DV378)</f>
        <v>73.314329095443213</v>
      </c>
      <c r="DX378" s="233">
        <f>DX375*DX354/1000000</f>
        <v>35.652789267214381</v>
      </c>
      <c r="DY378" s="233">
        <f>DY375*DY354/1000000</f>
        <v>37.733658656408018</v>
      </c>
      <c r="DZ378" s="1070">
        <f>SUM(DX378:DY378)</f>
        <v>73.386447923622399</v>
      </c>
      <c r="EA378" s="233">
        <f>EA375*EA354/1000000</f>
        <v>41.072013235830966</v>
      </c>
      <c r="EB378" s="233">
        <f>EB375*EB354/1000000</f>
        <v>38.760014171862316</v>
      </c>
      <c r="EC378" s="1070">
        <f>SUM(EA378:EB378)</f>
        <v>79.832027407693289</v>
      </c>
      <c r="ED378" s="233">
        <f>ED375*ED354/1000000</f>
        <v>42.977754649973519</v>
      </c>
      <c r="EE378" s="233">
        <f>EE375*EE354/1000000</f>
        <v>40.55847882943673</v>
      </c>
      <c r="EF378" s="1070">
        <f>SUM(ED378:EE378)</f>
        <v>83.536233479410242</v>
      </c>
      <c r="EG378" s="233">
        <f>EG375*EG354/1000000</f>
        <v>44.971922465732291</v>
      </c>
      <c r="EH378" s="233">
        <f>EH375*EH354/1000000</f>
        <v>42.440392247122595</v>
      </c>
      <c r="EI378" s="1070">
        <f>SUM(EG378:EH378)</f>
        <v>87.412314712854879</v>
      </c>
      <c r="EJ378" s="233">
        <f>EJ375*EJ354/1000000</f>
        <v>47.058619668142263</v>
      </c>
      <c r="EK378" s="233">
        <f>EK375*EK354/1000000</f>
        <v>44.40962644738908</v>
      </c>
      <c r="EL378" s="1070">
        <f>SUM(EJ378:EK378)</f>
        <v>91.468246115531343</v>
      </c>
      <c r="EM378" s="233">
        <f>EM375*EM354/1000000</f>
        <v>49.242139620744062</v>
      </c>
      <c r="EN378" s="233">
        <f>EN375*EN354/1000000</f>
        <v>46.470233114547938</v>
      </c>
      <c r="EO378" s="1070">
        <f>SUM(EM378:EN378)</f>
        <v>95.712372735292007</v>
      </c>
      <c r="EP378" s="233">
        <f>EP375*EP354/1000000</f>
        <v>51.526974899146595</v>
      </c>
      <c r="EQ378" s="233">
        <f>EQ375*EQ354/1000000</f>
        <v>48.626451931062959</v>
      </c>
      <c r="ER378" s="1070">
        <f>SUM(EP378:EQ378)</f>
        <v>100.15342683020955</v>
      </c>
      <c r="ES378" s="233">
        <f>ES375*ES354/1000000</f>
        <v>53.917826534467004</v>
      </c>
      <c r="ET378" s="233">
        <f>ET375*ET354/1000000</f>
        <v>50.882719300664284</v>
      </c>
      <c r="EU378" s="1070">
        <f>SUM(ES378:ET378)</f>
        <v>104.80054583513129</v>
      </c>
      <c r="EV378" s="233">
        <f>EV375*EV354/1000000</f>
        <v>56.419613685666278</v>
      </c>
      <c r="EW378" s="233">
        <f>EW375*EW354/1000000</f>
        <v>53.243677476215112</v>
      </c>
      <c r="EX378" s="1070">
        <f>SUM(EV378:EW378)</f>
        <v>109.66329116188139</v>
      </c>
      <c r="EY378" s="233">
        <f>EY375*EY354/1000000</f>
        <v>59.037483760681198</v>
      </c>
      <c r="EZ378" s="233">
        <f>EZ375*EZ354/1000000</f>
        <v>55.714184111111486</v>
      </c>
      <c r="FA378" s="1070">
        <f>SUM(EY378:EZ378)</f>
        <v>114.75166787179268</v>
      </c>
      <c r="FH378" s="35"/>
      <c r="FI378" s="35"/>
      <c r="FJ378" s="35"/>
      <c r="FK378" s="35"/>
      <c r="FL378" s="35"/>
      <c r="FM378" s="35"/>
      <c r="FN378" s="35"/>
      <c r="FO378" s="35"/>
      <c r="FP378" s="35"/>
      <c r="FQ378" s="35"/>
    </row>
    <row r="379" spans="1:173" s="321" customFormat="1" outlineLevel="1">
      <c r="A379" s="1168"/>
      <c r="B379" s="186" t="s">
        <v>486</v>
      </c>
      <c r="C379" s="35"/>
      <c r="D379" s="910" t="s">
        <v>604</v>
      </c>
      <c r="E379" s="190"/>
      <c r="F379" s="190"/>
      <c r="G379" s="190"/>
      <c r="H379" s="190"/>
      <c r="I379" s="190"/>
      <c r="J379" s="190"/>
      <c r="K379" s="190"/>
      <c r="L379" s="190"/>
      <c r="M379" s="190"/>
      <c r="N379" s="190"/>
      <c r="O379" s="190"/>
      <c r="P379" s="190"/>
      <c r="Q379" s="190"/>
      <c r="R379" s="190"/>
      <c r="S379" s="190"/>
      <c r="T379" s="190"/>
      <c r="U379" s="190"/>
      <c r="V379" s="190"/>
      <c r="W379" s="190"/>
      <c r="X379" s="190"/>
      <c r="Y379" s="190"/>
      <c r="Z379" s="190"/>
      <c r="AA379" s="190"/>
      <c r="AB379" s="190"/>
      <c r="AC379" s="190"/>
      <c r="AD379" s="190"/>
      <c r="AE379" s="190"/>
      <c r="AF379" s="190"/>
      <c r="AG379" s="190"/>
      <c r="AH379" s="190"/>
      <c r="AI379" s="190"/>
      <c r="AJ379" s="190"/>
      <c r="AK379" s="190"/>
      <c r="AL379" s="190"/>
      <c r="AM379" s="190"/>
      <c r="AN379" s="190"/>
      <c r="AO379" s="190"/>
      <c r="AP379" s="190"/>
      <c r="AQ379" s="190"/>
      <c r="AR379" s="190"/>
      <c r="AS379" s="190"/>
      <c r="AT379" s="190"/>
      <c r="AU379" s="190"/>
      <c r="AV379" s="190"/>
      <c r="AW379" s="190"/>
      <c r="AX379" s="190"/>
      <c r="AY379" s="190"/>
      <c r="AZ379" s="190"/>
      <c r="BA379" s="190"/>
      <c r="BB379" s="190"/>
      <c r="BC379" s="973"/>
      <c r="BD379" s="190"/>
      <c r="BE379" s="35"/>
      <c r="BF379" s="31"/>
      <c r="BG379" s="439"/>
      <c r="BH379" s="83"/>
      <c r="BI379" s="973"/>
      <c r="BJ379" s="190"/>
      <c r="BK379" s="190"/>
      <c r="BL379" s="973"/>
      <c r="BM379" s="70">
        <f>BM359-BM378</f>
        <v>22.997793273473217</v>
      </c>
      <c r="BN379" s="70">
        <f>BN359-BN378</f>
        <v>25.17909380151147</v>
      </c>
      <c r="BO379" s="1024">
        <f>SUM(BM379:BN379)</f>
        <v>48.176887074984691</v>
      </c>
      <c r="BP379" s="70">
        <f>BP359-BP378</f>
        <v>26.126523992301376</v>
      </c>
      <c r="BQ379" s="70">
        <f>BQ359-BQ378</f>
        <v>21.167037774759784</v>
      </c>
      <c r="BR379" s="1024">
        <f>SUM(BP379:BQ379)</f>
        <v>47.293561767061163</v>
      </c>
      <c r="BS379" s="70">
        <f>BS359-BS378</f>
        <v>27.323102730759842</v>
      </c>
      <c r="BT379" s="70">
        <f>BT359-BT378</f>
        <v>21.073427210608209</v>
      </c>
      <c r="BU379" s="70">
        <f>SUM(BS379:BT379)</f>
        <v>48.396529941368051</v>
      </c>
      <c r="BV379" s="70">
        <f>BV359-BV378</f>
        <v>27.192876853468643</v>
      </c>
      <c r="BW379" s="70">
        <f>BW359-BW378</f>
        <v>30.648230985894855</v>
      </c>
      <c r="BX379" s="70">
        <f>SUM(BV379:BW379)</f>
        <v>57.841107839363502</v>
      </c>
      <c r="BY379" s="70">
        <f>BY359-BY378</f>
        <v>27.786938321248666</v>
      </c>
      <c r="BZ379" s="70">
        <f>BZ359-BZ378</f>
        <v>30.069823332547283</v>
      </c>
      <c r="CA379" s="70">
        <f>SUM(BY379:BZ379)</f>
        <v>57.856761653795949</v>
      </c>
      <c r="CB379" s="70">
        <f>CB359-CB378</f>
        <v>33.979673795626638</v>
      </c>
      <c r="CC379" s="70">
        <f>CC359-CC378</f>
        <v>32.637892554559812</v>
      </c>
      <c r="CD379" s="70">
        <f>SUM(CB379:CC379)</f>
        <v>66.617566350186451</v>
      </c>
      <c r="CE379" s="70">
        <f>CE359-CE378</f>
        <v>33.038106568547782</v>
      </c>
      <c r="CF379" s="70">
        <f>CF359-CF378</f>
        <v>35.991427869796773</v>
      </c>
      <c r="CG379" s="70">
        <f>SUM(CE379:CF379)</f>
        <v>69.029534438344555</v>
      </c>
      <c r="CH379" s="70">
        <f>CH359-CH378</f>
        <v>29.784319244786726</v>
      </c>
      <c r="CI379" s="70">
        <f>CI359-CI378</f>
        <v>41.062632874940533</v>
      </c>
      <c r="CJ379" s="70">
        <f>SUM(CH379:CI379)</f>
        <v>70.846952119727263</v>
      </c>
      <c r="CK379" s="70">
        <f>CK359-CK378</f>
        <v>41.127014161669635</v>
      </c>
      <c r="CL379" s="70">
        <f>CL359-CL378</f>
        <v>40.012352454675067</v>
      </c>
      <c r="CM379" s="70">
        <f>SUM(CK379:CL379)</f>
        <v>81.139366616344702</v>
      </c>
      <c r="CN379" s="70">
        <f>CN359-CN378</f>
        <v>33.185939470443792</v>
      </c>
      <c r="CO379" s="70">
        <f>CO359-CO378</f>
        <v>54.69555804069563</v>
      </c>
      <c r="CP379" s="70">
        <f>SUM(CN379:CO379)</f>
        <v>87.881497511139429</v>
      </c>
      <c r="CQ379" s="70">
        <f>CQ359-CQ378</f>
        <v>46.548986040917541</v>
      </c>
      <c r="CR379" s="70">
        <f>CR359-CR378</f>
        <v>68.108333559108814</v>
      </c>
      <c r="CS379" s="70">
        <f>SUM(CQ379:CR379)</f>
        <v>114.65731960002636</v>
      </c>
      <c r="CT379" s="70">
        <f>CT359-CT378</f>
        <v>61.372347617576807</v>
      </c>
      <c r="CU379" s="70">
        <f>CU359-CU378</f>
        <v>68.146946304937245</v>
      </c>
      <c r="CV379" s="70">
        <f>SUM(CT379:CU379)</f>
        <v>129.51929392251407</v>
      </c>
      <c r="CW379" s="70">
        <f>CW359-CW378</f>
        <v>64.064364917318471</v>
      </c>
      <c r="CX379" s="70">
        <f>CX359-CX378</f>
        <v>75.252501724801235</v>
      </c>
      <c r="CY379" s="70">
        <f>SUM(CW379:CX379)</f>
        <v>139.31686664211969</v>
      </c>
      <c r="CZ379" s="70">
        <f>CZ359-CZ378</f>
        <v>59.427356032223742</v>
      </c>
      <c r="DA379" s="70">
        <f>DA359-DA378</f>
        <v>87.599363491269912</v>
      </c>
      <c r="DB379" s="70">
        <f>SUM(CZ379:DA379)</f>
        <v>147.02671952349365</v>
      </c>
      <c r="DC379" s="70">
        <f>DC359-DC378</f>
        <v>70.270347094517561</v>
      </c>
      <c r="DD379" s="70">
        <f>DD359-DD378</f>
        <v>91.275642352204954</v>
      </c>
      <c r="DE379" s="70">
        <f>SUM(DC379:DD379)</f>
        <v>161.5459894467225</v>
      </c>
      <c r="DF379" s="70">
        <f>DF359-DF378</f>
        <v>83.59793477986149</v>
      </c>
      <c r="DG379" s="70">
        <f>DG359-DG378</f>
        <v>61.280093485566539</v>
      </c>
      <c r="DH379" s="1070">
        <f>SUM(DF379:DG379)</f>
        <v>144.87802826542804</v>
      </c>
      <c r="DI379" s="70">
        <f>DI359-DI378</f>
        <v>54.341421591005556</v>
      </c>
      <c r="DJ379" s="70">
        <f>DJ359-DJ378</f>
        <v>48.875721235840672</v>
      </c>
      <c r="DK379" s="1070">
        <f>SUM(DI379:DJ379)</f>
        <v>103.21714282684623</v>
      </c>
      <c r="DL379" s="233">
        <f>DL359-DL378</f>
        <v>55.65504667446956</v>
      </c>
      <c r="DM379" s="233">
        <f>DM359-DM378</f>
        <v>58.675927509980639</v>
      </c>
      <c r="DN379" s="1070">
        <f>SUM(DL379:DM379)</f>
        <v>114.3309741844502</v>
      </c>
      <c r="DO379" s="233">
        <f>DO359-DO378</f>
        <v>64.590929372885768</v>
      </c>
      <c r="DP379" s="233">
        <f>DP359-DP378</f>
        <v>69.000147331926257</v>
      </c>
      <c r="DQ379" s="1070">
        <f>SUM(DO379:DP379)</f>
        <v>133.59107670481202</v>
      </c>
      <c r="DR379" s="233">
        <f>DR359-DR378</f>
        <v>71.316520460604863</v>
      </c>
      <c r="DS379" s="233">
        <f>DS359-DS378</f>
        <v>84.135052167406627</v>
      </c>
      <c r="DT379" s="1070">
        <f>SUM(DR379:DS379)</f>
        <v>155.45157262801149</v>
      </c>
      <c r="DU379" s="233">
        <f>DU359-DU378</f>
        <v>103.15146237546078</v>
      </c>
      <c r="DV379" s="233">
        <f>DV359-DV378</f>
        <v>90.985440061962976</v>
      </c>
      <c r="DW379" s="1070">
        <f>SUM(DU379:DV379)</f>
        <v>194.13690243742377</v>
      </c>
      <c r="DX379" s="233">
        <f>DX359-DX378</f>
        <v>92.278503249792436</v>
      </c>
      <c r="DY379" s="233">
        <f>DY359-DY378</f>
        <v>118.43097493833019</v>
      </c>
      <c r="DZ379" s="1070">
        <f>SUM(DX379:DY379)</f>
        <v>210.70947818812263</v>
      </c>
      <c r="EA379" s="233">
        <f>EA359-EA378</f>
        <v>127.79729288661802</v>
      </c>
      <c r="EB379" s="233">
        <f>EB359-EB378</f>
        <v>128.3361437745076</v>
      </c>
      <c r="EC379" s="1070">
        <f>SUM(EA379:EB379)</f>
        <v>256.13343666112564</v>
      </c>
      <c r="ED379" s="233">
        <f>ED359-ED378</f>
        <v>141.08978902349588</v>
      </c>
      <c r="EE379" s="233">
        <f>EE359-EE378</f>
        <v>141.57633333210649</v>
      </c>
      <c r="EF379" s="1070">
        <f>SUM(ED379:EE379)</f>
        <v>282.6661223556024</v>
      </c>
      <c r="EG379" s="233">
        <f>EG359-EG378</f>
        <v>155.66170013834937</v>
      </c>
      <c r="EH379" s="233">
        <f>EH359-EH378</f>
        <v>156.08655300895953</v>
      </c>
      <c r="EI379" s="1070">
        <f>SUM(EG379:EH379)</f>
        <v>311.7482531473089</v>
      </c>
      <c r="EJ379" s="233">
        <f>EJ359-EJ378</f>
        <v>171.63202897030675</v>
      </c>
      <c r="EK379" s="233">
        <f>EK359-EK378</f>
        <v>171.98474388174043</v>
      </c>
      <c r="EL379" s="1070">
        <f>SUM(EJ379:EK379)</f>
        <v>343.61677285204718</v>
      </c>
      <c r="EM379" s="233">
        <f>EM359-EM378</f>
        <v>189.13066739516537</v>
      </c>
      <c r="EN379" s="233">
        <f>EN359-EN378</f>
        <v>189.39963054420326</v>
      </c>
      <c r="EO379" s="1070">
        <f>SUM(EM379:EN379)</f>
        <v>378.53029793936867</v>
      </c>
      <c r="EP379" s="233">
        <f>EP359-EP378</f>
        <v>208.29938474819477</v>
      </c>
      <c r="EQ379" s="233">
        <f>EQ359-EQ378</f>
        <v>208.47169945697584</v>
      </c>
      <c r="ER379" s="1070">
        <f>SUM(EP379:EQ379)</f>
        <v>416.77108420517061</v>
      </c>
      <c r="ES379" s="233">
        <f>ES359-ES378</f>
        <v>229.29290548113511</v>
      </c>
      <c r="ET379" s="233">
        <f>ET359-ET378</f>
        <v>229.354265712298</v>
      </c>
      <c r="EU379" s="1070">
        <f>SUM(ES379:ET379)</f>
        <v>458.64717119343311</v>
      </c>
      <c r="EV379" s="233">
        <f>EV359-EV378</f>
        <v>252.28008421134007</v>
      </c>
      <c r="EW379" s="233">
        <f>EW359-EW378</f>
        <v>252.21463618791381</v>
      </c>
      <c r="EX379" s="1070">
        <f>SUM(EV379:EW379)</f>
        <v>504.49472039925388</v>
      </c>
      <c r="EY379" s="233">
        <f>EY359-EY378</f>
        <v>277.44518694705573</v>
      </c>
      <c r="EZ379" s="233">
        <f>EZ359-EZ378</f>
        <v>277.23537778278904</v>
      </c>
      <c r="FA379" s="1070">
        <f>SUM(EY379:EZ379)</f>
        <v>554.68056472984472</v>
      </c>
      <c r="FH379" s="35"/>
      <c r="FI379" s="35"/>
      <c r="FJ379" s="35"/>
      <c r="FK379" s="35"/>
      <c r="FL379" s="35"/>
      <c r="FM379" s="35"/>
      <c r="FN379" s="35"/>
      <c r="FO379" s="35"/>
      <c r="FP379" s="35"/>
      <c r="FQ379" s="35"/>
    </row>
    <row r="380" spans="1:173" outlineLevel="1">
      <c r="B380" s="35" t="s">
        <v>487</v>
      </c>
      <c r="D380" s="926" t="s">
        <v>460</v>
      </c>
      <c r="BA380" s="35"/>
      <c r="BB380" s="35"/>
      <c r="BD380" s="35"/>
      <c r="BE380" s="35"/>
      <c r="BG380" s="35"/>
      <c r="BH380" s="35"/>
      <c r="BJ380" s="35"/>
      <c r="BK380" s="35"/>
      <c r="BL380" s="31"/>
      <c r="BM380" s="65">
        <f t="shared" ref="BM380:CR380" si="2111">BM379/BM359</f>
        <v>0.86275127786287809</v>
      </c>
      <c r="BN380" s="65">
        <f t="shared" si="2111"/>
        <v>0.84264525063612805</v>
      </c>
      <c r="BO380" s="64">
        <f t="shared" si="2111"/>
        <v>0.8521248794336409</v>
      </c>
      <c r="BP380" s="65">
        <f t="shared" si="2111"/>
        <v>0.84901130677984393</v>
      </c>
      <c r="BQ380" s="65">
        <f t="shared" si="2111"/>
        <v>0.81087169547611548</v>
      </c>
      <c r="BR380" s="64">
        <f t="shared" si="2111"/>
        <v>0.83150687458378469</v>
      </c>
      <c r="BS380" s="65">
        <f t="shared" si="2111"/>
        <v>0.7538170791896851</v>
      </c>
      <c r="BT380" s="65">
        <f t="shared" si="2111"/>
        <v>0.68984942726413256</v>
      </c>
      <c r="BU380" s="65">
        <f t="shared" si="2111"/>
        <v>0.72456191423710181</v>
      </c>
      <c r="BV380" s="65">
        <f t="shared" si="2111"/>
        <v>0.74246154239743156</v>
      </c>
      <c r="BW380" s="65">
        <f t="shared" si="2111"/>
        <v>0.73730411381380601</v>
      </c>
      <c r="BX380" s="65">
        <f t="shared" si="2111"/>
        <v>0.73971982534046732</v>
      </c>
      <c r="BY380" s="65">
        <f t="shared" si="2111"/>
        <v>0.72008968940409124</v>
      </c>
      <c r="BZ380" s="65">
        <f t="shared" si="2111"/>
        <v>0.72630604303665935</v>
      </c>
      <c r="CA380" s="65">
        <f t="shared" si="2111"/>
        <v>0.72330716734581357</v>
      </c>
      <c r="CB380" s="65">
        <f t="shared" si="2111"/>
        <v>0.76156169498135273</v>
      </c>
      <c r="CC380" s="65">
        <f t="shared" si="2111"/>
        <v>0.6840210014160365</v>
      </c>
      <c r="CD380" s="65">
        <f t="shared" si="2111"/>
        <v>0.72149120684958135</v>
      </c>
      <c r="CE380" s="65">
        <f t="shared" si="2111"/>
        <v>0.72606652890246748</v>
      </c>
      <c r="CF380" s="65">
        <f t="shared" si="2111"/>
        <v>0.66897115700841359</v>
      </c>
      <c r="CG380" s="65">
        <f t="shared" si="2111"/>
        <v>0.6951332670452387</v>
      </c>
      <c r="CH380" s="65">
        <f t="shared" si="2111"/>
        <v>0.70570919996735981</v>
      </c>
      <c r="CI380" s="65">
        <f t="shared" si="2111"/>
        <v>0.7395755550008225</v>
      </c>
      <c r="CJ380" s="65">
        <f t="shared" si="2111"/>
        <v>0.72494983879257469</v>
      </c>
      <c r="CK380" s="65">
        <f t="shared" si="2111"/>
        <v>0.65004647044089092</v>
      </c>
      <c r="CL380" s="65">
        <f t="shared" si="2111"/>
        <v>0.65815913614301014</v>
      </c>
      <c r="CM380" s="65">
        <f t="shared" si="2111"/>
        <v>0.65402193100943418</v>
      </c>
      <c r="CN380" s="65">
        <f t="shared" si="2111"/>
        <v>0.67462268387789781</v>
      </c>
      <c r="CO380" s="65">
        <f t="shared" si="2111"/>
        <v>0.71903504812398966</v>
      </c>
      <c r="CP380" s="65">
        <f t="shared" si="2111"/>
        <v>0.70159349423384287</v>
      </c>
      <c r="CQ380" s="65">
        <f t="shared" si="2111"/>
        <v>0.85063131362663902</v>
      </c>
      <c r="CR380" s="65">
        <f t="shared" si="2111"/>
        <v>0.72499265905906307</v>
      </c>
      <c r="CS380" s="65">
        <f t="shared" ref="CS380:DU380" si="2112">CS379/CS359</f>
        <v>0.77123922177042903</v>
      </c>
      <c r="CT380" s="65">
        <f t="shared" si="2112"/>
        <v>0.71524930558321154</v>
      </c>
      <c r="CU380" s="65">
        <f t="shared" si="2112"/>
        <v>0.787580443590577</v>
      </c>
      <c r="CV380" s="65">
        <f t="shared" si="2112"/>
        <v>0.75156627406717802</v>
      </c>
      <c r="CW380" s="65">
        <f t="shared" si="2112"/>
        <v>0.76533683285709431</v>
      </c>
      <c r="CX380" s="65">
        <f t="shared" si="2112"/>
        <v>0.84366531927565491</v>
      </c>
      <c r="CY380" s="65">
        <f t="shared" si="2112"/>
        <v>0.80574453462683437</v>
      </c>
      <c r="CZ380" s="65">
        <f t="shared" si="2112"/>
        <v>0.83556260687512773</v>
      </c>
      <c r="DA380" s="65">
        <f t="shared" si="2112"/>
        <v>0.84022172453602639</v>
      </c>
      <c r="DB380" s="65">
        <f t="shared" si="2112"/>
        <v>0.83833229361086981</v>
      </c>
      <c r="DC380" s="65">
        <f t="shared" si="2112"/>
        <v>0.8366705892881785</v>
      </c>
      <c r="DD380" s="65">
        <f t="shared" si="2112"/>
        <v>0.86491018780198492</v>
      </c>
      <c r="DE380" s="65">
        <f t="shared" si="2112"/>
        <v>0.85239546985395998</v>
      </c>
      <c r="DF380" s="65">
        <f t="shared" si="2112"/>
        <v>0.83205829581897861</v>
      </c>
      <c r="DG380" s="65">
        <f t="shared" si="2112"/>
        <v>0.845140637176515</v>
      </c>
      <c r="DH380" s="1066">
        <f t="shared" si="2112"/>
        <v>0.83754207576267825</v>
      </c>
      <c r="DI380" s="65">
        <f t="shared" si="2112"/>
        <v>0.68550111886404663</v>
      </c>
      <c r="DJ380" s="65">
        <f t="shared" si="2112"/>
        <v>0.68123653265746376</v>
      </c>
      <c r="DK380" s="1066">
        <f t="shared" si="2112"/>
        <v>0.68347510220198915</v>
      </c>
      <c r="DL380" s="65">
        <f t="shared" si="2112"/>
        <v>0.70731556444013544</v>
      </c>
      <c r="DM380" s="65">
        <f t="shared" si="2112"/>
        <v>0.71091094423144086</v>
      </c>
      <c r="DN380" s="1066">
        <f t="shared" si="2112"/>
        <v>0.70915619884600745</v>
      </c>
      <c r="DO380" s="65">
        <f t="shared" si="2112"/>
        <v>0.69724413754330483</v>
      </c>
      <c r="DP380" s="65">
        <f t="shared" si="2112"/>
        <v>0.67084099532535768</v>
      </c>
      <c r="DQ380" s="1066">
        <f t="shared" si="2112"/>
        <v>0.68335250211354526</v>
      </c>
      <c r="DR380" s="65">
        <f t="shared" si="2112"/>
        <v>0.69767676782790411</v>
      </c>
      <c r="DS380" s="65">
        <f t="shared" si="2112"/>
        <v>0.72003602445881065</v>
      </c>
      <c r="DT380" s="1066">
        <f t="shared" si="2112"/>
        <v>0.70960292087080656</v>
      </c>
      <c r="DU380" s="65">
        <f t="shared" si="2112"/>
        <v>0.72736141373241336</v>
      </c>
      <c r="DV380" s="65">
        <f t="shared" ref="DV380:DX380" si="2113">DV379/DV359</f>
        <v>0.72420303748486226</v>
      </c>
      <c r="DW380" s="1066">
        <f t="shared" si="2113"/>
        <v>0.72587776591922837</v>
      </c>
      <c r="DX380" s="65">
        <f t="shared" si="2113"/>
        <v>0.72131299101449475</v>
      </c>
      <c r="DY380" s="65">
        <f t="shared" ref="DY380:ER380" si="2114">DY379/DY359</f>
        <v>0.75837257266372893</v>
      </c>
      <c r="DZ380" s="1066">
        <f t="shared" si="2114"/>
        <v>0.74168426514234176</v>
      </c>
      <c r="EA380" s="65">
        <f t="shared" si="2114"/>
        <v>0.75678224670355909</v>
      </c>
      <c r="EB380" s="65">
        <f t="shared" si="2114"/>
        <v>0.7680376697571798</v>
      </c>
      <c r="EC380" s="1066">
        <f t="shared" si="2114"/>
        <v>0.76238025646784779</v>
      </c>
      <c r="ED380" s="65">
        <f t="shared" si="2114"/>
        <v>0.7665109568354167</v>
      </c>
      <c r="EE380" s="65">
        <f t="shared" si="2114"/>
        <v>0.77731616296689254</v>
      </c>
      <c r="EF380" s="1066">
        <f t="shared" si="2114"/>
        <v>0.7718850462091339</v>
      </c>
      <c r="EG380" s="65">
        <f t="shared" si="2114"/>
        <v>0.77585051856200005</v>
      </c>
      <c r="EH380" s="65">
        <f t="shared" si="2114"/>
        <v>0.78622351644821686</v>
      </c>
      <c r="EI380" s="1066">
        <f t="shared" si="2114"/>
        <v>0.78100964436076847</v>
      </c>
      <c r="EJ380" s="65">
        <f t="shared" si="2114"/>
        <v>0.78481649781952012</v>
      </c>
      <c r="EK380" s="65">
        <f t="shared" si="2114"/>
        <v>0.79477457579028821</v>
      </c>
      <c r="EL380" s="1066">
        <f t="shared" si="2114"/>
        <v>0.78976925858633773</v>
      </c>
      <c r="EM380" s="65">
        <f t="shared" si="2114"/>
        <v>0.79342383790673932</v>
      </c>
      <c r="EN380" s="65">
        <f t="shared" si="2114"/>
        <v>0.8029835927586767</v>
      </c>
      <c r="EO380" s="1066">
        <f t="shared" si="2114"/>
        <v>0.79817848824288429</v>
      </c>
      <c r="EP380" s="65">
        <f t="shared" si="2114"/>
        <v>0.80168688439046976</v>
      </c>
      <c r="EQ380" s="65">
        <f t="shared" si="2114"/>
        <v>0.81086424904832965</v>
      </c>
      <c r="ER380" s="1066">
        <f t="shared" si="2114"/>
        <v>0.80625134871316884</v>
      </c>
      <c r="ES380" s="65">
        <f t="shared" ref="ES380:EX380" si="2115">ES379/ES359</f>
        <v>0.80961940901485097</v>
      </c>
      <c r="ET380" s="65">
        <f t="shared" si="2115"/>
        <v>0.81842967908639641</v>
      </c>
      <c r="EU380" s="1066">
        <f t="shared" si="2115"/>
        <v>0.81400129476464211</v>
      </c>
      <c r="EV380" s="65">
        <f t="shared" si="2115"/>
        <v>0.817234632654257</v>
      </c>
      <c r="EW380" s="65">
        <f t="shared" si="2115"/>
        <v>0.82569249192294059</v>
      </c>
      <c r="EX380" s="1066">
        <f t="shared" si="2115"/>
        <v>0.82144124297405641</v>
      </c>
      <c r="EY380" s="65">
        <f t="shared" ref="EY380:FA380" si="2116">EY379/EY359</f>
        <v>0.82454524734808665</v>
      </c>
      <c r="EZ380" s="65">
        <f t="shared" si="2116"/>
        <v>0.83266479224602297</v>
      </c>
      <c r="FA380" s="1066">
        <f t="shared" si="2116"/>
        <v>0.82858359325509412</v>
      </c>
    </row>
    <row r="381" spans="1:173" outlineLevel="1">
      <c r="B381" s="31"/>
      <c r="D381" s="926"/>
      <c r="BA381" s="35"/>
      <c r="BB381" s="35"/>
      <c r="BD381" s="35"/>
      <c r="BE381" s="35"/>
      <c r="BG381" s="70"/>
      <c r="BH381" s="70"/>
      <c r="BJ381" s="35"/>
      <c r="BK381" s="35"/>
      <c r="BL381" s="31"/>
      <c r="BM381" s="65"/>
      <c r="BN381" s="65"/>
      <c r="BO381" s="64"/>
      <c r="BP381" s="65"/>
      <c r="BQ381" s="65"/>
      <c r="BR381" s="64"/>
      <c r="BS381" s="65"/>
      <c r="BT381" s="65"/>
      <c r="BU381" s="65"/>
      <c r="BV381" s="65"/>
      <c r="BW381" s="65"/>
      <c r="BX381" s="65"/>
      <c r="BY381" s="65"/>
      <c r="BZ381" s="65"/>
      <c r="CA381" s="65"/>
      <c r="CB381" s="65"/>
      <c r="CC381" s="65"/>
      <c r="CD381" s="65"/>
      <c r="CE381" s="65"/>
      <c r="CF381" s="65"/>
      <c r="CG381" s="65"/>
      <c r="CH381" s="65"/>
      <c r="CI381" s="65"/>
      <c r="CJ381" s="65"/>
      <c r="CK381" s="65"/>
      <c r="CL381" s="65"/>
      <c r="CM381" s="65"/>
      <c r="CN381" s="65"/>
      <c r="CO381" s="65"/>
      <c r="CP381" s="65"/>
      <c r="CQ381" s="65"/>
      <c r="CR381" s="65"/>
      <c r="CS381" s="65"/>
      <c r="CT381" s="65"/>
      <c r="CU381" s="65"/>
      <c r="CV381" s="65"/>
      <c r="CW381" s="65"/>
      <c r="CX381" s="65"/>
      <c r="CY381" s="255">
        <f>+CY130</f>
        <v>358.42680163124737</v>
      </c>
      <c r="CZ381" s="65"/>
      <c r="DA381" s="65"/>
      <c r="DB381" s="65"/>
      <c r="DC381" s="65"/>
      <c r="DD381" s="65"/>
      <c r="DE381" s="65"/>
      <c r="DF381" s="65"/>
      <c r="DG381" s="65"/>
      <c r="DH381" s="1066"/>
      <c r="DI381" s="255"/>
      <c r="DJ381" s="65"/>
      <c r="DK381" s="1066"/>
      <c r="DL381" s="65"/>
      <c r="DM381" s="65"/>
      <c r="DN381" s="1066"/>
      <c r="DO381" s="65"/>
      <c r="DP381" s="65"/>
      <c r="DQ381" s="1066"/>
      <c r="DR381" s="65"/>
      <c r="DS381" s="65"/>
      <c r="DT381" s="1066"/>
      <c r="DU381" s="65"/>
      <c r="DV381" s="65"/>
      <c r="DW381" s="1066"/>
      <c r="DX381" s="65"/>
      <c r="DY381" s="65"/>
      <c r="DZ381" s="1066"/>
      <c r="EA381" s="65"/>
      <c r="EB381" s="65"/>
      <c r="EC381" s="1066"/>
      <c r="ED381" s="65"/>
      <c r="EE381" s="65"/>
      <c r="EF381" s="1066"/>
      <c r="EG381" s="65"/>
      <c r="EH381" s="65"/>
      <c r="EI381" s="1066"/>
      <c r="EJ381" s="65"/>
      <c r="EK381" s="65"/>
      <c r="EL381" s="1066"/>
      <c r="EM381" s="65"/>
      <c r="EN381" s="65"/>
      <c r="EO381" s="1066"/>
      <c r="EP381" s="65"/>
      <c r="EQ381" s="65"/>
      <c r="ER381" s="1066"/>
      <c r="ES381" s="65"/>
      <c r="ET381" s="65"/>
      <c r="EU381" s="1066"/>
      <c r="EV381" s="65"/>
      <c r="EW381" s="65"/>
      <c r="EX381" s="1066"/>
      <c r="EY381" s="65"/>
      <c r="EZ381" s="65"/>
      <c r="FA381" s="1066"/>
    </row>
    <row r="382" spans="1:173" ht="11.25" customHeight="1" outlineLevel="1">
      <c r="B382" s="68" t="s">
        <v>738</v>
      </c>
      <c r="BA382" s="35"/>
      <c r="BB382" s="35"/>
      <c r="BD382" s="35"/>
      <c r="BE382" s="35"/>
      <c r="BG382" s="189"/>
      <c r="BH382" s="189"/>
      <c r="BJ382" s="35"/>
      <c r="BK382" s="35"/>
      <c r="BL382" s="31"/>
      <c r="BM382" s="35"/>
      <c r="BN382" s="35"/>
      <c r="BO382" s="31"/>
      <c r="BP382" s="35"/>
      <c r="BQ382" s="35"/>
      <c r="BR382" s="31"/>
      <c r="BS382" s="35"/>
      <c r="BT382" s="35"/>
      <c r="BV382" s="35"/>
      <c r="BW382" s="35"/>
      <c r="BY382" s="35"/>
      <c r="BZ382" s="35"/>
      <c r="CB382" s="35"/>
      <c r="CC382" s="35"/>
      <c r="CE382" s="35"/>
      <c r="CF382" s="35"/>
      <c r="CH382" s="35"/>
      <c r="CI382" s="35"/>
      <c r="CK382" s="35"/>
      <c r="CL382" s="35"/>
      <c r="CN382" s="35"/>
      <c r="CO382" s="35"/>
      <c r="CQ382" s="35"/>
      <c r="CR382" s="35"/>
      <c r="CT382" s="35"/>
      <c r="CU382" s="35"/>
      <c r="CW382" s="35"/>
      <c r="CX382" s="35"/>
      <c r="CZ382" s="35"/>
      <c r="DA382" s="35"/>
      <c r="DC382" s="35"/>
      <c r="DD382" s="35"/>
      <c r="DF382" s="35"/>
      <c r="DG382" s="35"/>
      <c r="DH382" s="1067"/>
      <c r="DI382" s="35"/>
      <c r="DJ382" s="35"/>
      <c r="DK382" s="1067"/>
      <c r="DL382" s="35"/>
      <c r="DM382" s="35"/>
      <c r="DN382" s="1067"/>
      <c r="DO382" s="35"/>
      <c r="DP382" s="35"/>
      <c r="DQ382" s="1067"/>
      <c r="DR382" s="35"/>
      <c r="DS382" s="35"/>
      <c r="DT382" s="1067"/>
      <c r="DU382" s="35"/>
      <c r="DV382" s="35"/>
      <c r="DW382" s="1067"/>
      <c r="DX382" s="35"/>
      <c r="DY382" s="35"/>
      <c r="DZ382" s="1067"/>
      <c r="EA382" s="35"/>
      <c r="EB382" s="35"/>
      <c r="EC382" s="1067"/>
      <c r="ED382" s="35"/>
      <c r="EE382" s="35"/>
      <c r="EF382" s="1067"/>
      <c r="EG382" s="35"/>
      <c r="EH382" s="35"/>
      <c r="EI382" s="1067"/>
      <c r="EJ382" s="35"/>
      <c r="EK382" s="35"/>
      <c r="EL382" s="1067"/>
      <c r="EM382" s="35"/>
      <c r="EN382" s="35"/>
      <c r="EO382" s="1067"/>
      <c r="EP382" s="35"/>
      <c r="EQ382" s="35"/>
      <c r="ER382" s="1067"/>
      <c r="ES382" s="35"/>
      <c r="ET382" s="35"/>
      <c r="EU382" s="1067"/>
      <c r="EV382" s="35"/>
      <c r="EW382" s="35"/>
      <c r="EX382" s="1067"/>
      <c r="EY382" s="35"/>
      <c r="EZ382" s="35"/>
      <c r="FA382" s="1067"/>
    </row>
    <row r="383" spans="1:173" s="321" customFormat="1" outlineLevel="1">
      <c r="A383" s="1173"/>
      <c r="B383" s="321" t="s">
        <v>791</v>
      </c>
      <c r="C383" s="186"/>
      <c r="D383" s="910" t="s">
        <v>855</v>
      </c>
      <c r="E383" s="186"/>
      <c r="F383" s="186"/>
      <c r="G383" s="186"/>
      <c r="H383" s="186"/>
      <c r="I383" s="186"/>
      <c r="J383" s="186"/>
      <c r="K383" s="186"/>
      <c r="L383" s="186"/>
      <c r="M383" s="186"/>
      <c r="N383" s="186"/>
      <c r="O383" s="186"/>
      <c r="P383" s="186"/>
      <c r="Q383" s="186"/>
      <c r="R383" s="186"/>
      <c r="S383" s="186"/>
      <c r="T383" s="186"/>
      <c r="U383" s="186"/>
      <c r="V383" s="186"/>
      <c r="W383" s="186"/>
      <c r="X383" s="186"/>
      <c r="Y383" s="186"/>
      <c r="Z383" s="186"/>
      <c r="AA383" s="186"/>
      <c r="AB383" s="186"/>
      <c r="AC383" s="186"/>
      <c r="AD383" s="186"/>
      <c r="AE383" s="186"/>
      <c r="AF383" s="186"/>
      <c r="AG383" s="186"/>
      <c r="AH383" s="186"/>
      <c r="AI383" s="186"/>
      <c r="AJ383" s="186"/>
      <c r="AK383" s="186"/>
      <c r="AL383" s="186"/>
      <c r="AM383" s="186"/>
      <c r="AN383" s="186"/>
      <c r="AO383" s="186"/>
      <c r="AP383" s="186"/>
      <c r="AQ383" s="186"/>
      <c r="AR383" s="186"/>
      <c r="AS383" s="186"/>
      <c r="AT383" s="186"/>
      <c r="AU383" s="186"/>
      <c r="AV383" s="186"/>
      <c r="AW383" s="186"/>
      <c r="AX383" s="186"/>
      <c r="AY383" s="186"/>
      <c r="AZ383" s="186"/>
      <c r="BA383" s="186"/>
      <c r="BB383" s="186"/>
      <c r="BC383" s="331"/>
      <c r="BD383" s="186"/>
      <c r="BE383" s="186"/>
      <c r="BF383" s="331"/>
      <c r="BG383" s="186"/>
      <c r="BH383" s="186"/>
      <c r="BI383" s="331"/>
      <c r="BJ383" s="186"/>
      <c r="BK383" s="186"/>
      <c r="BL383" s="331"/>
      <c r="BM383" s="190">
        <v>7095.4973211760034</v>
      </c>
      <c r="BN383" s="190">
        <v>7095.4973211760034</v>
      </c>
      <c r="BO383" s="973">
        <f>BO386/BO87</f>
        <v>7349.1663159276468</v>
      </c>
      <c r="BP383" s="190">
        <f>BM383*(1+BP384)</f>
        <v>8869.3716514700045</v>
      </c>
      <c r="BQ383" s="190">
        <f>BN383*(1+BQ384)</f>
        <v>7450.2721872348038</v>
      </c>
      <c r="BR383" s="973">
        <f>BR386/BR87</f>
        <v>7799.4157062133045</v>
      </c>
      <c r="BS383" s="190">
        <f>BP383*(1+BS384)</f>
        <v>14123.909382053902</v>
      </c>
      <c r="BT383" s="190">
        <f>BQ383*(1+BT384)</f>
        <v>11438.026656580771</v>
      </c>
      <c r="BU383" s="190">
        <f>((BU387/BU87)/BU362)*1000000</f>
        <v>12675.892182692891</v>
      </c>
      <c r="BV383" s="190">
        <f>BS383*(1+BV384)</f>
        <v>14058.265040519709</v>
      </c>
      <c r="BW383" s="190">
        <f>BT383*(1+BW384)</f>
        <v>11364.535538392704</v>
      </c>
      <c r="BX383" s="190">
        <f>((BX387/BX87)/BX362)*1000000</f>
        <v>12606.354487925742</v>
      </c>
      <c r="BY383" s="190">
        <f>BV383*(1+BY384)</f>
        <v>16945.634666141457</v>
      </c>
      <c r="BZ383" s="190">
        <f>BW383*(1+BZ384)</f>
        <v>11209.864209715179</v>
      </c>
      <c r="CA383" s="190">
        <f>((CA387/CA87)/CA362)*1000000</f>
        <v>14405.888117084947</v>
      </c>
      <c r="CB383" s="190">
        <f>BY383*(1+CB384)</f>
        <v>15312.583853365406</v>
      </c>
      <c r="CC383" s="190">
        <f>BZ383*(1+CC384)</f>
        <v>12429.49743573219</v>
      </c>
      <c r="CD383" s="190">
        <f>((CD387/CD87)/CD362)*1000000</f>
        <v>13814.895070404102</v>
      </c>
      <c r="CE383" s="190">
        <f>CB383*(1+CE384)</f>
        <v>13203.045738806521</v>
      </c>
      <c r="CF383" s="190">
        <f>CC383*(1+CF384)</f>
        <v>12438.228305700679</v>
      </c>
      <c r="CG383" s="190">
        <f>((CG387/CG87)/CG362)*1000000</f>
        <v>13684.597752038771</v>
      </c>
      <c r="CH383" s="190">
        <f>CE383*(1+CH384)</f>
        <v>13069.562946387186</v>
      </c>
      <c r="CI383" s="190">
        <f>CF383*(1+CI384)</f>
        <v>10533.686787531791</v>
      </c>
      <c r="CJ383" s="190">
        <f>((CJ387/CJ87)/CJ362)*1000000</f>
        <v>11741.445165560579</v>
      </c>
      <c r="CK383" s="190">
        <f>CH383*(1+CK384)</f>
        <v>14637.91049995365</v>
      </c>
      <c r="CL383" s="190">
        <f>CK383</f>
        <v>14637.91049995365</v>
      </c>
      <c r="CM383" s="190">
        <f>((CM387/CM87)/CM362)*1000000</f>
        <v>14643.27761612406</v>
      </c>
      <c r="CN383" s="190">
        <f>CK383*(1+CN384)</f>
        <v>19366.600972597887</v>
      </c>
      <c r="CO383" s="190">
        <f>CL383*(1+CO384)</f>
        <v>15835.401701987197</v>
      </c>
      <c r="CP383" s="190">
        <f>((CP387/CP87)/CP362)*1000000</f>
        <v>16387.223570721562</v>
      </c>
      <c r="CQ383" s="190">
        <f>CN383*(1+CQ384)</f>
        <v>20459.705957100952</v>
      </c>
      <c r="CR383" s="190">
        <f>CO383*(1+CR384)</f>
        <v>22018.959238555246</v>
      </c>
      <c r="CS383" s="190">
        <f>((CS387/CS87)/CS362)*1000000</f>
        <v>21773.428247147964</v>
      </c>
      <c r="CT383" s="190">
        <f>CQ383*(1+CT384)</f>
        <v>20811.552987563176</v>
      </c>
      <c r="CU383" s="190">
        <f>CR383*(1+CU384)</f>
        <v>17330.902627074451</v>
      </c>
      <c r="CV383" s="190">
        <f>((CV387/CV87)/CV362)*1000000</f>
        <v>19070.653906272608</v>
      </c>
      <c r="CW383" s="190">
        <f>CT383*(1+CW384)</f>
        <v>18824.049677250892</v>
      </c>
      <c r="CX383" s="190">
        <f>CU383*(1+CX384)</f>
        <v>17729.513387497162</v>
      </c>
      <c r="CY383" s="190">
        <f>((CY387/CY87)/CY362)*1000000</f>
        <v>18250.25529346419</v>
      </c>
      <c r="CZ383" s="190">
        <f>CW383*(1+CZ384)</f>
        <v>18613.153287761212</v>
      </c>
      <c r="DA383" s="190">
        <f>CX383*(1+DA384)</f>
        <v>15593.301614231061</v>
      </c>
      <c r="DB383" s="190">
        <f>((DB387/DB87)/DB362)*1000000</f>
        <v>17086.941300029313</v>
      </c>
      <c r="DC383" s="190">
        <f>CZ383*(1+DC384)</f>
        <v>17748.227992421576</v>
      </c>
      <c r="DD383" s="190">
        <f>DA383*(1+DD384)</f>
        <v>15422.266578516752</v>
      </c>
      <c r="DE383" s="190">
        <f>((DE387/DE87)/DE362)*1000000</f>
        <v>16567.358957479089</v>
      </c>
      <c r="DF383" s="190">
        <f>DC383*(1+DF384)</f>
        <v>17623.990396474626</v>
      </c>
      <c r="DG383" s="190">
        <f>DD383*(1+DG384)</f>
        <v>17735.606565294263</v>
      </c>
      <c r="DH383" s="1060">
        <f>((DH387/DH87)/DH362)*1000000</f>
        <v>17688.445631647817</v>
      </c>
      <c r="DI383" s="190">
        <f>DF383*(1+DI384)</f>
        <v>21175.224461364265</v>
      </c>
      <c r="DJ383" s="190">
        <f>DG383*(1+DJ384)</f>
        <v>15908.839089068955</v>
      </c>
      <c r="DK383" s="1060">
        <f>((DK387/DK87)/DK362)*1000000</f>
        <v>18054.837880313371</v>
      </c>
      <c r="DL383" s="234">
        <f>DI383*(1+DL384)</f>
        <v>20539.967727523337</v>
      </c>
      <c r="DM383" s="234">
        <f>DJ383*(1+DM384)</f>
        <v>15272.485525506196</v>
      </c>
      <c r="DN383" s="1060">
        <f>((DN387/DN87)/DN362)*1000000</f>
        <v>17509.832731355986</v>
      </c>
      <c r="DO383" s="234">
        <f>DL383*(1+DO384)</f>
        <v>20026.468534335254</v>
      </c>
      <c r="DP383" s="234">
        <f>DM383*(1+DP384)</f>
        <v>19090.606906882746</v>
      </c>
      <c r="DQ383" s="1060">
        <f>((DQ387/DQ87)/DQ362)*1000000</f>
        <v>19457.301092870734</v>
      </c>
      <c r="DR383" s="234">
        <f>DO383*(1+DR384)</f>
        <v>22029.115387768779</v>
      </c>
      <c r="DS383" s="234">
        <f>DP383*(1+DS384)</f>
        <v>17181.546216194471</v>
      </c>
      <c r="DT383" s="1060">
        <f>((DT387/DT87)/DT362)*1000000</f>
        <v>18745.169516298436</v>
      </c>
      <c r="DU383" s="234">
        <f>DR383*(1+DU384)</f>
        <v>21147.950772258027</v>
      </c>
      <c r="DV383" s="234">
        <f>DS383*(1+DV384)</f>
        <v>15463.391594575023</v>
      </c>
      <c r="DW383" s="1060">
        <f>((DW387/DW87)/DW362)*1000000</f>
        <v>18103.353609157468</v>
      </c>
      <c r="DX383" s="234">
        <f>DU383*(1+DX384)</f>
        <v>20302.032741367704</v>
      </c>
      <c r="DY383" s="234">
        <f>DV383*(1+DY384)</f>
        <v>14844.855930792022</v>
      </c>
      <c r="DZ383" s="1060">
        <f>((DZ387/DZ87)/DZ362)*1000000</f>
        <v>17083.924655780949</v>
      </c>
      <c r="EA383" s="234">
        <f>DX383*(1+EA384)</f>
        <v>19489.951431712994</v>
      </c>
      <c r="EB383" s="234">
        <f>DY383*(1+EB384)</f>
        <v>14251.061693560341</v>
      </c>
      <c r="EC383" s="1060">
        <f>((EC387/EC87)/EC362)*1000000</f>
        <v>16471.340806630345</v>
      </c>
      <c r="ED383" s="234">
        <f>EA383*(1+ED384)</f>
        <v>18710.353374444472</v>
      </c>
      <c r="EE383" s="234">
        <f>EB383*(1+EE384)</f>
        <v>13681.019225817927</v>
      </c>
      <c r="EF383" s="1060">
        <f>((EF387/EF87)/EF362)*1000000</f>
        <v>15812.487174365129</v>
      </c>
      <c r="EG383" s="234">
        <f>ED383*(1+EG384)</f>
        <v>17961.939239466694</v>
      </c>
      <c r="EH383" s="234">
        <f>EE383*(1+EH384)</f>
        <v>13133.778456785209</v>
      </c>
      <c r="EI383" s="1060">
        <f>((EI387/EI87)/EI362)*1000000</f>
        <v>15179.987687390525</v>
      </c>
      <c r="EJ383" s="234">
        <f>EG383*(1+EJ384)</f>
        <v>17243.461669888027</v>
      </c>
      <c r="EK383" s="234">
        <f>EH383*(1+EK384)</f>
        <v>12608.427318513799</v>
      </c>
      <c r="EL383" s="1060">
        <f>((EL387/EL87)/EL362)*1000000</f>
        <v>14572.7881798949</v>
      </c>
      <c r="EM383" s="234">
        <f>EJ383*(1+EM384)</f>
        <v>16553.723203092504</v>
      </c>
      <c r="EN383" s="234">
        <f>EK383*(1+EN384)</f>
        <v>12104.090225773247</v>
      </c>
      <c r="EO383" s="1060">
        <f>((EO387/EO87)/EO362)*1000000</f>
        <v>13989.876652699106</v>
      </c>
      <c r="EP383" s="234">
        <f>EM383*(1+EP384)</f>
        <v>15891.574274968803</v>
      </c>
      <c r="EQ383" s="234">
        <f>EN383*(1+EQ384)</f>
        <v>11619.926616742316</v>
      </c>
      <c r="ER383" s="1060">
        <f>((ER387/ER87)/ER362)*1000000</f>
        <v>13430.28158659114</v>
      </c>
      <c r="ES383" s="234">
        <f>EP383*(1+ES384)</f>
        <v>15255.911303970051</v>
      </c>
      <c r="ET383" s="234">
        <f>EQ383*(1+ET384)</f>
        <v>11155.129552072623</v>
      </c>
      <c r="EU383" s="1060">
        <f>((EU387/EU87)/EU362)*1000000</f>
        <v>12893.070323127495</v>
      </c>
      <c r="EV383" s="234">
        <f>ES383*(1+EV384)</f>
        <v>14645.674851811249</v>
      </c>
      <c r="EW383" s="234">
        <f>ET383*(1+EW384)</f>
        <v>10708.924369989718</v>
      </c>
      <c r="EX383" s="1060">
        <f>((EX387/EX87)/EX362)*1000000</f>
        <v>12377.347510202393</v>
      </c>
      <c r="EY383" s="234">
        <f>EV383*(1+EY384)</f>
        <v>14059.847857738798</v>
      </c>
      <c r="EZ383" s="234">
        <f>EW383*(1+EZ384)</f>
        <v>10280.567395190128</v>
      </c>
      <c r="FA383" s="1060">
        <f>((FA387/FA87)/FA362)*1000000</f>
        <v>11882.253609794296</v>
      </c>
      <c r="FH383" s="35"/>
      <c r="FI383" s="35"/>
      <c r="FJ383" s="35"/>
      <c r="FK383" s="35"/>
      <c r="FL383" s="35"/>
      <c r="FM383" s="35"/>
      <c r="FN383" s="35"/>
      <c r="FO383" s="35"/>
      <c r="FP383" s="35"/>
      <c r="FQ383" s="35"/>
    </row>
    <row r="384" spans="1:173" s="321" customFormat="1" outlineLevel="1">
      <c r="A384" s="1173"/>
      <c r="B384" s="186" t="s">
        <v>753</v>
      </c>
      <c r="C384" s="186"/>
      <c r="D384" s="910" t="s">
        <v>460</v>
      </c>
      <c r="E384" s="1"/>
      <c r="F384" s="1"/>
      <c r="G384" s="5"/>
      <c r="H384" s="1"/>
      <c r="I384" s="1"/>
      <c r="J384" s="5"/>
      <c r="K384" s="1"/>
      <c r="L384" s="1"/>
      <c r="M384" s="5"/>
      <c r="N384" s="1"/>
      <c r="O384" s="1"/>
      <c r="P384" s="5"/>
      <c r="Q384" s="1"/>
      <c r="R384" s="1"/>
      <c r="S384" s="5"/>
      <c r="T384" s="1"/>
      <c r="U384" s="1"/>
      <c r="V384" s="5"/>
      <c r="W384" s="1"/>
      <c r="X384" s="1"/>
      <c r="Y384" s="5"/>
      <c r="Z384" s="1"/>
      <c r="AA384" s="1"/>
      <c r="AB384" s="5"/>
      <c r="AC384" s="1"/>
      <c r="AD384" s="1"/>
      <c r="AE384" s="5"/>
      <c r="AF384" s="1"/>
      <c r="AG384" s="1"/>
      <c r="AH384" s="5"/>
      <c r="AI384" s="1"/>
      <c r="AJ384" s="1"/>
      <c r="AK384" s="5"/>
      <c r="AL384" s="1"/>
      <c r="AM384" s="1"/>
      <c r="AN384" s="5"/>
      <c r="AO384" s="1"/>
      <c r="AP384" s="1"/>
      <c r="AQ384" s="5"/>
      <c r="AR384" s="1"/>
      <c r="AS384" s="1"/>
      <c r="AT384" s="5"/>
      <c r="AU384" s="1"/>
      <c r="AV384" s="1"/>
      <c r="AW384" s="5"/>
      <c r="AX384" s="1"/>
      <c r="AY384" s="1"/>
      <c r="AZ384" s="5"/>
      <c r="BA384" s="89"/>
      <c r="BB384" s="89"/>
      <c r="BC384" s="944"/>
      <c r="BD384" s="89"/>
      <c r="BE384" s="89"/>
      <c r="BF384" s="944"/>
      <c r="BG384" s="89"/>
      <c r="BH384" s="89"/>
      <c r="BI384" s="944"/>
      <c r="BJ384" s="108"/>
      <c r="BK384" s="108"/>
      <c r="BL384" s="109"/>
      <c r="BM384" s="108"/>
      <c r="BN384" s="108"/>
      <c r="BO384" s="109"/>
      <c r="BP384" s="121">
        <v>0.25</v>
      </c>
      <c r="BQ384" s="121">
        <v>0.05</v>
      </c>
      <c r="BR384" s="114">
        <f>BR383/BO383-1</f>
        <v>6.1265369557611526E-2</v>
      </c>
      <c r="BS384" s="4">
        <f>BS376</f>
        <v>0.59243630068348896</v>
      </c>
      <c r="BT384" s="4">
        <f>BT376</f>
        <v>0.5352495008408592</v>
      </c>
      <c r="BU384" s="10">
        <f>BU383/BR383-1</f>
        <v>0.62523612795697048</v>
      </c>
      <c r="BV384" s="4">
        <f>BV376</f>
        <v>-4.6477458725132891E-3</v>
      </c>
      <c r="BW384" s="4">
        <f>BW376</f>
        <v>-6.4251571004850325E-3</v>
      </c>
      <c r="BX384" s="10">
        <f>BX383/BU383-1</f>
        <v>-5.4858225176521724E-3</v>
      </c>
      <c r="BY384" s="4">
        <f>BY376</f>
        <v>0.20538591478390603</v>
      </c>
      <c r="BZ384" s="4">
        <f>BZ376</f>
        <v>-1.3610000000000001E-2</v>
      </c>
      <c r="CA384" s="10">
        <f>CA383/BX383-1</f>
        <v>0.14274813792383689</v>
      </c>
      <c r="CB384" s="4">
        <f>CB376</f>
        <v>-9.6369999999999997E-2</v>
      </c>
      <c r="CC384" s="4">
        <f>CC376</f>
        <v>0.10879999999999999</v>
      </c>
      <c r="CD384" s="10">
        <f>CD383/CA383-1</f>
        <v>-4.1024409038686427E-2</v>
      </c>
      <c r="CE384" s="4">
        <f>CE376</f>
        <v>-0.137765</v>
      </c>
      <c r="CF384" s="29">
        <v>7.024314549831101E-4</v>
      </c>
      <c r="CG384" s="10">
        <f>CG383/CD383-1</f>
        <v>-9.4316545801689244E-3</v>
      </c>
      <c r="CH384" s="29">
        <f>CH376</f>
        <v>-1.0109999999999999E-2</v>
      </c>
      <c r="CI384" s="29">
        <f>CI376</f>
        <v>-0.15312000000000001</v>
      </c>
      <c r="CJ384" s="185">
        <f>CJ383/CG383-1</f>
        <v>-0.14199559400192785</v>
      </c>
      <c r="CK384" s="29">
        <v>0.12</v>
      </c>
      <c r="CL384" s="29">
        <f>CL383/CI383-1</f>
        <v>0.38962841740081244</v>
      </c>
      <c r="CM384" s="185">
        <f>CM383/CJ383-1</f>
        <v>0.24714440255403924</v>
      </c>
      <c r="CN384" s="29">
        <f>CN376</f>
        <v>0.32304408970523563</v>
      </c>
      <c r="CO384" s="29">
        <f>CO376</f>
        <v>8.1807523145966676E-2</v>
      </c>
      <c r="CP384" s="185">
        <f>CP383/CM383-1</f>
        <v>0.11909532826702685</v>
      </c>
      <c r="CQ384" s="29">
        <f>CQ376</f>
        <v>5.644278962786077E-2</v>
      </c>
      <c r="CR384" s="29">
        <f>CR376</f>
        <v>0.39048946486732117</v>
      </c>
      <c r="CS384" s="185">
        <f>CS383/CP383-1</f>
        <v>0.32868317522986201</v>
      </c>
      <c r="CT384" s="29">
        <f>CT376</f>
        <v>1.7197071707675773E-2</v>
      </c>
      <c r="CU384" s="29">
        <f>CU376</f>
        <v>-0.21290999999999999</v>
      </c>
      <c r="CV384" s="185">
        <f>CV383/CS383-1</f>
        <v>-0.1241317770539595</v>
      </c>
      <c r="CW384" s="29">
        <f>CW376</f>
        <v>-9.5500000000000002E-2</v>
      </c>
      <c r="CX384" s="29">
        <f>CX376</f>
        <v>2.3E-2</v>
      </c>
      <c r="CY384" s="185">
        <f>CY383/CV383-1</f>
        <v>-4.3018903118921203E-2</v>
      </c>
      <c r="CZ384" s="29">
        <f>CZ376</f>
        <v>-1.1203561035251219E-2</v>
      </c>
      <c r="DA384" s="29">
        <f>DA376</f>
        <v>-0.12048902451956504</v>
      </c>
      <c r="DB384" s="185">
        <f>DB383/CY383-1</f>
        <v>-6.3742340845581724E-2</v>
      </c>
      <c r="DC384" s="29">
        <f>DC376</f>
        <v>-4.6468499021514759E-2</v>
      </c>
      <c r="DD384" s="29">
        <f>DD376</f>
        <v>-1.0968494033246649E-2</v>
      </c>
      <c r="DE384" s="185">
        <f>DE383/DB383-1</f>
        <v>-3.0408154006436039E-2</v>
      </c>
      <c r="DF384" s="29">
        <f>DF376</f>
        <v>-7.0000000000000001E-3</v>
      </c>
      <c r="DG384" s="29">
        <v>0.15</v>
      </c>
      <c r="DH384" s="1083">
        <f>DH383/DE383-1</f>
        <v>6.76684000778911E-2</v>
      </c>
      <c r="DI384" s="29">
        <f>DI376</f>
        <v>0.20150000000000001</v>
      </c>
      <c r="DJ384" s="29">
        <f>DJ376</f>
        <v>-0.10299999999999999</v>
      </c>
      <c r="DK384" s="1083">
        <f>DK383/DH383-1</f>
        <v>2.0713648688837516E-2</v>
      </c>
      <c r="DL384" s="1053">
        <v>-0.03</v>
      </c>
      <c r="DM384" s="1053">
        <v>-0.04</v>
      </c>
      <c r="DN384" s="1083">
        <f>DN383/DK383-1</f>
        <v>-3.0186100399807403E-2</v>
      </c>
      <c r="DO384" s="1053">
        <v>-2.5000000000000001E-2</v>
      </c>
      <c r="DP384" s="1053">
        <v>0.25</v>
      </c>
      <c r="DQ384" s="1083">
        <f>DQ383/DN383-1</f>
        <v>0.11122141435579169</v>
      </c>
      <c r="DR384" s="1053">
        <v>0.1</v>
      </c>
      <c r="DS384" s="1053">
        <v>-0.1</v>
      </c>
      <c r="DT384" s="1083">
        <f>DT383/DQ383-1</f>
        <v>-3.6599709958398452E-2</v>
      </c>
      <c r="DU384" s="1053">
        <f>DU376</f>
        <v>-0.04</v>
      </c>
      <c r="DV384" s="1053">
        <v>-0.1</v>
      </c>
      <c r="DW384" s="1083">
        <f>DW383/DT383-1</f>
        <v>-3.4239002564523391E-2</v>
      </c>
      <c r="DX384" s="1053">
        <f>DX376</f>
        <v>-0.04</v>
      </c>
      <c r="DY384" s="1053">
        <f>DX384</f>
        <v>-0.04</v>
      </c>
      <c r="DZ384" s="1083">
        <f>DZ383/DW383-1</f>
        <v>-5.6311608080220399E-2</v>
      </c>
      <c r="EA384" s="1053">
        <f>DX384</f>
        <v>-0.04</v>
      </c>
      <c r="EB384" s="1053">
        <f>DY384</f>
        <v>-0.04</v>
      </c>
      <c r="EC384" s="1083">
        <f>EC383/DZ383-1</f>
        <v>-3.585732561418864E-2</v>
      </c>
      <c r="ED384" s="1053">
        <f>EA384</f>
        <v>-0.04</v>
      </c>
      <c r="EE384" s="1053">
        <f>EB384</f>
        <v>-0.04</v>
      </c>
      <c r="EF384" s="1083">
        <f>EF383/EC383-1</f>
        <v>-4.0000000000000147E-2</v>
      </c>
      <c r="EG384" s="1053">
        <f>ED384</f>
        <v>-0.04</v>
      </c>
      <c r="EH384" s="1053">
        <f>EE384</f>
        <v>-0.04</v>
      </c>
      <c r="EI384" s="1083">
        <f>EI383/EF383-1</f>
        <v>-3.9999999999999925E-2</v>
      </c>
      <c r="EJ384" s="1053">
        <f>EG384</f>
        <v>-0.04</v>
      </c>
      <c r="EK384" s="1053">
        <f>EH384</f>
        <v>-0.04</v>
      </c>
      <c r="EL384" s="1083">
        <f>EL383/EI383-1</f>
        <v>-4.0000000000000258E-2</v>
      </c>
      <c r="EM384" s="1053">
        <f>EJ384</f>
        <v>-0.04</v>
      </c>
      <c r="EN384" s="1053">
        <f>EK384</f>
        <v>-0.04</v>
      </c>
      <c r="EO384" s="1083">
        <f>EO383/EL383-1</f>
        <v>-3.9999999999999925E-2</v>
      </c>
      <c r="EP384" s="1053">
        <f>EM384</f>
        <v>-0.04</v>
      </c>
      <c r="EQ384" s="1053">
        <f>EN384</f>
        <v>-0.04</v>
      </c>
      <c r="ER384" s="1083">
        <f>ER383/EO383-1</f>
        <v>-4.0000000000000147E-2</v>
      </c>
      <c r="ES384" s="1053">
        <f>EP384</f>
        <v>-0.04</v>
      </c>
      <c r="ET384" s="1053">
        <f>EQ384</f>
        <v>-0.04</v>
      </c>
      <c r="EU384" s="1083">
        <f>EU383/ER383-1</f>
        <v>-3.9999999999999925E-2</v>
      </c>
      <c r="EV384" s="1053">
        <f>ES384</f>
        <v>-0.04</v>
      </c>
      <c r="EW384" s="1053">
        <f>ET384</f>
        <v>-0.04</v>
      </c>
      <c r="EX384" s="1083">
        <f>EX383/EU383-1</f>
        <v>-4.0000000000000147E-2</v>
      </c>
      <c r="EY384" s="1053">
        <f>EV384</f>
        <v>-0.04</v>
      </c>
      <c r="EZ384" s="1053">
        <f>EW384</f>
        <v>-0.04</v>
      </c>
      <c r="FA384" s="1083">
        <f>FA383/EX383-1</f>
        <v>-4.0000000000000147E-2</v>
      </c>
      <c r="FH384" s="35"/>
      <c r="FI384" s="35"/>
      <c r="FJ384" s="35"/>
      <c r="FK384" s="35"/>
      <c r="FL384" s="35"/>
      <c r="FM384" s="35"/>
      <c r="FN384" s="35"/>
      <c r="FO384" s="35"/>
      <c r="FP384" s="35"/>
      <c r="FQ384" s="35"/>
    </row>
    <row r="385" spans="1:157" outlineLevel="1">
      <c r="B385" s="31"/>
      <c r="BA385" s="91"/>
      <c r="BB385" s="91"/>
      <c r="BC385" s="942"/>
      <c r="BD385" s="91"/>
      <c r="BE385" s="91"/>
      <c r="BF385" s="87"/>
      <c r="BG385" s="91"/>
      <c r="BH385" s="91"/>
      <c r="BI385" s="87"/>
      <c r="BR385" s="124"/>
      <c r="BS385" s="101"/>
      <c r="BT385" s="71"/>
      <c r="BU385" s="74"/>
      <c r="BV385" s="101"/>
      <c r="BW385" s="101"/>
      <c r="BX385" s="74"/>
      <c r="BY385" s="71"/>
      <c r="BZ385" s="71"/>
      <c r="CA385" s="70"/>
      <c r="CB385" s="71"/>
      <c r="CC385" s="71"/>
      <c r="CD385" s="70"/>
      <c r="CE385" s="71"/>
      <c r="CF385" s="71"/>
      <c r="CG385" s="70"/>
      <c r="CH385" s="71"/>
      <c r="CI385" s="71"/>
      <c r="CJ385" s="70"/>
      <c r="DH385" s="1067"/>
      <c r="DK385" s="1067"/>
      <c r="DN385" s="1067"/>
      <c r="DQ385" s="1067"/>
      <c r="DT385" s="1067"/>
      <c r="DW385" s="1067"/>
      <c r="DZ385" s="1067"/>
      <c r="EC385" s="1067"/>
      <c r="EF385" s="1067"/>
      <c r="EI385" s="1067"/>
      <c r="EL385" s="1067"/>
      <c r="EO385" s="1067"/>
      <c r="ER385" s="1067"/>
      <c r="EU385" s="1067"/>
      <c r="EX385" s="1067"/>
      <c r="FA385" s="1067"/>
    </row>
    <row r="386" spans="1:157" outlineLevel="1">
      <c r="B386" s="35" t="s">
        <v>698</v>
      </c>
      <c r="D386" s="162" t="s">
        <v>908</v>
      </c>
      <c r="BA386" s="35"/>
      <c r="BB386" s="35"/>
      <c r="BC386" s="322"/>
      <c r="BD386" s="35"/>
      <c r="BE386" s="35"/>
      <c r="BG386" s="35"/>
      <c r="BH386" s="35"/>
      <c r="BJ386" s="35"/>
      <c r="BK386" s="35"/>
      <c r="BL386" s="31"/>
      <c r="BM386" s="190">
        <f>BM383*BM87</f>
        <v>1315.3694309133721</v>
      </c>
      <c r="BN386" s="190">
        <f>BN383*BN87</f>
        <v>1227.5946922449832</v>
      </c>
      <c r="BO386" s="973">
        <f>BO387/BO362*1000000</f>
        <v>1271.4820615791775</v>
      </c>
      <c r="BP386" s="190">
        <f>BP383*BP87</f>
        <v>1490.650697726051</v>
      </c>
      <c r="BQ386" s="190">
        <f>BQ383*BQ87</f>
        <v>1348.4655542506432</v>
      </c>
      <c r="BR386" s="973">
        <f>BR387/BR362*1000000</f>
        <v>1411.6589513508243</v>
      </c>
      <c r="BS386" s="190">
        <f>BS383*BS87</f>
        <v>2556.3636890595299</v>
      </c>
      <c r="BT386" s="190">
        <f>BT383*BT87</f>
        <v>2070.2310690643926</v>
      </c>
      <c r="BU386" s="190">
        <f>BU387/BU362*1000000</f>
        <v>2294.2791280892111</v>
      </c>
      <c r="BV386" s="190">
        <f>BV383*BV87</f>
        <v>2464.5544442535102</v>
      </c>
      <c r="BW386" s="190">
        <f>BW383*BW87</f>
        <v>2000.1582547571156</v>
      </c>
      <c r="BX386" s="190">
        <f>BX387/BX362*1000000</f>
        <v>2214.369197576596</v>
      </c>
      <c r="BY386" s="190">
        <f>BY383*BY87</f>
        <v>3097.9222424390232</v>
      </c>
      <c r="BZ386" s="190">
        <f>BZ383*BZ87</f>
        <v>1933.3139207093859</v>
      </c>
      <c r="CA386" s="190">
        <f>CA387/CA362*1000000</f>
        <v>2484.5175209887661</v>
      </c>
      <c r="CB386" s="190">
        <f>CB383*CB87</f>
        <v>2640.8911804733889</v>
      </c>
      <c r="CC386" s="190">
        <f>CC383*CC87</f>
        <v>2143.658475282567</v>
      </c>
      <c r="CD386" s="190">
        <f>CD387/CD362*1000000</f>
        <v>2382.5916579439395</v>
      </c>
      <c r="CE386" s="190">
        <f>CE383*CE87</f>
        <v>2277.0688069954722</v>
      </c>
      <c r="CF386" s="190">
        <f>CF383*CF87</f>
        <v>1881.2602860828458</v>
      </c>
      <c r="CG386" s="190">
        <f>CG387/CG362*1000000</f>
        <v>2069.7714858739187</v>
      </c>
      <c r="CH386" s="190">
        <f t="shared" ref="CH386:DM386" si="2117">CH383*CH87</f>
        <v>1934.2953160653035</v>
      </c>
      <c r="CI386" s="190">
        <f t="shared" si="2117"/>
        <v>1558.985644554705</v>
      </c>
      <c r="CJ386" s="190">
        <f t="shared" si="2117"/>
        <v>1737.7338845029656</v>
      </c>
      <c r="CK386" s="190">
        <f t="shared" si="2117"/>
        <v>2134.0578510871023</v>
      </c>
      <c r="CL386" s="190">
        <f t="shared" si="2117"/>
        <v>2167.2866120903132</v>
      </c>
      <c r="CM386" s="190">
        <f t="shared" si="2117"/>
        <v>2151.4607941169079</v>
      </c>
      <c r="CN386" s="190">
        <f t="shared" si="2117"/>
        <v>2845.4341848966096</v>
      </c>
      <c r="CO386" s="190">
        <f t="shared" si="2117"/>
        <v>2651.435464374586</v>
      </c>
      <c r="CP386" s="190">
        <f t="shared" si="2117"/>
        <v>2743.8309779406327</v>
      </c>
      <c r="CQ386" s="190">
        <f t="shared" si="2117"/>
        <v>3229.2977195985059</v>
      </c>
      <c r="CR386" s="190">
        <f t="shared" si="2117"/>
        <v>3302.8438857832866</v>
      </c>
      <c r="CS386" s="190">
        <f t="shared" si="2117"/>
        <v>3266.0142370721946</v>
      </c>
      <c r="CT386" s="190">
        <f t="shared" si="2117"/>
        <v>3121.7329481344764</v>
      </c>
      <c r="CU386" s="190">
        <f t="shared" si="2117"/>
        <v>2599.6353940611675</v>
      </c>
      <c r="CV386" s="190">
        <f t="shared" si="2117"/>
        <v>2860.598085940891</v>
      </c>
      <c r="CW386" s="190">
        <f t="shared" si="2117"/>
        <v>2823.6074515876339</v>
      </c>
      <c r="CX386" s="190">
        <f t="shared" si="2117"/>
        <v>2659.4270081245741</v>
      </c>
      <c r="CY386" s="190">
        <f t="shared" si="2117"/>
        <v>2737.5382940196282</v>
      </c>
      <c r="CZ386" s="190">
        <f t="shared" si="2117"/>
        <v>2791.9729931641818</v>
      </c>
      <c r="DA386" s="190">
        <f t="shared" si="2117"/>
        <v>2338.9952421346588</v>
      </c>
      <c r="DB386" s="190">
        <f t="shared" si="2117"/>
        <v>2563.0411950043967</v>
      </c>
      <c r="DC386" s="190">
        <f t="shared" si="2117"/>
        <v>2662.2341988632365</v>
      </c>
      <c r="DD386" s="190">
        <f t="shared" si="2117"/>
        <v>2313.3399867775129</v>
      </c>
      <c r="DE386" s="190">
        <f t="shared" si="2117"/>
        <v>2485.1038436218632</v>
      </c>
      <c r="DF386" s="190">
        <f t="shared" si="2117"/>
        <v>2643.5985594711938</v>
      </c>
      <c r="DG386" s="190">
        <f t="shared" si="2117"/>
        <v>2660.3409847941393</v>
      </c>
      <c r="DH386" s="1060">
        <f t="shared" si="2117"/>
        <v>2653.2668447471724</v>
      </c>
      <c r="DI386" s="190">
        <f t="shared" si="2117"/>
        <v>3176.2836692046399</v>
      </c>
      <c r="DJ386" s="190">
        <f t="shared" si="2117"/>
        <v>2386.3258633603432</v>
      </c>
      <c r="DK386" s="1060">
        <f t="shared" si="2117"/>
        <v>2708.2256820470056</v>
      </c>
      <c r="DL386" s="234">
        <f t="shared" si="2117"/>
        <v>3080.9951591285003</v>
      </c>
      <c r="DM386" s="234">
        <f t="shared" si="2117"/>
        <v>2280.8371453862301</v>
      </c>
      <c r="DN386" s="1060">
        <f t="shared" ref="DN386:ER386" si="2118">DN383*DN87</f>
        <v>2614.9690459014319</v>
      </c>
      <c r="DO386" s="234">
        <f t="shared" si="2118"/>
        <v>2811.3529039197811</v>
      </c>
      <c r="DP386" s="234">
        <f t="shared" si="2118"/>
        <v>2694.6620736347877</v>
      </c>
      <c r="DQ386" s="1060">
        <f t="shared" si="2118"/>
        <v>2746.4213980200157</v>
      </c>
      <c r="DR386" s="234">
        <f t="shared" si="2118"/>
        <v>3143.0917619272082</v>
      </c>
      <c r="DS386" s="234">
        <f t="shared" si="2118"/>
        <v>2501.0309668190544</v>
      </c>
      <c r="DT386" s="1060">
        <f t="shared" si="2118"/>
        <v>2728.6397189530048</v>
      </c>
      <c r="DU386" s="234">
        <f t="shared" si="2118"/>
        <v>3078.4004594609301</v>
      </c>
      <c r="DV386" s="234">
        <f t="shared" ref="DV386:DX386" si="2119">DV383*DV87</f>
        <v>2250.9278701371491</v>
      </c>
      <c r="DW386" s="1060">
        <f t="shared" si="2119"/>
        <v>2635.2138166181126</v>
      </c>
      <c r="DX386" s="234">
        <f t="shared" si="2119"/>
        <v>2955.2644410824928</v>
      </c>
      <c r="DY386" s="234">
        <f t="shared" si="2118"/>
        <v>2160.8907553316631</v>
      </c>
      <c r="DZ386" s="1060">
        <f t="shared" si="2118"/>
        <v>2486.8206889691314</v>
      </c>
      <c r="EA386" s="234">
        <f t="shared" si="2118"/>
        <v>2837.0538634391928</v>
      </c>
      <c r="EB386" s="234">
        <f t="shared" si="2118"/>
        <v>2074.4551251183966</v>
      </c>
      <c r="EC386" s="1060">
        <f t="shared" si="2118"/>
        <v>2397.6499497806644</v>
      </c>
      <c r="ED386" s="234">
        <f t="shared" si="2118"/>
        <v>2723.5717089016248</v>
      </c>
      <c r="EE386" s="234">
        <f t="shared" si="2118"/>
        <v>1991.4769201136605</v>
      </c>
      <c r="EF386" s="1060">
        <f t="shared" si="2118"/>
        <v>2301.7439517894377</v>
      </c>
      <c r="EG386" s="234">
        <f t="shared" si="2118"/>
        <v>2614.6288405455598</v>
      </c>
      <c r="EH386" s="234">
        <f t="shared" si="2118"/>
        <v>1911.8178433091139</v>
      </c>
      <c r="EI386" s="1060">
        <f t="shared" si="2118"/>
        <v>2209.6741937178604</v>
      </c>
      <c r="EJ386" s="234">
        <f t="shared" si="2118"/>
        <v>2510.0436869237374</v>
      </c>
      <c r="EK386" s="234">
        <f t="shared" si="2118"/>
        <v>1835.3451295767493</v>
      </c>
      <c r="EL386" s="1060">
        <f t="shared" si="2118"/>
        <v>2121.2872259691453</v>
      </c>
      <c r="EM386" s="234">
        <f t="shared" si="2118"/>
        <v>2409.6419394467875</v>
      </c>
      <c r="EN386" s="234">
        <f t="shared" si="2118"/>
        <v>1761.9313243936792</v>
      </c>
      <c r="EO386" s="1060">
        <f t="shared" si="2118"/>
        <v>2036.4357369303796</v>
      </c>
      <c r="EP386" s="234">
        <f t="shared" si="2118"/>
        <v>2313.2562618689162</v>
      </c>
      <c r="EQ386" s="234">
        <f t="shared" si="2118"/>
        <v>1691.4540714179318</v>
      </c>
      <c r="ER386" s="1060">
        <f t="shared" si="2118"/>
        <v>1954.9783074531642</v>
      </c>
      <c r="ES386" s="234">
        <f t="shared" ref="ES386:EX386" si="2120">ES383*ES87</f>
        <v>2220.7260113941597</v>
      </c>
      <c r="ET386" s="234">
        <f t="shared" si="2120"/>
        <v>1623.7959085612147</v>
      </c>
      <c r="EU386" s="1060">
        <f t="shared" si="2120"/>
        <v>1876.7791751550376</v>
      </c>
      <c r="EV386" s="234">
        <f t="shared" si="2120"/>
        <v>2131.8969709383932</v>
      </c>
      <c r="EW386" s="234">
        <f t="shared" si="2120"/>
        <v>1558.8440722187659</v>
      </c>
      <c r="EX386" s="1060">
        <f t="shared" si="2120"/>
        <v>1801.7080081488359</v>
      </c>
      <c r="EY386" s="234">
        <f t="shared" ref="EY386:FA386" si="2121">EY383*EY87</f>
        <v>2046.6210921008571</v>
      </c>
      <c r="EZ386" s="234">
        <f t="shared" si="2121"/>
        <v>1496.4903093300152</v>
      </c>
      <c r="FA386" s="1060">
        <f t="shared" si="2121"/>
        <v>1729.6396878228823</v>
      </c>
    </row>
    <row r="387" spans="1:157" outlineLevel="1">
      <c r="B387" s="35" t="s">
        <v>429</v>
      </c>
      <c r="D387" s="162" t="s">
        <v>908</v>
      </c>
      <c r="BA387" s="35"/>
      <c r="BB387" s="35"/>
      <c r="BC387" s="322"/>
      <c r="BD387" s="35"/>
      <c r="BE387" s="35"/>
      <c r="BG387" s="35"/>
      <c r="BH387" s="35"/>
      <c r="BJ387" s="35"/>
      <c r="BK387" s="35"/>
      <c r="BL387" s="31"/>
      <c r="BM387" s="190">
        <f>BM362*BM386/1000000</f>
        <v>3.6676070904059908E-2</v>
      </c>
      <c r="BN387" s="190">
        <f>BN362*BN386/1000000</f>
        <v>3.42286728854274E-2</v>
      </c>
      <c r="BO387" s="973">
        <f>SUM(BM387:BN387)</f>
        <v>7.0904743789487301E-2</v>
      </c>
      <c r="BP387" s="190">
        <f>BP362*BP386/1000000</f>
        <v>5.1954235629666584E-2</v>
      </c>
      <c r="BQ387" s="190">
        <f>BQ362*BQ386/1000000</f>
        <v>5.8748251058161456E-2</v>
      </c>
      <c r="BR387" s="973">
        <f>SUM(BP387:BQ387)</f>
        <v>0.11070248668782803</v>
      </c>
      <c r="BS387" s="190">
        <f>BS362*BS386/1000000</f>
        <v>0.11516572139172908</v>
      </c>
      <c r="BT387" s="190">
        <f>BT362*BT386/1000000</f>
        <v>0.10909872278030118</v>
      </c>
      <c r="BU387" s="190">
        <f>SUM(BS387:BT387)</f>
        <v>0.22426444417203026</v>
      </c>
      <c r="BV387" s="190">
        <f>BV362*BV386/1000000</f>
        <v>0.12969351936872478</v>
      </c>
      <c r="BW387" s="190">
        <f>BW362*BW386/1000000</f>
        <v>0.12293180574530824</v>
      </c>
      <c r="BX387" s="190">
        <f>SUM(BV387:BW387)</f>
        <v>0.25262532511403302</v>
      </c>
      <c r="BY387" s="190">
        <f>BY362*BY386/1000000</f>
        <v>0.19353590899103446</v>
      </c>
      <c r="BZ387" s="190">
        <f>BZ362*BZ386/1000000</f>
        <v>0.13440904357016792</v>
      </c>
      <c r="CA387" s="190">
        <f>SUM(BY387:BZ387)</f>
        <v>0.32794495256120237</v>
      </c>
      <c r="CB387" s="190">
        <f>CB362*CB386/1000000</f>
        <v>0.17654101587573945</v>
      </c>
      <c r="CC387" s="190">
        <f>CC362*CC386/1000000</f>
        <v>0.15491656038232074</v>
      </c>
      <c r="CD387" s="190">
        <f>SUM(CB387:CC387)</f>
        <v>0.33145757625806016</v>
      </c>
      <c r="CE387" s="190">
        <f>CE362*CE386/1000000</f>
        <v>0.13871033177302208</v>
      </c>
      <c r="CF387" s="190">
        <f>CF362*CF386/1000000</f>
        <v>0.12601959403758961</v>
      </c>
      <c r="CG387" s="190">
        <f>SUM(CE387:CF387)</f>
        <v>0.26472992581061172</v>
      </c>
      <c r="CH387" s="190">
        <f>CH386*CH362/1000000</f>
        <v>0.12607797195637449</v>
      </c>
      <c r="CI387" s="190">
        <f>CI386*CI362/1000000</f>
        <v>0.11174165066628187</v>
      </c>
      <c r="CJ387" s="190">
        <f>CH387+CI387</f>
        <v>0.23781962262265638</v>
      </c>
      <c r="CK387" s="190">
        <f>CK386*CK362/1000000</f>
        <v>0.14063442713591248</v>
      </c>
      <c r="CL387" s="190">
        <f>CL386*CL362/1000000</f>
        <v>0.15705737721204868</v>
      </c>
      <c r="CM387" s="190">
        <f>CK387+CL387</f>
        <v>0.29769180434796116</v>
      </c>
      <c r="CN387" s="190">
        <f>CN386*CN362/1000000</f>
        <v>0.18958458880151788</v>
      </c>
      <c r="CO387" s="190">
        <f>CO386*CO362/1000000</f>
        <v>0.19426388927770633</v>
      </c>
      <c r="CP387" s="190">
        <f>CN387+CO387</f>
        <v>0.38384847807922418</v>
      </c>
      <c r="CQ387" s="190">
        <f>CQ386*CQ362/1000000</f>
        <v>0.27007595735947221</v>
      </c>
      <c r="CR387" s="190">
        <f>CR386*CR362/1000000</f>
        <v>0.27537834813571838</v>
      </c>
      <c r="CS387" s="190">
        <f>CQ387+CR387</f>
        <v>0.54545430549519058</v>
      </c>
      <c r="CT387" s="190">
        <f>CT386*CT362/1000000</f>
        <v>0.30072094255052179</v>
      </c>
      <c r="CU387" s="190">
        <f>CU386*CU362/1000000</f>
        <v>0.25059176708914976</v>
      </c>
      <c r="CV387" s="190">
        <f>CT387+CU387</f>
        <v>0.55131270963967149</v>
      </c>
      <c r="CW387" s="190">
        <f>CW386*CW362/1000000</f>
        <v>0.31334641060256291</v>
      </c>
      <c r="CX387" s="190">
        <f>CX386*CX362/1000000</f>
        <v>0.32519379079078392</v>
      </c>
      <c r="CY387" s="190">
        <f>CW387+CX387</f>
        <v>0.63854020139334677</v>
      </c>
      <c r="CZ387" s="190">
        <f>CZ386*CZ362/1000000</f>
        <v>0.32212557636977701</v>
      </c>
      <c r="DA387" s="190">
        <f>DA386*DA362/1000000</f>
        <v>0.27574798666248024</v>
      </c>
      <c r="DB387" s="190">
        <f>CZ387+DA387</f>
        <v>0.59787356303225725</v>
      </c>
      <c r="DC387" s="190">
        <f>DC386*DC362/1000000</f>
        <v>0.33918923823335645</v>
      </c>
      <c r="DD387" s="190">
        <f>DD386*DD362/1000000</f>
        <v>0.30394603447766344</v>
      </c>
      <c r="DE387" s="190">
        <f>DC387+DD387</f>
        <v>0.64313527271101989</v>
      </c>
      <c r="DF387" s="190">
        <f>DF386*DF362/1000000</f>
        <v>0.27955637825955004</v>
      </c>
      <c r="DG387" s="190">
        <f>DG386*DG362/1000000</f>
        <v>0.38449173361424421</v>
      </c>
      <c r="DH387" s="1080">
        <f>DF387+DG387</f>
        <v>0.6640481118737942</v>
      </c>
      <c r="DI387" s="190">
        <f>DI386*DI362/1000000</f>
        <v>0.34074547600858818</v>
      </c>
      <c r="DJ387" s="190">
        <f>DJ386*DJ362/1000000</f>
        <v>0.37223696078158136</v>
      </c>
      <c r="DK387" s="1080">
        <f>DI387+DJ387</f>
        <v>0.71298243679016959</v>
      </c>
      <c r="DL387" s="190">
        <f>DL386*DL362/1000000</f>
        <v>0.44906037798947829</v>
      </c>
      <c r="DM387" s="190">
        <f>DM386*DM362/1000000</f>
        <v>0.46366072553904919</v>
      </c>
      <c r="DN387" s="1080">
        <f>DL387+DM387</f>
        <v>0.91272110352852742</v>
      </c>
      <c r="DO387" s="190">
        <f>DO386*DO362/1000000</f>
        <v>0.51585563140767732</v>
      </c>
      <c r="DP387" s="190">
        <f>DP386*DP362/1000000</f>
        <v>0.62027459944510233</v>
      </c>
      <c r="DQ387" s="1080">
        <f>DO387+DP387</f>
        <v>1.1361302308527796</v>
      </c>
      <c r="DR387" s="190">
        <f>DR386*DR362/1000000</f>
        <v>0.48310642775327445</v>
      </c>
      <c r="DS387" s="190">
        <f>DS386*DS362/1000000</f>
        <v>0.69998728536132726</v>
      </c>
      <c r="DT387" s="1080">
        <f>DR387+DS387</f>
        <v>1.1830937131146018</v>
      </c>
      <c r="DU387" s="190">
        <f>DU386*DU362/1000000</f>
        <v>0.71118211569848833</v>
      </c>
      <c r="DV387" s="190">
        <f>DV386*DV362/1000000</f>
        <v>0.59972126781997315</v>
      </c>
      <c r="DW387" s="1080">
        <f>DU387+DV387</f>
        <v>1.3109033835184616</v>
      </c>
      <c r="DX387" s="190">
        <f>DX386*DX362/1000000</f>
        <v>0.61631613830120846</v>
      </c>
      <c r="DY387" s="190">
        <f>DY386*DY362/1000000</f>
        <v>0.64769896924557091</v>
      </c>
      <c r="DZ387" s="1080">
        <f>DX387+DY387</f>
        <v>1.2640151075467794</v>
      </c>
      <c r="EA387" s="190">
        <f>EA386*EA362/1000000</f>
        <v>0.65674647697376776</v>
      </c>
      <c r="EB387" s="190">
        <f>EB386*EB362/1000000</f>
        <v>0.65288056099953562</v>
      </c>
      <c r="EC387" s="1080">
        <f>EA387+EB387</f>
        <v>1.3096270379733035</v>
      </c>
      <c r="ED387" s="190">
        <f>ED386*ED362/1000000</f>
        <v>0.67460998114745419</v>
      </c>
      <c r="EE387" s="190">
        <f>EE386*EE362/1000000</f>
        <v>0.67063891225872296</v>
      </c>
      <c r="EF387" s="1080">
        <f>ED387+EE387</f>
        <v>1.3452488934061773</v>
      </c>
      <c r="EG387" s="190">
        <f>EG386*EG362/1000000</f>
        <v>0.70591188427269602</v>
      </c>
      <c r="EH387" s="190">
        <f>EH386*EH362/1000000</f>
        <v>0.70175655778752755</v>
      </c>
      <c r="EI387" s="1080">
        <f>EG387+EH387</f>
        <v>1.4076684420602237</v>
      </c>
      <c r="EJ387" s="190">
        <f>EJ386*EJ362/1000000</f>
        <v>0.73866619570294922</v>
      </c>
      <c r="EK387" s="190">
        <f>EK386*EK362/1000000</f>
        <v>0.73431806206886885</v>
      </c>
      <c r="EL387" s="1080">
        <f>EJ387+EK387</f>
        <v>1.472984257771818</v>
      </c>
      <c r="EM387" s="190">
        <f>EM386*EM362/1000000</f>
        <v>0.77294030718356599</v>
      </c>
      <c r="EN387" s="190">
        <f>EN386*EN362/1000000</f>
        <v>0.76839042014886438</v>
      </c>
      <c r="EO387" s="1080">
        <f>EM387+EN387</f>
        <v>1.5413307273324304</v>
      </c>
      <c r="EP387" s="190">
        <f>EP386*EP362/1000000</f>
        <v>0.80880473743688364</v>
      </c>
      <c r="EQ387" s="190">
        <f>EQ386*EQ362/1000000</f>
        <v>0.80404373564377163</v>
      </c>
      <c r="ER387" s="1080">
        <f>EP387+EQ387</f>
        <v>1.6128484730806552</v>
      </c>
      <c r="ES387" s="190">
        <f>ES386*ES362/1000000</f>
        <v>0.84633327725395513</v>
      </c>
      <c r="ET387" s="190">
        <f>ET386*ET362/1000000</f>
        <v>0.84135136497764273</v>
      </c>
      <c r="EU387" s="1080">
        <f>ES387+ET387</f>
        <v>1.6876846422315979</v>
      </c>
      <c r="EV387" s="190">
        <f>EV386*EV362/1000000</f>
        <v>0.88560314131853868</v>
      </c>
      <c r="EW387" s="190">
        <f>EW386*EW362/1000000</f>
        <v>0.88039006831260536</v>
      </c>
      <c r="EX387" s="1080">
        <f>EV387+EW387</f>
        <v>1.7659932096311439</v>
      </c>
      <c r="EY387" s="190">
        <f>EY386*EY362/1000000</f>
        <v>0.92669512707571866</v>
      </c>
      <c r="EZ387" s="190">
        <f>EZ386*EZ362/1000000</f>
        <v>0.9212401674823103</v>
      </c>
      <c r="FA387" s="1080">
        <f>EY387+EZ387</f>
        <v>1.847935294558029</v>
      </c>
    </row>
    <row r="388" spans="1:157" outlineLevel="1">
      <c r="B388" s="31"/>
      <c r="BA388" s="35"/>
      <c r="BB388" s="35"/>
      <c r="BC388" s="322"/>
      <c r="BD388" s="35"/>
      <c r="BE388" s="35"/>
      <c r="BG388" s="35"/>
      <c r="BH388" s="35"/>
      <c r="BJ388" s="35"/>
      <c r="BK388" s="35"/>
      <c r="BL388" s="31"/>
      <c r="BM388" s="35"/>
      <c r="BN388" s="35"/>
      <c r="BO388" s="31"/>
      <c r="BP388" s="35"/>
      <c r="BQ388" s="35"/>
      <c r="BR388" s="31"/>
      <c r="BS388" s="35"/>
      <c r="BT388" s="35"/>
      <c r="BV388" s="35"/>
      <c r="BW388" s="35"/>
      <c r="BY388" s="35"/>
      <c r="BZ388" s="35"/>
      <c r="CB388" s="35"/>
      <c r="CC388" s="35"/>
      <c r="CE388" s="35" t="s">
        <v>320</v>
      </c>
      <c r="CF388" s="35"/>
      <c r="CH388" s="70"/>
      <c r="CI388" s="70"/>
      <c r="CJ388" s="70"/>
      <c r="CK388" s="35"/>
      <c r="CL388" s="35"/>
      <c r="CN388" s="35"/>
      <c r="CO388" s="35"/>
      <c r="CQ388" s="35"/>
      <c r="CR388" s="35"/>
      <c r="CT388" s="35"/>
      <c r="CU388" s="35"/>
      <c r="CW388" s="35"/>
      <c r="CX388" s="35"/>
      <c r="CZ388" s="35"/>
      <c r="DA388" s="35"/>
      <c r="DC388" s="35"/>
      <c r="DD388" s="35"/>
      <c r="DF388" s="35"/>
      <c r="DG388" s="35"/>
      <c r="DH388" s="1067"/>
      <c r="DI388" s="35"/>
      <c r="DJ388" s="35"/>
      <c r="DK388" s="1067"/>
      <c r="DL388" s="35"/>
      <c r="DM388" s="35"/>
      <c r="DN388" s="1067"/>
      <c r="DO388" s="35"/>
      <c r="DP388" s="35"/>
      <c r="DQ388" s="1067"/>
      <c r="DR388" s="35"/>
      <c r="DS388" s="35"/>
      <c r="DT388" s="1067"/>
      <c r="DU388" s="35"/>
      <c r="DV388" s="35"/>
      <c r="DW388" s="1067"/>
      <c r="DX388" s="35"/>
      <c r="DY388" s="35"/>
      <c r="DZ388" s="1067"/>
      <c r="EA388" s="35"/>
      <c r="EB388" s="35"/>
      <c r="EC388" s="1067"/>
      <c r="ED388" s="35"/>
      <c r="EE388" s="35"/>
      <c r="EF388" s="1067"/>
      <c r="EG388" s="35"/>
      <c r="EH388" s="35"/>
      <c r="EI388" s="1067"/>
      <c r="EJ388" s="35"/>
      <c r="EK388" s="35"/>
      <c r="EL388" s="1067"/>
      <c r="EM388" s="35"/>
      <c r="EN388" s="35"/>
      <c r="EO388" s="1067"/>
      <c r="EP388" s="35"/>
      <c r="EQ388" s="35"/>
      <c r="ER388" s="1067"/>
      <c r="ES388" s="35"/>
      <c r="ET388" s="35"/>
      <c r="EU388" s="1067"/>
      <c r="EV388" s="35"/>
      <c r="EW388" s="35"/>
      <c r="EX388" s="1067"/>
      <c r="EY388" s="35"/>
      <c r="EZ388" s="35"/>
      <c r="FA388" s="1067"/>
    </row>
    <row r="389" spans="1:157" outlineLevel="1">
      <c r="B389" s="35" t="s">
        <v>486</v>
      </c>
      <c r="D389" s="162" t="s">
        <v>908</v>
      </c>
      <c r="BA389" s="35"/>
      <c r="BB389" s="35"/>
      <c r="BC389" s="322"/>
      <c r="BD389" s="35"/>
      <c r="BE389" s="35"/>
      <c r="BG389" s="35"/>
      <c r="BH389" s="35"/>
      <c r="BJ389" s="35"/>
      <c r="BK389" s="35"/>
      <c r="BL389" s="31"/>
      <c r="BM389" s="190">
        <f>BM366-BM387</f>
        <v>1.1895071224667235</v>
      </c>
      <c r="BN389" s="190">
        <f>BN366-BN387</f>
        <v>0.17013519267636984</v>
      </c>
      <c r="BO389" s="973">
        <f>SUM(BM389:BN389)</f>
        <v>1.3596423151430934</v>
      </c>
      <c r="BP389" s="190">
        <f>BP366-BP387</f>
        <v>1.4807747560838129</v>
      </c>
      <c r="BQ389" s="190">
        <f>BQ366-BQ387</f>
        <v>1.0588666387329173</v>
      </c>
      <c r="BR389" s="973">
        <f>SUM(BP389:BQ389)</f>
        <v>2.53964139481673</v>
      </c>
      <c r="BS389" s="190">
        <f>BS366-BS387</f>
        <v>1.8660003982007398</v>
      </c>
      <c r="BT389" s="190">
        <f>BT366-BT387</f>
        <v>1.242780640535236</v>
      </c>
      <c r="BU389" s="190">
        <f>SUM(BS389:BT389)</f>
        <v>3.1087810387359758</v>
      </c>
      <c r="BV389" s="190">
        <f>BV366-BV387</f>
        <v>2.1845025898859007</v>
      </c>
      <c r="BW389" s="190">
        <f>BW366-BW387</f>
        <v>1.4537243701033495</v>
      </c>
      <c r="BX389" s="190">
        <f>SUM(BV389:BW389)</f>
        <v>3.6382269599892503</v>
      </c>
      <c r="BY389" s="190">
        <f>BY366-BY387</f>
        <v>2.55379735168684</v>
      </c>
      <c r="BZ389" s="190">
        <f>BZ366-BZ387</f>
        <v>1.6490502729299399</v>
      </c>
      <c r="CA389" s="190">
        <f>SUM(BY389:BZ389)</f>
        <v>4.2028476246167799</v>
      </c>
      <c r="CB389" s="190">
        <f>CB366-CB387</f>
        <v>2.7632429397126197</v>
      </c>
      <c r="CC389" s="190">
        <f>CC366-CC387</f>
        <v>1.6989537299332109</v>
      </c>
      <c r="CD389" s="190">
        <f>SUM(CB389:CC389)</f>
        <v>4.4621966696458308</v>
      </c>
      <c r="CE389" s="190">
        <f>CE366-CE387</f>
        <v>5.8579583611796426</v>
      </c>
      <c r="CF389" s="190">
        <f>CF366-CF387</f>
        <v>1.9360699918050215</v>
      </c>
      <c r="CG389" s="190">
        <f>SUM(CE389:CF389)</f>
        <v>7.7940283529846646</v>
      </c>
      <c r="CH389" s="190">
        <f>CH366-CH387</f>
        <v>6.2903575295029768</v>
      </c>
      <c r="CI389" s="190">
        <f>CI366-CI387</f>
        <v>2.0836620269010537</v>
      </c>
      <c r="CJ389" s="190">
        <f>CH389+CI389</f>
        <v>8.374019556404031</v>
      </c>
      <c r="CK389" s="190">
        <f>CK366-CK387</f>
        <v>6.5136512493620016</v>
      </c>
      <c r="CL389" s="190">
        <f>CL366-CL387</f>
        <v>2.160384029584455</v>
      </c>
      <c r="CM389" s="190">
        <f>CK389+CL389</f>
        <v>8.674035278946457</v>
      </c>
      <c r="CN389" s="190">
        <f>CN366-CN387</f>
        <v>6.8745630416890258</v>
      </c>
      <c r="CO389" s="190">
        <f>CO366-CO387</f>
        <v>2.1487657823391575</v>
      </c>
      <c r="CP389" s="190">
        <f>CN389+CO389</f>
        <v>9.0233288240281837</v>
      </c>
      <c r="CQ389" s="190">
        <f>CQ366-CQ387</f>
        <v>8.5970549273977923</v>
      </c>
      <c r="CR389" s="190">
        <f>CR366-CR387</f>
        <v>2.3909185900521872</v>
      </c>
      <c r="CS389" s="190">
        <f>CQ389+CR389</f>
        <v>10.98797351744998</v>
      </c>
      <c r="CT389" s="190">
        <f>CT366-CT387</f>
        <v>9.9127464431479186</v>
      </c>
      <c r="CU389" s="190">
        <f>CU366-CU387</f>
        <v>2.832036293599038</v>
      </c>
      <c r="CV389" s="190">
        <f>CT389+CU389</f>
        <v>12.744782736746956</v>
      </c>
      <c r="CW389" s="190">
        <f>CW366-CW387</f>
        <v>11.452568017722038</v>
      </c>
      <c r="CX389" s="190">
        <f>CX366-CX387</f>
        <v>3.5852040074580147</v>
      </c>
      <c r="CY389" s="190">
        <f>CW389+CX389</f>
        <v>15.037772025180054</v>
      </c>
      <c r="CZ389" s="190">
        <f>CZ366-CZ387</f>
        <v>11.910488549130847</v>
      </c>
      <c r="DA389" s="190">
        <f>DA366-DA387</f>
        <v>3.494325206751236</v>
      </c>
      <c r="DB389" s="190">
        <f>CZ389+DA389</f>
        <v>15.404813755882083</v>
      </c>
      <c r="DC389" s="190">
        <f>DC366-DC387</f>
        <v>13.169122892729604</v>
      </c>
      <c r="DD389" s="190">
        <f>DD366-DD387</f>
        <v>3.8977418345593762</v>
      </c>
      <c r="DE389" s="190">
        <f>DC389+DD389</f>
        <v>17.06686472728898</v>
      </c>
      <c r="DF389" s="190">
        <f>DF366-DF387</f>
        <v>11.156580671813691</v>
      </c>
      <c r="DG389" s="190">
        <f>DG366-DG387</f>
        <v>4.2373649223264991</v>
      </c>
      <c r="DH389" s="1060">
        <f>DF389+DG389</f>
        <v>15.39394559414019</v>
      </c>
      <c r="DI389" s="190">
        <f>DI366-DI387</f>
        <v>12.420966963409832</v>
      </c>
      <c r="DJ389" s="190">
        <f>DJ366-DJ387</f>
        <v>13.042686423628812</v>
      </c>
      <c r="DK389" s="1060">
        <f>DI389+DJ389</f>
        <v>25.463653387038644</v>
      </c>
      <c r="DL389" s="234">
        <f>DL366-DL387</f>
        <v>16.88945305264955</v>
      </c>
      <c r="DM389" s="234">
        <f>DM366-DM387</f>
        <v>17.018877419290202</v>
      </c>
      <c r="DN389" s="1060">
        <f>DL389+DM389</f>
        <v>33.908330471939749</v>
      </c>
      <c r="DO389" s="234">
        <f>DO366-DO387</f>
        <v>21.311993746604202</v>
      </c>
      <c r="DP389" s="234">
        <f>DP366-DP387</f>
        <v>19.175756997319986</v>
      </c>
      <c r="DQ389" s="1060">
        <f>DO389+DP389</f>
        <v>40.487750743924188</v>
      </c>
      <c r="DR389" s="234">
        <f>DR366-DR387</f>
        <v>17.801427432494613</v>
      </c>
      <c r="DS389" s="234">
        <f>DS366-DS387</f>
        <v>23.369649332388491</v>
      </c>
      <c r="DT389" s="1060">
        <f>DR389+DS389</f>
        <v>41.171076764883104</v>
      </c>
      <c r="DU389" s="234">
        <f>DU366-DU387</f>
        <v>26.771166803012513</v>
      </c>
      <c r="DV389" s="234">
        <f>DV366-DV387</f>
        <v>22.313509190060117</v>
      </c>
      <c r="DW389" s="1060">
        <f>DU389+DV389</f>
        <v>49.084675993072629</v>
      </c>
      <c r="DX389" s="234">
        <f>DX366-DX387</f>
        <v>24.192459371902878</v>
      </c>
      <c r="DY389" s="234">
        <f>DY366-DY387</f>
        <v>25.129685295869528</v>
      </c>
      <c r="DZ389" s="1060">
        <f>DX389+DY389</f>
        <v>49.322144667772406</v>
      </c>
      <c r="EA389" s="234">
        <f>EA366-EA387</f>
        <v>26.880994339352771</v>
      </c>
      <c r="EB389" s="234">
        <f>EB366-EB387</f>
        <v>26.413372917371323</v>
      </c>
      <c r="EC389" s="1060">
        <f>EA389+EB389</f>
        <v>53.294367256724094</v>
      </c>
      <c r="ED389" s="234">
        <f>ED366-ED387</f>
        <v>28.790772692321944</v>
      </c>
      <c r="EE389" s="234">
        <f>EE366-EE387</f>
        <v>28.290252309598095</v>
      </c>
      <c r="EF389" s="1060">
        <f>ED389+EE389</f>
        <v>57.08102500192004</v>
      </c>
      <c r="EG389" s="234">
        <f>EG366-EG387</f>
        <v>31.411355229808947</v>
      </c>
      <c r="EH389" s="234">
        <f>EH366-EH387</f>
        <v>30.86561487403641</v>
      </c>
      <c r="EI389" s="1060">
        <f>EG389+EH389</f>
        <v>62.276970103845358</v>
      </c>
      <c r="EJ389" s="234">
        <f>EJ366-EJ387</f>
        <v>34.269154958646048</v>
      </c>
      <c r="EK389" s="234">
        <f>EK366-EK387</f>
        <v>33.674116798619224</v>
      </c>
      <c r="EL389" s="1060">
        <f>EJ389+EK389</f>
        <v>67.943271757265279</v>
      </c>
      <c r="EM389" s="234">
        <f>EM366-EM387</f>
        <v>37.385584751056847</v>
      </c>
      <c r="EN389" s="234">
        <f>EN366-EN387</f>
        <v>36.736803578001158</v>
      </c>
      <c r="EO389" s="1060">
        <f>EM389+EN389</f>
        <v>74.122388329057998</v>
      </c>
      <c r="EP389" s="234">
        <f>EP366-EP387</f>
        <v>40.783987576045163</v>
      </c>
      <c r="EQ389" s="234">
        <f>EQ366-EQ387</f>
        <v>40.076617722339748</v>
      </c>
      <c r="ER389" s="1060">
        <f>EP389+EQ389</f>
        <v>80.860605298384911</v>
      </c>
      <c r="ES389" s="234">
        <f>ES366-ES387</f>
        <v>44.48981034444148</v>
      </c>
      <c r="ET389" s="234">
        <f>ET366-ET387</f>
        <v>43.718569624224408</v>
      </c>
      <c r="EU389" s="1060">
        <f>ES389+ET389</f>
        <v>88.208379968665895</v>
      </c>
      <c r="EV389" s="234">
        <f>EV366-EV387</f>
        <v>48.530793406329487</v>
      </c>
      <c r="EW389" s="234">
        <f>EW366-EW387</f>
        <v>47.689923809917623</v>
      </c>
      <c r="EX389" s="1060">
        <f>EV389+EW389</f>
        <v>96.22071721624711</v>
      </c>
      <c r="EY389" s="234">
        <f>EY366-EY387</f>
        <v>52.937177109860635</v>
      </c>
      <c r="EZ389" s="234">
        <f>EZ366-EZ387</f>
        <v>52.02040195978865</v>
      </c>
      <c r="FA389" s="1060">
        <f>EY389+EZ389</f>
        <v>104.95757906964928</v>
      </c>
    </row>
    <row r="390" spans="1:157" outlineLevel="1">
      <c r="B390" s="35" t="s">
        <v>487</v>
      </c>
      <c r="D390" s="162" t="s">
        <v>460</v>
      </c>
      <c r="BA390" s="35"/>
      <c r="BB390" s="35"/>
      <c r="BC390" s="322"/>
      <c r="BD390" s="35"/>
      <c r="BE390" s="35"/>
      <c r="BG390" s="35"/>
      <c r="BH390" s="35"/>
      <c r="BJ390" s="35"/>
      <c r="BK390" s="35"/>
      <c r="BL390" s="31"/>
      <c r="BM390" s="65">
        <f t="shared" ref="BM390:CR390" si="2122">BM389/BM366</f>
        <v>0.97008924025190946</v>
      </c>
      <c r="BN390" s="65">
        <f t="shared" si="2122"/>
        <v>0.83251113012893641</v>
      </c>
      <c r="BO390" s="64">
        <f t="shared" si="2122"/>
        <v>0.95043522452005624</v>
      </c>
      <c r="BP390" s="65">
        <f t="shared" si="2122"/>
        <v>0.96610344300228479</v>
      </c>
      <c r="BQ390" s="65">
        <f t="shared" si="2122"/>
        <v>0.94743426237892781</v>
      </c>
      <c r="BR390" s="64">
        <f t="shared" si="2122"/>
        <v>0.95823089695629082</v>
      </c>
      <c r="BS390" s="65">
        <f t="shared" si="2122"/>
        <v>0.9418697300277783</v>
      </c>
      <c r="BT390" s="65">
        <f t="shared" si="2122"/>
        <v>0.91929847755591731</v>
      </c>
      <c r="BU390" s="65">
        <f t="shared" si="2122"/>
        <v>0.93271485633122397</v>
      </c>
      <c r="BV390" s="65">
        <f t="shared" si="2122"/>
        <v>0.94395742052712306</v>
      </c>
      <c r="BW390" s="65">
        <f t="shared" si="2122"/>
        <v>0.92203004838443081</v>
      </c>
      <c r="BX390" s="65">
        <f t="shared" si="2122"/>
        <v>0.93507198253677026</v>
      </c>
      <c r="BY390" s="65">
        <f t="shared" si="2122"/>
        <v>0.9295549936510864</v>
      </c>
      <c r="BZ390" s="65">
        <f t="shared" si="2122"/>
        <v>0.92463576694648997</v>
      </c>
      <c r="CA390" s="65">
        <f t="shared" si="2122"/>
        <v>0.92761863471457717</v>
      </c>
      <c r="CB390" s="65">
        <f t="shared" si="2122"/>
        <v>0.93994762249785557</v>
      </c>
      <c r="CC390" s="65">
        <f t="shared" si="2122"/>
        <v>0.91643613839026794</v>
      </c>
      <c r="CD390" s="65">
        <f t="shared" si="2122"/>
        <v>0.93085492627231381</v>
      </c>
      <c r="CE390" s="65">
        <f t="shared" si="2122"/>
        <v>0.97686876849874404</v>
      </c>
      <c r="CF390" s="65">
        <f t="shared" si="2122"/>
        <v>0.93888743005988484</v>
      </c>
      <c r="CG390" s="65">
        <f t="shared" si="2122"/>
        <v>0.9671500351974589</v>
      </c>
      <c r="CH390" s="65">
        <f t="shared" si="2122"/>
        <v>0.98035077701198747</v>
      </c>
      <c r="CI390" s="65">
        <f t="shared" si="2122"/>
        <v>0.94910200260295652</v>
      </c>
      <c r="CJ390" s="65">
        <f t="shared" si="2122"/>
        <v>0.97238457225236596</v>
      </c>
      <c r="CK390" s="65">
        <f t="shared" si="2122"/>
        <v>0.97886558618416164</v>
      </c>
      <c r="CL390" s="65">
        <f t="shared" si="2122"/>
        <v>0.93222811297345565</v>
      </c>
      <c r="CM390" s="65">
        <f t="shared" si="2122"/>
        <v>0.96681889656426678</v>
      </c>
      <c r="CN390" s="65">
        <f t="shared" si="2122"/>
        <v>0.97316242543074472</v>
      </c>
      <c r="CO390" s="65">
        <f t="shared" si="2122"/>
        <v>0.91708859190688352</v>
      </c>
      <c r="CP390" s="65">
        <f t="shared" si="2122"/>
        <v>0.95919621096189689</v>
      </c>
      <c r="CQ390" s="65">
        <f t="shared" si="2122"/>
        <v>0.96954190020768305</v>
      </c>
      <c r="CR390" s="65">
        <f t="shared" si="2122"/>
        <v>0.89671879969870361</v>
      </c>
      <c r="CS390" s="65">
        <f t="shared" ref="CS390:DU390" si="2123">CS389/CS366</f>
        <v>0.95270666155208117</v>
      </c>
      <c r="CT390" s="65">
        <f t="shared" si="2123"/>
        <v>0.97055642993763214</v>
      </c>
      <c r="CU390" s="65">
        <f t="shared" si="2123"/>
        <v>0.91870840005485255</v>
      </c>
      <c r="CV390" s="65">
        <f t="shared" si="2123"/>
        <v>0.95853574368033745</v>
      </c>
      <c r="CW390" s="65">
        <f t="shared" si="2123"/>
        <v>0.97336829087858823</v>
      </c>
      <c r="CX390" s="65">
        <f t="shared" si="2123"/>
        <v>0.91683869325611422</v>
      </c>
      <c r="CY390" s="65">
        <f t="shared" si="2123"/>
        <v>0.95926719293642693</v>
      </c>
      <c r="CZ390" s="65">
        <f t="shared" si="2123"/>
        <v>0.97366666085720299</v>
      </c>
      <c r="DA390" s="65">
        <f t="shared" si="2123"/>
        <v>0.92685871798345731</v>
      </c>
      <c r="DB390" s="65">
        <f t="shared" si="2123"/>
        <v>0.96263917733832105</v>
      </c>
      <c r="DC390" s="65">
        <f t="shared" si="2123"/>
        <v>0.97489033160139327</v>
      </c>
      <c r="DD390" s="65">
        <f t="shared" si="2123"/>
        <v>0.92766096769883988</v>
      </c>
      <c r="DE390" s="65">
        <f t="shared" si="2123"/>
        <v>0.96368519069954706</v>
      </c>
      <c r="DF390" s="65">
        <f t="shared" si="2123"/>
        <v>0.97555499929429768</v>
      </c>
      <c r="DG390" s="65">
        <f t="shared" si="2123"/>
        <v>0.91681011285366565</v>
      </c>
      <c r="DH390" s="1066">
        <f t="shared" si="2123"/>
        <v>0.95864688179413737</v>
      </c>
      <c r="DI390" s="65">
        <f t="shared" si="2123"/>
        <v>0.97329939241099872</v>
      </c>
      <c r="DJ390" s="65">
        <f t="shared" si="2123"/>
        <v>0.97225202484464712</v>
      </c>
      <c r="DK390" s="1066">
        <f t="shared" si="2123"/>
        <v>0.97276264063920947</v>
      </c>
      <c r="DL390" s="65">
        <f t="shared" si="2123"/>
        <v>0.9741004106386687</v>
      </c>
      <c r="DM390" s="65">
        <f t="shared" si="2123"/>
        <v>0.97347863784434607</v>
      </c>
      <c r="DN390" s="1066">
        <f t="shared" si="2123"/>
        <v>0.97378823837211304</v>
      </c>
      <c r="DO390" s="65">
        <f t="shared" si="2123"/>
        <v>0.97636708855397725</v>
      </c>
      <c r="DP390" s="65">
        <f t="shared" si="2123"/>
        <v>0.968666720074014</v>
      </c>
      <c r="DQ390" s="1066">
        <f t="shared" si="2123"/>
        <v>0.9727048462506116</v>
      </c>
      <c r="DR390" s="65">
        <f t="shared" si="2123"/>
        <v>0.97357841159934688</v>
      </c>
      <c r="DS390" s="65">
        <f t="shared" si="2123"/>
        <v>0.97091824457187148</v>
      </c>
      <c r="DT390" s="1066">
        <f t="shared" si="2123"/>
        <v>0.97206665365505862</v>
      </c>
      <c r="DU390" s="65">
        <f t="shared" si="2123"/>
        <v>0.97412222231068868</v>
      </c>
      <c r="DV390" s="65">
        <f t="shared" ref="DV390:DX390" si="2124">DV389/DV366</f>
        <v>0.97382642011468434</v>
      </c>
      <c r="DW390" s="1066">
        <f t="shared" si="2124"/>
        <v>0.97398773067529454</v>
      </c>
      <c r="DX390" s="65">
        <f t="shared" si="2124"/>
        <v>0.97515733341826116</v>
      </c>
      <c r="DY390" s="65">
        <f t="shared" ref="DY390:ER390" si="2125">DY389/DY366</f>
        <v>0.97487336331009689</v>
      </c>
      <c r="DZ390" s="1066">
        <f t="shared" si="2125"/>
        <v>0.97501262967655644</v>
      </c>
      <c r="EA390" s="65">
        <f t="shared" si="2125"/>
        <v>0.97615104008153064</v>
      </c>
      <c r="EB390" s="65">
        <f t="shared" si="2125"/>
        <v>0.97587842877769315</v>
      </c>
      <c r="EC390" s="1066">
        <f t="shared" si="2125"/>
        <v>0.97601591138360211</v>
      </c>
      <c r="ED390" s="65">
        <f t="shared" si="2125"/>
        <v>0.97710499847826948</v>
      </c>
      <c r="EE390" s="65">
        <f t="shared" si="2125"/>
        <v>0.97684329162658534</v>
      </c>
      <c r="EF390" s="1066">
        <f t="shared" si="2125"/>
        <v>0.97697527492825809</v>
      </c>
      <c r="EG390" s="65">
        <f t="shared" si="2125"/>
        <v>0.9780207985391387</v>
      </c>
      <c r="EH390" s="65">
        <f t="shared" si="2125"/>
        <v>0.97776955996152193</v>
      </c>
      <c r="EI390" s="1066">
        <f t="shared" si="2125"/>
        <v>0.97789626393112783</v>
      </c>
      <c r="EJ390" s="65">
        <f t="shared" si="2125"/>
        <v>0.97889996659757317</v>
      </c>
      <c r="EK390" s="65">
        <f t="shared" si="2125"/>
        <v>0.97865877756306119</v>
      </c>
      <c r="EL390" s="1066">
        <f t="shared" si="2125"/>
        <v>0.97878041337388288</v>
      </c>
      <c r="EM390" s="65">
        <f t="shared" si="2125"/>
        <v>0.97974396793367013</v>
      </c>
      <c r="EN390" s="65">
        <f t="shared" si="2125"/>
        <v>0.97951242646053871</v>
      </c>
      <c r="EO390" s="1066">
        <f t="shared" si="2125"/>
        <v>0.97962919683892724</v>
      </c>
      <c r="EP390" s="65">
        <f t="shared" si="2125"/>
        <v>0.9805542092163233</v>
      </c>
      <c r="EQ390" s="65">
        <f t="shared" si="2125"/>
        <v>0.980331929402117</v>
      </c>
      <c r="ER390" s="1066">
        <f t="shared" si="2125"/>
        <v>0.9804440289653702</v>
      </c>
      <c r="ES390" s="65">
        <f t="shared" ref="ES390:EX390" si="2126">ES389/ES366</f>
        <v>0.98133204084767045</v>
      </c>
      <c r="ET390" s="65">
        <f t="shared" si="2126"/>
        <v>0.98111865222603245</v>
      </c>
      <c r="EU390" s="1066">
        <f t="shared" si="2126"/>
        <v>0.98122626780675559</v>
      </c>
      <c r="EV390" s="65">
        <f t="shared" si="2126"/>
        <v>0.98207875921376364</v>
      </c>
      <c r="EW390" s="65">
        <f t="shared" si="2126"/>
        <v>0.9818739061369911</v>
      </c>
      <c r="EX390" s="1066">
        <f t="shared" si="2126"/>
        <v>0.98197721709448516</v>
      </c>
      <c r="EY390" s="65">
        <f t="shared" ref="EY390:FA390" si="2127">EY389/EY366</f>
        <v>0.98279560884521311</v>
      </c>
      <c r="EZ390" s="65">
        <f t="shared" si="2127"/>
        <v>0.98259894989151142</v>
      </c>
      <c r="FA390" s="1066">
        <f t="shared" si="2127"/>
        <v>0.98269812841070581</v>
      </c>
    </row>
    <row r="391" spans="1:157" outlineLevel="1">
      <c r="B391" s="34" t="s">
        <v>790</v>
      </c>
      <c r="BA391" s="35"/>
      <c r="BB391" s="35"/>
      <c r="BC391" s="322"/>
      <c r="BD391" s="35"/>
      <c r="BE391" s="35"/>
      <c r="BG391" s="35"/>
      <c r="BH391" s="35"/>
      <c r="BJ391" s="35"/>
      <c r="BK391" s="35"/>
      <c r="BL391" s="31"/>
      <c r="BM391" s="35"/>
      <c r="BN391" s="35"/>
      <c r="BO391" s="31"/>
      <c r="BP391" s="35"/>
      <c r="BQ391" s="35"/>
      <c r="BR391" s="1024"/>
      <c r="BS391" s="74"/>
      <c r="BT391" s="70"/>
      <c r="BU391" s="74"/>
      <c r="BV391" s="74"/>
      <c r="BW391" s="74"/>
      <c r="BX391" s="74"/>
      <c r="BY391" s="70"/>
      <c r="BZ391" s="70"/>
      <c r="CA391" s="70"/>
      <c r="CB391" s="70"/>
      <c r="CC391" s="70"/>
      <c r="CD391" s="70"/>
      <c r="CE391" s="70"/>
      <c r="CF391" s="70"/>
      <c r="CG391" s="70"/>
      <c r="CH391" s="70"/>
      <c r="CI391" s="70"/>
      <c r="CJ391" s="70"/>
      <c r="CK391" s="35"/>
      <c r="CL391" s="35"/>
      <c r="CN391" s="35"/>
      <c r="CO391" s="35"/>
      <c r="CQ391" s="35"/>
      <c r="CR391" s="35"/>
      <c r="CT391" s="35"/>
      <c r="CU391" s="35"/>
      <c r="CW391" s="35"/>
      <c r="CX391" s="35"/>
      <c r="CZ391" s="35"/>
      <c r="DA391" s="35"/>
      <c r="DC391" s="35"/>
      <c r="DD391" s="35"/>
      <c r="DF391" s="35"/>
      <c r="DG391" s="35"/>
      <c r="DH391" s="1067"/>
      <c r="DI391" s="35"/>
      <c r="DJ391" s="35"/>
      <c r="DK391" s="1067"/>
      <c r="DL391" s="35"/>
      <c r="DM391" s="35"/>
      <c r="DN391" s="1067"/>
      <c r="DO391" s="35"/>
      <c r="DP391" s="35"/>
      <c r="DQ391" s="1067"/>
      <c r="DR391" s="35"/>
      <c r="DS391" s="35"/>
      <c r="DT391" s="1067"/>
      <c r="DU391" s="35"/>
      <c r="DV391" s="35"/>
      <c r="DW391" s="1067"/>
      <c r="DX391" s="35"/>
      <c r="DY391" s="35"/>
      <c r="DZ391" s="1067"/>
      <c r="EA391" s="35"/>
      <c r="EB391" s="35"/>
      <c r="EC391" s="1067"/>
      <c r="ED391" s="35"/>
      <c r="EE391" s="35"/>
      <c r="EF391" s="1067"/>
      <c r="EG391" s="35"/>
      <c r="EH391" s="35"/>
      <c r="EI391" s="1067"/>
      <c r="EJ391" s="35"/>
      <c r="EK391" s="35"/>
      <c r="EL391" s="1067"/>
      <c r="EM391" s="35"/>
      <c r="EN391" s="35"/>
      <c r="EO391" s="1067"/>
      <c r="EP391" s="35"/>
      <c r="EQ391" s="35"/>
      <c r="ER391" s="1067"/>
      <c r="ES391" s="35"/>
      <c r="ET391" s="35"/>
      <c r="EU391" s="1067"/>
      <c r="EV391" s="35"/>
      <c r="EW391" s="35"/>
      <c r="EX391" s="1067"/>
      <c r="EY391" s="35"/>
      <c r="EZ391" s="35"/>
      <c r="FA391" s="1067"/>
    </row>
    <row r="392" spans="1:157" outlineLevel="1">
      <c r="B392" s="35" t="s">
        <v>22</v>
      </c>
      <c r="D392" s="162" t="s">
        <v>908</v>
      </c>
      <c r="BA392" s="35"/>
      <c r="BB392" s="35"/>
      <c r="BC392" s="322"/>
      <c r="BD392" s="35"/>
      <c r="BE392" s="35"/>
      <c r="BG392" s="35"/>
      <c r="BH392" s="35"/>
      <c r="BJ392" s="35"/>
      <c r="BK392" s="35"/>
      <c r="BL392" s="31"/>
      <c r="BM392" s="187">
        <v>2.7303754266211604E-3</v>
      </c>
      <c r="BN392" s="187">
        <v>2.5974025974025974E-3</v>
      </c>
      <c r="BO392" s="978">
        <v>2.6638890120118789E-3</v>
      </c>
      <c r="BP392" s="187">
        <v>2.7027027027027029E-3</v>
      </c>
      <c r="BQ392" s="187">
        <v>2.6666666666666666E-3</v>
      </c>
      <c r="BR392" s="978">
        <v>2.6846846846846845E-3</v>
      </c>
      <c r="BS392" s="187">
        <v>2.6666666666666666E-3</v>
      </c>
      <c r="BT392" s="187">
        <v>2.5000000000000001E-3</v>
      </c>
      <c r="BU392" s="187">
        <v>2.5833333333333333E-3</v>
      </c>
      <c r="BV392" s="187">
        <v>2.3021052752742383E-3</v>
      </c>
      <c r="BW392" s="187">
        <v>2.1668472372697724E-3</v>
      </c>
      <c r="BX392" s="187">
        <v>2.2344762562720053E-3</v>
      </c>
      <c r="BY392" s="187">
        <v>2.5000000000000001E-3</v>
      </c>
      <c r="BZ392" s="187">
        <v>2.7958617104667737E-3</v>
      </c>
      <c r="CA392" s="187">
        <v>2.6479308552333869E-3</v>
      </c>
      <c r="CB392" s="187">
        <v>2.2948001046567924E-3</v>
      </c>
      <c r="CC392" s="187">
        <v>2.2407963082459615E-3</v>
      </c>
      <c r="CD392" s="187">
        <v>2.267798206451377E-3</v>
      </c>
      <c r="CE392" s="187">
        <f>CB392*(1+CE393)</f>
        <v>1.9786569682387492E-3</v>
      </c>
      <c r="CF392" s="187">
        <f>CC392*(1+CF393)</f>
        <v>2.2997516591159129E-3</v>
      </c>
      <c r="CG392" s="187">
        <f>CG395/CG369</f>
        <v>2.195679671719691E-3</v>
      </c>
      <c r="CH392" s="187">
        <f>CE392*(1+CH393)</f>
        <v>1.9586527462898554E-3</v>
      </c>
      <c r="CI392" s="187">
        <f>CF392*(1+CI393)</f>
        <v>1.9476136850720843E-3</v>
      </c>
      <c r="CJ392" s="187">
        <f>CJ395/CJ369</f>
        <v>1.9549730592172648E-3</v>
      </c>
      <c r="CK392" s="187">
        <f>CH392*(1+CK393)</f>
        <v>1.6915904443332336E-3</v>
      </c>
      <c r="CL392" s="187">
        <f>CI392*(1+CL393)</f>
        <v>1.7687795928774208E-3</v>
      </c>
      <c r="CM392" s="187">
        <f>CM395/CM369</f>
        <v>1.7278168905312022E-3</v>
      </c>
      <c r="CN392" s="187">
        <f>CK392*(1+CN393)</f>
        <v>2.2380487395769382E-3</v>
      </c>
      <c r="CO392" s="187">
        <f>CL392*(1+CO393)</f>
        <v>1.913479070361854E-3</v>
      </c>
      <c r="CP392" s="187">
        <f>CP395/CP369</f>
        <v>1.9883438552122743E-3</v>
      </c>
      <c r="CQ392" s="187">
        <f>CN392*(1+CQ393)</f>
        <v>2.3643704537617783E-3</v>
      </c>
      <c r="CR392" s="187">
        <f>CO392*(1+CR393)</f>
        <v>2.6606724885822734E-3</v>
      </c>
      <c r="CS392" s="187">
        <f>CS395/CS369</f>
        <v>2.6606724885822734E-3</v>
      </c>
      <c r="CT392" s="187">
        <f>CQ392*(1+CT393)</f>
        <v>2.4050307019986292E-3</v>
      </c>
      <c r="CU392" s="187">
        <f>CR392*(1+CU393)</f>
        <v>2.0941887090382217E-3</v>
      </c>
      <c r="CV392" s="187"/>
      <c r="CW392" s="187">
        <f>CT392*(1+CW393)</f>
        <v>2.1753502699577601E-3</v>
      </c>
      <c r="CX392" s="187">
        <f>CU392*(1+CX393)</f>
        <v>2.1423550493461004E-3</v>
      </c>
      <c r="CY392" s="187"/>
      <c r="CZ392" s="187">
        <f>CW392*(1+CZ393)</f>
        <v>2.150978600435238E-3</v>
      </c>
      <c r="DA392" s="187">
        <f>CX392*(1+DA393)</f>
        <v>1.8842247792758243E-3</v>
      </c>
      <c r="DB392" s="187"/>
      <c r="DC392" s="187">
        <f>CZ392*(1+DC393)</f>
        <v>2.0510258534456138E-3</v>
      </c>
      <c r="DD392" s="187">
        <f>DA392*(1+DD393)</f>
        <v>1.8635576710270419E-3</v>
      </c>
      <c r="DE392" s="187"/>
      <c r="DF392" s="187">
        <f>DC392*(1+DF393)</f>
        <v>2.0366686724714944E-3</v>
      </c>
      <c r="DG392" s="187">
        <f>DD392*(1+DG393)</f>
        <v>2.3018273741740995E-3</v>
      </c>
      <c r="DH392" s="1076"/>
      <c r="DI392" s="187">
        <f>DF392*(1+DI393)</f>
        <v>2.4470574099745004E-3</v>
      </c>
      <c r="DJ392" s="187">
        <f>DG392*(1+DJ393)</f>
        <v>2.0647391546341673E-3</v>
      </c>
      <c r="DK392" s="1076"/>
      <c r="DL392" s="187">
        <f>DI392*(1+DL393)</f>
        <v>2.1427866340951733E-3</v>
      </c>
      <c r="DM392" s="187">
        <f>DJ392*(1+DM393)</f>
        <v>1.9615021969024587E-3</v>
      </c>
      <c r="DN392" s="1076"/>
      <c r="DO392" s="187">
        <f>DL392*(1+DO393)</f>
        <v>2.1738570402895533E-3</v>
      </c>
      <c r="DP392" s="187">
        <f>DM392*(1+DP393)</f>
        <v>2.4734542702940007E-3</v>
      </c>
      <c r="DQ392" s="1076"/>
      <c r="DR392" s="187">
        <f>DO392*(1+DR393)</f>
        <v>2.282549892304031E-3</v>
      </c>
      <c r="DS392" s="187">
        <f>DP392*(1+DS393)</f>
        <v>2.3497815567793006E-3</v>
      </c>
      <c r="DT392" s="1076"/>
      <c r="DU392" s="187">
        <f>DR392*(1+DU393)</f>
        <v>2.1912478966118697E-3</v>
      </c>
      <c r="DV392" s="187">
        <f>DS392*(1+DV393)</f>
        <v>2.2322924789403356E-3</v>
      </c>
      <c r="DW392" s="1076"/>
      <c r="DX392" s="187">
        <f>DU392*(1+DX393)</f>
        <v>2.1035979807473948E-3</v>
      </c>
      <c r="DY392" s="187">
        <f>DV392*(1+DY393)</f>
        <v>2.2099695541509322E-3</v>
      </c>
      <c r="DZ392" s="1076"/>
      <c r="EA392" s="187">
        <f>DX392*(1+EA393)</f>
        <v>2.0194540615174989E-3</v>
      </c>
      <c r="EB392" s="187">
        <f>DY392*(1+EB393)</f>
        <v>2.121570771984895E-3</v>
      </c>
      <c r="EC392" s="1076"/>
      <c r="ED392" s="187">
        <f>EA392*(1+ED393)</f>
        <v>1.938675899056799E-3</v>
      </c>
      <c r="EE392" s="187">
        <f>EB392*(1+EE393)</f>
        <v>2.0367079411054991E-3</v>
      </c>
      <c r="EF392" s="1076"/>
      <c r="EG392" s="187">
        <f>ED392*(1+EG393)</f>
        <v>1.8611288630945269E-3</v>
      </c>
      <c r="EH392" s="187">
        <f>EE392*(1+EH393)</f>
        <v>1.9552396234612792E-3</v>
      </c>
      <c r="EI392" s="1076"/>
      <c r="EJ392" s="187">
        <f>EG392*(1+EJ393)</f>
        <v>1.7866837085707458E-3</v>
      </c>
      <c r="EK392" s="187">
        <f>EH392*(1+EK393)</f>
        <v>1.877030038522828E-3</v>
      </c>
      <c r="EL392" s="1076"/>
      <c r="EM392" s="187">
        <f>EJ392*(1+EM393)</f>
        <v>1.7152163602279159E-3</v>
      </c>
      <c r="EN392" s="187">
        <f>EK392*(1+EN393)</f>
        <v>1.8019488369819148E-3</v>
      </c>
      <c r="EO392" s="1076"/>
      <c r="EP392" s="187">
        <f>EM392*(1+EP393)</f>
        <v>1.6466077058187993E-3</v>
      </c>
      <c r="EQ392" s="187">
        <f>EN392*(1+EQ393)</f>
        <v>1.7298708835026381E-3</v>
      </c>
      <c r="ER392" s="1076"/>
      <c r="ES392" s="187">
        <f>EP392*(1+ES393)</f>
        <v>1.5807433975860473E-3</v>
      </c>
      <c r="ET392" s="187">
        <f>EQ392*(1+ET393)</f>
        <v>1.6606760481625326E-3</v>
      </c>
      <c r="EU392" s="1076"/>
      <c r="EV392" s="187">
        <f>ES392*(1+EV393)</f>
        <v>1.5175136616826055E-3</v>
      </c>
      <c r="EW392" s="187">
        <f>ET392*(1+EW393)</f>
        <v>1.5942490062360313E-3</v>
      </c>
      <c r="EX392" s="1076"/>
      <c r="EY392" s="187">
        <f>EV392*(1+EY393)</f>
        <v>1.4568131152153012E-3</v>
      </c>
      <c r="EZ392" s="187">
        <f>EW392*(1+EZ393)</f>
        <v>1.5304790459865899E-3</v>
      </c>
      <c r="FA392" s="1076"/>
    </row>
    <row r="393" spans="1:157" outlineLevel="1">
      <c r="B393" s="31" t="s">
        <v>753</v>
      </c>
      <c r="BA393" s="91"/>
      <c r="BB393" s="91"/>
      <c r="BC393" s="942"/>
      <c r="BD393" s="91"/>
      <c r="BE393" s="91"/>
      <c r="BF393" s="87"/>
      <c r="BG393" s="91"/>
      <c r="BH393" s="91"/>
      <c r="BI393" s="87"/>
      <c r="BP393" s="125">
        <f>BP392/BM392-1</f>
        <v>-1.0135135135135087E-2</v>
      </c>
      <c r="BQ393" s="125">
        <f>BQ392/BN392-1</f>
        <v>2.6666666666666616E-2</v>
      </c>
      <c r="BR393" s="125">
        <f>BR392/BO392-1</f>
        <v>7.8065086717331589E-3</v>
      </c>
      <c r="BS393" s="32">
        <f>BS376</f>
        <v>0.59243630068348896</v>
      </c>
      <c r="BT393" s="32">
        <f>BT376</f>
        <v>0.5352495008408592</v>
      </c>
      <c r="BU393" s="65">
        <f>BU392/BR392-1</f>
        <v>-3.7751677852348897E-2</v>
      </c>
      <c r="BV393" s="32">
        <f>BV376</f>
        <v>-4.6477458725132891E-3</v>
      </c>
      <c r="BW393" s="32">
        <f>BW376</f>
        <v>-6.4251571004850325E-3</v>
      </c>
      <c r="BX393" s="65">
        <f>BX392/BU392-1</f>
        <v>-0.13504144918503014</v>
      </c>
      <c r="BY393" s="32">
        <f>BY376</f>
        <v>0.20538591478390603</v>
      </c>
      <c r="BZ393" s="32">
        <f>BZ376</f>
        <v>-1.3610000000000001E-2</v>
      </c>
      <c r="CA393" s="65">
        <f>CA392/BX392-1</f>
        <v>0.1850342324295664</v>
      </c>
      <c r="CB393" s="32">
        <f>CB376</f>
        <v>-9.6369999999999997E-2</v>
      </c>
      <c r="CC393" s="32">
        <f>CC376</f>
        <v>0.10879999999999999</v>
      </c>
      <c r="CD393" s="65">
        <f>CD392/CA392-1</f>
        <v>-0.14355837427956752</v>
      </c>
      <c r="CE393" s="32">
        <f>CE376</f>
        <v>-0.137765</v>
      </c>
      <c r="CF393" s="32">
        <f>CF376</f>
        <v>2.631E-2</v>
      </c>
      <c r="CG393" s="65">
        <f>CG392/CD392-1</f>
        <v>-3.1801125217634008E-2</v>
      </c>
      <c r="CH393" s="32">
        <f>CH376</f>
        <v>-1.0109999999999999E-2</v>
      </c>
      <c r="CI393" s="32">
        <f>CI376</f>
        <v>-0.15312000000000001</v>
      </c>
      <c r="CJ393" s="65">
        <f>CJ392/CG392-1</f>
        <v>-0.10962738126272353</v>
      </c>
      <c r="CK393" s="32">
        <f>CK376</f>
        <v>-0.13635</v>
      </c>
      <c r="CL393" s="32">
        <v>-9.1822158349664965E-2</v>
      </c>
      <c r="CM393" s="65">
        <f>CM392/CJ392-1</f>
        <v>-0.11619401485614933</v>
      </c>
      <c r="CN393" s="32">
        <f>CN376</f>
        <v>0.32304408970523563</v>
      </c>
      <c r="CO393" s="32">
        <f>CO376</f>
        <v>8.1807523145966676E-2</v>
      </c>
      <c r="CP393" s="65">
        <f>CP392/CM392-1</f>
        <v>0.15078389736135489</v>
      </c>
      <c r="CQ393" s="32">
        <f>CQ376</f>
        <v>5.644278962786077E-2</v>
      </c>
      <c r="CR393" s="32">
        <f>CR376</f>
        <v>0.39048946486732117</v>
      </c>
      <c r="CS393" s="65">
        <f>CS392/CP392-1</f>
        <v>0.33813499189667162</v>
      </c>
      <c r="CT393" s="32">
        <f>CT376</f>
        <v>1.7197071707675773E-2</v>
      </c>
      <c r="CU393" s="32">
        <f>CU376</f>
        <v>-0.21290999999999999</v>
      </c>
      <c r="CV393" s="65"/>
      <c r="CW393" s="32">
        <f>CW376</f>
        <v>-9.5500000000000002E-2</v>
      </c>
      <c r="CX393" s="32">
        <f>CX376</f>
        <v>2.3E-2</v>
      </c>
      <c r="CY393" s="65"/>
      <c r="CZ393" s="32">
        <f>CZ376</f>
        <v>-1.1203561035251219E-2</v>
      </c>
      <c r="DA393" s="32">
        <f>DA376</f>
        <v>-0.12048902451956504</v>
      </c>
      <c r="DB393" s="65"/>
      <c r="DC393" s="32">
        <f>DC376</f>
        <v>-4.6468499021514759E-2</v>
      </c>
      <c r="DD393" s="32">
        <f>DD376</f>
        <v>-1.0968494033246649E-2</v>
      </c>
      <c r="DE393" s="65"/>
      <c r="DF393" s="32">
        <f>DF376</f>
        <v>-7.0000000000000001E-3</v>
      </c>
      <c r="DG393" s="32">
        <f>DG376</f>
        <v>0.23517903951183802</v>
      </c>
      <c r="DH393" s="1077"/>
      <c r="DI393" s="32">
        <f>DI376</f>
        <v>0.20150000000000001</v>
      </c>
      <c r="DJ393" s="32">
        <f>DJ376</f>
        <v>-0.10299999999999999</v>
      </c>
      <c r="DK393" s="1077"/>
      <c r="DL393" s="1055">
        <f>DL376</f>
        <v>-0.12434149466174463</v>
      </c>
      <c r="DM393" s="1055">
        <f>DM376</f>
        <v>-0.05</v>
      </c>
      <c r="DN393" s="1077"/>
      <c r="DO393" s="1055">
        <f>DO376</f>
        <v>1.4500000000000001E-2</v>
      </c>
      <c r="DP393" s="1055">
        <f>DP376</f>
        <v>0.26100000000000001</v>
      </c>
      <c r="DQ393" s="1077"/>
      <c r="DR393" s="1055">
        <v>0.05</v>
      </c>
      <c r="DS393" s="1055">
        <v>-0.05</v>
      </c>
      <c r="DT393" s="1077"/>
      <c r="DU393" s="1055">
        <f>DU376</f>
        <v>-0.04</v>
      </c>
      <c r="DV393" s="1055">
        <v>-0.05</v>
      </c>
      <c r="DW393" s="1077"/>
      <c r="DX393" s="1055">
        <f>DX376</f>
        <v>-0.04</v>
      </c>
      <c r="DY393" s="1055">
        <f>DY376</f>
        <v>-0.01</v>
      </c>
      <c r="DZ393" s="1077"/>
      <c r="EA393" s="1055">
        <f>EA376</f>
        <v>-0.04</v>
      </c>
      <c r="EB393" s="1055">
        <f>EB376</f>
        <v>-0.04</v>
      </c>
      <c r="EC393" s="1077"/>
      <c r="ED393" s="1055">
        <f>ED376</f>
        <v>-0.04</v>
      </c>
      <c r="EE393" s="1055">
        <f>EE376</f>
        <v>-0.04</v>
      </c>
      <c r="EF393" s="1077"/>
      <c r="EG393" s="1055">
        <f>EG376</f>
        <v>-0.04</v>
      </c>
      <c r="EH393" s="1055">
        <f>EH376</f>
        <v>-0.04</v>
      </c>
      <c r="EI393" s="1077"/>
      <c r="EJ393" s="1055">
        <f>EJ376</f>
        <v>-0.04</v>
      </c>
      <c r="EK393" s="1055">
        <f>EK376</f>
        <v>-0.04</v>
      </c>
      <c r="EL393" s="1077"/>
      <c r="EM393" s="1055">
        <f>EM376</f>
        <v>-0.04</v>
      </c>
      <c r="EN393" s="1055">
        <f>EN376</f>
        <v>-0.04</v>
      </c>
      <c r="EO393" s="1077"/>
      <c r="EP393" s="1055">
        <f>EP376</f>
        <v>-0.04</v>
      </c>
      <c r="EQ393" s="1055">
        <f>EQ376</f>
        <v>-0.04</v>
      </c>
      <c r="ER393" s="1077"/>
      <c r="ES393" s="1055">
        <f>ES376</f>
        <v>-0.04</v>
      </c>
      <c r="ET393" s="1055">
        <f>ET376</f>
        <v>-0.04</v>
      </c>
      <c r="EU393" s="1077"/>
      <c r="EV393" s="1055">
        <f>EV376</f>
        <v>-0.04</v>
      </c>
      <c r="EW393" s="1055">
        <f>EW376</f>
        <v>-0.04</v>
      </c>
      <c r="EX393" s="1077"/>
      <c r="EY393" s="1055">
        <f>EY376</f>
        <v>-0.04</v>
      </c>
      <c r="EZ393" s="1055">
        <f>EZ376</f>
        <v>-0.04</v>
      </c>
      <c r="FA393" s="1077"/>
    </row>
    <row r="394" spans="1:157" outlineLevel="1">
      <c r="B394" s="31"/>
      <c r="BA394" s="91"/>
      <c r="BB394" s="91"/>
      <c r="BC394" s="942"/>
      <c r="BD394" s="91"/>
      <c r="BE394" s="91"/>
      <c r="BF394" s="87"/>
      <c r="BG394" s="91"/>
      <c r="BH394" s="91"/>
      <c r="BI394" s="87"/>
      <c r="BR394" s="124"/>
      <c r="BS394" s="101"/>
      <c r="BT394" s="71"/>
      <c r="BU394" s="74"/>
      <c r="BV394" s="101"/>
      <c r="BW394" s="101"/>
      <c r="BX394" s="74"/>
      <c r="BY394" s="71"/>
      <c r="BZ394" s="71"/>
      <c r="CA394" s="70"/>
      <c r="CB394" s="71"/>
      <c r="CC394" s="71"/>
      <c r="CD394" s="70"/>
      <c r="CE394" s="71"/>
      <c r="CF394" s="71"/>
      <c r="CG394" s="70"/>
      <c r="CH394" s="71"/>
      <c r="CI394" s="71"/>
      <c r="CJ394" s="70"/>
      <c r="DC394" s="72"/>
      <c r="DD394" s="72"/>
      <c r="DE394" s="72"/>
      <c r="DF394" s="72"/>
      <c r="DG394" s="72"/>
      <c r="DH394" s="1088"/>
      <c r="DI394" s="72"/>
      <c r="DJ394" s="72"/>
      <c r="DK394" s="1088"/>
      <c r="DL394" s="72"/>
      <c r="DM394" s="72"/>
      <c r="DN394" s="1088"/>
      <c r="DO394" s="72"/>
      <c r="DP394" s="72"/>
      <c r="DQ394" s="1088"/>
      <c r="DR394" s="72"/>
      <c r="DS394" s="72"/>
      <c r="DT394" s="1088"/>
      <c r="DU394" s="72"/>
      <c r="DV394" s="72"/>
      <c r="DW394" s="1088"/>
      <c r="DX394" s="72"/>
      <c r="DY394" s="72"/>
      <c r="DZ394" s="1088"/>
      <c r="EA394" s="72"/>
      <c r="EB394" s="72"/>
      <c r="EC394" s="1088"/>
      <c r="ED394" s="72"/>
      <c r="EE394" s="72"/>
      <c r="EF394" s="1088"/>
      <c r="EG394" s="72"/>
      <c r="EH394" s="72"/>
      <c r="EI394" s="1088"/>
      <c r="EJ394" s="72"/>
      <c r="EK394" s="72"/>
      <c r="EL394" s="1088"/>
      <c r="EO394" s="1088"/>
      <c r="ER394" s="1088"/>
      <c r="EU394" s="1088"/>
      <c r="EX394" s="1088"/>
      <c r="FA394" s="1088"/>
    </row>
    <row r="395" spans="1:157" outlineLevel="1">
      <c r="B395" s="35" t="s">
        <v>429</v>
      </c>
      <c r="D395" s="162" t="s">
        <v>908</v>
      </c>
      <c r="BA395" s="35"/>
      <c r="BB395" s="35"/>
      <c r="BC395" s="322"/>
      <c r="BD395" s="35"/>
      <c r="BE395" s="35"/>
      <c r="BG395" s="35"/>
      <c r="BH395" s="35"/>
      <c r="BJ395" s="35"/>
      <c r="BK395" s="35"/>
      <c r="BL395" s="31"/>
      <c r="BM395" s="70">
        <f>BM392*BM369</f>
        <v>0</v>
      </c>
      <c r="BN395" s="70">
        <f>BN392*BN369</f>
        <v>0</v>
      </c>
      <c r="BO395" s="1024">
        <f>SUM(BM395:BN395)</f>
        <v>0</v>
      </c>
      <c r="BP395" s="70">
        <f>BP392*BP369</f>
        <v>0</v>
      </c>
      <c r="BQ395" s="70">
        <f>BQ392*BQ369</f>
        <v>0</v>
      </c>
      <c r="BR395" s="1024">
        <f>SUM(BP395:BQ395)</f>
        <v>0</v>
      </c>
      <c r="BS395" s="70">
        <f>BS392*BS369</f>
        <v>1.7775572101291288</v>
      </c>
      <c r="BT395" s="70">
        <f>BT392*BT369</f>
        <v>2.4996898267440875</v>
      </c>
      <c r="BU395" s="70">
        <f>SUM(BS395:BT395)</f>
        <v>4.2772470368732165</v>
      </c>
      <c r="BV395" s="70">
        <f>BV392*BV369</f>
        <v>1.5345464364525097</v>
      </c>
      <c r="BW395" s="70">
        <f>BW392*BW369</f>
        <v>1.805481998370593</v>
      </c>
      <c r="BX395" s="70">
        <f>SUM(BV395:BW395)</f>
        <v>3.3400284348231026</v>
      </c>
      <c r="BY395" s="70">
        <f>BY392*BY369</f>
        <v>1.6664598844960585</v>
      </c>
      <c r="BZ395" s="70">
        <f>BZ392*BZ369</f>
        <v>1.8636765532365649</v>
      </c>
      <c r="CA395" s="70">
        <f>SUM(BY395:BZ395)</f>
        <v>3.5301364377326232</v>
      </c>
      <c r="CB395" s="70">
        <f>CB392*CB369</f>
        <v>0</v>
      </c>
      <c r="CC395" s="70">
        <f>CC392*CC369</f>
        <v>0</v>
      </c>
      <c r="CD395" s="70">
        <f>SUM(CB395:CC395)</f>
        <v>0</v>
      </c>
      <c r="CE395" s="70">
        <f>CE392*CE369</f>
        <v>1.5582441545933821</v>
      </c>
      <c r="CF395" s="70">
        <f>CF392*CF369</f>
        <v>3.7767414922193296</v>
      </c>
      <c r="CG395" s="70">
        <f>SUM(CE395:CF395)</f>
        <v>5.3349856468127115</v>
      </c>
      <c r="CH395" s="70">
        <f>CH392*CH369</f>
        <v>3.6079127747049324</v>
      </c>
      <c r="CI395" s="70">
        <f>CI392*CI369</f>
        <v>1.7937892022647082</v>
      </c>
      <c r="CJ395" s="70">
        <f>SUM(CH395:CI395)</f>
        <v>5.4017019769696404</v>
      </c>
      <c r="CK395" s="70">
        <f>CK392*CK369</f>
        <v>2.1811817075117395</v>
      </c>
      <c r="CL395" s="70">
        <f>CL392*CL369</f>
        <v>2.0170073225324026</v>
      </c>
      <c r="CM395" s="70">
        <f>SUM(CK395:CL395)</f>
        <v>4.1981890300441425</v>
      </c>
      <c r="CN395" s="70">
        <f>CN392*CN369</f>
        <v>0.59681299722051961</v>
      </c>
      <c r="CO395" s="70">
        <f>CO392*CO369</f>
        <v>1.7019308288619024</v>
      </c>
      <c r="CP395" s="70">
        <f>SUM(CN395:CO395)</f>
        <v>2.298743826082422</v>
      </c>
      <c r="CQ395" s="70">
        <f>CQ392*CQ369</f>
        <v>0</v>
      </c>
      <c r="CR395" s="70">
        <f>CR392*CR369</f>
        <v>0.49010598121823734</v>
      </c>
      <c r="CS395" s="70">
        <f>SUM(CQ395:CR395)</f>
        <v>0.49010598121823734</v>
      </c>
      <c r="CT395" s="70">
        <f>CT392*CT369</f>
        <v>4.7699775589639479</v>
      </c>
      <c r="CU395" s="70">
        <f>CU392*CU369</f>
        <v>3.7741938079554149</v>
      </c>
      <c r="CV395" s="70">
        <f>SUM(CT395:CU395)</f>
        <v>8.5441713669193629</v>
      </c>
      <c r="CW395" s="70">
        <f>CW392*CW369</f>
        <v>4.6047330623838691</v>
      </c>
      <c r="CX395" s="70">
        <f>CX392*CX369</f>
        <v>3.1339519316054232</v>
      </c>
      <c r="CY395" s="70">
        <f>SUM(CW395:CX395)</f>
        <v>7.7386849939892919</v>
      </c>
      <c r="CZ395" s="70">
        <f>CZ392*CZ369</f>
        <v>2.8240393420402463</v>
      </c>
      <c r="DA395" s="70">
        <f>DA392*DA369</f>
        <v>3.4831107125595206</v>
      </c>
      <c r="DB395" s="70">
        <f>SUM(CZ395:DA395)</f>
        <v>6.3071500545997665</v>
      </c>
      <c r="DC395" s="70">
        <f>DC392*DC369</f>
        <v>3.9334907883981791</v>
      </c>
      <c r="DD395" s="70">
        <f>DD392*DD369</f>
        <v>3.8057261959101623</v>
      </c>
      <c r="DE395" s="70">
        <f>SUM(DC395:DD395)</f>
        <v>7.7392169843083414</v>
      </c>
      <c r="DF395" s="70">
        <f>DF392*DF369</f>
        <v>5.1898182823808661</v>
      </c>
      <c r="DG395" s="70">
        <f>DG392*DG369</f>
        <v>4.1049720193919255</v>
      </c>
      <c r="DH395" s="1070">
        <f>SUM(DF395:DG395)</f>
        <v>9.2947903017727924</v>
      </c>
      <c r="DI395" s="70">
        <f>DI392*DI369</f>
        <v>4.376963252283625</v>
      </c>
      <c r="DJ395" s="70">
        <f>DJ392*DJ369</f>
        <v>4.3659357814164617</v>
      </c>
      <c r="DK395" s="1070">
        <f>SUM(DI395:DJ395)</f>
        <v>8.7428990337000876</v>
      </c>
      <c r="DL395" s="233">
        <f>DL392*DL369</f>
        <v>6.5258344664193784</v>
      </c>
      <c r="DM395" s="233">
        <f>DM392*DM369</f>
        <v>6.2691825915688719</v>
      </c>
      <c r="DN395" s="1070">
        <f>SUM(DL395:DM395)</f>
        <v>12.79501705798825</v>
      </c>
      <c r="DO395" s="233">
        <f>DO392*DO369</f>
        <v>6.6979943801860218</v>
      </c>
      <c r="DP395" s="233">
        <f>DP392*DP369</f>
        <v>10.168345191865315</v>
      </c>
      <c r="DQ395" s="1070">
        <f>SUM(DO395:DP395)</f>
        <v>16.866339572051338</v>
      </c>
      <c r="DR395" s="233">
        <f>DR392*DR369</f>
        <v>9.1531577406203972</v>
      </c>
      <c r="DS395" s="233">
        <f>DS392*DS369</f>
        <v>9.195302343445567</v>
      </c>
      <c r="DT395" s="1070">
        <f>SUM(DR395:DS395)</f>
        <v>18.348460084065962</v>
      </c>
      <c r="DU395" s="233">
        <f>DU392*DU369</f>
        <v>8.9995627870691095</v>
      </c>
      <c r="DV395" s="233">
        <f>DV392*DV369</f>
        <v>9.264192423423653</v>
      </c>
      <c r="DW395" s="1070">
        <f>SUM(DU395:DV395)</f>
        <v>18.263755210492761</v>
      </c>
      <c r="DX395" s="233">
        <f>DX392*DX369</f>
        <v>9.1429357416455677</v>
      </c>
      <c r="DY395" s="233">
        <f>DY392*DY369</f>
        <v>9.6788001349165285</v>
      </c>
      <c r="DZ395" s="1070">
        <f>SUM(DX395:DY395)</f>
        <v>18.821735876562094</v>
      </c>
      <c r="EA395" s="233">
        <f>EA392*EA369</f>
        <v>9.4894908273428769</v>
      </c>
      <c r="EB395" s="233">
        <f>EB392*EB369</f>
        <v>9.931575819212517</v>
      </c>
      <c r="EC395" s="1070">
        <f>SUM(EA395:EB395)</f>
        <v>19.421066646555396</v>
      </c>
      <c r="ED395" s="233">
        <f>ED392*ED369</f>
        <v>9.5654067539616214</v>
      </c>
      <c r="EE395" s="233">
        <f>EE392*EE369</f>
        <v>10.011028425766217</v>
      </c>
      <c r="EF395" s="1070">
        <f>SUM(ED395:EE395)</f>
        <v>19.576435179727838</v>
      </c>
      <c r="EG395" s="233">
        <f>EG392*EG369</f>
        <v>9.6419300079933148</v>
      </c>
      <c r="EH395" s="233">
        <f>EH392*EH369</f>
        <v>10.09111665317235</v>
      </c>
      <c r="EI395" s="1070">
        <f>SUM(EG395:EH395)</f>
        <v>19.733046661165666</v>
      </c>
      <c r="EJ395" s="233">
        <f>EJ392*EJ369</f>
        <v>9.7190654480572611</v>
      </c>
      <c r="EK395" s="233">
        <f>EK392*EK369</f>
        <v>10.171845586397728</v>
      </c>
      <c r="EL395" s="1070">
        <f>SUM(EJ395:EK395)</f>
        <v>19.890911034454987</v>
      </c>
      <c r="EM395" s="233">
        <f>EM392*EM369</f>
        <v>9.7968179716417207</v>
      </c>
      <c r="EN395" s="233">
        <f>EN392*EN369</f>
        <v>10.253220351088903</v>
      </c>
      <c r="EO395" s="1070">
        <f>SUM(EM395:EN395)</f>
        <v>20.050038322730622</v>
      </c>
      <c r="EP395" s="233">
        <f>EP392*EP369</f>
        <v>9.8751925154148541</v>
      </c>
      <c r="EQ395" s="233">
        <f>EQ392*EQ369</f>
        <v>10.335246113897622</v>
      </c>
      <c r="ER395" s="1070">
        <f>SUM(EP395:EQ395)</f>
        <v>20.210438629312478</v>
      </c>
      <c r="ES395" s="233">
        <f>ES392*ES369</f>
        <v>9.9541940555381743</v>
      </c>
      <c r="ET395" s="233">
        <f>ET392*ET369</f>
        <v>10.417928082808803</v>
      </c>
      <c r="EU395" s="1070">
        <f>SUM(ES395:ET395)</f>
        <v>20.372122138346977</v>
      </c>
      <c r="EV395" s="233">
        <f>EV392*EV369</f>
        <v>10.033827607982479</v>
      </c>
      <c r="EW395" s="233">
        <f>EW392*EW369</f>
        <v>10.501271507471275</v>
      </c>
      <c r="EX395" s="1070">
        <f>SUM(EV395:EW395)</f>
        <v>20.535099115453754</v>
      </c>
      <c r="EY395" s="233">
        <f>EY392*EY369</f>
        <v>10.114098228846339</v>
      </c>
      <c r="EZ395" s="233">
        <f>EZ392*EZ369</f>
        <v>10.585281679531045</v>
      </c>
      <c r="FA395" s="1070">
        <f>SUM(EY395:EZ395)</f>
        <v>20.699379908377384</v>
      </c>
    </row>
    <row r="396" spans="1:157" outlineLevel="1">
      <c r="B396" s="31"/>
      <c r="BA396" s="35"/>
      <c r="BB396" s="35"/>
      <c r="BC396" s="322"/>
      <c r="BD396" s="35"/>
      <c r="BE396" s="35"/>
      <c r="BG396" s="35"/>
      <c r="BH396" s="35"/>
      <c r="BJ396" s="35"/>
      <c r="BK396" s="35"/>
      <c r="BL396" s="31"/>
      <c r="BM396" s="35"/>
      <c r="BN396" s="35"/>
      <c r="BO396" s="31"/>
      <c r="BP396" s="35"/>
      <c r="BQ396" s="35"/>
      <c r="BR396" s="1024"/>
      <c r="BS396" s="74"/>
      <c r="BT396" s="70"/>
      <c r="BU396" s="74"/>
      <c r="BV396" s="74"/>
      <c r="BW396" s="74"/>
      <c r="BX396" s="74"/>
      <c r="BY396" s="70"/>
      <c r="BZ396" s="70"/>
      <c r="CA396" s="70"/>
      <c r="CB396" s="70"/>
      <c r="CC396" s="70"/>
      <c r="CD396" s="70"/>
      <c r="CE396" s="70"/>
      <c r="CF396" s="70"/>
      <c r="CG396" s="70"/>
      <c r="CH396" s="70"/>
      <c r="CI396" s="70"/>
      <c r="CJ396" s="70"/>
      <c r="CK396" s="70"/>
      <c r="CL396" s="70"/>
      <c r="CM396" s="70"/>
      <c r="CN396" s="70"/>
      <c r="CO396" s="70"/>
      <c r="CP396" s="70"/>
      <c r="CQ396" s="70"/>
      <c r="CR396" s="70"/>
      <c r="CS396" s="70"/>
      <c r="CT396" s="70"/>
      <c r="CU396" s="70"/>
      <c r="CV396" s="70"/>
      <c r="CW396" s="70"/>
      <c r="CX396" s="70"/>
      <c r="CY396" s="70"/>
      <c r="CZ396" s="70"/>
      <c r="DA396" s="70"/>
      <c r="DB396" s="70"/>
      <c r="DC396" s="70"/>
      <c r="DD396" s="70"/>
      <c r="DE396" s="70"/>
      <c r="DF396" s="70"/>
      <c r="DG396" s="70"/>
      <c r="DH396" s="1074"/>
      <c r="DI396" s="70"/>
      <c r="DJ396" s="70"/>
      <c r="DK396" s="1074"/>
      <c r="DL396" s="70"/>
      <c r="DM396" s="70"/>
      <c r="DN396" s="1074"/>
      <c r="DO396" s="70"/>
      <c r="DP396" s="70"/>
      <c r="DQ396" s="1074"/>
      <c r="DR396" s="70"/>
      <c r="DS396" s="70"/>
      <c r="DT396" s="1074"/>
      <c r="DU396" s="70"/>
      <c r="DV396" s="70"/>
      <c r="DW396" s="1074"/>
      <c r="DX396" s="70"/>
      <c r="DY396" s="70"/>
      <c r="DZ396" s="1074"/>
      <c r="EA396" s="70"/>
      <c r="EB396" s="70"/>
      <c r="EC396" s="1074"/>
      <c r="ED396" s="70"/>
      <c r="EE396" s="70"/>
      <c r="EF396" s="1074"/>
      <c r="EG396" s="70"/>
      <c r="EH396" s="70"/>
      <c r="EI396" s="1074"/>
      <c r="EJ396" s="70"/>
      <c r="EK396" s="70"/>
      <c r="EL396" s="1074"/>
      <c r="EM396" s="70"/>
      <c r="EN396" s="70"/>
      <c r="EO396" s="1074"/>
      <c r="EP396" s="70"/>
      <c r="EQ396" s="70"/>
      <c r="ER396" s="1074"/>
      <c r="ES396" s="70"/>
      <c r="ET396" s="70"/>
      <c r="EU396" s="1074"/>
      <c r="EV396" s="70"/>
      <c r="EW396" s="70"/>
      <c r="EX396" s="1074"/>
      <c r="EY396" s="70"/>
      <c r="EZ396" s="70"/>
      <c r="FA396" s="1074"/>
    </row>
    <row r="397" spans="1:157" outlineLevel="1">
      <c r="B397" s="35" t="s">
        <v>486</v>
      </c>
      <c r="D397" s="162" t="s">
        <v>908</v>
      </c>
      <c r="BA397" s="35"/>
      <c r="BB397" s="35"/>
      <c r="BC397" s="322"/>
      <c r="BD397" s="35"/>
      <c r="BE397" s="35"/>
      <c r="BG397" s="35"/>
      <c r="BH397" s="35"/>
      <c r="BJ397" s="35"/>
      <c r="BK397" s="35"/>
      <c r="BL397" s="31"/>
      <c r="BM397" s="70">
        <f>BM371-BM395</f>
        <v>0</v>
      </c>
      <c r="BN397" s="70">
        <f>BN371-BN395</f>
        <v>0</v>
      </c>
      <c r="BO397" s="1024">
        <f>SUM(BM397:BN397)</f>
        <v>0</v>
      </c>
      <c r="BP397" s="70">
        <f>BP371-BP395</f>
        <v>0</v>
      </c>
      <c r="BQ397" s="70">
        <f>BQ371-BQ395</f>
        <v>0</v>
      </c>
      <c r="BR397" s="1024">
        <f>SUM(BP397:BQ397)</f>
        <v>0</v>
      </c>
      <c r="BS397" s="70">
        <f>BS371-BS395</f>
        <v>2.2219465126614111</v>
      </c>
      <c r="BT397" s="70">
        <f>BT371-BT395</f>
        <v>3.4995657574417223</v>
      </c>
      <c r="BU397" s="70">
        <f>SUM(BS397:BT397)</f>
        <v>5.7215122701031333</v>
      </c>
      <c r="BV397" s="70">
        <f>BV371-BV395</f>
        <v>2.4649572863380307</v>
      </c>
      <c r="BW397" s="70">
        <f>BW371-BW395</f>
        <v>3.1938976551175795</v>
      </c>
      <c r="BX397" s="70">
        <f>SUM(BV397:BW397)</f>
        <v>5.6588549414556102</v>
      </c>
      <c r="BY397" s="70">
        <f>BY371-BY395</f>
        <v>2.3330438382944818</v>
      </c>
      <c r="BZ397" s="70">
        <f>BZ371-BZ395</f>
        <v>2.1358271695539757</v>
      </c>
      <c r="CA397" s="70">
        <f>SUM(BY397:BZ397)</f>
        <v>4.4688710078484579</v>
      </c>
      <c r="CB397" s="70">
        <f>CB371-CB395</f>
        <v>0</v>
      </c>
      <c r="CC397" s="70">
        <f>CC371-CC395</f>
        <v>0</v>
      </c>
      <c r="CD397" s="70">
        <f>SUM(CB397:CC397)</f>
        <v>0</v>
      </c>
      <c r="CE397" s="70">
        <f>CE371-CE395</f>
        <v>3.1669128977088574</v>
      </c>
      <c r="CF397" s="70">
        <f>CF371-CF395</f>
        <v>6.0766915354264786</v>
      </c>
      <c r="CG397" s="70">
        <f>SUM(CE397:CF397)</f>
        <v>9.2436044331353351</v>
      </c>
      <c r="CH397" s="70">
        <f>CH371-CH395</f>
        <v>7.4443151861906163</v>
      </c>
      <c r="CI397" s="70">
        <f>CI371-CI395</f>
        <v>3.7323247781830631</v>
      </c>
      <c r="CJ397" s="70">
        <f>SUM(CH397:CI397)</f>
        <v>11.176639964373679</v>
      </c>
      <c r="CK397" s="70">
        <f>CK371-CK395</f>
        <v>5.5553778651151413</v>
      </c>
      <c r="CL397" s="70">
        <f>CL371-CL395</f>
        <v>4.8250231847887584</v>
      </c>
      <c r="CM397" s="70">
        <f>SUM(CK397:CL397)</f>
        <v>10.380401049903899</v>
      </c>
      <c r="CN397" s="70">
        <f>CN371-CN395</f>
        <v>1.0031870027794878</v>
      </c>
      <c r="CO397" s="70">
        <f>CO371-CO395</f>
        <v>3.6347279992068691</v>
      </c>
      <c r="CP397" s="70">
        <f>SUM(CN397:CO397)</f>
        <v>4.6379150019863573</v>
      </c>
      <c r="CQ397" s="70">
        <f>CQ371-CQ395</f>
        <v>0</v>
      </c>
      <c r="CR397" s="70">
        <f>CR371-CR395</f>
        <v>0.61511681487130598</v>
      </c>
      <c r="CS397" s="70">
        <f>SUM(CQ397:CR397)</f>
        <v>0.61511681487130598</v>
      </c>
      <c r="CT397" s="70">
        <f>CT371-CT395</f>
        <v>6.4300224410360514</v>
      </c>
      <c r="CU397" s="70">
        <f>CU371-CU395</f>
        <v>9.6990323174224429</v>
      </c>
      <c r="CV397" s="70">
        <f>SUM(CT397:CU397)</f>
        <v>16.129054758458494</v>
      </c>
      <c r="CW397" s="70">
        <f>CW371-CW395</f>
        <v>11.229941383972363</v>
      </c>
      <c r="CX397" s="70">
        <f>CX371-CX395</f>
        <v>8.6594716222769552</v>
      </c>
      <c r="CY397" s="70">
        <f>SUM(CW397:CX397)</f>
        <v>19.88941300624932</v>
      </c>
      <c r="CZ397" s="70">
        <f>CZ371-CZ395</f>
        <v>8.2034816938032478</v>
      </c>
      <c r="DA397" s="70">
        <f>DA371-DA395</f>
        <v>10.954070218083892</v>
      </c>
      <c r="DB397" s="70">
        <f>SUM(CZ397:DA397)</f>
        <v>19.15755191188714</v>
      </c>
      <c r="DC397" s="70">
        <f>DC371-DC395</f>
        <v>11.376197673962379</v>
      </c>
      <c r="DD397" s="70">
        <f>DD371-DD395</f>
        <v>11.716567395204928</v>
      </c>
      <c r="DE397" s="70">
        <f>SUM(DC397:DD397)</f>
        <v>23.092765069167307</v>
      </c>
      <c r="DF397" s="70">
        <f>DF371-DF395</f>
        <v>16.063256060272966</v>
      </c>
      <c r="DG397" s="70">
        <f>DG371-DG395</f>
        <v>8.3623324782035304</v>
      </c>
      <c r="DH397" s="1070">
        <f>SUM(DF397:DG397)</f>
        <v>24.425588538476497</v>
      </c>
      <c r="DI397" s="70">
        <f>DI371-DI395</f>
        <v>33.088774496774001</v>
      </c>
      <c r="DJ397" s="70">
        <f>DJ371-DJ395</f>
        <v>31.77354456501925</v>
      </c>
      <c r="DK397" s="1070">
        <f>SUM(DI397:DJ397)</f>
        <v>64.862319061793244</v>
      </c>
      <c r="DL397" s="233">
        <f>DL371-DL395</f>
        <v>37.550763105026718</v>
      </c>
      <c r="DM397" s="233">
        <f>DM371-DM395</f>
        <v>36.5120235116038</v>
      </c>
      <c r="DN397" s="1070">
        <f>SUM(DL397:DM397)</f>
        <v>74.062786616630518</v>
      </c>
      <c r="DO397" s="233">
        <f>DO371-DO395</f>
        <v>39.990854661616062</v>
      </c>
      <c r="DP397" s="233">
        <f>DP371-DP395</f>
        <v>44.029529549530196</v>
      </c>
      <c r="DQ397" s="1070">
        <f>SUM(DO397:DP397)</f>
        <v>84.020384211146251</v>
      </c>
      <c r="DR397" s="233">
        <f>DR371-DR395</f>
        <v>45.842306602832082</v>
      </c>
      <c r="DS397" s="233">
        <f>DS371-DS395</f>
        <v>46.286668306449592</v>
      </c>
      <c r="DT397" s="1070">
        <f>SUM(DR397:DS397)</f>
        <v>92.128974909281681</v>
      </c>
      <c r="DU397" s="233">
        <f>DU371-DU395</f>
        <v>50.70212111753812</v>
      </c>
      <c r="DV397" s="233">
        <f>DV371-DV395</f>
        <v>41.987312762511102</v>
      </c>
      <c r="DW397" s="1070">
        <f>SUM(DU397:DV397)</f>
        <v>92.689433880049222</v>
      </c>
      <c r="DX397" s="233">
        <f>DX371-DX395</f>
        <v>45.916996231143557</v>
      </c>
      <c r="DY397" s="233">
        <f>DY371-DY395</f>
        <v>49.260430828908433</v>
      </c>
      <c r="DZ397" s="1070">
        <f>SUM(DX397:DY397)</f>
        <v>95.177427060051997</v>
      </c>
      <c r="EA397" s="233">
        <f>EA371-EA395</f>
        <v>55.205929240684341</v>
      </c>
      <c r="EB397" s="233">
        <f>EB371-EB395</f>
        <v>53.42809746689931</v>
      </c>
      <c r="EC397" s="1070">
        <f>SUM(EA397:EB397)</f>
        <v>108.63402670758364</v>
      </c>
      <c r="ED397" s="233">
        <f>ED371-ED395</f>
        <v>60.952601120188049</v>
      </c>
      <c r="EE397" s="233">
        <f>EE371-EE395</f>
        <v>59.051015456095683</v>
      </c>
      <c r="EF397" s="1070">
        <f>SUM(ED397:EE397)</f>
        <v>120.00361657628373</v>
      </c>
      <c r="EG397" s="233">
        <f>EG371-EG395</f>
        <v>67.222698574829835</v>
      </c>
      <c r="EH397" s="233">
        <f>EH371-EH395</f>
        <v>65.186511178057117</v>
      </c>
      <c r="EI397" s="1070">
        <f>SUM(EG397:EH397)</f>
        <v>132.40920975288697</v>
      </c>
      <c r="EJ397" s="233">
        <f>EJ371-EJ395</f>
        <v>74.063379707219966</v>
      </c>
      <c r="EK397" s="233">
        <f>EK371-EK395</f>
        <v>71.880768749642399</v>
      </c>
      <c r="EL397" s="1070">
        <f>SUM(EJ397:EK397)</f>
        <v>145.94414845686237</v>
      </c>
      <c r="EM397" s="233">
        <f>EM371-EM395</f>
        <v>81.526047247610478</v>
      </c>
      <c r="EN397" s="233">
        <f>EN371-EN395</f>
        <v>79.184129275194834</v>
      </c>
      <c r="EO397" s="1070">
        <f>SUM(EM397:EN397)</f>
        <v>160.71017652280531</v>
      </c>
      <c r="EP397" s="233">
        <f>EP371-EP395</f>
        <v>89.66673057357005</v>
      </c>
      <c r="EQ397" s="233">
        <f>EQ371-EQ395</f>
        <v>87.151464978751648</v>
      </c>
      <c r="ER397" s="1070">
        <f>SUM(EP397:EQ397)</f>
        <v>176.8181955523217</v>
      </c>
      <c r="ES397" s="233">
        <f>ES371-ES395</f>
        <v>98.546502111455368</v>
      </c>
      <c r="ET397" s="233">
        <f>ET371-ET395</f>
        <v>95.84258700817891</v>
      </c>
      <c r="EU397" s="1070">
        <f>SUM(ES397:ET397)</f>
        <v>194.38908911963426</v>
      </c>
      <c r="EV397" s="233">
        <f>EV371-EV395</f>
        <v>108.2319312140405</v>
      </c>
      <c r="EW397" s="233">
        <f>EW371-EW395</f>
        <v>105.32268994170533</v>
      </c>
      <c r="EX397" s="1070">
        <f>SUM(EV397:EW397)</f>
        <v>213.55462115574585</v>
      </c>
      <c r="EY397" s="233">
        <f>EY371-EY395</f>
        <v>118.7955788871587</v>
      </c>
      <c r="EZ397" s="233">
        <f>EZ371-EZ395</f>
        <v>115.66283630007146</v>
      </c>
      <c r="FA397" s="1070">
        <f>SUM(EY397:EZ397)</f>
        <v>234.45841518723017</v>
      </c>
    </row>
    <row r="398" spans="1:157" outlineLevel="1">
      <c r="B398" s="35" t="s">
        <v>487</v>
      </c>
      <c r="D398" s="162" t="s">
        <v>460</v>
      </c>
      <c r="BA398" s="35"/>
      <c r="BB398" s="35"/>
      <c r="BC398" s="322"/>
      <c r="BD398" s="35"/>
      <c r="BE398" s="35"/>
      <c r="BG398" s="35"/>
      <c r="BH398" s="35"/>
      <c r="BJ398" s="35"/>
      <c r="BK398" s="35"/>
      <c r="BL398" s="31"/>
      <c r="BM398" s="65"/>
      <c r="BN398" s="65"/>
      <c r="BO398" s="65"/>
      <c r="BP398" s="65"/>
      <c r="BQ398" s="65"/>
      <c r="BR398" s="65"/>
      <c r="BS398" s="65">
        <f t="shared" ref="BS398:CA398" si="2128">BS397/BS371</f>
        <v>0.55555555555555558</v>
      </c>
      <c r="BT398" s="65">
        <f t="shared" si="2128"/>
        <v>0.58333333333333337</v>
      </c>
      <c r="BU398" s="65">
        <f t="shared" si="2128"/>
        <v>0.57222222222222219</v>
      </c>
      <c r="BV398" s="65">
        <f t="shared" si="2128"/>
        <v>0.61631578745429361</v>
      </c>
      <c r="BW398" s="65">
        <f t="shared" si="2128"/>
        <v>0.63885879378837129</v>
      </c>
      <c r="BX398" s="65">
        <f t="shared" si="2128"/>
        <v>0.62883967986211453</v>
      </c>
      <c r="BY398" s="65">
        <f t="shared" si="2128"/>
        <v>0.58333333333333326</v>
      </c>
      <c r="BZ398" s="65">
        <f t="shared" si="2128"/>
        <v>0.5340230482555377</v>
      </c>
      <c r="CA398" s="65">
        <f t="shared" si="2128"/>
        <v>0.55867819079443559</v>
      </c>
      <c r="CB398" s="65"/>
      <c r="CC398" s="65"/>
      <c r="CD398" s="65"/>
      <c r="CE398" s="65">
        <f t="shared" ref="CE398:CP398" si="2129">CE397/CE371</f>
        <v>0.67022383862687518</v>
      </c>
      <c r="CF398" s="65">
        <f t="shared" si="2129"/>
        <v>0.61670805681401453</v>
      </c>
      <c r="CG398" s="65">
        <f t="shared" si="2129"/>
        <v>0.63405338804671818</v>
      </c>
      <c r="CH398" s="65">
        <f t="shared" si="2129"/>
        <v>0.67355787561835745</v>
      </c>
      <c r="CI398" s="65">
        <f t="shared" si="2129"/>
        <v>0.67539771915465252</v>
      </c>
      <c r="CJ398" s="65">
        <f t="shared" si="2129"/>
        <v>0.67417115679712247</v>
      </c>
      <c r="CK398" s="65">
        <f t="shared" si="2129"/>
        <v>0.71806825927779439</v>
      </c>
      <c r="CL398" s="65">
        <f t="shared" si="2129"/>
        <v>0.70520340118709657</v>
      </c>
      <c r="CM398" s="65">
        <f t="shared" si="2129"/>
        <v>0.71203051824479968</v>
      </c>
      <c r="CN398" s="65">
        <f t="shared" si="2129"/>
        <v>0.62699187673717693</v>
      </c>
      <c r="CO398" s="65">
        <f t="shared" si="2129"/>
        <v>0.68108682160635758</v>
      </c>
      <c r="CP398" s="65">
        <f t="shared" si="2129"/>
        <v>0.66860935746462102</v>
      </c>
      <c r="CQ398" s="65"/>
      <c r="CR398" s="65">
        <f t="shared" ref="CR398:DU398" si="2130">CR397/CR371</f>
        <v>0.55655458523628776</v>
      </c>
      <c r="CS398" s="65">
        <f t="shared" si="2130"/>
        <v>0.55655458523628776</v>
      </c>
      <c r="CT398" s="65">
        <f t="shared" si="2130"/>
        <v>0.57410914652107603</v>
      </c>
      <c r="CU398" s="65">
        <f t="shared" si="2130"/>
        <v>0.7198745294680069</v>
      </c>
      <c r="CV398" s="65">
        <f t="shared" si="2130"/>
        <v>0.65370676199772737</v>
      </c>
      <c r="CW398" s="65">
        <f t="shared" si="2130"/>
        <v>0.70919938531205617</v>
      </c>
      <c r="CX398" s="65">
        <f t="shared" si="2130"/>
        <v>0.73426275099110372</v>
      </c>
      <c r="CY398" s="65">
        <f t="shared" si="2130"/>
        <v>0.7198980185345204</v>
      </c>
      <c r="CZ398" s="65">
        <f t="shared" si="2130"/>
        <v>0.74390986579294827</v>
      </c>
      <c r="DA398" s="65">
        <f t="shared" si="2130"/>
        <v>0.75874024650016691</v>
      </c>
      <c r="DB398" s="65">
        <f t="shared" si="2130"/>
        <v>0.7523179315862264</v>
      </c>
      <c r="DC398" s="65">
        <f t="shared" si="2130"/>
        <v>0.74307179417342073</v>
      </c>
      <c r="DD398" s="65">
        <f t="shared" si="2130"/>
        <v>0.75482191638943441</v>
      </c>
      <c r="DE398" s="65">
        <f t="shared" si="2130"/>
        <v>0.74898736737439453</v>
      </c>
      <c r="DF398" s="65">
        <f t="shared" si="2130"/>
        <v>0.7558085856799942</v>
      </c>
      <c r="DG398" s="65">
        <f t="shared" si="2130"/>
        <v>0.67074101541486819</v>
      </c>
      <c r="DH398" s="1066">
        <f t="shared" si="2130"/>
        <v>0.72435688383552932</v>
      </c>
      <c r="DI398" s="65">
        <f t="shared" si="2130"/>
        <v>0.88317424091312025</v>
      </c>
      <c r="DJ398" s="65">
        <f t="shared" si="2130"/>
        <v>0.87919207084428774</v>
      </c>
      <c r="DK398" s="1066">
        <f t="shared" si="2130"/>
        <v>0.88121903229255694</v>
      </c>
      <c r="DL398" s="65">
        <f t="shared" si="2130"/>
        <v>0.85194332534762229</v>
      </c>
      <c r="DM398" s="65">
        <f t="shared" si="2130"/>
        <v>0.85345942383087825</v>
      </c>
      <c r="DN398" s="1066">
        <f t="shared" si="2130"/>
        <v>0.85269006909361722</v>
      </c>
      <c r="DO398" s="65">
        <f t="shared" si="2130"/>
        <v>0.85653974090924612</v>
      </c>
      <c r="DP398" s="65">
        <f t="shared" si="2130"/>
        <v>0.81238479847441536</v>
      </c>
      <c r="DQ398" s="1066">
        <f t="shared" si="2130"/>
        <v>0.83281903763376652</v>
      </c>
      <c r="DR398" s="65">
        <f t="shared" si="2130"/>
        <v>0.83356522488003815</v>
      </c>
      <c r="DS398" s="65">
        <f t="shared" si="2130"/>
        <v>0.83426503716909806</v>
      </c>
      <c r="DT398" s="1066">
        <f t="shared" si="2130"/>
        <v>0.833916671896204</v>
      </c>
      <c r="DU398" s="65">
        <f t="shared" si="2130"/>
        <v>0.84925780650594673</v>
      </c>
      <c r="DV398" s="65">
        <f t="shared" ref="DV398:DX398" si="2131">DV397/DV371</f>
        <v>0.81924057859736621</v>
      </c>
      <c r="DW398" s="1066">
        <f t="shared" si="2131"/>
        <v>0.83539224640412235</v>
      </c>
      <c r="DX398" s="65">
        <f t="shared" si="2131"/>
        <v>0.833945749403322</v>
      </c>
      <c r="DY398" s="65">
        <f t="shared" ref="DY398:ER398" si="2132">DY397/DY371</f>
        <v>0.83578339967046622</v>
      </c>
      <c r="DZ398" s="1066">
        <f t="shared" si="2132"/>
        <v>0.83489584141045525</v>
      </c>
      <c r="EA398" s="65">
        <f t="shared" si="2132"/>
        <v>0.85332051608344639</v>
      </c>
      <c r="EB398" s="65">
        <f t="shared" si="2132"/>
        <v>0.84325083599524375</v>
      </c>
      <c r="EC398" s="1066">
        <f t="shared" si="2132"/>
        <v>0.8483381946171713</v>
      </c>
      <c r="ED398" s="65">
        <f t="shared" si="2132"/>
        <v>0.86435511946065502</v>
      </c>
      <c r="EE398" s="65">
        <f t="shared" si="2132"/>
        <v>0.85504297493872083</v>
      </c>
      <c r="EF398" s="1066">
        <f t="shared" si="2132"/>
        <v>0.85974761483863171</v>
      </c>
      <c r="EG398" s="65">
        <f t="shared" si="2132"/>
        <v>0.87455959671223882</v>
      </c>
      <c r="EH398" s="65">
        <f t="shared" si="2132"/>
        <v>0.86594799884241336</v>
      </c>
      <c r="EI398" s="1066">
        <f t="shared" si="2132"/>
        <v>0.87029871170398254</v>
      </c>
      <c r="EJ398" s="65">
        <f t="shared" si="2132"/>
        <v>0.8839963976935199</v>
      </c>
      <c r="EK398" s="65">
        <f t="shared" si="2132"/>
        <v>0.87603264480105758</v>
      </c>
      <c r="EL398" s="1066">
        <f t="shared" si="2132"/>
        <v>0.88005605632808659</v>
      </c>
      <c r="EM398" s="65">
        <f t="shared" si="2132"/>
        <v>0.89272327419731023</v>
      </c>
      <c r="EN398" s="65">
        <f t="shared" si="2132"/>
        <v>0.88535862932061105</v>
      </c>
      <c r="EO398" s="1066">
        <f t="shared" si="2132"/>
        <v>0.88907936218230399</v>
      </c>
      <c r="EP398" s="65">
        <f t="shared" si="2132"/>
        <v>0.90079363338613638</v>
      </c>
      <c r="EQ398" s="65">
        <f t="shared" si="2132"/>
        <v>0.89398302601392277</v>
      </c>
      <c r="ER398" s="1066">
        <f t="shared" si="2132"/>
        <v>0.897423850531892</v>
      </c>
      <c r="ES398" s="65">
        <f t="shared" ref="ES398:EX398" si="2133">ES397/ES371</f>
        <v>0.90825686463598654</v>
      </c>
      <c r="ET398" s="65">
        <f t="shared" si="2133"/>
        <v>0.90195861488260021</v>
      </c>
      <c r="EU398" s="1066">
        <f t="shared" si="2133"/>
        <v>0.90514058838178635</v>
      </c>
      <c r="EV398" s="65">
        <f t="shared" si="2133"/>
        <v>0.91515864179181161</v>
      </c>
      <c r="EW398" s="65">
        <f t="shared" si="2133"/>
        <v>0.90933420532262477</v>
      </c>
      <c r="EX398" s="1066">
        <f t="shared" si="2133"/>
        <v>0.91227680099893649</v>
      </c>
      <c r="EY398" s="65">
        <f t="shared" ref="EY398:FA398" si="2134">EY397/EY371</f>
        <v>0.92154120268453754</v>
      </c>
      <c r="EZ398" s="65">
        <f t="shared" si="2134"/>
        <v>0.91615493483046395</v>
      </c>
      <c r="FA398" s="1066">
        <f t="shared" si="2134"/>
        <v>0.9188761609237871</v>
      </c>
    </row>
    <row r="399" spans="1:157" outlineLevel="1">
      <c r="BA399" s="35"/>
      <c r="BB399" s="35"/>
      <c r="BC399" s="322"/>
      <c r="BD399" s="35"/>
      <c r="BE399" s="35"/>
      <c r="BG399" s="35"/>
      <c r="BH399" s="35"/>
      <c r="BJ399" s="35"/>
      <c r="BK399" s="35"/>
      <c r="BL399" s="31"/>
      <c r="BM399" s="35"/>
      <c r="BN399" s="35"/>
      <c r="BO399" s="31"/>
      <c r="BP399" s="35"/>
      <c r="BQ399" s="35"/>
      <c r="BR399" s="1024"/>
      <c r="BS399" s="74"/>
      <c r="BT399" s="70"/>
      <c r="BU399" s="74"/>
      <c r="BV399" s="74"/>
      <c r="BW399" s="74"/>
      <c r="BX399" s="74"/>
      <c r="BY399" s="70"/>
      <c r="BZ399" s="70"/>
      <c r="CA399" s="70"/>
      <c r="CB399" s="70"/>
      <c r="CC399" s="70"/>
      <c r="CD399" s="70"/>
      <c r="CE399" s="65"/>
      <c r="CF399" s="65"/>
      <c r="CG399" s="65"/>
      <c r="CH399" s="65"/>
      <c r="CI399" s="65"/>
      <c r="CJ399" s="65"/>
      <c r="CK399" s="65"/>
      <c r="CL399" s="65"/>
      <c r="CM399" s="65"/>
      <c r="CN399" s="65"/>
      <c r="CO399" s="65"/>
      <c r="CP399" s="65"/>
      <c r="CQ399" s="65"/>
      <c r="CR399" s="65"/>
      <c r="CS399" s="65"/>
      <c r="CT399" s="65"/>
      <c r="CU399" s="65"/>
      <c r="CV399" s="65"/>
      <c r="CW399" s="65"/>
      <c r="CX399" s="65"/>
      <c r="CY399" s="65"/>
      <c r="CZ399" s="65"/>
      <c r="DA399" s="65"/>
      <c r="DB399" s="65"/>
      <c r="DC399" s="65"/>
      <c r="DD399" s="65"/>
      <c r="DE399" s="65"/>
      <c r="DF399" s="65"/>
      <c r="DG399" s="65"/>
      <c r="DH399" s="1066"/>
      <c r="DI399" s="65"/>
      <c r="DJ399" s="65"/>
      <c r="DK399" s="1066"/>
      <c r="DL399" s="65"/>
      <c r="DM399" s="65"/>
      <c r="DN399" s="1066"/>
      <c r="DO399" s="65"/>
      <c r="DP399" s="65"/>
      <c r="DQ399" s="1066"/>
      <c r="DR399" s="65"/>
      <c r="DS399" s="65"/>
      <c r="DT399" s="1066"/>
      <c r="DU399" s="65"/>
      <c r="DV399" s="65"/>
      <c r="DW399" s="1066"/>
      <c r="DX399" s="65"/>
      <c r="DY399" s="65"/>
      <c r="DZ399" s="1066"/>
      <c r="EA399" s="65"/>
      <c r="EB399" s="65"/>
      <c r="EC399" s="1066"/>
      <c r="ED399" s="65"/>
      <c r="EE399" s="65"/>
      <c r="EF399" s="1066"/>
      <c r="EG399" s="65"/>
      <c r="EH399" s="65"/>
      <c r="EI399" s="1066"/>
      <c r="EJ399" s="65"/>
      <c r="EK399" s="65"/>
      <c r="EL399" s="1066"/>
      <c r="EM399" s="65"/>
      <c r="EN399" s="65"/>
      <c r="EO399" s="1066"/>
      <c r="EP399" s="65"/>
      <c r="EQ399" s="65"/>
      <c r="ER399" s="1066"/>
      <c r="ES399" s="65"/>
      <c r="ET399" s="65"/>
      <c r="EU399" s="1066"/>
      <c r="EV399" s="65"/>
      <c r="EW399" s="65"/>
      <c r="EX399" s="1066"/>
      <c r="EY399" s="65"/>
      <c r="EZ399" s="65"/>
      <c r="FA399" s="1066"/>
    </row>
    <row r="400" spans="1:157" outlineLevel="1">
      <c r="A400" s="1426" t="s">
        <v>429</v>
      </c>
      <c r="B400" s="31"/>
      <c r="D400" s="162" t="s">
        <v>604</v>
      </c>
      <c r="BA400" s="35"/>
      <c r="BB400" s="35"/>
      <c r="BC400" s="322"/>
      <c r="BD400" s="35"/>
      <c r="BE400" s="35"/>
      <c r="BG400" s="35"/>
      <c r="BH400" s="35"/>
      <c r="BJ400" s="35"/>
      <c r="BK400" s="35"/>
      <c r="BL400" s="31"/>
      <c r="BM400" s="70">
        <f>BM351-BM402</f>
        <v>3.695224971088436</v>
      </c>
      <c r="BN400" s="70">
        <f>BN351-BN402</f>
        <v>4.7361480053153429</v>
      </c>
      <c r="BO400" s="1024">
        <f>SUM(BM400:BN400)</f>
        <v>8.4313729764037788</v>
      </c>
      <c r="BP400" s="70">
        <f>BP351-BP402</f>
        <v>4.6983113388638174</v>
      </c>
      <c r="BQ400" s="70">
        <f>BQ351-BQ402</f>
        <v>4.9957635501095687</v>
      </c>
      <c r="BR400" s="1024">
        <f>SUM(BP400:BQ400)</f>
        <v>9.6940748889733861</v>
      </c>
      <c r="BS400" s="70">
        <f>BS351-BS402</f>
        <v>10.815950358378011</v>
      </c>
      <c r="BT400" s="70">
        <f>BT351-BT402</f>
        <v>12.083226391414833</v>
      </c>
      <c r="BU400" s="70">
        <f>SUM(BS400:BT400)</f>
        <v>22.899176749792844</v>
      </c>
      <c r="BV400" s="70">
        <f>BV351-BV402</f>
        <v>11.09666327030741</v>
      </c>
      <c r="BW400" s="70">
        <f>BW351-BW402</f>
        <v>12.848146988884217</v>
      </c>
      <c r="BX400" s="70">
        <f>SUM(BV400:BW400)</f>
        <v>23.944810259191627</v>
      </c>
      <c r="BY400" s="70">
        <f>BY351-BY402</f>
        <v>12.661220488770013</v>
      </c>
      <c r="BZ400" s="70">
        <f>BZ351-BZ402</f>
        <v>13.329299224968793</v>
      </c>
      <c r="CA400" s="70">
        <f>SUM(BY400:BZ400)</f>
        <v>25.990519713738806</v>
      </c>
      <c r="CB400" s="70">
        <f>CB351-CB402</f>
        <v>10.815279647700109</v>
      </c>
      <c r="CC400" s="70">
        <f>CC351-CC402</f>
        <v>15.231776165469633</v>
      </c>
      <c r="CD400" s="70">
        <f>SUM(CB400:CC400)</f>
        <v>26.047055813169742</v>
      </c>
      <c r="CE400" s="70">
        <f>CE351-CE402</f>
        <v>14.161711985232195</v>
      </c>
      <c r="CF400" s="70">
        <f>CF351-CF402</f>
        <v>21.712498622077348</v>
      </c>
      <c r="CG400" s="70">
        <f>SUM(CE400:CF400)</f>
        <v>35.874210607309543</v>
      </c>
      <c r="CH400" s="70">
        <f>CH351-CH402</f>
        <v>16.154476605966046</v>
      </c>
      <c r="CI400" s="70">
        <f>CI351-CI402</f>
        <v>16.364788334270379</v>
      </c>
      <c r="CJ400" s="70">
        <f>SUM(CH400:CI400)</f>
        <v>32.519264940236425</v>
      </c>
      <c r="CK400" s="70">
        <f>CK351-CK402</f>
        <v>24.462608248082383</v>
      </c>
      <c r="CL400" s="70">
        <f>CL351-CL402</f>
        <v>22.956055523745462</v>
      </c>
      <c r="CM400" s="70">
        <f>SUM(CK400:CL400)</f>
        <v>47.418663771827845</v>
      </c>
      <c r="CN400" s="70">
        <f>CN351-CN402</f>
        <v>16.792310485087697</v>
      </c>
      <c r="CO400" s="70">
        <f>CO351-CO402</f>
        <v>23.268636677443972</v>
      </c>
      <c r="CP400" s="70">
        <f>SUM(CN400:CO400)</f>
        <v>40.060947162531669</v>
      </c>
      <c r="CQ400" s="70">
        <f>CQ351-CQ402</f>
        <v>8.443959031684642</v>
      </c>
      <c r="CR400" s="70">
        <f>CR351-CR402</f>
        <v>26.600631035967723</v>
      </c>
      <c r="CS400" s="70">
        <f>SUM(CQ400:CR400)</f>
        <v>35.044590067652365</v>
      </c>
      <c r="CT400" s="70">
        <f>CT351-CT402</f>
        <v>29.503883498239233</v>
      </c>
      <c r="CU400" s="70">
        <f>CU351-CU402</f>
        <v>22.404805321036065</v>
      </c>
      <c r="CV400" s="70">
        <f>SUM(CT400:CU400)</f>
        <v>51.908688819275298</v>
      </c>
      <c r="CW400" s="70">
        <f>CW351-CW402</f>
        <v>24.561125680987132</v>
      </c>
      <c r="CX400" s="70">
        <f>CX351-CX402</f>
        <v>17.403746219849069</v>
      </c>
      <c r="CY400" s="70">
        <f>SUM(CW400:CX400)</f>
        <v>41.964871900836201</v>
      </c>
      <c r="CZ400" s="70">
        <f>CZ351-CZ402</f>
        <v>14.841374141317388</v>
      </c>
      <c r="DA400" s="70">
        <f>DA351-DA402</f>
        <v>20.416932183463061</v>
      </c>
      <c r="DB400" s="70">
        <f>SUM(CZ400:DA400)</f>
        <v>35.258306324780449</v>
      </c>
      <c r="DC400" s="70">
        <f>DC351-DC402</f>
        <v>17.990401825873079</v>
      </c>
      <c r="DD400" s="70">
        <f>DD351-DD402</f>
        <v>18.365960984423765</v>
      </c>
      <c r="DE400" s="70">
        <f>SUM(DC400:DD400)</f>
        <v>36.356362810296844</v>
      </c>
      <c r="DF400" s="70">
        <f>DF351-DF402</f>
        <v>22.342687147868162</v>
      </c>
      <c r="DG400" s="70">
        <f>DG351-DG402</f>
        <v>15.71812300035036</v>
      </c>
      <c r="DH400" s="1070">
        <f>SUM(DF400:DG400)</f>
        <v>38.060810148218522</v>
      </c>
      <c r="DI400" s="1152">
        <f>+DI130*DI93</f>
        <v>36.471997845988156</v>
      </c>
      <c r="DJ400" s="1152">
        <f>+DJ130*DJ93</f>
        <v>32.486742171885417</v>
      </c>
      <c r="DK400" s="1157">
        <f>SUM(DI400:DJ400)</f>
        <v>68.958740017873566</v>
      </c>
      <c r="DL400" s="1152">
        <f>+DL130*DL93</f>
        <v>35.690874524714822</v>
      </c>
      <c r="DM400" s="1152">
        <f>+DM130*DM93</f>
        <v>35.155291838217487</v>
      </c>
      <c r="DN400" s="1157">
        <f>SUM(DL400:DM400)</f>
        <v>70.846166362932308</v>
      </c>
      <c r="DO400" s="1152">
        <f>+DO130*DO93</f>
        <v>40.965583323994174</v>
      </c>
      <c r="DP400" s="1152">
        <f>+DP130*DP93</f>
        <v>43.434822268196349</v>
      </c>
      <c r="DQ400" s="1157">
        <f>SUM(DO400:DP400)</f>
        <v>84.400405592190523</v>
      </c>
      <c r="DR400" s="1152">
        <f>+DR130*DR93</f>
        <v>45.049308424645226</v>
      </c>
      <c r="DS400" s="1152">
        <f>+DS130*DS93</f>
        <v>47.401572327044015</v>
      </c>
      <c r="DT400" s="1157">
        <f>SUM(DR400:DS400)</f>
        <v>92.45088075168924</v>
      </c>
      <c r="DU400" s="1152">
        <f>+DU130*DU93</f>
        <v>58.23360971023164</v>
      </c>
      <c r="DV400" s="1152">
        <f>+DV130*DV93</f>
        <v>53.525980268150789</v>
      </c>
      <c r="DW400" s="1157">
        <f>SUM(DU400:DV400)</f>
        <v>111.75958997838242</v>
      </c>
      <c r="DX400" s="1152">
        <f>+DX130*DX93</f>
        <v>56.402857142857144</v>
      </c>
      <c r="DY400" s="1152">
        <f>+DY130*DY93</f>
        <v>65.037937182393136</v>
      </c>
      <c r="DZ400" s="1157">
        <f t="shared" ref="DZ400" si="2135">SUM(DX400:DY400)</f>
        <v>121.44079432525028</v>
      </c>
      <c r="EA400" s="1152">
        <f>+EA130*EA93</f>
        <v>69.192153756802711</v>
      </c>
      <c r="EB400" s="1152">
        <f>+EB130*EB93</f>
        <v>68.243352448375944</v>
      </c>
      <c r="EC400" s="1157">
        <f t="shared" ref="EC400" si="2136">SUM(EA400:EB400)</f>
        <v>137.43550620517865</v>
      </c>
      <c r="ED400" s="1152">
        <f>+ED130*ED93</f>
        <v>73.853242897483014</v>
      </c>
      <c r="EE400" s="1152">
        <f>+EE130*EE93</f>
        <v>72.841014288968125</v>
      </c>
      <c r="EF400" s="1157">
        <f t="shared" ref="EF400" si="2137">SUM(ED400:EE400)</f>
        <v>146.69425718645113</v>
      </c>
      <c r="EG400" s="1152">
        <f>+EG130*EG93</f>
        <v>79.725995962504015</v>
      </c>
      <c r="EH400" s="1152">
        <f>+EH130*EH93</f>
        <v>78.633275713677421</v>
      </c>
      <c r="EI400" s="1157">
        <f t="shared" ref="EI400" si="2138">SUM(EG400:EH400)</f>
        <v>158.35927167618144</v>
      </c>
      <c r="EJ400" s="1152">
        <f>+EJ130*EJ93</f>
        <v>86.563854684181294</v>
      </c>
      <c r="EK400" s="1152">
        <f>+EK130*EK93</f>
        <v>85.377415108382536</v>
      </c>
      <c r="EL400" s="1157">
        <f t="shared" ref="EL400" si="2139">SUM(EJ400:EK400)</f>
        <v>171.94126979256384</v>
      </c>
      <c r="EM400" s="1152">
        <f>+EM130*EM93</f>
        <v>93.986747408464225</v>
      </c>
      <c r="EN400" s="1152">
        <f>+EN130*EN93</f>
        <v>92.698570060853783</v>
      </c>
      <c r="EO400" s="1157">
        <f t="shared" ref="EO400" si="2140">SUM(EM400:EN400)</f>
        <v>186.68531746931802</v>
      </c>
      <c r="EP400" s="1152">
        <f>+EP130*EP93</f>
        <v>102.44555467522605</v>
      </c>
      <c r="EQ400" s="1152">
        <f>+EQ130*EQ93</f>
        <v>101.0414413663306</v>
      </c>
      <c r="ER400" s="1157">
        <f t="shared" ref="ER400" si="2141">SUM(EP400:EQ400)</f>
        <v>203.48699604155667</v>
      </c>
      <c r="ES400" s="1152">
        <f>+ES130*ES93</f>
        <v>111.66565459599644</v>
      </c>
      <c r="ET400" s="1152">
        <f>+ET130*ET93</f>
        <v>110.13517108930039</v>
      </c>
      <c r="EU400" s="1157">
        <f t="shared" ref="EU400" si="2142">SUM(ES400:ET400)</f>
        <v>221.80082568529684</v>
      </c>
      <c r="EV400" s="1152">
        <f>+EV130*EV93</f>
        <v>121.71556350963608</v>
      </c>
      <c r="EW400" s="1152">
        <f>+EW130*EW93</f>
        <v>120.04733648733743</v>
      </c>
      <c r="EX400" s="1157">
        <f t="shared" ref="EX400" si="2143">SUM(EV400:EW400)</f>
        <v>241.76289999697352</v>
      </c>
      <c r="EY400" s="1152">
        <f>+EY130*EY93</f>
        <v>132.66996422550335</v>
      </c>
      <c r="EZ400" s="1152">
        <f>+EZ130*EZ93</f>
        <v>130.85159677119773</v>
      </c>
      <c r="FA400" s="1157">
        <f t="shared" ref="FA400" si="2144">SUM(EY400:EZ400)</f>
        <v>263.52156099670106</v>
      </c>
    </row>
    <row r="401" spans="1:157" outlineLevel="1">
      <c r="B401" s="31"/>
      <c r="BA401" s="35"/>
      <c r="BB401" s="35"/>
      <c r="BC401" s="322"/>
      <c r="BD401" s="35"/>
      <c r="BE401" s="35"/>
      <c r="BG401" s="35"/>
      <c r="BH401" s="35"/>
      <c r="BJ401" s="35"/>
      <c r="BK401" s="35"/>
      <c r="BL401" s="31"/>
      <c r="BM401" s="35"/>
      <c r="BN401" s="35"/>
      <c r="BO401" s="31"/>
      <c r="BP401" s="35"/>
      <c r="BQ401" s="35"/>
      <c r="BR401" s="1024"/>
      <c r="BS401" s="74"/>
      <c r="BT401" s="70"/>
      <c r="BU401" s="74"/>
      <c r="BV401" s="74"/>
      <c r="BW401" s="74"/>
      <c r="BX401" s="74"/>
      <c r="BY401" s="70"/>
      <c r="BZ401" s="70"/>
      <c r="CA401" s="70"/>
      <c r="CB401" s="70"/>
      <c r="CC401" s="70"/>
      <c r="CD401" s="70"/>
      <c r="CE401" s="65"/>
      <c r="CF401" s="65"/>
      <c r="CG401" s="65"/>
      <c r="CH401" s="70"/>
      <c r="CI401" s="70"/>
      <c r="CJ401" s="70"/>
      <c r="CK401" s="35"/>
      <c r="CL401" s="35"/>
      <c r="CN401" s="35"/>
      <c r="CO401" s="35"/>
      <c r="CQ401" s="35"/>
      <c r="CR401" s="35"/>
      <c r="CT401" s="35"/>
      <c r="CU401" s="35"/>
      <c r="CW401" s="35"/>
      <c r="CX401" s="35"/>
      <c r="CZ401" s="35"/>
      <c r="DA401" s="35"/>
      <c r="DC401" s="35"/>
      <c r="DD401" s="35"/>
      <c r="DF401" s="35"/>
      <c r="DG401" s="35"/>
      <c r="DH401" s="1070"/>
      <c r="DI401" s="35"/>
      <c r="DJ401" s="35"/>
      <c r="DK401" s="1070"/>
      <c r="DL401" s="233"/>
      <c r="DM401" s="233"/>
      <c r="DN401" s="1070"/>
      <c r="DO401" s="233"/>
      <c r="DP401" s="233"/>
      <c r="DQ401" s="1070"/>
      <c r="DR401" s="233"/>
      <c r="DS401" s="233"/>
      <c r="DT401" s="1070"/>
      <c r="DU401" s="233"/>
      <c r="DV401" s="233"/>
      <c r="DW401" s="1070"/>
      <c r="DX401" s="233"/>
      <c r="DY401" s="233"/>
      <c r="DZ401" s="1070"/>
      <c r="EA401" s="233"/>
      <c r="EB401" s="233"/>
      <c r="EC401" s="1070"/>
      <c r="ED401" s="233"/>
      <c r="EE401" s="233"/>
      <c r="EF401" s="1070"/>
      <c r="EG401" s="233"/>
      <c r="EH401" s="233"/>
      <c r="EI401" s="1070"/>
      <c r="EJ401" s="233"/>
      <c r="EK401" s="233"/>
      <c r="EL401" s="1070"/>
      <c r="EM401" s="233"/>
      <c r="EN401" s="233"/>
      <c r="EO401" s="1070"/>
      <c r="EP401" s="233"/>
      <c r="EQ401" s="233"/>
      <c r="ER401" s="1070"/>
      <c r="ES401" s="233"/>
      <c r="ET401" s="233"/>
      <c r="EU401" s="1070"/>
      <c r="EV401" s="233"/>
      <c r="EW401" s="233"/>
      <c r="EX401" s="1070"/>
      <c r="EY401" s="233"/>
      <c r="EZ401" s="233"/>
      <c r="FA401" s="1070"/>
    </row>
    <row r="402" spans="1:157" outlineLevel="1">
      <c r="B402" s="31" t="s">
        <v>23</v>
      </c>
      <c r="D402" s="162" t="s">
        <v>908</v>
      </c>
      <c r="BA402" s="35"/>
      <c r="BB402" s="35"/>
      <c r="BC402" s="322"/>
      <c r="BD402" s="35"/>
      <c r="BE402" s="35"/>
      <c r="BG402" s="35"/>
      <c r="BH402" s="35"/>
      <c r="BJ402" s="35"/>
      <c r="BK402" s="35"/>
      <c r="BL402" s="31"/>
      <c r="BM402" s="190">
        <f>BM379+BM389+BM397</f>
        <v>24.187300395939939</v>
      </c>
      <c r="BN402" s="190">
        <f>BN379+BN389+BN397</f>
        <v>25.34922899418784</v>
      </c>
      <c r="BO402" s="973">
        <f>BM402+BN402</f>
        <v>49.536529390127782</v>
      </c>
      <c r="BP402" s="190">
        <f>BP379+BP389+BP397</f>
        <v>27.60729874838519</v>
      </c>
      <c r="BQ402" s="190">
        <f>BQ379+BQ389+BQ397</f>
        <v>22.2259044134927</v>
      </c>
      <c r="BR402" s="973">
        <f>BP402+BQ402</f>
        <v>49.83320316187789</v>
      </c>
      <c r="BS402" s="190">
        <f>BS379+BS389+BS397</f>
        <v>31.411049641621993</v>
      </c>
      <c r="BT402" s="190">
        <f>BT379+BT389+BT397</f>
        <v>25.815773608585168</v>
      </c>
      <c r="BU402" s="190">
        <f>BS402+BT402</f>
        <v>57.226823250207161</v>
      </c>
      <c r="BV402" s="190">
        <f>BV379+BV389+BV397</f>
        <v>31.842336729692576</v>
      </c>
      <c r="BW402" s="190">
        <f>BW379+BW389+BW397</f>
        <v>35.295853011115788</v>
      </c>
      <c r="BX402" s="190">
        <f>BV402+BW402</f>
        <v>67.138189740808372</v>
      </c>
      <c r="BY402" s="190">
        <f>BY379+BY389+BY397</f>
        <v>32.673779511229988</v>
      </c>
      <c r="BZ402" s="190">
        <f>BZ379+BZ389+BZ397</f>
        <v>33.854700775031198</v>
      </c>
      <c r="CA402" s="190">
        <f>BY402+BZ402</f>
        <v>66.528480286261185</v>
      </c>
      <c r="CB402" s="190">
        <f>CB379+CB389+CB397</f>
        <v>36.742916735339257</v>
      </c>
      <c r="CC402" s="190">
        <f>CC379+CC389+CC397</f>
        <v>34.336846284493021</v>
      </c>
      <c r="CD402" s="190">
        <f>CB402+CC402</f>
        <v>71.079763019832285</v>
      </c>
      <c r="CE402" s="190">
        <f>CE379+CE389+CE397</f>
        <v>42.062977827436278</v>
      </c>
      <c r="CF402" s="190">
        <f>CF379+CF389+CF397</f>
        <v>44.00418939702827</v>
      </c>
      <c r="CG402" s="190">
        <f>CE402+CF402</f>
        <v>86.067167224464555</v>
      </c>
      <c r="CH402" s="190">
        <f>CH379+CH389+CH397</f>
        <v>43.518991960480314</v>
      </c>
      <c r="CI402" s="190">
        <f>CI379+CI389+CI397</f>
        <v>46.878619680024649</v>
      </c>
      <c r="CJ402" s="190">
        <f>CH402+CI402</f>
        <v>90.397611640504962</v>
      </c>
      <c r="CK402" s="190">
        <f>CK379+CK389+CK397</f>
        <v>53.196043276146774</v>
      </c>
      <c r="CL402" s="190">
        <f>CL379+CL389+CL397</f>
        <v>46.997759669048278</v>
      </c>
      <c r="CM402" s="190">
        <f>CK402+CL402</f>
        <v>100.19380294519505</v>
      </c>
      <c r="CN402" s="190">
        <f>CN379+CN389+CN397</f>
        <v>41.063689514912305</v>
      </c>
      <c r="CO402" s="190">
        <f>CO379+CO389+CO397</f>
        <v>60.479051822241651</v>
      </c>
      <c r="CP402" s="190">
        <f>CN402+CO402</f>
        <v>101.54274133715396</v>
      </c>
      <c r="CQ402" s="190">
        <f>CQ379+CQ389+CQ397</f>
        <v>55.146040968315333</v>
      </c>
      <c r="CR402" s="190">
        <f>CR379+CR389+CR397</f>
        <v>71.114368964032295</v>
      </c>
      <c r="CS402" s="190">
        <f>CQ402+CR402</f>
        <v>126.26040993234763</v>
      </c>
      <c r="CT402" s="190">
        <f>CT379+CT389+CT397</f>
        <v>77.715116501760775</v>
      </c>
      <c r="CU402" s="190">
        <f>CU379+CU389+CU397</f>
        <v>80.678014915958727</v>
      </c>
      <c r="CV402" s="190">
        <f>CT402+CU402</f>
        <v>158.3931314177195</v>
      </c>
      <c r="CW402" s="190">
        <f>CW379+CW389+CW397</f>
        <v>86.746874319012875</v>
      </c>
      <c r="CX402" s="190">
        <f>CX379+CX389+CX397</f>
        <v>87.497177354536205</v>
      </c>
      <c r="CY402" s="190">
        <f>CW402+CX402</f>
        <v>174.24405167354908</v>
      </c>
      <c r="CZ402" s="190">
        <f>CZ379+CZ389+CZ397</f>
        <v>79.541326275157843</v>
      </c>
      <c r="DA402" s="190">
        <f>DA379+DA389+DA397</f>
        <v>102.04775891610504</v>
      </c>
      <c r="DB402" s="190">
        <f>CZ402+DA402</f>
        <v>181.58908519126288</v>
      </c>
      <c r="DC402" s="190">
        <f>DC379+DC389+DC397</f>
        <v>94.815667661209545</v>
      </c>
      <c r="DD402" s="190">
        <f>DD379+DD389+DD397</f>
        <v>106.88995158196927</v>
      </c>
      <c r="DE402" s="190">
        <f>DC402+DD402</f>
        <v>201.70561924317883</v>
      </c>
      <c r="DF402" s="190">
        <f>DF379+DF389+DF397</f>
        <v>110.81777151194814</v>
      </c>
      <c r="DG402" s="190">
        <f>DG379+DG389+DG397</f>
        <v>73.879790886096558</v>
      </c>
      <c r="DH402" s="1060">
        <f>DF402+DG402</f>
        <v>184.69756239804468</v>
      </c>
      <c r="DI402" s="190">
        <f>DI379+DI389+DI397</f>
        <v>99.851163051189388</v>
      </c>
      <c r="DJ402" s="190">
        <f>DJ379+DJ389+DJ397</f>
        <v>93.69195222448873</v>
      </c>
      <c r="DK402" s="1060">
        <f>DI402+DJ402</f>
        <v>193.54311527567813</v>
      </c>
      <c r="DL402" s="234">
        <f>DL379+DL389+DL397</f>
        <v>110.09526283214582</v>
      </c>
      <c r="DM402" s="234">
        <f>DM379+DM389+DM397</f>
        <v>112.20682844087465</v>
      </c>
      <c r="DN402" s="1060">
        <f>DL402+DM402</f>
        <v>222.30209127302047</v>
      </c>
      <c r="DO402" s="234">
        <f>DO379+DO389+DO397</f>
        <v>125.89377778110602</v>
      </c>
      <c r="DP402" s="234">
        <f>DP379+DP389+DP397</f>
        <v>132.20543387877643</v>
      </c>
      <c r="DQ402" s="1060">
        <f>DO402+DP402</f>
        <v>258.09921165988249</v>
      </c>
      <c r="DR402" s="234">
        <f>DR379+DR389+DR397</f>
        <v>134.96025449593157</v>
      </c>
      <c r="DS402" s="234">
        <f>DS379+DS389+DS397</f>
        <v>153.79136980624472</v>
      </c>
      <c r="DT402" s="1060">
        <f>DR402+DS402</f>
        <v>288.75162430217631</v>
      </c>
      <c r="DU402" s="234">
        <f>DU379+DU389+DU397</f>
        <v>180.62475029601143</v>
      </c>
      <c r="DV402" s="234">
        <f>DV379+DV389+DV397</f>
        <v>155.2862620145342</v>
      </c>
      <c r="DW402" s="1060">
        <f>DU402+DV402</f>
        <v>335.91101231054563</v>
      </c>
      <c r="DX402" s="234">
        <f>DX379+DX389+DX397</f>
        <v>162.38795885283889</v>
      </c>
      <c r="DY402" s="234">
        <f>DY379+DY389+DY397</f>
        <v>192.82109106310816</v>
      </c>
      <c r="DZ402" s="1060">
        <f>DX402+DY402</f>
        <v>355.20904991594705</v>
      </c>
      <c r="EA402" s="234">
        <f>EA379+EA389+EA397</f>
        <v>209.88421646665512</v>
      </c>
      <c r="EB402" s="234">
        <f>EB379+EB389+EB397</f>
        <v>208.17761415877825</v>
      </c>
      <c r="EC402" s="1060">
        <f>EA402+EB402</f>
        <v>418.06183062543334</v>
      </c>
      <c r="ED402" s="234">
        <f>ED379+ED389+ED397</f>
        <v>230.8331628360059</v>
      </c>
      <c r="EE402" s="234">
        <f>EE379+EE389+EE397</f>
        <v>228.91760109780026</v>
      </c>
      <c r="EF402" s="1060">
        <f>ED402+EE402</f>
        <v>459.75076393380618</v>
      </c>
      <c r="EG402" s="234">
        <f>EG379+EG389+EG397</f>
        <v>254.29575394298814</v>
      </c>
      <c r="EH402" s="234">
        <f>EH379+EH389+EH397</f>
        <v>252.13867906105304</v>
      </c>
      <c r="EI402" s="1060">
        <f>EG402+EH402</f>
        <v>506.43443300404118</v>
      </c>
      <c r="EJ402" s="234">
        <f>EJ379+EJ389+EJ397</f>
        <v>279.96456363617278</v>
      </c>
      <c r="EK402" s="234">
        <f>EK379+EK389+EK397</f>
        <v>277.53962943000204</v>
      </c>
      <c r="EL402" s="1060">
        <f>EJ402+EK402</f>
        <v>557.50419306617482</v>
      </c>
      <c r="EM402" s="234">
        <f>EM379+EM389+EM397</f>
        <v>308.04229939383271</v>
      </c>
      <c r="EN402" s="234">
        <f>EN379+EN389+EN397</f>
        <v>305.32056339739927</v>
      </c>
      <c r="EO402" s="1060">
        <f>EM402+EN402</f>
        <v>613.36286279123192</v>
      </c>
      <c r="EP402" s="234">
        <f>EP379+EP389+EP397</f>
        <v>338.75010289780994</v>
      </c>
      <c r="EQ402" s="234">
        <f>EQ379+EQ389+EQ397</f>
        <v>335.69978215806725</v>
      </c>
      <c r="ER402" s="1060">
        <f>EP402+EQ402</f>
        <v>674.44988505587719</v>
      </c>
      <c r="ES402" s="234">
        <f>ES379+ES389+ES397</f>
        <v>372.32921793703196</v>
      </c>
      <c r="ET402" s="234">
        <f>ET379+ET389+ET397</f>
        <v>368.91542234470131</v>
      </c>
      <c r="EU402" s="1060">
        <f>ES402+ET402</f>
        <v>741.24464028173327</v>
      </c>
      <c r="EV402" s="234">
        <f>EV379+EV389+EV397</f>
        <v>409.04280883171009</v>
      </c>
      <c r="EW402" s="234">
        <f>EW379+EW389+EW397</f>
        <v>405.22724993953676</v>
      </c>
      <c r="EX402" s="1060">
        <f>EV402+EW402</f>
        <v>814.2700587712468</v>
      </c>
      <c r="EY402" s="234">
        <f>EY379+EY389+EY397</f>
        <v>449.17794294407503</v>
      </c>
      <c r="EZ402" s="234">
        <f>EZ379+EZ389+EZ397</f>
        <v>444.91861604264921</v>
      </c>
      <c r="FA402" s="1060">
        <f>EY402+EZ402</f>
        <v>894.09655898672418</v>
      </c>
    </row>
    <row r="403" spans="1:157" outlineLevel="1">
      <c r="B403" s="31" t="s">
        <v>213</v>
      </c>
      <c r="D403" s="162" t="s">
        <v>460</v>
      </c>
      <c r="BA403" s="35"/>
      <c r="BB403" s="35"/>
      <c r="BC403" s="322"/>
      <c r="BD403" s="35"/>
      <c r="BE403" s="35"/>
      <c r="BG403" s="35"/>
      <c r="BH403" s="35"/>
      <c r="BJ403" s="35"/>
      <c r="BK403" s="35"/>
      <c r="BL403" s="31"/>
      <c r="BM403" s="83">
        <f t="shared" ref="BM403:CR403" si="2145">BM402/BM351</f>
        <v>0.86747165393210357</v>
      </c>
      <c r="BN403" s="83">
        <f t="shared" si="2145"/>
        <v>0.84257641161041286</v>
      </c>
      <c r="BO403" s="83">
        <f t="shared" si="2145"/>
        <v>0.85455100784754756</v>
      </c>
      <c r="BP403" s="83">
        <f t="shared" si="2145"/>
        <v>0.85456670447718197</v>
      </c>
      <c r="BQ403" s="83">
        <f t="shared" si="2145"/>
        <v>0.81647841870713656</v>
      </c>
      <c r="BR403" s="83">
        <f t="shared" si="2145"/>
        <v>0.83714903139545183</v>
      </c>
      <c r="BS403" s="83">
        <f t="shared" si="2145"/>
        <v>0.7438617387364006</v>
      </c>
      <c r="BT403" s="83">
        <f t="shared" si="2145"/>
        <v>0.68117294938085882</v>
      </c>
      <c r="BU403" s="83">
        <f t="shared" si="2145"/>
        <v>0.71421040923304746</v>
      </c>
      <c r="BV403" s="83">
        <f t="shared" si="2145"/>
        <v>0.7415714555460674</v>
      </c>
      <c r="BW403" s="83">
        <f t="shared" si="2145"/>
        <v>0.73313087842962332</v>
      </c>
      <c r="BX403" s="83">
        <f t="shared" si="2145"/>
        <v>0.73710999572706626</v>
      </c>
      <c r="BY403" s="83">
        <f t="shared" si="2145"/>
        <v>0.72071863926833546</v>
      </c>
      <c r="BZ403" s="83">
        <f t="shared" si="2145"/>
        <v>0.71750383127821304</v>
      </c>
      <c r="CA403" s="83">
        <f t="shared" si="2145"/>
        <v>0.71907911116917811</v>
      </c>
      <c r="CB403" s="83">
        <f t="shared" si="2145"/>
        <v>0.77258852374062803</v>
      </c>
      <c r="CC403" s="83">
        <f t="shared" si="2145"/>
        <v>0.69271334540625085</v>
      </c>
      <c r="CD403" s="83">
        <f t="shared" si="2145"/>
        <v>0.73182426721959726</v>
      </c>
      <c r="CE403" s="83">
        <f t="shared" si="2145"/>
        <v>0.74812289703301671</v>
      </c>
      <c r="CF403" s="83">
        <f t="shared" si="2145"/>
        <v>0.66960449047942072</v>
      </c>
      <c r="CG403" s="83">
        <f t="shared" si="2145"/>
        <v>0.70580773118046691</v>
      </c>
      <c r="CH403" s="83">
        <f t="shared" si="2145"/>
        <v>0.72928544302769915</v>
      </c>
      <c r="CI403" s="83">
        <f t="shared" si="2145"/>
        <v>0.74124120049679465</v>
      </c>
      <c r="CJ403" s="83">
        <f t="shared" si="2145"/>
        <v>0.73543694043612284</v>
      </c>
      <c r="CK403" s="83">
        <f t="shared" si="2145"/>
        <v>0.68499828714576438</v>
      </c>
      <c r="CL403" s="83">
        <f t="shared" si="2145"/>
        <v>0.671839835175848</v>
      </c>
      <c r="CM403" s="83">
        <f t="shared" si="2145"/>
        <v>0.67876247293712177</v>
      </c>
      <c r="CN403" s="83">
        <f t="shared" si="2145"/>
        <v>0.70975680162666455</v>
      </c>
      <c r="CO403" s="83">
        <f t="shared" si="2145"/>
        <v>0.72215786376562119</v>
      </c>
      <c r="CP403" s="83">
        <f t="shared" si="2145"/>
        <v>0.71709107589651089</v>
      </c>
      <c r="CQ403" s="83">
        <f t="shared" si="2145"/>
        <v>0.86721247001596724</v>
      </c>
      <c r="CR403" s="83">
        <f t="shared" si="2145"/>
        <v>0.72777330976853383</v>
      </c>
      <c r="CS403" s="83">
        <f t="shared" ref="CS403:DU403" si="2146">CS402/CS351</f>
        <v>0.7827433119391688</v>
      </c>
      <c r="CT403" s="83">
        <f t="shared" si="2146"/>
        <v>0.72482597768829005</v>
      </c>
      <c r="CU403" s="83">
        <f t="shared" si="2146"/>
        <v>0.78265238310781748</v>
      </c>
      <c r="CV403" s="83">
        <f t="shared" si="2146"/>
        <v>0.7531705205367315</v>
      </c>
      <c r="CW403" s="83">
        <f t="shared" si="2146"/>
        <v>0.77934087683735997</v>
      </c>
      <c r="CX403" s="83">
        <f t="shared" si="2146"/>
        <v>0.83409348910538361</v>
      </c>
      <c r="CY403" s="83">
        <f t="shared" si="2146"/>
        <v>0.80590592096260794</v>
      </c>
      <c r="CZ403" s="83">
        <f t="shared" si="2146"/>
        <v>0.84275323681322944</v>
      </c>
      <c r="DA403" s="83">
        <f t="shared" si="2146"/>
        <v>0.83328311205338867</v>
      </c>
      <c r="DB403" s="83">
        <f t="shared" si="2146"/>
        <v>0.83740497832010174</v>
      </c>
      <c r="DC403" s="83">
        <f t="shared" si="2146"/>
        <v>0.84051920337554931</v>
      </c>
      <c r="DD403" s="83">
        <f t="shared" si="2146"/>
        <v>0.8533725026777581</v>
      </c>
      <c r="DE403" s="83">
        <f t="shared" si="2146"/>
        <v>0.84728194524512468</v>
      </c>
      <c r="DF403" s="83">
        <f t="shared" si="2146"/>
        <v>0.83221229956148768</v>
      </c>
      <c r="DG403" s="83">
        <f t="shared" si="2146"/>
        <v>0.82457043564350252</v>
      </c>
      <c r="DH403" s="1079">
        <f t="shared" si="2146"/>
        <v>0.82913858764022919</v>
      </c>
      <c r="DI403" s="83">
        <f t="shared" si="2146"/>
        <v>0.77105145213273663</v>
      </c>
      <c r="DJ403" s="83">
        <f t="shared" si="2146"/>
        <v>0.77239861685481226</v>
      </c>
      <c r="DK403" s="1079">
        <f t="shared" si="2146"/>
        <v>0.77170301146602127</v>
      </c>
      <c r="DL403" s="83">
        <f t="shared" si="2146"/>
        <v>0.78583342492609443</v>
      </c>
      <c r="DM403" s="189">
        <f t="shared" si="2146"/>
        <v>0.78576210392769363</v>
      </c>
      <c r="DN403" s="1066">
        <f t="shared" si="2146"/>
        <v>0.78579742408278719</v>
      </c>
      <c r="DO403" s="189">
        <f t="shared" si="2146"/>
        <v>0.78146354923094985</v>
      </c>
      <c r="DP403" s="189">
        <f t="shared" si="2146"/>
        <v>0.74734558439104826</v>
      </c>
      <c r="DQ403" s="1079">
        <f t="shared" si="2146"/>
        <v>0.76360713508840972</v>
      </c>
      <c r="DR403" s="83">
        <f t="shared" si="2146"/>
        <v>0.76900429912211721</v>
      </c>
      <c r="DS403" s="83">
        <f t="shared" si="2146"/>
        <v>0.78305178109085916</v>
      </c>
      <c r="DT403" s="1079">
        <f t="shared" si="2146"/>
        <v>0.77642275961865104</v>
      </c>
      <c r="DU403" s="83">
        <f t="shared" si="2146"/>
        <v>0.78875436810485344</v>
      </c>
      <c r="DV403" s="83">
        <f t="shared" ref="DV403:DX403" si="2147">DV402/DV351</f>
        <v>0.77720851859126228</v>
      </c>
      <c r="DW403" s="1079">
        <f t="shared" si="2147"/>
        <v>0.78337456229138436</v>
      </c>
      <c r="DX403" s="83">
        <f t="shared" si="2147"/>
        <v>0.78146274712626984</v>
      </c>
      <c r="DY403" s="83">
        <f t="shared" ref="DY403:ER403" si="2148">DY402/DY351</f>
        <v>0.8004819470371084</v>
      </c>
      <c r="DZ403" s="1079">
        <f t="shared" si="2148"/>
        <v>0.79167348946988481</v>
      </c>
      <c r="EA403" s="83">
        <f t="shared" si="2148"/>
        <v>0.80383850398926648</v>
      </c>
      <c r="EB403" s="83">
        <f t="shared" si="2148"/>
        <v>0.8083874219662418</v>
      </c>
      <c r="EC403" s="1079">
        <f t="shared" si="2148"/>
        <v>0.80609726099706636</v>
      </c>
      <c r="ED403" s="83">
        <f t="shared" si="2148"/>
        <v>0.81264708200656366</v>
      </c>
      <c r="EE403" s="83">
        <f t="shared" si="2148"/>
        <v>0.81710251932120959</v>
      </c>
      <c r="EF403" s="1079">
        <f t="shared" si="2148"/>
        <v>0.81485942882452556</v>
      </c>
      <c r="EG403" s="83">
        <f t="shared" si="2148"/>
        <v>0.82132754630140892</v>
      </c>
      <c r="EH403" s="83">
        <f t="shared" si="2148"/>
        <v>0.82567728825937792</v>
      </c>
      <c r="EI403" s="1079">
        <f t="shared" si="2148"/>
        <v>0.82348741010378701</v>
      </c>
      <c r="EJ403" s="83">
        <f t="shared" si="2148"/>
        <v>0.82957154385825971</v>
      </c>
      <c r="EK403" s="83">
        <f t="shared" si="2148"/>
        <v>0.83381436248010832</v>
      </c>
      <c r="EL403" s="1079">
        <f t="shared" si="2148"/>
        <v>0.83167831489202104</v>
      </c>
      <c r="EM403" s="83">
        <f t="shared" si="2148"/>
        <v>0.83740324742886341</v>
      </c>
      <c r="EN403" s="83">
        <f t="shared" si="2148"/>
        <v>0.84153837429018319</v>
      </c>
      <c r="EO403" s="1079">
        <f t="shared" si="2148"/>
        <v>0.83945654413296844</v>
      </c>
      <c r="EP403" s="83">
        <f t="shared" si="2148"/>
        <v>0.84484535775880398</v>
      </c>
      <c r="EQ403" s="83">
        <f t="shared" si="2148"/>
        <v>0.84887243473119356</v>
      </c>
      <c r="ER403" s="1079">
        <f t="shared" si="2148"/>
        <v>0.84684500230464166</v>
      </c>
      <c r="ES403" s="83">
        <f t="shared" ref="ES403:EX403" si="2149">ES402/ES351</f>
        <v>0.85191920046580216</v>
      </c>
      <c r="ET403" s="83">
        <f t="shared" si="2149"/>
        <v>0.85583823475104537</v>
      </c>
      <c r="EU403" s="1079">
        <f t="shared" si="2149"/>
        <v>0.85386519642941727</v>
      </c>
      <c r="EV403" s="83">
        <f t="shared" si="2149"/>
        <v>0.85864481618431621</v>
      </c>
      <c r="EW403" s="83">
        <f t="shared" si="2149"/>
        <v>0.8624561392952903</v>
      </c>
      <c r="EX403" s="1079">
        <f t="shared" si="2149"/>
        <v>0.8605373281783848</v>
      </c>
      <c r="EY403" s="83">
        <f t="shared" ref="EY403:FA403" si="2150">EY402/EY351</f>
        <v>0.86504104446083629</v>
      </c>
      <c r="EZ403" s="83">
        <f t="shared" si="2150"/>
        <v>0.86874527482968167</v>
      </c>
      <c r="FA403" s="1079">
        <f t="shared" si="2150"/>
        <v>0.86688037956775699</v>
      </c>
    </row>
    <row r="404" spans="1:157" outlineLevel="1">
      <c r="B404" s="31"/>
      <c r="BA404" s="35"/>
      <c r="BB404" s="35"/>
      <c r="BC404" s="322"/>
      <c r="BD404" s="35"/>
      <c r="BE404" s="35"/>
      <c r="BG404" s="35"/>
      <c r="BH404" s="35"/>
      <c r="BJ404" s="35"/>
      <c r="BK404" s="35"/>
      <c r="BL404" s="31"/>
      <c r="BM404" s="190"/>
      <c r="BN404" s="190"/>
      <c r="BO404" s="973"/>
      <c r="BP404" s="190"/>
      <c r="BQ404" s="190"/>
      <c r="BR404" s="973"/>
      <c r="BS404" s="190"/>
      <c r="BT404" s="190"/>
      <c r="BU404" s="190"/>
      <c r="BV404" s="190"/>
      <c r="BW404" s="190"/>
      <c r="BX404" s="190"/>
      <c r="BY404" s="190"/>
      <c r="BZ404" s="190"/>
      <c r="CA404" s="190"/>
      <c r="CB404" s="190"/>
      <c r="CC404" s="190"/>
      <c r="CD404" s="190"/>
      <c r="CE404" s="190"/>
      <c r="CF404" s="190"/>
      <c r="CG404" s="190"/>
      <c r="CH404" s="190"/>
      <c r="CI404" s="190"/>
      <c r="CJ404" s="190"/>
      <c r="CK404" s="190"/>
      <c r="CL404" s="190"/>
      <c r="CM404" s="190"/>
      <c r="CN404" s="190"/>
      <c r="CO404" s="190"/>
      <c r="CP404" s="190"/>
      <c r="CQ404" s="190"/>
      <c r="CR404" s="190"/>
      <c r="CS404" s="190"/>
      <c r="CT404" s="190"/>
      <c r="CU404" s="190"/>
      <c r="CV404" s="190"/>
      <c r="CW404" s="190"/>
      <c r="CX404" s="190"/>
      <c r="CY404" s="190"/>
      <c r="CZ404" s="190"/>
      <c r="DA404" s="190"/>
      <c r="DB404" s="190"/>
      <c r="DC404" s="190"/>
      <c r="DD404" s="190"/>
      <c r="DE404" s="190"/>
      <c r="DF404" s="190"/>
      <c r="DG404" s="190"/>
      <c r="DH404" s="1080"/>
      <c r="DI404" s="190"/>
      <c r="DJ404" s="190"/>
      <c r="DK404" s="1080"/>
      <c r="DL404" s="190"/>
      <c r="DM404" s="190"/>
      <c r="DN404" s="1080"/>
      <c r="DO404" s="35"/>
      <c r="DP404" s="190"/>
      <c r="DQ404" s="1080"/>
      <c r="DR404" s="190"/>
      <c r="DS404" s="190"/>
      <c r="DT404" s="1080"/>
      <c r="DU404" s="190"/>
      <c r="DV404" s="190"/>
      <c r="DW404" s="1080"/>
      <c r="DX404" s="190"/>
      <c r="DY404" s="190"/>
      <c r="DZ404" s="1080"/>
      <c r="EA404" s="190"/>
      <c r="EB404" s="190"/>
      <c r="EC404" s="1080"/>
      <c r="ED404" s="190"/>
      <c r="EE404" s="190"/>
      <c r="EF404" s="1080"/>
      <c r="EG404" s="190"/>
      <c r="EH404" s="190"/>
      <c r="EI404" s="1080"/>
      <c r="EJ404" s="190"/>
      <c r="EK404" s="190"/>
      <c r="EL404" s="1080"/>
      <c r="EM404" s="190"/>
      <c r="EN404" s="190"/>
      <c r="EO404" s="1080"/>
      <c r="EP404" s="190"/>
      <c r="EQ404" s="190"/>
      <c r="ER404" s="1080"/>
      <c r="ES404" s="190"/>
      <c r="ET404" s="190"/>
      <c r="EU404" s="1080"/>
      <c r="EV404" s="190"/>
      <c r="EW404" s="190"/>
      <c r="EX404" s="1080"/>
      <c r="EY404" s="190"/>
      <c r="EZ404" s="190"/>
      <c r="FA404" s="1080"/>
    </row>
    <row r="405" spans="1:157" outlineLevel="1">
      <c r="A405" s="1426" t="s">
        <v>24</v>
      </c>
      <c r="D405" s="162" t="s">
        <v>604</v>
      </c>
      <c r="BA405" s="35"/>
      <c r="BB405" s="35"/>
      <c r="BC405" s="322"/>
      <c r="BD405" s="35"/>
      <c r="BE405" s="35"/>
      <c r="BG405" s="35"/>
      <c r="BH405" s="35"/>
      <c r="BJ405" s="35"/>
      <c r="BK405" s="35"/>
      <c r="BL405" s="31"/>
      <c r="BM405" s="190">
        <f>BM406*BM351</f>
        <v>4.1823788050542561</v>
      </c>
      <c r="BN405" s="190">
        <f>BN406*BN351</f>
        <v>4.512806549925477</v>
      </c>
      <c r="BO405" s="1024">
        <f>BM405+BN405</f>
        <v>8.6951853549797331</v>
      </c>
      <c r="BP405" s="190">
        <f>BP406*BP351</f>
        <v>4.8458415130873513</v>
      </c>
      <c r="BQ405" s="190">
        <f>BQ406*BQ351</f>
        <v>4.0832501945403399</v>
      </c>
      <c r="BR405" s="1024">
        <f>BP405+BQ405</f>
        <v>8.9290917076276912</v>
      </c>
      <c r="BS405" s="190">
        <f>BS406*BS351</f>
        <v>10.0137034943867</v>
      </c>
      <c r="BT405" s="190">
        <f>BT406*BT351</f>
        <v>10.482496612191571</v>
      </c>
      <c r="BU405" s="70">
        <f>BS405+BT405</f>
        <v>20.496200106578272</v>
      </c>
      <c r="BV405" s="190">
        <f>BV406*BV351</f>
        <v>11.407709204179723</v>
      </c>
      <c r="BW405" s="190">
        <f>BW406*BW351</f>
        <v>13.151427032364612</v>
      </c>
      <c r="BX405" s="70">
        <f>BV405+BW405</f>
        <v>24.559136236544333</v>
      </c>
      <c r="BY405" s="190">
        <f>BY406*BY351</f>
        <v>11.720941596924712</v>
      </c>
      <c r="BZ405" s="190">
        <f>BZ406*BZ351</f>
        <v>12.304904262496681</v>
      </c>
      <c r="CA405" s="70">
        <f>BY405+BZ405</f>
        <v>24.025845859421395</v>
      </c>
      <c r="CB405" s="190">
        <f>CB406*CB351</f>
        <v>13.864403200565549</v>
      </c>
      <c r="CC405" s="190">
        <f>CC406*CC351</f>
        <v>13.915895066602515</v>
      </c>
      <c r="CD405" s="70">
        <f>CB405+CC405</f>
        <v>27.780298267168064</v>
      </c>
      <c r="CE405" s="190">
        <f>CE406*CE351</f>
        <v>16.889334572827483</v>
      </c>
      <c r="CF405" s="190">
        <f>CF406*CF351</f>
        <v>14.301922813597955</v>
      </c>
      <c r="CG405" s="70">
        <f>CE405+CF405</f>
        <v>31.191257386425438</v>
      </c>
      <c r="CH405" s="190">
        <f>CH406*CH351</f>
        <v>15.211363872272843</v>
      </c>
      <c r="CI405" s="190">
        <f>CI406*CI351</f>
        <v>13.701684346297018</v>
      </c>
      <c r="CJ405" s="70">
        <f>CH405+CI405</f>
        <v>28.913048218569863</v>
      </c>
      <c r="CK405" s="190">
        <f>CK406*CK351</f>
        <v>12.217259057791731</v>
      </c>
      <c r="CL405" s="190">
        <f>CL406*CL351</f>
        <v>11.114961695982998</v>
      </c>
      <c r="CM405" s="70">
        <f>CK405+CL405</f>
        <v>23.332220753774727</v>
      </c>
      <c r="CN405" s="190">
        <f>CN406*CN351</f>
        <v>13.383588626225594</v>
      </c>
      <c r="CO405" s="190">
        <f>CO406*CO351</f>
        <v>5.1797033705386122</v>
      </c>
      <c r="CP405" s="70">
        <f>CN405+CO405</f>
        <v>18.563291996764207</v>
      </c>
      <c r="CQ405" s="190">
        <f>CQ406*CQ351</f>
        <v>21.865829313316908</v>
      </c>
      <c r="CR405" s="190">
        <f>CR406*CR351</f>
        <v>12.089349513361277</v>
      </c>
      <c r="CS405" s="70">
        <f>CQ405+CR405</f>
        <v>33.955178826678186</v>
      </c>
      <c r="CT405" s="190">
        <f>CT406*CT351</f>
        <v>22.001316501760726</v>
      </c>
      <c r="CU405" s="190">
        <f>CU406*CU351</f>
        <v>29.51261143385161</v>
      </c>
      <c r="CV405" s="70">
        <f>CT405+CU405</f>
        <v>51.513927935612337</v>
      </c>
      <c r="CW405" s="190">
        <f>CW406*CW351</f>
        <v>29.1181728</v>
      </c>
      <c r="CX405" s="190">
        <f>CX406*CX351</f>
        <v>34.827106626695915</v>
      </c>
      <c r="CY405" s="70">
        <f>CW405+CX405</f>
        <v>63.945279426695919</v>
      </c>
      <c r="CZ405" s="190">
        <f>CZ406*CZ351</f>
        <v>31.677200490889426</v>
      </c>
      <c r="DA405" s="190">
        <f>DA406*DA351</f>
        <v>36.072432572580716</v>
      </c>
      <c r="DB405" s="70">
        <f>CZ405+DA405</f>
        <v>67.749633063470142</v>
      </c>
      <c r="DC405" s="190">
        <f>DC406*DC351</f>
        <v>37.283015816891904</v>
      </c>
      <c r="DD405" s="190">
        <f>DD406*DD351</f>
        <v>37.647484886789563</v>
      </c>
      <c r="DE405" s="70">
        <f>DC405+DD405</f>
        <v>74.930500703681474</v>
      </c>
      <c r="DF405" s="190">
        <f>DF406*DF351</f>
        <v>43.809790899079566</v>
      </c>
      <c r="DG405" s="70">
        <v>37.1</v>
      </c>
      <c r="DH405" s="1070">
        <f>DF405+DG405</f>
        <v>80.909790899079567</v>
      </c>
      <c r="DI405" s="184">
        <f>+DI402-DI416-DI413</f>
        <v>35.126163051189394</v>
      </c>
      <c r="DJ405" s="184">
        <f>+DJ402-DJ416-DJ413</f>
        <v>46.596952224488724</v>
      </c>
      <c r="DK405" s="1085">
        <f>DI405+DJ405</f>
        <v>81.723115275678111</v>
      </c>
      <c r="DL405" s="184">
        <f>+DL402-DL416-DL413</f>
        <v>42.780262832145823</v>
      </c>
      <c r="DM405" s="184">
        <f>+DM402-DM416-DM413</f>
        <v>45.08682844087464</v>
      </c>
      <c r="DN405" s="1085">
        <f>DL405+DM405</f>
        <v>87.867091273020463</v>
      </c>
      <c r="DO405" s="184">
        <f>+DO402-DO416-DO413</f>
        <v>44.928777781106028</v>
      </c>
      <c r="DP405" s="184">
        <f>+DP402-DP416-DP413</f>
        <v>57.570433878776427</v>
      </c>
      <c r="DQ405" s="1085">
        <f>DO405+DP405</f>
        <v>102.49921165988246</v>
      </c>
      <c r="DR405" s="184">
        <f>+DR402-DR416-DR413</f>
        <v>84.535254495931568</v>
      </c>
      <c r="DS405" s="184">
        <f>+DS402-DS416-DS413</f>
        <v>46.231369806244729</v>
      </c>
      <c r="DT405" s="1085">
        <f>DR405+DS405</f>
        <v>130.7666243021763</v>
      </c>
      <c r="DU405" s="234">
        <f>DU406*DU351</f>
        <v>80.520454329654143</v>
      </c>
      <c r="DV405" s="184">
        <f>+DV402-DV416-DV413</f>
        <v>71.116262014534186</v>
      </c>
      <c r="DW405" s="1085">
        <f>DU405+DV405</f>
        <v>151.63671634418833</v>
      </c>
      <c r="DX405" s="234">
        <f>DX406*DX351</f>
        <v>73.484397519408432</v>
      </c>
      <c r="DY405" s="234">
        <f>DY406*DY351</f>
        <v>85.182932837010156</v>
      </c>
      <c r="DZ405" s="1070">
        <f>DX405+DY405</f>
        <v>158.66733035641857</v>
      </c>
      <c r="EA405" s="234">
        <f>EA406*EA351</f>
        <v>83.552789442176874</v>
      </c>
      <c r="EB405" s="234">
        <f>EB406*EB351</f>
        <v>82.407067107472827</v>
      </c>
      <c r="EC405" s="1070">
        <f>EA405+EB405</f>
        <v>165.95985654964971</v>
      </c>
      <c r="ED405" s="234">
        <f>ED406*ED351</f>
        <v>90.896298950748317</v>
      </c>
      <c r="EE405" s="234">
        <f>EE406*EE351</f>
        <v>89.65047912488383</v>
      </c>
      <c r="EF405" s="1070">
        <f>ED405+EE405</f>
        <v>180.54677807563215</v>
      </c>
      <c r="EG405" s="234">
        <f>EG406*EG351</f>
        <v>99.076965856315653</v>
      </c>
      <c r="EH405" s="234">
        <f>EH406*EH351</f>
        <v>97.719022246123373</v>
      </c>
      <c r="EI405" s="1070">
        <f>EG405+EH405</f>
        <v>196.79598810243903</v>
      </c>
      <c r="EJ405" s="234">
        <f>EJ406*EJ351</f>
        <v>107.99389278338407</v>
      </c>
      <c r="EK405" s="234">
        <f>EK406*EK351</f>
        <v>106.51373424827447</v>
      </c>
      <c r="EL405" s="1070">
        <f>EJ405+EK405</f>
        <v>214.50762703165856</v>
      </c>
      <c r="EM405" s="234">
        <f>EM406*EM351</f>
        <v>117.71334313388867</v>
      </c>
      <c r="EN405" s="234">
        <f>EN406*EN351</f>
        <v>116.09997033061919</v>
      </c>
      <c r="EO405" s="1070">
        <f>EM405+EN405</f>
        <v>233.81331346450787</v>
      </c>
      <c r="EP405" s="234">
        <f>EP406*EP351</f>
        <v>128.30754401593865</v>
      </c>
      <c r="EQ405" s="234">
        <f>EQ406*EQ351</f>
        <v>126.54896766037491</v>
      </c>
      <c r="ER405" s="1070">
        <f>EP405+EQ405</f>
        <v>254.85651167631357</v>
      </c>
      <c r="ES405" s="234">
        <f>ES406*ES351</f>
        <v>139.85522297737316</v>
      </c>
      <c r="ET405" s="234">
        <f>ET406*ET351</f>
        <v>137.93837474980867</v>
      </c>
      <c r="EU405" s="1070">
        <f>ES405+ET405</f>
        <v>277.7935977271818</v>
      </c>
      <c r="EV405" s="234">
        <f>EV406*EV351</f>
        <v>152.44219304533672</v>
      </c>
      <c r="EW405" s="234">
        <f>EW406*EW351</f>
        <v>150.35282847729141</v>
      </c>
      <c r="EX405" s="1070">
        <f>EV405+EW405</f>
        <v>302.79502152262813</v>
      </c>
      <c r="EY405" s="234">
        <f>EY406*EY351</f>
        <v>166.16199041941704</v>
      </c>
      <c r="EZ405" s="234">
        <f>EZ406*EZ351</f>
        <v>163.88458304024763</v>
      </c>
      <c r="FA405" s="1070">
        <f>EY405+EZ405</f>
        <v>330.04657345966467</v>
      </c>
    </row>
    <row r="406" spans="1:157" outlineLevel="1">
      <c r="A406" s="1431"/>
      <c r="B406" s="31"/>
      <c r="BA406" s="91"/>
      <c r="BB406" s="91"/>
      <c r="BC406" s="942"/>
      <c r="BD406" s="91"/>
      <c r="BE406" s="91"/>
      <c r="BF406" s="87"/>
      <c r="BG406" s="91"/>
      <c r="BH406" s="91"/>
      <c r="BI406" s="87"/>
      <c r="BM406" s="125">
        <v>0.15</v>
      </c>
      <c r="BN406" s="125">
        <f>BM406</f>
        <v>0.15</v>
      </c>
      <c r="BO406" s="107">
        <f>BO405/BO351</f>
        <v>0.15</v>
      </c>
      <c r="BP406" s="125">
        <f>BM406</f>
        <v>0.15</v>
      </c>
      <c r="BQ406" s="125">
        <f>BN406</f>
        <v>0.15</v>
      </c>
      <c r="BR406" s="107">
        <f>BR405/BR351</f>
        <v>0.15</v>
      </c>
      <c r="BS406" s="86">
        <v>0.23713982746552439</v>
      </c>
      <c r="BT406" s="86">
        <v>0.27659032196605637</v>
      </c>
      <c r="BU406" s="65">
        <f>BU405/BU351</f>
        <v>0.25579961693555486</v>
      </c>
      <c r="BV406" s="86">
        <v>0.26567244705698145</v>
      </c>
      <c r="BW406" s="86">
        <v>0.27316855750175745</v>
      </c>
      <c r="BX406" s="65">
        <f>BX405/BX351</f>
        <v>0.26963468744490554</v>
      </c>
      <c r="BY406" s="86">
        <v>0.25854067711315126</v>
      </c>
      <c r="BZ406" s="86">
        <v>0.26078552607868521</v>
      </c>
      <c r="CA406" s="65">
        <f>CA405/CA351</f>
        <v>0.25968553334365263</v>
      </c>
      <c r="CB406" s="86">
        <v>0.29152499999999998</v>
      </c>
      <c r="CC406" s="93">
        <v>0.28073999999999999</v>
      </c>
      <c r="CD406" s="65">
        <f>CD405/CD351</f>
        <v>0.2860208807511031</v>
      </c>
      <c r="CE406" s="93">
        <v>0.30038999999999999</v>
      </c>
      <c r="CF406" s="93">
        <v>0.21762999999999999</v>
      </c>
      <c r="CG406" s="65">
        <f>CG405/CG351</f>
        <v>0.25578895319237549</v>
      </c>
      <c r="CH406" s="93">
        <v>0.25491000000000003</v>
      </c>
      <c r="CI406" s="93">
        <v>0.21665000000000001</v>
      </c>
      <c r="CJ406" s="65">
        <f>CJ405/CJ351</f>
        <v>0.23522439735586284</v>
      </c>
      <c r="CK406" s="32">
        <v>0.15731999999999999</v>
      </c>
      <c r="CL406" s="32">
        <v>0.15889</v>
      </c>
      <c r="CM406" s="65">
        <f>CM405/CM351</f>
        <v>0.15806402584209386</v>
      </c>
      <c r="CN406" s="93">
        <v>0.23132585429731736</v>
      </c>
      <c r="CO406" s="93">
        <v>6.1848911454529948E-2</v>
      </c>
      <c r="CP406" s="65">
        <f>CP405/CP351</f>
        <v>0.13109328007939156</v>
      </c>
      <c r="CQ406" s="93">
        <v>0.34385641316743065</v>
      </c>
      <c r="CR406" s="32">
        <v>0.12372050875875019</v>
      </c>
      <c r="CS406" s="65">
        <f>CS405/CS351</f>
        <v>0.2105029529566857</v>
      </c>
      <c r="CT406" s="32">
        <v>0.2051997920308968</v>
      </c>
      <c r="CU406" s="32">
        <v>0.2863</v>
      </c>
      <c r="CV406" s="65">
        <f>CV405/CV351</f>
        <v>0.24495236359609204</v>
      </c>
      <c r="CW406" s="32">
        <v>0.2616</v>
      </c>
      <c r="CX406" s="32">
        <v>0.33200000000000002</v>
      </c>
      <c r="CY406" s="65">
        <f>CY405/CY351</f>
        <v>0.29575689277550082</v>
      </c>
      <c r="CZ406" s="32">
        <v>0.33562507060202662</v>
      </c>
      <c r="DA406" s="32">
        <v>0.29455373829549419</v>
      </c>
      <c r="DB406" s="65">
        <f>DB405/DB351</f>
        <v>0.31243001167693418</v>
      </c>
      <c r="DC406" s="32">
        <v>0.33050540619324714</v>
      </c>
      <c r="DD406" s="32">
        <v>0.3005645331659228</v>
      </c>
      <c r="DE406" s="65">
        <f>DE405/DE351</f>
        <v>0.31475206606844891</v>
      </c>
      <c r="DF406" s="32">
        <v>0.32900000000000001</v>
      </c>
      <c r="DG406" s="65">
        <f>DG405/DG351</f>
        <v>0.41407214064179182</v>
      </c>
      <c r="DH406" s="1077">
        <f>DH405/DH351</f>
        <v>0.36321773217424608</v>
      </c>
      <c r="DI406" s="65">
        <f>+DI405/DI351</f>
        <v>0.27124450232578684</v>
      </c>
      <c r="DJ406" s="65">
        <v>0.43</v>
      </c>
      <c r="DK406" s="1066">
        <f>DK405/DK351</f>
        <v>0.3258497419285411</v>
      </c>
      <c r="DL406" s="65">
        <f>+DL405/DL351</f>
        <v>0.30535519509026282</v>
      </c>
      <c r="DM406" s="65">
        <v>0.43</v>
      </c>
      <c r="DN406" s="1066">
        <f>DN405/DN351</f>
        <v>0.31059417205026679</v>
      </c>
      <c r="DO406" s="65">
        <f>+DO405/DO351</f>
        <v>0.27888750950407221</v>
      </c>
      <c r="DP406" s="65">
        <v>0.43</v>
      </c>
      <c r="DQ406" s="1066">
        <f>DQ405/DQ351</f>
        <v>0.30325210550261084</v>
      </c>
      <c r="DR406" s="65">
        <f>+DR405/DR351</f>
        <v>0.48168236180017987</v>
      </c>
      <c r="DS406" s="65">
        <v>0.43</v>
      </c>
      <c r="DT406" s="1066">
        <f>DT405/DT351</f>
        <v>0.3516177044963063</v>
      </c>
      <c r="DU406" s="1055">
        <f>+DT406</f>
        <v>0.3516177044963063</v>
      </c>
      <c r="DV406" s="65">
        <v>0.43</v>
      </c>
      <c r="DW406" s="1066">
        <f>DW405/DW351</f>
        <v>0.35363040192208101</v>
      </c>
      <c r="DX406" s="1055">
        <f>+DW406</f>
        <v>0.35363040192208101</v>
      </c>
      <c r="DY406" s="1055">
        <f>DX406</f>
        <v>0.35363040192208101</v>
      </c>
      <c r="DZ406" s="1077">
        <f>DZ405/DZ351</f>
        <v>0.35363040192208095</v>
      </c>
      <c r="EA406" s="1055">
        <v>0.32</v>
      </c>
      <c r="EB406" s="1055">
        <f>EA406</f>
        <v>0.32</v>
      </c>
      <c r="EC406" s="1077">
        <f>EC405/EC351</f>
        <v>0.32</v>
      </c>
      <c r="ED406" s="1055">
        <f>+EC406</f>
        <v>0.32</v>
      </c>
      <c r="EE406" s="1055">
        <f>ED406</f>
        <v>0.32</v>
      </c>
      <c r="EF406" s="1077">
        <f>EF405/EF351</f>
        <v>0.32</v>
      </c>
      <c r="EG406" s="1055">
        <f>+EF406</f>
        <v>0.32</v>
      </c>
      <c r="EH406" s="1055">
        <f>EG406</f>
        <v>0.32</v>
      </c>
      <c r="EI406" s="1077">
        <f>EI405/EI351</f>
        <v>0.32</v>
      </c>
      <c r="EJ406" s="1055">
        <f>+EI406</f>
        <v>0.32</v>
      </c>
      <c r="EK406" s="1055">
        <f>EJ406</f>
        <v>0.32</v>
      </c>
      <c r="EL406" s="1077">
        <f>EL405/EL351</f>
        <v>0.32</v>
      </c>
      <c r="EM406" s="1055">
        <f>+EL406</f>
        <v>0.32</v>
      </c>
      <c r="EN406" s="1055">
        <f>EM406</f>
        <v>0.32</v>
      </c>
      <c r="EO406" s="1077">
        <f>EO405/EO351</f>
        <v>0.32</v>
      </c>
      <c r="EP406" s="1055">
        <f>+EO406</f>
        <v>0.32</v>
      </c>
      <c r="EQ406" s="1055">
        <f>EP406</f>
        <v>0.32</v>
      </c>
      <c r="ER406" s="1077">
        <f>ER405/ER351</f>
        <v>0.32</v>
      </c>
      <c r="ES406" s="1055">
        <f>+ER406</f>
        <v>0.32</v>
      </c>
      <c r="ET406" s="1055">
        <f>ES406</f>
        <v>0.32</v>
      </c>
      <c r="EU406" s="1077">
        <f>EU405/EU351</f>
        <v>0.31999999999999995</v>
      </c>
      <c r="EV406" s="1055">
        <f>+EU406</f>
        <v>0.31999999999999995</v>
      </c>
      <c r="EW406" s="1055">
        <f>EV406</f>
        <v>0.31999999999999995</v>
      </c>
      <c r="EX406" s="1077">
        <f>EX405/EX351</f>
        <v>0.31999999999999995</v>
      </c>
      <c r="EY406" s="1055">
        <f>+EX406</f>
        <v>0.31999999999999995</v>
      </c>
      <c r="EZ406" s="1055">
        <f>EY406</f>
        <v>0.31999999999999995</v>
      </c>
      <c r="FA406" s="1077">
        <f>FA405/FA351</f>
        <v>0.31999999999999995</v>
      </c>
    </row>
    <row r="407" spans="1:157" outlineLevel="1">
      <c r="B407" s="31"/>
      <c r="BA407" s="91"/>
      <c r="BB407" s="91"/>
      <c r="BC407" s="942"/>
      <c r="BD407" s="91"/>
      <c r="BE407" s="91"/>
      <c r="BF407" s="87"/>
      <c r="BG407" s="91"/>
      <c r="BH407" s="91"/>
      <c r="BI407" s="87"/>
      <c r="BR407" s="124"/>
      <c r="BS407" s="101"/>
      <c r="BT407" s="71"/>
      <c r="BU407" s="74"/>
      <c r="BV407" s="101"/>
      <c r="BW407" s="101"/>
      <c r="BX407" s="74"/>
      <c r="BY407" s="71"/>
      <c r="BZ407" s="71"/>
      <c r="CA407" s="70"/>
      <c r="CB407" s="32"/>
      <c r="CC407" s="32"/>
      <c r="CD407" s="65"/>
      <c r="CE407" s="32"/>
      <c r="CF407" s="32"/>
      <c r="CG407" s="70"/>
      <c r="CH407" s="32"/>
      <c r="CI407" s="32"/>
      <c r="CJ407" s="70"/>
      <c r="CK407" s="32"/>
      <c r="CL407" s="32"/>
      <c r="CM407" s="70"/>
      <c r="CN407" s="32"/>
      <c r="CO407" s="32"/>
      <c r="CP407" s="70"/>
      <c r="CQ407" s="32"/>
      <c r="CR407" s="32"/>
      <c r="CS407" s="70"/>
      <c r="CT407" s="32"/>
      <c r="CU407" s="32"/>
      <c r="CV407" s="70"/>
      <c r="CW407" s="32"/>
      <c r="CX407" s="32"/>
      <c r="CY407" s="70"/>
      <c r="CZ407" s="32"/>
      <c r="DA407" s="32"/>
      <c r="DB407" s="70"/>
      <c r="DC407" s="32"/>
      <c r="DD407" s="32"/>
      <c r="DE407" s="70"/>
      <c r="DF407" s="32"/>
      <c r="DG407" s="32"/>
      <c r="DH407" s="1074"/>
      <c r="DI407" s="32"/>
      <c r="DJ407" s="32"/>
      <c r="DK407" s="1074"/>
      <c r="DL407" s="32"/>
      <c r="DM407" s="32"/>
      <c r="DN407" s="1074"/>
      <c r="DO407" s="32"/>
      <c r="DP407" s="32"/>
      <c r="DQ407" s="1074"/>
      <c r="DR407" s="32"/>
      <c r="DS407" s="32"/>
      <c r="DT407" s="1074"/>
      <c r="DU407" s="32"/>
      <c r="DV407" s="32"/>
      <c r="DW407" s="1074"/>
      <c r="DX407" s="32"/>
      <c r="DY407" s="32"/>
      <c r="DZ407" s="1074"/>
      <c r="EA407" s="32"/>
      <c r="EB407" s="32"/>
      <c r="EC407" s="1074"/>
      <c r="ED407" s="32"/>
      <c r="EE407" s="32"/>
      <c r="EF407" s="1074"/>
      <c r="EG407" s="32"/>
      <c r="EH407" s="32"/>
      <c r="EI407" s="1074"/>
      <c r="EJ407" s="32"/>
      <c r="EK407" s="32"/>
      <c r="EL407" s="1074"/>
      <c r="EM407" s="32"/>
      <c r="EN407" s="32"/>
      <c r="EO407" s="1074"/>
      <c r="EP407" s="32"/>
      <c r="EQ407" s="32"/>
      <c r="ER407" s="1074"/>
      <c r="ES407" s="32"/>
      <c r="ET407" s="32"/>
      <c r="EU407" s="1074"/>
      <c r="EV407" s="32"/>
      <c r="EW407" s="32"/>
      <c r="EX407" s="1074"/>
      <c r="EY407" s="32"/>
      <c r="EZ407" s="32"/>
      <c r="FA407" s="1074"/>
    </row>
    <row r="408" spans="1:157" outlineLevel="1">
      <c r="A408" s="1426" t="s">
        <v>25</v>
      </c>
      <c r="B408" s="31"/>
      <c r="BA408" s="91"/>
      <c r="BB408" s="91"/>
      <c r="BC408" s="942"/>
      <c r="BD408" s="91"/>
      <c r="BE408" s="91"/>
      <c r="BF408" s="87"/>
      <c r="BG408" s="91"/>
      <c r="BH408" s="91"/>
      <c r="BI408" s="87"/>
      <c r="BR408" s="124"/>
      <c r="BS408" s="101"/>
      <c r="BT408" s="71"/>
      <c r="BU408" s="74"/>
      <c r="BV408" s="101"/>
      <c r="BW408" s="101"/>
      <c r="BX408" s="74"/>
      <c r="BY408" s="71"/>
      <c r="BZ408" s="71"/>
      <c r="CA408" s="70"/>
      <c r="CB408" s="32"/>
      <c r="CC408" s="32"/>
      <c r="CD408" s="70"/>
      <c r="CE408" s="32"/>
      <c r="CF408" s="32"/>
      <c r="CG408" s="70"/>
      <c r="CH408" s="32"/>
      <c r="CI408" s="32"/>
      <c r="CJ408" s="70"/>
      <c r="CK408" s="32"/>
      <c r="CL408" s="32"/>
      <c r="CM408" s="70"/>
      <c r="CN408" s="32"/>
      <c r="CO408" s="32"/>
      <c r="CP408" s="70"/>
      <c r="CQ408" s="32"/>
      <c r="CR408" s="32"/>
      <c r="CS408" s="70"/>
      <c r="CT408" s="32"/>
      <c r="CU408" s="32"/>
      <c r="CV408" s="70"/>
      <c r="CW408" s="32"/>
      <c r="CX408" s="32"/>
      <c r="CY408" s="70"/>
      <c r="CZ408" s="32"/>
      <c r="DA408" s="32"/>
      <c r="DB408" s="70"/>
      <c r="DC408" s="32"/>
      <c r="DD408" s="32"/>
      <c r="DE408" s="70"/>
      <c r="DF408" s="32"/>
      <c r="DG408" s="32"/>
      <c r="DH408" s="1074"/>
      <c r="DI408" s="32"/>
      <c r="DJ408" s="32"/>
      <c r="DK408" s="1074"/>
      <c r="DL408" s="32"/>
      <c r="DM408" s="32"/>
      <c r="DN408" s="1074"/>
      <c r="DO408" s="32"/>
      <c r="DP408" s="32"/>
      <c r="DQ408" s="1074"/>
      <c r="DR408" s="32"/>
      <c r="DS408" s="32"/>
      <c r="DT408" s="1074"/>
      <c r="DU408" s="32"/>
      <c r="DV408" s="32"/>
      <c r="DW408" s="1074"/>
      <c r="DX408" s="32"/>
      <c r="DY408" s="32"/>
      <c r="DZ408" s="1074"/>
      <c r="EA408" s="32"/>
      <c r="EB408" s="32"/>
      <c r="EC408" s="1074"/>
      <c r="ED408" s="32"/>
      <c r="EE408" s="32"/>
      <c r="EF408" s="1074"/>
      <c r="EG408" s="32"/>
      <c r="EH408" s="32"/>
      <c r="EI408" s="1074"/>
      <c r="EJ408" s="32"/>
      <c r="EK408" s="32"/>
      <c r="EL408" s="1074"/>
      <c r="EM408" s="32"/>
      <c r="EN408" s="32"/>
      <c r="EO408" s="1074"/>
      <c r="EP408" s="32"/>
      <c r="EQ408" s="32"/>
      <c r="ER408" s="1074"/>
      <c r="ES408" s="32"/>
      <c r="ET408" s="32"/>
      <c r="EU408" s="1074"/>
      <c r="EV408" s="32"/>
      <c r="EW408" s="32"/>
      <c r="EX408" s="1074"/>
      <c r="EY408" s="32"/>
      <c r="EZ408" s="32"/>
      <c r="FA408" s="1074"/>
    </row>
    <row r="409" spans="1:157" ht="12" customHeight="1" outlineLevel="1">
      <c r="B409" s="35" t="s">
        <v>25</v>
      </c>
      <c r="D409" s="162" t="s">
        <v>604</v>
      </c>
      <c r="BA409" s="35"/>
      <c r="BB409" s="35"/>
      <c r="BC409" s="322"/>
      <c r="BD409" s="35"/>
      <c r="BE409" s="35"/>
      <c r="BG409" s="35"/>
      <c r="BH409" s="35"/>
      <c r="BJ409" s="35"/>
      <c r="BK409" s="35"/>
      <c r="BL409" s="31"/>
      <c r="BM409" s="190">
        <f>BM410*BM351</f>
        <v>1.3941262683514188</v>
      </c>
      <c r="BN409" s="190">
        <f>BN410*BN351</f>
        <v>1.5042688499751593</v>
      </c>
      <c r="BO409" s="1024">
        <f>BM409+BN409</f>
        <v>2.8983951183265781</v>
      </c>
      <c r="BP409" s="190">
        <f>BP410*BP351</f>
        <v>1.6152805043624505</v>
      </c>
      <c r="BQ409" s="190">
        <f>BQ410*BQ351</f>
        <v>1.3610833981801136</v>
      </c>
      <c r="BR409" s="1024">
        <f>BP409+BQ409</f>
        <v>2.9763639025425643</v>
      </c>
      <c r="BS409" s="190">
        <f>BS410*BS351</f>
        <v>4.8840282205146108</v>
      </c>
      <c r="BT409" s="190">
        <f>BT410*BT351</f>
        <v>1.7691902770495309</v>
      </c>
      <c r="BU409" s="70">
        <f>BS409+BT409</f>
        <v>6.6532184975641417</v>
      </c>
      <c r="BV409" s="190">
        <f>BV410*BV351</f>
        <v>4.9311845289191911</v>
      </c>
      <c r="BW409" s="190">
        <f>BW410*BW351</f>
        <v>3.6138458041783257</v>
      </c>
      <c r="BX409" s="70">
        <f>BV409+BW409</f>
        <v>8.5450303330975164</v>
      </c>
      <c r="BY409" s="190">
        <f>BY410*BY351</f>
        <v>6.4216291660167428</v>
      </c>
      <c r="BZ409" s="190">
        <f>BZ410*BZ351</f>
        <v>3.6685559999999993</v>
      </c>
      <c r="CA409" s="70">
        <f>BY409+BZ409</f>
        <v>10.090185166016742</v>
      </c>
      <c r="CB409" s="190">
        <f>CB410*CB351</f>
        <v>1.2726573352101334</v>
      </c>
      <c r="CC409" s="190">
        <f>CC410*CC351</f>
        <v>0</v>
      </c>
      <c r="CD409" s="70">
        <f>CB409+CC409</f>
        <v>1.2726573352101334</v>
      </c>
      <c r="CE409" s="190">
        <f>CE410*CE351</f>
        <v>0</v>
      </c>
      <c r="CF409" s="190">
        <f>CF410*CF351</f>
        <v>0</v>
      </c>
      <c r="CG409" s="70">
        <f>CE409+CF409</f>
        <v>0</v>
      </c>
      <c r="CH409" s="190">
        <f>CH410*CH351</f>
        <v>0</v>
      </c>
      <c r="CI409" s="190">
        <f>CI410*CI351</f>
        <v>0</v>
      </c>
      <c r="CJ409" s="70">
        <f>CH409+CI409</f>
        <v>0</v>
      </c>
      <c r="CK409" s="190">
        <f>CK410*CK351</f>
        <v>0</v>
      </c>
      <c r="CL409" s="190">
        <f>CL410*CL351</f>
        <v>0</v>
      </c>
      <c r="CM409" s="70">
        <f>CK409+CL409</f>
        <v>0</v>
      </c>
      <c r="CN409" s="190">
        <f>CN410*CN351</f>
        <v>0</v>
      </c>
      <c r="CO409" s="190">
        <f>CO410*CO351</f>
        <v>0</v>
      </c>
      <c r="CP409" s="70">
        <f>CN409+CO409</f>
        <v>0</v>
      </c>
      <c r="CQ409" s="190">
        <f>CQ410*CQ351</f>
        <v>0</v>
      </c>
      <c r="CR409" s="190">
        <f>CR410*CR351</f>
        <v>0</v>
      </c>
      <c r="CS409" s="70">
        <f>CQ409+CR409</f>
        <v>0</v>
      </c>
      <c r="CT409" s="190">
        <f>CT410*CT351</f>
        <v>0</v>
      </c>
      <c r="CU409" s="190">
        <f>CU410*CU351</f>
        <v>0</v>
      </c>
      <c r="CV409" s="70">
        <f>CT409+CU409</f>
        <v>0</v>
      </c>
      <c r="CW409" s="190">
        <f>CW410*CW351</f>
        <v>0</v>
      </c>
      <c r="CX409" s="190">
        <f>CX410*CX351</f>
        <v>0</v>
      </c>
      <c r="CY409" s="70">
        <f>CW409+CX409</f>
        <v>0</v>
      </c>
      <c r="CZ409" s="190">
        <f>CZ410*CZ351</f>
        <v>0</v>
      </c>
      <c r="DA409" s="190">
        <f>DA410*DA351</f>
        <v>0</v>
      </c>
      <c r="DB409" s="70">
        <f>CZ409+DA409</f>
        <v>0</v>
      </c>
      <c r="DC409" s="190">
        <f>DC410*DC351</f>
        <v>0</v>
      </c>
      <c r="DD409" s="190">
        <f>DD410*DD351</f>
        <v>0</v>
      </c>
      <c r="DE409" s="70">
        <f>DC409+DD409</f>
        <v>0</v>
      </c>
      <c r="DF409" s="190">
        <f>DF410*DF351</f>
        <v>0</v>
      </c>
      <c r="DG409" s="190">
        <f>DG410*DG351</f>
        <v>0</v>
      </c>
      <c r="DH409" s="1070">
        <f>DF409+DG409</f>
        <v>0</v>
      </c>
      <c r="DI409" s="190">
        <v>0</v>
      </c>
      <c r="DJ409" s="190">
        <f>DJ410*DJ351</f>
        <v>0</v>
      </c>
      <c r="DK409" s="1070">
        <f>DI409+DJ409</f>
        <v>0</v>
      </c>
      <c r="DL409" s="234">
        <f>DL410*DL351</f>
        <v>1.595000000000053</v>
      </c>
      <c r="DM409" s="234">
        <f>DM410*DM351</f>
        <v>0</v>
      </c>
      <c r="DN409" s="1070">
        <f>DL409+DM409</f>
        <v>1.595000000000053</v>
      </c>
      <c r="DO409" s="234">
        <f>DO410*DO351</f>
        <v>1.8340792291221166</v>
      </c>
      <c r="DP409" s="234">
        <f>DP410*DP351</f>
        <v>0</v>
      </c>
      <c r="DQ409" s="1070">
        <f>DO409+DP409</f>
        <v>1.8340792291221166</v>
      </c>
      <c r="DR409" s="234">
        <f>DR410*DR351</f>
        <v>1.9980192719486747</v>
      </c>
      <c r="DS409" s="234">
        <f>DS410*DS351</f>
        <v>0</v>
      </c>
      <c r="DT409" s="1070">
        <f>DR409+DS409</f>
        <v>1.9980192719486747</v>
      </c>
      <c r="DU409" s="234">
        <f>DU410*DU351</f>
        <v>2.6071020699501224</v>
      </c>
      <c r="DV409" s="234">
        <f>DV410*DV351</f>
        <v>0</v>
      </c>
      <c r="DW409" s="1070">
        <f>DU409+DV409</f>
        <v>2.6071020699501224</v>
      </c>
      <c r="DX409" s="234">
        <f>DX410*DX351</f>
        <v>2.3657458957888013</v>
      </c>
      <c r="DY409" s="234">
        <f>DY410*DY351</f>
        <v>0</v>
      </c>
      <c r="DZ409" s="1070">
        <f>DX409+DY409</f>
        <v>2.3657458957888013</v>
      </c>
      <c r="EA409" s="234">
        <f>EA410*EA351</f>
        <v>0</v>
      </c>
      <c r="EB409" s="234">
        <f>EB410*EB351</f>
        <v>0</v>
      </c>
      <c r="EC409" s="1070">
        <f>EA409+EB409</f>
        <v>0</v>
      </c>
      <c r="ED409" s="234">
        <f>ED410*ED351</f>
        <v>0</v>
      </c>
      <c r="EE409" s="234">
        <f>EE410*EE351</f>
        <v>0</v>
      </c>
      <c r="EF409" s="1070">
        <f>ED409+EE409</f>
        <v>0</v>
      </c>
      <c r="EG409" s="234">
        <f>EG410*EG351</f>
        <v>0</v>
      </c>
      <c r="EH409" s="234">
        <f>EH410*EH351</f>
        <v>0</v>
      </c>
      <c r="EI409" s="1070">
        <f>EG409+EH409</f>
        <v>0</v>
      </c>
      <c r="EJ409" s="234">
        <f>EJ410*EJ351</f>
        <v>0</v>
      </c>
      <c r="EK409" s="234">
        <f>EK410*EK351</f>
        <v>0</v>
      </c>
      <c r="EL409" s="1070">
        <f>EJ409+EK409</f>
        <v>0</v>
      </c>
      <c r="EM409" s="234">
        <f>EM410*EM351</f>
        <v>0</v>
      </c>
      <c r="EN409" s="234">
        <f>EN410*EN351</f>
        <v>0</v>
      </c>
      <c r="EO409" s="1070">
        <f>EM409+EN409</f>
        <v>0</v>
      </c>
      <c r="EP409" s="234">
        <f>EP410*EP351</f>
        <v>0</v>
      </c>
      <c r="EQ409" s="234">
        <f>EQ410*EQ351</f>
        <v>0</v>
      </c>
      <c r="ER409" s="1070">
        <f>EP409+EQ409</f>
        <v>0</v>
      </c>
      <c r="ES409" s="234">
        <f>ES410*ES351</f>
        <v>0</v>
      </c>
      <c r="ET409" s="234">
        <f>ET410*ET351</f>
        <v>0</v>
      </c>
      <c r="EU409" s="1070">
        <f>ES409+ET409</f>
        <v>0</v>
      </c>
      <c r="EV409" s="234">
        <f>EV410*EV351</f>
        <v>0</v>
      </c>
      <c r="EW409" s="234">
        <f>EW410*EW351</f>
        <v>0</v>
      </c>
      <c r="EX409" s="1070">
        <f>EV409+EW409</f>
        <v>0</v>
      </c>
      <c r="EY409" s="234">
        <f>EY410*EY351</f>
        <v>0</v>
      </c>
      <c r="EZ409" s="234">
        <f>EZ410*EZ351</f>
        <v>0</v>
      </c>
      <c r="FA409" s="1070">
        <f>EY409+EZ409</f>
        <v>0</v>
      </c>
    </row>
    <row r="410" spans="1:157" outlineLevel="1">
      <c r="B410" s="35" t="s">
        <v>28</v>
      </c>
      <c r="D410" s="162" t="s">
        <v>460</v>
      </c>
      <c r="BA410" s="35"/>
      <c r="BB410" s="35"/>
      <c r="BC410" s="322"/>
      <c r="BD410" s="35"/>
      <c r="BE410" s="35"/>
      <c r="BG410" s="35"/>
      <c r="BH410" s="35"/>
      <c r="BJ410" s="35"/>
      <c r="BK410" s="35"/>
      <c r="BL410" s="31"/>
      <c r="BM410" s="65">
        <v>0.05</v>
      </c>
      <c r="BN410" s="65">
        <f>BM410</f>
        <v>0.05</v>
      </c>
      <c r="BO410" s="64">
        <f>BO409/BO351</f>
        <v>0.05</v>
      </c>
      <c r="BP410" s="65">
        <f>BM410</f>
        <v>0.05</v>
      </c>
      <c r="BQ410" s="65">
        <f>BN410</f>
        <v>0.05</v>
      </c>
      <c r="BR410" s="64">
        <f>BR409/BR351</f>
        <v>0.05</v>
      </c>
      <c r="BS410" s="1037">
        <v>0.1156612646059301</v>
      </c>
      <c r="BT410" s="1037">
        <v>4.6681713951543073E-2</v>
      </c>
      <c r="BU410" s="65">
        <f>BU409/BU351</f>
        <v>8.3034451957718358E-2</v>
      </c>
      <c r="BV410" s="1037">
        <v>0.11484162483800724</v>
      </c>
      <c r="BW410" s="1037">
        <v>7.5063264460334109E-2</v>
      </c>
      <c r="BX410" s="65">
        <f>BX409/BX351</f>
        <v>9.3815863916400608E-2</v>
      </c>
      <c r="BY410" s="1037">
        <v>0.14164837688357212</v>
      </c>
      <c r="BZ410" s="1037">
        <v>7.775E-2</v>
      </c>
      <c r="CA410" s="65">
        <f>CA409/CA351</f>
        <v>0.1090606812224164</v>
      </c>
      <c r="CB410" s="1037">
        <v>2.6759999999999999E-2</v>
      </c>
      <c r="CC410" s="1032">
        <v>0</v>
      </c>
      <c r="CD410" s="65">
        <f>CD409/CD351</f>
        <v>1.3103047649468638E-2</v>
      </c>
      <c r="CE410" s="1032">
        <v>0</v>
      </c>
      <c r="CF410" s="1032">
        <v>0</v>
      </c>
      <c r="CG410" s="65">
        <f>CG409/CG351</f>
        <v>0</v>
      </c>
      <c r="CH410" s="65">
        <f>CE410</f>
        <v>0</v>
      </c>
      <c r="CI410" s="65">
        <f>CF410</f>
        <v>0</v>
      </c>
      <c r="CJ410" s="65">
        <f>CJ409/CJ351</f>
        <v>0</v>
      </c>
      <c r="CK410" s="65">
        <f>CH410</f>
        <v>0</v>
      </c>
      <c r="CL410" s="65">
        <f>CI410</f>
        <v>0</v>
      </c>
      <c r="CM410" s="65">
        <f>CM409/CM351</f>
        <v>0</v>
      </c>
      <c r="CN410" s="65">
        <f>CK410</f>
        <v>0</v>
      </c>
      <c r="CO410" s="65">
        <f>CL410</f>
        <v>0</v>
      </c>
      <c r="CP410" s="65">
        <f>CP409/CP351</f>
        <v>0</v>
      </c>
      <c r="CQ410" s="65">
        <v>0</v>
      </c>
      <c r="CR410" s="65">
        <f>CO410</f>
        <v>0</v>
      </c>
      <c r="CS410" s="65">
        <f>CS409/CS351</f>
        <v>0</v>
      </c>
      <c r="CT410" s="65">
        <f>CQ410</f>
        <v>0</v>
      </c>
      <c r="CU410" s="65">
        <f>CR410</f>
        <v>0</v>
      </c>
      <c r="CV410" s="65">
        <f>CV409/CV351</f>
        <v>0</v>
      </c>
      <c r="CW410" s="65">
        <f>CT410</f>
        <v>0</v>
      </c>
      <c r="CX410" s="65">
        <f>CU410</f>
        <v>0</v>
      </c>
      <c r="CY410" s="65">
        <f>CY409/CY351</f>
        <v>0</v>
      </c>
      <c r="CZ410" s="65">
        <f>CW410</f>
        <v>0</v>
      </c>
      <c r="DA410" s="65">
        <f>CX410</f>
        <v>0</v>
      </c>
      <c r="DB410" s="65">
        <f>DB409/DB351</f>
        <v>0</v>
      </c>
      <c r="DC410" s="65">
        <f>CZ410</f>
        <v>0</v>
      </c>
      <c r="DD410" s="65">
        <f>DA410</f>
        <v>0</v>
      </c>
      <c r="DE410" s="65">
        <f>DE409/DE351</f>
        <v>0</v>
      </c>
      <c r="DF410" s="65">
        <f>DC410</f>
        <v>0</v>
      </c>
      <c r="DG410" s="65">
        <f>DD410</f>
        <v>0</v>
      </c>
      <c r="DH410" s="1066">
        <f>DH409/DH351</f>
        <v>0</v>
      </c>
      <c r="DI410" s="65">
        <v>0</v>
      </c>
      <c r="DJ410" s="65">
        <v>0</v>
      </c>
      <c r="DK410" s="1066">
        <f>DK409/DK351</f>
        <v>0</v>
      </c>
      <c r="DL410" s="65">
        <v>1.1384725196288744E-2</v>
      </c>
      <c r="DM410" s="65">
        <f>DJ410</f>
        <v>0</v>
      </c>
      <c r="DN410" s="1066">
        <f>DN409/DN351</f>
        <v>5.6380346412161653E-3</v>
      </c>
      <c r="DO410" s="65">
        <f>DL410</f>
        <v>1.1384725196288744E-2</v>
      </c>
      <c r="DP410" s="65">
        <f>DM410</f>
        <v>0</v>
      </c>
      <c r="DQ410" s="1066">
        <f>DQ409/DQ351</f>
        <v>5.4262699086453153E-3</v>
      </c>
      <c r="DR410" s="65">
        <f>DO410</f>
        <v>1.1384725196288744E-2</v>
      </c>
      <c r="DS410" s="65">
        <f>DP410</f>
        <v>0</v>
      </c>
      <c r="DT410" s="1066">
        <f>DT409/DT351</f>
        <v>5.3724637589370123E-3</v>
      </c>
      <c r="DU410" s="65">
        <f>DR410</f>
        <v>1.1384725196288744E-2</v>
      </c>
      <c r="DV410" s="65">
        <f>DS410</f>
        <v>0</v>
      </c>
      <c r="DW410" s="1066">
        <f>DW409/DW351</f>
        <v>6.0799954989508445E-3</v>
      </c>
      <c r="DX410" s="65">
        <f>DU410</f>
        <v>1.1384725196288744E-2</v>
      </c>
      <c r="DY410" s="65">
        <f>DV410</f>
        <v>0</v>
      </c>
      <c r="DZ410" s="1066">
        <f>DZ409/DZ351</f>
        <v>5.2726649531068025E-3</v>
      </c>
      <c r="EA410" s="65">
        <v>0</v>
      </c>
      <c r="EB410" s="65">
        <f>DY410</f>
        <v>0</v>
      </c>
      <c r="EC410" s="1066">
        <f>EC409/EC351</f>
        <v>0</v>
      </c>
      <c r="ED410" s="65">
        <f>EA410</f>
        <v>0</v>
      </c>
      <c r="EE410" s="65">
        <f>EB410</f>
        <v>0</v>
      </c>
      <c r="EF410" s="1066">
        <f>EF409/EF351</f>
        <v>0</v>
      </c>
      <c r="EG410" s="65">
        <f>ED410</f>
        <v>0</v>
      </c>
      <c r="EH410" s="65">
        <f>EE410</f>
        <v>0</v>
      </c>
      <c r="EI410" s="1066">
        <f>EI409/EI351</f>
        <v>0</v>
      </c>
      <c r="EJ410" s="65">
        <f>EG410</f>
        <v>0</v>
      </c>
      <c r="EK410" s="65">
        <f>EH410</f>
        <v>0</v>
      </c>
      <c r="EL410" s="1066">
        <f>EL409/EL351</f>
        <v>0</v>
      </c>
      <c r="EM410" s="65">
        <f>EJ410</f>
        <v>0</v>
      </c>
      <c r="EN410" s="65">
        <f>EK410</f>
        <v>0</v>
      </c>
      <c r="EO410" s="1066">
        <f>EO409/EO351</f>
        <v>0</v>
      </c>
      <c r="EP410" s="65">
        <f>EM410</f>
        <v>0</v>
      </c>
      <c r="EQ410" s="65">
        <f>EN410</f>
        <v>0</v>
      </c>
      <c r="ER410" s="1066">
        <f>ER409/ER351</f>
        <v>0</v>
      </c>
      <c r="ES410" s="65">
        <f>EP410</f>
        <v>0</v>
      </c>
      <c r="ET410" s="65">
        <f>EQ410</f>
        <v>0</v>
      </c>
      <c r="EU410" s="1066">
        <f>EU409/EU351</f>
        <v>0</v>
      </c>
      <c r="EV410" s="65">
        <f>ES410</f>
        <v>0</v>
      </c>
      <c r="EW410" s="65">
        <f>ET410</f>
        <v>0</v>
      </c>
      <c r="EX410" s="1066">
        <f>EX409/EX351</f>
        <v>0</v>
      </c>
      <c r="EY410" s="65">
        <f>EV410</f>
        <v>0</v>
      </c>
      <c r="EZ410" s="65">
        <f>EW410</f>
        <v>0</v>
      </c>
      <c r="FA410" s="1066">
        <f>FA409/FA351</f>
        <v>0</v>
      </c>
    </row>
    <row r="411" spans="1:157" outlineLevel="1">
      <c r="BA411" s="35"/>
      <c r="BB411" s="35"/>
      <c r="BC411" s="322"/>
      <c r="BD411" s="35"/>
      <c r="BE411" s="35"/>
      <c r="BG411" s="35"/>
      <c r="BH411" s="35"/>
      <c r="BJ411" s="35"/>
      <c r="BK411" s="35"/>
      <c r="BL411" s="31"/>
      <c r="BM411" s="35"/>
      <c r="BN411" s="35"/>
      <c r="BO411" s="31"/>
      <c r="BP411" s="35"/>
      <c r="BQ411" s="35"/>
      <c r="BR411" s="1024"/>
      <c r="BS411" s="74"/>
      <c r="BT411" s="70"/>
      <c r="BU411" s="74"/>
      <c r="BV411" s="74"/>
      <c r="BW411" s="74"/>
      <c r="BX411" s="74"/>
      <c r="BY411" s="70"/>
      <c r="BZ411" s="70"/>
      <c r="CA411" s="70"/>
      <c r="CB411" s="65"/>
      <c r="CC411" s="65"/>
      <c r="CD411" s="70"/>
      <c r="CE411" s="65"/>
      <c r="CF411" s="65"/>
      <c r="CG411" s="70"/>
      <c r="CH411" s="65"/>
      <c r="CI411" s="65"/>
      <c r="CJ411" s="70"/>
      <c r="CK411" s="65"/>
      <c r="CL411" s="65"/>
      <c r="CM411" s="70"/>
      <c r="CN411" s="65"/>
      <c r="CO411" s="65"/>
      <c r="CP411" s="70"/>
      <c r="CQ411" s="65"/>
      <c r="CR411" s="65"/>
      <c r="CS411" s="70"/>
      <c r="CT411" s="65"/>
      <c r="CU411" s="65"/>
      <c r="CV411" s="70"/>
      <c r="CW411" s="65"/>
      <c r="CX411" s="65"/>
      <c r="CY411" s="70"/>
      <c r="CZ411" s="65"/>
      <c r="DA411" s="65"/>
      <c r="DB411" s="70"/>
      <c r="DC411" s="65"/>
      <c r="DD411" s="65"/>
      <c r="DE411" s="70"/>
      <c r="DF411" s="65"/>
      <c r="DG411" s="65"/>
      <c r="DH411" s="1074"/>
      <c r="DI411" s="65"/>
      <c r="DJ411" s="65"/>
      <c r="DK411" s="1074"/>
      <c r="DL411" s="65"/>
      <c r="DM411" s="65"/>
      <c r="DN411" s="1074"/>
      <c r="DO411" s="65"/>
      <c r="DP411" s="65"/>
      <c r="DQ411" s="1074"/>
      <c r="DR411" s="65"/>
      <c r="DS411" s="65"/>
      <c r="DT411" s="1074"/>
      <c r="DU411" s="65"/>
      <c r="DV411" s="65"/>
      <c r="DW411" s="1074"/>
      <c r="DX411" s="65"/>
      <c r="DY411" s="65"/>
      <c r="DZ411" s="1074"/>
      <c r="EA411" s="65"/>
      <c r="EB411" s="65"/>
      <c r="EC411" s="1074"/>
      <c r="ED411" s="65"/>
      <c r="EE411" s="65"/>
      <c r="EF411" s="1074"/>
      <c r="EG411" s="65"/>
      <c r="EH411" s="65"/>
      <c r="EI411" s="1074"/>
      <c r="EJ411" s="65"/>
      <c r="EK411" s="65"/>
      <c r="EL411" s="1074"/>
      <c r="EM411" s="65"/>
      <c r="EN411" s="65"/>
      <c r="EO411" s="1074"/>
      <c r="EP411" s="65"/>
      <c r="EQ411" s="65"/>
      <c r="ER411" s="1074"/>
      <c r="ES411" s="65"/>
      <c r="ET411" s="65"/>
      <c r="EU411" s="1074"/>
      <c r="EV411" s="65"/>
      <c r="EW411" s="65"/>
      <c r="EX411" s="1074"/>
      <c r="EY411" s="65"/>
      <c r="EZ411" s="65"/>
      <c r="FA411" s="1074"/>
    </row>
    <row r="412" spans="1:157" outlineLevel="1">
      <c r="A412" s="1426" t="s">
        <v>428</v>
      </c>
      <c r="BA412" s="35"/>
      <c r="BB412" s="35"/>
      <c r="BC412" s="322"/>
      <c r="BD412" s="35"/>
      <c r="BE412" s="35"/>
      <c r="BG412" s="35"/>
      <c r="BH412" s="35"/>
      <c r="BJ412" s="35"/>
      <c r="BK412" s="35"/>
      <c r="BL412" s="31"/>
      <c r="BM412" s="35"/>
      <c r="BN412" s="35"/>
      <c r="BO412" s="31"/>
      <c r="BP412" s="35"/>
      <c r="BQ412" s="35"/>
      <c r="BR412" s="1024"/>
      <c r="BS412" s="74"/>
      <c r="BT412" s="74"/>
      <c r="BU412" s="74"/>
      <c r="BV412" s="74"/>
      <c r="BW412" s="74"/>
      <c r="BX412" s="74"/>
      <c r="BY412" s="74"/>
      <c r="BZ412" s="74"/>
      <c r="CA412" s="74"/>
      <c r="CB412" s="74"/>
      <c r="CC412" s="74"/>
      <c r="CD412" s="74"/>
      <c r="CE412" s="74"/>
      <c r="CF412" s="74"/>
      <c r="CG412" s="74"/>
      <c r="CH412" s="65"/>
      <c r="CI412" s="65"/>
      <c r="CJ412" s="70"/>
      <c r="CK412" s="65"/>
      <c r="CL412" s="65"/>
      <c r="CM412" s="187"/>
      <c r="CN412" s="65"/>
      <c r="CO412" s="65"/>
      <c r="CP412" s="70"/>
      <c r="CQ412" s="65"/>
      <c r="CR412" s="65"/>
      <c r="CS412" s="70"/>
      <c r="CT412" s="65"/>
      <c r="CU412" s="65"/>
      <c r="CV412" s="70"/>
      <c r="CW412" s="65"/>
      <c r="CX412" s="65"/>
      <c r="CY412" s="70"/>
      <c r="CZ412" s="65"/>
      <c r="DA412" s="65"/>
      <c r="DB412" s="70"/>
      <c r="DC412" s="65"/>
      <c r="DD412" s="65"/>
      <c r="DE412" s="70"/>
      <c r="DF412" s="190"/>
      <c r="DG412" s="190"/>
      <c r="DH412" s="1074"/>
      <c r="DI412" s="190"/>
      <c r="DJ412" s="190"/>
      <c r="DK412" s="1074"/>
      <c r="DL412" s="190"/>
      <c r="DM412" s="190"/>
      <c r="DN412" s="1074"/>
      <c r="DO412" s="190"/>
      <c r="DP412" s="190"/>
      <c r="DQ412" s="1074"/>
      <c r="DR412" s="65"/>
      <c r="DS412" s="65"/>
      <c r="DT412" s="1074"/>
      <c r="DU412" s="65"/>
      <c r="DV412" s="65"/>
      <c r="DW412" s="1074"/>
      <c r="DX412" s="65"/>
      <c r="DY412" s="65"/>
      <c r="DZ412" s="1074"/>
      <c r="EA412" s="65"/>
      <c r="EB412" s="65"/>
      <c r="EC412" s="1074"/>
      <c r="ED412" s="65"/>
      <c r="EE412" s="65"/>
      <c r="EF412" s="1074"/>
      <c r="EG412" s="65"/>
      <c r="EH412" s="65"/>
      <c r="EI412" s="1074"/>
      <c r="EJ412" s="65"/>
      <c r="EK412" s="65"/>
      <c r="EL412" s="1074"/>
      <c r="EM412" s="65"/>
      <c r="EN412" s="65"/>
      <c r="EO412" s="1074"/>
      <c r="EP412" s="65"/>
      <c r="EQ412" s="65"/>
      <c r="ER412" s="1074"/>
      <c r="ES412" s="65"/>
      <c r="ET412" s="65"/>
      <c r="EU412" s="1074"/>
      <c r="EV412" s="65"/>
      <c r="EW412" s="65"/>
      <c r="EX412" s="1074"/>
      <c r="EY412" s="65"/>
      <c r="EZ412" s="65"/>
      <c r="FA412" s="1074"/>
    </row>
    <row r="413" spans="1:157" outlineLevel="1">
      <c r="C413" s="35" t="s">
        <v>29</v>
      </c>
      <c r="D413" s="162" t="s">
        <v>908</v>
      </c>
      <c r="BA413" s="35"/>
      <c r="BB413" s="35"/>
      <c r="BC413" s="322"/>
      <c r="BD413" s="35"/>
      <c r="BE413" s="35"/>
      <c r="BG413" s="35"/>
      <c r="BH413" s="35"/>
      <c r="BJ413" s="35"/>
      <c r="BK413" s="35"/>
      <c r="BL413" s="31"/>
      <c r="BM413" s="190">
        <f>BM414*BM351</f>
        <v>5.6503937656283005</v>
      </c>
      <c r="BN413" s="190">
        <f>BN414*BN351</f>
        <v>5.097967132565814</v>
      </c>
      <c r="BO413" s="1024">
        <f>BM413+BN413</f>
        <v>10.748360898194115</v>
      </c>
      <c r="BP413" s="190">
        <f>BP414*BP351</f>
        <v>6.5467318841810114</v>
      </c>
      <c r="BQ413" s="190">
        <f>BQ414*BQ351</f>
        <v>4.6127116364324037</v>
      </c>
      <c r="BR413" s="1024">
        <f>BP413+BQ413</f>
        <v>11.159443520613415</v>
      </c>
      <c r="BS413" s="190">
        <f>BS414*BS351</f>
        <v>5.555317926720682</v>
      </c>
      <c r="BT413" s="190">
        <f>BT414*BT351</f>
        <v>4.2240867193440668</v>
      </c>
      <c r="BU413" s="70">
        <f>BS413+BT413</f>
        <v>9.7794046460647479</v>
      </c>
      <c r="BV413" s="190">
        <f>BV414*BV351</f>
        <v>6.0154429965936576</v>
      </c>
      <c r="BW413" s="190">
        <f>BW414*BW351</f>
        <v>6.533580174572851</v>
      </c>
      <c r="BX413" s="70">
        <f>BV413+BW413</f>
        <v>12.549023171166509</v>
      </c>
      <c r="BY413" s="190">
        <f>BY414*BY351</f>
        <v>5.9382087482885346</v>
      </c>
      <c r="BZ413" s="190">
        <f>BZ414*BZ351</f>
        <v>6.6259637583451161</v>
      </c>
      <c r="CA413" s="70">
        <f>BY413+BZ413</f>
        <v>12.56417250663365</v>
      </c>
      <c r="CB413" s="190">
        <f>CB414*CB351</f>
        <v>6.2041636421329178</v>
      </c>
      <c r="CC413" s="190">
        <f>CC414*CC351</f>
        <v>4.9350520511182818</v>
      </c>
      <c r="CD413" s="70">
        <f>CB413+CC413</f>
        <v>11.139215693251199</v>
      </c>
      <c r="CE413" s="190">
        <f>CE414*CE351</f>
        <v>8.0468776059891116</v>
      </c>
      <c r="CF413" s="190">
        <f>CF414*CF351</f>
        <v>9.4053723892943957</v>
      </c>
      <c r="CG413" s="70">
        <f>CE413+CF413</f>
        <v>17.452249995283509</v>
      </c>
      <c r="CH413" s="190">
        <f>CH414*CH351</f>
        <v>8.5404668212298027</v>
      </c>
      <c r="CI413" s="190">
        <f>CI414*CI351</f>
        <v>9.0513965550059048</v>
      </c>
      <c r="CJ413" s="70">
        <f>CH413+CI413</f>
        <v>17.591863376235708</v>
      </c>
      <c r="CK413" s="190">
        <f>CK414*CK351</f>
        <v>10.095624698149791</v>
      </c>
      <c r="CL413" s="190">
        <f>CL414*CL351</f>
        <v>9.0939959750631871</v>
      </c>
      <c r="CM413" s="70">
        <f>CK413+CL413</f>
        <v>19.189620673212978</v>
      </c>
      <c r="CN413" s="190">
        <f>CN414*CN351</f>
        <v>16.145100888686706</v>
      </c>
      <c r="CO413" s="190">
        <f>CO414*CO351</f>
        <v>23.370348451703048</v>
      </c>
      <c r="CP413" s="70">
        <f>CN413+CO413</f>
        <v>39.51544934038975</v>
      </c>
      <c r="CQ413" s="190">
        <f>CQ414*CQ351</f>
        <v>17.745211654998393</v>
      </c>
      <c r="CR413" s="190">
        <f>CR414*CR351</f>
        <v>27.268019450671002</v>
      </c>
      <c r="CS413" s="70">
        <f>CQ413+CR413</f>
        <v>45.013231105669391</v>
      </c>
      <c r="CT413" s="190">
        <f>CT414*CT351</f>
        <v>21.443800000000003</v>
      </c>
      <c r="CU413" s="190">
        <f>CU414*CU351</f>
        <v>20.61656404739896</v>
      </c>
      <c r="CV413" s="70">
        <f>CT413+CU413</f>
        <v>42.060364047398963</v>
      </c>
      <c r="CW413" s="190">
        <f>CW414*CW351</f>
        <v>22.261600000000001</v>
      </c>
      <c r="CX413" s="190">
        <f>CX414*CX351</f>
        <v>20.980184714877055</v>
      </c>
      <c r="CY413" s="70">
        <f>CW413+CX413</f>
        <v>43.241784714877056</v>
      </c>
      <c r="CZ413" s="190">
        <f>CZ414*CZ351</f>
        <v>18.876540083295048</v>
      </c>
      <c r="DA413" s="190">
        <f>DA414*DA351</f>
        <v>24.492938219913622</v>
      </c>
      <c r="DB413" s="70">
        <f>CZ413+DA413</f>
        <v>43.369478303208666</v>
      </c>
      <c r="DC413" s="190">
        <f>DC414*DC351</f>
        <v>22.561213897416525</v>
      </c>
      <c r="DD413" s="190">
        <f>DD414*DD351</f>
        <v>25.051182513278608</v>
      </c>
      <c r="DE413" s="70">
        <f>DC413+DD413</f>
        <v>47.612396410695133</v>
      </c>
      <c r="DF413" s="190">
        <f>DF414*DF351</f>
        <v>26.632091731963261</v>
      </c>
      <c r="DG413" s="190">
        <f>DG414*DG351</f>
        <v>17.919582777289385</v>
      </c>
      <c r="DH413" s="1070">
        <f>DF413+DG413</f>
        <v>44.551674509252649</v>
      </c>
      <c r="DI413" s="184">
        <f>DI414*DI351</f>
        <v>19.425000000000001</v>
      </c>
      <c r="DJ413" s="184">
        <f>DJ414*DJ351</f>
        <v>18.195</v>
      </c>
      <c r="DK413" s="1085">
        <f>DI413+DJ413</f>
        <v>37.620000000000005</v>
      </c>
      <c r="DL413" s="234">
        <f>DL414*DL351</f>
        <v>21.014999999999997</v>
      </c>
      <c r="DM413" s="234">
        <f>DM414*DM351</f>
        <v>21.419999999999998</v>
      </c>
      <c r="DN413" s="1070">
        <f>DL413+DM413</f>
        <v>42.434999999999995</v>
      </c>
      <c r="DO413" s="234">
        <f>DO414*DO351</f>
        <v>24.164999999999999</v>
      </c>
      <c r="DP413" s="234">
        <f>DP414*DP351</f>
        <v>26.535</v>
      </c>
      <c r="DQ413" s="1070">
        <f>DO413+DP413</f>
        <v>50.7</v>
      </c>
      <c r="DR413" s="234">
        <f>DR414*DR351</f>
        <v>26.324999999999999</v>
      </c>
      <c r="DS413" s="234">
        <f>DS414*DS351</f>
        <v>29.459999999999994</v>
      </c>
      <c r="DT413" s="1070">
        <f>DR413+DS413</f>
        <v>55.784999999999997</v>
      </c>
      <c r="DU413" s="234">
        <f>DU414*DU351</f>
        <v>34.35</v>
      </c>
      <c r="DV413" s="234">
        <f>DV414*DV351</f>
        <v>29.97</v>
      </c>
      <c r="DW413" s="1070">
        <f>DU413+DV413</f>
        <v>64.319999999999993</v>
      </c>
      <c r="DX413" s="234">
        <f>DX414*DX351</f>
        <v>31.17</v>
      </c>
      <c r="DY413" s="234">
        <f>DY414*DY351</f>
        <v>36.13218732355174</v>
      </c>
      <c r="DZ413" s="1070">
        <f>DX413+DY413</f>
        <v>67.302187323551749</v>
      </c>
      <c r="EA413" s="234">
        <f>EA414*EA351</f>
        <v>39.16537005102041</v>
      </c>
      <c r="EB413" s="234">
        <f>EB414*EB351</f>
        <v>38.628312706627888</v>
      </c>
      <c r="EC413" s="1070">
        <f>EA413+EB413</f>
        <v>77.793682757648298</v>
      </c>
      <c r="ED413" s="234">
        <f>ED414*ED351</f>
        <v>42.607640133163272</v>
      </c>
      <c r="EE413" s="234">
        <f>EE414*EE351</f>
        <v>42.023662089789291</v>
      </c>
      <c r="EF413" s="1070">
        <f>ED413+EE413</f>
        <v>84.63130222295257</v>
      </c>
      <c r="EG413" s="234">
        <f>EG414*EG351</f>
        <v>46.442327745147963</v>
      </c>
      <c r="EH413" s="234">
        <f>EH414*EH351</f>
        <v>45.805791677870324</v>
      </c>
      <c r="EI413" s="1070">
        <f>EG413+EH413</f>
        <v>92.248119423018295</v>
      </c>
      <c r="EJ413" s="234">
        <f>EJ414*EJ351</f>
        <v>50.622137242211281</v>
      </c>
      <c r="EK413" s="234">
        <f>EK414*EK351</f>
        <v>49.928312928878654</v>
      </c>
      <c r="EL413" s="1070">
        <f>EJ413+EK413</f>
        <v>100.55045017108993</v>
      </c>
      <c r="EM413" s="234">
        <f>EM414*EM351</f>
        <v>55.178129594010308</v>
      </c>
      <c r="EN413" s="234">
        <f>EN414*EN351</f>
        <v>54.421861092477741</v>
      </c>
      <c r="EO413" s="1070">
        <f>EM413+EN413</f>
        <v>109.59999068648804</v>
      </c>
      <c r="EP413" s="234">
        <f>EP414*EP351</f>
        <v>60.144161257471239</v>
      </c>
      <c r="EQ413" s="234">
        <f>EQ414*EQ351</f>
        <v>59.319828590800739</v>
      </c>
      <c r="ER413" s="1070">
        <f>EP413+EQ413</f>
        <v>119.46398984827198</v>
      </c>
      <c r="ES413" s="234">
        <f>ES414*ES351</f>
        <v>65.557135770643669</v>
      </c>
      <c r="ET413" s="234">
        <f>ET414*ET351</f>
        <v>64.658613163972802</v>
      </c>
      <c r="EU413" s="1070">
        <f>ES413+ET413</f>
        <v>130.21574893461647</v>
      </c>
      <c r="EV413" s="234">
        <f>EV414*EV351</f>
        <v>71.4572779900016</v>
      </c>
      <c r="EW413" s="234">
        <f>EW414*EW351</f>
        <v>70.47788834873036</v>
      </c>
      <c r="EX413" s="1070">
        <f>EV413+EW413</f>
        <v>141.93516633873196</v>
      </c>
      <c r="EY413" s="234">
        <f>EY414*EY351</f>
        <v>77.888433009101746</v>
      </c>
      <c r="EZ413" s="234">
        <f>EZ414*EZ351</f>
        <v>76.820898300116099</v>
      </c>
      <c r="FA413" s="1070">
        <f>EY413+EZ413</f>
        <v>154.70933130921784</v>
      </c>
    </row>
    <row r="414" spans="1:157" outlineLevel="1">
      <c r="B414" s="31"/>
      <c r="C414" s="35" t="s">
        <v>28</v>
      </c>
      <c r="D414" s="162" t="s">
        <v>460</v>
      </c>
      <c r="BA414" s="35"/>
      <c r="BB414" s="35"/>
      <c r="BC414" s="322"/>
      <c r="BD414" s="35"/>
      <c r="BE414" s="35"/>
      <c r="BG414" s="35"/>
      <c r="BH414" s="35"/>
      <c r="BJ414" s="35"/>
      <c r="BK414" s="35"/>
      <c r="BL414" s="31"/>
      <c r="BM414" s="65">
        <v>0.20265</v>
      </c>
      <c r="BN414" s="65">
        <v>0.16944999999999999</v>
      </c>
      <c r="BO414" s="64">
        <f>BO413/BO351</f>
        <v>0.18541917956996501</v>
      </c>
      <c r="BP414" s="65">
        <f>BM414</f>
        <v>0.20265</v>
      </c>
      <c r="BQ414" s="65">
        <f>BN414</f>
        <v>0.16944999999999999</v>
      </c>
      <c r="BR414" s="64">
        <f>BR413/BR351</f>
        <v>0.18746772716670232</v>
      </c>
      <c r="BS414" s="1037">
        <v>0.13155843244181878</v>
      </c>
      <c r="BT414" s="1037">
        <v>0.11145641624697397</v>
      </c>
      <c r="BU414" s="65">
        <f>BU413/BU351</f>
        <v>0.12205032880793684</v>
      </c>
      <c r="BV414" s="1037">
        <v>0.14009275941669949</v>
      </c>
      <c r="BW414" s="1037">
        <v>0.1357091262581599</v>
      </c>
      <c r="BX414" s="65">
        <f>BX413/BX351</f>
        <v>0.13777568998788478</v>
      </c>
      <c r="BY414" s="1037">
        <v>0.13098508323124594</v>
      </c>
      <c r="BZ414" s="1037">
        <v>0.14042819087710065</v>
      </c>
      <c r="CA414" s="65">
        <f>CA413/CA351</f>
        <v>0.13580099770461906</v>
      </c>
      <c r="CB414" s="1037">
        <v>0.13045414069456812</v>
      </c>
      <c r="CC414" s="1032">
        <v>9.9559999999999996E-2</v>
      </c>
      <c r="CD414" s="65">
        <f>CD413/CD351</f>
        <v>0.11468733174926435</v>
      </c>
      <c r="CE414" s="1032">
        <v>0.14312</v>
      </c>
      <c r="CF414" s="65">
        <f>CE414</f>
        <v>0.14312</v>
      </c>
      <c r="CG414" s="65">
        <f>CG413/CG351</f>
        <v>0.14312</v>
      </c>
      <c r="CH414" s="65">
        <f>CF414</f>
        <v>0.14312</v>
      </c>
      <c r="CI414" s="65">
        <f>CH414</f>
        <v>0.14312</v>
      </c>
      <c r="CJ414" s="65">
        <f>CJ413/CJ351</f>
        <v>0.14312</v>
      </c>
      <c r="CK414" s="65">
        <v>0.13</v>
      </c>
      <c r="CL414" s="65">
        <f>CK414</f>
        <v>0.13</v>
      </c>
      <c r="CM414" s="65">
        <f>CM413/CM351</f>
        <v>0.13</v>
      </c>
      <c r="CN414" s="1037">
        <v>0.27905663870102848</v>
      </c>
      <c r="CO414" s="65">
        <v>0.27905663870102848</v>
      </c>
      <c r="CP414" s="65">
        <f>CP413/CP351</f>
        <v>0.27905663870102843</v>
      </c>
      <c r="CQ414" s="65">
        <f>CO414</f>
        <v>0.27905663870102848</v>
      </c>
      <c r="CR414" s="65">
        <f>CQ414</f>
        <v>0.27905663870102848</v>
      </c>
      <c r="CS414" s="65">
        <f>CS413/CS351</f>
        <v>0.27905663870102843</v>
      </c>
      <c r="CT414" s="65">
        <v>0.2</v>
      </c>
      <c r="CU414" s="65">
        <f>CT414</f>
        <v>0.2</v>
      </c>
      <c r="CV414" s="65">
        <f>CV413/CV351</f>
        <v>0.20000000000000004</v>
      </c>
      <c r="CW414" s="65">
        <f>CU414</f>
        <v>0.2</v>
      </c>
      <c r="CX414" s="65">
        <f>CW414</f>
        <v>0.2</v>
      </c>
      <c r="CY414" s="65">
        <f>CY413/CY351</f>
        <v>0.2</v>
      </c>
      <c r="CZ414" s="65">
        <f>CW414</f>
        <v>0.2</v>
      </c>
      <c r="DA414" s="65">
        <f>CX414</f>
        <v>0.2</v>
      </c>
      <c r="DB414" s="65">
        <f>DB413/DB351</f>
        <v>0.2</v>
      </c>
      <c r="DC414" s="65">
        <f>CZ414</f>
        <v>0.2</v>
      </c>
      <c r="DD414" s="65">
        <f>DA414</f>
        <v>0.2</v>
      </c>
      <c r="DE414" s="65">
        <f>DE413/DE351</f>
        <v>0.19999999999999998</v>
      </c>
      <c r="DF414" s="65">
        <f>DC414</f>
        <v>0.2</v>
      </c>
      <c r="DG414" s="65">
        <f>DF414</f>
        <v>0.2</v>
      </c>
      <c r="DH414" s="1066">
        <f>DH413/DH351</f>
        <v>0.20000000000000004</v>
      </c>
      <c r="DI414" s="269">
        <v>0.15</v>
      </c>
      <c r="DJ414" s="269">
        <v>0.15</v>
      </c>
      <c r="DK414" s="1066">
        <f>+DK413/DK351</f>
        <v>0.15000000000000002</v>
      </c>
      <c r="DL414" s="65">
        <f>+DJ414</f>
        <v>0.15</v>
      </c>
      <c r="DM414" s="65">
        <f>+DL414</f>
        <v>0.15</v>
      </c>
      <c r="DN414" s="1066">
        <f>+DN413/DN351</f>
        <v>0.15</v>
      </c>
      <c r="DO414" s="65">
        <f t="shared" ref="DO414" si="2151">+DM414</f>
        <v>0.15</v>
      </c>
      <c r="DP414" s="65">
        <f t="shared" ref="DP414" si="2152">+DO414</f>
        <v>0.15</v>
      </c>
      <c r="DQ414" s="1066">
        <f t="shared" ref="DQ414" si="2153">+DQ413/DQ351</f>
        <v>0.15000000000000002</v>
      </c>
      <c r="DR414" s="65">
        <f t="shared" ref="DR414" si="2154">+DP414</f>
        <v>0.15</v>
      </c>
      <c r="DS414" s="65">
        <f t="shared" ref="DS414" si="2155">+DR414</f>
        <v>0.15</v>
      </c>
      <c r="DT414" s="1066">
        <f t="shared" ref="DT414" si="2156">+DT413/DT351</f>
        <v>0.15</v>
      </c>
      <c r="DU414" s="65">
        <f t="shared" ref="DU414" si="2157">+DS414</f>
        <v>0.15</v>
      </c>
      <c r="DV414" s="65">
        <f t="shared" ref="DV414" si="2158">+DU414</f>
        <v>0.15</v>
      </c>
      <c r="DW414" s="1066">
        <f t="shared" ref="DW414" si="2159">+DW413/DW351</f>
        <v>0.14999999999999997</v>
      </c>
      <c r="DX414" s="65">
        <f t="shared" ref="DX414" si="2160">+DV414</f>
        <v>0.15</v>
      </c>
      <c r="DY414" s="1163">
        <f>+DX414</f>
        <v>0.15</v>
      </c>
      <c r="DZ414" s="1146">
        <f t="shared" ref="DZ414" si="2161">+DZ413/DZ351</f>
        <v>0.15000000000000002</v>
      </c>
      <c r="EA414" s="1163">
        <f t="shared" ref="EA414" si="2162">+DY414</f>
        <v>0.15</v>
      </c>
      <c r="EB414" s="1163">
        <f t="shared" ref="EB414" si="2163">+EA414</f>
        <v>0.15</v>
      </c>
      <c r="EC414" s="1146">
        <f t="shared" ref="EC414" si="2164">+EC413/EC351</f>
        <v>0.15</v>
      </c>
      <c r="ED414" s="1163">
        <f t="shared" ref="ED414" si="2165">+EB414</f>
        <v>0.15</v>
      </c>
      <c r="EE414" s="1163">
        <f t="shared" ref="EE414" si="2166">+ED414</f>
        <v>0.15</v>
      </c>
      <c r="EF414" s="1146">
        <f t="shared" ref="EF414" si="2167">+EF413/EF351</f>
        <v>0.15000000000000002</v>
      </c>
      <c r="EG414" s="1163">
        <f t="shared" ref="EG414" si="2168">+EE414</f>
        <v>0.15</v>
      </c>
      <c r="EH414" s="1163">
        <f t="shared" ref="EH414" si="2169">+EG414</f>
        <v>0.15</v>
      </c>
      <c r="EI414" s="1146">
        <f t="shared" ref="EI414" si="2170">+EI413/EI351</f>
        <v>0.15000000000000002</v>
      </c>
      <c r="EJ414" s="1163">
        <f t="shared" ref="EJ414" si="2171">+EH414</f>
        <v>0.15</v>
      </c>
      <c r="EK414" s="1163">
        <f t="shared" ref="EK414" si="2172">+EJ414</f>
        <v>0.15</v>
      </c>
      <c r="EL414" s="1146">
        <f t="shared" ref="EL414" si="2173">+EL413/EL351</f>
        <v>0.14999999999999997</v>
      </c>
      <c r="EM414" s="1163">
        <f t="shared" ref="EM414" si="2174">+EK414</f>
        <v>0.15</v>
      </c>
      <c r="EN414" s="1163">
        <f t="shared" ref="EN414" si="2175">+EM414</f>
        <v>0.15</v>
      </c>
      <c r="EO414" s="1146">
        <f t="shared" ref="EO414" si="2176">+EO413/EO351</f>
        <v>0.15</v>
      </c>
      <c r="EP414" s="1163">
        <f t="shared" ref="EP414" si="2177">+EN414</f>
        <v>0.15</v>
      </c>
      <c r="EQ414" s="1163">
        <f t="shared" ref="EQ414" si="2178">+EP414</f>
        <v>0.15</v>
      </c>
      <c r="ER414" s="1146">
        <f t="shared" ref="ER414" si="2179">+ER413/ER351</f>
        <v>0.15</v>
      </c>
      <c r="ES414" s="1163">
        <f t="shared" ref="ES414" si="2180">+EQ414</f>
        <v>0.15</v>
      </c>
      <c r="ET414" s="1163">
        <f t="shared" ref="ET414" si="2181">+ES414</f>
        <v>0.15</v>
      </c>
      <c r="EU414" s="1146">
        <f t="shared" ref="EU414" si="2182">+EU413/EU351</f>
        <v>0.14999999999999997</v>
      </c>
      <c r="EV414" s="1163">
        <f t="shared" ref="EV414" si="2183">+ET414</f>
        <v>0.15</v>
      </c>
      <c r="EW414" s="1163">
        <f t="shared" ref="EW414" si="2184">+EV414</f>
        <v>0.15</v>
      </c>
      <c r="EX414" s="1146">
        <f t="shared" ref="EX414" si="2185">+EX413/EX351</f>
        <v>0.15</v>
      </c>
      <c r="EY414" s="1163">
        <f t="shared" ref="EY414" si="2186">+EW414</f>
        <v>0.15</v>
      </c>
      <c r="EZ414" s="1163">
        <f t="shared" ref="EZ414" si="2187">+EY414</f>
        <v>0.15</v>
      </c>
      <c r="FA414" s="1146">
        <f t="shared" ref="FA414" si="2188">+FA413/FA351</f>
        <v>0.15</v>
      </c>
    </row>
    <row r="415" spans="1:157" outlineLevel="1">
      <c r="B415" s="31"/>
      <c r="BA415" s="35"/>
      <c r="BB415" s="35"/>
      <c r="BC415" s="322"/>
      <c r="BD415" s="35"/>
      <c r="BE415" s="35"/>
      <c r="BG415" s="35"/>
      <c r="BH415" s="35"/>
      <c r="BJ415" s="35"/>
      <c r="BK415" s="35"/>
      <c r="BL415" s="31"/>
      <c r="BM415" s="35"/>
      <c r="BN415" s="35"/>
      <c r="BO415" s="31"/>
      <c r="BP415" s="35"/>
      <c r="BQ415" s="35"/>
      <c r="BR415" s="1024"/>
      <c r="BS415" s="74"/>
      <c r="BT415" s="70"/>
      <c r="BU415" s="74"/>
      <c r="BV415" s="74"/>
      <c r="BW415" s="74"/>
      <c r="BX415" s="74"/>
      <c r="BY415" s="70"/>
      <c r="BZ415" s="70"/>
      <c r="CA415" s="70"/>
      <c r="CB415" s="65"/>
      <c r="CC415" s="65"/>
      <c r="CD415" s="70"/>
      <c r="CE415" s="65"/>
      <c r="CF415" s="65"/>
      <c r="CG415" s="70"/>
      <c r="CH415" s="65"/>
      <c r="CI415" s="65"/>
      <c r="CJ415" s="70"/>
      <c r="CK415" s="65"/>
      <c r="CL415" s="65"/>
      <c r="CM415" s="70"/>
      <c r="CN415" s="65"/>
      <c r="CO415" s="65"/>
      <c r="CP415" s="70"/>
      <c r="CQ415" s="65"/>
      <c r="CR415" s="65"/>
      <c r="CS415" s="65"/>
      <c r="CT415" s="65"/>
      <c r="CU415" s="65"/>
      <c r="CV415" s="65"/>
      <c r="CW415" s="65"/>
      <c r="CX415" s="65"/>
      <c r="CY415" s="65"/>
      <c r="CZ415" s="65"/>
      <c r="DA415" s="65"/>
      <c r="DB415" s="65"/>
      <c r="DC415" s="65"/>
      <c r="DD415" s="65"/>
      <c r="DE415" s="65"/>
      <c r="DF415" s="65"/>
      <c r="DG415" s="65"/>
      <c r="DH415" s="1066"/>
      <c r="DI415" s="65"/>
      <c r="DJ415" s="65"/>
      <c r="DK415" s="1066"/>
      <c r="DL415" s="65"/>
      <c r="DM415" s="65"/>
      <c r="DN415" s="1111"/>
      <c r="DO415" s="65"/>
      <c r="DP415" s="65"/>
      <c r="DQ415" s="1066"/>
      <c r="DR415" s="65"/>
      <c r="DS415" s="65"/>
      <c r="DT415" s="1066"/>
      <c r="DU415" s="65"/>
      <c r="DV415" s="65"/>
      <c r="DW415" s="1066"/>
      <c r="DX415" s="65"/>
      <c r="DY415" s="65"/>
      <c r="DZ415" s="1066"/>
      <c r="EA415" s="65"/>
      <c r="EB415" s="65"/>
      <c r="EC415" s="1066"/>
      <c r="ED415" s="65"/>
      <c r="EE415" s="65"/>
      <c r="EF415" s="1066"/>
      <c r="EG415" s="65"/>
      <c r="EH415" s="65"/>
      <c r="EI415" s="1066"/>
      <c r="EJ415" s="65"/>
      <c r="EK415" s="65"/>
      <c r="EL415" s="1066"/>
      <c r="EM415" s="65"/>
      <c r="EN415" s="65"/>
      <c r="EO415" s="1066"/>
      <c r="EP415" s="65"/>
      <c r="EQ415" s="65"/>
      <c r="ER415" s="1066"/>
      <c r="ES415" s="65"/>
      <c r="ET415" s="65"/>
      <c r="EU415" s="1066"/>
      <c r="EV415" s="65"/>
      <c r="EW415" s="65"/>
      <c r="EX415" s="1066"/>
      <c r="EY415" s="65"/>
      <c r="EZ415" s="65"/>
      <c r="FA415" s="1066"/>
    </row>
    <row r="416" spans="1:157" outlineLevel="1">
      <c r="A416" s="1426" t="s">
        <v>26</v>
      </c>
      <c r="D416" s="162" t="s">
        <v>908</v>
      </c>
      <c r="BA416" s="35"/>
      <c r="BB416" s="35"/>
      <c r="BC416" s="322"/>
      <c r="BD416" s="35"/>
      <c r="BE416" s="35"/>
      <c r="BG416" s="35"/>
      <c r="BH416" s="35"/>
      <c r="BJ416" s="35"/>
      <c r="BK416" s="35"/>
      <c r="BL416" s="31"/>
      <c r="BM416" s="35"/>
      <c r="BN416" s="35"/>
      <c r="BO416" s="31"/>
      <c r="BP416" s="35"/>
      <c r="BQ416" s="35"/>
      <c r="BR416" s="1024"/>
      <c r="BS416" s="187">
        <f>BS402-BS405-BS409-BS413</f>
        <v>10.957999999999998</v>
      </c>
      <c r="BT416" s="187">
        <f>BT402-BT405-BT409-BT413</f>
        <v>9.3399999999999981</v>
      </c>
      <c r="BU416" s="70">
        <f>BS416+BT416</f>
        <v>20.297999999999995</v>
      </c>
      <c r="BV416" s="187">
        <f>BV402-BV405-BV409-BV413</f>
        <v>9.4880000000000031</v>
      </c>
      <c r="BW416" s="187">
        <f>BW402-BW405-BW409-BW413</f>
        <v>11.997</v>
      </c>
      <c r="BX416" s="70">
        <f>BV416+BW416</f>
        <v>21.485000000000003</v>
      </c>
      <c r="BY416" s="187">
        <f>BY402-BY405-BY409-BY413</f>
        <v>8.593</v>
      </c>
      <c r="BZ416" s="187">
        <f>BZ402-BZ405-BZ409-BZ413</f>
        <v>11.255276754189403</v>
      </c>
      <c r="CA416" s="74">
        <f>BY416+BZ416</f>
        <v>19.848276754189403</v>
      </c>
      <c r="CB416" s="187">
        <f>CB402-CB405-CB409-CB413</f>
        <v>15.401692557430657</v>
      </c>
      <c r="CC416" s="187">
        <f>CC402-CC405-CC409-CC413</f>
        <v>15.485899166772223</v>
      </c>
      <c r="CD416" s="74">
        <f>CB416+CC416</f>
        <v>30.887591724202878</v>
      </c>
      <c r="CE416" s="187">
        <f>CE402-CE405-CE409-CE413</f>
        <v>17.126765648619681</v>
      </c>
      <c r="CF416" s="187">
        <f>CF402-CF405-CF409-CF413</f>
        <v>20.29689419413592</v>
      </c>
      <c r="CG416" s="70">
        <f>CE416+CF416</f>
        <v>37.423659842755598</v>
      </c>
      <c r="CH416" s="187">
        <f>CH402-CH405-CH409-CH413</f>
        <v>19.76716126697767</v>
      </c>
      <c r="CI416" s="187">
        <f>CI402-CI405-CI409-CI413</f>
        <v>24.125538778721722</v>
      </c>
      <c r="CJ416" s="70">
        <f>CH416+CI416</f>
        <v>43.892700045699392</v>
      </c>
      <c r="CK416" s="187">
        <f>CK402-CK405-CK409-CK413</f>
        <v>30.883159520205254</v>
      </c>
      <c r="CL416" s="187">
        <f>CL402-CL405-CL409-CL413</f>
        <v>26.788801998002093</v>
      </c>
      <c r="CM416" s="74">
        <f>CK416+CL416</f>
        <v>57.671961518207347</v>
      </c>
      <c r="CN416" s="187">
        <f>CN402-CN405-CN409-CN413</f>
        <v>11.535000000000004</v>
      </c>
      <c r="CO416" s="187">
        <f>CO402-CO405-CO409-CO413</f>
        <v>31.928999999999991</v>
      </c>
      <c r="CP416" s="70">
        <f>CN416+CO416</f>
        <v>43.463999999999999</v>
      </c>
      <c r="CQ416" s="187">
        <f>CQ402-CQ405-CQ409-CQ413</f>
        <v>15.535000000000032</v>
      </c>
      <c r="CR416" s="187">
        <f>CR402-CR405-CR409-CR413</f>
        <v>31.757000000000016</v>
      </c>
      <c r="CS416" s="70">
        <f>CQ416+CR416</f>
        <v>47.292000000000044</v>
      </c>
      <c r="CT416" s="187">
        <f>CT402-CT405-CT409-CT413</f>
        <v>34.270000000000046</v>
      </c>
      <c r="CU416" s="187">
        <f>CU402-CU405-CU409-CU413</f>
        <v>30.548839434708157</v>
      </c>
      <c r="CV416" s="70">
        <f>CT416+CU416</f>
        <v>64.818839434708195</v>
      </c>
      <c r="CW416" s="187">
        <f>CW402-CW405-CW409-CW413</f>
        <v>35.367101519012877</v>
      </c>
      <c r="CX416" s="187">
        <f>CX402-CX405-CX409-CX413</f>
        <v>31.689886012963235</v>
      </c>
      <c r="CY416" s="70">
        <f>CW416+CX416</f>
        <v>67.056987531976119</v>
      </c>
      <c r="CZ416" s="187">
        <f>CZ402-CZ405-CZ409-CZ413</f>
        <v>28.987585700973369</v>
      </c>
      <c r="DA416" s="187">
        <f>DA402-DA405-DA409-DA413</f>
        <v>41.482388123610704</v>
      </c>
      <c r="DB416" s="70">
        <f>CZ416+DA416</f>
        <v>70.469973824584073</v>
      </c>
      <c r="DC416" s="206">
        <f>DC402-DC405-DC409-DC413</f>
        <v>34.971437946901119</v>
      </c>
      <c r="DD416" s="187">
        <f>DD402-DD405-DD409-DD413</f>
        <v>44.191284181901096</v>
      </c>
      <c r="DE416" s="70">
        <f>DC416+DD416</f>
        <v>79.162722128802216</v>
      </c>
      <c r="DF416" s="190">
        <f>DF402-DF405-DF409-DF413</f>
        <v>40.375888880905322</v>
      </c>
      <c r="DG416" s="187">
        <f>DG402-DG405-DG409-DG413</f>
        <v>18.860208108807171</v>
      </c>
      <c r="DH416" s="1115">
        <f>DF416+DG416</f>
        <v>59.236096989712493</v>
      </c>
      <c r="DI416" s="1127">
        <v>45.3</v>
      </c>
      <c r="DJ416" s="1130">
        <f>+DK416-DI416</f>
        <v>28.900000000000006</v>
      </c>
      <c r="DK416" s="1125">
        <v>74.2</v>
      </c>
      <c r="DL416" s="1129">
        <v>46.3</v>
      </c>
      <c r="DM416" s="1130">
        <f>+DN416-DL416</f>
        <v>45.7</v>
      </c>
      <c r="DN416" s="1125">
        <v>92</v>
      </c>
      <c r="DO416" s="1129">
        <v>56.8</v>
      </c>
      <c r="DP416" s="1130">
        <f>+DQ416-DO416</f>
        <v>48.100000000000009</v>
      </c>
      <c r="DQ416" s="1125">
        <v>104.9</v>
      </c>
      <c r="DR416" s="1129">
        <v>24.1</v>
      </c>
      <c r="DS416" s="1130">
        <f>+DT416-DR416</f>
        <v>78.099999999999994</v>
      </c>
      <c r="DT416" s="1125">
        <v>102.2</v>
      </c>
      <c r="DU416" s="1130">
        <v>76.599999999999994</v>
      </c>
      <c r="DV416" s="1130">
        <f>+DW416-DU416</f>
        <v>54.200000000000017</v>
      </c>
      <c r="DW416" s="1125">
        <v>130.80000000000001</v>
      </c>
      <c r="DX416" s="1129">
        <v>56.2</v>
      </c>
      <c r="DY416" s="1130">
        <f>DY402-DY405-DY409-DY413</f>
        <v>71.505970902546267</v>
      </c>
      <c r="DZ416" s="1115">
        <f>DX416+DY416</f>
        <v>127.70597090254627</v>
      </c>
      <c r="EA416" s="1130">
        <f>EA402-EA405-EA409-EA413</f>
        <v>87.166056973457842</v>
      </c>
      <c r="EB416" s="1130">
        <f>EB402-EB405-EB409-EB413</f>
        <v>87.142234344677547</v>
      </c>
      <c r="EC416" s="1115">
        <f>EA416+EB416</f>
        <v>174.30829131813539</v>
      </c>
      <c r="ED416" s="1130">
        <f>ED402-ED405-ED409-ED413</f>
        <v>97.329223752094322</v>
      </c>
      <c r="EE416" s="1130">
        <f>EE402-EE405-EE409-EE413</f>
        <v>97.243459883127116</v>
      </c>
      <c r="EF416" s="1115">
        <f>ED416+EE416</f>
        <v>194.57268363522144</v>
      </c>
      <c r="EG416" s="1130">
        <f>EG402-EG405-EG409-EG413</f>
        <v>108.77646034152451</v>
      </c>
      <c r="EH416" s="1130">
        <f>EH402-EH405-EH409-EH413</f>
        <v>108.61386513705935</v>
      </c>
      <c r="EI416" s="1115">
        <f>EG416+EH416</f>
        <v>217.39032547858386</v>
      </c>
      <c r="EJ416" s="1130">
        <f>EJ402-EJ405-EJ409-EJ413</f>
        <v>121.34853361057743</v>
      </c>
      <c r="EK416" s="1130">
        <f>EK402-EK405-EK409-EK413</f>
        <v>121.09758225284889</v>
      </c>
      <c r="EL416" s="1115">
        <f>EJ416+EK416</f>
        <v>242.44611586342631</v>
      </c>
      <c r="EM416" s="1130">
        <f>EM402-EM405-EM409-EM413</f>
        <v>135.15082666593375</v>
      </c>
      <c r="EN416" s="1130">
        <f>EN402-EN405-EN409-EN413</f>
        <v>134.79873197430234</v>
      </c>
      <c r="EO416" s="1115">
        <f>EM416+EN416</f>
        <v>269.94955864023609</v>
      </c>
      <c r="EP416" s="1130">
        <f>EP402-EP405-EP409-EP413</f>
        <v>150.29839762440005</v>
      </c>
      <c r="EQ416" s="1130">
        <f>EQ402-EQ405-EQ409-EQ413</f>
        <v>149.83098590689161</v>
      </c>
      <c r="ER416" s="1115">
        <f>EP416+EQ416</f>
        <v>300.12938353129164</v>
      </c>
      <c r="ES416" s="1130">
        <f>ES402-ES405-ES409-ES413</f>
        <v>166.91685918901513</v>
      </c>
      <c r="ET416" s="1130">
        <f>ET402-ET405-ET409-ET413</f>
        <v>166.31843443091984</v>
      </c>
      <c r="EU416" s="1115">
        <f>ES416+ET416</f>
        <v>333.23529361993496</v>
      </c>
      <c r="EV416" s="1130">
        <f>EV402-EV405-EV409-EV413</f>
        <v>185.14333779637178</v>
      </c>
      <c r="EW416" s="1130">
        <f>EW402-EW405-EW409-EW413</f>
        <v>184.39653311351498</v>
      </c>
      <c r="EX416" s="1115">
        <f>EV416+EW416</f>
        <v>369.53987090988676</v>
      </c>
      <c r="EY416" s="1130">
        <f>EY402-EY405-EY409-EY413</f>
        <v>205.12751951555629</v>
      </c>
      <c r="EZ416" s="1130">
        <f>EZ402-EZ405-EZ409-EZ413</f>
        <v>204.21313470228546</v>
      </c>
      <c r="FA416" s="1115">
        <f>EY416+EZ416</f>
        <v>409.34065421784175</v>
      </c>
    </row>
    <row r="417" spans="1:157" outlineLevel="1">
      <c r="B417" s="31" t="s">
        <v>430</v>
      </c>
      <c r="D417" s="162" t="s">
        <v>460</v>
      </c>
      <c r="BA417" s="35"/>
      <c r="BB417" s="35"/>
      <c r="BC417" s="322"/>
      <c r="BD417" s="35"/>
      <c r="BE417" s="35"/>
      <c r="BG417" s="35"/>
      <c r="BH417" s="35"/>
      <c r="BJ417" s="35"/>
      <c r="BK417" s="35"/>
      <c r="BL417" s="31"/>
      <c r="BM417" s="35"/>
      <c r="BN417" s="35"/>
      <c r="BO417" s="31"/>
      <c r="BP417" s="35"/>
      <c r="BQ417" s="35"/>
      <c r="BR417" s="1024"/>
      <c r="BS417" s="65">
        <f t="shared" ref="BS417:CX417" si="2189">BS416/BS351</f>
        <v>0.2595022142231273</v>
      </c>
      <c r="BT417" s="65">
        <f t="shared" si="2189"/>
        <v>0.24644449721628534</v>
      </c>
      <c r="BU417" s="65">
        <f t="shared" si="2189"/>
        <v>0.25332601153183726</v>
      </c>
      <c r="BV417" s="65">
        <f t="shared" si="2189"/>
        <v>0.22096462423437915</v>
      </c>
      <c r="BW417" s="65">
        <f t="shared" si="2189"/>
        <v>0.24918993020937186</v>
      </c>
      <c r="BX417" s="65">
        <f t="shared" si="2189"/>
        <v>0.23588375437787515</v>
      </c>
      <c r="BY417" s="65">
        <f t="shared" si="2189"/>
        <v>0.18954450204036616</v>
      </c>
      <c r="BZ417" s="65">
        <f t="shared" si="2189"/>
        <v>0.23854011432242719</v>
      </c>
      <c r="CA417" s="65">
        <f t="shared" si="2189"/>
        <v>0.21453189889849009</v>
      </c>
      <c r="CB417" s="65">
        <f t="shared" si="2189"/>
        <v>0.32384938304605992</v>
      </c>
      <c r="CC417" s="65">
        <f t="shared" si="2189"/>
        <v>0.31241334540625088</v>
      </c>
      <c r="CD417" s="65">
        <f t="shared" si="2189"/>
        <v>0.3180130070697611</v>
      </c>
      <c r="CE417" s="65">
        <f t="shared" si="2189"/>
        <v>0.30461289703301664</v>
      </c>
      <c r="CF417" s="65">
        <f t="shared" si="2189"/>
        <v>0.30885449047942076</v>
      </c>
      <c r="CG417" s="65">
        <f t="shared" si="2189"/>
        <v>0.30689877798809134</v>
      </c>
      <c r="CH417" s="65">
        <f t="shared" si="2189"/>
        <v>0.33125544302769916</v>
      </c>
      <c r="CI417" s="65">
        <f t="shared" si="2189"/>
        <v>0.38147120049679456</v>
      </c>
      <c r="CJ417" s="65">
        <f t="shared" si="2189"/>
        <v>0.35709254308025995</v>
      </c>
      <c r="CK417" s="65">
        <f t="shared" si="2189"/>
        <v>0.39767828714576436</v>
      </c>
      <c r="CL417" s="65">
        <f t="shared" si="2189"/>
        <v>0.38294983517584796</v>
      </c>
      <c r="CM417" s="65">
        <f t="shared" si="2189"/>
        <v>0.39069844709502799</v>
      </c>
      <c r="CN417" s="65">
        <f t="shared" si="2189"/>
        <v>0.19937430862831865</v>
      </c>
      <c r="CO417" s="65">
        <f t="shared" si="2189"/>
        <v>0.38125231361006279</v>
      </c>
      <c r="CP417" s="65">
        <f t="shared" si="2189"/>
        <v>0.30694115711609088</v>
      </c>
      <c r="CQ417" s="65">
        <f t="shared" si="2189"/>
        <v>0.24429941814750808</v>
      </c>
      <c r="CR417" s="65">
        <f t="shared" si="2189"/>
        <v>0.32499616230875517</v>
      </c>
      <c r="CS417" s="65">
        <f t="shared" si="2189"/>
        <v>0.29318372028145467</v>
      </c>
      <c r="CT417" s="65">
        <f t="shared" si="2189"/>
        <v>0.3196261856573932</v>
      </c>
      <c r="CU417" s="65">
        <f t="shared" si="2189"/>
        <v>0.29635238310781742</v>
      </c>
      <c r="CV417" s="65">
        <f t="shared" si="2189"/>
        <v>0.30821815694063942</v>
      </c>
      <c r="CW417" s="65">
        <f t="shared" si="2189"/>
        <v>0.31774087683736008</v>
      </c>
      <c r="CX417" s="65">
        <f t="shared" si="2189"/>
        <v>0.30209348910538358</v>
      </c>
      <c r="CY417" s="65">
        <f t="shared" ref="CY417:ED417" si="2190">CY416/CY351</f>
        <v>0.31014902818710721</v>
      </c>
      <c r="CZ417" s="65">
        <f t="shared" si="2190"/>
        <v>0.30712816621120287</v>
      </c>
      <c r="DA417" s="65">
        <f t="shared" si="2190"/>
        <v>0.33872937375789453</v>
      </c>
      <c r="DB417" s="65">
        <f t="shared" si="2190"/>
        <v>0.32497496664316755</v>
      </c>
      <c r="DC417" s="65">
        <f t="shared" si="2190"/>
        <v>0.31001379718230215</v>
      </c>
      <c r="DD417" s="65">
        <f t="shared" si="2190"/>
        <v>0.35280796951183524</v>
      </c>
      <c r="DE417" s="65">
        <f t="shared" si="2190"/>
        <v>0.33252987917667576</v>
      </c>
      <c r="DF417" s="65">
        <f t="shared" si="2190"/>
        <v>0.30321229956148771</v>
      </c>
      <c r="DG417" s="65">
        <f t="shared" si="2190"/>
        <v>0.21049829500171066</v>
      </c>
      <c r="DH417" s="1066">
        <f t="shared" si="2190"/>
        <v>0.26592085546598315</v>
      </c>
      <c r="DI417" s="65">
        <f t="shared" si="2190"/>
        <v>0.34980694980694976</v>
      </c>
      <c r="DJ417" s="65">
        <f t="shared" si="2190"/>
        <v>0.23825226710634792</v>
      </c>
      <c r="DK417" s="1066">
        <f t="shared" si="2190"/>
        <v>0.29585326953748003</v>
      </c>
      <c r="DL417" s="65">
        <f t="shared" si="2190"/>
        <v>0.33047822983583153</v>
      </c>
      <c r="DM417" s="65">
        <f t="shared" si="2190"/>
        <v>0.32002801120448188</v>
      </c>
      <c r="DN417" s="1066">
        <f t="shared" si="2190"/>
        <v>0.32520325203252037</v>
      </c>
      <c r="DO417" s="65">
        <f t="shared" si="2190"/>
        <v>0.35257603972687773</v>
      </c>
      <c r="DP417" s="65">
        <f t="shared" si="2190"/>
        <v>0.27190503109101188</v>
      </c>
      <c r="DQ417" s="1066">
        <f t="shared" si="2190"/>
        <v>0.31035502958579886</v>
      </c>
      <c r="DR417" s="65">
        <f t="shared" si="2190"/>
        <v>0.13732193732193734</v>
      </c>
      <c r="DS417" s="65">
        <f t="shared" si="2190"/>
        <v>0.39765784114052954</v>
      </c>
      <c r="DT417" s="1066">
        <f t="shared" si="2190"/>
        <v>0.27480505512234477</v>
      </c>
      <c r="DU417" s="65">
        <f t="shared" si="2190"/>
        <v>0.33449781659388644</v>
      </c>
      <c r="DV417" s="65">
        <f t="shared" ref="DV417:DX417" si="2191">DV416/DV351</f>
        <v>0.27127127127127132</v>
      </c>
      <c r="DW417" s="1066">
        <f t="shared" si="2191"/>
        <v>0.30503731343283585</v>
      </c>
      <c r="DX417" s="65">
        <f t="shared" si="2191"/>
        <v>0.27045235803657364</v>
      </c>
      <c r="DY417" s="65">
        <f t="shared" si="2190"/>
        <v>0.29685154511502737</v>
      </c>
      <c r="DZ417" s="1066">
        <f t="shared" si="2190"/>
        <v>0.28462515702930985</v>
      </c>
      <c r="EA417" s="65">
        <f t="shared" si="2190"/>
        <v>0.33383850398926651</v>
      </c>
      <c r="EB417" s="65">
        <f t="shared" si="2190"/>
        <v>0.33838742196624183</v>
      </c>
      <c r="EC417" s="1066">
        <f t="shared" si="2190"/>
        <v>0.33609726099706644</v>
      </c>
      <c r="ED417" s="65">
        <f t="shared" si="2190"/>
        <v>0.34264708200656363</v>
      </c>
      <c r="EE417" s="65">
        <f t="shared" ref="EE417:ER417" si="2192">EE416/EE351</f>
        <v>0.3471025193212095</v>
      </c>
      <c r="EF417" s="1066">
        <f t="shared" si="2192"/>
        <v>0.34485942882452547</v>
      </c>
      <c r="EG417" s="65">
        <f t="shared" si="2192"/>
        <v>0.35132754630140889</v>
      </c>
      <c r="EH417" s="65">
        <f t="shared" si="2192"/>
        <v>0.355677288259378</v>
      </c>
      <c r="EI417" s="1066">
        <f t="shared" si="2192"/>
        <v>0.35348741010378698</v>
      </c>
      <c r="EJ417" s="65">
        <f t="shared" si="2192"/>
        <v>0.35957154385825968</v>
      </c>
      <c r="EK417" s="65">
        <f t="shared" si="2192"/>
        <v>0.36381436248010823</v>
      </c>
      <c r="EL417" s="1066">
        <f t="shared" si="2192"/>
        <v>0.36167831489202112</v>
      </c>
      <c r="EM417" s="65">
        <f t="shared" si="2192"/>
        <v>0.36740324742886343</v>
      </c>
      <c r="EN417" s="65">
        <f t="shared" si="2192"/>
        <v>0.37153837429018316</v>
      </c>
      <c r="EO417" s="1066">
        <f t="shared" si="2192"/>
        <v>0.36945654413296852</v>
      </c>
      <c r="EP417" s="65">
        <f t="shared" si="2192"/>
        <v>0.37484535775880401</v>
      </c>
      <c r="EQ417" s="65">
        <f t="shared" si="2192"/>
        <v>0.37887243473119353</v>
      </c>
      <c r="ER417" s="1066">
        <f t="shared" si="2192"/>
        <v>0.37684500230464169</v>
      </c>
      <c r="ES417" s="65">
        <f t="shared" ref="ES417:EX417" si="2193">ES416/ES351</f>
        <v>0.38191920046580219</v>
      </c>
      <c r="ET417" s="65">
        <f t="shared" si="2193"/>
        <v>0.38583823475104539</v>
      </c>
      <c r="EU417" s="1066">
        <f t="shared" si="2193"/>
        <v>0.3838651964294173</v>
      </c>
      <c r="EV417" s="65">
        <f t="shared" si="2193"/>
        <v>0.38864481618431634</v>
      </c>
      <c r="EW417" s="65">
        <f t="shared" si="2193"/>
        <v>0.39245613929529038</v>
      </c>
      <c r="EX417" s="1066">
        <f t="shared" si="2193"/>
        <v>0.39053732817838488</v>
      </c>
      <c r="EY417" s="65">
        <f t="shared" ref="EY417:FA417" si="2194">EY416/EY351</f>
        <v>0.39504104446083643</v>
      </c>
      <c r="EZ417" s="65">
        <f t="shared" si="2194"/>
        <v>0.3987452748296817</v>
      </c>
      <c r="FA417" s="1066">
        <f t="shared" si="2194"/>
        <v>0.39688037956775707</v>
      </c>
    </row>
    <row r="418" spans="1:157">
      <c r="B418" s="31"/>
      <c r="BA418" s="35"/>
      <c r="BB418" s="35"/>
      <c r="BC418" s="322"/>
      <c r="BD418" s="35"/>
      <c r="BE418" s="35"/>
      <c r="BG418" s="35"/>
      <c r="BH418" s="35"/>
      <c r="BJ418" s="35"/>
      <c r="BK418" s="35"/>
      <c r="BL418" s="31"/>
      <c r="BM418" s="35"/>
      <c r="BN418" s="35"/>
      <c r="BO418" s="31"/>
      <c r="BP418" s="35"/>
      <c r="BQ418" s="35"/>
      <c r="BR418" s="1024"/>
      <c r="BS418" s="74">
        <v>10.958</v>
      </c>
      <c r="BT418" s="74">
        <f>BU418-BS418</f>
        <v>9.3399999999999981</v>
      </c>
      <c r="BU418" s="74">
        <v>20.297999999999998</v>
      </c>
      <c r="BV418" s="74">
        <v>9.4879999999999995</v>
      </c>
      <c r="BW418" s="74">
        <f>BX418-BV418</f>
        <v>-9.4879999999999995</v>
      </c>
      <c r="BX418" s="74"/>
      <c r="BY418" s="74"/>
      <c r="BZ418" s="74"/>
      <c r="CA418" s="74"/>
      <c r="CB418" s="187"/>
      <c r="CC418" s="187"/>
      <c r="CD418" s="187"/>
      <c r="CE418" s="1038"/>
      <c r="CF418" s="187"/>
      <c r="CG418" s="187"/>
      <c r="CH418" s="187"/>
      <c r="CI418" s="187"/>
      <c r="CJ418" s="187"/>
      <c r="CK418" s="187"/>
      <c r="CL418" s="187"/>
      <c r="CM418" s="187"/>
      <c r="CN418" s="187"/>
      <c r="CO418" s="74"/>
      <c r="CP418" s="74"/>
      <c r="CQ418" s="35"/>
      <c r="CR418" s="74"/>
      <c r="CS418" s="74"/>
      <c r="CT418" s="35"/>
      <c r="CU418" s="35"/>
      <c r="CW418" s="35"/>
      <c r="CX418" s="35"/>
      <c r="CZ418" s="35"/>
      <c r="DA418" s="35"/>
      <c r="DB418" s="31"/>
      <c r="DC418" s="244"/>
      <c r="DD418" s="244"/>
      <c r="DF418" s="35"/>
      <c r="DG418" s="35"/>
      <c r="DH418" s="1067"/>
      <c r="DI418" s="35"/>
      <c r="DJ418" s="35"/>
      <c r="DK418" s="1067"/>
      <c r="DL418" s="35"/>
      <c r="DM418" s="35"/>
      <c r="DN418" s="1067"/>
      <c r="DO418" s="35"/>
      <c r="DP418" s="35"/>
      <c r="DQ418" s="1067"/>
      <c r="DR418" s="35"/>
      <c r="DS418" s="35"/>
      <c r="DT418" s="1067"/>
      <c r="DU418" s="35"/>
      <c r="DV418" s="35"/>
      <c r="DW418" s="1067"/>
      <c r="DX418" s="35"/>
      <c r="DY418" s="35"/>
      <c r="DZ418" s="1067"/>
      <c r="EA418" s="35"/>
      <c r="EB418" s="35"/>
      <c r="EC418" s="1067"/>
      <c r="ED418" s="35"/>
      <c r="EE418" s="35"/>
      <c r="EF418" s="1067"/>
      <c r="EG418" s="35"/>
      <c r="EH418" s="35"/>
      <c r="EI418" s="1067"/>
      <c r="EJ418" s="35"/>
      <c r="EK418" s="35"/>
      <c r="EL418" s="1067"/>
      <c r="EM418" s="35"/>
      <c r="EN418" s="35"/>
      <c r="EO418" s="1067"/>
      <c r="EP418" s="35"/>
      <c r="EQ418" s="35"/>
      <c r="ER418" s="1067"/>
      <c r="ES418" s="35"/>
      <c r="ET418" s="35"/>
      <c r="EU418" s="1067"/>
      <c r="EV418" s="35"/>
      <c r="EW418" s="35"/>
      <c r="EX418" s="1067"/>
      <c r="EY418" s="35"/>
      <c r="EZ418" s="35"/>
      <c r="FA418" s="1067"/>
    </row>
    <row r="419" spans="1:157" ht="16.5" customHeight="1">
      <c r="A419" s="1422"/>
      <c r="B419" s="446" t="s">
        <v>699</v>
      </c>
      <c r="C419" s="445"/>
      <c r="D419" s="952"/>
      <c r="E419" s="445"/>
      <c r="F419" s="445"/>
      <c r="G419" s="445"/>
      <c r="H419" s="445"/>
      <c r="I419" s="445"/>
      <c r="J419" s="445"/>
      <c r="K419" s="445"/>
      <c r="L419" s="445"/>
      <c r="M419" s="445"/>
      <c r="N419" s="445"/>
      <c r="O419" s="445"/>
      <c r="P419" s="445"/>
      <c r="Q419" s="445"/>
      <c r="R419" s="445"/>
      <c r="S419" s="445"/>
      <c r="T419" s="445"/>
      <c r="U419" s="445"/>
      <c r="V419" s="445"/>
      <c r="W419" s="445"/>
      <c r="X419" s="445"/>
      <c r="Y419" s="445"/>
      <c r="Z419" s="445"/>
      <c r="AA419" s="445"/>
      <c r="AB419" s="445"/>
      <c r="AC419" s="445"/>
      <c r="AD419" s="445"/>
      <c r="AE419" s="445"/>
      <c r="AF419" s="445"/>
      <c r="AG419" s="445"/>
      <c r="AH419" s="445"/>
      <c r="AI419" s="445"/>
      <c r="AJ419" s="445"/>
      <c r="AK419" s="445"/>
      <c r="AL419" s="445"/>
      <c r="AM419" s="445"/>
      <c r="AN419" s="445"/>
      <c r="AO419" s="445"/>
      <c r="AP419" s="445"/>
      <c r="AQ419" s="445"/>
      <c r="AR419" s="445"/>
      <c r="AS419" s="445"/>
      <c r="AT419" s="445"/>
      <c r="AU419" s="445"/>
      <c r="AV419" s="445"/>
      <c r="AW419" s="445"/>
      <c r="AX419" s="445"/>
      <c r="AY419" s="445"/>
      <c r="AZ419" s="445"/>
      <c r="BA419" s="76" t="str">
        <f t="shared" ref="BA419:CF419" si="2195">BA2</f>
        <v>1H01</v>
      </c>
      <c r="BB419" s="76" t="str">
        <f t="shared" si="2195"/>
        <v>2H01</v>
      </c>
      <c r="BC419" s="953" t="str">
        <f t="shared" si="2195"/>
        <v>FY01</v>
      </c>
      <c r="BD419" s="76" t="str">
        <f t="shared" si="2195"/>
        <v>1H02</v>
      </c>
      <c r="BE419" s="76" t="str">
        <f t="shared" si="2195"/>
        <v>2H02</v>
      </c>
      <c r="BF419" s="953" t="str">
        <f t="shared" si="2195"/>
        <v>FY02</v>
      </c>
      <c r="BG419" s="76" t="str">
        <f t="shared" si="2195"/>
        <v>1H03</v>
      </c>
      <c r="BH419" s="76" t="str">
        <f t="shared" si="2195"/>
        <v>2H03</v>
      </c>
      <c r="BI419" s="953" t="str">
        <f t="shared" si="2195"/>
        <v>FY03</v>
      </c>
      <c r="BJ419" s="76" t="str">
        <f t="shared" si="2195"/>
        <v>1H04</v>
      </c>
      <c r="BK419" s="76" t="str">
        <f t="shared" si="2195"/>
        <v>2H04</v>
      </c>
      <c r="BL419" s="953" t="str">
        <f t="shared" si="2195"/>
        <v>FY04</v>
      </c>
      <c r="BM419" s="76" t="str">
        <f t="shared" si="2195"/>
        <v>1H05</v>
      </c>
      <c r="BN419" s="76" t="str">
        <f t="shared" si="2195"/>
        <v>2H05</v>
      </c>
      <c r="BO419" s="953" t="str">
        <f t="shared" si="2195"/>
        <v>FY05</v>
      </c>
      <c r="BP419" s="76" t="str">
        <f t="shared" si="2195"/>
        <v>1H06</v>
      </c>
      <c r="BQ419" s="76" t="str">
        <f t="shared" si="2195"/>
        <v>2H06</v>
      </c>
      <c r="BR419" s="953" t="str">
        <f t="shared" si="2195"/>
        <v>FY06</v>
      </c>
      <c r="BS419" s="76" t="str">
        <f t="shared" si="2195"/>
        <v>1H07</v>
      </c>
      <c r="BT419" s="76" t="str">
        <f t="shared" si="2195"/>
        <v>2H07</v>
      </c>
      <c r="BU419" s="76" t="str">
        <f t="shared" si="2195"/>
        <v>FY07</v>
      </c>
      <c r="BV419" s="76" t="str">
        <f t="shared" si="2195"/>
        <v>1H08</v>
      </c>
      <c r="BW419" s="76" t="str">
        <f t="shared" si="2195"/>
        <v>2H08</v>
      </c>
      <c r="BX419" s="76" t="str">
        <f t="shared" si="2195"/>
        <v>FY08</v>
      </c>
      <c r="BY419" s="76" t="str">
        <f t="shared" si="2195"/>
        <v>1H09</v>
      </c>
      <c r="BZ419" s="76" t="str">
        <f t="shared" si="2195"/>
        <v>2H09</v>
      </c>
      <c r="CA419" s="76" t="str">
        <f t="shared" si="2195"/>
        <v>FY09</v>
      </c>
      <c r="CB419" s="76" t="str">
        <f t="shared" si="2195"/>
        <v>1H10</v>
      </c>
      <c r="CC419" s="76" t="str">
        <f t="shared" si="2195"/>
        <v>2H10</v>
      </c>
      <c r="CD419" s="76" t="str">
        <f t="shared" si="2195"/>
        <v>FY10</v>
      </c>
      <c r="CE419" s="76" t="str">
        <f t="shared" si="2195"/>
        <v>1H11</v>
      </c>
      <c r="CF419" s="76" t="str">
        <f t="shared" si="2195"/>
        <v>2H11</v>
      </c>
      <c r="CG419" s="76" t="str">
        <f t="shared" ref="CG419:DL419" si="2196">CG2</f>
        <v>FY11</v>
      </c>
      <c r="CH419" s="76" t="str">
        <f t="shared" si="2196"/>
        <v>1H12</v>
      </c>
      <c r="CI419" s="76" t="str">
        <f t="shared" si="2196"/>
        <v>2H12</v>
      </c>
      <c r="CJ419" s="76" t="str">
        <f t="shared" si="2196"/>
        <v>FY12</v>
      </c>
      <c r="CK419" s="76" t="str">
        <f t="shared" si="2196"/>
        <v>1H13</v>
      </c>
      <c r="CL419" s="76" t="str">
        <f t="shared" si="2196"/>
        <v>2H13</v>
      </c>
      <c r="CM419" s="76" t="str">
        <f t="shared" si="2196"/>
        <v>FY13</v>
      </c>
      <c r="CN419" s="76" t="str">
        <f t="shared" si="2196"/>
        <v>1H14</v>
      </c>
      <c r="CO419" s="76" t="str">
        <f t="shared" si="2196"/>
        <v>2H14</v>
      </c>
      <c r="CP419" s="76" t="str">
        <f t="shared" si="2196"/>
        <v>FY14</v>
      </c>
      <c r="CQ419" s="76" t="str">
        <f t="shared" si="2196"/>
        <v>1H15</v>
      </c>
      <c r="CR419" s="76" t="str">
        <f t="shared" si="2196"/>
        <v>2H15</v>
      </c>
      <c r="CS419" s="76" t="str">
        <f t="shared" si="2196"/>
        <v>FY15</v>
      </c>
      <c r="CT419" s="76" t="str">
        <f t="shared" si="2196"/>
        <v>1H16</v>
      </c>
      <c r="CU419" s="76" t="str">
        <f t="shared" si="2196"/>
        <v>2H16</v>
      </c>
      <c r="CV419" s="76" t="str">
        <f t="shared" si="2196"/>
        <v>FY16</v>
      </c>
      <c r="CW419" s="76" t="str">
        <f t="shared" si="2196"/>
        <v>1H17</v>
      </c>
      <c r="CX419" s="76" t="str">
        <f t="shared" si="2196"/>
        <v>2H17</v>
      </c>
      <c r="CY419" s="76" t="str">
        <f t="shared" si="2196"/>
        <v>FY17</v>
      </c>
      <c r="CZ419" s="76" t="str">
        <f t="shared" si="2196"/>
        <v>1H18</v>
      </c>
      <c r="DA419" s="76" t="str">
        <f t="shared" si="2196"/>
        <v>2H18</v>
      </c>
      <c r="DB419" s="76" t="str">
        <f t="shared" si="2196"/>
        <v>FY18</v>
      </c>
      <c r="DC419" s="76" t="str">
        <f t="shared" si="2196"/>
        <v>1H19</v>
      </c>
      <c r="DD419" s="76" t="str">
        <f t="shared" si="2196"/>
        <v>2H19</v>
      </c>
      <c r="DE419" s="76" t="str">
        <f t="shared" si="2196"/>
        <v>FY19</v>
      </c>
      <c r="DF419" s="76" t="str">
        <f t="shared" si="2196"/>
        <v>1H20</v>
      </c>
      <c r="DG419" s="76" t="str">
        <f t="shared" si="2196"/>
        <v>2H20</v>
      </c>
      <c r="DH419" s="1089" t="str">
        <f t="shared" si="2196"/>
        <v>FY20</v>
      </c>
      <c r="DI419" s="76" t="str">
        <f t="shared" si="2196"/>
        <v>1H21</v>
      </c>
      <c r="DJ419" s="76" t="str">
        <f t="shared" si="2196"/>
        <v>2H21</v>
      </c>
      <c r="DK419" s="1089" t="str">
        <f t="shared" si="2196"/>
        <v>FY21</v>
      </c>
      <c r="DL419" s="76" t="str">
        <f t="shared" si="2196"/>
        <v>1H22</v>
      </c>
      <c r="DM419" s="76" t="str">
        <f t="shared" ref="DM419:ER419" si="2197">DM2</f>
        <v>2H22</v>
      </c>
      <c r="DN419" s="1089" t="str">
        <f t="shared" si="2197"/>
        <v>FY22</v>
      </c>
      <c r="DO419" s="76" t="str">
        <f t="shared" si="2197"/>
        <v>1H23</v>
      </c>
      <c r="DP419" s="76" t="str">
        <f t="shared" si="2197"/>
        <v>2H23</v>
      </c>
      <c r="DQ419" s="1089" t="str">
        <f t="shared" si="2197"/>
        <v>FY23</v>
      </c>
      <c r="DR419" s="76" t="str">
        <f t="shared" si="2197"/>
        <v>1H24</v>
      </c>
      <c r="DS419" s="76" t="str">
        <f t="shared" si="2197"/>
        <v>2H24</v>
      </c>
      <c r="DT419" s="1089" t="str">
        <f t="shared" si="2197"/>
        <v>FY24</v>
      </c>
      <c r="DU419" s="76" t="str">
        <f t="shared" si="2197"/>
        <v>1H25</v>
      </c>
      <c r="DV419" s="76" t="str">
        <f t="shared" si="2197"/>
        <v>2H25</v>
      </c>
      <c r="DW419" s="1089" t="str">
        <f t="shared" si="2197"/>
        <v>FY25</v>
      </c>
      <c r="DX419" s="76" t="str">
        <f t="shared" si="2197"/>
        <v>1H26</v>
      </c>
      <c r="DY419" s="76" t="str">
        <f t="shared" si="2197"/>
        <v>2H26E</v>
      </c>
      <c r="DZ419" s="1089" t="str">
        <f t="shared" si="2197"/>
        <v>FY26E</v>
      </c>
      <c r="EA419" s="76" t="str">
        <f t="shared" si="2197"/>
        <v>1H27E</v>
      </c>
      <c r="EB419" s="76" t="str">
        <f t="shared" si="2197"/>
        <v>2H27E</v>
      </c>
      <c r="EC419" s="1089" t="str">
        <f t="shared" si="2197"/>
        <v>FY27E</v>
      </c>
      <c r="ED419" s="76" t="str">
        <f t="shared" si="2197"/>
        <v>1H28E</v>
      </c>
      <c r="EE419" s="76" t="str">
        <f t="shared" si="2197"/>
        <v>2H28E</v>
      </c>
      <c r="EF419" s="1089" t="str">
        <f t="shared" si="2197"/>
        <v>FY28E</v>
      </c>
      <c r="EG419" s="76" t="str">
        <f t="shared" si="2197"/>
        <v>1H29E</v>
      </c>
      <c r="EH419" s="76" t="str">
        <f t="shared" si="2197"/>
        <v>2H29E</v>
      </c>
      <c r="EI419" s="1089" t="str">
        <f t="shared" si="2197"/>
        <v>FY29E</v>
      </c>
      <c r="EJ419" s="76" t="str">
        <f t="shared" si="2197"/>
        <v>1H30E</v>
      </c>
      <c r="EK419" s="76" t="str">
        <f t="shared" si="2197"/>
        <v>2H30E</v>
      </c>
      <c r="EL419" s="1089" t="str">
        <f t="shared" si="2197"/>
        <v>FY30E</v>
      </c>
      <c r="EM419" s="76" t="str">
        <f t="shared" si="2197"/>
        <v>1H31E</v>
      </c>
      <c r="EN419" s="76" t="str">
        <f t="shared" si="2197"/>
        <v>2H31E</v>
      </c>
      <c r="EO419" s="1089" t="str">
        <f t="shared" si="2197"/>
        <v>FY31E</v>
      </c>
      <c r="EP419" s="76" t="str">
        <f t="shared" si="2197"/>
        <v>1H32E</v>
      </c>
      <c r="EQ419" s="76" t="str">
        <f t="shared" si="2197"/>
        <v>2H32E</v>
      </c>
      <c r="ER419" s="1089" t="str">
        <f t="shared" si="2197"/>
        <v>FY32E</v>
      </c>
      <c r="ES419" s="76" t="str">
        <f t="shared" ref="ES419:EX419" si="2198">ES2</f>
        <v>1H33E</v>
      </c>
      <c r="ET419" s="76" t="str">
        <f t="shared" si="2198"/>
        <v>2H33E</v>
      </c>
      <c r="EU419" s="1089" t="str">
        <f t="shared" si="2198"/>
        <v>FY33E</v>
      </c>
      <c r="EV419" s="76" t="str">
        <f t="shared" si="2198"/>
        <v>1H34E</v>
      </c>
      <c r="EW419" s="76" t="str">
        <f t="shared" si="2198"/>
        <v>2H34E</v>
      </c>
      <c r="EX419" s="1089" t="str">
        <f t="shared" si="2198"/>
        <v>FY34E</v>
      </c>
      <c r="EY419" s="76" t="str">
        <f t="shared" ref="EY419:FA419" si="2199">EY2</f>
        <v>1H35E</v>
      </c>
      <c r="EZ419" s="76" t="str">
        <f t="shared" si="2199"/>
        <v>2H35E</v>
      </c>
      <c r="FA419" s="1089" t="str">
        <f t="shared" si="2199"/>
        <v>FY35E</v>
      </c>
    </row>
    <row r="420" spans="1:157" outlineLevel="1">
      <c r="A420" s="1432"/>
      <c r="B420" s="31" t="s">
        <v>316</v>
      </c>
      <c r="D420" s="162" t="s">
        <v>604</v>
      </c>
      <c r="BA420" s="199"/>
      <c r="BB420" s="199"/>
      <c r="BC420" s="1039"/>
      <c r="BD420" s="199">
        <f>BD170</f>
        <v>56.4</v>
      </c>
      <c r="BE420" s="199">
        <f>BE170</f>
        <v>63.199999999999996</v>
      </c>
      <c r="BF420" s="1039">
        <f>SUM(BD420:BE420)</f>
        <v>119.6</v>
      </c>
      <c r="BG420" s="199">
        <f>BG170</f>
        <v>78.40000000000002</v>
      </c>
      <c r="BH420" s="199">
        <f>BH170</f>
        <v>69.539360369826895</v>
      </c>
      <c r="BI420" s="1039">
        <f>SUM(BG420:BH420)</f>
        <v>147.93936036982691</v>
      </c>
      <c r="BJ420" s="199">
        <f>BJ170</f>
        <v>56.63791603102743</v>
      </c>
      <c r="BK420" s="199">
        <f>BK170</f>
        <v>52.493355474444471</v>
      </c>
      <c r="BL420" s="1039">
        <f>SUM(BJ420:BK420)</f>
        <v>109.1312715054719</v>
      </c>
      <c r="BM420" s="199">
        <f>BM170</f>
        <v>72.693793754766887</v>
      </c>
      <c r="BN420" s="199">
        <f>BN170</f>
        <v>76.751189838432722</v>
      </c>
      <c r="BO420" s="1039">
        <f>SUM(BM420:BN420)</f>
        <v>149.44498359319959</v>
      </c>
      <c r="BP420" s="199">
        <f>BP170</f>
        <v>85.894617382658495</v>
      </c>
      <c r="BQ420" s="199">
        <f>BQ170</f>
        <v>92.449769259354341</v>
      </c>
      <c r="BR420" s="1039">
        <f>SUM(BP420:BQ420)</f>
        <v>178.34438664201284</v>
      </c>
      <c r="BS420" s="199">
        <f>BS170</f>
        <v>112.51102611461221</v>
      </c>
      <c r="BT420" s="199">
        <f>BT170</f>
        <v>112.94234267391849</v>
      </c>
      <c r="BU420" s="199">
        <f>SUM(BS420:BT420)</f>
        <v>225.4533687885307</v>
      </c>
      <c r="BV420" s="199">
        <f>BV170</f>
        <v>106.23251540312218</v>
      </c>
      <c r="BW420" s="199">
        <f>BW170</f>
        <v>101.61314021185328</v>
      </c>
      <c r="BX420" s="199">
        <f>SUM(BV420:BW420)</f>
        <v>207.84565561497544</v>
      </c>
      <c r="BY420" s="199">
        <f>BY170</f>
        <v>132.8803049972133</v>
      </c>
      <c r="BZ420" s="199">
        <f>BZ170</f>
        <v>138.01266211941768</v>
      </c>
      <c r="CA420" s="199">
        <f>SUM(BY420:BZ420)</f>
        <v>270.89296711663098</v>
      </c>
      <c r="CB420" s="199">
        <f>CB170</f>
        <v>131.86818972034055</v>
      </c>
      <c r="CC420" s="199">
        <f>CC170</f>
        <v>145.59791193744326</v>
      </c>
      <c r="CD420" s="199">
        <f>SUM(CB420:CC420)</f>
        <v>277.46610165778384</v>
      </c>
      <c r="CE420" s="199">
        <f>CE170</f>
        <v>148.08035618275719</v>
      </c>
      <c r="CF420" s="199">
        <f>CF170</f>
        <v>140.93018242267829</v>
      </c>
      <c r="CG420" s="199">
        <f>SUM(CE420:CF420)</f>
        <v>289.0105386054355</v>
      </c>
      <c r="CH420" s="199">
        <f>CH170</f>
        <v>136.87240794092111</v>
      </c>
      <c r="CI420" s="199">
        <f>CI170</f>
        <v>134.78041372572176</v>
      </c>
      <c r="CJ420" s="199">
        <f>SUM(CH420:CI420)</f>
        <v>271.65282166664286</v>
      </c>
      <c r="CK420" s="199">
        <f>CK170</f>
        <v>137.18672716164451</v>
      </c>
      <c r="CL420" s="199">
        <f>CL170</f>
        <v>119.35725511390577</v>
      </c>
      <c r="CM420" s="199">
        <f>SUM(CK420:CL420)</f>
        <v>256.54398227555026</v>
      </c>
      <c r="CN420" s="199">
        <f>CN170</f>
        <v>134.469870426049</v>
      </c>
      <c r="CO420" s="199">
        <f>CO170</f>
        <v>154.28706545819261</v>
      </c>
      <c r="CP420" s="199">
        <f>SUM(CN420:CO420)</f>
        <v>288.75693588424161</v>
      </c>
      <c r="CQ420" s="199">
        <f>CQ170</f>
        <v>195.30000000000004</v>
      </c>
      <c r="CR420" s="199">
        <f>CR170</f>
        <v>207.66200000000001</v>
      </c>
      <c r="CS420" s="199">
        <f>SUM(CQ420:CR420)</f>
        <v>402.96200000000005</v>
      </c>
      <c r="CT420" s="199">
        <f>CT170</f>
        <v>264.08099999999979</v>
      </c>
      <c r="CU420" s="199">
        <f>CU170</f>
        <v>254.86247489404531</v>
      </c>
      <c r="CV420" s="199">
        <f>SUM(CT420:CU420)</f>
        <v>518.94347489404504</v>
      </c>
      <c r="CW420" s="199">
        <f>CW170</f>
        <v>285.1017225171783</v>
      </c>
      <c r="CX420" s="199">
        <f>CX170</f>
        <v>309.90436261424088</v>
      </c>
      <c r="CY420" s="199">
        <f>SUM(CW420:CX420)</f>
        <v>595.00608513141924</v>
      </c>
      <c r="CZ420" s="199">
        <f>CZ170</f>
        <v>318.00386487389784</v>
      </c>
      <c r="DA420" s="199">
        <f>DA170</f>
        <v>326.03352872423079</v>
      </c>
      <c r="DB420" s="199">
        <f>SUM(CZ420:DA420)</f>
        <v>644.03739359812857</v>
      </c>
      <c r="DC420" s="199">
        <f>DC170</f>
        <v>349.04064631654632</v>
      </c>
      <c r="DD420" s="199">
        <f>DD170</f>
        <v>337.83457328053868</v>
      </c>
      <c r="DE420" s="199">
        <f>SUM(DC420:DD420)</f>
        <v>686.87521959708499</v>
      </c>
      <c r="DF420" s="199">
        <f>DF170</f>
        <v>380.27593374861743</v>
      </c>
      <c r="DG420" s="199">
        <f>DG170</f>
        <v>271.45684696139153</v>
      </c>
      <c r="DH420" s="1090">
        <f>SUM(DF420:DG420)</f>
        <v>651.73278071000891</v>
      </c>
      <c r="DI420" s="199">
        <f>DI170</f>
        <v>375.7</v>
      </c>
      <c r="DJ420" s="199">
        <f>DJ170</f>
        <v>349.09999999999997</v>
      </c>
      <c r="DK420" s="1090">
        <f>SUM(DI420:DJ420)</f>
        <v>724.8</v>
      </c>
      <c r="DL420" s="278">
        <f>DL170</f>
        <v>388.4</v>
      </c>
      <c r="DM420" s="278">
        <f>DM170</f>
        <v>391.30000000000007</v>
      </c>
      <c r="DN420" s="1090">
        <f>SUM(DL420:DM420)</f>
        <v>779.7</v>
      </c>
      <c r="DO420" s="278">
        <f>DO170</f>
        <v>444.5</v>
      </c>
      <c r="DP420" s="278">
        <f>DP170</f>
        <v>533.79999999999995</v>
      </c>
      <c r="DQ420" s="1090">
        <f>SUM(DO420:DP420)</f>
        <v>978.3</v>
      </c>
      <c r="DR420" s="278">
        <f>DR170</f>
        <v>585.4</v>
      </c>
      <c r="DS420" s="278">
        <f>DS170</f>
        <v>555.30000000000007</v>
      </c>
      <c r="DT420" s="1090">
        <f>SUM(DR420:DS420)</f>
        <v>1140.7</v>
      </c>
      <c r="DU420" s="278">
        <f>DU170</f>
        <v>580.70000000000005</v>
      </c>
      <c r="DV420" s="278">
        <f>DV170</f>
        <v>556.59999999999991</v>
      </c>
      <c r="DW420" s="1090">
        <f>SUM(DU420:DV420)</f>
        <v>1137.3</v>
      </c>
      <c r="DX420" s="278">
        <f>DX170</f>
        <v>596.5</v>
      </c>
      <c r="DY420" s="278">
        <f>DY170</f>
        <v>596.69230915624166</v>
      </c>
      <c r="DZ420" s="1090">
        <f>SUM(DX420:DY420)</f>
        <v>1193.1923091562417</v>
      </c>
      <c r="EA420" s="278">
        <f>EA170</f>
        <v>689.01133155212005</v>
      </c>
      <c r="EB420" s="278">
        <f>EB170</f>
        <v>637.91369454965729</v>
      </c>
      <c r="EC420" s="1090">
        <f>SUM(EA420:EB420)</f>
        <v>1326.9250261017773</v>
      </c>
      <c r="ED420" s="278">
        <f>ED170</f>
        <v>749.56898975296417</v>
      </c>
      <c r="EE420" s="278">
        <f>EE170</f>
        <v>693.98499866664395</v>
      </c>
      <c r="EF420" s="1090">
        <f>SUM(ED420:EE420)</f>
        <v>1443.5539884196082</v>
      </c>
      <c r="EG420" s="278">
        <f>EG170</f>
        <v>817.03019883073102</v>
      </c>
      <c r="EH420" s="278">
        <f>EH170</f>
        <v>756.44364854664195</v>
      </c>
      <c r="EI420" s="1090">
        <f>SUM(EG420:EH420)</f>
        <v>1573.473847377373</v>
      </c>
      <c r="EJ420" s="278">
        <f>EJ170</f>
        <v>890.56291672549685</v>
      </c>
      <c r="EK420" s="278">
        <f>EK170</f>
        <v>824.52357691583984</v>
      </c>
      <c r="EL420" s="1090">
        <f>SUM(EJ420:EK420)</f>
        <v>1715.0864936413368</v>
      </c>
      <c r="EM420" s="278">
        <f>EM170</f>
        <v>970.71357923079165</v>
      </c>
      <c r="EN420" s="278">
        <f>EN170</f>
        <v>898.73069883826543</v>
      </c>
      <c r="EO420" s="1090">
        <f>SUM(EM420:EN420)</f>
        <v>1869.444278069057</v>
      </c>
      <c r="EP420" s="278">
        <f>EP170</f>
        <v>1058.0778013615629</v>
      </c>
      <c r="EQ420" s="278">
        <f>EQ170</f>
        <v>979.61646173370934</v>
      </c>
      <c r="ER420" s="1090">
        <f>SUM(EP420:EQ420)</f>
        <v>2037.6942630952722</v>
      </c>
      <c r="ES420" s="278">
        <f>ES170</f>
        <v>1153.3048034841038</v>
      </c>
      <c r="ET420" s="278">
        <f>ET170</f>
        <v>1067.7819432897434</v>
      </c>
      <c r="EU420" s="1090">
        <f>SUM(ES420:ET420)</f>
        <v>2221.0867467738472</v>
      </c>
      <c r="EV420" s="278">
        <f>EV170</f>
        <v>1257.1022357976731</v>
      </c>
      <c r="EW420" s="278">
        <f>EW170</f>
        <v>1163.8823181858202</v>
      </c>
      <c r="EX420" s="1090">
        <f>SUM(EV420:EW420)</f>
        <v>2420.9845539834932</v>
      </c>
      <c r="EY420" s="278">
        <f>EY170</f>
        <v>1370.2414370194638</v>
      </c>
      <c r="EZ420" s="278">
        <f>EZ170</f>
        <v>1268.6317268225444</v>
      </c>
      <c r="FA420" s="1090">
        <f>SUM(EY420:EZ420)</f>
        <v>2638.8731638420081</v>
      </c>
    </row>
    <row r="421" spans="1:157" outlineLevel="1">
      <c r="A421" s="1432"/>
      <c r="B421" s="31"/>
      <c r="C421" s="35" t="s">
        <v>209</v>
      </c>
      <c r="D421" s="162" t="s">
        <v>460</v>
      </c>
      <c r="BA421" s="200"/>
      <c r="BB421" s="200"/>
      <c r="BC421" s="1040"/>
      <c r="BD421" s="73"/>
      <c r="BE421" s="73"/>
      <c r="BF421" s="73"/>
      <c r="BG421" s="73">
        <f t="shared" ref="BG421:CL421" si="2200">BG420/BD420-1</f>
        <v>0.39007092198581605</v>
      </c>
      <c r="BH421" s="73">
        <f t="shared" si="2200"/>
        <v>0.10030633496561547</v>
      </c>
      <c r="BI421" s="73">
        <f t="shared" si="2200"/>
        <v>0.23695117366076013</v>
      </c>
      <c r="BJ421" s="73">
        <f t="shared" si="2200"/>
        <v>-0.27757760164505851</v>
      </c>
      <c r="BK421" s="73">
        <f t="shared" si="2200"/>
        <v>-0.24512743293478267</v>
      </c>
      <c r="BL421" s="73">
        <f t="shared" si="2200"/>
        <v>-0.26232429805928881</v>
      </c>
      <c r="BM421" s="73">
        <f t="shared" si="2200"/>
        <v>0.28348284769064791</v>
      </c>
      <c r="BN421" s="73">
        <f t="shared" si="2200"/>
        <v>0.4621124739453506</v>
      </c>
      <c r="BO421" s="73">
        <f t="shared" si="2200"/>
        <v>0.36940568483806535</v>
      </c>
      <c r="BP421" s="73">
        <f t="shared" si="2200"/>
        <v>0.18159491953913842</v>
      </c>
      <c r="BQ421" s="73">
        <f t="shared" si="2200"/>
        <v>0.20453858049586415</v>
      </c>
      <c r="BR421" s="73">
        <f t="shared" si="2200"/>
        <v>0.19337820751133128</v>
      </c>
      <c r="BS421" s="73">
        <f t="shared" si="2200"/>
        <v>0.30987283654083053</v>
      </c>
      <c r="BT421" s="73">
        <f t="shared" si="2200"/>
        <v>0.22166170428262744</v>
      </c>
      <c r="BU421" s="73">
        <f t="shared" si="2200"/>
        <v>0.26414614462230768</v>
      </c>
      <c r="BV421" s="73">
        <f t="shared" si="2200"/>
        <v>-5.580351480480028E-2</v>
      </c>
      <c r="BW421" s="73">
        <f t="shared" si="2200"/>
        <v>-0.10030961102670166</v>
      </c>
      <c r="BX421" s="73">
        <f t="shared" si="2200"/>
        <v>-7.809913539181057E-2</v>
      </c>
      <c r="BY421" s="73">
        <f t="shared" si="2200"/>
        <v>0.25084400470957813</v>
      </c>
      <c r="BZ421" s="73">
        <f t="shared" si="2200"/>
        <v>0.35821668173697829</v>
      </c>
      <c r="CA421" s="73">
        <f t="shared" si="2200"/>
        <v>0.30333716293039958</v>
      </c>
      <c r="CB421" s="73">
        <f t="shared" si="2200"/>
        <v>-7.6167440832858313E-3</v>
      </c>
      <c r="CC421" s="73">
        <f t="shared" si="2200"/>
        <v>5.4960535515663933E-2</v>
      </c>
      <c r="CD421" s="73">
        <f t="shared" si="2200"/>
        <v>2.4264692476578142E-2</v>
      </c>
      <c r="CE421" s="73">
        <f t="shared" si="2200"/>
        <v>0.12294220840369907</v>
      </c>
      <c r="CF421" s="73">
        <f t="shared" si="2200"/>
        <v>-3.2059041593745397E-2</v>
      </c>
      <c r="CG421" s="73">
        <f t="shared" si="2200"/>
        <v>4.1606657096765476E-2</v>
      </c>
      <c r="CH421" s="73">
        <f t="shared" si="2200"/>
        <v>-7.5688285271298894E-2</v>
      </c>
      <c r="CI421" s="73">
        <f t="shared" si="2200"/>
        <v>-4.3636988125880127E-2</v>
      </c>
      <c r="CJ421" s="73">
        <f t="shared" si="2200"/>
        <v>-6.0059114185070706E-2</v>
      </c>
      <c r="CK421" s="73">
        <f t="shared" si="2200"/>
        <v>2.2964396217759475E-3</v>
      </c>
      <c r="CL421" s="73">
        <f t="shared" si="2200"/>
        <v>-0.11443175002565387</v>
      </c>
      <c r="CM421" s="73">
        <f t="shared" ref="CM421:DR421" si="2201">CM420/CJ420-1</f>
        <v>-5.5618194202426974E-2</v>
      </c>
      <c r="CN421" s="73">
        <f t="shared" si="2201"/>
        <v>-1.9804078658384294E-2</v>
      </c>
      <c r="CO421" s="73">
        <f t="shared" si="2201"/>
        <v>0.29264924290486083</v>
      </c>
      <c r="CP421" s="73">
        <f t="shared" si="2201"/>
        <v>0.12556503303239386</v>
      </c>
      <c r="CQ421" s="73">
        <f t="shared" si="2201"/>
        <v>0.4523699575318938</v>
      </c>
      <c r="CR421" s="73">
        <f t="shared" si="2201"/>
        <v>0.34594562015485653</v>
      </c>
      <c r="CS421" s="73">
        <f t="shared" si="2201"/>
        <v>0.39550587336036003</v>
      </c>
      <c r="CT421" s="73">
        <f t="shared" si="2201"/>
        <v>0.35218125960061308</v>
      </c>
      <c r="CU421" s="73">
        <f t="shared" si="2201"/>
        <v>0.22729471397773926</v>
      </c>
      <c r="CV421" s="73">
        <f t="shared" si="2201"/>
        <v>0.28782236263976491</v>
      </c>
      <c r="CW421" s="73">
        <f t="shared" si="2201"/>
        <v>7.9599526346759264E-2</v>
      </c>
      <c r="CX421" s="73">
        <f t="shared" si="2201"/>
        <v>0.21596701414391539</v>
      </c>
      <c r="CY421" s="73">
        <f t="shared" si="2201"/>
        <v>0.14657205248202465</v>
      </c>
      <c r="CZ421" s="73">
        <f t="shared" si="2201"/>
        <v>0.11540492307876904</v>
      </c>
      <c r="DA421" s="73">
        <f t="shared" si="2201"/>
        <v>5.2045624572465199E-2</v>
      </c>
      <c r="DB421" s="73">
        <f t="shared" si="2201"/>
        <v>8.2404717686004547E-2</v>
      </c>
      <c r="DC421" s="73">
        <f t="shared" si="2201"/>
        <v>9.7598755458383701E-2</v>
      </c>
      <c r="DD421" s="73">
        <f t="shared" si="2201"/>
        <v>3.6195800482500706E-2</v>
      </c>
      <c r="DE421" s="73">
        <f t="shared" si="2201"/>
        <v>6.6514501214950617E-2</v>
      </c>
      <c r="DF421" s="73">
        <f t="shared" si="2201"/>
        <v>8.9488968582025041E-2</v>
      </c>
      <c r="DG421" s="73">
        <f t="shared" si="2201"/>
        <v>-0.19647996850821692</v>
      </c>
      <c r="DH421" s="1091">
        <f t="shared" si="2201"/>
        <v>-5.1162770011837555E-2</v>
      </c>
      <c r="DI421" s="73">
        <f t="shared" si="2201"/>
        <v>-1.2033193117191532E-2</v>
      </c>
      <c r="DJ421" s="73">
        <f t="shared" si="2201"/>
        <v>0.28602392574629509</v>
      </c>
      <c r="DK421" s="1091">
        <f t="shared" si="2201"/>
        <v>0.11211223595411357</v>
      </c>
      <c r="DL421" s="73">
        <f t="shared" si="2201"/>
        <v>3.3803566675538965E-2</v>
      </c>
      <c r="DM421" s="73">
        <f t="shared" si="2201"/>
        <v>0.12088226869091989</v>
      </c>
      <c r="DN421" s="1091">
        <f t="shared" si="2201"/>
        <v>7.5745033112582849E-2</v>
      </c>
      <c r="DO421" s="73">
        <f t="shared" si="2201"/>
        <v>0.14443872296601445</v>
      </c>
      <c r="DP421" s="73">
        <f t="shared" si="2201"/>
        <v>0.36417071300792192</v>
      </c>
      <c r="DQ421" s="1091">
        <f t="shared" si="2201"/>
        <v>0.25471335128895722</v>
      </c>
      <c r="DR421" s="73">
        <f t="shared" si="2201"/>
        <v>0.31698537682789651</v>
      </c>
      <c r="DS421" s="73">
        <f t="shared" ref="DS421:EF421" si="2202">DS420/DP420-1</f>
        <v>4.027725739977539E-2</v>
      </c>
      <c r="DT421" s="1091">
        <f t="shared" si="2202"/>
        <v>0.16600224879893699</v>
      </c>
      <c r="DU421" s="73">
        <f t="shared" si="2202"/>
        <v>-8.0286983259308942E-3</v>
      </c>
      <c r="DV421" s="73">
        <f t="shared" si="2202"/>
        <v>2.3410768953715522E-3</v>
      </c>
      <c r="DW421" s="1091">
        <f t="shared" si="2202"/>
        <v>-2.9806259314456574E-3</v>
      </c>
      <c r="DX421" s="73">
        <f t="shared" si="2202"/>
        <v>2.7208541415532972E-2</v>
      </c>
      <c r="DY421" s="73">
        <f t="shared" si="2202"/>
        <v>7.2030738692493212E-2</v>
      </c>
      <c r="DZ421" s="1091">
        <f t="shared" si="2202"/>
        <v>4.9144736794374033E-2</v>
      </c>
      <c r="EA421" s="73">
        <f t="shared" si="2202"/>
        <v>0.15509024568670582</v>
      </c>
      <c r="EB421" s="73">
        <f t="shared" si="2202"/>
        <v>6.9083151837008083E-2</v>
      </c>
      <c r="EC421" s="1091">
        <f t="shared" si="2202"/>
        <v>0.11207976779543949</v>
      </c>
      <c r="ED421" s="73">
        <f t="shared" si="2202"/>
        <v>8.7890656405355871E-2</v>
      </c>
      <c r="EE421" s="73">
        <f t="shared" si="2202"/>
        <v>8.7897947004525134E-2</v>
      </c>
      <c r="EF421" s="1091">
        <f t="shared" si="2202"/>
        <v>8.7894161330623E-2</v>
      </c>
      <c r="EG421" s="73">
        <f t="shared" ref="EG421:EL421" si="2203">EG420/ED420-1</f>
        <v>9.000000000000008E-2</v>
      </c>
      <c r="EH421" s="73">
        <f t="shared" si="2203"/>
        <v>9.000000000000008E-2</v>
      </c>
      <c r="EI421" s="1091">
        <f t="shared" si="2203"/>
        <v>9.000000000000008E-2</v>
      </c>
      <c r="EJ421" s="73">
        <f t="shared" si="2203"/>
        <v>9.000000000000008E-2</v>
      </c>
      <c r="EK421" s="73">
        <f t="shared" si="2203"/>
        <v>9.000000000000008E-2</v>
      </c>
      <c r="EL421" s="1091">
        <f t="shared" si="2203"/>
        <v>9.000000000000008E-2</v>
      </c>
      <c r="EM421" s="73">
        <f t="shared" ref="EM421:ER421" si="2204">EM420/EJ420-1</f>
        <v>9.000000000000008E-2</v>
      </c>
      <c r="EN421" s="73">
        <f t="shared" si="2204"/>
        <v>9.000000000000008E-2</v>
      </c>
      <c r="EO421" s="1091">
        <f t="shared" si="2204"/>
        <v>8.9999999999999858E-2</v>
      </c>
      <c r="EP421" s="73">
        <f t="shared" si="2204"/>
        <v>9.000000000000008E-2</v>
      </c>
      <c r="EQ421" s="73">
        <f t="shared" si="2204"/>
        <v>9.000000000000008E-2</v>
      </c>
      <c r="ER421" s="1091">
        <f t="shared" si="2204"/>
        <v>9.000000000000008E-2</v>
      </c>
      <c r="ES421" s="73">
        <f t="shared" ref="ES421" si="2205">ES420/EP420-1</f>
        <v>9.000000000000008E-2</v>
      </c>
      <c r="ET421" s="73">
        <f t="shared" ref="ET421" si="2206">ET420/EQ420-1</f>
        <v>9.000000000000008E-2</v>
      </c>
      <c r="EU421" s="1091">
        <f t="shared" ref="EU421" si="2207">EU420/ER420-1</f>
        <v>9.0000000000000302E-2</v>
      </c>
      <c r="EV421" s="73">
        <f t="shared" ref="EV421" si="2208">EV420/ES420-1</f>
        <v>8.9999999999999858E-2</v>
      </c>
      <c r="EW421" s="73">
        <f t="shared" ref="EW421" si="2209">EW420/ET420-1</f>
        <v>8.9999999999999858E-2</v>
      </c>
      <c r="EX421" s="1091">
        <f t="shared" ref="EX421" si="2210">EX420/EU420-1</f>
        <v>8.9999999999999858E-2</v>
      </c>
      <c r="EY421" s="73">
        <f t="shared" ref="EY421" si="2211">EY420/EV420-1</f>
        <v>9.000000000000008E-2</v>
      </c>
      <c r="EZ421" s="73">
        <f t="shared" ref="EZ421" si="2212">EZ420/EW420-1</f>
        <v>9.0000000000000302E-2</v>
      </c>
      <c r="FA421" s="1091">
        <f t="shared" ref="FA421" si="2213">FA420/EX420-1</f>
        <v>9.0000000000000302E-2</v>
      </c>
    </row>
    <row r="422" spans="1:157" outlineLevel="1">
      <c r="A422" s="1432"/>
      <c r="B422" s="31" t="s">
        <v>394</v>
      </c>
      <c r="D422" s="162" t="s">
        <v>604</v>
      </c>
      <c r="BA422" s="199"/>
      <c r="BB422" s="199"/>
      <c r="BC422" s="1039"/>
      <c r="BD422" s="199">
        <f>BD262</f>
        <v>39.4</v>
      </c>
      <c r="BE422" s="199">
        <f>BE262</f>
        <v>47.9</v>
      </c>
      <c r="BF422" s="1039">
        <f>SUM(BD422:BE422)</f>
        <v>87.3</v>
      </c>
      <c r="BG422" s="199">
        <f>BG262</f>
        <v>42.099999999999994</v>
      </c>
      <c r="BH422" s="199">
        <f>BH262</f>
        <v>48.746712650926533</v>
      </c>
      <c r="BI422" s="1039">
        <f>SUM(BG422:BH422)</f>
        <v>90.84671265092652</v>
      </c>
      <c r="BJ422" s="199">
        <f>BJ262</f>
        <v>40.418469866666676</v>
      </c>
      <c r="BK422" s="199">
        <f>BK262</f>
        <v>52.850057306154014</v>
      </c>
      <c r="BL422" s="1039">
        <f>SUM(BJ422:BK422)</f>
        <v>93.268527172820683</v>
      </c>
      <c r="BM422" s="199">
        <f>BM262</f>
        <v>71.91695058143948</v>
      </c>
      <c r="BN422" s="199">
        <f>BN262</f>
        <v>69.181241904850779</v>
      </c>
      <c r="BO422" s="1039">
        <f>SUM(BM422:BN422)</f>
        <v>141.09819248629026</v>
      </c>
      <c r="BP422" s="199">
        <f>BP262</f>
        <v>81.402047298918376</v>
      </c>
      <c r="BQ422" s="199">
        <f>BQ262</f>
        <v>91.284115400708117</v>
      </c>
      <c r="BR422" s="1039">
        <f>SUM(BP422:BQ422)</f>
        <v>172.68616269962649</v>
      </c>
      <c r="BS422" s="199">
        <f>BS262</f>
        <v>103.66100000000003</v>
      </c>
      <c r="BT422" s="199">
        <f>BT262</f>
        <v>109.33099999999999</v>
      </c>
      <c r="BU422" s="199">
        <f>SUM(BS422:BT422)</f>
        <v>212.99200000000002</v>
      </c>
      <c r="BV422" s="199">
        <f>BV262</f>
        <v>122.33999999999997</v>
      </c>
      <c r="BW422" s="199">
        <f>BW262</f>
        <v>134.864</v>
      </c>
      <c r="BX422" s="199">
        <f>SUM(BV422:BW422)</f>
        <v>257.20399999999995</v>
      </c>
      <c r="BY422" s="199">
        <f>BY262</f>
        <v>153.03500000000003</v>
      </c>
      <c r="BZ422" s="199">
        <f>BZ262</f>
        <v>165.86407930632748</v>
      </c>
      <c r="CA422" s="199">
        <f>SUM(BY422:BZ422)</f>
        <v>318.89907930632751</v>
      </c>
      <c r="CB422" s="199">
        <f>CB262</f>
        <v>141.65127317849581</v>
      </c>
      <c r="CC422" s="199">
        <f>CC262</f>
        <v>149.80495750343681</v>
      </c>
      <c r="CD422" s="199">
        <f>SUM(CB422:CC422)</f>
        <v>291.45623068193265</v>
      </c>
      <c r="CE422" s="199">
        <f>CE262</f>
        <v>136.48341472738267</v>
      </c>
      <c r="CF422" s="199">
        <f>CF262</f>
        <v>156.84796525965757</v>
      </c>
      <c r="CG422" s="199">
        <f>SUM(CE422:CF422)</f>
        <v>293.33137998704024</v>
      </c>
      <c r="CH422" s="199">
        <f>CH262</f>
        <v>142.53402894437241</v>
      </c>
      <c r="CI422" s="199">
        <f>CI262</f>
        <v>142.15717988439917</v>
      </c>
      <c r="CJ422" s="199">
        <f>SUM(CH422:CI422)</f>
        <v>284.69120882877155</v>
      </c>
      <c r="CK422" s="199">
        <f>CK262</f>
        <v>140.1337479621574</v>
      </c>
      <c r="CL422" s="199">
        <f>CL262</f>
        <v>142.88915317012277</v>
      </c>
      <c r="CM422" s="199">
        <f>SUM(CK422:CL422)</f>
        <v>283.02290113228014</v>
      </c>
      <c r="CN422" s="199">
        <f>CN262</f>
        <v>169.14700000000002</v>
      </c>
      <c r="CO422" s="199">
        <f>CO262</f>
        <v>189.31246728727723</v>
      </c>
      <c r="CP422" s="199">
        <f>SUM(CN422:CO422)</f>
        <v>358.45946728727722</v>
      </c>
      <c r="CQ422" s="199">
        <f>CQ262</f>
        <v>181.59900000000002</v>
      </c>
      <c r="CR422" s="199">
        <f>CR262</f>
        <v>196.03299999999987</v>
      </c>
      <c r="CS422" s="199">
        <f>SUM(CQ422:CR422)</f>
        <v>377.63199999999989</v>
      </c>
      <c r="CT422" s="199">
        <f>CT262</f>
        <v>210.42000000000007</v>
      </c>
      <c r="CU422" s="199">
        <f>CU262</f>
        <v>216.79367478718441</v>
      </c>
      <c r="CV422" s="199">
        <f>SUM(CT422:CU422)</f>
        <v>427.21367478718446</v>
      </c>
      <c r="CW422" s="199">
        <f>CW262</f>
        <v>207.93084614446565</v>
      </c>
      <c r="CX422" s="199">
        <f>CX262</f>
        <v>220.59924270347557</v>
      </c>
      <c r="CY422" s="199">
        <f>SUM(CW422:CX422)</f>
        <v>428.53008884794122</v>
      </c>
      <c r="CZ422" s="199">
        <f>CZ262</f>
        <v>216.64801588843471</v>
      </c>
      <c r="DA422" s="199">
        <f>DA262</f>
        <v>253.57626191167182</v>
      </c>
      <c r="DB422" s="199">
        <f>SUM(CZ422:DA422)</f>
        <v>470.22427780010651</v>
      </c>
      <c r="DC422" s="199">
        <f>DC262</f>
        <v>247.48985048680964</v>
      </c>
      <c r="DD422" s="199">
        <f>DD262</f>
        <v>270.50546928892379</v>
      </c>
      <c r="DE422" s="199">
        <f>SUM(DC422:DD422)</f>
        <v>517.99531977573338</v>
      </c>
      <c r="DF422" s="199">
        <f>DF262</f>
        <v>261.32707543269834</v>
      </c>
      <c r="DG422" s="199">
        <f>DG262</f>
        <v>221.00965025852128</v>
      </c>
      <c r="DH422" s="1090">
        <f>SUM(DF422:DG422)</f>
        <v>482.33672569121961</v>
      </c>
      <c r="DI422" s="199">
        <f>DI262</f>
        <v>237.6</v>
      </c>
      <c r="DJ422" s="199">
        <f>DJ262</f>
        <v>280.10000000000002</v>
      </c>
      <c r="DK422" s="1090">
        <f>SUM(DI422:DJ422)</f>
        <v>517.70000000000005</v>
      </c>
      <c r="DL422" s="278">
        <f>DL262</f>
        <v>286.8</v>
      </c>
      <c r="DM422" s="278">
        <f>DM262</f>
        <v>291.7</v>
      </c>
      <c r="DN422" s="1090">
        <f>SUM(DL422:DM422)</f>
        <v>578.5</v>
      </c>
      <c r="DO422" s="278">
        <f>DO262</f>
        <v>286.7</v>
      </c>
      <c r="DP422" s="278">
        <f>DP262</f>
        <v>352.7</v>
      </c>
      <c r="DQ422" s="1090">
        <f>SUM(DO422:DP422)</f>
        <v>639.4</v>
      </c>
      <c r="DR422" s="278">
        <f>DR262</f>
        <v>352.5</v>
      </c>
      <c r="DS422" s="278">
        <f>DS262</f>
        <v>393.1</v>
      </c>
      <c r="DT422" s="1090">
        <f>SUM(DR422:DS422)</f>
        <v>745.6</v>
      </c>
      <c r="DU422" s="278">
        <f>DU262</f>
        <v>360.2</v>
      </c>
      <c r="DV422" s="278">
        <f>DV262</f>
        <v>429.50000000000006</v>
      </c>
      <c r="DW422" s="1090">
        <f>SUM(DU422:DV422)</f>
        <v>789.7</v>
      </c>
      <c r="DX422" s="278">
        <f>DX262</f>
        <v>371.7</v>
      </c>
      <c r="DY422" s="278">
        <f>DY262</f>
        <v>499.79270196035424</v>
      </c>
      <c r="DZ422" s="1090">
        <f>SUM(DX422:DY422)</f>
        <v>871.49270196035422</v>
      </c>
      <c r="EA422" s="278">
        <f>EA262</f>
        <v>436.76783041225252</v>
      </c>
      <c r="EB422" s="278">
        <f>EB262</f>
        <v>534.33440773847428</v>
      </c>
      <c r="EC422" s="1090">
        <f>SUM(EA422:EB422)</f>
        <v>971.10223815072686</v>
      </c>
      <c r="ED422" s="278">
        <f>ED262</f>
        <v>475.16730972901439</v>
      </c>
      <c r="EE422" s="278">
        <f>EE262</f>
        <v>581.31553601962753</v>
      </c>
      <c r="EF422" s="1090">
        <f>SUM(ED422:EE422)</f>
        <v>1056.4828457486419</v>
      </c>
      <c r="EG422" s="278">
        <f>EG262</f>
        <v>517.93236760462571</v>
      </c>
      <c r="EH422" s="278">
        <f>EH262</f>
        <v>633.63393426139407</v>
      </c>
      <c r="EI422" s="1090">
        <f>SUM(EG422:EH422)</f>
        <v>1151.5663018660198</v>
      </c>
      <c r="EJ422" s="278">
        <f>EJ262</f>
        <v>564.54628068904208</v>
      </c>
      <c r="EK422" s="278">
        <f>EK262</f>
        <v>690.66098834491959</v>
      </c>
      <c r="EL422" s="1090">
        <f>SUM(EJ422:EK422)</f>
        <v>1255.2072690339617</v>
      </c>
      <c r="EM422" s="278">
        <f>EM262</f>
        <v>615.3554459510558</v>
      </c>
      <c r="EN422" s="278">
        <f>EN262</f>
        <v>752.82047729596241</v>
      </c>
      <c r="EO422" s="1090">
        <f>SUM(EM422:EN422)</f>
        <v>1368.1759232470181</v>
      </c>
      <c r="EP422" s="278">
        <f>EP262</f>
        <v>670.73743608665097</v>
      </c>
      <c r="EQ422" s="278">
        <f>EQ262</f>
        <v>820.57432025259914</v>
      </c>
      <c r="ER422" s="1090">
        <f>SUM(EP422:EQ422)</f>
        <v>1491.3117563392502</v>
      </c>
      <c r="ES422" s="278">
        <f>ES262</f>
        <v>731.10380533444959</v>
      </c>
      <c r="ET422" s="278">
        <f>ET262</f>
        <v>894.42600907533313</v>
      </c>
      <c r="EU422" s="1090">
        <f>SUM(ES422:ET422)</f>
        <v>1625.5298144097828</v>
      </c>
      <c r="EV422" s="278">
        <f>EV262</f>
        <v>796.90314781455015</v>
      </c>
      <c r="EW422" s="278">
        <f>EW262</f>
        <v>974.92434989211301</v>
      </c>
      <c r="EX422" s="1090">
        <f>SUM(EV422:EW422)</f>
        <v>1771.8274977066631</v>
      </c>
      <c r="EY422" s="278">
        <f>EY262</f>
        <v>868.62443111785979</v>
      </c>
      <c r="EZ422" s="278">
        <f>EZ262</f>
        <v>1062.6675413824034</v>
      </c>
      <c r="FA422" s="1090">
        <f>SUM(EY422:EZ422)</f>
        <v>1931.2919725002632</v>
      </c>
    </row>
    <row r="423" spans="1:157" outlineLevel="1">
      <c r="A423" s="1432"/>
      <c r="B423" s="31"/>
      <c r="C423" s="35" t="s">
        <v>209</v>
      </c>
      <c r="D423" s="162" t="s">
        <v>460</v>
      </c>
      <c r="BA423" s="200"/>
      <c r="BB423" s="200"/>
      <c r="BC423" s="1040"/>
      <c r="BD423" s="73"/>
      <c r="BE423" s="73"/>
      <c r="BF423" s="73"/>
      <c r="BG423" s="73">
        <f t="shared" ref="BG423:CL423" si="2214">BG422/BD422-1</f>
        <v>6.8527918781725816E-2</v>
      </c>
      <c r="BH423" s="73">
        <f t="shared" si="2214"/>
        <v>1.7676673297004841E-2</v>
      </c>
      <c r="BI423" s="73">
        <f t="shared" si="2214"/>
        <v>4.0626719941884604E-2</v>
      </c>
      <c r="BJ423" s="73">
        <f t="shared" si="2214"/>
        <v>-3.994133333333294E-2</v>
      </c>
      <c r="BK423" s="73">
        <f t="shared" si="2214"/>
        <v>8.4176848695652229E-2</v>
      </c>
      <c r="BL423" s="73">
        <f t="shared" si="2214"/>
        <v>2.6658251589134041E-2</v>
      </c>
      <c r="BM423" s="73">
        <f t="shared" si="2214"/>
        <v>0.77930908366102614</v>
      </c>
      <c r="BN423" s="73">
        <f t="shared" si="2214"/>
        <v>0.30900978033178239</v>
      </c>
      <c r="BO423" s="73">
        <f t="shared" si="2214"/>
        <v>0.51281677499682421</v>
      </c>
      <c r="BP423" s="73">
        <f t="shared" si="2214"/>
        <v>0.13188958431625775</v>
      </c>
      <c r="BQ423" s="73">
        <f t="shared" si="2214"/>
        <v>0.31949229136789392</v>
      </c>
      <c r="BR423" s="73">
        <f t="shared" si="2214"/>
        <v>0.2238722527675574</v>
      </c>
      <c r="BS423" s="73">
        <f t="shared" si="2214"/>
        <v>0.27344462995315122</v>
      </c>
      <c r="BT423" s="73">
        <f t="shared" si="2214"/>
        <v>0.19770016415311487</v>
      </c>
      <c r="BU423" s="73">
        <f t="shared" si="2214"/>
        <v>0.23340513605877189</v>
      </c>
      <c r="BV423" s="73">
        <f t="shared" si="2214"/>
        <v>0.18019312952797994</v>
      </c>
      <c r="BW423" s="73">
        <f t="shared" si="2214"/>
        <v>0.23353852063916025</v>
      </c>
      <c r="BX423" s="73">
        <f t="shared" si="2214"/>
        <v>0.20757587139423039</v>
      </c>
      <c r="BY423" s="73">
        <f t="shared" si="2214"/>
        <v>0.25089913356220417</v>
      </c>
      <c r="BZ423" s="73">
        <f t="shared" si="2214"/>
        <v>0.22986178154531589</v>
      </c>
      <c r="CA423" s="73">
        <f t="shared" si="2214"/>
        <v>0.2398682730685664</v>
      </c>
      <c r="CB423" s="73">
        <f t="shared" si="2214"/>
        <v>-7.4386426774948333E-2</v>
      </c>
      <c r="CC423" s="73">
        <f t="shared" si="2214"/>
        <v>-9.6820974559728157E-2</v>
      </c>
      <c r="CD423" s="73">
        <f t="shared" si="2214"/>
        <v>-8.6054963482769531E-2</v>
      </c>
      <c r="CE423" s="73">
        <f t="shared" si="2214"/>
        <v>-3.6482965067324846E-2</v>
      </c>
      <c r="CF423" s="73">
        <f t="shared" si="2214"/>
        <v>4.7014517233578079E-2</v>
      </c>
      <c r="CG423" s="73">
        <f t="shared" si="2214"/>
        <v>6.4337252311272852E-3</v>
      </c>
      <c r="CH423" s="73">
        <f t="shared" si="2214"/>
        <v>4.4332230616265456E-2</v>
      </c>
      <c r="CI423" s="73">
        <f t="shared" si="2214"/>
        <v>-9.3662581793383159E-2</v>
      </c>
      <c r="CJ423" s="73">
        <f t="shared" si="2214"/>
        <v>-2.9455325095632201E-2</v>
      </c>
      <c r="CK423" s="73">
        <f t="shared" si="2214"/>
        <v>-1.6840055669455456E-2</v>
      </c>
      <c r="CL423" s="73">
        <f t="shared" si="2214"/>
        <v>5.149041971139523E-3</v>
      </c>
      <c r="CM423" s="73">
        <f t="shared" ref="CM423:DR423" si="2215">CM422/CJ422-1</f>
        <v>-5.8600604611391827E-3</v>
      </c>
      <c r="CN423" s="73">
        <f t="shared" si="2215"/>
        <v>0.20703972069367294</v>
      </c>
      <c r="CO423" s="73">
        <f t="shared" si="2215"/>
        <v>0.3248903999163828</v>
      </c>
      <c r="CP423" s="73">
        <f t="shared" si="2215"/>
        <v>0.26653873539279171</v>
      </c>
      <c r="CQ423" s="73">
        <f t="shared" si="2215"/>
        <v>7.3616440137868278E-2</v>
      </c>
      <c r="CR423" s="73">
        <f t="shared" si="2215"/>
        <v>3.5499683718792863E-2</v>
      </c>
      <c r="CS423" s="73">
        <f t="shared" si="2215"/>
        <v>5.3485915319283261E-2</v>
      </c>
      <c r="CT423" s="73">
        <f t="shared" si="2215"/>
        <v>0.15870682107280354</v>
      </c>
      <c r="CU423" s="73">
        <f t="shared" si="2215"/>
        <v>0.10590397936666052</v>
      </c>
      <c r="CV423" s="73">
        <f t="shared" si="2215"/>
        <v>0.13129627464617566</v>
      </c>
      <c r="CW423" s="73">
        <f t="shared" si="2215"/>
        <v>-1.1829454688406127E-2</v>
      </c>
      <c r="CX423" s="73">
        <f t="shared" si="2215"/>
        <v>1.755386968751238E-2</v>
      </c>
      <c r="CY423" s="73">
        <f t="shared" si="2215"/>
        <v>3.0813949516306227E-3</v>
      </c>
      <c r="CZ423" s="73">
        <f t="shared" si="2215"/>
        <v>4.1923408217713787E-2</v>
      </c>
      <c r="DA423" s="73">
        <f t="shared" si="2215"/>
        <v>0.14948836090304818</v>
      </c>
      <c r="DB423" s="73">
        <f t="shared" si="2215"/>
        <v>9.7295825980984851E-2</v>
      </c>
      <c r="DC423" s="73">
        <f t="shared" si="2215"/>
        <v>0.1423591832673754</v>
      </c>
      <c r="DD423" s="73">
        <f t="shared" si="2215"/>
        <v>6.6761798796248994E-2</v>
      </c>
      <c r="DE423" s="73">
        <f t="shared" si="2215"/>
        <v>0.10159203646208681</v>
      </c>
      <c r="DF423" s="73">
        <f t="shared" si="2215"/>
        <v>5.5910272355294666E-2</v>
      </c>
      <c r="DG423" s="73">
        <f t="shared" si="2215"/>
        <v>-0.18297529865296958</v>
      </c>
      <c r="DH423" s="1091">
        <f t="shared" si="2215"/>
        <v>-6.8839606697512656E-2</v>
      </c>
      <c r="DI423" s="73">
        <f t="shared" si="2215"/>
        <v>-9.0794554653059523E-2</v>
      </c>
      <c r="DJ423" s="73">
        <f t="shared" si="2215"/>
        <v>0.26736547328299509</v>
      </c>
      <c r="DK423" s="1091">
        <f t="shared" si="2215"/>
        <v>7.3316569991850766E-2</v>
      </c>
      <c r="DL423" s="73">
        <f t="shared" si="2215"/>
        <v>0.20707070707070718</v>
      </c>
      <c r="DM423" s="73">
        <f t="shared" si="2215"/>
        <v>4.1413780792573851E-2</v>
      </c>
      <c r="DN423" s="1091">
        <f t="shared" si="2215"/>
        <v>0.11744253428626616</v>
      </c>
      <c r="DO423" s="73">
        <f t="shared" si="2215"/>
        <v>-3.4867503486757379E-4</v>
      </c>
      <c r="DP423" s="73">
        <f t="shared" si="2215"/>
        <v>0.20911895783339052</v>
      </c>
      <c r="DQ423" s="1091">
        <f t="shared" si="2215"/>
        <v>0.10527225583405353</v>
      </c>
      <c r="DR423" s="73">
        <f t="shared" si="2215"/>
        <v>0.22950819672131151</v>
      </c>
      <c r="DS423" s="73">
        <f t="shared" ref="DS423:EF423" si="2216">DS422/DP422-1</f>
        <v>0.11454493904167862</v>
      </c>
      <c r="DT423" s="1091">
        <f t="shared" si="2216"/>
        <v>0.16609321238661257</v>
      </c>
      <c r="DU423" s="73">
        <f t="shared" si="2216"/>
        <v>2.184397163120555E-2</v>
      </c>
      <c r="DV423" s="73">
        <f t="shared" si="2216"/>
        <v>9.259730348511841E-2</v>
      </c>
      <c r="DW423" s="1091">
        <f t="shared" si="2216"/>
        <v>5.9146995708154515E-2</v>
      </c>
      <c r="DX423" s="73">
        <f t="shared" si="2216"/>
        <v>3.1926707384786202E-2</v>
      </c>
      <c r="DY423" s="73">
        <f t="shared" si="2216"/>
        <v>0.16366170421502724</v>
      </c>
      <c r="DZ423" s="1091">
        <f t="shared" si="2216"/>
        <v>0.10357439782240618</v>
      </c>
      <c r="EA423" s="73">
        <f t="shared" si="2216"/>
        <v>0.17505469575532029</v>
      </c>
      <c r="EB423" s="73">
        <f t="shared" si="2216"/>
        <v>6.9112065147481916E-2</v>
      </c>
      <c r="EC423" s="1091">
        <f t="shared" si="2216"/>
        <v>0.1142976136992413</v>
      </c>
      <c r="ED423" s="73">
        <f t="shared" si="2216"/>
        <v>8.7917370838684894E-2</v>
      </c>
      <c r="EE423" s="73">
        <f t="shared" si="2216"/>
        <v>8.7924579815095383E-2</v>
      </c>
      <c r="EF423" s="1091">
        <f t="shared" si="2216"/>
        <v>8.792133746958064E-2</v>
      </c>
      <c r="EG423" s="73">
        <f t="shared" ref="EG423:EL423" si="2217">EG422/ED422-1</f>
        <v>9.000000000000008E-2</v>
      </c>
      <c r="EH423" s="73">
        <f t="shared" si="2217"/>
        <v>9.000000000000008E-2</v>
      </c>
      <c r="EI423" s="1091">
        <f t="shared" si="2217"/>
        <v>9.000000000000008E-2</v>
      </c>
      <c r="EJ423" s="73">
        <f t="shared" si="2217"/>
        <v>9.000000000000008E-2</v>
      </c>
      <c r="EK423" s="73">
        <f t="shared" si="2217"/>
        <v>9.000000000000008E-2</v>
      </c>
      <c r="EL423" s="1091">
        <f t="shared" si="2217"/>
        <v>9.000000000000008E-2</v>
      </c>
      <c r="EM423" s="73">
        <f t="shared" ref="EM423:ER423" si="2218">EM422/EJ422-1</f>
        <v>8.9999999999999858E-2</v>
      </c>
      <c r="EN423" s="73">
        <f t="shared" si="2218"/>
        <v>9.000000000000008E-2</v>
      </c>
      <c r="EO423" s="1091">
        <f t="shared" si="2218"/>
        <v>8.9999999999999858E-2</v>
      </c>
      <c r="EP423" s="73">
        <f t="shared" si="2218"/>
        <v>9.0000000000000302E-2</v>
      </c>
      <c r="EQ423" s="73">
        <f t="shared" si="2218"/>
        <v>9.000000000000008E-2</v>
      </c>
      <c r="ER423" s="1091">
        <f t="shared" si="2218"/>
        <v>9.0000000000000302E-2</v>
      </c>
      <c r="ES423" s="73">
        <f t="shared" ref="ES423" si="2219">ES422/EP422-1</f>
        <v>9.000000000000008E-2</v>
      </c>
      <c r="ET423" s="73">
        <f t="shared" ref="ET423" si="2220">ET422/EQ422-1</f>
        <v>9.000000000000008E-2</v>
      </c>
      <c r="EU423" s="1091">
        <f t="shared" ref="EU423" si="2221">EU422/ER422-1</f>
        <v>9.000000000000008E-2</v>
      </c>
      <c r="EV423" s="73">
        <f t="shared" ref="EV423" si="2222">EV422/ES422-1</f>
        <v>9.000000000000008E-2</v>
      </c>
      <c r="EW423" s="73">
        <f t="shared" ref="EW423" si="2223">EW422/ET422-1</f>
        <v>8.9999999999999858E-2</v>
      </c>
      <c r="EX423" s="1091">
        <f t="shared" ref="EX423" si="2224">EX422/EU422-1</f>
        <v>8.9999999999999858E-2</v>
      </c>
      <c r="EY423" s="73">
        <f t="shared" ref="EY423" si="2225">EY422/EV422-1</f>
        <v>9.000000000000008E-2</v>
      </c>
      <c r="EZ423" s="73">
        <f t="shared" ref="EZ423" si="2226">EZ422/EW422-1</f>
        <v>9.0000000000000302E-2</v>
      </c>
      <c r="FA423" s="1091">
        <f t="shared" ref="FA423" si="2227">FA422/EX422-1</f>
        <v>9.0000000000000302E-2</v>
      </c>
    </row>
    <row r="424" spans="1:157" outlineLevel="1">
      <c r="A424" s="1432"/>
      <c r="B424" s="31" t="s">
        <v>384</v>
      </c>
      <c r="D424" s="162" t="s">
        <v>604</v>
      </c>
      <c r="BA424" s="199">
        <f>BA351</f>
        <v>19.7</v>
      </c>
      <c r="BB424" s="199">
        <f>BB351</f>
        <v>9.3799568314324642</v>
      </c>
      <c r="BC424" s="1039">
        <f>SUM(BA424:BB424)</f>
        <v>29.079956831432462</v>
      </c>
      <c r="BD424" s="199">
        <f>BD351</f>
        <v>26.087</v>
      </c>
      <c r="BE424" s="199">
        <f>BE351</f>
        <v>35.535135302513758</v>
      </c>
      <c r="BF424" s="1039">
        <f>SUM(BD424:BE424)</f>
        <v>61.622135302513755</v>
      </c>
      <c r="BG424" s="199">
        <f>BG351</f>
        <v>26.087</v>
      </c>
      <c r="BH424" s="199">
        <f>BH351</f>
        <v>35.535135302513758</v>
      </c>
      <c r="BI424" s="1039">
        <f>SUM(BG424:BH424)</f>
        <v>61.622135302513755</v>
      </c>
      <c r="BJ424" s="199">
        <f>BJ351</f>
        <v>26.516335919999992</v>
      </c>
      <c r="BK424" s="199">
        <f>BK351</f>
        <v>24.098790623863959</v>
      </c>
      <c r="BL424" s="1039">
        <f>SUM(BJ424:BK424)</f>
        <v>50.615126543863951</v>
      </c>
      <c r="BM424" s="199">
        <f>BM351</f>
        <v>27.882525367028375</v>
      </c>
      <c r="BN424" s="199">
        <f>BN351</f>
        <v>30.085376999503183</v>
      </c>
      <c r="BO424" s="1039">
        <f>SUM(BM424:BN424)</f>
        <v>57.967902366531561</v>
      </c>
      <c r="BP424" s="199">
        <f>BP351</f>
        <v>32.305610087249008</v>
      </c>
      <c r="BQ424" s="199">
        <f>BQ351</f>
        <v>27.221667963602268</v>
      </c>
      <c r="BR424" s="1039">
        <f>SUM(BP424:BQ424)</f>
        <v>59.52727805085128</v>
      </c>
      <c r="BS424" s="199">
        <f>BS351</f>
        <v>42.227000000000004</v>
      </c>
      <c r="BT424" s="199">
        <f>BT351</f>
        <v>37.899000000000001</v>
      </c>
      <c r="BU424" s="199">
        <f>SUM(BS424:BT424)</f>
        <v>80.126000000000005</v>
      </c>
      <c r="BV424" s="199">
        <f>BV351</f>
        <v>42.938999999999986</v>
      </c>
      <c r="BW424" s="199">
        <f>BW351</f>
        <v>48.144000000000005</v>
      </c>
      <c r="BX424" s="199">
        <f>SUM(BV424:BW424)</f>
        <v>91.082999999999998</v>
      </c>
      <c r="BY424" s="199">
        <f>BY351</f>
        <v>45.335000000000001</v>
      </c>
      <c r="BZ424" s="199">
        <f>BZ351</f>
        <v>47.18399999999999</v>
      </c>
      <c r="CA424" s="199">
        <f>SUM(BY424:BZ424)</f>
        <v>92.518999999999991</v>
      </c>
      <c r="CB424" s="199">
        <f>CB351</f>
        <v>47.558196383039366</v>
      </c>
      <c r="CC424" s="199">
        <f>CC351</f>
        <v>49.568622449962653</v>
      </c>
      <c r="CD424" s="199">
        <f>SUM(CB424:CC424)</f>
        <v>97.126818833002019</v>
      </c>
      <c r="CE424" s="199">
        <f>CE351</f>
        <v>56.224689812668473</v>
      </c>
      <c r="CF424" s="199">
        <f>CF351</f>
        <v>65.716688019105618</v>
      </c>
      <c r="CG424" s="199">
        <f>SUM(CE424:CF424)</f>
        <v>121.94137783177409</v>
      </c>
      <c r="CH424" s="199">
        <f>CH351</f>
        <v>59.67346856644636</v>
      </c>
      <c r="CI424" s="199">
        <f>CI351</f>
        <v>63.243408014295028</v>
      </c>
      <c r="CJ424" s="199">
        <f>SUM(CH424:CI424)</f>
        <v>122.91687658074139</v>
      </c>
      <c r="CK424" s="199">
        <f>CK351</f>
        <v>77.658651524229157</v>
      </c>
      <c r="CL424" s="199">
        <f>CL351</f>
        <v>69.953815192793741</v>
      </c>
      <c r="CM424" s="199">
        <f>SUM(CK424:CL424)</f>
        <v>147.6124667170229</v>
      </c>
      <c r="CN424" s="199">
        <f>CN351</f>
        <v>57.856000000000002</v>
      </c>
      <c r="CO424" s="199">
        <f>CO351</f>
        <v>83.747688499685623</v>
      </c>
      <c r="CP424" s="199">
        <f>SUM(CN424:CO424)</f>
        <v>141.60368849968563</v>
      </c>
      <c r="CQ424" s="199">
        <f>CQ351</f>
        <v>63.589999999999975</v>
      </c>
      <c r="CR424" s="199">
        <f>CR351</f>
        <v>97.715000000000018</v>
      </c>
      <c r="CS424" s="199">
        <f>SUM(CQ424:CR424)</f>
        <v>161.30500000000001</v>
      </c>
      <c r="CT424" s="199">
        <f>CT351</f>
        <v>107.21900000000001</v>
      </c>
      <c r="CU424" s="199">
        <f>CU351</f>
        <v>103.08282023699479</v>
      </c>
      <c r="CV424" s="199">
        <f>SUM(CT424:CU424)</f>
        <v>210.30182023699479</v>
      </c>
      <c r="CW424" s="199">
        <f>CW351</f>
        <v>111.30800000000001</v>
      </c>
      <c r="CX424" s="199">
        <f>CX351</f>
        <v>104.90092357438527</v>
      </c>
      <c r="CY424" s="199">
        <f>SUM(CW424:CX424)</f>
        <v>216.20892357438527</v>
      </c>
      <c r="CZ424" s="199">
        <f>CZ351</f>
        <v>94.382700416475231</v>
      </c>
      <c r="DA424" s="199">
        <f>DA351</f>
        <v>122.4646910995681</v>
      </c>
      <c r="DB424" s="199">
        <f>SUM(CZ424:DA424)</f>
        <v>216.84739151604333</v>
      </c>
      <c r="DC424" s="199">
        <f>DC351</f>
        <v>112.80606948708262</v>
      </c>
      <c r="DD424" s="199">
        <f>DD351</f>
        <v>125.25591256639304</v>
      </c>
      <c r="DE424" s="199">
        <f>SUM(DC424:DD424)</f>
        <v>238.06198205347567</v>
      </c>
      <c r="DF424" s="199">
        <f>DF351</f>
        <v>133.1604586598163</v>
      </c>
      <c r="DG424" s="199">
        <f>DG351</f>
        <v>89.597913886446918</v>
      </c>
      <c r="DH424" s="1090">
        <f>SUM(DF424:DG424)</f>
        <v>222.75837254626322</v>
      </c>
      <c r="DI424" s="199">
        <f>DI351</f>
        <v>129.5</v>
      </c>
      <c r="DJ424" s="199">
        <f>DJ351</f>
        <v>121.30000000000001</v>
      </c>
      <c r="DK424" s="1090">
        <f>SUM(DI424:DJ424)</f>
        <v>250.8</v>
      </c>
      <c r="DL424" s="278">
        <f>DL351</f>
        <v>140.1</v>
      </c>
      <c r="DM424" s="278">
        <f>DM351</f>
        <v>142.79999999999998</v>
      </c>
      <c r="DN424" s="1090">
        <f>SUM(DL424:DM424)</f>
        <v>282.89999999999998</v>
      </c>
      <c r="DO424" s="278">
        <f>DO351</f>
        <v>161.1</v>
      </c>
      <c r="DP424" s="278">
        <f>DP351</f>
        <v>176.9</v>
      </c>
      <c r="DQ424" s="1090">
        <f>SUM(DO424:DP424)</f>
        <v>338</v>
      </c>
      <c r="DR424" s="278">
        <f>DR351</f>
        <v>175.5</v>
      </c>
      <c r="DS424" s="278">
        <f>DS351</f>
        <v>196.39999999999998</v>
      </c>
      <c r="DT424" s="1090">
        <f>SUM(DR424:DS424)</f>
        <v>371.9</v>
      </c>
      <c r="DU424" s="278">
        <f>DU351</f>
        <v>229</v>
      </c>
      <c r="DV424" s="278">
        <f>DV351</f>
        <v>199.8</v>
      </c>
      <c r="DW424" s="1090">
        <f>SUM(DU424:DV424)</f>
        <v>428.8</v>
      </c>
      <c r="DX424" s="278">
        <f>DX351</f>
        <v>207.8</v>
      </c>
      <c r="DY424" s="278">
        <f>DY351</f>
        <v>240.88124882367828</v>
      </c>
      <c r="DZ424" s="1090">
        <f>SUM(DX424:DY424)</f>
        <v>448.68124882367829</v>
      </c>
      <c r="EA424" s="278">
        <f>EA351</f>
        <v>261.10246700680273</v>
      </c>
      <c r="EB424" s="278">
        <f>EB351</f>
        <v>257.5220847108526</v>
      </c>
      <c r="EC424" s="1090">
        <f>SUM(EA424:EB424)</f>
        <v>518.62455171765532</v>
      </c>
      <c r="ED424" s="278">
        <f>ED351</f>
        <v>284.05093422108848</v>
      </c>
      <c r="EE424" s="278">
        <f>EE351</f>
        <v>280.15774726526195</v>
      </c>
      <c r="EF424" s="1090">
        <f>SUM(ED424:EE424)</f>
        <v>564.20868148635043</v>
      </c>
      <c r="EG424" s="278">
        <f>EG351</f>
        <v>309.61551830098642</v>
      </c>
      <c r="EH424" s="278">
        <f>EH351</f>
        <v>305.37194451913552</v>
      </c>
      <c r="EI424" s="1090">
        <f>SUM(EG424:EH424)</f>
        <v>614.98746282012189</v>
      </c>
      <c r="EJ424" s="278">
        <f>EJ351</f>
        <v>337.48091494807522</v>
      </c>
      <c r="EK424" s="278">
        <f>EK351</f>
        <v>332.85541952585771</v>
      </c>
      <c r="EL424" s="1090">
        <f>SUM(EJ424:EK424)</f>
        <v>670.33633447393299</v>
      </c>
      <c r="EM424" s="278">
        <f>EM351</f>
        <v>367.85419729340208</v>
      </c>
      <c r="EN424" s="278">
        <f>EN351</f>
        <v>362.81240728318494</v>
      </c>
      <c r="EO424" s="1090">
        <f>SUM(EM424:EN424)</f>
        <v>730.66660457658702</v>
      </c>
      <c r="EP424" s="278">
        <f>EP351</f>
        <v>400.9610750498083</v>
      </c>
      <c r="EQ424" s="278">
        <f>EQ351</f>
        <v>395.46552393867159</v>
      </c>
      <c r="ER424" s="1090">
        <f>SUM(EP424:EQ424)</f>
        <v>796.4265989884799</v>
      </c>
      <c r="ES424" s="278">
        <f>ES351</f>
        <v>437.04757180429112</v>
      </c>
      <c r="ET424" s="278">
        <f>ET351</f>
        <v>431.05742109315207</v>
      </c>
      <c r="EU424" s="1090">
        <f>SUM(ES424:ET424)</f>
        <v>868.10499289744325</v>
      </c>
      <c r="EV424" s="278">
        <f>EV351</f>
        <v>476.38185326667735</v>
      </c>
      <c r="EW424" s="278">
        <f>EW351</f>
        <v>469.85258899153575</v>
      </c>
      <c r="EX424" s="1090">
        <f>SUM(EV424:EW424)</f>
        <v>946.23444225821311</v>
      </c>
      <c r="EY424" s="278">
        <f>EY351</f>
        <v>519.25622006067829</v>
      </c>
      <c r="EZ424" s="278">
        <f>EZ351</f>
        <v>512.13932200077397</v>
      </c>
      <c r="FA424" s="1090">
        <f>SUM(EY424:EZ424)</f>
        <v>1031.3955420614523</v>
      </c>
    </row>
    <row r="425" spans="1:157" outlineLevel="1">
      <c r="A425" s="1432"/>
      <c r="B425" s="31"/>
      <c r="C425" s="35" t="s">
        <v>209</v>
      </c>
      <c r="D425" s="162" t="s">
        <v>460</v>
      </c>
      <c r="BA425" s="200"/>
      <c r="BB425" s="200"/>
      <c r="BC425" s="1040"/>
      <c r="BD425" s="73">
        <f t="shared" ref="BD425:CI425" si="2228">BD424/BA424-1</f>
        <v>0.32421319796954329</v>
      </c>
      <c r="BE425" s="73">
        <f t="shared" si="2228"/>
        <v>2.7884113904911216</v>
      </c>
      <c r="BF425" s="73">
        <f t="shared" si="2228"/>
        <v>1.1190586925461501</v>
      </c>
      <c r="BG425" s="73">
        <f t="shared" si="2228"/>
        <v>0</v>
      </c>
      <c r="BH425" s="73">
        <f t="shared" si="2228"/>
        <v>0</v>
      </c>
      <c r="BI425" s="73">
        <f t="shared" si="2228"/>
        <v>0</v>
      </c>
      <c r="BJ425" s="73">
        <f t="shared" si="2228"/>
        <v>1.6457849503583866E-2</v>
      </c>
      <c r="BK425" s="73">
        <f t="shared" si="2228"/>
        <v>-0.32183202853432757</v>
      </c>
      <c r="BL425" s="73">
        <f t="shared" si="2228"/>
        <v>-0.17862102156334714</v>
      </c>
      <c r="BM425" s="73">
        <f t="shared" si="2228"/>
        <v>5.1522557684824388E-2</v>
      </c>
      <c r="BN425" s="73">
        <f t="shared" si="2228"/>
        <v>0.24841853971339845</v>
      </c>
      <c r="BO425" s="73">
        <f t="shared" si="2228"/>
        <v>0.14526834811517397</v>
      </c>
      <c r="BP425" s="73">
        <f t="shared" si="2228"/>
        <v>0.15863285918322934</v>
      </c>
      <c r="BQ425" s="73">
        <f t="shared" si="2228"/>
        <v>-9.5186077806111768E-2</v>
      </c>
      <c r="BR425" s="73">
        <f t="shared" si="2228"/>
        <v>2.6900674695105709E-2</v>
      </c>
      <c r="BS425" s="73">
        <f t="shared" si="2228"/>
        <v>0.30711043332585009</v>
      </c>
      <c r="BT425" s="73">
        <f t="shared" si="2228"/>
        <v>0.39223650992563175</v>
      </c>
      <c r="BU425" s="73">
        <f t="shared" si="2228"/>
        <v>0.34603836465615356</v>
      </c>
      <c r="BV425" s="73">
        <f t="shared" si="2228"/>
        <v>1.6861249911193754E-2</v>
      </c>
      <c r="BW425" s="73">
        <f t="shared" si="2228"/>
        <v>0.27032375524420171</v>
      </c>
      <c r="BX425" s="73">
        <f t="shared" si="2228"/>
        <v>0.13674712328083261</v>
      </c>
      <c r="BY425" s="73">
        <f t="shared" si="2228"/>
        <v>5.5800088497636624E-2</v>
      </c>
      <c r="BZ425" s="73">
        <f t="shared" si="2228"/>
        <v>-1.9940179461615415E-2</v>
      </c>
      <c r="CA425" s="73">
        <f t="shared" si="2228"/>
        <v>1.5765839948179039E-2</v>
      </c>
      <c r="CB425" s="73">
        <f t="shared" si="2228"/>
        <v>4.9039293769479686E-2</v>
      </c>
      <c r="CC425" s="73">
        <f t="shared" si="2228"/>
        <v>5.0538793870012366E-2</v>
      </c>
      <c r="CD425" s="73">
        <f t="shared" si="2228"/>
        <v>4.9804027637588177E-2</v>
      </c>
      <c r="CE425" s="73">
        <f t="shared" si="2228"/>
        <v>0.18222922837165934</v>
      </c>
      <c r="CF425" s="73">
        <f t="shared" si="2228"/>
        <v>0.3257719252828486</v>
      </c>
      <c r="CG425" s="73">
        <f t="shared" si="2228"/>
        <v>0.25548617052348588</v>
      </c>
      <c r="CH425" s="73">
        <f t="shared" si="2228"/>
        <v>6.1339222417565287E-2</v>
      </c>
      <c r="CI425" s="73">
        <f t="shared" si="2228"/>
        <v>-3.7635493804732523E-2</v>
      </c>
      <c r="CJ425" s="73">
        <f t="shared" ref="CJ425:DO425" si="2229">CJ424/CG424-1</f>
        <v>7.9997353344085642E-3</v>
      </c>
      <c r="CK425" s="73">
        <f t="shared" si="2229"/>
        <v>0.30139328900843609</v>
      </c>
      <c r="CL425" s="73">
        <f t="shared" si="2229"/>
        <v>0.10610445245110678</v>
      </c>
      <c r="CM425" s="73">
        <f t="shared" si="2229"/>
        <v>0.20091293257081366</v>
      </c>
      <c r="CN425" s="73">
        <f t="shared" si="2229"/>
        <v>-0.25499607752074882</v>
      </c>
      <c r="CO425" s="73">
        <f t="shared" si="2229"/>
        <v>0.19718543254396859</v>
      </c>
      <c r="CP425" s="73">
        <f t="shared" si="2229"/>
        <v>-4.0706441339106281E-2</v>
      </c>
      <c r="CQ425" s="73">
        <f t="shared" si="2229"/>
        <v>9.9108130530972893E-2</v>
      </c>
      <c r="CR425" s="73">
        <f t="shared" si="2229"/>
        <v>0.16677847174691673</v>
      </c>
      <c r="CS425" s="73">
        <f t="shared" si="2229"/>
        <v>0.13912993163563048</v>
      </c>
      <c r="CT425" s="73">
        <f t="shared" si="2229"/>
        <v>0.68609844315143964</v>
      </c>
      <c r="CU425" s="73">
        <f t="shared" si="2229"/>
        <v>5.4933431274571731E-2</v>
      </c>
      <c r="CV425" s="73">
        <f t="shared" si="2229"/>
        <v>0.30375264397876545</v>
      </c>
      <c r="CW425" s="73">
        <f t="shared" si="2229"/>
        <v>3.8136897378263201E-2</v>
      </c>
      <c r="CX425" s="73">
        <f t="shared" si="2229"/>
        <v>1.7637306907305472E-2</v>
      </c>
      <c r="CY425" s="73">
        <f t="shared" si="2229"/>
        <v>2.8088693339570758E-2</v>
      </c>
      <c r="CZ425" s="73">
        <f t="shared" si="2229"/>
        <v>-0.15205824903443399</v>
      </c>
      <c r="DA425" s="73">
        <f t="shared" si="2229"/>
        <v>0.16743196271983596</v>
      </c>
      <c r="DB425" s="73">
        <f t="shared" si="2229"/>
        <v>2.9530138308024867E-3</v>
      </c>
      <c r="DC425" s="73">
        <f t="shared" si="2229"/>
        <v>0.19519857971123966</v>
      </c>
      <c r="DD425" s="73">
        <f t="shared" si="2229"/>
        <v>2.2792050849624657E-2</v>
      </c>
      <c r="DE425" s="73">
        <f t="shared" si="2229"/>
        <v>9.7831891770129076E-2</v>
      </c>
      <c r="DF425" s="73">
        <f t="shared" si="2229"/>
        <v>0.18043700365842863</v>
      </c>
      <c r="DG425" s="73">
        <f t="shared" si="2229"/>
        <v>-0.28468116154632839</v>
      </c>
      <c r="DH425" s="1091">
        <f t="shared" si="2229"/>
        <v>-6.4284138841517402E-2</v>
      </c>
      <c r="DI425" s="73">
        <f t="shared" si="2229"/>
        <v>-2.7489081193146414E-2</v>
      </c>
      <c r="DJ425" s="73">
        <f t="shared" si="2229"/>
        <v>0.35382616333825756</v>
      </c>
      <c r="DK425" s="1091">
        <f t="shared" si="2229"/>
        <v>0.12588360712643021</v>
      </c>
      <c r="DL425" s="73">
        <f t="shared" si="2229"/>
        <v>8.1853281853281779E-2</v>
      </c>
      <c r="DM425" s="73">
        <f t="shared" si="2229"/>
        <v>0.1772464962901894</v>
      </c>
      <c r="DN425" s="1091">
        <f t="shared" si="2229"/>
        <v>0.12799043062200943</v>
      </c>
      <c r="DO425" s="73">
        <f t="shared" si="2229"/>
        <v>0.1498929336188437</v>
      </c>
      <c r="DP425" s="73">
        <f t="shared" ref="DP425:EF425" si="2230">DP424/DM424-1</f>
        <v>0.23879551820728318</v>
      </c>
      <c r="DQ425" s="1091">
        <f t="shared" si="2230"/>
        <v>0.19476846942382475</v>
      </c>
      <c r="DR425" s="73">
        <f t="shared" si="2230"/>
        <v>8.9385474860335323E-2</v>
      </c>
      <c r="DS425" s="73">
        <f t="shared" si="2230"/>
        <v>0.11023176936122092</v>
      </c>
      <c r="DT425" s="1091">
        <f t="shared" si="2230"/>
        <v>0.10029585798816565</v>
      </c>
      <c r="DU425" s="73">
        <f t="shared" si="2230"/>
        <v>0.3048433048433048</v>
      </c>
      <c r="DV425" s="73">
        <f t="shared" si="2230"/>
        <v>1.7311608961303682E-2</v>
      </c>
      <c r="DW425" s="1091">
        <f t="shared" si="2230"/>
        <v>0.15299811777359507</v>
      </c>
      <c r="DX425" s="73">
        <f t="shared" si="2230"/>
        <v>-9.2576419213973749E-2</v>
      </c>
      <c r="DY425" s="73">
        <f t="shared" si="2230"/>
        <v>0.2056118559743656</v>
      </c>
      <c r="DZ425" s="1091">
        <f t="shared" si="2230"/>
        <v>4.6364852667160061E-2</v>
      </c>
      <c r="EA425" s="73">
        <f t="shared" si="2230"/>
        <v>0.25650850340136055</v>
      </c>
      <c r="EB425" s="73">
        <f t="shared" si="2230"/>
        <v>6.9083151837008305E-2</v>
      </c>
      <c r="EC425" s="1091">
        <f t="shared" si="2230"/>
        <v>0.15588639613834898</v>
      </c>
      <c r="ED425" s="73">
        <f t="shared" si="2230"/>
        <v>8.7890656405356316E-2</v>
      </c>
      <c r="EE425" s="73">
        <f t="shared" si="2230"/>
        <v>8.7897947004525134E-2</v>
      </c>
      <c r="EF425" s="1091">
        <f t="shared" si="2230"/>
        <v>8.7894276539209448E-2</v>
      </c>
      <c r="EG425" s="73">
        <f t="shared" ref="EG425:EL425" si="2231">EG424/ED424-1</f>
        <v>8.9999999999999858E-2</v>
      </c>
      <c r="EH425" s="73">
        <f t="shared" si="2231"/>
        <v>9.000000000000008E-2</v>
      </c>
      <c r="EI425" s="1091">
        <f t="shared" si="2231"/>
        <v>8.9999999999999858E-2</v>
      </c>
      <c r="EJ425" s="73">
        <f t="shared" si="2231"/>
        <v>9.000000000000008E-2</v>
      </c>
      <c r="EK425" s="73">
        <f t="shared" si="2231"/>
        <v>8.9999999999999858E-2</v>
      </c>
      <c r="EL425" s="1091">
        <f t="shared" si="2231"/>
        <v>9.0000000000000302E-2</v>
      </c>
      <c r="EM425" s="73">
        <f t="shared" ref="EM425:ER425" si="2232">EM424/EJ424-1</f>
        <v>9.0000000000000302E-2</v>
      </c>
      <c r="EN425" s="73">
        <f t="shared" si="2232"/>
        <v>9.000000000000008E-2</v>
      </c>
      <c r="EO425" s="1091">
        <f t="shared" si="2232"/>
        <v>9.000000000000008E-2</v>
      </c>
      <c r="EP425" s="73">
        <f t="shared" si="2232"/>
        <v>9.000000000000008E-2</v>
      </c>
      <c r="EQ425" s="73">
        <f t="shared" si="2232"/>
        <v>9.000000000000008E-2</v>
      </c>
      <c r="ER425" s="1091">
        <f t="shared" si="2232"/>
        <v>9.000000000000008E-2</v>
      </c>
      <c r="ES425" s="73">
        <f t="shared" ref="ES425" si="2233">ES424/EP424-1</f>
        <v>9.000000000000008E-2</v>
      </c>
      <c r="ET425" s="73">
        <f t="shared" ref="ET425" si="2234">ET424/EQ424-1</f>
        <v>9.000000000000008E-2</v>
      </c>
      <c r="EU425" s="1091">
        <f t="shared" ref="EU425" si="2235">EU424/ER424-1</f>
        <v>9.0000000000000302E-2</v>
      </c>
      <c r="EV425" s="73">
        <f t="shared" ref="EV425" si="2236">EV424/ES424-1</f>
        <v>9.000000000000008E-2</v>
      </c>
      <c r="EW425" s="73">
        <f t="shared" ref="EW425" si="2237">EW424/ET424-1</f>
        <v>9.000000000000008E-2</v>
      </c>
      <c r="EX425" s="1091">
        <f t="shared" ref="EX425" si="2238">EX424/EU424-1</f>
        <v>8.9999999999999858E-2</v>
      </c>
      <c r="EY425" s="73">
        <f t="shared" ref="EY425" si="2239">EY424/EV424-1</f>
        <v>8.9999999999999858E-2</v>
      </c>
      <c r="EZ425" s="73">
        <f t="shared" ref="EZ425" si="2240">EZ424/EW424-1</f>
        <v>9.000000000000008E-2</v>
      </c>
      <c r="FA425" s="1091">
        <f t="shared" ref="FA425" si="2241">FA424/EX424-1</f>
        <v>9.000000000000008E-2</v>
      </c>
    </row>
    <row r="426" spans="1:157" outlineLevel="1">
      <c r="A426" s="1426" t="s">
        <v>700</v>
      </c>
      <c r="D426" s="162" t="s">
        <v>604</v>
      </c>
      <c r="BA426" s="70"/>
      <c r="BB426" s="70"/>
      <c r="BC426" s="1041"/>
      <c r="BD426" s="70">
        <f>BD420+BD422+BD424</f>
        <v>121.887</v>
      </c>
      <c r="BE426" s="70">
        <f>BE420+BE422+BE424</f>
        <v>146.63513530251376</v>
      </c>
      <c r="BF426" s="1041">
        <f>SUM(BD426:BE426)</f>
        <v>268.52213530251379</v>
      </c>
      <c r="BG426" s="70">
        <f>BG420+BG422+BG424</f>
        <v>146.58700000000002</v>
      </c>
      <c r="BH426" s="70">
        <f>BH420+BH422+BH424</f>
        <v>153.8212083232672</v>
      </c>
      <c r="BI426" s="1041">
        <f>SUM(BG426:BH426)</f>
        <v>300.40820832326722</v>
      </c>
      <c r="BJ426" s="70">
        <f>BJ420+BJ422+BJ424</f>
        <v>123.57272181769409</v>
      </c>
      <c r="BK426" s="70">
        <f>BK420+BK422+BK424</f>
        <v>129.44220340446245</v>
      </c>
      <c r="BL426" s="1041">
        <f>SUM(BJ426:BK426)</f>
        <v>253.01492522215653</v>
      </c>
      <c r="BM426" s="70">
        <f>BM420+BM422+BM424</f>
        <v>172.49326970323474</v>
      </c>
      <c r="BN426" s="70">
        <f>BN420+BN422+BN424</f>
        <v>176.01780874278668</v>
      </c>
      <c r="BO426" s="1041">
        <f>SUM(BM426:BN426)</f>
        <v>348.51107844602143</v>
      </c>
      <c r="BP426" s="70">
        <f>BP420+BP422+BP424</f>
        <v>199.60227476882591</v>
      </c>
      <c r="BQ426" s="70">
        <f>BQ420+BQ422+BQ424</f>
        <v>210.95555262366474</v>
      </c>
      <c r="BR426" s="1041">
        <f>SUM(BP426:BQ426)</f>
        <v>410.55782739249065</v>
      </c>
      <c r="BS426" s="70">
        <f>BS420+BS422+BS424</f>
        <v>258.39902611461224</v>
      </c>
      <c r="BT426" s="70">
        <f>BT420+BT422+BT424</f>
        <v>260.17234267391848</v>
      </c>
      <c r="BU426" s="164">
        <f>SUM(BS426:BT426)</f>
        <v>518.57136878853066</v>
      </c>
      <c r="BV426" s="70">
        <f>BV420+BV422+BV424</f>
        <v>271.51151540312213</v>
      </c>
      <c r="BW426" s="70">
        <f>BW420+BW422+BW424</f>
        <v>284.62114021185329</v>
      </c>
      <c r="BX426" s="164">
        <f>SUM(BV426:BW426)</f>
        <v>556.13265561497542</v>
      </c>
      <c r="BY426" s="70">
        <f>BY420+BY422+BY424</f>
        <v>331.25030499721328</v>
      </c>
      <c r="BZ426" s="70">
        <f>BZ420+BZ422+BZ424</f>
        <v>351.06074142574516</v>
      </c>
      <c r="CA426" s="164">
        <f>SUM(BY426:BZ426)</f>
        <v>682.3110464229585</v>
      </c>
      <c r="CB426" s="70">
        <f>CB420+CB422+CB424</f>
        <v>321.07765928187575</v>
      </c>
      <c r="CC426" s="70">
        <f>CC420+CC422+CC424</f>
        <v>344.97149189084274</v>
      </c>
      <c r="CD426" s="164">
        <f>SUM(CB426:CC426)</f>
        <v>666.04915117271844</v>
      </c>
      <c r="CE426" s="70">
        <f>CE420+CE422+CE424</f>
        <v>340.78846072280834</v>
      </c>
      <c r="CF426" s="70">
        <f>CF420+CF422+CF424</f>
        <v>363.4948357014415</v>
      </c>
      <c r="CG426" s="164">
        <f>SUM(CE426:CF426)</f>
        <v>704.28329642424978</v>
      </c>
      <c r="CH426" s="70">
        <f>CH420+CH422+CH424</f>
        <v>339.07990545173982</v>
      </c>
      <c r="CI426" s="70">
        <f>CI420+CI422+CI424</f>
        <v>340.18100162441596</v>
      </c>
      <c r="CJ426" s="164">
        <f>SUM(CH426:CI426)</f>
        <v>679.26090707615572</v>
      </c>
      <c r="CK426" s="70">
        <f>CK420+CK422+CK424</f>
        <v>354.97912664803107</v>
      </c>
      <c r="CL426" s="70">
        <f>CL420+CL422+CL424</f>
        <v>332.20022347682226</v>
      </c>
      <c r="CM426" s="164">
        <f>SUM(CK426:CL426)</f>
        <v>687.17935012485327</v>
      </c>
      <c r="CN426" s="70">
        <f>CN420+CN422+CN424</f>
        <v>361.47287042604898</v>
      </c>
      <c r="CO426" s="70">
        <f>CO420+CO422+CO424</f>
        <v>427.34722124515548</v>
      </c>
      <c r="CP426" s="164">
        <f>SUM(CN426:CO426)</f>
        <v>788.82009167120441</v>
      </c>
      <c r="CQ426" s="70">
        <f>CQ420+CQ422+CQ424</f>
        <v>440.48900000000003</v>
      </c>
      <c r="CR426" s="70">
        <f>CR420+CR422+CR424</f>
        <v>501.40999999999991</v>
      </c>
      <c r="CS426" s="164">
        <f>SUM(CQ426:CR426)</f>
        <v>941.89899999999989</v>
      </c>
      <c r="CT426" s="70">
        <f>CT420+CT422+CT424</f>
        <v>581.71999999999991</v>
      </c>
      <c r="CU426" s="70">
        <f>CU420+CU422+CU424</f>
        <v>574.73896991822448</v>
      </c>
      <c r="CV426" s="164">
        <f>SUM(CT426:CU426)</f>
        <v>1156.4589699182243</v>
      </c>
      <c r="CW426" s="70">
        <f>CW420+CW422+CW424</f>
        <v>604.34056866164394</v>
      </c>
      <c r="CX426" s="70">
        <f>CX420+CX422+CX424</f>
        <v>635.40452889210167</v>
      </c>
      <c r="CY426" s="164">
        <f>SUM(CW426:CX426)</f>
        <v>1239.7450975537456</v>
      </c>
      <c r="CZ426" s="70">
        <f>CZ420+CZ422+CZ424</f>
        <v>629.0345811788078</v>
      </c>
      <c r="DA426" s="70">
        <f>DA420+DA422+DA424</f>
        <v>702.07448173547073</v>
      </c>
      <c r="DB426" s="164">
        <f>SUM(CZ426:DA426)</f>
        <v>1331.1090629142786</v>
      </c>
      <c r="DC426" s="70">
        <f>DC420+DC422+DC424</f>
        <v>709.33656629043855</v>
      </c>
      <c r="DD426" s="70">
        <f>DD420+DD422+DD424</f>
        <v>733.59595513585543</v>
      </c>
      <c r="DE426" s="164">
        <f>SUM(DC426:DD426)</f>
        <v>1442.932521426294</v>
      </c>
      <c r="DF426" s="70">
        <f>DF420+DF422+DF424</f>
        <v>774.76346784113207</v>
      </c>
      <c r="DG426" s="70">
        <f>DG420+DG422+DG424</f>
        <v>582.06441110635978</v>
      </c>
      <c r="DH426" s="1118">
        <f>SUM(DF426:DG426)</f>
        <v>1356.8278789474919</v>
      </c>
      <c r="DI426" s="1116">
        <f>DI420+DI422+DI424</f>
        <v>742.8</v>
      </c>
      <c r="DJ426" s="1116">
        <f>DJ420+DJ422+DJ424</f>
        <v>750.5</v>
      </c>
      <c r="DK426" s="1118">
        <f>SUM(DI426:DJ426)</f>
        <v>1493.3</v>
      </c>
      <c r="DL426" s="1116">
        <f>DL420+DL422+DL424</f>
        <v>815.30000000000007</v>
      </c>
      <c r="DM426" s="1116">
        <f>DM420+DM422+DM424</f>
        <v>825.8</v>
      </c>
      <c r="DN426" s="1118">
        <f>SUM(DL426:DM426)</f>
        <v>1641.1</v>
      </c>
      <c r="DO426" s="1116">
        <f>DO420+DO422+DO424</f>
        <v>892.30000000000007</v>
      </c>
      <c r="DP426" s="1116">
        <f>DP420+DP422+DP424</f>
        <v>1063.4000000000001</v>
      </c>
      <c r="DQ426" s="1118">
        <f>SUM(DO426:DP426)</f>
        <v>1955.7000000000003</v>
      </c>
      <c r="DR426" s="1116">
        <f>DR420+DR422+DR424</f>
        <v>1113.4000000000001</v>
      </c>
      <c r="DS426" s="1116">
        <f>DS420+DS422+DS424</f>
        <v>1144.8000000000002</v>
      </c>
      <c r="DT426" s="1118">
        <f>SUM(DR426:DS426)</f>
        <v>2258.2000000000003</v>
      </c>
      <c r="DU426" s="1116">
        <f>DU420+DU422+DU424</f>
        <v>1169.9000000000001</v>
      </c>
      <c r="DV426" s="1116">
        <f>DV420+DV422+DV424</f>
        <v>1185.8999999999999</v>
      </c>
      <c r="DW426" s="1118">
        <f>SUM(DU426:DV426)</f>
        <v>2355.8000000000002</v>
      </c>
      <c r="DX426" s="1116">
        <f>DX420+DX422+DX424</f>
        <v>1176</v>
      </c>
      <c r="DY426" s="1116">
        <f>DY420+DY422+DY424</f>
        <v>1337.3662599402742</v>
      </c>
      <c r="DZ426" s="1118">
        <f>SUM(DX426:DY426)</f>
        <v>2513.3662599402742</v>
      </c>
      <c r="EA426" s="1116">
        <f>EA420+EA422+EA424</f>
        <v>1386.8816289711754</v>
      </c>
      <c r="EB426" s="1116">
        <f>EB420+EB422+EB424</f>
        <v>1429.7701869989842</v>
      </c>
      <c r="EC426" s="1118">
        <f>SUM(EA426:EB426)</f>
        <v>2816.6518159701595</v>
      </c>
      <c r="ED426" s="1116">
        <f>ED420+ED422+ED424</f>
        <v>1508.7872337030672</v>
      </c>
      <c r="EE426" s="1116">
        <f>EE420+EE422+EE424</f>
        <v>1555.4582819515335</v>
      </c>
      <c r="EF426" s="1118">
        <f>SUM(ED426:EE426)</f>
        <v>3064.2455156546007</v>
      </c>
      <c r="EG426" s="1116">
        <f>EG420+EG422+EG424</f>
        <v>1644.578084736343</v>
      </c>
      <c r="EH426" s="1116">
        <f>EH420+EH422+EH424</f>
        <v>1695.4495273271714</v>
      </c>
      <c r="EI426" s="1118">
        <f>SUM(EG426:EH426)</f>
        <v>3340.0276120635144</v>
      </c>
      <c r="EJ426" s="1116">
        <f>EJ420+EJ422+EJ424</f>
        <v>1792.590112362614</v>
      </c>
      <c r="EK426" s="1116">
        <f>EK420+EK422+EK424</f>
        <v>1848.0399847866172</v>
      </c>
      <c r="EL426" s="1118">
        <f>SUM(EJ426:EK426)</f>
        <v>3640.630097149231</v>
      </c>
      <c r="EM426" s="1116">
        <f>EM420+EM422+EM424</f>
        <v>1953.9232224752495</v>
      </c>
      <c r="EN426" s="1116">
        <f>EN420+EN422+EN424</f>
        <v>2014.3635834174127</v>
      </c>
      <c r="EO426" s="1118">
        <f>SUM(EM426:EN426)</f>
        <v>3968.2868058926624</v>
      </c>
      <c r="EP426" s="1116">
        <f>EP420+EP422+EP424</f>
        <v>2129.776312498022</v>
      </c>
      <c r="EQ426" s="1116">
        <f>EQ420+EQ422+EQ424</f>
        <v>2195.6563059249802</v>
      </c>
      <c r="ER426" s="1118">
        <f>SUM(EP426:EQ426)</f>
        <v>4325.4326184230022</v>
      </c>
      <c r="ES426" s="1116">
        <f>ES420+ES422+ES424</f>
        <v>2321.4561806228444</v>
      </c>
      <c r="ET426" s="1116">
        <f>ET420+ET422+ET424</f>
        <v>2393.2653734582286</v>
      </c>
      <c r="EU426" s="1118">
        <f>SUM(ES426:ET426)</f>
        <v>4714.721554081073</v>
      </c>
      <c r="EV426" s="1116">
        <f>EV420+EV422+EV424</f>
        <v>2530.3872368789007</v>
      </c>
      <c r="EW426" s="1116">
        <f>EW420+EW422+EW424</f>
        <v>2608.6592570694688</v>
      </c>
      <c r="EX426" s="1118">
        <f>SUM(EV426:EW426)</f>
        <v>5139.04649394837</v>
      </c>
      <c r="EY426" s="1116">
        <f>EY420+EY422+EY424</f>
        <v>2758.1220881980016</v>
      </c>
      <c r="EZ426" s="1116">
        <f>EZ420+EZ422+EZ424</f>
        <v>2843.438590205722</v>
      </c>
      <c r="FA426" s="1118">
        <f>SUM(EY426:EZ426)</f>
        <v>5601.5606784037236</v>
      </c>
    </row>
    <row r="427" spans="1:157" outlineLevel="1">
      <c r="B427" s="31"/>
      <c r="C427" s="35" t="s">
        <v>209</v>
      </c>
      <c r="D427" s="162" t="s">
        <v>460</v>
      </c>
      <c r="BA427" s="35"/>
      <c r="BB427" s="35"/>
      <c r="BC427" s="322"/>
      <c r="BD427" s="73"/>
      <c r="BE427" s="73"/>
      <c r="BF427" s="73"/>
      <c r="BG427" s="73">
        <f t="shared" ref="BG427:CL427" si="2242">BG426/BD426-1</f>
        <v>0.20264671375946586</v>
      </c>
      <c r="BH427" s="73">
        <f t="shared" si="2242"/>
        <v>4.9006488151208227E-2</v>
      </c>
      <c r="BI427" s="73">
        <f t="shared" si="2242"/>
        <v>0.11874653456345774</v>
      </c>
      <c r="BJ427" s="73">
        <f t="shared" si="2242"/>
        <v>-0.1570008130482643</v>
      </c>
      <c r="BK427" s="73">
        <f t="shared" si="2242"/>
        <v>-0.15848923035093043</v>
      </c>
      <c r="BL427" s="73">
        <f t="shared" si="2242"/>
        <v>-0.15776294318200224</v>
      </c>
      <c r="BM427" s="73">
        <f t="shared" si="2242"/>
        <v>0.39588468365787688</v>
      </c>
      <c r="BN427" s="73">
        <f t="shared" si="2242"/>
        <v>0.35981777282322258</v>
      </c>
      <c r="BO427" s="73">
        <f t="shared" si="2242"/>
        <v>0.37743288519448304</v>
      </c>
      <c r="BP427" s="73">
        <f t="shared" si="2242"/>
        <v>0.15715978433379307</v>
      </c>
      <c r="BQ427" s="73">
        <f t="shared" si="2242"/>
        <v>0.19848982401509319</v>
      </c>
      <c r="BR427" s="73">
        <f t="shared" si="2242"/>
        <v>0.17803379227750793</v>
      </c>
      <c r="BS427" s="73">
        <f t="shared" si="2242"/>
        <v>0.29456954543170011</v>
      </c>
      <c r="BT427" s="73">
        <f t="shared" si="2242"/>
        <v>0.23330407490176031</v>
      </c>
      <c r="BU427" s="73">
        <f t="shared" si="2242"/>
        <v>0.26308971401677783</v>
      </c>
      <c r="BV427" s="73">
        <f t="shared" si="2242"/>
        <v>5.0745118840710646E-2</v>
      </c>
      <c r="BW427" s="73">
        <f t="shared" si="2242"/>
        <v>9.3971547039406911E-2</v>
      </c>
      <c r="BX427" s="73">
        <f t="shared" si="2242"/>
        <v>7.2432241899883953E-2</v>
      </c>
      <c r="BY427" s="73">
        <f t="shared" si="2242"/>
        <v>0.22002304213651858</v>
      </c>
      <c r="BZ427" s="73">
        <f t="shared" si="2242"/>
        <v>0.23343171615586455</v>
      </c>
      <c r="CA427" s="73">
        <f t="shared" si="2242"/>
        <v>0.22688541939414453</v>
      </c>
      <c r="CB427" s="73">
        <f t="shared" si="2242"/>
        <v>-3.0709845581645911E-2</v>
      </c>
      <c r="CC427" s="73">
        <f t="shared" si="2242"/>
        <v>-1.7345287627925754E-2</v>
      </c>
      <c r="CD427" s="73">
        <f t="shared" si="2242"/>
        <v>-2.3833551186799085E-2</v>
      </c>
      <c r="CE427" s="73">
        <f t="shared" si="2242"/>
        <v>6.1389513941947582E-2</v>
      </c>
      <c r="CF427" s="73">
        <f t="shared" si="2242"/>
        <v>5.3695288584773904E-2</v>
      </c>
      <c r="CG427" s="73">
        <f t="shared" si="2242"/>
        <v>5.7404390027691043E-2</v>
      </c>
      <c r="CH427" s="73">
        <f t="shared" si="2242"/>
        <v>-5.0135361609506823E-3</v>
      </c>
      <c r="CI427" s="73">
        <f t="shared" si="2242"/>
        <v>-6.4138006340685672E-2</v>
      </c>
      <c r="CJ427" s="73">
        <f t="shared" si="2242"/>
        <v>-3.5528869526135876E-2</v>
      </c>
      <c r="CK427" s="73">
        <f t="shared" si="2242"/>
        <v>4.6889305265994663E-2</v>
      </c>
      <c r="CL427" s="73">
        <f t="shared" si="2242"/>
        <v>-2.3460387586268117E-2</v>
      </c>
      <c r="CM427" s="73">
        <f t="shared" ref="CM427:DR427" si="2243">CM426/CJ426-1</f>
        <v>1.1657439676282966E-2</v>
      </c>
      <c r="CN427" s="73">
        <f t="shared" si="2243"/>
        <v>1.8293311607745943E-2</v>
      </c>
      <c r="CO427" s="73">
        <f t="shared" si="2243"/>
        <v>0.28641461096118648</v>
      </c>
      <c r="CP427" s="73">
        <f t="shared" si="2243"/>
        <v>0.14791006383978811</v>
      </c>
      <c r="CQ427" s="73">
        <f t="shared" si="2243"/>
        <v>0.21859490998817943</v>
      </c>
      <c r="CR427" s="73">
        <f t="shared" si="2243"/>
        <v>0.17330820249409551</v>
      </c>
      <c r="CS427" s="73">
        <f t="shared" si="2243"/>
        <v>0.1940606102013458</v>
      </c>
      <c r="CT427" s="73">
        <f t="shared" si="2243"/>
        <v>0.32062321647078562</v>
      </c>
      <c r="CU427" s="73">
        <f t="shared" si="2243"/>
        <v>0.14624552744904284</v>
      </c>
      <c r="CV427" s="73">
        <f t="shared" si="2243"/>
        <v>0.22779509259296837</v>
      </c>
      <c r="CW427" s="73">
        <f t="shared" si="2243"/>
        <v>3.8885664343058624E-2</v>
      </c>
      <c r="CX427" s="73">
        <f t="shared" si="2243"/>
        <v>0.10555323746797418</v>
      </c>
      <c r="CY427" s="73">
        <f t="shared" si="2243"/>
        <v>7.2018229614675189E-2</v>
      </c>
      <c r="CZ427" s="73">
        <f t="shared" si="2243"/>
        <v>4.0861086939522506E-2</v>
      </c>
      <c r="DA427" s="73">
        <f t="shared" si="2243"/>
        <v>0.10492520876364475</v>
      </c>
      <c r="DB427" s="73">
        <f t="shared" si="2243"/>
        <v>7.3695766606225455E-2</v>
      </c>
      <c r="DC427" s="73">
        <f t="shared" si="2243"/>
        <v>0.12765909460994207</v>
      </c>
      <c r="DD427" s="73">
        <f t="shared" si="2243"/>
        <v>4.489762015344323E-2</v>
      </c>
      <c r="DE427" s="73">
        <f t="shared" si="2243"/>
        <v>8.4007735825337493E-2</v>
      </c>
      <c r="DF427" s="73">
        <f t="shared" si="2243"/>
        <v>9.2236752847595804E-2</v>
      </c>
      <c r="DG427" s="73">
        <f t="shared" si="2243"/>
        <v>-0.20655995029502772</v>
      </c>
      <c r="DH427" s="1091">
        <f t="shared" si="2243"/>
        <v>-5.9673367396065324E-2</v>
      </c>
      <c r="DI427" s="73">
        <f t="shared" si="2243"/>
        <v>-4.125577568880201E-2</v>
      </c>
      <c r="DJ427" s="73">
        <f t="shared" si="2243"/>
        <v>0.28937620249533214</v>
      </c>
      <c r="DK427" s="1091">
        <f t="shared" si="2243"/>
        <v>0.10058174892335736</v>
      </c>
      <c r="DL427" s="73">
        <f t="shared" si="2243"/>
        <v>9.7603661820140131E-2</v>
      </c>
      <c r="DM427" s="73">
        <f t="shared" si="2243"/>
        <v>0.10033311125916056</v>
      </c>
      <c r="DN427" s="1091">
        <f t="shared" si="2243"/>
        <v>9.8975423558561593E-2</v>
      </c>
      <c r="DO427" s="73">
        <f t="shared" si="2243"/>
        <v>9.444376303201274E-2</v>
      </c>
      <c r="DP427" s="73">
        <f t="shared" si="2243"/>
        <v>0.2877209978202957</v>
      </c>
      <c r="DQ427" s="1091">
        <f t="shared" si="2243"/>
        <v>0.19170068856254985</v>
      </c>
      <c r="DR427" s="73">
        <f t="shared" si="2243"/>
        <v>0.24778661885016251</v>
      </c>
      <c r="DS427" s="73">
        <f t="shared" ref="DS427:EF427" si="2244">DS426/DP426-1</f>
        <v>7.6546924957682894E-2</v>
      </c>
      <c r="DT427" s="1091">
        <f t="shared" si="2244"/>
        <v>0.15467607506263747</v>
      </c>
      <c r="DU427" s="73">
        <f t="shared" si="2244"/>
        <v>5.0745464343452396E-2</v>
      </c>
      <c r="DV427" s="73">
        <f t="shared" si="2244"/>
        <v>3.5901467505240703E-2</v>
      </c>
      <c r="DW427" s="1091">
        <f t="shared" si="2244"/>
        <v>4.3220263927021385E-2</v>
      </c>
      <c r="DX427" s="73">
        <f t="shared" si="2244"/>
        <v>5.2141208650311466E-3</v>
      </c>
      <c r="DY427" s="73">
        <f t="shared" si="2244"/>
        <v>0.12772262411693602</v>
      </c>
      <c r="DZ427" s="1091">
        <f t="shared" si="2244"/>
        <v>6.6884395933557217E-2</v>
      </c>
      <c r="EA427" s="73">
        <f t="shared" si="2244"/>
        <v>0.17932111307072729</v>
      </c>
      <c r="EB427" s="73">
        <f t="shared" si="2244"/>
        <v>6.9093957150404561E-2</v>
      </c>
      <c r="EC427" s="1091">
        <f t="shared" si="2244"/>
        <v>0.12066906477732875</v>
      </c>
      <c r="ED427" s="73">
        <f t="shared" si="2244"/>
        <v>8.7899069527890727E-2</v>
      </c>
      <c r="EE427" s="73">
        <f t="shared" si="2244"/>
        <v>8.7907900231408709E-2</v>
      </c>
      <c r="EF427" s="1091">
        <f t="shared" si="2244"/>
        <v>8.7903552111271654E-2</v>
      </c>
      <c r="EG427" s="73">
        <f t="shared" ref="EG427:EL427" si="2245">EG426/ED426-1</f>
        <v>8.9999999999999858E-2</v>
      </c>
      <c r="EH427" s="73">
        <f t="shared" si="2245"/>
        <v>8.9999999999999858E-2</v>
      </c>
      <c r="EI427" s="1091">
        <f t="shared" si="2245"/>
        <v>8.9999999999999858E-2</v>
      </c>
      <c r="EJ427" s="73">
        <f t="shared" si="2245"/>
        <v>9.000000000000008E-2</v>
      </c>
      <c r="EK427" s="73">
        <f t="shared" si="2245"/>
        <v>9.0000000000000302E-2</v>
      </c>
      <c r="EL427" s="1091">
        <f t="shared" si="2245"/>
        <v>9.000000000000008E-2</v>
      </c>
      <c r="EM427" s="73">
        <f t="shared" ref="EM427:ER427" si="2246">EM426/EJ426-1</f>
        <v>9.000000000000008E-2</v>
      </c>
      <c r="EN427" s="73">
        <f t="shared" si="2246"/>
        <v>8.9999999999999858E-2</v>
      </c>
      <c r="EO427" s="1091">
        <f t="shared" si="2246"/>
        <v>9.000000000000008E-2</v>
      </c>
      <c r="EP427" s="73">
        <f t="shared" si="2246"/>
        <v>9.000000000000008E-2</v>
      </c>
      <c r="EQ427" s="73">
        <f t="shared" si="2246"/>
        <v>9.0000000000000302E-2</v>
      </c>
      <c r="ER427" s="1091">
        <f t="shared" si="2246"/>
        <v>9.000000000000008E-2</v>
      </c>
      <c r="ES427" s="73">
        <f t="shared" ref="ES427" si="2247">ES426/EP426-1</f>
        <v>9.0000000000000302E-2</v>
      </c>
      <c r="ET427" s="73">
        <f t="shared" ref="ET427" si="2248">ET426/EQ426-1</f>
        <v>9.000000000000008E-2</v>
      </c>
      <c r="EU427" s="1091">
        <f t="shared" ref="EU427" si="2249">EU426/ER426-1</f>
        <v>9.000000000000008E-2</v>
      </c>
      <c r="EV427" s="73">
        <f t="shared" ref="EV427" si="2250">EV426/ES426-1</f>
        <v>9.000000000000008E-2</v>
      </c>
      <c r="EW427" s="73">
        <f t="shared" ref="EW427" si="2251">EW426/ET426-1</f>
        <v>8.9999999999999858E-2</v>
      </c>
      <c r="EX427" s="1091">
        <f t="shared" ref="EX427" si="2252">EX426/EU426-1</f>
        <v>9.000000000000008E-2</v>
      </c>
      <c r="EY427" s="73">
        <f t="shared" ref="EY427" si="2253">EY426/EV426-1</f>
        <v>8.9999999999999858E-2</v>
      </c>
      <c r="EZ427" s="73">
        <f t="shared" ref="EZ427" si="2254">EZ426/EW426-1</f>
        <v>9.0000000000000302E-2</v>
      </c>
      <c r="FA427" s="1091">
        <f t="shared" ref="FA427" si="2255">FA426/EX426-1</f>
        <v>9.000000000000008E-2</v>
      </c>
    </row>
    <row r="428" spans="1:157" outlineLevel="1">
      <c r="B428" s="31"/>
      <c r="BA428" s="35"/>
      <c r="BB428" s="35"/>
      <c r="BC428" s="322"/>
      <c r="BD428" s="73"/>
      <c r="BE428" s="73"/>
      <c r="BF428" s="73"/>
      <c r="BG428" s="73"/>
      <c r="BH428" s="73"/>
      <c r="BI428" s="73"/>
      <c r="BJ428" s="73"/>
      <c r="BK428" s="73"/>
      <c r="BL428" s="73"/>
      <c r="BM428" s="73"/>
      <c r="BN428" s="73"/>
      <c r="BO428" s="73"/>
      <c r="BP428" s="73"/>
      <c r="BQ428" s="73"/>
      <c r="BR428" s="73"/>
      <c r="BS428" s="73"/>
      <c r="BT428" s="73"/>
      <c r="BU428" s="73"/>
      <c r="BV428" s="73"/>
      <c r="BW428" s="73"/>
      <c r="BX428" s="73"/>
      <c r="BY428" s="73"/>
      <c r="BZ428" s="73"/>
      <c r="CA428" s="73"/>
      <c r="CB428" s="73"/>
      <c r="CC428" s="73"/>
      <c r="CD428" s="73"/>
      <c r="CE428" s="73"/>
      <c r="CF428" s="73"/>
      <c r="CG428" s="73"/>
      <c r="CH428" s="73"/>
      <c r="CI428" s="73"/>
      <c r="CJ428" s="73"/>
      <c r="CK428" s="73"/>
      <c r="CL428" s="73"/>
      <c r="CM428" s="73"/>
      <c r="CN428" s="73"/>
      <c r="CO428" s="73"/>
      <c r="CP428" s="73"/>
      <c r="CQ428" s="73"/>
      <c r="CR428" s="73"/>
      <c r="CS428" s="73"/>
      <c r="CT428" s="73"/>
      <c r="CU428" s="73"/>
      <c r="CV428" s="73"/>
      <c r="CW428" s="73"/>
      <c r="CX428" s="73"/>
      <c r="CY428" s="73"/>
      <c r="CZ428" s="73"/>
      <c r="DA428" s="73"/>
      <c r="DB428" s="73"/>
      <c r="DC428" s="73"/>
      <c r="DD428" s="73"/>
      <c r="DE428" s="73"/>
      <c r="DF428" s="73"/>
      <c r="DG428" s="73"/>
      <c r="DH428" s="1091"/>
      <c r="DI428" s="73"/>
      <c r="DJ428" s="73"/>
      <c r="DK428" s="1091"/>
      <c r="DL428" s="73"/>
      <c r="DM428" s="73"/>
      <c r="DN428" s="1091"/>
      <c r="DO428" s="1140"/>
      <c r="DP428" s="1140"/>
      <c r="DQ428" s="1091"/>
      <c r="DR428" s="73"/>
      <c r="DS428" s="73"/>
      <c r="DT428" s="1091"/>
      <c r="DU428" s="73"/>
      <c r="DV428" s="73"/>
      <c r="DW428" s="1091"/>
      <c r="DX428" s="73"/>
      <c r="DY428" s="73"/>
      <c r="DZ428" s="1091"/>
      <c r="EA428" s="73"/>
      <c r="EB428" s="73"/>
      <c r="EC428" s="1091"/>
      <c r="ED428" s="73"/>
      <c r="EE428" s="73"/>
      <c r="EF428" s="1091"/>
      <c r="EG428" s="73"/>
      <c r="EH428" s="73"/>
      <c r="EI428" s="1091"/>
      <c r="EJ428" s="73"/>
      <c r="EK428" s="73"/>
      <c r="EL428" s="1091"/>
      <c r="EM428" s="73"/>
      <c r="EN428" s="73"/>
      <c r="EO428" s="1091"/>
      <c r="EP428" s="73"/>
      <c r="EQ428" s="73"/>
      <c r="ER428" s="1091"/>
      <c r="ES428" s="73"/>
      <c r="ET428" s="73"/>
      <c r="EU428" s="1091"/>
      <c r="EV428" s="73"/>
      <c r="EW428" s="73"/>
      <c r="EX428" s="1091"/>
      <c r="EY428" s="73"/>
      <c r="EZ428" s="73"/>
      <c r="FA428" s="1091"/>
    </row>
    <row r="429" spans="1:157" s="233" customFormat="1" outlineLevel="1">
      <c r="A429" s="1147"/>
      <c r="B429" s="246" t="s">
        <v>316</v>
      </c>
      <c r="D429" s="245" t="s">
        <v>604</v>
      </c>
      <c r="BA429" s="233">
        <f>BA237</f>
        <v>0</v>
      </c>
      <c r="BB429" s="233">
        <f>BB237</f>
        <v>0</v>
      </c>
      <c r="BC429" s="1020">
        <f>SUM(BA429:BB429)</f>
        <v>0</v>
      </c>
      <c r="BD429" s="233">
        <f>BD237</f>
        <v>0</v>
      </c>
      <c r="BE429" s="233">
        <f>BE237</f>
        <v>0</v>
      </c>
      <c r="BF429" s="1020">
        <f>SUM(BD429:BE429)</f>
        <v>0</v>
      </c>
      <c r="BG429" s="233">
        <f>BG237</f>
        <v>0</v>
      </c>
      <c r="BH429" s="233">
        <f>BH237</f>
        <v>0</v>
      </c>
      <c r="BI429" s="1020">
        <f>SUM(BG429:BH429)</f>
        <v>0</v>
      </c>
      <c r="BJ429" s="233">
        <f>BJ237</f>
        <v>0</v>
      </c>
      <c r="BK429" s="233">
        <f>BK237</f>
        <v>0</v>
      </c>
      <c r="BL429" s="1020">
        <f>SUM(BJ429:BK429)</f>
        <v>0</v>
      </c>
      <c r="BM429" s="233">
        <f>BM237</f>
        <v>59.767729078863908</v>
      </c>
      <c r="BN429" s="233">
        <f>BN237</f>
        <v>62.651476239928115</v>
      </c>
      <c r="BO429" s="1020">
        <f>SUM(BM429:BN429)</f>
        <v>122.41920531879202</v>
      </c>
      <c r="BP429" s="233">
        <f>BP237</f>
        <v>78.431441990672596</v>
      </c>
      <c r="BQ429" s="233">
        <f>BQ237</f>
        <v>86.766361536318286</v>
      </c>
      <c r="BR429" s="1020">
        <f>SUM(BP429:BQ429)</f>
        <v>165.19780352699087</v>
      </c>
      <c r="BS429" s="233">
        <f>BS237</f>
        <v>83.189092273865526</v>
      </c>
      <c r="BT429" s="233">
        <f>BT237</f>
        <v>86.550920459185093</v>
      </c>
      <c r="BU429" s="889">
        <f>SUM(BS429:BT429)</f>
        <v>169.74001273305061</v>
      </c>
      <c r="BV429" s="233">
        <f>BV237</f>
        <v>77.658510262892236</v>
      </c>
      <c r="BW429" s="233">
        <f>BW237</f>
        <v>73.924222510221881</v>
      </c>
      <c r="BX429" s="889">
        <f>SUM(BV429:BW429)</f>
        <v>151.58273277311412</v>
      </c>
      <c r="BY429" s="233">
        <f>BY237</f>
        <v>95.912587871193153</v>
      </c>
      <c r="BZ429" s="233">
        <f>BZ237</f>
        <v>109.95649861465139</v>
      </c>
      <c r="CA429" s="889">
        <f>SUM(BY429:BZ429)</f>
        <v>205.86908648584455</v>
      </c>
      <c r="CB429" s="233">
        <f>CB237</f>
        <v>95.413593995832983</v>
      </c>
      <c r="CC429" s="233">
        <f>CC237</f>
        <v>105.91734937029725</v>
      </c>
      <c r="CD429" s="889">
        <f>SUM(CB429:CC429)</f>
        <v>201.33094336613021</v>
      </c>
      <c r="CE429" s="233">
        <f>CE237</f>
        <v>112.87759646000279</v>
      </c>
      <c r="CF429" s="233">
        <f>CF237</f>
        <v>95.442973788563549</v>
      </c>
      <c r="CG429" s="889">
        <f>SUM(CE429:CF429)</f>
        <v>208.32057024856636</v>
      </c>
      <c r="CH429" s="233">
        <f>CH237</f>
        <v>103.99880751826473</v>
      </c>
      <c r="CI429" s="233">
        <f>CI237</f>
        <v>99.271234291817876</v>
      </c>
      <c r="CJ429" s="889">
        <f>SUM(CH429:CI429)</f>
        <v>203.2700418100826</v>
      </c>
      <c r="CK429" s="233">
        <f>CK237</f>
        <v>107.72556275455756</v>
      </c>
      <c r="CL429" s="233">
        <f>CL237</f>
        <v>94.591346045573673</v>
      </c>
      <c r="CM429" s="889">
        <f>SUM(CK429:CL429)</f>
        <v>202.31690880013122</v>
      </c>
      <c r="CN429" s="233">
        <f>CN237</f>
        <v>94.000704834941843</v>
      </c>
      <c r="CO429" s="233">
        <f>CO237</f>
        <v>117.77795862483896</v>
      </c>
      <c r="CP429" s="889">
        <f>SUM(CN429:CO429)</f>
        <v>211.7786634597808</v>
      </c>
      <c r="CQ429" s="233">
        <f>CQ237</f>
        <v>125.23034784637679</v>
      </c>
      <c r="CR429" s="233">
        <f>CR237</f>
        <v>152.20163231045865</v>
      </c>
      <c r="CS429" s="889">
        <f>SUM(CQ429:CR429)</f>
        <v>277.43198015683544</v>
      </c>
      <c r="CT429" s="233">
        <f>CT237</f>
        <v>194.57501086749926</v>
      </c>
      <c r="CU429" s="233">
        <f>CU237</f>
        <v>180.18667762739767</v>
      </c>
      <c r="CV429" s="889">
        <f>SUM(CT429:CU429)</f>
        <v>374.76168849489693</v>
      </c>
      <c r="CW429" s="233">
        <f>CW237</f>
        <v>197.09606145976301</v>
      </c>
      <c r="CX429" s="233">
        <f>CX237</f>
        <v>221.26995418118105</v>
      </c>
      <c r="CY429" s="889">
        <f>SUM(CW429:CX429)</f>
        <v>418.36601564094406</v>
      </c>
      <c r="CZ429" s="233">
        <f>CZ237</f>
        <v>222.2900427056677</v>
      </c>
      <c r="DA429" s="233">
        <f>DA237</f>
        <v>243.38565203232082</v>
      </c>
      <c r="DB429" s="889">
        <f>SUM(CZ429:DA429)</f>
        <v>465.67569473798852</v>
      </c>
      <c r="DC429" s="233">
        <f>DC237</f>
        <v>257.18896395499689</v>
      </c>
      <c r="DD429" s="233">
        <f>DD237</f>
        <v>262.24470950966179</v>
      </c>
      <c r="DE429" s="889">
        <f>SUM(DC429:DD429)</f>
        <v>519.43367346465868</v>
      </c>
      <c r="DF429" s="233">
        <f>DF237</f>
        <v>283.11227696611309</v>
      </c>
      <c r="DG429" s="233">
        <f>DG237</f>
        <v>204.81863050220363</v>
      </c>
      <c r="DH429" s="1060">
        <f>SUM(DF429:DG429)</f>
        <v>487.93090746831672</v>
      </c>
      <c r="DI429" s="233">
        <f>DI237</f>
        <v>269.88896068928381</v>
      </c>
      <c r="DJ429" s="233">
        <f>DJ237</f>
        <v>255.60353097934708</v>
      </c>
      <c r="DK429" s="1060">
        <f>SUM(DI429:DJ429)</f>
        <v>525.49249166863092</v>
      </c>
      <c r="DL429" s="233">
        <f>DL237</f>
        <v>289.45399239543724</v>
      </c>
      <c r="DM429" s="233">
        <f>DM237</f>
        <v>294.96760716880601</v>
      </c>
      <c r="DN429" s="1060">
        <f>SUM(DL429:DM429)</f>
        <v>584.42159956424325</v>
      </c>
      <c r="DO429" s="233">
        <f>DO237</f>
        <v>331.46957301356048</v>
      </c>
      <c r="DP429" s="233">
        <f>DP237</f>
        <v>402.73438028963699</v>
      </c>
      <c r="DQ429" s="1060">
        <f>SUM(DO429:DP429)</f>
        <v>734.20395330319752</v>
      </c>
      <c r="DR429" s="233">
        <f>DR237</f>
        <v>435.13296209807794</v>
      </c>
      <c r="DS429" s="233">
        <f>DS237</f>
        <v>421.27712264150949</v>
      </c>
      <c r="DT429" s="1060">
        <f>SUM(DR429:DS429)</f>
        <v>856.41008473958743</v>
      </c>
      <c r="DU429" s="233">
        <f>DU237</f>
        <v>433.03075476536458</v>
      </c>
      <c r="DV429" s="233">
        <f>DV237</f>
        <v>407.48808499873508</v>
      </c>
      <c r="DW429" s="1060">
        <f>SUM(DU429:DV429)</f>
        <v>840.51883976409965</v>
      </c>
      <c r="DX429" s="233">
        <f>DX237</f>
        <v>434.59285714285716</v>
      </c>
      <c r="DY429" s="233">
        <f>DY237</f>
        <v>435.5853856840564</v>
      </c>
      <c r="DZ429" s="1060">
        <f>SUM(DX429:DY429)</f>
        <v>870.17824282691356</v>
      </c>
      <c r="EA429" s="233">
        <f>EA237</f>
        <v>506.42332869080826</v>
      </c>
      <c r="EB429" s="233">
        <f>EB237</f>
        <v>468.86656549399811</v>
      </c>
      <c r="EC429" s="1060">
        <f>SUM(EA429:EB429)</f>
        <v>975.28989418480637</v>
      </c>
      <c r="ED429" s="233">
        <f>ED237</f>
        <v>554.68105241719343</v>
      </c>
      <c r="EE429" s="233">
        <f>EE237</f>
        <v>513.54889901331649</v>
      </c>
      <c r="EF429" s="1060">
        <f>SUM(ED429:EE429)</f>
        <v>1068.22995143051</v>
      </c>
      <c r="EG429" s="233">
        <f>EG237</f>
        <v>606.64492263181774</v>
      </c>
      <c r="EH429" s="233">
        <f>EH237</f>
        <v>561.6594090458816</v>
      </c>
      <c r="EI429" s="1060">
        <f>SUM(EG429:EH429)</f>
        <v>1168.3043316776993</v>
      </c>
      <c r="EJ429" s="233">
        <f>EJ237</f>
        <v>662.13352858540691</v>
      </c>
      <c r="EK429" s="233">
        <f>EK237</f>
        <v>613.03327943692682</v>
      </c>
      <c r="EL429" s="1060">
        <f>SUM(EJ429:EK429)</f>
        <v>1275.1668080223337</v>
      </c>
      <c r="EM429" s="233">
        <f>EM237</f>
        <v>722.69625973732434</v>
      </c>
      <c r="EN429" s="233">
        <f>EN237</f>
        <v>669.10500528508851</v>
      </c>
      <c r="EO429" s="1060">
        <f>SUM(EM429:EN429)</f>
        <v>1391.8012650224127</v>
      </c>
      <c r="EP429" s="233">
        <f>EP237</f>
        <v>787.73892311368354</v>
      </c>
      <c r="EQ429" s="233">
        <f>EQ237</f>
        <v>729.32445576074656</v>
      </c>
      <c r="ER429" s="1060">
        <f>SUM(EP429:EQ429)</f>
        <v>1517.0633788744301</v>
      </c>
      <c r="ES429" s="233">
        <f>ES237</f>
        <v>858.63542619391512</v>
      </c>
      <c r="ET429" s="233">
        <f>ET237</f>
        <v>794.96365677921381</v>
      </c>
      <c r="EU429" s="1060">
        <f>SUM(ES429:ET429)</f>
        <v>1653.599082973129</v>
      </c>
      <c r="EV429" s="233">
        <f>EV237</f>
        <v>935.9126145513676</v>
      </c>
      <c r="EW429" s="233">
        <f>EW237</f>
        <v>866.51038588934307</v>
      </c>
      <c r="EX429" s="1060">
        <f>SUM(EV429:EW429)</f>
        <v>1802.4230004407107</v>
      </c>
      <c r="EY429" s="233">
        <f>EY237</f>
        <v>1020.1447498609906</v>
      </c>
      <c r="EZ429" s="233">
        <f>EZ237</f>
        <v>944.49632061938428</v>
      </c>
      <c r="FA429" s="1060">
        <f>SUM(EY429:EZ429)</f>
        <v>1964.6410704803748</v>
      </c>
    </row>
    <row r="430" spans="1:157" outlineLevel="1">
      <c r="B430" s="31"/>
      <c r="C430" s="35" t="s">
        <v>401</v>
      </c>
      <c r="D430" s="162" t="s">
        <v>460</v>
      </c>
      <c r="BA430" s="65"/>
      <c r="BB430" s="65"/>
      <c r="BC430" s="65"/>
      <c r="BD430" s="65">
        <f t="shared" ref="BD430:CI430" si="2256">BD429/BD420</f>
        <v>0</v>
      </c>
      <c r="BE430" s="65">
        <f t="shared" si="2256"/>
        <v>0</v>
      </c>
      <c r="BF430" s="65">
        <f t="shared" si="2256"/>
        <v>0</v>
      </c>
      <c r="BG430" s="65">
        <f t="shared" si="2256"/>
        <v>0</v>
      </c>
      <c r="BH430" s="65">
        <f t="shared" si="2256"/>
        <v>0</v>
      </c>
      <c r="BI430" s="65">
        <f t="shared" si="2256"/>
        <v>0</v>
      </c>
      <c r="BJ430" s="65">
        <f t="shared" si="2256"/>
        <v>0</v>
      </c>
      <c r="BK430" s="65">
        <f t="shared" si="2256"/>
        <v>0</v>
      </c>
      <c r="BL430" s="65">
        <f t="shared" si="2256"/>
        <v>0</v>
      </c>
      <c r="BM430" s="65">
        <f t="shared" si="2256"/>
        <v>0.82218475597092699</v>
      </c>
      <c r="BN430" s="65">
        <f t="shared" si="2256"/>
        <v>0.81629322453260189</v>
      </c>
      <c r="BO430" s="65">
        <f t="shared" si="2256"/>
        <v>0.81915901340674135</v>
      </c>
      <c r="BP430" s="65">
        <f t="shared" si="2256"/>
        <v>0.91311242055206288</v>
      </c>
      <c r="BQ430" s="65">
        <f t="shared" si="2256"/>
        <v>0.93852437092523089</v>
      </c>
      <c r="BR430" s="65">
        <f t="shared" si="2256"/>
        <v>0.92628541126213948</v>
      </c>
      <c r="BS430" s="65">
        <f t="shared" si="2256"/>
        <v>0.73938613082350568</v>
      </c>
      <c r="BT430" s="65">
        <f t="shared" si="2256"/>
        <v>0.76632836197731968</v>
      </c>
      <c r="BU430" s="65">
        <f t="shared" si="2256"/>
        <v>0.75288301809436364</v>
      </c>
      <c r="BV430" s="65">
        <f t="shared" si="2256"/>
        <v>0.73102392396716087</v>
      </c>
      <c r="BW430" s="65">
        <f t="shared" si="2256"/>
        <v>0.72750652480670552</v>
      </c>
      <c r="BX430" s="65">
        <f t="shared" si="2256"/>
        <v>0.72930431153160202</v>
      </c>
      <c r="BY430" s="65">
        <f t="shared" si="2256"/>
        <v>0.72179686728747794</v>
      </c>
      <c r="BZ430" s="65">
        <f t="shared" si="2256"/>
        <v>0.79671311984048077</v>
      </c>
      <c r="CA430" s="65">
        <f t="shared" si="2256"/>
        <v>0.75996467784713329</v>
      </c>
      <c r="CB430" s="65">
        <f t="shared" si="2256"/>
        <v>0.72355277037002896</v>
      </c>
      <c r="CC430" s="65">
        <f t="shared" si="2256"/>
        <v>0.72746475523498633</v>
      </c>
      <c r="CD430" s="65">
        <f t="shared" si="2256"/>
        <v>0.72560555023922946</v>
      </c>
      <c r="CE430" s="65">
        <f t="shared" si="2256"/>
        <v>0.76227258881449478</v>
      </c>
      <c r="CF430" s="65">
        <f t="shared" si="2256"/>
        <v>0.67723586351652232</v>
      </c>
      <c r="CG430" s="65">
        <f t="shared" si="2256"/>
        <v>0.72080613825979156</v>
      </c>
      <c r="CH430" s="65">
        <f t="shared" si="2256"/>
        <v>0.75982302848908911</v>
      </c>
      <c r="CI430" s="65">
        <f t="shared" si="2256"/>
        <v>0.73654050724191211</v>
      </c>
      <c r="CJ430" s="65">
        <f t="shared" ref="CJ430:DO430" si="2257">CJ429/CJ420</f>
        <v>0.74827141703510158</v>
      </c>
      <c r="CK430" s="65">
        <f t="shared" si="2257"/>
        <v>0.78524770568822289</v>
      </c>
      <c r="CL430" s="65">
        <f t="shared" si="2257"/>
        <v>0.79250604377004708</v>
      </c>
      <c r="CM430" s="65">
        <f t="shared" si="2257"/>
        <v>0.78862465221587419</v>
      </c>
      <c r="CN430" s="65">
        <f t="shared" si="2257"/>
        <v>0.69904659339013075</v>
      </c>
      <c r="CO430" s="65">
        <f t="shared" si="2257"/>
        <v>0.76336897247393309</v>
      </c>
      <c r="CP430" s="65">
        <f t="shared" si="2257"/>
        <v>0.73341498382113235</v>
      </c>
      <c r="CQ430" s="65">
        <f t="shared" si="2257"/>
        <v>0.64122041908027017</v>
      </c>
      <c r="CR430" s="65">
        <f t="shared" si="2257"/>
        <v>0.73292962752192814</v>
      </c>
      <c r="CS430" s="65">
        <f t="shared" si="2257"/>
        <v>0.68848174308454746</v>
      </c>
      <c r="CT430" s="65">
        <f t="shared" si="2257"/>
        <v>0.7368004925288052</v>
      </c>
      <c r="CU430" s="65">
        <f t="shared" si="2257"/>
        <v>0.706995714854873</v>
      </c>
      <c r="CV430" s="65">
        <f t="shared" si="2257"/>
        <v>0.72216283010671567</v>
      </c>
      <c r="CW430" s="65">
        <f t="shared" si="2257"/>
        <v>0.69131838180278737</v>
      </c>
      <c r="CX430" s="65">
        <f t="shared" si="2257"/>
        <v>0.71399431848789707</v>
      </c>
      <c r="CY430" s="65">
        <f t="shared" si="2257"/>
        <v>0.70312896976261907</v>
      </c>
      <c r="CZ430" s="65">
        <f t="shared" si="2257"/>
        <v>0.69901679589276444</v>
      </c>
      <c r="DA430" s="65">
        <f t="shared" si="2257"/>
        <v>0.74650497752390343</v>
      </c>
      <c r="DB430" s="65">
        <f t="shared" si="2257"/>
        <v>0.72305692086656137</v>
      </c>
      <c r="DC430" s="65">
        <f t="shared" si="2257"/>
        <v>0.73684531205500703</v>
      </c>
      <c r="DD430" s="65">
        <f t="shared" si="2257"/>
        <v>0.77625184113969625</v>
      </c>
      <c r="DE430" s="65">
        <f t="shared" si="2257"/>
        <v>0.75622712633213629</v>
      </c>
      <c r="DF430" s="65">
        <f t="shared" si="2257"/>
        <v>0.74449170152656918</v>
      </c>
      <c r="DG430" s="65">
        <f t="shared" si="2257"/>
        <v>0.75451635423782237</v>
      </c>
      <c r="DH430" s="1066">
        <f t="shared" si="2257"/>
        <v>0.74866712540798763</v>
      </c>
      <c r="DI430" s="65">
        <f t="shared" si="2257"/>
        <v>0.71836295099623049</v>
      </c>
      <c r="DJ430" s="65">
        <f t="shared" si="2257"/>
        <v>0.73217854763491008</v>
      </c>
      <c r="DK430" s="1066">
        <f t="shared" si="2257"/>
        <v>0.72501723464215084</v>
      </c>
      <c r="DL430" s="65">
        <f t="shared" si="2257"/>
        <v>0.74524714828897332</v>
      </c>
      <c r="DM430" s="65">
        <f t="shared" si="2257"/>
        <v>0.75381448292564779</v>
      </c>
      <c r="DN430" s="1066">
        <f t="shared" si="2257"/>
        <v>0.7495467481906416</v>
      </c>
      <c r="DO430" s="65">
        <f t="shared" si="2257"/>
        <v>0.74571332511487176</v>
      </c>
      <c r="DP430" s="65">
        <f t="shared" ref="DP430:ER430" si="2258">DP429/DP420</f>
        <v>0.75446680458905402</v>
      </c>
      <c r="DQ430" s="1066">
        <f t="shared" si="2258"/>
        <v>0.75048957712685016</v>
      </c>
      <c r="DR430" s="65">
        <f t="shared" si="2258"/>
        <v>0.74330878390515542</v>
      </c>
      <c r="DS430" s="65">
        <f t="shared" si="2258"/>
        <v>0.75864779874213839</v>
      </c>
      <c r="DT430" s="1066">
        <f t="shared" si="2258"/>
        <v>0.75077591368421792</v>
      </c>
      <c r="DU430" s="65">
        <f t="shared" si="2258"/>
        <v>0.7457047610906915</v>
      </c>
      <c r="DV430" s="65">
        <f t="shared" si="2258"/>
        <v>0.73210220086010624</v>
      </c>
      <c r="DW430" s="1066">
        <f t="shared" si="2258"/>
        <v>0.73904760376690382</v>
      </c>
      <c r="DX430" s="65">
        <f t="shared" si="2258"/>
        <v>0.72857142857142865</v>
      </c>
      <c r="DY430" s="65">
        <f t="shared" si="2258"/>
        <v>0.73</v>
      </c>
      <c r="DZ430" s="1066">
        <f t="shared" si="2258"/>
        <v>0.72928582940855069</v>
      </c>
      <c r="EA430" s="65">
        <f t="shared" si="2258"/>
        <v>0.73499999999999999</v>
      </c>
      <c r="EB430" s="65">
        <f t="shared" si="2258"/>
        <v>0.73499999999999999</v>
      </c>
      <c r="EC430" s="1066">
        <f t="shared" si="2258"/>
        <v>0.73499999999999999</v>
      </c>
      <c r="ED430" s="65">
        <f t="shared" si="2258"/>
        <v>0.73999999999999988</v>
      </c>
      <c r="EE430" s="65">
        <f t="shared" si="2258"/>
        <v>0.74</v>
      </c>
      <c r="EF430" s="1066">
        <f t="shared" si="2258"/>
        <v>0.74</v>
      </c>
      <c r="EG430" s="65">
        <f t="shared" si="2258"/>
        <v>0.74249999999999994</v>
      </c>
      <c r="EH430" s="65">
        <f t="shared" si="2258"/>
        <v>0.74249999999999994</v>
      </c>
      <c r="EI430" s="1066">
        <f t="shared" si="2258"/>
        <v>0.74249999999999994</v>
      </c>
      <c r="EJ430" s="65">
        <f t="shared" si="2258"/>
        <v>0.74350000000000005</v>
      </c>
      <c r="EK430" s="65">
        <f t="shared" si="2258"/>
        <v>0.74349999999999983</v>
      </c>
      <c r="EL430" s="1066">
        <f t="shared" si="2258"/>
        <v>0.74349999999999994</v>
      </c>
      <c r="EM430" s="65">
        <f t="shared" si="2258"/>
        <v>0.74449999999999994</v>
      </c>
      <c r="EN430" s="65">
        <f t="shared" si="2258"/>
        <v>0.74449999999999994</v>
      </c>
      <c r="EO430" s="1066">
        <f t="shared" si="2258"/>
        <v>0.74449999999999994</v>
      </c>
      <c r="EP430" s="65">
        <f t="shared" si="2258"/>
        <v>0.74449999999999994</v>
      </c>
      <c r="EQ430" s="65">
        <f t="shared" si="2258"/>
        <v>0.74449999999999994</v>
      </c>
      <c r="ER430" s="1066">
        <f t="shared" si="2258"/>
        <v>0.74449999999999994</v>
      </c>
      <c r="ES430" s="65">
        <f t="shared" ref="ES430:EX430" si="2259">ES429/ES420</f>
        <v>0.74449999999999983</v>
      </c>
      <c r="ET430" s="65">
        <f t="shared" si="2259"/>
        <v>0.74449999999999983</v>
      </c>
      <c r="EU430" s="1066">
        <f t="shared" si="2259"/>
        <v>0.74449999999999994</v>
      </c>
      <c r="EV430" s="65">
        <f t="shared" si="2259"/>
        <v>0.74449999999999994</v>
      </c>
      <c r="EW430" s="65">
        <f t="shared" si="2259"/>
        <v>0.74449999999999994</v>
      </c>
      <c r="EX430" s="1066">
        <f t="shared" si="2259"/>
        <v>0.74449999999999994</v>
      </c>
      <c r="EY430" s="65">
        <f t="shared" ref="EY430:FA430" si="2260">EY429/EY420</f>
        <v>0.74449999999999983</v>
      </c>
      <c r="EZ430" s="65">
        <f t="shared" si="2260"/>
        <v>0.74450000000000005</v>
      </c>
      <c r="FA430" s="1066">
        <f t="shared" si="2260"/>
        <v>0.74449999999999994</v>
      </c>
    </row>
    <row r="431" spans="1:157" s="233" customFormat="1" outlineLevel="1">
      <c r="A431" s="1147"/>
      <c r="B431" s="246" t="s">
        <v>394</v>
      </c>
      <c r="D431" s="245" t="s">
        <v>604</v>
      </c>
      <c r="BA431" s="233">
        <f>BA328</f>
        <v>0</v>
      </c>
      <c r="BB431" s="233">
        <f>BB328</f>
        <v>0</v>
      </c>
      <c r="BC431" s="1020">
        <f>SUM(BA431:BB431)</f>
        <v>0</v>
      </c>
      <c r="BD431" s="233">
        <f>BD328</f>
        <v>0</v>
      </c>
      <c r="BE431" s="233">
        <f>BE328</f>
        <v>0</v>
      </c>
      <c r="BF431" s="1020">
        <f>SUM(BD431:BE431)</f>
        <v>0</v>
      </c>
      <c r="BG431" s="233">
        <f>BG328</f>
        <v>0</v>
      </c>
      <c r="BH431" s="233">
        <f>BH328</f>
        <v>0</v>
      </c>
      <c r="BI431" s="1020">
        <f>SUM(BG431:BH431)</f>
        <v>0</v>
      </c>
      <c r="BJ431" s="233">
        <f>BJ328</f>
        <v>0</v>
      </c>
      <c r="BK431" s="233">
        <f>BK328</f>
        <v>0</v>
      </c>
      <c r="BL431" s="1020">
        <f>SUM(BJ431:BK431)</f>
        <v>0</v>
      </c>
      <c r="BM431" s="233">
        <f>BM328</f>
        <v>62.179163589005086</v>
      </c>
      <c r="BN431" s="233">
        <f>BN328</f>
        <v>58.149187245040771</v>
      </c>
      <c r="BO431" s="1020">
        <f>SUM(BM431:BN431)</f>
        <v>120.32835083404586</v>
      </c>
      <c r="BP431" s="233">
        <f>BP328</f>
        <v>69.605795235287289</v>
      </c>
      <c r="BQ431" s="233">
        <f>BQ328</f>
        <v>78.110690015699305</v>
      </c>
      <c r="BR431" s="1020">
        <f>SUM(BP431:BQ431)</f>
        <v>147.71648525098658</v>
      </c>
      <c r="BS431" s="233">
        <f>BS328</f>
        <v>75.67184682572784</v>
      </c>
      <c r="BT431" s="233">
        <f>BT328</f>
        <v>78.913295377119113</v>
      </c>
      <c r="BU431" s="889">
        <f>SUM(BS431:BT431)</f>
        <v>154.58514220284695</v>
      </c>
      <c r="BV431" s="233">
        <f>BV328</f>
        <v>90.667153007415223</v>
      </c>
      <c r="BW431" s="233">
        <f>BW328</f>
        <v>102.04092447866236</v>
      </c>
      <c r="BX431" s="889">
        <f>SUM(BV431:BW431)</f>
        <v>192.70807748607757</v>
      </c>
      <c r="BY431" s="233">
        <f>BY328</f>
        <v>111.87763261757691</v>
      </c>
      <c r="BZ431" s="233">
        <f>BZ328</f>
        <v>131.30926460743461</v>
      </c>
      <c r="CA431" s="889">
        <f>SUM(BY431:BZ431)</f>
        <v>243.18689722501153</v>
      </c>
      <c r="CB431" s="233">
        <f>CB328</f>
        <v>107.33101311654636</v>
      </c>
      <c r="CC431" s="233">
        <f>CC328</f>
        <v>114.30850411941557</v>
      </c>
      <c r="CD431" s="889">
        <f>SUM(CB431:CC431)</f>
        <v>221.63951723596193</v>
      </c>
      <c r="CE431" s="233">
        <f>CE328</f>
        <v>99.102674587263834</v>
      </c>
      <c r="CF431" s="233">
        <f>CF328</f>
        <v>110.25895177210839</v>
      </c>
      <c r="CG431" s="889">
        <f>SUM(CE431:CF431)</f>
        <v>209.36162635937222</v>
      </c>
      <c r="CH431" s="233">
        <f>CH328</f>
        <v>103.41046684431518</v>
      </c>
      <c r="CI431" s="233">
        <f>CI328</f>
        <v>104.2175814057521</v>
      </c>
      <c r="CJ431" s="889">
        <f>SUM(CH431:CI431)</f>
        <v>207.62804825006728</v>
      </c>
      <c r="CK431" s="233">
        <f>CK328</f>
        <v>102.42642220400828</v>
      </c>
      <c r="CL431" s="233">
        <f>CL328</f>
        <v>102.0192074730253</v>
      </c>
      <c r="CM431" s="889">
        <f>SUM(CK431:CL431)</f>
        <v>204.44562967703359</v>
      </c>
      <c r="CN431" s="233">
        <f>CN328</f>
        <v>118.13889406623848</v>
      </c>
      <c r="CO431" s="233">
        <f>CO328</f>
        <v>141.02298955291948</v>
      </c>
      <c r="CP431" s="889">
        <f>SUM(CN431:CO431)</f>
        <v>259.16188361915795</v>
      </c>
      <c r="CQ431" s="233">
        <f>CQ328</f>
        <v>132.71261118530788</v>
      </c>
      <c r="CR431" s="233">
        <f>CR328</f>
        <v>130.17399872550897</v>
      </c>
      <c r="CS431" s="889">
        <f>SUM(CQ431:CR431)</f>
        <v>262.88660991081684</v>
      </c>
      <c r="CT431" s="233">
        <f>CT328</f>
        <v>158.46403025182417</v>
      </c>
      <c r="CU431" s="233">
        <f>CU328</f>
        <v>151.89864594147249</v>
      </c>
      <c r="CV431" s="889">
        <f>SUM(CT431:CU431)</f>
        <v>310.36267619329669</v>
      </c>
      <c r="CW431" s="233">
        <f>CW328</f>
        <v>144.27069226941859</v>
      </c>
      <c r="CX431" s="233">
        <f>CX328</f>
        <v>144.43753633858663</v>
      </c>
      <c r="CY431" s="889">
        <f>SUM(CW431:CX431)</f>
        <v>288.70822860800524</v>
      </c>
      <c r="CZ431" s="233">
        <f>CZ328</f>
        <v>153.79298063705602</v>
      </c>
      <c r="DA431" s="233">
        <f>DA328</f>
        <v>174.82804639464382</v>
      </c>
      <c r="DB431" s="889">
        <f>SUM(CZ431:DA431)</f>
        <v>328.62102703169984</v>
      </c>
      <c r="DC431" s="233">
        <f>DC328</f>
        <v>178.36045726366928</v>
      </c>
      <c r="DD431" s="233">
        <f>DD328</f>
        <v>192.9646652721101</v>
      </c>
      <c r="DE431" s="889">
        <f>SUM(DC431:DD431)</f>
        <v>371.32512253577937</v>
      </c>
      <c r="DF431" s="233">
        <f>DF328</f>
        <v>189.09083443057676</v>
      </c>
      <c r="DG431" s="233">
        <f>DG328</f>
        <v>149.86200297910227</v>
      </c>
      <c r="DH431" s="1060">
        <f>SUM(DF431:DG431)</f>
        <v>338.95283740967903</v>
      </c>
      <c r="DI431" s="233">
        <f>DI328</f>
        <v>170.68303715670436</v>
      </c>
      <c r="DJ431" s="233">
        <f>DJ328</f>
        <v>205.08321119253833</v>
      </c>
      <c r="DK431" s="1060">
        <f>SUM(DI431:DJ431)</f>
        <v>375.76624834924269</v>
      </c>
      <c r="DL431" s="233">
        <f>DL328</f>
        <v>213.7368821292776</v>
      </c>
      <c r="DM431" s="233">
        <f>DM328</f>
        <v>219.88768466941147</v>
      </c>
      <c r="DN431" s="1060">
        <f>SUM(DL431:DM431)</f>
        <v>433.6245667986891</v>
      </c>
      <c r="DO431" s="233">
        <f>DO328</f>
        <v>213.7960103104337</v>
      </c>
      <c r="DP431" s="233">
        <f>DP328</f>
        <v>266.10044197855933</v>
      </c>
      <c r="DQ431" s="1060">
        <f>SUM(DO431:DP431)</f>
        <v>479.89645228899303</v>
      </c>
      <c r="DR431" s="233">
        <f>DR328</f>
        <v>262.01634632656726</v>
      </c>
      <c r="DS431" s="233">
        <f>DS328</f>
        <v>298.22444968553464</v>
      </c>
      <c r="DT431" s="1060">
        <f>SUM(DR431:DS431)</f>
        <v>560.2407960121019</v>
      </c>
      <c r="DU431" s="233">
        <f>DU328</f>
        <v>268.60285494486709</v>
      </c>
      <c r="DV431" s="233">
        <f>DV328</f>
        <v>314.43789526941566</v>
      </c>
      <c r="DW431" s="1060">
        <f>SUM(DU431:DV431)</f>
        <v>583.04075021428275</v>
      </c>
      <c r="DX431" s="233">
        <f>DX328</f>
        <v>270.81</v>
      </c>
      <c r="DY431" s="233">
        <f>DY328</f>
        <v>364.84867243105862</v>
      </c>
      <c r="DZ431" s="1060">
        <f>SUM(DX431:DY431)</f>
        <v>635.65867243105868</v>
      </c>
      <c r="EA431" s="233">
        <f>EA328</f>
        <v>321.0243553530056</v>
      </c>
      <c r="EB431" s="233">
        <f>EB328</f>
        <v>392.73578968777861</v>
      </c>
      <c r="EC431" s="1060">
        <f>SUM(EA431:EB431)</f>
        <v>713.76014504078421</v>
      </c>
      <c r="ED431" s="233">
        <f>ED328</f>
        <v>351.62380919947066</v>
      </c>
      <c r="EE431" s="233">
        <f>EE328</f>
        <v>430.17349665452434</v>
      </c>
      <c r="EF431" s="1060">
        <f>SUM(ED431:EE431)</f>
        <v>781.797305853995</v>
      </c>
      <c r="EG431" s="233">
        <f>EG328</f>
        <v>384.56478294643455</v>
      </c>
      <c r="EH431" s="233">
        <f>EH328</f>
        <v>470.47319618908506</v>
      </c>
      <c r="EI431" s="1060">
        <f>SUM(EG431:EH431)</f>
        <v>855.03797913551966</v>
      </c>
      <c r="EJ431" s="233">
        <f>EJ328</f>
        <v>419.74015969230277</v>
      </c>
      <c r="EK431" s="233">
        <f>EK328</f>
        <v>513.50644483444762</v>
      </c>
      <c r="EL431" s="1060">
        <f>SUM(EJ431:EK431)</f>
        <v>933.24660452675039</v>
      </c>
      <c r="EM431" s="233">
        <f>EM328</f>
        <v>458.13212951056107</v>
      </c>
      <c r="EN431" s="233">
        <f>EN328</f>
        <v>560.47484534684395</v>
      </c>
      <c r="EO431" s="1060">
        <f>SUM(EM431:EN431)</f>
        <v>1018.606974857405</v>
      </c>
      <c r="EP431" s="233">
        <f>EP328</f>
        <v>499.36402116651163</v>
      </c>
      <c r="EQ431" s="233">
        <f>EQ328</f>
        <v>610.91758142805998</v>
      </c>
      <c r="ER431" s="1060">
        <f>SUM(EP431:EQ431)</f>
        <v>1110.2816025945717</v>
      </c>
      <c r="ES431" s="233">
        <f>ES328</f>
        <v>544.30678307149765</v>
      </c>
      <c r="ET431" s="233">
        <f>ET328</f>
        <v>665.90016375658547</v>
      </c>
      <c r="EU431" s="1060">
        <f>SUM(ES431:ET431)</f>
        <v>1210.2069468280831</v>
      </c>
      <c r="EV431" s="233">
        <f>EV328</f>
        <v>593.29439354793249</v>
      </c>
      <c r="EW431" s="233">
        <f>EW328</f>
        <v>725.83117849467806</v>
      </c>
      <c r="EX431" s="1060">
        <f>SUM(EV431:EW431)</f>
        <v>1319.1255720426107</v>
      </c>
      <c r="EY431" s="233">
        <f>EY328</f>
        <v>646.69088896724645</v>
      </c>
      <c r="EZ431" s="233">
        <f>EZ328</f>
        <v>791.1559845591994</v>
      </c>
      <c r="FA431" s="1060">
        <f>SUM(EY431:EZ431)</f>
        <v>1437.846873526446</v>
      </c>
    </row>
    <row r="432" spans="1:157" outlineLevel="1">
      <c r="B432" s="31"/>
      <c r="C432" s="35" t="str">
        <f>C430</f>
        <v>margin</v>
      </c>
      <c r="D432" s="162" t="s">
        <v>460</v>
      </c>
      <c r="BA432" s="65"/>
      <c r="BB432" s="65"/>
      <c r="BC432" s="65"/>
      <c r="BD432" s="65">
        <f t="shared" ref="BD432:CI432" si="2261">BD431/BD422</f>
        <v>0</v>
      </c>
      <c r="BE432" s="65">
        <f t="shared" si="2261"/>
        <v>0</v>
      </c>
      <c r="BF432" s="65">
        <f t="shared" si="2261"/>
        <v>0</v>
      </c>
      <c r="BG432" s="65">
        <f t="shared" si="2261"/>
        <v>0</v>
      </c>
      <c r="BH432" s="65">
        <f t="shared" si="2261"/>
        <v>0</v>
      </c>
      <c r="BI432" s="65">
        <f t="shared" si="2261"/>
        <v>0</v>
      </c>
      <c r="BJ432" s="65">
        <f t="shared" si="2261"/>
        <v>0</v>
      </c>
      <c r="BK432" s="65">
        <f t="shared" si="2261"/>
        <v>0</v>
      </c>
      <c r="BL432" s="65">
        <f t="shared" si="2261"/>
        <v>0</v>
      </c>
      <c r="BM432" s="65">
        <f t="shared" si="2261"/>
        <v>0.86459677567380688</v>
      </c>
      <c r="BN432" s="65">
        <f t="shared" si="2261"/>
        <v>0.84053401823888807</v>
      </c>
      <c r="BO432" s="65">
        <f t="shared" si="2261"/>
        <v>0.85279866959130257</v>
      </c>
      <c r="BP432" s="65">
        <f t="shared" si="2261"/>
        <v>0.85508654321292688</v>
      </c>
      <c r="BQ432" s="65">
        <f t="shared" si="2261"/>
        <v>0.85568764809538134</v>
      </c>
      <c r="BR432" s="65">
        <f t="shared" si="2261"/>
        <v>0.85540429494589776</v>
      </c>
      <c r="BS432" s="65">
        <f t="shared" si="2261"/>
        <v>0.72999340953422998</v>
      </c>
      <c r="BT432" s="65">
        <f t="shared" si="2261"/>
        <v>0.72178334943537625</v>
      </c>
      <c r="BU432" s="65">
        <f t="shared" si="2261"/>
        <v>0.72577910063686402</v>
      </c>
      <c r="BV432" s="65">
        <f t="shared" si="2261"/>
        <v>0.7411080023493154</v>
      </c>
      <c r="BW432" s="65">
        <f t="shared" si="2261"/>
        <v>0.75662092536675729</v>
      </c>
      <c r="BX432" s="65">
        <f t="shared" si="2261"/>
        <v>0.74924214820172941</v>
      </c>
      <c r="BY432" s="65">
        <f t="shared" si="2261"/>
        <v>0.73105912123093986</v>
      </c>
      <c r="BZ432" s="65">
        <f t="shared" si="2261"/>
        <v>0.79166788346574413</v>
      </c>
      <c r="CA432" s="65">
        <f t="shared" si="2261"/>
        <v>0.76258262568206259</v>
      </c>
      <c r="CB432" s="65">
        <f t="shared" si="2261"/>
        <v>0.75771301385549683</v>
      </c>
      <c r="CC432" s="65">
        <f t="shared" si="2261"/>
        <v>0.76304887384513376</v>
      </c>
      <c r="CD432" s="65">
        <f t="shared" si="2261"/>
        <v>0.76045558098854993</v>
      </c>
      <c r="CE432" s="65">
        <f t="shared" si="2261"/>
        <v>0.72611514582350833</v>
      </c>
      <c r="CF432" s="65">
        <f t="shared" si="2261"/>
        <v>0.70296705213598198</v>
      </c>
      <c r="CG432" s="65">
        <f t="shared" si="2261"/>
        <v>0.71373757000912108</v>
      </c>
      <c r="CH432" s="65">
        <f t="shared" si="2261"/>
        <v>0.72551423411088578</v>
      </c>
      <c r="CI432" s="65">
        <f t="shared" si="2261"/>
        <v>0.73311514402931188</v>
      </c>
      <c r="CJ432" s="65">
        <f t="shared" ref="CJ432:DO432" si="2262">CJ431/CJ422</f>
        <v>0.72930965836372508</v>
      </c>
      <c r="CK432" s="65">
        <f t="shared" si="2262"/>
        <v>0.73091902338663028</v>
      </c>
      <c r="CL432" s="65">
        <f t="shared" si="2262"/>
        <v>0.7139744704873574</v>
      </c>
      <c r="CM432" s="65">
        <f t="shared" si="2262"/>
        <v>0.72236426401932452</v>
      </c>
      <c r="CN432" s="65">
        <f t="shared" si="2262"/>
        <v>0.69843919233707052</v>
      </c>
      <c r="CO432" s="65">
        <f t="shared" si="2262"/>
        <v>0.74492182989153277</v>
      </c>
      <c r="CP432" s="65">
        <f t="shared" si="2262"/>
        <v>0.72298797289530081</v>
      </c>
      <c r="CQ432" s="65">
        <f t="shared" si="2262"/>
        <v>0.7308003413306674</v>
      </c>
      <c r="CR432" s="65">
        <f t="shared" si="2262"/>
        <v>0.66404125185815166</v>
      </c>
      <c r="CS432" s="65">
        <f t="shared" si="2262"/>
        <v>0.69614495040361235</v>
      </c>
      <c r="CT432" s="65">
        <f t="shared" si="2262"/>
        <v>0.7530844513440933</v>
      </c>
      <c r="CU432" s="65">
        <f t="shared" si="2262"/>
        <v>0.7006599527895998</v>
      </c>
      <c r="CV432" s="65">
        <f t="shared" si="2262"/>
        <v>0.72648113698116801</v>
      </c>
      <c r="CW432" s="65">
        <f t="shared" si="2262"/>
        <v>0.69383977867902569</v>
      </c>
      <c r="CX432" s="65">
        <f t="shared" si="2262"/>
        <v>0.65475082583459387</v>
      </c>
      <c r="CY432" s="65">
        <f t="shared" si="2262"/>
        <v>0.67371751977595651</v>
      </c>
      <c r="CZ432" s="65">
        <f t="shared" si="2262"/>
        <v>0.70987486318016135</v>
      </c>
      <c r="DA432" s="65">
        <f t="shared" si="2262"/>
        <v>0.68944957653623606</v>
      </c>
      <c r="DB432" s="65">
        <f t="shared" si="2262"/>
        <v>0.69886018767282243</v>
      </c>
      <c r="DC432" s="65">
        <f t="shared" si="2262"/>
        <v>0.72067786583100824</v>
      </c>
      <c r="DD432" s="65">
        <f t="shared" si="2262"/>
        <v>0.71334847971597481</v>
      </c>
      <c r="DE432" s="65">
        <f t="shared" si="2262"/>
        <v>0.71685034277248871</v>
      </c>
      <c r="DF432" s="65">
        <f t="shared" si="2262"/>
        <v>0.72357919330588016</v>
      </c>
      <c r="DG432" s="65">
        <f t="shared" si="2262"/>
        <v>0.67807900154497514</v>
      </c>
      <c r="DH432" s="1066">
        <f t="shared" si="2262"/>
        <v>0.7027307259755885</v>
      </c>
      <c r="DI432" s="65">
        <f t="shared" si="2262"/>
        <v>0.71836295099623049</v>
      </c>
      <c r="DJ432" s="65">
        <f t="shared" si="2262"/>
        <v>0.73217854763491008</v>
      </c>
      <c r="DK432" s="1066">
        <f t="shared" si="2262"/>
        <v>0.72583783725949902</v>
      </c>
      <c r="DL432" s="65">
        <f t="shared" si="2262"/>
        <v>0.74524714828897354</v>
      </c>
      <c r="DM432" s="65">
        <f t="shared" si="2262"/>
        <v>0.7538144829256479</v>
      </c>
      <c r="DN432" s="1066">
        <f t="shared" si="2262"/>
        <v>0.74956709904699936</v>
      </c>
      <c r="DO432" s="65">
        <f t="shared" si="2262"/>
        <v>0.74571332511487165</v>
      </c>
      <c r="DP432" s="65">
        <f t="shared" ref="DP432:ER432" si="2263">DP431/DP422</f>
        <v>0.75446680458905402</v>
      </c>
      <c r="DQ432" s="1066">
        <f t="shared" si="2263"/>
        <v>0.7505418396762481</v>
      </c>
      <c r="DR432" s="65">
        <f t="shared" si="2263"/>
        <v>0.74330878390515531</v>
      </c>
      <c r="DS432" s="65">
        <f t="shared" si="2263"/>
        <v>0.75864779874213839</v>
      </c>
      <c r="DT432" s="1066">
        <f t="shared" si="2263"/>
        <v>0.75139591739820533</v>
      </c>
      <c r="DU432" s="65">
        <f t="shared" si="2263"/>
        <v>0.7457047610906915</v>
      </c>
      <c r="DV432" s="65">
        <f t="shared" si="2263"/>
        <v>0.73210220086010624</v>
      </c>
      <c r="DW432" s="1066">
        <f t="shared" si="2263"/>
        <v>0.73830663570252342</v>
      </c>
      <c r="DX432" s="65">
        <f t="shared" si="2263"/>
        <v>0.72857142857142865</v>
      </c>
      <c r="DY432" s="65">
        <f t="shared" si="2263"/>
        <v>0.73000000000000009</v>
      </c>
      <c r="DZ432" s="1066">
        <f t="shared" si="2263"/>
        <v>0.72939070057752009</v>
      </c>
      <c r="EA432" s="65">
        <f t="shared" si="2263"/>
        <v>0.73499999999999999</v>
      </c>
      <c r="EB432" s="65">
        <f t="shared" si="2263"/>
        <v>0.73499999999999999</v>
      </c>
      <c r="EC432" s="1066">
        <f t="shared" si="2263"/>
        <v>0.73499999999999999</v>
      </c>
      <c r="ED432" s="65">
        <f t="shared" si="2263"/>
        <v>0.74</v>
      </c>
      <c r="EE432" s="65">
        <f t="shared" si="2263"/>
        <v>0.74</v>
      </c>
      <c r="EF432" s="1066">
        <f t="shared" si="2263"/>
        <v>0.74</v>
      </c>
      <c r="EG432" s="65">
        <f t="shared" si="2263"/>
        <v>0.74249999999999994</v>
      </c>
      <c r="EH432" s="65">
        <f t="shared" si="2263"/>
        <v>0.74249999999999994</v>
      </c>
      <c r="EI432" s="1066">
        <f t="shared" si="2263"/>
        <v>0.74249999999999994</v>
      </c>
      <c r="EJ432" s="65">
        <f t="shared" si="2263"/>
        <v>0.74349999999999994</v>
      </c>
      <c r="EK432" s="65">
        <f t="shared" si="2263"/>
        <v>0.74349999999999983</v>
      </c>
      <c r="EL432" s="1066">
        <f t="shared" si="2263"/>
        <v>0.74349999999999994</v>
      </c>
      <c r="EM432" s="65">
        <f t="shared" si="2263"/>
        <v>0.74450000000000005</v>
      </c>
      <c r="EN432" s="65">
        <f t="shared" si="2263"/>
        <v>0.74449999999999994</v>
      </c>
      <c r="EO432" s="1066">
        <f t="shared" si="2263"/>
        <v>0.74450000000000005</v>
      </c>
      <c r="EP432" s="65">
        <f t="shared" si="2263"/>
        <v>0.74449999999999994</v>
      </c>
      <c r="EQ432" s="65">
        <f t="shared" si="2263"/>
        <v>0.74449999999999994</v>
      </c>
      <c r="ER432" s="1066">
        <f t="shared" si="2263"/>
        <v>0.74449999999999994</v>
      </c>
      <c r="ES432" s="65">
        <f t="shared" ref="ES432:EX432" si="2264">ES431/ES422</f>
        <v>0.74449999999999994</v>
      </c>
      <c r="ET432" s="65">
        <f t="shared" si="2264"/>
        <v>0.74449999999999994</v>
      </c>
      <c r="EU432" s="1066">
        <f t="shared" si="2264"/>
        <v>0.74449999999999983</v>
      </c>
      <c r="EV432" s="65">
        <f t="shared" si="2264"/>
        <v>0.74449999999999983</v>
      </c>
      <c r="EW432" s="65">
        <f t="shared" si="2264"/>
        <v>0.74449999999999994</v>
      </c>
      <c r="EX432" s="1066">
        <f t="shared" si="2264"/>
        <v>0.74450000000000005</v>
      </c>
      <c r="EY432" s="65">
        <f t="shared" ref="EY432:FA432" si="2265">EY431/EY422</f>
        <v>0.74449999999999983</v>
      </c>
      <c r="EZ432" s="65">
        <f t="shared" si="2265"/>
        <v>0.74450000000000005</v>
      </c>
      <c r="FA432" s="1066">
        <f t="shared" si="2265"/>
        <v>0.74449999999999994</v>
      </c>
    </row>
    <row r="433" spans="1:157" s="233" customFormat="1" outlineLevel="1">
      <c r="A433" s="1147"/>
      <c r="B433" s="246" t="s">
        <v>384</v>
      </c>
      <c r="D433" s="245" t="s">
        <v>604</v>
      </c>
      <c r="BA433" s="233">
        <f>BA402</f>
        <v>0</v>
      </c>
      <c r="BB433" s="233">
        <f>BB402</f>
        <v>0</v>
      </c>
      <c r="BC433" s="1020">
        <f>SUM(BA433:BB433)</f>
        <v>0</v>
      </c>
      <c r="BD433" s="233">
        <f>BD402</f>
        <v>0</v>
      </c>
      <c r="BE433" s="233">
        <f>BE402</f>
        <v>0</v>
      </c>
      <c r="BF433" s="1020">
        <f>SUM(BD433:BE433)</f>
        <v>0</v>
      </c>
      <c r="BG433" s="233">
        <f>BG402</f>
        <v>0</v>
      </c>
      <c r="BH433" s="233">
        <f>BH402</f>
        <v>0</v>
      </c>
      <c r="BI433" s="1020">
        <f>SUM(BG433:BH433)</f>
        <v>0</v>
      </c>
      <c r="BJ433" s="233">
        <f>BJ402</f>
        <v>0</v>
      </c>
      <c r="BK433" s="233">
        <f>BK402</f>
        <v>0</v>
      </c>
      <c r="BL433" s="1020">
        <f>SUM(BJ433:BK433)</f>
        <v>0</v>
      </c>
      <c r="BM433" s="233">
        <f>BM402</f>
        <v>24.187300395939939</v>
      </c>
      <c r="BN433" s="233">
        <f>BN402</f>
        <v>25.34922899418784</v>
      </c>
      <c r="BO433" s="1020">
        <f>SUM(BM433:BN433)</f>
        <v>49.536529390127782</v>
      </c>
      <c r="BP433" s="233">
        <f>BP402</f>
        <v>27.60729874838519</v>
      </c>
      <c r="BQ433" s="233">
        <f>BQ402</f>
        <v>22.2259044134927</v>
      </c>
      <c r="BR433" s="1020">
        <f>SUM(BP433:BQ433)</f>
        <v>49.83320316187789</v>
      </c>
      <c r="BS433" s="233">
        <f>BS402</f>
        <v>31.411049641621993</v>
      </c>
      <c r="BT433" s="233">
        <f>BT402</f>
        <v>25.815773608585168</v>
      </c>
      <c r="BU433" s="889">
        <f>SUM(BS433:BT433)</f>
        <v>57.226823250207161</v>
      </c>
      <c r="BV433" s="233">
        <f>BV402</f>
        <v>31.842336729692576</v>
      </c>
      <c r="BW433" s="233">
        <f>BW402</f>
        <v>35.295853011115788</v>
      </c>
      <c r="BX433" s="889">
        <f>SUM(BV433:BW433)</f>
        <v>67.138189740808372</v>
      </c>
      <c r="BY433" s="233">
        <f>BY402</f>
        <v>32.673779511229988</v>
      </c>
      <c r="BZ433" s="233">
        <f>BZ402</f>
        <v>33.854700775031198</v>
      </c>
      <c r="CA433" s="889">
        <f>SUM(BY433:BZ433)</f>
        <v>66.528480286261185</v>
      </c>
      <c r="CB433" s="233">
        <f>CB402</f>
        <v>36.742916735339257</v>
      </c>
      <c r="CC433" s="233">
        <f>CC402</f>
        <v>34.336846284493021</v>
      </c>
      <c r="CD433" s="889">
        <f>SUM(CB433:CC433)</f>
        <v>71.079763019832285</v>
      </c>
      <c r="CE433" s="233">
        <f>CE402</f>
        <v>42.062977827436278</v>
      </c>
      <c r="CF433" s="233">
        <f>CF402</f>
        <v>44.00418939702827</v>
      </c>
      <c r="CG433" s="889">
        <f>SUM(CE433:CF433)</f>
        <v>86.067167224464555</v>
      </c>
      <c r="CH433" s="233">
        <f>CH402</f>
        <v>43.518991960480314</v>
      </c>
      <c r="CI433" s="233">
        <f>CI402</f>
        <v>46.878619680024649</v>
      </c>
      <c r="CJ433" s="889">
        <f>SUM(CH433:CI433)</f>
        <v>90.397611640504962</v>
      </c>
      <c r="CK433" s="233">
        <f>CK402</f>
        <v>53.196043276146774</v>
      </c>
      <c r="CL433" s="233">
        <f>CL402</f>
        <v>46.997759669048278</v>
      </c>
      <c r="CM433" s="889">
        <f>SUM(CK433:CL433)</f>
        <v>100.19380294519505</v>
      </c>
      <c r="CN433" s="233">
        <f>CN402</f>
        <v>41.063689514912305</v>
      </c>
      <c r="CO433" s="233">
        <f>CO402</f>
        <v>60.479051822241651</v>
      </c>
      <c r="CP433" s="889">
        <f>SUM(CN433:CO433)</f>
        <v>101.54274133715396</v>
      </c>
      <c r="CQ433" s="233">
        <f>CQ402</f>
        <v>55.146040968315333</v>
      </c>
      <c r="CR433" s="233">
        <f>CR402</f>
        <v>71.114368964032295</v>
      </c>
      <c r="CS433" s="889">
        <f>SUM(CQ433:CR433)</f>
        <v>126.26040993234763</v>
      </c>
      <c r="CT433" s="233">
        <f>CT402</f>
        <v>77.715116501760775</v>
      </c>
      <c r="CU433" s="233">
        <f>CU402</f>
        <v>80.678014915958727</v>
      </c>
      <c r="CV433" s="889">
        <f>SUM(CT433:CU433)</f>
        <v>158.3931314177195</v>
      </c>
      <c r="CW433" s="233">
        <f>CW402</f>
        <v>86.746874319012875</v>
      </c>
      <c r="CX433" s="233">
        <f>CX402</f>
        <v>87.497177354536205</v>
      </c>
      <c r="CY433" s="889">
        <f>SUM(CW433:CX433)</f>
        <v>174.24405167354908</v>
      </c>
      <c r="CZ433" s="233">
        <f>CZ402</f>
        <v>79.541326275157843</v>
      </c>
      <c r="DA433" s="233">
        <f>DA402</f>
        <v>102.04775891610504</v>
      </c>
      <c r="DB433" s="889">
        <f>SUM(CZ433:DA433)</f>
        <v>181.58908519126288</v>
      </c>
      <c r="DC433" s="233">
        <f>DC402</f>
        <v>94.815667661209545</v>
      </c>
      <c r="DD433" s="233">
        <f>DD402</f>
        <v>106.88995158196927</v>
      </c>
      <c r="DE433" s="889">
        <f>SUM(DC433:DD433)</f>
        <v>201.70561924317883</v>
      </c>
      <c r="DF433" s="233">
        <f>DF402</f>
        <v>110.81777151194814</v>
      </c>
      <c r="DG433" s="233">
        <f>DG402</f>
        <v>73.879790886096558</v>
      </c>
      <c r="DH433" s="1060">
        <f>SUM(DF433:DG433)</f>
        <v>184.69756239804468</v>
      </c>
      <c r="DI433" s="233">
        <f>DI402</f>
        <v>99.851163051189388</v>
      </c>
      <c r="DJ433" s="233">
        <f>DJ402</f>
        <v>93.69195222448873</v>
      </c>
      <c r="DK433" s="1060">
        <f>SUM(DI433:DJ433)</f>
        <v>193.54311527567813</v>
      </c>
      <c r="DL433" s="233">
        <f>DL402</f>
        <v>110.09526283214582</v>
      </c>
      <c r="DM433" s="233">
        <f>DM402</f>
        <v>112.20682844087465</v>
      </c>
      <c r="DN433" s="1060">
        <f>SUM(DL433:DM433)</f>
        <v>222.30209127302047</v>
      </c>
      <c r="DO433" s="233">
        <f>DO402</f>
        <v>125.89377778110602</v>
      </c>
      <c r="DP433" s="233">
        <f>DP402</f>
        <v>132.20543387877643</v>
      </c>
      <c r="DQ433" s="1060">
        <f>SUM(DO433:DP433)</f>
        <v>258.09921165988249</v>
      </c>
      <c r="DR433" s="233">
        <f>DR402</f>
        <v>134.96025449593157</v>
      </c>
      <c r="DS433" s="233">
        <f>DS402</f>
        <v>153.79136980624472</v>
      </c>
      <c r="DT433" s="1060">
        <f>SUM(DR433:DS433)</f>
        <v>288.75162430217631</v>
      </c>
      <c r="DU433" s="233">
        <f>DU402</f>
        <v>180.62475029601143</v>
      </c>
      <c r="DV433" s="233">
        <f>DV402</f>
        <v>155.2862620145342</v>
      </c>
      <c r="DW433" s="1060">
        <f>SUM(DU433:DV433)</f>
        <v>335.91101231054563</v>
      </c>
      <c r="DX433" s="233">
        <f>DX402</f>
        <v>162.38795885283889</v>
      </c>
      <c r="DY433" s="233">
        <f>DY402</f>
        <v>192.82109106310816</v>
      </c>
      <c r="DZ433" s="1060">
        <f>SUM(DX433:DY433)</f>
        <v>355.20904991594705</v>
      </c>
      <c r="EA433" s="233">
        <f>EA402</f>
        <v>209.88421646665512</v>
      </c>
      <c r="EB433" s="233">
        <f>EB402</f>
        <v>208.17761415877825</v>
      </c>
      <c r="EC433" s="1060">
        <f>SUM(EA433:EB433)</f>
        <v>418.06183062543334</v>
      </c>
      <c r="ED433" s="233">
        <f>ED402</f>
        <v>230.8331628360059</v>
      </c>
      <c r="EE433" s="233">
        <f>EE402</f>
        <v>228.91760109780026</v>
      </c>
      <c r="EF433" s="1060">
        <f>SUM(ED433:EE433)</f>
        <v>459.75076393380618</v>
      </c>
      <c r="EG433" s="233">
        <f>EG402</f>
        <v>254.29575394298814</v>
      </c>
      <c r="EH433" s="233">
        <f>EH402</f>
        <v>252.13867906105304</v>
      </c>
      <c r="EI433" s="1060">
        <f>SUM(EG433:EH433)</f>
        <v>506.43443300404118</v>
      </c>
      <c r="EJ433" s="233">
        <f>EJ402</f>
        <v>279.96456363617278</v>
      </c>
      <c r="EK433" s="233">
        <f>EK402</f>
        <v>277.53962943000204</v>
      </c>
      <c r="EL433" s="1060">
        <f>SUM(EJ433:EK433)</f>
        <v>557.50419306617482</v>
      </c>
      <c r="EM433" s="233">
        <f>EM402</f>
        <v>308.04229939383271</v>
      </c>
      <c r="EN433" s="233">
        <f>EN402</f>
        <v>305.32056339739927</v>
      </c>
      <c r="EO433" s="1060">
        <f>SUM(EM433:EN433)</f>
        <v>613.36286279123192</v>
      </c>
      <c r="EP433" s="233">
        <f>EP402</f>
        <v>338.75010289780994</v>
      </c>
      <c r="EQ433" s="233">
        <f>EQ402</f>
        <v>335.69978215806725</v>
      </c>
      <c r="ER433" s="1060">
        <f>SUM(EP433:EQ433)</f>
        <v>674.44988505587719</v>
      </c>
      <c r="ES433" s="233">
        <f>ES402</f>
        <v>372.32921793703196</v>
      </c>
      <c r="ET433" s="233">
        <f>ET402</f>
        <v>368.91542234470131</v>
      </c>
      <c r="EU433" s="1060">
        <f>SUM(ES433:ET433)</f>
        <v>741.24464028173327</v>
      </c>
      <c r="EV433" s="233">
        <f>EV402</f>
        <v>409.04280883171009</v>
      </c>
      <c r="EW433" s="233">
        <f>EW402</f>
        <v>405.22724993953676</v>
      </c>
      <c r="EX433" s="1060">
        <f>SUM(EV433:EW433)</f>
        <v>814.2700587712468</v>
      </c>
      <c r="EY433" s="233">
        <f>EY402</f>
        <v>449.17794294407503</v>
      </c>
      <c r="EZ433" s="233">
        <f>EZ402</f>
        <v>444.91861604264921</v>
      </c>
      <c r="FA433" s="1060">
        <f>SUM(EY433:EZ433)</f>
        <v>894.09655898672418</v>
      </c>
    </row>
    <row r="434" spans="1:157" outlineLevel="1">
      <c r="B434" s="31"/>
      <c r="C434" s="35" t="str">
        <f>C432</f>
        <v>margin</v>
      </c>
      <c r="D434" s="162" t="s">
        <v>460</v>
      </c>
      <c r="BA434" s="65">
        <f t="shared" ref="BA434:CF434" si="2266">BA433/BA424</f>
        <v>0</v>
      </c>
      <c r="BB434" s="65">
        <f t="shared" si="2266"/>
        <v>0</v>
      </c>
      <c r="BC434" s="65">
        <f t="shared" si="2266"/>
        <v>0</v>
      </c>
      <c r="BD434" s="65">
        <f t="shared" si="2266"/>
        <v>0</v>
      </c>
      <c r="BE434" s="65">
        <f t="shared" si="2266"/>
        <v>0</v>
      </c>
      <c r="BF434" s="65">
        <f t="shared" si="2266"/>
        <v>0</v>
      </c>
      <c r="BG434" s="65">
        <f t="shared" si="2266"/>
        <v>0</v>
      </c>
      <c r="BH434" s="65">
        <f t="shared" si="2266"/>
        <v>0</v>
      </c>
      <c r="BI434" s="65">
        <f t="shared" si="2266"/>
        <v>0</v>
      </c>
      <c r="BJ434" s="65">
        <f t="shared" si="2266"/>
        <v>0</v>
      </c>
      <c r="BK434" s="65">
        <f t="shared" si="2266"/>
        <v>0</v>
      </c>
      <c r="BL434" s="65">
        <f t="shared" si="2266"/>
        <v>0</v>
      </c>
      <c r="BM434" s="65">
        <f t="shared" si="2266"/>
        <v>0.86747165393210357</v>
      </c>
      <c r="BN434" s="65">
        <f t="shared" si="2266"/>
        <v>0.84257641161041286</v>
      </c>
      <c r="BO434" s="65">
        <f t="shared" si="2266"/>
        <v>0.85455100784754756</v>
      </c>
      <c r="BP434" s="65">
        <f t="shared" si="2266"/>
        <v>0.85456670447718197</v>
      </c>
      <c r="BQ434" s="65">
        <f t="shared" si="2266"/>
        <v>0.81647841870713656</v>
      </c>
      <c r="BR434" s="65">
        <f t="shared" si="2266"/>
        <v>0.83714903139545183</v>
      </c>
      <c r="BS434" s="65">
        <f t="shared" si="2266"/>
        <v>0.7438617387364006</v>
      </c>
      <c r="BT434" s="65">
        <f t="shared" si="2266"/>
        <v>0.68117294938085882</v>
      </c>
      <c r="BU434" s="65">
        <f t="shared" si="2266"/>
        <v>0.71421040923304746</v>
      </c>
      <c r="BV434" s="65">
        <f t="shared" si="2266"/>
        <v>0.7415714555460674</v>
      </c>
      <c r="BW434" s="65">
        <f t="shared" si="2266"/>
        <v>0.73313087842962332</v>
      </c>
      <c r="BX434" s="65">
        <f t="shared" si="2266"/>
        <v>0.73710999572706626</v>
      </c>
      <c r="BY434" s="65">
        <f t="shared" si="2266"/>
        <v>0.72071863926833546</v>
      </c>
      <c r="BZ434" s="65">
        <f t="shared" si="2266"/>
        <v>0.71750383127821304</v>
      </c>
      <c r="CA434" s="65">
        <f t="shared" si="2266"/>
        <v>0.71907911116917811</v>
      </c>
      <c r="CB434" s="65">
        <f t="shared" si="2266"/>
        <v>0.77258852374062803</v>
      </c>
      <c r="CC434" s="65">
        <f t="shared" si="2266"/>
        <v>0.69271334540625085</v>
      </c>
      <c r="CD434" s="65">
        <f t="shared" si="2266"/>
        <v>0.73182426721959726</v>
      </c>
      <c r="CE434" s="65">
        <f t="shared" si="2266"/>
        <v>0.74812289703301671</v>
      </c>
      <c r="CF434" s="65">
        <f t="shared" si="2266"/>
        <v>0.66960449047942072</v>
      </c>
      <c r="CG434" s="65">
        <f t="shared" ref="CG434:DL434" si="2267">CG433/CG424</f>
        <v>0.70580773118046691</v>
      </c>
      <c r="CH434" s="65">
        <f t="shared" si="2267"/>
        <v>0.72928544302769915</v>
      </c>
      <c r="CI434" s="65">
        <f t="shared" si="2267"/>
        <v>0.74124120049679465</v>
      </c>
      <c r="CJ434" s="65">
        <f t="shared" si="2267"/>
        <v>0.73543694043612284</v>
      </c>
      <c r="CK434" s="65">
        <f t="shared" si="2267"/>
        <v>0.68499828714576438</v>
      </c>
      <c r="CL434" s="65">
        <f t="shared" si="2267"/>
        <v>0.671839835175848</v>
      </c>
      <c r="CM434" s="65">
        <f t="shared" si="2267"/>
        <v>0.67876247293712177</v>
      </c>
      <c r="CN434" s="65">
        <f t="shared" si="2267"/>
        <v>0.70975680162666455</v>
      </c>
      <c r="CO434" s="65">
        <f t="shared" si="2267"/>
        <v>0.72215786376562119</v>
      </c>
      <c r="CP434" s="65">
        <f t="shared" si="2267"/>
        <v>0.71709107589651089</v>
      </c>
      <c r="CQ434" s="65">
        <f t="shared" si="2267"/>
        <v>0.86721247001596724</v>
      </c>
      <c r="CR434" s="65">
        <f t="shared" si="2267"/>
        <v>0.72777330976853383</v>
      </c>
      <c r="CS434" s="65">
        <f t="shared" si="2267"/>
        <v>0.7827433119391688</v>
      </c>
      <c r="CT434" s="65">
        <f t="shared" si="2267"/>
        <v>0.72482597768829005</v>
      </c>
      <c r="CU434" s="65">
        <f t="shared" si="2267"/>
        <v>0.78265238310781748</v>
      </c>
      <c r="CV434" s="65">
        <f t="shared" si="2267"/>
        <v>0.7531705205367315</v>
      </c>
      <c r="CW434" s="65">
        <f t="shared" si="2267"/>
        <v>0.77934087683735997</v>
      </c>
      <c r="CX434" s="65">
        <f t="shared" si="2267"/>
        <v>0.83409348910538361</v>
      </c>
      <c r="CY434" s="65">
        <f t="shared" si="2267"/>
        <v>0.80590592096260794</v>
      </c>
      <c r="CZ434" s="65">
        <f t="shared" si="2267"/>
        <v>0.84275323681322944</v>
      </c>
      <c r="DA434" s="65">
        <f t="shared" si="2267"/>
        <v>0.83328311205338867</v>
      </c>
      <c r="DB434" s="65">
        <f t="shared" si="2267"/>
        <v>0.83740497832010174</v>
      </c>
      <c r="DC434" s="65">
        <f t="shared" si="2267"/>
        <v>0.84051920337554931</v>
      </c>
      <c r="DD434" s="65">
        <f t="shared" si="2267"/>
        <v>0.8533725026777581</v>
      </c>
      <c r="DE434" s="65">
        <f t="shared" si="2267"/>
        <v>0.84728194524512468</v>
      </c>
      <c r="DF434" s="65">
        <f t="shared" si="2267"/>
        <v>0.83221229956148768</v>
      </c>
      <c r="DG434" s="65">
        <f t="shared" si="2267"/>
        <v>0.82457043564350252</v>
      </c>
      <c r="DH434" s="1066">
        <f t="shared" si="2267"/>
        <v>0.82913858764022919</v>
      </c>
      <c r="DI434" s="65">
        <f t="shared" si="2267"/>
        <v>0.77105145213273663</v>
      </c>
      <c r="DJ434" s="65">
        <f t="shared" si="2267"/>
        <v>0.77239861685481226</v>
      </c>
      <c r="DK434" s="1066">
        <f t="shared" si="2267"/>
        <v>0.77170301146602127</v>
      </c>
      <c r="DL434" s="65">
        <f t="shared" si="2267"/>
        <v>0.78583342492609443</v>
      </c>
      <c r="DM434" s="65">
        <f t="shared" ref="DM434:ER434" si="2268">DM433/DM424</f>
        <v>0.78576210392769363</v>
      </c>
      <c r="DN434" s="1066">
        <f t="shared" si="2268"/>
        <v>0.78579742408278719</v>
      </c>
      <c r="DO434" s="65">
        <f t="shared" si="2268"/>
        <v>0.78146354923094985</v>
      </c>
      <c r="DP434" s="65">
        <f t="shared" si="2268"/>
        <v>0.74734558439104826</v>
      </c>
      <c r="DQ434" s="1066">
        <f t="shared" si="2268"/>
        <v>0.76360713508840972</v>
      </c>
      <c r="DR434" s="65">
        <f t="shared" si="2268"/>
        <v>0.76900429912211721</v>
      </c>
      <c r="DS434" s="65">
        <f t="shared" si="2268"/>
        <v>0.78305178109085916</v>
      </c>
      <c r="DT434" s="1066">
        <f t="shared" si="2268"/>
        <v>0.77642275961865104</v>
      </c>
      <c r="DU434" s="65">
        <f t="shared" si="2268"/>
        <v>0.78875436810485344</v>
      </c>
      <c r="DV434" s="65">
        <f t="shared" si="2268"/>
        <v>0.77720851859126228</v>
      </c>
      <c r="DW434" s="1066">
        <f t="shared" si="2268"/>
        <v>0.78337456229138436</v>
      </c>
      <c r="DX434" s="65">
        <f t="shared" si="2268"/>
        <v>0.78146274712626984</v>
      </c>
      <c r="DY434" s="65">
        <f t="shared" si="2268"/>
        <v>0.8004819470371084</v>
      </c>
      <c r="DZ434" s="1066">
        <f t="shared" si="2268"/>
        <v>0.79167348946988481</v>
      </c>
      <c r="EA434" s="65">
        <f t="shared" si="2268"/>
        <v>0.80383850398926648</v>
      </c>
      <c r="EB434" s="65">
        <f t="shared" si="2268"/>
        <v>0.8083874219662418</v>
      </c>
      <c r="EC434" s="1066">
        <f t="shared" si="2268"/>
        <v>0.80609726099706636</v>
      </c>
      <c r="ED434" s="65">
        <f t="shared" si="2268"/>
        <v>0.81264708200656366</v>
      </c>
      <c r="EE434" s="65">
        <f t="shared" si="2268"/>
        <v>0.81710251932120959</v>
      </c>
      <c r="EF434" s="1066">
        <f t="shared" si="2268"/>
        <v>0.81485942882452556</v>
      </c>
      <c r="EG434" s="65">
        <f t="shared" si="2268"/>
        <v>0.82132754630140892</v>
      </c>
      <c r="EH434" s="65">
        <f t="shared" si="2268"/>
        <v>0.82567728825937792</v>
      </c>
      <c r="EI434" s="1066">
        <f t="shared" si="2268"/>
        <v>0.82348741010378701</v>
      </c>
      <c r="EJ434" s="65">
        <f t="shared" si="2268"/>
        <v>0.82957154385825971</v>
      </c>
      <c r="EK434" s="65">
        <f t="shared" si="2268"/>
        <v>0.83381436248010832</v>
      </c>
      <c r="EL434" s="1066">
        <f t="shared" si="2268"/>
        <v>0.83167831489202104</v>
      </c>
      <c r="EM434" s="65">
        <f t="shared" si="2268"/>
        <v>0.83740324742886341</v>
      </c>
      <c r="EN434" s="65">
        <f t="shared" si="2268"/>
        <v>0.84153837429018319</v>
      </c>
      <c r="EO434" s="1066">
        <f t="shared" si="2268"/>
        <v>0.83945654413296844</v>
      </c>
      <c r="EP434" s="65">
        <f t="shared" si="2268"/>
        <v>0.84484535775880398</v>
      </c>
      <c r="EQ434" s="65">
        <f t="shared" si="2268"/>
        <v>0.84887243473119356</v>
      </c>
      <c r="ER434" s="1066">
        <f t="shared" si="2268"/>
        <v>0.84684500230464166</v>
      </c>
      <c r="ES434" s="65">
        <f t="shared" ref="ES434:EX434" si="2269">ES433/ES424</f>
        <v>0.85191920046580216</v>
      </c>
      <c r="ET434" s="65">
        <f t="shared" si="2269"/>
        <v>0.85583823475104537</v>
      </c>
      <c r="EU434" s="1066">
        <f t="shared" si="2269"/>
        <v>0.85386519642941727</v>
      </c>
      <c r="EV434" s="65">
        <f t="shared" si="2269"/>
        <v>0.85864481618431621</v>
      </c>
      <c r="EW434" s="65">
        <f t="shared" si="2269"/>
        <v>0.8624561392952903</v>
      </c>
      <c r="EX434" s="1066">
        <f t="shared" si="2269"/>
        <v>0.8605373281783848</v>
      </c>
      <c r="EY434" s="65">
        <f t="shared" ref="EY434:FA434" si="2270">EY433/EY424</f>
        <v>0.86504104446083629</v>
      </c>
      <c r="EZ434" s="65">
        <f t="shared" si="2270"/>
        <v>0.86874527482968167</v>
      </c>
      <c r="FA434" s="1066">
        <f t="shared" si="2270"/>
        <v>0.86688037956775699</v>
      </c>
    </row>
    <row r="435" spans="1:157" s="233" customFormat="1" outlineLevel="1">
      <c r="A435" s="1433" t="s">
        <v>701</v>
      </c>
      <c r="D435" s="245" t="s">
        <v>604</v>
      </c>
      <c r="BA435" s="233">
        <f>BA429+BA431+BA433</f>
        <v>0</v>
      </c>
      <c r="BB435" s="233">
        <f>BB429+BB431+BB433</f>
        <v>0</v>
      </c>
      <c r="BC435" s="1020">
        <f>SUM(BA435:BB435)</f>
        <v>0</v>
      </c>
      <c r="BD435" s="233">
        <f>BD429+BD431+BD433</f>
        <v>0</v>
      </c>
      <c r="BE435" s="233">
        <f>BE429+BE431+BE433</f>
        <v>0</v>
      </c>
      <c r="BF435" s="1020">
        <f>SUM(BD435:BE435)</f>
        <v>0</v>
      </c>
      <c r="BG435" s="233">
        <f>BG429+BG431+BG433</f>
        <v>0</v>
      </c>
      <c r="BH435" s="233">
        <f>BH429+BH431+BH433</f>
        <v>0</v>
      </c>
      <c r="BI435" s="1020">
        <f>SUM(BG435:BH435)</f>
        <v>0</v>
      </c>
      <c r="BJ435" s="233">
        <f>BJ429+BJ431+BJ433</f>
        <v>0</v>
      </c>
      <c r="BK435" s="233">
        <f>BK429+BK431+BK433</f>
        <v>0</v>
      </c>
      <c r="BL435" s="1020">
        <f>SUM(BJ435:BK435)</f>
        <v>0</v>
      </c>
      <c r="BM435" s="233">
        <f>BM429+BM431+BM433</f>
        <v>146.13419306380894</v>
      </c>
      <c r="BN435" s="233">
        <f>BN429+BN431+BN433</f>
        <v>146.14989247915673</v>
      </c>
      <c r="BO435" s="1020">
        <f>SUM(BM435:BN435)</f>
        <v>292.28408554296567</v>
      </c>
      <c r="BP435" s="233">
        <f>BP429+BP431+BP433</f>
        <v>175.64453597434505</v>
      </c>
      <c r="BQ435" s="233">
        <f>BQ429+BQ431+BQ433</f>
        <v>187.10295596551026</v>
      </c>
      <c r="BR435" s="1020">
        <f>SUM(BP435:BQ435)</f>
        <v>362.74749193985531</v>
      </c>
      <c r="BS435" s="233">
        <f>BS429+BS431+BS433</f>
        <v>190.27198874121535</v>
      </c>
      <c r="BT435" s="233">
        <f>BT429+BT431+BT433</f>
        <v>191.2799894448894</v>
      </c>
      <c r="BU435" s="889">
        <f>SUM(BS435:BT435)</f>
        <v>381.55197818610475</v>
      </c>
      <c r="BV435" s="233">
        <f>BV429+BV431+BV433</f>
        <v>200.16800000000006</v>
      </c>
      <c r="BW435" s="233">
        <f>BW429+BW431+BW433</f>
        <v>211.26100000000002</v>
      </c>
      <c r="BX435" s="889">
        <f>SUM(BV435:BW435)</f>
        <v>411.42900000000009</v>
      </c>
      <c r="BY435" s="233">
        <f>BY429+BY431+BY433</f>
        <v>240.46400000000003</v>
      </c>
      <c r="BZ435" s="233">
        <f>BZ429+BZ431+BZ433</f>
        <v>275.12046399711721</v>
      </c>
      <c r="CA435" s="889">
        <f>SUM(BY435:BZ435)</f>
        <v>515.58446399711727</v>
      </c>
      <c r="CB435" s="233">
        <f>CB429+CB431+CB433</f>
        <v>239.48752384771862</v>
      </c>
      <c r="CC435" s="233">
        <f>CC429+CC431+CC433</f>
        <v>254.56269977420584</v>
      </c>
      <c r="CD435" s="889">
        <f>SUM(CB435:CC435)</f>
        <v>494.05022362192449</v>
      </c>
      <c r="CE435" s="233">
        <f>CE429+CE431+CE433</f>
        <v>254.0432488747029</v>
      </c>
      <c r="CF435" s="233">
        <f>CF429+CF431+CF433</f>
        <v>249.70611495770021</v>
      </c>
      <c r="CG435" s="889">
        <f>SUM(CE435:CF435)</f>
        <v>503.74936383240311</v>
      </c>
      <c r="CH435" s="233">
        <f>CH429+CH431+CH433</f>
        <v>250.92826632306023</v>
      </c>
      <c r="CI435" s="233">
        <f>CI429+CI431+CI433</f>
        <v>250.36743537759463</v>
      </c>
      <c r="CJ435" s="889">
        <f>SUM(CH435:CI435)</f>
        <v>501.29570170065483</v>
      </c>
      <c r="CK435" s="233">
        <f>CK429+CK431+CK433</f>
        <v>263.34802823471261</v>
      </c>
      <c r="CL435" s="233">
        <f>CL429+CL431+CL433</f>
        <v>243.60831318764724</v>
      </c>
      <c r="CM435" s="889">
        <f>SUM(CK435:CL435)</f>
        <v>506.95634142235986</v>
      </c>
      <c r="CN435" s="233">
        <f>CN429+CN431+CN433</f>
        <v>253.20328841609262</v>
      </c>
      <c r="CO435" s="233">
        <f>CO429+CO431+CO433</f>
        <v>319.28000000000009</v>
      </c>
      <c r="CP435" s="889">
        <f>SUM(CN435:CO435)</f>
        <v>572.48328841609271</v>
      </c>
      <c r="CQ435" s="233">
        <f>CQ429+CQ431+CQ433</f>
        <v>313.089</v>
      </c>
      <c r="CR435" s="233">
        <f>CR429+CR431+CR433</f>
        <v>353.4899999999999</v>
      </c>
      <c r="CS435" s="889">
        <f>SUM(CQ435:CR435)</f>
        <v>666.57899999999995</v>
      </c>
      <c r="CT435" s="233">
        <f>CT429+CT431+CT433</f>
        <v>430.75415762108423</v>
      </c>
      <c r="CU435" s="233">
        <f>CU429+CU431+CU433</f>
        <v>412.76333848482892</v>
      </c>
      <c r="CV435" s="889">
        <f>SUM(CT435:CU435)</f>
        <v>843.5174961059131</v>
      </c>
      <c r="CW435" s="233">
        <f>CW429+CW431+CW433</f>
        <v>428.11362804819447</v>
      </c>
      <c r="CX435" s="233">
        <f>CX429+CX431+CX433</f>
        <v>453.20466787430394</v>
      </c>
      <c r="CY435" s="889">
        <f>SUM(CW435:CX435)</f>
        <v>881.31829592249846</v>
      </c>
      <c r="CZ435" s="233">
        <f>CZ429+CZ431+CZ433</f>
        <v>455.62434961788153</v>
      </c>
      <c r="DA435" s="233">
        <f>DA429+DA431+DA433</f>
        <v>520.26145734306965</v>
      </c>
      <c r="DB435" s="889">
        <f>SUM(CZ435:DA435)</f>
        <v>975.88580696095119</v>
      </c>
      <c r="DC435" s="233">
        <f>DC429+DC431+DC433</f>
        <v>530.36508887987566</v>
      </c>
      <c r="DD435" s="233">
        <f>DD429+DD431+DD433</f>
        <v>562.09932636374117</v>
      </c>
      <c r="DE435" s="889">
        <f>SUM(DC435:DD435)</f>
        <v>1092.4644152436167</v>
      </c>
      <c r="DF435" s="233">
        <f>DF429+DF431+DF433</f>
        <v>583.02088290863799</v>
      </c>
      <c r="DG435" s="233">
        <f>DG429+DG431+DG433</f>
        <v>428.56042436740245</v>
      </c>
      <c r="DH435" s="1118">
        <f>SUM(DF435:DG435)</f>
        <v>1011.5813072760404</v>
      </c>
      <c r="DI435" s="1116">
        <f>DI429+DI431+DI433</f>
        <v>540.42316089717758</v>
      </c>
      <c r="DJ435" s="1116">
        <f>DJ429+DJ431+DJ433</f>
        <v>554.37869439637416</v>
      </c>
      <c r="DK435" s="1118">
        <f>SUM(DI435:DJ435)</f>
        <v>1094.8018552935519</v>
      </c>
      <c r="DL435" s="1116">
        <f>DL429+DL431+DL433</f>
        <v>613.28613735686065</v>
      </c>
      <c r="DM435" s="1116">
        <f>DM429+DM431+DM433</f>
        <v>627.06212027909214</v>
      </c>
      <c r="DN435" s="1117">
        <f>SUM(DL435:DM435)</f>
        <v>1240.3482576359529</v>
      </c>
      <c r="DO435" s="1116">
        <f>DO429+DO431+DO433</f>
        <v>671.15936110510017</v>
      </c>
      <c r="DP435" s="1116">
        <f>DP429+DP431+DP433</f>
        <v>801.04025614697275</v>
      </c>
      <c r="DQ435" s="1117">
        <f>SUM(DO435:DP435)</f>
        <v>1472.199617252073</v>
      </c>
      <c r="DR435" s="1116">
        <f>DR429+DR431+DR433</f>
        <v>832.10956292057676</v>
      </c>
      <c r="DS435" s="1116">
        <f>DS429+DS431+DS433</f>
        <v>873.29294213328888</v>
      </c>
      <c r="DT435" s="1117">
        <f>SUM(DR435:DS435)</f>
        <v>1705.4025050538658</v>
      </c>
      <c r="DU435" s="1116">
        <f>DU429+DU431+DU433</f>
        <v>882.25836000624304</v>
      </c>
      <c r="DV435" s="1116">
        <f>DV429+DV431+DV433</f>
        <v>877.21224228268488</v>
      </c>
      <c r="DW435" s="1117">
        <f>SUM(DU435:DV435)</f>
        <v>1759.4706022889279</v>
      </c>
      <c r="DX435" s="1116">
        <f>DX429+DX431+DX433</f>
        <v>867.79081599569599</v>
      </c>
      <c r="DY435" s="1116">
        <f>DY429+DY431+DY433</f>
        <v>993.25514917822318</v>
      </c>
      <c r="DZ435" s="1117">
        <f>SUM(DX435:DY435)</f>
        <v>1861.0459651739193</v>
      </c>
      <c r="EA435" s="1116">
        <f>EA429+EA431+EA433</f>
        <v>1037.331900510469</v>
      </c>
      <c r="EB435" s="1116">
        <f>EB429+EB431+EB433</f>
        <v>1069.779969340555</v>
      </c>
      <c r="EC435" s="1117">
        <f>SUM(EA435:EB435)</f>
        <v>2107.111869851024</v>
      </c>
      <c r="ED435" s="1116">
        <f>ED429+ED431+ED433</f>
        <v>1137.1380244526699</v>
      </c>
      <c r="EE435" s="1116">
        <f>EE429+EE431+EE433</f>
        <v>1172.6399967656412</v>
      </c>
      <c r="EF435" s="1117">
        <f>SUM(ED435:EE435)</f>
        <v>2309.7780212183111</v>
      </c>
      <c r="EG435" s="1116">
        <f>EG429+EG431+EG433</f>
        <v>1245.5054595212405</v>
      </c>
      <c r="EH435" s="1116">
        <f>EH429+EH431+EH433</f>
        <v>1284.2712842960195</v>
      </c>
      <c r="EI435" s="1117">
        <f>SUM(EG435:EH435)</f>
        <v>2529.77674381726</v>
      </c>
      <c r="EJ435" s="1116">
        <f>EJ429+EJ431+EJ433</f>
        <v>1361.8382519138827</v>
      </c>
      <c r="EK435" s="1116">
        <f>EK429+EK431+EK433</f>
        <v>1404.0793537013765</v>
      </c>
      <c r="EL435" s="1117">
        <f>SUM(EJ435:EK435)</f>
        <v>2765.9176056152592</v>
      </c>
      <c r="EM435" s="1116">
        <f>EM429+EM431+EM433</f>
        <v>1488.8706886417181</v>
      </c>
      <c r="EN435" s="1116">
        <f>EN429+EN431+EN433</f>
        <v>1534.9004140293318</v>
      </c>
      <c r="EO435" s="1117">
        <f>SUM(EM435:EN435)</f>
        <v>3023.7711026710499</v>
      </c>
      <c r="EP435" s="1116">
        <f>EP429+EP431+EP433</f>
        <v>1625.853047178005</v>
      </c>
      <c r="EQ435" s="1116">
        <f>EQ429+EQ431+EQ433</f>
        <v>1675.9418193468737</v>
      </c>
      <c r="ER435" s="1117">
        <f>SUM(EP435:EQ435)</f>
        <v>3301.7948665248787</v>
      </c>
      <c r="ES435" s="1116">
        <f>ES429+ES431+ES433</f>
        <v>1775.2714272024446</v>
      </c>
      <c r="ET435" s="1116">
        <f>ET429+ET431+ET433</f>
        <v>1829.7792428805005</v>
      </c>
      <c r="EU435" s="1117">
        <f>SUM(ES435:ET435)</f>
        <v>3605.0506700829451</v>
      </c>
      <c r="EV435" s="1116">
        <f>EV429+EV431+EV433</f>
        <v>1938.2498169310102</v>
      </c>
      <c r="EW435" s="1116">
        <f>EW429+EW431+EW433</f>
        <v>1997.5688143235579</v>
      </c>
      <c r="EX435" s="1117">
        <f>SUM(EV435:EW435)</f>
        <v>3935.8186312545681</v>
      </c>
      <c r="EY435" s="1116">
        <f>EY429+EY431+EY433</f>
        <v>2116.0135817723121</v>
      </c>
      <c r="EZ435" s="1116">
        <f>EZ429+EZ431+EZ433</f>
        <v>2180.5709212212328</v>
      </c>
      <c r="FA435" s="1117">
        <f>SUM(EY435:EZ435)</f>
        <v>4296.5845029935444</v>
      </c>
    </row>
    <row r="436" spans="1:157" outlineLevel="1">
      <c r="B436" s="31"/>
      <c r="C436" s="35" t="s">
        <v>401</v>
      </c>
      <c r="D436" s="162" t="s">
        <v>460</v>
      </c>
      <c r="BA436" s="65"/>
      <c r="BB436" s="65"/>
      <c r="BC436" s="65"/>
      <c r="BD436" s="65">
        <f t="shared" ref="BD436:CI436" si="2271">BD435/BD426</f>
        <v>0</v>
      </c>
      <c r="BE436" s="65">
        <f t="shared" si="2271"/>
        <v>0</v>
      </c>
      <c r="BF436" s="65">
        <f t="shared" si="2271"/>
        <v>0</v>
      </c>
      <c r="BG436" s="65">
        <f t="shared" si="2271"/>
        <v>0</v>
      </c>
      <c r="BH436" s="65">
        <f t="shared" si="2271"/>
        <v>0</v>
      </c>
      <c r="BI436" s="65">
        <f t="shared" si="2271"/>
        <v>0</v>
      </c>
      <c r="BJ436" s="65">
        <f t="shared" si="2271"/>
        <v>0</v>
      </c>
      <c r="BK436" s="65">
        <f t="shared" si="2271"/>
        <v>0</v>
      </c>
      <c r="BL436" s="65">
        <f t="shared" si="2271"/>
        <v>0</v>
      </c>
      <c r="BM436" s="65">
        <f t="shared" si="2271"/>
        <v>0.84718779645852171</v>
      </c>
      <c r="BN436" s="65">
        <f t="shared" si="2271"/>
        <v>0.83031310026546412</v>
      </c>
      <c r="BO436" s="65">
        <f t="shared" si="2271"/>
        <v>0.83866512033486362</v>
      </c>
      <c r="BP436" s="65">
        <f t="shared" si="2271"/>
        <v>0.87997261643321412</v>
      </c>
      <c r="BQ436" s="65">
        <f t="shared" si="2271"/>
        <v>0.88693070003847474</v>
      </c>
      <c r="BR436" s="65">
        <f t="shared" si="2271"/>
        <v>0.88354786521478501</v>
      </c>
      <c r="BS436" s="65">
        <f t="shared" si="2271"/>
        <v>0.73634948088705521</v>
      </c>
      <c r="BT436" s="65">
        <f t="shared" si="2271"/>
        <v>0.73520493177334434</v>
      </c>
      <c r="BU436" s="65">
        <f t="shared" si="2271"/>
        <v>0.7357752493691927</v>
      </c>
      <c r="BV436" s="65">
        <f t="shared" si="2271"/>
        <v>0.73723576586725614</v>
      </c>
      <c r="BW436" s="65">
        <f t="shared" si="2271"/>
        <v>0.74225336825912236</v>
      </c>
      <c r="BX436" s="65">
        <f t="shared" si="2271"/>
        <v>0.73980370662650441</v>
      </c>
      <c r="BY436" s="65">
        <f t="shared" si="2271"/>
        <v>0.72592838820789307</v>
      </c>
      <c r="BZ436" s="65">
        <f t="shared" si="2271"/>
        <v>0.78368336738475641</v>
      </c>
      <c r="CA436" s="65">
        <f t="shared" si="2271"/>
        <v>0.75564431603458326</v>
      </c>
      <c r="CB436" s="65">
        <f t="shared" si="2271"/>
        <v>0.74588660071634338</v>
      </c>
      <c r="CC436" s="65">
        <f t="shared" si="2271"/>
        <v>0.73792387416974037</v>
      </c>
      <c r="CD436" s="65">
        <f t="shared" si="2271"/>
        <v>0.74176241010448862</v>
      </c>
      <c r="CE436" s="65">
        <f t="shared" si="2271"/>
        <v>0.74545730901768248</v>
      </c>
      <c r="CF436" s="65">
        <f t="shared" si="2271"/>
        <v>0.68695918189824767</v>
      </c>
      <c r="CG436" s="65">
        <f t="shared" si="2271"/>
        <v>0.7152652439579541</v>
      </c>
      <c r="CH436" s="65">
        <f t="shared" si="2271"/>
        <v>0.74002694435330985</v>
      </c>
      <c r="CI436" s="65">
        <f t="shared" si="2271"/>
        <v>0.73598300370112413</v>
      </c>
      <c r="CJ436" s="65">
        <f t="shared" ref="CJ436:DO436" si="2272">CJ435/CJ426</f>
        <v>0.73800169637092305</v>
      </c>
      <c r="CK436" s="65">
        <f t="shared" si="2272"/>
        <v>0.74186905219310961</v>
      </c>
      <c r="CL436" s="65">
        <f t="shared" si="2272"/>
        <v>0.73331772820027585</v>
      </c>
      <c r="CM436" s="65">
        <f t="shared" si="2272"/>
        <v>0.73773512159562304</v>
      </c>
      <c r="CN436" s="65">
        <f t="shared" si="2272"/>
        <v>0.70047660317537874</v>
      </c>
      <c r="CO436" s="65">
        <f t="shared" si="2272"/>
        <v>0.74712080511420786</v>
      </c>
      <c r="CP436" s="65">
        <f t="shared" si="2272"/>
        <v>0.72574633235218722</v>
      </c>
      <c r="CQ436" s="65">
        <f t="shared" si="2272"/>
        <v>0.71077597851478691</v>
      </c>
      <c r="CR436" s="65">
        <f t="shared" si="2272"/>
        <v>0.70499192277776657</v>
      </c>
      <c r="CS436" s="65">
        <f t="shared" si="2272"/>
        <v>0.70769689743804809</v>
      </c>
      <c r="CT436" s="65">
        <f t="shared" si="2272"/>
        <v>0.74048366502971241</v>
      </c>
      <c r="CU436" s="65">
        <f t="shared" si="2272"/>
        <v>0.71817531103477827</v>
      </c>
      <c r="CV436" s="65">
        <f t="shared" si="2272"/>
        <v>0.72939682085354052</v>
      </c>
      <c r="CW436" s="65">
        <f t="shared" si="2272"/>
        <v>0.70839796341371419</v>
      </c>
      <c r="CX436" s="65">
        <f t="shared" si="2272"/>
        <v>0.71325375767232346</v>
      </c>
      <c r="CY436" s="65">
        <f t="shared" si="2272"/>
        <v>0.71088669570987473</v>
      </c>
      <c r="CZ436" s="65">
        <f t="shared" si="2272"/>
        <v>0.72432321409745659</v>
      </c>
      <c r="DA436" s="65">
        <f t="shared" si="2272"/>
        <v>0.74103456382152766</v>
      </c>
      <c r="DB436" s="65">
        <f t="shared" si="2272"/>
        <v>0.73313737705638082</v>
      </c>
      <c r="DC436" s="65">
        <f t="shared" si="2272"/>
        <v>0.74769173631282548</v>
      </c>
      <c r="DD436" s="65">
        <f t="shared" si="2272"/>
        <v>0.76622468053227666</v>
      </c>
      <c r="DE436" s="65">
        <f t="shared" si="2272"/>
        <v>0.75711400153608677</v>
      </c>
      <c r="DF436" s="65">
        <f t="shared" si="2272"/>
        <v>0.75251467978119546</v>
      </c>
      <c r="DG436" s="65">
        <f t="shared" si="2272"/>
        <v>0.73627663225933293</v>
      </c>
      <c r="DH436" s="1066">
        <f t="shared" si="2272"/>
        <v>0.74554873390480192</v>
      </c>
      <c r="DI436" s="65">
        <f t="shared" si="2272"/>
        <v>0.72754868187557564</v>
      </c>
      <c r="DJ436" s="65">
        <f t="shared" si="2272"/>
        <v>0.73867913976865307</v>
      </c>
      <c r="DK436" s="1066">
        <f t="shared" si="2272"/>
        <v>0.7331426071744136</v>
      </c>
      <c r="DL436" s="65">
        <f t="shared" si="2272"/>
        <v>0.75222143671882813</v>
      </c>
      <c r="DM436" s="65">
        <f t="shared" si="2272"/>
        <v>0.75933896861115546</v>
      </c>
      <c r="DN436" s="1066">
        <f t="shared" si="2272"/>
        <v>0.75580297217473214</v>
      </c>
      <c r="DO436" s="65">
        <f t="shared" si="2272"/>
        <v>0.75216783716810498</v>
      </c>
      <c r="DP436" s="65">
        <f t="shared" ref="DP436:ER436" si="2273">DP435/DP426</f>
        <v>0.75328216677353088</v>
      </c>
      <c r="DQ436" s="1066">
        <f t="shared" si="2273"/>
        <v>0.7527737471248519</v>
      </c>
      <c r="DR436" s="65">
        <f t="shared" si="2273"/>
        <v>0.74735904699171607</v>
      </c>
      <c r="DS436" s="65">
        <f t="shared" si="2273"/>
        <v>0.7628345057069259</v>
      </c>
      <c r="DT436" s="1066">
        <f t="shared" si="2273"/>
        <v>0.75520436854745621</v>
      </c>
      <c r="DU436" s="65">
        <f t="shared" si="2273"/>
        <v>0.7541314300420916</v>
      </c>
      <c r="DV436" s="65">
        <f t="shared" si="2273"/>
        <v>0.73970169684010878</v>
      </c>
      <c r="DW436" s="1066">
        <f t="shared" si="2273"/>
        <v>0.74686756188510395</v>
      </c>
      <c r="DX436" s="65">
        <f t="shared" si="2273"/>
        <v>0.73791736054055779</v>
      </c>
      <c r="DY436" s="65">
        <f t="shared" si="2273"/>
        <v>0.7426949362567149</v>
      </c>
      <c r="DZ436" s="1066">
        <f t="shared" si="2273"/>
        <v>0.74045951632140705</v>
      </c>
      <c r="EA436" s="65">
        <f t="shared" si="2273"/>
        <v>0.74795994037356217</v>
      </c>
      <c r="EB436" s="65">
        <f t="shared" si="2273"/>
        <v>0.74821812558979806</v>
      </c>
      <c r="EC436" s="1066">
        <f t="shared" si="2273"/>
        <v>0.74809099864736261</v>
      </c>
      <c r="ED436" s="65">
        <f t="shared" si="2273"/>
        <v>0.75367685983248534</v>
      </c>
      <c r="EE436" s="65">
        <f t="shared" si="2273"/>
        <v>0.7538871407688319</v>
      </c>
      <c r="EF436" s="1066">
        <f t="shared" si="2273"/>
        <v>0.7537836016788243</v>
      </c>
      <c r="EG436" s="65">
        <f t="shared" si="2273"/>
        <v>0.75734042127949097</v>
      </c>
      <c r="EH436" s="65">
        <f t="shared" si="2273"/>
        <v>0.75748128363374945</v>
      </c>
      <c r="EI436" s="1066">
        <f t="shared" si="2273"/>
        <v>0.75741192518295664</v>
      </c>
      <c r="EJ436" s="65">
        <f t="shared" si="2273"/>
        <v>0.75970420818565987</v>
      </c>
      <c r="EK436" s="65">
        <f t="shared" si="2273"/>
        <v>0.75976676114153319</v>
      </c>
      <c r="EL436" s="1066">
        <f t="shared" si="2273"/>
        <v>0.75973596103078167</v>
      </c>
      <c r="EM436" s="65">
        <f t="shared" si="2273"/>
        <v>0.76199037480889431</v>
      </c>
      <c r="EN436" s="65">
        <f t="shared" si="2273"/>
        <v>0.76197784087485299</v>
      </c>
      <c r="EO436" s="1066">
        <f t="shared" si="2273"/>
        <v>0.76198401239067082</v>
      </c>
      <c r="EP436" s="65">
        <f t="shared" si="2273"/>
        <v>0.76339145929885766</v>
      </c>
      <c r="EQ436" s="65">
        <f t="shared" si="2273"/>
        <v>0.7632987980971081</v>
      </c>
      <c r="ER436" s="1066">
        <f t="shared" si="2273"/>
        <v>0.76334442304378591</v>
      </c>
      <c r="ES436" s="65">
        <f t="shared" ref="ES436:EX436" si="2274">ES435/ES426</f>
        <v>0.76472321210307792</v>
      </c>
      <c r="ET436" s="65">
        <f t="shared" si="2274"/>
        <v>0.76455342695093609</v>
      </c>
      <c r="EU436" s="1066">
        <f t="shared" si="2274"/>
        <v>0.76463702654134591</v>
      </c>
      <c r="EV436" s="65">
        <f t="shared" si="2274"/>
        <v>0.76598940615972244</v>
      </c>
      <c r="EW436" s="65">
        <f t="shared" si="2274"/>
        <v>0.7657453954210941</v>
      </c>
      <c r="EX436" s="1066">
        <f t="shared" si="2274"/>
        <v>0.76586554254554873</v>
      </c>
      <c r="EY436" s="65">
        <f t="shared" ref="EY436:FA436" si="2275">EY435/EY426</f>
        <v>0.76719358828484407</v>
      </c>
      <c r="EZ436" s="65">
        <f t="shared" si="2275"/>
        <v>0.76687814842643365</v>
      </c>
      <c r="FA436" s="1066">
        <f t="shared" si="2275"/>
        <v>0.76703346614785606</v>
      </c>
    </row>
    <row r="437" spans="1:157" outlineLevel="1">
      <c r="B437" s="31"/>
      <c r="BA437" s="65"/>
      <c r="BB437" s="65"/>
      <c r="BC437" s="65"/>
      <c r="BD437" s="65"/>
      <c r="BE437" s="65"/>
      <c r="BF437" s="65"/>
      <c r="BG437" s="65"/>
      <c r="BH437" s="65"/>
      <c r="BI437" s="65"/>
      <c r="BJ437" s="65"/>
      <c r="BK437" s="65"/>
      <c r="BL437" s="65"/>
      <c r="BM437" s="65"/>
      <c r="BN437" s="65"/>
      <c r="BO437" s="65"/>
      <c r="BP437" s="65"/>
      <c r="BQ437" s="65"/>
      <c r="BR437" s="65"/>
      <c r="BS437" s="65"/>
      <c r="BT437" s="65"/>
      <c r="BU437" s="65"/>
      <c r="BV437" s="65"/>
      <c r="BW437" s="65"/>
      <c r="BX437" s="65"/>
      <c r="BY437" s="65"/>
      <c r="BZ437" s="65"/>
      <c r="CA437" s="65"/>
      <c r="CB437" s="65"/>
      <c r="CC437" s="65"/>
      <c r="CD437" s="65"/>
      <c r="CE437" s="65"/>
      <c r="CF437" s="65"/>
      <c r="CG437" s="65"/>
      <c r="CH437" s="65"/>
      <c r="CI437" s="65"/>
      <c r="CJ437" s="65"/>
      <c r="CK437" s="65"/>
      <c r="CL437" s="65"/>
      <c r="CM437" s="65"/>
      <c r="CN437" s="65"/>
      <c r="CO437" s="65"/>
      <c r="CP437" s="65"/>
      <c r="CQ437" s="65"/>
      <c r="CR437" s="65"/>
      <c r="CS437" s="65"/>
      <c r="CT437" s="65"/>
      <c r="CU437" s="65"/>
      <c r="CV437" s="65"/>
      <c r="CW437" s="65"/>
      <c r="CX437" s="65"/>
      <c r="CY437" s="65"/>
      <c r="CZ437" s="65"/>
      <c r="DA437" s="65"/>
      <c r="DB437" s="65"/>
      <c r="DC437" s="65"/>
      <c r="DD437" s="65"/>
      <c r="DE437" s="65"/>
      <c r="DF437" s="65"/>
      <c r="DG437" s="65"/>
      <c r="DH437" s="1066"/>
      <c r="DI437" s="65"/>
      <c r="DJ437" s="65"/>
      <c r="DK437" s="1066"/>
      <c r="DL437" s="65"/>
      <c r="DM437" s="65"/>
      <c r="DN437" s="1066"/>
      <c r="DO437" s="65"/>
      <c r="DP437" s="65"/>
      <c r="DQ437" s="1066"/>
      <c r="DR437" s="65"/>
      <c r="DS437" s="65"/>
      <c r="DT437" s="1066"/>
      <c r="DU437" s="65"/>
      <c r="DV437" s="65"/>
      <c r="DW437" s="1066"/>
      <c r="DX437" s="65"/>
      <c r="DY437" s="65"/>
      <c r="DZ437" s="1066"/>
      <c r="EA437" s="65"/>
      <c r="EB437" s="65"/>
      <c r="EC437" s="1066"/>
      <c r="ED437" s="65"/>
      <c r="EE437" s="65"/>
      <c r="EF437" s="1066"/>
      <c r="EG437" s="65"/>
      <c r="EH437" s="65"/>
      <c r="EI437" s="1066"/>
      <c r="EJ437" s="65"/>
      <c r="EK437" s="65"/>
      <c r="EL437" s="1066"/>
      <c r="EM437" s="65"/>
      <c r="EN437" s="65"/>
      <c r="EO437" s="1066"/>
      <c r="EP437" s="65"/>
      <c r="EQ437" s="65"/>
      <c r="ER437" s="1066"/>
      <c r="ES437" s="65"/>
      <c r="ET437" s="65"/>
      <c r="EU437" s="1066"/>
      <c r="EV437" s="65"/>
      <c r="EW437" s="65"/>
      <c r="EX437" s="1066"/>
      <c r="EY437" s="65"/>
      <c r="EZ437" s="65"/>
      <c r="FA437" s="1066"/>
    </row>
    <row r="438" spans="1:157" s="233" customFormat="1" outlineLevel="1">
      <c r="A438" s="1147"/>
      <c r="B438" s="246" t="s">
        <v>316</v>
      </c>
      <c r="D438" s="245" t="s">
        <v>604</v>
      </c>
      <c r="BA438" s="233">
        <f>BA243</f>
        <v>0</v>
      </c>
      <c r="BB438" s="233">
        <f>BB243</f>
        <v>0</v>
      </c>
      <c r="BC438" s="233">
        <f>SUM(BA438:BB438)</f>
        <v>0</v>
      </c>
      <c r="BD438" s="233">
        <f>BD243</f>
        <v>0</v>
      </c>
      <c r="BE438" s="233">
        <f>BE243</f>
        <v>0</v>
      </c>
      <c r="BF438" s="233">
        <f>SUM(BD438:BE438)</f>
        <v>0</v>
      </c>
      <c r="BG438" s="233">
        <f>BG243</f>
        <v>0</v>
      </c>
      <c r="BH438" s="233">
        <f>BH243</f>
        <v>0</v>
      </c>
      <c r="BI438" s="233">
        <f>SUM(BG438:BH438)</f>
        <v>0</v>
      </c>
      <c r="BJ438" s="233">
        <f>BJ243</f>
        <v>0</v>
      </c>
      <c r="BK438" s="233">
        <f>BK243</f>
        <v>0</v>
      </c>
      <c r="BL438" s="233">
        <f>SUM(BJ438:BK438)</f>
        <v>0</v>
      </c>
      <c r="BM438" s="233">
        <f>BM243</f>
        <v>10.904069063215033</v>
      </c>
      <c r="BN438" s="233">
        <f>BN243</f>
        <v>11.512678475764908</v>
      </c>
      <c r="BO438" s="233">
        <f>SUM(BM438:BN438)</f>
        <v>22.416747538979941</v>
      </c>
      <c r="BP438" s="233">
        <f>BP243</f>
        <v>14.360016793684393</v>
      </c>
      <c r="BQ438" s="233">
        <f>BQ243</f>
        <v>15.396419245895048</v>
      </c>
      <c r="BR438" s="233">
        <f>SUM(BP438:BQ438)</f>
        <v>29.756436039579441</v>
      </c>
      <c r="BS438" s="233">
        <f>BS243</f>
        <v>29.656440459079462</v>
      </c>
      <c r="BT438" s="233">
        <f>BT243</f>
        <v>34.435865658729149</v>
      </c>
      <c r="BU438" s="233">
        <f>SUM(BS438:BT438)</f>
        <v>64.092306117808619</v>
      </c>
      <c r="BV438" s="233">
        <f>BV243</f>
        <v>31.58469517728718</v>
      </c>
      <c r="BW438" s="233">
        <f>BW243</f>
        <v>30.949333589197693</v>
      </c>
      <c r="BX438" s="233">
        <f>SUM(BV438:BW438)</f>
        <v>62.534028766484873</v>
      </c>
      <c r="BY438" s="233">
        <f>BY243</f>
        <v>38.572511220725758</v>
      </c>
      <c r="BZ438" s="233">
        <f>BZ243</f>
        <v>39.556144455658945</v>
      </c>
      <c r="CA438" s="233">
        <f>SUM(BY438:BZ438)</f>
        <v>78.12865567638471</v>
      </c>
      <c r="CB438" s="233">
        <f>CB243</f>
        <v>22.727896263228235</v>
      </c>
      <c r="CC438" s="233">
        <f>CC243</f>
        <v>20.298509472272894</v>
      </c>
      <c r="CD438" s="233">
        <f>SUM(CB438:CC438)</f>
        <v>43.026405735501129</v>
      </c>
      <c r="CE438" s="233">
        <f>CE243</f>
        <v>32.260353690809403</v>
      </c>
      <c r="CF438" s="233">
        <f>CF243</f>
        <v>25.17116616036213</v>
      </c>
      <c r="CG438" s="233">
        <f>SUM(CE438:CF438)</f>
        <v>57.431519851171529</v>
      </c>
      <c r="CH438" s="233">
        <f>CH243</f>
        <v>31.73202503377432</v>
      </c>
      <c r="CI438" s="233">
        <f>CI243</f>
        <v>26.818212331907961</v>
      </c>
      <c r="CJ438" s="233">
        <f>SUM(CH438:CI438)</f>
        <v>58.550237365682278</v>
      </c>
      <c r="CK438" s="233">
        <f>CK243</f>
        <v>30.625441251192523</v>
      </c>
      <c r="CL438" s="233">
        <f>CL243</f>
        <v>37.252776122559069</v>
      </c>
      <c r="CM438" s="233">
        <f>SUM(CK438:CL438)</f>
        <v>67.878217373751596</v>
      </c>
      <c r="CN438" s="233">
        <f>CN243</f>
        <v>30.615068881432865</v>
      </c>
      <c r="CO438" s="233">
        <f>CO243</f>
        <v>32.155958624838966</v>
      </c>
      <c r="CP438" s="233">
        <f>SUM(CN438:CO438)</f>
        <v>62.771027506271835</v>
      </c>
      <c r="CQ438" s="233">
        <f>CQ243</f>
        <v>25.228347846376796</v>
      </c>
      <c r="CR438" s="233">
        <f>CR243</f>
        <v>47.324632310458647</v>
      </c>
      <c r="CS438" s="233">
        <f>SUM(CQ438:CR438)</f>
        <v>72.552980156835446</v>
      </c>
      <c r="CT438" s="233">
        <f>CT243</f>
        <v>30.813853246415178</v>
      </c>
      <c r="CU438" s="233">
        <f>CU243</f>
        <v>47.149557855398385</v>
      </c>
      <c r="CV438" s="233">
        <f>SUM(CT438:CU438)</f>
        <v>77.963411101813563</v>
      </c>
      <c r="CW438" s="233">
        <f>CW243</f>
        <v>47.326885937851593</v>
      </c>
      <c r="CX438" s="233">
        <f>CX243</f>
        <v>56.40259399579184</v>
      </c>
      <c r="CY438" s="233">
        <f>SUM(CW438:CX438)</f>
        <v>103.72947993364343</v>
      </c>
      <c r="CZ438" s="233">
        <f>CZ243</f>
        <v>54.842485731382958</v>
      </c>
      <c r="DA438" s="233">
        <f>DA243</f>
        <v>63.818386156938821</v>
      </c>
      <c r="DB438" s="233">
        <f>SUM(CZ438:DA438)</f>
        <v>118.66087188832178</v>
      </c>
      <c r="DC438" s="233">
        <f>DC243</f>
        <v>67.587848715194085</v>
      </c>
      <c r="DD438" s="233">
        <f>DD243</f>
        <v>78.298810909651436</v>
      </c>
      <c r="DE438" s="233">
        <f>SUM(DC438:DD438)</f>
        <v>145.88665962484552</v>
      </c>
      <c r="DF438" s="233">
        <f>DF243</f>
        <v>72.328482598987037</v>
      </c>
      <c r="DG438" s="233">
        <f>DG243</f>
        <v>79.242424242424235</v>
      </c>
      <c r="DH438" s="1070">
        <f>SUM(DF438:DG438)</f>
        <v>151.57090684141127</v>
      </c>
      <c r="DI438" s="233">
        <f>DI243</f>
        <v>66.688960689283817</v>
      </c>
      <c r="DJ438" s="233">
        <f>DJ243</f>
        <v>75.003530979347062</v>
      </c>
      <c r="DK438" s="1070">
        <f>SUM(DI438:DJ438)</f>
        <v>141.69249166863088</v>
      </c>
      <c r="DL438" s="233">
        <f>DL243</f>
        <v>75.553992395437234</v>
      </c>
      <c r="DM438" s="233">
        <f>DM243</f>
        <v>94.46760716880604</v>
      </c>
      <c r="DN438" s="1070">
        <f>SUM(DL438:DM438)</f>
        <v>170.02159956424327</v>
      </c>
      <c r="DO438" s="233">
        <f>DO243</f>
        <v>98.969573013560478</v>
      </c>
      <c r="DP438" s="233">
        <f>DP243</f>
        <v>111.43438028963703</v>
      </c>
      <c r="DQ438" s="1070">
        <f>SUM(DO438:DP438)</f>
        <v>210.40395330319751</v>
      </c>
      <c r="DR438" s="233">
        <f>DR243</f>
        <v>100.33296209807793</v>
      </c>
      <c r="DS438" s="233">
        <f>DS243</f>
        <v>113.67712264150953</v>
      </c>
      <c r="DT438" s="1070">
        <f>SUM(DR438:DS438)</f>
        <v>214.01008473958746</v>
      </c>
      <c r="DU438" s="233">
        <f>DU243</f>
        <v>122.6307547653646</v>
      </c>
      <c r="DV438" s="233">
        <f>DV243</f>
        <v>121.98808499873508</v>
      </c>
      <c r="DW438" s="1070">
        <f>SUM(DU438:DV438)</f>
        <v>244.61883976409968</v>
      </c>
      <c r="DX438" s="233">
        <f>DX243</f>
        <v>129.99285714285713</v>
      </c>
      <c r="DY438" s="233">
        <f>DY243</f>
        <v>130.03476630744154</v>
      </c>
      <c r="DZ438" s="1070">
        <f>SUM(DX438:DY438)</f>
        <v>260.02762345029868</v>
      </c>
      <c r="EA438" s="233">
        <f>EA243</f>
        <v>150.15348129465966</v>
      </c>
      <c r="EB438" s="233">
        <f>EB243</f>
        <v>139.01797781234839</v>
      </c>
      <c r="EC438" s="1070">
        <f>SUM(EA438:EB438)</f>
        <v>289.17145910700805</v>
      </c>
      <c r="ED438" s="233">
        <f>ED243</f>
        <v>163.35056932719669</v>
      </c>
      <c r="EE438" s="233">
        <f>EE243</f>
        <v>151.23737265877443</v>
      </c>
      <c r="EF438" s="1070">
        <f>SUM(ED438:EE438)</f>
        <v>314.58794198597116</v>
      </c>
      <c r="EG438" s="233">
        <f>EG243</f>
        <v>178.05212056664436</v>
      </c>
      <c r="EH438" s="233">
        <f>EH243</f>
        <v>164.8487361980641</v>
      </c>
      <c r="EI438" s="1070">
        <f>SUM(EG438:EH438)</f>
        <v>342.90085676470846</v>
      </c>
      <c r="EJ438" s="233">
        <f>EJ243</f>
        <v>194.07681141764238</v>
      </c>
      <c r="EK438" s="233">
        <f>EK243</f>
        <v>179.68512245588988</v>
      </c>
      <c r="EL438" s="1070">
        <f>SUM(EJ438:EK438)</f>
        <v>373.76193387353226</v>
      </c>
      <c r="EM438" s="233">
        <f>EM243</f>
        <v>211.54372444523017</v>
      </c>
      <c r="EN438" s="233">
        <f>EN243</f>
        <v>195.85678347691999</v>
      </c>
      <c r="EO438" s="1070">
        <f>SUM(EM438:EN438)</f>
        <v>407.40050792215015</v>
      </c>
      <c r="EP438" s="233">
        <f>EP243</f>
        <v>230.58265964530096</v>
      </c>
      <c r="EQ438" s="233">
        <f>EQ243</f>
        <v>213.48389398984284</v>
      </c>
      <c r="ER438" s="1070">
        <f>SUM(EP438:EQ438)</f>
        <v>444.0665536351438</v>
      </c>
      <c r="ES438" s="233">
        <f>ES243</f>
        <v>251.33509901337808</v>
      </c>
      <c r="ET438" s="233">
        <f>ET243</f>
        <v>232.69744444892874</v>
      </c>
      <c r="EU438" s="1070">
        <f>SUM(ES438:ET438)</f>
        <v>484.03254346230682</v>
      </c>
      <c r="EV438" s="233">
        <f>EV243</f>
        <v>273.9552579245821</v>
      </c>
      <c r="EW438" s="233">
        <f>EW243</f>
        <v>253.64021444933235</v>
      </c>
      <c r="EX438" s="1070">
        <f>SUM(EV438:EW438)</f>
        <v>527.59547237391439</v>
      </c>
      <c r="EY438" s="233">
        <f>EY243</f>
        <v>298.6112311377945</v>
      </c>
      <c r="EZ438" s="233">
        <f>EZ243</f>
        <v>276.46783374977224</v>
      </c>
      <c r="FA438" s="1070">
        <f>SUM(EY438:EZ438)</f>
        <v>575.0790648875668</v>
      </c>
    </row>
    <row r="439" spans="1:157" outlineLevel="1">
      <c r="B439" s="31"/>
      <c r="C439" s="35" t="s">
        <v>488</v>
      </c>
      <c r="D439" s="162" t="s">
        <v>460</v>
      </c>
      <c r="BA439" s="65"/>
      <c r="BB439" s="65"/>
      <c r="BC439" s="65"/>
      <c r="BD439" s="65">
        <f t="shared" ref="BD439:CI439" si="2276">BD438/BD420</f>
        <v>0</v>
      </c>
      <c r="BE439" s="65">
        <f t="shared" si="2276"/>
        <v>0</v>
      </c>
      <c r="BF439" s="65">
        <f t="shared" si="2276"/>
        <v>0</v>
      </c>
      <c r="BG439" s="65">
        <f t="shared" si="2276"/>
        <v>0</v>
      </c>
      <c r="BH439" s="65">
        <f t="shared" si="2276"/>
        <v>0</v>
      </c>
      <c r="BI439" s="65">
        <f t="shared" si="2276"/>
        <v>0</v>
      </c>
      <c r="BJ439" s="65">
        <f t="shared" si="2276"/>
        <v>0</v>
      </c>
      <c r="BK439" s="65">
        <f t="shared" si="2276"/>
        <v>0</v>
      </c>
      <c r="BL439" s="65">
        <f t="shared" si="2276"/>
        <v>0</v>
      </c>
      <c r="BM439" s="65">
        <f t="shared" si="2276"/>
        <v>0.15</v>
      </c>
      <c r="BN439" s="65">
        <f t="shared" si="2276"/>
        <v>0.15</v>
      </c>
      <c r="BO439" s="65">
        <f t="shared" si="2276"/>
        <v>0.15000000000000002</v>
      </c>
      <c r="BP439" s="65">
        <f t="shared" si="2276"/>
        <v>0.1671818005744278</v>
      </c>
      <c r="BQ439" s="65">
        <f t="shared" si="2276"/>
        <v>0.16653821171475983</v>
      </c>
      <c r="BR439" s="65">
        <f t="shared" si="2276"/>
        <v>0.16684817840277164</v>
      </c>
      <c r="BS439" s="65">
        <f t="shared" si="2276"/>
        <v>0.26358696994612046</v>
      </c>
      <c r="BT439" s="65">
        <f t="shared" si="2276"/>
        <v>0.30489774555279647</v>
      </c>
      <c r="BU439" s="65">
        <f t="shared" si="2276"/>
        <v>0.28428187372939862</v>
      </c>
      <c r="BV439" s="65">
        <f t="shared" si="2276"/>
        <v>0.29731664601400282</v>
      </c>
      <c r="BW439" s="65">
        <f t="shared" si="2276"/>
        <v>0.30458003290392771</v>
      </c>
      <c r="BX439" s="65">
        <f t="shared" si="2276"/>
        <v>0.30086762497613273</v>
      </c>
      <c r="BY439" s="65">
        <f t="shared" si="2276"/>
        <v>0.29028012256244207</v>
      </c>
      <c r="BZ439" s="65">
        <f t="shared" si="2276"/>
        <v>0.28661242996263886</v>
      </c>
      <c r="CA439" s="65">
        <f t="shared" si="2276"/>
        <v>0.28841153208214149</v>
      </c>
      <c r="CB439" s="65">
        <f t="shared" si="2276"/>
        <v>0.17235313771599062</v>
      </c>
      <c r="CC439" s="65">
        <f t="shared" si="2276"/>
        <v>0.13941483914270852</v>
      </c>
      <c r="CD439" s="65">
        <f t="shared" si="2276"/>
        <v>0.1550690534030289</v>
      </c>
      <c r="CE439" s="65">
        <f t="shared" si="2276"/>
        <v>0.21785707788948358</v>
      </c>
      <c r="CF439" s="65">
        <f t="shared" si="2276"/>
        <v>0.17860734817520268</v>
      </c>
      <c r="CG439" s="65">
        <f t="shared" si="2276"/>
        <v>0.19871773579017649</v>
      </c>
      <c r="CH439" s="65">
        <f t="shared" si="2276"/>
        <v>0.23183653675086191</v>
      </c>
      <c r="CI439" s="65">
        <f t="shared" si="2276"/>
        <v>0.19897707382382016</v>
      </c>
      <c r="CJ439" s="65">
        <f t="shared" ref="CJ439:DO439" si="2277">CJ438/CJ420</f>
        <v>0.21553333039747274</v>
      </c>
      <c r="CK439" s="65">
        <f t="shared" si="2277"/>
        <v>0.22323909816076556</v>
      </c>
      <c r="CL439" s="65">
        <f t="shared" si="2277"/>
        <v>0.31211153513045997</v>
      </c>
      <c r="CM439" s="65">
        <f t="shared" si="2277"/>
        <v>0.26458705743814548</v>
      </c>
      <c r="CN439" s="65">
        <f t="shared" si="2277"/>
        <v>0.22767233123995209</v>
      </c>
      <c r="CO439" s="65">
        <f t="shared" si="2277"/>
        <v>0.20841642511861963</v>
      </c>
      <c r="CP439" s="65">
        <f t="shared" si="2277"/>
        <v>0.21738361821180915</v>
      </c>
      <c r="CQ439" s="65">
        <f t="shared" si="2277"/>
        <v>0.12917740832758212</v>
      </c>
      <c r="CR439" s="65">
        <f t="shared" si="2277"/>
        <v>0.22789259619217114</v>
      </c>
      <c r="CS439" s="65">
        <f t="shared" si="2277"/>
        <v>0.18004918616851076</v>
      </c>
      <c r="CT439" s="65">
        <f t="shared" si="2277"/>
        <v>0.11668334051452094</v>
      </c>
      <c r="CU439" s="65">
        <f t="shared" si="2277"/>
        <v>0.18500000000000003</v>
      </c>
      <c r="CV439" s="65">
        <f t="shared" si="2277"/>
        <v>0.15023488081766842</v>
      </c>
      <c r="CW439" s="65">
        <f t="shared" si="2277"/>
        <v>0.16599999999999998</v>
      </c>
      <c r="CX439" s="65">
        <f t="shared" si="2277"/>
        <v>0.182</v>
      </c>
      <c r="CY439" s="65">
        <f t="shared" si="2277"/>
        <v>0.17433347746474334</v>
      </c>
      <c r="CZ439" s="65">
        <f t="shared" si="2277"/>
        <v>0.17245855094600926</v>
      </c>
      <c r="DA439" s="65">
        <f t="shared" si="2277"/>
        <v>0.19574178890944183</v>
      </c>
      <c r="DB439" s="65">
        <f t="shared" si="2277"/>
        <v>0.18424531411970266</v>
      </c>
      <c r="DC439" s="65">
        <f t="shared" si="2277"/>
        <v>0.19363890546403126</v>
      </c>
      <c r="DD439" s="65">
        <f t="shared" si="2277"/>
        <v>0.23176671987514999</v>
      </c>
      <c r="DE439" s="65">
        <f t="shared" si="2277"/>
        <v>0.21239179324364235</v>
      </c>
      <c r="DF439" s="65">
        <f t="shared" si="2277"/>
        <v>0.19020000000000001</v>
      </c>
      <c r="DG439" s="65">
        <f t="shared" si="2277"/>
        <v>0.29191536382095618</v>
      </c>
      <c r="DH439" s="1066">
        <f t="shared" si="2277"/>
        <v>0.23256603216472757</v>
      </c>
      <c r="DI439" s="65">
        <f t="shared" si="2277"/>
        <v>0.17750588418760666</v>
      </c>
      <c r="DJ439" s="65">
        <f t="shared" si="2277"/>
        <v>0.21484826977756249</v>
      </c>
      <c r="DK439" s="1066">
        <f t="shared" si="2277"/>
        <v>0.19549184832868499</v>
      </c>
      <c r="DL439" s="65">
        <f t="shared" si="2277"/>
        <v>0.19452624200679</v>
      </c>
      <c r="DM439" s="65">
        <f t="shared" si="2277"/>
        <v>0.24141990076362388</v>
      </c>
      <c r="DN439" s="1066">
        <f t="shared" si="2277"/>
        <v>0.21806027903583849</v>
      </c>
      <c r="DO439" s="65">
        <f t="shared" si="2277"/>
        <v>0.22265370756706518</v>
      </c>
      <c r="DP439" s="65">
        <f t="shared" ref="DP439:ER439" si="2278">DP438/DP420</f>
        <v>0.20875680084233242</v>
      </c>
      <c r="DQ439" s="1066">
        <f t="shared" si="2278"/>
        <v>0.21507099387018044</v>
      </c>
      <c r="DR439" s="65">
        <f t="shared" si="2278"/>
        <v>0.17139214570905012</v>
      </c>
      <c r="DS439" s="65">
        <f t="shared" si="2278"/>
        <v>0.2047129887295327</v>
      </c>
      <c r="DT439" s="1066">
        <f t="shared" si="2278"/>
        <v>0.18761294357814276</v>
      </c>
      <c r="DU439" s="65">
        <f t="shared" si="2278"/>
        <v>0.21117746644629687</v>
      </c>
      <c r="DV439" s="65">
        <f t="shared" si="2278"/>
        <v>0.21916651994023553</v>
      </c>
      <c r="DW439" s="1066">
        <f t="shared" si="2278"/>
        <v>0.21508734701846452</v>
      </c>
      <c r="DX439" s="65">
        <f t="shared" si="2278"/>
        <v>0.21792599688660039</v>
      </c>
      <c r="DY439" s="65">
        <f t="shared" si="2278"/>
        <v>0.21792599688660044</v>
      </c>
      <c r="DZ439" s="1066">
        <f t="shared" si="2278"/>
        <v>0.21792599688660041</v>
      </c>
      <c r="EA439" s="65">
        <f t="shared" si="2278"/>
        <v>0.21792599688660033</v>
      </c>
      <c r="EB439" s="65">
        <f t="shared" si="2278"/>
        <v>0.21792599688660041</v>
      </c>
      <c r="EC439" s="1066">
        <f t="shared" si="2278"/>
        <v>0.21792599688660036</v>
      </c>
      <c r="ED439" s="65">
        <f t="shared" si="2278"/>
        <v>0.21792599688660041</v>
      </c>
      <c r="EE439" s="65">
        <f t="shared" si="2278"/>
        <v>0.21792599688660041</v>
      </c>
      <c r="EF439" s="1066">
        <f t="shared" si="2278"/>
        <v>0.21792599688660041</v>
      </c>
      <c r="EG439" s="65">
        <f t="shared" si="2278"/>
        <v>0.21792599688660036</v>
      </c>
      <c r="EH439" s="65">
        <f t="shared" si="2278"/>
        <v>0.21792599688660036</v>
      </c>
      <c r="EI439" s="1066">
        <f t="shared" si="2278"/>
        <v>0.21792599688660036</v>
      </c>
      <c r="EJ439" s="65">
        <f t="shared" si="2278"/>
        <v>0.21792599688660039</v>
      </c>
      <c r="EK439" s="65">
        <f t="shared" si="2278"/>
        <v>0.21792599688660033</v>
      </c>
      <c r="EL439" s="1066">
        <f t="shared" si="2278"/>
        <v>0.21792599688660033</v>
      </c>
      <c r="EM439" s="65">
        <f t="shared" si="2278"/>
        <v>0.21792599688660033</v>
      </c>
      <c r="EN439" s="65">
        <f t="shared" si="2278"/>
        <v>0.21792599688660036</v>
      </c>
      <c r="EO439" s="1066">
        <f t="shared" si="2278"/>
        <v>0.21792599688660036</v>
      </c>
      <c r="EP439" s="65">
        <f t="shared" si="2278"/>
        <v>0.21792599688660041</v>
      </c>
      <c r="EQ439" s="65">
        <f t="shared" si="2278"/>
        <v>0.21792599688660039</v>
      </c>
      <c r="ER439" s="1066">
        <f t="shared" si="2278"/>
        <v>0.21792599688660041</v>
      </c>
      <c r="ES439" s="65">
        <f t="shared" ref="ES439:EX439" si="2279">ES438/ES420</f>
        <v>0.21792599688660039</v>
      </c>
      <c r="ET439" s="65">
        <f t="shared" si="2279"/>
        <v>0.21792599688660039</v>
      </c>
      <c r="EU439" s="1066">
        <f t="shared" si="2279"/>
        <v>0.21792599688660039</v>
      </c>
      <c r="EV439" s="65">
        <f t="shared" si="2279"/>
        <v>0.21792599688660039</v>
      </c>
      <c r="EW439" s="65">
        <f t="shared" si="2279"/>
        <v>0.21792599688660044</v>
      </c>
      <c r="EX439" s="1066">
        <f t="shared" si="2279"/>
        <v>0.21792599688660039</v>
      </c>
      <c r="EY439" s="65">
        <f t="shared" ref="EY439:FA439" si="2280">EY438/EY420</f>
        <v>0.21792599688660039</v>
      </c>
      <c r="EZ439" s="65">
        <f t="shared" si="2280"/>
        <v>0.21792599688660036</v>
      </c>
      <c r="FA439" s="1066">
        <f t="shared" si="2280"/>
        <v>0.21792599688660039</v>
      </c>
    </row>
    <row r="440" spans="1:157" s="233" customFormat="1" outlineLevel="1">
      <c r="A440" s="1147"/>
      <c r="B440" s="246" t="s">
        <v>394</v>
      </c>
      <c r="D440" s="245" t="s">
        <v>604</v>
      </c>
      <c r="BA440" s="233">
        <f>BA334</f>
        <v>0</v>
      </c>
      <c r="BB440" s="233">
        <f>BB334</f>
        <v>0</v>
      </c>
      <c r="BC440" s="233">
        <f>SUM(BA440:BB440)</f>
        <v>0</v>
      </c>
      <c r="BD440" s="233">
        <f>BD334</f>
        <v>0</v>
      </c>
      <c r="BE440" s="233">
        <f>BE334</f>
        <v>0</v>
      </c>
      <c r="BF440" s="233">
        <f>SUM(BD440:BE440)</f>
        <v>0</v>
      </c>
      <c r="BG440" s="233">
        <f>BG334</f>
        <v>0</v>
      </c>
      <c r="BH440" s="233">
        <f>BH334</f>
        <v>0</v>
      </c>
      <c r="BI440" s="233">
        <f>SUM(BG440:BH440)</f>
        <v>0</v>
      </c>
      <c r="BJ440" s="233">
        <f>BJ334</f>
        <v>0</v>
      </c>
      <c r="BK440" s="233">
        <f>BK334</f>
        <v>0</v>
      </c>
      <c r="BL440" s="233">
        <f>SUM(BJ440:BK440)</f>
        <v>0</v>
      </c>
      <c r="BM440" s="233">
        <f>BM334</f>
        <v>10.787542587215921</v>
      </c>
      <c r="BN440" s="233">
        <f>BN334</f>
        <v>10.377186285727616</v>
      </c>
      <c r="BO440" s="233">
        <f>SUM(BM440:BN440)</f>
        <v>21.164728872943535</v>
      </c>
      <c r="BP440" s="233">
        <f>BP334</f>
        <v>12.345704420804029</v>
      </c>
      <c r="BQ440" s="233">
        <f>BQ334</f>
        <v>14.055646383055729</v>
      </c>
      <c r="BR440" s="233">
        <f>SUM(BP440:BQ440)</f>
        <v>26.401350803859756</v>
      </c>
      <c r="BS440" s="233">
        <f>BS334</f>
        <v>25.273853376627542</v>
      </c>
      <c r="BT440" s="233">
        <f>BT334</f>
        <v>31.18363480963782</v>
      </c>
      <c r="BU440" s="233">
        <f>SUM(BS440:BT440)</f>
        <v>56.457488186265365</v>
      </c>
      <c r="BV440" s="233">
        <f>BV334</f>
        <v>32.495595618533088</v>
      </c>
      <c r="BW440" s="233">
        <f>BW334</f>
        <v>36.898239378437687</v>
      </c>
      <c r="BX440" s="233">
        <f>SUM(BV440:BW440)</f>
        <v>69.393834996970782</v>
      </c>
      <c r="BY440" s="233">
        <f>BY334</f>
        <v>39.81354718234951</v>
      </c>
      <c r="BZ440" s="233">
        <f>BZ334</f>
        <v>42.585806253707688</v>
      </c>
      <c r="CA440" s="233">
        <f>SUM(BY440:BZ440)</f>
        <v>82.399353436057197</v>
      </c>
      <c r="CB440" s="233">
        <f>CB334</f>
        <v>40.335057065375153</v>
      </c>
      <c r="CC440" s="233">
        <f>CC334</f>
        <v>40.330463943447974</v>
      </c>
      <c r="CD440" s="233">
        <f>SUM(CB440:CC440)</f>
        <v>80.665521008823134</v>
      </c>
      <c r="CE440" s="233">
        <f>CE334</f>
        <v>34.188736394064854</v>
      </c>
      <c r="CF440" s="233">
        <f>CF334</f>
        <v>32.45276116556461</v>
      </c>
      <c r="CG440" s="233">
        <f>SUM(CE440:CF440)</f>
        <v>66.641497559629471</v>
      </c>
      <c r="CH440" s="233">
        <f>CH334</f>
        <v>30.90155104195194</v>
      </c>
      <c r="CI440" s="233">
        <f>CI334</f>
        <v>35.200672306768958</v>
      </c>
      <c r="CJ440" s="233">
        <f>SUM(CH440:CI440)</f>
        <v>66.102223348720898</v>
      </c>
      <c r="CK440" s="233">
        <f>CK334</f>
        <v>31.345817412915181</v>
      </c>
      <c r="CL440" s="233">
        <f>CL334</f>
        <v>31.304155676510494</v>
      </c>
      <c r="CM440" s="233">
        <f>SUM(CK440:CL440)</f>
        <v>62.649973089425671</v>
      </c>
      <c r="CN440" s="233">
        <f>CN334</f>
        <v>38.745599909238415</v>
      </c>
      <c r="CO440" s="233">
        <f>CO334</f>
        <v>38.956484668399945</v>
      </c>
      <c r="CP440" s="233">
        <f>SUM(CN440:CO440)</f>
        <v>77.70208457763836</v>
      </c>
      <c r="CQ440" s="233">
        <f>CQ334</f>
        <v>40.579341416307855</v>
      </c>
      <c r="CR440" s="233">
        <f>CR334</f>
        <v>35.152808302508966</v>
      </c>
      <c r="CS440" s="233">
        <f>SUM(CQ440:CR440)</f>
        <v>75.732149718816828</v>
      </c>
      <c r="CT440" s="233">
        <f>CT334</f>
        <v>63.641791231824115</v>
      </c>
      <c r="CU440" s="233">
        <f>CU334</f>
        <v>49.152647669230547</v>
      </c>
      <c r="CV440" s="233">
        <f>SUM(CT440:CU440)</f>
        <v>112.79443890105466</v>
      </c>
      <c r="CW440" s="233">
        <f>CW334</f>
        <v>47.133735177944452</v>
      </c>
      <c r="CX440" s="233">
        <f>CX334</f>
        <v>42.952936151458829</v>
      </c>
      <c r="CY440" s="233">
        <f>SUM(CW440:CX440)</f>
        <v>90.086671329403288</v>
      </c>
      <c r="CZ440" s="233">
        <f>CZ334</f>
        <v>51.527811374182555</v>
      </c>
      <c r="DA440" s="233">
        <f>DA334</f>
        <v>48.835586609594465</v>
      </c>
      <c r="DB440" s="233">
        <f>SUM(CZ440:DA440)</f>
        <v>100.36339798377702</v>
      </c>
      <c r="DC440" s="233">
        <f>DC334</f>
        <v>54.191444123490641</v>
      </c>
      <c r="DD440" s="233">
        <f>DD334</f>
        <v>58.264832710229314</v>
      </c>
      <c r="DE440" s="233">
        <f>SUM(DC440:DD440)</f>
        <v>112.45627683371995</v>
      </c>
      <c r="DF440" s="233">
        <f>DF334</f>
        <v>66.391157579301037</v>
      </c>
      <c r="DG440" s="233">
        <f>DG334</f>
        <v>50.333333333333336</v>
      </c>
      <c r="DH440" s="1070">
        <f>SUM(DF440:DG440)</f>
        <v>116.72449091263437</v>
      </c>
      <c r="DI440" s="233">
        <f>DI334</f>
        <v>55.927037156704358</v>
      </c>
      <c r="DJ440" s="233">
        <f>DJ334</f>
        <v>61.177211192538337</v>
      </c>
      <c r="DK440" s="1070">
        <f>SUM(DI440:DJ440)</f>
        <v>117.1042483492427</v>
      </c>
      <c r="DL440" s="233">
        <f>DL334</f>
        <v>58.628882129277599</v>
      </c>
      <c r="DM440" s="233">
        <f>DM334</f>
        <v>65.885684669411503</v>
      </c>
      <c r="DN440" s="1070">
        <f>SUM(DL440:DM440)</f>
        <v>124.5145667986891</v>
      </c>
      <c r="DO440" s="233">
        <f>DO334</f>
        <v>69.194010310433697</v>
      </c>
      <c r="DP440" s="233">
        <f>DP334</f>
        <v>79.838441978559331</v>
      </c>
      <c r="DQ440" s="1070">
        <f>SUM(DO440:DP440)</f>
        <v>149.03245228899303</v>
      </c>
      <c r="DR440" s="233">
        <f>DR334</f>
        <v>79.966346326567248</v>
      </c>
      <c r="DS440" s="233">
        <f>DS334</f>
        <v>85.838449685534655</v>
      </c>
      <c r="DT440" s="1070">
        <f>SUM(DR440:DS440)</f>
        <v>165.80479601210192</v>
      </c>
      <c r="DU440" s="233">
        <f>DU334</f>
        <v>98.990854944867095</v>
      </c>
      <c r="DV440" s="233">
        <f>DV334</f>
        <v>89.467895269415664</v>
      </c>
      <c r="DW440" s="1070">
        <f>SUM(DU440:DV440)</f>
        <v>188.45875021428276</v>
      </c>
      <c r="DX440" s="233">
        <f>DX334</f>
        <v>86.608000000000004</v>
      </c>
      <c r="DY440" s="233">
        <f>DY334</f>
        <v>116.63069676895876</v>
      </c>
      <c r="DZ440" s="1070">
        <f>SUM(DX440:DY440)</f>
        <v>203.23869676895876</v>
      </c>
      <c r="EA440" s="233">
        <f>EA334</f>
        <v>101.92109936381011</v>
      </c>
      <c r="EB440" s="233">
        <f>EB334</f>
        <v>124.6879129027048</v>
      </c>
      <c r="EC440" s="1070">
        <f>SUM(EA440:EB440)</f>
        <v>226.60901226651492</v>
      </c>
      <c r="ED440" s="233">
        <f>ED334</f>
        <v>110.87901168845089</v>
      </c>
      <c r="EE440" s="233">
        <f>EE334</f>
        <v>135.64772446313157</v>
      </c>
      <c r="EF440" s="1070">
        <f>SUM(ED440:EE440)</f>
        <v>246.52673615158244</v>
      </c>
      <c r="EG440" s="233">
        <f>EG334</f>
        <v>120.85812274041149</v>
      </c>
      <c r="EH440" s="233">
        <f>EH334</f>
        <v>147.85601966481349</v>
      </c>
      <c r="EI440" s="1070">
        <f>SUM(EG440:EH440)</f>
        <v>268.71414240522495</v>
      </c>
      <c r="EJ440" s="233">
        <f>EJ334</f>
        <v>131.73535378704852</v>
      </c>
      <c r="EK440" s="233">
        <f>EK334</f>
        <v>161.16306143464666</v>
      </c>
      <c r="EL440" s="1070">
        <f>SUM(EJ440:EK440)</f>
        <v>292.89841522169519</v>
      </c>
      <c r="EM440" s="233">
        <f>EM334</f>
        <v>143.59153562788291</v>
      </c>
      <c r="EN440" s="233">
        <f>EN334</f>
        <v>175.66773696376484</v>
      </c>
      <c r="EO440" s="1070">
        <f>SUM(EM440:EN440)</f>
        <v>319.25927259164774</v>
      </c>
      <c r="EP440" s="233">
        <f>EP334</f>
        <v>156.51477383439234</v>
      </c>
      <c r="EQ440" s="233">
        <f>EQ334</f>
        <v>191.47783329050367</v>
      </c>
      <c r="ER440" s="1070">
        <f>SUM(EP440:EQ440)</f>
        <v>347.99260712489604</v>
      </c>
      <c r="ES440" s="233">
        <f>ES334</f>
        <v>170.60110347948768</v>
      </c>
      <c r="ET440" s="233">
        <f>ET334</f>
        <v>208.71083828664902</v>
      </c>
      <c r="EU440" s="1070">
        <f>SUM(ES440:ET440)</f>
        <v>379.31194176613667</v>
      </c>
      <c r="EV440" s="233">
        <f>EV334</f>
        <v>185.95520279264159</v>
      </c>
      <c r="EW440" s="233">
        <f>EW334</f>
        <v>227.49481373244745</v>
      </c>
      <c r="EX440" s="1070">
        <f>SUM(EV440:EW440)</f>
        <v>413.45001652508904</v>
      </c>
      <c r="EY440" s="233">
        <f>EY334</f>
        <v>202.69117104397935</v>
      </c>
      <c r="EZ440" s="233">
        <f>EZ334</f>
        <v>247.96934696836769</v>
      </c>
      <c r="FA440" s="1070">
        <f>SUM(EY440:EZ440)</f>
        <v>450.66051801234704</v>
      </c>
    </row>
    <row r="441" spans="1:157" outlineLevel="1">
      <c r="B441" s="31"/>
      <c r="C441" s="35" t="str">
        <f>C439</f>
        <v>% of sales</v>
      </c>
      <c r="D441" s="162" t="s">
        <v>460</v>
      </c>
      <c r="BA441" s="65"/>
      <c r="BB441" s="65"/>
      <c r="BC441" s="65"/>
      <c r="BD441" s="65">
        <f t="shared" ref="BD441:CI441" si="2281">BD440/BD422</f>
        <v>0</v>
      </c>
      <c r="BE441" s="65">
        <f t="shared" si="2281"/>
        <v>0</v>
      </c>
      <c r="BF441" s="65">
        <f t="shared" si="2281"/>
        <v>0</v>
      </c>
      <c r="BG441" s="65">
        <f t="shared" si="2281"/>
        <v>0</v>
      </c>
      <c r="BH441" s="65">
        <f t="shared" si="2281"/>
        <v>0</v>
      </c>
      <c r="BI441" s="65">
        <f t="shared" si="2281"/>
        <v>0</v>
      </c>
      <c r="BJ441" s="65">
        <f t="shared" si="2281"/>
        <v>0</v>
      </c>
      <c r="BK441" s="65">
        <f t="shared" si="2281"/>
        <v>0</v>
      </c>
      <c r="BL441" s="65">
        <f t="shared" si="2281"/>
        <v>0</v>
      </c>
      <c r="BM441" s="65">
        <f t="shared" si="2281"/>
        <v>0.14999999999999997</v>
      </c>
      <c r="BN441" s="65">
        <f t="shared" si="2281"/>
        <v>0.15</v>
      </c>
      <c r="BO441" s="65">
        <f t="shared" si="2281"/>
        <v>0.14999999999999997</v>
      </c>
      <c r="BP441" s="65">
        <f t="shared" si="2281"/>
        <v>0.15166331597863966</v>
      </c>
      <c r="BQ441" s="65">
        <f t="shared" si="2281"/>
        <v>0.15397691396094412</v>
      </c>
      <c r="BR441" s="65">
        <f t="shared" si="2281"/>
        <v>0.15288631347829967</v>
      </c>
      <c r="BS441" s="65">
        <f t="shared" si="2281"/>
        <v>0.24381255608789743</v>
      </c>
      <c r="BT441" s="65">
        <f t="shared" si="2281"/>
        <v>0.28522225909977794</v>
      </c>
      <c r="BU441" s="65">
        <f t="shared" si="2281"/>
        <v>0.26506858561009505</v>
      </c>
      <c r="BV441" s="65">
        <f t="shared" si="2281"/>
        <v>0.26561709676747663</v>
      </c>
      <c r="BW441" s="65">
        <f t="shared" si="2281"/>
        <v>0.27359591424277557</v>
      </c>
      <c r="BX441" s="65">
        <f t="shared" si="2281"/>
        <v>0.26980076125165547</v>
      </c>
      <c r="BY441" s="65">
        <f t="shared" si="2281"/>
        <v>0.26015974896167221</v>
      </c>
      <c r="BZ441" s="65">
        <f t="shared" si="2281"/>
        <v>0.25675122927043009</v>
      </c>
      <c r="CA441" s="65">
        <f t="shared" si="2281"/>
        <v>0.25838692797512336</v>
      </c>
      <c r="CB441" s="65">
        <f t="shared" si="2281"/>
        <v>0.2847489906747866</v>
      </c>
      <c r="CC441" s="65">
        <f t="shared" si="2281"/>
        <v>0.26921982166393071</v>
      </c>
      <c r="CD441" s="65">
        <f t="shared" si="2281"/>
        <v>0.27676718668901518</v>
      </c>
      <c r="CE441" s="65">
        <f t="shared" si="2281"/>
        <v>0.25049736967934733</v>
      </c>
      <c r="CF441" s="65">
        <f t="shared" si="2281"/>
        <v>0.20690584740350276</v>
      </c>
      <c r="CG441" s="65">
        <f t="shared" si="2281"/>
        <v>0.22718843637722558</v>
      </c>
      <c r="CH441" s="65">
        <f t="shared" si="2281"/>
        <v>0.21680121772192429</v>
      </c>
      <c r="CI441" s="65">
        <f t="shared" si="2281"/>
        <v>0.24761797002018329</v>
      </c>
      <c r="CJ441" s="65">
        <f t="shared" ref="CJ441:DO441" si="2282">CJ440/CJ422</f>
        <v>0.23218919762456836</v>
      </c>
      <c r="CK441" s="65">
        <f t="shared" si="2282"/>
        <v>0.22368500000000002</v>
      </c>
      <c r="CL441" s="65">
        <f t="shared" si="2282"/>
        <v>0.21908</v>
      </c>
      <c r="CM441" s="65">
        <f t="shared" si="2282"/>
        <v>0.22136008372037755</v>
      </c>
      <c r="CN441" s="65">
        <f t="shared" si="2282"/>
        <v>0.22906465919725688</v>
      </c>
      <c r="CO441" s="65">
        <f t="shared" si="2282"/>
        <v>0.20577875945847979</v>
      </c>
      <c r="CP441" s="65">
        <f t="shared" si="2282"/>
        <v>0.21676672446585493</v>
      </c>
      <c r="CQ441" s="65">
        <f t="shared" si="2282"/>
        <v>0.22345575370077947</v>
      </c>
      <c r="CR441" s="65">
        <f t="shared" si="2282"/>
        <v>0.17932087098860391</v>
      </c>
      <c r="CS441" s="65">
        <f t="shared" si="2282"/>
        <v>0.20054484185348925</v>
      </c>
      <c r="CT441" s="65">
        <f t="shared" si="2282"/>
        <v>0.30245124623051084</v>
      </c>
      <c r="CU441" s="65">
        <f t="shared" si="2282"/>
        <v>0.22672546935458915</v>
      </c>
      <c r="CV441" s="65">
        <f t="shared" si="2282"/>
        <v>0.26402347480389748</v>
      </c>
      <c r="CW441" s="65">
        <f t="shared" si="2282"/>
        <v>0.22667986040511276</v>
      </c>
      <c r="CX441" s="65">
        <f t="shared" si="2282"/>
        <v>0.1947102611281181</v>
      </c>
      <c r="CY441" s="65">
        <f t="shared" si="2282"/>
        <v>0.21022251102972017</v>
      </c>
      <c r="CZ441" s="65">
        <f t="shared" si="2282"/>
        <v>0.23784114136875997</v>
      </c>
      <c r="DA441" s="65">
        <f t="shared" si="2282"/>
        <v>0.19258737486478666</v>
      </c>
      <c r="DB441" s="65">
        <f t="shared" si="2282"/>
        <v>0.21343729518457943</v>
      </c>
      <c r="DC441" s="65">
        <f t="shared" si="2282"/>
        <v>0.21896430910963299</v>
      </c>
      <c r="DD441" s="65">
        <f t="shared" si="2282"/>
        <v>0.21539243869408539</v>
      </c>
      <c r="DE441" s="65">
        <f t="shared" si="2282"/>
        <v>0.2170990210537192</v>
      </c>
      <c r="DF441" s="65">
        <f t="shared" si="2282"/>
        <v>0.25405388044607452</v>
      </c>
      <c r="DG441" s="65">
        <f t="shared" si="2282"/>
        <v>0.22774269483009907</v>
      </c>
      <c r="DH441" s="1066">
        <f t="shared" si="2282"/>
        <v>0.24199793359164315</v>
      </c>
      <c r="DI441" s="65">
        <f t="shared" si="2282"/>
        <v>0.23538315301643248</v>
      </c>
      <c r="DJ441" s="65">
        <f t="shared" si="2282"/>
        <v>0.21841203567489587</v>
      </c>
      <c r="DK441" s="1066">
        <f t="shared" si="2282"/>
        <v>0.22620098193788427</v>
      </c>
      <c r="DL441" s="65">
        <f t="shared" si="2282"/>
        <v>0.20442427520668618</v>
      </c>
      <c r="DM441" s="65">
        <f t="shared" si="2282"/>
        <v>0.22586796252797911</v>
      </c>
      <c r="DN441" s="1066">
        <f t="shared" si="2282"/>
        <v>0.21523693482919465</v>
      </c>
      <c r="DO441" s="65">
        <f t="shared" si="2282"/>
        <v>0.2413463910374388</v>
      </c>
      <c r="DP441" s="65">
        <f t="shared" ref="DP441:ER441" si="2283">DP440/DP422</f>
        <v>0.22636360073308573</v>
      </c>
      <c r="DQ441" s="1066">
        <f t="shared" si="2283"/>
        <v>0.23308172081481551</v>
      </c>
      <c r="DR441" s="65">
        <f t="shared" si="2283"/>
        <v>0.22685488319593544</v>
      </c>
      <c r="DS441" s="65">
        <f t="shared" si="2283"/>
        <v>0.21836288396218431</v>
      </c>
      <c r="DT441" s="1066">
        <f t="shared" si="2283"/>
        <v>0.22237767705485773</v>
      </c>
      <c r="DU441" s="65">
        <f t="shared" si="2283"/>
        <v>0.27482191822561658</v>
      </c>
      <c r="DV441" s="65">
        <f t="shared" si="2283"/>
        <v>0.20830709026639266</v>
      </c>
      <c r="DW441" s="1066">
        <f t="shared" si="2283"/>
        <v>0.23864600508330094</v>
      </c>
      <c r="DX441" s="65">
        <f t="shared" si="2283"/>
        <v>0.23300511164917947</v>
      </c>
      <c r="DY441" s="65">
        <f t="shared" si="2283"/>
        <v>0.23335814290903836</v>
      </c>
      <c r="DZ441" s="1066">
        <f t="shared" si="2283"/>
        <v>0.23320757168911377</v>
      </c>
      <c r="EA441" s="65">
        <f t="shared" si="2283"/>
        <v>0.23335303625179935</v>
      </c>
      <c r="EB441" s="65">
        <f t="shared" si="2283"/>
        <v>0.2333518319182101</v>
      </c>
      <c r="EC441" s="1066">
        <f t="shared" si="2283"/>
        <v>0.23335237358534688</v>
      </c>
      <c r="ED441" s="65">
        <f t="shared" si="2283"/>
        <v>0.23334730613451637</v>
      </c>
      <c r="EE441" s="65">
        <f t="shared" si="2283"/>
        <v>0.23334611937595207</v>
      </c>
      <c r="EF441" s="1066">
        <f t="shared" si="2283"/>
        <v>0.23334665313651104</v>
      </c>
      <c r="EG441" s="65">
        <f t="shared" si="2283"/>
        <v>0.2333473061345164</v>
      </c>
      <c r="EH441" s="65">
        <f t="shared" si="2283"/>
        <v>0.23334611937595218</v>
      </c>
      <c r="EI441" s="1066">
        <f t="shared" si="2283"/>
        <v>0.2333466531365111</v>
      </c>
      <c r="EJ441" s="65">
        <f t="shared" si="2283"/>
        <v>0.2333473061345164</v>
      </c>
      <c r="EK441" s="65">
        <f t="shared" si="2283"/>
        <v>0.23334611937595209</v>
      </c>
      <c r="EL441" s="1066">
        <f t="shared" si="2283"/>
        <v>0.23334665313651107</v>
      </c>
      <c r="EM441" s="65">
        <f t="shared" si="2283"/>
        <v>0.23334730613451646</v>
      </c>
      <c r="EN441" s="65">
        <f t="shared" si="2283"/>
        <v>0.23334611937595204</v>
      </c>
      <c r="EO441" s="1066">
        <f t="shared" si="2283"/>
        <v>0.2333466531365111</v>
      </c>
      <c r="EP441" s="65">
        <f t="shared" si="2283"/>
        <v>0.23334730613451635</v>
      </c>
      <c r="EQ441" s="65">
        <f t="shared" si="2283"/>
        <v>0.23334611937595201</v>
      </c>
      <c r="ER441" s="1066">
        <f t="shared" si="2283"/>
        <v>0.23334665313651101</v>
      </c>
      <c r="ES441" s="65">
        <f t="shared" ref="ES441:EX441" si="2284">ES440/ES422</f>
        <v>0.23334730613451637</v>
      </c>
      <c r="ET441" s="65">
        <f t="shared" si="2284"/>
        <v>0.23334611937595201</v>
      </c>
      <c r="EU441" s="1066">
        <f t="shared" si="2284"/>
        <v>0.23334665313651098</v>
      </c>
      <c r="EV441" s="65">
        <f t="shared" si="2284"/>
        <v>0.23334730613451637</v>
      </c>
      <c r="EW441" s="65">
        <f t="shared" si="2284"/>
        <v>0.23334611937595207</v>
      </c>
      <c r="EX441" s="1066">
        <f t="shared" si="2284"/>
        <v>0.23334665313651107</v>
      </c>
      <c r="EY441" s="65">
        <f t="shared" ref="EY441:FA441" si="2285">EY440/EY422</f>
        <v>0.23334730613451637</v>
      </c>
      <c r="EZ441" s="65">
        <f t="shared" si="2285"/>
        <v>0.23334611937595195</v>
      </c>
      <c r="FA441" s="1066">
        <f t="shared" si="2285"/>
        <v>0.23334665313651098</v>
      </c>
    </row>
    <row r="442" spans="1:157" s="233" customFormat="1" outlineLevel="1">
      <c r="A442" s="1147"/>
      <c r="B442" s="246" t="s">
        <v>384</v>
      </c>
      <c r="D442" s="245" t="s">
        <v>604</v>
      </c>
      <c r="BA442" s="233">
        <f>BA405</f>
        <v>0</v>
      </c>
      <c r="BB442" s="233">
        <f>BB405</f>
        <v>0</v>
      </c>
      <c r="BC442" s="233">
        <f>SUM(BA442:BB442)</f>
        <v>0</v>
      </c>
      <c r="BD442" s="233">
        <f>BD405</f>
        <v>0</v>
      </c>
      <c r="BE442" s="233">
        <f>BE405</f>
        <v>0</v>
      </c>
      <c r="BF442" s="233">
        <f>SUM(BD442:BE442)</f>
        <v>0</v>
      </c>
      <c r="BG442" s="233">
        <f>BG405</f>
        <v>0</v>
      </c>
      <c r="BH442" s="233">
        <f>BH405</f>
        <v>0</v>
      </c>
      <c r="BI442" s="233">
        <f>SUM(BG442:BH442)</f>
        <v>0</v>
      </c>
      <c r="BJ442" s="233">
        <f>BJ405</f>
        <v>0</v>
      </c>
      <c r="BK442" s="233">
        <f>BK405</f>
        <v>0</v>
      </c>
      <c r="BL442" s="233">
        <f>SUM(BJ442:BK442)</f>
        <v>0</v>
      </c>
      <c r="BM442" s="233">
        <f>BM405</f>
        <v>4.1823788050542561</v>
      </c>
      <c r="BN442" s="233">
        <f>BN405</f>
        <v>4.512806549925477</v>
      </c>
      <c r="BO442" s="233">
        <f>SUM(BM442:BN442)</f>
        <v>8.6951853549797331</v>
      </c>
      <c r="BP442" s="233">
        <f>BP405</f>
        <v>4.8458415130873513</v>
      </c>
      <c r="BQ442" s="233">
        <f>BQ405</f>
        <v>4.0832501945403399</v>
      </c>
      <c r="BR442" s="233">
        <f>SUM(BP442:BQ442)</f>
        <v>8.9290917076276912</v>
      </c>
      <c r="BS442" s="233">
        <f>BS405</f>
        <v>10.0137034943867</v>
      </c>
      <c r="BT442" s="233">
        <f>BT405</f>
        <v>10.482496612191571</v>
      </c>
      <c r="BU442" s="233">
        <f>SUM(BS442:BT442)</f>
        <v>20.496200106578272</v>
      </c>
      <c r="BV442" s="233">
        <f>BV405</f>
        <v>11.407709204179723</v>
      </c>
      <c r="BW442" s="233">
        <f>BW405</f>
        <v>13.151427032364612</v>
      </c>
      <c r="BX442" s="233">
        <f>SUM(BV442:BW442)</f>
        <v>24.559136236544333</v>
      </c>
      <c r="BY442" s="233">
        <f>BY405</f>
        <v>11.720941596924712</v>
      </c>
      <c r="BZ442" s="233">
        <f>BZ405</f>
        <v>12.304904262496681</v>
      </c>
      <c r="CA442" s="233">
        <f>SUM(BY442:BZ442)</f>
        <v>24.025845859421395</v>
      </c>
      <c r="CB442" s="233">
        <f>CB405</f>
        <v>13.864403200565549</v>
      </c>
      <c r="CC442" s="233">
        <f>CC405</f>
        <v>13.915895066602515</v>
      </c>
      <c r="CD442" s="233">
        <f>SUM(CB442:CC442)</f>
        <v>27.780298267168064</v>
      </c>
      <c r="CE442" s="233">
        <f>CE405</f>
        <v>16.889334572827483</v>
      </c>
      <c r="CF442" s="233">
        <f>CF405</f>
        <v>14.301922813597955</v>
      </c>
      <c r="CG442" s="233">
        <f>SUM(CE442:CF442)</f>
        <v>31.191257386425438</v>
      </c>
      <c r="CH442" s="233">
        <f>CH405</f>
        <v>15.211363872272843</v>
      </c>
      <c r="CI442" s="233">
        <f>CI405</f>
        <v>13.701684346297018</v>
      </c>
      <c r="CJ442" s="233">
        <f>SUM(CH442:CI442)</f>
        <v>28.913048218569863</v>
      </c>
      <c r="CK442" s="233">
        <f>CK405</f>
        <v>12.217259057791731</v>
      </c>
      <c r="CL442" s="233">
        <f>CL405</f>
        <v>11.114961695982998</v>
      </c>
      <c r="CM442" s="233">
        <f>SUM(CK442:CL442)</f>
        <v>23.332220753774727</v>
      </c>
      <c r="CN442" s="233">
        <f>CN405</f>
        <v>13.383588626225594</v>
      </c>
      <c r="CO442" s="233">
        <f>CO405</f>
        <v>5.1797033705386122</v>
      </c>
      <c r="CP442" s="233">
        <f>SUM(CN442:CO442)</f>
        <v>18.563291996764207</v>
      </c>
      <c r="CQ442" s="233">
        <f>CQ405</f>
        <v>21.865829313316908</v>
      </c>
      <c r="CR442" s="233">
        <f>CR405</f>
        <v>12.089349513361277</v>
      </c>
      <c r="CS442" s="233">
        <f>SUM(CQ442:CR442)</f>
        <v>33.955178826678186</v>
      </c>
      <c r="CT442" s="233">
        <f>CT405</f>
        <v>22.001316501760726</v>
      </c>
      <c r="CU442" s="233">
        <f>CU405</f>
        <v>29.51261143385161</v>
      </c>
      <c r="CV442" s="233">
        <f>SUM(CT442:CU442)</f>
        <v>51.513927935612337</v>
      </c>
      <c r="CW442" s="233">
        <f>CW405</f>
        <v>29.1181728</v>
      </c>
      <c r="CX442" s="233">
        <f>CX405</f>
        <v>34.827106626695915</v>
      </c>
      <c r="CY442" s="233">
        <f>SUM(CW442:CX442)</f>
        <v>63.945279426695919</v>
      </c>
      <c r="CZ442" s="233">
        <f>CZ405</f>
        <v>31.677200490889426</v>
      </c>
      <c r="DA442" s="233">
        <f>DA405</f>
        <v>36.072432572580716</v>
      </c>
      <c r="DB442" s="233">
        <f>SUM(CZ442:DA442)</f>
        <v>67.749633063470142</v>
      </c>
      <c r="DC442" s="233">
        <f>DC405</f>
        <v>37.283015816891904</v>
      </c>
      <c r="DD442" s="233">
        <f>DD405</f>
        <v>37.647484886789563</v>
      </c>
      <c r="DE442" s="233">
        <f>SUM(DC442:DD442)</f>
        <v>74.930500703681474</v>
      </c>
      <c r="DF442" s="233">
        <f>DF405</f>
        <v>43.809790899079566</v>
      </c>
      <c r="DG442" s="233">
        <f>DG405</f>
        <v>37.1</v>
      </c>
      <c r="DH442" s="1070">
        <f>SUM(DF442:DG442)</f>
        <v>80.909790899079567</v>
      </c>
      <c r="DI442" s="233">
        <f>DI405</f>
        <v>35.126163051189394</v>
      </c>
      <c r="DJ442" s="233">
        <f>DJ405</f>
        <v>46.596952224488724</v>
      </c>
      <c r="DK442" s="1070">
        <f>SUM(DI442:DJ442)</f>
        <v>81.723115275678111</v>
      </c>
      <c r="DL442" s="233">
        <f>DL405</f>
        <v>42.780262832145823</v>
      </c>
      <c r="DM442" s="233">
        <f>DM405</f>
        <v>45.08682844087464</v>
      </c>
      <c r="DN442" s="1070">
        <f>SUM(DL442:DM442)</f>
        <v>87.867091273020463</v>
      </c>
      <c r="DO442" s="233">
        <f>DO405</f>
        <v>44.928777781106028</v>
      </c>
      <c r="DP442" s="233">
        <f>DP405</f>
        <v>57.570433878776427</v>
      </c>
      <c r="DQ442" s="1070">
        <f>SUM(DO442:DP442)</f>
        <v>102.49921165988246</v>
      </c>
      <c r="DR442" s="233">
        <f>DR405</f>
        <v>84.535254495931568</v>
      </c>
      <c r="DS442" s="233">
        <f>DS405</f>
        <v>46.231369806244729</v>
      </c>
      <c r="DT442" s="1070">
        <f>SUM(DR442:DS442)</f>
        <v>130.7666243021763</v>
      </c>
      <c r="DU442" s="233">
        <f>DU405</f>
        <v>80.520454329654143</v>
      </c>
      <c r="DV442" s="233">
        <f>DV405</f>
        <v>71.116262014534186</v>
      </c>
      <c r="DW442" s="1070">
        <f>SUM(DU442:DV442)</f>
        <v>151.63671634418833</v>
      </c>
      <c r="DX442" s="233">
        <f>DX405</f>
        <v>73.484397519408432</v>
      </c>
      <c r="DY442" s="233">
        <f>DY405</f>
        <v>85.182932837010156</v>
      </c>
      <c r="DZ442" s="1070">
        <f>SUM(DX442:DY442)</f>
        <v>158.66733035641857</v>
      </c>
      <c r="EA442" s="233">
        <f>EA405</f>
        <v>83.552789442176874</v>
      </c>
      <c r="EB442" s="233">
        <f>EB405</f>
        <v>82.407067107472827</v>
      </c>
      <c r="EC442" s="1070">
        <f>SUM(EA442:EB442)</f>
        <v>165.95985654964971</v>
      </c>
      <c r="ED442" s="233">
        <f>ED405</f>
        <v>90.896298950748317</v>
      </c>
      <c r="EE442" s="233">
        <f>EE405</f>
        <v>89.65047912488383</v>
      </c>
      <c r="EF442" s="1070">
        <f>SUM(ED442:EE442)</f>
        <v>180.54677807563215</v>
      </c>
      <c r="EG442" s="233">
        <f>EG405</f>
        <v>99.076965856315653</v>
      </c>
      <c r="EH442" s="233">
        <f>EH405</f>
        <v>97.719022246123373</v>
      </c>
      <c r="EI442" s="1070">
        <f>SUM(EG442:EH442)</f>
        <v>196.79598810243903</v>
      </c>
      <c r="EJ442" s="233">
        <f>EJ405</f>
        <v>107.99389278338407</v>
      </c>
      <c r="EK442" s="233">
        <f>EK405</f>
        <v>106.51373424827447</v>
      </c>
      <c r="EL442" s="1070">
        <f>SUM(EJ442:EK442)</f>
        <v>214.50762703165856</v>
      </c>
      <c r="EM442" s="233">
        <f>EM405</f>
        <v>117.71334313388867</v>
      </c>
      <c r="EN442" s="233">
        <f>EN405</f>
        <v>116.09997033061919</v>
      </c>
      <c r="EO442" s="1070">
        <f>SUM(EM442:EN442)</f>
        <v>233.81331346450787</v>
      </c>
      <c r="EP442" s="233">
        <f>EP405</f>
        <v>128.30754401593865</v>
      </c>
      <c r="EQ442" s="233">
        <f>EQ405</f>
        <v>126.54896766037491</v>
      </c>
      <c r="ER442" s="1070">
        <f>SUM(EP442:EQ442)</f>
        <v>254.85651167631357</v>
      </c>
      <c r="ES442" s="233">
        <f>ES405</f>
        <v>139.85522297737316</v>
      </c>
      <c r="ET442" s="233">
        <f>ET405</f>
        <v>137.93837474980867</v>
      </c>
      <c r="EU442" s="1070">
        <f>SUM(ES442:ET442)</f>
        <v>277.7935977271818</v>
      </c>
      <c r="EV442" s="233">
        <f>EV405</f>
        <v>152.44219304533672</v>
      </c>
      <c r="EW442" s="233">
        <f>EW405</f>
        <v>150.35282847729141</v>
      </c>
      <c r="EX442" s="1070">
        <f>SUM(EV442:EW442)</f>
        <v>302.79502152262813</v>
      </c>
      <c r="EY442" s="233">
        <f>EY405</f>
        <v>166.16199041941704</v>
      </c>
      <c r="EZ442" s="233">
        <f>EZ405</f>
        <v>163.88458304024763</v>
      </c>
      <c r="FA442" s="1070">
        <f>SUM(EY442:EZ442)</f>
        <v>330.04657345966467</v>
      </c>
    </row>
    <row r="443" spans="1:157" outlineLevel="1">
      <c r="B443" s="31"/>
      <c r="C443" s="35" t="str">
        <f>C441</f>
        <v>% of sales</v>
      </c>
      <c r="D443" s="162" t="s">
        <v>460</v>
      </c>
      <c r="BA443" s="65">
        <f t="shared" ref="BA443:CF443" si="2286">BA442/BA424</f>
        <v>0</v>
      </c>
      <c r="BB443" s="65">
        <f t="shared" si="2286"/>
        <v>0</v>
      </c>
      <c r="BC443" s="65">
        <f t="shared" si="2286"/>
        <v>0</v>
      </c>
      <c r="BD443" s="65">
        <f t="shared" si="2286"/>
        <v>0</v>
      </c>
      <c r="BE443" s="65">
        <f t="shared" si="2286"/>
        <v>0</v>
      </c>
      <c r="BF443" s="65">
        <f t="shared" si="2286"/>
        <v>0</v>
      </c>
      <c r="BG443" s="65">
        <f t="shared" si="2286"/>
        <v>0</v>
      </c>
      <c r="BH443" s="65">
        <f t="shared" si="2286"/>
        <v>0</v>
      </c>
      <c r="BI443" s="65">
        <f t="shared" si="2286"/>
        <v>0</v>
      </c>
      <c r="BJ443" s="65">
        <f t="shared" si="2286"/>
        <v>0</v>
      </c>
      <c r="BK443" s="65">
        <f t="shared" si="2286"/>
        <v>0</v>
      </c>
      <c r="BL443" s="65">
        <f t="shared" si="2286"/>
        <v>0</v>
      </c>
      <c r="BM443" s="65">
        <f t="shared" si="2286"/>
        <v>0.15</v>
      </c>
      <c r="BN443" s="65">
        <f t="shared" si="2286"/>
        <v>0.15</v>
      </c>
      <c r="BO443" s="65">
        <f t="shared" si="2286"/>
        <v>0.15</v>
      </c>
      <c r="BP443" s="65">
        <f t="shared" si="2286"/>
        <v>0.15</v>
      </c>
      <c r="BQ443" s="65">
        <f t="shared" si="2286"/>
        <v>0.15</v>
      </c>
      <c r="BR443" s="65">
        <f t="shared" si="2286"/>
        <v>0.15</v>
      </c>
      <c r="BS443" s="65">
        <f t="shared" si="2286"/>
        <v>0.23713982746552439</v>
      </c>
      <c r="BT443" s="65">
        <f t="shared" si="2286"/>
        <v>0.27659032196605637</v>
      </c>
      <c r="BU443" s="65">
        <f t="shared" si="2286"/>
        <v>0.25579961693555486</v>
      </c>
      <c r="BV443" s="65">
        <f t="shared" si="2286"/>
        <v>0.26567244705698145</v>
      </c>
      <c r="BW443" s="65">
        <f t="shared" si="2286"/>
        <v>0.27316855750175745</v>
      </c>
      <c r="BX443" s="65">
        <f t="shared" si="2286"/>
        <v>0.26963468744490554</v>
      </c>
      <c r="BY443" s="65">
        <f t="shared" si="2286"/>
        <v>0.25854067711315126</v>
      </c>
      <c r="BZ443" s="65">
        <f t="shared" si="2286"/>
        <v>0.26078552607868521</v>
      </c>
      <c r="CA443" s="65">
        <f t="shared" si="2286"/>
        <v>0.25968553334365263</v>
      </c>
      <c r="CB443" s="65">
        <f t="shared" si="2286"/>
        <v>0.29152499999999998</v>
      </c>
      <c r="CC443" s="65">
        <f t="shared" si="2286"/>
        <v>0.28073999999999999</v>
      </c>
      <c r="CD443" s="65">
        <f t="shared" si="2286"/>
        <v>0.2860208807511031</v>
      </c>
      <c r="CE443" s="65">
        <f t="shared" si="2286"/>
        <v>0.30038999999999999</v>
      </c>
      <c r="CF443" s="65">
        <f t="shared" si="2286"/>
        <v>0.21762999999999999</v>
      </c>
      <c r="CG443" s="65">
        <f t="shared" ref="CG443:DL443" si="2287">CG442/CG424</f>
        <v>0.25578895319237549</v>
      </c>
      <c r="CH443" s="65">
        <f t="shared" si="2287"/>
        <v>0.25491000000000003</v>
      </c>
      <c r="CI443" s="65">
        <f t="shared" si="2287"/>
        <v>0.21665000000000001</v>
      </c>
      <c r="CJ443" s="65">
        <f t="shared" si="2287"/>
        <v>0.23522439735586284</v>
      </c>
      <c r="CK443" s="65">
        <f t="shared" si="2287"/>
        <v>0.15731999999999999</v>
      </c>
      <c r="CL443" s="65">
        <f t="shared" si="2287"/>
        <v>0.15889</v>
      </c>
      <c r="CM443" s="65">
        <f t="shared" si="2287"/>
        <v>0.15806402584209386</v>
      </c>
      <c r="CN443" s="65">
        <f t="shared" si="2287"/>
        <v>0.23132585429731736</v>
      </c>
      <c r="CO443" s="65">
        <f t="shared" si="2287"/>
        <v>6.1848911454529948E-2</v>
      </c>
      <c r="CP443" s="65">
        <f t="shared" si="2287"/>
        <v>0.13109328007939156</v>
      </c>
      <c r="CQ443" s="65">
        <f t="shared" si="2287"/>
        <v>0.34385641316743065</v>
      </c>
      <c r="CR443" s="65">
        <f t="shared" si="2287"/>
        <v>0.12372050875875019</v>
      </c>
      <c r="CS443" s="65">
        <f t="shared" si="2287"/>
        <v>0.2105029529566857</v>
      </c>
      <c r="CT443" s="65">
        <f t="shared" si="2287"/>
        <v>0.2051997920308968</v>
      </c>
      <c r="CU443" s="65">
        <f t="shared" si="2287"/>
        <v>0.2863</v>
      </c>
      <c r="CV443" s="65">
        <f t="shared" si="2287"/>
        <v>0.24495236359609204</v>
      </c>
      <c r="CW443" s="65">
        <f t="shared" si="2287"/>
        <v>0.2616</v>
      </c>
      <c r="CX443" s="65">
        <f t="shared" si="2287"/>
        <v>0.33200000000000002</v>
      </c>
      <c r="CY443" s="65">
        <f t="shared" si="2287"/>
        <v>0.29575689277550082</v>
      </c>
      <c r="CZ443" s="65">
        <f t="shared" si="2287"/>
        <v>0.33562507060202662</v>
      </c>
      <c r="DA443" s="65">
        <f t="shared" si="2287"/>
        <v>0.29455373829549419</v>
      </c>
      <c r="DB443" s="65">
        <f t="shared" si="2287"/>
        <v>0.31243001167693418</v>
      </c>
      <c r="DC443" s="65">
        <f t="shared" si="2287"/>
        <v>0.33050540619324714</v>
      </c>
      <c r="DD443" s="65">
        <f t="shared" si="2287"/>
        <v>0.3005645331659228</v>
      </c>
      <c r="DE443" s="65">
        <f t="shared" si="2287"/>
        <v>0.31475206606844891</v>
      </c>
      <c r="DF443" s="65">
        <f t="shared" si="2287"/>
        <v>0.32900000000000001</v>
      </c>
      <c r="DG443" s="65">
        <f t="shared" si="2287"/>
        <v>0.41407214064179182</v>
      </c>
      <c r="DH443" s="1066">
        <f t="shared" si="2287"/>
        <v>0.36321773217424608</v>
      </c>
      <c r="DI443" s="65">
        <f t="shared" si="2287"/>
        <v>0.27124450232578684</v>
      </c>
      <c r="DJ443" s="65">
        <f t="shared" si="2287"/>
        <v>0.38414634974846429</v>
      </c>
      <c r="DK443" s="1066">
        <f t="shared" si="2287"/>
        <v>0.3258497419285411</v>
      </c>
      <c r="DL443" s="65">
        <f t="shared" si="2287"/>
        <v>0.30535519509026282</v>
      </c>
      <c r="DM443" s="65">
        <f t="shared" ref="DM443:ER443" si="2288">DM442/DM424</f>
        <v>0.31573409272321179</v>
      </c>
      <c r="DN443" s="1066">
        <f t="shared" si="2288"/>
        <v>0.31059417205026679</v>
      </c>
      <c r="DO443" s="65">
        <f t="shared" si="2288"/>
        <v>0.27888750950407221</v>
      </c>
      <c r="DP443" s="65">
        <f t="shared" si="2288"/>
        <v>0.32544055330003629</v>
      </c>
      <c r="DQ443" s="1066">
        <f t="shared" si="2288"/>
        <v>0.30325210550261084</v>
      </c>
      <c r="DR443" s="65">
        <f t="shared" si="2288"/>
        <v>0.48168236180017987</v>
      </c>
      <c r="DS443" s="65">
        <f t="shared" si="2288"/>
        <v>0.23539393995032959</v>
      </c>
      <c r="DT443" s="1066">
        <f t="shared" si="2288"/>
        <v>0.3516177044963063</v>
      </c>
      <c r="DU443" s="65">
        <f t="shared" si="2288"/>
        <v>0.3516177044963063</v>
      </c>
      <c r="DV443" s="65">
        <f t="shared" si="2288"/>
        <v>0.35593724731999088</v>
      </c>
      <c r="DW443" s="1066">
        <f t="shared" si="2288"/>
        <v>0.35363040192208101</v>
      </c>
      <c r="DX443" s="65">
        <f t="shared" si="2288"/>
        <v>0.35363040192208101</v>
      </c>
      <c r="DY443" s="65">
        <f t="shared" si="2288"/>
        <v>0.35363040192208101</v>
      </c>
      <c r="DZ443" s="1066">
        <f t="shared" si="2288"/>
        <v>0.35363040192208095</v>
      </c>
      <c r="EA443" s="65">
        <f t="shared" si="2288"/>
        <v>0.32</v>
      </c>
      <c r="EB443" s="65">
        <f t="shared" si="2288"/>
        <v>0.32</v>
      </c>
      <c r="EC443" s="1066">
        <f t="shared" si="2288"/>
        <v>0.32</v>
      </c>
      <c r="ED443" s="65">
        <f t="shared" si="2288"/>
        <v>0.32</v>
      </c>
      <c r="EE443" s="65">
        <f t="shared" si="2288"/>
        <v>0.32</v>
      </c>
      <c r="EF443" s="1066">
        <f t="shared" si="2288"/>
        <v>0.32</v>
      </c>
      <c r="EG443" s="65">
        <f t="shared" si="2288"/>
        <v>0.32</v>
      </c>
      <c r="EH443" s="65">
        <f t="shared" si="2288"/>
        <v>0.32</v>
      </c>
      <c r="EI443" s="1066">
        <f t="shared" si="2288"/>
        <v>0.32</v>
      </c>
      <c r="EJ443" s="65">
        <f t="shared" si="2288"/>
        <v>0.32</v>
      </c>
      <c r="EK443" s="65">
        <f t="shared" si="2288"/>
        <v>0.32</v>
      </c>
      <c r="EL443" s="1066">
        <f t="shared" si="2288"/>
        <v>0.32</v>
      </c>
      <c r="EM443" s="65">
        <f t="shared" si="2288"/>
        <v>0.32</v>
      </c>
      <c r="EN443" s="65">
        <f t="shared" si="2288"/>
        <v>0.32</v>
      </c>
      <c r="EO443" s="1066">
        <f t="shared" si="2288"/>
        <v>0.32</v>
      </c>
      <c r="EP443" s="65">
        <f t="shared" si="2288"/>
        <v>0.31999999999999995</v>
      </c>
      <c r="EQ443" s="65">
        <f t="shared" si="2288"/>
        <v>0.32</v>
      </c>
      <c r="ER443" s="1066">
        <f t="shared" si="2288"/>
        <v>0.32</v>
      </c>
      <c r="ES443" s="65">
        <f t="shared" ref="ES443:EX443" si="2289">ES442/ES424</f>
        <v>0.32</v>
      </c>
      <c r="ET443" s="65">
        <f t="shared" si="2289"/>
        <v>0.32</v>
      </c>
      <c r="EU443" s="1066">
        <f t="shared" si="2289"/>
        <v>0.31999999999999995</v>
      </c>
      <c r="EV443" s="65">
        <f t="shared" si="2289"/>
        <v>0.31999999999999995</v>
      </c>
      <c r="EW443" s="65">
        <f t="shared" si="2289"/>
        <v>0.31999999999999995</v>
      </c>
      <c r="EX443" s="1066">
        <f t="shared" si="2289"/>
        <v>0.31999999999999995</v>
      </c>
      <c r="EY443" s="65">
        <f t="shared" ref="EY443:FA443" si="2290">EY442/EY424</f>
        <v>0.31999999999999995</v>
      </c>
      <c r="EZ443" s="65">
        <f t="shared" si="2290"/>
        <v>0.31999999999999995</v>
      </c>
      <c r="FA443" s="1066">
        <f t="shared" si="2290"/>
        <v>0.31999999999999995</v>
      </c>
    </row>
    <row r="444" spans="1:157" s="233" customFormat="1" outlineLevel="1">
      <c r="A444" s="1433" t="s">
        <v>702</v>
      </c>
      <c r="D444" s="245" t="s">
        <v>604</v>
      </c>
      <c r="BA444" s="233">
        <f>BA438+BA440+BA442</f>
        <v>0</v>
      </c>
      <c r="BB444" s="233">
        <f>BB438+BB440+BB442</f>
        <v>0</v>
      </c>
      <c r="BC444" s="233">
        <f>SUM(BA444:BB444)</f>
        <v>0</v>
      </c>
      <c r="BD444" s="233">
        <f>BD438+BD440+BD442</f>
        <v>0</v>
      </c>
      <c r="BE444" s="233">
        <f>BE438+BE440+BE442</f>
        <v>0</v>
      </c>
      <c r="BF444" s="233">
        <f>SUM(BD444:BE444)</f>
        <v>0</v>
      </c>
      <c r="BG444" s="233">
        <f>BG438+BG440+BG442</f>
        <v>0</v>
      </c>
      <c r="BH444" s="233">
        <f>BH438+BH440+BH442</f>
        <v>0</v>
      </c>
      <c r="BI444" s="233">
        <f>SUM(BG444:BH444)</f>
        <v>0</v>
      </c>
      <c r="BJ444" s="233">
        <f>BJ438+BJ440+BJ442</f>
        <v>0</v>
      </c>
      <c r="BK444" s="233">
        <f>BK438+BK440+BK442</f>
        <v>0</v>
      </c>
      <c r="BL444" s="233">
        <f>SUM(BJ444:BK444)</f>
        <v>0</v>
      </c>
      <c r="BM444" s="233">
        <f>BM438+BM440+BM442</f>
        <v>25.87399045548521</v>
      </c>
      <c r="BN444" s="233">
        <f>BN438+BN440+BN442</f>
        <v>26.402671311418004</v>
      </c>
      <c r="BO444" s="233">
        <f>SUM(BM444:BN444)</f>
        <v>52.276661766903217</v>
      </c>
      <c r="BP444" s="233">
        <f>BP438+BP440+BP442</f>
        <v>31.551562727575771</v>
      </c>
      <c r="BQ444" s="233">
        <f>BQ438+BQ440+BQ442</f>
        <v>33.535315823491118</v>
      </c>
      <c r="BR444" s="233">
        <f>SUM(BP444:BQ444)</f>
        <v>65.086878551066889</v>
      </c>
      <c r="BS444" s="233">
        <f>BS438+BS440+BS442</f>
        <v>64.943997330093708</v>
      </c>
      <c r="BT444" s="233">
        <f>BT438+BT440+BT442</f>
        <v>76.101997080558533</v>
      </c>
      <c r="BU444" s="233">
        <f>SUM(BS444:BT444)</f>
        <v>141.04599441065224</v>
      </c>
      <c r="BV444" s="233">
        <f>BV438+BV440+BV442</f>
        <v>75.488</v>
      </c>
      <c r="BW444" s="233">
        <f>BW438+BW440+BW442</f>
        <v>80.998999999999995</v>
      </c>
      <c r="BX444" s="233">
        <f>SUM(BV444:BW444)</f>
        <v>156.48699999999999</v>
      </c>
      <c r="BY444" s="233">
        <f>BY438+BY440+BY442</f>
        <v>90.106999999999985</v>
      </c>
      <c r="BZ444" s="233">
        <f>BZ438+BZ440+BZ442</f>
        <v>94.446854971863303</v>
      </c>
      <c r="CA444" s="233">
        <f>SUM(BY444:BZ444)</f>
        <v>184.5538549718633</v>
      </c>
      <c r="CB444" s="233">
        <f>CB438+CB440+CB442</f>
        <v>76.927356529168932</v>
      </c>
      <c r="CC444" s="233">
        <f>CC438+CC440+CC442</f>
        <v>74.54486848232338</v>
      </c>
      <c r="CD444" s="233">
        <f>SUM(CB444:CC444)</f>
        <v>151.4722250114923</v>
      </c>
      <c r="CE444" s="233">
        <f>CE438+CE440+CE442</f>
        <v>83.338424657701736</v>
      </c>
      <c r="CF444" s="233">
        <f>CF438+CF440+CF442</f>
        <v>71.925850139524698</v>
      </c>
      <c r="CG444" s="233">
        <f>SUM(CE444:CF444)</f>
        <v>155.26427479722645</v>
      </c>
      <c r="CH444" s="233">
        <f>CH438+CH440+CH442</f>
        <v>77.844939947999109</v>
      </c>
      <c r="CI444" s="233">
        <f>CI438+CI440+CI442</f>
        <v>75.720568984973937</v>
      </c>
      <c r="CJ444" s="233">
        <f>SUM(CH444:CI444)</f>
        <v>153.56550893297305</v>
      </c>
      <c r="CK444" s="233">
        <f>CK438+CK440+CK442</f>
        <v>74.188517721899444</v>
      </c>
      <c r="CL444" s="233">
        <f>CL438+CL440+CL442</f>
        <v>79.671893495052558</v>
      </c>
      <c r="CM444" s="233">
        <f>SUM(CK444:CL444)</f>
        <v>153.860411216952</v>
      </c>
      <c r="CN444" s="233">
        <f>CN438+CN440+CN442</f>
        <v>82.744257416896872</v>
      </c>
      <c r="CO444" s="233">
        <f>CO438+CO440+CO442</f>
        <v>76.29214666377753</v>
      </c>
      <c r="CP444" s="233">
        <f>SUM(CN444:CO444)</f>
        <v>159.0364040806744</v>
      </c>
      <c r="CQ444" s="233">
        <f>CQ438+CQ440+CQ442</f>
        <v>87.673518576001555</v>
      </c>
      <c r="CR444" s="233">
        <f>CR438+CR440+CR442</f>
        <v>94.566790126328897</v>
      </c>
      <c r="CS444" s="233">
        <f>SUM(CQ444:CR444)</f>
        <v>182.24030870233045</v>
      </c>
      <c r="CT444" s="233">
        <f>CT438+CT440+CT442</f>
        <v>116.45696098000002</v>
      </c>
      <c r="CU444" s="233">
        <f>CU438+CU440+CU442</f>
        <v>125.81481695848055</v>
      </c>
      <c r="CV444" s="233">
        <f>SUM(CT444:CU444)</f>
        <v>242.27177793848057</v>
      </c>
      <c r="CW444" s="233">
        <f>CW438+CW440+CW442</f>
        <v>123.57879391579604</v>
      </c>
      <c r="CX444" s="233">
        <f>CX438+CX440+CX442</f>
        <v>134.1826367739466</v>
      </c>
      <c r="CY444" s="233">
        <f>SUM(CW444:CX444)</f>
        <v>257.76143068974261</v>
      </c>
      <c r="CZ444" s="233">
        <f>CZ438+CZ440+CZ442</f>
        <v>138.04749759645495</v>
      </c>
      <c r="DA444" s="233">
        <f>DA438+DA440+DA442</f>
        <v>148.726405339114</v>
      </c>
      <c r="DB444" s="233">
        <f>SUM(CZ444:DA444)</f>
        <v>286.77390293556891</v>
      </c>
      <c r="DC444" s="233">
        <f>DC438+DC440+DC442</f>
        <v>159.06230865557663</v>
      </c>
      <c r="DD444" s="233">
        <f>DD438+DD440+DD442</f>
        <v>174.21112850667029</v>
      </c>
      <c r="DE444" s="233">
        <f>SUM(DC444:DD444)</f>
        <v>333.27343716224692</v>
      </c>
      <c r="DF444" s="233">
        <f>DF438+DF440+DF442</f>
        <v>182.52943107736763</v>
      </c>
      <c r="DG444" s="233">
        <f>DG438+DG440+DG442</f>
        <v>166.67575757575756</v>
      </c>
      <c r="DH444" s="1118">
        <f>SUM(DF444:DG444)</f>
        <v>349.20518865312522</v>
      </c>
      <c r="DI444" s="1116">
        <f>DI438+DI440+DI442</f>
        <v>157.74216089717757</v>
      </c>
      <c r="DJ444" s="1116">
        <f>DJ438+DJ440+DJ442</f>
        <v>182.77769439637413</v>
      </c>
      <c r="DK444" s="1118">
        <f>SUM(DI444:DJ444)</f>
        <v>340.5198552935517</v>
      </c>
      <c r="DL444" s="1116">
        <f>DL438+DL440+DL442</f>
        <v>176.96313735686067</v>
      </c>
      <c r="DM444" s="1116">
        <f>DM438+DM440+DM442</f>
        <v>205.44012027909218</v>
      </c>
      <c r="DN444" s="1115">
        <f>SUM(DL444:DM444)</f>
        <v>382.40325763595285</v>
      </c>
      <c r="DO444" s="1116">
        <f>DO438+DO440+DO442</f>
        <v>213.0923611051002</v>
      </c>
      <c r="DP444" s="1116">
        <f>DP438+DP440+DP442</f>
        <v>248.84325614697281</v>
      </c>
      <c r="DQ444" s="1115">
        <f>SUM(DO444:DP444)</f>
        <v>461.93561725207303</v>
      </c>
      <c r="DR444" s="1116">
        <f>DR438+DR440+DR442</f>
        <v>264.83456292057673</v>
      </c>
      <c r="DS444" s="1116">
        <f>DS438+DS440+DS442</f>
        <v>245.74694213328894</v>
      </c>
      <c r="DT444" s="1115">
        <f>SUM(DR444:DS444)</f>
        <v>510.58150505386567</v>
      </c>
      <c r="DU444" s="1116">
        <f>DU438+DU440+DU442</f>
        <v>302.14206403988584</v>
      </c>
      <c r="DV444" s="1116">
        <f>DV438+DV440+DV442</f>
        <v>282.5722422826849</v>
      </c>
      <c r="DW444" s="1115">
        <f>SUM(DU444:DV444)</f>
        <v>584.71430632257079</v>
      </c>
      <c r="DX444" s="1116">
        <f>DX438+DX440+DX442</f>
        <v>290.08525466226558</v>
      </c>
      <c r="DY444" s="1116">
        <f>DY438+DY440+DY442</f>
        <v>331.84839591341046</v>
      </c>
      <c r="DZ444" s="1115">
        <f>SUM(DX444:DY444)</f>
        <v>621.93365057567598</v>
      </c>
      <c r="EA444" s="1116">
        <f>EA438+EA440+EA442</f>
        <v>335.62737010064666</v>
      </c>
      <c r="EB444" s="1116">
        <f>EB438+EB440+EB442</f>
        <v>346.11295782252603</v>
      </c>
      <c r="EC444" s="1115">
        <f>SUM(EA444:EB444)</f>
        <v>681.74032792317269</v>
      </c>
      <c r="ED444" s="1116">
        <f>ED438+ED440+ED442</f>
        <v>365.12587996639587</v>
      </c>
      <c r="EE444" s="1116">
        <f>EE438+EE440+EE442</f>
        <v>376.53557624678984</v>
      </c>
      <c r="EF444" s="1115">
        <f>SUM(ED444:EE444)</f>
        <v>741.66145621318572</v>
      </c>
      <c r="EG444" s="1116">
        <f>EG438+EG440+EG442</f>
        <v>397.98720916337152</v>
      </c>
      <c r="EH444" s="1116">
        <f>EH438+EH440+EH442</f>
        <v>410.42377810900098</v>
      </c>
      <c r="EI444" s="1115">
        <f>SUM(EG444:EH444)</f>
        <v>808.41098727237249</v>
      </c>
      <c r="EJ444" s="1116">
        <f>EJ438+EJ440+EJ442</f>
        <v>433.806057988075</v>
      </c>
      <c r="EK444" s="1116">
        <f>EK438+EK440+EK442</f>
        <v>447.36191813881106</v>
      </c>
      <c r="EL444" s="1115">
        <f>SUM(EJ444:EK444)</f>
        <v>881.16797612688606</v>
      </c>
      <c r="EM444" s="1116">
        <f>EM438+EM440+EM442</f>
        <v>472.8486032070017</v>
      </c>
      <c r="EN444" s="1116">
        <f>EN438+EN440+EN442</f>
        <v>487.62449077130395</v>
      </c>
      <c r="EO444" s="1115">
        <f>SUM(EM444:EN444)</f>
        <v>960.47309397830566</v>
      </c>
      <c r="EP444" s="1116">
        <f>EP438+EP440+EP442</f>
        <v>515.40497749563201</v>
      </c>
      <c r="EQ444" s="1116">
        <f>EQ438+EQ440+EQ442</f>
        <v>531.51069494072146</v>
      </c>
      <c r="ER444" s="1115">
        <f>SUM(EP444:EQ444)</f>
        <v>1046.9156724363534</v>
      </c>
      <c r="ES444" s="1116">
        <f>ES438+ES440+ES442</f>
        <v>561.79142547023889</v>
      </c>
      <c r="ET444" s="1116">
        <f>ET438+ET440+ET442</f>
        <v>579.34665748538646</v>
      </c>
      <c r="EU444" s="1115">
        <f>SUM(ES444:ET444)</f>
        <v>1141.1380829556254</v>
      </c>
      <c r="EV444" s="1116">
        <f>EV438+EV440+EV442</f>
        <v>612.35265376256041</v>
      </c>
      <c r="EW444" s="1116">
        <f>EW438+EW440+EW442</f>
        <v>631.48785665907121</v>
      </c>
      <c r="EX444" s="1115">
        <f>SUM(EV444:EW444)</f>
        <v>1243.8405104216317</v>
      </c>
      <c r="EY444" s="1116">
        <f>EY438+EY440+EY442</f>
        <v>667.46439260119087</v>
      </c>
      <c r="EZ444" s="1116">
        <f>EZ438+EZ440+EZ442</f>
        <v>688.32176375838753</v>
      </c>
      <c r="FA444" s="1115">
        <f>SUM(EY444:EZ444)</f>
        <v>1355.7861563595784</v>
      </c>
    </row>
    <row r="445" spans="1:157" outlineLevel="1">
      <c r="B445" s="31"/>
      <c r="C445" s="35" t="s">
        <v>488</v>
      </c>
      <c r="D445" s="162" t="s">
        <v>460</v>
      </c>
      <c r="BA445" s="65">
        <f t="shared" ref="BA445:CF445" si="2291">BA444/BA424</f>
        <v>0</v>
      </c>
      <c r="BB445" s="65">
        <f t="shared" si="2291"/>
        <v>0</v>
      </c>
      <c r="BC445" s="65">
        <f t="shared" si="2291"/>
        <v>0</v>
      </c>
      <c r="BD445" s="65">
        <f t="shared" si="2291"/>
        <v>0</v>
      </c>
      <c r="BE445" s="65">
        <f t="shared" si="2291"/>
        <v>0</v>
      </c>
      <c r="BF445" s="65">
        <f t="shared" si="2291"/>
        <v>0</v>
      </c>
      <c r="BG445" s="65">
        <f t="shared" si="2291"/>
        <v>0</v>
      </c>
      <c r="BH445" s="65">
        <f t="shared" si="2291"/>
        <v>0</v>
      </c>
      <c r="BI445" s="65">
        <f t="shared" si="2291"/>
        <v>0</v>
      </c>
      <c r="BJ445" s="65">
        <f t="shared" si="2291"/>
        <v>0</v>
      </c>
      <c r="BK445" s="65">
        <f t="shared" si="2291"/>
        <v>0</v>
      </c>
      <c r="BL445" s="65">
        <f t="shared" si="2291"/>
        <v>0</v>
      </c>
      <c r="BM445" s="65">
        <f t="shared" si="2291"/>
        <v>0.92796438324348141</v>
      </c>
      <c r="BN445" s="65">
        <f t="shared" si="2291"/>
        <v>0.87759150606136682</v>
      </c>
      <c r="BO445" s="65">
        <f t="shared" si="2291"/>
        <v>0.90182082898838434</v>
      </c>
      <c r="BP445" s="65">
        <f t="shared" si="2291"/>
        <v>0.97665893454304831</v>
      </c>
      <c r="BQ445" s="65">
        <f t="shared" si="2291"/>
        <v>1.2319346436937937</v>
      </c>
      <c r="BR445" s="65">
        <f t="shared" si="2291"/>
        <v>1.0933958461105229</v>
      </c>
      <c r="BS445" s="65">
        <f t="shared" si="2291"/>
        <v>1.5379732713688801</v>
      </c>
      <c r="BT445" s="65">
        <f t="shared" si="2291"/>
        <v>2.0080212427915916</v>
      </c>
      <c r="BU445" s="65">
        <f t="shared" si="2291"/>
        <v>1.7603024537684675</v>
      </c>
      <c r="BV445" s="65">
        <f t="shared" si="2291"/>
        <v>1.7580288315983144</v>
      </c>
      <c r="BW445" s="65">
        <f t="shared" si="2291"/>
        <v>1.6824318710535058</v>
      </c>
      <c r="BX445" s="65">
        <f t="shared" si="2291"/>
        <v>1.7180703314559247</v>
      </c>
      <c r="BY445" s="65">
        <f t="shared" si="2291"/>
        <v>1.9875813389213628</v>
      </c>
      <c r="BZ445" s="65">
        <f t="shared" si="2291"/>
        <v>2.0016712226997142</v>
      </c>
      <c r="CA445" s="65">
        <f t="shared" si="2291"/>
        <v>1.9947670745669897</v>
      </c>
      <c r="CB445" s="65">
        <f t="shared" si="2291"/>
        <v>1.6175415045092725</v>
      </c>
      <c r="CC445" s="65">
        <f t="shared" si="2291"/>
        <v>1.5038721029129496</v>
      </c>
      <c r="CD445" s="65">
        <f t="shared" si="2291"/>
        <v>1.5595303833839211</v>
      </c>
      <c r="CE445" s="65">
        <f t="shared" si="2291"/>
        <v>1.482238940496992</v>
      </c>
      <c r="CF445" s="65">
        <f t="shared" si="2291"/>
        <v>1.0944837956321523</v>
      </c>
      <c r="CG445" s="65">
        <f t="shared" ref="CG445:DL445" si="2292">CG444/CG424</f>
        <v>1.2732698084765239</v>
      </c>
      <c r="CH445" s="65">
        <f t="shared" si="2292"/>
        <v>1.304515085482568</v>
      </c>
      <c r="CI445" s="65">
        <f t="shared" si="2292"/>
        <v>1.1972879286938281</v>
      </c>
      <c r="CJ445" s="65">
        <f t="shared" si="2292"/>
        <v>1.2493443797532493</v>
      </c>
      <c r="CK445" s="65">
        <f t="shared" si="2292"/>
        <v>0.95531555423355441</v>
      </c>
      <c r="CL445" s="65">
        <f t="shared" si="2292"/>
        <v>1.1389213479704523</v>
      </c>
      <c r="CM445" s="65">
        <f t="shared" si="2292"/>
        <v>1.0423266722580187</v>
      </c>
      <c r="CN445" s="65">
        <f t="shared" si="2292"/>
        <v>1.4301759094458115</v>
      </c>
      <c r="CO445" s="65">
        <f t="shared" si="2292"/>
        <v>0.91097614788572845</v>
      </c>
      <c r="CP445" s="65">
        <f t="shared" si="2292"/>
        <v>1.1231091913331586</v>
      </c>
      <c r="CQ445" s="65">
        <f t="shared" si="2292"/>
        <v>1.3787312246579901</v>
      </c>
      <c r="CR445" s="65">
        <f t="shared" si="2292"/>
        <v>0.96778171341481734</v>
      </c>
      <c r="CS445" s="65">
        <f t="shared" si="2292"/>
        <v>1.129787103328046</v>
      </c>
      <c r="CT445" s="65">
        <f t="shared" si="2292"/>
        <v>1.0861597382926536</v>
      </c>
      <c r="CU445" s="65">
        <f t="shared" si="2292"/>
        <v>1.2205216802297731</v>
      </c>
      <c r="CV445" s="65">
        <f t="shared" si="2292"/>
        <v>1.1520194055641457</v>
      </c>
      <c r="CW445" s="65">
        <f t="shared" si="2292"/>
        <v>1.1102417967782732</v>
      </c>
      <c r="CX445" s="65">
        <f t="shared" si="2292"/>
        <v>1.2791368483881618</v>
      </c>
      <c r="CY445" s="65">
        <f t="shared" si="2292"/>
        <v>1.1921868275758816</v>
      </c>
      <c r="CZ445" s="65">
        <f t="shared" si="2292"/>
        <v>1.4626355993980193</v>
      </c>
      <c r="DA445" s="65">
        <f t="shared" si="2292"/>
        <v>1.2144431509502946</v>
      </c>
      <c r="DB445" s="65">
        <f t="shared" si="2292"/>
        <v>1.322468769076026</v>
      </c>
      <c r="DC445" s="65">
        <f t="shared" si="2292"/>
        <v>1.4100509784519244</v>
      </c>
      <c r="DD445" s="65">
        <f t="shared" si="2292"/>
        <v>1.3908415573941717</v>
      </c>
      <c r="DE445" s="65">
        <f t="shared" si="2292"/>
        <v>1.3999439737815169</v>
      </c>
      <c r="DF445" s="65">
        <f t="shared" si="2292"/>
        <v>1.3707479901648112</v>
      </c>
      <c r="DG445" s="65">
        <f t="shared" si="2292"/>
        <v>1.8602638202826491</v>
      </c>
      <c r="DH445" s="1066">
        <f t="shared" si="2292"/>
        <v>1.5676411380703597</v>
      </c>
      <c r="DI445" s="65">
        <f t="shared" si="2292"/>
        <v>1.2180861845341897</v>
      </c>
      <c r="DJ445" s="65">
        <f t="shared" si="2292"/>
        <v>1.506823531709597</v>
      </c>
      <c r="DK445" s="1066">
        <f t="shared" si="2292"/>
        <v>1.3577346702294724</v>
      </c>
      <c r="DL445" s="65">
        <f t="shared" si="2292"/>
        <v>1.2631201809911541</v>
      </c>
      <c r="DM445" s="65">
        <f t="shared" ref="DM445:ER445" si="2293">DM444/DM424</f>
        <v>1.4386563044754357</v>
      </c>
      <c r="DN445" s="1066">
        <f t="shared" si="2293"/>
        <v>1.3517259018591476</v>
      </c>
      <c r="DO445" s="65">
        <f t="shared" si="2293"/>
        <v>1.3227334643395419</v>
      </c>
      <c r="DP445" s="65">
        <f t="shared" si="2293"/>
        <v>1.406688841984018</v>
      </c>
      <c r="DQ445" s="1066">
        <f t="shared" si="2293"/>
        <v>1.3666734238227012</v>
      </c>
      <c r="DR445" s="65">
        <f t="shared" si="2293"/>
        <v>1.5090288485502947</v>
      </c>
      <c r="DS445" s="65">
        <f t="shared" si="2293"/>
        <v>1.2512573428375202</v>
      </c>
      <c r="DT445" s="1066">
        <f t="shared" si="2293"/>
        <v>1.3728999867003648</v>
      </c>
      <c r="DU445" s="65">
        <f t="shared" si="2293"/>
        <v>1.3193976595628203</v>
      </c>
      <c r="DV445" s="65">
        <f t="shared" si="2293"/>
        <v>1.4142754869003247</v>
      </c>
      <c r="DW445" s="1066">
        <f t="shared" si="2293"/>
        <v>1.3636061248194282</v>
      </c>
      <c r="DX445" s="65">
        <f t="shared" si="2293"/>
        <v>1.3959829387019518</v>
      </c>
      <c r="DY445" s="65">
        <f t="shared" si="2293"/>
        <v>1.3776431230490624</v>
      </c>
      <c r="DZ445" s="1066">
        <f t="shared" si="2293"/>
        <v>1.3861369339731022</v>
      </c>
      <c r="EA445" s="65">
        <f t="shared" si="2293"/>
        <v>1.2854239714705655</v>
      </c>
      <c r="EB445" s="65">
        <f t="shared" si="2293"/>
        <v>1.3440127211269814</v>
      </c>
      <c r="EC445" s="1066">
        <f t="shared" si="2293"/>
        <v>1.3145161093227984</v>
      </c>
      <c r="ED445" s="65">
        <f t="shared" si="2293"/>
        <v>1.2854239714705653</v>
      </c>
      <c r="EE445" s="65">
        <f t="shared" si="2293"/>
        <v>1.3440127211269814</v>
      </c>
      <c r="EF445" s="1066">
        <f t="shared" si="2293"/>
        <v>1.3145162074772654</v>
      </c>
      <c r="EG445" s="65">
        <f t="shared" si="2293"/>
        <v>1.2854239714705655</v>
      </c>
      <c r="EH445" s="65">
        <f t="shared" si="2293"/>
        <v>1.3440127211269814</v>
      </c>
      <c r="EI445" s="1066">
        <f t="shared" si="2293"/>
        <v>1.3145162074772656</v>
      </c>
      <c r="EJ445" s="65">
        <f t="shared" si="2293"/>
        <v>1.2854239714705655</v>
      </c>
      <c r="EK445" s="65">
        <f t="shared" si="2293"/>
        <v>1.3440127211269817</v>
      </c>
      <c r="EL445" s="1066">
        <f t="shared" si="2293"/>
        <v>1.3145162074772654</v>
      </c>
      <c r="EM445" s="65">
        <f t="shared" si="2293"/>
        <v>1.2854239714705651</v>
      </c>
      <c r="EN445" s="65">
        <f t="shared" si="2293"/>
        <v>1.3440127211269812</v>
      </c>
      <c r="EO445" s="1066">
        <f t="shared" si="2293"/>
        <v>1.3145162074772652</v>
      </c>
      <c r="EP445" s="65">
        <f t="shared" si="2293"/>
        <v>1.2854239714705653</v>
      </c>
      <c r="EQ445" s="65">
        <f t="shared" si="2293"/>
        <v>1.3440127211269814</v>
      </c>
      <c r="ER445" s="1066">
        <f t="shared" si="2293"/>
        <v>1.3145162074772652</v>
      </c>
      <c r="ES445" s="65">
        <f t="shared" ref="ES445:EX445" si="2294">ES444/ES424</f>
        <v>1.2854239714705651</v>
      </c>
      <c r="ET445" s="65">
        <f t="shared" si="2294"/>
        <v>1.3440127211269817</v>
      </c>
      <c r="EU445" s="1066">
        <f t="shared" si="2294"/>
        <v>1.3145162074772652</v>
      </c>
      <c r="EV445" s="65">
        <f t="shared" si="2294"/>
        <v>1.2854239714705651</v>
      </c>
      <c r="EW445" s="65">
        <f t="shared" si="2294"/>
        <v>1.3440127211269814</v>
      </c>
      <c r="EX445" s="1066">
        <f t="shared" si="2294"/>
        <v>1.3145162074772654</v>
      </c>
      <c r="EY445" s="65">
        <f t="shared" ref="EY445:FA445" si="2295">EY444/EY424</f>
        <v>1.2854239714705653</v>
      </c>
      <c r="EZ445" s="65">
        <f t="shared" si="2295"/>
        <v>1.3440127211269814</v>
      </c>
      <c r="FA445" s="1066">
        <f t="shared" si="2295"/>
        <v>1.3145162074772652</v>
      </c>
    </row>
    <row r="446" spans="1:157" outlineLevel="1">
      <c r="B446" s="31"/>
      <c r="C446" s="35" t="s">
        <v>703</v>
      </c>
      <c r="D446" s="162" t="s">
        <v>460</v>
      </c>
      <c r="BA446" s="35"/>
      <c r="BB446" s="35"/>
      <c r="BC446" s="322"/>
      <c r="BD446" s="35"/>
      <c r="BE446" s="35"/>
      <c r="BG446" s="35"/>
      <c r="BH446" s="35"/>
      <c r="BJ446" s="35"/>
      <c r="BK446" s="35"/>
      <c r="BL446" s="31"/>
      <c r="BM446" s="35"/>
      <c r="BN446" s="35"/>
      <c r="BO446" s="31"/>
      <c r="BP446" s="35"/>
      <c r="BQ446" s="35"/>
      <c r="BR446" s="1024"/>
      <c r="BS446" s="74"/>
      <c r="BT446" s="70"/>
      <c r="BU446" s="74"/>
      <c r="BV446" s="74"/>
      <c r="BW446" s="74"/>
      <c r="BX446" s="74"/>
      <c r="BY446" s="70"/>
      <c r="BZ446" s="70"/>
      <c r="CA446" s="70"/>
      <c r="CB446" s="187"/>
      <c r="CC446" s="187"/>
      <c r="CD446" s="187"/>
      <c r="CE446" s="187"/>
      <c r="CF446" s="65"/>
      <c r="CG446" s="65"/>
      <c r="CH446" s="70"/>
      <c r="CI446" s="70"/>
      <c r="CJ446" s="70"/>
      <c r="CK446" s="35"/>
      <c r="CL446" s="35"/>
      <c r="CN446" s="35"/>
      <c r="CO446" s="35"/>
      <c r="CQ446" s="35"/>
      <c r="CR446" s="35"/>
      <c r="CT446" s="35"/>
      <c r="CU446" s="35"/>
      <c r="CW446" s="35"/>
      <c r="CX446" s="35"/>
      <c r="CZ446" s="35"/>
      <c r="DA446" s="35"/>
      <c r="DC446" s="35"/>
      <c r="DD446" s="35"/>
      <c r="DF446" s="35"/>
      <c r="DG446" s="35"/>
      <c r="DH446" s="1067"/>
      <c r="DI446" s="35"/>
      <c r="DJ446" s="35"/>
      <c r="DK446" s="1067"/>
      <c r="DL446" s="35"/>
      <c r="DM446" s="35"/>
      <c r="DN446" s="1067"/>
      <c r="DO446" s="35"/>
      <c r="DP446" s="35"/>
      <c r="DQ446" s="1067"/>
      <c r="DR446" s="35"/>
      <c r="DS446" s="35"/>
      <c r="DT446" s="1067"/>
      <c r="DU446" s="35"/>
      <c r="DV446" s="35"/>
      <c r="DW446" s="1067"/>
      <c r="DX446" s="35"/>
      <c r="DY446" s="35"/>
      <c r="DZ446" s="1067"/>
      <c r="EA446" s="35"/>
      <c r="EB446" s="35"/>
      <c r="EC446" s="1067"/>
      <c r="ED446" s="35"/>
      <c r="EE446" s="35"/>
      <c r="EF446" s="1067"/>
      <c r="EG446" s="35"/>
      <c r="EH446" s="35"/>
      <c r="EI446" s="1067"/>
      <c r="EJ446" s="35"/>
      <c r="EK446" s="35"/>
      <c r="EL446" s="1067"/>
      <c r="EM446" s="35"/>
      <c r="EN446" s="35"/>
      <c r="EO446" s="1067"/>
      <c r="EP446" s="35"/>
      <c r="EQ446" s="35"/>
      <c r="ER446" s="1067"/>
      <c r="ES446" s="35"/>
      <c r="ET446" s="35"/>
      <c r="EU446" s="1067"/>
      <c r="EV446" s="35"/>
      <c r="EW446" s="35"/>
      <c r="EX446" s="1067"/>
      <c r="EY446" s="35"/>
      <c r="EZ446" s="35"/>
      <c r="FA446" s="1067"/>
    </row>
    <row r="447" spans="1:157" outlineLevel="1">
      <c r="B447" s="31"/>
      <c r="BA447" s="35"/>
      <c r="BB447" s="35"/>
      <c r="BC447" s="322"/>
      <c r="BD447" s="35"/>
      <c r="BE447" s="35"/>
      <c r="BG447" s="35"/>
      <c r="BH447" s="35"/>
      <c r="BJ447" s="35"/>
      <c r="BK447" s="35"/>
      <c r="BL447" s="31"/>
      <c r="BM447" s="35"/>
      <c r="BN447" s="35"/>
      <c r="BO447" s="31"/>
      <c r="BP447" s="35"/>
      <c r="BQ447" s="35"/>
      <c r="BR447" s="1024"/>
      <c r="BS447" s="74"/>
      <c r="BT447" s="70"/>
      <c r="BU447" s="74"/>
      <c r="BV447" s="74"/>
      <c r="BW447" s="74"/>
      <c r="BX447" s="74"/>
      <c r="BY447" s="70"/>
      <c r="BZ447" s="70"/>
      <c r="CA447" s="70"/>
      <c r="CB447" s="187"/>
      <c r="CC447" s="187"/>
      <c r="CD447" s="187"/>
      <c r="CE447" s="187"/>
      <c r="CF447" s="65"/>
      <c r="CG447" s="65"/>
      <c r="CH447" s="70"/>
      <c r="CI447" s="70"/>
      <c r="CJ447" s="70"/>
      <c r="CK447" s="35"/>
      <c r="CL447" s="35"/>
      <c r="CN447" s="35"/>
      <c r="CO447" s="35"/>
      <c r="CQ447" s="35"/>
      <c r="CR447" s="35"/>
      <c r="CT447" s="35"/>
      <c r="CU447" s="35"/>
      <c r="CW447" s="35"/>
      <c r="CX447" s="35"/>
      <c r="CZ447" s="35"/>
      <c r="DA447" s="35"/>
      <c r="DC447" s="35"/>
      <c r="DD447" s="35"/>
      <c r="DF447" s="35"/>
      <c r="DG447" s="35"/>
      <c r="DH447" s="1067"/>
      <c r="DI447" s="35"/>
      <c r="DJ447" s="35"/>
      <c r="DK447" s="1067"/>
      <c r="DL447" s="35"/>
      <c r="DM447" s="35"/>
      <c r="DN447" s="1067"/>
      <c r="DO447" s="35"/>
      <c r="DP447" s="35"/>
      <c r="DQ447" s="1067"/>
      <c r="DR447" s="35"/>
      <c r="DS447" s="35"/>
      <c r="DT447" s="1067"/>
      <c r="DU447" s="35"/>
      <c r="DV447" s="35"/>
      <c r="DW447" s="1067"/>
      <c r="DX447" s="35"/>
      <c r="DY447" s="35"/>
      <c r="DZ447" s="1067"/>
      <c r="EA447" s="35"/>
      <c r="EB447" s="35"/>
      <c r="EC447" s="1067"/>
      <c r="ED447" s="35"/>
      <c r="EE447" s="35"/>
      <c r="EF447" s="1067"/>
      <c r="EG447" s="35"/>
      <c r="EH447" s="35"/>
      <c r="EI447" s="1067"/>
      <c r="EJ447" s="35"/>
      <c r="EK447" s="35"/>
      <c r="EL447" s="1067"/>
      <c r="EM447" s="35"/>
      <c r="EN447" s="35"/>
      <c r="EO447" s="1067"/>
      <c r="EP447" s="35"/>
      <c r="EQ447" s="35"/>
      <c r="ER447" s="1067"/>
      <c r="ES447" s="35"/>
      <c r="ET447" s="35"/>
      <c r="EU447" s="1067"/>
      <c r="EV447" s="35"/>
      <c r="EW447" s="35"/>
      <c r="EX447" s="1067"/>
      <c r="EY447" s="35"/>
      <c r="EZ447" s="35"/>
      <c r="FA447" s="1067"/>
    </row>
    <row r="448" spans="1:157" s="233" customFormat="1" outlineLevel="1">
      <c r="A448" s="1147"/>
      <c r="B448" s="246" t="s">
        <v>316</v>
      </c>
      <c r="D448" s="245" t="s">
        <v>604</v>
      </c>
      <c r="BA448" s="233">
        <f>BA248</f>
        <v>0</v>
      </c>
      <c r="BB448" s="233">
        <f>BB248</f>
        <v>0</v>
      </c>
      <c r="BC448" s="233">
        <f>SUM(BA448:BB448)</f>
        <v>0</v>
      </c>
      <c r="BD448" s="233">
        <f>BD248</f>
        <v>0</v>
      </c>
      <c r="BE448" s="233">
        <f>BE248</f>
        <v>0</v>
      </c>
      <c r="BF448" s="233">
        <f>SUM(BD448:BE448)</f>
        <v>0</v>
      </c>
      <c r="BG448" s="233">
        <f>BG248</f>
        <v>0</v>
      </c>
      <c r="BH448" s="233">
        <f>BH248</f>
        <v>0</v>
      </c>
      <c r="BI448" s="233">
        <f>SUM(BG448:BH448)</f>
        <v>0</v>
      </c>
      <c r="BJ448" s="233">
        <f>BJ248</f>
        <v>0</v>
      </c>
      <c r="BK448" s="233">
        <f>BK248</f>
        <v>0</v>
      </c>
      <c r="BL448" s="233">
        <f>SUM(BJ448:BK448)</f>
        <v>0</v>
      </c>
      <c r="BM448" s="233">
        <f>BM248</f>
        <v>3.6346896877383452</v>
      </c>
      <c r="BN448" s="233">
        <f>BN248</f>
        <v>3.8375594919216365</v>
      </c>
      <c r="BO448" s="233">
        <f>SUM(BM448:BN448)</f>
        <v>7.4722491796599817</v>
      </c>
      <c r="BP448" s="233">
        <f>BP248</f>
        <v>4.7866722645614637</v>
      </c>
      <c r="BQ448" s="233">
        <f>BQ248</f>
        <v>5.1321397486316833</v>
      </c>
      <c r="BR448" s="233">
        <f>SUM(BP448:BQ448)</f>
        <v>9.918812013193147</v>
      </c>
      <c r="BS448" s="233">
        <f>BS248</f>
        <v>0</v>
      </c>
      <c r="BT448" s="233">
        <f>BT248</f>
        <v>2.1377904189271768</v>
      </c>
      <c r="BU448" s="233">
        <f>SUM(BS448:BT448)</f>
        <v>2.1377904189271768</v>
      </c>
      <c r="BV448" s="233">
        <f>BV248</f>
        <v>0</v>
      </c>
      <c r="BW448" s="233">
        <f>BW248</f>
        <v>0</v>
      </c>
      <c r="BX448" s="233">
        <f>SUM(BV448:BW448)</f>
        <v>0</v>
      </c>
      <c r="BY448" s="233">
        <f>BY248</f>
        <v>0</v>
      </c>
      <c r="BZ448" s="233">
        <f>BZ248</f>
        <v>0</v>
      </c>
      <c r="CA448" s="233">
        <f>SUM(BY448:BZ448)</f>
        <v>0</v>
      </c>
      <c r="CB448" s="233">
        <f>CB248</f>
        <v>0</v>
      </c>
      <c r="CC448" s="233">
        <f>CC248</f>
        <v>0</v>
      </c>
      <c r="CD448" s="233">
        <f>SUM(CB448:CC448)</f>
        <v>0</v>
      </c>
      <c r="CE448" s="233">
        <f>CE248</f>
        <v>0</v>
      </c>
      <c r="CF448" s="233">
        <f>CF248</f>
        <v>0</v>
      </c>
      <c r="CG448" s="233">
        <f>SUM(CE448:CF448)</f>
        <v>0</v>
      </c>
      <c r="CH448" s="233">
        <f>CH248</f>
        <v>0</v>
      </c>
      <c r="CI448" s="233">
        <f>CI248</f>
        <v>0</v>
      </c>
      <c r="CJ448" s="233">
        <f>SUM(CH448:CI448)</f>
        <v>0</v>
      </c>
      <c r="CK448" s="233">
        <f>CK248</f>
        <v>0</v>
      </c>
      <c r="CL448" s="233">
        <f>CL248</f>
        <v>0</v>
      </c>
      <c r="CM448" s="233">
        <f>SUM(CK448:CL448)</f>
        <v>0</v>
      </c>
      <c r="CN448" s="233">
        <f>CN248</f>
        <v>0</v>
      </c>
      <c r="CO448" s="233">
        <f>CO248</f>
        <v>0</v>
      </c>
      <c r="CP448" s="233">
        <f>SUM(CN448:CO448)</f>
        <v>0</v>
      </c>
      <c r="CQ448" s="233">
        <f>CQ248</f>
        <v>0</v>
      </c>
      <c r="CR448" s="233">
        <f>CR248</f>
        <v>0</v>
      </c>
      <c r="CS448" s="233">
        <f>SUM(CQ448:CR448)</f>
        <v>0</v>
      </c>
      <c r="CT448" s="233">
        <f>CT248</f>
        <v>0</v>
      </c>
      <c r="CU448" s="233">
        <f>CU248</f>
        <v>0</v>
      </c>
      <c r="CV448" s="233">
        <f>SUM(CT448:CU448)</f>
        <v>0</v>
      </c>
      <c r="CW448" s="233">
        <f>CW248</f>
        <v>0</v>
      </c>
      <c r="CX448" s="233">
        <f>CX248</f>
        <v>0</v>
      </c>
      <c r="CY448" s="233">
        <f>SUM(CW448:CX448)</f>
        <v>0</v>
      </c>
      <c r="CZ448" s="233">
        <f>CZ248</f>
        <v>0</v>
      </c>
      <c r="DA448" s="233">
        <f>DA248</f>
        <v>0</v>
      </c>
      <c r="DB448" s="233">
        <f>SUM(CZ448:DA448)</f>
        <v>0</v>
      </c>
      <c r="DC448" s="233">
        <f>DC248</f>
        <v>0</v>
      </c>
      <c r="DD448" s="233">
        <f>DD248</f>
        <v>0</v>
      </c>
      <c r="DE448" s="233">
        <f>SUM(DC448:DD448)</f>
        <v>0</v>
      </c>
      <c r="DF448" s="233">
        <f>DF248</f>
        <v>0</v>
      </c>
      <c r="DG448" s="233">
        <f>DG248</f>
        <v>0</v>
      </c>
      <c r="DH448" s="1070">
        <f>SUM(DF448:DG448)</f>
        <v>0</v>
      </c>
      <c r="DI448" s="233">
        <f>DI248</f>
        <v>0</v>
      </c>
      <c r="DJ448" s="233">
        <f>DJ248</f>
        <v>0</v>
      </c>
      <c r="DK448" s="1070">
        <f>SUM(DI448:DJ448)</f>
        <v>0</v>
      </c>
      <c r="DL448" s="233">
        <f>DL248</f>
        <v>0</v>
      </c>
      <c r="DM448" s="233">
        <f>DM248</f>
        <v>0</v>
      </c>
      <c r="DN448" s="1070">
        <f>SUM(DL448:DM448)</f>
        <v>0</v>
      </c>
      <c r="DO448" s="233">
        <f>DO248</f>
        <v>0</v>
      </c>
      <c r="DP448" s="233">
        <f>DP248</f>
        <v>0</v>
      </c>
      <c r="DQ448" s="1070">
        <f>SUM(DO448:DP448)</f>
        <v>0</v>
      </c>
      <c r="DR448" s="233">
        <f>DR248</f>
        <v>0</v>
      </c>
      <c r="DS448" s="233">
        <f>DS248</f>
        <v>0</v>
      </c>
      <c r="DT448" s="1070">
        <f>SUM(DR448:DS448)</f>
        <v>0</v>
      </c>
      <c r="DU448" s="233">
        <f>DU248</f>
        <v>0</v>
      </c>
      <c r="DV448" s="233">
        <f>DV248</f>
        <v>0</v>
      </c>
      <c r="DW448" s="1070">
        <f>SUM(DU448:DV448)</f>
        <v>0</v>
      </c>
      <c r="DX448" s="233">
        <f>DX248</f>
        <v>0</v>
      </c>
      <c r="DY448" s="233">
        <f>DY248</f>
        <v>0</v>
      </c>
      <c r="DZ448" s="1070">
        <f>SUM(DX448:DY448)</f>
        <v>0</v>
      </c>
      <c r="EA448" s="233">
        <f>EA248</f>
        <v>0</v>
      </c>
      <c r="EB448" s="233">
        <f>EB248</f>
        <v>0</v>
      </c>
      <c r="EC448" s="1070">
        <f>SUM(EA448:EB448)</f>
        <v>0</v>
      </c>
      <c r="ED448" s="233">
        <f>ED248</f>
        <v>0</v>
      </c>
      <c r="EE448" s="233">
        <f>EE248</f>
        <v>0</v>
      </c>
      <c r="EF448" s="1070">
        <f>SUM(ED448:EE448)</f>
        <v>0</v>
      </c>
      <c r="EG448" s="233">
        <f>EG248</f>
        <v>0</v>
      </c>
      <c r="EH448" s="233">
        <f>EH248</f>
        <v>0</v>
      </c>
      <c r="EI448" s="1070">
        <f>SUM(EG448:EH448)</f>
        <v>0</v>
      </c>
      <c r="EJ448" s="233">
        <f>EJ248</f>
        <v>0</v>
      </c>
      <c r="EK448" s="233">
        <f>EK248</f>
        <v>0</v>
      </c>
      <c r="EL448" s="1070">
        <f>SUM(EJ448:EK448)</f>
        <v>0</v>
      </c>
      <c r="EM448" s="233">
        <f>EM248</f>
        <v>0</v>
      </c>
      <c r="EN448" s="233">
        <f>EN248</f>
        <v>0</v>
      </c>
      <c r="EO448" s="1070">
        <f>SUM(EM448:EN448)</f>
        <v>0</v>
      </c>
      <c r="EP448" s="233">
        <f>EP248</f>
        <v>0</v>
      </c>
      <c r="EQ448" s="233">
        <f>EQ248</f>
        <v>0</v>
      </c>
      <c r="ER448" s="1070">
        <f>SUM(EP448:EQ448)</f>
        <v>0</v>
      </c>
      <c r="ES448" s="233">
        <f>ES248</f>
        <v>0</v>
      </c>
      <c r="ET448" s="233">
        <f>ET248</f>
        <v>0</v>
      </c>
      <c r="EU448" s="1070">
        <f>SUM(ES448:ET448)</f>
        <v>0</v>
      </c>
      <c r="EV448" s="233">
        <f>EV248</f>
        <v>0</v>
      </c>
      <c r="EW448" s="233">
        <f>EW248</f>
        <v>0</v>
      </c>
      <c r="EX448" s="1070">
        <f>SUM(EV448:EW448)</f>
        <v>0</v>
      </c>
      <c r="EY448" s="233">
        <f>EY248</f>
        <v>0</v>
      </c>
      <c r="EZ448" s="233">
        <f>EZ248</f>
        <v>0</v>
      </c>
      <c r="FA448" s="1070">
        <f>SUM(EY448:EZ448)</f>
        <v>0</v>
      </c>
    </row>
    <row r="449" spans="1:157" outlineLevel="1">
      <c r="B449" s="31"/>
      <c r="C449" s="35" t="s">
        <v>488</v>
      </c>
      <c r="D449" s="162" t="s">
        <v>460</v>
      </c>
      <c r="BA449" s="65"/>
      <c r="BB449" s="65"/>
      <c r="BC449" s="65"/>
      <c r="BD449" s="65">
        <f t="shared" ref="BD449:CI449" si="2296">BD448/BD420</f>
        <v>0</v>
      </c>
      <c r="BE449" s="65">
        <f t="shared" si="2296"/>
        <v>0</v>
      </c>
      <c r="BF449" s="65">
        <f t="shared" si="2296"/>
        <v>0</v>
      </c>
      <c r="BG449" s="65">
        <f t="shared" si="2296"/>
        <v>0</v>
      </c>
      <c r="BH449" s="65">
        <f t="shared" si="2296"/>
        <v>0</v>
      </c>
      <c r="BI449" s="65">
        <f t="shared" si="2296"/>
        <v>0</v>
      </c>
      <c r="BJ449" s="65">
        <f t="shared" si="2296"/>
        <v>0</v>
      </c>
      <c r="BK449" s="65">
        <f t="shared" si="2296"/>
        <v>0</v>
      </c>
      <c r="BL449" s="65">
        <f t="shared" si="2296"/>
        <v>0</v>
      </c>
      <c r="BM449" s="65">
        <f t="shared" si="2296"/>
        <v>5.000000000000001E-2</v>
      </c>
      <c r="BN449" s="65">
        <f t="shared" si="2296"/>
        <v>0.05</v>
      </c>
      <c r="BO449" s="65">
        <f t="shared" si="2296"/>
        <v>5.000000000000001E-2</v>
      </c>
      <c r="BP449" s="65">
        <f t="shared" si="2296"/>
        <v>5.5727266858142596E-2</v>
      </c>
      <c r="BQ449" s="65">
        <f t="shared" si="2296"/>
        <v>5.5512737238253285E-2</v>
      </c>
      <c r="BR449" s="65">
        <f t="shared" si="2296"/>
        <v>5.5616059467590545E-2</v>
      </c>
      <c r="BS449" s="65">
        <f t="shared" si="2296"/>
        <v>0</v>
      </c>
      <c r="BT449" s="65">
        <f t="shared" si="2296"/>
        <v>1.8928157220001171E-2</v>
      </c>
      <c r="BU449" s="65">
        <f t="shared" si="2296"/>
        <v>9.4821844109695599E-3</v>
      </c>
      <c r="BV449" s="65">
        <f t="shared" si="2296"/>
        <v>0</v>
      </c>
      <c r="BW449" s="65">
        <f t="shared" si="2296"/>
        <v>0</v>
      </c>
      <c r="BX449" s="65">
        <f t="shared" si="2296"/>
        <v>0</v>
      </c>
      <c r="BY449" s="65">
        <f t="shared" si="2296"/>
        <v>0</v>
      </c>
      <c r="BZ449" s="65">
        <f t="shared" si="2296"/>
        <v>0</v>
      </c>
      <c r="CA449" s="65">
        <f t="shared" si="2296"/>
        <v>0</v>
      </c>
      <c r="CB449" s="65">
        <f t="shared" si="2296"/>
        <v>0</v>
      </c>
      <c r="CC449" s="65">
        <f t="shared" si="2296"/>
        <v>0</v>
      </c>
      <c r="CD449" s="65">
        <f t="shared" si="2296"/>
        <v>0</v>
      </c>
      <c r="CE449" s="65">
        <f t="shared" si="2296"/>
        <v>0</v>
      </c>
      <c r="CF449" s="65">
        <f t="shared" si="2296"/>
        <v>0</v>
      </c>
      <c r="CG449" s="65">
        <f t="shared" si="2296"/>
        <v>0</v>
      </c>
      <c r="CH449" s="65">
        <f t="shared" si="2296"/>
        <v>0</v>
      </c>
      <c r="CI449" s="65">
        <f t="shared" si="2296"/>
        <v>0</v>
      </c>
      <c r="CJ449" s="65">
        <f t="shared" ref="CJ449:DO449" si="2297">CJ448/CJ420</f>
        <v>0</v>
      </c>
      <c r="CK449" s="65">
        <f t="shared" si="2297"/>
        <v>0</v>
      </c>
      <c r="CL449" s="65">
        <f t="shared" si="2297"/>
        <v>0</v>
      </c>
      <c r="CM449" s="65">
        <f t="shared" si="2297"/>
        <v>0</v>
      </c>
      <c r="CN449" s="65">
        <f t="shared" si="2297"/>
        <v>0</v>
      </c>
      <c r="CO449" s="65">
        <f t="shared" si="2297"/>
        <v>0</v>
      </c>
      <c r="CP449" s="65">
        <f t="shared" si="2297"/>
        <v>0</v>
      </c>
      <c r="CQ449" s="65">
        <f t="shared" si="2297"/>
        <v>0</v>
      </c>
      <c r="CR449" s="65">
        <f t="shared" si="2297"/>
        <v>0</v>
      </c>
      <c r="CS449" s="65">
        <f t="shared" si="2297"/>
        <v>0</v>
      </c>
      <c r="CT449" s="65">
        <f t="shared" si="2297"/>
        <v>0</v>
      </c>
      <c r="CU449" s="65">
        <f t="shared" si="2297"/>
        <v>0</v>
      </c>
      <c r="CV449" s="65">
        <f t="shared" si="2297"/>
        <v>0</v>
      </c>
      <c r="CW449" s="65">
        <f t="shared" si="2297"/>
        <v>0</v>
      </c>
      <c r="CX449" s="65">
        <f t="shared" si="2297"/>
        <v>0</v>
      </c>
      <c r="CY449" s="65">
        <f t="shared" si="2297"/>
        <v>0</v>
      </c>
      <c r="CZ449" s="65">
        <f t="shared" si="2297"/>
        <v>0</v>
      </c>
      <c r="DA449" s="65">
        <f t="shared" si="2297"/>
        <v>0</v>
      </c>
      <c r="DB449" s="65">
        <f t="shared" si="2297"/>
        <v>0</v>
      </c>
      <c r="DC449" s="65">
        <f t="shared" si="2297"/>
        <v>0</v>
      </c>
      <c r="DD449" s="65">
        <f t="shared" si="2297"/>
        <v>0</v>
      </c>
      <c r="DE449" s="65">
        <f t="shared" si="2297"/>
        <v>0</v>
      </c>
      <c r="DF449" s="65">
        <f t="shared" si="2297"/>
        <v>0</v>
      </c>
      <c r="DG449" s="65">
        <f t="shared" si="2297"/>
        <v>0</v>
      </c>
      <c r="DH449" s="1066">
        <f t="shared" si="2297"/>
        <v>0</v>
      </c>
      <c r="DI449" s="65">
        <f t="shared" si="2297"/>
        <v>0</v>
      </c>
      <c r="DJ449" s="65">
        <f t="shared" si="2297"/>
        <v>0</v>
      </c>
      <c r="DK449" s="1066">
        <f t="shared" si="2297"/>
        <v>0</v>
      </c>
      <c r="DL449" s="65">
        <f t="shared" si="2297"/>
        <v>0</v>
      </c>
      <c r="DM449" s="65">
        <f t="shared" si="2297"/>
        <v>0</v>
      </c>
      <c r="DN449" s="1066">
        <f t="shared" si="2297"/>
        <v>0</v>
      </c>
      <c r="DO449" s="65">
        <f t="shared" si="2297"/>
        <v>0</v>
      </c>
      <c r="DP449" s="65">
        <f t="shared" ref="DP449:ER449" si="2298">DP448/DP420</f>
        <v>0</v>
      </c>
      <c r="DQ449" s="1066">
        <f t="shared" si="2298"/>
        <v>0</v>
      </c>
      <c r="DR449" s="65">
        <f t="shared" si="2298"/>
        <v>0</v>
      </c>
      <c r="DS449" s="65">
        <f t="shared" si="2298"/>
        <v>0</v>
      </c>
      <c r="DT449" s="1066">
        <f t="shared" si="2298"/>
        <v>0</v>
      </c>
      <c r="DU449" s="65">
        <f t="shared" si="2298"/>
        <v>0</v>
      </c>
      <c r="DV449" s="65">
        <f t="shared" si="2298"/>
        <v>0</v>
      </c>
      <c r="DW449" s="1066">
        <f t="shared" si="2298"/>
        <v>0</v>
      </c>
      <c r="DX449" s="65">
        <f t="shared" si="2298"/>
        <v>0</v>
      </c>
      <c r="DY449" s="65">
        <f t="shared" si="2298"/>
        <v>0</v>
      </c>
      <c r="DZ449" s="1066">
        <f t="shared" si="2298"/>
        <v>0</v>
      </c>
      <c r="EA449" s="65">
        <f t="shared" si="2298"/>
        <v>0</v>
      </c>
      <c r="EB449" s="65">
        <f t="shared" si="2298"/>
        <v>0</v>
      </c>
      <c r="EC449" s="1066">
        <f t="shared" si="2298"/>
        <v>0</v>
      </c>
      <c r="ED449" s="65">
        <f t="shared" si="2298"/>
        <v>0</v>
      </c>
      <c r="EE449" s="65">
        <f t="shared" si="2298"/>
        <v>0</v>
      </c>
      <c r="EF449" s="1066">
        <f t="shared" si="2298"/>
        <v>0</v>
      </c>
      <c r="EG449" s="65">
        <f t="shared" si="2298"/>
        <v>0</v>
      </c>
      <c r="EH449" s="65">
        <f t="shared" si="2298"/>
        <v>0</v>
      </c>
      <c r="EI449" s="1066">
        <f t="shared" si="2298"/>
        <v>0</v>
      </c>
      <c r="EJ449" s="65">
        <f t="shared" si="2298"/>
        <v>0</v>
      </c>
      <c r="EK449" s="65">
        <f t="shared" si="2298"/>
        <v>0</v>
      </c>
      <c r="EL449" s="1066">
        <f t="shared" si="2298"/>
        <v>0</v>
      </c>
      <c r="EM449" s="65">
        <f t="shared" si="2298"/>
        <v>0</v>
      </c>
      <c r="EN449" s="65">
        <f t="shared" si="2298"/>
        <v>0</v>
      </c>
      <c r="EO449" s="1066">
        <f t="shared" si="2298"/>
        <v>0</v>
      </c>
      <c r="EP449" s="65">
        <f t="shared" si="2298"/>
        <v>0</v>
      </c>
      <c r="EQ449" s="65">
        <f t="shared" si="2298"/>
        <v>0</v>
      </c>
      <c r="ER449" s="1066">
        <f t="shared" si="2298"/>
        <v>0</v>
      </c>
      <c r="ES449" s="65">
        <f t="shared" ref="ES449:EX449" si="2299">ES448/ES420</f>
        <v>0</v>
      </c>
      <c r="ET449" s="65">
        <f t="shared" si="2299"/>
        <v>0</v>
      </c>
      <c r="EU449" s="1066">
        <f t="shared" si="2299"/>
        <v>0</v>
      </c>
      <c r="EV449" s="65">
        <f t="shared" si="2299"/>
        <v>0</v>
      </c>
      <c r="EW449" s="65">
        <f t="shared" si="2299"/>
        <v>0</v>
      </c>
      <c r="EX449" s="1066">
        <f t="shared" si="2299"/>
        <v>0</v>
      </c>
      <c r="EY449" s="65">
        <f t="shared" ref="EY449:FA449" si="2300">EY448/EY420</f>
        <v>0</v>
      </c>
      <c r="EZ449" s="65">
        <f t="shared" si="2300"/>
        <v>0</v>
      </c>
      <c r="FA449" s="1066">
        <f t="shared" si="2300"/>
        <v>0</v>
      </c>
    </row>
    <row r="450" spans="1:157" s="233" customFormat="1" outlineLevel="1">
      <c r="A450" s="1147"/>
      <c r="B450" s="246" t="s">
        <v>394</v>
      </c>
      <c r="D450" s="245" t="s">
        <v>604</v>
      </c>
      <c r="BA450" s="233">
        <f>BA339</f>
        <v>0</v>
      </c>
      <c r="BB450" s="233">
        <f>BB339</f>
        <v>0</v>
      </c>
      <c r="BC450" s="233">
        <f>SUM(BA450:BB450)</f>
        <v>0</v>
      </c>
      <c r="BD450" s="233">
        <f>BD339</f>
        <v>0</v>
      </c>
      <c r="BE450" s="233">
        <f>BE339</f>
        <v>0</v>
      </c>
      <c r="BF450" s="233">
        <f>SUM(BD450:BE450)</f>
        <v>0</v>
      </c>
      <c r="BG450" s="233">
        <f>BG339</f>
        <v>0</v>
      </c>
      <c r="BH450" s="233">
        <f>BH339</f>
        <v>0</v>
      </c>
      <c r="BI450" s="233">
        <f>SUM(BG450:BH450)</f>
        <v>0</v>
      </c>
      <c r="BJ450" s="233">
        <f>BJ339</f>
        <v>0</v>
      </c>
      <c r="BK450" s="233">
        <f>BK339</f>
        <v>0</v>
      </c>
      <c r="BL450" s="233">
        <f>SUM(BJ450:BK450)</f>
        <v>0</v>
      </c>
      <c r="BM450" s="233">
        <f>BM339</f>
        <v>3.5958475290719738</v>
      </c>
      <c r="BN450" s="233">
        <f>BN339</f>
        <v>3.4590620952425386</v>
      </c>
      <c r="BO450" s="233">
        <f>SUM(BM450:BN450)</f>
        <v>7.0549096243145124</v>
      </c>
      <c r="BP450" s="233">
        <f>BP339</f>
        <v>4.1152348069346774</v>
      </c>
      <c r="BQ450" s="233">
        <f>BQ339</f>
        <v>4.6852154610185774</v>
      </c>
      <c r="BR450" s="233">
        <f>SUM(BP450:BQ450)</f>
        <v>8.8004502679532557</v>
      </c>
      <c r="BS450" s="233">
        <f>BS339</f>
        <v>8.8175062498894725</v>
      </c>
      <c r="BT450" s="233">
        <f>BT339</f>
        <v>10.409275700662542</v>
      </c>
      <c r="BU450" s="233">
        <f>SUM(BS450:BT450)</f>
        <v>19.226781950552017</v>
      </c>
      <c r="BV450" s="233">
        <f>BV339</f>
        <v>8.3854228003292803</v>
      </c>
      <c r="BW450" s="233">
        <f>BW339</f>
        <v>10.826412911205338</v>
      </c>
      <c r="BX450" s="233">
        <f>SUM(BV450:BW450)</f>
        <v>19.211835711534619</v>
      </c>
      <c r="BY450" s="233">
        <f>BY339</f>
        <v>12.180716196342905</v>
      </c>
      <c r="BZ450" s="233">
        <f>BZ339</f>
        <v>9.221122597152112</v>
      </c>
      <c r="CA450" s="233">
        <f>SUM(BY450:BZ450)</f>
        <v>21.401838793495017</v>
      </c>
      <c r="CB450" s="233">
        <f>CB339</f>
        <v>0</v>
      </c>
      <c r="CC450" s="233">
        <f>CC339</f>
        <v>0</v>
      </c>
      <c r="CD450" s="233">
        <f>SUM(CB450:CC450)</f>
        <v>0</v>
      </c>
      <c r="CE450" s="233">
        <f>CE339</f>
        <v>0</v>
      </c>
      <c r="CF450" s="233">
        <f>CF339</f>
        <v>0</v>
      </c>
      <c r="CG450" s="233">
        <f>SUM(CE450:CF450)</f>
        <v>0</v>
      </c>
      <c r="CH450" s="233">
        <f>CH339</f>
        <v>0</v>
      </c>
      <c r="CI450" s="233">
        <f>CI339</f>
        <v>0</v>
      </c>
      <c r="CJ450" s="233">
        <f>SUM(CH450:CI450)</f>
        <v>0</v>
      </c>
      <c r="CK450" s="233">
        <f>CK339</f>
        <v>0</v>
      </c>
      <c r="CL450" s="233">
        <f>CL339</f>
        <v>0</v>
      </c>
      <c r="CM450" s="233">
        <f>SUM(CK450:CL450)</f>
        <v>0</v>
      </c>
      <c r="CN450" s="233">
        <f>CN339</f>
        <v>0</v>
      </c>
      <c r="CO450" s="233">
        <f>CO339</f>
        <v>0</v>
      </c>
      <c r="CP450" s="233">
        <f>SUM(CN450:CO450)</f>
        <v>0</v>
      </c>
      <c r="CQ450" s="233">
        <f>CQ339</f>
        <v>0</v>
      </c>
      <c r="CR450" s="233">
        <f>CR339</f>
        <v>0</v>
      </c>
      <c r="CS450" s="233">
        <f>SUM(CQ450:CR450)</f>
        <v>0</v>
      </c>
      <c r="CT450" s="233">
        <f>CT339</f>
        <v>0</v>
      </c>
      <c r="CU450" s="233">
        <f>CU339</f>
        <v>0</v>
      </c>
      <c r="CV450" s="233">
        <f>SUM(CT450:CU450)</f>
        <v>0</v>
      </c>
      <c r="CW450" s="233">
        <f>CW339</f>
        <v>0</v>
      </c>
      <c r="CX450" s="233">
        <f>CX339</f>
        <v>0</v>
      </c>
      <c r="CY450" s="233">
        <f>SUM(CW450:CX450)</f>
        <v>0</v>
      </c>
      <c r="CZ450" s="233">
        <f>CZ339</f>
        <v>0</v>
      </c>
      <c r="DA450" s="233">
        <f>DA339</f>
        <v>0</v>
      </c>
      <c r="DB450" s="233">
        <f>SUM(CZ450:DA450)</f>
        <v>0</v>
      </c>
      <c r="DC450" s="233">
        <f>DC339</f>
        <v>0</v>
      </c>
      <c r="DD450" s="233">
        <f>DD339</f>
        <v>0</v>
      </c>
      <c r="DE450" s="233">
        <f>SUM(DC450:DD450)</f>
        <v>0</v>
      </c>
      <c r="DF450" s="233">
        <f>DF339</f>
        <v>0</v>
      </c>
      <c r="DG450" s="233">
        <f>DG339</f>
        <v>0</v>
      </c>
      <c r="DH450" s="1070">
        <f>SUM(DF450:DG450)</f>
        <v>0</v>
      </c>
      <c r="DI450" s="233">
        <f>DI339</f>
        <v>0</v>
      </c>
      <c r="DJ450" s="233">
        <f>DJ339</f>
        <v>0</v>
      </c>
      <c r="DK450" s="1070">
        <f>SUM(DI450:DJ450)</f>
        <v>0</v>
      </c>
      <c r="DL450" s="233">
        <f>DL339</f>
        <v>0</v>
      </c>
      <c r="DM450" s="233">
        <f>DM339</f>
        <v>0</v>
      </c>
      <c r="DN450" s="1070">
        <f>SUM(DL450:DM450)</f>
        <v>0</v>
      </c>
      <c r="DO450" s="233">
        <f>DO339</f>
        <v>0</v>
      </c>
      <c r="DP450" s="233">
        <f>DP339</f>
        <v>0</v>
      </c>
      <c r="DQ450" s="1070">
        <f>SUM(DO450:DP450)</f>
        <v>0</v>
      </c>
      <c r="DR450" s="233">
        <f>DR339</f>
        <v>0</v>
      </c>
      <c r="DS450" s="233">
        <f>DS339</f>
        <v>0</v>
      </c>
      <c r="DT450" s="1070">
        <f>SUM(DR450:DS450)</f>
        <v>0</v>
      </c>
      <c r="DU450" s="233">
        <f>DU339</f>
        <v>0</v>
      </c>
      <c r="DV450" s="233">
        <f>DV339</f>
        <v>0</v>
      </c>
      <c r="DW450" s="1070">
        <f>SUM(DU450:DV450)</f>
        <v>0</v>
      </c>
      <c r="DX450" s="233">
        <f>DX339</f>
        <v>0</v>
      </c>
      <c r="DY450" s="233">
        <f>DY339</f>
        <v>0</v>
      </c>
      <c r="DZ450" s="1070">
        <f>SUM(DX450:DY450)</f>
        <v>0</v>
      </c>
      <c r="EA450" s="233">
        <f>EA339</f>
        <v>0</v>
      </c>
      <c r="EB450" s="233">
        <f>EB339</f>
        <v>0</v>
      </c>
      <c r="EC450" s="1070">
        <f>SUM(EA450:EB450)</f>
        <v>0</v>
      </c>
      <c r="ED450" s="233">
        <f>ED339</f>
        <v>0</v>
      </c>
      <c r="EE450" s="233">
        <f>EE339</f>
        <v>0</v>
      </c>
      <c r="EF450" s="1070">
        <f>SUM(ED450:EE450)</f>
        <v>0</v>
      </c>
      <c r="EG450" s="233">
        <f>EG339</f>
        <v>0</v>
      </c>
      <c r="EH450" s="233">
        <f>EH339</f>
        <v>0</v>
      </c>
      <c r="EI450" s="1070">
        <f>SUM(EG450:EH450)</f>
        <v>0</v>
      </c>
      <c r="EJ450" s="233">
        <f>EJ339</f>
        <v>0</v>
      </c>
      <c r="EK450" s="233">
        <f>EK339</f>
        <v>0</v>
      </c>
      <c r="EL450" s="1070">
        <f>SUM(EJ450:EK450)</f>
        <v>0</v>
      </c>
      <c r="EM450" s="233">
        <f>EM339</f>
        <v>0</v>
      </c>
      <c r="EN450" s="233">
        <f>EN339</f>
        <v>0</v>
      </c>
      <c r="EO450" s="1070">
        <f>SUM(EM450:EN450)</f>
        <v>0</v>
      </c>
      <c r="EP450" s="233">
        <f>EP339</f>
        <v>0</v>
      </c>
      <c r="EQ450" s="233">
        <f>EQ339</f>
        <v>0</v>
      </c>
      <c r="ER450" s="1070">
        <f>SUM(EP450:EQ450)</f>
        <v>0</v>
      </c>
      <c r="ES450" s="233">
        <f>ES339</f>
        <v>0</v>
      </c>
      <c r="ET450" s="233">
        <f>ET339</f>
        <v>0</v>
      </c>
      <c r="EU450" s="1070">
        <f>SUM(ES450:ET450)</f>
        <v>0</v>
      </c>
      <c r="EV450" s="233">
        <f>EV339</f>
        <v>0</v>
      </c>
      <c r="EW450" s="233">
        <f>EW339</f>
        <v>0</v>
      </c>
      <c r="EX450" s="1070">
        <f>SUM(EV450:EW450)</f>
        <v>0</v>
      </c>
      <c r="EY450" s="233">
        <f>EY339</f>
        <v>0</v>
      </c>
      <c r="EZ450" s="233">
        <f>EZ339</f>
        <v>0</v>
      </c>
      <c r="FA450" s="1070">
        <f>SUM(EY450:EZ450)</f>
        <v>0</v>
      </c>
    </row>
    <row r="451" spans="1:157" outlineLevel="1">
      <c r="B451" s="31"/>
      <c r="C451" s="35" t="str">
        <f>C449</f>
        <v>% of sales</v>
      </c>
      <c r="D451" s="162" t="s">
        <v>460</v>
      </c>
      <c r="BA451" s="65"/>
      <c r="BB451" s="65"/>
      <c r="BC451" s="65"/>
      <c r="BD451" s="65">
        <f t="shared" ref="BD451:CI451" si="2301">BD450/BD422</f>
        <v>0</v>
      </c>
      <c r="BE451" s="65">
        <f t="shared" si="2301"/>
        <v>0</v>
      </c>
      <c r="BF451" s="65">
        <f t="shared" si="2301"/>
        <v>0</v>
      </c>
      <c r="BG451" s="65">
        <f t="shared" si="2301"/>
        <v>0</v>
      </c>
      <c r="BH451" s="65">
        <f t="shared" si="2301"/>
        <v>0</v>
      </c>
      <c r="BI451" s="65">
        <f t="shared" si="2301"/>
        <v>0</v>
      </c>
      <c r="BJ451" s="65">
        <f t="shared" si="2301"/>
        <v>0</v>
      </c>
      <c r="BK451" s="65">
        <f t="shared" si="2301"/>
        <v>0</v>
      </c>
      <c r="BL451" s="65">
        <f t="shared" si="2301"/>
        <v>0</v>
      </c>
      <c r="BM451" s="65">
        <f t="shared" si="2301"/>
        <v>4.9999999999999996E-2</v>
      </c>
      <c r="BN451" s="65">
        <f t="shared" si="2301"/>
        <v>4.9999999999999996E-2</v>
      </c>
      <c r="BO451" s="65">
        <f t="shared" si="2301"/>
        <v>4.9999999999999996E-2</v>
      </c>
      <c r="BP451" s="65">
        <f t="shared" si="2301"/>
        <v>5.055443865954657E-2</v>
      </c>
      <c r="BQ451" s="65">
        <f t="shared" si="2301"/>
        <v>5.1325637986981393E-2</v>
      </c>
      <c r="BR451" s="65">
        <f t="shared" si="2301"/>
        <v>5.0962104492766579E-2</v>
      </c>
      <c r="BS451" s="65">
        <f t="shared" si="2301"/>
        <v>8.5060980020349702E-2</v>
      </c>
      <c r="BT451" s="65">
        <f t="shared" si="2301"/>
        <v>9.5208821840672295E-2</v>
      </c>
      <c r="BU451" s="65">
        <f t="shared" si="2301"/>
        <v>9.0269972348970925E-2</v>
      </c>
      <c r="BV451" s="65">
        <f t="shared" si="2301"/>
        <v>6.8541955209492245E-2</v>
      </c>
      <c r="BW451" s="65">
        <f t="shared" si="2301"/>
        <v>8.0276522357377339E-2</v>
      </c>
      <c r="BX451" s="65">
        <f t="shared" si="2301"/>
        <v>7.4694933638413952E-2</v>
      </c>
      <c r="BY451" s="65">
        <f t="shared" si="2301"/>
        <v>7.9594316308967905E-2</v>
      </c>
      <c r="BZ451" s="65">
        <f t="shared" si="2301"/>
        <v>5.5594452009841165E-2</v>
      </c>
      <c r="CA451" s="65">
        <f t="shared" si="2301"/>
        <v>6.7111635568370132E-2</v>
      </c>
      <c r="CB451" s="65">
        <f t="shared" si="2301"/>
        <v>0</v>
      </c>
      <c r="CC451" s="65">
        <f t="shared" si="2301"/>
        <v>0</v>
      </c>
      <c r="CD451" s="65">
        <f t="shared" si="2301"/>
        <v>0</v>
      </c>
      <c r="CE451" s="65">
        <f t="shared" si="2301"/>
        <v>0</v>
      </c>
      <c r="CF451" s="65">
        <f t="shared" si="2301"/>
        <v>0</v>
      </c>
      <c r="CG451" s="65">
        <f t="shared" si="2301"/>
        <v>0</v>
      </c>
      <c r="CH451" s="65">
        <f t="shared" si="2301"/>
        <v>0</v>
      </c>
      <c r="CI451" s="65">
        <f t="shared" si="2301"/>
        <v>0</v>
      </c>
      <c r="CJ451" s="65">
        <f t="shared" ref="CJ451:DO451" si="2302">CJ450/CJ422</f>
        <v>0</v>
      </c>
      <c r="CK451" s="65">
        <f t="shared" si="2302"/>
        <v>0</v>
      </c>
      <c r="CL451" s="65">
        <f t="shared" si="2302"/>
        <v>0</v>
      </c>
      <c r="CM451" s="65">
        <f t="shared" si="2302"/>
        <v>0</v>
      </c>
      <c r="CN451" s="65">
        <f t="shared" si="2302"/>
        <v>0</v>
      </c>
      <c r="CO451" s="65">
        <f t="shared" si="2302"/>
        <v>0</v>
      </c>
      <c r="CP451" s="65">
        <f t="shared" si="2302"/>
        <v>0</v>
      </c>
      <c r="CQ451" s="65">
        <f t="shared" si="2302"/>
        <v>0</v>
      </c>
      <c r="CR451" s="65">
        <f t="shared" si="2302"/>
        <v>0</v>
      </c>
      <c r="CS451" s="65">
        <f t="shared" si="2302"/>
        <v>0</v>
      </c>
      <c r="CT451" s="65">
        <f t="shared" si="2302"/>
        <v>0</v>
      </c>
      <c r="CU451" s="65">
        <f t="shared" si="2302"/>
        <v>0</v>
      </c>
      <c r="CV451" s="65">
        <f t="shared" si="2302"/>
        <v>0</v>
      </c>
      <c r="CW451" s="65">
        <f t="shared" si="2302"/>
        <v>0</v>
      </c>
      <c r="CX451" s="65">
        <f t="shared" si="2302"/>
        <v>0</v>
      </c>
      <c r="CY451" s="65">
        <f t="shared" si="2302"/>
        <v>0</v>
      </c>
      <c r="CZ451" s="65">
        <f t="shared" si="2302"/>
        <v>0</v>
      </c>
      <c r="DA451" s="65">
        <f t="shared" si="2302"/>
        <v>0</v>
      </c>
      <c r="DB451" s="65">
        <f t="shared" si="2302"/>
        <v>0</v>
      </c>
      <c r="DC451" s="65">
        <f t="shared" si="2302"/>
        <v>0</v>
      </c>
      <c r="DD451" s="65">
        <f t="shared" si="2302"/>
        <v>0</v>
      </c>
      <c r="DE451" s="65">
        <f t="shared" si="2302"/>
        <v>0</v>
      </c>
      <c r="DF451" s="65">
        <f t="shared" si="2302"/>
        <v>0</v>
      </c>
      <c r="DG451" s="65">
        <f t="shared" si="2302"/>
        <v>0</v>
      </c>
      <c r="DH451" s="1066">
        <f t="shared" si="2302"/>
        <v>0</v>
      </c>
      <c r="DI451" s="65">
        <f t="shared" si="2302"/>
        <v>0</v>
      </c>
      <c r="DJ451" s="65">
        <f t="shared" si="2302"/>
        <v>0</v>
      </c>
      <c r="DK451" s="1066">
        <f t="shared" si="2302"/>
        <v>0</v>
      </c>
      <c r="DL451" s="65">
        <f t="shared" si="2302"/>
        <v>0</v>
      </c>
      <c r="DM451" s="65">
        <f t="shared" si="2302"/>
        <v>0</v>
      </c>
      <c r="DN451" s="1066">
        <f t="shared" si="2302"/>
        <v>0</v>
      </c>
      <c r="DO451" s="65">
        <f t="shared" si="2302"/>
        <v>0</v>
      </c>
      <c r="DP451" s="65">
        <f t="shared" ref="DP451:ER451" si="2303">DP450/DP422</f>
        <v>0</v>
      </c>
      <c r="DQ451" s="1066">
        <f t="shared" si="2303"/>
        <v>0</v>
      </c>
      <c r="DR451" s="65">
        <f t="shared" si="2303"/>
        <v>0</v>
      </c>
      <c r="DS451" s="65">
        <f t="shared" si="2303"/>
        <v>0</v>
      </c>
      <c r="DT451" s="1066">
        <f t="shared" si="2303"/>
        <v>0</v>
      </c>
      <c r="DU451" s="65">
        <f t="shared" si="2303"/>
        <v>0</v>
      </c>
      <c r="DV451" s="65">
        <f t="shared" si="2303"/>
        <v>0</v>
      </c>
      <c r="DW451" s="1066">
        <f t="shared" si="2303"/>
        <v>0</v>
      </c>
      <c r="DX451" s="65">
        <f t="shared" si="2303"/>
        <v>0</v>
      </c>
      <c r="DY451" s="65">
        <f t="shared" si="2303"/>
        <v>0</v>
      </c>
      <c r="DZ451" s="1066">
        <f t="shared" si="2303"/>
        <v>0</v>
      </c>
      <c r="EA451" s="65">
        <f t="shared" si="2303"/>
        <v>0</v>
      </c>
      <c r="EB451" s="65">
        <f t="shared" si="2303"/>
        <v>0</v>
      </c>
      <c r="EC451" s="1066">
        <f t="shared" si="2303"/>
        <v>0</v>
      </c>
      <c r="ED451" s="65">
        <f t="shared" si="2303"/>
        <v>0</v>
      </c>
      <c r="EE451" s="65">
        <f t="shared" si="2303"/>
        <v>0</v>
      </c>
      <c r="EF451" s="1066">
        <f t="shared" si="2303"/>
        <v>0</v>
      </c>
      <c r="EG451" s="65">
        <f t="shared" si="2303"/>
        <v>0</v>
      </c>
      <c r="EH451" s="65">
        <f t="shared" si="2303"/>
        <v>0</v>
      </c>
      <c r="EI451" s="1066">
        <f t="shared" si="2303"/>
        <v>0</v>
      </c>
      <c r="EJ451" s="65">
        <f t="shared" si="2303"/>
        <v>0</v>
      </c>
      <c r="EK451" s="65">
        <f t="shared" si="2303"/>
        <v>0</v>
      </c>
      <c r="EL451" s="1066">
        <f t="shared" si="2303"/>
        <v>0</v>
      </c>
      <c r="EM451" s="65">
        <f t="shared" si="2303"/>
        <v>0</v>
      </c>
      <c r="EN451" s="65">
        <f t="shared" si="2303"/>
        <v>0</v>
      </c>
      <c r="EO451" s="1066">
        <f t="shared" si="2303"/>
        <v>0</v>
      </c>
      <c r="EP451" s="65">
        <f t="shared" si="2303"/>
        <v>0</v>
      </c>
      <c r="EQ451" s="65">
        <f t="shared" si="2303"/>
        <v>0</v>
      </c>
      <c r="ER451" s="1066">
        <f t="shared" si="2303"/>
        <v>0</v>
      </c>
      <c r="ES451" s="65">
        <f t="shared" ref="ES451:EX451" si="2304">ES450/ES422</f>
        <v>0</v>
      </c>
      <c r="ET451" s="65">
        <f t="shared" si="2304"/>
        <v>0</v>
      </c>
      <c r="EU451" s="1066">
        <f t="shared" si="2304"/>
        <v>0</v>
      </c>
      <c r="EV451" s="65">
        <f t="shared" si="2304"/>
        <v>0</v>
      </c>
      <c r="EW451" s="65">
        <f t="shared" si="2304"/>
        <v>0</v>
      </c>
      <c r="EX451" s="1066">
        <f t="shared" si="2304"/>
        <v>0</v>
      </c>
      <c r="EY451" s="65">
        <f t="shared" ref="EY451:FA451" si="2305">EY450/EY422</f>
        <v>0</v>
      </c>
      <c r="EZ451" s="65">
        <f t="shared" si="2305"/>
        <v>0</v>
      </c>
      <c r="FA451" s="1066">
        <f t="shared" si="2305"/>
        <v>0</v>
      </c>
    </row>
    <row r="452" spans="1:157" s="233" customFormat="1" outlineLevel="1">
      <c r="A452" s="1147"/>
      <c r="B452" s="246" t="s">
        <v>384</v>
      </c>
      <c r="D452" s="245" t="s">
        <v>604</v>
      </c>
      <c r="BA452" s="233">
        <f>BA409</f>
        <v>0</v>
      </c>
      <c r="BB452" s="233">
        <f>BB409</f>
        <v>0</v>
      </c>
      <c r="BC452" s="233">
        <f>SUM(BA452:BB452)</f>
        <v>0</v>
      </c>
      <c r="BD452" s="233">
        <f>BD409</f>
        <v>0</v>
      </c>
      <c r="BE452" s="233">
        <f>BE409</f>
        <v>0</v>
      </c>
      <c r="BF452" s="233">
        <f>SUM(BD452:BE452)</f>
        <v>0</v>
      </c>
      <c r="BG452" s="233">
        <f>BG409</f>
        <v>0</v>
      </c>
      <c r="BH452" s="233">
        <f>BH409</f>
        <v>0</v>
      </c>
      <c r="BI452" s="233">
        <f>SUM(BG452:BH452)</f>
        <v>0</v>
      </c>
      <c r="BJ452" s="233">
        <f>BJ409</f>
        <v>0</v>
      </c>
      <c r="BK452" s="233">
        <f>BK409</f>
        <v>0</v>
      </c>
      <c r="BL452" s="233">
        <f>SUM(BJ452:BK452)</f>
        <v>0</v>
      </c>
      <c r="BM452" s="233">
        <f>BM409</f>
        <v>1.3941262683514188</v>
      </c>
      <c r="BN452" s="233">
        <f>BN409</f>
        <v>1.5042688499751593</v>
      </c>
      <c r="BO452" s="233">
        <f>SUM(BM452:BN452)</f>
        <v>2.8983951183265781</v>
      </c>
      <c r="BP452" s="233">
        <f>BP409</f>
        <v>1.6152805043624505</v>
      </c>
      <c r="BQ452" s="233">
        <f>BQ409</f>
        <v>1.3610833981801136</v>
      </c>
      <c r="BR452" s="233">
        <f>SUM(BP452:BQ452)</f>
        <v>2.9763639025425643</v>
      </c>
      <c r="BS452" s="233">
        <f>BS409</f>
        <v>4.8840282205146108</v>
      </c>
      <c r="BT452" s="233">
        <f>BT409</f>
        <v>1.7691902770495309</v>
      </c>
      <c r="BU452" s="233">
        <f>SUM(BS452:BT452)</f>
        <v>6.6532184975641417</v>
      </c>
      <c r="BV452" s="233">
        <f>BV409</f>
        <v>4.9311845289191911</v>
      </c>
      <c r="BW452" s="233">
        <f>BW409</f>
        <v>3.6138458041783257</v>
      </c>
      <c r="BX452" s="233">
        <f>SUM(BV452:BW452)</f>
        <v>8.5450303330975164</v>
      </c>
      <c r="BY452" s="233">
        <f>BY409</f>
        <v>6.4216291660167428</v>
      </c>
      <c r="BZ452" s="233">
        <f>BZ409</f>
        <v>3.6685559999999993</v>
      </c>
      <c r="CA452" s="233">
        <f>SUM(BY452:BZ452)</f>
        <v>10.090185166016742</v>
      </c>
      <c r="CB452" s="233">
        <f>CB409</f>
        <v>1.2726573352101334</v>
      </c>
      <c r="CC452" s="233">
        <f>CC409</f>
        <v>0</v>
      </c>
      <c r="CD452" s="233">
        <f>SUM(CB452:CC452)</f>
        <v>1.2726573352101334</v>
      </c>
      <c r="CE452" s="233">
        <f>CE409</f>
        <v>0</v>
      </c>
      <c r="CF452" s="233">
        <f>CF409</f>
        <v>0</v>
      </c>
      <c r="CG452" s="233">
        <f>SUM(CE452:CF452)</f>
        <v>0</v>
      </c>
      <c r="CH452" s="233">
        <f>CH409</f>
        <v>0</v>
      </c>
      <c r="CI452" s="233">
        <f>CI409</f>
        <v>0</v>
      </c>
      <c r="CJ452" s="233">
        <f>SUM(CH452:CI452)</f>
        <v>0</v>
      </c>
      <c r="CK452" s="233">
        <f>CK409</f>
        <v>0</v>
      </c>
      <c r="CL452" s="233">
        <f>CL409</f>
        <v>0</v>
      </c>
      <c r="CM452" s="233">
        <f>SUM(CK452:CL452)</f>
        <v>0</v>
      </c>
      <c r="CN452" s="233">
        <f>CN409</f>
        <v>0</v>
      </c>
      <c r="CO452" s="233">
        <f>CO409</f>
        <v>0</v>
      </c>
      <c r="CP452" s="233">
        <f>SUM(CN452:CO452)</f>
        <v>0</v>
      </c>
      <c r="CQ452" s="233">
        <f>CQ409</f>
        <v>0</v>
      </c>
      <c r="CR452" s="233">
        <f>CR409</f>
        <v>0</v>
      </c>
      <c r="CS452" s="233">
        <f>SUM(CQ452:CR452)</f>
        <v>0</v>
      </c>
      <c r="CT452" s="233">
        <f>CT409</f>
        <v>0</v>
      </c>
      <c r="CU452" s="233">
        <f>CU409</f>
        <v>0</v>
      </c>
      <c r="CV452" s="233">
        <f>SUM(CT452:CU452)</f>
        <v>0</v>
      </c>
      <c r="CW452" s="233">
        <f>CW409</f>
        <v>0</v>
      </c>
      <c r="CX452" s="233">
        <f>CX409</f>
        <v>0</v>
      </c>
      <c r="CY452" s="233">
        <f>SUM(CW452:CX452)</f>
        <v>0</v>
      </c>
      <c r="CZ452" s="233">
        <f>CZ409</f>
        <v>0</v>
      </c>
      <c r="DA452" s="233">
        <f>DA409</f>
        <v>0</v>
      </c>
      <c r="DB452" s="233">
        <f>SUM(CZ452:DA452)</f>
        <v>0</v>
      </c>
      <c r="DC452" s="233">
        <f>DC409</f>
        <v>0</v>
      </c>
      <c r="DD452" s="233">
        <f>DD409</f>
        <v>0</v>
      </c>
      <c r="DE452" s="233">
        <f>SUM(DC452:DD452)</f>
        <v>0</v>
      </c>
      <c r="DF452" s="233">
        <f>DF409</f>
        <v>0</v>
      </c>
      <c r="DG452" s="233">
        <f>DG409</f>
        <v>0</v>
      </c>
      <c r="DH452" s="1070">
        <f>SUM(DF452:DG452)</f>
        <v>0</v>
      </c>
      <c r="DI452" s="233">
        <f>DI409</f>
        <v>0</v>
      </c>
      <c r="DJ452" s="233">
        <f>DJ409</f>
        <v>0</v>
      </c>
      <c r="DK452" s="1070">
        <f>SUM(DI452:DJ452)</f>
        <v>0</v>
      </c>
      <c r="DL452" s="233">
        <f>DL409</f>
        <v>1.595000000000053</v>
      </c>
      <c r="DM452" s="233">
        <f>DM409</f>
        <v>0</v>
      </c>
      <c r="DN452" s="1070">
        <f>SUM(DL452:DM452)</f>
        <v>1.595000000000053</v>
      </c>
      <c r="DO452" s="233">
        <f>DO409</f>
        <v>1.8340792291221166</v>
      </c>
      <c r="DP452" s="233">
        <f>DP409</f>
        <v>0</v>
      </c>
      <c r="DQ452" s="1070">
        <f>SUM(DO452:DP452)</f>
        <v>1.8340792291221166</v>
      </c>
      <c r="DR452" s="233">
        <f>DR409</f>
        <v>1.9980192719486747</v>
      </c>
      <c r="DS452" s="233">
        <f>DS409</f>
        <v>0</v>
      </c>
      <c r="DT452" s="1070">
        <f>SUM(DR452:DS452)</f>
        <v>1.9980192719486747</v>
      </c>
      <c r="DU452" s="233">
        <f>DU409</f>
        <v>2.6071020699501224</v>
      </c>
      <c r="DV452" s="233">
        <f>DV409</f>
        <v>0</v>
      </c>
      <c r="DW452" s="1070">
        <f>SUM(DU452:DV452)</f>
        <v>2.6071020699501224</v>
      </c>
      <c r="DX452" s="233">
        <f>DX409</f>
        <v>2.3657458957888013</v>
      </c>
      <c r="DY452" s="233">
        <f>DY409</f>
        <v>0</v>
      </c>
      <c r="DZ452" s="1070">
        <f>SUM(DX452:DY452)</f>
        <v>2.3657458957888013</v>
      </c>
      <c r="EA452" s="233">
        <f>EA409</f>
        <v>0</v>
      </c>
      <c r="EB452" s="233">
        <f>EB409</f>
        <v>0</v>
      </c>
      <c r="EC452" s="1070">
        <f>SUM(EA452:EB452)</f>
        <v>0</v>
      </c>
      <c r="ED452" s="233">
        <f>ED409</f>
        <v>0</v>
      </c>
      <c r="EE452" s="233">
        <f>EE409</f>
        <v>0</v>
      </c>
      <c r="EF452" s="1070">
        <f>SUM(ED452:EE452)</f>
        <v>0</v>
      </c>
      <c r="EG452" s="233">
        <f>EG409</f>
        <v>0</v>
      </c>
      <c r="EH452" s="233">
        <f>EH409</f>
        <v>0</v>
      </c>
      <c r="EI452" s="1070">
        <f>SUM(EG452:EH452)</f>
        <v>0</v>
      </c>
      <c r="EJ452" s="233">
        <f>EJ409</f>
        <v>0</v>
      </c>
      <c r="EK452" s="233">
        <f>EK409</f>
        <v>0</v>
      </c>
      <c r="EL452" s="1070">
        <f>SUM(EJ452:EK452)</f>
        <v>0</v>
      </c>
      <c r="EM452" s="233">
        <f>EM409</f>
        <v>0</v>
      </c>
      <c r="EN452" s="233">
        <f>EN409</f>
        <v>0</v>
      </c>
      <c r="EO452" s="1070">
        <f>SUM(EM452:EN452)</f>
        <v>0</v>
      </c>
      <c r="EP452" s="233">
        <f>EP409</f>
        <v>0</v>
      </c>
      <c r="EQ452" s="233">
        <f>EQ409</f>
        <v>0</v>
      </c>
      <c r="ER452" s="1070">
        <f>SUM(EP452:EQ452)</f>
        <v>0</v>
      </c>
      <c r="ES452" s="233">
        <f>ES409</f>
        <v>0</v>
      </c>
      <c r="ET452" s="233">
        <f>ET409</f>
        <v>0</v>
      </c>
      <c r="EU452" s="1070">
        <f>SUM(ES452:ET452)</f>
        <v>0</v>
      </c>
      <c r="EV452" s="233">
        <f>EV409</f>
        <v>0</v>
      </c>
      <c r="EW452" s="233">
        <f>EW409</f>
        <v>0</v>
      </c>
      <c r="EX452" s="1070">
        <f>SUM(EV452:EW452)</f>
        <v>0</v>
      </c>
      <c r="EY452" s="233">
        <f>EY409</f>
        <v>0</v>
      </c>
      <c r="EZ452" s="233">
        <f>EZ409</f>
        <v>0</v>
      </c>
      <c r="FA452" s="1070">
        <f>SUM(EY452:EZ452)</f>
        <v>0</v>
      </c>
    </row>
    <row r="453" spans="1:157" outlineLevel="1">
      <c r="B453" s="31"/>
      <c r="C453" s="35" t="str">
        <f>C451</f>
        <v>% of sales</v>
      </c>
      <c r="D453" s="162" t="s">
        <v>460</v>
      </c>
      <c r="BA453" s="65">
        <f t="shared" ref="BA453:CF453" si="2306">BA452/BA424</f>
        <v>0</v>
      </c>
      <c r="BB453" s="65">
        <f t="shared" si="2306"/>
        <v>0</v>
      </c>
      <c r="BC453" s="65">
        <f t="shared" si="2306"/>
        <v>0</v>
      </c>
      <c r="BD453" s="65">
        <f t="shared" si="2306"/>
        <v>0</v>
      </c>
      <c r="BE453" s="65">
        <f t="shared" si="2306"/>
        <v>0</v>
      </c>
      <c r="BF453" s="65">
        <f t="shared" si="2306"/>
        <v>0</v>
      </c>
      <c r="BG453" s="65">
        <f t="shared" si="2306"/>
        <v>0</v>
      </c>
      <c r="BH453" s="65">
        <f t="shared" si="2306"/>
        <v>0</v>
      </c>
      <c r="BI453" s="65">
        <f t="shared" si="2306"/>
        <v>0</v>
      </c>
      <c r="BJ453" s="65">
        <f t="shared" si="2306"/>
        <v>0</v>
      </c>
      <c r="BK453" s="65">
        <f t="shared" si="2306"/>
        <v>0</v>
      </c>
      <c r="BL453" s="65">
        <f t="shared" si="2306"/>
        <v>0</v>
      </c>
      <c r="BM453" s="65">
        <f t="shared" si="2306"/>
        <v>0.05</v>
      </c>
      <c r="BN453" s="65">
        <f t="shared" si="2306"/>
        <v>0.05</v>
      </c>
      <c r="BO453" s="65">
        <f t="shared" si="2306"/>
        <v>0.05</v>
      </c>
      <c r="BP453" s="65">
        <f t="shared" si="2306"/>
        <v>0.05</v>
      </c>
      <c r="BQ453" s="65">
        <f t="shared" si="2306"/>
        <v>5.000000000000001E-2</v>
      </c>
      <c r="BR453" s="65">
        <f t="shared" si="2306"/>
        <v>0.05</v>
      </c>
      <c r="BS453" s="65">
        <f t="shared" si="2306"/>
        <v>0.1156612646059301</v>
      </c>
      <c r="BT453" s="65">
        <f t="shared" si="2306"/>
        <v>4.6681713951543073E-2</v>
      </c>
      <c r="BU453" s="65">
        <f t="shared" si="2306"/>
        <v>8.3034451957718358E-2</v>
      </c>
      <c r="BV453" s="65">
        <f t="shared" si="2306"/>
        <v>0.11484162483800724</v>
      </c>
      <c r="BW453" s="65">
        <f t="shared" si="2306"/>
        <v>7.5063264460334109E-2</v>
      </c>
      <c r="BX453" s="65">
        <f t="shared" si="2306"/>
        <v>9.3815863916400608E-2</v>
      </c>
      <c r="BY453" s="65">
        <f t="shared" si="2306"/>
        <v>0.14164837688357212</v>
      </c>
      <c r="BZ453" s="65">
        <f t="shared" si="2306"/>
        <v>7.775E-2</v>
      </c>
      <c r="CA453" s="65">
        <f t="shared" si="2306"/>
        <v>0.1090606812224164</v>
      </c>
      <c r="CB453" s="65">
        <f t="shared" si="2306"/>
        <v>2.6759999999999999E-2</v>
      </c>
      <c r="CC453" s="65">
        <f t="shared" si="2306"/>
        <v>0</v>
      </c>
      <c r="CD453" s="65">
        <f t="shared" si="2306"/>
        <v>1.3103047649468638E-2</v>
      </c>
      <c r="CE453" s="65">
        <f t="shared" si="2306"/>
        <v>0</v>
      </c>
      <c r="CF453" s="65">
        <f t="shared" si="2306"/>
        <v>0</v>
      </c>
      <c r="CG453" s="65">
        <f t="shared" ref="CG453:DL453" si="2307">CG452/CG424</f>
        <v>0</v>
      </c>
      <c r="CH453" s="65">
        <f t="shared" si="2307"/>
        <v>0</v>
      </c>
      <c r="CI453" s="65">
        <f t="shared" si="2307"/>
        <v>0</v>
      </c>
      <c r="CJ453" s="65">
        <f t="shared" si="2307"/>
        <v>0</v>
      </c>
      <c r="CK453" s="65">
        <f t="shared" si="2307"/>
        <v>0</v>
      </c>
      <c r="CL453" s="65">
        <f t="shared" si="2307"/>
        <v>0</v>
      </c>
      <c r="CM453" s="65">
        <f t="shared" si="2307"/>
        <v>0</v>
      </c>
      <c r="CN453" s="65">
        <f t="shared" si="2307"/>
        <v>0</v>
      </c>
      <c r="CO453" s="65">
        <f t="shared" si="2307"/>
        <v>0</v>
      </c>
      <c r="CP453" s="65">
        <f t="shared" si="2307"/>
        <v>0</v>
      </c>
      <c r="CQ453" s="65">
        <f t="shared" si="2307"/>
        <v>0</v>
      </c>
      <c r="CR453" s="65">
        <f t="shared" si="2307"/>
        <v>0</v>
      </c>
      <c r="CS453" s="65">
        <f t="shared" si="2307"/>
        <v>0</v>
      </c>
      <c r="CT453" s="65">
        <f t="shared" si="2307"/>
        <v>0</v>
      </c>
      <c r="CU453" s="65">
        <f t="shared" si="2307"/>
        <v>0</v>
      </c>
      <c r="CV453" s="65">
        <f t="shared" si="2307"/>
        <v>0</v>
      </c>
      <c r="CW453" s="65">
        <f t="shared" si="2307"/>
        <v>0</v>
      </c>
      <c r="CX453" s="65">
        <f t="shared" si="2307"/>
        <v>0</v>
      </c>
      <c r="CY453" s="65">
        <f t="shared" si="2307"/>
        <v>0</v>
      </c>
      <c r="CZ453" s="65">
        <f t="shared" si="2307"/>
        <v>0</v>
      </c>
      <c r="DA453" s="65">
        <f t="shared" si="2307"/>
        <v>0</v>
      </c>
      <c r="DB453" s="65">
        <f t="shared" si="2307"/>
        <v>0</v>
      </c>
      <c r="DC453" s="65">
        <f t="shared" si="2307"/>
        <v>0</v>
      </c>
      <c r="DD453" s="65">
        <f t="shared" si="2307"/>
        <v>0</v>
      </c>
      <c r="DE453" s="65">
        <f t="shared" si="2307"/>
        <v>0</v>
      </c>
      <c r="DF453" s="65">
        <f t="shared" si="2307"/>
        <v>0</v>
      </c>
      <c r="DG453" s="65">
        <f t="shared" si="2307"/>
        <v>0</v>
      </c>
      <c r="DH453" s="1066">
        <f t="shared" si="2307"/>
        <v>0</v>
      </c>
      <c r="DI453" s="65">
        <f t="shared" si="2307"/>
        <v>0</v>
      </c>
      <c r="DJ453" s="65">
        <f t="shared" si="2307"/>
        <v>0</v>
      </c>
      <c r="DK453" s="1066">
        <f t="shared" si="2307"/>
        <v>0</v>
      </c>
      <c r="DL453" s="65">
        <f t="shared" si="2307"/>
        <v>1.1384725196288744E-2</v>
      </c>
      <c r="DM453" s="65">
        <f t="shared" ref="DM453:ER453" si="2308">DM452/DM424</f>
        <v>0</v>
      </c>
      <c r="DN453" s="1066">
        <f t="shared" si="2308"/>
        <v>5.6380346412161653E-3</v>
      </c>
      <c r="DO453" s="65">
        <f t="shared" si="2308"/>
        <v>1.1384725196288744E-2</v>
      </c>
      <c r="DP453" s="65">
        <f t="shared" si="2308"/>
        <v>0</v>
      </c>
      <c r="DQ453" s="1066">
        <f t="shared" si="2308"/>
        <v>5.4262699086453153E-3</v>
      </c>
      <c r="DR453" s="65">
        <f t="shared" si="2308"/>
        <v>1.1384725196288744E-2</v>
      </c>
      <c r="DS453" s="65">
        <f t="shared" si="2308"/>
        <v>0</v>
      </c>
      <c r="DT453" s="1066">
        <f t="shared" si="2308"/>
        <v>5.3724637589370123E-3</v>
      </c>
      <c r="DU453" s="65">
        <f t="shared" si="2308"/>
        <v>1.1384725196288744E-2</v>
      </c>
      <c r="DV453" s="65">
        <f t="shared" si="2308"/>
        <v>0</v>
      </c>
      <c r="DW453" s="1066">
        <f t="shared" si="2308"/>
        <v>6.0799954989508445E-3</v>
      </c>
      <c r="DX453" s="65">
        <f t="shared" si="2308"/>
        <v>1.1384725196288746E-2</v>
      </c>
      <c r="DY453" s="65">
        <f t="shared" si="2308"/>
        <v>0</v>
      </c>
      <c r="DZ453" s="1066">
        <f t="shared" si="2308"/>
        <v>5.2726649531068025E-3</v>
      </c>
      <c r="EA453" s="65">
        <f t="shared" si="2308"/>
        <v>0</v>
      </c>
      <c r="EB453" s="65">
        <f t="shared" si="2308"/>
        <v>0</v>
      </c>
      <c r="EC453" s="1066">
        <f t="shared" si="2308"/>
        <v>0</v>
      </c>
      <c r="ED453" s="65">
        <f t="shared" si="2308"/>
        <v>0</v>
      </c>
      <c r="EE453" s="65">
        <f t="shared" si="2308"/>
        <v>0</v>
      </c>
      <c r="EF453" s="1066">
        <f t="shared" si="2308"/>
        <v>0</v>
      </c>
      <c r="EG453" s="65">
        <f t="shared" si="2308"/>
        <v>0</v>
      </c>
      <c r="EH453" s="65">
        <f t="shared" si="2308"/>
        <v>0</v>
      </c>
      <c r="EI453" s="1066">
        <f t="shared" si="2308"/>
        <v>0</v>
      </c>
      <c r="EJ453" s="65">
        <f t="shared" si="2308"/>
        <v>0</v>
      </c>
      <c r="EK453" s="65">
        <f t="shared" si="2308"/>
        <v>0</v>
      </c>
      <c r="EL453" s="1066">
        <f t="shared" si="2308"/>
        <v>0</v>
      </c>
      <c r="EM453" s="65">
        <f t="shared" si="2308"/>
        <v>0</v>
      </c>
      <c r="EN453" s="65">
        <f t="shared" si="2308"/>
        <v>0</v>
      </c>
      <c r="EO453" s="1066">
        <f t="shared" si="2308"/>
        <v>0</v>
      </c>
      <c r="EP453" s="65">
        <f t="shared" si="2308"/>
        <v>0</v>
      </c>
      <c r="EQ453" s="65">
        <f t="shared" si="2308"/>
        <v>0</v>
      </c>
      <c r="ER453" s="1066">
        <f t="shared" si="2308"/>
        <v>0</v>
      </c>
      <c r="ES453" s="65">
        <f t="shared" ref="ES453:EX453" si="2309">ES452/ES424</f>
        <v>0</v>
      </c>
      <c r="ET453" s="65">
        <f t="shared" si="2309"/>
        <v>0</v>
      </c>
      <c r="EU453" s="1066">
        <f t="shared" si="2309"/>
        <v>0</v>
      </c>
      <c r="EV453" s="65">
        <f t="shared" si="2309"/>
        <v>0</v>
      </c>
      <c r="EW453" s="65">
        <f t="shared" si="2309"/>
        <v>0</v>
      </c>
      <c r="EX453" s="1066">
        <f t="shared" si="2309"/>
        <v>0</v>
      </c>
      <c r="EY453" s="65">
        <f t="shared" ref="EY453:FA453" si="2310">EY452/EY424</f>
        <v>0</v>
      </c>
      <c r="EZ453" s="65">
        <f t="shared" si="2310"/>
        <v>0</v>
      </c>
      <c r="FA453" s="1066">
        <f t="shared" si="2310"/>
        <v>0</v>
      </c>
    </row>
    <row r="454" spans="1:157" s="233" customFormat="1" outlineLevel="1">
      <c r="A454" s="1433" t="s">
        <v>704</v>
      </c>
      <c r="D454" s="245" t="s">
        <v>604</v>
      </c>
      <c r="BA454" s="233">
        <f>BA448+BA450+BA452</f>
        <v>0</v>
      </c>
      <c r="BB454" s="233">
        <f>BB448+BB450+BB452</f>
        <v>0</v>
      </c>
      <c r="BC454" s="233">
        <f>SUM(BA454:BB454)</f>
        <v>0</v>
      </c>
      <c r="BD454" s="233">
        <f>BD448+BD450+BD452</f>
        <v>0</v>
      </c>
      <c r="BE454" s="233">
        <f>BE448+BE450+BE452</f>
        <v>0</v>
      </c>
      <c r="BF454" s="233">
        <f>SUM(BD454:BE454)</f>
        <v>0</v>
      </c>
      <c r="BG454" s="233">
        <f>BG448+BG450+BG452</f>
        <v>0</v>
      </c>
      <c r="BH454" s="233">
        <f>BH448+BH450+BH452</f>
        <v>0</v>
      </c>
      <c r="BI454" s="233">
        <f>SUM(BG454:BH454)</f>
        <v>0</v>
      </c>
      <c r="BJ454" s="233">
        <f>BJ448+BJ450+BJ452</f>
        <v>0</v>
      </c>
      <c r="BK454" s="233">
        <f>BK448+BK450+BK452</f>
        <v>0</v>
      </c>
      <c r="BL454" s="233">
        <f>SUM(BJ454:BK454)</f>
        <v>0</v>
      </c>
      <c r="BM454" s="233">
        <f>BM448+BM450+BM452</f>
        <v>8.6246634851617383</v>
      </c>
      <c r="BN454" s="233">
        <f>BN448+BN450+BN452</f>
        <v>8.8008904371393335</v>
      </c>
      <c r="BO454" s="233">
        <f>SUM(BM454:BN454)</f>
        <v>17.42555392230107</v>
      </c>
      <c r="BP454" s="233">
        <f>BP448+BP450+BP452</f>
        <v>10.517187575858591</v>
      </c>
      <c r="BQ454" s="233">
        <f>BQ448+BQ450+BQ452</f>
        <v>11.178438607830374</v>
      </c>
      <c r="BR454" s="233">
        <f>SUM(BP454:BQ454)</f>
        <v>21.695626183688965</v>
      </c>
      <c r="BS454" s="233">
        <f>BS448+BS450+BS452</f>
        <v>13.701534470404084</v>
      </c>
      <c r="BT454" s="233">
        <f>BT448+BT450+BT452</f>
        <v>14.31625639663925</v>
      </c>
      <c r="BU454" s="233">
        <f>SUM(BS454:BT454)</f>
        <v>28.017790867043335</v>
      </c>
      <c r="BV454" s="233">
        <f>BV448+BV450+BV452</f>
        <v>13.316607329248471</v>
      </c>
      <c r="BW454" s="233">
        <f>BW448+BW450+BW452</f>
        <v>14.440258715383663</v>
      </c>
      <c r="BX454" s="233">
        <f>SUM(BV454:BW454)</f>
        <v>27.756866044632133</v>
      </c>
      <c r="BY454" s="233">
        <f>BY448+BY450+BY452</f>
        <v>18.60234536235965</v>
      </c>
      <c r="BZ454" s="233">
        <f>BZ448+BZ450+BZ452</f>
        <v>12.889678597152111</v>
      </c>
      <c r="CA454" s="233">
        <f>SUM(BY454:BZ454)</f>
        <v>31.492023959511762</v>
      </c>
      <c r="CB454" s="233">
        <f>CB448+CB450+CB452</f>
        <v>1.2726573352101334</v>
      </c>
      <c r="CC454" s="233">
        <f>CC448+CC450+CC452</f>
        <v>0</v>
      </c>
      <c r="CD454" s="233">
        <f>SUM(CB454:CC454)</f>
        <v>1.2726573352101334</v>
      </c>
      <c r="CE454" s="233">
        <f>CE448+CE450+CE452</f>
        <v>0</v>
      </c>
      <c r="CF454" s="233">
        <f>CF448+CF450+CF452</f>
        <v>0</v>
      </c>
      <c r="CG454" s="233">
        <f>SUM(CE454:CF454)</f>
        <v>0</v>
      </c>
      <c r="CH454" s="233">
        <f>CH448+CH450+CH452</f>
        <v>0</v>
      </c>
      <c r="CI454" s="233">
        <f>CI448+CI450+CI452</f>
        <v>0</v>
      </c>
      <c r="CJ454" s="233">
        <f>SUM(CH454:CI454)</f>
        <v>0</v>
      </c>
      <c r="CK454" s="233">
        <f>CK448+CK450+CK452</f>
        <v>0</v>
      </c>
      <c r="CL454" s="233">
        <f>CL448+CL450+CL452</f>
        <v>0</v>
      </c>
      <c r="CM454" s="233">
        <f>SUM(CK454:CL454)</f>
        <v>0</v>
      </c>
      <c r="CN454" s="233">
        <f>CN448+CN450+CN452</f>
        <v>0</v>
      </c>
      <c r="CO454" s="233">
        <f>CO448+CO450+CO452</f>
        <v>0</v>
      </c>
      <c r="CP454" s="233">
        <f>SUM(CN454:CO454)</f>
        <v>0</v>
      </c>
      <c r="CQ454" s="233">
        <f>CQ448+CQ450+CQ452</f>
        <v>0</v>
      </c>
      <c r="CR454" s="233">
        <f>CR448+CR450+CR452</f>
        <v>0</v>
      </c>
      <c r="CS454" s="233">
        <f>SUM(CQ454:CR454)</f>
        <v>0</v>
      </c>
      <c r="CT454" s="233">
        <f>CT448+CT450+CT452</f>
        <v>0</v>
      </c>
      <c r="CU454" s="233">
        <f>CU448+CU450+CU452</f>
        <v>0</v>
      </c>
      <c r="CV454" s="233">
        <f>SUM(CT454:CU454)</f>
        <v>0</v>
      </c>
      <c r="CW454" s="233">
        <f>CW448+CW450+CW452</f>
        <v>0</v>
      </c>
      <c r="CX454" s="233">
        <f>CX448+CX450+CX452</f>
        <v>0</v>
      </c>
      <c r="CY454" s="233">
        <f>SUM(CW454:CX454)</f>
        <v>0</v>
      </c>
      <c r="CZ454" s="233">
        <f>CZ448+CZ450+CZ452</f>
        <v>0</v>
      </c>
      <c r="DA454" s="233">
        <f>DA448+DA450+DA452</f>
        <v>0</v>
      </c>
      <c r="DB454" s="233">
        <f>SUM(CZ454:DA454)</f>
        <v>0</v>
      </c>
      <c r="DC454" s="233">
        <f>DC448+DC450+DC452</f>
        <v>0</v>
      </c>
      <c r="DD454" s="233">
        <f>DD448+DD450+DD452</f>
        <v>0</v>
      </c>
      <c r="DE454" s="233">
        <f>SUM(DC454:DD454)</f>
        <v>0</v>
      </c>
      <c r="DF454" s="233">
        <f>DF448+DF450+DF452</f>
        <v>0</v>
      </c>
      <c r="DG454" s="233">
        <f>DG448+DG450+DG452</f>
        <v>0</v>
      </c>
      <c r="DH454" s="1118">
        <f>SUM(DF454:DG454)</f>
        <v>0</v>
      </c>
      <c r="DI454" s="1116">
        <f>DI448+DI450+DI452</f>
        <v>0</v>
      </c>
      <c r="DJ454" s="1116">
        <f>DJ448+DJ450+DJ452</f>
        <v>0</v>
      </c>
      <c r="DK454" s="1118">
        <f>SUM(DI454:DJ454)</f>
        <v>0</v>
      </c>
      <c r="DL454" s="1116">
        <f>DL448+DL450+DL452</f>
        <v>1.595000000000053</v>
      </c>
      <c r="DM454" s="1116">
        <f>DM448+DM450+DM452</f>
        <v>0</v>
      </c>
      <c r="DN454" s="1115">
        <f>SUM(DL454:DM454)</f>
        <v>1.595000000000053</v>
      </c>
      <c r="DO454" s="1116">
        <f>DO448+DO450+DO452</f>
        <v>1.8340792291221166</v>
      </c>
      <c r="DP454" s="1116">
        <f>DP448+DP450+DP452</f>
        <v>0</v>
      </c>
      <c r="DQ454" s="1115">
        <f>SUM(DO454:DP454)</f>
        <v>1.8340792291221166</v>
      </c>
      <c r="DR454" s="1116">
        <f>DR448+DR450+DR452</f>
        <v>1.9980192719486747</v>
      </c>
      <c r="DS454" s="1116">
        <f>DS448+DS450+DS452</f>
        <v>0</v>
      </c>
      <c r="DT454" s="1115">
        <f>SUM(DR454:DS454)</f>
        <v>1.9980192719486747</v>
      </c>
      <c r="DU454" s="1116">
        <f>DU448+DU450+DU452</f>
        <v>2.6071020699501224</v>
      </c>
      <c r="DV454" s="1116">
        <f>DV448+DV450+DV452</f>
        <v>0</v>
      </c>
      <c r="DW454" s="1115">
        <f>SUM(DU454:DV454)</f>
        <v>2.6071020699501224</v>
      </c>
      <c r="DX454" s="1116">
        <f>DX448+DX450+DX452</f>
        <v>2.3657458957888013</v>
      </c>
      <c r="DY454" s="1116">
        <f>DY448+DY450+DY452</f>
        <v>0</v>
      </c>
      <c r="DZ454" s="1115">
        <f>SUM(DX454:DY454)</f>
        <v>2.3657458957888013</v>
      </c>
      <c r="EA454" s="1116">
        <f>EA448+EA450+EA452</f>
        <v>0</v>
      </c>
      <c r="EB454" s="1116">
        <f>EB448+EB450+EB452</f>
        <v>0</v>
      </c>
      <c r="EC454" s="1115">
        <f>SUM(EA454:EB454)</f>
        <v>0</v>
      </c>
      <c r="ED454" s="1116">
        <f>ED448+ED450+ED452</f>
        <v>0</v>
      </c>
      <c r="EE454" s="1116">
        <f>EE448+EE450+EE452</f>
        <v>0</v>
      </c>
      <c r="EF454" s="1115">
        <f>SUM(ED454:EE454)</f>
        <v>0</v>
      </c>
      <c r="EG454" s="1116">
        <f>EG448+EG450+EG452</f>
        <v>0</v>
      </c>
      <c r="EH454" s="1116">
        <f>EH448+EH450+EH452</f>
        <v>0</v>
      </c>
      <c r="EI454" s="1115">
        <f>SUM(EG454:EH454)</f>
        <v>0</v>
      </c>
      <c r="EJ454" s="1116">
        <f>EJ448+EJ450+EJ452</f>
        <v>0</v>
      </c>
      <c r="EK454" s="1116">
        <f>EK448+EK450+EK452</f>
        <v>0</v>
      </c>
      <c r="EL454" s="1115">
        <f>SUM(EJ454:EK454)</f>
        <v>0</v>
      </c>
      <c r="EM454" s="1116">
        <f>EM448+EM450+EM452</f>
        <v>0</v>
      </c>
      <c r="EN454" s="1116">
        <f>EN448+EN450+EN452</f>
        <v>0</v>
      </c>
      <c r="EO454" s="1115">
        <f>SUM(EM454:EN454)</f>
        <v>0</v>
      </c>
      <c r="EP454" s="1116">
        <f>EP448+EP450+EP452</f>
        <v>0</v>
      </c>
      <c r="EQ454" s="1116">
        <f>EQ448+EQ450+EQ452</f>
        <v>0</v>
      </c>
      <c r="ER454" s="1115">
        <f>SUM(EP454:EQ454)</f>
        <v>0</v>
      </c>
      <c r="ES454" s="1116">
        <f>ES448+ES450+ES452</f>
        <v>0</v>
      </c>
      <c r="ET454" s="1116">
        <f>ET448+ET450+ET452</f>
        <v>0</v>
      </c>
      <c r="EU454" s="1115">
        <f>SUM(ES454:ET454)</f>
        <v>0</v>
      </c>
      <c r="EV454" s="1116">
        <f>EV448+EV450+EV452</f>
        <v>0</v>
      </c>
      <c r="EW454" s="1116">
        <f>EW448+EW450+EW452</f>
        <v>0</v>
      </c>
      <c r="EX454" s="1115">
        <f>SUM(EV454:EW454)</f>
        <v>0</v>
      </c>
      <c r="EY454" s="1116">
        <f>EY448+EY450+EY452</f>
        <v>0</v>
      </c>
      <c r="EZ454" s="1116">
        <f>EZ448+EZ450+EZ452</f>
        <v>0</v>
      </c>
      <c r="FA454" s="1115">
        <f>SUM(EY454:EZ454)</f>
        <v>0</v>
      </c>
    </row>
    <row r="455" spans="1:157" s="233" customFormat="1" outlineLevel="1">
      <c r="A455" s="1433"/>
      <c r="D455" s="245"/>
      <c r="DH455" s="1070"/>
      <c r="DK455" s="1070"/>
      <c r="DN455" s="1070"/>
      <c r="DQ455" s="1070"/>
      <c r="DT455" s="1070"/>
      <c r="DW455" s="1070"/>
      <c r="DZ455" s="1070"/>
      <c r="EC455" s="1070"/>
      <c r="EF455" s="1070"/>
      <c r="EI455" s="1070"/>
      <c r="EL455" s="1070"/>
      <c r="EO455" s="1070"/>
      <c r="ER455" s="1070"/>
      <c r="EU455" s="1070"/>
      <c r="EX455" s="1070"/>
      <c r="FA455" s="1070"/>
    </row>
    <row r="456" spans="1:157" outlineLevel="1">
      <c r="B456" s="31"/>
      <c r="C456" s="35" t="s">
        <v>488</v>
      </c>
      <c r="D456" s="162" t="s">
        <v>460</v>
      </c>
      <c r="BA456" s="65"/>
      <c r="BB456" s="65"/>
      <c r="BC456" s="65"/>
      <c r="BD456" s="65">
        <f t="shared" ref="BD456:CI456" si="2311">BD454/BD426</f>
        <v>0</v>
      </c>
      <c r="BE456" s="65">
        <f t="shared" si="2311"/>
        <v>0</v>
      </c>
      <c r="BF456" s="65">
        <f t="shared" si="2311"/>
        <v>0</v>
      </c>
      <c r="BG456" s="65">
        <f t="shared" si="2311"/>
        <v>0</v>
      </c>
      <c r="BH456" s="65">
        <f t="shared" si="2311"/>
        <v>0</v>
      </c>
      <c r="BI456" s="65">
        <f t="shared" si="2311"/>
        <v>0</v>
      </c>
      <c r="BJ456" s="65">
        <f t="shared" si="2311"/>
        <v>0</v>
      </c>
      <c r="BK456" s="65">
        <f t="shared" si="2311"/>
        <v>0</v>
      </c>
      <c r="BL456" s="65">
        <f t="shared" si="2311"/>
        <v>0</v>
      </c>
      <c r="BM456" s="65">
        <f t="shared" si="2311"/>
        <v>0.05</v>
      </c>
      <c r="BN456" s="65">
        <f t="shared" si="2311"/>
        <v>4.9999999999999996E-2</v>
      </c>
      <c r="BO456" s="65">
        <f t="shared" si="2311"/>
        <v>4.9999999999999996E-2</v>
      </c>
      <c r="BP456" s="65">
        <f t="shared" si="2311"/>
        <v>5.2690720023302939E-2</v>
      </c>
      <c r="BQ456" s="65">
        <f t="shared" si="2311"/>
        <v>5.298954433198641E-2</v>
      </c>
      <c r="BR456" s="65">
        <f t="shared" si="2311"/>
        <v>5.2844263916439926E-2</v>
      </c>
      <c r="BS456" s="65">
        <f t="shared" si="2311"/>
        <v>5.3024714049528972E-2</v>
      </c>
      <c r="BT456" s="65">
        <f t="shared" si="2311"/>
        <v>5.5026050230797319E-2</v>
      </c>
      <c r="BU456" s="65">
        <f t="shared" si="2311"/>
        <v>5.4028804043882279E-2</v>
      </c>
      <c r="BV456" s="65">
        <f t="shared" si="2311"/>
        <v>4.9046197210003646E-2</v>
      </c>
      <c r="BW456" s="65">
        <f t="shared" si="2311"/>
        <v>5.0735018153027153E-2</v>
      </c>
      <c r="BX456" s="65">
        <f t="shared" si="2311"/>
        <v>4.9910512832479499E-2</v>
      </c>
      <c r="BY456" s="65">
        <f t="shared" si="2311"/>
        <v>5.615797202818016E-2</v>
      </c>
      <c r="BZ456" s="65">
        <f t="shared" si="2311"/>
        <v>3.6716377185338107E-2</v>
      </c>
      <c r="CA456" s="65">
        <f t="shared" si="2311"/>
        <v>4.6154937875635883E-2</v>
      </c>
      <c r="CB456" s="65">
        <f t="shared" si="2311"/>
        <v>3.9637056594238494E-3</v>
      </c>
      <c r="CC456" s="65">
        <f t="shared" si="2311"/>
        <v>0</v>
      </c>
      <c r="CD456" s="65">
        <f t="shared" si="2311"/>
        <v>1.910755884861282E-3</v>
      </c>
      <c r="CE456" s="65">
        <f t="shared" si="2311"/>
        <v>0</v>
      </c>
      <c r="CF456" s="65">
        <f t="shared" si="2311"/>
        <v>0</v>
      </c>
      <c r="CG456" s="65">
        <f t="shared" si="2311"/>
        <v>0</v>
      </c>
      <c r="CH456" s="65">
        <f t="shared" si="2311"/>
        <v>0</v>
      </c>
      <c r="CI456" s="65">
        <f t="shared" si="2311"/>
        <v>0</v>
      </c>
      <c r="CJ456" s="65">
        <f t="shared" ref="CJ456:DO456" si="2312">CJ454/CJ426</f>
        <v>0</v>
      </c>
      <c r="CK456" s="65">
        <f t="shared" si="2312"/>
        <v>0</v>
      </c>
      <c r="CL456" s="65">
        <f t="shared" si="2312"/>
        <v>0</v>
      </c>
      <c r="CM456" s="65">
        <f t="shared" si="2312"/>
        <v>0</v>
      </c>
      <c r="CN456" s="65">
        <f t="shared" si="2312"/>
        <v>0</v>
      </c>
      <c r="CO456" s="65">
        <f t="shared" si="2312"/>
        <v>0</v>
      </c>
      <c r="CP456" s="65">
        <f t="shared" si="2312"/>
        <v>0</v>
      </c>
      <c r="CQ456" s="65">
        <f t="shared" si="2312"/>
        <v>0</v>
      </c>
      <c r="CR456" s="65">
        <f t="shared" si="2312"/>
        <v>0</v>
      </c>
      <c r="CS456" s="65">
        <f t="shared" si="2312"/>
        <v>0</v>
      </c>
      <c r="CT456" s="65">
        <f t="shared" si="2312"/>
        <v>0</v>
      </c>
      <c r="CU456" s="65">
        <f t="shared" si="2312"/>
        <v>0</v>
      </c>
      <c r="CV456" s="65">
        <f t="shared" si="2312"/>
        <v>0</v>
      </c>
      <c r="CW456" s="65">
        <f t="shared" si="2312"/>
        <v>0</v>
      </c>
      <c r="CX456" s="65">
        <f t="shared" si="2312"/>
        <v>0</v>
      </c>
      <c r="CY456" s="65">
        <f t="shared" si="2312"/>
        <v>0</v>
      </c>
      <c r="CZ456" s="65">
        <f t="shared" si="2312"/>
        <v>0</v>
      </c>
      <c r="DA456" s="65">
        <f t="shared" si="2312"/>
        <v>0</v>
      </c>
      <c r="DB456" s="65">
        <f t="shared" si="2312"/>
        <v>0</v>
      </c>
      <c r="DC456" s="65">
        <f t="shared" si="2312"/>
        <v>0</v>
      </c>
      <c r="DD456" s="65">
        <f t="shared" si="2312"/>
        <v>0</v>
      </c>
      <c r="DE456" s="65">
        <f t="shared" si="2312"/>
        <v>0</v>
      </c>
      <c r="DF456" s="65">
        <f t="shared" si="2312"/>
        <v>0</v>
      </c>
      <c r="DG456" s="65">
        <f t="shared" si="2312"/>
        <v>0</v>
      </c>
      <c r="DH456" s="1066">
        <f t="shared" si="2312"/>
        <v>0</v>
      </c>
      <c r="DI456" s="65">
        <f t="shared" si="2312"/>
        <v>0</v>
      </c>
      <c r="DJ456" s="65">
        <f t="shared" si="2312"/>
        <v>0</v>
      </c>
      <c r="DK456" s="1066">
        <f t="shared" si="2312"/>
        <v>0</v>
      </c>
      <c r="DL456" s="65">
        <f t="shared" si="2312"/>
        <v>1.956335091377472E-3</v>
      </c>
      <c r="DM456" s="65">
        <f t="shared" si="2312"/>
        <v>0</v>
      </c>
      <c r="DN456" s="1066">
        <f t="shared" si="2312"/>
        <v>9.7190908536960155E-4</v>
      </c>
      <c r="DO456" s="65">
        <f t="shared" si="2312"/>
        <v>2.0554513382518395E-3</v>
      </c>
      <c r="DP456" s="65">
        <f t="shared" ref="DP456:ER456" si="2313">DP454/DP426</f>
        <v>0</v>
      </c>
      <c r="DQ456" s="1066">
        <f t="shared" si="2313"/>
        <v>9.3781215376699718E-4</v>
      </c>
      <c r="DR456" s="65">
        <f t="shared" si="2313"/>
        <v>1.7945206322513693E-3</v>
      </c>
      <c r="DS456" s="65">
        <f t="shared" si="2313"/>
        <v>0</v>
      </c>
      <c r="DT456" s="1066">
        <f t="shared" si="2313"/>
        <v>8.8478401910755224E-4</v>
      </c>
      <c r="DU456" s="65">
        <f t="shared" si="2313"/>
        <v>2.2284828360972066E-3</v>
      </c>
      <c r="DV456" s="65">
        <f t="shared" si="2313"/>
        <v>0</v>
      </c>
      <c r="DW456" s="1066">
        <f t="shared" si="2313"/>
        <v>1.1066737710969192E-3</v>
      </c>
      <c r="DX456" s="65">
        <f t="shared" si="2313"/>
        <v>2.0116886868952392E-3</v>
      </c>
      <c r="DY456" s="65">
        <f t="shared" si="2313"/>
        <v>0</v>
      </c>
      <c r="DZ456" s="1066">
        <f t="shared" si="2313"/>
        <v>9.412658765638953E-4</v>
      </c>
      <c r="EA456" s="65">
        <f t="shared" si="2313"/>
        <v>0</v>
      </c>
      <c r="EB456" s="65">
        <f t="shared" si="2313"/>
        <v>0</v>
      </c>
      <c r="EC456" s="1066">
        <f t="shared" si="2313"/>
        <v>0</v>
      </c>
      <c r="ED456" s="65">
        <f t="shared" si="2313"/>
        <v>0</v>
      </c>
      <c r="EE456" s="65">
        <f t="shared" si="2313"/>
        <v>0</v>
      </c>
      <c r="EF456" s="1066">
        <f t="shared" si="2313"/>
        <v>0</v>
      </c>
      <c r="EG456" s="65">
        <f t="shared" si="2313"/>
        <v>0</v>
      </c>
      <c r="EH456" s="65">
        <f t="shared" si="2313"/>
        <v>0</v>
      </c>
      <c r="EI456" s="1066">
        <f t="shared" si="2313"/>
        <v>0</v>
      </c>
      <c r="EJ456" s="65">
        <f t="shared" si="2313"/>
        <v>0</v>
      </c>
      <c r="EK456" s="65">
        <f t="shared" si="2313"/>
        <v>0</v>
      </c>
      <c r="EL456" s="1066">
        <f t="shared" si="2313"/>
        <v>0</v>
      </c>
      <c r="EM456" s="65">
        <f t="shared" si="2313"/>
        <v>0</v>
      </c>
      <c r="EN456" s="65">
        <f t="shared" si="2313"/>
        <v>0</v>
      </c>
      <c r="EO456" s="1066">
        <f t="shared" si="2313"/>
        <v>0</v>
      </c>
      <c r="EP456" s="65">
        <f t="shared" si="2313"/>
        <v>0</v>
      </c>
      <c r="EQ456" s="65">
        <f t="shared" si="2313"/>
        <v>0</v>
      </c>
      <c r="ER456" s="1066">
        <f t="shared" si="2313"/>
        <v>0</v>
      </c>
      <c r="ES456" s="65">
        <f t="shared" ref="ES456:EX456" si="2314">ES454/ES426</f>
        <v>0</v>
      </c>
      <c r="ET456" s="65">
        <f t="shared" si="2314"/>
        <v>0</v>
      </c>
      <c r="EU456" s="1066">
        <f t="shared" si="2314"/>
        <v>0</v>
      </c>
      <c r="EV456" s="65">
        <f t="shared" si="2314"/>
        <v>0</v>
      </c>
      <c r="EW456" s="65">
        <f t="shared" si="2314"/>
        <v>0</v>
      </c>
      <c r="EX456" s="1066">
        <f t="shared" si="2314"/>
        <v>0</v>
      </c>
      <c r="EY456" s="65">
        <f t="shared" ref="EY456:FA456" si="2315">EY454/EY426</f>
        <v>0</v>
      </c>
      <c r="EZ456" s="65">
        <f t="shared" si="2315"/>
        <v>0</v>
      </c>
      <c r="FA456" s="1066">
        <f t="shared" si="2315"/>
        <v>0</v>
      </c>
    </row>
    <row r="457" spans="1:157" outlineLevel="1">
      <c r="B457" s="31"/>
      <c r="C457" s="35" t="s">
        <v>703</v>
      </c>
      <c r="D457" s="162" t="s">
        <v>460</v>
      </c>
      <c r="BA457" s="35"/>
      <c r="BB457" s="35"/>
      <c r="BC457" s="322"/>
      <c r="BD457" s="35"/>
      <c r="BE457" s="35"/>
      <c r="BG457" s="35"/>
      <c r="BH457" s="35"/>
      <c r="BJ457" s="35"/>
      <c r="BK457" s="35"/>
      <c r="BL457" s="31"/>
      <c r="BM457" s="35"/>
      <c r="BN457" s="35"/>
      <c r="BO457" s="31"/>
      <c r="BP457" s="35"/>
      <c r="BQ457" s="35"/>
      <c r="BR457" s="1024"/>
      <c r="BS457" s="74"/>
      <c r="BT457" s="70"/>
      <c r="BU457" s="74"/>
      <c r="BV457" s="74"/>
      <c r="BW457" s="74"/>
      <c r="BX457" s="74"/>
      <c r="BY457" s="70"/>
      <c r="BZ457" s="70"/>
      <c r="CA457" s="70"/>
      <c r="CB457" s="187"/>
      <c r="CC457" s="187"/>
      <c r="CD457" s="187"/>
      <c r="CE457" s="187"/>
      <c r="CF457" s="65"/>
      <c r="CG457" s="65"/>
      <c r="CH457" s="70"/>
      <c r="CI457" s="70"/>
      <c r="CJ457" s="70"/>
      <c r="CK457" s="35"/>
      <c r="CL457" s="35"/>
      <c r="CN457" s="35"/>
      <c r="CO457" s="35"/>
      <c r="CQ457" s="35"/>
      <c r="CR457" s="35"/>
      <c r="CT457" s="35"/>
      <c r="CU457" s="35"/>
      <c r="CW457" s="35"/>
      <c r="CX457" s="35"/>
      <c r="CZ457" s="35"/>
      <c r="DA457" s="35"/>
      <c r="DC457" s="35"/>
      <c r="DD457" s="35"/>
      <c r="DF457" s="35"/>
      <c r="DG457" s="35"/>
      <c r="DH457" s="1067"/>
      <c r="DI457" s="35"/>
      <c r="DJ457" s="35"/>
      <c r="DK457" s="1067"/>
      <c r="DL457" s="35"/>
      <c r="DM457" s="35"/>
      <c r="DN457" s="1067"/>
      <c r="DO457" s="35"/>
      <c r="DP457" s="35"/>
      <c r="DQ457" s="1067"/>
      <c r="DR457" s="35"/>
      <c r="DS457" s="35"/>
      <c r="DT457" s="1067"/>
      <c r="DU457" s="35"/>
      <c r="DV457" s="35"/>
      <c r="DW457" s="1067"/>
      <c r="DX457" s="35"/>
      <c r="DY457" s="35"/>
      <c r="DZ457" s="1067"/>
      <c r="EA457" s="35"/>
      <c r="EB457" s="35"/>
      <c r="EC457" s="1067"/>
      <c r="ED457" s="35"/>
      <c r="EE457" s="35"/>
      <c r="EF457" s="1067"/>
      <c r="EG457" s="35"/>
      <c r="EH457" s="35"/>
      <c r="EI457" s="1067"/>
      <c r="EJ457" s="35"/>
      <c r="EK457" s="35"/>
      <c r="EL457" s="1067"/>
      <c r="EM457" s="35"/>
      <c r="EN457" s="35"/>
      <c r="EO457" s="1067"/>
      <c r="EP457" s="35"/>
      <c r="EQ457" s="35"/>
      <c r="ER457" s="1067"/>
      <c r="ES457" s="35"/>
      <c r="ET457" s="35"/>
      <c r="EU457" s="1067"/>
      <c r="EV457" s="35"/>
      <c r="EW457" s="35"/>
      <c r="EX457" s="1067"/>
      <c r="EY457" s="35"/>
      <c r="EZ457" s="35"/>
      <c r="FA457" s="1067"/>
    </row>
    <row r="458" spans="1:157" outlineLevel="1">
      <c r="B458" s="31"/>
      <c r="BA458" s="35"/>
      <c r="BB458" s="35"/>
      <c r="BC458" s="322"/>
      <c r="BD458" s="35"/>
      <c r="BE458" s="35"/>
      <c r="BG458" s="35"/>
      <c r="BH458" s="35"/>
      <c r="BJ458" s="35"/>
      <c r="BK458" s="35"/>
      <c r="BL458" s="31"/>
      <c r="BM458" s="35"/>
      <c r="BN458" s="35"/>
      <c r="BO458" s="31"/>
      <c r="BP458" s="35"/>
      <c r="BQ458" s="35"/>
      <c r="BR458" s="1024"/>
      <c r="BS458" s="74"/>
      <c r="BT458" s="70"/>
      <c r="BU458" s="74"/>
      <c r="BV458" s="74"/>
      <c r="BW458" s="74"/>
      <c r="BX458" s="74"/>
      <c r="BY458" s="70"/>
      <c r="BZ458" s="70"/>
      <c r="CA458" s="70"/>
      <c r="CB458" s="187"/>
      <c r="CC458" s="187"/>
      <c r="CD458" s="187"/>
      <c r="CE458" s="187"/>
      <c r="CF458" s="65"/>
      <c r="CG458" s="65"/>
      <c r="CH458" s="70"/>
      <c r="CI458" s="70"/>
      <c r="CJ458" s="70"/>
      <c r="CK458" s="35"/>
      <c r="CL458" s="35"/>
      <c r="CN458" s="35"/>
      <c r="CO458" s="35"/>
      <c r="CQ458" s="35"/>
      <c r="CR458" s="35"/>
      <c r="CT458" s="35"/>
      <c r="CU458" s="35"/>
      <c r="CW458" s="35"/>
      <c r="CX458" s="35"/>
      <c r="CZ458" s="35"/>
      <c r="DA458" s="35"/>
      <c r="DC458" s="35"/>
      <c r="DD458" s="35"/>
      <c r="DF458" s="35"/>
      <c r="DG458" s="35"/>
      <c r="DH458" s="1067"/>
      <c r="DI458" s="35"/>
      <c r="DJ458" s="35"/>
      <c r="DK458" s="1067"/>
      <c r="DL458" s="35"/>
      <c r="DM458" s="35"/>
      <c r="DN458" s="1067"/>
      <c r="DO458" s="35"/>
      <c r="DP458" s="35"/>
      <c r="DQ458" s="1067"/>
      <c r="DR458" s="35"/>
      <c r="DS458" s="35"/>
      <c r="DT458" s="1067"/>
      <c r="DU458" s="35"/>
      <c r="DV458" s="35"/>
      <c r="DW458" s="1067"/>
      <c r="DX458" s="35"/>
      <c r="DY458" s="35"/>
      <c r="DZ458" s="1067"/>
      <c r="EA458" s="35"/>
      <c r="EB458" s="35"/>
      <c r="EC458" s="1067"/>
      <c r="ED458" s="35"/>
      <c r="EE458" s="35"/>
      <c r="EF458" s="1067"/>
      <c r="EG458" s="35"/>
      <c r="EH458" s="35"/>
      <c r="EI458" s="1067"/>
      <c r="EJ458" s="35"/>
      <c r="EK458" s="35"/>
      <c r="EL458" s="1067"/>
      <c r="EM458" s="35"/>
      <c r="EN458" s="35"/>
      <c r="EO458" s="1067"/>
      <c r="EP458" s="35"/>
      <c r="EQ458" s="35"/>
      <c r="ER458" s="1067"/>
      <c r="ES458" s="35"/>
      <c r="ET458" s="35"/>
      <c r="EU458" s="1067"/>
      <c r="EV458" s="35"/>
      <c r="EW458" s="35"/>
      <c r="EX458" s="1067"/>
      <c r="EY458" s="35"/>
      <c r="EZ458" s="35"/>
      <c r="FA458" s="1067"/>
    </row>
    <row r="459" spans="1:157" s="233" customFormat="1" outlineLevel="1">
      <c r="A459" s="1147"/>
      <c r="B459" s="246" t="s">
        <v>316</v>
      </c>
      <c r="D459" s="245" t="s">
        <v>604</v>
      </c>
      <c r="BA459" s="233">
        <f>BA253</f>
        <v>0</v>
      </c>
      <c r="BB459" s="233">
        <f>BB253</f>
        <v>0</v>
      </c>
      <c r="BC459" s="233">
        <f>SUM(BA459:BB459)</f>
        <v>0</v>
      </c>
      <c r="BD459" s="233">
        <f>BD253</f>
        <v>0</v>
      </c>
      <c r="BE459" s="233">
        <f>BE253</f>
        <v>0</v>
      </c>
      <c r="BF459" s="233">
        <f>SUM(BD459:BE459)</f>
        <v>0</v>
      </c>
      <c r="BG459" s="233">
        <f>BG253</f>
        <v>0</v>
      </c>
      <c r="BH459" s="233">
        <f>BH253</f>
        <v>0</v>
      </c>
      <c r="BI459" s="233">
        <f>SUM(BG459:BH459)</f>
        <v>0</v>
      </c>
      <c r="BJ459" s="233">
        <f>BJ253</f>
        <v>0</v>
      </c>
      <c r="BK459" s="233">
        <f>BK253</f>
        <v>0</v>
      </c>
      <c r="BL459" s="233">
        <f>SUM(BJ459:BK459)</f>
        <v>0</v>
      </c>
      <c r="BM459" s="233">
        <f>BM253</f>
        <v>14.73139730440351</v>
      </c>
      <c r="BN459" s="233">
        <f>BN253</f>
        <v>13.005489118122425</v>
      </c>
      <c r="BO459" s="233">
        <f>SUM(BM459:BN459)</f>
        <v>27.736886422525934</v>
      </c>
      <c r="BP459" s="233">
        <f>BP253</f>
        <v>17.406544212595744</v>
      </c>
      <c r="BQ459" s="233">
        <f>BQ253</f>
        <v>15.665613400997593</v>
      </c>
      <c r="BR459" s="233">
        <f>SUM(BP459:BQ459)</f>
        <v>33.072157613593333</v>
      </c>
      <c r="BS459" s="233">
        <f>BS253</f>
        <v>11.161076120332554</v>
      </c>
      <c r="BT459" s="233">
        <f>BT253</f>
        <v>12.588148756972631</v>
      </c>
      <c r="BU459" s="233">
        <f>SUM(BS459:BT459)</f>
        <v>23.749224877305185</v>
      </c>
      <c r="BV459" s="233">
        <f>BV253</f>
        <v>11.352436956279469</v>
      </c>
      <c r="BW459" s="233">
        <f>BW253</f>
        <v>7.2715676979421042</v>
      </c>
      <c r="BX459" s="233">
        <f>SUM(BV459:BW459)</f>
        <v>18.624004654221572</v>
      </c>
      <c r="BY459" s="233">
        <f>BY253</f>
        <v>10.045141600459024</v>
      </c>
      <c r="BZ459" s="233">
        <f>BZ253</f>
        <v>11.756608622642595</v>
      </c>
      <c r="CA459" s="233">
        <f>SUM(BY459:BZ459)</f>
        <v>21.801750223101621</v>
      </c>
      <c r="CB459" s="233">
        <f>CB253</f>
        <v>0</v>
      </c>
      <c r="CC459" s="233">
        <f>CC253</f>
        <v>0</v>
      </c>
      <c r="CD459" s="233">
        <f>SUM(CB459:CC459)</f>
        <v>0</v>
      </c>
      <c r="CE459" s="233">
        <f>CE253</f>
        <v>0</v>
      </c>
      <c r="CF459" s="233">
        <f>CF253</f>
        <v>0</v>
      </c>
      <c r="CG459" s="233">
        <f>SUM(CE459:CF459)</f>
        <v>0</v>
      </c>
      <c r="CH459" s="233">
        <f>CH253</f>
        <v>0</v>
      </c>
      <c r="CI459" s="233">
        <f>CI253</f>
        <v>0</v>
      </c>
      <c r="CJ459" s="233">
        <f>SUM(CH459:CI459)</f>
        <v>0</v>
      </c>
      <c r="CK459" s="233">
        <f>CK253</f>
        <v>0</v>
      </c>
      <c r="CL459" s="233">
        <f>CL253</f>
        <v>0</v>
      </c>
      <c r="CM459" s="233">
        <f>SUM(CK459:CL459)</f>
        <v>0</v>
      </c>
      <c r="CN459" s="233">
        <f>CN253</f>
        <v>0</v>
      </c>
      <c r="CO459" s="233">
        <f>CO253</f>
        <v>0</v>
      </c>
      <c r="CP459" s="233">
        <f>SUM(CN459:CO459)</f>
        <v>0</v>
      </c>
      <c r="CQ459" s="233">
        <f>CQ253</f>
        <v>0</v>
      </c>
      <c r="CR459" s="233">
        <f>CR253</f>
        <v>0</v>
      </c>
      <c r="CS459" s="233">
        <f>SUM(CQ459:CR459)</f>
        <v>0</v>
      </c>
      <c r="CT459" s="233">
        <f>CT253</f>
        <v>0</v>
      </c>
      <c r="CU459" s="233">
        <f>CU253</f>
        <v>0</v>
      </c>
      <c r="CV459" s="233">
        <f>SUM(CT459:CU459)</f>
        <v>0</v>
      </c>
      <c r="CW459" s="233">
        <f>CW253</f>
        <v>0</v>
      </c>
      <c r="CX459" s="233">
        <f>CX253</f>
        <v>0</v>
      </c>
      <c r="CY459" s="233">
        <f>SUM(CW459:CX459)</f>
        <v>0</v>
      </c>
      <c r="CZ459" s="233">
        <f>CZ253</f>
        <v>0</v>
      </c>
      <c r="DA459" s="233">
        <f>DA253</f>
        <v>0</v>
      </c>
      <c r="DB459" s="233">
        <f>SUM(CZ459:DA459)</f>
        <v>0</v>
      </c>
      <c r="DC459" s="233">
        <f>DC253</f>
        <v>0</v>
      </c>
      <c r="DD459" s="233">
        <f>DD253</f>
        <v>0</v>
      </c>
      <c r="DE459" s="233">
        <f>SUM(DC459:DD459)</f>
        <v>0</v>
      </c>
      <c r="DF459" s="233">
        <f>DF253</f>
        <v>0</v>
      </c>
      <c r="DG459" s="233">
        <f>DG253</f>
        <v>0</v>
      </c>
      <c r="DH459" s="1070">
        <f>SUM(DF459:DG459)</f>
        <v>0</v>
      </c>
      <c r="DI459" s="233">
        <f>DI253</f>
        <v>0</v>
      </c>
      <c r="DJ459" s="233">
        <f>DJ253</f>
        <v>0</v>
      </c>
      <c r="DK459" s="1070">
        <f>SUM(DI459:DJ459)</f>
        <v>0</v>
      </c>
      <c r="DL459" s="233">
        <f>DL253</f>
        <v>0</v>
      </c>
      <c r="DM459" s="233">
        <f>DM253</f>
        <v>0</v>
      </c>
      <c r="DN459" s="1070">
        <f>SUM(DL459:DM459)</f>
        <v>0</v>
      </c>
      <c r="DO459" s="233">
        <f>DO253</f>
        <v>0</v>
      </c>
      <c r="DP459" s="233">
        <f>DP253</f>
        <v>0</v>
      </c>
      <c r="DQ459" s="1070">
        <f>SUM(DO459:DP459)</f>
        <v>0</v>
      </c>
      <c r="DR459" s="233">
        <f>DR253</f>
        <v>0</v>
      </c>
      <c r="DS459" s="233">
        <f>DS253</f>
        <v>0</v>
      </c>
      <c r="DT459" s="1070">
        <f>SUM(DR459:DS459)</f>
        <v>0</v>
      </c>
      <c r="DU459" s="233">
        <f>DU253</f>
        <v>0</v>
      </c>
      <c r="DV459" s="233">
        <f>DV253</f>
        <v>0</v>
      </c>
      <c r="DW459" s="1070">
        <f>SUM(DU459:DV459)</f>
        <v>0</v>
      </c>
      <c r="DX459" s="233">
        <f>DX253</f>
        <v>0</v>
      </c>
      <c r="DY459" s="233">
        <f>DY253</f>
        <v>0</v>
      </c>
      <c r="DZ459" s="1070">
        <f>SUM(DX459:DY459)</f>
        <v>0</v>
      </c>
      <c r="EA459" s="233">
        <f>EA253</f>
        <v>0</v>
      </c>
      <c r="EB459" s="233">
        <f>EB253</f>
        <v>0</v>
      </c>
      <c r="EC459" s="1070">
        <f>SUM(EA459:EB459)</f>
        <v>0</v>
      </c>
      <c r="ED459" s="233">
        <f>ED253</f>
        <v>0</v>
      </c>
      <c r="EE459" s="233">
        <f>EE253</f>
        <v>0</v>
      </c>
      <c r="EF459" s="1070">
        <f>SUM(ED459:EE459)</f>
        <v>0</v>
      </c>
      <c r="EG459" s="233">
        <f>EG253</f>
        <v>0</v>
      </c>
      <c r="EH459" s="233">
        <f>EH253</f>
        <v>0</v>
      </c>
      <c r="EI459" s="1070">
        <f>SUM(EG459:EH459)</f>
        <v>0</v>
      </c>
      <c r="EJ459" s="233">
        <f>EJ253</f>
        <v>0</v>
      </c>
      <c r="EK459" s="233">
        <f>EK253</f>
        <v>0</v>
      </c>
      <c r="EL459" s="1070">
        <f>SUM(EJ459:EK459)</f>
        <v>0</v>
      </c>
      <c r="EM459" s="233">
        <f>EM253</f>
        <v>0</v>
      </c>
      <c r="EN459" s="233">
        <f>EN253</f>
        <v>0</v>
      </c>
      <c r="EO459" s="1070">
        <f>SUM(EM459:EN459)</f>
        <v>0</v>
      </c>
      <c r="EP459" s="233">
        <f>EP253</f>
        <v>0</v>
      </c>
      <c r="EQ459" s="233">
        <f>EQ253</f>
        <v>0</v>
      </c>
      <c r="ER459" s="1070">
        <f>SUM(EP459:EQ459)</f>
        <v>0</v>
      </c>
      <c r="ES459" s="233">
        <f>ES253</f>
        <v>0</v>
      </c>
      <c r="ET459" s="233">
        <f>ET253</f>
        <v>0</v>
      </c>
      <c r="EU459" s="1070">
        <f>SUM(ES459:ET459)</f>
        <v>0</v>
      </c>
      <c r="EV459" s="233">
        <f>EV253</f>
        <v>0</v>
      </c>
      <c r="EW459" s="233">
        <f>EW253</f>
        <v>0</v>
      </c>
      <c r="EX459" s="1070">
        <f>SUM(EV459:EW459)</f>
        <v>0</v>
      </c>
      <c r="EY459" s="233">
        <f>EY253</f>
        <v>0</v>
      </c>
      <c r="EZ459" s="233">
        <f>EZ253</f>
        <v>0</v>
      </c>
      <c r="FA459" s="1070">
        <f>SUM(EY459:EZ459)</f>
        <v>0</v>
      </c>
    </row>
    <row r="460" spans="1:157" outlineLevel="1">
      <c r="B460" s="31"/>
      <c r="C460" s="35" t="s">
        <v>488</v>
      </c>
      <c r="D460" s="162" t="s">
        <v>460</v>
      </c>
      <c r="BA460" s="65"/>
      <c r="BB460" s="65"/>
      <c r="BC460" s="65"/>
      <c r="BD460" s="65">
        <f t="shared" ref="BD460:CI460" si="2316">BD459/BD420</f>
        <v>0</v>
      </c>
      <c r="BE460" s="65">
        <f t="shared" si="2316"/>
        <v>0</v>
      </c>
      <c r="BF460" s="65">
        <f t="shared" si="2316"/>
        <v>0</v>
      </c>
      <c r="BG460" s="65">
        <f t="shared" si="2316"/>
        <v>0</v>
      </c>
      <c r="BH460" s="65">
        <f t="shared" si="2316"/>
        <v>0</v>
      </c>
      <c r="BI460" s="65">
        <f t="shared" si="2316"/>
        <v>0</v>
      </c>
      <c r="BJ460" s="65">
        <f t="shared" si="2316"/>
        <v>0</v>
      </c>
      <c r="BK460" s="65">
        <f t="shared" si="2316"/>
        <v>0</v>
      </c>
      <c r="BL460" s="65">
        <f t="shared" si="2316"/>
        <v>0</v>
      </c>
      <c r="BM460" s="65">
        <f t="shared" si="2316"/>
        <v>0.20265</v>
      </c>
      <c r="BN460" s="65">
        <f t="shared" si="2316"/>
        <v>0.16944999999999999</v>
      </c>
      <c r="BO460" s="65">
        <f t="shared" si="2316"/>
        <v>0.18559931391225423</v>
      </c>
      <c r="BP460" s="65">
        <f t="shared" si="2316"/>
        <v>0.20265</v>
      </c>
      <c r="BQ460" s="65">
        <f t="shared" si="2316"/>
        <v>0.16944999999999999</v>
      </c>
      <c r="BR460" s="65">
        <f t="shared" si="2316"/>
        <v>0.18543985732490936</v>
      </c>
      <c r="BS460" s="65">
        <f t="shared" si="2316"/>
        <v>9.9199842946619654E-2</v>
      </c>
      <c r="BT460" s="65">
        <f t="shared" si="2316"/>
        <v>0.11145641624697397</v>
      </c>
      <c r="BU460" s="65">
        <f t="shared" si="2316"/>
        <v>0.1053398536687262</v>
      </c>
      <c r="BV460" s="65">
        <f t="shared" si="2316"/>
        <v>0.10686405111655503</v>
      </c>
      <c r="BW460" s="65">
        <f t="shared" si="2316"/>
        <v>7.1561292986139488E-2</v>
      </c>
      <c r="BX460" s="65">
        <f t="shared" si="2316"/>
        <v>8.9604974417755875E-2</v>
      </c>
      <c r="BY460" s="65">
        <f t="shared" si="2316"/>
        <v>7.5595413486367946E-2</v>
      </c>
      <c r="BZ460" s="65">
        <f t="shared" si="2316"/>
        <v>8.5184999999999997E-2</v>
      </c>
      <c r="CA460" s="65">
        <f t="shared" si="2316"/>
        <v>8.0481049231946419E-2</v>
      </c>
      <c r="CB460" s="65">
        <f t="shared" si="2316"/>
        <v>0</v>
      </c>
      <c r="CC460" s="65">
        <f t="shared" si="2316"/>
        <v>0</v>
      </c>
      <c r="CD460" s="65">
        <f t="shared" si="2316"/>
        <v>0</v>
      </c>
      <c r="CE460" s="65">
        <f t="shared" si="2316"/>
        <v>0</v>
      </c>
      <c r="CF460" s="65">
        <f t="shared" si="2316"/>
        <v>0</v>
      </c>
      <c r="CG460" s="65">
        <f t="shared" si="2316"/>
        <v>0</v>
      </c>
      <c r="CH460" s="65">
        <f t="shared" si="2316"/>
        <v>0</v>
      </c>
      <c r="CI460" s="65">
        <f t="shared" si="2316"/>
        <v>0</v>
      </c>
      <c r="CJ460" s="65">
        <f t="shared" ref="CJ460:DO460" si="2317">CJ459/CJ420</f>
        <v>0</v>
      </c>
      <c r="CK460" s="65">
        <f t="shared" si="2317"/>
        <v>0</v>
      </c>
      <c r="CL460" s="65">
        <f t="shared" si="2317"/>
        <v>0</v>
      </c>
      <c r="CM460" s="65">
        <f t="shared" si="2317"/>
        <v>0</v>
      </c>
      <c r="CN460" s="65">
        <f t="shared" si="2317"/>
        <v>0</v>
      </c>
      <c r="CO460" s="65">
        <f t="shared" si="2317"/>
        <v>0</v>
      </c>
      <c r="CP460" s="65">
        <f t="shared" si="2317"/>
        <v>0</v>
      </c>
      <c r="CQ460" s="65">
        <f t="shared" si="2317"/>
        <v>0</v>
      </c>
      <c r="CR460" s="65">
        <f t="shared" si="2317"/>
        <v>0</v>
      </c>
      <c r="CS460" s="65">
        <f t="shared" si="2317"/>
        <v>0</v>
      </c>
      <c r="CT460" s="65">
        <f t="shared" si="2317"/>
        <v>0</v>
      </c>
      <c r="CU460" s="65">
        <f t="shared" si="2317"/>
        <v>0</v>
      </c>
      <c r="CV460" s="65">
        <f t="shared" si="2317"/>
        <v>0</v>
      </c>
      <c r="CW460" s="65">
        <f t="shared" si="2317"/>
        <v>0</v>
      </c>
      <c r="CX460" s="65">
        <f t="shared" si="2317"/>
        <v>0</v>
      </c>
      <c r="CY460" s="65">
        <f t="shared" si="2317"/>
        <v>0</v>
      </c>
      <c r="CZ460" s="65">
        <f t="shared" si="2317"/>
        <v>0</v>
      </c>
      <c r="DA460" s="65">
        <f t="shared" si="2317"/>
        <v>0</v>
      </c>
      <c r="DB460" s="65">
        <f t="shared" si="2317"/>
        <v>0</v>
      </c>
      <c r="DC460" s="65">
        <f t="shared" si="2317"/>
        <v>0</v>
      </c>
      <c r="DD460" s="65">
        <f t="shared" si="2317"/>
        <v>0</v>
      </c>
      <c r="DE460" s="65">
        <f t="shared" si="2317"/>
        <v>0</v>
      </c>
      <c r="DF460" s="65">
        <f t="shared" si="2317"/>
        <v>0</v>
      </c>
      <c r="DG460" s="65">
        <f t="shared" si="2317"/>
        <v>0</v>
      </c>
      <c r="DH460" s="1066">
        <f t="shared" si="2317"/>
        <v>0</v>
      </c>
      <c r="DI460" s="65">
        <f t="shared" si="2317"/>
        <v>0</v>
      </c>
      <c r="DJ460" s="65">
        <f t="shared" si="2317"/>
        <v>0</v>
      </c>
      <c r="DK460" s="1066">
        <f t="shared" si="2317"/>
        <v>0</v>
      </c>
      <c r="DL460" s="65">
        <f t="shared" si="2317"/>
        <v>0</v>
      </c>
      <c r="DM460" s="65">
        <f t="shared" si="2317"/>
        <v>0</v>
      </c>
      <c r="DN460" s="1066">
        <f t="shared" si="2317"/>
        <v>0</v>
      </c>
      <c r="DO460" s="65">
        <f t="shared" si="2317"/>
        <v>0</v>
      </c>
      <c r="DP460" s="65">
        <f t="shared" ref="DP460:ER460" si="2318">DP459/DP420</f>
        <v>0</v>
      </c>
      <c r="DQ460" s="1066">
        <f t="shared" si="2318"/>
        <v>0</v>
      </c>
      <c r="DR460" s="65">
        <f t="shared" si="2318"/>
        <v>0</v>
      </c>
      <c r="DS460" s="65">
        <f t="shared" si="2318"/>
        <v>0</v>
      </c>
      <c r="DT460" s="1066">
        <f t="shared" si="2318"/>
        <v>0</v>
      </c>
      <c r="DU460" s="65">
        <f t="shared" si="2318"/>
        <v>0</v>
      </c>
      <c r="DV460" s="65">
        <f t="shared" si="2318"/>
        <v>0</v>
      </c>
      <c r="DW460" s="1066">
        <f t="shared" si="2318"/>
        <v>0</v>
      </c>
      <c r="DX460" s="65">
        <f t="shared" si="2318"/>
        <v>0</v>
      </c>
      <c r="DY460" s="65">
        <f t="shared" si="2318"/>
        <v>0</v>
      </c>
      <c r="DZ460" s="1066">
        <f t="shared" si="2318"/>
        <v>0</v>
      </c>
      <c r="EA460" s="65">
        <f t="shared" si="2318"/>
        <v>0</v>
      </c>
      <c r="EB460" s="65">
        <f t="shared" si="2318"/>
        <v>0</v>
      </c>
      <c r="EC460" s="1066">
        <f t="shared" si="2318"/>
        <v>0</v>
      </c>
      <c r="ED460" s="65">
        <f t="shared" si="2318"/>
        <v>0</v>
      </c>
      <c r="EE460" s="65">
        <f t="shared" si="2318"/>
        <v>0</v>
      </c>
      <c r="EF460" s="1066">
        <f t="shared" si="2318"/>
        <v>0</v>
      </c>
      <c r="EG460" s="65">
        <f t="shared" si="2318"/>
        <v>0</v>
      </c>
      <c r="EH460" s="65">
        <f t="shared" si="2318"/>
        <v>0</v>
      </c>
      <c r="EI460" s="1066">
        <f t="shared" si="2318"/>
        <v>0</v>
      </c>
      <c r="EJ460" s="65">
        <f t="shared" si="2318"/>
        <v>0</v>
      </c>
      <c r="EK460" s="65">
        <f t="shared" si="2318"/>
        <v>0</v>
      </c>
      <c r="EL460" s="1066">
        <f t="shared" si="2318"/>
        <v>0</v>
      </c>
      <c r="EM460" s="65">
        <f t="shared" si="2318"/>
        <v>0</v>
      </c>
      <c r="EN460" s="65">
        <f t="shared" si="2318"/>
        <v>0</v>
      </c>
      <c r="EO460" s="1066">
        <f t="shared" si="2318"/>
        <v>0</v>
      </c>
      <c r="EP460" s="65">
        <f t="shared" si="2318"/>
        <v>0</v>
      </c>
      <c r="EQ460" s="65">
        <f t="shared" si="2318"/>
        <v>0</v>
      </c>
      <c r="ER460" s="1066">
        <f t="shared" si="2318"/>
        <v>0</v>
      </c>
      <c r="ES460" s="65">
        <f t="shared" ref="ES460:EX460" si="2319">ES459/ES420</f>
        <v>0</v>
      </c>
      <c r="ET460" s="65">
        <f t="shared" si="2319"/>
        <v>0</v>
      </c>
      <c r="EU460" s="1066">
        <f t="shared" si="2319"/>
        <v>0</v>
      </c>
      <c r="EV460" s="65">
        <f t="shared" si="2319"/>
        <v>0</v>
      </c>
      <c r="EW460" s="65">
        <f t="shared" si="2319"/>
        <v>0</v>
      </c>
      <c r="EX460" s="1066">
        <f t="shared" si="2319"/>
        <v>0</v>
      </c>
      <c r="EY460" s="65">
        <f t="shared" ref="EY460:FA460" si="2320">EY459/EY420</f>
        <v>0</v>
      </c>
      <c r="EZ460" s="65">
        <f t="shared" si="2320"/>
        <v>0</v>
      </c>
      <c r="FA460" s="1066">
        <f t="shared" si="2320"/>
        <v>0</v>
      </c>
    </row>
    <row r="461" spans="1:157" s="233" customFormat="1" outlineLevel="1">
      <c r="A461" s="1147"/>
      <c r="B461" s="246" t="s">
        <v>394</v>
      </c>
      <c r="D461" s="245" t="s">
        <v>604</v>
      </c>
      <c r="BA461" s="233">
        <f>BA342</f>
        <v>0</v>
      </c>
      <c r="BB461" s="233">
        <f>BB342</f>
        <v>0</v>
      </c>
      <c r="BC461" s="233">
        <f>SUM(BA461:BB461)</f>
        <v>0</v>
      </c>
      <c r="BD461" s="233">
        <f>BD342</f>
        <v>0</v>
      </c>
      <c r="BE461" s="233">
        <f>BE342</f>
        <v>0</v>
      </c>
      <c r="BF461" s="233">
        <f>SUM(BD461:BE461)</f>
        <v>0</v>
      </c>
      <c r="BG461" s="233">
        <f>BG342</f>
        <v>0</v>
      </c>
      <c r="BH461" s="233">
        <f>BH342</f>
        <v>0</v>
      </c>
      <c r="BI461" s="233">
        <f>SUM(BG461:BH461)</f>
        <v>0</v>
      </c>
      <c r="BJ461" s="233">
        <f>BJ342</f>
        <v>0</v>
      </c>
      <c r="BK461" s="233">
        <f>BK342</f>
        <v>0</v>
      </c>
      <c r="BL461" s="233">
        <f>SUM(BJ461:BK461)</f>
        <v>0</v>
      </c>
      <c r="BM461" s="233">
        <f>BM342</f>
        <v>8.1978581448723986</v>
      </c>
      <c r="BN461" s="233">
        <f>BN342</f>
        <v>7.0336568644661783</v>
      </c>
      <c r="BO461" s="233">
        <f>SUM(BM461:BN461)</f>
        <v>15.231515009338576</v>
      </c>
      <c r="BP461" s="233">
        <f>BP342</f>
        <v>9.8976749310754855</v>
      </c>
      <c r="BQ461" s="233">
        <f>BQ342</f>
        <v>9.2808560127899931</v>
      </c>
      <c r="BR461" s="233">
        <f>SUM(BP461:BQ461)</f>
        <v>19.178530943865479</v>
      </c>
      <c r="BS461" s="233">
        <f>BS344</f>
        <v>13.637478665351381</v>
      </c>
      <c r="BT461" s="233">
        <f>BT344</f>
        <v>12.185641444697911</v>
      </c>
      <c r="BU461" s="233">
        <f>SUM(BS461:BT461)</f>
        <v>25.823120110049292</v>
      </c>
      <c r="BV461" s="233">
        <f>BV344</f>
        <v>17.138948187039013</v>
      </c>
      <c r="BW461" s="233">
        <f>BW344</f>
        <v>18.302275603680478</v>
      </c>
      <c r="BX461" s="233">
        <f>SUM(BV461:BW461)</f>
        <v>35.441223790719491</v>
      </c>
      <c r="BY461" s="233">
        <f>BY344</f>
        <v>20.045302212293727</v>
      </c>
      <c r="BZ461" s="233">
        <f>BZ344</f>
        <v>23.291992588483517</v>
      </c>
      <c r="CA461" s="233">
        <f>SUM(BY461:BZ461)</f>
        <v>43.337294800777244</v>
      </c>
      <c r="CB461" s="233">
        <f>CB344</f>
        <v>0</v>
      </c>
      <c r="CC461" s="233">
        <f>CC344</f>
        <v>3.7406297888608169</v>
      </c>
      <c r="CD461" s="233">
        <f>SUM(CB461:CC461)</f>
        <v>3.7406297888608169</v>
      </c>
      <c r="CE461" s="233">
        <f>CE344</f>
        <v>5.4362708920063785</v>
      </c>
      <c r="CF461" s="233">
        <f>CF344</f>
        <v>6.2474113042574206</v>
      </c>
      <c r="CG461" s="233">
        <f>SUM(CE461:CF461)</f>
        <v>11.683682196263799</v>
      </c>
      <c r="CH461" s="233">
        <f>CH344</f>
        <v>5.6772729068832968</v>
      </c>
      <c r="CI461" s="233">
        <f>CI344</f>
        <v>5.6622626319755032</v>
      </c>
      <c r="CJ461" s="233">
        <f>SUM(CH461:CI461)</f>
        <v>11.339535538858801</v>
      </c>
      <c r="CK461" s="233">
        <f>CK344</f>
        <v>5.5816673150806908</v>
      </c>
      <c r="CL461" s="233">
        <f>CL344</f>
        <v>5.6914178599191594</v>
      </c>
      <c r="CM461" s="233">
        <f>SUM(CK461:CL461)</f>
        <v>11.273085174999849</v>
      </c>
      <c r="CN461" s="233">
        <f>CN344</f>
        <v>6.7372941570000009</v>
      </c>
      <c r="CO461" s="233">
        <f>CO344</f>
        <v>7.5405048845195388</v>
      </c>
      <c r="CP461" s="233">
        <f>SUM(CN461:CO461)</f>
        <v>14.27779904151954</v>
      </c>
      <c r="CQ461" s="233">
        <f>CQ344</f>
        <v>7.2332697690000005</v>
      </c>
      <c r="CR461" s="233">
        <f>CR344</f>
        <v>7.8081904229999948</v>
      </c>
      <c r="CS461" s="233">
        <f>SUM(CQ461:CR461)</f>
        <v>15.041460191999995</v>
      </c>
      <c r="CT461" s="233">
        <f>CT344</f>
        <v>8.3812390200000024</v>
      </c>
      <c r="CU461" s="233">
        <f>CU344</f>
        <v>8.6351088604483426</v>
      </c>
      <c r="CV461" s="233">
        <f>SUM(CT461:CU461)</f>
        <v>17.016347880448343</v>
      </c>
      <c r="CW461" s="233">
        <f>CW344</f>
        <v>8.2820935327802108</v>
      </c>
      <c r="CX461" s="233">
        <f>CX344</f>
        <v>8.7866884361221356</v>
      </c>
      <c r="CY461" s="233">
        <f>SUM(CW461:CX461)</f>
        <v>17.068781968902346</v>
      </c>
      <c r="CZ461" s="233">
        <f>CZ344</f>
        <v>8.6293071208522427</v>
      </c>
      <c r="DA461" s="233">
        <f>DA344</f>
        <v>10.1001960882038</v>
      </c>
      <c r="DB461" s="233">
        <f>SUM(CZ461:DA461)</f>
        <v>18.729503209056041</v>
      </c>
      <c r="DC461" s="233">
        <f>DC344</f>
        <v>9.8577682347401137</v>
      </c>
      <c r="DD461" s="233">
        <f>DD344</f>
        <v>10.774503347247123</v>
      </c>
      <c r="DE461" s="233">
        <f>SUM(DC461:DD461)</f>
        <v>20.632271581987236</v>
      </c>
      <c r="DF461" s="233">
        <f>DF344</f>
        <v>10.408918741559807</v>
      </c>
      <c r="DG461" s="233">
        <f>DG344</f>
        <v>17.680772020681701</v>
      </c>
      <c r="DH461" s="1070">
        <f>SUM(DF461:DG461)</f>
        <v>28.08969076224151</v>
      </c>
      <c r="DI461" s="233">
        <f>DI344</f>
        <v>14.255999999999998</v>
      </c>
      <c r="DJ461" s="233">
        <f>DJ344</f>
        <v>16.806000000000001</v>
      </c>
      <c r="DK461" s="1070">
        <f>SUM(DI461:DJ461)</f>
        <v>31.061999999999998</v>
      </c>
      <c r="DL461" s="233">
        <f>DL344</f>
        <v>17.207999999999998</v>
      </c>
      <c r="DM461" s="233">
        <f>DM344</f>
        <v>17.501999999999999</v>
      </c>
      <c r="DN461" s="1070">
        <f>SUM(DL461:DM461)</f>
        <v>34.709999999999994</v>
      </c>
      <c r="DO461" s="233">
        <f>DO344</f>
        <v>17.201999999999998</v>
      </c>
      <c r="DP461" s="233">
        <f>DP344</f>
        <v>21.161999999999999</v>
      </c>
      <c r="DQ461" s="1070">
        <f>SUM(DO461:DP461)</f>
        <v>38.363999999999997</v>
      </c>
      <c r="DR461" s="233">
        <f>DR344</f>
        <v>21.15</v>
      </c>
      <c r="DS461" s="233">
        <f>DS344</f>
        <v>23.586000000000002</v>
      </c>
      <c r="DT461" s="1070">
        <f>SUM(DR461:DS461)</f>
        <v>44.736000000000004</v>
      </c>
      <c r="DU461" s="233">
        <f>DU344</f>
        <v>21.611999999999998</v>
      </c>
      <c r="DV461" s="233">
        <f>DV344</f>
        <v>25.770000000000003</v>
      </c>
      <c r="DW461" s="1070">
        <f>SUM(DU461:DV461)</f>
        <v>47.382000000000005</v>
      </c>
      <c r="DX461" s="233">
        <f>DX344</f>
        <v>22.302</v>
      </c>
      <c r="DY461" s="233">
        <f>DY344</f>
        <v>29.987562117621252</v>
      </c>
      <c r="DZ461" s="1070">
        <f>SUM(DX461:DY461)</f>
        <v>52.289562117621252</v>
      </c>
      <c r="EA461" s="233">
        <f>EA344</f>
        <v>26.206069824735149</v>
      </c>
      <c r="EB461" s="233">
        <f>EB344</f>
        <v>32.060064464308454</v>
      </c>
      <c r="EC461" s="1070">
        <f>SUM(EA461:EB461)</f>
        <v>58.266134289043606</v>
      </c>
      <c r="ED461" s="233">
        <f>ED344</f>
        <v>28.510038583740862</v>
      </c>
      <c r="EE461" s="233">
        <f>EE344</f>
        <v>34.878932161177651</v>
      </c>
      <c r="EF461" s="1070">
        <f>SUM(ED461:EE461)</f>
        <v>63.38897074491851</v>
      </c>
      <c r="EG461" s="233">
        <f>EG344</f>
        <v>31.07594205627754</v>
      </c>
      <c r="EH461" s="233">
        <f>EH344</f>
        <v>38.018036055683645</v>
      </c>
      <c r="EI461" s="1070">
        <f>SUM(EG461:EH461)</f>
        <v>69.093978111961178</v>
      </c>
      <c r="EJ461" s="233">
        <f>EJ344</f>
        <v>33.872776841342521</v>
      </c>
      <c r="EK461" s="233">
        <f>EK344</f>
        <v>41.439659300695176</v>
      </c>
      <c r="EL461" s="1070">
        <f>SUM(EJ461:EK461)</f>
        <v>75.312436142037697</v>
      </c>
      <c r="EM461" s="233">
        <f>EM344</f>
        <v>36.921326757063348</v>
      </c>
      <c r="EN461" s="233">
        <f>EN344</f>
        <v>45.16922863775774</v>
      </c>
      <c r="EO461" s="1070">
        <f>SUM(EM461:EN461)</f>
        <v>82.090555394821081</v>
      </c>
      <c r="EP461" s="233">
        <f>EP344</f>
        <v>40.244246165199058</v>
      </c>
      <c r="EQ461" s="233">
        <f>EQ344</f>
        <v>49.234459215155944</v>
      </c>
      <c r="ER461" s="1070">
        <f>SUM(EP461:EQ461)</f>
        <v>89.478705380354995</v>
      </c>
      <c r="ES461" s="233">
        <f>ES344</f>
        <v>43.866228320066973</v>
      </c>
      <c r="ET461" s="233">
        <f>ET344</f>
        <v>53.665560544519984</v>
      </c>
      <c r="EU461" s="1070">
        <f>SUM(ES461:ET461)</f>
        <v>97.531788864586957</v>
      </c>
      <c r="EV461" s="233">
        <f>EV344</f>
        <v>47.814188868873011</v>
      </c>
      <c r="EW461" s="233">
        <f>EW344</f>
        <v>58.495460993526777</v>
      </c>
      <c r="EX461" s="1070">
        <f>SUM(EV461:EW461)</f>
        <v>106.30964986239979</v>
      </c>
      <c r="EY461" s="233">
        <f>EY344</f>
        <v>52.117465867071587</v>
      </c>
      <c r="EZ461" s="233">
        <f>EZ344</f>
        <v>63.760052482944204</v>
      </c>
      <c r="FA461" s="1070">
        <f>SUM(EY461:EZ461)</f>
        <v>115.87751835001579</v>
      </c>
    </row>
    <row r="462" spans="1:157" outlineLevel="1">
      <c r="B462" s="31"/>
      <c r="C462" s="35" t="str">
        <f>C460</f>
        <v>% of sales</v>
      </c>
      <c r="D462" s="162" t="s">
        <v>460</v>
      </c>
      <c r="BA462" s="65"/>
      <c r="BB462" s="65"/>
      <c r="BC462" s="65"/>
      <c r="BD462" s="65">
        <f t="shared" ref="BD462:CI462" si="2321">BD461/BD422</f>
        <v>0</v>
      </c>
      <c r="BE462" s="65">
        <f t="shared" si="2321"/>
        <v>0</v>
      </c>
      <c r="BF462" s="65">
        <f t="shared" si="2321"/>
        <v>0</v>
      </c>
      <c r="BG462" s="65">
        <f t="shared" si="2321"/>
        <v>0</v>
      </c>
      <c r="BH462" s="65">
        <f t="shared" si="2321"/>
        <v>0</v>
      </c>
      <c r="BI462" s="65">
        <f t="shared" si="2321"/>
        <v>0</v>
      </c>
      <c r="BJ462" s="65">
        <f t="shared" si="2321"/>
        <v>0</v>
      </c>
      <c r="BK462" s="65">
        <f t="shared" si="2321"/>
        <v>0</v>
      </c>
      <c r="BL462" s="65">
        <f t="shared" si="2321"/>
        <v>0</v>
      </c>
      <c r="BM462" s="65">
        <f t="shared" si="2321"/>
        <v>0.11399062499999998</v>
      </c>
      <c r="BN462" s="65">
        <f t="shared" si="2321"/>
        <v>0.10167</v>
      </c>
      <c r="BO462" s="65">
        <f t="shared" si="2321"/>
        <v>0.10794975287028244</v>
      </c>
      <c r="BP462" s="65">
        <f t="shared" si="2321"/>
        <v>0.12159</v>
      </c>
      <c r="BQ462" s="65">
        <f t="shared" si="2321"/>
        <v>0.10166999999999998</v>
      </c>
      <c r="BR462" s="65">
        <f t="shared" si="2321"/>
        <v>0.11106003309150468</v>
      </c>
      <c r="BS462" s="65">
        <f t="shared" si="2321"/>
        <v>0.13155843244181878</v>
      </c>
      <c r="BT462" s="65">
        <f t="shared" si="2321"/>
        <v>0.11145641624697399</v>
      </c>
      <c r="BU462" s="65">
        <f t="shared" si="2321"/>
        <v>0.1212398592907212</v>
      </c>
      <c r="BV462" s="65">
        <f t="shared" si="2321"/>
        <v>0.14009275941669949</v>
      </c>
      <c r="BW462" s="65">
        <f t="shared" si="2321"/>
        <v>0.1357091262581599</v>
      </c>
      <c r="BX462" s="65">
        <f t="shared" si="2321"/>
        <v>0.13779421700564337</v>
      </c>
      <c r="BY462" s="65">
        <f t="shared" si="2321"/>
        <v>0.13098508323124594</v>
      </c>
      <c r="BZ462" s="65">
        <f t="shared" si="2321"/>
        <v>0.14042819087710065</v>
      </c>
      <c r="CA462" s="65">
        <f t="shared" si="2321"/>
        <v>0.13589658174945179</v>
      </c>
      <c r="CB462" s="65">
        <f t="shared" si="2321"/>
        <v>0</v>
      </c>
      <c r="CC462" s="65">
        <f t="shared" si="2321"/>
        <v>2.4969999999999999E-2</v>
      </c>
      <c r="CD462" s="65">
        <f t="shared" si="2321"/>
        <v>1.2834276282612675E-2</v>
      </c>
      <c r="CE462" s="65">
        <f t="shared" si="2321"/>
        <v>3.9830999999999998E-2</v>
      </c>
      <c r="CF462" s="65">
        <f t="shared" si="2321"/>
        <v>3.9830999999999998E-2</v>
      </c>
      <c r="CG462" s="65">
        <f t="shared" si="2321"/>
        <v>3.9830999999999998E-2</v>
      </c>
      <c r="CH462" s="65">
        <f t="shared" si="2321"/>
        <v>3.9830999999999998E-2</v>
      </c>
      <c r="CI462" s="65">
        <f t="shared" si="2321"/>
        <v>3.9830999999999998E-2</v>
      </c>
      <c r="CJ462" s="65">
        <f t="shared" ref="CJ462:DO462" si="2322">CJ461/CJ422</f>
        <v>3.9831000000000005E-2</v>
      </c>
      <c r="CK462" s="65">
        <f t="shared" si="2322"/>
        <v>3.9830999999999998E-2</v>
      </c>
      <c r="CL462" s="65">
        <f t="shared" si="2322"/>
        <v>3.9830999999999998E-2</v>
      </c>
      <c r="CM462" s="65">
        <f t="shared" si="2322"/>
        <v>3.9830999999999998E-2</v>
      </c>
      <c r="CN462" s="65">
        <f t="shared" si="2322"/>
        <v>3.9830999999999998E-2</v>
      </c>
      <c r="CO462" s="65">
        <f t="shared" si="2322"/>
        <v>3.9830999999999998E-2</v>
      </c>
      <c r="CP462" s="65">
        <f t="shared" si="2322"/>
        <v>3.9831000000000005E-2</v>
      </c>
      <c r="CQ462" s="65">
        <f t="shared" si="2322"/>
        <v>3.9830999999999998E-2</v>
      </c>
      <c r="CR462" s="65">
        <f t="shared" si="2322"/>
        <v>3.9830999999999998E-2</v>
      </c>
      <c r="CS462" s="65">
        <f t="shared" si="2322"/>
        <v>3.9830999999999998E-2</v>
      </c>
      <c r="CT462" s="65">
        <f t="shared" si="2322"/>
        <v>3.9830999999999998E-2</v>
      </c>
      <c r="CU462" s="65">
        <f t="shared" si="2322"/>
        <v>3.9830999999999998E-2</v>
      </c>
      <c r="CV462" s="65">
        <f t="shared" si="2322"/>
        <v>3.9830999999999998E-2</v>
      </c>
      <c r="CW462" s="65">
        <f t="shared" si="2322"/>
        <v>3.9830999999999998E-2</v>
      </c>
      <c r="CX462" s="65">
        <f t="shared" si="2322"/>
        <v>3.9830999999999998E-2</v>
      </c>
      <c r="CY462" s="65">
        <f t="shared" si="2322"/>
        <v>3.9830999999999998E-2</v>
      </c>
      <c r="CZ462" s="65">
        <f t="shared" si="2322"/>
        <v>3.9830999999999998E-2</v>
      </c>
      <c r="DA462" s="65">
        <f t="shared" si="2322"/>
        <v>3.9830999999999998E-2</v>
      </c>
      <c r="DB462" s="65">
        <f t="shared" si="2322"/>
        <v>3.9830999999999998E-2</v>
      </c>
      <c r="DC462" s="65">
        <f t="shared" si="2322"/>
        <v>3.9830999999999991E-2</v>
      </c>
      <c r="DD462" s="65">
        <f t="shared" si="2322"/>
        <v>3.9830999999999998E-2</v>
      </c>
      <c r="DE462" s="65">
        <f t="shared" si="2322"/>
        <v>3.9830999999999998E-2</v>
      </c>
      <c r="DF462" s="65">
        <f t="shared" si="2322"/>
        <v>3.9830999999999998E-2</v>
      </c>
      <c r="DG462" s="65">
        <f t="shared" si="2322"/>
        <v>0.08</v>
      </c>
      <c r="DH462" s="1066">
        <f t="shared" si="2322"/>
        <v>5.8236682520882425E-2</v>
      </c>
      <c r="DI462" s="65">
        <f t="shared" si="2322"/>
        <v>0.06</v>
      </c>
      <c r="DJ462" s="65">
        <f t="shared" si="2322"/>
        <v>0.06</v>
      </c>
      <c r="DK462" s="1066">
        <f t="shared" si="2322"/>
        <v>5.9999999999999991E-2</v>
      </c>
      <c r="DL462" s="65">
        <f t="shared" si="2322"/>
        <v>5.9999999999999991E-2</v>
      </c>
      <c r="DM462" s="65">
        <f t="shared" si="2322"/>
        <v>0.06</v>
      </c>
      <c r="DN462" s="1066">
        <f t="shared" si="2322"/>
        <v>5.9999999999999991E-2</v>
      </c>
      <c r="DO462" s="65">
        <f t="shared" si="2322"/>
        <v>0.06</v>
      </c>
      <c r="DP462" s="65">
        <f t="shared" ref="DP462:ER462" si="2323">DP461/DP422</f>
        <v>0.06</v>
      </c>
      <c r="DQ462" s="1066">
        <f t="shared" si="2323"/>
        <v>0.06</v>
      </c>
      <c r="DR462" s="65">
        <f t="shared" si="2323"/>
        <v>0.06</v>
      </c>
      <c r="DS462" s="65">
        <f t="shared" si="2323"/>
        <v>6.0000000000000005E-2</v>
      </c>
      <c r="DT462" s="1066">
        <f t="shared" si="2323"/>
        <v>6.0000000000000005E-2</v>
      </c>
      <c r="DU462" s="65">
        <f t="shared" si="2323"/>
        <v>0.06</v>
      </c>
      <c r="DV462" s="65">
        <f t="shared" si="2323"/>
        <v>0.06</v>
      </c>
      <c r="DW462" s="1066">
        <f t="shared" si="2323"/>
        <v>6.0000000000000005E-2</v>
      </c>
      <c r="DX462" s="65">
        <f t="shared" si="2323"/>
        <v>0.06</v>
      </c>
      <c r="DY462" s="65">
        <f t="shared" si="2323"/>
        <v>0.06</v>
      </c>
      <c r="DZ462" s="1066">
        <f t="shared" si="2323"/>
        <v>0.06</v>
      </c>
      <c r="EA462" s="65">
        <f t="shared" si="2323"/>
        <v>0.06</v>
      </c>
      <c r="EB462" s="65">
        <f t="shared" si="2323"/>
        <v>5.9999999999999991E-2</v>
      </c>
      <c r="EC462" s="1066">
        <f t="shared" si="2323"/>
        <v>5.9999999999999991E-2</v>
      </c>
      <c r="ED462" s="65">
        <f t="shared" si="2323"/>
        <v>0.06</v>
      </c>
      <c r="EE462" s="65">
        <f t="shared" si="2323"/>
        <v>0.06</v>
      </c>
      <c r="EF462" s="1066">
        <f t="shared" si="2323"/>
        <v>0.06</v>
      </c>
      <c r="EG462" s="65">
        <f t="shared" si="2323"/>
        <v>0.06</v>
      </c>
      <c r="EH462" s="65">
        <f t="shared" si="2323"/>
        <v>0.06</v>
      </c>
      <c r="EI462" s="1066">
        <f t="shared" si="2323"/>
        <v>5.9999999999999991E-2</v>
      </c>
      <c r="EJ462" s="65">
        <f t="shared" si="2323"/>
        <v>5.9999999999999991E-2</v>
      </c>
      <c r="EK462" s="65">
        <f t="shared" si="2323"/>
        <v>0.06</v>
      </c>
      <c r="EL462" s="1066">
        <f t="shared" si="2323"/>
        <v>0.06</v>
      </c>
      <c r="EM462" s="65">
        <f t="shared" si="2323"/>
        <v>0.06</v>
      </c>
      <c r="EN462" s="65">
        <f t="shared" si="2323"/>
        <v>0.06</v>
      </c>
      <c r="EO462" s="1066">
        <f t="shared" si="2323"/>
        <v>0.06</v>
      </c>
      <c r="EP462" s="65">
        <f t="shared" si="2323"/>
        <v>0.06</v>
      </c>
      <c r="EQ462" s="65">
        <f t="shared" si="2323"/>
        <v>0.06</v>
      </c>
      <c r="ER462" s="1066">
        <f t="shared" si="2323"/>
        <v>5.9999999999999991E-2</v>
      </c>
      <c r="ES462" s="65">
        <f t="shared" ref="ES462:EX462" si="2324">ES461/ES422</f>
        <v>0.06</v>
      </c>
      <c r="ET462" s="65">
        <f t="shared" si="2324"/>
        <v>0.06</v>
      </c>
      <c r="EU462" s="1066">
        <f t="shared" si="2324"/>
        <v>5.9999999999999991E-2</v>
      </c>
      <c r="EV462" s="65">
        <f t="shared" si="2324"/>
        <v>6.0000000000000005E-2</v>
      </c>
      <c r="EW462" s="65">
        <f t="shared" si="2324"/>
        <v>0.06</v>
      </c>
      <c r="EX462" s="1066">
        <f t="shared" si="2324"/>
        <v>6.0000000000000005E-2</v>
      </c>
      <c r="EY462" s="65">
        <f t="shared" ref="EY462:FA462" si="2325">EY461/EY422</f>
        <v>0.06</v>
      </c>
      <c r="EZ462" s="65">
        <f t="shared" si="2325"/>
        <v>0.06</v>
      </c>
      <c r="FA462" s="1066">
        <f t="shared" si="2325"/>
        <v>0.06</v>
      </c>
    </row>
    <row r="463" spans="1:157" s="233" customFormat="1" outlineLevel="1">
      <c r="A463" s="1147"/>
      <c r="B463" s="246" t="s">
        <v>384</v>
      </c>
      <c r="D463" s="245" t="s">
        <v>604</v>
      </c>
      <c r="BA463" s="233">
        <f>BA413</f>
        <v>0</v>
      </c>
      <c r="BB463" s="233">
        <f>BB413</f>
        <v>0</v>
      </c>
      <c r="BC463" s="233">
        <f>SUM(BA463:BB463)</f>
        <v>0</v>
      </c>
      <c r="BD463" s="233">
        <f>BD413</f>
        <v>0</v>
      </c>
      <c r="BE463" s="233">
        <f>BE413</f>
        <v>0</v>
      </c>
      <c r="BF463" s="233">
        <f>SUM(BD463:BE463)</f>
        <v>0</v>
      </c>
      <c r="BG463" s="233">
        <f>BG413</f>
        <v>0</v>
      </c>
      <c r="BH463" s="233">
        <f>BH413</f>
        <v>0</v>
      </c>
      <c r="BI463" s="233">
        <f>SUM(BG463:BH463)</f>
        <v>0</v>
      </c>
      <c r="BJ463" s="233">
        <f>BJ413</f>
        <v>0</v>
      </c>
      <c r="BK463" s="233">
        <f>BK413</f>
        <v>0</v>
      </c>
      <c r="BL463" s="233">
        <f>SUM(BJ463:BK463)</f>
        <v>0</v>
      </c>
      <c r="BM463" s="233">
        <f>BM413</f>
        <v>5.6503937656283005</v>
      </c>
      <c r="BN463" s="233">
        <f>BN413</f>
        <v>5.097967132565814</v>
      </c>
      <c r="BO463" s="233">
        <f>SUM(BM463:BN463)</f>
        <v>10.748360898194115</v>
      </c>
      <c r="BP463" s="233">
        <f>BP413</f>
        <v>6.5467318841810114</v>
      </c>
      <c r="BQ463" s="233">
        <f>BQ413</f>
        <v>4.6127116364324037</v>
      </c>
      <c r="BR463" s="233">
        <f>SUM(BP463:BQ463)</f>
        <v>11.159443520613415</v>
      </c>
      <c r="BS463" s="233">
        <f>BS413</f>
        <v>5.555317926720682</v>
      </c>
      <c r="BT463" s="233">
        <f>BT413</f>
        <v>4.2240867193440668</v>
      </c>
      <c r="BU463" s="233">
        <f>SUM(BS463:BT463)</f>
        <v>9.7794046460647479</v>
      </c>
      <c r="BV463" s="233">
        <f>BV413</f>
        <v>6.0154429965936576</v>
      </c>
      <c r="BW463" s="233">
        <f>BW413</f>
        <v>6.533580174572851</v>
      </c>
      <c r="BX463" s="233">
        <f>SUM(BV463:BW463)</f>
        <v>12.549023171166509</v>
      </c>
      <c r="BY463" s="233">
        <f>BY413</f>
        <v>5.9382087482885346</v>
      </c>
      <c r="BZ463" s="233">
        <f>BZ413</f>
        <v>6.6259637583451161</v>
      </c>
      <c r="CA463" s="233">
        <f>SUM(BY463:BZ463)</f>
        <v>12.56417250663365</v>
      </c>
      <c r="CB463" s="233">
        <f>CB413</f>
        <v>6.2041636421329178</v>
      </c>
      <c r="CC463" s="233">
        <f>CC413</f>
        <v>4.9350520511182818</v>
      </c>
      <c r="CD463" s="233">
        <f>SUM(CB463:CC463)</f>
        <v>11.139215693251199</v>
      </c>
      <c r="CE463" s="233">
        <f>CE413</f>
        <v>8.0468776059891116</v>
      </c>
      <c r="CF463" s="233">
        <f>CF413</f>
        <v>9.4053723892943957</v>
      </c>
      <c r="CG463" s="233">
        <f>SUM(CE463:CF463)</f>
        <v>17.452249995283509</v>
      </c>
      <c r="CH463" s="233">
        <f>CH413</f>
        <v>8.5404668212298027</v>
      </c>
      <c r="CI463" s="233">
        <f>CI413</f>
        <v>9.0513965550059048</v>
      </c>
      <c r="CJ463" s="233">
        <f>SUM(CH463:CI463)</f>
        <v>17.591863376235708</v>
      </c>
      <c r="CK463" s="233">
        <f>CK413</f>
        <v>10.095624698149791</v>
      </c>
      <c r="CL463" s="233">
        <f>CL413</f>
        <v>9.0939959750631871</v>
      </c>
      <c r="CM463" s="233">
        <f>SUM(CK463:CL463)</f>
        <v>19.189620673212978</v>
      </c>
      <c r="CN463" s="233">
        <f>CN413</f>
        <v>16.145100888686706</v>
      </c>
      <c r="CO463" s="233">
        <f>CO413</f>
        <v>23.370348451703048</v>
      </c>
      <c r="CP463" s="233">
        <f>SUM(CN463:CO463)</f>
        <v>39.51544934038975</v>
      </c>
      <c r="CQ463" s="233">
        <f>CQ413</f>
        <v>17.745211654998393</v>
      </c>
      <c r="CR463" s="233">
        <f>CR413</f>
        <v>27.268019450671002</v>
      </c>
      <c r="CS463" s="233">
        <f>SUM(CQ463:CR463)</f>
        <v>45.013231105669391</v>
      </c>
      <c r="CT463" s="233">
        <f>CT413</f>
        <v>21.443800000000003</v>
      </c>
      <c r="CU463" s="233">
        <f>CU413</f>
        <v>20.61656404739896</v>
      </c>
      <c r="CV463" s="233">
        <f>SUM(CT463:CU463)</f>
        <v>42.060364047398963</v>
      </c>
      <c r="CW463" s="233">
        <f>CW413</f>
        <v>22.261600000000001</v>
      </c>
      <c r="CX463" s="233">
        <f>CX413</f>
        <v>20.980184714877055</v>
      </c>
      <c r="CY463" s="233">
        <f>SUM(CW463:CX463)</f>
        <v>43.241784714877056</v>
      </c>
      <c r="CZ463" s="233">
        <f>CZ413</f>
        <v>18.876540083295048</v>
      </c>
      <c r="DA463" s="233">
        <f>DA413</f>
        <v>24.492938219913622</v>
      </c>
      <c r="DB463" s="233">
        <f>SUM(CZ463:DA463)</f>
        <v>43.369478303208666</v>
      </c>
      <c r="DC463" s="233">
        <f>DC413</f>
        <v>22.561213897416525</v>
      </c>
      <c r="DD463" s="233">
        <f>DD413</f>
        <v>25.051182513278608</v>
      </c>
      <c r="DE463" s="233">
        <f>SUM(DC463:DD463)</f>
        <v>47.612396410695133</v>
      </c>
      <c r="DF463" s="233">
        <f>DF413</f>
        <v>26.632091731963261</v>
      </c>
      <c r="DG463" s="233">
        <f>DG413</f>
        <v>17.919582777289385</v>
      </c>
      <c r="DH463" s="1070">
        <f>SUM(DF463:DG463)</f>
        <v>44.551674509252649</v>
      </c>
      <c r="DI463" s="233">
        <f>DI413</f>
        <v>19.425000000000001</v>
      </c>
      <c r="DJ463" s="233">
        <f>DJ413</f>
        <v>18.195</v>
      </c>
      <c r="DK463" s="1070">
        <f>SUM(DI463:DJ463)</f>
        <v>37.620000000000005</v>
      </c>
      <c r="DL463" s="233">
        <f>DL413</f>
        <v>21.014999999999997</v>
      </c>
      <c r="DM463" s="233">
        <f>DM413</f>
        <v>21.419999999999998</v>
      </c>
      <c r="DN463" s="1070">
        <f>SUM(DL463:DM463)</f>
        <v>42.434999999999995</v>
      </c>
      <c r="DO463" s="233">
        <f>DO413</f>
        <v>24.164999999999999</v>
      </c>
      <c r="DP463" s="233">
        <f>DP413</f>
        <v>26.535</v>
      </c>
      <c r="DQ463" s="1070">
        <f>SUM(DO463:DP463)</f>
        <v>50.7</v>
      </c>
      <c r="DR463" s="233">
        <f>DR413</f>
        <v>26.324999999999999</v>
      </c>
      <c r="DS463" s="233">
        <f>DS413</f>
        <v>29.459999999999994</v>
      </c>
      <c r="DT463" s="1070">
        <f>SUM(DR463:DS463)</f>
        <v>55.784999999999997</v>
      </c>
      <c r="DU463" s="233">
        <f>DU413</f>
        <v>34.35</v>
      </c>
      <c r="DV463" s="233">
        <f>DV413</f>
        <v>29.97</v>
      </c>
      <c r="DW463" s="1070">
        <f>SUM(DU463:DV463)</f>
        <v>64.319999999999993</v>
      </c>
      <c r="DX463" s="233">
        <f>DX413</f>
        <v>31.17</v>
      </c>
      <c r="DY463" s="233">
        <f>DY413</f>
        <v>36.13218732355174</v>
      </c>
      <c r="DZ463" s="1070">
        <f>SUM(DX463:DY463)</f>
        <v>67.302187323551749</v>
      </c>
      <c r="EA463" s="233">
        <f>EA413</f>
        <v>39.16537005102041</v>
      </c>
      <c r="EB463" s="233">
        <f>EB413</f>
        <v>38.628312706627888</v>
      </c>
      <c r="EC463" s="1070">
        <f>SUM(EA463:EB463)</f>
        <v>77.793682757648298</v>
      </c>
      <c r="ED463" s="233">
        <f>ED413</f>
        <v>42.607640133163272</v>
      </c>
      <c r="EE463" s="233">
        <f>EE413</f>
        <v>42.023662089789291</v>
      </c>
      <c r="EF463" s="1070">
        <f>SUM(ED463:EE463)</f>
        <v>84.63130222295257</v>
      </c>
      <c r="EG463" s="233">
        <f>EG413</f>
        <v>46.442327745147963</v>
      </c>
      <c r="EH463" s="233">
        <f>EH413</f>
        <v>45.805791677870324</v>
      </c>
      <c r="EI463" s="1070">
        <f>SUM(EG463:EH463)</f>
        <v>92.248119423018295</v>
      </c>
      <c r="EJ463" s="233">
        <f>EJ413</f>
        <v>50.622137242211281</v>
      </c>
      <c r="EK463" s="233">
        <f>EK413</f>
        <v>49.928312928878654</v>
      </c>
      <c r="EL463" s="1070">
        <f>SUM(EJ463:EK463)</f>
        <v>100.55045017108993</v>
      </c>
      <c r="EM463" s="233">
        <f>EM413</f>
        <v>55.178129594010308</v>
      </c>
      <c r="EN463" s="233">
        <f>EN413</f>
        <v>54.421861092477741</v>
      </c>
      <c r="EO463" s="1070">
        <f>SUM(EM463:EN463)</f>
        <v>109.59999068648804</v>
      </c>
      <c r="EP463" s="233">
        <f>EP413</f>
        <v>60.144161257471239</v>
      </c>
      <c r="EQ463" s="233">
        <f>EQ413</f>
        <v>59.319828590800739</v>
      </c>
      <c r="ER463" s="1070">
        <f>SUM(EP463:EQ463)</f>
        <v>119.46398984827198</v>
      </c>
      <c r="ES463" s="233">
        <f>ES413</f>
        <v>65.557135770643669</v>
      </c>
      <c r="ET463" s="233">
        <f>ET413</f>
        <v>64.658613163972802</v>
      </c>
      <c r="EU463" s="1070">
        <f>SUM(ES463:ET463)</f>
        <v>130.21574893461647</v>
      </c>
      <c r="EV463" s="233">
        <f>EV413</f>
        <v>71.4572779900016</v>
      </c>
      <c r="EW463" s="233">
        <f>EW413</f>
        <v>70.47788834873036</v>
      </c>
      <c r="EX463" s="1070">
        <f>SUM(EV463:EW463)</f>
        <v>141.93516633873196</v>
      </c>
      <c r="EY463" s="233">
        <f>EY413</f>
        <v>77.888433009101746</v>
      </c>
      <c r="EZ463" s="233">
        <f>EZ413</f>
        <v>76.820898300116099</v>
      </c>
      <c r="FA463" s="1070">
        <f>SUM(EY463:EZ463)</f>
        <v>154.70933130921784</v>
      </c>
    </row>
    <row r="464" spans="1:157" outlineLevel="1">
      <c r="B464" s="31"/>
      <c r="C464" s="35" t="str">
        <f>C462</f>
        <v>% of sales</v>
      </c>
      <c r="D464" s="162" t="s">
        <v>460</v>
      </c>
      <c r="BA464" s="65">
        <f t="shared" ref="BA464:CF464" si="2326">BA463/BA424</f>
        <v>0</v>
      </c>
      <c r="BB464" s="65">
        <f t="shared" si="2326"/>
        <v>0</v>
      </c>
      <c r="BC464" s="65">
        <f t="shared" si="2326"/>
        <v>0</v>
      </c>
      <c r="BD464" s="65">
        <f t="shared" si="2326"/>
        <v>0</v>
      </c>
      <c r="BE464" s="65">
        <f t="shared" si="2326"/>
        <v>0</v>
      </c>
      <c r="BF464" s="65">
        <f t="shared" si="2326"/>
        <v>0</v>
      </c>
      <c r="BG464" s="65">
        <f t="shared" si="2326"/>
        <v>0</v>
      </c>
      <c r="BH464" s="65">
        <f t="shared" si="2326"/>
        <v>0</v>
      </c>
      <c r="BI464" s="65">
        <f t="shared" si="2326"/>
        <v>0</v>
      </c>
      <c r="BJ464" s="65">
        <f t="shared" si="2326"/>
        <v>0</v>
      </c>
      <c r="BK464" s="65">
        <f t="shared" si="2326"/>
        <v>0</v>
      </c>
      <c r="BL464" s="65">
        <f t="shared" si="2326"/>
        <v>0</v>
      </c>
      <c r="BM464" s="65">
        <f t="shared" si="2326"/>
        <v>0.20265000000000002</v>
      </c>
      <c r="BN464" s="65">
        <f t="shared" si="2326"/>
        <v>0.16944999999999999</v>
      </c>
      <c r="BO464" s="65">
        <f t="shared" si="2326"/>
        <v>0.18541917956996501</v>
      </c>
      <c r="BP464" s="65">
        <f t="shared" si="2326"/>
        <v>0.20265</v>
      </c>
      <c r="BQ464" s="65">
        <f t="shared" si="2326"/>
        <v>0.16944999999999996</v>
      </c>
      <c r="BR464" s="65">
        <f t="shared" si="2326"/>
        <v>0.18746772716670232</v>
      </c>
      <c r="BS464" s="65">
        <f t="shared" si="2326"/>
        <v>0.13155843244181878</v>
      </c>
      <c r="BT464" s="65">
        <f t="shared" si="2326"/>
        <v>0.11145641624697397</v>
      </c>
      <c r="BU464" s="65">
        <f t="shared" si="2326"/>
        <v>0.12205032880793684</v>
      </c>
      <c r="BV464" s="65">
        <f t="shared" si="2326"/>
        <v>0.14009275941669949</v>
      </c>
      <c r="BW464" s="65">
        <f t="shared" si="2326"/>
        <v>0.1357091262581599</v>
      </c>
      <c r="BX464" s="65">
        <f t="shared" si="2326"/>
        <v>0.13777568998788478</v>
      </c>
      <c r="BY464" s="65">
        <f t="shared" si="2326"/>
        <v>0.13098508323124594</v>
      </c>
      <c r="BZ464" s="65">
        <f t="shared" si="2326"/>
        <v>0.14042819087710065</v>
      </c>
      <c r="CA464" s="65">
        <f t="shared" si="2326"/>
        <v>0.13580099770461906</v>
      </c>
      <c r="CB464" s="65">
        <f t="shared" si="2326"/>
        <v>0.13045414069456812</v>
      </c>
      <c r="CC464" s="65">
        <f t="shared" si="2326"/>
        <v>9.9559999999999996E-2</v>
      </c>
      <c r="CD464" s="65">
        <f t="shared" si="2326"/>
        <v>0.11468733174926435</v>
      </c>
      <c r="CE464" s="65">
        <f t="shared" si="2326"/>
        <v>0.14312</v>
      </c>
      <c r="CF464" s="65">
        <f t="shared" si="2326"/>
        <v>0.14312</v>
      </c>
      <c r="CG464" s="65">
        <f t="shared" ref="CG464:DL464" si="2327">CG463/CG424</f>
        <v>0.14312</v>
      </c>
      <c r="CH464" s="65">
        <f t="shared" si="2327"/>
        <v>0.14312</v>
      </c>
      <c r="CI464" s="65">
        <f t="shared" si="2327"/>
        <v>0.14312</v>
      </c>
      <c r="CJ464" s="65">
        <f t="shared" si="2327"/>
        <v>0.14312</v>
      </c>
      <c r="CK464" s="65">
        <f t="shared" si="2327"/>
        <v>0.13</v>
      </c>
      <c r="CL464" s="65">
        <f t="shared" si="2327"/>
        <v>0.13</v>
      </c>
      <c r="CM464" s="65">
        <f t="shared" si="2327"/>
        <v>0.13</v>
      </c>
      <c r="CN464" s="65">
        <f t="shared" si="2327"/>
        <v>0.27905663870102848</v>
      </c>
      <c r="CO464" s="65">
        <f t="shared" si="2327"/>
        <v>0.27905663870102848</v>
      </c>
      <c r="CP464" s="65">
        <f t="shared" si="2327"/>
        <v>0.27905663870102843</v>
      </c>
      <c r="CQ464" s="65">
        <f t="shared" si="2327"/>
        <v>0.27905663870102848</v>
      </c>
      <c r="CR464" s="65">
        <f t="shared" si="2327"/>
        <v>0.27905663870102848</v>
      </c>
      <c r="CS464" s="65">
        <f t="shared" si="2327"/>
        <v>0.27905663870102843</v>
      </c>
      <c r="CT464" s="65">
        <f t="shared" si="2327"/>
        <v>0.2</v>
      </c>
      <c r="CU464" s="65">
        <f t="shared" si="2327"/>
        <v>0.2</v>
      </c>
      <c r="CV464" s="65">
        <f t="shared" si="2327"/>
        <v>0.20000000000000004</v>
      </c>
      <c r="CW464" s="65">
        <f t="shared" si="2327"/>
        <v>0.2</v>
      </c>
      <c r="CX464" s="65">
        <f t="shared" si="2327"/>
        <v>0.2</v>
      </c>
      <c r="CY464" s="65">
        <f t="shared" si="2327"/>
        <v>0.2</v>
      </c>
      <c r="CZ464" s="65">
        <f t="shared" si="2327"/>
        <v>0.2</v>
      </c>
      <c r="DA464" s="65">
        <f t="shared" si="2327"/>
        <v>0.2</v>
      </c>
      <c r="DB464" s="65">
        <f t="shared" si="2327"/>
        <v>0.2</v>
      </c>
      <c r="DC464" s="65">
        <f t="shared" si="2327"/>
        <v>0.2</v>
      </c>
      <c r="DD464" s="65">
        <f t="shared" si="2327"/>
        <v>0.2</v>
      </c>
      <c r="DE464" s="65">
        <f t="shared" si="2327"/>
        <v>0.19999999999999998</v>
      </c>
      <c r="DF464" s="65">
        <f t="shared" si="2327"/>
        <v>0.2</v>
      </c>
      <c r="DG464" s="65">
        <f t="shared" si="2327"/>
        <v>0.2</v>
      </c>
      <c r="DH464" s="1066">
        <f t="shared" si="2327"/>
        <v>0.20000000000000004</v>
      </c>
      <c r="DI464" s="65">
        <f t="shared" si="2327"/>
        <v>0.15</v>
      </c>
      <c r="DJ464" s="65">
        <f t="shared" si="2327"/>
        <v>0.15</v>
      </c>
      <c r="DK464" s="1066">
        <f t="shared" si="2327"/>
        <v>0.15000000000000002</v>
      </c>
      <c r="DL464" s="65">
        <f t="shared" si="2327"/>
        <v>0.15</v>
      </c>
      <c r="DM464" s="65">
        <f t="shared" ref="DM464:ER464" si="2328">DM463/DM424</f>
        <v>0.15</v>
      </c>
      <c r="DN464" s="1066">
        <f t="shared" si="2328"/>
        <v>0.15</v>
      </c>
      <c r="DO464" s="65">
        <f t="shared" si="2328"/>
        <v>0.15</v>
      </c>
      <c r="DP464" s="65">
        <f t="shared" si="2328"/>
        <v>0.15</v>
      </c>
      <c r="DQ464" s="1066">
        <f t="shared" si="2328"/>
        <v>0.15000000000000002</v>
      </c>
      <c r="DR464" s="65">
        <f t="shared" si="2328"/>
        <v>0.15</v>
      </c>
      <c r="DS464" s="65">
        <f t="shared" si="2328"/>
        <v>0.15</v>
      </c>
      <c r="DT464" s="1066">
        <f t="shared" si="2328"/>
        <v>0.15</v>
      </c>
      <c r="DU464" s="65">
        <f t="shared" si="2328"/>
        <v>0.15</v>
      </c>
      <c r="DV464" s="65">
        <f t="shared" si="2328"/>
        <v>0.15</v>
      </c>
      <c r="DW464" s="1066">
        <f t="shared" si="2328"/>
        <v>0.14999999999999997</v>
      </c>
      <c r="DX464" s="65">
        <f t="shared" si="2328"/>
        <v>0.15</v>
      </c>
      <c r="DY464" s="65">
        <f t="shared" si="2328"/>
        <v>0.15</v>
      </c>
      <c r="DZ464" s="1066">
        <f t="shared" si="2328"/>
        <v>0.15000000000000002</v>
      </c>
      <c r="EA464" s="65">
        <f t="shared" si="2328"/>
        <v>0.15</v>
      </c>
      <c r="EB464" s="65">
        <f t="shared" si="2328"/>
        <v>0.15</v>
      </c>
      <c r="EC464" s="1066">
        <f t="shared" si="2328"/>
        <v>0.15</v>
      </c>
      <c r="ED464" s="65">
        <f t="shared" si="2328"/>
        <v>0.15</v>
      </c>
      <c r="EE464" s="65">
        <f t="shared" si="2328"/>
        <v>0.15</v>
      </c>
      <c r="EF464" s="1066">
        <f t="shared" si="2328"/>
        <v>0.15000000000000002</v>
      </c>
      <c r="EG464" s="65">
        <f t="shared" si="2328"/>
        <v>0.15</v>
      </c>
      <c r="EH464" s="65">
        <f t="shared" si="2328"/>
        <v>0.15</v>
      </c>
      <c r="EI464" s="1066">
        <f t="shared" si="2328"/>
        <v>0.15000000000000002</v>
      </c>
      <c r="EJ464" s="65">
        <f t="shared" si="2328"/>
        <v>0.15</v>
      </c>
      <c r="EK464" s="65">
        <f t="shared" si="2328"/>
        <v>0.15</v>
      </c>
      <c r="EL464" s="1066">
        <f t="shared" si="2328"/>
        <v>0.14999999999999997</v>
      </c>
      <c r="EM464" s="65">
        <f t="shared" si="2328"/>
        <v>0.15</v>
      </c>
      <c r="EN464" s="65">
        <f t="shared" si="2328"/>
        <v>0.15</v>
      </c>
      <c r="EO464" s="1066">
        <f t="shared" si="2328"/>
        <v>0.15</v>
      </c>
      <c r="EP464" s="65">
        <f t="shared" si="2328"/>
        <v>0.15</v>
      </c>
      <c r="EQ464" s="65">
        <f t="shared" si="2328"/>
        <v>0.15</v>
      </c>
      <c r="ER464" s="1066">
        <f t="shared" si="2328"/>
        <v>0.15</v>
      </c>
      <c r="ES464" s="65">
        <f t="shared" ref="ES464:EX464" si="2329">ES463/ES424</f>
        <v>0.15</v>
      </c>
      <c r="ET464" s="65">
        <f t="shared" si="2329"/>
        <v>0.14999999999999997</v>
      </c>
      <c r="EU464" s="1066">
        <f t="shared" si="2329"/>
        <v>0.14999999999999997</v>
      </c>
      <c r="EV464" s="65">
        <f t="shared" si="2329"/>
        <v>0.15</v>
      </c>
      <c r="EW464" s="65">
        <f t="shared" si="2329"/>
        <v>0.15</v>
      </c>
      <c r="EX464" s="1066">
        <f t="shared" si="2329"/>
        <v>0.15</v>
      </c>
      <c r="EY464" s="65">
        <f t="shared" ref="EY464:FA464" si="2330">EY463/EY424</f>
        <v>0.15</v>
      </c>
      <c r="EZ464" s="65">
        <f t="shared" si="2330"/>
        <v>0.15</v>
      </c>
      <c r="FA464" s="1066">
        <f t="shared" si="2330"/>
        <v>0.15</v>
      </c>
    </row>
    <row r="465" spans="1:157" s="233" customFormat="1" outlineLevel="1">
      <c r="A465" s="1433" t="s">
        <v>705</v>
      </c>
      <c r="D465" s="245" t="s">
        <v>604</v>
      </c>
      <c r="BA465" s="233">
        <f>BA459+BA461+BA463</f>
        <v>0</v>
      </c>
      <c r="BB465" s="233">
        <f>BB459+BB461+BB463</f>
        <v>0</v>
      </c>
      <c r="BC465" s="233">
        <f>SUM(BA465:BB465)</f>
        <v>0</v>
      </c>
      <c r="BD465" s="233">
        <f>BD459+BD461+BD463</f>
        <v>0</v>
      </c>
      <c r="BE465" s="233">
        <f>BE459+BE461+BE463</f>
        <v>0</v>
      </c>
      <c r="BF465" s="233">
        <f>SUM(BD465:BE465)</f>
        <v>0</v>
      </c>
      <c r="BG465" s="233">
        <f>BG459+BG461+BG463</f>
        <v>0</v>
      </c>
      <c r="BH465" s="233">
        <f>BH459+BH461+BH463</f>
        <v>0</v>
      </c>
      <c r="BI465" s="233">
        <f>SUM(BG465:BH465)</f>
        <v>0</v>
      </c>
      <c r="BJ465" s="233">
        <f>BJ459+BJ461+BJ463</f>
        <v>0</v>
      </c>
      <c r="BK465" s="233">
        <f>BK459+BK461+BK463</f>
        <v>0</v>
      </c>
      <c r="BL465" s="233">
        <f>SUM(BJ465:BK465)</f>
        <v>0</v>
      </c>
      <c r="BM465" s="233">
        <f>BM459+BM461+BM463</f>
        <v>28.579649214904208</v>
      </c>
      <c r="BN465" s="233">
        <f>BN459+BN461+BN463</f>
        <v>25.137113115154417</v>
      </c>
      <c r="BO465" s="233">
        <f>SUM(BM465:BN465)</f>
        <v>53.716762330058629</v>
      </c>
      <c r="BP465" s="233">
        <f>BP459+BP461+BP463</f>
        <v>33.85095102785224</v>
      </c>
      <c r="BQ465" s="233">
        <f>BQ459+BQ461+BQ463</f>
        <v>29.559181050219991</v>
      </c>
      <c r="BR465" s="233">
        <f>SUM(BP465:BQ465)</f>
        <v>63.41013207807223</v>
      </c>
      <c r="BS465" s="233">
        <f>BS459+BS461+BS463</f>
        <v>30.353872712404616</v>
      </c>
      <c r="BT465" s="233">
        <f>BT459+BT461+BT463</f>
        <v>28.997876921014608</v>
      </c>
      <c r="BU465" s="233">
        <f>SUM(BS465:BT465)</f>
        <v>59.351749633419224</v>
      </c>
      <c r="BV465" s="233">
        <f>BV459+BV461+BV463</f>
        <v>34.506828139912137</v>
      </c>
      <c r="BW465" s="233">
        <f>BW459+BW461+BW463</f>
        <v>32.107423476195436</v>
      </c>
      <c r="BX465" s="233">
        <f>SUM(BV465:BW465)</f>
        <v>66.614251616107566</v>
      </c>
      <c r="BY465" s="233">
        <f>BY459+BY461+BY463</f>
        <v>36.028652561041284</v>
      </c>
      <c r="BZ465" s="233">
        <f>BZ459+BZ461+BZ463</f>
        <v>41.674564969471227</v>
      </c>
      <c r="CA465" s="233">
        <f>SUM(BY465:BZ465)</f>
        <v>77.703217530512518</v>
      </c>
      <c r="CB465" s="233">
        <f>CB459+CB461+CB463</f>
        <v>6.2041636421329178</v>
      </c>
      <c r="CC465" s="233">
        <f>CC459+CC461+CC463</f>
        <v>8.6756818399790987</v>
      </c>
      <c r="CD465" s="233">
        <f>SUM(CB465:CC465)</f>
        <v>14.879845482112017</v>
      </c>
      <c r="CE465" s="233">
        <f>CE459+CE461+CE463</f>
        <v>13.48314849799549</v>
      </c>
      <c r="CF465" s="233">
        <f>CF459+CF461+CF463</f>
        <v>15.652783693551816</v>
      </c>
      <c r="CG465" s="233">
        <f>SUM(CE465:CF465)</f>
        <v>29.135932191547305</v>
      </c>
      <c r="CH465" s="233">
        <f>CH459+CH461+CH463</f>
        <v>14.217739728113099</v>
      </c>
      <c r="CI465" s="233">
        <f>CI459+CI461+CI463</f>
        <v>14.713659186981408</v>
      </c>
      <c r="CJ465" s="233">
        <f>SUM(CH465:CI465)</f>
        <v>28.931398915094505</v>
      </c>
      <c r="CK465" s="233">
        <f>CK459+CK461+CK463</f>
        <v>15.677292013230481</v>
      </c>
      <c r="CL465" s="233">
        <f>CL459+CL461+CL463</f>
        <v>14.785413834982347</v>
      </c>
      <c r="CM465" s="233">
        <f>SUM(CK465:CL465)</f>
        <v>30.462705848212828</v>
      </c>
      <c r="CN465" s="233">
        <f>CN459+CN461+CN463</f>
        <v>22.882395045686707</v>
      </c>
      <c r="CO465" s="233">
        <f>CO459+CO461+CO463</f>
        <v>30.910853336222587</v>
      </c>
      <c r="CP465" s="233">
        <f>SUM(CN465:CO465)</f>
        <v>53.793248381909294</v>
      </c>
      <c r="CQ465" s="233">
        <f>CQ459+CQ461+CQ463</f>
        <v>24.978481423998392</v>
      </c>
      <c r="CR465" s="233">
        <f>CR459+CR461+CR463</f>
        <v>35.076209873670997</v>
      </c>
      <c r="CS465" s="233">
        <f>SUM(CQ465:CR465)</f>
        <v>60.054691297669393</v>
      </c>
      <c r="CT465" s="233">
        <f>CT459+CT461+CT463</f>
        <v>29.825039020000006</v>
      </c>
      <c r="CU465" s="233">
        <f>CU459+CU461+CU463</f>
        <v>29.251672907847301</v>
      </c>
      <c r="CV465" s="233">
        <f>SUM(CT465:CU465)</f>
        <v>59.076711927847306</v>
      </c>
      <c r="CW465" s="233">
        <f>CW459+CW461+CW463</f>
        <v>30.54369353278021</v>
      </c>
      <c r="CX465" s="233">
        <f>CX459+CX461+CX463</f>
        <v>29.766873150999189</v>
      </c>
      <c r="CY465" s="233">
        <f>SUM(CW465:CX465)</f>
        <v>60.310566683779399</v>
      </c>
      <c r="CZ465" s="233">
        <f>CZ459+CZ461+CZ463</f>
        <v>27.50584720414729</v>
      </c>
      <c r="DA465" s="233">
        <f>DA459+DA461+DA463</f>
        <v>34.593134308117421</v>
      </c>
      <c r="DB465" s="233">
        <f>SUM(CZ465:DA465)</f>
        <v>62.098981512264714</v>
      </c>
      <c r="DC465" s="233">
        <f>DC459+DC461+DC463</f>
        <v>32.418982132156643</v>
      </c>
      <c r="DD465" s="233">
        <f>DD459+DD461+DD463</f>
        <v>35.825685860525731</v>
      </c>
      <c r="DE465" s="233">
        <f>SUM(DC465:DD465)</f>
        <v>68.244667992682366</v>
      </c>
      <c r="DF465" s="233">
        <f>DF459+DF461+DF463</f>
        <v>37.041010473523066</v>
      </c>
      <c r="DG465" s="233">
        <f>DG459+DG461+DG463</f>
        <v>35.600354797971086</v>
      </c>
      <c r="DH465" s="1118">
        <f>SUM(DF465:DG465)</f>
        <v>72.641365271494152</v>
      </c>
      <c r="DI465" s="1116">
        <f>DI459+DI461+DI463</f>
        <v>33.680999999999997</v>
      </c>
      <c r="DJ465" s="1116">
        <f>DJ459+DJ461+DJ463</f>
        <v>35.001000000000005</v>
      </c>
      <c r="DK465" s="1118">
        <f>SUM(DI465:DJ465)</f>
        <v>68.682000000000002</v>
      </c>
      <c r="DL465" s="1116">
        <f>DL459+DL461+DL463</f>
        <v>38.222999999999999</v>
      </c>
      <c r="DM465" s="1116">
        <f>DM459+DM461+DM463</f>
        <v>38.921999999999997</v>
      </c>
      <c r="DN465" s="1115">
        <f>SUM(DL465:DM465)</f>
        <v>77.144999999999996</v>
      </c>
      <c r="DO465" s="1116">
        <f>DO459+DO461+DO463</f>
        <v>41.366999999999997</v>
      </c>
      <c r="DP465" s="1116">
        <f>DP459+DP461+DP463</f>
        <v>47.697000000000003</v>
      </c>
      <c r="DQ465" s="1115">
        <f>SUM(DO465:DP465)</f>
        <v>89.063999999999993</v>
      </c>
      <c r="DR465" s="1116">
        <f>DR459+DR461+DR463</f>
        <v>47.474999999999994</v>
      </c>
      <c r="DS465" s="1116">
        <f>DS459+DS461+DS463</f>
        <v>53.045999999999992</v>
      </c>
      <c r="DT465" s="1115">
        <f>SUM(DR465:DS465)</f>
        <v>100.52099999999999</v>
      </c>
      <c r="DU465" s="1116">
        <f>DU459+DU461+DU463</f>
        <v>55.962000000000003</v>
      </c>
      <c r="DV465" s="1116">
        <f>DV459+DV461+DV463</f>
        <v>55.74</v>
      </c>
      <c r="DW465" s="1115">
        <f>SUM(DU465:DV465)</f>
        <v>111.702</v>
      </c>
      <c r="DX465" s="1116">
        <f>DX459+DX461+DX463</f>
        <v>53.472000000000001</v>
      </c>
      <c r="DY465" s="1116">
        <f>DY459+DY461+DY463</f>
        <v>66.119749441172985</v>
      </c>
      <c r="DZ465" s="1115">
        <f>SUM(DX465:DY465)</f>
        <v>119.59174944117299</v>
      </c>
      <c r="EA465" s="1116">
        <f>EA459+EA461+EA463</f>
        <v>65.371439875755556</v>
      </c>
      <c r="EB465" s="1116">
        <f>EB459+EB461+EB463</f>
        <v>70.688377170936349</v>
      </c>
      <c r="EC465" s="1115">
        <f>SUM(EA465:EB465)</f>
        <v>136.0598170466919</v>
      </c>
      <c r="ED465" s="1116">
        <f>ED459+ED461+ED463</f>
        <v>71.117678716904138</v>
      </c>
      <c r="EE465" s="1116">
        <f>EE459+EE461+EE463</f>
        <v>76.902594250966942</v>
      </c>
      <c r="EF465" s="1115">
        <f>SUM(ED465:EE465)</f>
        <v>148.02027296787108</v>
      </c>
      <c r="EG465" s="1116">
        <f>EG459+EG461+EG463</f>
        <v>77.518269801425504</v>
      </c>
      <c r="EH465" s="1116">
        <f>EH459+EH461+EH463</f>
        <v>83.823827733553969</v>
      </c>
      <c r="EI465" s="1115">
        <f>SUM(EG465:EH465)</f>
        <v>161.34209753497947</v>
      </c>
      <c r="EJ465" s="1116">
        <f>EJ459+EJ461+EJ463</f>
        <v>84.494914083553795</v>
      </c>
      <c r="EK465" s="1116">
        <f>EK459+EK461+EK463</f>
        <v>91.367972229573837</v>
      </c>
      <c r="EL465" s="1115">
        <f>SUM(EJ465:EK465)</f>
        <v>175.86288631312763</v>
      </c>
      <c r="EM465" s="1116">
        <f>EM459+EM461+EM463</f>
        <v>92.099456351073655</v>
      </c>
      <c r="EN465" s="1116">
        <f>EN459+EN461+EN463</f>
        <v>99.591089730235481</v>
      </c>
      <c r="EO465" s="1115">
        <f>SUM(EM465:EN465)</f>
        <v>191.69054608130915</v>
      </c>
      <c r="EP465" s="1116">
        <f>EP459+EP461+EP463</f>
        <v>100.3884074226703</v>
      </c>
      <c r="EQ465" s="1116">
        <f>EQ459+EQ461+EQ463</f>
        <v>108.55428780595668</v>
      </c>
      <c r="ER465" s="1115">
        <f>SUM(EP465:EQ465)</f>
        <v>208.94269522862697</v>
      </c>
      <c r="ES465" s="1116">
        <f>ES459+ES461+ES463</f>
        <v>109.42336409071063</v>
      </c>
      <c r="ET465" s="1116">
        <f>ET459+ET461+ET463</f>
        <v>118.32417370849279</v>
      </c>
      <c r="EU465" s="1115">
        <f>SUM(ES465:ET465)</f>
        <v>227.74753779920343</v>
      </c>
      <c r="EV465" s="1116">
        <f>EV459+EV461+EV463</f>
        <v>119.27146685887462</v>
      </c>
      <c r="EW465" s="1116">
        <f>EW459+EW461+EW463</f>
        <v>128.97334934225714</v>
      </c>
      <c r="EX465" s="1115">
        <f>SUM(EV465:EW465)</f>
        <v>248.24481620113175</v>
      </c>
      <c r="EY465" s="1116">
        <f>EY459+EY461+EY463</f>
        <v>130.00589887617332</v>
      </c>
      <c r="EZ465" s="1116">
        <f>EZ459+EZ461+EZ463</f>
        <v>140.5809507830603</v>
      </c>
      <c r="FA465" s="1115">
        <f>SUM(EY465:EZ465)</f>
        <v>270.58684965923362</v>
      </c>
    </row>
    <row r="466" spans="1:157" outlineLevel="1">
      <c r="B466" s="31"/>
      <c r="C466" s="35" t="s">
        <v>488</v>
      </c>
      <c r="D466" s="162" t="s">
        <v>460</v>
      </c>
      <c r="BA466" s="65"/>
      <c r="BB466" s="65"/>
      <c r="BC466" s="65"/>
      <c r="BD466" s="65">
        <f t="shared" ref="BD466:CI466" si="2331">BD465/BD426</f>
        <v>0</v>
      </c>
      <c r="BE466" s="65">
        <f t="shared" si="2331"/>
        <v>0</v>
      </c>
      <c r="BF466" s="65">
        <f t="shared" si="2331"/>
        <v>0</v>
      </c>
      <c r="BG466" s="65">
        <f t="shared" si="2331"/>
        <v>0</v>
      </c>
      <c r="BH466" s="65">
        <f t="shared" si="2331"/>
        <v>0</v>
      </c>
      <c r="BI466" s="65">
        <f t="shared" si="2331"/>
        <v>0</v>
      </c>
      <c r="BJ466" s="65">
        <f t="shared" si="2331"/>
        <v>0</v>
      </c>
      <c r="BK466" s="65">
        <f t="shared" si="2331"/>
        <v>0</v>
      </c>
      <c r="BL466" s="65">
        <f t="shared" si="2331"/>
        <v>0</v>
      </c>
      <c r="BM466" s="65">
        <f t="shared" si="2331"/>
        <v>0.165685590307807</v>
      </c>
      <c r="BN466" s="65">
        <f t="shared" si="2331"/>
        <v>0.14281005595227619</v>
      </c>
      <c r="BO466" s="65">
        <f t="shared" si="2331"/>
        <v>0.15413215146438583</v>
      </c>
      <c r="BP466" s="65">
        <f t="shared" si="2331"/>
        <v>0.16959201024666437</v>
      </c>
      <c r="BQ466" s="65">
        <f t="shared" si="2331"/>
        <v>0.14012042196847146</v>
      </c>
      <c r="BR466" s="65">
        <f t="shared" si="2331"/>
        <v>0.1544487228042849</v>
      </c>
      <c r="BS466" s="65">
        <f t="shared" si="2331"/>
        <v>0.11746899037824249</v>
      </c>
      <c r="BT466" s="65">
        <f t="shared" si="2331"/>
        <v>0.11145641624697397</v>
      </c>
      <c r="BU466" s="65">
        <f t="shared" si="2331"/>
        <v>0.1144524229559276</v>
      </c>
      <c r="BV466" s="65">
        <f t="shared" si="2331"/>
        <v>0.12709158242765028</v>
      </c>
      <c r="BW466" s="65">
        <f t="shared" si="2331"/>
        <v>0.11280758503144488</v>
      </c>
      <c r="BX466" s="65">
        <f t="shared" si="2331"/>
        <v>0.11978122655366291</v>
      </c>
      <c r="BY466" s="65">
        <f t="shared" si="2331"/>
        <v>0.10876564343493778</v>
      </c>
      <c r="BZ466" s="65">
        <f t="shared" si="2331"/>
        <v>0.11871041119613783</v>
      </c>
      <c r="CA466" s="65">
        <f t="shared" si="2331"/>
        <v>0.11388239709422056</v>
      </c>
      <c r="CB466" s="65">
        <f t="shared" si="2331"/>
        <v>1.9322937808906381E-2</v>
      </c>
      <c r="CC466" s="65">
        <f t="shared" si="2331"/>
        <v>2.5148981999719249E-2</v>
      </c>
      <c r="CD466" s="65">
        <f t="shared" si="2331"/>
        <v>2.2340461594933265E-2</v>
      </c>
      <c r="CE466" s="65">
        <f t="shared" si="2331"/>
        <v>3.9564568792610791E-2</v>
      </c>
      <c r="CF466" s="65">
        <f t="shared" si="2331"/>
        <v>4.3061914932976703E-2</v>
      </c>
      <c r="CG466" s="65">
        <f t="shared" si="2331"/>
        <v>4.1369619781520775E-2</v>
      </c>
      <c r="CH466" s="65">
        <f t="shared" si="2331"/>
        <v>4.1930351812418637E-2</v>
      </c>
      <c r="CI466" s="65">
        <f t="shared" si="2331"/>
        <v>4.3252442425418966E-2</v>
      </c>
      <c r="CJ466" s="65">
        <f t="shared" ref="CJ466:DO466" si="2332">CJ465/CJ426</f>
        <v>4.2592468687221011E-2</v>
      </c>
      <c r="CK466" s="65">
        <f t="shared" si="2332"/>
        <v>4.4163982714326838E-2</v>
      </c>
      <c r="CL466" s="65">
        <f t="shared" si="2332"/>
        <v>4.4507537292532651E-2</v>
      </c>
      <c r="CM466" s="65">
        <f t="shared" si="2332"/>
        <v>4.4330065859339449E-2</v>
      </c>
      <c r="CN466" s="65">
        <f t="shared" si="2332"/>
        <v>6.3303215587704922E-2</v>
      </c>
      <c r="CO466" s="65">
        <f t="shared" si="2332"/>
        <v>7.2331939461681941E-2</v>
      </c>
      <c r="CP466" s="65">
        <f t="shared" si="2332"/>
        <v>6.8194571803999349E-2</v>
      </c>
      <c r="CQ466" s="65">
        <f t="shared" si="2332"/>
        <v>5.6706254694211186E-2</v>
      </c>
      <c r="CR466" s="65">
        <f t="shared" si="2332"/>
        <v>6.9955146234959423E-2</v>
      </c>
      <c r="CS466" s="65">
        <f t="shared" si="2332"/>
        <v>6.3759162391795091E-2</v>
      </c>
      <c r="CT466" s="65">
        <f t="shared" si="2332"/>
        <v>5.1270437701987227E-2</v>
      </c>
      <c r="CU466" s="65">
        <f t="shared" si="2332"/>
        <v>5.0895579452371768E-2</v>
      </c>
      <c r="CV466" s="65">
        <f t="shared" si="2332"/>
        <v>5.1084140003708693E-2</v>
      </c>
      <c r="CW466" s="65">
        <f t="shared" si="2332"/>
        <v>5.0540531476186409E-2</v>
      </c>
      <c r="CX466" s="65">
        <f t="shared" si="2332"/>
        <v>4.6847121475355295E-2</v>
      </c>
      <c r="CY466" s="65">
        <f t="shared" si="2332"/>
        <v>4.8647554084128818E-2</v>
      </c>
      <c r="CZ466" s="65">
        <f t="shared" si="2332"/>
        <v>4.3727082782319321E-2</v>
      </c>
      <c r="DA466" s="65">
        <f t="shared" si="2332"/>
        <v>4.9272741294635894E-2</v>
      </c>
      <c r="DB466" s="65">
        <f t="shared" si="2332"/>
        <v>4.6652061234041642E-2</v>
      </c>
      <c r="DC466" s="65">
        <f t="shared" si="2332"/>
        <v>4.5703243950464351E-2</v>
      </c>
      <c r="DD466" s="65">
        <f t="shared" si="2332"/>
        <v>4.8835718912723737E-2</v>
      </c>
      <c r="DE466" s="65">
        <f t="shared" si="2332"/>
        <v>4.7295813892408931E-2</v>
      </c>
      <c r="DF466" s="65">
        <f t="shared" si="2332"/>
        <v>4.7809443799327993E-2</v>
      </c>
      <c r="DG466" s="65">
        <f t="shared" si="2332"/>
        <v>6.1162225552157806E-2</v>
      </c>
      <c r="DH466" s="1066">
        <f t="shared" si="2332"/>
        <v>5.3537642024162238E-2</v>
      </c>
      <c r="DI466" s="65">
        <f t="shared" si="2332"/>
        <v>4.5343295638126009E-2</v>
      </c>
      <c r="DJ466" s="65">
        <f t="shared" si="2332"/>
        <v>4.6636908727514997E-2</v>
      </c>
      <c r="DK466" s="1066">
        <f t="shared" si="2332"/>
        <v>4.5993437353512356E-2</v>
      </c>
      <c r="DL466" s="65">
        <f t="shared" si="2332"/>
        <v>4.6882129277566534E-2</v>
      </c>
      <c r="DM466" s="65">
        <f t="shared" si="2332"/>
        <v>4.713247759748123E-2</v>
      </c>
      <c r="DN466" s="1066">
        <f t="shared" si="2332"/>
        <v>4.7008104320272991E-2</v>
      </c>
      <c r="DO466" s="65">
        <f t="shared" si="2332"/>
        <v>4.6359968620419134E-2</v>
      </c>
      <c r="DP466" s="65">
        <f t="shared" ref="DP466:ER466" si="2333">DP465/DP426</f>
        <v>4.4853300733496332E-2</v>
      </c>
      <c r="DQ466" s="1066">
        <f t="shared" si="2333"/>
        <v>4.5540727105384253E-2</v>
      </c>
      <c r="DR466" s="65">
        <f t="shared" si="2333"/>
        <v>4.2639662295670906E-2</v>
      </c>
      <c r="DS466" s="65">
        <f t="shared" si="2333"/>
        <v>4.6336477987421368E-2</v>
      </c>
      <c r="DT466" s="1066">
        <f t="shared" si="2333"/>
        <v>4.4513772030820999E-2</v>
      </c>
      <c r="DU466" s="65">
        <f t="shared" si="2333"/>
        <v>4.7834857680143603E-2</v>
      </c>
      <c r="DV466" s="65">
        <f t="shared" si="2333"/>
        <v>4.7002276751834056E-2</v>
      </c>
      <c r="DW466" s="1066">
        <f t="shared" si="2333"/>
        <v>4.7415739876050592E-2</v>
      </c>
      <c r="DX466" s="65">
        <f t="shared" si="2333"/>
        <v>4.5469387755102043E-2</v>
      </c>
      <c r="DY466" s="65">
        <f t="shared" si="2333"/>
        <v>4.9440270344584474E-2</v>
      </c>
      <c r="DZ466" s="1066">
        <f t="shared" si="2333"/>
        <v>4.75823008159642E-2</v>
      </c>
      <c r="EA466" s="65">
        <f t="shared" si="2333"/>
        <v>4.713555829869185E-2</v>
      </c>
      <c r="EB466" s="65">
        <f t="shared" si="2333"/>
        <v>4.9440377071582185E-2</v>
      </c>
      <c r="EC466" s="1066">
        <f t="shared" si="2333"/>
        <v>4.8305515177717431E-2</v>
      </c>
      <c r="ED466" s="65">
        <f t="shared" si="2333"/>
        <v>4.7135657784138078E-2</v>
      </c>
      <c r="EE466" s="65">
        <f t="shared" si="2333"/>
        <v>4.944047368115987E-2</v>
      </c>
      <c r="EF466" s="1066">
        <f t="shared" si="2333"/>
        <v>4.8305617879398348E-2</v>
      </c>
      <c r="EG466" s="65">
        <f t="shared" si="2333"/>
        <v>4.7135657784138078E-2</v>
      </c>
      <c r="EH466" s="65">
        <f t="shared" si="2333"/>
        <v>4.9440473681159877E-2</v>
      </c>
      <c r="EI466" s="1066">
        <f t="shared" si="2333"/>
        <v>4.8305617879398348E-2</v>
      </c>
      <c r="EJ466" s="65">
        <f t="shared" si="2333"/>
        <v>4.7135657784138078E-2</v>
      </c>
      <c r="EK466" s="65">
        <f t="shared" si="2333"/>
        <v>4.944047368115987E-2</v>
      </c>
      <c r="EL466" s="1066">
        <f t="shared" si="2333"/>
        <v>4.8305617879398348E-2</v>
      </c>
      <c r="EM466" s="65">
        <f t="shared" si="2333"/>
        <v>4.7135657784138078E-2</v>
      </c>
      <c r="EN466" s="65">
        <f t="shared" si="2333"/>
        <v>4.944047368115987E-2</v>
      </c>
      <c r="EO466" s="1066">
        <f t="shared" si="2333"/>
        <v>4.8305617879398348E-2</v>
      </c>
      <c r="EP466" s="65">
        <f t="shared" si="2333"/>
        <v>4.7135657784138085E-2</v>
      </c>
      <c r="EQ466" s="65">
        <f t="shared" si="2333"/>
        <v>4.9440473681159863E-2</v>
      </c>
      <c r="ER466" s="1066">
        <f t="shared" si="2333"/>
        <v>4.8305617879398348E-2</v>
      </c>
      <c r="ES466" s="65">
        <f t="shared" ref="ES466:EX466" si="2334">ES465/ES426</f>
        <v>4.7135657784138078E-2</v>
      </c>
      <c r="ET466" s="65">
        <f t="shared" si="2334"/>
        <v>4.944047368115987E-2</v>
      </c>
      <c r="EU466" s="1066">
        <f t="shared" si="2334"/>
        <v>4.8305617879398341E-2</v>
      </c>
      <c r="EV466" s="65">
        <f t="shared" si="2334"/>
        <v>4.7135657784138085E-2</v>
      </c>
      <c r="EW466" s="65">
        <f t="shared" si="2334"/>
        <v>4.944047368115987E-2</v>
      </c>
      <c r="EX466" s="1066">
        <f t="shared" si="2334"/>
        <v>4.8305617879398341E-2</v>
      </c>
      <c r="EY466" s="65">
        <f t="shared" ref="EY466:FA466" si="2335">EY465/EY426</f>
        <v>4.7135657784138085E-2</v>
      </c>
      <c r="EZ466" s="65">
        <f t="shared" si="2335"/>
        <v>4.9440473681159863E-2</v>
      </c>
      <c r="FA466" s="1066">
        <f t="shared" si="2335"/>
        <v>4.8305617879398341E-2</v>
      </c>
    </row>
    <row r="467" spans="1:157" outlineLevel="1">
      <c r="B467" s="31"/>
      <c r="C467" s="35" t="s">
        <v>703</v>
      </c>
      <c r="D467" s="162" t="s">
        <v>460</v>
      </c>
      <c r="BA467" s="35"/>
      <c r="BB467" s="35"/>
      <c r="BC467" s="322"/>
      <c r="BD467" s="35"/>
      <c r="BE467" s="35"/>
      <c r="BG467" s="35"/>
      <c r="BH467" s="35"/>
      <c r="BJ467" s="35"/>
      <c r="BK467" s="35"/>
      <c r="BL467" s="31"/>
      <c r="BM467" s="35"/>
      <c r="BN467" s="35"/>
      <c r="BO467" s="31"/>
      <c r="BP467" s="35"/>
      <c r="BQ467" s="35"/>
      <c r="BR467" s="1024"/>
      <c r="BS467" s="74"/>
      <c r="BT467" s="70"/>
      <c r="BU467" s="74"/>
      <c r="BV467" s="74"/>
      <c r="BW467" s="74"/>
      <c r="BX467" s="74"/>
      <c r="BY467" s="70"/>
      <c r="BZ467" s="70"/>
      <c r="CA467" s="70"/>
      <c r="CB467" s="187"/>
      <c r="CC467" s="187"/>
      <c r="CD467" s="187"/>
      <c r="CE467" s="187"/>
      <c r="CF467" s="65"/>
      <c r="CG467" s="65"/>
      <c r="CH467" s="70"/>
      <c r="CI467" s="70"/>
      <c r="CJ467" s="70"/>
      <c r="CK467" s="35"/>
      <c r="CL467" s="35"/>
      <c r="CN467" s="35"/>
      <c r="CO467" s="35"/>
      <c r="CQ467" s="35"/>
      <c r="CR467" s="35"/>
      <c r="CT467" s="35"/>
      <c r="CU467" s="35"/>
      <c r="CW467" s="35"/>
      <c r="CX467" s="35"/>
      <c r="CZ467" s="35"/>
      <c r="DA467" s="35"/>
      <c r="DC467" s="35"/>
      <c r="DD467" s="35"/>
      <c r="DF467" s="35"/>
      <c r="DG467" s="35"/>
      <c r="DH467" s="1067"/>
      <c r="DI467" s="35"/>
      <c r="DJ467" s="35"/>
      <c r="DK467" s="1067"/>
      <c r="DL467" s="35"/>
      <c r="DM467" s="35"/>
      <c r="DN467" s="1067"/>
      <c r="DO467" s="35"/>
      <c r="DP467" s="35"/>
      <c r="DQ467" s="1067"/>
      <c r="DR467" s="35"/>
      <c r="DS467" s="35"/>
      <c r="DT467" s="1067"/>
      <c r="DU467" s="35"/>
      <c r="DV467" s="35"/>
      <c r="DW467" s="1067"/>
      <c r="DX467" s="35"/>
      <c r="DY467" s="35"/>
      <c r="DZ467" s="1067"/>
      <c r="EA467" s="35"/>
      <c r="EB467" s="35"/>
      <c r="EC467" s="1067"/>
      <c r="ED467" s="35"/>
      <c r="EE467" s="35"/>
      <c r="EF467" s="1067"/>
      <c r="EG467" s="35"/>
      <c r="EH467" s="35"/>
      <c r="EI467" s="1067"/>
      <c r="EJ467" s="35"/>
      <c r="EK467" s="35"/>
      <c r="EL467" s="1067"/>
      <c r="EM467" s="35"/>
      <c r="EN467" s="35"/>
      <c r="EO467" s="1067"/>
      <c r="EP467" s="35"/>
      <c r="EQ467" s="35"/>
      <c r="ER467" s="1067"/>
      <c r="ES467" s="35"/>
      <c r="ET467" s="35"/>
      <c r="EU467" s="1067"/>
      <c r="EV467" s="35"/>
      <c r="EW467" s="35"/>
      <c r="EX467" s="1067"/>
      <c r="EY467" s="35"/>
      <c r="EZ467" s="35"/>
      <c r="FA467" s="1067"/>
    </row>
    <row r="468" spans="1:157" outlineLevel="1">
      <c r="B468" s="31"/>
      <c r="BA468" s="35"/>
      <c r="BB468" s="35"/>
      <c r="BC468" s="322"/>
      <c r="BD468" s="35"/>
      <c r="BE468" s="35"/>
      <c r="BG468" s="35"/>
      <c r="BH468" s="35"/>
      <c r="BJ468" s="35"/>
      <c r="BK468" s="35"/>
      <c r="BL468" s="31"/>
      <c r="BM468" s="35"/>
      <c r="BN468" s="35"/>
      <c r="BO468" s="31"/>
      <c r="BP468" s="35"/>
      <c r="BQ468" s="35"/>
      <c r="BR468" s="1024"/>
      <c r="BS468" s="74"/>
      <c r="BT468" s="70"/>
      <c r="BU468" s="74"/>
      <c r="BV468" s="74"/>
      <c r="BW468" s="74"/>
      <c r="BX468" s="74"/>
      <c r="BY468" s="70"/>
      <c r="BZ468" s="70"/>
      <c r="CA468" s="70"/>
      <c r="CB468" s="187"/>
      <c r="CC468" s="187"/>
      <c r="CD468" s="187"/>
      <c r="CE468" s="187"/>
      <c r="CF468" s="65"/>
      <c r="CG468" s="65"/>
      <c r="CH468" s="70"/>
      <c r="CI468" s="70"/>
      <c r="CJ468" s="70"/>
      <c r="CK468" s="35"/>
      <c r="CL468" s="35"/>
      <c r="CN468" s="35"/>
      <c r="CO468" s="35"/>
      <c r="CQ468" s="35"/>
      <c r="CR468" s="35"/>
      <c r="CT468" s="35"/>
      <c r="CU468" s="35"/>
      <c r="CW468" s="35"/>
      <c r="CX468" s="35"/>
      <c r="CZ468" s="35"/>
      <c r="DA468" s="35"/>
      <c r="DC468" s="35"/>
      <c r="DD468" s="35"/>
      <c r="DF468" s="35"/>
      <c r="DG468" s="35"/>
      <c r="DH468" s="1067"/>
      <c r="DI468" s="35"/>
      <c r="DJ468" s="35"/>
      <c r="DK468" s="1067"/>
      <c r="DL468" s="35"/>
      <c r="DM468" s="35"/>
      <c r="DN468" s="1067"/>
      <c r="DO468" s="35"/>
      <c r="DP468" s="35"/>
      <c r="DQ468" s="1067"/>
      <c r="DR468" s="35"/>
      <c r="DS468" s="35"/>
      <c r="DT468" s="1067"/>
      <c r="DU468" s="35"/>
      <c r="DV468" s="35"/>
      <c r="DW468" s="1067"/>
      <c r="DX468" s="35"/>
      <c r="DY468" s="35"/>
      <c r="DZ468" s="1067"/>
      <c r="EA468" s="35"/>
      <c r="EB468" s="35"/>
      <c r="EC468" s="1067"/>
      <c r="ED468" s="35"/>
      <c r="EE468" s="35"/>
      <c r="EF468" s="1067"/>
      <c r="EG468" s="35"/>
      <c r="EH468" s="35"/>
      <c r="EI468" s="1067"/>
      <c r="EJ468" s="35"/>
      <c r="EK468" s="35"/>
      <c r="EL468" s="1067"/>
      <c r="EM468" s="35"/>
      <c r="EN468" s="35"/>
      <c r="EO468" s="1067"/>
      <c r="EP468" s="35"/>
      <c r="EQ468" s="35"/>
      <c r="ER468" s="1067"/>
      <c r="ES468" s="35"/>
      <c r="ET468" s="35"/>
      <c r="EU468" s="1067"/>
      <c r="EV468" s="35"/>
      <c r="EW468" s="35"/>
      <c r="EX468" s="1067"/>
      <c r="EY468" s="35"/>
      <c r="EZ468" s="35"/>
      <c r="FA468" s="1067"/>
    </row>
    <row r="469" spans="1:157" s="233" customFormat="1" outlineLevel="1">
      <c r="A469" s="1147"/>
      <c r="B469" s="246" t="s">
        <v>316</v>
      </c>
      <c r="D469" s="245" t="s">
        <v>604</v>
      </c>
      <c r="BA469" s="233">
        <f>BA256</f>
        <v>0</v>
      </c>
      <c r="BB469" s="233">
        <f>BB256</f>
        <v>0</v>
      </c>
      <c r="BC469" s="233">
        <f>SUM(BA469:BB469)</f>
        <v>0</v>
      </c>
      <c r="BD469" s="233">
        <f>BD256</f>
        <v>0</v>
      </c>
      <c r="BE469" s="233">
        <f>BE256</f>
        <v>0</v>
      </c>
      <c r="BF469" s="233">
        <f>SUM(BD469:BE469)</f>
        <v>0</v>
      </c>
      <c r="BG469" s="233">
        <f>BG256</f>
        <v>0</v>
      </c>
      <c r="BH469" s="233">
        <f>BH256</f>
        <v>0</v>
      </c>
      <c r="BI469" s="233">
        <f>SUM(BG469:BH469)</f>
        <v>0</v>
      </c>
      <c r="BJ469" s="233">
        <f>BJ256</f>
        <v>0</v>
      </c>
      <c r="BK469" s="233">
        <f>BK256</f>
        <v>0</v>
      </c>
      <c r="BL469" s="233">
        <f>SUM(BJ469:BK469)</f>
        <v>0</v>
      </c>
      <c r="BM469" s="233">
        <f>BM256</f>
        <v>30.497573023507023</v>
      </c>
      <c r="BN469" s="233">
        <f>BN256</f>
        <v>34.295749154119143</v>
      </c>
      <c r="BO469" s="233">
        <f>SUM(BM469:BN469)</f>
        <v>64.793322177626166</v>
      </c>
      <c r="BP469" s="233">
        <f>BP256</f>
        <v>41.878208719830994</v>
      </c>
      <c r="BQ469" s="233">
        <f>BQ256</f>
        <v>50.572189140793959</v>
      </c>
      <c r="BR469" s="233">
        <f>SUM(BP469:BQ469)</f>
        <v>92.450397860624946</v>
      </c>
      <c r="BS469" s="233">
        <f>BS256</f>
        <v>42.371575694453512</v>
      </c>
      <c r="BT469" s="233">
        <f>BT256</f>
        <v>37.38911562455614</v>
      </c>
      <c r="BU469" s="233">
        <f>SUM(BS469:BT469)</f>
        <v>79.760691319009652</v>
      </c>
      <c r="BV469" s="233">
        <f>BV256</f>
        <v>34.721378129325586</v>
      </c>
      <c r="BW469" s="233">
        <f>BW256</f>
        <v>35.703321223082085</v>
      </c>
      <c r="BX469" s="233">
        <f>SUM(BV469:BW469)</f>
        <v>70.424699352407671</v>
      </c>
      <c r="BY469" s="233">
        <f>BY256</f>
        <v>47.29493505000837</v>
      </c>
      <c r="BZ469" s="233">
        <f>BZ256</f>
        <v>58.643745536349861</v>
      </c>
      <c r="CA469" s="233">
        <f>SUM(BY469:BZ469)</f>
        <v>105.93868058635823</v>
      </c>
      <c r="CB469" s="233">
        <f>CB256</f>
        <v>72.685697732604751</v>
      </c>
      <c r="CC469" s="233">
        <f>CC256</f>
        <v>85.618839898024348</v>
      </c>
      <c r="CD469" s="233">
        <f>SUM(CB469:CC469)</f>
        <v>158.30453763062911</v>
      </c>
      <c r="CE469" s="233">
        <f>CE256</f>
        <v>80.617242769193382</v>
      </c>
      <c r="CF469" s="233">
        <f>CF256</f>
        <v>70.271807628201415</v>
      </c>
      <c r="CG469" s="233">
        <f>SUM(CE469:CF469)</f>
        <v>150.88905039739478</v>
      </c>
      <c r="CH469" s="233">
        <f>CH256</f>
        <v>72.266782484490406</v>
      </c>
      <c r="CI469" s="233">
        <f>CI256</f>
        <v>72.453021959909918</v>
      </c>
      <c r="CJ469" s="233">
        <f>SUM(CH469:CI469)</f>
        <v>144.71980444440032</v>
      </c>
      <c r="CK469" s="233">
        <f>CK256</f>
        <v>77.100121503365031</v>
      </c>
      <c r="CL469" s="233">
        <f>CL256</f>
        <v>57.338569923014603</v>
      </c>
      <c r="CM469" s="233">
        <f>SUM(CK469:CL469)</f>
        <v>134.43869142637965</v>
      </c>
      <c r="CN469" s="233">
        <f>CN256</f>
        <v>63.385635953508981</v>
      </c>
      <c r="CO469" s="233">
        <f>CO256</f>
        <v>85.621999999999986</v>
      </c>
      <c r="CP469" s="233">
        <f>SUM(CN469:CO469)</f>
        <v>149.00763595350895</v>
      </c>
      <c r="CQ469" s="233">
        <f>CQ256</f>
        <v>100.002</v>
      </c>
      <c r="CR469" s="233">
        <f>CR256</f>
        <v>104.87700000000001</v>
      </c>
      <c r="CS469" s="233">
        <f>SUM(CQ469:CR469)</f>
        <v>204.87900000000002</v>
      </c>
      <c r="CT469" s="233">
        <f>CT256</f>
        <v>163.76115762108407</v>
      </c>
      <c r="CU469" s="233">
        <f>CU256</f>
        <v>133.0371197719993</v>
      </c>
      <c r="CV469" s="233">
        <f>SUM(CT469:CU469)</f>
        <v>296.79827739308337</v>
      </c>
      <c r="CW469" s="233">
        <f>CW256</f>
        <v>149.76917552191142</v>
      </c>
      <c r="CX469" s="233">
        <f>CX256</f>
        <v>164.8673601853892</v>
      </c>
      <c r="CY469" s="233">
        <f>SUM(CW469:CX469)</f>
        <v>314.6365357073006</v>
      </c>
      <c r="CZ469" s="233">
        <f>CZ256</f>
        <v>167.44755697428474</v>
      </c>
      <c r="DA469" s="233">
        <f>DA256</f>
        <v>179.56726587538199</v>
      </c>
      <c r="DB469" s="233">
        <f>SUM(CZ469:DA469)</f>
        <v>347.01482284966676</v>
      </c>
      <c r="DC469" s="233">
        <f>DC256</f>
        <v>189.60111523980282</v>
      </c>
      <c r="DD469" s="233">
        <f>DD256</f>
        <v>183.94589860001037</v>
      </c>
      <c r="DE469" s="233">
        <f>SUM(DC469:DD469)</f>
        <v>373.54701383981319</v>
      </c>
      <c r="DF469" s="233">
        <f>DF256</f>
        <v>210.78379436712606</v>
      </c>
      <c r="DG469" s="233">
        <f>DG256</f>
        <v>125.5762062597794</v>
      </c>
      <c r="DH469" s="1070">
        <f>SUM(DF469:DG469)</f>
        <v>336.36000062690545</v>
      </c>
      <c r="DI469" s="233">
        <f>DI256</f>
        <v>203.2</v>
      </c>
      <c r="DJ469" s="233">
        <f>DJ256</f>
        <v>180.60000000000002</v>
      </c>
      <c r="DK469" s="1070">
        <f>SUM(DI469:DJ469)</f>
        <v>383.8</v>
      </c>
      <c r="DL469" s="233">
        <f>DL256</f>
        <v>213.9</v>
      </c>
      <c r="DM469" s="233">
        <f>DM256</f>
        <v>200.49999999999997</v>
      </c>
      <c r="DN469" s="1070">
        <f>SUM(DL469:DM469)</f>
        <v>414.4</v>
      </c>
      <c r="DO469" s="233">
        <f>DO256</f>
        <v>232.5</v>
      </c>
      <c r="DP469" s="233">
        <f>DP256</f>
        <v>291.29999999999995</v>
      </c>
      <c r="DQ469" s="1070">
        <f>SUM(DO469:DP469)</f>
        <v>523.79999999999995</v>
      </c>
      <c r="DR469" s="233">
        <f>DR256</f>
        <v>334.8</v>
      </c>
      <c r="DS469" s="233">
        <f>DS256</f>
        <v>307.59999999999997</v>
      </c>
      <c r="DT469" s="1070">
        <f>SUM(DR469:DS469)</f>
        <v>642.4</v>
      </c>
      <c r="DU469" s="233">
        <f>DU256</f>
        <v>310.39999999999998</v>
      </c>
      <c r="DV469" s="233">
        <f>DV256</f>
        <v>285.5</v>
      </c>
      <c r="DW469" s="1070">
        <f>SUM(DU469:DV469)</f>
        <v>595.9</v>
      </c>
      <c r="DX469" s="233">
        <f>DX256</f>
        <v>304.60000000000002</v>
      </c>
      <c r="DY469" s="233">
        <f>DY256</f>
        <v>305.55061937661486</v>
      </c>
      <c r="DZ469" s="1070">
        <f>SUM(DX469:DY469)</f>
        <v>610.15061937661494</v>
      </c>
      <c r="EA469" s="233">
        <f>EA256</f>
        <v>356.26984739614863</v>
      </c>
      <c r="EB469" s="233">
        <f>EB256</f>
        <v>329.84858768164975</v>
      </c>
      <c r="EC469" s="1070">
        <f>SUM(EA469:EB469)</f>
        <v>686.11843507779838</v>
      </c>
      <c r="ED469" s="233">
        <f>ED256</f>
        <v>391.33048308999673</v>
      </c>
      <c r="EE469" s="233">
        <f>EE256</f>
        <v>362.31152635454202</v>
      </c>
      <c r="EF469" s="1070">
        <f>SUM(ED469:EE469)</f>
        <v>753.64200944453876</v>
      </c>
      <c r="EG469" s="233">
        <f>EG256</f>
        <v>428.59280206517337</v>
      </c>
      <c r="EH469" s="233">
        <f>EH256</f>
        <v>396.8106728478175</v>
      </c>
      <c r="EI469" s="1070">
        <f>SUM(EG469:EH469)</f>
        <v>825.40347491299087</v>
      </c>
      <c r="EJ469" s="233">
        <f>EJ256</f>
        <v>468.05671716776453</v>
      </c>
      <c r="EK469" s="233">
        <f>EK256</f>
        <v>433.34815698103694</v>
      </c>
      <c r="EL469" s="1070">
        <f>SUM(EJ469:EK469)</f>
        <v>901.40487414880147</v>
      </c>
      <c r="EM469" s="233">
        <f>EM256</f>
        <v>511.15253529209417</v>
      </c>
      <c r="EN469" s="233">
        <f>EN256</f>
        <v>473.24822180816852</v>
      </c>
      <c r="EO469" s="1070">
        <f>SUM(EM469:EN469)</f>
        <v>984.40075710026269</v>
      </c>
      <c r="EP469" s="233">
        <f>EP256</f>
        <v>557.15626346838258</v>
      </c>
      <c r="EQ469" s="233">
        <f>EQ256</f>
        <v>515.84056177090372</v>
      </c>
      <c r="ER469" s="1070">
        <f>SUM(EP469:EQ469)</f>
        <v>1072.9968252392864</v>
      </c>
      <c r="ES469" s="233">
        <f>ES256</f>
        <v>607.30032718053701</v>
      </c>
      <c r="ET469" s="233">
        <f>ET256</f>
        <v>562.26621233028504</v>
      </c>
      <c r="EU469" s="1070">
        <f>SUM(ES469:ET469)</f>
        <v>1169.5665395108222</v>
      </c>
      <c r="EV469" s="233">
        <f>EV256</f>
        <v>661.95735662678544</v>
      </c>
      <c r="EW469" s="233">
        <f>EW256</f>
        <v>612.87017144001072</v>
      </c>
      <c r="EX469" s="1070">
        <f>SUM(EV469:EW469)</f>
        <v>1274.8275280667963</v>
      </c>
      <c r="EY469" s="233">
        <f>EY256</f>
        <v>721.53351872319604</v>
      </c>
      <c r="EZ469" s="233">
        <f>EZ256</f>
        <v>668.02848686961204</v>
      </c>
      <c r="FA469" s="1070">
        <f>SUM(EY469:EZ469)</f>
        <v>1389.562005592808</v>
      </c>
    </row>
    <row r="470" spans="1:157" outlineLevel="1">
      <c r="B470" s="31"/>
      <c r="C470" s="35" t="s">
        <v>401</v>
      </c>
      <c r="D470" s="162" t="s">
        <v>460</v>
      </c>
      <c r="BA470" s="65"/>
      <c r="BB470" s="65"/>
      <c r="BC470" s="65"/>
      <c r="BD470" s="65">
        <f t="shared" ref="BD470:CI470" si="2336">BD469/BD420</f>
        <v>0</v>
      </c>
      <c r="BE470" s="65">
        <f t="shared" si="2336"/>
        <v>0</v>
      </c>
      <c r="BF470" s="65">
        <f t="shared" si="2336"/>
        <v>0</v>
      </c>
      <c r="BG470" s="65">
        <f t="shared" si="2336"/>
        <v>0</v>
      </c>
      <c r="BH470" s="65">
        <f t="shared" si="2336"/>
        <v>0</v>
      </c>
      <c r="BI470" s="65">
        <f t="shared" si="2336"/>
        <v>0</v>
      </c>
      <c r="BJ470" s="65">
        <f t="shared" si="2336"/>
        <v>0</v>
      </c>
      <c r="BK470" s="65">
        <f t="shared" si="2336"/>
        <v>0</v>
      </c>
      <c r="BL470" s="65">
        <f t="shared" si="2336"/>
        <v>0</v>
      </c>
      <c r="BM470" s="65">
        <f t="shared" si="2336"/>
        <v>0.41953475597092699</v>
      </c>
      <c r="BN470" s="65">
        <f t="shared" si="2336"/>
        <v>0.44684322453260183</v>
      </c>
      <c r="BO470" s="65">
        <f t="shared" si="2336"/>
        <v>0.43355969949448708</v>
      </c>
      <c r="BP470" s="65">
        <f t="shared" si="2336"/>
        <v>0.48755335311949249</v>
      </c>
      <c r="BQ470" s="65">
        <f t="shared" si="2336"/>
        <v>0.54702342197221776</v>
      </c>
      <c r="BR470" s="65">
        <f t="shared" si="2336"/>
        <v>0.51838131606686788</v>
      </c>
      <c r="BS470" s="65">
        <f t="shared" si="2336"/>
        <v>0.37659931793076556</v>
      </c>
      <c r="BT470" s="65">
        <f t="shared" si="2336"/>
        <v>0.33104604295754814</v>
      </c>
      <c r="BU470" s="65">
        <f t="shared" si="2336"/>
        <v>0.35377910628526943</v>
      </c>
      <c r="BV470" s="65">
        <f t="shared" si="2336"/>
        <v>0.326843226836603</v>
      </c>
      <c r="BW470" s="65">
        <f t="shared" si="2336"/>
        <v>0.35136519891663831</v>
      </c>
      <c r="BX470" s="65">
        <f t="shared" si="2336"/>
        <v>0.3388317121377134</v>
      </c>
      <c r="BY470" s="65">
        <f t="shared" si="2336"/>
        <v>0.35592133123866787</v>
      </c>
      <c r="BZ470" s="65">
        <f t="shared" si="2336"/>
        <v>0.4249156898778419</v>
      </c>
      <c r="CA470" s="65">
        <f t="shared" si="2336"/>
        <v>0.39107209653304548</v>
      </c>
      <c r="CB470" s="65">
        <f t="shared" si="2336"/>
        <v>0.55119963265403837</v>
      </c>
      <c r="CC470" s="65">
        <f t="shared" si="2336"/>
        <v>0.58804991609227775</v>
      </c>
      <c r="CD470" s="65">
        <f t="shared" si="2336"/>
        <v>0.57053649683620067</v>
      </c>
      <c r="CE470" s="65">
        <f t="shared" si="2336"/>
        <v>0.54441551092501117</v>
      </c>
      <c r="CF470" s="65">
        <f t="shared" si="2336"/>
        <v>0.49862851534131963</v>
      </c>
      <c r="CG470" s="65">
        <f t="shared" si="2336"/>
        <v>0.52208840246961485</v>
      </c>
      <c r="CH470" s="65">
        <f t="shared" si="2336"/>
        <v>0.5279864917382272</v>
      </c>
      <c r="CI470" s="65">
        <f t="shared" si="2336"/>
        <v>0.53756343341809198</v>
      </c>
      <c r="CJ470" s="65">
        <f t="shared" ref="CJ470:DO470" si="2337">CJ469/CJ420</f>
        <v>0.53273808663762889</v>
      </c>
      <c r="CK470" s="65">
        <f t="shared" si="2337"/>
        <v>0.56200860752745729</v>
      </c>
      <c r="CL470" s="65">
        <f t="shared" si="2337"/>
        <v>0.4803945086395871</v>
      </c>
      <c r="CM470" s="65">
        <f t="shared" si="2337"/>
        <v>0.52403759477772882</v>
      </c>
      <c r="CN470" s="65">
        <f t="shared" si="2337"/>
        <v>0.47137426215017869</v>
      </c>
      <c r="CO470" s="65">
        <f t="shared" si="2337"/>
        <v>0.55495254735531352</v>
      </c>
      <c r="CP470" s="65">
        <f t="shared" si="2337"/>
        <v>0.51603136560932306</v>
      </c>
      <c r="CQ470" s="65">
        <f t="shared" si="2337"/>
        <v>0.5120430107526881</v>
      </c>
      <c r="CR470" s="65">
        <f t="shared" si="2337"/>
        <v>0.50503703132975708</v>
      </c>
      <c r="CS470" s="65">
        <f t="shared" si="2337"/>
        <v>0.50843255691603673</v>
      </c>
      <c r="CT470" s="65">
        <f t="shared" si="2337"/>
        <v>0.62011715201428419</v>
      </c>
      <c r="CU470" s="65">
        <f t="shared" si="2337"/>
        <v>0.52199571485487295</v>
      </c>
      <c r="CV470" s="65">
        <f t="shared" si="2337"/>
        <v>0.57192794928904722</v>
      </c>
      <c r="CW470" s="65">
        <f t="shared" si="2337"/>
        <v>0.52531838180278745</v>
      </c>
      <c r="CX470" s="65">
        <f t="shared" si="2337"/>
        <v>0.53199431848789702</v>
      </c>
      <c r="CY470" s="65">
        <f t="shared" si="2337"/>
        <v>0.5287954922978757</v>
      </c>
      <c r="CZ470" s="65">
        <f t="shared" si="2337"/>
        <v>0.52655824494675518</v>
      </c>
      <c r="DA470" s="65">
        <f t="shared" si="2337"/>
        <v>0.55076318861446161</v>
      </c>
      <c r="DB470" s="65">
        <f t="shared" si="2337"/>
        <v>0.5388116067468588</v>
      </c>
      <c r="DC470" s="65">
        <f t="shared" si="2337"/>
        <v>0.54320640659097574</v>
      </c>
      <c r="DD470" s="65">
        <f t="shared" si="2337"/>
        <v>0.54448512126454629</v>
      </c>
      <c r="DE470" s="65">
        <f t="shared" si="2337"/>
        <v>0.54383533308849397</v>
      </c>
      <c r="DF470" s="65">
        <f t="shared" si="2337"/>
        <v>0.55429170152656926</v>
      </c>
      <c r="DG470" s="65">
        <f t="shared" si="2337"/>
        <v>0.4626009904168662</v>
      </c>
      <c r="DH470" s="1066">
        <f t="shared" si="2337"/>
        <v>0.51610109324326003</v>
      </c>
      <c r="DI470" s="65">
        <f t="shared" si="2337"/>
        <v>0.54085706680862389</v>
      </c>
      <c r="DJ470" s="65">
        <f t="shared" si="2337"/>
        <v>0.51733027785734753</v>
      </c>
      <c r="DK470" s="1066">
        <f t="shared" si="2337"/>
        <v>0.5295253863134658</v>
      </c>
      <c r="DL470" s="65">
        <f t="shared" si="2337"/>
        <v>0.5507209062821834</v>
      </c>
      <c r="DM470" s="65">
        <f t="shared" si="2337"/>
        <v>0.51239458216202383</v>
      </c>
      <c r="DN470" s="1066">
        <f t="shared" si="2337"/>
        <v>0.53148646915480302</v>
      </c>
      <c r="DO470" s="65">
        <f t="shared" si="2337"/>
        <v>0.5230596175478065</v>
      </c>
      <c r="DP470" s="65">
        <f t="shared" ref="DP470:ER470" si="2338">DP469/DP420</f>
        <v>0.54571000374672163</v>
      </c>
      <c r="DQ470" s="1066">
        <f t="shared" si="2338"/>
        <v>0.53541858325666969</v>
      </c>
      <c r="DR470" s="65">
        <f t="shared" si="2338"/>
        <v>0.57191663819610528</v>
      </c>
      <c r="DS470" s="65">
        <f t="shared" si="2338"/>
        <v>0.55393481001260569</v>
      </c>
      <c r="DT470" s="1066">
        <f t="shared" si="2338"/>
        <v>0.56316297010607519</v>
      </c>
      <c r="DU470" s="65">
        <f t="shared" si="2338"/>
        <v>0.53452729464439463</v>
      </c>
      <c r="DV470" s="65">
        <f t="shared" si="2338"/>
        <v>0.51293568091987074</v>
      </c>
      <c r="DW470" s="1066">
        <f t="shared" si="2338"/>
        <v>0.52396025674843927</v>
      </c>
      <c r="DX470" s="65">
        <f t="shared" si="2338"/>
        <v>0.51064543168482823</v>
      </c>
      <c r="DY470" s="65">
        <f t="shared" si="2338"/>
        <v>0.51207400311339957</v>
      </c>
      <c r="DZ470" s="1066">
        <f t="shared" si="2338"/>
        <v>0.51135983252195039</v>
      </c>
      <c r="EA470" s="65">
        <f t="shared" si="2338"/>
        <v>0.51707400311339979</v>
      </c>
      <c r="EB470" s="65">
        <f t="shared" si="2338"/>
        <v>0.51707400311339957</v>
      </c>
      <c r="EC470" s="1066">
        <f t="shared" si="2338"/>
        <v>0.51707400311339968</v>
      </c>
      <c r="ED470" s="65">
        <f t="shared" si="2338"/>
        <v>0.52207400311339947</v>
      </c>
      <c r="EE470" s="65">
        <f t="shared" si="2338"/>
        <v>0.52207400311339947</v>
      </c>
      <c r="EF470" s="1066">
        <f t="shared" si="2338"/>
        <v>0.52207400311339947</v>
      </c>
      <c r="EG470" s="65">
        <f t="shared" si="2338"/>
        <v>0.52457400311339963</v>
      </c>
      <c r="EH470" s="65">
        <f t="shared" si="2338"/>
        <v>0.52457400311339963</v>
      </c>
      <c r="EI470" s="1066">
        <f t="shared" si="2338"/>
        <v>0.52457400311339963</v>
      </c>
      <c r="EJ470" s="65">
        <f t="shared" si="2338"/>
        <v>0.52557400311339963</v>
      </c>
      <c r="EK470" s="65">
        <f t="shared" si="2338"/>
        <v>0.52557400311339952</v>
      </c>
      <c r="EL470" s="1066">
        <f t="shared" si="2338"/>
        <v>0.52557400311339952</v>
      </c>
      <c r="EM470" s="65">
        <f t="shared" si="2338"/>
        <v>0.52657400311339964</v>
      </c>
      <c r="EN470" s="65">
        <f t="shared" si="2338"/>
        <v>0.52657400311339952</v>
      </c>
      <c r="EO470" s="1066">
        <f t="shared" si="2338"/>
        <v>0.52657400311339964</v>
      </c>
      <c r="EP470" s="65">
        <f t="shared" si="2338"/>
        <v>0.52657400311339952</v>
      </c>
      <c r="EQ470" s="65">
        <f t="shared" si="2338"/>
        <v>0.52657400311339952</v>
      </c>
      <c r="ER470" s="1066">
        <f t="shared" si="2338"/>
        <v>0.52657400311339964</v>
      </c>
      <c r="ES470" s="65">
        <f t="shared" ref="ES470:EX470" si="2339">ES469/ES420</f>
        <v>0.52657400311339941</v>
      </c>
      <c r="ET470" s="65">
        <f t="shared" si="2339"/>
        <v>0.52657400311339941</v>
      </c>
      <c r="EU470" s="1066">
        <f t="shared" si="2339"/>
        <v>0.52657400311339952</v>
      </c>
      <c r="EV470" s="65">
        <f t="shared" si="2339"/>
        <v>0.52657400311339952</v>
      </c>
      <c r="EW470" s="65">
        <f t="shared" si="2339"/>
        <v>0.52657400311339952</v>
      </c>
      <c r="EX470" s="1066">
        <f t="shared" si="2339"/>
        <v>0.52657400311339964</v>
      </c>
      <c r="EY470" s="65">
        <f t="shared" ref="EY470:FA470" si="2340">EY469/EY420</f>
        <v>0.52657400311339941</v>
      </c>
      <c r="EZ470" s="65">
        <f t="shared" si="2340"/>
        <v>0.52657400311339964</v>
      </c>
      <c r="FA470" s="1066">
        <f t="shared" si="2340"/>
        <v>0.52657400311339952</v>
      </c>
    </row>
    <row r="471" spans="1:157" s="233" customFormat="1" outlineLevel="1">
      <c r="A471" s="1147"/>
      <c r="B471" s="246" t="s">
        <v>394</v>
      </c>
      <c r="D471" s="245" t="s">
        <v>604</v>
      </c>
      <c r="BA471" s="233">
        <f>BA347</f>
        <v>0</v>
      </c>
      <c r="BB471" s="233">
        <f>BB347</f>
        <v>0</v>
      </c>
      <c r="BC471" s="233">
        <f>SUM(BA471:BB471)</f>
        <v>0</v>
      </c>
      <c r="BD471" s="233">
        <f>BD347</f>
        <v>0</v>
      </c>
      <c r="BE471" s="233">
        <f>BE347</f>
        <v>0</v>
      </c>
      <c r="BF471" s="233">
        <f>SUM(BD471:BE471)</f>
        <v>0</v>
      </c>
      <c r="BG471" s="233">
        <f>BG347</f>
        <v>0</v>
      </c>
      <c r="BH471" s="233">
        <f>BH347</f>
        <v>0</v>
      </c>
      <c r="BI471" s="233">
        <f>SUM(BG471:BH471)</f>
        <v>0</v>
      </c>
      <c r="BJ471" s="233">
        <f>BJ347</f>
        <v>0</v>
      </c>
      <c r="BK471" s="233">
        <f>BK347</f>
        <v>0</v>
      </c>
      <c r="BL471" s="233">
        <f>SUM(BJ471:BK471)</f>
        <v>0</v>
      </c>
      <c r="BM471" s="233">
        <f>BM347</f>
        <v>39.597915327844788</v>
      </c>
      <c r="BN471" s="233">
        <f>BN347</f>
        <v>37.279281999604436</v>
      </c>
      <c r="BO471" s="233">
        <f>SUM(BM471:BN471)</f>
        <v>76.877197327449224</v>
      </c>
      <c r="BP471" s="233">
        <f>BP347</f>
        <v>43.247181076473098</v>
      </c>
      <c r="BQ471" s="233">
        <f>BQ347</f>
        <v>50.088972158835006</v>
      </c>
      <c r="BR471" s="233">
        <f>SUM(BP471:BQ471)</f>
        <v>93.336153235308103</v>
      </c>
      <c r="BS471" s="233">
        <f>BS347</f>
        <v>33.397999999999996</v>
      </c>
      <c r="BT471" s="233">
        <f>BT347</f>
        <v>30.009000000000004</v>
      </c>
      <c r="BU471" s="233">
        <f>SUM(BS471:BT471)</f>
        <v>63.406999999999996</v>
      </c>
      <c r="BV471" s="233">
        <f>BV347</f>
        <v>39.22699999999999</v>
      </c>
      <c r="BW471" s="233">
        <f>BW347</f>
        <v>43.28</v>
      </c>
      <c r="BX471" s="233">
        <f>SUM(BV471:BW471)</f>
        <v>82.506999999999991</v>
      </c>
      <c r="BY471" s="233">
        <f>BY347</f>
        <v>48.658000000000001</v>
      </c>
      <c r="BZ471" s="233">
        <f>BZ347</f>
        <v>63.789356159455423</v>
      </c>
      <c r="CA471" s="233">
        <f>SUM(BY471:BZ471)</f>
        <v>112.44735615945542</v>
      </c>
      <c r="CB471" s="233">
        <f>CB347</f>
        <v>66.995956051171206</v>
      </c>
      <c r="CC471" s="233">
        <f>CC347</f>
        <v>71.454578976610691</v>
      </c>
      <c r="CD471" s="233">
        <f>SUM(CB471:CC471)</f>
        <v>138.45053502778188</v>
      </c>
      <c r="CE471" s="233">
        <f>CE347</f>
        <v>61.047820162023498</v>
      </c>
      <c r="CF471" s="233">
        <f>CF347</f>
        <v>73.178811692223988</v>
      </c>
      <c r="CG471" s="233">
        <f>SUM(CE471:CF471)</f>
        <v>134.2266318542475</v>
      </c>
      <c r="CH471" s="233">
        <f>CH347</f>
        <v>68.307733851269603</v>
      </c>
      <c r="CI471" s="233">
        <f>CI347</f>
        <v>64.487098993402753</v>
      </c>
      <c r="CJ471" s="233">
        <f>SUM(CH471:CI471)</f>
        <v>132.79483284467236</v>
      </c>
      <c r="CK471" s="233">
        <f>CK347</f>
        <v>65.498937476012401</v>
      </c>
      <c r="CL471" s="233">
        <f>CL347</f>
        <v>65.023633936595658</v>
      </c>
      <c r="CM471" s="233">
        <f>SUM(CK471:CL471)</f>
        <v>130.52257141260804</v>
      </c>
      <c r="CN471" s="233">
        <f>CN347</f>
        <v>72.656000000000063</v>
      </c>
      <c r="CO471" s="233">
        <f>CO347</f>
        <v>94.525999999999996</v>
      </c>
      <c r="CP471" s="233">
        <f>SUM(CN471:CO471)</f>
        <v>167.18200000000007</v>
      </c>
      <c r="CQ471" s="233">
        <f>CQ347</f>
        <v>84.90000000000002</v>
      </c>
      <c r="CR471" s="233">
        <f>CR347</f>
        <v>87.213000000000008</v>
      </c>
      <c r="CS471" s="233">
        <f>SUM(CQ471:CR471)</f>
        <v>172.11300000000003</v>
      </c>
      <c r="CT471" s="233">
        <f>CT347</f>
        <v>86.441000000000059</v>
      </c>
      <c r="CU471" s="233">
        <f>CU347</f>
        <v>94.110889411793607</v>
      </c>
      <c r="CV471" s="233">
        <f>SUM(CT471:CU471)</f>
        <v>180.55188941179367</v>
      </c>
      <c r="CW471" s="233">
        <f>CW347</f>
        <v>88.854863558693921</v>
      </c>
      <c r="CX471" s="233">
        <f>CX347</f>
        <v>92.697911751005662</v>
      </c>
      <c r="CY471" s="233">
        <f>SUM(CW471:CX471)</f>
        <v>181.5527753096996</v>
      </c>
      <c r="CZ471" s="233">
        <f>CZ347</f>
        <v>93.63586214202121</v>
      </c>
      <c r="DA471" s="233">
        <f>DA347</f>
        <v>115.89226369684556</v>
      </c>
      <c r="DB471" s="233">
        <f>SUM(CZ471:DA471)</f>
        <v>209.52812583886677</v>
      </c>
      <c r="DC471" s="233">
        <f>DC347</f>
        <v>114.31124490543851</v>
      </c>
      <c r="DD471" s="233">
        <f>DD347</f>
        <v>123.92532921463366</v>
      </c>
      <c r="DE471" s="233">
        <f>SUM(DC471:DD471)</f>
        <v>238.23657412007219</v>
      </c>
      <c r="DF471" s="233">
        <f>DF347</f>
        <v>112.29075810971592</v>
      </c>
      <c r="DG471" s="233">
        <f>DG347</f>
        <v>81.847897625087228</v>
      </c>
      <c r="DH471" s="1070">
        <f>SUM(DF471:DG471)</f>
        <v>194.13865573480314</v>
      </c>
      <c r="DI471" s="233">
        <f>DI347</f>
        <v>100.5</v>
      </c>
      <c r="DJ471" s="233">
        <f>DJ347</f>
        <v>127.1</v>
      </c>
      <c r="DK471" s="1070">
        <f>SUM(DI471:DJ471)</f>
        <v>227.6</v>
      </c>
      <c r="DL471" s="233">
        <f>DL347</f>
        <v>137.9</v>
      </c>
      <c r="DM471" s="233">
        <f>DM347</f>
        <v>136.49999999999997</v>
      </c>
      <c r="DN471" s="1070">
        <f>SUM(DL471:DM471)</f>
        <v>274.39999999999998</v>
      </c>
      <c r="DO471" s="233">
        <f>DO347</f>
        <v>127.4</v>
      </c>
      <c r="DP471" s="233">
        <f>DP347</f>
        <v>165.1</v>
      </c>
      <c r="DQ471" s="1070">
        <f>SUM(DO471:DP471)</f>
        <v>292.5</v>
      </c>
      <c r="DR471" s="233">
        <f>DR347</f>
        <v>160.9</v>
      </c>
      <c r="DS471" s="233">
        <f>DS347</f>
        <v>188.79999999999998</v>
      </c>
      <c r="DT471" s="1070">
        <f>SUM(DR471:DS471)</f>
        <v>349.7</v>
      </c>
      <c r="DU471" s="233">
        <f>DU347</f>
        <v>148</v>
      </c>
      <c r="DV471" s="233">
        <f>DV347</f>
        <v>199.2</v>
      </c>
      <c r="DW471" s="1070">
        <f>SUM(DU471:DV471)</f>
        <v>347.2</v>
      </c>
      <c r="DX471" s="233">
        <f>DX347</f>
        <v>161.9</v>
      </c>
      <c r="DY471" s="233">
        <f>DY347</f>
        <v>218.23041354447861</v>
      </c>
      <c r="DZ471" s="1070">
        <f>SUM(DX471:DY471)</f>
        <v>380.13041354447864</v>
      </c>
      <c r="EA471" s="233">
        <f>EA347</f>
        <v>192.89718616446032</v>
      </c>
      <c r="EB471" s="233">
        <f>EB347</f>
        <v>235.98781232076536</v>
      </c>
      <c r="EC471" s="1070">
        <f>SUM(EA471:EB471)</f>
        <v>428.88499848522565</v>
      </c>
      <c r="ED471" s="233">
        <f>ED347</f>
        <v>212.23475892727893</v>
      </c>
      <c r="EE471" s="233">
        <f>EE347</f>
        <v>259.64684003021512</v>
      </c>
      <c r="EF471" s="1070">
        <f>SUM(ED471:EE471)</f>
        <v>471.88159895749402</v>
      </c>
      <c r="EG471" s="233">
        <f>EG347</f>
        <v>232.63071814974552</v>
      </c>
      <c r="EH471" s="233">
        <f>EH347</f>
        <v>284.59914046858796</v>
      </c>
      <c r="EI471" s="1070">
        <f>SUM(EG471:EH471)</f>
        <v>517.22985861833354</v>
      </c>
      <c r="EJ471" s="233">
        <f>EJ347</f>
        <v>254.13202906391169</v>
      </c>
      <c r="EK471" s="233">
        <f>EK347</f>
        <v>310.90372409910577</v>
      </c>
      <c r="EL471" s="1070">
        <f>SUM(EJ471:EK471)</f>
        <v>565.03575316301749</v>
      </c>
      <c r="EM471" s="233">
        <f>EM347</f>
        <v>277.61926712561484</v>
      </c>
      <c r="EN471" s="233">
        <f>EN347</f>
        <v>339.63787974532141</v>
      </c>
      <c r="EO471" s="1070">
        <f>SUM(EM471:EN471)</f>
        <v>617.25714687093625</v>
      </c>
      <c r="EP471" s="233">
        <f>EP347</f>
        <v>302.6050011669202</v>
      </c>
      <c r="EQ471" s="233">
        <f>EQ347</f>
        <v>370.20528892240037</v>
      </c>
      <c r="ER471" s="1070">
        <f>SUM(EP471:EQ471)</f>
        <v>672.81029008932057</v>
      </c>
      <c r="ES471" s="233">
        <f>ES347</f>
        <v>329.83945127194301</v>
      </c>
      <c r="ET471" s="233">
        <f>ET347</f>
        <v>403.52376492541646</v>
      </c>
      <c r="EU471" s="1070">
        <f>SUM(ES471:ET471)</f>
        <v>733.36321619735941</v>
      </c>
      <c r="EV471" s="233">
        <f>EV347</f>
        <v>359.5250018864179</v>
      </c>
      <c r="EW471" s="233">
        <f>EW347</f>
        <v>439.84090376870381</v>
      </c>
      <c r="EX471" s="1070">
        <f>SUM(EV471:EW471)</f>
        <v>799.36590565512165</v>
      </c>
      <c r="EY471" s="233">
        <f>EY347</f>
        <v>391.88225205619551</v>
      </c>
      <c r="EZ471" s="233">
        <f>EZ347</f>
        <v>479.42658510788743</v>
      </c>
      <c r="FA471" s="1070">
        <f>SUM(EY471:EZ471)</f>
        <v>871.30883716408289</v>
      </c>
    </row>
    <row r="472" spans="1:157" outlineLevel="1">
      <c r="B472" s="31"/>
      <c r="C472" s="35" t="str">
        <f>C470</f>
        <v>margin</v>
      </c>
      <c r="D472" s="162" t="s">
        <v>460</v>
      </c>
      <c r="BA472" s="65"/>
      <c r="BB472" s="65"/>
      <c r="BC472" s="65"/>
      <c r="BD472" s="65">
        <f t="shared" ref="BD472:CI472" si="2341">BD471/BD422</f>
        <v>0</v>
      </c>
      <c r="BE472" s="65">
        <f t="shared" si="2341"/>
        <v>0</v>
      </c>
      <c r="BF472" s="65">
        <f t="shared" si="2341"/>
        <v>0</v>
      </c>
      <c r="BG472" s="65">
        <f t="shared" si="2341"/>
        <v>0</v>
      </c>
      <c r="BH472" s="65">
        <f t="shared" si="2341"/>
        <v>0</v>
      </c>
      <c r="BI472" s="65">
        <f t="shared" si="2341"/>
        <v>0</v>
      </c>
      <c r="BJ472" s="65">
        <f t="shared" si="2341"/>
        <v>0</v>
      </c>
      <c r="BK472" s="65">
        <f t="shared" si="2341"/>
        <v>0</v>
      </c>
      <c r="BL472" s="65">
        <f t="shared" si="2341"/>
        <v>0</v>
      </c>
      <c r="BM472" s="65">
        <f t="shared" si="2341"/>
        <v>0.55060615067380692</v>
      </c>
      <c r="BN472" s="65">
        <f t="shared" si="2341"/>
        <v>0.53886401823888808</v>
      </c>
      <c r="BO472" s="65">
        <f t="shared" si="2341"/>
        <v>0.54484891672102009</v>
      </c>
      <c r="BP472" s="65">
        <f t="shared" si="2341"/>
        <v>0.53127878857474065</v>
      </c>
      <c r="BQ472" s="65">
        <f t="shared" si="2341"/>
        <v>0.54871509614745584</v>
      </c>
      <c r="BR472" s="65">
        <f t="shared" si="2341"/>
        <v>0.54049584388332683</v>
      </c>
      <c r="BS472" s="65">
        <f t="shared" si="2341"/>
        <v>0.3221848139608916</v>
      </c>
      <c r="BT472" s="65">
        <f t="shared" si="2341"/>
        <v>0.27447841874674161</v>
      </c>
      <c r="BU472" s="65">
        <f t="shared" si="2341"/>
        <v>0.29769662710336536</v>
      </c>
      <c r="BV472" s="65">
        <f t="shared" si="2341"/>
        <v>0.32063920222331205</v>
      </c>
      <c r="BW472" s="65">
        <f t="shared" si="2341"/>
        <v>0.32091588563293394</v>
      </c>
      <c r="BX472" s="65">
        <f t="shared" si="2341"/>
        <v>0.32078428018226779</v>
      </c>
      <c r="BY472" s="65">
        <f t="shared" si="2341"/>
        <v>0.31795340935080207</v>
      </c>
      <c r="BZ472" s="65">
        <f t="shared" si="2341"/>
        <v>0.3845881303910626</v>
      </c>
      <c r="CA472" s="65">
        <f t="shared" si="2341"/>
        <v>0.3526111031867889</v>
      </c>
      <c r="CB472" s="65">
        <f t="shared" si="2341"/>
        <v>0.47296402318071018</v>
      </c>
      <c r="CC472" s="65">
        <f t="shared" si="2341"/>
        <v>0.47698407427518802</v>
      </c>
      <c r="CD472" s="65">
        <f t="shared" si="2341"/>
        <v>0.47503028054621865</v>
      </c>
      <c r="CE472" s="65">
        <f t="shared" si="2341"/>
        <v>0.44729112532803206</v>
      </c>
      <c r="CF472" s="65">
        <f t="shared" si="2341"/>
        <v>0.46655888440170989</v>
      </c>
      <c r="CG472" s="65">
        <f t="shared" si="2341"/>
        <v>0.45759383759138833</v>
      </c>
      <c r="CH472" s="65">
        <f t="shared" si="2341"/>
        <v>0.47923807638896154</v>
      </c>
      <c r="CI472" s="65">
        <f t="shared" si="2341"/>
        <v>0.4536323740091287</v>
      </c>
      <c r="CJ472" s="65">
        <f t="shared" ref="CJ472:DO472" si="2342">CJ471/CJ422</f>
        <v>0.46645217248187754</v>
      </c>
      <c r="CK472" s="65">
        <f t="shared" si="2342"/>
        <v>0.4674030233866302</v>
      </c>
      <c r="CL472" s="65">
        <f t="shared" si="2342"/>
        <v>0.45506347048735746</v>
      </c>
      <c r="CM472" s="65">
        <f t="shared" si="2342"/>
        <v>0.46117318029894688</v>
      </c>
      <c r="CN472" s="65">
        <f t="shared" si="2342"/>
        <v>0.42954353313981364</v>
      </c>
      <c r="CO472" s="65">
        <f t="shared" si="2342"/>
        <v>0.49931207043305292</v>
      </c>
      <c r="CP472" s="65">
        <f t="shared" si="2342"/>
        <v>0.46639024842944593</v>
      </c>
      <c r="CQ472" s="65">
        <f t="shared" si="2342"/>
        <v>0.46751358762988787</v>
      </c>
      <c r="CR472" s="65">
        <f t="shared" si="2342"/>
        <v>0.44488938086954782</v>
      </c>
      <c r="CS472" s="65">
        <f t="shared" si="2342"/>
        <v>0.45576910855012309</v>
      </c>
      <c r="CT472" s="65">
        <f t="shared" si="2342"/>
        <v>0.41080220511358251</v>
      </c>
      <c r="CU472" s="65">
        <f t="shared" si="2342"/>
        <v>0.43410348343501071</v>
      </c>
      <c r="CV472" s="65">
        <f t="shared" si="2342"/>
        <v>0.42262666217727041</v>
      </c>
      <c r="CW472" s="65">
        <f t="shared" si="2342"/>
        <v>0.42732891827391289</v>
      </c>
      <c r="CX472" s="65">
        <f t="shared" si="2342"/>
        <v>0.42020956470647575</v>
      </c>
      <c r="CY472" s="65">
        <f t="shared" si="2342"/>
        <v>0.42366400874623633</v>
      </c>
      <c r="CZ472" s="65">
        <f t="shared" si="2342"/>
        <v>0.43220272181140135</v>
      </c>
      <c r="DA472" s="65">
        <f t="shared" si="2342"/>
        <v>0.45703120167144939</v>
      </c>
      <c r="DB472" s="65">
        <f t="shared" si="2342"/>
        <v>0.44559189248824299</v>
      </c>
      <c r="DC472" s="65">
        <f t="shared" si="2342"/>
        <v>0.46188255672137518</v>
      </c>
      <c r="DD472" s="65">
        <f t="shared" si="2342"/>
        <v>0.45812504102188945</v>
      </c>
      <c r="DE472" s="65">
        <f t="shared" si="2342"/>
        <v>0.45992032171876951</v>
      </c>
      <c r="DF472" s="65">
        <f t="shared" si="2342"/>
        <v>0.42969431285980569</v>
      </c>
      <c r="DG472" s="65">
        <f t="shared" si="2342"/>
        <v>0.37033630671487611</v>
      </c>
      <c r="DH472" s="1066">
        <f t="shared" si="2342"/>
        <v>0.40249610986306283</v>
      </c>
      <c r="DI472" s="65">
        <f t="shared" si="2342"/>
        <v>0.42297979797979801</v>
      </c>
      <c r="DJ472" s="65">
        <f t="shared" si="2342"/>
        <v>0.45376651196001422</v>
      </c>
      <c r="DK472" s="1066">
        <f t="shared" si="2342"/>
        <v>0.43963685532161478</v>
      </c>
      <c r="DL472" s="65">
        <f t="shared" si="2342"/>
        <v>0.48082287308228733</v>
      </c>
      <c r="DM472" s="65">
        <f t="shared" si="2342"/>
        <v>0.46794652039766876</v>
      </c>
      <c r="DN472" s="1066">
        <f t="shared" si="2342"/>
        <v>0.47433016421780461</v>
      </c>
      <c r="DO472" s="65">
        <f t="shared" si="2342"/>
        <v>0.44436693407743288</v>
      </c>
      <c r="DP472" s="65">
        <f t="shared" ref="DP472:ER472" si="2343">DP471/DP422</f>
        <v>0.46810320385596826</v>
      </c>
      <c r="DQ472" s="1066">
        <f t="shared" si="2343"/>
        <v>0.45746011886143262</v>
      </c>
      <c r="DR472" s="65">
        <f t="shared" si="2343"/>
        <v>0.45645390070921987</v>
      </c>
      <c r="DS472" s="65">
        <f t="shared" si="2343"/>
        <v>0.48028491477995416</v>
      </c>
      <c r="DT472" s="1066">
        <f t="shared" si="2343"/>
        <v>0.4690182403433476</v>
      </c>
      <c r="DU472" s="65">
        <f t="shared" si="2343"/>
        <v>0.41088284286507498</v>
      </c>
      <c r="DV472" s="65">
        <f t="shared" si="2343"/>
        <v>0.46379511059371353</v>
      </c>
      <c r="DW472" s="1066">
        <f t="shared" si="2343"/>
        <v>0.43966063061922245</v>
      </c>
      <c r="DX472" s="65">
        <f t="shared" si="2343"/>
        <v>0.43556631692224917</v>
      </c>
      <c r="DY472" s="65">
        <f t="shared" si="2343"/>
        <v>0.4366418570909617</v>
      </c>
      <c r="DZ472" s="1066">
        <f t="shared" si="2343"/>
        <v>0.43618312888840632</v>
      </c>
      <c r="EA472" s="65">
        <f t="shared" si="2343"/>
        <v>0.44164696374820062</v>
      </c>
      <c r="EB472" s="65">
        <f t="shared" si="2343"/>
        <v>0.44164816808178992</v>
      </c>
      <c r="EC472" s="1066">
        <f t="shared" si="2343"/>
        <v>0.44164762641465305</v>
      </c>
      <c r="ED472" s="65">
        <f t="shared" si="2343"/>
        <v>0.44665269386548367</v>
      </c>
      <c r="EE472" s="65">
        <f t="shared" si="2343"/>
        <v>0.44665388062404787</v>
      </c>
      <c r="EF472" s="1066">
        <f t="shared" si="2343"/>
        <v>0.4466533468634889</v>
      </c>
      <c r="EG472" s="65">
        <f t="shared" si="2343"/>
        <v>0.44915269386548351</v>
      </c>
      <c r="EH472" s="65">
        <f t="shared" si="2343"/>
        <v>0.44915388062404782</v>
      </c>
      <c r="EI472" s="1066">
        <f t="shared" si="2343"/>
        <v>0.4491533468634889</v>
      </c>
      <c r="EJ472" s="65">
        <f t="shared" si="2343"/>
        <v>0.45015269386548351</v>
      </c>
      <c r="EK472" s="65">
        <f t="shared" si="2343"/>
        <v>0.45015388062404776</v>
      </c>
      <c r="EL472" s="1066">
        <f t="shared" si="2343"/>
        <v>0.45015334686348885</v>
      </c>
      <c r="EM472" s="65">
        <f t="shared" si="2343"/>
        <v>0.45115269386548362</v>
      </c>
      <c r="EN472" s="65">
        <f t="shared" si="2343"/>
        <v>0.45115388062404793</v>
      </c>
      <c r="EO472" s="1066">
        <f t="shared" si="2343"/>
        <v>0.45115334686348901</v>
      </c>
      <c r="EP472" s="65">
        <f t="shared" si="2343"/>
        <v>0.45115269386548357</v>
      </c>
      <c r="EQ472" s="65">
        <f t="shared" si="2343"/>
        <v>0.45115388062404793</v>
      </c>
      <c r="ER472" s="1066">
        <f t="shared" si="2343"/>
        <v>0.4511533468634889</v>
      </c>
      <c r="ES472" s="65">
        <f t="shared" ref="ES472:EX472" si="2344">ES471/ES422</f>
        <v>0.45115269386548351</v>
      </c>
      <c r="ET472" s="65">
        <f t="shared" si="2344"/>
        <v>0.45115388062404793</v>
      </c>
      <c r="EU472" s="1066">
        <f t="shared" si="2344"/>
        <v>0.45115334686348885</v>
      </c>
      <c r="EV472" s="65">
        <f t="shared" si="2344"/>
        <v>0.45115269386548351</v>
      </c>
      <c r="EW472" s="65">
        <f t="shared" si="2344"/>
        <v>0.45115388062404788</v>
      </c>
      <c r="EX472" s="1066">
        <f t="shared" si="2344"/>
        <v>0.45115334686348885</v>
      </c>
      <c r="EY472" s="65">
        <f t="shared" ref="EY472:FA472" si="2345">EY471/EY422</f>
        <v>0.45115269386548346</v>
      </c>
      <c r="EZ472" s="65">
        <f t="shared" si="2345"/>
        <v>0.45115388062404799</v>
      </c>
      <c r="FA472" s="1066">
        <f t="shared" si="2345"/>
        <v>0.4511533468634889</v>
      </c>
    </row>
    <row r="473" spans="1:157" s="233" customFormat="1" outlineLevel="1">
      <c r="A473" s="1147"/>
      <c r="B473" s="246" t="s">
        <v>384</v>
      </c>
      <c r="D473" s="245" t="s">
        <v>604</v>
      </c>
      <c r="BA473" s="233">
        <f>BA416</f>
        <v>0</v>
      </c>
      <c r="BB473" s="233">
        <f>BB416</f>
        <v>0</v>
      </c>
      <c r="BC473" s="233">
        <f>SUM(BA473:BB473)</f>
        <v>0</v>
      </c>
      <c r="BD473" s="233">
        <f>BD416</f>
        <v>0</v>
      </c>
      <c r="BE473" s="233">
        <f>BE416</f>
        <v>0</v>
      </c>
      <c r="BF473" s="233">
        <f>SUM(BD473:BE473)</f>
        <v>0</v>
      </c>
      <c r="BG473" s="233">
        <f>BG416</f>
        <v>0</v>
      </c>
      <c r="BH473" s="233">
        <f>BH416</f>
        <v>0</v>
      </c>
      <c r="BI473" s="233">
        <f>SUM(BG473:BH473)</f>
        <v>0</v>
      </c>
      <c r="BJ473" s="233">
        <f>BJ416</f>
        <v>0</v>
      </c>
      <c r="BK473" s="233">
        <f>BK416</f>
        <v>0</v>
      </c>
      <c r="BL473" s="233">
        <f>SUM(BJ473:BK473)</f>
        <v>0</v>
      </c>
      <c r="BM473" s="233">
        <f>BM416</f>
        <v>0</v>
      </c>
      <c r="BN473" s="233">
        <f>BN416</f>
        <v>0</v>
      </c>
      <c r="BO473" s="233">
        <f>SUM(BM473:BN473)</f>
        <v>0</v>
      </c>
      <c r="BP473" s="233">
        <f>BP416</f>
        <v>0</v>
      </c>
      <c r="BQ473" s="233">
        <f>BQ416</f>
        <v>0</v>
      </c>
      <c r="BR473" s="233">
        <f>SUM(BP473:BQ473)</f>
        <v>0</v>
      </c>
      <c r="BS473" s="233">
        <f>BS416</f>
        <v>10.957999999999998</v>
      </c>
      <c r="BT473" s="233">
        <f>BT416</f>
        <v>9.3399999999999981</v>
      </c>
      <c r="BU473" s="233">
        <f>SUM(BS473:BT473)</f>
        <v>20.297999999999995</v>
      </c>
      <c r="BV473" s="233">
        <f>BV416</f>
        <v>9.4880000000000031</v>
      </c>
      <c r="BW473" s="233">
        <f>BW416</f>
        <v>11.997</v>
      </c>
      <c r="BX473" s="233">
        <f>SUM(BV473:BW473)</f>
        <v>21.485000000000003</v>
      </c>
      <c r="BY473" s="233">
        <f>BY416</f>
        <v>8.593</v>
      </c>
      <c r="BZ473" s="233">
        <f>BZ416</f>
        <v>11.255276754189403</v>
      </c>
      <c r="CA473" s="233">
        <f>SUM(BY473:BZ473)</f>
        <v>19.848276754189403</v>
      </c>
      <c r="CB473" s="233">
        <f>CB416</f>
        <v>15.401692557430657</v>
      </c>
      <c r="CC473" s="233">
        <f>CC416</f>
        <v>15.485899166772223</v>
      </c>
      <c r="CD473" s="233">
        <f>SUM(CB473:CC473)</f>
        <v>30.887591724202878</v>
      </c>
      <c r="CE473" s="233">
        <f>CE416</f>
        <v>17.126765648619681</v>
      </c>
      <c r="CF473" s="233">
        <f>CF416</f>
        <v>20.29689419413592</v>
      </c>
      <c r="CG473" s="233">
        <f>SUM(CE473:CF473)</f>
        <v>37.423659842755598</v>
      </c>
      <c r="CH473" s="233">
        <f>CH416</f>
        <v>19.76716126697767</v>
      </c>
      <c r="CI473" s="233">
        <f>CI416</f>
        <v>24.125538778721722</v>
      </c>
      <c r="CJ473" s="233">
        <f>SUM(CH473:CI473)</f>
        <v>43.892700045699392</v>
      </c>
      <c r="CK473" s="233">
        <f>CK416</f>
        <v>30.883159520205254</v>
      </c>
      <c r="CL473" s="233">
        <f>CL416</f>
        <v>26.788801998002093</v>
      </c>
      <c r="CM473" s="233">
        <f>SUM(CK473:CL473)</f>
        <v>57.671961518207347</v>
      </c>
      <c r="CN473" s="233">
        <f>CN416</f>
        <v>11.535000000000004</v>
      </c>
      <c r="CO473" s="233">
        <f>CO416</f>
        <v>31.928999999999991</v>
      </c>
      <c r="CP473" s="233">
        <f>SUM(CN473:CO473)</f>
        <v>43.463999999999999</v>
      </c>
      <c r="CQ473" s="233">
        <f>CQ416</f>
        <v>15.535000000000032</v>
      </c>
      <c r="CR473" s="233">
        <f>CR416</f>
        <v>31.757000000000016</v>
      </c>
      <c r="CS473" s="233">
        <f>SUM(CQ473:CR473)</f>
        <v>47.292000000000044</v>
      </c>
      <c r="CT473" s="233">
        <f>CT416</f>
        <v>34.270000000000046</v>
      </c>
      <c r="CU473" s="233">
        <f>CU416</f>
        <v>30.548839434708157</v>
      </c>
      <c r="CV473" s="233">
        <f>SUM(CT473:CU473)</f>
        <v>64.818839434708195</v>
      </c>
      <c r="CW473" s="233">
        <f>CW416</f>
        <v>35.367101519012877</v>
      </c>
      <c r="CX473" s="233">
        <f>CX416</f>
        <v>31.689886012963235</v>
      </c>
      <c r="CY473" s="233">
        <f>SUM(CW473:CX473)</f>
        <v>67.056987531976119</v>
      </c>
      <c r="CZ473" s="233">
        <f>CZ416</f>
        <v>28.987585700973369</v>
      </c>
      <c r="DA473" s="233">
        <f>DA416</f>
        <v>41.482388123610704</v>
      </c>
      <c r="DB473" s="233">
        <f>SUM(CZ473:DA473)</f>
        <v>70.469973824584073</v>
      </c>
      <c r="DC473" s="233">
        <f>DC416</f>
        <v>34.971437946901119</v>
      </c>
      <c r="DD473" s="233">
        <f>DD416</f>
        <v>44.191284181901096</v>
      </c>
      <c r="DE473" s="233">
        <f>SUM(DC473:DD473)</f>
        <v>79.162722128802216</v>
      </c>
      <c r="DF473" s="233">
        <f>DF416</f>
        <v>40.375888880905322</v>
      </c>
      <c r="DG473" s="233">
        <f>DG416</f>
        <v>18.860208108807171</v>
      </c>
      <c r="DH473" s="1070">
        <f>SUM(DF473:DG473)</f>
        <v>59.236096989712493</v>
      </c>
      <c r="DI473" s="233">
        <f>DI416</f>
        <v>45.3</v>
      </c>
      <c r="DJ473" s="233">
        <f>DJ416</f>
        <v>28.900000000000006</v>
      </c>
      <c r="DK473" s="1070">
        <f>SUM(DI473:DJ473)</f>
        <v>74.2</v>
      </c>
      <c r="DL473" s="233">
        <f>DL416</f>
        <v>46.3</v>
      </c>
      <c r="DM473" s="233">
        <f>DM416</f>
        <v>45.7</v>
      </c>
      <c r="DN473" s="1070">
        <f>SUM(DL473:DM473)</f>
        <v>92</v>
      </c>
      <c r="DO473" s="233">
        <f>DO416</f>
        <v>56.8</v>
      </c>
      <c r="DP473" s="233">
        <f>DP416</f>
        <v>48.100000000000009</v>
      </c>
      <c r="DQ473" s="1070">
        <f>SUM(DO473:DP473)</f>
        <v>104.9</v>
      </c>
      <c r="DR473" s="233">
        <f>DR416</f>
        <v>24.1</v>
      </c>
      <c r="DS473" s="233">
        <f>DS416</f>
        <v>78.099999999999994</v>
      </c>
      <c r="DT473" s="1070">
        <f>SUM(DR473:DS473)</f>
        <v>102.19999999999999</v>
      </c>
      <c r="DU473" s="233">
        <f>DU416</f>
        <v>76.599999999999994</v>
      </c>
      <c r="DV473" s="233">
        <f>DV416</f>
        <v>54.200000000000017</v>
      </c>
      <c r="DW473" s="1070">
        <f>SUM(DU473:DV473)</f>
        <v>130.80000000000001</v>
      </c>
      <c r="DX473" s="233">
        <f>DX416</f>
        <v>56.2</v>
      </c>
      <c r="DY473" s="233">
        <f>DY416</f>
        <v>71.505970902546267</v>
      </c>
      <c r="DZ473" s="1070">
        <f>SUM(DX473:DY473)</f>
        <v>127.70597090254627</v>
      </c>
      <c r="EA473" s="233">
        <f>EA416</f>
        <v>87.166056973457842</v>
      </c>
      <c r="EB473" s="233">
        <f>EB416</f>
        <v>87.142234344677547</v>
      </c>
      <c r="EC473" s="1070">
        <f>SUM(EA473:EB473)</f>
        <v>174.30829131813539</v>
      </c>
      <c r="ED473" s="233">
        <f>ED416</f>
        <v>97.329223752094322</v>
      </c>
      <c r="EE473" s="233">
        <f>EE416</f>
        <v>97.243459883127116</v>
      </c>
      <c r="EF473" s="1070">
        <f>SUM(ED473:EE473)</f>
        <v>194.57268363522144</v>
      </c>
      <c r="EG473" s="233">
        <f>EG416</f>
        <v>108.77646034152451</v>
      </c>
      <c r="EH473" s="233">
        <f>EH416</f>
        <v>108.61386513705935</v>
      </c>
      <c r="EI473" s="1070">
        <f>SUM(EG473:EH473)</f>
        <v>217.39032547858386</v>
      </c>
      <c r="EJ473" s="233">
        <f>EJ416</f>
        <v>121.34853361057743</v>
      </c>
      <c r="EK473" s="233">
        <f>EK416</f>
        <v>121.09758225284889</v>
      </c>
      <c r="EL473" s="1070">
        <f>SUM(EJ473:EK473)</f>
        <v>242.44611586342631</v>
      </c>
      <c r="EM473" s="233">
        <f>EM416</f>
        <v>135.15082666593375</v>
      </c>
      <c r="EN473" s="233">
        <f>EN416</f>
        <v>134.79873197430234</v>
      </c>
      <c r="EO473" s="1070">
        <f>SUM(EM473:EN473)</f>
        <v>269.94955864023609</v>
      </c>
      <c r="EP473" s="233">
        <f>EP416</f>
        <v>150.29839762440005</v>
      </c>
      <c r="EQ473" s="233">
        <f>EQ416</f>
        <v>149.83098590689161</v>
      </c>
      <c r="ER473" s="1070">
        <f>SUM(EP473:EQ473)</f>
        <v>300.12938353129164</v>
      </c>
      <c r="ES473" s="233">
        <f>ES416</f>
        <v>166.91685918901513</v>
      </c>
      <c r="ET473" s="233">
        <f>ET416</f>
        <v>166.31843443091984</v>
      </c>
      <c r="EU473" s="1070">
        <f>SUM(ES473:ET473)</f>
        <v>333.23529361993496</v>
      </c>
      <c r="EV473" s="233">
        <f>EV416</f>
        <v>185.14333779637178</v>
      </c>
      <c r="EW473" s="233">
        <f>EW416</f>
        <v>184.39653311351498</v>
      </c>
      <c r="EX473" s="1070">
        <f>SUM(EV473:EW473)</f>
        <v>369.53987090988676</v>
      </c>
      <c r="EY473" s="233">
        <f>EY416</f>
        <v>205.12751951555629</v>
      </c>
      <c r="EZ473" s="233">
        <f>EZ416</f>
        <v>204.21313470228546</v>
      </c>
      <c r="FA473" s="1070">
        <f>SUM(EY473:EZ473)</f>
        <v>409.34065421784175</v>
      </c>
    </row>
    <row r="474" spans="1:157" outlineLevel="1">
      <c r="B474" s="31"/>
      <c r="C474" s="35" t="str">
        <f>C472</f>
        <v>margin</v>
      </c>
      <c r="D474" s="162" t="s">
        <v>460</v>
      </c>
      <c r="BA474" s="65">
        <f t="shared" ref="BA474:CF474" si="2346">BA473/BA424</f>
        <v>0</v>
      </c>
      <c r="BB474" s="65">
        <f t="shared" si="2346"/>
        <v>0</v>
      </c>
      <c r="BC474" s="65">
        <f t="shared" si="2346"/>
        <v>0</v>
      </c>
      <c r="BD474" s="65">
        <f t="shared" si="2346"/>
        <v>0</v>
      </c>
      <c r="BE474" s="65">
        <f t="shared" si="2346"/>
        <v>0</v>
      </c>
      <c r="BF474" s="65">
        <f t="shared" si="2346"/>
        <v>0</v>
      </c>
      <c r="BG474" s="65">
        <f t="shared" si="2346"/>
        <v>0</v>
      </c>
      <c r="BH474" s="65">
        <f t="shared" si="2346"/>
        <v>0</v>
      </c>
      <c r="BI474" s="65">
        <f t="shared" si="2346"/>
        <v>0</v>
      </c>
      <c r="BJ474" s="65">
        <f t="shared" si="2346"/>
        <v>0</v>
      </c>
      <c r="BK474" s="65">
        <f t="shared" si="2346"/>
        <v>0</v>
      </c>
      <c r="BL474" s="65">
        <f t="shared" si="2346"/>
        <v>0</v>
      </c>
      <c r="BM474" s="65">
        <f t="shared" si="2346"/>
        <v>0</v>
      </c>
      <c r="BN474" s="65">
        <f t="shared" si="2346"/>
        <v>0</v>
      </c>
      <c r="BO474" s="65">
        <f t="shared" si="2346"/>
        <v>0</v>
      </c>
      <c r="BP474" s="65">
        <f t="shared" si="2346"/>
        <v>0</v>
      </c>
      <c r="BQ474" s="65">
        <f t="shared" si="2346"/>
        <v>0</v>
      </c>
      <c r="BR474" s="65">
        <f t="shared" si="2346"/>
        <v>0</v>
      </c>
      <c r="BS474" s="65">
        <f t="shared" si="2346"/>
        <v>0.2595022142231273</v>
      </c>
      <c r="BT474" s="65">
        <f t="shared" si="2346"/>
        <v>0.24644449721628534</v>
      </c>
      <c r="BU474" s="65">
        <f t="shared" si="2346"/>
        <v>0.25332601153183726</v>
      </c>
      <c r="BV474" s="65">
        <f t="shared" si="2346"/>
        <v>0.22096462423437915</v>
      </c>
      <c r="BW474" s="65">
        <f t="shared" si="2346"/>
        <v>0.24918993020937186</v>
      </c>
      <c r="BX474" s="65">
        <f t="shared" si="2346"/>
        <v>0.23588375437787515</v>
      </c>
      <c r="BY474" s="65">
        <f t="shared" si="2346"/>
        <v>0.18954450204036616</v>
      </c>
      <c r="BZ474" s="65">
        <f t="shared" si="2346"/>
        <v>0.23854011432242719</v>
      </c>
      <c r="CA474" s="65">
        <f t="shared" si="2346"/>
        <v>0.21453189889849009</v>
      </c>
      <c r="CB474" s="65">
        <f t="shared" si="2346"/>
        <v>0.32384938304605992</v>
      </c>
      <c r="CC474" s="65">
        <f t="shared" si="2346"/>
        <v>0.31241334540625088</v>
      </c>
      <c r="CD474" s="65">
        <f t="shared" si="2346"/>
        <v>0.3180130070697611</v>
      </c>
      <c r="CE474" s="65">
        <f t="shared" si="2346"/>
        <v>0.30461289703301664</v>
      </c>
      <c r="CF474" s="65">
        <f t="shared" si="2346"/>
        <v>0.30885449047942076</v>
      </c>
      <c r="CG474" s="65">
        <f t="shared" ref="CG474:DL474" si="2347">CG473/CG424</f>
        <v>0.30689877798809134</v>
      </c>
      <c r="CH474" s="65">
        <f t="shared" si="2347"/>
        <v>0.33125544302769916</v>
      </c>
      <c r="CI474" s="65">
        <f t="shared" si="2347"/>
        <v>0.38147120049679456</v>
      </c>
      <c r="CJ474" s="65">
        <f t="shared" si="2347"/>
        <v>0.35709254308025995</v>
      </c>
      <c r="CK474" s="65">
        <f t="shared" si="2347"/>
        <v>0.39767828714576436</v>
      </c>
      <c r="CL474" s="65">
        <f t="shared" si="2347"/>
        <v>0.38294983517584796</v>
      </c>
      <c r="CM474" s="65">
        <f t="shared" si="2347"/>
        <v>0.39069844709502799</v>
      </c>
      <c r="CN474" s="65">
        <f t="shared" si="2347"/>
        <v>0.19937430862831865</v>
      </c>
      <c r="CO474" s="65">
        <f t="shared" si="2347"/>
        <v>0.38125231361006279</v>
      </c>
      <c r="CP474" s="65">
        <f t="shared" si="2347"/>
        <v>0.30694115711609088</v>
      </c>
      <c r="CQ474" s="65">
        <f t="shared" si="2347"/>
        <v>0.24429941814750808</v>
      </c>
      <c r="CR474" s="65">
        <f t="shared" si="2347"/>
        <v>0.32499616230875517</v>
      </c>
      <c r="CS474" s="65">
        <f t="shared" si="2347"/>
        <v>0.29318372028145467</v>
      </c>
      <c r="CT474" s="65">
        <f t="shared" si="2347"/>
        <v>0.3196261856573932</v>
      </c>
      <c r="CU474" s="65">
        <f t="shared" si="2347"/>
        <v>0.29635238310781742</v>
      </c>
      <c r="CV474" s="65">
        <f t="shared" si="2347"/>
        <v>0.30821815694063942</v>
      </c>
      <c r="CW474" s="65">
        <f t="shared" si="2347"/>
        <v>0.31774087683736008</v>
      </c>
      <c r="CX474" s="65">
        <f t="shared" si="2347"/>
        <v>0.30209348910538358</v>
      </c>
      <c r="CY474" s="65">
        <f t="shared" si="2347"/>
        <v>0.31014902818710721</v>
      </c>
      <c r="CZ474" s="65">
        <f t="shared" si="2347"/>
        <v>0.30712816621120287</v>
      </c>
      <c r="DA474" s="65">
        <f t="shared" si="2347"/>
        <v>0.33872937375789453</v>
      </c>
      <c r="DB474" s="65">
        <f t="shared" si="2347"/>
        <v>0.32497496664316755</v>
      </c>
      <c r="DC474" s="65">
        <f t="shared" si="2347"/>
        <v>0.31001379718230215</v>
      </c>
      <c r="DD474" s="65">
        <f t="shared" si="2347"/>
        <v>0.35280796951183524</v>
      </c>
      <c r="DE474" s="65">
        <f t="shared" si="2347"/>
        <v>0.33252987917667576</v>
      </c>
      <c r="DF474" s="65">
        <f t="shared" si="2347"/>
        <v>0.30321229956148771</v>
      </c>
      <c r="DG474" s="65">
        <f t="shared" si="2347"/>
        <v>0.21049829500171066</v>
      </c>
      <c r="DH474" s="1066">
        <f t="shared" si="2347"/>
        <v>0.26592085546598315</v>
      </c>
      <c r="DI474" s="65">
        <f t="shared" si="2347"/>
        <v>0.34980694980694976</v>
      </c>
      <c r="DJ474" s="65">
        <f t="shared" si="2347"/>
        <v>0.23825226710634792</v>
      </c>
      <c r="DK474" s="1066">
        <f t="shared" si="2347"/>
        <v>0.29585326953748003</v>
      </c>
      <c r="DL474" s="65">
        <f t="shared" si="2347"/>
        <v>0.33047822983583153</v>
      </c>
      <c r="DM474" s="65">
        <f t="shared" ref="DM474:ER474" si="2348">DM473/DM424</f>
        <v>0.32002801120448188</v>
      </c>
      <c r="DN474" s="1066">
        <f t="shared" si="2348"/>
        <v>0.32520325203252037</v>
      </c>
      <c r="DO474" s="65">
        <f t="shared" si="2348"/>
        <v>0.35257603972687773</v>
      </c>
      <c r="DP474" s="65">
        <f t="shared" si="2348"/>
        <v>0.27190503109101188</v>
      </c>
      <c r="DQ474" s="1066">
        <f t="shared" si="2348"/>
        <v>0.31035502958579886</v>
      </c>
      <c r="DR474" s="65">
        <f t="shared" si="2348"/>
        <v>0.13732193732193734</v>
      </c>
      <c r="DS474" s="65">
        <f t="shared" si="2348"/>
        <v>0.39765784114052954</v>
      </c>
      <c r="DT474" s="1066">
        <f t="shared" si="2348"/>
        <v>0.27480505512234471</v>
      </c>
      <c r="DU474" s="65">
        <f t="shared" si="2348"/>
        <v>0.33449781659388644</v>
      </c>
      <c r="DV474" s="65">
        <f t="shared" si="2348"/>
        <v>0.27127127127127132</v>
      </c>
      <c r="DW474" s="1066">
        <f t="shared" si="2348"/>
        <v>0.30503731343283585</v>
      </c>
      <c r="DX474" s="65">
        <f t="shared" si="2348"/>
        <v>0.27045235803657364</v>
      </c>
      <c r="DY474" s="65">
        <f t="shared" si="2348"/>
        <v>0.29685154511502737</v>
      </c>
      <c r="DZ474" s="1066">
        <f t="shared" si="2348"/>
        <v>0.28462515702930985</v>
      </c>
      <c r="EA474" s="65">
        <f t="shared" si="2348"/>
        <v>0.33383850398926651</v>
      </c>
      <c r="EB474" s="65">
        <f t="shared" si="2348"/>
        <v>0.33838742196624183</v>
      </c>
      <c r="EC474" s="1066">
        <f t="shared" si="2348"/>
        <v>0.33609726099706644</v>
      </c>
      <c r="ED474" s="65">
        <f t="shared" si="2348"/>
        <v>0.34264708200656363</v>
      </c>
      <c r="EE474" s="65">
        <f t="shared" si="2348"/>
        <v>0.3471025193212095</v>
      </c>
      <c r="EF474" s="1066">
        <f t="shared" si="2348"/>
        <v>0.34485942882452547</v>
      </c>
      <c r="EG474" s="65">
        <f t="shared" si="2348"/>
        <v>0.35132754630140889</v>
      </c>
      <c r="EH474" s="65">
        <f t="shared" si="2348"/>
        <v>0.355677288259378</v>
      </c>
      <c r="EI474" s="1066">
        <f t="shared" si="2348"/>
        <v>0.35348741010378698</v>
      </c>
      <c r="EJ474" s="65">
        <f t="shared" si="2348"/>
        <v>0.35957154385825968</v>
      </c>
      <c r="EK474" s="65">
        <f t="shared" si="2348"/>
        <v>0.36381436248010823</v>
      </c>
      <c r="EL474" s="1066">
        <f t="shared" si="2348"/>
        <v>0.36167831489202112</v>
      </c>
      <c r="EM474" s="65">
        <f t="shared" si="2348"/>
        <v>0.36740324742886343</v>
      </c>
      <c r="EN474" s="65">
        <f t="shared" si="2348"/>
        <v>0.37153837429018316</v>
      </c>
      <c r="EO474" s="1066">
        <f t="shared" si="2348"/>
        <v>0.36945654413296852</v>
      </c>
      <c r="EP474" s="65">
        <f t="shared" si="2348"/>
        <v>0.37484535775880401</v>
      </c>
      <c r="EQ474" s="65">
        <f t="shared" si="2348"/>
        <v>0.37887243473119353</v>
      </c>
      <c r="ER474" s="1066">
        <f t="shared" si="2348"/>
        <v>0.37684500230464169</v>
      </c>
      <c r="ES474" s="65">
        <f t="shared" ref="ES474:EX474" si="2349">ES473/ES424</f>
        <v>0.38191920046580219</v>
      </c>
      <c r="ET474" s="65">
        <f t="shared" si="2349"/>
        <v>0.38583823475104539</v>
      </c>
      <c r="EU474" s="1066">
        <f t="shared" si="2349"/>
        <v>0.3838651964294173</v>
      </c>
      <c r="EV474" s="65">
        <f t="shared" si="2349"/>
        <v>0.38864481618431634</v>
      </c>
      <c r="EW474" s="65">
        <f t="shared" si="2349"/>
        <v>0.39245613929529038</v>
      </c>
      <c r="EX474" s="1066">
        <f t="shared" si="2349"/>
        <v>0.39053732817838488</v>
      </c>
      <c r="EY474" s="65">
        <f t="shared" ref="EY474:FA474" si="2350">EY473/EY424</f>
        <v>0.39504104446083643</v>
      </c>
      <c r="EZ474" s="65">
        <f t="shared" si="2350"/>
        <v>0.3987452748296817</v>
      </c>
      <c r="FA474" s="1066">
        <f t="shared" si="2350"/>
        <v>0.39688037956775707</v>
      </c>
    </row>
    <row r="475" spans="1:157" s="233" customFormat="1" outlineLevel="1">
      <c r="A475" s="1433" t="s">
        <v>214</v>
      </c>
      <c r="D475" s="245" t="s">
        <v>604</v>
      </c>
      <c r="BA475" s="233">
        <f>BA469+BA471+BA473</f>
        <v>0</v>
      </c>
      <c r="BB475" s="233">
        <f>BB469+BB471+BB473</f>
        <v>0</v>
      </c>
      <c r="BC475" s="233">
        <f>SUM(BA475:BB475)</f>
        <v>0</v>
      </c>
      <c r="BD475" s="233">
        <f>BD469+BD471+BD473</f>
        <v>0</v>
      </c>
      <c r="BE475" s="233">
        <f>BE469+BE471+BE473</f>
        <v>0</v>
      </c>
      <c r="BF475" s="233">
        <f>SUM(BD475:BE475)</f>
        <v>0</v>
      </c>
      <c r="BG475" s="233">
        <f>BG469+BG471+BG473</f>
        <v>0</v>
      </c>
      <c r="BH475" s="233">
        <f>BH469+BH471+BH473</f>
        <v>0</v>
      </c>
      <c r="BI475" s="233">
        <f>SUM(BG475:BH475)</f>
        <v>0</v>
      </c>
      <c r="BJ475" s="233">
        <f>BJ469+BJ471+BJ473</f>
        <v>0</v>
      </c>
      <c r="BK475" s="233">
        <f>BK469+BK471+BK473</f>
        <v>0</v>
      </c>
      <c r="BL475" s="233">
        <f>SUM(BJ475:BK475)</f>
        <v>0</v>
      </c>
      <c r="BM475" s="233">
        <f>BM469+BM471+BM473</f>
        <v>70.095488351351804</v>
      </c>
      <c r="BN475" s="233">
        <f>BN469+BN471+BN473</f>
        <v>71.575031153723586</v>
      </c>
      <c r="BO475" s="233">
        <f>SUM(BM475:BN475)</f>
        <v>141.67051950507539</v>
      </c>
      <c r="BP475" s="233">
        <f>BP469+BP471+BP473</f>
        <v>85.125389796304091</v>
      </c>
      <c r="BQ475" s="233">
        <f>BQ469+BQ471+BQ473</f>
        <v>100.66116129962896</v>
      </c>
      <c r="BR475" s="233">
        <f>SUM(BP475:BQ475)</f>
        <v>185.78655109593305</v>
      </c>
      <c r="BS475" s="233">
        <f>BS469+BS471+BS473</f>
        <v>86.727575694453506</v>
      </c>
      <c r="BT475" s="233">
        <f>BT469+BT471+BT473</f>
        <v>76.738115624556144</v>
      </c>
      <c r="BU475" s="233">
        <f>SUM(BS475:BT475)</f>
        <v>163.46569131900964</v>
      </c>
      <c r="BV475" s="233">
        <f>BV469+BV471+BV473</f>
        <v>83.436378129325576</v>
      </c>
      <c r="BW475" s="233">
        <f>BW469+BW471+BW473</f>
        <v>90.980321223082086</v>
      </c>
      <c r="BX475" s="233">
        <f>SUM(BV475:BW475)</f>
        <v>174.41669935240765</v>
      </c>
      <c r="BY475" s="233">
        <f>BY469+BY471+BY473</f>
        <v>104.54593505000837</v>
      </c>
      <c r="BZ475" s="233">
        <f>BZ469+BZ471+BZ473</f>
        <v>133.68837844999467</v>
      </c>
      <c r="CA475" s="233">
        <f>SUM(BY475:BZ475)</f>
        <v>238.23431350000305</v>
      </c>
      <c r="CB475" s="233">
        <f>CB469+CB471+CB473</f>
        <v>155.08334634120664</v>
      </c>
      <c r="CC475" s="233">
        <f>CC469+CC471+CC473</f>
        <v>172.55931804140724</v>
      </c>
      <c r="CD475" s="233">
        <f>SUM(CB475:CC475)</f>
        <v>327.64266438261387</v>
      </c>
      <c r="CE475" s="233">
        <f>CE469+CE471+CE473</f>
        <v>158.79182857983656</v>
      </c>
      <c r="CF475" s="233">
        <f>CF469+CF471+CF473</f>
        <v>163.74751351456132</v>
      </c>
      <c r="CG475" s="233">
        <f>SUM(CE475:CF475)</f>
        <v>322.53934209439785</v>
      </c>
      <c r="CH475" s="233">
        <f>CH469+CH471+CH473</f>
        <v>160.34167760273766</v>
      </c>
      <c r="CI475" s="233">
        <f>CI469+CI471+CI473</f>
        <v>161.06565973203439</v>
      </c>
      <c r="CJ475" s="233">
        <f>SUM(CH475:CI475)</f>
        <v>321.40733733477202</v>
      </c>
      <c r="CK475" s="233">
        <f>CK469+CK471+CK473</f>
        <v>173.4822184995827</v>
      </c>
      <c r="CL475" s="233">
        <f>CL469+CL471+CL473</f>
        <v>149.15100585761235</v>
      </c>
      <c r="CM475" s="233">
        <f>SUM(CK475:CL475)</f>
        <v>322.63322435719505</v>
      </c>
      <c r="CN475" s="233">
        <f>CN469+CN471+CN473</f>
        <v>147.57663595350905</v>
      </c>
      <c r="CO475" s="233">
        <f>CO469+CO471+CO473</f>
        <v>212.07699999999997</v>
      </c>
      <c r="CP475" s="233">
        <f>SUM(CN475:CO475)</f>
        <v>359.65363595350902</v>
      </c>
      <c r="CQ475" s="233">
        <f>CQ469+CQ471+CQ473</f>
        <v>200.43700000000004</v>
      </c>
      <c r="CR475" s="233">
        <f>CR469+CR471+CR473</f>
        <v>223.84700000000004</v>
      </c>
      <c r="CS475" s="233">
        <f>SUM(CQ475:CR475)</f>
        <v>424.28400000000011</v>
      </c>
      <c r="CT475" s="233">
        <f>CT469+CT471+CT473</f>
        <v>284.47215762108419</v>
      </c>
      <c r="CU475" s="233">
        <f>CU469+CU471+CU473</f>
        <v>257.69684861850106</v>
      </c>
      <c r="CV475" s="233">
        <f>SUM(CT475:CU475)</f>
        <v>542.16900623958531</v>
      </c>
      <c r="CW475" s="233">
        <f>CW469+CW471+CW473</f>
        <v>273.99114059961823</v>
      </c>
      <c r="CX475" s="233">
        <f>CX469+CX471+CX473</f>
        <v>289.25515794935814</v>
      </c>
      <c r="CY475" s="233">
        <f>SUM(CW475:CX475)</f>
        <v>563.24629854897637</v>
      </c>
      <c r="CZ475" s="233">
        <f>CZ469+CZ471+CZ473</f>
        <v>290.07100481727934</v>
      </c>
      <c r="DA475" s="233">
        <f>DA469+DA471+DA473</f>
        <v>336.94191769583824</v>
      </c>
      <c r="DB475" s="233">
        <f>SUM(CZ475:DA475)</f>
        <v>627.01292251311759</v>
      </c>
      <c r="DC475" s="233">
        <f>DC469+DC471+DC473</f>
        <v>338.88379809214246</v>
      </c>
      <c r="DD475" s="233">
        <f>DD469+DD471+DD473</f>
        <v>352.06251199654514</v>
      </c>
      <c r="DE475" s="233">
        <f>SUM(DC475:DD475)</f>
        <v>690.9463100886876</v>
      </c>
      <c r="DF475" s="233">
        <f>DF469+DF471+DF473</f>
        <v>363.45044135774731</v>
      </c>
      <c r="DG475" s="233">
        <f>DG469+DG471+DG473</f>
        <v>226.28431199367378</v>
      </c>
      <c r="DH475" s="1118">
        <f>SUM(DF475:DG475)</f>
        <v>589.73475335142109</v>
      </c>
      <c r="DI475" s="1116">
        <f>DI469+DI471+DI473</f>
        <v>349</v>
      </c>
      <c r="DJ475" s="1116">
        <f>DJ469+DJ471+DJ473</f>
        <v>336.6</v>
      </c>
      <c r="DK475" s="1118">
        <f>SUM(DI475:DJ475)</f>
        <v>685.6</v>
      </c>
      <c r="DL475" s="1116">
        <f>DL469+DL471+DL473</f>
        <v>398.1</v>
      </c>
      <c r="DM475" s="1116">
        <f>DM469+DM471+DM473</f>
        <v>382.69999999999993</v>
      </c>
      <c r="DN475" s="1115">
        <f>SUM(DL475:DM475)</f>
        <v>780.8</v>
      </c>
      <c r="DO475" s="1116">
        <f>DO469+DO471+DO473</f>
        <v>416.7</v>
      </c>
      <c r="DP475" s="1116">
        <f>DP469+DP471+DP473</f>
        <v>504.5</v>
      </c>
      <c r="DQ475" s="1115">
        <f>SUM(DO475:DP475)</f>
        <v>921.2</v>
      </c>
      <c r="DR475" s="1116">
        <f>DR469+DR471+DR473</f>
        <v>519.80000000000007</v>
      </c>
      <c r="DS475" s="1116">
        <f>DS469+DS471+DS473</f>
        <v>574.5</v>
      </c>
      <c r="DT475" s="1115">
        <f>SUM(DR475:DS475)</f>
        <v>1094.3000000000002</v>
      </c>
      <c r="DU475" s="1116">
        <f>DU469+DU471+DU473</f>
        <v>535</v>
      </c>
      <c r="DV475" s="1116">
        <f>DV469+DV471+DV473</f>
        <v>538.9</v>
      </c>
      <c r="DW475" s="1115">
        <f>SUM(DU475:DV475)</f>
        <v>1073.9000000000001</v>
      </c>
      <c r="DX475" s="1116">
        <f>DX469+DX471+DX473</f>
        <v>522.70000000000005</v>
      </c>
      <c r="DY475" s="1116">
        <f>DY469+DY471+DY473</f>
        <v>595.28700382363968</v>
      </c>
      <c r="DZ475" s="1115">
        <f>SUM(DX475:DY475)</f>
        <v>1117.9870038236397</v>
      </c>
      <c r="EA475" s="1116">
        <f>EA469+EA471+EA473</f>
        <v>636.33309053406674</v>
      </c>
      <c r="EB475" s="1116">
        <f>EB469+EB471+EB473</f>
        <v>652.97863434709257</v>
      </c>
      <c r="EC475" s="1115">
        <f>SUM(EA475:EB475)</f>
        <v>1289.3117248811593</v>
      </c>
      <c r="ED475" s="1116">
        <f>ED469+ED471+ED473</f>
        <v>700.89446576936996</v>
      </c>
      <c r="EE475" s="1116">
        <f>EE469+EE471+EE473</f>
        <v>719.20182626788426</v>
      </c>
      <c r="EF475" s="1115">
        <f>SUM(ED475:EE475)</f>
        <v>1420.0962920372542</v>
      </c>
      <c r="EG475" s="1116">
        <f>EG469+EG471+EG473</f>
        <v>769.99998055644335</v>
      </c>
      <c r="EH475" s="1116">
        <f>EH469+EH471+EH473</f>
        <v>790.02367845346475</v>
      </c>
      <c r="EI475" s="1115">
        <f>SUM(EG475:EH475)</f>
        <v>1560.023659009908</v>
      </c>
      <c r="EJ475" s="1116">
        <f>EJ469+EJ471+EJ473</f>
        <v>843.53727984225361</v>
      </c>
      <c r="EK475" s="1116">
        <f>EK469+EK471+EK473</f>
        <v>865.34946333299172</v>
      </c>
      <c r="EL475" s="1115">
        <f>SUM(EJ475:EK475)</f>
        <v>1708.8867431752453</v>
      </c>
      <c r="EM475" s="1116">
        <f>EM469+EM471+EM473</f>
        <v>923.92262908364285</v>
      </c>
      <c r="EN475" s="1116">
        <f>EN469+EN471+EN473</f>
        <v>947.68483352779219</v>
      </c>
      <c r="EO475" s="1115">
        <f>SUM(EM475:EN475)</f>
        <v>1871.607462611435</v>
      </c>
      <c r="EP475" s="1116">
        <f>EP469+EP471+EP473</f>
        <v>1010.0596622597028</v>
      </c>
      <c r="EQ475" s="1116">
        <f>EQ469+EQ471+EQ473</f>
        <v>1035.8768366001957</v>
      </c>
      <c r="ER475" s="1115">
        <f>SUM(EP475:EQ475)</f>
        <v>2045.9364988598986</v>
      </c>
      <c r="ES475" s="1116">
        <f>ES469+ES471+ES473</f>
        <v>1104.0566376414952</v>
      </c>
      <c r="ET475" s="1116">
        <f>ET469+ET471+ET473</f>
        <v>1132.1084116866214</v>
      </c>
      <c r="EU475" s="1115">
        <f>SUM(ES475:ET475)</f>
        <v>2236.1650493281168</v>
      </c>
      <c r="EV475" s="1116">
        <f>EV469+EV471+EV473</f>
        <v>1206.625696309575</v>
      </c>
      <c r="EW475" s="1116">
        <f>EW469+EW471+EW473</f>
        <v>1237.1076083222297</v>
      </c>
      <c r="EX475" s="1115">
        <f>SUM(EV475:EW475)</f>
        <v>2443.7333046318045</v>
      </c>
      <c r="EY475" s="1116">
        <f>EY469+EY471+EY473</f>
        <v>1318.5432902949478</v>
      </c>
      <c r="EZ475" s="1116">
        <f>EZ469+EZ471+EZ473</f>
        <v>1351.668206679785</v>
      </c>
      <c r="FA475" s="1115">
        <f>SUM(EY475:EZ475)</f>
        <v>2670.2114969747327</v>
      </c>
    </row>
    <row r="476" spans="1:157" outlineLevel="1">
      <c r="B476" s="31"/>
      <c r="C476" s="35" t="s">
        <v>401</v>
      </c>
      <c r="D476" s="162" t="s">
        <v>460</v>
      </c>
      <c r="BA476" s="65"/>
      <c r="BB476" s="65"/>
      <c r="BC476" s="65"/>
      <c r="BD476" s="65">
        <f t="shared" ref="BD476:CI476" si="2351">BD475/BD426</f>
        <v>0</v>
      </c>
      <c r="BE476" s="65">
        <f t="shared" si="2351"/>
        <v>0</v>
      </c>
      <c r="BF476" s="65">
        <f t="shared" si="2351"/>
        <v>0</v>
      </c>
      <c r="BG476" s="65">
        <f t="shared" si="2351"/>
        <v>0</v>
      </c>
      <c r="BH476" s="65">
        <f t="shared" si="2351"/>
        <v>0</v>
      </c>
      <c r="BI476" s="65">
        <f t="shared" si="2351"/>
        <v>0</v>
      </c>
      <c r="BJ476" s="65">
        <f t="shared" si="2351"/>
        <v>0</v>
      </c>
      <c r="BK476" s="65">
        <f t="shared" si="2351"/>
        <v>0</v>
      </c>
      <c r="BL476" s="65">
        <f t="shared" si="2351"/>
        <v>0</v>
      </c>
      <c r="BM476" s="65">
        <f t="shared" si="2351"/>
        <v>0.40636651199172735</v>
      </c>
      <c r="BN476" s="65">
        <f t="shared" si="2351"/>
        <v>0.40663516757168344</v>
      </c>
      <c r="BO476" s="65">
        <f t="shared" si="2351"/>
        <v>0.40650219825656936</v>
      </c>
      <c r="BP476" s="65">
        <f t="shared" si="2351"/>
        <v>0.4264750484176299</v>
      </c>
      <c r="BQ476" s="65">
        <f t="shared" si="2351"/>
        <v>0.47716763103744397</v>
      </c>
      <c r="BR476" s="65">
        <f t="shared" si="2351"/>
        <v>0.45252224826862769</v>
      </c>
      <c r="BS476" s="65">
        <f t="shared" si="2351"/>
        <v>0.33563429784749155</v>
      </c>
      <c r="BT476" s="65">
        <f t="shared" si="2351"/>
        <v>0.29495108832814809</v>
      </c>
      <c r="BU476" s="65">
        <f t="shared" si="2351"/>
        <v>0.31522313254758511</v>
      </c>
      <c r="BV476" s="65">
        <f t="shared" si="2351"/>
        <v>0.30730327590505629</v>
      </c>
      <c r="BW476" s="65">
        <f t="shared" si="2351"/>
        <v>0.31965412391842118</v>
      </c>
      <c r="BX476" s="65">
        <f t="shared" si="2351"/>
        <v>0.31362427217933542</v>
      </c>
      <c r="BY476" s="65">
        <f t="shared" si="2351"/>
        <v>0.31561007936547525</v>
      </c>
      <c r="BZ476" s="65">
        <f t="shared" si="2351"/>
        <v>0.38081267049984813</v>
      </c>
      <c r="CA476" s="65">
        <f t="shared" si="2351"/>
        <v>0.34915793134077994</v>
      </c>
      <c r="CB476" s="65">
        <f t="shared" si="2351"/>
        <v>0.48300883558222951</v>
      </c>
      <c r="CC476" s="65">
        <f t="shared" si="2351"/>
        <v>0.50021327007510852</v>
      </c>
      <c r="CD476" s="65">
        <f t="shared" si="2351"/>
        <v>0.49191964858108539</v>
      </c>
      <c r="CE476" s="65">
        <f t="shared" si="2351"/>
        <v>0.46595424106509048</v>
      </c>
      <c r="CF476" s="65">
        <f t="shared" si="2351"/>
        <v>0.45048099018676635</v>
      </c>
      <c r="CG476" s="65">
        <f t="shared" si="2351"/>
        <v>0.45796818372944192</v>
      </c>
      <c r="CH476" s="65">
        <f t="shared" si="2351"/>
        <v>0.47287283918851569</v>
      </c>
      <c r="CI476" s="65">
        <f t="shared" si="2351"/>
        <v>0.47347047296269162</v>
      </c>
      <c r="CJ476" s="65">
        <f t="shared" ref="CJ476:DO476" si="2352">CJ475/CJ426</f>
        <v>0.47317214046404299</v>
      </c>
      <c r="CK476" s="65">
        <f t="shared" si="2352"/>
        <v>0.48871104094972267</v>
      </c>
      <c r="CL476" s="65">
        <f t="shared" si="2352"/>
        <v>0.44897924599987116</v>
      </c>
      <c r="CM476" s="65">
        <f t="shared" si="2352"/>
        <v>0.46950366639884622</v>
      </c>
      <c r="CN476" s="65">
        <f t="shared" si="2352"/>
        <v>0.40826476349267449</v>
      </c>
      <c r="CO476" s="65">
        <f t="shared" si="2352"/>
        <v>0.4962639031138994</v>
      </c>
      <c r="CP476" s="65">
        <f t="shared" si="2352"/>
        <v>0.45593873653945882</v>
      </c>
      <c r="CQ476" s="65">
        <f t="shared" si="2352"/>
        <v>0.45503292931265032</v>
      </c>
      <c r="CR476" s="65">
        <f t="shared" si="2352"/>
        <v>0.44643505315011683</v>
      </c>
      <c r="CS476" s="65">
        <f t="shared" si="2352"/>
        <v>0.45045594060509692</v>
      </c>
      <c r="CT476" s="65">
        <f t="shared" si="2352"/>
        <v>0.48901904287472364</v>
      </c>
      <c r="CU476" s="65">
        <f t="shared" si="2352"/>
        <v>0.44837197772610915</v>
      </c>
      <c r="CV476" s="65">
        <f t="shared" si="2352"/>
        <v>0.46881819445606726</v>
      </c>
      <c r="CW476" s="65">
        <f t="shared" si="2352"/>
        <v>0.45337207992902329</v>
      </c>
      <c r="CX476" s="65">
        <f t="shared" si="2352"/>
        <v>0.45522992801720602</v>
      </c>
      <c r="CY476" s="65">
        <f t="shared" si="2352"/>
        <v>0.45432427977361567</v>
      </c>
      <c r="CZ476" s="65">
        <f t="shared" si="2352"/>
        <v>0.46113681742852303</v>
      </c>
      <c r="DA476" s="65">
        <f t="shared" si="2352"/>
        <v>0.47992332218505557</v>
      </c>
      <c r="DB476" s="65">
        <f t="shared" si="2352"/>
        <v>0.47104549129908241</v>
      </c>
      <c r="DC476" s="65">
        <f t="shared" si="2352"/>
        <v>0.47774753790626684</v>
      </c>
      <c r="DD476" s="65">
        <f t="shared" si="2352"/>
        <v>0.47991337674612217</v>
      </c>
      <c r="DE476" s="65">
        <f t="shared" si="2352"/>
        <v>0.47884866397335657</v>
      </c>
      <c r="DF476" s="65">
        <f t="shared" si="2352"/>
        <v>0.4691114855615186</v>
      </c>
      <c r="DG476" s="65">
        <f t="shared" si="2352"/>
        <v>0.38876163475372688</v>
      </c>
      <c r="DH476" s="1066">
        <f t="shared" si="2352"/>
        <v>0.43464227298224856</v>
      </c>
      <c r="DI476" s="65">
        <f t="shared" si="2352"/>
        <v>0.46984383414108782</v>
      </c>
      <c r="DJ476" s="65">
        <f t="shared" si="2352"/>
        <v>0.44850099933377752</v>
      </c>
      <c r="DK476" s="1066">
        <f t="shared" si="2352"/>
        <v>0.45911739101319227</v>
      </c>
      <c r="DL476" s="65">
        <f t="shared" si="2352"/>
        <v>0.48828652029927633</v>
      </c>
      <c r="DM476" s="65">
        <f t="shared" si="2352"/>
        <v>0.46342940179220143</v>
      </c>
      <c r="DN476" s="1066">
        <f t="shared" si="2352"/>
        <v>0.47577844128937907</v>
      </c>
      <c r="DO476" s="65">
        <f t="shared" si="2352"/>
        <v>0.4669954051328028</v>
      </c>
      <c r="DP476" s="65">
        <f t="shared" ref="DP476:ER476" si="2353">DP475/DP426</f>
        <v>0.47442166635320665</v>
      </c>
      <c r="DQ476" s="1066">
        <f t="shared" si="2353"/>
        <v>0.47103338957917879</v>
      </c>
      <c r="DR476" s="65">
        <f t="shared" si="2353"/>
        <v>0.46685827195976293</v>
      </c>
      <c r="DS476" s="65">
        <f t="shared" si="2353"/>
        <v>0.50183438155136262</v>
      </c>
      <c r="DT476" s="1066">
        <f t="shared" si="2353"/>
        <v>0.48458949605880791</v>
      </c>
      <c r="DU476" s="65">
        <f t="shared" si="2353"/>
        <v>0.45730404308060513</v>
      </c>
      <c r="DV476" s="65">
        <f t="shared" si="2353"/>
        <v>0.45442280124799733</v>
      </c>
      <c r="DW476" s="1066">
        <f t="shared" si="2353"/>
        <v>0.45585363783003652</v>
      </c>
      <c r="DX476" s="65">
        <f t="shared" si="2353"/>
        <v>0.44447278911564631</v>
      </c>
      <c r="DY476" s="65">
        <f t="shared" si="2353"/>
        <v>0.44511890396444187</v>
      </c>
      <c r="DZ476" s="1066">
        <f t="shared" si="2353"/>
        <v>0.44481658787374934</v>
      </c>
      <c r="EA476" s="65">
        <f t="shared" si="2353"/>
        <v>0.45882292853364498</v>
      </c>
      <c r="EB476" s="65">
        <f t="shared" si="2353"/>
        <v>0.45670181144122324</v>
      </c>
      <c r="EC476" s="1066">
        <f t="shared" si="2353"/>
        <v>0.4577462210880589</v>
      </c>
      <c r="ED476" s="65">
        <f t="shared" si="2353"/>
        <v>0.46454161999312599</v>
      </c>
      <c r="EE476" s="65">
        <f t="shared" si="2353"/>
        <v>0.46237294475397178</v>
      </c>
      <c r="EF476" s="1066">
        <f t="shared" si="2353"/>
        <v>0.46344076699542319</v>
      </c>
      <c r="EG476" s="65">
        <f t="shared" si="2353"/>
        <v>0.46820518144013146</v>
      </c>
      <c r="EH476" s="65">
        <f t="shared" si="2353"/>
        <v>0.46596708761888944</v>
      </c>
      <c r="EI476" s="1066">
        <f t="shared" si="2353"/>
        <v>0.46706909049955553</v>
      </c>
      <c r="EJ476" s="65">
        <f t="shared" si="2353"/>
        <v>0.47056896834630019</v>
      </c>
      <c r="EK476" s="65">
        <f t="shared" si="2353"/>
        <v>0.46825256512667324</v>
      </c>
      <c r="EL476" s="1066">
        <f t="shared" si="2353"/>
        <v>0.46939312634738056</v>
      </c>
      <c r="EM476" s="65">
        <f t="shared" si="2353"/>
        <v>0.47285513496953496</v>
      </c>
      <c r="EN476" s="65">
        <f t="shared" si="2353"/>
        <v>0.47046364485999287</v>
      </c>
      <c r="EO476" s="1066">
        <f t="shared" si="2353"/>
        <v>0.47164117770726977</v>
      </c>
      <c r="EP476" s="65">
        <f t="shared" si="2353"/>
        <v>0.47425621945949825</v>
      </c>
      <c r="EQ476" s="65">
        <f t="shared" si="2353"/>
        <v>0.47178460208224815</v>
      </c>
      <c r="ER476" s="1066">
        <f t="shared" si="2353"/>
        <v>0.47300158836038486</v>
      </c>
      <c r="ES476" s="65">
        <f t="shared" ref="ES476:EX476" si="2354">ES475/ES426</f>
        <v>0.47558797226371846</v>
      </c>
      <c r="ET476" s="65">
        <f t="shared" si="2354"/>
        <v>0.47303923093607608</v>
      </c>
      <c r="EU476" s="1066">
        <f t="shared" si="2354"/>
        <v>0.47429419185794491</v>
      </c>
      <c r="EV476" s="65">
        <f t="shared" si="2354"/>
        <v>0.47685416632036298</v>
      </c>
      <c r="EW476" s="65">
        <f t="shared" si="2354"/>
        <v>0.47423119940623404</v>
      </c>
      <c r="EX476" s="1066">
        <f t="shared" si="2354"/>
        <v>0.47552270786214756</v>
      </c>
      <c r="EY476" s="65">
        <f t="shared" ref="EY476:FA476" si="2355">EY475/EY426</f>
        <v>0.47805834844548462</v>
      </c>
      <c r="EZ476" s="65">
        <f t="shared" si="2355"/>
        <v>0.4753639524115737</v>
      </c>
      <c r="FA476" s="1066">
        <f t="shared" si="2355"/>
        <v>0.47669063146445512</v>
      </c>
    </row>
    <row r="477" spans="1:157" outlineLevel="1">
      <c r="B477" s="31"/>
      <c r="BA477" s="91"/>
      <c r="BB477" s="91"/>
      <c r="BC477" s="942"/>
      <c r="BD477" s="91"/>
      <c r="BE477" s="91"/>
      <c r="BF477" s="87"/>
      <c r="BG477" s="91"/>
      <c r="BH477" s="91"/>
      <c r="BI477" s="87"/>
      <c r="BR477" s="124"/>
      <c r="BS477" s="101"/>
      <c r="BT477" s="71"/>
      <c r="BU477" s="74"/>
      <c r="BV477" s="101"/>
      <c r="BW477" s="101"/>
      <c r="BX477" s="74"/>
      <c r="BY477" s="71"/>
      <c r="BZ477" s="71"/>
      <c r="CA477" s="70"/>
      <c r="CB477" s="8"/>
      <c r="CC477" s="8"/>
      <c r="CD477" s="187"/>
      <c r="CE477" s="8"/>
      <c r="CF477" s="32"/>
      <c r="CG477" s="65"/>
      <c r="CH477" s="71"/>
      <c r="CI477" s="71"/>
      <c r="CJ477" s="70"/>
      <c r="DC477" s="267"/>
      <c r="DF477" s="303"/>
      <c r="DH477" s="1067"/>
      <c r="DK477" s="1067"/>
      <c r="DN477" s="1067"/>
      <c r="DQ477" s="1067"/>
      <c r="DT477" s="1067"/>
      <c r="DW477" s="1067"/>
      <c r="DZ477" s="1067"/>
      <c r="EC477" s="1067"/>
      <c r="EF477" s="1067"/>
      <c r="EI477" s="1067"/>
      <c r="EL477" s="1067"/>
      <c r="EO477" s="1067"/>
      <c r="ER477" s="1067"/>
      <c r="EU477" s="1067"/>
      <c r="EX477" s="1067"/>
      <c r="FA477" s="1067"/>
    </row>
    <row r="478" spans="1:157" outlineLevel="1">
      <c r="A478" s="1426" t="s">
        <v>314</v>
      </c>
      <c r="BA478" s="91"/>
      <c r="BB478" s="91"/>
      <c r="BC478" s="942"/>
      <c r="BD478" s="91"/>
      <c r="BE478" s="91"/>
      <c r="BF478" s="87"/>
      <c r="BG478" s="91"/>
      <c r="BH478" s="91"/>
      <c r="BI478" s="87"/>
      <c r="BR478" s="124"/>
      <c r="BS478" s="101"/>
      <c r="BT478" s="71"/>
      <c r="BU478" s="74"/>
      <c r="BV478" s="101"/>
      <c r="BW478" s="101"/>
      <c r="BX478" s="74"/>
      <c r="BY478" s="71"/>
      <c r="BZ478" s="71"/>
      <c r="CA478" s="70"/>
      <c r="CB478" s="35"/>
      <c r="CC478" s="71"/>
      <c r="CD478" s="70"/>
      <c r="CE478" s="32"/>
      <c r="CF478" s="32"/>
      <c r="CG478" s="65"/>
      <c r="CH478" s="71"/>
      <c r="CI478" s="71"/>
      <c r="CJ478" s="70"/>
      <c r="CQ478" s="71"/>
      <c r="CT478" s="71"/>
      <c r="DF478" s="259"/>
      <c r="DG478" s="71"/>
      <c r="DH478" s="1074"/>
      <c r="DI478" s="71"/>
      <c r="DJ478" s="71"/>
      <c r="DK478" s="1074"/>
      <c r="DL478" s="71"/>
      <c r="DM478" s="71"/>
      <c r="DN478" s="1074"/>
      <c r="DO478" s="180"/>
      <c r="DP478" s="180"/>
      <c r="DQ478" s="1069"/>
      <c r="DR478" s="180"/>
      <c r="DS478" s="180"/>
      <c r="DT478" s="1067"/>
      <c r="DW478" s="1067"/>
      <c r="DX478" s="72"/>
      <c r="DY478" s="72"/>
      <c r="DZ478" s="1067"/>
      <c r="EA478" s="72"/>
      <c r="EB478" s="72"/>
      <c r="EC478" s="1067"/>
      <c r="ED478" s="72"/>
      <c r="EE478" s="72"/>
      <c r="EF478" s="1067"/>
      <c r="EG478" s="72"/>
      <c r="EH478" s="72"/>
      <c r="EI478" s="1067"/>
      <c r="EJ478" s="72"/>
      <c r="EK478" s="72"/>
      <c r="EL478" s="1067"/>
      <c r="EM478" s="72"/>
      <c r="EN478" s="72"/>
      <c r="EO478" s="1067"/>
      <c r="EP478" s="72"/>
      <c r="EQ478" s="72"/>
      <c r="ER478" s="1067"/>
      <c r="ES478" s="72"/>
      <c r="ET478" s="72"/>
      <c r="EU478" s="1067"/>
      <c r="EV478" s="72"/>
      <c r="EW478" s="72"/>
      <c r="EX478" s="1067"/>
      <c r="EY478" s="72"/>
      <c r="EZ478" s="72"/>
      <c r="FA478" s="1067"/>
    </row>
    <row r="479" spans="1:157" s="233" customFormat="1" outlineLevel="1">
      <c r="A479" s="1433"/>
      <c r="B479" s="233" t="s">
        <v>427</v>
      </c>
      <c r="D479" s="245" t="s">
        <v>604</v>
      </c>
      <c r="BC479" s="1020"/>
      <c r="BF479" s="246"/>
      <c r="BI479" s="246"/>
      <c r="BL479" s="246"/>
      <c r="BO479" s="246"/>
      <c r="BR479" s="246"/>
      <c r="BS479" s="233">
        <v>0</v>
      </c>
      <c r="BT479" s="233">
        <v>0</v>
      </c>
      <c r="BU479" s="233">
        <f>SUM(BS479:BT479)</f>
        <v>0</v>
      </c>
      <c r="BV479" s="233">
        <v>0</v>
      </c>
      <c r="BW479" s="233">
        <v>0</v>
      </c>
      <c r="BX479" s="233">
        <f>SUM(BV479:BW479)</f>
        <v>0</v>
      </c>
      <c r="BY479" s="233">
        <v>0</v>
      </c>
      <c r="BZ479" s="233">
        <v>0.67614502813668764</v>
      </c>
      <c r="CA479" s="233">
        <f>SUM(BY479:BZ479)</f>
        <v>0.67614502813668764</v>
      </c>
      <c r="CB479" s="233">
        <v>13.990320983668241</v>
      </c>
      <c r="CC479" s="233">
        <v>18.243189737077756</v>
      </c>
      <c r="CD479" s="233">
        <f>SUM(CB479:CC479)</f>
        <v>32.233510720745997</v>
      </c>
      <c r="CE479" s="233">
        <v>9.5484230389289309</v>
      </c>
      <c r="CF479" s="233">
        <f>CF480*CF426</f>
        <v>30.300120845792854</v>
      </c>
      <c r="CG479" s="233">
        <f>SUM(CE479:CF479)</f>
        <v>39.848543884721785</v>
      </c>
      <c r="CH479" s="233">
        <f>CH480*CH426</f>
        <v>20.012770886385962</v>
      </c>
      <c r="CI479" s="233">
        <f>CI480*CI426</f>
        <v>21.925603004595455</v>
      </c>
      <c r="CJ479" s="233">
        <f>SUM(CH479:CI479)</f>
        <v>41.938373890981417</v>
      </c>
      <c r="CK479" s="233">
        <f>CK480*CK426</f>
        <v>23.472722366360259</v>
      </c>
      <c r="CL479" s="233">
        <f>CL480*CL426</f>
        <v>24.494072885140099</v>
      </c>
      <c r="CM479" s="233">
        <f>SUM(CK479:CL479)</f>
        <v>47.966795251500358</v>
      </c>
      <c r="CN479" s="233">
        <f>CN480*CN426</f>
        <v>30.217169914512425</v>
      </c>
      <c r="CO479" s="233">
        <f>CO480*CO426</f>
        <v>42.497174363065007</v>
      </c>
      <c r="CP479" s="233">
        <f>SUM(CN479:CO479)</f>
        <v>72.714344277577425</v>
      </c>
      <c r="CQ479" s="233">
        <f>CQ480*CQ426</f>
        <v>35.034158572310609</v>
      </c>
      <c r="CR479" s="233">
        <f>CR480*CR426</f>
        <v>49.2332098736711</v>
      </c>
      <c r="CS479" s="233">
        <f>SUM(CQ479:CR479)</f>
        <v>84.267368445981703</v>
      </c>
      <c r="CT479" s="233">
        <f>CT480*CT426</f>
        <v>42.413039019999935</v>
      </c>
      <c r="CU479" s="233">
        <f>CU480*CU426</f>
        <v>40.937000152870347</v>
      </c>
      <c r="CV479" s="233">
        <f>SUM(CT479:CU479)</f>
        <v>83.350039172870282</v>
      </c>
      <c r="CW479" s="233">
        <f>CW480*CW426</f>
        <v>41.587206084203956</v>
      </c>
      <c r="CX479" s="233">
        <f>CX480*CX426</f>
        <v>49.561553253583931</v>
      </c>
      <c r="CY479" s="233">
        <f>SUM(CW479:CX479)</f>
        <v>91.14875933778788</v>
      </c>
      <c r="CZ479" s="233">
        <f>CZ480*CZ426</f>
        <v>47.079769367965824</v>
      </c>
      <c r="DA479" s="233">
        <f>DA480*DA426</f>
        <v>56.447526536284073</v>
      </c>
      <c r="DB479" s="233">
        <f>SUM(CZ479:DA479)</f>
        <v>103.5272959042499</v>
      </c>
      <c r="DC479" s="233">
        <f>216.1-DC444</f>
        <v>57.037691344423365</v>
      </c>
      <c r="DD479" s="233">
        <f>DD480*DD426</f>
        <v>60.403831158236663</v>
      </c>
      <c r="DE479" s="233">
        <f>SUM(DC479:DD479)</f>
        <v>117.44152250266004</v>
      </c>
      <c r="DF479" s="233">
        <f>243.5-DF444</f>
        <v>60.970568922632367</v>
      </c>
      <c r="DG479" s="233">
        <f>470-DG444-DF479-DF444</f>
        <v>59.82424242424247</v>
      </c>
      <c r="DH479" s="1070">
        <f>SUM(DF479:DG479)</f>
        <v>120.79481134687484</v>
      </c>
      <c r="DI479" s="233">
        <f>209.8-DI444</f>
        <v>52.057839102822442</v>
      </c>
      <c r="DJ479" s="233">
        <f>444.1-DI479-DK444</f>
        <v>51.522305603625909</v>
      </c>
      <c r="DK479" s="1070">
        <f>SUM(DI479:DJ479)</f>
        <v>103.58014470644835</v>
      </c>
      <c r="DL479" s="945">
        <f>DL480*DL426</f>
        <v>57.071000000000012</v>
      </c>
      <c r="DM479" s="945">
        <f>DM480*DM426</f>
        <v>65.733680000000007</v>
      </c>
      <c r="DN479" s="1114">
        <f>SUM(DL479:DM479)</f>
        <v>122.80468000000002</v>
      </c>
      <c r="DO479" s="945">
        <f>DO480*DO426</f>
        <v>68.350180000000009</v>
      </c>
      <c r="DP479" s="945">
        <f>DP480*DP426</f>
        <v>119.73884000000001</v>
      </c>
      <c r="DQ479" s="1114">
        <f>SUM(DO479:DP479)</f>
        <v>188.08902</v>
      </c>
      <c r="DR479" s="945">
        <f>DR480*DR426</f>
        <v>70.923580000000015</v>
      </c>
      <c r="DS479" s="945">
        <f>DS480*DS426</f>
        <v>72.923760000000016</v>
      </c>
      <c r="DT479" s="1114">
        <f>SUM(DR479:DS479)</f>
        <v>143.84734000000003</v>
      </c>
      <c r="DU479" s="945">
        <f>DU480*DU426</f>
        <v>81.893000000000015</v>
      </c>
      <c r="DV479" s="945">
        <f>DV480*DV426</f>
        <v>83.013000000000005</v>
      </c>
      <c r="DW479" s="1114">
        <f>SUM(DU479:DV479)</f>
        <v>164.90600000000001</v>
      </c>
      <c r="DX479" s="945">
        <f>DX480*DX426</f>
        <v>82.320000000000007</v>
      </c>
      <c r="DY479" s="945">
        <f>DY480*DY426</f>
        <v>93.615638195819201</v>
      </c>
      <c r="DZ479" s="1114">
        <f>SUM(DX479:DY479)</f>
        <v>175.93563819581919</v>
      </c>
      <c r="EA479" s="945">
        <f>EA480*EA426</f>
        <v>97.081714027982287</v>
      </c>
      <c r="EB479" s="945">
        <f>EB480*EB426</f>
        <v>100.0839130899289</v>
      </c>
      <c r="EC479" s="1114">
        <f>SUM(EA479:EB479)</f>
        <v>197.16562711791119</v>
      </c>
      <c r="ED479" s="945">
        <f>ED480*ED426</f>
        <v>98.071170190699362</v>
      </c>
      <c r="EE479" s="945">
        <f>EE480*EE426</f>
        <v>101.10478832684969</v>
      </c>
      <c r="EF479" s="1114">
        <f>SUM(ED479:EE479)</f>
        <v>199.17595851754905</v>
      </c>
      <c r="EG479" s="945">
        <f>EG480*EG426</f>
        <v>98.674685084180581</v>
      </c>
      <c r="EH479" s="945">
        <f>EH480*EH426</f>
        <v>101.72697163963028</v>
      </c>
      <c r="EI479" s="1114">
        <f>SUM(EG479:EH479)</f>
        <v>200.40165672381085</v>
      </c>
      <c r="EJ479" s="945">
        <f>EJ480*EJ426</f>
        <v>107.55540674175684</v>
      </c>
      <c r="EK479" s="945">
        <f>EK480*EK426</f>
        <v>110.88239908719703</v>
      </c>
      <c r="EL479" s="1114">
        <f>SUM(EJ479:EK479)</f>
        <v>218.43780582895386</v>
      </c>
      <c r="EM479" s="945">
        <f>EM480*EM426</f>
        <v>117.23539334851496</v>
      </c>
      <c r="EN479" s="945">
        <f>EN480*EN426</f>
        <v>120.86181500504476</v>
      </c>
      <c r="EO479" s="1114">
        <f>SUM(EM479:EN479)</f>
        <v>238.09720835355972</v>
      </c>
      <c r="EP479" s="945">
        <f>EP480*EP426</f>
        <v>117.13769718739121</v>
      </c>
      <c r="EQ479" s="945">
        <f>EQ480*EQ426</f>
        <v>120.76109682587391</v>
      </c>
      <c r="ER479" s="1114">
        <f>SUM(EP479:EQ479)</f>
        <v>237.8987940132651</v>
      </c>
      <c r="ES479" s="945">
        <f>ES480*ES426</f>
        <v>127.68008993425644</v>
      </c>
      <c r="ET479" s="945">
        <f>ET480*ET426</f>
        <v>131.62959554020259</v>
      </c>
      <c r="EU479" s="1114">
        <f>SUM(ES479:ET479)</f>
        <v>259.309685474459</v>
      </c>
      <c r="EV479" s="945">
        <f>EV480*EV426</f>
        <v>139.17129802833955</v>
      </c>
      <c r="EW479" s="945">
        <f>EW480*EW426</f>
        <v>143.47625913882078</v>
      </c>
      <c r="EX479" s="1114">
        <f>SUM(EV479:EW479)</f>
        <v>282.64755716716036</v>
      </c>
      <c r="EY479" s="945">
        <f>EY480*EY426</f>
        <v>151.69671485089009</v>
      </c>
      <c r="EZ479" s="945">
        <f>EZ480*EZ426</f>
        <v>156.38912246131471</v>
      </c>
      <c r="FA479" s="1114">
        <f>SUM(EY479:EZ479)</f>
        <v>308.08583731220483</v>
      </c>
    </row>
    <row r="480" spans="1:157" outlineLevel="1">
      <c r="A480" s="1431"/>
      <c r="C480" s="35" t="s">
        <v>925</v>
      </c>
      <c r="D480" s="162" t="s">
        <v>460</v>
      </c>
      <c r="BA480" s="91"/>
      <c r="BB480" s="91"/>
      <c r="BC480" s="942"/>
      <c r="BD480" s="91"/>
      <c r="BE480" s="91"/>
      <c r="BF480" s="87"/>
      <c r="BG480" s="91"/>
      <c r="BH480" s="91"/>
      <c r="BI480" s="87"/>
      <c r="BR480" s="124"/>
      <c r="BS480" s="32">
        <f t="shared" ref="BS480:CE480" si="2356">BS479/BS426</f>
        <v>0</v>
      </c>
      <c r="BT480" s="32">
        <f t="shared" si="2356"/>
        <v>0</v>
      </c>
      <c r="BU480" s="65">
        <f t="shared" si="2356"/>
        <v>0</v>
      </c>
      <c r="BV480" s="32">
        <f t="shared" si="2356"/>
        <v>0</v>
      </c>
      <c r="BW480" s="32">
        <f t="shared" si="2356"/>
        <v>0</v>
      </c>
      <c r="BX480" s="65">
        <f t="shared" si="2356"/>
        <v>0</v>
      </c>
      <c r="BY480" s="32">
        <f t="shared" si="2356"/>
        <v>0</v>
      </c>
      <c r="BZ480" s="32">
        <f t="shared" si="2356"/>
        <v>1.9260058113894883E-3</v>
      </c>
      <c r="CA480" s="65">
        <f t="shared" si="2356"/>
        <v>9.9096303904414799E-4</v>
      </c>
      <c r="CB480" s="32">
        <f t="shared" si="2356"/>
        <v>4.357301288093067E-2</v>
      </c>
      <c r="CC480" s="32">
        <f t="shared" si="2356"/>
        <v>5.2883180685696599E-2</v>
      </c>
      <c r="CD480" s="65">
        <f t="shared" si="2356"/>
        <v>4.8395093160905886E-2</v>
      </c>
      <c r="CE480" s="32">
        <f t="shared" si="2356"/>
        <v>2.801862192950089E-2</v>
      </c>
      <c r="CF480" s="93">
        <v>8.3357775323883901E-2</v>
      </c>
      <c r="CG480" s="65">
        <f>CG479/CG426</f>
        <v>5.6580276838935017E-2</v>
      </c>
      <c r="CH480" s="93">
        <v>5.902081062492899E-2</v>
      </c>
      <c r="CI480" s="32">
        <v>6.4452755738554982E-2</v>
      </c>
      <c r="CJ480" s="65">
        <f>CJ479/CJ426</f>
        <v>6.1741185830203348E-2</v>
      </c>
      <c r="CK480" s="93">
        <v>6.6124232678148237E-2</v>
      </c>
      <c r="CL480" s="32">
        <v>7.373286094989355E-2</v>
      </c>
      <c r="CM480" s="65">
        <f>CM479/CM426</f>
        <v>6.9802439847450728E-2</v>
      </c>
      <c r="CN480" s="32">
        <v>8.3594572059853461E-2</v>
      </c>
      <c r="CO480" s="32">
        <v>9.9444134067940351E-2</v>
      </c>
      <c r="CP480" s="65">
        <f>CP479/CP426</f>
        <v>9.2181151374483725E-2</v>
      </c>
      <c r="CQ480" s="93">
        <v>7.953469569571682E-2</v>
      </c>
      <c r="CR480" s="93">
        <v>9.8189525286035598E-2</v>
      </c>
      <c r="CS480" s="65">
        <f>CS479/CS426</f>
        <v>8.9465397506507296E-2</v>
      </c>
      <c r="CT480" s="32">
        <v>7.2909714329918079E-2</v>
      </c>
      <c r="CU480" s="32">
        <v>7.1227117518575397E-2</v>
      </c>
      <c r="CV480" s="65">
        <f>CV479/CV426</f>
        <v>7.2073494469729563E-2</v>
      </c>
      <c r="CW480" s="32">
        <v>6.8814188953592578E-2</v>
      </c>
      <c r="CX480" s="32">
        <v>7.8E-2</v>
      </c>
      <c r="CY480" s="65">
        <f>CY479/CY426</f>
        <v>7.3522177678009643E-2</v>
      </c>
      <c r="CZ480" s="32">
        <v>7.4844485146966899E-2</v>
      </c>
      <c r="DA480" s="32">
        <v>8.0401051462161685E-2</v>
      </c>
      <c r="DB480" s="65">
        <f>DB479/DB426</f>
        <v>7.7775216763674673E-2</v>
      </c>
      <c r="DC480" s="32">
        <f>DC479/DC426</f>
        <v>8.0409912663474942E-2</v>
      </c>
      <c r="DD480" s="262">
        <v>8.2339373241296587E-2</v>
      </c>
      <c r="DE480" s="65">
        <f t="shared" ref="DE480:DK480" si="2357">DE479/DE426</f>
        <v>8.1390862537752448E-2</v>
      </c>
      <c r="DF480" s="32">
        <f t="shared" si="2357"/>
        <v>7.8695719988612828E-2</v>
      </c>
      <c r="DG480" s="65">
        <f t="shared" si="2357"/>
        <v>0.10277941973901386</v>
      </c>
      <c r="DH480" s="1077">
        <f t="shared" si="2357"/>
        <v>8.9027365387404092E-2</v>
      </c>
      <c r="DI480" s="65">
        <f t="shared" si="2357"/>
        <v>7.0083251350057135E-2</v>
      </c>
      <c r="DJ480" s="65">
        <f t="shared" si="2357"/>
        <v>6.8650640377915934E-2</v>
      </c>
      <c r="DK480" s="1077">
        <f t="shared" si="2357"/>
        <v>6.9363252331379063E-2</v>
      </c>
      <c r="DL480" s="1054">
        <v>7.0000000000000007E-2</v>
      </c>
      <c r="DM480" s="1054">
        <v>7.9600000000000004E-2</v>
      </c>
      <c r="DN480" s="1077">
        <f>DN479/DN426</f>
        <v>7.483071110840292E-2</v>
      </c>
      <c r="DO480" s="1056">
        <v>7.6600000000000001E-2</v>
      </c>
      <c r="DP480" s="1056">
        <v>0.11260000000000001</v>
      </c>
      <c r="DQ480" s="1077">
        <f>DQ479/DQ426</f>
        <v>9.6174781408191426E-2</v>
      </c>
      <c r="DR480" s="1055">
        <v>6.3700000000000007E-2</v>
      </c>
      <c r="DS480" s="1055">
        <f>DR480</f>
        <v>6.3700000000000007E-2</v>
      </c>
      <c r="DT480" s="1077">
        <f>DT479/DT426</f>
        <v>6.3700000000000007E-2</v>
      </c>
      <c r="DU480" s="1055">
        <v>7.0000000000000007E-2</v>
      </c>
      <c r="DV480" s="1055">
        <f>DU480</f>
        <v>7.0000000000000007E-2</v>
      </c>
      <c r="DW480" s="1077">
        <f>DW479/DW426</f>
        <v>6.9999999999999993E-2</v>
      </c>
      <c r="DX480" s="1055">
        <v>7.0000000000000007E-2</v>
      </c>
      <c r="DY480" s="1055">
        <f>DX480</f>
        <v>7.0000000000000007E-2</v>
      </c>
      <c r="DZ480" s="1077">
        <f>DZ479/DZ426</f>
        <v>7.0000000000000007E-2</v>
      </c>
      <c r="EA480" s="1055">
        <v>7.0000000000000007E-2</v>
      </c>
      <c r="EB480" s="1055">
        <f>EA480</f>
        <v>7.0000000000000007E-2</v>
      </c>
      <c r="EC480" s="1077">
        <f>EC479/EC426</f>
        <v>7.0000000000000007E-2</v>
      </c>
      <c r="ED480" s="1055">
        <v>6.5000000000000002E-2</v>
      </c>
      <c r="EE480" s="1055">
        <f>ED480</f>
        <v>6.5000000000000002E-2</v>
      </c>
      <c r="EF480" s="1077">
        <f>EF479/EF426</f>
        <v>6.5000000000000002E-2</v>
      </c>
      <c r="EG480" s="1055">
        <v>0.06</v>
      </c>
      <c r="EH480" s="1055">
        <f>EG480</f>
        <v>0.06</v>
      </c>
      <c r="EI480" s="1077">
        <f>EI479/EI426</f>
        <v>5.9999999999999991E-2</v>
      </c>
      <c r="EJ480" s="1055">
        <v>0.06</v>
      </c>
      <c r="EK480" s="1055">
        <f>EJ480</f>
        <v>0.06</v>
      </c>
      <c r="EL480" s="1077">
        <f>EL479/EL426</f>
        <v>0.06</v>
      </c>
      <c r="EM480" s="1055">
        <v>0.06</v>
      </c>
      <c r="EN480" s="1055">
        <f>EM480</f>
        <v>0.06</v>
      </c>
      <c r="EO480" s="1077">
        <f>EO479/EO426</f>
        <v>5.9999999999999991E-2</v>
      </c>
      <c r="EP480" s="1055">
        <v>5.5E-2</v>
      </c>
      <c r="EQ480" s="1055">
        <f>EP480</f>
        <v>5.5E-2</v>
      </c>
      <c r="ER480" s="1077">
        <f>ER479/ER426</f>
        <v>5.4999999999999993E-2</v>
      </c>
      <c r="ES480" s="1055">
        <v>5.5E-2</v>
      </c>
      <c r="ET480" s="1055">
        <f>ES480</f>
        <v>5.5E-2</v>
      </c>
      <c r="EU480" s="1077">
        <f>EU479/EU426</f>
        <v>5.5E-2</v>
      </c>
      <c r="EV480" s="1055">
        <v>5.5E-2</v>
      </c>
      <c r="EW480" s="1055">
        <f>EV480</f>
        <v>5.5E-2</v>
      </c>
      <c r="EX480" s="1077">
        <f>EX479/EX426</f>
        <v>5.5E-2</v>
      </c>
      <c r="EY480" s="1055">
        <v>5.5E-2</v>
      </c>
      <c r="EZ480" s="1055">
        <f>EY480</f>
        <v>5.5E-2</v>
      </c>
      <c r="FA480" s="1077">
        <f>FA479/FA426</f>
        <v>5.5000000000000007E-2</v>
      </c>
    </row>
    <row r="481" spans="1:157" outlineLevel="1">
      <c r="A481" s="1426"/>
      <c r="BA481" s="35"/>
      <c r="BB481" s="35"/>
      <c r="BC481" s="322"/>
      <c r="BD481" s="35"/>
      <c r="BE481" s="35"/>
      <c r="BG481" s="35"/>
      <c r="BH481" s="35"/>
      <c r="BJ481" s="35"/>
      <c r="BK481" s="35"/>
      <c r="BL481" s="31"/>
      <c r="BM481" s="35"/>
      <c r="BN481" s="35"/>
      <c r="BO481" s="31"/>
      <c r="BP481" s="35"/>
      <c r="BQ481" s="35"/>
      <c r="BR481" s="1024"/>
      <c r="BS481" s="74"/>
      <c r="BT481" s="74"/>
      <c r="BU481" s="74"/>
      <c r="BV481" s="74"/>
      <c r="BW481" s="74"/>
      <c r="BX481" s="74"/>
      <c r="BY481" s="74"/>
      <c r="BZ481" s="74"/>
      <c r="CA481" s="74"/>
      <c r="CB481" s="74"/>
      <c r="CC481" s="74"/>
      <c r="CD481" s="74"/>
      <c r="CE481" s="74"/>
      <c r="CF481" s="74"/>
      <c r="CG481" s="74"/>
      <c r="CH481" s="74"/>
      <c r="CI481" s="74"/>
      <c r="CJ481" s="74"/>
      <c r="CK481" s="74"/>
      <c r="CL481" s="74"/>
      <c r="CM481" s="74"/>
      <c r="CN481" s="74"/>
      <c r="CO481" s="74"/>
      <c r="CP481" s="74"/>
      <c r="CQ481" s="74"/>
      <c r="CR481" s="74"/>
      <c r="CS481" s="74"/>
      <c r="CT481" s="74"/>
      <c r="CU481" s="74"/>
      <c r="CV481" s="74"/>
      <c r="CW481" s="261">
        <f t="shared" ref="CW481:ER481" si="2358">CW137</f>
        <v>0.27329954096209713</v>
      </c>
      <c r="CX481" s="261">
        <f t="shared" si="2358"/>
        <v>0.28917670817976215</v>
      </c>
      <c r="CY481" s="261">
        <f t="shared" si="2358"/>
        <v>0.28143703953013982</v>
      </c>
      <c r="CZ481" s="261">
        <f t="shared" si="2358"/>
        <v>0.29430379903358117</v>
      </c>
      <c r="DA481" s="261">
        <f t="shared" si="2358"/>
        <v>0.29223955180399791</v>
      </c>
      <c r="DB481" s="261">
        <f t="shared" si="2358"/>
        <v>0.29321504128693143</v>
      </c>
      <c r="DC481" s="261">
        <f t="shared" si="2358"/>
        <v>0.30465086711956935</v>
      </c>
      <c r="DD481" s="261">
        <f t="shared" si="2358"/>
        <v>0.31981495811472721</v>
      </c>
      <c r="DE481" s="261">
        <f t="shared" si="2358"/>
        <v>0.31236038620807383</v>
      </c>
      <c r="DF481" s="261">
        <f t="shared" si="2358"/>
        <v>0.3142894704089616</v>
      </c>
      <c r="DG481" s="261">
        <f t="shared" si="2358"/>
        <v>0.38913219169246205</v>
      </c>
      <c r="DH481" s="1086">
        <f t="shared" si="2358"/>
        <v>0.34639618428579516</v>
      </c>
      <c r="DI481" s="261">
        <f t="shared" si="2358"/>
        <v>0.28244480344641898</v>
      </c>
      <c r="DJ481" s="261">
        <f t="shared" si="2358"/>
        <v>0.31219187208527649</v>
      </c>
      <c r="DK481" s="1086">
        <f t="shared" si="2358"/>
        <v>0.29739503113908794</v>
      </c>
      <c r="DL481" s="261">
        <f t="shared" si="2358"/>
        <v>0.28406721452226175</v>
      </c>
      <c r="DM481" s="261">
        <f t="shared" si="2358"/>
        <v>0.32344393315572778</v>
      </c>
      <c r="DN481" s="1086">
        <f t="shared" si="2358"/>
        <v>0.30388154286758884</v>
      </c>
      <c r="DO481" s="261">
        <f t="shared" si="2358"/>
        <v>0.30853685861528118</v>
      </c>
      <c r="DP481" s="261">
        <f t="shared" si="2358"/>
        <v>0.31144765309001982</v>
      </c>
      <c r="DQ481" s="1086">
        <f t="shared" si="2358"/>
        <v>0.31011913892723836</v>
      </c>
      <c r="DR481" s="261">
        <f t="shared" si="2358"/>
        <v>0.29683851266391231</v>
      </c>
      <c r="DS481" s="261">
        <f t="shared" si="2358"/>
        <v>0.3096610761705102</v>
      </c>
      <c r="DT481" s="1086">
        <f t="shared" si="2358"/>
        <v>0.30333894252059163</v>
      </c>
      <c r="DU481" s="261">
        <f t="shared" si="2358"/>
        <v>0.31387298059663216</v>
      </c>
      <c r="DV481" s="261">
        <f t="shared" si="2358"/>
        <v>0.30761447002276748</v>
      </c>
      <c r="DW481" s="1086">
        <f t="shared" si="2358"/>
        <v>0.31072247219628152</v>
      </c>
      <c r="DX481" s="261">
        <f t="shared" si="2358"/>
        <v>0.30926870748299318</v>
      </c>
      <c r="DY481" s="261">
        <f t="shared" si="2358"/>
        <v>0.31</v>
      </c>
      <c r="DZ481" s="1086">
        <f t="shared" si="2358"/>
        <v>0.30965782941638581</v>
      </c>
      <c r="EA481" s="261">
        <f t="shared" si="2358"/>
        <v>0.31</v>
      </c>
      <c r="EB481" s="261">
        <f t="shared" si="2358"/>
        <v>0.31</v>
      </c>
      <c r="EC481" s="1086">
        <f t="shared" si="2358"/>
        <v>0.31</v>
      </c>
      <c r="ED481" s="261">
        <f t="shared" si="2358"/>
        <v>0.30599999999999999</v>
      </c>
      <c r="EE481" s="261">
        <f t="shared" si="2358"/>
        <v>0.30599999999999999</v>
      </c>
      <c r="EF481" s="1086">
        <f t="shared" si="2358"/>
        <v>0.30599999999999999</v>
      </c>
      <c r="EG481" s="261">
        <f t="shared" si="2358"/>
        <v>0.30549999999999999</v>
      </c>
      <c r="EH481" s="261">
        <f t="shared" si="2358"/>
        <v>0.30549999999999999</v>
      </c>
      <c r="EI481" s="1086">
        <f t="shared" si="2358"/>
        <v>0.30549999999999994</v>
      </c>
      <c r="EJ481" s="261">
        <f t="shared" si="2358"/>
        <v>0.30499999999999999</v>
      </c>
      <c r="EK481" s="261">
        <f t="shared" si="2358"/>
        <v>0.30499999999999999</v>
      </c>
      <c r="EL481" s="1086">
        <f t="shared" si="2358"/>
        <v>0.30499999999999994</v>
      </c>
      <c r="EM481" s="261">
        <f t="shared" si="2358"/>
        <v>0.30499999999999999</v>
      </c>
      <c r="EN481" s="261">
        <f t="shared" si="2358"/>
        <v>0.30499999999999999</v>
      </c>
      <c r="EO481" s="1086">
        <f t="shared" si="2358"/>
        <v>0.30499999999999999</v>
      </c>
      <c r="EP481" s="261">
        <f t="shared" si="2358"/>
        <v>0.30499999999999999</v>
      </c>
      <c r="EQ481" s="261">
        <f t="shared" si="2358"/>
        <v>0.30499999999999999</v>
      </c>
      <c r="ER481" s="1086">
        <f t="shared" si="2358"/>
        <v>0.30499999999999994</v>
      </c>
      <c r="ES481" s="261">
        <f t="shared" ref="ES481:EX481" si="2359">ES137</f>
        <v>0.30499999999999999</v>
      </c>
      <c r="ET481" s="261">
        <f t="shared" si="2359"/>
        <v>0.30499999999999999</v>
      </c>
      <c r="EU481" s="1086">
        <f t="shared" si="2359"/>
        <v>0.30499999999999999</v>
      </c>
      <c r="EV481" s="261">
        <f t="shared" si="2359"/>
        <v>0.30499999999999999</v>
      </c>
      <c r="EW481" s="261">
        <f t="shared" si="2359"/>
        <v>0.30499999999999999</v>
      </c>
      <c r="EX481" s="1086">
        <f t="shared" si="2359"/>
        <v>0.30499999999999999</v>
      </c>
      <c r="EY481" s="261">
        <f t="shared" ref="EY481:FA481" si="2360">EY137</f>
        <v>0.30499999999999999</v>
      </c>
      <c r="EZ481" s="261">
        <f t="shared" si="2360"/>
        <v>0.30499999999999999</v>
      </c>
      <c r="FA481" s="1086">
        <f t="shared" si="2360"/>
        <v>0.30499999999999999</v>
      </c>
    </row>
    <row r="482" spans="1:157" outlineLevel="1">
      <c r="A482" s="1426"/>
      <c r="BA482" s="35"/>
      <c r="BB482" s="35"/>
      <c r="BC482" s="322"/>
      <c r="BD482" s="35"/>
      <c r="BE482" s="35"/>
      <c r="BG482" s="35"/>
      <c r="BH482" s="35"/>
      <c r="BJ482" s="35"/>
      <c r="BK482" s="35"/>
      <c r="BL482" s="31"/>
      <c r="BM482" s="35"/>
      <c r="BN482" s="35"/>
      <c r="BO482" s="31"/>
      <c r="BP482" s="35"/>
      <c r="BQ482" s="35"/>
      <c r="BR482" s="1024"/>
      <c r="BS482" s="74"/>
      <c r="BT482" s="74"/>
      <c r="BU482" s="74"/>
      <c r="BV482" s="74"/>
      <c r="BW482" s="74"/>
      <c r="BX482" s="74"/>
      <c r="BY482" s="74"/>
      <c r="BZ482" s="74"/>
      <c r="CA482" s="74"/>
      <c r="CB482" s="74"/>
      <c r="CC482" s="74"/>
      <c r="CD482" s="74"/>
      <c r="CE482" s="74"/>
      <c r="CF482" s="74"/>
      <c r="CG482" s="74"/>
      <c r="CH482" s="74"/>
      <c r="CI482" s="74"/>
      <c r="CJ482" s="74"/>
      <c r="CK482" s="74"/>
      <c r="CL482" s="74"/>
      <c r="CM482" s="74"/>
      <c r="CN482" s="74"/>
      <c r="CO482" s="74"/>
      <c r="CP482" s="74"/>
      <c r="CQ482" s="74"/>
      <c r="CR482" s="74"/>
      <c r="CS482" s="74"/>
      <c r="CT482" s="74"/>
      <c r="CU482" s="74"/>
      <c r="CV482" s="74"/>
      <c r="CW482" s="261"/>
      <c r="CX482" s="261"/>
      <c r="CY482" s="261"/>
      <c r="CZ482" s="261"/>
      <c r="DA482" s="261"/>
      <c r="DB482" s="261"/>
      <c r="DC482" s="261"/>
      <c r="DD482" s="261"/>
      <c r="DE482" s="261"/>
      <c r="DF482" s="261"/>
      <c r="DG482" s="261"/>
      <c r="DH482" s="1086"/>
      <c r="DI482" s="261"/>
      <c r="DJ482" s="261"/>
      <c r="DK482" s="1086"/>
      <c r="DL482" s="261"/>
      <c r="DM482" s="261"/>
      <c r="DN482" s="1086"/>
      <c r="DO482" s="261"/>
      <c r="DP482" s="261"/>
      <c r="DQ482" s="1086"/>
      <c r="DR482" s="261"/>
      <c r="DS482" s="261"/>
      <c r="DT482" s="1086"/>
      <c r="DU482" s="261"/>
      <c r="DV482" s="261"/>
      <c r="DW482" s="1086"/>
      <c r="DX482" s="261"/>
      <c r="DY482" s="261"/>
      <c r="DZ482" s="1086"/>
      <c r="EA482" s="261"/>
      <c r="EB482" s="261"/>
      <c r="EC482" s="1086"/>
      <c r="ED482" s="261"/>
      <c r="EE482" s="261"/>
      <c r="EF482" s="1086"/>
      <c r="EG482" s="261"/>
      <c r="EH482" s="261"/>
      <c r="EI482" s="1086"/>
      <c r="EJ482" s="261"/>
      <c r="EK482" s="261"/>
      <c r="EL482" s="1086"/>
      <c r="EM482" s="261"/>
      <c r="EN482" s="261"/>
      <c r="EO482" s="1086"/>
      <c r="EP482" s="261"/>
      <c r="EQ482" s="261"/>
      <c r="ER482" s="1086"/>
      <c r="ES482" s="261"/>
      <c r="ET482" s="261"/>
      <c r="EU482" s="1086"/>
      <c r="EV482" s="261"/>
      <c r="EW482" s="261"/>
      <c r="EX482" s="1086"/>
      <c r="EY482" s="261"/>
      <c r="EZ482" s="261"/>
      <c r="FA482" s="1086"/>
    </row>
    <row r="483" spans="1:157" s="233" customFormat="1" outlineLevel="1">
      <c r="A483" s="1147"/>
      <c r="B483" s="246" t="s">
        <v>672</v>
      </c>
      <c r="D483" s="245" t="s">
        <v>604</v>
      </c>
      <c r="BC483" s="1020"/>
      <c r="BF483" s="246"/>
      <c r="BI483" s="246"/>
      <c r="BL483" s="246"/>
      <c r="BO483" s="246"/>
      <c r="BR483" s="246"/>
      <c r="BS483" s="233">
        <v>5.4844655295959157</v>
      </c>
      <c r="BT483" s="233">
        <v>5.1327434221208144</v>
      </c>
      <c r="BU483" s="233">
        <f>SUM(BS483:BT483)</f>
        <v>10.61720895171673</v>
      </c>
      <c r="BV483" s="233">
        <v>6.5243926707515296</v>
      </c>
      <c r="BW483" s="233">
        <v>1.8107412846163342</v>
      </c>
      <c r="BX483" s="233">
        <f>SUM(BV483:BW483)</f>
        <v>8.3351339553678638</v>
      </c>
      <c r="BY483" s="233">
        <v>6.3386546376403494</v>
      </c>
      <c r="BZ483" s="233">
        <v>7.1483214028478894</v>
      </c>
      <c r="CA483" s="233">
        <f>SUM(BY483:BZ483)</f>
        <v>13.486976040488239</v>
      </c>
      <c r="CB483" s="233">
        <v>19.183347919999999</v>
      </c>
      <c r="CC483" s="233">
        <v>23.266000000000002</v>
      </c>
      <c r="CD483" s="233">
        <f>SUM(CB483:CC483)</f>
        <v>42.449347920000001</v>
      </c>
      <c r="CE483" s="233">
        <v>19.895</v>
      </c>
      <c r="CF483" s="233">
        <f>CF484*CF426</f>
        <v>22.949145487917875</v>
      </c>
      <c r="CG483" s="233">
        <f>SUM(CE483:CF483)</f>
        <v>42.844145487917871</v>
      </c>
      <c r="CH483" s="233">
        <f>CH484*CH426</f>
        <v>21.480686135839051</v>
      </c>
      <c r="CI483" s="233">
        <f>CI484*CI426</f>
        <v>22.314652272963613</v>
      </c>
      <c r="CJ483" s="233">
        <f>SUM(CH483:CI483)</f>
        <v>43.795338408802664</v>
      </c>
      <c r="CK483" s="233">
        <f>CK484*CK426</f>
        <v>20.554005939877328</v>
      </c>
      <c r="CL483" s="233">
        <f>CL484*CL426</f>
        <v>16.127656449352767</v>
      </c>
      <c r="CM483" s="233">
        <f>SUM(CK483:CL483)</f>
        <v>36.681662389230098</v>
      </c>
      <c r="CN483" s="233">
        <f>CN484*CN426</f>
        <v>18.555633558413533</v>
      </c>
      <c r="CO483" s="233">
        <f>CO484*CO426</f>
        <v>23.886027146704517</v>
      </c>
      <c r="CP483" s="233">
        <f>SUM(CN483:CO483)</f>
        <v>42.441660705118053</v>
      </c>
      <c r="CQ483" s="233">
        <f>CQ484*CQ426</f>
        <v>28.558609739015164</v>
      </c>
      <c r="CR483" s="233">
        <f>CR484*CR426</f>
        <v>25.3</v>
      </c>
      <c r="CS483" s="233">
        <f>SUM(CQ483:CR483)</f>
        <v>53.858609739015165</v>
      </c>
      <c r="CT483" s="233">
        <f>CT484*CT426</f>
        <v>34.716999999999977</v>
      </c>
      <c r="CU483" s="233">
        <f>CU484*CU426</f>
        <v>44.447833114243792</v>
      </c>
      <c r="CV483" s="233">
        <f>SUM(CT483:CU483)</f>
        <v>79.164833114243777</v>
      </c>
      <c r="CW483" s="233">
        <f>CW484*CW426</f>
        <v>44.252000000000002</v>
      </c>
      <c r="CX483" s="233">
        <f>CX484*CX426</f>
        <v>39.267999885531886</v>
      </c>
      <c r="CY483" s="233">
        <f>SUM(CW483:CX483)</f>
        <v>83.519999885531888</v>
      </c>
      <c r="CZ483" s="233">
        <f>CZ484*CZ426</f>
        <v>43.469869431055812</v>
      </c>
      <c r="DA483" s="233">
        <f>DA484*DA426</f>
        <v>52.473114966747261</v>
      </c>
      <c r="DB483" s="233">
        <f>SUM(CZ483:DA483)</f>
        <v>95.942984397803073</v>
      </c>
      <c r="DC483" s="233">
        <v>47.5</v>
      </c>
      <c r="DD483" s="233">
        <f>DD484*DD426</f>
        <v>47.261541831671003</v>
      </c>
      <c r="DE483" s="233">
        <f>SUM(DC483:DD483)</f>
        <v>94.761541831670996</v>
      </c>
      <c r="DF483" s="233">
        <f>47.9-DF454</f>
        <v>47.9</v>
      </c>
      <c r="DG483" s="233">
        <f>93.8-DG454-DF454-DF483</f>
        <v>45.9</v>
      </c>
      <c r="DH483" s="1070">
        <f>SUM(DF483:DG483)</f>
        <v>93.8</v>
      </c>
      <c r="DI483" s="233">
        <f>54.2-DI454</f>
        <v>54.2</v>
      </c>
      <c r="DJ483" s="233">
        <f>112.2-DI483-DK454</f>
        <v>58</v>
      </c>
      <c r="DK483" s="1070">
        <f>SUM(DI483:DJ483)</f>
        <v>112.2</v>
      </c>
      <c r="DL483" s="945">
        <f>DL484*DL426</f>
        <v>68.704999999999941</v>
      </c>
      <c r="DM483" s="945">
        <f>DM484*DM426</f>
        <v>88.690919999999991</v>
      </c>
      <c r="DN483" s="1114">
        <f>SUM(DL483:DM483)</f>
        <v>157.39591999999993</v>
      </c>
      <c r="DO483" s="945">
        <f>DO484*DO426</f>
        <v>91.639210000000006</v>
      </c>
      <c r="DP483" s="945">
        <f>DP484*DP426</f>
        <v>110.48726000000002</v>
      </c>
      <c r="DQ483" s="1114">
        <f>SUM(DO483:DP483)</f>
        <v>202.12647000000004</v>
      </c>
      <c r="DR483" s="945">
        <f>DR484*DR426</f>
        <v>99.460022000000009</v>
      </c>
      <c r="DS483" s="945">
        <f>DS484*DS426</f>
        <v>102.26498400000003</v>
      </c>
      <c r="DT483" s="1114">
        <f>SUM(DR483:DS483)</f>
        <v>201.72500600000004</v>
      </c>
      <c r="DU483" s="945">
        <f>DU484*DU426</f>
        <v>99.441500000000019</v>
      </c>
      <c r="DV483" s="945">
        <f>DV484*DV426</f>
        <v>100.80149999999999</v>
      </c>
      <c r="DW483" s="1114">
        <f>SUM(DU483:DV483)</f>
        <v>200.24299999999999</v>
      </c>
      <c r="DX483" s="945">
        <f>DX484*DX426</f>
        <v>103.488</v>
      </c>
      <c r="DY483" s="945">
        <f>DY484*DY426</f>
        <v>117.68823087474412</v>
      </c>
      <c r="DZ483" s="1114">
        <f>SUM(DX483:DY483)</f>
        <v>221.17623087474414</v>
      </c>
      <c r="EA483" s="945">
        <f>EA484*EA426</f>
        <v>122.04558334946343</v>
      </c>
      <c r="EB483" s="945">
        <f>EB484*EB426</f>
        <v>125.8197764559106</v>
      </c>
      <c r="EC483" s="1114">
        <f>SUM(EA483:EB483)</f>
        <v>247.86535980537403</v>
      </c>
      <c r="ED483" s="945">
        <f>ED484*ED426</f>
        <v>132.77327656586991</v>
      </c>
      <c r="EE483" s="945">
        <f>EE484*EE426</f>
        <v>136.88032881173496</v>
      </c>
      <c r="EF483" s="1114">
        <f>SUM(ED483:EE483)</f>
        <v>269.65360537760489</v>
      </c>
      <c r="EG483" s="945">
        <f>EG484*EG426</f>
        <v>144.72287145679817</v>
      </c>
      <c r="EH483" s="945">
        <f>EH484*EH426</f>
        <v>149.19955840479108</v>
      </c>
      <c r="EI483" s="1114">
        <f>SUM(EG483:EH483)</f>
        <v>293.92242986158925</v>
      </c>
      <c r="EJ483" s="945">
        <f>EJ484*EJ426</f>
        <v>157.74792988791003</v>
      </c>
      <c r="EK483" s="945">
        <f>EK484*EK426</f>
        <v>162.6275186612223</v>
      </c>
      <c r="EL483" s="1114">
        <f>SUM(EJ483:EK483)</f>
        <v>320.37544854913233</v>
      </c>
      <c r="EM483" s="945">
        <f>EM484*EM426</f>
        <v>171.94524357782194</v>
      </c>
      <c r="EN483" s="945">
        <f>EN484*EN426</f>
        <v>177.26399534073229</v>
      </c>
      <c r="EO483" s="1114">
        <f>SUM(EM483:EN483)</f>
        <v>349.20923891855421</v>
      </c>
      <c r="EP483" s="945">
        <f>EP484*EP426</f>
        <v>187.42031549982593</v>
      </c>
      <c r="EQ483" s="945">
        <f>EQ484*EQ426</f>
        <v>193.21775492139824</v>
      </c>
      <c r="ER483" s="1114">
        <f>SUM(EP483:EQ483)</f>
        <v>380.63807042122414</v>
      </c>
      <c r="ES483" s="945">
        <f>ES484*ES426</f>
        <v>204.2881438948103</v>
      </c>
      <c r="ET483" s="945">
        <f>ET484*ET426</f>
        <v>210.6073528643241</v>
      </c>
      <c r="EU483" s="1114">
        <f>SUM(ES483:ET483)</f>
        <v>414.8954967591344</v>
      </c>
      <c r="EV483" s="945">
        <f>EV484*EV426</f>
        <v>222.67407684534325</v>
      </c>
      <c r="EW483" s="945">
        <f>EW484*EW426</f>
        <v>229.56201462211325</v>
      </c>
      <c r="EX483" s="1114">
        <f>SUM(EV483:EW483)</f>
        <v>452.2360914674565</v>
      </c>
      <c r="EY483" s="945">
        <f>EY484*EY426</f>
        <v>242.71474376142413</v>
      </c>
      <c r="EZ483" s="945">
        <f>EZ484*EZ426</f>
        <v>250.22259593810352</v>
      </c>
      <c r="FA483" s="1114">
        <f>SUM(EY483:EZ483)</f>
        <v>492.93733969952768</v>
      </c>
    </row>
    <row r="484" spans="1:157" outlineLevel="1">
      <c r="A484" s="1431"/>
      <c r="B484" s="31"/>
      <c r="C484" s="35" t="s">
        <v>925</v>
      </c>
      <c r="D484" s="162" t="s">
        <v>460</v>
      </c>
      <c r="BA484" s="91"/>
      <c r="BB484" s="91"/>
      <c r="BC484" s="942"/>
      <c r="BD484" s="91"/>
      <c r="BE484" s="91"/>
      <c r="BF484" s="87"/>
      <c r="BG484" s="91"/>
      <c r="BH484" s="91"/>
      <c r="BI484" s="87"/>
      <c r="BR484" s="124"/>
      <c r="BS484" s="32">
        <f t="shared" ref="BS484:CE484" si="2361">BS483/BS426</f>
        <v>2.1224791796093281E-2</v>
      </c>
      <c r="BT484" s="32">
        <f t="shared" si="2361"/>
        <v>1.9728243860854304E-2</v>
      </c>
      <c r="BU484" s="65">
        <f t="shared" si="2361"/>
        <v>2.0473959016519373E-2</v>
      </c>
      <c r="BV484" s="32">
        <f t="shared" si="2361"/>
        <v>2.4029893027058349E-2</v>
      </c>
      <c r="BW484" s="32">
        <f t="shared" si="2361"/>
        <v>6.3619353195919926E-3</v>
      </c>
      <c r="BX484" s="65">
        <f t="shared" si="2361"/>
        <v>1.4987672223906387E-2</v>
      </c>
      <c r="BY484" s="32">
        <f t="shared" si="2361"/>
        <v>1.9135543551254013E-2</v>
      </c>
      <c r="BZ484" s="32">
        <f t="shared" si="2361"/>
        <v>2.0362064336264928E-2</v>
      </c>
      <c r="CA484" s="65">
        <f t="shared" si="2361"/>
        <v>1.9766609541490236E-2</v>
      </c>
      <c r="CB484" s="32">
        <f t="shared" si="2361"/>
        <v>5.9746753987510663E-2</v>
      </c>
      <c r="CC484" s="32">
        <f t="shared" si="2361"/>
        <v>6.7443254143916109E-2</v>
      </c>
      <c r="CD484" s="65">
        <f t="shared" si="2361"/>
        <v>6.3733056104431737E-2</v>
      </c>
      <c r="CE484" s="32">
        <f t="shared" si="2361"/>
        <v>5.8379324105642949E-2</v>
      </c>
      <c r="CF484" s="93">
        <v>6.3134722240640803E-2</v>
      </c>
      <c r="CG484" s="65">
        <f>CG483/CG426</f>
        <v>6.0833681141443961E-2</v>
      </c>
      <c r="CH484" s="93">
        <v>6.3349923691943255E-2</v>
      </c>
      <c r="CI484" s="32">
        <v>6.5596409459692806E-2</v>
      </c>
      <c r="CJ484" s="65">
        <f>CJ483/CJ426</f>
        <v>6.4474987376084231E-2</v>
      </c>
      <c r="CK484" s="32">
        <v>5.7902012814001425E-2</v>
      </c>
      <c r="CL484" s="32">
        <v>4.8548000000000001E-2</v>
      </c>
      <c r="CM484" s="65">
        <f>CM483/CM426</f>
        <v>5.3380041735196823E-2</v>
      </c>
      <c r="CN484" s="93">
        <v>5.1333405841890667E-2</v>
      </c>
      <c r="CO484" s="32">
        <v>5.5893722854001814E-2</v>
      </c>
      <c r="CP484" s="65">
        <f>CP483/CP426</f>
        <v>5.3803980341322957E-2</v>
      </c>
      <c r="CQ484" s="93">
        <v>6.4833877211497137E-2</v>
      </c>
      <c r="CR484" s="93">
        <v>5.0457709259887129E-2</v>
      </c>
      <c r="CS484" s="65">
        <f>CS483/CS426</f>
        <v>5.718087580410975E-2</v>
      </c>
      <c r="CT484" s="32">
        <v>5.9679914735611607E-2</v>
      </c>
      <c r="CU484" s="32">
        <v>7.7335687052102906E-2</v>
      </c>
      <c r="CV484" s="65">
        <f>CV483/CV426</f>
        <v>6.8454510858990264E-2</v>
      </c>
      <c r="CW484" s="32">
        <v>7.3223613132574014E-2</v>
      </c>
      <c r="CX484" s="32">
        <v>6.1800000000000001E-2</v>
      </c>
      <c r="CY484" s="65">
        <f>CY483/CY426</f>
        <v>6.736868736188821E-2</v>
      </c>
      <c r="CZ484" s="32">
        <v>6.9105691056910556E-2</v>
      </c>
      <c r="DA484" s="32">
        <v>7.4740097143308801E-2</v>
      </c>
      <c r="DB484" s="65">
        <f>DB483/DB426</f>
        <v>7.2077478150249549E-2</v>
      </c>
      <c r="DC484" s="32">
        <f>DC483/DC426</f>
        <v>6.6963980509854443E-2</v>
      </c>
      <c r="DD484" s="262">
        <v>6.4424485305291226E-2</v>
      </c>
      <c r="DE484" s="65">
        <f t="shared" ref="DE484:DK484" si="2362">DE483/DE426</f>
        <v>6.5672885200481965E-2</v>
      </c>
      <c r="DF484" s="32">
        <f t="shared" si="2362"/>
        <v>6.1825320873056526E-2</v>
      </c>
      <c r="DG484" s="65">
        <f t="shared" si="2362"/>
        <v>7.8857252091320107E-2</v>
      </c>
      <c r="DH484" s="1077">
        <f t="shared" si="2362"/>
        <v>6.9131834225548056E-2</v>
      </c>
      <c r="DI484" s="32">
        <f t="shared" si="2362"/>
        <v>7.2967151319332263E-2</v>
      </c>
      <c r="DJ484" s="32">
        <f t="shared" si="2362"/>
        <v>7.728181212524983E-2</v>
      </c>
      <c r="DK484" s="1077">
        <f t="shared" si="2362"/>
        <v>7.5135605705484498E-2</v>
      </c>
      <c r="DL484" s="1055">
        <v>8.426959401447312E-2</v>
      </c>
      <c r="DM484" s="1055">
        <v>0.1074</v>
      </c>
      <c r="DN484" s="1077">
        <f>DN483/DN426</f>
        <v>9.5908792882822461E-2</v>
      </c>
      <c r="DO484" s="1056">
        <v>0.1027</v>
      </c>
      <c r="DP484" s="1055">
        <v>0.10390000000000001</v>
      </c>
      <c r="DQ484" s="1077">
        <f>DQ483/DQ426</f>
        <v>0.10335249271360639</v>
      </c>
      <c r="DR484" s="1055">
        <v>8.9330000000000007E-2</v>
      </c>
      <c r="DS484" s="1055">
        <f>DR484</f>
        <v>8.9330000000000007E-2</v>
      </c>
      <c r="DT484" s="1077">
        <f>DT483/DT426</f>
        <v>8.9330000000000007E-2</v>
      </c>
      <c r="DU484" s="1055">
        <v>8.5000000000000006E-2</v>
      </c>
      <c r="DV484" s="1055">
        <f>DU484</f>
        <v>8.5000000000000006E-2</v>
      </c>
      <c r="DW484" s="1077">
        <f>DW483/DW426</f>
        <v>8.4999999999999992E-2</v>
      </c>
      <c r="DX484" s="1055">
        <v>8.7999999999999995E-2</v>
      </c>
      <c r="DY484" s="1055">
        <f>DX484</f>
        <v>8.7999999999999995E-2</v>
      </c>
      <c r="DZ484" s="1077">
        <f>DZ483/DZ426</f>
        <v>8.8000000000000009E-2</v>
      </c>
      <c r="EA484" s="1055">
        <f>DX484</f>
        <v>8.7999999999999995E-2</v>
      </c>
      <c r="EB484" s="1055">
        <f>EA484</f>
        <v>8.7999999999999995E-2</v>
      </c>
      <c r="EC484" s="1077">
        <f>EC483/EC426</f>
        <v>8.7999999999999995E-2</v>
      </c>
      <c r="ED484" s="1055">
        <f>EA484</f>
        <v>8.7999999999999995E-2</v>
      </c>
      <c r="EE484" s="1055">
        <f>ED484</f>
        <v>8.7999999999999995E-2</v>
      </c>
      <c r="EF484" s="1077">
        <f>EF483/EF426</f>
        <v>8.8000000000000009E-2</v>
      </c>
      <c r="EG484" s="1055">
        <f>ED484</f>
        <v>8.7999999999999995E-2</v>
      </c>
      <c r="EH484" s="1055">
        <f>EG484</f>
        <v>8.7999999999999995E-2</v>
      </c>
      <c r="EI484" s="1077">
        <f>EI483/EI426</f>
        <v>8.7999999999999995E-2</v>
      </c>
      <c r="EJ484" s="1055">
        <f>EG484</f>
        <v>8.7999999999999995E-2</v>
      </c>
      <c r="EK484" s="1055">
        <f>EJ484</f>
        <v>8.7999999999999995E-2</v>
      </c>
      <c r="EL484" s="1077">
        <f>EL483/EL426</f>
        <v>8.7999999999999995E-2</v>
      </c>
      <c r="EM484" s="1055">
        <f>EJ484</f>
        <v>8.7999999999999995E-2</v>
      </c>
      <c r="EN484" s="1055">
        <f>EM484</f>
        <v>8.7999999999999995E-2</v>
      </c>
      <c r="EO484" s="1077">
        <f>EO483/EO426</f>
        <v>8.7999999999999981E-2</v>
      </c>
      <c r="EP484" s="1055">
        <f>EM484</f>
        <v>8.7999999999999995E-2</v>
      </c>
      <c r="EQ484" s="1055">
        <f>EP484</f>
        <v>8.7999999999999995E-2</v>
      </c>
      <c r="ER484" s="1077">
        <f>ER483/ER426</f>
        <v>8.7999999999999995E-2</v>
      </c>
      <c r="ES484" s="1055">
        <f>EP484</f>
        <v>8.7999999999999995E-2</v>
      </c>
      <c r="ET484" s="1055">
        <f>ES484</f>
        <v>8.7999999999999995E-2</v>
      </c>
      <c r="EU484" s="1077">
        <f>EU483/EU426</f>
        <v>8.7999999999999995E-2</v>
      </c>
      <c r="EV484" s="1055">
        <f>ES484</f>
        <v>8.7999999999999995E-2</v>
      </c>
      <c r="EW484" s="1055">
        <f>EV484</f>
        <v>8.7999999999999995E-2</v>
      </c>
      <c r="EX484" s="1077">
        <f>EX483/EX426</f>
        <v>8.7999999999999995E-2</v>
      </c>
      <c r="EY484" s="1055">
        <f>EV484</f>
        <v>8.7999999999999995E-2</v>
      </c>
      <c r="EZ484" s="1055">
        <f>EY484</f>
        <v>8.7999999999999995E-2</v>
      </c>
      <c r="FA484" s="1077">
        <f>FA483/FA426</f>
        <v>8.7999999999999995E-2</v>
      </c>
    </row>
    <row r="485" spans="1:157" outlineLevel="1">
      <c r="B485" s="31"/>
      <c r="BA485" s="91"/>
      <c r="BB485" s="91"/>
      <c r="BC485" s="942"/>
      <c r="BD485" s="91"/>
      <c r="BE485" s="91"/>
      <c r="BF485" s="87"/>
      <c r="BG485" s="91"/>
      <c r="BH485" s="91"/>
      <c r="BI485" s="87"/>
      <c r="BR485" s="124"/>
      <c r="BS485" s="180"/>
      <c r="BT485" s="180"/>
      <c r="BU485" s="74"/>
      <c r="BV485" s="180"/>
      <c r="BW485" s="180"/>
      <c r="BX485" s="74"/>
      <c r="BY485" s="180"/>
      <c r="BZ485" s="180"/>
      <c r="CA485" s="74"/>
      <c r="CB485" s="180"/>
      <c r="CC485" s="180"/>
      <c r="CD485" s="74"/>
      <c r="CE485" s="180"/>
      <c r="CF485" s="180"/>
      <c r="CG485" s="74"/>
      <c r="CH485" s="180"/>
      <c r="CI485" s="180"/>
      <c r="CJ485" s="74"/>
      <c r="CK485" s="180"/>
      <c r="CL485" s="180"/>
      <c r="CM485" s="74"/>
      <c r="CN485" s="180"/>
      <c r="CO485" s="180"/>
      <c r="CP485" s="74"/>
      <c r="CQ485" s="180"/>
      <c r="CR485" s="180"/>
      <c r="CS485" s="74"/>
      <c r="CT485" s="180"/>
      <c r="CU485" s="180"/>
      <c r="CV485" s="74"/>
      <c r="CW485" s="180"/>
      <c r="CX485" s="180"/>
      <c r="CY485" s="74"/>
      <c r="CZ485" s="180"/>
      <c r="DA485" s="180"/>
      <c r="DB485" s="74"/>
      <c r="DC485" s="180"/>
      <c r="DD485" s="180"/>
      <c r="DE485" s="74"/>
      <c r="DF485" s="259"/>
      <c r="DG485" s="71"/>
      <c r="DH485" s="1074"/>
      <c r="DI485" s="71"/>
      <c r="DJ485" s="71"/>
      <c r="DK485" s="1074"/>
      <c r="DL485" s="71"/>
      <c r="DM485" s="71"/>
      <c r="DN485" s="1074"/>
      <c r="DO485" s="180"/>
      <c r="DP485" s="180"/>
      <c r="DQ485" s="1071"/>
      <c r="DR485" s="180"/>
      <c r="DS485" s="180"/>
      <c r="DT485" s="1071"/>
      <c r="DU485" s="180"/>
      <c r="DV485" s="180"/>
      <c r="DW485" s="1071"/>
      <c r="DX485" s="180"/>
      <c r="DY485" s="180"/>
      <c r="DZ485" s="1071"/>
      <c r="EA485" s="180"/>
      <c r="EB485" s="180"/>
      <c r="EC485" s="1071"/>
      <c r="ED485" s="180"/>
      <c r="EE485" s="180"/>
      <c r="EF485" s="1071"/>
      <c r="EG485" s="180"/>
      <c r="EH485" s="180"/>
      <c r="EI485" s="1071"/>
      <c r="EJ485" s="180"/>
      <c r="EK485" s="180"/>
      <c r="EL485" s="1071"/>
      <c r="EM485" s="180"/>
      <c r="EN485" s="180"/>
      <c r="EO485" s="1071"/>
      <c r="EP485" s="180"/>
      <c r="EQ485" s="180"/>
      <c r="ER485" s="1071"/>
      <c r="ES485" s="180"/>
      <c r="ET485" s="180"/>
      <c r="EU485" s="1071"/>
      <c r="EV485" s="180"/>
      <c r="EW485" s="180"/>
      <c r="EX485" s="1071"/>
      <c r="EY485" s="180"/>
      <c r="EZ485" s="180"/>
      <c r="FA485" s="1071"/>
    </row>
    <row r="486" spans="1:157" s="233" customFormat="1" outlineLevel="1">
      <c r="A486" s="1147"/>
      <c r="B486" s="246" t="s">
        <v>428</v>
      </c>
      <c r="D486" s="245" t="s">
        <v>604</v>
      </c>
      <c r="BC486" s="1020"/>
      <c r="BF486" s="246"/>
      <c r="BI486" s="246"/>
      <c r="BL486" s="246"/>
      <c r="BO486" s="246"/>
      <c r="BR486" s="246"/>
      <c r="BS486" s="233">
        <v>4.0375430042634655</v>
      </c>
      <c r="BT486" s="233">
        <v>0</v>
      </c>
      <c r="BU486" s="233">
        <f>SUM(BS486:BT486)</f>
        <v>4.0375430042634655</v>
      </c>
      <c r="BV486" s="233">
        <v>3.9507937307622853</v>
      </c>
      <c r="BW486" s="233">
        <v>7.2652553007224796</v>
      </c>
      <c r="BX486" s="233">
        <f>SUM(BV486:BW486)</f>
        <v>11.216049031484765</v>
      </c>
      <c r="BY486" s="233">
        <v>8.2284123889503533</v>
      </c>
      <c r="BZ486" s="233">
        <v>8.3879214235697006</v>
      </c>
      <c r="CA486" s="233">
        <f>SUM(BY486:BZ486)</f>
        <v>16.616333812520054</v>
      </c>
      <c r="CB486" s="233">
        <v>37.745861976847728</v>
      </c>
      <c r="CC486" s="233">
        <v>42.271285271854239</v>
      </c>
      <c r="CD486" s="233">
        <f>SUM(CB486:CC486)</f>
        <v>80.017147248701974</v>
      </c>
      <c r="CE486" s="233">
        <v>37.939828616800369</v>
      </c>
      <c r="CF486" s="233">
        <f>CF487*CF426</f>
        <v>40.354948630639335</v>
      </c>
      <c r="CG486" s="233">
        <f>SUM(CE486:CF486)</f>
        <v>78.294777247439697</v>
      </c>
      <c r="CH486" s="233">
        <f>CH487*CH426</f>
        <v>42.13718017965865</v>
      </c>
      <c r="CI486" s="233">
        <f>CI487*CI426</f>
        <v>44.99770352568072</v>
      </c>
      <c r="CJ486" s="233">
        <f>SUM(CH486:CI486)</f>
        <v>87.134883705339377</v>
      </c>
      <c r="CK486" s="233">
        <f>CK487*CK426</f>
        <v>42.636766225852796</v>
      </c>
      <c r="CL486" s="233">
        <f>CL487*CL426</f>
        <v>47.917049552921299</v>
      </c>
      <c r="CM486" s="233">
        <f>SUM(CK486:CL486)</f>
        <v>90.553815778774094</v>
      </c>
      <c r="CN486" s="233">
        <f>CN487*CN426</f>
        <v>40.441140768078618</v>
      </c>
      <c r="CO486" s="233">
        <f>CO487*CO426</f>
        <v>30.416292970374112</v>
      </c>
      <c r="CP486" s="233">
        <f>SUM(CN486:CO486)</f>
        <v>70.857433738452727</v>
      </c>
      <c r="CQ486" s="233">
        <f>CQ487*CQ426</f>
        <v>36.376846178207181</v>
      </c>
      <c r="CR486" s="233">
        <f>CR487*CR426</f>
        <v>31.499999999999996</v>
      </c>
      <c r="CS486" s="233">
        <f>SUM(CQ486:CR486)</f>
        <v>67.876846178207174</v>
      </c>
      <c r="CT486" s="233">
        <f>CT487*CT426</f>
        <v>40.367960979999971</v>
      </c>
      <c r="CU486" s="233">
        <f>CU487*CU426</f>
        <v>43.507740022809593</v>
      </c>
      <c r="CV486" s="233">
        <f>SUM(CT486:CU486)</f>
        <v>83.875701002809564</v>
      </c>
      <c r="CW486" s="233">
        <f>CW487*CW426</f>
        <v>41.663306467219783</v>
      </c>
      <c r="CX486" s="233">
        <f>CX487*CX426</f>
        <v>49.879255518029979</v>
      </c>
      <c r="CY486" s="233">
        <f>SUM(CW486:CX486)</f>
        <v>91.542561985249762</v>
      </c>
      <c r="CZ486" s="233">
        <f>CZ487*CZ426</f>
        <v>50.776610912352176</v>
      </c>
      <c r="DA486" s="233">
        <f>DA487*DA426</f>
        <v>51.482304364064198</v>
      </c>
      <c r="DB486" s="233">
        <f>SUM(CZ486:DA486)</f>
        <v>102.25891527641637</v>
      </c>
      <c r="DC486" s="233">
        <f>88.2-DC465</f>
        <v>55.78101786784336</v>
      </c>
      <c r="DD486" s="233">
        <f>DD487*DD426</f>
        <v>60.305039627234166</v>
      </c>
      <c r="DE486" s="233">
        <f>SUM(DC486:DD486)</f>
        <v>116.08605749507753</v>
      </c>
      <c r="DF486" s="233">
        <f>94.4-DF465</f>
        <v>57.35898952647694</v>
      </c>
      <c r="DG486" s="233">
        <f>185.1-DG465-DF465-DF486</f>
        <v>55.099645202028903</v>
      </c>
      <c r="DH486" s="1070">
        <f>SUM(DF486:DG486)</f>
        <v>112.45863472850584</v>
      </c>
      <c r="DI486" s="233">
        <f>88.4-DI465</f>
        <v>54.719000000000008</v>
      </c>
      <c r="DJ486" s="233">
        <f>195-DI486-DK465</f>
        <v>71.599000000000004</v>
      </c>
      <c r="DK486" s="1070">
        <f>SUM(DI486:DJ486)</f>
        <v>126.31800000000001</v>
      </c>
      <c r="DL486" s="945">
        <f>DL487*DL426</f>
        <v>65.224000000000004</v>
      </c>
      <c r="DM486" s="945">
        <f>DM487*DM426</f>
        <v>73.743939999999995</v>
      </c>
      <c r="DN486" s="1114">
        <f>SUM(DL486:DM486)</f>
        <v>138.96794</v>
      </c>
      <c r="DO486" s="945">
        <f>DO487*DO426</f>
        <v>62.461000000000013</v>
      </c>
      <c r="DP486" s="945">
        <f>DP487*DP426</f>
        <v>95.440150000000003</v>
      </c>
      <c r="DQ486" s="1114">
        <f>SUM(DO486:DP486)</f>
        <v>157.90115000000003</v>
      </c>
      <c r="DR486" s="945">
        <f>DR487*DR426</f>
        <v>81.111190000000008</v>
      </c>
      <c r="DS486" s="945">
        <f>DS487*DS426</f>
        <v>83.398680000000013</v>
      </c>
      <c r="DT486" s="1114">
        <f>SUM(DR486:DS486)</f>
        <v>164.50987000000003</v>
      </c>
      <c r="DU486" s="945">
        <f>DU487*DU426</f>
        <v>85.227215000000001</v>
      </c>
      <c r="DV486" s="945">
        <f>DV487*DV426</f>
        <v>86.392814999999985</v>
      </c>
      <c r="DW486" s="1114">
        <f>SUM(DU486:DV486)</f>
        <v>171.62002999999999</v>
      </c>
      <c r="DX486" s="945">
        <f>DX487*DX426</f>
        <v>85.671599999999998</v>
      </c>
      <c r="DY486" s="945">
        <f>DY487*DY426</f>
        <v>97.42713203664897</v>
      </c>
      <c r="DZ486" s="1114">
        <f>SUM(DX486:DY486)</f>
        <v>183.09873203664898</v>
      </c>
      <c r="EA486" s="945">
        <f>EA487*EA426</f>
        <v>97.081714027982287</v>
      </c>
      <c r="EB486" s="945">
        <f>EB487*EB426</f>
        <v>100.0839130899289</v>
      </c>
      <c r="EC486" s="1114">
        <f>SUM(EA486:EB486)</f>
        <v>197.16562711791119</v>
      </c>
      <c r="ED486" s="945">
        <f>ED487*ED426</f>
        <v>105.61510635921471</v>
      </c>
      <c r="EE486" s="945">
        <f>EE487*EE426</f>
        <v>108.88207973660735</v>
      </c>
      <c r="EF486" s="1114">
        <f>SUM(ED486:EE486)</f>
        <v>214.49718609582206</v>
      </c>
      <c r="EG486" s="945">
        <f>EG487*EG426</f>
        <v>115.12046593154402</v>
      </c>
      <c r="EH486" s="945">
        <f>EH487*EH426</f>
        <v>118.68146691290201</v>
      </c>
      <c r="EI486" s="1114">
        <f>SUM(EG486:EH486)</f>
        <v>233.80193284444601</v>
      </c>
      <c r="EJ486" s="945">
        <f>EJ487*EJ426</f>
        <v>125.48130786538299</v>
      </c>
      <c r="EK486" s="945">
        <f>EK487*EK426</f>
        <v>129.36279893506321</v>
      </c>
      <c r="EL486" s="1114">
        <f>SUM(EJ486:EK486)</f>
        <v>254.84410680044618</v>
      </c>
      <c r="EM486" s="945">
        <f>EM487*EM426</f>
        <v>136.77462557326749</v>
      </c>
      <c r="EN486" s="945">
        <f>EN487*EN426</f>
        <v>141.00545083921889</v>
      </c>
      <c r="EO486" s="1114">
        <f>SUM(EM486:EN486)</f>
        <v>277.78007641248638</v>
      </c>
      <c r="EP486" s="945">
        <f>EP487*EP426</f>
        <v>149.08434187486156</v>
      </c>
      <c r="EQ486" s="945">
        <f>EQ487*EQ426</f>
        <v>153.69594141474863</v>
      </c>
      <c r="ER486" s="1114">
        <f>SUM(EP486:EQ486)</f>
        <v>302.78028328961022</v>
      </c>
      <c r="ES486" s="945">
        <f>ES487*ES426</f>
        <v>162.50193264359916</v>
      </c>
      <c r="ET486" s="945">
        <f>ET487*ET426</f>
        <v>167.52857614207605</v>
      </c>
      <c r="EU486" s="1114">
        <f>SUM(ES486:ET486)</f>
        <v>330.03050878567524</v>
      </c>
      <c r="EV486" s="945">
        <f>EV487*EV426</f>
        <v>177.12710658152309</v>
      </c>
      <c r="EW486" s="945">
        <f>EW487*EW426</f>
        <v>182.60614799486288</v>
      </c>
      <c r="EX486" s="1114">
        <f>SUM(EV486:EW486)</f>
        <v>359.733254576386</v>
      </c>
      <c r="EY486" s="945">
        <f>EY487*EY426</f>
        <v>193.06854617386017</v>
      </c>
      <c r="EZ486" s="945">
        <f>EZ487*EZ426</f>
        <v>199.04070131440059</v>
      </c>
      <c r="FA486" s="1114">
        <f>SUM(EY486:EZ486)</f>
        <v>392.10924748826073</v>
      </c>
    </row>
    <row r="487" spans="1:157" outlineLevel="1">
      <c r="A487" s="1431"/>
      <c r="B487" s="31"/>
      <c r="C487" s="35" t="s">
        <v>925</v>
      </c>
      <c r="D487" s="162" t="s">
        <v>460</v>
      </c>
      <c r="BA487" s="91"/>
      <c r="BB487" s="91"/>
      <c r="BC487" s="942"/>
      <c r="BD487" s="91"/>
      <c r="BE487" s="91"/>
      <c r="BF487" s="87"/>
      <c r="BG487" s="91"/>
      <c r="BH487" s="91"/>
      <c r="BI487" s="87"/>
      <c r="BR487" s="124"/>
      <c r="BS487" s="32">
        <f t="shared" ref="BS487:CE487" si="2363">BS486/BS426</f>
        <v>1.5625225315178331E-2</v>
      </c>
      <c r="BT487" s="32">
        <f t="shared" si="2363"/>
        <v>0</v>
      </c>
      <c r="BU487" s="65">
        <f t="shared" si="2363"/>
        <v>7.7858964980959912E-3</v>
      </c>
      <c r="BV487" s="32">
        <f t="shared" si="2363"/>
        <v>1.4551109277617236E-2</v>
      </c>
      <c r="BW487" s="32">
        <f t="shared" si="2363"/>
        <v>2.5526056480958164E-2</v>
      </c>
      <c r="BX487" s="65">
        <f t="shared" si="2363"/>
        <v>2.0167938203668294E-2</v>
      </c>
      <c r="BY487" s="32">
        <f t="shared" si="2363"/>
        <v>2.4840467359025002E-2</v>
      </c>
      <c r="BZ487" s="32">
        <f t="shared" si="2363"/>
        <v>2.3893077276326204E-2</v>
      </c>
      <c r="CA487" s="65">
        <f t="shared" si="2363"/>
        <v>2.4353018904840856E-2</v>
      </c>
      <c r="CB487" s="32">
        <f t="shared" si="2363"/>
        <v>0.1175599138889649</v>
      </c>
      <c r="CC487" s="32">
        <f t="shared" si="2363"/>
        <v>0.12253558994153027</v>
      </c>
      <c r="CD487" s="65">
        <f t="shared" si="2363"/>
        <v>0.12013700056191814</v>
      </c>
      <c r="CE487" s="32">
        <f t="shared" si="2363"/>
        <v>0.11132955774479698</v>
      </c>
      <c r="CF487" s="93">
        <v>0.1110193176548596</v>
      </c>
      <c r="CG487" s="65">
        <f>CG486/CG426</f>
        <v>0.11116943656757705</v>
      </c>
      <c r="CH487" s="93">
        <v>0.12426917520671511</v>
      </c>
      <c r="CI487" s="32">
        <v>0.13227576881368991</v>
      </c>
      <c r="CJ487" s="65">
        <f>CJ486/CJ426</f>
        <v>0.12827896143825954</v>
      </c>
      <c r="CK487" s="93">
        <v>0.12011062911912565</v>
      </c>
      <c r="CL487" s="32">
        <v>0.14424147296295992</v>
      </c>
      <c r="CM487" s="65">
        <f>CM486/CM426</f>
        <v>0.13177610148256261</v>
      </c>
      <c r="CN487" s="196">
        <v>0.11187877176069336</v>
      </c>
      <c r="CO487" s="32">
        <v>7.1174659523351044E-2</v>
      </c>
      <c r="CP487" s="65">
        <f>CP486/CP426</f>
        <v>8.9827115823499448E-2</v>
      </c>
      <c r="CQ487" s="196">
        <v>8.2582870805416653E-2</v>
      </c>
      <c r="CR487" s="196">
        <v>6.2822839592349577E-2</v>
      </c>
      <c r="CS487" s="65">
        <f>CS486/CS426</f>
        <v>7.206382656548864E-2</v>
      </c>
      <c r="CT487" s="32">
        <v>6.9394143196039287E-2</v>
      </c>
      <c r="CU487" s="32">
        <v>7.5700000000000003E-2</v>
      </c>
      <c r="CV487" s="65">
        <f>CV486/CV426</f>
        <v>7.2528038767117345E-2</v>
      </c>
      <c r="CW487" s="32">
        <v>6.8940111962839432E-2</v>
      </c>
      <c r="CX487" s="32">
        <v>7.85E-2</v>
      </c>
      <c r="CY487" s="65">
        <f>CY486/CY426</f>
        <v>7.3839825756020938E-2</v>
      </c>
      <c r="CZ487" s="93">
        <v>8.0721493589743593E-2</v>
      </c>
      <c r="DA487" s="93">
        <v>7.3328835762274322E-2</v>
      </c>
      <c r="DB487" s="65">
        <f>DB486/DB426</f>
        <v>7.6822341703943225E-2</v>
      </c>
      <c r="DC487" s="32">
        <f>DC486/DC426</f>
        <v>7.8638294596254849E-2</v>
      </c>
      <c r="DD487" s="262">
        <v>8.220470574441241E-2</v>
      </c>
      <c r="DE487" s="65">
        <f t="shared" ref="DE487:DK487" si="2364">DE486/DE426</f>
        <v>8.0451480420116989E-2</v>
      </c>
      <c r="DF487" s="32">
        <f t="shared" si="2364"/>
        <v>7.4034194831497396E-2</v>
      </c>
      <c r="DG487" s="65">
        <f t="shared" si="2364"/>
        <v>9.4662453416964928E-2</v>
      </c>
      <c r="DH487" s="1077">
        <f t="shared" si="2364"/>
        <v>8.2883493531796679E-2</v>
      </c>
      <c r="DI487" s="32">
        <f t="shared" si="2364"/>
        <v>7.3665858912224033E-2</v>
      </c>
      <c r="DJ487" s="32">
        <f t="shared" si="2364"/>
        <v>9.5401732178547638E-2</v>
      </c>
      <c r="DK487" s="1077">
        <f t="shared" si="2364"/>
        <v>8.4589834594522212E-2</v>
      </c>
      <c r="DL487" s="1055">
        <v>0.08</v>
      </c>
      <c r="DM487" s="1055">
        <v>8.9300000000000004E-2</v>
      </c>
      <c r="DN487" s="1077">
        <f>DN486/DN426</f>
        <v>8.4679751386265309E-2</v>
      </c>
      <c r="DO487" s="1056">
        <v>7.0000000000000007E-2</v>
      </c>
      <c r="DP487" s="1055">
        <v>8.9749999999999996E-2</v>
      </c>
      <c r="DQ487" s="1077">
        <f>DQ486/DQ426</f>
        <v>8.073894257810503E-2</v>
      </c>
      <c r="DR487" s="1055">
        <v>7.2849999999999998E-2</v>
      </c>
      <c r="DS487" s="1055">
        <f>DR487</f>
        <v>7.2849999999999998E-2</v>
      </c>
      <c r="DT487" s="1077">
        <f>DT486/DT426</f>
        <v>7.2850000000000012E-2</v>
      </c>
      <c r="DU487" s="1055">
        <f>DR487</f>
        <v>7.2849999999999998E-2</v>
      </c>
      <c r="DV487" s="1055">
        <f>DU487</f>
        <v>7.2849999999999998E-2</v>
      </c>
      <c r="DW487" s="1077">
        <f>DW486/DW426</f>
        <v>7.2849999999999984E-2</v>
      </c>
      <c r="DX487" s="1055">
        <f>DU487</f>
        <v>7.2849999999999998E-2</v>
      </c>
      <c r="DY487" s="1055">
        <f>DX487</f>
        <v>7.2849999999999998E-2</v>
      </c>
      <c r="DZ487" s="1077">
        <f>DZ486/DZ426</f>
        <v>7.2849999999999998E-2</v>
      </c>
      <c r="EA487" s="1055">
        <v>7.0000000000000007E-2</v>
      </c>
      <c r="EB487" s="1055">
        <f>EA487</f>
        <v>7.0000000000000007E-2</v>
      </c>
      <c r="EC487" s="1077">
        <f>EC486/EC426</f>
        <v>7.0000000000000007E-2</v>
      </c>
      <c r="ED487" s="1055">
        <v>7.0000000000000007E-2</v>
      </c>
      <c r="EE487" s="1055">
        <f>ED487</f>
        <v>7.0000000000000007E-2</v>
      </c>
      <c r="EF487" s="1077">
        <f>EF486/EF426</f>
        <v>7.0000000000000007E-2</v>
      </c>
      <c r="EG487" s="1055">
        <f>EF487</f>
        <v>7.0000000000000007E-2</v>
      </c>
      <c r="EH487" s="1055">
        <f>EG487</f>
        <v>7.0000000000000007E-2</v>
      </c>
      <c r="EI487" s="1077">
        <f>EI486/EI426</f>
        <v>7.0000000000000007E-2</v>
      </c>
      <c r="EJ487" s="1055">
        <f>EI487</f>
        <v>7.0000000000000007E-2</v>
      </c>
      <c r="EK487" s="1055">
        <f>EJ487</f>
        <v>7.0000000000000007E-2</v>
      </c>
      <c r="EL487" s="1077">
        <f>EL486/EL426</f>
        <v>7.0000000000000007E-2</v>
      </c>
      <c r="EM487" s="1055">
        <f>EL487</f>
        <v>7.0000000000000007E-2</v>
      </c>
      <c r="EN487" s="1055">
        <f>EM487</f>
        <v>7.0000000000000007E-2</v>
      </c>
      <c r="EO487" s="1077">
        <f>EO486/EO426</f>
        <v>7.0000000000000007E-2</v>
      </c>
      <c r="EP487" s="1055">
        <f>EO487</f>
        <v>7.0000000000000007E-2</v>
      </c>
      <c r="EQ487" s="1055">
        <f>EP487</f>
        <v>7.0000000000000007E-2</v>
      </c>
      <c r="ER487" s="1077">
        <f>ER486/ER426</f>
        <v>7.0000000000000021E-2</v>
      </c>
      <c r="ES487" s="1055">
        <f>ER487</f>
        <v>7.0000000000000021E-2</v>
      </c>
      <c r="ET487" s="1055">
        <f>ES487</f>
        <v>7.0000000000000021E-2</v>
      </c>
      <c r="EU487" s="1077">
        <f>EU486/EU426</f>
        <v>7.0000000000000021E-2</v>
      </c>
      <c r="EV487" s="1055">
        <f>EU487</f>
        <v>7.0000000000000021E-2</v>
      </c>
      <c r="EW487" s="1055">
        <f>EV487</f>
        <v>7.0000000000000021E-2</v>
      </c>
      <c r="EX487" s="1077">
        <f>EX486/EX426</f>
        <v>7.0000000000000021E-2</v>
      </c>
      <c r="EY487" s="1055">
        <f>EX487</f>
        <v>7.0000000000000021E-2</v>
      </c>
      <c r="EZ487" s="1055">
        <f>EY487</f>
        <v>7.0000000000000021E-2</v>
      </c>
      <c r="FA487" s="1077">
        <f>FA486/FA426</f>
        <v>7.0000000000000021E-2</v>
      </c>
    </row>
    <row r="488" spans="1:157" outlineLevel="1">
      <c r="B488" s="31"/>
      <c r="BA488" s="35"/>
      <c r="BB488" s="35"/>
      <c r="BC488" s="322"/>
      <c r="BD488" s="35"/>
      <c r="BE488" s="35"/>
      <c r="BG488" s="35"/>
      <c r="BH488" s="35"/>
      <c r="BJ488" s="35"/>
      <c r="BK488" s="35"/>
      <c r="BL488" s="31"/>
      <c r="BM488" s="35"/>
      <c r="BN488" s="35"/>
      <c r="BO488" s="31"/>
      <c r="BP488" s="35"/>
      <c r="BQ488" s="35"/>
      <c r="BR488" s="1024"/>
      <c r="BS488" s="65"/>
      <c r="BT488" s="65"/>
      <c r="BU488" s="74"/>
      <c r="BV488" s="65"/>
      <c r="BW488" s="65"/>
      <c r="BX488" s="74"/>
      <c r="BY488" s="65"/>
      <c r="BZ488" s="65"/>
      <c r="CA488" s="74"/>
      <c r="CB488" s="65"/>
      <c r="CC488" s="65"/>
      <c r="CD488" s="74"/>
      <c r="CE488" s="65"/>
      <c r="CF488" s="65"/>
      <c r="CG488" s="74"/>
      <c r="CH488" s="65"/>
      <c r="CI488" s="65"/>
      <c r="CJ488" s="70"/>
      <c r="CK488" s="65"/>
      <c r="CL488" s="65"/>
      <c r="CM488" s="70"/>
      <c r="CN488" s="65"/>
      <c r="CO488" s="65"/>
      <c r="CP488" s="70"/>
      <c r="CQ488" s="65"/>
      <c r="CR488" s="65"/>
      <c r="CS488" s="70"/>
      <c r="CT488" s="65"/>
      <c r="CU488" s="65"/>
      <c r="CV488" s="70"/>
      <c r="CW488" s="65"/>
      <c r="CX488" s="65"/>
      <c r="CY488" s="70">
        <f>+CY160</f>
        <v>315.63497417288022</v>
      </c>
      <c r="CZ488" s="65"/>
      <c r="DA488" s="65"/>
      <c r="DB488" s="70"/>
      <c r="DC488" s="65"/>
      <c r="DD488" s="65"/>
      <c r="DE488" s="70"/>
      <c r="DF488" s="65"/>
      <c r="DG488" s="65"/>
      <c r="DH488" s="1074"/>
      <c r="DI488" s="65"/>
      <c r="DJ488" s="65"/>
      <c r="DK488" s="1074"/>
      <c r="DL488" s="65"/>
      <c r="DM488" s="65"/>
      <c r="DN488" s="1074"/>
      <c r="DO488" s="65"/>
      <c r="DP488" s="65"/>
      <c r="DQ488" s="1066"/>
      <c r="DR488" s="65"/>
      <c r="DS488" s="65"/>
      <c r="DT488" s="1066"/>
      <c r="DU488" s="65"/>
      <c r="DV488" s="65"/>
      <c r="DW488" s="1066"/>
      <c r="DX488" s="65"/>
      <c r="DY488" s="65"/>
      <c r="DZ488" s="1066"/>
      <c r="EA488" s="65"/>
      <c r="EB488" s="65"/>
      <c r="EC488" s="1066"/>
      <c r="ED488" s="65"/>
      <c r="EE488" s="65"/>
      <c r="EF488" s="1066"/>
      <c r="EG488" s="65"/>
      <c r="EH488" s="65"/>
      <c r="EI488" s="1066"/>
      <c r="EJ488" s="65"/>
      <c r="EK488" s="65"/>
      <c r="EL488" s="1066"/>
      <c r="EM488" s="65"/>
      <c r="EN488" s="65"/>
      <c r="EO488" s="1066"/>
      <c r="EP488" s="65"/>
      <c r="EQ488" s="65"/>
      <c r="ER488" s="1066"/>
      <c r="ES488" s="65"/>
      <c r="ET488" s="65"/>
      <c r="EU488" s="1066"/>
      <c r="EV488" s="65"/>
      <c r="EW488" s="65"/>
      <c r="EX488" s="1066"/>
      <c r="EY488" s="65"/>
      <c r="EZ488" s="65"/>
      <c r="FA488" s="1066"/>
    </row>
    <row r="489" spans="1:157" s="233" customFormat="1" outlineLevel="1">
      <c r="A489" s="1147"/>
      <c r="B489" s="246" t="s">
        <v>284</v>
      </c>
      <c r="D489" s="245"/>
      <c r="BC489" s="1020"/>
      <c r="BF489" s="246"/>
      <c r="BI489" s="246"/>
      <c r="BL489" s="246"/>
      <c r="BO489" s="246"/>
      <c r="BR489" s="246"/>
      <c r="BS489" s="233">
        <f>SUM(BS479,BS483,BS486)</f>
        <v>9.5220085338593812</v>
      </c>
      <c r="BT489" s="233">
        <f>SUM(BT479,BT483,BT486)</f>
        <v>5.1327434221208144</v>
      </c>
      <c r="BU489" s="233">
        <f>SUM(BS489:BT489)</f>
        <v>14.654751955980196</v>
      </c>
      <c r="BV489" s="233">
        <f>SUM(BV479,BV483,BV486)</f>
        <v>10.475186401513815</v>
      </c>
      <c r="BW489" s="233">
        <f>SUM(BW479,BW483,BW486)</f>
        <v>9.0759965853388138</v>
      </c>
      <c r="BX489" s="233">
        <f>SUM(BV489:BW489)</f>
        <v>19.551182986852631</v>
      </c>
      <c r="BY489" s="233">
        <f>SUM(BY479,BY483,BY486)</f>
        <v>14.567067026590703</v>
      </c>
      <c r="BZ489" s="233">
        <f>SUM(BZ479,BZ483,BZ486)</f>
        <v>16.212387854554279</v>
      </c>
      <c r="CA489" s="233">
        <f>SUM(BY489:BZ489)</f>
        <v>30.779454881144982</v>
      </c>
      <c r="CB489" s="233">
        <f>SUM(CB479,CB483,CB486)</f>
        <v>70.919530880515964</v>
      </c>
      <c r="CC489" s="233">
        <f>SUM(CC479,CC483,CC486)</f>
        <v>83.780475008932001</v>
      </c>
      <c r="CD489" s="233">
        <f>SUM(CB489:CC489)</f>
        <v>154.70000588944797</v>
      </c>
      <c r="CE489" s="233">
        <f>SUM(CE479,CE483,CE486)</f>
        <v>67.383251655729296</v>
      </c>
      <c r="CF489" s="233">
        <f>SUM(CF479,CF483,CF486)</f>
        <v>93.604214964350064</v>
      </c>
      <c r="CG489" s="233">
        <f>SUM(CE489:CF489)</f>
        <v>160.98746662007937</v>
      </c>
      <c r="CH489" s="233">
        <f>SUM(CH479,CH483,CH486)</f>
        <v>83.630637201883673</v>
      </c>
      <c r="CI489" s="233">
        <f>SUM(CI479,CI483,CI486)</f>
        <v>89.237958803239792</v>
      </c>
      <c r="CJ489" s="233">
        <f>SUM(CH489:CI489)</f>
        <v>172.86859600512346</v>
      </c>
      <c r="CK489" s="233">
        <f>SUM(CK479,CK483,CK486)</f>
        <v>86.663494532090382</v>
      </c>
      <c r="CL489" s="233">
        <f>SUM(CL479,CL483,CL486)</f>
        <v>88.538778887414168</v>
      </c>
      <c r="CM489" s="233">
        <f>SUM(CK489:CL489)</f>
        <v>175.20227341950454</v>
      </c>
      <c r="CN489" s="233">
        <f>SUM(CN479,CN483,CN486)</f>
        <v>89.213944241004583</v>
      </c>
      <c r="CO489" s="233">
        <f>SUM(CO479,CO483,CO486)</f>
        <v>96.799494480143636</v>
      </c>
      <c r="CP489" s="233">
        <f>SUM(CN489:CO489)</f>
        <v>186.01343872114822</v>
      </c>
      <c r="CQ489" s="233">
        <f>SUM(CQ479,CQ483,CQ486)</f>
        <v>99.969614489532944</v>
      </c>
      <c r="CR489" s="233">
        <f>SUM(CR479,CR483,CR486)</f>
        <v>106.0332098736711</v>
      </c>
      <c r="CS489" s="233">
        <f>SUM(CQ489:CR489)</f>
        <v>206.00282436320404</v>
      </c>
      <c r="CT489" s="233">
        <f>SUM(CT479,CT483,CT486)</f>
        <v>117.49799999999988</v>
      </c>
      <c r="CU489" s="233">
        <f>SUM(CU479,CU483,CU486)</f>
        <v>128.89257328992375</v>
      </c>
      <c r="CV489" s="233">
        <f>SUM(CT489:CU489)</f>
        <v>246.39057328992362</v>
      </c>
      <c r="CW489" s="233">
        <f>SUM(CW479,CW483,CW486)</f>
        <v>127.50251255142375</v>
      </c>
      <c r="CX489" s="233">
        <f>SUM(CX479,CX483,CX486)</f>
        <v>138.70880865714579</v>
      </c>
      <c r="CY489" s="233">
        <f>SUM(CW489:CX489)</f>
        <v>266.21132120856953</v>
      </c>
      <c r="CZ489" s="233">
        <f>SUM(CZ479,CZ483,CZ486)</f>
        <v>141.3262497113738</v>
      </c>
      <c r="DA489" s="233">
        <f>SUM(DA479,DA483,DA486)</f>
        <v>160.40294586709553</v>
      </c>
      <c r="DB489" s="233">
        <f>SUM(CZ489:DA489)</f>
        <v>301.72919557846933</v>
      </c>
      <c r="DC489" s="233">
        <f>SUM(DC479,DC483,DC486)</f>
        <v>160.31870921226673</v>
      </c>
      <c r="DD489" s="233">
        <f>SUM(DD479,DD483,DD486)</f>
        <v>167.97041261714185</v>
      </c>
      <c r="DE489" s="233">
        <f>SUM(DC489:DD489)</f>
        <v>328.2891218294086</v>
      </c>
      <c r="DF489" s="233">
        <f>SUM(DF479,DF483,DF486)</f>
        <v>166.22955844910931</v>
      </c>
      <c r="DG489" s="233">
        <f>SUM(DG479,DG483,DG486)</f>
        <v>160.82388762627139</v>
      </c>
      <c r="DH489" s="1070">
        <f>SUM(DF489:DG489)</f>
        <v>327.05344607538069</v>
      </c>
      <c r="DI489" s="233">
        <f>SUM(DI479,DI483,DI486)</f>
        <v>160.97683910282245</v>
      </c>
      <c r="DJ489" s="233">
        <f>SUM(DJ479,DJ483,DJ486)</f>
        <v>181.1213056036259</v>
      </c>
      <c r="DK489" s="1070">
        <f>SUM(DI489:DJ489)</f>
        <v>342.09814470644835</v>
      </c>
      <c r="DL489" s="233">
        <f>SUM(DL479,DL483,DL486)</f>
        <v>190.99999999999994</v>
      </c>
      <c r="DM489" s="233">
        <f>SUM(DM479,DM483,DM486)</f>
        <v>228.16854000000001</v>
      </c>
      <c r="DN489" s="1070">
        <f>SUM(DL489:DM489)</f>
        <v>419.16853999999995</v>
      </c>
      <c r="DO489" s="233">
        <f>SUM(DO479,DO483,DO486)</f>
        <v>222.45039000000003</v>
      </c>
      <c r="DP489" s="233">
        <f>SUM(DP479,DP483,DP486)</f>
        <v>325.66625000000005</v>
      </c>
      <c r="DQ489" s="1070">
        <f>SUM(DO489:DP489)</f>
        <v>548.11664000000007</v>
      </c>
      <c r="DR489" s="233">
        <f>SUM(DR479,DR483,DR486)</f>
        <v>251.49479200000002</v>
      </c>
      <c r="DS489" s="233">
        <f>SUM(DS479,DS483,DS486)</f>
        <v>258.58742400000006</v>
      </c>
      <c r="DT489" s="1070">
        <f>SUM(DR489:DS489)</f>
        <v>510.08221600000007</v>
      </c>
      <c r="DU489" s="233">
        <f>SUM(DU479,DU483,DU486)</f>
        <v>266.56171500000005</v>
      </c>
      <c r="DV489" s="233">
        <f>SUM(DV479,DV483,DV486)</f>
        <v>270.20731499999999</v>
      </c>
      <c r="DW489" s="1070">
        <f>SUM(DU489:DV489)</f>
        <v>536.76903000000004</v>
      </c>
      <c r="DX489" s="233">
        <f>SUM(DX479,DX483,DX486)</f>
        <v>271.4796</v>
      </c>
      <c r="DY489" s="233">
        <f>SUM(DY479,DY483,DY486)</f>
        <v>308.73100110721231</v>
      </c>
      <c r="DZ489" s="1070">
        <f>SUM(DX489:DY489)</f>
        <v>580.21060110721237</v>
      </c>
      <c r="EA489" s="233">
        <f>SUM(EA479,EA483,EA486)</f>
        <v>316.20901140542799</v>
      </c>
      <c r="EB489" s="233">
        <f>SUM(EB479,EB483,EB486)</f>
        <v>325.98760263576838</v>
      </c>
      <c r="EC489" s="1070">
        <f>SUM(EA489:EB489)</f>
        <v>642.19661404119643</v>
      </c>
      <c r="ED489" s="233">
        <f>SUM(ED479,ED483,ED486)</f>
        <v>336.45955311578393</v>
      </c>
      <c r="EE489" s="233">
        <f>SUM(EE479,EE483,EE486)</f>
        <v>346.86719687519201</v>
      </c>
      <c r="EF489" s="1070">
        <f>SUM(ED489:EE489)</f>
        <v>683.32674999097594</v>
      </c>
      <c r="EG489" s="233">
        <f>SUM(EG479,EG483,EG486)</f>
        <v>358.51802247252277</v>
      </c>
      <c r="EH489" s="233">
        <f>SUM(EH479,EH483,EH486)</f>
        <v>369.60799695732339</v>
      </c>
      <c r="EI489" s="1070">
        <f>SUM(EG489:EH489)</f>
        <v>728.12601942984611</v>
      </c>
      <c r="EJ489" s="233">
        <f>SUM(EJ479,EJ483,EJ486)</f>
        <v>390.78464449504986</v>
      </c>
      <c r="EK489" s="233">
        <f>SUM(EK479,EK483,EK486)</f>
        <v>402.87271668348251</v>
      </c>
      <c r="EL489" s="1070">
        <f>SUM(EJ489:EK489)</f>
        <v>793.65736117853237</v>
      </c>
      <c r="EM489" s="233">
        <f>SUM(EM479,EM483,EM486)</f>
        <v>425.95526249960437</v>
      </c>
      <c r="EN489" s="233">
        <f>SUM(EN479,EN483,EN486)</f>
        <v>439.13126118499594</v>
      </c>
      <c r="EO489" s="1070">
        <f>SUM(EM489:EN489)</f>
        <v>865.08652368460025</v>
      </c>
      <c r="EP489" s="233">
        <f>SUM(EP479,EP483,EP486)</f>
        <v>453.64235456207871</v>
      </c>
      <c r="EQ489" s="233">
        <f>SUM(EQ479,EQ483,EQ486)</f>
        <v>467.67479316202076</v>
      </c>
      <c r="ER489" s="1070">
        <f>SUM(EP489:EQ489)</f>
        <v>921.31714772409941</v>
      </c>
      <c r="ES489" s="233">
        <f>SUM(ES479,ES483,ES486)</f>
        <v>494.47016647266594</v>
      </c>
      <c r="ET489" s="233">
        <f>SUM(ET479,ET483,ET486)</f>
        <v>509.76552454660271</v>
      </c>
      <c r="EU489" s="1070">
        <f>SUM(ES489:ET489)</f>
        <v>1004.2356910192686</v>
      </c>
      <c r="EV489" s="233">
        <f>SUM(EV479,EV483,EV486)</f>
        <v>538.97248145520587</v>
      </c>
      <c r="EW489" s="233">
        <f>SUM(EW479,EW483,EW486)</f>
        <v>555.64442175579688</v>
      </c>
      <c r="EX489" s="1070">
        <f>SUM(EV489:EW489)</f>
        <v>1094.6169032110029</v>
      </c>
      <c r="EY489" s="233">
        <f>SUM(EY479,EY483,EY486)</f>
        <v>587.48000478617439</v>
      </c>
      <c r="EZ489" s="233">
        <f>SUM(EZ479,EZ483,EZ486)</f>
        <v>605.65241971381886</v>
      </c>
      <c r="FA489" s="1070">
        <f>SUM(EY489:EZ489)</f>
        <v>1193.1324244999932</v>
      </c>
    </row>
    <row r="490" spans="1:157">
      <c r="B490" s="31"/>
      <c r="BA490" s="91"/>
      <c r="BB490" s="91"/>
      <c r="BC490" s="942"/>
      <c r="BD490" s="91"/>
      <c r="BE490" s="91"/>
      <c r="BF490" s="87"/>
      <c r="BG490" s="91"/>
      <c r="BH490" s="91"/>
      <c r="BI490" s="87"/>
      <c r="BR490" s="124"/>
      <c r="BS490" s="101"/>
      <c r="BT490" s="101"/>
      <c r="BU490" s="74"/>
      <c r="BV490" s="101"/>
      <c r="BW490" s="101"/>
      <c r="BX490" s="74"/>
      <c r="BY490" s="101"/>
      <c r="BZ490" s="101"/>
      <c r="CA490" s="74"/>
      <c r="CB490" s="101"/>
      <c r="CC490" s="101"/>
      <c r="CD490" s="74"/>
      <c r="CE490" s="101"/>
      <c r="CF490" s="71"/>
      <c r="CG490" s="70"/>
      <c r="CH490" s="71"/>
      <c r="CI490" s="71"/>
      <c r="CJ490" s="70"/>
      <c r="CK490" s="71"/>
      <c r="CL490" s="71"/>
      <c r="CM490" s="70"/>
      <c r="CN490" s="71"/>
      <c r="CO490" s="71"/>
      <c r="CP490" s="70"/>
      <c r="CQ490" s="71"/>
      <c r="CR490" s="71"/>
      <c r="CS490" s="70"/>
      <c r="CT490" s="71"/>
      <c r="CU490" s="71"/>
      <c r="CV490" s="70"/>
      <c r="CW490" s="71"/>
      <c r="CX490" s="71"/>
      <c r="CY490" s="233"/>
      <c r="CZ490" s="71"/>
      <c r="DA490" s="71"/>
      <c r="DB490" s="233"/>
      <c r="DC490" s="258"/>
      <c r="DD490" s="71"/>
      <c r="DE490" s="70"/>
      <c r="DF490" s="71"/>
      <c r="DG490" s="71"/>
      <c r="DH490" s="1074"/>
      <c r="DI490" s="71"/>
      <c r="DJ490" s="71"/>
      <c r="DK490" s="1074"/>
      <c r="DL490" s="71"/>
      <c r="DM490" s="71"/>
      <c r="DN490" s="1074"/>
      <c r="DO490" s="71"/>
      <c r="DP490" s="71"/>
      <c r="DQ490" s="1074"/>
      <c r="DR490" s="71"/>
      <c r="DS490" s="71"/>
      <c r="DT490" s="1074"/>
      <c r="DU490" s="71"/>
      <c r="DV490" s="71"/>
      <c r="DW490" s="1074"/>
      <c r="DX490" s="319"/>
      <c r="DY490" s="71"/>
      <c r="DZ490" s="1074"/>
      <c r="EA490" s="71"/>
      <c r="EB490" s="71"/>
      <c r="EC490" s="1074"/>
      <c r="ED490" s="71"/>
      <c r="EE490" s="71"/>
      <c r="EF490" s="1074"/>
      <c r="EG490" s="71"/>
      <c r="EH490" s="71"/>
      <c r="EI490" s="1074"/>
      <c r="EJ490" s="71"/>
      <c r="EK490" s="71"/>
      <c r="EL490" s="1074"/>
      <c r="EM490" s="71"/>
      <c r="EN490" s="71"/>
      <c r="EO490" s="1074"/>
      <c r="EP490" s="71"/>
      <c r="EQ490" s="71"/>
      <c r="ER490" s="1074"/>
      <c r="ES490" s="71"/>
      <c r="ET490" s="71"/>
      <c r="EU490" s="1074"/>
      <c r="EV490" s="71"/>
      <c r="EW490" s="71"/>
      <c r="EX490" s="1074"/>
      <c r="EY490" s="71"/>
      <c r="EZ490" s="71"/>
      <c r="FA490" s="1074"/>
    </row>
    <row r="491" spans="1:157" s="95" customFormat="1" hidden="1">
      <c r="A491" s="1434"/>
      <c r="B491" s="97" t="s">
        <v>162</v>
      </c>
      <c r="D491" s="96"/>
      <c r="BC491" s="955"/>
      <c r="BF491" s="97"/>
      <c r="BI491" s="97"/>
      <c r="BJ491" s="956"/>
      <c r="BK491" s="956"/>
      <c r="BL491" s="957"/>
      <c r="BM491" s="956"/>
      <c r="BN491" s="956"/>
      <c r="BO491" s="957"/>
      <c r="BP491" s="956"/>
      <c r="BQ491" s="956"/>
      <c r="BR491" s="958"/>
      <c r="BS491" s="99">
        <f t="shared" ref="BS491:CE491" si="2365">BS426-BS475</f>
        <v>171.67145042015875</v>
      </c>
      <c r="BT491" s="99">
        <f t="shared" si="2365"/>
        <v>183.43422704936233</v>
      </c>
      <c r="BU491" s="99">
        <f t="shared" si="2365"/>
        <v>355.10567746952103</v>
      </c>
      <c r="BV491" s="99">
        <f t="shared" si="2365"/>
        <v>188.07513727379654</v>
      </c>
      <c r="BW491" s="99">
        <f t="shared" si="2365"/>
        <v>193.6408189887712</v>
      </c>
      <c r="BX491" s="99">
        <f t="shared" si="2365"/>
        <v>381.71595626256777</v>
      </c>
      <c r="BY491" s="99">
        <f t="shared" si="2365"/>
        <v>226.7043699472049</v>
      </c>
      <c r="BZ491" s="99">
        <f t="shared" si="2365"/>
        <v>217.37236297575049</v>
      </c>
      <c r="CA491" s="99">
        <f t="shared" si="2365"/>
        <v>444.07673292295544</v>
      </c>
      <c r="CB491" s="99">
        <f t="shared" si="2365"/>
        <v>165.99431294066912</v>
      </c>
      <c r="CC491" s="99">
        <f t="shared" si="2365"/>
        <v>172.4121738494355</v>
      </c>
      <c r="CD491" s="99">
        <f t="shared" si="2365"/>
        <v>338.40648679010457</v>
      </c>
      <c r="CE491" s="99">
        <f t="shared" si="2365"/>
        <v>181.99663214297178</v>
      </c>
      <c r="CF491" s="99"/>
      <c r="CG491" s="99"/>
      <c r="CH491" s="99"/>
      <c r="CI491" s="99"/>
      <c r="CJ491" s="99"/>
      <c r="CK491" s="99"/>
      <c r="CL491" s="99"/>
      <c r="CM491" s="77"/>
      <c r="CN491" s="99"/>
      <c r="CO491" s="99"/>
      <c r="CP491" s="99"/>
      <c r="CQ491" s="99"/>
      <c r="CR491" s="99"/>
      <c r="CS491" s="201"/>
      <c r="CT491" s="201"/>
      <c r="CU491" s="201"/>
      <c r="CV491" s="201"/>
      <c r="CW491" s="99"/>
      <c r="CX491" s="99"/>
      <c r="CY491" s="99"/>
      <c r="CZ491" s="99"/>
      <c r="DA491" s="99"/>
      <c r="DB491" s="99"/>
      <c r="DC491" s="99"/>
      <c r="DD491" s="99"/>
      <c r="DE491" s="99"/>
      <c r="DF491" s="99"/>
      <c r="DG491" s="99"/>
      <c r="DH491" s="1093"/>
      <c r="DI491" s="99"/>
      <c r="DJ491" s="99"/>
      <c r="DK491" s="1093"/>
      <c r="DL491" s="99"/>
      <c r="DM491" s="99"/>
      <c r="DN491" s="1093"/>
      <c r="DO491" s="99"/>
      <c r="DP491" s="99"/>
      <c r="DQ491" s="1093"/>
      <c r="DR491" s="99"/>
      <c r="DS491" s="99"/>
      <c r="DT491" s="1093"/>
      <c r="DU491" s="99"/>
      <c r="DV491" s="99"/>
      <c r="DW491" s="1093"/>
      <c r="DX491" s="99"/>
      <c r="DY491" s="99"/>
      <c r="DZ491" s="1093"/>
      <c r="EA491" s="99"/>
      <c r="EB491" s="99"/>
      <c r="EC491" s="1093"/>
      <c r="ED491" s="99"/>
      <c r="EE491" s="99"/>
      <c r="EF491" s="1093"/>
      <c r="EG491" s="99"/>
      <c r="EH491" s="99"/>
      <c r="EI491" s="1093"/>
      <c r="EJ491" s="99"/>
      <c r="EK491" s="99"/>
      <c r="EL491" s="1093"/>
      <c r="EM491" s="99"/>
      <c r="EN491" s="99"/>
      <c r="EO491" s="1093"/>
      <c r="EP491" s="99"/>
      <c r="EQ491" s="99"/>
      <c r="ER491" s="1093"/>
      <c r="ES491" s="99"/>
      <c r="ET491" s="99"/>
      <c r="EU491" s="1093"/>
      <c r="EV491" s="99"/>
      <c r="EW491" s="99"/>
      <c r="EX491" s="1093"/>
      <c r="EY491" s="99"/>
      <c r="EZ491" s="99"/>
      <c r="FA491" s="1093"/>
    </row>
    <row r="492" spans="1:157" s="95" customFormat="1" hidden="1">
      <c r="A492" s="1435"/>
      <c r="B492" s="97" t="s">
        <v>161</v>
      </c>
      <c r="D492" s="96"/>
      <c r="BC492" s="955"/>
      <c r="BF492" s="97"/>
      <c r="BI492" s="97"/>
      <c r="BJ492" s="956"/>
      <c r="BK492" s="956"/>
      <c r="BL492" s="957"/>
      <c r="BM492" s="956"/>
      <c r="BN492" s="956"/>
      <c r="BO492" s="957"/>
      <c r="BP492" s="956"/>
      <c r="BQ492" s="956"/>
      <c r="BR492" s="958"/>
      <c r="BS492" s="99">
        <f t="shared" ref="BS492:CE492" si="2366">BS130+BS136+BS139+BS146</f>
        <v>186.64845042015867</v>
      </c>
      <c r="BT492" s="99">
        <f t="shared" si="2366"/>
        <v>193.44122704936231</v>
      </c>
      <c r="BU492" s="99">
        <f t="shared" si="2366"/>
        <v>380.08967746952095</v>
      </c>
      <c r="BV492" s="99">
        <f t="shared" si="2366"/>
        <v>205.13013727379652</v>
      </c>
      <c r="BW492" s="99">
        <f t="shared" si="2366"/>
        <v>209.98281898877119</v>
      </c>
      <c r="BX492" s="99">
        <f t="shared" si="2366"/>
        <v>415.11295626256765</v>
      </c>
      <c r="BY492" s="99">
        <f t="shared" si="2366"/>
        <v>250.0913699472049</v>
      </c>
      <c r="BZ492" s="99">
        <f t="shared" si="2366"/>
        <v>241.16376382166888</v>
      </c>
      <c r="CA492" s="99">
        <f t="shared" si="2366"/>
        <v>491.25513376887375</v>
      </c>
      <c r="CB492" s="99">
        <f t="shared" si="2366"/>
        <v>236.91384382118508</v>
      </c>
      <c r="CC492" s="99">
        <f t="shared" si="2366"/>
        <v>257.40981744787132</v>
      </c>
      <c r="CD492" s="99">
        <f t="shared" si="2366"/>
        <v>494.32366126905652</v>
      </c>
      <c r="CE492" s="99">
        <f t="shared" si="2366"/>
        <v>250.95003665953195</v>
      </c>
      <c r="CF492" s="99"/>
      <c r="CG492" s="99"/>
      <c r="CH492" s="99"/>
      <c r="CI492" s="99"/>
      <c r="CJ492" s="99"/>
      <c r="CK492" s="99"/>
      <c r="CL492" s="99"/>
      <c r="CM492" s="77"/>
      <c r="CN492" s="99"/>
      <c r="CO492" s="99"/>
      <c r="CP492" s="99"/>
      <c r="CQ492" s="99"/>
      <c r="CR492" s="99"/>
      <c r="CV492" s="202"/>
      <c r="CW492" s="202"/>
      <c r="CX492" s="202"/>
      <c r="CY492" s="202"/>
      <c r="CZ492" s="202"/>
      <c r="DA492" s="202"/>
      <c r="DB492" s="202"/>
      <c r="DC492" s="202"/>
      <c r="DD492" s="202"/>
      <c r="DE492" s="99"/>
      <c r="DF492" s="99"/>
      <c r="DG492" s="99"/>
      <c r="DH492" s="1093"/>
      <c r="DI492" s="99"/>
      <c r="DJ492" s="99"/>
      <c r="DK492" s="1093"/>
      <c r="DL492" s="99"/>
      <c r="DM492" s="99"/>
      <c r="DN492" s="1093"/>
      <c r="DO492" s="99"/>
      <c r="DP492" s="99"/>
      <c r="DQ492" s="1093"/>
      <c r="DR492" s="99"/>
      <c r="DS492" s="99"/>
      <c r="DT492" s="1093"/>
      <c r="DU492" s="99"/>
      <c r="DV492" s="99"/>
      <c r="DW492" s="1093"/>
      <c r="DX492" s="99"/>
      <c r="DY492" s="99"/>
      <c r="DZ492" s="1093"/>
      <c r="EA492" s="99"/>
      <c r="EB492" s="99"/>
      <c r="EC492" s="1093"/>
      <c r="ED492" s="99"/>
      <c r="EE492" s="99"/>
      <c r="EF492" s="1093"/>
      <c r="EG492" s="99"/>
      <c r="EH492" s="99"/>
      <c r="EI492" s="1093"/>
      <c r="EJ492" s="99"/>
      <c r="EK492" s="99"/>
      <c r="EL492" s="1093"/>
      <c r="EM492" s="99"/>
      <c r="EN492" s="99"/>
      <c r="EO492" s="1093"/>
      <c r="EP492" s="99"/>
      <c r="EQ492" s="99"/>
      <c r="ER492" s="1093"/>
      <c r="ES492" s="99"/>
      <c r="ET492" s="99"/>
      <c r="EU492" s="1093"/>
      <c r="EV492" s="99"/>
      <c r="EW492" s="99"/>
      <c r="EX492" s="1093"/>
      <c r="EY492" s="99"/>
      <c r="EZ492" s="99"/>
      <c r="FA492" s="1093"/>
    </row>
    <row r="493" spans="1:157" s="95" customFormat="1" hidden="1">
      <c r="A493" s="1434"/>
      <c r="B493" s="97" t="s">
        <v>109</v>
      </c>
      <c r="D493" s="96"/>
      <c r="BC493" s="955"/>
      <c r="BF493" s="97"/>
      <c r="BI493" s="97"/>
      <c r="BJ493" s="956"/>
      <c r="BK493" s="956"/>
      <c r="BL493" s="957"/>
      <c r="BM493" s="956"/>
      <c r="BN493" s="956"/>
      <c r="BO493" s="957"/>
      <c r="BP493" s="956"/>
      <c r="BQ493" s="956"/>
      <c r="BR493" s="958"/>
      <c r="BS493" s="99">
        <f>BS492-BS491</f>
        <v>14.976999999999919</v>
      </c>
      <c r="BT493" s="99">
        <f>BT492-BT491</f>
        <v>10.006999999999977</v>
      </c>
      <c r="BU493" s="99">
        <f>SUM(BS493:BT493)</f>
        <v>24.983999999999895</v>
      </c>
      <c r="BV493" s="99">
        <f>BV492-BV491</f>
        <v>17.054999999999978</v>
      </c>
      <c r="BW493" s="99">
        <f>BW492-BW491</f>
        <v>16.341999999999985</v>
      </c>
      <c r="BX493" s="99">
        <f>SUM(BV493:BW493)</f>
        <v>33.396999999999963</v>
      </c>
      <c r="BY493" s="99">
        <f>BY492-BY491</f>
        <v>23.387</v>
      </c>
      <c r="BZ493" s="99">
        <f>BZ492-BZ491</f>
        <v>23.791400845918389</v>
      </c>
      <c r="CA493" s="99">
        <f>SUM(BY493:BZ493)</f>
        <v>47.178400845918389</v>
      </c>
      <c r="CB493" s="99">
        <f>CB492-CB491</f>
        <v>70.919530880515964</v>
      </c>
      <c r="CC493" s="99">
        <f>CC492-CC491</f>
        <v>84.997643598435815</v>
      </c>
      <c r="CD493" s="99">
        <f>SUM(CB493:CC493)</f>
        <v>155.91717447895178</v>
      </c>
      <c r="CE493" s="99">
        <f>CE492-CE491</f>
        <v>68.95340451656017</v>
      </c>
      <c r="CF493" s="98"/>
      <c r="CG493" s="99"/>
      <c r="CH493" s="99"/>
      <c r="CI493" s="99"/>
      <c r="CJ493" s="99"/>
      <c r="CK493" s="99"/>
      <c r="CL493" s="99"/>
      <c r="CM493" s="99"/>
      <c r="CN493" s="99"/>
      <c r="CO493" s="99"/>
      <c r="CP493" s="99"/>
      <c r="CQ493" s="99"/>
      <c r="CR493" s="99"/>
      <c r="CS493" s="99"/>
      <c r="CT493" s="99"/>
      <c r="CU493" s="99"/>
      <c r="CV493" s="99"/>
      <c r="CW493" s="99"/>
      <c r="CX493" s="99"/>
      <c r="CY493" s="99"/>
      <c r="CZ493" s="99"/>
      <c r="DA493" s="99"/>
      <c r="DB493" s="99"/>
      <c r="DC493" s="99"/>
      <c r="DD493" s="99"/>
      <c r="DE493" s="99"/>
      <c r="DF493" s="99"/>
      <c r="DG493" s="99"/>
      <c r="DH493" s="1093"/>
      <c r="DI493" s="99"/>
      <c r="DJ493" s="99"/>
      <c r="DK493" s="1093"/>
      <c r="DL493" s="99"/>
      <c r="DM493" s="99"/>
      <c r="DN493" s="1093"/>
      <c r="DO493" s="99"/>
      <c r="DP493" s="99"/>
      <c r="DQ493" s="1093"/>
      <c r="DR493" s="99"/>
      <c r="DS493" s="99"/>
      <c r="DT493" s="1093"/>
      <c r="DU493" s="99"/>
      <c r="DV493" s="99"/>
      <c r="DW493" s="1093"/>
      <c r="DX493" s="99"/>
      <c r="DY493" s="99"/>
      <c r="DZ493" s="1093"/>
      <c r="EA493" s="99"/>
      <c r="EB493" s="99"/>
      <c r="EC493" s="1093"/>
      <c r="ED493" s="99"/>
      <c r="EE493" s="99"/>
      <c r="EF493" s="1093"/>
      <c r="EG493" s="99"/>
      <c r="EH493" s="99"/>
      <c r="EI493" s="1093"/>
      <c r="EJ493" s="99"/>
      <c r="EK493" s="99"/>
      <c r="EL493" s="1093"/>
      <c r="EM493" s="99"/>
      <c r="EN493" s="99"/>
      <c r="EO493" s="1093"/>
      <c r="EP493" s="99"/>
      <c r="EQ493" s="99"/>
      <c r="ER493" s="1093"/>
      <c r="ES493" s="99"/>
      <c r="ET493" s="99"/>
      <c r="EU493" s="1093"/>
      <c r="EV493" s="99"/>
      <c r="EW493" s="99"/>
      <c r="EX493" s="1093"/>
      <c r="EY493" s="99"/>
      <c r="EZ493" s="99"/>
      <c r="FA493" s="1093"/>
    </row>
    <row r="494" spans="1:157" s="95" customFormat="1" hidden="1">
      <c r="A494" s="1434"/>
      <c r="B494" s="97"/>
      <c r="C494" s="95" t="s">
        <v>163</v>
      </c>
      <c r="D494" s="96"/>
      <c r="BC494" s="955"/>
      <c r="BF494" s="97"/>
      <c r="BI494" s="97"/>
      <c r="BJ494" s="956"/>
      <c r="BK494" s="956"/>
      <c r="BL494" s="957"/>
      <c r="BM494" s="956"/>
      <c r="BN494" s="956"/>
      <c r="BO494" s="957"/>
      <c r="BP494" s="956"/>
      <c r="BQ494" s="956"/>
      <c r="BR494" s="958"/>
      <c r="BS494" s="99">
        <f t="shared" ref="BS494:CE494" si="2367">BS152</f>
        <v>5.4493695992634557</v>
      </c>
      <c r="BT494" s="99">
        <f t="shared" si="2367"/>
        <v>11.076548461381016</v>
      </c>
      <c r="BU494" s="99">
        <f t="shared" si="2367"/>
        <v>16.525918060644472</v>
      </c>
      <c r="BV494" s="99">
        <f t="shared" si="2367"/>
        <v>13.790395551984382</v>
      </c>
      <c r="BW494" s="99">
        <f t="shared" si="2367"/>
        <v>7.4926044480156193</v>
      </c>
      <c r="BX494" s="99">
        <f t="shared" si="2367"/>
        <v>21.283000000000001</v>
      </c>
      <c r="BY494" s="99">
        <f t="shared" si="2367"/>
        <v>8.2837020178600547</v>
      </c>
      <c r="BZ494" s="99">
        <f t="shared" si="2367"/>
        <v>-25.412087501323118</v>
      </c>
      <c r="CA494" s="99">
        <f t="shared" si="2367"/>
        <v>-17.128385483463063</v>
      </c>
      <c r="CB494" s="99">
        <f t="shared" si="2367"/>
        <v>10.692908903934837</v>
      </c>
      <c r="CC494" s="99">
        <f t="shared" si="2367"/>
        <v>27.958656984065399</v>
      </c>
      <c r="CD494" s="99">
        <f t="shared" si="2367"/>
        <v>38.651565888000235</v>
      </c>
      <c r="CE494" s="99">
        <f t="shared" si="2367"/>
        <v>21.864999999999998</v>
      </c>
      <c r="CF494" s="98"/>
      <c r="CG494" s="99"/>
      <c r="CH494" s="99"/>
      <c r="CI494" s="99"/>
      <c r="CJ494" s="99"/>
      <c r="CK494" s="99"/>
      <c r="CL494" s="99"/>
      <c r="CM494" s="99"/>
      <c r="CN494" s="99"/>
      <c r="CO494" s="99"/>
      <c r="CP494" s="99"/>
      <c r="CQ494" s="99"/>
      <c r="CR494" s="99"/>
      <c r="CS494" s="99"/>
      <c r="CT494" s="99"/>
      <c r="CU494" s="99"/>
      <c r="CV494" s="99"/>
      <c r="CW494" s="99"/>
      <c r="CX494" s="99"/>
      <c r="CY494" s="99"/>
      <c r="CZ494" s="99"/>
      <c r="DA494" s="99"/>
      <c r="DB494" s="99"/>
      <c r="DC494" s="99"/>
      <c r="DD494" s="99"/>
      <c r="DE494" s="99"/>
      <c r="DF494" s="99"/>
      <c r="DG494" s="99"/>
      <c r="DH494" s="1093"/>
      <c r="DI494" s="99"/>
      <c r="DJ494" s="99"/>
      <c r="DK494" s="1093"/>
      <c r="DL494" s="99"/>
      <c r="DM494" s="99"/>
      <c r="DN494" s="1093"/>
      <c r="DO494" s="99"/>
      <c r="DP494" s="99"/>
      <c r="DQ494" s="1093"/>
      <c r="DR494" s="99"/>
      <c r="DS494" s="99"/>
      <c r="DT494" s="1093"/>
      <c r="DU494" s="99"/>
      <c r="DV494" s="99"/>
      <c r="DW494" s="1093"/>
      <c r="DX494" s="99"/>
      <c r="DY494" s="99"/>
      <c r="DZ494" s="1093"/>
      <c r="EA494" s="99"/>
      <c r="EB494" s="99"/>
      <c r="EC494" s="1093"/>
      <c r="ED494" s="99"/>
      <c r="EE494" s="99"/>
      <c r="EF494" s="1093"/>
      <c r="EG494" s="99"/>
      <c r="EH494" s="99"/>
      <c r="EI494" s="1093"/>
      <c r="EJ494" s="99"/>
      <c r="EK494" s="99"/>
      <c r="EL494" s="1093"/>
      <c r="EM494" s="99"/>
      <c r="EN494" s="99"/>
      <c r="EO494" s="1093"/>
      <c r="EP494" s="99"/>
      <c r="EQ494" s="99"/>
      <c r="ER494" s="1093"/>
      <c r="ES494" s="99"/>
      <c r="ET494" s="99"/>
      <c r="EU494" s="1093"/>
      <c r="EV494" s="99"/>
      <c r="EW494" s="99"/>
      <c r="EX494" s="1093"/>
      <c r="EY494" s="99"/>
      <c r="EZ494" s="99"/>
      <c r="FA494" s="1093"/>
    </row>
    <row r="495" spans="1:157" s="95" customFormat="1" hidden="1">
      <c r="A495" s="1434"/>
      <c r="B495" s="97"/>
      <c r="C495" s="95" t="s">
        <v>164</v>
      </c>
      <c r="D495" s="96"/>
      <c r="BC495" s="955"/>
      <c r="BF495" s="97"/>
      <c r="BI495" s="97"/>
      <c r="BJ495" s="956"/>
      <c r="BK495" s="956"/>
      <c r="BL495" s="957"/>
      <c r="BM495" s="956"/>
      <c r="BN495" s="956"/>
      <c r="BO495" s="957"/>
      <c r="BP495" s="956"/>
      <c r="BQ495" s="956"/>
      <c r="BR495" s="958"/>
      <c r="BS495" s="99">
        <f t="shared" ref="BS495:CE495" si="2368">BS159</f>
        <v>0</v>
      </c>
      <c r="BT495" s="99">
        <f t="shared" si="2368"/>
        <v>1.133</v>
      </c>
      <c r="BU495" s="99">
        <f t="shared" si="2368"/>
        <v>1.133</v>
      </c>
      <c r="BV495" s="99">
        <f t="shared" si="2368"/>
        <v>1.1499999999999999</v>
      </c>
      <c r="BW495" s="99">
        <f t="shared" si="2368"/>
        <v>1.3599999999999999</v>
      </c>
      <c r="BX495" s="99">
        <f t="shared" si="2368"/>
        <v>2.5099999999999998</v>
      </c>
      <c r="BY495" s="99">
        <f t="shared" si="2368"/>
        <v>1.161</v>
      </c>
      <c r="BZ495" s="99">
        <f t="shared" si="2368"/>
        <v>1.92</v>
      </c>
      <c r="CA495" s="99">
        <f t="shared" si="2368"/>
        <v>3.081</v>
      </c>
      <c r="CB495" s="99">
        <f t="shared" si="2368"/>
        <v>8.2810000000000006</v>
      </c>
      <c r="CC495" s="99">
        <f t="shared" si="2368"/>
        <v>0.78299999999999947</v>
      </c>
      <c r="CD495" s="99">
        <f t="shared" si="2368"/>
        <v>9.0640000000000001</v>
      </c>
      <c r="CE495" s="99">
        <f t="shared" si="2368"/>
        <v>6.7359999999999998</v>
      </c>
      <c r="CF495" s="98"/>
      <c r="CG495" s="99"/>
      <c r="CH495" s="99"/>
      <c r="CI495" s="99"/>
      <c r="CJ495" s="99"/>
      <c r="CK495" s="99"/>
      <c r="CL495" s="99"/>
      <c r="CM495" s="99"/>
      <c r="CN495" s="99"/>
      <c r="CO495" s="99"/>
      <c r="CP495" s="99"/>
      <c r="CQ495" s="99"/>
      <c r="CR495" s="99"/>
      <c r="CS495" s="99"/>
      <c r="CT495" s="99"/>
      <c r="CU495" s="99"/>
      <c r="CV495" s="99"/>
      <c r="CW495" s="99"/>
      <c r="CX495" s="99"/>
      <c r="CY495" s="99"/>
      <c r="CZ495" s="99"/>
      <c r="DA495" s="99"/>
      <c r="DB495" s="99"/>
      <c r="DC495" s="99"/>
      <c r="DD495" s="99"/>
      <c r="DE495" s="99"/>
      <c r="DF495" s="99"/>
      <c r="DG495" s="99"/>
      <c r="DH495" s="1093"/>
      <c r="DI495" s="99"/>
      <c r="DJ495" s="99"/>
      <c r="DK495" s="1093"/>
      <c r="DL495" s="99"/>
      <c r="DM495" s="99"/>
      <c r="DN495" s="1093"/>
      <c r="DO495" s="99"/>
      <c r="DP495" s="99"/>
      <c r="DQ495" s="1093"/>
      <c r="DR495" s="99"/>
      <c r="DS495" s="99"/>
      <c r="DT495" s="1093"/>
      <c r="DU495" s="99"/>
      <c r="DV495" s="99"/>
      <c r="DW495" s="1093"/>
      <c r="DX495" s="99"/>
      <c r="DY495" s="99"/>
      <c r="DZ495" s="1093"/>
      <c r="EA495" s="99"/>
      <c r="EB495" s="99"/>
      <c r="EC495" s="1093"/>
      <c r="ED495" s="99"/>
      <c r="EE495" s="99"/>
      <c r="EF495" s="1093"/>
      <c r="EG495" s="99"/>
      <c r="EH495" s="99"/>
      <c r="EI495" s="1093"/>
      <c r="EJ495" s="99"/>
      <c r="EK495" s="99"/>
      <c r="EL495" s="1093"/>
      <c r="EM495" s="99"/>
      <c r="EN495" s="99"/>
      <c r="EO495" s="1093"/>
      <c r="EP495" s="99"/>
      <c r="EQ495" s="99"/>
      <c r="ER495" s="1093"/>
      <c r="ES495" s="99"/>
      <c r="ET495" s="99"/>
      <c r="EU495" s="1093"/>
      <c r="EV495" s="99"/>
      <c r="EW495" s="99"/>
      <c r="EX495" s="1093"/>
      <c r="EY495" s="99"/>
      <c r="EZ495" s="99"/>
      <c r="FA495" s="1093"/>
    </row>
    <row r="496" spans="1:157" s="95" customFormat="1" hidden="1">
      <c r="A496" s="1434"/>
      <c r="B496" s="97"/>
      <c r="C496" s="95" t="s">
        <v>208</v>
      </c>
      <c r="D496" s="96"/>
      <c r="BC496" s="955"/>
      <c r="BF496" s="97"/>
      <c r="BI496" s="97"/>
      <c r="BJ496" s="956"/>
      <c r="BK496" s="956"/>
      <c r="BL496" s="957"/>
      <c r="BM496" s="956"/>
      <c r="BN496" s="956"/>
      <c r="BO496" s="957"/>
      <c r="BP496" s="956"/>
      <c r="BQ496" s="956"/>
      <c r="BR496" s="958"/>
      <c r="BS496" s="99">
        <f t="shared" ref="BS496:CE496" si="2369">BS157</f>
        <v>9.5280000000000005</v>
      </c>
      <c r="BT496" s="99">
        <f t="shared" si="2369"/>
        <v>-2.2030000000000003</v>
      </c>
      <c r="BU496" s="99">
        <f t="shared" si="2369"/>
        <v>7.3250000000000002</v>
      </c>
      <c r="BV496" s="99">
        <f t="shared" si="2369"/>
        <v>2.109</v>
      </c>
      <c r="BW496" s="99">
        <f t="shared" si="2369"/>
        <v>7.5850000000000009</v>
      </c>
      <c r="BX496" s="99">
        <f t="shared" si="2369"/>
        <v>9.6940000000000008</v>
      </c>
      <c r="BY496" s="99">
        <f t="shared" si="2369"/>
        <v>13.923999999999999</v>
      </c>
      <c r="BZ496" s="99">
        <f t="shared" si="2369"/>
        <v>168.07</v>
      </c>
      <c r="CA496" s="99">
        <f t="shared" si="2369"/>
        <v>181.994</v>
      </c>
      <c r="CB496" s="99">
        <f t="shared" si="2369"/>
        <v>51.945999999999998</v>
      </c>
      <c r="CC496" s="99">
        <f t="shared" si="2369"/>
        <v>56.346000000000004</v>
      </c>
      <c r="CD496" s="99">
        <f t="shared" si="2369"/>
        <v>108.292</v>
      </c>
      <c r="CE496" s="99">
        <f t="shared" si="2369"/>
        <v>40.353000000000002</v>
      </c>
      <c r="CF496" s="98"/>
      <c r="CG496" s="99"/>
      <c r="CH496" s="99"/>
      <c r="CI496" s="99"/>
      <c r="CJ496" s="99"/>
      <c r="CK496" s="99"/>
      <c r="CL496" s="99"/>
      <c r="CM496" s="99"/>
      <c r="CN496" s="99"/>
      <c r="CO496" s="99"/>
      <c r="CP496" s="99"/>
      <c r="CQ496" s="99"/>
      <c r="CR496" s="99"/>
      <c r="CS496" s="99"/>
      <c r="CT496" s="99"/>
      <c r="CU496" s="99"/>
      <c r="CV496" s="99"/>
      <c r="CW496" s="99"/>
      <c r="CX496" s="99"/>
      <c r="CY496" s="99"/>
      <c r="CZ496" s="99"/>
      <c r="DA496" s="99"/>
      <c r="DB496" s="99"/>
      <c r="DC496" s="99"/>
      <c r="DD496" s="99"/>
      <c r="DE496" s="99"/>
      <c r="DF496" s="99"/>
      <c r="DG496" s="99"/>
      <c r="DH496" s="1093"/>
      <c r="DI496" s="99"/>
      <c r="DJ496" s="99"/>
      <c r="DK496" s="1093"/>
      <c r="DL496" s="99"/>
      <c r="DM496" s="99"/>
      <c r="DN496" s="1093"/>
      <c r="DO496" s="99"/>
      <c r="DP496" s="99"/>
      <c r="DQ496" s="1093"/>
      <c r="DR496" s="99"/>
      <c r="DS496" s="99"/>
      <c r="DT496" s="1093"/>
      <c r="DU496" s="99"/>
      <c r="DV496" s="99"/>
      <c r="DW496" s="1093"/>
      <c r="DX496" s="99"/>
      <c r="DY496" s="99"/>
      <c r="DZ496" s="1093"/>
      <c r="EA496" s="99"/>
      <c r="EB496" s="99"/>
      <c r="EC496" s="1093"/>
      <c r="ED496" s="99"/>
      <c r="EE496" s="99"/>
      <c r="EF496" s="1093"/>
      <c r="EG496" s="99"/>
      <c r="EH496" s="99"/>
      <c r="EI496" s="1093"/>
      <c r="EJ496" s="99"/>
      <c r="EK496" s="99"/>
      <c r="EL496" s="1093"/>
      <c r="EM496" s="99"/>
      <c r="EN496" s="99"/>
      <c r="EO496" s="1093"/>
      <c r="EP496" s="99"/>
      <c r="EQ496" s="99"/>
      <c r="ER496" s="1093"/>
      <c r="ES496" s="99"/>
      <c r="ET496" s="99"/>
      <c r="EU496" s="1093"/>
      <c r="EV496" s="99"/>
      <c r="EW496" s="99"/>
      <c r="EX496" s="1093"/>
      <c r="EY496" s="99"/>
      <c r="EZ496" s="99"/>
      <c r="FA496" s="1093"/>
    </row>
    <row r="497" spans="1:173" s="95" customFormat="1" hidden="1">
      <c r="A497" s="1434"/>
      <c r="B497" s="97"/>
      <c r="C497" s="95" t="s">
        <v>327</v>
      </c>
      <c r="D497" s="96"/>
      <c r="BC497" s="955"/>
      <c r="BF497" s="97"/>
      <c r="BI497" s="97"/>
      <c r="BJ497" s="956"/>
      <c r="BK497" s="956"/>
      <c r="BL497" s="957"/>
      <c r="BM497" s="956"/>
      <c r="BN497" s="956"/>
      <c r="BO497" s="957"/>
      <c r="BP497" s="956"/>
      <c r="BQ497" s="956"/>
      <c r="BR497" s="958"/>
      <c r="BS497" s="99">
        <f t="shared" ref="BS497:CE497" si="2370">SUM(BS494:BS496)</f>
        <v>14.977369599263456</v>
      </c>
      <c r="BT497" s="99">
        <f t="shared" si="2370"/>
        <v>10.006548461381016</v>
      </c>
      <c r="BU497" s="99">
        <f t="shared" si="2370"/>
        <v>24.98391806064447</v>
      </c>
      <c r="BV497" s="99">
        <f t="shared" si="2370"/>
        <v>17.049395551984382</v>
      </c>
      <c r="BW497" s="99">
        <f t="shared" si="2370"/>
        <v>16.43760444801562</v>
      </c>
      <c r="BX497" s="99">
        <f t="shared" si="2370"/>
        <v>33.487000000000002</v>
      </c>
      <c r="BY497" s="99">
        <f t="shared" si="2370"/>
        <v>23.368702017860052</v>
      </c>
      <c r="BZ497" s="99">
        <f t="shared" si="2370"/>
        <v>144.57791249867688</v>
      </c>
      <c r="CA497" s="99">
        <f t="shared" si="2370"/>
        <v>167.94661451653693</v>
      </c>
      <c r="CB497" s="99">
        <f t="shared" si="2370"/>
        <v>70.919908903934839</v>
      </c>
      <c r="CC497" s="99">
        <f t="shared" si="2370"/>
        <v>85.087656984065404</v>
      </c>
      <c r="CD497" s="99">
        <f t="shared" si="2370"/>
        <v>156.00756588800024</v>
      </c>
      <c r="CE497" s="99">
        <f t="shared" si="2370"/>
        <v>68.954000000000008</v>
      </c>
      <c r="CF497" s="98"/>
      <c r="CG497" s="99"/>
      <c r="CH497" s="99"/>
      <c r="CI497" s="99"/>
      <c r="CJ497" s="99"/>
      <c r="CK497" s="99"/>
      <c r="CL497" s="99"/>
      <c r="CM497" s="99"/>
      <c r="CN497" s="99"/>
      <c r="CO497" s="99"/>
      <c r="CP497" s="99"/>
      <c r="CQ497" s="99"/>
      <c r="CR497" s="99"/>
      <c r="CS497" s="99"/>
      <c r="CT497" s="99"/>
      <c r="CU497" s="99"/>
      <c r="CV497" s="99"/>
      <c r="CW497" s="99"/>
      <c r="CX497" s="99"/>
      <c r="CY497" s="99"/>
      <c r="CZ497" s="99"/>
      <c r="DA497" s="99"/>
      <c r="DB497" s="99"/>
      <c r="DC497" s="99"/>
      <c r="DD497" s="99"/>
      <c r="DE497" s="99"/>
      <c r="DF497" s="99"/>
      <c r="DG497" s="99"/>
      <c r="DH497" s="1093"/>
      <c r="DI497" s="99"/>
      <c r="DJ497" s="99"/>
      <c r="DK497" s="1093"/>
      <c r="DL497" s="99"/>
      <c r="DM497" s="99"/>
      <c r="DN497" s="1093"/>
      <c r="DO497" s="99"/>
      <c r="DP497" s="99"/>
      <c r="DQ497" s="1093"/>
      <c r="DR497" s="99"/>
      <c r="DS497" s="99"/>
      <c r="DT497" s="1093"/>
      <c r="DU497" s="99"/>
      <c r="DV497" s="99"/>
      <c r="DW497" s="1093"/>
      <c r="DX497" s="99"/>
      <c r="DY497" s="99"/>
      <c r="DZ497" s="1093"/>
      <c r="EA497" s="99"/>
      <c r="EB497" s="99"/>
      <c r="EC497" s="1093"/>
      <c r="ED497" s="99"/>
      <c r="EE497" s="99"/>
      <c r="EF497" s="1093"/>
      <c r="EG497" s="99"/>
      <c r="EH497" s="99"/>
      <c r="EI497" s="1093"/>
      <c r="EJ497" s="99"/>
      <c r="EK497" s="99"/>
      <c r="EL497" s="1093"/>
      <c r="EM497" s="99"/>
      <c r="EN497" s="99"/>
      <c r="EO497" s="1093"/>
      <c r="EP497" s="99"/>
      <c r="EQ497" s="99"/>
      <c r="ER497" s="1093"/>
      <c r="ES497" s="99"/>
      <c r="ET497" s="99"/>
      <c r="EU497" s="1093"/>
      <c r="EV497" s="99"/>
      <c r="EW497" s="99"/>
      <c r="EX497" s="1093"/>
      <c r="EY497" s="99"/>
      <c r="EZ497" s="99"/>
      <c r="FA497" s="1093"/>
    </row>
    <row r="498" spans="1:173">
      <c r="A498" s="1422" t="s">
        <v>748</v>
      </c>
      <c r="B498" s="445"/>
      <c r="C498" s="445"/>
      <c r="D498" s="960"/>
      <c r="E498" s="445"/>
      <c r="F498" s="445"/>
      <c r="G498" s="445"/>
      <c r="H498" s="445"/>
      <c r="I498" s="445"/>
      <c r="J498" s="445"/>
      <c r="K498" s="445"/>
      <c r="L498" s="445"/>
      <c r="M498" s="445"/>
      <c r="N498" s="445"/>
      <c r="O498" s="445"/>
      <c r="P498" s="445"/>
      <c r="Q498" s="445"/>
      <c r="R498" s="445"/>
      <c r="S498" s="445"/>
      <c r="T498" s="445"/>
      <c r="U498" s="445"/>
      <c r="V498" s="445"/>
      <c r="W498" s="445"/>
      <c r="X498" s="445"/>
      <c r="Y498" s="445"/>
      <c r="Z498" s="445"/>
      <c r="AA498" s="445"/>
      <c r="AB498" s="445"/>
      <c r="AC498" s="445"/>
      <c r="AD498" s="445"/>
      <c r="AE498" s="445"/>
      <c r="AF498" s="445"/>
      <c r="AG498" s="445"/>
      <c r="AH498" s="445"/>
      <c r="AI498" s="445"/>
      <c r="AJ498" s="445"/>
      <c r="AK498" s="445"/>
      <c r="AL498" s="445"/>
      <c r="AM498" s="445"/>
      <c r="AN498" s="445"/>
      <c r="AO498" s="445"/>
      <c r="AP498" s="445"/>
      <c r="AQ498" s="445"/>
      <c r="AR498" s="445"/>
      <c r="AS498" s="445"/>
      <c r="AT498" s="445"/>
      <c r="AU498" s="445"/>
      <c r="AV498" s="445"/>
      <c r="AW498" s="445"/>
      <c r="AX498" s="445"/>
      <c r="AY498" s="445"/>
      <c r="AZ498" s="445"/>
      <c r="BA498" s="76"/>
      <c r="BB498" s="76"/>
      <c r="BC498" s="76"/>
      <c r="BD498" s="76"/>
      <c r="BE498" s="76"/>
      <c r="BF498" s="76"/>
      <c r="BG498" s="76"/>
      <c r="BH498" s="76"/>
      <c r="BI498" s="76"/>
      <c r="BJ498" s="954"/>
      <c r="BK498" s="954"/>
      <c r="BL498" s="954"/>
      <c r="BM498" s="954"/>
      <c r="BN498" s="954"/>
      <c r="BO498" s="954"/>
      <c r="BP498" s="954"/>
      <c r="BQ498" s="954"/>
      <c r="BR498" s="954"/>
      <c r="BS498" s="76"/>
      <c r="BT498" s="76"/>
      <c r="BU498" s="76" t="str">
        <f t="shared" ref="BU498:CZ498" si="2371">BU95</f>
        <v>FY07</v>
      </c>
      <c r="BV498" s="76" t="str">
        <f t="shared" si="2371"/>
        <v>1H08</v>
      </c>
      <c r="BW498" s="76" t="str">
        <f t="shared" si="2371"/>
        <v>2H08</v>
      </c>
      <c r="BX498" s="76" t="str">
        <f t="shared" si="2371"/>
        <v>FY08</v>
      </c>
      <c r="BY498" s="76" t="str">
        <f t="shared" si="2371"/>
        <v>1H09</v>
      </c>
      <c r="BZ498" s="76" t="str">
        <f t="shared" si="2371"/>
        <v>2H09</v>
      </c>
      <c r="CA498" s="76" t="str">
        <f t="shared" si="2371"/>
        <v>FY09</v>
      </c>
      <c r="CB498" s="76" t="str">
        <f t="shared" si="2371"/>
        <v>1H10</v>
      </c>
      <c r="CC498" s="76" t="str">
        <f t="shared" si="2371"/>
        <v>2H10</v>
      </c>
      <c r="CD498" s="76" t="str">
        <f t="shared" si="2371"/>
        <v>FY10</v>
      </c>
      <c r="CE498" s="76" t="str">
        <f t="shared" si="2371"/>
        <v>1H11</v>
      </c>
      <c r="CF498" s="76" t="str">
        <f t="shared" si="2371"/>
        <v>2H11</v>
      </c>
      <c r="CG498" s="76" t="str">
        <f t="shared" si="2371"/>
        <v>FY11</v>
      </c>
      <c r="CH498" s="76" t="str">
        <f t="shared" si="2371"/>
        <v>1H12</v>
      </c>
      <c r="CI498" s="76" t="str">
        <f t="shared" si="2371"/>
        <v>2H12</v>
      </c>
      <c r="CJ498" s="76" t="str">
        <f t="shared" si="2371"/>
        <v>FY12</v>
      </c>
      <c r="CK498" s="76" t="str">
        <f t="shared" si="2371"/>
        <v>1H13</v>
      </c>
      <c r="CL498" s="76" t="str">
        <f t="shared" si="2371"/>
        <v>2H13</v>
      </c>
      <c r="CM498" s="76" t="str">
        <f t="shared" si="2371"/>
        <v>FY13</v>
      </c>
      <c r="CN498" s="76" t="str">
        <f t="shared" si="2371"/>
        <v>1H14</v>
      </c>
      <c r="CO498" s="76" t="str">
        <f t="shared" si="2371"/>
        <v>2H14</v>
      </c>
      <c r="CP498" s="76" t="str">
        <f t="shared" si="2371"/>
        <v>FY14</v>
      </c>
      <c r="CQ498" s="76" t="str">
        <f t="shared" si="2371"/>
        <v>1H15</v>
      </c>
      <c r="CR498" s="76" t="str">
        <f t="shared" si="2371"/>
        <v>2H15</v>
      </c>
      <c r="CS498" s="76" t="str">
        <f t="shared" si="2371"/>
        <v>FY15</v>
      </c>
      <c r="CT498" s="76" t="str">
        <f t="shared" si="2371"/>
        <v>1H16</v>
      </c>
      <c r="CU498" s="76" t="str">
        <f t="shared" si="2371"/>
        <v>2H16</v>
      </c>
      <c r="CV498" s="76" t="str">
        <f t="shared" si="2371"/>
        <v>FY16</v>
      </c>
      <c r="CW498" s="76" t="str">
        <f t="shared" si="2371"/>
        <v>1H17</v>
      </c>
      <c r="CX498" s="76" t="str">
        <f t="shared" si="2371"/>
        <v>2H17</v>
      </c>
      <c r="CY498" s="76" t="str">
        <f t="shared" si="2371"/>
        <v>FY17</v>
      </c>
      <c r="CZ498" s="76" t="str">
        <f t="shared" si="2371"/>
        <v>1H18</v>
      </c>
      <c r="DA498" s="76" t="str">
        <f t="shared" ref="DA498:EF498" si="2372">DA95</f>
        <v>2H18</v>
      </c>
      <c r="DB498" s="76" t="str">
        <f t="shared" si="2372"/>
        <v>FY18</v>
      </c>
      <c r="DC498" s="76" t="str">
        <f t="shared" si="2372"/>
        <v>1H19</v>
      </c>
      <c r="DD498" s="76" t="str">
        <f t="shared" si="2372"/>
        <v>2H19</v>
      </c>
      <c r="DE498" s="76" t="str">
        <f t="shared" si="2372"/>
        <v>FY19</v>
      </c>
      <c r="DF498" s="76" t="str">
        <f t="shared" si="2372"/>
        <v>1H20</v>
      </c>
      <c r="DG498" s="76" t="str">
        <f t="shared" si="2372"/>
        <v>2H20</v>
      </c>
      <c r="DH498" s="1089" t="str">
        <f t="shared" si="2372"/>
        <v>FY20</v>
      </c>
      <c r="DI498" s="76" t="str">
        <f t="shared" si="2372"/>
        <v>1H21</v>
      </c>
      <c r="DJ498" s="76" t="str">
        <f t="shared" si="2372"/>
        <v>2H21</v>
      </c>
      <c r="DK498" s="1089" t="str">
        <f t="shared" si="2372"/>
        <v>FY21</v>
      </c>
      <c r="DL498" s="76" t="str">
        <f t="shared" si="2372"/>
        <v>1H22</v>
      </c>
      <c r="DM498" s="76" t="str">
        <f t="shared" si="2372"/>
        <v>2H22</v>
      </c>
      <c r="DN498" s="1089" t="str">
        <f t="shared" si="2372"/>
        <v>FY22</v>
      </c>
      <c r="DO498" s="76" t="str">
        <f t="shared" si="2372"/>
        <v>1H23</v>
      </c>
      <c r="DP498" s="76" t="str">
        <f t="shared" si="2372"/>
        <v>2H23</v>
      </c>
      <c r="DQ498" s="1089" t="str">
        <f t="shared" si="2372"/>
        <v>FY23</v>
      </c>
      <c r="DR498" s="76" t="str">
        <f t="shared" si="2372"/>
        <v>1H24</v>
      </c>
      <c r="DS498" s="76" t="str">
        <f t="shared" si="2372"/>
        <v>2H24</v>
      </c>
      <c r="DT498" s="1089" t="str">
        <f t="shared" si="2372"/>
        <v>FY24</v>
      </c>
      <c r="DU498" s="76" t="str">
        <f t="shared" si="2372"/>
        <v>1H25</v>
      </c>
      <c r="DV498" s="76" t="str">
        <f t="shared" si="2372"/>
        <v>2H25</v>
      </c>
      <c r="DW498" s="1089" t="str">
        <f t="shared" si="2372"/>
        <v>FY25</v>
      </c>
      <c r="DX498" s="76" t="str">
        <f t="shared" si="2372"/>
        <v>1H26</v>
      </c>
      <c r="DY498" s="76" t="str">
        <f t="shared" si="2372"/>
        <v>2H26E</v>
      </c>
      <c r="DZ498" s="1089" t="str">
        <f t="shared" si="2372"/>
        <v>FY26E</v>
      </c>
      <c r="EA498" s="76" t="str">
        <f t="shared" si="2372"/>
        <v>1H27E</v>
      </c>
      <c r="EB498" s="76" t="str">
        <f t="shared" si="2372"/>
        <v>2H27E</v>
      </c>
      <c r="EC498" s="1089" t="str">
        <f t="shared" si="2372"/>
        <v>FY27E</v>
      </c>
      <c r="ED498" s="76" t="str">
        <f t="shared" si="2372"/>
        <v>1H28E</v>
      </c>
      <c r="EE498" s="76" t="str">
        <f t="shared" si="2372"/>
        <v>2H28E</v>
      </c>
      <c r="EF498" s="1089" t="str">
        <f t="shared" si="2372"/>
        <v>FY28E</v>
      </c>
      <c r="EG498" s="76" t="str">
        <f t="shared" ref="EG498:ER498" si="2373">EG95</f>
        <v>1H29E</v>
      </c>
      <c r="EH498" s="76" t="str">
        <f t="shared" si="2373"/>
        <v>2H29E</v>
      </c>
      <c r="EI498" s="1089" t="str">
        <f t="shared" si="2373"/>
        <v>FY29E</v>
      </c>
      <c r="EJ498" s="76" t="str">
        <f t="shared" si="2373"/>
        <v>1H30E</v>
      </c>
      <c r="EK498" s="76" t="str">
        <f t="shared" si="2373"/>
        <v>2H30E</v>
      </c>
      <c r="EL498" s="1089" t="str">
        <f t="shared" si="2373"/>
        <v>FY30E</v>
      </c>
      <c r="EM498" s="76" t="str">
        <f t="shared" si="2373"/>
        <v>1H31E</v>
      </c>
      <c r="EN498" s="76" t="str">
        <f t="shared" si="2373"/>
        <v>2H31E</v>
      </c>
      <c r="EO498" s="1089" t="str">
        <f t="shared" si="2373"/>
        <v>FY31E</v>
      </c>
      <c r="EP498" s="76" t="str">
        <f t="shared" si="2373"/>
        <v>1H32E</v>
      </c>
      <c r="EQ498" s="76" t="str">
        <f t="shared" si="2373"/>
        <v>2H32E</v>
      </c>
      <c r="ER498" s="1089" t="str">
        <f t="shared" si="2373"/>
        <v>FY32E</v>
      </c>
      <c r="ES498" s="76" t="str">
        <f t="shared" ref="ES498:EX498" si="2374">ES95</f>
        <v>1H33E</v>
      </c>
      <c r="ET498" s="76" t="str">
        <f t="shared" si="2374"/>
        <v>2H33E</v>
      </c>
      <c r="EU498" s="1089" t="str">
        <f t="shared" si="2374"/>
        <v>FY33E</v>
      </c>
      <c r="EV498" s="76" t="str">
        <f t="shared" si="2374"/>
        <v>1H34E</v>
      </c>
      <c r="EW498" s="76" t="str">
        <f t="shared" si="2374"/>
        <v>2H34E</v>
      </c>
      <c r="EX498" s="1089" t="str">
        <f t="shared" si="2374"/>
        <v>FY34E</v>
      </c>
      <c r="EY498" s="76" t="str">
        <f t="shared" ref="EY498:FA498" si="2375">EY95</f>
        <v>1H35E</v>
      </c>
      <c r="EZ498" s="76" t="str">
        <f t="shared" si="2375"/>
        <v>2H35E</v>
      </c>
      <c r="FA498" s="1089" t="str">
        <f t="shared" si="2375"/>
        <v>FY35E</v>
      </c>
    </row>
    <row r="499" spans="1:173">
      <c r="B499" s="35" t="s">
        <v>396</v>
      </c>
      <c r="D499" s="162" t="s">
        <v>604</v>
      </c>
      <c r="BD499" s="72"/>
      <c r="BE499" s="72"/>
      <c r="BF499" s="962"/>
      <c r="BG499" s="72"/>
      <c r="BH499" s="72"/>
      <c r="BI499" s="962"/>
      <c r="BJ499" s="165"/>
      <c r="BK499" s="165"/>
      <c r="BL499" s="943"/>
      <c r="BM499" s="165"/>
      <c r="BN499" s="165"/>
      <c r="BO499" s="943"/>
      <c r="BP499" s="165"/>
      <c r="BQ499" s="165"/>
      <c r="BR499" s="943"/>
      <c r="BS499" s="166"/>
      <c r="BT499" s="166"/>
      <c r="BU499" s="71"/>
      <c r="BV499" s="71"/>
      <c r="BW499" s="71"/>
      <c r="BX499" s="71">
        <v>504.8</v>
      </c>
      <c r="BY499" s="71">
        <v>301.10000000000002</v>
      </c>
      <c r="BZ499" s="71">
        <f>CA499-BY499</f>
        <v>312.89999999999998</v>
      </c>
      <c r="CA499" s="71">
        <v>614</v>
      </c>
      <c r="CB499" s="71">
        <v>290.5</v>
      </c>
      <c r="CC499" s="71">
        <f>CD499-CB499</f>
        <v>313.20000000000005</v>
      </c>
      <c r="CD499" s="71">
        <v>603.70000000000005</v>
      </c>
      <c r="CE499" s="71">
        <v>309.60000000000002</v>
      </c>
      <c r="CF499" s="71">
        <f>CG499-CE499</f>
        <v>338.4</v>
      </c>
      <c r="CG499" s="71">
        <v>648</v>
      </c>
      <c r="CH499" s="71">
        <v>311.5</v>
      </c>
      <c r="CI499" s="166"/>
      <c r="CJ499" s="167"/>
      <c r="CK499" s="166"/>
      <c r="CL499" s="166"/>
      <c r="CM499" s="167"/>
      <c r="CN499" s="166"/>
      <c r="CO499" s="166"/>
      <c r="CP499" s="167"/>
      <c r="CQ499" s="166"/>
      <c r="CR499" s="166"/>
      <c r="CS499" s="167"/>
      <c r="CT499" s="166"/>
      <c r="CU499" s="166"/>
      <c r="CV499" s="167"/>
      <c r="CW499" s="166"/>
      <c r="CX499" s="166"/>
      <c r="CY499" s="167"/>
      <c r="CZ499" s="166"/>
      <c r="DA499" s="166"/>
      <c r="DB499" s="167"/>
      <c r="DC499" s="166"/>
      <c r="DD499" s="166"/>
      <c r="DE499" s="167"/>
      <c r="DF499" s="166"/>
      <c r="DG499" s="166"/>
      <c r="DH499" s="1072"/>
      <c r="DI499" s="166"/>
      <c r="DJ499" s="166"/>
      <c r="DK499" s="1072"/>
      <c r="DL499" s="166"/>
      <c r="DM499" s="166"/>
      <c r="DN499" s="1072"/>
      <c r="DO499" s="166"/>
      <c r="DP499" s="166"/>
      <c r="DQ499" s="1072"/>
      <c r="DR499" s="166"/>
      <c r="DS499" s="166"/>
      <c r="DT499" s="1072"/>
      <c r="DU499" s="166"/>
      <c r="DV499" s="166"/>
      <c r="DW499" s="1072"/>
      <c r="DX499" s="166"/>
      <c r="DY499" s="166"/>
      <c r="DZ499" s="1072"/>
      <c r="EA499" s="166"/>
      <c r="EB499" s="166"/>
      <c r="EC499" s="1072"/>
      <c r="ED499" s="166"/>
      <c r="EE499" s="166"/>
      <c r="EF499" s="1072"/>
      <c r="EG499" s="166"/>
      <c r="EH499" s="166"/>
      <c r="EI499" s="1072"/>
      <c r="EJ499" s="166"/>
      <c r="EK499" s="166"/>
      <c r="EL499" s="1072"/>
      <c r="EM499" s="166"/>
      <c r="EN499" s="166"/>
      <c r="EO499" s="1072"/>
      <c r="EP499" s="166"/>
      <c r="EQ499" s="166"/>
      <c r="ER499" s="1072"/>
      <c r="ES499" s="166"/>
      <c r="ET499" s="166"/>
      <c r="EU499" s="1072"/>
      <c r="EV499" s="166"/>
      <c r="EW499" s="166"/>
      <c r="EX499" s="1072"/>
      <c r="EY499" s="166"/>
      <c r="EZ499" s="166"/>
      <c r="FA499" s="1072"/>
    </row>
    <row r="500" spans="1:173">
      <c r="C500" s="35" t="s">
        <v>209</v>
      </c>
      <c r="D500" s="162" t="s">
        <v>460</v>
      </c>
      <c r="BD500" s="72"/>
      <c r="BE500" s="72"/>
      <c r="BF500" s="962"/>
      <c r="BG500" s="72"/>
      <c r="BH500" s="72"/>
      <c r="BI500" s="962"/>
      <c r="BJ500" s="165"/>
      <c r="BK500" s="165"/>
      <c r="BL500" s="943"/>
      <c r="BM500" s="165"/>
      <c r="BN500" s="165"/>
      <c r="BO500" s="943"/>
      <c r="BP500" s="165"/>
      <c r="BQ500" s="165"/>
      <c r="BR500" s="943"/>
      <c r="BS500" s="166"/>
      <c r="BT500" s="166"/>
      <c r="BU500" s="72"/>
      <c r="BV500" s="72"/>
      <c r="BW500" s="72"/>
      <c r="BX500" s="72"/>
      <c r="BY500" s="72">
        <v>0.12</v>
      </c>
      <c r="BZ500" s="72"/>
      <c r="CA500" s="72">
        <v>7.0000000000000007E-2</v>
      </c>
      <c r="CB500" s="72">
        <v>0.03</v>
      </c>
      <c r="CC500" s="72"/>
      <c r="CD500" s="72">
        <v>0.13</v>
      </c>
      <c r="CE500" s="166">
        <v>0.16</v>
      </c>
      <c r="CF500" s="72"/>
      <c r="CG500" s="72">
        <v>0.2</v>
      </c>
      <c r="CH500" s="72">
        <v>7.0000000000000007E-2</v>
      </c>
      <c r="CI500" s="166"/>
      <c r="CJ500" s="167"/>
      <c r="CK500" s="166"/>
      <c r="CL500" s="166"/>
      <c r="CM500" s="167"/>
      <c r="CN500" s="166"/>
      <c r="CO500" s="166"/>
      <c r="CP500" s="167">
        <v>-2E-3</v>
      </c>
      <c r="CQ500" s="166"/>
      <c r="CR500" s="166"/>
      <c r="CS500" s="167">
        <f t="shared" ref="CS500:EF500" si="2376">CP500</f>
        <v>-2E-3</v>
      </c>
      <c r="CT500" s="167">
        <f t="shared" si="2376"/>
        <v>0</v>
      </c>
      <c r="CU500" s="167">
        <f t="shared" si="2376"/>
        <v>0</v>
      </c>
      <c r="CV500" s="167">
        <f t="shared" si="2376"/>
        <v>-2E-3</v>
      </c>
      <c r="CW500" s="167">
        <f t="shared" si="2376"/>
        <v>0</v>
      </c>
      <c r="CX500" s="167">
        <f t="shared" si="2376"/>
        <v>0</v>
      </c>
      <c r="CY500" s="167">
        <f t="shared" si="2376"/>
        <v>-2E-3</v>
      </c>
      <c r="CZ500" s="167">
        <f t="shared" si="2376"/>
        <v>0</v>
      </c>
      <c r="DA500" s="167">
        <f t="shared" si="2376"/>
        <v>0</v>
      </c>
      <c r="DB500" s="167">
        <f t="shared" si="2376"/>
        <v>-2E-3</v>
      </c>
      <c r="DC500" s="167">
        <f t="shared" si="2376"/>
        <v>0</v>
      </c>
      <c r="DD500" s="167">
        <f t="shared" si="2376"/>
        <v>0</v>
      </c>
      <c r="DE500" s="167">
        <f t="shared" si="2376"/>
        <v>-2E-3</v>
      </c>
      <c r="DF500" s="167">
        <f t="shared" si="2376"/>
        <v>0</v>
      </c>
      <c r="DG500" s="167">
        <f t="shared" si="2376"/>
        <v>0</v>
      </c>
      <c r="DH500" s="1072">
        <f t="shared" si="2376"/>
        <v>-2E-3</v>
      </c>
      <c r="DI500" s="167">
        <f t="shared" si="2376"/>
        <v>0</v>
      </c>
      <c r="DJ500" s="167">
        <f t="shared" si="2376"/>
        <v>0</v>
      </c>
      <c r="DK500" s="1072">
        <f t="shared" si="2376"/>
        <v>-2E-3</v>
      </c>
      <c r="DL500" s="167">
        <f>DI500</f>
        <v>0</v>
      </c>
      <c r="DM500" s="167">
        <f>DJ500</f>
        <v>0</v>
      </c>
      <c r="DN500" s="1072">
        <f>DK500</f>
        <v>-2E-3</v>
      </c>
      <c r="DO500" s="167">
        <f t="shared" si="2376"/>
        <v>0</v>
      </c>
      <c r="DP500" s="167">
        <f t="shared" si="2376"/>
        <v>0</v>
      </c>
      <c r="DQ500" s="1072">
        <f t="shared" si="2376"/>
        <v>-2E-3</v>
      </c>
      <c r="DR500" s="167">
        <f t="shared" si="2376"/>
        <v>0</v>
      </c>
      <c r="DS500" s="167">
        <f t="shared" si="2376"/>
        <v>0</v>
      </c>
      <c r="DT500" s="1072">
        <f t="shared" si="2376"/>
        <v>-2E-3</v>
      </c>
      <c r="DU500" s="167">
        <f t="shared" si="2376"/>
        <v>0</v>
      </c>
      <c r="DV500" s="167">
        <f t="shared" si="2376"/>
        <v>0</v>
      </c>
      <c r="DW500" s="1072">
        <f t="shared" si="2376"/>
        <v>-2E-3</v>
      </c>
      <c r="DX500" s="167">
        <f t="shared" si="2376"/>
        <v>0</v>
      </c>
      <c r="DY500" s="167">
        <f t="shared" si="2376"/>
        <v>0</v>
      </c>
      <c r="DZ500" s="1072">
        <f t="shared" si="2376"/>
        <v>-2E-3</v>
      </c>
      <c r="EA500" s="167">
        <f t="shared" si="2376"/>
        <v>0</v>
      </c>
      <c r="EB500" s="167">
        <f t="shared" si="2376"/>
        <v>0</v>
      </c>
      <c r="EC500" s="1072">
        <f t="shared" si="2376"/>
        <v>-2E-3</v>
      </c>
      <c r="ED500" s="167">
        <f t="shared" si="2376"/>
        <v>0</v>
      </c>
      <c r="EE500" s="167">
        <f t="shared" si="2376"/>
        <v>0</v>
      </c>
      <c r="EF500" s="1072">
        <f t="shared" si="2376"/>
        <v>-2E-3</v>
      </c>
      <c r="EG500" s="167">
        <f t="shared" ref="EG500:EL500" si="2377">ED500</f>
        <v>0</v>
      </c>
      <c r="EH500" s="167">
        <f t="shared" si="2377"/>
        <v>0</v>
      </c>
      <c r="EI500" s="1072">
        <f t="shared" si="2377"/>
        <v>-2E-3</v>
      </c>
      <c r="EJ500" s="167">
        <f t="shared" si="2377"/>
        <v>0</v>
      </c>
      <c r="EK500" s="167">
        <f t="shared" si="2377"/>
        <v>0</v>
      </c>
      <c r="EL500" s="1072">
        <f t="shared" si="2377"/>
        <v>-2E-3</v>
      </c>
      <c r="EM500" s="167">
        <f t="shared" ref="EM500:ER500" si="2378">EJ500</f>
        <v>0</v>
      </c>
      <c r="EN500" s="167">
        <f t="shared" si="2378"/>
        <v>0</v>
      </c>
      <c r="EO500" s="1072">
        <f t="shared" si="2378"/>
        <v>-2E-3</v>
      </c>
      <c r="EP500" s="167">
        <f t="shared" si="2378"/>
        <v>0</v>
      </c>
      <c r="EQ500" s="167">
        <f t="shared" si="2378"/>
        <v>0</v>
      </c>
      <c r="ER500" s="1072">
        <f t="shared" si="2378"/>
        <v>-2E-3</v>
      </c>
      <c r="ES500" s="167">
        <f t="shared" ref="ES500" si="2379">EP500</f>
        <v>0</v>
      </c>
      <c r="ET500" s="167">
        <f t="shared" ref="ET500" si="2380">EQ500</f>
        <v>0</v>
      </c>
      <c r="EU500" s="1072">
        <f t="shared" ref="EU500" si="2381">ER500</f>
        <v>-2E-3</v>
      </c>
      <c r="EV500" s="167">
        <f t="shared" ref="EV500" si="2382">ES500</f>
        <v>0</v>
      </c>
      <c r="EW500" s="167">
        <f t="shared" ref="EW500" si="2383">ET500</f>
        <v>0</v>
      </c>
      <c r="EX500" s="1072">
        <f t="shared" ref="EX500" si="2384">EU500</f>
        <v>-2E-3</v>
      </c>
      <c r="EY500" s="167">
        <f t="shared" ref="EY500" si="2385">EV500</f>
        <v>0</v>
      </c>
      <c r="EZ500" s="167">
        <f t="shared" ref="EZ500" si="2386">EW500</f>
        <v>0</v>
      </c>
      <c r="FA500" s="1072">
        <f t="shared" ref="FA500" si="2387">EX500</f>
        <v>-2E-3</v>
      </c>
    </row>
    <row r="501" spans="1:173">
      <c r="BD501" s="72"/>
      <c r="BE501" s="72"/>
      <c r="BF501" s="962"/>
      <c r="BG501" s="72"/>
      <c r="BH501" s="72"/>
      <c r="BI501" s="962"/>
      <c r="BJ501" s="165"/>
      <c r="BK501" s="165"/>
      <c r="BL501" s="943"/>
      <c r="BM501" s="165"/>
      <c r="BN501" s="165"/>
      <c r="BO501" s="943"/>
      <c r="BP501" s="165"/>
      <c r="BQ501" s="165"/>
      <c r="BR501" s="943"/>
      <c r="BS501" s="166"/>
      <c r="BT501" s="166"/>
      <c r="BU501" s="167"/>
      <c r="BV501" s="166"/>
      <c r="BW501" s="166"/>
      <c r="BX501" s="167"/>
      <c r="BY501" s="166"/>
      <c r="BZ501" s="166"/>
      <c r="CA501" s="167"/>
      <c r="CB501" s="166"/>
      <c r="CC501" s="166"/>
      <c r="CD501" s="167"/>
      <c r="CE501" s="166"/>
      <c r="CF501" s="166"/>
      <c r="CG501" s="167"/>
      <c r="CH501" s="166"/>
      <c r="CI501" s="166"/>
      <c r="CJ501" s="167"/>
      <c r="CK501" s="166"/>
      <c r="CL501" s="166"/>
      <c r="CM501" s="167"/>
      <c r="CN501" s="166"/>
      <c r="CO501" s="166"/>
      <c r="CP501" s="163">
        <f>CM96*(1+CP500)</f>
        <v>26620.651999999995</v>
      </c>
      <c r="CQ501" s="166"/>
      <c r="CR501" s="166"/>
      <c r="CS501" s="163">
        <f t="shared" ref="CS501:EF501" si="2388">CP501*(1+CS500)</f>
        <v>26567.410695999995</v>
      </c>
      <c r="CT501" s="163">
        <f t="shared" si="2388"/>
        <v>0</v>
      </c>
      <c r="CU501" s="163">
        <f t="shared" si="2388"/>
        <v>0</v>
      </c>
      <c r="CV501" s="163">
        <f t="shared" si="2388"/>
        <v>26514.275874607996</v>
      </c>
      <c r="CW501" s="163">
        <f t="shared" si="2388"/>
        <v>0</v>
      </c>
      <c r="CX501" s="163">
        <f t="shared" si="2388"/>
        <v>0</v>
      </c>
      <c r="CY501" s="163">
        <f t="shared" si="2388"/>
        <v>26461.247322858781</v>
      </c>
      <c r="CZ501" s="163">
        <f t="shared" si="2388"/>
        <v>0</v>
      </c>
      <c r="DA501" s="163">
        <f t="shared" si="2388"/>
        <v>0</v>
      </c>
      <c r="DB501" s="163">
        <f t="shared" si="2388"/>
        <v>26408.324828213063</v>
      </c>
      <c r="DC501" s="163">
        <f t="shared" si="2388"/>
        <v>0</v>
      </c>
      <c r="DD501" s="163">
        <f t="shared" si="2388"/>
        <v>0</v>
      </c>
      <c r="DE501" s="163">
        <f t="shared" si="2388"/>
        <v>26355.508178556636</v>
      </c>
      <c r="DF501" s="163">
        <f t="shared" si="2388"/>
        <v>0</v>
      </c>
      <c r="DG501" s="163">
        <f t="shared" si="2388"/>
        <v>0</v>
      </c>
      <c r="DH501" s="1085">
        <f t="shared" si="2388"/>
        <v>26302.797162199524</v>
      </c>
      <c r="DI501" s="163">
        <f t="shared" si="2388"/>
        <v>0</v>
      </c>
      <c r="DJ501" s="163">
        <f t="shared" si="2388"/>
        <v>0</v>
      </c>
      <c r="DK501" s="1085">
        <f t="shared" si="2388"/>
        <v>26250.191567875125</v>
      </c>
      <c r="DL501" s="163">
        <f>DI501*(1+DL500)</f>
        <v>0</v>
      </c>
      <c r="DM501" s="163">
        <f>DJ501*(1+DM500)</f>
        <v>0</v>
      </c>
      <c r="DN501" s="1085">
        <f>DK501*(1+DN500)</f>
        <v>26197.691184739375</v>
      </c>
      <c r="DO501" s="163">
        <f t="shared" si="2388"/>
        <v>0</v>
      </c>
      <c r="DP501" s="163">
        <f t="shared" si="2388"/>
        <v>0</v>
      </c>
      <c r="DQ501" s="1085">
        <f t="shared" si="2388"/>
        <v>26145.295802369896</v>
      </c>
      <c r="DR501" s="163">
        <f t="shared" si="2388"/>
        <v>0</v>
      </c>
      <c r="DS501" s="163">
        <f t="shared" si="2388"/>
        <v>0</v>
      </c>
      <c r="DT501" s="1085">
        <f t="shared" si="2388"/>
        <v>26093.005210765157</v>
      </c>
      <c r="DU501" s="163">
        <f t="shared" si="2388"/>
        <v>0</v>
      </c>
      <c r="DV501" s="163">
        <f t="shared" si="2388"/>
        <v>0</v>
      </c>
      <c r="DW501" s="1085">
        <f t="shared" si="2388"/>
        <v>26040.819200343627</v>
      </c>
      <c r="DX501" s="163">
        <f t="shared" si="2388"/>
        <v>0</v>
      </c>
      <c r="DY501" s="163">
        <f t="shared" si="2388"/>
        <v>0</v>
      </c>
      <c r="DZ501" s="1085">
        <f t="shared" si="2388"/>
        <v>25988.73756194294</v>
      </c>
      <c r="EA501" s="163">
        <f t="shared" si="2388"/>
        <v>0</v>
      </c>
      <c r="EB501" s="163">
        <f t="shared" si="2388"/>
        <v>0</v>
      </c>
      <c r="EC501" s="1085">
        <f t="shared" si="2388"/>
        <v>25936.760086819053</v>
      </c>
      <c r="ED501" s="163">
        <f t="shared" si="2388"/>
        <v>0</v>
      </c>
      <c r="EE501" s="163">
        <f t="shared" si="2388"/>
        <v>0</v>
      </c>
      <c r="EF501" s="1085">
        <f t="shared" si="2388"/>
        <v>25884.886566645415</v>
      </c>
      <c r="EG501" s="163">
        <f t="shared" ref="EG501:EL501" si="2389">ED501*(1+EG500)</f>
        <v>0</v>
      </c>
      <c r="EH501" s="163">
        <f t="shared" si="2389"/>
        <v>0</v>
      </c>
      <c r="EI501" s="1085">
        <f t="shared" si="2389"/>
        <v>25833.116793512123</v>
      </c>
      <c r="EJ501" s="163">
        <f t="shared" si="2389"/>
        <v>0</v>
      </c>
      <c r="EK501" s="163">
        <f t="shared" si="2389"/>
        <v>0</v>
      </c>
      <c r="EL501" s="1085">
        <f t="shared" si="2389"/>
        <v>25781.450559925099</v>
      </c>
      <c r="EM501" s="163">
        <f t="shared" ref="EM501:ER501" si="2390">EJ501*(1+EM500)</f>
        <v>0</v>
      </c>
      <c r="EN501" s="163">
        <f t="shared" si="2390"/>
        <v>0</v>
      </c>
      <c r="EO501" s="1085">
        <f t="shared" si="2390"/>
        <v>25729.887658805248</v>
      </c>
      <c r="EP501" s="163">
        <f t="shared" si="2390"/>
        <v>0</v>
      </c>
      <c r="EQ501" s="163">
        <f t="shared" si="2390"/>
        <v>0</v>
      </c>
      <c r="ER501" s="1085">
        <f t="shared" si="2390"/>
        <v>25678.427883487639</v>
      </c>
      <c r="ES501" s="163">
        <f t="shared" ref="ES501" si="2391">EP501*(1+ES500)</f>
        <v>0</v>
      </c>
      <c r="ET501" s="163">
        <f t="shared" ref="ET501" si="2392">EQ501*(1+ET500)</f>
        <v>0</v>
      </c>
      <c r="EU501" s="1085">
        <f t="shared" ref="EU501" si="2393">ER501*(1+EU500)</f>
        <v>25627.071027720664</v>
      </c>
      <c r="EV501" s="163">
        <f t="shared" ref="EV501" si="2394">ES501*(1+EV500)</f>
        <v>0</v>
      </c>
      <c r="EW501" s="163">
        <f t="shared" ref="EW501" si="2395">ET501*(1+EW500)</f>
        <v>0</v>
      </c>
      <c r="EX501" s="1085">
        <f t="shared" ref="EX501" si="2396">EU501*(1+EX500)</f>
        <v>25575.816885665223</v>
      </c>
      <c r="EY501" s="163">
        <f t="shared" ref="EY501" si="2397">EV501*(1+EY500)</f>
        <v>0</v>
      </c>
      <c r="EZ501" s="163">
        <f t="shared" ref="EZ501" si="2398">EW501*(1+EZ500)</f>
        <v>0</v>
      </c>
      <c r="FA501" s="1085">
        <f t="shared" ref="FA501" si="2399">EX501*(1+FA500)</f>
        <v>25524.665251893894</v>
      </c>
    </row>
    <row r="502" spans="1:173">
      <c r="B502" s="35" t="s">
        <v>671</v>
      </c>
      <c r="D502" s="162" t="s">
        <v>604</v>
      </c>
      <c r="BD502" s="72"/>
      <c r="BE502" s="72"/>
      <c r="BF502" s="962"/>
      <c r="BG502" s="72"/>
      <c r="BH502" s="72"/>
      <c r="BI502" s="962"/>
      <c r="BJ502" s="165"/>
      <c r="BK502" s="165"/>
      <c r="BL502" s="943"/>
      <c r="BM502" s="165"/>
      <c r="BN502" s="165"/>
      <c r="BO502" s="943"/>
      <c r="BP502" s="165"/>
      <c r="BQ502" s="165"/>
      <c r="BR502" s="943"/>
      <c r="BS502" s="166"/>
      <c r="BT502" s="166"/>
      <c r="BU502" s="167"/>
      <c r="BV502" s="71"/>
      <c r="BW502" s="71"/>
      <c r="BX502" s="71">
        <v>75.599999999999994</v>
      </c>
      <c r="BY502" s="71">
        <v>45.8</v>
      </c>
      <c r="BZ502" s="71">
        <f>CA502-BY502</f>
        <v>52</v>
      </c>
      <c r="CA502" s="71">
        <v>97.8</v>
      </c>
      <c r="CB502" s="71">
        <v>46.4</v>
      </c>
      <c r="CC502" s="71">
        <f>CD502-CB502</f>
        <v>46.1</v>
      </c>
      <c r="CD502" s="71">
        <v>92.5</v>
      </c>
      <c r="CE502" s="71">
        <v>45.6</v>
      </c>
      <c r="CF502" s="71">
        <f>CG502-CE502</f>
        <v>38.6</v>
      </c>
      <c r="CG502" s="71">
        <v>84.2</v>
      </c>
      <c r="CH502" s="71">
        <v>39.700000000000003</v>
      </c>
      <c r="CI502" s="166"/>
      <c r="CJ502" s="167"/>
      <c r="CK502" s="166"/>
      <c r="CL502" s="166"/>
      <c r="CM502" s="167"/>
      <c r="CN502" s="166"/>
      <c r="CO502" s="166"/>
      <c r="CP502" s="167"/>
      <c r="CQ502" s="166"/>
      <c r="CR502" s="166"/>
      <c r="CS502" s="167"/>
      <c r="CT502" s="166"/>
      <c r="CU502" s="166"/>
      <c r="CV502" s="167"/>
      <c r="CW502" s="166"/>
      <c r="CX502" s="166"/>
      <c r="CY502" s="167"/>
      <c r="CZ502" s="166"/>
      <c r="DA502" s="166"/>
      <c r="DB502" s="167"/>
      <c r="DC502" s="166"/>
      <c r="DD502" s="166"/>
      <c r="DE502" s="167"/>
      <c r="DF502" s="166"/>
      <c r="DG502" s="166"/>
      <c r="DH502" s="1072"/>
      <c r="DI502" s="166"/>
      <c r="DJ502" s="166"/>
      <c r="DK502" s="1072"/>
      <c r="DL502" s="166"/>
      <c r="DM502" s="166"/>
      <c r="DN502" s="1072"/>
      <c r="DO502" s="166"/>
      <c r="DP502" s="166"/>
      <c r="DQ502" s="1072"/>
      <c r="DR502" s="166"/>
      <c r="DS502" s="166"/>
      <c r="DT502" s="1072"/>
      <c r="DU502" s="166"/>
      <c r="DV502" s="166"/>
      <c r="DW502" s="1072"/>
      <c r="DX502" s="166"/>
      <c r="DY502" s="166"/>
      <c r="DZ502" s="1072"/>
      <c r="EA502" s="166"/>
      <c r="EB502" s="166"/>
      <c r="EC502" s="1072"/>
      <c r="ED502" s="166"/>
      <c r="EE502" s="166"/>
      <c r="EF502" s="1072"/>
      <c r="EG502" s="166"/>
      <c r="EH502" s="166"/>
      <c r="EI502" s="1072"/>
      <c r="EJ502" s="166"/>
      <c r="EK502" s="166"/>
      <c r="EL502" s="1072"/>
      <c r="EM502" s="166"/>
      <c r="EN502" s="166"/>
      <c r="EO502" s="1072"/>
      <c r="EP502" s="166"/>
      <c r="EQ502" s="166"/>
      <c r="ER502" s="1072"/>
      <c r="ES502" s="166"/>
      <c r="ET502" s="166"/>
      <c r="EU502" s="1072"/>
      <c r="EV502" s="166"/>
      <c r="EW502" s="166"/>
      <c r="EX502" s="1072"/>
      <c r="EY502" s="166"/>
      <c r="EZ502" s="166"/>
      <c r="FA502" s="1072"/>
    </row>
    <row r="503" spans="1:173">
      <c r="C503" s="35" t="s">
        <v>209</v>
      </c>
      <c r="D503" s="162" t="s">
        <v>460</v>
      </c>
      <c r="BD503" s="72"/>
      <c r="BE503" s="72"/>
      <c r="BF503" s="962"/>
      <c r="BG503" s="72"/>
      <c r="BH503" s="72"/>
      <c r="BI503" s="962"/>
      <c r="BJ503" s="165"/>
      <c r="BK503" s="165"/>
      <c r="BL503" s="943"/>
      <c r="BM503" s="165"/>
      <c r="BN503" s="165"/>
      <c r="BO503" s="943"/>
      <c r="BP503" s="165"/>
      <c r="BQ503" s="165"/>
      <c r="BR503" s="943"/>
      <c r="BS503" s="166"/>
      <c r="BT503" s="166"/>
      <c r="BU503" s="167"/>
      <c r="BV503" s="72"/>
      <c r="BW503" s="72"/>
      <c r="BX503" s="72">
        <v>0.27</v>
      </c>
      <c r="BY503" s="72">
        <v>0.13</v>
      </c>
      <c r="BZ503" s="72"/>
      <c r="CA503" s="72">
        <v>0.17</v>
      </c>
      <c r="CB503" s="72">
        <v>0.1</v>
      </c>
      <c r="CC503" s="72"/>
      <c r="CD503" s="72">
        <v>0.09</v>
      </c>
      <c r="CE503" s="72">
        <v>0.1</v>
      </c>
      <c r="CF503" s="72"/>
      <c r="CG503" s="72">
        <v>0.02</v>
      </c>
      <c r="CH503" s="72">
        <v>-7.0000000000000007E-2</v>
      </c>
      <c r="CI503" s="166"/>
      <c r="CJ503" s="167"/>
      <c r="CK503" s="166"/>
      <c r="CL503" s="166"/>
      <c r="CM503" s="167"/>
      <c r="CN503" s="166"/>
      <c r="CO503" s="166"/>
      <c r="CP503" s="167">
        <v>0.05</v>
      </c>
      <c r="CQ503" s="166"/>
      <c r="CR503" s="166"/>
      <c r="CS503" s="167">
        <f>CP503</f>
        <v>0.05</v>
      </c>
      <c r="CT503" s="166"/>
      <c r="CU503" s="166"/>
      <c r="CV503" s="167">
        <f>CS503</f>
        <v>0.05</v>
      </c>
      <c r="CW503" s="166"/>
      <c r="CX503" s="166"/>
      <c r="CY503" s="167">
        <f>CV503</f>
        <v>0.05</v>
      </c>
      <c r="CZ503" s="166"/>
      <c r="DA503" s="166"/>
      <c r="DB503" s="167">
        <f>CY503</f>
        <v>0.05</v>
      </c>
      <c r="DC503" s="166"/>
      <c r="DD503" s="166"/>
      <c r="DE503" s="167">
        <f>DB503</f>
        <v>0.05</v>
      </c>
      <c r="DF503" s="166"/>
      <c r="DG503" s="166"/>
      <c r="DH503" s="1072">
        <f>DE503</f>
        <v>0.05</v>
      </c>
      <c r="DI503" s="166"/>
      <c r="DJ503" s="166"/>
      <c r="DK503" s="1072">
        <f>DH503</f>
        <v>0.05</v>
      </c>
      <c r="DL503" s="166"/>
      <c r="DM503" s="166"/>
      <c r="DN503" s="1072">
        <f>DK503</f>
        <v>0.05</v>
      </c>
      <c r="DO503" s="166"/>
      <c r="DP503" s="166"/>
      <c r="DQ503" s="1072">
        <f>DN503</f>
        <v>0.05</v>
      </c>
      <c r="DR503" s="166"/>
      <c r="DS503" s="166"/>
      <c r="DT503" s="1072">
        <f>DQ503</f>
        <v>0.05</v>
      </c>
      <c r="DU503" s="166"/>
      <c r="DV503" s="166"/>
      <c r="DW503" s="1072">
        <f>DT503</f>
        <v>0.05</v>
      </c>
      <c r="DX503" s="166"/>
      <c r="DY503" s="166"/>
      <c r="DZ503" s="1072">
        <f>DW503</f>
        <v>0.05</v>
      </c>
      <c r="EA503" s="166"/>
      <c r="EB503" s="166"/>
      <c r="EC503" s="1072">
        <f>DZ503</f>
        <v>0.05</v>
      </c>
      <c r="ED503" s="166"/>
      <c r="EE503" s="166"/>
      <c r="EF503" s="1072">
        <f>EC503</f>
        <v>0.05</v>
      </c>
      <c r="EG503" s="166"/>
      <c r="EH503" s="166"/>
      <c r="EI503" s="1072">
        <f>EF503</f>
        <v>0.05</v>
      </c>
      <c r="EJ503" s="166"/>
      <c r="EK503" s="166"/>
      <c r="EL503" s="1072">
        <f>EI503</f>
        <v>0.05</v>
      </c>
      <c r="EM503" s="166"/>
      <c r="EN503" s="166"/>
      <c r="EO503" s="1072">
        <f>EL503</f>
        <v>0.05</v>
      </c>
      <c r="EP503" s="166"/>
      <c r="EQ503" s="166"/>
      <c r="ER503" s="1072">
        <f>EO503</f>
        <v>0.05</v>
      </c>
      <c r="ES503" s="166"/>
      <c r="ET503" s="166"/>
      <c r="EU503" s="1072">
        <f>ER503</f>
        <v>0.05</v>
      </c>
      <c r="EV503" s="166"/>
      <c r="EW503" s="166"/>
      <c r="EX503" s="1072">
        <f>EU503</f>
        <v>0.05</v>
      </c>
      <c r="EY503" s="166"/>
      <c r="EZ503" s="166"/>
      <c r="FA503" s="1072">
        <f>EX503</f>
        <v>0.05</v>
      </c>
    </row>
    <row r="504" spans="1:173" s="233" customFormat="1">
      <c r="A504" s="1147"/>
      <c r="D504" s="245"/>
      <c r="BA504" s="232"/>
      <c r="BB504" s="232"/>
      <c r="BC504" s="246"/>
      <c r="BD504" s="232"/>
      <c r="BE504" s="232"/>
      <c r="BF504" s="246"/>
      <c r="BG504" s="232"/>
      <c r="BH504" s="232"/>
      <c r="BI504" s="246"/>
      <c r="BJ504" s="948"/>
      <c r="BK504" s="948"/>
      <c r="BL504" s="949"/>
      <c r="BM504" s="948"/>
      <c r="BN504" s="948"/>
      <c r="BO504" s="949"/>
      <c r="BP504" s="948"/>
      <c r="BQ504" s="948"/>
      <c r="BR504" s="949"/>
      <c r="BS504" s="232"/>
      <c r="BT504" s="232"/>
      <c r="BV504" s="232"/>
      <c r="BW504" s="232"/>
      <c r="BY504" s="232"/>
      <c r="BZ504" s="232"/>
      <c r="CB504" s="232"/>
      <c r="CC504" s="232"/>
      <c r="CE504" s="232"/>
      <c r="CF504" s="232"/>
      <c r="CH504" s="232"/>
      <c r="CI504" s="232"/>
      <c r="CK504" s="232"/>
      <c r="CL504" s="232"/>
      <c r="CN504" s="232"/>
      <c r="CO504" s="232"/>
      <c r="CP504" s="233">
        <f>CM96*(1+CP503)</f>
        <v>28007.699999999997</v>
      </c>
      <c r="CS504" s="233">
        <f>CP505*(1+CS503)</f>
        <v>43451.946000000004</v>
      </c>
      <c r="CV504" s="233">
        <f>CS505*(1+CV503)</f>
        <v>47188.813356000006</v>
      </c>
      <c r="CY504" s="233">
        <f>CV505*(1+CY503)</f>
        <v>51247.051304616012</v>
      </c>
      <c r="DB504" s="233">
        <f>CY505*(1+DB503)</f>
        <v>55654.297716812987</v>
      </c>
      <c r="DE504" s="233">
        <f>DB505*(1+DE503)</f>
        <v>60440.567320458911</v>
      </c>
      <c r="DH504" s="1070">
        <f>DE505*(1+DH503)</f>
        <v>65638.456110018378</v>
      </c>
      <c r="DK504" s="1070">
        <f>DH505*(1+DK503)</f>
        <v>71283.363335479968</v>
      </c>
      <c r="DN504" s="1070">
        <f>DK505*(1+DN503)</f>
        <v>77413.732582331242</v>
      </c>
      <c r="DQ504" s="1070">
        <f>DN505*(1+DQ503)</f>
        <v>84071.31358441175</v>
      </c>
      <c r="DT504" s="1070">
        <f>DQ505*(1+DT503)</f>
        <v>91301.446552671157</v>
      </c>
      <c r="DW504" s="1070">
        <f>DT505*(1+DW503)</f>
        <v>99153.370956200903</v>
      </c>
      <c r="DZ504" s="1070">
        <f>DW505*(1+DZ503)</f>
        <v>107680.56085843418</v>
      </c>
      <c r="EC504" s="1070">
        <f>DZ505*(1+EC503)</f>
        <v>116941.08909225953</v>
      </c>
      <c r="EF504" s="1070">
        <f>EC505*(1+EF503)</f>
        <v>126998.02275419385</v>
      </c>
      <c r="EI504" s="1070">
        <f>EF505*(1+EI503)</f>
        <v>137919.85271105453</v>
      </c>
      <c r="EL504" s="1070">
        <f>EI505*(1+EL503)</f>
        <v>149780.96004420525</v>
      </c>
      <c r="EO504" s="1070">
        <f>EL505*(1+EO503)</f>
        <v>162662.1226080069</v>
      </c>
      <c r="ER504" s="1070">
        <f>EO505*(1+ER503)</f>
        <v>176651.06515229549</v>
      </c>
      <c r="EU504" s="1070">
        <f>ER505*(1+EU503)</f>
        <v>191843.05675539293</v>
      </c>
      <c r="EX504" s="1070">
        <f>EU505*(1+EX503)</f>
        <v>208341.55963635672</v>
      </c>
      <c r="FA504" s="1070">
        <f>EX505*(1+FA503)</f>
        <v>226258.93376508341</v>
      </c>
    </row>
    <row r="505" spans="1:173" s="233" customFormat="1">
      <c r="A505" s="1147"/>
      <c r="B505" s="233" t="s">
        <v>858</v>
      </c>
      <c r="D505" s="245" t="s">
        <v>604</v>
      </c>
      <c r="BA505" s="232"/>
      <c r="BB505" s="232"/>
      <c r="BC505" s="246"/>
      <c r="BD505" s="232"/>
      <c r="BE505" s="232"/>
      <c r="BF505" s="246"/>
      <c r="BG505" s="232"/>
      <c r="BH505" s="232"/>
      <c r="BI505" s="246"/>
      <c r="BJ505" s="948"/>
      <c r="BK505" s="948"/>
      <c r="BL505" s="949"/>
      <c r="BM505" s="948"/>
      <c r="BN505" s="948"/>
      <c r="BO505" s="949"/>
      <c r="BP505" s="948"/>
      <c r="BQ505" s="948"/>
      <c r="BR505" s="949"/>
      <c r="BS505" s="232"/>
      <c r="BT505" s="232"/>
      <c r="BV505" s="232"/>
      <c r="BW505" s="232"/>
      <c r="BY505" s="232"/>
      <c r="BZ505" s="232"/>
      <c r="CB505" s="232"/>
      <c r="CC505" s="232"/>
      <c r="CE505" s="232"/>
      <c r="CF505" s="232"/>
      <c r="CH505" s="232"/>
      <c r="CI505" s="232"/>
      <c r="CK505" s="232"/>
      <c r="CL505" s="232"/>
      <c r="CM505" s="233">
        <f>CM96/0.7</f>
        <v>38105.714285714283</v>
      </c>
      <c r="CN505" s="232"/>
      <c r="CO505" s="232"/>
      <c r="CP505" s="233">
        <f>CM505*(1+CP506)</f>
        <v>41382.805714285714</v>
      </c>
      <c r="CQ505" s="232"/>
      <c r="CR505" s="232"/>
      <c r="CS505" s="233">
        <f>CP505*(1+CS506)</f>
        <v>44941.727005714289</v>
      </c>
      <c r="CT505" s="232"/>
      <c r="CU505" s="232"/>
      <c r="CV505" s="233">
        <f>CS505*(1+CV506)</f>
        <v>48806.715528205721</v>
      </c>
      <c r="CW505" s="232"/>
      <c r="CX505" s="232"/>
      <c r="CY505" s="233">
        <f>CV505*(1+CY506)</f>
        <v>53004.093063631415</v>
      </c>
      <c r="CZ505" s="232"/>
      <c r="DA505" s="232"/>
      <c r="DB505" s="233">
        <f>CY505*(1+DB506)</f>
        <v>57562.445067103719</v>
      </c>
      <c r="DC505" s="232"/>
      <c r="DD505" s="232"/>
      <c r="DE505" s="233">
        <f>DB505*(1+DE506)</f>
        <v>62512.815342874645</v>
      </c>
      <c r="DF505" s="232"/>
      <c r="DG505" s="232"/>
      <c r="DH505" s="1070">
        <f>DE505*(1+DH506)</f>
        <v>67888.917462361875</v>
      </c>
      <c r="DI505" s="232"/>
      <c r="DJ505" s="232"/>
      <c r="DK505" s="1070">
        <f>DH505*(1+DK506)</f>
        <v>73727.364364124995</v>
      </c>
      <c r="DL505" s="232"/>
      <c r="DM505" s="232"/>
      <c r="DN505" s="1070">
        <f>DK505*(1+DN506)</f>
        <v>80067.917699439757</v>
      </c>
      <c r="DO505" s="232"/>
      <c r="DP505" s="232"/>
      <c r="DQ505" s="1070">
        <f>DN505*(1+DQ506)</f>
        <v>86953.75862159158</v>
      </c>
      <c r="DR505" s="232"/>
      <c r="DS505" s="232"/>
      <c r="DT505" s="1070">
        <f>DQ505*(1+DT506)</f>
        <v>94431.781863048469</v>
      </c>
      <c r="DU505" s="232"/>
      <c r="DV505" s="232"/>
      <c r="DW505" s="1070">
        <f>DT505*(1+DW506)</f>
        <v>102552.91510327064</v>
      </c>
      <c r="DX505" s="232"/>
      <c r="DY505" s="232"/>
      <c r="DZ505" s="1070">
        <f>DW505*(1+DZ506)</f>
        <v>111372.46580215193</v>
      </c>
      <c r="EA505" s="232"/>
      <c r="EB505" s="232"/>
      <c r="EC505" s="1070">
        <f>DZ505*(1+EC506)</f>
        <v>120950.497861137</v>
      </c>
      <c r="ED505" s="232"/>
      <c r="EE505" s="232"/>
      <c r="EF505" s="1070">
        <f>EC505*(1+EF506)</f>
        <v>131352.24067719479</v>
      </c>
      <c r="EG505" s="232"/>
      <c r="EH505" s="232"/>
      <c r="EI505" s="1070">
        <f>EF505*(1+EI506)</f>
        <v>142648.53337543356</v>
      </c>
      <c r="EJ505" s="232"/>
      <c r="EK505" s="232"/>
      <c r="EL505" s="1070">
        <f>EI505*(1+EL506)</f>
        <v>154916.30724572085</v>
      </c>
      <c r="EM505" s="232"/>
      <c r="EN505" s="232"/>
      <c r="EO505" s="1070">
        <f>EL505*(1+EO506)</f>
        <v>168239.10966885285</v>
      </c>
      <c r="EP505" s="232"/>
      <c r="EQ505" s="232"/>
      <c r="ER505" s="1070">
        <f>EO505*(1+ER506)</f>
        <v>182707.6731003742</v>
      </c>
      <c r="ES505" s="232"/>
      <c r="ET505" s="232"/>
      <c r="EU505" s="1070">
        <f>ER505*(1+EU506)</f>
        <v>198420.53298700639</v>
      </c>
      <c r="EV505" s="232"/>
      <c r="EW505" s="232"/>
      <c r="EX505" s="1070">
        <f>EU505*(1+EX506)</f>
        <v>215484.69882388896</v>
      </c>
      <c r="EY505" s="232"/>
      <c r="EZ505" s="232"/>
      <c r="FA505" s="1070">
        <f>EX505*(1+FA506)</f>
        <v>234016.38292274342</v>
      </c>
    </row>
    <row r="506" spans="1:173">
      <c r="C506" s="35" t="s">
        <v>209</v>
      </c>
      <c r="D506" s="162" t="s">
        <v>460</v>
      </c>
      <c r="BD506" s="72"/>
      <c r="BE506" s="72"/>
      <c r="BF506" s="962"/>
      <c r="BG506" s="72"/>
      <c r="BH506" s="72"/>
      <c r="BI506" s="962"/>
      <c r="BJ506" s="165"/>
      <c r="BK506" s="165"/>
      <c r="BL506" s="943"/>
      <c r="BM506" s="165"/>
      <c r="BN506" s="165"/>
      <c r="BO506" s="943"/>
      <c r="BP506" s="165"/>
      <c r="BQ506" s="165"/>
      <c r="BR506" s="943"/>
      <c r="BS506" s="166"/>
      <c r="BT506" s="166"/>
      <c r="BU506" s="167"/>
      <c r="BV506" s="166"/>
      <c r="BW506" s="166"/>
      <c r="BX506" s="167"/>
      <c r="BY506" s="166"/>
      <c r="BZ506" s="166"/>
      <c r="CA506" s="167"/>
      <c r="CB506" s="166"/>
      <c r="CC506" s="166"/>
      <c r="CD506" s="167"/>
      <c r="CE506" s="166"/>
      <c r="CF506" s="166"/>
      <c r="CG506" s="167"/>
      <c r="CH506" s="166"/>
      <c r="CI506" s="166"/>
      <c r="CJ506" s="167"/>
      <c r="CK506" s="166"/>
      <c r="CL506" s="166"/>
      <c r="CM506" s="167"/>
      <c r="CN506" s="166"/>
      <c r="CO506" s="166"/>
      <c r="CP506" s="167">
        <v>8.5999999999999993E-2</v>
      </c>
      <c r="CQ506" s="166"/>
      <c r="CR506" s="166"/>
      <c r="CS506" s="167">
        <f>CP506</f>
        <v>8.5999999999999993E-2</v>
      </c>
      <c r="CT506" s="166"/>
      <c r="CU506" s="166"/>
      <c r="CV506" s="167">
        <f>CS506</f>
        <v>8.5999999999999993E-2</v>
      </c>
      <c r="CW506" s="166"/>
      <c r="CX506" s="166"/>
      <c r="CY506" s="167">
        <f>CV506</f>
        <v>8.5999999999999993E-2</v>
      </c>
      <c r="CZ506" s="166"/>
      <c r="DA506" s="166"/>
      <c r="DB506" s="167">
        <f>CY506</f>
        <v>8.5999999999999993E-2</v>
      </c>
      <c r="DC506" s="166"/>
      <c r="DD506" s="166"/>
      <c r="DE506" s="167">
        <f>DB506</f>
        <v>8.5999999999999993E-2</v>
      </c>
      <c r="DF506" s="166"/>
      <c r="DG506" s="166"/>
      <c r="DH506" s="1072">
        <f>DE506</f>
        <v>8.5999999999999993E-2</v>
      </c>
      <c r="DI506" s="166"/>
      <c r="DJ506" s="166"/>
      <c r="DK506" s="1072">
        <f>DH506</f>
        <v>8.5999999999999993E-2</v>
      </c>
      <c r="DL506" s="166"/>
      <c r="DM506" s="166"/>
      <c r="DN506" s="1072">
        <f>DK506</f>
        <v>8.5999999999999993E-2</v>
      </c>
      <c r="DO506" s="166"/>
      <c r="DP506" s="166"/>
      <c r="DQ506" s="1072">
        <f>DN506</f>
        <v>8.5999999999999993E-2</v>
      </c>
      <c r="DR506" s="166"/>
      <c r="DS506" s="166"/>
      <c r="DT506" s="1072">
        <f>DQ506</f>
        <v>8.5999999999999993E-2</v>
      </c>
      <c r="DU506" s="166"/>
      <c r="DV506" s="166"/>
      <c r="DW506" s="1072">
        <f>DT506</f>
        <v>8.5999999999999993E-2</v>
      </c>
      <c r="DX506" s="166"/>
      <c r="DY506" s="166"/>
      <c r="DZ506" s="1072">
        <f>DW506</f>
        <v>8.5999999999999993E-2</v>
      </c>
      <c r="EA506" s="166"/>
      <c r="EB506" s="166"/>
      <c r="EC506" s="1072">
        <f>DZ506</f>
        <v>8.5999999999999993E-2</v>
      </c>
      <c r="ED506" s="166"/>
      <c r="EE506" s="166"/>
      <c r="EF506" s="1072">
        <f>EC506</f>
        <v>8.5999999999999993E-2</v>
      </c>
      <c r="EG506" s="166"/>
      <c r="EH506" s="166"/>
      <c r="EI506" s="1072">
        <f>EF506</f>
        <v>8.5999999999999993E-2</v>
      </c>
      <c r="EJ506" s="166"/>
      <c r="EK506" s="166"/>
      <c r="EL506" s="1072">
        <f>EI506</f>
        <v>8.5999999999999993E-2</v>
      </c>
      <c r="EM506" s="166"/>
      <c r="EN506" s="166"/>
      <c r="EO506" s="1072">
        <f>EL506</f>
        <v>8.5999999999999993E-2</v>
      </c>
      <c r="EP506" s="166"/>
      <c r="EQ506" s="166"/>
      <c r="ER506" s="1072">
        <f>EO506</f>
        <v>8.5999999999999993E-2</v>
      </c>
      <c r="ES506" s="166"/>
      <c r="ET506" s="166"/>
      <c r="EU506" s="1072">
        <f>ER506</f>
        <v>8.5999999999999993E-2</v>
      </c>
      <c r="EV506" s="166"/>
      <c r="EW506" s="166"/>
      <c r="EX506" s="1072">
        <f>EU506</f>
        <v>8.5999999999999993E-2</v>
      </c>
      <c r="EY506" s="166"/>
      <c r="EZ506" s="166"/>
      <c r="FA506" s="1072">
        <f>EX506</f>
        <v>8.5999999999999993E-2</v>
      </c>
    </row>
    <row r="507" spans="1:173" s="321" customFormat="1">
      <c r="A507" s="1436" t="s">
        <v>95</v>
      </c>
      <c r="B507" s="937"/>
      <c r="C507" s="964"/>
      <c r="D507" s="965">
        <f>D2</f>
        <v>0</v>
      </c>
      <c r="E507" s="84"/>
      <c r="F507" s="84"/>
      <c r="G507" s="85"/>
      <c r="H507" s="84"/>
      <c r="I507" s="84"/>
      <c r="J507" s="85"/>
      <c r="K507" s="84"/>
      <c r="L507" s="84"/>
      <c r="M507" s="85"/>
      <c r="N507" s="84"/>
      <c r="O507" s="84"/>
      <c r="P507" s="85"/>
      <c r="Q507" s="84"/>
      <c r="R507" s="84"/>
      <c r="S507" s="85"/>
      <c r="T507" s="84"/>
      <c r="U507" s="84"/>
      <c r="V507" s="85"/>
      <c r="W507" s="84"/>
      <c r="X507" s="84"/>
      <c r="Y507" s="85"/>
      <c r="Z507" s="84"/>
      <c r="AA507" s="84"/>
      <c r="AB507" s="85"/>
      <c r="AC507" s="84"/>
      <c r="AD507" s="84"/>
      <c r="AE507" s="85"/>
      <c r="AF507" s="84"/>
      <c r="AG507" s="84"/>
      <c r="AH507" s="85"/>
      <c r="AI507" s="84"/>
      <c r="AJ507" s="84"/>
      <c r="AK507" s="85"/>
      <c r="AL507" s="84"/>
      <c r="AM507" s="84"/>
      <c r="AN507" s="85"/>
      <c r="AO507" s="84"/>
      <c r="AP507" s="84"/>
      <c r="AQ507" s="85"/>
      <c r="AR507" s="84"/>
      <c r="AS507" s="84"/>
      <c r="AT507" s="85"/>
      <c r="AU507" s="84"/>
      <c r="AV507" s="84"/>
      <c r="AW507" s="85"/>
      <c r="AX507" s="84"/>
      <c r="AY507" s="84"/>
      <c r="AZ507" s="85"/>
      <c r="BA507" s="204" t="str">
        <f t="shared" ref="BA507:CF507" si="2400">BA2</f>
        <v>1H01</v>
      </c>
      <c r="BB507" s="204" t="str">
        <f t="shared" si="2400"/>
        <v>2H01</v>
      </c>
      <c r="BC507" s="204" t="str">
        <f t="shared" si="2400"/>
        <v>FY01</v>
      </c>
      <c r="BD507" s="204" t="str">
        <f t="shared" si="2400"/>
        <v>1H02</v>
      </c>
      <c r="BE507" s="204" t="str">
        <f t="shared" si="2400"/>
        <v>2H02</v>
      </c>
      <c r="BF507" s="204" t="str">
        <f t="shared" si="2400"/>
        <v>FY02</v>
      </c>
      <c r="BG507" s="204" t="str">
        <f t="shared" si="2400"/>
        <v>1H03</v>
      </c>
      <c r="BH507" s="204" t="str">
        <f t="shared" si="2400"/>
        <v>2H03</v>
      </c>
      <c r="BI507" s="204" t="str">
        <f t="shared" si="2400"/>
        <v>FY03</v>
      </c>
      <c r="BJ507" s="126" t="str">
        <f t="shared" si="2400"/>
        <v>1H04</v>
      </c>
      <c r="BK507" s="126" t="str">
        <f t="shared" si="2400"/>
        <v>2H04</v>
      </c>
      <c r="BL507" s="126" t="str">
        <f t="shared" si="2400"/>
        <v>FY04</v>
      </c>
      <c r="BM507" s="126" t="str">
        <f t="shared" si="2400"/>
        <v>1H05</v>
      </c>
      <c r="BN507" s="126" t="str">
        <f t="shared" si="2400"/>
        <v>2H05</v>
      </c>
      <c r="BO507" s="126" t="str">
        <f t="shared" si="2400"/>
        <v>FY05</v>
      </c>
      <c r="BP507" s="126" t="str">
        <f t="shared" si="2400"/>
        <v>1H06</v>
      </c>
      <c r="BQ507" s="126" t="str">
        <f t="shared" si="2400"/>
        <v>2H06</v>
      </c>
      <c r="BR507" s="126" t="str">
        <f t="shared" si="2400"/>
        <v>FY06</v>
      </c>
      <c r="BS507" s="204" t="str">
        <f t="shared" si="2400"/>
        <v>1H07</v>
      </c>
      <c r="BT507" s="204" t="str">
        <f t="shared" si="2400"/>
        <v>2H07</v>
      </c>
      <c r="BU507" s="204" t="str">
        <f t="shared" si="2400"/>
        <v>FY07</v>
      </c>
      <c r="BV507" s="204" t="str">
        <f t="shared" si="2400"/>
        <v>1H08</v>
      </c>
      <c r="BW507" s="204" t="str">
        <f t="shared" si="2400"/>
        <v>2H08</v>
      </c>
      <c r="BX507" s="204" t="str">
        <f t="shared" si="2400"/>
        <v>FY08</v>
      </c>
      <c r="BY507" s="204" t="str">
        <f t="shared" si="2400"/>
        <v>1H09</v>
      </c>
      <c r="BZ507" s="204" t="str">
        <f t="shared" si="2400"/>
        <v>2H09</v>
      </c>
      <c r="CA507" s="204" t="str">
        <f t="shared" si="2400"/>
        <v>FY09</v>
      </c>
      <c r="CB507" s="204" t="str">
        <f t="shared" si="2400"/>
        <v>1H10</v>
      </c>
      <c r="CC507" s="204" t="str">
        <f t="shared" si="2400"/>
        <v>2H10</v>
      </c>
      <c r="CD507" s="204" t="str">
        <f t="shared" si="2400"/>
        <v>FY10</v>
      </c>
      <c r="CE507" s="204" t="str">
        <f t="shared" si="2400"/>
        <v>1H11</v>
      </c>
      <c r="CF507" s="204" t="str">
        <f t="shared" si="2400"/>
        <v>2H11</v>
      </c>
      <c r="CG507" s="204" t="str">
        <f t="shared" ref="CG507:DL507" si="2401">CG2</f>
        <v>FY11</v>
      </c>
      <c r="CH507" s="204" t="str">
        <f t="shared" si="2401"/>
        <v>1H12</v>
      </c>
      <c r="CI507" s="204" t="str">
        <f t="shared" si="2401"/>
        <v>2H12</v>
      </c>
      <c r="CJ507" s="204" t="str">
        <f t="shared" si="2401"/>
        <v>FY12</v>
      </c>
      <c r="CK507" s="204" t="str">
        <f t="shared" si="2401"/>
        <v>1H13</v>
      </c>
      <c r="CL507" s="204" t="str">
        <f t="shared" si="2401"/>
        <v>2H13</v>
      </c>
      <c r="CM507" s="204" t="str">
        <f t="shared" si="2401"/>
        <v>FY13</v>
      </c>
      <c r="CN507" s="204" t="str">
        <f t="shared" si="2401"/>
        <v>1H14</v>
      </c>
      <c r="CO507" s="204" t="str">
        <f t="shared" si="2401"/>
        <v>2H14</v>
      </c>
      <c r="CP507" s="204" t="str">
        <f t="shared" si="2401"/>
        <v>FY14</v>
      </c>
      <c r="CQ507" s="204" t="str">
        <f t="shared" si="2401"/>
        <v>1H15</v>
      </c>
      <c r="CR507" s="204" t="str">
        <f t="shared" si="2401"/>
        <v>2H15</v>
      </c>
      <c r="CS507" s="204" t="str">
        <f t="shared" si="2401"/>
        <v>FY15</v>
      </c>
      <c r="CT507" s="204" t="str">
        <f t="shared" si="2401"/>
        <v>1H16</v>
      </c>
      <c r="CU507" s="204" t="str">
        <f t="shared" si="2401"/>
        <v>2H16</v>
      </c>
      <c r="CV507" s="204" t="str">
        <f t="shared" si="2401"/>
        <v>FY16</v>
      </c>
      <c r="CW507" s="204" t="str">
        <f t="shared" si="2401"/>
        <v>1H17</v>
      </c>
      <c r="CX507" s="204" t="str">
        <f t="shared" si="2401"/>
        <v>2H17</v>
      </c>
      <c r="CY507" s="204" t="str">
        <f t="shared" si="2401"/>
        <v>FY17</v>
      </c>
      <c r="CZ507" s="204" t="str">
        <f t="shared" si="2401"/>
        <v>1H18</v>
      </c>
      <c r="DA507" s="204" t="str">
        <f t="shared" si="2401"/>
        <v>2H18</v>
      </c>
      <c r="DB507" s="204" t="str">
        <f t="shared" si="2401"/>
        <v>FY18</v>
      </c>
      <c r="DC507" s="204" t="str">
        <f t="shared" si="2401"/>
        <v>1H19</v>
      </c>
      <c r="DD507" s="204" t="str">
        <f t="shared" si="2401"/>
        <v>2H19</v>
      </c>
      <c r="DE507" s="204" t="str">
        <f t="shared" si="2401"/>
        <v>FY19</v>
      </c>
      <c r="DF507" s="204" t="str">
        <f t="shared" si="2401"/>
        <v>1H20</v>
      </c>
      <c r="DG507" s="204" t="str">
        <f t="shared" si="2401"/>
        <v>2H20</v>
      </c>
      <c r="DH507" s="1095" t="str">
        <f t="shared" si="2401"/>
        <v>FY20</v>
      </c>
      <c r="DI507" s="204" t="str">
        <f t="shared" si="2401"/>
        <v>1H21</v>
      </c>
      <c r="DJ507" s="204" t="str">
        <f t="shared" si="2401"/>
        <v>2H21</v>
      </c>
      <c r="DK507" s="1095" t="str">
        <f t="shared" si="2401"/>
        <v>FY21</v>
      </c>
      <c r="DL507" s="204" t="str">
        <f t="shared" si="2401"/>
        <v>1H22</v>
      </c>
      <c r="DM507" s="204" t="str">
        <f t="shared" ref="DM507:ER507" si="2402">DM2</f>
        <v>2H22</v>
      </c>
      <c r="DN507" s="1095" t="str">
        <f t="shared" si="2402"/>
        <v>FY22</v>
      </c>
      <c r="DO507" s="204" t="str">
        <f t="shared" si="2402"/>
        <v>1H23</v>
      </c>
      <c r="DP507" s="204" t="str">
        <f t="shared" si="2402"/>
        <v>2H23</v>
      </c>
      <c r="DQ507" s="1095" t="str">
        <f t="shared" si="2402"/>
        <v>FY23</v>
      </c>
      <c r="DR507" s="204" t="str">
        <f t="shared" si="2402"/>
        <v>1H24</v>
      </c>
      <c r="DS507" s="204" t="str">
        <f t="shared" si="2402"/>
        <v>2H24</v>
      </c>
      <c r="DT507" s="1095" t="str">
        <f t="shared" si="2402"/>
        <v>FY24</v>
      </c>
      <c r="DU507" s="204" t="str">
        <f t="shared" si="2402"/>
        <v>1H25</v>
      </c>
      <c r="DV507" s="204" t="str">
        <f t="shared" si="2402"/>
        <v>2H25</v>
      </c>
      <c r="DW507" s="1095" t="str">
        <f t="shared" si="2402"/>
        <v>FY25</v>
      </c>
      <c r="DX507" s="204" t="str">
        <f t="shared" si="2402"/>
        <v>1H26</v>
      </c>
      <c r="DY507" s="204" t="str">
        <f t="shared" si="2402"/>
        <v>2H26E</v>
      </c>
      <c r="DZ507" s="1095" t="str">
        <f t="shared" si="2402"/>
        <v>FY26E</v>
      </c>
      <c r="EA507" s="204" t="str">
        <f t="shared" si="2402"/>
        <v>1H27E</v>
      </c>
      <c r="EB507" s="204" t="str">
        <f t="shared" si="2402"/>
        <v>2H27E</v>
      </c>
      <c r="EC507" s="1095" t="str">
        <f t="shared" si="2402"/>
        <v>FY27E</v>
      </c>
      <c r="ED507" s="204" t="str">
        <f t="shared" si="2402"/>
        <v>1H28E</v>
      </c>
      <c r="EE507" s="204" t="str">
        <f t="shared" si="2402"/>
        <v>2H28E</v>
      </c>
      <c r="EF507" s="1095" t="str">
        <f t="shared" si="2402"/>
        <v>FY28E</v>
      </c>
      <c r="EG507" s="204" t="str">
        <f t="shared" si="2402"/>
        <v>1H29E</v>
      </c>
      <c r="EH507" s="204" t="str">
        <f t="shared" si="2402"/>
        <v>2H29E</v>
      </c>
      <c r="EI507" s="1095" t="str">
        <f t="shared" si="2402"/>
        <v>FY29E</v>
      </c>
      <c r="EJ507" s="204" t="str">
        <f t="shared" si="2402"/>
        <v>1H30E</v>
      </c>
      <c r="EK507" s="204" t="str">
        <f t="shared" si="2402"/>
        <v>2H30E</v>
      </c>
      <c r="EL507" s="1095" t="str">
        <f t="shared" si="2402"/>
        <v>FY30E</v>
      </c>
      <c r="EM507" s="204" t="str">
        <f t="shared" si="2402"/>
        <v>1H31E</v>
      </c>
      <c r="EN507" s="204" t="str">
        <f t="shared" si="2402"/>
        <v>2H31E</v>
      </c>
      <c r="EO507" s="1095" t="str">
        <f t="shared" si="2402"/>
        <v>FY31E</v>
      </c>
      <c r="EP507" s="204" t="str">
        <f t="shared" si="2402"/>
        <v>1H32E</v>
      </c>
      <c r="EQ507" s="204" t="str">
        <f t="shared" si="2402"/>
        <v>2H32E</v>
      </c>
      <c r="ER507" s="1095" t="str">
        <f t="shared" si="2402"/>
        <v>FY32E</v>
      </c>
      <c r="ES507" s="204" t="str">
        <f t="shared" ref="ES507:EX507" si="2403">ES2</f>
        <v>1H33E</v>
      </c>
      <c r="ET507" s="204" t="str">
        <f t="shared" si="2403"/>
        <v>2H33E</v>
      </c>
      <c r="EU507" s="1095" t="str">
        <f t="shared" si="2403"/>
        <v>FY33E</v>
      </c>
      <c r="EV507" s="204" t="str">
        <f t="shared" si="2403"/>
        <v>1H34E</v>
      </c>
      <c r="EW507" s="204" t="str">
        <f t="shared" si="2403"/>
        <v>2H34E</v>
      </c>
      <c r="EX507" s="1095" t="str">
        <f t="shared" si="2403"/>
        <v>FY34E</v>
      </c>
      <c r="EY507" s="204" t="str">
        <f t="shared" ref="EY507:FA507" si="2404">EY2</f>
        <v>1H35E</v>
      </c>
      <c r="EZ507" s="204" t="str">
        <f t="shared" si="2404"/>
        <v>2H35E</v>
      </c>
      <c r="FA507" s="1095" t="str">
        <f t="shared" si="2404"/>
        <v>FY35E</v>
      </c>
      <c r="FH507" s="35"/>
      <c r="FI507" s="35"/>
      <c r="FJ507" s="35"/>
      <c r="FK507" s="35"/>
      <c r="FL507" s="35"/>
      <c r="FM507" s="35"/>
      <c r="FN507" s="35"/>
      <c r="FO507" s="35"/>
      <c r="FP507" s="35"/>
      <c r="FQ507" s="35"/>
    </row>
    <row r="508" spans="1:173" s="321" customFormat="1">
      <c r="A508" s="1168"/>
      <c r="B508" s="331"/>
      <c r="C508" s="331"/>
      <c r="D508" s="966" t="s">
        <v>43</v>
      </c>
      <c r="E508" s="3"/>
      <c r="F508" s="3"/>
      <c r="G508" s="2"/>
      <c r="H508" s="3"/>
      <c r="I508" s="3"/>
      <c r="J508" s="2"/>
      <c r="K508" s="3"/>
      <c r="L508" s="3"/>
      <c r="M508" s="2"/>
      <c r="N508" s="3"/>
      <c r="O508" s="3"/>
      <c r="P508" s="2"/>
      <c r="Q508" s="3"/>
      <c r="R508" s="3"/>
      <c r="S508" s="2"/>
      <c r="T508" s="3"/>
      <c r="U508" s="3"/>
      <c r="V508" s="2"/>
      <c r="W508" s="3"/>
      <c r="X508" s="3"/>
      <c r="Y508" s="2"/>
      <c r="Z508" s="3"/>
      <c r="AA508" s="3"/>
      <c r="AB508" s="2"/>
      <c r="AC508" s="3"/>
      <c r="AD508" s="3"/>
      <c r="AE508" s="2"/>
      <c r="AF508" s="3"/>
      <c r="AG508" s="3"/>
      <c r="AH508" s="2"/>
      <c r="AI508" s="3"/>
      <c r="AJ508" s="3"/>
      <c r="AK508" s="2"/>
      <c r="AL508" s="3"/>
      <c r="AM508" s="3"/>
      <c r="AN508" s="2"/>
      <c r="AO508" s="3"/>
      <c r="AP508" s="3"/>
      <c r="AQ508" s="2"/>
      <c r="AR508" s="3"/>
      <c r="AS508" s="3"/>
      <c r="AT508" s="2"/>
      <c r="AU508" s="3"/>
      <c r="AV508" s="3"/>
      <c r="AW508" s="2"/>
      <c r="AX508" s="3"/>
      <c r="AY508" s="3"/>
      <c r="AZ508" s="2"/>
      <c r="BA508" s="3"/>
      <c r="BB508" s="3"/>
      <c r="BC508" s="47"/>
      <c r="BD508" s="3"/>
      <c r="BE508" s="3"/>
      <c r="BF508" s="47"/>
      <c r="BG508" s="3"/>
      <c r="BH508" s="3"/>
      <c r="BI508" s="47"/>
      <c r="BJ508" s="118"/>
      <c r="BK508" s="118"/>
      <c r="BL508" s="109"/>
      <c r="BM508" s="108"/>
      <c r="BN508" s="108"/>
      <c r="BO508" s="109"/>
      <c r="BP508" s="108"/>
      <c r="BQ508" s="108"/>
      <c r="BR508" s="109"/>
      <c r="BS508" s="1"/>
      <c r="BT508" s="1"/>
      <c r="BU508" s="5"/>
      <c r="BV508" s="1"/>
      <c r="BW508" s="1"/>
      <c r="BX508" s="921"/>
      <c r="BY508" s="3" t="s">
        <v>850</v>
      </c>
      <c r="BZ508" s="3"/>
      <c r="CA508" s="190"/>
      <c r="CB508" s="3" t="s">
        <v>850</v>
      </c>
      <c r="CC508" s="3"/>
      <c r="CD508" s="190"/>
      <c r="CE508" s="3" t="s">
        <v>852</v>
      </c>
      <c r="CF508" s="3"/>
      <c r="CG508" s="190"/>
      <c r="CH508" s="3" t="s">
        <v>851</v>
      </c>
      <c r="CI508" s="3"/>
      <c r="CJ508" s="190"/>
      <c r="CK508" s="33"/>
      <c r="CL508" s="3"/>
      <c r="CM508" s="190"/>
      <c r="CN508" s="3"/>
      <c r="CO508" s="3"/>
      <c r="CP508" s="190"/>
      <c r="CQ508" s="3"/>
      <c r="CR508" s="3"/>
      <c r="CS508" s="190"/>
      <c r="CT508" s="3"/>
      <c r="CU508" s="3"/>
      <c r="CV508" s="190"/>
      <c r="CW508" s="3"/>
      <c r="CX508" s="3"/>
      <c r="CY508" s="2"/>
      <c r="CZ508" s="3"/>
      <c r="DA508" s="3"/>
      <c r="DB508" s="2"/>
      <c r="DC508" s="3"/>
      <c r="DD508" s="3"/>
      <c r="DE508" s="2"/>
      <c r="DF508" s="3"/>
      <c r="DG508" s="3"/>
      <c r="DH508" s="1096"/>
      <c r="DI508" s="3"/>
      <c r="DJ508" s="3"/>
      <c r="DK508" s="1096"/>
      <c r="DL508" s="3"/>
      <c r="DM508" s="3"/>
      <c r="DN508" s="1096"/>
      <c r="DO508" s="3"/>
      <c r="DP508" s="3"/>
      <c r="DQ508" s="1121"/>
      <c r="DR508" s="3"/>
      <c r="DS508" s="3"/>
      <c r="DT508" s="1121"/>
      <c r="DU508" s="3"/>
      <c r="DV508" s="3"/>
      <c r="DW508" s="1121"/>
      <c r="DX508" s="3"/>
      <c r="DY508" s="102"/>
      <c r="DZ508" s="1096"/>
      <c r="EA508" s="3"/>
      <c r="EB508" s="102"/>
      <c r="EC508" s="1096"/>
      <c r="ED508" s="3"/>
      <c r="EE508" s="3"/>
      <c r="EF508" s="2"/>
      <c r="EG508" s="3"/>
      <c r="EH508" s="3"/>
      <c r="EI508" s="2"/>
      <c r="EJ508" s="3"/>
      <c r="EK508" s="3"/>
      <c r="EL508" s="2"/>
      <c r="EM508" s="3"/>
      <c r="EN508" s="3"/>
      <c r="EO508" s="2"/>
      <c r="EP508" s="3"/>
      <c r="EQ508" s="3"/>
      <c r="ER508" s="2"/>
      <c r="ES508" s="3"/>
      <c r="ET508" s="3"/>
      <c r="EU508" s="2"/>
      <c r="EV508" s="3"/>
      <c r="EW508" s="3"/>
      <c r="EX508" s="2"/>
      <c r="EY508" s="3"/>
      <c r="EZ508" s="3"/>
      <c r="FA508" s="2"/>
      <c r="FH508" s="35"/>
      <c r="FI508" s="35"/>
      <c r="FJ508" s="35"/>
      <c r="FK508" s="35"/>
      <c r="FL508" s="35"/>
      <c r="FM508" s="35"/>
      <c r="FN508" s="35"/>
      <c r="FO508" s="35"/>
      <c r="FP508" s="35"/>
      <c r="FQ508" s="35"/>
    </row>
    <row r="509" spans="1:173" s="321" customFormat="1">
      <c r="A509" s="1168"/>
      <c r="B509" s="331"/>
      <c r="C509" s="331" t="s">
        <v>425</v>
      </c>
      <c r="D509" s="910" t="s">
        <v>441</v>
      </c>
      <c r="E509" s="3"/>
      <c r="F509" s="3"/>
      <c r="G509" s="2"/>
      <c r="H509" s="3"/>
      <c r="I509" s="3"/>
      <c r="J509" s="2"/>
      <c r="K509" s="3"/>
      <c r="L509" s="3"/>
      <c r="M509" s="2"/>
      <c r="N509" s="3"/>
      <c r="O509" s="3"/>
      <c r="P509" s="2"/>
      <c r="Q509" s="3"/>
      <c r="R509" s="3"/>
      <c r="S509" s="2"/>
      <c r="T509" s="3"/>
      <c r="U509" s="3"/>
      <c r="V509" s="2"/>
      <c r="W509" s="3"/>
      <c r="X509" s="3"/>
      <c r="Y509" s="2"/>
      <c r="Z509" s="3"/>
      <c r="AA509" s="3"/>
      <c r="AB509" s="2"/>
      <c r="AC509" s="3"/>
      <c r="AD509" s="3"/>
      <c r="AE509" s="2"/>
      <c r="AF509" s="3"/>
      <c r="AG509" s="3"/>
      <c r="AH509" s="2"/>
      <c r="AI509" s="3"/>
      <c r="AJ509" s="3"/>
      <c r="AK509" s="2"/>
      <c r="AL509" s="3"/>
      <c r="AM509" s="3"/>
      <c r="AN509" s="2"/>
      <c r="AO509" s="3"/>
      <c r="AP509" s="3"/>
      <c r="AQ509" s="2"/>
      <c r="AR509" s="3"/>
      <c r="AS509" s="3"/>
      <c r="AT509" s="2"/>
      <c r="AU509" s="3"/>
      <c r="AV509" s="3"/>
      <c r="AW509" s="2"/>
      <c r="AX509" s="3"/>
      <c r="AY509" s="3"/>
      <c r="AZ509" s="2"/>
      <c r="BA509" s="3"/>
      <c r="BB509" s="3"/>
      <c r="BC509" s="47"/>
      <c r="BD509" s="3"/>
      <c r="BE509" s="3"/>
      <c r="BF509" s="47"/>
      <c r="BG509" s="3"/>
      <c r="BH509" s="3" t="str">
        <f>C509</f>
        <v>USD</v>
      </c>
      <c r="BI509" s="60" t="str">
        <f>D509</f>
        <v>A$ amount</v>
      </c>
      <c r="BJ509" s="127"/>
      <c r="BK509" s="127"/>
      <c r="BL509" s="128">
        <v>73.299000000000007</v>
      </c>
      <c r="BM509" s="127"/>
      <c r="BN509" s="127"/>
      <c r="BO509" s="128">
        <v>62.682000000000002</v>
      </c>
      <c r="BP509" s="127"/>
      <c r="BQ509" s="127"/>
      <c r="BR509" s="128">
        <v>75</v>
      </c>
      <c r="BS509" s="16"/>
      <c r="BT509" s="16"/>
      <c r="BU509" s="205">
        <v>95.936999999999998</v>
      </c>
      <c r="BV509" s="16"/>
      <c r="BW509" s="16"/>
      <c r="BX509" s="206">
        <v>135.04300000000001</v>
      </c>
      <c r="BY509" s="16"/>
      <c r="BZ509" s="16"/>
      <c r="CA509" s="206">
        <v>141.59899999999999</v>
      </c>
      <c r="CB509" s="44">
        <v>99.6</v>
      </c>
      <c r="CC509" s="43">
        <v>140</v>
      </c>
      <c r="CD509" s="190">
        <v>217.94</v>
      </c>
      <c r="CE509" s="16"/>
      <c r="CF509" s="16"/>
      <c r="CG509" s="206">
        <v>155.102</v>
      </c>
      <c r="CH509" s="16"/>
      <c r="CI509" s="16"/>
      <c r="CJ509" s="206">
        <v>32.713529169678232</v>
      </c>
      <c r="CK509" s="16"/>
      <c r="CL509" s="16"/>
      <c r="CM509" s="206"/>
      <c r="CN509" s="16"/>
      <c r="CO509" s="16"/>
      <c r="CP509" s="206"/>
      <c r="CQ509" s="3"/>
      <c r="CR509" s="3"/>
      <c r="CS509" s="202"/>
      <c r="CT509" s="202"/>
      <c r="CU509" s="202"/>
      <c r="CV509" s="190"/>
      <c r="CW509" s="3"/>
      <c r="CX509" s="3"/>
      <c r="CY509" s="2"/>
      <c r="CZ509" s="3"/>
      <c r="DA509" s="3"/>
      <c r="DB509" s="2"/>
      <c r="DC509" s="3"/>
      <c r="DD509" s="3"/>
      <c r="DE509" s="301"/>
      <c r="DF509" s="294">
        <v>10202.999589731449</v>
      </c>
      <c r="DG509" s="294">
        <v>9073.6400319231707</v>
      </c>
      <c r="DH509" s="1097">
        <v>19276.63962165462</v>
      </c>
      <c r="DI509" s="294">
        <v>11223.299548704596</v>
      </c>
      <c r="DJ509" s="294">
        <v>9981.0040351154894</v>
      </c>
      <c r="DK509" s="1097">
        <v>21204.303583820085</v>
      </c>
      <c r="DL509" s="294">
        <v>12121.163512600964</v>
      </c>
      <c r="DM509" s="294">
        <v>10779.48435792473</v>
      </c>
      <c r="DN509" s="1097">
        <v>22900.647870525696</v>
      </c>
      <c r="DO509" s="3"/>
      <c r="DP509" s="3"/>
      <c r="DQ509" s="1096"/>
      <c r="DR509" s="3"/>
      <c r="DS509" s="3"/>
      <c r="DT509" s="1096"/>
      <c r="DU509" s="3"/>
      <c r="DV509" s="3"/>
      <c r="DW509" s="1096"/>
      <c r="DX509" s="3"/>
      <c r="DY509" s="102"/>
      <c r="DZ509" s="1096"/>
      <c r="EA509" s="3"/>
      <c r="EB509" s="102"/>
      <c r="EC509" s="1096"/>
      <c r="ED509" s="3"/>
      <c r="EE509" s="3"/>
      <c r="EF509" s="2"/>
      <c r="EG509" s="3"/>
      <c r="EH509" s="3"/>
      <c r="EI509" s="2"/>
      <c r="EJ509" s="3"/>
      <c r="EK509" s="3"/>
      <c r="EL509" s="2"/>
      <c r="EM509" s="3"/>
      <c r="EN509" s="3"/>
      <c r="EO509" s="2"/>
      <c r="EP509" s="3"/>
      <c r="EQ509" s="3"/>
      <c r="ER509" s="2"/>
      <c r="ES509" s="3"/>
      <c r="ET509" s="3"/>
      <c r="EU509" s="2"/>
      <c r="EV509" s="3"/>
      <c r="EW509" s="3"/>
      <c r="EX509" s="2"/>
      <c r="EY509" s="3"/>
      <c r="EZ509" s="3"/>
      <c r="FA509" s="2"/>
      <c r="FH509" s="35"/>
      <c r="FI509" s="35"/>
      <c r="FJ509" s="35"/>
      <c r="FK509" s="35"/>
      <c r="FL509" s="35"/>
      <c r="FM509" s="35"/>
      <c r="FN509" s="35"/>
      <c r="FO509" s="35"/>
      <c r="FP509" s="35"/>
      <c r="FQ509" s="35"/>
    </row>
    <row r="510" spans="1:173" s="321" customFormat="1">
      <c r="A510" s="1168"/>
      <c r="B510" s="331"/>
      <c r="C510" s="331"/>
      <c r="D510" s="82" t="s">
        <v>165</v>
      </c>
      <c r="E510" s="3"/>
      <c r="F510" s="3"/>
      <c r="G510" s="2"/>
      <c r="H510" s="3"/>
      <c r="I510" s="3"/>
      <c r="J510" s="2"/>
      <c r="K510" s="3"/>
      <c r="L510" s="3"/>
      <c r="M510" s="2"/>
      <c r="N510" s="3"/>
      <c r="O510" s="3"/>
      <c r="P510" s="2"/>
      <c r="Q510" s="3"/>
      <c r="R510" s="3"/>
      <c r="S510" s="2"/>
      <c r="T510" s="3"/>
      <c r="U510" s="3"/>
      <c r="V510" s="2"/>
      <c r="W510" s="3"/>
      <c r="X510" s="3"/>
      <c r="Y510" s="2"/>
      <c r="Z510" s="3"/>
      <c r="AA510" s="3"/>
      <c r="AB510" s="2"/>
      <c r="AC510" s="3"/>
      <c r="AD510" s="3"/>
      <c r="AE510" s="2"/>
      <c r="AF510" s="3"/>
      <c r="AG510" s="3"/>
      <c r="AH510" s="2"/>
      <c r="AI510" s="3"/>
      <c r="AJ510" s="3"/>
      <c r="AK510" s="2"/>
      <c r="AL510" s="3"/>
      <c r="AM510" s="3"/>
      <c r="AN510" s="2"/>
      <c r="AO510" s="3"/>
      <c r="AP510" s="3"/>
      <c r="AQ510" s="2"/>
      <c r="AR510" s="3"/>
      <c r="AS510" s="3"/>
      <c r="AT510" s="2"/>
      <c r="AU510" s="3"/>
      <c r="AV510" s="3"/>
      <c r="AW510" s="2"/>
      <c r="AX510" s="3"/>
      <c r="AY510" s="3"/>
      <c r="AZ510" s="2"/>
      <c r="BA510" s="3"/>
      <c r="BB510" s="3"/>
      <c r="BC510" s="47"/>
      <c r="BD510" s="3"/>
      <c r="BE510" s="3"/>
      <c r="BF510" s="47"/>
      <c r="BG510" s="3"/>
      <c r="BH510" s="3"/>
      <c r="BI510" s="60" t="str">
        <f>D510</f>
        <v>Average rate</v>
      </c>
      <c r="BJ510" s="127">
        <v>0.69</v>
      </c>
      <c r="BK510" s="127">
        <f>BK75</f>
        <v>0.69</v>
      </c>
      <c r="BL510" s="128"/>
      <c r="BM510" s="127">
        <f>BM75</f>
        <v>0.73250000000000004</v>
      </c>
      <c r="BN510" s="127">
        <f>BN75</f>
        <v>0.77</v>
      </c>
      <c r="BO510" s="128"/>
      <c r="BP510" s="127">
        <v>0.755</v>
      </c>
      <c r="BQ510" s="127">
        <f>BQ75</f>
        <v>0.75</v>
      </c>
      <c r="BR510" s="128"/>
      <c r="BS510" s="43">
        <f>0.748291</f>
        <v>0.74829100000000004</v>
      </c>
      <c r="BT510" s="16">
        <v>0.80769000000000002</v>
      </c>
      <c r="BU510" s="206"/>
      <c r="BV510" s="43">
        <v>0.88270000000000004</v>
      </c>
      <c r="BW510" s="43">
        <v>0.85485</v>
      </c>
      <c r="BX510" s="206"/>
      <c r="BY510" s="16">
        <f>BY75</f>
        <v>0.8</v>
      </c>
      <c r="BZ510" s="16">
        <v>0.68</v>
      </c>
      <c r="CA510" s="206"/>
      <c r="CB510" s="16">
        <v>0.88</v>
      </c>
      <c r="CC510" s="16">
        <f>CC75</f>
        <v>0.8925398496240603</v>
      </c>
      <c r="CD510" s="206"/>
      <c r="CE510" s="16">
        <f>CE75</f>
        <v>0.94315887096774165</v>
      </c>
      <c r="CF510" s="16">
        <f>CF75</f>
        <v>1.0427209790209795</v>
      </c>
      <c r="CG510" s="206"/>
      <c r="CH510" s="16">
        <v>1.03</v>
      </c>
      <c r="CI510" s="16">
        <f>CI538</f>
        <v>1.04</v>
      </c>
      <c r="CJ510" s="206"/>
      <c r="CK510" s="16"/>
      <c r="CL510" s="16"/>
      <c r="CM510" s="206"/>
      <c r="CN510" s="16"/>
      <c r="CO510" s="16"/>
      <c r="CP510" s="206"/>
      <c r="CQ510" s="3"/>
      <c r="CR510" s="3"/>
      <c r="CS510" s="190"/>
      <c r="CT510" s="3"/>
      <c r="CU510" s="3"/>
      <c r="CV510" s="190"/>
      <c r="CW510" s="3"/>
      <c r="CX510" s="3"/>
      <c r="CY510" s="2"/>
      <c r="CZ510" s="3"/>
      <c r="DA510" s="3"/>
      <c r="DB510" s="2"/>
      <c r="DC510" s="3"/>
      <c r="DD510" s="3"/>
      <c r="DE510" s="2"/>
      <c r="DF510" s="296">
        <v>0.14400670343066779</v>
      </c>
      <c r="DG510" s="296">
        <v>0.14400670343066779</v>
      </c>
      <c r="DH510" s="1098">
        <v>0.14400670343066779</v>
      </c>
      <c r="DI510" s="297">
        <v>0.1</v>
      </c>
      <c r="DJ510" s="297">
        <v>0.1</v>
      </c>
      <c r="DK510" s="1098">
        <v>0.10000000000000009</v>
      </c>
      <c r="DL510" s="296">
        <v>0.08</v>
      </c>
      <c r="DM510" s="297">
        <v>0.08</v>
      </c>
      <c r="DN510" s="1098">
        <v>8.0000000000000293E-2</v>
      </c>
      <c r="DO510" s="3"/>
      <c r="DP510" s="3"/>
      <c r="DQ510" s="1096"/>
      <c r="DR510" s="3"/>
      <c r="DS510" s="3"/>
      <c r="DT510" s="1096"/>
      <c r="DU510" s="3"/>
      <c r="DV510" s="3"/>
      <c r="DW510" s="1096"/>
      <c r="DX510" s="3"/>
      <c r="DY510" s="102"/>
      <c r="DZ510" s="1096"/>
      <c r="EA510" s="3"/>
      <c r="EB510" s="102"/>
      <c r="EC510" s="1096"/>
      <c r="ED510" s="3"/>
      <c r="EE510" s="3"/>
      <c r="EF510" s="2"/>
      <c r="EG510" s="3"/>
      <c r="EH510" s="3"/>
      <c r="EI510" s="2"/>
      <c r="EJ510" s="3"/>
      <c r="EK510" s="3"/>
      <c r="EL510" s="2"/>
      <c r="EM510" s="3"/>
      <c r="EN510" s="3"/>
      <c r="EO510" s="2"/>
      <c r="EP510" s="3"/>
      <c r="EQ510" s="3"/>
      <c r="ER510" s="2"/>
      <c r="ES510" s="3"/>
      <c r="ET510" s="3"/>
      <c r="EU510" s="2"/>
      <c r="EV510" s="3"/>
      <c r="EW510" s="3"/>
      <c r="EX510" s="2"/>
      <c r="EY510" s="3"/>
      <c r="EZ510" s="3"/>
      <c r="FA510" s="2"/>
      <c r="FH510" s="35"/>
      <c r="FI510" s="35"/>
      <c r="FJ510" s="35"/>
      <c r="FK510" s="35"/>
      <c r="FL510" s="35"/>
      <c r="FM510" s="35"/>
      <c r="FN510" s="35"/>
      <c r="FO510" s="35"/>
      <c r="FP510" s="35"/>
      <c r="FQ510" s="35"/>
    </row>
    <row r="511" spans="1:173" s="321" customFormat="1">
      <c r="A511" s="1168"/>
      <c r="B511" s="331"/>
      <c r="C511" s="331"/>
      <c r="D511" s="910" t="s">
        <v>442</v>
      </c>
      <c r="E511" s="3"/>
      <c r="F511" s="3"/>
      <c r="G511" s="2"/>
      <c r="H511" s="3"/>
      <c r="I511" s="3"/>
      <c r="J511" s="2"/>
      <c r="K511" s="3"/>
      <c r="L511" s="3"/>
      <c r="M511" s="2"/>
      <c r="N511" s="3"/>
      <c r="O511" s="3"/>
      <c r="P511" s="2"/>
      <c r="Q511" s="3"/>
      <c r="R511" s="3"/>
      <c r="S511" s="2"/>
      <c r="T511" s="3"/>
      <c r="U511" s="3"/>
      <c r="V511" s="2"/>
      <c r="W511" s="3"/>
      <c r="X511" s="3"/>
      <c r="Y511" s="2"/>
      <c r="Z511" s="3"/>
      <c r="AA511" s="3"/>
      <c r="AB511" s="2"/>
      <c r="AC511" s="3"/>
      <c r="AD511" s="3"/>
      <c r="AE511" s="2"/>
      <c r="AF511" s="3"/>
      <c r="AG511" s="3"/>
      <c r="AH511" s="2"/>
      <c r="AI511" s="3"/>
      <c r="AJ511" s="3"/>
      <c r="AK511" s="2"/>
      <c r="AL511" s="3"/>
      <c r="AM511" s="3"/>
      <c r="AN511" s="2"/>
      <c r="AO511" s="3"/>
      <c r="AP511" s="3"/>
      <c r="AQ511" s="2"/>
      <c r="AR511" s="3"/>
      <c r="AS511" s="3"/>
      <c r="AT511" s="2"/>
      <c r="AU511" s="3"/>
      <c r="AV511" s="3"/>
      <c r="AW511" s="2"/>
      <c r="AX511" s="3"/>
      <c r="AY511" s="3"/>
      <c r="AZ511" s="2"/>
      <c r="BA511" s="3"/>
      <c r="BB511" s="3"/>
      <c r="BC511" s="47"/>
      <c r="BD511" s="3"/>
      <c r="BE511" s="3"/>
      <c r="BF511" s="47"/>
      <c r="BG511" s="3"/>
      <c r="BH511" s="3"/>
      <c r="BI511" s="60" t="str">
        <f>D511</f>
        <v>Conversion rate</v>
      </c>
      <c r="BJ511" s="127"/>
      <c r="BK511" s="127"/>
      <c r="BL511" s="128">
        <v>0.54</v>
      </c>
      <c r="BM511" s="127"/>
      <c r="BN511" s="127"/>
      <c r="BO511" s="128">
        <v>0.62</v>
      </c>
      <c r="BP511" s="127"/>
      <c r="BQ511" s="127"/>
      <c r="BR511" s="128">
        <v>0.68</v>
      </c>
      <c r="BS511" s="16"/>
      <c r="BT511" s="16"/>
      <c r="BU511" s="205">
        <v>0.72</v>
      </c>
      <c r="BV511" s="16"/>
      <c r="BW511" s="16"/>
      <c r="BX511" s="206">
        <v>0.78</v>
      </c>
      <c r="BY511" s="16"/>
      <c r="BZ511" s="16"/>
      <c r="CA511" s="206">
        <v>0.76514499999999996</v>
      </c>
      <c r="CB511" s="16"/>
      <c r="CC511" s="16"/>
      <c r="CD511" s="206">
        <v>0.83</v>
      </c>
      <c r="CE511" s="16"/>
      <c r="CF511" s="16"/>
      <c r="CG511" s="206">
        <v>0.81224348838312654</v>
      </c>
      <c r="CH511" s="16"/>
      <c r="CI511" s="16"/>
      <c r="CJ511" s="206">
        <v>0.85</v>
      </c>
      <c r="CK511" s="16"/>
      <c r="CL511" s="16"/>
      <c r="CM511" s="206"/>
      <c r="CN511" s="16"/>
      <c r="CO511" s="16"/>
      <c r="CP511" s="206"/>
      <c r="CQ511" s="3"/>
      <c r="CR511" s="3"/>
      <c r="CS511" s="190"/>
      <c r="CT511" s="3"/>
      <c r="CU511" s="3"/>
      <c r="CV511" s="190"/>
      <c r="CW511" s="3"/>
      <c r="CX511" s="3"/>
      <c r="CY511" s="191"/>
      <c r="CZ511" s="3"/>
      <c r="DA511" s="3"/>
      <c r="DB511" s="2"/>
      <c r="DC511" s="3"/>
      <c r="DD511" s="3"/>
      <c r="DE511" s="2"/>
      <c r="DF511" s="298"/>
      <c r="DG511" s="298"/>
      <c r="DH511" s="1099"/>
      <c r="DI511" s="298"/>
      <c r="DJ511" s="298"/>
      <c r="DK511" s="1099"/>
      <c r="DL511" s="298"/>
      <c r="DM511" s="298"/>
      <c r="DN511" s="1099"/>
      <c r="DO511" s="3"/>
      <c r="DP511" s="3"/>
      <c r="DQ511" s="1096"/>
      <c r="DR511" s="3"/>
      <c r="DS511" s="3"/>
      <c r="DT511" s="1096"/>
      <c r="DU511" s="3"/>
      <c r="DV511" s="3"/>
      <c r="DW511" s="1096"/>
      <c r="DX511" s="3"/>
      <c r="DY511" s="102"/>
      <c r="DZ511" s="1096"/>
      <c r="EA511" s="3"/>
      <c r="EB511" s="102"/>
      <c r="EC511" s="1096"/>
      <c r="ED511" s="3"/>
      <c r="EE511" s="3"/>
      <c r="EF511" s="2"/>
      <c r="EG511" s="3"/>
      <c r="EH511" s="3"/>
      <c r="EI511" s="2"/>
      <c r="EJ511" s="3"/>
      <c r="EK511" s="3"/>
      <c r="EL511" s="2"/>
      <c r="EM511" s="3"/>
      <c r="EN511" s="3"/>
      <c r="EO511" s="2"/>
      <c r="EP511" s="3"/>
      <c r="EQ511" s="3"/>
      <c r="ER511" s="2"/>
      <c r="ES511" s="3"/>
      <c r="ET511" s="3"/>
      <c r="EU511" s="2"/>
      <c r="EV511" s="3"/>
      <c r="EW511" s="3"/>
      <c r="EX511" s="2"/>
      <c r="EY511" s="3"/>
      <c r="EZ511" s="3"/>
      <c r="FA511" s="2"/>
      <c r="FH511" s="35"/>
      <c r="FI511" s="35"/>
      <c r="FJ511" s="35"/>
      <c r="FK511" s="35"/>
      <c r="FL511" s="35"/>
      <c r="FM511" s="35"/>
      <c r="FN511" s="35"/>
      <c r="FO511" s="35"/>
      <c r="FP511" s="35"/>
      <c r="FQ511" s="35"/>
    </row>
    <row r="512" spans="1:173" s="321" customFormat="1">
      <c r="A512" s="1168"/>
      <c r="B512" s="331"/>
      <c r="C512" s="331"/>
      <c r="D512" s="910" t="s">
        <v>166</v>
      </c>
      <c r="E512" s="3"/>
      <c r="F512" s="3"/>
      <c r="G512" s="2"/>
      <c r="H512" s="3"/>
      <c r="I512" s="3"/>
      <c r="J512" s="2"/>
      <c r="K512" s="3"/>
      <c r="L512" s="3"/>
      <c r="M512" s="2"/>
      <c r="N512" s="3"/>
      <c r="O512" s="3"/>
      <c r="P512" s="2"/>
      <c r="Q512" s="3"/>
      <c r="R512" s="3"/>
      <c r="S512" s="2"/>
      <c r="T512" s="3"/>
      <c r="U512" s="3"/>
      <c r="V512" s="2"/>
      <c r="W512" s="3"/>
      <c r="X512" s="3"/>
      <c r="Y512" s="2"/>
      <c r="Z512" s="3"/>
      <c r="AA512" s="3"/>
      <c r="AB512" s="2"/>
      <c r="AC512" s="3"/>
      <c r="AD512" s="3"/>
      <c r="AE512" s="2"/>
      <c r="AF512" s="3"/>
      <c r="AG512" s="3"/>
      <c r="AH512" s="2"/>
      <c r="AI512" s="3"/>
      <c r="AJ512" s="3"/>
      <c r="AK512" s="2"/>
      <c r="AL512" s="3"/>
      <c r="AM512" s="3"/>
      <c r="AN512" s="2"/>
      <c r="AO512" s="3"/>
      <c r="AP512" s="3"/>
      <c r="AQ512" s="2"/>
      <c r="AR512" s="3"/>
      <c r="AS512" s="3"/>
      <c r="AT512" s="2"/>
      <c r="AU512" s="3"/>
      <c r="AV512" s="3"/>
      <c r="AW512" s="2"/>
      <c r="AX512" s="3"/>
      <c r="AY512" s="3"/>
      <c r="AZ512" s="2"/>
      <c r="BA512" s="3"/>
      <c r="BB512" s="3"/>
      <c r="BC512" s="47"/>
      <c r="BD512" s="3"/>
      <c r="BE512" s="3"/>
      <c r="BF512" s="47"/>
      <c r="BG512" s="3"/>
      <c r="BH512" s="3"/>
      <c r="BI512" s="60" t="str">
        <f>D512</f>
        <v>"Value"</v>
      </c>
      <c r="BJ512" s="127">
        <f>BL509-((BL509*BL511)/BJ510)</f>
        <v>15.934565217391295</v>
      </c>
      <c r="BK512" s="127">
        <f>(BL509/2)-(((BL509/2)*BL511)/BK510)</f>
        <v>7.9672826086956476</v>
      </c>
      <c r="BL512" s="128"/>
      <c r="BM512" s="127">
        <f>BO509-((BO509*BO511)/BM510)</f>
        <v>9.6269283276450608</v>
      </c>
      <c r="BN512" s="127">
        <f>BO509-((BO509*BO512)/BN510)</f>
        <v>13.838883116883117</v>
      </c>
      <c r="BO512" s="128">
        <v>0.6</v>
      </c>
      <c r="BP512" s="127">
        <f>BR509-((BR509*BR511)/BP510)</f>
        <v>7.4503311258278018</v>
      </c>
      <c r="BQ512" s="127">
        <f>BR509-((BR509*BR511)/BQ510)</f>
        <v>6.9999999999999858</v>
      </c>
      <c r="BR512" s="128"/>
      <c r="BS512" s="16">
        <f>BU509-((BU509*BU511)/BS510)</f>
        <v>3.6271365912459146</v>
      </c>
      <c r="BT512" s="16">
        <f>BU509-((BU509*BU511)/BT510)</f>
        <v>10.415772796493698</v>
      </c>
      <c r="BU512" s="205"/>
      <c r="BV512" s="16">
        <f>BX509-((BX509*BX511)/BV510)</f>
        <v>15.71192488954344</v>
      </c>
      <c r="BW512" s="16">
        <f>BX509-((BX509*BX511)/BW510)</f>
        <v>11.824259870152645</v>
      </c>
      <c r="BX512" s="206"/>
      <c r="BY512" s="16">
        <f>CA509-((CA509*CA511)/BY510)</f>
        <v>6.1692914312500307</v>
      </c>
      <c r="BZ512" s="16">
        <f>CA509-((CA509*CA511)/BZ510)</f>
        <v>-17.730068904411752</v>
      </c>
      <c r="CA512" s="206"/>
      <c r="CB512" s="16">
        <f>CB509-((CB509*CD511)/CB510)</f>
        <v>5.6590909090909065</v>
      </c>
      <c r="CC512" s="16">
        <f>CC509-((CC509*CD511)/CC510)</f>
        <v>9.8097344909096478</v>
      </c>
      <c r="CD512" s="206"/>
      <c r="CE512" s="16">
        <f>CG509-((CG509*CG511)/CE510)</f>
        <v>21.528968548855914</v>
      </c>
      <c r="CF512" s="16">
        <f>CG509-((CG509*CG511)/CF510)</f>
        <v>34.282919853090462</v>
      </c>
      <c r="CG512" s="206">
        <f>CE512+CF512</f>
        <v>55.811888401946376</v>
      </c>
      <c r="CH512" s="16">
        <v>7.9401769829316109</v>
      </c>
      <c r="CI512" s="16">
        <f>CJ509-((CJ509*CJ511)/CI510)</f>
        <v>5.976510136768141</v>
      </c>
      <c r="CJ512" s="206">
        <f>CH512+CI512</f>
        <v>13.916687119699752</v>
      </c>
      <c r="CK512" s="16"/>
      <c r="CL512" s="16"/>
      <c r="CM512" s="206"/>
      <c r="CN512" s="16"/>
      <c r="CO512" s="16"/>
      <c r="CP512" s="206"/>
      <c r="CQ512" s="3"/>
      <c r="CR512" s="3"/>
      <c r="CS512" s="190"/>
      <c r="CT512" s="3"/>
      <c r="CU512" s="3"/>
      <c r="CV512" s="190"/>
      <c r="CW512" s="3"/>
      <c r="CX512" s="3"/>
      <c r="CY512" s="2"/>
      <c r="CZ512" s="3"/>
      <c r="DA512" s="3"/>
      <c r="DB512" s="2"/>
      <c r="DC512" s="3"/>
      <c r="DD512" s="3"/>
      <c r="DE512" s="2"/>
      <c r="DF512" s="294">
        <v>6415.8279298776015</v>
      </c>
      <c r="DG512" s="294">
        <v>8009.9607381689166</v>
      </c>
      <c r="DH512" s="1097">
        <v>14425.788668046518</v>
      </c>
      <c r="DI512" s="294">
        <v>7057.410722865362</v>
      </c>
      <c r="DJ512" s="294">
        <v>8810.9568119858086</v>
      </c>
      <c r="DK512" s="1097">
        <v>15868.367534851172</v>
      </c>
      <c r="DL512" s="294">
        <v>7622.0035806945916</v>
      </c>
      <c r="DM512" s="294">
        <v>9515.8333569446731</v>
      </c>
      <c r="DN512" s="1097">
        <v>17137.836937639266</v>
      </c>
      <c r="DO512" s="3"/>
      <c r="DP512" s="3"/>
      <c r="DQ512" s="1096"/>
      <c r="DR512" s="3"/>
      <c r="DS512" s="3"/>
      <c r="DT512" s="1096"/>
      <c r="DU512" s="3"/>
      <c r="DV512" s="3"/>
      <c r="DW512" s="1096"/>
      <c r="DX512" s="3"/>
      <c r="DY512" s="102"/>
      <c r="DZ512" s="1096"/>
      <c r="EA512" s="3"/>
      <c r="EB512" s="102"/>
      <c r="EC512" s="1096"/>
      <c r="ED512" s="3"/>
      <c r="EE512" s="3"/>
      <c r="EF512" s="2"/>
      <c r="EG512" s="3"/>
      <c r="EH512" s="3"/>
      <c r="EI512" s="2"/>
      <c r="EJ512" s="3"/>
      <c r="EK512" s="3"/>
      <c r="EL512" s="2"/>
      <c r="EM512" s="3"/>
      <c r="EN512" s="3"/>
      <c r="EO512" s="2"/>
      <c r="EP512" s="3"/>
      <c r="EQ512" s="3"/>
      <c r="ER512" s="2"/>
      <c r="ES512" s="3"/>
      <c r="ET512" s="3"/>
      <c r="EU512" s="2"/>
      <c r="EV512" s="3"/>
      <c r="EW512" s="3"/>
      <c r="EX512" s="2"/>
      <c r="EY512" s="3"/>
      <c r="EZ512" s="3"/>
      <c r="FA512" s="2"/>
      <c r="FH512" s="35"/>
      <c r="FI512" s="35"/>
      <c r="FJ512" s="35"/>
      <c r="FK512" s="35"/>
      <c r="FL512" s="35"/>
      <c r="FM512" s="35"/>
      <c r="FN512" s="35"/>
      <c r="FO512" s="35"/>
      <c r="FP512" s="35"/>
      <c r="FQ512" s="35"/>
    </row>
    <row r="513" spans="1:173" s="321" customFormat="1">
      <c r="A513" s="1168"/>
      <c r="B513" s="331"/>
      <c r="C513" s="331"/>
      <c r="D513" s="910"/>
      <c r="E513" s="3"/>
      <c r="F513" s="3"/>
      <c r="G513" s="2"/>
      <c r="H513" s="3"/>
      <c r="I513" s="3"/>
      <c r="J513" s="2"/>
      <c r="K513" s="3"/>
      <c r="L513" s="3"/>
      <c r="M513" s="2"/>
      <c r="N513" s="3"/>
      <c r="O513" s="3"/>
      <c r="P513" s="2"/>
      <c r="Q513" s="3"/>
      <c r="R513" s="3"/>
      <c r="S513" s="2"/>
      <c r="T513" s="3"/>
      <c r="U513" s="3"/>
      <c r="V513" s="2"/>
      <c r="W513" s="3"/>
      <c r="X513" s="3"/>
      <c r="Y513" s="2"/>
      <c r="Z513" s="3"/>
      <c r="AA513" s="3"/>
      <c r="AB513" s="2"/>
      <c r="AC513" s="3"/>
      <c r="AD513" s="3"/>
      <c r="AE513" s="2"/>
      <c r="AF513" s="3"/>
      <c r="AG513" s="3"/>
      <c r="AH513" s="2"/>
      <c r="AI513" s="3"/>
      <c r="AJ513" s="3"/>
      <c r="AK513" s="2"/>
      <c r="AL513" s="3"/>
      <c r="AM513" s="3"/>
      <c r="AN513" s="2"/>
      <c r="AO513" s="3"/>
      <c r="AP513" s="3"/>
      <c r="AQ513" s="2"/>
      <c r="AR513" s="3"/>
      <c r="AS513" s="3"/>
      <c r="AT513" s="2"/>
      <c r="AU513" s="3"/>
      <c r="AV513" s="3"/>
      <c r="AW513" s="2"/>
      <c r="AX513" s="3"/>
      <c r="AY513" s="3"/>
      <c r="AZ513" s="2"/>
      <c r="BA513" s="3"/>
      <c r="BB513" s="3"/>
      <c r="BC513" s="47"/>
      <c r="BD513" s="3"/>
      <c r="BE513" s="3"/>
      <c r="BF513" s="47"/>
      <c r="BG513" s="3"/>
      <c r="BH513" s="3"/>
      <c r="BI513" s="60"/>
      <c r="BJ513" s="127"/>
      <c r="BK513" s="127"/>
      <c r="BL513" s="128"/>
      <c r="BM513" s="127"/>
      <c r="BN513" s="127"/>
      <c r="BO513" s="128"/>
      <c r="BP513" s="127"/>
      <c r="BQ513" s="127"/>
      <c r="BR513" s="128"/>
      <c r="BS513" s="16"/>
      <c r="BT513" s="16"/>
      <c r="BU513" s="205"/>
      <c r="BV513" s="16"/>
      <c r="BW513" s="16"/>
      <c r="BX513" s="206"/>
      <c r="BY513" s="16"/>
      <c r="BZ513" s="16"/>
      <c r="CA513" s="206"/>
      <c r="CB513" s="16"/>
      <c r="CC513" s="16"/>
      <c r="CD513" s="206"/>
      <c r="CE513" s="16"/>
      <c r="CF513" s="16"/>
      <c r="CG513" s="206"/>
      <c r="CH513" s="16"/>
      <c r="CI513" s="16"/>
      <c r="CJ513" s="206"/>
      <c r="CK513" s="16"/>
      <c r="CL513" s="16"/>
      <c r="CM513" s="206"/>
      <c r="CN513" s="16"/>
      <c r="CO513" s="16"/>
      <c r="CP513" s="206"/>
      <c r="CQ513" s="3"/>
      <c r="CR513" s="3"/>
      <c r="CS513" s="190"/>
      <c r="CT513" s="3"/>
      <c r="CU513" s="3"/>
      <c r="CV513" s="190"/>
      <c r="CW513" s="3"/>
      <c r="CX513" s="3"/>
      <c r="CY513" s="2"/>
      <c r="CZ513" s="3"/>
      <c r="DA513" s="3"/>
      <c r="DB513" s="2"/>
      <c r="DC513" s="3"/>
      <c r="DD513" s="3"/>
      <c r="DE513" s="2"/>
      <c r="DF513" s="296">
        <v>0.1</v>
      </c>
      <c r="DG513" s="297">
        <v>0.1</v>
      </c>
      <c r="DH513" s="1098">
        <v>0.10000000000000009</v>
      </c>
      <c r="DI513" s="297">
        <v>0.1</v>
      </c>
      <c r="DJ513" s="297">
        <v>0.1</v>
      </c>
      <c r="DK513" s="1098">
        <v>0.10000000000000009</v>
      </c>
      <c r="DL513" s="297">
        <v>0.08</v>
      </c>
      <c r="DM513" s="297">
        <v>0.08</v>
      </c>
      <c r="DN513" s="1098">
        <v>8.0000000000000071E-2</v>
      </c>
      <c r="DO513" s="3"/>
      <c r="DP513" s="3"/>
      <c r="DQ513" s="1096"/>
      <c r="DR513" s="3"/>
      <c r="DS513" s="3"/>
      <c r="DT513" s="1096"/>
      <c r="DU513" s="3"/>
      <c r="DV513" s="3"/>
      <c r="DW513" s="1096"/>
      <c r="DX513" s="3"/>
      <c r="DY513" s="102"/>
      <c r="DZ513" s="1096"/>
      <c r="EA513" s="3"/>
      <c r="EB513" s="102"/>
      <c r="EC513" s="1096"/>
      <c r="ED513" s="3"/>
      <c r="EE513" s="3"/>
      <c r="EF513" s="2"/>
      <c r="EG513" s="3"/>
      <c r="EH513" s="3"/>
      <c r="EI513" s="2"/>
      <c r="EJ513" s="3"/>
      <c r="EK513" s="3"/>
      <c r="EL513" s="2"/>
      <c r="EM513" s="3"/>
      <c r="EN513" s="3"/>
      <c r="EO513" s="2"/>
      <c r="EP513" s="3"/>
      <c r="EQ513" s="3"/>
      <c r="ER513" s="2"/>
      <c r="ES513" s="3"/>
      <c r="ET513" s="3"/>
      <c r="EU513" s="2"/>
      <c r="EV513" s="3"/>
      <c r="EW513" s="3"/>
      <c r="EX513" s="2"/>
      <c r="EY513" s="3"/>
      <c r="EZ513" s="3"/>
      <c r="FA513" s="2"/>
      <c r="FH513" s="35"/>
      <c r="FI513" s="35"/>
      <c r="FJ513" s="35"/>
      <c r="FK513" s="35"/>
      <c r="FL513" s="35"/>
      <c r="FM513" s="35"/>
      <c r="FN513" s="35"/>
      <c r="FO513" s="35"/>
      <c r="FP513" s="35"/>
      <c r="FQ513" s="35"/>
    </row>
    <row r="514" spans="1:173" s="321" customFormat="1">
      <c r="A514" s="1168"/>
      <c r="B514" s="331"/>
      <c r="C514" s="331" t="s">
        <v>443</v>
      </c>
      <c r="D514" s="910" t="s">
        <v>441</v>
      </c>
      <c r="E514" s="3"/>
      <c r="F514" s="3"/>
      <c r="G514" s="2"/>
      <c r="H514" s="3"/>
      <c r="I514" s="3"/>
      <c r="J514" s="2"/>
      <c r="K514" s="3"/>
      <c r="L514" s="3"/>
      <c r="M514" s="2"/>
      <c r="N514" s="3"/>
      <c r="O514" s="3"/>
      <c r="P514" s="2"/>
      <c r="Q514" s="3"/>
      <c r="R514" s="3"/>
      <c r="S514" s="2"/>
      <c r="T514" s="3"/>
      <c r="U514" s="3"/>
      <c r="V514" s="2"/>
      <c r="W514" s="3"/>
      <c r="X514" s="3"/>
      <c r="Y514" s="2"/>
      <c r="Z514" s="3"/>
      <c r="AA514" s="3"/>
      <c r="AB514" s="2"/>
      <c r="AC514" s="3"/>
      <c r="AD514" s="3"/>
      <c r="AE514" s="2"/>
      <c r="AF514" s="3"/>
      <c r="AG514" s="3"/>
      <c r="AH514" s="2"/>
      <c r="AI514" s="3"/>
      <c r="AJ514" s="3"/>
      <c r="AK514" s="2"/>
      <c r="AL514" s="3"/>
      <c r="AM514" s="3"/>
      <c r="AN514" s="2"/>
      <c r="AO514" s="3"/>
      <c r="AP514" s="3"/>
      <c r="AQ514" s="2"/>
      <c r="AR514" s="3"/>
      <c r="AS514" s="3"/>
      <c r="AT514" s="2"/>
      <c r="AU514" s="3"/>
      <c r="AV514" s="3"/>
      <c r="AW514" s="2"/>
      <c r="AX514" s="3"/>
      <c r="AY514" s="3"/>
      <c r="AZ514" s="2"/>
      <c r="BA514" s="3"/>
      <c r="BB514" s="3"/>
      <c r="BC514" s="47"/>
      <c r="BD514" s="3"/>
      <c r="BE514" s="3"/>
      <c r="BF514" s="47"/>
      <c r="BG514" s="3"/>
      <c r="BH514" s="3" t="str">
        <f>C514</f>
        <v>Euro</v>
      </c>
      <c r="BI514" s="60" t="str">
        <f>D514</f>
        <v>A$ amount</v>
      </c>
      <c r="BJ514" s="127"/>
      <c r="BK514" s="127"/>
      <c r="BL514" s="128">
        <v>66.710999999999999</v>
      </c>
      <c r="BM514" s="127"/>
      <c r="BN514" s="127"/>
      <c r="BO514" s="128">
        <v>47.082000000000001</v>
      </c>
      <c r="BP514" s="127"/>
      <c r="BQ514" s="127"/>
      <c r="BR514" s="128">
        <v>75</v>
      </c>
      <c r="BS514" s="16"/>
      <c r="BT514" s="16"/>
      <c r="BU514" s="205">
        <v>104.65600000000001</v>
      </c>
      <c r="BV514" s="16"/>
      <c r="BW514" s="16"/>
      <c r="BX514" s="206">
        <v>118.25</v>
      </c>
      <c r="BY514" s="16"/>
      <c r="BZ514" s="16"/>
      <c r="CA514" s="206">
        <v>129.39400000000001</v>
      </c>
      <c r="CB514" s="44">
        <v>90</v>
      </c>
      <c r="CC514" s="43">
        <v>117.72</v>
      </c>
      <c r="CD514" s="206">
        <v>187.32900000000001</v>
      </c>
      <c r="CE514" s="16"/>
      <c r="CF514" s="16"/>
      <c r="CG514" s="206">
        <v>94.590999999999994</v>
      </c>
      <c r="CH514" s="16"/>
      <c r="CI514" s="16"/>
      <c r="CJ514" s="206">
        <v>40.457000000000001</v>
      </c>
      <c r="CK514" s="16"/>
      <c r="CL514" s="16"/>
      <c r="CM514" s="206"/>
      <c r="CN514" s="16"/>
      <c r="CO514" s="16"/>
      <c r="CP514" s="206"/>
      <c r="CQ514" s="3"/>
      <c r="CR514" s="3"/>
      <c r="CS514" s="190"/>
      <c r="CT514" s="3"/>
      <c r="CU514" s="3"/>
      <c r="CV514" s="190"/>
      <c r="CW514" s="3"/>
      <c r="CX514" s="3"/>
      <c r="CY514" s="2"/>
      <c r="CZ514" s="3"/>
      <c r="DA514" s="3"/>
      <c r="DB514" s="2"/>
      <c r="DC514" s="3"/>
      <c r="DD514" s="3"/>
      <c r="DE514" s="2"/>
      <c r="DF514" s="299"/>
      <c r="DG514" s="299"/>
      <c r="DH514" s="1099"/>
      <c r="DI514" s="299"/>
      <c r="DJ514" s="299"/>
      <c r="DK514" s="1099"/>
      <c r="DL514" s="294"/>
      <c r="DM514" s="298"/>
      <c r="DN514" s="1099"/>
      <c r="DO514" s="3"/>
      <c r="DP514" s="3"/>
      <c r="DQ514" s="1096"/>
      <c r="DR514" s="3"/>
      <c r="DS514" s="3"/>
      <c r="DT514" s="1096"/>
      <c r="DU514" s="3"/>
      <c r="DV514" s="3"/>
      <c r="DW514" s="1096"/>
      <c r="DX514" s="3"/>
      <c r="DY514" s="102"/>
      <c r="DZ514" s="1096"/>
      <c r="EA514" s="3"/>
      <c r="EB514" s="102"/>
      <c r="EC514" s="1096"/>
      <c r="ED514" s="3"/>
      <c r="EE514" s="3"/>
      <c r="EF514" s="2"/>
      <c r="EG514" s="3"/>
      <c r="EH514" s="3"/>
      <c r="EI514" s="2"/>
      <c r="EJ514" s="3"/>
      <c r="EK514" s="3"/>
      <c r="EL514" s="2"/>
      <c r="EM514" s="3"/>
      <c r="EN514" s="3"/>
      <c r="EO514" s="2"/>
      <c r="EP514" s="3"/>
      <c r="EQ514" s="3"/>
      <c r="ER514" s="2"/>
      <c r="ES514" s="3"/>
      <c r="ET514" s="3"/>
      <c r="EU514" s="2"/>
      <c r="EV514" s="3"/>
      <c r="EW514" s="3"/>
      <c r="EX514" s="2"/>
      <c r="EY514" s="3"/>
      <c r="EZ514" s="3"/>
      <c r="FA514" s="2"/>
      <c r="FH514" s="35"/>
      <c r="FI514" s="35"/>
      <c r="FJ514" s="35"/>
      <c r="FK514" s="35"/>
      <c r="FL514" s="35"/>
      <c r="FM514" s="35"/>
      <c r="FN514" s="35"/>
      <c r="FO514" s="35"/>
      <c r="FP514" s="35"/>
      <c r="FQ514" s="35"/>
    </row>
    <row r="515" spans="1:173" s="321" customFormat="1">
      <c r="A515" s="1168"/>
      <c r="B515" s="331"/>
      <c r="C515" s="331"/>
      <c r="D515" s="82" t="s">
        <v>165</v>
      </c>
      <c r="E515" s="3"/>
      <c r="F515" s="3"/>
      <c r="G515" s="2"/>
      <c r="H515" s="3"/>
      <c r="I515" s="3"/>
      <c r="J515" s="2"/>
      <c r="K515" s="3"/>
      <c r="L515" s="3"/>
      <c r="M515" s="2"/>
      <c r="N515" s="3"/>
      <c r="O515" s="3"/>
      <c r="P515" s="2"/>
      <c r="Q515" s="3"/>
      <c r="R515" s="3"/>
      <c r="S515" s="2"/>
      <c r="T515" s="3"/>
      <c r="U515" s="3"/>
      <c r="V515" s="2"/>
      <c r="W515" s="3"/>
      <c r="X515" s="3"/>
      <c r="Y515" s="2"/>
      <c r="Z515" s="3"/>
      <c r="AA515" s="3"/>
      <c r="AB515" s="2"/>
      <c r="AC515" s="3"/>
      <c r="AD515" s="3"/>
      <c r="AE515" s="2"/>
      <c r="AF515" s="3"/>
      <c r="AG515" s="3"/>
      <c r="AH515" s="2"/>
      <c r="AI515" s="3"/>
      <c r="AJ515" s="3"/>
      <c r="AK515" s="2"/>
      <c r="AL515" s="3"/>
      <c r="AM515" s="3"/>
      <c r="AN515" s="2"/>
      <c r="AO515" s="3"/>
      <c r="AP515" s="3"/>
      <c r="AQ515" s="2"/>
      <c r="AR515" s="3"/>
      <c r="AS515" s="3"/>
      <c r="AT515" s="2"/>
      <c r="AU515" s="3"/>
      <c r="AV515" s="3"/>
      <c r="AW515" s="2"/>
      <c r="AX515" s="3"/>
      <c r="AY515" s="3"/>
      <c r="AZ515" s="2"/>
      <c r="BA515" s="3"/>
      <c r="BB515" s="3"/>
      <c r="BC515" s="47"/>
      <c r="BD515" s="3"/>
      <c r="BE515" s="3"/>
      <c r="BF515" s="47"/>
      <c r="BG515" s="3"/>
      <c r="BH515" s="3"/>
      <c r="BI515" s="60" t="str">
        <f>D515</f>
        <v>Average rate</v>
      </c>
      <c r="BJ515" s="127">
        <v>0.6</v>
      </c>
      <c r="BK515" s="127">
        <f>BK78</f>
        <v>0.57499999999999996</v>
      </c>
      <c r="BL515" s="128"/>
      <c r="BM515" s="127">
        <f>BK515</f>
        <v>0.57499999999999996</v>
      </c>
      <c r="BN515" s="127">
        <f>BM515</f>
        <v>0.57499999999999996</v>
      </c>
      <c r="BO515" s="128"/>
      <c r="BP515" s="127">
        <v>0.63200000000000001</v>
      </c>
      <c r="BQ515" s="127">
        <f>BQ78</f>
        <v>0.6</v>
      </c>
      <c r="BR515" s="128"/>
      <c r="BS515" s="43">
        <v>0.59250000000000003</v>
      </c>
      <c r="BT515" s="16">
        <v>0.62</v>
      </c>
      <c r="BU515" s="206"/>
      <c r="BV515" s="16">
        <f>BV78</f>
        <v>0.61609000000000003</v>
      </c>
      <c r="BW515" s="43">
        <v>0.57999999999999996</v>
      </c>
      <c r="BX515" s="206"/>
      <c r="BY515" s="16">
        <f>BY78</f>
        <v>0.56000000000000005</v>
      </c>
      <c r="BZ515" s="16">
        <v>0.50675000000000003</v>
      </c>
      <c r="CA515" s="206"/>
      <c r="CB515" s="16">
        <v>0.60804999999999998</v>
      </c>
      <c r="CC515" s="16">
        <f>CC78</f>
        <v>0.67460864661654174</v>
      </c>
      <c r="CD515" s="206"/>
      <c r="CE515" s="16">
        <v>0.72</v>
      </c>
      <c r="CF515" s="16">
        <f>CF78</f>
        <v>0.74068741258741366</v>
      </c>
      <c r="CG515" s="206"/>
      <c r="CH515" s="16">
        <v>0.74</v>
      </c>
      <c r="CI515" s="16">
        <v>0.81</v>
      </c>
      <c r="CJ515" s="206"/>
      <c r="CK515" s="16"/>
      <c r="CL515" s="16"/>
      <c r="CM515" s="206"/>
      <c r="CN515" s="16"/>
      <c r="CO515" s="16"/>
      <c r="CP515" s="206"/>
      <c r="CQ515" s="3"/>
      <c r="CR515" s="3"/>
      <c r="CS515" s="190"/>
      <c r="CT515" s="3"/>
      <c r="CU515" s="3"/>
      <c r="CV515" s="190"/>
      <c r="CW515" s="3"/>
      <c r="CX515" s="3"/>
      <c r="CY515" s="2"/>
      <c r="CZ515" s="3"/>
      <c r="DA515" s="3"/>
      <c r="DB515" s="2"/>
      <c r="DC515" s="3"/>
      <c r="DD515" s="3"/>
      <c r="DE515" s="2"/>
      <c r="DF515" s="294">
        <v>2275.1724803909478</v>
      </c>
      <c r="DG515" s="294">
        <v>1781.6532757029604</v>
      </c>
      <c r="DH515" s="1097">
        <v>4056.8257560939082</v>
      </c>
      <c r="DI515" s="294">
        <v>2406.4183304323528</v>
      </c>
      <c r="DJ515" s="294">
        <v>2493.0101588355169</v>
      </c>
      <c r="DK515" s="1097">
        <v>4899.4284892678697</v>
      </c>
      <c r="DL515" s="294">
        <v>2598.9317968669411</v>
      </c>
      <c r="DM515" s="294">
        <v>2660.4509715423583</v>
      </c>
      <c r="DN515" s="1097">
        <v>5259.3827684092994</v>
      </c>
      <c r="DO515" s="3"/>
      <c r="DP515" s="3"/>
      <c r="DQ515" s="1096"/>
      <c r="DR515" s="3"/>
      <c r="DS515" s="3"/>
      <c r="DT515" s="1096"/>
      <c r="DU515" s="3"/>
      <c r="DV515" s="3"/>
      <c r="DW515" s="1096"/>
      <c r="DX515" s="3"/>
      <c r="DY515" s="102"/>
      <c r="DZ515" s="1096"/>
      <c r="EA515" s="3"/>
      <c r="EB515" s="102"/>
      <c r="EC515" s="1096"/>
      <c r="ED515" s="3"/>
      <c r="EE515" s="3"/>
      <c r="EF515" s="2"/>
      <c r="EG515" s="3"/>
      <c r="EH515" s="3"/>
      <c r="EI515" s="2"/>
      <c r="EJ515" s="3"/>
      <c r="EK515" s="3"/>
      <c r="EL515" s="2"/>
      <c r="EM515" s="3"/>
      <c r="EN515" s="3"/>
      <c r="EO515" s="2"/>
      <c r="EP515" s="3"/>
      <c r="EQ515" s="3"/>
      <c r="ER515" s="2"/>
      <c r="ES515" s="3"/>
      <c r="ET515" s="3"/>
      <c r="EU515" s="2"/>
      <c r="EV515" s="3"/>
      <c r="EW515" s="3"/>
      <c r="EX515" s="2"/>
      <c r="EY515" s="3"/>
      <c r="EZ515" s="3"/>
      <c r="FA515" s="2"/>
      <c r="FH515" s="35"/>
      <c r="FI515" s="35"/>
      <c r="FJ515" s="35"/>
      <c r="FK515" s="35"/>
      <c r="FL515" s="35"/>
      <c r="FM515" s="35"/>
      <c r="FN515" s="35"/>
      <c r="FO515" s="35"/>
      <c r="FP515" s="35"/>
      <c r="FQ515" s="35"/>
    </row>
    <row r="516" spans="1:173" s="321" customFormat="1">
      <c r="A516" s="1168"/>
      <c r="B516" s="331"/>
      <c r="C516" s="331"/>
      <c r="D516" s="910" t="s">
        <v>442</v>
      </c>
      <c r="E516" s="3"/>
      <c r="F516" s="3"/>
      <c r="G516" s="2"/>
      <c r="H516" s="3"/>
      <c r="I516" s="3"/>
      <c r="J516" s="2"/>
      <c r="K516" s="3"/>
      <c r="L516" s="3"/>
      <c r="M516" s="2"/>
      <c r="N516" s="3"/>
      <c r="O516" s="3"/>
      <c r="P516" s="2"/>
      <c r="Q516" s="3"/>
      <c r="R516" s="3"/>
      <c r="S516" s="2"/>
      <c r="T516" s="3"/>
      <c r="U516" s="3"/>
      <c r="V516" s="2"/>
      <c r="W516" s="3"/>
      <c r="X516" s="3"/>
      <c r="Y516" s="2"/>
      <c r="Z516" s="3"/>
      <c r="AA516" s="3"/>
      <c r="AB516" s="2"/>
      <c r="AC516" s="3"/>
      <c r="AD516" s="3"/>
      <c r="AE516" s="2"/>
      <c r="AF516" s="3"/>
      <c r="AG516" s="3"/>
      <c r="AH516" s="2"/>
      <c r="AI516" s="3"/>
      <c r="AJ516" s="3"/>
      <c r="AK516" s="2"/>
      <c r="AL516" s="3"/>
      <c r="AM516" s="3"/>
      <c r="AN516" s="2"/>
      <c r="AO516" s="3"/>
      <c r="AP516" s="3"/>
      <c r="AQ516" s="2"/>
      <c r="AR516" s="3"/>
      <c r="AS516" s="3"/>
      <c r="AT516" s="2"/>
      <c r="AU516" s="3"/>
      <c r="AV516" s="3"/>
      <c r="AW516" s="2"/>
      <c r="AX516" s="3"/>
      <c r="AY516" s="3"/>
      <c r="AZ516" s="2"/>
      <c r="BA516" s="3"/>
      <c r="BB516" s="3"/>
      <c r="BC516" s="47"/>
      <c r="BD516" s="3"/>
      <c r="BE516" s="3"/>
      <c r="BF516" s="47"/>
      <c r="BG516" s="3"/>
      <c r="BH516" s="3"/>
      <c r="BI516" s="60" t="str">
        <f>D516</f>
        <v>Conversion rate</v>
      </c>
      <c r="BJ516" s="127"/>
      <c r="BK516" s="127"/>
      <c r="BL516" s="128">
        <v>0.56000000000000005</v>
      </c>
      <c r="BM516" s="127"/>
      <c r="BN516" s="127"/>
      <c r="BO516" s="128">
        <v>0.55000000000000004</v>
      </c>
      <c r="BP516" s="127"/>
      <c r="BQ516" s="127"/>
      <c r="BR516" s="128">
        <v>0.56000000000000005</v>
      </c>
      <c r="BS516" s="16"/>
      <c r="BT516" s="16"/>
      <c r="BU516" s="205">
        <v>0.56999999999999995</v>
      </c>
      <c r="BV516" s="16"/>
      <c r="BW516" s="16"/>
      <c r="BX516" s="206">
        <v>0.59</v>
      </c>
      <c r="BY516" s="16"/>
      <c r="BZ516" s="16"/>
      <c r="CA516" s="206">
        <v>0.52</v>
      </c>
      <c r="CB516" s="16"/>
      <c r="CC516" s="16"/>
      <c r="CD516" s="206">
        <f>0.57</f>
        <v>0.56999999999999995</v>
      </c>
      <c r="CE516" s="16"/>
      <c r="CF516" s="16"/>
      <c r="CG516" s="206">
        <v>0.57399999999999995</v>
      </c>
      <c r="CH516" s="16"/>
      <c r="CI516" s="16"/>
      <c r="CJ516" s="206">
        <v>0.65</v>
      </c>
      <c r="CK516" s="16"/>
      <c r="CL516" s="16"/>
      <c r="CM516" s="206"/>
      <c r="CN516" s="16"/>
      <c r="CO516" s="16"/>
      <c r="CP516" s="206"/>
      <c r="CQ516" s="3"/>
      <c r="CR516" s="3"/>
      <c r="CS516" s="190"/>
      <c r="CT516" s="3"/>
      <c r="CU516" s="3"/>
      <c r="CV516" s="190"/>
      <c r="CW516" s="3"/>
      <c r="CX516" s="3"/>
      <c r="CY516" s="2"/>
      <c r="CZ516" s="3"/>
      <c r="DA516" s="3"/>
      <c r="DB516" s="2"/>
      <c r="DC516" s="3"/>
      <c r="DD516" s="3"/>
      <c r="DE516" s="2"/>
      <c r="DF516" s="297">
        <v>0.14400670343066779</v>
      </c>
      <c r="DG516" s="297">
        <v>-0.16344898517018969</v>
      </c>
      <c r="DH516" s="1098">
        <v>-1.4983524807277826E-2</v>
      </c>
      <c r="DI516" s="297">
        <v>5.7686110030151561E-2</v>
      </c>
      <c r="DJ516" s="297">
        <v>0.39926785577956347</v>
      </c>
      <c r="DK516" s="1098">
        <v>0.20770000582555381</v>
      </c>
      <c r="DL516" s="297">
        <v>8.0000000000000071E-2</v>
      </c>
      <c r="DM516" s="297">
        <v>6.7164111671752291E-2</v>
      </c>
      <c r="DN516" s="1098">
        <v>7.3468625969315582E-2</v>
      </c>
      <c r="DO516" s="3"/>
      <c r="DP516" s="3"/>
      <c r="DQ516" s="1096"/>
      <c r="DR516" s="3"/>
      <c r="DS516" s="3"/>
      <c r="DT516" s="1096"/>
      <c r="DU516" s="3"/>
      <c r="DV516" s="3"/>
      <c r="DW516" s="1096"/>
      <c r="DX516" s="3"/>
      <c r="DY516" s="102"/>
      <c r="DZ516" s="1096"/>
      <c r="EA516" s="3"/>
      <c r="EB516" s="102"/>
      <c r="EC516" s="1096"/>
      <c r="ED516" s="3"/>
      <c r="EE516" s="3"/>
      <c r="EF516" s="2"/>
      <c r="EG516" s="3"/>
      <c r="EH516" s="3"/>
      <c r="EI516" s="2"/>
      <c r="EJ516" s="3"/>
      <c r="EK516" s="3"/>
      <c r="EL516" s="2"/>
      <c r="EM516" s="3"/>
      <c r="EN516" s="3"/>
      <c r="EO516" s="2"/>
      <c r="EP516" s="3"/>
      <c r="EQ516" s="3"/>
      <c r="ER516" s="2"/>
      <c r="ES516" s="3"/>
      <c r="ET516" s="3"/>
      <c r="EU516" s="2"/>
      <c r="EV516" s="3"/>
      <c r="EW516" s="3"/>
      <c r="EX516" s="2"/>
      <c r="EY516" s="3"/>
      <c r="EZ516" s="3"/>
      <c r="FA516" s="2"/>
      <c r="FH516" s="35"/>
      <c r="FI516" s="35"/>
      <c r="FJ516" s="35"/>
      <c r="FK516" s="35"/>
      <c r="FL516" s="35"/>
      <c r="FM516" s="35"/>
      <c r="FN516" s="35"/>
      <c r="FO516" s="35"/>
      <c r="FP516" s="35"/>
      <c r="FQ516" s="35"/>
    </row>
    <row r="517" spans="1:173" s="321" customFormat="1">
      <c r="A517" s="1168"/>
      <c r="B517" s="331"/>
      <c r="C517" s="331"/>
      <c r="D517" s="910" t="s">
        <v>166</v>
      </c>
      <c r="E517" s="3"/>
      <c r="F517" s="3"/>
      <c r="G517" s="2"/>
      <c r="H517" s="3"/>
      <c r="I517" s="3"/>
      <c r="J517" s="2"/>
      <c r="K517" s="3"/>
      <c r="L517" s="3"/>
      <c r="M517" s="2"/>
      <c r="N517" s="3"/>
      <c r="O517" s="3"/>
      <c r="P517" s="2"/>
      <c r="Q517" s="3"/>
      <c r="R517" s="3"/>
      <c r="S517" s="2"/>
      <c r="T517" s="3"/>
      <c r="U517" s="3"/>
      <c r="V517" s="2"/>
      <c r="W517" s="3"/>
      <c r="X517" s="3"/>
      <c r="Y517" s="2"/>
      <c r="Z517" s="3"/>
      <c r="AA517" s="3"/>
      <c r="AB517" s="2"/>
      <c r="AC517" s="3"/>
      <c r="AD517" s="3"/>
      <c r="AE517" s="2"/>
      <c r="AF517" s="3"/>
      <c r="AG517" s="3"/>
      <c r="AH517" s="2"/>
      <c r="AI517" s="3"/>
      <c r="AJ517" s="3"/>
      <c r="AK517" s="2"/>
      <c r="AL517" s="3"/>
      <c r="AM517" s="3"/>
      <c r="AN517" s="2"/>
      <c r="AO517" s="3"/>
      <c r="AP517" s="3"/>
      <c r="AQ517" s="2"/>
      <c r="AR517" s="3"/>
      <c r="AS517" s="3"/>
      <c r="AT517" s="2"/>
      <c r="AU517" s="3"/>
      <c r="AV517" s="3"/>
      <c r="AW517" s="2"/>
      <c r="AX517" s="3"/>
      <c r="AY517" s="3"/>
      <c r="AZ517" s="2"/>
      <c r="BA517" s="3"/>
      <c r="BB517" s="3"/>
      <c r="BC517" s="47"/>
      <c r="BD517" s="3"/>
      <c r="BE517" s="3"/>
      <c r="BF517" s="47"/>
      <c r="BG517" s="3"/>
      <c r="BH517" s="3"/>
      <c r="BI517" s="60" t="str">
        <f>D517</f>
        <v>"Value"</v>
      </c>
      <c r="BJ517" s="127">
        <f>BL514-((BL514*BL516)/BJ515)</f>
        <v>4.4473999999999876</v>
      </c>
      <c r="BK517" s="127">
        <f>(BL514/2)-(((BL514/2)*BL516)/BK515)</f>
        <v>0.87014347826086436</v>
      </c>
      <c r="BL517" s="128"/>
      <c r="BM517" s="127">
        <f>BO514-((BO514*BO516)/BM515)</f>
        <v>2.0470434782608606</v>
      </c>
      <c r="BN517" s="127">
        <f>BO514-((BO514*BO516)/BN515)</f>
        <v>2.0470434782608606</v>
      </c>
      <c r="BO517" s="128"/>
      <c r="BP517" s="127">
        <f>BR514-((BR514*BR516)/BP515)</f>
        <v>8.5443037974683449</v>
      </c>
      <c r="BQ517" s="127">
        <f>BR514-((BR514*BR516)/BQ515)</f>
        <v>4.9999999999999858</v>
      </c>
      <c r="BR517" s="128"/>
      <c r="BS517" s="16">
        <f>BU514-((BU514*BU516)/BS515)</f>
        <v>3.974278481012675</v>
      </c>
      <c r="BT517" s="16">
        <f>BU514-((BU514*BU516)/BT515)</f>
        <v>8.4400000000000119</v>
      </c>
      <c r="BU517" s="205"/>
      <c r="BV517" s="16">
        <f>BX514-((BX514*BX516)/BV515)</f>
        <v>5.0076165819928917</v>
      </c>
      <c r="BW517" s="16">
        <f>BX514-((BX514*BX516)/BW515)</f>
        <v>-2.0387931034482847</v>
      </c>
      <c r="BX517" s="206"/>
      <c r="BY517" s="16">
        <f>CA514-((CA514*CA516)/BY515)</f>
        <v>9.2424285714285901</v>
      </c>
      <c r="BZ517" s="16">
        <f>CA514-((CA514*CA516)/BZ515)</f>
        <v>-3.3832668968919393</v>
      </c>
      <c r="CA517" s="206"/>
      <c r="CB517" s="16">
        <f>CB514-((CB514*CD516)/CB515)</f>
        <v>5.6319381629800205</v>
      </c>
      <c r="CC517" s="16">
        <f>CC514-((CC514*CD516)/CC515)</f>
        <v>18.25433151718714</v>
      </c>
      <c r="CD517" s="206"/>
      <c r="CE517" s="16">
        <f>CG514-((CG514*CG516)/CE515)</f>
        <v>19.180952777777776</v>
      </c>
      <c r="CF517" s="16">
        <f>CG514-((CG514*CG516)/CF515)</f>
        <v>21.287156735899387</v>
      </c>
      <c r="CG517" s="206">
        <f>CE517+CF517</f>
        <v>40.468109513677163</v>
      </c>
      <c r="CH517" s="16">
        <v>9.0754891891891916</v>
      </c>
      <c r="CI517" s="16">
        <f>CJ514-((CJ514*CJ516)/CI515)</f>
        <v>7.9915061728395074</v>
      </c>
      <c r="CJ517" s="206">
        <f>CH517+CI517</f>
        <v>17.066995362028699</v>
      </c>
      <c r="CK517" s="16"/>
      <c r="CL517" s="16"/>
      <c r="CM517" s="206"/>
      <c r="CN517" s="16"/>
      <c r="CO517" s="16"/>
      <c r="CP517" s="206"/>
      <c r="CQ517" s="3"/>
      <c r="CR517" s="3"/>
      <c r="CS517" s="190"/>
      <c r="CT517" s="3"/>
      <c r="CU517" s="3"/>
      <c r="CV517" s="190"/>
      <c r="CW517" s="3"/>
      <c r="CX517" s="3"/>
      <c r="CY517" s="2"/>
      <c r="CZ517" s="3"/>
      <c r="DA517" s="3"/>
      <c r="DB517" s="2"/>
      <c r="DC517" s="3"/>
      <c r="DD517" s="3"/>
      <c r="DE517" s="2"/>
      <c r="DF517" s="300"/>
      <c r="DG517" s="300"/>
      <c r="DH517" s="1100"/>
      <c r="DI517" s="300"/>
      <c r="DJ517" s="300"/>
      <c r="DK517" s="1100"/>
      <c r="DL517" s="300"/>
      <c r="DM517" s="300"/>
      <c r="DN517" s="1100"/>
      <c r="DO517" s="3"/>
      <c r="DP517" s="3"/>
      <c r="DQ517" s="1096"/>
      <c r="DR517" s="3"/>
      <c r="DS517" s="3"/>
      <c r="DT517" s="1096"/>
      <c r="DU517" s="3"/>
      <c r="DV517" s="3"/>
      <c r="DW517" s="1096"/>
      <c r="DX517" s="3"/>
      <c r="DY517" s="102"/>
      <c r="DZ517" s="1096"/>
      <c r="EA517" s="3"/>
      <c r="EB517" s="102"/>
      <c r="EC517" s="1096"/>
      <c r="ED517" s="3"/>
      <c r="EE517" s="3"/>
      <c r="EF517" s="2"/>
      <c r="EG517" s="3"/>
      <c r="EH517" s="3"/>
      <c r="EI517" s="2"/>
      <c r="EJ517" s="3"/>
      <c r="EK517" s="3"/>
      <c r="EL517" s="2"/>
      <c r="EM517" s="3"/>
      <c r="EN517" s="3"/>
      <c r="EO517" s="2"/>
      <c r="EP517" s="3"/>
      <c r="EQ517" s="3"/>
      <c r="ER517" s="2"/>
      <c r="ES517" s="3"/>
      <c r="ET517" s="3"/>
      <c r="EU517" s="2"/>
      <c r="EV517" s="3"/>
      <c r="EW517" s="3"/>
      <c r="EX517" s="2"/>
      <c r="EY517" s="3"/>
      <c r="EZ517" s="3"/>
      <c r="FA517" s="2"/>
      <c r="FH517" s="35"/>
      <c r="FI517" s="35"/>
      <c r="FJ517" s="35"/>
      <c r="FK517" s="35"/>
      <c r="FL517" s="35"/>
      <c r="FM517" s="35"/>
      <c r="FN517" s="35"/>
      <c r="FO517" s="35"/>
      <c r="FP517" s="35"/>
      <c r="FQ517" s="35"/>
    </row>
    <row r="518" spans="1:173" s="321" customFormat="1">
      <c r="A518" s="1168"/>
      <c r="B518" s="331"/>
      <c r="C518" s="331"/>
      <c r="D518" s="910"/>
      <c r="E518" s="3"/>
      <c r="F518" s="3"/>
      <c r="G518" s="2"/>
      <c r="H518" s="3"/>
      <c r="I518" s="3"/>
      <c r="J518" s="2"/>
      <c r="K518" s="3"/>
      <c r="L518" s="3"/>
      <c r="M518" s="2"/>
      <c r="N518" s="3"/>
      <c r="O518" s="3"/>
      <c r="P518" s="2"/>
      <c r="Q518" s="3"/>
      <c r="R518" s="3"/>
      <c r="S518" s="2"/>
      <c r="T518" s="3"/>
      <c r="U518" s="3"/>
      <c r="V518" s="2"/>
      <c r="W518" s="3"/>
      <c r="X518" s="3"/>
      <c r="Y518" s="2"/>
      <c r="Z518" s="3"/>
      <c r="AA518" s="3"/>
      <c r="AB518" s="2"/>
      <c r="AC518" s="3"/>
      <c r="AD518" s="3"/>
      <c r="AE518" s="2"/>
      <c r="AF518" s="3"/>
      <c r="AG518" s="3"/>
      <c r="AH518" s="2"/>
      <c r="AI518" s="3"/>
      <c r="AJ518" s="3"/>
      <c r="AK518" s="2"/>
      <c r="AL518" s="3"/>
      <c r="AM518" s="3"/>
      <c r="AN518" s="2"/>
      <c r="AO518" s="3"/>
      <c r="AP518" s="3"/>
      <c r="AQ518" s="2"/>
      <c r="AR518" s="3"/>
      <c r="AS518" s="3"/>
      <c r="AT518" s="2"/>
      <c r="AU518" s="3"/>
      <c r="AV518" s="3"/>
      <c r="AW518" s="2"/>
      <c r="AX518" s="3"/>
      <c r="AY518" s="3"/>
      <c r="AZ518" s="2"/>
      <c r="BA518" s="3"/>
      <c r="BB518" s="3"/>
      <c r="BC518" s="47"/>
      <c r="BD518" s="3"/>
      <c r="BE518" s="3"/>
      <c r="BF518" s="47"/>
      <c r="BG518" s="3"/>
      <c r="BH518" s="3"/>
      <c r="BI518" s="60"/>
      <c r="BJ518" s="127"/>
      <c r="BK518" s="127"/>
      <c r="BL518" s="128"/>
      <c r="BM518" s="127"/>
      <c r="BN518" s="127"/>
      <c r="BO518" s="128"/>
      <c r="BP518" s="127"/>
      <c r="BQ518" s="127"/>
      <c r="BR518" s="128"/>
      <c r="BS518" s="16"/>
      <c r="BT518" s="16"/>
      <c r="BU518" s="205"/>
      <c r="BV518" s="16"/>
      <c r="BW518" s="16"/>
      <c r="BX518" s="206"/>
      <c r="BY518" s="16"/>
      <c r="BZ518" s="16"/>
      <c r="CA518" s="206"/>
      <c r="CB518" s="16"/>
      <c r="CC518" s="16"/>
      <c r="CD518" s="206"/>
      <c r="CE518" s="16"/>
      <c r="CF518" s="16"/>
      <c r="CG518" s="206"/>
      <c r="CH518" s="16"/>
      <c r="CI518" s="16"/>
      <c r="CJ518" s="206"/>
      <c r="CK518" s="16"/>
      <c r="CL518" s="16"/>
      <c r="CM518" s="206"/>
      <c r="CN518" s="16"/>
      <c r="CO518" s="16"/>
      <c r="CP518" s="206"/>
      <c r="CQ518" s="3"/>
      <c r="CR518" s="3"/>
      <c r="CS518" s="190"/>
      <c r="CT518" s="3"/>
      <c r="CU518" s="3"/>
      <c r="CV518" s="190"/>
      <c r="CW518" s="3"/>
      <c r="CX518" s="3"/>
      <c r="CY518" s="2"/>
      <c r="CZ518" s="3"/>
      <c r="DA518" s="3"/>
      <c r="DB518" s="2"/>
      <c r="DC518" s="3"/>
      <c r="DD518" s="3"/>
      <c r="DE518" s="2"/>
      <c r="DF518" s="300"/>
      <c r="DG518" s="300">
        <f>DG509*1/3</f>
        <v>3024.5466773077237</v>
      </c>
      <c r="DH518" s="1100"/>
      <c r="DI518" s="300">
        <f>DI509/2</f>
        <v>5611.6497743522978</v>
      </c>
      <c r="DJ518" s="300">
        <f>DJ509*0.8</f>
        <v>7984.8032280923917</v>
      </c>
      <c r="DK518" s="1100"/>
      <c r="DL518" s="300">
        <f>DL509*0.85</f>
        <v>10302.988985710819</v>
      </c>
      <c r="DM518" s="300">
        <f>DM509*0.85</f>
        <v>9162.5617042360209</v>
      </c>
      <c r="DN518" s="1100"/>
      <c r="DO518" s="3"/>
      <c r="DP518" s="3"/>
      <c r="DQ518" s="1096"/>
      <c r="DR518" s="3"/>
      <c r="DS518" s="3"/>
      <c r="DT518" s="1096"/>
      <c r="DU518" s="3"/>
      <c r="DV518" s="3"/>
      <c r="DW518" s="1096"/>
      <c r="DX518" s="3"/>
      <c r="DY518" s="102"/>
      <c r="DZ518" s="1096"/>
      <c r="EA518" s="3"/>
      <c r="EB518" s="102"/>
      <c r="EC518" s="1096"/>
      <c r="ED518" s="3"/>
      <c r="EE518" s="3"/>
      <c r="EF518" s="2"/>
      <c r="EG518" s="3"/>
      <c r="EH518" s="3"/>
      <c r="EI518" s="2"/>
      <c r="EJ518" s="3"/>
      <c r="EK518" s="3"/>
      <c r="EL518" s="2"/>
      <c r="EM518" s="3"/>
      <c r="EN518" s="3"/>
      <c r="EO518" s="2"/>
      <c r="EP518" s="3"/>
      <c r="EQ518" s="3"/>
      <c r="ER518" s="2"/>
      <c r="ES518" s="3"/>
      <c r="ET518" s="3"/>
      <c r="EU518" s="2"/>
      <c r="EV518" s="3"/>
      <c r="EW518" s="3"/>
      <c r="EX518" s="2"/>
      <c r="EY518" s="3"/>
      <c r="EZ518" s="3"/>
      <c r="FA518" s="2"/>
      <c r="FH518" s="35"/>
      <c r="FI518" s="35"/>
      <c r="FJ518" s="35"/>
      <c r="FK518" s="35"/>
      <c r="FL518" s="35"/>
      <c r="FM518" s="35"/>
      <c r="FN518" s="35"/>
      <c r="FO518" s="35"/>
      <c r="FP518" s="35"/>
      <c r="FQ518" s="35"/>
    </row>
    <row r="519" spans="1:173" s="321" customFormat="1">
      <c r="A519" s="1168"/>
      <c r="B519" s="331"/>
      <c r="C519" s="331" t="s">
        <v>440</v>
      </c>
      <c r="D519" s="910" t="s">
        <v>441</v>
      </c>
      <c r="E519" s="3"/>
      <c r="F519" s="3"/>
      <c r="G519" s="2"/>
      <c r="H519" s="3"/>
      <c r="I519" s="3"/>
      <c r="J519" s="2"/>
      <c r="K519" s="3"/>
      <c r="L519" s="3"/>
      <c r="M519" s="2"/>
      <c r="N519" s="3"/>
      <c r="O519" s="3"/>
      <c r="P519" s="2"/>
      <c r="Q519" s="3"/>
      <c r="R519" s="3"/>
      <c r="S519" s="2"/>
      <c r="T519" s="3"/>
      <c r="U519" s="3"/>
      <c r="V519" s="2"/>
      <c r="W519" s="3"/>
      <c r="X519" s="3"/>
      <c r="Y519" s="2"/>
      <c r="Z519" s="3"/>
      <c r="AA519" s="3"/>
      <c r="AB519" s="2"/>
      <c r="AC519" s="3"/>
      <c r="AD519" s="3"/>
      <c r="AE519" s="2"/>
      <c r="AF519" s="3"/>
      <c r="AG519" s="3"/>
      <c r="AH519" s="2"/>
      <c r="AI519" s="3"/>
      <c r="AJ519" s="3"/>
      <c r="AK519" s="2"/>
      <c r="AL519" s="3"/>
      <c r="AM519" s="3"/>
      <c r="AN519" s="2"/>
      <c r="AO519" s="3"/>
      <c r="AP519" s="3"/>
      <c r="AQ519" s="2"/>
      <c r="AR519" s="3"/>
      <c r="AS519" s="3"/>
      <c r="AT519" s="2"/>
      <c r="AU519" s="3"/>
      <c r="AV519" s="3"/>
      <c r="AW519" s="2"/>
      <c r="AX519" s="3"/>
      <c r="AY519" s="3"/>
      <c r="AZ519" s="2"/>
      <c r="BA519" s="3"/>
      <c r="BB519" s="3"/>
      <c r="BC519" s="47"/>
      <c r="BD519" s="3"/>
      <c r="BE519" s="3"/>
      <c r="BF519" s="47"/>
      <c r="BG519" s="3"/>
      <c r="BH519" s="3" t="str">
        <f>C519</f>
        <v>Yen</v>
      </c>
      <c r="BI519" s="60" t="str">
        <f>D519</f>
        <v>A$ amount</v>
      </c>
      <c r="BJ519" s="127"/>
      <c r="BK519" s="127"/>
      <c r="BL519" s="128">
        <v>16.039000000000001</v>
      </c>
      <c r="BM519" s="127"/>
      <c r="BN519" s="127"/>
      <c r="BO519" s="128">
        <v>8.8930000000000007</v>
      </c>
      <c r="BP519" s="127"/>
      <c r="BQ519" s="127"/>
      <c r="BR519" s="128">
        <v>9.2040000000000006</v>
      </c>
      <c r="BS519" s="16"/>
      <c r="BT519" s="16"/>
      <c r="BU519" s="205">
        <v>8.9619999999999997</v>
      </c>
      <c r="BV519" s="16"/>
      <c r="BW519" s="16"/>
      <c r="BX519" s="206">
        <v>9.3960000000000008</v>
      </c>
      <c r="BY519" s="16"/>
      <c r="BZ519" s="16"/>
      <c r="CA519" s="206">
        <v>10.725</v>
      </c>
      <c r="CB519" s="44">
        <v>6.1559999999999997</v>
      </c>
      <c r="CC519" s="43">
        <f>CD519-CB519</f>
        <v>2.1710000000000003</v>
      </c>
      <c r="CD519" s="206">
        <v>8.327</v>
      </c>
      <c r="CE519" s="16"/>
      <c r="CF519" s="16"/>
      <c r="CG519" s="206">
        <v>5.016</v>
      </c>
      <c r="CH519" s="16"/>
      <c r="CI519" s="16"/>
      <c r="CJ519" s="206">
        <v>0.60799999999999998</v>
      </c>
      <c r="CK519" s="16"/>
      <c r="CL519" s="16"/>
      <c r="CM519" s="206"/>
      <c r="CN519" s="16"/>
      <c r="CO519" s="16"/>
      <c r="CP519" s="206"/>
      <c r="CQ519" s="3"/>
      <c r="CR519" s="3"/>
      <c r="CS519" s="190"/>
      <c r="CT519" s="3"/>
      <c r="CU519" s="3"/>
      <c r="CV519" s="190"/>
      <c r="CW519" s="3"/>
      <c r="CX519" s="3"/>
      <c r="CY519" s="2"/>
      <c r="CZ519" s="3"/>
      <c r="DA519" s="3"/>
      <c r="DB519" s="2"/>
      <c r="DC519" s="3"/>
      <c r="DD519" s="3"/>
      <c r="DE519" s="2"/>
      <c r="DF519" s="300"/>
      <c r="DG519" s="300"/>
      <c r="DH519" s="1100"/>
      <c r="DI519" s="300"/>
      <c r="DJ519" s="300"/>
      <c r="DK519" s="1100"/>
      <c r="DL519" s="300"/>
      <c r="DM519" s="300"/>
      <c r="DN519" s="1100"/>
      <c r="DO519" s="3"/>
      <c r="DP519" s="3"/>
      <c r="DQ519" s="1096"/>
      <c r="DR519" s="3"/>
      <c r="DS519" s="3"/>
      <c r="DT519" s="1096"/>
      <c r="DU519" s="3"/>
      <c r="DV519" s="3"/>
      <c r="DW519" s="1096"/>
      <c r="DX519" s="3"/>
      <c r="DY519" s="102"/>
      <c r="DZ519" s="1096"/>
      <c r="EA519" s="3"/>
      <c r="EB519" s="102"/>
      <c r="EC519" s="1096"/>
      <c r="ED519" s="3"/>
      <c r="EE519" s="3"/>
      <c r="EF519" s="2"/>
      <c r="EG519" s="3"/>
      <c r="EH519" s="3"/>
      <c r="EI519" s="2"/>
      <c r="EJ519" s="3"/>
      <c r="EK519" s="3"/>
      <c r="EL519" s="2"/>
      <c r="EM519" s="3"/>
      <c r="EN519" s="3"/>
      <c r="EO519" s="2"/>
      <c r="EP519" s="3"/>
      <c r="EQ519" s="3"/>
      <c r="ER519" s="2"/>
      <c r="ES519" s="3"/>
      <c r="ET519" s="3"/>
      <c r="EU519" s="2"/>
      <c r="EV519" s="3"/>
      <c r="EW519" s="3"/>
      <c r="EX519" s="2"/>
      <c r="EY519" s="3"/>
      <c r="EZ519" s="3"/>
      <c r="FA519" s="2"/>
      <c r="FH519" s="35"/>
      <c r="FI519" s="35"/>
      <c r="FJ519" s="35"/>
      <c r="FK519" s="35"/>
      <c r="FL519" s="35"/>
      <c r="FM519" s="35"/>
      <c r="FN519" s="35"/>
      <c r="FO519" s="35"/>
      <c r="FP519" s="35"/>
      <c r="FQ519" s="35"/>
    </row>
    <row r="520" spans="1:173" s="321" customFormat="1">
      <c r="A520" s="1168"/>
      <c r="B520" s="331"/>
      <c r="C520" s="331"/>
      <c r="D520" s="82" t="s">
        <v>165</v>
      </c>
      <c r="E520" s="3"/>
      <c r="F520" s="3"/>
      <c r="G520" s="2"/>
      <c r="H520" s="3"/>
      <c r="I520" s="3"/>
      <c r="J520" s="2"/>
      <c r="K520" s="3"/>
      <c r="L520" s="3"/>
      <c r="M520" s="2"/>
      <c r="N520" s="3"/>
      <c r="O520" s="3"/>
      <c r="P520" s="2"/>
      <c r="Q520" s="3"/>
      <c r="R520" s="3"/>
      <c r="S520" s="2"/>
      <c r="T520" s="3"/>
      <c r="U520" s="3"/>
      <c r="V520" s="2"/>
      <c r="W520" s="3"/>
      <c r="X520" s="3"/>
      <c r="Y520" s="2"/>
      <c r="Z520" s="3"/>
      <c r="AA520" s="3"/>
      <c r="AB520" s="2"/>
      <c r="AC520" s="3"/>
      <c r="AD520" s="3"/>
      <c r="AE520" s="2"/>
      <c r="AF520" s="3"/>
      <c r="AG520" s="3"/>
      <c r="AH520" s="2"/>
      <c r="AI520" s="3"/>
      <c r="AJ520" s="3"/>
      <c r="AK520" s="2"/>
      <c r="AL520" s="3"/>
      <c r="AM520" s="3"/>
      <c r="AN520" s="2"/>
      <c r="AO520" s="3"/>
      <c r="AP520" s="3"/>
      <c r="AQ520" s="2"/>
      <c r="AR520" s="3"/>
      <c r="AS520" s="3"/>
      <c r="AT520" s="2"/>
      <c r="AU520" s="3"/>
      <c r="AV520" s="3"/>
      <c r="AW520" s="2"/>
      <c r="AX520" s="3"/>
      <c r="AY520" s="3"/>
      <c r="AZ520" s="2"/>
      <c r="BA520" s="3"/>
      <c r="BB520" s="3"/>
      <c r="BC520" s="47"/>
      <c r="BD520" s="3"/>
      <c r="BE520" s="3"/>
      <c r="BF520" s="47"/>
      <c r="BG520" s="3"/>
      <c r="BH520" s="3"/>
      <c r="BI520" s="60" t="str">
        <f>D520</f>
        <v>Average rate</v>
      </c>
      <c r="BJ520" s="127">
        <v>77.3</v>
      </c>
      <c r="BK520" s="127">
        <v>82.6</v>
      </c>
      <c r="BL520" s="128"/>
      <c r="BM520" s="127">
        <f>BK520</f>
        <v>82.6</v>
      </c>
      <c r="BN520" s="127">
        <f>BM520</f>
        <v>82.6</v>
      </c>
      <c r="BO520" s="128"/>
      <c r="BP520" s="127">
        <v>86.5</v>
      </c>
      <c r="BQ520" s="127">
        <f>BP520</f>
        <v>86.5</v>
      </c>
      <c r="BR520" s="128"/>
      <c r="BS520" s="43">
        <f>88.7</f>
        <v>88.7</v>
      </c>
      <c r="BT520" s="16">
        <f>BS520</f>
        <v>88.7</v>
      </c>
      <c r="BU520" s="205"/>
      <c r="BV520" s="43">
        <v>100</v>
      </c>
      <c r="BW520" s="43">
        <v>96.968999999999994</v>
      </c>
      <c r="BX520" s="206"/>
      <c r="BY520" s="16">
        <f>BW520</f>
        <v>96.968999999999994</v>
      </c>
      <c r="BZ520" s="16">
        <v>61.764000000000003</v>
      </c>
      <c r="CA520" s="206"/>
      <c r="CB520" s="229">
        <v>79.788846153846166</v>
      </c>
      <c r="CC520" s="16">
        <v>81.56</v>
      </c>
      <c r="CD520" s="206"/>
      <c r="CE520" s="16">
        <v>77.94</v>
      </c>
      <c r="CF520" s="229">
        <v>85.111468531468446</v>
      </c>
      <c r="CG520" s="206"/>
      <c r="CH520" s="16">
        <v>86.614999999999995</v>
      </c>
      <c r="CI520" s="16">
        <f>CH520</f>
        <v>86.614999999999995</v>
      </c>
      <c r="CJ520" s="206"/>
      <c r="CK520" s="16"/>
      <c r="CL520" s="16"/>
      <c r="CM520" s="206"/>
      <c r="CN520" s="16"/>
      <c r="CO520" s="16"/>
      <c r="CP520" s="206"/>
      <c r="CQ520" s="3"/>
      <c r="CR520" s="3"/>
      <c r="CS520" s="190"/>
      <c r="CT520" s="3"/>
      <c r="CU520" s="3"/>
      <c r="CV520" s="190"/>
      <c r="CW520" s="3"/>
      <c r="CX520" s="3"/>
      <c r="CY520" s="2"/>
      <c r="CZ520" s="3"/>
      <c r="DA520" s="3"/>
      <c r="DB520" s="2"/>
      <c r="DC520" s="3"/>
      <c r="DD520" s="3"/>
      <c r="DE520" s="2"/>
      <c r="DF520" s="300"/>
      <c r="DG520" s="300">
        <f>DG512*1/3</f>
        <v>2669.9869127229722</v>
      </c>
      <c r="DH520" s="1100"/>
      <c r="DI520" s="300">
        <f>DI512/2</f>
        <v>3528.705361432681</v>
      </c>
      <c r="DJ520" s="300">
        <f>DJ512*0.8</f>
        <v>7048.7654495886472</v>
      </c>
      <c r="DK520" s="1100"/>
      <c r="DL520" s="300">
        <f>DL512*0.85</f>
        <v>6478.7030435904026</v>
      </c>
      <c r="DM520" s="300">
        <f>DM512*0.85</f>
        <v>8088.4583534029716</v>
      </c>
      <c r="DN520" s="1100"/>
      <c r="DO520" s="3"/>
      <c r="DP520" s="3"/>
      <c r="DQ520" s="1096"/>
      <c r="DR520" s="3"/>
      <c r="DS520" s="3"/>
      <c r="DT520" s="1096"/>
      <c r="DU520" s="3"/>
      <c r="DV520" s="3"/>
      <c r="DW520" s="1096"/>
      <c r="DX520" s="3"/>
      <c r="DY520" s="102"/>
      <c r="DZ520" s="1096"/>
      <c r="EA520" s="3"/>
      <c r="EB520" s="102"/>
      <c r="EC520" s="1096"/>
      <c r="ED520" s="3"/>
      <c r="EE520" s="3"/>
      <c r="EF520" s="2"/>
      <c r="EG520" s="3"/>
      <c r="EH520" s="3"/>
      <c r="EI520" s="2"/>
      <c r="EJ520" s="3"/>
      <c r="EK520" s="3"/>
      <c r="EL520" s="2"/>
      <c r="EM520" s="3"/>
      <c r="EN520" s="3"/>
      <c r="EO520" s="2"/>
      <c r="EP520" s="3"/>
      <c r="EQ520" s="3"/>
      <c r="ER520" s="2"/>
      <c r="ES520" s="3"/>
      <c r="ET520" s="3"/>
      <c r="EU520" s="2"/>
      <c r="EV520" s="3"/>
      <c r="EW520" s="3"/>
      <c r="EX520" s="2"/>
      <c r="EY520" s="3"/>
      <c r="EZ520" s="3"/>
      <c r="FA520" s="2"/>
      <c r="FH520" s="35"/>
      <c r="FI520" s="35"/>
      <c r="FJ520" s="35"/>
      <c r="FK520" s="35"/>
      <c r="FL520" s="35"/>
      <c r="FM520" s="35"/>
      <c r="FN520" s="35"/>
      <c r="FO520" s="35"/>
      <c r="FP520" s="35"/>
      <c r="FQ520" s="35"/>
    </row>
    <row r="521" spans="1:173" s="321" customFormat="1">
      <c r="A521" s="1168"/>
      <c r="B521" s="331"/>
      <c r="C521" s="331"/>
      <c r="D521" s="910" t="s">
        <v>442</v>
      </c>
      <c r="E521" s="3"/>
      <c r="F521" s="3"/>
      <c r="G521" s="2"/>
      <c r="H521" s="3"/>
      <c r="I521" s="3"/>
      <c r="J521" s="2"/>
      <c r="K521" s="3"/>
      <c r="L521" s="3"/>
      <c r="M521" s="2"/>
      <c r="N521" s="3"/>
      <c r="O521" s="3"/>
      <c r="P521" s="2"/>
      <c r="Q521" s="3"/>
      <c r="R521" s="3"/>
      <c r="S521" s="2"/>
      <c r="T521" s="3"/>
      <c r="U521" s="3"/>
      <c r="V521" s="2"/>
      <c r="W521" s="3"/>
      <c r="X521" s="3"/>
      <c r="Y521" s="2"/>
      <c r="Z521" s="3"/>
      <c r="AA521" s="3"/>
      <c r="AB521" s="2"/>
      <c r="AC521" s="3"/>
      <c r="AD521" s="3"/>
      <c r="AE521" s="2"/>
      <c r="AF521" s="3"/>
      <c r="AG521" s="3"/>
      <c r="AH521" s="2"/>
      <c r="AI521" s="3"/>
      <c r="AJ521" s="3"/>
      <c r="AK521" s="2"/>
      <c r="AL521" s="3"/>
      <c r="AM521" s="3"/>
      <c r="AN521" s="2"/>
      <c r="AO521" s="3"/>
      <c r="AP521" s="3"/>
      <c r="AQ521" s="2"/>
      <c r="AR521" s="3"/>
      <c r="AS521" s="3"/>
      <c r="AT521" s="2"/>
      <c r="AU521" s="3"/>
      <c r="AV521" s="3"/>
      <c r="AW521" s="2"/>
      <c r="AX521" s="3"/>
      <c r="AY521" s="3"/>
      <c r="AZ521" s="2"/>
      <c r="BA521" s="3"/>
      <c r="BB521" s="3"/>
      <c r="BC521" s="47"/>
      <c r="BD521" s="3"/>
      <c r="BE521" s="3"/>
      <c r="BF521" s="47"/>
      <c r="BG521" s="3"/>
      <c r="BH521" s="3"/>
      <c r="BI521" s="60" t="str">
        <f>D521</f>
        <v>Conversion rate</v>
      </c>
      <c r="BJ521" s="127"/>
      <c r="BK521" s="127"/>
      <c r="BL521" s="128">
        <v>54.74</v>
      </c>
      <c r="BM521" s="127"/>
      <c r="BN521" s="127"/>
      <c r="BO521" s="128">
        <v>50.86</v>
      </c>
      <c r="BP521" s="127"/>
      <c r="BQ521" s="127"/>
      <c r="BR521" s="128">
        <v>59</v>
      </c>
      <c r="BS521" s="16"/>
      <c r="BT521" s="16"/>
      <c r="BU521" s="205">
        <v>68.430000000000007</v>
      </c>
      <c r="BV521" s="16"/>
      <c r="BW521" s="16"/>
      <c r="BX521" s="206">
        <f>BU521</f>
        <v>68.430000000000007</v>
      </c>
      <c r="BY521" s="16"/>
      <c r="BZ521" s="16"/>
      <c r="CA521" s="206">
        <v>86.52</v>
      </c>
      <c r="CB521" s="16"/>
      <c r="CC521" s="16"/>
      <c r="CD521" s="206">
        <f>85.52</f>
        <v>85.52</v>
      </c>
      <c r="CE521" s="16"/>
      <c r="CF521" s="16"/>
      <c r="CG521" s="206">
        <f>CD521</f>
        <v>85.52</v>
      </c>
      <c r="CH521" s="16"/>
      <c r="CI521" s="16"/>
      <c r="CJ521" s="206">
        <v>73.900000000000006</v>
      </c>
      <c r="CK521" s="16"/>
      <c r="CL521" s="16"/>
      <c r="CM521" s="206"/>
      <c r="CN521" s="16"/>
      <c r="CO521" s="16"/>
      <c r="CP521" s="206"/>
      <c r="CQ521" s="3"/>
      <c r="CR521" s="3"/>
      <c r="CS521" s="190"/>
      <c r="CT521" s="3"/>
      <c r="CU521" s="3"/>
      <c r="CV521" s="190"/>
      <c r="CW521" s="3"/>
      <c r="CX521" s="3"/>
      <c r="CY521" s="2"/>
      <c r="CZ521" s="3"/>
      <c r="DA521" s="3"/>
      <c r="DB521" s="2"/>
      <c r="DC521" s="3"/>
      <c r="DD521" s="3"/>
      <c r="DE521" s="2"/>
      <c r="DF521" s="300"/>
      <c r="DG521" s="300"/>
      <c r="DH521" s="1100"/>
      <c r="DI521" s="300"/>
      <c r="DJ521" s="300"/>
      <c r="DK521" s="1100"/>
      <c r="DL521" s="300"/>
      <c r="DM521" s="300"/>
      <c r="DN521" s="1100"/>
      <c r="DO521" s="3"/>
      <c r="DP521" s="3"/>
      <c r="DQ521" s="1096"/>
      <c r="DR521" s="3"/>
      <c r="DS521" s="3"/>
      <c r="DT521" s="1096"/>
      <c r="DU521" s="3"/>
      <c r="DV521" s="3"/>
      <c r="DW521" s="1096"/>
      <c r="DX521" s="3"/>
      <c r="DY521" s="102"/>
      <c r="DZ521" s="1096"/>
      <c r="EA521" s="3"/>
      <c r="EB521" s="102"/>
      <c r="EC521" s="1096"/>
      <c r="ED521" s="3"/>
      <c r="EE521" s="3"/>
      <c r="EF521" s="2"/>
      <c r="EG521" s="3"/>
      <c r="EH521" s="3"/>
      <c r="EI521" s="2"/>
      <c r="EJ521" s="3"/>
      <c r="EK521" s="3"/>
      <c r="EL521" s="2"/>
      <c r="EM521" s="3"/>
      <c r="EN521" s="3"/>
      <c r="EO521" s="2"/>
      <c r="EP521" s="3"/>
      <c r="EQ521" s="3"/>
      <c r="ER521" s="2"/>
      <c r="ES521" s="3"/>
      <c r="ET521" s="3"/>
      <c r="EU521" s="2"/>
      <c r="EV521" s="3"/>
      <c r="EW521" s="3"/>
      <c r="EX521" s="2"/>
      <c r="EY521" s="3"/>
      <c r="EZ521" s="3"/>
      <c r="FA521" s="2"/>
      <c r="FH521" s="35"/>
      <c r="FI521" s="35"/>
      <c r="FJ521" s="35"/>
      <c r="FK521" s="35"/>
      <c r="FL521" s="35"/>
      <c r="FM521" s="35"/>
      <c r="FN521" s="35"/>
      <c r="FO521" s="35"/>
      <c r="FP521" s="35"/>
      <c r="FQ521" s="35"/>
    </row>
    <row r="522" spans="1:173" s="321" customFormat="1">
      <c r="A522" s="1168"/>
      <c r="B522" s="331"/>
      <c r="C522" s="331"/>
      <c r="D522" s="910" t="s">
        <v>166</v>
      </c>
      <c r="E522" s="3"/>
      <c r="F522" s="3"/>
      <c r="G522" s="2"/>
      <c r="H522" s="3"/>
      <c r="I522" s="3"/>
      <c r="J522" s="2"/>
      <c r="K522" s="3"/>
      <c r="L522" s="3"/>
      <c r="M522" s="2"/>
      <c r="N522" s="3"/>
      <c r="O522" s="3"/>
      <c r="P522" s="2"/>
      <c r="Q522" s="3"/>
      <c r="R522" s="3"/>
      <c r="S522" s="2"/>
      <c r="T522" s="3"/>
      <c r="U522" s="3"/>
      <c r="V522" s="2"/>
      <c r="W522" s="3"/>
      <c r="X522" s="3"/>
      <c r="Y522" s="2"/>
      <c r="Z522" s="3"/>
      <c r="AA522" s="3"/>
      <c r="AB522" s="2"/>
      <c r="AC522" s="3"/>
      <c r="AD522" s="3"/>
      <c r="AE522" s="2"/>
      <c r="AF522" s="3"/>
      <c r="AG522" s="3"/>
      <c r="AH522" s="2"/>
      <c r="AI522" s="3"/>
      <c r="AJ522" s="3"/>
      <c r="AK522" s="2"/>
      <c r="AL522" s="3"/>
      <c r="AM522" s="3"/>
      <c r="AN522" s="2"/>
      <c r="AO522" s="3"/>
      <c r="AP522" s="3"/>
      <c r="AQ522" s="2"/>
      <c r="AR522" s="3"/>
      <c r="AS522" s="3"/>
      <c r="AT522" s="2"/>
      <c r="AU522" s="3"/>
      <c r="AV522" s="3"/>
      <c r="AW522" s="2"/>
      <c r="AX522" s="3"/>
      <c r="AY522" s="3"/>
      <c r="AZ522" s="2"/>
      <c r="BA522" s="3"/>
      <c r="BB522" s="3"/>
      <c r="BC522" s="47"/>
      <c r="BD522" s="3"/>
      <c r="BE522" s="3"/>
      <c r="BF522" s="47"/>
      <c r="BG522" s="3"/>
      <c r="BH522" s="3"/>
      <c r="BI522" s="60" t="str">
        <f>D522</f>
        <v>"Value"</v>
      </c>
      <c r="BJ522" s="127">
        <f>BL519-((BL519*BL521)/BJ520)</f>
        <v>4.6809811125485119</v>
      </c>
      <c r="BK522" s="127">
        <f>(BL519/2)-(((BL519/2)*BL521)/BK520)</f>
        <v>2.7048822033898299</v>
      </c>
      <c r="BL522" s="128"/>
      <c r="BM522" s="127">
        <f>BO519-((BO519*BO521)/BM520)</f>
        <v>3.4172375302663438</v>
      </c>
      <c r="BN522" s="127">
        <f>BO519-((BO519*BO521)/BN520)</f>
        <v>3.4172375302663438</v>
      </c>
      <c r="BO522" s="128"/>
      <c r="BP522" s="127">
        <f>BR519-((BR519*BR521)/BP520)</f>
        <v>2.9261271676300575</v>
      </c>
      <c r="BQ522" s="127">
        <f>BR519-((BR519*BR521)/BQ520)</f>
        <v>2.9261271676300575</v>
      </c>
      <c r="BR522" s="128"/>
      <c r="BS522" s="16">
        <f>BU519-((BU519*BU521)/BS520)</f>
        <v>2.0480241262683201</v>
      </c>
      <c r="BT522" s="16">
        <f>BU519-((BU519*BU521)/BT520)</f>
        <v>2.0480241262683201</v>
      </c>
      <c r="BU522" s="205"/>
      <c r="BV522" s="16">
        <f>BX519-((BX519*BX521)/BV520)</f>
        <v>2.9663171999999989</v>
      </c>
      <c r="BW522" s="16">
        <f>BX519-((BX519*BX521)/BW520)</f>
        <v>2.7653419546452973</v>
      </c>
      <c r="BX522" s="206"/>
      <c r="BY522" s="16">
        <f>CA519-((CA519*CA521)/BY520)</f>
        <v>1.1556840330414868</v>
      </c>
      <c r="BZ522" s="16">
        <f>CA519-((CA519*CA521)/BZ520)</f>
        <v>-4.2987517000194266</v>
      </c>
      <c r="CA522" s="206"/>
      <c r="CB522" s="16">
        <f>CD519-((CD519*CD521)/CB520)</f>
        <v>-0.5981201681360897</v>
      </c>
      <c r="CC522" s="16">
        <f>CC519-((CC519*CD521)/CC520)</f>
        <v>-0.10540902403138785</v>
      </c>
      <c r="CD522" s="206"/>
      <c r="CE522" s="16">
        <f>CG519-((CG519*CG521)/CE520)</f>
        <v>-0.48782755966127844</v>
      </c>
      <c r="CF522" s="16">
        <f>CG519-((CG519*CG521)/CF520)</f>
        <v>-2.4076588989844439E-2</v>
      </c>
      <c r="CG522" s="206">
        <f>CE522+CF522</f>
        <v>-0.51190414865112288</v>
      </c>
      <c r="CH522" s="16">
        <v>7.6864284477284883E-3</v>
      </c>
      <c r="CI522" s="16">
        <f>CJ519-((CJ519*CJ521)/CI520)</f>
        <v>8.9253824395312487E-2</v>
      </c>
      <c r="CJ522" s="206">
        <f>CH522+CI522</f>
        <v>9.6940252843040975E-2</v>
      </c>
      <c r="CK522" s="16"/>
      <c r="CL522" s="16"/>
      <c r="CM522" s="206"/>
      <c r="CN522" s="16"/>
      <c r="CO522" s="16"/>
      <c r="CP522" s="206"/>
      <c r="CQ522" s="3"/>
      <c r="CR522" s="3"/>
      <c r="CS522" s="190"/>
      <c r="CT522" s="3"/>
      <c r="CU522" s="3"/>
      <c r="CV522" s="190"/>
      <c r="CW522" s="3"/>
      <c r="CX522" s="3"/>
      <c r="CY522" s="2"/>
      <c r="CZ522" s="3"/>
      <c r="DA522" s="3"/>
      <c r="DB522" s="2"/>
      <c r="DC522" s="3"/>
      <c r="DD522" s="3"/>
      <c r="DE522" s="2"/>
      <c r="DF522" s="3"/>
      <c r="DG522" s="3"/>
      <c r="DH522" s="1096"/>
      <c r="DI522" s="3"/>
      <c r="DJ522" s="3"/>
      <c r="DK522" s="1096"/>
      <c r="DL522" s="3"/>
      <c r="DM522" s="3"/>
      <c r="DN522" s="1096"/>
      <c r="DO522" s="3"/>
      <c r="DP522" s="3"/>
      <c r="DQ522" s="1096"/>
      <c r="DR522" s="3"/>
      <c r="DS522" s="3"/>
      <c r="DT522" s="1096"/>
      <c r="DU522" s="3"/>
      <c r="DV522" s="3"/>
      <c r="DW522" s="1096"/>
      <c r="DX522" s="3"/>
      <c r="DY522" s="102"/>
      <c r="DZ522" s="1096"/>
      <c r="EA522" s="3"/>
      <c r="EB522" s="102"/>
      <c r="EC522" s="1096"/>
      <c r="ED522" s="3"/>
      <c r="EE522" s="3"/>
      <c r="EF522" s="2"/>
      <c r="EG522" s="3"/>
      <c r="EH522" s="3"/>
      <c r="EI522" s="2"/>
      <c r="EJ522" s="3"/>
      <c r="EK522" s="3"/>
      <c r="EL522" s="2"/>
      <c r="EM522" s="3"/>
      <c r="EN522" s="3"/>
      <c r="EO522" s="2"/>
      <c r="EP522" s="3"/>
      <c r="EQ522" s="3"/>
      <c r="ER522" s="2"/>
      <c r="ES522" s="3"/>
      <c r="ET522" s="3"/>
      <c r="EU522" s="2"/>
      <c r="EV522" s="3"/>
      <c r="EW522" s="3"/>
      <c r="EX522" s="2"/>
      <c r="EY522" s="3"/>
      <c r="EZ522" s="3"/>
      <c r="FA522" s="2"/>
      <c r="FH522" s="35"/>
      <c r="FI522" s="35"/>
      <c r="FJ522" s="35"/>
      <c r="FK522" s="35"/>
      <c r="FL522" s="35"/>
      <c r="FM522" s="35"/>
      <c r="FN522" s="35"/>
      <c r="FO522" s="35"/>
      <c r="FP522" s="35"/>
      <c r="FQ522" s="35"/>
    </row>
    <row r="523" spans="1:173" s="321" customFormat="1">
      <c r="A523" s="1168"/>
      <c r="B523" s="331"/>
      <c r="C523" s="331"/>
      <c r="D523" s="910"/>
      <c r="E523" s="3"/>
      <c r="F523" s="3"/>
      <c r="G523" s="2"/>
      <c r="H523" s="3"/>
      <c r="I523" s="3"/>
      <c r="J523" s="2"/>
      <c r="K523" s="3"/>
      <c r="L523" s="3"/>
      <c r="M523" s="2"/>
      <c r="N523" s="3"/>
      <c r="O523" s="3"/>
      <c r="P523" s="2"/>
      <c r="Q523" s="3"/>
      <c r="R523" s="3"/>
      <c r="S523" s="2"/>
      <c r="T523" s="3"/>
      <c r="U523" s="3"/>
      <c r="V523" s="2"/>
      <c r="W523" s="3"/>
      <c r="X523" s="3"/>
      <c r="Y523" s="2"/>
      <c r="Z523" s="3"/>
      <c r="AA523" s="3"/>
      <c r="AB523" s="2"/>
      <c r="AC523" s="3"/>
      <c r="AD523" s="3"/>
      <c r="AE523" s="2"/>
      <c r="AF523" s="3"/>
      <c r="AG523" s="3"/>
      <c r="AH523" s="2"/>
      <c r="AI523" s="3"/>
      <c r="AJ523" s="3"/>
      <c r="AK523" s="2"/>
      <c r="AL523" s="3"/>
      <c r="AM523" s="3"/>
      <c r="AN523" s="2"/>
      <c r="AO523" s="3"/>
      <c r="AP523" s="3"/>
      <c r="AQ523" s="2"/>
      <c r="AR523" s="3"/>
      <c r="AS523" s="3"/>
      <c r="AT523" s="2"/>
      <c r="AU523" s="3"/>
      <c r="AV523" s="3"/>
      <c r="AW523" s="2"/>
      <c r="AX523" s="3"/>
      <c r="AY523" s="3"/>
      <c r="AZ523" s="2"/>
      <c r="BA523" s="3"/>
      <c r="BB523" s="3"/>
      <c r="BC523" s="47"/>
      <c r="BD523" s="3"/>
      <c r="BE523" s="3"/>
      <c r="BF523" s="47"/>
      <c r="BG523" s="3"/>
      <c r="BH523" s="3"/>
      <c r="BI523" s="60"/>
      <c r="BJ523" s="127"/>
      <c r="BK523" s="127"/>
      <c r="BL523" s="128"/>
      <c r="BM523" s="127"/>
      <c r="BN523" s="127"/>
      <c r="BO523" s="128"/>
      <c r="BP523" s="127"/>
      <c r="BQ523" s="127"/>
      <c r="BR523" s="128"/>
      <c r="BS523" s="16"/>
      <c r="BT523" s="16"/>
      <c r="BU523" s="205"/>
      <c r="BV523" s="16"/>
      <c r="BW523" s="16"/>
      <c r="BX523" s="206"/>
      <c r="BY523" s="16"/>
      <c r="BZ523" s="16"/>
      <c r="CA523" s="206"/>
      <c r="CB523" s="16"/>
      <c r="CC523" s="16"/>
      <c r="CD523" s="206"/>
      <c r="CE523" s="16"/>
      <c r="CF523" s="16"/>
      <c r="CG523" s="206"/>
      <c r="CH523" s="16"/>
      <c r="CI523" s="16"/>
      <c r="CJ523" s="206"/>
      <c r="CK523" s="16"/>
      <c r="CL523" s="16"/>
      <c r="CM523" s="206"/>
      <c r="CN523" s="16"/>
      <c r="CO523" s="16"/>
      <c r="CP523" s="206"/>
      <c r="CQ523" s="3"/>
      <c r="CR523" s="3"/>
      <c r="CS523" s="190"/>
      <c r="CT523" s="3"/>
      <c r="CU523" s="3"/>
      <c r="CV523" s="190"/>
      <c r="CW523" s="3"/>
      <c r="CX523" s="3"/>
      <c r="CY523" s="2"/>
      <c r="CZ523" s="3"/>
      <c r="DA523" s="3"/>
      <c r="DB523" s="2"/>
      <c r="DC523" s="3"/>
      <c r="DD523" s="3"/>
      <c r="DE523" s="2"/>
      <c r="DF523" s="3"/>
      <c r="DG523" s="3"/>
      <c r="DH523" s="1096"/>
      <c r="DI523" s="3"/>
      <c r="DJ523" s="3"/>
      <c r="DK523" s="1096"/>
      <c r="DL523" s="3"/>
      <c r="DM523" s="3"/>
      <c r="DN523" s="1096"/>
      <c r="DO523" s="3"/>
      <c r="DP523" s="3"/>
      <c r="DQ523" s="1096"/>
      <c r="DR523" s="3"/>
      <c r="DS523" s="3"/>
      <c r="DT523" s="1096"/>
      <c r="DU523" s="3"/>
      <c r="DV523" s="3"/>
      <c r="DW523" s="1096"/>
      <c r="DX523" s="3"/>
      <c r="DY523" s="102"/>
      <c r="DZ523" s="1096"/>
      <c r="EA523" s="3"/>
      <c r="EB523" s="102"/>
      <c r="EC523" s="1096"/>
      <c r="ED523" s="3"/>
      <c r="EE523" s="3"/>
      <c r="EF523" s="2"/>
      <c r="EG523" s="3"/>
      <c r="EH523" s="3"/>
      <c r="EI523" s="2"/>
      <c r="EJ523" s="3"/>
      <c r="EK523" s="3"/>
      <c r="EL523" s="2"/>
      <c r="EM523" s="3"/>
      <c r="EN523" s="3"/>
      <c r="EO523" s="2"/>
      <c r="EP523" s="3"/>
      <c r="EQ523" s="3"/>
      <c r="ER523" s="2"/>
      <c r="ES523" s="3"/>
      <c r="ET523" s="3"/>
      <c r="EU523" s="2"/>
      <c r="EV523" s="3"/>
      <c r="EW523" s="3"/>
      <c r="EX523" s="2"/>
      <c r="EY523" s="3"/>
      <c r="EZ523" s="3"/>
      <c r="FA523" s="2"/>
      <c r="FH523" s="35"/>
      <c r="FI523" s="35"/>
      <c r="FJ523" s="35"/>
      <c r="FK523" s="35"/>
      <c r="FL523" s="35"/>
      <c r="FM523" s="35"/>
      <c r="FN523" s="35"/>
      <c r="FO523" s="35"/>
      <c r="FP523" s="35"/>
      <c r="FQ523" s="35"/>
    </row>
    <row r="524" spans="1:173" s="321" customFormat="1">
      <c r="A524" s="1168"/>
      <c r="B524" s="331"/>
      <c r="C524" s="331" t="s">
        <v>855</v>
      </c>
      <c r="D524" s="910" t="s">
        <v>441</v>
      </c>
      <c r="E524" s="3"/>
      <c r="F524" s="3"/>
      <c r="G524" s="2"/>
      <c r="H524" s="3"/>
      <c r="I524" s="3"/>
      <c r="J524" s="2"/>
      <c r="K524" s="3"/>
      <c r="L524" s="3"/>
      <c r="M524" s="2"/>
      <c r="N524" s="3"/>
      <c r="O524" s="3"/>
      <c r="P524" s="2"/>
      <c r="Q524" s="3"/>
      <c r="R524" s="3"/>
      <c r="S524" s="2"/>
      <c r="T524" s="3"/>
      <c r="U524" s="3"/>
      <c r="V524" s="2"/>
      <c r="W524" s="3"/>
      <c r="X524" s="3"/>
      <c r="Y524" s="2"/>
      <c r="Z524" s="3"/>
      <c r="AA524" s="3"/>
      <c r="AB524" s="2"/>
      <c r="AC524" s="3"/>
      <c r="AD524" s="3"/>
      <c r="AE524" s="2"/>
      <c r="AF524" s="3"/>
      <c r="AG524" s="3"/>
      <c r="AH524" s="2"/>
      <c r="AI524" s="3"/>
      <c r="AJ524" s="3"/>
      <c r="AK524" s="2"/>
      <c r="AL524" s="3"/>
      <c r="AM524" s="3"/>
      <c r="AN524" s="2"/>
      <c r="AO524" s="3"/>
      <c r="AP524" s="3"/>
      <c r="AQ524" s="2"/>
      <c r="AR524" s="3"/>
      <c r="AS524" s="3"/>
      <c r="AT524" s="2"/>
      <c r="AU524" s="3"/>
      <c r="AV524" s="3"/>
      <c r="AW524" s="2"/>
      <c r="AX524" s="3"/>
      <c r="AY524" s="3"/>
      <c r="AZ524" s="2"/>
      <c r="BA524" s="3"/>
      <c r="BB524" s="3"/>
      <c r="BC524" s="47"/>
      <c r="BD524" s="3"/>
      <c r="BE524" s="3"/>
      <c r="BF524" s="47"/>
      <c r="BG524" s="3"/>
      <c r="BH524" s="3" t="str">
        <f>C524</f>
        <v>SEK</v>
      </c>
      <c r="BI524" s="61" t="str">
        <f>D524</f>
        <v>A$ amount</v>
      </c>
      <c r="BJ524" s="127"/>
      <c r="BK524" s="127"/>
      <c r="BL524" s="128">
        <v>16.393999999999998</v>
      </c>
      <c r="BM524" s="127"/>
      <c r="BN524" s="127"/>
      <c r="BO524" s="128">
        <v>16.202000000000002</v>
      </c>
      <c r="BP524" s="127"/>
      <c r="BQ524" s="127"/>
      <c r="BR524" s="128">
        <v>10.16</v>
      </c>
      <c r="BS524" s="16"/>
      <c r="BT524" s="16"/>
      <c r="BU524" s="205">
        <v>24.986000000000001</v>
      </c>
      <c r="BV524" s="16"/>
      <c r="BW524" s="16"/>
      <c r="BX524" s="206">
        <v>36.6</v>
      </c>
      <c r="BY524" s="16"/>
      <c r="BZ524" s="16"/>
      <c r="CA524" s="206">
        <v>0</v>
      </c>
      <c r="CB524" s="16"/>
      <c r="CC524" s="16"/>
      <c r="CD524" s="206">
        <v>0</v>
      </c>
      <c r="CE524" s="16"/>
      <c r="CF524" s="16"/>
      <c r="CG524" s="206">
        <v>0</v>
      </c>
      <c r="CH524" s="16"/>
      <c r="CI524" s="16"/>
      <c r="CJ524" s="206">
        <v>0</v>
      </c>
      <c r="CK524" s="16"/>
      <c r="CL524" s="16"/>
      <c r="CM524" s="206"/>
      <c r="CN524" s="16"/>
      <c r="CO524" s="16"/>
      <c r="CP524" s="206"/>
      <c r="CQ524" s="3"/>
      <c r="CR524" s="3"/>
      <c r="CS524" s="190"/>
      <c r="CT524" s="3"/>
      <c r="CU524" s="3"/>
      <c r="CV524" s="190"/>
      <c r="CW524" s="3"/>
      <c r="CX524" s="3"/>
      <c r="CY524" s="2"/>
      <c r="CZ524" s="3"/>
      <c r="DA524" s="3"/>
      <c r="DB524" s="2"/>
      <c r="DC524" s="3"/>
      <c r="DD524" s="3"/>
      <c r="DE524" s="2"/>
      <c r="DF524" s="3"/>
      <c r="DG524" s="3"/>
      <c r="DH524" s="1096"/>
      <c r="DI524" s="3"/>
      <c r="DJ524" s="3"/>
      <c r="DK524" s="1096"/>
      <c r="DL524" s="3"/>
      <c r="DM524" s="3"/>
      <c r="DN524" s="1096"/>
      <c r="DO524" s="3"/>
      <c r="DP524" s="3"/>
      <c r="DQ524" s="1096"/>
      <c r="DR524" s="3"/>
      <c r="DS524" s="3"/>
      <c r="DT524" s="1096"/>
      <c r="DU524" s="3"/>
      <c r="DV524" s="3"/>
      <c r="DW524" s="1096"/>
      <c r="DX524" s="3"/>
      <c r="DY524" s="102"/>
      <c r="DZ524" s="1096"/>
      <c r="EA524" s="3"/>
      <c r="EB524" s="102"/>
      <c r="EC524" s="1096"/>
      <c r="ED524" s="3"/>
      <c r="EE524" s="3"/>
      <c r="EF524" s="2"/>
      <c r="EG524" s="3"/>
      <c r="EH524" s="3"/>
      <c r="EI524" s="2"/>
      <c r="EJ524" s="3"/>
      <c r="EK524" s="3"/>
      <c r="EL524" s="2"/>
      <c r="EM524" s="3"/>
      <c r="EN524" s="3"/>
      <c r="EO524" s="2"/>
      <c r="EP524" s="3"/>
      <c r="EQ524" s="3"/>
      <c r="ER524" s="2"/>
      <c r="ES524" s="3"/>
      <c r="ET524" s="3"/>
      <c r="EU524" s="2"/>
      <c r="EV524" s="3"/>
      <c r="EW524" s="3"/>
      <c r="EX524" s="2"/>
      <c r="EY524" s="3"/>
      <c r="EZ524" s="3"/>
      <c r="FA524" s="2"/>
      <c r="FH524" s="35"/>
      <c r="FI524" s="35"/>
      <c r="FJ524" s="35"/>
      <c r="FK524" s="35"/>
      <c r="FL524" s="35"/>
      <c r="FM524" s="35"/>
      <c r="FN524" s="35"/>
      <c r="FO524" s="35"/>
      <c r="FP524" s="35"/>
      <c r="FQ524" s="35"/>
    </row>
    <row r="525" spans="1:173" s="321" customFormat="1">
      <c r="A525" s="1168"/>
      <c r="B525" s="331"/>
      <c r="C525" s="331"/>
      <c r="D525" s="82" t="s">
        <v>165</v>
      </c>
      <c r="E525" s="3"/>
      <c r="F525" s="3"/>
      <c r="G525" s="2"/>
      <c r="H525" s="3"/>
      <c r="I525" s="3"/>
      <c r="J525" s="2"/>
      <c r="K525" s="3"/>
      <c r="L525" s="3"/>
      <c r="M525" s="2"/>
      <c r="N525" s="3"/>
      <c r="O525" s="3"/>
      <c r="P525" s="2"/>
      <c r="Q525" s="3"/>
      <c r="R525" s="3"/>
      <c r="S525" s="2"/>
      <c r="T525" s="3"/>
      <c r="U525" s="3"/>
      <c r="V525" s="2"/>
      <c r="W525" s="3"/>
      <c r="X525" s="3"/>
      <c r="Y525" s="2"/>
      <c r="Z525" s="3"/>
      <c r="AA525" s="3"/>
      <c r="AB525" s="2"/>
      <c r="AC525" s="3"/>
      <c r="AD525" s="3"/>
      <c r="AE525" s="2"/>
      <c r="AF525" s="3"/>
      <c r="AG525" s="3"/>
      <c r="AH525" s="2"/>
      <c r="AI525" s="3"/>
      <c r="AJ525" s="3"/>
      <c r="AK525" s="2"/>
      <c r="AL525" s="3"/>
      <c r="AM525" s="3"/>
      <c r="AN525" s="2"/>
      <c r="AO525" s="3"/>
      <c r="AP525" s="3"/>
      <c r="AQ525" s="2"/>
      <c r="AR525" s="3"/>
      <c r="AS525" s="3"/>
      <c r="AT525" s="2"/>
      <c r="AU525" s="3"/>
      <c r="AV525" s="3"/>
      <c r="AW525" s="2"/>
      <c r="AX525" s="3"/>
      <c r="AY525" s="3"/>
      <c r="AZ525" s="2"/>
      <c r="BA525" s="3"/>
      <c r="BB525" s="3"/>
      <c r="BC525" s="47"/>
      <c r="BD525" s="3"/>
      <c r="BE525" s="3"/>
      <c r="BF525" s="47"/>
      <c r="BG525" s="3"/>
      <c r="BH525" s="3"/>
      <c r="BI525" s="61" t="str">
        <f>D525</f>
        <v>Average rate</v>
      </c>
      <c r="BJ525" s="127">
        <v>5.4</v>
      </c>
      <c r="BK525" s="127">
        <v>5.8</v>
      </c>
      <c r="BL525" s="128"/>
      <c r="BM525" s="127">
        <f>BK525</f>
        <v>5.8</v>
      </c>
      <c r="BN525" s="127">
        <f>BM525</f>
        <v>5.8</v>
      </c>
      <c r="BO525" s="128"/>
      <c r="BP525" s="127">
        <f>BN525</f>
        <v>5.8</v>
      </c>
      <c r="BQ525" s="127">
        <f>BP525</f>
        <v>5.8</v>
      </c>
      <c r="BR525" s="128"/>
      <c r="BS525" s="43">
        <f>BQ525</f>
        <v>5.8</v>
      </c>
      <c r="BT525" s="16">
        <f>BS525</f>
        <v>5.8</v>
      </c>
      <c r="BU525" s="205"/>
      <c r="BV525" s="43">
        <v>5.92</v>
      </c>
      <c r="BW525" s="43">
        <v>5.6670400000000001</v>
      </c>
      <c r="BX525" s="206"/>
      <c r="BY525" s="16">
        <v>0</v>
      </c>
      <c r="BZ525" s="16">
        <v>0</v>
      </c>
      <c r="CA525" s="206"/>
      <c r="CB525" s="16">
        <v>0</v>
      </c>
      <c r="CC525" s="16">
        <v>0</v>
      </c>
      <c r="CD525" s="206"/>
      <c r="CE525" s="16">
        <v>0</v>
      </c>
      <c r="CF525" s="16">
        <v>0</v>
      </c>
      <c r="CG525" s="206"/>
      <c r="CH525" s="16">
        <v>0</v>
      </c>
      <c r="CI525" s="16">
        <v>0</v>
      </c>
      <c r="CJ525" s="206"/>
      <c r="CK525" s="16"/>
      <c r="CL525" s="16"/>
      <c r="CM525" s="206"/>
      <c r="CN525" s="16"/>
      <c r="CO525" s="16"/>
      <c r="CP525" s="206"/>
      <c r="CQ525" s="3"/>
      <c r="CR525" s="3"/>
      <c r="CS525" s="190"/>
      <c r="CT525" s="3"/>
      <c r="CU525" s="3"/>
      <c r="CV525" s="190"/>
      <c r="CW525" s="3"/>
      <c r="CX525" s="3"/>
      <c r="CY525" s="2"/>
      <c r="CZ525" s="3"/>
      <c r="DA525" s="3"/>
      <c r="DB525" s="2"/>
      <c r="DC525" s="3"/>
      <c r="DD525" s="3"/>
      <c r="DE525" s="2"/>
      <c r="DF525" s="3"/>
      <c r="DG525" s="3"/>
      <c r="DH525" s="1096"/>
      <c r="DI525" s="3"/>
      <c r="DJ525" s="3"/>
      <c r="DK525" s="1096"/>
      <c r="DL525" s="3"/>
      <c r="DM525" s="3"/>
      <c r="DN525" s="1096"/>
      <c r="DO525" s="3"/>
      <c r="DP525" s="3"/>
      <c r="DQ525" s="1096"/>
      <c r="DR525" s="3"/>
      <c r="DS525" s="3"/>
      <c r="DT525" s="1096"/>
      <c r="DU525" s="3"/>
      <c r="DV525" s="3"/>
      <c r="DW525" s="1096"/>
      <c r="DX525" s="3"/>
      <c r="DY525" s="102"/>
      <c r="DZ525" s="1096"/>
      <c r="EA525" s="3"/>
      <c r="EB525" s="102"/>
      <c r="EC525" s="1096"/>
      <c r="ED525" s="3"/>
      <c r="EE525" s="3"/>
      <c r="EF525" s="2"/>
      <c r="EG525" s="3"/>
      <c r="EH525" s="3"/>
      <c r="EI525" s="2"/>
      <c r="EJ525" s="3"/>
      <c r="EK525" s="3"/>
      <c r="EL525" s="2"/>
      <c r="EM525" s="3"/>
      <c r="EN525" s="3"/>
      <c r="EO525" s="2"/>
      <c r="EP525" s="3"/>
      <c r="EQ525" s="3"/>
      <c r="ER525" s="2"/>
      <c r="ES525" s="3"/>
      <c r="ET525" s="3"/>
      <c r="EU525" s="2"/>
      <c r="EV525" s="3"/>
      <c r="EW525" s="3"/>
      <c r="EX525" s="2"/>
      <c r="EY525" s="3"/>
      <c r="EZ525" s="3"/>
      <c r="FA525" s="2"/>
      <c r="FH525" s="35"/>
      <c r="FI525" s="35"/>
      <c r="FJ525" s="35"/>
      <c r="FK525" s="35"/>
      <c r="FL525" s="35"/>
      <c r="FM525" s="35"/>
      <c r="FN525" s="35"/>
      <c r="FO525" s="35"/>
      <c r="FP525" s="35"/>
      <c r="FQ525" s="35"/>
    </row>
    <row r="526" spans="1:173" s="321" customFormat="1">
      <c r="A526" s="1168"/>
      <c r="B526" s="331"/>
      <c r="C526" s="331"/>
      <c r="D526" s="910" t="s">
        <v>442</v>
      </c>
      <c r="E526" s="3"/>
      <c r="F526" s="3"/>
      <c r="G526" s="2"/>
      <c r="H526" s="3"/>
      <c r="I526" s="3"/>
      <c r="J526" s="2"/>
      <c r="K526" s="3"/>
      <c r="L526" s="3"/>
      <c r="M526" s="2"/>
      <c r="N526" s="3"/>
      <c r="O526" s="3"/>
      <c r="P526" s="2"/>
      <c r="Q526" s="3"/>
      <c r="R526" s="3"/>
      <c r="S526" s="2"/>
      <c r="T526" s="3"/>
      <c r="U526" s="3"/>
      <c r="V526" s="2"/>
      <c r="W526" s="3"/>
      <c r="X526" s="3"/>
      <c r="Y526" s="2"/>
      <c r="Z526" s="3"/>
      <c r="AA526" s="3"/>
      <c r="AB526" s="2"/>
      <c r="AC526" s="3"/>
      <c r="AD526" s="3"/>
      <c r="AE526" s="2"/>
      <c r="AF526" s="3"/>
      <c r="AG526" s="3"/>
      <c r="AH526" s="2"/>
      <c r="AI526" s="3"/>
      <c r="AJ526" s="3"/>
      <c r="AK526" s="2"/>
      <c r="AL526" s="3"/>
      <c r="AM526" s="3"/>
      <c r="AN526" s="2"/>
      <c r="AO526" s="3"/>
      <c r="AP526" s="3"/>
      <c r="AQ526" s="2"/>
      <c r="AR526" s="3"/>
      <c r="AS526" s="3"/>
      <c r="AT526" s="2"/>
      <c r="AU526" s="3"/>
      <c r="AV526" s="3"/>
      <c r="AW526" s="2"/>
      <c r="AX526" s="3"/>
      <c r="AY526" s="3"/>
      <c r="AZ526" s="2"/>
      <c r="BA526" s="3"/>
      <c r="BB526" s="3"/>
      <c r="BC526" s="47"/>
      <c r="BD526" s="3"/>
      <c r="BE526" s="3"/>
      <c r="BF526" s="47"/>
      <c r="BG526" s="3"/>
      <c r="BH526" s="3"/>
      <c r="BI526" s="61" t="str">
        <f>D526</f>
        <v>Conversion rate</v>
      </c>
      <c r="BJ526" s="127"/>
      <c r="BK526" s="127"/>
      <c r="BL526" s="128">
        <v>4.1900000000000004</v>
      </c>
      <c r="BM526" s="127"/>
      <c r="BN526" s="127"/>
      <c r="BO526" s="128">
        <v>4.45</v>
      </c>
      <c r="BP526" s="127"/>
      <c r="BQ526" s="127"/>
      <c r="BR526" s="128">
        <v>4.87</v>
      </c>
      <c r="BS526" s="16"/>
      <c r="BT526" s="16"/>
      <c r="BU526" s="205">
        <v>5.51</v>
      </c>
      <c r="BV526" s="16"/>
      <c r="BW526" s="16"/>
      <c r="BX526" s="206">
        <v>5.29</v>
      </c>
      <c r="BY526" s="16"/>
      <c r="BZ526" s="16"/>
      <c r="CA526" s="206">
        <v>0</v>
      </c>
      <c r="CB526" s="16"/>
      <c r="CC526" s="16"/>
      <c r="CD526" s="206">
        <v>0</v>
      </c>
      <c r="CE526" s="16"/>
      <c r="CF526" s="16"/>
      <c r="CG526" s="206">
        <v>0</v>
      </c>
      <c r="CH526" s="16"/>
      <c r="CI526" s="16"/>
      <c r="CJ526" s="206">
        <v>0</v>
      </c>
      <c r="CK526" s="16"/>
      <c r="CL526" s="16"/>
      <c r="CM526" s="206"/>
      <c r="CN526" s="16"/>
      <c r="CO526" s="16"/>
      <c r="CP526" s="206"/>
      <c r="CQ526" s="3"/>
      <c r="CR526" s="3"/>
      <c r="CS526" s="190"/>
      <c r="CT526" s="3"/>
      <c r="CU526" s="3"/>
      <c r="CV526" s="190"/>
      <c r="CW526" s="3"/>
      <c r="CX526" s="3"/>
      <c r="CY526" s="2"/>
      <c r="CZ526" s="3"/>
      <c r="DA526" s="3"/>
      <c r="DB526" s="2"/>
      <c r="DC526" s="3"/>
      <c r="DD526" s="3"/>
      <c r="DE526" s="2"/>
      <c r="DF526" s="3"/>
      <c r="DG526" s="3"/>
      <c r="DH526" s="1096"/>
      <c r="DI526" s="3"/>
      <c r="DJ526" s="3"/>
      <c r="DK526" s="1096"/>
      <c r="DL526" s="3"/>
      <c r="DM526" s="3"/>
      <c r="DN526" s="1096"/>
      <c r="DO526" s="3"/>
      <c r="DP526" s="3"/>
      <c r="DQ526" s="1096"/>
      <c r="DR526" s="3"/>
      <c r="DS526" s="3"/>
      <c r="DT526" s="1096"/>
      <c r="DU526" s="3"/>
      <c r="DV526" s="3"/>
      <c r="DW526" s="1096"/>
      <c r="DX526" s="3"/>
      <c r="DY526" s="102"/>
      <c r="DZ526" s="1096"/>
      <c r="EA526" s="3"/>
      <c r="EB526" s="102"/>
      <c r="EC526" s="1096"/>
      <c r="ED526" s="3"/>
      <c r="EE526" s="3"/>
      <c r="EF526" s="2"/>
      <c r="EG526" s="3"/>
      <c r="EH526" s="3"/>
      <c r="EI526" s="2"/>
      <c r="EJ526" s="3"/>
      <c r="EK526" s="3"/>
      <c r="EL526" s="2"/>
      <c r="EM526" s="3"/>
      <c r="EN526" s="3"/>
      <c r="EO526" s="2"/>
      <c r="EP526" s="3"/>
      <c r="EQ526" s="3"/>
      <c r="ER526" s="2"/>
      <c r="ES526" s="3"/>
      <c r="ET526" s="3"/>
      <c r="EU526" s="2"/>
      <c r="EV526" s="3"/>
      <c r="EW526" s="3"/>
      <c r="EX526" s="2"/>
      <c r="EY526" s="3"/>
      <c r="EZ526" s="3"/>
      <c r="FA526" s="2"/>
      <c r="FH526" s="35"/>
      <c r="FI526" s="35"/>
      <c r="FJ526" s="35"/>
      <c r="FK526" s="35"/>
      <c r="FL526" s="35"/>
      <c r="FM526" s="35"/>
      <c r="FN526" s="35"/>
      <c r="FO526" s="35"/>
      <c r="FP526" s="35"/>
      <c r="FQ526" s="35"/>
    </row>
    <row r="527" spans="1:173" s="321" customFormat="1">
      <c r="A527" s="1168"/>
      <c r="B527" s="331"/>
      <c r="C527" s="331"/>
      <c r="D527" s="910" t="s">
        <v>166</v>
      </c>
      <c r="E527" s="3"/>
      <c r="F527" s="3"/>
      <c r="G527" s="2"/>
      <c r="H527" s="3"/>
      <c r="I527" s="3"/>
      <c r="J527" s="2"/>
      <c r="K527" s="3"/>
      <c r="L527" s="3"/>
      <c r="M527" s="2"/>
      <c r="N527" s="3"/>
      <c r="O527" s="3"/>
      <c r="P527" s="2"/>
      <c r="Q527" s="3"/>
      <c r="R527" s="3"/>
      <c r="S527" s="2"/>
      <c r="T527" s="3"/>
      <c r="U527" s="3"/>
      <c r="V527" s="2"/>
      <c r="W527" s="3"/>
      <c r="X527" s="3"/>
      <c r="Y527" s="2"/>
      <c r="Z527" s="3"/>
      <c r="AA527" s="3"/>
      <c r="AB527" s="2"/>
      <c r="AC527" s="3"/>
      <c r="AD527" s="3"/>
      <c r="AE527" s="2"/>
      <c r="AF527" s="3"/>
      <c r="AG527" s="3"/>
      <c r="AH527" s="2"/>
      <c r="AI527" s="3"/>
      <c r="AJ527" s="3"/>
      <c r="AK527" s="2"/>
      <c r="AL527" s="3"/>
      <c r="AM527" s="3"/>
      <c r="AN527" s="2"/>
      <c r="AO527" s="3"/>
      <c r="AP527" s="3"/>
      <c r="AQ527" s="2"/>
      <c r="AR527" s="3"/>
      <c r="AS527" s="3"/>
      <c r="AT527" s="2"/>
      <c r="AU527" s="3"/>
      <c r="AV527" s="3"/>
      <c r="AW527" s="2"/>
      <c r="AX527" s="3"/>
      <c r="AY527" s="3"/>
      <c r="AZ527" s="2"/>
      <c r="BA527" s="3"/>
      <c r="BB527" s="3"/>
      <c r="BC527" s="47"/>
      <c r="BD527" s="3"/>
      <c r="BE527" s="3"/>
      <c r="BF527" s="47"/>
      <c r="BG527" s="3"/>
      <c r="BH527" s="3"/>
      <c r="BI527" s="61" t="str">
        <f>D527</f>
        <v>"Value"</v>
      </c>
      <c r="BJ527" s="127">
        <f>BL524-((BL524*BL526)/BJ525)</f>
        <v>3.6734703703703691</v>
      </c>
      <c r="BK527" s="127">
        <f>(BL524/2)-(((BL524/2)*BL526)/BK525)</f>
        <v>2.275374137931033</v>
      </c>
      <c r="BL527" s="128"/>
      <c r="BM527" s="127">
        <f>BO524-((BO524*BO526)/BM525)</f>
        <v>3.7711551724137919</v>
      </c>
      <c r="BN527" s="127">
        <f>BO524-((BO524*BO526)/BN525)</f>
        <v>3.7711551724137919</v>
      </c>
      <c r="BO527" s="128"/>
      <c r="BP527" s="127">
        <f>BR524-((BR524*BR526)/BP525)</f>
        <v>1.6291034482758615</v>
      </c>
      <c r="BQ527" s="127">
        <f>BR524-((BR524*BR526)/BQ525)</f>
        <v>1.6291034482758615</v>
      </c>
      <c r="BR527" s="128"/>
      <c r="BS527" s="16">
        <f>BU524-((BU524*BU526)/BS525)</f>
        <v>1.2493000000000016</v>
      </c>
      <c r="BT527" s="16">
        <f>BU524-((BU524*BU526)/BT525)</f>
        <v>1.2493000000000016</v>
      </c>
      <c r="BU527" s="205"/>
      <c r="BV527" s="16">
        <f>BX524-((BX524*BX526)/BV525)</f>
        <v>3.8949324324324337</v>
      </c>
      <c r="BW527" s="16">
        <f>BX524-((BX524*BX526)/BW525)</f>
        <v>2.435074395098674</v>
      </c>
      <c r="BX527" s="206"/>
      <c r="BY527" s="16">
        <v>0</v>
      </c>
      <c r="BZ527" s="16">
        <v>0</v>
      </c>
      <c r="CA527" s="206"/>
      <c r="CB527" s="16">
        <v>0</v>
      </c>
      <c r="CC527" s="16">
        <v>0</v>
      </c>
      <c r="CD527" s="206"/>
      <c r="CE527" s="16">
        <v>0</v>
      </c>
      <c r="CF527" s="16">
        <v>0</v>
      </c>
      <c r="CG527" s="206"/>
      <c r="CH527" s="16">
        <v>0</v>
      </c>
      <c r="CI527" s="16">
        <v>0</v>
      </c>
      <c r="CJ527" s="206"/>
      <c r="CK527" s="16"/>
      <c r="CL527" s="16"/>
      <c r="CM527" s="206"/>
      <c r="CN527" s="16"/>
      <c r="CO527" s="16"/>
      <c r="CP527" s="206"/>
      <c r="CQ527" s="3"/>
      <c r="CR527" s="3"/>
      <c r="CS527" s="190"/>
      <c r="CT527" s="3"/>
      <c r="CU527" s="3"/>
      <c r="CV527" s="190"/>
      <c r="CW527" s="3"/>
      <c r="CX527" s="3"/>
      <c r="CY527" s="2"/>
      <c r="CZ527" s="3"/>
      <c r="DA527" s="3"/>
      <c r="DB527" s="2"/>
      <c r="DC527" s="3"/>
      <c r="DD527" s="3"/>
      <c r="DE527" s="2"/>
      <c r="DF527" s="3"/>
      <c r="DG527" s="3"/>
      <c r="DH527" s="1096"/>
      <c r="DI527" s="3"/>
      <c r="DJ527" s="3"/>
      <c r="DK527" s="1096"/>
      <c r="DL527" s="3"/>
      <c r="DM527" s="3"/>
      <c r="DN527" s="1096"/>
      <c r="DO527" s="3"/>
      <c r="DP527" s="3"/>
      <c r="DQ527" s="1096"/>
      <c r="DR527" s="3"/>
      <c r="DS527" s="3"/>
      <c r="DT527" s="1096"/>
      <c r="DU527" s="3"/>
      <c r="DV527" s="3"/>
      <c r="DW527" s="1096"/>
      <c r="DX527" s="3"/>
      <c r="DY527" s="102"/>
      <c r="DZ527" s="1096"/>
      <c r="EA527" s="3"/>
      <c r="EB527" s="102"/>
      <c r="EC527" s="1096"/>
      <c r="ED527" s="3"/>
      <c r="EE527" s="3"/>
      <c r="EF527" s="2"/>
      <c r="EG527" s="3"/>
      <c r="EH527" s="3"/>
      <c r="EI527" s="2"/>
      <c r="EJ527" s="3"/>
      <c r="EK527" s="3"/>
      <c r="EL527" s="2"/>
      <c r="EM527" s="3"/>
      <c r="EN527" s="3"/>
      <c r="EO527" s="2"/>
      <c r="EP527" s="3"/>
      <c r="EQ527" s="3"/>
      <c r="ER527" s="2"/>
      <c r="ES527" s="3"/>
      <c r="ET527" s="3"/>
      <c r="EU527" s="2"/>
      <c r="EV527" s="3"/>
      <c r="EW527" s="3"/>
      <c r="EX527" s="2"/>
      <c r="EY527" s="3"/>
      <c r="EZ527" s="3"/>
      <c r="FA527" s="2"/>
      <c r="FH527" s="35"/>
      <c r="FI527" s="35"/>
      <c r="FJ527" s="35"/>
      <c r="FK527" s="35"/>
      <c r="FL527" s="35"/>
      <c r="FM527" s="35"/>
      <c r="FN527" s="35"/>
      <c r="FO527" s="35"/>
      <c r="FP527" s="35"/>
      <c r="FQ527" s="35"/>
    </row>
    <row r="528" spans="1:173" s="321" customFormat="1">
      <c r="A528" s="1168"/>
      <c r="B528" s="331"/>
      <c r="C528" s="331"/>
      <c r="D528" s="910"/>
      <c r="E528" s="3"/>
      <c r="F528" s="3"/>
      <c r="G528" s="2"/>
      <c r="H528" s="3"/>
      <c r="I528" s="3"/>
      <c r="J528" s="2"/>
      <c r="K528" s="3"/>
      <c r="L528" s="3"/>
      <c r="M528" s="2"/>
      <c r="N528" s="3"/>
      <c r="O528" s="3"/>
      <c r="P528" s="2"/>
      <c r="Q528" s="3"/>
      <c r="R528" s="3"/>
      <c r="S528" s="2"/>
      <c r="T528" s="3"/>
      <c r="U528" s="3"/>
      <c r="V528" s="2"/>
      <c r="W528" s="3"/>
      <c r="X528" s="3"/>
      <c r="Y528" s="2"/>
      <c r="Z528" s="3"/>
      <c r="AA528" s="3"/>
      <c r="AB528" s="2"/>
      <c r="AC528" s="3"/>
      <c r="AD528" s="3"/>
      <c r="AE528" s="2"/>
      <c r="AF528" s="3"/>
      <c r="AG528" s="3"/>
      <c r="AH528" s="2"/>
      <c r="AI528" s="3"/>
      <c r="AJ528" s="3"/>
      <c r="AK528" s="2"/>
      <c r="AL528" s="3"/>
      <c r="AM528" s="3"/>
      <c r="AN528" s="2"/>
      <c r="AO528" s="3"/>
      <c r="AP528" s="3"/>
      <c r="AQ528" s="2"/>
      <c r="AR528" s="3"/>
      <c r="AS528" s="3"/>
      <c r="AT528" s="2"/>
      <c r="AU528" s="3"/>
      <c r="AV528" s="3"/>
      <c r="AW528" s="2"/>
      <c r="AX528" s="3"/>
      <c r="AY528" s="3"/>
      <c r="AZ528" s="2"/>
      <c r="BA528" s="3"/>
      <c r="BB528" s="3"/>
      <c r="BC528" s="47"/>
      <c r="BD528" s="3"/>
      <c r="BE528" s="3"/>
      <c r="BF528" s="47"/>
      <c r="BG528" s="3"/>
      <c r="BH528" s="3"/>
      <c r="BI528" s="61"/>
      <c r="BJ528" s="127"/>
      <c r="BK528" s="127"/>
      <c r="BL528" s="128"/>
      <c r="BM528" s="127"/>
      <c r="BN528" s="127"/>
      <c r="BO528" s="128"/>
      <c r="BP528" s="127"/>
      <c r="BQ528" s="127"/>
      <c r="BR528" s="128"/>
      <c r="BS528" s="16"/>
      <c r="BT528" s="16"/>
      <c r="BU528" s="205"/>
      <c r="BV528" s="16"/>
      <c r="BW528" s="16"/>
      <c r="BX528" s="206"/>
      <c r="BY528" s="16"/>
      <c r="BZ528" s="16"/>
      <c r="CA528" s="206"/>
      <c r="CB528" s="16"/>
      <c r="CC528" s="16"/>
      <c r="CD528" s="206"/>
      <c r="CE528" s="3"/>
      <c r="CF528" s="3"/>
      <c r="CG528" s="206"/>
      <c r="CH528" s="3"/>
      <c r="CI528" s="3"/>
      <c r="CJ528" s="206"/>
      <c r="CK528" s="3"/>
      <c r="CL528" s="8"/>
      <c r="CM528" s="206"/>
      <c r="CN528" s="3"/>
      <c r="CO528" s="3"/>
      <c r="CP528" s="206"/>
      <c r="CQ528" s="3"/>
      <c r="CR528" s="3"/>
      <c r="CS528" s="190"/>
      <c r="CT528" s="3"/>
      <c r="CU528" s="3"/>
      <c r="CV528" s="190"/>
      <c r="CW528" s="3"/>
      <c r="CX528" s="3"/>
      <c r="CY528" s="2"/>
      <c r="CZ528" s="3"/>
      <c r="DA528" s="3"/>
      <c r="DB528" s="2"/>
      <c r="DC528" s="3"/>
      <c r="DD528" s="3"/>
      <c r="DE528" s="2"/>
      <c r="DF528" s="3"/>
      <c r="DG528" s="3"/>
      <c r="DH528" s="1096"/>
      <c r="DI528" s="3"/>
      <c r="DJ528" s="3"/>
      <c r="DK528" s="1096"/>
      <c r="DL528" s="3"/>
      <c r="DM528" s="3"/>
      <c r="DN528" s="1096"/>
      <c r="DO528" s="3"/>
      <c r="DP528" s="3"/>
      <c r="DQ528" s="1096"/>
      <c r="DR528" s="3"/>
      <c r="DS528" s="3"/>
      <c r="DT528" s="1096"/>
      <c r="DU528" s="3"/>
      <c r="DV528" s="3"/>
      <c r="DW528" s="1096"/>
      <c r="DX528" s="3"/>
      <c r="DY528" s="102"/>
      <c r="DZ528" s="1096"/>
      <c r="EA528" s="3"/>
      <c r="EB528" s="102"/>
      <c r="EC528" s="1096"/>
      <c r="ED528" s="3"/>
      <c r="EE528" s="3"/>
      <c r="EF528" s="2"/>
      <c r="EG528" s="3"/>
      <c r="EH528" s="3"/>
      <c r="EI528" s="2"/>
      <c r="EJ528" s="3"/>
      <c r="EK528" s="3"/>
      <c r="EL528" s="2"/>
      <c r="EM528" s="3"/>
      <c r="EN528" s="3"/>
      <c r="EO528" s="2"/>
      <c r="EP528" s="3"/>
      <c r="EQ528" s="3"/>
      <c r="ER528" s="2"/>
      <c r="ES528" s="3"/>
      <c r="ET528" s="3"/>
      <c r="EU528" s="2"/>
      <c r="EV528" s="3"/>
      <c r="EW528" s="3"/>
      <c r="EX528" s="2"/>
      <c r="EY528" s="3"/>
      <c r="EZ528" s="3"/>
      <c r="FA528" s="2"/>
      <c r="FH528" s="35"/>
      <c r="FI528" s="35"/>
      <c r="FJ528" s="35"/>
      <c r="FK528" s="35"/>
      <c r="FL528" s="35"/>
      <c r="FM528" s="35"/>
      <c r="FN528" s="35"/>
      <c r="FO528" s="35"/>
      <c r="FP528" s="35"/>
      <c r="FQ528" s="35"/>
    </row>
    <row r="529" spans="1:173" s="321" customFormat="1">
      <c r="A529" s="1168"/>
      <c r="B529" s="331"/>
      <c r="C529" s="331" t="s">
        <v>444</v>
      </c>
      <c r="D529" s="910" t="s">
        <v>441</v>
      </c>
      <c r="E529" s="3"/>
      <c r="F529" s="3"/>
      <c r="G529" s="2"/>
      <c r="H529" s="3"/>
      <c r="I529" s="3"/>
      <c r="J529" s="2"/>
      <c r="K529" s="3"/>
      <c r="L529" s="3"/>
      <c r="M529" s="2"/>
      <c r="N529" s="3"/>
      <c r="O529" s="3"/>
      <c r="P529" s="2"/>
      <c r="Q529" s="3"/>
      <c r="R529" s="3"/>
      <c r="S529" s="2"/>
      <c r="T529" s="3"/>
      <c r="U529" s="3"/>
      <c r="V529" s="2"/>
      <c r="W529" s="3"/>
      <c r="X529" s="3"/>
      <c r="Y529" s="2"/>
      <c r="Z529" s="3"/>
      <c r="AA529" s="3"/>
      <c r="AB529" s="2"/>
      <c r="AC529" s="3"/>
      <c r="AD529" s="3"/>
      <c r="AE529" s="2"/>
      <c r="AF529" s="3"/>
      <c r="AG529" s="3"/>
      <c r="AH529" s="2"/>
      <c r="AI529" s="3"/>
      <c r="AJ529" s="3"/>
      <c r="AK529" s="2"/>
      <c r="AL529" s="3"/>
      <c r="AM529" s="3"/>
      <c r="AN529" s="2"/>
      <c r="AO529" s="3"/>
      <c r="AP529" s="3"/>
      <c r="AQ529" s="2"/>
      <c r="AR529" s="3"/>
      <c r="AS529" s="3"/>
      <c r="AT529" s="2"/>
      <c r="AU529" s="3"/>
      <c r="AV529" s="3"/>
      <c r="AW529" s="2"/>
      <c r="AX529" s="3"/>
      <c r="AY529" s="3"/>
      <c r="AZ529" s="2"/>
      <c r="BA529" s="3"/>
      <c r="BB529" s="3"/>
      <c r="BC529" s="47"/>
      <c r="BD529" s="3"/>
      <c r="BE529" s="3"/>
      <c r="BF529" s="47"/>
      <c r="BG529" s="3"/>
      <c r="BH529" s="3" t="str">
        <f>C529</f>
        <v>GBP</v>
      </c>
      <c r="BI529" s="61" t="str">
        <f>D529</f>
        <v>A$ amount</v>
      </c>
      <c r="BJ529" s="127"/>
      <c r="BK529" s="127"/>
      <c r="BL529" s="128">
        <v>17.779</v>
      </c>
      <c r="BM529" s="127"/>
      <c r="BN529" s="127"/>
      <c r="BO529" s="128">
        <v>5.8550000000000004</v>
      </c>
      <c r="BP529" s="127"/>
      <c r="BQ529" s="127"/>
      <c r="BR529" s="128">
        <v>0</v>
      </c>
      <c r="BS529" s="16"/>
      <c r="BT529" s="16"/>
      <c r="BU529" s="205"/>
      <c r="BV529" s="16"/>
      <c r="BW529" s="16"/>
      <c r="BX529" s="206"/>
      <c r="BY529" s="16"/>
      <c r="BZ529" s="16"/>
      <c r="CA529" s="206"/>
      <c r="CB529" s="16"/>
      <c r="CC529" s="16"/>
      <c r="CD529" s="206"/>
      <c r="CE529" s="3"/>
      <c r="CF529" s="3"/>
      <c r="CG529" s="206"/>
      <c r="CH529" s="3"/>
      <c r="CI529" s="3"/>
      <c r="CJ529" s="206"/>
      <c r="CK529" s="3"/>
      <c r="CL529" s="3"/>
      <c r="CM529" s="206"/>
      <c r="CN529" s="3"/>
      <c r="CO529" s="3"/>
      <c r="CP529" s="206"/>
      <c r="CQ529" s="3"/>
      <c r="CR529" s="3"/>
      <c r="CS529" s="190"/>
      <c r="CT529" s="3"/>
      <c r="CU529" s="3"/>
      <c r="CV529" s="190"/>
      <c r="CW529" s="3"/>
      <c r="CX529" s="3"/>
      <c r="CY529" s="2"/>
      <c r="CZ529" s="3"/>
      <c r="DA529" s="3"/>
      <c r="DB529" s="2"/>
      <c r="DC529" s="3"/>
      <c r="DD529" s="3"/>
      <c r="DE529" s="2"/>
      <c r="DF529" s="3"/>
      <c r="DG529" s="3"/>
      <c r="DH529" s="1096"/>
      <c r="DI529" s="3"/>
      <c r="DJ529" s="3"/>
      <c r="DK529" s="1096"/>
      <c r="DL529" s="3"/>
      <c r="DM529" s="3"/>
      <c r="DN529" s="1096"/>
      <c r="DO529" s="3"/>
      <c r="DP529" s="3"/>
      <c r="DQ529" s="1096"/>
      <c r="DR529" s="3"/>
      <c r="DS529" s="3"/>
      <c r="DT529" s="1096"/>
      <c r="DU529" s="3"/>
      <c r="DV529" s="3"/>
      <c r="DW529" s="1096"/>
      <c r="DX529" s="3"/>
      <c r="DY529" s="102"/>
      <c r="DZ529" s="1096"/>
      <c r="EA529" s="3"/>
      <c r="EB529" s="102"/>
      <c r="EC529" s="1096"/>
      <c r="ED529" s="3"/>
      <c r="EE529" s="3"/>
      <c r="EF529" s="2"/>
      <c r="EG529" s="3"/>
      <c r="EH529" s="3"/>
      <c r="EI529" s="2"/>
      <c r="EJ529" s="3"/>
      <c r="EK529" s="3"/>
      <c r="EL529" s="2"/>
      <c r="EM529" s="3"/>
      <c r="EN529" s="3"/>
      <c r="EO529" s="2"/>
      <c r="EP529" s="3"/>
      <c r="EQ529" s="3"/>
      <c r="ER529" s="2"/>
      <c r="ES529" s="3"/>
      <c r="ET529" s="3"/>
      <c r="EU529" s="2"/>
      <c r="EV529" s="3"/>
      <c r="EW529" s="3"/>
      <c r="EX529" s="2"/>
      <c r="EY529" s="3"/>
      <c r="EZ529" s="3"/>
      <c r="FA529" s="2"/>
      <c r="FH529" s="35"/>
      <c r="FI529" s="35"/>
      <c r="FJ529" s="35"/>
      <c r="FK529" s="35"/>
      <c r="FL529" s="35"/>
      <c r="FM529" s="35"/>
      <c r="FN529" s="35"/>
      <c r="FO529" s="35"/>
      <c r="FP529" s="35"/>
      <c r="FQ529" s="35"/>
    </row>
    <row r="530" spans="1:173" s="321" customFormat="1">
      <c r="A530" s="1168"/>
      <c r="B530" s="331"/>
      <c r="C530" s="331"/>
      <c r="D530" s="82" t="s">
        <v>165</v>
      </c>
      <c r="E530" s="3"/>
      <c r="F530" s="3"/>
      <c r="G530" s="2"/>
      <c r="H530" s="3"/>
      <c r="I530" s="3"/>
      <c r="J530" s="2"/>
      <c r="K530" s="3"/>
      <c r="L530" s="3"/>
      <c r="M530" s="2"/>
      <c r="N530" s="3"/>
      <c r="O530" s="3"/>
      <c r="P530" s="2"/>
      <c r="Q530" s="3"/>
      <c r="R530" s="3"/>
      <c r="S530" s="2"/>
      <c r="T530" s="3"/>
      <c r="U530" s="3"/>
      <c r="V530" s="2"/>
      <c r="W530" s="3"/>
      <c r="X530" s="3"/>
      <c r="Y530" s="2"/>
      <c r="Z530" s="3"/>
      <c r="AA530" s="3"/>
      <c r="AB530" s="2"/>
      <c r="AC530" s="3"/>
      <c r="AD530" s="3"/>
      <c r="AE530" s="2"/>
      <c r="AF530" s="3"/>
      <c r="AG530" s="3"/>
      <c r="AH530" s="2"/>
      <c r="AI530" s="3"/>
      <c r="AJ530" s="3"/>
      <c r="AK530" s="2"/>
      <c r="AL530" s="3"/>
      <c r="AM530" s="3"/>
      <c r="AN530" s="2"/>
      <c r="AO530" s="3"/>
      <c r="AP530" s="3"/>
      <c r="AQ530" s="2"/>
      <c r="AR530" s="3"/>
      <c r="AS530" s="3"/>
      <c r="AT530" s="2"/>
      <c r="AU530" s="3"/>
      <c r="AV530" s="3"/>
      <c r="AW530" s="2"/>
      <c r="AX530" s="3"/>
      <c r="AY530" s="3"/>
      <c r="AZ530" s="2"/>
      <c r="BA530" s="3"/>
      <c r="BB530" s="3"/>
      <c r="BC530" s="47"/>
      <c r="BD530" s="3"/>
      <c r="BE530" s="3"/>
      <c r="BF530" s="47"/>
      <c r="BG530" s="3"/>
      <c r="BH530" s="3"/>
      <c r="BI530" s="61" t="str">
        <f>D530</f>
        <v>Average rate</v>
      </c>
      <c r="BJ530" s="127">
        <v>0.41</v>
      </c>
      <c r="BK530" s="127">
        <v>0.41</v>
      </c>
      <c r="BL530" s="128"/>
      <c r="BM530" s="127">
        <f>BK530</f>
        <v>0.41</v>
      </c>
      <c r="BN530" s="127">
        <f>BM530</f>
        <v>0.41</v>
      </c>
      <c r="BO530" s="128"/>
      <c r="BP530" s="127">
        <f>BN530</f>
        <v>0.41</v>
      </c>
      <c r="BQ530" s="127">
        <f>BP530</f>
        <v>0.41</v>
      </c>
      <c r="BR530" s="128"/>
      <c r="BS530" s="16"/>
      <c r="BT530" s="16"/>
      <c r="BU530" s="205"/>
      <c r="BV530" s="16"/>
      <c r="BW530" s="16"/>
      <c r="BX530" s="206"/>
      <c r="BY530" s="16"/>
      <c r="BZ530" s="16"/>
      <c r="CA530" s="206"/>
      <c r="CB530" s="16"/>
      <c r="CC530" s="16"/>
      <c r="CD530" s="206"/>
      <c r="CE530" s="3"/>
      <c r="CF530" s="3"/>
      <c r="CG530" s="206"/>
      <c r="CH530" s="3"/>
      <c r="CI530" s="3"/>
      <c r="CJ530" s="206"/>
      <c r="CK530" s="3"/>
      <c r="CL530" s="3"/>
      <c r="CM530" s="206"/>
      <c r="CN530" s="3"/>
      <c r="CO530" s="3"/>
      <c r="CP530" s="206"/>
      <c r="CQ530" s="3"/>
      <c r="CR530" s="3"/>
      <c r="CS530" s="190"/>
      <c r="CT530" s="3"/>
      <c r="CU530" s="3"/>
      <c r="CV530" s="190"/>
      <c r="CW530" s="3"/>
      <c r="CX530" s="3"/>
      <c r="CY530" s="2"/>
      <c r="CZ530" s="3"/>
      <c r="DA530" s="3"/>
      <c r="DB530" s="2"/>
      <c r="DC530" s="3"/>
      <c r="DD530" s="3"/>
      <c r="DE530" s="2"/>
      <c r="DF530" s="3"/>
      <c r="DG530" s="3"/>
      <c r="DH530" s="1096"/>
      <c r="DI530" s="3"/>
      <c r="DJ530" s="3"/>
      <c r="DK530" s="1096"/>
      <c r="DL530" s="3"/>
      <c r="DM530" s="3"/>
      <c r="DN530" s="1096"/>
      <c r="DO530" s="3"/>
      <c r="DP530" s="3"/>
      <c r="DQ530" s="1096"/>
      <c r="DR530" s="3"/>
      <c r="DS530" s="3"/>
      <c r="DT530" s="1096"/>
      <c r="DU530" s="3"/>
      <c r="DV530" s="3"/>
      <c r="DW530" s="1096"/>
      <c r="DX530" s="3"/>
      <c r="DY530" s="102"/>
      <c r="DZ530" s="1096"/>
      <c r="EA530" s="3"/>
      <c r="EB530" s="102"/>
      <c r="EC530" s="1096"/>
      <c r="ED530" s="3"/>
      <c r="EE530" s="3"/>
      <c r="EF530" s="2"/>
      <c r="EG530" s="3"/>
      <c r="EH530" s="3"/>
      <c r="EI530" s="2"/>
      <c r="EJ530" s="3"/>
      <c r="EK530" s="3"/>
      <c r="EL530" s="2"/>
      <c r="EM530" s="3"/>
      <c r="EN530" s="3"/>
      <c r="EO530" s="2"/>
      <c r="EP530" s="3"/>
      <c r="EQ530" s="3"/>
      <c r="ER530" s="2"/>
      <c r="ES530" s="3"/>
      <c r="ET530" s="3"/>
      <c r="EU530" s="2"/>
      <c r="EV530" s="3"/>
      <c r="EW530" s="3"/>
      <c r="EX530" s="2"/>
      <c r="EY530" s="3"/>
      <c r="EZ530" s="3"/>
      <c r="FA530" s="2"/>
      <c r="FH530" s="35"/>
      <c r="FI530" s="35"/>
      <c r="FJ530" s="35"/>
      <c r="FK530" s="35"/>
      <c r="FL530" s="35"/>
      <c r="FM530" s="35"/>
      <c r="FN530" s="35"/>
      <c r="FO530" s="35"/>
      <c r="FP530" s="35"/>
      <c r="FQ530" s="35"/>
    </row>
    <row r="531" spans="1:173" s="321" customFormat="1">
      <c r="A531" s="1168"/>
      <c r="B531" s="331"/>
      <c r="C531" s="331"/>
      <c r="D531" s="910" t="s">
        <v>442</v>
      </c>
      <c r="E531" s="3"/>
      <c r="F531" s="3"/>
      <c r="G531" s="2"/>
      <c r="H531" s="3"/>
      <c r="I531" s="3"/>
      <c r="J531" s="2"/>
      <c r="K531" s="3"/>
      <c r="L531" s="3"/>
      <c r="M531" s="2"/>
      <c r="N531" s="3"/>
      <c r="O531" s="3"/>
      <c r="P531" s="2"/>
      <c r="Q531" s="3"/>
      <c r="R531" s="3"/>
      <c r="S531" s="2"/>
      <c r="T531" s="3"/>
      <c r="U531" s="3"/>
      <c r="V531" s="2"/>
      <c r="W531" s="3"/>
      <c r="X531" s="3"/>
      <c r="Y531" s="2"/>
      <c r="Z531" s="3"/>
      <c r="AA531" s="3"/>
      <c r="AB531" s="2"/>
      <c r="AC531" s="3"/>
      <c r="AD531" s="3"/>
      <c r="AE531" s="2"/>
      <c r="AF531" s="3"/>
      <c r="AG531" s="3"/>
      <c r="AH531" s="2"/>
      <c r="AI531" s="3"/>
      <c r="AJ531" s="3"/>
      <c r="AK531" s="2"/>
      <c r="AL531" s="3"/>
      <c r="AM531" s="3"/>
      <c r="AN531" s="2"/>
      <c r="AO531" s="3"/>
      <c r="AP531" s="3"/>
      <c r="AQ531" s="2"/>
      <c r="AR531" s="3"/>
      <c r="AS531" s="3"/>
      <c r="AT531" s="2"/>
      <c r="AU531" s="3"/>
      <c r="AV531" s="3"/>
      <c r="AW531" s="2"/>
      <c r="AX531" s="3"/>
      <c r="AY531" s="3"/>
      <c r="AZ531" s="2"/>
      <c r="BA531" s="3"/>
      <c r="BB531" s="3"/>
      <c r="BC531" s="47"/>
      <c r="BD531" s="3"/>
      <c r="BE531" s="3"/>
      <c r="BF531" s="47"/>
      <c r="BG531" s="3"/>
      <c r="BH531" s="3"/>
      <c r="BI531" s="61" t="str">
        <f>D531</f>
        <v>Conversion rate</v>
      </c>
      <c r="BJ531" s="127"/>
      <c r="BK531" s="127"/>
      <c r="BL531" s="128">
        <v>0.36</v>
      </c>
      <c r="BM531" s="127"/>
      <c r="BN531" s="127"/>
      <c r="BO531" s="128">
        <f>BL531</f>
        <v>0.36</v>
      </c>
      <c r="BP531" s="127"/>
      <c r="BQ531" s="127"/>
      <c r="BR531" s="128">
        <f>BO531</f>
        <v>0.36</v>
      </c>
      <c r="BS531" s="16"/>
      <c r="BT531" s="16"/>
      <c r="BU531" s="205"/>
      <c r="BV531" s="16"/>
      <c r="BW531" s="16"/>
      <c r="BX531" s="206"/>
      <c r="BY531" s="16"/>
      <c r="BZ531" s="16"/>
      <c r="CA531" s="206"/>
      <c r="CB531" s="16"/>
      <c r="CC531" s="16"/>
      <c r="CD531" s="206"/>
      <c r="CE531" s="3"/>
      <c r="CF531" s="3"/>
      <c r="CG531" s="206"/>
      <c r="CH531" s="3"/>
      <c r="CI531" s="3"/>
      <c r="CJ531" s="206"/>
      <c r="CK531" s="3"/>
      <c r="CL531" s="3"/>
      <c r="CM531" s="206"/>
      <c r="CN531" s="3"/>
      <c r="CO531" s="3"/>
      <c r="CP531" s="206"/>
      <c r="CQ531" s="3"/>
      <c r="CR531" s="3"/>
      <c r="CS531" s="190"/>
      <c r="CT531" s="3"/>
      <c r="CU531" s="3"/>
      <c r="CV531" s="190"/>
      <c r="CW531" s="3"/>
      <c r="CX531" s="3"/>
      <c r="CY531" s="2"/>
      <c r="CZ531" s="3"/>
      <c r="DA531" s="3"/>
      <c r="DB531" s="2"/>
      <c r="DC531" s="3"/>
      <c r="DD531" s="3"/>
      <c r="DE531" s="2"/>
      <c r="DF531" s="3"/>
      <c r="DG531" s="3"/>
      <c r="DH531" s="1096"/>
      <c r="DI531" s="3"/>
      <c r="DJ531" s="3"/>
      <c r="DK531" s="1096"/>
      <c r="DL531" s="3"/>
      <c r="DM531" s="3"/>
      <c r="DN531" s="1096"/>
      <c r="DO531" s="3"/>
      <c r="DP531" s="3"/>
      <c r="DQ531" s="1096"/>
      <c r="DR531" s="3"/>
      <c r="DS531" s="3"/>
      <c r="DT531" s="1096"/>
      <c r="DU531" s="3"/>
      <c r="DV531" s="3"/>
      <c r="DW531" s="1096"/>
      <c r="DX531" s="3"/>
      <c r="DY531" s="102"/>
      <c r="DZ531" s="1096"/>
      <c r="EA531" s="3"/>
      <c r="EB531" s="102"/>
      <c r="EC531" s="1096"/>
      <c r="ED531" s="3"/>
      <c r="EE531" s="3"/>
      <c r="EF531" s="2"/>
      <c r="EG531" s="3"/>
      <c r="EH531" s="3"/>
      <c r="EI531" s="2"/>
      <c r="EJ531" s="3"/>
      <c r="EK531" s="3"/>
      <c r="EL531" s="2"/>
      <c r="EM531" s="3"/>
      <c r="EN531" s="3"/>
      <c r="EO531" s="2"/>
      <c r="EP531" s="3"/>
      <c r="EQ531" s="3"/>
      <c r="ER531" s="2"/>
      <c r="ES531" s="3"/>
      <c r="ET531" s="3"/>
      <c r="EU531" s="2"/>
      <c r="EV531" s="3"/>
      <c r="EW531" s="3"/>
      <c r="EX531" s="2"/>
      <c r="EY531" s="3"/>
      <c r="EZ531" s="3"/>
      <c r="FA531" s="2"/>
      <c r="FH531" s="35"/>
      <c r="FI531" s="35"/>
      <c r="FJ531" s="35"/>
      <c r="FK531" s="35"/>
      <c r="FL531" s="35"/>
      <c r="FM531" s="35"/>
      <c r="FN531" s="35"/>
      <c r="FO531" s="35"/>
      <c r="FP531" s="35"/>
      <c r="FQ531" s="35"/>
    </row>
    <row r="532" spans="1:173" s="321" customFormat="1">
      <c r="A532" s="1168"/>
      <c r="B532" s="331"/>
      <c r="C532" s="331"/>
      <c r="D532" s="910" t="s">
        <v>166</v>
      </c>
      <c r="E532" s="3"/>
      <c r="F532" s="3"/>
      <c r="G532" s="2"/>
      <c r="H532" s="3"/>
      <c r="I532" s="3"/>
      <c r="J532" s="2"/>
      <c r="K532" s="3"/>
      <c r="L532" s="3"/>
      <c r="M532" s="2"/>
      <c r="N532" s="3"/>
      <c r="O532" s="3"/>
      <c r="P532" s="2"/>
      <c r="Q532" s="3"/>
      <c r="R532" s="3"/>
      <c r="S532" s="2"/>
      <c r="T532" s="3"/>
      <c r="U532" s="3"/>
      <c r="V532" s="2"/>
      <c r="W532" s="3"/>
      <c r="X532" s="3"/>
      <c r="Y532" s="2"/>
      <c r="Z532" s="3"/>
      <c r="AA532" s="3"/>
      <c r="AB532" s="2"/>
      <c r="AC532" s="3"/>
      <c r="AD532" s="3"/>
      <c r="AE532" s="2"/>
      <c r="AF532" s="3"/>
      <c r="AG532" s="3"/>
      <c r="AH532" s="2"/>
      <c r="AI532" s="3"/>
      <c r="AJ532" s="3"/>
      <c r="AK532" s="2"/>
      <c r="AL532" s="3"/>
      <c r="AM532" s="3"/>
      <c r="AN532" s="2"/>
      <c r="AO532" s="3"/>
      <c r="AP532" s="3"/>
      <c r="AQ532" s="2"/>
      <c r="AR532" s="3"/>
      <c r="AS532" s="3"/>
      <c r="AT532" s="2"/>
      <c r="AU532" s="3"/>
      <c r="AV532" s="3"/>
      <c r="AW532" s="2"/>
      <c r="AX532" s="3"/>
      <c r="AY532" s="3"/>
      <c r="AZ532" s="2"/>
      <c r="BA532" s="3"/>
      <c r="BB532" s="3"/>
      <c r="BC532" s="47"/>
      <c r="BD532" s="3"/>
      <c r="BE532" s="3"/>
      <c r="BF532" s="47"/>
      <c r="BG532" s="3"/>
      <c r="BH532" s="3"/>
      <c r="BI532" s="61" t="str">
        <f>D532</f>
        <v>"Value"</v>
      </c>
      <c r="BJ532" s="127">
        <f>BL529-((BL529*BL531)/BJ530)</f>
        <v>2.1681707317073169</v>
      </c>
      <c r="BK532" s="127">
        <f>(BL529/2)-(((BL529/2)*BL531)/BK530)</f>
        <v>1.0840853658536584</v>
      </c>
      <c r="BL532" s="128"/>
      <c r="BM532" s="127">
        <f>BO529-((BO529*BO531)/BM530)</f>
        <v>0.7140243902439023</v>
      </c>
      <c r="BN532" s="127">
        <f>BO529-((BO529*BO531)/BN530)</f>
        <v>0.7140243902439023</v>
      </c>
      <c r="BO532" s="128"/>
      <c r="BP532" s="127">
        <f>BR529-((BR529*BR531)/BP530)</f>
        <v>0</v>
      </c>
      <c r="BQ532" s="127">
        <f>BR529-((BR529*BR531)/BQ530)</f>
        <v>0</v>
      </c>
      <c r="BR532" s="128"/>
      <c r="BS532" s="16"/>
      <c r="BT532" s="16"/>
      <c r="BU532" s="205"/>
      <c r="BV532" s="16"/>
      <c r="BW532" s="16"/>
      <c r="BX532" s="206"/>
      <c r="BY532" s="16"/>
      <c r="BZ532" s="16"/>
      <c r="CA532" s="206"/>
      <c r="CB532" s="16"/>
      <c r="CC532" s="16"/>
      <c r="CD532" s="206"/>
      <c r="CE532" s="16"/>
      <c r="CF532" s="16"/>
      <c r="CG532" s="206"/>
      <c r="CH532" s="16"/>
      <c r="CI532" s="16"/>
      <c r="CJ532" s="206"/>
      <c r="CK532" s="16"/>
      <c r="CL532" s="16"/>
      <c r="CM532" s="206"/>
      <c r="CN532" s="16"/>
      <c r="CO532" s="16"/>
      <c r="CP532" s="206"/>
      <c r="CQ532" s="3"/>
      <c r="CR532" s="3"/>
      <c r="CS532" s="190"/>
      <c r="CT532" s="3"/>
      <c r="CU532" s="3"/>
      <c r="CV532" s="190"/>
      <c r="CW532" s="3"/>
      <c r="CX532" s="3"/>
      <c r="CY532" s="2"/>
      <c r="CZ532" s="3"/>
      <c r="DA532" s="3"/>
      <c r="DB532" s="2"/>
      <c r="DC532" s="3"/>
      <c r="DD532" s="3"/>
      <c r="DE532" s="2"/>
      <c r="DF532" s="3"/>
      <c r="DG532" s="3"/>
      <c r="DH532" s="1096"/>
      <c r="DI532" s="3"/>
      <c r="DJ532" s="3"/>
      <c r="DK532" s="1096"/>
      <c r="DL532" s="3"/>
      <c r="DM532" s="3"/>
      <c r="DN532" s="1096"/>
      <c r="DO532" s="3"/>
      <c r="DP532" s="3"/>
      <c r="DQ532" s="1096"/>
      <c r="DR532" s="3"/>
      <c r="DS532" s="3"/>
      <c r="DT532" s="1096"/>
      <c r="DU532" s="3"/>
      <c r="DV532" s="3"/>
      <c r="DW532" s="1096"/>
      <c r="DX532" s="3"/>
      <c r="DY532" s="102"/>
      <c r="DZ532" s="1096"/>
      <c r="EA532" s="3"/>
      <c r="EB532" s="102"/>
      <c r="EC532" s="1096"/>
      <c r="ED532" s="3"/>
      <c r="EE532" s="3"/>
      <c r="EF532" s="2"/>
      <c r="EG532" s="3"/>
      <c r="EH532" s="3"/>
      <c r="EI532" s="2"/>
      <c r="EJ532" s="3"/>
      <c r="EK532" s="3"/>
      <c r="EL532" s="2"/>
      <c r="EM532" s="3"/>
      <c r="EN532" s="3"/>
      <c r="EO532" s="2"/>
      <c r="EP532" s="3"/>
      <c r="EQ532" s="3"/>
      <c r="ER532" s="2"/>
      <c r="ES532" s="3"/>
      <c r="ET532" s="3"/>
      <c r="EU532" s="2"/>
      <c r="EV532" s="3"/>
      <c r="EW532" s="3"/>
      <c r="EX532" s="2"/>
      <c r="EY532" s="3"/>
      <c r="EZ532" s="3"/>
      <c r="FA532" s="2"/>
      <c r="FH532" s="35"/>
      <c r="FI532" s="35"/>
      <c r="FJ532" s="35"/>
      <c r="FK532" s="35"/>
      <c r="FL532" s="35"/>
      <c r="FM532" s="35"/>
      <c r="FN532" s="35"/>
      <c r="FO532" s="35"/>
      <c r="FP532" s="35"/>
      <c r="FQ532" s="35"/>
    </row>
    <row r="533" spans="1:173" s="321" customFormat="1">
      <c r="A533" s="1168"/>
      <c r="B533" s="331"/>
      <c r="C533" s="331"/>
      <c r="D533" s="910"/>
      <c r="E533" s="3"/>
      <c r="F533" s="3"/>
      <c r="G533" s="2"/>
      <c r="H533" s="3"/>
      <c r="I533" s="3"/>
      <c r="J533" s="2"/>
      <c r="K533" s="3"/>
      <c r="L533" s="3"/>
      <c r="M533" s="2"/>
      <c r="N533" s="3"/>
      <c r="O533" s="3"/>
      <c r="P533" s="2"/>
      <c r="Q533" s="3"/>
      <c r="R533" s="3"/>
      <c r="S533" s="2"/>
      <c r="T533" s="3"/>
      <c r="U533" s="3"/>
      <c r="V533" s="2"/>
      <c r="W533" s="3"/>
      <c r="X533" s="3"/>
      <c r="Y533" s="2"/>
      <c r="Z533" s="3"/>
      <c r="AA533" s="3"/>
      <c r="AB533" s="2"/>
      <c r="AC533" s="3"/>
      <c r="AD533" s="3"/>
      <c r="AE533" s="2"/>
      <c r="AF533" s="3"/>
      <c r="AG533" s="3"/>
      <c r="AH533" s="2"/>
      <c r="AI533" s="3"/>
      <c r="AJ533" s="3"/>
      <c r="AK533" s="2"/>
      <c r="AL533" s="3"/>
      <c r="AM533" s="3"/>
      <c r="AN533" s="2"/>
      <c r="AO533" s="3"/>
      <c r="AP533" s="3"/>
      <c r="AQ533" s="2"/>
      <c r="AR533" s="3"/>
      <c r="AS533" s="3"/>
      <c r="AT533" s="2"/>
      <c r="AU533" s="3"/>
      <c r="AV533" s="3"/>
      <c r="AW533" s="2"/>
      <c r="AX533" s="3"/>
      <c r="AY533" s="3"/>
      <c r="AZ533" s="2"/>
      <c r="BA533" s="3"/>
      <c r="BB533" s="3"/>
      <c r="BC533" s="47"/>
      <c r="BD533" s="3"/>
      <c r="BE533" s="3"/>
      <c r="BF533" s="47"/>
      <c r="BG533" s="3"/>
      <c r="BH533" s="3"/>
      <c r="BI533" s="61"/>
      <c r="BJ533" s="129"/>
      <c r="BK533" s="129"/>
      <c r="BL533" s="130"/>
      <c r="BM533" s="129"/>
      <c r="BN533" s="129"/>
      <c r="BO533" s="130"/>
      <c r="BP533" s="129"/>
      <c r="BQ533" s="129"/>
      <c r="BR533" s="130"/>
      <c r="BS533" s="17"/>
      <c r="BT533" s="17"/>
      <c r="BU533" s="207"/>
      <c r="BV533" s="17"/>
      <c r="BW533" s="17"/>
      <c r="BX533" s="208"/>
      <c r="BY533" s="17"/>
      <c r="BZ533" s="17"/>
      <c r="CA533" s="208"/>
      <c r="CB533" s="17"/>
      <c r="CC533" s="17"/>
      <c r="CD533" s="208"/>
      <c r="CE533" s="17"/>
      <c r="CF533" s="17"/>
      <c r="CG533" s="208"/>
      <c r="CH533" s="17"/>
      <c r="CI533" s="17"/>
      <c r="CJ533" s="208"/>
      <c r="CK533" s="17"/>
      <c r="CL533" s="17"/>
      <c r="CM533" s="208"/>
      <c r="CN533" s="17"/>
      <c r="CO533" s="17"/>
      <c r="CP533" s="208"/>
      <c r="CQ533" s="3"/>
      <c r="CR533" s="3"/>
      <c r="CS533" s="190"/>
      <c r="CT533" s="3"/>
      <c r="CU533" s="3"/>
      <c r="CV533" s="190"/>
      <c r="CW533" s="3"/>
      <c r="CX533" s="3"/>
      <c r="CY533" s="2"/>
      <c r="CZ533" s="3"/>
      <c r="DA533" s="3"/>
      <c r="DB533" s="2"/>
      <c r="DC533" s="3"/>
      <c r="DD533" s="3"/>
      <c r="DE533" s="2"/>
      <c r="DF533" s="3"/>
      <c r="DG533" s="3"/>
      <c r="DH533" s="1096"/>
      <c r="DI533" s="3"/>
      <c r="DJ533" s="3"/>
      <c r="DK533" s="1096"/>
      <c r="DL533" s="3"/>
      <c r="DM533" s="3"/>
      <c r="DN533" s="1096"/>
      <c r="DO533" s="3"/>
      <c r="DP533" s="3"/>
      <c r="DQ533" s="1096"/>
      <c r="DR533" s="3"/>
      <c r="DS533" s="3"/>
      <c r="DT533" s="1096"/>
      <c r="DU533" s="3"/>
      <c r="DV533" s="3"/>
      <c r="DW533" s="1096"/>
      <c r="DX533" s="3"/>
      <c r="DY533" s="102"/>
      <c r="DZ533" s="1096"/>
      <c r="EA533" s="3"/>
      <c r="EB533" s="102"/>
      <c r="EC533" s="1096"/>
      <c r="ED533" s="3"/>
      <c r="EE533" s="3"/>
      <c r="EF533" s="2"/>
      <c r="EG533" s="3"/>
      <c r="EH533" s="3"/>
      <c r="EI533" s="2"/>
      <c r="EJ533" s="3"/>
      <c r="EK533" s="3"/>
      <c r="EL533" s="2"/>
      <c r="EM533" s="3"/>
      <c r="EN533" s="3"/>
      <c r="EO533" s="2"/>
      <c r="EP533" s="3"/>
      <c r="EQ533" s="3"/>
      <c r="ER533" s="2"/>
      <c r="ES533" s="3"/>
      <c r="ET533" s="3"/>
      <c r="EU533" s="2"/>
      <c r="EV533" s="3"/>
      <c r="EW533" s="3"/>
      <c r="EX533" s="2"/>
      <c r="EY533" s="3"/>
      <c r="EZ533" s="3"/>
      <c r="FA533" s="2"/>
      <c r="FH533" s="35"/>
      <c r="FI533" s="35"/>
      <c r="FJ533" s="35"/>
      <c r="FK533" s="35"/>
      <c r="FL533" s="35"/>
      <c r="FM533" s="35"/>
      <c r="FN533" s="35"/>
      <c r="FO533" s="35"/>
      <c r="FP533" s="35"/>
      <c r="FQ533" s="35"/>
    </row>
    <row r="534" spans="1:173" s="321" customFormat="1">
      <c r="A534" s="1168"/>
      <c r="B534" s="331"/>
      <c r="C534" s="331"/>
      <c r="D534" s="910" t="s">
        <v>327</v>
      </c>
      <c r="E534" s="3"/>
      <c r="F534" s="3"/>
      <c r="G534" s="2"/>
      <c r="H534" s="3"/>
      <c r="I534" s="3"/>
      <c r="J534" s="2"/>
      <c r="K534" s="3"/>
      <c r="L534" s="3"/>
      <c r="M534" s="2"/>
      <c r="N534" s="3"/>
      <c r="O534" s="3"/>
      <c r="P534" s="2"/>
      <c r="Q534" s="3"/>
      <c r="R534" s="3"/>
      <c r="S534" s="2"/>
      <c r="T534" s="3"/>
      <c r="U534" s="3"/>
      <c r="V534" s="2"/>
      <c r="W534" s="3"/>
      <c r="X534" s="3"/>
      <c r="Y534" s="2"/>
      <c r="Z534" s="3"/>
      <c r="AA534" s="3"/>
      <c r="AB534" s="2"/>
      <c r="AC534" s="3"/>
      <c r="AD534" s="3"/>
      <c r="AE534" s="2"/>
      <c r="AF534" s="3"/>
      <c r="AG534" s="3"/>
      <c r="AH534" s="2"/>
      <c r="AI534" s="3"/>
      <c r="AJ534" s="3"/>
      <c r="AK534" s="2"/>
      <c r="AL534" s="3"/>
      <c r="AM534" s="3"/>
      <c r="AN534" s="2"/>
      <c r="AO534" s="3"/>
      <c r="AP534" s="3"/>
      <c r="AQ534" s="2"/>
      <c r="AR534" s="3"/>
      <c r="AS534" s="3"/>
      <c r="AT534" s="2"/>
      <c r="AU534" s="3"/>
      <c r="AV534" s="3"/>
      <c r="AW534" s="2"/>
      <c r="AX534" s="3"/>
      <c r="AY534" s="3"/>
      <c r="AZ534" s="2"/>
      <c r="BA534" s="3"/>
      <c r="BB534" s="3"/>
      <c r="BC534" s="47"/>
      <c r="BD534" s="3"/>
      <c r="BE534" s="3"/>
      <c r="BF534" s="47"/>
      <c r="BG534" s="3"/>
      <c r="BH534" s="3"/>
      <c r="BI534" s="61" t="str">
        <f>D534</f>
        <v>Total</v>
      </c>
      <c r="BJ534" s="127">
        <f>SUM(BJ512,BJ517,BJ522,BJ527,BJ532)</f>
        <v>30.904587432017482</v>
      </c>
      <c r="BK534" s="127">
        <f>SUM(BK512,BK517,BK522,BK527,BK532)</f>
        <v>14.901767794131032</v>
      </c>
      <c r="BL534" s="128"/>
      <c r="BM534" s="127">
        <f>SUM(BM512,BM517,BM522,BM527,BM532)</f>
        <v>19.576388898829961</v>
      </c>
      <c r="BN534" s="127">
        <f>SUM(BN512,BN517,BN522,BN527,BN532)</f>
        <v>23.788343688068018</v>
      </c>
      <c r="BO534" s="128"/>
      <c r="BP534" s="127">
        <f>(SUM(BP512,BP517,BP522,BP527,BP532))+0.1431</f>
        <v>20.692965539202067</v>
      </c>
      <c r="BQ534" s="127">
        <f>BP534-BP535</f>
        <v>8.2689655392020676</v>
      </c>
      <c r="BR534" s="128"/>
      <c r="BS534" s="16">
        <f>SUM(BS512,BS517,BS522,BS527,BS532)</f>
        <v>10.898739198526911</v>
      </c>
      <c r="BT534" s="16">
        <f>SUM(BT512,BT517,BT522,BT527,BT532)</f>
        <v>22.153096922762032</v>
      </c>
      <c r="BU534" s="205"/>
      <c r="BV534" s="16">
        <f>SUM(BV512,BV517,BV522,BV527,BV532)</f>
        <v>27.580791103968764</v>
      </c>
      <c r="BW534" s="16">
        <f>SUM(BW512,BW517,BW522,BW527,BW532)</f>
        <v>14.985883116448331</v>
      </c>
      <c r="BX534" s="206"/>
      <c r="BY534" s="16">
        <f>SUM(BY512,BY517,BY522,BY527,BY532)</f>
        <v>16.567404035720109</v>
      </c>
      <c r="BZ534" s="16">
        <f>BZ512+BZ517+BZ522+BZ527</f>
        <v>-25.412087501323118</v>
      </c>
      <c r="CA534" s="206"/>
      <c r="CB534" s="8">
        <f>SUM(CB512,CB517,CB522,CB527,CB532)</f>
        <v>10.692908903934837</v>
      </c>
      <c r="CC534" s="16">
        <f>SUM(CC512,CC517,CC522,CC527,CC532)</f>
        <v>27.958656984065399</v>
      </c>
      <c r="CD534" s="206"/>
      <c r="CE534" s="16">
        <f>SUM(CE512,CE517,CE522,CE527,CE532)</f>
        <v>40.222093766972414</v>
      </c>
      <c r="CF534" s="16">
        <f>SUM(CF512,CF517,CF522,CF527,CF532)</f>
        <v>55.546000000000006</v>
      </c>
      <c r="CG534" s="206"/>
      <c r="CH534" s="16">
        <v>17.023352600568529</v>
      </c>
      <c r="CI534" s="16">
        <f>SUM(CI512,CI517,CI522,CI527,CI532)</f>
        <v>14.057270134002961</v>
      </c>
      <c r="CJ534" s="206"/>
      <c r="CK534" s="16"/>
      <c r="CL534" s="16"/>
      <c r="CM534" s="206"/>
      <c r="CN534" s="16"/>
      <c r="CO534" s="16"/>
      <c r="CP534" s="206"/>
      <c r="CQ534" s="3"/>
      <c r="CR534" s="3"/>
      <c r="CS534" s="190"/>
      <c r="CT534" s="3"/>
      <c r="CU534" s="3"/>
      <c r="CV534" s="190"/>
      <c r="CW534" s="3"/>
      <c r="CX534" s="3"/>
      <c r="CY534" s="2"/>
      <c r="CZ534" s="3"/>
      <c r="DA534" s="3"/>
      <c r="DB534" s="2"/>
      <c r="DC534" s="3"/>
      <c r="DD534" s="3"/>
      <c r="DE534" s="2"/>
      <c r="DF534" s="3"/>
      <c r="DG534" s="3"/>
      <c r="DH534" s="1096"/>
      <c r="DI534" s="3"/>
      <c r="DJ534" s="3"/>
      <c r="DK534" s="1096"/>
      <c r="DL534" s="3"/>
      <c r="DM534" s="3"/>
      <c r="DN534" s="1096"/>
      <c r="DO534" s="3"/>
      <c r="DP534" s="3"/>
      <c r="DQ534" s="1096"/>
      <c r="DR534" s="3"/>
      <c r="DS534" s="3"/>
      <c r="DT534" s="1096"/>
      <c r="DU534" s="3"/>
      <c r="DV534" s="3"/>
      <c r="DW534" s="1096"/>
      <c r="DX534" s="3"/>
      <c r="DY534" s="102"/>
      <c r="DZ534" s="1096"/>
      <c r="EA534" s="3"/>
      <c r="EB534" s="102"/>
      <c r="EC534" s="1096"/>
      <c r="ED534" s="3"/>
      <c r="EE534" s="3"/>
      <c r="EF534" s="2"/>
      <c r="EG534" s="3"/>
      <c r="EH534" s="3"/>
      <c r="EI534" s="2"/>
      <c r="EJ534" s="3"/>
      <c r="EK534" s="3"/>
      <c r="EL534" s="2"/>
      <c r="EM534" s="3"/>
      <c r="EN534" s="3"/>
      <c r="EO534" s="2"/>
      <c r="EP534" s="3"/>
      <c r="EQ534" s="3"/>
      <c r="ER534" s="2"/>
      <c r="ES534" s="3"/>
      <c r="ET534" s="3"/>
      <c r="EU534" s="2"/>
      <c r="EV534" s="3"/>
      <c r="EW534" s="3"/>
      <c r="EX534" s="2"/>
      <c r="EY534" s="3"/>
      <c r="EZ534" s="3"/>
      <c r="FA534" s="2"/>
      <c r="FH534" s="35"/>
      <c r="FI534" s="35"/>
      <c r="FJ534" s="35"/>
      <c r="FK534" s="35"/>
      <c r="FL534" s="35"/>
      <c r="FM534" s="35"/>
      <c r="FN534" s="35"/>
      <c r="FO534" s="35"/>
      <c r="FP534" s="35"/>
      <c r="FQ534" s="35"/>
    </row>
    <row r="535" spans="1:173" s="321" customFormat="1" ht="13.5" thickBot="1">
      <c r="A535" s="1437"/>
      <c r="B535" s="968"/>
      <c r="C535" s="968"/>
      <c r="D535" s="969" t="s">
        <v>167</v>
      </c>
      <c r="E535" s="6"/>
      <c r="F535" s="6"/>
      <c r="G535" s="7"/>
      <c r="H535" s="6"/>
      <c r="I535" s="6"/>
      <c r="J535" s="7"/>
      <c r="K535" s="6"/>
      <c r="L535" s="6"/>
      <c r="M535" s="7"/>
      <c r="N535" s="6"/>
      <c r="O535" s="6"/>
      <c r="P535" s="7"/>
      <c r="Q535" s="6"/>
      <c r="R535" s="6"/>
      <c r="S535" s="7"/>
      <c r="T535" s="6"/>
      <c r="U535" s="6"/>
      <c r="V535" s="7"/>
      <c r="W535" s="6"/>
      <c r="X535" s="6"/>
      <c r="Y535" s="7"/>
      <c r="Z535" s="6"/>
      <c r="AA535" s="6"/>
      <c r="AB535" s="7"/>
      <c r="AC535" s="6"/>
      <c r="AD535" s="6"/>
      <c r="AE535" s="7"/>
      <c r="AF535" s="6"/>
      <c r="AG535" s="6"/>
      <c r="AH535" s="7"/>
      <c r="AI535" s="6"/>
      <c r="AJ535" s="6"/>
      <c r="AK535" s="7"/>
      <c r="AL535" s="6"/>
      <c r="AM535" s="6"/>
      <c r="AN535" s="7"/>
      <c r="AO535" s="6"/>
      <c r="AP535" s="6"/>
      <c r="AQ535" s="7"/>
      <c r="AR535" s="6"/>
      <c r="AS535" s="6"/>
      <c r="AT535" s="7"/>
      <c r="AU535" s="6"/>
      <c r="AV535" s="6"/>
      <c r="AW535" s="7"/>
      <c r="AX535" s="6"/>
      <c r="AY535" s="6"/>
      <c r="AZ535" s="7"/>
      <c r="BA535" s="6"/>
      <c r="BB535" s="6"/>
      <c r="BC535" s="48"/>
      <c r="BD535" s="6"/>
      <c r="BE535" s="6"/>
      <c r="BF535" s="48"/>
      <c r="BG535" s="6"/>
      <c r="BH535" s="6"/>
      <c r="BI535" s="80" t="str">
        <f>D535</f>
        <v>Less "Booked"</v>
      </c>
      <c r="BJ535" s="131">
        <v>15.1</v>
      </c>
      <c r="BK535" s="131">
        <f>BK534</f>
        <v>14.901767794131032</v>
      </c>
      <c r="BL535" s="132">
        <f>SUM(BJ535:BK535)</f>
        <v>30.001767794131034</v>
      </c>
      <c r="BM535" s="131">
        <f>13.9</f>
        <v>13.9</v>
      </c>
      <c r="BN535" s="131">
        <v>12.89</v>
      </c>
      <c r="BO535" s="132">
        <f>SUM(BM535:BN535)</f>
        <v>26.79</v>
      </c>
      <c r="BP535" s="131">
        <v>12.423999999999999</v>
      </c>
      <c r="BQ535" s="131">
        <f>BQ534</f>
        <v>8.2689655392020676</v>
      </c>
      <c r="BR535" s="132">
        <f>SUM(BP535:BQ535)</f>
        <v>20.692965539202067</v>
      </c>
      <c r="BS535" s="12">
        <f>BS534/2</f>
        <v>5.4493695992634557</v>
      </c>
      <c r="BT535" s="81">
        <f>BT534/2</f>
        <v>11.076548461381016</v>
      </c>
      <c r="BU535" s="209">
        <f>SUM(BS535:BT535)</f>
        <v>16.525918060644472</v>
      </c>
      <c r="BV535" s="81">
        <f>BV534/2</f>
        <v>13.790395551984382</v>
      </c>
      <c r="BW535" s="81">
        <f>BX535-BV535</f>
        <v>7.4926044480156193</v>
      </c>
      <c r="BX535" s="210">
        <v>21.283000000000001</v>
      </c>
      <c r="BY535" s="12">
        <f>BY534/2</f>
        <v>8.2837020178600547</v>
      </c>
      <c r="BZ535" s="81">
        <f>BZ534</f>
        <v>-25.412087501323118</v>
      </c>
      <c r="CA535" s="210">
        <f>SUM(BY535:BZ535)</f>
        <v>-17.128385483463063</v>
      </c>
      <c r="CB535" s="81">
        <f>CB534</f>
        <v>10.692908903934837</v>
      </c>
      <c r="CC535" s="81">
        <f>CC534</f>
        <v>27.958656984065399</v>
      </c>
      <c r="CD535" s="210">
        <f>SUM(CB535:CC535)</f>
        <v>38.651565888000235</v>
      </c>
      <c r="CE535" s="12">
        <v>21.864999999999998</v>
      </c>
      <c r="CF535" s="81">
        <f>CF534</f>
        <v>55.546000000000006</v>
      </c>
      <c r="CG535" s="211">
        <f>SUM(CE535:CF535)</f>
        <v>77.411000000000001</v>
      </c>
      <c r="CH535" s="81">
        <v>8.5116763002842646</v>
      </c>
      <c r="CI535" s="81">
        <f>CI534</f>
        <v>14.057270134002961</v>
      </c>
      <c r="CJ535" s="211">
        <f>SUM(CH535:CI535)</f>
        <v>22.568946434287227</v>
      </c>
      <c r="CK535" s="81"/>
      <c r="CL535" s="81"/>
      <c r="CM535" s="211"/>
      <c r="CN535" s="81"/>
      <c r="CO535" s="81"/>
      <c r="CP535" s="211"/>
      <c r="CQ535" s="6"/>
      <c r="CR535" s="6"/>
      <c r="CS535" s="212"/>
      <c r="CT535" s="6"/>
      <c r="CU535" s="6"/>
      <c r="CV535" s="212"/>
      <c r="CW535" s="6"/>
      <c r="CX535" s="6"/>
      <c r="CY535" s="7"/>
      <c r="CZ535" s="6"/>
      <c r="DA535" s="6"/>
      <c r="DB535" s="7"/>
      <c r="DC535" s="6"/>
      <c r="DD535" s="6"/>
      <c r="DE535" s="7"/>
      <c r="DF535" s="6"/>
      <c r="DG535" s="6"/>
      <c r="DH535" s="1101"/>
      <c r="DI535" s="6"/>
      <c r="DJ535" s="6"/>
      <c r="DK535" s="1101"/>
      <c r="DL535" s="6"/>
      <c r="DM535" s="6"/>
      <c r="DN535" s="1101"/>
      <c r="DO535" s="6"/>
      <c r="DP535" s="6"/>
      <c r="DQ535" s="1101"/>
      <c r="DR535" s="6"/>
      <c r="DS535" s="6"/>
      <c r="DT535" s="1101"/>
      <c r="DU535" s="6"/>
      <c r="DV535" s="6"/>
      <c r="DW535" s="1101"/>
      <c r="DX535" s="6"/>
      <c r="DY535" s="6"/>
      <c r="DZ535" s="1101"/>
      <c r="EA535" s="6"/>
      <c r="EB535" s="6"/>
      <c r="EC535" s="1101"/>
      <c r="ED535" s="6"/>
      <c r="EE535" s="6"/>
      <c r="EF535" s="7"/>
      <c r="EG535" s="6"/>
      <c r="EH535" s="6"/>
      <c r="EI535" s="7"/>
      <c r="EJ535" s="6"/>
      <c r="EK535" s="6"/>
      <c r="EL535" s="7"/>
      <c r="EM535" s="6"/>
      <c r="EN535" s="6"/>
      <c r="EO535" s="7"/>
      <c r="EP535" s="6"/>
      <c r="EQ535" s="6"/>
      <c r="ER535" s="7"/>
      <c r="ES535" s="6"/>
      <c r="ET535" s="6"/>
      <c r="EU535" s="7"/>
      <c r="EV535" s="6"/>
      <c r="EW535" s="6"/>
      <c r="EX535" s="7"/>
      <c r="EY535" s="6"/>
      <c r="EZ535" s="6"/>
      <c r="FA535" s="7"/>
      <c r="FH535" s="35"/>
      <c r="FI535" s="35"/>
      <c r="FJ535" s="35"/>
      <c r="FK535" s="35"/>
      <c r="FL535" s="35"/>
      <c r="FM535" s="35"/>
      <c r="FN535" s="35"/>
      <c r="FO535" s="35"/>
      <c r="FP535" s="35"/>
      <c r="FQ535" s="35"/>
    </row>
    <row r="536" spans="1:173" s="321" customFormat="1">
      <c r="A536" s="1174"/>
      <c r="B536" s="322"/>
      <c r="C536" s="322"/>
      <c r="D536" s="970" t="s">
        <v>44</v>
      </c>
      <c r="E536" s="102"/>
      <c r="F536" s="102"/>
      <c r="G536" s="30"/>
      <c r="H536" s="102"/>
      <c r="I536" s="102"/>
      <c r="J536" s="30"/>
      <c r="K536" s="102"/>
      <c r="L536" s="102"/>
      <c r="M536" s="30"/>
      <c r="N536" s="102"/>
      <c r="O536" s="102"/>
      <c r="P536" s="30"/>
      <c r="Q536" s="102"/>
      <c r="R536" s="102"/>
      <c r="S536" s="30"/>
      <c r="T536" s="102"/>
      <c r="U536" s="102"/>
      <c r="V536" s="30"/>
      <c r="W536" s="102"/>
      <c r="X536" s="102"/>
      <c r="Y536" s="30"/>
      <c r="Z536" s="102"/>
      <c r="AA536" s="102"/>
      <c r="AB536" s="30"/>
      <c r="AC536" s="102"/>
      <c r="AD536" s="102"/>
      <c r="AE536" s="30"/>
      <c r="AF536" s="102"/>
      <c r="AG536" s="102"/>
      <c r="AH536" s="30"/>
      <c r="AI536" s="102"/>
      <c r="AJ536" s="102"/>
      <c r="AK536" s="30"/>
      <c r="AL536" s="102"/>
      <c r="AM536" s="102"/>
      <c r="AN536" s="30"/>
      <c r="AO536" s="102"/>
      <c r="AP536" s="102"/>
      <c r="AQ536" s="30"/>
      <c r="AR536" s="102"/>
      <c r="AS536" s="102"/>
      <c r="AT536" s="30"/>
      <c r="AU536" s="102"/>
      <c r="AV536" s="102"/>
      <c r="AW536" s="30"/>
      <c r="AX536" s="102"/>
      <c r="AY536" s="102"/>
      <c r="AZ536" s="30"/>
      <c r="BA536" s="102"/>
      <c r="BB536" s="102"/>
      <c r="BC536" s="103"/>
      <c r="BD536" s="102"/>
      <c r="BE536" s="102"/>
      <c r="BF536" s="103"/>
      <c r="BG536" s="102"/>
      <c r="BH536" s="102"/>
      <c r="BI536" s="104" t="str">
        <f>D536</f>
        <v>2nd roll</v>
      </c>
      <c r="BJ536" s="133"/>
      <c r="BK536" s="133"/>
      <c r="BL536" s="134"/>
      <c r="BM536" s="133"/>
      <c r="BN536" s="133"/>
      <c r="BO536" s="134"/>
      <c r="BP536" s="133"/>
      <c r="BQ536" s="133"/>
      <c r="BR536" s="134"/>
      <c r="BS536" s="14"/>
      <c r="BT536" s="105"/>
      <c r="BU536" s="15"/>
      <c r="BV536" s="105"/>
      <c r="BW536" s="105"/>
      <c r="BX536" s="198"/>
      <c r="BY536" s="14"/>
      <c r="BZ536" s="105"/>
      <c r="CA536" s="198"/>
      <c r="CB536" s="105"/>
      <c r="CC536" s="105"/>
      <c r="CD536" s="198"/>
      <c r="CK536" s="3"/>
      <c r="CL536" s="3"/>
      <c r="CM536" s="190"/>
      <c r="CN536" s="3"/>
      <c r="CO536" s="3"/>
      <c r="CP536" s="190"/>
      <c r="CQ536" s="3"/>
      <c r="CR536" s="3"/>
      <c r="CS536" s="190"/>
      <c r="CT536" s="3"/>
      <c r="CU536" s="3"/>
      <c r="CV536" s="190"/>
      <c r="CW536" s="3"/>
      <c r="CX536" s="3"/>
      <c r="CY536" s="254">
        <v>393.5</v>
      </c>
      <c r="DA536" s="3"/>
      <c r="DB536" s="254">
        <v>395</v>
      </c>
      <c r="DC536" s="3"/>
      <c r="DF536" s="3"/>
      <c r="DG536" s="102"/>
      <c r="DH536" s="1080"/>
      <c r="DI536" s="3"/>
      <c r="DJ536" s="3"/>
      <c r="DK536" s="1080"/>
      <c r="DL536" s="3"/>
      <c r="DM536" s="102"/>
      <c r="DN536" s="1096"/>
      <c r="DO536" s="102"/>
      <c r="DP536" s="102"/>
      <c r="DQ536" s="1096"/>
      <c r="DR536" s="102"/>
      <c r="DS536" s="102"/>
      <c r="DT536" s="1096"/>
      <c r="DU536" s="102"/>
      <c r="DV536" s="102"/>
      <c r="DW536" s="1096"/>
      <c r="DX536" s="102"/>
      <c r="DY536" s="102"/>
      <c r="DZ536" s="1096"/>
      <c r="EA536" s="102"/>
      <c r="EB536" s="102"/>
      <c r="EC536" s="1096"/>
      <c r="ED536" s="102"/>
      <c r="EE536" s="102"/>
      <c r="EF536" s="30"/>
      <c r="EG536" s="102"/>
      <c r="EH536" s="102"/>
      <c r="EI536" s="30"/>
      <c r="EJ536" s="102"/>
      <c r="EK536" s="102"/>
      <c r="EL536" s="30"/>
      <c r="EM536" s="102"/>
      <c r="EN536" s="102"/>
      <c r="EO536" s="30"/>
      <c r="EP536" s="102"/>
      <c r="EQ536" s="102"/>
      <c r="ER536" s="30"/>
      <c r="ES536" s="102"/>
      <c r="ET536" s="102"/>
      <c r="EU536" s="30"/>
      <c r="EV536" s="102"/>
      <c r="EW536" s="102"/>
      <c r="EX536" s="30"/>
      <c r="EY536" s="102"/>
      <c r="EZ536" s="102"/>
      <c r="FA536" s="30"/>
      <c r="FH536" s="35"/>
      <c r="FI536" s="35"/>
      <c r="FJ536" s="35"/>
      <c r="FK536" s="35"/>
      <c r="FL536" s="35"/>
      <c r="FM536" s="35"/>
      <c r="FN536" s="35"/>
      <c r="FO536" s="35"/>
      <c r="FP536" s="35"/>
      <c r="FQ536" s="35"/>
    </row>
    <row r="537" spans="1:173" s="321" customFormat="1">
      <c r="A537" s="1174"/>
      <c r="B537" s="322"/>
      <c r="C537" s="331" t="s">
        <v>425</v>
      </c>
      <c r="D537" s="910" t="s">
        <v>441</v>
      </c>
      <c r="E537" s="102"/>
      <c r="F537" s="102"/>
      <c r="G537" s="30"/>
      <c r="H537" s="102"/>
      <c r="I537" s="102"/>
      <c r="J537" s="30"/>
      <c r="K537" s="102"/>
      <c r="L537" s="102"/>
      <c r="M537" s="30"/>
      <c r="N537" s="102"/>
      <c r="O537" s="102"/>
      <c r="P537" s="30"/>
      <c r="Q537" s="102"/>
      <c r="R537" s="102"/>
      <c r="S537" s="30"/>
      <c r="T537" s="102"/>
      <c r="U537" s="102"/>
      <c r="V537" s="30"/>
      <c r="W537" s="102"/>
      <c r="X537" s="102"/>
      <c r="Y537" s="30"/>
      <c r="Z537" s="102"/>
      <c r="AA537" s="102"/>
      <c r="AB537" s="30"/>
      <c r="AC537" s="102"/>
      <c r="AD537" s="102"/>
      <c r="AE537" s="30"/>
      <c r="AF537" s="102"/>
      <c r="AG537" s="102"/>
      <c r="AH537" s="30"/>
      <c r="AI537" s="102"/>
      <c r="AJ537" s="102"/>
      <c r="AK537" s="30"/>
      <c r="AL537" s="102"/>
      <c r="AM537" s="102"/>
      <c r="AN537" s="30"/>
      <c r="AO537" s="102"/>
      <c r="AP537" s="102"/>
      <c r="AQ537" s="30"/>
      <c r="AR537" s="102"/>
      <c r="AS537" s="102"/>
      <c r="AT537" s="30"/>
      <c r="AU537" s="102"/>
      <c r="AV537" s="102"/>
      <c r="AW537" s="30"/>
      <c r="AX537" s="102"/>
      <c r="AY537" s="102"/>
      <c r="AZ537" s="30"/>
      <c r="BA537" s="102"/>
      <c r="BB537" s="102"/>
      <c r="BC537" s="103"/>
      <c r="BD537" s="102"/>
      <c r="BE537" s="102"/>
      <c r="BF537" s="103"/>
      <c r="BG537" s="102"/>
      <c r="BH537" s="102"/>
      <c r="BI537" s="104"/>
      <c r="BJ537" s="133"/>
      <c r="BK537" s="133"/>
      <c r="BL537" s="134"/>
      <c r="BM537" s="133"/>
      <c r="BN537" s="133"/>
      <c r="BO537" s="134"/>
      <c r="BP537" s="133"/>
      <c r="BQ537" s="133"/>
      <c r="BR537" s="134"/>
      <c r="BS537" s="14"/>
      <c r="BT537" s="105"/>
      <c r="BU537" s="15"/>
      <c r="BV537" s="105"/>
      <c r="BW537" s="105"/>
      <c r="BX537" s="198"/>
      <c r="BY537" s="14"/>
      <c r="BZ537" s="105"/>
      <c r="CA537" s="198"/>
      <c r="CB537" s="105"/>
      <c r="CC537" s="105"/>
      <c r="CD537" s="198"/>
      <c r="CH537" s="44">
        <v>165.732</v>
      </c>
      <c r="CI537" s="44">
        <f>CJ537</f>
        <v>86.044915691205546</v>
      </c>
      <c r="CJ537" s="190">
        <v>86.044915691205546</v>
      </c>
      <c r="CK537" s="16"/>
      <c r="CL537" s="16"/>
      <c r="CM537" s="213">
        <v>364.08185840414535</v>
      </c>
      <c r="CN537" s="16"/>
      <c r="CO537" s="16"/>
      <c r="CP537" s="206">
        <v>142.46700000000001</v>
      </c>
      <c r="CQ537" s="16"/>
      <c r="CR537" s="16"/>
      <c r="CS537" s="206"/>
      <c r="CT537" s="102"/>
      <c r="CU537" s="102"/>
      <c r="CV537" s="206">
        <v>164.53800000000001</v>
      </c>
      <c r="CW537" s="102"/>
      <c r="CX537" s="102"/>
      <c r="CY537" s="197">
        <f>+CY536/2</f>
        <v>196.75</v>
      </c>
      <c r="CZ537" s="102"/>
      <c r="DA537" s="102"/>
      <c r="DB537" s="30">
        <v>256.15899999999999</v>
      </c>
      <c r="DC537" s="102"/>
      <c r="DD537" s="102"/>
      <c r="DE537" s="30">
        <v>305.60000000000002</v>
      </c>
      <c r="DF537" s="102"/>
      <c r="DG537" s="102"/>
      <c r="DH537" s="1096">
        <v>266</v>
      </c>
      <c r="DI537" s="102"/>
      <c r="DJ537" s="102"/>
      <c r="DK537" s="1096">
        <v>30</v>
      </c>
      <c r="DL537" s="102"/>
      <c r="DM537" s="102"/>
      <c r="DN537" s="1096">
        <v>258.60000000000002</v>
      </c>
      <c r="DO537" s="102"/>
      <c r="DP537" s="102"/>
      <c r="DQ537" s="1096">
        <v>313.3</v>
      </c>
      <c r="DR537" s="102"/>
      <c r="DS537" s="102"/>
      <c r="DT537" s="1096">
        <v>313.3</v>
      </c>
      <c r="DU537" s="102"/>
      <c r="DV537" s="102"/>
      <c r="DW537" s="1562">
        <v>354.6</v>
      </c>
      <c r="DX537" s="102"/>
      <c r="DY537" s="102"/>
      <c r="DZ537" s="1562">
        <v>368.7</v>
      </c>
      <c r="EA537" s="102"/>
      <c r="EB537" s="102"/>
      <c r="EC537" s="1096">
        <v>219.6</v>
      </c>
      <c r="ED537" s="102"/>
      <c r="EE537" s="102"/>
      <c r="EF537" s="30"/>
      <c r="EG537" s="102"/>
      <c r="EH537" s="102"/>
      <c r="EI537" s="30"/>
      <c r="EJ537" s="102"/>
      <c r="EK537" s="102"/>
      <c r="EL537" s="30"/>
      <c r="EM537" s="102"/>
      <c r="EN537" s="102"/>
      <c r="EO537" s="30"/>
      <c r="EP537" s="102"/>
      <c r="EQ537" s="102"/>
      <c r="ER537" s="30"/>
      <c r="ES537" s="102"/>
      <c r="ET537" s="102"/>
      <c r="EU537" s="30"/>
      <c r="EV537" s="102"/>
      <c r="EW537" s="102"/>
      <c r="EX537" s="30"/>
      <c r="EY537" s="102"/>
      <c r="EZ537" s="102"/>
      <c r="FA537" s="30"/>
      <c r="FH537" s="35"/>
      <c r="FI537" s="35"/>
      <c r="FJ537" s="35"/>
      <c r="FK537" s="35"/>
      <c r="FL537" s="35"/>
      <c r="FM537" s="35"/>
      <c r="FN537" s="35"/>
      <c r="FO537" s="35"/>
      <c r="FP537" s="35"/>
      <c r="FQ537" s="35"/>
    </row>
    <row r="538" spans="1:173" s="321" customFormat="1">
      <c r="A538" s="1174"/>
      <c r="B538" s="322"/>
      <c r="C538" s="331"/>
      <c r="D538" s="82" t="s">
        <v>165</v>
      </c>
      <c r="E538" s="102"/>
      <c r="F538" s="102"/>
      <c r="G538" s="30"/>
      <c r="H538" s="102"/>
      <c r="I538" s="102"/>
      <c r="J538" s="30"/>
      <c r="K538" s="102"/>
      <c r="L538" s="102"/>
      <c r="M538" s="30"/>
      <c r="N538" s="102"/>
      <c r="O538" s="102"/>
      <c r="P538" s="30"/>
      <c r="Q538" s="102"/>
      <c r="R538" s="102"/>
      <c r="S538" s="30"/>
      <c r="T538" s="102"/>
      <c r="U538" s="102"/>
      <c r="V538" s="30"/>
      <c r="W538" s="102"/>
      <c r="X538" s="102"/>
      <c r="Y538" s="30"/>
      <c r="Z538" s="102"/>
      <c r="AA538" s="102"/>
      <c r="AB538" s="30"/>
      <c r="AC538" s="102"/>
      <c r="AD538" s="102"/>
      <c r="AE538" s="30"/>
      <c r="AF538" s="102"/>
      <c r="AG538" s="102"/>
      <c r="AH538" s="30"/>
      <c r="AI538" s="102"/>
      <c r="AJ538" s="102"/>
      <c r="AK538" s="30"/>
      <c r="AL538" s="102"/>
      <c r="AM538" s="102"/>
      <c r="AN538" s="30"/>
      <c r="AO538" s="102"/>
      <c r="AP538" s="102"/>
      <c r="AQ538" s="30"/>
      <c r="AR538" s="102"/>
      <c r="AS538" s="102"/>
      <c r="AT538" s="30"/>
      <c r="AU538" s="102"/>
      <c r="AV538" s="102"/>
      <c r="AW538" s="30"/>
      <c r="AX538" s="102"/>
      <c r="AY538" s="102"/>
      <c r="AZ538" s="30"/>
      <c r="BA538" s="102"/>
      <c r="BB538" s="102"/>
      <c r="BC538" s="103"/>
      <c r="BD538" s="102"/>
      <c r="BE538" s="102"/>
      <c r="BF538" s="103"/>
      <c r="BG538" s="102"/>
      <c r="BH538" s="102"/>
      <c r="BI538" s="104"/>
      <c r="BJ538" s="133"/>
      <c r="BK538" s="133"/>
      <c r="BL538" s="134"/>
      <c r="BM538" s="133"/>
      <c r="BN538" s="133"/>
      <c r="BO538" s="134"/>
      <c r="BP538" s="133"/>
      <c r="BQ538" s="133"/>
      <c r="BR538" s="134"/>
      <c r="BS538" s="14"/>
      <c r="BT538" s="105"/>
      <c r="BU538" s="15"/>
      <c r="BV538" s="105"/>
      <c r="BW538" s="105"/>
      <c r="BX538" s="198"/>
      <c r="BY538" s="14"/>
      <c r="BZ538" s="105"/>
      <c r="CA538" s="198"/>
      <c r="CB538" s="105"/>
      <c r="CC538" s="105"/>
      <c r="CD538" s="198"/>
      <c r="CH538" s="16">
        <v>1.05</v>
      </c>
      <c r="CI538" s="16">
        <v>1.04</v>
      </c>
      <c r="CJ538" s="206"/>
      <c r="CK538" s="16">
        <f>CK75</f>
        <v>1.0261180645161301</v>
      </c>
      <c r="CL538" s="16">
        <f>CL75</f>
        <v>1.0232349650349644</v>
      </c>
      <c r="CM538" s="206"/>
      <c r="CN538" s="16">
        <f>CN75</f>
        <v>0.89</v>
      </c>
      <c r="CO538" s="16">
        <f>CO75</f>
        <v>0.91510155000000004</v>
      </c>
      <c r="CP538" s="206"/>
      <c r="CQ538" s="16">
        <f>CQ75</f>
        <v>0.89</v>
      </c>
      <c r="CR538" s="16">
        <f>CR75</f>
        <v>0.74</v>
      </c>
      <c r="CS538" s="206"/>
      <c r="CT538" s="16">
        <v>0.68320308207188807</v>
      </c>
      <c r="CU538" s="16">
        <v>0.7</v>
      </c>
      <c r="CV538" s="197"/>
      <c r="CW538" s="16">
        <v>0.7472346989140749</v>
      </c>
      <c r="CX538" s="16">
        <v>0.75315927180149267</v>
      </c>
      <c r="CY538" s="16"/>
      <c r="CZ538" s="16">
        <v>0.78230827000274539</v>
      </c>
      <c r="DA538" s="16">
        <f>+DA75</f>
        <v>0.76186165799200423</v>
      </c>
      <c r="DB538" s="30"/>
      <c r="DC538" s="260">
        <v>0.72404497991926986</v>
      </c>
      <c r="DD538" s="16">
        <v>0.71</v>
      </c>
      <c r="DE538" s="30"/>
      <c r="DF538" s="16">
        <f>DF75</f>
        <v>0.6886000000000001</v>
      </c>
      <c r="DG538" s="16">
        <f>DG75</f>
        <v>0.66</v>
      </c>
      <c r="DH538" s="1096"/>
      <c r="DI538" s="16">
        <f>DI75</f>
        <v>0.72306183822039161</v>
      </c>
      <c r="DJ538" s="16">
        <f>DJ75</f>
        <v>0.74173191435073227</v>
      </c>
      <c r="DK538" s="1096"/>
      <c r="DL538" s="16">
        <f>DL75</f>
        <v>0.72</v>
      </c>
      <c r="DM538" s="16">
        <f>DM75</f>
        <v>0.72399999999999998</v>
      </c>
      <c r="DN538" s="1096"/>
      <c r="DO538" s="16">
        <v>0.67245093227075603</v>
      </c>
      <c r="DP538" s="16">
        <f>DP75</f>
        <v>0.67643923076923074</v>
      </c>
      <c r="DQ538" s="1096"/>
      <c r="DR538" s="16">
        <f>DR75</f>
        <v>0.65334807423076913</v>
      </c>
      <c r="DS538" s="16">
        <f>DS75</f>
        <v>0.65850015192307698</v>
      </c>
      <c r="DT538" s="1096"/>
      <c r="DU538" s="1564">
        <f>DU75</f>
        <v>0.66146154115384614</v>
      </c>
      <c r="DV538" s="1564">
        <v>0.63400000000000001</v>
      </c>
      <c r="DW538" s="1565"/>
      <c r="DX538" s="1564">
        <f>DX75</f>
        <v>0.65545067378787891</v>
      </c>
      <c r="DY538" s="1566">
        <f t="shared" ref="DY538" si="2405">DY75</f>
        <v>0.71299999999999997</v>
      </c>
      <c r="DZ538" s="1565"/>
      <c r="EA538" s="1564">
        <f>EA75</f>
        <v>0.71299999999999997</v>
      </c>
      <c r="EB538" s="1566">
        <f>EB75</f>
        <v>0.71299999999999997</v>
      </c>
      <c r="EC538" s="1565"/>
      <c r="ED538" s="102"/>
      <c r="EE538" s="102"/>
      <c r="EF538" s="30"/>
      <c r="EG538" s="102"/>
      <c r="EH538" s="102"/>
      <c r="EI538" s="30"/>
      <c r="EJ538" s="102"/>
      <c r="EK538" s="102"/>
      <c r="EL538" s="30"/>
      <c r="EM538" s="102"/>
      <c r="EN538" s="102"/>
      <c r="EO538" s="30"/>
      <c r="EP538" s="102"/>
      <c r="EQ538" s="102"/>
      <c r="ER538" s="30"/>
      <c r="ES538" s="102"/>
      <c r="ET538" s="102"/>
      <c r="EU538" s="30"/>
      <c r="EV538" s="102"/>
      <c r="EW538" s="102"/>
      <c r="EX538" s="30"/>
      <c r="EY538" s="102"/>
      <c r="EZ538" s="102"/>
      <c r="FA538" s="30"/>
      <c r="FH538" s="35"/>
      <c r="FI538" s="35"/>
      <c r="FJ538" s="35"/>
      <c r="FK538" s="35"/>
      <c r="FL538" s="35"/>
      <c r="FM538" s="35"/>
      <c r="FN538" s="35"/>
      <c r="FO538" s="35"/>
      <c r="FP538" s="35"/>
      <c r="FQ538" s="35"/>
    </row>
    <row r="539" spans="1:173" s="321" customFormat="1">
      <c r="A539" s="1174"/>
      <c r="B539" s="322"/>
      <c r="C539" s="331"/>
      <c r="D539" s="910" t="s">
        <v>442</v>
      </c>
      <c r="E539" s="102"/>
      <c r="F539" s="102"/>
      <c r="G539" s="30"/>
      <c r="H539" s="102"/>
      <c r="I539" s="102"/>
      <c r="J539" s="30"/>
      <c r="K539" s="102"/>
      <c r="L539" s="102"/>
      <c r="M539" s="30"/>
      <c r="N539" s="102"/>
      <c r="O539" s="102"/>
      <c r="P539" s="30"/>
      <c r="Q539" s="102"/>
      <c r="R539" s="102"/>
      <c r="S539" s="30"/>
      <c r="T539" s="102"/>
      <c r="U539" s="102"/>
      <c r="V539" s="30"/>
      <c r="W539" s="102"/>
      <c r="X539" s="102"/>
      <c r="Y539" s="30"/>
      <c r="Z539" s="102"/>
      <c r="AA539" s="102"/>
      <c r="AB539" s="30"/>
      <c r="AC539" s="102"/>
      <c r="AD539" s="102"/>
      <c r="AE539" s="30"/>
      <c r="AF539" s="102"/>
      <c r="AG539" s="102"/>
      <c r="AH539" s="30"/>
      <c r="AI539" s="102"/>
      <c r="AJ539" s="102"/>
      <c r="AK539" s="30"/>
      <c r="AL539" s="102"/>
      <c r="AM539" s="102"/>
      <c r="AN539" s="30"/>
      <c r="AO539" s="102"/>
      <c r="AP539" s="102"/>
      <c r="AQ539" s="30"/>
      <c r="AR539" s="102"/>
      <c r="AS539" s="102"/>
      <c r="AT539" s="30"/>
      <c r="AU539" s="102"/>
      <c r="AV539" s="102"/>
      <c r="AW539" s="30"/>
      <c r="AX539" s="102"/>
      <c r="AY539" s="102"/>
      <c r="AZ539" s="30"/>
      <c r="BA539" s="102"/>
      <c r="BB539" s="102"/>
      <c r="BC539" s="103"/>
      <c r="BD539" s="102"/>
      <c r="BE539" s="102"/>
      <c r="BF539" s="103"/>
      <c r="BG539" s="102"/>
      <c r="BH539" s="102"/>
      <c r="BI539" s="104"/>
      <c r="BJ539" s="133"/>
      <c r="BK539" s="133"/>
      <c r="BL539" s="134"/>
      <c r="BM539" s="133"/>
      <c r="BN539" s="133"/>
      <c r="BO539" s="134"/>
      <c r="BP539" s="133"/>
      <c r="BQ539" s="133"/>
      <c r="BR539" s="134"/>
      <c r="BS539" s="14"/>
      <c r="BT539" s="105"/>
      <c r="BU539" s="15"/>
      <c r="BV539" s="105"/>
      <c r="BW539" s="105"/>
      <c r="BX539" s="198"/>
      <c r="BY539" s="14"/>
      <c r="BZ539" s="105"/>
      <c r="CA539" s="198"/>
      <c r="CB539" s="105"/>
      <c r="CC539" s="105"/>
      <c r="CD539" s="198"/>
      <c r="CH539" s="16"/>
      <c r="CI539" s="16"/>
      <c r="CJ539" s="206">
        <v>0.85</v>
      </c>
      <c r="CK539" s="16"/>
      <c r="CL539" s="16"/>
      <c r="CM539" s="206">
        <v>0.98</v>
      </c>
      <c r="CN539" s="16"/>
      <c r="CO539" s="16"/>
      <c r="CP539" s="206">
        <v>0.97</v>
      </c>
      <c r="CQ539" s="16"/>
      <c r="CR539" s="16"/>
      <c r="CS539" s="206">
        <f>CP539</f>
        <v>0.97</v>
      </c>
      <c r="CT539" s="102"/>
      <c r="CU539" s="102"/>
      <c r="CV539" s="197">
        <v>0.84</v>
      </c>
      <c r="CW539" s="102"/>
      <c r="CX539" s="102"/>
      <c r="CY539" s="197">
        <v>0.73</v>
      </c>
      <c r="CZ539" s="102"/>
      <c r="DA539" s="102"/>
      <c r="DB539" s="197">
        <v>0.73399999999999999</v>
      </c>
      <c r="DC539" s="102"/>
      <c r="DD539" s="102"/>
      <c r="DE539" s="304">
        <v>0.76100000000000001</v>
      </c>
      <c r="DF539" s="102"/>
      <c r="DG539" s="102"/>
      <c r="DH539" s="1076">
        <v>0.746</v>
      </c>
      <c r="DI539" s="102"/>
      <c r="DJ539" s="102"/>
      <c r="DK539" s="1076">
        <v>0.69099999999999995</v>
      </c>
      <c r="DL539" s="102"/>
      <c r="DM539" s="102"/>
      <c r="DN539" s="1076">
        <v>0.73199999999999998</v>
      </c>
      <c r="DO539" s="102"/>
      <c r="DP539" s="102"/>
      <c r="DQ539" s="1076">
        <v>0.69</v>
      </c>
      <c r="DR539" s="102"/>
      <c r="DS539" s="102"/>
      <c r="DT539" s="1076">
        <v>0.69899999999999995</v>
      </c>
      <c r="DU539" s="102"/>
      <c r="DV539" s="102"/>
      <c r="DW539" s="1561">
        <v>0.66600000000000004</v>
      </c>
      <c r="DX539" s="102"/>
      <c r="DY539" s="102"/>
      <c r="DZ539" s="1561">
        <v>0.65300000000000002</v>
      </c>
      <c r="EA539" s="102"/>
      <c r="EB539" s="102"/>
      <c r="EC539" s="1076">
        <f>+DZ539</f>
        <v>0.65300000000000002</v>
      </c>
      <c r="ED539" s="102"/>
      <c r="EE539" s="102"/>
      <c r="EF539" s="198"/>
      <c r="EG539" s="102"/>
      <c r="EH539" s="102"/>
      <c r="EI539" s="198"/>
      <c r="EJ539" s="102"/>
      <c r="EK539" s="102"/>
      <c r="EL539" s="198"/>
      <c r="EM539" s="102"/>
      <c r="EN539" s="102"/>
      <c r="EO539" s="198"/>
      <c r="EP539" s="102"/>
      <c r="EQ539" s="102"/>
      <c r="ER539" s="198"/>
      <c r="ES539" s="102"/>
      <c r="ET539" s="102"/>
      <c r="EU539" s="198"/>
      <c r="EV539" s="102"/>
      <c r="EW539" s="102"/>
      <c r="EX539" s="198"/>
      <c r="EY539" s="102"/>
      <c r="EZ539" s="102"/>
      <c r="FA539" s="198"/>
      <c r="FH539" s="35"/>
      <c r="FI539" s="35"/>
      <c r="FJ539" s="35"/>
      <c r="FK539" s="35"/>
      <c r="FL539" s="35"/>
      <c r="FM539" s="35"/>
      <c r="FN539" s="35"/>
      <c r="FO539" s="35"/>
      <c r="FP539" s="35"/>
      <c r="FQ539" s="35"/>
    </row>
    <row r="540" spans="1:173" s="321" customFormat="1">
      <c r="A540" s="1174"/>
      <c r="B540" s="322"/>
      <c r="C540" s="331"/>
      <c r="D540" s="910" t="s">
        <v>166</v>
      </c>
      <c r="E540" s="102"/>
      <c r="F540" s="102"/>
      <c r="G540" s="30"/>
      <c r="H540" s="102"/>
      <c r="I540" s="102"/>
      <c r="J540" s="30"/>
      <c r="K540" s="102"/>
      <c r="L540" s="102"/>
      <c r="M540" s="30"/>
      <c r="N540" s="102"/>
      <c r="O540" s="102"/>
      <c r="P540" s="30"/>
      <c r="Q540" s="102"/>
      <c r="R540" s="102"/>
      <c r="S540" s="30"/>
      <c r="T540" s="102"/>
      <c r="U540" s="102"/>
      <c r="V540" s="30"/>
      <c r="W540" s="102"/>
      <c r="X540" s="102"/>
      <c r="Y540" s="30"/>
      <c r="Z540" s="102"/>
      <c r="AA540" s="102"/>
      <c r="AB540" s="30"/>
      <c r="AC540" s="102"/>
      <c r="AD540" s="102"/>
      <c r="AE540" s="30"/>
      <c r="AF540" s="102"/>
      <c r="AG540" s="102"/>
      <c r="AH540" s="30"/>
      <c r="AI540" s="102"/>
      <c r="AJ540" s="102"/>
      <c r="AK540" s="30"/>
      <c r="AL540" s="102"/>
      <c r="AM540" s="102"/>
      <c r="AN540" s="30"/>
      <c r="AO540" s="102"/>
      <c r="AP540" s="102"/>
      <c r="AQ540" s="30"/>
      <c r="AR540" s="102"/>
      <c r="AS540" s="102"/>
      <c r="AT540" s="30"/>
      <c r="AU540" s="102"/>
      <c r="AV540" s="102"/>
      <c r="AW540" s="30"/>
      <c r="AX540" s="102"/>
      <c r="AY540" s="102"/>
      <c r="AZ540" s="30"/>
      <c r="BA540" s="102"/>
      <c r="BB540" s="102"/>
      <c r="BC540" s="103"/>
      <c r="BD540" s="102"/>
      <c r="BE540" s="102"/>
      <c r="BF540" s="103"/>
      <c r="BG540" s="102"/>
      <c r="BH540" s="102"/>
      <c r="BI540" s="104"/>
      <c r="BJ540" s="133"/>
      <c r="BK540" s="133"/>
      <c r="BL540" s="134"/>
      <c r="BM540" s="133"/>
      <c r="BN540" s="133"/>
      <c r="BO540" s="134"/>
      <c r="BP540" s="133"/>
      <c r="BQ540" s="133"/>
      <c r="BR540" s="134"/>
      <c r="BS540" s="14"/>
      <c r="BT540" s="105"/>
      <c r="BU540" s="15"/>
      <c r="BV540" s="105"/>
      <c r="BW540" s="105"/>
      <c r="BX540" s="198"/>
      <c r="BY540" s="14"/>
      <c r="BZ540" s="105"/>
      <c r="CA540" s="198"/>
      <c r="CB540" s="105"/>
      <c r="CC540" s="105"/>
      <c r="CD540" s="198"/>
      <c r="CH540" s="16">
        <v>36.303200000000004</v>
      </c>
      <c r="CI540" s="16">
        <f>CI537-((CI537*CJ539)/CI538)</f>
        <v>15.719744212816408</v>
      </c>
      <c r="CJ540" s="206"/>
      <c r="CK540" s="16">
        <v>30</v>
      </c>
      <c r="CL540" s="16">
        <f>CM537-((CM537*CM539)/CL538)</f>
        <v>15.383628351118944</v>
      </c>
      <c r="CM540" s="206">
        <f>CK540+CL540</f>
        <v>45.383628351118944</v>
      </c>
      <c r="CN540" s="16">
        <v>-1.2045802985074701</v>
      </c>
      <c r="CO540" s="16">
        <f>CP537-((CP537*CP539)/CO538)</f>
        <v>-8.5468301044293753</v>
      </c>
      <c r="CP540" s="206">
        <f>CN540+CO540</f>
        <v>-9.7514104029368447</v>
      </c>
      <c r="CQ540" s="228">
        <v>-4.2699999999999996</v>
      </c>
      <c r="CR540" s="16">
        <v>-28.27</v>
      </c>
      <c r="CS540" s="206">
        <f>CQ540+CR540</f>
        <v>-32.54</v>
      </c>
      <c r="CT540" s="16">
        <f>CV537-((CV537*CV539)/CT538)</f>
        <v>-37.761907050854063</v>
      </c>
      <c r="CU540" s="16">
        <v>-1.1281091253881899</v>
      </c>
      <c r="CV540" s="206">
        <f>CT540+CU540</f>
        <v>-38.890016176242256</v>
      </c>
      <c r="CW540" s="16">
        <f>CY537-((CY537*CY539)/CW538)</f>
        <v>4.5379678115485547</v>
      </c>
      <c r="CX540" s="16">
        <f>CY537-((CY537*CY539)/CX538)</f>
        <v>6.0499643269938304</v>
      </c>
      <c r="CY540" s="206">
        <f>CW540+CX540</f>
        <v>10.587932138542385</v>
      </c>
      <c r="CZ540" s="16">
        <f>DB537-((DB537*DB539)/CZ538)</f>
        <v>15.81805869902135</v>
      </c>
      <c r="DA540" s="16">
        <f>DB537-((DB537*DB539)/DA538)</f>
        <v>9.3678614413861396</v>
      </c>
      <c r="DB540" s="206">
        <f>CZ540+DA540</f>
        <v>25.185920140407489</v>
      </c>
      <c r="DC540" s="16">
        <f>DE537-((DE537*DE539)/DC538)</f>
        <v>-15.597724519725773</v>
      </c>
      <c r="DD540" s="16">
        <f>DE537-((DE537*DE539)/DD538)</f>
        <v>-21.951549295774669</v>
      </c>
      <c r="DE540" s="206">
        <f>DC540+DD540</f>
        <v>-37.549273815500442</v>
      </c>
      <c r="DF540" s="16">
        <f>DH537-((DH537*DH539)/DF538)</f>
        <v>-22.173104850421112</v>
      </c>
      <c r="DG540" s="16">
        <f>DH537-((DH537*DH539)/DG538)</f>
        <v>-34.660606060606085</v>
      </c>
      <c r="DH540" s="1102">
        <f>DF540+DG540</f>
        <v>-56.833710911027197</v>
      </c>
      <c r="DI540" s="16">
        <f>DK537-((DK537*DK539)/DI538)</f>
        <v>1.3302529545454647</v>
      </c>
      <c r="DJ540" s="16">
        <f>DK537-((DK537*DK539)/DJ538)</f>
        <v>2.0518969200000008</v>
      </c>
      <c r="DK540" s="1102">
        <f>DI540+DJ540</f>
        <v>3.3821498745454655</v>
      </c>
      <c r="DL540" s="16">
        <f>DN537-((DN537*DN539)/DL538)</f>
        <v>-4.3100000000000023</v>
      </c>
      <c r="DM540" s="16">
        <f>DN537-((DN537*DN539)/DM538)</f>
        <v>-2.8574585635359426</v>
      </c>
      <c r="DN540" s="1102">
        <f>DL540+DM540</f>
        <v>-7.1674585635359449</v>
      </c>
      <c r="DO540" s="16">
        <f>DQ537-((DQ537*DQ539)/DO538)</f>
        <v>-8.1762440286993865</v>
      </c>
      <c r="DP540" s="16">
        <f>DQ537-((DQ537*DQ539)/DP538)</f>
        <v>-6.2808140136529573</v>
      </c>
      <c r="DQ540" s="1102">
        <f>DO540+DP540</f>
        <v>-14.457058042352344</v>
      </c>
      <c r="DR540" s="16">
        <f>DT537-((DT537*DT539)/DR538)</f>
        <v>-21.891467821864524</v>
      </c>
      <c r="DS540" s="16">
        <f>DT537-((DT537*DT539)/DS538)</f>
        <v>-19.268943773884189</v>
      </c>
      <c r="DT540" s="1102">
        <f>DR540+DS540</f>
        <v>-41.160411595748712</v>
      </c>
      <c r="DU540" s="16">
        <f>DW537-((DW537*DW539)/DU538)</f>
        <v>-2.4330023844453308</v>
      </c>
      <c r="DV540" s="16">
        <f>DW537-((DW537*DW539)/DV538)</f>
        <v>-17.897791798107278</v>
      </c>
      <c r="DW540" s="1102">
        <f>DU540+DV540</f>
        <v>-20.330794182552609</v>
      </c>
      <c r="DX540" s="16">
        <f>DZ537-((DZ537*DZ539)/DX538)</f>
        <v>1.3785376409321657</v>
      </c>
      <c r="DY540" s="105">
        <f>DZ537-((DZ537*DZ539)/DY538)</f>
        <v>31.026647966339397</v>
      </c>
      <c r="DZ540" s="1102">
        <f>DX540+DY540</f>
        <v>32.405185607271562</v>
      </c>
      <c r="EA540" s="16">
        <f>EC537-((EC537*EC539)/EA538)</f>
        <v>18.479663394109394</v>
      </c>
      <c r="EB540" s="105">
        <f>EC537-((EC537*EC539)/EB538)</f>
        <v>18.479663394109394</v>
      </c>
      <c r="EC540" s="1102">
        <f>EA540+EB540</f>
        <v>36.959326788218789</v>
      </c>
      <c r="ED540" s="102"/>
      <c r="EE540" s="102"/>
      <c r="EF540" s="206"/>
      <c r="EG540" s="102"/>
      <c r="EH540" s="102"/>
      <c r="EI540" s="206"/>
      <c r="EJ540" s="102"/>
      <c r="EK540" s="102"/>
      <c r="EL540" s="206"/>
      <c r="EM540" s="102"/>
      <c r="EN540" s="102"/>
      <c r="EO540" s="206"/>
      <c r="EP540" s="102"/>
      <c r="EQ540" s="102"/>
      <c r="ER540" s="206"/>
      <c r="ES540" s="102"/>
      <c r="ET540" s="102"/>
      <c r="EU540" s="206"/>
      <c r="EV540" s="102"/>
      <c r="EW540" s="102"/>
      <c r="EX540" s="206"/>
      <c r="EY540" s="102"/>
      <c r="EZ540" s="102"/>
      <c r="FA540" s="206"/>
      <c r="FH540" s="35"/>
      <c r="FI540" s="35"/>
      <c r="FJ540" s="35"/>
      <c r="FK540" s="35"/>
      <c r="FL540" s="35"/>
      <c r="FM540" s="35"/>
      <c r="FN540" s="35"/>
      <c r="FO540" s="35"/>
      <c r="FP540" s="35"/>
      <c r="FQ540" s="35"/>
    </row>
    <row r="541" spans="1:173" s="321" customFormat="1">
      <c r="A541" s="1174"/>
      <c r="B541" s="322"/>
      <c r="C541" s="331"/>
      <c r="D541" s="910"/>
      <c r="E541" s="102"/>
      <c r="F541" s="102"/>
      <c r="G541" s="30"/>
      <c r="H541" s="102"/>
      <c r="I541" s="102"/>
      <c r="J541" s="30"/>
      <c r="K541" s="102"/>
      <c r="L541" s="102"/>
      <c r="M541" s="30"/>
      <c r="N541" s="102"/>
      <c r="O541" s="102"/>
      <c r="P541" s="30"/>
      <c r="Q541" s="102"/>
      <c r="R541" s="102"/>
      <c r="S541" s="30"/>
      <c r="T541" s="102"/>
      <c r="U541" s="102"/>
      <c r="V541" s="30"/>
      <c r="W541" s="102"/>
      <c r="X541" s="102"/>
      <c r="Y541" s="30"/>
      <c r="Z541" s="102"/>
      <c r="AA541" s="102"/>
      <c r="AB541" s="30"/>
      <c r="AC541" s="102"/>
      <c r="AD541" s="102"/>
      <c r="AE541" s="30"/>
      <c r="AF541" s="102"/>
      <c r="AG541" s="102"/>
      <c r="AH541" s="30"/>
      <c r="AI541" s="102"/>
      <c r="AJ541" s="102"/>
      <c r="AK541" s="30"/>
      <c r="AL541" s="102"/>
      <c r="AM541" s="102"/>
      <c r="AN541" s="30"/>
      <c r="AO541" s="102"/>
      <c r="AP541" s="102"/>
      <c r="AQ541" s="30"/>
      <c r="AR541" s="102"/>
      <c r="AS541" s="102"/>
      <c r="AT541" s="30"/>
      <c r="AU541" s="102"/>
      <c r="AV541" s="102"/>
      <c r="AW541" s="30"/>
      <c r="AX541" s="102"/>
      <c r="AY541" s="102"/>
      <c r="AZ541" s="30"/>
      <c r="BA541" s="102"/>
      <c r="BB541" s="102"/>
      <c r="BC541" s="103"/>
      <c r="BD541" s="102"/>
      <c r="BE541" s="102"/>
      <c r="BF541" s="103"/>
      <c r="BG541" s="102"/>
      <c r="BH541" s="102"/>
      <c r="BI541" s="104"/>
      <c r="BJ541" s="133"/>
      <c r="BK541" s="133"/>
      <c r="BL541" s="134"/>
      <c r="BM541" s="133"/>
      <c r="BN541" s="133"/>
      <c r="BO541" s="134"/>
      <c r="BP541" s="133"/>
      <c r="BQ541" s="133"/>
      <c r="BR541" s="134"/>
      <c r="BS541" s="14"/>
      <c r="BT541" s="105"/>
      <c r="BU541" s="15"/>
      <c r="BV541" s="105"/>
      <c r="BW541" s="105"/>
      <c r="BX541" s="198"/>
      <c r="BY541" s="14"/>
      <c r="BZ541" s="105"/>
      <c r="CA541" s="198"/>
      <c r="CB541" s="105"/>
      <c r="CC541" s="105"/>
      <c r="CD541" s="198"/>
      <c r="CH541" s="16"/>
      <c r="CI541" s="16"/>
      <c r="CJ541" s="206"/>
      <c r="CK541" s="16"/>
      <c r="CL541" s="16"/>
      <c r="CM541" s="206"/>
      <c r="CN541" s="16"/>
      <c r="CO541" s="16"/>
      <c r="CP541" s="197"/>
      <c r="CQ541" s="16"/>
      <c r="CR541" s="16"/>
      <c r="CS541" s="197"/>
      <c r="CT541" s="102"/>
      <c r="CU541" s="102"/>
      <c r="CV541" s="197"/>
      <c r="CW541" s="102"/>
      <c r="CX541" s="102"/>
      <c r="CY541" s="253">
        <v>291.60000000000002</v>
      </c>
      <c r="CZ541" s="102"/>
      <c r="DA541" s="102"/>
      <c r="DB541" s="30"/>
      <c r="DC541" s="102"/>
      <c r="DD541" s="102"/>
      <c r="DE541" s="30"/>
      <c r="DF541" s="102"/>
      <c r="DG541" s="102"/>
      <c r="DH541" s="1096"/>
      <c r="DI541" s="102"/>
      <c r="DJ541" s="102"/>
      <c r="DK541" s="1096"/>
      <c r="DL541" s="102"/>
      <c r="DM541" s="102"/>
      <c r="DN541" s="1096"/>
      <c r="DO541" s="102"/>
      <c r="DP541" s="102"/>
      <c r="DQ541" s="1096"/>
      <c r="DR541" s="102"/>
      <c r="DS541" s="102"/>
      <c r="DT541" s="1096"/>
      <c r="DU541" s="102"/>
      <c r="DV541" s="102"/>
      <c r="DW541" s="1096"/>
      <c r="DX541" s="102"/>
      <c r="DY541" s="102"/>
      <c r="DZ541" s="1096"/>
      <c r="EA541" s="102"/>
      <c r="EB541" s="102"/>
      <c r="EC541" s="1096"/>
      <c r="ED541" s="102"/>
      <c r="EE541" s="102"/>
      <c r="EF541" s="30"/>
      <c r="EG541" s="102"/>
      <c r="EH541" s="102"/>
      <c r="EI541" s="30"/>
      <c r="EJ541" s="102"/>
      <c r="EK541" s="102"/>
      <c r="EL541" s="30"/>
      <c r="EM541" s="102"/>
      <c r="EN541" s="102"/>
      <c r="EO541" s="30"/>
      <c r="EP541" s="102"/>
      <c r="EQ541" s="102"/>
      <c r="ER541" s="30"/>
      <c r="ES541" s="102"/>
      <c r="ET541" s="102"/>
      <c r="EU541" s="30"/>
      <c r="EV541" s="102"/>
      <c r="EW541" s="102"/>
      <c r="EX541" s="30"/>
      <c r="EY541" s="102"/>
      <c r="EZ541" s="102"/>
      <c r="FA541" s="30"/>
      <c r="FH541" s="35"/>
      <c r="FI541" s="35"/>
      <c r="FJ541" s="35"/>
      <c r="FK541" s="35"/>
      <c r="FL541" s="35"/>
      <c r="FM541" s="35"/>
      <c r="FN541" s="35"/>
      <c r="FO541" s="35"/>
      <c r="FP541" s="35"/>
      <c r="FQ541" s="35"/>
    </row>
    <row r="542" spans="1:173" s="321" customFormat="1">
      <c r="A542" s="1174"/>
      <c r="B542" s="322"/>
      <c r="C542" s="331" t="s">
        <v>443</v>
      </c>
      <c r="D542" s="910" t="s">
        <v>441</v>
      </c>
      <c r="E542" s="102"/>
      <c r="F542" s="102"/>
      <c r="G542" s="30"/>
      <c r="H542" s="102"/>
      <c r="I542" s="102"/>
      <c r="J542" s="30"/>
      <c r="K542" s="102"/>
      <c r="L542" s="102"/>
      <c r="M542" s="30"/>
      <c r="N542" s="102"/>
      <c r="O542" s="102"/>
      <c r="P542" s="30"/>
      <c r="Q542" s="102"/>
      <c r="R542" s="102"/>
      <c r="S542" s="30"/>
      <c r="T542" s="102"/>
      <c r="U542" s="102"/>
      <c r="V542" s="30"/>
      <c r="W542" s="102"/>
      <c r="X542" s="102"/>
      <c r="Y542" s="30"/>
      <c r="Z542" s="102"/>
      <c r="AA542" s="102"/>
      <c r="AB542" s="30"/>
      <c r="AC542" s="102"/>
      <c r="AD542" s="102"/>
      <c r="AE542" s="30"/>
      <c r="AF542" s="102"/>
      <c r="AG542" s="102"/>
      <c r="AH542" s="30"/>
      <c r="AI542" s="102"/>
      <c r="AJ542" s="102"/>
      <c r="AK542" s="30"/>
      <c r="AL542" s="102"/>
      <c r="AM542" s="102"/>
      <c r="AN542" s="30"/>
      <c r="AO542" s="102"/>
      <c r="AP542" s="102"/>
      <c r="AQ542" s="30"/>
      <c r="AR542" s="102"/>
      <c r="AS542" s="102"/>
      <c r="AT542" s="30"/>
      <c r="AU542" s="102"/>
      <c r="AV542" s="102"/>
      <c r="AW542" s="30"/>
      <c r="AX542" s="102"/>
      <c r="AY542" s="102"/>
      <c r="AZ542" s="30"/>
      <c r="BA542" s="102"/>
      <c r="BB542" s="102"/>
      <c r="BC542" s="103"/>
      <c r="BD542" s="102"/>
      <c r="BE542" s="102"/>
      <c r="BF542" s="103"/>
      <c r="BG542" s="102"/>
      <c r="BH542" s="102"/>
      <c r="BI542" s="104"/>
      <c r="BJ542" s="133"/>
      <c r="BK542" s="133"/>
      <c r="BL542" s="134"/>
      <c r="BM542" s="133"/>
      <c r="BN542" s="133"/>
      <c r="BO542" s="134"/>
      <c r="BP542" s="133"/>
      <c r="BQ542" s="133"/>
      <c r="BR542" s="134"/>
      <c r="BS542" s="14"/>
      <c r="BT542" s="105"/>
      <c r="BU542" s="15"/>
      <c r="BV542" s="105"/>
      <c r="BW542" s="105"/>
      <c r="BX542" s="198"/>
      <c r="BY542" s="14"/>
      <c r="BZ542" s="105"/>
      <c r="CA542" s="198"/>
      <c r="CB542" s="105"/>
      <c r="CC542" s="105"/>
      <c r="CD542" s="198"/>
      <c r="CH542" s="44">
        <v>146.798</v>
      </c>
      <c r="CI542" s="44">
        <f>CJ542</f>
        <v>46.342999999999996</v>
      </c>
      <c r="CJ542" s="206">
        <f>86.8-CJ514</f>
        <v>46.342999999999996</v>
      </c>
      <c r="CK542" s="16"/>
      <c r="CL542" s="16"/>
      <c r="CM542" s="206">
        <v>223.8</v>
      </c>
      <c r="CN542" s="16"/>
      <c r="CO542" s="16"/>
      <c r="CP542" s="206">
        <v>113.74</v>
      </c>
      <c r="CQ542" s="16"/>
      <c r="CR542" s="16"/>
      <c r="CS542" s="206"/>
      <c r="CT542" s="102"/>
      <c r="CU542" s="102"/>
      <c r="CV542" s="206">
        <v>151.143</v>
      </c>
      <c r="CW542" s="102"/>
      <c r="CX542" s="102"/>
      <c r="CY542" s="197">
        <f>+CY541/2</f>
        <v>145.80000000000001</v>
      </c>
      <c r="CZ542" s="102"/>
      <c r="DA542" s="102"/>
      <c r="DB542" s="30">
        <v>154.89500000000001</v>
      </c>
      <c r="DC542" s="102"/>
      <c r="DD542" s="102"/>
      <c r="DE542" s="30">
        <v>125.7</v>
      </c>
      <c r="DF542" s="102"/>
      <c r="DG542" s="102"/>
      <c r="DH542" s="1103">
        <v>141.19999999999999</v>
      </c>
      <c r="DI542" s="102"/>
      <c r="DJ542" s="102"/>
      <c r="DK542" s="1103">
        <f>DK537</f>
        <v>30</v>
      </c>
      <c r="DL542" s="102"/>
      <c r="DM542" s="102"/>
      <c r="DN542" s="1096">
        <v>131.9</v>
      </c>
      <c r="DO542" s="102"/>
      <c r="DP542" s="102"/>
      <c r="DQ542" s="1096">
        <v>112.7</v>
      </c>
      <c r="DR542" s="102"/>
      <c r="DS542" s="102"/>
      <c r="DT542" s="1096">
        <v>112.7</v>
      </c>
      <c r="DU542" s="102"/>
      <c r="DV542" s="102"/>
      <c r="DW542" s="1562">
        <v>148</v>
      </c>
      <c r="DX542" s="102"/>
      <c r="DY542" s="102"/>
      <c r="DZ542" s="1562">
        <v>108.5</v>
      </c>
      <c r="EA542" s="102"/>
      <c r="EB542" s="102"/>
      <c r="EC542" s="1096">
        <v>97.2</v>
      </c>
      <c r="ED542" s="102"/>
      <c r="EE542" s="102"/>
      <c r="EF542" s="30"/>
      <c r="EG542" s="102"/>
      <c r="EH542" s="102"/>
      <c r="EI542" s="30"/>
      <c r="EJ542" s="102"/>
      <c r="EK542" s="102"/>
      <c r="EL542" s="30"/>
      <c r="EM542" s="102"/>
      <c r="EN542" s="102"/>
      <c r="EO542" s="30"/>
      <c r="EP542" s="102"/>
      <c r="EQ542" s="102"/>
      <c r="ER542" s="30"/>
      <c r="ES542" s="102"/>
      <c r="ET542" s="102"/>
      <c r="EU542" s="30"/>
      <c r="EV542" s="102"/>
      <c r="EW542" s="102"/>
      <c r="EX542" s="30"/>
      <c r="EY542" s="102"/>
      <c r="EZ542" s="102"/>
      <c r="FA542" s="30"/>
      <c r="FH542" s="35"/>
      <c r="FI542" s="35"/>
      <c r="FJ542" s="35"/>
      <c r="FK542" s="35"/>
      <c r="FL542" s="35"/>
      <c r="FM542" s="35"/>
      <c r="FN542" s="35"/>
      <c r="FO542" s="35"/>
      <c r="FP542" s="35"/>
      <c r="FQ542" s="35"/>
    </row>
    <row r="543" spans="1:173" s="321" customFormat="1">
      <c r="A543" s="1174"/>
      <c r="B543" s="322"/>
      <c r="C543" s="331"/>
      <c r="D543" s="82" t="s">
        <v>165</v>
      </c>
      <c r="E543" s="102"/>
      <c r="F543" s="102"/>
      <c r="G543" s="30"/>
      <c r="H543" s="102"/>
      <c r="I543" s="102"/>
      <c r="J543" s="30"/>
      <c r="K543" s="102"/>
      <c r="L543" s="102"/>
      <c r="M543" s="30"/>
      <c r="N543" s="102"/>
      <c r="O543" s="102"/>
      <c r="P543" s="30"/>
      <c r="Q543" s="102"/>
      <c r="R543" s="102"/>
      <c r="S543" s="30"/>
      <c r="T543" s="102"/>
      <c r="U543" s="102"/>
      <c r="V543" s="30"/>
      <c r="W543" s="102"/>
      <c r="X543" s="102"/>
      <c r="Y543" s="30"/>
      <c r="Z543" s="102"/>
      <c r="AA543" s="102"/>
      <c r="AB543" s="30"/>
      <c r="AC543" s="102"/>
      <c r="AD543" s="102"/>
      <c r="AE543" s="30"/>
      <c r="AF543" s="102"/>
      <c r="AG543" s="102"/>
      <c r="AH543" s="30"/>
      <c r="AI543" s="102"/>
      <c r="AJ543" s="102"/>
      <c r="AK543" s="30"/>
      <c r="AL543" s="102"/>
      <c r="AM543" s="102"/>
      <c r="AN543" s="30"/>
      <c r="AO543" s="102"/>
      <c r="AP543" s="102"/>
      <c r="AQ543" s="30"/>
      <c r="AR543" s="102"/>
      <c r="AS543" s="102"/>
      <c r="AT543" s="30"/>
      <c r="AU543" s="102"/>
      <c r="AV543" s="102"/>
      <c r="AW543" s="30"/>
      <c r="AX543" s="102"/>
      <c r="AY543" s="102"/>
      <c r="AZ543" s="30"/>
      <c r="BA543" s="102"/>
      <c r="BB543" s="102"/>
      <c r="BC543" s="103"/>
      <c r="BD543" s="102"/>
      <c r="BE543" s="102"/>
      <c r="BF543" s="103"/>
      <c r="BG543" s="102"/>
      <c r="BH543" s="102"/>
      <c r="BI543" s="104"/>
      <c r="BJ543" s="133"/>
      <c r="BK543" s="133"/>
      <c r="BL543" s="134"/>
      <c r="BM543" s="133"/>
      <c r="BN543" s="133"/>
      <c r="BO543" s="134"/>
      <c r="BP543" s="133"/>
      <c r="BQ543" s="133"/>
      <c r="BR543" s="134"/>
      <c r="BS543" s="14"/>
      <c r="BT543" s="105"/>
      <c r="BU543" s="15"/>
      <c r="BV543" s="105"/>
      <c r="BW543" s="105"/>
      <c r="BX543" s="198"/>
      <c r="BY543" s="14"/>
      <c r="BZ543" s="105"/>
      <c r="CA543" s="198"/>
      <c r="CB543" s="105"/>
      <c r="CC543" s="105"/>
      <c r="CD543" s="198"/>
      <c r="CH543" s="16">
        <v>0.74</v>
      </c>
      <c r="CI543" s="16">
        <v>0.79</v>
      </c>
      <c r="CJ543" s="206"/>
      <c r="CK543" s="16">
        <f>CK78</f>
        <v>0.80223612903224994</v>
      </c>
      <c r="CL543" s="16">
        <f>CL78</f>
        <v>0.78154475524475364</v>
      </c>
      <c r="CM543" s="206"/>
      <c r="CN543" s="16">
        <f>CN78</f>
        <v>0.67</v>
      </c>
      <c r="CO543" s="16">
        <f>CO78</f>
        <v>0.667478295</v>
      </c>
      <c r="CP543" s="206"/>
      <c r="CQ543" s="16">
        <f>CQ78</f>
        <v>0.69</v>
      </c>
      <c r="CR543" s="16">
        <v>0.7</v>
      </c>
      <c r="CS543" s="206"/>
      <c r="CT543" s="16">
        <v>0.63</v>
      </c>
      <c r="CU543" s="16">
        <v>0.64</v>
      </c>
      <c r="CV543" s="197"/>
      <c r="CW543" s="16">
        <v>0.66</v>
      </c>
      <c r="CX543" s="16">
        <f>+CX78</f>
        <v>0.69683384615384614</v>
      </c>
      <c r="CY543" s="197"/>
      <c r="CZ543" s="16">
        <f>+CZ78</f>
        <v>0.66321735537190096</v>
      </c>
      <c r="DA543" s="16">
        <f>+DA78</f>
        <v>0.63678264462809908</v>
      </c>
      <c r="DB543" s="197"/>
      <c r="DC543" s="260">
        <v>0.63</v>
      </c>
      <c r="DD543" s="16">
        <v>0.63</v>
      </c>
      <c r="DE543" s="30"/>
      <c r="DF543" s="16">
        <f>DF78</f>
        <v>0.62252933669499178</v>
      </c>
      <c r="DG543" s="16">
        <f>DG78</f>
        <v>0.6</v>
      </c>
      <c r="DH543" s="1096"/>
      <c r="DI543" s="16">
        <f>DI78</f>
        <v>0.61254469696969693</v>
      </c>
      <c r="DJ543" s="16">
        <f>DJ78</f>
        <v>0.62705200000000005</v>
      </c>
      <c r="DK543" s="1096"/>
      <c r="DL543" s="16">
        <f>DL78</f>
        <v>0.64</v>
      </c>
      <c r="DM543" s="16">
        <f>DM78</f>
        <v>0.64300000000000002</v>
      </c>
      <c r="DN543" s="1080"/>
      <c r="DO543" s="16">
        <v>0.66065870000000004</v>
      </c>
      <c r="DP543" s="16">
        <f>DP78</f>
        <v>0.6250447748420439</v>
      </c>
      <c r="DQ543" s="1080"/>
      <c r="DR543" s="16">
        <f>1/1.65791071428571</f>
        <v>0.60316879032345083</v>
      </c>
      <c r="DS543" s="16">
        <f>DS78</f>
        <v>0.60934795615384618</v>
      </c>
      <c r="DT543" s="1080"/>
      <c r="DU543" s="1564">
        <f>DU78</f>
        <v>0.61054772999999996</v>
      </c>
      <c r="DV543" s="1564">
        <v>0.57999999999999996</v>
      </c>
      <c r="DW543" s="1567"/>
      <c r="DX543" s="1564">
        <f>DX78</f>
        <v>0.56194253734848487</v>
      </c>
      <c r="DY543" s="1564">
        <f>DY78</f>
        <v>0.6</v>
      </c>
      <c r="DZ543" s="1567"/>
      <c r="EA543" s="1564">
        <f>EA78</f>
        <v>0.6</v>
      </c>
      <c r="EB543" s="1564">
        <f>EB78</f>
        <v>0.6</v>
      </c>
      <c r="EC543" s="1567"/>
      <c r="ED543" s="102"/>
      <c r="EE543" s="102"/>
      <c r="EF543" s="197"/>
      <c r="EG543" s="102"/>
      <c r="EH543" s="102"/>
      <c r="EI543" s="197"/>
      <c r="EJ543" s="102"/>
      <c r="EK543" s="102"/>
      <c r="EL543" s="197"/>
      <c r="EM543" s="102"/>
      <c r="EN543" s="102"/>
      <c r="EO543" s="197"/>
      <c r="EP543" s="102"/>
      <c r="EQ543" s="102"/>
      <c r="ER543" s="197"/>
      <c r="ES543" s="102"/>
      <c r="ET543" s="102"/>
      <c r="EU543" s="197"/>
      <c r="EV543" s="102"/>
      <c r="EW543" s="102"/>
      <c r="EX543" s="197"/>
      <c r="EY543" s="102"/>
      <c r="EZ543" s="102"/>
      <c r="FA543" s="197"/>
      <c r="FH543" s="35"/>
      <c r="FI543" s="35"/>
      <c r="FJ543" s="35"/>
      <c r="FK543" s="35"/>
      <c r="FL543" s="35"/>
      <c r="FM543" s="35"/>
      <c r="FN543" s="35"/>
      <c r="FO543" s="35"/>
      <c r="FP543" s="35"/>
      <c r="FQ543" s="35"/>
    </row>
    <row r="544" spans="1:173" s="321" customFormat="1">
      <c r="A544" s="1174"/>
      <c r="B544" s="322"/>
      <c r="C544" s="331"/>
      <c r="D544" s="910" t="s">
        <v>442</v>
      </c>
      <c r="E544" s="102"/>
      <c r="F544" s="102"/>
      <c r="G544" s="30"/>
      <c r="H544" s="102"/>
      <c r="I544" s="102"/>
      <c r="J544" s="30"/>
      <c r="K544" s="102"/>
      <c r="L544" s="102"/>
      <c r="M544" s="30"/>
      <c r="N544" s="102"/>
      <c r="O544" s="102"/>
      <c r="P544" s="30"/>
      <c r="Q544" s="102"/>
      <c r="R544" s="102"/>
      <c r="S544" s="30"/>
      <c r="T544" s="102"/>
      <c r="U544" s="102"/>
      <c r="V544" s="30"/>
      <c r="W544" s="102"/>
      <c r="X544" s="102"/>
      <c r="Y544" s="30"/>
      <c r="Z544" s="102"/>
      <c r="AA544" s="102"/>
      <c r="AB544" s="30"/>
      <c r="AC544" s="102"/>
      <c r="AD544" s="102"/>
      <c r="AE544" s="30"/>
      <c r="AF544" s="102"/>
      <c r="AG544" s="102"/>
      <c r="AH544" s="30"/>
      <c r="AI544" s="102"/>
      <c r="AJ544" s="102"/>
      <c r="AK544" s="30"/>
      <c r="AL544" s="102"/>
      <c r="AM544" s="102"/>
      <c r="AN544" s="30"/>
      <c r="AO544" s="102"/>
      <c r="AP544" s="102"/>
      <c r="AQ544" s="30"/>
      <c r="AR544" s="102"/>
      <c r="AS544" s="102"/>
      <c r="AT544" s="30"/>
      <c r="AU544" s="102"/>
      <c r="AV544" s="102"/>
      <c r="AW544" s="30"/>
      <c r="AX544" s="102"/>
      <c r="AY544" s="102"/>
      <c r="AZ544" s="30"/>
      <c r="BA544" s="102"/>
      <c r="BB544" s="102"/>
      <c r="BC544" s="103"/>
      <c r="BD544" s="102"/>
      <c r="BE544" s="102"/>
      <c r="BF544" s="103"/>
      <c r="BG544" s="102"/>
      <c r="BH544" s="102"/>
      <c r="BI544" s="104"/>
      <c r="BJ544" s="133"/>
      <c r="BK544" s="133"/>
      <c r="BL544" s="134"/>
      <c r="BM544" s="133"/>
      <c r="BN544" s="133"/>
      <c r="BO544" s="134"/>
      <c r="BP544" s="133"/>
      <c r="BQ544" s="133"/>
      <c r="BR544" s="134"/>
      <c r="BS544" s="14"/>
      <c r="BT544" s="105"/>
      <c r="BU544" s="15"/>
      <c r="BV544" s="105"/>
      <c r="BW544" s="105"/>
      <c r="BX544" s="198"/>
      <c r="BY544" s="14"/>
      <c r="BZ544" s="105"/>
      <c r="CA544" s="198"/>
      <c r="CB544" s="105"/>
      <c r="CC544" s="105"/>
      <c r="CD544" s="198"/>
      <c r="CH544" s="16"/>
      <c r="CI544" s="16"/>
      <c r="CJ544" s="206">
        <v>0.65</v>
      </c>
      <c r="CK544" s="16"/>
      <c r="CL544" s="16"/>
      <c r="CM544" s="206">
        <v>0.74</v>
      </c>
      <c r="CN544" s="16"/>
      <c r="CO544" s="16"/>
      <c r="CP544" s="206">
        <v>0.72</v>
      </c>
      <c r="CQ544" s="16"/>
      <c r="CR544" s="16"/>
      <c r="CS544" s="206">
        <f>CP544</f>
        <v>0.72</v>
      </c>
      <c r="CT544" s="102"/>
      <c r="CU544" s="102"/>
      <c r="CV544" s="197">
        <v>0.67</v>
      </c>
      <c r="CW544" s="102"/>
      <c r="CX544" s="102"/>
      <c r="CY544" s="197">
        <v>0.64</v>
      </c>
      <c r="CZ544" s="102"/>
      <c r="DA544" s="102"/>
      <c r="DB544" s="197">
        <v>0.64600000000000002</v>
      </c>
      <c r="DC544" s="102"/>
      <c r="DD544" s="102"/>
      <c r="DE544" s="197">
        <v>0.63300000000000001</v>
      </c>
      <c r="DF544" s="102"/>
      <c r="DG544" s="102"/>
      <c r="DH544" s="1076">
        <v>0.60599999999999998</v>
      </c>
      <c r="DI544" s="102"/>
      <c r="DJ544" s="102"/>
      <c r="DK544" s="1076">
        <v>0.59499999999999997</v>
      </c>
      <c r="DL544" s="14"/>
      <c r="DM544" s="14"/>
      <c r="DN544" s="1076">
        <v>0.627</v>
      </c>
      <c r="DO544" s="14"/>
      <c r="DP544" s="14"/>
      <c r="DQ544" s="1076">
        <v>0.625</v>
      </c>
      <c r="DR544" s="14"/>
      <c r="DS544" s="14"/>
      <c r="DT544" s="1076">
        <v>0.64300000000000002</v>
      </c>
      <c r="DU544" s="14"/>
      <c r="DV544" s="14"/>
      <c r="DW544" s="1561">
        <v>0.60499999999999998</v>
      </c>
      <c r="DX544" s="14"/>
      <c r="DY544" s="14"/>
      <c r="DZ544" s="1076">
        <v>0.58299999999999996</v>
      </c>
      <c r="EA544" s="14"/>
      <c r="EB544" s="14"/>
      <c r="EC544" s="1076">
        <f>+DZ544</f>
        <v>0.58299999999999996</v>
      </c>
      <c r="ED544" s="102"/>
      <c r="EE544" s="102"/>
      <c r="EF544" s="198"/>
      <c r="EG544" s="102"/>
      <c r="EH544" s="102"/>
      <c r="EI544" s="198"/>
      <c r="EJ544" s="102"/>
      <c r="EK544" s="102"/>
      <c r="EL544" s="198"/>
      <c r="EM544" s="102"/>
      <c r="EN544" s="102"/>
      <c r="EO544" s="198"/>
      <c r="EP544" s="102"/>
      <c r="EQ544" s="102"/>
      <c r="ER544" s="198"/>
      <c r="ES544" s="102"/>
      <c r="ET544" s="102"/>
      <c r="EU544" s="198"/>
      <c r="EV544" s="102"/>
      <c r="EW544" s="102"/>
      <c r="EX544" s="198"/>
      <c r="EY544" s="102"/>
      <c r="EZ544" s="102"/>
      <c r="FA544" s="198"/>
      <c r="FH544" s="35"/>
      <c r="FI544" s="35"/>
      <c r="FJ544" s="35"/>
      <c r="FK544" s="35"/>
      <c r="FL544" s="35"/>
      <c r="FM544" s="35"/>
      <c r="FN544" s="35"/>
      <c r="FO544" s="35"/>
      <c r="FP544" s="35"/>
      <c r="FQ544" s="35"/>
    </row>
    <row r="545" spans="1:173" s="321" customFormat="1">
      <c r="A545" s="1174"/>
      <c r="B545" s="322"/>
      <c r="C545" s="331"/>
      <c r="D545" s="910" t="s">
        <v>166</v>
      </c>
      <c r="E545" s="102"/>
      <c r="F545" s="102"/>
      <c r="G545" s="30"/>
      <c r="H545" s="102"/>
      <c r="I545" s="102"/>
      <c r="J545" s="30"/>
      <c r="K545" s="102"/>
      <c r="L545" s="102"/>
      <c r="M545" s="30"/>
      <c r="N545" s="102"/>
      <c r="O545" s="102"/>
      <c r="P545" s="30"/>
      <c r="Q545" s="102"/>
      <c r="R545" s="102"/>
      <c r="S545" s="30"/>
      <c r="T545" s="102"/>
      <c r="U545" s="102"/>
      <c r="V545" s="30"/>
      <c r="W545" s="102"/>
      <c r="X545" s="102"/>
      <c r="Y545" s="30"/>
      <c r="Z545" s="102"/>
      <c r="AA545" s="102"/>
      <c r="AB545" s="30"/>
      <c r="AC545" s="102"/>
      <c r="AD545" s="102"/>
      <c r="AE545" s="30"/>
      <c r="AF545" s="102"/>
      <c r="AG545" s="102"/>
      <c r="AH545" s="30"/>
      <c r="AI545" s="102"/>
      <c r="AJ545" s="102"/>
      <c r="AK545" s="30"/>
      <c r="AL545" s="102"/>
      <c r="AM545" s="102"/>
      <c r="AN545" s="30"/>
      <c r="AO545" s="102"/>
      <c r="AP545" s="102"/>
      <c r="AQ545" s="30"/>
      <c r="AR545" s="102"/>
      <c r="AS545" s="102"/>
      <c r="AT545" s="30"/>
      <c r="AU545" s="102"/>
      <c r="AV545" s="102"/>
      <c r="AW545" s="30"/>
      <c r="AX545" s="102"/>
      <c r="AY545" s="102"/>
      <c r="AZ545" s="30"/>
      <c r="BA545" s="102"/>
      <c r="BB545" s="102"/>
      <c r="BC545" s="103"/>
      <c r="BD545" s="102"/>
      <c r="BE545" s="102"/>
      <c r="BF545" s="103"/>
      <c r="BG545" s="102"/>
      <c r="BH545" s="102"/>
      <c r="BI545" s="104"/>
      <c r="BJ545" s="133"/>
      <c r="BK545" s="133"/>
      <c r="BL545" s="134"/>
      <c r="BM545" s="133"/>
      <c r="BN545" s="133"/>
      <c r="BO545" s="134"/>
      <c r="BP545" s="133"/>
      <c r="BQ545" s="133"/>
      <c r="BR545" s="134"/>
      <c r="BS545" s="14"/>
      <c r="BT545" s="105"/>
      <c r="BU545" s="15"/>
      <c r="BV545" s="105"/>
      <c r="BW545" s="105"/>
      <c r="BX545" s="198"/>
      <c r="BY545" s="14"/>
      <c r="BZ545" s="105"/>
      <c r="CA545" s="198"/>
      <c r="CB545" s="105"/>
      <c r="CC545" s="105"/>
      <c r="CD545" s="198"/>
      <c r="CH545" s="16">
        <v>19.837567567567561</v>
      </c>
      <c r="CI545" s="16">
        <f>CI542-((CI542*CJ544)/CI543)</f>
        <v>8.2126835443037933</v>
      </c>
      <c r="CJ545" s="206"/>
      <c r="CK545" s="16">
        <v>15.930216692837298</v>
      </c>
      <c r="CL545" s="16">
        <f>CM542-((CM542*CM544)/CL543)</f>
        <v>11.89658834171837</v>
      </c>
      <c r="CM545" s="206">
        <f>CK545+CL545</f>
        <v>27.826805034555669</v>
      </c>
      <c r="CN545" s="16">
        <f>CP542-((CP542*CP544)/CN543)</f>
        <v>-8.4880597014925314</v>
      </c>
      <c r="CO545" s="16">
        <f>CP542-((CP542*CP544)/CO543)</f>
        <v>-8.9498321839813428</v>
      </c>
      <c r="CP545" s="206">
        <f>CN545+CO545</f>
        <v>-17.437891885473874</v>
      </c>
      <c r="CQ545" s="16">
        <f>CS542-((CS542*CS544)/CQ543)</f>
        <v>0</v>
      </c>
      <c r="CR545" s="16">
        <f>CS542-((CS542*CS544)/CR543)</f>
        <v>0</v>
      </c>
      <c r="CS545" s="206">
        <f>CQ545+CR545</f>
        <v>0</v>
      </c>
      <c r="CT545" s="16">
        <f>CV542-((CV542*CV544)/CT543)</f>
        <v>-9.5963809523809402</v>
      </c>
      <c r="CU545" s="16">
        <f>CV542-((CV542*CV544)/CU543)</f>
        <v>-7.0848281250000014</v>
      </c>
      <c r="CV545" s="206">
        <f>CT545+CU545</f>
        <v>-16.681209077380942</v>
      </c>
      <c r="CW545" s="16">
        <f>CY542-((CY542*CY544)/CW543)</f>
        <v>4.4181818181818073</v>
      </c>
      <c r="CX545" s="16">
        <f>CY542-((CY542*CY544)/CX543)</f>
        <v>11.891464249285775</v>
      </c>
      <c r="CY545" s="206">
        <f>CW545+CX545</f>
        <v>16.309646067467582</v>
      </c>
      <c r="CZ545" s="16">
        <f>DB542-((DB542*DB544)/CZ543)</f>
        <v>4.0211285768224911</v>
      </c>
      <c r="DA545" s="16">
        <f>DB542-((DB542*DB544)/DA543)</f>
        <v>-2.2420872685128472</v>
      </c>
      <c r="DB545" s="206">
        <f>CZ545+DA545</f>
        <v>1.7790413083096439</v>
      </c>
      <c r="DC545" s="16">
        <f>DE542-((DE542*DE544)/DC543)</f>
        <v>-0.59857142857143231</v>
      </c>
      <c r="DD545" s="16">
        <f>DE542-((DE542*DE544)/DD543)</f>
        <v>-0.59857142857143231</v>
      </c>
      <c r="DE545" s="206">
        <f>DC545+DD545</f>
        <v>-1.1971428571428646</v>
      </c>
      <c r="DF545" s="16">
        <f>DH542-((DH542*DH544)/DF543)</f>
        <v>3.7491282800000079</v>
      </c>
      <c r="DG545" s="16">
        <f>DH542-((DH542*DH544)/DG543)</f>
        <v>-1.4120000000000061</v>
      </c>
      <c r="DH545" s="1104">
        <f>DF545+DG545</f>
        <v>2.3371282800000017</v>
      </c>
      <c r="DI545" s="249">
        <f>DK542-((DK542*DK544)/DI543)</f>
        <v>0.85926939159665849</v>
      </c>
      <c r="DJ545" s="249">
        <f>DK542-((DK542*DK544)/DJ543)</f>
        <v>1.5334613397294063</v>
      </c>
      <c r="DK545" s="1104">
        <f>DI545+DJ545</f>
        <v>2.3927307313260648</v>
      </c>
      <c r="DL545" s="16">
        <f>DN542-((DN542*DN544)/DL543)</f>
        <v>2.6792187499999898</v>
      </c>
      <c r="DM545" s="16">
        <f>DN542-((DN542*DN544)/DM543)</f>
        <v>3.2821150855365602</v>
      </c>
      <c r="DN545" s="1102">
        <f>DL545+DM545</f>
        <v>5.9613338355365499</v>
      </c>
      <c r="DO545" s="16">
        <f>DQ542-((DQ542*DQ544)/DO543)</f>
        <v>6.0829222259541922</v>
      </c>
      <c r="DP545" s="16">
        <f>DQ542-((DQ542*DQ544)/DP543)</f>
        <v>8.0732211538361298E-3</v>
      </c>
      <c r="DQ545" s="1102">
        <f>DO545+DP545</f>
        <v>6.0909954471080283</v>
      </c>
      <c r="DR545" s="16">
        <f>DT542-((DT542*DT544)/DR543)</f>
        <v>-7.4423236124996777</v>
      </c>
      <c r="DS545" s="16">
        <f>DT542-((DT542*DT544)/DS543)</f>
        <v>-6.2240060102933938</v>
      </c>
      <c r="DT545" s="1102">
        <f>DR545+DS545</f>
        <v>-13.666329622793072</v>
      </c>
      <c r="DU545" s="16">
        <f>DW542-((DW542*DW544)/DU543)</f>
        <v>1.3447991035852453</v>
      </c>
      <c r="DV545" s="16">
        <f>DW542-((DW542*DW544)/DV543)</f>
        <v>-6.3793103448275872</v>
      </c>
      <c r="DW545" s="1102">
        <f>DU545+DV545</f>
        <v>-5.0345112412423418</v>
      </c>
      <c r="DX545" s="16">
        <f>DZ542-((DZ542*DZ544)/DX543)</f>
        <v>-4.0657799433904103</v>
      </c>
      <c r="DY545" s="16">
        <f>DZ542-((DZ542*DZ544)/DY543)</f>
        <v>3.0741666666666703</v>
      </c>
      <c r="DZ545" s="1102">
        <f>DX545+DY545</f>
        <v>-0.99161327672374</v>
      </c>
      <c r="EA545" s="16">
        <f>EC542-((EC542*EC544)/EA543)</f>
        <v>2.7540000000000049</v>
      </c>
      <c r="EB545" s="16">
        <f>EC542-((EC542*EC544)/EB543)</f>
        <v>2.7540000000000049</v>
      </c>
      <c r="EC545" s="1102">
        <f>EA545+EB545</f>
        <v>5.5080000000000098</v>
      </c>
      <c r="ED545" s="102"/>
      <c r="EE545" s="102"/>
      <c r="EF545" s="206"/>
      <c r="EG545" s="102"/>
      <c r="EH545" s="102"/>
      <c r="EI545" s="206"/>
      <c r="EJ545" s="102"/>
      <c r="EK545" s="102"/>
      <c r="EL545" s="206"/>
      <c r="EM545" s="102"/>
      <c r="EN545" s="102"/>
      <c r="EO545" s="206"/>
      <c r="EP545" s="102"/>
      <c r="EQ545" s="102"/>
      <c r="ER545" s="206"/>
      <c r="ES545" s="102"/>
      <c r="ET545" s="102"/>
      <c r="EU545" s="206"/>
      <c r="EV545" s="102"/>
      <c r="EW545" s="102"/>
      <c r="EX545" s="206"/>
      <c r="EY545" s="102"/>
      <c r="EZ545" s="102"/>
      <c r="FA545" s="206"/>
      <c r="FH545" s="35"/>
      <c r="FI545" s="35"/>
      <c r="FJ545" s="35"/>
      <c r="FK545" s="35"/>
      <c r="FL545" s="35"/>
      <c r="FM545" s="35"/>
      <c r="FN545" s="35"/>
      <c r="FO545" s="35"/>
      <c r="FP545" s="35"/>
      <c r="FQ545" s="35"/>
    </row>
    <row r="546" spans="1:173" s="321" customFormat="1">
      <c r="A546" s="1174"/>
      <c r="B546" s="322"/>
      <c r="C546" s="331"/>
      <c r="D546" s="910"/>
      <c r="E546" s="102"/>
      <c r="F546" s="102"/>
      <c r="G546" s="30"/>
      <c r="H546" s="102"/>
      <c r="I546" s="102"/>
      <c r="J546" s="30"/>
      <c r="K546" s="102"/>
      <c r="L546" s="102"/>
      <c r="M546" s="30"/>
      <c r="N546" s="102"/>
      <c r="O546" s="102"/>
      <c r="P546" s="30"/>
      <c r="Q546" s="102"/>
      <c r="R546" s="102"/>
      <c r="S546" s="30"/>
      <c r="T546" s="102"/>
      <c r="U546" s="102"/>
      <c r="V546" s="30"/>
      <c r="W546" s="102"/>
      <c r="X546" s="102"/>
      <c r="Y546" s="30"/>
      <c r="Z546" s="102"/>
      <c r="AA546" s="102"/>
      <c r="AB546" s="30"/>
      <c r="AC546" s="102"/>
      <c r="AD546" s="102"/>
      <c r="AE546" s="30"/>
      <c r="AF546" s="102"/>
      <c r="AG546" s="102"/>
      <c r="AH546" s="30"/>
      <c r="AI546" s="102"/>
      <c r="AJ546" s="102"/>
      <c r="AK546" s="30"/>
      <c r="AL546" s="102"/>
      <c r="AM546" s="102"/>
      <c r="AN546" s="30"/>
      <c r="AO546" s="102"/>
      <c r="AP546" s="102"/>
      <c r="AQ546" s="30"/>
      <c r="AR546" s="102"/>
      <c r="AS546" s="102"/>
      <c r="AT546" s="30"/>
      <c r="AU546" s="102"/>
      <c r="AV546" s="102"/>
      <c r="AW546" s="30"/>
      <c r="AX546" s="102"/>
      <c r="AY546" s="102"/>
      <c r="AZ546" s="30"/>
      <c r="BA546" s="102"/>
      <c r="BB546" s="102"/>
      <c r="BC546" s="103"/>
      <c r="BD546" s="102"/>
      <c r="BE546" s="102"/>
      <c r="BF546" s="103"/>
      <c r="BG546" s="102"/>
      <c r="BH546" s="102"/>
      <c r="BI546" s="104"/>
      <c r="BJ546" s="133"/>
      <c r="BK546" s="133"/>
      <c r="BL546" s="134"/>
      <c r="BM546" s="133"/>
      <c r="BN546" s="133"/>
      <c r="BO546" s="134"/>
      <c r="BP546" s="133"/>
      <c r="BQ546" s="133"/>
      <c r="BR546" s="134"/>
      <c r="BS546" s="14"/>
      <c r="BT546" s="105"/>
      <c r="BU546" s="15"/>
      <c r="BV546" s="105"/>
      <c r="BW546" s="105"/>
      <c r="BX546" s="198"/>
      <c r="BY546" s="14"/>
      <c r="BZ546" s="105"/>
      <c r="CA546" s="198"/>
      <c r="CB546" s="105"/>
      <c r="CC546" s="105"/>
      <c r="CD546" s="198"/>
      <c r="CH546" s="16"/>
      <c r="CI546" s="16"/>
      <c r="CJ546" s="206"/>
      <c r="CK546" s="16"/>
      <c r="CL546" s="16"/>
      <c r="CM546" s="206"/>
      <c r="CN546" s="16"/>
      <c r="CO546" s="16"/>
      <c r="CP546" s="197"/>
      <c r="CQ546" s="16"/>
      <c r="CR546" s="16"/>
      <c r="CS546" s="197"/>
      <c r="CT546" s="102"/>
      <c r="CU546" s="102"/>
      <c r="CV546" s="197"/>
      <c r="CW546" s="102"/>
      <c r="CX546" s="102"/>
      <c r="CY546" s="30"/>
      <c r="CZ546" s="102"/>
      <c r="DA546" s="102"/>
      <c r="DB546" s="30"/>
      <c r="DC546" s="102"/>
      <c r="DD546" s="102"/>
      <c r="DE546" s="30"/>
      <c r="DF546" s="102"/>
      <c r="DG546" s="102"/>
      <c r="DH546" s="1096"/>
      <c r="DI546" s="102"/>
      <c r="DJ546" s="102"/>
      <c r="DK546" s="1096"/>
      <c r="DL546" s="102"/>
      <c r="DM546" s="102"/>
      <c r="DN546" s="1096"/>
      <c r="DO546" s="102"/>
      <c r="DP546" s="102"/>
      <c r="DQ546" s="1096"/>
      <c r="DR546" s="102"/>
      <c r="DS546" s="102"/>
      <c r="DT546" s="1096"/>
      <c r="DU546" s="102"/>
      <c r="DV546" s="102"/>
      <c r="DW546" s="1096"/>
      <c r="DX546" s="102"/>
      <c r="DY546" s="102"/>
      <c r="DZ546" s="1096"/>
      <c r="EA546" s="102"/>
      <c r="EB546" s="102"/>
      <c r="EC546" s="1096"/>
      <c r="ED546" s="102"/>
      <c r="EE546" s="102"/>
      <c r="EF546" s="30"/>
      <c r="EG546" s="102"/>
      <c r="EH546" s="102"/>
      <c r="EI546" s="30"/>
      <c r="EJ546" s="102"/>
      <c r="EK546" s="102"/>
      <c r="EL546" s="30"/>
      <c r="EM546" s="102"/>
      <c r="EN546" s="102"/>
      <c r="EO546" s="30"/>
      <c r="EP546" s="102"/>
      <c r="EQ546" s="102"/>
      <c r="ER546" s="30"/>
      <c r="ES546" s="102"/>
      <c r="ET546" s="102"/>
      <c r="EU546" s="30"/>
      <c r="EV546" s="102"/>
      <c r="EW546" s="102"/>
      <c r="EX546" s="30"/>
      <c r="EY546" s="102"/>
      <c r="EZ546" s="102"/>
      <c r="FA546" s="30"/>
      <c r="FH546" s="35"/>
      <c r="FI546" s="35"/>
      <c r="FJ546" s="35"/>
      <c r="FK546" s="35"/>
      <c r="FL546" s="35"/>
      <c r="FM546" s="35"/>
      <c r="FN546" s="35"/>
      <c r="FO546" s="35"/>
      <c r="FP546" s="35"/>
      <c r="FQ546" s="35"/>
    </row>
    <row r="547" spans="1:173" s="321" customFormat="1">
      <c r="A547" s="1174"/>
      <c r="B547" s="322"/>
      <c r="C547" s="331" t="s">
        <v>440</v>
      </c>
      <c r="D547" s="910" t="s">
        <v>441</v>
      </c>
      <c r="E547" s="102"/>
      <c r="F547" s="102"/>
      <c r="G547" s="30"/>
      <c r="H547" s="102"/>
      <c r="I547" s="102"/>
      <c r="J547" s="30"/>
      <c r="K547" s="102"/>
      <c r="L547" s="102"/>
      <c r="M547" s="30"/>
      <c r="N547" s="102"/>
      <c r="O547" s="102"/>
      <c r="P547" s="30"/>
      <c r="Q547" s="102"/>
      <c r="R547" s="102"/>
      <c r="S547" s="30"/>
      <c r="T547" s="102"/>
      <c r="U547" s="102"/>
      <c r="V547" s="30"/>
      <c r="W547" s="102"/>
      <c r="X547" s="102"/>
      <c r="Y547" s="30"/>
      <c r="Z547" s="102"/>
      <c r="AA547" s="102"/>
      <c r="AB547" s="30"/>
      <c r="AC547" s="102"/>
      <c r="AD547" s="102"/>
      <c r="AE547" s="30"/>
      <c r="AF547" s="102"/>
      <c r="AG547" s="102"/>
      <c r="AH547" s="30"/>
      <c r="AI547" s="102"/>
      <c r="AJ547" s="102"/>
      <c r="AK547" s="30"/>
      <c r="AL547" s="102"/>
      <c r="AM547" s="102"/>
      <c r="AN547" s="30"/>
      <c r="AO547" s="102"/>
      <c r="AP547" s="102"/>
      <c r="AQ547" s="30"/>
      <c r="AR547" s="102"/>
      <c r="AS547" s="102"/>
      <c r="AT547" s="30"/>
      <c r="AU547" s="102"/>
      <c r="AV547" s="102"/>
      <c r="AW547" s="30"/>
      <c r="AX547" s="102"/>
      <c r="AY547" s="102"/>
      <c r="AZ547" s="30"/>
      <c r="BA547" s="102"/>
      <c r="BB547" s="102"/>
      <c r="BC547" s="103"/>
      <c r="BD547" s="102"/>
      <c r="BE547" s="102"/>
      <c r="BF547" s="103"/>
      <c r="BG547" s="102"/>
      <c r="BH547" s="102"/>
      <c r="BI547" s="104"/>
      <c r="BJ547" s="133"/>
      <c r="BK547" s="133"/>
      <c r="BL547" s="134"/>
      <c r="BM547" s="133"/>
      <c r="BN547" s="133"/>
      <c r="BO547" s="134"/>
      <c r="BP547" s="133"/>
      <c r="BQ547" s="133"/>
      <c r="BR547" s="134"/>
      <c r="BS547" s="14"/>
      <c r="BT547" s="105"/>
      <c r="BU547" s="15"/>
      <c r="BV547" s="105"/>
      <c r="BW547" s="105"/>
      <c r="BX547" s="198"/>
      <c r="BY547" s="14"/>
      <c r="BZ547" s="105"/>
      <c r="CA547" s="198"/>
      <c r="CB547" s="105"/>
      <c r="CC547" s="105"/>
      <c r="CD547" s="198"/>
      <c r="CH547" s="44">
        <v>8.327</v>
      </c>
      <c r="CI547" s="43">
        <f>CJ547</f>
        <v>1.7919999999999998</v>
      </c>
      <c r="CJ547" s="206">
        <f>2.4-CJ519</f>
        <v>1.7919999999999998</v>
      </c>
      <c r="CK547" s="16"/>
      <c r="CL547" s="16"/>
      <c r="CM547" s="206">
        <v>13.2</v>
      </c>
      <c r="CN547" s="16"/>
      <c r="CO547" s="16"/>
      <c r="CP547" s="206">
        <v>9.2460000000000004</v>
      </c>
      <c r="CQ547" s="16"/>
      <c r="CR547" s="16"/>
      <c r="CS547" s="206"/>
      <c r="CT547" s="102"/>
      <c r="CU547" s="102"/>
      <c r="CV547" s="206">
        <v>10.335000000000001</v>
      </c>
      <c r="CW547" s="102"/>
      <c r="CX547" s="102"/>
      <c r="CY547" s="197">
        <v>5.3920000000000003</v>
      </c>
      <c r="CZ547" s="102"/>
      <c r="DA547" s="102"/>
      <c r="DB547" s="30">
        <v>1.4470000000000001</v>
      </c>
      <c r="DC547" s="263"/>
      <c r="DD547" s="102"/>
      <c r="DE547" s="30">
        <v>14.7</v>
      </c>
      <c r="DF547" s="102"/>
      <c r="DG547" s="102"/>
      <c r="DH547" s="1096">
        <v>17.7</v>
      </c>
      <c r="DI547" s="102"/>
      <c r="DJ547" s="102"/>
      <c r="DK547" s="1096">
        <v>19.8</v>
      </c>
      <c r="DL547" s="102"/>
      <c r="DM547" s="102"/>
      <c r="DN547" s="1096">
        <v>18.399999999999999</v>
      </c>
      <c r="DO547" s="102"/>
      <c r="DP547" s="102"/>
      <c r="DQ547" s="1096">
        <v>17.899999999999999</v>
      </c>
      <c r="DR547" s="102"/>
      <c r="DS547" s="102"/>
      <c r="DT547" s="1096">
        <v>17.899999999999999</v>
      </c>
      <c r="DU547" s="102"/>
      <c r="DV547" s="102"/>
      <c r="DW547" s="1562">
        <v>17.7</v>
      </c>
      <c r="DX547" s="102"/>
      <c r="DY547" s="102"/>
      <c r="DZ547" s="1562">
        <v>17</v>
      </c>
      <c r="EA547" s="102"/>
      <c r="EB547" s="102"/>
      <c r="EC547" s="1096">
        <v>9.4</v>
      </c>
      <c r="ED547" s="102"/>
      <c r="EE547" s="102"/>
      <c r="EF547" s="30"/>
      <c r="EG547" s="102"/>
      <c r="EH547" s="102"/>
      <c r="EI547" s="30"/>
      <c r="EJ547" s="102"/>
      <c r="EK547" s="102"/>
      <c r="EL547" s="30"/>
      <c r="EM547" s="102"/>
      <c r="EN547" s="102"/>
      <c r="EO547" s="30"/>
      <c r="EP547" s="102"/>
      <c r="EQ547" s="102"/>
      <c r="ER547" s="30"/>
      <c r="ES547" s="102"/>
      <c r="ET547" s="102"/>
      <c r="EU547" s="30"/>
      <c r="EV547" s="102"/>
      <c r="EW547" s="102"/>
      <c r="EX547" s="30"/>
      <c r="EY547" s="102"/>
      <c r="EZ547" s="102"/>
      <c r="FA547" s="30"/>
      <c r="FH547" s="35"/>
      <c r="FI547" s="35"/>
      <c r="FJ547" s="35"/>
      <c r="FK547" s="35"/>
      <c r="FL547" s="35"/>
      <c r="FM547" s="35"/>
      <c r="FN547" s="35"/>
      <c r="FO547" s="35"/>
      <c r="FP547" s="35"/>
      <c r="FQ547" s="35"/>
    </row>
    <row r="548" spans="1:173" s="321" customFormat="1">
      <c r="A548" s="1174"/>
      <c r="B548" s="322"/>
      <c r="C548" s="331"/>
      <c r="D548" s="82" t="s">
        <v>165</v>
      </c>
      <c r="E548" s="102"/>
      <c r="F548" s="102"/>
      <c r="G548" s="30"/>
      <c r="H548" s="102"/>
      <c r="I548" s="102"/>
      <c r="J548" s="30"/>
      <c r="K548" s="102"/>
      <c r="L548" s="102"/>
      <c r="M548" s="30"/>
      <c r="N548" s="102"/>
      <c r="O548" s="102"/>
      <c r="P548" s="30"/>
      <c r="Q548" s="102"/>
      <c r="R548" s="102"/>
      <c r="S548" s="30"/>
      <c r="T548" s="102"/>
      <c r="U548" s="102"/>
      <c r="V548" s="30"/>
      <c r="W548" s="102"/>
      <c r="X548" s="102"/>
      <c r="Y548" s="30"/>
      <c r="Z548" s="102"/>
      <c r="AA548" s="102"/>
      <c r="AB548" s="30"/>
      <c r="AC548" s="102"/>
      <c r="AD548" s="102"/>
      <c r="AE548" s="30"/>
      <c r="AF548" s="102"/>
      <c r="AG548" s="102"/>
      <c r="AH548" s="30"/>
      <c r="AI548" s="102"/>
      <c r="AJ548" s="102"/>
      <c r="AK548" s="30"/>
      <c r="AL548" s="102"/>
      <c r="AM548" s="102"/>
      <c r="AN548" s="30"/>
      <c r="AO548" s="102"/>
      <c r="AP548" s="102"/>
      <c r="AQ548" s="30"/>
      <c r="AR548" s="102"/>
      <c r="AS548" s="102"/>
      <c r="AT548" s="30"/>
      <c r="AU548" s="102"/>
      <c r="AV548" s="102"/>
      <c r="AW548" s="30"/>
      <c r="AX548" s="102"/>
      <c r="AY548" s="102"/>
      <c r="AZ548" s="30"/>
      <c r="BA548" s="102"/>
      <c r="BB548" s="102"/>
      <c r="BC548" s="103"/>
      <c r="BD548" s="102"/>
      <c r="BE548" s="102"/>
      <c r="BF548" s="103"/>
      <c r="BG548" s="102"/>
      <c r="BH548" s="102"/>
      <c r="BI548" s="104"/>
      <c r="BJ548" s="133"/>
      <c r="BK548" s="133"/>
      <c r="BL548" s="134"/>
      <c r="BM548" s="133"/>
      <c r="BN548" s="133"/>
      <c r="BO548" s="134"/>
      <c r="BP548" s="133"/>
      <c r="BQ548" s="133"/>
      <c r="BR548" s="134"/>
      <c r="BS548" s="14"/>
      <c r="BT548" s="105"/>
      <c r="BU548" s="15"/>
      <c r="BV548" s="105"/>
      <c r="BW548" s="105"/>
      <c r="BX548" s="198"/>
      <c r="BY548" s="14"/>
      <c r="BZ548" s="105"/>
      <c r="CA548" s="198"/>
      <c r="CB548" s="105"/>
      <c r="CC548" s="105"/>
      <c r="CD548" s="198"/>
      <c r="CH548" s="16">
        <v>79.788846153846166</v>
      </c>
      <c r="CI548" s="16">
        <v>81.56</v>
      </c>
      <c r="CJ548" s="206"/>
      <c r="CK548" s="16">
        <v>82.79</v>
      </c>
      <c r="CL548" s="16">
        <f>CK548</f>
        <v>82.79</v>
      </c>
      <c r="CM548" s="206"/>
      <c r="CN548" s="16">
        <v>92</v>
      </c>
      <c r="CO548" s="16">
        <f>CN548</f>
        <v>92</v>
      </c>
      <c r="CP548" s="197"/>
      <c r="CQ548" s="16">
        <f>CN548</f>
        <v>92</v>
      </c>
      <c r="CR548" s="16">
        <f>CO548</f>
        <v>92</v>
      </c>
      <c r="CS548" s="197"/>
      <c r="CT548" s="16">
        <v>90</v>
      </c>
      <c r="CU548" s="16">
        <f>CR548</f>
        <v>92</v>
      </c>
      <c r="CV548" s="197"/>
      <c r="CW548" s="16">
        <f>CT548</f>
        <v>90</v>
      </c>
      <c r="CX548" s="16">
        <f>CU548</f>
        <v>92</v>
      </c>
      <c r="CY548" s="197"/>
      <c r="CZ548" s="16">
        <f>CW548</f>
        <v>90</v>
      </c>
      <c r="DA548" s="16">
        <f>CX548</f>
        <v>92</v>
      </c>
      <c r="DB548" s="197"/>
      <c r="DC548" s="260">
        <v>80.5</v>
      </c>
      <c r="DD548" s="16">
        <f>DC548</f>
        <v>80.5</v>
      </c>
      <c r="DE548" s="30"/>
      <c r="DF548" s="16">
        <f>DD548</f>
        <v>80.5</v>
      </c>
      <c r="DG548" s="16">
        <f>DF548</f>
        <v>80.5</v>
      </c>
      <c r="DH548" s="1096"/>
      <c r="DI548" s="16">
        <f>DG548</f>
        <v>80.5</v>
      </c>
      <c r="DJ548" s="16">
        <v>80.959999999999994</v>
      </c>
      <c r="DK548" s="1096"/>
      <c r="DL548" s="16">
        <f>DJ548</f>
        <v>80.959999999999994</v>
      </c>
      <c r="DM548" s="16">
        <f>DL548</f>
        <v>80.959999999999994</v>
      </c>
      <c r="DN548" s="1080"/>
      <c r="DO548" s="16">
        <v>93.598170999999994</v>
      </c>
      <c r="DP548" s="16">
        <v>91.157702999999998</v>
      </c>
      <c r="DQ548" s="1080"/>
      <c r="DR548" s="16">
        <v>95.332874923076943</v>
      </c>
      <c r="DS548" s="16">
        <v>100.33973115384616</v>
      </c>
      <c r="DT548" s="1080"/>
      <c r="DU548" s="1564">
        <v>99.540564384615365</v>
      </c>
      <c r="DV548" s="1564">
        <v>94</v>
      </c>
      <c r="DW548" s="1567"/>
      <c r="DX548" s="1564">
        <v>96</v>
      </c>
      <c r="DY548" s="1564">
        <f>DX548</f>
        <v>96</v>
      </c>
      <c r="DZ548" s="1567"/>
      <c r="EA548" s="1564">
        <f>DX548</f>
        <v>96</v>
      </c>
      <c r="EB548" s="1564">
        <f>EA548</f>
        <v>96</v>
      </c>
      <c r="EC548" s="1567"/>
      <c r="ED548" s="102"/>
      <c r="EE548" s="102"/>
      <c r="EF548" s="197"/>
      <c r="EG548" s="102"/>
      <c r="EH548" s="102"/>
      <c r="EI548" s="197"/>
      <c r="EJ548" s="102"/>
      <c r="EK548" s="102"/>
      <c r="EL548" s="197"/>
      <c r="EM548" s="102"/>
      <c r="EN548" s="102"/>
      <c r="EO548" s="197"/>
      <c r="EP548" s="102"/>
      <c r="EQ548" s="102"/>
      <c r="ER548" s="197"/>
      <c r="ES548" s="102"/>
      <c r="ET548" s="102"/>
      <c r="EU548" s="197"/>
      <c r="EV548" s="102"/>
      <c r="EW548" s="102"/>
      <c r="EX548" s="197"/>
      <c r="EY548" s="102"/>
      <c r="EZ548" s="102"/>
      <c r="FA548" s="197"/>
      <c r="FH548" s="35"/>
      <c r="FI548" s="35"/>
      <c r="FJ548" s="35"/>
      <c r="FK548" s="35"/>
      <c r="FL548" s="35"/>
      <c r="FM548" s="35"/>
      <c r="FN548" s="35"/>
      <c r="FO548" s="35"/>
      <c r="FP548" s="35"/>
      <c r="FQ548" s="35"/>
    </row>
    <row r="549" spans="1:173" s="321" customFormat="1">
      <c r="A549" s="1174"/>
      <c r="B549" s="322"/>
      <c r="C549" s="331"/>
      <c r="D549" s="910" t="s">
        <v>442</v>
      </c>
      <c r="E549" s="102"/>
      <c r="F549" s="102"/>
      <c r="G549" s="30"/>
      <c r="H549" s="102"/>
      <c r="I549" s="102"/>
      <c r="J549" s="30"/>
      <c r="K549" s="102"/>
      <c r="L549" s="102"/>
      <c r="M549" s="30"/>
      <c r="N549" s="102"/>
      <c r="O549" s="102"/>
      <c r="P549" s="30"/>
      <c r="Q549" s="102"/>
      <c r="R549" s="102"/>
      <c r="S549" s="30"/>
      <c r="T549" s="102"/>
      <c r="U549" s="102"/>
      <c r="V549" s="30"/>
      <c r="W549" s="102"/>
      <c r="X549" s="102"/>
      <c r="Y549" s="30"/>
      <c r="Z549" s="102"/>
      <c r="AA549" s="102"/>
      <c r="AB549" s="30"/>
      <c r="AC549" s="102"/>
      <c r="AD549" s="102"/>
      <c r="AE549" s="30"/>
      <c r="AF549" s="102"/>
      <c r="AG549" s="102"/>
      <c r="AH549" s="30"/>
      <c r="AI549" s="102"/>
      <c r="AJ549" s="102"/>
      <c r="AK549" s="30"/>
      <c r="AL549" s="102"/>
      <c r="AM549" s="102"/>
      <c r="AN549" s="30"/>
      <c r="AO549" s="102"/>
      <c r="AP549" s="102"/>
      <c r="AQ549" s="30"/>
      <c r="AR549" s="102"/>
      <c r="AS549" s="102"/>
      <c r="AT549" s="30"/>
      <c r="AU549" s="102"/>
      <c r="AV549" s="102"/>
      <c r="AW549" s="30"/>
      <c r="AX549" s="102"/>
      <c r="AY549" s="102"/>
      <c r="AZ549" s="30"/>
      <c r="BA549" s="102"/>
      <c r="BB549" s="102"/>
      <c r="BC549" s="103"/>
      <c r="BD549" s="102"/>
      <c r="BE549" s="102"/>
      <c r="BF549" s="103"/>
      <c r="BG549" s="102"/>
      <c r="BH549" s="102"/>
      <c r="BI549" s="104"/>
      <c r="BJ549" s="133"/>
      <c r="BK549" s="133"/>
      <c r="BL549" s="134"/>
      <c r="BM549" s="133"/>
      <c r="BN549" s="133"/>
      <c r="BO549" s="134"/>
      <c r="BP549" s="133"/>
      <c r="BQ549" s="133"/>
      <c r="BR549" s="134"/>
      <c r="BS549" s="14"/>
      <c r="BT549" s="105"/>
      <c r="BU549" s="15"/>
      <c r="BV549" s="105"/>
      <c r="BW549" s="105"/>
      <c r="BX549" s="198"/>
      <c r="BY549" s="14"/>
      <c r="BZ549" s="105"/>
      <c r="CA549" s="198"/>
      <c r="CB549" s="105"/>
      <c r="CC549" s="105"/>
      <c r="CD549" s="198"/>
      <c r="CH549" s="16"/>
      <c r="CI549" s="16"/>
      <c r="CJ549" s="206">
        <v>73.900000000000006</v>
      </c>
      <c r="CK549" s="16"/>
      <c r="CL549" s="16"/>
      <c r="CM549" s="206">
        <v>75.98</v>
      </c>
      <c r="CN549" s="16"/>
      <c r="CO549" s="16"/>
      <c r="CP549" s="206">
        <v>83.72</v>
      </c>
      <c r="CQ549" s="16"/>
      <c r="CR549" s="16"/>
      <c r="CS549" s="206">
        <f>CP549</f>
        <v>83.72</v>
      </c>
      <c r="CT549" s="16"/>
      <c r="CU549" s="16"/>
      <c r="CV549" s="206">
        <v>89.17</v>
      </c>
      <c r="CW549" s="16"/>
      <c r="CX549" s="16"/>
      <c r="CY549" s="206">
        <v>80</v>
      </c>
      <c r="CZ549" s="16"/>
      <c r="DA549" s="16"/>
      <c r="DB549" s="206">
        <f>CY549</f>
        <v>80</v>
      </c>
      <c r="DC549" s="16"/>
      <c r="DD549" s="16"/>
      <c r="DE549" s="206">
        <v>80.510000000000005</v>
      </c>
      <c r="DF549" s="16"/>
      <c r="DG549" s="16"/>
      <c r="DH549" s="1102">
        <v>76.902000000000001</v>
      </c>
      <c r="DI549" s="16"/>
      <c r="DJ549" s="16"/>
      <c r="DK549" s="1102">
        <v>72.978999999999999</v>
      </c>
      <c r="DL549" s="16"/>
      <c r="DM549" s="16"/>
      <c r="DN549" s="1102">
        <v>82.331000000000003</v>
      </c>
      <c r="DO549" s="16"/>
      <c r="DP549" s="16"/>
      <c r="DQ549" s="1102">
        <v>85.643000000000001</v>
      </c>
      <c r="DR549" s="16"/>
      <c r="DS549" s="16"/>
      <c r="DT549" s="1102">
        <v>85.643000000000001</v>
      </c>
      <c r="DU549" s="16"/>
      <c r="DV549" s="16"/>
      <c r="DW549" s="1563">
        <v>90.284999999999997</v>
      </c>
      <c r="DX549" s="16"/>
      <c r="DY549" s="16"/>
      <c r="DZ549" s="1102">
        <v>91.9</v>
      </c>
      <c r="EA549" s="16"/>
      <c r="EB549" s="16"/>
      <c r="EC549" s="1102">
        <f>+DZ549</f>
        <v>91.9</v>
      </c>
      <c r="ED549" s="102"/>
      <c r="EE549" s="102"/>
      <c r="EF549" s="206"/>
      <c r="EG549" s="102"/>
      <c r="EH549" s="102"/>
      <c r="EI549" s="206"/>
      <c r="EJ549" s="102"/>
      <c r="EK549" s="102"/>
      <c r="EL549" s="206"/>
      <c r="EM549" s="102"/>
      <c r="EN549" s="102"/>
      <c r="EO549" s="206"/>
      <c r="EP549" s="102"/>
      <c r="EQ549" s="102"/>
      <c r="ER549" s="206"/>
      <c r="ES549" s="102"/>
      <c r="ET549" s="102"/>
      <c r="EU549" s="206"/>
      <c r="EV549" s="102"/>
      <c r="EW549" s="102"/>
      <c r="EX549" s="206"/>
      <c r="EY549" s="102"/>
      <c r="EZ549" s="102"/>
      <c r="FA549" s="206"/>
      <c r="FH549" s="35"/>
      <c r="FI549" s="35"/>
      <c r="FJ549" s="35"/>
      <c r="FK549" s="35"/>
      <c r="FL549" s="35"/>
      <c r="FM549" s="35"/>
      <c r="FN549" s="35"/>
      <c r="FO549" s="35"/>
      <c r="FP549" s="35"/>
      <c r="FQ549" s="35"/>
    </row>
    <row r="550" spans="1:173" s="321" customFormat="1">
      <c r="A550" s="1174"/>
      <c r="B550" s="322"/>
      <c r="C550" s="331"/>
      <c r="D550" s="910" t="s">
        <v>166</v>
      </c>
      <c r="E550" s="102"/>
      <c r="F550" s="102"/>
      <c r="G550" s="30"/>
      <c r="H550" s="102"/>
      <c r="I550" s="102"/>
      <c r="J550" s="30"/>
      <c r="K550" s="102"/>
      <c r="L550" s="102"/>
      <c r="M550" s="30"/>
      <c r="N550" s="102"/>
      <c r="O550" s="102"/>
      <c r="P550" s="30"/>
      <c r="Q550" s="102"/>
      <c r="R550" s="102"/>
      <c r="S550" s="30"/>
      <c r="T550" s="102"/>
      <c r="U550" s="102"/>
      <c r="V550" s="30"/>
      <c r="W550" s="102"/>
      <c r="X550" s="102"/>
      <c r="Y550" s="30"/>
      <c r="Z550" s="102"/>
      <c r="AA550" s="102"/>
      <c r="AB550" s="30"/>
      <c r="AC550" s="102"/>
      <c r="AD550" s="102"/>
      <c r="AE550" s="30"/>
      <c r="AF550" s="102"/>
      <c r="AG550" s="102"/>
      <c r="AH550" s="30"/>
      <c r="AI550" s="102"/>
      <c r="AJ550" s="102"/>
      <c r="AK550" s="30"/>
      <c r="AL550" s="102"/>
      <c r="AM550" s="102"/>
      <c r="AN550" s="30"/>
      <c r="AO550" s="102"/>
      <c r="AP550" s="102"/>
      <c r="AQ550" s="30"/>
      <c r="AR550" s="102"/>
      <c r="AS550" s="102"/>
      <c r="AT550" s="30"/>
      <c r="AU550" s="102"/>
      <c r="AV550" s="102"/>
      <c r="AW550" s="30"/>
      <c r="AX550" s="102"/>
      <c r="AY550" s="102"/>
      <c r="AZ550" s="30"/>
      <c r="BA550" s="102"/>
      <c r="BB550" s="102"/>
      <c r="BC550" s="103"/>
      <c r="BD550" s="102"/>
      <c r="BE550" s="102"/>
      <c r="BF550" s="103"/>
      <c r="BG550" s="102"/>
      <c r="BH550" s="102"/>
      <c r="BI550" s="104"/>
      <c r="BJ550" s="133"/>
      <c r="BK550" s="133"/>
      <c r="BL550" s="134"/>
      <c r="BM550" s="133"/>
      <c r="BN550" s="133"/>
      <c r="BO550" s="134"/>
      <c r="BP550" s="133"/>
      <c r="BQ550" s="133"/>
      <c r="BR550" s="134"/>
      <c r="BS550" s="14"/>
      <c r="BT550" s="105"/>
      <c r="BU550" s="15"/>
      <c r="BV550" s="105"/>
      <c r="BW550" s="105"/>
      <c r="BX550" s="198"/>
      <c r="BY550" s="14"/>
      <c r="BZ550" s="105"/>
      <c r="CA550" s="198"/>
      <c r="CB550" s="105"/>
      <c r="CC550" s="105"/>
      <c r="CD550" s="198"/>
      <c r="CH550" s="16">
        <v>-0.5981201681360897</v>
      </c>
      <c r="CI550" s="16">
        <f>CI547-((CI547*CJ549)/CI548)</f>
        <v>0.16830210887690034</v>
      </c>
      <c r="CJ550" s="206"/>
      <c r="CK550" s="16">
        <f>CM547-((CM547*CM549)/CK548)</f>
        <v>1.0857833071626999</v>
      </c>
      <c r="CL550" s="16">
        <f>CM547-((CM547*CM549)/CL548)</f>
        <v>1.0857833071626999</v>
      </c>
      <c r="CM550" s="206">
        <f>CK550+CL550</f>
        <v>2.1715666143253998</v>
      </c>
      <c r="CN550" s="16">
        <f>CP547-((CP547*CP549)/CN548)</f>
        <v>0.83214000000000077</v>
      </c>
      <c r="CO550" s="16">
        <f>CP547-((CP547*CP549)/CO548)</f>
        <v>0.83214000000000077</v>
      </c>
      <c r="CP550" s="206">
        <f>CN550+CO550</f>
        <v>1.6642800000000015</v>
      </c>
      <c r="CQ550" s="16">
        <f>CS547-((CS547*CS549)/CQ548)</f>
        <v>0</v>
      </c>
      <c r="CR550" s="16">
        <f>CS547-((CS547*CS549)/CR548)</f>
        <v>0</v>
      </c>
      <c r="CS550" s="206">
        <f>CQ550+CR550</f>
        <v>0</v>
      </c>
      <c r="CT550" s="16">
        <f>CV547-((CV547*CV549)/CT548)</f>
        <v>9.5311666666665573E-2</v>
      </c>
      <c r="CU550" s="16">
        <f>CV547-((CV547*CV549)/CU548)</f>
        <v>0.3179135869565215</v>
      </c>
      <c r="CV550" s="206">
        <f>CT550+CU550</f>
        <v>0.41322525362318707</v>
      </c>
      <c r="CW550" s="16">
        <f>CY547-((CY547*CY549)/CW548)</f>
        <v>0.59911111111111115</v>
      </c>
      <c r="CX550" s="16">
        <f>CY547-((CY547*CY549)/CX548)</f>
        <v>0.7033043478260872</v>
      </c>
      <c r="CY550" s="206">
        <f>CW550+CX550</f>
        <v>1.3024154589371983</v>
      </c>
      <c r="CZ550" s="16">
        <f>DB547-((DB547*DB549)/CZ548)</f>
        <v>0.16077777777777769</v>
      </c>
      <c r="DA550" s="16">
        <f>DB547-((DB547*DB549)/DA548)</f>
        <v>0.18873913043478252</v>
      </c>
      <c r="DB550" s="206">
        <f>CZ550+DA550</f>
        <v>0.34951690821256021</v>
      </c>
      <c r="DC550" s="16">
        <f>DE547-((DE547*DE549)/DC548)</f>
        <v>-1.8260869565231985E-3</v>
      </c>
      <c r="DD550" s="16">
        <f>DE547-((DE547*DE549)/DD548)</f>
        <v>-1.8260869565231985E-3</v>
      </c>
      <c r="DE550" s="206">
        <f>DC550+DD550</f>
        <v>-3.652173913046397E-3</v>
      </c>
      <c r="DF550" s="16">
        <f>DH547-((DH547*DH549)/DF548)</f>
        <v>0.79111304347826206</v>
      </c>
      <c r="DG550" s="16">
        <f>DH547-((DH547*DH549)/DG548)</f>
        <v>0.79111304347826206</v>
      </c>
      <c r="DH550" s="1102">
        <f>DF550+DG550</f>
        <v>1.5822260869565241</v>
      </c>
      <c r="DI550" s="16">
        <f>DK547-((DK547*DK549)/DI548)</f>
        <v>1.8498857142857155</v>
      </c>
      <c r="DJ550" s="16">
        <f>DK547-((DK547*DK549)/DJ548)</f>
        <v>1.9518749999999976</v>
      </c>
      <c r="DK550" s="1102">
        <f>DI550+DJ550</f>
        <v>3.801760714285713</v>
      </c>
      <c r="DL550" s="16">
        <f>DN547-((DN547*DN549)/DL548)</f>
        <v>-0.31159090909091347</v>
      </c>
      <c r="DM550" s="16">
        <f>DN547-((DN547*DN549)/DM548)</f>
        <v>-0.31159090909091347</v>
      </c>
      <c r="DN550" s="1102">
        <f>DL550+DM550</f>
        <v>-0.62318181818182694</v>
      </c>
      <c r="DO550" s="16">
        <f>DQ547-((DQ547*DQ549)/DO548)</f>
        <v>1.5213711911101342</v>
      </c>
      <c r="DP550" s="16">
        <f>DQ547-((DQ547*DQ549)/DP548)</f>
        <v>1.0828836231206935</v>
      </c>
      <c r="DQ550" s="1102">
        <f>DO550+DP550</f>
        <v>2.6042548142308277</v>
      </c>
      <c r="DR550" s="16">
        <f>DT547-((DT547*DT549)/DR548)</f>
        <v>1.8194013477830318</v>
      </c>
      <c r="DS550" s="16">
        <f>DT547-((DT547*DT549)/DS548)</f>
        <v>2.6218077787201874</v>
      </c>
      <c r="DT550" s="1102">
        <f>DR550+DS550</f>
        <v>4.4412091265032192</v>
      </c>
      <c r="DU550" s="16">
        <f>DW547-((DW547*DW549)/DU548)</f>
        <v>1.6457962702993463</v>
      </c>
      <c r="DV550" s="16">
        <f>DW547-((DW547*DW549)/DV548)</f>
        <v>0.69952659574467901</v>
      </c>
      <c r="DW550" s="1102">
        <f>DU550+DV550</f>
        <v>2.3453228660440253</v>
      </c>
      <c r="DX550" s="16">
        <f>DZ547-((DZ547*DZ549)/DX548)</f>
        <v>0.72604166666666359</v>
      </c>
      <c r="DY550" s="16">
        <f>DZ547-((DZ547*DZ549)/DY548)</f>
        <v>0.72604166666666359</v>
      </c>
      <c r="DZ550" s="1102">
        <v>1.1252310273768096</v>
      </c>
      <c r="EA550" s="16">
        <f>EC547-((EC547*EC549)/EA548)</f>
        <v>0.40145833333333236</v>
      </c>
      <c r="EB550" s="16">
        <f>EC547-((EC547*EC549)/EB548)</f>
        <v>0.40145833333333236</v>
      </c>
      <c r="EC550" s="1102">
        <f>EA550+EB550</f>
        <v>0.80291666666666472</v>
      </c>
      <c r="ED550" s="102"/>
      <c r="EE550" s="102"/>
      <c r="EF550" s="206"/>
      <c r="EG550" s="102"/>
      <c r="EH550" s="102"/>
      <c r="EI550" s="206"/>
      <c r="EJ550" s="102"/>
      <c r="EK550" s="102"/>
      <c r="EL550" s="206"/>
      <c r="EM550" s="102"/>
      <c r="EN550" s="102"/>
      <c r="EO550" s="206"/>
      <c r="EP550" s="102"/>
      <c r="EQ550" s="102"/>
      <c r="ER550" s="206"/>
      <c r="ES550" s="102"/>
      <c r="ET550" s="102"/>
      <c r="EU550" s="206"/>
      <c r="EV550" s="102"/>
      <c r="EW550" s="102"/>
      <c r="EX550" s="206"/>
      <c r="EY550" s="102"/>
      <c r="EZ550" s="102"/>
      <c r="FA550" s="206"/>
      <c r="FH550" s="35"/>
      <c r="FI550" s="35"/>
      <c r="FJ550" s="35"/>
      <c r="FK550" s="35"/>
      <c r="FL550" s="35"/>
      <c r="FM550" s="35"/>
      <c r="FN550" s="35"/>
      <c r="FO550" s="35"/>
      <c r="FP550" s="35"/>
      <c r="FQ550" s="35"/>
    </row>
    <row r="551" spans="1:173" s="321" customFormat="1">
      <c r="A551" s="1174"/>
      <c r="B551" s="322"/>
      <c r="C551" s="331"/>
      <c r="D551" s="910"/>
      <c r="E551" s="102"/>
      <c r="F551" s="102"/>
      <c r="G551" s="30"/>
      <c r="H551" s="102"/>
      <c r="I551" s="102"/>
      <c r="J551" s="30"/>
      <c r="K551" s="102"/>
      <c r="L551" s="102"/>
      <c r="M551" s="30"/>
      <c r="N551" s="102"/>
      <c r="O551" s="102"/>
      <c r="P551" s="30"/>
      <c r="Q551" s="102"/>
      <c r="R551" s="102"/>
      <c r="S551" s="30"/>
      <c r="T551" s="102"/>
      <c r="U551" s="102"/>
      <c r="V551" s="30"/>
      <c r="W551" s="102"/>
      <c r="X551" s="102"/>
      <c r="Y551" s="30"/>
      <c r="Z551" s="102"/>
      <c r="AA551" s="102"/>
      <c r="AB551" s="30"/>
      <c r="AC551" s="102"/>
      <c r="AD551" s="102"/>
      <c r="AE551" s="30"/>
      <c r="AF551" s="102"/>
      <c r="AG551" s="102"/>
      <c r="AH551" s="30"/>
      <c r="AI551" s="102"/>
      <c r="AJ551" s="102"/>
      <c r="AK551" s="30"/>
      <c r="AL551" s="102"/>
      <c r="AM551" s="102"/>
      <c r="AN551" s="30"/>
      <c r="AO551" s="102"/>
      <c r="AP551" s="102"/>
      <c r="AQ551" s="30"/>
      <c r="AR551" s="102"/>
      <c r="AS551" s="102"/>
      <c r="AT551" s="30"/>
      <c r="AU551" s="102"/>
      <c r="AV551" s="102"/>
      <c r="AW551" s="30"/>
      <c r="AX551" s="102"/>
      <c r="AY551" s="102"/>
      <c r="AZ551" s="30"/>
      <c r="BA551" s="102"/>
      <c r="BB551" s="102"/>
      <c r="BC551" s="103"/>
      <c r="BD551" s="102"/>
      <c r="BE551" s="102"/>
      <c r="BF551" s="103"/>
      <c r="BG551" s="102"/>
      <c r="BH551" s="102"/>
      <c r="BI551" s="104"/>
      <c r="BJ551" s="133"/>
      <c r="BK551" s="133"/>
      <c r="BL551" s="134"/>
      <c r="BM551" s="133"/>
      <c r="BN551" s="133"/>
      <c r="BO551" s="134"/>
      <c r="BP551" s="133"/>
      <c r="BQ551" s="133"/>
      <c r="BR551" s="134"/>
      <c r="BS551" s="14"/>
      <c r="BT551" s="105"/>
      <c r="BU551" s="15"/>
      <c r="BV551" s="105"/>
      <c r="BW551" s="105"/>
      <c r="BX551" s="198"/>
      <c r="BY551" s="14"/>
      <c r="BZ551" s="105"/>
      <c r="CA551" s="198"/>
      <c r="CB551" s="105"/>
      <c r="CC551" s="105"/>
      <c r="CD551" s="198"/>
      <c r="CH551" s="16"/>
      <c r="CI551" s="16"/>
      <c r="CJ551" s="206"/>
      <c r="CK551" s="16"/>
      <c r="CL551" s="16"/>
      <c r="CM551" s="206"/>
      <c r="CN551" s="16"/>
      <c r="CO551" s="16"/>
      <c r="CP551" s="197"/>
      <c r="CQ551" s="16"/>
      <c r="CR551" s="16"/>
      <c r="CS551" s="197"/>
      <c r="CT551" s="102"/>
      <c r="CU551" s="102"/>
      <c r="CV551" s="197"/>
      <c r="CW551" s="102"/>
      <c r="CX551" s="102"/>
      <c r="CY551" s="30"/>
      <c r="CZ551" s="102"/>
      <c r="DA551" s="102"/>
      <c r="DB551" s="30"/>
      <c r="DC551" s="102"/>
      <c r="DD551" s="102"/>
      <c r="DE551" s="30"/>
      <c r="DF551" s="102"/>
      <c r="DG551" s="102"/>
      <c r="DH551" s="1096"/>
      <c r="DI551" s="102"/>
      <c r="DJ551" s="102"/>
      <c r="DK551" s="1096"/>
      <c r="DL551" s="102"/>
      <c r="DM551" s="102"/>
      <c r="DN551" s="1096"/>
      <c r="DO551" s="102"/>
      <c r="DP551" s="102"/>
      <c r="DQ551" s="1096"/>
      <c r="DR551" s="102"/>
      <c r="DS551" s="102"/>
      <c r="DT551" s="1096"/>
      <c r="DU551" s="102"/>
      <c r="DV551" s="102"/>
      <c r="DW551" s="1096"/>
      <c r="DX551" s="102"/>
      <c r="DY551" s="102"/>
      <c r="DZ551" s="1096"/>
      <c r="EA551" s="102"/>
      <c r="EB551" s="102"/>
      <c r="EC551" s="1096"/>
      <c r="ED551" s="102"/>
      <c r="EE551" s="102"/>
      <c r="EF551" s="30"/>
      <c r="EG551" s="102"/>
      <c r="EH551" s="102"/>
      <c r="EI551" s="30"/>
      <c r="EJ551" s="102"/>
      <c r="EK551" s="102"/>
      <c r="EL551" s="30"/>
      <c r="EM551" s="102"/>
      <c r="EN551" s="102"/>
      <c r="EO551" s="30"/>
      <c r="EP551" s="102"/>
      <c r="EQ551" s="102"/>
      <c r="ER551" s="30"/>
      <c r="ES551" s="102"/>
      <c r="ET551" s="102"/>
      <c r="EU551" s="30"/>
      <c r="EV551" s="102"/>
      <c r="EW551" s="102"/>
      <c r="EX551" s="30"/>
      <c r="EY551" s="102"/>
      <c r="EZ551" s="102"/>
      <c r="FA551" s="30"/>
      <c r="FH551" s="35"/>
      <c r="FI551" s="35"/>
      <c r="FJ551" s="35"/>
      <c r="FK551" s="35"/>
      <c r="FL551" s="35"/>
      <c r="FM551" s="35"/>
      <c r="FN551" s="35"/>
      <c r="FO551" s="35"/>
      <c r="FP551" s="35"/>
      <c r="FQ551" s="35"/>
    </row>
    <row r="552" spans="1:173" s="321" customFormat="1">
      <c r="A552" s="1174"/>
      <c r="B552" s="322"/>
      <c r="C552" s="331" t="s">
        <v>855</v>
      </c>
      <c r="D552" s="910" t="s">
        <v>441</v>
      </c>
      <c r="E552" s="102"/>
      <c r="F552" s="102"/>
      <c r="G552" s="30"/>
      <c r="H552" s="102"/>
      <c r="I552" s="102"/>
      <c r="J552" s="30"/>
      <c r="K552" s="102"/>
      <c r="L552" s="102"/>
      <c r="M552" s="30"/>
      <c r="N552" s="102"/>
      <c r="O552" s="102"/>
      <c r="P552" s="30"/>
      <c r="Q552" s="102"/>
      <c r="R552" s="102"/>
      <c r="S552" s="30"/>
      <c r="T552" s="102"/>
      <c r="U552" s="102"/>
      <c r="V552" s="30"/>
      <c r="W552" s="102"/>
      <c r="X552" s="102"/>
      <c r="Y552" s="30"/>
      <c r="Z552" s="102"/>
      <c r="AA552" s="102"/>
      <c r="AB552" s="30"/>
      <c r="AC552" s="102"/>
      <c r="AD552" s="102"/>
      <c r="AE552" s="30"/>
      <c r="AF552" s="102"/>
      <c r="AG552" s="102"/>
      <c r="AH552" s="30"/>
      <c r="AI552" s="102"/>
      <c r="AJ552" s="102"/>
      <c r="AK552" s="30"/>
      <c r="AL552" s="102"/>
      <c r="AM552" s="102"/>
      <c r="AN552" s="30"/>
      <c r="AO552" s="102"/>
      <c r="AP552" s="102"/>
      <c r="AQ552" s="30"/>
      <c r="AR552" s="102"/>
      <c r="AS552" s="102"/>
      <c r="AT552" s="30"/>
      <c r="AU552" s="102"/>
      <c r="AV552" s="102"/>
      <c r="AW552" s="30"/>
      <c r="AX552" s="102"/>
      <c r="AY552" s="102"/>
      <c r="AZ552" s="30"/>
      <c r="BA552" s="102"/>
      <c r="BB552" s="102"/>
      <c r="BC552" s="103"/>
      <c r="BD552" s="102"/>
      <c r="BE552" s="102"/>
      <c r="BF552" s="103"/>
      <c r="BG552" s="102"/>
      <c r="BH552" s="102"/>
      <c r="BI552" s="104"/>
      <c r="BJ552" s="133"/>
      <c r="BK552" s="133"/>
      <c r="BL552" s="134"/>
      <c r="BM552" s="133"/>
      <c r="BN552" s="133"/>
      <c r="BO552" s="134"/>
      <c r="BP552" s="133"/>
      <c r="BQ552" s="133"/>
      <c r="BR552" s="134"/>
      <c r="BS552" s="14"/>
      <c r="BT552" s="105"/>
      <c r="BU552" s="15"/>
      <c r="BV552" s="105"/>
      <c r="BW552" s="105"/>
      <c r="BX552" s="198"/>
      <c r="BY552" s="14"/>
      <c r="BZ552" s="105"/>
      <c r="CA552" s="198"/>
      <c r="CB552" s="105"/>
      <c r="CC552" s="105"/>
      <c r="CD552" s="198"/>
      <c r="CH552" s="16"/>
      <c r="CI552" s="16"/>
      <c r="CJ552" s="206">
        <v>0</v>
      </c>
      <c r="CK552" s="16"/>
      <c r="CL552" s="16"/>
      <c r="CM552" s="206">
        <v>0</v>
      </c>
      <c r="CN552" s="16"/>
      <c r="CO552" s="16"/>
      <c r="CP552" s="197"/>
      <c r="CQ552" s="16"/>
      <c r="CR552" s="16"/>
      <c r="CS552" s="197"/>
      <c r="CT552" s="102"/>
      <c r="CU552" s="102"/>
      <c r="CV552" s="197"/>
      <c r="CW552" s="102"/>
      <c r="CX552" s="102"/>
      <c r="CY552" s="30"/>
      <c r="CZ552" s="102"/>
      <c r="DA552" s="102"/>
      <c r="DB552" s="30"/>
      <c r="DC552" s="102"/>
      <c r="DD552" s="102"/>
      <c r="DE552" s="30"/>
      <c r="DF552" s="102"/>
      <c r="DG552" s="102"/>
      <c r="DH552" s="1096"/>
      <c r="DI552" s="102"/>
      <c r="DJ552" s="102"/>
      <c r="DK552" s="1096"/>
      <c r="DL552" s="102"/>
      <c r="DM552" s="102"/>
      <c r="DN552" s="1096"/>
      <c r="DO552" s="102"/>
      <c r="DP552" s="102"/>
      <c r="DQ552" s="1096">
        <v>-36.6</v>
      </c>
      <c r="DR552" s="102"/>
      <c r="DS552" s="102"/>
      <c r="DT552" s="1096">
        <v>-36.6</v>
      </c>
      <c r="DU552" s="102"/>
      <c r="DV552" s="102"/>
      <c r="DW552" s="1096"/>
      <c r="DX552" s="102"/>
      <c r="DY552" s="102"/>
      <c r="DZ552" s="1096"/>
      <c r="EA552" s="102"/>
      <c r="EB552" s="102"/>
      <c r="EC552" s="1096"/>
      <c r="ED552" s="102"/>
      <c r="EE552" s="102"/>
      <c r="EF552" s="30"/>
      <c r="EG552" s="102"/>
      <c r="EH552" s="102"/>
      <c r="EI552" s="30"/>
      <c r="EJ552" s="102"/>
      <c r="EK552" s="102"/>
      <c r="EL552" s="30"/>
      <c r="EM552" s="102"/>
      <c r="EN552" s="102"/>
      <c r="EO552" s="30"/>
      <c r="EP552" s="102"/>
      <c r="EQ552" s="102"/>
      <c r="ER552" s="30"/>
      <c r="ES552" s="102"/>
      <c r="ET552" s="102"/>
      <c r="EU552" s="30"/>
      <c r="EV552" s="102"/>
      <c r="EW552" s="102"/>
      <c r="EX552" s="30"/>
      <c r="EY552" s="102"/>
      <c r="EZ552" s="102"/>
      <c r="FA552" s="30"/>
      <c r="FH552" s="35"/>
      <c r="FI552" s="35"/>
      <c r="FJ552" s="35"/>
      <c r="FK552" s="35"/>
      <c r="FL552" s="35"/>
      <c r="FM552" s="35"/>
      <c r="FN552" s="35"/>
      <c r="FO552" s="35"/>
      <c r="FP552" s="35"/>
      <c r="FQ552" s="35"/>
    </row>
    <row r="553" spans="1:173" s="321" customFormat="1">
      <c r="A553" s="1174"/>
      <c r="B553" s="322"/>
      <c r="C553" s="331"/>
      <c r="D553" s="82" t="s">
        <v>165</v>
      </c>
      <c r="E553" s="102"/>
      <c r="F553" s="102"/>
      <c r="G553" s="30"/>
      <c r="H553" s="102"/>
      <c r="I553" s="102"/>
      <c r="J553" s="30"/>
      <c r="K553" s="102"/>
      <c r="L553" s="102"/>
      <c r="M553" s="30"/>
      <c r="N553" s="102"/>
      <c r="O553" s="102"/>
      <c r="P553" s="30"/>
      <c r="Q553" s="102"/>
      <c r="R553" s="102"/>
      <c r="S553" s="30"/>
      <c r="T553" s="102"/>
      <c r="U553" s="102"/>
      <c r="V553" s="30"/>
      <c r="W553" s="102"/>
      <c r="X553" s="102"/>
      <c r="Y553" s="30"/>
      <c r="Z553" s="102"/>
      <c r="AA553" s="102"/>
      <c r="AB553" s="30"/>
      <c r="AC553" s="102"/>
      <c r="AD553" s="102"/>
      <c r="AE553" s="30"/>
      <c r="AF553" s="102"/>
      <c r="AG553" s="102"/>
      <c r="AH553" s="30"/>
      <c r="AI553" s="102"/>
      <c r="AJ553" s="102"/>
      <c r="AK553" s="30"/>
      <c r="AL553" s="102"/>
      <c r="AM553" s="102"/>
      <c r="AN553" s="30"/>
      <c r="AO553" s="102"/>
      <c r="AP553" s="102"/>
      <c r="AQ553" s="30"/>
      <c r="AR553" s="102"/>
      <c r="AS553" s="102"/>
      <c r="AT553" s="30"/>
      <c r="AU553" s="102"/>
      <c r="AV553" s="102"/>
      <c r="AW553" s="30"/>
      <c r="AX553" s="102"/>
      <c r="AY553" s="102"/>
      <c r="AZ553" s="30"/>
      <c r="BA553" s="102"/>
      <c r="BB553" s="102"/>
      <c r="BC553" s="103"/>
      <c r="BD553" s="102"/>
      <c r="BE553" s="102"/>
      <c r="BF553" s="103"/>
      <c r="BG553" s="102"/>
      <c r="BH553" s="102"/>
      <c r="BI553" s="104"/>
      <c r="BJ553" s="133"/>
      <c r="BK553" s="133"/>
      <c r="BL553" s="134"/>
      <c r="BM553" s="133"/>
      <c r="BN553" s="133"/>
      <c r="BO553" s="134"/>
      <c r="BP553" s="133"/>
      <c r="BQ553" s="133"/>
      <c r="BR553" s="134"/>
      <c r="BS553" s="14"/>
      <c r="BT553" s="105"/>
      <c r="BU553" s="15"/>
      <c r="BV553" s="105"/>
      <c r="BW553" s="105"/>
      <c r="BX553" s="198"/>
      <c r="BY553" s="14"/>
      <c r="BZ553" s="105"/>
      <c r="CA553" s="198"/>
      <c r="CB553" s="105"/>
      <c r="CC553" s="105"/>
      <c r="CD553" s="198"/>
      <c r="CH553" s="16">
        <v>0</v>
      </c>
      <c r="CI553" s="16">
        <v>0</v>
      </c>
      <c r="CJ553" s="206"/>
      <c r="CK553" s="16">
        <v>0</v>
      </c>
      <c r="CL553" s="16">
        <v>0</v>
      </c>
      <c r="CM553" s="206"/>
      <c r="CN553" s="16">
        <v>0</v>
      </c>
      <c r="CO553" s="16">
        <v>0</v>
      </c>
      <c r="CP553" s="197"/>
      <c r="CQ553" s="16">
        <v>0</v>
      </c>
      <c r="CR553" s="16">
        <v>0</v>
      </c>
      <c r="CS553" s="197"/>
      <c r="CT553" s="102"/>
      <c r="CU553" s="102"/>
      <c r="CV553" s="197"/>
      <c r="CW553" s="102"/>
      <c r="CX553" s="102"/>
      <c r="CY553" s="30"/>
      <c r="CZ553" s="102"/>
      <c r="DA553" s="102"/>
      <c r="DB553" s="30"/>
      <c r="DC553" s="102"/>
      <c r="DD553" s="102"/>
      <c r="DE553" s="30"/>
      <c r="DF553" s="102"/>
      <c r="DG553" s="102"/>
      <c r="DH553" s="1096"/>
      <c r="DI553" s="102"/>
      <c r="DJ553" s="102"/>
      <c r="DK553" s="1096"/>
      <c r="DL553" s="102"/>
      <c r="DM553" s="102"/>
      <c r="DN553" s="1096"/>
      <c r="DO553" s="16">
        <f>1/DO87</f>
        <v>7.1234274809160301</v>
      </c>
      <c r="DP553" s="16">
        <f>1/DP87</f>
        <v>7.0846014769977161</v>
      </c>
      <c r="DQ553" s="1080"/>
      <c r="DR553" s="102"/>
      <c r="DS553" s="102"/>
      <c r="DT553" s="1096"/>
      <c r="DU553" s="102"/>
      <c r="DV553" s="102"/>
      <c r="DW553" s="1096"/>
      <c r="DX553" s="102"/>
      <c r="DY553" s="102"/>
      <c r="DZ553" s="1096"/>
      <c r="EA553" s="102"/>
      <c r="EB553" s="102"/>
      <c r="EC553" s="1096"/>
      <c r="ED553" s="102"/>
      <c r="EE553" s="102"/>
      <c r="EF553" s="30"/>
      <c r="EG553" s="102"/>
      <c r="EH553" s="102"/>
      <c r="EI553" s="30"/>
      <c r="EJ553" s="102"/>
      <c r="EK553" s="102"/>
      <c r="EL553" s="30"/>
      <c r="EM553" s="102"/>
      <c r="EN553" s="102"/>
      <c r="EO553" s="30"/>
      <c r="EP553" s="102"/>
      <c r="EQ553" s="102"/>
      <c r="ER553" s="30"/>
      <c r="ES553" s="102"/>
      <c r="ET553" s="102"/>
      <c r="EU553" s="30"/>
      <c r="EV553" s="102"/>
      <c r="EW553" s="102"/>
      <c r="EX553" s="30"/>
      <c r="EY553" s="102"/>
      <c r="EZ553" s="102"/>
      <c r="FA553" s="30"/>
      <c r="FH553" s="35"/>
      <c r="FI553" s="35"/>
      <c r="FJ553" s="35"/>
      <c r="FK553" s="35"/>
      <c r="FL553" s="35"/>
      <c r="FM553" s="35"/>
      <c r="FN553" s="35"/>
      <c r="FO553" s="35"/>
      <c r="FP553" s="35"/>
      <c r="FQ553" s="35"/>
    </row>
    <row r="554" spans="1:173" s="321" customFormat="1">
      <c r="A554" s="1174"/>
      <c r="B554" s="322"/>
      <c r="C554" s="331"/>
      <c r="D554" s="910" t="s">
        <v>442</v>
      </c>
      <c r="E554" s="102"/>
      <c r="F554" s="102"/>
      <c r="G554" s="30"/>
      <c r="H554" s="102"/>
      <c r="I554" s="102"/>
      <c r="J554" s="30"/>
      <c r="K554" s="102"/>
      <c r="L554" s="102"/>
      <c r="M554" s="30"/>
      <c r="N554" s="102"/>
      <c r="O554" s="102"/>
      <c r="P554" s="30"/>
      <c r="Q554" s="102"/>
      <c r="R554" s="102"/>
      <c r="S554" s="30"/>
      <c r="T554" s="102"/>
      <c r="U554" s="102"/>
      <c r="V554" s="30"/>
      <c r="W554" s="102"/>
      <c r="X554" s="102"/>
      <c r="Y554" s="30"/>
      <c r="Z554" s="102"/>
      <c r="AA554" s="102"/>
      <c r="AB554" s="30"/>
      <c r="AC554" s="102"/>
      <c r="AD554" s="102"/>
      <c r="AE554" s="30"/>
      <c r="AF554" s="102"/>
      <c r="AG554" s="102"/>
      <c r="AH554" s="30"/>
      <c r="AI554" s="102"/>
      <c r="AJ554" s="102"/>
      <c r="AK554" s="30"/>
      <c r="AL554" s="102"/>
      <c r="AM554" s="102"/>
      <c r="AN554" s="30"/>
      <c r="AO554" s="102"/>
      <c r="AP554" s="102"/>
      <c r="AQ554" s="30"/>
      <c r="AR554" s="102"/>
      <c r="AS554" s="102"/>
      <c r="AT554" s="30"/>
      <c r="AU554" s="102"/>
      <c r="AV554" s="102"/>
      <c r="AW554" s="30"/>
      <c r="AX554" s="102"/>
      <c r="AY554" s="102"/>
      <c r="AZ554" s="30"/>
      <c r="BA554" s="102"/>
      <c r="BB554" s="102"/>
      <c r="BC554" s="103"/>
      <c r="BD554" s="102"/>
      <c r="BE554" s="102"/>
      <c r="BF554" s="103"/>
      <c r="BG554" s="102"/>
      <c r="BH554" s="102"/>
      <c r="BI554" s="104"/>
      <c r="BJ554" s="133"/>
      <c r="BK554" s="133"/>
      <c r="BL554" s="134"/>
      <c r="BM554" s="133"/>
      <c r="BN554" s="133"/>
      <c r="BO554" s="134"/>
      <c r="BP554" s="133"/>
      <c r="BQ554" s="133"/>
      <c r="BR554" s="134"/>
      <c r="BS554" s="14"/>
      <c r="BT554" s="105"/>
      <c r="BU554" s="15"/>
      <c r="BV554" s="105"/>
      <c r="BW554" s="105"/>
      <c r="BX554" s="198"/>
      <c r="BY554" s="14"/>
      <c r="BZ554" s="105"/>
      <c r="CA554" s="198"/>
      <c r="CB554" s="105"/>
      <c r="CC554" s="105"/>
      <c r="CD554" s="198"/>
      <c r="CH554" s="16"/>
      <c r="CI554" s="16"/>
      <c r="CJ554" s="206">
        <v>0</v>
      </c>
      <c r="CK554" s="16"/>
      <c r="CL554" s="16"/>
      <c r="CM554" s="206">
        <v>0</v>
      </c>
      <c r="CN554" s="16"/>
      <c r="CO554" s="16"/>
      <c r="CP554" s="197"/>
      <c r="CQ554" s="16"/>
      <c r="CR554" s="16"/>
      <c r="CS554" s="197"/>
      <c r="CT554" s="102"/>
      <c r="CU554" s="102"/>
      <c r="CV554" s="197"/>
      <c r="CW554" s="102"/>
      <c r="CX554" s="102"/>
      <c r="CY554" s="30"/>
      <c r="CZ554" s="102"/>
      <c r="DA554" s="102"/>
      <c r="DB554" s="30"/>
      <c r="DC554" s="102"/>
      <c r="DD554" s="102"/>
      <c r="DE554" s="30"/>
      <c r="DF554" s="102"/>
      <c r="DG554" s="102"/>
      <c r="DH554" s="1096"/>
      <c r="DI554" s="102"/>
      <c r="DJ554" s="102"/>
      <c r="DK554" s="1096"/>
      <c r="DL554" s="102"/>
      <c r="DM554" s="102"/>
      <c r="DN554" s="1096"/>
      <c r="DO554" s="16"/>
      <c r="DP554" s="16"/>
      <c r="DQ554" s="1102">
        <v>7.0949999999999998</v>
      </c>
      <c r="DR554" s="102"/>
      <c r="DS554" s="102"/>
      <c r="DT554" s="1096">
        <v>7.0949999999999998</v>
      </c>
      <c r="DU554" s="102"/>
      <c r="DV554" s="102"/>
      <c r="DW554" s="1096"/>
      <c r="DX554" s="102"/>
      <c r="DY554" s="102"/>
      <c r="DZ554" s="1096"/>
      <c r="EA554" s="102"/>
      <c r="EB554" s="102"/>
      <c r="EC554" s="1096"/>
      <c r="ED554" s="102"/>
      <c r="EE554" s="102"/>
      <c r="EF554" s="30"/>
      <c r="EG554" s="102"/>
      <c r="EH554" s="102"/>
      <c r="EI554" s="30"/>
      <c r="EJ554" s="102"/>
      <c r="EK554" s="102"/>
      <c r="EL554" s="30"/>
      <c r="EM554" s="102"/>
      <c r="EN554" s="102"/>
      <c r="EO554" s="30"/>
      <c r="EP554" s="102"/>
      <c r="EQ554" s="102"/>
      <c r="ER554" s="30"/>
      <c r="ES554" s="102"/>
      <c r="ET554" s="102"/>
      <c r="EU554" s="30"/>
      <c r="EV554" s="102"/>
      <c r="EW554" s="102"/>
      <c r="EX554" s="30"/>
      <c r="EY554" s="102"/>
      <c r="EZ554" s="102"/>
      <c r="FA554" s="30"/>
      <c r="FH554" s="35"/>
      <c r="FI554" s="35"/>
      <c r="FJ554" s="35"/>
      <c r="FK554" s="35"/>
      <c r="FL554" s="35"/>
      <c r="FM554" s="35"/>
      <c r="FN554" s="35"/>
      <c r="FO554" s="35"/>
      <c r="FP554" s="35"/>
      <c r="FQ554" s="35"/>
    </row>
    <row r="555" spans="1:173" s="321" customFormat="1">
      <c r="A555" s="1174"/>
      <c r="B555" s="322"/>
      <c r="C555" s="331"/>
      <c r="D555" s="910" t="s">
        <v>166</v>
      </c>
      <c r="E555" s="102"/>
      <c r="F555" s="102"/>
      <c r="G555" s="30"/>
      <c r="H555" s="102"/>
      <c r="I555" s="102"/>
      <c r="J555" s="30"/>
      <c r="K555" s="102"/>
      <c r="L555" s="102"/>
      <c r="M555" s="30"/>
      <c r="N555" s="102"/>
      <c r="O555" s="102"/>
      <c r="P555" s="30"/>
      <c r="Q555" s="102"/>
      <c r="R555" s="102"/>
      <c r="S555" s="30"/>
      <c r="T555" s="102"/>
      <c r="U555" s="102"/>
      <c r="V555" s="30"/>
      <c r="W555" s="102"/>
      <c r="X555" s="102"/>
      <c r="Y555" s="30"/>
      <c r="Z555" s="102"/>
      <c r="AA555" s="102"/>
      <c r="AB555" s="30"/>
      <c r="AC555" s="102"/>
      <c r="AD555" s="102"/>
      <c r="AE555" s="30"/>
      <c r="AF555" s="102"/>
      <c r="AG555" s="102"/>
      <c r="AH555" s="30"/>
      <c r="AI555" s="102"/>
      <c r="AJ555" s="102"/>
      <c r="AK555" s="30"/>
      <c r="AL555" s="102"/>
      <c r="AM555" s="102"/>
      <c r="AN555" s="30"/>
      <c r="AO555" s="102"/>
      <c r="AP555" s="102"/>
      <c r="AQ555" s="30"/>
      <c r="AR555" s="102"/>
      <c r="AS555" s="102"/>
      <c r="AT555" s="30"/>
      <c r="AU555" s="102"/>
      <c r="AV555" s="102"/>
      <c r="AW555" s="30"/>
      <c r="AX555" s="102"/>
      <c r="AY555" s="102"/>
      <c r="AZ555" s="30"/>
      <c r="BA555" s="102"/>
      <c r="BB555" s="102"/>
      <c r="BC555" s="103"/>
      <c r="BD555" s="102"/>
      <c r="BE555" s="102"/>
      <c r="BF555" s="103"/>
      <c r="BG555" s="102"/>
      <c r="BH555" s="102"/>
      <c r="BI555" s="104"/>
      <c r="BJ555" s="133"/>
      <c r="BK555" s="133"/>
      <c r="BL555" s="134"/>
      <c r="BM555" s="133"/>
      <c r="BN555" s="133"/>
      <c r="BO555" s="134"/>
      <c r="BP555" s="133"/>
      <c r="BQ555" s="133"/>
      <c r="BR555" s="134"/>
      <c r="BS555" s="14"/>
      <c r="BT555" s="105"/>
      <c r="BU555" s="15"/>
      <c r="BV555" s="105"/>
      <c r="BW555" s="105"/>
      <c r="BX555" s="198"/>
      <c r="BY555" s="14"/>
      <c r="BZ555" s="105"/>
      <c r="CA555" s="198"/>
      <c r="CB555" s="105"/>
      <c r="CC555" s="105"/>
      <c r="CD555" s="198"/>
      <c r="CH555" s="16">
        <v>0</v>
      </c>
      <c r="CI555" s="16">
        <v>0</v>
      </c>
      <c r="CJ555" s="206"/>
      <c r="CK555" s="16">
        <v>0</v>
      </c>
      <c r="CL555" s="16">
        <v>0</v>
      </c>
      <c r="CM555" s="206"/>
      <c r="CN555" s="16">
        <v>0</v>
      </c>
      <c r="CO555" s="16">
        <v>0</v>
      </c>
      <c r="CP555" s="197"/>
      <c r="CQ555" s="16">
        <v>0</v>
      </c>
      <c r="CR555" s="16">
        <v>0</v>
      </c>
      <c r="CS555" s="197"/>
      <c r="CT555" s="102"/>
      <c r="CU555" s="102"/>
      <c r="CV555" s="197"/>
      <c r="CW555" s="102"/>
      <c r="CX555" s="102"/>
      <c r="CY555" s="30"/>
      <c r="CZ555" s="102"/>
      <c r="DA555" s="102"/>
      <c r="DB555" s="30"/>
      <c r="DC555" s="102"/>
      <c r="DD555" s="102"/>
      <c r="DE555" s="30"/>
      <c r="DF555" s="102"/>
      <c r="DG555" s="102"/>
      <c r="DH555" s="1096"/>
      <c r="DI555" s="102"/>
      <c r="DJ555" s="102"/>
      <c r="DK555" s="1096"/>
      <c r="DL555" s="102"/>
      <c r="DM555" s="102"/>
      <c r="DN555" s="1096"/>
      <c r="DO555" s="16">
        <f>DQ552-((DQ552*DQ554)/DO553)</f>
        <v>-0.14605971694301445</v>
      </c>
      <c r="DP555" s="16">
        <f>DQ552-((DQ552*DQ554)/DP553)</f>
        <v>5.3720162399997662E-2</v>
      </c>
      <c r="DQ555" s="1102">
        <f>DO555+DP555</f>
        <v>-9.2339554543016789E-2</v>
      </c>
      <c r="DR555" s="102"/>
      <c r="DS555" s="102"/>
      <c r="DT555" s="1096">
        <v>-9.2339554543016789E-2</v>
      </c>
      <c r="DU555" s="102"/>
      <c r="DV555" s="102"/>
      <c r="DW555" s="1096"/>
      <c r="DX555" s="102"/>
      <c r="DY555" s="102"/>
      <c r="DZ555" s="1096"/>
      <c r="EA555" s="102"/>
      <c r="EB555" s="102"/>
      <c r="EC555" s="1096"/>
      <c r="ED555" s="102"/>
      <c r="EE555" s="102"/>
      <c r="EF555" s="30"/>
      <c r="EG555" s="102"/>
      <c r="EH555" s="102"/>
      <c r="EI555" s="30"/>
      <c r="EJ555" s="102"/>
      <c r="EK555" s="102"/>
      <c r="EL555" s="30"/>
      <c r="EM555" s="102"/>
      <c r="EN555" s="102"/>
      <c r="EO555" s="30"/>
      <c r="EP555" s="102"/>
      <c r="EQ555" s="102"/>
      <c r="ER555" s="30"/>
      <c r="ES555" s="102"/>
      <c r="ET555" s="102"/>
      <c r="EU555" s="30"/>
      <c r="EV555" s="102"/>
      <c r="EW555" s="102"/>
      <c r="EX555" s="30"/>
      <c r="EY555" s="102"/>
      <c r="EZ555" s="102"/>
      <c r="FA555" s="30"/>
      <c r="FH555" s="35"/>
      <c r="FI555" s="35"/>
      <c r="FJ555" s="35"/>
      <c r="FK555" s="35"/>
      <c r="FL555" s="35"/>
      <c r="FM555" s="35"/>
      <c r="FN555" s="35"/>
      <c r="FO555" s="35"/>
      <c r="FP555" s="35"/>
      <c r="FQ555" s="35"/>
    </row>
    <row r="556" spans="1:173" s="321" customFormat="1">
      <c r="A556" s="1174"/>
      <c r="B556" s="322"/>
      <c r="C556" s="331"/>
      <c r="D556" s="910"/>
      <c r="E556" s="102"/>
      <c r="F556" s="102"/>
      <c r="G556" s="30"/>
      <c r="H556" s="102"/>
      <c r="I556" s="102"/>
      <c r="J556" s="30"/>
      <c r="K556" s="102"/>
      <c r="L556" s="102"/>
      <c r="M556" s="30"/>
      <c r="N556" s="102"/>
      <c r="O556" s="102"/>
      <c r="P556" s="30"/>
      <c r="Q556" s="102"/>
      <c r="R556" s="102"/>
      <c r="S556" s="30"/>
      <c r="T556" s="102"/>
      <c r="U556" s="102"/>
      <c r="V556" s="30"/>
      <c r="W556" s="102"/>
      <c r="X556" s="102"/>
      <c r="Y556" s="30"/>
      <c r="Z556" s="102"/>
      <c r="AA556" s="102"/>
      <c r="AB556" s="30"/>
      <c r="AC556" s="102"/>
      <c r="AD556" s="102"/>
      <c r="AE556" s="30"/>
      <c r="AF556" s="102"/>
      <c r="AG556" s="102"/>
      <c r="AH556" s="30"/>
      <c r="AI556" s="102"/>
      <c r="AJ556" s="102"/>
      <c r="AK556" s="30"/>
      <c r="AL556" s="102"/>
      <c r="AM556" s="102"/>
      <c r="AN556" s="30"/>
      <c r="AO556" s="102"/>
      <c r="AP556" s="102"/>
      <c r="AQ556" s="30"/>
      <c r="AR556" s="102"/>
      <c r="AS556" s="102"/>
      <c r="AT556" s="30"/>
      <c r="AU556" s="102"/>
      <c r="AV556" s="102"/>
      <c r="AW556" s="30"/>
      <c r="AX556" s="102"/>
      <c r="AY556" s="102"/>
      <c r="AZ556" s="30"/>
      <c r="BA556" s="102"/>
      <c r="BB556" s="102"/>
      <c r="BC556" s="103"/>
      <c r="BD556" s="102"/>
      <c r="BE556" s="102"/>
      <c r="BF556" s="103"/>
      <c r="BG556" s="102"/>
      <c r="BH556" s="102"/>
      <c r="BI556" s="104"/>
      <c r="BJ556" s="133"/>
      <c r="BK556" s="133"/>
      <c r="BL556" s="134"/>
      <c r="BM556" s="133"/>
      <c r="BN556" s="133"/>
      <c r="BO556" s="134"/>
      <c r="BP556" s="133"/>
      <c r="BQ556" s="133"/>
      <c r="BR556" s="134"/>
      <c r="BS556" s="14"/>
      <c r="BT556" s="105"/>
      <c r="BU556" s="15"/>
      <c r="BV556" s="105"/>
      <c r="BW556" s="105"/>
      <c r="BX556" s="198"/>
      <c r="BY556" s="14"/>
      <c r="BZ556" s="105"/>
      <c r="CA556" s="198"/>
      <c r="CB556" s="105"/>
      <c r="CC556" s="105"/>
      <c r="CD556" s="198"/>
      <c r="CH556" s="16"/>
      <c r="CI556" s="16"/>
      <c r="CJ556" s="206"/>
      <c r="CK556" s="3"/>
      <c r="CL556" s="3"/>
      <c r="CM556" s="206"/>
      <c r="CN556" s="3"/>
      <c r="CO556" s="3"/>
      <c r="CP556" s="197"/>
      <c r="CQ556" s="3"/>
      <c r="CR556" s="3"/>
      <c r="CS556" s="197"/>
      <c r="CT556" s="102"/>
      <c r="CU556" s="102"/>
      <c r="CV556" s="197"/>
      <c r="CW556" s="102"/>
      <c r="CX556" s="102"/>
      <c r="CY556" s="30"/>
      <c r="CZ556" s="102"/>
      <c r="DA556" s="102"/>
      <c r="DB556" s="30"/>
      <c r="DC556" s="102"/>
      <c r="DD556" s="102"/>
      <c r="DE556" s="30"/>
      <c r="DF556" s="102"/>
      <c r="DG556" s="102"/>
      <c r="DH556" s="1096"/>
      <c r="DI556" s="102"/>
      <c r="DJ556" s="102"/>
      <c r="DK556" s="1096"/>
      <c r="DL556" s="102"/>
      <c r="DM556" s="102"/>
      <c r="DN556" s="1096"/>
      <c r="DO556" s="102"/>
      <c r="DP556" s="102"/>
      <c r="DQ556" s="1096"/>
      <c r="DR556" s="102"/>
      <c r="DS556" s="102"/>
      <c r="DT556" s="1096"/>
      <c r="DU556" s="102"/>
      <c r="DV556" s="102"/>
      <c r="DW556" s="1096"/>
      <c r="DX556" s="102"/>
      <c r="DY556" s="102"/>
      <c r="DZ556" s="1096"/>
      <c r="EA556" s="102"/>
      <c r="EB556" s="102"/>
      <c r="EC556" s="1096"/>
      <c r="ED556" s="102"/>
      <c r="EE556" s="102"/>
      <c r="EF556" s="30"/>
      <c r="EG556" s="102"/>
      <c r="EH556" s="102"/>
      <c r="EI556" s="30"/>
      <c r="EJ556" s="102"/>
      <c r="EK556" s="102"/>
      <c r="EL556" s="30"/>
      <c r="EM556" s="102"/>
      <c r="EN556" s="102"/>
      <c r="EO556" s="30"/>
      <c r="EP556" s="102"/>
      <c r="EQ556" s="102"/>
      <c r="ER556" s="30"/>
      <c r="ES556" s="102"/>
      <c r="ET556" s="102"/>
      <c r="EU556" s="30"/>
      <c r="EV556" s="102"/>
      <c r="EW556" s="102"/>
      <c r="EX556" s="30"/>
      <c r="EY556" s="102"/>
      <c r="EZ556" s="102"/>
      <c r="FA556" s="30"/>
      <c r="FH556" s="35"/>
      <c r="FI556" s="35"/>
      <c r="FJ556" s="35"/>
      <c r="FK556" s="35"/>
      <c r="FL556" s="35"/>
      <c r="FM556" s="35"/>
      <c r="FN556" s="35"/>
      <c r="FO556" s="35"/>
      <c r="FP556" s="35"/>
      <c r="FQ556" s="35"/>
    </row>
    <row r="557" spans="1:173" s="321" customFormat="1">
      <c r="A557" s="1174"/>
      <c r="B557" s="322"/>
      <c r="C557" s="331" t="s">
        <v>444</v>
      </c>
      <c r="D557" s="910" t="s">
        <v>441</v>
      </c>
      <c r="E557" s="102"/>
      <c r="F557" s="102"/>
      <c r="G557" s="30"/>
      <c r="H557" s="102"/>
      <c r="I557" s="102"/>
      <c r="J557" s="30"/>
      <c r="K557" s="102"/>
      <c r="L557" s="102"/>
      <c r="M557" s="30"/>
      <c r="N557" s="102"/>
      <c r="O557" s="102"/>
      <c r="P557" s="30"/>
      <c r="Q557" s="102"/>
      <c r="R557" s="102"/>
      <c r="S557" s="30"/>
      <c r="T557" s="102"/>
      <c r="U557" s="102"/>
      <c r="V557" s="30"/>
      <c r="W557" s="102"/>
      <c r="X557" s="102"/>
      <c r="Y557" s="30"/>
      <c r="Z557" s="102"/>
      <c r="AA557" s="102"/>
      <c r="AB557" s="30"/>
      <c r="AC557" s="102"/>
      <c r="AD557" s="102"/>
      <c r="AE557" s="30"/>
      <c r="AF557" s="102"/>
      <c r="AG557" s="102"/>
      <c r="AH557" s="30"/>
      <c r="AI557" s="102"/>
      <c r="AJ557" s="102"/>
      <c r="AK557" s="30"/>
      <c r="AL557" s="102"/>
      <c r="AM557" s="102"/>
      <c r="AN557" s="30"/>
      <c r="AO557" s="102"/>
      <c r="AP557" s="102"/>
      <c r="AQ557" s="30"/>
      <c r="AR557" s="102"/>
      <c r="AS557" s="102"/>
      <c r="AT557" s="30"/>
      <c r="AU557" s="102"/>
      <c r="AV557" s="102"/>
      <c r="AW557" s="30"/>
      <c r="AX557" s="102"/>
      <c r="AY557" s="102"/>
      <c r="AZ557" s="30"/>
      <c r="BA557" s="102"/>
      <c r="BB557" s="102"/>
      <c r="BC557" s="103"/>
      <c r="BD557" s="102"/>
      <c r="BE557" s="102"/>
      <c r="BF557" s="103"/>
      <c r="BG557" s="102"/>
      <c r="BH557" s="102"/>
      <c r="BI557" s="104"/>
      <c r="BJ557" s="133"/>
      <c r="BK557" s="133"/>
      <c r="BL557" s="134"/>
      <c r="BM557" s="133"/>
      <c r="BN557" s="133"/>
      <c r="BO557" s="134"/>
      <c r="BP557" s="133"/>
      <c r="BQ557" s="133"/>
      <c r="BR557" s="134"/>
      <c r="BS557" s="14"/>
      <c r="BT557" s="105"/>
      <c r="BU557" s="15"/>
      <c r="BV557" s="105"/>
      <c r="BW557" s="105"/>
      <c r="BX557" s="198"/>
      <c r="BY557" s="14"/>
      <c r="BZ557" s="105"/>
      <c r="CA557" s="198"/>
      <c r="CB557" s="105"/>
      <c r="CC557" s="105"/>
      <c r="CD557" s="198"/>
      <c r="CH557" s="16"/>
      <c r="CI557" s="16"/>
      <c r="CJ557" s="206"/>
      <c r="CK557" s="3"/>
      <c r="CL557" s="3"/>
      <c r="CM557" s="206"/>
      <c r="CN557" s="3"/>
      <c r="CO557" s="3"/>
      <c r="CP557" s="197"/>
      <c r="CQ557" s="3"/>
      <c r="CR557" s="3"/>
      <c r="CS557" s="197"/>
      <c r="CT557" s="102"/>
      <c r="CU557" s="102"/>
      <c r="CV557" s="197"/>
      <c r="CW557" s="102"/>
      <c r="CX557" s="102"/>
      <c r="CY557" s="30"/>
      <c r="CZ557" s="102"/>
      <c r="DA557" s="102"/>
      <c r="DB557" s="30"/>
      <c r="DC557" s="102"/>
      <c r="DD557" s="102"/>
      <c r="DE557" s="30"/>
      <c r="DF557" s="102"/>
      <c r="DG557" s="102"/>
      <c r="DH557" s="1096"/>
      <c r="DI557" s="102"/>
      <c r="DJ557" s="102"/>
      <c r="DK557" s="1096"/>
      <c r="DL557" s="102"/>
      <c r="DM557" s="102"/>
      <c r="DN557" s="1096"/>
      <c r="DO557" s="102"/>
      <c r="DP557" s="102"/>
      <c r="DQ557" s="1096">
        <v>29.5</v>
      </c>
      <c r="DR557" s="102"/>
      <c r="DS557" s="102"/>
      <c r="DT557" s="1096">
        <v>29.5</v>
      </c>
      <c r="DU557" s="102"/>
      <c r="DV557" s="102"/>
      <c r="DW557" s="1562">
        <v>42</v>
      </c>
      <c r="DX557" s="102"/>
      <c r="DY557" s="102"/>
      <c r="DZ557" s="1562">
        <v>31.3</v>
      </c>
      <c r="EA557" s="102"/>
      <c r="EB557" s="102"/>
      <c r="EC557" s="1096">
        <v>19.600000000000001</v>
      </c>
      <c r="ED557" s="102"/>
      <c r="EE557" s="102"/>
      <c r="EF557" s="30"/>
      <c r="EG557" s="102"/>
      <c r="EH557" s="102"/>
      <c r="EI557" s="30"/>
      <c r="EJ557" s="102"/>
      <c r="EK557" s="102"/>
      <c r="EL557" s="30"/>
      <c r="EM557" s="102"/>
      <c r="EN557" s="102"/>
      <c r="EO557" s="30"/>
      <c r="EP557" s="102"/>
      <c r="EQ557" s="102"/>
      <c r="ER557" s="30"/>
      <c r="ES557" s="102"/>
      <c r="ET557" s="102"/>
      <c r="EU557" s="30"/>
      <c r="EV557" s="102"/>
      <c r="EW557" s="102"/>
      <c r="EX557" s="30"/>
      <c r="EY557" s="102"/>
      <c r="EZ557" s="102"/>
      <c r="FA557" s="30"/>
      <c r="FH557" s="35"/>
      <c r="FI557" s="35"/>
      <c r="FJ557" s="35"/>
      <c r="FK557" s="35"/>
      <c r="FL557" s="35"/>
      <c r="FM557" s="35"/>
      <c r="FN557" s="35"/>
      <c r="FO557" s="35"/>
      <c r="FP557" s="35"/>
      <c r="FQ557" s="35"/>
    </row>
    <row r="558" spans="1:173" s="321" customFormat="1">
      <c r="A558" s="1174"/>
      <c r="B558" s="322"/>
      <c r="C558" s="331"/>
      <c r="D558" s="82" t="s">
        <v>165</v>
      </c>
      <c r="E558" s="102"/>
      <c r="F558" s="102"/>
      <c r="G558" s="30"/>
      <c r="H558" s="102"/>
      <c r="I558" s="102"/>
      <c r="J558" s="30"/>
      <c r="K558" s="102"/>
      <c r="L558" s="102"/>
      <c r="M558" s="30"/>
      <c r="N558" s="102"/>
      <c r="O558" s="102"/>
      <c r="P558" s="30"/>
      <c r="Q558" s="102"/>
      <c r="R558" s="102"/>
      <c r="S558" s="30"/>
      <c r="T558" s="102"/>
      <c r="U558" s="102"/>
      <c r="V558" s="30"/>
      <c r="W558" s="102"/>
      <c r="X558" s="102"/>
      <c r="Y558" s="30"/>
      <c r="Z558" s="102"/>
      <c r="AA558" s="102"/>
      <c r="AB558" s="30"/>
      <c r="AC558" s="102"/>
      <c r="AD558" s="102"/>
      <c r="AE558" s="30"/>
      <c r="AF558" s="102"/>
      <c r="AG558" s="102"/>
      <c r="AH558" s="30"/>
      <c r="AI558" s="102"/>
      <c r="AJ558" s="102"/>
      <c r="AK558" s="30"/>
      <c r="AL558" s="102"/>
      <c r="AM558" s="102"/>
      <c r="AN558" s="30"/>
      <c r="AO558" s="102"/>
      <c r="AP558" s="102"/>
      <c r="AQ558" s="30"/>
      <c r="AR558" s="102"/>
      <c r="AS558" s="102"/>
      <c r="AT558" s="30"/>
      <c r="AU558" s="102"/>
      <c r="AV558" s="102"/>
      <c r="AW558" s="30"/>
      <c r="AX558" s="102"/>
      <c r="AY558" s="102"/>
      <c r="AZ558" s="30"/>
      <c r="BA558" s="102"/>
      <c r="BB558" s="102"/>
      <c r="BC558" s="103"/>
      <c r="BD558" s="102"/>
      <c r="BE558" s="102"/>
      <c r="BF558" s="103"/>
      <c r="BG558" s="102"/>
      <c r="BH558" s="102"/>
      <c r="BI558" s="104"/>
      <c r="BJ558" s="133"/>
      <c r="BK558" s="133"/>
      <c r="BL558" s="134"/>
      <c r="BM558" s="133"/>
      <c r="BN558" s="133"/>
      <c r="BO558" s="134"/>
      <c r="BP558" s="133"/>
      <c r="BQ558" s="133"/>
      <c r="BR558" s="134"/>
      <c r="BS558" s="14"/>
      <c r="BT558" s="105"/>
      <c r="BU558" s="15"/>
      <c r="BV558" s="105"/>
      <c r="BW558" s="105"/>
      <c r="BX558" s="198"/>
      <c r="BY558" s="14"/>
      <c r="BZ558" s="105"/>
      <c r="CA558" s="198"/>
      <c r="CB558" s="105"/>
      <c r="CC558" s="105"/>
      <c r="CD558" s="198"/>
      <c r="CH558" s="16"/>
      <c r="CI558" s="16"/>
      <c r="CJ558" s="206"/>
      <c r="CK558" s="3"/>
      <c r="CL558" s="3"/>
      <c r="CM558" s="206"/>
      <c r="CN558" s="3"/>
      <c r="CO558" s="3"/>
      <c r="CP558" s="197"/>
      <c r="CQ558" s="3"/>
      <c r="CR558" s="3"/>
      <c r="CS558" s="197"/>
      <c r="CT558" s="102"/>
      <c r="CU558" s="102"/>
      <c r="CV558" s="197"/>
      <c r="CW558" s="102"/>
      <c r="CX558" s="102"/>
      <c r="CY558" s="30"/>
      <c r="CZ558" s="102"/>
      <c r="DA558" s="102"/>
      <c r="DB558" s="30"/>
      <c r="DC558" s="102"/>
      <c r="DD558" s="102"/>
      <c r="DE558" s="30"/>
      <c r="DF558" s="102"/>
      <c r="DG558" s="102"/>
      <c r="DH558" s="1096"/>
      <c r="DI558" s="102"/>
      <c r="DJ558" s="102"/>
      <c r="DK558" s="1096"/>
      <c r="DL558" s="102"/>
      <c r="DM558" s="102"/>
      <c r="DN558" s="1096"/>
      <c r="DO558" s="16">
        <v>0.57039079999999998</v>
      </c>
      <c r="DP558" s="16">
        <v>0.54798309999999995</v>
      </c>
      <c r="DQ558" s="1096"/>
      <c r="DR558" s="16">
        <v>0.52115803538461547</v>
      </c>
      <c r="DS558" s="16">
        <v>0.52070939807692318</v>
      </c>
      <c r="DT558" s="1096"/>
      <c r="DU558" s="1564">
        <v>0.51205947615384617</v>
      </c>
      <c r="DV558" s="1564">
        <v>0.49</v>
      </c>
      <c r="DW558" s="1565"/>
      <c r="DX558" s="1564">
        <f>DV558</f>
        <v>0.49</v>
      </c>
      <c r="DY558" s="1564">
        <f>DX558</f>
        <v>0.49</v>
      </c>
      <c r="DZ558" s="1565"/>
      <c r="EA558" s="1564">
        <f>DY558</f>
        <v>0.49</v>
      </c>
      <c r="EB558" s="1564">
        <f>EA558</f>
        <v>0.49</v>
      </c>
      <c r="EC558" s="1565"/>
      <c r="ED558" s="102"/>
      <c r="EE558" s="102"/>
      <c r="EF558" s="30"/>
      <c r="EG558" s="102"/>
      <c r="EH558" s="102"/>
      <c r="EI558" s="30"/>
      <c r="EJ558" s="102"/>
      <c r="EK558" s="102"/>
      <c r="EL558" s="30"/>
      <c r="EM558" s="102"/>
      <c r="EN558" s="102"/>
      <c r="EO558" s="30"/>
      <c r="EP558" s="102"/>
      <c r="EQ558" s="102"/>
      <c r="ER558" s="30"/>
      <c r="ES558" s="102"/>
      <c r="ET558" s="102"/>
      <c r="EU558" s="30"/>
      <c r="EV558" s="102"/>
      <c r="EW558" s="102"/>
      <c r="EX558" s="30"/>
      <c r="EY558" s="102"/>
      <c r="EZ558" s="102"/>
      <c r="FA558" s="30"/>
      <c r="FH558" s="35"/>
      <c r="FI558" s="35"/>
      <c r="FJ558" s="35"/>
      <c r="FK558" s="35"/>
      <c r="FL558" s="35"/>
      <c r="FM558" s="35"/>
      <c r="FN558" s="35"/>
      <c r="FO558" s="35"/>
      <c r="FP558" s="35"/>
      <c r="FQ558" s="35"/>
    </row>
    <row r="559" spans="1:173" s="321" customFormat="1">
      <c r="A559" s="1174"/>
      <c r="B559" s="322"/>
      <c r="C559" s="331"/>
      <c r="D559" s="910" t="s">
        <v>442</v>
      </c>
      <c r="E559" s="102"/>
      <c r="F559" s="102"/>
      <c r="G559" s="30"/>
      <c r="H559" s="102"/>
      <c r="I559" s="102"/>
      <c r="J559" s="30"/>
      <c r="K559" s="102"/>
      <c r="L559" s="102"/>
      <c r="M559" s="30"/>
      <c r="N559" s="102"/>
      <c r="O559" s="102"/>
      <c r="P559" s="30"/>
      <c r="Q559" s="102"/>
      <c r="R559" s="102"/>
      <c r="S559" s="30"/>
      <c r="T559" s="102"/>
      <c r="U559" s="102"/>
      <c r="V559" s="30"/>
      <c r="W559" s="102"/>
      <c r="X559" s="102"/>
      <c r="Y559" s="30"/>
      <c r="Z559" s="102"/>
      <c r="AA559" s="102"/>
      <c r="AB559" s="30"/>
      <c r="AC559" s="102"/>
      <c r="AD559" s="102"/>
      <c r="AE559" s="30"/>
      <c r="AF559" s="102"/>
      <c r="AG559" s="102"/>
      <c r="AH559" s="30"/>
      <c r="AI559" s="102"/>
      <c r="AJ559" s="102"/>
      <c r="AK559" s="30"/>
      <c r="AL559" s="102"/>
      <c r="AM559" s="102"/>
      <c r="AN559" s="30"/>
      <c r="AO559" s="102"/>
      <c r="AP559" s="102"/>
      <c r="AQ559" s="30"/>
      <c r="AR559" s="102"/>
      <c r="AS559" s="102"/>
      <c r="AT559" s="30"/>
      <c r="AU559" s="102"/>
      <c r="AV559" s="102"/>
      <c r="AW559" s="30"/>
      <c r="AX559" s="102"/>
      <c r="AY559" s="102"/>
      <c r="AZ559" s="30"/>
      <c r="BA559" s="102"/>
      <c r="BB559" s="102"/>
      <c r="BC559" s="103"/>
      <c r="BD559" s="102"/>
      <c r="BE559" s="102"/>
      <c r="BF559" s="103"/>
      <c r="BG559" s="102"/>
      <c r="BH559" s="102"/>
      <c r="BI559" s="104"/>
      <c r="BJ559" s="133"/>
      <c r="BK559" s="133"/>
      <c r="BL559" s="134"/>
      <c r="BM559" s="133"/>
      <c r="BN559" s="133"/>
      <c r="BO559" s="134"/>
      <c r="BP559" s="133"/>
      <c r="BQ559" s="133"/>
      <c r="BR559" s="134"/>
      <c r="BS559" s="14"/>
      <c r="BT559" s="105"/>
      <c r="BU559" s="15"/>
      <c r="BV559" s="105"/>
      <c r="BW559" s="105"/>
      <c r="BX559" s="198"/>
      <c r="BY559" s="14"/>
      <c r="BZ559" s="105"/>
      <c r="CA559" s="198"/>
      <c r="CB559" s="105"/>
      <c r="CC559" s="105"/>
      <c r="CD559" s="198"/>
      <c r="CH559" s="16"/>
      <c r="CI559" s="16"/>
      <c r="CJ559" s="206"/>
      <c r="CK559" s="3"/>
      <c r="CL559" s="3"/>
      <c r="CM559" s="206"/>
      <c r="CN559" s="3"/>
      <c r="CO559" s="3"/>
      <c r="CP559" s="197"/>
      <c r="CQ559" s="3"/>
      <c r="CR559" s="3"/>
      <c r="CS559" s="197"/>
      <c r="CT559" s="102"/>
      <c r="CU559" s="102"/>
      <c r="CV559" s="197"/>
      <c r="CW559" s="102"/>
      <c r="CX559" s="102"/>
      <c r="CY559" s="30"/>
      <c r="CZ559" s="102"/>
      <c r="DA559" s="102"/>
      <c r="DB559" s="30"/>
      <c r="DC559" s="102"/>
      <c r="DD559" s="102"/>
      <c r="DE559" s="30"/>
      <c r="DF559" s="102"/>
      <c r="DG559" s="102"/>
      <c r="DH559" s="1096"/>
      <c r="DI559" s="102"/>
      <c r="DJ559" s="102"/>
      <c r="DK559" s="1096"/>
      <c r="DL559" s="102"/>
      <c r="DM559" s="102"/>
      <c r="DN559" s="1096"/>
      <c r="DO559" s="102"/>
      <c r="DP559" s="102"/>
      <c r="DQ559" s="1076">
        <v>0.55400000000000005</v>
      </c>
      <c r="DR559" s="102"/>
      <c r="DS559" s="102"/>
      <c r="DT559" s="1076">
        <v>0.55400000000000005</v>
      </c>
      <c r="DU559" s="102"/>
      <c r="DV559" s="102"/>
      <c r="DW559" s="1561">
        <v>0.53200000000000003</v>
      </c>
      <c r="DX559" s="102"/>
      <c r="DY559" s="102"/>
      <c r="DZ559" s="1076">
        <v>0.51300000000000001</v>
      </c>
      <c r="EA559" s="102"/>
      <c r="EB559" s="102"/>
      <c r="EC559" s="1076">
        <f>+DZ559</f>
        <v>0.51300000000000001</v>
      </c>
      <c r="ED559" s="198"/>
      <c r="EE559" s="102"/>
      <c r="EF559" s="198"/>
      <c r="EG559" s="102"/>
      <c r="EH559" s="102"/>
      <c r="EI559" s="198"/>
      <c r="EJ559" s="102"/>
      <c r="EK559" s="102"/>
      <c r="EL559" s="198"/>
      <c r="EM559" s="102"/>
      <c r="EN559" s="102"/>
      <c r="EO559" s="198"/>
      <c r="EP559" s="102"/>
      <c r="EQ559" s="102"/>
      <c r="ER559" s="198"/>
      <c r="ES559" s="102"/>
      <c r="ET559" s="102"/>
      <c r="EU559" s="198"/>
      <c r="EV559" s="102"/>
      <c r="EW559" s="102"/>
      <c r="EX559" s="198"/>
      <c r="EY559" s="102"/>
      <c r="EZ559" s="102"/>
      <c r="FA559" s="198"/>
      <c r="FH559" s="35"/>
      <c r="FI559" s="35"/>
      <c r="FJ559" s="35"/>
      <c r="FK559" s="35"/>
      <c r="FL559" s="35"/>
      <c r="FM559" s="35"/>
      <c r="FN559" s="35"/>
      <c r="FO559" s="35"/>
      <c r="FP559" s="35"/>
      <c r="FQ559" s="35"/>
    </row>
    <row r="560" spans="1:173" s="321" customFormat="1">
      <c r="A560" s="1174"/>
      <c r="B560" s="322"/>
      <c r="C560" s="331"/>
      <c r="D560" s="910" t="s">
        <v>166</v>
      </c>
      <c r="E560" s="102"/>
      <c r="F560" s="102"/>
      <c r="G560" s="30"/>
      <c r="H560" s="102"/>
      <c r="I560" s="102"/>
      <c r="J560" s="30"/>
      <c r="K560" s="102"/>
      <c r="L560" s="102"/>
      <c r="M560" s="30"/>
      <c r="N560" s="102"/>
      <c r="O560" s="102"/>
      <c r="P560" s="30"/>
      <c r="Q560" s="102"/>
      <c r="R560" s="102"/>
      <c r="S560" s="30"/>
      <c r="T560" s="102"/>
      <c r="U560" s="102"/>
      <c r="V560" s="30"/>
      <c r="W560" s="102"/>
      <c r="X560" s="102"/>
      <c r="Y560" s="30"/>
      <c r="Z560" s="102"/>
      <c r="AA560" s="102"/>
      <c r="AB560" s="30"/>
      <c r="AC560" s="102"/>
      <c r="AD560" s="102"/>
      <c r="AE560" s="30"/>
      <c r="AF560" s="102"/>
      <c r="AG560" s="102"/>
      <c r="AH560" s="30"/>
      <c r="AI560" s="102"/>
      <c r="AJ560" s="102"/>
      <c r="AK560" s="30"/>
      <c r="AL560" s="102"/>
      <c r="AM560" s="102"/>
      <c r="AN560" s="30"/>
      <c r="AO560" s="102"/>
      <c r="AP560" s="102"/>
      <c r="AQ560" s="30"/>
      <c r="AR560" s="102"/>
      <c r="AS560" s="102"/>
      <c r="AT560" s="30"/>
      <c r="AU560" s="102"/>
      <c r="AV560" s="102"/>
      <c r="AW560" s="30"/>
      <c r="AX560" s="102"/>
      <c r="AY560" s="102"/>
      <c r="AZ560" s="30"/>
      <c r="BA560" s="102"/>
      <c r="BB560" s="102"/>
      <c r="BC560" s="103"/>
      <c r="BD560" s="102"/>
      <c r="BE560" s="102"/>
      <c r="BF560" s="103"/>
      <c r="BG560" s="102"/>
      <c r="BH560" s="102"/>
      <c r="BI560" s="104"/>
      <c r="BJ560" s="133"/>
      <c r="BK560" s="133"/>
      <c r="BL560" s="134"/>
      <c r="BM560" s="133"/>
      <c r="BN560" s="133"/>
      <c r="BO560" s="134"/>
      <c r="BP560" s="133"/>
      <c r="BQ560" s="133"/>
      <c r="BR560" s="134"/>
      <c r="BS560" s="14"/>
      <c r="BT560" s="105"/>
      <c r="BU560" s="15"/>
      <c r="BV560" s="105"/>
      <c r="BW560" s="105"/>
      <c r="BX560" s="198"/>
      <c r="BY560" s="14"/>
      <c r="BZ560" s="105"/>
      <c r="CA560" s="198"/>
      <c r="CB560" s="105"/>
      <c r="CC560" s="105"/>
      <c r="CD560" s="198"/>
      <c r="CH560" s="16"/>
      <c r="CI560" s="16"/>
      <c r="CJ560" s="206"/>
      <c r="CK560" s="16"/>
      <c r="CL560" s="16"/>
      <c r="CM560" s="206"/>
      <c r="CN560" s="16"/>
      <c r="CO560" s="16"/>
      <c r="CP560" s="197"/>
      <c r="CQ560" s="16"/>
      <c r="CR560" s="16"/>
      <c r="CS560" s="197"/>
      <c r="CT560" s="102"/>
      <c r="CU560" s="102"/>
      <c r="CV560" s="197"/>
      <c r="CW560" s="102"/>
      <c r="CX560" s="102"/>
      <c r="CY560" s="30"/>
      <c r="CZ560" s="102"/>
      <c r="DA560" s="102"/>
      <c r="DB560" s="30"/>
      <c r="DC560" s="102"/>
      <c r="DD560" s="102"/>
      <c r="DE560" s="30"/>
      <c r="DF560" s="102"/>
      <c r="DG560" s="102"/>
      <c r="DH560" s="1096"/>
      <c r="DI560" s="102"/>
      <c r="DJ560" s="102"/>
      <c r="DK560" s="1096"/>
      <c r="DL560" s="102"/>
      <c r="DM560" s="102"/>
      <c r="DN560" s="1096"/>
      <c r="DO560" s="16">
        <f>DQ557-((DQ557*DQ559)/DO558)</f>
        <v>0.84771458445683123</v>
      </c>
      <c r="DP560" s="16">
        <f>DQ557-((DQ557*DQ559)/DP558)</f>
        <v>-0.32391245277455027</v>
      </c>
      <c r="DQ560" s="1102">
        <f>DO560+DP560</f>
        <v>0.52380213168228096</v>
      </c>
      <c r="DR560" s="16">
        <f>DT557-((DT557*DT559)/DR558)</f>
        <v>-1.8590099170951859</v>
      </c>
      <c r="DS560" s="16">
        <f>DT557-((DT557*DT559)/DS558)</f>
        <v>-1.8860284841367267</v>
      </c>
      <c r="DT560" s="1102">
        <f>DR560+DS560</f>
        <v>-3.7450384012319127</v>
      </c>
      <c r="DU560" s="16">
        <f>DW557-((DW557*DW559)/DU558)</f>
        <v>-1.6355561034219335</v>
      </c>
      <c r="DV560" s="16">
        <f>DW557-((DW557*DW559)/DV558)</f>
        <v>-3.6000000000000014</v>
      </c>
      <c r="DW560" s="1102">
        <f>DU560+DV560</f>
        <v>-5.2355561034219349</v>
      </c>
      <c r="DX560" s="16">
        <f>DZ557-((DZ557*DZ559)/DX558)</f>
        <v>-1.4691836734693915</v>
      </c>
      <c r="DY560" s="16">
        <f>DZ557-((DZ557*DZ559)/DY558)</f>
        <v>-1.4691836734693915</v>
      </c>
      <c r="DZ560" s="1102">
        <f>DX560+DY560</f>
        <v>-2.938367346938783</v>
      </c>
      <c r="EA560" s="16">
        <f>EC557-((EC557*EC559)/EA558)</f>
        <v>-0.91999999999999815</v>
      </c>
      <c r="EB560" s="16">
        <f>EC557-((EC557*EC559)/EB558)</f>
        <v>-0.91999999999999815</v>
      </c>
      <c r="EC560" s="1102">
        <f>EA560+EB560</f>
        <v>-1.8399999999999963</v>
      </c>
      <c r="ED560" s="102"/>
      <c r="EE560" s="102"/>
      <c r="EF560" s="206"/>
      <c r="EG560" s="102"/>
      <c r="EH560" s="102"/>
      <c r="EI560" s="206"/>
      <c r="EJ560" s="102"/>
      <c r="EK560" s="102"/>
      <c r="EL560" s="206"/>
      <c r="EM560" s="102"/>
      <c r="EN560" s="102"/>
      <c r="EO560" s="206"/>
      <c r="EP560" s="102"/>
      <c r="EQ560" s="102"/>
      <c r="ER560" s="206"/>
      <c r="ES560" s="102"/>
      <c r="ET560" s="102"/>
      <c r="EU560" s="206"/>
      <c r="EV560" s="102"/>
      <c r="EW560" s="102"/>
      <c r="EX560" s="206"/>
      <c r="EY560" s="102"/>
      <c r="EZ560" s="102"/>
      <c r="FA560" s="206"/>
      <c r="FH560" s="35"/>
      <c r="FI560" s="35"/>
      <c r="FJ560" s="35"/>
      <c r="FK560" s="35"/>
      <c r="FL560" s="35"/>
      <c r="FM560" s="35"/>
      <c r="FN560" s="35"/>
      <c r="FO560" s="35"/>
      <c r="FP560" s="35"/>
      <c r="FQ560" s="35"/>
    </row>
    <row r="561" spans="1:173" s="321" customFormat="1">
      <c r="A561" s="1174"/>
      <c r="B561" s="322"/>
      <c r="C561" s="331"/>
      <c r="D561" s="910"/>
      <c r="E561" s="102"/>
      <c r="F561" s="102"/>
      <c r="G561" s="30"/>
      <c r="H561" s="102"/>
      <c r="I561" s="102"/>
      <c r="J561" s="30"/>
      <c r="K561" s="102"/>
      <c r="L561" s="102"/>
      <c r="M561" s="30"/>
      <c r="N561" s="102"/>
      <c r="O561" s="102"/>
      <c r="P561" s="30"/>
      <c r="Q561" s="102"/>
      <c r="R561" s="102"/>
      <c r="S561" s="30"/>
      <c r="T561" s="102"/>
      <c r="U561" s="102"/>
      <c r="V561" s="30"/>
      <c r="W561" s="102"/>
      <c r="X561" s="102"/>
      <c r="Y561" s="30"/>
      <c r="Z561" s="102"/>
      <c r="AA561" s="102"/>
      <c r="AB561" s="30"/>
      <c r="AC561" s="102"/>
      <c r="AD561" s="102"/>
      <c r="AE561" s="30"/>
      <c r="AF561" s="102"/>
      <c r="AG561" s="102"/>
      <c r="AH561" s="30"/>
      <c r="AI561" s="102"/>
      <c r="AJ561" s="102"/>
      <c r="AK561" s="30"/>
      <c r="AL561" s="102"/>
      <c r="AM561" s="102"/>
      <c r="AN561" s="30"/>
      <c r="AO561" s="102"/>
      <c r="AP561" s="102"/>
      <c r="AQ561" s="30"/>
      <c r="AR561" s="102"/>
      <c r="AS561" s="102"/>
      <c r="AT561" s="30"/>
      <c r="AU561" s="102"/>
      <c r="AV561" s="102"/>
      <c r="AW561" s="30"/>
      <c r="AX561" s="102"/>
      <c r="AY561" s="102"/>
      <c r="AZ561" s="30"/>
      <c r="BA561" s="102"/>
      <c r="BB561" s="102"/>
      <c r="BC561" s="103"/>
      <c r="BD561" s="102"/>
      <c r="BE561" s="102"/>
      <c r="BF561" s="103"/>
      <c r="BG561" s="102"/>
      <c r="BH561" s="102"/>
      <c r="BI561" s="104"/>
      <c r="BJ561" s="133"/>
      <c r="BK561" s="133"/>
      <c r="BL561" s="134"/>
      <c r="BM561" s="133"/>
      <c r="BN561" s="133"/>
      <c r="BO561" s="134"/>
      <c r="BP561" s="133"/>
      <c r="BQ561" s="133"/>
      <c r="BR561" s="134"/>
      <c r="BS561" s="14"/>
      <c r="BT561" s="105"/>
      <c r="BU561" s="15"/>
      <c r="BV561" s="105"/>
      <c r="BW561" s="105"/>
      <c r="BX561" s="198"/>
      <c r="BY561" s="14"/>
      <c r="BZ561" s="105"/>
      <c r="CA561" s="198"/>
      <c r="CB561" s="105"/>
      <c r="CC561" s="105"/>
      <c r="CD561" s="198"/>
      <c r="CH561" s="17"/>
      <c r="CI561" s="17"/>
      <c r="CJ561" s="208"/>
      <c r="CK561" s="17"/>
      <c r="CL561" s="17"/>
      <c r="CM561" s="208"/>
      <c r="CN561" s="17"/>
      <c r="CO561" s="17"/>
      <c r="CP561" s="197"/>
      <c r="CQ561" s="17"/>
      <c r="CR561" s="17"/>
      <c r="CS561" s="197"/>
      <c r="CT561" s="102"/>
      <c r="CU561" s="102"/>
      <c r="CV561" s="197"/>
      <c r="CW561" s="102"/>
      <c r="CX561" s="102"/>
      <c r="CY561" s="30"/>
      <c r="CZ561" s="102"/>
      <c r="DA561" s="102"/>
      <c r="DB561" s="30"/>
      <c r="DC561" s="102"/>
      <c r="DD561" s="102"/>
      <c r="DE561" s="30"/>
      <c r="DF561" s="102"/>
      <c r="DG561" s="102"/>
      <c r="DH561" s="1096"/>
      <c r="DI561" s="102"/>
      <c r="DJ561" s="102"/>
      <c r="DK561" s="1096"/>
      <c r="DL561" s="102"/>
      <c r="DM561" s="102"/>
      <c r="DN561" s="1096"/>
      <c r="DO561" s="102"/>
      <c r="DP561" s="102"/>
      <c r="DQ561" s="1096"/>
      <c r="DR561" s="102"/>
      <c r="DS561" s="102"/>
      <c r="DT561" s="1096"/>
      <c r="DU561" s="102"/>
      <c r="DV561" s="102"/>
      <c r="DW561" s="1096"/>
      <c r="DX561" s="102"/>
      <c r="DY561" s="102"/>
      <c r="DZ561" s="1096"/>
      <c r="EA561" s="102"/>
      <c r="EB561" s="102"/>
      <c r="EC561" s="1096"/>
      <c r="ED561" s="102"/>
      <c r="EE561" s="102"/>
      <c r="EF561" s="30"/>
      <c r="EG561" s="102"/>
      <c r="EH561" s="102"/>
      <c r="EI561" s="30"/>
      <c r="EJ561" s="102"/>
      <c r="EK561" s="102"/>
      <c r="EL561" s="30"/>
      <c r="EM561" s="102"/>
      <c r="EN561" s="102"/>
      <c r="EO561" s="30"/>
      <c r="EP561" s="102"/>
      <c r="EQ561" s="102"/>
      <c r="ER561" s="30"/>
      <c r="ES561" s="102"/>
      <c r="ET561" s="102"/>
      <c r="EU561" s="30"/>
      <c r="EV561" s="102"/>
      <c r="EW561" s="102"/>
      <c r="EX561" s="30"/>
      <c r="EY561" s="102"/>
      <c r="EZ561" s="102"/>
      <c r="FA561" s="30"/>
      <c r="FH561" s="35"/>
      <c r="FI561" s="35"/>
      <c r="FJ561" s="35"/>
      <c r="FK561" s="35"/>
      <c r="FL561" s="35"/>
      <c r="FM561" s="35"/>
      <c r="FN561" s="35"/>
      <c r="FO561" s="35"/>
      <c r="FP561" s="35"/>
      <c r="FQ561" s="35"/>
    </row>
    <row r="562" spans="1:173" s="321" customFormat="1">
      <c r="A562" s="1174"/>
      <c r="B562" s="322"/>
      <c r="C562" s="331"/>
      <c r="D562" s="910" t="s">
        <v>327</v>
      </c>
      <c r="E562" s="102"/>
      <c r="F562" s="102"/>
      <c r="G562" s="30"/>
      <c r="H562" s="102"/>
      <c r="I562" s="102"/>
      <c r="J562" s="30"/>
      <c r="K562" s="102"/>
      <c r="L562" s="102"/>
      <c r="M562" s="30"/>
      <c r="N562" s="102"/>
      <c r="O562" s="102"/>
      <c r="P562" s="30"/>
      <c r="Q562" s="102"/>
      <c r="R562" s="102"/>
      <c r="S562" s="30"/>
      <c r="T562" s="102"/>
      <c r="U562" s="102"/>
      <c r="V562" s="30"/>
      <c r="W562" s="102"/>
      <c r="X562" s="102"/>
      <c r="Y562" s="30"/>
      <c r="Z562" s="102"/>
      <c r="AA562" s="102"/>
      <c r="AB562" s="30"/>
      <c r="AC562" s="102"/>
      <c r="AD562" s="102"/>
      <c r="AE562" s="30"/>
      <c r="AF562" s="102"/>
      <c r="AG562" s="102"/>
      <c r="AH562" s="30"/>
      <c r="AI562" s="102"/>
      <c r="AJ562" s="102"/>
      <c r="AK562" s="30"/>
      <c r="AL562" s="102"/>
      <c r="AM562" s="102"/>
      <c r="AN562" s="30"/>
      <c r="AO562" s="102"/>
      <c r="AP562" s="102"/>
      <c r="AQ562" s="30"/>
      <c r="AR562" s="102"/>
      <c r="AS562" s="102"/>
      <c r="AT562" s="30"/>
      <c r="AU562" s="102"/>
      <c r="AV562" s="102"/>
      <c r="AW562" s="30"/>
      <c r="AX562" s="102"/>
      <c r="AY562" s="102"/>
      <c r="AZ562" s="30"/>
      <c r="BA562" s="102"/>
      <c r="BB562" s="102"/>
      <c r="BC562" s="103"/>
      <c r="BD562" s="102"/>
      <c r="BE562" s="102"/>
      <c r="BF562" s="103"/>
      <c r="BG562" s="102"/>
      <c r="BH562" s="102"/>
      <c r="BI562" s="104"/>
      <c r="BJ562" s="133"/>
      <c r="BK562" s="133"/>
      <c r="BL562" s="134"/>
      <c r="BM562" s="133"/>
      <c r="BN562" s="133"/>
      <c r="BO562" s="134"/>
      <c r="BP562" s="133"/>
      <c r="BQ562" s="133"/>
      <c r="BR562" s="134"/>
      <c r="BS562" s="14"/>
      <c r="BT562" s="105"/>
      <c r="BU562" s="15"/>
      <c r="BV562" s="105"/>
      <c r="BW562" s="105"/>
      <c r="BX562" s="198"/>
      <c r="BY562" s="14"/>
      <c r="BZ562" s="105"/>
      <c r="CA562" s="198"/>
      <c r="CB562" s="105"/>
      <c r="CC562" s="105"/>
      <c r="CD562" s="198"/>
      <c r="CH562" s="8">
        <f>SUM(CH540,CH545,CH550,CH555,CH560)</f>
        <v>55.542647399431473</v>
      </c>
      <c r="CI562" s="16">
        <f>SUM(CI540,CI545,CI550,CI555,CI560)</f>
        <v>24.100729865997103</v>
      </c>
      <c r="CJ562" s="206"/>
      <c r="CK562" s="16">
        <f>SUM(CK540,CK545,CK550,CK555,CK560)</f>
        <v>47.015999999999998</v>
      </c>
      <c r="CL562" s="16">
        <f>SUM(CL540,CL545,CL550,CL555,CL560)</f>
        <v>28.366000000000014</v>
      </c>
      <c r="CM562" s="206"/>
      <c r="CN562" s="16">
        <f>SUM(CN540,CN545,CN550,CN555,CN560)</f>
        <v>-8.8605</v>
      </c>
      <c r="CO562" s="16">
        <f>SUM(CO540,CO545,CO550,CO555,CO560)</f>
        <v>-16.664522288410716</v>
      </c>
      <c r="CP562" s="197"/>
      <c r="CQ562" s="16">
        <f>SUM(CQ540,CQ545,CQ550,CQ555,CQ560)</f>
        <v>-4.2699999999999996</v>
      </c>
      <c r="CR562" s="16">
        <f>SUM(CR540,CR545,CR550,CR555,CR560)</f>
        <v>-28.27</v>
      </c>
      <c r="CS562" s="197"/>
      <c r="CT562" s="16">
        <f>SUM(CT540,CT545,CT550,CT555,CT560)</f>
        <v>-47.262976336568336</v>
      </c>
      <c r="CU562" s="16">
        <f>SUM(CU540,CU545,CU550,CU555,CU560)</f>
        <v>-7.8950236634316688</v>
      </c>
      <c r="CV562" s="197"/>
      <c r="CW562" s="16">
        <f>SUM(CW540,CW545,CW550,CW555,CW560)</f>
        <v>9.5552607408414723</v>
      </c>
      <c r="CX562" s="16">
        <f>SUM(CX540,CX545,CX550,CX555,CX560)</f>
        <v>18.644732924105693</v>
      </c>
      <c r="CY562" s="197"/>
      <c r="CZ562" s="16">
        <f>SUM(CZ540,CZ545,CZ550,CZ555,CZ560)</f>
        <v>19.999965053621619</v>
      </c>
      <c r="DA562" s="16">
        <f>SUM(DA540,DA545,DA550,DA555,DA560)</f>
        <v>7.3145133033080754</v>
      </c>
      <c r="DB562" s="197"/>
      <c r="DC562" s="270">
        <f>SUM(DC540,DC545,DC550,DC555,DC560)</f>
        <v>-16.198122035253729</v>
      </c>
      <c r="DD562" s="270">
        <f>SUM(DD540,DD545,DD550,DD555,DD560)</f>
        <v>-22.551946811302624</v>
      </c>
      <c r="DE562" s="271"/>
      <c r="DF562" s="270">
        <f>SUM(DF540,DF545,DF550,DF555,DF560)</f>
        <v>-17.632863526942842</v>
      </c>
      <c r="DG562" s="270">
        <f>SUM(DG540,DG545,DG550,DG555,DG560)</f>
        <v>-35.281493017127829</v>
      </c>
      <c r="DH562" s="1105">
        <f>SUM(DF562:DG562)</f>
        <v>-52.914356544070671</v>
      </c>
      <c r="DI562" s="270">
        <f>SUM(DI540,DI545,DI550,DI555,DI560)</f>
        <v>4.0394080604278386</v>
      </c>
      <c r="DJ562" s="270">
        <f>SUM(DJ540,DJ545,DJ550,DJ555,DJ560)</f>
        <v>5.5372332597294047</v>
      </c>
      <c r="DK562" s="1105"/>
      <c r="DL562" s="270">
        <f>SUM(DL540,DL545,DL550,DL555,DL560)</f>
        <v>-1.942372159090926</v>
      </c>
      <c r="DM562" s="270">
        <f>SUM(DM540,DM545,DM550,DM555,DM560)</f>
        <v>0.11306561290970407</v>
      </c>
      <c r="DN562" s="1105"/>
      <c r="DO562" s="270">
        <f>SUM(DO540,DO545,DO550,DO555,DO560)</f>
        <v>0.12970425587875667</v>
      </c>
      <c r="DP562" s="270">
        <f>SUM(DP540,DP545,DP550,DP555,DP560)</f>
        <v>-5.4600494597529803</v>
      </c>
      <c r="DQ562" s="1105"/>
      <c r="DR562" s="270">
        <f>SUM(DR540,DR545,DR550,DR555,DR560)</f>
        <v>-29.373400003676355</v>
      </c>
      <c r="DS562" s="270">
        <f>SUM(DS540,DS545,DS550,DS555,DS560)</f>
        <v>-24.75717048959412</v>
      </c>
      <c r="DT562" s="1105"/>
      <c r="DU562" s="270">
        <f>SUM(DU540,DU545,DU550,DU555,DU560)</f>
        <v>-1.0779631139826726</v>
      </c>
      <c r="DV562" s="270">
        <f>SUM(DV540,DV545,DV550,DV555,DV560)</f>
        <v>-27.177575547190187</v>
      </c>
      <c r="DW562" s="1105"/>
      <c r="DX562" s="270">
        <f>SUM(DX540,DX545,DX550,DX555,DX560)</f>
        <v>-3.4303843092609725</v>
      </c>
      <c r="DY562" s="270">
        <f>SUM(DY540,DY545,DY550,DY555,DY560)</f>
        <v>33.357672626203339</v>
      </c>
      <c r="DZ562" s="1105"/>
      <c r="EA562" s="270">
        <f>SUM(EA540,EA545,EA550,EA555,EA560)</f>
        <v>20.715121727442732</v>
      </c>
      <c r="EB562" s="270">
        <f>SUM(EB540,EB545,EB550,EB555,EB560)</f>
        <v>20.715121727442732</v>
      </c>
      <c r="EC562" s="1105"/>
      <c r="ED562" s="102"/>
      <c r="EE562" s="102"/>
      <c r="EF562" s="271"/>
      <c r="EG562" s="102"/>
      <c r="EH562" s="102"/>
      <c r="EI562" s="271"/>
      <c r="EJ562" s="102"/>
      <c r="EK562" s="102"/>
      <c r="EL562" s="271"/>
      <c r="EM562" s="102"/>
      <c r="EN562" s="102"/>
      <c r="EO562" s="271"/>
      <c r="EP562" s="102"/>
      <c r="EQ562" s="102"/>
      <c r="ER562" s="271"/>
      <c r="ES562" s="102"/>
      <c r="ET562" s="102"/>
      <c r="EU562" s="271"/>
      <c r="EV562" s="102"/>
      <c r="EW562" s="102"/>
      <c r="EX562" s="271"/>
      <c r="EY562" s="102"/>
      <c r="EZ562" s="102"/>
      <c r="FA562" s="271"/>
      <c r="FH562" s="35"/>
      <c r="FI562" s="35"/>
      <c r="FJ562" s="35"/>
      <c r="FK562" s="35"/>
      <c r="FL562" s="35"/>
      <c r="FM562" s="35"/>
      <c r="FN562" s="35"/>
      <c r="FO562" s="35"/>
      <c r="FP562" s="35"/>
      <c r="FQ562" s="35"/>
    </row>
    <row r="563" spans="1:173" s="321" customFormat="1">
      <c r="A563" s="1174"/>
      <c r="B563" s="322"/>
      <c r="C563" s="322"/>
      <c r="D563" s="926" t="s">
        <v>167</v>
      </c>
      <c r="E563" s="102"/>
      <c r="F563" s="102"/>
      <c r="G563" s="30"/>
      <c r="H563" s="102"/>
      <c r="I563" s="102"/>
      <c r="J563" s="30"/>
      <c r="K563" s="102"/>
      <c r="L563" s="102"/>
      <c r="M563" s="30"/>
      <c r="N563" s="102"/>
      <c r="O563" s="102"/>
      <c r="P563" s="30"/>
      <c r="Q563" s="102"/>
      <c r="R563" s="102"/>
      <c r="S563" s="30"/>
      <c r="T563" s="102"/>
      <c r="U563" s="102"/>
      <c r="V563" s="30"/>
      <c r="W563" s="102"/>
      <c r="X563" s="102"/>
      <c r="Y563" s="30"/>
      <c r="Z563" s="102"/>
      <c r="AA563" s="102"/>
      <c r="AB563" s="30"/>
      <c r="AC563" s="102"/>
      <c r="AD563" s="102"/>
      <c r="AE563" s="30"/>
      <c r="AF563" s="102"/>
      <c r="AG563" s="102"/>
      <c r="AH563" s="30"/>
      <c r="AI563" s="102"/>
      <c r="AJ563" s="102"/>
      <c r="AK563" s="30"/>
      <c r="AL563" s="102"/>
      <c r="AM563" s="102"/>
      <c r="AN563" s="30"/>
      <c r="AO563" s="102"/>
      <c r="AP563" s="102"/>
      <c r="AQ563" s="30"/>
      <c r="AR563" s="102"/>
      <c r="AS563" s="102"/>
      <c r="AT563" s="30"/>
      <c r="AU563" s="102"/>
      <c r="AV563" s="102"/>
      <c r="AW563" s="30"/>
      <c r="AX563" s="102"/>
      <c r="AY563" s="102"/>
      <c r="AZ563" s="30"/>
      <c r="BA563" s="102"/>
      <c r="BB563" s="102"/>
      <c r="BC563" s="103"/>
      <c r="BD563" s="102"/>
      <c r="BE563" s="102"/>
      <c r="BF563" s="103"/>
      <c r="BG563" s="102"/>
      <c r="BH563" s="102"/>
      <c r="BI563" s="104"/>
      <c r="BJ563" s="133"/>
      <c r="BK563" s="133"/>
      <c r="BL563" s="134"/>
      <c r="BM563" s="133"/>
      <c r="BN563" s="133"/>
      <c r="BO563" s="134"/>
      <c r="BP563" s="133"/>
      <c r="BQ563" s="133"/>
      <c r="BR563" s="134"/>
      <c r="BS563" s="14"/>
      <c r="BT563" s="105"/>
      <c r="BU563" s="15"/>
      <c r="BV563" s="105"/>
      <c r="BW563" s="105"/>
      <c r="BX563" s="198"/>
      <c r="BY563" s="14"/>
      <c r="BZ563" s="105"/>
      <c r="CA563" s="198"/>
      <c r="CB563" s="105"/>
      <c r="CC563" s="105"/>
      <c r="CD563" s="198"/>
      <c r="CH563" s="105">
        <f>CH562/2</f>
        <v>27.771323699715737</v>
      </c>
      <c r="CI563" s="105">
        <f>CI562</f>
        <v>24.100729865997103</v>
      </c>
      <c r="CJ563" s="198">
        <f>SUM(CH563:CI563)</f>
        <v>51.872053565712839</v>
      </c>
      <c r="CK563" s="14">
        <f>CK562/2</f>
        <v>23.507999999999999</v>
      </c>
      <c r="CL563" s="105">
        <f>CL562/2</f>
        <v>14.183000000000007</v>
      </c>
      <c r="CM563" s="336">
        <f>SUM(CK563:CL563)</f>
        <v>37.691000000000003</v>
      </c>
      <c r="CN563" s="14">
        <f>CN562*2/3</f>
        <v>-5.907</v>
      </c>
      <c r="CO563" s="14">
        <f>CO562*0.60126</f>
        <v>-10.019710671129827</v>
      </c>
      <c r="CP563" s="336">
        <f>SUM(CN563:CO563)</f>
        <v>-15.926710671129827</v>
      </c>
      <c r="CQ563" s="14">
        <f>CQ562/2</f>
        <v>-2.1349999999999998</v>
      </c>
      <c r="CR563" s="105">
        <f>CR562/2</f>
        <v>-14.135</v>
      </c>
      <c r="CS563" s="336">
        <f>SUM(CQ563:CR563)</f>
        <v>-16.27</v>
      </c>
      <c r="CT563" s="14">
        <f>CT562/2</f>
        <v>-23.631488168284168</v>
      </c>
      <c r="CU563" s="14">
        <f>CU562/2</f>
        <v>-3.9475118317158344</v>
      </c>
      <c r="CV563" s="336">
        <f>SUM(CT563:CU563)</f>
        <v>-27.579000000000001</v>
      </c>
      <c r="CW563" s="14">
        <f>CW562/2</f>
        <v>4.7776303704207361</v>
      </c>
      <c r="CX563" s="105">
        <f>CX562/2</f>
        <v>9.3223664620528464</v>
      </c>
      <c r="CY563" s="336">
        <f>SUM(CW563:CX563)</f>
        <v>14.099996832473582</v>
      </c>
      <c r="CZ563" s="14">
        <f>CZ562/2</f>
        <v>9.9999825268108093</v>
      </c>
      <c r="DA563" s="105">
        <v>2.2999999999999998</v>
      </c>
      <c r="DB563" s="336">
        <f>SUM(CZ563:DA563)</f>
        <v>12.299982526810808</v>
      </c>
      <c r="DC563" s="337">
        <f>DC562/2</f>
        <v>-8.0990610176268643</v>
      </c>
      <c r="DD563" s="337">
        <f>DD562/2</f>
        <v>-11.275973405651312</v>
      </c>
      <c r="DE563" s="271">
        <f>SUM(DC563:DD563)</f>
        <v>-19.375034423278176</v>
      </c>
      <c r="DF563" s="338">
        <v>-21.9</v>
      </c>
      <c r="DG563" s="337">
        <f>-31.7-DF563</f>
        <v>-9.8000000000000007</v>
      </c>
      <c r="DH563" s="1105">
        <f>SUM(DF563:DG563)</f>
        <v>-31.7</v>
      </c>
      <c r="DI563" s="1233">
        <v>0.4</v>
      </c>
      <c r="DJ563" s="271">
        <f>+DK563-DI563</f>
        <v>3.9</v>
      </c>
      <c r="DK563" s="1364">
        <v>4.3</v>
      </c>
      <c r="DL563" s="1233">
        <v>5.4</v>
      </c>
      <c r="DM563" s="271">
        <f>+DN563-DL563</f>
        <v>1.7999999999999998</v>
      </c>
      <c r="DN563" s="1364">
        <v>7.2</v>
      </c>
      <c r="DO563" s="1233">
        <v>-7.4</v>
      </c>
      <c r="DP563" s="271">
        <f>+DQ563-DO563</f>
        <v>-12.200000000000001</v>
      </c>
      <c r="DQ563" s="1364">
        <v>-19.600000000000001</v>
      </c>
      <c r="DR563" s="1233">
        <v>-14.9</v>
      </c>
      <c r="DS563" s="271">
        <f>+DT563-DR563</f>
        <v>-7.7000000000000011</v>
      </c>
      <c r="DT563" s="1364">
        <v>-22.6</v>
      </c>
      <c r="DU563" s="1233">
        <v>1.99</v>
      </c>
      <c r="DV563" s="271">
        <f>+DW563-DU563</f>
        <v>-14.69</v>
      </c>
      <c r="DW563" s="1364">
        <v>-12.7</v>
      </c>
      <c r="DX563" s="337">
        <v>-8.8000000000000007</v>
      </c>
      <c r="DY563" s="337">
        <f>(DY562/2)*(1-DY564)</f>
        <v>5.0036508939305016</v>
      </c>
      <c r="DZ563" s="1105">
        <f>SUM(DX563:DY563)</f>
        <v>-3.7963491060694992</v>
      </c>
      <c r="EA563" s="337">
        <f>(EA562/2)*(1-EA564)</f>
        <v>5.1787804318606829</v>
      </c>
      <c r="EB563" s="337">
        <f>(EB562/2)*(1-EB564)</f>
        <v>5.1787804318606829</v>
      </c>
      <c r="EC563" s="1105">
        <f>SUM(EA563:EB563)</f>
        <v>10.357560863721366</v>
      </c>
      <c r="ED563" s="102"/>
      <c r="EE563" s="102"/>
      <c r="EF563" s="271"/>
      <c r="EG563" s="102"/>
      <c r="EH563" s="102"/>
      <c r="EI563" s="271"/>
      <c r="EJ563" s="102"/>
      <c r="EK563" s="102"/>
      <c r="EL563" s="271"/>
      <c r="EM563" s="102"/>
      <c r="EN563" s="102"/>
      <c r="EO563" s="271"/>
      <c r="EP563" s="102"/>
      <c r="EQ563" s="102"/>
      <c r="ER563" s="271"/>
      <c r="ES563" s="102"/>
      <c r="ET563" s="102"/>
      <c r="EU563" s="271"/>
      <c r="EV563" s="102"/>
      <c r="EW563" s="102"/>
      <c r="EX563" s="271"/>
      <c r="EY563" s="102"/>
      <c r="EZ563" s="102"/>
      <c r="FA563" s="271"/>
      <c r="FH563" s="35"/>
      <c r="FI563" s="35"/>
      <c r="FJ563" s="35"/>
      <c r="FK563" s="35"/>
      <c r="FL563" s="35"/>
      <c r="FM563" s="35"/>
      <c r="FN563" s="35"/>
      <c r="FO563" s="35"/>
      <c r="FP563" s="35"/>
      <c r="FQ563" s="35"/>
    </row>
    <row r="564" spans="1:173" s="321" customFormat="1">
      <c r="A564" s="1174"/>
      <c r="B564" s="322"/>
      <c r="C564" s="322"/>
      <c r="D564" s="926"/>
      <c r="E564" s="102"/>
      <c r="F564" s="102"/>
      <c r="G564" s="30"/>
      <c r="H564" s="102"/>
      <c r="I564" s="102"/>
      <c r="J564" s="30"/>
      <c r="K564" s="102"/>
      <c r="L564" s="102"/>
      <c r="M564" s="30"/>
      <c r="N564" s="102"/>
      <c r="O564" s="102"/>
      <c r="P564" s="30"/>
      <c r="Q564" s="102"/>
      <c r="R564" s="102"/>
      <c r="S564" s="30"/>
      <c r="T564" s="102"/>
      <c r="U564" s="102"/>
      <c r="V564" s="30"/>
      <c r="W564" s="102"/>
      <c r="X564" s="102"/>
      <c r="Y564" s="30"/>
      <c r="Z564" s="102"/>
      <c r="AA564" s="102"/>
      <c r="AB564" s="30"/>
      <c r="AC564" s="102"/>
      <c r="AD564" s="102"/>
      <c r="AE564" s="30"/>
      <c r="AF564" s="102"/>
      <c r="AG564" s="102"/>
      <c r="AH564" s="30"/>
      <c r="AI564" s="102"/>
      <c r="AJ564" s="102"/>
      <c r="AK564" s="30"/>
      <c r="AL564" s="102"/>
      <c r="AM564" s="102"/>
      <c r="AN564" s="30"/>
      <c r="AO564" s="102"/>
      <c r="AP564" s="102"/>
      <c r="AQ564" s="30"/>
      <c r="AR564" s="102"/>
      <c r="AS564" s="102"/>
      <c r="AT564" s="30"/>
      <c r="AU564" s="102"/>
      <c r="AV564" s="102"/>
      <c r="AW564" s="30"/>
      <c r="AX564" s="102"/>
      <c r="AY564" s="102"/>
      <c r="AZ564" s="30"/>
      <c r="BA564" s="102"/>
      <c r="BB564" s="102"/>
      <c r="BC564" s="103"/>
      <c r="BD564" s="102"/>
      <c r="BE564" s="102"/>
      <c r="BF564" s="103"/>
      <c r="BG564" s="102"/>
      <c r="BH564" s="102"/>
      <c r="BI564" s="104"/>
      <c r="BJ564" s="133"/>
      <c r="BK564" s="133"/>
      <c r="BL564" s="134"/>
      <c r="BM564" s="133"/>
      <c r="BN564" s="133"/>
      <c r="BO564" s="134"/>
      <c r="BP564" s="133"/>
      <c r="BQ564" s="133"/>
      <c r="BR564" s="134"/>
      <c r="BS564" s="14"/>
      <c r="BT564" s="105"/>
      <c r="BU564" s="15"/>
      <c r="BV564" s="105"/>
      <c r="BW564" s="105"/>
      <c r="BX564" s="198"/>
      <c r="BY564" s="14"/>
      <c r="BZ564" s="105"/>
      <c r="CA564" s="198"/>
      <c r="CB564" s="105"/>
      <c r="CC564" s="105"/>
      <c r="CD564" s="198"/>
      <c r="CH564" s="105"/>
      <c r="CI564" s="105"/>
      <c r="CJ564" s="198"/>
      <c r="CK564" s="14"/>
      <c r="CL564" s="105"/>
      <c r="CM564" s="336"/>
      <c r="CN564" s="14"/>
      <c r="CO564" s="14"/>
      <c r="CP564" s="336"/>
      <c r="CQ564" s="14"/>
      <c r="CR564" s="105"/>
      <c r="CS564" s="336"/>
      <c r="CT564" s="14"/>
      <c r="CU564" s="14"/>
      <c r="CV564" s="336"/>
      <c r="CW564" s="14"/>
      <c r="CX564" s="105"/>
      <c r="CY564" s="336"/>
      <c r="CZ564" s="14"/>
      <c r="DA564" s="105"/>
      <c r="DB564" s="336"/>
      <c r="DC564" s="337"/>
      <c r="DD564" s="337"/>
      <c r="DE564" s="271"/>
      <c r="DF564" s="338"/>
      <c r="DG564" s="337"/>
      <c r="DH564" s="271"/>
      <c r="DI564" s="337"/>
      <c r="DJ564" s="337"/>
      <c r="DK564" s="271"/>
      <c r="DL564" s="337"/>
      <c r="DM564" s="337"/>
      <c r="DN564" s="271"/>
      <c r="DO564" s="337"/>
      <c r="DP564" s="337"/>
      <c r="DQ564" s="271"/>
      <c r="DR564" s="337"/>
      <c r="DS564" s="337"/>
      <c r="DT564" s="271"/>
      <c r="DU564" s="337"/>
      <c r="DV564" s="337"/>
      <c r="DW564" s="271"/>
      <c r="DX564" s="102"/>
      <c r="DY564" s="1646">
        <v>0.7</v>
      </c>
      <c r="DZ564" s="271"/>
      <c r="EA564" s="1650">
        <v>0.5</v>
      </c>
      <c r="EB564" s="1651">
        <v>0.5</v>
      </c>
      <c r="EC564" s="271"/>
      <c r="ED564" s="102"/>
      <c r="EE564" s="102"/>
      <c r="EF564" s="271"/>
      <c r="EG564" s="102"/>
      <c r="EH564" s="102"/>
      <c r="EI564" s="271"/>
      <c r="EJ564" s="102"/>
      <c r="EK564" s="102"/>
      <c r="EL564" s="271"/>
      <c r="EM564" s="102"/>
      <c r="EN564" s="102"/>
      <c r="EO564" s="271"/>
      <c r="EP564" s="102"/>
      <c r="EQ564" s="102"/>
      <c r="ER564" s="271"/>
      <c r="ES564" s="102"/>
      <c r="ET564" s="102"/>
      <c r="EU564" s="271"/>
      <c r="EV564" s="102"/>
      <c r="EW564" s="102"/>
      <c r="EX564" s="271"/>
      <c r="EY564" s="102"/>
      <c r="EZ564" s="102"/>
      <c r="FA564" s="271"/>
      <c r="FH564" s="35"/>
      <c r="FI564" s="35"/>
      <c r="FJ564" s="35"/>
      <c r="FK564" s="35"/>
      <c r="FL564" s="35"/>
      <c r="FM564" s="35"/>
      <c r="FN564" s="35"/>
      <c r="FO564" s="35"/>
      <c r="FP564" s="35"/>
      <c r="FQ564" s="35"/>
    </row>
    <row r="565" spans="1:173" s="321" customFormat="1" hidden="1" outlineLevel="1">
      <c r="A565" s="1168"/>
      <c r="B565" s="68" t="s">
        <v>3</v>
      </c>
      <c r="D565" s="910"/>
      <c r="E565" s="186"/>
      <c r="F565" s="1"/>
      <c r="G565" s="5"/>
      <c r="H565" s="1"/>
      <c r="I565" s="1"/>
      <c r="J565" s="5"/>
      <c r="K565" s="1"/>
      <c r="L565" s="1"/>
      <c r="M565" s="5"/>
      <c r="N565" s="1"/>
      <c r="O565" s="1"/>
      <c r="P565" s="5"/>
      <c r="Q565" s="1"/>
      <c r="R565" s="1"/>
      <c r="S565" s="5"/>
      <c r="T565" s="1"/>
      <c r="U565" s="1"/>
      <c r="V565" s="5"/>
      <c r="W565" s="1"/>
      <c r="X565" s="1"/>
      <c r="Y565" s="5"/>
      <c r="Z565" s="1"/>
      <c r="AA565" s="1"/>
      <c r="AB565" s="5"/>
      <c r="AC565" s="1"/>
      <c r="AD565" s="1"/>
      <c r="AE565" s="5"/>
      <c r="AF565" s="1"/>
      <c r="AG565" s="1"/>
      <c r="AH565" s="5"/>
      <c r="AI565" s="1"/>
      <c r="AJ565" s="1"/>
      <c r="AK565" s="5"/>
      <c r="AL565" s="1"/>
      <c r="AM565" s="1"/>
      <c r="AN565" s="5"/>
      <c r="AO565" s="1"/>
      <c r="AP565" s="1"/>
      <c r="AQ565" s="5"/>
      <c r="AR565" s="1"/>
      <c r="AS565" s="1"/>
      <c r="AT565" s="5"/>
      <c r="AU565" s="1"/>
      <c r="AV565" s="1"/>
      <c r="AW565" s="5"/>
      <c r="AX565" s="1"/>
      <c r="AY565" s="1"/>
      <c r="AZ565" s="5"/>
      <c r="BA565" s="1"/>
      <c r="BB565" s="1"/>
      <c r="BC565" s="46"/>
      <c r="BD565" s="1"/>
      <c r="BE565" s="1"/>
      <c r="BF565" s="46"/>
      <c r="BG565" s="1"/>
      <c r="BH565" s="1"/>
      <c r="BI565" s="46"/>
      <c r="BJ565" s="118"/>
      <c r="BK565" s="108"/>
      <c r="BL565" s="109"/>
      <c r="BM565" s="108"/>
      <c r="BN565" s="108"/>
      <c r="BO565" s="109"/>
      <c r="BP565" s="108"/>
      <c r="BQ565" s="108"/>
      <c r="BR565" s="109"/>
      <c r="BS565" s="1"/>
      <c r="BT565" s="1"/>
      <c r="BU565" s="5"/>
      <c r="BV565" s="1"/>
      <c r="BW565" s="1"/>
      <c r="BX565" s="186"/>
      <c r="BY565" s="1"/>
      <c r="BZ565" s="1"/>
      <c r="CA565" s="186"/>
      <c r="CB565" s="1"/>
      <c r="CC565" s="1"/>
      <c r="CD565" s="186"/>
      <c r="CE565" s="1"/>
      <c r="CF565" s="1"/>
      <c r="CG565" s="186"/>
      <c r="CH565" s="1"/>
      <c r="CI565" s="67"/>
      <c r="CJ565" s="186"/>
      <c r="CK565" s="1"/>
      <c r="CL565" s="1"/>
      <c r="CM565" s="186"/>
      <c r="CN565" s="1"/>
      <c r="CO565" s="1"/>
      <c r="CP565" s="186"/>
      <c r="CQ565" s="1"/>
      <c r="CR565" s="1"/>
      <c r="CS565" s="186"/>
      <c r="CT565" s="1"/>
      <c r="CU565" s="1"/>
      <c r="CV565" s="186"/>
      <c r="CW565" s="1"/>
      <c r="CX565" s="1"/>
      <c r="CY565" s="5"/>
      <c r="CZ565" s="1"/>
      <c r="DA565" s="1"/>
      <c r="DB565" s="5"/>
      <c r="DC565" s="1"/>
      <c r="DD565" s="1"/>
      <c r="DE565" s="5"/>
      <c r="DF565" s="1"/>
      <c r="DG565" s="1"/>
      <c r="DH565" s="5"/>
      <c r="DI565" s="1"/>
      <c r="DJ565" s="1"/>
      <c r="DK565" s="5"/>
      <c r="DL565" s="1"/>
      <c r="DM565" s="1"/>
      <c r="DN565" s="5"/>
      <c r="DO565" s="1"/>
      <c r="DP565" s="1"/>
      <c r="DQ565" s="5"/>
      <c r="DR565" s="1"/>
      <c r="DS565" s="1"/>
      <c r="DT565" s="5"/>
      <c r="DU565" s="1"/>
      <c r="DV565" s="1"/>
      <c r="DW565" s="5"/>
      <c r="DX565" s="1"/>
      <c r="DY565" s="1"/>
      <c r="DZ565" s="5"/>
      <c r="EA565" s="1"/>
      <c r="EB565" s="1"/>
      <c r="EC565" s="5"/>
      <c r="ED565" s="1"/>
      <c r="EE565" s="1"/>
      <c r="EF565" s="5"/>
      <c r="EG565" s="1"/>
      <c r="EH565" s="1"/>
      <c r="EI565" s="5"/>
      <c r="EJ565" s="1"/>
      <c r="EK565" s="1"/>
      <c r="EL565" s="5"/>
      <c r="EM565" s="1"/>
      <c r="EN565" s="1"/>
      <c r="EO565" s="5"/>
      <c r="EP565" s="1"/>
      <c r="EQ565" s="1"/>
      <c r="ER565" s="5"/>
      <c r="ES565" s="1"/>
      <c r="ET565" s="1"/>
      <c r="EU565" s="5"/>
      <c r="EV565" s="1"/>
      <c r="EW565" s="1"/>
      <c r="EX565" s="5"/>
      <c r="EY565" s="1"/>
      <c r="EZ565" s="1"/>
      <c r="FA565" s="5"/>
      <c r="FH565" s="35"/>
      <c r="FI565" s="35"/>
      <c r="FJ565" s="35"/>
      <c r="FK565" s="35"/>
      <c r="FL565" s="35"/>
      <c r="FM565" s="35"/>
      <c r="FN565" s="35"/>
      <c r="FO565" s="35"/>
      <c r="FP565" s="35"/>
      <c r="FQ565" s="35"/>
    </row>
    <row r="566" spans="1:173" s="321" customFormat="1" hidden="1" outlineLevel="1">
      <c r="A566" s="1168"/>
      <c r="B566" s="186"/>
      <c r="C566" s="331" t="s">
        <v>432</v>
      </c>
      <c r="D566" s="910"/>
      <c r="E566" s="186" t="s">
        <v>54</v>
      </c>
      <c r="F566" s="1"/>
      <c r="G566" s="5"/>
      <c r="H566" s="1"/>
      <c r="I566" s="1"/>
      <c r="J566" s="5"/>
      <c r="K566" s="1"/>
      <c r="L566" s="1"/>
      <c r="M566" s="5"/>
      <c r="N566" s="1"/>
      <c r="O566" s="1"/>
      <c r="P566" s="5"/>
      <c r="Q566" s="1"/>
      <c r="R566" s="1"/>
      <c r="S566" s="5"/>
      <c r="T566" s="1"/>
      <c r="U566" s="1"/>
      <c r="V566" s="5"/>
      <c r="W566" s="1"/>
      <c r="X566" s="1"/>
      <c r="Y566" s="5"/>
      <c r="Z566" s="1"/>
      <c r="AA566" s="1"/>
      <c r="AB566" s="5"/>
      <c r="AC566" s="1"/>
      <c r="AD566" s="1"/>
      <c r="AE566" s="5"/>
      <c r="AF566" s="1"/>
      <c r="AG566" s="1"/>
      <c r="AH566" s="5"/>
      <c r="AI566" s="1"/>
      <c r="AJ566" s="1"/>
      <c r="AK566" s="5"/>
      <c r="AL566" s="1"/>
      <c r="AM566" s="1"/>
      <c r="AN566" s="5"/>
      <c r="AO566" s="1"/>
      <c r="AP566" s="1"/>
      <c r="AQ566" s="5"/>
      <c r="AR566" s="1"/>
      <c r="AS566" s="1"/>
      <c r="AT566" s="5"/>
      <c r="AU566" s="1"/>
      <c r="AV566" s="1"/>
      <c r="AW566" s="5"/>
      <c r="AX566" s="1"/>
      <c r="AY566" s="1"/>
      <c r="AZ566" s="5"/>
      <c r="BA566" s="1"/>
      <c r="BB566" s="1"/>
      <c r="BC566" s="46"/>
      <c r="BD566" s="1"/>
      <c r="BE566" s="1"/>
      <c r="BF566" s="46"/>
      <c r="BG566" s="1"/>
      <c r="BH566" s="1"/>
      <c r="BI566" s="46"/>
      <c r="BJ566" s="118"/>
      <c r="BK566" s="108"/>
      <c r="BL566" s="109"/>
      <c r="BM566" s="108"/>
      <c r="BN566" s="108"/>
      <c r="BO566" s="109"/>
      <c r="BP566" s="108"/>
      <c r="BQ566" s="108"/>
      <c r="BR566" s="109"/>
      <c r="BS566" s="1"/>
      <c r="BT566" s="1"/>
      <c r="BU566" s="5"/>
      <c r="BV566" s="1"/>
      <c r="BW566" s="1"/>
      <c r="BX566" s="186"/>
      <c r="BY566" s="1"/>
      <c r="BZ566" s="1"/>
      <c r="CA566" s="186"/>
      <c r="CB566" s="1"/>
      <c r="CC566" s="1"/>
      <c r="CD566" s="186"/>
      <c r="CE566" s="1"/>
      <c r="CF566" s="1"/>
      <c r="CG566" s="186"/>
      <c r="CH566" s="1"/>
      <c r="CI566" s="67"/>
      <c r="CJ566" s="186"/>
      <c r="CK566" s="67"/>
      <c r="CL566" s="67"/>
      <c r="CM566" s="35"/>
      <c r="CN566" s="1"/>
      <c r="CO566" s="1"/>
      <c r="CP566" s="186"/>
      <c r="CQ566" s="1"/>
      <c r="CR566" s="1"/>
      <c r="CS566" s="186"/>
      <c r="CT566" s="1"/>
      <c r="CU566" s="1"/>
      <c r="CV566" s="186"/>
      <c r="CW566" s="1"/>
      <c r="CX566" s="1"/>
      <c r="CY566" s="5"/>
      <c r="CZ566" s="1"/>
      <c r="DA566" s="1"/>
      <c r="DB566" s="5"/>
      <c r="DC566" s="1"/>
      <c r="DD566" s="1"/>
      <c r="DE566" s="5"/>
      <c r="DF566" s="1"/>
      <c r="DG566" s="1"/>
      <c r="DH566" s="5"/>
      <c r="DI566" s="1"/>
      <c r="DJ566" s="1"/>
      <c r="DK566" s="5"/>
      <c r="DL566" s="1"/>
      <c r="DM566" s="1"/>
      <c r="DN566" s="5"/>
      <c r="DO566" s="1"/>
      <c r="DP566" s="1"/>
      <c r="DQ566" s="5"/>
      <c r="DR566" s="1"/>
      <c r="DS566" s="1"/>
      <c r="DT566" s="5"/>
      <c r="DU566" s="1"/>
      <c r="DV566" s="1"/>
      <c r="DW566" s="5"/>
      <c r="DX566" s="1"/>
      <c r="DY566" s="1"/>
      <c r="DZ566" s="5"/>
      <c r="EA566" s="1"/>
      <c r="EB566" s="1"/>
      <c r="EC566" s="5"/>
      <c r="ED566" s="1"/>
      <c r="EE566" s="1"/>
      <c r="EF566" s="5"/>
      <c r="EG566" s="1"/>
      <c r="EH566" s="1"/>
      <c r="EI566" s="5"/>
      <c r="EJ566" s="1"/>
      <c r="EK566" s="1"/>
      <c r="EL566" s="5"/>
      <c r="EM566" s="1"/>
      <c r="EN566" s="1"/>
      <c r="EO566" s="5"/>
      <c r="EP566" s="1"/>
      <c r="EQ566" s="1"/>
      <c r="ER566" s="5"/>
      <c r="ES566" s="1"/>
      <c r="ET566" s="1"/>
      <c r="EU566" s="5"/>
      <c r="EV566" s="1"/>
      <c r="EW566" s="1"/>
      <c r="EX566" s="5"/>
      <c r="EY566" s="1"/>
      <c r="EZ566" s="1"/>
      <c r="FA566" s="5"/>
      <c r="FH566" s="35"/>
      <c r="FI566" s="35"/>
      <c r="FJ566" s="35"/>
      <c r="FK566" s="35"/>
      <c r="FL566" s="35"/>
      <c r="FM566" s="35"/>
      <c r="FN566" s="35"/>
      <c r="FO566" s="35"/>
      <c r="FP566" s="35"/>
      <c r="FQ566" s="35"/>
    </row>
    <row r="567" spans="1:173" s="321" customFormat="1" hidden="1" outlineLevel="1">
      <c r="A567" s="1168"/>
      <c r="B567" s="186"/>
      <c r="C567" s="186" t="s">
        <v>316</v>
      </c>
      <c r="D567" s="910"/>
      <c r="E567" s="186"/>
      <c r="F567" s="1"/>
      <c r="G567" s="5"/>
      <c r="H567" s="1"/>
      <c r="I567" s="1"/>
      <c r="J567" s="5"/>
      <c r="K567" s="1"/>
      <c r="L567" s="1"/>
      <c r="M567" s="5"/>
      <c r="N567" s="1"/>
      <c r="O567" s="1"/>
      <c r="P567" s="5"/>
      <c r="Q567" s="1"/>
      <c r="R567" s="1"/>
      <c r="S567" s="5"/>
      <c r="T567" s="1"/>
      <c r="U567" s="1"/>
      <c r="V567" s="5"/>
      <c r="W567" s="1"/>
      <c r="X567" s="1"/>
      <c r="Y567" s="5"/>
      <c r="Z567" s="1"/>
      <c r="AA567" s="1"/>
      <c r="AB567" s="5"/>
      <c r="AC567" s="1"/>
      <c r="AD567" s="1"/>
      <c r="AE567" s="5"/>
      <c r="AF567" s="1"/>
      <c r="AG567" s="1"/>
      <c r="AH567" s="5"/>
      <c r="AI567" s="1"/>
      <c r="AJ567" s="1"/>
      <c r="AK567" s="5"/>
      <c r="AL567" s="1"/>
      <c r="AM567" s="1"/>
      <c r="AN567" s="5"/>
      <c r="AO567" s="1"/>
      <c r="AP567" s="1"/>
      <c r="AQ567" s="5"/>
      <c r="AR567" s="1"/>
      <c r="AS567" s="1"/>
      <c r="AT567" s="5"/>
      <c r="AU567" s="1"/>
      <c r="AV567" s="1"/>
      <c r="AW567" s="20">
        <f>324035/1000</f>
        <v>324.03500000000003</v>
      </c>
      <c r="AX567" s="20">
        <f t="shared" ref="AX567:AY569" si="2406">AW567*(1+((AX578-AX573)))</f>
        <v>324.99090325000003</v>
      </c>
      <c r="AY567" s="20">
        <f t="shared" si="2406"/>
        <v>325.94962641458756</v>
      </c>
      <c r="AZ567" s="20">
        <f>AY567</f>
        <v>325.94962641458756</v>
      </c>
      <c r="BA567" s="28">
        <f t="shared" ref="BA567:BB569" si="2407">AZ567*(1+((BA578-BA573)))</f>
        <v>326.91117781251057</v>
      </c>
      <c r="BB567" s="28">
        <f t="shared" si="2407"/>
        <v>327.8755657870575</v>
      </c>
      <c r="BC567" s="49">
        <f>BB567</f>
        <v>327.8755657870575</v>
      </c>
      <c r="BD567" s="28">
        <f t="shared" ref="BD567:BE569" si="2408">BC567*(1+((BD578-BD573)))</f>
        <v>328.84279870612932</v>
      </c>
      <c r="BE567" s="28">
        <f t="shared" si="2408"/>
        <v>329.81288496231241</v>
      </c>
      <c r="BF567" s="49">
        <f>BE567</f>
        <v>329.81288496231241</v>
      </c>
      <c r="BG567" s="28">
        <f t="shared" ref="BG567:BH569" si="2409">BF567*(1+((BG578-BG573)))</f>
        <v>330.78583297295125</v>
      </c>
      <c r="BH567" s="28">
        <f t="shared" si="2409"/>
        <v>331.76165118022146</v>
      </c>
      <c r="BI567" s="49">
        <f>BH567</f>
        <v>331.76165118022146</v>
      </c>
      <c r="BJ567" s="110">
        <f t="shared" ref="BJ567:BK569" si="2410">BI567*(1+((BJ578-BJ573)))</f>
        <v>332.74034805120311</v>
      </c>
      <c r="BK567" s="110">
        <f t="shared" si="2410"/>
        <v>333.72193207795419</v>
      </c>
      <c r="BL567" s="111">
        <f>BK567</f>
        <v>333.72193207795419</v>
      </c>
      <c r="BM567" s="110">
        <f t="shared" ref="BM567:BN569" si="2411">BL567*(1+((BM578-BM573)/2))</f>
        <v>334.21417192776914</v>
      </c>
      <c r="BN567" s="110">
        <f t="shared" si="2411"/>
        <v>334.70713783136256</v>
      </c>
      <c r="BO567" s="111">
        <f>BN567</f>
        <v>334.70713783136256</v>
      </c>
      <c r="BP567" s="110">
        <f t="shared" ref="BP567:BQ569" si="2412">BO567*(1+((BP578-BP573)/2))</f>
        <v>335.20083085966377</v>
      </c>
      <c r="BQ567" s="110">
        <f t="shared" si="2412"/>
        <v>335.69525208518172</v>
      </c>
      <c r="BR567" s="111">
        <f>BQ567</f>
        <v>335.69525208518172</v>
      </c>
      <c r="BS567" s="28">
        <f t="shared" ref="BS567:BT569" si="2413">BR567*(1+((BS578-BS573)/2))</f>
        <v>336.19040258200732</v>
      </c>
      <c r="BT567" s="28">
        <f t="shared" si="2413"/>
        <v>336.68628342581576</v>
      </c>
      <c r="BU567" s="20">
        <f>BT567</f>
        <v>336.68628342581576</v>
      </c>
      <c r="BV567" s="28">
        <f t="shared" ref="BV567:BW569" si="2414">BU567*(1+((BV578-BV573)/2))</f>
        <v>337.18289569386883</v>
      </c>
      <c r="BW567" s="28">
        <f t="shared" si="2414"/>
        <v>337.68024046501728</v>
      </c>
      <c r="BX567" s="184">
        <f>BW567</f>
        <v>337.68024046501728</v>
      </c>
      <c r="BY567" s="28">
        <f t="shared" ref="BY567:BZ569" si="2415">BX567*(1+((BY578-BY573)/2))</f>
        <v>338.17831881970312</v>
      </c>
      <c r="BZ567" s="28">
        <f t="shared" si="2415"/>
        <v>338.67713183996216</v>
      </c>
      <c r="CA567" s="184">
        <f>BZ567</f>
        <v>338.67713183996216</v>
      </c>
      <c r="CB567" s="28">
        <f t="shared" ref="CB567:CC569" si="2416">CA567*(1+((CB578-CB573)/2))</f>
        <v>339.17668060942606</v>
      </c>
      <c r="CC567" s="28">
        <f t="shared" si="2416"/>
        <v>339.67696621332493</v>
      </c>
      <c r="CD567" s="184">
        <f>CC567</f>
        <v>339.67696621332493</v>
      </c>
      <c r="CE567" s="28">
        <f t="shared" ref="CE567:CF569" si="2417">CD567*(1+((CE578-CE573)/2))</f>
        <v>340.17798973848954</v>
      </c>
      <c r="CF567" s="28">
        <f t="shared" si="2417"/>
        <v>340.67975227335376</v>
      </c>
      <c r="CG567" s="184">
        <f>CF567</f>
        <v>340.67975227335376</v>
      </c>
      <c r="CH567" s="28">
        <f t="shared" ref="CH567:CI569" si="2418">CG567*(1+((CH578-CH573)/2))</f>
        <v>341.18225490795692</v>
      </c>
      <c r="CI567" s="28">
        <f t="shared" si="2418"/>
        <v>341.68549873394613</v>
      </c>
      <c r="CJ567" s="184">
        <f>CI567</f>
        <v>341.68549873394613</v>
      </c>
      <c r="CK567" s="28">
        <f t="shared" ref="CK567:CL569" si="2419">CJ567*(1+((CK578-CK573)/2))</f>
        <v>342.18948484457866</v>
      </c>
      <c r="CL567" s="28">
        <f t="shared" si="2419"/>
        <v>342.69421433472439</v>
      </c>
      <c r="CM567" s="184">
        <f>CL567</f>
        <v>342.69421433472439</v>
      </c>
      <c r="CN567" s="28">
        <f t="shared" ref="CN567:CO569" si="2420">CM567*(1+((CN578-CN573)/2))</f>
        <v>343.19968830086805</v>
      </c>
      <c r="CO567" s="28">
        <f t="shared" si="2420"/>
        <v>343.70590784111181</v>
      </c>
      <c r="CP567" s="184">
        <f>CO567</f>
        <v>343.70590784111181</v>
      </c>
      <c r="CQ567" s="28">
        <f t="shared" ref="CQ567:CR569" si="2421">CP567*(1+((CQ578-CQ573)/2))</f>
        <v>344.21287405517739</v>
      </c>
      <c r="CR567" s="28">
        <f t="shared" si="2421"/>
        <v>344.72058804440877</v>
      </c>
      <c r="CS567" s="184">
        <f>CR567</f>
        <v>344.72058804440877</v>
      </c>
      <c r="CT567" s="28">
        <f t="shared" ref="CT567:CU569" si="2422">CS567*(1+((CT578-CT573)/2))</f>
        <v>345.22905091177421</v>
      </c>
      <c r="CU567" s="28">
        <f t="shared" si="2422"/>
        <v>345.73826376186906</v>
      </c>
      <c r="CV567" s="184">
        <f>CU567</f>
        <v>345.73826376186906</v>
      </c>
      <c r="CW567" s="28">
        <f t="shared" ref="CW567:CX569" si="2423">CV567*(1+((CW578-CW573)/2))</f>
        <v>346.24822770091777</v>
      </c>
      <c r="CX567" s="28">
        <f t="shared" si="2423"/>
        <v>346.75894383677661</v>
      </c>
      <c r="CY567" s="20">
        <f>CX567</f>
        <v>346.75894383677661</v>
      </c>
      <c r="CZ567" s="28">
        <f t="shared" ref="CZ567:DA569" si="2424">CY567*(1+((CZ578-CZ573)/2))</f>
        <v>347.27041327893579</v>
      </c>
      <c r="DA567" s="28">
        <f t="shared" si="2424"/>
        <v>347.7826371385222</v>
      </c>
      <c r="DB567" s="20">
        <f>DA567</f>
        <v>347.7826371385222</v>
      </c>
      <c r="DC567" s="28">
        <f t="shared" ref="DC567:DD569" si="2425">DB567*(1+((DC578-DC573)/2))</f>
        <v>348.29561652830148</v>
      </c>
      <c r="DD567" s="28">
        <f t="shared" si="2425"/>
        <v>348.80935256268071</v>
      </c>
      <c r="DE567" s="20">
        <f>DD567</f>
        <v>348.80935256268071</v>
      </c>
      <c r="DF567" s="28">
        <f t="shared" ref="DF567:DG569" si="2426">DE567*(1+((DF578-DF573)/2))</f>
        <v>349.32384635771064</v>
      </c>
      <c r="DG567" s="28">
        <f t="shared" si="2426"/>
        <v>349.83909903108821</v>
      </c>
      <c r="DH567" s="20">
        <f>DG567</f>
        <v>349.83909903108821</v>
      </c>
      <c r="DI567" s="28">
        <f t="shared" ref="DI567:DJ569" si="2427">DH567*(1+((DI578-DI573)/2))</f>
        <v>350.35511170215904</v>
      </c>
      <c r="DJ567" s="28">
        <f t="shared" si="2427"/>
        <v>350.87188549191967</v>
      </c>
      <c r="DK567" s="20">
        <f>DJ567</f>
        <v>350.87188549191967</v>
      </c>
      <c r="DL567" s="28">
        <f>DK567*(1+((DL578-DL573)/2))</f>
        <v>351.38942152302019</v>
      </c>
      <c r="DM567" s="28">
        <f t="shared" ref="DM567:DM569" si="2428">DL567*(1+((DM578-DM573)/2))</f>
        <v>351.90772091976663</v>
      </c>
      <c r="DN567" s="20">
        <f>DM567</f>
        <v>351.90772091976663</v>
      </c>
      <c r="DO567" s="28">
        <f t="shared" ref="DO567:DP569" si="2429">DN567*(1+((DO578-DO573)/2))</f>
        <v>352.42678480812327</v>
      </c>
      <c r="DP567" s="28">
        <f t="shared" si="2429"/>
        <v>352.94661431571524</v>
      </c>
      <c r="DQ567" s="20">
        <f>DP567</f>
        <v>352.94661431571524</v>
      </c>
      <c r="DR567" s="28">
        <f t="shared" ref="DR567:DS569" si="2430">DQ567*(1+((DR578-DR573)/2))</f>
        <v>353.46721057183089</v>
      </c>
      <c r="DS567" s="28">
        <f t="shared" si="2430"/>
        <v>353.98857470742428</v>
      </c>
      <c r="DT567" s="20">
        <f>DS567</f>
        <v>353.98857470742428</v>
      </c>
      <c r="DU567" s="28">
        <f t="shared" ref="DU567:DV569" si="2431">DT567*(1+((DU578-DU573)/2))</f>
        <v>354.51070785511769</v>
      </c>
      <c r="DV567" s="28">
        <f t="shared" si="2431"/>
        <v>355.03361114920392</v>
      </c>
      <c r="DW567" s="20">
        <f>DV567</f>
        <v>355.03361114920392</v>
      </c>
      <c r="DX567" s="28">
        <f t="shared" ref="DX567:DY569" si="2432">DW567*(1+((DX578-DX573)/2))</f>
        <v>355.55728572564897</v>
      </c>
      <c r="DY567" s="28">
        <f t="shared" si="2432"/>
        <v>356.08173272209427</v>
      </c>
      <c r="DZ567" s="20">
        <f>DY567</f>
        <v>356.08173272209427</v>
      </c>
      <c r="EA567" s="28">
        <f t="shared" ref="EA567:EB569" si="2433">DZ567*(1+((EA578-EA573)/2))</f>
        <v>356.6069532778593</v>
      </c>
      <c r="EB567" s="28">
        <f t="shared" si="2433"/>
        <v>357.1329485339441</v>
      </c>
      <c r="EC567" s="20">
        <f>EB567</f>
        <v>357.1329485339441</v>
      </c>
      <c r="ED567" s="28">
        <f t="shared" ref="ED567:EE569" si="2434">EC567*(1+((ED578-ED573)/2))</f>
        <v>357.65971963303161</v>
      </c>
      <c r="EE567" s="28">
        <f t="shared" si="2434"/>
        <v>358.18726771949031</v>
      </c>
      <c r="EF567" s="20">
        <f>EE567</f>
        <v>358.18726771949031</v>
      </c>
      <c r="EG567" s="28">
        <f t="shared" ref="EG567:EH569" si="2435">EF567*(1+((EG578-EG573)/2))</f>
        <v>358.7155939393765</v>
      </c>
      <c r="EH567" s="28">
        <f t="shared" si="2435"/>
        <v>359.24469944043705</v>
      </c>
      <c r="EI567" s="20">
        <f>EH567</f>
        <v>359.24469944043705</v>
      </c>
      <c r="EJ567" s="28">
        <f t="shared" ref="EJ567:EK569" si="2436">EI567*(1+((EJ578-EJ573)/2))</f>
        <v>359.77458537211163</v>
      </c>
      <c r="EK567" s="28">
        <f t="shared" si="2436"/>
        <v>360.30525288553548</v>
      </c>
      <c r="EL567" s="20">
        <f>EK567</f>
        <v>360.30525288553548</v>
      </c>
      <c r="EM567" s="28">
        <f t="shared" ref="EM567:EN569" si="2437">EL567*(1+((EM578-EM573)/2))</f>
        <v>360.83670313354162</v>
      </c>
      <c r="EN567" s="28">
        <f t="shared" si="2437"/>
        <v>361.36893727066354</v>
      </c>
      <c r="EO567" s="20">
        <f>EN567</f>
        <v>361.36893727066354</v>
      </c>
      <c r="EP567" s="28">
        <f t="shared" ref="EP567:EQ569" si="2438">EO567*(1+((EP578-EP573)/2))</f>
        <v>361.9019564531377</v>
      </c>
      <c r="EQ567" s="28">
        <f t="shared" si="2438"/>
        <v>362.43576183890605</v>
      </c>
      <c r="ER567" s="20">
        <f>EQ567</f>
        <v>362.43576183890605</v>
      </c>
      <c r="ES567" s="28">
        <f t="shared" ref="ES567:ES569" si="2439">ER567*(1+((ES578-ES573)/2))</f>
        <v>362.97035458761837</v>
      </c>
      <c r="ET567" s="28">
        <f t="shared" ref="ET567:ET569" si="2440">ES567*(1+((ET578-ET573)/2))</f>
        <v>363.50573586063507</v>
      </c>
      <c r="EU567" s="20">
        <f>ET567</f>
        <v>363.50573586063507</v>
      </c>
      <c r="EV567" s="28">
        <f t="shared" ref="EV567:EV569" si="2441">EU567*(1+((EV578-EV573)/2))</f>
        <v>364.04190682102944</v>
      </c>
      <c r="EW567" s="28">
        <f t="shared" ref="EW567:EW569" si="2442">EV567*(1+((EW578-EW573)/2))</f>
        <v>364.57886863359045</v>
      </c>
      <c r="EX567" s="20">
        <f>EW567</f>
        <v>364.57886863359045</v>
      </c>
      <c r="EY567" s="28">
        <f t="shared" ref="EY567:EY569" si="2443">EX567*(1+((EY578-EY573)/2))</f>
        <v>365.11662246482496</v>
      </c>
      <c r="EZ567" s="28">
        <f t="shared" ref="EZ567:EZ569" si="2444">EY567*(1+((EZ578-EZ573)/2))</f>
        <v>365.65516948296056</v>
      </c>
      <c r="FA567" s="20">
        <f>EZ567</f>
        <v>365.65516948296056</v>
      </c>
      <c r="FB567" s="993"/>
      <c r="FC567" s="993"/>
      <c r="FD567" s="993"/>
      <c r="FE567" s="993"/>
      <c r="FH567" s="35"/>
      <c r="FI567" s="35"/>
      <c r="FJ567" s="35"/>
      <c r="FK567" s="35"/>
      <c r="FL567" s="35"/>
      <c r="FM567" s="35"/>
      <c r="FN567" s="35"/>
      <c r="FO567" s="35"/>
      <c r="FP567" s="35"/>
      <c r="FQ567" s="35"/>
    </row>
    <row r="568" spans="1:173" s="321" customFormat="1" hidden="1" outlineLevel="1">
      <c r="A568" s="1168"/>
      <c r="B568" s="186"/>
      <c r="C568" s="186" t="s">
        <v>317</v>
      </c>
      <c r="D568" s="910"/>
      <c r="E568" s="186"/>
      <c r="F568" s="1"/>
      <c r="G568" s="5"/>
      <c r="H568" s="1"/>
      <c r="I568" s="1"/>
      <c r="J568" s="5"/>
      <c r="K568" s="1"/>
      <c r="L568" s="1"/>
      <c r="M568" s="5"/>
      <c r="N568" s="1"/>
      <c r="O568" s="1"/>
      <c r="P568" s="5"/>
      <c r="Q568" s="1"/>
      <c r="R568" s="1"/>
      <c r="S568" s="5"/>
      <c r="T568" s="1"/>
      <c r="U568" s="1"/>
      <c r="V568" s="5"/>
      <c r="W568" s="1"/>
      <c r="X568" s="1"/>
      <c r="Y568" s="5"/>
      <c r="Z568" s="1"/>
      <c r="AA568" s="1"/>
      <c r="AB568" s="5"/>
      <c r="AC568" s="1"/>
      <c r="AD568" s="1"/>
      <c r="AE568" s="5"/>
      <c r="AF568" s="1"/>
      <c r="AG568" s="1"/>
      <c r="AH568" s="5"/>
      <c r="AI568" s="1"/>
      <c r="AJ568" s="1"/>
      <c r="AK568" s="5"/>
      <c r="AL568" s="1"/>
      <c r="AM568" s="1"/>
      <c r="AN568" s="5"/>
      <c r="AO568" s="1"/>
      <c r="AP568" s="1"/>
      <c r="AQ568" s="5"/>
      <c r="AR568" s="1"/>
      <c r="AS568" s="1"/>
      <c r="AT568" s="5"/>
      <c r="AU568" s="1"/>
      <c r="AV568" s="1"/>
      <c r="AW568" s="20">
        <f>726354/1000</f>
        <v>726.35400000000004</v>
      </c>
      <c r="AX568" s="20">
        <f t="shared" si="2406"/>
        <v>725.70028139999999</v>
      </c>
      <c r="AY568" s="20">
        <f t="shared" si="2406"/>
        <v>725.04715114674002</v>
      </c>
      <c r="AZ568" s="20">
        <f>AY568</f>
        <v>725.04715114674002</v>
      </c>
      <c r="BA568" s="28">
        <f t="shared" si="2407"/>
        <v>724.39460871070798</v>
      </c>
      <c r="BB568" s="28">
        <f t="shared" si="2407"/>
        <v>723.74265356286833</v>
      </c>
      <c r="BC568" s="49">
        <f>BB568</f>
        <v>723.74265356286833</v>
      </c>
      <c r="BD568" s="28">
        <f t="shared" si="2408"/>
        <v>723.09128517466172</v>
      </c>
      <c r="BE568" s="28">
        <f t="shared" si="2408"/>
        <v>722.44050301800451</v>
      </c>
      <c r="BF568" s="49">
        <f>BE568</f>
        <v>722.44050301800451</v>
      </c>
      <c r="BG568" s="28">
        <f t="shared" si="2409"/>
        <v>721.79030656528835</v>
      </c>
      <c r="BH568" s="28">
        <f t="shared" si="2409"/>
        <v>721.14069528937955</v>
      </c>
      <c r="BI568" s="49">
        <f>BH568</f>
        <v>721.14069528937955</v>
      </c>
      <c r="BJ568" s="110">
        <f t="shared" si="2410"/>
        <v>720.49166866361907</v>
      </c>
      <c r="BK568" s="110">
        <f t="shared" si="2410"/>
        <v>719.8432261618218</v>
      </c>
      <c r="BL568" s="111">
        <f>BK568</f>
        <v>719.8432261618218</v>
      </c>
      <c r="BM568" s="110">
        <f t="shared" si="2411"/>
        <v>719.51929671004905</v>
      </c>
      <c r="BN568" s="110">
        <f t="shared" si="2411"/>
        <v>719.19551302652951</v>
      </c>
      <c r="BO568" s="111">
        <f>BN568</f>
        <v>719.19551302652951</v>
      </c>
      <c r="BP568" s="110">
        <f t="shared" si="2412"/>
        <v>718.87187504566759</v>
      </c>
      <c r="BQ568" s="110">
        <f t="shared" si="2412"/>
        <v>718.54838270189703</v>
      </c>
      <c r="BR568" s="111">
        <f>BQ568</f>
        <v>718.54838270189703</v>
      </c>
      <c r="BS568" s="28">
        <f t="shared" si="2413"/>
        <v>718.22503592968121</v>
      </c>
      <c r="BT568" s="28">
        <f t="shared" si="2413"/>
        <v>717.90183466351289</v>
      </c>
      <c r="BU568" s="20">
        <f>BT568</f>
        <v>717.90183466351289</v>
      </c>
      <c r="BV568" s="28">
        <f t="shared" si="2414"/>
        <v>717.57877883791434</v>
      </c>
      <c r="BW568" s="28">
        <f t="shared" si="2414"/>
        <v>717.25586838743732</v>
      </c>
      <c r="BX568" s="184">
        <f>BW568</f>
        <v>717.25586838743732</v>
      </c>
      <c r="BY568" s="28">
        <f t="shared" si="2415"/>
        <v>716.93310324666299</v>
      </c>
      <c r="BZ568" s="28">
        <f t="shared" si="2415"/>
        <v>716.610483350202</v>
      </c>
      <c r="CA568" s="184">
        <f>BZ568</f>
        <v>716.610483350202</v>
      </c>
      <c r="CB568" s="28">
        <f t="shared" si="2416"/>
        <v>716.28800863269441</v>
      </c>
      <c r="CC568" s="28">
        <f t="shared" si="2416"/>
        <v>715.96567902880975</v>
      </c>
      <c r="CD568" s="184">
        <f>CC568</f>
        <v>715.96567902880975</v>
      </c>
      <c r="CE568" s="28">
        <f t="shared" si="2417"/>
        <v>715.64349447324685</v>
      </c>
      <c r="CF568" s="28">
        <f t="shared" si="2417"/>
        <v>715.3214549007339</v>
      </c>
      <c r="CG568" s="184">
        <f>CF568</f>
        <v>715.3214549007339</v>
      </c>
      <c r="CH568" s="28">
        <f t="shared" si="2418"/>
        <v>714.99956024602864</v>
      </c>
      <c r="CI568" s="28">
        <f t="shared" si="2418"/>
        <v>714.67781044391791</v>
      </c>
      <c r="CJ568" s="184">
        <f>CI568</f>
        <v>714.67781044391791</v>
      </c>
      <c r="CK568" s="28">
        <f t="shared" si="2419"/>
        <v>714.35620542921822</v>
      </c>
      <c r="CL568" s="28">
        <f t="shared" si="2419"/>
        <v>714.03474513677509</v>
      </c>
      <c r="CM568" s="184">
        <f>CL568</f>
        <v>714.03474513677509</v>
      </c>
      <c r="CN568" s="28">
        <f t="shared" si="2420"/>
        <v>713.71342950146357</v>
      </c>
      <c r="CO568" s="28">
        <f t="shared" si="2420"/>
        <v>713.39225845818794</v>
      </c>
      <c r="CP568" s="184">
        <f>CO568</f>
        <v>713.39225845818794</v>
      </c>
      <c r="CQ568" s="28">
        <f t="shared" si="2421"/>
        <v>713.07123194188182</v>
      </c>
      <c r="CR568" s="28">
        <f t="shared" si="2421"/>
        <v>712.75034988750804</v>
      </c>
      <c r="CS568" s="184">
        <f>CR568</f>
        <v>712.75034988750804</v>
      </c>
      <c r="CT568" s="28">
        <f t="shared" si="2422"/>
        <v>712.42961223005864</v>
      </c>
      <c r="CU568" s="28">
        <f t="shared" si="2422"/>
        <v>712.10901890455511</v>
      </c>
      <c r="CV568" s="184">
        <f>CU568</f>
        <v>712.10901890455511</v>
      </c>
      <c r="CW568" s="28">
        <f t="shared" si="2423"/>
        <v>711.78856984604806</v>
      </c>
      <c r="CX568" s="28">
        <f t="shared" si="2423"/>
        <v>711.46826498961741</v>
      </c>
      <c r="CY568" s="20">
        <f>CX568</f>
        <v>711.46826498961741</v>
      </c>
      <c r="CZ568" s="28">
        <f t="shared" si="2424"/>
        <v>711.14810427037207</v>
      </c>
      <c r="DA568" s="28">
        <f t="shared" si="2424"/>
        <v>710.82808762345041</v>
      </c>
      <c r="DB568" s="20">
        <f>DA568</f>
        <v>710.82808762345041</v>
      </c>
      <c r="DC568" s="28">
        <f t="shared" si="2425"/>
        <v>710.5082149840199</v>
      </c>
      <c r="DD568" s="28">
        <f t="shared" si="2425"/>
        <v>710.1884862872771</v>
      </c>
      <c r="DE568" s="20">
        <f>DD568</f>
        <v>710.1884862872771</v>
      </c>
      <c r="DF568" s="28">
        <f t="shared" si="2426"/>
        <v>709.86890146844792</v>
      </c>
      <c r="DG568" s="28">
        <f t="shared" si="2426"/>
        <v>709.54946046278712</v>
      </c>
      <c r="DH568" s="20">
        <f>DG568</f>
        <v>709.54946046278712</v>
      </c>
      <c r="DI568" s="28">
        <f t="shared" si="2427"/>
        <v>709.23016320557895</v>
      </c>
      <c r="DJ568" s="28">
        <f t="shared" si="2427"/>
        <v>708.91100963213648</v>
      </c>
      <c r="DK568" s="20">
        <f>DJ568</f>
        <v>708.91100963213648</v>
      </c>
      <c r="DL568" s="28">
        <f>DK568*(1+((DL579-DL574)/2))</f>
        <v>708.59199967780205</v>
      </c>
      <c r="DM568" s="28">
        <f t="shared" si="2428"/>
        <v>708.27313327794707</v>
      </c>
      <c r="DN568" s="20">
        <f>DM568</f>
        <v>708.27313327794707</v>
      </c>
      <c r="DO568" s="28">
        <f t="shared" si="2429"/>
        <v>707.95441036797206</v>
      </c>
      <c r="DP568" s="28">
        <f t="shared" si="2429"/>
        <v>707.63583088330654</v>
      </c>
      <c r="DQ568" s="20">
        <f>DP568</f>
        <v>707.63583088330654</v>
      </c>
      <c r="DR568" s="28">
        <f t="shared" si="2430"/>
        <v>707.31739475940913</v>
      </c>
      <c r="DS568" s="28">
        <f t="shared" si="2430"/>
        <v>706.99910193176743</v>
      </c>
      <c r="DT568" s="20">
        <f>DS568</f>
        <v>706.99910193176743</v>
      </c>
      <c r="DU568" s="28">
        <f t="shared" si="2431"/>
        <v>706.68095233589816</v>
      </c>
      <c r="DV568" s="28">
        <f t="shared" si="2431"/>
        <v>706.36294590734701</v>
      </c>
      <c r="DW568" s="20">
        <f>DV568</f>
        <v>706.36294590734701</v>
      </c>
      <c r="DX568" s="28">
        <f t="shared" si="2432"/>
        <v>706.04508258168869</v>
      </c>
      <c r="DY568" s="28">
        <f t="shared" si="2432"/>
        <v>705.72736229452698</v>
      </c>
      <c r="DZ568" s="20">
        <f>DY568</f>
        <v>705.72736229452698</v>
      </c>
      <c r="EA568" s="28">
        <f t="shared" si="2433"/>
        <v>705.40978498149445</v>
      </c>
      <c r="EB568" s="28">
        <f t="shared" si="2433"/>
        <v>705.09235057825276</v>
      </c>
      <c r="EC568" s="20">
        <f>EB568</f>
        <v>705.09235057825276</v>
      </c>
      <c r="ED568" s="28">
        <f t="shared" si="2434"/>
        <v>704.77505902049256</v>
      </c>
      <c r="EE568" s="28">
        <f t="shared" si="2434"/>
        <v>704.45791024393338</v>
      </c>
      <c r="EF568" s="20">
        <f>EE568</f>
        <v>704.45791024393338</v>
      </c>
      <c r="EG568" s="28">
        <f t="shared" si="2435"/>
        <v>704.14090418432363</v>
      </c>
      <c r="EH568" s="28">
        <f t="shared" si="2435"/>
        <v>703.8240407774407</v>
      </c>
      <c r="EI568" s="20">
        <f>EH568</f>
        <v>703.8240407774407</v>
      </c>
      <c r="EJ568" s="28">
        <f t="shared" si="2436"/>
        <v>703.50731995909086</v>
      </c>
      <c r="EK568" s="28">
        <f t="shared" si="2436"/>
        <v>703.19074166510927</v>
      </c>
      <c r="EL568" s="20">
        <f>EK568</f>
        <v>703.19074166510927</v>
      </c>
      <c r="EM568" s="28">
        <f t="shared" si="2437"/>
        <v>702.87430583136006</v>
      </c>
      <c r="EN568" s="28">
        <f t="shared" si="2437"/>
        <v>702.55801239373602</v>
      </c>
      <c r="EO568" s="20">
        <f>EN568</f>
        <v>702.55801239373602</v>
      </c>
      <c r="EP568" s="28">
        <f t="shared" si="2438"/>
        <v>702.24186128815893</v>
      </c>
      <c r="EQ568" s="28">
        <f t="shared" si="2438"/>
        <v>701.92585245057933</v>
      </c>
      <c r="ER568" s="20">
        <f>EQ568</f>
        <v>701.92585245057933</v>
      </c>
      <c r="ES568" s="28">
        <f t="shared" si="2439"/>
        <v>701.60998581697663</v>
      </c>
      <c r="ET568" s="28">
        <f t="shared" si="2440"/>
        <v>701.29426132335902</v>
      </c>
      <c r="EU568" s="20">
        <f>ET568</f>
        <v>701.29426132335902</v>
      </c>
      <c r="EV568" s="28">
        <f t="shared" si="2441"/>
        <v>700.97867890576356</v>
      </c>
      <c r="EW568" s="28">
        <f t="shared" si="2442"/>
        <v>700.66323850025594</v>
      </c>
      <c r="EX568" s="20">
        <f>EW568</f>
        <v>700.66323850025594</v>
      </c>
      <c r="EY568" s="28">
        <f t="shared" si="2443"/>
        <v>700.34794004293087</v>
      </c>
      <c r="EZ568" s="28">
        <f t="shared" si="2444"/>
        <v>700.03278346991158</v>
      </c>
      <c r="FA568" s="20">
        <f>EZ568</f>
        <v>700.03278346991158</v>
      </c>
      <c r="FB568" s="993"/>
      <c r="FC568" s="993"/>
      <c r="FD568" s="993"/>
      <c r="FE568" s="993"/>
      <c r="FH568" s="35"/>
      <c r="FI568" s="35"/>
      <c r="FJ568" s="35"/>
      <c r="FK568" s="35"/>
      <c r="FL568" s="35"/>
      <c r="FM568" s="35"/>
      <c r="FN568" s="35"/>
      <c r="FO568" s="35"/>
      <c r="FP568" s="35"/>
      <c r="FQ568" s="35"/>
    </row>
    <row r="569" spans="1:173" s="321" customFormat="1" hidden="1" outlineLevel="1">
      <c r="A569" s="1168"/>
      <c r="B569" s="186"/>
      <c r="C569" s="186" t="s">
        <v>431</v>
      </c>
      <c r="D569" s="910"/>
      <c r="E569" s="186"/>
      <c r="F569" s="1"/>
      <c r="G569" s="5"/>
      <c r="H569" s="1"/>
      <c r="I569" s="1"/>
      <c r="J569" s="5"/>
      <c r="K569" s="1"/>
      <c r="L569" s="1"/>
      <c r="M569" s="5"/>
      <c r="N569" s="1"/>
      <c r="O569" s="1"/>
      <c r="P569" s="5"/>
      <c r="Q569" s="1"/>
      <c r="R569" s="1"/>
      <c r="S569" s="5"/>
      <c r="T569" s="1"/>
      <c r="U569" s="1"/>
      <c r="V569" s="5"/>
      <c r="W569" s="1"/>
      <c r="X569" s="1"/>
      <c r="Y569" s="5"/>
      <c r="Z569" s="1"/>
      <c r="AA569" s="1"/>
      <c r="AB569" s="5"/>
      <c r="AC569" s="1"/>
      <c r="AD569" s="1"/>
      <c r="AE569" s="5"/>
      <c r="AF569" s="1"/>
      <c r="AG569" s="1"/>
      <c r="AH569" s="5"/>
      <c r="AI569" s="1"/>
      <c r="AJ569" s="1"/>
      <c r="AK569" s="5"/>
      <c r="AL569" s="1"/>
      <c r="AM569" s="1"/>
      <c r="AN569" s="5"/>
      <c r="AO569" s="1"/>
      <c r="AP569" s="1"/>
      <c r="AQ569" s="5"/>
      <c r="AR569" s="1"/>
      <c r="AS569" s="1"/>
      <c r="AT569" s="5"/>
      <c r="AU569" s="1"/>
      <c r="AV569" s="1"/>
      <c r="AW569" s="20">
        <f>3789618/1000</f>
        <v>3789.6179999999999</v>
      </c>
      <c r="AX569" s="20">
        <f t="shared" si="2406"/>
        <v>3813.8715551999999</v>
      </c>
      <c r="AY569" s="20">
        <f t="shared" si="2406"/>
        <v>3838.2803331532796</v>
      </c>
      <c r="AZ569" s="20">
        <f>AY569</f>
        <v>3838.2803331532796</v>
      </c>
      <c r="BA569" s="28">
        <f t="shared" si="2407"/>
        <v>3862.8453272854604</v>
      </c>
      <c r="BB569" s="28">
        <f t="shared" si="2407"/>
        <v>3887.5675373800873</v>
      </c>
      <c r="BC569" s="49">
        <f>BB569</f>
        <v>3887.5675373800873</v>
      </c>
      <c r="BD569" s="28">
        <f t="shared" si="2408"/>
        <v>3912.4479696193198</v>
      </c>
      <c r="BE569" s="28">
        <f t="shared" si="2408"/>
        <v>3937.4876366248832</v>
      </c>
      <c r="BF569" s="49">
        <f>BE569</f>
        <v>3937.4876366248832</v>
      </c>
      <c r="BG569" s="28">
        <f t="shared" si="2409"/>
        <v>3962.6875574992823</v>
      </c>
      <c r="BH569" s="28">
        <f t="shared" si="2409"/>
        <v>3988.0487578672778</v>
      </c>
      <c r="BI569" s="49">
        <f>BH569</f>
        <v>3988.0487578672778</v>
      </c>
      <c r="BJ569" s="110">
        <f t="shared" si="2410"/>
        <v>4013.5722699176281</v>
      </c>
      <c r="BK569" s="110">
        <f t="shared" si="2410"/>
        <v>4039.2591324451009</v>
      </c>
      <c r="BL569" s="111">
        <f>BK569</f>
        <v>4039.2591324451009</v>
      </c>
      <c r="BM569" s="110">
        <f t="shared" si="2411"/>
        <v>4052.1847616689256</v>
      </c>
      <c r="BN569" s="110">
        <f t="shared" si="2411"/>
        <v>4065.1517529062667</v>
      </c>
      <c r="BO569" s="111">
        <f>BN569</f>
        <v>4065.1517529062667</v>
      </c>
      <c r="BP569" s="110">
        <f t="shared" si="2412"/>
        <v>4078.160238515567</v>
      </c>
      <c r="BQ569" s="110">
        <f t="shared" si="2412"/>
        <v>4091.2103512788171</v>
      </c>
      <c r="BR569" s="111">
        <f>BQ569</f>
        <v>4091.2103512788171</v>
      </c>
      <c r="BS569" s="28">
        <f t="shared" si="2413"/>
        <v>4104.3022244029098</v>
      </c>
      <c r="BT569" s="28">
        <f t="shared" si="2413"/>
        <v>4117.4359915209998</v>
      </c>
      <c r="BU569" s="20">
        <f>BT569</f>
        <v>4117.4359915209998</v>
      </c>
      <c r="BV569" s="28">
        <f t="shared" si="2414"/>
        <v>4130.6117866938675</v>
      </c>
      <c r="BW569" s="28">
        <f t="shared" si="2414"/>
        <v>4143.8297444112886</v>
      </c>
      <c r="BX569" s="184">
        <f>BW569</f>
        <v>4143.8297444112886</v>
      </c>
      <c r="BY569" s="28">
        <f t="shared" si="2415"/>
        <v>4157.0899995934051</v>
      </c>
      <c r="BZ569" s="28">
        <f t="shared" si="2415"/>
        <v>4170.3926875921043</v>
      </c>
      <c r="CA569" s="184">
        <f>BZ569</f>
        <v>4170.3926875921043</v>
      </c>
      <c r="CB569" s="28">
        <f t="shared" si="2416"/>
        <v>4183.7379441923995</v>
      </c>
      <c r="CC569" s="28">
        <f t="shared" si="2416"/>
        <v>4197.1259056138151</v>
      </c>
      <c r="CD569" s="184">
        <f>CC569</f>
        <v>4197.1259056138151</v>
      </c>
      <c r="CE569" s="28">
        <f t="shared" si="2417"/>
        <v>4210.55670851178</v>
      </c>
      <c r="CF569" s="28">
        <f t="shared" si="2417"/>
        <v>4224.0304899790181</v>
      </c>
      <c r="CG569" s="184">
        <f>CF569</f>
        <v>4224.0304899790181</v>
      </c>
      <c r="CH569" s="28">
        <f t="shared" si="2418"/>
        <v>4237.5473875469515</v>
      </c>
      <c r="CI569" s="28">
        <f t="shared" si="2418"/>
        <v>4251.1075391871018</v>
      </c>
      <c r="CJ569" s="184">
        <f>CI569</f>
        <v>4251.1075391871018</v>
      </c>
      <c r="CK569" s="28">
        <f t="shared" si="2419"/>
        <v>4264.7110833125007</v>
      </c>
      <c r="CL569" s="28">
        <f t="shared" si="2419"/>
        <v>4278.3581587791014</v>
      </c>
      <c r="CM569" s="184">
        <f>CL569</f>
        <v>4278.3581587791014</v>
      </c>
      <c r="CN569" s="28">
        <f t="shared" si="2420"/>
        <v>4292.048904887195</v>
      </c>
      <c r="CO569" s="28">
        <f t="shared" si="2420"/>
        <v>4305.7834613828345</v>
      </c>
      <c r="CP569" s="184">
        <f>CO569</f>
        <v>4305.7834613828345</v>
      </c>
      <c r="CQ569" s="28">
        <f t="shared" si="2421"/>
        <v>4319.5619684592602</v>
      </c>
      <c r="CR569" s="28">
        <f t="shared" si="2421"/>
        <v>4333.38456675833</v>
      </c>
      <c r="CS569" s="184">
        <f>CR569</f>
        <v>4333.38456675833</v>
      </c>
      <c r="CT569" s="28">
        <f t="shared" si="2422"/>
        <v>4347.251397371957</v>
      </c>
      <c r="CU569" s="28">
        <f t="shared" si="2422"/>
        <v>4361.1626018435472</v>
      </c>
      <c r="CV569" s="184">
        <f>CU569</f>
        <v>4361.1626018435472</v>
      </c>
      <c r="CW569" s="28">
        <f t="shared" si="2423"/>
        <v>4375.1183221694473</v>
      </c>
      <c r="CX569" s="28">
        <f t="shared" si="2423"/>
        <v>4389.1187008003899</v>
      </c>
      <c r="CY569" s="20">
        <f>CX569</f>
        <v>4389.1187008003899</v>
      </c>
      <c r="CZ569" s="28">
        <f t="shared" si="2424"/>
        <v>4403.1638806429519</v>
      </c>
      <c r="DA569" s="28">
        <f t="shared" si="2424"/>
        <v>4417.2540050610096</v>
      </c>
      <c r="DB569" s="20">
        <f>DA569</f>
        <v>4417.2540050610096</v>
      </c>
      <c r="DC569" s="28">
        <f t="shared" si="2425"/>
        <v>4431.3892178772048</v>
      </c>
      <c r="DD569" s="28">
        <f t="shared" si="2425"/>
        <v>4445.5696633744119</v>
      </c>
      <c r="DE569" s="20">
        <f>DD569</f>
        <v>4445.5696633744119</v>
      </c>
      <c r="DF569" s="28">
        <f t="shared" si="2426"/>
        <v>4459.7954862972101</v>
      </c>
      <c r="DG569" s="28">
        <f t="shared" si="2426"/>
        <v>4474.0668318533617</v>
      </c>
      <c r="DH569" s="20">
        <f>DG569</f>
        <v>4474.0668318533617</v>
      </c>
      <c r="DI569" s="28">
        <f t="shared" si="2427"/>
        <v>4488.3838457152924</v>
      </c>
      <c r="DJ569" s="28">
        <f t="shared" si="2427"/>
        <v>4502.7466740215814</v>
      </c>
      <c r="DK569" s="20">
        <f>DJ569</f>
        <v>4502.7466740215814</v>
      </c>
      <c r="DL569" s="28">
        <f>DK569*(1+((DL580-DL575)/2))</f>
        <v>4517.1554633784508</v>
      </c>
      <c r="DM569" s="28">
        <f t="shared" si="2428"/>
        <v>4531.6103608612621</v>
      </c>
      <c r="DN569" s="20">
        <f>DM569</f>
        <v>4531.6103608612621</v>
      </c>
      <c r="DO569" s="28">
        <f t="shared" si="2429"/>
        <v>4546.1115140160182</v>
      </c>
      <c r="DP569" s="28">
        <f t="shared" si="2429"/>
        <v>4560.6590708608701</v>
      </c>
      <c r="DQ569" s="20">
        <f>DP569</f>
        <v>4560.6590708608701</v>
      </c>
      <c r="DR569" s="28">
        <f t="shared" si="2430"/>
        <v>4575.2531798876253</v>
      </c>
      <c r="DS569" s="28">
        <f t="shared" si="2430"/>
        <v>4589.8939900632658</v>
      </c>
      <c r="DT569" s="20">
        <f>DS569</f>
        <v>4589.8939900632658</v>
      </c>
      <c r="DU569" s="28">
        <f t="shared" si="2431"/>
        <v>4604.5816508314683</v>
      </c>
      <c r="DV569" s="28">
        <f t="shared" si="2431"/>
        <v>4619.3163121141297</v>
      </c>
      <c r="DW569" s="20">
        <f>DV569</f>
        <v>4619.3163121141297</v>
      </c>
      <c r="DX569" s="28">
        <f t="shared" si="2432"/>
        <v>4634.0981243128954</v>
      </c>
      <c r="DY569" s="28">
        <f t="shared" si="2432"/>
        <v>4648.9272383106972</v>
      </c>
      <c r="DZ569" s="20">
        <f>DY569</f>
        <v>4648.9272383106972</v>
      </c>
      <c r="EA569" s="28">
        <f t="shared" si="2433"/>
        <v>4663.8038054732915</v>
      </c>
      <c r="EB569" s="28">
        <f t="shared" si="2433"/>
        <v>4678.7279776508067</v>
      </c>
      <c r="EC569" s="20">
        <f>EB569</f>
        <v>4678.7279776508067</v>
      </c>
      <c r="ED569" s="28">
        <f t="shared" si="2434"/>
        <v>4693.6999071792898</v>
      </c>
      <c r="EE569" s="28">
        <f t="shared" si="2434"/>
        <v>4708.7197468822642</v>
      </c>
      <c r="EF569" s="20">
        <f>EE569</f>
        <v>4708.7197468822642</v>
      </c>
      <c r="EG569" s="28">
        <f t="shared" si="2435"/>
        <v>4723.7876500722878</v>
      </c>
      <c r="EH569" s="28">
        <f t="shared" si="2435"/>
        <v>4738.9037705525197</v>
      </c>
      <c r="EI569" s="20">
        <f>EH569</f>
        <v>4738.9037705525197</v>
      </c>
      <c r="EJ569" s="28">
        <f t="shared" si="2436"/>
        <v>4754.0682626182879</v>
      </c>
      <c r="EK569" s="28">
        <f t="shared" si="2436"/>
        <v>4769.2812810586665</v>
      </c>
      <c r="EL569" s="20">
        <f>EK569</f>
        <v>4769.2812810586665</v>
      </c>
      <c r="EM569" s="28">
        <f t="shared" si="2437"/>
        <v>4784.5429811580543</v>
      </c>
      <c r="EN569" s="28">
        <f t="shared" si="2437"/>
        <v>4799.8535186977606</v>
      </c>
      <c r="EO569" s="20">
        <f>EN569</f>
        <v>4799.8535186977606</v>
      </c>
      <c r="EP569" s="28">
        <f t="shared" si="2438"/>
        <v>4815.2130499575942</v>
      </c>
      <c r="EQ569" s="28">
        <f t="shared" si="2438"/>
        <v>4830.6217317174587</v>
      </c>
      <c r="ER569" s="20">
        <f>EQ569</f>
        <v>4830.6217317174587</v>
      </c>
      <c r="ES569" s="28">
        <f t="shared" si="2439"/>
        <v>4846.079721258955</v>
      </c>
      <c r="ET569" s="28">
        <f t="shared" si="2440"/>
        <v>4861.5871763669838</v>
      </c>
      <c r="EU569" s="20">
        <f>ET569</f>
        <v>4861.5871763669838</v>
      </c>
      <c r="EV569" s="28">
        <f t="shared" si="2441"/>
        <v>4877.1442553313582</v>
      </c>
      <c r="EW569" s="28">
        <f t="shared" si="2442"/>
        <v>4892.7511169484187</v>
      </c>
      <c r="EX569" s="20">
        <f>EW569</f>
        <v>4892.7511169484187</v>
      </c>
      <c r="EY569" s="28">
        <f t="shared" si="2443"/>
        <v>4908.4079205226544</v>
      </c>
      <c r="EZ569" s="28">
        <f t="shared" si="2444"/>
        <v>4924.114825868327</v>
      </c>
      <c r="FA569" s="20">
        <f>EZ569</f>
        <v>4924.114825868327</v>
      </c>
      <c r="FB569" s="993"/>
      <c r="FC569" s="993"/>
      <c r="FD569" s="993"/>
      <c r="FE569" s="993"/>
      <c r="FH569" s="35"/>
      <c r="FI569" s="35"/>
      <c r="FJ569" s="35"/>
      <c r="FK569" s="35"/>
      <c r="FL569" s="35"/>
      <c r="FM569" s="35"/>
      <c r="FN569" s="35"/>
      <c r="FO569" s="35"/>
      <c r="FP569" s="35"/>
      <c r="FQ569" s="35"/>
    </row>
    <row r="570" spans="1:173" s="321" customFormat="1" hidden="1" outlineLevel="1">
      <c r="A570" s="1168"/>
      <c r="B570" s="186"/>
      <c r="C570" s="186" t="s">
        <v>327</v>
      </c>
      <c r="D570" s="910"/>
      <c r="E570" s="186"/>
      <c r="F570" s="1"/>
      <c r="G570" s="5"/>
      <c r="H570" s="1"/>
      <c r="I570" s="1"/>
      <c r="J570" s="5"/>
      <c r="K570" s="1"/>
      <c r="L570" s="1"/>
      <c r="M570" s="5"/>
      <c r="N570" s="1"/>
      <c r="O570" s="1"/>
      <c r="P570" s="5"/>
      <c r="Q570" s="1"/>
      <c r="R570" s="1"/>
      <c r="S570" s="5"/>
      <c r="T570" s="1"/>
      <c r="U570" s="1"/>
      <c r="V570" s="5"/>
      <c r="W570" s="1"/>
      <c r="X570" s="1"/>
      <c r="Y570" s="5"/>
      <c r="Z570" s="1"/>
      <c r="AA570" s="1"/>
      <c r="AB570" s="5"/>
      <c r="AC570" s="1"/>
      <c r="AD570" s="1"/>
      <c r="AE570" s="5"/>
      <c r="AF570" s="1"/>
      <c r="AG570" s="1"/>
      <c r="AH570" s="5"/>
      <c r="AI570" s="1"/>
      <c r="AJ570" s="1"/>
      <c r="AK570" s="5"/>
      <c r="AL570" s="1"/>
      <c r="AM570" s="1"/>
      <c r="AN570" s="5"/>
      <c r="AO570" s="1"/>
      <c r="AP570" s="1"/>
      <c r="AQ570" s="5"/>
      <c r="AR570" s="1"/>
      <c r="AS570" s="1"/>
      <c r="AT570" s="5"/>
      <c r="AU570" s="1"/>
      <c r="AV570" s="1"/>
      <c r="AW570" s="20">
        <f t="shared" ref="AW570:CB570" si="2445">SUM(AW567:AW569)</f>
        <v>4840.0069999999996</v>
      </c>
      <c r="AX570" s="20">
        <f t="shared" si="2445"/>
        <v>4864.5627398500001</v>
      </c>
      <c r="AY570" s="20">
        <f t="shared" si="2445"/>
        <v>4889.2771107146073</v>
      </c>
      <c r="AZ570" s="20">
        <f t="shared" si="2445"/>
        <v>4889.2771107146073</v>
      </c>
      <c r="BA570" s="28">
        <f t="shared" si="2445"/>
        <v>4914.1511138086789</v>
      </c>
      <c r="BB570" s="28">
        <f t="shared" si="2445"/>
        <v>4939.1857567300131</v>
      </c>
      <c r="BC570" s="49">
        <f t="shared" si="2445"/>
        <v>4939.1857567300131</v>
      </c>
      <c r="BD570" s="28">
        <f t="shared" si="2445"/>
        <v>4964.3820535001105</v>
      </c>
      <c r="BE570" s="28">
        <f t="shared" si="2445"/>
        <v>4989.7410246052004</v>
      </c>
      <c r="BF570" s="49">
        <f t="shared" si="2445"/>
        <v>4989.7410246052004</v>
      </c>
      <c r="BG570" s="28">
        <f t="shared" si="2445"/>
        <v>5015.2636970375224</v>
      </c>
      <c r="BH570" s="28">
        <f t="shared" si="2445"/>
        <v>5040.9511043368784</v>
      </c>
      <c r="BI570" s="49">
        <f t="shared" si="2445"/>
        <v>5040.9511043368784</v>
      </c>
      <c r="BJ570" s="110">
        <f t="shared" si="2445"/>
        <v>5066.8042866324504</v>
      </c>
      <c r="BK570" s="110">
        <f t="shared" si="2445"/>
        <v>5092.8242906848773</v>
      </c>
      <c r="BL570" s="111">
        <f t="shared" si="2445"/>
        <v>5092.8242906848773</v>
      </c>
      <c r="BM570" s="110">
        <f t="shared" si="2445"/>
        <v>5105.9182303067437</v>
      </c>
      <c r="BN570" s="110">
        <f t="shared" si="2445"/>
        <v>5119.0544037641585</v>
      </c>
      <c r="BO570" s="111">
        <f t="shared" si="2445"/>
        <v>5119.0544037641585</v>
      </c>
      <c r="BP570" s="110">
        <f t="shared" si="2445"/>
        <v>5132.2329444208981</v>
      </c>
      <c r="BQ570" s="110">
        <f t="shared" si="2445"/>
        <v>5145.4539860658961</v>
      </c>
      <c r="BR570" s="111">
        <f t="shared" si="2445"/>
        <v>5145.4539860658961</v>
      </c>
      <c r="BS570" s="28">
        <f t="shared" si="2445"/>
        <v>5158.7176629145979</v>
      </c>
      <c r="BT570" s="28">
        <f t="shared" si="2445"/>
        <v>5172.0241096103282</v>
      </c>
      <c r="BU570" s="20">
        <f t="shared" si="2445"/>
        <v>5172.0241096103282</v>
      </c>
      <c r="BV570" s="28">
        <f t="shared" si="2445"/>
        <v>5185.3734612256503</v>
      </c>
      <c r="BW570" s="28">
        <f t="shared" si="2445"/>
        <v>5198.7658532637433</v>
      </c>
      <c r="BX570" s="184">
        <f t="shared" si="2445"/>
        <v>5198.7658532637433</v>
      </c>
      <c r="BY570" s="28">
        <f t="shared" si="2445"/>
        <v>5212.2014216597709</v>
      </c>
      <c r="BZ570" s="28">
        <f t="shared" si="2445"/>
        <v>5225.680302782268</v>
      </c>
      <c r="CA570" s="184">
        <f t="shared" si="2445"/>
        <v>5225.680302782268</v>
      </c>
      <c r="CB570" s="28">
        <f t="shared" si="2445"/>
        <v>5239.2026334345201</v>
      </c>
      <c r="CC570" s="28">
        <f t="shared" ref="CC570:DH570" si="2446">SUM(CC567:CC569)</f>
        <v>5252.7685508559498</v>
      </c>
      <c r="CD570" s="184">
        <f t="shared" si="2446"/>
        <v>5252.7685508559498</v>
      </c>
      <c r="CE570" s="28">
        <f t="shared" si="2446"/>
        <v>5266.3781927235159</v>
      </c>
      <c r="CF570" s="28">
        <f t="shared" si="2446"/>
        <v>5280.0316971531056</v>
      </c>
      <c r="CG570" s="184">
        <f t="shared" si="2446"/>
        <v>5280.0316971531056</v>
      </c>
      <c r="CH570" s="28">
        <f t="shared" si="2446"/>
        <v>5293.7292027009371</v>
      </c>
      <c r="CI570" s="28">
        <f t="shared" si="2446"/>
        <v>5307.4708483649656</v>
      </c>
      <c r="CJ570" s="184">
        <f t="shared" si="2446"/>
        <v>5307.4708483649656</v>
      </c>
      <c r="CK570" s="28">
        <f t="shared" si="2446"/>
        <v>5321.2567735862976</v>
      </c>
      <c r="CL570" s="28">
        <f t="shared" si="2446"/>
        <v>5335.0871182506007</v>
      </c>
      <c r="CM570" s="184">
        <f t="shared" si="2446"/>
        <v>5335.0871182506007</v>
      </c>
      <c r="CN570" s="28">
        <f t="shared" si="2446"/>
        <v>5348.9620226895267</v>
      </c>
      <c r="CO570" s="28">
        <f t="shared" si="2446"/>
        <v>5362.8816276821344</v>
      </c>
      <c r="CP570" s="184">
        <f t="shared" si="2446"/>
        <v>5362.8816276821344</v>
      </c>
      <c r="CQ570" s="28">
        <f t="shared" si="2446"/>
        <v>5376.8460744563199</v>
      </c>
      <c r="CR570" s="28">
        <f t="shared" si="2446"/>
        <v>5390.8555046902466</v>
      </c>
      <c r="CS570" s="184">
        <f t="shared" si="2446"/>
        <v>5390.8555046902466</v>
      </c>
      <c r="CT570" s="28">
        <f t="shared" si="2446"/>
        <v>5404.9100605137901</v>
      </c>
      <c r="CU570" s="28">
        <f t="shared" si="2446"/>
        <v>5419.009884509971</v>
      </c>
      <c r="CV570" s="184">
        <f t="shared" si="2446"/>
        <v>5419.009884509971</v>
      </c>
      <c r="CW570" s="28">
        <f t="shared" si="2446"/>
        <v>5433.1551197164135</v>
      </c>
      <c r="CX570" s="28">
        <f t="shared" si="2446"/>
        <v>5447.3459096267834</v>
      </c>
      <c r="CY570" s="20">
        <f t="shared" si="2446"/>
        <v>5447.3459096267834</v>
      </c>
      <c r="CZ570" s="28">
        <f t="shared" si="2446"/>
        <v>5461.5823981922595</v>
      </c>
      <c r="DA570" s="28">
        <f t="shared" si="2446"/>
        <v>5475.8647298229826</v>
      </c>
      <c r="DB570" s="20">
        <f t="shared" si="2446"/>
        <v>5475.8647298229826</v>
      </c>
      <c r="DC570" s="28">
        <f t="shared" si="2446"/>
        <v>5490.1930493895261</v>
      </c>
      <c r="DD570" s="28">
        <f t="shared" si="2446"/>
        <v>5504.5675022243695</v>
      </c>
      <c r="DE570" s="20">
        <f t="shared" si="2446"/>
        <v>5504.5675022243695</v>
      </c>
      <c r="DF570" s="28">
        <f t="shared" si="2446"/>
        <v>5518.9882341233688</v>
      </c>
      <c r="DG570" s="28">
        <f t="shared" si="2446"/>
        <v>5533.4553913472373</v>
      </c>
      <c r="DH570" s="20">
        <f t="shared" si="2446"/>
        <v>5533.4553913472373</v>
      </c>
      <c r="DI570" s="28">
        <f t="shared" ref="DI570:EF570" si="2447">SUM(DI567:DI569)</f>
        <v>5547.9691206230309</v>
      </c>
      <c r="DJ570" s="28">
        <f t="shared" si="2447"/>
        <v>5562.5295691456377</v>
      </c>
      <c r="DK570" s="20">
        <f t="shared" si="2447"/>
        <v>5562.5295691456377</v>
      </c>
      <c r="DL570" s="28">
        <f t="shared" si="2447"/>
        <v>5577.1368845792731</v>
      </c>
      <c r="DM570" s="28">
        <f t="shared" si="2447"/>
        <v>5591.7912150589755</v>
      </c>
      <c r="DN570" s="20">
        <f t="shared" si="2447"/>
        <v>5591.7912150589755</v>
      </c>
      <c r="DO570" s="28">
        <f t="shared" si="2447"/>
        <v>5606.4927091921136</v>
      </c>
      <c r="DP570" s="28">
        <f t="shared" si="2447"/>
        <v>5621.2415160598921</v>
      </c>
      <c r="DQ570" s="20">
        <f t="shared" si="2447"/>
        <v>5621.2415160598921</v>
      </c>
      <c r="DR570" s="28">
        <f t="shared" si="2447"/>
        <v>5636.0377852188649</v>
      </c>
      <c r="DS570" s="28">
        <f t="shared" si="2447"/>
        <v>5650.8816667024576</v>
      </c>
      <c r="DT570" s="20">
        <f t="shared" si="2447"/>
        <v>5650.8816667024576</v>
      </c>
      <c r="DU570" s="28">
        <f t="shared" si="2447"/>
        <v>5665.7733110224844</v>
      </c>
      <c r="DV570" s="28">
        <f t="shared" si="2447"/>
        <v>5680.7128691706803</v>
      </c>
      <c r="DW570" s="20">
        <f t="shared" si="2447"/>
        <v>5680.7128691706803</v>
      </c>
      <c r="DX570" s="28">
        <f t="shared" si="2447"/>
        <v>5695.7004926202335</v>
      </c>
      <c r="DY570" s="28">
        <f t="shared" si="2447"/>
        <v>5710.7363333273188</v>
      </c>
      <c r="DZ570" s="20">
        <f t="shared" si="2447"/>
        <v>5710.7363333273188</v>
      </c>
      <c r="EA570" s="28">
        <f t="shared" si="2447"/>
        <v>5725.8205437326451</v>
      </c>
      <c r="EB570" s="28">
        <f t="shared" si="2447"/>
        <v>5740.9532767630035</v>
      </c>
      <c r="EC570" s="20">
        <f t="shared" si="2447"/>
        <v>5740.9532767630035</v>
      </c>
      <c r="ED570" s="28">
        <f t="shared" si="2447"/>
        <v>5756.1346858328143</v>
      </c>
      <c r="EE570" s="28">
        <f t="shared" si="2447"/>
        <v>5771.3649248456877</v>
      </c>
      <c r="EF570" s="20">
        <f t="shared" si="2447"/>
        <v>5771.3649248456877</v>
      </c>
      <c r="EG570" s="28">
        <f t="shared" ref="EG570:EL570" si="2448">SUM(EG567:EG569)</f>
        <v>5786.6441481959882</v>
      </c>
      <c r="EH570" s="28">
        <f t="shared" si="2448"/>
        <v>5801.972510770398</v>
      </c>
      <c r="EI570" s="20">
        <f t="shared" si="2448"/>
        <v>5801.972510770398</v>
      </c>
      <c r="EJ570" s="28">
        <f t="shared" si="2448"/>
        <v>5817.3501679494902</v>
      </c>
      <c r="EK570" s="28">
        <f t="shared" si="2448"/>
        <v>5832.7772756093109</v>
      </c>
      <c r="EL570" s="20">
        <f t="shared" si="2448"/>
        <v>5832.7772756093109</v>
      </c>
      <c r="EM570" s="28">
        <f t="shared" ref="EM570:ER570" si="2449">SUM(EM567:EM569)</f>
        <v>5848.2539901229557</v>
      </c>
      <c r="EN570" s="28">
        <f t="shared" si="2449"/>
        <v>5863.7804683621598</v>
      </c>
      <c r="EO570" s="20">
        <f t="shared" si="2449"/>
        <v>5863.7804683621598</v>
      </c>
      <c r="EP570" s="28">
        <f t="shared" si="2449"/>
        <v>5879.3568676988907</v>
      </c>
      <c r="EQ570" s="28">
        <f t="shared" si="2449"/>
        <v>5894.983346006944</v>
      </c>
      <c r="ER570" s="20">
        <f t="shared" si="2449"/>
        <v>5894.983346006944</v>
      </c>
      <c r="ES570" s="28">
        <f t="shared" ref="ES570:EX570" si="2450">SUM(ES567:ES569)</f>
        <v>5910.6600616635496</v>
      </c>
      <c r="ET570" s="28">
        <f t="shared" si="2450"/>
        <v>5926.3871735509783</v>
      </c>
      <c r="EU570" s="20">
        <f t="shared" si="2450"/>
        <v>5926.3871735509783</v>
      </c>
      <c r="EV570" s="28">
        <f t="shared" si="2450"/>
        <v>5942.1648410581511</v>
      </c>
      <c r="EW570" s="28">
        <f t="shared" si="2450"/>
        <v>5957.9932240822654</v>
      </c>
      <c r="EX570" s="20">
        <f t="shared" si="2450"/>
        <v>5957.9932240822654</v>
      </c>
      <c r="EY570" s="28">
        <f t="shared" ref="EY570:FA570" si="2451">SUM(EY567:EY569)</f>
        <v>5973.87248303041</v>
      </c>
      <c r="EZ570" s="28">
        <f t="shared" si="2451"/>
        <v>5989.8027788211994</v>
      </c>
      <c r="FA570" s="20">
        <f t="shared" si="2451"/>
        <v>5989.8027788211994</v>
      </c>
      <c r="FB570" s="993"/>
      <c r="FC570" s="993"/>
      <c r="FD570" s="993"/>
      <c r="FE570" s="993"/>
      <c r="FH570" s="35"/>
      <c r="FI570" s="35"/>
      <c r="FJ570" s="35"/>
      <c r="FK570" s="35"/>
      <c r="FL570" s="35"/>
      <c r="FM570" s="35"/>
      <c r="FN570" s="35"/>
      <c r="FO570" s="35"/>
      <c r="FP570" s="35"/>
      <c r="FQ570" s="35"/>
    </row>
    <row r="571" spans="1:173" s="321" customFormat="1" hidden="1" outlineLevel="1">
      <c r="A571" s="1168"/>
      <c r="B571" s="186"/>
      <c r="C571" s="186"/>
      <c r="D571" s="910"/>
      <c r="E571" s="186"/>
      <c r="F571" s="1"/>
      <c r="G571" s="5"/>
      <c r="H571" s="1"/>
      <c r="I571" s="1"/>
      <c r="J571" s="5"/>
      <c r="K571" s="1"/>
      <c r="L571" s="1"/>
      <c r="M571" s="5"/>
      <c r="N571" s="1"/>
      <c r="O571" s="1"/>
      <c r="P571" s="5"/>
      <c r="Q571" s="1"/>
      <c r="R571" s="1"/>
      <c r="S571" s="5"/>
      <c r="T571" s="1"/>
      <c r="U571" s="1"/>
      <c r="V571" s="5"/>
      <c r="W571" s="1"/>
      <c r="X571" s="1"/>
      <c r="Y571" s="5"/>
      <c r="Z571" s="1"/>
      <c r="AA571" s="1"/>
      <c r="AB571" s="5"/>
      <c r="AC571" s="1"/>
      <c r="AD571" s="1"/>
      <c r="AE571" s="5"/>
      <c r="AF571" s="1"/>
      <c r="AG571" s="1"/>
      <c r="AH571" s="5"/>
      <c r="AI571" s="1"/>
      <c r="AJ571" s="1"/>
      <c r="AK571" s="5"/>
      <c r="AL571" s="1"/>
      <c r="AM571" s="1"/>
      <c r="AN571" s="5"/>
      <c r="AO571" s="1"/>
      <c r="AP571" s="1"/>
      <c r="AQ571" s="5"/>
      <c r="AR571" s="1"/>
      <c r="AS571" s="1"/>
      <c r="AT571" s="5"/>
      <c r="AU571" s="1"/>
      <c r="AV571" s="1"/>
      <c r="AW571" s="5"/>
      <c r="AX571" s="1"/>
      <c r="AY571" s="1"/>
      <c r="AZ571" s="5"/>
      <c r="BA571" s="1"/>
      <c r="BB571" s="1"/>
      <c r="BC571" s="46"/>
      <c r="BD571" s="1"/>
      <c r="BE571" s="1"/>
      <c r="BF571" s="46"/>
      <c r="BG571" s="1"/>
      <c r="BH571" s="1"/>
      <c r="BI571" s="46"/>
      <c r="BJ571" s="108"/>
      <c r="BK571" s="108"/>
      <c r="BL571" s="109"/>
      <c r="BM571" s="108"/>
      <c r="BN571" s="108"/>
      <c r="BO571" s="109"/>
      <c r="BP571" s="108"/>
      <c r="BQ571" s="108"/>
      <c r="BR571" s="109"/>
      <c r="BS571" s="1"/>
      <c r="BT571" s="1"/>
      <c r="BU571" s="5"/>
      <c r="BV571" s="1"/>
      <c r="BW571" s="1"/>
      <c r="BX571" s="186"/>
      <c r="BY571" s="1"/>
      <c r="BZ571" s="1"/>
      <c r="CA571" s="186"/>
      <c r="CB571" s="1"/>
      <c r="CC571" s="1"/>
      <c r="CD571" s="186"/>
      <c r="CE571" s="1"/>
      <c r="CF571" s="1"/>
      <c r="CG571" s="186"/>
      <c r="CH571" s="1"/>
      <c r="CI571" s="67"/>
      <c r="CJ571" s="35"/>
      <c r="CK571" s="67"/>
      <c r="CL571" s="67"/>
      <c r="CM571" s="35"/>
      <c r="CN571" s="1"/>
      <c r="CO571" s="1"/>
      <c r="CP571" s="186"/>
      <c r="CQ571" s="1"/>
      <c r="CR571" s="1"/>
      <c r="CS571" s="186"/>
      <c r="CT571" s="1"/>
      <c r="CU571" s="1"/>
      <c r="CV571" s="186"/>
      <c r="CW571" s="1"/>
      <c r="CX571" s="1"/>
      <c r="CY571" s="5"/>
      <c r="CZ571" s="1"/>
      <c r="DA571" s="1"/>
      <c r="DB571" s="5"/>
      <c r="DC571" s="1"/>
      <c r="DD571" s="1"/>
      <c r="DE571" s="5"/>
      <c r="DF571" s="1"/>
      <c r="DG571" s="1"/>
      <c r="DH571" s="5"/>
      <c r="DI571" s="1"/>
      <c r="DJ571" s="1"/>
      <c r="DK571" s="5"/>
      <c r="DL571" s="1"/>
      <c r="DM571" s="1"/>
      <c r="DN571" s="5"/>
      <c r="DO571" s="1"/>
      <c r="DP571" s="1"/>
      <c r="DQ571" s="5"/>
      <c r="DR571" s="1"/>
      <c r="DS571" s="1"/>
      <c r="DT571" s="5"/>
      <c r="DU571" s="1"/>
      <c r="DV571" s="1"/>
      <c r="DW571" s="5"/>
      <c r="DX571" s="1"/>
      <c r="DY571" s="1"/>
      <c r="DZ571" s="5"/>
      <c r="EA571" s="1"/>
      <c r="EB571" s="1"/>
      <c r="EC571" s="5"/>
      <c r="ED571" s="1"/>
      <c r="EE571" s="1"/>
      <c r="EF571" s="5"/>
      <c r="EG571" s="1"/>
      <c r="EH571" s="1"/>
      <c r="EI571" s="5"/>
      <c r="EJ571" s="1"/>
      <c r="EK571" s="1"/>
      <c r="EL571" s="5"/>
      <c r="EM571" s="1"/>
      <c r="EN571" s="1"/>
      <c r="EO571" s="5"/>
      <c r="EP571" s="1"/>
      <c r="EQ571" s="1"/>
      <c r="ER571" s="5"/>
      <c r="ES571" s="1"/>
      <c r="ET571" s="1"/>
      <c r="EU571" s="5"/>
      <c r="EV571" s="1"/>
      <c r="EW571" s="1"/>
      <c r="EX571" s="5"/>
      <c r="EY571" s="1"/>
      <c r="EZ571" s="1"/>
      <c r="FA571" s="5"/>
      <c r="FH571" s="35"/>
      <c r="FI571" s="35"/>
      <c r="FJ571" s="35"/>
      <c r="FK571" s="35"/>
      <c r="FL571" s="35"/>
      <c r="FM571" s="35"/>
      <c r="FN571" s="35"/>
      <c r="FO571" s="35"/>
      <c r="FP571" s="35"/>
      <c r="FQ571" s="35"/>
    </row>
    <row r="572" spans="1:173" s="321" customFormat="1" hidden="1" outlineLevel="1">
      <c r="A572" s="1168"/>
      <c r="B572" s="186"/>
      <c r="C572" s="331" t="s">
        <v>337</v>
      </c>
      <c r="D572" s="910"/>
      <c r="E572" s="186"/>
      <c r="F572" s="1"/>
      <c r="G572" s="5"/>
      <c r="H572" s="1"/>
      <c r="I572" s="1"/>
      <c r="J572" s="5"/>
      <c r="K572" s="1"/>
      <c r="L572" s="1"/>
      <c r="M572" s="5"/>
      <c r="N572" s="1"/>
      <c r="O572" s="1"/>
      <c r="P572" s="5"/>
      <c r="Q572" s="1"/>
      <c r="R572" s="1"/>
      <c r="S572" s="5"/>
      <c r="T572" s="1"/>
      <c r="U572" s="1"/>
      <c r="V572" s="5"/>
      <c r="W572" s="1"/>
      <c r="X572" s="1"/>
      <c r="Y572" s="5"/>
      <c r="Z572" s="1"/>
      <c r="AA572" s="1"/>
      <c r="AB572" s="5"/>
      <c r="AC572" s="1"/>
      <c r="AD572" s="1"/>
      <c r="AE572" s="5"/>
      <c r="AF572" s="1"/>
      <c r="AG572" s="1"/>
      <c r="AH572" s="5"/>
      <c r="AI572" s="1"/>
      <c r="AJ572" s="1"/>
      <c r="AK572" s="5"/>
      <c r="AL572" s="1"/>
      <c r="AM572" s="1"/>
      <c r="AN572" s="5"/>
      <c r="AO572" s="1"/>
      <c r="AP572" s="1"/>
      <c r="AQ572" s="5"/>
      <c r="AR572" s="1"/>
      <c r="AS572" s="1"/>
      <c r="AT572" s="5"/>
      <c r="AU572" s="1"/>
      <c r="AV572" s="1"/>
      <c r="AW572" s="5"/>
      <c r="AX572" s="1"/>
      <c r="AY572" s="1"/>
      <c r="AZ572" s="5"/>
      <c r="BA572" s="1"/>
      <c r="BB572" s="1"/>
      <c r="BC572" s="46"/>
      <c r="BD572" s="1"/>
      <c r="BE572" s="1"/>
      <c r="BF572" s="46"/>
      <c r="BG572" s="1"/>
      <c r="BH572" s="1"/>
      <c r="BI572" s="46"/>
      <c r="BJ572" s="108"/>
      <c r="BK572" s="108"/>
      <c r="BL572" s="109"/>
      <c r="BM572" s="108"/>
      <c r="BN572" s="108"/>
      <c r="BO572" s="109"/>
      <c r="BP572" s="108"/>
      <c r="BQ572" s="108"/>
      <c r="BR572" s="109"/>
      <c r="BS572" s="1"/>
      <c r="BT572" s="1"/>
      <c r="BU572" s="5"/>
      <c r="BV572" s="1"/>
      <c r="BW572" s="1"/>
      <c r="BX572" s="186"/>
      <c r="BY572" s="1"/>
      <c r="BZ572" s="1"/>
      <c r="CA572" s="186"/>
      <c r="CB572" s="1"/>
      <c r="CC572" s="1"/>
      <c r="CD572" s="186"/>
      <c r="CE572" s="1"/>
      <c r="CF572" s="1"/>
      <c r="CG572" s="186"/>
      <c r="CH572" s="1"/>
      <c r="CI572" s="67"/>
      <c r="CJ572" s="35"/>
      <c r="CK572" s="67"/>
      <c r="CL572" s="67"/>
      <c r="CM572" s="35"/>
      <c r="CN572" s="1"/>
      <c r="CO572" s="1"/>
      <c r="CP572" s="186"/>
      <c r="CQ572" s="1"/>
      <c r="CR572" s="1"/>
      <c r="CS572" s="186"/>
      <c r="CT572" s="1"/>
      <c r="CU572" s="1"/>
      <c r="CV572" s="186"/>
      <c r="CW572" s="1"/>
      <c r="CX572" s="1"/>
      <c r="CY572" s="5"/>
      <c r="CZ572" s="1"/>
      <c r="DA572" s="1"/>
      <c r="DB572" s="5"/>
      <c r="DC572" s="1"/>
      <c r="DD572" s="1"/>
      <c r="DE572" s="5"/>
      <c r="DF572" s="1"/>
      <c r="DG572" s="1"/>
      <c r="DH572" s="5"/>
      <c r="DI572" s="1"/>
      <c r="DJ572" s="1"/>
      <c r="DK572" s="5"/>
      <c r="DL572" s="1"/>
      <c r="DM572" s="1"/>
      <c r="DN572" s="5"/>
      <c r="DO572" s="1"/>
      <c r="DP572" s="1"/>
      <c r="DQ572" s="5"/>
      <c r="DR572" s="1"/>
      <c r="DS572" s="1"/>
      <c r="DT572" s="5"/>
      <c r="DU572" s="1"/>
      <c r="DV572" s="1"/>
      <c r="DW572" s="5"/>
      <c r="DX572" s="1"/>
      <c r="DY572" s="1"/>
      <c r="DZ572" s="5"/>
      <c r="EA572" s="1"/>
      <c r="EB572" s="1"/>
      <c r="EC572" s="5"/>
      <c r="ED572" s="1"/>
      <c r="EE572" s="1"/>
      <c r="EF572" s="5"/>
      <c r="EG572" s="1"/>
      <c r="EH572" s="1"/>
      <c r="EI572" s="5"/>
      <c r="EJ572" s="1"/>
      <c r="EK572" s="1"/>
      <c r="EL572" s="5"/>
      <c r="EM572" s="1"/>
      <c r="EN572" s="1"/>
      <c r="EO572" s="5"/>
      <c r="EP572" s="1"/>
      <c r="EQ572" s="1"/>
      <c r="ER572" s="5"/>
      <c r="ES572" s="1"/>
      <c r="ET572" s="1"/>
      <c r="EU572" s="5"/>
      <c r="EV572" s="1"/>
      <c r="EW572" s="1"/>
      <c r="EX572" s="5"/>
      <c r="EY572" s="1"/>
      <c r="EZ572" s="1"/>
      <c r="FA572" s="5"/>
      <c r="FH572" s="35"/>
      <c r="FI572" s="35"/>
      <c r="FJ572" s="35"/>
      <c r="FK572" s="35"/>
      <c r="FL572" s="35"/>
      <c r="FM572" s="35"/>
      <c r="FN572" s="35"/>
      <c r="FO572" s="35"/>
      <c r="FP572" s="35"/>
      <c r="FQ572" s="35"/>
    </row>
    <row r="573" spans="1:173" s="321" customFormat="1" hidden="1" outlineLevel="1">
      <c r="A573" s="1168"/>
      <c r="B573" s="186"/>
      <c r="C573" s="186" t="s">
        <v>316</v>
      </c>
      <c r="D573" s="910"/>
      <c r="E573" s="186"/>
      <c r="F573" s="1"/>
      <c r="G573" s="5"/>
      <c r="H573" s="1"/>
      <c r="I573" s="1"/>
      <c r="J573" s="5"/>
      <c r="K573" s="1"/>
      <c r="L573" s="1"/>
      <c r="M573" s="5"/>
      <c r="N573" s="1"/>
      <c r="O573" s="1"/>
      <c r="P573" s="5"/>
      <c r="Q573" s="1"/>
      <c r="R573" s="1"/>
      <c r="S573" s="5"/>
      <c r="T573" s="1"/>
      <c r="U573" s="1"/>
      <c r="V573" s="5"/>
      <c r="W573" s="1"/>
      <c r="X573" s="1"/>
      <c r="Y573" s="5"/>
      <c r="Z573" s="1"/>
      <c r="AA573" s="1"/>
      <c r="AB573" s="5"/>
      <c r="AC573" s="1"/>
      <c r="AD573" s="1"/>
      <c r="AE573" s="5"/>
      <c r="AF573" s="1"/>
      <c r="AG573" s="1"/>
      <c r="AH573" s="5"/>
      <c r="AI573" s="1"/>
      <c r="AJ573" s="1"/>
      <c r="AK573" s="5"/>
      <c r="AL573" s="1"/>
      <c r="AM573" s="1"/>
      <c r="AN573" s="5"/>
      <c r="AO573" s="1"/>
      <c r="AP573" s="1"/>
      <c r="AQ573" s="5"/>
      <c r="AR573" s="1"/>
      <c r="AS573" s="1"/>
      <c r="AT573" s="5"/>
      <c r="AU573" s="1"/>
      <c r="AV573" s="1"/>
      <c r="AW573" s="5"/>
      <c r="AX573" s="21">
        <f>AZ573/2</f>
        <v>4.1000000000000003E-3</v>
      </c>
      <c r="AY573" s="217">
        <f>AX573</f>
        <v>4.1000000000000003E-3</v>
      </c>
      <c r="AZ573" s="21">
        <v>8.2000000000000007E-3</v>
      </c>
      <c r="BA573" s="37">
        <f>BC573/2</f>
        <v>4.1000000000000003E-3</v>
      </c>
      <c r="BB573" s="38">
        <f>BA573</f>
        <v>4.1000000000000003E-3</v>
      </c>
      <c r="BC573" s="50">
        <v>8.2000000000000007E-3</v>
      </c>
      <c r="BD573" s="37">
        <f>BF573/2</f>
        <v>4.1000000000000003E-3</v>
      </c>
      <c r="BE573" s="38">
        <f>BD573</f>
        <v>4.1000000000000003E-3</v>
      </c>
      <c r="BF573" s="50">
        <v>8.2000000000000007E-3</v>
      </c>
      <c r="BG573" s="37">
        <f>BI573/2</f>
        <v>4.1000000000000003E-3</v>
      </c>
      <c r="BH573" s="38">
        <f>BG573</f>
        <v>4.1000000000000003E-3</v>
      </c>
      <c r="BI573" s="50">
        <v>8.2000000000000007E-3</v>
      </c>
      <c r="BJ573" s="135">
        <f>BL573/2</f>
        <v>4.1000000000000003E-3</v>
      </c>
      <c r="BK573" s="136">
        <f>BJ573</f>
        <v>4.1000000000000003E-3</v>
      </c>
      <c r="BL573" s="137">
        <v>8.2000000000000007E-3</v>
      </c>
      <c r="BM573" s="135">
        <f>BO573/2</f>
        <v>4.1000000000000003E-3</v>
      </c>
      <c r="BN573" s="136">
        <f>BM573</f>
        <v>4.1000000000000003E-3</v>
      </c>
      <c r="BO573" s="137">
        <v>8.2000000000000007E-3</v>
      </c>
      <c r="BP573" s="135">
        <f>BR573/2</f>
        <v>4.1000000000000003E-3</v>
      </c>
      <c r="BQ573" s="136">
        <f>BP573</f>
        <v>4.1000000000000003E-3</v>
      </c>
      <c r="BR573" s="137">
        <v>8.2000000000000007E-3</v>
      </c>
      <c r="BS573" s="37">
        <f>BU573/2</f>
        <v>4.1000000000000003E-3</v>
      </c>
      <c r="BT573" s="38">
        <f>BS573</f>
        <v>4.1000000000000003E-3</v>
      </c>
      <c r="BU573" s="21">
        <v>8.2000000000000007E-3</v>
      </c>
      <c r="BV573" s="37">
        <f>BX573/2</f>
        <v>4.1000000000000003E-3</v>
      </c>
      <c r="BW573" s="38">
        <f>BV573</f>
        <v>4.1000000000000003E-3</v>
      </c>
      <c r="BX573" s="214">
        <v>8.2000000000000007E-3</v>
      </c>
      <c r="BY573" s="37">
        <f>CA573/2</f>
        <v>4.1000000000000003E-3</v>
      </c>
      <c r="BZ573" s="38">
        <f>BY573</f>
        <v>4.1000000000000003E-3</v>
      </c>
      <c r="CA573" s="214">
        <v>8.2000000000000007E-3</v>
      </c>
      <c r="CB573" s="37">
        <f>CD573/2</f>
        <v>4.1000000000000003E-3</v>
      </c>
      <c r="CC573" s="38">
        <f>CB573</f>
        <v>4.1000000000000003E-3</v>
      </c>
      <c r="CD573" s="214">
        <v>8.2000000000000007E-3</v>
      </c>
      <c r="CE573" s="37">
        <f>CG573/2</f>
        <v>4.1000000000000003E-3</v>
      </c>
      <c r="CF573" s="38">
        <f>CE573</f>
        <v>4.1000000000000003E-3</v>
      </c>
      <c r="CG573" s="214">
        <v>8.2000000000000007E-3</v>
      </c>
      <c r="CH573" s="37">
        <f>CJ573/2</f>
        <v>4.1000000000000003E-3</v>
      </c>
      <c r="CI573" s="38">
        <f>CH573</f>
        <v>4.1000000000000003E-3</v>
      </c>
      <c r="CJ573" s="214">
        <v>8.2000000000000007E-3</v>
      </c>
      <c r="CK573" s="37">
        <f>CM573/2</f>
        <v>4.1000000000000003E-3</v>
      </c>
      <c r="CL573" s="38">
        <f>CK573</f>
        <v>4.1000000000000003E-3</v>
      </c>
      <c r="CM573" s="214">
        <v>8.2000000000000007E-3</v>
      </c>
      <c r="CN573" s="37">
        <f>CP573/2</f>
        <v>4.1000000000000003E-3</v>
      </c>
      <c r="CO573" s="38">
        <f>CN573</f>
        <v>4.1000000000000003E-3</v>
      </c>
      <c r="CP573" s="214">
        <v>8.2000000000000007E-3</v>
      </c>
      <c r="CQ573" s="37">
        <f>CS573/2</f>
        <v>4.1000000000000003E-3</v>
      </c>
      <c r="CR573" s="38">
        <f>CQ573</f>
        <v>4.1000000000000003E-3</v>
      </c>
      <c r="CS573" s="214">
        <v>8.2000000000000007E-3</v>
      </c>
      <c r="CT573" s="37">
        <f>CV573/2</f>
        <v>4.1000000000000003E-3</v>
      </c>
      <c r="CU573" s="38">
        <f>CT573</f>
        <v>4.1000000000000003E-3</v>
      </c>
      <c r="CV573" s="214">
        <v>8.2000000000000007E-3</v>
      </c>
      <c r="CW573" s="37">
        <f>CY573/2</f>
        <v>4.1000000000000003E-3</v>
      </c>
      <c r="CX573" s="38">
        <f>CW573</f>
        <v>4.1000000000000003E-3</v>
      </c>
      <c r="CY573" s="21">
        <v>8.2000000000000007E-3</v>
      </c>
      <c r="CZ573" s="37">
        <f>DB573/2</f>
        <v>4.1000000000000003E-3</v>
      </c>
      <c r="DA573" s="38">
        <f>CZ573</f>
        <v>4.1000000000000003E-3</v>
      </c>
      <c r="DB573" s="21">
        <v>8.2000000000000007E-3</v>
      </c>
      <c r="DC573" s="37">
        <f>DE573/2</f>
        <v>4.1000000000000003E-3</v>
      </c>
      <c r="DD573" s="38">
        <f>DC573</f>
        <v>4.1000000000000003E-3</v>
      </c>
      <c r="DE573" s="21">
        <v>8.2000000000000007E-3</v>
      </c>
      <c r="DF573" s="310">
        <f>DH573/2</f>
        <v>4.1000000000000003E-3</v>
      </c>
      <c r="DG573" s="38">
        <f>DF573</f>
        <v>4.1000000000000003E-3</v>
      </c>
      <c r="DH573" s="21">
        <v>8.2000000000000007E-3</v>
      </c>
      <c r="DI573" s="37">
        <f>DK573/2</f>
        <v>4.1000000000000003E-3</v>
      </c>
      <c r="DJ573" s="38">
        <f>DI573</f>
        <v>4.1000000000000003E-3</v>
      </c>
      <c r="DK573" s="21">
        <v>8.2000000000000007E-3</v>
      </c>
      <c r="DL573" s="37">
        <f>DN573/2</f>
        <v>4.1000000000000003E-3</v>
      </c>
      <c r="DM573" s="38">
        <f>DL573</f>
        <v>4.1000000000000003E-3</v>
      </c>
      <c r="DN573" s="21">
        <v>8.2000000000000007E-3</v>
      </c>
      <c r="DO573" s="37">
        <f>DQ573/2</f>
        <v>4.1000000000000003E-3</v>
      </c>
      <c r="DP573" s="38">
        <f>DO573</f>
        <v>4.1000000000000003E-3</v>
      </c>
      <c r="DQ573" s="21">
        <v>8.2000000000000007E-3</v>
      </c>
      <c r="DR573" s="37">
        <f>DT573/2</f>
        <v>4.1000000000000003E-3</v>
      </c>
      <c r="DS573" s="38">
        <f>DR573</f>
        <v>4.1000000000000003E-3</v>
      </c>
      <c r="DT573" s="21">
        <v>8.2000000000000007E-3</v>
      </c>
      <c r="DU573" s="37">
        <f>DW573/2</f>
        <v>4.1000000000000003E-3</v>
      </c>
      <c r="DV573" s="38">
        <f>DU573</f>
        <v>4.1000000000000003E-3</v>
      </c>
      <c r="DW573" s="21">
        <v>8.2000000000000007E-3</v>
      </c>
      <c r="DX573" s="37">
        <f>DZ573/2</f>
        <v>4.1000000000000003E-3</v>
      </c>
      <c r="DY573" s="38">
        <f>DX573</f>
        <v>4.1000000000000003E-3</v>
      </c>
      <c r="DZ573" s="21">
        <v>8.2000000000000007E-3</v>
      </c>
      <c r="EA573" s="37">
        <f>EC573/2</f>
        <v>4.1000000000000003E-3</v>
      </c>
      <c r="EB573" s="38">
        <f>EA573</f>
        <v>4.1000000000000003E-3</v>
      </c>
      <c r="EC573" s="21">
        <v>8.2000000000000007E-3</v>
      </c>
      <c r="ED573" s="37">
        <f>EF573/2</f>
        <v>4.1000000000000003E-3</v>
      </c>
      <c r="EE573" s="38">
        <f>ED573</f>
        <v>4.1000000000000003E-3</v>
      </c>
      <c r="EF573" s="21">
        <v>8.2000000000000007E-3</v>
      </c>
      <c r="EG573" s="37">
        <f>EI573/2</f>
        <v>4.1000000000000003E-3</v>
      </c>
      <c r="EH573" s="38">
        <f>EG573</f>
        <v>4.1000000000000003E-3</v>
      </c>
      <c r="EI573" s="21">
        <v>8.2000000000000007E-3</v>
      </c>
      <c r="EJ573" s="37">
        <f>EL573/2</f>
        <v>4.1000000000000003E-3</v>
      </c>
      <c r="EK573" s="38">
        <f>EJ573</f>
        <v>4.1000000000000003E-3</v>
      </c>
      <c r="EL573" s="21">
        <v>8.2000000000000007E-3</v>
      </c>
      <c r="EM573" s="37">
        <f>EO573/2</f>
        <v>4.1000000000000003E-3</v>
      </c>
      <c r="EN573" s="38">
        <f>EM573</f>
        <v>4.1000000000000003E-3</v>
      </c>
      <c r="EO573" s="21">
        <v>8.2000000000000007E-3</v>
      </c>
      <c r="EP573" s="37">
        <f>ER573/2</f>
        <v>4.1000000000000003E-3</v>
      </c>
      <c r="EQ573" s="38">
        <f>EP573</f>
        <v>4.1000000000000003E-3</v>
      </c>
      <c r="ER573" s="21">
        <v>8.2000000000000007E-3</v>
      </c>
      <c r="ES573" s="37">
        <f>EU573/2</f>
        <v>4.1000000000000003E-3</v>
      </c>
      <c r="ET573" s="38">
        <f>ES573</f>
        <v>4.1000000000000003E-3</v>
      </c>
      <c r="EU573" s="21">
        <v>8.2000000000000007E-3</v>
      </c>
      <c r="EV573" s="37">
        <f>EX573/2</f>
        <v>4.1000000000000003E-3</v>
      </c>
      <c r="EW573" s="38">
        <f>EV573</f>
        <v>4.1000000000000003E-3</v>
      </c>
      <c r="EX573" s="21">
        <v>8.2000000000000007E-3</v>
      </c>
      <c r="EY573" s="37">
        <f>FA573/2</f>
        <v>4.1000000000000003E-3</v>
      </c>
      <c r="EZ573" s="38">
        <f>EY573</f>
        <v>4.1000000000000003E-3</v>
      </c>
      <c r="FA573" s="21">
        <v>8.2000000000000007E-3</v>
      </c>
      <c r="FH573" s="35"/>
      <c r="FI573" s="35"/>
      <c r="FJ573" s="35"/>
      <c r="FK573" s="35"/>
      <c r="FL573" s="35"/>
      <c r="FM573" s="35"/>
      <c r="FN573" s="35"/>
      <c r="FO573" s="35"/>
      <c r="FP573" s="35"/>
      <c r="FQ573" s="35"/>
    </row>
    <row r="574" spans="1:173" s="321" customFormat="1" hidden="1" outlineLevel="1">
      <c r="A574" s="1168"/>
      <c r="B574" s="186"/>
      <c r="C574" s="186" t="s">
        <v>317</v>
      </c>
      <c r="D574" s="910"/>
      <c r="E574" s="186"/>
      <c r="F574" s="1"/>
      <c r="G574" s="5"/>
      <c r="H574" s="1"/>
      <c r="I574" s="1"/>
      <c r="J574" s="5"/>
      <c r="K574" s="1"/>
      <c r="L574" s="1"/>
      <c r="M574" s="5"/>
      <c r="N574" s="1"/>
      <c r="O574" s="1"/>
      <c r="P574" s="5"/>
      <c r="Q574" s="1"/>
      <c r="R574" s="1"/>
      <c r="S574" s="5"/>
      <c r="T574" s="1"/>
      <c r="U574" s="1"/>
      <c r="V574" s="5"/>
      <c r="W574" s="1"/>
      <c r="X574" s="1"/>
      <c r="Y574" s="5"/>
      <c r="Z574" s="1"/>
      <c r="AA574" s="1"/>
      <c r="AB574" s="5"/>
      <c r="AC574" s="1"/>
      <c r="AD574" s="1"/>
      <c r="AE574" s="5"/>
      <c r="AF574" s="1"/>
      <c r="AG574" s="1"/>
      <c r="AH574" s="5"/>
      <c r="AI574" s="1"/>
      <c r="AJ574" s="1"/>
      <c r="AK574" s="5"/>
      <c r="AL574" s="1"/>
      <c r="AM574" s="1"/>
      <c r="AN574" s="5"/>
      <c r="AO574" s="1"/>
      <c r="AP574" s="1"/>
      <c r="AQ574" s="5"/>
      <c r="AR574" s="1"/>
      <c r="AS574" s="1"/>
      <c r="AT574" s="5"/>
      <c r="AU574" s="1"/>
      <c r="AV574" s="1"/>
      <c r="AW574" s="5"/>
      <c r="AX574" s="21">
        <f>AZ574/2</f>
        <v>5.7499999999999999E-3</v>
      </c>
      <c r="AY574" s="217">
        <f>AX574</f>
        <v>5.7499999999999999E-3</v>
      </c>
      <c r="AZ574" s="21">
        <v>1.15E-2</v>
      </c>
      <c r="BA574" s="37">
        <f>BC574/2</f>
        <v>5.7499999999999999E-3</v>
      </c>
      <c r="BB574" s="38">
        <f>BA574</f>
        <v>5.7499999999999999E-3</v>
      </c>
      <c r="BC574" s="50">
        <v>1.15E-2</v>
      </c>
      <c r="BD574" s="37">
        <f>BF574/2</f>
        <v>5.7499999999999999E-3</v>
      </c>
      <c r="BE574" s="38">
        <f>BD574</f>
        <v>5.7499999999999999E-3</v>
      </c>
      <c r="BF574" s="50">
        <v>1.15E-2</v>
      </c>
      <c r="BG574" s="37">
        <f>BI574/2</f>
        <v>5.7499999999999999E-3</v>
      </c>
      <c r="BH574" s="38">
        <f>BG574</f>
        <v>5.7499999999999999E-3</v>
      </c>
      <c r="BI574" s="50">
        <v>1.15E-2</v>
      </c>
      <c r="BJ574" s="135">
        <f>BL574/2</f>
        <v>5.7499999999999999E-3</v>
      </c>
      <c r="BK574" s="136">
        <f>BJ574</f>
        <v>5.7499999999999999E-3</v>
      </c>
      <c r="BL574" s="137">
        <v>1.15E-2</v>
      </c>
      <c r="BM574" s="135">
        <f>BO574/2</f>
        <v>5.7499999999999999E-3</v>
      </c>
      <c r="BN574" s="136">
        <f>BM574</f>
        <v>5.7499999999999999E-3</v>
      </c>
      <c r="BO574" s="137">
        <v>1.15E-2</v>
      </c>
      <c r="BP574" s="135">
        <f>BR574/2</f>
        <v>5.7499999999999999E-3</v>
      </c>
      <c r="BQ574" s="136">
        <f>BP574</f>
        <v>5.7499999999999999E-3</v>
      </c>
      <c r="BR574" s="137">
        <v>1.15E-2</v>
      </c>
      <c r="BS574" s="37">
        <f>BU574/2</f>
        <v>5.7499999999999999E-3</v>
      </c>
      <c r="BT574" s="38">
        <f>BS574</f>
        <v>5.7499999999999999E-3</v>
      </c>
      <c r="BU574" s="21">
        <v>1.15E-2</v>
      </c>
      <c r="BV574" s="37">
        <f>BX574/2</f>
        <v>5.7499999999999999E-3</v>
      </c>
      <c r="BW574" s="38">
        <f>BV574</f>
        <v>5.7499999999999999E-3</v>
      </c>
      <c r="BX574" s="214">
        <v>1.15E-2</v>
      </c>
      <c r="BY574" s="37">
        <f>CA574/2</f>
        <v>5.7499999999999999E-3</v>
      </c>
      <c r="BZ574" s="38">
        <f>BY574</f>
        <v>5.7499999999999999E-3</v>
      </c>
      <c r="CA574" s="214">
        <v>1.15E-2</v>
      </c>
      <c r="CB574" s="37">
        <f>CD574/2</f>
        <v>5.7499999999999999E-3</v>
      </c>
      <c r="CC574" s="38">
        <f>CB574</f>
        <v>5.7499999999999999E-3</v>
      </c>
      <c r="CD574" s="214">
        <v>1.15E-2</v>
      </c>
      <c r="CE574" s="37">
        <f>CG574/2</f>
        <v>5.7499999999999999E-3</v>
      </c>
      <c r="CF574" s="38">
        <f>CE574</f>
        <v>5.7499999999999999E-3</v>
      </c>
      <c r="CG574" s="214">
        <v>1.15E-2</v>
      </c>
      <c r="CH574" s="37">
        <f>CJ574/2</f>
        <v>5.7499999999999999E-3</v>
      </c>
      <c r="CI574" s="38">
        <f>CH574</f>
        <v>5.7499999999999999E-3</v>
      </c>
      <c r="CJ574" s="214">
        <v>1.15E-2</v>
      </c>
      <c r="CK574" s="37">
        <f>CM574/2</f>
        <v>5.7499999999999999E-3</v>
      </c>
      <c r="CL574" s="38">
        <f>CK574</f>
        <v>5.7499999999999999E-3</v>
      </c>
      <c r="CM574" s="214">
        <v>1.15E-2</v>
      </c>
      <c r="CN574" s="37">
        <f>CP574/2</f>
        <v>5.7499999999999999E-3</v>
      </c>
      <c r="CO574" s="38">
        <f>CN574</f>
        <v>5.7499999999999999E-3</v>
      </c>
      <c r="CP574" s="214">
        <v>1.15E-2</v>
      </c>
      <c r="CQ574" s="37">
        <f>CS574/2</f>
        <v>5.7499999999999999E-3</v>
      </c>
      <c r="CR574" s="38">
        <f>CQ574</f>
        <v>5.7499999999999999E-3</v>
      </c>
      <c r="CS574" s="214">
        <v>1.15E-2</v>
      </c>
      <c r="CT574" s="37">
        <f>CV574/2</f>
        <v>5.7499999999999999E-3</v>
      </c>
      <c r="CU574" s="38">
        <f>CT574</f>
        <v>5.7499999999999999E-3</v>
      </c>
      <c r="CV574" s="214">
        <v>1.15E-2</v>
      </c>
      <c r="CW574" s="37">
        <f>CY574/2</f>
        <v>5.7499999999999999E-3</v>
      </c>
      <c r="CX574" s="38">
        <f>CW574</f>
        <v>5.7499999999999999E-3</v>
      </c>
      <c r="CY574" s="21">
        <v>1.15E-2</v>
      </c>
      <c r="CZ574" s="37">
        <f>DB574/2</f>
        <v>5.7499999999999999E-3</v>
      </c>
      <c r="DA574" s="38">
        <f>CZ574</f>
        <v>5.7499999999999999E-3</v>
      </c>
      <c r="DB574" s="21">
        <v>1.15E-2</v>
      </c>
      <c r="DC574" s="37">
        <f>DE574/2</f>
        <v>5.7499999999999999E-3</v>
      </c>
      <c r="DD574" s="38">
        <f>DC574</f>
        <v>5.7499999999999999E-3</v>
      </c>
      <c r="DE574" s="21">
        <v>1.15E-2</v>
      </c>
      <c r="DF574" s="310">
        <f>DH574/2</f>
        <v>5.7499999999999999E-3</v>
      </c>
      <c r="DG574" s="38">
        <f>DF574</f>
        <v>5.7499999999999999E-3</v>
      </c>
      <c r="DH574" s="21">
        <v>1.15E-2</v>
      </c>
      <c r="DI574" s="37">
        <f>DK574/2</f>
        <v>5.7499999999999999E-3</v>
      </c>
      <c r="DJ574" s="38">
        <f>DI574</f>
        <v>5.7499999999999999E-3</v>
      </c>
      <c r="DK574" s="21">
        <v>1.15E-2</v>
      </c>
      <c r="DL574" s="37">
        <f>DN574/2</f>
        <v>5.7499999999999999E-3</v>
      </c>
      <c r="DM574" s="38">
        <f>DL574</f>
        <v>5.7499999999999999E-3</v>
      </c>
      <c r="DN574" s="21">
        <v>1.15E-2</v>
      </c>
      <c r="DO574" s="37">
        <f>DQ574/2</f>
        <v>5.7499999999999999E-3</v>
      </c>
      <c r="DP574" s="38">
        <f>DO574</f>
        <v>5.7499999999999999E-3</v>
      </c>
      <c r="DQ574" s="21">
        <v>1.15E-2</v>
      </c>
      <c r="DR574" s="37">
        <f>DT574/2</f>
        <v>5.7499999999999999E-3</v>
      </c>
      <c r="DS574" s="38">
        <f>DR574</f>
        <v>5.7499999999999999E-3</v>
      </c>
      <c r="DT574" s="21">
        <v>1.15E-2</v>
      </c>
      <c r="DU574" s="37">
        <f>DW574/2</f>
        <v>5.7499999999999999E-3</v>
      </c>
      <c r="DV574" s="38">
        <f>DU574</f>
        <v>5.7499999999999999E-3</v>
      </c>
      <c r="DW574" s="21">
        <v>1.15E-2</v>
      </c>
      <c r="DX574" s="37">
        <f>DZ574/2</f>
        <v>5.7499999999999999E-3</v>
      </c>
      <c r="DY574" s="38">
        <f>DX574</f>
        <v>5.7499999999999999E-3</v>
      </c>
      <c r="DZ574" s="21">
        <v>1.15E-2</v>
      </c>
      <c r="EA574" s="37">
        <f>EC574/2</f>
        <v>5.7499999999999999E-3</v>
      </c>
      <c r="EB574" s="38">
        <f>EA574</f>
        <v>5.7499999999999999E-3</v>
      </c>
      <c r="EC574" s="21">
        <v>1.15E-2</v>
      </c>
      <c r="ED574" s="37">
        <f>EF574/2</f>
        <v>5.7499999999999999E-3</v>
      </c>
      <c r="EE574" s="38">
        <f>ED574</f>
        <v>5.7499999999999999E-3</v>
      </c>
      <c r="EF574" s="21">
        <v>1.15E-2</v>
      </c>
      <c r="EG574" s="37">
        <f>EI574/2</f>
        <v>5.7499999999999999E-3</v>
      </c>
      <c r="EH574" s="38">
        <f>EG574</f>
        <v>5.7499999999999999E-3</v>
      </c>
      <c r="EI574" s="21">
        <v>1.15E-2</v>
      </c>
      <c r="EJ574" s="37">
        <f>EL574/2</f>
        <v>5.7499999999999999E-3</v>
      </c>
      <c r="EK574" s="38">
        <f>EJ574</f>
        <v>5.7499999999999999E-3</v>
      </c>
      <c r="EL574" s="21">
        <v>1.15E-2</v>
      </c>
      <c r="EM574" s="37">
        <f>EO574/2</f>
        <v>5.7499999999999999E-3</v>
      </c>
      <c r="EN574" s="38">
        <f>EM574</f>
        <v>5.7499999999999999E-3</v>
      </c>
      <c r="EO574" s="21">
        <v>1.15E-2</v>
      </c>
      <c r="EP574" s="37">
        <f>ER574/2</f>
        <v>5.7499999999999999E-3</v>
      </c>
      <c r="EQ574" s="38">
        <f>EP574</f>
        <v>5.7499999999999999E-3</v>
      </c>
      <c r="ER574" s="21">
        <v>1.15E-2</v>
      </c>
      <c r="ES574" s="37">
        <f>EU574/2</f>
        <v>5.7499999999999999E-3</v>
      </c>
      <c r="ET574" s="38">
        <f>ES574</f>
        <v>5.7499999999999999E-3</v>
      </c>
      <c r="EU574" s="21">
        <v>1.15E-2</v>
      </c>
      <c r="EV574" s="37">
        <f>EX574/2</f>
        <v>5.7499999999999999E-3</v>
      </c>
      <c r="EW574" s="38">
        <f>EV574</f>
        <v>5.7499999999999999E-3</v>
      </c>
      <c r="EX574" s="21">
        <v>1.15E-2</v>
      </c>
      <c r="EY574" s="37">
        <f>FA574/2</f>
        <v>5.7499999999999999E-3</v>
      </c>
      <c r="EZ574" s="38">
        <f>EY574</f>
        <v>5.7499999999999999E-3</v>
      </c>
      <c r="FA574" s="21">
        <v>1.15E-2</v>
      </c>
      <c r="FH574" s="35"/>
      <c r="FI574" s="35"/>
      <c r="FJ574" s="35"/>
      <c r="FK574" s="35"/>
      <c r="FL574" s="35"/>
      <c r="FM574" s="35"/>
      <c r="FN574" s="35"/>
      <c r="FO574" s="35"/>
      <c r="FP574" s="35"/>
      <c r="FQ574" s="35"/>
    </row>
    <row r="575" spans="1:173" s="321" customFormat="1" hidden="1" outlineLevel="1">
      <c r="A575" s="1168"/>
      <c r="B575" s="186"/>
      <c r="C575" s="186" t="s">
        <v>431</v>
      </c>
      <c r="D575" s="910"/>
      <c r="E575" s="186"/>
      <c r="F575" s="1"/>
      <c r="G575" s="5"/>
      <c r="H575" s="1"/>
      <c r="I575" s="1"/>
      <c r="J575" s="5"/>
      <c r="K575" s="1"/>
      <c r="L575" s="1"/>
      <c r="M575" s="5"/>
      <c r="N575" s="1"/>
      <c r="O575" s="1"/>
      <c r="P575" s="5"/>
      <c r="Q575" s="1"/>
      <c r="R575" s="1"/>
      <c r="S575" s="5"/>
      <c r="T575" s="1"/>
      <c r="U575" s="1"/>
      <c r="V575" s="5"/>
      <c r="W575" s="1"/>
      <c r="X575" s="1"/>
      <c r="Y575" s="5"/>
      <c r="Z575" s="1"/>
      <c r="AA575" s="1"/>
      <c r="AB575" s="5"/>
      <c r="AC575" s="1"/>
      <c r="AD575" s="1"/>
      <c r="AE575" s="5"/>
      <c r="AF575" s="1"/>
      <c r="AG575" s="1"/>
      <c r="AH575" s="5"/>
      <c r="AI575" s="1"/>
      <c r="AJ575" s="1"/>
      <c r="AK575" s="5"/>
      <c r="AL575" s="1"/>
      <c r="AM575" s="1"/>
      <c r="AN575" s="5"/>
      <c r="AO575" s="1"/>
      <c r="AP575" s="1"/>
      <c r="AQ575" s="5"/>
      <c r="AR575" s="1"/>
      <c r="AS575" s="1"/>
      <c r="AT575" s="5"/>
      <c r="AU575" s="1"/>
      <c r="AV575" s="1"/>
      <c r="AW575" s="5"/>
      <c r="AX575" s="21">
        <f>AZ575/2</f>
        <v>3.8500000000000001E-3</v>
      </c>
      <c r="AY575" s="217">
        <f>AX575</f>
        <v>3.8500000000000001E-3</v>
      </c>
      <c r="AZ575" s="21">
        <v>7.7000000000000002E-3</v>
      </c>
      <c r="BA575" s="37">
        <f>BC575/2</f>
        <v>3.8500000000000001E-3</v>
      </c>
      <c r="BB575" s="38">
        <f>BA575</f>
        <v>3.8500000000000001E-3</v>
      </c>
      <c r="BC575" s="50">
        <v>7.7000000000000002E-3</v>
      </c>
      <c r="BD575" s="37">
        <f>BF575/2</f>
        <v>3.8500000000000001E-3</v>
      </c>
      <c r="BE575" s="38">
        <f>BD575</f>
        <v>3.8500000000000001E-3</v>
      </c>
      <c r="BF575" s="50">
        <v>7.7000000000000002E-3</v>
      </c>
      <c r="BG575" s="37">
        <f>BI575/2</f>
        <v>3.8500000000000001E-3</v>
      </c>
      <c r="BH575" s="38">
        <f>BG575</f>
        <v>3.8500000000000001E-3</v>
      </c>
      <c r="BI575" s="50">
        <v>7.7000000000000002E-3</v>
      </c>
      <c r="BJ575" s="135">
        <f>BL575/2</f>
        <v>3.8500000000000001E-3</v>
      </c>
      <c r="BK575" s="136">
        <f>BJ575</f>
        <v>3.8500000000000001E-3</v>
      </c>
      <c r="BL575" s="137">
        <v>7.7000000000000002E-3</v>
      </c>
      <c r="BM575" s="135">
        <f>BO575/2</f>
        <v>3.8500000000000001E-3</v>
      </c>
      <c r="BN575" s="136">
        <f>BM575</f>
        <v>3.8500000000000001E-3</v>
      </c>
      <c r="BO575" s="137">
        <v>7.7000000000000002E-3</v>
      </c>
      <c r="BP575" s="135">
        <f>BR575/2</f>
        <v>3.8500000000000001E-3</v>
      </c>
      <c r="BQ575" s="136">
        <f>BP575</f>
        <v>3.8500000000000001E-3</v>
      </c>
      <c r="BR575" s="137">
        <v>7.7000000000000002E-3</v>
      </c>
      <c r="BS575" s="37">
        <f>BU575/2</f>
        <v>3.8500000000000001E-3</v>
      </c>
      <c r="BT575" s="38">
        <f>BS575</f>
        <v>3.8500000000000001E-3</v>
      </c>
      <c r="BU575" s="21">
        <v>7.7000000000000002E-3</v>
      </c>
      <c r="BV575" s="37">
        <f>BX575/2</f>
        <v>3.8500000000000001E-3</v>
      </c>
      <c r="BW575" s="38">
        <f>BV575</f>
        <v>3.8500000000000001E-3</v>
      </c>
      <c r="BX575" s="214">
        <v>7.7000000000000002E-3</v>
      </c>
      <c r="BY575" s="37">
        <f>CA575/2</f>
        <v>3.8500000000000001E-3</v>
      </c>
      <c r="BZ575" s="38">
        <f>BY575</f>
        <v>3.8500000000000001E-3</v>
      </c>
      <c r="CA575" s="214">
        <v>7.7000000000000002E-3</v>
      </c>
      <c r="CB575" s="37">
        <f>CD575/2</f>
        <v>3.8500000000000001E-3</v>
      </c>
      <c r="CC575" s="38">
        <f>CB575</f>
        <v>3.8500000000000001E-3</v>
      </c>
      <c r="CD575" s="214">
        <v>7.7000000000000002E-3</v>
      </c>
      <c r="CE575" s="37">
        <f>CG575/2</f>
        <v>3.8500000000000001E-3</v>
      </c>
      <c r="CF575" s="38">
        <f>CE575</f>
        <v>3.8500000000000001E-3</v>
      </c>
      <c r="CG575" s="214">
        <v>7.7000000000000002E-3</v>
      </c>
      <c r="CH575" s="37">
        <f>CJ575/2</f>
        <v>3.8500000000000001E-3</v>
      </c>
      <c r="CI575" s="38">
        <f>CH575</f>
        <v>3.8500000000000001E-3</v>
      </c>
      <c r="CJ575" s="214">
        <v>7.7000000000000002E-3</v>
      </c>
      <c r="CK575" s="37">
        <f>CM575/2</f>
        <v>3.8500000000000001E-3</v>
      </c>
      <c r="CL575" s="38">
        <f>CK575</f>
        <v>3.8500000000000001E-3</v>
      </c>
      <c r="CM575" s="214">
        <v>7.7000000000000002E-3</v>
      </c>
      <c r="CN575" s="37">
        <f>CP575/2</f>
        <v>3.8500000000000001E-3</v>
      </c>
      <c r="CO575" s="38">
        <f>CN575</f>
        <v>3.8500000000000001E-3</v>
      </c>
      <c r="CP575" s="214">
        <v>7.7000000000000002E-3</v>
      </c>
      <c r="CQ575" s="37">
        <f>CS575/2</f>
        <v>3.8500000000000001E-3</v>
      </c>
      <c r="CR575" s="38">
        <f>CQ575</f>
        <v>3.8500000000000001E-3</v>
      </c>
      <c r="CS575" s="214">
        <v>7.7000000000000002E-3</v>
      </c>
      <c r="CT575" s="37">
        <f>CV575/2</f>
        <v>3.8500000000000001E-3</v>
      </c>
      <c r="CU575" s="38">
        <f>CT575</f>
        <v>3.8500000000000001E-3</v>
      </c>
      <c r="CV575" s="214">
        <v>7.7000000000000002E-3</v>
      </c>
      <c r="CW575" s="37">
        <f>CY575/2</f>
        <v>3.8500000000000001E-3</v>
      </c>
      <c r="CX575" s="38">
        <f>CW575</f>
        <v>3.8500000000000001E-3</v>
      </c>
      <c r="CY575" s="21">
        <v>7.7000000000000002E-3</v>
      </c>
      <c r="CZ575" s="37">
        <f>DB575/2</f>
        <v>3.8500000000000001E-3</v>
      </c>
      <c r="DA575" s="38">
        <f>CZ575</f>
        <v>3.8500000000000001E-3</v>
      </c>
      <c r="DB575" s="21">
        <v>7.7000000000000002E-3</v>
      </c>
      <c r="DC575" s="37">
        <f>DE575/2</f>
        <v>3.8500000000000001E-3</v>
      </c>
      <c r="DD575" s="38">
        <f>DC575</f>
        <v>3.8500000000000001E-3</v>
      </c>
      <c r="DE575" s="21">
        <v>7.7000000000000002E-3</v>
      </c>
      <c r="DF575" s="310">
        <f>DH575/2</f>
        <v>3.8500000000000001E-3</v>
      </c>
      <c r="DG575" s="38">
        <f>DF575</f>
        <v>3.8500000000000001E-3</v>
      </c>
      <c r="DH575" s="21">
        <v>7.7000000000000002E-3</v>
      </c>
      <c r="DI575" s="37">
        <f>DK575/2</f>
        <v>3.8500000000000001E-3</v>
      </c>
      <c r="DJ575" s="38">
        <f>DI575</f>
        <v>3.8500000000000001E-3</v>
      </c>
      <c r="DK575" s="21">
        <v>7.7000000000000002E-3</v>
      </c>
      <c r="DL575" s="37">
        <f>DN575/2</f>
        <v>3.8500000000000001E-3</v>
      </c>
      <c r="DM575" s="38">
        <f>DL575</f>
        <v>3.8500000000000001E-3</v>
      </c>
      <c r="DN575" s="21">
        <v>7.7000000000000002E-3</v>
      </c>
      <c r="DO575" s="37">
        <f>DQ575/2</f>
        <v>3.8500000000000001E-3</v>
      </c>
      <c r="DP575" s="38">
        <f>DO575</f>
        <v>3.8500000000000001E-3</v>
      </c>
      <c r="DQ575" s="21">
        <v>7.7000000000000002E-3</v>
      </c>
      <c r="DR575" s="37">
        <f>DT575/2</f>
        <v>3.8500000000000001E-3</v>
      </c>
      <c r="DS575" s="38">
        <f>DR575</f>
        <v>3.8500000000000001E-3</v>
      </c>
      <c r="DT575" s="21">
        <v>7.7000000000000002E-3</v>
      </c>
      <c r="DU575" s="37">
        <f>DW575/2</f>
        <v>3.8500000000000001E-3</v>
      </c>
      <c r="DV575" s="38">
        <f>DU575</f>
        <v>3.8500000000000001E-3</v>
      </c>
      <c r="DW575" s="21">
        <v>7.7000000000000002E-3</v>
      </c>
      <c r="DX575" s="37">
        <f>DZ575/2</f>
        <v>3.8500000000000001E-3</v>
      </c>
      <c r="DY575" s="38">
        <f>DX575</f>
        <v>3.8500000000000001E-3</v>
      </c>
      <c r="DZ575" s="21">
        <v>7.7000000000000002E-3</v>
      </c>
      <c r="EA575" s="37">
        <f>EC575/2</f>
        <v>3.8500000000000001E-3</v>
      </c>
      <c r="EB575" s="38">
        <f>EA575</f>
        <v>3.8500000000000001E-3</v>
      </c>
      <c r="EC575" s="21">
        <v>7.7000000000000002E-3</v>
      </c>
      <c r="ED575" s="37">
        <f>EF575/2</f>
        <v>3.8500000000000001E-3</v>
      </c>
      <c r="EE575" s="38">
        <f>ED575</f>
        <v>3.8500000000000001E-3</v>
      </c>
      <c r="EF575" s="21">
        <v>7.7000000000000002E-3</v>
      </c>
      <c r="EG575" s="37">
        <f>EI575/2</f>
        <v>3.8500000000000001E-3</v>
      </c>
      <c r="EH575" s="38">
        <f>EG575</f>
        <v>3.8500000000000001E-3</v>
      </c>
      <c r="EI575" s="21">
        <v>7.7000000000000002E-3</v>
      </c>
      <c r="EJ575" s="37">
        <f>EL575/2</f>
        <v>3.8500000000000001E-3</v>
      </c>
      <c r="EK575" s="38">
        <f>EJ575</f>
        <v>3.8500000000000001E-3</v>
      </c>
      <c r="EL575" s="21">
        <v>7.7000000000000002E-3</v>
      </c>
      <c r="EM575" s="37">
        <f>EO575/2</f>
        <v>3.8500000000000001E-3</v>
      </c>
      <c r="EN575" s="38">
        <f>EM575</f>
        <v>3.8500000000000001E-3</v>
      </c>
      <c r="EO575" s="21">
        <v>7.7000000000000002E-3</v>
      </c>
      <c r="EP575" s="37">
        <f>ER575/2</f>
        <v>3.8500000000000001E-3</v>
      </c>
      <c r="EQ575" s="38">
        <f>EP575</f>
        <v>3.8500000000000001E-3</v>
      </c>
      <c r="ER575" s="21">
        <v>7.7000000000000002E-3</v>
      </c>
      <c r="ES575" s="37">
        <f>EU575/2</f>
        <v>3.8500000000000001E-3</v>
      </c>
      <c r="ET575" s="38">
        <f>ES575</f>
        <v>3.8500000000000001E-3</v>
      </c>
      <c r="EU575" s="21">
        <v>7.7000000000000002E-3</v>
      </c>
      <c r="EV575" s="37">
        <f>EX575/2</f>
        <v>3.8500000000000001E-3</v>
      </c>
      <c r="EW575" s="38">
        <f>EV575</f>
        <v>3.8500000000000001E-3</v>
      </c>
      <c r="EX575" s="21">
        <v>7.7000000000000002E-3</v>
      </c>
      <c r="EY575" s="37">
        <f>FA575/2</f>
        <v>3.8500000000000001E-3</v>
      </c>
      <c r="EZ575" s="38">
        <f>EY575</f>
        <v>3.8500000000000001E-3</v>
      </c>
      <c r="FA575" s="21">
        <v>7.7000000000000002E-3</v>
      </c>
      <c r="FH575" s="35"/>
      <c r="FI575" s="35"/>
      <c r="FJ575" s="35"/>
      <c r="FK575" s="35"/>
      <c r="FL575" s="35"/>
      <c r="FM575" s="35"/>
      <c r="FN575" s="35"/>
      <c r="FO575" s="35"/>
      <c r="FP575" s="35"/>
      <c r="FQ575" s="35"/>
    </row>
    <row r="576" spans="1:173" s="321" customFormat="1" hidden="1" outlineLevel="1">
      <c r="A576" s="1168"/>
      <c r="B576" s="186"/>
      <c r="C576" s="186"/>
      <c r="D576" s="910"/>
      <c r="E576" s="186"/>
      <c r="F576" s="1"/>
      <c r="G576" s="5"/>
      <c r="H576" s="1"/>
      <c r="I576" s="1"/>
      <c r="J576" s="5"/>
      <c r="K576" s="1"/>
      <c r="L576" s="1"/>
      <c r="M576" s="5"/>
      <c r="N576" s="1"/>
      <c r="O576" s="1"/>
      <c r="P576" s="5"/>
      <c r="Q576" s="1"/>
      <c r="R576" s="1"/>
      <c r="S576" s="5"/>
      <c r="T576" s="1"/>
      <c r="U576" s="1"/>
      <c r="V576" s="5"/>
      <c r="W576" s="1"/>
      <c r="X576" s="1"/>
      <c r="Y576" s="5"/>
      <c r="Z576" s="1"/>
      <c r="AA576" s="1"/>
      <c r="AB576" s="5"/>
      <c r="AC576" s="1"/>
      <c r="AD576" s="1"/>
      <c r="AE576" s="5"/>
      <c r="AF576" s="1"/>
      <c r="AG576" s="1"/>
      <c r="AH576" s="5"/>
      <c r="AI576" s="1"/>
      <c r="AJ576" s="1"/>
      <c r="AK576" s="5"/>
      <c r="AL576" s="1"/>
      <c r="AM576" s="1"/>
      <c r="AN576" s="5"/>
      <c r="AO576" s="1"/>
      <c r="AP576" s="1"/>
      <c r="AQ576" s="5"/>
      <c r="AR576" s="1"/>
      <c r="AS576" s="1"/>
      <c r="AT576" s="5"/>
      <c r="AU576" s="1"/>
      <c r="AV576" s="1"/>
      <c r="AW576" s="5"/>
      <c r="AX576" s="1"/>
      <c r="AY576" s="1"/>
      <c r="AZ576" s="5"/>
      <c r="BA576" s="1"/>
      <c r="BB576" s="1"/>
      <c r="BC576" s="46"/>
      <c r="BD576" s="1"/>
      <c r="BE576" s="1"/>
      <c r="BF576" s="46"/>
      <c r="BG576" s="1"/>
      <c r="BH576" s="1"/>
      <c r="BI576" s="46"/>
      <c r="BJ576" s="108"/>
      <c r="BK576" s="108"/>
      <c r="BL576" s="109"/>
      <c r="BM576" s="108"/>
      <c r="BN576" s="108"/>
      <c r="BO576" s="109"/>
      <c r="BP576" s="108"/>
      <c r="BQ576" s="108"/>
      <c r="BR576" s="109"/>
      <c r="BS576" s="1"/>
      <c r="BT576" s="1"/>
      <c r="BU576" s="5"/>
      <c r="BV576" s="1"/>
      <c r="BW576" s="1"/>
      <c r="BX576" s="186"/>
      <c r="BY576" s="1"/>
      <c r="BZ576" s="1"/>
      <c r="CA576" s="186"/>
      <c r="CB576" s="1"/>
      <c r="CC576" s="1"/>
      <c r="CD576" s="186"/>
      <c r="CE576" s="1"/>
      <c r="CF576" s="1"/>
      <c r="CG576" s="186"/>
      <c r="CH576" s="1"/>
      <c r="CI576" s="67"/>
      <c r="CJ576" s="35"/>
      <c r="CK576" s="67"/>
      <c r="CL576" s="67"/>
      <c r="CM576" s="35"/>
      <c r="CN576" s="1"/>
      <c r="CO576" s="1"/>
      <c r="CP576" s="186"/>
      <c r="CQ576" s="1"/>
      <c r="CR576" s="1"/>
      <c r="CS576" s="186"/>
      <c r="CT576" s="1"/>
      <c r="CU576" s="1"/>
      <c r="CV576" s="186"/>
      <c r="CW576" s="1"/>
      <c r="CX576" s="1"/>
      <c r="CY576" s="5"/>
      <c r="CZ576" s="1"/>
      <c r="DA576" s="1"/>
      <c r="DB576" s="5"/>
      <c r="DC576" s="1"/>
      <c r="DD576" s="1"/>
      <c r="DE576" s="5"/>
      <c r="DF576" s="1"/>
      <c r="DG576" s="1"/>
      <c r="DH576" s="5"/>
      <c r="DI576" s="1"/>
      <c r="DJ576" s="1"/>
      <c r="DK576" s="5"/>
      <c r="DL576" s="1"/>
      <c r="DM576" s="1"/>
      <c r="DN576" s="5"/>
      <c r="DO576" s="1"/>
      <c r="DP576" s="1"/>
      <c r="DQ576" s="5"/>
      <c r="DR576" s="1"/>
      <c r="DS576" s="1"/>
      <c r="DT576" s="5"/>
      <c r="DU576" s="1"/>
      <c r="DV576" s="1"/>
      <c r="DW576" s="5"/>
      <c r="DX576" s="1"/>
      <c r="DY576" s="1"/>
      <c r="DZ576" s="5"/>
      <c r="EA576" s="1"/>
      <c r="EB576" s="1"/>
      <c r="EC576" s="5"/>
      <c r="ED576" s="1"/>
      <c r="EE576" s="1"/>
      <c r="EF576" s="5"/>
      <c r="EG576" s="1"/>
      <c r="EH576" s="1"/>
      <c r="EI576" s="5"/>
      <c r="EJ576" s="1"/>
      <c r="EK576" s="1"/>
      <c r="EL576" s="5"/>
      <c r="EM576" s="1"/>
      <c r="EN576" s="1"/>
      <c r="EO576" s="5"/>
      <c r="EP576" s="1"/>
      <c r="EQ576" s="1"/>
      <c r="ER576" s="5"/>
      <c r="ES576" s="1"/>
      <c r="ET576" s="1"/>
      <c r="EU576" s="5"/>
      <c r="EV576" s="1"/>
      <c r="EW576" s="1"/>
      <c r="EX576" s="5"/>
      <c r="EY576" s="1"/>
      <c r="EZ576" s="1"/>
      <c r="FA576" s="5"/>
      <c r="FH576" s="35"/>
      <c r="FI576" s="35"/>
      <c r="FJ576" s="35"/>
      <c r="FK576" s="35"/>
      <c r="FL576" s="35"/>
      <c r="FM576" s="35"/>
      <c r="FN576" s="35"/>
      <c r="FO576" s="35"/>
      <c r="FP576" s="35"/>
      <c r="FQ576" s="35"/>
    </row>
    <row r="577" spans="1:173" s="321" customFormat="1" hidden="1" outlineLevel="1">
      <c r="A577" s="1168"/>
      <c r="B577" s="186"/>
      <c r="C577" s="331" t="s">
        <v>338</v>
      </c>
      <c r="D577" s="910"/>
      <c r="E577" s="186"/>
      <c r="F577" s="1"/>
      <c r="G577" s="5"/>
      <c r="H577" s="1"/>
      <c r="I577" s="1"/>
      <c r="J577" s="5"/>
      <c r="K577" s="1"/>
      <c r="L577" s="1"/>
      <c r="M577" s="5"/>
      <c r="N577" s="1"/>
      <c r="O577" s="1"/>
      <c r="P577" s="5"/>
      <c r="Q577" s="1"/>
      <c r="R577" s="1"/>
      <c r="S577" s="5"/>
      <c r="T577" s="1"/>
      <c r="U577" s="1"/>
      <c r="V577" s="5"/>
      <c r="W577" s="1"/>
      <c r="X577" s="1"/>
      <c r="Y577" s="5"/>
      <c r="Z577" s="1"/>
      <c r="AA577" s="1"/>
      <c r="AB577" s="5"/>
      <c r="AC577" s="1"/>
      <c r="AD577" s="1"/>
      <c r="AE577" s="5"/>
      <c r="AF577" s="1"/>
      <c r="AG577" s="1"/>
      <c r="AH577" s="5"/>
      <c r="AI577" s="1"/>
      <c r="AJ577" s="1"/>
      <c r="AK577" s="5"/>
      <c r="AL577" s="1"/>
      <c r="AM577" s="1"/>
      <c r="AN577" s="5"/>
      <c r="AO577" s="1"/>
      <c r="AP577" s="1"/>
      <c r="AQ577" s="5"/>
      <c r="AR577" s="1"/>
      <c r="AS577" s="1"/>
      <c r="AT577" s="5"/>
      <c r="AU577" s="1"/>
      <c r="AV577" s="1"/>
      <c r="AW577" s="5"/>
      <c r="AX577" s="1"/>
      <c r="AY577" s="1"/>
      <c r="AZ577" s="5"/>
      <c r="BA577" s="1"/>
      <c r="BB577" s="1"/>
      <c r="BC577" s="46"/>
      <c r="BD577" s="1"/>
      <c r="BE577" s="1"/>
      <c r="BF577" s="46"/>
      <c r="BG577" s="1"/>
      <c r="BH577" s="1"/>
      <c r="BI577" s="46"/>
      <c r="BJ577" s="108"/>
      <c r="BK577" s="108"/>
      <c r="BL577" s="109"/>
      <c r="BM577" s="108"/>
      <c r="BN577" s="108"/>
      <c r="BO577" s="109"/>
      <c r="BP577" s="108"/>
      <c r="BQ577" s="108"/>
      <c r="BR577" s="109"/>
      <c r="BS577" s="1"/>
      <c r="BT577" s="1"/>
      <c r="BU577" s="5"/>
      <c r="BV577" s="1"/>
      <c r="BW577" s="1"/>
      <c r="BX577" s="186"/>
      <c r="BY577" s="1"/>
      <c r="BZ577" s="1"/>
      <c r="CA577" s="186"/>
      <c r="CB577" s="1"/>
      <c r="CC577" s="1"/>
      <c r="CD577" s="186"/>
      <c r="CE577" s="1"/>
      <c r="CF577" s="1"/>
      <c r="CG577" s="186"/>
      <c r="CH577" s="1"/>
      <c r="CI577" s="67"/>
      <c r="CJ577" s="35"/>
      <c r="CK577" s="67"/>
      <c r="CL577" s="67"/>
      <c r="CM577" s="35"/>
      <c r="CN577" s="1"/>
      <c r="CO577" s="1"/>
      <c r="CP577" s="186"/>
      <c r="CQ577" s="1"/>
      <c r="CR577" s="1"/>
      <c r="CS577" s="186"/>
      <c r="CT577" s="1"/>
      <c r="CU577" s="1"/>
      <c r="CV577" s="186"/>
      <c r="CW577" s="1"/>
      <c r="CX577" s="1"/>
      <c r="CY577" s="5"/>
      <c r="CZ577" s="1"/>
      <c r="DA577" s="1"/>
      <c r="DB577" s="5"/>
      <c r="DC577" s="1"/>
      <c r="DD577" s="1"/>
      <c r="DE577" s="5"/>
      <c r="DF577" s="1"/>
      <c r="DG577" s="1"/>
      <c r="DH577" s="5"/>
      <c r="DI577" s="1"/>
      <c r="DJ577" s="1"/>
      <c r="DK577" s="5"/>
      <c r="DL577" s="1"/>
      <c r="DM577" s="1"/>
      <c r="DN577" s="5"/>
      <c r="DO577" s="1"/>
      <c r="DP577" s="1"/>
      <c r="DQ577" s="5"/>
      <c r="DR577" s="1"/>
      <c r="DS577" s="1"/>
      <c r="DT577" s="5"/>
      <c r="DU577" s="1"/>
      <c r="DV577" s="1"/>
      <c r="DW577" s="5"/>
      <c r="DX577" s="1"/>
      <c r="DY577" s="1"/>
      <c r="DZ577" s="5"/>
      <c r="EA577" s="1"/>
      <c r="EB577" s="1"/>
      <c r="EC577" s="5"/>
      <c r="ED577" s="1"/>
      <c r="EE577" s="1"/>
      <c r="EF577" s="5"/>
      <c r="EG577" s="1"/>
      <c r="EH577" s="1"/>
      <c r="EI577" s="5"/>
      <c r="EJ577" s="1"/>
      <c r="EK577" s="1"/>
      <c r="EL577" s="5"/>
      <c r="EM577" s="1"/>
      <c r="EN577" s="1"/>
      <c r="EO577" s="5"/>
      <c r="EP577" s="1"/>
      <c r="EQ577" s="1"/>
      <c r="ER577" s="5"/>
      <c r="ES577" s="1"/>
      <c r="ET577" s="1"/>
      <c r="EU577" s="5"/>
      <c r="EV577" s="1"/>
      <c r="EW577" s="1"/>
      <c r="EX577" s="5"/>
      <c r="EY577" s="1"/>
      <c r="EZ577" s="1"/>
      <c r="FA577" s="5"/>
      <c r="FH577" s="35"/>
      <c r="FI577" s="35"/>
      <c r="FJ577" s="35"/>
      <c r="FK577" s="35"/>
      <c r="FL577" s="35"/>
      <c r="FM577" s="35"/>
      <c r="FN577" s="35"/>
      <c r="FO577" s="35"/>
      <c r="FP577" s="35"/>
      <c r="FQ577" s="35"/>
    </row>
    <row r="578" spans="1:173" s="321" customFormat="1" hidden="1" outlineLevel="1">
      <c r="A578" s="1168"/>
      <c r="B578" s="186"/>
      <c r="C578" s="186" t="s">
        <v>316</v>
      </c>
      <c r="D578" s="910"/>
      <c r="E578" s="186"/>
      <c r="F578" s="1"/>
      <c r="G578" s="5"/>
      <c r="H578" s="1"/>
      <c r="I578" s="1"/>
      <c r="J578" s="5"/>
      <c r="K578" s="1"/>
      <c r="L578" s="1"/>
      <c r="M578" s="5"/>
      <c r="N578" s="1"/>
      <c r="O578" s="1"/>
      <c r="P578" s="5"/>
      <c r="Q578" s="1"/>
      <c r="R578" s="1"/>
      <c r="S578" s="5"/>
      <c r="T578" s="1"/>
      <c r="U578" s="1"/>
      <c r="V578" s="5"/>
      <c r="W578" s="1"/>
      <c r="X578" s="1"/>
      <c r="Y578" s="5"/>
      <c r="Z578" s="1"/>
      <c r="AA578" s="1"/>
      <c r="AB578" s="5"/>
      <c r="AC578" s="1"/>
      <c r="AD578" s="1"/>
      <c r="AE578" s="5"/>
      <c r="AF578" s="1"/>
      <c r="AG578" s="1"/>
      <c r="AH578" s="5"/>
      <c r="AI578" s="1"/>
      <c r="AJ578" s="1"/>
      <c r="AK578" s="5"/>
      <c r="AL578" s="1"/>
      <c r="AM578" s="1"/>
      <c r="AN578" s="5"/>
      <c r="AO578" s="1"/>
      <c r="AP578" s="1"/>
      <c r="AQ578" s="5"/>
      <c r="AR578" s="1"/>
      <c r="AS578" s="1"/>
      <c r="AT578" s="5"/>
      <c r="AU578" s="1"/>
      <c r="AV578" s="1"/>
      <c r="AW578" s="5"/>
      <c r="AX578" s="21">
        <f>AZ578/2</f>
        <v>7.0499999999999998E-3</v>
      </c>
      <c r="AY578" s="21">
        <f>AX578</f>
        <v>7.0499999999999998E-3</v>
      </c>
      <c r="AZ578" s="21">
        <v>1.41E-2</v>
      </c>
      <c r="BA578" s="37">
        <f>BC578/2</f>
        <v>7.0499999999999998E-3</v>
      </c>
      <c r="BB578" s="37">
        <f>BA578</f>
        <v>7.0499999999999998E-3</v>
      </c>
      <c r="BC578" s="50">
        <f>AZ578</f>
        <v>1.41E-2</v>
      </c>
      <c r="BD578" s="37">
        <f>BF578/2</f>
        <v>7.0499999999999998E-3</v>
      </c>
      <c r="BE578" s="37">
        <f>BD578</f>
        <v>7.0499999999999998E-3</v>
      </c>
      <c r="BF578" s="50">
        <f>BC578</f>
        <v>1.41E-2</v>
      </c>
      <c r="BG578" s="37">
        <f>BI578/2</f>
        <v>7.0499999999999998E-3</v>
      </c>
      <c r="BH578" s="37">
        <f>BG578</f>
        <v>7.0499999999999998E-3</v>
      </c>
      <c r="BI578" s="50">
        <f>BF578</f>
        <v>1.41E-2</v>
      </c>
      <c r="BJ578" s="135">
        <f>BL578/2</f>
        <v>7.0499999999999998E-3</v>
      </c>
      <c r="BK578" s="135">
        <f>BJ578</f>
        <v>7.0499999999999998E-3</v>
      </c>
      <c r="BL578" s="137">
        <f>BI578</f>
        <v>1.41E-2</v>
      </c>
      <c r="BM578" s="135">
        <f>BO578/2</f>
        <v>7.0499999999999998E-3</v>
      </c>
      <c r="BN578" s="135">
        <f>BM578</f>
        <v>7.0499999999999998E-3</v>
      </c>
      <c r="BO578" s="137">
        <f>BL578</f>
        <v>1.41E-2</v>
      </c>
      <c r="BP578" s="135">
        <f>BR578/2</f>
        <v>7.0499999999999998E-3</v>
      </c>
      <c r="BQ578" s="135">
        <f>BP578</f>
        <v>7.0499999999999998E-3</v>
      </c>
      <c r="BR578" s="137">
        <f>BO578</f>
        <v>1.41E-2</v>
      </c>
      <c r="BS578" s="37">
        <f>BU578/2</f>
        <v>7.0499999999999998E-3</v>
      </c>
      <c r="BT578" s="37">
        <f>BS578</f>
        <v>7.0499999999999998E-3</v>
      </c>
      <c r="BU578" s="21">
        <f>BR578</f>
        <v>1.41E-2</v>
      </c>
      <c r="BV578" s="37">
        <f>BX578/2</f>
        <v>7.0499999999999998E-3</v>
      </c>
      <c r="BW578" s="37">
        <f>BV578</f>
        <v>7.0499999999999998E-3</v>
      </c>
      <c r="BX578" s="214">
        <f>BU578</f>
        <v>1.41E-2</v>
      </c>
      <c r="BY578" s="37">
        <f>CA578/2</f>
        <v>7.0499999999999998E-3</v>
      </c>
      <c r="BZ578" s="37">
        <f>BY578</f>
        <v>7.0499999999999998E-3</v>
      </c>
      <c r="CA578" s="214">
        <f>BX578</f>
        <v>1.41E-2</v>
      </c>
      <c r="CB578" s="37">
        <f>CD578/2</f>
        <v>7.0499999999999998E-3</v>
      </c>
      <c r="CC578" s="37">
        <f>CB578</f>
        <v>7.0499999999999998E-3</v>
      </c>
      <c r="CD578" s="214">
        <f>CA578</f>
        <v>1.41E-2</v>
      </c>
      <c r="CE578" s="37">
        <f>CG578/2</f>
        <v>7.0499999999999998E-3</v>
      </c>
      <c r="CF578" s="37">
        <f>CE578</f>
        <v>7.0499999999999998E-3</v>
      </c>
      <c r="CG578" s="214">
        <f>CD578</f>
        <v>1.41E-2</v>
      </c>
      <c r="CH578" s="37">
        <f>CJ578/2</f>
        <v>7.0499999999999998E-3</v>
      </c>
      <c r="CI578" s="37">
        <f>CH578</f>
        <v>7.0499999999999998E-3</v>
      </c>
      <c r="CJ578" s="214">
        <f>CG578</f>
        <v>1.41E-2</v>
      </c>
      <c r="CK578" s="37">
        <f>CM578/2</f>
        <v>7.0499999999999998E-3</v>
      </c>
      <c r="CL578" s="37">
        <f>CK578</f>
        <v>7.0499999999999998E-3</v>
      </c>
      <c r="CM578" s="214">
        <f>CJ578</f>
        <v>1.41E-2</v>
      </c>
      <c r="CN578" s="37">
        <f>CP578/2</f>
        <v>7.0499999999999998E-3</v>
      </c>
      <c r="CO578" s="37">
        <f>CN578</f>
        <v>7.0499999999999998E-3</v>
      </c>
      <c r="CP578" s="214">
        <f>CM578</f>
        <v>1.41E-2</v>
      </c>
      <c r="CQ578" s="37">
        <f>CS578/2</f>
        <v>7.0499999999999998E-3</v>
      </c>
      <c r="CR578" s="37">
        <f>CQ578</f>
        <v>7.0499999999999998E-3</v>
      </c>
      <c r="CS578" s="214">
        <f>CP578</f>
        <v>1.41E-2</v>
      </c>
      <c r="CT578" s="37">
        <f>CV578/2</f>
        <v>7.0499999999999998E-3</v>
      </c>
      <c r="CU578" s="37">
        <f>CT578</f>
        <v>7.0499999999999998E-3</v>
      </c>
      <c r="CV578" s="214">
        <f>CS578</f>
        <v>1.41E-2</v>
      </c>
      <c r="CW578" s="37">
        <f>CY578/2</f>
        <v>7.0499999999999998E-3</v>
      </c>
      <c r="CX578" s="37">
        <f>CW578</f>
        <v>7.0499999999999998E-3</v>
      </c>
      <c r="CY578" s="21">
        <f>CV578</f>
        <v>1.41E-2</v>
      </c>
      <c r="CZ578" s="37">
        <f>DB578/2</f>
        <v>7.0499999999999998E-3</v>
      </c>
      <c r="DA578" s="37">
        <f>CZ578</f>
        <v>7.0499999999999998E-3</v>
      </c>
      <c r="DB578" s="21">
        <f>CY578</f>
        <v>1.41E-2</v>
      </c>
      <c r="DC578" s="37">
        <f>DE578/2</f>
        <v>7.0499999999999998E-3</v>
      </c>
      <c r="DD578" s="37">
        <f>DC578</f>
        <v>7.0499999999999998E-3</v>
      </c>
      <c r="DE578" s="21">
        <f>DB578</f>
        <v>1.41E-2</v>
      </c>
      <c r="DF578" s="310">
        <f>DH578/2</f>
        <v>7.0499999999999998E-3</v>
      </c>
      <c r="DG578" s="310">
        <f>DF578</f>
        <v>7.0499999999999998E-3</v>
      </c>
      <c r="DH578" s="21">
        <f>DE578</f>
        <v>1.41E-2</v>
      </c>
      <c r="DI578" s="37">
        <f>DK578/2</f>
        <v>7.0499999999999998E-3</v>
      </c>
      <c r="DJ578" s="37">
        <f>DI578</f>
        <v>7.0499999999999998E-3</v>
      </c>
      <c r="DK578" s="21">
        <f>DH578</f>
        <v>1.41E-2</v>
      </c>
      <c r="DL578" s="37">
        <f>DN578/2</f>
        <v>7.0499999999999998E-3</v>
      </c>
      <c r="DM578" s="37">
        <f>DL578</f>
        <v>7.0499999999999998E-3</v>
      </c>
      <c r="DN578" s="21">
        <f>DK578</f>
        <v>1.41E-2</v>
      </c>
      <c r="DO578" s="37">
        <f>DQ578/2</f>
        <v>7.0499999999999998E-3</v>
      </c>
      <c r="DP578" s="37">
        <f>DO578</f>
        <v>7.0499999999999998E-3</v>
      </c>
      <c r="DQ578" s="21">
        <f>DN578</f>
        <v>1.41E-2</v>
      </c>
      <c r="DR578" s="37">
        <f>DT578/2</f>
        <v>7.0499999999999998E-3</v>
      </c>
      <c r="DS578" s="37">
        <f>DR578</f>
        <v>7.0499999999999998E-3</v>
      </c>
      <c r="DT578" s="21">
        <f>DQ578</f>
        <v>1.41E-2</v>
      </c>
      <c r="DU578" s="37">
        <f>DW578/2</f>
        <v>7.0499999999999998E-3</v>
      </c>
      <c r="DV578" s="37">
        <f>DU578</f>
        <v>7.0499999999999998E-3</v>
      </c>
      <c r="DW578" s="21">
        <f>DT578</f>
        <v>1.41E-2</v>
      </c>
      <c r="DX578" s="37">
        <f>DZ578/2</f>
        <v>7.0499999999999998E-3</v>
      </c>
      <c r="DY578" s="37">
        <f>DX578</f>
        <v>7.0499999999999998E-3</v>
      </c>
      <c r="DZ578" s="21">
        <f>DW578</f>
        <v>1.41E-2</v>
      </c>
      <c r="EA578" s="37">
        <f>EC578/2</f>
        <v>7.0499999999999998E-3</v>
      </c>
      <c r="EB578" s="37">
        <f>EA578</f>
        <v>7.0499999999999998E-3</v>
      </c>
      <c r="EC578" s="21">
        <f>DZ578</f>
        <v>1.41E-2</v>
      </c>
      <c r="ED578" s="37">
        <f>EF578/2</f>
        <v>7.0499999999999998E-3</v>
      </c>
      <c r="EE578" s="37">
        <f>ED578</f>
        <v>7.0499999999999998E-3</v>
      </c>
      <c r="EF578" s="21">
        <f>EC578</f>
        <v>1.41E-2</v>
      </c>
      <c r="EG578" s="37">
        <f>EI578/2</f>
        <v>7.0499999999999998E-3</v>
      </c>
      <c r="EH578" s="37">
        <f>EG578</f>
        <v>7.0499999999999998E-3</v>
      </c>
      <c r="EI578" s="21">
        <f>EF578</f>
        <v>1.41E-2</v>
      </c>
      <c r="EJ578" s="37">
        <f>EL578/2</f>
        <v>7.0499999999999998E-3</v>
      </c>
      <c r="EK578" s="37">
        <f>EJ578</f>
        <v>7.0499999999999998E-3</v>
      </c>
      <c r="EL578" s="21">
        <f>EI578</f>
        <v>1.41E-2</v>
      </c>
      <c r="EM578" s="37">
        <f>EO578/2</f>
        <v>7.0499999999999998E-3</v>
      </c>
      <c r="EN578" s="37">
        <f>EM578</f>
        <v>7.0499999999999998E-3</v>
      </c>
      <c r="EO578" s="21">
        <f>EL578</f>
        <v>1.41E-2</v>
      </c>
      <c r="EP578" s="37">
        <f>ER578/2</f>
        <v>7.0499999999999998E-3</v>
      </c>
      <c r="EQ578" s="37">
        <f>EP578</f>
        <v>7.0499999999999998E-3</v>
      </c>
      <c r="ER578" s="21">
        <f>EO578</f>
        <v>1.41E-2</v>
      </c>
      <c r="ES578" s="37">
        <f>EU578/2</f>
        <v>7.0499999999999998E-3</v>
      </c>
      <c r="ET578" s="37">
        <f>ES578</f>
        <v>7.0499999999999998E-3</v>
      </c>
      <c r="EU578" s="21">
        <f>ER578</f>
        <v>1.41E-2</v>
      </c>
      <c r="EV578" s="37">
        <f>EX578/2</f>
        <v>7.0499999999999998E-3</v>
      </c>
      <c r="EW578" s="37">
        <f>EV578</f>
        <v>7.0499999999999998E-3</v>
      </c>
      <c r="EX578" s="21">
        <f>EU578</f>
        <v>1.41E-2</v>
      </c>
      <c r="EY578" s="37">
        <f>FA578/2</f>
        <v>7.0499999999999998E-3</v>
      </c>
      <c r="EZ578" s="37">
        <f>EY578</f>
        <v>7.0499999999999998E-3</v>
      </c>
      <c r="FA578" s="21">
        <f>EX578</f>
        <v>1.41E-2</v>
      </c>
      <c r="FH578" s="35"/>
      <c r="FI578" s="35"/>
      <c r="FJ578" s="35"/>
      <c r="FK578" s="35"/>
      <c r="FL578" s="35"/>
      <c r="FM578" s="35"/>
      <c r="FN578" s="35"/>
      <c r="FO578" s="35"/>
      <c r="FP578" s="35"/>
      <c r="FQ578" s="35"/>
    </row>
    <row r="579" spans="1:173" s="321" customFormat="1" hidden="1" outlineLevel="1">
      <c r="A579" s="1168"/>
      <c r="B579" s="186"/>
      <c r="C579" s="186" t="s">
        <v>317</v>
      </c>
      <c r="D579" s="910"/>
      <c r="E579" s="1"/>
      <c r="F579" s="1"/>
      <c r="G579" s="5"/>
      <c r="H579" s="1"/>
      <c r="I579" s="1"/>
      <c r="J579" s="5"/>
      <c r="K579" s="1"/>
      <c r="L579" s="1"/>
      <c r="M579" s="5"/>
      <c r="N579" s="1"/>
      <c r="O579" s="1"/>
      <c r="P579" s="5"/>
      <c r="Q579" s="1"/>
      <c r="R579" s="1"/>
      <c r="S579" s="5"/>
      <c r="T579" s="1"/>
      <c r="U579" s="1"/>
      <c r="V579" s="5"/>
      <c r="W579" s="1"/>
      <c r="X579" s="1"/>
      <c r="Y579" s="5"/>
      <c r="Z579" s="1"/>
      <c r="AA579" s="1"/>
      <c r="AB579" s="5"/>
      <c r="AC579" s="1"/>
      <c r="AD579" s="1"/>
      <c r="AE579" s="5"/>
      <c r="AF579" s="1"/>
      <c r="AG579" s="1"/>
      <c r="AH579" s="5"/>
      <c r="AI579" s="1"/>
      <c r="AJ579" s="1"/>
      <c r="AK579" s="5"/>
      <c r="AL579" s="1"/>
      <c r="AM579" s="1"/>
      <c r="AN579" s="5"/>
      <c r="AO579" s="1"/>
      <c r="AP579" s="1"/>
      <c r="AQ579" s="5"/>
      <c r="AR579" s="1"/>
      <c r="AS579" s="1"/>
      <c r="AT579" s="5"/>
      <c r="AU579" s="1"/>
      <c r="AV579" s="1"/>
      <c r="AW579" s="5"/>
      <c r="AX579" s="21">
        <f>AZ579/2</f>
        <v>4.8500000000000001E-3</v>
      </c>
      <c r="AY579" s="21">
        <f>AX579</f>
        <v>4.8500000000000001E-3</v>
      </c>
      <c r="AZ579" s="21">
        <v>9.7000000000000003E-3</v>
      </c>
      <c r="BA579" s="37">
        <f>BC579/2</f>
        <v>4.8500000000000001E-3</v>
      </c>
      <c r="BB579" s="37">
        <f>BA579</f>
        <v>4.8500000000000001E-3</v>
      </c>
      <c r="BC579" s="50">
        <f>AZ579</f>
        <v>9.7000000000000003E-3</v>
      </c>
      <c r="BD579" s="37">
        <f>BF579/2</f>
        <v>4.8500000000000001E-3</v>
      </c>
      <c r="BE579" s="37">
        <f>BD579</f>
        <v>4.8500000000000001E-3</v>
      </c>
      <c r="BF579" s="50">
        <f>BC579</f>
        <v>9.7000000000000003E-3</v>
      </c>
      <c r="BG579" s="37">
        <f>BI579/2</f>
        <v>4.8500000000000001E-3</v>
      </c>
      <c r="BH579" s="37">
        <f>BG579</f>
        <v>4.8500000000000001E-3</v>
      </c>
      <c r="BI579" s="50">
        <f>BF579</f>
        <v>9.7000000000000003E-3</v>
      </c>
      <c r="BJ579" s="135">
        <f>BL579/2</f>
        <v>4.8500000000000001E-3</v>
      </c>
      <c r="BK579" s="135">
        <f>BJ579</f>
        <v>4.8500000000000001E-3</v>
      </c>
      <c r="BL579" s="137">
        <f>BI579</f>
        <v>9.7000000000000003E-3</v>
      </c>
      <c r="BM579" s="135">
        <f>BO579/2</f>
        <v>4.8500000000000001E-3</v>
      </c>
      <c r="BN579" s="135">
        <f>BM579</f>
        <v>4.8500000000000001E-3</v>
      </c>
      <c r="BO579" s="137">
        <f>BL579</f>
        <v>9.7000000000000003E-3</v>
      </c>
      <c r="BP579" s="135">
        <f>BR579/2</f>
        <v>4.8500000000000001E-3</v>
      </c>
      <c r="BQ579" s="135">
        <f>BP579</f>
        <v>4.8500000000000001E-3</v>
      </c>
      <c r="BR579" s="137">
        <f>BO579</f>
        <v>9.7000000000000003E-3</v>
      </c>
      <c r="BS579" s="37">
        <f>BU579/2</f>
        <v>4.8500000000000001E-3</v>
      </c>
      <c r="BT579" s="37">
        <f>BS579</f>
        <v>4.8500000000000001E-3</v>
      </c>
      <c r="BU579" s="21">
        <f>BR579</f>
        <v>9.7000000000000003E-3</v>
      </c>
      <c r="BV579" s="37">
        <f>BX579/2</f>
        <v>4.8500000000000001E-3</v>
      </c>
      <c r="BW579" s="37">
        <f>BV579</f>
        <v>4.8500000000000001E-3</v>
      </c>
      <c r="BX579" s="214">
        <f>BU579</f>
        <v>9.7000000000000003E-3</v>
      </c>
      <c r="BY579" s="37">
        <f>CA579/2</f>
        <v>4.8500000000000001E-3</v>
      </c>
      <c r="BZ579" s="37">
        <f>BY579</f>
        <v>4.8500000000000001E-3</v>
      </c>
      <c r="CA579" s="214">
        <f>BX579</f>
        <v>9.7000000000000003E-3</v>
      </c>
      <c r="CB579" s="37">
        <f>CD579/2</f>
        <v>4.8500000000000001E-3</v>
      </c>
      <c r="CC579" s="37">
        <f>CB579</f>
        <v>4.8500000000000001E-3</v>
      </c>
      <c r="CD579" s="214">
        <f>CA579</f>
        <v>9.7000000000000003E-3</v>
      </c>
      <c r="CE579" s="37">
        <f>CG579/2</f>
        <v>4.8500000000000001E-3</v>
      </c>
      <c r="CF579" s="37">
        <f>CE579</f>
        <v>4.8500000000000001E-3</v>
      </c>
      <c r="CG579" s="214">
        <f>CD579</f>
        <v>9.7000000000000003E-3</v>
      </c>
      <c r="CH579" s="37">
        <f>CJ579/2</f>
        <v>4.8500000000000001E-3</v>
      </c>
      <c r="CI579" s="37">
        <f>CH579</f>
        <v>4.8500000000000001E-3</v>
      </c>
      <c r="CJ579" s="214">
        <f>CG579</f>
        <v>9.7000000000000003E-3</v>
      </c>
      <c r="CK579" s="37">
        <f>CM579/2</f>
        <v>4.8500000000000001E-3</v>
      </c>
      <c r="CL579" s="37">
        <f>CK579</f>
        <v>4.8500000000000001E-3</v>
      </c>
      <c r="CM579" s="214">
        <f>CJ579</f>
        <v>9.7000000000000003E-3</v>
      </c>
      <c r="CN579" s="37">
        <f>CP579/2</f>
        <v>4.8500000000000001E-3</v>
      </c>
      <c r="CO579" s="37">
        <f>CN579</f>
        <v>4.8500000000000001E-3</v>
      </c>
      <c r="CP579" s="214">
        <f>CM579</f>
        <v>9.7000000000000003E-3</v>
      </c>
      <c r="CQ579" s="37">
        <f>CS579/2</f>
        <v>4.8500000000000001E-3</v>
      </c>
      <c r="CR579" s="37">
        <f>CQ579</f>
        <v>4.8500000000000001E-3</v>
      </c>
      <c r="CS579" s="214">
        <f>CP579</f>
        <v>9.7000000000000003E-3</v>
      </c>
      <c r="CT579" s="37">
        <f>CV579/2</f>
        <v>4.8500000000000001E-3</v>
      </c>
      <c r="CU579" s="37">
        <f>CT579</f>
        <v>4.8500000000000001E-3</v>
      </c>
      <c r="CV579" s="214">
        <f>CS579</f>
        <v>9.7000000000000003E-3</v>
      </c>
      <c r="CW579" s="37">
        <f>CY579/2</f>
        <v>4.8500000000000001E-3</v>
      </c>
      <c r="CX579" s="37">
        <f>CW579</f>
        <v>4.8500000000000001E-3</v>
      </c>
      <c r="CY579" s="21">
        <f>CV579</f>
        <v>9.7000000000000003E-3</v>
      </c>
      <c r="CZ579" s="37">
        <f>DB579/2</f>
        <v>4.8500000000000001E-3</v>
      </c>
      <c r="DA579" s="37">
        <f>CZ579</f>
        <v>4.8500000000000001E-3</v>
      </c>
      <c r="DB579" s="21">
        <f>CY579</f>
        <v>9.7000000000000003E-3</v>
      </c>
      <c r="DC579" s="37">
        <f>DE579/2</f>
        <v>4.8500000000000001E-3</v>
      </c>
      <c r="DD579" s="37">
        <f>DC579</f>
        <v>4.8500000000000001E-3</v>
      </c>
      <c r="DE579" s="21">
        <f>DB579</f>
        <v>9.7000000000000003E-3</v>
      </c>
      <c r="DF579" s="310">
        <f>DH579/2</f>
        <v>4.8500000000000001E-3</v>
      </c>
      <c r="DG579" s="310">
        <f>DF579</f>
        <v>4.8500000000000001E-3</v>
      </c>
      <c r="DH579" s="21">
        <f>DE579</f>
        <v>9.7000000000000003E-3</v>
      </c>
      <c r="DI579" s="37">
        <f>DK579/2</f>
        <v>4.8500000000000001E-3</v>
      </c>
      <c r="DJ579" s="37">
        <f>DI579</f>
        <v>4.8500000000000001E-3</v>
      </c>
      <c r="DK579" s="21">
        <f>DH579</f>
        <v>9.7000000000000003E-3</v>
      </c>
      <c r="DL579" s="37">
        <f>DN579/2</f>
        <v>4.8500000000000001E-3</v>
      </c>
      <c r="DM579" s="37">
        <f>DL579</f>
        <v>4.8500000000000001E-3</v>
      </c>
      <c r="DN579" s="21">
        <f>DK579</f>
        <v>9.7000000000000003E-3</v>
      </c>
      <c r="DO579" s="37">
        <f>DQ579/2</f>
        <v>4.8500000000000001E-3</v>
      </c>
      <c r="DP579" s="37">
        <f>DO579</f>
        <v>4.8500000000000001E-3</v>
      </c>
      <c r="DQ579" s="21">
        <f>DN579</f>
        <v>9.7000000000000003E-3</v>
      </c>
      <c r="DR579" s="37">
        <f>DT579/2</f>
        <v>4.8500000000000001E-3</v>
      </c>
      <c r="DS579" s="37">
        <f>DR579</f>
        <v>4.8500000000000001E-3</v>
      </c>
      <c r="DT579" s="21">
        <f>DQ579</f>
        <v>9.7000000000000003E-3</v>
      </c>
      <c r="DU579" s="37">
        <f>DW579/2</f>
        <v>4.8500000000000001E-3</v>
      </c>
      <c r="DV579" s="37">
        <f>DU579</f>
        <v>4.8500000000000001E-3</v>
      </c>
      <c r="DW579" s="21">
        <f>DT579</f>
        <v>9.7000000000000003E-3</v>
      </c>
      <c r="DX579" s="37">
        <f>DZ579/2</f>
        <v>4.8500000000000001E-3</v>
      </c>
      <c r="DY579" s="37">
        <f>DX579</f>
        <v>4.8500000000000001E-3</v>
      </c>
      <c r="DZ579" s="21">
        <f>DW579</f>
        <v>9.7000000000000003E-3</v>
      </c>
      <c r="EA579" s="37">
        <f>EC579/2</f>
        <v>4.8500000000000001E-3</v>
      </c>
      <c r="EB579" s="37">
        <f>EA579</f>
        <v>4.8500000000000001E-3</v>
      </c>
      <c r="EC579" s="21">
        <f>DZ579</f>
        <v>9.7000000000000003E-3</v>
      </c>
      <c r="ED579" s="37">
        <f>EF579/2</f>
        <v>4.8500000000000001E-3</v>
      </c>
      <c r="EE579" s="37">
        <f>ED579</f>
        <v>4.8500000000000001E-3</v>
      </c>
      <c r="EF579" s="21">
        <f>EC579</f>
        <v>9.7000000000000003E-3</v>
      </c>
      <c r="EG579" s="37">
        <f>EI579/2</f>
        <v>4.8500000000000001E-3</v>
      </c>
      <c r="EH579" s="37">
        <f>EG579</f>
        <v>4.8500000000000001E-3</v>
      </c>
      <c r="EI579" s="21">
        <f>EF579</f>
        <v>9.7000000000000003E-3</v>
      </c>
      <c r="EJ579" s="37">
        <f>EL579/2</f>
        <v>4.8500000000000001E-3</v>
      </c>
      <c r="EK579" s="37">
        <f>EJ579</f>
        <v>4.8500000000000001E-3</v>
      </c>
      <c r="EL579" s="21">
        <f>EI579</f>
        <v>9.7000000000000003E-3</v>
      </c>
      <c r="EM579" s="37">
        <f>EO579/2</f>
        <v>4.8500000000000001E-3</v>
      </c>
      <c r="EN579" s="37">
        <f>EM579</f>
        <v>4.8500000000000001E-3</v>
      </c>
      <c r="EO579" s="21">
        <f>EL579</f>
        <v>9.7000000000000003E-3</v>
      </c>
      <c r="EP579" s="37">
        <f>ER579/2</f>
        <v>4.8500000000000001E-3</v>
      </c>
      <c r="EQ579" s="37">
        <f>EP579</f>
        <v>4.8500000000000001E-3</v>
      </c>
      <c r="ER579" s="21">
        <f>EO579</f>
        <v>9.7000000000000003E-3</v>
      </c>
      <c r="ES579" s="37">
        <f>EU579/2</f>
        <v>4.8500000000000001E-3</v>
      </c>
      <c r="ET579" s="37">
        <f>ES579</f>
        <v>4.8500000000000001E-3</v>
      </c>
      <c r="EU579" s="21">
        <f>ER579</f>
        <v>9.7000000000000003E-3</v>
      </c>
      <c r="EV579" s="37">
        <f>EX579/2</f>
        <v>4.8500000000000001E-3</v>
      </c>
      <c r="EW579" s="37">
        <f>EV579</f>
        <v>4.8500000000000001E-3</v>
      </c>
      <c r="EX579" s="21">
        <f>EU579</f>
        <v>9.7000000000000003E-3</v>
      </c>
      <c r="EY579" s="37">
        <f>FA579/2</f>
        <v>4.8500000000000001E-3</v>
      </c>
      <c r="EZ579" s="37">
        <f>EY579</f>
        <v>4.8500000000000001E-3</v>
      </c>
      <c r="FA579" s="21">
        <f>EX579</f>
        <v>9.7000000000000003E-3</v>
      </c>
      <c r="FH579" s="35"/>
      <c r="FI579" s="35"/>
      <c r="FJ579" s="35"/>
      <c r="FK579" s="35"/>
      <c r="FL579" s="35"/>
      <c r="FM579" s="35"/>
      <c r="FN579" s="35"/>
      <c r="FO579" s="35"/>
      <c r="FP579" s="35"/>
      <c r="FQ579" s="35"/>
    </row>
    <row r="580" spans="1:173" s="321" customFormat="1" hidden="1" outlineLevel="1">
      <c r="A580" s="1168"/>
      <c r="B580" s="331"/>
      <c r="C580" s="186" t="s">
        <v>431</v>
      </c>
      <c r="D580" s="910"/>
      <c r="E580" s="1"/>
      <c r="F580" s="1"/>
      <c r="G580" s="5"/>
      <c r="H580" s="1"/>
      <c r="I580" s="1"/>
      <c r="J580" s="5"/>
      <c r="K580" s="1"/>
      <c r="L580" s="1"/>
      <c r="M580" s="5"/>
      <c r="N580" s="1"/>
      <c r="O580" s="1"/>
      <c r="P580" s="5"/>
      <c r="Q580" s="1"/>
      <c r="R580" s="1"/>
      <c r="S580" s="5"/>
      <c r="T580" s="1"/>
      <c r="U580" s="1"/>
      <c r="V580" s="5"/>
      <c r="W580" s="1"/>
      <c r="X580" s="1"/>
      <c r="Y580" s="5"/>
      <c r="Z580" s="1"/>
      <c r="AA580" s="1"/>
      <c r="AB580" s="5"/>
      <c r="AC580" s="1"/>
      <c r="AD580" s="1"/>
      <c r="AE580" s="5"/>
      <c r="AF580" s="1"/>
      <c r="AG580" s="1"/>
      <c r="AH580" s="5"/>
      <c r="AI580" s="1"/>
      <c r="AJ580" s="1"/>
      <c r="AK580" s="5"/>
      <c r="AL580" s="1"/>
      <c r="AM580" s="1"/>
      <c r="AN580" s="5"/>
      <c r="AO580" s="1"/>
      <c r="AP580" s="1"/>
      <c r="AQ580" s="5"/>
      <c r="AR580" s="1"/>
      <c r="AS580" s="1"/>
      <c r="AT580" s="5"/>
      <c r="AU580" s="1"/>
      <c r="AV580" s="1"/>
      <c r="AW580" s="5"/>
      <c r="AX580" s="21">
        <f>AZ580/2</f>
        <v>1.025E-2</v>
      </c>
      <c r="AY580" s="21">
        <f>AX580</f>
        <v>1.025E-2</v>
      </c>
      <c r="AZ580" s="214">
        <v>2.0500000000000001E-2</v>
      </c>
      <c r="BA580" s="37">
        <f>BC580/2</f>
        <v>1.025E-2</v>
      </c>
      <c r="BB580" s="37">
        <f>BA580</f>
        <v>1.025E-2</v>
      </c>
      <c r="BC580" s="50">
        <f>AZ580</f>
        <v>2.0500000000000001E-2</v>
      </c>
      <c r="BD580" s="37">
        <f>BF580/2</f>
        <v>1.025E-2</v>
      </c>
      <c r="BE580" s="37">
        <f>BD580</f>
        <v>1.025E-2</v>
      </c>
      <c r="BF580" s="50">
        <f>BC580</f>
        <v>2.0500000000000001E-2</v>
      </c>
      <c r="BG580" s="37">
        <f>BI580/2</f>
        <v>1.025E-2</v>
      </c>
      <c r="BH580" s="37">
        <f>BG580</f>
        <v>1.025E-2</v>
      </c>
      <c r="BI580" s="50">
        <f>BF580</f>
        <v>2.0500000000000001E-2</v>
      </c>
      <c r="BJ580" s="135">
        <f>BL580/2</f>
        <v>1.025E-2</v>
      </c>
      <c r="BK580" s="135">
        <f>BJ580</f>
        <v>1.025E-2</v>
      </c>
      <c r="BL580" s="137">
        <f>BI580</f>
        <v>2.0500000000000001E-2</v>
      </c>
      <c r="BM580" s="135">
        <f>BO580/2</f>
        <v>1.025E-2</v>
      </c>
      <c r="BN580" s="135">
        <f>BM580</f>
        <v>1.025E-2</v>
      </c>
      <c r="BO580" s="137">
        <f>BL580</f>
        <v>2.0500000000000001E-2</v>
      </c>
      <c r="BP580" s="135">
        <f>BR580/2</f>
        <v>1.025E-2</v>
      </c>
      <c r="BQ580" s="135">
        <f>BP580</f>
        <v>1.025E-2</v>
      </c>
      <c r="BR580" s="137">
        <f>BO580</f>
        <v>2.0500000000000001E-2</v>
      </c>
      <c r="BS580" s="37">
        <f>BU580/2</f>
        <v>1.025E-2</v>
      </c>
      <c r="BT580" s="37">
        <f>BS580</f>
        <v>1.025E-2</v>
      </c>
      <c r="BU580" s="21">
        <f>BR580</f>
        <v>2.0500000000000001E-2</v>
      </c>
      <c r="BV580" s="37">
        <f>BX580/2</f>
        <v>1.025E-2</v>
      </c>
      <c r="BW580" s="37">
        <f>BV580</f>
        <v>1.025E-2</v>
      </c>
      <c r="BX580" s="214">
        <f>BU580</f>
        <v>2.0500000000000001E-2</v>
      </c>
      <c r="BY580" s="37">
        <f>CA580/2</f>
        <v>1.025E-2</v>
      </c>
      <c r="BZ580" s="37">
        <f>BY580</f>
        <v>1.025E-2</v>
      </c>
      <c r="CA580" s="214">
        <f>BX580</f>
        <v>2.0500000000000001E-2</v>
      </c>
      <c r="CB580" s="37">
        <f>CD580/2</f>
        <v>1.025E-2</v>
      </c>
      <c r="CC580" s="37">
        <f>CB580</f>
        <v>1.025E-2</v>
      </c>
      <c r="CD580" s="214">
        <f>CA580</f>
        <v>2.0500000000000001E-2</v>
      </c>
      <c r="CE580" s="37">
        <f>CG580/2</f>
        <v>1.025E-2</v>
      </c>
      <c r="CF580" s="37">
        <f>CE580</f>
        <v>1.025E-2</v>
      </c>
      <c r="CG580" s="214">
        <f>CD580</f>
        <v>2.0500000000000001E-2</v>
      </c>
      <c r="CH580" s="37">
        <f>CJ580/2</f>
        <v>1.025E-2</v>
      </c>
      <c r="CI580" s="37">
        <f>CH580</f>
        <v>1.025E-2</v>
      </c>
      <c r="CJ580" s="214">
        <f>CG580</f>
        <v>2.0500000000000001E-2</v>
      </c>
      <c r="CK580" s="37">
        <f>CM580/2</f>
        <v>1.025E-2</v>
      </c>
      <c r="CL580" s="37">
        <f>CK580</f>
        <v>1.025E-2</v>
      </c>
      <c r="CM580" s="214">
        <f>CJ580</f>
        <v>2.0500000000000001E-2</v>
      </c>
      <c r="CN580" s="37">
        <f>CP580/2</f>
        <v>1.025E-2</v>
      </c>
      <c r="CO580" s="37">
        <f>CN580</f>
        <v>1.025E-2</v>
      </c>
      <c r="CP580" s="214">
        <f>CM580</f>
        <v>2.0500000000000001E-2</v>
      </c>
      <c r="CQ580" s="37">
        <f>CS580/2</f>
        <v>1.025E-2</v>
      </c>
      <c r="CR580" s="37">
        <f>CQ580</f>
        <v>1.025E-2</v>
      </c>
      <c r="CS580" s="214">
        <f>CP580</f>
        <v>2.0500000000000001E-2</v>
      </c>
      <c r="CT580" s="37">
        <f>CV580/2</f>
        <v>1.025E-2</v>
      </c>
      <c r="CU580" s="37">
        <f>CT580</f>
        <v>1.025E-2</v>
      </c>
      <c r="CV580" s="214">
        <f>CS580</f>
        <v>2.0500000000000001E-2</v>
      </c>
      <c r="CW580" s="37">
        <f>CY580/2</f>
        <v>1.025E-2</v>
      </c>
      <c r="CX580" s="37">
        <f>CW580</f>
        <v>1.025E-2</v>
      </c>
      <c r="CY580" s="21">
        <f>CV580</f>
        <v>2.0500000000000001E-2</v>
      </c>
      <c r="CZ580" s="37">
        <f>DB580/2</f>
        <v>1.025E-2</v>
      </c>
      <c r="DA580" s="37">
        <f>CZ580</f>
        <v>1.025E-2</v>
      </c>
      <c r="DB580" s="21">
        <f>CY580</f>
        <v>2.0500000000000001E-2</v>
      </c>
      <c r="DC580" s="37">
        <f>DE580/2</f>
        <v>1.025E-2</v>
      </c>
      <c r="DD580" s="37">
        <f>DC580</f>
        <v>1.025E-2</v>
      </c>
      <c r="DE580" s="21">
        <f>DB580</f>
        <v>2.0500000000000001E-2</v>
      </c>
      <c r="DF580" s="310">
        <f>DH580/2</f>
        <v>1.025E-2</v>
      </c>
      <c r="DG580" s="310">
        <f>DF580</f>
        <v>1.025E-2</v>
      </c>
      <c r="DH580" s="21">
        <f>DE580</f>
        <v>2.0500000000000001E-2</v>
      </c>
      <c r="DI580" s="37">
        <f>DK580/2</f>
        <v>1.025E-2</v>
      </c>
      <c r="DJ580" s="37">
        <f>DI580</f>
        <v>1.025E-2</v>
      </c>
      <c r="DK580" s="21">
        <f>DH580</f>
        <v>2.0500000000000001E-2</v>
      </c>
      <c r="DL580" s="37">
        <f>DN580/2</f>
        <v>1.025E-2</v>
      </c>
      <c r="DM580" s="37">
        <f>DL580</f>
        <v>1.025E-2</v>
      </c>
      <c r="DN580" s="21">
        <f>DK580</f>
        <v>2.0500000000000001E-2</v>
      </c>
      <c r="DO580" s="37">
        <f>DQ580/2</f>
        <v>1.025E-2</v>
      </c>
      <c r="DP580" s="37">
        <f>DO580</f>
        <v>1.025E-2</v>
      </c>
      <c r="DQ580" s="21">
        <f>DN580</f>
        <v>2.0500000000000001E-2</v>
      </c>
      <c r="DR580" s="37">
        <f>DT580/2</f>
        <v>1.025E-2</v>
      </c>
      <c r="DS580" s="37">
        <f>DR580</f>
        <v>1.025E-2</v>
      </c>
      <c r="DT580" s="21">
        <f>DQ580</f>
        <v>2.0500000000000001E-2</v>
      </c>
      <c r="DU580" s="37">
        <f>DW580/2</f>
        <v>1.025E-2</v>
      </c>
      <c r="DV580" s="37">
        <f>DU580</f>
        <v>1.025E-2</v>
      </c>
      <c r="DW580" s="21">
        <f>DT580</f>
        <v>2.0500000000000001E-2</v>
      </c>
      <c r="DX580" s="37">
        <f>DZ580/2</f>
        <v>1.025E-2</v>
      </c>
      <c r="DY580" s="37">
        <f>DX580</f>
        <v>1.025E-2</v>
      </c>
      <c r="DZ580" s="21">
        <f>DW580</f>
        <v>2.0500000000000001E-2</v>
      </c>
      <c r="EA580" s="37">
        <f>EC580/2</f>
        <v>1.025E-2</v>
      </c>
      <c r="EB580" s="37">
        <f>EA580</f>
        <v>1.025E-2</v>
      </c>
      <c r="EC580" s="21">
        <f>DZ580</f>
        <v>2.0500000000000001E-2</v>
      </c>
      <c r="ED580" s="37">
        <f>EF580/2</f>
        <v>1.025E-2</v>
      </c>
      <c r="EE580" s="37">
        <f>ED580</f>
        <v>1.025E-2</v>
      </c>
      <c r="EF580" s="21">
        <f>EC580</f>
        <v>2.0500000000000001E-2</v>
      </c>
      <c r="EG580" s="37">
        <f>EI580/2</f>
        <v>1.025E-2</v>
      </c>
      <c r="EH580" s="37">
        <f>EG580</f>
        <v>1.025E-2</v>
      </c>
      <c r="EI580" s="21">
        <f>EF580</f>
        <v>2.0500000000000001E-2</v>
      </c>
      <c r="EJ580" s="37">
        <f>EL580/2</f>
        <v>1.025E-2</v>
      </c>
      <c r="EK580" s="37">
        <f>EJ580</f>
        <v>1.025E-2</v>
      </c>
      <c r="EL580" s="21">
        <f>EI580</f>
        <v>2.0500000000000001E-2</v>
      </c>
      <c r="EM580" s="37">
        <f>EO580/2</f>
        <v>1.025E-2</v>
      </c>
      <c r="EN580" s="37">
        <f>EM580</f>
        <v>1.025E-2</v>
      </c>
      <c r="EO580" s="21">
        <f>EL580</f>
        <v>2.0500000000000001E-2</v>
      </c>
      <c r="EP580" s="37">
        <f>ER580/2</f>
        <v>1.025E-2</v>
      </c>
      <c r="EQ580" s="37">
        <f>EP580</f>
        <v>1.025E-2</v>
      </c>
      <c r="ER580" s="21">
        <f>EO580</f>
        <v>2.0500000000000001E-2</v>
      </c>
      <c r="ES580" s="37">
        <f>EU580/2</f>
        <v>1.025E-2</v>
      </c>
      <c r="ET580" s="37">
        <f>ES580</f>
        <v>1.025E-2</v>
      </c>
      <c r="EU580" s="21">
        <f>ER580</f>
        <v>2.0500000000000001E-2</v>
      </c>
      <c r="EV580" s="37">
        <f>EX580/2</f>
        <v>1.025E-2</v>
      </c>
      <c r="EW580" s="37">
        <f>EV580</f>
        <v>1.025E-2</v>
      </c>
      <c r="EX580" s="21">
        <f>EU580</f>
        <v>2.0500000000000001E-2</v>
      </c>
      <c r="EY580" s="37">
        <f>FA580/2</f>
        <v>1.025E-2</v>
      </c>
      <c r="EZ580" s="37">
        <f>EY580</f>
        <v>1.025E-2</v>
      </c>
      <c r="FA580" s="21">
        <f>EX580</f>
        <v>2.0500000000000001E-2</v>
      </c>
      <c r="FH580" s="35"/>
      <c r="FI580" s="35"/>
      <c r="FJ580" s="35"/>
      <c r="FK580" s="35"/>
      <c r="FL580" s="35"/>
      <c r="FM580" s="35"/>
      <c r="FN580" s="35"/>
      <c r="FO580" s="35"/>
      <c r="FP580" s="35"/>
      <c r="FQ580" s="35"/>
    </row>
    <row r="581" spans="1:173" s="321" customFormat="1" hidden="1" outlineLevel="1">
      <c r="A581" s="1168"/>
      <c r="B581" s="186"/>
      <c r="C581" s="186"/>
      <c r="D581" s="910"/>
      <c r="E581" s="1"/>
      <c r="F581" s="1"/>
      <c r="G581" s="5"/>
      <c r="H581" s="1"/>
      <c r="I581" s="1"/>
      <c r="J581" s="5"/>
      <c r="K581" s="1"/>
      <c r="L581" s="1"/>
      <c r="M581" s="5"/>
      <c r="N581" s="1"/>
      <c r="O581" s="1"/>
      <c r="P581" s="5"/>
      <c r="Q581" s="1"/>
      <c r="R581" s="1"/>
      <c r="S581" s="5"/>
      <c r="T581" s="1"/>
      <c r="U581" s="1"/>
      <c r="V581" s="5"/>
      <c r="W581" s="1"/>
      <c r="X581" s="1"/>
      <c r="Y581" s="5"/>
      <c r="Z581" s="1"/>
      <c r="AA581" s="1"/>
      <c r="AB581" s="5"/>
      <c r="AC581" s="1"/>
      <c r="AD581" s="1"/>
      <c r="AE581" s="5"/>
      <c r="AF581" s="1"/>
      <c r="AG581" s="1"/>
      <c r="AH581" s="5"/>
      <c r="AI581" s="1"/>
      <c r="AJ581" s="1"/>
      <c r="AK581" s="5"/>
      <c r="AL581" s="1"/>
      <c r="AM581" s="1"/>
      <c r="AN581" s="5"/>
      <c r="AO581" s="1"/>
      <c r="AP581" s="1"/>
      <c r="AQ581" s="5"/>
      <c r="AR581" s="1"/>
      <c r="AS581" s="1"/>
      <c r="AT581" s="5"/>
      <c r="AU581" s="1"/>
      <c r="AV581" s="1"/>
      <c r="AW581" s="5"/>
      <c r="AX581" s="1"/>
      <c r="AY581" s="1"/>
      <c r="AZ581" s="5"/>
      <c r="BA581" s="1"/>
      <c r="BB581" s="1"/>
      <c r="BC581" s="331"/>
      <c r="BD581" s="4"/>
      <c r="BE581" s="4"/>
      <c r="BF581" s="971"/>
      <c r="BG581" s="4"/>
      <c r="BH581" s="4"/>
      <c r="BI581" s="971"/>
      <c r="BJ581" s="121"/>
      <c r="BK581" s="121"/>
      <c r="BL581" s="114"/>
      <c r="BM581" s="121"/>
      <c r="BN581" s="121"/>
      <c r="BO581" s="114"/>
      <c r="BP581" s="121"/>
      <c r="BQ581" s="121"/>
      <c r="BR581" s="114"/>
      <c r="BS581" s="4"/>
      <c r="BT581" s="4"/>
      <c r="BU581" s="5"/>
      <c r="BV581" s="4"/>
      <c r="BW581" s="4"/>
      <c r="BX581" s="185"/>
      <c r="BY581" s="4"/>
      <c r="BZ581" s="4"/>
      <c r="CA581" s="185"/>
      <c r="CB581" s="4"/>
      <c r="CC581" s="4"/>
      <c r="CD581" s="185"/>
      <c r="CE581" s="4"/>
      <c r="CF581" s="4"/>
      <c r="CG581" s="185"/>
      <c r="CH581" s="4"/>
      <c r="CI581" s="4"/>
      <c r="CJ581" s="185"/>
      <c r="CK581" s="4"/>
      <c r="CL581" s="4"/>
      <c r="CM581" s="185"/>
      <c r="CN581" s="4"/>
      <c r="CO581" s="4"/>
      <c r="CP581" s="185"/>
      <c r="CQ581" s="4"/>
      <c r="CR581" s="4"/>
      <c r="CS581" s="185"/>
      <c r="CT581" s="4"/>
      <c r="CU581" s="4"/>
      <c r="CV581" s="185"/>
      <c r="CW581" s="4"/>
      <c r="CX581" s="4"/>
      <c r="CY581" s="185"/>
      <c r="CZ581" s="4"/>
      <c r="DA581" s="4"/>
      <c r="DB581" s="185"/>
      <c r="DC581" s="4"/>
      <c r="DD581" s="4"/>
      <c r="DE581" s="185"/>
      <c r="DF581" s="4"/>
      <c r="DG581" s="4"/>
      <c r="DH581" s="185"/>
      <c r="DI581" s="4"/>
      <c r="DJ581" s="4"/>
      <c r="DK581" s="185"/>
      <c r="DL581" s="4"/>
      <c r="DM581" s="4"/>
      <c r="DN581" s="185"/>
      <c r="DO581" s="4"/>
      <c r="DP581" s="4"/>
      <c r="DQ581" s="185"/>
      <c r="DR581" s="4"/>
      <c r="DS581" s="4"/>
      <c r="DT581" s="185"/>
      <c r="DU581" s="4"/>
      <c r="DV581" s="4"/>
      <c r="DW581" s="185"/>
      <c r="DX581" s="4"/>
      <c r="DY581" s="4"/>
      <c r="DZ581" s="185"/>
      <c r="EA581" s="4"/>
      <c r="EB581" s="4"/>
      <c r="EC581" s="185"/>
      <c r="ED581" s="4"/>
      <c r="EE581" s="4"/>
      <c r="EF581" s="185"/>
      <c r="EG581" s="4"/>
      <c r="EH581" s="4"/>
      <c r="EI581" s="185"/>
      <c r="EJ581" s="4"/>
      <c r="EK581" s="4"/>
      <c r="EL581" s="185"/>
      <c r="EM581" s="4"/>
      <c r="EN581" s="4"/>
      <c r="EO581" s="185"/>
      <c r="EP581" s="4"/>
      <c r="EQ581" s="4"/>
      <c r="ER581" s="185"/>
      <c r="ES581" s="4"/>
      <c r="ET581" s="4"/>
      <c r="EU581" s="185"/>
      <c r="EV581" s="4"/>
      <c r="EW581" s="4"/>
      <c r="EX581" s="185"/>
      <c r="EY581" s="4"/>
      <c r="EZ581" s="4"/>
      <c r="FA581" s="185"/>
      <c r="FH581" s="35"/>
      <c r="FI581" s="35"/>
      <c r="FJ581" s="35"/>
      <c r="FK581" s="35"/>
      <c r="FL581" s="35"/>
      <c r="FM581" s="35"/>
      <c r="FN581" s="35"/>
      <c r="FO581" s="35"/>
      <c r="FP581" s="35"/>
      <c r="FQ581" s="35"/>
    </row>
    <row r="582" spans="1:173" s="321" customFormat="1" hidden="1" outlineLevel="1">
      <c r="A582" s="1168"/>
      <c r="B582" s="186"/>
      <c r="C582" s="331" t="s">
        <v>794</v>
      </c>
      <c r="D582" s="972" t="s">
        <v>312</v>
      </c>
      <c r="E582" s="1"/>
      <c r="F582" s="1"/>
      <c r="G582" s="5"/>
      <c r="H582" s="1"/>
      <c r="I582" s="1"/>
      <c r="J582" s="5"/>
      <c r="K582" s="1"/>
      <c r="L582" s="1"/>
      <c r="M582" s="5"/>
      <c r="N582" s="1"/>
      <c r="O582" s="1"/>
      <c r="P582" s="5"/>
      <c r="Q582" s="1"/>
      <c r="R582" s="1"/>
      <c r="S582" s="5"/>
      <c r="T582" s="1"/>
      <c r="U582" s="1"/>
      <c r="V582" s="5"/>
      <c r="W582" s="1"/>
      <c r="X582" s="1"/>
      <c r="Y582" s="5"/>
      <c r="Z582" s="1"/>
      <c r="AA582" s="1"/>
      <c r="AB582" s="5"/>
      <c r="AC582" s="1"/>
      <c r="AD582" s="1"/>
      <c r="AE582" s="5"/>
      <c r="AF582" s="1"/>
      <c r="AG582" s="1"/>
      <c r="AH582" s="5"/>
      <c r="AI582" s="1"/>
      <c r="AJ582" s="1"/>
      <c r="AK582" s="5"/>
      <c r="AL582" s="1"/>
      <c r="AM582" s="1"/>
      <c r="AN582" s="5"/>
      <c r="AO582" s="1"/>
      <c r="AP582" s="1"/>
      <c r="AQ582" s="5"/>
      <c r="AR582" s="1"/>
      <c r="AS582" s="1"/>
      <c r="AT582" s="5"/>
      <c r="AU582" s="186"/>
      <c r="AV582" s="186"/>
      <c r="AW582" s="5"/>
      <c r="AX582" s="186"/>
      <c r="AY582" s="186"/>
      <c r="AZ582" s="5"/>
      <c r="BA582" s="1"/>
      <c r="BB582" s="1"/>
      <c r="BC582" s="46"/>
      <c r="BD582" s="3"/>
      <c r="BE582" s="3"/>
      <c r="BF582" s="973"/>
      <c r="BG582" s="3"/>
      <c r="BH582" s="3"/>
      <c r="BI582" s="973"/>
      <c r="BJ582" s="118"/>
      <c r="BK582" s="118"/>
      <c r="BL582" s="119"/>
      <c r="BM582" s="118"/>
      <c r="BN582" s="118"/>
      <c r="BO582" s="119"/>
      <c r="BP582" s="118"/>
      <c r="BQ582" s="118"/>
      <c r="BR582" s="119"/>
      <c r="BS582" s="3"/>
      <c r="BT582" s="3"/>
      <c r="BU582" s="190"/>
      <c r="BV582" s="3"/>
      <c r="BW582" s="3"/>
      <c r="BX582" s="190"/>
      <c r="BY582" s="3"/>
      <c r="BZ582" s="3"/>
      <c r="CA582" s="190"/>
      <c r="CB582" s="3"/>
      <c r="CC582" s="3"/>
      <c r="CD582" s="190"/>
      <c r="CE582" s="3"/>
      <c r="CF582" s="3"/>
      <c r="CG582" s="190"/>
      <c r="CH582" s="3"/>
      <c r="CI582" s="3"/>
      <c r="CJ582" s="190"/>
      <c r="CK582" s="3"/>
      <c r="CL582" s="3"/>
      <c r="CM582" s="190"/>
      <c r="CN582" s="3"/>
      <c r="CO582" s="3"/>
      <c r="CP582" s="190"/>
      <c r="CQ582" s="3"/>
      <c r="CR582" s="3"/>
      <c r="CS582" s="190"/>
      <c r="CT582" s="3"/>
      <c r="CU582" s="3"/>
      <c r="CV582" s="190"/>
      <c r="CW582" s="3"/>
      <c r="CX582" s="3"/>
      <c r="CY582" s="190"/>
      <c r="CZ582" s="3"/>
      <c r="DA582" s="3"/>
      <c r="DB582" s="190"/>
      <c r="DC582" s="3"/>
      <c r="DD582" s="3"/>
      <c r="DE582" s="190"/>
      <c r="DF582" s="3"/>
      <c r="DG582" s="3"/>
      <c r="DH582" s="190"/>
      <c r="DI582" s="3"/>
      <c r="DJ582" s="3"/>
      <c r="DK582" s="190"/>
      <c r="DL582" s="3"/>
      <c r="DM582" s="3"/>
      <c r="DN582" s="190"/>
      <c r="DO582" s="3"/>
      <c r="DP582" s="3"/>
      <c r="DQ582" s="190"/>
      <c r="DR582" s="3"/>
      <c r="DS582" s="3"/>
      <c r="DT582" s="190"/>
      <c r="DU582" s="3"/>
      <c r="DV582" s="3"/>
      <c r="DW582" s="190"/>
      <c r="DX582" s="3"/>
      <c r="DY582" s="3"/>
      <c r="DZ582" s="190"/>
      <c r="EA582" s="3"/>
      <c r="EB582" s="3"/>
      <c r="EC582" s="190"/>
      <c r="ED582" s="3"/>
      <c r="EE582" s="3"/>
      <c r="EF582" s="190"/>
      <c r="EG582" s="3"/>
      <c r="EH582" s="3"/>
      <c r="EI582" s="190"/>
      <c r="EJ582" s="3"/>
      <c r="EK582" s="3"/>
      <c r="EL582" s="190"/>
      <c r="EM582" s="3"/>
      <c r="EN582" s="3"/>
      <c r="EO582" s="190"/>
      <c r="EP582" s="3"/>
      <c r="EQ582" s="3"/>
      <c r="ER582" s="190"/>
      <c r="ES582" s="3"/>
      <c r="ET582" s="3"/>
      <c r="EU582" s="190"/>
      <c r="EV582" s="3"/>
      <c r="EW582" s="3"/>
      <c r="EX582" s="190"/>
      <c r="EY582" s="3"/>
      <c r="EZ582" s="3"/>
      <c r="FA582" s="190"/>
      <c r="FH582" s="35"/>
      <c r="FI582" s="35"/>
      <c r="FJ582" s="35"/>
      <c r="FK582" s="35"/>
      <c r="FL582" s="35"/>
      <c r="FM582" s="35"/>
      <c r="FN582" s="35"/>
      <c r="FO582" s="35"/>
      <c r="FP582" s="35"/>
      <c r="FQ582" s="35"/>
    </row>
    <row r="583" spans="1:173" s="321" customFormat="1" hidden="1" outlineLevel="1">
      <c r="A583" s="1168"/>
      <c r="B583" s="186"/>
      <c r="C583" s="186" t="s">
        <v>316</v>
      </c>
      <c r="D583" s="910"/>
      <c r="E583" s="1"/>
      <c r="F583" s="1"/>
      <c r="G583" s="5"/>
      <c r="H583" s="1"/>
      <c r="I583" s="1"/>
      <c r="J583" s="5"/>
      <c r="K583" s="1"/>
      <c r="L583" s="1"/>
      <c r="M583" s="5"/>
      <c r="N583" s="1"/>
      <c r="O583" s="1"/>
      <c r="P583" s="5"/>
      <c r="Q583" s="1"/>
      <c r="R583" s="1"/>
      <c r="S583" s="5"/>
      <c r="T583" s="1"/>
      <c r="U583" s="1"/>
      <c r="V583" s="5"/>
      <c r="W583" s="1"/>
      <c r="X583" s="1"/>
      <c r="Y583" s="5"/>
      <c r="Z583" s="1"/>
      <c r="AA583" s="1"/>
      <c r="AB583" s="5"/>
      <c r="AC583" s="1"/>
      <c r="AD583" s="1"/>
      <c r="AE583" s="5"/>
      <c r="AF583" s="1"/>
      <c r="AG583" s="1"/>
      <c r="AH583" s="5"/>
      <c r="AI583" s="1"/>
      <c r="AJ583" s="1"/>
      <c r="AK583" s="5"/>
      <c r="AL583" s="1"/>
      <c r="AM583" s="1"/>
      <c r="AN583" s="5"/>
      <c r="AO583" s="1"/>
      <c r="AP583" s="1"/>
      <c r="AQ583" s="5"/>
      <c r="AR583" s="1"/>
      <c r="AS583" s="1"/>
      <c r="AT583" s="5"/>
      <c r="AU583" s="5"/>
      <c r="AV583" s="5"/>
      <c r="AW583" s="5"/>
      <c r="AX583" s="184">
        <f t="shared" ref="AX583:CC583" si="2452">AX567-AX589</f>
        <v>323.84531031604376</v>
      </c>
      <c r="AY583" s="184">
        <f t="shared" si="2452"/>
        <v>324.80065398147616</v>
      </c>
      <c r="AZ583" s="184">
        <f t="shared" si="2452"/>
        <v>323.65506104751989</v>
      </c>
      <c r="BA583" s="28">
        <f t="shared" si="2452"/>
        <v>325.75881591072147</v>
      </c>
      <c r="BB583" s="28">
        <f t="shared" si="2452"/>
        <v>326.71980441765811</v>
      </c>
      <c r="BC583" s="58">
        <f t="shared" si="2452"/>
        <v>325.567442515869</v>
      </c>
      <c r="BD583" s="28">
        <f t="shared" si="2452"/>
        <v>327.68362784069024</v>
      </c>
      <c r="BE583" s="28">
        <f t="shared" si="2452"/>
        <v>328.65029454282023</v>
      </c>
      <c r="BF583" s="58">
        <f t="shared" si="2452"/>
        <v>327.49112367738115</v>
      </c>
      <c r="BG583" s="28">
        <f t="shared" si="2452"/>
        <v>329.61981291172162</v>
      </c>
      <c r="BH583" s="28">
        <f t="shared" si="2452"/>
        <v>330.59219135981118</v>
      </c>
      <c r="BI583" s="58">
        <f t="shared" si="2452"/>
        <v>329.42617129858155</v>
      </c>
      <c r="BJ583" s="110">
        <f t="shared" si="2452"/>
        <v>331.56743832432261</v>
      </c>
      <c r="BK583" s="110">
        <f t="shared" si="2452"/>
        <v>332.54556226737941</v>
      </c>
      <c r="BL583" s="111">
        <f t="shared" si="2452"/>
        <v>331.3726525404989</v>
      </c>
      <c r="BM583" s="110">
        <f t="shared" si="2452"/>
        <v>333.03606697172376</v>
      </c>
      <c r="BN583" s="110">
        <f t="shared" si="2452"/>
        <v>333.52729517050699</v>
      </c>
      <c r="BO583" s="111">
        <f t="shared" si="2452"/>
        <v>332.3491902144616</v>
      </c>
      <c r="BP583" s="110">
        <f t="shared" si="2452"/>
        <v>334.01924793088347</v>
      </c>
      <c r="BQ583" s="110">
        <f t="shared" si="2452"/>
        <v>334.51192632158143</v>
      </c>
      <c r="BR583" s="111">
        <f t="shared" si="2452"/>
        <v>333.33034339280113</v>
      </c>
      <c r="BS583" s="28">
        <f t="shared" si="2452"/>
        <v>335.00533141290578</v>
      </c>
      <c r="BT583" s="28">
        <f t="shared" si="2452"/>
        <v>335.49946427673979</v>
      </c>
      <c r="BU583" s="184">
        <f t="shared" si="2452"/>
        <v>334.31439310763818</v>
      </c>
      <c r="BV583" s="28">
        <f t="shared" si="2452"/>
        <v>335.99432598654795</v>
      </c>
      <c r="BW583" s="28">
        <f t="shared" si="2452"/>
        <v>336.48991761737807</v>
      </c>
      <c r="BX583" s="184">
        <f t="shared" si="2452"/>
        <v>335.30134791005719</v>
      </c>
      <c r="BY583" s="28">
        <f t="shared" si="2452"/>
        <v>336.98624024586366</v>
      </c>
      <c r="BZ583" s="28">
        <f t="shared" si="2452"/>
        <v>337.48329495022631</v>
      </c>
      <c r="CA583" s="184">
        <f t="shared" si="2452"/>
        <v>336.29121637638684</v>
      </c>
      <c r="CB583" s="28">
        <f t="shared" si="2452"/>
        <v>337.98108281027783</v>
      </c>
      <c r="CC583" s="28">
        <f t="shared" si="2452"/>
        <v>338.47960490742298</v>
      </c>
      <c r="CD583" s="184">
        <f t="shared" ref="CD583:DI583" si="2453">CD567-CD589</f>
        <v>337.28400710827475</v>
      </c>
      <c r="CE583" s="28">
        <f t="shared" si="2453"/>
        <v>338.97886232466135</v>
      </c>
      <c r="CF583" s="28">
        <f t="shared" si="2453"/>
        <v>339.4788561465902</v>
      </c>
      <c r="CG583" s="184">
        <f t="shared" si="2453"/>
        <v>338.27972873276201</v>
      </c>
      <c r="CH583" s="28">
        <f t="shared" si="2453"/>
        <v>339.97958745940639</v>
      </c>
      <c r="CI583" s="28">
        <f t="shared" si="2453"/>
        <v>340.481057350909</v>
      </c>
      <c r="CJ583" s="184">
        <f t="shared" si="2453"/>
        <v>339.27838990235841</v>
      </c>
      <c r="CK583" s="28">
        <f t="shared" si="2453"/>
        <v>340.98326691050153</v>
      </c>
      <c r="CL583" s="28">
        <f t="shared" si="2453"/>
        <v>341.48621722919449</v>
      </c>
      <c r="CM583" s="184">
        <f t="shared" si="2453"/>
        <v>340.27999929511736</v>
      </c>
      <c r="CN583" s="28">
        <f t="shared" si="2453"/>
        <v>341.98990939960748</v>
      </c>
      <c r="CO583" s="28">
        <f t="shared" si="2453"/>
        <v>342.49434451597187</v>
      </c>
      <c r="CP583" s="184">
        <f t="shared" si="2453"/>
        <v>341.28456561471131</v>
      </c>
      <c r="CQ583" s="28">
        <f t="shared" si="2453"/>
        <v>342.99952367413289</v>
      </c>
      <c r="CR583" s="28">
        <f t="shared" si="2453"/>
        <v>343.50544797155226</v>
      </c>
      <c r="CS583" s="184">
        <f t="shared" si="2453"/>
        <v>342.29209759050775</v>
      </c>
      <c r="CT583" s="28">
        <f t="shared" si="2453"/>
        <v>344.01211850731022</v>
      </c>
      <c r="CU583" s="28">
        <f t="shared" si="2453"/>
        <v>344.51953638210847</v>
      </c>
      <c r="CV583" s="184">
        <f t="shared" si="2453"/>
        <v>343.30260397764448</v>
      </c>
      <c r="CW583" s="28">
        <f t="shared" si="2453"/>
        <v>345.02770269827204</v>
      </c>
      <c r="CX583" s="28">
        <f t="shared" si="2453"/>
        <v>345.53661855975196</v>
      </c>
      <c r="CY583" s="184">
        <f t="shared" si="2453"/>
        <v>344.31609355710623</v>
      </c>
      <c r="CZ583" s="28">
        <f t="shared" si="2453"/>
        <v>346.04628507212755</v>
      </c>
      <c r="DA583" s="28">
        <f t="shared" si="2453"/>
        <v>346.5567033426089</v>
      </c>
      <c r="DB583" s="184">
        <f t="shared" si="2453"/>
        <v>345.33257513580065</v>
      </c>
      <c r="DC583" s="28">
        <f t="shared" si="2453"/>
        <v>347.06787448003922</v>
      </c>
      <c r="DD583" s="28">
        <f t="shared" si="2453"/>
        <v>347.57979959489728</v>
      </c>
      <c r="DE583" s="184">
        <f t="shared" si="2453"/>
        <v>346.35205754663502</v>
      </c>
      <c r="DF583" s="28">
        <f t="shared" si="2453"/>
        <v>348.09247979929972</v>
      </c>
      <c r="DG583" s="28">
        <f t="shared" si="2453"/>
        <v>348.60591620700365</v>
      </c>
      <c r="DH583" s="184">
        <f t="shared" si="2453"/>
        <v>347.37454964859268</v>
      </c>
      <c r="DI583" s="28">
        <f t="shared" si="2453"/>
        <v>349.12010993340891</v>
      </c>
      <c r="DJ583" s="28">
        <f t="shared" ref="DJ583:EF583" si="2454">DJ567-DJ589</f>
        <v>349.63506209556067</v>
      </c>
      <c r="DK583" s="184">
        <f t="shared" si="2454"/>
        <v>348.40006032681055</v>
      </c>
      <c r="DL583" s="28">
        <f t="shared" si="2454"/>
        <v>350.15077381215156</v>
      </c>
      <c r="DM583" s="28">
        <f t="shared" si="2454"/>
        <v>350.66724620352443</v>
      </c>
      <c r="DN583" s="184">
        <f t="shared" si="2454"/>
        <v>349.42859849265579</v>
      </c>
      <c r="DO583" s="28">
        <f t="shared" si="2454"/>
        <v>351.18448039167464</v>
      </c>
      <c r="DP583" s="28">
        <f t="shared" si="2454"/>
        <v>351.70247750025231</v>
      </c>
      <c r="DQ583" s="184">
        <f t="shared" si="2454"/>
        <v>350.46017308380368</v>
      </c>
      <c r="DR583" s="28">
        <f t="shared" si="2454"/>
        <v>352.22123865456518</v>
      </c>
      <c r="DS583" s="28">
        <f t="shared" si="2454"/>
        <v>352.74076498158058</v>
      </c>
      <c r="DT583" s="184">
        <f t="shared" si="2454"/>
        <v>351.49479306431488</v>
      </c>
      <c r="DU583" s="28">
        <f t="shared" si="2454"/>
        <v>353.2610576099284</v>
      </c>
      <c r="DV583" s="28">
        <f t="shared" si="2454"/>
        <v>353.78211766990296</v>
      </c>
      <c r="DW583" s="184">
        <f t="shared" si="2454"/>
        <v>352.53246742471367</v>
      </c>
      <c r="DX583" s="28">
        <f t="shared" si="2454"/>
        <v>354.30394629346603</v>
      </c>
      <c r="DY583" s="28">
        <f t="shared" si="2454"/>
        <v>354.82654461424892</v>
      </c>
      <c r="DZ583" s="184">
        <f t="shared" si="2454"/>
        <v>353.57320518206598</v>
      </c>
      <c r="EA583" s="28">
        <f t="shared" si="2454"/>
        <v>355.34991376755482</v>
      </c>
      <c r="EB583" s="28">
        <f t="shared" si="2454"/>
        <v>355.87405489036195</v>
      </c>
      <c r="EC583" s="184">
        <f t="shared" si="2454"/>
        <v>354.61701538005752</v>
      </c>
      <c r="ED583" s="28">
        <f t="shared" si="2454"/>
        <v>356.39896912132519</v>
      </c>
      <c r="EE583" s="28">
        <f t="shared" si="2454"/>
        <v>356.92465760077908</v>
      </c>
      <c r="EF583" s="184">
        <f t="shared" si="2454"/>
        <v>355.66390708907267</v>
      </c>
      <c r="EG583" s="28">
        <f t="shared" ref="EG583:EL583" si="2455">EG567-EG589</f>
        <v>357.45112147074019</v>
      </c>
      <c r="EH583" s="28">
        <f t="shared" si="2455"/>
        <v>357.97836187490952</v>
      </c>
      <c r="EI583" s="184">
        <f t="shared" si="2455"/>
        <v>356.71388940627321</v>
      </c>
      <c r="EJ583" s="28">
        <f t="shared" si="2455"/>
        <v>358.50637995867493</v>
      </c>
      <c r="EK583" s="28">
        <f t="shared" si="2455"/>
        <v>359.03517686911397</v>
      </c>
      <c r="EL583" s="184">
        <f t="shared" si="2455"/>
        <v>357.76697145567726</v>
      </c>
      <c r="EM583" s="28">
        <f t="shared" ref="EM583:ER583" si="2456">EM567-EM589</f>
        <v>359.56475375499588</v>
      </c>
      <c r="EN583" s="28">
        <f t="shared" si="2456"/>
        <v>360.09511176678444</v>
      </c>
      <c r="EO583" s="184">
        <f t="shared" si="2456"/>
        <v>358.8231623882387</v>
      </c>
      <c r="EP583" s="28">
        <f t="shared" si="2456"/>
        <v>360.6262520566404</v>
      </c>
      <c r="EQ583" s="28">
        <f t="shared" si="2456"/>
        <v>361.15817577842392</v>
      </c>
      <c r="ER583" s="184">
        <f t="shared" si="2456"/>
        <v>359.88247138192662</v>
      </c>
      <c r="ES583" s="28">
        <f t="shared" ref="ES583:EX583" si="2457">ES567-ES589</f>
        <v>361.69088408769704</v>
      </c>
      <c r="ET583" s="28">
        <f t="shared" si="2457"/>
        <v>362.22437814172633</v>
      </c>
      <c r="EU583" s="184">
        <f t="shared" si="2457"/>
        <v>360.944907641805</v>
      </c>
      <c r="EV583" s="28">
        <f t="shared" si="2457"/>
        <v>362.75865909948533</v>
      </c>
      <c r="EW583" s="28">
        <f t="shared" si="2457"/>
        <v>363.29372812165701</v>
      </c>
      <c r="EX583" s="184">
        <f t="shared" si="2457"/>
        <v>362.0104804001129</v>
      </c>
      <c r="EY583" s="28">
        <f t="shared" ref="EY583:FA583" si="2458">EY567-EY589</f>
        <v>363.82958637063643</v>
      </c>
      <c r="EZ583" s="28">
        <f t="shared" si="2458"/>
        <v>364.3662350105331</v>
      </c>
      <c r="FA583" s="184">
        <f t="shared" si="2458"/>
        <v>363.07919891634464</v>
      </c>
      <c r="FH583" s="35"/>
      <c r="FI583" s="35"/>
      <c r="FJ583" s="35"/>
      <c r="FK583" s="35"/>
      <c r="FL583" s="35"/>
      <c r="FM583" s="35"/>
      <c r="FN583" s="35"/>
      <c r="FO583" s="35"/>
      <c r="FP583" s="35"/>
      <c r="FQ583" s="35"/>
    </row>
    <row r="584" spans="1:173" s="321" customFormat="1" hidden="1" outlineLevel="1">
      <c r="A584" s="1168"/>
      <c r="B584" s="186"/>
      <c r="C584" s="186" t="s">
        <v>317</v>
      </c>
      <c r="D584" s="910"/>
      <c r="E584" s="1"/>
      <c r="F584" s="1"/>
      <c r="G584" s="5"/>
      <c r="H584" s="1"/>
      <c r="I584" s="1"/>
      <c r="J584" s="5"/>
      <c r="K584" s="1"/>
      <c r="L584" s="1"/>
      <c r="M584" s="5"/>
      <c r="N584" s="1"/>
      <c r="O584" s="1"/>
      <c r="P584" s="5"/>
      <c r="Q584" s="1"/>
      <c r="R584" s="1"/>
      <c r="S584" s="5"/>
      <c r="T584" s="1"/>
      <c r="U584" s="1"/>
      <c r="V584" s="5"/>
      <c r="W584" s="1"/>
      <c r="X584" s="1"/>
      <c r="Y584" s="5"/>
      <c r="Z584" s="1"/>
      <c r="AA584" s="1"/>
      <c r="AB584" s="5"/>
      <c r="AC584" s="1"/>
      <c r="AD584" s="1"/>
      <c r="AE584" s="5"/>
      <c r="AF584" s="1"/>
      <c r="AG584" s="1"/>
      <c r="AH584" s="5"/>
      <c r="AI584" s="1"/>
      <c r="AJ584" s="1"/>
      <c r="AK584" s="5"/>
      <c r="AL584" s="1"/>
      <c r="AM584" s="1"/>
      <c r="AN584" s="5"/>
      <c r="AO584" s="1"/>
      <c r="AP584" s="1"/>
      <c r="AQ584" s="5"/>
      <c r="AR584" s="1"/>
      <c r="AS584" s="1"/>
      <c r="AT584" s="5"/>
      <c r="AU584" s="5"/>
      <c r="AV584" s="5"/>
      <c r="AW584" s="5"/>
      <c r="AX584" s="184">
        <f t="shared" ref="AX584:CC584" si="2459">AX568-AX590</f>
        <v>723.94045821760494</v>
      </c>
      <c r="AY584" s="184">
        <f t="shared" si="2459"/>
        <v>723.28891180520918</v>
      </c>
      <c r="AZ584" s="184">
        <f t="shared" si="2459"/>
        <v>721.52908862281413</v>
      </c>
      <c r="BA584" s="28">
        <f t="shared" si="2459"/>
        <v>722.63795178458452</v>
      </c>
      <c r="BB584" s="28">
        <f t="shared" si="2459"/>
        <v>721.98757762797834</v>
      </c>
      <c r="BC584" s="58">
        <f t="shared" si="2459"/>
        <v>720.23092070185487</v>
      </c>
      <c r="BD584" s="28">
        <f t="shared" si="2459"/>
        <v>721.33778880811315</v>
      </c>
      <c r="BE584" s="28">
        <f t="shared" si="2459"/>
        <v>720.68858479818584</v>
      </c>
      <c r="BF584" s="58">
        <f t="shared" si="2459"/>
        <v>718.93508843163727</v>
      </c>
      <c r="BG584" s="28">
        <f t="shared" si="2459"/>
        <v>720.03996507186753</v>
      </c>
      <c r="BH584" s="28">
        <f t="shared" si="2459"/>
        <v>719.3919291033028</v>
      </c>
      <c r="BI584" s="58">
        <f t="shared" si="2459"/>
        <v>717.64158760988198</v>
      </c>
      <c r="BJ584" s="110">
        <f t="shared" si="2459"/>
        <v>718.74447636710977</v>
      </c>
      <c r="BK584" s="110">
        <f t="shared" si="2459"/>
        <v>718.09760633837936</v>
      </c>
      <c r="BL584" s="111">
        <f t="shared" si="2459"/>
        <v>716.35041404187007</v>
      </c>
      <c r="BM584" s="110">
        <f t="shared" si="2459"/>
        <v>717.77446241552718</v>
      </c>
      <c r="BN584" s="110">
        <f t="shared" si="2459"/>
        <v>717.45146390744014</v>
      </c>
      <c r="BO584" s="111">
        <f t="shared" si="2459"/>
        <v>715.70662961291828</v>
      </c>
      <c r="BP584" s="110">
        <f t="shared" si="2459"/>
        <v>717.12861074868181</v>
      </c>
      <c r="BQ584" s="110">
        <f t="shared" si="2459"/>
        <v>716.80590287384496</v>
      </c>
      <c r="BR584" s="111">
        <f t="shared" si="2459"/>
        <v>715.06263857685917</v>
      </c>
      <c r="BS584" s="28">
        <f t="shared" si="2459"/>
        <v>716.4833402175517</v>
      </c>
      <c r="BT584" s="28">
        <f t="shared" si="2459"/>
        <v>716.16092271445382</v>
      </c>
      <c r="BU584" s="184">
        <f t="shared" si="2459"/>
        <v>714.41922700232442</v>
      </c>
      <c r="BV584" s="28">
        <f t="shared" si="2459"/>
        <v>715.83865029923243</v>
      </c>
      <c r="BW584" s="28">
        <f t="shared" si="2459"/>
        <v>715.51652290659774</v>
      </c>
      <c r="BX584" s="184">
        <f t="shared" si="2459"/>
        <v>713.77639436791583</v>
      </c>
      <c r="BY584" s="28">
        <f t="shared" si="2459"/>
        <v>715.19454047128988</v>
      </c>
      <c r="BZ584" s="28">
        <f t="shared" si="2459"/>
        <v>714.87270292807773</v>
      </c>
      <c r="CA584" s="184">
        <f t="shared" si="2459"/>
        <v>713.13414015270462</v>
      </c>
      <c r="CB584" s="28">
        <f t="shared" si="2459"/>
        <v>714.55101021176017</v>
      </c>
      <c r="CC584" s="28">
        <f t="shared" si="2459"/>
        <v>714.22946225716487</v>
      </c>
      <c r="CD584" s="184">
        <f t="shared" ref="CD584:DI584" si="2460">CD568-CD590</f>
        <v>712.49246383623063</v>
      </c>
      <c r="CE584" s="28">
        <f t="shared" si="2460"/>
        <v>713.90805899914926</v>
      </c>
      <c r="CF584" s="28">
        <f t="shared" si="2460"/>
        <v>713.58680037259967</v>
      </c>
      <c r="CG584" s="184">
        <f t="shared" si="2460"/>
        <v>711.85136489850197</v>
      </c>
      <c r="CH584" s="28">
        <f t="shared" si="2460"/>
        <v>713.26568631243197</v>
      </c>
      <c r="CI584" s="28">
        <f t="shared" si="2460"/>
        <v>712.94471675359136</v>
      </c>
      <c r="CJ584" s="184">
        <f t="shared" si="2460"/>
        <v>711.21084281999481</v>
      </c>
      <c r="CK584" s="28">
        <f t="shared" si="2460"/>
        <v>712.6238916310524</v>
      </c>
      <c r="CL584" s="28">
        <f t="shared" si="2460"/>
        <v>712.30321087981838</v>
      </c>
      <c r="CM584" s="184">
        <f t="shared" si="2460"/>
        <v>710.57089708165256</v>
      </c>
      <c r="CN584" s="28">
        <f t="shared" si="2460"/>
        <v>711.9826744349225</v>
      </c>
      <c r="CO584" s="28">
        <f t="shared" si="2460"/>
        <v>711.66228223142684</v>
      </c>
      <c r="CP584" s="184">
        <f t="shared" si="2460"/>
        <v>709.93152716488578</v>
      </c>
      <c r="CQ584" s="28">
        <f t="shared" si="2460"/>
        <v>711.3420342044227</v>
      </c>
      <c r="CR584" s="28">
        <f t="shared" si="2460"/>
        <v>711.02193028903082</v>
      </c>
      <c r="CS584" s="184">
        <f t="shared" si="2460"/>
        <v>709.29273255157182</v>
      </c>
      <c r="CT584" s="28">
        <f t="shared" si="2460"/>
        <v>710.7019704204007</v>
      </c>
      <c r="CU584" s="28">
        <f t="shared" si="2460"/>
        <v>710.38215453371151</v>
      </c>
      <c r="CV584" s="184">
        <f t="shared" si="2460"/>
        <v>708.65451272405369</v>
      </c>
      <c r="CW584" s="28">
        <f t="shared" si="2460"/>
        <v>710.06248256417143</v>
      </c>
      <c r="CX584" s="28">
        <f t="shared" si="2460"/>
        <v>709.74295444701761</v>
      </c>
      <c r="CY584" s="184">
        <f t="shared" si="2460"/>
        <v>708.01686716514087</v>
      </c>
      <c r="CZ584" s="28">
        <f t="shared" si="2460"/>
        <v>709.42357011751642</v>
      </c>
      <c r="DA584" s="28">
        <f t="shared" si="2460"/>
        <v>709.10432951096357</v>
      </c>
      <c r="DB584" s="184">
        <f t="shared" si="2460"/>
        <v>707.37979535810791</v>
      </c>
      <c r="DC584" s="28">
        <f t="shared" si="2460"/>
        <v>708.78523256268363</v>
      </c>
      <c r="DD584" s="28">
        <f t="shared" si="2460"/>
        <v>708.46627920803041</v>
      </c>
      <c r="DE584" s="184">
        <f t="shared" si="2460"/>
        <v>706.74329678669426</v>
      </c>
      <c r="DF584" s="28">
        <f t="shared" si="2460"/>
        <v>708.14746938238693</v>
      </c>
      <c r="DG584" s="28">
        <f t="shared" si="2460"/>
        <v>707.82880302116484</v>
      </c>
      <c r="DH584" s="184">
        <f t="shared" si="2460"/>
        <v>706.10737093510386</v>
      </c>
      <c r="DI584" s="28">
        <f t="shared" si="2460"/>
        <v>707.51028005980538</v>
      </c>
      <c r="DJ584" s="28">
        <f t="shared" ref="DJ584:EF584" si="2461">DJ568-DJ590</f>
        <v>707.19190043377853</v>
      </c>
      <c r="DK584" s="184">
        <f t="shared" si="2461"/>
        <v>705.47201728800508</v>
      </c>
      <c r="DL584" s="28">
        <f t="shared" si="2461"/>
        <v>706.87366407858337</v>
      </c>
      <c r="DM584" s="28">
        <f t="shared" si="2461"/>
        <v>706.555570929748</v>
      </c>
      <c r="DN584" s="184">
        <f t="shared" si="2461"/>
        <v>704.83723533052932</v>
      </c>
      <c r="DO584" s="28">
        <f t="shared" si="2461"/>
        <v>706.23762092282971</v>
      </c>
      <c r="DP584" s="28">
        <f t="shared" si="2461"/>
        <v>705.91981399341455</v>
      </c>
      <c r="DQ584" s="184">
        <f t="shared" si="2461"/>
        <v>704.2030245482722</v>
      </c>
      <c r="DR584" s="28">
        <f t="shared" si="2461"/>
        <v>705.60215007711759</v>
      </c>
      <c r="DS584" s="28">
        <f t="shared" si="2461"/>
        <v>705.28462910958285</v>
      </c>
      <c r="DT584" s="184">
        <f t="shared" si="2461"/>
        <v>703.56938442729131</v>
      </c>
      <c r="DU584" s="28">
        <f t="shared" si="2461"/>
        <v>704.96725102648361</v>
      </c>
      <c r="DV584" s="28">
        <f t="shared" si="2461"/>
        <v>704.65001576352165</v>
      </c>
      <c r="DW584" s="184">
        <f t="shared" si="2461"/>
        <v>702.93631445410711</v>
      </c>
      <c r="DX584" s="28">
        <f t="shared" si="2461"/>
        <v>704.3329232564281</v>
      </c>
      <c r="DY584" s="28">
        <f t="shared" si="2461"/>
        <v>704.01597344096274</v>
      </c>
      <c r="DZ584" s="184">
        <f t="shared" si="2461"/>
        <v>702.30381411570215</v>
      </c>
      <c r="EA584" s="28">
        <f t="shared" si="2461"/>
        <v>703.69916625291432</v>
      </c>
      <c r="EB584" s="28">
        <f t="shared" si="2461"/>
        <v>703.3825016281005</v>
      </c>
      <c r="EC584" s="184">
        <f t="shared" si="2461"/>
        <v>701.67188289952037</v>
      </c>
      <c r="ED584" s="28">
        <f t="shared" si="2461"/>
        <v>703.0659795023679</v>
      </c>
      <c r="EE584" s="28">
        <f t="shared" si="2461"/>
        <v>702.74959981159179</v>
      </c>
      <c r="EF584" s="184">
        <f t="shared" si="2461"/>
        <v>701.04052029346713</v>
      </c>
      <c r="EG584" s="28">
        <f t="shared" ref="EG584:EL584" si="2462">EG568-EG590</f>
        <v>702.43336249167669</v>
      </c>
      <c r="EH584" s="28">
        <f t="shared" si="2462"/>
        <v>702.11726747855539</v>
      </c>
      <c r="EI584" s="184">
        <f t="shared" si="2462"/>
        <v>700.40972578590845</v>
      </c>
      <c r="EJ584" s="28">
        <f t="shared" si="2462"/>
        <v>701.80131470819003</v>
      </c>
      <c r="EK584" s="28">
        <f t="shared" si="2462"/>
        <v>701.48550411657141</v>
      </c>
      <c r="EL584" s="184">
        <f t="shared" si="2462"/>
        <v>699.77949886567058</v>
      </c>
      <c r="EM584" s="28">
        <f t="shared" ref="EM584:ER584" si="2463">EM568-EM590</f>
        <v>701.16983563971905</v>
      </c>
      <c r="EN584" s="28">
        <f t="shared" si="2463"/>
        <v>700.85430921368118</v>
      </c>
      <c r="EO584" s="184">
        <f t="shared" si="2463"/>
        <v>699.14983902204017</v>
      </c>
      <c r="EP584" s="28">
        <f t="shared" si="2463"/>
        <v>700.53892477453519</v>
      </c>
      <c r="EQ584" s="28">
        <f t="shared" si="2463"/>
        <v>700.2236822583867</v>
      </c>
      <c r="ER584" s="184">
        <f t="shared" si="2463"/>
        <v>698.52074574476285</v>
      </c>
      <c r="ES584" s="28">
        <f t="shared" ref="ES584:EX584" si="2464">ES568-ES590</f>
        <v>699.90858160137043</v>
      </c>
      <c r="ET584" s="28">
        <f t="shared" si="2464"/>
        <v>699.59362273964985</v>
      </c>
      <c r="EU584" s="184">
        <f t="shared" si="2464"/>
        <v>697.89221852404376</v>
      </c>
      <c r="EV584" s="28">
        <f t="shared" si="2464"/>
        <v>699.27880560941708</v>
      </c>
      <c r="EW584" s="28">
        <f t="shared" si="2464"/>
        <v>698.96413014689278</v>
      </c>
      <c r="EX584" s="184">
        <f t="shared" si="2464"/>
        <v>697.2642568505463</v>
      </c>
      <c r="EY584" s="28">
        <f t="shared" ref="EY584:FA584" si="2465">EY568-EY590</f>
        <v>698.64959628832673</v>
      </c>
      <c r="EZ584" s="28">
        <f t="shared" si="2465"/>
        <v>698.335203969997</v>
      </c>
      <c r="FA584" s="184">
        <f t="shared" si="2465"/>
        <v>696.63686021539297</v>
      </c>
      <c r="FH584" s="35"/>
      <c r="FI584" s="35"/>
      <c r="FJ584" s="35"/>
      <c r="FK584" s="35"/>
      <c r="FL584" s="35"/>
      <c r="FM584" s="35"/>
      <c r="FN584" s="35"/>
      <c r="FO584" s="35"/>
      <c r="FP584" s="35"/>
      <c r="FQ584" s="35"/>
    </row>
    <row r="585" spans="1:173" s="321" customFormat="1" hidden="1" outlineLevel="1">
      <c r="A585" s="1168"/>
      <c r="B585" s="186"/>
      <c r="C585" s="186" t="s">
        <v>431</v>
      </c>
      <c r="D585" s="910"/>
      <c r="E585" s="1"/>
      <c r="F585" s="1"/>
      <c r="G585" s="5"/>
      <c r="H585" s="1"/>
      <c r="I585" s="1"/>
      <c r="J585" s="5"/>
      <c r="K585" s="1"/>
      <c r="L585" s="1"/>
      <c r="M585" s="5"/>
      <c r="N585" s="1"/>
      <c r="O585" s="1"/>
      <c r="P585" s="5"/>
      <c r="Q585" s="1"/>
      <c r="R585" s="1"/>
      <c r="S585" s="5"/>
      <c r="T585" s="1"/>
      <c r="U585" s="1"/>
      <c r="V585" s="5"/>
      <c r="W585" s="1"/>
      <c r="X585" s="1"/>
      <c r="Y585" s="5"/>
      <c r="Z585" s="1"/>
      <c r="AA585" s="1"/>
      <c r="AB585" s="5"/>
      <c r="AC585" s="1"/>
      <c r="AD585" s="1"/>
      <c r="AE585" s="5"/>
      <c r="AF585" s="1"/>
      <c r="AG585" s="1"/>
      <c r="AH585" s="5"/>
      <c r="AI585" s="1"/>
      <c r="AJ585" s="1"/>
      <c r="AK585" s="5"/>
      <c r="AL585" s="1"/>
      <c r="AM585" s="1"/>
      <c r="AN585" s="5"/>
      <c r="AO585" s="1"/>
      <c r="AP585" s="1"/>
      <c r="AQ585" s="5"/>
      <c r="AR585" s="1"/>
      <c r="AS585" s="1"/>
      <c r="AT585" s="5"/>
      <c r="AU585" s="186"/>
      <c r="AV585" s="186"/>
      <c r="AW585" s="186"/>
      <c r="AX585" s="184">
        <f t="shared" ref="AX585:CC585" si="2466">AX569-AX591</f>
        <v>3794.3254634795999</v>
      </c>
      <c r="AY585" s="184">
        <f t="shared" si="2466"/>
        <v>3818.6091464458691</v>
      </c>
      <c r="AZ585" s="184">
        <f t="shared" si="2466"/>
        <v>3799.0630547254691</v>
      </c>
      <c r="BA585" s="28">
        <f t="shared" si="2466"/>
        <v>3843.0482449831225</v>
      </c>
      <c r="BB585" s="28">
        <f t="shared" si="2466"/>
        <v>3867.6437537510142</v>
      </c>
      <c r="BC585" s="58">
        <f t="shared" si="2466"/>
        <v>3847.8466714486763</v>
      </c>
      <c r="BD585" s="28">
        <f t="shared" si="2466"/>
        <v>3892.3966737750206</v>
      </c>
      <c r="BE585" s="28">
        <f t="shared" si="2466"/>
        <v>3917.3080124871808</v>
      </c>
      <c r="BF585" s="58">
        <f t="shared" si="2466"/>
        <v>3897.2567166428817</v>
      </c>
      <c r="BG585" s="28">
        <f t="shared" si="2466"/>
        <v>3942.3787837670984</v>
      </c>
      <c r="BH585" s="28">
        <f t="shared" si="2466"/>
        <v>3967.6100079832081</v>
      </c>
      <c r="BI585" s="58">
        <f t="shared" si="2466"/>
        <v>3947.3012342510242</v>
      </c>
      <c r="BJ585" s="110">
        <f t="shared" si="2466"/>
        <v>3993.0027120343002</v>
      </c>
      <c r="BK585" s="110">
        <f t="shared" si="2466"/>
        <v>4018.5579293913197</v>
      </c>
      <c r="BL585" s="111">
        <f t="shared" si="2466"/>
        <v>3997.9883715079918</v>
      </c>
      <c r="BM585" s="110">
        <f t="shared" si="2466"/>
        <v>4031.4173147653723</v>
      </c>
      <c r="BN585" s="110">
        <f t="shared" si="2466"/>
        <v>4044.317850172622</v>
      </c>
      <c r="BO585" s="111">
        <f t="shared" si="2466"/>
        <v>4023.5504032690687</v>
      </c>
      <c r="BP585" s="110">
        <f t="shared" si="2466"/>
        <v>4057.2596672931745</v>
      </c>
      <c r="BQ585" s="110">
        <f t="shared" si="2466"/>
        <v>4070.2428982285132</v>
      </c>
      <c r="BR585" s="111">
        <f t="shared" si="2466"/>
        <v>4049.3423270061207</v>
      </c>
      <c r="BS585" s="28">
        <f t="shared" si="2466"/>
        <v>4083.2676755028451</v>
      </c>
      <c r="BT585" s="28">
        <f t="shared" si="2466"/>
        <v>4096.3341320644549</v>
      </c>
      <c r="BU585" s="184">
        <f t="shared" si="2466"/>
        <v>4075.2995831643898</v>
      </c>
      <c r="BV585" s="28">
        <f t="shared" si="2466"/>
        <v>4109.4424012870613</v>
      </c>
      <c r="BW585" s="28">
        <f t="shared" si="2466"/>
        <v>4122.5926169711811</v>
      </c>
      <c r="BX585" s="184">
        <f t="shared" si="2466"/>
        <v>4101.4232315643749</v>
      </c>
      <c r="BY585" s="28">
        <f t="shared" si="2466"/>
        <v>4135.7849133454893</v>
      </c>
      <c r="BZ585" s="28">
        <f t="shared" si="2466"/>
        <v>4149.0194250681943</v>
      </c>
      <c r="CA585" s="184">
        <f t="shared" si="2466"/>
        <v>4127.7143388202785</v>
      </c>
      <c r="CB585" s="28">
        <f t="shared" si="2466"/>
        <v>4162.2962872284133</v>
      </c>
      <c r="CC585" s="28">
        <f t="shared" si="2466"/>
        <v>4175.6156353475444</v>
      </c>
      <c r="CD585" s="184">
        <f t="shared" ref="CD585:DI585" si="2467">CD569-CD591</f>
        <v>4154.1739783835583</v>
      </c>
      <c r="CE585" s="28">
        <f t="shared" si="2467"/>
        <v>4188.9776053806572</v>
      </c>
      <c r="CF585" s="28">
        <f t="shared" si="2467"/>
        <v>4202.3823337178756</v>
      </c>
      <c r="CG585" s="184">
        <f t="shared" si="2467"/>
        <v>4180.8032305867528</v>
      </c>
      <c r="CH585" s="28">
        <f t="shared" si="2467"/>
        <v>4215.8299571857733</v>
      </c>
      <c r="CI585" s="28">
        <f t="shared" si="2467"/>
        <v>4229.3206130487679</v>
      </c>
      <c r="CJ585" s="184">
        <f t="shared" si="2467"/>
        <v>4207.6031826875897</v>
      </c>
      <c r="CK585" s="28">
        <f t="shared" si="2467"/>
        <v>4242.8544390105244</v>
      </c>
      <c r="CL585" s="28">
        <f t="shared" si="2467"/>
        <v>4256.4315732153582</v>
      </c>
      <c r="CM585" s="184">
        <f t="shared" si="2467"/>
        <v>4234.5749289133819</v>
      </c>
      <c r="CN585" s="28">
        <f t="shared" si="2467"/>
        <v>4270.0521542496481</v>
      </c>
      <c r="CO585" s="28">
        <f t="shared" si="2467"/>
        <v>4283.7163211432471</v>
      </c>
      <c r="CP585" s="184">
        <f t="shared" si="2467"/>
        <v>4261.7195705057002</v>
      </c>
      <c r="CQ585" s="28">
        <f t="shared" si="2467"/>
        <v>4297.4242133709067</v>
      </c>
      <c r="CR585" s="28">
        <f t="shared" si="2467"/>
        <v>4311.1759708536938</v>
      </c>
      <c r="CS585" s="184">
        <f t="shared" si="2467"/>
        <v>4289.0382157653403</v>
      </c>
      <c r="CT585" s="28">
        <f t="shared" si="2467"/>
        <v>4324.9717339604258</v>
      </c>
      <c r="CU585" s="28">
        <f t="shared" si="2467"/>
        <v>4338.8116435090988</v>
      </c>
      <c r="CV585" s="184">
        <f t="shared" si="2467"/>
        <v>4316.5319800975676</v>
      </c>
      <c r="CW585" s="28">
        <f t="shared" si="2467"/>
        <v>4352.6958407683287</v>
      </c>
      <c r="CX585" s="28">
        <f t="shared" si="2467"/>
        <v>4366.6244674587879</v>
      </c>
      <c r="CY585" s="184">
        <f t="shared" si="2467"/>
        <v>4344.2019860576693</v>
      </c>
      <c r="CZ585" s="28">
        <f t="shared" si="2467"/>
        <v>4380.5976657546571</v>
      </c>
      <c r="DA585" s="28">
        <f t="shared" si="2467"/>
        <v>4394.6155782850719</v>
      </c>
      <c r="DB585" s="184">
        <f t="shared" si="2467"/>
        <v>4372.0493633967772</v>
      </c>
      <c r="DC585" s="28">
        <f t="shared" si="2467"/>
        <v>4408.6783481355842</v>
      </c>
      <c r="DD585" s="28">
        <f t="shared" si="2467"/>
        <v>4422.7861188496181</v>
      </c>
      <c r="DE585" s="184">
        <f t="shared" si="2467"/>
        <v>4400.0752491079975</v>
      </c>
      <c r="DF585" s="28">
        <f t="shared" si="2467"/>
        <v>4436.9390344299372</v>
      </c>
      <c r="DG585" s="28">
        <f t="shared" si="2467"/>
        <v>4451.1372393401134</v>
      </c>
      <c r="DH585" s="184">
        <f t="shared" si="2467"/>
        <v>4428.2807874728396</v>
      </c>
      <c r="DI585" s="28">
        <f t="shared" si="2467"/>
        <v>4465.3808785060019</v>
      </c>
      <c r="DJ585" s="28">
        <f t="shared" ref="DJ585:EF585" si="2468">DJ569-DJ591</f>
        <v>4479.670097317221</v>
      </c>
      <c r="DK585" s="184">
        <f t="shared" si="2468"/>
        <v>4456.6671301079296</v>
      </c>
      <c r="DL585" s="28">
        <f t="shared" si="2468"/>
        <v>4494.0050416286358</v>
      </c>
      <c r="DM585" s="28">
        <f t="shared" si="2468"/>
        <v>4508.3858577618485</v>
      </c>
      <c r="DN585" s="184">
        <f t="shared" si="2468"/>
        <v>4485.2354360120335</v>
      </c>
      <c r="DO585" s="28">
        <f t="shared" si="2468"/>
        <v>4522.8126925066863</v>
      </c>
      <c r="DP585" s="28">
        <f t="shared" si="2468"/>
        <v>4537.2856931227079</v>
      </c>
      <c r="DQ585" s="184">
        <f t="shared" si="2468"/>
        <v>4513.986871613376</v>
      </c>
      <c r="DR585" s="28">
        <f t="shared" si="2468"/>
        <v>4551.8050073407012</v>
      </c>
      <c r="DS585" s="28">
        <f t="shared" si="2468"/>
        <v>4566.370783364192</v>
      </c>
      <c r="DT585" s="184">
        <f t="shared" si="2468"/>
        <v>4542.9226108172679</v>
      </c>
      <c r="DU585" s="28">
        <f t="shared" si="2468"/>
        <v>4580.9831698709568</v>
      </c>
      <c r="DV585" s="28">
        <f t="shared" si="2468"/>
        <v>4595.642316014545</v>
      </c>
      <c r="DW585" s="184">
        <f t="shared" si="2468"/>
        <v>4572.0438350540335</v>
      </c>
      <c r="DX585" s="28">
        <f t="shared" si="2468"/>
        <v>4610.3483714257918</v>
      </c>
      <c r="DY585" s="28">
        <f t="shared" si="2468"/>
        <v>4625.1014862143547</v>
      </c>
      <c r="DZ585" s="184">
        <f t="shared" si="2468"/>
        <v>4601.3517333272512</v>
      </c>
      <c r="EA585" s="28">
        <f t="shared" si="2468"/>
        <v>4639.9018109702411</v>
      </c>
      <c r="EB585" s="28">
        <f t="shared" si="2468"/>
        <v>4654.7494967653465</v>
      </c>
      <c r="EC585" s="184">
        <f t="shared" si="2468"/>
        <v>4630.8475022622961</v>
      </c>
      <c r="ED585" s="28">
        <f t="shared" si="2468"/>
        <v>4669.644695154996</v>
      </c>
      <c r="EE585" s="28">
        <f t="shared" si="2468"/>
        <v>4684.5875581794926</v>
      </c>
      <c r="EF585" s="184">
        <f t="shared" si="2468"/>
        <v>4660.5323461551989</v>
      </c>
      <c r="EG585" s="28">
        <f t="shared" ref="EG585:EL585" si="2469">EG569-EG591</f>
        <v>4699.5782383656669</v>
      </c>
      <c r="EH585" s="28">
        <f t="shared" si="2469"/>
        <v>4714.6168887284384</v>
      </c>
      <c r="EI585" s="184">
        <f t="shared" si="2469"/>
        <v>4690.4074770218176</v>
      </c>
      <c r="EJ585" s="28">
        <f t="shared" si="2469"/>
        <v>4729.7036627723692</v>
      </c>
      <c r="EK585" s="28">
        <f t="shared" si="2469"/>
        <v>4744.8387144932412</v>
      </c>
      <c r="EL585" s="184">
        <f t="shared" si="2469"/>
        <v>4720.4741146473225</v>
      </c>
      <c r="EM585" s="28">
        <f t="shared" ref="EM585:ER585" si="2470">EM569-EM591</f>
        <v>4760.0221983796191</v>
      </c>
      <c r="EN585" s="28">
        <f t="shared" si="2470"/>
        <v>4775.2542694144349</v>
      </c>
      <c r="EO585" s="184">
        <f t="shared" si="2470"/>
        <v>4750.7334866359997</v>
      </c>
      <c r="EP585" s="28">
        <f t="shared" si="2470"/>
        <v>4790.5350830765619</v>
      </c>
      <c r="EQ585" s="28">
        <f t="shared" si="2470"/>
        <v>4805.864795342407</v>
      </c>
      <c r="ER585" s="184">
        <f t="shared" si="2470"/>
        <v>4781.1868284613738</v>
      </c>
      <c r="ES585" s="28">
        <f t="shared" ref="ES585:EX585" si="2471">ES569-ES591</f>
        <v>4821.2435626875031</v>
      </c>
      <c r="ET585" s="28">
        <f t="shared" si="2471"/>
        <v>4836.6715420881028</v>
      </c>
      <c r="EU585" s="184">
        <f t="shared" si="2471"/>
        <v>4811.8353835166508</v>
      </c>
      <c r="EV585" s="28">
        <f t="shared" si="2471"/>
        <v>4852.1488910227854</v>
      </c>
      <c r="EW585" s="28">
        <f t="shared" si="2471"/>
        <v>4867.6757674740584</v>
      </c>
      <c r="EX585" s="184">
        <f t="shared" si="2471"/>
        <v>4842.6804031654847</v>
      </c>
      <c r="EY585" s="28">
        <f t="shared" ref="EY585:FA585" si="2472">EY569-EY591</f>
        <v>4883.2523299299755</v>
      </c>
      <c r="EZ585" s="28">
        <f t="shared" si="2472"/>
        <v>4898.8787373857522</v>
      </c>
      <c r="FA585" s="184">
        <f t="shared" si="2472"/>
        <v>4873.7231467930733</v>
      </c>
      <c r="FH585" s="35"/>
      <c r="FI585" s="35"/>
      <c r="FJ585" s="35"/>
      <c r="FK585" s="35"/>
      <c r="FL585" s="35"/>
      <c r="FM585" s="35"/>
      <c r="FN585" s="35"/>
      <c r="FO585" s="35"/>
      <c r="FP585" s="35"/>
      <c r="FQ585" s="35"/>
    </row>
    <row r="586" spans="1:173" s="321" customFormat="1" hidden="1" outlineLevel="1">
      <c r="A586" s="1168"/>
      <c r="B586" s="186"/>
      <c r="C586" s="186" t="s">
        <v>327</v>
      </c>
      <c r="D586" s="910"/>
      <c r="E586" s="1"/>
      <c r="F586" s="1"/>
      <c r="G586" s="5"/>
      <c r="H586" s="1"/>
      <c r="I586" s="1"/>
      <c r="J586" s="5"/>
      <c r="K586" s="1"/>
      <c r="L586" s="1"/>
      <c r="M586" s="5"/>
      <c r="N586" s="1"/>
      <c r="O586" s="1"/>
      <c r="P586" s="5"/>
      <c r="Q586" s="1"/>
      <c r="R586" s="1"/>
      <c r="S586" s="5"/>
      <c r="T586" s="1"/>
      <c r="U586" s="1"/>
      <c r="V586" s="5"/>
      <c r="W586" s="1"/>
      <c r="X586" s="1"/>
      <c r="Y586" s="5"/>
      <c r="Z586" s="1"/>
      <c r="AA586" s="1"/>
      <c r="AB586" s="5"/>
      <c r="AC586" s="1"/>
      <c r="AD586" s="1"/>
      <c r="AE586" s="5"/>
      <c r="AF586" s="1"/>
      <c r="AG586" s="1"/>
      <c r="AH586" s="5"/>
      <c r="AI586" s="1"/>
      <c r="AJ586" s="1"/>
      <c r="AK586" s="5"/>
      <c r="AL586" s="1"/>
      <c r="AM586" s="1"/>
      <c r="AN586" s="5"/>
      <c r="AO586" s="1"/>
      <c r="AP586" s="1"/>
      <c r="AQ586" s="5"/>
      <c r="AR586" s="1"/>
      <c r="AS586" s="1"/>
      <c r="AT586" s="5"/>
      <c r="AU586" s="1"/>
      <c r="AV586" s="1"/>
      <c r="AW586" s="5"/>
      <c r="AX586" s="184">
        <f t="shared" ref="AX586:CC586" si="2473">SUM(AX583:AX585)</f>
        <v>4842.1112320132488</v>
      </c>
      <c r="AY586" s="184">
        <f t="shared" si="2473"/>
        <v>4866.6987122325545</v>
      </c>
      <c r="AZ586" s="184">
        <f t="shared" si="2473"/>
        <v>4844.2472043958032</v>
      </c>
      <c r="BA586" s="28">
        <f t="shared" si="2473"/>
        <v>4891.4450126784286</v>
      </c>
      <c r="BB586" s="28">
        <f t="shared" si="2473"/>
        <v>4916.3511357966509</v>
      </c>
      <c r="BC586" s="58">
        <f t="shared" si="2473"/>
        <v>4893.6450346664005</v>
      </c>
      <c r="BD586" s="28">
        <f t="shared" si="2473"/>
        <v>4941.4180904238237</v>
      </c>
      <c r="BE586" s="28">
        <f t="shared" si="2473"/>
        <v>4966.6468918281871</v>
      </c>
      <c r="BF586" s="58">
        <f t="shared" si="2473"/>
        <v>4943.6829287519004</v>
      </c>
      <c r="BG586" s="28">
        <f t="shared" si="2473"/>
        <v>4992.0385617506872</v>
      </c>
      <c r="BH586" s="28">
        <f t="shared" si="2473"/>
        <v>5017.5941284463224</v>
      </c>
      <c r="BI586" s="58">
        <f t="shared" si="2473"/>
        <v>4994.3689931594872</v>
      </c>
      <c r="BJ586" s="110">
        <f t="shared" si="2473"/>
        <v>5043.3146267257325</v>
      </c>
      <c r="BK586" s="110">
        <f t="shared" si="2473"/>
        <v>5069.2010979970783</v>
      </c>
      <c r="BL586" s="111">
        <f t="shared" si="2473"/>
        <v>5045.7114380903604</v>
      </c>
      <c r="BM586" s="110">
        <f t="shared" si="2473"/>
        <v>5082.2278441526232</v>
      </c>
      <c r="BN586" s="110">
        <f t="shared" si="2473"/>
        <v>5095.2966092505694</v>
      </c>
      <c r="BO586" s="111">
        <f t="shared" si="2473"/>
        <v>5071.606223096449</v>
      </c>
      <c r="BP586" s="110">
        <f t="shared" si="2473"/>
        <v>5108.4075259727397</v>
      </c>
      <c r="BQ586" s="110">
        <f t="shared" si="2473"/>
        <v>5121.5607274239392</v>
      </c>
      <c r="BR586" s="111">
        <f t="shared" si="2473"/>
        <v>5097.7353089757808</v>
      </c>
      <c r="BS586" s="28">
        <f t="shared" si="2473"/>
        <v>5134.7563471333024</v>
      </c>
      <c r="BT586" s="28">
        <f t="shared" si="2473"/>
        <v>5147.9945190556482</v>
      </c>
      <c r="BU586" s="184">
        <f t="shared" si="2473"/>
        <v>5124.0332032743527</v>
      </c>
      <c r="BV586" s="28">
        <f t="shared" si="2473"/>
        <v>5161.2753775728415</v>
      </c>
      <c r="BW586" s="28">
        <f t="shared" si="2473"/>
        <v>5174.5990574951575</v>
      </c>
      <c r="BX586" s="184">
        <f t="shared" si="2473"/>
        <v>5150.5009738423478</v>
      </c>
      <c r="BY586" s="28">
        <f t="shared" si="2473"/>
        <v>5187.9656940626428</v>
      </c>
      <c r="BZ586" s="28">
        <f t="shared" si="2473"/>
        <v>5201.3754229464985</v>
      </c>
      <c r="CA586" s="184">
        <f t="shared" si="2473"/>
        <v>5177.1396953493695</v>
      </c>
      <c r="CB586" s="28">
        <f t="shared" si="2473"/>
        <v>5214.8283802504511</v>
      </c>
      <c r="CC586" s="28">
        <f t="shared" si="2473"/>
        <v>5228.3247025121327</v>
      </c>
      <c r="CD586" s="184">
        <f t="shared" ref="CD586:DI586" si="2474">SUM(CD583:CD585)</f>
        <v>5203.9504493280638</v>
      </c>
      <c r="CE586" s="28">
        <f t="shared" si="2474"/>
        <v>5241.8645267044676</v>
      </c>
      <c r="CF586" s="28">
        <f t="shared" si="2474"/>
        <v>5255.4479902370658</v>
      </c>
      <c r="CG586" s="184">
        <f t="shared" si="2474"/>
        <v>5230.9343242180166</v>
      </c>
      <c r="CH586" s="28">
        <f t="shared" si="2474"/>
        <v>5269.0752309576119</v>
      </c>
      <c r="CI586" s="28">
        <f t="shared" si="2474"/>
        <v>5282.7463871532682</v>
      </c>
      <c r="CJ586" s="184">
        <f t="shared" si="2474"/>
        <v>5258.092415409943</v>
      </c>
      <c r="CK586" s="28">
        <f t="shared" si="2474"/>
        <v>5296.4615975520783</v>
      </c>
      <c r="CL586" s="28">
        <f t="shared" si="2474"/>
        <v>5310.2210013243712</v>
      </c>
      <c r="CM586" s="184">
        <f t="shared" si="2474"/>
        <v>5285.4258252901518</v>
      </c>
      <c r="CN586" s="28">
        <f t="shared" si="2474"/>
        <v>5324.0247380841784</v>
      </c>
      <c r="CO586" s="28">
        <f t="shared" si="2474"/>
        <v>5337.8729478906462</v>
      </c>
      <c r="CP586" s="184">
        <f t="shared" si="2474"/>
        <v>5312.9356632852978</v>
      </c>
      <c r="CQ586" s="28">
        <f t="shared" si="2474"/>
        <v>5351.765771249462</v>
      </c>
      <c r="CR586" s="28">
        <f t="shared" si="2474"/>
        <v>5365.7033491142774</v>
      </c>
      <c r="CS586" s="184">
        <f t="shared" si="2474"/>
        <v>5340.6230459074195</v>
      </c>
      <c r="CT586" s="28">
        <f t="shared" si="2474"/>
        <v>5379.6858228881365</v>
      </c>
      <c r="CU586" s="28">
        <f t="shared" si="2474"/>
        <v>5393.7133344249187</v>
      </c>
      <c r="CV586" s="184">
        <f t="shared" si="2474"/>
        <v>5368.489096799266</v>
      </c>
      <c r="CW586" s="28">
        <f t="shared" si="2474"/>
        <v>5407.7860260307716</v>
      </c>
      <c r="CX586" s="28">
        <f t="shared" si="2474"/>
        <v>5421.904040465557</v>
      </c>
      <c r="CY586" s="184">
        <f t="shared" si="2474"/>
        <v>5396.5349467799169</v>
      </c>
      <c r="CZ586" s="28">
        <f t="shared" si="2474"/>
        <v>5436.0675209443016</v>
      </c>
      <c r="DA586" s="28">
        <f t="shared" si="2474"/>
        <v>5450.2766111386445</v>
      </c>
      <c r="DB586" s="184">
        <f t="shared" si="2474"/>
        <v>5424.7617338906857</v>
      </c>
      <c r="DC586" s="28">
        <f t="shared" si="2474"/>
        <v>5464.5314551783067</v>
      </c>
      <c r="DD586" s="28">
        <f t="shared" si="2474"/>
        <v>5478.8321976525458</v>
      </c>
      <c r="DE586" s="184">
        <f t="shared" si="2474"/>
        <v>5453.1706034413273</v>
      </c>
      <c r="DF586" s="28">
        <f t="shared" si="2474"/>
        <v>5493.1789836116241</v>
      </c>
      <c r="DG586" s="28">
        <f t="shared" si="2474"/>
        <v>5507.5719585682818</v>
      </c>
      <c r="DH586" s="184">
        <f t="shared" si="2474"/>
        <v>5481.7627080565362</v>
      </c>
      <c r="DI586" s="28">
        <f t="shared" si="2474"/>
        <v>5522.0112684992164</v>
      </c>
      <c r="DJ586" s="28">
        <f t="shared" ref="DJ586:EF586" si="2475">SUM(DJ583:DJ585)</f>
        <v>5536.4970598465607</v>
      </c>
      <c r="DK586" s="184">
        <f t="shared" si="2475"/>
        <v>5510.5392077227452</v>
      </c>
      <c r="DL586" s="28">
        <f t="shared" si="2475"/>
        <v>5551.0294795193713</v>
      </c>
      <c r="DM586" s="28">
        <f t="shared" si="2475"/>
        <v>5565.6086748951211</v>
      </c>
      <c r="DN586" s="184">
        <f t="shared" si="2475"/>
        <v>5539.5012698352184</v>
      </c>
      <c r="DO586" s="28">
        <f t="shared" si="2475"/>
        <v>5580.2347938211906</v>
      </c>
      <c r="DP586" s="28">
        <f t="shared" si="2475"/>
        <v>5594.907984616375</v>
      </c>
      <c r="DQ586" s="184">
        <f t="shared" si="2475"/>
        <v>5568.650069245452</v>
      </c>
      <c r="DR586" s="28">
        <f t="shared" si="2475"/>
        <v>5609.628396072384</v>
      </c>
      <c r="DS586" s="28">
        <f t="shared" si="2475"/>
        <v>5624.3961774553554</v>
      </c>
      <c r="DT586" s="184">
        <f t="shared" si="2475"/>
        <v>5597.9867883088737</v>
      </c>
      <c r="DU586" s="28">
        <f t="shared" si="2475"/>
        <v>5639.2114785073691</v>
      </c>
      <c r="DV586" s="28">
        <f t="shared" si="2475"/>
        <v>5654.0744494479695</v>
      </c>
      <c r="DW586" s="184">
        <f t="shared" si="2475"/>
        <v>5627.5126169328541</v>
      </c>
      <c r="DX586" s="28">
        <f t="shared" si="2475"/>
        <v>5668.9852409756859</v>
      </c>
      <c r="DY586" s="28">
        <f t="shared" si="2475"/>
        <v>5683.944004269566</v>
      </c>
      <c r="DZ586" s="184">
        <f t="shared" si="2475"/>
        <v>5657.2287526250193</v>
      </c>
      <c r="EA586" s="28">
        <f t="shared" si="2475"/>
        <v>5698.9508909907099</v>
      </c>
      <c r="EB586" s="28">
        <f t="shared" si="2475"/>
        <v>5714.0060532838088</v>
      </c>
      <c r="EC586" s="184">
        <f t="shared" si="2475"/>
        <v>5687.1364005418745</v>
      </c>
      <c r="ED586" s="28">
        <f t="shared" si="2475"/>
        <v>5729.1096437786891</v>
      </c>
      <c r="EE586" s="28">
        <f t="shared" si="2475"/>
        <v>5744.2618155918635</v>
      </c>
      <c r="EF586" s="184">
        <f t="shared" si="2475"/>
        <v>5717.2367735377384</v>
      </c>
      <c r="EG586" s="28">
        <f t="shared" ref="EG586:EL586" si="2476">SUM(EG583:EG585)</f>
        <v>5759.4627223280841</v>
      </c>
      <c r="EH586" s="28">
        <f t="shared" si="2476"/>
        <v>5774.7125180819039</v>
      </c>
      <c r="EI586" s="184">
        <f t="shared" si="2476"/>
        <v>5747.5310922139997</v>
      </c>
      <c r="EJ586" s="28">
        <f t="shared" si="2476"/>
        <v>5790.0113574392344</v>
      </c>
      <c r="EK586" s="28">
        <f t="shared" si="2476"/>
        <v>5805.3593954789267</v>
      </c>
      <c r="EL586" s="184">
        <f t="shared" si="2476"/>
        <v>5778.0205849686699</v>
      </c>
      <c r="EM586" s="28">
        <f t="shared" ref="EM586:ER586" si="2477">SUM(EM583:EM585)</f>
        <v>5820.756787774334</v>
      </c>
      <c r="EN586" s="28">
        <f t="shared" si="2477"/>
        <v>5836.2036903949011</v>
      </c>
      <c r="EO586" s="184">
        <f t="shared" si="2477"/>
        <v>5808.7064880462785</v>
      </c>
      <c r="EP586" s="28">
        <f t="shared" si="2477"/>
        <v>5851.7002599077377</v>
      </c>
      <c r="EQ586" s="28">
        <f t="shared" si="2477"/>
        <v>5867.2466533792176</v>
      </c>
      <c r="ER586" s="184">
        <f t="shared" si="2477"/>
        <v>5839.5900455880637</v>
      </c>
      <c r="ES586" s="28">
        <f t="shared" ref="ES586:EX586" si="2478">SUM(ES583:ES585)</f>
        <v>5882.8430283765701</v>
      </c>
      <c r="ET586" s="28">
        <f t="shared" si="2478"/>
        <v>5898.4895429694789</v>
      </c>
      <c r="EU586" s="184">
        <f t="shared" si="2478"/>
        <v>5870.6725096824994</v>
      </c>
      <c r="EV586" s="28">
        <f t="shared" si="2478"/>
        <v>5914.1863557316883</v>
      </c>
      <c r="EW586" s="28">
        <f t="shared" si="2478"/>
        <v>5929.9336257426085</v>
      </c>
      <c r="EX586" s="184">
        <f t="shared" si="2478"/>
        <v>5901.9551404161439</v>
      </c>
      <c r="EY586" s="28">
        <f t="shared" ref="EY586:FA586" si="2479">SUM(EY583:EY585)</f>
        <v>5945.7315125889381</v>
      </c>
      <c r="EZ586" s="28">
        <f t="shared" si="2479"/>
        <v>5961.5801763662821</v>
      </c>
      <c r="FA586" s="184">
        <f t="shared" si="2479"/>
        <v>5933.4392059248112</v>
      </c>
      <c r="FH586" s="35"/>
      <c r="FI586" s="35"/>
      <c r="FJ586" s="35"/>
      <c r="FK586" s="35"/>
      <c r="FL586" s="35"/>
      <c r="FM586" s="35"/>
      <c r="FN586" s="35"/>
      <c r="FO586" s="35"/>
      <c r="FP586" s="35"/>
      <c r="FQ586" s="35"/>
    </row>
    <row r="587" spans="1:173" s="321" customFormat="1" hidden="1" outlineLevel="1">
      <c r="A587" s="1168"/>
      <c r="B587" s="186"/>
      <c r="C587" s="186"/>
      <c r="D587" s="910"/>
      <c r="E587" s="1"/>
      <c r="F587" s="1"/>
      <c r="G587" s="5"/>
      <c r="H587" s="1"/>
      <c r="I587" s="1"/>
      <c r="J587" s="5"/>
      <c r="K587" s="1"/>
      <c r="L587" s="1"/>
      <c r="M587" s="5"/>
      <c r="N587" s="1"/>
      <c r="O587" s="1"/>
      <c r="P587" s="5"/>
      <c r="Q587" s="1"/>
      <c r="R587" s="1"/>
      <c r="S587" s="5"/>
      <c r="T587" s="1"/>
      <c r="U587" s="1"/>
      <c r="V587" s="5"/>
      <c r="W587" s="1"/>
      <c r="X587" s="1"/>
      <c r="Y587" s="5"/>
      <c r="Z587" s="1"/>
      <c r="AA587" s="1"/>
      <c r="AB587" s="5"/>
      <c r="AC587" s="1"/>
      <c r="AD587" s="1"/>
      <c r="AE587" s="5"/>
      <c r="AF587" s="1"/>
      <c r="AG587" s="1"/>
      <c r="AH587" s="5"/>
      <c r="AI587" s="1"/>
      <c r="AJ587" s="1"/>
      <c r="AK587" s="5"/>
      <c r="AL587" s="1"/>
      <c r="AM587" s="1"/>
      <c r="AN587" s="5"/>
      <c r="AO587" s="1"/>
      <c r="AP587" s="1"/>
      <c r="AQ587" s="5"/>
      <c r="AR587" s="1"/>
      <c r="AS587" s="1"/>
      <c r="AT587" s="5"/>
      <c r="AU587" s="1"/>
      <c r="AV587" s="1"/>
      <c r="AW587" s="5"/>
      <c r="AX587" s="1"/>
      <c r="AY587" s="1"/>
      <c r="AZ587" s="5"/>
      <c r="BA587" s="1"/>
      <c r="BB587" s="1"/>
      <c r="BC587" s="46"/>
      <c r="BD587" s="4"/>
      <c r="BE587" s="4"/>
      <c r="BF587" s="971"/>
      <c r="BG587" s="4"/>
      <c r="BH587" s="4"/>
      <c r="BI587" s="971"/>
      <c r="BJ587" s="121"/>
      <c r="BK587" s="121"/>
      <c r="BL587" s="114"/>
      <c r="BM587" s="121"/>
      <c r="BN587" s="121"/>
      <c r="BO587" s="114"/>
      <c r="BP587" s="121"/>
      <c r="BQ587" s="121"/>
      <c r="BR587" s="114"/>
      <c r="BS587" s="4"/>
      <c r="BT587" s="4"/>
      <c r="BU587" s="185"/>
      <c r="BV587" s="4"/>
      <c r="BW587" s="4"/>
      <c r="BX587" s="185"/>
      <c r="BY587" s="4"/>
      <c r="BZ587" s="4"/>
      <c r="CA587" s="185"/>
      <c r="CB587" s="4"/>
      <c r="CC587" s="4"/>
      <c r="CD587" s="185"/>
      <c r="CE587" s="4"/>
      <c r="CF587" s="4"/>
      <c r="CG587" s="185"/>
      <c r="CH587" s="4"/>
      <c r="CI587" s="4"/>
      <c r="CJ587" s="185"/>
      <c r="CK587" s="4"/>
      <c r="CL587" s="4"/>
      <c r="CM587" s="185"/>
      <c r="CN587" s="4"/>
      <c r="CO587" s="4"/>
      <c r="CP587" s="185"/>
      <c r="CQ587" s="4"/>
      <c r="CR587" s="4"/>
      <c r="CS587" s="185"/>
      <c r="CT587" s="4"/>
      <c r="CU587" s="4"/>
      <c r="CV587" s="185"/>
      <c r="CW587" s="4"/>
      <c r="CX587" s="4"/>
      <c r="CY587" s="185"/>
      <c r="CZ587" s="4"/>
      <c r="DA587" s="4"/>
      <c r="DB587" s="185"/>
      <c r="DC587" s="4"/>
      <c r="DD587" s="4"/>
      <c r="DE587" s="185"/>
      <c r="DF587" s="4"/>
      <c r="DG587" s="4"/>
      <c r="DH587" s="185"/>
      <c r="DI587" s="4"/>
      <c r="DJ587" s="4"/>
      <c r="DK587" s="185"/>
      <c r="DL587" s="4"/>
      <c r="DM587" s="4"/>
      <c r="DN587" s="185"/>
      <c r="DO587" s="4"/>
      <c r="DP587" s="4"/>
      <c r="DQ587" s="185"/>
      <c r="DR587" s="4"/>
      <c r="DS587" s="4"/>
      <c r="DT587" s="185"/>
      <c r="DU587" s="4"/>
      <c r="DV587" s="4"/>
      <c r="DW587" s="185"/>
      <c r="DX587" s="4"/>
      <c r="DY587" s="4"/>
      <c r="DZ587" s="185"/>
      <c r="EA587" s="4"/>
      <c r="EB587" s="4"/>
      <c r="EC587" s="185"/>
      <c r="ED587" s="4"/>
      <c r="EE587" s="4"/>
      <c r="EF587" s="185"/>
      <c r="EG587" s="4"/>
      <c r="EH587" s="4"/>
      <c r="EI587" s="185"/>
      <c r="EJ587" s="4"/>
      <c r="EK587" s="4"/>
      <c r="EL587" s="185"/>
      <c r="EM587" s="4"/>
      <c r="EN587" s="4"/>
      <c r="EO587" s="185"/>
      <c r="EP587" s="4"/>
      <c r="EQ587" s="4"/>
      <c r="ER587" s="185"/>
      <c r="ES587" s="4"/>
      <c r="ET587" s="4"/>
      <c r="EU587" s="185"/>
      <c r="EV587" s="4"/>
      <c r="EW587" s="4"/>
      <c r="EX587" s="185"/>
      <c r="EY587" s="4"/>
      <c r="EZ587" s="4"/>
      <c r="FA587" s="185"/>
      <c r="FH587" s="35"/>
      <c r="FI587" s="35"/>
      <c r="FJ587" s="35"/>
      <c r="FK587" s="35"/>
      <c r="FL587" s="35"/>
      <c r="FM587" s="35"/>
      <c r="FN587" s="35"/>
      <c r="FO587" s="35"/>
      <c r="FP587" s="35"/>
      <c r="FQ587" s="35"/>
    </row>
    <row r="588" spans="1:173" s="321" customFormat="1" hidden="1" outlineLevel="1">
      <c r="A588" s="1168"/>
      <c r="B588" s="186"/>
      <c r="C588" s="331" t="s">
        <v>336</v>
      </c>
      <c r="D588" s="910"/>
      <c r="E588" s="1"/>
      <c r="F588" s="1"/>
      <c r="G588" s="5"/>
      <c r="H588" s="1"/>
      <c r="I588" s="1"/>
      <c r="J588" s="5"/>
      <c r="K588" s="1"/>
      <c r="L588" s="1"/>
      <c r="M588" s="5"/>
      <c r="N588" s="1"/>
      <c r="O588" s="1"/>
      <c r="P588" s="5"/>
      <c r="Q588" s="1"/>
      <c r="R588" s="1"/>
      <c r="S588" s="5"/>
      <c r="T588" s="1"/>
      <c r="U588" s="1"/>
      <c r="V588" s="5"/>
      <c r="W588" s="1"/>
      <c r="X588" s="1"/>
      <c r="Y588" s="5"/>
      <c r="Z588" s="1"/>
      <c r="AA588" s="1"/>
      <c r="AB588" s="5"/>
      <c r="AC588" s="1"/>
      <c r="AD588" s="1"/>
      <c r="AE588" s="5"/>
      <c r="AF588" s="1"/>
      <c r="AG588" s="1"/>
      <c r="AH588" s="5"/>
      <c r="AI588" s="1"/>
      <c r="AJ588" s="1"/>
      <c r="AK588" s="5"/>
      <c r="AL588" s="1"/>
      <c r="AM588" s="1"/>
      <c r="AN588" s="5"/>
      <c r="AO588" s="1"/>
      <c r="AP588" s="1"/>
      <c r="AQ588" s="5"/>
      <c r="AR588" s="1"/>
      <c r="AS588" s="1"/>
      <c r="AT588" s="5"/>
      <c r="AU588" s="1"/>
      <c r="AV588" s="1"/>
      <c r="AW588" s="5"/>
      <c r="AX588" s="1"/>
      <c r="AY588" s="1"/>
      <c r="AZ588" s="5"/>
      <c r="BA588" s="1"/>
      <c r="BB588" s="1"/>
      <c r="BC588" s="46"/>
      <c r="BD588" s="4"/>
      <c r="BE588" s="4"/>
      <c r="BF588" s="971"/>
      <c r="BG588" s="4"/>
      <c r="BH588" s="4"/>
      <c r="BI588" s="971"/>
      <c r="BJ588" s="121"/>
      <c r="BK588" s="121"/>
      <c r="BL588" s="114"/>
      <c r="BM588" s="121"/>
      <c r="BN588" s="121"/>
      <c r="BO588" s="114"/>
      <c r="BP588" s="121"/>
      <c r="BQ588" s="121"/>
      <c r="BR588" s="114"/>
      <c r="BS588" s="4"/>
      <c r="BT588" s="4"/>
      <c r="BU588" s="185"/>
      <c r="BV588" s="4"/>
      <c r="BW588" s="4"/>
      <c r="BX588" s="185"/>
      <c r="BY588" s="4"/>
      <c r="BZ588" s="4"/>
      <c r="CA588" s="185"/>
      <c r="CB588" s="4"/>
      <c r="CC588" s="4"/>
      <c r="CD588" s="185"/>
      <c r="CE588" s="4"/>
      <c r="CF588" s="4"/>
      <c r="CG588" s="185"/>
      <c r="CH588" s="4"/>
      <c r="CI588" s="4"/>
      <c r="CJ588" s="185"/>
      <c r="CK588" s="4"/>
      <c r="CL588" s="4"/>
      <c r="CM588" s="185"/>
      <c r="CN588" s="4"/>
      <c r="CO588" s="4"/>
      <c r="CP588" s="185"/>
      <c r="CQ588" s="4"/>
      <c r="CR588" s="4"/>
      <c r="CS588" s="185"/>
      <c r="CT588" s="4"/>
      <c r="CU588" s="4"/>
      <c r="CV588" s="185"/>
      <c r="CW588" s="4"/>
      <c r="CX588" s="4"/>
      <c r="CY588" s="185"/>
      <c r="CZ588" s="4"/>
      <c r="DA588" s="4"/>
      <c r="DB588" s="185"/>
      <c r="DC588" s="4"/>
      <c r="DD588" s="4"/>
      <c r="DE588" s="185"/>
      <c r="DF588" s="4"/>
      <c r="DG588" s="4"/>
      <c r="DH588" s="185"/>
      <c r="DI588" s="4"/>
      <c r="DJ588" s="4"/>
      <c r="DK588" s="185"/>
      <c r="DL588" s="4"/>
      <c r="DM588" s="4"/>
      <c r="DN588" s="185"/>
      <c r="DO588" s="4"/>
      <c r="DP588" s="4"/>
      <c r="DQ588" s="185"/>
      <c r="DR588" s="4"/>
      <c r="DS588" s="4"/>
      <c r="DT588" s="185"/>
      <c r="DU588" s="4"/>
      <c r="DV588" s="4"/>
      <c r="DW588" s="185"/>
      <c r="DX588" s="4"/>
      <c r="DY588" s="4"/>
      <c r="DZ588" s="185"/>
      <c r="EA588" s="4"/>
      <c r="EB588" s="4"/>
      <c r="EC588" s="185"/>
      <c r="ED588" s="4"/>
      <c r="EE588" s="4"/>
      <c r="EF588" s="185"/>
      <c r="EG588" s="4"/>
      <c r="EH588" s="4"/>
      <c r="EI588" s="185"/>
      <c r="EJ588" s="4"/>
      <c r="EK588" s="4"/>
      <c r="EL588" s="185"/>
      <c r="EM588" s="4"/>
      <c r="EN588" s="4"/>
      <c r="EO588" s="185"/>
      <c r="EP588" s="4"/>
      <c r="EQ588" s="4"/>
      <c r="ER588" s="185"/>
      <c r="ES588" s="4"/>
      <c r="ET588" s="4"/>
      <c r="EU588" s="185"/>
      <c r="EV588" s="4"/>
      <c r="EW588" s="4"/>
      <c r="EX588" s="185"/>
      <c r="EY588" s="4"/>
      <c r="EZ588" s="4"/>
      <c r="FA588" s="185"/>
      <c r="FH588" s="35"/>
      <c r="FI588" s="35"/>
      <c r="FJ588" s="35"/>
      <c r="FK588" s="35"/>
      <c r="FL588" s="35"/>
      <c r="FM588" s="35"/>
      <c r="FN588" s="35"/>
      <c r="FO588" s="35"/>
      <c r="FP588" s="35"/>
      <c r="FQ588" s="35"/>
    </row>
    <row r="589" spans="1:173" s="321" customFormat="1" hidden="1" outlineLevel="1">
      <c r="A589" s="1168"/>
      <c r="B589" s="186"/>
      <c r="C589" s="186" t="s">
        <v>316</v>
      </c>
      <c r="D589" s="910"/>
      <c r="E589" s="1"/>
      <c r="F589" s="1"/>
      <c r="G589" s="5"/>
      <c r="H589" s="1"/>
      <c r="I589" s="1"/>
      <c r="J589" s="5"/>
      <c r="K589" s="1"/>
      <c r="L589" s="1"/>
      <c r="M589" s="5"/>
      <c r="N589" s="1"/>
      <c r="O589" s="1"/>
      <c r="P589" s="5"/>
      <c r="Q589" s="1"/>
      <c r="R589" s="1"/>
      <c r="S589" s="5"/>
      <c r="T589" s="1"/>
      <c r="U589" s="1"/>
      <c r="V589" s="5"/>
      <c r="W589" s="1"/>
      <c r="X589" s="1"/>
      <c r="Y589" s="5"/>
      <c r="Z589" s="1"/>
      <c r="AA589" s="1"/>
      <c r="AB589" s="5"/>
      <c r="AC589" s="1"/>
      <c r="AD589" s="1"/>
      <c r="AE589" s="5"/>
      <c r="AF589" s="1"/>
      <c r="AG589" s="1"/>
      <c r="AH589" s="5"/>
      <c r="AI589" s="1"/>
      <c r="AJ589" s="1"/>
      <c r="AK589" s="5"/>
      <c r="AL589" s="1"/>
      <c r="AM589" s="1"/>
      <c r="AN589" s="5"/>
      <c r="AO589" s="1"/>
      <c r="AP589" s="1"/>
      <c r="AQ589" s="5"/>
      <c r="AR589" s="1"/>
      <c r="AS589" s="1"/>
      <c r="AT589" s="5"/>
      <c r="AU589" s="1"/>
      <c r="AV589" s="1"/>
      <c r="AW589" s="5"/>
      <c r="AX589" s="215">
        <f t="shared" ref="AX589:AY591" si="2480">AX567*(AX578/2)</f>
        <v>1.1455929339562501</v>
      </c>
      <c r="AY589" s="215">
        <f t="shared" si="2480"/>
        <v>1.1489724331114211</v>
      </c>
      <c r="AZ589" s="215">
        <f>SUM(AX589:AY589)</f>
        <v>2.2945653670676709</v>
      </c>
      <c r="BA589" s="39">
        <f t="shared" ref="BA589:BB591" si="2481">BA567*(BA578/2)</f>
        <v>1.1523619017890998</v>
      </c>
      <c r="BB589" s="39">
        <f t="shared" si="2481"/>
        <v>1.1557613693993776</v>
      </c>
      <c r="BC589" s="974">
        <f>SUM(BA589:BB589)</f>
        <v>2.3081232711884772</v>
      </c>
      <c r="BD589" s="39">
        <f t="shared" ref="BD589:BE591" si="2482">BD567*(BD578/2)</f>
        <v>1.1591708654391057</v>
      </c>
      <c r="BE589" s="39">
        <f t="shared" si="2482"/>
        <v>1.1625904194921513</v>
      </c>
      <c r="BF589" s="974">
        <f>SUM(BD589:BE589)</f>
        <v>2.3217612849312568</v>
      </c>
      <c r="BG589" s="39">
        <f t="shared" ref="BG589:BH591" si="2483">BG567*(BG578/2)</f>
        <v>1.1660200612296532</v>
      </c>
      <c r="BH589" s="39">
        <f t="shared" si="2483"/>
        <v>1.1694598204102806</v>
      </c>
      <c r="BI589" s="974">
        <f>SUM(BG589:BH589)</f>
        <v>2.3354798816399338</v>
      </c>
      <c r="BJ589" s="138">
        <f t="shared" ref="BJ589:BK591" si="2484">BJ567*(BJ578/2)</f>
        <v>1.1729097268804909</v>
      </c>
      <c r="BK589" s="138">
        <f t="shared" si="2484"/>
        <v>1.1763698105747884</v>
      </c>
      <c r="BL589" s="139">
        <f>SUM(BJ589:BK589)</f>
        <v>2.3492795374552795</v>
      </c>
      <c r="BM589" s="138">
        <f t="shared" ref="BM589:BN591" si="2485">BM567*(BM578/2)</f>
        <v>1.1781049560453862</v>
      </c>
      <c r="BN589" s="138">
        <f t="shared" si="2485"/>
        <v>1.179842660855553</v>
      </c>
      <c r="BO589" s="139">
        <f>SUM(BM589:BN589)</f>
        <v>2.3579476169009395</v>
      </c>
      <c r="BP589" s="138">
        <f t="shared" ref="BP589:BQ591" si="2486">BP567*(BP578/2)</f>
        <v>1.1815829287803148</v>
      </c>
      <c r="BQ589" s="138">
        <f t="shared" si="2486"/>
        <v>1.1833257636002656</v>
      </c>
      <c r="BR589" s="139">
        <f>SUM(BP589:BQ589)</f>
        <v>2.3649086923805802</v>
      </c>
      <c r="BS589" s="39">
        <f t="shared" ref="BS589:BT591" si="2487">BS567*(BS578/2)</f>
        <v>1.1850711691015758</v>
      </c>
      <c r="BT589" s="39">
        <f t="shared" si="2487"/>
        <v>1.1868191490760005</v>
      </c>
      <c r="BU589" s="215">
        <f>SUM(BS589:BT589)</f>
        <v>2.3718903181775763</v>
      </c>
      <c r="BV589" s="39">
        <f t="shared" ref="BV589:BW591" si="2488">BV567*(BV578/2)</f>
        <v>1.1885697073208876</v>
      </c>
      <c r="BW589" s="39">
        <f t="shared" si="2488"/>
        <v>1.1903228476391858</v>
      </c>
      <c r="BX589" s="215">
        <f>SUM(BV589:BW589)</f>
        <v>2.3788925549600735</v>
      </c>
      <c r="BY589" s="39">
        <f t="shared" ref="BY589:BZ591" si="2489">BY567*(BY578/2)</f>
        <v>1.1920785738394535</v>
      </c>
      <c r="BZ589" s="39">
        <f t="shared" si="2489"/>
        <v>1.1938368897358667</v>
      </c>
      <c r="CA589" s="215">
        <f>SUM(BY589:BZ589)</f>
        <v>2.3859154635753201</v>
      </c>
      <c r="CB589" s="39">
        <f t="shared" ref="CB589:CC591" si="2490">CB567*(CB578/2)</f>
        <v>1.1955977991482267</v>
      </c>
      <c r="CC589" s="39">
        <f t="shared" si="2490"/>
        <v>1.1973613059019703</v>
      </c>
      <c r="CD589" s="215">
        <f>SUM(CB589:CC589)</f>
        <v>2.3929591050501973</v>
      </c>
      <c r="CE589" s="39">
        <f t="shared" ref="CE589:CF591" si="2491">CE567*(CE578/2)</f>
        <v>1.1991274138281756</v>
      </c>
      <c r="CF589" s="39">
        <f t="shared" si="2491"/>
        <v>1.200896126763572</v>
      </c>
      <c r="CG589" s="215">
        <f>SUM(CE589:CF589)</f>
        <v>2.4000235405917474</v>
      </c>
      <c r="CH589" s="39">
        <f t="shared" ref="CH589:CI591" si="2492">CH567*(CH578/2)</f>
        <v>1.2026674485505482</v>
      </c>
      <c r="CI589" s="39">
        <f t="shared" si="2492"/>
        <v>1.2044413830371601</v>
      </c>
      <c r="CJ589" s="215">
        <f>SUM(CH589:CI589)</f>
        <v>2.4071088315877081</v>
      </c>
      <c r="CK589" s="39">
        <f t="shared" ref="CK589:CL591" si="2493">CK567*(CK578/2)</f>
        <v>1.2062179340771397</v>
      </c>
      <c r="CL589" s="39">
        <f t="shared" si="2493"/>
        <v>1.2079971055299035</v>
      </c>
      <c r="CM589" s="215">
        <f>SUM(CK589:CL589)</f>
        <v>2.4142150396070434</v>
      </c>
      <c r="CN589" s="39">
        <f t="shared" ref="CN589:CO591" si="2494">CN567*(CN578/2)</f>
        <v>1.2097789012605598</v>
      </c>
      <c r="CO589" s="39">
        <f t="shared" si="2494"/>
        <v>1.2115633251399192</v>
      </c>
      <c r="CP589" s="215">
        <f>SUM(CN589:CO589)</f>
        <v>2.4213422264004789</v>
      </c>
      <c r="CQ589" s="39">
        <f t="shared" ref="CQ589:CR591" si="2495">CQ567*(CQ578/2)</f>
        <v>1.2133503810445003</v>
      </c>
      <c r="CR589" s="39">
        <f t="shared" si="2495"/>
        <v>1.2151400728565409</v>
      </c>
      <c r="CS589" s="215">
        <f>SUM(CQ589:CR589)</f>
        <v>2.4284904539010412</v>
      </c>
      <c r="CT589" s="39">
        <f t="shared" ref="CT589:CU591" si="2496">CT567*(CT578/2)</f>
        <v>1.216932404464004</v>
      </c>
      <c r="CU589" s="39">
        <f t="shared" si="2496"/>
        <v>1.2187273797605884</v>
      </c>
      <c r="CV589" s="215">
        <f>SUM(CT589:CU589)</f>
        <v>2.4356597842245922</v>
      </c>
      <c r="CW589" s="39">
        <f t="shared" ref="CW589:CX591" si="2497">CW567*(CW578/2)</f>
        <v>1.220525002645735</v>
      </c>
      <c r="CX589" s="39">
        <f t="shared" si="2497"/>
        <v>1.2223252770246376</v>
      </c>
      <c r="CY589" s="215">
        <f>SUM(CW589:CX589)</f>
        <v>2.4428502796703726</v>
      </c>
      <c r="CZ589" s="39">
        <f t="shared" ref="CZ589:DA591" si="2498">CZ567*(CZ578/2)</f>
        <v>1.2241282068082486</v>
      </c>
      <c r="DA589" s="39">
        <f t="shared" si="2498"/>
        <v>1.2259337959132908</v>
      </c>
      <c r="DB589" s="215">
        <f>SUM(CZ589:DA589)</f>
        <v>2.4500620027215394</v>
      </c>
      <c r="DC589" s="39">
        <f t="shared" ref="DC589:DD591" si="2499">DC567*(DC578/2)</f>
        <v>1.2277420482622627</v>
      </c>
      <c r="DD589" s="39">
        <f t="shared" si="2499"/>
        <v>1.2295529677834496</v>
      </c>
      <c r="DE589" s="215">
        <f>SUM(DC589:DD589)</f>
        <v>2.4572950160457125</v>
      </c>
      <c r="DF589" s="311">
        <f t="shared" ref="DF589:DG591" si="2500">DF567*(DF578/2)</f>
        <v>1.2313665584109299</v>
      </c>
      <c r="DG589" s="311">
        <f t="shared" si="2500"/>
        <v>1.2331828240845859</v>
      </c>
      <c r="DH589" s="215">
        <f>SUM(DF589:DG589)</f>
        <v>2.464549382495516</v>
      </c>
      <c r="DI589" s="39">
        <f t="shared" ref="DI589:DJ591" si="2501">DI567*(DI578/2)</f>
        <v>1.2350017687501105</v>
      </c>
      <c r="DJ589" s="39">
        <f t="shared" si="2501"/>
        <v>1.2368233963590167</v>
      </c>
      <c r="DK589" s="215">
        <f>SUM(DI589:DJ589)</f>
        <v>2.4718251651091272</v>
      </c>
      <c r="DL589" s="39">
        <f t="shared" ref="DL589:DM591" si="2502">DL567*(DL578/2)</f>
        <v>1.2386477108686462</v>
      </c>
      <c r="DM589" s="39">
        <f t="shared" si="2502"/>
        <v>1.2404747162421774</v>
      </c>
      <c r="DN589" s="215">
        <f>SUM(DL589:DM589)</f>
        <v>2.4791224271108234</v>
      </c>
      <c r="DO589" s="39">
        <f t="shared" ref="DO589:DP591" si="2503">DO567*(DO578/2)</f>
        <v>1.2423044164486345</v>
      </c>
      <c r="DP589" s="39">
        <f t="shared" si="2503"/>
        <v>1.2441368154628962</v>
      </c>
      <c r="DQ589" s="215">
        <f>SUM(DO589:DP589)</f>
        <v>2.486441231911531</v>
      </c>
      <c r="DR589" s="39">
        <f t="shared" ref="DR589:DS591" si="2504">DR567*(DR578/2)</f>
        <v>1.2459719172657038</v>
      </c>
      <c r="DS589" s="39">
        <f t="shared" si="2504"/>
        <v>1.2478097258436704</v>
      </c>
      <c r="DT589" s="215">
        <f>SUM(DR589:DS589)</f>
        <v>2.493781643109374</v>
      </c>
      <c r="DU589" s="39">
        <f t="shared" ref="DU589:DV591" si="2505">DU567*(DU578/2)</f>
        <v>1.2496502451892899</v>
      </c>
      <c r="DV589" s="39">
        <f t="shared" si="2505"/>
        <v>1.2514934793009438</v>
      </c>
      <c r="DW589" s="215">
        <f>SUM(DU589:DV589)</f>
        <v>2.5011437244902339</v>
      </c>
      <c r="DX589" s="39">
        <f t="shared" ref="DX589:DY591" si="2506">DX567*(DX578/2)</f>
        <v>1.2533394321829125</v>
      </c>
      <c r="DY589" s="39">
        <f t="shared" si="2506"/>
        <v>1.2551881078453824</v>
      </c>
      <c r="DZ589" s="215">
        <f>SUM(DX589:DY589)</f>
        <v>2.5085275400282949</v>
      </c>
      <c r="EA589" s="39">
        <f t="shared" ref="EA589:EB591" si="2507">EA567*(EA578/2)</f>
        <v>1.257039510304454</v>
      </c>
      <c r="EB589" s="39">
        <f t="shared" si="2507"/>
        <v>1.2588936435821529</v>
      </c>
      <c r="EC589" s="215">
        <f>SUM(EA589:EB589)</f>
        <v>2.515933153886607</v>
      </c>
      <c r="ED589" s="39">
        <f t="shared" ref="ED589:EE591" si="2508">ED567*(ED578/2)</f>
        <v>1.2607505117064364</v>
      </c>
      <c r="EE589" s="39">
        <f t="shared" si="2508"/>
        <v>1.2626101187112033</v>
      </c>
      <c r="EF589" s="215">
        <f>SUM(ED589:EE589)</f>
        <v>2.5233606304176397</v>
      </c>
      <c r="EG589" s="39">
        <f t="shared" ref="EG589:EH591" si="2509">EG567*(EG578/2)</f>
        <v>1.2644724686363022</v>
      </c>
      <c r="EH589" s="39">
        <f t="shared" si="2509"/>
        <v>1.2663375655275406</v>
      </c>
      <c r="EI589" s="215">
        <f>SUM(EG589:EH589)</f>
        <v>2.5308100341638431</v>
      </c>
      <c r="EJ589" s="39">
        <f t="shared" ref="EJ589:EK591" si="2510">EJ567*(EJ578/2)</f>
        <v>1.2682054134366936</v>
      </c>
      <c r="EK589" s="39">
        <f t="shared" si="2510"/>
        <v>1.2700760164215126</v>
      </c>
      <c r="EL589" s="215">
        <f>SUM(EJ589:EK589)</f>
        <v>2.5382814298582064</v>
      </c>
      <c r="EM589" s="39">
        <f t="shared" ref="EM589:EN591" si="2511">EM567*(EM578/2)</f>
        <v>1.2719493785457341</v>
      </c>
      <c r="EN589" s="39">
        <f t="shared" si="2511"/>
        <v>1.2738255038790889</v>
      </c>
      <c r="EO589" s="215">
        <f>SUM(EM589:EN589)</f>
        <v>2.5457748824248227</v>
      </c>
      <c r="EP589" s="39">
        <f t="shared" ref="EP589:EQ591" si="2512">EP567*(EP578/2)</f>
        <v>1.2757043964973103</v>
      </c>
      <c r="EQ589" s="39">
        <f t="shared" si="2512"/>
        <v>1.2775860604821438</v>
      </c>
      <c r="ER589" s="215">
        <f>SUM(EP589:EQ589)</f>
        <v>2.5532904569794539</v>
      </c>
      <c r="ES589" s="39">
        <f t="shared" ref="ES589:ET589" si="2513">ES567*(ES578/2)</f>
        <v>1.2794704999213546</v>
      </c>
      <c r="ET589" s="39">
        <f t="shared" si="2513"/>
        <v>1.2813577189087386</v>
      </c>
      <c r="EU589" s="215">
        <f>SUM(ES589:ET589)</f>
        <v>2.5608282188300935</v>
      </c>
      <c r="EV589" s="39">
        <f t="shared" ref="EV589:EW589" si="2514">EV567*(EV578/2)</f>
        <v>1.2832477215441287</v>
      </c>
      <c r="EW589" s="39">
        <f t="shared" si="2514"/>
        <v>1.2851405119334063</v>
      </c>
      <c r="EX589" s="215">
        <f>SUM(EV589:EW589)</f>
        <v>2.5683882334775348</v>
      </c>
      <c r="EY589" s="39">
        <f t="shared" ref="EY589:EZ589" si="2515">EY567*(EY578/2)</f>
        <v>1.287036094188508</v>
      </c>
      <c r="EZ589" s="39">
        <f t="shared" si="2515"/>
        <v>1.2889344724274359</v>
      </c>
      <c r="FA589" s="215">
        <f>SUM(EY589:EZ589)</f>
        <v>2.5759705666159438</v>
      </c>
      <c r="FH589" s="35"/>
      <c r="FI589" s="35"/>
      <c r="FJ589" s="35"/>
      <c r="FK589" s="35"/>
      <c r="FL589" s="35"/>
      <c r="FM589" s="35"/>
      <c r="FN589" s="35"/>
      <c r="FO589" s="35"/>
      <c r="FP589" s="35"/>
      <c r="FQ589" s="35"/>
    </row>
    <row r="590" spans="1:173" s="321" customFormat="1" hidden="1" outlineLevel="1">
      <c r="A590" s="1168"/>
      <c r="B590" s="186"/>
      <c r="C590" s="186" t="s">
        <v>317</v>
      </c>
      <c r="D590" s="910"/>
      <c r="E590" s="1"/>
      <c r="F590" s="1"/>
      <c r="G590" s="5"/>
      <c r="H590" s="1"/>
      <c r="I590" s="1"/>
      <c r="J590" s="5"/>
      <c r="K590" s="1"/>
      <c r="L590" s="1"/>
      <c r="M590" s="5"/>
      <c r="N590" s="1"/>
      <c r="O590" s="1"/>
      <c r="P590" s="5"/>
      <c r="Q590" s="1"/>
      <c r="R590" s="1"/>
      <c r="S590" s="5"/>
      <c r="T590" s="1"/>
      <c r="U590" s="1"/>
      <c r="V590" s="5"/>
      <c r="W590" s="1"/>
      <c r="X590" s="1"/>
      <c r="Y590" s="5"/>
      <c r="Z590" s="1"/>
      <c r="AA590" s="1"/>
      <c r="AB590" s="5"/>
      <c r="AC590" s="1"/>
      <c r="AD590" s="1"/>
      <c r="AE590" s="5"/>
      <c r="AF590" s="1"/>
      <c r="AG590" s="1"/>
      <c r="AH590" s="5"/>
      <c r="AI590" s="1"/>
      <c r="AJ590" s="1"/>
      <c r="AK590" s="5"/>
      <c r="AL590" s="1"/>
      <c r="AM590" s="1"/>
      <c r="AN590" s="5"/>
      <c r="AO590" s="1"/>
      <c r="AP590" s="1"/>
      <c r="AQ590" s="5"/>
      <c r="AR590" s="1"/>
      <c r="AS590" s="1"/>
      <c r="AT590" s="5"/>
      <c r="AU590" s="1"/>
      <c r="AV590" s="1"/>
      <c r="AW590" s="5"/>
      <c r="AX590" s="215">
        <f t="shared" si="2480"/>
        <v>1.7598231823950001</v>
      </c>
      <c r="AY590" s="215">
        <f t="shared" si="2480"/>
        <v>1.7582393415308446</v>
      </c>
      <c r="AZ590" s="215">
        <f>SUM(AX590:AY590)</f>
        <v>3.5180625239258445</v>
      </c>
      <c r="BA590" s="39">
        <f t="shared" si="2481"/>
        <v>1.756656926123467</v>
      </c>
      <c r="BB590" s="39">
        <f t="shared" si="2481"/>
        <v>1.7550759348899558</v>
      </c>
      <c r="BC590" s="974">
        <f>SUM(BA590:BB590)</f>
        <v>3.5117328610134226</v>
      </c>
      <c r="BD590" s="39">
        <f t="shared" si="2482"/>
        <v>1.7534963665485548</v>
      </c>
      <c r="BE590" s="39">
        <f t="shared" si="2482"/>
        <v>1.7519182198186609</v>
      </c>
      <c r="BF590" s="974">
        <f>SUM(BD590:BE590)</f>
        <v>3.5054145863672157</v>
      </c>
      <c r="BG590" s="39">
        <f t="shared" si="2483"/>
        <v>1.7503414934208243</v>
      </c>
      <c r="BH590" s="39">
        <f t="shared" si="2483"/>
        <v>1.7487661860767454</v>
      </c>
      <c r="BI590" s="974">
        <f>SUM(BG590:BH590)</f>
        <v>3.4991076794975697</v>
      </c>
      <c r="BJ590" s="138">
        <f t="shared" si="2484"/>
        <v>1.7471922965092763</v>
      </c>
      <c r="BK590" s="138">
        <f t="shared" si="2484"/>
        <v>1.7456198234424178</v>
      </c>
      <c r="BL590" s="139">
        <f>SUM(BJ590:BK590)</f>
        <v>3.4928121199516942</v>
      </c>
      <c r="BM590" s="138">
        <f t="shared" si="2485"/>
        <v>1.7448342945218689</v>
      </c>
      <c r="BN590" s="138">
        <f t="shared" si="2485"/>
        <v>1.7440491190893341</v>
      </c>
      <c r="BO590" s="139">
        <f>SUM(BM590:BN590)</f>
        <v>3.488883413611203</v>
      </c>
      <c r="BP590" s="138">
        <f t="shared" si="2486"/>
        <v>1.7432642969857439</v>
      </c>
      <c r="BQ590" s="138">
        <f t="shared" si="2486"/>
        <v>1.7424798280521003</v>
      </c>
      <c r="BR590" s="139">
        <f>SUM(BP590:BQ590)</f>
        <v>3.4857441250378445</v>
      </c>
      <c r="BS590" s="39">
        <f t="shared" si="2487"/>
        <v>1.7416957121294769</v>
      </c>
      <c r="BT590" s="39">
        <f t="shared" si="2487"/>
        <v>1.7409119490590188</v>
      </c>
      <c r="BU590" s="215">
        <f>SUM(BS590:BT590)</f>
        <v>3.4826076611884957</v>
      </c>
      <c r="BV590" s="39">
        <f t="shared" si="2488"/>
        <v>1.7401285386819423</v>
      </c>
      <c r="BW590" s="39">
        <f t="shared" si="2488"/>
        <v>1.7393454808395354</v>
      </c>
      <c r="BX590" s="215">
        <f>SUM(BV590:BW590)</f>
        <v>3.4794740195214775</v>
      </c>
      <c r="BY590" s="39">
        <f t="shared" si="2489"/>
        <v>1.7385627753731578</v>
      </c>
      <c r="BZ590" s="39">
        <f t="shared" si="2489"/>
        <v>1.7377804221242399</v>
      </c>
      <c r="CA590" s="215">
        <f>SUM(BY590:BZ590)</f>
        <v>3.476343197497398</v>
      </c>
      <c r="CB590" s="39">
        <f t="shared" si="2490"/>
        <v>1.7369984209342839</v>
      </c>
      <c r="CC590" s="39">
        <f t="shared" si="2490"/>
        <v>1.7362167716448638</v>
      </c>
      <c r="CD590" s="215">
        <f>SUM(CB590:CC590)</f>
        <v>3.4732151925791479</v>
      </c>
      <c r="CE590" s="39">
        <f t="shared" si="2491"/>
        <v>1.7354354740976237</v>
      </c>
      <c r="CF590" s="39">
        <f t="shared" si="2491"/>
        <v>1.7346545281342798</v>
      </c>
      <c r="CG590" s="215">
        <f>SUM(CE590:CF590)</f>
        <v>3.4700900022319034</v>
      </c>
      <c r="CH590" s="39">
        <f t="shared" si="2492"/>
        <v>1.7338739335966196</v>
      </c>
      <c r="CI590" s="39">
        <f t="shared" si="2492"/>
        <v>1.7330936903265011</v>
      </c>
      <c r="CJ590" s="215">
        <f>SUM(CH590:CI590)</f>
        <v>3.4669676239231206</v>
      </c>
      <c r="CK590" s="39">
        <f t="shared" si="2493"/>
        <v>1.7323137981658543</v>
      </c>
      <c r="CL590" s="39">
        <f t="shared" si="2493"/>
        <v>1.7315342569566796</v>
      </c>
      <c r="CM590" s="215">
        <f>SUM(CK590:CL590)</f>
        <v>3.4638480551225337</v>
      </c>
      <c r="CN590" s="39">
        <f t="shared" si="2494"/>
        <v>1.7307550665410492</v>
      </c>
      <c r="CO590" s="39">
        <f t="shared" si="2494"/>
        <v>1.7299762267611059</v>
      </c>
      <c r="CP590" s="215">
        <f>SUM(CN590:CO590)</f>
        <v>3.460731293302155</v>
      </c>
      <c r="CQ590" s="39">
        <f t="shared" si="2495"/>
        <v>1.7291977374590635</v>
      </c>
      <c r="CR590" s="39">
        <f t="shared" si="2495"/>
        <v>1.7284195984772071</v>
      </c>
      <c r="CS590" s="215">
        <f>SUM(CQ590:CR590)</f>
        <v>3.4576173359362707</v>
      </c>
      <c r="CT590" s="39">
        <f t="shared" si="2496"/>
        <v>1.7276418096578923</v>
      </c>
      <c r="CU590" s="39">
        <f t="shared" si="2496"/>
        <v>1.7268643708435463</v>
      </c>
      <c r="CV590" s="215">
        <f>SUM(CT590:CU590)</f>
        <v>3.4545061805014385</v>
      </c>
      <c r="CW590" s="39">
        <f t="shared" si="2497"/>
        <v>1.7260872818766666</v>
      </c>
      <c r="CX590" s="39">
        <f t="shared" si="2497"/>
        <v>1.7253105425998223</v>
      </c>
      <c r="CY590" s="215">
        <f>SUM(CW590:CX590)</f>
        <v>3.4513978244764889</v>
      </c>
      <c r="CZ590" s="39">
        <f t="shared" si="2498"/>
        <v>1.7245341528556524</v>
      </c>
      <c r="DA590" s="39">
        <f t="shared" si="2498"/>
        <v>1.7237581124868673</v>
      </c>
      <c r="DB590" s="215">
        <f>SUM(CZ590:DA590)</f>
        <v>3.4482922653425199</v>
      </c>
      <c r="DC590" s="39">
        <f t="shared" si="2499"/>
        <v>1.7229824213362483</v>
      </c>
      <c r="DD590" s="39">
        <f t="shared" si="2499"/>
        <v>1.7222070792466471</v>
      </c>
      <c r="DE590" s="215">
        <f>SUM(DC590:DD590)</f>
        <v>3.4451895005828952</v>
      </c>
      <c r="DF590" s="311">
        <f t="shared" si="2500"/>
        <v>1.7214320860609862</v>
      </c>
      <c r="DG590" s="311">
        <f t="shared" si="2500"/>
        <v>1.7206574416222589</v>
      </c>
      <c r="DH590" s="215">
        <f>SUM(DF590:DG590)</f>
        <v>3.4420895276832448</v>
      </c>
      <c r="DI590" s="39">
        <f t="shared" si="2501"/>
        <v>1.7198831457735291</v>
      </c>
      <c r="DJ590" s="39">
        <f t="shared" si="2501"/>
        <v>1.719109198357931</v>
      </c>
      <c r="DK590" s="215">
        <f>SUM(DI590:DJ590)</f>
        <v>3.43899234413146</v>
      </c>
      <c r="DL590" s="39">
        <f t="shared" si="2502"/>
        <v>1.71833559921867</v>
      </c>
      <c r="DM590" s="39">
        <f t="shared" si="2502"/>
        <v>1.7175623481990216</v>
      </c>
      <c r="DN590" s="215">
        <f>SUM(DL590:DM590)</f>
        <v>3.4358979474176916</v>
      </c>
      <c r="DO590" s="39">
        <f t="shared" si="2503"/>
        <v>1.7167894451423322</v>
      </c>
      <c r="DP590" s="39">
        <f t="shared" si="2503"/>
        <v>1.7160168898920185</v>
      </c>
      <c r="DQ590" s="215">
        <f>SUM(DO590:DP590)</f>
        <v>3.4328063350343507</v>
      </c>
      <c r="DR590" s="39">
        <f t="shared" si="2504"/>
        <v>1.7152446822915672</v>
      </c>
      <c r="DS590" s="39">
        <f t="shared" si="2504"/>
        <v>1.714472822184536</v>
      </c>
      <c r="DT590" s="215">
        <f>SUM(DR590:DS590)</f>
        <v>3.4297175044761032</v>
      </c>
      <c r="DU590" s="39">
        <f t="shared" si="2505"/>
        <v>1.713701309414553</v>
      </c>
      <c r="DV590" s="39">
        <f t="shared" si="2505"/>
        <v>1.7129301438253166</v>
      </c>
      <c r="DW590" s="215">
        <f>SUM(DU590:DV590)</f>
        <v>3.4266314532398696</v>
      </c>
      <c r="DX590" s="39">
        <f t="shared" si="2506"/>
        <v>1.7121593252605951</v>
      </c>
      <c r="DY590" s="39">
        <f t="shared" si="2506"/>
        <v>1.7113888535642281</v>
      </c>
      <c r="DZ590" s="215">
        <f>SUM(DX590:DY590)</f>
        <v>3.4235481788248232</v>
      </c>
      <c r="EA590" s="39">
        <f t="shared" si="2507"/>
        <v>1.7106187285801242</v>
      </c>
      <c r="EB590" s="39">
        <f t="shared" si="2507"/>
        <v>1.7098489501522629</v>
      </c>
      <c r="EC590" s="215">
        <f>SUM(EA590:EB590)</f>
        <v>3.4204676787323871</v>
      </c>
      <c r="ED590" s="39">
        <f t="shared" si="2508"/>
        <v>1.7090795181246945</v>
      </c>
      <c r="EE590" s="39">
        <f t="shared" si="2508"/>
        <v>1.7083104323415386</v>
      </c>
      <c r="EF590" s="215">
        <f>SUM(ED590:EE590)</f>
        <v>3.4173899504662328</v>
      </c>
      <c r="EG590" s="39">
        <f t="shared" si="2509"/>
        <v>1.7075416926469849</v>
      </c>
      <c r="EH590" s="39">
        <f t="shared" si="2509"/>
        <v>1.7067732988852937</v>
      </c>
      <c r="EI590" s="215">
        <f>SUM(EG590:EH590)</f>
        <v>3.4143149915322786</v>
      </c>
      <c r="EJ590" s="39">
        <f t="shared" si="2510"/>
        <v>1.7060052509007955</v>
      </c>
      <c r="EK590" s="39">
        <f t="shared" si="2510"/>
        <v>1.7052375485378901</v>
      </c>
      <c r="EL590" s="215">
        <f>SUM(EJ590:EK590)</f>
        <v>3.4112427994386856</v>
      </c>
      <c r="EM590" s="39">
        <f t="shared" si="2511"/>
        <v>1.7044701916410483</v>
      </c>
      <c r="EN590" s="39">
        <f t="shared" si="2511"/>
        <v>1.7037031800548099</v>
      </c>
      <c r="EO590" s="215">
        <f>SUM(EM590:EN590)</f>
        <v>3.4081733716958582</v>
      </c>
      <c r="EP590" s="39">
        <f t="shared" si="2512"/>
        <v>1.7029365136237855</v>
      </c>
      <c r="EQ590" s="39">
        <f t="shared" si="2512"/>
        <v>1.7021701921926549</v>
      </c>
      <c r="ER590" s="215">
        <f>SUM(EP590:EQ590)</f>
        <v>3.4051067058164404</v>
      </c>
      <c r="ES590" s="39">
        <f t="shared" ref="ES590:ET590" si="2516">ES568*(ES579/2)</f>
        <v>1.7014042156061684</v>
      </c>
      <c r="ET590" s="39">
        <f t="shared" si="2516"/>
        <v>1.7006385837091458</v>
      </c>
      <c r="EU590" s="215">
        <f>SUM(ES590:ET590)</f>
        <v>3.4020427993153142</v>
      </c>
      <c r="EV590" s="39">
        <f t="shared" ref="EV590:EW590" si="2517">EV568*(EV579/2)</f>
        <v>1.6998732963464767</v>
      </c>
      <c r="EW590" s="39">
        <f t="shared" si="2517"/>
        <v>1.6991083533631206</v>
      </c>
      <c r="EX590" s="215">
        <f>SUM(EV590:EW590)</f>
        <v>3.3989816497095973</v>
      </c>
      <c r="EY590" s="39">
        <f t="shared" ref="EY590:EZ590" si="2518">EY568*(EY579/2)</f>
        <v>1.6983437546041074</v>
      </c>
      <c r="EZ590" s="39">
        <f t="shared" si="2518"/>
        <v>1.6975794999145357</v>
      </c>
      <c r="FA590" s="215">
        <f>SUM(EY590:EZ590)</f>
        <v>3.3959232545186433</v>
      </c>
      <c r="FH590" s="35"/>
      <c r="FI590" s="35"/>
      <c r="FJ590" s="35"/>
      <c r="FK590" s="35"/>
      <c r="FL590" s="35"/>
      <c r="FM590" s="35"/>
      <c r="FN590" s="35"/>
      <c r="FO590" s="35"/>
      <c r="FP590" s="35"/>
      <c r="FQ590" s="35"/>
    </row>
    <row r="591" spans="1:173" s="321" customFormat="1" hidden="1" outlineLevel="1">
      <c r="A591" s="1168"/>
      <c r="B591" s="186"/>
      <c r="C591" s="186" t="s">
        <v>431</v>
      </c>
      <c r="D591" s="910"/>
      <c r="E591" s="1"/>
      <c r="F591" s="1"/>
      <c r="G591" s="5"/>
      <c r="H591" s="1"/>
      <c r="I591" s="1"/>
      <c r="J591" s="5"/>
      <c r="K591" s="1"/>
      <c r="L591" s="1"/>
      <c r="M591" s="5"/>
      <c r="N591" s="1"/>
      <c r="O591" s="1"/>
      <c r="P591" s="5"/>
      <c r="Q591" s="1"/>
      <c r="R591" s="1"/>
      <c r="S591" s="5"/>
      <c r="T591" s="1"/>
      <c r="U591" s="1"/>
      <c r="V591" s="5"/>
      <c r="W591" s="1"/>
      <c r="X591" s="1"/>
      <c r="Y591" s="5"/>
      <c r="Z591" s="1"/>
      <c r="AA591" s="1"/>
      <c r="AB591" s="5"/>
      <c r="AC591" s="1"/>
      <c r="AD591" s="1"/>
      <c r="AE591" s="5"/>
      <c r="AF591" s="1"/>
      <c r="AG591" s="1"/>
      <c r="AH591" s="5"/>
      <c r="AI591" s="1"/>
      <c r="AJ591" s="1"/>
      <c r="AK591" s="5"/>
      <c r="AL591" s="1"/>
      <c r="AM591" s="1"/>
      <c r="AN591" s="5"/>
      <c r="AO591" s="1"/>
      <c r="AP591" s="1"/>
      <c r="AQ591" s="5"/>
      <c r="AR591" s="1"/>
      <c r="AS591" s="1"/>
      <c r="AT591" s="5"/>
      <c r="AU591" s="1"/>
      <c r="AV591" s="1"/>
      <c r="AW591" s="5"/>
      <c r="AX591" s="215">
        <f t="shared" si="2480"/>
        <v>19.5460917204</v>
      </c>
      <c r="AY591" s="215">
        <f t="shared" si="2480"/>
        <v>19.671186707410559</v>
      </c>
      <c r="AZ591" s="215">
        <f>SUM(AX591:AY591)</f>
        <v>39.217278427810555</v>
      </c>
      <c r="BA591" s="39">
        <f t="shared" si="2481"/>
        <v>19.797082302337984</v>
      </c>
      <c r="BB591" s="39">
        <f t="shared" si="2481"/>
        <v>19.923783629072947</v>
      </c>
      <c r="BC591" s="974">
        <f>SUM(BA591:BB591)</f>
        <v>39.720865931410927</v>
      </c>
      <c r="BD591" s="39">
        <f t="shared" si="2482"/>
        <v>20.051295844299016</v>
      </c>
      <c r="BE591" s="39">
        <f t="shared" si="2482"/>
        <v>20.179624137702525</v>
      </c>
      <c r="BF591" s="974">
        <f>SUM(BD591:BE591)</f>
        <v>40.230919982001538</v>
      </c>
      <c r="BG591" s="39">
        <f t="shared" si="2483"/>
        <v>20.308773732183823</v>
      </c>
      <c r="BH591" s="39">
        <f t="shared" si="2483"/>
        <v>20.4387498840698</v>
      </c>
      <c r="BI591" s="974">
        <f>SUM(BG591:BH591)</f>
        <v>40.747523616253623</v>
      </c>
      <c r="BJ591" s="138">
        <f t="shared" si="2484"/>
        <v>20.569557883327846</v>
      </c>
      <c r="BK591" s="138">
        <f t="shared" si="2484"/>
        <v>20.701203053781143</v>
      </c>
      <c r="BL591" s="139">
        <f>SUM(BJ591:BK591)</f>
        <v>41.270760937108989</v>
      </c>
      <c r="BM591" s="138">
        <f t="shared" si="2485"/>
        <v>20.767446903553246</v>
      </c>
      <c r="BN591" s="138">
        <f t="shared" si="2485"/>
        <v>20.833902733644617</v>
      </c>
      <c r="BO591" s="139">
        <f>SUM(BM591:BN591)</f>
        <v>41.601349637197863</v>
      </c>
      <c r="BP591" s="138">
        <f t="shared" si="2486"/>
        <v>20.900571222392283</v>
      </c>
      <c r="BQ591" s="138">
        <f t="shared" si="2486"/>
        <v>20.967453050303938</v>
      </c>
      <c r="BR591" s="139">
        <f>SUM(BP591:BQ591)</f>
        <v>41.868024272696218</v>
      </c>
      <c r="BS591" s="39">
        <f t="shared" si="2487"/>
        <v>21.034548900064912</v>
      </c>
      <c r="BT591" s="39">
        <f t="shared" si="2487"/>
        <v>21.101859456545125</v>
      </c>
      <c r="BU591" s="215">
        <f>SUM(BS591:BT591)</f>
        <v>42.136408356610033</v>
      </c>
      <c r="BV591" s="39">
        <f t="shared" si="2488"/>
        <v>21.169385406806072</v>
      </c>
      <c r="BW591" s="39">
        <f t="shared" si="2488"/>
        <v>21.237127440107855</v>
      </c>
      <c r="BX591" s="215">
        <f>SUM(BV591:BW591)</f>
        <v>42.406512846913927</v>
      </c>
      <c r="BY591" s="39">
        <f t="shared" si="2489"/>
        <v>21.305086247916201</v>
      </c>
      <c r="BZ591" s="39">
        <f t="shared" si="2489"/>
        <v>21.373262523909535</v>
      </c>
      <c r="CA591" s="215">
        <f>SUM(BY591:BZ591)</f>
        <v>42.678348771825739</v>
      </c>
      <c r="CB591" s="39">
        <f t="shared" si="2490"/>
        <v>21.441656963986048</v>
      </c>
      <c r="CC591" s="39">
        <f t="shared" si="2490"/>
        <v>21.510270266270805</v>
      </c>
      <c r="CD591" s="215">
        <f>SUM(CB591:CC591)</f>
        <v>42.951927230256857</v>
      </c>
      <c r="CE591" s="39">
        <f t="shared" si="2491"/>
        <v>21.579103131122874</v>
      </c>
      <c r="CF591" s="39">
        <f t="shared" si="2491"/>
        <v>21.648156261142468</v>
      </c>
      <c r="CG591" s="215">
        <f>SUM(CE591:CF591)</f>
        <v>43.227259392265339</v>
      </c>
      <c r="CH591" s="39">
        <f t="shared" si="2492"/>
        <v>21.717430361178128</v>
      </c>
      <c r="CI591" s="39">
        <f t="shared" si="2492"/>
        <v>21.786926138333897</v>
      </c>
      <c r="CJ591" s="215">
        <f>SUM(CH591:CI591)</f>
        <v>43.504356499512028</v>
      </c>
      <c r="CK591" s="39">
        <f t="shared" si="2493"/>
        <v>21.856644301976566</v>
      </c>
      <c r="CL591" s="39">
        <f t="shared" si="2493"/>
        <v>21.926585563742897</v>
      </c>
      <c r="CM591" s="215">
        <f>SUM(CK591:CL591)</f>
        <v>43.783229865719463</v>
      </c>
      <c r="CN591" s="39">
        <f t="shared" si="2494"/>
        <v>21.996750637546874</v>
      </c>
      <c r="CO591" s="39">
        <f t="shared" si="2494"/>
        <v>22.06714023958703</v>
      </c>
      <c r="CP591" s="215">
        <f>SUM(CN591:CO591)</f>
        <v>44.0638908771339</v>
      </c>
      <c r="CQ591" s="39">
        <f t="shared" si="2495"/>
        <v>22.13775508835371</v>
      </c>
      <c r="CR591" s="39">
        <f t="shared" si="2495"/>
        <v>22.208595904636443</v>
      </c>
      <c r="CS591" s="215">
        <f>SUM(CQ591:CR591)</f>
        <v>44.346350992990153</v>
      </c>
      <c r="CT591" s="39">
        <f t="shared" si="2496"/>
        <v>22.279663411531281</v>
      </c>
      <c r="CU591" s="39">
        <f t="shared" si="2496"/>
        <v>22.35095833444818</v>
      </c>
      <c r="CV591" s="215">
        <f>SUM(CT591:CU591)</f>
        <v>44.630621745979461</v>
      </c>
      <c r="CW591" s="39">
        <f t="shared" si="2497"/>
        <v>22.422481401118418</v>
      </c>
      <c r="CX591" s="39">
        <f t="shared" si="2497"/>
        <v>22.494233341601998</v>
      </c>
      <c r="CY591" s="215">
        <f>SUM(CW591:CX591)</f>
        <v>44.916714742720416</v>
      </c>
      <c r="CZ591" s="39">
        <f t="shared" si="2498"/>
        <v>22.566214888295129</v>
      </c>
      <c r="DA591" s="39">
        <f t="shared" si="2498"/>
        <v>22.638426775937674</v>
      </c>
      <c r="DB591" s="215">
        <f>SUM(CZ591:DA591)</f>
        <v>45.204641664232803</v>
      </c>
      <c r="DC591" s="39">
        <f t="shared" si="2499"/>
        <v>22.710869741620677</v>
      </c>
      <c r="DD591" s="39">
        <f t="shared" si="2499"/>
        <v>22.783544524793861</v>
      </c>
      <c r="DE591" s="215">
        <f>SUM(DC591:DD591)</f>
        <v>45.494414266414537</v>
      </c>
      <c r="DF591" s="311">
        <f t="shared" si="2500"/>
        <v>22.856451867273204</v>
      </c>
      <c r="DG591" s="311">
        <f t="shared" si="2500"/>
        <v>22.92959251324848</v>
      </c>
      <c r="DH591" s="215">
        <f>SUM(DF591:DG591)</f>
        <v>45.786044380521687</v>
      </c>
      <c r="DI591" s="39">
        <f t="shared" si="2501"/>
        <v>23.002967209290876</v>
      </c>
      <c r="DJ591" s="39">
        <f t="shared" si="2501"/>
        <v>23.076576704360605</v>
      </c>
      <c r="DK591" s="215">
        <f>SUM(DI591:DJ591)</f>
        <v>46.079543913651477</v>
      </c>
      <c r="DL591" s="39">
        <f t="shared" si="2502"/>
        <v>23.150421749814562</v>
      </c>
      <c r="DM591" s="39">
        <f t="shared" si="2502"/>
        <v>23.224503099413969</v>
      </c>
      <c r="DN591" s="215">
        <f>SUM(DL591:DM591)</f>
        <v>46.374924849228535</v>
      </c>
      <c r="DO591" s="39">
        <f t="shared" si="2503"/>
        <v>23.298821509332093</v>
      </c>
      <c r="DP591" s="39">
        <f t="shared" si="2503"/>
        <v>23.37337773816196</v>
      </c>
      <c r="DQ591" s="215">
        <f>SUM(DO591:DP591)</f>
        <v>46.672199247494049</v>
      </c>
      <c r="DR591" s="39">
        <f t="shared" si="2504"/>
        <v>23.448172546924081</v>
      </c>
      <c r="DS591" s="39">
        <f t="shared" si="2504"/>
        <v>23.523206699074237</v>
      </c>
      <c r="DT591" s="215">
        <f>SUM(DR591:DS591)</f>
        <v>46.971379245998321</v>
      </c>
      <c r="DU591" s="39">
        <f t="shared" si="2505"/>
        <v>23.598480960511274</v>
      </c>
      <c r="DV591" s="39">
        <f t="shared" si="2505"/>
        <v>23.673996099584915</v>
      </c>
      <c r="DW591" s="215">
        <f>SUM(DU591:DV591)</f>
        <v>47.272477060096193</v>
      </c>
      <c r="DX591" s="39">
        <f t="shared" si="2506"/>
        <v>23.74975288710359</v>
      </c>
      <c r="DY591" s="39">
        <f t="shared" si="2506"/>
        <v>23.825752096342324</v>
      </c>
      <c r="DZ591" s="215">
        <f>SUM(DX591:DY591)</f>
        <v>47.57550498344591</v>
      </c>
      <c r="EA591" s="39">
        <f t="shared" si="2507"/>
        <v>23.90199450305062</v>
      </c>
      <c r="EB591" s="39">
        <f t="shared" si="2507"/>
        <v>23.978480885460385</v>
      </c>
      <c r="EC591" s="215">
        <f>SUM(EA591:EB591)</f>
        <v>47.880475388511002</v>
      </c>
      <c r="ED591" s="39">
        <f t="shared" si="2508"/>
        <v>24.055212024293862</v>
      </c>
      <c r="EE591" s="39">
        <f t="shared" si="2508"/>
        <v>24.132188702771604</v>
      </c>
      <c r="EF591" s="215">
        <f>SUM(ED591:EE591)</f>
        <v>48.187400727065466</v>
      </c>
      <c r="EG591" s="39">
        <f t="shared" si="2509"/>
        <v>24.209411706620475</v>
      </c>
      <c r="EH591" s="39">
        <f t="shared" si="2509"/>
        <v>24.286881824081664</v>
      </c>
      <c r="EI591" s="215">
        <f>SUM(EG591:EH591)</f>
        <v>48.49629353070214</v>
      </c>
      <c r="EJ591" s="39">
        <f t="shared" si="2510"/>
        <v>24.364599845918725</v>
      </c>
      <c r="EK591" s="39">
        <f t="shared" si="2510"/>
        <v>24.442566565425668</v>
      </c>
      <c r="EL591" s="215">
        <f>SUM(EJ591:EK591)</f>
        <v>48.807166411344397</v>
      </c>
      <c r="EM591" s="39">
        <f t="shared" si="2511"/>
        <v>24.520782778435031</v>
      </c>
      <c r="EN591" s="39">
        <f t="shared" si="2511"/>
        <v>24.599249283326024</v>
      </c>
      <c r="EO591" s="215">
        <f>SUM(EM591:EN591)</f>
        <v>49.120032061761052</v>
      </c>
      <c r="EP591" s="39">
        <f t="shared" si="2512"/>
        <v>24.67796688103267</v>
      </c>
      <c r="EQ591" s="39">
        <f t="shared" si="2512"/>
        <v>24.756936375051978</v>
      </c>
      <c r="ER591" s="215">
        <f>SUM(EP591:EQ591)</f>
        <v>49.434903256084652</v>
      </c>
      <c r="ES591" s="39">
        <f t="shared" ref="ES591:ET591" si="2519">ES569*(ES580/2)</f>
        <v>24.836158571452145</v>
      </c>
      <c r="ET591" s="39">
        <f t="shared" si="2519"/>
        <v>24.915634278880795</v>
      </c>
      <c r="EU591" s="215">
        <f>SUM(ES591:ET591)</f>
        <v>49.75179285033294</v>
      </c>
      <c r="EV591" s="39">
        <f t="shared" ref="EV591:EW591" si="2520">EV569*(EV580/2)</f>
        <v>24.995364308573212</v>
      </c>
      <c r="EW591" s="39">
        <f t="shared" si="2520"/>
        <v>25.075349474360646</v>
      </c>
      <c r="EX591" s="215">
        <f>SUM(EV591:EW591)</f>
        <v>50.070713782933858</v>
      </c>
      <c r="EY591" s="39">
        <f t="shared" ref="EY591:EZ591" si="2521">EY569*(EY580/2)</f>
        <v>25.155590592678603</v>
      </c>
      <c r="EZ591" s="39">
        <f t="shared" si="2521"/>
        <v>25.236088482575177</v>
      </c>
      <c r="FA591" s="215">
        <f>SUM(EY591:EZ591)</f>
        <v>50.391679075253776</v>
      </c>
      <c r="FH591" s="35"/>
      <c r="FI591" s="35"/>
      <c r="FJ591" s="35"/>
      <c r="FK591" s="35"/>
      <c r="FL591" s="35"/>
      <c r="FM591" s="35"/>
      <c r="FN591" s="35"/>
      <c r="FO591" s="35"/>
      <c r="FP591" s="35"/>
      <c r="FQ591" s="35"/>
    </row>
    <row r="592" spans="1:173" s="321" customFormat="1" ht="13.5" hidden="1" outlineLevel="1" thickBot="1">
      <c r="A592" s="1437"/>
      <c r="B592" s="967"/>
      <c r="C592" s="967" t="s">
        <v>327</v>
      </c>
      <c r="D592" s="969"/>
      <c r="E592" s="18"/>
      <c r="F592" s="18"/>
      <c r="G592" s="19"/>
      <c r="H592" s="18"/>
      <c r="I592" s="18"/>
      <c r="J592" s="19"/>
      <c r="K592" s="18"/>
      <c r="L592" s="18"/>
      <c r="M592" s="19"/>
      <c r="N592" s="18"/>
      <c r="O592" s="18"/>
      <c r="P592" s="19"/>
      <c r="Q592" s="18"/>
      <c r="R592" s="18"/>
      <c r="S592" s="19"/>
      <c r="T592" s="18"/>
      <c r="U592" s="18"/>
      <c r="V592" s="19"/>
      <c r="W592" s="18"/>
      <c r="X592" s="18"/>
      <c r="Y592" s="19"/>
      <c r="Z592" s="18"/>
      <c r="AA592" s="18"/>
      <c r="AB592" s="19"/>
      <c r="AC592" s="18"/>
      <c r="AD592" s="18"/>
      <c r="AE592" s="19"/>
      <c r="AF592" s="18"/>
      <c r="AG592" s="18"/>
      <c r="AH592" s="19"/>
      <c r="AI592" s="18"/>
      <c r="AJ592" s="18"/>
      <c r="AK592" s="19"/>
      <c r="AL592" s="18"/>
      <c r="AM592" s="18"/>
      <c r="AN592" s="19"/>
      <c r="AO592" s="18"/>
      <c r="AP592" s="18"/>
      <c r="AQ592" s="19"/>
      <c r="AR592" s="18"/>
      <c r="AS592" s="18"/>
      <c r="AT592" s="19"/>
      <c r="AU592" s="18"/>
      <c r="AV592" s="18"/>
      <c r="AW592" s="19"/>
      <c r="AX592" s="216">
        <f t="shared" ref="AX592:CC592" si="2522">SUM(AX589:AX591)</f>
        <v>22.451507836751251</v>
      </c>
      <c r="AY592" s="216">
        <f t="shared" si="2522"/>
        <v>22.578398482052826</v>
      </c>
      <c r="AZ592" s="216">
        <f t="shared" si="2522"/>
        <v>45.029906318804073</v>
      </c>
      <c r="BA592" s="40">
        <f t="shared" si="2522"/>
        <v>22.706101130250552</v>
      </c>
      <c r="BB592" s="40">
        <f t="shared" si="2522"/>
        <v>22.834620933362281</v>
      </c>
      <c r="BC592" s="975">
        <f t="shared" si="2522"/>
        <v>45.540722063612826</v>
      </c>
      <c r="BD592" s="40">
        <f t="shared" si="2522"/>
        <v>22.963963076286678</v>
      </c>
      <c r="BE592" s="40">
        <f t="shared" si="2522"/>
        <v>23.094132777013336</v>
      </c>
      <c r="BF592" s="975">
        <f t="shared" si="2522"/>
        <v>46.05809585330001</v>
      </c>
      <c r="BG592" s="40">
        <f t="shared" si="2522"/>
        <v>23.225135286834302</v>
      </c>
      <c r="BH592" s="40">
        <f t="shared" si="2522"/>
        <v>23.356975890556825</v>
      </c>
      <c r="BI592" s="975">
        <f t="shared" si="2522"/>
        <v>46.582111177391127</v>
      </c>
      <c r="BJ592" s="140">
        <f t="shared" si="2522"/>
        <v>23.489659906717613</v>
      </c>
      <c r="BK592" s="140">
        <f t="shared" si="2522"/>
        <v>23.623192687798348</v>
      </c>
      <c r="BL592" s="141">
        <f t="shared" si="2522"/>
        <v>47.112852594515964</v>
      </c>
      <c r="BM592" s="140">
        <f t="shared" si="2522"/>
        <v>23.690386154120503</v>
      </c>
      <c r="BN592" s="140">
        <f t="shared" si="2522"/>
        <v>23.757794513589506</v>
      </c>
      <c r="BO592" s="141">
        <f t="shared" si="2522"/>
        <v>47.448180667710005</v>
      </c>
      <c r="BP592" s="140">
        <f t="shared" si="2522"/>
        <v>23.825418448158342</v>
      </c>
      <c r="BQ592" s="140">
        <f t="shared" si="2522"/>
        <v>23.893258641956304</v>
      </c>
      <c r="BR592" s="141">
        <f t="shared" si="2522"/>
        <v>47.718677090114639</v>
      </c>
      <c r="BS592" s="40">
        <f t="shared" si="2522"/>
        <v>23.961315781295966</v>
      </c>
      <c r="BT592" s="40">
        <f t="shared" si="2522"/>
        <v>24.029590554680144</v>
      </c>
      <c r="BU592" s="216">
        <f t="shared" si="2522"/>
        <v>47.990906335976106</v>
      </c>
      <c r="BV592" s="40">
        <f t="shared" si="2522"/>
        <v>24.098083652808903</v>
      </c>
      <c r="BW592" s="40">
        <f t="shared" si="2522"/>
        <v>24.166795768586574</v>
      </c>
      <c r="BX592" s="216">
        <f t="shared" si="2522"/>
        <v>48.264879421395477</v>
      </c>
      <c r="BY592" s="40">
        <f t="shared" si="2522"/>
        <v>24.235727597128811</v>
      </c>
      <c r="BZ592" s="40">
        <f t="shared" si="2522"/>
        <v>24.30487983576964</v>
      </c>
      <c r="CA592" s="216">
        <f t="shared" si="2522"/>
        <v>48.540607432898454</v>
      </c>
      <c r="CB592" s="40">
        <f t="shared" si="2522"/>
        <v>24.374253184068557</v>
      </c>
      <c r="CC592" s="40">
        <f t="shared" si="2522"/>
        <v>24.443848343817638</v>
      </c>
      <c r="CD592" s="216">
        <f t="shared" ref="CD592:DI592" si="2523">SUM(CD589:CD591)</f>
        <v>48.818101527886199</v>
      </c>
      <c r="CE592" s="40">
        <f t="shared" si="2523"/>
        <v>24.513666019048674</v>
      </c>
      <c r="CF592" s="40">
        <f t="shared" si="2523"/>
        <v>24.58370691604032</v>
      </c>
      <c r="CG592" s="216">
        <f t="shared" si="2523"/>
        <v>49.097372935088991</v>
      </c>
      <c r="CH592" s="40">
        <f t="shared" si="2523"/>
        <v>24.653971743325297</v>
      </c>
      <c r="CI592" s="40">
        <f t="shared" si="2523"/>
        <v>24.724461211697559</v>
      </c>
      <c r="CJ592" s="216">
        <f t="shared" si="2523"/>
        <v>49.378432955022859</v>
      </c>
      <c r="CK592" s="40">
        <f t="shared" si="2523"/>
        <v>24.795176034219558</v>
      </c>
      <c r="CL592" s="40">
        <f t="shared" si="2523"/>
        <v>24.866116926229481</v>
      </c>
      <c r="CM592" s="216">
        <f t="shared" si="2523"/>
        <v>49.661292960449039</v>
      </c>
      <c r="CN592" s="40">
        <f t="shared" si="2523"/>
        <v>24.937284605348484</v>
      </c>
      <c r="CO592" s="40">
        <f t="shared" si="2523"/>
        <v>25.008679791488056</v>
      </c>
      <c r="CP592" s="216">
        <f t="shared" si="2523"/>
        <v>49.945964396836537</v>
      </c>
      <c r="CQ592" s="40">
        <f t="shared" si="2523"/>
        <v>25.080303206857273</v>
      </c>
      <c r="CR592" s="40">
        <f t="shared" si="2523"/>
        <v>25.152155575970191</v>
      </c>
      <c r="CS592" s="216">
        <f t="shared" si="2523"/>
        <v>50.232458782827464</v>
      </c>
      <c r="CT592" s="40">
        <f t="shared" si="2523"/>
        <v>25.224237625653178</v>
      </c>
      <c r="CU592" s="40">
        <f t="shared" si="2523"/>
        <v>25.296550085052314</v>
      </c>
      <c r="CV592" s="216">
        <f t="shared" si="2523"/>
        <v>50.520787710705491</v>
      </c>
      <c r="CW592" s="40">
        <f t="shared" si="2523"/>
        <v>25.36909368564082</v>
      </c>
      <c r="CX592" s="40">
        <f t="shared" si="2523"/>
        <v>25.441869161226457</v>
      </c>
      <c r="CY592" s="216">
        <f t="shared" si="2523"/>
        <v>50.810962846867277</v>
      </c>
      <c r="CZ592" s="40">
        <f t="shared" si="2523"/>
        <v>25.514877247959028</v>
      </c>
      <c r="DA592" s="40">
        <f t="shared" si="2523"/>
        <v>25.588118684337832</v>
      </c>
      <c r="DB592" s="216">
        <f t="shared" si="2523"/>
        <v>51.102995932296864</v>
      </c>
      <c r="DC592" s="40">
        <f t="shared" si="2523"/>
        <v>25.661594211219189</v>
      </c>
      <c r="DD592" s="40">
        <f t="shared" si="2523"/>
        <v>25.735304571823956</v>
      </c>
      <c r="DE592" s="216">
        <f t="shared" si="2523"/>
        <v>51.396898783043142</v>
      </c>
      <c r="DF592" s="312">
        <f t="shared" si="2523"/>
        <v>25.80925051174512</v>
      </c>
      <c r="DG592" s="312">
        <f t="shared" si="2523"/>
        <v>25.883432778955324</v>
      </c>
      <c r="DH592" s="216">
        <f t="shared" si="2523"/>
        <v>51.692683290700451</v>
      </c>
      <c r="DI592" s="40">
        <f t="shared" si="2523"/>
        <v>25.957852123814515</v>
      </c>
      <c r="DJ592" s="40">
        <f t="shared" ref="DJ592:EF592" si="2524">SUM(DJ589:DJ591)</f>
        <v>26.032509299077553</v>
      </c>
      <c r="DK592" s="216">
        <f t="shared" si="2524"/>
        <v>51.990361422892065</v>
      </c>
      <c r="DL592" s="40">
        <f t="shared" si="2524"/>
        <v>26.107405059901879</v>
      </c>
      <c r="DM592" s="40">
        <f t="shared" si="2524"/>
        <v>26.182540163855169</v>
      </c>
      <c r="DN592" s="216">
        <f t="shared" si="2524"/>
        <v>52.289945223757051</v>
      </c>
      <c r="DO592" s="40">
        <f t="shared" si="2524"/>
        <v>26.257915370923058</v>
      </c>
      <c r="DP592" s="40">
        <f t="shared" si="2524"/>
        <v>26.333531443516875</v>
      </c>
      <c r="DQ592" s="216">
        <f t="shared" si="2524"/>
        <v>52.591446814439934</v>
      </c>
      <c r="DR592" s="40">
        <f t="shared" si="2524"/>
        <v>26.409389146481352</v>
      </c>
      <c r="DS592" s="40">
        <f t="shared" si="2524"/>
        <v>26.485489247102443</v>
      </c>
      <c r="DT592" s="216">
        <f t="shared" si="2524"/>
        <v>52.894878393583795</v>
      </c>
      <c r="DU592" s="40">
        <f t="shared" si="2524"/>
        <v>26.561832515115118</v>
      </c>
      <c r="DV592" s="40">
        <f t="shared" si="2524"/>
        <v>26.638419722711177</v>
      </c>
      <c r="DW592" s="216">
        <f t="shared" si="2524"/>
        <v>53.200252237826298</v>
      </c>
      <c r="DX592" s="40">
        <f t="shared" si="2524"/>
        <v>26.715251644547099</v>
      </c>
      <c r="DY592" s="40">
        <f t="shared" si="2524"/>
        <v>26.792329057751935</v>
      </c>
      <c r="DZ592" s="216">
        <f t="shared" si="2524"/>
        <v>53.50758070229903</v>
      </c>
      <c r="EA592" s="40">
        <f t="shared" si="2524"/>
        <v>26.869652741935198</v>
      </c>
      <c r="EB592" s="40">
        <f t="shared" si="2524"/>
        <v>26.9472234791948</v>
      </c>
      <c r="EC592" s="216">
        <f t="shared" si="2524"/>
        <v>53.816876221129995</v>
      </c>
      <c r="ED592" s="40">
        <f t="shared" si="2524"/>
        <v>27.025042054124992</v>
      </c>
      <c r="EE592" s="40">
        <f t="shared" si="2524"/>
        <v>27.103109253824346</v>
      </c>
      <c r="EF592" s="216">
        <f t="shared" si="2524"/>
        <v>54.128151307949338</v>
      </c>
      <c r="EG592" s="40">
        <f t="shared" ref="EG592:EL592" si="2525">SUM(EG589:EG591)</f>
        <v>27.181425867903762</v>
      </c>
      <c r="EH592" s="40">
        <f t="shared" si="2525"/>
        <v>27.259992688494499</v>
      </c>
      <c r="EI592" s="216">
        <f t="shared" si="2525"/>
        <v>54.441418556398261</v>
      </c>
      <c r="EJ592" s="40">
        <f t="shared" si="2525"/>
        <v>27.338810510256216</v>
      </c>
      <c r="EK592" s="40">
        <f t="shared" si="2525"/>
        <v>27.417880130385072</v>
      </c>
      <c r="EL592" s="216">
        <f t="shared" si="2525"/>
        <v>54.756690640641288</v>
      </c>
      <c r="EM592" s="40">
        <f t="shared" ref="EM592:ER592" si="2526">SUM(EM589:EM591)</f>
        <v>27.497202348621812</v>
      </c>
      <c r="EN592" s="40">
        <f t="shared" si="2526"/>
        <v>27.576777967259922</v>
      </c>
      <c r="EO592" s="216">
        <f t="shared" si="2526"/>
        <v>55.073980315881734</v>
      </c>
      <c r="EP592" s="40">
        <f t="shared" si="2526"/>
        <v>27.656607791153768</v>
      </c>
      <c r="EQ592" s="40">
        <f t="shared" si="2526"/>
        <v>27.736692627726775</v>
      </c>
      <c r="ER592" s="216">
        <f t="shared" si="2526"/>
        <v>55.393300418880543</v>
      </c>
      <c r="ES592" s="40">
        <f t="shared" ref="ES592:EX592" si="2527">SUM(ES589:ES591)</f>
        <v>27.817033286979669</v>
      </c>
      <c r="ET592" s="40">
        <f t="shared" si="2527"/>
        <v>27.897630581498678</v>
      </c>
      <c r="EU592" s="216">
        <f t="shared" si="2527"/>
        <v>55.714663868478347</v>
      </c>
      <c r="EV592" s="40">
        <f t="shared" si="2527"/>
        <v>27.978485326463819</v>
      </c>
      <c r="EW592" s="40">
        <f t="shared" si="2527"/>
        <v>28.059598339657171</v>
      </c>
      <c r="EX592" s="216">
        <f t="shared" si="2527"/>
        <v>56.03808366612099</v>
      </c>
      <c r="EY592" s="40">
        <f t="shared" ref="EY592:FA592" si="2528">SUM(EY589:EY591)</f>
        <v>28.140970441471218</v>
      </c>
      <c r="EZ592" s="40">
        <f t="shared" si="2528"/>
        <v>28.222602454917148</v>
      </c>
      <c r="FA592" s="216">
        <f t="shared" si="2528"/>
        <v>56.363572896388362</v>
      </c>
      <c r="FH592" s="35"/>
      <c r="FI592" s="35"/>
      <c r="FJ592" s="35"/>
      <c r="FK592" s="35"/>
      <c r="FL592" s="35"/>
      <c r="FM592" s="35"/>
      <c r="FN592" s="35"/>
      <c r="FO592" s="35"/>
      <c r="FP592" s="35"/>
      <c r="FQ592" s="35"/>
    </row>
    <row r="593" spans="1:173" s="321" customFormat="1" hidden="1" outlineLevel="1">
      <c r="A593" s="1168"/>
      <c r="B593" s="68" t="s">
        <v>308</v>
      </c>
      <c r="C593" s="186"/>
      <c r="D593" s="910"/>
      <c r="E593" s="1"/>
      <c r="F593" s="1"/>
      <c r="G593" s="5"/>
      <c r="H593" s="1"/>
      <c r="I593" s="1"/>
      <c r="J593" s="5"/>
      <c r="K593" s="1"/>
      <c r="L593" s="1"/>
      <c r="M593" s="5"/>
      <c r="N593" s="1"/>
      <c r="O593" s="1"/>
      <c r="P593" s="5"/>
      <c r="Q593" s="1"/>
      <c r="R593" s="1"/>
      <c r="S593" s="5"/>
      <c r="T593" s="1"/>
      <c r="U593" s="1"/>
      <c r="V593" s="5"/>
      <c r="W593" s="1"/>
      <c r="X593" s="1"/>
      <c r="Y593" s="5"/>
      <c r="Z593" s="1"/>
      <c r="AA593" s="1"/>
      <c r="AB593" s="5"/>
      <c r="AC593" s="1"/>
      <c r="AD593" s="1"/>
      <c r="AE593" s="5"/>
      <c r="AF593" s="1"/>
      <c r="AG593" s="1"/>
      <c r="AH593" s="5"/>
      <c r="AI593" s="1"/>
      <c r="AJ593" s="1"/>
      <c r="AK593" s="5"/>
      <c r="AL593" s="1"/>
      <c r="AM593" s="1"/>
      <c r="AN593" s="5"/>
      <c r="AO593" s="1"/>
      <c r="AP593" s="1"/>
      <c r="AQ593" s="5"/>
      <c r="AR593" s="1"/>
      <c r="AS593" s="1"/>
      <c r="AT593" s="5"/>
      <c r="AU593" s="1"/>
      <c r="AV593" s="1"/>
      <c r="AW593" s="5"/>
      <c r="AX593" s="1"/>
      <c r="AY593" s="1"/>
      <c r="AZ593" s="5"/>
      <c r="BA593" s="1"/>
      <c r="BB593" s="1"/>
      <c r="BC593" s="976"/>
      <c r="BD593" s="4"/>
      <c r="BE593" s="4"/>
      <c r="BF593" s="971"/>
      <c r="BG593" s="4"/>
      <c r="BH593" s="4"/>
      <c r="BI593" s="971"/>
      <c r="BJ593" s="121"/>
      <c r="BK593" s="121"/>
      <c r="BL593" s="114"/>
      <c r="BM593" s="121"/>
      <c r="BN593" s="121"/>
      <c r="BO593" s="114"/>
      <c r="BP593" s="121"/>
      <c r="BQ593" s="121"/>
      <c r="BR593" s="114"/>
      <c r="BS593" s="4"/>
      <c r="BT593" s="4"/>
      <c r="BU593" s="185"/>
      <c r="BV593" s="4"/>
      <c r="BW593" s="4"/>
      <c r="BX593" s="185"/>
      <c r="BY593" s="4"/>
      <c r="BZ593" s="4"/>
      <c r="CA593" s="185"/>
      <c r="CB593" s="4"/>
      <c r="CC593" s="4"/>
      <c r="CD593" s="185"/>
      <c r="CE593" s="4"/>
      <c r="CF593" s="4"/>
      <c r="CG593" s="185"/>
      <c r="CH593" s="4"/>
      <c r="CI593" s="4"/>
      <c r="CJ593" s="185"/>
      <c r="CK593" s="4"/>
      <c r="CL593" s="4"/>
      <c r="CM593" s="185"/>
      <c r="CN593" s="4"/>
      <c r="CO593" s="4"/>
      <c r="CP593" s="185"/>
      <c r="CQ593" s="4"/>
      <c r="CR593" s="4"/>
      <c r="CS593" s="185"/>
      <c r="CT593" s="4"/>
      <c r="CU593" s="4"/>
      <c r="CV593" s="185"/>
      <c r="CW593" s="4"/>
      <c r="CX593" s="4"/>
      <c r="CY593" s="185"/>
      <c r="CZ593" s="4"/>
      <c r="DA593" s="4"/>
      <c r="DB593" s="185"/>
      <c r="DC593" s="4"/>
      <c r="DD593" s="4"/>
      <c r="DE593" s="185"/>
      <c r="DF593" s="4"/>
      <c r="DG593" s="4"/>
      <c r="DH593" s="185"/>
      <c r="DI593" s="4"/>
      <c r="DJ593" s="4"/>
      <c r="DK593" s="185"/>
      <c r="DL593" s="4"/>
      <c r="DM593" s="4"/>
      <c r="DN593" s="185"/>
      <c r="DO593" s="4"/>
      <c r="DP593" s="4"/>
      <c r="DQ593" s="185"/>
      <c r="DR593" s="4"/>
      <c r="DS593" s="4"/>
      <c r="DT593" s="185"/>
      <c r="DU593" s="4"/>
      <c r="DV593" s="4"/>
      <c r="DW593" s="185"/>
      <c r="DX593" s="4"/>
      <c r="DY593" s="4"/>
      <c r="DZ593" s="185"/>
      <c r="EA593" s="4"/>
      <c r="EB593" s="4"/>
      <c r="EC593" s="185"/>
      <c r="ED593" s="4"/>
      <c r="EE593" s="4"/>
      <c r="EF593" s="185"/>
      <c r="EG593" s="4"/>
      <c r="EH593" s="4"/>
      <c r="EI593" s="185"/>
      <c r="EJ593" s="4"/>
      <c r="EK593" s="4"/>
      <c r="EL593" s="185"/>
      <c r="EM593" s="4"/>
      <c r="EN593" s="4"/>
      <c r="EO593" s="185"/>
      <c r="EP593" s="4"/>
      <c r="EQ593" s="4"/>
      <c r="ER593" s="185"/>
      <c r="ES593" s="4"/>
      <c r="ET593" s="4"/>
      <c r="EU593" s="185"/>
      <c r="EV593" s="4"/>
      <c r="EW593" s="4"/>
      <c r="EX593" s="185"/>
      <c r="EY593" s="4"/>
      <c r="EZ593" s="4"/>
      <c r="FA593" s="185"/>
      <c r="FH593" s="35"/>
      <c r="FI593" s="35"/>
      <c r="FJ593" s="35"/>
      <c r="FK593" s="35"/>
      <c r="FL593" s="35"/>
      <c r="FM593" s="35"/>
      <c r="FN593" s="35"/>
      <c r="FO593" s="35"/>
      <c r="FP593" s="35"/>
      <c r="FQ593" s="35"/>
    </row>
    <row r="594" spans="1:173" s="321" customFormat="1" hidden="1" outlineLevel="1">
      <c r="A594" s="1168"/>
      <c r="B594" s="186"/>
      <c r="C594" s="331" t="s">
        <v>339</v>
      </c>
      <c r="D594" s="910"/>
      <c r="E594" s="1"/>
      <c r="F594" s="1"/>
      <c r="G594" s="5"/>
      <c r="H594" s="1"/>
      <c r="I594" s="1"/>
      <c r="J594" s="5"/>
      <c r="K594" s="1"/>
      <c r="L594" s="1"/>
      <c r="M594" s="5"/>
      <c r="N594" s="1"/>
      <c r="O594" s="1"/>
      <c r="P594" s="5"/>
      <c r="Q594" s="1"/>
      <c r="R594" s="1"/>
      <c r="S594" s="5"/>
      <c r="T594" s="1"/>
      <c r="U594" s="1"/>
      <c r="V594" s="5"/>
      <c r="W594" s="1"/>
      <c r="X594" s="1"/>
      <c r="Y594" s="5"/>
      <c r="Z594" s="1"/>
      <c r="AA594" s="1"/>
      <c r="AB594" s="5"/>
      <c r="AC594" s="1"/>
      <c r="AD594" s="1"/>
      <c r="AE594" s="5"/>
      <c r="AF594" s="1"/>
      <c r="AG594" s="1"/>
      <c r="AH594" s="5"/>
      <c r="AI594" s="1"/>
      <c r="AJ594" s="1"/>
      <c r="AK594" s="5"/>
      <c r="AL594" s="1"/>
      <c r="AM594" s="1"/>
      <c r="AN594" s="5"/>
      <c r="AO594" s="1"/>
      <c r="AP594" s="1"/>
      <c r="AQ594" s="5"/>
      <c r="AR594" s="1"/>
      <c r="AS594" s="1"/>
      <c r="AT594" s="5"/>
      <c r="AU594" s="1"/>
      <c r="AV594" s="1"/>
      <c r="AW594" s="5"/>
      <c r="AX594" s="1"/>
      <c r="AY594" s="1"/>
      <c r="AZ594" s="5"/>
      <c r="BA594" s="1"/>
      <c r="BB594" s="1"/>
      <c r="BC594" s="46"/>
      <c r="BD594" s="1"/>
      <c r="BE594" s="1"/>
      <c r="BF594" s="46"/>
      <c r="BG594" s="1"/>
      <c r="BH594" s="1"/>
      <c r="BI594" s="46"/>
      <c r="BJ594" s="108"/>
      <c r="BK594" s="108"/>
      <c r="BL594" s="109"/>
      <c r="BM594" s="108"/>
      <c r="BN594" s="108"/>
      <c r="BO594" s="109"/>
      <c r="BP594" s="108"/>
      <c r="BQ594" s="108"/>
      <c r="BR594" s="109"/>
      <c r="BS594" s="1"/>
      <c r="BT594" s="1"/>
      <c r="BU594" s="5"/>
      <c r="BV594" s="1"/>
      <c r="BW594" s="1"/>
      <c r="BX594" s="186"/>
      <c r="BY594" s="1"/>
      <c r="BZ594" s="1"/>
      <c r="CA594" s="186"/>
      <c r="CB594" s="1"/>
      <c r="CC594" s="1"/>
      <c r="CD594" s="186"/>
      <c r="CE594" s="1"/>
      <c r="CF594" s="1"/>
      <c r="CG594" s="186"/>
      <c r="CH594" s="1"/>
      <c r="CI594" s="1"/>
      <c r="CJ594" s="186"/>
      <c r="CK594" s="1"/>
      <c r="CL594" s="1"/>
      <c r="CM594" s="186"/>
      <c r="CN594" s="1"/>
      <c r="CO594" s="1"/>
      <c r="CP594" s="186"/>
      <c r="CQ594" s="1"/>
      <c r="CR594" s="1"/>
      <c r="CS594" s="186"/>
      <c r="CT594" s="1"/>
      <c r="CU594" s="1"/>
      <c r="CV594" s="186"/>
      <c r="CW594" s="1"/>
      <c r="CX594" s="1"/>
      <c r="CY594" s="5"/>
      <c r="CZ594" s="1"/>
      <c r="DA594" s="1"/>
      <c r="DB594" s="5"/>
      <c r="DC594" s="1"/>
      <c r="DD594" s="1"/>
      <c r="DE594" s="5"/>
      <c r="DF594" s="1"/>
      <c r="DG594" s="1"/>
      <c r="DH594" s="5"/>
      <c r="DI594" s="1"/>
      <c r="DJ594" s="1"/>
      <c r="DK594" s="5"/>
      <c r="DL594" s="1"/>
      <c r="DM594" s="1"/>
      <c r="DN594" s="5"/>
      <c r="DO594" s="1"/>
      <c r="DP594" s="1"/>
      <c r="DQ594" s="5"/>
      <c r="DR594" s="1"/>
      <c r="DS594" s="1"/>
      <c r="DT594" s="5"/>
      <c r="DU594" s="1"/>
      <c r="DV594" s="1"/>
      <c r="DW594" s="5"/>
      <c r="DX594" s="1"/>
      <c r="DY594" s="1"/>
      <c r="DZ594" s="5"/>
      <c r="EA594" s="1"/>
      <c r="EB594" s="1"/>
      <c r="EC594" s="5"/>
      <c r="ED594" s="1"/>
      <c r="EE594" s="1"/>
      <c r="EF594" s="5"/>
      <c r="EG594" s="1"/>
      <c r="EH594" s="1"/>
      <c r="EI594" s="5"/>
      <c r="EJ594" s="1"/>
      <c r="EK594" s="1"/>
      <c r="EL594" s="5"/>
      <c r="EM594" s="1"/>
      <c r="EN594" s="1"/>
      <c r="EO594" s="5"/>
      <c r="EP594" s="1"/>
      <c r="EQ594" s="1"/>
      <c r="ER594" s="5"/>
      <c r="ES594" s="1"/>
      <c r="ET594" s="1"/>
      <c r="EU594" s="5"/>
      <c r="EV594" s="1"/>
      <c r="EW594" s="1"/>
      <c r="EX594" s="5"/>
      <c r="EY594" s="1"/>
      <c r="EZ594" s="1"/>
      <c r="FA594" s="5"/>
      <c r="FH594" s="35"/>
      <c r="FI594" s="35"/>
      <c r="FJ594" s="35"/>
      <c r="FK594" s="35"/>
      <c r="FL594" s="35"/>
      <c r="FM594" s="35"/>
      <c r="FN594" s="35"/>
      <c r="FO594" s="35"/>
      <c r="FP594" s="35"/>
      <c r="FQ594" s="35"/>
    </row>
    <row r="595" spans="1:173" s="321" customFormat="1" hidden="1" outlineLevel="1">
      <c r="A595" s="1168"/>
      <c r="B595" s="186"/>
      <c r="C595" s="186" t="s">
        <v>316</v>
      </c>
      <c r="D595" s="910"/>
      <c r="E595" s="1"/>
      <c r="F595" s="1"/>
      <c r="G595" s="5"/>
      <c r="H595" s="1"/>
      <c r="I595" s="1"/>
      <c r="J595" s="5"/>
      <c r="K595" s="1"/>
      <c r="L595" s="1"/>
      <c r="M595" s="5"/>
      <c r="N595" s="1"/>
      <c r="O595" s="1"/>
      <c r="P595" s="5"/>
      <c r="Q595" s="1"/>
      <c r="R595" s="1"/>
      <c r="S595" s="5"/>
      <c r="T595" s="1"/>
      <c r="U595" s="1"/>
      <c r="V595" s="5"/>
      <c r="W595" s="1"/>
      <c r="X595" s="1"/>
      <c r="Y595" s="5"/>
      <c r="Z595" s="1"/>
      <c r="AA595" s="1"/>
      <c r="AB595" s="5"/>
      <c r="AC595" s="1"/>
      <c r="AD595" s="1"/>
      <c r="AE595" s="5"/>
      <c r="AF595" s="1"/>
      <c r="AG595" s="1"/>
      <c r="AH595" s="5"/>
      <c r="AI595" s="1"/>
      <c r="AJ595" s="1"/>
      <c r="AK595" s="5"/>
      <c r="AL595" s="1"/>
      <c r="AM595" s="1"/>
      <c r="AN595" s="5"/>
      <c r="AO595" s="1"/>
      <c r="AP595" s="1"/>
      <c r="AQ595" s="5"/>
      <c r="AR595" s="1"/>
      <c r="AS595" s="1"/>
      <c r="AT595" s="5"/>
      <c r="AU595" s="1"/>
      <c r="AV595" s="1"/>
      <c r="AW595" s="5"/>
      <c r="AX595" s="217">
        <v>2E-3</v>
      </c>
      <c r="AY595" s="217">
        <f t="shared" ref="AY595:CD595" si="2529">AX595</f>
        <v>2E-3</v>
      </c>
      <c r="AZ595" s="217">
        <f t="shared" si="2529"/>
        <v>2E-3</v>
      </c>
      <c r="BA595" s="38">
        <f t="shared" si="2529"/>
        <v>2E-3</v>
      </c>
      <c r="BB595" s="38">
        <f t="shared" si="2529"/>
        <v>2E-3</v>
      </c>
      <c r="BC595" s="977">
        <f t="shared" si="2529"/>
        <v>2E-3</v>
      </c>
      <c r="BD595" s="38">
        <f t="shared" si="2529"/>
        <v>2E-3</v>
      </c>
      <c r="BE595" s="38">
        <f t="shared" si="2529"/>
        <v>2E-3</v>
      </c>
      <c r="BF595" s="977">
        <f t="shared" si="2529"/>
        <v>2E-3</v>
      </c>
      <c r="BG595" s="38">
        <f t="shared" si="2529"/>
        <v>2E-3</v>
      </c>
      <c r="BH595" s="38">
        <f t="shared" si="2529"/>
        <v>2E-3</v>
      </c>
      <c r="BI595" s="977">
        <f t="shared" si="2529"/>
        <v>2E-3</v>
      </c>
      <c r="BJ595" s="136">
        <f t="shared" si="2529"/>
        <v>2E-3</v>
      </c>
      <c r="BK595" s="136">
        <f t="shared" si="2529"/>
        <v>2E-3</v>
      </c>
      <c r="BL595" s="142">
        <f t="shared" si="2529"/>
        <v>2E-3</v>
      </c>
      <c r="BM595" s="136">
        <f t="shared" si="2529"/>
        <v>2E-3</v>
      </c>
      <c r="BN595" s="136">
        <f t="shared" si="2529"/>
        <v>2E-3</v>
      </c>
      <c r="BO595" s="142">
        <f t="shared" si="2529"/>
        <v>2E-3</v>
      </c>
      <c r="BP595" s="136">
        <f t="shared" si="2529"/>
        <v>2E-3</v>
      </c>
      <c r="BQ595" s="136">
        <f t="shared" si="2529"/>
        <v>2E-3</v>
      </c>
      <c r="BR595" s="142">
        <f t="shared" si="2529"/>
        <v>2E-3</v>
      </c>
      <c r="BS595" s="38">
        <f t="shared" si="2529"/>
        <v>2E-3</v>
      </c>
      <c r="BT595" s="38">
        <f t="shared" si="2529"/>
        <v>2E-3</v>
      </c>
      <c r="BU595" s="217">
        <f t="shared" si="2529"/>
        <v>2E-3</v>
      </c>
      <c r="BV595" s="38">
        <f t="shared" si="2529"/>
        <v>2E-3</v>
      </c>
      <c r="BW595" s="38">
        <f t="shared" si="2529"/>
        <v>2E-3</v>
      </c>
      <c r="BX595" s="217">
        <f t="shared" si="2529"/>
        <v>2E-3</v>
      </c>
      <c r="BY595" s="38">
        <f t="shared" si="2529"/>
        <v>2E-3</v>
      </c>
      <c r="BZ595" s="38">
        <f t="shared" si="2529"/>
        <v>2E-3</v>
      </c>
      <c r="CA595" s="217">
        <f t="shared" si="2529"/>
        <v>2E-3</v>
      </c>
      <c r="CB595" s="38">
        <f t="shared" si="2529"/>
        <v>2E-3</v>
      </c>
      <c r="CC595" s="38">
        <f t="shared" si="2529"/>
        <v>2E-3</v>
      </c>
      <c r="CD595" s="217">
        <f t="shared" si="2529"/>
        <v>2E-3</v>
      </c>
      <c r="CE595" s="38">
        <f t="shared" ref="CE595:DJ595" si="2530">CD595</f>
        <v>2E-3</v>
      </c>
      <c r="CF595" s="38">
        <f t="shared" si="2530"/>
        <v>2E-3</v>
      </c>
      <c r="CG595" s="217">
        <f t="shared" si="2530"/>
        <v>2E-3</v>
      </c>
      <c r="CH595" s="38">
        <f t="shared" si="2530"/>
        <v>2E-3</v>
      </c>
      <c r="CI595" s="38">
        <f t="shared" si="2530"/>
        <v>2E-3</v>
      </c>
      <c r="CJ595" s="217">
        <f t="shared" si="2530"/>
        <v>2E-3</v>
      </c>
      <c r="CK595" s="38">
        <f t="shared" si="2530"/>
        <v>2E-3</v>
      </c>
      <c r="CL595" s="38">
        <f t="shared" si="2530"/>
        <v>2E-3</v>
      </c>
      <c r="CM595" s="217">
        <f t="shared" si="2530"/>
        <v>2E-3</v>
      </c>
      <c r="CN595" s="38">
        <f t="shared" si="2530"/>
        <v>2E-3</v>
      </c>
      <c r="CO595" s="38">
        <f t="shared" si="2530"/>
        <v>2E-3</v>
      </c>
      <c r="CP595" s="217">
        <f t="shared" si="2530"/>
        <v>2E-3</v>
      </c>
      <c r="CQ595" s="38">
        <f t="shared" si="2530"/>
        <v>2E-3</v>
      </c>
      <c r="CR595" s="38">
        <f t="shared" si="2530"/>
        <v>2E-3</v>
      </c>
      <c r="CS595" s="217">
        <f t="shared" si="2530"/>
        <v>2E-3</v>
      </c>
      <c r="CT595" s="38">
        <f t="shared" si="2530"/>
        <v>2E-3</v>
      </c>
      <c r="CU595" s="38">
        <f t="shared" si="2530"/>
        <v>2E-3</v>
      </c>
      <c r="CV595" s="217">
        <f t="shared" si="2530"/>
        <v>2E-3</v>
      </c>
      <c r="CW595" s="38">
        <f t="shared" si="2530"/>
        <v>2E-3</v>
      </c>
      <c r="CX595" s="38">
        <f t="shared" si="2530"/>
        <v>2E-3</v>
      </c>
      <c r="CY595" s="217">
        <f t="shared" si="2530"/>
        <v>2E-3</v>
      </c>
      <c r="CZ595" s="38">
        <f t="shared" si="2530"/>
        <v>2E-3</v>
      </c>
      <c r="DA595" s="38">
        <f t="shared" si="2530"/>
        <v>2E-3</v>
      </c>
      <c r="DB595" s="217">
        <f t="shared" si="2530"/>
        <v>2E-3</v>
      </c>
      <c r="DC595" s="38">
        <f t="shared" si="2530"/>
        <v>2E-3</v>
      </c>
      <c r="DD595" s="38">
        <f t="shared" si="2530"/>
        <v>2E-3</v>
      </c>
      <c r="DE595" s="217">
        <f t="shared" si="2530"/>
        <v>2E-3</v>
      </c>
      <c r="DF595" s="38">
        <f t="shared" si="2530"/>
        <v>2E-3</v>
      </c>
      <c r="DG595" s="38">
        <f t="shared" si="2530"/>
        <v>2E-3</v>
      </c>
      <c r="DH595" s="217">
        <f t="shared" si="2530"/>
        <v>2E-3</v>
      </c>
      <c r="DI595" s="38">
        <f t="shared" si="2530"/>
        <v>2E-3</v>
      </c>
      <c r="DJ595" s="38">
        <f t="shared" si="2530"/>
        <v>2E-3</v>
      </c>
      <c r="DK595" s="217">
        <f t="shared" ref="DK595:EF595" si="2531">DJ595</f>
        <v>2E-3</v>
      </c>
      <c r="DL595" s="38">
        <f>DK595</f>
        <v>2E-3</v>
      </c>
      <c r="DM595" s="38">
        <f t="shared" si="2531"/>
        <v>2E-3</v>
      </c>
      <c r="DN595" s="217">
        <f t="shared" si="2531"/>
        <v>2E-3</v>
      </c>
      <c r="DO595" s="38">
        <f t="shared" si="2531"/>
        <v>2E-3</v>
      </c>
      <c r="DP595" s="38">
        <f t="shared" si="2531"/>
        <v>2E-3</v>
      </c>
      <c r="DQ595" s="217">
        <f t="shared" si="2531"/>
        <v>2E-3</v>
      </c>
      <c r="DR595" s="38">
        <f t="shared" si="2531"/>
        <v>2E-3</v>
      </c>
      <c r="DS595" s="38">
        <f t="shared" si="2531"/>
        <v>2E-3</v>
      </c>
      <c r="DT595" s="217">
        <f t="shared" si="2531"/>
        <v>2E-3</v>
      </c>
      <c r="DU595" s="38">
        <f t="shared" si="2531"/>
        <v>2E-3</v>
      </c>
      <c r="DV595" s="38">
        <f t="shared" si="2531"/>
        <v>2E-3</v>
      </c>
      <c r="DW595" s="217">
        <f t="shared" si="2531"/>
        <v>2E-3</v>
      </c>
      <c r="DX595" s="38">
        <f t="shared" si="2531"/>
        <v>2E-3</v>
      </c>
      <c r="DY595" s="38">
        <f t="shared" si="2531"/>
        <v>2E-3</v>
      </c>
      <c r="DZ595" s="217">
        <f t="shared" si="2531"/>
        <v>2E-3</v>
      </c>
      <c r="EA595" s="38">
        <f t="shared" si="2531"/>
        <v>2E-3</v>
      </c>
      <c r="EB595" s="38">
        <f t="shared" si="2531"/>
        <v>2E-3</v>
      </c>
      <c r="EC595" s="217">
        <f t="shared" si="2531"/>
        <v>2E-3</v>
      </c>
      <c r="ED595" s="38">
        <f t="shared" si="2531"/>
        <v>2E-3</v>
      </c>
      <c r="EE595" s="38">
        <f t="shared" si="2531"/>
        <v>2E-3</v>
      </c>
      <c r="EF595" s="217">
        <f t="shared" si="2531"/>
        <v>2E-3</v>
      </c>
      <c r="EG595" s="38">
        <f t="shared" ref="EG595:EL598" si="2532">EF595</f>
        <v>2E-3</v>
      </c>
      <c r="EH595" s="38">
        <f t="shared" si="2532"/>
        <v>2E-3</v>
      </c>
      <c r="EI595" s="217">
        <f t="shared" si="2532"/>
        <v>2E-3</v>
      </c>
      <c r="EJ595" s="38">
        <f t="shared" si="2532"/>
        <v>2E-3</v>
      </c>
      <c r="EK595" s="38">
        <f t="shared" si="2532"/>
        <v>2E-3</v>
      </c>
      <c r="EL595" s="217">
        <f t="shared" si="2532"/>
        <v>2E-3</v>
      </c>
      <c r="EM595" s="38">
        <f t="shared" ref="EM595:ER598" si="2533">EL595</f>
        <v>2E-3</v>
      </c>
      <c r="EN595" s="38">
        <f t="shared" si="2533"/>
        <v>2E-3</v>
      </c>
      <c r="EO595" s="217">
        <f t="shared" si="2533"/>
        <v>2E-3</v>
      </c>
      <c r="EP595" s="38">
        <f t="shared" si="2533"/>
        <v>2E-3</v>
      </c>
      <c r="EQ595" s="38">
        <f t="shared" si="2533"/>
        <v>2E-3</v>
      </c>
      <c r="ER595" s="217">
        <f t="shared" si="2533"/>
        <v>2E-3</v>
      </c>
      <c r="ES595" s="38">
        <f t="shared" ref="ES595:ES598" si="2534">ER595</f>
        <v>2E-3</v>
      </c>
      <c r="ET595" s="38">
        <f t="shared" ref="ET595:ET598" si="2535">ES595</f>
        <v>2E-3</v>
      </c>
      <c r="EU595" s="217">
        <f t="shared" ref="EU595:EU598" si="2536">ET595</f>
        <v>2E-3</v>
      </c>
      <c r="EV595" s="38">
        <f t="shared" ref="EV595:EV598" si="2537">EU595</f>
        <v>2E-3</v>
      </c>
      <c r="EW595" s="38">
        <f t="shared" ref="EW595:EW598" si="2538">EV595</f>
        <v>2E-3</v>
      </c>
      <c r="EX595" s="217">
        <f t="shared" ref="EX595:EX598" si="2539">EW595</f>
        <v>2E-3</v>
      </c>
      <c r="EY595" s="38">
        <f t="shared" ref="EY595:EY598" si="2540">EX595</f>
        <v>2E-3</v>
      </c>
      <c r="EZ595" s="38">
        <f t="shared" ref="EZ595:EZ598" si="2541">EY595</f>
        <v>2E-3</v>
      </c>
      <c r="FA595" s="217">
        <f t="shared" ref="FA595:FA598" si="2542">EZ595</f>
        <v>2E-3</v>
      </c>
      <c r="FH595" s="35"/>
      <c r="FI595" s="35"/>
      <c r="FJ595" s="35"/>
      <c r="FK595" s="35"/>
      <c r="FL595" s="35"/>
      <c r="FM595" s="35"/>
      <c r="FN595" s="35"/>
      <c r="FO595" s="35"/>
      <c r="FP595" s="35"/>
      <c r="FQ595" s="35"/>
    </row>
    <row r="596" spans="1:173" s="321" customFormat="1" hidden="1" outlineLevel="1">
      <c r="A596" s="1168"/>
      <c r="B596" s="331"/>
      <c r="C596" s="186" t="s">
        <v>317</v>
      </c>
      <c r="D596" s="910"/>
      <c r="E596" s="1"/>
      <c r="F596" s="1"/>
      <c r="G596" s="5"/>
      <c r="H596" s="1"/>
      <c r="I596" s="1"/>
      <c r="J596" s="5"/>
      <c r="K596" s="1"/>
      <c r="L596" s="1"/>
      <c r="M596" s="5"/>
      <c r="N596" s="1"/>
      <c r="O596" s="1"/>
      <c r="P596" s="5"/>
      <c r="Q596" s="1"/>
      <c r="R596" s="1"/>
      <c r="S596" s="5"/>
      <c r="T596" s="1"/>
      <c r="U596" s="1"/>
      <c r="V596" s="5"/>
      <c r="W596" s="1"/>
      <c r="X596" s="1"/>
      <c r="Y596" s="5"/>
      <c r="Z596" s="1"/>
      <c r="AA596" s="1"/>
      <c r="AB596" s="5"/>
      <c r="AC596" s="1"/>
      <c r="AD596" s="1"/>
      <c r="AE596" s="5"/>
      <c r="AF596" s="1"/>
      <c r="AG596" s="1"/>
      <c r="AH596" s="5"/>
      <c r="AI596" s="1"/>
      <c r="AJ596" s="1"/>
      <c r="AK596" s="5"/>
      <c r="AL596" s="1"/>
      <c r="AM596" s="1"/>
      <c r="AN596" s="5"/>
      <c r="AO596" s="1"/>
      <c r="AP596" s="1"/>
      <c r="AQ596" s="5"/>
      <c r="AR596" s="1"/>
      <c r="AS596" s="1"/>
      <c r="AT596" s="5"/>
      <c r="AU596" s="1"/>
      <c r="AV596" s="1"/>
      <c r="AW596" s="5"/>
      <c r="AX596" s="217">
        <f>AX595</f>
        <v>2E-3</v>
      </c>
      <c r="AY596" s="217">
        <f t="shared" ref="AY596:CD596" si="2543">AX596</f>
        <v>2E-3</v>
      </c>
      <c r="AZ596" s="217">
        <f t="shared" si="2543"/>
        <v>2E-3</v>
      </c>
      <c r="BA596" s="38">
        <f t="shared" si="2543"/>
        <v>2E-3</v>
      </c>
      <c r="BB596" s="38">
        <f t="shared" si="2543"/>
        <v>2E-3</v>
      </c>
      <c r="BC596" s="977">
        <f t="shared" si="2543"/>
        <v>2E-3</v>
      </c>
      <c r="BD596" s="38">
        <f t="shared" si="2543"/>
        <v>2E-3</v>
      </c>
      <c r="BE596" s="38">
        <f t="shared" si="2543"/>
        <v>2E-3</v>
      </c>
      <c r="BF596" s="977">
        <f t="shared" si="2543"/>
        <v>2E-3</v>
      </c>
      <c r="BG596" s="38">
        <f t="shared" si="2543"/>
        <v>2E-3</v>
      </c>
      <c r="BH596" s="38">
        <f t="shared" si="2543"/>
        <v>2E-3</v>
      </c>
      <c r="BI596" s="977">
        <f t="shared" si="2543"/>
        <v>2E-3</v>
      </c>
      <c r="BJ596" s="136">
        <f t="shared" si="2543"/>
        <v>2E-3</v>
      </c>
      <c r="BK596" s="136">
        <f t="shared" si="2543"/>
        <v>2E-3</v>
      </c>
      <c r="BL596" s="142">
        <f t="shared" si="2543"/>
        <v>2E-3</v>
      </c>
      <c r="BM596" s="136">
        <f t="shared" si="2543"/>
        <v>2E-3</v>
      </c>
      <c r="BN596" s="136">
        <f t="shared" si="2543"/>
        <v>2E-3</v>
      </c>
      <c r="BO596" s="142">
        <f t="shared" si="2543"/>
        <v>2E-3</v>
      </c>
      <c r="BP596" s="136">
        <f t="shared" si="2543"/>
        <v>2E-3</v>
      </c>
      <c r="BQ596" s="136">
        <f t="shared" si="2543"/>
        <v>2E-3</v>
      </c>
      <c r="BR596" s="142">
        <f t="shared" si="2543"/>
        <v>2E-3</v>
      </c>
      <c r="BS596" s="38">
        <f t="shared" si="2543"/>
        <v>2E-3</v>
      </c>
      <c r="BT596" s="38">
        <f t="shared" si="2543"/>
        <v>2E-3</v>
      </c>
      <c r="BU596" s="217">
        <f t="shared" si="2543"/>
        <v>2E-3</v>
      </c>
      <c r="BV596" s="38">
        <f t="shared" si="2543"/>
        <v>2E-3</v>
      </c>
      <c r="BW596" s="38">
        <f t="shared" si="2543"/>
        <v>2E-3</v>
      </c>
      <c r="BX596" s="217">
        <f t="shared" si="2543"/>
        <v>2E-3</v>
      </c>
      <c r="BY596" s="38">
        <f t="shared" si="2543"/>
        <v>2E-3</v>
      </c>
      <c r="BZ596" s="38">
        <f t="shared" si="2543"/>
        <v>2E-3</v>
      </c>
      <c r="CA596" s="217">
        <f t="shared" si="2543"/>
        <v>2E-3</v>
      </c>
      <c r="CB596" s="38">
        <f t="shared" si="2543"/>
        <v>2E-3</v>
      </c>
      <c r="CC596" s="38">
        <f t="shared" si="2543"/>
        <v>2E-3</v>
      </c>
      <c r="CD596" s="217">
        <f t="shared" si="2543"/>
        <v>2E-3</v>
      </c>
      <c r="CE596" s="38">
        <f t="shared" ref="CE596:DJ596" si="2544">CD596</f>
        <v>2E-3</v>
      </c>
      <c r="CF596" s="38">
        <f t="shared" si="2544"/>
        <v>2E-3</v>
      </c>
      <c r="CG596" s="217">
        <f t="shared" si="2544"/>
        <v>2E-3</v>
      </c>
      <c r="CH596" s="38">
        <f t="shared" si="2544"/>
        <v>2E-3</v>
      </c>
      <c r="CI596" s="38">
        <f t="shared" si="2544"/>
        <v>2E-3</v>
      </c>
      <c r="CJ596" s="217">
        <f t="shared" si="2544"/>
        <v>2E-3</v>
      </c>
      <c r="CK596" s="38">
        <f t="shared" si="2544"/>
        <v>2E-3</v>
      </c>
      <c r="CL596" s="38">
        <f t="shared" si="2544"/>
        <v>2E-3</v>
      </c>
      <c r="CM596" s="217">
        <f t="shared" si="2544"/>
        <v>2E-3</v>
      </c>
      <c r="CN596" s="38">
        <f t="shared" si="2544"/>
        <v>2E-3</v>
      </c>
      <c r="CO596" s="38">
        <f t="shared" si="2544"/>
        <v>2E-3</v>
      </c>
      <c r="CP596" s="217">
        <f t="shared" si="2544"/>
        <v>2E-3</v>
      </c>
      <c r="CQ596" s="38">
        <f t="shared" si="2544"/>
        <v>2E-3</v>
      </c>
      <c r="CR596" s="38">
        <f t="shared" si="2544"/>
        <v>2E-3</v>
      </c>
      <c r="CS596" s="217">
        <f t="shared" si="2544"/>
        <v>2E-3</v>
      </c>
      <c r="CT596" s="38">
        <f t="shared" si="2544"/>
        <v>2E-3</v>
      </c>
      <c r="CU596" s="38">
        <f t="shared" si="2544"/>
        <v>2E-3</v>
      </c>
      <c r="CV596" s="217">
        <f t="shared" si="2544"/>
        <v>2E-3</v>
      </c>
      <c r="CW596" s="38">
        <f t="shared" si="2544"/>
        <v>2E-3</v>
      </c>
      <c r="CX596" s="38">
        <f t="shared" si="2544"/>
        <v>2E-3</v>
      </c>
      <c r="CY596" s="217">
        <f t="shared" si="2544"/>
        <v>2E-3</v>
      </c>
      <c r="CZ596" s="38">
        <f t="shared" si="2544"/>
        <v>2E-3</v>
      </c>
      <c r="DA596" s="38">
        <f t="shared" si="2544"/>
        <v>2E-3</v>
      </c>
      <c r="DB596" s="217">
        <f t="shared" si="2544"/>
        <v>2E-3</v>
      </c>
      <c r="DC596" s="38">
        <f t="shared" si="2544"/>
        <v>2E-3</v>
      </c>
      <c r="DD596" s="38">
        <f t="shared" si="2544"/>
        <v>2E-3</v>
      </c>
      <c r="DE596" s="217">
        <f t="shared" si="2544"/>
        <v>2E-3</v>
      </c>
      <c r="DF596" s="38">
        <f t="shared" si="2544"/>
        <v>2E-3</v>
      </c>
      <c r="DG596" s="38">
        <f t="shared" si="2544"/>
        <v>2E-3</v>
      </c>
      <c r="DH596" s="217">
        <f t="shared" si="2544"/>
        <v>2E-3</v>
      </c>
      <c r="DI596" s="38">
        <f t="shared" si="2544"/>
        <v>2E-3</v>
      </c>
      <c r="DJ596" s="38">
        <f t="shared" si="2544"/>
        <v>2E-3</v>
      </c>
      <c r="DK596" s="217">
        <f t="shared" ref="DK596:EF596" si="2545">DJ596</f>
        <v>2E-3</v>
      </c>
      <c r="DL596" s="38">
        <f>DK596</f>
        <v>2E-3</v>
      </c>
      <c r="DM596" s="38">
        <f t="shared" si="2545"/>
        <v>2E-3</v>
      </c>
      <c r="DN596" s="217">
        <f t="shared" si="2545"/>
        <v>2E-3</v>
      </c>
      <c r="DO596" s="38">
        <f t="shared" si="2545"/>
        <v>2E-3</v>
      </c>
      <c r="DP596" s="38">
        <f t="shared" si="2545"/>
        <v>2E-3</v>
      </c>
      <c r="DQ596" s="217">
        <f t="shared" si="2545"/>
        <v>2E-3</v>
      </c>
      <c r="DR596" s="38">
        <f t="shared" si="2545"/>
        <v>2E-3</v>
      </c>
      <c r="DS596" s="38">
        <f t="shared" si="2545"/>
        <v>2E-3</v>
      </c>
      <c r="DT596" s="217">
        <f t="shared" si="2545"/>
        <v>2E-3</v>
      </c>
      <c r="DU596" s="38">
        <f t="shared" si="2545"/>
        <v>2E-3</v>
      </c>
      <c r="DV596" s="38">
        <f t="shared" si="2545"/>
        <v>2E-3</v>
      </c>
      <c r="DW596" s="217">
        <f t="shared" si="2545"/>
        <v>2E-3</v>
      </c>
      <c r="DX596" s="38">
        <f t="shared" si="2545"/>
        <v>2E-3</v>
      </c>
      <c r="DY596" s="38">
        <f t="shared" si="2545"/>
        <v>2E-3</v>
      </c>
      <c r="DZ596" s="217">
        <f t="shared" si="2545"/>
        <v>2E-3</v>
      </c>
      <c r="EA596" s="38">
        <f t="shared" si="2545"/>
        <v>2E-3</v>
      </c>
      <c r="EB596" s="38">
        <f t="shared" si="2545"/>
        <v>2E-3</v>
      </c>
      <c r="EC596" s="217">
        <f t="shared" si="2545"/>
        <v>2E-3</v>
      </c>
      <c r="ED596" s="38">
        <f t="shared" si="2545"/>
        <v>2E-3</v>
      </c>
      <c r="EE596" s="38">
        <f t="shared" si="2545"/>
        <v>2E-3</v>
      </c>
      <c r="EF596" s="217">
        <f t="shared" si="2545"/>
        <v>2E-3</v>
      </c>
      <c r="EG596" s="38">
        <f t="shared" si="2532"/>
        <v>2E-3</v>
      </c>
      <c r="EH596" s="38">
        <f t="shared" si="2532"/>
        <v>2E-3</v>
      </c>
      <c r="EI596" s="217">
        <f t="shared" si="2532"/>
        <v>2E-3</v>
      </c>
      <c r="EJ596" s="38">
        <f t="shared" si="2532"/>
        <v>2E-3</v>
      </c>
      <c r="EK596" s="38">
        <f t="shared" si="2532"/>
        <v>2E-3</v>
      </c>
      <c r="EL596" s="217">
        <f t="shared" si="2532"/>
        <v>2E-3</v>
      </c>
      <c r="EM596" s="38">
        <f t="shared" si="2533"/>
        <v>2E-3</v>
      </c>
      <c r="EN596" s="38">
        <f t="shared" si="2533"/>
        <v>2E-3</v>
      </c>
      <c r="EO596" s="217">
        <f t="shared" si="2533"/>
        <v>2E-3</v>
      </c>
      <c r="EP596" s="38">
        <f t="shared" si="2533"/>
        <v>2E-3</v>
      </c>
      <c r="EQ596" s="38">
        <f t="shared" si="2533"/>
        <v>2E-3</v>
      </c>
      <c r="ER596" s="217">
        <f t="shared" si="2533"/>
        <v>2E-3</v>
      </c>
      <c r="ES596" s="38">
        <f t="shared" si="2534"/>
        <v>2E-3</v>
      </c>
      <c r="ET596" s="38">
        <f t="shared" si="2535"/>
        <v>2E-3</v>
      </c>
      <c r="EU596" s="217">
        <f t="shared" si="2536"/>
        <v>2E-3</v>
      </c>
      <c r="EV596" s="38">
        <f t="shared" si="2537"/>
        <v>2E-3</v>
      </c>
      <c r="EW596" s="38">
        <f t="shared" si="2538"/>
        <v>2E-3</v>
      </c>
      <c r="EX596" s="217">
        <f t="shared" si="2539"/>
        <v>2E-3</v>
      </c>
      <c r="EY596" s="38">
        <f t="shared" si="2540"/>
        <v>2E-3</v>
      </c>
      <c r="EZ596" s="38">
        <f t="shared" si="2541"/>
        <v>2E-3</v>
      </c>
      <c r="FA596" s="217">
        <f t="shared" si="2542"/>
        <v>2E-3</v>
      </c>
      <c r="FH596" s="35"/>
      <c r="FI596" s="35"/>
      <c r="FJ596" s="35"/>
      <c r="FK596" s="35"/>
      <c r="FL596" s="35"/>
      <c r="FM596" s="35"/>
      <c r="FN596" s="35"/>
      <c r="FO596" s="35"/>
      <c r="FP596" s="35"/>
      <c r="FQ596" s="35"/>
    </row>
    <row r="597" spans="1:173" s="321" customFormat="1" hidden="1" outlineLevel="1">
      <c r="A597" s="1168"/>
      <c r="B597" s="186"/>
      <c r="C597" s="186" t="s">
        <v>431</v>
      </c>
      <c r="D597" s="910"/>
      <c r="E597" s="1"/>
      <c r="F597" s="1"/>
      <c r="G597" s="5"/>
      <c r="H597" s="1"/>
      <c r="I597" s="1"/>
      <c r="J597" s="5"/>
      <c r="K597" s="1"/>
      <c r="L597" s="1"/>
      <c r="M597" s="5"/>
      <c r="N597" s="1"/>
      <c r="O597" s="1"/>
      <c r="P597" s="5"/>
      <c r="Q597" s="1"/>
      <c r="R597" s="1"/>
      <c r="S597" s="5"/>
      <c r="T597" s="1"/>
      <c r="U597" s="1"/>
      <c r="V597" s="5"/>
      <c r="W597" s="1"/>
      <c r="X597" s="1"/>
      <c r="Y597" s="5"/>
      <c r="Z597" s="1"/>
      <c r="AA597" s="1"/>
      <c r="AB597" s="5"/>
      <c r="AC597" s="1"/>
      <c r="AD597" s="1"/>
      <c r="AE597" s="5"/>
      <c r="AF597" s="1"/>
      <c r="AG597" s="1"/>
      <c r="AH597" s="5"/>
      <c r="AI597" s="1"/>
      <c r="AJ597" s="1"/>
      <c r="AK597" s="5"/>
      <c r="AL597" s="1"/>
      <c r="AM597" s="1"/>
      <c r="AN597" s="5"/>
      <c r="AO597" s="1"/>
      <c r="AP597" s="1"/>
      <c r="AQ597" s="5"/>
      <c r="AR597" s="1"/>
      <c r="AS597" s="1"/>
      <c r="AT597" s="5"/>
      <c r="AU597" s="217"/>
      <c r="AV597" s="217"/>
      <c r="AW597" s="217"/>
      <c r="AX597" s="217">
        <f>AX595</f>
        <v>2E-3</v>
      </c>
      <c r="AY597" s="217">
        <f t="shared" ref="AY597:CD597" si="2546">AX597</f>
        <v>2E-3</v>
      </c>
      <c r="AZ597" s="217">
        <f t="shared" si="2546"/>
        <v>2E-3</v>
      </c>
      <c r="BA597" s="38">
        <f t="shared" si="2546"/>
        <v>2E-3</v>
      </c>
      <c r="BB597" s="38">
        <f t="shared" si="2546"/>
        <v>2E-3</v>
      </c>
      <c r="BC597" s="977">
        <f t="shared" si="2546"/>
        <v>2E-3</v>
      </c>
      <c r="BD597" s="38">
        <f t="shared" si="2546"/>
        <v>2E-3</v>
      </c>
      <c r="BE597" s="38">
        <f t="shared" si="2546"/>
        <v>2E-3</v>
      </c>
      <c r="BF597" s="977">
        <f t="shared" si="2546"/>
        <v>2E-3</v>
      </c>
      <c r="BG597" s="38">
        <f t="shared" si="2546"/>
        <v>2E-3</v>
      </c>
      <c r="BH597" s="38">
        <f t="shared" si="2546"/>
        <v>2E-3</v>
      </c>
      <c r="BI597" s="977">
        <f t="shared" si="2546"/>
        <v>2E-3</v>
      </c>
      <c r="BJ597" s="136">
        <f t="shared" si="2546"/>
        <v>2E-3</v>
      </c>
      <c r="BK597" s="136">
        <f t="shared" si="2546"/>
        <v>2E-3</v>
      </c>
      <c r="BL597" s="142">
        <f t="shared" si="2546"/>
        <v>2E-3</v>
      </c>
      <c r="BM597" s="136">
        <f t="shared" si="2546"/>
        <v>2E-3</v>
      </c>
      <c r="BN597" s="136">
        <f t="shared" si="2546"/>
        <v>2E-3</v>
      </c>
      <c r="BO597" s="142">
        <f t="shared" si="2546"/>
        <v>2E-3</v>
      </c>
      <c r="BP597" s="136">
        <f t="shared" si="2546"/>
        <v>2E-3</v>
      </c>
      <c r="BQ597" s="136">
        <f t="shared" si="2546"/>
        <v>2E-3</v>
      </c>
      <c r="BR597" s="142">
        <f t="shared" si="2546"/>
        <v>2E-3</v>
      </c>
      <c r="BS597" s="38">
        <f t="shared" si="2546"/>
        <v>2E-3</v>
      </c>
      <c r="BT597" s="38">
        <f t="shared" si="2546"/>
        <v>2E-3</v>
      </c>
      <c r="BU597" s="217">
        <f t="shared" si="2546"/>
        <v>2E-3</v>
      </c>
      <c r="BV597" s="38">
        <f t="shared" si="2546"/>
        <v>2E-3</v>
      </c>
      <c r="BW597" s="38">
        <f t="shared" si="2546"/>
        <v>2E-3</v>
      </c>
      <c r="BX597" s="217">
        <f t="shared" si="2546"/>
        <v>2E-3</v>
      </c>
      <c r="BY597" s="38">
        <f t="shared" si="2546"/>
        <v>2E-3</v>
      </c>
      <c r="BZ597" s="38">
        <f t="shared" si="2546"/>
        <v>2E-3</v>
      </c>
      <c r="CA597" s="217">
        <f t="shared" si="2546"/>
        <v>2E-3</v>
      </c>
      <c r="CB597" s="38">
        <f t="shared" si="2546"/>
        <v>2E-3</v>
      </c>
      <c r="CC597" s="38">
        <f t="shared" si="2546"/>
        <v>2E-3</v>
      </c>
      <c r="CD597" s="217">
        <f t="shared" si="2546"/>
        <v>2E-3</v>
      </c>
      <c r="CE597" s="38">
        <f t="shared" ref="CE597:DJ597" si="2547">CD597</f>
        <v>2E-3</v>
      </c>
      <c r="CF597" s="38">
        <f t="shared" si="2547"/>
        <v>2E-3</v>
      </c>
      <c r="CG597" s="217">
        <f t="shared" si="2547"/>
        <v>2E-3</v>
      </c>
      <c r="CH597" s="38">
        <f t="shared" si="2547"/>
        <v>2E-3</v>
      </c>
      <c r="CI597" s="38">
        <f t="shared" si="2547"/>
        <v>2E-3</v>
      </c>
      <c r="CJ597" s="217">
        <f t="shared" si="2547"/>
        <v>2E-3</v>
      </c>
      <c r="CK597" s="38">
        <f t="shared" si="2547"/>
        <v>2E-3</v>
      </c>
      <c r="CL597" s="38">
        <f t="shared" si="2547"/>
        <v>2E-3</v>
      </c>
      <c r="CM597" s="217">
        <f t="shared" si="2547"/>
        <v>2E-3</v>
      </c>
      <c r="CN597" s="38">
        <f t="shared" si="2547"/>
        <v>2E-3</v>
      </c>
      <c r="CO597" s="38">
        <f t="shared" si="2547"/>
        <v>2E-3</v>
      </c>
      <c r="CP597" s="217">
        <f t="shared" si="2547"/>
        <v>2E-3</v>
      </c>
      <c r="CQ597" s="38">
        <f t="shared" si="2547"/>
        <v>2E-3</v>
      </c>
      <c r="CR597" s="38">
        <f t="shared" si="2547"/>
        <v>2E-3</v>
      </c>
      <c r="CS597" s="217">
        <f t="shared" si="2547"/>
        <v>2E-3</v>
      </c>
      <c r="CT597" s="38">
        <f t="shared" si="2547"/>
        <v>2E-3</v>
      </c>
      <c r="CU597" s="38">
        <f t="shared" si="2547"/>
        <v>2E-3</v>
      </c>
      <c r="CV597" s="217">
        <f t="shared" si="2547"/>
        <v>2E-3</v>
      </c>
      <c r="CW597" s="38">
        <f t="shared" si="2547"/>
        <v>2E-3</v>
      </c>
      <c r="CX597" s="38">
        <f t="shared" si="2547"/>
        <v>2E-3</v>
      </c>
      <c r="CY597" s="217">
        <f t="shared" si="2547"/>
        <v>2E-3</v>
      </c>
      <c r="CZ597" s="38">
        <f t="shared" si="2547"/>
        <v>2E-3</v>
      </c>
      <c r="DA597" s="38">
        <f t="shared" si="2547"/>
        <v>2E-3</v>
      </c>
      <c r="DB597" s="217">
        <f t="shared" si="2547"/>
        <v>2E-3</v>
      </c>
      <c r="DC597" s="38">
        <f t="shared" si="2547"/>
        <v>2E-3</v>
      </c>
      <c r="DD597" s="38">
        <f t="shared" si="2547"/>
        <v>2E-3</v>
      </c>
      <c r="DE597" s="217">
        <f t="shared" si="2547"/>
        <v>2E-3</v>
      </c>
      <c r="DF597" s="38">
        <f t="shared" si="2547"/>
        <v>2E-3</v>
      </c>
      <c r="DG597" s="38">
        <f t="shared" si="2547"/>
        <v>2E-3</v>
      </c>
      <c r="DH597" s="217">
        <f t="shared" si="2547"/>
        <v>2E-3</v>
      </c>
      <c r="DI597" s="38">
        <f t="shared" si="2547"/>
        <v>2E-3</v>
      </c>
      <c r="DJ597" s="38">
        <f t="shared" si="2547"/>
        <v>2E-3</v>
      </c>
      <c r="DK597" s="217">
        <f t="shared" ref="DK597:EF597" si="2548">DJ597</f>
        <v>2E-3</v>
      </c>
      <c r="DL597" s="38">
        <f>DK597</f>
        <v>2E-3</v>
      </c>
      <c r="DM597" s="38">
        <f t="shared" si="2548"/>
        <v>2E-3</v>
      </c>
      <c r="DN597" s="217">
        <f t="shared" si="2548"/>
        <v>2E-3</v>
      </c>
      <c r="DO597" s="38">
        <f t="shared" si="2548"/>
        <v>2E-3</v>
      </c>
      <c r="DP597" s="38">
        <f t="shared" si="2548"/>
        <v>2E-3</v>
      </c>
      <c r="DQ597" s="217">
        <f t="shared" si="2548"/>
        <v>2E-3</v>
      </c>
      <c r="DR597" s="38">
        <f t="shared" si="2548"/>
        <v>2E-3</v>
      </c>
      <c r="DS597" s="38">
        <f t="shared" si="2548"/>
        <v>2E-3</v>
      </c>
      <c r="DT597" s="217">
        <f t="shared" si="2548"/>
        <v>2E-3</v>
      </c>
      <c r="DU597" s="38">
        <f t="shared" si="2548"/>
        <v>2E-3</v>
      </c>
      <c r="DV597" s="38">
        <f t="shared" si="2548"/>
        <v>2E-3</v>
      </c>
      <c r="DW597" s="217">
        <f t="shared" si="2548"/>
        <v>2E-3</v>
      </c>
      <c r="DX597" s="38">
        <f t="shared" si="2548"/>
        <v>2E-3</v>
      </c>
      <c r="DY597" s="38">
        <f t="shared" si="2548"/>
        <v>2E-3</v>
      </c>
      <c r="DZ597" s="217">
        <f t="shared" si="2548"/>
        <v>2E-3</v>
      </c>
      <c r="EA597" s="38">
        <f t="shared" si="2548"/>
        <v>2E-3</v>
      </c>
      <c r="EB597" s="38">
        <f t="shared" si="2548"/>
        <v>2E-3</v>
      </c>
      <c r="EC597" s="217">
        <f t="shared" si="2548"/>
        <v>2E-3</v>
      </c>
      <c r="ED597" s="38">
        <f t="shared" si="2548"/>
        <v>2E-3</v>
      </c>
      <c r="EE597" s="38">
        <f t="shared" si="2548"/>
        <v>2E-3</v>
      </c>
      <c r="EF597" s="217">
        <f t="shared" si="2548"/>
        <v>2E-3</v>
      </c>
      <c r="EG597" s="38">
        <f t="shared" si="2532"/>
        <v>2E-3</v>
      </c>
      <c r="EH597" s="38">
        <f t="shared" si="2532"/>
        <v>2E-3</v>
      </c>
      <c r="EI597" s="217">
        <f t="shared" si="2532"/>
        <v>2E-3</v>
      </c>
      <c r="EJ597" s="38">
        <f t="shared" si="2532"/>
        <v>2E-3</v>
      </c>
      <c r="EK597" s="38">
        <f t="shared" si="2532"/>
        <v>2E-3</v>
      </c>
      <c r="EL597" s="217">
        <f t="shared" si="2532"/>
        <v>2E-3</v>
      </c>
      <c r="EM597" s="38">
        <f t="shared" si="2533"/>
        <v>2E-3</v>
      </c>
      <c r="EN597" s="38">
        <f t="shared" si="2533"/>
        <v>2E-3</v>
      </c>
      <c r="EO597" s="217">
        <f t="shared" si="2533"/>
        <v>2E-3</v>
      </c>
      <c r="EP597" s="38">
        <f t="shared" si="2533"/>
        <v>2E-3</v>
      </c>
      <c r="EQ597" s="38">
        <f t="shared" si="2533"/>
        <v>2E-3</v>
      </c>
      <c r="ER597" s="217">
        <f t="shared" si="2533"/>
        <v>2E-3</v>
      </c>
      <c r="ES597" s="38">
        <f t="shared" si="2534"/>
        <v>2E-3</v>
      </c>
      <c r="ET597" s="38">
        <f t="shared" si="2535"/>
        <v>2E-3</v>
      </c>
      <c r="EU597" s="217">
        <f t="shared" si="2536"/>
        <v>2E-3</v>
      </c>
      <c r="EV597" s="38">
        <f t="shared" si="2537"/>
        <v>2E-3</v>
      </c>
      <c r="EW597" s="38">
        <f t="shared" si="2538"/>
        <v>2E-3</v>
      </c>
      <c r="EX597" s="217">
        <f t="shared" si="2539"/>
        <v>2E-3</v>
      </c>
      <c r="EY597" s="38">
        <f t="shared" si="2540"/>
        <v>2E-3</v>
      </c>
      <c r="EZ597" s="38">
        <f t="shared" si="2541"/>
        <v>2E-3</v>
      </c>
      <c r="FA597" s="217">
        <f t="shared" si="2542"/>
        <v>2E-3</v>
      </c>
      <c r="FH597" s="35"/>
      <c r="FI597" s="35"/>
      <c r="FJ597" s="35"/>
      <c r="FK597" s="35"/>
      <c r="FL597" s="35"/>
      <c r="FM597" s="35"/>
      <c r="FN597" s="35"/>
      <c r="FO597" s="35"/>
      <c r="FP597" s="35"/>
      <c r="FQ597" s="35"/>
    </row>
    <row r="598" spans="1:173" s="321" customFormat="1" hidden="1" outlineLevel="1">
      <c r="A598" s="1168"/>
      <c r="B598" s="186"/>
      <c r="C598" s="186" t="s">
        <v>327</v>
      </c>
      <c r="D598" s="910"/>
      <c r="E598" s="1"/>
      <c r="F598" s="1"/>
      <c r="G598" s="5"/>
      <c r="H598" s="1"/>
      <c r="I598" s="1"/>
      <c r="J598" s="5"/>
      <c r="K598" s="1"/>
      <c r="L598" s="1"/>
      <c r="M598" s="5"/>
      <c r="N598" s="1"/>
      <c r="O598" s="1"/>
      <c r="P598" s="5"/>
      <c r="Q598" s="1"/>
      <c r="R598" s="1"/>
      <c r="S598" s="5"/>
      <c r="T598" s="1"/>
      <c r="U598" s="1"/>
      <c r="V598" s="5"/>
      <c r="W598" s="1"/>
      <c r="X598" s="1"/>
      <c r="Y598" s="5"/>
      <c r="Z598" s="1"/>
      <c r="AA598" s="1"/>
      <c r="AB598" s="5"/>
      <c r="AC598" s="1"/>
      <c r="AD598" s="1"/>
      <c r="AE598" s="5"/>
      <c r="AF598" s="1"/>
      <c r="AG598" s="1"/>
      <c r="AH598" s="5"/>
      <c r="AI598" s="1"/>
      <c r="AJ598" s="1"/>
      <c r="AK598" s="5"/>
      <c r="AL598" s="1"/>
      <c r="AM598" s="1"/>
      <c r="AN598" s="5"/>
      <c r="AO598" s="1"/>
      <c r="AP598" s="1"/>
      <c r="AQ598" s="5"/>
      <c r="AR598" s="1"/>
      <c r="AS598" s="1"/>
      <c r="AT598" s="5"/>
      <c r="AU598" s="1"/>
      <c r="AV598" s="1"/>
      <c r="AW598" s="5"/>
      <c r="AX598" s="217">
        <f>AX595</f>
        <v>2E-3</v>
      </c>
      <c r="AY598" s="217">
        <f t="shared" ref="AY598:CD598" si="2549">AX598</f>
        <v>2E-3</v>
      </c>
      <c r="AZ598" s="217">
        <f t="shared" si="2549"/>
        <v>2E-3</v>
      </c>
      <c r="BA598" s="38">
        <f t="shared" si="2549"/>
        <v>2E-3</v>
      </c>
      <c r="BB598" s="38">
        <f t="shared" si="2549"/>
        <v>2E-3</v>
      </c>
      <c r="BC598" s="977">
        <f t="shared" si="2549"/>
        <v>2E-3</v>
      </c>
      <c r="BD598" s="38">
        <f t="shared" si="2549"/>
        <v>2E-3</v>
      </c>
      <c r="BE598" s="38">
        <f t="shared" si="2549"/>
        <v>2E-3</v>
      </c>
      <c r="BF598" s="977">
        <f t="shared" si="2549"/>
        <v>2E-3</v>
      </c>
      <c r="BG598" s="38">
        <f t="shared" si="2549"/>
        <v>2E-3</v>
      </c>
      <c r="BH598" s="38">
        <f t="shared" si="2549"/>
        <v>2E-3</v>
      </c>
      <c r="BI598" s="977">
        <f t="shared" si="2549"/>
        <v>2E-3</v>
      </c>
      <c r="BJ598" s="136">
        <f t="shared" si="2549"/>
        <v>2E-3</v>
      </c>
      <c r="BK598" s="136">
        <f t="shared" si="2549"/>
        <v>2E-3</v>
      </c>
      <c r="BL598" s="142">
        <f t="shared" si="2549"/>
        <v>2E-3</v>
      </c>
      <c r="BM598" s="136">
        <f t="shared" si="2549"/>
        <v>2E-3</v>
      </c>
      <c r="BN598" s="136">
        <f t="shared" si="2549"/>
        <v>2E-3</v>
      </c>
      <c r="BO598" s="142">
        <f t="shared" si="2549"/>
        <v>2E-3</v>
      </c>
      <c r="BP598" s="136">
        <f t="shared" si="2549"/>
        <v>2E-3</v>
      </c>
      <c r="BQ598" s="136">
        <f t="shared" si="2549"/>
        <v>2E-3</v>
      </c>
      <c r="BR598" s="142">
        <f t="shared" si="2549"/>
        <v>2E-3</v>
      </c>
      <c r="BS598" s="38">
        <f t="shared" si="2549"/>
        <v>2E-3</v>
      </c>
      <c r="BT598" s="38">
        <f t="shared" si="2549"/>
        <v>2E-3</v>
      </c>
      <c r="BU598" s="217">
        <f t="shared" si="2549"/>
        <v>2E-3</v>
      </c>
      <c r="BV598" s="38">
        <f t="shared" si="2549"/>
        <v>2E-3</v>
      </c>
      <c r="BW598" s="38">
        <f t="shared" si="2549"/>
        <v>2E-3</v>
      </c>
      <c r="BX598" s="217">
        <f t="shared" si="2549"/>
        <v>2E-3</v>
      </c>
      <c r="BY598" s="38">
        <f t="shared" si="2549"/>
        <v>2E-3</v>
      </c>
      <c r="BZ598" s="38">
        <f t="shared" si="2549"/>
        <v>2E-3</v>
      </c>
      <c r="CA598" s="217">
        <f t="shared" si="2549"/>
        <v>2E-3</v>
      </c>
      <c r="CB598" s="38">
        <f t="shared" si="2549"/>
        <v>2E-3</v>
      </c>
      <c r="CC598" s="38">
        <f t="shared" si="2549"/>
        <v>2E-3</v>
      </c>
      <c r="CD598" s="217">
        <f t="shared" si="2549"/>
        <v>2E-3</v>
      </c>
      <c r="CE598" s="38">
        <f t="shared" ref="CE598:DJ598" si="2550">CD598</f>
        <v>2E-3</v>
      </c>
      <c r="CF598" s="38">
        <f t="shared" si="2550"/>
        <v>2E-3</v>
      </c>
      <c r="CG598" s="217">
        <f t="shared" si="2550"/>
        <v>2E-3</v>
      </c>
      <c r="CH598" s="38">
        <f t="shared" si="2550"/>
        <v>2E-3</v>
      </c>
      <c r="CI598" s="38">
        <f t="shared" si="2550"/>
        <v>2E-3</v>
      </c>
      <c r="CJ598" s="217">
        <f t="shared" si="2550"/>
        <v>2E-3</v>
      </c>
      <c r="CK598" s="38">
        <f t="shared" si="2550"/>
        <v>2E-3</v>
      </c>
      <c r="CL598" s="38">
        <f t="shared" si="2550"/>
        <v>2E-3</v>
      </c>
      <c r="CM598" s="217">
        <f t="shared" si="2550"/>
        <v>2E-3</v>
      </c>
      <c r="CN598" s="38">
        <f t="shared" si="2550"/>
        <v>2E-3</v>
      </c>
      <c r="CO598" s="38">
        <f t="shared" si="2550"/>
        <v>2E-3</v>
      </c>
      <c r="CP598" s="217">
        <f t="shared" si="2550"/>
        <v>2E-3</v>
      </c>
      <c r="CQ598" s="38">
        <f t="shared" si="2550"/>
        <v>2E-3</v>
      </c>
      <c r="CR598" s="38">
        <f t="shared" si="2550"/>
        <v>2E-3</v>
      </c>
      <c r="CS598" s="217">
        <f t="shared" si="2550"/>
        <v>2E-3</v>
      </c>
      <c r="CT598" s="38">
        <f t="shared" si="2550"/>
        <v>2E-3</v>
      </c>
      <c r="CU598" s="38">
        <f t="shared" si="2550"/>
        <v>2E-3</v>
      </c>
      <c r="CV598" s="217">
        <f t="shared" si="2550"/>
        <v>2E-3</v>
      </c>
      <c r="CW598" s="38">
        <f t="shared" si="2550"/>
        <v>2E-3</v>
      </c>
      <c r="CX598" s="38">
        <f t="shared" si="2550"/>
        <v>2E-3</v>
      </c>
      <c r="CY598" s="217">
        <f t="shared" si="2550"/>
        <v>2E-3</v>
      </c>
      <c r="CZ598" s="38">
        <f t="shared" si="2550"/>
        <v>2E-3</v>
      </c>
      <c r="DA598" s="38">
        <f t="shared" si="2550"/>
        <v>2E-3</v>
      </c>
      <c r="DB598" s="217">
        <f t="shared" si="2550"/>
        <v>2E-3</v>
      </c>
      <c r="DC598" s="38">
        <f t="shared" si="2550"/>
        <v>2E-3</v>
      </c>
      <c r="DD598" s="38">
        <f t="shared" si="2550"/>
        <v>2E-3</v>
      </c>
      <c r="DE598" s="217">
        <f t="shared" si="2550"/>
        <v>2E-3</v>
      </c>
      <c r="DF598" s="38">
        <f t="shared" si="2550"/>
        <v>2E-3</v>
      </c>
      <c r="DG598" s="38">
        <f t="shared" si="2550"/>
        <v>2E-3</v>
      </c>
      <c r="DH598" s="217">
        <f t="shared" si="2550"/>
        <v>2E-3</v>
      </c>
      <c r="DI598" s="38">
        <f t="shared" si="2550"/>
        <v>2E-3</v>
      </c>
      <c r="DJ598" s="38">
        <f t="shared" si="2550"/>
        <v>2E-3</v>
      </c>
      <c r="DK598" s="217">
        <f t="shared" ref="DK598:EF598" si="2551">DJ598</f>
        <v>2E-3</v>
      </c>
      <c r="DL598" s="38">
        <f>DK598</f>
        <v>2E-3</v>
      </c>
      <c r="DM598" s="38">
        <f t="shared" si="2551"/>
        <v>2E-3</v>
      </c>
      <c r="DN598" s="217">
        <f t="shared" si="2551"/>
        <v>2E-3</v>
      </c>
      <c r="DO598" s="38">
        <f t="shared" si="2551"/>
        <v>2E-3</v>
      </c>
      <c r="DP598" s="38">
        <f t="shared" si="2551"/>
        <v>2E-3</v>
      </c>
      <c r="DQ598" s="217">
        <f t="shared" si="2551"/>
        <v>2E-3</v>
      </c>
      <c r="DR598" s="38">
        <f t="shared" si="2551"/>
        <v>2E-3</v>
      </c>
      <c r="DS598" s="38">
        <f t="shared" si="2551"/>
        <v>2E-3</v>
      </c>
      <c r="DT598" s="217">
        <f t="shared" si="2551"/>
        <v>2E-3</v>
      </c>
      <c r="DU598" s="38">
        <f t="shared" si="2551"/>
        <v>2E-3</v>
      </c>
      <c r="DV598" s="38">
        <f t="shared" si="2551"/>
        <v>2E-3</v>
      </c>
      <c r="DW598" s="217">
        <f t="shared" si="2551"/>
        <v>2E-3</v>
      </c>
      <c r="DX598" s="38">
        <f t="shared" si="2551"/>
        <v>2E-3</v>
      </c>
      <c r="DY598" s="38">
        <f t="shared" si="2551"/>
        <v>2E-3</v>
      </c>
      <c r="DZ598" s="217">
        <f t="shared" si="2551"/>
        <v>2E-3</v>
      </c>
      <c r="EA598" s="38">
        <f t="shared" si="2551"/>
        <v>2E-3</v>
      </c>
      <c r="EB598" s="38">
        <f t="shared" si="2551"/>
        <v>2E-3</v>
      </c>
      <c r="EC598" s="217">
        <f t="shared" si="2551"/>
        <v>2E-3</v>
      </c>
      <c r="ED598" s="38">
        <f t="shared" si="2551"/>
        <v>2E-3</v>
      </c>
      <c r="EE598" s="38">
        <f t="shared" si="2551"/>
        <v>2E-3</v>
      </c>
      <c r="EF598" s="217">
        <f t="shared" si="2551"/>
        <v>2E-3</v>
      </c>
      <c r="EG598" s="38">
        <f t="shared" si="2532"/>
        <v>2E-3</v>
      </c>
      <c r="EH598" s="38">
        <f t="shared" si="2532"/>
        <v>2E-3</v>
      </c>
      <c r="EI598" s="217">
        <f t="shared" si="2532"/>
        <v>2E-3</v>
      </c>
      <c r="EJ598" s="38">
        <f t="shared" si="2532"/>
        <v>2E-3</v>
      </c>
      <c r="EK598" s="38">
        <f t="shared" si="2532"/>
        <v>2E-3</v>
      </c>
      <c r="EL598" s="217">
        <f t="shared" si="2532"/>
        <v>2E-3</v>
      </c>
      <c r="EM598" s="38">
        <f t="shared" si="2533"/>
        <v>2E-3</v>
      </c>
      <c r="EN598" s="38">
        <f t="shared" si="2533"/>
        <v>2E-3</v>
      </c>
      <c r="EO598" s="217">
        <f t="shared" si="2533"/>
        <v>2E-3</v>
      </c>
      <c r="EP598" s="38">
        <f t="shared" si="2533"/>
        <v>2E-3</v>
      </c>
      <c r="EQ598" s="38">
        <f t="shared" si="2533"/>
        <v>2E-3</v>
      </c>
      <c r="ER598" s="217">
        <f t="shared" si="2533"/>
        <v>2E-3</v>
      </c>
      <c r="ES598" s="38">
        <f t="shared" si="2534"/>
        <v>2E-3</v>
      </c>
      <c r="ET598" s="38">
        <f t="shared" si="2535"/>
        <v>2E-3</v>
      </c>
      <c r="EU598" s="217">
        <f t="shared" si="2536"/>
        <v>2E-3</v>
      </c>
      <c r="EV598" s="38">
        <f t="shared" si="2537"/>
        <v>2E-3</v>
      </c>
      <c r="EW598" s="38">
        <f t="shared" si="2538"/>
        <v>2E-3</v>
      </c>
      <c r="EX598" s="217">
        <f t="shared" si="2539"/>
        <v>2E-3</v>
      </c>
      <c r="EY598" s="38">
        <f t="shared" si="2540"/>
        <v>2E-3</v>
      </c>
      <c r="EZ598" s="38">
        <f t="shared" si="2541"/>
        <v>2E-3</v>
      </c>
      <c r="FA598" s="217">
        <f t="shared" si="2542"/>
        <v>2E-3</v>
      </c>
      <c r="FH598" s="35"/>
      <c r="FI598" s="35"/>
      <c r="FJ598" s="35"/>
      <c r="FK598" s="35"/>
      <c r="FL598" s="35"/>
      <c r="FM598" s="35"/>
      <c r="FN598" s="35"/>
      <c r="FO598" s="35"/>
      <c r="FP598" s="35"/>
      <c r="FQ598" s="35"/>
    </row>
    <row r="599" spans="1:173" s="321" customFormat="1" hidden="1" outlineLevel="1">
      <c r="A599" s="1168"/>
      <c r="B599" s="186"/>
      <c r="C599" s="186"/>
      <c r="D599" s="910"/>
      <c r="E599" s="1"/>
      <c r="F599" s="1"/>
      <c r="G599" s="5"/>
      <c r="H599" s="1"/>
      <c r="I599" s="1"/>
      <c r="J599" s="5"/>
      <c r="K599" s="1"/>
      <c r="L599" s="1"/>
      <c r="M599" s="5"/>
      <c r="N599" s="1"/>
      <c r="O599" s="1"/>
      <c r="P599" s="5"/>
      <c r="Q599" s="1"/>
      <c r="R599" s="1"/>
      <c r="S599" s="5"/>
      <c r="T599" s="1"/>
      <c r="U599" s="1"/>
      <c r="V599" s="5"/>
      <c r="W599" s="1"/>
      <c r="X599" s="1"/>
      <c r="Y599" s="5"/>
      <c r="Z599" s="1"/>
      <c r="AA599" s="1"/>
      <c r="AB599" s="5"/>
      <c r="AC599" s="1"/>
      <c r="AD599" s="1"/>
      <c r="AE599" s="5"/>
      <c r="AF599" s="1"/>
      <c r="AG599" s="1"/>
      <c r="AH599" s="5"/>
      <c r="AI599" s="1"/>
      <c r="AJ599" s="1"/>
      <c r="AK599" s="5"/>
      <c r="AL599" s="1"/>
      <c r="AM599" s="1"/>
      <c r="AN599" s="5"/>
      <c r="AO599" s="1"/>
      <c r="AP599" s="1"/>
      <c r="AQ599" s="5"/>
      <c r="AR599" s="1"/>
      <c r="AS599" s="1"/>
      <c r="AT599" s="5"/>
      <c r="AU599" s="1"/>
      <c r="AV599" s="1"/>
      <c r="AW599" s="5"/>
      <c r="AX599" s="1"/>
      <c r="AY599" s="1"/>
      <c r="AZ599" s="5"/>
      <c r="BA599" s="1"/>
      <c r="BB599" s="1"/>
      <c r="BC599" s="46"/>
      <c r="BD599" s="4"/>
      <c r="BE599" s="4"/>
      <c r="BF599" s="971"/>
      <c r="BG599" s="4"/>
      <c r="BH599" s="4"/>
      <c r="BI599" s="971"/>
      <c r="BJ599" s="121"/>
      <c r="BK599" s="121"/>
      <c r="BL599" s="114"/>
      <c r="BM599" s="121"/>
      <c r="BN599" s="121"/>
      <c r="BO599" s="114"/>
      <c r="BP599" s="121"/>
      <c r="BQ599" s="121"/>
      <c r="BR599" s="114"/>
      <c r="BS599" s="4"/>
      <c r="BT599" s="4"/>
      <c r="BU599" s="185"/>
      <c r="BV599" s="4"/>
      <c r="BW599" s="4"/>
      <c r="BX599" s="185"/>
      <c r="BY599" s="4"/>
      <c r="BZ599" s="4"/>
      <c r="CA599" s="185"/>
      <c r="CB599" s="4"/>
      <c r="CC599" s="4"/>
      <c r="CD599" s="185"/>
      <c r="CE599" s="4"/>
      <c r="CF599" s="4"/>
      <c r="CG599" s="185"/>
      <c r="CH599" s="4"/>
      <c r="CI599" s="4"/>
      <c r="CJ599" s="185"/>
      <c r="CK599" s="4"/>
      <c r="CL599" s="4"/>
      <c r="CM599" s="185"/>
      <c r="CN599" s="4"/>
      <c r="CO599" s="4"/>
      <c r="CP599" s="185"/>
      <c r="CQ599" s="4"/>
      <c r="CR599" s="4"/>
      <c r="CS599" s="185"/>
      <c r="CT599" s="4"/>
      <c r="CU599" s="4"/>
      <c r="CV599" s="185"/>
      <c r="CW599" s="4"/>
      <c r="CX599" s="4"/>
      <c r="CY599" s="185"/>
      <c r="CZ599" s="4"/>
      <c r="DA599" s="4"/>
      <c r="DB599" s="185"/>
      <c r="DC599" s="4"/>
      <c r="DD599" s="4"/>
      <c r="DE599" s="185"/>
      <c r="DF599" s="4"/>
      <c r="DG599" s="4"/>
      <c r="DH599" s="185"/>
      <c r="DI599" s="4"/>
      <c r="DJ599" s="4"/>
      <c r="DK599" s="185"/>
      <c r="DL599" s="4"/>
      <c r="DM599" s="4"/>
      <c r="DN599" s="185"/>
      <c r="DO599" s="4"/>
      <c r="DP599" s="4"/>
      <c r="DQ599" s="185"/>
      <c r="DR599" s="4"/>
      <c r="DS599" s="4"/>
      <c r="DT599" s="185"/>
      <c r="DU599" s="4"/>
      <c r="DV599" s="4"/>
      <c r="DW599" s="185"/>
      <c r="DX599" s="4"/>
      <c r="DY599" s="4"/>
      <c r="DZ599" s="185"/>
      <c r="EA599" s="4"/>
      <c r="EB599" s="4"/>
      <c r="EC599" s="185"/>
      <c r="ED599" s="4"/>
      <c r="EE599" s="4"/>
      <c r="EF599" s="185"/>
      <c r="EG599" s="4"/>
      <c r="EH599" s="4"/>
      <c r="EI599" s="185"/>
      <c r="EJ599" s="4"/>
      <c r="EK599" s="4"/>
      <c r="EL599" s="185"/>
      <c r="EM599" s="4"/>
      <c r="EN599" s="4"/>
      <c r="EO599" s="185"/>
      <c r="EP599" s="4"/>
      <c r="EQ599" s="4"/>
      <c r="ER599" s="185"/>
      <c r="ES599" s="4"/>
      <c r="ET599" s="4"/>
      <c r="EU599" s="185"/>
      <c r="EV599" s="4"/>
      <c r="EW599" s="4"/>
      <c r="EX599" s="185"/>
      <c r="EY599" s="4"/>
      <c r="EZ599" s="4"/>
      <c r="FA599" s="185"/>
      <c r="FH599" s="35"/>
      <c r="FI599" s="35"/>
      <c r="FJ599" s="35"/>
      <c r="FK599" s="35"/>
      <c r="FL599" s="35"/>
      <c r="FM599" s="35"/>
      <c r="FN599" s="35"/>
      <c r="FO599" s="35"/>
      <c r="FP599" s="35"/>
      <c r="FQ599" s="35"/>
    </row>
    <row r="600" spans="1:173" s="321" customFormat="1" hidden="1" outlineLevel="1">
      <c r="A600" s="1168"/>
      <c r="B600" s="186"/>
      <c r="C600" s="331" t="s">
        <v>340</v>
      </c>
      <c r="D600" s="910"/>
      <c r="E600" s="1"/>
      <c r="F600" s="1"/>
      <c r="G600" s="5"/>
      <c r="H600" s="1"/>
      <c r="I600" s="1"/>
      <c r="J600" s="5"/>
      <c r="K600" s="1"/>
      <c r="L600" s="1"/>
      <c r="M600" s="5"/>
      <c r="N600" s="1"/>
      <c r="O600" s="1"/>
      <c r="P600" s="5"/>
      <c r="Q600" s="1"/>
      <c r="R600" s="1"/>
      <c r="S600" s="5"/>
      <c r="T600" s="1"/>
      <c r="U600" s="1"/>
      <c r="V600" s="5"/>
      <c r="W600" s="1"/>
      <c r="X600" s="1"/>
      <c r="Y600" s="5"/>
      <c r="Z600" s="1"/>
      <c r="AA600" s="1"/>
      <c r="AB600" s="5"/>
      <c r="AC600" s="1"/>
      <c r="AD600" s="1"/>
      <c r="AE600" s="5"/>
      <c r="AF600" s="1"/>
      <c r="AG600" s="1"/>
      <c r="AH600" s="5"/>
      <c r="AI600" s="1"/>
      <c r="AJ600" s="1"/>
      <c r="AK600" s="5"/>
      <c r="AL600" s="1"/>
      <c r="AM600" s="1"/>
      <c r="AN600" s="5"/>
      <c r="AO600" s="1"/>
      <c r="AP600" s="1"/>
      <c r="AQ600" s="5"/>
      <c r="AR600" s="1"/>
      <c r="AS600" s="1"/>
      <c r="AT600" s="5"/>
      <c r="AU600" s="1"/>
      <c r="AV600" s="1"/>
      <c r="AW600" s="5"/>
      <c r="AX600" s="1"/>
      <c r="AY600" s="1"/>
      <c r="AZ600" s="5"/>
      <c r="BA600" s="1"/>
      <c r="BB600" s="1"/>
      <c r="BC600" s="51"/>
      <c r="BD600" s="8"/>
      <c r="BE600" s="8"/>
      <c r="BF600" s="51"/>
      <c r="BG600" s="8"/>
      <c r="BH600" s="8"/>
      <c r="BI600" s="51"/>
      <c r="BJ600" s="115"/>
      <c r="BK600" s="115"/>
      <c r="BL600" s="116"/>
      <c r="BM600" s="115"/>
      <c r="BN600" s="115"/>
      <c r="BO600" s="116"/>
      <c r="BP600" s="115"/>
      <c r="BQ600" s="115"/>
      <c r="BR600" s="116"/>
      <c r="BS600" s="8"/>
      <c r="BT600" s="8"/>
      <c r="BU600" s="9"/>
      <c r="BV600" s="8"/>
      <c r="BW600" s="8"/>
      <c r="BX600" s="187"/>
      <c r="BY600" s="8"/>
      <c r="BZ600" s="8"/>
      <c r="CA600" s="187"/>
      <c r="CB600" s="8"/>
      <c r="CC600" s="8"/>
      <c r="CD600" s="187"/>
      <c r="CE600" s="8"/>
      <c r="CF600" s="8"/>
      <c r="CG600" s="187"/>
      <c r="CH600" s="8"/>
      <c r="CI600" s="8"/>
      <c r="CJ600" s="187"/>
      <c r="CK600" s="4"/>
      <c r="CL600" s="4"/>
      <c r="CM600" s="185"/>
      <c r="CN600" s="4"/>
      <c r="CO600" s="4"/>
      <c r="CP600" s="185"/>
      <c r="CQ600" s="4"/>
      <c r="CR600" s="4"/>
      <c r="CS600" s="185"/>
      <c r="CT600" s="4"/>
      <c r="CU600" s="4"/>
      <c r="CV600" s="185"/>
      <c r="CW600" s="4"/>
      <c r="CX600" s="4"/>
      <c r="CY600" s="185"/>
      <c r="CZ600" s="4"/>
      <c r="DA600" s="4"/>
      <c r="DB600" s="185"/>
      <c r="DC600" s="4"/>
      <c r="DD600" s="4"/>
      <c r="DE600" s="185"/>
      <c r="DF600" s="4"/>
      <c r="DG600" s="4"/>
      <c r="DH600" s="185"/>
      <c r="DI600" s="4"/>
      <c r="DJ600" s="4"/>
      <c r="DK600" s="185"/>
      <c r="DL600" s="4"/>
      <c r="DM600" s="4"/>
      <c r="DN600" s="185"/>
      <c r="DO600" s="4"/>
      <c r="DP600" s="4"/>
      <c r="DQ600" s="185"/>
      <c r="DR600" s="4"/>
      <c r="DS600" s="4"/>
      <c r="DT600" s="185"/>
      <c r="DU600" s="4"/>
      <c r="DV600" s="4"/>
      <c r="DW600" s="185"/>
      <c r="DX600" s="4"/>
      <c r="DY600" s="4"/>
      <c r="DZ600" s="185"/>
      <c r="EA600" s="4"/>
      <c r="EB600" s="4"/>
      <c r="EC600" s="185"/>
      <c r="ED600" s="4"/>
      <c r="EE600" s="4"/>
      <c r="EF600" s="185"/>
      <c r="EG600" s="4"/>
      <c r="EH600" s="4"/>
      <c r="EI600" s="185"/>
      <c r="EJ600" s="4"/>
      <c r="EK600" s="4"/>
      <c r="EL600" s="185"/>
      <c r="EM600" s="4"/>
      <c r="EN600" s="4"/>
      <c r="EO600" s="185"/>
      <c r="EP600" s="4"/>
      <c r="EQ600" s="4"/>
      <c r="ER600" s="185"/>
      <c r="ES600" s="4"/>
      <c r="ET600" s="4"/>
      <c r="EU600" s="185"/>
      <c r="EV600" s="4"/>
      <c r="EW600" s="4"/>
      <c r="EX600" s="185"/>
      <c r="EY600" s="4"/>
      <c r="EZ600" s="4"/>
      <c r="FA600" s="185"/>
      <c r="FH600" s="35"/>
      <c r="FI600" s="35"/>
      <c r="FJ600" s="35"/>
      <c r="FK600" s="35"/>
      <c r="FL600" s="35"/>
      <c r="FM600" s="35"/>
      <c r="FN600" s="35"/>
      <c r="FO600" s="35"/>
      <c r="FP600" s="35"/>
      <c r="FQ600" s="35"/>
    </row>
    <row r="601" spans="1:173" s="321" customFormat="1" hidden="1" outlineLevel="1">
      <c r="A601" s="1168"/>
      <c r="B601" s="186"/>
      <c r="C601" s="186" t="s">
        <v>316</v>
      </c>
      <c r="D601" s="910"/>
      <c r="E601" s="1"/>
      <c r="F601" s="1"/>
      <c r="G601" s="5"/>
      <c r="H601" s="1"/>
      <c r="I601" s="1"/>
      <c r="J601" s="5"/>
      <c r="K601" s="1"/>
      <c r="L601" s="1"/>
      <c r="M601" s="5"/>
      <c r="N601" s="1"/>
      <c r="O601" s="1"/>
      <c r="P601" s="5"/>
      <c r="Q601" s="1"/>
      <c r="R601" s="1"/>
      <c r="S601" s="5"/>
      <c r="T601" s="1"/>
      <c r="U601" s="1"/>
      <c r="V601" s="5"/>
      <c r="W601" s="1"/>
      <c r="X601" s="1"/>
      <c r="Y601" s="5"/>
      <c r="Z601" s="1"/>
      <c r="AA601" s="1"/>
      <c r="AB601" s="5"/>
      <c r="AC601" s="1"/>
      <c r="AD601" s="1"/>
      <c r="AE601" s="5"/>
      <c r="AF601" s="1"/>
      <c r="AG601" s="1"/>
      <c r="AH601" s="5"/>
      <c r="AI601" s="1"/>
      <c r="AJ601" s="1"/>
      <c r="AK601" s="5"/>
      <c r="AL601" s="1"/>
      <c r="AM601" s="1"/>
      <c r="AN601" s="5"/>
      <c r="AO601" s="1"/>
      <c r="AP601" s="1"/>
      <c r="AQ601" s="5"/>
      <c r="AR601" s="1"/>
      <c r="AS601" s="1"/>
      <c r="AT601" s="5"/>
      <c r="AU601" s="206"/>
      <c r="AV601" s="206"/>
      <c r="AW601" s="206"/>
      <c r="AX601" s="214">
        <v>2E-3</v>
      </c>
      <c r="AY601" s="217">
        <f t="shared" ref="AY601:CD601" si="2552">AX601</f>
        <v>2E-3</v>
      </c>
      <c r="AZ601" s="217">
        <f t="shared" si="2552"/>
        <v>2E-3</v>
      </c>
      <c r="BA601" s="38">
        <f t="shared" si="2552"/>
        <v>2E-3</v>
      </c>
      <c r="BB601" s="38">
        <f t="shared" si="2552"/>
        <v>2E-3</v>
      </c>
      <c r="BC601" s="977">
        <f t="shared" si="2552"/>
        <v>2E-3</v>
      </c>
      <c r="BD601" s="38">
        <f t="shared" si="2552"/>
        <v>2E-3</v>
      </c>
      <c r="BE601" s="38">
        <f t="shared" si="2552"/>
        <v>2E-3</v>
      </c>
      <c r="BF601" s="977">
        <f t="shared" si="2552"/>
        <v>2E-3</v>
      </c>
      <c r="BG601" s="38">
        <f t="shared" si="2552"/>
        <v>2E-3</v>
      </c>
      <c r="BH601" s="38">
        <f t="shared" si="2552"/>
        <v>2E-3</v>
      </c>
      <c r="BI601" s="977">
        <f t="shared" si="2552"/>
        <v>2E-3</v>
      </c>
      <c r="BJ601" s="136">
        <f t="shared" si="2552"/>
        <v>2E-3</v>
      </c>
      <c r="BK601" s="136">
        <f t="shared" si="2552"/>
        <v>2E-3</v>
      </c>
      <c r="BL601" s="142">
        <f t="shared" si="2552"/>
        <v>2E-3</v>
      </c>
      <c r="BM601" s="136">
        <f t="shared" si="2552"/>
        <v>2E-3</v>
      </c>
      <c r="BN601" s="136">
        <f t="shared" si="2552"/>
        <v>2E-3</v>
      </c>
      <c r="BO601" s="142">
        <f t="shared" si="2552"/>
        <v>2E-3</v>
      </c>
      <c r="BP601" s="136">
        <f t="shared" si="2552"/>
        <v>2E-3</v>
      </c>
      <c r="BQ601" s="136">
        <f t="shared" si="2552"/>
        <v>2E-3</v>
      </c>
      <c r="BR601" s="142">
        <f t="shared" si="2552"/>
        <v>2E-3</v>
      </c>
      <c r="BS601" s="38">
        <f t="shared" si="2552"/>
        <v>2E-3</v>
      </c>
      <c r="BT601" s="38">
        <f t="shared" si="2552"/>
        <v>2E-3</v>
      </c>
      <c r="BU601" s="217">
        <f t="shared" si="2552"/>
        <v>2E-3</v>
      </c>
      <c r="BV601" s="38">
        <f t="shared" si="2552"/>
        <v>2E-3</v>
      </c>
      <c r="BW601" s="38">
        <f t="shared" si="2552"/>
        <v>2E-3</v>
      </c>
      <c r="BX601" s="217">
        <f t="shared" si="2552"/>
        <v>2E-3</v>
      </c>
      <c r="BY601" s="38">
        <f t="shared" si="2552"/>
        <v>2E-3</v>
      </c>
      <c r="BZ601" s="38">
        <f t="shared" si="2552"/>
        <v>2E-3</v>
      </c>
      <c r="CA601" s="217">
        <f t="shared" si="2552"/>
        <v>2E-3</v>
      </c>
      <c r="CB601" s="38">
        <f t="shared" si="2552"/>
        <v>2E-3</v>
      </c>
      <c r="CC601" s="38">
        <f t="shared" si="2552"/>
        <v>2E-3</v>
      </c>
      <c r="CD601" s="217">
        <f t="shared" si="2552"/>
        <v>2E-3</v>
      </c>
      <c r="CE601" s="38">
        <f t="shared" ref="CE601:DJ601" si="2553">CD601</f>
        <v>2E-3</v>
      </c>
      <c r="CF601" s="38">
        <f t="shared" si="2553"/>
        <v>2E-3</v>
      </c>
      <c r="CG601" s="217">
        <f t="shared" si="2553"/>
        <v>2E-3</v>
      </c>
      <c r="CH601" s="38">
        <f t="shared" si="2553"/>
        <v>2E-3</v>
      </c>
      <c r="CI601" s="38">
        <f t="shared" si="2553"/>
        <v>2E-3</v>
      </c>
      <c r="CJ601" s="217">
        <f t="shared" si="2553"/>
        <v>2E-3</v>
      </c>
      <c r="CK601" s="38">
        <f t="shared" si="2553"/>
        <v>2E-3</v>
      </c>
      <c r="CL601" s="38">
        <f t="shared" si="2553"/>
        <v>2E-3</v>
      </c>
      <c r="CM601" s="217">
        <f t="shared" si="2553"/>
        <v>2E-3</v>
      </c>
      <c r="CN601" s="38">
        <f t="shared" si="2553"/>
        <v>2E-3</v>
      </c>
      <c r="CO601" s="38">
        <f t="shared" si="2553"/>
        <v>2E-3</v>
      </c>
      <c r="CP601" s="217">
        <f t="shared" si="2553"/>
        <v>2E-3</v>
      </c>
      <c r="CQ601" s="38">
        <f t="shared" si="2553"/>
        <v>2E-3</v>
      </c>
      <c r="CR601" s="38">
        <f t="shared" si="2553"/>
        <v>2E-3</v>
      </c>
      <c r="CS601" s="217">
        <f t="shared" si="2553"/>
        <v>2E-3</v>
      </c>
      <c r="CT601" s="38">
        <f t="shared" si="2553"/>
        <v>2E-3</v>
      </c>
      <c r="CU601" s="38">
        <f t="shared" si="2553"/>
        <v>2E-3</v>
      </c>
      <c r="CV601" s="217">
        <f t="shared" si="2553"/>
        <v>2E-3</v>
      </c>
      <c r="CW601" s="38">
        <f t="shared" si="2553"/>
        <v>2E-3</v>
      </c>
      <c r="CX601" s="38">
        <f t="shared" si="2553"/>
        <v>2E-3</v>
      </c>
      <c r="CY601" s="217">
        <f t="shared" si="2553"/>
        <v>2E-3</v>
      </c>
      <c r="CZ601" s="38">
        <f t="shared" si="2553"/>
        <v>2E-3</v>
      </c>
      <c r="DA601" s="38">
        <f t="shared" si="2553"/>
        <v>2E-3</v>
      </c>
      <c r="DB601" s="217">
        <f t="shared" si="2553"/>
        <v>2E-3</v>
      </c>
      <c r="DC601" s="38">
        <f t="shared" si="2553"/>
        <v>2E-3</v>
      </c>
      <c r="DD601" s="38">
        <f t="shared" si="2553"/>
        <v>2E-3</v>
      </c>
      <c r="DE601" s="217">
        <f t="shared" si="2553"/>
        <v>2E-3</v>
      </c>
      <c r="DF601" s="38">
        <f t="shared" si="2553"/>
        <v>2E-3</v>
      </c>
      <c r="DG601" s="38">
        <f t="shared" si="2553"/>
        <v>2E-3</v>
      </c>
      <c r="DH601" s="217">
        <f t="shared" si="2553"/>
        <v>2E-3</v>
      </c>
      <c r="DI601" s="38">
        <f t="shared" si="2553"/>
        <v>2E-3</v>
      </c>
      <c r="DJ601" s="38">
        <f t="shared" si="2553"/>
        <v>2E-3</v>
      </c>
      <c r="DK601" s="217">
        <f t="shared" ref="DK601:EF601" si="2554">DJ601</f>
        <v>2E-3</v>
      </c>
      <c r="DL601" s="38">
        <f>DK601</f>
        <v>2E-3</v>
      </c>
      <c r="DM601" s="38">
        <f t="shared" si="2554"/>
        <v>2E-3</v>
      </c>
      <c r="DN601" s="217">
        <f t="shared" si="2554"/>
        <v>2E-3</v>
      </c>
      <c r="DO601" s="38">
        <f t="shared" si="2554"/>
        <v>2E-3</v>
      </c>
      <c r="DP601" s="38">
        <f t="shared" si="2554"/>
        <v>2E-3</v>
      </c>
      <c r="DQ601" s="217">
        <f t="shared" si="2554"/>
        <v>2E-3</v>
      </c>
      <c r="DR601" s="38">
        <f t="shared" si="2554"/>
        <v>2E-3</v>
      </c>
      <c r="DS601" s="38">
        <f t="shared" si="2554"/>
        <v>2E-3</v>
      </c>
      <c r="DT601" s="217">
        <f t="shared" si="2554"/>
        <v>2E-3</v>
      </c>
      <c r="DU601" s="38">
        <f t="shared" si="2554"/>
        <v>2E-3</v>
      </c>
      <c r="DV601" s="38">
        <f t="shared" si="2554"/>
        <v>2E-3</v>
      </c>
      <c r="DW601" s="217">
        <f t="shared" si="2554"/>
        <v>2E-3</v>
      </c>
      <c r="DX601" s="38">
        <f t="shared" si="2554"/>
        <v>2E-3</v>
      </c>
      <c r="DY601" s="38">
        <f t="shared" si="2554"/>
        <v>2E-3</v>
      </c>
      <c r="DZ601" s="217">
        <f t="shared" si="2554"/>
        <v>2E-3</v>
      </c>
      <c r="EA601" s="38">
        <f t="shared" si="2554"/>
        <v>2E-3</v>
      </c>
      <c r="EB601" s="38">
        <f t="shared" si="2554"/>
        <v>2E-3</v>
      </c>
      <c r="EC601" s="217">
        <f t="shared" si="2554"/>
        <v>2E-3</v>
      </c>
      <c r="ED601" s="38">
        <f t="shared" si="2554"/>
        <v>2E-3</v>
      </c>
      <c r="EE601" s="38">
        <f t="shared" si="2554"/>
        <v>2E-3</v>
      </c>
      <c r="EF601" s="217">
        <f t="shared" si="2554"/>
        <v>2E-3</v>
      </c>
      <c r="EG601" s="38">
        <f t="shared" ref="EG601:EL604" si="2555">EF601</f>
        <v>2E-3</v>
      </c>
      <c r="EH601" s="38">
        <f t="shared" si="2555"/>
        <v>2E-3</v>
      </c>
      <c r="EI601" s="217">
        <f t="shared" si="2555"/>
        <v>2E-3</v>
      </c>
      <c r="EJ601" s="38">
        <f t="shared" si="2555"/>
        <v>2E-3</v>
      </c>
      <c r="EK601" s="38">
        <f t="shared" si="2555"/>
        <v>2E-3</v>
      </c>
      <c r="EL601" s="217">
        <f t="shared" si="2555"/>
        <v>2E-3</v>
      </c>
      <c r="EM601" s="38">
        <f t="shared" ref="EM601:ER604" si="2556">EL601</f>
        <v>2E-3</v>
      </c>
      <c r="EN601" s="38">
        <f t="shared" si="2556"/>
        <v>2E-3</v>
      </c>
      <c r="EO601" s="217">
        <f t="shared" si="2556"/>
        <v>2E-3</v>
      </c>
      <c r="EP601" s="38">
        <f t="shared" si="2556"/>
        <v>2E-3</v>
      </c>
      <c r="EQ601" s="38">
        <f t="shared" si="2556"/>
        <v>2E-3</v>
      </c>
      <c r="ER601" s="217">
        <f t="shared" si="2556"/>
        <v>2E-3</v>
      </c>
      <c r="ES601" s="38">
        <f t="shared" ref="ES601:ES604" si="2557">ER601</f>
        <v>2E-3</v>
      </c>
      <c r="ET601" s="38">
        <f t="shared" ref="ET601:ET604" si="2558">ES601</f>
        <v>2E-3</v>
      </c>
      <c r="EU601" s="217">
        <f t="shared" ref="EU601:EU604" si="2559">ET601</f>
        <v>2E-3</v>
      </c>
      <c r="EV601" s="38">
        <f t="shared" ref="EV601:EV604" si="2560">EU601</f>
        <v>2E-3</v>
      </c>
      <c r="EW601" s="38">
        <f t="shared" ref="EW601:EW604" si="2561">EV601</f>
        <v>2E-3</v>
      </c>
      <c r="EX601" s="217">
        <f t="shared" ref="EX601:EX604" si="2562">EW601</f>
        <v>2E-3</v>
      </c>
      <c r="EY601" s="38">
        <f t="shared" ref="EY601:EY604" si="2563">EX601</f>
        <v>2E-3</v>
      </c>
      <c r="EZ601" s="38">
        <f t="shared" ref="EZ601:EZ604" si="2564">EY601</f>
        <v>2E-3</v>
      </c>
      <c r="FA601" s="217">
        <f t="shared" ref="FA601:FA604" si="2565">EZ601</f>
        <v>2E-3</v>
      </c>
      <c r="FH601" s="35"/>
      <c r="FI601" s="35"/>
      <c r="FJ601" s="35"/>
      <c r="FK601" s="35"/>
      <c r="FL601" s="35"/>
      <c r="FM601" s="35"/>
      <c r="FN601" s="35"/>
      <c r="FO601" s="35"/>
      <c r="FP601" s="35"/>
      <c r="FQ601" s="35"/>
    </row>
    <row r="602" spans="1:173" s="321" customFormat="1" hidden="1" outlineLevel="1">
      <c r="A602" s="1168"/>
      <c r="B602" s="186"/>
      <c r="C602" s="186" t="s">
        <v>317</v>
      </c>
      <c r="D602" s="910"/>
      <c r="E602" s="1"/>
      <c r="F602" s="1"/>
      <c r="G602" s="5"/>
      <c r="H602" s="1"/>
      <c r="I602" s="1"/>
      <c r="J602" s="5"/>
      <c r="K602" s="1"/>
      <c r="L602" s="1"/>
      <c r="M602" s="5"/>
      <c r="N602" s="1"/>
      <c r="O602" s="1"/>
      <c r="P602" s="5"/>
      <c r="Q602" s="1"/>
      <c r="R602" s="1"/>
      <c r="S602" s="5"/>
      <c r="T602" s="1"/>
      <c r="U602" s="1"/>
      <c r="V602" s="5"/>
      <c r="W602" s="1"/>
      <c r="X602" s="1"/>
      <c r="Y602" s="5"/>
      <c r="Z602" s="1"/>
      <c r="AA602" s="1"/>
      <c r="AB602" s="5"/>
      <c r="AC602" s="1"/>
      <c r="AD602" s="1"/>
      <c r="AE602" s="5"/>
      <c r="AF602" s="1"/>
      <c r="AG602" s="1"/>
      <c r="AH602" s="5"/>
      <c r="AI602" s="1"/>
      <c r="AJ602" s="1"/>
      <c r="AK602" s="5"/>
      <c r="AL602" s="1"/>
      <c r="AM602" s="1"/>
      <c r="AN602" s="5"/>
      <c r="AO602" s="1"/>
      <c r="AP602" s="1"/>
      <c r="AQ602" s="5"/>
      <c r="AR602" s="1"/>
      <c r="AS602" s="1"/>
      <c r="AT602" s="5"/>
      <c r="AU602" s="206"/>
      <c r="AV602" s="206"/>
      <c r="AW602" s="206"/>
      <c r="AX602" s="214">
        <f>AX601</f>
        <v>2E-3</v>
      </c>
      <c r="AY602" s="217">
        <f t="shared" ref="AY602:CD602" si="2566">AX602</f>
        <v>2E-3</v>
      </c>
      <c r="AZ602" s="217">
        <f t="shared" si="2566"/>
        <v>2E-3</v>
      </c>
      <c r="BA602" s="38">
        <f t="shared" si="2566"/>
        <v>2E-3</v>
      </c>
      <c r="BB602" s="38">
        <f t="shared" si="2566"/>
        <v>2E-3</v>
      </c>
      <c r="BC602" s="977">
        <f t="shared" si="2566"/>
        <v>2E-3</v>
      </c>
      <c r="BD602" s="38">
        <f t="shared" si="2566"/>
        <v>2E-3</v>
      </c>
      <c r="BE602" s="38">
        <f t="shared" si="2566"/>
        <v>2E-3</v>
      </c>
      <c r="BF602" s="977">
        <f t="shared" si="2566"/>
        <v>2E-3</v>
      </c>
      <c r="BG602" s="38">
        <f t="shared" si="2566"/>
        <v>2E-3</v>
      </c>
      <c r="BH602" s="38">
        <f t="shared" si="2566"/>
        <v>2E-3</v>
      </c>
      <c r="BI602" s="977">
        <f t="shared" si="2566"/>
        <v>2E-3</v>
      </c>
      <c r="BJ602" s="136">
        <f t="shared" si="2566"/>
        <v>2E-3</v>
      </c>
      <c r="BK602" s="136">
        <f t="shared" si="2566"/>
        <v>2E-3</v>
      </c>
      <c r="BL602" s="142">
        <f t="shared" si="2566"/>
        <v>2E-3</v>
      </c>
      <c r="BM602" s="136">
        <f t="shared" si="2566"/>
        <v>2E-3</v>
      </c>
      <c r="BN602" s="136">
        <f t="shared" si="2566"/>
        <v>2E-3</v>
      </c>
      <c r="BO602" s="142">
        <f t="shared" si="2566"/>
        <v>2E-3</v>
      </c>
      <c r="BP602" s="136">
        <f t="shared" si="2566"/>
        <v>2E-3</v>
      </c>
      <c r="BQ602" s="136">
        <f t="shared" si="2566"/>
        <v>2E-3</v>
      </c>
      <c r="BR602" s="142">
        <f t="shared" si="2566"/>
        <v>2E-3</v>
      </c>
      <c r="BS602" s="38">
        <f t="shared" si="2566"/>
        <v>2E-3</v>
      </c>
      <c r="BT602" s="38">
        <f t="shared" si="2566"/>
        <v>2E-3</v>
      </c>
      <c r="BU602" s="217">
        <f t="shared" si="2566"/>
        <v>2E-3</v>
      </c>
      <c r="BV602" s="38">
        <f t="shared" si="2566"/>
        <v>2E-3</v>
      </c>
      <c r="BW602" s="38">
        <f t="shared" si="2566"/>
        <v>2E-3</v>
      </c>
      <c r="BX602" s="217">
        <f t="shared" si="2566"/>
        <v>2E-3</v>
      </c>
      <c r="BY602" s="38">
        <f t="shared" si="2566"/>
        <v>2E-3</v>
      </c>
      <c r="BZ602" s="38">
        <f t="shared" si="2566"/>
        <v>2E-3</v>
      </c>
      <c r="CA602" s="217">
        <f t="shared" si="2566"/>
        <v>2E-3</v>
      </c>
      <c r="CB602" s="38">
        <f t="shared" si="2566"/>
        <v>2E-3</v>
      </c>
      <c r="CC602" s="38">
        <f t="shared" si="2566"/>
        <v>2E-3</v>
      </c>
      <c r="CD602" s="217">
        <f t="shared" si="2566"/>
        <v>2E-3</v>
      </c>
      <c r="CE602" s="38">
        <f t="shared" ref="CE602:DJ602" si="2567">CD602</f>
        <v>2E-3</v>
      </c>
      <c r="CF602" s="38">
        <f t="shared" si="2567"/>
        <v>2E-3</v>
      </c>
      <c r="CG602" s="217">
        <f t="shared" si="2567"/>
        <v>2E-3</v>
      </c>
      <c r="CH602" s="38">
        <f t="shared" si="2567"/>
        <v>2E-3</v>
      </c>
      <c r="CI602" s="38">
        <f t="shared" si="2567"/>
        <v>2E-3</v>
      </c>
      <c r="CJ602" s="217">
        <f t="shared" si="2567"/>
        <v>2E-3</v>
      </c>
      <c r="CK602" s="38">
        <f t="shared" si="2567"/>
        <v>2E-3</v>
      </c>
      <c r="CL602" s="38">
        <f t="shared" si="2567"/>
        <v>2E-3</v>
      </c>
      <c r="CM602" s="217">
        <f t="shared" si="2567"/>
        <v>2E-3</v>
      </c>
      <c r="CN602" s="38">
        <f t="shared" si="2567"/>
        <v>2E-3</v>
      </c>
      <c r="CO602" s="38">
        <f t="shared" si="2567"/>
        <v>2E-3</v>
      </c>
      <c r="CP602" s="217">
        <f t="shared" si="2567"/>
        <v>2E-3</v>
      </c>
      <c r="CQ602" s="38">
        <f t="shared" si="2567"/>
        <v>2E-3</v>
      </c>
      <c r="CR602" s="38">
        <f t="shared" si="2567"/>
        <v>2E-3</v>
      </c>
      <c r="CS602" s="217">
        <f t="shared" si="2567"/>
        <v>2E-3</v>
      </c>
      <c r="CT602" s="38">
        <f t="shared" si="2567"/>
        <v>2E-3</v>
      </c>
      <c r="CU602" s="38">
        <f t="shared" si="2567"/>
        <v>2E-3</v>
      </c>
      <c r="CV602" s="217">
        <f t="shared" si="2567"/>
        <v>2E-3</v>
      </c>
      <c r="CW602" s="38">
        <f t="shared" si="2567"/>
        <v>2E-3</v>
      </c>
      <c r="CX602" s="38">
        <f t="shared" si="2567"/>
        <v>2E-3</v>
      </c>
      <c r="CY602" s="217">
        <f t="shared" si="2567"/>
        <v>2E-3</v>
      </c>
      <c r="CZ602" s="38">
        <f t="shared" si="2567"/>
        <v>2E-3</v>
      </c>
      <c r="DA602" s="38">
        <f t="shared" si="2567"/>
        <v>2E-3</v>
      </c>
      <c r="DB602" s="217">
        <f t="shared" si="2567"/>
        <v>2E-3</v>
      </c>
      <c r="DC602" s="38">
        <f t="shared" si="2567"/>
        <v>2E-3</v>
      </c>
      <c r="DD602" s="38">
        <f t="shared" si="2567"/>
        <v>2E-3</v>
      </c>
      <c r="DE602" s="217">
        <f t="shared" si="2567"/>
        <v>2E-3</v>
      </c>
      <c r="DF602" s="38">
        <f t="shared" si="2567"/>
        <v>2E-3</v>
      </c>
      <c r="DG602" s="38">
        <f t="shared" si="2567"/>
        <v>2E-3</v>
      </c>
      <c r="DH602" s="217">
        <f t="shared" si="2567"/>
        <v>2E-3</v>
      </c>
      <c r="DI602" s="38">
        <f t="shared" si="2567"/>
        <v>2E-3</v>
      </c>
      <c r="DJ602" s="38">
        <f t="shared" si="2567"/>
        <v>2E-3</v>
      </c>
      <c r="DK602" s="217">
        <f t="shared" ref="DK602:EF602" si="2568">DJ602</f>
        <v>2E-3</v>
      </c>
      <c r="DL602" s="38">
        <f>DK602</f>
        <v>2E-3</v>
      </c>
      <c r="DM602" s="38">
        <f t="shared" si="2568"/>
        <v>2E-3</v>
      </c>
      <c r="DN602" s="217">
        <f t="shared" si="2568"/>
        <v>2E-3</v>
      </c>
      <c r="DO602" s="38">
        <f t="shared" si="2568"/>
        <v>2E-3</v>
      </c>
      <c r="DP602" s="38">
        <f t="shared" si="2568"/>
        <v>2E-3</v>
      </c>
      <c r="DQ602" s="217">
        <f t="shared" si="2568"/>
        <v>2E-3</v>
      </c>
      <c r="DR602" s="38">
        <f t="shared" si="2568"/>
        <v>2E-3</v>
      </c>
      <c r="DS602" s="38">
        <f t="shared" si="2568"/>
        <v>2E-3</v>
      </c>
      <c r="DT602" s="217">
        <f t="shared" si="2568"/>
        <v>2E-3</v>
      </c>
      <c r="DU602" s="38">
        <f t="shared" si="2568"/>
        <v>2E-3</v>
      </c>
      <c r="DV602" s="38">
        <f t="shared" si="2568"/>
        <v>2E-3</v>
      </c>
      <c r="DW602" s="217">
        <f t="shared" si="2568"/>
        <v>2E-3</v>
      </c>
      <c r="DX602" s="38">
        <f t="shared" si="2568"/>
        <v>2E-3</v>
      </c>
      <c r="DY602" s="38">
        <f t="shared" si="2568"/>
        <v>2E-3</v>
      </c>
      <c r="DZ602" s="217">
        <f t="shared" si="2568"/>
        <v>2E-3</v>
      </c>
      <c r="EA602" s="38">
        <f t="shared" si="2568"/>
        <v>2E-3</v>
      </c>
      <c r="EB602" s="38">
        <f t="shared" si="2568"/>
        <v>2E-3</v>
      </c>
      <c r="EC602" s="217">
        <f t="shared" si="2568"/>
        <v>2E-3</v>
      </c>
      <c r="ED602" s="38">
        <f t="shared" si="2568"/>
        <v>2E-3</v>
      </c>
      <c r="EE602" s="38">
        <f t="shared" si="2568"/>
        <v>2E-3</v>
      </c>
      <c r="EF602" s="217">
        <f t="shared" si="2568"/>
        <v>2E-3</v>
      </c>
      <c r="EG602" s="38">
        <f t="shared" si="2555"/>
        <v>2E-3</v>
      </c>
      <c r="EH602" s="38">
        <f t="shared" si="2555"/>
        <v>2E-3</v>
      </c>
      <c r="EI602" s="217">
        <f t="shared" si="2555"/>
        <v>2E-3</v>
      </c>
      <c r="EJ602" s="38">
        <f t="shared" si="2555"/>
        <v>2E-3</v>
      </c>
      <c r="EK602" s="38">
        <f t="shared" si="2555"/>
        <v>2E-3</v>
      </c>
      <c r="EL602" s="217">
        <f t="shared" si="2555"/>
        <v>2E-3</v>
      </c>
      <c r="EM602" s="38">
        <f t="shared" si="2556"/>
        <v>2E-3</v>
      </c>
      <c r="EN602" s="38">
        <f t="shared" si="2556"/>
        <v>2E-3</v>
      </c>
      <c r="EO602" s="217">
        <f t="shared" si="2556"/>
        <v>2E-3</v>
      </c>
      <c r="EP602" s="38">
        <f t="shared" si="2556"/>
        <v>2E-3</v>
      </c>
      <c r="EQ602" s="38">
        <f t="shared" si="2556"/>
        <v>2E-3</v>
      </c>
      <c r="ER602" s="217">
        <f t="shared" si="2556"/>
        <v>2E-3</v>
      </c>
      <c r="ES602" s="38">
        <f t="shared" si="2557"/>
        <v>2E-3</v>
      </c>
      <c r="ET602" s="38">
        <f t="shared" si="2558"/>
        <v>2E-3</v>
      </c>
      <c r="EU602" s="217">
        <f t="shared" si="2559"/>
        <v>2E-3</v>
      </c>
      <c r="EV602" s="38">
        <f t="shared" si="2560"/>
        <v>2E-3</v>
      </c>
      <c r="EW602" s="38">
        <f t="shared" si="2561"/>
        <v>2E-3</v>
      </c>
      <c r="EX602" s="217">
        <f t="shared" si="2562"/>
        <v>2E-3</v>
      </c>
      <c r="EY602" s="38">
        <f t="shared" si="2563"/>
        <v>2E-3</v>
      </c>
      <c r="EZ602" s="38">
        <f t="shared" si="2564"/>
        <v>2E-3</v>
      </c>
      <c r="FA602" s="217">
        <f t="shared" si="2565"/>
        <v>2E-3</v>
      </c>
      <c r="FH602" s="35"/>
      <c r="FI602" s="35"/>
      <c r="FJ602" s="35"/>
      <c r="FK602" s="35"/>
      <c r="FL602" s="35"/>
      <c r="FM602" s="35"/>
      <c r="FN602" s="35"/>
      <c r="FO602" s="35"/>
      <c r="FP602" s="35"/>
      <c r="FQ602" s="35"/>
    </row>
    <row r="603" spans="1:173" s="321" customFormat="1" hidden="1" outlineLevel="1">
      <c r="A603" s="1168"/>
      <c r="B603" s="186"/>
      <c r="C603" s="186" t="s">
        <v>431</v>
      </c>
      <c r="D603" s="910"/>
      <c r="E603" s="1"/>
      <c r="F603" s="1"/>
      <c r="G603" s="5"/>
      <c r="H603" s="1"/>
      <c r="I603" s="1"/>
      <c r="J603" s="5"/>
      <c r="K603" s="1"/>
      <c r="L603" s="1"/>
      <c r="M603" s="5"/>
      <c r="N603" s="1"/>
      <c r="O603" s="1"/>
      <c r="P603" s="5"/>
      <c r="Q603" s="1"/>
      <c r="R603" s="1"/>
      <c r="S603" s="5"/>
      <c r="T603" s="1"/>
      <c r="U603" s="1"/>
      <c r="V603" s="5"/>
      <c r="W603" s="1"/>
      <c r="X603" s="1"/>
      <c r="Y603" s="5"/>
      <c r="Z603" s="1"/>
      <c r="AA603" s="1"/>
      <c r="AB603" s="5"/>
      <c r="AC603" s="1"/>
      <c r="AD603" s="1"/>
      <c r="AE603" s="5"/>
      <c r="AF603" s="1"/>
      <c r="AG603" s="1"/>
      <c r="AH603" s="5"/>
      <c r="AI603" s="1"/>
      <c r="AJ603" s="1"/>
      <c r="AK603" s="5"/>
      <c r="AL603" s="1"/>
      <c r="AM603" s="1"/>
      <c r="AN603" s="5"/>
      <c r="AO603" s="1"/>
      <c r="AP603" s="1"/>
      <c r="AQ603" s="5"/>
      <c r="AR603" s="1"/>
      <c r="AS603" s="1"/>
      <c r="AT603" s="5"/>
      <c r="AU603" s="206"/>
      <c r="AV603" s="206"/>
      <c r="AW603" s="206"/>
      <c r="AX603" s="214">
        <f>AX601</f>
        <v>2E-3</v>
      </c>
      <c r="AY603" s="217">
        <f t="shared" ref="AY603:CD603" si="2569">AX603</f>
        <v>2E-3</v>
      </c>
      <c r="AZ603" s="217">
        <f t="shared" si="2569"/>
        <v>2E-3</v>
      </c>
      <c r="BA603" s="38">
        <f t="shared" si="2569"/>
        <v>2E-3</v>
      </c>
      <c r="BB603" s="38">
        <f t="shared" si="2569"/>
        <v>2E-3</v>
      </c>
      <c r="BC603" s="977">
        <f t="shared" si="2569"/>
        <v>2E-3</v>
      </c>
      <c r="BD603" s="38">
        <f t="shared" si="2569"/>
        <v>2E-3</v>
      </c>
      <c r="BE603" s="38">
        <f t="shared" si="2569"/>
        <v>2E-3</v>
      </c>
      <c r="BF603" s="977">
        <f t="shared" si="2569"/>
        <v>2E-3</v>
      </c>
      <c r="BG603" s="38">
        <f t="shared" si="2569"/>
        <v>2E-3</v>
      </c>
      <c r="BH603" s="38">
        <f t="shared" si="2569"/>
        <v>2E-3</v>
      </c>
      <c r="BI603" s="977">
        <f t="shared" si="2569"/>
        <v>2E-3</v>
      </c>
      <c r="BJ603" s="136">
        <f t="shared" si="2569"/>
        <v>2E-3</v>
      </c>
      <c r="BK603" s="136">
        <f t="shared" si="2569"/>
        <v>2E-3</v>
      </c>
      <c r="BL603" s="142">
        <f t="shared" si="2569"/>
        <v>2E-3</v>
      </c>
      <c r="BM603" s="136">
        <f t="shared" si="2569"/>
        <v>2E-3</v>
      </c>
      <c r="BN603" s="136">
        <f t="shared" si="2569"/>
        <v>2E-3</v>
      </c>
      <c r="BO603" s="142">
        <f t="shared" si="2569"/>
        <v>2E-3</v>
      </c>
      <c r="BP603" s="136">
        <f t="shared" si="2569"/>
        <v>2E-3</v>
      </c>
      <c r="BQ603" s="136">
        <f t="shared" si="2569"/>
        <v>2E-3</v>
      </c>
      <c r="BR603" s="142">
        <f t="shared" si="2569"/>
        <v>2E-3</v>
      </c>
      <c r="BS603" s="38">
        <f t="shared" si="2569"/>
        <v>2E-3</v>
      </c>
      <c r="BT603" s="38">
        <f t="shared" si="2569"/>
        <v>2E-3</v>
      </c>
      <c r="BU603" s="217">
        <f t="shared" si="2569"/>
        <v>2E-3</v>
      </c>
      <c r="BV603" s="38">
        <f t="shared" si="2569"/>
        <v>2E-3</v>
      </c>
      <c r="BW603" s="38">
        <f t="shared" si="2569"/>
        <v>2E-3</v>
      </c>
      <c r="BX603" s="217">
        <f t="shared" si="2569"/>
        <v>2E-3</v>
      </c>
      <c r="BY603" s="38">
        <f t="shared" si="2569"/>
        <v>2E-3</v>
      </c>
      <c r="BZ603" s="38">
        <f t="shared" si="2569"/>
        <v>2E-3</v>
      </c>
      <c r="CA603" s="217">
        <f t="shared" si="2569"/>
        <v>2E-3</v>
      </c>
      <c r="CB603" s="38">
        <f t="shared" si="2569"/>
        <v>2E-3</v>
      </c>
      <c r="CC603" s="38">
        <f t="shared" si="2569"/>
        <v>2E-3</v>
      </c>
      <c r="CD603" s="217">
        <f t="shared" si="2569"/>
        <v>2E-3</v>
      </c>
      <c r="CE603" s="38">
        <f t="shared" ref="CE603:DJ603" si="2570">CD603</f>
        <v>2E-3</v>
      </c>
      <c r="CF603" s="38">
        <f t="shared" si="2570"/>
        <v>2E-3</v>
      </c>
      <c r="CG603" s="217">
        <f t="shared" si="2570"/>
        <v>2E-3</v>
      </c>
      <c r="CH603" s="38">
        <f t="shared" si="2570"/>
        <v>2E-3</v>
      </c>
      <c r="CI603" s="38">
        <f t="shared" si="2570"/>
        <v>2E-3</v>
      </c>
      <c r="CJ603" s="217">
        <f t="shared" si="2570"/>
        <v>2E-3</v>
      </c>
      <c r="CK603" s="38">
        <f t="shared" si="2570"/>
        <v>2E-3</v>
      </c>
      <c r="CL603" s="38">
        <f t="shared" si="2570"/>
        <v>2E-3</v>
      </c>
      <c r="CM603" s="217">
        <f t="shared" si="2570"/>
        <v>2E-3</v>
      </c>
      <c r="CN603" s="38">
        <f t="shared" si="2570"/>
        <v>2E-3</v>
      </c>
      <c r="CO603" s="38">
        <f t="shared" si="2570"/>
        <v>2E-3</v>
      </c>
      <c r="CP603" s="217">
        <f t="shared" si="2570"/>
        <v>2E-3</v>
      </c>
      <c r="CQ603" s="38">
        <f t="shared" si="2570"/>
        <v>2E-3</v>
      </c>
      <c r="CR603" s="38">
        <f t="shared" si="2570"/>
        <v>2E-3</v>
      </c>
      <c r="CS603" s="217">
        <f t="shared" si="2570"/>
        <v>2E-3</v>
      </c>
      <c r="CT603" s="38">
        <f t="shared" si="2570"/>
        <v>2E-3</v>
      </c>
      <c r="CU603" s="38">
        <f t="shared" si="2570"/>
        <v>2E-3</v>
      </c>
      <c r="CV603" s="217">
        <f t="shared" si="2570"/>
        <v>2E-3</v>
      </c>
      <c r="CW603" s="38">
        <f t="shared" si="2570"/>
        <v>2E-3</v>
      </c>
      <c r="CX603" s="38">
        <f t="shared" si="2570"/>
        <v>2E-3</v>
      </c>
      <c r="CY603" s="217">
        <f t="shared" si="2570"/>
        <v>2E-3</v>
      </c>
      <c r="CZ603" s="38">
        <f t="shared" si="2570"/>
        <v>2E-3</v>
      </c>
      <c r="DA603" s="38">
        <f t="shared" si="2570"/>
        <v>2E-3</v>
      </c>
      <c r="DB603" s="217">
        <f t="shared" si="2570"/>
        <v>2E-3</v>
      </c>
      <c r="DC603" s="38">
        <f t="shared" si="2570"/>
        <v>2E-3</v>
      </c>
      <c r="DD603" s="38">
        <f t="shared" si="2570"/>
        <v>2E-3</v>
      </c>
      <c r="DE603" s="217">
        <f t="shared" si="2570"/>
        <v>2E-3</v>
      </c>
      <c r="DF603" s="38">
        <f t="shared" si="2570"/>
        <v>2E-3</v>
      </c>
      <c r="DG603" s="38">
        <f t="shared" si="2570"/>
        <v>2E-3</v>
      </c>
      <c r="DH603" s="217">
        <f t="shared" si="2570"/>
        <v>2E-3</v>
      </c>
      <c r="DI603" s="38">
        <f t="shared" si="2570"/>
        <v>2E-3</v>
      </c>
      <c r="DJ603" s="38">
        <f t="shared" si="2570"/>
        <v>2E-3</v>
      </c>
      <c r="DK603" s="217">
        <f t="shared" ref="DK603:EF603" si="2571">DJ603</f>
        <v>2E-3</v>
      </c>
      <c r="DL603" s="38">
        <f>DK603</f>
        <v>2E-3</v>
      </c>
      <c r="DM603" s="38">
        <f t="shared" si="2571"/>
        <v>2E-3</v>
      </c>
      <c r="DN603" s="217">
        <f t="shared" si="2571"/>
        <v>2E-3</v>
      </c>
      <c r="DO603" s="38">
        <f t="shared" si="2571"/>
        <v>2E-3</v>
      </c>
      <c r="DP603" s="38">
        <f t="shared" si="2571"/>
        <v>2E-3</v>
      </c>
      <c r="DQ603" s="217">
        <f t="shared" si="2571"/>
        <v>2E-3</v>
      </c>
      <c r="DR603" s="38">
        <f t="shared" si="2571"/>
        <v>2E-3</v>
      </c>
      <c r="DS603" s="38">
        <f t="shared" si="2571"/>
        <v>2E-3</v>
      </c>
      <c r="DT603" s="217">
        <f t="shared" si="2571"/>
        <v>2E-3</v>
      </c>
      <c r="DU603" s="38">
        <f t="shared" si="2571"/>
        <v>2E-3</v>
      </c>
      <c r="DV603" s="38">
        <f t="shared" si="2571"/>
        <v>2E-3</v>
      </c>
      <c r="DW603" s="217">
        <f t="shared" si="2571"/>
        <v>2E-3</v>
      </c>
      <c r="DX603" s="38">
        <f t="shared" si="2571"/>
        <v>2E-3</v>
      </c>
      <c r="DY603" s="38">
        <f t="shared" si="2571"/>
        <v>2E-3</v>
      </c>
      <c r="DZ603" s="217">
        <f t="shared" si="2571"/>
        <v>2E-3</v>
      </c>
      <c r="EA603" s="38">
        <f t="shared" si="2571"/>
        <v>2E-3</v>
      </c>
      <c r="EB603" s="38">
        <f t="shared" si="2571"/>
        <v>2E-3</v>
      </c>
      <c r="EC603" s="217">
        <f t="shared" si="2571"/>
        <v>2E-3</v>
      </c>
      <c r="ED603" s="38">
        <f t="shared" si="2571"/>
        <v>2E-3</v>
      </c>
      <c r="EE603" s="38">
        <f t="shared" si="2571"/>
        <v>2E-3</v>
      </c>
      <c r="EF603" s="217">
        <f t="shared" si="2571"/>
        <v>2E-3</v>
      </c>
      <c r="EG603" s="38">
        <f t="shared" si="2555"/>
        <v>2E-3</v>
      </c>
      <c r="EH603" s="38">
        <f t="shared" si="2555"/>
        <v>2E-3</v>
      </c>
      <c r="EI603" s="217">
        <f t="shared" si="2555"/>
        <v>2E-3</v>
      </c>
      <c r="EJ603" s="38">
        <f t="shared" si="2555"/>
        <v>2E-3</v>
      </c>
      <c r="EK603" s="38">
        <f t="shared" si="2555"/>
        <v>2E-3</v>
      </c>
      <c r="EL603" s="217">
        <f t="shared" si="2555"/>
        <v>2E-3</v>
      </c>
      <c r="EM603" s="38">
        <f t="shared" si="2556"/>
        <v>2E-3</v>
      </c>
      <c r="EN603" s="38">
        <f t="shared" si="2556"/>
        <v>2E-3</v>
      </c>
      <c r="EO603" s="217">
        <f t="shared" si="2556"/>
        <v>2E-3</v>
      </c>
      <c r="EP603" s="38">
        <f t="shared" si="2556"/>
        <v>2E-3</v>
      </c>
      <c r="EQ603" s="38">
        <f t="shared" si="2556"/>
        <v>2E-3</v>
      </c>
      <c r="ER603" s="217">
        <f t="shared" si="2556"/>
        <v>2E-3</v>
      </c>
      <c r="ES603" s="38">
        <f t="shared" si="2557"/>
        <v>2E-3</v>
      </c>
      <c r="ET603" s="38">
        <f t="shared" si="2558"/>
        <v>2E-3</v>
      </c>
      <c r="EU603" s="217">
        <f t="shared" si="2559"/>
        <v>2E-3</v>
      </c>
      <c r="EV603" s="38">
        <f t="shared" si="2560"/>
        <v>2E-3</v>
      </c>
      <c r="EW603" s="38">
        <f t="shared" si="2561"/>
        <v>2E-3</v>
      </c>
      <c r="EX603" s="217">
        <f t="shared" si="2562"/>
        <v>2E-3</v>
      </c>
      <c r="EY603" s="38">
        <f t="shared" si="2563"/>
        <v>2E-3</v>
      </c>
      <c r="EZ603" s="38">
        <f t="shared" si="2564"/>
        <v>2E-3</v>
      </c>
      <c r="FA603" s="217">
        <f t="shared" si="2565"/>
        <v>2E-3</v>
      </c>
      <c r="FH603" s="35"/>
      <c r="FI603" s="35"/>
      <c r="FJ603" s="35"/>
      <c r="FK603" s="35"/>
      <c r="FL603" s="35"/>
      <c r="FM603" s="35"/>
      <c r="FN603" s="35"/>
      <c r="FO603" s="35"/>
      <c r="FP603" s="35"/>
      <c r="FQ603" s="35"/>
    </row>
    <row r="604" spans="1:173" s="321" customFormat="1" hidden="1" outlineLevel="1">
      <c r="A604" s="1168"/>
      <c r="B604" s="186"/>
      <c r="C604" s="186" t="s">
        <v>327</v>
      </c>
      <c r="D604" s="910"/>
      <c r="E604" s="1"/>
      <c r="F604" s="1"/>
      <c r="G604" s="5"/>
      <c r="H604" s="1"/>
      <c r="I604" s="1"/>
      <c r="J604" s="5"/>
      <c r="K604" s="1"/>
      <c r="L604" s="1"/>
      <c r="M604" s="5"/>
      <c r="N604" s="1"/>
      <c r="O604" s="1"/>
      <c r="P604" s="5"/>
      <c r="Q604" s="1"/>
      <c r="R604" s="1"/>
      <c r="S604" s="5"/>
      <c r="T604" s="1"/>
      <c r="U604" s="1"/>
      <c r="V604" s="5"/>
      <c r="W604" s="1"/>
      <c r="X604" s="1"/>
      <c r="Y604" s="5"/>
      <c r="Z604" s="1"/>
      <c r="AA604" s="1"/>
      <c r="AB604" s="5"/>
      <c r="AC604" s="1"/>
      <c r="AD604" s="1"/>
      <c r="AE604" s="5"/>
      <c r="AF604" s="1"/>
      <c r="AG604" s="1"/>
      <c r="AH604" s="5"/>
      <c r="AI604" s="1"/>
      <c r="AJ604" s="1"/>
      <c r="AK604" s="5"/>
      <c r="AL604" s="1"/>
      <c r="AM604" s="1"/>
      <c r="AN604" s="5"/>
      <c r="AO604" s="1"/>
      <c r="AP604" s="1"/>
      <c r="AQ604" s="5"/>
      <c r="AR604" s="1"/>
      <c r="AS604" s="1"/>
      <c r="AT604" s="5"/>
      <c r="AU604" s="206"/>
      <c r="AV604" s="206"/>
      <c r="AW604" s="206"/>
      <c r="AX604" s="214">
        <f>AX601</f>
        <v>2E-3</v>
      </c>
      <c r="AY604" s="217">
        <f t="shared" ref="AY604:CD604" si="2572">AX604</f>
        <v>2E-3</v>
      </c>
      <c r="AZ604" s="217">
        <f t="shared" si="2572"/>
        <v>2E-3</v>
      </c>
      <c r="BA604" s="38">
        <f t="shared" si="2572"/>
        <v>2E-3</v>
      </c>
      <c r="BB604" s="38">
        <f t="shared" si="2572"/>
        <v>2E-3</v>
      </c>
      <c r="BC604" s="977">
        <f t="shared" si="2572"/>
        <v>2E-3</v>
      </c>
      <c r="BD604" s="38">
        <f t="shared" si="2572"/>
        <v>2E-3</v>
      </c>
      <c r="BE604" s="38">
        <f t="shared" si="2572"/>
        <v>2E-3</v>
      </c>
      <c r="BF604" s="977">
        <f t="shared" si="2572"/>
        <v>2E-3</v>
      </c>
      <c r="BG604" s="38">
        <f t="shared" si="2572"/>
        <v>2E-3</v>
      </c>
      <c r="BH604" s="38">
        <f t="shared" si="2572"/>
        <v>2E-3</v>
      </c>
      <c r="BI604" s="977">
        <f t="shared" si="2572"/>
        <v>2E-3</v>
      </c>
      <c r="BJ604" s="136">
        <f t="shared" si="2572"/>
        <v>2E-3</v>
      </c>
      <c r="BK604" s="136">
        <f t="shared" si="2572"/>
        <v>2E-3</v>
      </c>
      <c r="BL604" s="142">
        <f t="shared" si="2572"/>
        <v>2E-3</v>
      </c>
      <c r="BM604" s="136">
        <f t="shared" si="2572"/>
        <v>2E-3</v>
      </c>
      <c r="BN604" s="136">
        <f t="shared" si="2572"/>
        <v>2E-3</v>
      </c>
      <c r="BO604" s="142">
        <f t="shared" si="2572"/>
        <v>2E-3</v>
      </c>
      <c r="BP604" s="136">
        <f t="shared" si="2572"/>
        <v>2E-3</v>
      </c>
      <c r="BQ604" s="136">
        <f t="shared" si="2572"/>
        <v>2E-3</v>
      </c>
      <c r="BR604" s="142">
        <f t="shared" si="2572"/>
        <v>2E-3</v>
      </c>
      <c r="BS604" s="38">
        <f t="shared" si="2572"/>
        <v>2E-3</v>
      </c>
      <c r="BT604" s="38">
        <f t="shared" si="2572"/>
        <v>2E-3</v>
      </c>
      <c r="BU604" s="217">
        <f t="shared" si="2572"/>
        <v>2E-3</v>
      </c>
      <c r="BV604" s="38">
        <f t="shared" si="2572"/>
        <v>2E-3</v>
      </c>
      <c r="BW604" s="38">
        <f t="shared" si="2572"/>
        <v>2E-3</v>
      </c>
      <c r="BX604" s="217">
        <f t="shared" si="2572"/>
        <v>2E-3</v>
      </c>
      <c r="BY604" s="38">
        <f t="shared" si="2572"/>
        <v>2E-3</v>
      </c>
      <c r="BZ604" s="38">
        <f t="shared" si="2572"/>
        <v>2E-3</v>
      </c>
      <c r="CA604" s="217">
        <f t="shared" si="2572"/>
        <v>2E-3</v>
      </c>
      <c r="CB604" s="38">
        <f t="shared" si="2572"/>
        <v>2E-3</v>
      </c>
      <c r="CC604" s="38">
        <f t="shared" si="2572"/>
        <v>2E-3</v>
      </c>
      <c r="CD604" s="217">
        <f t="shared" si="2572"/>
        <v>2E-3</v>
      </c>
      <c r="CE604" s="38">
        <f t="shared" ref="CE604:DJ604" si="2573">CD604</f>
        <v>2E-3</v>
      </c>
      <c r="CF604" s="38">
        <f t="shared" si="2573"/>
        <v>2E-3</v>
      </c>
      <c r="CG604" s="217">
        <f t="shared" si="2573"/>
        <v>2E-3</v>
      </c>
      <c r="CH604" s="38">
        <f t="shared" si="2573"/>
        <v>2E-3</v>
      </c>
      <c r="CI604" s="38">
        <f t="shared" si="2573"/>
        <v>2E-3</v>
      </c>
      <c r="CJ604" s="217">
        <f t="shared" si="2573"/>
        <v>2E-3</v>
      </c>
      <c r="CK604" s="38">
        <f t="shared" si="2573"/>
        <v>2E-3</v>
      </c>
      <c r="CL604" s="38">
        <f t="shared" si="2573"/>
        <v>2E-3</v>
      </c>
      <c r="CM604" s="217">
        <f t="shared" si="2573"/>
        <v>2E-3</v>
      </c>
      <c r="CN604" s="38">
        <f t="shared" si="2573"/>
        <v>2E-3</v>
      </c>
      <c r="CO604" s="38">
        <f t="shared" si="2573"/>
        <v>2E-3</v>
      </c>
      <c r="CP604" s="217">
        <f t="shared" si="2573"/>
        <v>2E-3</v>
      </c>
      <c r="CQ604" s="38">
        <f t="shared" si="2573"/>
        <v>2E-3</v>
      </c>
      <c r="CR604" s="38">
        <f t="shared" si="2573"/>
        <v>2E-3</v>
      </c>
      <c r="CS604" s="217">
        <f t="shared" si="2573"/>
        <v>2E-3</v>
      </c>
      <c r="CT604" s="38">
        <f t="shared" si="2573"/>
        <v>2E-3</v>
      </c>
      <c r="CU604" s="38">
        <f t="shared" si="2573"/>
        <v>2E-3</v>
      </c>
      <c r="CV604" s="217">
        <f t="shared" si="2573"/>
        <v>2E-3</v>
      </c>
      <c r="CW604" s="38">
        <f t="shared" si="2573"/>
        <v>2E-3</v>
      </c>
      <c r="CX604" s="38">
        <f t="shared" si="2573"/>
        <v>2E-3</v>
      </c>
      <c r="CY604" s="217">
        <f t="shared" si="2573"/>
        <v>2E-3</v>
      </c>
      <c r="CZ604" s="38">
        <f t="shared" si="2573"/>
        <v>2E-3</v>
      </c>
      <c r="DA604" s="38">
        <f t="shared" si="2573"/>
        <v>2E-3</v>
      </c>
      <c r="DB604" s="217">
        <f t="shared" si="2573"/>
        <v>2E-3</v>
      </c>
      <c r="DC604" s="38">
        <f t="shared" si="2573"/>
        <v>2E-3</v>
      </c>
      <c r="DD604" s="38">
        <f t="shared" si="2573"/>
        <v>2E-3</v>
      </c>
      <c r="DE604" s="217">
        <f t="shared" si="2573"/>
        <v>2E-3</v>
      </c>
      <c r="DF604" s="38">
        <f t="shared" si="2573"/>
        <v>2E-3</v>
      </c>
      <c r="DG604" s="38">
        <f t="shared" si="2573"/>
        <v>2E-3</v>
      </c>
      <c r="DH604" s="217">
        <f t="shared" si="2573"/>
        <v>2E-3</v>
      </c>
      <c r="DI604" s="38">
        <f t="shared" si="2573"/>
        <v>2E-3</v>
      </c>
      <c r="DJ604" s="38">
        <f t="shared" si="2573"/>
        <v>2E-3</v>
      </c>
      <c r="DK604" s="217">
        <f t="shared" ref="DK604:EF604" si="2574">DJ604</f>
        <v>2E-3</v>
      </c>
      <c r="DL604" s="38">
        <f>DK604</f>
        <v>2E-3</v>
      </c>
      <c r="DM604" s="38">
        <f t="shared" si="2574"/>
        <v>2E-3</v>
      </c>
      <c r="DN604" s="217">
        <f t="shared" si="2574"/>
        <v>2E-3</v>
      </c>
      <c r="DO604" s="38">
        <f t="shared" si="2574"/>
        <v>2E-3</v>
      </c>
      <c r="DP604" s="38">
        <f t="shared" si="2574"/>
        <v>2E-3</v>
      </c>
      <c r="DQ604" s="217">
        <f t="shared" si="2574"/>
        <v>2E-3</v>
      </c>
      <c r="DR604" s="38">
        <f t="shared" si="2574"/>
        <v>2E-3</v>
      </c>
      <c r="DS604" s="38">
        <f t="shared" si="2574"/>
        <v>2E-3</v>
      </c>
      <c r="DT604" s="217">
        <f t="shared" si="2574"/>
        <v>2E-3</v>
      </c>
      <c r="DU604" s="38">
        <f t="shared" si="2574"/>
        <v>2E-3</v>
      </c>
      <c r="DV604" s="38">
        <f t="shared" si="2574"/>
        <v>2E-3</v>
      </c>
      <c r="DW604" s="217">
        <f t="shared" si="2574"/>
        <v>2E-3</v>
      </c>
      <c r="DX604" s="38">
        <f t="shared" si="2574"/>
        <v>2E-3</v>
      </c>
      <c r="DY604" s="38">
        <f t="shared" si="2574"/>
        <v>2E-3</v>
      </c>
      <c r="DZ604" s="217">
        <f t="shared" si="2574"/>
        <v>2E-3</v>
      </c>
      <c r="EA604" s="38">
        <f t="shared" si="2574"/>
        <v>2E-3</v>
      </c>
      <c r="EB604" s="38">
        <f t="shared" si="2574"/>
        <v>2E-3</v>
      </c>
      <c r="EC604" s="217">
        <f t="shared" si="2574"/>
        <v>2E-3</v>
      </c>
      <c r="ED604" s="38">
        <f t="shared" si="2574"/>
        <v>2E-3</v>
      </c>
      <c r="EE604" s="38">
        <f t="shared" si="2574"/>
        <v>2E-3</v>
      </c>
      <c r="EF604" s="217">
        <f t="shared" si="2574"/>
        <v>2E-3</v>
      </c>
      <c r="EG604" s="38">
        <f t="shared" si="2555"/>
        <v>2E-3</v>
      </c>
      <c r="EH604" s="38">
        <f t="shared" si="2555"/>
        <v>2E-3</v>
      </c>
      <c r="EI604" s="217">
        <f t="shared" si="2555"/>
        <v>2E-3</v>
      </c>
      <c r="EJ604" s="38">
        <f t="shared" si="2555"/>
        <v>2E-3</v>
      </c>
      <c r="EK604" s="38">
        <f t="shared" si="2555"/>
        <v>2E-3</v>
      </c>
      <c r="EL604" s="217">
        <f t="shared" si="2555"/>
        <v>2E-3</v>
      </c>
      <c r="EM604" s="38">
        <f t="shared" si="2556"/>
        <v>2E-3</v>
      </c>
      <c r="EN604" s="38">
        <f t="shared" si="2556"/>
        <v>2E-3</v>
      </c>
      <c r="EO604" s="217">
        <f t="shared" si="2556"/>
        <v>2E-3</v>
      </c>
      <c r="EP604" s="38">
        <f t="shared" si="2556"/>
        <v>2E-3</v>
      </c>
      <c r="EQ604" s="38">
        <f t="shared" si="2556"/>
        <v>2E-3</v>
      </c>
      <c r="ER604" s="217">
        <f t="shared" si="2556"/>
        <v>2E-3</v>
      </c>
      <c r="ES604" s="38">
        <f t="shared" si="2557"/>
        <v>2E-3</v>
      </c>
      <c r="ET604" s="38">
        <f t="shared" si="2558"/>
        <v>2E-3</v>
      </c>
      <c r="EU604" s="217">
        <f t="shared" si="2559"/>
        <v>2E-3</v>
      </c>
      <c r="EV604" s="38">
        <f t="shared" si="2560"/>
        <v>2E-3</v>
      </c>
      <c r="EW604" s="38">
        <f t="shared" si="2561"/>
        <v>2E-3</v>
      </c>
      <c r="EX604" s="217">
        <f t="shared" si="2562"/>
        <v>2E-3</v>
      </c>
      <c r="EY604" s="38">
        <f t="shared" si="2563"/>
        <v>2E-3</v>
      </c>
      <c r="EZ604" s="38">
        <f t="shared" si="2564"/>
        <v>2E-3</v>
      </c>
      <c r="FA604" s="217">
        <f t="shared" si="2565"/>
        <v>2E-3</v>
      </c>
      <c r="FH604" s="35"/>
      <c r="FI604" s="35"/>
      <c r="FJ604" s="35"/>
      <c r="FK604" s="35"/>
      <c r="FL604" s="35"/>
      <c r="FM604" s="35"/>
      <c r="FN604" s="35"/>
      <c r="FO604" s="35"/>
      <c r="FP604" s="35"/>
      <c r="FQ604" s="35"/>
    </row>
    <row r="605" spans="1:173" s="321" customFormat="1" hidden="1" outlineLevel="1">
      <c r="A605" s="1168"/>
      <c r="B605" s="186"/>
      <c r="C605" s="186"/>
      <c r="D605" s="910"/>
      <c r="E605" s="1"/>
      <c r="F605" s="1"/>
      <c r="G605" s="5"/>
      <c r="H605" s="1"/>
      <c r="I605" s="1"/>
      <c r="J605" s="5"/>
      <c r="K605" s="1"/>
      <c r="L605" s="1"/>
      <c r="M605" s="5"/>
      <c r="N605" s="1"/>
      <c r="O605" s="1"/>
      <c r="P605" s="5"/>
      <c r="Q605" s="1"/>
      <c r="R605" s="1"/>
      <c r="S605" s="5"/>
      <c r="T605" s="1"/>
      <c r="U605" s="1"/>
      <c r="V605" s="5"/>
      <c r="W605" s="1"/>
      <c r="X605" s="1"/>
      <c r="Y605" s="5"/>
      <c r="Z605" s="1"/>
      <c r="AA605" s="1"/>
      <c r="AB605" s="5"/>
      <c r="AC605" s="1"/>
      <c r="AD605" s="1"/>
      <c r="AE605" s="5"/>
      <c r="AF605" s="1"/>
      <c r="AG605" s="1"/>
      <c r="AH605" s="5"/>
      <c r="AI605" s="1"/>
      <c r="AJ605" s="1"/>
      <c r="AK605" s="5"/>
      <c r="AL605" s="1"/>
      <c r="AM605" s="1"/>
      <c r="AN605" s="5"/>
      <c r="AO605" s="1"/>
      <c r="AP605" s="1"/>
      <c r="AQ605" s="5"/>
      <c r="AR605" s="1"/>
      <c r="AS605" s="1"/>
      <c r="AT605" s="5"/>
      <c r="AU605" s="206"/>
      <c r="AV605" s="206"/>
      <c r="AW605" s="206"/>
      <c r="AX605" s="206"/>
      <c r="AY605" s="206"/>
      <c r="AZ605" s="206"/>
      <c r="BA605" s="16"/>
      <c r="BB605" s="16"/>
      <c r="BC605" s="978"/>
      <c r="BD605" s="8"/>
      <c r="BE605" s="8"/>
      <c r="BF605" s="978"/>
      <c r="BG605" s="8"/>
      <c r="BH605" s="8"/>
      <c r="BI605" s="978"/>
      <c r="BJ605" s="115"/>
      <c r="BK605" s="115"/>
      <c r="BL605" s="116"/>
      <c r="BM605" s="115"/>
      <c r="BN605" s="115"/>
      <c r="BO605" s="116"/>
      <c r="BP605" s="115"/>
      <c r="BQ605" s="115"/>
      <c r="BR605" s="116"/>
      <c r="BS605" s="8"/>
      <c r="BT605" s="8"/>
      <c r="BU605" s="187"/>
      <c r="BV605" s="8"/>
      <c r="BW605" s="8"/>
      <c r="BX605" s="187"/>
      <c r="BY605" s="8"/>
      <c r="BZ605" s="8"/>
      <c r="CA605" s="187"/>
      <c r="CB605" s="8"/>
      <c r="CC605" s="8"/>
      <c r="CD605" s="187"/>
      <c r="CE605" s="8"/>
      <c r="CF605" s="8"/>
      <c r="CG605" s="187"/>
      <c r="CH605" s="8"/>
      <c r="CI605" s="8"/>
      <c r="CJ605" s="187"/>
      <c r="CK605" s="16"/>
      <c r="CL605" s="16"/>
      <c r="CM605" s="206"/>
      <c r="CN605" s="16"/>
      <c r="CO605" s="16"/>
      <c r="CP605" s="206"/>
      <c r="CQ605" s="16"/>
      <c r="CR605" s="16"/>
      <c r="CS605" s="206"/>
      <c r="CT605" s="16"/>
      <c r="CU605" s="16"/>
      <c r="CV605" s="206"/>
      <c r="CW605" s="16"/>
      <c r="CX605" s="16"/>
      <c r="CY605" s="206"/>
      <c r="CZ605" s="16"/>
      <c r="DA605" s="16"/>
      <c r="DB605" s="206"/>
      <c r="DC605" s="16"/>
      <c r="DD605" s="16"/>
      <c r="DE605" s="206"/>
      <c r="DF605" s="16"/>
      <c r="DG605" s="16"/>
      <c r="DH605" s="206"/>
      <c r="DI605" s="16"/>
      <c r="DJ605" s="16"/>
      <c r="DK605" s="206"/>
      <c r="DL605" s="16"/>
      <c r="DM605" s="16"/>
      <c r="DN605" s="206"/>
      <c r="DO605" s="16"/>
      <c r="DP605" s="16"/>
      <c r="DQ605" s="206"/>
      <c r="DR605" s="16"/>
      <c r="DS605" s="16"/>
      <c r="DT605" s="206"/>
      <c r="DU605" s="16"/>
      <c r="DV605" s="16"/>
      <c r="DW605" s="206"/>
      <c r="DX605" s="16"/>
      <c r="DY605" s="16"/>
      <c r="DZ605" s="206"/>
      <c r="EA605" s="16"/>
      <c r="EB605" s="16"/>
      <c r="EC605" s="206"/>
      <c r="ED605" s="16"/>
      <c r="EE605" s="16"/>
      <c r="EF605" s="206"/>
      <c r="EG605" s="16"/>
      <c r="EH605" s="16"/>
      <c r="EI605" s="206"/>
      <c r="EJ605" s="16"/>
      <c r="EK605" s="16"/>
      <c r="EL605" s="206"/>
      <c r="EM605" s="16"/>
      <c r="EN605" s="16"/>
      <c r="EO605" s="206"/>
      <c r="EP605" s="16"/>
      <c r="EQ605" s="16"/>
      <c r="ER605" s="206"/>
      <c r="ES605" s="16"/>
      <c r="ET605" s="16"/>
      <c r="EU605" s="206"/>
      <c r="EV605" s="16"/>
      <c r="EW605" s="16"/>
      <c r="EX605" s="206"/>
      <c r="EY605" s="16"/>
      <c r="EZ605" s="16"/>
      <c r="FA605" s="206"/>
      <c r="FH605" s="35"/>
      <c r="FI605" s="35"/>
      <c r="FJ605" s="35"/>
      <c r="FK605" s="35"/>
      <c r="FL605" s="35"/>
      <c r="FM605" s="35"/>
      <c r="FN605" s="35"/>
      <c r="FO605" s="35"/>
      <c r="FP605" s="35"/>
      <c r="FQ605" s="35"/>
    </row>
    <row r="606" spans="1:173" s="321" customFormat="1" hidden="1" outlineLevel="1">
      <c r="A606" s="1168"/>
      <c r="B606" s="186"/>
      <c r="C606" s="331" t="s">
        <v>341</v>
      </c>
      <c r="D606" s="910"/>
      <c r="E606" s="1"/>
      <c r="F606" s="1"/>
      <c r="G606" s="5"/>
      <c r="H606" s="1"/>
      <c r="I606" s="1"/>
      <c r="J606" s="5"/>
      <c r="K606" s="1"/>
      <c r="L606" s="1"/>
      <c r="M606" s="5"/>
      <c r="N606" s="1"/>
      <c r="O606" s="1"/>
      <c r="P606" s="5"/>
      <c r="Q606" s="1"/>
      <c r="R606" s="1"/>
      <c r="S606" s="5"/>
      <c r="T606" s="1"/>
      <c r="U606" s="1"/>
      <c r="V606" s="5"/>
      <c r="W606" s="1"/>
      <c r="X606" s="1"/>
      <c r="Y606" s="5"/>
      <c r="Z606" s="1"/>
      <c r="AA606" s="1"/>
      <c r="AB606" s="5"/>
      <c r="AC606" s="1"/>
      <c r="AD606" s="1"/>
      <c r="AE606" s="5"/>
      <c r="AF606" s="1"/>
      <c r="AG606" s="1"/>
      <c r="AH606" s="5"/>
      <c r="AI606" s="1"/>
      <c r="AJ606" s="1"/>
      <c r="AK606" s="5"/>
      <c r="AL606" s="1"/>
      <c r="AM606" s="1"/>
      <c r="AN606" s="5"/>
      <c r="AO606" s="1"/>
      <c r="AP606" s="1"/>
      <c r="AQ606" s="5"/>
      <c r="AR606" s="1"/>
      <c r="AS606" s="1"/>
      <c r="AT606" s="5"/>
      <c r="AU606" s="206"/>
      <c r="AV606" s="206"/>
      <c r="AW606" s="206"/>
      <c r="AX606" s="206"/>
      <c r="AY606" s="206"/>
      <c r="AZ606" s="206"/>
      <c r="BA606" s="16"/>
      <c r="BB606" s="16"/>
      <c r="BC606" s="978"/>
      <c r="BD606" s="8"/>
      <c r="BE606" s="8"/>
      <c r="BF606" s="978"/>
      <c r="BG606" s="8"/>
      <c r="BH606" s="8"/>
      <c r="BI606" s="978"/>
      <c r="BJ606" s="115"/>
      <c r="BK606" s="115"/>
      <c r="BL606" s="116"/>
      <c r="BM606" s="115"/>
      <c r="BN606" s="115"/>
      <c r="BO606" s="116"/>
      <c r="BP606" s="115"/>
      <c r="BQ606" s="115"/>
      <c r="BR606" s="116"/>
      <c r="BS606" s="8"/>
      <c r="BT606" s="8"/>
      <c r="BU606" s="187"/>
      <c r="BV606" s="8"/>
      <c r="BW606" s="8"/>
      <c r="BX606" s="187"/>
      <c r="BY606" s="8"/>
      <c r="BZ606" s="8"/>
      <c r="CA606" s="187"/>
      <c r="CB606" s="8"/>
      <c r="CC606" s="8"/>
      <c r="CD606" s="187"/>
      <c r="CE606" s="8"/>
      <c r="CF606" s="8"/>
      <c r="CG606" s="187"/>
      <c r="CH606" s="8"/>
      <c r="CI606" s="8"/>
      <c r="CJ606" s="187"/>
      <c r="CK606" s="16"/>
      <c r="CL606" s="16"/>
      <c r="CM606" s="206"/>
      <c r="CN606" s="16"/>
      <c r="CO606" s="16"/>
      <c r="CP606" s="206"/>
      <c r="CQ606" s="16"/>
      <c r="CR606" s="16"/>
      <c r="CS606" s="206"/>
      <c r="CT606" s="16"/>
      <c r="CU606" s="16"/>
      <c r="CV606" s="206"/>
      <c r="CW606" s="16"/>
      <c r="CX606" s="16"/>
      <c r="CY606" s="206"/>
      <c r="CZ606" s="16"/>
      <c r="DA606" s="16"/>
      <c r="DB606" s="206"/>
      <c r="DC606" s="16"/>
      <c r="DD606" s="16"/>
      <c r="DE606" s="206"/>
      <c r="DF606" s="16"/>
      <c r="DG606" s="16"/>
      <c r="DH606" s="206"/>
      <c r="DI606" s="16"/>
      <c r="DJ606" s="16"/>
      <c r="DK606" s="206"/>
      <c r="DL606" s="16"/>
      <c r="DM606" s="16"/>
      <c r="DN606" s="206"/>
      <c r="DO606" s="16"/>
      <c r="DP606" s="16"/>
      <c r="DQ606" s="206"/>
      <c r="DR606" s="16"/>
      <c r="DS606" s="16"/>
      <c r="DT606" s="206"/>
      <c r="DU606" s="16"/>
      <c r="DV606" s="16"/>
      <c r="DW606" s="206"/>
      <c r="DX606" s="16"/>
      <c r="DY606" s="16"/>
      <c r="DZ606" s="206"/>
      <c r="EA606" s="16"/>
      <c r="EB606" s="16"/>
      <c r="EC606" s="206"/>
      <c r="ED606" s="16"/>
      <c r="EE606" s="16"/>
      <c r="EF606" s="206"/>
      <c r="EG606" s="16"/>
      <c r="EH606" s="16"/>
      <c r="EI606" s="206"/>
      <c r="EJ606" s="16"/>
      <c r="EK606" s="16"/>
      <c r="EL606" s="206"/>
      <c r="EM606" s="16"/>
      <c r="EN606" s="16"/>
      <c r="EO606" s="206"/>
      <c r="EP606" s="16"/>
      <c r="EQ606" s="16"/>
      <c r="ER606" s="206"/>
      <c r="ES606" s="16"/>
      <c r="ET606" s="16"/>
      <c r="EU606" s="206"/>
      <c r="EV606" s="16"/>
      <c r="EW606" s="16"/>
      <c r="EX606" s="206"/>
      <c r="EY606" s="16"/>
      <c r="EZ606" s="16"/>
      <c r="FA606" s="206"/>
      <c r="FH606" s="35"/>
      <c r="FI606" s="35"/>
      <c r="FJ606" s="35"/>
      <c r="FK606" s="35"/>
      <c r="FL606" s="35"/>
      <c r="FM606" s="35"/>
      <c r="FN606" s="35"/>
      <c r="FO606" s="35"/>
      <c r="FP606" s="35"/>
      <c r="FQ606" s="35"/>
    </row>
    <row r="607" spans="1:173" s="321" customFormat="1" hidden="1" outlineLevel="1">
      <c r="A607" s="1168"/>
      <c r="B607" s="186"/>
      <c r="C607" s="186" t="s">
        <v>316</v>
      </c>
      <c r="D607" s="910"/>
      <c r="E607" s="1"/>
      <c r="F607" s="1"/>
      <c r="G607" s="5"/>
      <c r="H607" s="1"/>
      <c r="I607" s="1"/>
      <c r="J607" s="5"/>
      <c r="K607" s="1"/>
      <c r="L607" s="1"/>
      <c r="M607" s="5"/>
      <c r="N607" s="1"/>
      <c r="O607" s="1"/>
      <c r="P607" s="5"/>
      <c r="Q607" s="1"/>
      <c r="R607" s="1"/>
      <c r="S607" s="5"/>
      <c r="T607" s="1"/>
      <c r="U607" s="1"/>
      <c r="V607" s="5"/>
      <c r="W607" s="1"/>
      <c r="X607" s="1"/>
      <c r="Y607" s="5"/>
      <c r="Z607" s="1"/>
      <c r="AA607" s="1"/>
      <c r="AB607" s="5"/>
      <c r="AC607" s="1"/>
      <c r="AD607" s="1"/>
      <c r="AE607" s="5"/>
      <c r="AF607" s="1"/>
      <c r="AG607" s="1"/>
      <c r="AH607" s="5"/>
      <c r="AI607" s="1"/>
      <c r="AJ607" s="1"/>
      <c r="AK607" s="5"/>
      <c r="AL607" s="1"/>
      <c r="AM607" s="1"/>
      <c r="AN607" s="5"/>
      <c r="AO607" s="1"/>
      <c r="AP607" s="1"/>
      <c r="AQ607" s="5"/>
      <c r="AR607" s="1"/>
      <c r="AS607" s="1"/>
      <c r="AT607" s="5"/>
      <c r="AU607" s="1"/>
      <c r="AV607" s="1"/>
      <c r="AW607" s="5"/>
      <c r="AX607" s="214">
        <v>3.0000000000000001E-3</v>
      </c>
      <c r="AY607" s="217">
        <f t="shared" ref="AY607:CD607" si="2575">AX607</f>
        <v>3.0000000000000001E-3</v>
      </c>
      <c r="AZ607" s="217">
        <f t="shared" si="2575"/>
        <v>3.0000000000000001E-3</v>
      </c>
      <c r="BA607" s="38">
        <f t="shared" si="2575"/>
        <v>3.0000000000000001E-3</v>
      </c>
      <c r="BB607" s="38">
        <f t="shared" si="2575"/>
        <v>3.0000000000000001E-3</v>
      </c>
      <c r="BC607" s="977">
        <f t="shared" si="2575"/>
        <v>3.0000000000000001E-3</v>
      </c>
      <c r="BD607" s="38">
        <f t="shared" si="2575"/>
        <v>3.0000000000000001E-3</v>
      </c>
      <c r="BE607" s="38">
        <f t="shared" si="2575"/>
        <v>3.0000000000000001E-3</v>
      </c>
      <c r="BF607" s="977">
        <f t="shared" si="2575"/>
        <v>3.0000000000000001E-3</v>
      </c>
      <c r="BG607" s="38">
        <f t="shared" si="2575"/>
        <v>3.0000000000000001E-3</v>
      </c>
      <c r="BH607" s="38">
        <f t="shared" si="2575"/>
        <v>3.0000000000000001E-3</v>
      </c>
      <c r="BI607" s="977">
        <f t="shared" si="2575"/>
        <v>3.0000000000000001E-3</v>
      </c>
      <c r="BJ607" s="136">
        <f t="shared" si="2575"/>
        <v>3.0000000000000001E-3</v>
      </c>
      <c r="BK607" s="136">
        <f t="shared" si="2575"/>
        <v>3.0000000000000001E-3</v>
      </c>
      <c r="BL607" s="142">
        <f t="shared" si="2575"/>
        <v>3.0000000000000001E-3</v>
      </c>
      <c r="BM607" s="136">
        <f t="shared" si="2575"/>
        <v>3.0000000000000001E-3</v>
      </c>
      <c r="BN607" s="136">
        <f t="shared" si="2575"/>
        <v>3.0000000000000001E-3</v>
      </c>
      <c r="BO607" s="142">
        <f t="shared" si="2575"/>
        <v>3.0000000000000001E-3</v>
      </c>
      <c r="BP607" s="136">
        <f t="shared" si="2575"/>
        <v>3.0000000000000001E-3</v>
      </c>
      <c r="BQ607" s="136">
        <f t="shared" si="2575"/>
        <v>3.0000000000000001E-3</v>
      </c>
      <c r="BR607" s="142">
        <f t="shared" si="2575"/>
        <v>3.0000000000000001E-3</v>
      </c>
      <c r="BS607" s="38">
        <f t="shared" si="2575"/>
        <v>3.0000000000000001E-3</v>
      </c>
      <c r="BT607" s="38">
        <f t="shared" si="2575"/>
        <v>3.0000000000000001E-3</v>
      </c>
      <c r="BU607" s="217">
        <f t="shared" si="2575"/>
        <v>3.0000000000000001E-3</v>
      </c>
      <c r="BV607" s="38">
        <f t="shared" si="2575"/>
        <v>3.0000000000000001E-3</v>
      </c>
      <c r="BW607" s="38">
        <f t="shared" si="2575"/>
        <v>3.0000000000000001E-3</v>
      </c>
      <c r="BX607" s="217">
        <f t="shared" si="2575"/>
        <v>3.0000000000000001E-3</v>
      </c>
      <c r="BY607" s="38">
        <f t="shared" si="2575"/>
        <v>3.0000000000000001E-3</v>
      </c>
      <c r="BZ607" s="38">
        <f t="shared" si="2575"/>
        <v>3.0000000000000001E-3</v>
      </c>
      <c r="CA607" s="217">
        <f t="shared" si="2575"/>
        <v>3.0000000000000001E-3</v>
      </c>
      <c r="CB607" s="38">
        <f t="shared" si="2575"/>
        <v>3.0000000000000001E-3</v>
      </c>
      <c r="CC607" s="38">
        <f t="shared" si="2575"/>
        <v>3.0000000000000001E-3</v>
      </c>
      <c r="CD607" s="217">
        <f t="shared" si="2575"/>
        <v>3.0000000000000001E-3</v>
      </c>
      <c r="CE607" s="38">
        <f t="shared" ref="CE607:DJ607" si="2576">CD607</f>
        <v>3.0000000000000001E-3</v>
      </c>
      <c r="CF607" s="38">
        <f t="shared" si="2576"/>
        <v>3.0000000000000001E-3</v>
      </c>
      <c r="CG607" s="217">
        <f t="shared" si="2576"/>
        <v>3.0000000000000001E-3</v>
      </c>
      <c r="CH607" s="38">
        <f t="shared" si="2576"/>
        <v>3.0000000000000001E-3</v>
      </c>
      <c r="CI607" s="38">
        <f t="shared" si="2576"/>
        <v>3.0000000000000001E-3</v>
      </c>
      <c r="CJ607" s="217">
        <f t="shared" si="2576"/>
        <v>3.0000000000000001E-3</v>
      </c>
      <c r="CK607" s="38">
        <f t="shared" si="2576"/>
        <v>3.0000000000000001E-3</v>
      </c>
      <c r="CL607" s="38">
        <f t="shared" si="2576"/>
        <v>3.0000000000000001E-3</v>
      </c>
      <c r="CM607" s="217">
        <f t="shared" si="2576"/>
        <v>3.0000000000000001E-3</v>
      </c>
      <c r="CN607" s="38">
        <f t="shared" si="2576"/>
        <v>3.0000000000000001E-3</v>
      </c>
      <c r="CO607" s="38">
        <f t="shared" si="2576"/>
        <v>3.0000000000000001E-3</v>
      </c>
      <c r="CP607" s="217">
        <f t="shared" si="2576"/>
        <v>3.0000000000000001E-3</v>
      </c>
      <c r="CQ607" s="38">
        <f t="shared" si="2576"/>
        <v>3.0000000000000001E-3</v>
      </c>
      <c r="CR607" s="38">
        <f t="shared" si="2576"/>
        <v>3.0000000000000001E-3</v>
      </c>
      <c r="CS607" s="217">
        <f t="shared" si="2576"/>
        <v>3.0000000000000001E-3</v>
      </c>
      <c r="CT607" s="38">
        <f t="shared" si="2576"/>
        <v>3.0000000000000001E-3</v>
      </c>
      <c r="CU607" s="38">
        <f t="shared" si="2576"/>
        <v>3.0000000000000001E-3</v>
      </c>
      <c r="CV607" s="217">
        <f t="shared" si="2576"/>
        <v>3.0000000000000001E-3</v>
      </c>
      <c r="CW607" s="38">
        <f t="shared" si="2576"/>
        <v>3.0000000000000001E-3</v>
      </c>
      <c r="CX607" s="38">
        <f t="shared" si="2576"/>
        <v>3.0000000000000001E-3</v>
      </c>
      <c r="CY607" s="217">
        <f t="shared" si="2576"/>
        <v>3.0000000000000001E-3</v>
      </c>
      <c r="CZ607" s="38">
        <f t="shared" si="2576"/>
        <v>3.0000000000000001E-3</v>
      </c>
      <c r="DA607" s="38">
        <f t="shared" si="2576"/>
        <v>3.0000000000000001E-3</v>
      </c>
      <c r="DB607" s="217">
        <f t="shared" si="2576"/>
        <v>3.0000000000000001E-3</v>
      </c>
      <c r="DC607" s="38">
        <f t="shared" si="2576"/>
        <v>3.0000000000000001E-3</v>
      </c>
      <c r="DD607" s="38">
        <f t="shared" si="2576"/>
        <v>3.0000000000000001E-3</v>
      </c>
      <c r="DE607" s="217">
        <f t="shared" si="2576"/>
        <v>3.0000000000000001E-3</v>
      </c>
      <c r="DF607" s="38">
        <f t="shared" si="2576"/>
        <v>3.0000000000000001E-3</v>
      </c>
      <c r="DG607" s="38">
        <f t="shared" si="2576"/>
        <v>3.0000000000000001E-3</v>
      </c>
      <c r="DH607" s="217">
        <f t="shared" si="2576"/>
        <v>3.0000000000000001E-3</v>
      </c>
      <c r="DI607" s="38">
        <f t="shared" si="2576"/>
        <v>3.0000000000000001E-3</v>
      </c>
      <c r="DJ607" s="38">
        <f t="shared" si="2576"/>
        <v>3.0000000000000001E-3</v>
      </c>
      <c r="DK607" s="217">
        <f t="shared" ref="DK607:EF607" si="2577">DJ607</f>
        <v>3.0000000000000001E-3</v>
      </c>
      <c r="DL607" s="38">
        <f>DK607</f>
        <v>3.0000000000000001E-3</v>
      </c>
      <c r="DM607" s="38">
        <f t="shared" si="2577"/>
        <v>3.0000000000000001E-3</v>
      </c>
      <c r="DN607" s="217">
        <f t="shared" si="2577"/>
        <v>3.0000000000000001E-3</v>
      </c>
      <c r="DO607" s="38">
        <f t="shared" si="2577"/>
        <v>3.0000000000000001E-3</v>
      </c>
      <c r="DP607" s="38">
        <f t="shared" si="2577"/>
        <v>3.0000000000000001E-3</v>
      </c>
      <c r="DQ607" s="217">
        <f t="shared" si="2577"/>
        <v>3.0000000000000001E-3</v>
      </c>
      <c r="DR607" s="38">
        <f t="shared" si="2577"/>
        <v>3.0000000000000001E-3</v>
      </c>
      <c r="DS607" s="38">
        <f t="shared" si="2577"/>
        <v>3.0000000000000001E-3</v>
      </c>
      <c r="DT607" s="217">
        <f t="shared" si="2577"/>
        <v>3.0000000000000001E-3</v>
      </c>
      <c r="DU607" s="38">
        <f t="shared" si="2577"/>
        <v>3.0000000000000001E-3</v>
      </c>
      <c r="DV607" s="38">
        <f t="shared" si="2577"/>
        <v>3.0000000000000001E-3</v>
      </c>
      <c r="DW607" s="217">
        <f t="shared" si="2577"/>
        <v>3.0000000000000001E-3</v>
      </c>
      <c r="DX607" s="38">
        <f t="shared" si="2577"/>
        <v>3.0000000000000001E-3</v>
      </c>
      <c r="DY607" s="38">
        <f t="shared" si="2577"/>
        <v>3.0000000000000001E-3</v>
      </c>
      <c r="DZ607" s="217">
        <f t="shared" si="2577"/>
        <v>3.0000000000000001E-3</v>
      </c>
      <c r="EA607" s="38">
        <f t="shared" si="2577"/>
        <v>3.0000000000000001E-3</v>
      </c>
      <c r="EB607" s="38">
        <f t="shared" si="2577"/>
        <v>3.0000000000000001E-3</v>
      </c>
      <c r="EC607" s="217">
        <f t="shared" si="2577"/>
        <v>3.0000000000000001E-3</v>
      </c>
      <c r="ED607" s="38">
        <f t="shared" si="2577"/>
        <v>3.0000000000000001E-3</v>
      </c>
      <c r="EE607" s="38">
        <f t="shared" si="2577"/>
        <v>3.0000000000000001E-3</v>
      </c>
      <c r="EF607" s="217">
        <f t="shared" si="2577"/>
        <v>3.0000000000000001E-3</v>
      </c>
      <c r="EG607" s="38">
        <f t="shared" ref="EG607:EL610" si="2578">EF607</f>
        <v>3.0000000000000001E-3</v>
      </c>
      <c r="EH607" s="38">
        <f t="shared" si="2578"/>
        <v>3.0000000000000001E-3</v>
      </c>
      <c r="EI607" s="217">
        <f t="shared" si="2578"/>
        <v>3.0000000000000001E-3</v>
      </c>
      <c r="EJ607" s="38">
        <f t="shared" si="2578"/>
        <v>3.0000000000000001E-3</v>
      </c>
      <c r="EK607" s="38">
        <f t="shared" si="2578"/>
        <v>3.0000000000000001E-3</v>
      </c>
      <c r="EL607" s="217">
        <f t="shared" si="2578"/>
        <v>3.0000000000000001E-3</v>
      </c>
      <c r="EM607" s="38">
        <f t="shared" ref="EM607:ER610" si="2579">EL607</f>
        <v>3.0000000000000001E-3</v>
      </c>
      <c r="EN607" s="38">
        <f t="shared" si="2579"/>
        <v>3.0000000000000001E-3</v>
      </c>
      <c r="EO607" s="217">
        <f t="shared" si="2579"/>
        <v>3.0000000000000001E-3</v>
      </c>
      <c r="EP607" s="38">
        <f t="shared" si="2579"/>
        <v>3.0000000000000001E-3</v>
      </c>
      <c r="EQ607" s="38">
        <f t="shared" si="2579"/>
        <v>3.0000000000000001E-3</v>
      </c>
      <c r="ER607" s="217">
        <f t="shared" si="2579"/>
        <v>3.0000000000000001E-3</v>
      </c>
      <c r="ES607" s="38">
        <f t="shared" ref="ES607:ES610" si="2580">ER607</f>
        <v>3.0000000000000001E-3</v>
      </c>
      <c r="ET607" s="38">
        <f t="shared" ref="ET607:ET610" si="2581">ES607</f>
        <v>3.0000000000000001E-3</v>
      </c>
      <c r="EU607" s="217">
        <f t="shared" ref="EU607:EU610" si="2582">ET607</f>
        <v>3.0000000000000001E-3</v>
      </c>
      <c r="EV607" s="38">
        <f t="shared" ref="EV607:EV610" si="2583">EU607</f>
        <v>3.0000000000000001E-3</v>
      </c>
      <c r="EW607" s="38">
        <f t="shared" ref="EW607:EW610" si="2584">EV607</f>
        <v>3.0000000000000001E-3</v>
      </c>
      <c r="EX607" s="217">
        <f t="shared" ref="EX607:EX610" si="2585">EW607</f>
        <v>3.0000000000000001E-3</v>
      </c>
      <c r="EY607" s="38">
        <f t="shared" ref="EY607:EY610" si="2586">EX607</f>
        <v>3.0000000000000001E-3</v>
      </c>
      <c r="EZ607" s="38">
        <f t="shared" ref="EZ607:EZ610" si="2587">EY607</f>
        <v>3.0000000000000001E-3</v>
      </c>
      <c r="FA607" s="217">
        <f t="shared" ref="FA607:FA610" si="2588">EZ607</f>
        <v>3.0000000000000001E-3</v>
      </c>
      <c r="FH607" s="35"/>
      <c r="FI607" s="35"/>
      <c r="FJ607" s="35"/>
      <c r="FK607" s="35"/>
      <c r="FL607" s="35"/>
      <c r="FM607" s="35"/>
      <c r="FN607" s="35"/>
      <c r="FO607" s="35"/>
      <c r="FP607" s="35"/>
      <c r="FQ607" s="35"/>
    </row>
    <row r="608" spans="1:173" s="321" customFormat="1" hidden="1" outlineLevel="1">
      <c r="A608" s="1168"/>
      <c r="B608" s="186"/>
      <c r="C608" s="186" t="s">
        <v>317</v>
      </c>
      <c r="D608" s="910"/>
      <c r="E608" s="1"/>
      <c r="F608" s="1"/>
      <c r="G608" s="5"/>
      <c r="H608" s="1"/>
      <c r="I608" s="1"/>
      <c r="J608" s="5"/>
      <c r="K608" s="1"/>
      <c r="L608" s="1"/>
      <c r="M608" s="5"/>
      <c r="N608" s="1"/>
      <c r="O608" s="1"/>
      <c r="P608" s="5"/>
      <c r="Q608" s="1"/>
      <c r="R608" s="1"/>
      <c r="S608" s="5"/>
      <c r="T608" s="1"/>
      <c r="U608" s="1"/>
      <c r="V608" s="5"/>
      <c r="W608" s="1"/>
      <c r="X608" s="1"/>
      <c r="Y608" s="5"/>
      <c r="Z608" s="1"/>
      <c r="AA608" s="1"/>
      <c r="AB608" s="5"/>
      <c r="AC608" s="1"/>
      <c r="AD608" s="1"/>
      <c r="AE608" s="5"/>
      <c r="AF608" s="1"/>
      <c r="AG608" s="1"/>
      <c r="AH608" s="5"/>
      <c r="AI608" s="1"/>
      <c r="AJ608" s="1"/>
      <c r="AK608" s="5"/>
      <c r="AL608" s="1"/>
      <c r="AM608" s="1"/>
      <c r="AN608" s="5"/>
      <c r="AO608" s="1"/>
      <c r="AP608" s="1"/>
      <c r="AQ608" s="5"/>
      <c r="AR608" s="1"/>
      <c r="AS608" s="1"/>
      <c r="AT608" s="5"/>
      <c r="AU608" s="186"/>
      <c r="AV608" s="184"/>
      <c r="AW608" s="184"/>
      <c r="AX608" s="214">
        <f>AX607</f>
        <v>3.0000000000000001E-3</v>
      </c>
      <c r="AY608" s="217">
        <f t="shared" ref="AY608:CD608" si="2589">AX608</f>
        <v>3.0000000000000001E-3</v>
      </c>
      <c r="AZ608" s="217">
        <f t="shared" si="2589"/>
        <v>3.0000000000000001E-3</v>
      </c>
      <c r="BA608" s="38">
        <f t="shared" si="2589"/>
        <v>3.0000000000000001E-3</v>
      </c>
      <c r="BB608" s="38">
        <f t="shared" si="2589"/>
        <v>3.0000000000000001E-3</v>
      </c>
      <c r="BC608" s="977">
        <f t="shared" si="2589"/>
        <v>3.0000000000000001E-3</v>
      </c>
      <c r="BD608" s="38">
        <f t="shared" si="2589"/>
        <v>3.0000000000000001E-3</v>
      </c>
      <c r="BE608" s="38">
        <f t="shared" si="2589"/>
        <v>3.0000000000000001E-3</v>
      </c>
      <c r="BF608" s="977">
        <f t="shared" si="2589"/>
        <v>3.0000000000000001E-3</v>
      </c>
      <c r="BG608" s="38">
        <f t="shared" si="2589"/>
        <v>3.0000000000000001E-3</v>
      </c>
      <c r="BH608" s="38">
        <f t="shared" si="2589"/>
        <v>3.0000000000000001E-3</v>
      </c>
      <c r="BI608" s="977">
        <f t="shared" si="2589"/>
        <v>3.0000000000000001E-3</v>
      </c>
      <c r="BJ608" s="136">
        <f t="shared" si="2589"/>
        <v>3.0000000000000001E-3</v>
      </c>
      <c r="BK608" s="136">
        <f t="shared" si="2589"/>
        <v>3.0000000000000001E-3</v>
      </c>
      <c r="BL608" s="142">
        <f t="shared" si="2589"/>
        <v>3.0000000000000001E-3</v>
      </c>
      <c r="BM608" s="136">
        <f t="shared" si="2589"/>
        <v>3.0000000000000001E-3</v>
      </c>
      <c r="BN608" s="136">
        <f t="shared" si="2589"/>
        <v>3.0000000000000001E-3</v>
      </c>
      <c r="BO608" s="142">
        <f t="shared" si="2589"/>
        <v>3.0000000000000001E-3</v>
      </c>
      <c r="BP608" s="136">
        <f t="shared" si="2589"/>
        <v>3.0000000000000001E-3</v>
      </c>
      <c r="BQ608" s="136">
        <f t="shared" si="2589"/>
        <v>3.0000000000000001E-3</v>
      </c>
      <c r="BR608" s="142">
        <f t="shared" si="2589"/>
        <v>3.0000000000000001E-3</v>
      </c>
      <c r="BS608" s="38">
        <f t="shared" si="2589"/>
        <v>3.0000000000000001E-3</v>
      </c>
      <c r="BT608" s="38">
        <f t="shared" si="2589"/>
        <v>3.0000000000000001E-3</v>
      </c>
      <c r="BU608" s="217">
        <f t="shared" si="2589"/>
        <v>3.0000000000000001E-3</v>
      </c>
      <c r="BV608" s="38">
        <f t="shared" si="2589"/>
        <v>3.0000000000000001E-3</v>
      </c>
      <c r="BW608" s="38">
        <f t="shared" si="2589"/>
        <v>3.0000000000000001E-3</v>
      </c>
      <c r="BX608" s="217">
        <f t="shared" si="2589"/>
        <v>3.0000000000000001E-3</v>
      </c>
      <c r="BY608" s="38">
        <f t="shared" si="2589"/>
        <v>3.0000000000000001E-3</v>
      </c>
      <c r="BZ608" s="38">
        <f t="shared" si="2589"/>
        <v>3.0000000000000001E-3</v>
      </c>
      <c r="CA608" s="217">
        <f t="shared" si="2589"/>
        <v>3.0000000000000001E-3</v>
      </c>
      <c r="CB608" s="38">
        <f t="shared" si="2589"/>
        <v>3.0000000000000001E-3</v>
      </c>
      <c r="CC608" s="38">
        <f t="shared" si="2589"/>
        <v>3.0000000000000001E-3</v>
      </c>
      <c r="CD608" s="217">
        <f t="shared" si="2589"/>
        <v>3.0000000000000001E-3</v>
      </c>
      <c r="CE608" s="38">
        <f t="shared" ref="CE608:DJ608" si="2590">CD608</f>
        <v>3.0000000000000001E-3</v>
      </c>
      <c r="CF608" s="38">
        <f t="shared" si="2590"/>
        <v>3.0000000000000001E-3</v>
      </c>
      <c r="CG608" s="217">
        <f t="shared" si="2590"/>
        <v>3.0000000000000001E-3</v>
      </c>
      <c r="CH608" s="38">
        <f t="shared" si="2590"/>
        <v>3.0000000000000001E-3</v>
      </c>
      <c r="CI608" s="38">
        <f t="shared" si="2590"/>
        <v>3.0000000000000001E-3</v>
      </c>
      <c r="CJ608" s="217">
        <f t="shared" si="2590"/>
        <v>3.0000000000000001E-3</v>
      </c>
      <c r="CK608" s="38">
        <f t="shared" si="2590"/>
        <v>3.0000000000000001E-3</v>
      </c>
      <c r="CL608" s="38">
        <f t="shared" si="2590"/>
        <v>3.0000000000000001E-3</v>
      </c>
      <c r="CM608" s="217">
        <f t="shared" si="2590"/>
        <v>3.0000000000000001E-3</v>
      </c>
      <c r="CN608" s="38">
        <f t="shared" si="2590"/>
        <v>3.0000000000000001E-3</v>
      </c>
      <c r="CO608" s="38">
        <f t="shared" si="2590"/>
        <v>3.0000000000000001E-3</v>
      </c>
      <c r="CP608" s="217">
        <f t="shared" si="2590"/>
        <v>3.0000000000000001E-3</v>
      </c>
      <c r="CQ608" s="38">
        <f t="shared" si="2590"/>
        <v>3.0000000000000001E-3</v>
      </c>
      <c r="CR608" s="38">
        <f t="shared" si="2590"/>
        <v>3.0000000000000001E-3</v>
      </c>
      <c r="CS608" s="217">
        <f t="shared" si="2590"/>
        <v>3.0000000000000001E-3</v>
      </c>
      <c r="CT608" s="38">
        <f t="shared" si="2590"/>
        <v>3.0000000000000001E-3</v>
      </c>
      <c r="CU608" s="38">
        <f t="shared" si="2590"/>
        <v>3.0000000000000001E-3</v>
      </c>
      <c r="CV608" s="217">
        <f t="shared" si="2590"/>
        <v>3.0000000000000001E-3</v>
      </c>
      <c r="CW608" s="38">
        <f t="shared" si="2590"/>
        <v>3.0000000000000001E-3</v>
      </c>
      <c r="CX608" s="38">
        <f t="shared" si="2590"/>
        <v>3.0000000000000001E-3</v>
      </c>
      <c r="CY608" s="217">
        <f t="shared" si="2590"/>
        <v>3.0000000000000001E-3</v>
      </c>
      <c r="CZ608" s="38">
        <f t="shared" si="2590"/>
        <v>3.0000000000000001E-3</v>
      </c>
      <c r="DA608" s="38">
        <f t="shared" si="2590"/>
        <v>3.0000000000000001E-3</v>
      </c>
      <c r="DB608" s="217">
        <f t="shared" si="2590"/>
        <v>3.0000000000000001E-3</v>
      </c>
      <c r="DC608" s="38">
        <f t="shared" si="2590"/>
        <v>3.0000000000000001E-3</v>
      </c>
      <c r="DD608" s="38">
        <f t="shared" si="2590"/>
        <v>3.0000000000000001E-3</v>
      </c>
      <c r="DE608" s="217">
        <f t="shared" si="2590"/>
        <v>3.0000000000000001E-3</v>
      </c>
      <c r="DF608" s="38">
        <f t="shared" si="2590"/>
        <v>3.0000000000000001E-3</v>
      </c>
      <c r="DG608" s="38">
        <f t="shared" si="2590"/>
        <v>3.0000000000000001E-3</v>
      </c>
      <c r="DH608" s="217">
        <f t="shared" si="2590"/>
        <v>3.0000000000000001E-3</v>
      </c>
      <c r="DI608" s="38">
        <f t="shared" si="2590"/>
        <v>3.0000000000000001E-3</v>
      </c>
      <c r="DJ608" s="38">
        <f t="shared" si="2590"/>
        <v>3.0000000000000001E-3</v>
      </c>
      <c r="DK608" s="217">
        <f t="shared" ref="DK608:EF608" si="2591">DJ608</f>
        <v>3.0000000000000001E-3</v>
      </c>
      <c r="DL608" s="38">
        <f>DK608</f>
        <v>3.0000000000000001E-3</v>
      </c>
      <c r="DM608" s="38">
        <f t="shared" si="2591"/>
        <v>3.0000000000000001E-3</v>
      </c>
      <c r="DN608" s="217">
        <f t="shared" si="2591"/>
        <v>3.0000000000000001E-3</v>
      </c>
      <c r="DO608" s="38">
        <f t="shared" si="2591"/>
        <v>3.0000000000000001E-3</v>
      </c>
      <c r="DP608" s="38">
        <f t="shared" si="2591"/>
        <v>3.0000000000000001E-3</v>
      </c>
      <c r="DQ608" s="217">
        <f t="shared" si="2591"/>
        <v>3.0000000000000001E-3</v>
      </c>
      <c r="DR608" s="38">
        <f t="shared" si="2591"/>
        <v>3.0000000000000001E-3</v>
      </c>
      <c r="DS608" s="38">
        <f t="shared" si="2591"/>
        <v>3.0000000000000001E-3</v>
      </c>
      <c r="DT608" s="217">
        <f t="shared" si="2591"/>
        <v>3.0000000000000001E-3</v>
      </c>
      <c r="DU608" s="38">
        <f t="shared" si="2591"/>
        <v>3.0000000000000001E-3</v>
      </c>
      <c r="DV608" s="38">
        <f t="shared" si="2591"/>
        <v>3.0000000000000001E-3</v>
      </c>
      <c r="DW608" s="217">
        <f t="shared" si="2591"/>
        <v>3.0000000000000001E-3</v>
      </c>
      <c r="DX608" s="38">
        <f t="shared" si="2591"/>
        <v>3.0000000000000001E-3</v>
      </c>
      <c r="DY608" s="38">
        <f t="shared" si="2591"/>
        <v>3.0000000000000001E-3</v>
      </c>
      <c r="DZ608" s="217">
        <f t="shared" si="2591"/>
        <v>3.0000000000000001E-3</v>
      </c>
      <c r="EA608" s="38">
        <f t="shared" si="2591"/>
        <v>3.0000000000000001E-3</v>
      </c>
      <c r="EB608" s="38">
        <f t="shared" si="2591"/>
        <v>3.0000000000000001E-3</v>
      </c>
      <c r="EC608" s="217">
        <f t="shared" si="2591"/>
        <v>3.0000000000000001E-3</v>
      </c>
      <c r="ED608" s="38">
        <f t="shared" si="2591"/>
        <v>3.0000000000000001E-3</v>
      </c>
      <c r="EE608" s="38">
        <f t="shared" si="2591"/>
        <v>3.0000000000000001E-3</v>
      </c>
      <c r="EF608" s="217">
        <f t="shared" si="2591"/>
        <v>3.0000000000000001E-3</v>
      </c>
      <c r="EG608" s="38">
        <f t="shared" si="2578"/>
        <v>3.0000000000000001E-3</v>
      </c>
      <c r="EH608" s="38">
        <f t="shared" si="2578"/>
        <v>3.0000000000000001E-3</v>
      </c>
      <c r="EI608" s="217">
        <f t="shared" si="2578"/>
        <v>3.0000000000000001E-3</v>
      </c>
      <c r="EJ608" s="38">
        <f t="shared" si="2578"/>
        <v>3.0000000000000001E-3</v>
      </c>
      <c r="EK608" s="38">
        <f t="shared" si="2578"/>
        <v>3.0000000000000001E-3</v>
      </c>
      <c r="EL608" s="217">
        <f t="shared" si="2578"/>
        <v>3.0000000000000001E-3</v>
      </c>
      <c r="EM608" s="38">
        <f t="shared" si="2579"/>
        <v>3.0000000000000001E-3</v>
      </c>
      <c r="EN608" s="38">
        <f t="shared" si="2579"/>
        <v>3.0000000000000001E-3</v>
      </c>
      <c r="EO608" s="217">
        <f t="shared" si="2579"/>
        <v>3.0000000000000001E-3</v>
      </c>
      <c r="EP608" s="38">
        <f t="shared" si="2579"/>
        <v>3.0000000000000001E-3</v>
      </c>
      <c r="EQ608" s="38">
        <f t="shared" si="2579"/>
        <v>3.0000000000000001E-3</v>
      </c>
      <c r="ER608" s="217">
        <f t="shared" si="2579"/>
        <v>3.0000000000000001E-3</v>
      </c>
      <c r="ES608" s="38">
        <f t="shared" si="2580"/>
        <v>3.0000000000000001E-3</v>
      </c>
      <c r="ET608" s="38">
        <f t="shared" si="2581"/>
        <v>3.0000000000000001E-3</v>
      </c>
      <c r="EU608" s="217">
        <f t="shared" si="2582"/>
        <v>3.0000000000000001E-3</v>
      </c>
      <c r="EV608" s="38">
        <f t="shared" si="2583"/>
        <v>3.0000000000000001E-3</v>
      </c>
      <c r="EW608" s="38">
        <f t="shared" si="2584"/>
        <v>3.0000000000000001E-3</v>
      </c>
      <c r="EX608" s="217">
        <f t="shared" si="2585"/>
        <v>3.0000000000000001E-3</v>
      </c>
      <c r="EY608" s="38">
        <f t="shared" si="2586"/>
        <v>3.0000000000000001E-3</v>
      </c>
      <c r="EZ608" s="38">
        <f t="shared" si="2587"/>
        <v>3.0000000000000001E-3</v>
      </c>
      <c r="FA608" s="217">
        <f t="shared" si="2588"/>
        <v>3.0000000000000001E-3</v>
      </c>
      <c r="FH608" s="35"/>
      <c r="FI608" s="35"/>
      <c r="FJ608" s="35"/>
      <c r="FK608" s="35"/>
      <c r="FL608" s="35"/>
      <c r="FM608" s="35"/>
      <c r="FN608" s="35"/>
      <c r="FO608" s="35"/>
      <c r="FP608" s="35"/>
      <c r="FQ608" s="35"/>
    </row>
    <row r="609" spans="1:173" s="321" customFormat="1" hidden="1" outlineLevel="1">
      <c r="A609" s="1168"/>
      <c r="B609" s="186"/>
      <c r="C609" s="186" t="s">
        <v>431</v>
      </c>
      <c r="D609" s="910"/>
      <c r="E609" s="1"/>
      <c r="F609" s="1"/>
      <c r="G609" s="5"/>
      <c r="H609" s="1"/>
      <c r="I609" s="1"/>
      <c r="J609" s="5"/>
      <c r="K609" s="1"/>
      <c r="L609" s="1"/>
      <c r="M609" s="5"/>
      <c r="N609" s="1"/>
      <c r="O609" s="1"/>
      <c r="P609" s="5"/>
      <c r="Q609" s="1"/>
      <c r="R609" s="1"/>
      <c r="S609" s="5"/>
      <c r="T609" s="1"/>
      <c r="U609" s="1"/>
      <c r="V609" s="5"/>
      <c r="W609" s="1"/>
      <c r="X609" s="1"/>
      <c r="Y609" s="5"/>
      <c r="Z609" s="1"/>
      <c r="AA609" s="1"/>
      <c r="AB609" s="5"/>
      <c r="AC609" s="1"/>
      <c r="AD609" s="1"/>
      <c r="AE609" s="5"/>
      <c r="AF609" s="1"/>
      <c r="AG609" s="1"/>
      <c r="AH609" s="5"/>
      <c r="AI609" s="1"/>
      <c r="AJ609" s="1"/>
      <c r="AK609" s="5"/>
      <c r="AL609" s="1"/>
      <c r="AM609" s="1"/>
      <c r="AN609" s="5"/>
      <c r="AO609" s="1"/>
      <c r="AP609" s="1"/>
      <c r="AQ609" s="5"/>
      <c r="AR609" s="1"/>
      <c r="AS609" s="1"/>
      <c r="AT609" s="5"/>
      <c r="AU609" s="186"/>
      <c r="AV609" s="184"/>
      <c r="AW609" s="184"/>
      <c r="AX609" s="214">
        <f>AX607</f>
        <v>3.0000000000000001E-3</v>
      </c>
      <c r="AY609" s="217">
        <f t="shared" ref="AY609:CD609" si="2592">AX609</f>
        <v>3.0000000000000001E-3</v>
      </c>
      <c r="AZ609" s="217">
        <f t="shared" si="2592"/>
        <v>3.0000000000000001E-3</v>
      </c>
      <c r="BA609" s="38">
        <f t="shared" si="2592"/>
        <v>3.0000000000000001E-3</v>
      </c>
      <c r="BB609" s="38">
        <f t="shared" si="2592"/>
        <v>3.0000000000000001E-3</v>
      </c>
      <c r="BC609" s="977">
        <f t="shared" si="2592"/>
        <v>3.0000000000000001E-3</v>
      </c>
      <c r="BD609" s="38">
        <f t="shared" si="2592"/>
        <v>3.0000000000000001E-3</v>
      </c>
      <c r="BE609" s="38">
        <f t="shared" si="2592"/>
        <v>3.0000000000000001E-3</v>
      </c>
      <c r="BF609" s="977">
        <f t="shared" si="2592"/>
        <v>3.0000000000000001E-3</v>
      </c>
      <c r="BG609" s="38">
        <f t="shared" si="2592"/>
        <v>3.0000000000000001E-3</v>
      </c>
      <c r="BH609" s="38">
        <f t="shared" si="2592"/>
        <v>3.0000000000000001E-3</v>
      </c>
      <c r="BI609" s="977">
        <f t="shared" si="2592"/>
        <v>3.0000000000000001E-3</v>
      </c>
      <c r="BJ609" s="136">
        <f t="shared" si="2592"/>
        <v>3.0000000000000001E-3</v>
      </c>
      <c r="BK609" s="136">
        <f t="shared" si="2592"/>
        <v>3.0000000000000001E-3</v>
      </c>
      <c r="BL609" s="142">
        <f t="shared" si="2592"/>
        <v>3.0000000000000001E-3</v>
      </c>
      <c r="BM609" s="136">
        <f t="shared" si="2592"/>
        <v>3.0000000000000001E-3</v>
      </c>
      <c r="BN609" s="136">
        <f t="shared" si="2592"/>
        <v>3.0000000000000001E-3</v>
      </c>
      <c r="BO609" s="142">
        <f t="shared" si="2592"/>
        <v>3.0000000000000001E-3</v>
      </c>
      <c r="BP609" s="136">
        <f t="shared" si="2592"/>
        <v>3.0000000000000001E-3</v>
      </c>
      <c r="BQ609" s="136">
        <f t="shared" si="2592"/>
        <v>3.0000000000000001E-3</v>
      </c>
      <c r="BR609" s="142">
        <f t="shared" si="2592"/>
        <v>3.0000000000000001E-3</v>
      </c>
      <c r="BS609" s="38">
        <f t="shared" si="2592"/>
        <v>3.0000000000000001E-3</v>
      </c>
      <c r="BT609" s="38">
        <f t="shared" si="2592"/>
        <v>3.0000000000000001E-3</v>
      </c>
      <c r="BU609" s="217">
        <f t="shared" si="2592"/>
        <v>3.0000000000000001E-3</v>
      </c>
      <c r="BV609" s="38">
        <f t="shared" si="2592"/>
        <v>3.0000000000000001E-3</v>
      </c>
      <c r="BW609" s="38">
        <f t="shared" si="2592"/>
        <v>3.0000000000000001E-3</v>
      </c>
      <c r="BX609" s="217">
        <f t="shared" si="2592"/>
        <v>3.0000000000000001E-3</v>
      </c>
      <c r="BY609" s="38">
        <f t="shared" si="2592"/>
        <v>3.0000000000000001E-3</v>
      </c>
      <c r="BZ609" s="38">
        <f t="shared" si="2592"/>
        <v>3.0000000000000001E-3</v>
      </c>
      <c r="CA609" s="217">
        <f t="shared" si="2592"/>
        <v>3.0000000000000001E-3</v>
      </c>
      <c r="CB609" s="38">
        <f t="shared" si="2592"/>
        <v>3.0000000000000001E-3</v>
      </c>
      <c r="CC609" s="38">
        <f t="shared" si="2592"/>
        <v>3.0000000000000001E-3</v>
      </c>
      <c r="CD609" s="217">
        <f t="shared" si="2592"/>
        <v>3.0000000000000001E-3</v>
      </c>
      <c r="CE609" s="38">
        <f t="shared" ref="CE609:DJ609" si="2593">CD609</f>
        <v>3.0000000000000001E-3</v>
      </c>
      <c r="CF609" s="38">
        <f t="shared" si="2593"/>
        <v>3.0000000000000001E-3</v>
      </c>
      <c r="CG609" s="217">
        <f t="shared" si="2593"/>
        <v>3.0000000000000001E-3</v>
      </c>
      <c r="CH609" s="38">
        <f t="shared" si="2593"/>
        <v>3.0000000000000001E-3</v>
      </c>
      <c r="CI609" s="38">
        <f t="shared" si="2593"/>
        <v>3.0000000000000001E-3</v>
      </c>
      <c r="CJ609" s="217">
        <f t="shared" si="2593"/>
        <v>3.0000000000000001E-3</v>
      </c>
      <c r="CK609" s="38">
        <f t="shared" si="2593"/>
        <v>3.0000000000000001E-3</v>
      </c>
      <c r="CL609" s="38">
        <f t="shared" si="2593"/>
        <v>3.0000000000000001E-3</v>
      </c>
      <c r="CM609" s="217">
        <f t="shared" si="2593"/>
        <v>3.0000000000000001E-3</v>
      </c>
      <c r="CN609" s="38">
        <f t="shared" si="2593"/>
        <v>3.0000000000000001E-3</v>
      </c>
      <c r="CO609" s="38">
        <f t="shared" si="2593"/>
        <v>3.0000000000000001E-3</v>
      </c>
      <c r="CP609" s="217">
        <f t="shared" si="2593"/>
        <v>3.0000000000000001E-3</v>
      </c>
      <c r="CQ609" s="38">
        <f t="shared" si="2593"/>
        <v>3.0000000000000001E-3</v>
      </c>
      <c r="CR609" s="38">
        <f t="shared" si="2593"/>
        <v>3.0000000000000001E-3</v>
      </c>
      <c r="CS609" s="217">
        <f t="shared" si="2593"/>
        <v>3.0000000000000001E-3</v>
      </c>
      <c r="CT609" s="38">
        <f t="shared" si="2593"/>
        <v>3.0000000000000001E-3</v>
      </c>
      <c r="CU609" s="38">
        <f t="shared" si="2593"/>
        <v>3.0000000000000001E-3</v>
      </c>
      <c r="CV609" s="217">
        <f t="shared" si="2593"/>
        <v>3.0000000000000001E-3</v>
      </c>
      <c r="CW609" s="38">
        <f t="shared" si="2593"/>
        <v>3.0000000000000001E-3</v>
      </c>
      <c r="CX609" s="38">
        <f t="shared" si="2593"/>
        <v>3.0000000000000001E-3</v>
      </c>
      <c r="CY609" s="217">
        <f t="shared" si="2593"/>
        <v>3.0000000000000001E-3</v>
      </c>
      <c r="CZ609" s="38">
        <f t="shared" si="2593"/>
        <v>3.0000000000000001E-3</v>
      </c>
      <c r="DA609" s="38">
        <f t="shared" si="2593"/>
        <v>3.0000000000000001E-3</v>
      </c>
      <c r="DB609" s="217">
        <f t="shared" si="2593"/>
        <v>3.0000000000000001E-3</v>
      </c>
      <c r="DC609" s="38">
        <f t="shared" si="2593"/>
        <v>3.0000000000000001E-3</v>
      </c>
      <c r="DD609" s="38">
        <f t="shared" si="2593"/>
        <v>3.0000000000000001E-3</v>
      </c>
      <c r="DE609" s="217">
        <f t="shared" si="2593"/>
        <v>3.0000000000000001E-3</v>
      </c>
      <c r="DF609" s="38">
        <f t="shared" si="2593"/>
        <v>3.0000000000000001E-3</v>
      </c>
      <c r="DG609" s="38">
        <f t="shared" si="2593"/>
        <v>3.0000000000000001E-3</v>
      </c>
      <c r="DH609" s="217">
        <f t="shared" si="2593"/>
        <v>3.0000000000000001E-3</v>
      </c>
      <c r="DI609" s="38">
        <f t="shared" si="2593"/>
        <v>3.0000000000000001E-3</v>
      </c>
      <c r="DJ609" s="38">
        <f t="shared" si="2593"/>
        <v>3.0000000000000001E-3</v>
      </c>
      <c r="DK609" s="217">
        <f t="shared" ref="DK609:EF609" si="2594">DJ609</f>
        <v>3.0000000000000001E-3</v>
      </c>
      <c r="DL609" s="38">
        <f>DK609</f>
        <v>3.0000000000000001E-3</v>
      </c>
      <c r="DM609" s="38">
        <f t="shared" si="2594"/>
        <v>3.0000000000000001E-3</v>
      </c>
      <c r="DN609" s="217">
        <f t="shared" si="2594"/>
        <v>3.0000000000000001E-3</v>
      </c>
      <c r="DO609" s="38">
        <f t="shared" si="2594"/>
        <v>3.0000000000000001E-3</v>
      </c>
      <c r="DP609" s="38">
        <f t="shared" si="2594"/>
        <v>3.0000000000000001E-3</v>
      </c>
      <c r="DQ609" s="217">
        <f t="shared" si="2594"/>
        <v>3.0000000000000001E-3</v>
      </c>
      <c r="DR609" s="38">
        <f t="shared" si="2594"/>
        <v>3.0000000000000001E-3</v>
      </c>
      <c r="DS609" s="38">
        <f t="shared" si="2594"/>
        <v>3.0000000000000001E-3</v>
      </c>
      <c r="DT609" s="217">
        <f t="shared" si="2594"/>
        <v>3.0000000000000001E-3</v>
      </c>
      <c r="DU609" s="38">
        <f t="shared" si="2594"/>
        <v>3.0000000000000001E-3</v>
      </c>
      <c r="DV609" s="38">
        <f t="shared" si="2594"/>
        <v>3.0000000000000001E-3</v>
      </c>
      <c r="DW609" s="217">
        <f t="shared" si="2594"/>
        <v>3.0000000000000001E-3</v>
      </c>
      <c r="DX609" s="38">
        <f t="shared" si="2594"/>
        <v>3.0000000000000001E-3</v>
      </c>
      <c r="DY609" s="38">
        <f t="shared" si="2594"/>
        <v>3.0000000000000001E-3</v>
      </c>
      <c r="DZ609" s="217">
        <f t="shared" si="2594"/>
        <v>3.0000000000000001E-3</v>
      </c>
      <c r="EA609" s="38">
        <f t="shared" si="2594"/>
        <v>3.0000000000000001E-3</v>
      </c>
      <c r="EB609" s="38">
        <f t="shared" si="2594"/>
        <v>3.0000000000000001E-3</v>
      </c>
      <c r="EC609" s="217">
        <f t="shared" si="2594"/>
        <v>3.0000000000000001E-3</v>
      </c>
      <c r="ED609" s="38">
        <f t="shared" si="2594"/>
        <v>3.0000000000000001E-3</v>
      </c>
      <c r="EE609" s="38">
        <f t="shared" si="2594"/>
        <v>3.0000000000000001E-3</v>
      </c>
      <c r="EF609" s="217">
        <f t="shared" si="2594"/>
        <v>3.0000000000000001E-3</v>
      </c>
      <c r="EG609" s="38">
        <f t="shared" si="2578"/>
        <v>3.0000000000000001E-3</v>
      </c>
      <c r="EH609" s="38">
        <f t="shared" si="2578"/>
        <v>3.0000000000000001E-3</v>
      </c>
      <c r="EI609" s="217">
        <f t="shared" si="2578"/>
        <v>3.0000000000000001E-3</v>
      </c>
      <c r="EJ609" s="38">
        <f t="shared" si="2578"/>
        <v>3.0000000000000001E-3</v>
      </c>
      <c r="EK609" s="38">
        <f t="shared" si="2578"/>
        <v>3.0000000000000001E-3</v>
      </c>
      <c r="EL609" s="217">
        <f t="shared" si="2578"/>
        <v>3.0000000000000001E-3</v>
      </c>
      <c r="EM609" s="38">
        <f t="shared" si="2579"/>
        <v>3.0000000000000001E-3</v>
      </c>
      <c r="EN609" s="38">
        <f t="shared" si="2579"/>
        <v>3.0000000000000001E-3</v>
      </c>
      <c r="EO609" s="217">
        <f t="shared" si="2579"/>
        <v>3.0000000000000001E-3</v>
      </c>
      <c r="EP609" s="38">
        <f t="shared" si="2579"/>
        <v>3.0000000000000001E-3</v>
      </c>
      <c r="EQ609" s="38">
        <f t="shared" si="2579"/>
        <v>3.0000000000000001E-3</v>
      </c>
      <c r="ER609" s="217">
        <f t="shared" si="2579"/>
        <v>3.0000000000000001E-3</v>
      </c>
      <c r="ES609" s="38">
        <f t="shared" si="2580"/>
        <v>3.0000000000000001E-3</v>
      </c>
      <c r="ET609" s="38">
        <f t="shared" si="2581"/>
        <v>3.0000000000000001E-3</v>
      </c>
      <c r="EU609" s="217">
        <f t="shared" si="2582"/>
        <v>3.0000000000000001E-3</v>
      </c>
      <c r="EV609" s="38">
        <f t="shared" si="2583"/>
        <v>3.0000000000000001E-3</v>
      </c>
      <c r="EW609" s="38">
        <f t="shared" si="2584"/>
        <v>3.0000000000000001E-3</v>
      </c>
      <c r="EX609" s="217">
        <f t="shared" si="2585"/>
        <v>3.0000000000000001E-3</v>
      </c>
      <c r="EY609" s="38">
        <f t="shared" si="2586"/>
        <v>3.0000000000000001E-3</v>
      </c>
      <c r="EZ609" s="38">
        <f t="shared" si="2587"/>
        <v>3.0000000000000001E-3</v>
      </c>
      <c r="FA609" s="217">
        <f t="shared" si="2588"/>
        <v>3.0000000000000001E-3</v>
      </c>
      <c r="FH609" s="35"/>
      <c r="FI609" s="35"/>
      <c r="FJ609" s="35"/>
      <c r="FK609" s="35"/>
      <c r="FL609" s="35"/>
      <c r="FM609" s="35"/>
      <c r="FN609" s="35"/>
      <c r="FO609" s="35"/>
      <c r="FP609" s="35"/>
      <c r="FQ609" s="35"/>
    </row>
    <row r="610" spans="1:173" s="321" customFormat="1" hidden="1" outlineLevel="1">
      <c r="A610" s="1168"/>
      <c r="B610" s="186"/>
      <c r="C610" s="186" t="s">
        <v>327</v>
      </c>
      <c r="D610" s="910"/>
      <c r="E610" s="1"/>
      <c r="F610" s="1"/>
      <c r="G610" s="5"/>
      <c r="H610" s="1"/>
      <c r="I610" s="1"/>
      <c r="J610" s="5"/>
      <c r="K610" s="1"/>
      <c r="L610" s="1"/>
      <c r="M610" s="5"/>
      <c r="N610" s="1"/>
      <c r="O610" s="1"/>
      <c r="P610" s="5"/>
      <c r="Q610" s="1"/>
      <c r="R610" s="1"/>
      <c r="S610" s="5"/>
      <c r="T610" s="1"/>
      <c r="U610" s="1"/>
      <c r="V610" s="5"/>
      <c r="W610" s="1"/>
      <c r="X610" s="1"/>
      <c r="Y610" s="5"/>
      <c r="Z610" s="1"/>
      <c r="AA610" s="1"/>
      <c r="AB610" s="5"/>
      <c r="AC610" s="1"/>
      <c r="AD610" s="1"/>
      <c r="AE610" s="5"/>
      <c r="AF610" s="1"/>
      <c r="AG610" s="1"/>
      <c r="AH610" s="5"/>
      <c r="AI610" s="1"/>
      <c r="AJ610" s="1"/>
      <c r="AK610" s="5"/>
      <c r="AL610" s="1"/>
      <c r="AM610" s="1"/>
      <c r="AN610" s="5"/>
      <c r="AO610" s="1"/>
      <c r="AP610" s="1"/>
      <c r="AQ610" s="5"/>
      <c r="AR610" s="1"/>
      <c r="AS610" s="1"/>
      <c r="AT610" s="5"/>
      <c r="AU610" s="186"/>
      <c r="AV610" s="184"/>
      <c r="AW610" s="184"/>
      <c r="AX610" s="214">
        <f>AX607</f>
        <v>3.0000000000000001E-3</v>
      </c>
      <c r="AY610" s="217">
        <f t="shared" ref="AY610:CD610" si="2595">AX610</f>
        <v>3.0000000000000001E-3</v>
      </c>
      <c r="AZ610" s="217">
        <f t="shared" si="2595"/>
        <v>3.0000000000000001E-3</v>
      </c>
      <c r="BA610" s="38">
        <f t="shared" si="2595"/>
        <v>3.0000000000000001E-3</v>
      </c>
      <c r="BB610" s="38">
        <f t="shared" si="2595"/>
        <v>3.0000000000000001E-3</v>
      </c>
      <c r="BC610" s="977">
        <f t="shared" si="2595"/>
        <v>3.0000000000000001E-3</v>
      </c>
      <c r="BD610" s="38">
        <f t="shared" si="2595"/>
        <v>3.0000000000000001E-3</v>
      </c>
      <c r="BE610" s="38">
        <f t="shared" si="2595"/>
        <v>3.0000000000000001E-3</v>
      </c>
      <c r="BF610" s="977">
        <f t="shared" si="2595"/>
        <v>3.0000000000000001E-3</v>
      </c>
      <c r="BG610" s="38">
        <f t="shared" si="2595"/>
        <v>3.0000000000000001E-3</v>
      </c>
      <c r="BH610" s="38">
        <f t="shared" si="2595"/>
        <v>3.0000000000000001E-3</v>
      </c>
      <c r="BI610" s="977">
        <f t="shared" si="2595"/>
        <v>3.0000000000000001E-3</v>
      </c>
      <c r="BJ610" s="136">
        <f t="shared" si="2595"/>
        <v>3.0000000000000001E-3</v>
      </c>
      <c r="BK610" s="136">
        <f t="shared" si="2595"/>
        <v>3.0000000000000001E-3</v>
      </c>
      <c r="BL610" s="142">
        <f t="shared" si="2595"/>
        <v>3.0000000000000001E-3</v>
      </c>
      <c r="BM610" s="136">
        <f t="shared" si="2595"/>
        <v>3.0000000000000001E-3</v>
      </c>
      <c r="BN610" s="136">
        <f t="shared" si="2595"/>
        <v>3.0000000000000001E-3</v>
      </c>
      <c r="BO610" s="142">
        <f t="shared" si="2595"/>
        <v>3.0000000000000001E-3</v>
      </c>
      <c r="BP610" s="136">
        <f t="shared" si="2595"/>
        <v>3.0000000000000001E-3</v>
      </c>
      <c r="BQ610" s="136">
        <f t="shared" si="2595"/>
        <v>3.0000000000000001E-3</v>
      </c>
      <c r="BR610" s="142">
        <f t="shared" si="2595"/>
        <v>3.0000000000000001E-3</v>
      </c>
      <c r="BS610" s="38">
        <f t="shared" si="2595"/>
        <v>3.0000000000000001E-3</v>
      </c>
      <c r="BT610" s="38">
        <f t="shared" si="2595"/>
        <v>3.0000000000000001E-3</v>
      </c>
      <c r="BU610" s="217">
        <f t="shared" si="2595"/>
        <v>3.0000000000000001E-3</v>
      </c>
      <c r="BV610" s="38">
        <f t="shared" si="2595"/>
        <v>3.0000000000000001E-3</v>
      </c>
      <c r="BW610" s="38">
        <f t="shared" si="2595"/>
        <v>3.0000000000000001E-3</v>
      </c>
      <c r="BX610" s="217">
        <f t="shared" si="2595"/>
        <v>3.0000000000000001E-3</v>
      </c>
      <c r="BY610" s="38">
        <f t="shared" si="2595"/>
        <v>3.0000000000000001E-3</v>
      </c>
      <c r="BZ610" s="38">
        <f t="shared" si="2595"/>
        <v>3.0000000000000001E-3</v>
      </c>
      <c r="CA610" s="217">
        <f t="shared" si="2595"/>
        <v>3.0000000000000001E-3</v>
      </c>
      <c r="CB610" s="38">
        <f t="shared" si="2595"/>
        <v>3.0000000000000001E-3</v>
      </c>
      <c r="CC610" s="38">
        <f t="shared" si="2595"/>
        <v>3.0000000000000001E-3</v>
      </c>
      <c r="CD610" s="217">
        <f t="shared" si="2595"/>
        <v>3.0000000000000001E-3</v>
      </c>
      <c r="CE610" s="38">
        <f t="shared" ref="CE610:DJ610" si="2596">CD610</f>
        <v>3.0000000000000001E-3</v>
      </c>
      <c r="CF610" s="38">
        <f t="shared" si="2596"/>
        <v>3.0000000000000001E-3</v>
      </c>
      <c r="CG610" s="217">
        <f t="shared" si="2596"/>
        <v>3.0000000000000001E-3</v>
      </c>
      <c r="CH610" s="38">
        <f t="shared" si="2596"/>
        <v>3.0000000000000001E-3</v>
      </c>
      <c r="CI610" s="38">
        <f t="shared" si="2596"/>
        <v>3.0000000000000001E-3</v>
      </c>
      <c r="CJ610" s="217">
        <f t="shared" si="2596"/>
        <v>3.0000000000000001E-3</v>
      </c>
      <c r="CK610" s="38">
        <f t="shared" si="2596"/>
        <v>3.0000000000000001E-3</v>
      </c>
      <c r="CL610" s="38">
        <f t="shared" si="2596"/>
        <v>3.0000000000000001E-3</v>
      </c>
      <c r="CM610" s="217">
        <f t="shared" si="2596"/>
        <v>3.0000000000000001E-3</v>
      </c>
      <c r="CN610" s="38">
        <f t="shared" si="2596"/>
        <v>3.0000000000000001E-3</v>
      </c>
      <c r="CO610" s="38">
        <f t="shared" si="2596"/>
        <v>3.0000000000000001E-3</v>
      </c>
      <c r="CP610" s="217">
        <f t="shared" si="2596"/>
        <v>3.0000000000000001E-3</v>
      </c>
      <c r="CQ610" s="38">
        <f t="shared" si="2596"/>
        <v>3.0000000000000001E-3</v>
      </c>
      <c r="CR610" s="38">
        <f t="shared" si="2596"/>
        <v>3.0000000000000001E-3</v>
      </c>
      <c r="CS610" s="217">
        <f t="shared" si="2596"/>
        <v>3.0000000000000001E-3</v>
      </c>
      <c r="CT610" s="38">
        <f t="shared" si="2596"/>
        <v>3.0000000000000001E-3</v>
      </c>
      <c r="CU610" s="38">
        <f t="shared" si="2596"/>
        <v>3.0000000000000001E-3</v>
      </c>
      <c r="CV610" s="217">
        <f t="shared" si="2596"/>
        <v>3.0000000000000001E-3</v>
      </c>
      <c r="CW610" s="38">
        <f t="shared" si="2596"/>
        <v>3.0000000000000001E-3</v>
      </c>
      <c r="CX610" s="38">
        <f t="shared" si="2596"/>
        <v>3.0000000000000001E-3</v>
      </c>
      <c r="CY610" s="217">
        <f t="shared" si="2596"/>
        <v>3.0000000000000001E-3</v>
      </c>
      <c r="CZ610" s="38">
        <f t="shared" si="2596"/>
        <v>3.0000000000000001E-3</v>
      </c>
      <c r="DA610" s="38">
        <f t="shared" si="2596"/>
        <v>3.0000000000000001E-3</v>
      </c>
      <c r="DB610" s="217">
        <f t="shared" si="2596"/>
        <v>3.0000000000000001E-3</v>
      </c>
      <c r="DC610" s="38">
        <f t="shared" si="2596"/>
        <v>3.0000000000000001E-3</v>
      </c>
      <c r="DD610" s="38">
        <f t="shared" si="2596"/>
        <v>3.0000000000000001E-3</v>
      </c>
      <c r="DE610" s="217">
        <f t="shared" si="2596"/>
        <v>3.0000000000000001E-3</v>
      </c>
      <c r="DF610" s="38">
        <f t="shared" si="2596"/>
        <v>3.0000000000000001E-3</v>
      </c>
      <c r="DG610" s="38">
        <f t="shared" si="2596"/>
        <v>3.0000000000000001E-3</v>
      </c>
      <c r="DH610" s="217">
        <f t="shared" si="2596"/>
        <v>3.0000000000000001E-3</v>
      </c>
      <c r="DI610" s="38">
        <f t="shared" si="2596"/>
        <v>3.0000000000000001E-3</v>
      </c>
      <c r="DJ610" s="38">
        <f t="shared" si="2596"/>
        <v>3.0000000000000001E-3</v>
      </c>
      <c r="DK610" s="217">
        <f t="shared" ref="DK610:EF610" si="2597">DJ610</f>
        <v>3.0000000000000001E-3</v>
      </c>
      <c r="DL610" s="38">
        <f>DK610</f>
        <v>3.0000000000000001E-3</v>
      </c>
      <c r="DM610" s="38">
        <f t="shared" si="2597"/>
        <v>3.0000000000000001E-3</v>
      </c>
      <c r="DN610" s="217">
        <f t="shared" si="2597"/>
        <v>3.0000000000000001E-3</v>
      </c>
      <c r="DO610" s="38">
        <f t="shared" si="2597"/>
        <v>3.0000000000000001E-3</v>
      </c>
      <c r="DP610" s="38">
        <f t="shared" si="2597"/>
        <v>3.0000000000000001E-3</v>
      </c>
      <c r="DQ610" s="217">
        <f t="shared" si="2597"/>
        <v>3.0000000000000001E-3</v>
      </c>
      <c r="DR610" s="38">
        <f t="shared" si="2597"/>
        <v>3.0000000000000001E-3</v>
      </c>
      <c r="DS610" s="38">
        <f t="shared" si="2597"/>
        <v>3.0000000000000001E-3</v>
      </c>
      <c r="DT610" s="217">
        <f t="shared" si="2597"/>
        <v>3.0000000000000001E-3</v>
      </c>
      <c r="DU610" s="38">
        <f t="shared" si="2597"/>
        <v>3.0000000000000001E-3</v>
      </c>
      <c r="DV610" s="38">
        <f t="shared" si="2597"/>
        <v>3.0000000000000001E-3</v>
      </c>
      <c r="DW610" s="217">
        <f t="shared" si="2597"/>
        <v>3.0000000000000001E-3</v>
      </c>
      <c r="DX610" s="38">
        <f t="shared" si="2597"/>
        <v>3.0000000000000001E-3</v>
      </c>
      <c r="DY610" s="38">
        <f t="shared" si="2597"/>
        <v>3.0000000000000001E-3</v>
      </c>
      <c r="DZ610" s="217">
        <f t="shared" si="2597"/>
        <v>3.0000000000000001E-3</v>
      </c>
      <c r="EA610" s="38">
        <f t="shared" si="2597"/>
        <v>3.0000000000000001E-3</v>
      </c>
      <c r="EB610" s="38">
        <f t="shared" si="2597"/>
        <v>3.0000000000000001E-3</v>
      </c>
      <c r="EC610" s="217">
        <f t="shared" si="2597"/>
        <v>3.0000000000000001E-3</v>
      </c>
      <c r="ED610" s="38">
        <f t="shared" si="2597"/>
        <v>3.0000000000000001E-3</v>
      </c>
      <c r="EE610" s="38">
        <f t="shared" si="2597"/>
        <v>3.0000000000000001E-3</v>
      </c>
      <c r="EF610" s="217">
        <f t="shared" si="2597"/>
        <v>3.0000000000000001E-3</v>
      </c>
      <c r="EG610" s="38">
        <f t="shared" si="2578"/>
        <v>3.0000000000000001E-3</v>
      </c>
      <c r="EH610" s="38">
        <f t="shared" si="2578"/>
        <v>3.0000000000000001E-3</v>
      </c>
      <c r="EI610" s="217">
        <f t="shared" si="2578"/>
        <v>3.0000000000000001E-3</v>
      </c>
      <c r="EJ610" s="38">
        <f t="shared" si="2578"/>
        <v>3.0000000000000001E-3</v>
      </c>
      <c r="EK610" s="38">
        <f t="shared" si="2578"/>
        <v>3.0000000000000001E-3</v>
      </c>
      <c r="EL610" s="217">
        <f t="shared" si="2578"/>
        <v>3.0000000000000001E-3</v>
      </c>
      <c r="EM610" s="38">
        <f t="shared" si="2579"/>
        <v>3.0000000000000001E-3</v>
      </c>
      <c r="EN610" s="38">
        <f t="shared" si="2579"/>
        <v>3.0000000000000001E-3</v>
      </c>
      <c r="EO610" s="217">
        <f t="shared" si="2579"/>
        <v>3.0000000000000001E-3</v>
      </c>
      <c r="EP610" s="38">
        <f t="shared" si="2579"/>
        <v>3.0000000000000001E-3</v>
      </c>
      <c r="EQ610" s="38">
        <f t="shared" si="2579"/>
        <v>3.0000000000000001E-3</v>
      </c>
      <c r="ER610" s="217">
        <f t="shared" si="2579"/>
        <v>3.0000000000000001E-3</v>
      </c>
      <c r="ES610" s="38">
        <f t="shared" si="2580"/>
        <v>3.0000000000000001E-3</v>
      </c>
      <c r="ET610" s="38">
        <f t="shared" si="2581"/>
        <v>3.0000000000000001E-3</v>
      </c>
      <c r="EU610" s="217">
        <f t="shared" si="2582"/>
        <v>3.0000000000000001E-3</v>
      </c>
      <c r="EV610" s="38">
        <f t="shared" si="2583"/>
        <v>3.0000000000000001E-3</v>
      </c>
      <c r="EW610" s="38">
        <f t="shared" si="2584"/>
        <v>3.0000000000000001E-3</v>
      </c>
      <c r="EX610" s="217">
        <f t="shared" si="2585"/>
        <v>3.0000000000000001E-3</v>
      </c>
      <c r="EY610" s="38">
        <f t="shared" si="2586"/>
        <v>3.0000000000000001E-3</v>
      </c>
      <c r="EZ610" s="38">
        <f t="shared" si="2587"/>
        <v>3.0000000000000001E-3</v>
      </c>
      <c r="FA610" s="217">
        <f t="shared" si="2588"/>
        <v>3.0000000000000001E-3</v>
      </c>
      <c r="FH610" s="35"/>
      <c r="FI610" s="35"/>
      <c r="FJ610" s="35"/>
      <c r="FK610" s="35"/>
      <c r="FL610" s="35"/>
      <c r="FM610" s="35"/>
      <c r="FN610" s="35"/>
      <c r="FO610" s="35"/>
      <c r="FP610" s="35"/>
      <c r="FQ610" s="35"/>
    </row>
    <row r="611" spans="1:173" s="321" customFormat="1" hidden="1" outlineLevel="1">
      <c r="A611" s="1168"/>
      <c r="B611" s="186"/>
      <c r="C611" s="186"/>
      <c r="D611" s="910"/>
      <c r="E611" s="1"/>
      <c r="F611" s="1"/>
      <c r="G611" s="5"/>
      <c r="H611" s="1"/>
      <c r="I611" s="1"/>
      <c r="J611" s="5"/>
      <c r="K611" s="1"/>
      <c r="L611" s="1"/>
      <c r="M611" s="5"/>
      <c r="N611" s="1"/>
      <c r="O611" s="1"/>
      <c r="P611" s="5"/>
      <c r="Q611" s="1"/>
      <c r="R611" s="1"/>
      <c r="S611" s="5"/>
      <c r="T611" s="1"/>
      <c r="U611" s="1"/>
      <c r="V611" s="5"/>
      <c r="W611" s="1"/>
      <c r="X611" s="1"/>
      <c r="Y611" s="5"/>
      <c r="Z611" s="1"/>
      <c r="AA611" s="1"/>
      <c r="AB611" s="5"/>
      <c r="AC611" s="1"/>
      <c r="AD611" s="1"/>
      <c r="AE611" s="5"/>
      <c r="AF611" s="1"/>
      <c r="AG611" s="1"/>
      <c r="AH611" s="5"/>
      <c r="AI611" s="1"/>
      <c r="AJ611" s="1"/>
      <c r="AK611" s="5"/>
      <c r="AL611" s="1"/>
      <c r="AM611" s="1"/>
      <c r="AN611" s="5"/>
      <c r="AO611" s="1"/>
      <c r="AP611" s="1"/>
      <c r="AQ611" s="5"/>
      <c r="AR611" s="1"/>
      <c r="AS611" s="1"/>
      <c r="AT611" s="5"/>
      <c r="AU611" s="186"/>
      <c r="AV611" s="184"/>
      <c r="AW611" s="184"/>
      <c r="AX611" s="184"/>
      <c r="AY611" s="217"/>
      <c r="AZ611" s="217"/>
      <c r="BA611" s="38"/>
      <c r="BB611" s="38"/>
      <c r="BC611" s="977"/>
      <c r="BD611" s="38"/>
      <c r="BE611" s="38"/>
      <c r="BF611" s="977"/>
      <c r="BG611" s="38"/>
      <c r="BH611" s="38"/>
      <c r="BI611" s="977"/>
      <c r="BJ611" s="136"/>
      <c r="BK611" s="136"/>
      <c r="BL611" s="142"/>
      <c r="BM611" s="136"/>
      <c r="BN611" s="136"/>
      <c r="BO611" s="142"/>
      <c r="BP611" s="136"/>
      <c r="BQ611" s="136"/>
      <c r="BR611" s="142"/>
      <c r="BS611" s="38"/>
      <c r="BT611" s="38"/>
      <c r="BU611" s="217"/>
      <c r="BV611" s="38"/>
      <c r="BW611" s="38"/>
      <c r="BX611" s="217"/>
      <c r="BY611" s="38"/>
      <c r="BZ611" s="38"/>
      <c r="CA611" s="217"/>
      <c r="CB611" s="38"/>
      <c r="CC611" s="38"/>
      <c r="CD611" s="217"/>
      <c r="CE611" s="38"/>
      <c r="CF611" s="38"/>
      <c r="CG611" s="217"/>
      <c r="CH611" s="38"/>
      <c r="CI611" s="38"/>
      <c r="CJ611" s="217"/>
      <c r="CK611" s="38"/>
      <c r="CL611" s="38"/>
      <c r="CM611" s="217"/>
      <c r="CN611" s="38"/>
      <c r="CO611" s="38"/>
      <c r="CP611" s="217"/>
      <c r="CQ611" s="38"/>
      <c r="CR611" s="38"/>
      <c r="CS611" s="217"/>
      <c r="CT611" s="38"/>
      <c r="CU611" s="38"/>
      <c r="CV611" s="217"/>
      <c r="CW611" s="38"/>
      <c r="CX611" s="38"/>
      <c r="CY611" s="217"/>
      <c r="CZ611" s="38"/>
      <c r="DA611" s="38"/>
      <c r="DB611" s="217"/>
      <c r="DC611" s="38"/>
      <c r="DD611" s="38"/>
      <c r="DE611" s="217"/>
      <c r="DF611" s="38"/>
      <c r="DG611" s="38"/>
      <c r="DH611" s="217"/>
      <c r="DI611" s="38"/>
      <c r="DJ611" s="38"/>
      <c r="DK611" s="217"/>
      <c r="DL611" s="38"/>
      <c r="DM611" s="38"/>
      <c r="DN611" s="217"/>
      <c r="DO611" s="38"/>
      <c r="DP611" s="38"/>
      <c r="DQ611" s="217"/>
      <c r="DR611" s="38"/>
      <c r="DS611" s="38"/>
      <c r="DT611" s="217"/>
      <c r="DU611" s="38"/>
      <c r="DV611" s="38"/>
      <c r="DW611" s="217"/>
      <c r="DX611" s="38"/>
      <c r="DY611" s="38"/>
      <c r="DZ611" s="217"/>
      <c r="EA611" s="38"/>
      <c r="EB611" s="38"/>
      <c r="EC611" s="217"/>
      <c r="ED611" s="38"/>
      <c r="EE611" s="38"/>
      <c r="EF611" s="217"/>
      <c r="EG611" s="38"/>
      <c r="EH611" s="38"/>
      <c r="EI611" s="217"/>
      <c r="EJ611" s="38"/>
      <c r="EK611" s="38"/>
      <c r="EL611" s="217"/>
      <c r="EM611" s="38"/>
      <c r="EN611" s="38"/>
      <c r="EO611" s="217"/>
      <c r="EP611" s="38"/>
      <c r="EQ611" s="38"/>
      <c r="ER611" s="217"/>
      <c r="ES611" s="38"/>
      <c r="ET611" s="38"/>
      <c r="EU611" s="217"/>
      <c r="EV611" s="38"/>
      <c r="EW611" s="38"/>
      <c r="EX611" s="217"/>
      <c r="EY611" s="38"/>
      <c r="EZ611" s="38"/>
      <c r="FA611" s="217"/>
      <c r="FH611" s="35"/>
      <c r="FI611" s="35"/>
      <c r="FJ611" s="35"/>
      <c r="FK611" s="35"/>
      <c r="FL611" s="35"/>
      <c r="FM611" s="35"/>
      <c r="FN611" s="35"/>
      <c r="FO611" s="35"/>
      <c r="FP611" s="35"/>
      <c r="FQ611" s="35"/>
    </row>
    <row r="612" spans="1:173" s="321" customFormat="1" hidden="1" outlineLevel="1">
      <c r="A612" s="1168"/>
      <c r="B612" s="186"/>
      <c r="C612" s="331" t="s">
        <v>342</v>
      </c>
      <c r="D612" s="910"/>
      <c r="E612" s="1"/>
      <c r="F612" s="1"/>
      <c r="G612" s="5"/>
      <c r="H612" s="1"/>
      <c r="I612" s="1"/>
      <c r="J612" s="5"/>
      <c r="K612" s="1"/>
      <c r="L612" s="1"/>
      <c r="M612" s="5"/>
      <c r="N612" s="1"/>
      <c r="O612" s="1"/>
      <c r="P612" s="5"/>
      <c r="Q612" s="1"/>
      <c r="R612" s="1"/>
      <c r="S612" s="5"/>
      <c r="T612" s="1"/>
      <c r="U612" s="1"/>
      <c r="V612" s="5"/>
      <c r="W612" s="1"/>
      <c r="X612" s="1"/>
      <c r="Y612" s="5"/>
      <c r="Z612" s="1"/>
      <c r="AA612" s="1"/>
      <c r="AB612" s="5"/>
      <c r="AC612" s="1"/>
      <c r="AD612" s="1"/>
      <c r="AE612" s="5"/>
      <c r="AF612" s="1"/>
      <c r="AG612" s="1"/>
      <c r="AH612" s="5"/>
      <c r="AI612" s="1"/>
      <c r="AJ612" s="1"/>
      <c r="AK612" s="5"/>
      <c r="AL612" s="1"/>
      <c r="AM612" s="1"/>
      <c r="AN612" s="5"/>
      <c r="AO612" s="1"/>
      <c r="AP612" s="1"/>
      <c r="AQ612" s="5"/>
      <c r="AR612" s="1"/>
      <c r="AS612" s="1"/>
      <c r="AT612" s="5"/>
      <c r="AU612" s="206"/>
      <c r="AV612" s="206"/>
      <c r="AW612" s="206"/>
      <c r="AX612" s="184"/>
      <c r="AY612" s="217"/>
      <c r="AZ612" s="217"/>
      <c r="BA612" s="38"/>
      <c r="BB612" s="38"/>
      <c r="BC612" s="977"/>
      <c r="BD612" s="38"/>
      <c r="BE612" s="38"/>
      <c r="BF612" s="977"/>
      <c r="BG612" s="38"/>
      <c r="BH612" s="38"/>
      <c r="BI612" s="977"/>
      <c r="BJ612" s="136"/>
      <c r="BK612" s="136"/>
      <c r="BL612" s="142"/>
      <c r="BM612" s="136"/>
      <c r="BN612" s="136"/>
      <c r="BO612" s="142"/>
      <c r="BP612" s="136"/>
      <c r="BQ612" s="136"/>
      <c r="BR612" s="142"/>
      <c r="BS612" s="38"/>
      <c r="BT612" s="38"/>
      <c r="BU612" s="217"/>
      <c r="BV612" s="38"/>
      <c r="BW612" s="38"/>
      <c r="BX612" s="217"/>
      <c r="BY612" s="38"/>
      <c r="BZ612" s="38"/>
      <c r="CA612" s="217"/>
      <c r="CB612" s="38"/>
      <c r="CC612" s="38"/>
      <c r="CD612" s="217"/>
      <c r="CE612" s="38"/>
      <c r="CF612" s="38"/>
      <c r="CG612" s="217"/>
      <c r="CH612" s="38"/>
      <c r="CI612" s="38"/>
      <c r="CJ612" s="217"/>
      <c r="CK612" s="38"/>
      <c r="CL612" s="38"/>
      <c r="CM612" s="217"/>
      <c r="CN612" s="38"/>
      <c r="CO612" s="38"/>
      <c r="CP612" s="217"/>
      <c r="CQ612" s="38"/>
      <c r="CR612" s="38"/>
      <c r="CS612" s="217"/>
      <c r="CT612" s="38"/>
      <c r="CU612" s="38"/>
      <c r="CV612" s="217"/>
      <c r="CW612" s="38"/>
      <c r="CX612" s="38"/>
      <c r="CY612" s="217"/>
      <c r="CZ612" s="38"/>
      <c r="DA612" s="38"/>
      <c r="DB612" s="217"/>
      <c r="DC612" s="38"/>
      <c r="DD612" s="38"/>
      <c r="DE612" s="217"/>
      <c r="DF612" s="38"/>
      <c r="DG612" s="38"/>
      <c r="DH612" s="217"/>
      <c r="DI612" s="38"/>
      <c r="DJ612" s="38"/>
      <c r="DK612" s="217"/>
      <c r="DL612" s="38"/>
      <c r="DM612" s="38"/>
      <c r="DN612" s="217"/>
      <c r="DO612" s="38"/>
      <c r="DP612" s="38"/>
      <c r="DQ612" s="217"/>
      <c r="DR612" s="38"/>
      <c r="DS612" s="38"/>
      <c r="DT612" s="217"/>
      <c r="DU612" s="38"/>
      <c r="DV612" s="38"/>
      <c r="DW612" s="217"/>
      <c r="DX612" s="38"/>
      <c r="DY612" s="38"/>
      <c r="DZ612" s="217"/>
      <c r="EA612" s="38"/>
      <c r="EB612" s="38"/>
      <c r="EC612" s="217"/>
      <c r="ED612" s="38"/>
      <c r="EE612" s="38"/>
      <c r="EF612" s="217"/>
      <c r="EG612" s="38"/>
      <c r="EH612" s="38"/>
      <c r="EI612" s="217"/>
      <c r="EJ612" s="38"/>
      <c r="EK612" s="38"/>
      <c r="EL612" s="217"/>
      <c r="EM612" s="38"/>
      <c r="EN612" s="38"/>
      <c r="EO612" s="217"/>
      <c r="EP612" s="38"/>
      <c r="EQ612" s="38"/>
      <c r="ER612" s="217"/>
      <c r="ES612" s="38"/>
      <c r="ET612" s="38"/>
      <c r="EU612" s="217"/>
      <c r="EV612" s="38"/>
      <c r="EW612" s="38"/>
      <c r="EX612" s="217"/>
      <c r="EY612" s="38"/>
      <c r="EZ612" s="38"/>
      <c r="FA612" s="217"/>
      <c r="FH612" s="35"/>
      <c r="FI612" s="35"/>
      <c r="FJ612" s="35"/>
      <c r="FK612" s="35"/>
      <c r="FL612" s="35"/>
      <c r="FM612" s="35"/>
      <c r="FN612" s="35"/>
      <c r="FO612" s="35"/>
      <c r="FP612" s="35"/>
      <c r="FQ612" s="35"/>
    </row>
    <row r="613" spans="1:173" s="321" customFormat="1" hidden="1" outlineLevel="1">
      <c r="A613" s="1168"/>
      <c r="B613" s="186"/>
      <c r="C613" s="186" t="s">
        <v>316</v>
      </c>
      <c r="D613" s="910"/>
      <c r="E613" s="1"/>
      <c r="F613" s="1"/>
      <c r="G613" s="5"/>
      <c r="H613" s="1"/>
      <c r="I613" s="1"/>
      <c r="J613" s="5"/>
      <c r="K613" s="1"/>
      <c r="L613" s="1"/>
      <c r="M613" s="5"/>
      <c r="N613" s="1"/>
      <c r="O613" s="1"/>
      <c r="P613" s="5"/>
      <c r="Q613" s="1"/>
      <c r="R613" s="1"/>
      <c r="S613" s="5"/>
      <c r="T613" s="1"/>
      <c r="U613" s="1"/>
      <c r="V613" s="5"/>
      <c r="W613" s="1"/>
      <c r="X613" s="1"/>
      <c r="Y613" s="5"/>
      <c r="Z613" s="1"/>
      <c r="AA613" s="1"/>
      <c r="AB613" s="5"/>
      <c r="AC613" s="1"/>
      <c r="AD613" s="1"/>
      <c r="AE613" s="5"/>
      <c r="AF613" s="1"/>
      <c r="AG613" s="1"/>
      <c r="AH613" s="5"/>
      <c r="AI613" s="1"/>
      <c r="AJ613" s="1"/>
      <c r="AK613" s="5"/>
      <c r="AL613" s="1"/>
      <c r="AM613" s="1"/>
      <c r="AN613" s="5"/>
      <c r="AO613" s="1"/>
      <c r="AP613" s="1"/>
      <c r="AQ613" s="5"/>
      <c r="AR613" s="1"/>
      <c r="AS613" s="1"/>
      <c r="AT613" s="5"/>
      <c r="AU613" s="1"/>
      <c r="AV613" s="1"/>
      <c r="AW613" s="5"/>
      <c r="AX613" s="214">
        <v>3.0000000000000001E-3</v>
      </c>
      <c r="AY613" s="217">
        <f t="shared" ref="AY613:CD613" si="2598">AX613</f>
        <v>3.0000000000000001E-3</v>
      </c>
      <c r="AZ613" s="217">
        <f t="shared" si="2598"/>
        <v>3.0000000000000001E-3</v>
      </c>
      <c r="BA613" s="38">
        <f t="shared" si="2598"/>
        <v>3.0000000000000001E-3</v>
      </c>
      <c r="BB613" s="38">
        <f t="shared" si="2598"/>
        <v>3.0000000000000001E-3</v>
      </c>
      <c r="BC613" s="977">
        <f t="shared" si="2598"/>
        <v>3.0000000000000001E-3</v>
      </c>
      <c r="BD613" s="38">
        <f t="shared" si="2598"/>
        <v>3.0000000000000001E-3</v>
      </c>
      <c r="BE613" s="38">
        <f t="shared" si="2598"/>
        <v>3.0000000000000001E-3</v>
      </c>
      <c r="BF613" s="977">
        <f t="shared" si="2598"/>
        <v>3.0000000000000001E-3</v>
      </c>
      <c r="BG613" s="38">
        <f t="shared" si="2598"/>
        <v>3.0000000000000001E-3</v>
      </c>
      <c r="BH613" s="38">
        <f t="shared" si="2598"/>
        <v>3.0000000000000001E-3</v>
      </c>
      <c r="BI613" s="977">
        <f t="shared" si="2598"/>
        <v>3.0000000000000001E-3</v>
      </c>
      <c r="BJ613" s="136">
        <f t="shared" si="2598"/>
        <v>3.0000000000000001E-3</v>
      </c>
      <c r="BK613" s="136">
        <f t="shared" si="2598"/>
        <v>3.0000000000000001E-3</v>
      </c>
      <c r="BL613" s="142">
        <f t="shared" si="2598"/>
        <v>3.0000000000000001E-3</v>
      </c>
      <c r="BM613" s="136">
        <f t="shared" si="2598"/>
        <v>3.0000000000000001E-3</v>
      </c>
      <c r="BN613" s="136">
        <f t="shared" si="2598"/>
        <v>3.0000000000000001E-3</v>
      </c>
      <c r="BO613" s="142">
        <f t="shared" si="2598"/>
        <v>3.0000000000000001E-3</v>
      </c>
      <c r="BP613" s="136">
        <f t="shared" si="2598"/>
        <v>3.0000000000000001E-3</v>
      </c>
      <c r="BQ613" s="136">
        <f t="shared" si="2598"/>
        <v>3.0000000000000001E-3</v>
      </c>
      <c r="BR613" s="142">
        <f t="shared" si="2598"/>
        <v>3.0000000000000001E-3</v>
      </c>
      <c r="BS613" s="38">
        <f t="shared" si="2598"/>
        <v>3.0000000000000001E-3</v>
      </c>
      <c r="BT613" s="38">
        <f t="shared" si="2598"/>
        <v>3.0000000000000001E-3</v>
      </c>
      <c r="BU613" s="217">
        <f t="shared" si="2598"/>
        <v>3.0000000000000001E-3</v>
      </c>
      <c r="BV613" s="38">
        <f t="shared" si="2598"/>
        <v>3.0000000000000001E-3</v>
      </c>
      <c r="BW613" s="38">
        <f t="shared" si="2598"/>
        <v>3.0000000000000001E-3</v>
      </c>
      <c r="BX613" s="217">
        <f t="shared" si="2598"/>
        <v>3.0000000000000001E-3</v>
      </c>
      <c r="BY613" s="38">
        <f t="shared" si="2598"/>
        <v>3.0000000000000001E-3</v>
      </c>
      <c r="BZ613" s="38">
        <f t="shared" si="2598"/>
        <v>3.0000000000000001E-3</v>
      </c>
      <c r="CA613" s="217">
        <f t="shared" si="2598"/>
        <v>3.0000000000000001E-3</v>
      </c>
      <c r="CB613" s="38">
        <f t="shared" si="2598"/>
        <v>3.0000000000000001E-3</v>
      </c>
      <c r="CC613" s="38">
        <f t="shared" si="2598"/>
        <v>3.0000000000000001E-3</v>
      </c>
      <c r="CD613" s="217">
        <f t="shared" si="2598"/>
        <v>3.0000000000000001E-3</v>
      </c>
      <c r="CE613" s="38">
        <f t="shared" ref="CE613:DJ613" si="2599">CD613</f>
        <v>3.0000000000000001E-3</v>
      </c>
      <c r="CF613" s="38">
        <f t="shared" si="2599"/>
        <v>3.0000000000000001E-3</v>
      </c>
      <c r="CG613" s="217">
        <f t="shared" si="2599"/>
        <v>3.0000000000000001E-3</v>
      </c>
      <c r="CH613" s="38">
        <f t="shared" si="2599"/>
        <v>3.0000000000000001E-3</v>
      </c>
      <c r="CI613" s="38">
        <f t="shared" si="2599"/>
        <v>3.0000000000000001E-3</v>
      </c>
      <c r="CJ613" s="217">
        <f t="shared" si="2599"/>
        <v>3.0000000000000001E-3</v>
      </c>
      <c r="CK613" s="38">
        <f t="shared" si="2599"/>
        <v>3.0000000000000001E-3</v>
      </c>
      <c r="CL613" s="38">
        <f t="shared" si="2599"/>
        <v>3.0000000000000001E-3</v>
      </c>
      <c r="CM613" s="217">
        <f t="shared" si="2599"/>
        <v>3.0000000000000001E-3</v>
      </c>
      <c r="CN613" s="38">
        <f t="shared" si="2599"/>
        <v>3.0000000000000001E-3</v>
      </c>
      <c r="CO613" s="38">
        <f t="shared" si="2599"/>
        <v>3.0000000000000001E-3</v>
      </c>
      <c r="CP613" s="217">
        <f t="shared" si="2599"/>
        <v>3.0000000000000001E-3</v>
      </c>
      <c r="CQ613" s="38">
        <f t="shared" si="2599"/>
        <v>3.0000000000000001E-3</v>
      </c>
      <c r="CR613" s="38">
        <f t="shared" si="2599"/>
        <v>3.0000000000000001E-3</v>
      </c>
      <c r="CS613" s="217">
        <f t="shared" si="2599"/>
        <v>3.0000000000000001E-3</v>
      </c>
      <c r="CT613" s="38">
        <f t="shared" si="2599"/>
        <v>3.0000000000000001E-3</v>
      </c>
      <c r="CU613" s="38">
        <f t="shared" si="2599"/>
        <v>3.0000000000000001E-3</v>
      </c>
      <c r="CV613" s="217">
        <f t="shared" si="2599"/>
        <v>3.0000000000000001E-3</v>
      </c>
      <c r="CW613" s="38">
        <f t="shared" si="2599"/>
        <v>3.0000000000000001E-3</v>
      </c>
      <c r="CX613" s="38">
        <f t="shared" si="2599"/>
        <v>3.0000000000000001E-3</v>
      </c>
      <c r="CY613" s="217">
        <f t="shared" si="2599"/>
        <v>3.0000000000000001E-3</v>
      </c>
      <c r="CZ613" s="38">
        <f t="shared" si="2599"/>
        <v>3.0000000000000001E-3</v>
      </c>
      <c r="DA613" s="38">
        <f t="shared" si="2599"/>
        <v>3.0000000000000001E-3</v>
      </c>
      <c r="DB613" s="217">
        <f t="shared" si="2599"/>
        <v>3.0000000000000001E-3</v>
      </c>
      <c r="DC613" s="38">
        <f t="shared" si="2599"/>
        <v>3.0000000000000001E-3</v>
      </c>
      <c r="DD613" s="38">
        <f t="shared" si="2599"/>
        <v>3.0000000000000001E-3</v>
      </c>
      <c r="DE613" s="217">
        <f t="shared" si="2599"/>
        <v>3.0000000000000001E-3</v>
      </c>
      <c r="DF613" s="38">
        <f t="shared" si="2599"/>
        <v>3.0000000000000001E-3</v>
      </c>
      <c r="DG613" s="38">
        <f t="shared" si="2599"/>
        <v>3.0000000000000001E-3</v>
      </c>
      <c r="DH613" s="217">
        <f t="shared" si="2599"/>
        <v>3.0000000000000001E-3</v>
      </c>
      <c r="DI613" s="38">
        <f t="shared" si="2599"/>
        <v>3.0000000000000001E-3</v>
      </c>
      <c r="DJ613" s="38">
        <f t="shared" si="2599"/>
        <v>3.0000000000000001E-3</v>
      </c>
      <c r="DK613" s="217">
        <f t="shared" ref="DK613:EF613" si="2600">DJ613</f>
        <v>3.0000000000000001E-3</v>
      </c>
      <c r="DL613" s="38">
        <f>DK613</f>
        <v>3.0000000000000001E-3</v>
      </c>
      <c r="DM613" s="38">
        <f t="shared" si="2600"/>
        <v>3.0000000000000001E-3</v>
      </c>
      <c r="DN613" s="217">
        <f t="shared" si="2600"/>
        <v>3.0000000000000001E-3</v>
      </c>
      <c r="DO613" s="38">
        <f t="shared" si="2600"/>
        <v>3.0000000000000001E-3</v>
      </c>
      <c r="DP613" s="38">
        <f t="shared" si="2600"/>
        <v>3.0000000000000001E-3</v>
      </c>
      <c r="DQ613" s="217">
        <f t="shared" si="2600"/>
        <v>3.0000000000000001E-3</v>
      </c>
      <c r="DR613" s="38">
        <f t="shared" si="2600"/>
        <v>3.0000000000000001E-3</v>
      </c>
      <c r="DS613" s="38">
        <f t="shared" si="2600"/>
        <v>3.0000000000000001E-3</v>
      </c>
      <c r="DT613" s="217">
        <f t="shared" si="2600"/>
        <v>3.0000000000000001E-3</v>
      </c>
      <c r="DU613" s="38">
        <f t="shared" si="2600"/>
        <v>3.0000000000000001E-3</v>
      </c>
      <c r="DV613" s="38">
        <f t="shared" si="2600"/>
        <v>3.0000000000000001E-3</v>
      </c>
      <c r="DW613" s="217">
        <f t="shared" si="2600"/>
        <v>3.0000000000000001E-3</v>
      </c>
      <c r="DX613" s="38">
        <f t="shared" si="2600"/>
        <v>3.0000000000000001E-3</v>
      </c>
      <c r="DY613" s="38">
        <f t="shared" si="2600"/>
        <v>3.0000000000000001E-3</v>
      </c>
      <c r="DZ613" s="217">
        <f t="shared" si="2600"/>
        <v>3.0000000000000001E-3</v>
      </c>
      <c r="EA613" s="38">
        <f t="shared" si="2600"/>
        <v>3.0000000000000001E-3</v>
      </c>
      <c r="EB613" s="38">
        <f t="shared" si="2600"/>
        <v>3.0000000000000001E-3</v>
      </c>
      <c r="EC613" s="217">
        <f t="shared" si="2600"/>
        <v>3.0000000000000001E-3</v>
      </c>
      <c r="ED613" s="38">
        <f t="shared" si="2600"/>
        <v>3.0000000000000001E-3</v>
      </c>
      <c r="EE613" s="38">
        <f t="shared" si="2600"/>
        <v>3.0000000000000001E-3</v>
      </c>
      <c r="EF613" s="217">
        <f t="shared" si="2600"/>
        <v>3.0000000000000001E-3</v>
      </c>
      <c r="EG613" s="38">
        <f t="shared" ref="EG613:EL616" si="2601">EF613</f>
        <v>3.0000000000000001E-3</v>
      </c>
      <c r="EH613" s="38">
        <f t="shared" si="2601"/>
        <v>3.0000000000000001E-3</v>
      </c>
      <c r="EI613" s="217">
        <f t="shared" si="2601"/>
        <v>3.0000000000000001E-3</v>
      </c>
      <c r="EJ613" s="38">
        <f t="shared" si="2601"/>
        <v>3.0000000000000001E-3</v>
      </c>
      <c r="EK613" s="38">
        <f t="shared" si="2601"/>
        <v>3.0000000000000001E-3</v>
      </c>
      <c r="EL613" s="217">
        <f t="shared" si="2601"/>
        <v>3.0000000000000001E-3</v>
      </c>
      <c r="EM613" s="38">
        <f t="shared" ref="EM613:ER616" si="2602">EL613</f>
        <v>3.0000000000000001E-3</v>
      </c>
      <c r="EN613" s="38">
        <f t="shared" si="2602"/>
        <v>3.0000000000000001E-3</v>
      </c>
      <c r="EO613" s="217">
        <f t="shared" si="2602"/>
        <v>3.0000000000000001E-3</v>
      </c>
      <c r="EP613" s="38">
        <f t="shared" si="2602"/>
        <v>3.0000000000000001E-3</v>
      </c>
      <c r="EQ613" s="38">
        <f t="shared" si="2602"/>
        <v>3.0000000000000001E-3</v>
      </c>
      <c r="ER613" s="217">
        <f t="shared" si="2602"/>
        <v>3.0000000000000001E-3</v>
      </c>
      <c r="ES613" s="38">
        <f t="shared" ref="ES613:ES616" si="2603">ER613</f>
        <v>3.0000000000000001E-3</v>
      </c>
      <c r="ET613" s="38">
        <f t="shared" ref="ET613:ET616" si="2604">ES613</f>
        <v>3.0000000000000001E-3</v>
      </c>
      <c r="EU613" s="217">
        <f t="shared" ref="EU613:EU616" si="2605">ET613</f>
        <v>3.0000000000000001E-3</v>
      </c>
      <c r="EV613" s="38">
        <f t="shared" ref="EV613:EV616" si="2606">EU613</f>
        <v>3.0000000000000001E-3</v>
      </c>
      <c r="EW613" s="38">
        <f t="shared" ref="EW613:EW616" si="2607">EV613</f>
        <v>3.0000000000000001E-3</v>
      </c>
      <c r="EX613" s="217">
        <f t="shared" ref="EX613:EX616" si="2608">EW613</f>
        <v>3.0000000000000001E-3</v>
      </c>
      <c r="EY613" s="38">
        <f t="shared" ref="EY613:EY616" si="2609">EX613</f>
        <v>3.0000000000000001E-3</v>
      </c>
      <c r="EZ613" s="38">
        <f t="shared" ref="EZ613:EZ616" si="2610">EY613</f>
        <v>3.0000000000000001E-3</v>
      </c>
      <c r="FA613" s="217">
        <f t="shared" ref="FA613:FA616" si="2611">EZ613</f>
        <v>3.0000000000000001E-3</v>
      </c>
      <c r="FH613" s="35"/>
      <c r="FI613" s="35"/>
      <c r="FJ613" s="35"/>
      <c r="FK613" s="35"/>
      <c r="FL613" s="35"/>
      <c r="FM613" s="35"/>
      <c r="FN613" s="35"/>
      <c r="FO613" s="35"/>
      <c r="FP613" s="35"/>
      <c r="FQ613" s="35"/>
    </row>
    <row r="614" spans="1:173" s="321" customFormat="1" hidden="1" outlineLevel="1">
      <c r="A614" s="1168"/>
      <c r="B614" s="186"/>
      <c r="C614" s="186" t="s">
        <v>317</v>
      </c>
      <c r="D614" s="910"/>
      <c r="E614" s="1"/>
      <c r="F614" s="1"/>
      <c r="G614" s="5"/>
      <c r="H614" s="1"/>
      <c r="I614" s="1"/>
      <c r="J614" s="5"/>
      <c r="K614" s="1"/>
      <c r="L614" s="1"/>
      <c r="M614" s="5"/>
      <c r="N614" s="1"/>
      <c r="O614" s="1"/>
      <c r="P614" s="5"/>
      <c r="Q614" s="1"/>
      <c r="R614" s="1"/>
      <c r="S614" s="5"/>
      <c r="T614" s="1"/>
      <c r="U614" s="1"/>
      <c r="V614" s="5"/>
      <c r="W614" s="1"/>
      <c r="X614" s="1"/>
      <c r="Y614" s="5"/>
      <c r="Z614" s="1"/>
      <c r="AA614" s="1"/>
      <c r="AB614" s="5"/>
      <c r="AC614" s="1"/>
      <c r="AD614" s="1"/>
      <c r="AE614" s="5"/>
      <c r="AF614" s="1"/>
      <c r="AG614" s="1"/>
      <c r="AH614" s="5"/>
      <c r="AI614" s="1"/>
      <c r="AJ614" s="1"/>
      <c r="AK614" s="5"/>
      <c r="AL614" s="1"/>
      <c r="AM614" s="1"/>
      <c r="AN614" s="5"/>
      <c r="AO614" s="1"/>
      <c r="AP614" s="1"/>
      <c r="AQ614" s="5"/>
      <c r="AR614" s="1"/>
      <c r="AS614" s="1"/>
      <c r="AT614" s="5"/>
      <c r="AU614" s="184"/>
      <c r="AV614" s="184"/>
      <c r="AW614" s="5"/>
      <c r="AX614" s="214">
        <f>AX613</f>
        <v>3.0000000000000001E-3</v>
      </c>
      <c r="AY614" s="217">
        <f t="shared" ref="AY614:CD614" si="2612">AX614</f>
        <v>3.0000000000000001E-3</v>
      </c>
      <c r="AZ614" s="217">
        <f t="shared" si="2612"/>
        <v>3.0000000000000001E-3</v>
      </c>
      <c r="BA614" s="38">
        <f t="shared" si="2612"/>
        <v>3.0000000000000001E-3</v>
      </c>
      <c r="BB614" s="38">
        <f t="shared" si="2612"/>
        <v>3.0000000000000001E-3</v>
      </c>
      <c r="BC614" s="977">
        <f t="shared" si="2612"/>
        <v>3.0000000000000001E-3</v>
      </c>
      <c r="BD614" s="38">
        <f t="shared" si="2612"/>
        <v>3.0000000000000001E-3</v>
      </c>
      <c r="BE614" s="38">
        <f t="shared" si="2612"/>
        <v>3.0000000000000001E-3</v>
      </c>
      <c r="BF614" s="977">
        <f t="shared" si="2612"/>
        <v>3.0000000000000001E-3</v>
      </c>
      <c r="BG614" s="38">
        <f t="shared" si="2612"/>
        <v>3.0000000000000001E-3</v>
      </c>
      <c r="BH614" s="38">
        <f t="shared" si="2612"/>
        <v>3.0000000000000001E-3</v>
      </c>
      <c r="BI614" s="977">
        <f t="shared" si="2612"/>
        <v>3.0000000000000001E-3</v>
      </c>
      <c r="BJ614" s="136">
        <f t="shared" si="2612"/>
        <v>3.0000000000000001E-3</v>
      </c>
      <c r="BK614" s="136">
        <f t="shared" si="2612"/>
        <v>3.0000000000000001E-3</v>
      </c>
      <c r="BL614" s="142">
        <f t="shared" si="2612"/>
        <v>3.0000000000000001E-3</v>
      </c>
      <c r="BM614" s="136">
        <f t="shared" si="2612"/>
        <v>3.0000000000000001E-3</v>
      </c>
      <c r="BN614" s="136">
        <f t="shared" si="2612"/>
        <v>3.0000000000000001E-3</v>
      </c>
      <c r="BO614" s="142">
        <f t="shared" si="2612"/>
        <v>3.0000000000000001E-3</v>
      </c>
      <c r="BP614" s="136">
        <f t="shared" si="2612"/>
        <v>3.0000000000000001E-3</v>
      </c>
      <c r="BQ614" s="136">
        <f t="shared" si="2612"/>
        <v>3.0000000000000001E-3</v>
      </c>
      <c r="BR614" s="142">
        <f t="shared" si="2612"/>
        <v>3.0000000000000001E-3</v>
      </c>
      <c r="BS614" s="38">
        <f t="shared" si="2612"/>
        <v>3.0000000000000001E-3</v>
      </c>
      <c r="BT614" s="38">
        <f t="shared" si="2612"/>
        <v>3.0000000000000001E-3</v>
      </c>
      <c r="BU614" s="217">
        <f t="shared" si="2612"/>
        <v>3.0000000000000001E-3</v>
      </c>
      <c r="BV614" s="38">
        <f t="shared" si="2612"/>
        <v>3.0000000000000001E-3</v>
      </c>
      <c r="BW614" s="38">
        <f t="shared" si="2612"/>
        <v>3.0000000000000001E-3</v>
      </c>
      <c r="BX614" s="217">
        <f t="shared" si="2612"/>
        <v>3.0000000000000001E-3</v>
      </c>
      <c r="BY614" s="38">
        <f t="shared" si="2612"/>
        <v>3.0000000000000001E-3</v>
      </c>
      <c r="BZ614" s="38">
        <f t="shared" si="2612"/>
        <v>3.0000000000000001E-3</v>
      </c>
      <c r="CA614" s="217">
        <f t="shared" si="2612"/>
        <v>3.0000000000000001E-3</v>
      </c>
      <c r="CB614" s="38">
        <f t="shared" si="2612"/>
        <v>3.0000000000000001E-3</v>
      </c>
      <c r="CC614" s="38">
        <f t="shared" si="2612"/>
        <v>3.0000000000000001E-3</v>
      </c>
      <c r="CD614" s="217">
        <f t="shared" si="2612"/>
        <v>3.0000000000000001E-3</v>
      </c>
      <c r="CE614" s="38">
        <f t="shared" ref="CE614:DJ614" si="2613">CD614</f>
        <v>3.0000000000000001E-3</v>
      </c>
      <c r="CF614" s="38">
        <f t="shared" si="2613"/>
        <v>3.0000000000000001E-3</v>
      </c>
      <c r="CG614" s="217">
        <f t="shared" si="2613"/>
        <v>3.0000000000000001E-3</v>
      </c>
      <c r="CH614" s="38">
        <f t="shared" si="2613"/>
        <v>3.0000000000000001E-3</v>
      </c>
      <c r="CI614" s="38">
        <f t="shared" si="2613"/>
        <v>3.0000000000000001E-3</v>
      </c>
      <c r="CJ614" s="217">
        <f t="shared" si="2613"/>
        <v>3.0000000000000001E-3</v>
      </c>
      <c r="CK614" s="38">
        <f t="shared" si="2613"/>
        <v>3.0000000000000001E-3</v>
      </c>
      <c r="CL614" s="38">
        <f t="shared" si="2613"/>
        <v>3.0000000000000001E-3</v>
      </c>
      <c r="CM614" s="217">
        <f t="shared" si="2613"/>
        <v>3.0000000000000001E-3</v>
      </c>
      <c r="CN614" s="38">
        <f t="shared" si="2613"/>
        <v>3.0000000000000001E-3</v>
      </c>
      <c r="CO614" s="38">
        <f t="shared" si="2613"/>
        <v>3.0000000000000001E-3</v>
      </c>
      <c r="CP614" s="217">
        <f t="shared" si="2613"/>
        <v>3.0000000000000001E-3</v>
      </c>
      <c r="CQ614" s="38">
        <f t="shared" si="2613"/>
        <v>3.0000000000000001E-3</v>
      </c>
      <c r="CR614" s="38">
        <f t="shared" si="2613"/>
        <v>3.0000000000000001E-3</v>
      </c>
      <c r="CS614" s="217">
        <f t="shared" si="2613"/>
        <v>3.0000000000000001E-3</v>
      </c>
      <c r="CT614" s="38">
        <f t="shared" si="2613"/>
        <v>3.0000000000000001E-3</v>
      </c>
      <c r="CU614" s="38">
        <f t="shared" si="2613"/>
        <v>3.0000000000000001E-3</v>
      </c>
      <c r="CV614" s="217">
        <f t="shared" si="2613"/>
        <v>3.0000000000000001E-3</v>
      </c>
      <c r="CW614" s="38">
        <f t="shared" si="2613"/>
        <v>3.0000000000000001E-3</v>
      </c>
      <c r="CX614" s="38">
        <f t="shared" si="2613"/>
        <v>3.0000000000000001E-3</v>
      </c>
      <c r="CY614" s="217">
        <f t="shared" si="2613"/>
        <v>3.0000000000000001E-3</v>
      </c>
      <c r="CZ614" s="38">
        <f t="shared" si="2613"/>
        <v>3.0000000000000001E-3</v>
      </c>
      <c r="DA614" s="38">
        <f t="shared" si="2613"/>
        <v>3.0000000000000001E-3</v>
      </c>
      <c r="DB614" s="217">
        <f t="shared" si="2613"/>
        <v>3.0000000000000001E-3</v>
      </c>
      <c r="DC614" s="38">
        <f t="shared" si="2613"/>
        <v>3.0000000000000001E-3</v>
      </c>
      <c r="DD614" s="38">
        <f t="shared" si="2613"/>
        <v>3.0000000000000001E-3</v>
      </c>
      <c r="DE614" s="217">
        <f t="shared" si="2613"/>
        <v>3.0000000000000001E-3</v>
      </c>
      <c r="DF614" s="38">
        <f t="shared" si="2613"/>
        <v>3.0000000000000001E-3</v>
      </c>
      <c r="DG614" s="38">
        <f t="shared" si="2613"/>
        <v>3.0000000000000001E-3</v>
      </c>
      <c r="DH614" s="217">
        <f t="shared" si="2613"/>
        <v>3.0000000000000001E-3</v>
      </c>
      <c r="DI614" s="38">
        <f t="shared" si="2613"/>
        <v>3.0000000000000001E-3</v>
      </c>
      <c r="DJ614" s="38">
        <f t="shared" si="2613"/>
        <v>3.0000000000000001E-3</v>
      </c>
      <c r="DK614" s="217">
        <f t="shared" ref="DK614:EF614" si="2614">DJ614</f>
        <v>3.0000000000000001E-3</v>
      </c>
      <c r="DL614" s="38">
        <f>DK614</f>
        <v>3.0000000000000001E-3</v>
      </c>
      <c r="DM614" s="38">
        <f t="shared" si="2614"/>
        <v>3.0000000000000001E-3</v>
      </c>
      <c r="DN614" s="217">
        <f t="shared" si="2614"/>
        <v>3.0000000000000001E-3</v>
      </c>
      <c r="DO614" s="38">
        <f t="shared" si="2614"/>
        <v>3.0000000000000001E-3</v>
      </c>
      <c r="DP614" s="38">
        <f t="shared" si="2614"/>
        <v>3.0000000000000001E-3</v>
      </c>
      <c r="DQ614" s="217">
        <f t="shared" si="2614"/>
        <v>3.0000000000000001E-3</v>
      </c>
      <c r="DR614" s="38">
        <f t="shared" si="2614"/>
        <v>3.0000000000000001E-3</v>
      </c>
      <c r="DS614" s="38">
        <f t="shared" si="2614"/>
        <v>3.0000000000000001E-3</v>
      </c>
      <c r="DT614" s="217">
        <f t="shared" si="2614"/>
        <v>3.0000000000000001E-3</v>
      </c>
      <c r="DU614" s="38">
        <f t="shared" si="2614"/>
        <v>3.0000000000000001E-3</v>
      </c>
      <c r="DV614" s="38">
        <f t="shared" si="2614"/>
        <v>3.0000000000000001E-3</v>
      </c>
      <c r="DW614" s="217">
        <f t="shared" si="2614"/>
        <v>3.0000000000000001E-3</v>
      </c>
      <c r="DX614" s="38">
        <f t="shared" si="2614"/>
        <v>3.0000000000000001E-3</v>
      </c>
      <c r="DY614" s="38">
        <f t="shared" si="2614"/>
        <v>3.0000000000000001E-3</v>
      </c>
      <c r="DZ614" s="217">
        <f t="shared" si="2614"/>
        <v>3.0000000000000001E-3</v>
      </c>
      <c r="EA614" s="38">
        <f t="shared" si="2614"/>
        <v>3.0000000000000001E-3</v>
      </c>
      <c r="EB614" s="38">
        <f t="shared" si="2614"/>
        <v>3.0000000000000001E-3</v>
      </c>
      <c r="EC614" s="217">
        <f t="shared" si="2614"/>
        <v>3.0000000000000001E-3</v>
      </c>
      <c r="ED614" s="38">
        <f t="shared" si="2614"/>
        <v>3.0000000000000001E-3</v>
      </c>
      <c r="EE614" s="38">
        <f t="shared" si="2614"/>
        <v>3.0000000000000001E-3</v>
      </c>
      <c r="EF614" s="217">
        <f t="shared" si="2614"/>
        <v>3.0000000000000001E-3</v>
      </c>
      <c r="EG614" s="38">
        <f t="shared" si="2601"/>
        <v>3.0000000000000001E-3</v>
      </c>
      <c r="EH614" s="38">
        <f t="shared" si="2601"/>
        <v>3.0000000000000001E-3</v>
      </c>
      <c r="EI614" s="217">
        <f t="shared" si="2601"/>
        <v>3.0000000000000001E-3</v>
      </c>
      <c r="EJ614" s="38">
        <f t="shared" si="2601"/>
        <v>3.0000000000000001E-3</v>
      </c>
      <c r="EK614" s="38">
        <f t="shared" si="2601"/>
        <v>3.0000000000000001E-3</v>
      </c>
      <c r="EL614" s="217">
        <f t="shared" si="2601"/>
        <v>3.0000000000000001E-3</v>
      </c>
      <c r="EM614" s="38">
        <f t="shared" si="2602"/>
        <v>3.0000000000000001E-3</v>
      </c>
      <c r="EN614" s="38">
        <f t="shared" si="2602"/>
        <v>3.0000000000000001E-3</v>
      </c>
      <c r="EO614" s="217">
        <f t="shared" si="2602"/>
        <v>3.0000000000000001E-3</v>
      </c>
      <c r="EP614" s="38">
        <f t="shared" si="2602"/>
        <v>3.0000000000000001E-3</v>
      </c>
      <c r="EQ614" s="38">
        <f t="shared" si="2602"/>
        <v>3.0000000000000001E-3</v>
      </c>
      <c r="ER614" s="217">
        <f t="shared" si="2602"/>
        <v>3.0000000000000001E-3</v>
      </c>
      <c r="ES614" s="38">
        <f t="shared" si="2603"/>
        <v>3.0000000000000001E-3</v>
      </c>
      <c r="ET614" s="38">
        <f t="shared" si="2604"/>
        <v>3.0000000000000001E-3</v>
      </c>
      <c r="EU614" s="217">
        <f t="shared" si="2605"/>
        <v>3.0000000000000001E-3</v>
      </c>
      <c r="EV614" s="38">
        <f t="shared" si="2606"/>
        <v>3.0000000000000001E-3</v>
      </c>
      <c r="EW614" s="38">
        <f t="shared" si="2607"/>
        <v>3.0000000000000001E-3</v>
      </c>
      <c r="EX614" s="217">
        <f t="shared" si="2608"/>
        <v>3.0000000000000001E-3</v>
      </c>
      <c r="EY614" s="38">
        <f t="shared" si="2609"/>
        <v>3.0000000000000001E-3</v>
      </c>
      <c r="EZ614" s="38">
        <f t="shared" si="2610"/>
        <v>3.0000000000000001E-3</v>
      </c>
      <c r="FA614" s="217">
        <f t="shared" si="2611"/>
        <v>3.0000000000000001E-3</v>
      </c>
      <c r="FH614" s="35"/>
      <c r="FI614" s="35"/>
      <c r="FJ614" s="35"/>
      <c r="FK614" s="35"/>
      <c r="FL614" s="35"/>
      <c r="FM614" s="35"/>
      <c r="FN614" s="35"/>
      <c r="FO614" s="35"/>
      <c r="FP614" s="35"/>
      <c r="FQ614" s="35"/>
    </row>
    <row r="615" spans="1:173" s="321" customFormat="1" hidden="1" outlineLevel="1">
      <c r="A615" s="1168"/>
      <c r="B615" s="186"/>
      <c r="C615" s="186" t="s">
        <v>431</v>
      </c>
      <c r="D615" s="910"/>
      <c r="E615" s="1"/>
      <c r="F615" s="1"/>
      <c r="G615" s="5"/>
      <c r="H615" s="1"/>
      <c r="I615" s="1"/>
      <c r="J615" s="5"/>
      <c r="K615" s="1"/>
      <c r="L615" s="1"/>
      <c r="M615" s="5"/>
      <c r="N615" s="1"/>
      <c r="O615" s="1"/>
      <c r="P615" s="5"/>
      <c r="Q615" s="1"/>
      <c r="R615" s="1"/>
      <c r="S615" s="5"/>
      <c r="T615" s="1"/>
      <c r="U615" s="1"/>
      <c r="V615" s="5"/>
      <c r="W615" s="1"/>
      <c r="X615" s="1"/>
      <c r="Y615" s="5"/>
      <c r="Z615" s="1"/>
      <c r="AA615" s="1"/>
      <c r="AB615" s="5"/>
      <c r="AC615" s="1"/>
      <c r="AD615" s="1"/>
      <c r="AE615" s="5"/>
      <c r="AF615" s="1"/>
      <c r="AG615" s="1"/>
      <c r="AH615" s="5"/>
      <c r="AI615" s="1"/>
      <c r="AJ615" s="1"/>
      <c r="AK615" s="5"/>
      <c r="AL615" s="1"/>
      <c r="AM615" s="1"/>
      <c r="AN615" s="5"/>
      <c r="AO615" s="1"/>
      <c r="AP615" s="1"/>
      <c r="AQ615" s="5"/>
      <c r="AR615" s="1"/>
      <c r="AS615" s="1"/>
      <c r="AT615" s="5"/>
      <c r="AU615" s="184"/>
      <c r="AV615" s="184"/>
      <c r="AW615" s="5"/>
      <c r="AX615" s="214">
        <f>AX613</f>
        <v>3.0000000000000001E-3</v>
      </c>
      <c r="AY615" s="217">
        <f t="shared" ref="AY615:CD615" si="2615">AX615</f>
        <v>3.0000000000000001E-3</v>
      </c>
      <c r="AZ615" s="217">
        <f t="shared" si="2615"/>
        <v>3.0000000000000001E-3</v>
      </c>
      <c r="BA615" s="38">
        <f t="shared" si="2615"/>
        <v>3.0000000000000001E-3</v>
      </c>
      <c r="BB615" s="38">
        <f t="shared" si="2615"/>
        <v>3.0000000000000001E-3</v>
      </c>
      <c r="BC615" s="977">
        <f t="shared" si="2615"/>
        <v>3.0000000000000001E-3</v>
      </c>
      <c r="BD615" s="38">
        <f t="shared" si="2615"/>
        <v>3.0000000000000001E-3</v>
      </c>
      <c r="BE615" s="38">
        <f t="shared" si="2615"/>
        <v>3.0000000000000001E-3</v>
      </c>
      <c r="BF615" s="977">
        <f t="shared" si="2615"/>
        <v>3.0000000000000001E-3</v>
      </c>
      <c r="BG615" s="38">
        <f t="shared" si="2615"/>
        <v>3.0000000000000001E-3</v>
      </c>
      <c r="BH615" s="38">
        <f t="shared" si="2615"/>
        <v>3.0000000000000001E-3</v>
      </c>
      <c r="BI615" s="977">
        <f t="shared" si="2615"/>
        <v>3.0000000000000001E-3</v>
      </c>
      <c r="BJ615" s="136">
        <f t="shared" si="2615"/>
        <v>3.0000000000000001E-3</v>
      </c>
      <c r="BK615" s="136">
        <f t="shared" si="2615"/>
        <v>3.0000000000000001E-3</v>
      </c>
      <c r="BL615" s="142">
        <f t="shared" si="2615"/>
        <v>3.0000000000000001E-3</v>
      </c>
      <c r="BM615" s="136">
        <f t="shared" si="2615"/>
        <v>3.0000000000000001E-3</v>
      </c>
      <c r="BN615" s="136">
        <f t="shared" si="2615"/>
        <v>3.0000000000000001E-3</v>
      </c>
      <c r="BO615" s="142">
        <f t="shared" si="2615"/>
        <v>3.0000000000000001E-3</v>
      </c>
      <c r="BP615" s="136">
        <f t="shared" si="2615"/>
        <v>3.0000000000000001E-3</v>
      </c>
      <c r="BQ615" s="136">
        <f t="shared" si="2615"/>
        <v>3.0000000000000001E-3</v>
      </c>
      <c r="BR615" s="142">
        <f t="shared" si="2615"/>
        <v>3.0000000000000001E-3</v>
      </c>
      <c r="BS615" s="38">
        <f t="shared" si="2615"/>
        <v>3.0000000000000001E-3</v>
      </c>
      <c r="BT615" s="38">
        <f t="shared" si="2615"/>
        <v>3.0000000000000001E-3</v>
      </c>
      <c r="BU615" s="217">
        <f t="shared" si="2615"/>
        <v>3.0000000000000001E-3</v>
      </c>
      <c r="BV615" s="38">
        <f t="shared" si="2615"/>
        <v>3.0000000000000001E-3</v>
      </c>
      <c r="BW615" s="38">
        <f t="shared" si="2615"/>
        <v>3.0000000000000001E-3</v>
      </c>
      <c r="BX615" s="217">
        <f t="shared" si="2615"/>
        <v>3.0000000000000001E-3</v>
      </c>
      <c r="BY615" s="38">
        <f t="shared" si="2615"/>
        <v>3.0000000000000001E-3</v>
      </c>
      <c r="BZ615" s="38">
        <f t="shared" si="2615"/>
        <v>3.0000000000000001E-3</v>
      </c>
      <c r="CA615" s="217">
        <f t="shared" si="2615"/>
        <v>3.0000000000000001E-3</v>
      </c>
      <c r="CB615" s="38">
        <f t="shared" si="2615"/>
        <v>3.0000000000000001E-3</v>
      </c>
      <c r="CC615" s="38">
        <f t="shared" si="2615"/>
        <v>3.0000000000000001E-3</v>
      </c>
      <c r="CD615" s="217">
        <f t="shared" si="2615"/>
        <v>3.0000000000000001E-3</v>
      </c>
      <c r="CE615" s="38">
        <f t="shared" ref="CE615:DJ615" si="2616">CD615</f>
        <v>3.0000000000000001E-3</v>
      </c>
      <c r="CF615" s="38">
        <f t="shared" si="2616"/>
        <v>3.0000000000000001E-3</v>
      </c>
      <c r="CG615" s="217">
        <f t="shared" si="2616"/>
        <v>3.0000000000000001E-3</v>
      </c>
      <c r="CH615" s="38">
        <f t="shared" si="2616"/>
        <v>3.0000000000000001E-3</v>
      </c>
      <c r="CI615" s="38">
        <f t="shared" si="2616"/>
        <v>3.0000000000000001E-3</v>
      </c>
      <c r="CJ615" s="217">
        <f t="shared" si="2616"/>
        <v>3.0000000000000001E-3</v>
      </c>
      <c r="CK615" s="38">
        <f t="shared" si="2616"/>
        <v>3.0000000000000001E-3</v>
      </c>
      <c r="CL615" s="38">
        <f t="shared" si="2616"/>
        <v>3.0000000000000001E-3</v>
      </c>
      <c r="CM615" s="217">
        <f t="shared" si="2616"/>
        <v>3.0000000000000001E-3</v>
      </c>
      <c r="CN615" s="38">
        <f t="shared" si="2616"/>
        <v>3.0000000000000001E-3</v>
      </c>
      <c r="CO615" s="38">
        <f t="shared" si="2616"/>
        <v>3.0000000000000001E-3</v>
      </c>
      <c r="CP615" s="217">
        <f t="shared" si="2616"/>
        <v>3.0000000000000001E-3</v>
      </c>
      <c r="CQ615" s="38">
        <f t="shared" si="2616"/>
        <v>3.0000000000000001E-3</v>
      </c>
      <c r="CR615" s="38">
        <f t="shared" si="2616"/>
        <v>3.0000000000000001E-3</v>
      </c>
      <c r="CS615" s="217">
        <f t="shared" si="2616"/>
        <v>3.0000000000000001E-3</v>
      </c>
      <c r="CT615" s="38">
        <f t="shared" si="2616"/>
        <v>3.0000000000000001E-3</v>
      </c>
      <c r="CU615" s="38">
        <f t="shared" si="2616"/>
        <v>3.0000000000000001E-3</v>
      </c>
      <c r="CV615" s="217">
        <f t="shared" si="2616"/>
        <v>3.0000000000000001E-3</v>
      </c>
      <c r="CW615" s="38">
        <f t="shared" si="2616"/>
        <v>3.0000000000000001E-3</v>
      </c>
      <c r="CX615" s="38">
        <f t="shared" si="2616"/>
        <v>3.0000000000000001E-3</v>
      </c>
      <c r="CY615" s="217">
        <f t="shared" si="2616"/>
        <v>3.0000000000000001E-3</v>
      </c>
      <c r="CZ615" s="38">
        <f t="shared" si="2616"/>
        <v>3.0000000000000001E-3</v>
      </c>
      <c r="DA615" s="38">
        <f t="shared" si="2616"/>
        <v>3.0000000000000001E-3</v>
      </c>
      <c r="DB615" s="217">
        <f t="shared" si="2616"/>
        <v>3.0000000000000001E-3</v>
      </c>
      <c r="DC615" s="38">
        <f t="shared" si="2616"/>
        <v>3.0000000000000001E-3</v>
      </c>
      <c r="DD615" s="38">
        <f t="shared" si="2616"/>
        <v>3.0000000000000001E-3</v>
      </c>
      <c r="DE615" s="217">
        <f t="shared" si="2616"/>
        <v>3.0000000000000001E-3</v>
      </c>
      <c r="DF615" s="38">
        <f t="shared" si="2616"/>
        <v>3.0000000000000001E-3</v>
      </c>
      <c r="DG615" s="38">
        <f t="shared" si="2616"/>
        <v>3.0000000000000001E-3</v>
      </c>
      <c r="DH615" s="217">
        <f t="shared" si="2616"/>
        <v>3.0000000000000001E-3</v>
      </c>
      <c r="DI615" s="38">
        <f t="shared" si="2616"/>
        <v>3.0000000000000001E-3</v>
      </c>
      <c r="DJ615" s="38">
        <f t="shared" si="2616"/>
        <v>3.0000000000000001E-3</v>
      </c>
      <c r="DK615" s="217">
        <f t="shared" ref="DK615:EF615" si="2617">DJ615</f>
        <v>3.0000000000000001E-3</v>
      </c>
      <c r="DL615" s="38">
        <f>DK615</f>
        <v>3.0000000000000001E-3</v>
      </c>
      <c r="DM615" s="38">
        <f t="shared" si="2617"/>
        <v>3.0000000000000001E-3</v>
      </c>
      <c r="DN615" s="217">
        <f t="shared" si="2617"/>
        <v>3.0000000000000001E-3</v>
      </c>
      <c r="DO615" s="38">
        <f t="shared" si="2617"/>
        <v>3.0000000000000001E-3</v>
      </c>
      <c r="DP615" s="38">
        <f t="shared" si="2617"/>
        <v>3.0000000000000001E-3</v>
      </c>
      <c r="DQ615" s="217">
        <f t="shared" si="2617"/>
        <v>3.0000000000000001E-3</v>
      </c>
      <c r="DR615" s="38">
        <f t="shared" si="2617"/>
        <v>3.0000000000000001E-3</v>
      </c>
      <c r="DS615" s="38">
        <f t="shared" si="2617"/>
        <v>3.0000000000000001E-3</v>
      </c>
      <c r="DT615" s="217">
        <f t="shared" si="2617"/>
        <v>3.0000000000000001E-3</v>
      </c>
      <c r="DU615" s="38">
        <f t="shared" si="2617"/>
        <v>3.0000000000000001E-3</v>
      </c>
      <c r="DV615" s="38">
        <f t="shared" si="2617"/>
        <v>3.0000000000000001E-3</v>
      </c>
      <c r="DW615" s="217">
        <f t="shared" si="2617"/>
        <v>3.0000000000000001E-3</v>
      </c>
      <c r="DX615" s="38">
        <f t="shared" si="2617"/>
        <v>3.0000000000000001E-3</v>
      </c>
      <c r="DY615" s="38">
        <f t="shared" si="2617"/>
        <v>3.0000000000000001E-3</v>
      </c>
      <c r="DZ615" s="217">
        <f t="shared" si="2617"/>
        <v>3.0000000000000001E-3</v>
      </c>
      <c r="EA615" s="38">
        <f t="shared" si="2617"/>
        <v>3.0000000000000001E-3</v>
      </c>
      <c r="EB615" s="38">
        <f t="shared" si="2617"/>
        <v>3.0000000000000001E-3</v>
      </c>
      <c r="EC615" s="217">
        <f t="shared" si="2617"/>
        <v>3.0000000000000001E-3</v>
      </c>
      <c r="ED615" s="38">
        <f t="shared" si="2617"/>
        <v>3.0000000000000001E-3</v>
      </c>
      <c r="EE615" s="38">
        <f t="shared" si="2617"/>
        <v>3.0000000000000001E-3</v>
      </c>
      <c r="EF615" s="217">
        <f t="shared" si="2617"/>
        <v>3.0000000000000001E-3</v>
      </c>
      <c r="EG615" s="38">
        <f t="shared" si="2601"/>
        <v>3.0000000000000001E-3</v>
      </c>
      <c r="EH615" s="38">
        <f t="shared" si="2601"/>
        <v>3.0000000000000001E-3</v>
      </c>
      <c r="EI615" s="217">
        <f t="shared" si="2601"/>
        <v>3.0000000000000001E-3</v>
      </c>
      <c r="EJ615" s="38">
        <f t="shared" si="2601"/>
        <v>3.0000000000000001E-3</v>
      </c>
      <c r="EK615" s="38">
        <f t="shared" si="2601"/>
        <v>3.0000000000000001E-3</v>
      </c>
      <c r="EL615" s="217">
        <f t="shared" si="2601"/>
        <v>3.0000000000000001E-3</v>
      </c>
      <c r="EM615" s="38">
        <f t="shared" si="2602"/>
        <v>3.0000000000000001E-3</v>
      </c>
      <c r="EN615" s="38">
        <f t="shared" si="2602"/>
        <v>3.0000000000000001E-3</v>
      </c>
      <c r="EO615" s="217">
        <f t="shared" si="2602"/>
        <v>3.0000000000000001E-3</v>
      </c>
      <c r="EP615" s="38">
        <f t="shared" si="2602"/>
        <v>3.0000000000000001E-3</v>
      </c>
      <c r="EQ615" s="38">
        <f t="shared" si="2602"/>
        <v>3.0000000000000001E-3</v>
      </c>
      <c r="ER615" s="217">
        <f t="shared" si="2602"/>
        <v>3.0000000000000001E-3</v>
      </c>
      <c r="ES615" s="38">
        <f t="shared" si="2603"/>
        <v>3.0000000000000001E-3</v>
      </c>
      <c r="ET615" s="38">
        <f t="shared" si="2604"/>
        <v>3.0000000000000001E-3</v>
      </c>
      <c r="EU615" s="217">
        <f t="shared" si="2605"/>
        <v>3.0000000000000001E-3</v>
      </c>
      <c r="EV615" s="38">
        <f t="shared" si="2606"/>
        <v>3.0000000000000001E-3</v>
      </c>
      <c r="EW615" s="38">
        <f t="shared" si="2607"/>
        <v>3.0000000000000001E-3</v>
      </c>
      <c r="EX615" s="217">
        <f t="shared" si="2608"/>
        <v>3.0000000000000001E-3</v>
      </c>
      <c r="EY615" s="38">
        <f t="shared" si="2609"/>
        <v>3.0000000000000001E-3</v>
      </c>
      <c r="EZ615" s="38">
        <f t="shared" si="2610"/>
        <v>3.0000000000000001E-3</v>
      </c>
      <c r="FA615" s="217">
        <f t="shared" si="2611"/>
        <v>3.0000000000000001E-3</v>
      </c>
      <c r="FH615" s="35"/>
      <c r="FI615" s="35"/>
      <c r="FJ615" s="35"/>
      <c r="FK615" s="35"/>
      <c r="FL615" s="35"/>
      <c r="FM615" s="35"/>
      <c r="FN615" s="35"/>
      <c r="FO615" s="35"/>
      <c r="FP615" s="35"/>
      <c r="FQ615" s="35"/>
    </row>
    <row r="616" spans="1:173" s="321" customFormat="1" ht="13.5" hidden="1" outlineLevel="1" thickBot="1">
      <c r="A616" s="1437"/>
      <c r="B616" s="967"/>
      <c r="C616" s="967" t="s">
        <v>327</v>
      </c>
      <c r="D616" s="969"/>
      <c r="E616" s="18"/>
      <c r="F616" s="18"/>
      <c r="G616" s="19"/>
      <c r="H616" s="18"/>
      <c r="I616" s="18"/>
      <c r="J616" s="19"/>
      <c r="K616" s="18"/>
      <c r="L616" s="18"/>
      <c r="M616" s="19"/>
      <c r="N616" s="18"/>
      <c r="O616" s="18"/>
      <c r="P616" s="19"/>
      <c r="Q616" s="18"/>
      <c r="R616" s="18"/>
      <c r="S616" s="19"/>
      <c r="T616" s="18"/>
      <c r="U616" s="18"/>
      <c r="V616" s="19"/>
      <c r="W616" s="18"/>
      <c r="X616" s="18"/>
      <c r="Y616" s="19"/>
      <c r="Z616" s="18"/>
      <c r="AA616" s="18"/>
      <c r="AB616" s="19"/>
      <c r="AC616" s="18"/>
      <c r="AD616" s="18"/>
      <c r="AE616" s="19"/>
      <c r="AF616" s="18"/>
      <c r="AG616" s="18"/>
      <c r="AH616" s="19"/>
      <c r="AI616" s="18"/>
      <c r="AJ616" s="18"/>
      <c r="AK616" s="19"/>
      <c r="AL616" s="18"/>
      <c r="AM616" s="18"/>
      <c r="AN616" s="19"/>
      <c r="AO616" s="18"/>
      <c r="AP616" s="18"/>
      <c r="AQ616" s="19"/>
      <c r="AR616" s="18"/>
      <c r="AS616" s="18"/>
      <c r="AT616" s="19"/>
      <c r="AU616" s="227"/>
      <c r="AV616" s="227"/>
      <c r="AW616" s="19"/>
      <c r="AX616" s="979">
        <f>AX613</f>
        <v>3.0000000000000001E-3</v>
      </c>
      <c r="AY616" s="218">
        <f t="shared" ref="AY616:CD616" si="2618">AX616</f>
        <v>3.0000000000000001E-3</v>
      </c>
      <c r="AZ616" s="218">
        <f t="shared" si="2618"/>
        <v>3.0000000000000001E-3</v>
      </c>
      <c r="BA616" s="41">
        <f t="shared" si="2618"/>
        <v>3.0000000000000001E-3</v>
      </c>
      <c r="BB616" s="41">
        <f t="shared" si="2618"/>
        <v>3.0000000000000001E-3</v>
      </c>
      <c r="BC616" s="980">
        <f t="shared" si="2618"/>
        <v>3.0000000000000001E-3</v>
      </c>
      <c r="BD616" s="41">
        <f t="shared" si="2618"/>
        <v>3.0000000000000001E-3</v>
      </c>
      <c r="BE616" s="41">
        <f t="shared" si="2618"/>
        <v>3.0000000000000001E-3</v>
      </c>
      <c r="BF616" s="980">
        <f t="shared" si="2618"/>
        <v>3.0000000000000001E-3</v>
      </c>
      <c r="BG616" s="41">
        <f t="shared" si="2618"/>
        <v>3.0000000000000001E-3</v>
      </c>
      <c r="BH616" s="41">
        <f t="shared" si="2618"/>
        <v>3.0000000000000001E-3</v>
      </c>
      <c r="BI616" s="980">
        <f t="shared" si="2618"/>
        <v>3.0000000000000001E-3</v>
      </c>
      <c r="BJ616" s="143">
        <f t="shared" si="2618"/>
        <v>3.0000000000000001E-3</v>
      </c>
      <c r="BK616" s="143">
        <f t="shared" si="2618"/>
        <v>3.0000000000000001E-3</v>
      </c>
      <c r="BL616" s="144">
        <f t="shared" si="2618"/>
        <v>3.0000000000000001E-3</v>
      </c>
      <c r="BM616" s="143">
        <f t="shared" si="2618"/>
        <v>3.0000000000000001E-3</v>
      </c>
      <c r="BN616" s="143">
        <f t="shared" si="2618"/>
        <v>3.0000000000000001E-3</v>
      </c>
      <c r="BO616" s="144">
        <f t="shared" si="2618"/>
        <v>3.0000000000000001E-3</v>
      </c>
      <c r="BP616" s="143">
        <f t="shared" si="2618"/>
        <v>3.0000000000000001E-3</v>
      </c>
      <c r="BQ616" s="143">
        <f t="shared" si="2618"/>
        <v>3.0000000000000001E-3</v>
      </c>
      <c r="BR616" s="144">
        <f t="shared" si="2618"/>
        <v>3.0000000000000001E-3</v>
      </c>
      <c r="BS616" s="41">
        <f t="shared" si="2618"/>
        <v>3.0000000000000001E-3</v>
      </c>
      <c r="BT616" s="41">
        <f t="shared" si="2618"/>
        <v>3.0000000000000001E-3</v>
      </c>
      <c r="BU616" s="218">
        <f t="shared" si="2618"/>
        <v>3.0000000000000001E-3</v>
      </c>
      <c r="BV616" s="41">
        <f t="shared" si="2618"/>
        <v>3.0000000000000001E-3</v>
      </c>
      <c r="BW616" s="41">
        <f t="shared" si="2618"/>
        <v>3.0000000000000001E-3</v>
      </c>
      <c r="BX616" s="218">
        <f t="shared" si="2618"/>
        <v>3.0000000000000001E-3</v>
      </c>
      <c r="BY616" s="41">
        <f t="shared" si="2618"/>
        <v>3.0000000000000001E-3</v>
      </c>
      <c r="BZ616" s="41">
        <f t="shared" si="2618"/>
        <v>3.0000000000000001E-3</v>
      </c>
      <c r="CA616" s="218">
        <f t="shared" si="2618"/>
        <v>3.0000000000000001E-3</v>
      </c>
      <c r="CB616" s="41">
        <f t="shared" si="2618"/>
        <v>3.0000000000000001E-3</v>
      </c>
      <c r="CC616" s="41">
        <f t="shared" si="2618"/>
        <v>3.0000000000000001E-3</v>
      </c>
      <c r="CD616" s="218">
        <f t="shared" si="2618"/>
        <v>3.0000000000000001E-3</v>
      </c>
      <c r="CE616" s="41">
        <f t="shared" ref="CE616:DJ616" si="2619">CD616</f>
        <v>3.0000000000000001E-3</v>
      </c>
      <c r="CF616" s="41">
        <f t="shared" si="2619"/>
        <v>3.0000000000000001E-3</v>
      </c>
      <c r="CG616" s="218">
        <f t="shared" si="2619"/>
        <v>3.0000000000000001E-3</v>
      </c>
      <c r="CH616" s="41">
        <f t="shared" si="2619"/>
        <v>3.0000000000000001E-3</v>
      </c>
      <c r="CI616" s="41">
        <f t="shared" si="2619"/>
        <v>3.0000000000000001E-3</v>
      </c>
      <c r="CJ616" s="218">
        <f t="shared" si="2619"/>
        <v>3.0000000000000001E-3</v>
      </c>
      <c r="CK616" s="41">
        <f t="shared" si="2619"/>
        <v>3.0000000000000001E-3</v>
      </c>
      <c r="CL616" s="41">
        <f t="shared" si="2619"/>
        <v>3.0000000000000001E-3</v>
      </c>
      <c r="CM616" s="218">
        <f t="shared" si="2619"/>
        <v>3.0000000000000001E-3</v>
      </c>
      <c r="CN616" s="41">
        <f t="shared" si="2619"/>
        <v>3.0000000000000001E-3</v>
      </c>
      <c r="CO616" s="41">
        <f t="shared" si="2619"/>
        <v>3.0000000000000001E-3</v>
      </c>
      <c r="CP616" s="218">
        <f t="shared" si="2619"/>
        <v>3.0000000000000001E-3</v>
      </c>
      <c r="CQ616" s="41">
        <f t="shared" si="2619"/>
        <v>3.0000000000000001E-3</v>
      </c>
      <c r="CR616" s="41">
        <f t="shared" si="2619"/>
        <v>3.0000000000000001E-3</v>
      </c>
      <c r="CS616" s="218">
        <f t="shared" si="2619"/>
        <v>3.0000000000000001E-3</v>
      </c>
      <c r="CT616" s="41">
        <f t="shared" si="2619"/>
        <v>3.0000000000000001E-3</v>
      </c>
      <c r="CU616" s="41">
        <f t="shared" si="2619"/>
        <v>3.0000000000000001E-3</v>
      </c>
      <c r="CV616" s="218">
        <f t="shared" si="2619"/>
        <v>3.0000000000000001E-3</v>
      </c>
      <c r="CW616" s="41">
        <f t="shared" si="2619"/>
        <v>3.0000000000000001E-3</v>
      </c>
      <c r="CX616" s="41">
        <f t="shared" si="2619"/>
        <v>3.0000000000000001E-3</v>
      </c>
      <c r="CY616" s="218">
        <f t="shared" si="2619"/>
        <v>3.0000000000000001E-3</v>
      </c>
      <c r="CZ616" s="41">
        <f t="shared" si="2619"/>
        <v>3.0000000000000001E-3</v>
      </c>
      <c r="DA616" s="41">
        <f t="shared" si="2619"/>
        <v>3.0000000000000001E-3</v>
      </c>
      <c r="DB616" s="218">
        <f t="shared" si="2619"/>
        <v>3.0000000000000001E-3</v>
      </c>
      <c r="DC616" s="41">
        <f t="shared" si="2619"/>
        <v>3.0000000000000001E-3</v>
      </c>
      <c r="DD616" s="41">
        <f t="shared" si="2619"/>
        <v>3.0000000000000001E-3</v>
      </c>
      <c r="DE616" s="218">
        <f t="shared" si="2619"/>
        <v>3.0000000000000001E-3</v>
      </c>
      <c r="DF616" s="41">
        <f t="shared" si="2619"/>
        <v>3.0000000000000001E-3</v>
      </c>
      <c r="DG616" s="41">
        <f t="shared" si="2619"/>
        <v>3.0000000000000001E-3</v>
      </c>
      <c r="DH616" s="218">
        <f t="shared" si="2619"/>
        <v>3.0000000000000001E-3</v>
      </c>
      <c r="DI616" s="41">
        <f t="shared" si="2619"/>
        <v>3.0000000000000001E-3</v>
      </c>
      <c r="DJ616" s="41">
        <f t="shared" si="2619"/>
        <v>3.0000000000000001E-3</v>
      </c>
      <c r="DK616" s="218">
        <f t="shared" ref="DK616:EF616" si="2620">DJ616</f>
        <v>3.0000000000000001E-3</v>
      </c>
      <c r="DL616" s="41">
        <f>DK616</f>
        <v>3.0000000000000001E-3</v>
      </c>
      <c r="DM616" s="41">
        <f t="shared" si="2620"/>
        <v>3.0000000000000001E-3</v>
      </c>
      <c r="DN616" s="218">
        <f t="shared" si="2620"/>
        <v>3.0000000000000001E-3</v>
      </c>
      <c r="DO616" s="41">
        <f t="shared" si="2620"/>
        <v>3.0000000000000001E-3</v>
      </c>
      <c r="DP616" s="41">
        <f t="shared" si="2620"/>
        <v>3.0000000000000001E-3</v>
      </c>
      <c r="DQ616" s="218">
        <f t="shared" si="2620"/>
        <v>3.0000000000000001E-3</v>
      </c>
      <c r="DR616" s="41">
        <f t="shared" si="2620"/>
        <v>3.0000000000000001E-3</v>
      </c>
      <c r="DS616" s="41">
        <f t="shared" si="2620"/>
        <v>3.0000000000000001E-3</v>
      </c>
      <c r="DT616" s="218">
        <f t="shared" si="2620"/>
        <v>3.0000000000000001E-3</v>
      </c>
      <c r="DU616" s="41">
        <f t="shared" si="2620"/>
        <v>3.0000000000000001E-3</v>
      </c>
      <c r="DV616" s="41">
        <f t="shared" si="2620"/>
        <v>3.0000000000000001E-3</v>
      </c>
      <c r="DW616" s="218">
        <f t="shared" si="2620"/>
        <v>3.0000000000000001E-3</v>
      </c>
      <c r="DX616" s="41">
        <f t="shared" si="2620"/>
        <v>3.0000000000000001E-3</v>
      </c>
      <c r="DY616" s="41">
        <f t="shared" si="2620"/>
        <v>3.0000000000000001E-3</v>
      </c>
      <c r="DZ616" s="218">
        <f t="shared" si="2620"/>
        <v>3.0000000000000001E-3</v>
      </c>
      <c r="EA616" s="41">
        <f t="shared" si="2620"/>
        <v>3.0000000000000001E-3</v>
      </c>
      <c r="EB616" s="41">
        <f t="shared" si="2620"/>
        <v>3.0000000000000001E-3</v>
      </c>
      <c r="EC616" s="218">
        <f t="shared" si="2620"/>
        <v>3.0000000000000001E-3</v>
      </c>
      <c r="ED616" s="41">
        <f t="shared" si="2620"/>
        <v>3.0000000000000001E-3</v>
      </c>
      <c r="EE616" s="41">
        <f t="shared" si="2620"/>
        <v>3.0000000000000001E-3</v>
      </c>
      <c r="EF616" s="218">
        <f t="shared" si="2620"/>
        <v>3.0000000000000001E-3</v>
      </c>
      <c r="EG616" s="41">
        <f t="shared" si="2601"/>
        <v>3.0000000000000001E-3</v>
      </c>
      <c r="EH616" s="41">
        <f t="shared" si="2601"/>
        <v>3.0000000000000001E-3</v>
      </c>
      <c r="EI616" s="218">
        <f t="shared" si="2601"/>
        <v>3.0000000000000001E-3</v>
      </c>
      <c r="EJ616" s="41">
        <f t="shared" si="2601"/>
        <v>3.0000000000000001E-3</v>
      </c>
      <c r="EK616" s="41">
        <f t="shared" si="2601"/>
        <v>3.0000000000000001E-3</v>
      </c>
      <c r="EL616" s="218">
        <f t="shared" si="2601"/>
        <v>3.0000000000000001E-3</v>
      </c>
      <c r="EM616" s="41">
        <f t="shared" si="2602"/>
        <v>3.0000000000000001E-3</v>
      </c>
      <c r="EN616" s="41">
        <f t="shared" si="2602"/>
        <v>3.0000000000000001E-3</v>
      </c>
      <c r="EO616" s="218">
        <f t="shared" si="2602"/>
        <v>3.0000000000000001E-3</v>
      </c>
      <c r="EP616" s="41">
        <f t="shared" si="2602"/>
        <v>3.0000000000000001E-3</v>
      </c>
      <c r="EQ616" s="41">
        <f t="shared" si="2602"/>
        <v>3.0000000000000001E-3</v>
      </c>
      <c r="ER616" s="218">
        <f t="shared" si="2602"/>
        <v>3.0000000000000001E-3</v>
      </c>
      <c r="ES616" s="41">
        <f t="shared" si="2603"/>
        <v>3.0000000000000001E-3</v>
      </c>
      <c r="ET616" s="41">
        <f t="shared" si="2604"/>
        <v>3.0000000000000001E-3</v>
      </c>
      <c r="EU616" s="218">
        <f t="shared" si="2605"/>
        <v>3.0000000000000001E-3</v>
      </c>
      <c r="EV616" s="41">
        <f t="shared" si="2606"/>
        <v>3.0000000000000001E-3</v>
      </c>
      <c r="EW616" s="41">
        <f t="shared" si="2607"/>
        <v>3.0000000000000001E-3</v>
      </c>
      <c r="EX616" s="218">
        <f t="shared" si="2608"/>
        <v>3.0000000000000001E-3</v>
      </c>
      <c r="EY616" s="41">
        <f t="shared" si="2609"/>
        <v>3.0000000000000001E-3</v>
      </c>
      <c r="EZ616" s="41">
        <f t="shared" si="2610"/>
        <v>3.0000000000000001E-3</v>
      </c>
      <c r="FA616" s="218">
        <f t="shared" si="2611"/>
        <v>3.0000000000000001E-3</v>
      </c>
      <c r="FH616" s="35"/>
      <c r="FI616" s="35"/>
      <c r="FJ616" s="35"/>
      <c r="FK616" s="35"/>
      <c r="FL616" s="35"/>
      <c r="FM616" s="35"/>
      <c r="FN616" s="35"/>
      <c r="FO616" s="35"/>
      <c r="FP616" s="35"/>
      <c r="FQ616" s="35"/>
    </row>
    <row r="617" spans="1:173" s="321" customFormat="1" hidden="1" outlineLevel="1">
      <c r="A617" s="1168"/>
      <c r="B617" s="68" t="s">
        <v>309</v>
      </c>
      <c r="C617" s="186"/>
      <c r="D617" s="910"/>
      <c r="E617" s="1"/>
      <c r="F617" s="1"/>
      <c r="G617" s="5"/>
      <c r="H617" s="1"/>
      <c r="I617" s="1"/>
      <c r="J617" s="5"/>
      <c r="K617" s="1"/>
      <c r="L617" s="1"/>
      <c r="M617" s="5"/>
      <c r="N617" s="1"/>
      <c r="O617" s="1"/>
      <c r="P617" s="5"/>
      <c r="Q617" s="1"/>
      <c r="R617" s="1"/>
      <c r="S617" s="5"/>
      <c r="T617" s="1"/>
      <c r="U617" s="1"/>
      <c r="V617" s="5"/>
      <c r="W617" s="1"/>
      <c r="X617" s="1"/>
      <c r="Y617" s="5"/>
      <c r="Z617" s="1"/>
      <c r="AA617" s="1"/>
      <c r="AB617" s="5"/>
      <c r="AC617" s="1"/>
      <c r="AD617" s="1"/>
      <c r="AE617" s="5"/>
      <c r="AF617" s="1"/>
      <c r="AG617" s="1"/>
      <c r="AH617" s="5"/>
      <c r="AI617" s="1"/>
      <c r="AJ617" s="1"/>
      <c r="AK617" s="5"/>
      <c r="AL617" s="1"/>
      <c r="AM617" s="1"/>
      <c r="AN617" s="5"/>
      <c r="AO617" s="1"/>
      <c r="AP617" s="1"/>
      <c r="AQ617" s="5"/>
      <c r="AR617" s="1"/>
      <c r="AS617" s="1"/>
      <c r="AT617" s="5"/>
      <c r="AU617" s="184"/>
      <c r="AV617" s="184"/>
      <c r="AW617" s="5"/>
      <c r="AX617" s="184"/>
      <c r="AY617" s="184"/>
      <c r="AZ617" s="5"/>
      <c r="BA617" s="28"/>
      <c r="BB617" s="28"/>
      <c r="BC617" s="58"/>
      <c r="BD617" s="28"/>
      <c r="BE617" s="28"/>
      <c r="BF617" s="58"/>
      <c r="BG617" s="28"/>
      <c r="BH617" s="28"/>
      <c r="BI617" s="58"/>
      <c r="BJ617" s="110"/>
      <c r="BK617" s="110"/>
      <c r="BL617" s="111"/>
      <c r="BM617" s="110"/>
      <c r="BN617" s="110"/>
      <c r="BO617" s="111"/>
      <c r="BP617" s="110"/>
      <c r="BQ617" s="110"/>
      <c r="BR617" s="111"/>
      <c r="BS617" s="28"/>
      <c r="BT617" s="28"/>
      <c r="BU617" s="184"/>
      <c r="BV617" s="28"/>
      <c r="BW617" s="28"/>
      <c r="BX617" s="184"/>
      <c r="BY617" s="28"/>
      <c r="BZ617" s="28"/>
      <c r="CA617" s="184"/>
      <c r="CB617" s="28"/>
      <c r="CC617" s="28"/>
      <c r="CD617" s="184"/>
      <c r="CE617" s="28"/>
      <c r="CF617" s="28"/>
      <c r="CG617" s="184"/>
      <c r="CH617" s="28"/>
      <c r="CI617" s="28"/>
      <c r="CJ617" s="184"/>
      <c r="CK617" s="28"/>
      <c r="CL617" s="28"/>
      <c r="CM617" s="184"/>
      <c r="CN617" s="28"/>
      <c r="CO617" s="28"/>
      <c r="CP617" s="184"/>
      <c r="CQ617" s="28"/>
      <c r="CR617" s="28"/>
      <c r="CS617" s="184"/>
      <c r="CT617" s="28"/>
      <c r="CU617" s="28"/>
      <c r="CV617" s="184"/>
      <c r="CW617" s="28"/>
      <c r="CX617" s="28"/>
      <c r="CY617" s="184"/>
      <c r="CZ617" s="28"/>
      <c r="DA617" s="28"/>
      <c r="DB617" s="184"/>
      <c r="DC617" s="28"/>
      <c r="DD617" s="28"/>
      <c r="DE617" s="184"/>
      <c r="DF617" s="28"/>
      <c r="DG617" s="28"/>
      <c r="DH617" s="184"/>
      <c r="DI617" s="28"/>
      <c r="DJ617" s="28"/>
      <c r="DK617" s="184"/>
      <c r="DL617" s="28"/>
      <c r="DM617" s="28"/>
      <c r="DN617" s="184"/>
      <c r="DO617" s="28"/>
      <c r="DP617" s="28"/>
      <c r="DQ617" s="184"/>
      <c r="DR617" s="28"/>
      <c r="DS617" s="28"/>
      <c r="DT617" s="184"/>
      <c r="DU617" s="28"/>
      <c r="DV617" s="28"/>
      <c r="DW617" s="184"/>
      <c r="DX617" s="28"/>
      <c r="DY617" s="28"/>
      <c r="DZ617" s="184"/>
      <c r="EA617" s="28"/>
      <c r="EB617" s="28"/>
      <c r="EC617" s="184"/>
      <c r="ED617" s="28"/>
      <c r="EE617" s="28"/>
      <c r="EF617" s="184"/>
      <c r="EG617" s="28"/>
      <c r="EH617" s="28"/>
      <c r="EI617" s="184"/>
      <c r="EJ617" s="28"/>
      <c r="EK617" s="28"/>
      <c r="EL617" s="184"/>
      <c r="EM617" s="28"/>
      <c r="EN617" s="28"/>
      <c r="EO617" s="184"/>
      <c r="EP617" s="28"/>
      <c r="EQ617" s="28"/>
      <c r="ER617" s="184"/>
      <c r="ES617" s="28"/>
      <c r="ET617" s="28"/>
      <c r="EU617" s="184"/>
      <c r="EV617" s="28"/>
      <c r="EW617" s="28"/>
      <c r="EX617" s="184"/>
      <c r="EY617" s="28"/>
      <c r="EZ617" s="28"/>
      <c r="FA617" s="184"/>
      <c r="FH617" s="35"/>
      <c r="FI617" s="35"/>
      <c r="FJ617" s="35"/>
      <c r="FK617" s="35"/>
      <c r="FL617" s="35"/>
      <c r="FM617" s="35"/>
      <c r="FN617" s="35"/>
      <c r="FO617" s="35"/>
      <c r="FP617" s="35"/>
      <c r="FQ617" s="35"/>
    </row>
    <row r="618" spans="1:173" s="321" customFormat="1" hidden="1" outlineLevel="1">
      <c r="A618" s="1168"/>
      <c r="B618" s="186"/>
      <c r="C618" s="331" t="s">
        <v>382</v>
      </c>
      <c r="D618" s="910"/>
      <c r="E618" s="1"/>
      <c r="F618" s="1"/>
      <c r="G618" s="5"/>
      <c r="H618" s="1"/>
      <c r="I618" s="1"/>
      <c r="J618" s="5"/>
      <c r="K618" s="1"/>
      <c r="L618" s="1"/>
      <c r="M618" s="5"/>
      <c r="N618" s="1"/>
      <c r="O618" s="1"/>
      <c r="P618" s="5"/>
      <c r="Q618" s="1"/>
      <c r="R618" s="1"/>
      <c r="S618" s="5"/>
      <c r="T618" s="1"/>
      <c r="U618" s="1"/>
      <c r="V618" s="5"/>
      <c r="W618" s="1"/>
      <c r="X618" s="1"/>
      <c r="Y618" s="5"/>
      <c r="Z618" s="1"/>
      <c r="AA618" s="1"/>
      <c r="AB618" s="5"/>
      <c r="AC618" s="1"/>
      <c r="AD618" s="1"/>
      <c r="AE618" s="5"/>
      <c r="AF618" s="1"/>
      <c r="AG618" s="1"/>
      <c r="AH618" s="5"/>
      <c r="AI618" s="1"/>
      <c r="AJ618" s="1"/>
      <c r="AK618" s="5"/>
      <c r="AL618" s="1"/>
      <c r="AM618" s="1"/>
      <c r="AN618" s="5"/>
      <c r="AO618" s="1"/>
      <c r="AP618" s="1"/>
      <c r="AQ618" s="5"/>
      <c r="AR618" s="1"/>
      <c r="AS618" s="1"/>
      <c r="AT618" s="5"/>
      <c r="AU618" s="1"/>
      <c r="AV618" s="1"/>
      <c r="AW618" s="5"/>
      <c r="AX618" s="3"/>
      <c r="AY618" s="3"/>
      <c r="AZ618" s="2"/>
      <c r="BA618" s="3"/>
      <c r="BB618" s="3"/>
      <c r="BC618" s="973"/>
      <c r="BD618" s="3"/>
      <c r="BE618" s="3"/>
      <c r="BF618" s="973"/>
      <c r="BG618" s="3"/>
      <c r="BH618" s="3"/>
      <c r="BI618" s="973"/>
      <c r="BJ618" s="118"/>
      <c r="BK618" s="118"/>
      <c r="BL618" s="119"/>
      <c r="BM618" s="118"/>
      <c r="BN618" s="118"/>
      <c r="BO618" s="119"/>
      <c r="BP618" s="118"/>
      <c r="BQ618" s="118"/>
      <c r="BR618" s="119"/>
      <c r="BS618" s="3"/>
      <c r="BT618" s="3"/>
      <c r="BU618" s="190"/>
      <c r="BV618" s="3"/>
      <c r="BW618" s="3"/>
      <c r="BX618" s="190"/>
      <c r="BY618" s="3"/>
      <c r="BZ618" s="3"/>
      <c r="CA618" s="190"/>
      <c r="CB618" s="3"/>
      <c r="CC618" s="3"/>
      <c r="CD618" s="190"/>
      <c r="CE618" s="3"/>
      <c r="CF618" s="3"/>
      <c r="CG618" s="190"/>
      <c r="CH618" s="3"/>
      <c r="CI618" s="3"/>
      <c r="CJ618" s="190"/>
      <c r="CK618" s="3"/>
      <c r="CL618" s="3"/>
      <c r="CM618" s="190"/>
      <c r="CN618" s="3"/>
      <c r="CO618" s="3"/>
      <c r="CP618" s="190"/>
      <c r="CQ618" s="3"/>
      <c r="CR618" s="3"/>
      <c r="CS618" s="190"/>
      <c r="CT618" s="3"/>
      <c r="CU618" s="3"/>
      <c r="CV618" s="190"/>
      <c r="CW618" s="3"/>
      <c r="CX618" s="3"/>
      <c r="CY618" s="190"/>
      <c r="CZ618" s="3"/>
      <c r="DA618" s="3"/>
      <c r="DB618" s="190"/>
      <c r="DC618" s="3"/>
      <c r="DD618" s="3"/>
      <c r="DE618" s="190"/>
      <c r="DF618" s="3"/>
      <c r="DG618" s="3"/>
      <c r="DH618" s="190"/>
      <c r="DI618" s="3"/>
      <c r="DJ618" s="3"/>
      <c r="DK618" s="190"/>
      <c r="DL618" s="3"/>
      <c r="DM618" s="3"/>
      <c r="DN618" s="190"/>
      <c r="DO618" s="3"/>
      <c r="DP618" s="3"/>
      <c r="DQ618" s="190"/>
      <c r="DR618" s="3"/>
      <c r="DS618" s="3"/>
      <c r="DT618" s="190"/>
      <c r="DU618" s="3"/>
      <c r="DV618" s="3"/>
      <c r="DW618" s="190"/>
      <c r="DX618" s="3"/>
      <c r="DY618" s="3"/>
      <c r="DZ618" s="190"/>
      <c r="EA618" s="3"/>
      <c r="EB618" s="3"/>
      <c r="EC618" s="190"/>
      <c r="ED618" s="3"/>
      <c r="EE618" s="3"/>
      <c r="EF618" s="190"/>
      <c r="EG618" s="3"/>
      <c r="EH618" s="3"/>
      <c r="EI618" s="190"/>
      <c r="EJ618" s="3"/>
      <c r="EK618" s="3"/>
      <c r="EL618" s="190"/>
      <c r="EM618" s="3"/>
      <c r="EN618" s="3"/>
      <c r="EO618" s="190"/>
      <c r="EP618" s="3"/>
      <c r="EQ618" s="3"/>
      <c r="ER618" s="190"/>
      <c r="ES618" s="3"/>
      <c r="ET618" s="3"/>
      <c r="EU618" s="190"/>
      <c r="EV618" s="3"/>
      <c r="EW618" s="3"/>
      <c r="EX618" s="190"/>
      <c r="EY618" s="3"/>
      <c r="EZ618" s="3"/>
      <c r="FA618" s="190"/>
      <c r="FH618" s="35"/>
      <c r="FI618" s="35"/>
      <c r="FJ618" s="35"/>
      <c r="FK618" s="35"/>
      <c r="FL618" s="35"/>
      <c r="FM618" s="35"/>
      <c r="FN618" s="35"/>
      <c r="FO618" s="35"/>
      <c r="FP618" s="35"/>
      <c r="FQ618" s="35"/>
    </row>
    <row r="619" spans="1:173" s="321" customFormat="1" hidden="1" outlineLevel="1">
      <c r="A619" s="1168"/>
      <c r="B619" s="186"/>
      <c r="C619" s="186" t="s">
        <v>316</v>
      </c>
      <c r="D619" s="910"/>
      <c r="E619" s="1"/>
      <c r="F619" s="1"/>
      <c r="G619" s="5"/>
      <c r="H619" s="1"/>
      <c r="I619" s="1"/>
      <c r="J619" s="5"/>
      <c r="K619" s="1"/>
      <c r="L619" s="1"/>
      <c r="M619" s="5"/>
      <c r="N619" s="1"/>
      <c r="O619" s="1"/>
      <c r="P619" s="5"/>
      <c r="Q619" s="1"/>
      <c r="R619" s="1"/>
      <c r="S619" s="5"/>
      <c r="T619" s="1"/>
      <c r="U619" s="1"/>
      <c r="V619" s="5"/>
      <c r="W619" s="1"/>
      <c r="X619" s="1"/>
      <c r="Y619" s="5"/>
      <c r="Z619" s="1"/>
      <c r="AA619" s="1"/>
      <c r="AB619" s="5"/>
      <c r="AC619" s="1"/>
      <c r="AD619" s="1"/>
      <c r="AE619" s="5"/>
      <c r="AF619" s="1"/>
      <c r="AG619" s="1"/>
      <c r="AH619" s="5"/>
      <c r="AI619" s="1"/>
      <c r="AJ619" s="1"/>
      <c r="AK619" s="5"/>
      <c r="AL619" s="1"/>
      <c r="AM619" s="1"/>
      <c r="AN619" s="5"/>
      <c r="AO619" s="1"/>
      <c r="AP619" s="1"/>
      <c r="AQ619" s="5"/>
      <c r="AR619" s="1"/>
      <c r="AS619" s="1"/>
      <c r="AT619" s="5"/>
      <c r="AU619" s="1"/>
      <c r="AV619" s="1"/>
      <c r="AW619" s="5"/>
      <c r="AX619" s="187">
        <f t="shared" ref="AX619:CC619" si="2621">AX583*AX595</f>
        <v>0.64769062063208749</v>
      </c>
      <c r="AY619" s="187">
        <f t="shared" si="2621"/>
        <v>0.64960130796295235</v>
      </c>
      <c r="AZ619" s="187">
        <f t="shared" si="2621"/>
        <v>0.6473101220950398</v>
      </c>
      <c r="BA619" s="8">
        <f t="shared" si="2621"/>
        <v>0.65151763182144296</v>
      </c>
      <c r="BB619" s="8">
        <f t="shared" si="2621"/>
        <v>0.65343960883531627</v>
      </c>
      <c r="BC619" s="978">
        <f t="shared" si="2621"/>
        <v>0.651134885031738</v>
      </c>
      <c r="BD619" s="8">
        <f t="shared" si="2621"/>
        <v>0.65536725568138043</v>
      </c>
      <c r="BE619" s="8">
        <f t="shared" si="2621"/>
        <v>0.65730058908564049</v>
      </c>
      <c r="BF619" s="978">
        <f t="shared" si="2621"/>
        <v>0.65498224735476229</v>
      </c>
      <c r="BG619" s="8">
        <f t="shared" si="2621"/>
        <v>0.65923962582344331</v>
      </c>
      <c r="BH619" s="8">
        <f t="shared" si="2621"/>
        <v>0.66118438271962243</v>
      </c>
      <c r="BI619" s="978">
        <f t="shared" si="2621"/>
        <v>0.65885234259716308</v>
      </c>
      <c r="BJ619" s="115">
        <f t="shared" si="2621"/>
        <v>0.66313487664864523</v>
      </c>
      <c r="BK619" s="115">
        <f t="shared" si="2621"/>
        <v>0.66509112453475883</v>
      </c>
      <c r="BL619" s="116">
        <f t="shared" si="2621"/>
        <v>0.66274530508099783</v>
      </c>
      <c r="BM619" s="115">
        <f t="shared" si="2621"/>
        <v>0.66607213394344755</v>
      </c>
      <c r="BN619" s="115">
        <f t="shared" si="2621"/>
        <v>0.667054590341014</v>
      </c>
      <c r="BO619" s="116">
        <f t="shared" si="2621"/>
        <v>0.66469838042892326</v>
      </c>
      <c r="BP619" s="115">
        <f t="shared" si="2621"/>
        <v>0.668038495861767</v>
      </c>
      <c r="BQ619" s="115">
        <f t="shared" si="2621"/>
        <v>0.66902385264316289</v>
      </c>
      <c r="BR619" s="116">
        <f t="shared" si="2621"/>
        <v>0.66666068678560231</v>
      </c>
      <c r="BS619" s="8">
        <f t="shared" si="2621"/>
        <v>0.67001066282581156</v>
      </c>
      <c r="BT619" s="8">
        <f t="shared" si="2621"/>
        <v>0.67099892855347953</v>
      </c>
      <c r="BU619" s="187">
        <f t="shared" si="2621"/>
        <v>0.66862878621527633</v>
      </c>
      <c r="BV619" s="8">
        <f t="shared" si="2621"/>
        <v>0.67198865197309587</v>
      </c>
      <c r="BW619" s="8">
        <f t="shared" si="2621"/>
        <v>0.67297983523475613</v>
      </c>
      <c r="BX619" s="187">
        <f t="shared" si="2621"/>
        <v>0.67060269582011434</v>
      </c>
      <c r="BY619" s="8">
        <f t="shared" si="2621"/>
        <v>0.67397248049172731</v>
      </c>
      <c r="BZ619" s="8">
        <f t="shared" si="2621"/>
        <v>0.67496658990045266</v>
      </c>
      <c r="CA619" s="187">
        <f t="shared" si="2621"/>
        <v>0.67258243275277374</v>
      </c>
      <c r="CB619" s="8">
        <f t="shared" si="2621"/>
        <v>0.67596216562055567</v>
      </c>
      <c r="CC619" s="8">
        <f t="shared" si="2621"/>
        <v>0.67695920981484603</v>
      </c>
      <c r="CD619" s="187">
        <f t="shared" ref="CD619:DI619" si="2622">CD583*CD595</f>
        <v>0.67456801421654955</v>
      </c>
      <c r="CE619" s="8">
        <f t="shared" si="2622"/>
        <v>0.67795772464932269</v>
      </c>
      <c r="CF619" s="8">
        <f t="shared" si="2622"/>
        <v>0.67895771229318047</v>
      </c>
      <c r="CG619" s="187">
        <f t="shared" si="2622"/>
        <v>0.67655945746552404</v>
      </c>
      <c r="CH619" s="8">
        <f t="shared" si="2622"/>
        <v>0.67995917491881275</v>
      </c>
      <c r="CI619" s="8">
        <f t="shared" si="2622"/>
        <v>0.680962114701818</v>
      </c>
      <c r="CJ619" s="187">
        <f t="shared" si="2622"/>
        <v>0.67855677980471685</v>
      </c>
      <c r="CK619" s="8">
        <f t="shared" si="2622"/>
        <v>0.68196653382100303</v>
      </c>
      <c r="CL619" s="8">
        <f t="shared" si="2622"/>
        <v>0.68297243445838896</v>
      </c>
      <c r="CM619" s="187">
        <f t="shared" si="2622"/>
        <v>0.68055999859023475</v>
      </c>
      <c r="CN619" s="8">
        <f t="shared" si="2622"/>
        <v>0.68397981879921499</v>
      </c>
      <c r="CO619" s="8">
        <f t="shared" si="2622"/>
        <v>0.68498868903194376</v>
      </c>
      <c r="CP619" s="187">
        <f t="shared" si="2622"/>
        <v>0.68256913122942264</v>
      </c>
      <c r="CQ619" s="8">
        <f t="shared" si="2622"/>
        <v>0.68599904734826578</v>
      </c>
      <c r="CR619" s="8">
        <f t="shared" si="2622"/>
        <v>0.68701089594310449</v>
      </c>
      <c r="CS619" s="187">
        <f t="shared" si="2622"/>
        <v>0.68458419518101554</v>
      </c>
      <c r="CT619" s="8">
        <f t="shared" si="2622"/>
        <v>0.68802423701462045</v>
      </c>
      <c r="CU619" s="8">
        <f t="shared" si="2622"/>
        <v>0.68903907276421694</v>
      </c>
      <c r="CV619" s="187">
        <f t="shared" si="2622"/>
        <v>0.68660520795528901</v>
      </c>
      <c r="CW619" s="8">
        <f t="shared" si="2622"/>
        <v>0.69005540539654409</v>
      </c>
      <c r="CX619" s="8">
        <f t="shared" si="2622"/>
        <v>0.69107323711950397</v>
      </c>
      <c r="CY619" s="187">
        <f t="shared" si="2622"/>
        <v>0.68863218711421248</v>
      </c>
      <c r="CZ619" s="8">
        <f t="shared" si="2622"/>
        <v>0.69209257014425507</v>
      </c>
      <c r="DA619" s="8">
        <f t="shared" si="2622"/>
        <v>0.69311340668521781</v>
      </c>
      <c r="DB619" s="187">
        <f t="shared" si="2622"/>
        <v>0.69066515027160136</v>
      </c>
      <c r="DC619" s="8">
        <f t="shared" si="2622"/>
        <v>0.69413574896007846</v>
      </c>
      <c r="DD619" s="8">
        <f t="shared" si="2622"/>
        <v>0.69515959918979453</v>
      </c>
      <c r="DE619" s="187">
        <f t="shared" si="2622"/>
        <v>0.69270411509327001</v>
      </c>
      <c r="DF619" s="8">
        <f t="shared" si="2622"/>
        <v>0.6961849595985995</v>
      </c>
      <c r="DG619" s="8">
        <f t="shared" si="2622"/>
        <v>0.6972118324140073</v>
      </c>
      <c r="DH619" s="187">
        <f t="shared" si="2622"/>
        <v>0.69474909929718531</v>
      </c>
      <c r="DI619" s="8">
        <f t="shared" si="2622"/>
        <v>0.69824021986681784</v>
      </c>
      <c r="DJ619" s="8">
        <f t="shared" ref="DJ619:EF619" si="2623">DJ583*DJ595</f>
        <v>0.69927012419112133</v>
      </c>
      <c r="DK619" s="187">
        <f t="shared" si="2623"/>
        <v>0.69680012065362107</v>
      </c>
      <c r="DL619" s="8">
        <f t="shared" si="2623"/>
        <v>0.70030154762430308</v>
      </c>
      <c r="DM619" s="8">
        <f t="shared" si="2623"/>
        <v>0.70133449240704882</v>
      </c>
      <c r="DN619" s="187">
        <f t="shared" si="2623"/>
        <v>0.69885719698531157</v>
      </c>
      <c r="DO619" s="8">
        <f t="shared" si="2623"/>
        <v>0.70236896078334932</v>
      </c>
      <c r="DP619" s="8">
        <f t="shared" si="2623"/>
        <v>0.70340495500050459</v>
      </c>
      <c r="DQ619" s="187">
        <f t="shared" si="2623"/>
        <v>0.70092034616760734</v>
      </c>
      <c r="DR619" s="8">
        <f t="shared" si="2623"/>
        <v>0.70444247730913034</v>
      </c>
      <c r="DS619" s="8">
        <f t="shared" si="2623"/>
        <v>0.70548152996316116</v>
      </c>
      <c r="DT619" s="187">
        <f t="shared" si="2623"/>
        <v>0.70298958612862972</v>
      </c>
      <c r="DU619" s="8">
        <f t="shared" si="2623"/>
        <v>0.70652211521985686</v>
      </c>
      <c r="DV619" s="8">
        <f t="shared" si="2623"/>
        <v>0.70756423533980595</v>
      </c>
      <c r="DW619" s="187">
        <f t="shared" si="2623"/>
        <v>0.70506493484942734</v>
      </c>
      <c r="DX619" s="8">
        <f t="shared" si="2623"/>
        <v>0.70860789258693202</v>
      </c>
      <c r="DY619" s="8">
        <f t="shared" si="2623"/>
        <v>0.7096530892284979</v>
      </c>
      <c r="DZ619" s="187">
        <f t="shared" si="2623"/>
        <v>0.70714641036413195</v>
      </c>
      <c r="EA619" s="8">
        <f t="shared" si="2623"/>
        <v>0.71069982753510963</v>
      </c>
      <c r="EB619" s="8">
        <f t="shared" si="2623"/>
        <v>0.71174810978072389</v>
      </c>
      <c r="EC619" s="187">
        <f t="shared" si="2623"/>
        <v>0.70923403076011504</v>
      </c>
      <c r="ED619" s="8">
        <f t="shared" si="2623"/>
        <v>0.71279793824265036</v>
      </c>
      <c r="EE619" s="8">
        <f t="shared" si="2623"/>
        <v>0.71384931520155814</v>
      </c>
      <c r="EF619" s="187">
        <f t="shared" si="2623"/>
        <v>0.71132781417814539</v>
      </c>
      <c r="EG619" s="8">
        <f t="shared" ref="EG619:EL619" si="2624">EG583*EG595</f>
        <v>0.71490224294148041</v>
      </c>
      <c r="EH619" s="8">
        <f t="shared" si="2624"/>
        <v>0.71595672374981911</v>
      </c>
      <c r="EI619" s="187">
        <f t="shared" si="2624"/>
        <v>0.71342777881254649</v>
      </c>
      <c r="EJ619" s="8">
        <f t="shared" si="2624"/>
        <v>0.71701275991734992</v>
      </c>
      <c r="EK619" s="8">
        <f t="shared" si="2624"/>
        <v>0.71807035373822792</v>
      </c>
      <c r="EL619" s="187">
        <f t="shared" si="2624"/>
        <v>0.71553394291135453</v>
      </c>
      <c r="EM619" s="8">
        <f t="shared" ref="EM619:ER619" si="2625">EM583*EM595</f>
        <v>0.71912950750999172</v>
      </c>
      <c r="EN619" s="8">
        <f t="shared" si="2625"/>
        <v>0.72019022353356887</v>
      </c>
      <c r="EO619" s="187">
        <f t="shared" si="2625"/>
        <v>0.71764632477647738</v>
      </c>
      <c r="EP619" s="8">
        <f t="shared" si="2625"/>
        <v>0.72125250411328079</v>
      </c>
      <c r="EQ619" s="8">
        <f t="shared" si="2625"/>
        <v>0.72231635155684781</v>
      </c>
      <c r="ER619" s="187">
        <f t="shared" si="2625"/>
        <v>0.71976494276385328</v>
      </c>
      <c r="ES619" s="8">
        <f t="shared" ref="ES619:EX619" si="2626">ES583*ES595</f>
        <v>0.72338176817539412</v>
      </c>
      <c r="ET619" s="8">
        <f t="shared" si="2626"/>
        <v>0.72444875628345273</v>
      </c>
      <c r="EU619" s="187">
        <f t="shared" si="2626"/>
        <v>0.72188981528361007</v>
      </c>
      <c r="EV619" s="8">
        <f t="shared" si="2626"/>
        <v>0.7255173181989707</v>
      </c>
      <c r="EW619" s="8">
        <f t="shared" si="2626"/>
        <v>0.726587456243314</v>
      </c>
      <c r="EX619" s="187">
        <f t="shared" si="2626"/>
        <v>0.72402096080022582</v>
      </c>
      <c r="EY619" s="8">
        <f t="shared" ref="EY619:FA619" si="2627">EY583*EY595</f>
        <v>0.7276591727412729</v>
      </c>
      <c r="EZ619" s="8">
        <f t="shared" si="2627"/>
        <v>0.72873247002106623</v>
      </c>
      <c r="FA619" s="187">
        <f t="shared" si="2627"/>
        <v>0.72615839783268932</v>
      </c>
      <c r="FH619" s="35"/>
      <c r="FI619" s="35"/>
      <c r="FJ619" s="35"/>
      <c r="FK619" s="35"/>
      <c r="FL619" s="35"/>
      <c r="FM619" s="35"/>
      <c r="FN619" s="35"/>
      <c r="FO619" s="35"/>
      <c r="FP619" s="35"/>
      <c r="FQ619" s="35"/>
    </row>
    <row r="620" spans="1:173" s="321" customFormat="1" hidden="1" outlineLevel="1">
      <c r="A620" s="1168"/>
      <c r="B620" s="186"/>
      <c r="C620" s="186" t="s">
        <v>317</v>
      </c>
      <c r="D620" s="910"/>
      <c r="E620" s="1"/>
      <c r="F620" s="1"/>
      <c r="G620" s="5"/>
      <c r="H620" s="1"/>
      <c r="I620" s="1"/>
      <c r="J620" s="5"/>
      <c r="K620" s="1"/>
      <c r="L620" s="1"/>
      <c r="M620" s="5"/>
      <c r="N620" s="1"/>
      <c r="O620" s="1"/>
      <c r="P620" s="5"/>
      <c r="Q620" s="1"/>
      <c r="R620" s="1"/>
      <c r="S620" s="5"/>
      <c r="T620" s="1"/>
      <c r="U620" s="1"/>
      <c r="V620" s="5"/>
      <c r="W620" s="1"/>
      <c r="X620" s="1"/>
      <c r="Y620" s="5"/>
      <c r="Z620" s="1"/>
      <c r="AA620" s="1"/>
      <c r="AB620" s="5"/>
      <c r="AC620" s="1"/>
      <c r="AD620" s="1"/>
      <c r="AE620" s="5"/>
      <c r="AF620" s="1"/>
      <c r="AG620" s="1"/>
      <c r="AH620" s="5"/>
      <c r="AI620" s="1"/>
      <c r="AJ620" s="1"/>
      <c r="AK620" s="5"/>
      <c r="AL620" s="1"/>
      <c r="AM620" s="1"/>
      <c r="AN620" s="5"/>
      <c r="AO620" s="1"/>
      <c r="AP620" s="1"/>
      <c r="AQ620" s="5"/>
      <c r="AR620" s="1"/>
      <c r="AS620" s="1"/>
      <c r="AT620" s="5"/>
      <c r="AU620" s="1"/>
      <c r="AV620" s="1"/>
      <c r="AW620" s="5"/>
      <c r="AX620" s="187">
        <f t="shared" ref="AX620:CC620" si="2628">AX584*AX596</f>
        <v>1.44788091643521</v>
      </c>
      <c r="AY620" s="187">
        <f t="shared" si="2628"/>
        <v>1.4465778236104183</v>
      </c>
      <c r="AZ620" s="187">
        <f t="shared" si="2628"/>
        <v>1.4430581772456283</v>
      </c>
      <c r="BA620" s="8">
        <f t="shared" si="2628"/>
        <v>1.4452759035691691</v>
      </c>
      <c r="BB620" s="8">
        <f t="shared" si="2628"/>
        <v>1.4439751552559568</v>
      </c>
      <c r="BC620" s="978">
        <f t="shared" si="2628"/>
        <v>1.4404618414037098</v>
      </c>
      <c r="BD620" s="8">
        <f t="shared" si="2628"/>
        <v>1.4426755776162263</v>
      </c>
      <c r="BE620" s="8">
        <f t="shared" si="2628"/>
        <v>1.4413771695963717</v>
      </c>
      <c r="BF620" s="978">
        <f t="shared" si="2628"/>
        <v>1.4378701768632747</v>
      </c>
      <c r="BG620" s="8">
        <f t="shared" si="2628"/>
        <v>1.440079930143735</v>
      </c>
      <c r="BH620" s="8">
        <f t="shared" si="2628"/>
        <v>1.4387838582066057</v>
      </c>
      <c r="BI620" s="978">
        <f t="shared" si="2628"/>
        <v>1.4352831752197639</v>
      </c>
      <c r="BJ620" s="115">
        <f t="shared" si="2628"/>
        <v>1.4374889527342196</v>
      </c>
      <c r="BK620" s="115">
        <f t="shared" si="2628"/>
        <v>1.4361952126767588</v>
      </c>
      <c r="BL620" s="116">
        <f t="shared" si="2628"/>
        <v>1.4327008280837401</v>
      </c>
      <c r="BM620" s="115">
        <f t="shared" si="2628"/>
        <v>1.4355489248310545</v>
      </c>
      <c r="BN620" s="115">
        <f t="shared" si="2628"/>
        <v>1.4349029278148804</v>
      </c>
      <c r="BO620" s="116">
        <f t="shared" si="2628"/>
        <v>1.4314132592258366</v>
      </c>
      <c r="BP620" s="115">
        <f t="shared" si="2628"/>
        <v>1.4342572214973637</v>
      </c>
      <c r="BQ620" s="115">
        <f t="shared" si="2628"/>
        <v>1.4336118057476899</v>
      </c>
      <c r="BR620" s="116">
        <f t="shared" si="2628"/>
        <v>1.4301252771537183</v>
      </c>
      <c r="BS620" s="8">
        <f t="shared" si="2628"/>
        <v>1.4329666804351033</v>
      </c>
      <c r="BT620" s="8">
        <f t="shared" si="2628"/>
        <v>1.4323218454289077</v>
      </c>
      <c r="BU620" s="187">
        <f t="shared" si="2628"/>
        <v>1.4288384540046488</v>
      </c>
      <c r="BV620" s="8">
        <f t="shared" si="2628"/>
        <v>1.4316773005984649</v>
      </c>
      <c r="BW620" s="8">
        <f t="shared" si="2628"/>
        <v>1.4310330458131955</v>
      </c>
      <c r="BX620" s="187">
        <f t="shared" si="2628"/>
        <v>1.4275527887358317</v>
      </c>
      <c r="BY620" s="8">
        <f t="shared" si="2628"/>
        <v>1.4303890809425799</v>
      </c>
      <c r="BZ620" s="8">
        <f t="shared" si="2628"/>
        <v>1.4297454058561554</v>
      </c>
      <c r="CA620" s="187">
        <f t="shared" si="2628"/>
        <v>1.4262682803054092</v>
      </c>
      <c r="CB620" s="8">
        <f t="shared" si="2628"/>
        <v>1.4291020204235203</v>
      </c>
      <c r="CC620" s="8">
        <f t="shared" si="2628"/>
        <v>1.4284589245143298</v>
      </c>
      <c r="CD620" s="187">
        <f t="shared" ref="CD620:DI620" si="2629">CD584*CD596</f>
        <v>1.4249849276724613</v>
      </c>
      <c r="CE620" s="8">
        <f t="shared" si="2629"/>
        <v>1.4278161179982987</v>
      </c>
      <c r="CF620" s="8">
        <f t="shared" si="2629"/>
        <v>1.4271736007451994</v>
      </c>
      <c r="CG620" s="187">
        <f t="shared" si="2629"/>
        <v>1.423702729797004</v>
      </c>
      <c r="CH620" s="8">
        <f t="shared" si="2629"/>
        <v>1.4265313726248641</v>
      </c>
      <c r="CI620" s="8">
        <f t="shared" si="2629"/>
        <v>1.4258894335071828</v>
      </c>
      <c r="CJ620" s="187">
        <f t="shared" si="2629"/>
        <v>1.4224216856399896</v>
      </c>
      <c r="CK620" s="8">
        <f t="shared" si="2629"/>
        <v>1.4252477832621049</v>
      </c>
      <c r="CL620" s="8">
        <f t="shared" si="2629"/>
        <v>1.4246064217596368</v>
      </c>
      <c r="CM620" s="187">
        <f t="shared" si="2629"/>
        <v>1.4211417941633051</v>
      </c>
      <c r="CN620" s="8">
        <f t="shared" si="2629"/>
        <v>1.4239653488698449</v>
      </c>
      <c r="CO620" s="8">
        <f t="shared" si="2629"/>
        <v>1.4233245644628538</v>
      </c>
      <c r="CP620" s="187">
        <f t="shared" si="2629"/>
        <v>1.4198630543297717</v>
      </c>
      <c r="CQ620" s="8">
        <f t="shared" si="2629"/>
        <v>1.4226840684088455</v>
      </c>
      <c r="CR620" s="8">
        <f t="shared" si="2629"/>
        <v>1.4220438605780616</v>
      </c>
      <c r="CS620" s="187">
        <f t="shared" si="2629"/>
        <v>1.4185854651031438</v>
      </c>
      <c r="CT620" s="8">
        <f t="shared" si="2629"/>
        <v>1.4214039408408015</v>
      </c>
      <c r="CU620" s="8">
        <f t="shared" si="2629"/>
        <v>1.4207643090674231</v>
      </c>
      <c r="CV620" s="187">
        <f t="shared" si="2629"/>
        <v>1.4173090254481073</v>
      </c>
      <c r="CW620" s="8">
        <f t="shared" si="2629"/>
        <v>1.420124965128343</v>
      </c>
      <c r="CX620" s="8">
        <f t="shared" si="2629"/>
        <v>1.4194859088940353</v>
      </c>
      <c r="CY620" s="187">
        <f t="shared" si="2629"/>
        <v>1.4160337343302818</v>
      </c>
      <c r="CZ620" s="8">
        <f t="shared" si="2629"/>
        <v>1.4188471402350329</v>
      </c>
      <c r="DA620" s="8">
        <f t="shared" si="2629"/>
        <v>1.4182086590219272</v>
      </c>
      <c r="DB620" s="187">
        <f t="shared" si="2629"/>
        <v>1.4147595907162158</v>
      </c>
      <c r="DC620" s="8">
        <f t="shared" si="2629"/>
        <v>1.4175704651253673</v>
      </c>
      <c r="DD620" s="8">
        <f t="shared" si="2629"/>
        <v>1.4169325584160608</v>
      </c>
      <c r="DE620" s="187">
        <f t="shared" si="2629"/>
        <v>1.4134865935733885</v>
      </c>
      <c r="DF620" s="8">
        <f t="shared" si="2629"/>
        <v>1.4162949387647739</v>
      </c>
      <c r="DG620" s="8">
        <f t="shared" si="2629"/>
        <v>1.4156576060423298</v>
      </c>
      <c r="DH620" s="187">
        <f t="shared" si="2629"/>
        <v>1.4122147418702078</v>
      </c>
      <c r="DI620" s="8">
        <f t="shared" si="2629"/>
        <v>1.4150205601196109</v>
      </c>
      <c r="DJ620" s="8">
        <f t="shared" ref="DJ620:EF620" si="2630">DJ584*DJ596</f>
        <v>1.4143838008675571</v>
      </c>
      <c r="DK620" s="187">
        <f t="shared" si="2630"/>
        <v>1.4109440345760103</v>
      </c>
      <c r="DL620" s="8">
        <f t="shared" si="2630"/>
        <v>1.4137473281571669</v>
      </c>
      <c r="DM620" s="8">
        <f t="shared" si="2630"/>
        <v>1.4131111418594959</v>
      </c>
      <c r="DN620" s="187">
        <f t="shared" si="2630"/>
        <v>1.4096744706610587</v>
      </c>
      <c r="DO620" s="8">
        <f t="shared" si="2630"/>
        <v>1.4124752418456594</v>
      </c>
      <c r="DP620" s="8">
        <f t="shared" si="2630"/>
        <v>1.411839627986829</v>
      </c>
      <c r="DQ620" s="187">
        <f t="shared" si="2630"/>
        <v>1.4084060490965444</v>
      </c>
      <c r="DR620" s="8">
        <f t="shared" si="2630"/>
        <v>1.4112043001542351</v>
      </c>
      <c r="DS620" s="8">
        <f t="shared" si="2630"/>
        <v>1.4105692582191658</v>
      </c>
      <c r="DT620" s="187">
        <f t="shared" si="2630"/>
        <v>1.4071387688545827</v>
      </c>
      <c r="DU620" s="8">
        <f t="shared" si="2630"/>
        <v>1.4099345020529672</v>
      </c>
      <c r="DV620" s="8">
        <f t="shared" si="2630"/>
        <v>1.4093000315270434</v>
      </c>
      <c r="DW620" s="187">
        <f t="shared" si="2630"/>
        <v>1.4058726289082142</v>
      </c>
      <c r="DX620" s="8">
        <f t="shared" si="2630"/>
        <v>1.4086658465128563</v>
      </c>
      <c r="DY620" s="8">
        <f t="shared" si="2630"/>
        <v>1.4080319468819256</v>
      </c>
      <c r="DZ620" s="187">
        <f t="shared" si="2630"/>
        <v>1.4046076282314044</v>
      </c>
      <c r="EA620" s="8">
        <f t="shared" si="2630"/>
        <v>1.4073983325058286</v>
      </c>
      <c r="EB620" s="8">
        <f t="shared" si="2630"/>
        <v>1.4067650032562011</v>
      </c>
      <c r="EC620" s="187">
        <f t="shared" si="2630"/>
        <v>1.4033437657990409</v>
      </c>
      <c r="ED620" s="8">
        <f t="shared" si="2630"/>
        <v>1.4061319590047359</v>
      </c>
      <c r="EE620" s="8">
        <f t="shared" si="2630"/>
        <v>1.4054991996231836</v>
      </c>
      <c r="EF620" s="187">
        <f t="shared" si="2630"/>
        <v>1.4020810405869342</v>
      </c>
      <c r="EG620" s="8">
        <f t="shared" ref="EG620:EL620" si="2631">EG584*EG596</f>
        <v>1.4048667249833533</v>
      </c>
      <c r="EH620" s="8">
        <f t="shared" si="2631"/>
        <v>1.4042345349571108</v>
      </c>
      <c r="EI620" s="187">
        <f t="shared" si="2631"/>
        <v>1.4008194515718169</v>
      </c>
      <c r="EJ620" s="8">
        <f t="shared" si="2631"/>
        <v>1.4036026294163801</v>
      </c>
      <c r="EK620" s="8">
        <f t="shared" si="2631"/>
        <v>1.4029710082331428</v>
      </c>
      <c r="EL620" s="187">
        <f t="shared" si="2631"/>
        <v>1.3995589977313412</v>
      </c>
      <c r="EM620" s="8">
        <f t="shared" ref="EM620:ER620" si="2632">EM584*EM596</f>
        <v>1.402339671279438</v>
      </c>
      <c r="EN620" s="8">
        <f t="shared" si="2632"/>
        <v>1.4017086184273624</v>
      </c>
      <c r="EO620" s="187">
        <f t="shared" si="2632"/>
        <v>1.3982996780440804</v>
      </c>
      <c r="EP620" s="8">
        <f t="shared" si="2632"/>
        <v>1.4010778495490703</v>
      </c>
      <c r="EQ620" s="8">
        <f t="shared" si="2632"/>
        <v>1.4004473645167734</v>
      </c>
      <c r="ER620" s="187">
        <f t="shared" si="2632"/>
        <v>1.3970414914895257</v>
      </c>
      <c r="ES620" s="8">
        <f t="shared" ref="ES620:EX620" si="2633">ES584*ES596</f>
        <v>1.399817163202741</v>
      </c>
      <c r="ET620" s="8">
        <f t="shared" si="2633"/>
        <v>1.3991872454792997</v>
      </c>
      <c r="EU620" s="187">
        <f t="shared" si="2633"/>
        <v>1.3957844370480876</v>
      </c>
      <c r="EV620" s="8">
        <f t="shared" si="2633"/>
        <v>1.3985576112188343</v>
      </c>
      <c r="EW620" s="8">
        <f t="shared" si="2633"/>
        <v>1.3979282602937857</v>
      </c>
      <c r="EX620" s="187">
        <f t="shared" si="2633"/>
        <v>1.3945285137010925</v>
      </c>
      <c r="EY620" s="8">
        <f t="shared" ref="EY620:FA620" si="2634">EY584*EY596</f>
        <v>1.3972991925766536</v>
      </c>
      <c r="EZ620" s="8">
        <f t="shared" si="2634"/>
        <v>1.3966704079399941</v>
      </c>
      <c r="FA620" s="187">
        <f t="shared" si="2634"/>
        <v>1.3932737204307859</v>
      </c>
      <c r="FH620" s="35"/>
      <c r="FI620" s="35"/>
      <c r="FJ620" s="35"/>
      <c r="FK620" s="35"/>
      <c r="FL620" s="35"/>
      <c r="FM620" s="35"/>
      <c r="FN620" s="35"/>
      <c r="FO620" s="35"/>
      <c r="FP620" s="35"/>
      <c r="FQ620" s="35"/>
    </row>
    <row r="621" spans="1:173" s="321" customFormat="1" hidden="1" outlineLevel="1">
      <c r="A621" s="1168"/>
      <c r="B621" s="186"/>
      <c r="C621" s="186" t="s">
        <v>431</v>
      </c>
      <c r="D621" s="910"/>
      <c r="E621" s="1"/>
      <c r="F621" s="1"/>
      <c r="G621" s="5"/>
      <c r="H621" s="1"/>
      <c r="I621" s="1"/>
      <c r="J621" s="5"/>
      <c r="K621" s="1"/>
      <c r="L621" s="1"/>
      <c r="M621" s="5"/>
      <c r="N621" s="1"/>
      <c r="O621" s="1"/>
      <c r="P621" s="5"/>
      <c r="Q621" s="1"/>
      <c r="R621" s="1"/>
      <c r="S621" s="5"/>
      <c r="T621" s="1"/>
      <c r="U621" s="1"/>
      <c r="V621" s="5"/>
      <c r="W621" s="1"/>
      <c r="X621" s="1"/>
      <c r="Y621" s="5"/>
      <c r="Z621" s="1"/>
      <c r="AA621" s="1"/>
      <c r="AB621" s="5"/>
      <c r="AC621" s="1"/>
      <c r="AD621" s="1"/>
      <c r="AE621" s="5"/>
      <c r="AF621" s="1"/>
      <c r="AG621" s="1"/>
      <c r="AH621" s="5"/>
      <c r="AI621" s="1"/>
      <c r="AJ621" s="1"/>
      <c r="AK621" s="5"/>
      <c r="AL621" s="1"/>
      <c r="AM621" s="1"/>
      <c r="AN621" s="5"/>
      <c r="AO621" s="1"/>
      <c r="AP621" s="1"/>
      <c r="AQ621" s="5"/>
      <c r="AR621" s="1"/>
      <c r="AS621" s="1"/>
      <c r="AT621" s="5"/>
      <c r="AU621" s="1"/>
      <c r="AV621" s="1"/>
      <c r="AW621" s="5"/>
      <c r="AX621" s="187">
        <f t="shared" ref="AX621:CC621" si="2635">AX585*AX597</f>
        <v>7.5886509269591995</v>
      </c>
      <c r="AY621" s="187">
        <f t="shared" si="2635"/>
        <v>7.6372182928917383</v>
      </c>
      <c r="AZ621" s="187">
        <f t="shared" si="2635"/>
        <v>7.5981261094509387</v>
      </c>
      <c r="BA621" s="8">
        <f t="shared" si="2635"/>
        <v>7.6860964899662454</v>
      </c>
      <c r="BB621" s="8">
        <f t="shared" si="2635"/>
        <v>7.7352875075020284</v>
      </c>
      <c r="BC621" s="978">
        <f t="shared" si="2635"/>
        <v>7.6956933428973526</v>
      </c>
      <c r="BD621" s="8">
        <f t="shared" si="2635"/>
        <v>7.7847933475500417</v>
      </c>
      <c r="BE621" s="8">
        <f t="shared" si="2635"/>
        <v>7.8346160249743617</v>
      </c>
      <c r="BF621" s="978">
        <f t="shared" si="2635"/>
        <v>7.7945134332857631</v>
      </c>
      <c r="BG621" s="8">
        <f t="shared" si="2635"/>
        <v>7.884757567534197</v>
      </c>
      <c r="BH621" s="8">
        <f t="shared" si="2635"/>
        <v>7.9352200159664168</v>
      </c>
      <c r="BI621" s="978">
        <f t="shared" si="2635"/>
        <v>7.8946024685020486</v>
      </c>
      <c r="BJ621" s="115">
        <f t="shared" si="2635"/>
        <v>7.9860054240686003</v>
      </c>
      <c r="BK621" s="115">
        <f t="shared" si="2635"/>
        <v>8.0371158587826397</v>
      </c>
      <c r="BL621" s="116">
        <f t="shared" si="2635"/>
        <v>7.9959767430159836</v>
      </c>
      <c r="BM621" s="115">
        <f t="shared" si="2635"/>
        <v>8.0628346295307445</v>
      </c>
      <c r="BN621" s="115">
        <f t="shared" si="2635"/>
        <v>8.0886357003452449</v>
      </c>
      <c r="BO621" s="116">
        <f t="shared" si="2635"/>
        <v>8.047100806538138</v>
      </c>
      <c r="BP621" s="115">
        <f t="shared" si="2635"/>
        <v>8.1145193345863493</v>
      </c>
      <c r="BQ621" s="115">
        <f t="shared" si="2635"/>
        <v>8.1404857964570265</v>
      </c>
      <c r="BR621" s="116">
        <f t="shared" si="2635"/>
        <v>8.0986846540122421</v>
      </c>
      <c r="BS621" s="8">
        <f t="shared" si="2635"/>
        <v>8.1665353510056899</v>
      </c>
      <c r="BT621" s="8">
        <f t="shared" si="2635"/>
        <v>8.1926682641289101</v>
      </c>
      <c r="BU621" s="187">
        <f t="shared" si="2635"/>
        <v>8.1505991663287798</v>
      </c>
      <c r="BV621" s="8">
        <f t="shared" si="2635"/>
        <v>8.2188848025741237</v>
      </c>
      <c r="BW621" s="8">
        <f t="shared" si="2635"/>
        <v>8.2451852339423617</v>
      </c>
      <c r="BX621" s="187">
        <f t="shared" si="2635"/>
        <v>8.2028464631287505</v>
      </c>
      <c r="BY621" s="8">
        <f t="shared" si="2635"/>
        <v>8.2715698266909783</v>
      </c>
      <c r="BZ621" s="8">
        <f t="shared" si="2635"/>
        <v>8.298038850136388</v>
      </c>
      <c r="CA621" s="187">
        <f t="shared" si="2635"/>
        <v>8.2554286776405572</v>
      </c>
      <c r="CB621" s="8">
        <f t="shared" si="2635"/>
        <v>8.3245925744568261</v>
      </c>
      <c r="CC621" s="8">
        <f t="shared" si="2635"/>
        <v>8.3512312706950897</v>
      </c>
      <c r="CD621" s="187">
        <f t="shared" ref="CD621:DI621" si="2636">CD585*CD597</f>
        <v>8.3083479567671166</v>
      </c>
      <c r="CE621" s="8">
        <f t="shared" si="2636"/>
        <v>8.3779552107613142</v>
      </c>
      <c r="CF621" s="8">
        <f t="shared" si="2636"/>
        <v>8.4047646674357512</v>
      </c>
      <c r="CG621" s="187">
        <f t="shared" si="2636"/>
        <v>8.3616064611735048</v>
      </c>
      <c r="CH621" s="8">
        <f t="shared" si="2636"/>
        <v>8.4316599143715472</v>
      </c>
      <c r="CI621" s="8">
        <f t="shared" si="2636"/>
        <v>8.4586412260975354</v>
      </c>
      <c r="CJ621" s="187">
        <f t="shared" si="2636"/>
        <v>8.4152063653751803</v>
      </c>
      <c r="CK621" s="8">
        <f t="shared" si="2636"/>
        <v>8.4857088780210486</v>
      </c>
      <c r="CL621" s="8">
        <f t="shared" si="2636"/>
        <v>8.5128631464307158</v>
      </c>
      <c r="CM621" s="187">
        <f t="shared" si="2636"/>
        <v>8.4691498578267641</v>
      </c>
      <c r="CN621" s="8">
        <f t="shared" si="2636"/>
        <v>8.5401043084992967</v>
      </c>
      <c r="CO621" s="8">
        <f t="shared" si="2636"/>
        <v>8.5674326422864944</v>
      </c>
      <c r="CP621" s="187">
        <f t="shared" si="2636"/>
        <v>8.5234391410113997</v>
      </c>
      <c r="CQ621" s="8">
        <f t="shared" si="2636"/>
        <v>8.5948484267418142</v>
      </c>
      <c r="CR621" s="8">
        <f t="shared" si="2636"/>
        <v>8.6223519417073877</v>
      </c>
      <c r="CS621" s="187">
        <f t="shared" si="2636"/>
        <v>8.5780764315306808</v>
      </c>
      <c r="CT621" s="8">
        <f t="shared" si="2636"/>
        <v>8.6499434679208527</v>
      </c>
      <c r="CU621" s="8">
        <f t="shared" si="2636"/>
        <v>8.6776232870181982</v>
      </c>
      <c r="CV621" s="187">
        <f t="shared" si="2636"/>
        <v>8.6330639601951358</v>
      </c>
      <c r="CW621" s="8">
        <f t="shared" si="2636"/>
        <v>8.705391681536657</v>
      </c>
      <c r="CX621" s="8">
        <f t="shared" si="2636"/>
        <v>8.7332489349175759</v>
      </c>
      <c r="CY621" s="187">
        <f t="shared" si="2636"/>
        <v>8.6884039721153385</v>
      </c>
      <c r="CZ621" s="8">
        <f t="shared" si="2636"/>
        <v>8.761195331509315</v>
      </c>
      <c r="DA621" s="8">
        <f t="shared" si="2636"/>
        <v>8.7892311565701444</v>
      </c>
      <c r="DB621" s="187">
        <f t="shared" si="2636"/>
        <v>8.7440987267935544</v>
      </c>
      <c r="DC621" s="8">
        <f t="shared" si="2636"/>
        <v>8.8173566962711689</v>
      </c>
      <c r="DD621" s="8">
        <f t="shared" si="2636"/>
        <v>8.845572237699237</v>
      </c>
      <c r="DE621" s="187">
        <f t="shared" si="2636"/>
        <v>8.800150498215995</v>
      </c>
      <c r="DF621" s="8">
        <f t="shared" si="2636"/>
        <v>8.8738780688598755</v>
      </c>
      <c r="DG621" s="8">
        <f t="shared" si="2636"/>
        <v>8.9022744786802264</v>
      </c>
      <c r="DH621" s="187">
        <f t="shared" si="2636"/>
        <v>8.8565615749456796</v>
      </c>
      <c r="DI621" s="8">
        <f t="shared" si="2636"/>
        <v>8.9307617570120037</v>
      </c>
      <c r="DJ621" s="8">
        <f t="shared" ref="DJ621:EF621" si="2637">DJ585*DJ597</f>
        <v>8.9593401946344429</v>
      </c>
      <c r="DK621" s="187">
        <f t="shared" si="2637"/>
        <v>8.9133342602158585</v>
      </c>
      <c r="DL621" s="8">
        <f t="shared" si="2637"/>
        <v>8.9880100832572722</v>
      </c>
      <c r="DM621" s="8">
        <f t="shared" si="2637"/>
        <v>9.0167717155236975</v>
      </c>
      <c r="DN621" s="187">
        <f t="shared" si="2637"/>
        <v>8.9704708720240678</v>
      </c>
      <c r="DO621" s="8">
        <f t="shared" si="2637"/>
        <v>9.0456253850133734</v>
      </c>
      <c r="DP621" s="8">
        <f t="shared" si="2637"/>
        <v>9.0745713862454167</v>
      </c>
      <c r="DQ621" s="187">
        <f t="shared" si="2637"/>
        <v>9.0279737432267524</v>
      </c>
      <c r="DR621" s="8">
        <f t="shared" si="2637"/>
        <v>9.1036100146814025</v>
      </c>
      <c r="DS621" s="8">
        <f t="shared" si="2637"/>
        <v>9.1327415667283844</v>
      </c>
      <c r="DT621" s="187">
        <f t="shared" si="2637"/>
        <v>9.0858452216345356</v>
      </c>
      <c r="DU621" s="8">
        <f t="shared" si="2637"/>
        <v>9.1619663397419142</v>
      </c>
      <c r="DV621" s="8">
        <f t="shared" si="2637"/>
        <v>9.19128463202909</v>
      </c>
      <c r="DW621" s="187">
        <f t="shared" si="2637"/>
        <v>9.1440876701080676</v>
      </c>
      <c r="DX621" s="8">
        <f t="shared" si="2637"/>
        <v>9.2206967428515831</v>
      </c>
      <c r="DY621" s="8">
        <f t="shared" si="2637"/>
        <v>9.2502029724287098</v>
      </c>
      <c r="DZ621" s="187">
        <f t="shared" si="2637"/>
        <v>9.2027034666545031</v>
      </c>
      <c r="EA621" s="8">
        <f t="shared" si="2637"/>
        <v>9.2798036219404825</v>
      </c>
      <c r="EB621" s="8">
        <f t="shared" si="2637"/>
        <v>9.3094989935306938</v>
      </c>
      <c r="EC621" s="187">
        <f t="shared" si="2637"/>
        <v>9.2616950045245918</v>
      </c>
      <c r="ED621" s="8">
        <f t="shared" si="2637"/>
        <v>9.3392893903099932</v>
      </c>
      <c r="EE621" s="8">
        <f t="shared" si="2637"/>
        <v>9.3691751163589849</v>
      </c>
      <c r="EF621" s="187">
        <f t="shared" si="2637"/>
        <v>9.3210646923103972</v>
      </c>
      <c r="EG621" s="8">
        <f t="shared" ref="EG621:EL621" si="2638">EG585*EG597</f>
        <v>9.3991564767313349</v>
      </c>
      <c r="EH621" s="8">
        <f t="shared" si="2638"/>
        <v>9.4292337774568775</v>
      </c>
      <c r="EI621" s="187">
        <f t="shared" si="2638"/>
        <v>9.3808149540436361</v>
      </c>
      <c r="EJ621" s="8">
        <f t="shared" si="2638"/>
        <v>9.4594073255447384</v>
      </c>
      <c r="EK621" s="8">
        <f t="shared" si="2638"/>
        <v>9.4896774289864823</v>
      </c>
      <c r="EL621" s="187">
        <f t="shared" si="2638"/>
        <v>9.4409482292946461</v>
      </c>
      <c r="EM621" s="8">
        <f t="shared" ref="EM621:ER621" si="2639">EM585*EM597</f>
        <v>9.5200443967592392</v>
      </c>
      <c r="EN621" s="8">
        <f t="shared" si="2639"/>
        <v>9.5505085388288702</v>
      </c>
      <c r="EO621" s="187">
        <f t="shared" si="2639"/>
        <v>9.5014669732720005</v>
      </c>
      <c r="EP621" s="8">
        <f t="shared" si="2639"/>
        <v>9.5810701661531237</v>
      </c>
      <c r="EQ621" s="8">
        <f t="shared" si="2639"/>
        <v>9.6117295906848135</v>
      </c>
      <c r="ER621" s="187">
        <f t="shared" si="2639"/>
        <v>9.5623736569227482</v>
      </c>
      <c r="ES621" s="8">
        <f t="shared" ref="ES621:EX621" si="2640">ES585*ES597</f>
        <v>9.6424871253750055</v>
      </c>
      <c r="ET621" s="8">
        <f t="shared" si="2640"/>
        <v>9.6733430841762065</v>
      </c>
      <c r="EU621" s="187">
        <f t="shared" si="2640"/>
        <v>9.6236707670333015</v>
      </c>
      <c r="EV621" s="8">
        <f t="shared" si="2640"/>
        <v>9.7042977820455718</v>
      </c>
      <c r="EW621" s="8">
        <f t="shared" si="2640"/>
        <v>9.7353515349481174</v>
      </c>
      <c r="EX621" s="187">
        <f t="shared" si="2640"/>
        <v>9.6853608063309693</v>
      </c>
      <c r="EY621" s="8">
        <f t="shared" ref="EY621:FA621" si="2641">EY585*EY597</f>
        <v>9.766504659859951</v>
      </c>
      <c r="EZ621" s="8">
        <f t="shared" si="2641"/>
        <v>9.7977574747715046</v>
      </c>
      <c r="FA621" s="187">
        <f t="shared" si="2641"/>
        <v>9.7474462935861474</v>
      </c>
      <c r="FH621" s="35"/>
      <c r="FI621" s="35"/>
      <c r="FJ621" s="35"/>
      <c r="FK621" s="35"/>
      <c r="FL621" s="35"/>
      <c r="FM621" s="35"/>
      <c r="FN621" s="35"/>
      <c r="FO621" s="35"/>
      <c r="FP621" s="35"/>
      <c r="FQ621" s="35"/>
    </row>
    <row r="622" spans="1:173" s="321" customFormat="1" hidden="1" outlineLevel="1">
      <c r="A622" s="1168"/>
      <c r="B622" s="186"/>
      <c r="C622" s="186" t="s">
        <v>327</v>
      </c>
      <c r="D622" s="910"/>
      <c r="E622" s="1"/>
      <c r="F622" s="1"/>
      <c r="G622" s="5"/>
      <c r="H622" s="1"/>
      <c r="I622" s="1"/>
      <c r="J622" s="5"/>
      <c r="K622" s="1"/>
      <c r="L622" s="1"/>
      <c r="M622" s="5"/>
      <c r="N622" s="1"/>
      <c r="O622" s="1"/>
      <c r="P622" s="5"/>
      <c r="Q622" s="1"/>
      <c r="R622" s="1"/>
      <c r="S622" s="5"/>
      <c r="T622" s="1"/>
      <c r="U622" s="1"/>
      <c r="V622" s="5"/>
      <c r="W622" s="1"/>
      <c r="X622" s="1"/>
      <c r="Y622" s="5"/>
      <c r="Z622" s="1"/>
      <c r="AA622" s="1"/>
      <c r="AB622" s="5"/>
      <c r="AC622" s="1"/>
      <c r="AD622" s="1"/>
      <c r="AE622" s="5"/>
      <c r="AF622" s="1"/>
      <c r="AG622" s="1"/>
      <c r="AH622" s="5"/>
      <c r="AI622" s="1"/>
      <c r="AJ622" s="1"/>
      <c r="AK622" s="5"/>
      <c r="AL622" s="1"/>
      <c r="AM622" s="1"/>
      <c r="AN622" s="5"/>
      <c r="AO622" s="1"/>
      <c r="AP622" s="1"/>
      <c r="AQ622" s="5"/>
      <c r="AR622" s="1"/>
      <c r="AS622" s="1"/>
      <c r="AT622" s="5"/>
      <c r="AU622" s="1"/>
      <c r="AV622" s="1"/>
      <c r="AW622" s="5"/>
      <c r="AX622" s="187">
        <f t="shared" ref="AX622:CC622" si="2642">SUM(AX619:AX621)</f>
        <v>9.6842224640264973</v>
      </c>
      <c r="AY622" s="187">
        <f t="shared" si="2642"/>
        <v>9.7333974244651085</v>
      </c>
      <c r="AZ622" s="187">
        <f t="shared" si="2642"/>
        <v>9.6884944087916072</v>
      </c>
      <c r="BA622" s="8">
        <f t="shared" si="2642"/>
        <v>9.782890025356858</v>
      </c>
      <c r="BB622" s="8">
        <f t="shared" si="2642"/>
        <v>9.8327022715933019</v>
      </c>
      <c r="BC622" s="978">
        <f t="shared" si="2642"/>
        <v>9.7872900693328013</v>
      </c>
      <c r="BD622" s="8">
        <f t="shared" si="2642"/>
        <v>9.882836180847649</v>
      </c>
      <c r="BE622" s="8">
        <f t="shared" si="2642"/>
        <v>9.9332937836563744</v>
      </c>
      <c r="BF622" s="978">
        <f t="shared" si="2642"/>
        <v>9.8873658575038004</v>
      </c>
      <c r="BG622" s="8">
        <f t="shared" si="2642"/>
        <v>9.9840771235013754</v>
      </c>
      <c r="BH622" s="8">
        <f t="shared" si="2642"/>
        <v>10.035188256892646</v>
      </c>
      <c r="BI622" s="978">
        <f t="shared" si="2642"/>
        <v>9.9887379863189754</v>
      </c>
      <c r="BJ622" s="115">
        <f t="shared" si="2642"/>
        <v>10.086629253451465</v>
      </c>
      <c r="BK622" s="115">
        <f t="shared" si="2642"/>
        <v>10.138402195994157</v>
      </c>
      <c r="BL622" s="116">
        <f t="shared" si="2642"/>
        <v>10.091422876180722</v>
      </c>
      <c r="BM622" s="115">
        <f t="shared" si="2642"/>
        <v>10.164455688305246</v>
      </c>
      <c r="BN622" s="115">
        <f t="shared" si="2642"/>
        <v>10.190593218501139</v>
      </c>
      <c r="BO622" s="116">
        <f t="shared" si="2642"/>
        <v>10.143212446192898</v>
      </c>
      <c r="BP622" s="115">
        <f t="shared" si="2642"/>
        <v>10.216815051945479</v>
      </c>
      <c r="BQ622" s="115">
        <f t="shared" si="2642"/>
        <v>10.243121454847879</v>
      </c>
      <c r="BR622" s="116">
        <f t="shared" si="2642"/>
        <v>10.195470617951562</v>
      </c>
      <c r="BS622" s="8">
        <f t="shared" si="2642"/>
        <v>10.269512694266606</v>
      </c>
      <c r="BT622" s="8">
        <f t="shared" si="2642"/>
        <v>10.295989038111298</v>
      </c>
      <c r="BU622" s="187">
        <f t="shared" si="2642"/>
        <v>10.248066406548705</v>
      </c>
      <c r="BV622" s="8">
        <f t="shared" si="2642"/>
        <v>10.322550755145684</v>
      </c>
      <c r="BW622" s="8">
        <f t="shared" si="2642"/>
        <v>10.349198114990314</v>
      </c>
      <c r="BX622" s="187">
        <f t="shared" si="2642"/>
        <v>10.301001947684696</v>
      </c>
      <c r="BY622" s="8">
        <f t="shared" si="2642"/>
        <v>10.375931388125284</v>
      </c>
      <c r="BZ622" s="8">
        <f t="shared" si="2642"/>
        <v>10.402750845892996</v>
      </c>
      <c r="CA622" s="187">
        <f t="shared" si="2642"/>
        <v>10.354279390698739</v>
      </c>
      <c r="CB622" s="8">
        <f t="shared" si="2642"/>
        <v>10.429656760500901</v>
      </c>
      <c r="CC622" s="8">
        <f t="shared" si="2642"/>
        <v>10.456649405024265</v>
      </c>
      <c r="CD622" s="187">
        <f t="shared" ref="CD622:DI622" si="2643">SUM(CD619:CD621)</f>
        <v>10.407900898656127</v>
      </c>
      <c r="CE622" s="8">
        <f t="shared" si="2643"/>
        <v>10.483729053408936</v>
      </c>
      <c r="CF622" s="8">
        <f t="shared" si="2643"/>
        <v>10.510895980474132</v>
      </c>
      <c r="CG622" s="187">
        <f t="shared" si="2643"/>
        <v>10.461868648436033</v>
      </c>
      <c r="CH622" s="8">
        <f t="shared" si="2643"/>
        <v>10.538150461915224</v>
      </c>
      <c r="CI622" s="8">
        <f t="shared" si="2643"/>
        <v>10.565492774306536</v>
      </c>
      <c r="CJ622" s="187">
        <f t="shared" si="2643"/>
        <v>10.516184830819887</v>
      </c>
      <c r="CK622" s="8">
        <f t="shared" si="2643"/>
        <v>10.592923195104156</v>
      </c>
      <c r="CL622" s="8">
        <f t="shared" si="2643"/>
        <v>10.62044200264874</v>
      </c>
      <c r="CM622" s="187">
        <f t="shared" si="2643"/>
        <v>10.570851650580304</v>
      </c>
      <c r="CN622" s="8">
        <f t="shared" si="2643"/>
        <v>10.648049476168357</v>
      </c>
      <c r="CO622" s="8">
        <f t="shared" si="2643"/>
        <v>10.675745895781292</v>
      </c>
      <c r="CP622" s="187">
        <f t="shared" si="2643"/>
        <v>10.625871326570593</v>
      </c>
      <c r="CQ622" s="8">
        <f t="shared" si="2643"/>
        <v>10.703531542498926</v>
      </c>
      <c r="CR622" s="8">
        <f t="shared" si="2643"/>
        <v>10.731406698228554</v>
      </c>
      <c r="CS622" s="187">
        <f t="shared" si="2643"/>
        <v>10.68124609181484</v>
      </c>
      <c r="CT622" s="8">
        <f t="shared" si="2643"/>
        <v>10.759371645776275</v>
      </c>
      <c r="CU622" s="8">
        <f t="shared" si="2643"/>
        <v>10.787426668849838</v>
      </c>
      <c r="CV622" s="187">
        <f t="shared" si="2643"/>
        <v>10.736978193598532</v>
      </c>
      <c r="CW622" s="8">
        <f t="shared" si="2643"/>
        <v>10.815572052061544</v>
      </c>
      <c r="CX622" s="8">
        <f t="shared" si="2643"/>
        <v>10.843808080931115</v>
      </c>
      <c r="CY622" s="187">
        <f t="shared" si="2643"/>
        <v>10.793069893559833</v>
      </c>
      <c r="CZ622" s="8">
        <f t="shared" si="2643"/>
        <v>10.872135041888603</v>
      </c>
      <c r="DA622" s="8">
        <f t="shared" si="2643"/>
        <v>10.900553222277289</v>
      </c>
      <c r="DB622" s="187">
        <f t="shared" si="2643"/>
        <v>10.849523467781371</v>
      </c>
      <c r="DC622" s="8">
        <f t="shared" si="2643"/>
        <v>10.929062910356615</v>
      </c>
      <c r="DD622" s="8">
        <f t="shared" si="2643"/>
        <v>10.957664395305091</v>
      </c>
      <c r="DE622" s="187">
        <f t="shared" si="2643"/>
        <v>10.906341206882654</v>
      </c>
      <c r="DF622" s="8">
        <f t="shared" si="2643"/>
        <v>10.986357967223249</v>
      </c>
      <c r="DG622" s="8">
        <f t="shared" si="2643"/>
        <v>11.015143917136562</v>
      </c>
      <c r="DH622" s="187">
        <f t="shared" si="2643"/>
        <v>10.963525416113072</v>
      </c>
      <c r="DI622" s="8">
        <f t="shared" si="2643"/>
        <v>11.044022536998433</v>
      </c>
      <c r="DJ622" s="8">
        <f t="shared" ref="DJ622:EF622" si="2644">SUM(DJ619:DJ621)</f>
        <v>11.072994119693121</v>
      </c>
      <c r="DK622" s="187">
        <f t="shared" si="2644"/>
        <v>11.021078415445491</v>
      </c>
      <c r="DL622" s="8">
        <f t="shared" si="2644"/>
        <v>11.102058959038743</v>
      </c>
      <c r="DM622" s="8">
        <f t="shared" si="2644"/>
        <v>11.131217349790242</v>
      </c>
      <c r="DN622" s="187">
        <f t="shared" si="2644"/>
        <v>11.079002539670437</v>
      </c>
      <c r="DO622" s="8">
        <f t="shared" si="2644"/>
        <v>11.160469587642382</v>
      </c>
      <c r="DP622" s="8">
        <f t="shared" si="2644"/>
        <v>11.18981596923275</v>
      </c>
      <c r="DQ622" s="187">
        <f t="shared" si="2644"/>
        <v>11.137300138490904</v>
      </c>
      <c r="DR622" s="8">
        <f t="shared" si="2644"/>
        <v>11.219256792144769</v>
      </c>
      <c r="DS622" s="8">
        <f t="shared" si="2644"/>
        <v>11.248792354910712</v>
      </c>
      <c r="DT622" s="187">
        <f t="shared" si="2644"/>
        <v>11.195973576617748</v>
      </c>
      <c r="DU622" s="8">
        <f t="shared" si="2644"/>
        <v>11.278422957014739</v>
      </c>
      <c r="DV622" s="8">
        <f t="shared" si="2644"/>
        <v>11.30814889889594</v>
      </c>
      <c r="DW622" s="187">
        <f t="shared" si="2644"/>
        <v>11.255025233865709</v>
      </c>
      <c r="DX622" s="8">
        <f t="shared" si="2644"/>
        <v>11.337970481951372</v>
      </c>
      <c r="DY622" s="8">
        <f t="shared" si="2644"/>
        <v>11.367888008539133</v>
      </c>
      <c r="DZ622" s="187">
        <f t="shared" si="2644"/>
        <v>11.31445750525004</v>
      </c>
      <c r="EA622" s="8">
        <f t="shared" si="2644"/>
        <v>11.397901781981421</v>
      </c>
      <c r="EB622" s="8">
        <f t="shared" si="2644"/>
        <v>11.428012106567618</v>
      </c>
      <c r="EC622" s="187">
        <f t="shared" si="2644"/>
        <v>11.374272801083748</v>
      </c>
      <c r="ED622" s="8">
        <f t="shared" si="2644"/>
        <v>11.45821928755738</v>
      </c>
      <c r="EE622" s="8">
        <f t="shared" si="2644"/>
        <v>11.488523631183726</v>
      </c>
      <c r="EF622" s="187">
        <f t="shared" si="2644"/>
        <v>11.434473547075477</v>
      </c>
      <c r="EG622" s="8">
        <f t="shared" ref="EG622:EL622" si="2645">SUM(EG619:EG621)</f>
        <v>11.518925444656169</v>
      </c>
      <c r="EH622" s="8">
        <f t="shared" si="2645"/>
        <v>11.549425036163807</v>
      </c>
      <c r="EI622" s="187">
        <f t="shared" si="2645"/>
        <v>11.495062184427999</v>
      </c>
      <c r="EJ622" s="8">
        <f t="shared" si="2645"/>
        <v>11.580022714878469</v>
      </c>
      <c r="EK622" s="8">
        <f t="shared" si="2645"/>
        <v>11.610718790957852</v>
      </c>
      <c r="EL622" s="187">
        <f t="shared" si="2645"/>
        <v>11.556041169937341</v>
      </c>
      <c r="EM622" s="8">
        <f t="shared" ref="EM622:ER622" si="2646">SUM(EM619:EM621)</f>
        <v>11.641513575548668</v>
      </c>
      <c r="EN622" s="8">
        <f t="shared" si="2646"/>
        <v>11.672407380789801</v>
      </c>
      <c r="EO622" s="187">
        <f t="shared" si="2646"/>
        <v>11.617412976092558</v>
      </c>
      <c r="EP622" s="8">
        <f t="shared" si="2646"/>
        <v>11.703400519815474</v>
      </c>
      <c r="EQ622" s="8">
        <f t="shared" si="2646"/>
        <v>11.734493306758434</v>
      </c>
      <c r="ER622" s="187">
        <f t="shared" si="2646"/>
        <v>11.679180091176127</v>
      </c>
      <c r="ES622" s="8">
        <f t="shared" ref="ES622:EX622" si="2647">SUM(ES619:ES621)</f>
        <v>11.76568605675314</v>
      </c>
      <c r="ET622" s="8">
        <f t="shared" si="2647"/>
        <v>11.796979085938959</v>
      </c>
      <c r="EU622" s="187">
        <f t="shared" si="2647"/>
        <v>11.741345019364999</v>
      </c>
      <c r="EV622" s="8">
        <f t="shared" si="2647"/>
        <v>11.828372711463377</v>
      </c>
      <c r="EW622" s="8">
        <f t="shared" si="2647"/>
        <v>11.859867251485216</v>
      </c>
      <c r="EX622" s="187">
        <f t="shared" si="2647"/>
        <v>11.803910280832287</v>
      </c>
      <c r="EY622" s="8">
        <f t="shared" ref="EY622:FA622" si="2648">SUM(EY619:EY621)</f>
        <v>11.891463025177877</v>
      </c>
      <c r="EZ622" s="8">
        <f t="shared" si="2648"/>
        <v>11.923160352732566</v>
      </c>
      <c r="FA622" s="187">
        <f t="shared" si="2648"/>
        <v>11.866878411849623</v>
      </c>
      <c r="FH622" s="35"/>
      <c r="FI622" s="35"/>
      <c r="FJ622" s="35"/>
      <c r="FK622" s="35"/>
      <c r="FL622" s="35"/>
      <c r="FM622" s="35"/>
      <c r="FN622" s="35"/>
      <c r="FO622" s="35"/>
      <c r="FP622" s="35"/>
      <c r="FQ622" s="35"/>
    </row>
    <row r="623" spans="1:173" s="321" customFormat="1" hidden="1" outlineLevel="1">
      <c r="A623" s="1168"/>
      <c r="B623" s="186"/>
      <c r="C623" s="186"/>
      <c r="D623" s="910"/>
      <c r="E623" s="1"/>
      <c r="F623" s="1"/>
      <c r="G623" s="5"/>
      <c r="H623" s="1"/>
      <c r="I623" s="1"/>
      <c r="J623" s="5"/>
      <c r="K623" s="1"/>
      <c r="L623" s="1"/>
      <c r="M623" s="5"/>
      <c r="N623" s="1"/>
      <c r="O623" s="1"/>
      <c r="P623" s="5"/>
      <c r="Q623" s="1"/>
      <c r="R623" s="1"/>
      <c r="S623" s="5"/>
      <c r="T623" s="1"/>
      <c r="U623" s="1"/>
      <c r="V623" s="5"/>
      <c r="W623" s="1"/>
      <c r="X623" s="1"/>
      <c r="Y623" s="5"/>
      <c r="Z623" s="1"/>
      <c r="AA623" s="1"/>
      <c r="AB623" s="5"/>
      <c r="AC623" s="1"/>
      <c r="AD623" s="1"/>
      <c r="AE623" s="5"/>
      <c r="AF623" s="1"/>
      <c r="AG623" s="1"/>
      <c r="AH623" s="5"/>
      <c r="AI623" s="1"/>
      <c r="AJ623" s="1"/>
      <c r="AK623" s="5"/>
      <c r="AL623" s="1"/>
      <c r="AM623" s="1"/>
      <c r="AN623" s="5"/>
      <c r="AO623" s="1"/>
      <c r="AP623" s="1"/>
      <c r="AQ623" s="5"/>
      <c r="AR623" s="1"/>
      <c r="AS623" s="1"/>
      <c r="AT623" s="5"/>
      <c r="AU623" s="1"/>
      <c r="AV623" s="1"/>
      <c r="AW623" s="5"/>
      <c r="AX623" s="187"/>
      <c r="AY623" s="187"/>
      <c r="AZ623" s="187"/>
      <c r="BA623" s="8"/>
      <c r="BB623" s="8"/>
      <c r="BC623" s="978"/>
      <c r="BD623" s="8"/>
      <c r="BE623" s="8"/>
      <c r="BF623" s="978"/>
      <c r="BG623" s="8"/>
      <c r="BH623" s="8"/>
      <c r="BI623" s="978"/>
      <c r="BJ623" s="115"/>
      <c r="BK623" s="115"/>
      <c r="BL623" s="116"/>
      <c r="BM623" s="115"/>
      <c r="BN623" s="115"/>
      <c r="BO623" s="116"/>
      <c r="BP623" s="115"/>
      <c r="BQ623" s="115"/>
      <c r="BR623" s="116"/>
      <c r="BS623" s="8"/>
      <c r="BT623" s="8"/>
      <c r="BU623" s="187"/>
      <c r="BV623" s="8"/>
      <c r="BW623" s="8"/>
      <c r="BX623" s="187"/>
      <c r="BY623" s="8"/>
      <c r="BZ623" s="8"/>
      <c r="CA623" s="187"/>
      <c r="CB623" s="8"/>
      <c r="CC623" s="8"/>
      <c r="CD623" s="187"/>
      <c r="CE623" s="8"/>
      <c r="CF623" s="8"/>
      <c r="CG623" s="187"/>
      <c r="CH623" s="8"/>
      <c r="CI623" s="8"/>
      <c r="CJ623" s="187"/>
      <c r="CK623" s="8"/>
      <c r="CL623" s="8"/>
      <c r="CM623" s="187"/>
      <c r="CN623" s="8"/>
      <c r="CO623" s="8"/>
      <c r="CP623" s="187"/>
      <c r="CQ623" s="8"/>
      <c r="CR623" s="8"/>
      <c r="CS623" s="187"/>
      <c r="CT623" s="8"/>
      <c r="CU623" s="8"/>
      <c r="CV623" s="187"/>
      <c r="CW623" s="8"/>
      <c r="CX623" s="8"/>
      <c r="CY623" s="187"/>
      <c r="CZ623" s="8"/>
      <c r="DA623" s="8"/>
      <c r="DB623" s="187"/>
      <c r="DC623" s="8"/>
      <c r="DD623" s="8"/>
      <c r="DE623" s="187"/>
      <c r="DF623" s="8"/>
      <c r="DG623" s="8"/>
      <c r="DH623" s="187"/>
      <c r="DI623" s="8"/>
      <c r="DJ623" s="8"/>
      <c r="DK623" s="187"/>
      <c r="DL623" s="8"/>
      <c r="DM623" s="8"/>
      <c r="DN623" s="187"/>
      <c r="DO623" s="8"/>
      <c r="DP623" s="8"/>
      <c r="DQ623" s="187"/>
      <c r="DR623" s="8"/>
      <c r="DS623" s="8"/>
      <c r="DT623" s="187"/>
      <c r="DU623" s="8"/>
      <c r="DV623" s="8"/>
      <c r="DW623" s="187"/>
      <c r="DX623" s="8"/>
      <c r="DY623" s="8"/>
      <c r="DZ623" s="187"/>
      <c r="EA623" s="8"/>
      <c r="EB623" s="8"/>
      <c r="EC623" s="187"/>
      <c r="ED623" s="8"/>
      <c r="EE623" s="8"/>
      <c r="EF623" s="187"/>
      <c r="EG623" s="8"/>
      <c r="EH623" s="8"/>
      <c r="EI623" s="187"/>
      <c r="EJ623" s="8"/>
      <c r="EK623" s="8"/>
      <c r="EL623" s="187"/>
      <c r="EM623" s="8"/>
      <c r="EN623" s="8"/>
      <c r="EO623" s="187"/>
      <c r="EP623" s="8"/>
      <c r="EQ623" s="8"/>
      <c r="ER623" s="187"/>
      <c r="ES623" s="8"/>
      <c r="ET623" s="8"/>
      <c r="EU623" s="187"/>
      <c r="EV623" s="8"/>
      <c r="EW623" s="8"/>
      <c r="EX623" s="187"/>
      <c r="EY623" s="8"/>
      <c r="EZ623" s="8"/>
      <c r="FA623" s="187"/>
      <c r="FH623" s="35"/>
      <c r="FI623" s="35"/>
      <c r="FJ623" s="35"/>
      <c r="FK623" s="35"/>
      <c r="FL623" s="35"/>
      <c r="FM623" s="35"/>
      <c r="FN623" s="35"/>
      <c r="FO623" s="35"/>
      <c r="FP623" s="35"/>
      <c r="FQ623" s="35"/>
    </row>
    <row r="624" spans="1:173" s="321" customFormat="1" hidden="1" outlineLevel="1">
      <c r="A624" s="1168"/>
      <c r="B624" s="186"/>
      <c r="C624" s="331" t="s">
        <v>245</v>
      </c>
      <c r="D624" s="910"/>
      <c r="E624" s="1"/>
      <c r="F624" s="1"/>
      <c r="G624" s="5"/>
      <c r="H624" s="1"/>
      <c r="I624" s="1"/>
      <c r="J624" s="5"/>
      <c r="K624" s="1"/>
      <c r="L624" s="1"/>
      <c r="M624" s="5"/>
      <c r="N624" s="1"/>
      <c r="O624" s="1"/>
      <c r="P624" s="5"/>
      <c r="Q624" s="1"/>
      <c r="R624" s="1"/>
      <c r="S624" s="5"/>
      <c r="T624" s="1"/>
      <c r="U624" s="1"/>
      <c r="V624" s="5"/>
      <c r="W624" s="1"/>
      <c r="X624" s="1"/>
      <c r="Y624" s="5"/>
      <c r="Z624" s="1"/>
      <c r="AA624" s="1"/>
      <c r="AB624" s="5"/>
      <c r="AC624" s="1"/>
      <c r="AD624" s="1"/>
      <c r="AE624" s="5"/>
      <c r="AF624" s="1"/>
      <c r="AG624" s="1"/>
      <c r="AH624" s="5"/>
      <c r="AI624" s="1"/>
      <c r="AJ624" s="1"/>
      <c r="AK624" s="5"/>
      <c r="AL624" s="1"/>
      <c r="AM624" s="1"/>
      <c r="AN624" s="5"/>
      <c r="AO624" s="1"/>
      <c r="AP624" s="1"/>
      <c r="AQ624" s="5"/>
      <c r="AR624" s="1"/>
      <c r="AS624" s="1"/>
      <c r="AT624" s="5"/>
      <c r="AU624" s="1"/>
      <c r="AV624" s="1"/>
      <c r="AW624" s="5"/>
      <c r="AX624" s="187"/>
      <c r="AY624" s="187"/>
      <c r="AZ624" s="187"/>
      <c r="BA624" s="8"/>
      <c r="BB624" s="8"/>
      <c r="BC624" s="978"/>
      <c r="BD624" s="8"/>
      <c r="BE624" s="8"/>
      <c r="BF624" s="978"/>
      <c r="BG624" s="8"/>
      <c r="BH624" s="8"/>
      <c r="BI624" s="978"/>
      <c r="BJ624" s="115"/>
      <c r="BK624" s="115"/>
      <c r="BL624" s="116"/>
      <c r="BM624" s="115"/>
      <c r="BN624" s="115"/>
      <c r="BO624" s="116"/>
      <c r="BP624" s="115"/>
      <c r="BQ624" s="115"/>
      <c r="BR624" s="116"/>
      <c r="BS624" s="8"/>
      <c r="BT624" s="8"/>
      <c r="BU624" s="187"/>
      <c r="BV624" s="8"/>
      <c r="BW624" s="8"/>
      <c r="BX624" s="187"/>
      <c r="BY624" s="8"/>
      <c r="BZ624" s="8"/>
      <c r="CA624" s="187"/>
      <c r="CB624" s="8"/>
      <c r="CC624" s="8"/>
      <c r="CD624" s="187"/>
      <c r="CE624" s="8"/>
      <c r="CF624" s="8"/>
      <c r="CG624" s="187"/>
      <c r="CH624" s="8"/>
      <c r="CI624" s="8"/>
      <c r="CJ624" s="187"/>
      <c r="CK624" s="8"/>
      <c r="CL624" s="8"/>
      <c r="CM624" s="187"/>
      <c r="CN624" s="8"/>
      <c r="CO624" s="8"/>
      <c r="CP624" s="187"/>
      <c r="CQ624" s="8"/>
      <c r="CR624" s="8"/>
      <c r="CS624" s="187"/>
      <c r="CT624" s="8"/>
      <c r="CU624" s="8"/>
      <c r="CV624" s="187"/>
      <c r="CW624" s="8"/>
      <c r="CX624" s="8"/>
      <c r="CY624" s="187"/>
      <c r="CZ624" s="8"/>
      <c r="DA624" s="8"/>
      <c r="DB624" s="187"/>
      <c r="DC624" s="8"/>
      <c r="DD624" s="8"/>
      <c r="DE624" s="187"/>
      <c r="DF624" s="8"/>
      <c r="DG624" s="8"/>
      <c r="DH624" s="187"/>
      <c r="DI624" s="8"/>
      <c r="DJ624" s="8"/>
      <c r="DK624" s="187"/>
      <c r="DL624" s="8"/>
      <c r="DM624" s="8"/>
      <c r="DN624" s="187"/>
      <c r="DO624" s="8"/>
      <c r="DP624" s="8"/>
      <c r="DQ624" s="187"/>
      <c r="DR624" s="8"/>
      <c r="DS624" s="8"/>
      <c r="DT624" s="187"/>
      <c r="DU624" s="8"/>
      <c r="DV624" s="8"/>
      <c r="DW624" s="187"/>
      <c r="DX624" s="8"/>
      <c r="DY624" s="8"/>
      <c r="DZ624" s="187"/>
      <c r="EA624" s="8"/>
      <c r="EB624" s="8"/>
      <c r="EC624" s="187"/>
      <c r="ED624" s="8"/>
      <c r="EE624" s="8"/>
      <c r="EF624" s="187"/>
      <c r="EG624" s="8"/>
      <c r="EH624" s="8"/>
      <c r="EI624" s="187"/>
      <c r="EJ624" s="8"/>
      <c r="EK624" s="8"/>
      <c r="EL624" s="187"/>
      <c r="EM624" s="8"/>
      <c r="EN624" s="8"/>
      <c r="EO624" s="187"/>
      <c r="EP624" s="8"/>
      <c r="EQ624" s="8"/>
      <c r="ER624" s="187"/>
      <c r="ES624" s="8"/>
      <c r="ET624" s="8"/>
      <c r="EU624" s="187"/>
      <c r="EV624" s="8"/>
      <c r="EW624" s="8"/>
      <c r="EX624" s="187"/>
      <c r="EY624" s="8"/>
      <c r="EZ624" s="8"/>
      <c r="FA624" s="187"/>
      <c r="FH624" s="35"/>
      <c r="FI624" s="35"/>
      <c r="FJ624" s="35"/>
      <c r="FK624" s="35"/>
      <c r="FL624" s="35"/>
      <c r="FM624" s="35"/>
      <c r="FN624" s="35"/>
      <c r="FO624" s="35"/>
      <c r="FP624" s="35"/>
      <c r="FQ624" s="35"/>
    </row>
    <row r="625" spans="1:173" s="321" customFormat="1" hidden="1" outlineLevel="1">
      <c r="A625" s="1168"/>
      <c r="B625" s="186"/>
      <c r="C625" s="186" t="s">
        <v>316</v>
      </c>
      <c r="D625" s="910"/>
      <c r="E625" s="1"/>
      <c r="F625" s="1"/>
      <c r="G625" s="5"/>
      <c r="H625" s="1"/>
      <c r="I625" s="1"/>
      <c r="J625" s="5"/>
      <c r="K625" s="1"/>
      <c r="L625" s="1"/>
      <c r="M625" s="5"/>
      <c r="N625" s="1"/>
      <c r="O625" s="1"/>
      <c r="P625" s="5"/>
      <c r="Q625" s="1"/>
      <c r="R625" s="1"/>
      <c r="S625" s="5"/>
      <c r="T625" s="1"/>
      <c r="U625" s="1"/>
      <c r="V625" s="5"/>
      <c r="W625" s="1"/>
      <c r="X625" s="1"/>
      <c r="Y625" s="5"/>
      <c r="Z625" s="1"/>
      <c r="AA625" s="1"/>
      <c r="AB625" s="5"/>
      <c r="AC625" s="1"/>
      <c r="AD625" s="1"/>
      <c r="AE625" s="5"/>
      <c r="AF625" s="1"/>
      <c r="AG625" s="1"/>
      <c r="AH625" s="5"/>
      <c r="AI625" s="1"/>
      <c r="AJ625" s="1"/>
      <c r="AK625" s="5"/>
      <c r="AL625" s="1"/>
      <c r="AM625" s="1"/>
      <c r="AN625" s="5"/>
      <c r="AO625" s="1"/>
      <c r="AP625" s="1"/>
      <c r="AQ625" s="5"/>
      <c r="AR625" s="1"/>
      <c r="AS625" s="1"/>
      <c r="AT625" s="5"/>
      <c r="AU625" s="1"/>
      <c r="AV625" s="1"/>
      <c r="AW625" s="5"/>
      <c r="AX625" s="187">
        <f t="shared" ref="AX625:CC625" si="2649">AX589*AX601</f>
        <v>2.2911858679125E-3</v>
      </c>
      <c r="AY625" s="187">
        <f t="shared" si="2649"/>
        <v>2.2979448662228423E-3</v>
      </c>
      <c r="AZ625" s="187">
        <f t="shared" si="2649"/>
        <v>4.5891307341353422E-3</v>
      </c>
      <c r="BA625" s="8">
        <f t="shared" si="2649"/>
        <v>2.3047238035781995E-3</v>
      </c>
      <c r="BB625" s="8">
        <f t="shared" si="2649"/>
        <v>2.3115227387987551E-3</v>
      </c>
      <c r="BC625" s="978">
        <f t="shared" si="2649"/>
        <v>4.6162465423769542E-3</v>
      </c>
      <c r="BD625" s="8">
        <f t="shared" si="2649"/>
        <v>2.3183417308782115E-3</v>
      </c>
      <c r="BE625" s="8">
        <f t="shared" si="2649"/>
        <v>2.3251808389843026E-3</v>
      </c>
      <c r="BF625" s="978">
        <f t="shared" si="2649"/>
        <v>4.6435225698625137E-3</v>
      </c>
      <c r="BG625" s="8">
        <f t="shared" si="2649"/>
        <v>2.3320401224593062E-3</v>
      </c>
      <c r="BH625" s="8">
        <f t="shared" si="2649"/>
        <v>2.3389196408205612E-3</v>
      </c>
      <c r="BI625" s="978">
        <f t="shared" si="2649"/>
        <v>4.6709597632798678E-3</v>
      </c>
      <c r="BJ625" s="115">
        <f t="shared" si="2649"/>
        <v>2.3458194537609818E-3</v>
      </c>
      <c r="BK625" s="115">
        <f t="shared" si="2649"/>
        <v>2.352739621149577E-3</v>
      </c>
      <c r="BL625" s="116">
        <f t="shared" si="2649"/>
        <v>4.6985590749105592E-3</v>
      </c>
      <c r="BM625" s="115">
        <f t="shared" si="2649"/>
        <v>2.3562099120907724E-3</v>
      </c>
      <c r="BN625" s="115">
        <f t="shared" si="2649"/>
        <v>2.3596853217111059E-3</v>
      </c>
      <c r="BO625" s="116">
        <f t="shared" si="2649"/>
        <v>4.7158952338018792E-3</v>
      </c>
      <c r="BP625" s="115">
        <f t="shared" si="2649"/>
        <v>2.3631658575606297E-3</v>
      </c>
      <c r="BQ625" s="115">
        <f t="shared" si="2649"/>
        <v>2.3666515272005315E-3</v>
      </c>
      <c r="BR625" s="116">
        <f t="shared" si="2649"/>
        <v>4.7298173847611603E-3</v>
      </c>
      <c r="BS625" s="8">
        <f t="shared" si="2649"/>
        <v>2.3701423382031517E-3</v>
      </c>
      <c r="BT625" s="8">
        <f t="shared" si="2649"/>
        <v>2.3736382981520009E-3</v>
      </c>
      <c r="BU625" s="187">
        <f t="shared" si="2649"/>
        <v>4.743780636355153E-3</v>
      </c>
      <c r="BV625" s="8">
        <f t="shared" si="2649"/>
        <v>2.3771394146417752E-3</v>
      </c>
      <c r="BW625" s="8">
        <f t="shared" si="2649"/>
        <v>2.3806456952783716E-3</v>
      </c>
      <c r="BX625" s="187">
        <f t="shared" si="2649"/>
        <v>4.7577851099201473E-3</v>
      </c>
      <c r="BY625" s="8">
        <f t="shared" si="2649"/>
        <v>2.3841571476789069E-3</v>
      </c>
      <c r="BZ625" s="8">
        <f t="shared" si="2649"/>
        <v>2.3876737794717336E-3</v>
      </c>
      <c r="CA625" s="187">
        <f t="shared" si="2649"/>
        <v>4.7718309271506405E-3</v>
      </c>
      <c r="CB625" s="8">
        <f t="shared" si="2649"/>
        <v>2.3911955982964537E-3</v>
      </c>
      <c r="CC625" s="8">
        <f t="shared" si="2649"/>
        <v>2.3947226118039406E-3</v>
      </c>
      <c r="CD625" s="187">
        <f t="shared" ref="CD625:DI625" si="2650">CD589*CD601</f>
        <v>4.7859182101003947E-3</v>
      </c>
      <c r="CE625" s="8">
        <f t="shared" si="2650"/>
        <v>2.3982548276563513E-3</v>
      </c>
      <c r="CF625" s="8">
        <f t="shared" si="2650"/>
        <v>2.401792253527144E-3</v>
      </c>
      <c r="CG625" s="187">
        <f t="shared" si="2650"/>
        <v>4.8000470811834948E-3</v>
      </c>
      <c r="CH625" s="8">
        <f t="shared" si="2650"/>
        <v>2.4053348971010964E-3</v>
      </c>
      <c r="CI625" s="8">
        <f t="shared" si="2650"/>
        <v>2.4088827660743201E-3</v>
      </c>
      <c r="CJ625" s="187">
        <f t="shared" si="2650"/>
        <v>4.8142176631754165E-3</v>
      </c>
      <c r="CK625" s="8">
        <f t="shared" si="2650"/>
        <v>2.4124358681542795E-3</v>
      </c>
      <c r="CL625" s="8">
        <f t="shared" si="2650"/>
        <v>2.4159942110598071E-3</v>
      </c>
      <c r="CM625" s="187">
        <f t="shared" si="2650"/>
        <v>4.8284300792140866E-3</v>
      </c>
      <c r="CN625" s="8">
        <f t="shared" si="2650"/>
        <v>2.4195578025211196E-3</v>
      </c>
      <c r="CO625" s="8">
        <f t="shared" si="2650"/>
        <v>2.4231266502798385E-3</v>
      </c>
      <c r="CP625" s="187">
        <f t="shared" si="2650"/>
        <v>4.8426844528009581E-3</v>
      </c>
      <c r="CQ625" s="8">
        <f t="shared" si="2650"/>
        <v>2.4267007620890008E-3</v>
      </c>
      <c r="CR625" s="8">
        <f t="shared" si="2650"/>
        <v>2.4302801457130817E-3</v>
      </c>
      <c r="CS625" s="187">
        <f t="shared" si="2650"/>
        <v>4.856980907802083E-3</v>
      </c>
      <c r="CT625" s="8">
        <f t="shared" si="2650"/>
        <v>2.4338648089280079E-3</v>
      </c>
      <c r="CU625" s="8">
        <f t="shared" si="2650"/>
        <v>2.4374547595211768E-3</v>
      </c>
      <c r="CV625" s="187">
        <f t="shared" si="2650"/>
        <v>4.8713195684491842E-3</v>
      </c>
      <c r="CW625" s="8">
        <f t="shared" si="2650"/>
        <v>2.4410500052914701E-3</v>
      </c>
      <c r="CX625" s="8">
        <f t="shared" si="2650"/>
        <v>2.4446505540492752E-3</v>
      </c>
      <c r="CY625" s="187">
        <f t="shared" si="2650"/>
        <v>4.8857005593407454E-3</v>
      </c>
      <c r="CZ625" s="8">
        <f t="shared" si="2650"/>
        <v>2.4482564136164972E-3</v>
      </c>
      <c r="DA625" s="8">
        <f t="shared" si="2650"/>
        <v>2.4518675918265816E-3</v>
      </c>
      <c r="DB625" s="187">
        <f t="shared" si="2650"/>
        <v>4.9001240054430788E-3</v>
      </c>
      <c r="DC625" s="8">
        <f t="shared" si="2650"/>
        <v>2.4554840965245258E-3</v>
      </c>
      <c r="DD625" s="8">
        <f t="shared" si="2650"/>
        <v>2.4591059355668992E-3</v>
      </c>
      <c r="DE625" s="187">
        <f t="shared" si="2650"/>
        <v>4.9145900320914249E-3</v>
      </c>
      <c r="DF625" s="8">
        <f t="shared" si="2650"/>
        <v>2.4627331168218598E-3</v>
      </c>
      <c r="DG625" s="8">
        <f t="shared" si="2650"/>
        <v>2.4663656481691719E-3</v>
      </c>
      <c r="DH625" s="187">
        <f t="shared" si="2650"/>
        <v>4.9290987649910321E-3</v>
      </c>
      <c r="DI625" s="8">
        <f t="shared" si="2650"/>
        <v>2.4700035375002211E-3</v>
      </c>
      <c r="DJ625" s="8">
        <f t="shared" ref="DJ625:EF625" si="2651">DJ589*DJ601</f>
        <v>2.4736467927180335E-3</v>
      </c>
      <c r="DK625" s="187">
        <f t="shared" si="2651"/>
        <v>4.9436503302182546E-3</v>
      </c>
      <c r="DL625" s="8">
        <f t="shared" si="2651"/>
        <v>2.4772954217372927E-3</v>
      </c>
      <c r="DM625" s="8">
        <f t="shared" si="2651"/>
        <v>2.4809494324843548E-3</v>
      </c>
      <c r="DN625" s="187">
        <f t="shared" si="2651"/>
        <v>4.9582448542216471E-3</v>
      </c>
      <c r="DO625" s="8">
        <f t="shared" si="2651"/>
        <v>2.4846088328972691E-3</v>
      </c>
      <c r="DP625" s="8">
        <f t="shared" si="2651"/>
        <v>2.4882736309257926E-3</v>
      </c>
      <c r="DQ625" s="187">
        <f t="shared" si="2651"/>
        <v>4.9728824638230621E-3</v>
      </c>
      <c r="DR625" s="8">
        <f t="shared" si="2651"/>
        <v>2.4919438345314075E-3</v>
      </c>
      <c r="DS625" s="8">
        <f t="shared" si="2651"/>
        <v>2.4956194516873409E-3</v>
      </c>
      <c r="DT625" s="187">
        <f t="shared" si="2651"/>
        <v>4.9875632862187479E-3</v>
      </c>
      <c r="DU625" s="8">
        <f t="shared" si="2651"/>
        <v>2.4993004903785801E-3</v>
      </c>
      <c r="DV625" s="8">
        <f t="shared" si="2651"/>
        <v>2.5029869586018876E-3</v>
      </c>
      <c r="DW625" s="187">
        <f t="shared" si="2651"/>
        <v>5.0022874489804676E-3</v>
      </c>
      <c r="DX625" s="8">
        <f t="shared" si="2651"/>
        <v>2.506678864365825E-3</v>
      </c>
      <c r="DY625" s="8">
        <f t="shared" si="2651"/>
        <v>2.5103762156907647E-3</v>
      </c>
      <c r="DZ625" s="187">
        <f t="shared" si="2651"/>
        <v>5.0170550800565901E-3</v>
      </c>
      <c r="EA625" s="8">
        <f t="shared" si="2651"/>
        <v>2.514079020608908E-3</v>
      </c>
      <c r="EB625" s="8">
        <f t="shared" si="2651"/>
        <v>2.5177872871643059E-3</v>
      </c>
      <c r="EC625" s="187">
        <f t="shared" si="2651"/>
        <v>5.0318663077732143E-3</v>
      </c>
      <c r="ED625" s="8">
        <f t="shared" si="2651"/>
        <v>2.521501023412873E-3</v>
      </c>
      <c r="EE625" s="8">
        <f t="shared" si="2651"/>
        <v>2.5252202374224067E-3</v>
      </c>
      <c r="EF625" s="187">
        <f t="shared" si="2651"/>
        <v>5.0467212608352793E-3</v>
      </c>
      <c r="EG625" s="8">
        <f t="shared" ref="EG625:EL625" si="2652">EG589*EG601</f>
        <v>2.5289449372726046E-3</v>
      </c>
      <c r="EH625" s="8">
        <f t="shared" si="2652"/>
        <v>2.5326751310550811E-3</v>
      </c>
      <c r="EI625" s="187">
        <f t="shared" si="2652"/>
        <v>5.0616200683276866E-3</v>
      </c>
      <c r="EJ625" s="8">
        <f t="shared" si="2652"/>
        <v>2.5364108268733873E-3</v>
      </c>
      <c r="EK625" s="8">
        <f t="shared" si="2652"/>
        <v>2.5401520328430251E-3</v>
      </c>
      <c r="EL625" s="187">
        <f t="shared" si="2652"/>
        <v>5.0765628597164133E-3</v>
      </c>
      <c r="EM625" s="8">
        <f t="shared" ref="EM625:ER625" si="2653">EM589*EM601</f>
        <v>2.5438987570914682E-3</v>
      </c>
      <c r="EN625" s="8">
        <f t="shared" si="2653"/>
        <v>2.5476510077581779E-3</v>
      </c>
      <c r="EO625" s="187">
        <f t="shared" si="2653"/>
        <v>5.0915497648496453E-3</v>
      </c>
      <c r="EP625" s="8">
        <f t="shared" si="2653"/>
        <v>2.5514087929946207E-3</v>
      </c>
      <c r="EQ625" s="8">
        <f t="shared" si="2653"/>
        <v>2.5551721209642877E-3</v>
      </c>
      <c r="ER625" s="187">
        <f t="shared" si="2653"/>
        <v>5.106580913958908E-3</v>
      </c>
      <c r="ES625" s="8">
        <f t="shared" ref="ES625:EX625" si="2654">ES589*ES601</f>
        <v>2.5589409998427095E-3</v>
      </c>
      <c r="ET625" s="8">
        <f t="shared" si="2654"/>
        <v>2.5627154378174773E-3</v>
      </c>
      <c r="EU625" s="187">
        <f t="shared" si="2654"/>
        <v>5.1216564376601872E-3</v>
      </c>
      <c r="EV625" s="8">
        <f t="shared" si="2654"/>
        <v>2.5664954430882573E-3</v>
      </c>
      <c r="EW625" s="8">
        <f t="shared" si="2654"/>
        <v>2.5702810238668128E-3</v>
      </c>
      <c r="EX625" s="187">
        <f t="shared" si="2654"/>
        <v>5.1367764669550692E-3</v>
      </c>
      <c r="EY625" s="8">
        <f t="shared" ref="EY625:FA625" si="2655">EY589*EY601</f>
        <v>2.574072188377016E-3</v>
      </c>
      <c r="EZ625" s="8">
        <f t="shared" si="2655"/>
        <v>2.5778689448548719E-3</v>
      </c>
      <c r="FA625" s="187">
        <f t="shared" si="2655"/>
        <v>5.1519411332318875E-3</v>
      </c>
      <c r="FH625" s="35"/>
      <c r="FI625" s="35"/>
      <c r="FJ625" s="35"/>
      <c r="FK625" s="35"/>
      <c r="FL625" s="35"/>
      <c r="FM625" s="35"/>
      <c r="FN625" s="35"/>
      <c r="FO625" s="35"/>
      <c r="FP625" s="35"/>
      <c r="FQ625" s="35"/>
    </row>
    <row r="626" spans="1:173" s="321" customFormat="1" hidden="1" outlineLevel="1">
      <c r="A626" s="1168"/>
      <c r="B626" s="186"/>
      <c r="C626" s="186" t="s">
        <v>317</v>
      </c>
      <c r="D626" s="910"/>
      <c r="E626" s="1"/>
      <c r="F626" s="1"/>
      <c r="G626" s="5"/>
      <c r="H626" s="1"/>
      <c r="I626" s="1"/>
      <c r="J626" s="5"/>
      <c r="K626" s="1"/>
      <c r="L626" s="1"/>
      <c r="M626" s="5"/>
      <c r="N626" s="1"/>
      <c r="O626" s="1"/>
      <c r="P626" s="5"/>
      <c r="Q626" s="1"/>
      <c r="R626" s="1"/>
      <c r="S626" s="5"/>
      <c r="T626" s="1"/>
      <c r="U626" s="1"/>
      <c r="V626" s="5"/>
      <c r="W626" s="1"/>
      <c r="X626" s="1"/>
      <c r="Y626" s="5"/>
      <c r="Z626" s="1"/>
      <c r="AA626" s="1"/>
      <c r="AB626" s="5"/>
      <c r="AC626" s="1"/>
      <c r="AD626" s="1"/>
      <c r="AE626" s="5"/>
      <c r="AF626" s="1"/>
      <c r="AG626" s="1"/>
      <c r="AH626" s="5"/>
      <c r="AI626" s="1"/>
      <c r="AJ626" s="1"/>
      <c r="AK626" s="5"/>
      <c r="AL626" s="1"/>
      <c r="AM626" s="1"/>
      <c r="AN626" s="5"/>
      <c r="AO626" s="1"/>
      <c r="AP626" s="1"/>
      <c r="AQ626" s="5"/>
      <c r="AR626" s="1"/>
      <c r="AS626" s="1"/>
      <c r="AT626" s="5"/>
      <c r="AU626" s="1"/>
      <c r="AV626" s="1"/>
      <c r="AW626" s="5"/>
      <c r="AX626" s="187">
        <f t="shared" ref="AX626:CC626" si="2656">AX590*AX602</f>
        <v>3.5196463647900003E-3</v>
      </c>
      <c r="AY626" s="187">
        <f t="shared" si="2656"/>
        <v>3.5164786830616892E-3</v>
      </c>
      <c r="AZ626" s="187">
        <f t="shared" si="2656"/>
        <v>7.0361250478516895E-3</v>
      </c>
      <c r="BA626" s="8">
        <f t="shared" si="2656"/>
        <v>3.5133138522469342E-3</v>
      </c>
      <c r="BB626" s="8">
        <f t="shared" si="2656"/>
        <v>3.5101518697799117E-3</v>
      </c>
      <c r="BC626" s="978">
        <f t="shared" si="2656"/>
        <v>7.023465722026845E-3</v>
      </c>
      <c r="BD626" s="8">
        <f t="shared" si="2656"/>
        <v>3.5069927330971095E-3</v>
      </c>
      <c r="BE626" s="8">
        <f t="shared" si="2656"/>
        <v>3.503836439637322E-3</v>
      </c>
      <c r="BF626" s="978">
        <f t="shared" si="2656"/>
        <v>7.0108291727344315E-3</v>
      </c>
      <c r="BG626" s="8">
        <f t="shared" si="2656"/>
        <v>3.5006829868416489E-3</v>
      </c>
      <c r="BH626" s="8">
        <f t="shared" si="2656"/>
        <v>3.497532372153491E-3</v>
      </c>
      <c r="BI626" s="978">
        <f t="shared" si="2656"/>
        <v>6.9982153589951395E-3</v>
      </c>
      <c r="BJ626" s="115">
        <f t="shared" si="2656"/>
        <v>3.4943845930185528E-3</v>
      </c>
      <c r="BK626" s="115">
        <f t="shared" si="2656"/>
        <v>3.4912396468848358E-3</v>
      </c>
      <c r="BL626" s="116">
        <f t="shared" si="2656"/>
        <v>6.9856242399033881E-3</v>
      </c>
      <c r="BM626" s="115">
        <f t="shared" si="2656"/>
        <v>3.4896685890437379E-3</v>
      </c>
      <c r="BN626" s="115">
        <f t="shared" si="2656"/>
        <v>3.4880982381786684E-3</v>
      </c>
      <c r="BO626" s="116">
        <f t="shared" si="2656"/>
        <v>6.9777668272224059E-3</v>
      </c>
      <c r="BP626" s="115">
        <f t="shared" si="2656"/>
        <v>3.4865285939714879E-3</v>
      </c>
      <c r="BQ626" s="115">
        <f t="shared" si="2656"/>
        <v>3.4849596561042006E-3</v>
      </c>
      <c r="BR626" s="116">
        <f t="shared" si="2656"/>
        <v>6.971488250075689E-3</v>
      </c>
      <c r="BS626" s="8">
        <f t="shared" si="2656"/>
        <v>3.4833914242589541E-3</v>
      </c>
      <c r="BT626" s="8">
        <f t="shared" si="2656"/>
        <v>3.4818238981180376E-3</v>
      </c>
      <c r="BU626" s="187">
        <f t="shared" si="2656"/>
        <v>6.9652153223769917E-3</v>
      </c>
      <c r="BV626" s="8">
        <f t="shared" si="2656"/>
        <v>3.4802570773638845E-3</v>
      </c>
      <c r="BW626" s="8">
        <f t="shared" si="2656"/>
        <v>3.478690961679071E-3</v>
      </c>
      <c r="BX626" s="187">
        <f t="shared" si="2656"/>
        <v>6.958948039042955E-3</v>
      </c>
      <c r="BY626" s="8">
        <f t="shared" si="2656"/>
        <v>3.4771255507463159E-3</v>
      </c>
      <c r="BZ626" s="8">
        <f t="shared" si="2656"/>
        <v>3.4755608442484797E-3</v>
      </c>
      <c r="CA626" s="187">
        <f t="shared" si="2656"/>
        <v>6.952686394994796E-3</v>
      </c>
      <c r="CB626" s="8">
        <f t="shared" si="2656"/>
        <v>3.4739968418685679E-3</v>
      </c>
      <c r="CC626" s="8">
        <f t="shared" si="2656"/>
        <v>3.4724335432897275E-3</v>
      </c>
      <c r="CD626" s="187">
        <f t="shared" ref="CD626:DI626" si="2657">CD590*CD602</f>
        <v>6.9464303851582958E-3</v>
      </c>
      <c r="CE626" s="8">
        <f t="shared" si="2657"/>
        <v>3.4708709481952476E-3</v>
      </c>
      <c r="CF626" s="8">
        <f t="shared" si="2657"/>
        <v>3.4693090562685595E-3</v>
      </c>
      <c r="CG626" s="187">
        <f t="shared" si="2657"/>
        <v>6.9401800044638067E-3</v>
      </c>
      <c r="CH626" s="8">
        <f t="shared" si="2657"/>
        <v>3.4677478671932393E-3</v>
      </c>
      <c r="CI626" s="8">
        <f t="shared" si="2657"/>
        <v>3.4661873806530021E-3</v>
      </c>
      <c r="CJ626" s="187">
        <f t="shared" si="2657"/>
        <v>6.9339352478462414E-3</v>
      </c>
      <c r="CK626" s="8">
        <f t="shared" si="2657"/>
        <v>3.4646275963317085E-3</v>
      </c>
      <c r="CL626" s="8">
        <f t="shared" si="2657"/>
        <v>3.4630685139133595E-3</v>
      </c>
      <c r="CM626" s="187">
        <f t="shared" si="2657"/>
        <v>6.9276961102450671E-3</v>
      </c>
      <c r="CN626" s="8">
        <f t="shared" si="2657"/>
        <v>3.4615101330820984E-3</v>
      </c>
      <c r="CO626" s="8">
        <f t="shared" si="2657"/>
        <v>3.4599524535222116E-3</v>
      </c>
      <c r="CP626" s="187">
        <f t="shared" si="2657"/>
        <v>6.92146258660431E-3</v>
      </c>
      <c r="CQ626" s="8">
        <f t="shared" si="2657"/>
        <v>3.4583954749181269E-3</v>
      </c>
      <c r="CR626" s="8">
        <f t="shared" si="2657"/>
        <v>3.4568391969544143E-3</v>
      </c>
      <c r="CS626" s="187">
        <f t="shared" si="2657"/>
        <v>6.9152346718725412E-3</v>
      </c>
      <c r="CT626" s="8">
        <f t="shared" si="2657"/>
        <v>3.4552836193157848E-3</v>
      </c>
      <c r="CU626" s="8">
        <f t="shared" si="2657"/>
        <v>3.4537287416870925E-3</v>
      </c>
      <c r="CV626" s="187">
        <f t="shared" si="2657"/>
        <v>6.9090123610028769E-3</v>
      </c>
      <c r="CW626" s="8">
        <f t="shared" si="2657"/>
        <v>3.4521745637533332E-3</v>
      </c>
      <c r="CX626" s="8">
        <f t="shared" si="2657"/>
        <v>3.4506210851996447E-3</v>
      </c>
      <c r="CY626" s="187">
        <f t="shared" si="2657"/>
        <v>6.9027956489529779E-3</v>
      </c>
      <c r="CZ626" s="8">
        <f t="shared" si="2657"/>
        <v>3.4490683057113048E-3</v>
      </c>
      <c r="DA626" s="8">
        <f t="shared" si="2657"/>
        <v>3.4475162249737348E-3</v>
      </c>
      <c r="DB626" s="187">
        <f t="shared" si="2657"/>
        <v>6.8965845306850401E-3</v>
      </c>
      <c r="DC626" s="8">
        <f t="shared" si="2657"/>
        <v>3.4459648426724966E-3</v>
      </c>
      <c r="DD626" s="8">
        <f t="shared" si="2657"/>
        <v>3.4444141584932943E-3</v>
      </c>
      <c r="DE626" s="187">
        <f t="shared" si="2657"/>
        <v>6.8903790011657908E-3</v>
      </c>
      <c r="DF626" s="8">
        <f t="shared" si="2657"/>
        <v>3.4428641721219724E-3</v>
      </c>
      <c r="DG626" s="8">
        <f t="shared" si="2657"/>
        <v>3.4413148832445179E-3</v>
      </c>
      <c r="DH626" s="187">
        <f t="shared" si="2657"/>
        <v>6.8841790553664899E-3</v>
      </c>
      <c r="DI626" s="8">
        <f t="shared" si="2657"/>
        <v>3.4397662915470581E-3</v>
      </c>
      <c r="DJ626" s="8">
        <f t="shared" ref="DJ626:EF626" si="2658">DJ590*DJ602</f>
        <v>3.4382183967158618E-3</v>
      </c>
      <c r="DK626" s="187">
        <f t="shared" si="2658"/>
        <v>6.8779846882629199E-3</v>
      </c>
      <c r="DL626" s="8">
        <f t="shared" si="2658"/>
        <v>3.43667119843734E-3</v>
      </c>
      <c r="DM626" s="8">
        <f t="shared" si="2658"/>
        <v>3.4351246963980433E-3</v>
      </c>
      <c r="DN626" s="187">
        <f t="shared" si="2658"/>
        <v>6.8717958948353837E-3</v>
      </c>
      <c r="DO626" s="8">
        <f t="shared" si="2658"/>
        <v>3.4335788902846646E-3</v>
      </c>
      <c r="DP626" s="8">
        <f t="shared" si="2658"/>
        <v>3.432033779784037E-3</v>
      </c>
      <c r="DQ626" s="187">
        <f t="shared" si="2658"/>
        <v>6.865612670068702E-3</v>
      </c>
      <c r="DR626" s="8">
        <f t="shared" si="2658"/>
        <v>3.4304893645831346E-3</v>
      </c>
      <c r="DS626" s="8">
        <f t="shared" si="2658"/>
        <v>3.4289456443690721E-3</v>
      </c>
      <c r="DT626" s="187">
        <f t="shared" si="2658"/>
        <v>6.8594350089522067E-3</v>
      </c>
      <c r="DU626" s="8">
        <f t="shared" si="2658"/>
        <v>3.427402618829106E-3</v>
      </c>
      <c r="DV626" s="8">
        <f t="shared" si="2658"/>
        <v>3.4258602876506331E-3</v>
      </c>
      <c r="DW626" s="187">
        <f t="shared" si="2658"/>
        <v>6.8532629064797391E-3</v>
      </c>
      <c r="DX626" s="8">
        <f t="shared" si="2658"/>
        <v>3.4243186505211903E-3</v>
      </c>
      <c r="DY626" s="8">
        <f t="shared" si="2658"/>
        <v>3.4227777071284562E-3</v>
      </c>
      <c r="DZ626" s="187">
        <f t="shared" si="2658"/>
        <v>6.8470963576496464E-3</v>
      </c>
      <c r="EA626" s="8">
        <f t="shared" si="2658"/>
        <v>3.4212374571602486E-3</v>
      </c>
      <c r="EB626" s="8">
        <f t="shared" si="2658"/>
        <v>3.419697900304526E-3</v>
      </c>
      <c r="EC626" s="187">
        <f t="shared" si="2658"/>
        <v>6.8409353574647742E-3</v>
      </c>
      <c r="ED626" s="8">
        <f t="shared" si="2658"/>
        <v>3.4181590362493889E-3</v>
      </c>
      <c r="EE626" s="8">
        <f t="shared" si="2658"/>
        <v>3.4166208646830773E-3</v>
      </c>
      <c r="EF626" s="187">
        <f t="shared" si="2658"/>
        <v>6.8347799009324658E-3</v>
      </c>
      <c r="EG626" s="8">
        <f t="shared" ref="EG626:EL626" si="2659">EG590*EG602</f>
        <v>3.4150833852939697E-3</v>
      </c>
      <c r="EH626" s="8">
        <f t="shared" si="2659"/>
        <v>3.4135465977705873E-3</v>
      </c>
      <c r="EI626" s="187">
        <f t="shared" si="2659"/>
        <v>6.828629983064557E-3</v>
      </c>
      <c r="EJ626" s="8">
        <f t="shared" si="2659"/>
        <v>3.4120105018015912E-3</v>
      </c>
      <c r="EK626" s="8">
        <f t="shared" si="2659"/>
        <v>3.4104750970757802E-3</v>
      </c>
      <c r="EL626" s="187">
        <f t="shared" si="2659"/>
        <v>6.822485598877371E-3</v>
      </c>
      <c r="EM626" s="8">
        <f t="shared" ref="EM626:ER626" si="2660">EM590*EM602</f>
        <v>3.4089403832820967E-3</v>
      </c>
      <c r="EN626" s="8">
        <f t="shared" si="2660"/>
        <v>3.4074063601096201E-3</v>
      </c>
      <c r="EO626" s="187">
        <f t="shared" si="2660"/>
        <v>6.8163467433917163E-3</v>
      </c>
      <c r="EP626" s="8">
        <f t="shared" si="2660"/>
        <v>3.4058730272475712E-3</v>
      </c>
      <c r="EQ626" s="8">
        <f t="shared" si="2660"/>
        <v>3.4043403843853097E-3</v>
      </c>
      <c r="ER626" s="187">
        <f t="shared" si="2660"/>
        <v>6.8102134116328813E-3</v>
      </c>
      <c r="ES626" s="8">
        <f t="shared" ref="ES626:EX626" si="2661">ES590*ES602</f>
        <v>3.4028084312123369E-3</v>
      </c>
      <c r="ET626" s="8">
        <f t="shared" si="2661"/>
        <v>3.4012771674182918E-3</v>
      </c>
      <c r="EU626" s="187">
        <f t="shared" si="2661"/>
        <v>6.8040855986306282E-3</v>
      </c>
      <c r="EV626" s="8">
        <f t="shared" si="2661"/>
        <v>3.3997465926929532E-3</v>
      </c>
      <c r="EW626" s="8">
        <f t="shared" si="2661"/>
        <v>3.3982167067262412E-3</v>
      </c>
      <c r="EX626" s="187">
        <f t="shared" si="2661"/>
        <v>6.7979632994191949E-3</v>
      </c>
      <c r="EY626" s="8">
        <f t="shared" ref="EY626:FA626" si="2662">EY590*EY602</f>
        <v>3.3966875092082149E-3</v>
      </c>
      <c r="EZ626" s="8">
        <f t="shared" si="2662"/>
        <v>3.3951589998290716E-3</v>
      </c>
      <c r="FA626" s="187">
        <f t="shared" si="2662"/>
        <v>6.791846509037287E-3</v>
      </c>
      <c r="FH626" s="35"/>
      <c r="FI626" s="35"/>
      <c r="FJ626" s="35"/>
      <c r="FK626" s="35"/>
      <c r="FL626" s="35"/>
      <c r="FM626" s="35"/>
      <c r="FN626" s="35"/>
      <c r="FO626" s="35"/>
      <c r="FP626" s="35"/>
      <c r="FQ626" s="35"/>
    </row>
    <row r="627" spans="1:173" s="321" customFormat="1" hidden="1" outlineLevel="1">
      <c r="A627" s="1168"/>
      <c r="B627" s="186"/>
      <c r="C627" s="186" t="s">
        <v>431</v>
      </c>
      <c r="D627" s="910"/>
      <c r="E627" s="1"/>
      <c r="F627" s="1"/>
      <c r="G627" s="5"/>
      <c r="H627" s="1"/>
      <c r="I627" s="1"/>
      <c r="J627" s="5"/>
      <c r="K627" s="1"/>
      <c r="L627" s="1"/>
      <c r="M627" s="5"/>
      <c r="N627" s="1"/>
      <c r="O627" s="1"/>
      <c r="P627" s="5"/>
      <c r="Q627" s="1"/>
      <c r="R627" s="1"/>
      <c r="S627" s="5"/>
      <c r="T627" s="1"/>
      <c r="U627" s="1"/>
      <c r="V627" s="5"/>
      <c r="W627" s="1"/>
      <c r="X627" s="1"/>
      <c r="Y627" s="5"/>
      <c r="Z627" s="1"/>
      <c r="AA627" s="1"/>
      <c r="AB627" s="5"/>
      <c r="AC627" s="1"/>
      <c r="AD627" s="1"/>
      <c r="AE627" s="5"/>
      <c r="AF627" s="1"/>
      <c r="AG627" s="1"/>
      <c r="AH627" s="5"/>
      <c r="AI627" s="1"/>
      <c r="AJ627" s="1"/>
      <c r="AK627" s="5"/>
      <c r="AL627" s="1"/>
      <c r="AM627" s="1"/>
      <c r="AN627" s="5"/>
      <c r="AO627" s="1"/>
      <c r="AP627" s="1"/>
      <c r="AQ627" s="5"/>
      <c r="AR627" s="1"/>
      <c r="AS627" s="1"/>
      <c r="AT627" s="5"/>
      <c r="AU627" s="1"/>
      <c r="AV627" s="1"/>
      <c r="AW627" s="5"/>
      <c r="AX627" s="187">
        <f t="shared" ref="AX627:CC627" si="2663">AX591*AX603</f>
        <v>3.9092183440800003E-2</v>
      </c>
      <c r="AY627" s="187">
        <f t="shared" si="2663"/>
        <v>3.9342373414821122E-2</v>
      </c>
      <c r="AZ627" s="187">
        <f t="shared" si="2663"/>
        <v>7.8434556855621118E-2</v>
      </c>
      <c r="BA627" s="8">
        <f t="shared" si="2663"/>
        <v>3.959416460467597E-2</v>
      </c>
      <c r="BB627" s="8">
        <f t="shared" si="2663"/>
        <v>3.9847567258145894E-2</v>
      </c>
      <c r="BC627" s="978">
        <f t="shared" si="2663"/>
        <v>7.9441731862821857E-2</v>
      </c>
      <c r="BD627" s="8">
        <f t="shared" si="2663"/>
        <v>4.0102591688598033E-2</v>
      </c>
      <c r="BE627" s="8">
        <f t="shared" si="2663"/>
        <v>4.0359248275405053E-2</v>
      </c>
      <c r="BF627" s="978">
        <f t="shared" si="2663"/>
        <v>8.0461839964003079E-2</v>
      </c>
      <c r="BG627" s="8">
        <f t="shared" si="2663"/>
        <v>4.0617547464367645E-2</v>
      </c>
      <c r="BH627" s="8">
        <f t="shared" si="2663"/>
        <v>4.0877499768139598E-2</v>
      </c>
      <c r="BI627" s="978">
        <f t="shared" si="2663"/>
        <v>8.1495047232507251E-2</v>
      </c>
      <c r="BJ627" s="115">
        <f t="shared" si="2663"/>
        <v>4.1139115766655694E-2</v>
      </c>
      <c r="BK627" s="115">
        <f t="shared" si="2663"/>
        <v>4.1402406107562288E-2</v>
      </c>
      <c r="BL627" s="116">
        <f t="shared" si="2663"/>
        <v>8.2541521874217982E-2</v>
      </c>
      <c r="BM627" s="115">
        <f t="shared" si="2663"/>
        <v>4.1534893807106496E-2</v>
      </c>
      <c r="BN627" s="115">
        <f t="shared" si="2663"/>
        <v>4.1667805467289237E-2</v>
      </c>
      <c r="BO627" s="116">
        <f t="shared" si="2663"/>
        <v>8.3202699274395733E-2</v>
      </c>
      <c r="BP627" s="115">
        <f t="shared" si="2663"/>
        <v>4.180114244478457E-2</v>
      </c>
      <c r="BQ627" s="115">
        <f t="shared" si="2663"/>
        <v>4.1934906100607877E-2</v>
      </c>
      <c r="BR627" s="116">
        <f t="shared" si="2663"/>
        <v>8.3736048545392433E-2</v>
      </c>
      <c r="BS627" s="8">
        <f t="shared" si="2663"/>
        <v>4.2069097800129823E-2</v>
      </c>
      <c r="BT627" s="8">
        <f t="shared" si="2663"/>
        <v>4.220371891309025E-2</v>
      </c>
      <c r="BU627" s="187">
        <f t="shared" si="2663"/>
        <v>8.4272816713220067E-2</v>
      </c>
      <c r="BV627" s="8">
        <f t="shared" si="2663"/>
        <v>4.2338770813612141E-2</v>
      </c>
      <c r="BW627" s="8">
        <f t="shared" si="2663"/>
        <v>4.2474254880215709E-2</v>
      </c>
      <c r="BX627" s="187">
        <f t="shared" si="2663"/>
        <v>8.4813025693827856E-2</v>
      </c>
      <c r="BY627" s="8">
        <f t="shared" si="2663"/>
        <v>4.2610172495832405E-2</v>
      </c>
      <c r="BZ627" s="8">
        <f t="shared" si="2663"/>
        <v>4.2746525047819069E-2</v>
      </c>
      <c r="CA627" s="187">
        <f t="shared" si="2663"/>
        <v>8.535669754365148E-2</v>
      </c>
      <c r="CB627" s="8">
        <f t="shared" si="2663"/>
        <v>4.2883313927972094E-2</v>
      </c>
      <c r="CC627" s="8">
        <f t="shared" si="2663"/>
        <v>4.3020540532541611E-2</v>
      </c>
      <c r="CD627" s="187">
        <f t="shared" ref="CD627:DI627" si="2664">CD591*CD603</f>
        <v>8.5903854460513712E-2</v>
      </c>
      <c r="CE627" s="8">
        <f t="shared" si="2664"/>
        <v>4.315820626224575E-2</v>
      </c>
      <c r="CF627" s="8">
        <f t="shared" si="2664"/>
        <v>4.3296312522284934E-2</v>
      </c>
      <c r="CG627" s="187">
        <f t="shared" si="2664"/>
        <v>8.6454518784530685E-2</v>
      </c>
      <c r="CH627" s="8">
        <f t="shared" si="2664"/>
        <v>4.3434860722356257E-2</v>
      </c>
      <c r="CI627" s="8">
        <f t="shared" si="2664"/>
        <v>4.3573852276667796E-2</v>
      </c>
      <c r="CJ627" s="187">
        <f t="shared" si="2664"/>
        <v>8.700871299902406E-2</v>
      </c>
      <c r="CK627" s="8">
        <f t="shared" si="2664"/>
        <v>4.3713288603953133E-2</v>
      </c>
      <c r="CL627" s="8">
        <f t="shared" si="2664"/>
        <v>4.3853171127485796E-2</v>
      </c>
      <c r="CM627" s="187">
        <f t="shared" si="2664"/>
        <v>8.7566459731438923E-2</v>
      </c>
      <c r="CN627" s="8">
        <f t="shared" si="2664"/>
        <v>4.3993501275093751E-2</v>
      </c>
      <c r="CO627" s="8">
        <f t="shared" si="2664"/>
        <v>4.4134280479174059E-2</v>
      </c>
      <c r="CP627" s="187">
        <f t="shared" si="2664"/>
        <v>8.8127781754267803E-2</v>
      </c>
      <c r="CQ627" s="8">
        <f t="shared" si="2664"/>
        <v>4.4275510176707424E-2</v>
      </c>
      <c r="CR627" s="8">
        <f t="shared" si="2664"/>
        <v>4.4417191809272887E-2</v>
      </c>
      <c r="CS627" s="187">
        <f t="shared" si="2664"/>
        <v>8.869270198598031E-2</v>
      </c>
      <c r="CT627" s="8">
        <f t="shared" si="2664"/>
        <v>4.4559326823062566E-2</v>
      </c>
      <c r="CU627" s="8">
        <f t="shared" si="2664"/>
        <v>4.4701916668896363E-2</v>
      </c>
      <c r="CV627" s="187">
        <f t="shared" si="2664"/>
        <v>8.9261243491958922E-2</v>
      </c>
      <c r="CW627" s="8">
        <f t="shared" si="2664"/>
        <v>4.4844962802236835E-2</v>
      </c>
      <c r="CX627" s="8">
        <f t="shared" si="2664"/>
        <v>4.4988466683203998E-2</v>
      </c>
      <c r="CY627" s="187">
        <f t="shared" si="2664"/>
        <v>8.9833429485440833E-2</v>
      </c>
      <c r="CZ627" s="8">
        <f t="shared" si="2664"/>
        <v>4.5132429776590259E-2</v>
      </c>
      <c r="DA627" s="8">
        <f t="shared" si="2664"/>
        <v>4.527685355187535E-2</v>
      </c>
      <c r="DB627" s="187">
        <f t="shared" si="2664"/>
        <v>9.0409283328465609E-2</v>
      </c>
      <c r="DC627" s="8">
        <f t="shared" si="2664"/>
        <v>4.5421739483241352E-2</v>
      </c>
      <c r="DD627" s="8">
        <f t="shared" si="2664"/>
        <v>4.5567089049587721E-2</v>
      </c>
      <c r="DE627" s="187">
        <f t="shared" si="2664"/>
        <v>9.098882853282908E-2</v>
      </c>
      <c r="DF627" s="8">
        <f t="shared" si="2664"/>
        <v>4.5712903734546409E-2</v>
      </c>
      <c r="DG627" s="8">
        <f t="shared" si="2664"/>
        <v>4.5859185026496961E-2</v>
      </c>
      <c r="DH627" s="187">
        <f t="shared" si="2664"/>
        <v>9.1572088761043377E-2</v>
      </c>
      <c r="DI627" s="8">
        <f t="shared" si="2664"/>
        <v>4.6005934418581751E-2</v>
      </c>
      <c r="DJ627" s="8">
        <f t="shared" ref="DJ627:EF627" si="2665">DJ591*DJ603</f>
        <v>4.6153153408721212E-2</v>
      </c>
      <c r="DK627" s="187">
        <f t="shared" si="2665"/>
        <v>9.2159087827302963E-2</v>
      </c>
      <c r="DL627" s="8">
        <f t="shared" si="2665"/>
        <v>4.6300843499629124E-2</v>
      </c>
      <c r="DM627" s="8">
        <f t="shared" si="2665"/>
        <v>4.6449006198827941E-2</v>
      </c>
      <c r="DN627" s="187">
        <f t="shared" si="2665"/>
        <v>9.2749849698457065E-2</v>
      </c>
      <c r="DO627" s="8">
        <f t="shared" si="2665"/>
        <v>4.6597643018664189E-2</v>
      </c>
      <c r="DP627" s="8">
        <f t="shared" si="2665"/>
        <v>4.6746755476323919E-2</v>
      </c>
      <c r="DQ627" s="187">
        <f t="shared" si="2665"/>
        <v>9.3344398494988101E-2</v>
      </c>
      <c r="DR627" s="8">
        <f t="shared" si="2665"/>
        <v>4.6896345093848164E-2</v>
      </c>
      <c r="DS627" s="8">
        <f t="shared" si="2665"/>
        <v>4.7046413398148475E-2</v>
      </c>
      <c r="DT627" s="187">
        <f t="shared" si="2665"/>
        <v>9.3942758491996639E-2</v>
      </c>
      <c r="DU627" s="8">
        <f t="shared" si="2665"/>
        <v>4.7196961921022552E-2</v>
      </c>
      <c r="DV627" s="8">
        <f t="shared" si="2665"/>
        <v>4.7347992199169832E-2</v>
      </c>
      <c r="DW627" s="187">
        <f t="shared" si="2665"/>
        <v>9.4544954120192384E-2</v>
      </c>
      <c r="DX627" s="8">
        <f t="shared" si="2665"/>
        <v>4.7499505774207182E-2</v>
      </c>
      <c r="DY627" s="8">
        <f t="shared" si="2665"/>
        <v>4.765150419268465E-2</v>
      </c>
      <c r="DZ627" s="187">
        <f t="shared" si="2665"/>
        <v>9.5151009966891825E-2</v>
      </c>
      <c r="EA627" s="8">
        <f t="shared" si="2665"/>
        <v>4.7803989006101243E-2</v>
      </c>
      <c r="EB627" s="8">
        <f t="shared" si="2665"/>
        <v>4.7956961770920771E-2</v>
      </c>
      <c r="EC627" s="187">
        <f t="shared" si="2665"/>
        <v>9.5760950777022E-2</v>
      </c>
      <c r="ED627" s="8">
        <f t="shared" si="2665"/>
        <v>4.8110424048587723E-2</v>
      </c>
      <c r="EE627" s="8">
        <f t="shared" si="2665"/>
        <v>4.8264377405543207E-2</v>
      </c>
      <c r="EF627" s="187">
        <f t="shared" si="2665"/>
        <v>9.6374801454130937E-2</v>
      </c>
      <c r="EG627" s="8">
        <f t="shared" ref="EG627:EL627" si="2666">EG591*EG603</f>
        <v>4.8418823413240948E-2</v>
      </c>
      <c r="EH627" s="8">
        <f t="shared" si="2666"/>
        <v>4.8573763648163328E-2</v>
      </c>
      <c r="EI627" s="187">
        <f t="shared" si="2666"/>
        <v>9.6992587061404276E-2</v>
      </c>
      <c r="EJ627" s="8">
        <f t="shared" si="2666"/>
        <v>4.8729199691837449E-2</v>
      </c>
      <c r="EK627" s="8">
        <f t="shared" si="2666"/>
        <v>4.8885133130851341E-2</v>
      </c>
      <c r="EL627" s="187">
        <f t="shared" si="2666"/>
        <v>9.761433282268879E-2</v>
      </c>
      <c r="EM627" s="8">
        <f t="shared" ref="EM627:ER627" si="2667">EM591*EM603</f>
        <v>4.9041565556870059E-2</v>
      </c>
      <c r="EN627" s="8">
        <f t="shared" si="2667"/>
        <v>4.9198498566652052E-2</v>
      </c>
      <c r="EO627" s="187">
        <f t="shared" si="2667"/>
        <v>9.8240064123522111E-2</v>
      </c>
      <c r="EP627" s="8">
        <f t="shared" si="2667"/>
        <v>4.9355933762065339E-2</v>
      </c>
      <c r="EQ627" s="8">
        <f t="shared" si="2667"/>
        <v>4.9513872750103959E-2</v>
      </c>
      <c r="ER627" s="187">
        <f t="shared" si="2667"/>
        <v>9.8869806512169311E-2</v>
      </c>
      <c r="ES627" s="8">
        <f t="shared" ref="ES627:EX627" si="2668">ES591*ES603</f>
        <v>4.9672317142904293E-2</v>
      </c>
      <c r="ET627" s="8">
        <f t="shared" si="2668"/>
        <v>4.9831268557761592E-2</v>
      </c>
      <c r="EU627" s="187">
        <f t="shared" si="2668"/>
        <v>9.9503585700665878E-2</v>
      </c>
      <c r="EV627" s="8">
        <f t="shared" si="2668"/>
        <v>4.9990728617146422E-2</v>
      </c>
      <c r="EW627" s="8">
        <f t="shared" si="2668"/>
        <v>5.0150698948721296E-2</v>
      </c>
      <c r="EX627" s="187">
        <f t="shared" si="2668"/>
        <v>0.10014142756586772</v>
      </c>
      <c r="EY627" s="8">
        <f t="shared" ref="EY627:FA627" si="2669">EY591*EY603</f>
        <v>5.0311181185357205E-2</v>
      </c>
      <c r="EZ627" s="8">
        <f t="shared" si="2669"/>
        <v>5.0472176965150356E-2</v>
      </c>
      <c r="FA627" s="187">
        <f t="shared" si="2669"/>
        <v>0.10078335815050755</v>
      </c>
      <c r="FH627" s="35"/>
      <c r="FI627" s="35"/>
      <c r="FJ627" s="35"/>
      <c r="FK627" s="35"/>
      <c r="FL627" s="35"/>
      <c r="FM627" s="35"/>
      <c r="FN627" s="35"/>
      <c r="FO627" s="35"/>
      <c r="FP627" s="35"/>
      <c r="FQ627" s="35"/>
    </row>
    <row r="628" spans="1:173" s="321" customFormat="1" hidden="1" outlineLevel="1">
      <c r="A628" s="1168"/>
      <c r="B628" s="186"/>
      <c r="C628" s="186" t="s">
        <v>327</v>
      </c>
      <c r="D628" s="910"/>
      <c r="E628" s="1"/>
      <c r="F628" s="1"/>
      <c r="G628" s="5"/>
      <c r="H628" s="1"/>
      <c r="I628" s="1"/>
      <c r="J628" s="5"/>
      <c r="K628" s="1"/>
      <c r="L628" s="1"/>
      <c r="M628" s="5"/>
      <c r="N628" s="1"/>
      <c r="O628" s="1"/>
      <c r="P628" s="5"/>
      <c r="Q628" s="1"/>
      <c r="R628" s="1"/>
      <c r="S628" s="5"/>
      <c r="T628" s="1"/>
      <c r="U628" s="1"/>
      <c r="V628" s="5"/>
      <c r="W628" s="1"/>
      <c r="X628" s="1"/>
      <c r="Y628" s="5"/>
      <c r="Z628" s="1"/>
      <c r="AA628" s="1"/>
      <c r="AB628" s="5"/>
      <c r="AC628" s="1"/>
      <c r="AD628" s="1"/>
      <c r="AE628" s="5"/>
      <c r="AF628" s="1"/>
      <c r="AG628" s="1"/>
      <c r="AH628" s="5"/>
      <c r="AI628" s="1"/>
      <c r="AJ628" s="1"/>
      <c r="AK628" s="5"/>
      <c r="AL628" s="1"/>
      <c r="AM628" s="1"/>
      <c r="AN628" s="5"/>
      <c r="AO628" s="1"/>
      <c r="AP628" s="1"/>
      <c r="AQ628" s="5"/>
      <c r="AR628" s="1"/>
      <c r="AS628" s="1"/>
      <c r="AT628" s="5"/>
      <c r="AU628" s="1"/>
      <c r="AV628" s="1"/>
      <c r="AW628" s="5"/>
      <c r="AX628" s="187">
        <f t="shared" ref="AX628:CC628" si="2670">SUM(AX625:AX627)</f>
        <v>4.4903015673502501E-2</v>
      </c>
      <c r="AY628" s="187">
        <f t="shared" si="2670"/>
        <v>4.5156796964105655E-2</v>
      </c>
      <c r="AZ628" s="187">
        <f t="shared" si="2670"/>
        <v>9.005981263760815E-2</v>
      </c>
      <c r="BA628" s="8">
        <f t="shared" si="2670"/>
        <v>4.5412202260501106E-2</v>
      </c>
      <c r="BB628" s="8">
        <f t="shared" si="2670"/>
        <v>4.5669241866724559E-2</v>
      </c>
      <c r="BC628" s="978">
        <f t="shared" si="2670"/>
        <v>9.1081444127225658E-2</v>
      </c>
      <c r="BD628" s="8">
        <f t="shared" si="2670"/>
        <v>4.5927926152573351E-2</v>
      </c>
      <c r="BE628" s="8">
        <f t="shared" si="2670"/>
        <v>4.6188265554026678E-2</v>
      </c>
      <c r="BF628" s="978">
        <f t="shared" si="2670"/>
        <v>9.2116191706600029E-2</v>
      </c>
      <c r="BG628" s="8">
        <f t="shared" si="2670"/>
        <v>4.6450270573668601E-2</v>
      </c>
      <c r="BH628" s="8">
        <f t="shared" si="2670"/>
        <v>4.671395178111365E-2</v>
      </c>
      <c r="BI628" s="978">
        <f t="shared" si="2670"/>
        <v>9.316422235478225E-2</v>
      </c>
      <c r="BJ628" s="115">
        <f t="shared" si="2670"/>
        <v>4.6979319813435227E-2</v>
      </c>
      <c r="BK628" s="115">
        <f t="shared" si="2670"/>
        <v>4.7246385375596701E-2</v>
      </c>
      <c r="BL628" s="116">
        <f t="shared" si="2670"/>
        <v>9.4225705189031922E-2</v>
      </c>
      <c r="BM628" s="115">
        <f t="shared" si="2670"/>
        <v>4.7380772308241004E-2</v>
      </c>
      <c r="BN628" s="115">
        <f t="shared" si="2670"/>
        <v>4.7515589027179013E-2</v>
      </c>
      <c r="BO628" s="116">
        <f t="shared" si="2670"/>
        <v>9.4896361335420024E-2</v>
      </c>
      <c r="BP628" s="115">
        <f t="shared" si="2670"/>
        <v>4.765083689631669E-2</v>
      </c>
      <c r="BQ628" s="115">
        <f t="shared" si="2670"/>
        <v>4.7786517283912609E-2</v>
      </c>
      <c r="BR628" s="116">
        <f t="shared" si="2670"/>
        <v>9.5437354180229278E-2</v>
      </c>
      <c r="BS628" s="8">
        <f t="shared" si="2670"/>
        <v>4.7922631562591932E-2</v>
      </c>
      <c r="BT628" s="8">
        <f t="shared" si="2670"/>
        <v>4.8059181109360291E-2</v>
      </c>
      <c r="BU628" s="187">
        <f t="shared" si="2670"/>
        <v>9.5981812671952216E-2</v>
      </c>
      <c r="BV628" s="8">
        <f t="shared" si="2670"/>
        <v>4.81961673056178E-2</v>
      </c>
      <c r="BW628" s="8">
        <f t="shared" si="2670"/>
        <v>4.8333591537173148E-2</v>
      </c>
      <c r="BX628" s="187">
        <f t="shared" si="2670"/>
        <v>9.6529758842790955E-2</v>
      </c>
      <c r="BY628" s="8">
        <f t="shared" si="2670"/>
        <v>4.8471455194257627E-2</v>
      </c>
      <c r="BZ628" s="8">
        <f t="shared" si="2670"/>
        <v>4.8609759671539285E-2</v>
      </c>
      <c r="CA628" s="187">
        <f t="shared" si="2670"/>
        <v>9.7081214865796919E-2</v>
      </c>
      <c r="CB628" s="8">
        <f t="shared" si="2670"/>
        <v>4.8748506368137115E-2</v>
      </c>
      <c r="CC628" s="8">
        <f t="shared" si="2670"/>
        <v>4.8887696687635276E-2</v>
      </c>
      <c r="CD628" s="187">
        <f t="shared" ref="CD628:DI628" si="2671">SUM(CD625:CD627)</f>
        <v>9.7636203055772405E-2</v>
      </c>
      <c r="CE628" s="8">
        <f t="shared" si="2671"/>
        <v>4.9027332038097352E-2</v>
      </c>
      <c r="CF628" s="8">
        <f t="shared" si="2671"/>
        <v>4.9167413832080634E-2</v>
      </c>
      <c r="CG628" s="187">
        <f t="shared" si="2671"/>
        <v>9.8194745870177985E-2</v>
      </c>
      <c r="CH628" s="8">
        <f t="shared" si="2671"/>
        <v>4.9307943486650595E-2</v>
      </c>
      <c r="CI628" s="8">
        <f t="shared" si="2671"/>
        <v>4.9448922423395117E-2</v>
      </c>
      <c r="CJ628" s="187">
        <f t="shared" si="2671"/>
        <v>9.8756865910045719E-2</v>
      </c>
      <c r="CK628" s="8">
        <f t="shared" si="2671"/>
        <v>4.959035206843912E-2</v>
      </c>
      <c r="CL628" s="8">
        <f t="shared" si="2671"/>
        <v>4.9732233852458965E-2</v>
      </c>
      <c r="CM628" s="187">
        <f t="shared" si="2671"/>
        <v>9.9322585920898071E-2</v>
      </c>
      <c r="CN628" s="8">
        <f t="shared" si="2671"/>
        <v>4.9874569210696967E-2</v>
      </c>
      <c r="CO628" s="8">
        <f t="shared" si="2671"/>
        <v>5.0017359582976109E-2</v>
      </c>
      <c r="CP628" s="187">
        <f t="shared" si="2671"/>
        <v>9.9891928793673077E-2</v>
      </c>
      <c r="CQ628" s="8">
        <f t="shared" si="2671"/>
        <v>5.0160606413714552E-2</v>
      </c>
      <c r="CR628" s="8">
        <f t="shared" si="2671"/>
        <v>5.0304311151940381E-2</v>
      </c>
      <c r="CS628" s="187">
        <f t="shared" si="2671"/>
        <v>0.10046491756565493</v>
      </c>
      <c r="CT628" s="8">
        <f t="shared" si="2671"/>
        <v>5.0448475251306357E-2</v>
      </c>
      <c r="CU628" s="8">
        <f t="shared" si="2671"/>
        <v>5.0593100170104634E-2</v>
      </c>
      <c r="CV628" s="187">
        <f t="shared" si="2671"/>
        <v>0.10104157542141098</v>
      </c>
      <c r="CW628" s="8">
        <f t="shared" si="2671"/>
        <v>5.0738187371281634E-2</v>
      </c>
      <c r="CX628" s="8">
        <f t="shared" si="2671"/>
        <v>5.0883738322452916E-2</v>
      </c>
      <c r="CY628" s="187">
        <f t="shared" si="2671"/>
        <v>0.10162192569373456</v>
      </c>
      <c r="CZ628" s="8">
        <f t="shared" si="2671"/>
        <v>5.102975449591806E-2</v>
      </c>
      <c r="DA628" s="8">
        <f t="shared" si="2671"/>
        <v>5.1176237368675666E-2</v>
      </c>
      <c r="DB628" s="187">
        <f t="shared" si="2671"/>
        <v>0.10220599186459373</v>
      </c>
      <c r="DC628" s="8">
        <f t="shared" si="2671"/>
        <v>5.1323188422438375E-2</v>
      </c>
      <c r="DD628" s="8">
        <f t="shared" si="2671"/>
        <v>5.1470609143647914E-2</v>
      </c>
      <c r="DE628" s="187">
        <f t="shared" si="2671"/>
        <v>0.1027937975660863</v>
      </c>
      <c r="DF628" s="8">
        <f t="shared" si="2671"/>
        <v>5.1618501023490242E-2</v>
      </c>
      <c r="DG628" s="8">
        <f t="shared" si="2671"/>
        <v>5.176686555791065E-2</v>
      </c>
      <c r="DH628" s="187">
        <f t="shared" si="2671"/>
        <v>0.10338536658140091</v>
      </c>
      <c r="DI628" s="8">
        <f t="shared" si="2671"/>
        <v>5.1915704247629028E-2</v>
      </c>
      <c r="DJ628" s="8">
        <f t="shared" ref="DJ628:EF628" si="2672">SUM(DJ625:DJ627)</f>
        <v>5.2065018598155106E-2</v>
      </c>
      <c r="DK628" s="187">
        <f t="shared" si="2672"/>
        <v>0.10398072284578413</v>
      </c>
      <c r="DL628" s="8">
        <f t="shared" si="2672"/>
        <v>5.2214810119803758E-2</v>
      </c>
      <c r="DM628" s="8">
        <f t="shared" si="2672"/>
        <v>5.2365080327710339E-2</v>
      </c>
      <c r="DN628" s="187">
        <f t="shared" si="2672"/>
        <v>0.10457989044751409</v>
      </c>
      <c r="DO628" s="8">
        <f t="shared" si="2672"/>
        <v>5.2515830741846126E-2</v>
      </c>
      <c r="DP628" s="8">
        <f t="shared" si="2672"/>
        <v>5.2667062887033746E-2</v>
      </c>
      <c r="DQ628" s="187">
        <f t="shared" si="2672"/>
        <v>0.10518289362887986</v>
      </c>
      <c r="DR628" s="8">
        <f t="shared" si="2672"/>
        <v>5.2818778292962706E-2</v>
      </c>
      <c r="DS628" s="8">
        <f t="shared" si="2672"/>
        <v>5.2970978494204887E-2</v>
      </c>
      <c r="DT628" s="187">
        <f t="shared" si="2672"/>
        <v>0.10578975678716759</v>
      </c>
      <c r="DU628" s="8">
        <f t="shared" si="2672"/>
        <v>5.3123665030230235E-2</v>
      </c>
      <c r="DV628" s="8">
        <f t="shared" si="2672"/>
        <v>5.3276839445422351E-2</v>
      </c>
      <c r="DW628" s="187">
        <f t="shared" si="2672"/>
        <v>0.10640050447565259</v>
      </c>
      <c r="DX628" s="8">
        <f t="shared" si="2672"/>
        <v>5.3430503289094197E-2</v>
      </c>
      <c r="DY628" s="8">
        <f t="shared" si="2672"/>
        <v>5.3584658115503871E-2</v>
      </c>
      <c r="DZ628" s="187">
        <f t="shared" si="2672"/>
        <v>0.10701516140459806</v>
      </c>
      <c r="EA628" s="8">
        <f t="shared" si="2672"/>
        <v>5.3739305483870403E-2</v>
      </c>
      <c r="EB628" s="8">
        <f t="shared" si="2672"/>
        <v>5.3894446958389602E-2</v>
      </c>
      <c r="EC628" s="187">
        <f t="shared" si="2672"/>
        <v>0.10763375244225999</v>
      </c>
      <c r="ED628" s="8">
        <f t="shared" si="2672"/>
        <v>5.4050084108249984E-2</v>
      </c>
      <c r="EE628" s="8">
        <f t="shared" si="2672"/>
        <v>5.4206218507648687E-2</v>
      </c>
      <c r="EF628" s="187">
        <f t="shared" si="2672"/>
        <v>0.10825630261589868</v>
      </c>
      <c r="EG628" s="8">
        <f t="shared" ref="EG628:EL628" si="2673">SUM(EG625:EG627)</f>
        <v>5.4362851735807523E-2</v>
      </c>
      <c r="EH628" s="8">
        <f t="shared" si="2673"/>
        <v>5.4519985376988996E-2</v>
      </c>
      <c r="EI628" s="187">
        <f t="shared" si="2673"/>
        <v>0.10888283711279652</v>
      </c>
      <c r="EJ628" s="8">
        <f t="shared" si="2673"/>
        <v>5.4677621020512428E-2</v>
      </c>
      <c r="EK628" s="8">
        <f t="shared" si="2673"/>
        <v>5.4835760260770146E-2</v>
      </c>
      <c r="EL628" s="187">
        <f t="shared" si="2673"/>
        <v>0.10951338128128257</v>
      </c>
      <c r="EM628" s="8">
        <f t="shared" ref="EM628:ER628" si="2674">SUM(EM625:EM627)</f>
        <v>5.4994404697243621E-2</v>
      </c>
      <c r="EN628" s="8">
        <f t="shared" si="2674"/>
        <v>5.515355593451985E-2</v>
      </c>
      <c r="EO628" s="187">
        <f t="shared" si="2674"/>
        <v>0.11014796063176348</v>
      </c>
      <c r="EP628" s="8">
        <f t="shared" si="2674"/>
        <v>5.5313215582307534E-2</v>
      </c>
      <c r="EQ628" s="8">
        <f t="shared" si="2674"/>
        <v>5.5473385255453554E-2</v>
      </c>
      <c r="ER628" s="187">
        <f t="shared" si="2674"/>
        <v>0.1107866008377611</v>
      </c>
      <c r="ES628" s="8">
        <f t="shared" ref="ES628:EX628" si="2675">SUM(ES625:ES627)</f>
        <v>5.5634066573959341E-2</v>
      </c>
      <c r="ET628" s="8">
        <f t="shared" si="2675"/>
        <v>5.5795261162997364E-2</v>
      </c>
      <c r="EU628" s="187">
        <f t="shared" si="2675"/>
        <v>0.1114293277369567</v>
      </c>
      <c r="EV628" s="8">
        <f t="shared" si="2675"/>
        <v>5.595697065292763E-2</v>
      </c>
      <c r="EW628" s="8">
        <f t="shared" si="2675"/>
        <v>5.6119196679314351E-2</v>
      </c>
      <c r="EX628" s="187">
        <f t="shared" si="2675"/>
        <v>0.11207616733224199</v>
      </c>
      <c r="EY628" s="8">
        <f t="shared" ref="EY628:FA628" si="2676">SUM(EY625:EY627)</f>
        <v>5.6281940882942437E-2</v>
      </c>
      <c r="EZ628" s="8">
        <f t="shared" si="2676"/>
        <v>5.6445204909834297E-2</v>
      </c>
      <c r="FA628" s="187">
        <f t="shared" si="2676"/>
        <v>0.11272714579277673</v>
      </c>
      <c r="FH628" s="35"/>
      <c r="FI628" s="35"/>
      <c r="FJ628" s="35"/>
      <c r="FK628" s="35"/>
      <c r="FL628" s="35"/>
      <c r="FM628" s="35"/>
      <c r="FN628" s="35"/>
      <c r="FO628" s="35"/>
      <c r="FP628" s="35"/>
      <c r="FQ628" s="35"/>
    </row>
    <row r="629" spans="1:173" s="321" customFormat="1" hidden="1" outlineLevel="1">
      <c r="A629" s="1168"/>
      <c r="B629" s="186"/>
      <c r="C629" s="186"/>
      <c r="D629" s="910"/>
      <c r="E629" s="1"/>
      <c r="F629" s="1"/>
      <c r="G629" s="5"/>
      <c r="H629" s="1"/>
      <c r="I629" s="1"/>
      <c r="J629" s="5"/>
      <c r="K629" s="1"/>
      <c r="L629" s="1"/>
      <c r="M629" s="5"/>
      <c r="N629" s="1"/>
      <c r="O629" s="1"/>
      <c r="P629" s="5"/>
      <c r="Q629" s="1"/>
      <c r="R629" s="1"/>
      <c r="S629" s="5"/>
      <c r="T629" s="1"/>
      <c r="U629" s="1"/>
      <c r="V629" s="5"/>
      <c r="W629" s="1"/>
      <c r="X629" s="1"/>
      <c r="Y629" s="5"/>
      <c r="Z629" s="1"/>
      <c r="AA629" s="1"/>
      <c r="AB629" s="5"/>
      <c r="AC629" s="1"/>
      <c r="AD629" s="1"/>
      <c r="AE629" s="5"/>
      <c r="AF629" s="1"/>
      <c r="AG629" s="1"/>
      <c r="AH629" s="5"/>
      <c r="AI629" s="1"/>
      <c r="AJ629" s="1"/>
      <c r="AK629" s="5"/>
      <c r="AL629" s="1"/>
      <c r="AM629" s="1"/>
      <c r="AN629" s="5"/>
      <c r="AO629" s="1"/>
      <c r="AP629" s="1"/>
      <c r="AQ629" s="5"/>
      <c r="AR629" s="1"/>
      <c r="AS629" s="1"/>
      <c r="AT629" s="5"/>
      <c r="AU629" s="1"/>
      <c r="AV629" s="1"/>
      <c r="AW629" s="5"/>
      <c r="AX629" s="187"/>
      <c r="AY629" s="187"/>
      <c r="AZ629" s="187"/>
      <c r="BA629" s="8"/>
      <c r="BB629" s="8"/>
      <c r="BC629" s="978"/>
      <c r="BD629" s="8"/>
      <c r="BE629" s="8"/>
      <c r="BF629" s="978"/>
      <c r="BG629" s="8"/>
      <c r="BH629" s="8"/>
      <c r="BI629" s="978"/>
      <c r="BJ629" s="115"/>
      <c r="BK629" s="115"/>
      <c r="BL629" s="116"/>
      <c r="BM629" s="115"/>
      <c r="BN629" s="115"/>
      <c r="BO629" s="116"/>
      <c r="BP629" s="115"/>
      <c r="BQ629" s="115"/>
      <c r="BR629" s="116"/>
      <c r="BS629" s="8"/>
      <c r="BT629" s="8"/>
      <c r="BU629" s="187"/>
      <c r="BV629" s="8"/>
      <c r="BW629" s="8"/>
      <c r="BX629" s="187"/>
      <c r="BY629" s="8"/>
      <c r="BZ629" s="8"/>
      <c r="CA629" s="187"/>
      <c r="CB629" s="8"/>
      <c r="CC629" s="8"/>
      <c r="CD629" s="187"/>
      <c r="CE629" s="8"/>
      <c r="CF629" s="8"/>
      <c r="CG629" s="187"/>
      <c r="CH629" s="8"/>
      <c r="CI629" s="8"/>
      <c r="CJ629" s="187"/>
      <c r="CK629" s="8"/>
      <c r="CL629" s="8"/>
      <c r="CM629" s="187"/>
      <c r="CN629" s="8"/>
      <c r="CO629" s="8"/>
      <c r="CP629" s="187"/>
      <c r="CQ629" s="8"/>
      <c r="CR629" s="8"/>
      <c r="CS629" s="187"/>
      <c r="CT629" s="8"/>
      <c r="CU629" s="8"/>
      <c r="CV629" s="187"/>
      <c r="CW629" s="8"/>
      <c r="CX629" s="8"/>
      <c r="CY629" s="187"/>
      <c r="CZ629" s="8"/>
      <c r="DA629" s="8"/>
      <c r="DB629" s="187"/>
      <c r="DC629" s="8"/>
      <c r="DD629" s="8"/>
      <c r="DE629" s="187"/>
      <c r="DF629" s="8"/>
      <c r="DG629" s="8"/>
      <c r="DH629" s="187"/>
      <c r="DI629" s="8"/>
      <c r="DJ629" s="8"/>
      <c r="DK629" s="187"/>
      <c r="DL629" s="8"/>
      <c r="DM629" s="8"/>
      <c r="DN629" s="187"/>
      <c r="DO629" s="8"/>
      <c r="DP629" s="8"/>
      <c r="DQ629" s="187"/>
      <c r="DR629" s="8"/>
      <c r="DS629" s="8"/>
      <c r="DT629" s="187"/>
      <c r="DU629" s="8"/>
      <c r="DV629" s="8"/>
      <c r="DW629" s="187"/>
      <c r="DX629" s="8"/>
      <c r="DY629" s="8"/>
      <c r="DZ629" s="187"/>
      <c r="EA629" s="8"/>
      <c r="EB629" s="8"/>
      <c r="EC629" s="187"/>
      <c r="ED629" s="8"/>
      <c r="EE629" s="8"/>
      <c r="EF629" s="187"/>
      <c r="EG629" s="8"/>
      <c r="EH629" s="8"/>
      <c r="EI629" s="187"/>
      <c r="EJ629" s="8"/>
      <c r="EK629" s="8"/>
      <c r="EL629" s="187"/>
      <c r="EM629" s="8"/>
      <c r="EN629" s="8"/>
      <c r="EO629" s="187"/>
      <c r="EP629" s="8"/>
      <c r="EQ629" s="8"/>
      <c r="ER629" s="187"/>
      <c r="ES629" s="8"/>
      <c r="ET629" s="8"/>
      <c r="EU629" s="187"/>
      <c r="EV629" s="8"/>
      <c r="EW629" s="8"/>
      <c r="EX629" s="187"/>
      <c r="EY629" s="8"/>
      <c r="EZ629" s="8"/>
      <c r="FA629" s="187"/>
      <c r="FH629" s="35"/>
      <c r="FI629" s="35"/>
      <c r="FJ629" s="35"/>
      <c r="FK629" s="35"/>
      <c r="FL629" s="35"/>
      <c r="FM629" s="35"/>
      <c r="FN629" s="35"/>
      <c r="FO629" s="35"/>
      <c r="FP629" s="35"/>
      <c r="FQ629" s="35"/>
    </row>
    <row r="630" spans="1:173" s="321" customFormat="1" hidden="1" outlineLevel="1">
      <c r="A630" s="1168"/>
      <c r="B630" s="186"/>
      <c r="C630" s="331" t="s">
        <v>246</v>
      </c>
      <c r="D630" s="910"/>
      <c r="E630" s="1"/>
      <c r="F630" s="1"/>
      <c r="G630" s="5"/>
      <c r="H630" s="1"/>
      <c r="I630" s="1"/>
      <c r="J630" s="5"/>
      <c r="K630" s="1"/>
      <c r="L630" s="1"/>
      <c r="M630" s="5"/>
      <c r="N630" s="1"/>
      <c r="O630" s="1"/>
      <c r="P630" s="5"/>
      <c r="Q630" s="1"/>
      <c r="R630" s="1"/>
      <c r="S630" s="5"/>
      <c r="T630" s="1"/>
      <c r="U630" s="1"/>
      <c r="V630" s="5"/>
      <c r="W630" s="1"/>
      <c r="X630" s="1"/>
      <c r="Y630" s="5"/>
      <c r="Z630" s="1"/>
      <c r="AA630" s="1"/>
      <c r="AB630" s="5"/>
      <c r="AC630" s="1"/>
      <c r="AD630" s="1"/>
      <c r="AE630" s="5"/>
      <c r="AF630" s="1"/>
      <c r="AG630" s="1"/>
      <c r="AH630" s="5"/>
      <c r="AI630" s="1"/>
      <c r="AJ630" s="1"/>
      <c r="AK630" s="5"/>
      <c r="AL630" s="1"/>
      <c r="AM630" s="1"/>
      <c r="AN630" s="5"/>
      <c r="AO630" s="1"/>
      <c r="AP630" s="1"/>
      <c r="AQ630" s="5"/>
      <c r="AR630" s="1"/>
      <c r="AS630" s="1"/>
      <c r="AT630" s="5"/>
      <c r="AU630" s="1"/>
      <c r="AV630" s="1"/>
      <c r="AW630" s="5"/>
      <c r="AX630" s="187"/>
      <c r="AY630" s="187"/>
      <c r="AZ630" s="187"/>
      <c r="BA630" s="8"/>
      <c r="BB630" s="8"/>
      <c r="BC630" s="978"/>
      <c r="BD630" s="8"/>
      <c r="BE630" s="8"/>
      <c r="BF630" s="978"/>
      <c r="BG630" s="8"/>
      <c r="BH630" s="8"/>
      <c r="BI630" s="978"/>
      <c r="BJ630" s="115"/>
      <c r="BK630" s="115"/>
      <c r="BL630" s="116"/>
      <c r="BM630" s="115"/>
      <c r="BN630" s="115"/>
      <c r="BO630" s="116"/>
      <c r="BP630" s="115"/>
      <c r="BQ630" s="115"/>
      <c r="BR630" s="116"/>
      <c r="BS630" s="8"/>
      <c r="BT630" s="8"/>
      <c r="BU630" s="187"/>
      <c r="BV630" s="8"/>
      <c r="BW630" s="8"/>
      <c r="BX630" s="187"/>
      <c r="BY630" s="8"/>
      <c r="BZ630" s="8"/>
      <c r="CA630" s="187"/>
      <c r="CB630" s="8"/>
      <c r="CC630" s="8"/>
      <c r="CD630" s="187"/>
      <c r="CE630" s="8"/>
      <c r="CF630" s="8"/>
      <c r="CG630" s="187"/>
      <c r="CH630" s="8"/>
      <c r="CI630" s="8"/>
      <c r="CJ630" s="187"/>
      <c r="CK630" s="8"/>
      <c r="CL630" s="8"/>
      <c r="CM630" s="187"/>
      <c r="CN630" s="8"/>
      <c r="CO630" s="8"/>
      <c r="CP630" s="187"/>
      <c r="CQ630" s="8"/>
      <c r="CR630" s="8"/>
      <c r="CS630" s="187"/>
      <c r="CT630" s="8"/>
      <c r="CU630" s="8"/>
      <c r="CV630" s="187"/>
      <c r="CW630" s="8"/>
      <c r="CX630" s="8"/>
      <c r="CY630" s="187"/>
      <c r="CZ630" s="8"/>
      <c r="DA630" s="8"/>
      <c r="DB630" s="187"/>
      <c r="DC630" s="8"/>
      <c r="DD630" s="8"/>
      <c r="DE630" s="187"/>
      <c r="DF630" s="8"/>
      <c r="DG630" s="8"/>
      <c r="DH630" s="187"/>
      <c r="DI630" s="8"/>
      <c r="DJ630" s="8"/>
      <c r="DK630" s="187"/>
      <c r="DL630" s="8"/>
      <c r="DM630" s="8"/>
      <c r="DN630" s="187"/>
      <c r="DO630" s="8"/>
      <c r="DP630" s="8"/>
      <c r="DQ630" s="187"/>
      <c r="DR630" s="8"/>
      <c r="DS630" s="8"/>
      <c r="DT630" s="187"/>
      <c r="DU630" s="8"/>
      <c r="DV630" s="8"/>
      <c r="DW630" s="187"/>
      <c r="DX630" s="8"/>
      <c r="DY630" s="8"/>
      <c r="DZ630" s="187"/>
      <c r="EA630" s="8"/>
      <c r="EB630" s="8"/>
      <c r="EC630" s="187"/>
      <c r="ED630" s="8"/>
      <c r="EE630" s="8"/>
      <c r="EF630" s="187"/>
      <c r="EG630" s="8"/>
      <c r="EH630" s="8"/>
      <c r="EI630" s="187"/>
      <c r="EJ630" s="8"/>
      <c r="EK630" s="8"/>
      <c r="EL630" s="187"/>
      <c r="EM630" s="8"/>
      <c r="EN630" s="8"/>
      <c r="EO630" s="187"/>
      <c r="EP630" s="8"/>
      <c r="EQ630" s="8"/>
      <c r="ER630" s="187"/>
      <c r="ES630" s="8"/>
      <c r="ET630" s="8"/>
      <c r="EU630" s="187"/>
      <c r="EV630" s="8"/>
      <c r="EW630" s="8"/>
      <c r="EX630" s="187"/>
      <c r="EY630" s="8"/>
      <c r="EZ630" s="8"/>
      <c r="FA630" s="187"/>
      <c r="FH630" s="35"/>
      <c r="FI630" s="35"/>
      <c r="FJ630" s="35"/>
      <c r="FK630" s="35"/>
      <c r="FL630" s="35"/>
      <c r="FM630" s="35"/>
      <c r="FN630" s="35"/>
      <c r="FO630" s="35"/>
      <c r="FP630" s="35"/>
      <c r="FQ630" s="35"/>
    </row>
    <row r="631" spans="1:173" s="321" customFormat="1" hidden="1" outlineLevel="1">
      <c r="A631" s="1168"/>
      <c r="B631" s="186"/>
      <c r="C631" s="186" t="s">
        <v>316</v>
      </c>
      <c r="D631" s="910"/>
      <c r="E631" s="1"/>
      <c r="F631" s="1"/>
      <c r="G631" s="5"/>
      <c r="H631" s="1"/>
      <c r="I631" s="1"/>
      <c r="J631" s="5"/>
      <c r="K631" s="1"/>
      <c r="L631" s="1"/>
      <c r="M631" s="5"/>
      <c r="N631" s="1"/>
      <c r="O631" s="1"/>
      <c r="P631" s="5"/>
      <c r="Q631" s="1"/>
      <c r="R631" s="1"/>
      <c r="S631" s="5"/>
      <c r="T631" s="1"/>
      <c r="U631" s="1"/>
      <c r="V631" s="5"/>
      <c r="W631" s="1"/>
      <c r="X631" s="1"/>
      <c r="Y631" s="5"/>
      <c r="Z631" s="1"/>
      <c r="AA631" s="1"/>
      <c r="AB631" s="5"/>
      <c r="AC631" s="1"/>
      <c r="AD631" s="1"/>
      <c r="AE631" s="5"/>
      <c r="AF631" s="1"/>
      <c r="AG631" s="1"/>
      <c r="AH631" s="5"/>
      <c r="AI631" s="1"/>
      <c r="AJ631" s="1"/>
      <c r="AK631" s="5"/>
      <c r="AL631" s="1"/>
      <c r="AM631" s="1"/>
      <c r="AN631" s="5"/>
      <c r="AO631" s="1"/>
      <c r="AP631" s="1"/>
      <c r="AQ631" s="5"/>
      <c r="AR631" s="1"/>
      <c r="AS631" s="1"/>
      <c r="AT631" s="5"/>
      <c r="AU631" s="1"/>
      <c r="AV631" s="1"/>
      <c r="AW631" s="5"/>
      <c r="AX631" s="187">
        <f t="shared" ref="AX631:CC631" si="2677">AX583*AX607</f>
        <v>0.97153593094813129</v>
      </c>
      <c r="AY631" s="187">
        <f t="shared" si="2677"/>
        <v>0.97440196194442852</v>
      </c>
      <c r="AZ631" s="187">
        <f t="shared" si="2677"/>
        <v>0.97096518314255975</v>
      </c>
      <c r="BA631" s="8">
        <f t="shared" si="2677"/>
        <v>0.97727644773216438</v>
      </c>
      <c r="BB631" s="8">
        <f t="shared" si="2677"/>
        <v>0.9801594132529744</v>
      </c>
      <c r="BC631" s="978">
        <f t="shared" si="2677"/>
        <v>0.976702327547607</v>
      </c>
      <c r="BD631" s="8">
        <f t="shared" si="2677"/>
        <v>0.98305088352207071</v>
      </c>
      <c r="BE631" s="8">
        <f t="shared" si="2677"/>
        <v>0.98595088362846073</v>
      </c>
      <c r="BF631" s="978">
        <f t="shared" si="2677"/>
        <v>0.98247337103214349</v>
      </c>
      <c r="BG631" s="8">
        <f t="shared" si="2677"/>
        <v>0.98885943873516491</v>
      </c>
      <c r="BH631" s="8">
        <f t="shared" si="2677"/>
        <v>0.99177657407943354</v>
      </c>
      <c r="BI631" s="978">
        <f t="shared" si="2677"/>
        <v>0.98827851389574473</v>
      </c>
      <c r="BJ631" s="115">
        <f t="shared" si="2677"/>
        <v>0.99470231497296779</v>
      </c>
      <c r="BK631" s="115">
        <f t="shared" si="2677"/>
        <v>0.99763668680213824</v>
      </c>
      <c r="BL631" s="116">
        <f t="shared" si="2677"/>
        <v>0.99411795762149668</v>
      </c>
      <c r="BM631" s="115">
        <f t="shared" si="2677"/>
        <v>0.99910820091517127</v>
      </c>
      <c r="BN631" s="115">
        <f t="shared" si="2677"/>
        <v>1.0005818855115209</v>
      </c>
      <c r="BO631" s="116">
        <f t="shared" si="2677"/>
        <v>0.99704757064338478</v>
      </c>
      <c r="BP631" s="115">
        <f t="shared" si="2677"/>
        <v>1.0020577437926503</v>
      </c>
      <c r="BQ631" s="115">
        <f t="shared" si="2677"/>
        <v>1.0035357789647443</v>
      </c>
      <c r="BR631" s="116">
        <f t="shared" si="2677"/>
        <v>0.99999103017840341</v>
      </c>
      <c r="BS631" s="8">
        <f t="shared" si="2677"/>
        <v>1.0050159942387173</v>
      </c>
      <c r="BT631" s="8">
        <f t="shared" si="2677"/>
        <v>1.0064983928302194</v>
      </c>
      <c r="BU631" s="187">
        <f t="shared" si="2677"/>
        <v>1.0029431793229147</v>
      </c>
      <c r="BV631" s="8">
        <f t="shared" si="2677"/>
        <v>1.0079829779596439</v>
      </c>
      <c r="BW631" s="8">
        <f t="shared" si="2677"/>
        <v>1.0094697528521341</v>
      </c>
      <c r="BX631" s="187">
        <f t="shared" si="2677"/>
        <v>1.0059040437301716</v>
      </c>
      <c r="BY631" s="8">
        <f t="shared" si="2677"/>
        <v>1.010958720737591</v>
      </c>
      <c r="BZ631" s="8">
        <f t="shared" si="2677"/>
        <v>1.0124498848506789</v>
      </c>
      <c r="CA631" s="187">
        <f t="shared" si="2677"/>
        <v>1.0088736491291606</v>
      </c>
      <c r="CB631" s="8">
        <f t="shared" si="2677"/>
        <v>1.0139432484308335</v>
      </c>
      <c r="CC631" s="8">
        <f t="shared" si="2677"/>
        <v>1.015438814722269</v>
      </c>
      <c r="CD631" s="187">
        <f t="shared" ref="CD631:DI631" si="2678">CD583*CD607</f>
        <v>1.0118520213248243</v>
      </c>
      <c r="CE631" s="8">
        <f t="shared" si="2678"/>
        <v>1.0169365869739841</v>
      </c>
      <c r="CF631" s="8">
        <f t="shared" si="2678"/>
        <v>1.0184365684397707</v>
      </c>
      <c r="CG631" s="187">
        <f t="shared" si="2678"/>
        <v>1.0148391861982859</v>
      </c>
      <c r="CH631" s="8">
        <f t="shared" si="2678"/>
        <v>1.0199387623782192</v>
      </c>
      <c r="CI631" s="8">
        <f t="shared" si="2678"/>
        <v>1.0214431720527271</v>
      </c>
      <c r="CJ631" s="187">
        <f t="shared" si="2678"/>
        <v>1.0178351697070753</v>
      </c>
      <c r="CK631" s="8">
        <f t="shared" si="2678"/>
        <v>1.0229498007315045</v>
      </c>
      <c r="CL631" s="8">
        <f t="shared" si="2678"/>
        <v>1.0244586516875835</v>
      </c>
      <c r="CM631" s="187">
        <f t="shared" si="2678"/>
        <v>1.0208399978853522</v>
      </c>
      <c r="CN631" s="8">
        <f t="shared" si="2678"/>
        <v>1.0259697281988225</v>
      </c>
      <c r="CO631" s="8">
        <f t="shared" si="2678"/>
        <v>1.0274830335479157</v>
      </c>
      <c r="CP631" s="187">
        <f t="shared" si="2678"/>
        <v>1.0238536968441339</v>
      </c>
      <c r="CQ631" s="8">
        <f t="shared" si="2678"/>
        <v>1.0289985710223988</v>
      </c>
      <c r="CR631" s="8">
        <f t="shared" si="2678"/>
        <v>1.0305163439146567</v>
      </c>
      <c r="CS631" s="187">
        <f t="shared" si="2678"/>
        <v>1.0268762927715234</v>
      </c>
      <c r="CT631" s="8">
        <f t="shared" si="2678"/>
        <v>1.0320363555219307</v>
      </c>
      <c r="CU631" s="8">
        <f t="shared" si="2678"/>
        <v>1.0335586091463254</v>
      </c>
      <c r="CV631" s="187">
        <f t="shared" si="2678"/>
        <v>1.0299078119329335</v>
      </c>
      <c r="CW631" s="8">
        <f t="shared" si="2678"/>
        <v>1.0350831080948162</v>
      </c>
      <c r="CX631" s="8">
        <f t="shared" si="2678"/>
        <v>1.0366098556792558</v>
      </c>
      <c r="CY631" s="187">
        <f t="shared" si="2678"/>
        <v>1.0329482806713186</v>
      </c>
      <c r="CZ631" s="8">
        <f t="shared" si="2678"/>
        <v>1.0381388552163826</v>
      </c>
      <c r="DA631" s="8">
        <f t="shared" si="2678"/>
        <v>1.0396701100278267</v>
      </c>
      <c r="DB631" s="187">
        <f t="shared" si="2678"/>
        <v>1.035997725407402</v>
      </c>
      <c r="DC631" s="8">
        <f t="shared" si="2678"/>
        <v>1.0412036234401176</v>
      </c>
      <c r="DD631" s="8">
        <f t="shared" si="2678"/>
        <v>1.0427393987846918</v>
      </c>
      <c r="DE631" s="187">
        <f t="shared" si="2678"/>
        <v>1.039056172639905</v>
      </c>
      <c r="DF631" s="8">
        <f t="shared" si="2678"/>
        <v>1.0442774393978993</v>
      </c>
      <c r="DG631" s="8">
        <f t="shared" si="2678"/>
        <v>1.045817748621011</v>
      </c>
      <c r="DH631" s="187">
        <f t="shared" si="2678"/>
        <v>1.0421236489457781</v>
      </c>
      <c r="DI631" s="8">
        <f t="shared" si="2678"/>
        <v>1.0473603298002268</v>
      </c>
      <c r="DJ631" s="8">
        <f t="shared" ref="DJ631:EF631" si="2679">DJ583*DJ607</f>
        <v>1.0489051862866821</v>
      </c>
      <c r="DK631" s="187">
        <f t="shared" si="2679"/>
        <v>1.0452001809804317</v>
      </c>
      <c r="DL631" s="8">
        <f t="shared" si="2679"/>
        <v>1.0504523214364547</v>
      </c>
      <c r="DM631" s="8">
        <f t="shared" si="2679"/>
        <v>1.0520017386105733</v>
      </c>
      <c r="DN631" s="187">
        <f t="shared" si="2679"/>
        <v>1.0482857954779674</v>
      </c>
      <c r="DO631" s="8">
        <f t="shared" si="2679"/>
        <v>1.053553441175024</v>
      </c>
      <c r="DP631" s="8">
        <f t="shared" si="2679"/>
        <v>1.055107432500757</v>
      </c>
      <c r="DQ631" s="187">
        <f t="shared" si="2679"/>
        <v>1.051380519251411</v>
      </c>
      <c r="DR631" s="8">
        <f t="shared" si="2679"/>
        <v>1.0566637159636956</v>
      </c>
      <c r="DS631" s="8">
        <f t="shared" si="2679"/>
        <v>1.0582222949447417</v>
      </c>
      <c r="DT631" s="187">
        <f t="shared" si="2679"/>
        <v>1.0544843791929446</v>
      </c>
      <c r="DU631" s="8">
        <f t="shared" si="2679"/>
        <v>1.0597831728297853</v>
      </c>
      <c r="DV631" s="8">
        <f t="shared" si="2679"/>
        <v>1.0613463530097089</v>
      </c>
      <c r="DW631" s="187">
        <f t="shared" si="2679"/>
        <v>1.057597402274141</v>
      </c>
      <c r="DX631" s="8">
        <f t="shared" si="2679"/>
        <v>1.0629118388803982</v>
      </c>
      <c r="DY631" s="8">
        <f t="shared" si="2679"/>
        <v>1.0644796338427467</v>
      </c>
      <c r="DZ631" s="187">
        <f t="shared" si="2679"/>
        <v>1.060719615546198</v>
      </c>
      <c r="EA631" s="8">
        <f t="shared" si="2679"/>
        <v>1.0660497413026644</v>
      </c>
      <c r="EB631" s="8">
        <f t="shared" si="2679"/>
        <v>1.0676221646710859</v>
      </c>
      <c r="EC631" s="187">
        <f t="shared" si="2679"/>
        <v>1.0638510461401727</v>
      </c>
      <c r="ED631" s="8">
        <f t="shared" si="2679"/>
        <v>1.0691969073639755</v>
      </c>
      <c r="EE631" s="8">
        <f t="shared" si="2679"/>
        <v>1.0707739728023373</v>
      </c>
      <c r="EF631" s="187">
        <f t="shared" si="2679"/>
        <v>1.066991721267218</v>
      </c>
      <c r="EG631" s="8">
        <f t="shared" ref="EG631:EL631" si="2680">EG583*EG607</f>
        <v>1.0723533644122205</v>
      </c>
      <c r="EH631" s="8">
        <f t="shared" si="2680"/>
        <v>1.0739350856247285</v>
      </c>
      <c r="EI631" s="187">
        <f t="shared" si="2680"/>
        <v>1.0701416682188196</v>
      </c>
      <c r="EJ631" s="8">
        <f t="shared" si="2680"/>
        <v>1.0755191398760249</v>
      </c>
      <c r="EK631" s="8">
        <f t="shared" si="2680"/>
        <v>1.0771055306073418</v>
      </c>
      <c r="EL631" s="187">
        <f t="shared" si="2680"/>
        <v>1.0733009143670318</v>
      </c>
      <c r="EM631" s="8">
        <f t="shared" ref="EM631:ER631" si="2681">EM583*EM607</f>
        <v>1.0786942612649877</v>
      </c>
      <c r="EN631" s="8">
        <f t="shared" si="2681"/>
        <v>1.0802853353003534</v>
      </c>
      <c r="EO631" s="187">
        <f t="shared" si="2681"/>
        <v>1.076469487164716</v>
      </c>
      <c r="EP631" s="8">
        <f t="shared" si="2681"/>
        <v>1.0818787561699212</v>
      </c>
      <c r="EQ631" s="8">
        <f t="shared" si="2681"/>
        <v>1.0834745273352717</v>
      </c>
      <c r="ER631" s="187">
        <f t="shared" si="2681"/>
        <v>1.0796474141457799</v>
      </c>
      <c r="ES631" s="8">
        <f t="shared" ref="ES631:EX631" si="2682">ES583*ES607</f>
        <v>1.0850726522630911</v>
      </c>
      <c r="ET631" s="8">
        <f t="shared" si="2682"/>
        <v>1.086673134425179</v>
      </c>
      <c r="EU631" s="187">
        <f t="shared" si="2682"/>
        <v>1.0828347229254149</v>
      </c>
      <c r="EV631" s="8">
        <f t="shared" si="2682"/>
        <v>1.088275977298456</v>
      </c>
      <c r="EW631" s="8">
        <f t="shared" si="2682"/>
        <v>1.0898811843649712</v>
      </c>
      <c r="EX631" s="187">
        <f t="shared" si="2682"/>
        <v>1.0860314412003387</v>
      </c>
      <c r="EY631" s="8">
        <f t="shared" ref="EY631:FA631" si="2683">EY583*EY607</f>
        <v>1.0914887591119093</v>
      </c>
      <c r="EZ631" s="8">
        <f t="shared" si="2683"/>
        <v>1.0930987050315992</v>
      </c>
      <c r="FA631" s="187">
        <f t="shared" si="2683"/>
        <v>1.089237596749034</v>
      </c>
      <c r="FH631" s="35"/>
      <c r="FI631" s="35"/>
      <c r="FJ631" s="35"/>
      <c r="FK631" s="35"/>
      <c r="FL631" s="35"/>
      <c r="FM631" s="35"/>
      <c r="FN631" s="35"/>
      <c r="FO631" s="35"/>
      <c r="FP631" s="35"/>
      <c r="FQ631" s="35"/>
    </row>
    <row r="632" spans="1:173" s="321" customFormat="1" hidden="1" outlineLevel="1">
      <c r="A632" s="1168"/>
      <c r="B632" s="186"/>
      <c r="C632" s="186" t="s">
        <v>317</v>
      </c>
      <c r="D632" s="910"/>
      <c r="E632" s="1"/>
      <c r="F632" s="1"/>
      <c r="G632" s="5"/>
      <c r="H632" s="1"/>
      <c r="I632" s="1"/>
      <c r="J632" s="5"/>
      <c r="K632" s="1"/>
      <c r="L632" s="1"/>
      <c r="M632" s="5"/>
      <c r="N632" s="1"/>
      <c r="O632" s="1"/>
      <c r="P632" s="5"/>
      <c r="Q632" s="1"/>
      <c r="R632" s="1"/>
      <c r="S632" s="5"/>
      <c r="T632" s="1"/>
      <c r="U632" s="1"/>
      <c r="V632" s="5"/>
      <c r="W632" s="1"/>
      <c r="X632" s="1"/>
      <c r="Y632" s="5"/>
      <c r="Z632" s="1"/>
      <c r="AA632" s="1"/>
      <c r="AB632" s="5"/>
      <c r="AC632" s="1"/>
      <c r="AD632" s="1"/>
      <c r="AE632" s="5"/>
      <c r="AF632" s="1"/>
      <c r="AG632" s="1"/>
      <c r="AH632" s="5"/>
      <c r="AI632" s="1"/>
      <c r="AJ632" s="1"/>
      <c r="AK632" s="5"/>
      <c r="AL632" s="1"/>
      <c r="AM632" s="1"/>
      <c r="AN632" s="5"/>
      <c r="AO632" s="1"/>
      <c r="AP632" s="1"/>
      <c r="AQ632" s="5"/>
      <c r="AR632" s="1"/>
      <c r="AS632" s="1"/>
      <c r="AT632" s="5"/>
      <c r="AU632" s="1"/>
      <c r="AV632" s="1"/>
      <c r="AW632" s="5"/>
      <c r="AX632" s="187">
        <f t="shared" ref="AX632:CC632" si="2684">AX584*AX608</f>
        <v>2.171821374652815</v>
      </c>
      <c r="AY632" s="187">
        <f t="shared" si="2684"/>
        <v>2.1698667354156278</v>
      </c>
      <c r="AZ632" s="187">
        <f t="shared" si="2684"/>
        <v>2.1645872658684424</v>
      </c>
      <c r="BA632" s="8">
        <f t="shared" si="2684"/>
        <v>2.1679138553537536</v>
      </c>
      <c r="BB632" s="8">
        <f t="shared" si="2684"/>
        <v>2.1659627328839353</v>
      </c>
      <c r="BC632" s="978">
        <f t="shared" si="2684"/>
        <v>2.1606927621055645</v>
      </c>
      <c r="BD632" s="8">
        <f t="shared" si="2684"/>
        <v>2.1640133664243395</v>
      </c>
      <c r="BE632" s="8">
        <f t="shared" si="2684"/>
        <v>2.1620657543945576</v>
      </c>
      <c r="BF632" s="978">
        <f t="shared" si="2684"/>
        <v>2.1568052652949117</v>
      </c>
      <c r="BG632" s="8">
        <f t="shared" si="2684"/>
        <v>2.1601198952156024</v>
      </c>
      <c r="BH632" s="8">
        <f t="shared" si="2684"/>
        <v>2.1581757873099083</v>
      </c>
      <c r="BI632" s="978">
        <f t="shared" si="2684"/>
        <v>2.1529247628296462</v>
      </c>
      <c r="BJ632" s="115">
        <f t="shared" si="2684"/>
        <v>2.1562334291013294</v>
      </c>
      <c r="BK632" s="115">
        <f t="shared" si="2684"/>
        <v>2.1542928190151382</v>
      </c>
      <c r="BL632" s="116">
        <f t="shared" si="2684"/>
        <v>2.1490512421256103</v>
      </c>
      <c r="BM632" s="115">
        <f t="shared" si="2684"/>
        <v>2.1533233872465818</v>
      </c>
      <c r="BN632" s="115">
        <f t="shared" si="2684"/>
        <v>2.1523543917223207</v>
      </c>
      <c r="BO632" s="116">
        <f t="shared" si="2684"/>
        <v>2.147119888838755</v>
      </c>
      <c r="BP632" s="115">
        <f t="shared" si="2684"/>
        <v>2.1513858322460453</v>
      </c>
      <c r="BQ632" s="115">
        <f t="shared" si="2684"/>
        <v>2.1504177086215348</v>
      </c>
      <c r="BR632" s="116">
        <f t="shared" si="2684"/>
        <v>2.1451879157305775</v>
      </c>
      <c r="BS632" s="8">
        <f t="shared" si="2684"/>
        <v>2.149450020652655</v>
      </c>
      <c r="BT632" s="8">
        <f t="shared" si="2684"/>
        <v>2.1484827681433614</v>
      </c>
      <c r="BU632" s="187">
        <f t="shared" si="2684"/>
        <v>2.1432576810069732</v>
      </c>
      <c r="BV632" s="8">
        <f t="shared" si="2684"/>
        <v>2.1475159508976973</v>
      </c>
      <c r="BW632" s="8">
        <f t="shared" si="2684"/>
        <v>2.1465495687197933</v>
      </c>
      <c r="BX632" s="187">
        <f t="shared" si="2684"/>
        <v>2.1413291831037475</v>
      </c>
      <c r="BY632" s="8">
        <f t="shared" si="2684"/>
        <v>2.1455836214138695</v>
      </c>
      <c r="BZ632" s="8">
        <f t="shared" si="2684"/>
        <v>2.1446181087842331</v>
      </c>
      <c r="CA632" s="187">
        <f t="shared" si="2684"/>
        <v>2.1394024204581137</v>
      </c>
      <c r="CB632" s="8">
        <f t="shared" si="2684"/>
        <v>2.1436530306352806</v>
      </c>
      <c r="CC632" s="8">
        <f t="shared" si="2684"/>
        <v>2.1426883867714945</v>
      </c>
      <c r="CD632" s="187">
        <f t="shared" ref="CD632:DI632" si="2685">CD584*CD608</f>
        <v>2.1374773915086918</v>
      </c>
      <c r="CE632" s="8">
        <f t="shared" si="2685"/>
        <v>2.1417241769974478</v>
      </c>
      <c r="CF632" s="8">
        <f t="shared" si="2685"/>
        <v>2.1407604011177992</v>
      </c>
      <c r="CG632" s="187">
        <f t="shared" si="2685"/>
        <v>2.1355540946955061</v>
      </c>
      <c r="CH632" s="8">
        <f t="shared" si="2685"/>
        <v>2.1397970589372961</v>
      </c>
      <c r="CI632" s="8">
        <f t="shared" si="2685"/>
        <v>2.1388341502607742</v>
      </c>
      <c r="CJ632" s="187">
        <f t="shared" si="2685"/>
        <v>2.1336325284599846</v>
      </c>
      <c r="CK632" s="8">
        <f t="shared" si="2685"/>
        <v>2.1378716748931574</v>
      </c>
      <c r="CL632" s="8">
        <f t="shared" si="2685"/>
        <v>2.1369096326394552</v>
      </c>
      <c r="CM632" s="187">
        <f t="shared" si="2685"/>
        <v>2.1317126912449575</v>
      </c>
      <c r="CN632" s="8">
        <f t="shared" si="2685"/>
        <v>2.1359480233047674</v>
      </c>
      <c r="CO632" s="8">
        <f t="shared" si="2685"/>
        <v>2.1349868466942805</v>
      </c>
      <c r="CP632" s="187">
        <f t="shared" si="2685"/>
        <v>2.1297945814946573</v>
      </c>
      <c r="CQ632" s="8">
        <f t="shared" si="2685"/>
        <v>2.1340261026132681</v>
      </c>
      <c r="CR632" s="8">
        <f t="shared" si="2685"/>
        <v>2.1330657908670925</v>
      </c>
      <c r="CS632" s="187">
        <f t="shared" si="2685"/>
        <v>2.1278781976547156</v>
      </c>
      <c r="CT632" s="8">
        <f t="shared" si="2685"/>
        <v>2.1321059112612022</v>
      </c>
      <c r="CU632" s="8">
        <f t="shared" si="2685"/>
        <v>2.1311464636011346</v>
      </c>
      <c r="CV632" s="187">
        <f t="shared" si="2685"/>
        <v>2.1259635381721611</v>
      </c>
      <c r="CW632" s="8">
        <f t="shared" si="2685"/>
        <v>2.1301874476925144</v>
      </c>
      <c r="CX632" s="8">
        <f t="shared" si="2685"/>
        <v>2.1292288633410528</v>
      </c>
      <c r="CY632" s="187">
        <f t="shared" si="2685"/>
        <v>2.1240506014954228</v>
      </c>
      <c r="CZ632" s="8">
        <f t="shared" si="2685"/>
        <v>2.1282707103525493</v>
      </c>
      <c r="DA632" s="8">
        <f t="shared" si="2685"/>
        <v>2.1273129885328905</v>
      </c>
      <c r="DB632" s="187">
        <f t="shared" si="2685"/>
        <v>2.1221393860743238</v>
      </c>
      <c r="DC632" s="8">
        <f t="shared" si="2685"/>
        <v>2.1263556976880511</v>
      </c>
      <c r="DD632" s="8">
        <f t="shared" si="2685"/>
        <v>2.1253988376240911</v>
      </c>
      <c r="DE632" s="187">
        <f t="shared" si="2685"/>
        <v>2.1202298903600827</v>
      </c>
      <c r="DF632" s="8">
        <f t="shared" si="2685"/>
        <v>2.1244424081471607</v>
      </c>
      <c r="DG632" s="8">
        <f t="shared" si="2685"/>
        <v>2.1234864090634944</v>
      </c>
      <c r="DH632" s="187">
        <f t="shared" si="2685"/>
        <v>2.1183221128053118</v>
      </c>
      <c r="DI632" s="8">
        <f t="shared" si="2685"/>
        <v>2.1225308401794161</v>
      </c>
      <c r="DJ632" s="8">
        <f t="shared" ref="DJ632:EF632" si="2686">DJ584*DJ608</f>
        <v>2.1215757013013357</v>
      </c>
      <c r="DK632" s="187">
        <f t="shared" si="2686"/>
        <v>2.1164160518640154</v>
      </c>
      <c r="DL632" s="8">
        <f t="shared" si="2686"/>
        <v>2.1206209922357502</v>
      </c>
      <c r="DM632" s="8">
        <f t="shared" si="2686"/>
        <v>2.1196667127892441</v>
      </c>
      <c r="DN632" s="187">
        <f t="shared" si="2686"/>
        <v>2.1145117059915881</v>
      </c>
      <c r="DO632" s="8">
        <f t="shared" si="2686"/>
        <v>2.118712862768489</v>
      </c>
      <c r="DP632" s="8">
        <f t="shared" si="2686"/>
        <v>2.1177594419802439</v>
      </c>
      <c r="DQ632" s="187">
        <f t="shared" si="2686"/>
        <v>2.1126090736448164</v>
      </c>
      <c r="DR632" s="8">
        <f t="shared" si="2686"/>
        <v>2.1168064502313526</v>
      </c>
      <c r="DS632" s="8">
        <f t="shared" si="2686"/>
        <v>2.1158538873287487</v>
      </c>
      <c r="DT632" s="187">
        <f t="shared" si="2686"/>
        <v>2.1107081532818741</v>
      </c>
      <c r="DU632" s="8">
        <f t="shared" si="2686"/>
        <v>2.1149017530794509</v>
      </c>
      <c r="DV632" s="8">
        <f t="shared" si="2686"/>
        <v>2.1139500472905648</v>
      </c>
      <c r="DW632" s="187">
        <f t="shared" si="2686"/>
        <v>2.1088089433623214</v>
      </c>
      <c r="DX632" s="8">
        <f t="shared" si="2686"/>
        <v>2.1129987697692845</v>
      </c>
      <c r="DY632" s="8">
        <f t="shared" si="2686"/>
        <v>2.1120479203228881</v>
      </c>
      <c r="DZ632" s="187">
        <f t="shared" si="2686"/>
        <v>2.1069114423471067</v>
      </c>
      <c r="EA632" s="8">
        <f t="shared" si="2686"/>
        <v>2.1110974987587432</v>
      </c>
      <c r="EB632" s="8">
        <f t="shared" si="2686"/>
        <v>2.1101475048843015</v>
      </c>
      <c r="EC632" s="187">
        <f t="shared" si="2686"/>
        <v>2.1050156486985609</v>
      </c>
      <c r="ED632" s="8">
        <f t="shared" si="2686"/>
        <v>2.1091979385071036</v>
      </c>
      <c r="EE632" s="8">
        <f t="shared" si="2686"/>
        <v>2.1082487994347754</v>
      </c>
      <c r="EF632" s="187">
        <f t="shared" si="2686"/>
        <v>2.1031215608804015</v>
      </c>
      <c r="EG632" s="8">
        <f t="shared" ref="EG632:EL632" si="2687">EG584*EG608</f>
        <v>2.1073000874750303</v>
      </c>
      <c r="EH632" s="8">
        <f t="shared" si="2687"/>
        <v>2.106351802435666</v>
      </c>
      <c r="EI632" s="187">
        <f t="shared" si="2687"/>
        <v>2.1012291773577254</v>
      </c>
      <c r="EJ632" s="8">
        <f t="shared" si="2687"/>
        <v>2.10540394412457</v>
      </c>
      <c r="EK632" s="8">
        <f t="shared" si="2687"/>
        <v>2.1044565123497141</v>
      </c>
      <c r="EL632" s="187">
        <f t="shared" si="2687"/>
        <v>2.0993384965970119</v>
      </c>
      <c r="EM632" s="8">
        <f t="shared" ref="EM632:ER632" si="2688">EM584*EM608</f>
        <v>2.1035095069191572</v>
      </c>
      <c r="EN632" s="8">
        <f t="shared" si="2688"/>
        <v>2.1025629276410434</v>
      </c>
      <c r="EO632" s="187">
        <f t="shared" si="2688"/>
        <v>2.0974495170661207</v>
      </c>
      <c r="EP632" s="8">
        <f t="shared" si="2688"/>
        <v>2.1016167743236056</v>
      </c>
      <c r="EQ632" s="8">
        <f t="shared" si="2688"/>
        <v>2.1006710467751604</v>
      </c>
      <c r="ER632" s="187">
        <f t="shared" si="2688"/>
        <v>2.0955622372342888</v>
      </c>
      <c r="ES632" s="8">
        <f t="shared" ref="ES632:EX632" si="2689">ES584*ES608</f>
        <v>2.0997257448041111</v>
      </c>
      <c r="ET632" s="8">
        <f t="shared" si="2689"/>
        <v>2.0987808682189497</v>
      </c>
      <c r="EU632" s="187">
        <f t="shared" si="2689"/>
        <v>2.0936766555721311</v>
      </c>
      <c r="EV632" s="8">
        <f t="shared" si="2689"/>
        <v>2.0978364168282511</v>
      </c>
      <c r="EW632" s="8">
        <f t="shared" si="2689"/>
        <v>2.0968923904406784</v>
      </c>
      <c r="EX632" s="187">
        <f t="shared" si="2689"/>
        <v>2.0917927705516388</v>
      </c>
      <c r="EY632" s="8">
        <f t="shared" ref="EY632:FA632" si="2690">EY584*EY608</f>
        <v>2.0959487888649804</v>
      </c>
      <c r="EZ632" s="8">
        <f t="shared" si="2690"/>
        <v>2.0950056119099911</v>
      </c>
      <c r="FA632" s="187">
        <f t="shared" si="2690"/>
        <v>2.0899105806461789</v>
      </c>
      <c r="FH632" s="35"/>
      <c r="FI632" s="35"/>
      <c r="FJ632" s="35"/>
      <c r="FK632" s="35"/>
      <c r="FL632" s="35"/>
      <c r="FM632" s="35"/>
      <c r="FN632" s="35"/>
      <c r="FO632" s="35"/>
      <c r="FP632" s="35"/>
      <c r="FQ632" s="35"/>
    </row>
    <row r="633" spans="1:173" s="321" customFormat="1" hidden="1" outlineLevel="1">
      <c r="A633" s="1168"/>
      <c r="B633" s="186"/>
      <c r="C633" s="186" t="s">
        <v>431</v>
      </c>
      <c r="D633" s="910"/>
      <c r="E633" s="1"/>
      <c r="F633" s="1"/>
      <c r="G633" s="5"/>
      <c r="H633" s="1"/>
      <c r="I633" s="1"/>
      <c r="J633" s="5"/>
      <c r="K633" s="1"/>
      <c r="L633" s="1"/>
      <c r="M633" s="5"/>
      <c r="N633" s="1"/>
      <c r="O633" s="1"/>
      <c r="P633" s="5"/>
      <c r="Q633" s="1"/>
      <c r="R633" s="1"/>
      <c r="S633" s="5"/>
      <c r="T633" s="1"/>
      <c r="U633" s="1"/>
      <c r="V633" s="5"/>
      <c r="W633" s="1"/>
      <c r="X633" s="1"/>
      <c r="Y633" s="5"/>
      <c r="Z633" s="1"/>
      <c r="AA633" s="1"/>
      <c r="AB633" s="5"/>
      <c r="AC633" s="1"/>
      <c r="AD633" s="1"/>
      <c r="AE633" s="5"/>
      <c r="AF633" s="1"/>
      <c r="AG633" s="1"/>
      <c r="AH633" s="5"/>
      <c r="AI633" s="1"/>
      <c r="AJ633" s="1"/>
      <c r="AK633" s="5"/>
      <c r="AL633" s="1"/>
      <c r="AM633" s="1"/>
      <c r="AN633" s="5"/>
      <c r="AO633" s="1"/>
      <c r="AP633" s="1"/>
      <c r="AQ633" s="5"/>
      <c r="AR633" s="1"/>
      <c r="AS633" s="1"/>
      <c r="AT633" s="5"/>
      <c r="AU633" s="1"/>
      <c r="AV633" s="1"/>
      <c r="AW633" s="5"/>
      <c r="AX633" s="187">
        <f t="shared" ref="AX633:CC633" si="2691">AX585*AX609</f>
        <v>11.382976390438801</v>
      </c>
      <c r="AY633" s="187">
        <f t="shared" si="2691"/>
        <v>11.455827439337607</v>
      </c>
      <c r="AZ633" s="187">
        <f t="shared" si="2691"/>
        <v>11.397189164176407</v>
      </c>
      <c r="BA633" s="8">
        <f t="shared" si="2691"/>
        <v>11.529144734949368</v>
      </c>
      <c r="BB633" s="8">
        <f t="shared" si="2691"/>
        <v>11.602931261253042</v>
      </c>
      <c r="BC633" s="978">
        <f t="shared" si="2691"/>
        <v>11.543540014346028</v>
      </c>
      <c r="BD633" s="8">
        <f t="shared" si="2691"/>
        <v>11.677190021325062</v>
      </c>
      <c r="BE633" s="8">
        <f t="shared" si="2691"/>
        <v>11.751924037461542</v>
      </c>
      <c r="BF633" s="978">
        <f t="shared" si="2691"/>
        <v>11.691770149928645</v>
      </c>
      <c r="BG633" s="8">
        <f t="shared" si="2691"/>
        <v>11.827136351301295</v>
      </c>
      <c r="BH633" s="8">
        <f t="shared" si="2691"/>
        <v>11.902830023949624</v>
      </c>
      <c r="BI633" s="978">
        <f t="shared" si="2691"/>
        <v>11.841903702753072</v>
      </c>
      <c r="BJ633" s="115">
        <f t="shared" si="2691"/>
        <v>11.979008136102902</v>
      </c>
      <c r="BK633" s="115">
        <f t="shared" si="2691"/>
        <v>12.055673788173959</v>
      </c>
      <c r="BL633" s="116">
        <f t="shared" si="2691"/>
        <v>11.993965114523975</v>
      </c>
      <c r="BM633" s="115">
        <f t="shared" si="2691"/>
        <v>12.094251944296117</v>
      </c>
      <c r="BN633" s="115">
        <f t="shared" si="2691"/>
        <v>12.132953550517867</v>
      </c>
      <c r="BO633" s="116">
        <f t="shared" si="2691"/>
        <v>12.070651209807206</v>
      </c>
      <c r="BP633" s="115">
        <f t="shared" si="2691"/>
        <v>12.171779001879523</v>
      </c>
      <c r="BQ633" s="115">
        <f t="shared" si="2691"/>
        <v>12.210728694685541</v>
      </c>
      <c r="BR633" s="116">
        <f t="shared" si="2691"/>
        <v>12.148026981018363</v>
      </c>
      <c r="BS633" s="8">
        <f t="shared" si="2691"/>
        <v>12.249803026508536</v>
      </c>
      <c r="BT633" s="8">
        <f t="shared" si="2691"/>
        <v>12.289002396193364</v>
      </c>
      <c r="BU633" s="187">
        <f t="shared" si="2691"/>
        <v>12.225898749493169</v>
      </c>
      <c r="BV633" s="8">
        <f t="shared" si="2691"/>
        <v>12.328327203861184</v>
      </c>
      <c r="BW633" s="8">
        <f t="shared" si="2691"/>
        <v>12.367777850913544</v>
      </c>
      <c r="BX633" s="187">
        <f t="shared" si="2691"/>
        <v>12.304269694693124</v>
      </c>
      <c r="BY633" s="8">
        <f t="shared" si="2691"/>
        <v>12.407354740036467</v>
      </c>
      <c r="BZ633" s="8">
        <f t="shared" si="2691"/>
        <v>12.447058275204583</v>
      </c>
      <c r="CA633" s="187">
        <f t="shared" si="2691"/>
        <v>12.383143016460835</v>
      </c>
      <c r="CB633" s="8">
        <f t="shared" si="2691"/>
        <v>12.486888861685241</v>
      </c>
      <c r="CC633" s="8">
        <f t="shared" si="2691"/>
        <v>12.526846906042634</v>
      </c>
      <c r="CD633" s="187">
        <f t="shared" ref="CD633:DI633" si="2692">CD585*CD609</f>
        <v>12.462521935150676</v>
      </c>
      <c r="CE633" s="8">
        <f t="shared" si="2692"/>
        <v>12.566932816141971</v>
      </c>
      <c r="CF633" s="8">
        <f t="shared" si="2692"/>
        <v>12.607147001153628</v>
      </c>
      <c r="CG633" s="187">
        <f t="shared" si="2692"/>
        <v>12.542409691760259</v>
      </c>
      <c r="CH633" s="8">
        <f t="shared" si="2692"/>
        <v>12.647489871557321</v>
      </c>
      <c r="CI633" s="8">
        <f t="shared" si="2692"/>
        <v>12.687961839146304</v>
      </c>
      <c r="CJ633" s="187">
        <f t="shared" si="2692"/>
        <v>12.622809548062769</v>
      </c>
      <c r="CK633" s="8">
        <f t="shared" si="2692"/>
        <v>12.728563317031574</v>
      </c>
      <c r="CL633" s="8">
        <f t="shared" si="2692"/>
        <v>12.769294719646075</v>
      </c>
      <c r="CM633" s="187">
        <f t="shared" si="2692"/>
        <v>12.703724786740146</v>
      </c>
      <c r="CN633" s="8">
        <f t="shared" si="2692"/>
        <v>12.810156462748944</v>
      </c>
      <c r="CO633" s="8">
        <f t="shared" si="2692"/>
        <v>12.851148963429742</v>
      </c>
      <c r="CP633" s="187">
        <f t="shared" si="2692"/>
        <v>12.7851587115171</v>
      </c>
      <c r="CQ633" s="8">
        <f t="shared" si="2692"/>
        <v>12.89227264011272</v>
      </c>
      <c r="CR633" s="8">
        <f t="shared" si="2692"/>
        <v>12.933527912561082</v>
      </c>
      <c r="CS633" s="187">
        <f t="shared" si="2692"/>
        <v>12.86711464729602</v>
      </c>
      <c r="CT633" s="8">
        <f t="shared" si="2692"/>
        <v>12.974915201881277</v>
      </c>
      <c r="CU633" s="8">
        <f t="shared" si="2692"/>
        <v>13.016434930527296</v>
      </c>
      <c r="CV633" s="187">
        <f t="shared" si="2692"/>
        <v>12.949595940292703</v>
      </c>
      <c r="CW633" s="8">
        <f t="shared" si="2692"/>
        <v>13.058087522304987</v>
      </c>
      <c r="CX633" s="8">
        <f t="shared" si="2692"/>
        <v>13.099873402376364</v>
      </c>
      <c r="CY633" s="187">
        <f t="shared" si="2692"/>
        <v>13.032605958173008</v>
      </c>
      <c r="CZ633" s="8">
        <f t="shared" si="2692"/>
        <v>13.141792997263972</v>
      </c>
      <c r="DA633" s="8">
        <f t="shared" si="2692"/>
        <v>13.183846734855216</v>
      </c>
      <c r="DB633" s="187">
        <f t="shared" si="2692"/>
        <v>13.116148090190332</v>
      </c>
      <c r="DC633" s="8">
        <f t="shared" si="2692"/>
        <v>13.226035044406753</v>
      </c>
      <c r="DD633" s="8">
        <f t="shared" si="2692"/>
        <v>13.268358356548855</v>
      </c>
      <c r="DE633" s="187">
        <f t="shared" si="2692"/>
        <v>13.200225747323993</v>
      </c>
      <c r="DF633" s="8">
        <f t="shared" si="2692"/>
        <v>13.310817103289812</v>
      </c>
      <c r="DG633" s="8">
        <f t="shared" si="2692"/>
        <v>13.353411718020341</v>
      </c>
      <c r="DH633" s="187">
        <f t="shared" si="2692"/>
        <v>13.284842362418519</v>
      </c>
      <c r="DI633" s="8">
        <f t="shared" si="2692"/>
        <v>13.396142635518006</v>
      </c>
      <c r="DJ633" s="8">
        <f t="shared" ref="DJ633:EF633" si="2693">DJ585*DJ609</f>
        <v>13.439010291951663</v>
      </c>
      <c r="DK633" s="187">
        <f t="shared" si="2693"/>
        <v>13.37000139032379</v>
      </c>
      <c r="DL633" s="8">
        <f t="shared" si="2693"/>
        <v>13.482015124885908</v>
      </c>
      <c r="DM633" s="8">
        <f t="shared" si="2693"/>
        <v>13.525157573285545</v>
      </c>
      <c r="DN633" s="187">
        <f t="shared" si="2693"/>
        <v>13.455706308036101</v>
      </c>
      <c r="DO633" s="8">
        <f t="shared" si="2693"/>
        <v>13.568438077520058</v>
      </c>
      <c r="DP633" s="8">
        <f t="shared" si="2693"/>
        <v>13.611857079368123</v>
      </c>
      <c r="DQ633" s="187">
        <f t="shared" si="2693"/>
        <v>13.541960614840129</v>
      </c>
      <c r="DR633" s="8">
        <f t="shared" si="2693"/>
        <v>13.655415022022105</v>
      </c>
      <c r="DS633" s="8">
        <f t="shared" si="2693"/>
        <v>13.699112350092577</v>
      </c>
      <c r="DT633" s="187">
        <f t="shared" si="2693"/>
        <v>13.628767832451803</v>
      </c>
      <c r="DU633" s="8">
        <f t="shared" si="2693"/>
        <v>13.74294950961287</v>
      </c>
      <c r="DV633" s="8">
        <f t="shared" si="2693"/>
        <v>13.786926948043636</v>
      </c>
      <c r="DW633" s="187">
        <f t="shared" si="2693"/>
        <v>13.716131505162101</v>
      </c>
      <c r="DX633" s="8">
        <f t="shared" si="2693"/>
        <v>13.831045114277376</v>
      </c>
      <c r="DY633" s="8">
        <f t="shared" si="2693"/>
        <v>13.875304458643065</v>
      </c>
      <c r="DZ633" s="187">
        <f t="shared" si="2693"/>
        <v>13.804055199981754</v>
      </c>
      <c r="EA633" s="8">
        <f t="shared" si="2693"/>
        <v>13.919705432910723</v>
      </c>
      <c r="EB633" s="8">
        <f t="shared" si="2693"/>
        <v>13.96424849029604</v>
      </c>
      <c r="EC633" s="187">
        <f t="shared" si="2693"/>
        <v>13.892542506786889</v>
      </c>
      <c r="ED633" s="8">
        <f t="shared" si="2693"/>
        <v>14.008934085464988</v>
      </c>
      <c r="EE633" s="8">
        <f t="shared" si="2693"/>
        <v>14.053762674538477</v>
      </c>
      <c r="EF633" s="187">
        <f t="shared" si="2693"/>
        <v>13.981597038465598</v>
      </c>
      <c r="EG633" s="8">
        <f t="shared" ref="EG633:EL633" si="2694">EG585*EG609</f>
        <v>14.098734715097001</v>
      </c>
      <c r="EH633" s="8">
        <f t="shared" si="2694"/>
        <v>14.143850666185315</v>
      </c>
      <c r="EI633" s="187">
        <f t="shared" si="2694"/>
        <v>14.071222431065452</v>
      </c>
      <c r="EJ633" s="8">
        <f t="shared" si="2694"/>
        <v>14.189110988317108</v>
      </c>
      <c r="EK633" s="8">
        <f t="shared" si="2694"/>
        <v>14.234516143479723</v>
      </c>
      <c r="EL633" s="187">
        <f t="shared" si="2694"/>
        <v>14.161422343941968</v>
      </c>
      <c r="EM633" s="8">
        <f t="shared" ref="EM633:ER633" si="2695">EM585*EM609</f>
        <v>14.280066595138857</v>
      </c>
      <c r="EN633" s="8">
        <f t="shared" si="2695"/>
        <v>14.325762808243304</v>
      </c>
      <c r="EO633" s="187">
        <f t="shared" si="2695"/>
        <v>14.252200459908</v>
      </c>
      <c r="EP633" s="8">
        <f t="shared" si="2695"/>
        <v>14.371605249229686</v>
      </c>
      <c r="EQ633" s="8">
        <f t="shared" si="2695"/>
        <v>14.417594386027222</v>
      </c>
      <c r="ER633" s="187">
        <f t="shared" si="2695"/>
        <v>14.343560485384122</v>
      </c>
      <c r="ES633" s="8">
        <f t="shared" ref="ES633:EX633" si="2696">ES585*ES609</f>
        <v>14.46373068806251</v>
      </c>
      <c r="ET633" s="8">
        <f t="shared" si="2696"/>
        <v>14.510014626264308</v>
      </c>
      <c r="EU633" s="187">
        <f t="shared" si="2696"/>
        <v>14.435506150549953</v>
      </c>
      <c r="EV633" s="8">
        <f t="shared" si="2696"/>
        <v>14.556446673068356</v>
      </c>
      <c r="EW633" s="8">
        <f t="shared" si="2696"/>
        <v>14.603027302422175</v>
      </c>
      <c r="EX633" s="187">
        <f t="shared" si="2696"/>
        <v>14.528041209496454</v>
      </c>
      <c r="EY633" s="8">
        <f t="shared" ref="EY633:FA633" si="2697">EY585*EY609</f>
        <v>14.649756989789926</v>
      </c>
      <c r="EZ633" s="8">
        <f t="shared" si="2697"/>
        <v>14.696636212157257</v>
      </c>
      <c r="FA633" s="187">
        <f t="shared" si="2697"/>
        <v>14.621169440379219</v>
      </c>
      <c r="FH633" s="35"/>
      <c r="FI633" s="35"/>
      <c r="FJ633" s="35"/>
      <c r="FK633" s="35"/>
      <c r="FL633" s="35"/>
      <c r="FM633" s="35"/>
      <c r="FN633" s="35"/>
      <c r="FO633" s="35"/>
      <c r="FP633" s="35"/>
      <c r="FQ633" s="35"/>
    </row>
    <row r="634" spans="1:173" s="321" customFormat="1" hidden="1" outlineLevel="1">
      <c r="A634" s="1168"/>
      <c r="B634" s="186"/>
      <c r="C634" s="186" t="s">
        <v>327</v>
      </c>
      <c r="D634" s="910"/>
      <c r="E634" s="1"/>
      <c r="F634" s="1"/>
      <c r="G634" s="5"/>
      <c r="H634" s="1"/>
      <c r="I634" s="1"/>
      <c r="J634" s="5"/>
      <c r="K634" s="1"/>
      <c r="L634" s="1"/>
      <c r="M634" s="5"/>
      <c r="N634" s="1"/>
      <c r="O634" s="1"/>
      <c r="P634" s="5"/>
      <c r="Q634" s="1"/>
      <c r="R634" s="1"/>
      <c r="S634" s="5"/>
      <c r="T634" s="1"/>
      <c r="U634" s="1"/>
      <c r="V634" s="5"/>
      <c r="W634" s="1"/>
      <c r="X634" s="1"/>
      <c r="Y634" s="5"/>
      <c r="Z634" s="1"/>
      <c r="AA634" s="1"/>
      <c r="AB634" s="5"/>
      <c r="AC634" s="1"/>
      <c r="AD634" s="1"/>
      <c r="AE634" s="5"/>
      <c r="AF634" s="1"/>
      <c r="AG634" s="1"/>
      <c r="AH634" s="5"/>
      <c r="AI634" s="1"/>
      <c r="AJ634" s="1"/>
      <c r="AK634" s="5"/>
      <c r="AL634" s="1"/>
      <c r="AM634" s="1"/>
      <c r="AN634" s="5"/>
      <c r="AO634" s="1"/>
      <c r="AP634" s="1"/>
      <c r="AQ634" s="5"/>
      <c r="AR634" s="1"/>
      <c r="AS634" s="1"/>
      <c r="AT634" s="5"/>
      <c r="AU634" s="1"/>
      <c r="AV634" s="1"/>
      <c r="AW634" s="5"/>
      <c r="AX634" s="187">
        <f t="shared" ref="AX634:CC634" si="2698">SUM(AX631:AX633)</f>
        <v>14.526333696039746</v>
      </c>
      <c r="AY634" s="187">
        <f t="shared" si="2698"/>
        <v>14.600096136697664</v>
      </c>
      <c r="AZ634" s="187">
        <f t="shared" si="2698"/>
        <v>14.532741613187408</v>
      </c>
      <c r="BA634" s="8">
        <f t="shared" si="2698"/>
        <v>14.674335038035286</v>
      </c>
      <c r="BB634" s="8">
        <f t="shared" si="2698"/>
        <v>14.749053407389951</v>
      </c>
      <c r="BC634" s="978">
        <f t="shared" si="2698"/>
        <v>14.6809351039992</v>
      </c>
      <c r="BD634" s="8">
        <f t="shared" si="2698"/>
        <v>14.824254271271473</v>
      </c>
      <c r="BE634" s="8">
        <f t="shared" si="2698"/>
        <v>14.899940675484562</v>
      </c>
      <c r="BF634" s="978">
        <f t="shared" si="2698"/>
        <v>14.8310487862557</v>
      </c>
      <c r="BG634" s="8">
        <f t="shared" si="2698"/>
        <v>14.976115685252061</v>
      </c>
      <c r="BH634" s="8">
        <f t="shared" si="2698"/>
        <v>15.052782385338967</v>
      </c>
      <c r="BI634" s="978">
        <f t="shared" si="2698"/>
        <v>14.983106979478464</v>
      </c>
      <c r="BJ634" s="115">
        <f t="shared" si="2698"/>
        <v>15.129943880177199</v>
      </c>
      <c r="BK634" s="115">
        <f t="shared" si="2698"/>
        <v>15.207603293991236</v>
      </c>
      <c r="BL634" s="116">
        <f t="shared" si="2698"/>
        <v>15.137134314271083</v>
      </c>
      <c r="BM634" s="115">
        <f t="shared" si="2698"/>
        <v>15.246683532457869</v>
      </c>
      <c r="BN634" s="115">
        <f t="shared" si="2698"/>
        <v>15.285889827751708</v>
      </c>
      <c r="BO634" s="116">
        <f t="shared" si="2698"/>
        <v>15.214818669289347</v>
      </c>
      <c r="BP634" s="115">
        <f t="shared" si="2698"/>
        <v>15.325222577918218</v>
      </c>
      <c r="BQ634" s="115">
        <f t="shared" si="2698"/>
        <v>15.364682182271821</v>
      </c>
      <c r="BR634" s="116">
        <f t="shared" si="2698"/>
        <v>15.293205926927344</v>
      </c>
      <c r="BS634" s="8">
        <f t="shared" si="2698"/>
        <v>15.404269041399909</v>
      </c>
      <c r="BT634" s="8">
        <f t="shared" si="2698"/>
        <v>15.443983557166945</v>
      </c>
      <c r="BU634" s="187">
        <f t="shared" si="2698"/>
        <v>15.372099609823056</v>
      </c>
      <c r="BV634" s="8">
        <f t="shared" si="2698"/>
        <v>15.483826132718525</v>
      </c>
      <c r="BW634" s="8">
        <f t="shared" si="2698"/>
        <v>15.523797172485471</v>
      </c>
      <c r="BX634" s="187">
        <f t="shared" si="2698"/>
        <v>15.451502921527043</v>
      </c>
      <c r="BY634" s="8">
        <f t="shared" si="2698"/>
        <v>15.563897082187928</v>
      </c>
      <c r="BZ634" s="8">
        <f t="shared" si="2698"/>
        <v>15.604126268839494</v>
      </c>
      <c r="CA634" s="187">
        <f t="shared" si="2698"/>
        <v>15.531419086048109</v>
      </c>
      <c r="CB634" s="8">
        <f t="shared" si="2698"/>
        <v>15.644485140751355</v>
      </c>
      <c r="CC634" s="8">
        <f t="shared" si="2698"/>
        <v>15.684974107536398</v>
      </c>
      <c r="CD634" s="187">
        <f t="shared" ref="CD634:DI634" si="2699">SUM(CD631:CD633)</f>
        <v>15.611851347984192</v>
      </c>
      <c r="CE634" s="8">
        <f t="shared" si="2699"/>
        <v>15.725593580113404</v>
      </c>
      <c r="CF634" s="8">
        <f t="shared" si="2699"/>
        <v>15.766343970711198</v>
      </c>
      <c r="CG634" s="187">
        <f t="shared" si="2699"/>
        <v>15.69280297265405</v>
      </c>
      <c r="CH634" s="8">
        <f t="shared" si="2699"/>
        <v>15.807225692872837</v>
      </c>
      <c r="CI634" s="8">
        <f t="shared" si="2699"/>
        <v>15.848239161459805</v>
      </c>
      <c r="CJ634" s="187">
        <f t="shared" si="2699"/>
        <v>15.774277246229829</v>
      </c>
      <c r="CK634" s="8">
        <f t="shared" si="2699"/>
        <v>15.889384792656235</v>
      </c>
      <c r="CL634" s="8">
        <f t="shared" si="2699"/>
        <v>15.930663003973113</v>
      </c>
      <c r="CM634" s="187">
        <f t="shared" si="2699"/>
        <v>15.856277475870456</v>
      </c>
      <c r="CN634" s="8">
        <f t="shared" si="2699"/>
        <v>15.972074214252533</v>
      </c>
      <c r="CO634" s="8">
        <f t="shared" si="2699"/>
        <v>16.013618843671939</v>
      </c>
      <c r="CP634" s="187">
        <f t="shared" si="2699"/>
        <v>15.938806989855891</v>
      </c>
      <c r="CQ634" s="8">
        <f t="shared" si="2699"/>
        <v>16.055297313748387</v>
      </c>
      <c r="CR634" s="8">
        <f t="shared" si="2699"/>
        <v>16.097110047342831</v>
      </c>
      <c r="CS634" s="187">
        <f t="shared" si="2699"/>
        <v>16.021869137722259</v>
      </c>
      <c r="CT634" s="8">
        <f t="shared" si="2699"/>
        <v>16.139057468664411</v>
      </c>
      <c r="CU634" s="8">
        <f t="shared" si="2699"/>
        <v>16.181140003274756</v>
      </c>
      <c r="CV634" s="187">
        <f t="shared" si="2699"/>
        <v>16.105467290397797</v>
      </c>
      <c r="CW634" s="8">
        <f t="shared" si="2699"/>
        <v>16.223358078092318</v>
      </c>
      <c r="CX634" s="8">
        <f t="shared" si="2699"/>
        <v>16.265712121396671</v>
      </c>
      <c r="CY634" s="187">
        <f t="shared" si="2699"/>
        <v>16.189604840339747</v>
      </c>
      <c r="CZ634" s="8">
        <f t="shared" si="2699"/>
        <v>16.308202562832903</v>
      </c>
      <c r="DA634" s="8">
        <f t="shared" si="2699"/>
        <v>16.350829833415933</v>
      </c>
      <c r="DB634" s="187">
        <f t="shared" si="2699"/>
        <v>16.274285201672058</v>
      </c>
      <c r="DC634" s="8">
        <f t="shared" si="2699"/>
        <v>16.393594365534923</v>
      </c>
      <c r="DD634" s="8">
        <f t="shared" si="2699"/>
        <v>16.436496592957639</v>
      </c>
      <c r="DE634" s="187">
        <f t="shared" si="2699"/>
        <v>16.35951181032398</v>
      </c>
      <c r="DF634" s="8">
        <f t="shared" si="2699"/>
        <v>16.479536950834873</v>
      </c>
      <c r="DG634" s="8">
        <f t="shared" si="2699"/>
        <v>16.522715875704847</v>
      </c>
      <c r="DH634" s="187">
        <f t="shared" si="2699"/>
        <v>16.445288124169608</v>
      </c>
      <c r="DI634" s="8">
        <f t="shared" si="2699"/>
        <v>16.566033805497646</v>
      </c>
      <c r="DJ634" s="8">
        <f t="shared" ref="DJ634:EF634" si="2700">SUM(DJ631:DJ633)</f>
        <v>16.609491179539681</v>
      </c>
      <c r="DK634" s="187">
        <f t="shared" si="2700"/>
        <v>16.531617623168238</v>
      </c>
      <c r="DL634" s="8">
        <f t="shared" si="2700"/>
        <v>16.653088438558115</v>
      </c>
      <c r="DM634" s="8">
        <f t="shared" si="2700"/>
        <v>16.696826024685365</v>
      </c>
      <c r="DN634" s="187">
        <f t="shared" si="2700"/>
        <v>16.618503809505658</v>
      </c>
      <c r="DO634" s="8">
        <f t="shared" si="2700"/>
        <v>16.740704381463573</v>
      </c>
      <c r="DP634" s="8">
        <f t="shared" si="2700"/>
        <v>16.784723953849124</v>
      </c>
      <c r="DQ634" s="187">
        <f t="shared" si="2700"/>
        <v>16.705950207736358</v>
      </c>
      <c r="DR634" s="8">
        <f t="shared" si="2700"/>
        <v>16.828885188217154</v>
      </c>
      <c r="DS634" s="8">
        <f t="shared" si="2700"/>
        <v>16.873188532366068</v>
      </c>
      <c r="DT634" s="187">
        <f t="shared" si="2700"/>
        <v>16.793960364926622</v>
      </c>
      <c r="DU634" s="8">
        <f t="shared" si="2700"/>
        <v>16.917634435522107</v>
      </c>
      <c r="DV634" s="8">
        <f t="shared" si="2700"/>
        <v>16.962223348343908</v>
      </c>
      <c r="DW634" s="187">
        <f t="shared" si="2700"/>
        <v>16.882537850798563</v>
      </c>
      <c r="DX634" s="8">
        <f t="shared" si="2700"/>
        <v>17.00695572292706</v>
      </c>
      <c r="DY634" s="8">
        <f t="shared" si="2700"/>
        <v>17.051832012808699</v>
      </c>
      <c r="DZ634" s="187">
        <f t="shared" si="2700"/>
        <v>16.971686257875056</v>
      </c>
      <c r="EA634" s="8">
        <f t="shared" si="2700"/>
        <v>17.09685267297213</v>
      </c>
      <c r="EB634" s="8">
        <f t="shared" si="2700"/>
        <v>17.142018159851428</v>
      </c>
      <c r="EC634" s="187">
        <f t="shared" si="2700"/>
        <v>17.061409201625622</v>
      </c>
      <c r="ED634" s="8">
        <f t="shared" si="2700"/>
        <v>17.187328931336069</v>
      </c>
      <c r="EE634" s="8">
        <f t="shared" si="2700"/>
        <v>17.232785446775591</v>
      </c>
      <c r="EF634" s="187">
        <f t="shared" si="2700"/>
        <v>17.151710320613219</v>
      </c>
      <c r="EG634" s="8">
        <f t="shared" ref="EG634:EL634" si="2701">SUM(EG631:EG633)</f>
        <v>17.27838816698425</v>
      </c>
      <c r="EH634" s="8">
        <f t="shared" si="2701"/>
        <v>17.324137554245709</v>
      </c>
      <c r="EI634" s="187">
        <f t="shared" si="2701"/>
        <v>17.242593276641998</v>
      </c>
      <c r="EJ634" s="8">
        <f t="shared" si="2701"/>
        <v>17.370034072317701</v>
      </c>
      <c r="EK634" s="8">
        <f t="shared" si="2701"/>
        <v>17.416078186436778</v>
      </c>
      <c r="EL634" s="187">
        <f t="shared" si="2701"/>
        <v>17.33406175490601</v>
      </c>
      <c r="EM634" s="8">
        <f t="shared" ref="EM634:ER634" si="2702">SUM(EM631:EM633)</f>
        <v>17.462270363323</v>
      </c>
      <c r="EN634" s="8">
        <f t="shared" si="2702"/>
        <v>17.508611071184703</v>
      </c>
      <c r="EO634" s="187">
        <f t="shared" si="2702"/>
        <v>17.426119464138836</v>
      </c>
      <c r="EP634" s="8">
        <f t="shared" si="2702"/>
        <v>17.555100779723212</v>
      </c>
      <c r="EQ634" s="8">
        <f t="shared" si="2702"/>
        <v>17.601739960137653</v>
      </c>
      <c r="ER634" s="187">
        <f t="shared" si="2702"/>
        <v>17.518770136764189</v>
      </c>
      <c r="ES634" s="8">
        <f t="shared" ref="ES634:EX634" si="2703">SUM(ES631:ES633)</f>
        <v>17.648529085129713</v>
      </c>
      <c r="ET634" s="8">
        <f t="shared" si="2703"/>
        <v>17.695468628908436</v>
      </c>
      <c r="EU634" s="187">
        <f t="shared" si="2703"/>
        <v>17.612017529047499</v>
      </c>
      <c r="EV634" s="8">
        <f t="shared" si="2703"/>
        <v>17.742559067195064</v>
      </c>
      <c r="EW634" s="8">
        <f t="shared" si="2703"/>
        <v>17.789800877227826</v>
      </c>
      <c r="EX634" s="187">
        <f t="shared" si="2703"/>
        <v>17.705865421248433</v>
      </c>
      <c r="EY634" s="8">
        <f t="shared" ref="EY634:FA634" si="2704">SUM(EY631:EY633)</f>
        <v>17.837194537766816</v>
      </c>
      <c r="EZ634" s="8">
        <f t="shared" si="2704"/>
        <v>17.884740529098849</v>
      </c>
      <c r="FA634" s="187">
        <f t="shared" si="2704"/>
        <v>17.800317617774432</v>
      </c>
      <c r="FH634" s="35"/>
      <c r="FI634" s="35"/>
      <c r="FJ634" s="35"/>
      <c r="FK634" s="35"/>
      <c r="FL634" s="35"/>
      <c r="FM634" s="35"/>
      <c r="FN634" s="35"/>
      <c r="FO634" s="35"/>
      <c r="FP634" s="35"/>
      <c r="FQ634" s="35"/>
    </row>
    <row r="635" spans="1:173" s="321" customFormat="1" hidden="1" outlineLevel="1">
      <c r="A635" s="1168"/>
      <c r="B635" s="186"/>
      <c r="C635" s="186"/>
      <c r="D635" s="910"/>
      <c r="E635" s="1"/>
      <c r="F635" s="1"/>
      <c r="G635" s="5"/>
      <c r="H635" s="1"/>
      <c r="I635" s="1"/>
      <c r="J635" s="5"/>
      <c r="K635" s="1"/>
      <c r="L635" s="1"/>
      <c r="M635" s="5"/>
      <c r="N635" s="1"/>
      <c r="O635" s="1"/>
      <c r="P635" s="5"/>
      <c r="Q635" s="1"/>
      <c r="R635" s="1"/>
      <c r="S635" s="5"/>
      <c r="T635" s="1"/>
      <c r="U635" s="1"/>
      <c r="V635" s="5"/>
      <c r="W635" s="1"/>
      <c r="X635" s="1"/>
      <c r="Y635" s="5"/>
      <c r="Z635" s="1"/>
      <c r="AA635" s="1"/>
      <c r="AB635" s="5"/>
      <c r="AC635" s="1"/>
      <c r="AD635" s="1"/>
      <c r="AE635" s="5"/>
      <c r="AF635" s="1"/>
      <c r="AG635" s="1"/>
      <c r="AH635" s="5"/>
      <c r="AI635" s="1"/>
      <c r="AJ635" s="1"/>
      <c r="AK635" s="5"/>
      <c r="AL635" s="1"/>
      <c r="AM635" s="1"/>
      <c r="AN635" s="5"/>
      <c r="AO635" s="1"/>
      <c r="AP635" s="1"/>
      <c r="AQ635" s="5"/>
      <c r="AR635" s="1"/>
      <c r="AS635" s="1"/>
      <c r="AT635" s="5"/>
      <c r="AU635" s="1"/>
      <c r="AV635" s="1"/>
      <c r="AW635" s="5"/>
      <c r="AX635" s="187"/>
      <c r="AY635" s="187"/>
      <c r="AZ635" s="187"/>
      <c r="BA635" s="8"/>
      <c r="BB635" s="8"/>
      <c r="BC635" s="978"/>
      <c r="BD635" s="8"/>
      <c r="BE635" s="8"/>
      <c r="BF635" s="978"/>
      <c r="BG635" s="8"/>
      <c r="BH635" s="8"/>
      <c r="BI635" s="978"/>
      <c r="BJ635" s="115"/>
      <c r="BK635" s="115"/>
      <c r="BL635" s="116"/>
      <c r="BM635" s="115"/>
      <c r="BN635" s="115"/>
      <c r="BO635" s="116"/>
      <c r="BP635" s="115"/>
      <c r="BQ635" s="115"/>
      <c r="BR635" s="116"/>
      <c r="BS635" s="8"/>
      <c r="BT635" s="8"/>
      <c r="BU635" s="187"/>
      <c r="BV635" s="8"/>
      <c r="BW635" s="8"/>
      <c r="BX635" s="187"/>
      <c r="BY635" s="8"/>
      <c r="BZ635" s="8"/>
      <c r="CA635" s="187"/>
      <c r="CB635" s="8"/>
      <c r="CC635" s="8"/>
      <c r="CD635" s="187"/>
      <c r="CE635" s="8"/>
      <c r="CF635" s="8"/>
      <c r="CG635" s="187"/>
      <c r="CH635" s="8"/>
      <c r="CI635" s="8"/>
      <c r="CJ635" s="187"/>
      <c r="CK635" s="8"/>
      <c r="CL635" s="8"/>
      <c r="CM635" s="187"/>
      <c r="CN635" s="8"/>
      <c r="CO635" s="8"/>
      <c r="CP635" s="187"/>
      <c r="CQ635" s="8"/>
      <c r="CR635" s="8"/>
      <c r="CS635" s="187"/>
      <c r="CT635" s="8"/>
      <c r="CU635" s="8"/>
      <c r="CV635" s="187"/>
      <c r="CW635" s="8"/>
      <c r="CX635" s="8"/>
      <c r="CY635" s="187"/>
      <c r="CZ635" s="8"/>
      <c r="DA635" s="8"/>
      <c r="DB635" s="187"/>
      <c r="DC635" s="8"/>
      <c r="DD635" s="8"/>
      <c r="DE635" s="187"/>
      <c r="DF635" s="8"/>
      <c r="DG635" s="8"/>
      <c r="DH635" s="187"/>
      <c r="DI635" s="8"/>
      <c r="DJ635" s="8"/>
      <c r="DK635" s="187"/>
      <c r="DL635" s="8"/>
      <c r="DM635" s="8"/>
      <c r="DN635" s="187"/>
      <c r="DO635" s="8"/>
      <c r="DP635" s="8"/>
      <c r="DQ635" s="187"/>
      <c r="DR635" s="8"/>
      <c r="DS635" s="8"/>
      <c r="DT635" s="187"/>
      <c r="DU635" s="8"/>
      <c r="DV635" s="8"/>
      <c r="DW635" s="187"/>
      <c r="DX635" s="8"/>
      <c r="DY635" s="8"/>
      <c r="DZ635" s="187"/>
      <c r="EA635" s="8"/>
      <c r="EB635" s="8"/>
      <c r="EC635" s="187"/>
      <c r="ED635" s="8"/>
      <c r="EE635" s="8"/>
      <c r="EF635" s="187"/>
      <c r="EG635" s="8"/>
      <c r="EH635" s="8"/>
      <c r="EI635" s="187"/>
      <c r="EJ635" s="8"/>
      <c r="EK635" s="8"/>
      <c r="EL635" s="187"/>
      <c r="EM635" s="8"/>
      <c r="EN635" s="8"/>
      <c r="EO635" s="187"/>
      <c r="EP635" s="8"/>
      <c r="EQ635" s="8"/>
      <c r="ER635" s="187"/>
      <c r="ES635" s="8"/>
      <c r="ET635" s="8"/>
      <c r="EU635" s="187"/>
      <c r="EV635" s="8"/>
      <c r="EW635" s="8"/>
      <c r="EX635" s="187"/>
      <c r="EY635" s="8"/>
      <c r="EZ635" s="8"/>
      <c r="FA635" s="187"/>
      <c r="FH635" s="35"/>
      <c r="FI635" s="35"/>
      <c r="FJ635" s="35"/>
      <c r="FK635" s="35"/>
      <c r="FL635" s="35"/>
      <c r="FM635" s="35"/>
      <c r="FN635" s="35"/>
      <c r="FO635" s="35"/>
      <c r="FP635" s="35"/>
      <c r="FQ635" s="35"/>
    </row>
    <row r="636" spans="1:173" s="321" customFormat="1" hidden="1" outlineLevel="1">
      <c r="A636" s="1168"/>
      <c r="B636" s="186"/>
      <c r="C636" s="331" t="s">
        <v>35</v>
      </c>
      <c r="D636" s="910"/>
      <c r="E636" s="1"/>
      <c r="F636" s="1"/>
      <c r="G636" s="5"/>
      <c r="H636" s="1"/>
      <c r="I636" s="1"/>
      <c r="J636" s="5"/>
      <c r="K636" s="1"/>
      <c r="L636" s="1"/>
      <c r="M636" s="5"/>
      <c r="N636" s="1"/>
      <c r="O636" s="1"/>
      <c r="P636" s="5"/>
      <c r="Q636" s="1"/>
      <c r="R636" s="1"/>
      <c r="S636" s="5"/>
      <c r="T636" s="1"/>
      <c r="U636" s="1"/>
      <c r="V636" s="5"/>
      <c r="W636" s="1"/>
      <c r="X636" s="1"/>
      <c r="Y636" s="5"/>
      <c r="Z636" s="1"/>
      <c r="AA636" s="1"/>
      <c r="AB636" s="5"/>
      <c r="AC636" s="1"/>
      <c r="AD636" s="1"/>
      <c r="AE636" s="5"/>
      <c r="AF636" s="1"/>
      <c r="AG636" s="1"/>
      <c r="AH636" s="5"/>
      <c r="AI636" s="1"/>
      <c r="AJ636" s="1"/>
      <c r="AK636" s="5"/>
      <c r="AL636" s="1"/>
      <c r="AM636" s="1"/>
      <c r="AN636" s="5"/>
      <c r="AO636" s="1"/>
      <c r="AP636" s="1"/>
      <c r="AQ636" s="5"/>
      <c r="AR636" s="1"/>
      <c r="AS636" s="1"/>
      <c r="AT636" s="5"/>
      <c r="AU636" s="1"/>
      <c r="AV636" s="1"/>
      <c r="AW636" s="5"/>
      <c r="AX636" s="9"/>
      <c r="AY636" s="9"/>
      <c r="AZ636" s="9"/>
      <c r="BA636" s="8"/>
      <c r="BB636" s="8"/>
      <c r="BC636" s="51"/>
      <c r="BD636" s="8"/>
      <c r="BE636" s="8"/>
      <c r="BF636" s="51"/>
      <c r="BG636" s="8"/>
      <c r="BH636" s="8"/>
      <c r="BI636" s="51"/>
      <c r="BJ636" s="115"/>
      <c r="BK636" s="115"/>
      <c r="BL636" s="116"/>
      <c r="BM636" s="115"/>
      <c r="BN636" s="115"/>
      <c r="BO636" s="116"/>
      <c r="BP636" s="115"/>
      <c r="BQ636" s="115"/>
      <c r="BR636" s="116"/>
      <c r="BS636" s="8"/>
      <c r="BT636" s="8"/>
      <c r="BU636" s="9"/>
      <c r="BV636" s="8"/>
      <c r="BW636" s="8"/>
      <c r="BX636" s="187"/>
      <c r="BY636" s="8"/>
      <c r="BZ636" s="8"/>
      <c r="CA636" s="187"/>
      <c r="CB636" s="8"/>
      <c r="CC636" s="8"/>
      <c r="CD636" s="187"/>
      <c r="CE636" s="8"/>
      <c r="CF636" s="8"/>
      <c r="CG636" s="187"/>
      <c r="CH636" s="8"/>
      <c r="CI636" s="8"/>
      <c r="CJ636" s="187"/>
      <c r="CK636" s="8"/>
      <c r="CL636" s="8"/>
      <c r="CM636" s="187"/>
      <c r="CN636" s="8"/>
      <c r="CO636" s="8"/>
      <c r="CP636" s="187"/>
      <c r="CQ636" s="8"/>
      <c r="CR636" s="8"/>
      <c r="CS636" s="187"/>
      <c r="CT636" s="8"/>
      <c r="CU636" s="8"/>
      <c r="CV636" s="187"/>
      <c r="CW636" s="8"/>
      <c r="CX636" s="8"/>
      <c r="CY636" s="9"/>
      <c r="CZ636" s="8"/>
      <c r="DA636" s="8"/>
      <c r="DB636" s="9"/>
      <c r="DC636" s="8"/>
      <c r="DD636" s="8"/>
      <c r="DE636" s="9"/>
      <c r="DF636" s="8"/>
      <c r="DG636" s="8"/>
      <c r="DH636" s="9"/>
      <c r="DI636" s="8"/>
      <c r="DJ636" s="8"/>
      <c r="DK636" s="9"/>
      <c r="DL636" s="8"/>
      <c r="DM636" s="8"/>
      <c r="DN636" s="9"/>
      <c r="DO636" s="8"/>
      <c r="DP636" s="8"/>
      <c r="DQ636" s="9"/>
      <c r="DR636" s="8"/>
      <c r="DS636" s="8"/>
      <c r="DT636" s="9"/>
      <c r="DU636" s="8"/>
      <c r="DV636" s="8"/>
      <c r="DW636" s="9"/>
      <c r="DX636" s="8"/>
      <c r="DY636" s="8"/>
      <c r="DZ636" s="9"/>
      <c r="EA636" s="8"/>
      <c r="EB636" s="8"/>
      <c r="EC636" s="9"/>
      <c r="ED636" s="8"/>
      <c r="EE636" s="8"/>
      <c r="EF636" s="9"/>
      <c r="EG636" s="8"/>
      <c r="EH636" s="8"/>
      <c r="EI636" s="9"/>
      <c r="EJ636" s="8"/>
      <c r="EK636" s="8"/>
      <c r="EL636" s="9"/>
      <c r="EM636" s="8"/>
      <c r="EN636" s="8"/>
      <c r="EO636" s="9"/>
      <c r="EP636" s="8"/>
      <c r="EQ636" s="8"/>
      <c r="ER636" s="9"/>
      <c r="ES636" s="8"/>
      <c r="ET636" s="8"/>
      <c r="EU636" s="9"/>
      <c r="EV636" s="8"/>
      <c r="EW636" s="8"/>
      <c r="EX636" s="9"/>
      <c r="EY636" s="8"/>
      <c r="EZ636" s="8"/>
      <c r="FA636" s="9"/>
      <c r="FH636" s="35"/>
      <c r="FI636" s="35"/>
      <c r="FJ636" s="35"/>
      <c r="FK636" s="35"/>
      <c r="FL636" s="35"/>
      <c r="FM636" s="35"/>
      <c r="FN636" s="35"/>
      <c r="FO636" s="35"/>
      <c r="FP636" s="35"/>
      <c r="FQ636" s="35"/>
    </row>
    <row r="637" spans="1:173" s="321" customFormat="1" hidden="1" outlineLevel="1">
      <c r="A637" s="1168"/>
      <c r="B637" s="186"/>
      <c r="C637" s="186" t="s">
        <v>316</v>
      </c>
      <c r="D637" s="910"/>
      <c r="E637" s="1"/>
      <c r="F637" s="1"/>
      <c r="G637" s="5"/>
      <c r="H637" s="1"/>
      <c r="I637" s="1"/>
      <c r="J637" s="5"/>
      <c r="K637" s="1"/>
      <c r="L637" s="1"/>
      <c r="M637" s="5"/>
      <c r="N637" s="1"/>
      <c r="O637" s="1"/>
      <c r="P637" s="5"/>
      <c r="Q637" s="1"/>
      <c r="R637" s="1"/>
      <c r="S637" s="5"/>
      <c r="T637" s="1"/>
      <c r="U637" s="1"/>
      <c r="V637" s="5"/>
      <c r="W637" s="1"/>
      <c r="X637" s="1"/>
      <c r="Y637" s="5"/>
      <c r="Z637" s="1"/>
      <c r="AA637" s="1"/>
      <c r="AB637" s="5"/>
      <c r="AC637" s="1"/>
      <c r="AD637" s="1"/>
      <c r="AE637" s="5"/>
      <c r="AF637" s="1"/>
      <c r="AG637" s="1"/>
      <c r="AH637" s="5"/>
      <c r="AI637" s="1"/>
      <c r="AJ637" s="1"/>
      <c r="AK637" s="5"/>
      <c r="AL637" s="1"/>
      <c r="AM637" s="1"/>
      <c r="AN637" s="5"/>
      <c r="AO637" s="1"/>
      <c r="AP637" s="1"/>
      <c r="AQ637" s="5"/>
      <c r="AR637" s="1"/>
      <c r="AS637" s="1"/>
      <c r="AT637" s="5"/>
      <c r="AU637" s="1"/>
      <c r="AV637" s="1"/>
      <c r="AW637" s="5"/>
      <c r="AX637" s="187">
        <f t="shared" ref="AX637:CC637" si="2705">AX589*AX613</f>
        <v>3.4367788018687504E-3</v>
      </c>
      <c r="AY637" s="187">
        <f t="shared" si="2705"/>
        <v>3.4469172993342634E-3</v>
      </c>
      <c r="AZ637" s="187">
        <f t="shared" si="2705"/>
        <v>6.8836961012030129E-3</v>
      </c>
      <c r="BA637" s="8">
        <f t="shared" si="2705"/>
        <v>3.4570857053672997E-3</v>
      </c>
      <c r="BB637" s="8">
        <f t="shared" si="2705"/>
        <v>3.4672841081981329E-3</v>
      </c>
      <c r="BC637" s="978">
        <f t="shared" si="2705"/>
        <v>6.9243698135654317E-3</v>
      </c>
      <c r="BD637" s="8">
        <f t="shared" si="2705"/>
        <v>3.4775125963173175E-3</v>
      </c>
      <c r="BE637" s="8">
        <f t="shared" si="2705"/>
        <v>3.487771258476454E-3</v>
      </c>
      <c r="BF637" s="978">
        <f t="shared" si="2705"/>
        <v>6.9652838547937706E-3</v>
      </c>
      <c r="BG637" s="8">
        <f t="shared" si="2705"/>
        <v>3.4980601836889598E-3</v>
      </c>
      <c r="BH637" s="8">
        <f t="shared" si="2705"/>
        <v>3.508379461230842E-3</v>
      </c>
      <c r="BI637" s="978">
        <f t="shared" si="2705"/>
        <v>7.0064396449198013E-3</v>
      </c>
      <c r="BJ637" s="115">
        <f t="shared" si="2705"/>
        <v>3.5187291806414727E-3</v>
      </c>
      <c r="BK637" s="115">
        <f t="shared" si="2705"/>
        <v>3.5291094317243654E-3</v>
      </c>
      <c r="BL637" s="116">
        <f t="shared" si="2705"/>
        <v>7.0478386123658384E-3</v>
      </c>
      <c r="BM637" s="115">
        <f t="shared" si="2705"/>
        <v>3.5343148681361587E-3</v>
      </c>
      <c r="BN637" s="115">
        <f t="shared" si="2705"/>
        <v>3.5395279825666589E-3</v>
      </c>
      <c r="BO637" s="116">
        <f t="shared" si="2705"/>
        <v>7.0738428507028184E-3</v>
      </c>
      <c r="BP637" s="115">
        <f t="shared" si="2705"/>
        <v>3.5447487863409445E-3</v>
      </c>
      <c r="BQ637" s="115">
        <f t="shared" si="2705"/>
        <v>3.5499772908007968E-3</v>
      </c>
      <c r="BR637" s="116">
        <f t="shared" si="2705"/>
        <v>7.0947260771417409E-3</v>
      </c>
      <c r="BS637" s="8">
        <f t="shared" si="2705"/>
        <v>3.5552135073047275E-3</v>
      </c>
      <c r="BT637" s="8">
        <f t="shared" si="2705"/>
        <v>3.5604574472280015E-3</v>
      </c>
      <c r="BU637" s="187">
        <f t="shared" si="2705"/>
        <v>7.1156709545327291E-3</v>
      </c>
      <c r="BV637" s="8">
        <f t="shared" si="2705"/>
        <v>3.5657091219626629E-3</v>
      </c>
      <c r="BW637" s="8">
        <f t="shared" si="2705"/>
        <v>3.5709685429175576E-3</v>
      </c>
      <c r="BX637" s="187">
        <f t="shared" si="2705"/>
        <v>7.1366776648802204E-3</v>
      </c>
      <c r="BY637" s="8">
        <f t="shared" si="2705"/>
        <v>3.5762357215183603E-3</v>
      </c>
      <c r="BZ637" s="8">
        <f t="shared" si="2705"/>
        <v>3.5815106692075999E-3</v>
      </c>
      <c r="CA637" s="187">
        <f t="shared" si="2705"/>
        <v>7.1577463907259607E-3</v>
      </c>
      <c r="CB637" s="8">
        <f t="shared" si="2705"/>
        <v>3.58679339744468E-3</v>
      </c>
      <c r="CC637" s="8">
        <f t="shared" si="2705"/>
        <v>3.5920839177059111E-3</v>
      </c>
      <c r="CD637" s="187">
        <f t="shared" ref="CD637:DI637" si="2706">CD589*CD613</f>
        <v>7.1788773151505916E-3</v>
      </c>
      <c r="CE637" s="8">
        <f t="shared" si="2706"/>
        <v>3.5973822414845269E-3</v>
      </c>
      <c r="CF637" s="8">
        <f t="shared" si="2706"/>
        <v>3.6026883802907162E-3</v>
      </c>
      <c r="CG637" s="187">
        <f t="shared" si="2706"/>
        <v>7.2000706217752427E-3</v>
      </c>
      <c r="CH637" s="8">
        <f t="shared" si="2706"/>
        <v>3.6080023456516448E-3</v>
      </c>
      <c r="CI637" s="8">
        <f t="shared" si="2706"/>
        <v>3.6133241491114803E-3</v>
      </c>
      <c r="CJ637" s="187">
        <f t="shared" si="2706"/>
        <v>7.2213264947631247E-3</v>
      </c>
      <c r="CK637" s="8">
        <f t="shared" si="2706"/>
        <v>3.6186538022314192E-3</v>
      </c>
      <c r="CL637" s="8">
        <f t="shared" si="2706"/>
        <v>3.6239913165897106E-3</v>
      </c>
      <c r="CM637" s="187">
        <f t="shared" si="2706"/>
        <v>7.2426451188211307E-3</v>
      </c>
      <c r="CN637" s="8">
        <f t="shared" si="2706"/>
        <v>3.6293367037816791E-3</v>
      </c>
      <c r="CO637" s="8">
        <f t="shared" si="2706"/>
        <v>3.6346899754197575E-3</v>
      </c>
      <c r="CP637" s="187">
        <f t="shared" si="2706"/>
        <v>7.2640266792014371E-3</v>
      </c>
      <c r="CQ637" s="8">
        <f t="shared" si="2706"/>
        <v>3.6400511431335012E-3</v>
      </c>
      <c r="CR637" s="8">
        <f t="shared" si="2706"/>
        <v>3.6454202185696228E-3</v>
      </c>
      <c r="CS637" s="187">
        <f t="shared" si="2706"/>
        <v>7.285471361703124E-3</v>
      </c>
      <c r="CT637" s="8">
        <f t="shared" si="2706"/>
        <v>3.6507972133920119E-3</v>
      </c>
      <c r="CU637" s="8">
        <f t="shared" si="2706"/>
        <v>3.6561821392817654E-3</v>
      </c>
      <c r="CV637" s="187">
        <f t="shared" si="2706"/>
        <v>7.3069793526737764E-3</v>
      </c>
      <c r="CW637" s="8">
        <f t="shared" si="2706"/>
        <v>3.6615750079372054E-3</v>
      </c>
      <c r="CX637" s="8">
        <f t="shared" si="2706"/>
        <v>3.6669758310739126E-3</v>
      </c>
      <c r="CY637" s="187">
        <f t="shared" si="2706"/>
        <v>7.328550839011118E-3</v>
      </c>
      <c r="CZ637" s="8">
        <f t="shared" si="2706"/>
        <v>3.6723846204247458E-3</v>
      </c>
      <c r="DA637" s="8">
        <f t="shared" si="2706"/>
        <v>3.6778013877398724E-3</v>
      </c>
      <c r="DB637" s="187">
        <f t="shared" si="2706"/>
        <v>7.3501860081646182E-3</v>
      </c>
      <c r="DC637" s="8">
        <f t="shared" si="2706"/>
        <v>3.6832261447867884E-3</v>
      </c>
      <c r="DD637" s="8">
        <f t="shared" si="2706"/>
        <v>3.688658903350349E-3</v>
      </c>
      <c r="DE637" s="187">
        <f t="shared" si="2706"/>
        <v>7.3718850481371374E-3</v>
      </c>
      <c r="DF637" s="8">
        <f t="shared" si="2706"/>
        <v>3.69409967523279E-3</v>
      </c>
      <c r="DG637" s="8">
        <f t="shared" si="2706"/>
        <v>3.6995484722537578E-3</v>
      </c>
      <c r="DH637" s="187">
        <f t="shared" si="2706"/>
        <v>7.3936481474865482E-3</v>
      </c>
      <c r="DI637" s="8">
        <f t="shared" si="2706"/>
        <v>3.7050053062503314E-3</v>
      </c>
      <c r="DJ637" s="8">
        <f t="shared" ref="DJ637:EF637" si="2707">DJ589*DJ613</f>
        <v>3.7104701890770505E-3</v>
      </c>
      <c r="DK637" s="187">
        <f t="shared" si="2707"/>
        <v>7.4154754953273819E-3</v>
      </c>
      <c r="DL637" s="8">
        <f t="shared" si="2707"/>
        <v>3.7159431326059386E-3</v>
      </c>
      <c r="DM637" s="8">
        <f t="shared" si="2707"/>
        <v>3.7214241487265325E-3</v>
      </c>
      <c r="DN637" s="187">
        <f t="shared" si="2707"/>
        <v>7.4373672813324706E-3</v>
      </c>
      <c r="DO637" s="8">
        <f t="shared" si="2707"/>
        <v>3.7269132493459038E-3</v>
      </c>
      <c r="DP637" s="8">
        <f t="shared" si="2707"/>
        <v>3.7324104463886888E-3</v>
      </c>
      <c r="DQ637" s="187">
        <f t="shared" si="2707"/>
        <v>7.4593236957345935E-3</v>
      </c>
      <c r="DR637" s="8">
        <f t="shared" si="2707"/>
        <v>3.7379157517971116E-3</v>
      </c>
      <c r="DS637" s="8">
        <f t="shared" si="2707"/>
        <v>3.7434291775310115E-3</v>
      </c>
      <c r="DT637" s="187">
        <f t="shared" si="2707"/>
        <v>7.4813449293281223E-3</v>
      </c>
      <c r="DU637" s="8">
        <f t="shared" si="2707"/>
        <v>3.7489507355678697E-3</v>
      </c>
      <c r="DV637" s="8">
        <f t="shared" si="2707"/>
        <v>3.7544804379028313E-3</v>
      </c>
      <c r="DW637" s="187">
        <f t="shared" si="2707"/>
        <v>7.5034311734707019E-3</v>
      </c>
      <c r="DX637" s="8">
        <f t="shared" si="2707"/>
        <v>3.7600182965487378E-3</v>
      </c>
      <c r="DY637" s="8">
        <f t="shared" si="2707"/>
        <v>3.765564323536147E-3</v>
      </c>
      <c r="DZ637" s="187">
        <f t="shared" si="2707"/>
        <v>7.5255826200848848E-3</v>
      </c>
      <c r="EA637" s="8">
        <f t="shared" si="2707"/>
        <v>3.7711185309133623E-3</v>
      </c>
      <c r="EB637" s="8">
        <f t="shared" si="2707"/>
        <v>3.7766809307464588E-3</v>
      </c>
      <c r="EC637" s="187">
        <f t="shared" si="2707"/>
        <v>7.5477994616598215E-3</v>
      </c>
      <c r="ED637" s="8">
        <f t="shared" si="2707"/>
        <v>3.782251535119309E-3</v>
      </c>
      <c r="EE637" s="8">
        <f t="shared" si="2707"/>
        <v>3.7878303561336099E-3</v>
      </c>
      <c r="EF637" s="187">
        <f t="shared" si="2707"/>
        <v>7.5700818912529189E-3</v>
      </c>
      <c r="EG637" s="8">
        <f t="shared" ref="EG637:EL637" si="2708">EG589*EG613</f>
        <v>3.7934174059089066E-3</v>
      </c>
      <c r="EH637" s="8">
        <f t="shared" si="2708"/>
        <v>3.7990126965826219E-3</v>
      </c>
      <c r="EI637" s="187">
        <f t="shared" si="2708"/>
        <v>7.5924301024915299E-3</v>
      </c>
      <c r="EJ637" s="8">
        <f t="shared" si="2708"/>
        <v>3.8046162403100807E-3</v>
      </c>
      <c r="EK637" s="8">
        <f t="shared" si="2708"/>
        <v>3.8102280492645379E-3</v>
      </c>
      <c r="EL637" s="187">
        <f t="shared" si="2708"/>
        <v>7.6148442895746194E-3</v>
      </c>
      <c r="EM637" s="8">
        <f t="shared" ref="EM637:ER637" si="2709">EM589*EM613</f>
        <v>3.8158481356372021E-3</v>
      </c>
      <c r="EN637" s="8">
        <f t="shared" si="2709"/>
        <v>3.8214765116372667E-3</v>
      </c>
      <c r="EO637" s="187">
        <f t="shared" si="2709"/>
        <v>7.6373246472744684E-3</v>
      </c>
      <c r="EP637" s="8">
        <f t="shared" si="2709"/>
        <v>3.8271131894919309E-3</v>
      </c>
      <c r="EQ637" s="8">
        <f t="shared" si="2709"/>
        <v>3.8327581814464316E-3</v>
      </c>
      <c r="ER637" s="187">
        <f t="shared" si="2709"/>
        <v>7.659871370938362E-3</v>
      </c>
      <c r="ES637" s="8">
        <f t="shared" ref="ES637:EX637" si="2710">ES589*ES613</f>
        <v>3.8384114997640638E-3</v>
      </c>
      <c r="ET637" s="8">
        <f t="shared" si="2710"/>
        <v>3.8440731567262161E-3</v>
      </c>
      <c r="EU637" s="187">
        <f t="shared" si="2710"/>
        <v>7.6824846564902804E-3</v>
      </c>
      <c r="EV637" s="8">
        <f t="shared" si="2710"/>
        <v>3.8497431646323864E-3</v>
      </c>
      <c r="EW637" s="8">
        <f t="shared" si="2710"/>
        <v>3.8554215358002188E-3</v>
      </c>
      <c r="EX637" s="187">
        <f t="shared" si="2710"/>
        <v>7.7051647004326047E-3</v>
      </c>
      <c r="EY637" s="8">
        <f t="shared" ref="EY637:FA637" si="2711">EY589*EY613</f>
        <v>3.8611082825655237E-3</v>
      </c>
      <c r="EZ637" s="8">
        <f t="shared" si="2711"/>
        <v>3.8668034172823075E-3</v>
      </c>
      <c r="FA637" s="187">
        <f t="shared" si="2711"/>
        <v>7.7279116998478312E-3</v>
      </c>
      <c r="FH637" s="35"/>
      <c r="FI637" s="35"/>
      <c r="FJ637" s="35"/>
      <c r="FK637" s="35"/>
      <c r="FL637" s="35"/>
      <c r="FM637" s="35"/>
      <c r="FN637" s="35"/>
      <c r="FO637" s="35"/>
      <c r="FP637" s="35"/>
      <c r="FQ637" s="35"/>
    </row>
    <row r="638" spans="1:173" s="321" customFormat="1" hidden="1" outlineLevel="1">
      <c r="A638" s="1168"/>
      <c r="B638" s="186"/>
      <c r="C638" s="186" t="s">
        <v>317</v>
      </c>
      <c r="D638" s="910"/>
      <c r="E638" s="1"/>
      <c r="F638" s="1"/>
      <c r="G638" s="5"/>
      <c r="H638" s="1"/>
      <c r="I638" s="1"/>
      <c r="J638" s="5"/>
      <c r="K638" s="1"/>
      <c r="L638" s="1"/>
      <c r="M638" s="5"/>
      <c r="N638" s="1"/>
      <c r="O638" s="1"/>
      <c r="P638" s="5"/>
      <c r="Q638" s="1"/>
      <c r="R638" s="1"/>
      <c r="S638" s="5"/>
      <c r="T638" s="1"/>
      <c r="U638" s="1"/>
      <c r="V638" s="5"/>
      <c r="W638" s="1"/>
      <c r="X638" s="1"/>
      <c r="Y638" s="5"/>
      <c r="Z638" s="1"/>
      <c r="AA638" s="1"/>
      <c r="AB638" s="5"/>
      <c r="AC638" s="1"/>
      <c r="AD638" s="1"/>
      <c r="AE638" s="5"/>
      <c r="AF638" s="1"/>
      <c r="AG638" s="1"/>
      <c r="AH638" s="5"/>
      <c r="AI638" s="1"/>
      <c r="AJ638" s="1"/>
      <c r="AK638" s="5"/>
      <c r="AL638" s="1"/>
      <c r="AM638" s="1"/>
      <c r="AN638" s="5"/>
      <c r="AO638" s="1"/>
      <c r="AP638" s="1"/>
      <c r="AQ638" s="5"/>
      <c r="AR638" s="1"/>
      <c r="AS638" s="1"/>
      <c r="AT638" s="5"/>
      <c r="AU638" s="1"/>
      <c r="AV638" s="1"/>
      <c r="AW638" s="5"/>
      <c r="AX638" s="187">
        <f t="shared" ref="AX638:CC638" si="2712">AX590*AX614</f>
        <v>5.2794695471850006E-3</v>
      </c>
      <c r="AY638" s="187">
        <f t="shared" si="2712"/>
        <v>5.274718024592534E-3</v>
      </c>
      <c r="AZ638" s="187">
        <f t="shared" si="2712"/>
        <v>1.0554187571777533E-2</v>
      </c>
      <c r="BA638" s="8">
        <f t="shared" si="2712"/>
        <v>5.2699707783704008E-3</v>
      </c>
      <c r="BB638" s="8">
        <f t="shared" si="2712"/>
        <v>5.265227804669868E-3</v>
      </c>
      <c r="BC638" s="978">
        <f t="shared" si="2712"/>
        <v>1.0535198583040268E-2</v>
      </c>
      <c r="BD638" s="8">
        <f t="shared" si="2712"/>
        <v>5.2604890996456643E-3</v>
      </c>
      <c r="BE638" s="8">
        <f t="shared" si="2712"/>
        <v>5.2557546594559825E-3</v>
      </c>
      <c r="BF638" s="978">
        <f t="shared" si="2712"/>
        <v>1.0516243759101648E-2</v>
      </c>
      <c r="BG638" s="8">
        <f t="shared" si="2712"/>
        <v>5.251024480262473E-3</v>
      </c>
      <c r="BH638" s="8">
        <f t="shared" si="2712"/>
        <v>5.2462985582302363E-3</v>
      </c>
      <c r="BI638" s="978">
        <f t="shared" si="2712"/>
        <v>1.049732303849271E-2</v>
      </c>
      <c r="BJ638" s="115">
        <f t="shared" si="2712"/>
        <v>5.2415768895278294E-3</v>
      </c>
      <c r="BK638" s="115">
        <f t="shared" si="2712"/>
        <v>5.2368594703272537E-3</v>
      </c>
      <c r="BL638" s="116">
        <f t="shared" si="2712"/>
        <v>1.0478436359855082E-2</v>
      </c>
      <c r="BM638" s="115">
        <f t="shared" si="2712"/>
        <v>5.2345028835656063E-3</v>
      </c>
      <c r="BN638" s="115">
        <f t="shared" si="2712"/>
        <v>5.2321473572680029E-3</v>
      </c>
      <c r="BO638" s="116">
        <f t="shared" si="2712"/>
        <v>1.0466650240833609E-2</v>
      </c>
      <c r="BP638" s="115">
        <f t="shared" si="2712"/>
        <v>5.2297928909572321E-3</v>
      </c>
      <c r="BQ638" s="115">
        <f t="shared" si="2712"/>
        <v>5.2274394841563014E-3</v>
      </c>
      <c r="BR638" s="116">
        <f t="shared" si="2712"/>
        <v>1.0457232375113534E-2</v>
      </c>
      <c r="BS638" s="8">
        <f t="shared" si="2712"/>
        <v>5.2250871363884307E-3</v>
      </c>
      <c r="BT638" s="8">
        <f t="shared" si="2712"/>
        <v>5.2227358471770569E-3</v>
      </c>
      <c r="BU638" s="187">
        <f t="shared" si="2712"/>
        <v>1.0447822983565487E-2</v>
      </c>
      <c r="BV638" s="8">
        <f t="shared" si="2712"/>
        <v>5.2203856160458273E-3</v>
      </c>
      <c r="BW638" s="8">
        <f t="shared" si="2712"/>
        <v>5.2180364425186065E-3</v>
      </c>
      <c r="BX638" s="187">
        <f t="shared" si="2712"/>
        <v>1.0438422058564432E-2</v>
      </c>
      <c r="BY638" s="8">
        <f t="shared" si="2712"/>
        <v>5.2156883261194739E-3</v>
      </c>
      <c r="BZ638" s="8">
        <f t="shared" si="2712"/>
        <v>5.2133412663727197E-3</v>
      </c>
      <c r="CA638" s="187">
        <f t="shared" si="2712"/>
        <v>1.0429029592492194E-2</v>
      </c>
      <c r="CB638" s="8">
        <f t="shared" si="2712"/>
        <v>5.2109952628028519E-3</v>
      </c>
      <c r="CC638" s="8">
        <f t="shared" si="2712"/>
        <v>5.208650314934591E-3</v>
      </c>
      <c r="CD638" s="187">
        <f t="shared" ref="CD638:DI638" si="2713">CD590*CD614</f>
        <v>1.0419645577737445E-2</v>
      </c>
      <c r="CE638" s="8">
        <f t="shared" si="2713"/>
        <v>5.2063064222928708E-3</v>
      </c>
      <c r="CF638" s="8">
        <f t="shared" si="2713"/>
        <v>5.2039635844028393E-3</v>
      </c>
      <c r="CG638" s="187">
        <f t="shared" si="2713"/>
        <v>1.0410270006695711E-2</v>
      </c>
      <c r="CH638" s="8">
        <f t="shared" si="2713"/>
        <v>5.2016218007898589E-3</v>
      </c>
      <c r="CI638" s="8">
        <f t="shared" si="2713"/>
        <v>5.1992810709795036E-3</v>
      </c>
      <c r="CJ638" s="187">
        <f t="shared" si="2713"/>
        <v>1.0400902871769362E-2</v>
      </c>
      <c r="CK638" s="8">
        <f t="shared" si="2713"/>
        <v>5.1969413944975631E-3</v>
      </c>
      <c r="CL638" s="8">
        <f t="shared" si="2713"/>
        <v>5.1946027708700392E-3</v>
      </c>
      <c r="CM638" s="187">
        <f t="shared" si="2713"/>
        <v>1.0391544165367601E-2</v>
      </c>
      <c r="CN638" s="8">
        <f t="shared" si="2713"/>
        <v>5.1922651996231476E-3</v>
      </c>
      <c r="CO638" s="8">
        <f t="shared" si="2713"/>
        <v>5.1899286802833174E-3</v>
      </c>
      <c r="CP638" s="187">
        <f t="shared" si="2713"/>
        <v>1.0382193879906465E-2</v>
      </c>
      <c r="CQ638" s="8">
        <f t="shared" si="2713"/>
        <v>5.1875932123771904E-3</v>
      </c>
      <c r="CR638" s="8">
        <f t="shared" si="2713"/>
        <v>5.1852587954316215E-3</v>
      </c>
      <c r="CS638" s="187">
        <f t="shared" si="2713"/>
        <v>1.0372852007808813E-2</v>
      </c>
      <c r="CT638" s="8">
        <f t="shared" si="2713"/>
        <v>5.1829254289736766E-3</v>
      </c>
      <c r="CU638" s="8">
        <f t="shared" si="2713"/>
        <v>5.1805931125306392E-3</v>
      </c>
      <c r="CV638" s="187">
        <f t="shared" si="2713"/>
        <v>1.0363518541504316E-2</v>
      </c>
      <c r="CW638" s="8">
        <f t="shared" si="2713"/>
        <v>5.17826184563E-3</v>
      </c>
      <c r="CX638" s="8">
        <f t="shared" si="2713"/>
        <v>5.1759316277994669E-3</v>
      </c>
      <c r="CY638" s="187">
        <f t="shared" si="2713"/>
        <v>1.0354193473429467E-2</v>
      </c>
      <c r="CZ638" s="8">
        <f t="shared" si="2713"/>
        <v>5.1736024585669572E-3</v>
      </c>
      <c r="DA638" s="8">
        <f t="shared" si="2713"/>
        <v>5.171274337460602E-3</v>
      </c>
      <c r="DB638" s="187">
        <f t="shared" si="2713"/>
        <v>1.0344876796027559E-2</v>
      </c>
      <c r="DC638" s="8">
        <f t="shared" si="2713"/>
        <v>5.1689472640087455E-3</v>
      </c>
      <c r="DD638" s="8">
        <f t="shared" si="2713"/>
        <v>5.1666212377399412E-3</v>
      </c>
      <c r="DE638" s="187">
        <f t="shared" si="2713"/>
        <v>1.0335568501748686E-2</v>
      </c>
      <c r="DF638" s="8">
        <f t="shared" si="2713"/>
        <v>5.164296258182959E-3</v>
      </c>
      <c r="DG638" s="8">
        <f t="shared" si="2713"/>
        <v>5.1619723248667766E-3</v>
      </c>
      <c r="DH638" s="187">
        <f t="shared" si="2713"/>
        <v>1.0326268583049735E-2</v>
      </c>
      <c r="DI638" s="8">
        <f t="shared" si="2713"/>
        <v>5.1596494373205874E-3</v>
      </c>
      <c r="DJ638" s="8">
        <f t="shared" ref="DJ638:EF638" si="2714">DJ590*DJ614</f>
        <v>5.1573275950737929E-3</v>
      </c>
      <c r="DK638" s="187">
        <f t="shared" si="2714"/>
        <v>1.031697703239438E-2</v>
      </c>
      <c r="DL638" s="8">
        <f t="shared" si="2714"/>
        <v>5.15500679765601E-3</v>
      </c>
      <c r="DM638" s="8">
        <f t="shared" si="2714"/>
        <v>5.1526870445970652E-3</v>
      </c>
      <c r="DN638" s="187">
        <f t="shared" si="2714"/>
        <v>1.0307693842253074E-2</v>
      </c>
      <c r="DO638" s="8">
        <f t="shared" si="2714"/>
        <v>5.1503683354269967E-3</v>
      </c>
      <c r="DP638" s="8">
        <f t="shared" si="2714"/>
        <v>5.1480506696760554E-3</v>
      </c>
      <c r="DQ638" s="187">
        <f t="shared" si="2714"/>
        <v>1.0298419005103053E-2</v>
      </c>
      <c r="DR638" s="8">
        <f t="shared" si="2714"/>
        <v>5.1457340468747019E-3</v>
      </c>
      <c r="DS638" s="8">
        <f t="shared" si="2714"/>
        <v>5.1434184665536085E-3</v>
      </c>
      <c r="DT638" s="187">
        <f t="shared" si="2714"/>
        <v>1.028915251342831E-2</v>
      </c>
      <c r="DU638" s="8">
        <f t="shared" si="2714"/>
        <v>5.1411039282436592E-3</v>
      </c>
      <c r="DV638" s="8">
        <f t="shared" si="2714"/>
        <v>5.1387904314759503E-3</v>
      </c>
      <c r="DW638" s="187">
        <f t="shared" si="2714"/>
        <v>1.0279894359719609E-2</v>
      </c>
      <c r="DX638" s="8">
        <f t="shared" si="2714"/>
        <v>5.1364779757817856E-3</v>
      </c>
      <c r="DY638" s="8">
        <f t="shared" si="2714"/>
        <v>5.134166560692684E-3</v>
      </c>
      <c r="DZ638" s="187">
        <f t="shared" si="2714"/>
        <v>1.027064453647447E-2</v>
      </c>
      <c r="EA638" s="8">
        <f t="shared" si="2714"/>
        <v>5.1318561857403725E-3</v>
      </c>
      <c r="EB638" s="8">
        <f t="shared" si="2714"/>
        <v>5.1295468504567888E-3</v>
      </c>
      <c r="EC638" s="187">
        <f t="shared" si="2714"/>
        <v>1.0261403036197162E-2</v>
      </c>
      <c r="ED638" s="8">
        <f t="shared" si="2714"/>
        <v>5.1272385543740832E-3</v>
      </c>
      <c r="EE638" s="8">
        <f t="shared" si="2714"/>
        <v>5.1249312970246159E-3</v>
      </c>
      <c r="EF638" s="187">
        <f t="shared" si="2714"/>
        <v>1.0252169851398698E-2</v>
      </c>
      <c r="EG638" s="8">
        <f t="shared" ref="EG638:EL638" si="2715">EG590*EG614</f>
        <v>5.1226250779409545E-3</v>
      </c>
      <c r="EH638" s="8">
        <f t="shared" si="2715"/>
        <v>5.1203198966558814E-3</v>
      </c>
      <c r="EI638" s="187">
        <f t="shared" si="2715"/>
        <v>1.0242944974596836E-2</v>
      </c>
      <c r="EJ638" s="8">
        <f t="shared" si="2715"/>
        <v>5.1180157527023866E-3</v>
      </c>
      <c r="EK638" s="8">
        <f t="shared" si="2715"/>
        <v>5.1157126456136707E-3</v>
      </c>
      <c r="EL638" s="187">
        <f t="shared" si="2715"/>
        <v>1.0233728398316056E-2</v>
      </c>
      <c r="EM638" s="8">
        <f t="shared" ref="EM638:ER638" si="2716">EM590*EM614</f>
        <v>5.1134105749231452E-3</v>
      </c>
      <c r="EN638" s="8">
        <f t="shared" si="2716"/>
        <v>5.1111095401644296E-3</v>
      </c>
      <c r="EO638" s="187">
        <f t="shared" si="2716"/>
        <v>1.0224520115087574E-2</v>
      </c>
      <c r="EP638" s="8">
        <f t="shared" si="2716"/>
        <v>5.108809540871357E-3</v>
      </c>
      <c r="EQ638" s="8">
        <f t="shared" si="2716"/>
        <v>5.1065105765779649E-3</v>
      </c>
      <c r="ER638" s="187">
        <f t="shared" si="2716"/>
        <v>1.0215320117449321E-2</v>
      </c>
      <c r="ES638" s="8">
        <f t="shared" ref="ES638:EX638" si="2717">ES590*ES614</f>
        <v>5.1042126468185053E-3</v>
      </c>
      <c r="ET638" s="8">
        <f t="shared" si="2717"/>
        <v>5.1019157511274374E-3</v>
      </c>
      <c r="EU638" s="187">
        <f t="shared" si="2717"/>
        <v>1.0206128397945942E-2</v>
      </c>
      <c r="EV638" s="8">
        <f t="shared" si="2717"/>
        <v>5.0996198890394303E-3</v>
      </c>
      <c r="EW638" s="8">
        <f t="shared" si="2717"/>
        <v>5.0973250600893621E-3</v>
      </c>
      <c r="EX638" s="187">
        <f t="shared" si="2717"/>
        <v>1.0196944949128792E-2</v>
      </c>
      <c r="EY638" s="8">
        <f t="shared" ref="EY638:FA638" si="2718">EY590*EY614</f>
        <v>5.0950312638123225E-3</v>
      </c>
      <c r="EZ638" s="8">
        <f t="shared" si="2718"/>
        <v>5.092738499743607E-3</v>
      </c>
      <c r="FA638" s="187">
        <f t="shared" si="2718"/>
        <v>1.018776976355593E-2</v>
      </c>
      <c r="FH638" s="35"/>
      <c r="FI638" s="35"/>
      <c r="FJ638" s="35"/>
      <c r="FK638" s="35"/>
      <c r="FL638" s="35"/>
      <c r="FM638" s="35"/>
      <c r="FN638" s="35"/>
      <c r="FO638" s="35"/>
      <c r="FP638" s="35"/>
      <c r="FQ638" s="35"/>
    </row>
    <row r="639" spans="1:173" s="321" customFormat="1" hidden="1" outlineLevel="1">
      <c r="A639" s="1168"/>
      <c r="B639" s="186"/>
      <c r="C639" s="186" t="s">
        <v>431</v>
      </c>
      <c r="D639" s="910"/>
      <c r="E639" s="1"/>
      <c r="F639" s="1"/>
      <c r="G639" s="5"/>
      <c r="H639" s="1"/>
      <c r="I639" s="1"/>
      <c r="J639" s="5"/>
      <c r="K639" s="1"/>
      <c r="L639" s="1"/>
      <c r="M639" s="5"/>
      <c r="N639" s="1"/>
      <c r="O639" s="1"/>
      <c r="P639" s="5"/>
      <c r="Q639" s="1"/>
      <c r="R639" s="1"/>
      <c r="S639" s="5"/>
      <c r="T639" s="1"/>
      <c r="U639" s="1"/>
      <c r="V639" s="5"/>
      <c r="W639" s="1"/>
      <c r="X639" s="1"/>
      <c r="Y639" s="5"/>
      <c r="Z639" s="1"/>
      <c r="AA639" s="1"/>
      <c r="AB639" s="5"/>
      <c r="AC639" s="1"/>
      <c r="AD639" s="1"/>
      <c r="AE639" s="5"/>
      <c r="AF639" s="1"/>
      <c r="AG639" s="1"/>
      <c r="AH639" s="5"/>
      <c r="AI639" s="1"/>
      <c r="AJ639" s="1"/>
      <c r="AK639" s="5"/>
      <c r="AL639" s="1"/>
      <c r="AM639" s="1"/>
      <c r="AN639" s="5"/>
      <c r="AO639" s="1"/>
      <c r="AP639" s="1"/>
      <c r="AQ639" s="5"/>
      <c r="AR639" s="1"/>
      <c r="AS639" s="1"/>
      <c r="AT639" s="5"/>
      <c r="AU639" s="1"/>
      <c r="AV639" s="1"/>
      <c r="AW639" s="5"/>
      <c r="AX639" s="187">
        <f t="shared" ref="AX639:CC639" si="2719">AX591*AX615</f>
        <v>5.8638275161200001E-2</v>
      </c>
      <c r="AY639" s="187">
        <f t="shared" si="2719"/>
        <v>5.9013560122231676E-2</v>
      </c>
      <c r="AZ639" s="187">
        <f t="shared" si="2719"/>
        <v>0.11765183528343166</v>
      </c>
      <c r="BA639" s="8">
        <f t="shared" si="2719"/>
        <v>5.9391246907013952E-2</v>
      </c>
      <c r="BB639" s="8">
        <f t="shared" si="2719"/>
        <v>5.9771350887218841E-2</v>
      </c>
      <c r="BC639" s="978">
        <f t="shared" si="2719"/>
        <v>0.11916259779423279</v>
      </c>
      <c r="BD639" s="8">
        <f t="shared" si="2719"/>
        <v>6.0153887532897049E-2</v>
      </c>
      <c r="BE639" s="8">
        <f t="shared" si="2719"/>
        <v>6.0538872413107576E-2</v>
      </c>
      <c r="BF639" s="978">
        <f t="shared" si="2719"/>
        <v>0.12069275994600462</v>
      </c>
      <c r="BG639" s="8">
        <f t="shared" si="2719"/>
        <v>6.0926321196551468E-2</v>
      </c>
      <c r="BH639" s="8">
        <f t="shared" si="2719"/>
        <v>6.1316249652209401E-2</v>
      </c>
      <c r="BI639" s="978">
        <f t="shared" si="2719"/>
        <v>0.12224257084876088</v>
      </c>
      <c r="BJ639" s="115">
        <f t="shared" si="2719"/>
        <v>6.1708673649983538E-2</v>
      </c>
      <c r="BK639" s="115">
        <f t="shared" si="2719"/>
        <v>6.2103609161343429E-2</v>
      </c>
      <c r="BL639" s="116">
        <f t="shared" si="2719"/>
        <v>0.12381228281132697</v>
      </c>
      <c r="BM639" s="115">
        <f t="shared" si="2719"/>
        <v>6.2302340710659737E-2</v>
      </c>
      <c r="BN639" s="115">
        <f t="shared" si="2719"/>
        <v>6.2501708200933856E-2</v>
      </c>
      <c r="BO639" s="116">
        <f t="shared" si="2719"/>
        <v>0.12480404891159359</v>
      </c>
      <c r="BP639" s="115">
        <f t="shared" si="2719"/>
        <v>6.2701713667176848E-2</v>
      </c>
      <c r="BQ639" s="115">
        <f t="shared" si="2719"/>
        <v>6.2902359150911816E-2</v>
      </c>
      <c r="BR639" s="116">
        <f t="shared" si="2719"/>
        <v>0.12560407281808866</v>
      </c>
      <c r="BS639" s="8">
        <f t="shared" si="2719"/>
        <v>6.3103646700194735E-2</v>
      </c>
      <c r="BT639" s="8">
        <f t="shared" si="2719"/>
        <v>6.3305578369635379E-2</v>
      </c>
      <c r="BU639" s="187">
        <f t="shared" si="2719"/>
        <v>0.1264092250698301</v>
      </c>
      <c r="BV639" s="8">
        <f t="shared" si="2719"/>
        <v>6.3508156220418222E-2</v>
      </c>
      <c r="BW639" s="8">
        <f t="shared" si="2719"/>
        <v>6.371138232032357E-2</v>
      </c>
      <c r="BX639" s="187">
        <f t="shared" si="2719"/>
        <v>0.12721953854074178</v>
      </c>
      <c r="BY639" s="8">
        <f t="shared" si="2719"/>
        <v>6.3915258743748607E-2</v>
      </c>
      <c r="BZ639" s="8">
        <f t="shared" si="2719"/>
        <v>6.4119787571728606E-2</v>
      </c>
      <c r="CA639" s="187">
        <f t="shared" si="2719"/>
        <v>0.12803504631547721</v>
      </c>
      <c r="CB639" s="8">
        <f t="shared" si="2719"/>
        <v>6.4324970891958141E-2</v>
      </c>
      <c r="CC639" s="8">
        <f t="shared" si="2719"/>
        <v>6.4530810798812413E-2</v>
      </c>
      <c r="CD639" s="187">
        <f t="shared" ref="CD639:DI639" si="2720">CD591*CD615</f>
        <v>0.12885578169077058</v>
      </c>
      <c r="CE639" s="8">
        <f t="shared" si="2720"/>
        <v>6.4737309393368622E-2</v>
      </c>
      <c r="CF639" s="8">
        <f t="shared" si="2720"/>
        <v>6.4944468783427411E-2</v>
      </c>
      <c r="CG639" s="187">
        <f t="shared" si="2720"/>
        <v>0.12968177817679602</v>
      </c>
      <c r="CH639" s="8">
        <f t="shared" si="2720"/>
        <v>6.5152291083534389E-2</v>
      </c>
      <c r="CI639" s="8">
        <f t="shared" si="2720"/>
        <v>6.5360778415001694E-2</v>
      </c>
      <c r="CJ639" s="187">
        <f t="shared" si="2720"/>
        <v>0.13051306949853608</v>
      </c>
      <c r="CK639" s="8">
        <f t="shared" si="2720"/>
        <v>6.5569932905929704E-2</v>
      </c>
      <c r="CL639" s="8">
        <f t="shared" si="2720"/>
        <v>6.5779756691228694E-2</v>
      </c>
      <c r="CM639" s="187">
        <f t="shared" si="2720"/>
        <v>0.1313496895971584</v>
      </c>
      <c r="CN639" s="8">
        <f t="shared" si="2720"/>
        <v>6.599025191264063E-2</v>
      </c>
      <c r="CO639" s="8">
        <f t="shared" si="2720"/>
        <v>6.6201420718761089E-2</v>
      </c>
      <c r="CP639" s="187">
        <f t="shared" si="2720"/>
        <v>0.13219167263140169</v>
      </c>
      <c r="CQ639" s="8">
        <f t="shared" si="2720"/>
        <v>6.6413265265061139E-2</v>
      </c>
      <c r="CR639" s="8">
        <f t="shared" si="2720"/>
        <v>6.6625787713909326E-2</v>
      </c>
      <c r="CS639" s="187">
        <f t="shared" si="2720"/>
        <v>0.13303905297897045</v>
      </c>
      <c r="CT639" s="8">
        <f t="shared" si="2720"/>
        <v>6.6838990234593845E-2</v>
      </c>
      <c r="CU639" s="8">
        <f t="shared" si="2720"/>
        <v>6.7052875003344545E-2</v>
      </c>
      <c r="CV639" s="187">
        <f t="shared" si="2720"/>
        <v>0.13389186523793839</v>
      </c>
      <c r="CW639" s="8">
        <f t="shared" si="2720"/>
        <v>6.7267444203355259E-2</v>
      </c>
      <c r="CX639" s="8">
        <f t="shared" si="2720"/>
        <v>6.7482700024805997E-2</v>
      </c>
      <c r="CY639" s="187">
        <f t="shared" si="2720"/>
        <v>0.13475014422816126</v>
      </c>
      <c r="CZ639" s="8">
        <f t="shared" si="2720"/>
        <v>6.7698644664885385E-2</v>
      </c>
      <c r="DA639" s="8">
        <f t="shared" si="2720"/>
        <v>6.7915280327813021E-2</v>
      </c>
      <c r="DB639" s="187">
        <f t="shared" si="2720"/>
        <v>0.13561392499269842</v>
      </c>
      <c r="DC639" s="8">
        <f t="shared" si="2720"/>
        <v>6.8132609224862029E-2</v>
      </c>
      <c r="DD639" s="8">
        <f t="shared" si="2720"/>
        <v>6.8350633574381578E-2</v>
      </c>
      <c r="DE639" s="187">
        <f t="shared" si="2720"/>
        <v>0.13648324279924362</v>
      </c>
      <c r="DF639" s="8">
        <f t="shared" si="2720"/>
        <v>6.856935560181962E-2</v>
      </c>
      <c r="DG639" s="8">
        <f t="shared" si="2720"/>
        <v>6.8788777539745438E-2</v>
      </c>
      <c r="DH639" s="187">
        <f t="shared" si="2720"/>
        <v>0.13735813314156506</v>
      </c>
      <c r="DI639" s="8">
        <f t="shared" si="2720"/>
        <v>6.9008901627872626E-2</v>
      </c>
      <c r="DJ639" s="8">
        <f t="shared" ref="DJ639:EF639" si="2721">DJ591*DJ615</f>
        <v>6.9229730113081811E-2</v>
      </c>
      <c r="DK639" s="187">
        <f t="shared" si="2721"/>
        <v>0.13823863174095444</v>
      </c>
      <c r="DL639" s="8">
        <f t="shared" si="2721"/>
        <v>6.9451265249443686E-2</v>
      </c>
      <c r="DM639" s="8">
        <f t="shared" si="2721"/>
        <v>6.9673509298241912E-2</v>
      </c>
      <c r="DN639" s="187">
        <f t="shared" si="2721"/>
        <v>0.1391247745476856</v>
      </c>
      <c r="DO639" s="8">
        <f t="shared" si="2721"/>
        <v>6.9896464527996277E-2</v>
      </c>
      <c r="DP639" s="8">
        <f t="shared" si="2721"/>
        <v>7.0120133214485875E-2</v>
      </c>
      <c r="DQ639" s="187">
        <f t="shared" si="2721"/>
        <v>0.14001659774248215</v>
      </c>
      <c r="DR639" s="8">
        <f t="shared" si="2721"/>
        <v>7.034451764077225E-2</v>
      </c>
      <c r="DS639" s="8">
        <f t="shared" si="2721"/>
        <v>7.0569620097222716E-2</v>
      </c>
      <c r="DT639" s="187">
        <f t="shared" si="2721"/>
        <v>0.14091413773799497</v>
      </c>
      <c r="DU639" s="8">
        <f t="shared" si="2721"/>
        <v>7.0795442881533818E-2</v>
      </c>
      <c r="DV639" s="8">
        <f t="shared" si="2721"/>
        <v>7.1021988298754751E-2</v>
      </c>
      <c r="DW639" s="187">
        <f t="shared" si="2721"/>
        <v>0.14181743118028858</v>
      </c>
      <c r="DX639" s="8">
        <f t="shared" si="2721"/>
        <v>7.1249258661310766E-2</v>
      </c>
      <c r="DY639" s="8">
        <f t="shared" si="2721"/>
        <v>7.1477256289026972E-2</v>
      </c>
      <c r="DZ639" s="187">
        <f t="shared" si="2721"/>
        <v>0.14272651495033772</v>
      </c>
      <c r="EA639" s="8">
        <f t="shared" si="2721"/>
        <v>7.170598350915186E-2</v>
      </c>
      <c r="EB639" s="8">
        <f t="shared" si="2721"/>
        <v>7.193544265638116E-2</v>
      </c>
      <c r="EC639" s="187">
        <f t="shared" si="2721"/>
        <v>0.14364142616553302</v>
      </c>
      <c r="ED639" s="8">
        <f t="shared" si="2721"/>
        <v>7.2165636072881581E-2</v>
      </c>
      <c r="EE639" s="8">
        <f t="shared" si="2721"/>
        <v>7.2396566108314811E-2</v>
      </c>
      <c r="EF639" s="187">
        <f t="shared" si="2721"/>
        <v>0.14456220218119639</v>
      </c>
      <c r="EG639" s="8">
        <f t="shared" ref="EG639:EL639" si="2722">EG591*EG615</f>
        <v>7.2628235119861426E-2</v>
      </c>
      <c r="EH639" s="8">
        <f t="shared" si="2722"/>
        <v>7.2860645472244995E-2</v>
      </c>
      <c r="EI639" s="187">
        <f t="shared" si="2722"/>
        <v>0.14548888059210643</v>
      </c>
      <c r="EJ639" s="8">
        <f t="shared" si="2722"/>
        <v>7.3093799537756174E-2</v>
      </c>
      <c r="EK639" s="8">
        <f t="shared" si="2722"/>
        <v>7.3327699696277004E-2</v>
      </c>
      <c r="EL639" s="187">
        <f t="shared" si="2722"/>
        <v>0.14642149923403319</v>
      </c>
      <c r="EM639" s="8">
        <f t="shared" ref="EM639:ER639" si="2723">EM591*EM615</f>
        <v>7.3562348335305089E-2</v>
      </c>
      <c r="EN639" s="8">
        <f t="shared" si="2723"/>
        <v>7.3797747849978071E-2</v>
      </c>
      <c r="EO639" s="187">
        <f t="shared" si="2723"/>
        <v>0.14736009618528315</v>
      </c>
      <c r="EP639" s="8">
        <f t="shared" si="2723"/>
        <v>7.4033900643098019E-2</v>
      </c>
      <c r="EQ639" s="8">
        <f t="shared" si="2723"/>
        <v>7.4270809125155934E-2</v>
      </c>
      <c r="ER639" s="187">
        <f t="shared" si="2723"/>
        <v>0.14830470976825397</v>
      </c>
      <c r="ES639" s="8">
        <f t="shared" ref="ES639:EX639" si="2724">ES591*ES615</f>
        <v>7.450847571435644E-2</v>
      </c>
      <c r="ET639" s="8">
        <f t="shared" si="2724"/>
        <v>7.4746902836642384E-2</v>
      </c>
      <c r="EU639" s="187">
        <f t="shared" si="2724"/>
        <v>0.14925537855099882</v>
      </c>
      <c r="EV639" s="8">
        <f t="shared" si="2724"/>
        <v>7.498609292571963E-2</v>
      </c>
      <c r="EW639" s="8">
        <f t="shared" si="2724"/>
        <v>7.5226048423081934E-2</v>
      </c>
      <c r="EX639" s="187">
        <f t="shared" si="2724"/>
        <v>0.15021214134880156</v>
      </c>
      <c r="EY639" s="8">
        <f t="shared" ref="EY639:FA639" si="2725">EY591*EY615</f>
        <v>7.5466771778035804E-2</v>
      </c>
      <c r="EZ639" s="8">
        <f t="shared" si="2725"/>
        <v>7.5708265447725534E-2</v>
      </c>
      <c r="FA639" s="187">
        <f t="shared" si="2725"/>
        <v>0.15117503722576134</v>
      </c>
      <c r="FH639" s="35"/>
      <c r="FI639" s="35"/>
      <c r="FJ639" s="35"/>
      <c r="FK639" s="35"/>
      <c r="FL639" s="35"/>
      <c r="FM639" s="35"/>
      <c r="FN639" s="35"/>
      <c r="FO639" s="35"/>
      <c r="FP639" s="35"/>
      <c r="FQ639" s="35"/>
    </row>
    <row r="640" spans="1:173" s="321" customFormat="1" ht="13.5" hidden="1" outlineLevel="1" thickBot="1">
      <c r="A640" s="1437"/>
      <c r="B640" s="967"/>
      <c r="C640" s="967" t="s">
        <v>327</v>
      </c>
      <c r="D640" s="969"/>
      <c r="E640" s="18"/>
      <c r="F640" s="18"/>
      <c r="G640" s="19"/>
      <c r="H640" s="18"/>
      <c r="I640" s="18"/>
      <c r="J640" s="19"/>
      <c r="K640" s="18"/>
      <c r="L640" s="18"/>
      <c r="M640" s="19"/>
      <c r="N640" s="18"/>
      <c r="O640" s="18"/>
      <c r="P640" s="19"/>
      <c r="Q640" s="18"/>
      <c r="R640" s="18"/>
      <c r="S640" s="19"/>
      <c r="T640" s="18"/>
      <c r="U640" s="18"/>
      <c r="V640" s="19"/>
      <c r="W640" s="18"/>
      <c r="X640" s="18"/>
      <c r="Y640" s="19"/>
      <c r="Z640" s="18"/>
      <c r="AA640" s="18"/>
      <c r="AB640" s="19"/>
      <c r="AC640" s="18"/>
      <c r="AD640" s="18"/>
      <c r="AE640" s="19"/>
      <c r="AF640" s="18"/>
      <c r="AG640" s="18"/>
      <c r="AH640" s="19"/>
      <c r="AI640" s="18"/>
      <c r="AJ640" s="18"/>
      <c r="AK640" s="19"/>
      <c r="AL640" s="18"/>
      <c r="AM640" s="18"/>
      <c r="AN640" s="19"/>
      <c r="AO640" s="18"/>
      <c r="AP640" s="18"/>
      <c r="AQ640" s="19"/>
      <c r="AR640" s="18"/>
      <c r="AS640" s="18"/>
      <c r="AT640" s="19"/>
      <c r="AU640" s="18"/>
      <c r="AV640" s="18"/>
      <c r="AW640" s="19"/>
      <c r="AX640" s="210">
        <f t="shared" ref="AX640:CC640" si="2726">AX592*AX616</f>
        <v>6.7354523510253755E-2</v>
      </c>
      <c r="AY640" s="210">
        <f t="shared" si="2726"/>
        <v>6.7735195446158483E-2</v>
      </c>
      <c r="AZ640" s="210">
        <f t="shared" si="2726"/>
        <v>0.13508971895641222</v>
      </c>
      <c r="BA640" s="12">
        <f t="shared" si="2726"/>
        <v>6.8118303390751658E-2</v>
      </c>
      <c r="BB640" s="12">
        <f t="shared" si="2726"/>
        <v>6.8503862800086843E-2</v>
      </c>
      <c r="BC640" s="981">
        <f t="shared" si="2726"/>
        <v>0.13662216619083847</v>
      </c>
      <c r="BD640" s="12">
        <f t="shared" si="2726"/>
        <v>6.889188922886004E-2</v>
      </c>
      <c r="BE640" s="12">
        <f t="shared" si="2726"/>
        <v>6.928239833104001E-2</v>
      </c>
      <c r="BF640" s="981">
        <f t="shared" si="2726"/>
        <v>0.13817428755990002</v>
      </c>
      <c r="BG640" s="12">
        <f t="shared" si="2726"/>
        <v>6.9675405860502901E-2</v>
      </c>
      <c r="BH640" s="12">
        <f t="shared" si="2726"/>
        <v>7.0070927671670474E-2</v>
      </c>
      <c r="BI640" s="981">
        <f t="shared" si="2726"/>
        <v>0.13974633353217339</v>
      </c>
      <c r="BJ640" s="145">
        <f t="shared" si="2726"/>
        <v>7.0468979720152841E-2</v>
      </c>
      <c r="BK640" s="145">
        <f t="shared" si="2726"/>
        <v>7.0869578063395042E-2</v>
      </c>
      <c r="BL640" s="146">
        <f t="shared" si="2726"/>
        <v>0.1413385577835479</v>
      </c>
      <c r="BM640" s="145">
        <f t="shared" si="2726"/>
        <v>7.1071158462361506E-2</v>
      </c>
      <c r="BN640" s="145">
        <f t="shared" si="2726"/>
        <v>7.1273383540768523E-2</v>
      </c>
      <c r="BO640" s="146">
        <f t="shared" si="2726"/>
        <v>0.14234454200313001</v>
      </c>
      <c r="BP640" s="145">
        <f t="shared" si="2726"/>
        <v>7.147625534447502E-2</v>
      </c>
      <c r="BQ640" s="145">
        <f t="shared" si="2726"/>
        <v>7.167977592586891E-2</v>
      </c>
      <c r="BR640" s="146">
        <f t="shared" si="2726"/>
        <v>0.14315603127034393</v>
      </c>
      <c r="BS640" s="12">
        <f t="shared" si="2726"/>
        <v>7.1883947343887894E-2</v>
      </c>
      <c r="BT640" s="12">
        <f t="shared" si="2726"/>
        <v>7.208877166404043E-2</v>
      </c>
      <c r="BU640" s="210">
        <f t="shared" si="2726"/>
        <v>0.14397271900792832</v>
      </c>
      <c r="BV640" s="12">
        <f t="shared" si="2726"/>
        <v>7.2294250958426703E-2</v>
      </c>
      <c r="BW640" s="12">
        <f t="shared" si="2726"/>
        <v>7.2500387305759723E-2</v>
      </c>
      <c r="BX640" s="210">
        <f t="shared" si="2726"/>
        <v>0.14479463826418643</v>
      </c>
      <c r="BY640" s="12">
        <f t="shared" si="2726"/>
        <v>7.2707182791386438E-2</v>
      </c>
      <c r="BZ640" s="12">
        <f t="shared" si="2726"/>
        <v>7.291463950730892E-2</v>
      </c>
      <c r="CA640" s="210">
        <f t="shared" si="2726"/>
        <v>0.14562182229869536</v>
      </c>
      <c r="CB640" s="12">
        <f t="shared" si="2726"/>
        <v>7.3122759552205679E-2</v>
      </c>
      <c r="CC640" s="12">
        <f t="shared" si="2726"/>
        <v>7.3331545031452922E-2</v>
      </c>
      <c r="CD640" s="210">
        <f t="shared" ref="CD640:DI640" si="2727">CD592*CD616</f>
        <v>0.1464543045836586</v>
      </c>
      <c r="CE640" s="12">
        <f t="shared" si="2727"/>
        <v>7.354099805714602E-2</v>
      </c>
      <c r="CF640" s="12">
        <f t="shared" si="2727"/>
        <v>7.3751120748120957E-2</v>
      </c>
      <c r="CG640" s="210">
        <f t="shared" si="2727"/>
        <v>0.14729211880526696</v>
      </c>
      <c r="CH640" s="12">
        <f t="shared" si="2727"/>
        <v>7.3961915229975889E-2</v>
      </c>
      <c r="CI640" s="12">
        <f t="shared" si="2727"/>
        <v>7.4173383635092682E-2</v>
      </c>
      <c r="CJ640" s="210">
        <f t="shared" si="2727"/>
        <v>0.14813529886506857</v>
      </c>
      <c r="CK640" s="12">
        <f t="shared" si="2727"/>
        <v>7.438552810265868E-2</v>
      </c>
      <c r="CL640" s="12">
        <f t="shared" si="2727"/>
        <v>7.4598350778688441E-2</v>
      </c>
      <c r="CM640" s="210">
        <f t="shared" si="2727"/>
        <v>0.14898387888134712</v>
      </c>
      <c r="CN640" s="12">
        <f t="shared" si="2727"/>
        <v>7.4811853816045451E-2</v>
      </c>
      <c r="CO640" s="12">
        <f t="shared" si="2727"/>
        <v>7.5026039374464171E-2</v>
      </c>
      <c r="CP640" s="210">
        <f t="shared" si="2727"/>
        <v>0.14983789319050961</v>
      </c>
      <c r="CQ640" s="12">
        <f t="shared" si="2727"/>
        <v>7.5240909620571825E-2</v>
      </c>
      <c r="CR640" s="12">
        <f t="shared" si="2727"/>
        <v>7.5456466727910579E-2</v>
      </c>
      <c r="CS640" s="210">
        <f t="shared" si="2727"/>
        <v>0.1506973763484824</v>
      </c>
      <c r="CT640" s="12">
        <f t="shared" si="2727"/>
        <v>7.5672712876959536E-2</v>
      </c>
      <c r="CU640" s="12">
        <f t="shared" si="2727"/>
        <v>7.588965025515694E-2</v>
      </c>
      <c r="CV640" s="210">
        <f t="shared" si="2727"/>
        <v>0.15156236313211649</v>
      </c>
      <c r="CW640" s="12">
        <f t="shared" si="2727"/>
        <v>7.6107281056922466E-2</v>
      </c>
      <c r="CX640" s="12">
        <f t="shared" si="2727"/>
        <v>7.6325607483679378E-2</v>
      </c>
      <c r="CY640" s="210">
        <f t="shared" si="2727"/>
        <v>0.15243288854060183</v>
      </c>
      <c r="CZ640" s="12">
        <f t="shared" si="2727"/>
        <v>7.6544631743877087E-2</v>
      </c>
      <c r="DA640" s="12">
        <f t="shared" si="2727"/>
        <v>7.6764356053013502E-2</v>
      </c>
      <c r="DB640" s="210">
        <f t="shared" si="2727"/>
        <v>0.15330898779689059</v>
      </c>
      <c r="DC640" s="12">
        <f t="shared" si="2727"/>
        <v>7.6984782633657572E-2</v>
      </c>
      <c r="DD640" s="12">
        <f t="shared" si="2727"/>
        <v>7.7205913715471877E-2</v>
      </c>
      <c r="DE640" s="210">
        <f t="shared" si="2727"/>
        <v>0.15419069634912944</v>
      </c>
      <c r="DF640" s="12">
        <f t="shared" si="2727"/>
        <v>7.7427751535235359E-2</v>
      </c>
      <c r="DG640" s="12">
        <f t="shared" si="2727"/>
        <v>7.7650298336865972E-2</v>
      </c>
      <c r="DH640" s="210">
        <f t="shared" si="2727"/>
        <v>0.15507804987210136</v>
      </c>
      <c r="DI640" s="12">
        <f t="shared" si="2727"/>
        <v>7.7873556371443553E-2</v>
      </c>
      <c r="DJ640" s="12">
        <f t="shared" ref="DJ640:EF640" si="2728">DJ592*DJ616</f>
        <v>7.8097527897232663E-2</v>
      </c>
      <c r="DK640" s="210">
        <f t="shared" si="2728"/>
        <v>0.1559710842686762</v>
      </c>
      <c r="DL640" s="12">
        <f t="shared" si="2728"/>
        <v>7.832221517970564E-2</v>
      </c>
      <c r="DM640" s="12">
        <f t="shared" si="2728"/>
        <v>7.8547620491565509E-2</v>
      </c>
      <c r="DN640" s="210">
        <f t="shared" si="2728"/>
        <v>0.15686983567127116</v>
      </c>
      <c r="DO640" s="12">
        <f t="shared" si="2728"/>
        <v>7.8773746112769175E-2</v>
      </c>
      <c r="DP640" s="12">
        <f t="shared" si="2728"/>
        <v>7.9000594330550622E-2</v>
      </c>
      <c r="DQ640" s="210">
        <f t="shared" si="2728"/>
        <v>0.15777434044331981</v>
      </c>
      <c r="DR640" s="12">
        <f t="shared" si="2728"/>
        <v>7.9228167439444053E-2</v>
      </c>
      <c r="DS640" s="12">
        <f t="shared" si="2728"/>
        <v>7.9456467741307324E-2</v>
      </c>
      <c r="DT640" s="210">
        <f t="shared" si="2728"/>
        <v>0.15868463518075138</v>
      </c>
      <c r="DU640" s="12">
        <f t="shared" si="2728"/>
        <v>7.968549754534536E-2</v>
      </c>
      <c r="DV640" s="12">
        <f t="shared" si="2728"/>
        <v>7.9915259168133537E-2</v>
      </c>
      <c r="DW640" s="210">
        <f t="shared" si="2728"/>
        <v>0.1596007567134789</v>
      </c>
      <c r="DX640" s="12">
        <f t="shared" si="2728"/>
        <v>8.0145754933641303E-2</v>
      </c>
      <c r="DY640" s="12">
        <f t="shared" si="2728"/>
        <v>8.0376987173255809E-2</v>
      </c>
      <c r="DZ640" s="210">
        <f t="shared" si="2728"/>
        <v>0.1605227421068971</v>
      </c>
      <c r="EA640" s="12">
        <f t="shared" si="2728"/>
        <v>8.0608958225805591E-2</v>
      </c>
      <c r="EB640" s="12">
        <f t="shared" si="2728"/>
        <v>8.0841670437584404E-2</v>
      </c>
      <c r="EC640" s="210">
        <f t="shared" si="2728"/>
        <v>0.16145062866338999</v>
      </c>
      <c r="ED640" s="12">
        <f t="shared" si="2728"/>
        <v>8.1075126162374972E-2</v>
      </c>
      <c r="EE640" s="12">
        <f t="shared" si="2728"/>
        <v>8.1309327761473038E-2</v>
      </c>
      <c r="EF640" s="210">
        <f t="shared" si="2728"/>
        <v>0.16238445392384801</v>
      </c>
      <c r="EG640" s="12">
        <f t="shared" ref="EG640:EL640" si="2729">EG592*EG616</f>
        <v>8.1544277603711288E-2</v>
      </c>
      <c r="EH640" s="12">
        <f t="shared" si="2729"/>
        <v>8.1779978065483497E-2</v>
      </c>
      <c r="EI640" s="210">
        <f t="shared" si="2729"/>
        <v>0.16332425566919478</v>
      </c>
      <c r="EJ640" s="12">
        <f t="shared" si="2729"/>
        <v>8.2016431530768652E-2</v>
      </c>
      <c r="EK640" s="12">
        <f t="shared" si="2729"/>
        <v>8.2253640391155222E-2</v>
      </c>
      <c r="EL640" s="210">
        <f t="shared" si="2729"/>
        <v>0.16427007192192386</v>
      </c>
      <c r="EM640" s="12">
        <f t="shared" ref="EM640:ER640" si="2730">EM592*EM616</f>
        <v>8.2491607045865431E-2</v>
      </c>
      <c r="EN640" s="12">
        <f t="shared" si="2730"/>
        <v>8.2730333901779765E-2</v>
      </c>
      <c r="EO640" s="210">
        <f t="shared" si="2730"/>
        <v>0.1652219409476452</v>
      </c>
      <c r="EP640" s="12">
        <f t="shared" si="2730"/>
        <v>8.2969823373461302E-2</v>
      </c>
      <c r="EQ640" s="12">
        <f t="shared" si="2730"/>
        <v>8.3210077883180328E-2</v>
      </c>
      <c r="ER640" s="210">
        <f t="shared" si="2730"/>
        <v>0.16617990125664164</v>
      </c>
      <c r="ES640" s="12">
        <f t="shared" ref="ES640:EX640" si="2731">ES592*ES616</f>
        <v>8.3451099860939001E-2</v>
      </c>
      <c r="ET640" s="12">
        <f t="shared" si="2731"/>
        <v>8.369289174449604E-2</v>
      </c>
      <c r="EU640" s="210">
        <f t="shared" si="2731"/>
        <v>0.16714399160543505</v>
      </c>
      <c r="EV640" s="12">
        <f t="shared" si="2731"/>
        <v>8.3935455979391463E-2</v>
      </c>
      <c r="EW640" s="12">
        <f t="shared" si="2731"/>
        <v>8.417879501897152E-2</v>
      </c>
      <c r="EX640" s="210">
        <f t="shared" si="2731"/>
        <v>0.16811425099836297</v>
      </c>
      <c r="EY640" s="12">
        <f t="shared" ref="EY640:FA640" si="2732">EY592*EY616</f>
        <v>8.4422911324413652E-2</v>
      </c>
      <c r="EZ640" s="12">
        <f t="shared" si="2732"/>
        <v>8.4667807364751449E-2</v>
      </c>
      <c r="FA640" s="210">
        <f t="shared" si="2732"/>
        <v>0.16909071868916509</v>
      </c>
      <c r="FH640" s="35"/>
      <c r="FI640" s="35"/>
      <c r="FJ640" s="35"/>
      <c r="FK640" s="35"/>
      <c r="FL640" s="35"/>
      <c r="FM640" s="35"/>
      <c r="FN640" s="35"/>
      <c r="FO640" s="35"/>
      <c r="FP640" s="35"/>
      <c r="FQ640" s="35"/>
    </row>
    <row r="641" spans="1:173" s="321" customFormat="1" hidden="1" outlineLevel="1">
      <c r="A641" s="1168"/>
      <c r="B641" s="68" t="s">
        <v>494</v>
      </c>
      <c r="C641" s="186"/>
      <c r="D641" s="910"/>
      <c r="E641" s="1"/>
      <c r="F641" s="1"/>
      <c r="G641" s="5"/>
      <c r="H641" s="1"/>
      <c r="I641" s="1"/>
      <c r="J641" s="5"/>
      <c r="K641" s="1"/>
      <c r="L641" s="1"/>
      <c r="M641" s="5"/>
      <c r="N641" s="1"/>
      <c r="O641" s="1"/>
      <c r="P641" s="5"/>
      <c r="Q641" s="1"/>
      <c r="R641" s="1"/>
      <c r="S641" s="5"/>
      <c r="T641" s="1"/>
      <c r="U641" s="1"/>
      <c r="V641" s="5"/>
      <c r="W641" s="1"/>
      <c r="X641" s="1"/>
      <c r="Y641" s="5"/>
      <c r="Z641" s="1"/>
      <c r="AA641" s="1"/>
      <c r="AB641" s="5"/>
      <c r="AC641" s="1"/>
      <c r="AD641" s="1"/>
      <c r="AE641" s="5"/>
      <c r="AF641" s="1"/>
      <c r="AG641" s="1"/>
      <c r="AH641" s="5"/>
      <c r="AI641" s="1"/>
      <c r="AJ641" s="1"/>
      <c r="AK641" s="5"/>
      <c r="AL641" s="1"/>
      <c r="AM641" s="1"/>
      <c r="AN641" s="5"/>
      <c r="AO641" s="1"/>
      <c r="AP641" s="1"/>
      <c r="AQ641" s="5"/>
      <c r="AR641" s="1"/>
      <c r="AS641" s="1"/>
      <c r="AT641" s="5"/>
      <c r="AU641" s="1"/>
      <c r="AV641" s="1"/>
      <c r="AW641" s="5"/>
      <c r="AX641" s="3"/>
      <c r="AY641" s="3"/>
      <c r="AZ641" s="2"/>
      <c r="BA641" s="3"/>
      <c r="BB641" s="3"/>
      <c r="BC641" s="973"/>
      <c r="BD641" s="3"/>
      <c r="BE641" s="3"/>
      <c r="BF641" s="973"/>
      <c r="BG641" s="3"/>
      <c r="BH641" s="3"/>
      <c r="BI641" s="978"/>
      <c r="BJ641" s="115"/>
      <c r="BK641" s="115"/>
      <c r="BL641" s="116"/>
      <c r="BM641" s="115"/>
      <c r="BN641" s="115"/>
      <c r="BO641" s="116"/>
      <c r="BP641" s="115"/>
      <c r="BQ641" s="115"/>
      <c r="BR641" s="116"/>
      <c r="BS641" s="8"/>
      <c r="BT641" s="8"/>
      <c r="BU641" s="187"/>
      <c r="BV641" s="8"/>
      <c r="BW641" s="8"/>
      <c r="BX641" s="187"/>
      <c r="BY641" s="8"/>
      <c r="BZ641" s="8"/>
      <c r="CA641" s="187"/>
      <c r="CB641" s="8"/>
      <c r="CC641" s="8"/>
      <c r="CD641" s="187"/>
      <c r="CE641" s="8"/>
      <c r="CF641" s="8"/>
      <c r="CG641" s="187"/>
      <c r="CH641" s="8"/>
      <c r="CI641" s="8"/>
      <c r="CJ641" s="187"/>
      <c r="CK641" s="8"/>
      <c r="CL641" s="8"/>
      <c r="CM641" s="187"/>
      <c r="CN641" s="8"/>
      <c r="CO641" s="8"/>
      <c r="CP641" s="187"/>
      <c r="CQ641" s="8"/>
      <c r="CR641" s="8"/>
      <c r="CS641" s="187"/>
      <c r="CT641" s="8"/>
      <c r="CU641" s="8"/>
      <c r="CV641" s="187"/>
      <c r="CW641" s="8"/>
      <c r="CX641" s="8"/>
      <c r="CY641" s="187"/>
      <c r="CZ641" s="8"/>
      <c r="DA641" s="8"/>
      <c r="DB641" s="187"/>
      <c r="DC641" s="8"/>
      <c r="DD641" s="8"/>
      <c r="DE641" s="187"/>
      <c r="DF641" s="8"/>
      <c r="DG641" s="8"/>
      <c r="DH641" s="187"/>
      <c r="DI641" s="8"/>
      <c r="DJ641" s="8"/>
      <c r="DK641" s="187"/>
      <c r="DL641" s="8"/>
      <c r="DM641" s="8"/>
      <c r="DN641" s="187"/>
      <c r="DO641" s="8"/>
      <c r="DP641" s="8"/>
      <c r="DQ641" s="187"/>
      <c r="DR641" s="8"/>
      <c r="DS641" s="8"/>
      <c r="DT641" s="187"/>
      <c r="DU641" s="8"/>
      <c r="DV641" s="8"/>
      <c r="DW641" s="187"/>
      <c r="DX641" s="8"/>
      <c r="DY641" s="8"/>
      <c r="DZ641" s="187"/>
      <c r="EA641" s="8"/>
      <c r="EB641" s="8"/>
      <c r="EC641" s="187"/>
      <c r="ED641" s="8"/>
      <c r="EE641" s="8"/>
      <c r="EF641" s="187"/>
      <c r="EG641" s="8"/>
      <c r="EH641" s="8"/>
      <c r="EI641" s="187"/>
      <c r="EJ641" s="8"/>
      <c r="EK641" s="8"/>
      <c r="EL641" s="187"/>
      <c r="EM641" s="8"/>
      <c r="EN641" s="8"/>
      <c r="EO641" s="187"/>
      <c r="EP641" s="8"/>
      <c r="EQ641" s="8"/>
      <c r="ER641" s="187"/>
      <c r="ES641" s="8"/>
      <c r="ET641" s="8"/>
      <c r="EU641" s="187"/>
      <c r="EV641" s="8"/>
      <c r="EW641" s="8"/>
      <c r="EX641" s="187"/>
      <c r="EY641" s="8"/>
      <c r="EZ641" s="8"/>
      <c r="FA641" s="187"/>
      <c r="FH641" s="35"/>
      <c r="FI641" s="35"/>
      <c r="FJ641" s="35"/>
      <c r="FK641" s="35"/>
      <c r="FL641" s="35"/>
      <c r="FM641" s="35"/>
      <c r="FN641" s="35"/>
      <c r="FO641" s="35"/>
      <c r="FP641" s="35"/>
      <c r="FQ641" s="35"/>
    </row>
    <row r="642" spans="1:173" s="321" customFormat="1" hidden="1" outlineLevel="1">
      <c r="A642" s="1168"/>
      <c r="B642" s="186"/>
      <c r="C642" s="331" t="s">
        <v>324</v>
      </c>
      <c r="D642" s="910"/>
      <c r="E642" s="1"/>
      <c r="F642" s="1"/>
      <c r="G642" s="5"/>
      <c r="H642" s="1"/>
      <c r="I642" s="1"/>
      <c r="J642" s="5"/>
      <c r="K642" s="1"/>
      <c r="L642" s="1"/>
      <c r="M642" s="5"/>
      <c r="N642" s="1"/>
      <c r="O642" s="1"/>
      <c r="P642" s="5"/>
      <c r="Q642" s="1"/>
      <c r="R642" s="1"/>
      <c r="S642" s="5"/>
      <c r="T642" s="1"/>
      <c r="U642" s="1"/>
      <c r="V642" s="5"/>
      <c r="W642" s="1"/>
      <c r="X642" s="1"/>
      <c r="Y642" s="5"/>
      <c r="Z642" s="1"/>
      <c r="AA642" s="1"/>
      <c r="AB642" s="5"/>
      <c r="AC642" s="1"/>
      <c r="AD642" s="1"/>
      <c r="AE642" s="5"/>
      <c r="AF642" s="1"/>
      <c r="AG642" s="1"/>
      <c r="AH642" s="5"/>
      <c r="AI642" s="1"/>
      <c r="AJ642" s="1"/>
      <c r="AK642" s="5"/>
      <c r="AL642" s="1"/>
      <c r="AM642" s="1"/>
      <c r="AN642" s="5"/>
      <c r="AO642" s="1"/>
      <c r="AP642" s="1"/>
      <c r="AQ642" s="5"/>
      <c r="AR642" s="1"/>
      <c r="AS642" s="1"/>
      <c r="AT642" s="5"/>
      <c r="AU642" s="1"/>
      <c r="AV642" s="1"/>
      <c r="AW642" s="5"/>
      <c r="AX642" s="3"/>
      <c r="AY642" s="3"/>
      <c r="AZ642" s="2"/>
      <c r="BA642" s="3"/>
      <c r="BB642" s="3"/>
      <c r="BC642" s="973"/>
      <c r="BD642" s="3"/>
      <c r="BE642" s="3"/>
      <c r="BF642" s="973"/>
      <c r="BG642" s="3"/>
      <c r="BH642" s="3"/>
      <c r="BI642" s="978"/>
      <c r="BJ642" s="115"/>
      <c r="BK642" s="115"/>
      <c r="BL642" s="116"/>
      <c r="BM642" s="115"/>
      <c r="BN642" s="115"/>
      <c r="BO642" s="116"/>
      <c r="BP642" s="115"/>
      <c r="BQ642" s="115"/>
      <c r="BR642" s="116"/>
      <c r="BS642" s="8"/>
      <c r="BT642" s="8"/>
      <c r="BU642" s="187"/>
      <c r="BV642" s="8"/>
      <c r="BW642" s="8"/>
      <c r="BX642" s="187"/>
      <c r="BY642" s="8"/>
      <c r="BZ642" s="8"/>
      <c r="CA642" s="187"/>
      <c r="CB642" s="8"/>
      <c r="CC642" s="8"/>
      <c r="CD642" s="187"/>
      <c r="CE642" s="8"/>
      <c r="CF642" s="8"/>
      <c r="CG642" s="187"/>
      <c r="CH642" s="8"/>
      <c r="CI642" s="8"/>
      <c r="CJ642" s="187"/>
      <c r="CK642" s="8"/>
      <c r="CL642" s="8"/>
      <c r="CM642" s="187"/>
      <c r="CN642" s="8"/>
      <c r="CO642" s="8"/>
      <c r="CP642" s="187"/>
      <c r="CQ642" s="8"/>
      <c r="CR642" s="8"/>
      <c r="CS642" s="187"/>
      <c r="CT642" s="8"/>
      <c r="CU642" s="8"/>
      <c r="CV642" s="187"/>
      <c r="CW642" s="8"/>
      <c r="CX642" s="8"/>
      <c r="CY642" s="187"/>
      <c r="CZ642" s="8"/>
      <c r="DA642" s="8"/>
      <c r="DB642" s="187"/>
      <c r="DC642" s="8"/>
      <c r="DD642" s="8"/>
      <c r="DE642" s="187"/>
      <c r="DF642" s="8"/>
      <c r="DG642" s="8"/>
      <c r="DH642" s="187"/>
      <c r="DI642" s="8"/>
      <c r="DJ642" s="8"/>
      <c r="DK642" s="187"/>
      <c r="DL642" s="8"/>
      <c r="DM642" s="8"/>
      <c r="DN642" s="187"/>
      <c r="DO642" s="8"/>
      <c r="DP642" s="8"/>
      <c r="DQ642" s="187"/>
      <c r="DR642" s="8"/>
      <c r="DS642" s="8"/>
      <c r="DT642" s="187"/>
      <c r="DU642" s="8"/>
      <c r="DV642" s="8"/>
      <c r="DW642" s="187"/>
      <c r="DX642" s="8"/>
      <c r="DY642" s="8"/>
      <c r="DZ642" s="187"/>
      <c r="EA642" s="8"/>
      <c r="EB642" s="8"/>
      <c r="EC642" s="187"/>
      <c r="ED642" s="8"/>
      <c r="EE642" s="8"/>
      <c r="EF642" s="187"/>
      <c r="EG642" s="8"/>
      <c r="EH642" s="8"/>
      <c r="EI642" s="187"/>
      <c r="EJ642" s="8"/>
      <c r="EK642" s="8"/>
      <c r="EL642" s="187"/>
      <c r="EM642" s="8"/>
      <c r="EN642" s="8"/>
      <c r="EO642" s="187"/>
      <c r="EP642" s="8"/>
      <c r="EQ642" s="8"/>
      <c r="ER642" s="187"/>
      <c r="ES642" s="8"/>
      <c r="ET642" s="8"/>
      <c r="EU642" s="187"/>
      <c r="EV642" s="8"/>
      <c r="EW642" s="8"/>
      <c r="EX642" s="187"/>
      <c r="EY642" s="8"/>
      <c r="EZ642" s="8"/>
      <c r="FA642" s="187"/>
      <c r="FH642" s="35"/>
      <c r="FI642" s="35"/>
      <c r="FJ642" s="35"/>
      <c r="FK642" s="35"/>
      <c r="FL642" s="35"/>
      <c r="FM642" s="35"/>
      <c r="FN642" s="35"/>
      <c r="FO642" s="35"/>
      <c r="FP642" s="35"/>
      <c r="FQ642" s="35"/>
    </row>
    <row r="643" spans="1:173" s="321" customFormat="1" hidden="1" outlineLevel="1">
      <c r="A643" s="1168"/>
      <c r="B643" s="186"/>
      <c r="C643" s="186" t="s">
        <v>316</v>
      </c>
      <c r="D643" s="910"/>
      <c r="E643" s="1"/>
      <c r="F643" s="1"/>
      <c r="G643" s="5"/>
      <c r="H643" s="1"/>
      <c r="I643" s="1"/>
      <c r="J643" s="5"/>
      <c r="K643" s="1"/>
      <c r="L643" s="1"/>
      <c r="M643" s="5"/>
      <c r="N643" s="1"/>
      <c r="O643" s="1"/>
      <c r="P643" s="5"/>
      <c r="Q643" s="1"/>
      <c r="R643" s="1"/>
      <c r="S643" s="5"/>
      <c r="T643" s="1"/>
      <c r="U643" s="1"/>
      <c r="V643" s="5"/>
      <c r="W643" s="1"/>
      <c r="X643" s="1"/>
      <c r="Y643" s="5"/>
      <c r="Z643" s="1"/>
      <c r="AA643" s="1"/>
      <c r="AB643" s="5"/>
      <c r="AC643" s="1"/>
      <c r="AD643" s="1"/>
      <c r="AE643" s="5"/>
      <c r="AF643" s="1"/>
      <c r="AG643" s="1"/>
      <c r="AH643" s="5"/>
      <c r="AI643" s="1"/>
      <c r="AJ643" s="1"/>
      <c r="AK643" s="5"/>
      <c r="AL643" s="1"/>
      <c r="AM643" s="1"/>
      <c r="AN643" s="5"/>
      <c r="AO643" s="1"/>
      <c r="AP643" s="1"/>
      <c r="AQ643" s="5"/>
      <c r="AR643" s="1"/>
      <c r="AS643" s="1"/>
      <c r="AT643" s="5"/>
      <c r="AU643" s="1"/>
      <c r="AV643" s="1"/>
      <c r="AW643" s="5"/>
      <c r="AX643" s="194">
        <v>0.92</v>
      </c>
      <c r="AY643" s="194">
        <f t="shared" ref="AY643:CD643" si="2733">AX643</f>
        <v>0.92</v>
      </c>
      <c r="AZ643" s="194">
        <f t="shared" si="2733"/>
        <v>0.92</v>
      </c>
      <c r="BA643" s="29">
        <f t="shared" si="2733"/>
        <v>0.92</v>
      </c>
      <c r="BB643" s="29">
        <f t="shared" si="2733"/>
        <v>0.92</v>
      </c>
      <c r="BC643" s="982">
        <f t="shared" si="2733"/>
        <v>0.92</v>
      </c>
      <c r="BD643" s="29">
        <f t="shared" si="2733"/>
        <v>0.92</v>
      </c>
      <c r="BE643" s="29">
        <f t="shared" si="2733"/>
        <v>0.92</v>
      </c>
      <c r="BF643" s="982">
        <f t="shared" si="2733"/>
        <v>0.92</v>
      </c>
      <c r="BG643" s="29">
        <f t="shared" si="2733"/>
        <v>0.92</v>
      </c>
      <c r="BH643" s="29">
        <f t="shared" si="2733"/>
        <v>0.92</v>
      </c>
      <c r="BI643" s="982">
        <f t="shared" si="2733"/>
        <v>0.92</v>
      </c>
      <c r="BJ643" s="112">
        <f t="shared" si="2733"/>
        <v>0.92</v>
      </c>
      <c r="BK643" s="112">
        <f t="shared" si="2733"/>
        <v>0.92</v>
      </c>
      <c r="BL643" s="113">
        <f t="shared" si="2733"/>
        <v>0.92</v>
      </c>
      <c r="BM643" s="112">
        <f t="shared" si="2733"/>
        <v>0.92</v>
      </c>
      <c r="BN643" s="112">
        <f t="shared" si="2733"/>
        <v>0.92</v>
      </c>
      <c r="BO643" s="113">
        <f t="shared" si="2733"/>
        <v>0.92</v>
      </c>
      <c r="BP643" s="112">
        <f t="shared" si="2733"/>
        <v>0.92</v>
      </c>
      <c r="BQ643" s="112">
        <f t="shared" si="2733"/>
        <v>0.92</v>
      </c>
      <c r="BR643" s="113">
        <f t="shared" si="2733"/>
        <v>0.92</v>
      </c>
      <c r="BS643" s="29">
        <f t="shared" si="2733"/>
        <v>0.92</v>
      </c>
      <c r="BT643" s="29">
        <f t="shared" si="2733"/>
        <v>0.92</v>
      </c>
      <c r="BU643" s="194">
        <f t="shared" si="2733"/>
        <v>0.92</v>
      </c>
      <c r="BV643" s="29">
        <f t="shared" si="2733"/>
        <v>0.92</v>
      </c>
      <c r="BW643" s="29">
        <f t="shared" si="2733"/>
        <v>0.92</v>
      </c>
      <c r="BX643" s="194">
        <f t="shared" si="2733"/>
        <v>0.92</v>
      </c>
      <c r="BY643" s="29">
        <f t="shared" si="2733"/>
        <v>0.92</v>
      </c>
      <c r="BZ643" s="29">
        <f t="shared" si="2733"/>
        <v>0.92</v>
      </c>
      <c r="CA643" s="194">
        <f t="shared" si="2733"/>
        <v>0.92</v>
      </c>
      <c r="CB643" s="29">
        <f t="shared" si="2733"/>
        <v>0.92</v>
      </c>
      <c r="CC643" s="29">
        <f t="shared" si="2733"/>
        <v>0.92</v>
      </c>
      <c r="CD643" s="194">
        <f t="shared" si="2733"/>
        <v>0.92</v>
      </c>
      <c r="CE643" s="29">
        <f t="shared" ref="CE643:DJ643" si="2734">CD643</f>
        <v>0.92</v>
      </c>
      <c r="CF643" s="29">
        <f t="shared" si="2734"/>
        <v>0.92</v>
      </c>
      <c r="CG643" s="194">
        <f t="shared" si="2734"/>
        <v>0.92</v>
      </c>
      <c r="CH643" s="29">
        <f t="shared" si="2734"/>
        <v>0.92</v>
      </c>
      <c r="CI643" s="29">
        <f t="shared" si="2734"/>
        <v>0.92</v>
      </c>
      <c r="CJ643" s="194">
        <f t="shared" si="2734"/>
        <v>0.92</v>
      </c>
      <c r="CK643" s="29">
        <f t="shared" si="2734"/>
        <v>0.92</v>
      </c>
      <c r="CL643" s="29">
        <f t="shared" si="2734"/>
        <v>0.92</v>
      </c>
      <c r="CM643" s="194">
        <f t="shared" si="2734"/>
        <v>0.92</v>
      </c>
      <c r="CN643" s="29">
        <f t="shared" si="2734"/>
        <v>0.92</v>
      </c>
      <c r="CO643" s="29">
        <f t="shared" si="2734"/>
        <v>0.92</v>
      </c>
      <c r="CP643" s="194">
        <f t="shared" si="2734"/>
        <v>0.92</v>
      </c>
      <c r="CQ643" s="29">
        <f t="shared" si="2734"/>
        <v>0.92</v>
      </c>
      <c r="CR643" s="29">
        <f t="shared" si="2734"/>
        <v>0.92</v>
      </c>
      <c r="CS643" s="194">
        <f t="shared" si="2734"/>
        <v>0.92</v>
      </c>
      <c r="CT643" s="29">
        <f t="shared" si="2734"/>
        <v>0.92</v>
      </c>
      <c r="CU643" s="29">
        <f t="shared" si="2734"/>
        <v>0.92</v>
      </c>
      <c r="CV643" s="194">
        <f t="shared" si="2734"/>
        <v>0.92</v>
      </c>
      <c r="CW643" s="29">
        <f t="shared" si="2734"/>
        <v>0.92</v>
      </c>
      <c r="CX643" s="29">
        <f t="shared" si="2734"/>
        <v>0.92</v>
      </c>
      <c r="CY643" s="194">
        <f t="shared" si="2734"/>
        <v>0.92</v>
      </c>
      <c r="CZ643" s="29">
        <f t="shared" si="2734"/>
        <v>0.92</v>
      </c>
      <c r="DA643" s="29">
        <f t="shared" si="2734"/>
        <v>0.92</v>
      </c>
      <c r="DB643" s="194">
        <f t="shared" si="2734"/>
        <v>0.92</v>
      </c>
      <c r="DC643" s="29">
        <f t="shared" si="2734"/>
        <v>0.92</v>
      </c>
      <c r="DD643" s="29">
        <f t="shared" si="2734"/>
        <v>0.92</v>
      </c>
      <c r="DE643" s="194">
        <f t="shared" si="2734"/>
        <v>0.92</v>
      </c>
      <c r="DF643" s="29">
        <f t="shared" si="2734"/>
        <v>0.92</v>
      </c>
      <c r="DG643" s="29">
        <f t="shared" si="2734"/>
        <v>0.92</v>
      </c>
      <c r="DH643" s="194">
        <f t="shared" si="2734"/>
        <v>0.92</v>
      </c>
      <c r="DI643" s="29">
        <f t="shared" si="2734"/>
        <v>0.92</v>
      </c>
      <c r="DJ643" s="29">
        <f t="shared" si="2734"/>
        <v>0.92</v>
      </c>
      <c r="DK643" s="194">
        <f t="shared" ref="DK643:EF643" si="2735">DJ643</f>
        <v>0.92</v>
      </c>
      <c r="DL643" s="29">
        <f>DK643</f>
        <v>0.92</v>
      </c>
      <c r="DM643" s="29">
        <f t="shared" si="2735"/>
        <v>0.92</v>
      </c>
      <c r="DN643" s="194">
        <f t="shared" si="2735"/>
        <v>0.92</v>
      </c>
      <c r="DO643" s="29">
        <f t="shared" si="2735"/>
        <v>0.92</v>
      </c>
      <c r="DP643" s="29">
        <f t="shared" si="2735"/>
        <v>0.92</v>
      </c>
      <c r="DQ643" s="194">
        <f t="shared" si="2735"/>
        <v>0.92</v>
      </c>
      <c r="DR643" s="29">
        <f t="shared" si="2735"/>
        <v>0.92</v>
      </c>
      <c r="DS643" s="29">
        <f t="shared" si="2735"/>
        <v>0.92</v>
      </c>
      <c r="DT643" s="194">
        <f t="shared" si="2735"/>
        <v>0.92</v>
      </c>
      <c r="DU643" s="29">
        <f t="shared" si="2735"/>
        <v>0.92</v>
      </c>
      <c r="DV643" s="29">
        <f t="shared" si="2735"/>
        <v>0.92</v>
      </c>
      <c r="DW643" s="194">
        <f t="shared" si="2735"/>
        <v>0.92</v>
      </c>
      <c r="DX643" s="29">
        <f t="shared" si="2735"/>
        <v>0.92</v>
      </c>
      <c r="DY643" s="29">
        <f t="shared" si="2735"/>
        <v>0.92</v>
      </c>
      <c r="DZ643" s="194">
        <f t="shared" si="2735"/>
        <v>0.92</v>
      </c>
      <c r="EA643" s="29">
        <f t="shared" si="2735"/>
        <v>0.92</v>
      </c>
      <c r="EB643" s="29">
        <f t="shared" si="2735"/>
        <v>0.92</v>
      </c>
      <c r="EC643" s="194">
        <f t="shared" si="2735"/>
        <v>0.92</v>
      </c>
      <c r="ED643" s="29">
        <f t="shared" si="2735"/>
        <v>0.92</v>
      </c>
      <c r="EE643" s="29">
        <f t="shared" si="2735"/>
        <v>0.92</v>
      </c>
      <c r="EF643" s="194">
        <f t="shared" si="2735"/>
        <v>0.92</v>
      </c>
      <c r="EG643" s="29">
        <f t="shared" ref="EG643:EL646" si="2736">EF643</f>
        <v>0.92</v>
      </c>
      <c r="EH643" s="29">
        <f t="shared" si="2736"/>
        <v>0.92</v>
      </c>
      <c r="EI643" s="194">
        <f t="shared" si="2736"/>
        <v>0.92</v>
      </c>
      <c r="EJ643" s="29">
        <f t="shared" si="2736"/>
        <v>0.92</v>
      </c>
      <c r="EK643" s="29">
        <f t="shared" si="2736"/>
        <v>0.92</v>
      </c>
      <c r="EL643" s="194">
        <f t="shared" si="2736"/>
        <v>0.92</v>
      </c>
      <c r="EM643" s="29">
        <f t="shared" ref="EM643:ER646" si="2737">EL643</f>
        <v>0.92</v>
      </c>
      <c r="EN643" s="29">
        <f t="shared" si="2737"/>
        <v>0.92</v>
      </c>
      <c r="EO643" s="194">
        <f t="shared" si="2737"/>
        <v>0.92</v>
      </c>
      <c r="EP643" s="29">
        <f t="shared" si="2737"/>
        <v>0.92</v>
      </c>
      <c r="EQ643" s="29">
        <f t="shared" si="2737"/>
        <v>0.92</v>
      </c>
      <c r="ER643" s="194">
        <f t="shared" si="2737"/>
        <v>0.92</v>
      </c>
      <c r="ES643" s="29">
        <f t="shared" ref="ES643:ES646" si="2738">ER643</f>
        <v>0.92</v>
      </c>
      <c r="ET643" s="29">
        <f t="shared" ref="ET643:ET646" si="2739">ES643</f>
        <v>0.92</v>
      </c>
      <c r="EU643" s="194">
        <f t="shared" ref="EU643:EU646" si="2740">ET643</f>
        <v>0.92</v>
      </c>
      <c r="EV643" s="29">
        <f t="shared" ref="EV643:EV646" si="2741">EU643</f>
        <v>0.92</v>
      </c>
      <c r="EW643" s="29">
        <f t="shared" ref="EW643:EW646" si="2742">EV643</f>
        <v>0.92</v>
      </c>
      <c r="EX643" s="194">
        <f t="shared" ref="EX643:EX646" si="2743">EW643</f>
        <v>0.92</v>
      </c>
      <c r="EY643" s="29">
        <f t="shared" ref="EY643:EY646" si="2744">EX643</f>
        <v>0.92</v>
      </c>
      <c r="EZ643" s="29">
        <f t="shared" ref="EZ643:EZ646" si="2745">EY643</f>
        <v>0.92</v>
      </c>
      <c r="FA643" s="194">
        <f t="shared" ref="FA643:FA646" si="2746">EZ643</f>
        <v>0.92</v>
      </c>
      <c r="FH643" s="35"/>
      <c r="FI643" s="35"/>
      <c r="FJ643" s="35"/>
      <c r="FK643" s="35"/>
      <c r="FL643" s="35"/>
      <c r="FM643" s="35"/>
      <c r="FN643" s="35"/>
      <c r="FO643" s="35"/>
      <c r="FP643" s="35"/>
      <c r="FQ643" s="35"/>
    </row>
    <row r="644" spans="1:173" s="321" customFormat="1" hidden="1" outlineLevel="1">
      <c r="A644" s="1168"/>
      <c r="B644" s="186"/>
      <c r="C644" s="186" t="s">
        <v>317</v>
      </c>
      <c r="D644" s="910"/>
      <c r="E644" s="1"/>
      <c r="F644" s="1"/>
      <c r="G644" s="5"/>
      <c r="H644" s="1"/>
      <c r="I644" s="1"/>
      <c r="J644" s="5"/>
      <c r="K644" s="1"/>
      <c r="L644" s="1"/>
      <c r="M644" s="5"/>
      <c r="N644" s="1"/>
      <c r="O644" s="1"/>
      <c r="P644" s="5"/>
      <c r="Q644" s="1"/>
      <c r="R644" s="1"/>
      <c r="S644" s="5"/>
      <c r="T644" s="1"/>
      <c r="U644" s="1"/>
      <c r="V644" s="5"/>
      <c r="W644" s="1"/>
      <c r="X644" s="1"/>
      <c r="Y644" s="5"/>
      <c r="Z644" s="1"/>
      <c r="AA644" s="1"/>
      <c r="AB644" s="5"/>
      <c r="AC644" s="1"/>
      <c r="AD644" s="1"/>
      <c r="AE644" s="5"/>
      <c r="AF644" s="1"/>
      <c r="AG644" s="1"/>
      <c r="AH644" s="5"/>
      <c r="AI644" s="1"/>
      <c r="AJ644" s="1"/>
      <c r="AK644" s="5"/>
      <c r="AL644" s="1"/>
      <c r="AM644" s="1"/>
      <c r="AN644" s="5"/>
      <c r="AO644" s="1"/>
      <c r="AP644" s="1"/>
      <c r="AQ644" s="5"/>
      <c r="AR644" s="1"/>
      <c r="AS644" s="1"/>
      <c r="AT644" s="5"/>
      <c r="AU644" s="1"/>
      <c r="AV644" s="1"/>
      <c r="AW644" s="5"/>
      <c r="AX644" s="194">
        <f>AX643</f>
        <v>0.92</v>
      </c>
      <c r="AY644" s="194">
        <f t="shared" ref="AY644:CD644" si="2747">AX644</f>
        <v>0.92</v>
      </c>
      <c r="AZ644" s="194">
        <f t="shared" si="2747"/>
        <v>0.92</v>
      </c>
      <c r="BA644" s="29">
        <f t="shared" si="2747"/>
        <v>0.92</v>
      </c>
      <c r="BB644" s="29">
        <f t="shared" si="2747"/>
        <v>0.92</v>
      </c>
      <c r="BC644" s="982">
        <f t="shared" si="2747"/>
        <v>0.92</v>
      </c>
      <c r="BD644" s="29">
        <f t="shared" si="2747"/>
        <v>0.92</v>
      </c>
      <c r="BE644" s="29">
        <f t="shared" si="2747"/>
        <v>0.92</v>
      </c>
      <c r="BF644" s="982">
        <f t="shared" si="2747"/>
        <v>0.92</v>
      </c>
      <c r="BG644" s="29">
        <f t="shared" si="2747"/>
        <v>0.92</v>
      </c>
      <c r="BH644" s="29">
        <f t="shared" si="2747"/>
        <v>0.92</v>
      </c>
      <c r="BI644" s="982">
        <f t="shared" si="2747"/>
        <v>0.92</v>
      </c>
      <c r="BJ644" s="112">
        <f t="shared" si="2747"/>
        <v>0.92</v>
      </c>
      <c r="BK644" s="112">
        <f t="shared" si="2747"/>
        <v>0.92</v>
      </c>
      <c r="BL644" s="113">
        <f t="shared" si="2747"/>
        <v>0.92</v>
      </c>
      <c r="BM644" s="112">
        <f t="shared" si="2747"/>
        <v>0.92</v>
      </c>
      <c r="BN644" s="112">
        <f t="shared" si="2747"/>
        <v>0.92</v>
      </c>
      <c r="BO644" s="113">
        <f t="shared" si="2747"/>
        <v>0.92</v>
      </c>
      <c r="BP644" s="112">
        <f t="shared" si="2747"/>
        <v>0.92</v>
      </c>
      <c r="BQ644" s="112">
        <f t="shared" si="2747"/>
        <v>0.92</v>
      </c>
      <c r="BR644" s="113">
        <f t="shared" si="2747"/>
        <v>0.92</v>
      </c>
      <c r="BS644" s="29">
        <f t="shared" si="2747"/>
        <v>0.92</v>
      </c>
      <c r="BT644" s="29">
        <f t="shared" si="2747"/>
        <v>0.92</v>
      </c>
      <c r="BU644" s="194">
        <f t="shared" si="2747"/>
        <v>0.92</v>
      </c>
      <c r="BV644" s="29">
        <f t="shared" si="2747"/>
        <v>0.92</v>
      </c>
      <c r="BW644" s="29">
        <f t="shared" si="2747"/>
        <v>0.92</v>
      </c>
      <c r="BX644" s="194">
        <f t="shared" si="2747"/>
        <v>0.92</v>
      </c>
      <c r="BY644" s="29">
        <f t="shared" si="2747"/>
        <v>0.92</v>
      </c>
      <c r="BZ644" s="29">
        <f t="shared" si="2747"/>
        <v>0.92</v>
      </c>
      <c r="CA644" s="194">
        <f t="shared" si="2747"/>
        <v>0.92</v>
      </c>
      <c r="CB644" s="29">
        <f t="shared" si="2747"/>
        <v>0.92</v>
      </c>
      <c r="CC644" s="29">
        <f t="shared" si="2747"/>
        <v>0.92</v>
      </c>
      <c r="CD644" s="194">
        <f t="shared" si="2747"/>
        <v>0.92</v>
      </c>
      <c r="CE644" s="29">
        <f t="shared" ref="CE644:DJ644" si="2748">CD644</f>
        <v>0.92</v>
      </c>
      <c r="CF644" s="29">
        <f t="shared" si="2748"/>
        <v>0.92</v>
      </c>
      <c r="CG644" s="194">
        <f t="shared" si="2748"/>
        <v>0.92</v>
      </c>
      <c r="CH644" s="29">
        <f t="shared" si="2748"/>
        <v>0.92</v>
      </c>
      <c r="CI644" s="29">
        <f t="shared" si="2748"/>
        <v>0.92</v>
      </c>
      <c r="CJ644" s="194">
        <f t="shared" si="2748"/>
        <v>0.92</v>
      </c>
      <c r="CK644" s="29">
        <f t="shared" si="2748"/>
        <v>0.92</v>
      </c>
      <c r="CL644" s="29">
        <f t="shared" si="2748"/>
        <v>0.92</v>
      </c>
      <c r="CM644" s="194">
        <f t="shared" si="2748"/>
        <v>0.92</v>
      </c>
      <c r="CN644" s="29">
        <f t="shared" si="2748"/>
        <v>0.92</v>
      </c>
      <c r="CO644" s="29">
        <f t="shared" si="2748"/>
        <v>0.92</v>
      </c>
      <c r="CP644" s="194">
        <f t="shared" si="2748"/>
        <v>0.92</v>
      </c>
      <c r="CQ644" s="29">
        <f t="shared" si="2748"/>
        <v>0.92</v>
      </c>
      <c r="CR644" s="29">
        <f t="shared" si="2748"/>
        <v>0.92</v>
      </c>
      <c r="CS644" s="194">
        <f t="shared" si="2748"/>
        <v>0.92</v>
      </c>
      <c r="CT644" s="29">
        <f t="shared" si="2748"/>
        <v>0.92</v>
      </c>
      <c r="CU644" s="29">
        <f t="shared" si="2748"/>
        <v>0.92</v>
      </c>
      <c r="CV644" s="194">
        <f t="shared" si="2748"/>
        <v>0.92</v>
      </c>
      <c r="CW644" s="29">
        <f t="shared" si="2748"/>
        <v>0.92</v>
      </c>
      <c r="CX644" s="29">
        <f t="shared" si="2748"/>
        <v>0.92</v>
      </c>
      <c r="CY644" s="194">
        <f t="shared" si="2748"/>
        <v>0.92</v>
      </c>
      <c r="CZ644" s="29">
        <f t="shared" si="2748"/>
        <v>0.92</v>
      </c>
      <c r="DA644" s="29">
        <f t="shared" si="2748"/>
        <v>0.92</v>
      </c>
      <c r="DB644" s="194">
        <f t="shared" si="2748"/>
        <v>0.92</v>
      </c>
      <c r="DC644" s="29">
        <f t="shared" si="2748"/>
        <v>0.92</v>
      </c>
      <c r="DD644" s="29">
        <f t="shared" si="2748"/>
        <v>0.92</v>
      </c>
      <c r="DE644" s="194">
        <f t="shared" si="2748"/>
        <v>0.92</v>
      </c>
      <c r="DF644" s="29">
        <f t="shared" si="2748"/>
        <v>0.92</v>
      </c>
      <c r="DG644" s="29">
        <f t="shared" si="2748"/>
        <v>0.92</v>
      </c>
      <c r="DH644" s="194">
        <f t="shared" si="2748"/>
        <v>0.92</v>
      </c>
      <c r="DI644" s="29">
        <f t="shared" si="2748"/>
        <v>0.92</v>
      </c>
      <c r="DJ644" s="29">
        <f t="shared" si="2748"/>
        <v>0.92</v>
      </c>
      <c r="DK644" s="194">
        <f t="shared" ref="DK644:EF644" si="2749">DJ644</f>
        <v>0.92</v>
      </c>
      <c r="DL644" s="29">
        <f>DK644</f>
        <v>0.92</v>
      </c>
      <c r="DM644" s="29">
        <f t="shared" si="2749"/>
        <v>0.92</v>
      </c>
      <c r="DN644" s="194">
        <f t="shared" si="2749"/>
        <v>0.92</v>
      </c>
      <c r="DO644" s="29">
        <f t="shared" si="2749"/>
        <v>0.92</v>
      </c>
      <c r="DP644" s="29">
        <f t="shared" si="2749"/>
        <v>0.92</v>
      </c>
      <c r="DQ644" s="194">
        <f t="shared" si="2749"/>
        <v>0.92</v>
      </c>
      <c r="DR644" s="29">
        <f t="shared" si="2749"/>
        <v>0.92</v>
      </c>
      <c r="DS644" s="29">
        <f t="shared" si="2749"/>
        <v>0.92</v>
      </c>
      <c r="DT644" s="194">
        <f t="shared" si="2749"/>
        <v>0.92</v>
      </c>
      <c r="DU644" s="29">
        <f t="shared" si="2749"/>
        <v>0.92</v>
      </c>
      <c r="DV644" s="29">
        <f t="shared" si="2749"/>
        <v>0.92</v>
      </c>
      <c r="DW644" s="194">
        <f t="shared" si="2749"/>
        <v>0.92</v>
      </c>
      <c r="DX644" s="29">
        <f t="shared" si="2749"/>
        <v>0.92</v>
      </c>
      <c r="DY644" s="29">
        <f t="shared" si="2749"/>
        <v>0.92</v>
      </c>
      <c r="DZ644" s="194">
        <f t="shared" si="2749"/>
        <v>0.92</v>
      </c>
      <c r="EA644" s="29">
        <f t="shared" si="2749"/>
        <v>0.92</v>
      </c>
      <c r="EB644" s="29">
        <f t="shared" si="2749"/>
        <v>0.92</v>
      </c>
      <c r="EC644" s="194">
        <f t="shared" si="2749"/>
        <v>0.92</v>
      </c>
      <c r="ED644" s="29">
        <f t="shared" si="2749"/>
        <v>0.92</v>
      </c>
      <c r="EE644" s="29">
        <f t="shared" si="2749"/>
        <v>0.92</v>
      </c>
      <c r="EF644" s="194">
        <f t="shared" si="2749"/>
        <v>0.92</v>
      </c>
      <c r="EG644" s="29">
        <f t="shared" si="2736"/>
        <v>0.92</v>
      </c>
      <c r="EH644" s="29">
        <f t="shared" si="2736"/>
        <v>0.92</v>
      </c>
      <c r="EI644" s="194">
        <f t="shared" si="2736"/>
        <v>0.92</v>
      </c>
      <c r="EJ644" s="29">
        <f t="shared" si="2736"/>
        <v>0.92</v>
      </c>
      <c r="EK644" s="29">
        <f t="shared" si="2736"/>
        <v>0.92</v>
      </c>
      <c r="EL644" s="194">
        <f t="shared" si="2736"/>
        <v>0.92</v>
      </c>
      <c r="EM644" s="29">
        <f t="shared" si="2737"/>
        <v>0.92</v>
      </c>
      <c r="EN644" s="29">
        <f t="shared" si="2737"/>
        <v>0.92</v>
      </c>
      <c r="EO644" s="194">
        <f t="shared" si="2737"/>
        <v>0.92</v>
      </c>
      <c r="EP644" s="29">
        <f t="shared" si="2737"/>
        <v>0.92</v>
      </c>
      <c r="EQ644" s="29">
        <f t="shared" si="2737"/>
        <v>0.92</v>
      </c>
      <c r="ER644" s="194">
        <f t="shared" si="2737"/>
        <v>0.92</v>
      </c>
      <c r="ES644" s="29">
        <f t="shared" si="2738"/>
        <v>0.92</v>
      </c>
      <c r="ET644" s="29">
        <f t="shared" si="2739"/>
        <v>0.92</v>
      </c>
      <c r="EU644" s="194">
        <f t="shared" si="2740"/>
        <v>0.92</v>
      </c>
      <c r="EV644" s="29">
        <f t="shared" si="2741"/>
        <v>0.92</v>
      </c>
      <c r="EW644" s="29">
        <f t="shared" si="2742"/>
        <v>0.92</v>
      </c>
      <c r="EX644" s="194">
        <f t="shared" si="2743"/>
        <v>0.92</v>
      </c>
      <c r="EY644" s="29">
        <f t="shared" si="2744"/>
        <v>0.92</v>
      </c>
      <c r="EZ644" s="29">
        <f t="shared" si="2745"/>
        <v>0.92</v>
      </c>
      <c r="FA644" s="194">
        <f t="shared" si="2746"/>
        <v>0.92</v>
      </c>
      <c r="FH644" s="35"/>
      <c r="FI644" s="35"/>
      <c r="FJ644" s="35"/>
      <c r="FK644" s="35"/>
      <c r="FL644" s="35"/>
      <c r="FM644" s="35"/>
      <c r="FN644" s="35"/>
      <c r="FO644" s="35"/>
      <c r="FP644" s="35"/>
      <c r="FQ644" s="35"/>
    </row>
    <row r="645" spans="1:173" s="321" customFormat="1" hidden="1" outlineLevel="1">
      <c r="A645" s="1168"/>
      <c r="B645" s="186"/>
      <c r="C645" s="186" t="s">
        <v>431</v>
      </c>
      <c r="D645" s="910"/>
      <c r="E645" s="1"/>
      <c r="F645" s="1"/>
      <c r="G645" s="5"/>
      <c r="H645" s="1"/>
      <c r="I645" s="1"/>
      <c r="J645" s="5"/>
      <c r="K645" s="1"/>
      <c r="L645" s="1"/>
      <c r="M645" s="5"/>
      <c r="N645" s="1"/>
      <c r="O645" s="1"/>
      <c r="P645" s="5"/>
      <c r="Q645" s="1"/>
      <c r="R645" s="1"/>
      <c r="S645" s="5"/>
      <c r="T645" s="1"/>
      <c r="U645" s="1"/>
      <c r="V645" s="5"/>
      <c r="W645" s="1"/>
      <c r="X645" s="1"/>
      <c r="Y645" s="5"/>
      <c r="Z645" s="1"/>
      <c r="AA645" s="1"/>
      <c r="AB645" s="5"/>
      <c r="AC645" s="1"/>
      <c r="AD645" s="1"/>
      <c r="AE645" s="5"/>
      <c r="AF645" s="1"/>
      <c r="AG645" s="1"/>
      <c r="AH645" s="5"/>
      <c r="AI645" s="1"/>
      <c r="AJ645" s="1"/>
      <c r="AK645" s="5"/>
      <c r="AL645" s="1"/>
      <c r="AM645" s="1"/>
      <c r="AN645" s="5"/>
      <c r="AO645" s="1"/>
      <c r="AP645" s="1"/>
      <c r="AQ645" s="5"/>
      <c r="AR645" s="1"/>
      <c r="AS645" s="1"/>
      <c r="AT645" s="5"/>
      <c r="AU645" s="1"/>
      <c r="AV645" s="1"/>
      <c r="AW645" s="5"/>
      <c r="AX645" s="194">
        <f>AX644</f>
        <v>0.92</v>
      </c>
      <c r="AY645" s="194">
        <f t="shared" ref="AY645:CD645" si="2750">AX645</f>
        <v>0.92</v>
      </c>
      <c r="AZ645" s="194">
        <f t="shared" si="2750"/>
        <v>0.92</v>
      </c>
      <c r="BA645" s="29">
        <f t="shared" si="2750"/>
        <v>0.92</v>
      </c>
      <c r="BB645" s="29">
        <f t="shared" si="2750"/>
        <v>0.92</v>
      </c>
      <c r="BC645" s="982">
        <f t="shared" si="2750"/>
        <v>0.92</v>
      </c>
      <c r="BD645" s="29">
        <f t="shared" si="2750"/>
        <v>0.92</v>
      </c>
      <c r="BE645" s="29">
        <f t="shared" si="2750"/>
        <v>0.92</v>
      </c>
      <c r="BF645" s="982">
        <f t="shared" si="2750"/>
        <v>0.92</v>
      </c>
      <c r="BG645" s="29">
        <f t="shared" si="2750"/>
        <v>0.92</v>
      </c>
      <c r="BH645" s="29">
        <f t="shared" si="2750"/>
        <v>0.92</v>
      </c>
      <c r="BI645" s="982">
        <f t="shared" si="2750"/>
        <v>0.92</v>
      </c>
      <c r="BJ645" s="112">
        <f t="shared" si="2750"/>
        <v>0.92</v>
      </c>
      <c r="BK645" s="112">
        <f t="shared" si="2750"/>
        <v>0.92</v>
      </c>
      <c r="BL645" s="113">
        <f t="shared" si="2750"/>
        <v>0.92</v>
      </c>
      <c r="BM645" s="112">
        <f t="shared" si="2750"/>
        <v>0.92</v>
      </c>
      <c r="BN645" s="112">
        <f t="shared" si="2750"/>
        <v>0.92</v>
      </c>
      <c r="BO645" s="113">
        <f t="shared" si="2750"/>
        <v>0.92</v>
      </c>
      <c r="BP645" s="112">
        <f t="shared" si="2750"/>
        <v>0.92</v>
      </c>
      <c r="BQ645" s="112">
        <f t="shared" si="2750"/>
        <v>0.92</v>
      </c>
      <c r="BR645" s="113">
        <f t="shared" si="2750"/>
        <v>0.92</v>
      </c>
      <c r="BS645" s="29">
        <f t="shared" si="2750"/>
        <v>0.92</v>
      </c>
      <c r="BT645" s="29">
        <f t="shared" si="2750"/>
        <v>0.92</v>
      </c>
      <c r="BU645" s="194">
        <f t="shared" si="2750"/>
        <v>0.92</v>
      </c>
      <c r="BV645" s="29">
        <f t="shared" si="2750"/>
        <v>0.92</v>
      </c>
      <c r="BW645" s="29">
        <f t="shared" si="2750"/>
        <v>0.92</v>
      </c>
      <c r="BX645" s="194">
        <f t="shared" si="2750"/>
        <v>0.92</v>
      </c>
      <c r="BY645" s="29">
        <f t="shared" si="2750"/>
        <v>0.92</v>
      </c>
      <c r="BZ645" s="29">
        <f t="shared" si="2750"/>
        <v>0.92</v>
      </c>
      <c r="CA645" s="194">
        <f t="shared" si="2750"/>
        <v>0.92</v>
      </c>
      <c r="CB645" s="29">
        <f t="shared" si="2750"/>
        <v>0.92</v>
      </c>
      <c r="CC645" s="29">
        <f t="shared" si="2750"/>
        <v>0.92</v>
      </c>
      <c r="CD645" s="194">
        <f t="shared" si="2750"/>
        <v>0.92</v>
      </c>
      <c r="CE645" s="29">
        <f t="shared" ref="CE645:DJ645" si="2751">CD645</f>
        <v>0.92</v>
      </c>
      <c r="CF645" s="29">
        <f t="shared" si="2751"/>
        <v>0.92</v>
      </c>
      <c r="CG645" s="194">
        <f t="shared" si="2751"/>
        <v>0.92</v>
      </c>
      <c r="CH645" s="29">
        <f t="shared" si="2751"/>
        <v>0.92</v>
      </c>
      <c r="CI645" s="29">
        <f t="shared" si="2751"/>
        <v>0.92</v>
      </c>
      <c r="CJ645" s="194">
        <f t="shared" si="2751"/>
        <v>0.92</v>
      </c>
      <c r="CK645" s="29">
        <f t="shared" si="2751"/>
        <v>0.92</v>
      </c>
      <c r="CL645" s="29">
        <f t="shared" si="2751"/>
        <v>0.92</v>
      </c>
      <c r="CM645" s="194">
        <f t="shared" si="2751"/>
        <v>0.92</v>
      </c>
      <c r="CN645" s="29">
        <f t="shared" si="2751"/>
        <v>0.92</v>
      </c>
      <c r="CO645" s="29">
        <f t="shared" si="2751"/>
        <v>0.92</v>
      </c>
      <c r="CP645" s="194">
        <f t="shared" si="2751"/>
        <v>0.92</v>
      </c>
      <c r="CQ645" s="29">
        <f t="shared" si="2751"/>
        <v>0.92</v>
      </c>
      <c r="CR645" s="29">
        <f t="shared" si="2751"/>
        <v>0.92</v>
      </c>
      <c r="CS645" s="194">
        <f t="shared" si="2751"/>
        <v>0.92</v>
      </c>
      <c r="CT645" s="29">
        <f t="shared" si="2751"/>
        <v>0.92</v>
      </c>
      <c r="CU645" s="29">
        <f t="shared" si="2751"/>
        <v>0.92</v>
      </c>
      <c r="CV645" s="194">
        <f t="shared" si="2751"/>
        <v>0.92</v>
      </c>
      <c r="CW645" s="29">
        <f t="shared" si="2751"/>
        <v>0.92</v>
      </c>
      <c r="CX645" s="29">
        <f t="shared" si="2751"/>
        <v>0.92</v>
      </c>
      <c r="CY645" s="194">
        <f t="shared" si="2751"/>
        <v>0.92</v>
      </c>
      <c r="CZ645" s="29">
        <f t="shared" si="2751"/>
        <v>0.92</v>
      </c>
      <c r="DA645" s="29">
        <f t="shared" si="2751"/>
        <v>0.92</v>
      </c>
      <c r="DB645" s="194">
        <f t="shared" si="2751"/>
        <v>0.92</v>
      </c>
      <c r="DC645" s="29">
        <f t="shared" si="2751"/>
        <v>0.92</v>
      </c>
      <c r="DD645" s="29">
        <f t="shared" si="2751"/>
        <v>0.92</v>
      </c>
      <c r="DE645" s="194">
        <f t="shared" si="2751"/>
        <v>0.92</v>
      </c>
      <c r="DF645" s="29">
        <f t="shared" si="2751"/>
        <v>0.92</v>
      </c>
      <c r="DG645" s="29">
        <f t="shared" si="2751"/>
        <v>0.92</v>
      </c>
      <c r="DH645" s="194">
        <f t="shared" si="2751"/>
        <v>0.92</v>
      </c>
      <c r="DI645" s="29">
        <f t="shared" si="2751"/>
        <v>0.92</v>
      </c>
      <c r="DJ645" s="29">
        <f t="shared" si="2751"/>
        <v>0.92</v>
      </c>
      <c r="DK645" s="194">
        <f t="shared" ref="DK645:EF645" si="2752">DJ645</f>
        <v>0.92</v>
      </c>
      <c r="DL645" s="29">
        <f>DK645</f>
        <v>0.92</v>
      </c>
      <c r="DM645" s="29">
        <f t="shared" si="2752"/>
        <v>0.92</v>
      </c>
      <c r="DN645" s="194">
        <f t="shared" si="2752"/>
        <v>0.92</v>
      </c>
      <c r="DO645" s="29">
        <f t="shared" si="2752"/>
        <v>0.92</v>
      </c>
      <c r="DP645" s="29">
        <f t="shared" si="2752"/>
        <v>0.92</v>
      </c>
      <c r="DQ645" s="194">
        <f t="shared" si="2752"/>
        <v>0.92</v>
      </c>
      <c r="DR645" s="29">
        <f t="shared" si="2752"/>
        <v>0.92</v>
      </c>
      <c r="DS645" s="29">
        <f t="shared" si="2752"/>
        <v>0.92</v>
      </c>
      <c r="DT645" s="194">
        <f t="shared" si="2752"/>
        <v>0.92</v>
      </c>
      <c r="DU645" s="29">
        <f t="shared" si="2752"/>
        <v>0.92</v>
      </c>
      <c r="DV645" s="29">
        <f t="shared" si="2752"/>
        <v>0.92</v>
      </c>
      <c r="DW645" s="194">
        <f t="shared" si="2752"/>
        <v>0.92</v>
      </c>
      <c r="DX645" s="29">
        <f t="shared" si="2752"/>
        <v>0.92</v>
      </c>
      <c r="DY645" s="29">
        <f t="shared" si="2752"/>
        <v>0.92</v>
      </c>
      <c r="DZ645" s="194">
        <f t="shared" si="2752"/>
        <v>0.92</v>
      </c>
      <c r="EA645" s="29">
        <f t="shared" si="2752"/>
        <v>0.92</v>
      </c>
      <c r="EB645" s="29">
        <f t="shared" si="2752"/>
        <v>0.92</v>
      </c>
      <c r="EC645" s="194">
        <f t="shared" si="2752"/>
        <v>0.92</v>
      </c>
      <c r="ED645" s="29">
        <f t="shared" si="2752"/>
        <v>0.92</v>
      </c>
      <c r="EE645" s="29">
        <f t="shared" si="2752"/>
        <v>0.92</v>
      </c>
      <c r="EF645" s="194">
        <f t="shared" si="2752"/>
        <v>0.92</v>
      </c>
      <c r="EG645" s="29">
        <f t="shared" si="2736"/>
        <v>0.92</v>
      </c>
      <c r="EH645" s="29">
        <f t="shared" si="2736"/>
        <v>0.92</v>
      </c>
      <c r="EI645" s="194">
        <f t="shared" si="2736"/>
        <v>0.92</v>
      </c>
      <c r="EJ645" s="29">
        <f t="shared" si="2736"/>
        <v>0.92</v>
      </c>
      <c r="EK645" s="29">
        <f t="shared" si="2736"/>
        <v>0.92</v>
      </c>
      <c r="EL645" s="194">
        <f t="shared" si="2736"/>
        <v>0.92</v>
      </c>
      <c r="EM645" s="29">
        <f t="shared" si="2737"/>
        <v>0.92</v>
      </c>
      <c r="EN645" s="29">
        <f t="shared" si="2737"/>
        <v>0.92</v>
      </c>
      <c r="EO645" s="194">
        <f t="shared" si="2737"/>
        <v>0.92</v>
      </c>
      <c r="EP645" s="29">
        <f t="shared" si="2737"/>
        <v>0.92</v>
      </c>
      <c r="EQ645" s="29">
        <f t="shared" si="2737"/>
        <v>0.92</v>
      </c>
      <c r="ER645" s="194">
        <f t="shared" si="2737"/>
        <v>0.92</v>
      </c>
      <c r="ES645" s="29">
        <f t="shared" si="2738"/>
        <v>0.92</v>
      </c>
      <c r="ET645" s="29">
        <f t="shared" si="2739"/>
        <v>0.92</v>
      </c>
      <c r="EU645" s="194">
        <f t="shared" si="2740"/>
        <v>0.92</v>
      </c>
      <c r="EV645" s="29">
        <f t="shared" si="2741"/>
        <v>0.92</v>
      </c>
      <c r="EW645" s="29">
        <f t="shared" si="2742"/>
        <v>0.92</v>
      </c>
      <c r="EX645" s="194">
        <f t="shared" si="2743"/>
        <v>0.92</v>
      </c>
      <c r="EY645" s="29">
        <f t="shared" si="2744"/>
        <v>0.92</v>
      </c>
      <c r="EZ645" s="29">
        <f t="shared" si="2745"/>
        <v>0.92</v>
      </c>
      <c r="FA645" s="194">
        <f t="shared" si="2746"/>
        <v>0.92</v>
      </c>
      <c r="FH645" s="35"/>
      <c r="FI645" s="35"/>
      <c r="FJ645" s="35"/>
      <c r="FK645" s="35"/>
      <c r="FL645" s="35"/>
      <c r="FM645" s="35"/>
      <c r="FN645" s="35"/>
      <c r="FO645" s="35"/>
      <c r="FP645" s="35"/>
      <c r="FQ645" s="35"/>
    </row>
    <row r="646" spans="1:173" s="321" customFormat="1" hidden="1" outlineLevel="1">
      <c r="A646" s="1168"/>
      <c r="B646" s="186"/>
      <c r="C646" s="186" t="s">
        <v>327</v>
      </c>
      <c r="D646" s="910"/>
      <c r="E646" s="1"/>
      <c r="F646" s="1"/>
      <c r="G646" s="5"/>
      <c r="H646" s="1"/>
      <c r="I646" s="1"/>
      <c r="J646" s="5"/>
      <c r="K646" s="1"/>
      <c r="L646" s="1"/>
      <c r="M646" s="5"/>
      <c r="N646" s="1"/>
      <c r="O646" s="1"/>
      <c r="P646" s="5"/>
      <c r="Q646" s="1"/>
      <c r="R646" s="1"/>
      <c r="S646" s="5"/>
      <c r="T646" s="1"/>
      <c r="U646" s="1"/>
      <c r="V646" s="5"/>
      <c r="W646" s="1"/>
      <c r="X646" s="1"/>
      <c r="Y646" s="5"/>
      <c r="Z646" s="1"/>
      <c r="AA646" s="1"/>
      <c r="AB646" s="5"/>
      <c r="AC646" s="1"/>
      <c r="AD646" s="1"/>
      <c r="AE646" s="5"/>
      <c r="AF646" s="1"/>
      <c r="AG646" s="1"/>
      <c r="AH646" s="5"/>
      <c r="AI646" s="1"/>
      <c r="AJ646" s="1"/>
      <c r="AK646" s="5"/>
      <c r="AL646" s="1"/>
      <c r="AM646" s="1"/>
      <c r="AN646" s="5"/>
      <c r="AO646" s="1"/>
      <c r="AP646" s="1"/>
      <c r="AQ646" s="5"/>
      <c r="AR646" s="1"/>
      <c r="AS646" s="1"/>
      <c r="AT646" s="5"/>
      <c r="AU646" s="1"/>
      <c r="AV646" s="1"/>
      <c r="AW646" s="5"/>
      <c r="AX646" s="194">
        <f>AX645</f>
        <v>0.92</v>
      </c>
      <c r="AY646" s="194">
        <f t="shared" ref="AY646:CD646" si="2753">AX646</f>
        <v>0.92</v>
      </c>
      <c r="AZ646" s="194">
        <f t="shared" si="2753"/>
        <v>0.92</v>
      </c>
      <c r="BA646" s="29">
        <f t="shared" si="2753"/>
        <v>0.92</v>
      </c>
      <c r="BB646" s="29">
        <f t="shared" si="2753"/>
        <v>0.92</v>
      </c>
      <c r="BC646" s="982">
        <f t="shared" si="2753"/>
        <v>0.92</v>
      </c>
      <c r="BD646" s="29">
        <f t="shared" si="2753"/>
        <v>0.92</v>
      </c>
      <c r="BE646" s="29">
        <f t="shared" si="2753"/>
        <v>0.92</v>
      </c>
      <c r="BF646" s="982">
        <f t="shared" si="2753"/>
        <v>0.92</v>
      </c>
      <c r="BG646" s="29">
        <f t="shared" si="2753"/>
        <v>0.92</v>
      </c>
      <c r="BH646" s="29">
        <f t="shared" si="2753"/>
        <v>0.92</v>
      </c>
      <c r="BI646" s="982">
        <f t="shared" si="2753"/>
        <v>0.92</v>
      </c>
      <c r="BJ646" s="112">
        <f t="shared" si="2753"/>
        <v>0.92</v>
      </c>
      <c r="BK646" s="112">
        <f t="shared" si="2753"/>
        <v>0.92</v>
      </c>
      <c r="BL646" s="113">
        <f t="shared" si="2753"/>
        <v>0.92</v>
      </c>
      <c r="BM646" s="112">
        <f t="shared" si="2753"/>
        <v>0.92</v>
      </c>
      <c r="BN646" s="112">
        <f t="shared" si="2753"/>
        <v>0.92</v>
      </c>
      <c r="BO646" s="113">
        <f t="shared" si="2753"/>
        <v>0.92</v>
      </c>
      <c r="BP646" s="112">
        <f t="shared" si="2753"/>
        <v>0.92</v>
      </c>
      <c r="BQ646" s="112">
        <f t="shared" si="2753"/>
        <v>0.92</v>
      </c>
      <c r="BR646" s="113">
        <f t="shared" si="2753"/>
        <v>0.92</v>
      </c>
      <c r="BS646" s="29">
        <f t="shared" si="2753"/>
        <v>0.92</v>
      </c>
      <c r="BT646" s="29">
        <f t="shared" si="2753"/>
        <v>0.92</v>
      </c>
      <c r="BU646" s="194">
        <f t="shared" si="2753"/>
        <v>0.92</v>
      </c>
      <c r="BV646" s="29">
        <f t="shared" si="2753"/>
        <v>0.92</v>
      </c>
      <c r="BW646" s="29">
        <f t="shared" si="2753"/>
        <v>0.92</v>
      </c>
      <c r="BX646" s="194">
        <f t="shared" si="2753"/>
        <v>0.92</v>
      </c>
      <c r="BY646" s="29">
        <f t="shared" si="2753"/>
        <v>0.92</v>
      </c>
      <c r="BZ646" s="29">
        <f t="shared" si="2753"/>
        <v>0.92</v>
      </c>
      <c r="CA646" s="194">
        <f t="shared" si="2753"/>
        <v>0.92</v>
      </c>
      <c r="CB646" s="29">
        <f t="shared" si="2753"/>
        <v>0.92</v>
      </c>
      <c r="CC646" s="29">
        <f t="shared" si="2753"/>
        <v>0.92</v>
      </c>
      <c r="CD646" s="194">
        <f t="shared" si="2753"/>
        <v>0.92</v>
      </c>
      <c r="CE646" s="29">
        <f t="shared" ref="CE646:DJ646" si="2754">CD646</f>
        <v>0.92</v>
      </c>
      <c r="CF646" s="29">
        <f t="shared" si="2754"/>
        <v>0.92</v>
      </c>
      <c r="CG646" s="194">
        <f t="shared" si="2754"/>
        <v>0.92</v>
      </c>
      <c r="CH646" s="29">
        <f t="shared" si="2754"/>
        <v>0.92</v>
      </c>
      <c r="CI646" s="29">
        <f t="shared" si="2754"/>
        <v>0.92</v>
      </c>
      <c r="CJ646" s="194">
        <f t="shared" si="2754"/>
        <v>0.92</v>
      </c>
      <c r="CK646" s="29">
        <f t="shared" si="2754"/>
        <v>0.92</v>
      </c>
      <c r="CL646" s="29">
        <f t="shared" si="2754"/>
        <v>0.92</v>
      </c>
      <c r="CM646" s="194">
        <f t="shared" si="2754"/>
        <v>0.92</v>
      </c>
      <c r="CN646" s="29">
        <f t="shared" si="2754"/>
        <v>0.92</v>
      </c>
      <c r="CO646" s="29">
        <f t="shared" si="2754"/>
        <v>0.92</v>
      </c>
      <c r="CP646" s="194">
        <f t="shared" si="2754"/>
        <v>0.92</v>
      </c>
      <c r="CQ646" s="29">
        <f t="shared" si="2754"/>
        <v>0.92</v>
      </c>
      <c r="CR646" s="29">
        <f t="shared" si="2754"/>
        <v>0.92</v>
      </c>
      <c r="CS646" s="194">
        <f t="shared" si="2754"/>
        <v>0.92</v>
      </c>
      <c r="CT646" s="29">
        <f t="shared" si="2754"/>
        <v>0.92</v>
      </c>
      <c r="CU646" s="29">
        <f t="shared" si="2754"/>
        <v>0.92</v>
      </c>
      <c r="CV646" s="194">
        <f t="shared" si="2754"/>
        <v>0.92</v>
      </c>
      <c r="CW646" s="29">
        <f t="shared" si="2754"/>
        <v>0.92</v>
      </c>
      <c r="CX646" s="29">
        <f t="shared" si="2754"/>
        <v>0.92</v>
      </c>
      <c r="CY646" s="194">
        <f t="shared" si="2754"/>
        <v>0.92</v>
      </c>
      <c r="CZ646" s="29">
        <f t="shared" si="2754"/>
        <v>0.92</v>
      </c>
      <c r="DA646" s="29">
        <f t="shared" si="2754"/>
        <v>0.92</v>
      </c>
      <c r="DB646" s="194">
        <f t="shared" si="2754"/>
        <v>0.92</v>
      </c>
      <c r="DC646" s="29">
        <f t="shared" si="2754"/>
        <v>0.92</v>
      </c>
      <c r="DD646" s="29">
        <f t="shared" si="2754"/>
        <v>0.92</v>
      </c>
      <c r="DE646" s="194">
        <f t="shared" si="2754"/>
        <v>0.92</v>
      </c>
      <c r="DF646" s="29">
        <f t="shared" si="2754"/>
        <v>0.92</v>
      </c>
      <c r="DG646" s="29">
        <f t="shared" si="2754"/>
        <v>0.92</v>
      </c>
      <c r="DH646" s="194">
        <f t="shared" si="2754"/>
        <v>0.92</v>
      </c>
      <c r="DI646" s="29">
        <f t="shared" si="2754"/>
        <v>0.92</v>
      </c>
      <c r="DJ646" s="29">
        <f t="shared" si="2754"/>
        <v>0.92</v>
      </c>
      <c r="DK646" s="194">
        <f t="shared" ref="DK646:EF646" si="2755">DJ646</f>
        <v>0.92</v>
      </c>
      <c r="DL646" s="29">
        <f>DK646</f>
        <v>0.92</v>
      </c>
      <c r="DM646" s="29">
        <f t="shared" si="2755"/>
        <v>0.92</v>
      </c>
      <c r="DN646" s="194">
        <f t="shared" si="2755"/>
        <v>0.92</v>
      </c>
      <c r="DO646" s="29">
        <f t="shared" si="2755"/>
        <v>0.92</v>
      </c>
      <c r="DP646" s="29">
        <f t="shared" si="2755"/>
        <v>0.92</v>
      </c>
      <c r="DQ646" s="194">
        <f t="shared" si="2755"/>
        <v>0.92</v>
      </c>
      <c r="DR646" s="29">
        <f t="shared" si="2755"/>
        <v>0.92</v>
      </c>
      <c r="DS646" s="29">
        <f t="shared" si="2755"/>
        <v>0.92</v>
      </c>
      <c r="DT646" s="194">
        <f t="shared" si="2755"/>
        <v>0.92</v>
      </c>
      <c r="DU646" s="29">
        <f t="shared" si="2755"/>
        <v>0.92</v>
      </c>
      <c r="DV646" s="29">
        <f t="shared" si="2755"/>
        <v>0.92</v>
      </c>
      <c r="DW646" s="194">
        <f t="shared" si="2755"/>
        <v>0.92</v>
      </c>
      <c r="DX646" s="29">
        <f t="shared" si="2755"/>
        <v>0.92</v>
      </c>
      <c r="DY646" s="29">
        <f t="shared" si="2755"/>
        <v>0.92</v>
      </c>
      <c r="DZ646" s="194">
        <f t="shared" si="2755"/>
        <v>0.92</v>
      </c>
      <c r="EA646" s="29">
        <f t="shared" si="2755"/>
        <v>0.92</v>
      </c>
      <c r="EB646" s="29">
        <f t="shared" si="2755"/>
        <v>0.92</v>
      </c>
      <c r="EC646" s="194">
        <f t="shared" si="2755"/>
        <v>0.92</v>
      </c>
      <c r="ED646" s="29">
        <f t="shared" si="2755"/>
        <v>0.92</v>
      </c>
      <c r="EE646" s="29">
        <f t="shared" si="2755"/>
        <v>0.92</v>
      </c>
      <c r="EF646" s="194">
        <f t="shared" si="2755"/>
        <v>0.92</v>
      </c>
      <c r="EG646" s="29">
        <f t="shared" si="2736"/>
        <v>0.92</v>
      </c>
      <c r="EH646" s="29">
        <f t="shared" si="2736"/>
        <v>0.92</v>
      </c>
      <c r="EI646" s="194">
        <f t="shared" si="2736"/>
        <v>0.92</v>
      </c>
      <c r="EJ646" s="29">
        <f t="shared" si="2736"/>
        <v>0.92</v>
      </c>
      <c r="EK646" s="29">
        <f t="shared" si="2736"/>
        <v>0.92</v>
      </c>
      <c r="EL646" s="194">
        <f t="shared" si="2736"/>
        <v>0.92</v>
      </c>
      <c r="EM646" s="29">
        <f t="shared" si="2737"/>
        <v>0.92</v>
      </c>
      <c r="EN646" s="29">
        <f t="shared" si="2737"/>
        <v>0.92</v>
      </c>
      <c r="EO646" s="194">
        <f t="shared" si="2737"/>
        <v>0.92</v>
      </c>
      <c r="EP646" s="29">
        <f t="shared" si="2737"/>
        <v>0.92</v>
      </c>
      <c r="EQ646" s="29">
        <f t="shared" si="2737"/>
        <v>0.92</v>
      </c>
      <c r="ER646" s="194">
        <f t="shared" si="2737"/>
        <v>0.92</v>
      </c>
      <c r="ES646" s="29">
        <f t="shared" si="2738"/>
        <v>0.92</v>
      </c>
      <c r="ET646" s="29">
        <f t="shared" si="2739"/>
        <v>0.92</v>
      </c>
      <c r="EU646" s="194">
        <f t="shared" si="2740"/>
        <v>0.92</v>
      </c>
      <c r="EV646" s="29">
        <f t="shared" si="2741"/>
        <v>0.92</v>
      </c>
      <c r="EW646" s="29">
        <f t="shared" si="2742"/>
        <v>0.92</v>
      </c>
      <c r="EX646" s="194">
        <f t="shared" si="2743"/>
        <v>0.92</v>
      </c>
      <c r="EY646" s="29">
        <f t="shared" si="2744"/>
        <v>0.92</v>
      </c>
      <c r="EZ646" s="29">
        <f t="shared" si="2745"/>
        <v>0.92</v>
      </c>
      <c r="FA646" s="194">
        <f t="shared" si="2746"/>
        <v>0.92</v>
      </c>
      <c r="FH646" s="35"/>
      <c r="FI646" s="35"/>
      <c r="FJ646" s="35"/>
      <c r="FK646" s="35"/>
      <c r="FL646" s="35"/>
      <c r="FM646" s="35"/>
      <c r="FN646" s="35"/>
      <c r="FO646" s="35"/>
      <c r="FP646" s="35"/>
      <c r="FQ646" s="35"/>
    </row>
    <row r="647" spans="1:173" s="321" customFormat="1" hidden="1" outlineLevel="1">
      <c r="A647" s="1168"/>
      <c r="B647" s="186"/>
      <c r="C647" s="186"/>
      <c r="D647" s="910"/>
      <c r="E647" s="1"/>
      <c r="F647" s="1"/>
      <c r="G647" s="5"/>
      <c r="H647" s="1"/>
      <c r="I647" s="1"/>
      <c r="J647" s="5"/>
      <c r="K647" s="1"/>
      <c r="L647" s="1"/>
      <c r="M647" s="5"/>
      <c r="N647" s="1"/>
      <c r="O647" s="1"/>
      <c r="P647" s="5"/>
      <c r="Q647" s="1"/>
      <c r="R647" s="1"/>
      <c r="S647" s="5"/>
      <c r="T647" s="1"/>
      <c r="U647" s="1"/>
      <c r="V647" s="5"/>
      <c r="W647" s="1"/>
      <c r="X647" s="1"/>
      <c r="Y647" s="5"/>
      <c r="Z647" s="1"/>
      <c r="AA647" s="1"/>
      <c r="AB647" s="5"/>
      <c r="AC647" s="1"/>
      <c r="AD647" s="1"/>
      <c r="AE647" s="5"/>
      <c r="AF647" s="1"/>
      <c r="AG647" s="1"/>
      <c r="AH647" s="5"/>
      <c r="AI647" s="1"/>
      <c r="AJ647" s="1"/>
      <c r="AK647" s="5"/>
      <c r="AL647" s="1"/>
      <c r="AM647" s="1"/>
      <c r="AN647" s="5"/>
      <c r="AO647" s="1"/>
      <c r="AP647" s="1"/>
      <c r="AQ647" s="5"/>
      <c r="AR647" s="1"/>
      <c r="AS647" s="1"/>
      <c r="AT647" s="5"/>
      <c r="AU647" s="1"/>
      <c r="AV647" s="1"/>
      <c r="AW647" s="5"/>
      <c r="AX647" s="194"/>
      <c r="AY647" s="194"/>
      <c r="AZ647" s="194"/>
      <c r="BA647" s="29"/>
      <c r="BB647" s="29"/>
      <c r="BC647" s="982"/>
      <c r="BD647" s="29"/>
      <c r="BE647" s="29"/>
      <c r="BF647" s="982"/>
      <c r="BG647" s="29"/>
      <c r="BH647" s="29"/>
      <c r="BI647" s="982"/>
      <c r="BJ647" s="112"/>
      <c r="BK647" s="112"/>
      <c r="BL647" s="113"/>
      <c r="BM647" s="112"/>
      <c r="BN647" s="112"/>
      <c r="BO647" s="113"/>
      <c r="BP647" s="112"/>
      <c r="BQ647" s="112"/>
      <c r="BR647" s="113"/>
      <c r="BS647" s="29"/>
      <c r="BT647" s="29"/>
      <c r="BU647" s="194"/>
      <c r="BV647" s="29"/>
      <c r="BW647" s="29"/>
      <c r="BX647" s="194"/>
      <c r="BY647" s="29"/>
      <c r="BZ647" s="29"/>
      <c r="CA647" s="194"/>
      <c r="CB647" s="29"/>
      <c r="CC647" s="29"/>
      <c r="CD647" s="194"/>
      <c r="CE647" s="29"/>
      <c r="CF647" s="29"/>
      <c r="CG647" s="194"/>
      <c r="CH647" s="29"/>
      <c r="CI647" s="29"/>
      <c r="CJ647" s="194"/>
      <c r="CK647" s="29"/>
      <c r="CL647" s="29"/>
      <c r="CM647" s="194"/>
      <c r="CN647" s="29"/>
      <c r="CO647" s="29"/>
      <c r="CP647" s="194"/>
      <c r="CQ647" s="29"/>
      <c r="CR647" s="29"/>
      <c r="CS647" s="194"/>
      <c r="CT647" s="29"/>
      <c r="CU647" s="29"/>
      <c r="CV647" s="194"/>
      <c r="CW647" s="29"/>
      <c r="CX647" s="29"/>
      <c r="CY647" s="194"/>
      <c r="CZ647" s="29"/>
      <c r="DA647" s="29"/>
      <c r="DB647" s="194"/>
      <c r="DC647" s="29"/>
      <c r="DD647" s="29"/>
      <c r="DE647" s="194"/>
      <c r="DF647" s="29"/>
      <c r="DG647" s="29"/>
      <c r="DH647" s="194"/>
      <c r="DI647" s="29"/>
      <c r="DJ647" s="29"/>
      <c r="DK647" s="194"/>
      <c r="DL647" s="29"/>
      <c r="DM647" s="29"/>
      <c r="DN647" s="194"/>
      <c r="DO647" s="29"/>
      <c r="DP647" s="29"/>
      <c r="DQ647" s="194"/>
      <c r="DR647" s="29"/>
      <c r="DS647" s="29"/>
      <c r="DT647" s="194"/>
      <c r="DU647" s="29"/>
      <c r="DV647" s="29"/>
      <c r="DW647" s="194"/>
      <c r="DX647" s="29"/>
      <c r="DY647" s="29"/>
      <c r="DZ647" s="194"/>
      <c r="EA647" s="29"/>
      <c r="EB647" s="29"/>
      <c r="EC647" s="194"/>
      <c r="ED647" s="29"/>
      <c r="EE647" s="29"/>
      <c r="EF647" s="194"/>
      <c r="EG647" s="29"/>
      <c r="EH647" s="29"/>
      <c r="EI647" s="194"/>
      <c r="EJ647" s="29"/>
      <c r="EK647" s="29"/>
      <c r="EL647" s="194"/>
      <c r="EM647" s="29"/>
      <c r="EN647" s="29"/>
      <c r="EO647" s="194"/>
      <c r="EP647" s="29"/>
      <c r="EQ647" s="29"/>
      <c r="ER647" s="194"/>
      <c r="ES647" s="29"/>
      <c r="ET647" s="29"/>
      <c r="EU647" s="194"/>
      <c r="EV647" s="29"/>
      <c r="EW647" s="29"/>
      <c r="EX647" s="194"/>
      <c r="EY647" s="29"/>
      <c r="EZ647" s="29"/>
      <c r="FA647" s="194"/>
      <c r="FH647" s="35"/>
      <c r="FI647" s="35"/>
      <c r="FJ647" s="35"/>
      <c r="FK647" s="35"/>
      <c r="FL647" s="35"/>
      <c r="FM647" s="35"/>
      <c r="FN647" s="35"/>
      <c r="FO647" s="35"/>
      <c r="FP647" s="35"/>
      <c r="FQ647" s="35"/>
    </row>
    <row r="648" spans="1:173" s="321" customFormat="1" hidden="1" outlineLevel="1">
      <c r="A648" s="1168"/>
      <c r="B648" s="186"/>
      <c r="C648" s="331" t="s">
        <v>310</v>
      </c>
      <c r="D648" s="910"/>
      <c r="E648" s="1"/>
      <c r="F648" s="1"/>
      <c r="G648" s="5"/>
      <c r="H648" s="1"/>
      <c r="I648" s="1"/>
      <c r="J648" s="5"/>
      <c r="K648" s="1"/>
      <c r="L648" s="1"/>
      <c r="M648" s="5"/>
      <c r="N648" s="1"/>
      <c r="O648" s="1"/>
      <c r="P648" s="5"/>
      <c r="Q648" s="1"/>
      <c r="R648" s="1"/>
      <c r="S648" s="5"/>
      <c r="T648" s="1"/>
      <c r="U648" s="1"/>
      <c r="V648" s="5"/>
      <c r="W648" s="1"/>
      <c r="X648" s="1"/>
      <c r="Y648" s="5"/>
      <c r="Z648" s="1"/>
      <c r="AA648" s="1"/>
      <c r="AB648" s="5"/>
      <c r="AC648" s="1"/>
      <c r="AD648" s="1"/>
      <c r="AE648" s="5"/>
      <c r="AF648" s="1"/>
      <c r="AG648" s="1"/>
      <c r="AH648" s="5"/>
      <c r="AI648" s="1"/>
      <c r="AJ648" s="1"/>
      <c r="AK648" s="5"/>
      <c r="AL648" s="1"/>
      <c r="AM648" s="1"/>
      <c r="AN648" s="5"/>
      <c r="AO648" s="1"/>
      <c r="AP648" s="1"/>
      <c r="AQ648" s="5"/>
      <c r="AR648" s="1"/>
      <c r="AS648" s="1"/>
      <c r="AT648" s="5"/>
      <c r="AU648" s="1"/>
      <c r="AV648" s="1"/>
      <c r="AW648" s="5"/>
      <c r="AX648" s="194"/>
      <c r="AY648" s="194"/>
      <c r="AZ648" s="194"/>
      <c r="BA648" s="29"/>
      <c r="BB648" s="29"/>
      <c r="BC648" s="982"/>
      <c r="BD648" s="29"/>
      <c r="BE648" s="29"/>
      <c r="BF648" s="982"/>
      <c r="BG648" s="29"/>
      <c r="BH648" s="29"/>
      <c r="BI648" s="982"/>
      <c r="BJ648" s="112"/>
      <c r="BK648" s="112"/>
      <c r="BL648" s="113"/>
      <c r="BM648" s="112"/>
      <c r="BN648" s="112"/>
      <c r="BO648" s="113"/>
      <c r="BP648" s="112"/>
      <c r="BQ648" s="112"/>
      <c r="BR648" s="113"/>
      <c r="BS648" s="29"/>
      <c r="BT648" s="29"/>
      <c r="BU648" s="194"/>
      <c r="BV648" s="29"/>
      <c r="BW648" s="29"/>
      <c r="BX648" s="194"/>
      <c r="BY648" s="29"/>
      <c r="BZ648" s="29"/>
      <c r="CA648" s="194"/>
      <c r="CB648" s="29"/>
      <c r="CC648" s="29"/>
      <c r="CD648" s="194"/>
      <c r="CE648" s="29"/>
      <c r="CF648" s="29"/>
      <c r="CG648" s="194"/>
      <c r="CH648" s="29"/>
      <c r="CI648" s="29"/>
      <c r="CJ648" s="194"/>
      <c r="CK648" s="29"/>
      <c r="CL648" s="29"/>
      <c r="CM648" s="194"/>
      <c r="CN648" s="29"/>
      <c r="CO648" s="29"/>
      <c r="CP648" s="194"/>
      <c r="CQ648" s="29"/>
      <c r="CR648" s="29"/>
      <c r="CS648" s="194"/>
      <c r="CT648" s="29"/>
      <c r="CU648" s="29"/>
      <c r="CV648" s="194"/>
      <c r="CW648" s="29"/>
      <c r="CX648" s="29"/>
      <c r="CY648" s="194"/>
      <c r="CZ648" s="29"/>
      <c r="DA648" s="29"/>
      <c r="DB648" s="194"/>
      <c r="DC648" s="29"/>
      <c r="DD648" s="29"/>
      <c r="DE648" s="194"/>
      <c r="DF648" s="29"/>
      <c r="DG648" s="29"/>
      <c r="DH648" s="194"/>
      <c r="DI648" s="29"/>
      <c r="DJ648" s="29"/>
      <c r="DK648" s="194"/>
      <c r="DL648" s="29"/>
      <c r="DM648" s="29"/>
      <c r="DN648" s="194"/>
      <c r="DO648" s="29"/>
      <c r="DP648" s="29"/>
      <c r="DQ648" s="194"/>
      <c r="DR648" s="29"/>
      <c r="DS648" s="29"/>
      <c r="DT648" s="194"/>
      <c r="DU648" s="29"/>
      <c r="DV648" s="29"/>
      <c r="DW648" s="194"/>
      <c r="DX648" s="29"/>
      <c r="DY648" s="29"/>
      <c r="DZ648" s="194"/>
      <c r="EA648" s="29"/>
      <c r="EB648" s="29"/>
      <c r="EC648" s="194"/>
      <c r="ED648" s="29"/>
      <c r="EE648" s="29"/>
      <c r="EF648" s="194"/>
      <c r="EG648" s="29"/>
      <c r="EH648" s="29"/>
      <c r="EI648" s="194"/>
      <c r="EJ648" s="29"/>
      <c r="EK648" s="29"/>
      <c r="EL648" s="194"/>
      <c r="EM648" s="29"/>
      <c r="EN648" s="29"/>
      <c r="EO648" s="194"/>
      <c r="EP648" s="29"/>
      <c r="EQ648" s="29"/>
      <c r="ER648" s="194"/>
      <c r="ES648" s="29"/>
      <c r="ET648" s="29"/>
      <c r="EU648" s="194"/>
      <c r="EV648" s="29"/>
      <c r="EW648" s="29"/>
      <c r="EX648" s="194"/>
      <c r="EY648" s="29"/>
      <c r="EZ648" s="29"/>
      <c r="FA648" s="194"/>
      <c r="FH648" s="35"/>
      <c r="FI648" s="35"/>
      <c r="FJ648" s="35"/>
      <c r="FK648" s="35"/>
      <c r="FL648" s="35"/>
      <c r="FM648" s="35"/>
      <c r="FN648" s="35"/>
      <c r="FO648" s="35"/>
      <c r="FP648" s="35"/>
      <c r="FQ648" s="35"/>
    </row>
    <row r="649" spans="1:173" s="321" customFormat="1" hidden="1" outlineLevel="1">
      <c r="A649" s="1168"/>
      <c r="B649" s="186"/>
      <c r="C649" s="186" t="s">
        <v>316</v>
      </c>
      <c r="D649" s="910"/>
      <c r="E649" s="1"/>
      <c r="F649" s="1"/>
      <c r="G649" s="5"/>
      <c r="H649" s="1"/>
      <c r="I649" s="1"/>
      <c r="J649" s="5"/>
      <c r="K649" s="1"/>
      <c r="L649" s="1"/>
      <c r="M649" s="5"/>
      <c r="N649" s="1"/>
      <c r="O649" s="1"/>
      <c r="P649" s="5"/>
      <c r="Q649" s="1"/>
      <c r="R649" s="1"/>
      <c r="S649" s="5"/>
      <c r="T649" s="1"/>
      <c r="U649" s="1"/>
      <c r="V649" s="5"/>
      <c r="W649" s="1"/>
      <c r="X649" s="1"/>
      <c r="Y649" s="5"/>
      <c r="Z649" s="1"/>
      <c r="AA649" s="1"/>
      <c r="AB649" s="5"/>
      <c r="AC649" s="1"/>
      <c r="AD649" s="1"/>
      <c r="AE649" s="5"/>
      <c r="AF649" s="1"/>
      <c r="AG649" s="1"/>
      <c r="AH649" s="5"/>
      <c r="AI649" s="1"/>
      <c r="AJ649" s="1"/>
      <c r="AK649" s="5"/>
      <c r="AL649" s="1"/>
      <c r="AM649" s="1"/>
      <c r="AN649" s="5"/>
      <c r="AO649" s="1"/>
      <c r="AP649" s="1"/>
      <c r="AQ649" s="5"/>
      <c r="AR649" s="1"/>
      <c r="AS649" s="1"/>
      <c r="AT649" s="5"/>
      <c r="AU649" s="1"/>
      <c r="AV649" s="1"/>
      <c r="AW649" s="5"/>
      <c r="AX649" s="194">
        <v>0.08</v>
      </c>
      <c r="AY649" s="194">
        <f t="shared" ref="AY649:CD649" si="2756">AX649</f>
        <v>0.08</v>
      </c>
      <c r="AZ649" s="194">
        <f t="shared" si="2756"/>
        <v>0.08</v>
      </c>
      <c r="BA649" s="29">
        <f t="shared" si="2756"/>
        <v>0.08</v>
      </c>
      <c r="BB649" s="29">
        <f t="shared" si="2756"/>
        <v>0.08</v>
      </c>
      <c r="BC649" s="982">
        <f t="shared" si="2756"/>
        <v>0.08</v>
      </c>
      <c r="BD649" s="29">
        <f t="shared" si="2756"/>
        <v>0.08</v>
      </c>
      <c r="BE649" s="29">
        <f t="shared" si="2756"/>
        <v>0.08</v>
      </c>
      <c r="BF649" s="982">
        <f t="shared" si="2756"/>
        <v>0.08</v>
      </c>
      <c r="BG649" s="29">
        <f t="shared" si="2756"/>
        <v>0.08</v>
      </c>
      <c r="BH649" s="29">
        <f t="shared" si="2756"/>
        <v>0.08</v>
      </c>
      <c r="BI649" s="982">
        <f t="shared" si="2756"/>
        <v>0.08</v>
      </c>
      <c r="BJ649" s="112">
        <f t="shared" si="2756"/>
        <v>0.08</v>
      </c>
      <c r="BK649" s="112">
        <f t="shared" si="2756"/>
        <v>0.08</v>
      </c>
      <c r="BL649" s="113">
        <f t="shared" si="2756"/>
        <v>0.08</v>
      </c>
      <c r="BM649" s="112">
        <f t="shared" si="2756"/>
        <v>0.08</v>
      </c>
      <c r="BN649" s="112">
        <f t="shared" si="2756"/>
        <v>0.08</v>
      </c>
      <c r="BO649" s="113">
        <f t="shared" si="2756"/>
        <v>0.08</v>
      </c>
      <c r="BP649" s="112">
        <f t="shared" si="2756"/>
        <v>0.08</v>
      </c>
      <c r="BQ649" s="112">
        <f t="shared" si="2756"/>
        <v>0.08</v>
      </c>
      <c r="BR649" s="113">
        <f t="shared" si="2756"/>
        <v>0.08</v>
      </c>
      <c r="BS649" s="29">
        <f t="shared" si="2756"/>
        <v>0.08</v>
      </c>
      <c r="BT649" s="29">
        <f t="shared" si="2756"/>
        <v>0.08</v>
      </c>
      <c r="BU649" s="194">
        <f t="shared" si="2756"/>
        <v>0.08</v>
      </c>
      <c r="BV649" s="29">
        <f t="shared" si="2756"/>
        <v>0.08</v>
      </c>
      <c r="BW649" s="29">
        <f t="shared" si="2756"/>
        <v>0.08</v>
      </c>
      <c r="BX649" s="194">
        <f t="shared" si="2756"/>
        <v>0.08</v>
      </c>
      <c r="BY649" s="29">
        <f t="shared" si="2756"/>
        <v>0.08</v>
      </c>
      <c r="BZ649" s="29">
        <f t="shared" si="2756"/>
        <v>0.08</v>
      </c>
      <c r="CA649" s="194">
        <f t="shared" si="2756"/>
        <v>0.08</v>
      </c>
      <c r="CB649" s="29">
        <f t="shared" si="2756"/>
        <v>0.08</v>
      </c>
      <c r="CC649" s="29">
        <f t="shared" si="2756"/>
        <v>0.08</v>
      </c>
      <c r="CD649" s="194">
        <f t="shared" si="2756"/>
        <v>0.08</v>
      </c>
      <c r="CE649" s="29">
        <f t="shared" ref="CE649:DJ649" si="2757">CD649</f>
        <v>0.08</v>
      </c>
      <c r="CF649" s="29">
        <f t="shared" si="2757"/>
        <v>0.08</v>
      </c>
      <c r="CG649" s="194">
        <f t="shared" si="2757"/>
        <v>0.08</v>
      </c>
      <c r="CH649" s="29">
        <f t="shared" si="2757"/>
        <v>0.08</v>
      </c>
      <c r="CI649" s="29">
        <f t="shared" si="2757"/>
        <v>0.08</v>
      </c>
      <c r="CJ649" s="194">
        <f t="shared" si="2757"/>
        <v>0.08</v>
      </c>
      <c r="CK649" s="29">
        <f t="shared" si="2757"/>
        <v>0.08</v>
      </c>
      <c r="CL649" s="29">
        <f t="shared" si="2757"/>
        <v>0.08</v>
      </c>
      <c r="CM649" s="194">
        <f t="shared" si="2757"/>
        <v>0.08</v>
      </c>
      <c r="CN649" s="29">
        <f t="shared" si="2757"/>
        <v>0.08</v>
      </c>
      <c r="CO649" s="29">
        <f t="shared" si="2757"/>
        <v>0.08</v>
      </c>
      <c r="CP649" s="194">
        <f t="shared" si="2757"/>
        <v>0.08</v>
      </c>
      <c r="CQ649" s="29">
        <f t="shared" si="2757"/>
        <v>0.08</v>
      </c>
      <c r="CR649" s="29">
        <f t="shared" si="2757"/>
        <v>0.08</v>
      </c>
      <c r="CS649" s="194">
        <f t="shared" si="2757"/>
        <v>0.08</v>
      </c>
      <c r="CT649" s="29">
        <f t="shared" si="2757"/>
        <v>0.08</v>
      </c>
      <c r="CU649" s="29">
        <f t="shared" si="2757"/>
        <v>0.08</v>
      </c>
      <c r="CV649" s="194">
        <f t="shared" si="2757"/>
        <v>0.08</v>
      </c>
      <c r="CW649" s="29">
        <f t="shared" si="2757"/>
        <v>0.08</v>
      </c>
      <c r="CX649" s="29">
        <f t="shared" si="2757"/>
        <v>0.08</v>
      </c>
      <c r="CY649" s="194">
        <f t="shared" si="2757"/>
        <v>0.08</v>
      </c>
      <c r="CZ649" s="29">
        <f t="shared" si="2757"/>
        <v>0.08</v>
      </c>
      <c r="DA649" s="29">
        <f t="shared" si="2757"/>
        <v>0.08</v>
      </c>
      <c r="DB649" s="194">
        <f t="shared" si="2757"/>
        <v>0.08</v>
      </c>
      <c r="DC649" s="29">
        <f t="shared" si="2757"/>
        <v>0.08</v>
      </c>
      <c r="DD649" s="29">
        <f t="shared" si="2757"/>
        <v>0.08</v>
      </c>
      <c r="DE649" s="194">
        <f t="shared" si="2757"/>
        <v>0.08</v>
      </c>
      <c r="DF649" s="29">
        <f t="shared" si="2757"/>
        <v>0.08</v>
      </c>
      <c r="DG649" s="29">
        <f t="shared" si="2757"/>
        <v>0.08</v>
      </c>
      <c r="DH649" s="194">
        <f t="shared" si="2757"/>
        <v>0.08</v>
      </c>
      <c r="DI649" s="29">
        <f t="shared" si="2757"/>
        <v>0.08</v>
      </c>
      <c r="DJ649" s="29">
        <f t="shared" si="2757"/>
        <v>0.08</v>
      </c>
      <c r="DK649" s="194">
        <f t="shared" ref="DK649:EF649" si="2758">DJ649</f>
        <v>0.08</v>
      </c>
      <c r="DL649" s="29">
        <f>DK649</f>
        <v>0.08</v>
      </c>
      <c r="DM649" s="29">
        <f t="shared" si="2758"/>
        <v>0.08</v>
      </c>
      <c r="DN649" s="194">
        <f t="shared" si="2758"/>
        <v>0.08</v>
      </c>
      <c r="DO649" s="29">
        <f t="shared" si="2758"/>
        <v>0.08</v>
      </c>
      <c r="DP649" s="29">
        <f t="shared" si="2758"/>
        <v>0.08</v>
      </c>
      <c r="DQ649" s="194">
        <f t="shared" si="2758"/>
        <v>0.08</v>
      </c>
      <c r="DR649" s="29">
        <f t="shared" si="2758"/>
        <v>0.08</v>
      </c>
      <c r="DS649" s="29">
        <f t="shared" si="2758"/>
        <v>0.08</v>
      </c>
      <c r="DT649" s="194">
        <f t="shared" si="2758"/>
        <v>0.08</v>
      </c>
      <c r="DU649" s="29">
        <f t="shared" si="2758"/>
        <v>0.08</v>
      </c>
      <c r="DV649" s="29">
        <f t="shared" si="2758"/>
        <v>0.08</v>
      </c>
      <c r="DW649" s="194">
        <f t="shared" si="2758"/>
        <v>0.08</v>
      </c>
      <c r="DX649" s="29">
        <f t="shared" si="2758"/>
        <v>0.08</v>
      </c>
      <c r="DY649" s="29">
        <f t="shared" si="2758"/>
        <v>0.08</v>
      </c>
      <c r="DZ649" s="194">
        <f t="shared" si="2758"/>
        <v>0.08</v>
      </c>
      <c r="EA649" s="29">
        <f t="shared" si="2758"/>
        <v>0.08</v>
      </c>
      <c r="EB649" s="29">
        <f t="shared" si="2758"/>
        <v>0.08</v>
      </c>
      <c r="EC649" s="194">
        <f t="shared" si="2758"/>
        <v>0.08</v>
      </c>
      <c r="ED649" s="29">
        <f t="shared" si="2758"/>
        <v>0.08</v>
      </c>
      <c r="EE649" s="29">
        <f t="shared" si="2758"/>
        <v>0.08</v>
      </c>
      <c r="EF649" s="194">
        <f t="shared" si="2758"/>
        <v>0.08</v>
      </c>
      <c r="EG649" s="29">
        <f t="shared" ref="EG649:EL652" si="2759">EF649</f>
        <v>0.08</v>
      </c>
      <c r="EH649" s="29">
        <f t="shared" si="2759"/>
        <v>0.08</v>
      </c>
      <c r="EI649" s="194">
        <f t="shared" si="2759"/>
        <v>0.08</v>
      </c>
      <c r="EJ649" s="29">
        <f t="shared" si="2759"/>
        <v>0.08</v>
      </c>
      <c r="EK649" s="29">
        <f t="shared" si="2759"/>
        <v>0.08</v>
      </c>
      <c r="EL649" s="194">
        <f t="shared" si="2759"/>
        <v>0.08</v>
      </c>
      <c r="EM649" s="29">
        <f t="shared" ref="EM649:ER652" si="2760">EL649</f>
        <v>0.08</v>
      </c>
      <c r="EN649" s="29">
        <f t="shared" si="2760"/>
        <v>0.08</v>
      </c>
      <c r="EO649" s="194">
        <f t="shared" si="2760"/>
        <v>0.08</v>
      </c>
      <c r="EP649" s="29">
        <f t="shared" si="2760"/>
        <v>0.08</v>
      </c>
      <c r="EQ649" s="29">
        <f t="shared" si="2760"/>
        <v>0.08</v>
      </c>
      <c r="ER649" s="194">
        <f t="shared" si="2760"/>
        <v>0.08</v>
      </c>
      <c r="ES649" s="29">
        <f t="shared" ref="ES649:ES652" si="2761">ER649</f>
        <v>0.08</v>
      </c>
      <c r="ET649" s="29">
        <f t="shared" ref="ET649:ET652" si="2762">ES649</f>
        <v>0.08</v>
      </c>
      <c r="EU649" s="194">
        <f t="shared" ref="EU649:EU652" si="2763">ET649</f>
        <v>0.08</v>
      </c>
      <c r="EV649" s="29">
        <f t="shared" ref="EV649:EV652" si="2764">EU649</f>
        <v>0.08</v>
      </c>
      <c r="EW649" s="29">
        <f t="shared" ref="EW649:EW652" si="2765">EV649</f>
        <v>0.08</v>
      </c>
      <c r="EX649" s="194">
        <f t="shared" ref="EX649:EX652" si="2766">EW649</f>
        <v>0.08</v>
      </c>
      <c r="EY649" s="29">
        <f t="shared" ref="EY649:EY652" si="2767">EX649</f>
        <v>0.08</v>
      </c>
      <c r="EZ649" s="29">
        <f t="shared" ref="EZ649:EZ652" si="2768">EY649</f>
        <v>0.08</v>
      </c>
      <c r="FA649" s="194">
        <f t="shared" ref="FA649:FA652" si="2769">EZ649</f>
        <v>0.08</v>
      </c>
      <c r="FH649" s="35"/>
      <c r="FI649" s="35"/>
      <c r="FJ649" s="35"/>
      <c r="FK649" s="35"/>
      <c r="FL649" s="35"/>
      <c r="FM649" s="35"/>
      <c r="FN649" s="35"/>
      <c r="FO649" s="35"/>
      <c r="FP649" s="35"/>
      <c r="FQ649" s="35"/>
    </row>
    <row r="650" spans="1:173" s="321" customFormat="1" hidden="1" outlineLevel="1">
      <c r="A650" s="1168"/>
      <c r="B650" s="186"/>
      <c r="C650" s="186" t="s">
        <v>317</v>
      </c>
      <c r="D650" s="910"/>
      <c r="E650" s="1"/>
      <c r="F650" s="1"/>
      <c r="G650" s="5"/>
      <c r="H650" s="1"/>
      <c r="I650" s="1"/>
      <c r="J650" s="5"/>
      <c r="K650" s="1"/>
      <c r="L650" s="1"/>
      <c r="M650" s="5"/>
      <c r="N650" s="1"/>
      <c r="O650" s="1"/>
      <c r="P650" s="5"/>
      <c r="Q650" s="1"/>
      <c r="R650" s="1"/>
      <c r="S650" s="5"/>
      <c r="T650" s="1"/>
      <c r="U650" s="1"/>
      <c r="V650" s="5"/>
      <c r="W650" s="1"/>
      <c r="X650" s="1"/>
      <c r="Y650" s="5"/>
      <c r="Z650" s="1"/>
      <c r="AA650" s="1"/>
      <c r="AB650" s="5"/>
      <c r="AC650" s="1"/>
      <c r="AD650" s="1"/>
      <c r="AE650" s="5"/>
      <c r="AF650" s="1"/>
      <c r="AG650" s="1"/>
      <c r="AH650" s="5"/>
      <c r="AI650" s="1"/>
      <c r="AJ650" s="1"/>
      <c r="AK650" s="5"/>
      <c r="AL650" s="1"/>
      <c r="AM650" s="1"/>
      <c r="AN650" s="5"/>
      <c r="AO650" s="1"/>
      <c r="AP650" s="1"/>
      <c r="AQ650" s="5"/>
      <c r="AR650" s="1"/>
      <c r="AS650" s="1"/>
      <c r="AT650" s="5"/>
      <c r="AU650" s="1"/>
      <c r="AV650" s="1"/>
      <c r="AW650" s="5"/>
      <c r="AX650" s="194">
        <f>AX649</f>
        <v>0.08</v>
      </c>
      <c r="AY650" s="194">
        <f t="shared" ref="AY650:CD650" si="2770">AX650</f>
        <v>0.08</v>
      </c>
      <c r="AZ650" s="194">
        <f t="shared" si="2770"/>
        <v>0.08</v>
      </c>
      <c r="BA650" s="29">
        <f t="shared" si="2770"/>
        <v>0.08</v>
      </c>
      <c r="BB650" s="29">
        <f t="shared" si="2770"/>
        <v>0.08</v>
      </c>
      <c r="BC650" s="982">
        <f t="shared" si="2770"/>
        <v>0.08</v>
      </c>
      <c r="BD650" s="29">
        <f t="shared" si="2770"/>
        <v>0.08</v>
      </c>
      <c r="BE650" s="29">
        <f t="shared" si="2770"/>
        <v>0.08</v>
      </c>
      <c r="BF650" s="982">
        <f t="shared" si="2770"/>
        <v>0.08</v>
      </c>
      <c r="BG650" s="29">
        <f t="shared" si="2770"/>
        <v>0.08</v>
      </c>
      <c r="BH650" s="29">
        <f t="shared" si="2770"/>
        <v>0.08</v>
      </c>
      <c r="BI650" s="982">
        <f t="shared" si="2770"/>
        <v>0.08</v>
      </c>
      <c r="BJ650" s="112">
        <f t="shared" si="2770"/>
        <v>0.08</v>
      </c>
      <c r="BK650" s="112">
        <f t="shared" si="2770"/>
        <v>0.08</v>
      </c>
      <c r="BL650" s="113">
        <f t="shared" si="2770"/>
        <v>0.08</v>
      </c>
      <c r="BM650" s="112">
        <f t="shared" si="2770"/>
        <v>0.08</v>
      </c>
      <c r="BN650" s="112">
        <f t="shared" si="2770"/>
        <v>0.08</v>
      </c>
      <c r="BO650" s="113">
        <f t="shared" si="2770"/>
        <v>0.08</v>
      </c>
      <c r="BP650" s="112">
        <f t="shared" si="2770"/>
        <v>0.08</v>
      </c>
      <c r="BQ650" s="112">
        <f t="shared" si="2770"/>
        <v>0.08</v>
      </c>
      <c r="BR650" s="113">
        <f t="shared" si="2770"/>
        <v>0.08</v>
      </c>
      <c r="BS650" s="29">
        <f t="shared" si="2770"/>
        <v>0.08</v>
      </c>
      <c r="BT650" s="29">
        <f t="shared" si="2770"/>
        <v>0.08</v>
      </c>
      <c r="BU650" s="194">
        <f t="shared" si="2770"/>
        <v>0.08</v>
      </c>
      <c r="BV650" s="29">
        <f t="shared" si="2770"/>
        <v>0.08</v>
      </c>
      <c r="BW650" s="29">
        <f t="shared" si="2770"/>
        <v>0.08</v>
      </c>
      <c r="BX650" s="194">
        <f t="shared" si="2770"/>
        <v>0.08</v>
      </c>
      <c r="BY650" s="29">
        <f t="shared" si="2770"/>
        <v>0.08</v>
      </c>
      <c r="BZ650" s="29">
        <f t="shared" si="2770"/>
        <v>0.08</v>
      </c>
      <c r="CA650" s="194">
        <f t="shared" si="2770"/>
        <v>0.08</v>
      </c>
      <c r="CB650" s="29">
        <f t="shared" si="2770"/>
        <v>0.08</v>
      </c>
      <c r="CC650" s="29">
        <f t="shared" si="2770"/>
        <v>0.08</v>
      </c>
      <c r="CD650" s="194">
        <f t="shared" si="2770"/>
        <v>0.08</v>
      </c>
      <c r="CE650" s="29">
        <f t="shared" ref="CE650:DJ650" si="2771">CD650</f>
        <v>0.08</v>
      </c>
      <c r="CF650" s="29">
        <f t="shared" si="2771"/>
        <v>0.08</v>
      </c>
      <c r="CG650" s="194">
        <f t="shared" si="2771"/>
        <v>0.08</v>
      </c>
      <c r="CH650" s="29">
        <f t="shared" si="2771"/>
        <v>0.08</v>
      </c>
      <c r="CI650" s="29">
        <f t="shared" si="2771"/>
        <v>0.08</v>
      </c>
      <c r="CJ650" s="194">
        <f t="shared" si="2771"/>
        <v>0.08</v>
      </c>
      <c r="CK650" s="29">
        <f t="shared" si="2771"/>
        <v>0.08</v>
      </c>
      <c r="CL650" s="29">
        <f t="shared" si="2771"/>
        <v>0.08</v>
      </c>
      <c r="CM650" s="194">
        <f t="shared" si="2771"/>
        <v>0.08</v>
      </c>
      <c r="CN650" s="29">
        <f t="shared" si="2771"/>
        <v>0.08</v>
      </c>
      <c r="CO650" s="29">
        <f t="shared" si="2771"/>
        <v>0.08</v>
      </c>
      <c r="CP650" s="194">
        <f t="shared" si="2771"/>
        <v>0.08</v>
      </c>
      <c r="CQ650" s="29">
        <f t="shared" si="2771"/>
        <v>0.08</v>
      </c>
      <c r="CR650" s="29">
        <f t="shared" si="2771"/>
        <v>0.08</v>
      </c>
      <c r="CS650" s="194">
        <f t="shared" si="2771"/>
        <v>0.08</v>
      </c>
      <c r="CT650" s="29">
        <f t="shared" si="2771"/>
        <v>0.08</v>
      </c>
      <c r="CU650" s="29">
        <f t="shared" si="2771"/>
        <v>0.08</v>
      </c>
      <c r="CV650" s="194">
        <f t="shared" si="2771"/>
        <v>0.08</v>
      </c>
      <c r="CW650" s="29">
        <f t="shared" si="2771"/>
        <v>0.08</v>
      </c>
      <c r="CX650" s="29">
        <f t="shared" si="2771"/>
        <v>0.08</v>
      </c>
      <c r="CY650" s="194">
        <f t="shared" si="2771"/>
        <v>0.08</v>
      </c>
      <c r="CZ650" s="29">
        <f t="shared" si="2771"/>
        <v>0.08</v>
      </c>
      <c r="DA650" s="29">
        <f t="shared" si="2771"/>
        <v>0.08</v>
      </c>
      <c r="DB650" s="194">
        <f t="shared" si="2771"/>
        <v>0.08</v>
      </c>
      <c r="DC650" s="29">
        <f t="shared" si="2771"/>
        <v>0.08</v>
      </c>
      <c r="DD650" s="29">
        <f t="shared" si="2771"/>
        <v>0.08</v>
      </c>
      <c r="DE650" s="194">
        <f t="shared" si="2771"/>
        <v>0.08</v>
      </c>
      <c r="DF650" s="29">
        <f t="shared" si="2771"/>
        <v>0.08</v>
      </c>
      <c r="DG650" s="29">
        <f t="shared" si="2771"/>
        <v>0.08</v>
      </c>
      <c r="DH650" s="194">
        <f t="shared" si="2771"/>
        <v>0.08</v>
      </c>
      <c r="DI650" s="29">
        <f t="shared" si="2771"/>
        <v>0.08</v>
      </c>
      <c r="DJ650" s="29">
        <f t="shared" si="2771"/>
        <v>0.08</v>
      </c>
      <c r="DK650" s="194">
        <f t="shared" ref="DK650:EF650" si="2772">DJ650</f>
        <v>0.08</v>
      </c>
      <c r="DL650" s="29">
        <f>DK650</f>
        <v>0.08</v>
      </c>
      <c r="DM650" s="29">
        <f t="shared" si="2772"/>
        <v>0.08</v>
      </c>
      <c r="DN650" s="194">
        <f t="shared" si="2772"/>
        <v>0.08</v>
      </c>
      <c r="DO650" s="29">
        <f t="shared" si="2772"/>
        <v>0.08</v>
      </c>
      <c r="DP650" s="29">
        <f t="shared" si="2772"/>
        <v>0.08</v>
      </c>
      <c r="DQ650" s="194">
        <f t="shared" si="2772"/>
        <v>0.08</v>
      </c>
      <c r="DR650" s="29">
        <f t="shared" si="2772"/>
        <v>0.08</v>
      </c>
      <c r="DS650" s="29">
        <f t="shared" si="2772"/>
        <v>0.08</v>
      </c>
      <c r="DT650" s="194">
        <f t="shared" si="2772"/>
        <v>0.08</v>
      </c>
      <c r="DU650" s="29">
        <f t="shared" si="2772"/>
        <v>0.08</v>
      </c>
      <c r="DV650" s="29">
        <f t="shared" si="2772"/>
        <v>0.08</v>
      </c>
      <c r="DW650" s="194">
        <f t="shared" si="2772"/>
        <v>0.08</v>
      </c>
      <c r="DX650" s="29">
        <f t="shared" si="2772"/>
        <v>0.08</v>
      </c>
      <c r="DY650" s="29">
        <f t="shared" si="2772"/>
        <v>0.08</v>
      </c>
      <c r="DZ650" s="194">
        <f t="shared" si="2772"/>
        <v>0.08</v>
      </c>
      <c r="EA650" s="29">
        <f t="shared" si="2772"/>
        <v>0.08</v>
      </c>
      <c r="EB650" s="29">
        <f t="shared" si="2772"/>
        <v>0.08</v>
      </c>
      <c r="EC650" s="194">
        <f t="shared" si="2772"/>
        <v>0.08</v>
      </c>
      <c r="ED650" s="29">
        <f t="shared" si="2772"/>
        <v>0.08</v>
      </c>
      <c r="EE650" s="29">
        <f t="shared" si="2772"/>
        <v>0.08</v>
      </c>
      <c r="EF650" s="194">
        <f t="shared" si="2772"/>
        <v>0.08</v>
      </c>
      <c r="EG650" s="29">
        <f t="shared" si="2759"/>
        <v>0.08</v>
      </c>
      <c r="EH650" s="29">
        <f t="shared" si="2759"/>
        <v>0.08</v>
      </c>
      <c r="EI650" s="194">
        <f t="shared" si="2759"/>
        <v>0.08</v>
      </c>
      <c r="EJ650" s="29">
        <f t="shared" si="2759"/>
        <v>0.08</v>
      </c>
      <c r="EK650" s="29">
        <f t="shared" si="2759"/>
        <v>0.08</v>
      </c>
      <c r="EL650" s="194">
        <f t="shared" si="2759"/>
        <v>0.08</v>
      </c>
      <c r="EM650" s="29">
        <f t="shared" si="2760"/>
        <v>0.08</v>
      </c>
      <c r="EN650" s="29">
        <f t="shared" si="2760"/>
        <v>0.08</v>
      </c>
      <c r="EO650" s="194">
        <f t="shared" si="2760"/>
        <v>0.08</v>
      </c>
      <c r="EP650" s="29">
        <f t="shared" si="2760"/>
        <v>0.08</v>
      </c>
      <c r="EQ650" s="29">
        <f t="shared" si="2760"/>
        <v>0.08</v>
      </c>
      <c r="ER650" s="194">
        <f t="shared" si="2760"/>
        <v>0.08</v>
      </c>
      <c r="ES650" s="29">
        <f t="shared" si="2761"/>
        <v>0.08</v>
      </c>
      <c r="ET650" s="29">
        <f t="shared" si="2762"/>
        <v>0.08</v>
      </c>
      <c r="EU650" s="194">
        <f t="shared" si="2763"/>
        <v>0.08</v>
      </c>
      <c r="EV650" s="29">
        <f t="shared" si="2764"/>
        <v>0.08</v>
      </c>
      <c r="EW650" s="29">
        <f t="shared" si="2765"/>
        <v>0.08</v>
      </c>
      <c r="EX650" s="194">
        <f t="shared" si="2766"/>
        <v>0.08</v>
      </c>
      <c r="EY650" s="29">
        <f t="shared" si="2767"/>
        <v>0.08</v>
      </c>
      <c r="EZ650" s="29">
        <f t="shared" si="2768"/>
        <v>0.08</v>
      </c>
      <c r="FA650" s="194">
        <f t="shared" si="2769"/>
        <v>0.08</v>
      </c>
      <c r="FH650" s="35"/>
      <c r="FI650" s="35"/>
      <c r="FJ650" s="35"/>
      <c r="FK650" s="35"/>
      <c r="FL650" s="35"/>
      <c r="FM650" s="35"/>
      <c r="FN650" s="35"/>
      <c r="FO650" s="35"/>
      <c r="FP650" s="35"/>
      <c r="FQ650" s="35"/>
    </row>
    <row r="651" spans="1:173" s="321" customFormat="1" hidden="1" outlineLevel="1">
      <c r="A651" s="1168"/>
      <c r="B651" s="186"/>
      <c r="C651" s="186" t="s">
        <v>431</v>
      </c>
      <c r="D651" s="910"/>
      <c r="E651" s="1"/>
      <c r="F651" s="1"/>
      <c r="G651" s="5"/>
      <c r="H651" s="1"/>
      <c r="I651" s="1"/>
      <c r="J651" s="5"/>
      <c r="K651" s="1"/>
      <c r="L651" s="1"/>
      <c r="M651" s="5"/>
      <c r="N651" s="1"/>
      <c r="O651" s="1"/>
      <c r="P651" s="5"/>
      <c r="Q651" s="1"/>
      <c r="R651" s="1"/>
      <c r="S651" s="5"/>
      <c r="T651" s="1"/>
      <c r="U651" s="1"/>
      <c r="V651" s="5"/>
      <c r="W651" s="1"/>
      <c r="X651" s="1"/>
      <c r="Y651" s="5"/>
      <c r="Z651" s="1"/>
      <c r="AA651" s="1"/>
      <c r="AB651" s="5"/>
      <c r="AC651" s="1"/>
      <c r="AD651" s="1"/>
      <c r="AE651" s="5"/>
      <c r="AF651" s="1"/>
      <c r="AG651" s="1"/>
      <c r="AH651" s="5"/>
      <c r="AI651" s="1"/>
      <c r="AJ651" s="1"/>
      <c r="AK651" s="5"/>
      <c r="AL651" s="1"/>
      <c r="AM651" s="1"/>
      <c r="AN651" s="5"/>
      <c r="AO651" s="1"/>
      <c r="AP651" s="1"/>
      <c r="AQ651" s="5"/>
      <c r="AR651" s="1"/>
      <c r="AS651" s="1"/>
      <c r="AT651" s="5"/>
      <c r="AU651" s="1"/>
      <c r="AV651" s="1"/>
      <c r="AW651" s="5"/>
      <c r="AX651" s="194">
        <f>AX650</f>
        <v>0.08</v>
      </c>
      <c r="AY651" s="194">
        <f t="shared" ref="AY651:CD651" si="2773">AX651</f>
        <v>0.08</v>
      </c>
      <c r="AZ651" s="194">
        <f t="shared" si="2773"/>
        <v>0.08</v>
      </c>
      <c r="BA651" s="29">
        <f t="shared" si="2773"/>
        <v>0.08</v>
      </c>
      <c r="BB651" s="29">
        <f t="shared" si="2773"/>
        <v>0.08</v>
      </c>
      <c r="BC651" s="982">
        <f t="shared" si="2773"/>
        <v>0.08</v>
      </c>
      <c r="BD651" s="29">
        <f t="shared" si="2773"/>
        <v>0.08</v>
      </c>
      <c r="BE651" s="29">
        <f t="shared" si="2773"/>
        <v>0.08</v>
      </c>
      <c r="BF651" s="982">
        <f t="shared" si="2773"/>
        <v>0.08</v>
      </c>
      <c r="BG651" s="29">
        <f t="shared" si="2773"/>
        <v>0.08</v>
      </c>
      <c r="BH651" s="29">
        <f t="shared" si="2773"/>
        <v>0.08</v>
      </c>
      <c r="BI651" s="982">
        <f t="shared" si="2773"/>
        <v>0.08</v>
      </c>
      <c r="BJ651" s="112">
        <f t="shared" si="2773"/>
        <v>0.08</v>
      </c>
      <c r="BK651" s="112">
        <f t="shared" si="2773"/>
        <v>0.08</v>
      </c>
      <c r="BL651" s="113">
        <f t="shared" si="2773"/>
        <v>0.08</v>
      </c>
      <c r="BM651" s="112">
        <f t="shared" si="2773"/>
        <v>0.08</v>
      </c>
      <c r="BN651" s="112">
        <f t="shared" si="2773"/>
        <v>0.08</v>
      </c>
      <c r="BO651" s="113">
        <f t="shared" si="2773"/>
        <v>0.08</v>
      </c>
      <c r="BP651" s="112">
        <f t="shared" si="2773"/>
        <v>0.08</v>
      </c>
      <c r="BQ651" s="112">
        <f t="shared" si="2773"/>
        <v>0.08</v>
      </c>
      <c r="BR651" s="113">
        <f t="shared" si="2773"/>
        <v>0.08</v>
      </c>
      <c r="BS651" s="29">
        <f t="shared" si="2773"/>
        <v>0.08</v>
      </c>
      <c r="BT651" s="29">
        <f t="shared" si="2773"/>
        <v>0.08</v>
      </c>
      <c r="BU651" s="194">
        <f t="shared" si="2773"/>
        <v>0.08</v>
      </c>
      <c r="BV651" s="29">
        <f t="shared" si="2773"/>
        <v>0.08</v>
      </c>
      <c r="BW651" s="29">
        <f t="shared" si="2773"/>
        <v>0.08</v>
      </c>
      <c r="BX651" s="194">
        <f t="shared" si="2773"/>
        <v>0.08</v>
      </c>
      <c r="BY651" s="29">
        <f t="shared" si="2773"/>
        <v>0.08</v>
      </c>
      <c r="BZ651" s="29">
        <f t="shared" si="2773"/>
        <v>0.08</v>
      </c>
      <c r="CA651" s="194">
        <f t="shared" si="2773"/>
        <v>0.08</v>
      </c>
      <c r="CB651" s="29">
        <f t="shared" si="2773"/>
        <v>0.08</v>
      </c>
      <c r="CC651" s="29">
        <f t="shared" si="2773"/>
        <v>0.08</v>
      </c>
      <c r="CD651" s="194">
        <f t="shared" si="2773"/>
        <v>0.08</v>
      </c>
      <c r="CE651" s="29">
        <f t="shared" ref="CE651:DJ651" si="2774">CD651</f>
        <v>0.08</v>
      </c>
      <c r="CF651" s="29">
        <f t="shared" si="2774"/>
        <v>0.08</v>
      </c>
      <c r="CG651" s="194">
        <f t="shared" si="2774"/>
        <v>0.08</v>
      </c>
      <c r="CH651" s="29">
        <f t="shared" si="2774"/>
        <v>0.08</v>
      </c>
      <c r="CI651" s="29">
        <f t="shared" si="2774"/>
        <v>0.08</v>
      </c>
      <c r="CJ651" s="194">
        <f t="shared" si="2774"/>
        <v>0.08</v>
      </c>
      <c r="CK651" s="29">
        <f t="shared" si="2774"/>
        <v>0.08</v>
      </c>
      <c r="CL651" s="29">
        <f t="shared" si="2774"/>
        <v>0.08</v>
      </c>
      <c r="CM651" s="194">
        <f t="shared" si="2774"/>
        <v>0.08</v>
      </c>
      <c r="CN651" s="29">
        <f t="shared" si="2774"/>
        <v>0.08</v>
      </c>
      <c r="CO651" s="29">
        <f t="shared" si="2774"/>
        <v>0.08</v>
      </c>
      <c r="CP651" s="194">
        <f t="shared" si="2774"/>
        <v>0.08</v>
      </c>
      <c r="CQ651" s="29">
        <f t="shared" si="2774"/>
        <v>0.08</v>
      </c>
      <c r="CR651" s="29">
        <f t="shared" si="2774"/>
        <v>0.08</v>
      </c>
      <c r="CS651" s="194">
        <f t="shared" si="2774"/>
        <v>0.08</v>
      </c>
      <c r="CT651" s="29">
        <f t="shared" si="2774"/>
        <v>0.08</v>
      </c>
      <c r="CU651" s="29">
        <f t="shared" si="2774"/>
        <v>0.08</v>
      </c>
      <c r="CV651" s="194">
        <f t="shared" si="2774"/>
        <v>0.08</v>
      </c>
      <c r="CW651" s="29">
        <f t="shared" si="2774"/>
        <v>0.08</v>
      </c>
      <c r="CX651" s="29">
        <f t="shared" si="2774"/>
        <v>0.08</v>
      </c>
      <c r="CY651" s="194">
        <f t="shared" si="2774"/>
        <v>0.08</v>
      </c>
      <c r="CZ651" s="29">
        <f t="shared" si="2774"/>
        <v>0.08</v>
      </c>
      <c r="DA651" s="29">
        <f t="shared" si="2774"/>
        <v>0.08</v>
      </c>
      <c r="DB651" s="194">
        <f t="shared" si="2774"/>
        <v>0.08</v>
      </c>
      <c r="DC651" s="29">
        <f t="shared" si="2774"/>
        <v>0.08</v>
      </c>
      <c r="DD651" s="29">
        <f t="shared" si="2774"/>
        <v>0.08</v>
      </c>
      <c r="DE651" s="194">
        <f t="shared" si="2774"/>
        <v>0.08</v>
      </c>
      <c r="DF651" s="29">
        <f t="shared" si="2774"/>
        <v>0.08</v>
      </c>
      <c r="DG651" s="29">
        <f t="shared" si="2774"/>
        <v>0.08</v>
      </c>
      <c r="DH651" s="194">
        <f t="shared" si="2774"/>
        <v>0.08</v>
      </c>
      <c r="DI651" s="29">
        <f t="shared" si="2774"/>
        <v>0.08</v>
      </c>
      <c r="DJ651" s="29">
        <f t="shared" si="2774"/>
        <v>0.08</v>
      </c>
      <c r="DK651" s="194">
        <f t="shared" ref="DK651:EF651" si="2775">DJ651</f>
        <v>0.08</v>
      </c>
      <c r="DL651" s="29">
        <f>DK651</f>
        <v>0.08</v>
      </c>
      <c r="DM651" s="29">
        <f t="shared" si="2775"/>
        <v>0.08</v>
      </c>
      <c r="DN651" s="194">
        <f t="shared" si="2775"/>
        <v>0.08</v>
      </c>
      <c r="DO651" s="29">
        <f t="shared" si="2775"/>
        <v>0.08</v>
      </c>
      <c r="DP651" s="29">
        <f t="shared" si="2775"/>
        <v>0.08</v>
      </c>
      <c r="DQ651" s="194">
        <f t="shared" si="2775"/>
        <v>0.08</v>
      </c>
      <c r="DR651" s="29">
        <f t="shared" si="2775"/>
        <v>0.08</v>
      </c>
      <c r="DS651" s="29">
        <f t="shared" si="2775"/>
        <v>0.08</v>
      </c>
      <c r="DT651" s="194">
        <f t="shared" si="2775"/>
        <v>0.08</v>
      </c>
      <c r="DU651" s="29">
        <f t="shared" si="2775"/>
        <v>0.08</v>
      </c>
      <c r="DV651" s="29">
        <f t="shared" si="2775"/>
        <v>0.08</v>
      </c>
      <c r="DW651" s="194">
        <f t="shared" si="2775"/>
        <v>0.08</v>
      </c>
      <c r="DX651" s="29">
        <f t="shared" si="2775"/>
        <v>0.08</v>
      </c>
      <c r="DY651" s="29">
        <f t="shared" si="2775"/>
        <v>0.08</v>
      </c>
      <c r="DZ651" s="194">
        <f t="shared" si="2775"/>
        <v>0.08</v>
      </c>
      <c r="EA651" s="29">
        <f t="shared" si="2775"/>
        <v>0.08</v>
      </c>
      <c r="EB651" s="29">
        <f t="shared" si="2775"/>
        <v>0.08</v>
      </c>
      <c r="EC651" s="194">
        <f t="shared" si="2775"/>
        <v>0.08</v>
      </c>
      <c r="ED651" s="29">
        <f t="shared" si="2775"/>
        <v>0.08</v>
      </c>
      <c r="EE651" s="29">
        <f t="shared" si="2775"/>
        <v>0.08</v>
      </c>
      <c r="EF651" s="194">
        <f t="shared" si="2775"/>
        <v>0.08</v>
      </c>
      <c r="EG651" s="29">
        <f t="shared" si="2759"/>
        <v>0.08</v>
      </c>
      <c r="EH651" s="29">
        <f t="shared" si="2759"/>
        <v>0.08</v>
      </c>
      <c r="EI651" s="194">
        <f t="shared" si="2759"/>
        <v>0.08</v>
      </c>
      <c r="EJ651" s="29">
        <f t="shared" si="2759"/>
        <v>0.08</v>
      </c>
      <c r="EK651" s="29">
        <f t="shared" si="2759"/>
        <v>0.08</v>
      </c>
      <c r="EL651" s="194">
        <f t="shared" si="2759"/>
        <v>0.08</v>
      </c>
      <c r="EM651" s="29">
        <f t="shared" si="2760"/>
        <v>0.08</v>
      </c>
      <c r="EN651" s="29">
        <f t="shared" si="2760"/>
        <v>0.08</v>
      </c>
      <c r="EO651" s="194">
        <f t="shared" si="2760"/>
        <v>0.08</v>
      </c>
      <c r="EP651" s="29">
        <f t="shared" si="2760"/>
        <v>0.08</v>
      </c>
      <c r="EQ651" s="29">
        <f t="shared" si="2760"/>
        <v>0.08</v>
      </c>
      <c r="ER651" s="194">
        <f t="shared" si="2760"/>
        <v>0.08</v>
      </c>
      <c r="ES651" s="29">
        <f t="shared" si="2761"/>
        <v>0.08</v>
      </c>
      <c r="ET651" s="29">
        <f t="shared" si="2762"/>
        <v>0.08</v>
      </c>
      <c r="EU651" s="194">
        <f t="shared" si="2763"/>
        <v>0.08</v>
      </c>
      <c r="EV651" s="29">
        <f t="shared" si="2764"/>
        <v>0.08</v>
      </c>
      <c r="EW651" s="29">
        <f t="shared" si="2765"/>
        <v>0.08</v>
      </c>
      <c r="EX651" s="194">
        <f t="shared" si="2766"/>
        <v>0.08</v>
      </c>
      <c r="EY651" s="29">
        <f t="shared" si="2767"/>
        <v>0.08</v>
      </c>
      <c r="EZ651" s="29">
        <f t="shared" si="2768"/>
        <v>0.08</v>
      </c>
      <c r="FA651" s="194">
        <f t="shared" si="2769"/>
        <v>0.08</v>
      </c>
      <c r="FH651" s="35"/>
      <c r="FI651" s="35"/>
      <c r="FJ651" s="35"/>
      <c r="FK651" s="35"/>
      <c r="FL651" s="35"/>
      <c r="FM651" s="35"/>
      <c r="FN651" s="35"/>
      <c r="FO651" s="35"/>
      <c r="FP651" s="35"/>
      <c r="FQ651" s="35"/>
    </row>
    <row r="652" spans="1:173" s="321" customFormat="1" ht="13.5" hidden="1" outlineLevel="1" thickBot="1">
      <c r="A652" s="1437"/>
      <c r="B652" s="967"/>
      <c r="C652" s="967" t="s">
        <v>327</v>
      </c>
      <c r="D652" s="969"/>
      <c r="E652" s="18"/>
      <c r="F652" s="18"/>
      <c r="G652" s="19"/>
      <c r="H652" s="18"/>
      <c r="I652" s="18"/>
      <c r="J652" s="19"/>
      <c r="K652" s="18"/>
      <c r="L652" s="18"/>
      <c r="M652" s="19"/>
      <c r="N652" s="18"/>
      <c r="O652" s="18"/>
      <c r="P652" s="19"/>
      <c r="Q652" s="18"/>
      <c r="R652" s="18"/>
      <c r="S652" s="19"/>
      <c r="T652" s="18"/>
      <c r="U652" s="18"/>
      <c r="V652" s="19"/>
      <c r="W652" s="18"/>
      <c r="X652" s="18"/>
      <c r="Y652" s="19"/>
      <c r="Z652" s="18"/>
      <c r="AA652" s="18"/>
      <c r="AB652" s="19"/>
      <c r="AC652" s="18"/>
      <c r="AD652" s="18"/>
      <c r="AE652" s="19"/>
      <c r="AF652" s="18"/>
      <c r="AG652" s="18"/>
      <c r="AH652" s="19"/>
      <c r="AI652" s="18"/>
      <c r="AJ652" s="18"/>
      <c r="AK652" s="19"/>
      <c r="AL652" s="18"/>
      <c r="AM652" s="18"/>
      <c r="AN652" s="19"/>
      <c r="AO652" s="18"/>
      <c r="AP652" s="18"/>
      <c r="AQ652" s="19"/>
      <c r="AR652" s="18"/>
      <c r="AS652" s="18"/>
      <c r="AT652" s="19"/>
      <c r="AU652" s="18"/>
      <c r="AV652" s="18"/>
      <c r="AW652" s="19"/>
      <c r="AX652" s="219">
        <f>AX651</f>
        <v>0.08</v>
      </c>
      <c r="AY652" s="219">
        <f t="shared" ref="AY652:CD652" si="2776">AX652</f>
        <v>0.08</v>
      </c>
      <c r="AZ652" s="219">
        <f t="shared" si="2776"/>
        <v>0.08</v>
      </c>
      <c r="BA652" s="42">
        <f t="shared" si="2776"/>
        <v>0.08</v>
      </c>
      <c r="BB652" s="42">
        <f t="shared" si="2776"/>
        <v>0.08</v>
      </c>
      <c r="BC652" s="983">
        <f t="shared" si="2776"/>
        <v>0.08</v>
      </c>
      <c r="BD652" s="42">
        <f t="shared" si="2776"/>
        <v>0.08</v>
      </c>
      <c r="BE652" s="42">
        <f t="shared" si="2776"/>
        <v>0.08</v>
      </c>
      <c r="BF652" s="983">
        <f t="shared" si="2776"/>
        <v>0.08</v>
      </c>
      <c r="BG652" s="42">
        <f t="shared" si="2776"/>
        <v>0.08</v>
      </c>
      <c r="BH652" s="42">
        <f t="shared" si="2776"/>
        <v>0.08</v>
      </c>
      <c r="BI652" s="983">
        <f t="shared" si="2776"/>
        <v>0.08</v>
      </c>
      <c r="BJ652" s="147">
        <f t="shared" si="2776"/>
        <v>0.08</v>
      </c>
      <c r="BK652" s="147">
        <f t="shared" si="2776"/>
        <v>0.08</v>
      </c>
      <c r="BL652" s="148">
        <f t="shared" si="2776"/>
        <v>0.08</v>
      </c>
      <c r="BM652" s="147">
        <f t="shared" si="2776"/>
        <v>0.08</v>
      </c>
      <c r="BN652" s="147">
        <f t="shared" si="2776"/>
        <v>0.08</v>
      </c>
      <c r="BO652" s="148">
        <f t="shared" si="2776"/>
        <v>0.08</v>
      </c>
      <c r="BP652" s="147">
        <f t="shared" si="2776"/>
        <v>0.08</v>
      </c>
      <c r="BQ652" s="147">
        <f t="shared" si="2776"/>
        <v>0.08</v>
      </c>
      <c r="BR652" s="148">
        <f t="shared" si="2776"/>
        <v>0.08</v>
      </c>
      <c r="BS652" s="42">
        <f t="shared" si="2776"/>
        <v>0.08</v>
      </c>
      <c r="BT652" s="42">
        <f t="shared" si="2776"/>
        <v>0.08</v>
      </c>
      <c r="BU652" s="219">
        <f t="shared" si="2776"/>
        <v>0.08</v>
      </c>
      <c r="BV652" s="42">
        <f t="shared" si="2776"/>
        <v>0.08</v>
      </c>
      <c r="BW652" s="42">
        <f t="shared" si="2776"/>
        <v>0.08</v>
      </c>
      <c r="BX652" s="219">
        <f t="shared" si="2776"/>
        <v>0.08</v>
      </c>
      <c r="BY652" s="42">
        <f t="shared" si="2776"/>
        <v>0.08</v>
      </c>
      <c r="BZ652" s="42">
        <f t="shared" si="2776"/>
        <v>0.08</v>
      </c>
      <c r="CA652" s="219">
        <f t="shared" si="2776"/>
        <v>0.08</v>
      </c>
      <c r="CB652" s="42">
        <f t="shared" si="2776"/>
        <v>0.08</v>
      </c>
      <c r="CC652" s="42">
        <f t="shared" si="2776"/>
        <v>0.08</v>
      </c>
      <c r="CD652" s="219">
        <f t="shared" si="2776"/>
        <v>0.08</v>
      </c>
      <c r="CE652" s="42">
        <f t="shared" ref="CE652:DJ652" si="2777">CD652</f>
        <v>0.08</v>
      </c>
      <c r="CF652" s="42">
        <f t="shared" si="2777"/>
        <v>0.08</v>
      </c>
      <c r="CG652" s="219">
        <f t="shared" si="2777"/>
        <v>0.08</v>
      </c>
      <c r="CH652" s="42">
        <f t="shared" si="2777"/>
        <v>0.08</v>
      </c>
      <c r="CI652" s="42">
        <f t="shared" si="2777"/>
        <v>0.08</v>
      </c>
      <c r="CJ652" s="219">
        <f t="shared" si="2777"/>
        <v>0.08</v>
      </c>
      <c r="CK652" s="42">
        <f t="shared" si="2777"/>
        <v>0.08</v>
      </c>
      <c r="CL652" s="42">
        <f t="shared" si="2777"/>
        <v>0.08</v>
      </c>
      <c r="CM652" s="219">
        <f t="shared" si="2777"/>
        <v>0.08</v>
      </c>
      <c r="CN652" s="42">
        <f t="shared" si="2777"/>
        <v>0.08</v>
      </c>
      <c r="CO652" s="42">
        <f t="shared" si="2777"/>
        <v>0.08</v>
      </c>
      <c r="CP652" s="219">
        <f t="shared" si="2777"/>
        <v>0.08</v>
      </c>
      <c r="CQ652" s="42">
        <f t="shared" si="2777"/>
        <v>0.08</v>
      </c>
      <c r="CR652" s="42">
        <f t="shared" si="2777"/>
        <v>0.08</v>
      </c>
      <c r="CS652" s="219">
        <f t="shared" si="2777"/>
        <v>0.08</v>
      </c>
      <c r="CT652" s="42">
        <f t="shared" si="2777"/>
        <v>0.08</v>
      </c>
      <c r="CU652" s="42">
        <f t="shared" si="2777"/>
        <v>0.08</v>
      </c>
      <c r="CV652" s="219">
        <f t="shared" si="2777"/>
        <v>0.08</v>
      </c>
      <c r="CW652" s="42">
        <f t="shared" si="2777"/>
        <v>0.08</v>
      </c>
      <c r="CX652" s="42">
        <f t="shared" si="2777"/>
        <v>0.08</v>
      </c>
      <c r="CY652" s="219">
        <f t="shared" si="2777"/>
        <v>0.08</v>
      </c>
      <c r="CZ652" s="42">
        <f t="shared" si="2777"/>
        <v>0.08</v>
      </c>
      <c r="DA652" s="42">
        <f t="shared" si="2777"/>
        <v>0.08</v>
      </c>
      <c r="DB652" s="219">
        <f t="shared" si="2777"/>
        <v>0.08</v>
      </c>
      <c r="DC652" s="42">
        <f t="shared" si="2777"/>
        <v>0.08</v>
      </c>
      <c r="DD652" s="42">
        <f t="shared" si="2777"/>
        <v>0.08</v>
      </c>
      <c r="DE652" s="219">
        <f t="shared" si="2777"/>
        <v>0.08</v>
      </c>
      <c r="DF652" s="42">
        <f t="shared" si="2777"/>
        <v>0.08</v>
      </c>
      <c r="DG652" s="42">
        <f t="shared" si="2777"/>
        <v>0.08</v>
      </c>
      <c r="DH652" s="219">
        <f t="shared" si="2777"/>
        <v>0.08</v>
      </c>
      <c r="DI652" s="42">
        <f t="shared" si="2777"/>
        <v>0.08</v>
      </c>
      <c r="DJ652" s="42">
        <f t="shared" si="2777"/>
        <v>0.08</v>
      </c>
      <c r="DK652" s="219">
        <f t="shared" ref="DK652:EF652" si="2778">DJ652</f>
        <v>0.08</v>
      </c>
      <c r="DL652" s="42">
        <f>DK652</f>
        <v>0.08</v>
      </c>
      <c r="DM652" s="42">
        <f t="shared" si="2778"/>
        <v>0.08</v>
      </c>
      <c r="DN652" s="219">
        <f t="shared" si="2778"/>
        <v>0.08</v>
      </c>
      <c r="DO652" s="42">
        <f t="shared" si="2778"/>
        <v>0.08</v>
      </c>
      <c r="DP652" s="42">
        <f t="shared" si="2778"/>
        <v>0.08</v>
      </c>
      <c r="DQ652" s="219">
        <f t="shared" si="2778"/>
        <v>0.08</v>
      </c>
      <c r="DR652" s="42">
        <f t="shared" si="2778"/>
        <v>0.08</v>
      </c>
      <c r="DS652" s="42">
        <f t="shared" si="2778"/>
        <v>0.08</v>
      </c>
      <c r="DT652" s="219">
        <f t="shared" si="2778"/>
        <v>0.08</v>
      </c>
      <c r="DU652" s="42">
        <f t="shared" si="2778"/>
        <v>0.08</v>
      </c>
      <c r="DV652" s="42">
        <f t="shared" si="2778"/>
        <v>0.08</v>
      </c>
      <c r="DW652" s="219">
        <f t="shared" si="2778"/>
        <v>0.08</v>
      </c>
      <c r="DX652" s="42">
        <f t="shared" si="2778"/>
        <v>0.08</v>
      </c>
      <c r="DY652" s="42">
        <f t="shared" si="2778"/>
        <v>0.08</v>
      </c>
      <c r="DZ652" s="219">
        <f t="shared" si="2778"/>
        <v>0.08</v>
      </c>
      <c r="EA652" s="42">
        <f t="shared" si="2778"/>
        <v>0.08</v>
      </c>
      <c r="EB652" s="42">
        <f t="shared" si="2778"/>
        <v>0.08</v>
      </c>
      <c r="EC652" s="219">
        <f t="shared" si="2778"/>
        <v>0.08</v>
      </c>
      <c r="ED652" s="42">
        <f t="shared" si="2778"/>
        <v>0.08</v>
      </c>
      <c r="EE652" s="42">
        <f t="shared" si="2778"/>
        <v>0.08</v>
      </c>
      <c r="EF652" s="219">
        <f t="shared" si="2778"/>
        <v>0.08</v>
      </c>
      <c r="EG652" s="42">
        <f t="shared" si="2759"/>
        <v>0.08</v>
      </c>
      <c r="EH652" s="42">
        <f t="shared" si="2759"/>
        <v>0.08</v>
      </c>
      <c r="EI652" s="219">
        <f t="shared" si="2759"/>
        <v>0.08</v>
      </c>
      <c r="EJ652" s="42">
        <f t="shared" si="2759"/>
        <v>0.08</v>
      </c>
      <c r="EK652" s="42">
        <f t="shared" si="2759"/>
        <v>0.08</v>
      </c>
      <c r="EL652" s="219">
        <f t="shared" si="2759"/>
        <v>0.08</v>
      </c>
      <c r="EM652" s="42">
        <f t="shared" si="2760"/>
        <v>0.08</v>
      </c>
      <c r="EN652" s="42">
        <f t="shared" si="2760"/>
        <v>0.08</v>
      </c>
      <c r="EO652" s="219">
        <f t="shared" si="2760"/>
        <v>0.08</v>
      </c>
      <c r="EP652" s="42">
        <f t="shared" si="2760"/>
        <v>0.08</v>
      </c>
      <c r="EQ652" s="42">
        <f t="shared" si="2760"/>
        <v>0.08</v>
      </c>
      <c r="ER652" s="219">
        <f t="shared" si="2760"/>
        <v>0.08</v>
      </c>
      <c r="ES652" s="42">
        <f t="shared" si="2761"/>
        <v>0.08</v>
      </c>
      <c r="ET652" s="42">
        <f t="shared" si="2762"/>
        <v>0.08</v>
      </c>
      <c r="EU652" s="219">
        <f t="shared" si="2763"/>
        <v>0.08</v>
      </c>
      <c r="EV652" s="42">
        <f t="shared" si="2764"/>
        <v>0.08</v>
      </c>
      <c r="EW652" s="42">
        <f t="shared" si="2765"/>
        <v>0.08</v>
      </c>
      <c r="EX652" s="219">
        <f t="shared" si="2766"/>
        <v>0.08</v>
      </c>
      <c r="EY652" s="42">
        <f t="shared" si="2767"/>
        <v>0.08</v>
      </c>
      <c r="EZ652" s="42">
        <f t="shared" si="2768"/>
        <v>0.08</v>
      </c>
      <c r="FA652" s="219">
        <f t="shared" si="2769"/>
        <v>0.08</v>
      </c>
      <c r="FH652" s="35"/>
      <c r="FI652" s="35"/>
      <c r="FJ652" s="35"/>
      <c r="FK652" s="35"/>
      <c r="FL652" s="35"/>
      <c r="FM652" s="35"/>
      <c r="FN652" s="35"/>
      <c r="FO652" s="35"/>
      <c r="FP652" s="35"/>
      <c r="FQ652" s="35"/>
    </row>
    <row r="653" spans="1:173" s="321" customFormat="1" hidden="1" outlineLevel="1">
      <c r="A653" s="1168"/>
      <c r="B653" s="68" t="s">
        <v>563</v>
      </c>
      <c r="C653" s="186"/>
      <c r="D653" s="910"/>
      <c r="E653" s="1"/>
      <c r="F653" s="1"/>
      <c r="G653" s="5"/>
      <c r="H653" s="1"/>
      <c r="I653" s="1"/>
      <c r="J653" s="5"/>
      <c r="K653" s="1"/>
      <c r="L653" s="1"/>
      <c r="M653" s="5"/>
      <c r="N653" s="1"/>
      <c r="O653" s="1"/>
      <c r="P653" s="5"/>
      <c r="Q653" s="1"/>
      <c r="R653" s="1"/>
      <c r="S653" s="5"/>
      <c r="T653" s="1"/>
      <c r="U653" s="1"/>
      <c r="V653" s="5"/>
      <c r="W653" s="1"/>
      <c r="X653" s="1"/>
      <c r="Y653" s="5"/>
      <c r="Z653" s="1"/>
      <c r="AA653" s="1"/>
      <c r="AB653" s="5"/>
      <c r="AC653" s="1"/>
      <c r="AD653" s="1"/>
      <c r="AE653" s="5"/>
      <c r="AF653" s="1"/>
      <c r="AG653" s="1"/>
      <c r="AH653" s="5"/>
      <c r="AI653" s="1"/>
      <c r="AJ653" s="1"/>
      <c r="AK653" s="5"/>
      <c r="AL653" s="1"/>
      <c r="AM653" s="1"/>
      <c r="AN653" s="5"/>
      <c r="AO653" s="1"/>
      <c r="AP653" s="1"/>
      <c r="AQ653" s="5"/>
      <c r="AR653" s="1"/>
      <c r="AS653" s="1"/>
      <c r="AT653" s="5"/>
      <c r="AU653" s="1"/>
      <c r="AV653" s="1"/>
      <c r="AW653" s="5"/>
      <c r="AX653" s="3"/>
      <c r="AY653" s="3"/>
      <c r="AZ653" s="2"/>
      <c r="BA653" s="3"/>
      <c r="BB653" s="3"/>
      <c r="BC653" s="973"/>
      <c r="BD653" s="3"/>
      <c r="BE653" s="3"/>
      <c r="BF653" s="973"/>
      <c r="BG653" s="3"/>
      <c r="BH653" s="3"/>
      <c r="BI653" s="978"/>
      <c r="BJ653" s="115"/>
      <c r="BK653" s="115"/>
      <c r="BL653" s="116"/>
      <c r="BM653" s="115"/>
      <c r="BN653" s="115"/>
      <c r="BO653" s="116"/>
      <c r="BP653" s="115"/>
      <c r="BQ653" s="115"/>
      <c r="BR653" s="116"/>
      <c r="BS653" s="8"/>
      <c r="BT653" s="8"/>
      <c r="BU653" s="187"/>
      <c r="BV653" s="8"/>
      <c r="BW653" s="8"/>
      <c r="BX653" s="187"/>
      <c r="BY653" s="8"/>
      <c r="BZ653" s="8"/>
      <c r="CA653" s="187"/>
      <c r="CB653" s="8"/>
      <c r="CC653" s="8"/>
      <c r="CD653" s="187"/>
      <c r="CE653" s="8"/>
      <c r="CF653" s="8"/>
      <c r="CG653" s="187"/>
      <c r="CH653" s="8"/>
      <c r="CI653" s="8"/>
      <c r="CJ653" s="187"/>
      <c r="CK653" s="8"/>
      <c r="CL653" s="8"/>
      <c r="CM653" s="187"/>
      <c r="CN653" s="8"/>
      <c r="CO653" s="8"/>
      <c r="CP653" s="187"/>
      <c r="CQ653" s="8"/>
      <c r="CR653" s="8"/>
      <c r="CS653" s="187"/>
      <c r="CT653" s="8"/>
      <c r="CU653" s="8"/>
      <c r="CV653" s="187"/>
      <c r="CW653" s="8"/>
      <c r="CX653" s="8"/>
      <c r="CY653" s="187"/>
      <c r="CZ653" s="8"/>
      <c r="DA653" s="8"/>
      <c r="DB653" s="187"/>
      <c r="DC653" s="8"/>
      <c r="DD653" s="8"/>
      <c r="DE653" s="187"/>
      <c r="DF653" s="8"/>
      <c r="DG653" s="8"/>
      <c r="DH653" s="187"/>
      <c r="DI653" s="8"/>
      <c r="DJ653" s="8"/>
      <c r="DK653" s="187"/>
      <c r="DL653" s="8"/>
      <c r="DM653" s="8"/>
      <c r="DN653" s="187"/>
      <c r="DO653" s="8"/>
      <c r="DP653" s="8"/>
      <c r="DQ653" s="187"/>
      <c r="DR653" s="8"/>
      <c r="DS653" s="8"/>
      <c r="DT653" s="187"/>
      <c r="DU653" s="8"/>
      <c r="DV653" s="8"/>
      <c r="DW653" s="187"/>
      <c r="DX653" s="8"/>
      <c r="DY653" s="8"/>
      <c r="DZ653" s="187"/>
      <c r="EA653" s="8"/>
      <c r="EB653" s="8"/>
      <c r="EC653" s="187"/>
      <c r="ED653" s="8"/>
      <c r="EE653" s="8"/>
      <c r="EF653" s="187"/>
      <c r="EG653" s="8"/>
      <c r="EH653" s="8"/>
      <c r="EI653" s="187"/>
      <c r="EJ653" s="8"/>
      <c r="EK653" s="8"/>
      <c r="EL653" s="187"/>
      <c r="EM653" s="8"/>
      <c r="EN653" s="8"/>
      <c r="EO653" s="187"/>
      <c r="EP653" s="8"/>
      <c r="EQ653" s="8"/>
      <c r="ER653" s="187"/>
      <c r="ES653" s="8"/>
      <c r="ET653" s="8"/>
      <c r="EU653" s="187"/>
      <c r="EV653" s="8"/>
      <c r="EW653" s="8"/>
      <c r="EX653" s="187"/>
      <c r="EY653" s="8"/>
      <c r="EZ653" s="8"/>
      <c r="FA653" s="187"/>
      <c r="FH653" s="35"/>
      <c r="FI653" s="35"/>
      <c r="FJ653" s="35"/>
      <c r="FK653" s="35"/>
      <c r="FL653" s="35"/>
      <c r="FM653" s="35"/>
      <c r="FN653" s="35"/>
      <c r="FO653" s="35"/>
      <c r="FP653" s="35"/>
      <c r="FQ653" s="35"/>
    </row>
    <row r="654" spans="1:173" s="321" customFormat="1" hidden="1" outlineLevel="1">
      <c r="A654" s="1168"/>
      <c r="B654" s="186"/>
      <c r="C654" s="331" t="s">
        <v>786</v>
      </c>
      <c r="D654" s="910"/>
      <c r="E654" s="1"/>
      <c r="F654" s="1"/>
      <c r="G654" s="5"/>
      <c r="H654" s="1"/>
      <c r="I654" s="1"/>
      <c r="J654" s="5"/>
      <c r="K654" s="1"/>
      <c r="L654" s="1"/>
      <c r="M654" s="5"/>
      <c r="N654" s="1"/>
      <c r="O654" s="1"/>
      <c r="P654" s="5"/>
      <c r="Q654" s="1"/>
      <c r="R654" s="1"/>
      <c r="S654" s="5"/>
      <c r="T654" s="1"/>
      <c r="U654" s="1"/>
      <c r="V654" s="5"/>
      <c r="W654" s="1"/>
      <c r="X654" s="1"/>
      <c r="Y654" s="5"/>
      <c r="Z654" s="1"/>
      <c r="AA654" s="1"/>
      <c r="AB654" s="5"/>
      <c r="AC654" s="1"/>
      <c r="AD654" s="1"/>
      <c r="AE654" s="5"/>
      <c r="AF654" s="1"/>
      <c r="AG654" s="1"/>
      <c r="AH654" s="5"/>
      <c r="AI654" s="1"/>
      <c r="AJ654" s="1"/>
      <c r="AK654" s="5"/>
      <c r="AL654" s="1"/>
      <c r="AM654" s="1"/>
      <c r="AN654" s="5"/>
      <c r="AO654" s="1"/>
      <c r="AP654" s="1"/>
      <c r="AQ654" s="5"/>
      <c r="AR654" s="1"/>
      <c r="AS654" s="1"/>
      <c r="AT654" s="5"/>
      <c r="AU654" s="1"/>
      <c r="AV654" s="1"/>
      <c r="AW654" s="5"/>
      <c r="AX654" s="3"/>
      <c r="AY654" s="3"/>
      <c r="AZ654" s="2"/>
      <c r="BA654" s="3"/>
      <c r="BB654" s="3"/>
      <c r="BC654" s="973"/>
      <c r="BD654" s="3"/>
      <c r="BE654" s="3"/>
      <c r="BF654" s="973"/>
      <c r="BG654" s="3"/>
      <c r="BH654" s="3"/>
      <c r="BI654" s="978"/>
      <c r="BJ654" s="115"/>
      <c r="BK654" s="115"/>
      <c r="BL654" s="116"/>
      <c r="BM654" s="115"/>
      <c r="BN654" s="115"/>
      <c r="BO654" s="116"/>
      <c r="BP654" s="115"/>
      <c r="BQ654" s="115"/>
      <c r="BR654" s="116"/>
      <c r="BS654" s="8"/>
      <c r="BT654" s="8"/>
      <c r="BU654" s="187"/>
      <c r="BV654" s="8"/>
      <c r="BW654" s="8"/>
      <c r="BX654" s="187"/>
      <c r="BY654" s="8"/>
      <c r="BZ654" s="8"/>
      <c r="CA654" s="187"/>
      <c r="CB654" s="8"/>
      <c r="CC654" s="8"/>
      <c r="CD654" s="187"/>
      <c r="CE654" s="8"/>
      <c r="CF654" s="8"/>
      <c r="CG654" s="187"/>
      <c r="CH654" s="8"/>
      <c r="CI654" s="8"/>
      <c r="CJ654" s="187"/>
      <c r="CK654" s="8"/>
      <c r="CL654" s="8"/>
      <c r="CM654" s="187"/>
      <c r="CN654" s="8"/>
      <c r="CO654" s="8"/>
      <c r="CP654" s="187"/>
      <c r="CQ654" s="8"/>
      <c r="CR654" s="8"/>
      <c r="CS654" s="187"/>
      <c r="CT654" s="8"/>
      <c r="CU654" s="8"/>
      <c r="CV654" s="187"/>
      <c r="CW654" s="8"/>
      <c r="CX654" s="8"/>
      <c r="CY654" s="187"/>
      <c r="CZ654" s="8"/>
      <c r="DA654" s="8"/>
      <c r="DB654" s="187"/>
      <c r="DC654" s="8"/>
      <c r="DD654" s="8"/>
      <c r="DE654" s="187"/>
      <c r="DF654" s="8"/>
      <c r="DG654" s="8"/>
      <c r="DH654" s="187"/>
      <c r="DI654" s="8"/>
      <c r="DJ654" s="8"/>
      <c r="DK654" s="187"/>
      <c r="DL654" s="8"/>
      <c r="DM654" s="8"/>
      <c r="DN654" s="187"/>
      <c r="DO654" s="8"/>
      <c r="DP654" s="8"/>
      <c r="DQ654" s="187"/>
      <c r="DR654" s="8"/>
      <c r="DS654" s="8"/>
      <c r="DT654" s="187"/>
      <c r="DU654" s="8"/>
      <c r="DV654" s="8"/>
      <c r="DW654" s="187"/>
      <c r="DX654" s="8"/>
      <c r="DY654" s="8"/>
      <c r="DZ654" s="187"/>
      <c r="EA654" s="8"/>
      <c r="EB654" s="8"/>
      <c r="EC654" s="187"/>
      <c r="ED654" s="8"/>
      <c r="EE654" s="8"/>
      <c r="EF654" s="187"/>
      <c r="EG654" s="8"/>
      <c r="EH654" s="8"/>
      <c r="EI654" s="187"/>
      <c r="EJ654" s="8"/>
      <c r="EK654" s="8"/>
      <c r="EL654" s="187"/>
      <c r="EM654" s="8"/>
      <c r="EN654" s="8"/>
      <c r="EO654" s="187"/>
      <c r="EP654" s="8"/>
      <c r="EQ654" s="8"/>
      <c r="ER654" s="187"/>
      <c r="ES654" s="8"/>
      <c r="ET654" s="8"/>
      <c r="EU654" s="187"/>
      <c r="EV654" s="8"/>
      <c r="EW654" s="8"/>
      <c r="EX654" s="187"/>
      <c r="EY654" s="8"/>
      <c r="EZ654" s="8"/>
      <c r="FA654" s="187"/>
      <c r="FH654" s="35"/>
      <c r="FI654" s="35"/>
      <c r="FJ654" s="35"/>
      <c r="FK654" s="35"/>
      <c r="FL654" s="35"/>
      <c r="FM654" s="35"/>
      <c r="FN654" s="35"/>
      <c r="FO654" s="35"/>
      <c r="FP654" s="35"/>
      <c r="FQ654" s="35"/>
    </row>
    <row r="655" spans="1:173" s="321" customFormat="1" hidden="1" outlineLevel="1">
      <c r="A655" s="1168"/>
      <c r="B655" s="186"/>
      <c r="C655" s="186" t="s">
        <v>316</v>
      </c>
      <c r="D655" s="910"/>
      <c r="E655" s="1"/>
      <c r="F655" s="1"/>
      <c r="G655" s="5"/>
      <c r="H655" s="1"/>
      <c r="I655" s="1"/>
      <c r="J655" s="5"/>
      <c r="K655" s="1"/>
      <c r="L655" s="1"/>
      <c r="M655" s="5"/>
      <c r="N655" s="1"/>
      <c r="O655" s="1"/>
      <c r="P655" s="5"/>
      <c r="Q655" s="1"/>
      <c r="R655" s="1"/>
      <c r="S655" s="5"/>
      <c r="T655" s="1"/>
      <c r="U655" s="1"/>
      <c r="V655" s="5"/>
      <c r="W655" s="1"/>
      <c r="X655" s="1"/>
      <c r="Y655" s="5"/>
      <c r="Z655" s="1"/>
      <c r="AA655" s="1"/>
      <c r="AB655" s="5"/>
      <c r="AC655" s="1"/>
      <c r="AD655" s="1"/>
      <c r="AE655" s="5"/>
      <c r="AF655" s="1"/>
      <c r="AG655" s="1"/>
      <c r="AH655" s="5"/>
      <c r="AI655" s="1"/>
      <c r="AJ655" s="1"/>
      <c r="AK655" s="5"/>
      <c r="AL655" s="1"/>
      <c r="AM655" s="1"/>
      <c r="AN655" s="5"/>
      <c r="AO655" s="1"/>
      <c r="AP655" s="1"/>
      <c r="AQ655" s="5"/>
      <c r="AR655" s="1"/>
      <c r="AS655" s="1"/>
      <c r="AT655" s="5"/>
      <c r="AU655" s="1"/>
      <c r="AV655" s="1"/>
      <c r="AW655" s="5"/>
      <c r="AX655" s="187">
        <f t="shared" ref="AX655:CC655" si="2779">AX619*AX643</f>
        <v>0.59587537098152055</v>
      </c>
      <c r="AY655" s="187">
        <f t="shared" si="2779"/>
        <v>0.59763320332591618</v>
      </c>
      <c r="AZ655" s="187">
        <f t="shared" si="2779"/>
        <v>0.59552531232743666</v>
      </c>
      <c r="BA655" s="8">
        <f t="shared" si="2779"/>
        <v>0.59939622127572756</v>
      </c>
      <c r="BB655" s="8">
        <f t="shared" si="2779"/>
        <v>0.60116444012849102</v>
      </c>
      <c r="BC655" s="978">
        <f t="shared" si="2779"/>
        <v>0.59904409422919902</v>
      </c>
      <c r="BD655" s="8">
        <f t="shared" si="2779"/>
        <v>0.60293787522687003</v>
      </c>
      <c r="BE655" s="8">
        <f t="shared" si="2779"/>
        <v>0.60471654195878932</v>
      </c>
      <c r="BF655" s="978">
        <f t="shared" si="2779"/>
        <v>0.60258366756638138</v>
      </c>
      <c r="BG655" s="8">
        <f t="shared" si="2779"/>
        <v>0.60650045575756784</v>
      </c>
      <c r="BH655" s="8">
        <f t="shared" si="2779"/>
        <v>0.60828963210205267</v>
      </c>
      <c r="BI655" s="978">
        <f t="shared" si="2779"/>
        <v>0.60614415518939002</v>
      </c>
      <c r="BJ655" s="115">
        <f t="shared" si="2779"/>
        <v>0.61008408651675361</v>
      </c>
      <c r="BK655" s="115">
        <f t="shared" si="2779"/>
        <v>0.61188383457197815</v>
      </c>
      <c r="BL655" s="116">
        <f t="shared" si="2779"/>
        <v>0.60972568067451804</v>
      </c>
      <c r="BM655" s="115">
        <f t="shared" si="2779"/>
        <v>0.61278636322797175</v>
      </c>
      <c r="BN655" s="115">
        <f t="shared" si="2779"/>
        <v>0.61369022311373289</v>
      </c>
      <c r="BO655" s="116">
        <f t="shared" si="2779"/>
        <v>0.61152250999460944</v>
      </c>
      <c r="BP655" s="115">
        <f t="shared" si="2779"/>
        <v>0.61459541619282565</v>
      </c>
      <c r="BQ655" s="115">
        <f t="shared" si="2779"/>
        <v>0.61550194443170991</v>
      </c>
      <c r="BR655" s="116">
        <f t="shared" si="2779"/>
        <v>0.61332783184275419</v>
      </c>
      <c r="BS655" s="8">
        <f t="shared" si="2779"/>
        <v>0.61640980979974669</v>
      </c>
      <c r="BT655" s="8">
        <f t="shared" si="2779"/>
        <v>0.61731901426920122</v>
      </c>
      <c r="BU655" s="187">
        <f t="shared" si="2779"/>
        <v>0.61513848331805421</v>
      </c>
      <c r="BV655" s="8">
        <f t="shared" si="2779"/>
        <v>0.61822955981524819</v>
      </c>
      <c r="BW655" s="8">
        <f t="shared" si="2779"/>
        <v>0.61914144841597563</v>
      </c>
      <c r="BX655" s="187">
        <f t="shared" si="2779"/>
        <v>0.61695448015450527</v>
      </c>
      <c r="BY655" s="8">
        <f t="shared" si="2779"/>
        <v>0.62005468205238912</v>
      </c>
      <c r="BZ655" s="8">
        <f t="shared" si="2779"/>
        <v>0.62096926270841646</v>
      </c>
      <c r="CA655" s="187">
        <f t="shared" si="2779"/>
        <v>0.61877583813255188</v>
      </c>
      <c r="CB655" s="8">
        <f t="shared" si="2779"/>
        <v>0.62188519237091122</v>
      </c>
      <c r="CC655" s="8">
        <f t="shared" si="2779"/>
        <v>0.62280247302965841</v>
      </c>
      <c r="CD655" s="187">
        <f t="shared" ref="CD655:DI655" si="2780">CD619*CD643</f>
        <v>0.62060257307922562</v>
      </c>
      <c r="CE655" s="8">
        <f t="shared" si="2780"/>
        <v>0.6237211066773769</v>
      </c>
      <c r="CF655" s="8">
        <f t="shared" si="2780"/>
        <v>0.62464109530972611</v>
      </c>
      <c r="CG655" s="187">
        <f t="shared" si="2780"/>
        <v>0.62243470086828212</v>
      </c>
      <c r="CH655" s="8">
        <f t="shared" si="2780"/>
        <v>0.62556244092530777</v>
      </c>
      <c r="CI655" s="8">
        <f t="shared" si="2780"/>
        <v>0.62648514552567258</v>
      </c>
      <c r="CJ655" s="187">
        <f t="shared" si="2780"/>
        <v>0.62427223742033955</v>
      </c>
      <c r="CK655" s="8">
        <f t="shared" si="2780"/>
        <v>0.62740921111532277</v>
      </c>
      <c r="CL655" s="8">
        <f t="shared" si="2780"/>
        <v>0.62833463970171788</v>
      </c>
      <c r="CM655" s="187">
        <f t="shared" si="2780"/>
        <v>0.62611519870301602</v>
      </c>
      <c r="CN655" s="8">
        <f t="shared" si="2780"/>
        <v>0.62926143329527784</v>
      </c>
      <c r="CO655" s="8">
        <f t="shared" si="2780"/>
        <v>0.63018959390938833</v>
      </c>
      <c r="CP655" s="187">
        <f t="shared" si="2780"/>
        <v>0.62796360073106883</v>
      </c>
      <c r="CQ655" s="8">
        <f t="shared" si="2780"/>
        <v>0.63111912356040456</v>
      </c>
      <c r="CR655" s="8">
        <f t="shared" si="2780"/>
        <v>0.63205002426765611</v>
      </c>
      <c r="CS655" s="187">
        <f t="shared" si="2780"/>
        <v>0.62981745956653434</v>
      </c>
      <c r="CT655" s="8">
        <f t="shared" si="2780"/>
        <v>0.63298229805345085</v>
      </c>
      <c r="CU655" s="8">
        <f t="shared" si="2780"/>
        <v>0.63391594694307962</v>
      </c>
      <c r="CV655" s="187">
        <f t="shared" si="2780"/>
        <v>0.63167679131886589</v>
      </c>
      <c r="CW655" s="8">
        <f t="shared" si="2780"/>
        <v>0.63485097296482063</v>
      </c>
      <c r="CX655" s="8">
        <f t="shared" si="2780"/>
        <v>0.63578737814994368</v>
      </c>
      <c r="CY655" s="187">
        <f t="shared" si="2780"/>
        <v>0.63354161214507554</v>
      </c>
      <c r="CZ655" s="8">
        <f t="shared" si="2780"/>
        <v>0.63672516453271466</v>
      </c>
      <c r="DA655" s="8">
        <f t="shared" si="2780"/>
        <v>0.63766433415040047</v>
      </c>
      <c r="DB655" s="187">
        <f t="shared" si="2780"/>
        <v>0.6354119382498733</v>
      </c>
      <c r="DC655" s="8">
        <f t="shared" si="2780"/>
        <v>0.63860488904327217</v>
      </c>
      <c r="DD655" s="8">
        <f t="shared" si="2780"/>
        <v>0.63954683125461098</v>
      </c>
      <c r="DE655" s="187">
        <f t="shared" si="2780"/>
        <v>0.63728778588580848</v>
      </c>
      <c r="DF655" s="8">
        <f t="shared" si="2780"/>
        <v>0.64049016283071158</v>
      </c>
      <c r="DG655" s="8">
        <f t="shared" si="2780"/>
        <v>0.6414348858208867</v>
      </c>
      <c r="DH655" s="187">
        <f t="shared" si="2780"/>
        <v>0.63916917135341056</v>
      </c>
      <c r="DI655" s="8">
        <f t="shared" si="2780"/>
        <v>0.64238100227747241</v>
      </c>
      <c r="DJ655" s="8">
        <f t="shared" ref="DJ655:EF655" si="2781">DJ619*DJ643</f>
        <v>0.64332851425583171</v>
      </c>
      <c r="DK655" s="187">
        <f t="shared" si="2781"/>
        <v>0.64105611100133142</v>
      </c>
      <c r="DL655" s="8">
        <f t="shared" si="2781"/>
        <v>0.64427742381435882</v>
      </c>
      <c r="DM655" s="8">
        <f t="shared" si="2781"/>
        <v>0.64522773301448488</v>
      </c>
      <c r="DN655" s="187">
        <f t="shared" si="2781"/>
        <v>0.64294862122648666</v>
      </c>
      <c r="DO655" s="8">
        <f t="shared" si="2781"/>
        <v>0.64617944392068138</v>
      </c>
      <c r="DP655" s="8">
        <f t="shared" si="2781"/>
        <v>0.64713255860046426</v>
      </c>
      <c r="DQ655" s="187">
        <f t="shared" si="2781"/>
        <v>0.64484671847419883</v>
      </c>
      <c r="DR655" s="8">
        <f t="shared" si="2781"/>
        <v>0.64808707912439989</v>
      </c>
      <c r="DS655" s="8">
        <f t="shared" si="2781"/>
        <v>0.64904300756610833</v>
      </c>
      <c r="DT655" s="187">
        <f t="shared" si="2781"/>
        <v>0.64675041923833931</v>
      </c>
      <c r="DU655" s="8">
        <f t="shared" si="2781"/>
        <v>0.6500003460022683</v>
      </c>
      <c r="DV655" s="8">
        <f t="shared" si="2781"/>
        <v>0.65095909651262152</v>
      </c>
      <c r="DW655" s="187">
        <f t="shared" si="2781"/>
        <v>0.6486597400614732</v>
      </c>
      <c r="DX655" s="8">
        <f t="shared" si="2781"/>
        <v>0.65191926117997745</v>
      </c>
      <c r="DY655" s="8">
        <f t="shared" si="2781"/>
        <v>0.65288084209021813</v>
      </c>
      <c r="DZ655" s="187">
        <f t="shared" si="2781"/>
        <v>0.65057469753500141</v>
      </c>
      <c r="EA655" s="8">
        <f t="shared" si="2781"/>
        <v>0.65384384133230089</v>
      </c>
      <c r="EB655" s="8">
        <f t="shared" si="2781"/>
        <v>0.65480826099826606</v>
      </c>
      <c r="EC655" s="187">
        <f t="shared" si="2781"/>
        <v>0.65249530829930591</v>
      </c>
      <c r="ED655" s="8">
        <f t="shared" si="2781"/>
        <v>0.65577410318323837</v>
      </c>
      <c r="EE655" s="8">
        <f t="shared" si="2781"/>
        <v>0.65674136998543353</v>
      </c>
      <c r="EF655" s="187">
        <f t="shared" si="2781"/>
        <v>0.6544215890438938</v>
      </c>
      <c r="EG655" s="8">
        <f t="shared" ref="EG655:EL655" si="2782">EG619*EG643</f>
        <v>0.65771006350616201</v>
      </c>
      <c r="EH655" s="8">
        <f t="shared" si="2782"/>
        <v>0.65868018584983357</v>
      </c>
      <c r="EI655" s="187">
        <f t="shared" si="2782"/>
        <v>0.65635355650754279</v>
      </c>
      <c r="EJ655" s="8">
        <f t="shared" si="2782"/>
        <v>0.65965173912396191</v>
      </c>
      <c r="EK655" s="8">
        <f t="shared" si="2782"/>
        <v>0.66062472543916972</v>
      </c>
      <c r="EL655" s="187">
        <f t="shared" si="2782"/>
        <v>0.65829122747844615</v>
      </c>
      <c r="EM655" s="8">
        <f t="shared" ref="EM655:ER655" si="2783">EM619*EM643</f>
        <v>0.66159914690919241</v>
      </c>
      <c r="EN655" s="8">
        <f t="shared" si="2783"/>
        <v>0.66257500565088334</v>
      </c>
      <c r="EO655" s="187">
        <f t="shared" si="2783"/>
        <v>0.66023461879435918</v>
      </c>
      <c r="EP655" s="8">
        <f t="shared" si="2783"/>
        <v>0.66355230378421837</v>
      </c>
      <c r="EQ655" s="8">
        <f t="shared" si="2783"/>
        <v>0.66453104343229996</v>
      </c>
      <c r="ER655" s="187">
        <f t="shared" si="2783"/>
        <v>0.66218374734274499</v>
      </c>
      <c r="ES655" s="8">
        <f t="shared" ref="ES655:EX655" si="2784">ES619*ES643</f>
        <v>0.66551122672136265</v>
      </c>
      <c r="ET655" s="8">
        <f t="shared" si="2784"/>
        <v>0.66649285578077655</v>
      </c>
      <c r="EU655" s="187">
        <f t="shared" si="2784"/>
        <v>0.66413863006092133</v>
      </c>
      <c r="EV655" s="8">
        <f t="shared" si="2784"/>
        <v>0.66747593274305306</v>
      </c>
      <c r="EW655" s="8">
        <f t="shared" si="2784"/>
        <v>0.66846045974384893</v>
      </c>
      <c r="EX655" s="187">
        <f t="shared" si="2784"/>
        <v>0.66609928393620776</v>
      </c>
      <c r="EY655" s="8">
        <f t="shared" ref="EY655:FA655" si="2785">EY619*EY643</f>
        <v>0.66944643892197109</v>
      </c>
      <c r="EZ655" s="8">
        <f t="shared" si="2785"/>
        <v>0.67043387241938091</v>
      </c>
      <c r="FA655" s="187">
        <f t="shared" si="2785"/>
        <v>0.66806572600607417</v>
      </c>
      <c r="FH655" s="35"/>
      <c r="FI655" s="35"/>
      <c r="FJ655" s="35"/>
      <c r="FK655" s="35"/>
      <c r="FL655" s="35"/>
      <c r="FM655" s="35"/>
      <c r="FN655" s="35"/>
      <c r="FO655" s="35"/>
      <c r="FP655" s="35"/>
      <c r="FQ655" s="35"/>
    </row>
    <row r="656" spans="1:173" s="321" customFormat="1" hidden="1" outlineLevel="1">
      <c r="A656" s="1168"/>
      <c r="B656" s="186"/>
      <c r="C656" s="186" t="s">
        <v>317</v>
      </c>
      <c r="D656" s="910"/>
      <c r="E656" s="1"/>
      <c r="F656" s="1"/>
      <c r="G656" s="5"/>
      <c r="H656" s="1"/>
      <c r="I656" s="1"/>
      <c r="J656" s="5"/>
      <c r="K656" s="1"/>
      <c r="L656" s="1"/>
      <c r="M656" s="5"/>
      <c r="N656" s="1"/>
      <c r="O656" s="1"/>
      <c r="P656" s="5"/>
      <c r="Q656" s="1"/>
      <c r="R656" s="1"/>
      <c r="S656" s="5"/>
      <c r="T656" s="1"/>
      <c r="U656" s="1"/>
      <c r="V656" s="5"/>
      <c r="W656" s="1"/>
      <c r="X656" s="1"/>
      <c r="Y656" s="5"/>
      <c r="Z656" s="1"/>
      <c r="AA656" s="1"/>
      <c r="AB656" s="5"/>
      <c r="AC656" s="1"/>
      <c r="AD656" s="1"/>
      <c r="AE656" s="5"/>
      <c r="AF656" s="1"/>
      <c r="AG656" s="1"/>
      <c r="AH656" s="5"/>
      <c r="AI656" s="1"/>
      <c r="AJ656" s="1"/>
      <c r="AK656" s="5"/>
      <c r="AL656" s="1"/>
      <c r="AM656" s="1"/>
      <c r="AN656" s="5"/>
      <c r="AO656" s="1"/>
      <c r="AP656" s="1"/>
      <c r="AQ656" s="5"/>
      <c r="AR656" s="1"/>
      <c r="AS656" s="1"/>
      <c r="AT656" s="5"/>
      <c r="AU656" s="1"/>
      <c r="AV656" s="1"/>
      <c r="AW656" s="5"/>
      <c r="AX656" s="187">
        <f t="shared" ref="AX656:CC656" si="2786">AX620*AX644</f>
        <v>1.3320504431203932</v>
      </c>
      <c r="AY656" s="187">
        <f t="shared" si="2786"/>
        <v>1.3308515977215849</v>
      </c>
      <c r="AZ656" s="187">
        <f t="shared" si="2786"/>
        <v>1.3276135230659782</v>
      </c>
      <c r="BA656" s="8">
        <f t="shared" si="2786"/>
        <v>1.3296538312836357</v>
      </c>
      <c r="BB656" s="8">
        <f t="shared" si="2786"/>
        <v>1.3284571428354803</v>
      </c>
      <c r="BC656" s="978">
        <f t="shared" si="2786"/>
        <v>1.3252248940914131</v>
      </c>
      <c r="BD656" s="8">
        <f t="shared" si="2786"/>
        <v>1.3272615314069283</v>
      </c>
      <c r="BE656" s="8">
        <f t="shared" si="2786"/>
        <v>1.326066996028662</v>
      </c>
      <c r="BF656" s="978">
        <f t="shared" si="2786"/>
        <v>1.3228405627142128</v>
      </c>
      <c r="BG656" s="8">
        <f t="shared" si="2786"/>
        <v>1.3248735357322363</v>
      </c>
      <c r="BH656" s="8">
        <f t="shared" si="2786"/>
        <v>1.3236811495500773</v>
      </c>
      <c r="BI656" s="978">
        <f t="shared" si="2786"/>
        <v>1.3204605212021829</v>
      </c>
      <c r="BJ656" s="115">
        <f t="shared" si="2786"/>
        <v>1.322489836515482</v>
      </c>
      <c r="BK656" s="115">
        <f t="shared" si="2786"/>
        <v>1.3212995956626181</v>
      </c>
      <c r="BL656" s="116">
        <f t="shared" si="2786"/>
        <v>1.318084761837041</v>
      </c>
      <c r="BM656" s="115">
        <f t="shared" si="2786"/>
        <v>1.3207050108445701</v>
      </c>
      <c r="BN656" s="115">
        <f t="shared" si="2786"/>
        <v>1.32011069358969</v>
      </c>
      <c r="BO656" s="116">
        <f t="shared" si="2786"/>
        <v>1.3169001984877697</v>
      </c>
      <c r="BP656" s="115">
        <f t="shared" si="2786"/>
        <v>1.3195166437775747</v>
      </c>
      <c r="BQ656" s="115">
        <f t="shared" si="2786"/>
        <v>1.3189228612878747</v>
      </c>
      <c r="BR656" s="116">
        <f t="shared" si="2786"/>
        <v>1.3157152549814208</v>
      </c>
      <c r="BS656" s="8">
        <f t="shared" si="2786"/>
        <v>1.3183293460002952</v>
      </c>
      <c r="BT656" s="8">
        <f t="shared" si="2786"/>
        <v>1.3177360977945951</v>
      </c>
      <c r="BU656" s="187">
        <f t="shared" si="2786"/>
        <v>1.3145313776842769</v>
      </c>
      <c r="BV656" s="8">
        <f t="shared" si="2786"/>
        <v>1.3171431165505878</v>
      </c>
      <c r="BW656" s="8">
        <f t="shared" si="2786"/>
        <v>1.3165504021481398</v>
      </c>
      <c r="BX656" s="187">
        <f t="shared" si="2786"/>
        <v>1.3133485656369652</v>
      </c>
      <c r="BY656" s="8">
        <f t="shared" si="2786"/>
        <v>1.3159579544671736</v>
      </c>
      <c r="BZ656" s="8">
        <f t="shared" si="2786"/>
        <v>1.3153657733876629</v>
      </c>
      <c r="CA656" s="187">
        <f t="shared" si="2786"/>
        <v>1.3121668178809764</v>
      </c>
      <c r="CB656" s="8">
        <f t="shared" si="2786"/>
        <v>1.3147738587896387</v>
      </c>
      <c r="CC656" s="8">
        <f t="shared" si="2786"/>
        <v>1.3141822105531835</v>
      </c>
      <c r="CD656" s="187">
        <f t="shared" ref="CD656:DI656" si="2787">CD620*CD644</f>
        <v>1.3109861334586645</v>
      </c>
      <c r="CE656" s="8">
        <f t="shared" si="2787"/>
        <v>1.3135908285584348</v>
      </c>
      <c r="CF656" s="8">
        <f t="shared" si="2787"/>
        <v>1.3129997126855835</v>
      </c>
      <c r="CG656" s="187">
        <f t="shared" si="2787"/>
        <v>1.3098065114132438</v>
      </c>
      <c r="CH656" s="8">
        <f t="shared" si="2787"/>
        <v>1.3124088628148749</v>
      </c>
      <c r="CI656" s="8">
        <f t="shared" si="2787"/>
        <v>1.3118182788266082</v>
      </c>
      <c r="CJ656" s="187">
        <f t="shared" si="2787"/>
        <v>1.3086279507887906</v>
      </c>
      <c r="CK656" s="8">
        <f t="shared" si="2787"/>
        <v>1.3112279606011366</v>
      </c>
      <c r="CL656" s="8">
        <f t="shared" si="2787"/>
        <v>1.3106379080188659</v>
      </c>
      <c r="CM656" s="187">
        <f t="shared" si="2787"/>
        <v>1.3074504506302407</v>
      </c>
      <c r="CN656" s="8">
        <f t="shared" si="2787"/>
        <v>1.3100481209602575</v>
      </c>
      <c r="CO656" s="8">
        <f t="shared" si="2787"/>
        <v>1.3094585993058256</v>
      </c>
      <c r="CP656" s="187">
        <f t="shared" si="2787"/>
        <v>1.30627400998339</v>
      </c>
      <c r="CQ656" s="8">
        <f t="shared" si="2787"/>
        <v>1.308869342936138</v>
      </c>
      <c r="CR656" s="8">
        <f t="shared" si="2787"/>
        <v>1.3082803517318167</v>
      </c>
      <c r="CS656" s="187">
        <f t="shared" si="2787"/>
        <v>1.3050986278948924</v>
      </c>
      <c r="CT656" s="8">
        <f t="shared" si="2787"/>
        <v>1.3076916255735374</v>
      </c>
      <c r="CU656" s="8">
        <f t="shared" si="2787"/>
        <v>1.3071031643420292</v>
      </c>
      <c r="CV656" s="187">
        <f t="shared" si="2787"/>
        <v>1.3039243034122587</v>
      </c>
      <c r="CW656" s="8">
        <f t="shared" si="2787"/>
        <v>1.3065149679180756</v>
      </c>
      <c r="CX656" s="8">
        <f t="shared" si="2787"/>
        <v>1.3059270361825124</v>
      </c>
      <c r="CY656" s="187">
        <f t="shared" si="2787"/>
        <v>1.3027510355838594</v>
      </c>
      <c r="CZ656" s="8">
        <f t="shared" si="2787"/>
        <v>1.3053393690162303</v>
      </c>
      <c r="DA656" s="8">
        <f t="shared" si="2787"/>
        <v>1.304751966300173</v>
      </c>
      <c r="DB656" s="187">
        <f t="shared" si="2787"/>
        <v>1.3015788234589185</v>
      </c>
      <c r="DC656" s="8">
        <f t="shared" si="2787"/>
        <v>1.3041648279153379</v>
      </c>
      <c r="DD656" s="8">
        <f t="shared" si="2787"/>
        <v>1.3035779537427761</v>
      </c>
      <c r="DE656" s="187">
        <f t="shared" si="2787"/>
        <v>1.3004076660875175</v>
      </c>
      <c r="DF656" s="8">
        <f t="shared" si="2787"/>
        <v>1.302991343663592</v>
      </c>
      <c r="DG656" s="8">
        <f t="shared" si="2787"/>
        <v>1.3024049975589436</v>
      </c>
      <c r="DH656" s="187">
        <f t="shared" si="2787"/>
        <v>1.2992375625205912</v>
      </c>
      <c r="DI656" s="8">
        <f t="shared" si="2787"/>
        <v>1.3018189153100421</v>
      </c>
      <c r="DJ656" s="8">
        <f t="shared" ref="DJ656:EF656" si="2788">DJ620*DJ644</f>
        <v>1.3012330967981527</v>
      </c>
      <c r="DK656" s="187">
        <f t="shared" si="2788"/>
        <v>1.2980685118099295</v>
      </c>
      <c r="DL656" s="8">
        <f t="shared" si="2788"/>
        <v>1.3006475419045935</v>
      </c>
      <c r="DM656" s="8">
        <f t="shared" si="2788"/>
        <v>1.3000622505107362</v>
      </c>
      <c r="DN656" s="187">
        <f t="shared" si="2788"/>
        <v>1.2969005130081741</v>
      </c>
      <c r="DO656" s="8">
        <f t="shared" si="2788"/>
        <v>1.2994772224980067</v>
      </c>
      <c r="DP656" s="8">
        <f t="shared" si="2788"/>
        <v>1.2988924577478829</v>
      </c>
      <c r="DQ656" s="187">
        <f t="shared" si="2788"/>
        <v>1.2957335651688209</v>
      </c>
      <c r="DR656" s="8">
        <f t="shared" si="2788"/>
        <v>1.2983079561418964</v>
      </c>
      <c r="DS656" s="8">
        <f t="shared" si="2788"/>
        <v>1.2977237175616325</v>
      </c>
      <c r="DT656" s="187">
        <f t="shared" si="2788"/>
        <v>1.2945676673462161</v>
      </c>
      <c r="DU656" s="8">
        <f t="shared" si="2788"/>
        <v>1.2971397418887298</v>
      </c>
      <c r="DV656" s="8">
        <f t="shared" si="2788"/>
        <v>1.2965560290048801</v>
      </c>
      <c r="DW656" s="187">
        <f t="shared" si="2788"/>
        <v>1.2934028185955571</v>
      </c>
      <c r="DX656" s="8">
        <f t="shared" si="2788"/>
        <v>1.2959725787918279</v>
      </c>
      <c r="DY656" s="8">
        <f t="shared" si="2788"/>
        <v>1.2953893911313716</v>
      </c>
      <c r="DZ656" s="187">
        <f t="shared" si="2788"/>
        <v>1.2922390179728922</v>
      </c>
      <c r="EA656" s="8">
        <f t="shared" si="2788"/>
        <v>1.2948064659053624</v>
      </c>
      <c r="EB656" s="8">
        <f t="shared" si="2788"/>
        <v>1.2942238029957052</v>
      </c>
      <c r="EC656" s="187">
        <f t="shared" si="2788"/>
        <v>1.2910762645351177</v>
      </c>
      <c r="ED656" s="8">
        <f t="shared" si="2788"/>
        <v>1.293641402284357</v>
      </c>
      <c r="EE656" s="8">
        <f t="shared" si="2788"/>
        <v>1.2930592636533289</v>
      </c>
      <c r="EF656" s="187">
        <f t="shared" si="2788"/>
        <v>1.2899145573399795</v>
      </c>
      <c r="EG656" s="8">
        <f t="shared" ref="EG656:EL656" si="2789">EG620*EG644</f>
        <v>1.2924773869846851</v>
      </c>
      <c r="EH656" s="8">
        <f t="shared" si="2789"/>
        <v>1.291895772160542</v>
      </c>
      <c r="EI656" s="187">
        <f t="shared" si="2789"/>
        <v>1.2887538954460716</v>
      </c>
      <c r="EJ656" s="8">
        <f t="shared" si="2789"/>
        <v>1.2913144190630699</v>
      </c>
      <c r="EK656" s="8">
        <f t="shared" si="2789"/>
        <v>1.2907333275744914</v>
      </c>
      <c r="EL656" s="187">
        <f t="shared" si="2789"/>
        <v>1.287594277912834</v>
      </c>
      <c r="EM656" s="8">
        <f t="shared" ref="EM656:ER656" si="2790">EM620*EM644</f>
        <v>1.2901524975770831</v>
      </c>
      <c r="EN656" s="8">
        <f t="shared" si="2790"/>
        <v>1.2895719289531735</v>
      </c>
      <c r="EO656" s="187">
        <f t="shared" si="2790"/>
        <v>1.2864357038005541</v>
      </c>
      <c r="EP656" s="8">
        <f t="shared" si="2790"/>
        <v>1.2889916215851447</v>
      </c>
      <c r="EQ656" s="8">
        <f t="shared" si="2790"/>
        <v>1.2884115753554317</v>
      </c>
      <c r="ER656" s="187">
        <f t="shared" si="2790"/>
        <v>1.2852781721703637</v>
      </c>
      <c r="ES656" s="8">
        <f t="shared" ref="ES656:EX656" si="2791">ES620*ES644</f>
        <v>1.2878317901465217</v>
      </c>
      <c r="ET656" s="8">
        <f t="shared" si="2791"/>
        <v>1.2872522658409558</v>
      </c>
      <c r="EU656" s="187">
        <f t="shared" si="2791"/>
        <v>1.2841216820842407</v>
      </c>
      <c r="EV656" s="8">
        <f t="shared" si="2791"/>
        <v>1.2866730023213275</v>
      </c>
      <c r="EW656" s="8">
        <f t="shared" si="2791"/>
        <v>1.2860939994702829</v>
      </c>
      <c r="EX656" s="187">
        <f t="shared" si="2791"/>
        <v>1.2829662326050051</v>
      </c>
      <c r="EY656" s="8">
        <f t="shared" ref="EY656:FA656" si="2792">EY620*EY644</f>
        <v>1.2855152571705213</v>
      </c>
      <c r="EZ656" s="8">
        <f t="shared" si="2792"/>
        <v>1.2849367753047947</v>
      </c>
      <c r="FA656" s="187">
        <f t="shared" si="2792"/>
        <v>1.2818118227963231</v>
      </c>
      <c r="FH656" s="35"/>
      <c r="FI656" s="35"/>
      <c r="FJ656" s="35"/>
      <c r="FK656" s="35"/>
      <c r="FL656" s="35"/>
      <c r="FM656" s="35"/>
      <c r="FN656" s="35"/>
      <c r="FO656" s="35"/>
      <c r="FP656" s="35"/>
      <c r="FQ656" s="35"/>
    </row>
    <row r="657" spans="1:173" s="321" customFormat="1" hidden="1" outlineLevel="1">
      <c r="A657" s="1168"/>
      <c r="B657" s="186"/>
      <c r="C657" s="186" t="s">
        <v>431</v>
      </c>
      <c r="D657" s="910"/>
      <c r="E657" s="1"/>
      <c r="F657" s="1"/>
      <c r="G657" s="5"/>
      <c r="H657" s="1"/>
      <c r="I657" s="1"/>
      <c r="J657" s="5"/>
      <c r="K657" s="1"/>
      <c r="L657" s="1"/>
      <c r="M657" s="5"/>
      <c r="N657" s="1"/>
      <c r="O657" s="1"/>
      <c r="P657" s="5"/>
      <c r="Q657" s="1"/>
      <c r="R657" s="1"/>
      <c r="S657" s="5"/>
      <c r="T657" s="1"/>
      <c r="U657" s="1"/>
      <c r="V657" s="5"/>
      <c r="W657" s="1"/>
      <c r="X657" s="1"/>
      <c r="Y657" s="5"/>
      <c r="Z657" s="1"/>
      <c r="AA657" s="1"/>
      <c r="AB657" s="5"/>
      <c r="AC657" s="1"/>
      <c r="AD657" s="1"/>
      <c r="AE657" s="5"/>
      <c r="AF657" s="1"/>
      <c r="AG657" s="1"/>
      <c r="AH657" s="5"/>
      <c r="AI657" s="1"/>
      <c r="AJ657" s="1"/>
      <c r="AK657" s="5"/>
      <c r="AL657" s="1"/>
      <c r="AM657" s="1"/>
      <c r="AN657" s="5"/>
      <c r="AO657" s="1"/>
      <c r="AP657" s="1"/>
      <c r="AQ657" s="5"/>
      <c r="AR657" s="1"/>
      <c r="AS657" s="1"/>
      <c r="AT657" s="5"/>
      <c r="AU657" s="1"/>
      <c r="AV657" s="1"/>
      <c r="AW657" s="5"/>
      <c r="AX657" s="187">
        <f t="shared" ref="AX657:CC657" si="2793">AX621*AX645</f>
        <v>6.9815588528024639</v>
      </c>
      <c r="AY657" s="187">
        <f t="shared" si="2793"/>
        <v>7.0262408294603995</v>
      </c>
      <c r="AZ657" s="187">
        <f t="shared" si="2793"/>
        <v>6.9902760206948642</v>
      </c>
      <c r="BA657" s="8">
        <f t="shared" si="2793"/>
        <v>7.0712087707689459</v>
      </c>
      <c r="BB657" s="8">
        <f t="shared" si="2793"/>
        <v>7.1164645069018668</v>
      </c>
      <c r="BC657" s="978">
        <f t="shared" si="2793"/>
        <v>7.0800378754655648</v>
      </c>
      <c r="BD657" s="8">
        <f t="shared" si="2793"/>
        <v>7.162009879746039</v>
      </c>
      <c r="BE657" s="8">
        <f t="shared" si="2793"/>
        <v>7.2078467429764128</v>
      </c>
      <c r="BF657" s="978">
        <f t="shared" si="2793"/>
        <v>7.1709523586229027</v>
      </c>
      <c r="BG657" s="8">
        <f t="shared" si="2793"/>
        <v>7.2539769621314614</v>
      </c>
      <c r="BH657" s="8">
        <f t="shared" si="2793"/>
        <v>7.3004024146891036</v>
      </c>
      <c r="BI657" s="978">
        <f t="shared" si="2793"/>
        <v>7.2630342710218851</v>
      </c>
      <c r="BJ657" s="115">
        <f t="shared" si="2793"/>
        <v>7.3471249901431124</v>
      </c>
      <c r="BK657" s="115">
        <f t="shared" si="2793"/>
        <v>7.3941465900800285</v>
      </c>
      <c r="BL657" s="116">
        <f t="shared" si="2793"/>
        <v>7.3562986035747056</v>
      </c>
      <c r="BM657" s="115">
        <f t="shared" si="2793"/>
        <v>7.4178078591682857</v>
      </c>
      <c r="BN657" s="115">
        <f t="shared" si="2793"/>
        <v>7.441544844317626</v>
      </c>
      <c r="BO657" s="116">
        <f t="shared" si="2793"/>
        <v>7.4033327420150874</v>
      </c>
      <c r="BP657" s="115">
        <f t="shared" si="2793"/>
        <v>7.4653577878194417</v>
      </c>
      <c r="BQ657" s="115">
        <f t="shared" si="2793"/>
        <v>7.4892469327404649</v>
      </c>
      <c r="BR657" s="116">
        <f t="shared" si="2793"/>
        <v>7.4507898816912634</v>
      </c>
      <c r="BS657" s="8">
        <f t="shared" si="2793"/>
        <v>7.5132125229252349</v>
      </c>
      <c r="BT657" s="8">
        <f t="shared" si="2793"/>
        <v>7.5372548029985973</v>
      </c>
      <c r="BU657" s="187">
        <f t="shared" si="2793"/>
        <v>7.4985512330224777</v>
      </c>
      <c r="BV657" s="8">
        <f t="shared" si="2793"/>
        <v>7.5613740183681939</v>
      </c>
      <c r="BW657" s="8">
        <f t="shared" si="2793"/>
        <v>7.5855704152269734</v>
      </c>
      <c r="BX657" s="187">
        <f t="shared" si="2793"/>
        <v>7.5466187460784511</v>
      </c>
      <c r="BY657" s="8">
        <f t="shared" si="2793"/>
        <v>7.6098442405557005</v>
      </c>
      <c r="BZ657" s="8">
        <f t="shared" si="2793"/>
        <v>7.6341957421254776</v>
      </c>
      <c r="CA657" s="187">
        <f t="shared" si="2793"/>
        <v>7.594994383429313</v>
      </c>
      <c r="CB657" s="8">
        <f t="shared" si="2793"/>
        <v>7.6586251685002802</v>
      </c>
      <c r="CC657" s="8">
        <f t="shared" si="2793"/>
        <v>7.6831327690394833</v>
      </c>
      <c r="CD657" s="187">
        <f t="shared" ref="CD657:DI657" si="2794">CD621*CD645</f>
        <v>7.6436801202257474</v>
      </c>
      <c r="CE657" s="8">
        <f t="shared" si="2794"/>
        <v>7.7077187939004093</v>
      </c>
      <c r="CF657" s="8">
        <f t="shared" si="2794"/>
        <v>7.7323834940408913</v>
      </c>
      <c r="CG657" s="187">
        <f t="shared" si="2794"/>
        <v>7.6926779442796249</v>
      </c>
      <c r="CH657" s="8">
        <f t="shared" si="2794"/>
        <v>7.7571271212218234</v>
      </c>
      <c r="CI657" s="8">
        <f t="shared" si="2794"/>
        <v>7.7819499280097331</v>
      </c>
      <c r="CJ657" s="187">
        <f t="shared" si="2794"/>
        <v>7.7419898561451665</v>
      </c>
      <c r="CK657" s="8">
        <f t="shared" si="2794"/>
        <v>7.8068521677793647</v>
      </c>
      <c r="CL657" s="8">
        <f t="shared" si="2794"/>
        <v>7.8318340947162586</v>
      </c>
      <c r="CM657" s="187">
        <f t="shared" si="2794"/>
        <v>7.791617869200623</v>
      </c>
      <c r="CN657" s="8">
        <f t="shared" si="2794"/>
        <v>7.856895963819353</v>
      </c>
      <c r="CO657" s="8">
        <f t="shared" si="2794"/>
        <v>7.8820380309035754</v>
      </c>
      <c r="CP657" s="187">
        <f t="shared" si="2794"/>
        <v>7.8415640097304884</v>
      </c>
      <c r="CQ657" s="8">
        <f t="shared" si="2794"/>
        <v>7.9072605526024695</v>
      </c>
      <c r="CR657" s="8">
        <f t="shared" si="2794"/>
        <v>7.932563786370797</v>
      </c>
      <c r="CS657" s="187">
        <f t="shared" si="2794"/>
        <v>7.8918303170082265</v>
      </c>
      <c r="CT657" s="8">
        <f t="shared" si="2794"/>
        <v>7.9579479904871846</v>
      </c>
      <c r="CU657" s="8">
        <f t="shared" si="2794"/>
        <v>7.9834134240567423</v>
      </c>
      <c r="CV657" s="187">
        <f t="shared" si="2794"/>
        <v>7.9424188433795253</v>
      </c>
      <c r="CW657" s="8">
        <f t="shared" si="2794"/>
        <v>8.0089603470137245</v>
      </c>
      <c r="CX657" s="8">
        <f t="shared" si="2794"/>
        <v>8.0345890201241694</v>
      </c>
      <c r="CY657" s="187">
        <f t="shared" si="2794"/>
        <v>7.9933316543461119</v>
      </c>
      <c r="CZ657" s="8">
        <f t="shared" si="2794"/>
        <v>8.0602997049885694</v>
      </c>
      <c r="DA657" s="8">
        <f t="shared" si="2794"/>
        <v>8.0860926640445339</v>
      </c>
      <c r="DB657" s="187">
        <f t="shared" si="2794"/>
        <v>8.0445708286500697</v>
      </c>
      <c r="DC657" s="8">
        <f t="shared" si="2794"/>
        <v>8.1119681605694751</v>
      </c>
      <c r="DD657" s="8">
        <f t="shared" si="2794"/>
        <v>8.1379264586832978</v>
      </c>
      <c r="DE657" s="187">
        <f t="shared" si="2794"/>
        <v>8.0961384583587162</v>
      </c>
      <c r="DF657" s="8">
        <f t="shared" si="2794"/>
        <v>8.1639678233510864</v>
      </c>
      <c r="DG657" s="8">
        <f t="shared" si="2794"/>
        <v>8.190092520385809</v>
      </c>
      <c r="DH657" s="187">
        <f t="shared" si="2794"/>
        <v>8.1480366489500256</v>
      </c>
      <c r="DI657" s="8">
        <f t="shared" si="2794"/>
        <v>8.216300816451044</v>
      </c>
      <c r="DJ657" s="8">
        <f t="shared" ref="DJ657:EF657" si="2795">DJ621*DJ645</f>
        <v>8.2425929790636872</v>
      </c>
      <c r="DK657" s="187">
        <f t="shared" si="2795"/>
        <v>8.2002675193985901</v>
      </c>
      <c r="DL657" s="8">
        <f t="shared" si="2795"/>
        <v>8.2689692765966907</v>
      </c>
      <c r="DM657" s="8">
        <f t="shared" si="2795"/>
        <v>8.2954299782818026</v>
      </c>
      <c r="DN657" s="187">
        <f t="shared" si="2795"/>
        <v>8.252833202262142</v>
      </c>
      <c r="DO657" s="8">
        <f t="shared" si="2795"/>
        <v>8.3219753542123041</v>
      </c>
      <c r="DP657" s="8">
        <f t="shared" si="2795"/>
        <v>8.3486056753457838</v>
      </c>
      <c r="DQ657" s="187">
        <f t="shared" si="2795"/>
        <v>8.3057358437686126</v>
      </c>
      <c r="DR657" s="8">
        <f t="shared" si="2795"/>
        <v>8.37532121350689</v>
      </c>
      <c r="DS657" s="8">
        <f t="shared" si="2795"/>
        <v>8.4021222413901135</v>
      </c>
      <c r="DT657" s="187">
        <f t="shared" si="2795"/>
        <v>8.3589776039037726</v>
      </c>
      <c r="DU657" s="8">
        <f t="shared" si="2795"/>
        <v>8.4290090325625613</v>
      </c>
      <c r="DV657" s="8">
        <f t="shared" si="2795"/>
        <v>8.4559818614667623</v>
      </c>
      <c r="DW657" s="187">
        <f t="shared" si="2795"/>
        <v>8.4125606564994229</v>
      </c>
      <c r="DX657" s="8">
        <f t="shared" si="2795"/>
        <v>8.4830410034234571</v>
      </c>
      <c r="DY657" s="8">
        <f t="shared" si="2795"/>
        <v>8.5101867346344129</v>
      </c>
      <c r="DZ657" s="187">
        <f t="shared" si="2795"/>
        <v>8.4664871893221427</v>
      </c>
      <c r="EA657" s="8">
        <f t="shared" si="2795"/>
        <v>8.5374193321852445</v>
      </c>
      <c r="EB657" s="8">
        <f t="shared" si="2795"/>
        <v>8.564739074048239</v>
      </c>
      <c r="EC657" s="187">
        <f t="shared" si="2795"/>
        <v>8.5207594041626251</v>
      </c>
      <c r="ED657" s="8">
        <f t="shared" si="2795"/>
        <v>8.5921462390851939</v>
      </c>
      <c r="EE657" s="8">
        <f t="shared" si="2795"/>
        <v>8.619641107050267</v>
      </c>
      <c r="EF657" s="187">
        <f t="shared" si="2795"/>
        <v>8.5753795169255653</v>
      </c>
      <c r="EG657" s="8">
        <f t="shared" ref="EG657:EL657" si="2796">EG621*EG645</f>
        <v>8.6472239585928286</v>
      </c>
      <c r="EH657" s="8">
        <f t="shared" si="2796"/>
        <v>8.6748950752603271</v>
      </c>
      <c r="EI657" s="187">
        <f t="shared" si="2796"/>
        <v>8.6303497577201451</v>
      </c>
      <c r="EJ657" s="8">
        <f t="shared" si="2796"/>
        <v>8.7026547395011598</v>
      </c>
      <c r="EK657" s="8">
        <f t="shared" si="2796"/>
        <v>8.7305032346675642</v>
      </c>
      <c r="EL657" s="187">
        <f t="shared" si="2796"/>
        <v>8.6856723709510746</v>
      </c>
      <c r="EM657" s="8">
        <f t="shared" ref="EM657:ER657" si="2797">EM621*EM645</f>
        <v>8.7584408450184998</v>
      </c>
      <c r="EN657" s="8">
        <f t="shared" si="2797"/>
        <v>8.7864678557225613</v>
      </c>
      <c r="EO657" s="187">
        <f t="shared" si="2797"/>
        <v>8.7413496154102415</v>
      </c>
      <c r="EP657" s="8">
        <f t="shared" si="2797"/>
        <v>8.8145845528608735</v>
      </c>
      <c r="EQ657" s="8">
        <f t="shared" si="2797"/>
        <v>8.8427912234300283</v>
      </c>
      <c r="ER657" s="187">
        <f t="shared" si="2797"/>
        <v>8.797383764368929</v>
      </c>
      <c r="ES657" s="8">
        <f t="shared" ref="ES657:EX657" si="2798">ES621*ES645</f>
        <v>8.8710881553450047</v>
      </c>
      <c r="ET657" s="8">
        <f t="shared" si="2798"/>
        <v>8.8994756374421105</v>
      </c>
      <c r="EU657" s="187">
        <f t="shared" si="2798"/>
        <v>8.8537771056706376</v>
      </c>
      <c r="EV657" s="8">
        <f t="shared" si="2798"/>
        <v>8.9279539594819273</v>
      </c>
      <c r="EW657" s="8">
        <f t="shared" si="2798"/>
        <v>8.9565234121522685</v>
      </c>
      <c r="EX657" s="187">
        <f t="shared" si="2798"/>
        <v>8.9105319418244928</v>
      </c>
      <c r="EY657" s="8">
        <f t="shared" ref="EY657:FA657" si="2799">EY621*EY645</f>
        <v>8.9851842870711547</v>
      </c>
      <c r="EZ657" s="8">
        <f t="shared" si="2799"/>
        <v>9.0139368767897849</v>
      </c>
      <c r="FA657" s="187">
        <f t="shared" si="2799"/>
        <v>8.9676505900992556</v>
      </c>
      <c r="FH657" s="35"/>
      <c r="FI657" s="35"/>
      <c r="FJ657" s="35"/>
      <c r="FK657" s="35"/>
      <c r="FL657" s="35"/>
      <c r="FM657" s="35"/>
      <c r="FN657" s="35"/>
      <c r="FO657" s="35"/>
      <c r="FP657" s="35"/>
      <c r="FQ657" s="35"/>
    </row>
    <row r="658" spans="1:173" s="321" customFormat="1" hidden="1" outlineLevel="1">
      <c r="A658" s="1168"/>
      <c r="B658" s="186"/>
      <c r="C658" s="186" t="s">
        <v>327</v>
      </c>
      <c r="D658" s="910"/>
      <c r="E658" s="1"/>
      <c r="F658" s="1"/>
      <c r="G658" s="5"/>
      <c r="H658" s="1"/>
      <c r="I658" s="1"/>
      <c r="J658" s="5"/>
      <c r="K658" s="1"/>
      <c r="L658" s="1"/>
      <c r="M658" s="5"/>
      <c r="N658" s="1"/>
      <c r="O658" s="1"/>
      <c r="P658" s="5"/>
      <c r="Q658" s="1"/>
      <c r="R658" s="1"/>
      <c r="S658" s="5"/>
      <c r="T658" s="1"/>
      <c r="U658" s="1"/>
      <c r="V658" s="5"/>
      <c r="W658" s="1"/>
      <c r="X658" s="1"/>
      <c r="Y658" s="5"/>
      <c r="Z658" s="1"/>
      <c r="AA658" s="1"/>
      <c r="AB658" s="5"/>
      <c r="AC658" s="1"/>
      <c r="AD658" s="1"/>
      <c r="AE658" s="5"/>
      <c r="AF658" s="1"/>
      <c r="AG658" s="1"/>
      <c r="AH658" s="5"/>
      <c r="AI658" s="1"/>
      <c r="AJ658" s="1"/>
      <c r="AK658" s="5"/>
      <c r="AL658" s="1"/>
      <c r="AM658" s="1"/>
      <c r="AN658" s="5"/>
      <c r="AO658" s="1"/>
      <c r="AP658" s="1"/>
      <c r="AQ658" s="5"/>
      <c r="AR658" s="1"/>
      <c r="AS658" s="1"/>
      <c r="AT658" s="5"/>
      <c r="AU658" s="1"/>
      <c r="AV658" s="1"/>
      <c r="AW658" s="5"/>
      <c r="AX658" s="187">
        <f t="shared" ref="AX658:CC658" si="2800">SUM(AX655:AX657)</f>
        <v>8.9094846669043779</v>
      </c>
      <c r="AY658" s="187">
        <f t="shared" si="2800"/>
        <v>8.9547256305078999</v>
      </c>
      <c r="AZ658" s="187">
        <f t="shared" si="2800"/>
        <v>8.9134148560882789</v>
      </c>
      <c r="BA658" s="8">
        <f t="shared" si="2800"/>
        <v>9.0002588233283092</v>
      </c>
      <c r="BB658" s="8">
        <f t="shared" si="2800"/>
        <v>9.0460860898658382</v>
      </c>
      <c r="BC658" s="978">
        <f t="shared" si="2800"/>
        <v>9.0043068637861765</v>
      </c>
      <c r="BD658" s="8">
        <f t="shared" si="2800"/>
        <v>9.0922092863798376</v>
      </c>
      <c r="BE658" s="8">
        <f t="shared" si="2800"/>
        <v>9.1386302809638646</v>
      </c>
      <c r="BF658" s="978">
        <f t="shared" si="2800"/>
        <v>9.096376588903496</v>
      </c>
      <c r="BG658" s="8">
        <f t="shared" si="2800"/>
        <v>9.1853509536212652</v>
      </c>
      <c r="BH658" s="8">
        <f t="shared" si="2800"/>
        <v>9.2323731963412339</v>
      </c>
      <c r="BI658" s="978">
        <f t="shared" si="2800"/>
        <v>9.1896389474134583</v>
      </c>
      <c r="BJ658" s="115">
        <f t="shared" si="2800"/>
        <v>9.2796989131753485</v>
      </c>
      <c r="BK658" s="115">
        <f t="shared" si="2800"/>
        <v>9.3273300203146245</v>
      </c>
      <c r="BL658" s="116">
        <f t="shared" si="2800"/>
        <v>9.2841090460862645</v>
      </c>
      <c r="BM658" s="115">
        <f t="shared" si="2800"/>
        <v>9.3512992332408267</v>
      </c>
      <c r="BN658" s="115">
        <f t="shared" si="2800"/>
        <v>9.3753457610210482</v>
      </c>
      <c r="BO658" s="116">
        <f t="shared" si="2800"/>
        <v>9.3317554504974662</v>
      </c>
      <c r="BP658" s="115">
        <f t="shared" si="2800"/>
        <v>9.3994698477898417</v>
      </c>
      <c r="BQ658" s="115">
        <f t="shared" si="2800"/>
        <v>9.4236717384600492</v>
      </c>
      <c r="BR658" s="116">
        <f t="shared" si="2800"/>
        <v>9.3798329685154389</v>
      </c>
      <c r="BS658" s="8">
        <f t="shared" si="2800"/>
        <v>9.4479516787252766</v>
      </c>
      <c r="BT658" s="8">
        <f t="shared" si="2800"/>
        <v>9.4723099150623931</v>
      </c>
      <c r="BU658" s="187">
        <f t="shared" si="2800"/>
        <v>9.4282210940248081</v>
      </c>
      <c r="BV658" s="8">
        <f t="shared" si="2800"/>
        <v>9.4967466947340302</v>
      </c>
      <c r="BW658" s="8">
        <f t="shared" si="2800"/>
        <v>9.5212622657910888</v>
      </c>
      <c r="BX658" s="187">
        <f t="shared" si="2800"/>
        <v>9.4769217918699216</v>
      </c>
      <c r="BY658" s="8">
        <f t="shared" si="2800"/>
        <v>9.5458568770752628</v>
      </c>
      <c r="BZ658" s="8">
        <f t="shared" si="2800"/>
        <v>9.5705307782215563</v>
      </c>
      <c r="CA658" s="187">
        <f t="shared" si="2800"/>
        <v>9.5259370394428409</v>
      </c>
      <c r="CB658" s="8">
        <f t="shared" si="2800"/>
        <v>9.5952842196608295</v>
      </c>
      <c r="CC658" s="8">
        <f t="shared" si="2800"/>
        <v>9.6201174526223259</v>
      </c>
      <c r="CD658" s="187">
        <f t="shared" ref="CD658:DI658" si="2801">SUM(CD655:CD657)</f>
        <v>9.5752688267636366</v>
      </c>
      <c r="CE658" s="8">
        <f t="shared" si="2801"/>
        <v>9.6450307291362201</v>
      </c>
      <c r="CF658" s="8">
        <f t="shared" si="2801"/>
        <v>9.6700243020362002</v>
      </c>
      <c r="CG658" s="187">
        <f t="shared" si="2801"/>
        <v>9.6249191565611518</v>
      </c>
      <c r="CH658" s="8">
        <f t="shared" si="2801"/>
        <v>9.6950984249620067</v>
      </c>
      <c r="CI658" s="8">
        <f t="shared" si="2801"/>
        <v>9.7202533523620147</v>
      </c>
      <c r="CJ658" s="187">
        <f t="shared" si="2801"/>
        <v>9.6748900443542958</v>
      </c>
      <c r="CK658" s="8">
        <f t="shared" si="2801"/>
        <v>9.7454893394958244</v>
      </c>
      <c r="CL658" s="8">
        <f t="shared" si="2801"/>
        <v>9.7708066424368418</v>
      </c>
      <c r="CM658" s="187">
        <f t="shared" si="2801"/>
        <v>9.7251835185338802</v>
      </c>
      <c r="CN658" s="8">
        <f t="shared" si="2801"/>
        <v>9.7962055180748884</v>
      </c>
      <c r="CO658" s="8">
        <f t="shared" si="2801"/>
        <v>9.821686224118789</v>
      </c>
      <c r="CP658" s="187">
        <f t="shared" si="2801"/>
        <v>9.7758016204449483</v>
      </c>
      <c r="CQ658" s="8">
        <f t="shared" si="2801"/>
        <v>9.8472490190990118</v>
      </c>
      <c r="CR658" s="8">
        <f t="shared" si="2801"/>
        <v>9.8728941623702688</v>
      </c>
      <c r="CS658" s="187">
        <f t="shared" si="2801"/>
        <v>9.8267464044696524</v>
      </c>
      <c r="CT658" s="8">
        <f t="shared" si="2801"/>
        <v>9.8986219141141731</v>
      </c>
      <c r="CU658" s="8">
        <f t="shared" si="2801"/>
        <v>9.9244325353418503</v>
      </c>
      <c r="CV658" s="187">
        <f t="shared" si="2801"/>
        <v>9.8780199381106506</v>
      </c>
      <c r="CW658" s="8">
        <f t="shared" si="2801"/>
        <v>9.9503262878966208</v>
      </c>
      <c r="CX658" s="8">
        <f t="shared" si="2801"/>
        <v>9.976303434456625</v>
      </c>
      <c r="CY658" s="187">
        <f t="shared" si="2801"/>
        <v>9.9296243020750463</v>
      </c>
      <c r="CZ658" s="8">
        <f t="shared" si="2801"/>
        <v>10.002364238537513</v>
      </c>
      <c r="DA658" s="8">
        <f t="shared" si="2801"/>
        <v>10.028508964495106</v>
      </c>
      <c r="DB658" s="187">
        <f t="shared" si="2801"/>
        <v>9.9815615903588615</v>
      </c>
      <c r="DC658" s="8">
        <f t="shared" si="2801"/>
        <v>10.054737877528085</v>
      </c>
      <c r="DD658" s="8">
        <f t="shared" si="2801"/>
        <v>10.081051243680685</v>
      </c>
      <c r="DE658" s="187">
        <f t="shared" si="2801"/>
        <v>10.033833910332042</v>
      </c>
      <c r="DF658" s="8">
        <f t="shared" si="2801"/>
        <v>10.107449329845391</v>
      </c>
      <c r="DG658" s="8">
        <f t="shared" si="2801"/>
        <v>10.133932403765639</v>
      </c>
      <c r="DH658" s="187">
        <f t="shared" si="2801"/>
        <v>10.086443382824028</v>
      </c>
      <c r="DI658" s="8">
        <f t="shared" si="2801"/>
        <v>10.160500734038559</v>
      </c>
      <c r="DJ658" s="8">
        <f t="shared" ref="DJ658:EF658" si="2802">SUM(DJ655:DJ657)</f>
        <v>10.187154590117672</v>
      </c>
      <c r="DK658" s="187">
        <f t="shared" si="2802"/>
        <v>10.13939214220985</v>
      </c>
      <c r="DL658" s="8">
        <f t="shared" si="2802"/>
        <v>10.213894242315643</v>
      </c>
      <c r="DM658" s="8">
        <f t="shared" si="2802"/>
        <v>10.240719961807024</v>
      </c>
      <c r="DN658" s="187">
        <f t="shared" si="2802"/>
        <v>10.192682336496803</v>
      </c>
      <c r="DO658" s="8">
        <f t="shared" si="2802"/>
        <v>10.267632020630993</v>
      </c>
      <c r="DP658" s="8">
        <f t="shared" si="2802"/>
        <v>10.294630691694131</v>
      </c>
      <c r="DQ658" s="187">
        <f t="shared" si="2802"/>
        <v>10.246316127411632</v>
      </c>
      <c r="DR658" s="8">
        <f t="shared" si="2802"/>
        <v>10.321716248773185</v>
      </c>
      <c r="DS658" s="8">
        <f t="shared" si="2802"/>
        <v>10.348888966517855</v>
      </c>
      <c r="DT658" s="187">
        <f t="shared" si="2802"/>
        <v>10.300295690488328</v>
      </c>
      <c r="DU658" s="8">
        <f t="shared" si="2802"/>
        <v>10.37614912045356</v>
      </c>
      <c r="DV658" s="8">
        <f t="shared" si="2802"/>
        <v>10.403496986984264</v>
      </c>
      <c r="DW658" s="187">
        <f t="shared" si="2802"/>
        <v>10.354623215156453</v>
      </c>
      <c r="DX658" s="8">
        <f t="shared" si="2802"/>
        <v>10.430932843395262</v>
      </c>
      <c r="DY658" s="8">
        <f t="shared" si="2802"/>
        <v>10.458456967856003</v>
      </c>
      <c r="DZ658" s="187">
        <f t="shared" si="2802"/>
        <v>10.409300904830037</v>
      </c>
      <c r="EA658" s="8">
        <f t="shared" si="2802"/>
        <v>10.486069639422908</v>
      </c>
      <c r="EB658" s="8">
        <f t="shared" si="2802"/>
        <v>10.513771138042211</v>
      </c>
      <c r="EC658" s="187">
        <f t="shared" si="2802"/>
        <v>10.464330976997049</v>
      </c>
      <c r="ED658" s="8">
        <f t="shared" si="2802"/>
        <v>10.541561744552789</v>
      </c>
      <c r="EE658" s="8">
        <f t="shared" si="2802"/>
        <v>10.56944174068903</v>
      </c>
      <c r="EF658" s="187">
        <f t="shared" si="2802"/>
        <v>10.519715663309439</v>
      </c>
      <c r="EG658" s="8">
        <f t="shared" ref="EG658:EL658" si="2803">SUM(EG655:EG657)</f>
        <v>10.597411409083676</v>
      </c>
      <c r="EH658" s="8">
        <f t="shared" si="2803"/>
        <v>10.625471033270703</v>
      </c>
      <c r="EI658" s="187">
        <f t="shared" si="2803"/>
        <v>10.575457209673759</v>
      </c>
      <c r="EJ658" s="8">
        <f t="shared" si="2803"/>
        <v>10.653620897688192</v>
      </c>
      <c r="EK658" s="8">
        <f t="shared" si="2803"/>
        <v>10.681861287681226</v>
      </c>
      <c r="EL658" s="187">
        <f t="shared" si="2803"/>
        <v>10.631557876342354</v>
      </c>
      <c r="EM658" s="8">
        <f t="shared" ref="EM658:ER658" si="2804">SUM(EM655:EM657)</f>
        <v>10.710192489504776</v>
      </c>
      <c r="EN658" s="8">
        <f t="shared" si="2804"/>
        <v>10.738614790326618</v>
      </c>
      <c r="EO658" s="187">
        <f t="shared" si="2804"/>
        <v>10.688019938005155</v>
      </c>
      <c r="EP658" s="8">
        <f t="shared" si="2804"/>
        <v>10.767128478230237</v>
      </c>
      <c r="EQ658" s="8">
        <f t="shared" si="2804"/>
        <v>10.795733842217761</v>
      </c>
      <c r="ER658" s="187">
        <f t="shared" si="2804"/>
        <v>10.744845683882037</v>
      </c>
      <c r="ES658" s="8">
        <f t="shared" ref="ES658:EX658" si="2805">SUM(ES655:ES657)</f>
        <v>10.82443117221289</v>
      </c>
      <c r="ET658" s="8">
        <f t="shared" si="2805"/>
        <v>10.853220759063843</v>
      </c>
      <c r="EU658" s="187">
        <f t="shared" si="2805"/>
        <v>10.8020374178158</v>
      </c>
      <c r="EV658" s="8">
        <f t="shared" si="2805"/>
        <v>10.882102894546307</v>
      </c>
      <c r="EW658" s="8">
        <f t="shared" si="2805"/>
        <v>10.9110778713664</v>
      </c>
      <c r="EX658" s="187">
        <f t="shared" si="2805"/>
        <v>10.859597458365705</v>
      </c>
      <c r="EY658" s="8">
        <f t="shared" ref="EY658:FA658" si="2806">SUM(EY655:EY657)</f>
        <v>10.940145983163648</v>
      </c>
      <c r="EZ658" s="8">
        <f t="shared" si="2806"/>
        <v>10.96930752451396</v>
      </c>
      <c r="FA658" s="187">
        <f t="shared" si="2806"/>
        <v>10.917528138901652</v>
      </c>
      <c r="FH658" s="35"/>
      <c r="FI658" s="35"/>
      <c r="FJ658" s="35"/>
      <c r="FK658" s="35"/>
      <c r="FL658" s="35"/>
      <c r="FM658" s="35"/>
      <c r="FN658" s="35"/>
      <c r="FO658" s="35"/>
      <c r="FP658" s="35"/>
      <c r="FQ658" s="35"/>
    </row>
    <row r="659" spans="1:173" s="321" customFormat="1" hidden="1" outlineLevel="1">
      <c r="A659" s="1168"/>
      <c r="B659" s="186"/>
      <c r="C659" s="186"/>
      <c r="D659" s="910"/>
      <c r="E659" s="1"/>
      <c r="F659" s="1"/>
      <c r="G659" s="5"/>
      <c r="H659" s="1"/>
      <c r="I659" s="1"/>
      <c r="J659" s="5"/>
      <c r="K659" s="1"/>
      <c r="L659" s="1"/>
      <c r="M659" s="5"/>
      <c r="N659" s="1"/>
      <c r="O659" s="1"/>
      <c r="P659" s="5"/>
      <c r="Q659" s="1"/>
      <c r="R659" s="1"/>
      <c r="S659" s="5"/>
      <c r="T659" s="1"/>
      <c r="U659" s="1"/>
      <c r="V659" s="5"/>
      <c r="W659" s="1"/>
      <c r="X659" s="1"/>
      <c r="Y659" s="5"/>
      <c r="Z659" s="1"/>
      <c r="AA659" s="1"/>
      <c r="AB659" s="5"/>
      <c r="AC659" s="1"/>
      <c r="AD659" s="1"/>
      <c r="AE659" s="5"/>
      <c r="AF659" s="1"/>
      <c r="AG659" s="1"/>
      <c r="AH659" s="5"/>
      <c r="AI659" s="1"/>
      <c r="AJ659" s="1"/>
      <c r="AK659" s="5"/>
      <c r="AL659" s="1"/>
      <c r="AM659" s="1"/>
      <c r="AN659" s="5"/>
      <c r="AO659" s="1"/>
      <c r="AP659" s="1"/>
      <c r="AQ659" s="5"/>
      <c r="AR659" s="1"/>
      <c r="AS659" s="1"/>
      <c r="AT659" s="5"/>
      <c r="AU659" s="1"/>
      <c r="AV659" s="1"/>
      <c r="AW659" s="5"/>
      <c r="AX659" s="3"/>
      <c r="AY659" s="3"/>
      <c r="AZ659" s="2"/>
      <c r="BA659" s="3"/>
      <c r="BB659" s="3"/>
      <c r="BC659" s="973"/>
      <c r="BD659" s="3"/>
      <c r="BE659" s="3"/>
      <c r="BF659" s="973"/>
      <c r="BG659" s="3"/>
      <c r="BH659" s="3"/>
      <c r="BI659" s="978"/>
      <c r="BJ659" s="115"/>
      <c r="BK659" s="115"/>
      <c r="BL659" s="116"/>
      <c r="BM659" s="115"/>
      <c r="BN659" s="115"/>
      <c r="BO659" s="116"/>
      <c r="BP659" s="115"/>
      <c r="BQ659" s="115"/>
      <c r="BR659" s="116"/>
      <c r="BS659" s="8"/>
      <c r="BT659" s="8"/>
      <c r="BU659" s="187"/>
      <c r="BV659" s="8"/>
      <c r="BW659" s="8"/>
      <c r="BX659" s="187"/>
      <c r="BY659" s="8"/>
      <c r="BZ659" s="8"/>
      <c r="CA659" s="187"/>
      <c r="CB659" s="8"/>
      <c r="CC659" s="8"/>
      <c r="CD659" s="187"/>
      <c r="CE659" s="8"/>
      <c r="CF659" s="8"/>
      <c r="CG659" s="187"/>
      <c r="CH659" s="8"/>
      <c r="CI659" s="8"/>
      <c r="CJ659" s="187"/>
      <c r="CK659" s="8"/>
      <c r="CL659" s="8"/>
      <c r="CM659" s="187"/>
      <c r="CN659" s="8"/>
      <c r="CO659" s="8"/>
      <c r="CP659" s="187"/>
      <c r="CQ659" s="8"/>
      <c r="CR659" s="8"/>
      <c r="CS659" s="187"/>
      <c r="CT659" s="8"/>
      <c r="CU659" s="8"/>
      <c r="CV659" s="187"/>
      <c r="CW659" s="8"/>
      <c r="CX659" s="8"/>
      <c r="CY659" s="187"/>
      <c r="CZ659" s="8"/>
      <c r="DA659" s="8"/>
      <c r="DB659" s="187"/>
      <c r="DC659" s="8"/>
      <c r="DD659" s="8"/>
      <c r="DE659" s="187"/>
      <c r="DF659" s="8"/>
      <c r="DG659" s="8"/>
      <c r="DH659" s="187"/>
      <c r="DI659" s="8"/>
      <c r="DJ659" s="8"/>
      <c r="DK659" s="187"/>
      <c r="DL659" s="8"/>
      <c r="DM659" s="8"/>
      <c r="DN659" s="187"/>
      <c r="DO659" s="8"/>
      <c r="DP659" s="8"/>
      <c r="DQ659" s="187"/>
      <c r="DR659" s="8"/>
      <c r="DS659" s="8"/>
      <c r="DT659" s="187"/>
      <c r="DU659" s="8"/>
      <c r="DV659" s="8"/>
      <c r="DW659" s="187"/>
      <c r="DX659" s="8"/>
      <c r="DY659" s="8"/>
      <c r="DZ659" s="187"/>
      <c r="EA659" s="8"/>
      <c r="EB659" s="8"/>
      <c r="EC659" s="187"/>
      <c r="ED659" s="8"/>
      <c r="EE659" s="8"/>
      <c r="EF659" s="187"/>
      <c r="EG659" s="8"/>
      <c r="EH659" s="8"/>
      <c r="EI659" s="187"/>
      <c r="EJ659" s="8"/>
      <c r="EK659" s="8"/>
      <c r="EL659" s="187"/>
      <c r="EM659" s="8"/>
      <c r="EN659" s="8"/>
      <c r="EO659" s="187"/>
      <c r="EP659" s="8"/>
      <c r="EQ659" s="8"/>
      <c r="ER659" s="187"/>
      <c r="ES659" s="8"/>
      <c r="ET659" s="8"/>
      <c r="EU659" s="187"/>
      <c r="EV659" s="8"/>
      <c r="EW659" s="8"/>
      <c r="EX659" s="187"/>
      <c r="EY659" s="8"/>
      <c r="EZ659" s="8"/>
      <c r="FA659" s="187"/>
      <c r="FH659" s="35"/>
      <c r="FI659" s="35"/>
      <c r="FJ659" s="35"/>
      <c r="FK659" s="35"/>
      <c r="FL659" s="35"/>
      <c r="FM659" s="35"/>
      <c r="FN659" s="35"/>
      <c r="FO659" s="35"/>
      <c r="FP659" s="35"/>
      <c r="FQ659" s="35"/>
    </row>
    <row r="660" spans="1:173" s="321" customFormat="1" hidden="1" outlineLevel="1">
      <c r="A660" s="1168"/>
      <c r="B660" s="186"/>
      <c r="C660" s="331" t="s">
        <v>787</v>
      </c>
      <c r="D660" s="910"/>
      <c r="E660" s="1"/>
      <c r="F660" s="1"/>
      <c r="G660" s="5"/>
      <c r="H660" s="1"/>
      <c r="I660" s="1"/>
      <c r="J660" s="5"/>
      <c r="K660" s="1"/>
      <c r="L660" s="1"/>
      <c r="M660" s="5"/>
      <c r="N660" s="1"/>
      <c r="O660" s="1"/>
      <c r="P660" s="5"/>
      <c r="Q660" s="1"/>
      <c r="R660" s="1"/>
      <c r="S660" s="5"/>
      <c r="T660" s="1"/>
      <c r="U660" s="1"/>
      <c r="V660" s="5"/>
      <c r="W660" s="1"/>
      <c r="X660" s="1"/>
      <c r="Y660" s="5"/>
      <c r="Z660" s="1"/>
      <c r="AA660" s="1"/>
      <c r="AB660" s="5"/>
      <c r="AC660" s="1"/>
      <c r="AD660" s="1"/>
      <c r="AE660" s="5"/>
      <c r="AF660" s="1"/>
      <c r="AG660" s="1"/>
      <c r="AH660" s="5"/>
      <c r="AI660" s="1"/>
      <c r="AJ660" s="1"/>
      <c r="AK660" s="5"/>
      <c r="AL660" s="1"/>
      <c r="AM660" s="1"/>
      <c r="AN660" s="5"/>
      <c r="AO660" s="1"/>
      <c r="AP660" s="1"/>
      <c r="AQ660" s="5"/>
      <c r="AR660" s="1"/>
      <c r="AS660" s="1"/>
      <c r="AT660" s="5"/>
      <c r="AU660" s="1"/>
      <c r="AV660" s="1"/>
      <c r="AW660" s="5"/>
      <c r="AX660" s="3"/>
      <c r="AY660" s="3"/>
      <c r="AZ660" s="2"/>
      <c r="BA660" s="3"/>
      <c r="BB660" s="3"/>
      <c r="BC660" s="973"/>
      <c r="BD660" s="3"/>
      <c r="BE660" s="3"/>
      <c r="BF660" s="973"/>
      <c r="BG660" s="3"/>
      <c r="BH660" s="3"/>
      <c r="BI660" s="978"/>
      <c r="BJ660" s="115"/>
      <c r="BK660" s="115"/>
      <c r="BL660" s="116"/>
      <c r="BM660" s="115"/>
      <c r="BN660" s="115"/>
      <c r="BO660" s="116"/>
      <c r="BP660" s="115"/>
      <c r="BQ660" s="115"/>
      <c r="BR660" s="116"/>
      <c r="BS660" s="8"/>
      <c r="BT660" s="8"/>
      <c r="BU660" s="187"/>
      <c r="BV660" s="8"/>
      <c r="BW660" s="8"/>
      <c r="BX660" s="187"/>
      <c r="BY660" s="8"/>
      <c r="BZ660" s="8"/>
      <c r="CA660" s="187"/>
      <c r="CB660" s="8"/>
      <c r="CC660" s="8"/>
      <c r="CD660" s="187"/>
      <c r="CE660" s="8"/>
      <c r="CF660" s="8"/>
      <c r="CG660" s="187"/>
      <c r="CH660" s="8"/>
      <c r="CI660" s="8"/>
      <c r="CJ660" s="187"/>
      <c r="CK660" s="8"/>
      <c r="CL660" s="8"/>
      <c r="CM660" s="187"/>
      <c r="CN660" s="8"/>
      <c r="CO660" s="8"/>
      <c r="CP660" s="187"/>
      <c r="CQ660" s="8"/>
      <c r="CR660" s="8"/>
      <c r="CS660" s="187"/>
      <c r="CT660" s="8"/>
      <c r="CU660" s="8"/>
      <c r="CV660" s="187"/>
      <c r="CW660" s="8"/>
      <c r="CX660" s="8"/>
      <c r="CY660" s="187"/>
      <c r="CZ660" s="8"/>
      <c r="DA660" s="8"/>
      <c r="DB660" s="187"/>
      <c r="DC660" s="8"/>
      <c r="DD660" s="8"/>
      <c r="DE660" s="187"/>
      <c r="DF660" s="8"/>
      <c r="DG660" s="8"/>
      <c r="DH660" s="187"/>
      <c r="DI660" s="8"/>
      <c r="DJ660" s="8"/>
      <c r="DK660" s="187"/>
      <c r="DL660" s="8"/>
      <c r="DM660" s="8"/>
      <c r="DN660" s="187"/>
      <c r="DO660" s="8"/>
      <c r="DP660" s="8"/>
      <c r="DQ660" s="187"/>
      <c r="DR660" s="8"/>
      <c r="DS660" s="8"/>
      <c r="DT660" s="187"/>
      <c r="DU660" s="8"/>
      <c r="DV660" s="8"/>
      <c r="DW660" s="187"/>
      <c r="DX660" s="8"/>
      <c r="DY660" s="8"/>
      <c r="DZ660" s="187"/>
      <c r="EA660" s="8"/>
      <c r="EB660" s="8"/>
      <c r="EC660" s="187"/>
      <c r="ED660" s="8"/>
      <c r="EE660" s="8"/>
      <c r="EF660" s="187"/>
      <c r="EG660" s="8"/>
      <c r="EH660" s="8"/>
      <c r="EI660" s="187"/>
      <c r="EJ660" s="8"/>
      <c r="EK660" s="8"/>
      <c r="EL660" s="187"/>
      <c r="EM660" s="8"/>
      <c r="EN660" s="8"/>
      <c r="EO660" s="187"/>
      <c r="EP660" s="8"/>
      <c r="EQ660" s="8"/>
      <c r="ER660" s="187"/>
      <c r="ES660" s="8"/>
      <c r="ET660" s="8"/>
      <c r="EU660" s="187"/>
      <c r="EV660" s="8"/>
      <c r="EW660" s="8"/>
      <c r="EX660" s="187"/>
      <c r="EY660" s="8"/>
      <c r="EZ660" s="8"/>
      <c r="FA660" s="187"/>
      <c r="FH660" s="35"/>
      <c r="FI660" s="35"/>
      <c r="FJ660" s="35"/>
      <c r="FK660" s="35"/>
      <c r="FL660" s="35"/>
      <c r="FM660" s="35"/>
      <c r="FN660" s="35"/>
      <c r="FO660" s="35"/>
      <c r="FP660" s="35"/>
      <c r="FQ660" s="35"/>
    </row>
    <row r="661" spans="1:173" s="321" customFormat="1" hidden="1" outlineLevel="1">
      <c r="A661" s="1168"/>
      <c r="B661" s="186"/>
      <c r="C661" s="186" t="s">
        <v>316</v>
      </c>
      <c r="D661" s="910"/>
      <c r="E661" s="1"/>
      <c r="F661" s="1"/>
      <c r="G661" s="5"/>
      <c r="H661" s="1"/>
      <c r="I661" s="1"/>
      <c r="J661" s="5"/>
      <c r="K661" s="1"/>
      <c r="L661" s="1"/>
      <c r="M661" s="5"/>
      <c r="N661" s="1"/>
      <c r="O661" s="1"/>
      <c r="P661" s="5"/>
      <c r="Q661" s="1"/>
      <c r="R661" s="1"/>
      <c r="S661" s="5"/>
      <c r="T661" s="1"/>
      <c r="U661" s="1"/>
      <c r="V661" s="5"/>
      <c r="W661" s="1"/>
      <c r="X661" s="1"/>
      <c r="Y661" s="5"/>
      <c r="Z661" s="1"/>
      <c r="AA661" s="1"/>
      <c r="AB661" s="5"/>
      <c r="AC661" s="1"/>
      <c r="AD661" s="1"/>
      <c r="AE661" s="5"/>
      <c r="AF661" s="1"/>
      <c r="AG661" s="1"/>
      <c r="AH661" s="5"/>
      <c r="AI661" s="1"/>
      <c r="AJ661" s="1"/>
      <c r="AK661" s="5"/>
      <c r="AL661" s="1"/>
      <c r="AM661" s="1"/>
      <c r="AN661" s="5"/>
      <c r="AO661" s="1"/>
      <c r="AP661" s="1"/>
      <c r="AQ661" s="5"/>
      <c r="AR661" s="1"/>
      <c r="AS661" s="1"/>
      <c r="AT661" s="5"/>
      <c r="AU661" s="1"/>
      <c r="AV661" s="1"/>
      <c r="AW661" s="5"/>
      <c r="AX661" s="187">
        <f t="shared" ref="AX661:CC661" si="2807">AX649*AX619</f>
        <v>5.1815249650566997E-2</v>
      </c>
      <c r="AY661" s="187">
        <f t="shared" si="2807"/>
        <v>5.1968104637036189E-2</v>
      </c>
      <c r="AZ661" s="187">
        <f t="shared" si="2807"/>
        <v>5.1784809767603183E-2</v>
      </c>
      <c r="BA661" s="8">
        <f t="shared" si="2807"/>
        <v>5.2121410545715438E-2</v>
      </c>
      <c r="BB661" s="8">
        <f t="shared" si="2807"/>
        <v>5.2275168706825303E-2</v>
      </c>
      <c r="BC661" s="978">
        <f t="shared" si="2807"/>
        <v>5.209079080253904E-2</v>
      </c>
      <c r="BD661" s="8">
        <f t="shared" si="2807"/>
        <v>5.2429380454510434E-2</v>
      </c>
      <c r="BE661" s="8">
        <f t="shared" si="2807"/>
        <v>5.258404712685124E-2</v>
      </c>
      <c r="BF661" s="978">
        <f t="shared" si="2807"/>
        <v>5.2398579788380986E-2</v>
      </c>
      <c r="BG661" s="8">
        <f t="shared" si="2807"/>
        <v>5.2739170065875467E-2</v>
      </c>
      <c r="BH661" s="8">
        <f t="shared" si="2807"/>
        <v>5.2894750617569798E-2</v>
      </c>
      <c r="BI661" s="978">
        <f t="shared" si="2807"/>
        <v>5.2708187407773048E-2</v>
      </c>
      <c r="BJ661" s="115">
        <f t="shared" si="2807"/>
        <v>5.3050790131891623E-2</v>
      </c>
      <c r="BK661" s="115">
        <f t="shared" si="2807"/>
        <v>5.3207289962780707E-2</v>
      </c>
      <c r="BL661" s="116">
        <f t="shared" si="2807"/>
        <v>5.301962440647983E-2</v>
      </c>
      <c r="BM661" s="115">
        <f t="shared" si="2807"/>
        <v>5.3285770715475807E-2</v>
      </c>
      <c r="BN661" s="115">
        <f t="shared" si="2807"/>
        <v>5.336436722728112E-2</v>
      </c>
      <c r="BO661" s="116">
        <f t="shared" si="2807"/>
        <v>5.3175870434313863E-2</v>
      </c>
      <c r="BP661" s="115">
        <f t="shared" si="2807"/>
        <v>5.3443079668941358E-2</v>
      </c>
      <c r="BQ661" s="115">
        <f t="shared" si="2807"/>
        <v>5.3521908211453029E-2</v>
      </c>
      <c r="BR661" s="116">
        <f t="shared" si="2807"/>
        <v>5.3332854942848187E-2</v>
      </c>
      <c r="BS661" s="8">
        <f t="shared" si="2807"/>
        <v>5.3600853026064925E-2</v>
      </c>
      <c r="BT661" s="8">
        <f t="shared" si="2807"/>
        <v>5.3679914284278367E-2</v>
      </c>
      <c r="BU661" s="187">
        <f t="shared" si="2807"/>
        <v>5.3490302897222106E-2</v>
      </c>
      <c r="BV661" s="8">
        <f t="shared" si="2807"/>
        <v>5.3759092157847674E-2</v>
      </c>
      <c r="BW661" s="8">
        <f t="shared" si="2807"/>
        <v>5.383838681878049E-2</v>
      </c>
      <c r="BX661" s="187">
        <f t="shared" si="2807"/>
        <v>5.364821566560915E-2</v>
      </c>
      <c r="BY661" s="8">
        <f t="shared" si="2807"/>
        <v>5.3917798439338187E-2</v>
      </c>
      <c r="BZ661" s="8">
        <f t="shared" si="2807"/>
        <v>5.3997327192036211E-2</v>
      </c>
      <c r="CA661" s="187">
        <f t="shared" si="2807"/>
        <v>5.3806594620221901E-2</v>
      </c>
      <c r="CB661" s="8">
        <f t="shared" si="2807"/>
        <v>5.4076973249644451E-2</v>
      </c>
      <c r="CC661" s="8">
        <f t="shared" si="2807"/>
        <v>5.4156736785187683E-2</v>
      </c>
      <c r="CD661" s="187">
        <f t="shared" ref="CD661:DI661" si="2808">CD649*CD619</f>
        <v>5.3965441137323968E-2</v>
      </c>
      <c r="CE661" s="8">
        <f t="shared" si="2808"/>
        <v>5.4236617971945816E-2</v>
      </c>
      <c r="CF661" s="8">
        <f t="shared" si="2808"/>
        <v>5.4316616983454441E-2</v>
      </c>
      <c r="CG661" s="187">
        <f t="shared" si="2808"/>
        <v>5.4124756597241926E-2</v>
      </c>
      <c r="CH661" s="8">
        <f t="shared" si="2808"/>
        <v>5.4396733993505024E-2</v>
      </c>
      <c r="CI661" s="8">
        <f t="shared" si="2808"/>
        <v>5.4476969176145439E-2</v>
      </c>
      <c r="CJ661" s="187">
        <f t="shared" si="2808"/>
        <v>5.4284542384377348E-2</v>
      </c>
      <c r="CK661" s="8">
        <f t="shared" si="2808"/>
        <v>5.4557322705680242E-2</v>
      </c>
      <c r="CL661" s="8">
        <f t="shared" si="2808"/>
        <v>5.4637794756671118E-2</v>
      </c>
      <c r="CM661" s="187">
        <f t="shared" si="2808"/>
        <v>5.444479988721878E-2</v>
      </c>
      <c r="CN661" s="8">
        <f t="shared" si="2808"/>
        <v>5.4718385503937199E-2</v>
      </c>
      <c r="CO661" s="8">
        <f t="shared" si="2808"/>
        <v>5.47990951225555E-2</v>
      </c>
      <c r="CP661" s="187">
        <f t="shared" si="2808"/>
        <v>5.4605530498353816E-2</v>
      </c>
      <c r="CQ661" s="8">
        <f t="shared" si="2808"/>
        <v>5.4879923787861266E-2</v>
      </c>
      <c r="CR661" s="8">
        <f t="shared" si="2808"/>
        <v>5.4960871675448358E-2</v>
      </c>
      <c r="CS661" s="187">
        <f t="shared" si="2808"/>
        <v>5.4766735614481248E-2</v>
      </c>
      <c r="CT661" s="8">
        <f t="shared" si="2808"/>
        <v>5.5041938961169636E-2</v>
      </c>
      <c r="CU661" s="8">
        <f t="shared" si="2808"/>
        <v>5.5123125821137355E-2</v>
      </c>
      <c r="CV661" s="187">
        <f t="shared" si="2808"/>
        <v>5.4928416636423123E-2</v>
      </c>
      <c r="CW661" s="8">
        <f t="shared" si="2808"/>
        <v>5.520443243172353E-2</v>
      </c>
      <c r="CX661" s="8">
        <f t="shared" si="2808"/>
        <v>5.5285858969560321E-2</v>
      </c>
      <c r="CY661" s="187">
        <f t="shared" si="2808"/>
        <v>5.5090574969136996E-2</v>
      </c>
      <c r="CZ661" s="8">
        <f t="shared" si="2808"/>
        <v>5.536740561154041E-2</v>
      </c>
      <c r="DA661" s="8">
        <f t="shared" si="2808"/>
        <v>5.5449072534817428E-2</v>
      </c>
      <c r="DB661" s="187">
        <f t="shared" si="2808"/>
        <v>5.5253212021728108E-2</v>
      </c>
      <c r="DC661" s="8">
        <f t="shared" si="2808"/>
        <v>5.5530859916806279E-2</v>
      </c>
      <c r="DD661" s="8">
        <f t="shared" si="2808"/>
        <v>5.5612767935183563E-2</v>
      </c>
      <c r="DE661" s="187">
        <f t="shared" si="2808"/>
        <v>5.5416329207461604E-2</v>
      </c>
      <c r="DF661" s="8">
        <f t="shared" si="2808"/>
        <v>5.5694796767887959E-2</v>
      </c>
      <c r="DG661" s="8">
        <f t="shared" si="2808"/>
        <v>5.5776946593120588E-2</v>
      </c>
      <c r="DH661" s="187">
        <f t="shared" si="2808"/>
        <v>5.5579927943774823E-2</v>
      </c>
      <c r="DI661" s="8">
        <f t="shared" si="2808"/>
        <v>5.5859217589345429E-2</v>
      </c>
      <c r="DJ661" s="8">
        <f t="shared" ref="DJ661:EF661" si="2809">DJ649*DJ619</f>
        <v>5.594160993528971E-2</v>
      </c>
      <c r="DK661" s="187">
        <f t="shared" si="2809"/>
        <v>5.5744009652289685E-2</v>
      </c>
      <c r="DL661" s="8">
        <f t="shared" si="2809"/>
        <v>5.6024123809944246E-2</v>
      </c>
      <c r="DM661" s="8">
        <f t="shared" si="2809"/>
        <v>5.6106759392563904E-2</v>
      </c>
      <c r="DN661" s="187">
        <f t="shared" si="2809"/>
        <v>5.5908575758824929E-2</v>
      </c>
      <c r="DO661" s="8">
        <f t="shared" si="2809"/>
        <v>5.6189516862667946E-2</v>
      </c>
      <c r="DP661" s="8">
        <f t="shared" si="2809"/>
        <v>5.6272396400040371E-2</v>
      </c>
      <c r="DQ661" s="187">
        <f t="shared" si="2809"/>
        <v>5.6073627693408588E-2</v>
      </c>
      <c r="DR661" s="8">
        <f t="shared" si="2809"/>
        <v>5.6355398184730426E-2</v>
      </c>
      <c r="DS661" s="8">
        <f t="shared" si="2809"/>
        <v>5.6438522397052895E-2</v>
      </c>
      <c r="DT661" s="187">
        <f t="shared" si="2809"/>
        <v>5.6239166890290376E-2</v>
      </c>
      <c r="DU661" s="8">
        <f t="shared" si="2809"/>
        <v>5.6521769217588551E-2</v>
      </c>
      <c r="DV661" s="8">
        <f t="shared" si="2809"/>
        <v>5.660513882718448E-2</v>
      </c>
      <c r="DW661" s="187">
        <f t="shared" si="2809"/>
        <v>5.6405194787954187E-2</v>
      </c>
      <c r="DX661" s="8">
        <f t="shared" si="2809"/>
        <v>5.6688631406954564E-2</v>
      </c>
      <c r="DY661" s="8">
        <f t="shared" si="2809"/>
        <v>5.677224713827983E-2</v>
      </c>
      <c r="DZ661" s="187">
        <f t="shared" si="2809"/>
        <v>5.6571712829130559E-2</v>
      </c>
      <c r="EA661" s="8">
        <f t="shared" si="2809"/>
        <v>5.6855986202808774E-2</v>
      </c>
      <c r="EB661" s="8">
        <f t="shared" si="2809"/>
        <v>5.6939848782457912E-2</v>
      </c>
      <c r="EC661" s="187">
        <f t="shared" si="2809"/>
        <v>5.6738722460809202E-2</v>
      </c>
      <c r="ED661" s="8">
        <f t="shared" si="2809"/>
        <v>5.7023835059412033E-2</v>
      </c>
      <c r="EE661" s="8">
        <f t="shared" si="2809"/>
        <v>5.7107945216124653E-2</v>
      </c>
      <c r="EF661" s="187">
        <f t="shared" si="2809"/>
        <v>5.6906225134251635E-2</v>
      </c>
      <c r="EG661" s="8">
        <f t="shared" ref="EG661:EL661" si="2810">EG649*EG619</f>
        <v>5.7192179435318437E-2</v>
      </c>
      <c r="EH661" s="8">
        <f t="shared" si="2810"/>
        <v>5.7276537899985533E-2</v>
      </c>
      <c r="EI661" s="187">
        <f t="shared" si="2810"/>
        <v>5.7074222305003718E-2</v>
      </c>
      <c r="EJ661" s="8">
        <f t="shared" si="2810"/>
        <v>5.7361020793387993E-2</v>
      </c>
      <c r="EK661" s="8">
        <f t="shared" si="2810"/>
        <v>5.7445628299058235E-2</v>
      </c>
      <c r="EL661" s="187">
        <f t="shared" si="2810"/>
        <v>5.7242715432908362E-2</v>
      </c>
      <c r="EM661" s="8">
        <f t="shared" ref="EM661:ER661" si="2811">EM649*EM619</f>
        <v>5.7530360600799337E-2</v>
      </c>
      <c r="EN661" s="8">
        <f t="shared" si="2811"/>
        <v>5.7615217882685511E-2</v>
      </c>
      <c r="EO661" s="187">
        <f t="shared" si="2811"/>
        <v>5.7411705982118193E-2</v>
      </c>
      <c r="EP661" s="8">
        <f t="shared" si="2811"/>
        <v>5.7700200329062465E-2</v>
      </c>
      <c r="EQ661" s="8">
        <f t="shared" si="2811"/>
        <v>5.7785308124547824E-2</v>
      </c>
      <c r="ER661" s="187">
        <f t="shared" si="2811"/>
        <v>5.7581195421108261E-2</v>
      </c>
      <c r="ES661" s="8">
        <f t="shared" ref="ES661:EX661" si="2812">ES649*ES619</f>
        <v>5.7870541454031532E-2</v>
      </c>
      <c r="ET661" s="8">
        <f t="shared" si="2812"/>
        <v>5.7955900502676218E-2</v>
      </c>
      <c r="EU661" s="187">
        <f t="shared" si="2812"/>
        <v>5.7751185222688808E-2</v>
      </c>
      <c r="EV661" s="8">
        <f t="shared" si="2812"/>
        <v>5.8041385455917659E-2</v>
      </c>
      <c r="EW661" s="8">
        <f t="shared" si="2812"/>
        <v>5.8126996499465122E-2</v>
      </c>
      <c r="EX661" s="187">
        <f t="shared" si="2812"/>
        <v>5.7921676864018064E-2</v>
      </c>
      <c r="EY661" s="8">
        <f t="shared" ref="EY661:FA661" si="2813">EY649*EY619</f>
        <v>5.821273381930183E-2</v>
      </c>
      <c r="EZ661" s="8">
        <f t="shared" si="2813"/>
        <v>5.8298597601685299E-2</v>
      </c>
      <c r="FA661" s="187">
        <f t="shared" si="2813"/>
        <v>5.809267182661515E-2</v>
      </c>
      <c r="FH661" s="35"/>
      <c r="FI661" s="35"/>
      <c r="FJ661" s="35"/>
      <c r="FK661" s="35"/>
      <c r="FL661" s="35"/>
      <c r="FM661" s="35"/>
      <c r="FN661" s="35"/>
      <c r="FO661" s="35"/>
      <c r="FP661" s="35"/>
      <c r="FQ661" s="35"/>
    </row>
    <row r="662" spans="1:173" s="321" customFormat="1" hidden="1" outlineLevel="1">
      <c r="A662" s="1168"/>
      <c r="B662" s="186"/>
      <c r="C662" s="186" t="s">
        <v>317</v>
      </c>
      <c r="D662" s="910"/>
      <c r="E662" s="1"/>
      <c r="F662" s="1"/>
      <c r="G662" s="5"/>
      <c r="H662" s="1"/>
      <c r="I662" s="1"/>
      <c r="J662" s="5"/>
      <c r="K662" s="1"/>
      <c r="L662" s="1"/>
      <c r="M662" s="5"/>
      <c r="N662" s="1"/>
      <c r="O662" s="1"/>
      <c r="P662" s="5"/>
      <c r="Q662" s="1"/>
      <c r="R662" s="1"/>
      <c r="S662" s="5"/>
      <c r="T662" s="1"/>
      <c r="U662" s="1"/>
      <c r="V662" s="5"/>
      <c r="W662" s="1"/>
      <c r="X662" s="1"/>
      <c r="Y662" s="5"/>
      <c r="Z662" s="1"/>
      <c r="AA662" s="1"/>
      <c r="AB662" s="5"/>
      <c r="AC662" s="1"/>
      <c r="AD662" s="1"/>
      <c r="AE662" s="5"/>
      <c r="AF662" s="1"/>
      <c r="AG662" s="1"/>
      <c r="AH662" s="5"/>
      <c r="AI662" s="1"/>
      <c r="AJ662" s="1"/>
      <c r="AK662" s="5"/>
      <c r="AL662" s="1"/>
      <c r="AM662" s="1"/>
      <c r="AN662" s="5"/>
      <c r="AO662" s="1"/>
      <c r="AP662" s="1"/>
      <c r="AQ662" s="5"/>
      <c r="AR662" s="1"/>
      <c r="AS662" s="1"/>
      <c r="AT662" s="5"/>
      <c r="AU662" s="1"/>
      <c r="AV662" s="1"/>
      <c r="AW662" s="5"/>
      <c r="AX662" s="187">
        <f t="shared" ref="AX662:CC662" si="2814">AX650*AX620</f>
        <v>0.1158304733148168</v>
      </c>
      <c r="AY662" s="187">
        <f t="shared" si="2814"/>
        <v>0.11572622588883347</v>
      </c>
      <c r="AZ662" s="187">
        <f t="shared" si="2814"/>
        <v>0.11544465417965027</v>
      </c>
      <c r="BA662" s="8">
        <f t="shared" si="2814"/>
        <v>0.11562207228553353</v>
      </c>
      <c r="BB662" s="8">
        <f t="shared" si="2814"/>
        <v>0.11551801242047655</v>
      </c>
      <c r="BC662" s="978">
        <f t="shared" si="2814"/>
        <v>0.11523694731229679</v>
      </c>
      <c r="BD662" s="8">
        <f t="shared" si="2814"/>
        <v>0.11541404620929811</v>
      </c>
      <c r="BE662" s="8">
        <f t="shared" si="2814"/>
        <v>0.11531017356770974</v>
      </c>
      <c r="BF662" s="978">
        <f t="shared" si="2814"/>
        <v>0.11502961414906197</v>
      </c>
      <c r="BG662" s="8">
        <f t="shared" si="2814"/>
        <v>0.11520639441149881</v>
      </c>
      <c r="BH662" s="8">
        <f t="shared" si="2814"/>
        <v>0.11510270865652845</v>
      </c>
      <c r="BI662" s="978">
        <f t="shared" si="2814"/>
        <v>0.11482265401758111</v>
      </c>
      <c r="BJ662" s="115">
        <f t="shared" si="2814"/>
        <v>0.11499911621873757</v>
      </c>
      <c r="BK662" s="115">
        <f t="shared" si="2814"/>
        <v>0.11489561701414071</v>
      </c>
      <c r="BL662" s="116">
        <f t="shared" si="2814"/>
        <v>0.11461606624669921</v>
      </c>
      <c r="BM662" s="115">
        <f t="shared" si="2814"/>
        <v>0.11484391398648436</v>
      </c>
      <c r="BN662" s="115">
        <f t="shared" si="2814"/>
        <v>0.11479223422519043</v>
      </c>
      <c r="BO662" s="116">
        <f t="shared" si="2814"/>
        <v>0.11451306073806693</v>
      </c>
      <c r="BP662" s="115">
        <f t="shared" si="2814"/>
        <v>0.1147405777197891</v>
      </c>
      <c r="BQ662" s="115">
        <f t="shared" si="2814"/>
        <v>0.11468894445981519</v>
      </c>
      <c r="BR662" s="116">
        <f t="shared" si="2814"/>
        <v>0.11441002217229747</v>
      </c>
      <c r="BS662" s="8">
        <f t="shared" si="2814"/>
        <v>0.11463733443480827</v>
      </c>
      <c r="BT662" s="8">
        <f t="shared" si="2814"/>
        <v>0.11458574763431262</v>
      </c>
      <c r="BU662" s="187">
        <f t="shared" si="2814"/>
        <v>0.1143070763203719</v>
      </c>
      <c r="BV662" s="8">
        <f t="shared" si="2814"/>
        <v>0.11453418404787719</v>
      </c>
      <c r="BW662" s="8">
        <f t="shared" si="2814"/>
        <v>0.11448264366505564</v>
      </c>
      <c r="BX662" s="187">
        <f t="shared" si="2814"/>
        <v>0.11420422309886653</v>
      </c>
      <c r="BY662" s="8">
        <f t="shared" si="2814"/>
        <v>0.11443112647540639</v>
      </c>
      <c r="BZ662" s="8">
        <f t="shared" si="2814"/>
        <v>0.11437963246849243</v>
      </c>
      <c r="CA662" s="187">
        <f t="shared" si="2814"/>
        <v>0.11410146242443274</v>
      </c>
      <c r="CB662" s="8">
        <f t="shared" si="2814"/>
        <v>0.11432816163388163</v>
      </c>
      <c r="CC662" s="8">
        <f t="shared" si="2814"/>
        <v>0.11427671396114639</v>
      </c>
      <c r="CD662" s="187">
        <f t="shared" ref="CD662:DI662" si="2815">CD650*CD620</f>
        <v>0.11399879421379691</v>
      </c>
      <c r="CE662" s="8">
        <f t="shared" si="2815"/>
        <v>0.11422528943986389</v>
      </c>
      <c r="CF662" s="8">
        <f t="shared" si="2815"/>
        <v>0.11417388805961595</v>
      </c>
      <c r="CG662" s="187">
        <f t="shared" si="2815"/>
        <v>0.11389621838376032</v>
      </c>
      <c r="CH662" s="8">
        <f t="shared" si="2815"/>
        <v>0.11412250980998913</v>
      </c>
      <c r="CI662" s="8">
        <f t="shared" si="2815"/>
        <v>0.11407115468057462</v>
      </c>
      <c r="CJ662" s="187">
        <f t="shared" si="2815"/>
        <v>0.11379373485119917</v>
      </c>
      <c r="CK662" s="8">
        <f t="shared" si="2815"/>
        <v>0.1140198226609684</v>
      </c>
      <c r="CL662" s="8">
        <f t="shared" si="2815"/>
        <v>0.11396851374077095</v>
      </c>
      <c r="CM662" s="187">
        <f t="shared" si="2815"/>
        <v>0.11369134353306441</v>
      </c>
      <c r="CN662" s="8">
        <f t="shared" si="2815"/>
        <v>0.1139172279095876</v>
      </c>
      <c r="CO662" s="8">
        <f t="shared" si="2815"/>
        <v>0.11386596515702831</v>
      </c>
      <c r="CP662" s="187">
        <f t="shared" si="2815"/>
        <v>0.11358904434638173</v>
      </c>
      <c r="CQ662" s="8">
        <f t="shared" si="2815"/>
        <v>0.11381472547270764</v>
      </c>
      <c r="CR662" s="8">
        <f t="shared" si="2815"/>
        <v>0.11376350884624493</v>
      </c>
      <c r="CS662" s="187">
        <f t="shared" si="2815"/>
        <v>0.11348683720825151</v>
      </c>
      <c r="CT662" s="8">
        <f t="shared" si="2815"/>
        <v>0.11371231526726412</v>
      </c>
      <c r="CU662" s="8">
        <f t="shared" si="2815"/>
        <v>0.11366114472539385</v>
      </c>
      <c r="CV662" s="187">
        <f t="shared" si="2815"/>
        <v>0.1133847220358486</v>
      </c>
      <c r="CW662" s="8">
        <f t="shared" si="2815"/>
        <v>0.11360999721026743</v>
      </c>
      <c r="CX662" s="8">
        <f t="shared" si="2815"/>
        <v>0.11355887271152282</v>
      </c>
      <c r="CY662" s="187">
        <f t="shared" si="2815"/>
        <v>0.11328269874642255</v>
      </c>
      <c r="CZ662" s="8">
        <f t="shared" si="2815"/>
        <v>0.11350777121880264</v>
      </c>
      <c r="DA662" s="8">
        <f t="shared" si="2815"/>
        <v>0.11345669272175418</v>
      </c>
      <c r="DB662" s="187">
        <f t="shared" si="2815"/>
        <v>0.11318076725729727</v>
      </c>
      <c r="DC662" s="8">
        <f t="shared" si="2815"/>
        <v>0.11340563721002939</v>
      </c>
      <c r="DD662" s="8">
        <f t="shared" si="2815"/>
        <v>0.11335460467328487</v>
      </c>
      <c r="DE662" s="187">
        <f t="shared" si="2815"/>
        <v>0.11307892748587108</v>
      </c>
      <c r="DF662" s="8">
        <f t="shared" si="2815"/>
        <v>0.11330359510118192</v>
      </c>
      <c r="DG662" s="8">
        <f t="shared" si="2815"/>
        <v>0.11325260848338639</v>
      </c>
      <c r="DH662" s="187">
        <f t="shared" si="2815"/>
        <v>0.11297717934961662</v>
      </c>
      <c r="DI662" s="8">
        <f t="shared" si="2815"/>
        <v>0.11320164480956887</v>
      </c>
      <c r="DJ662" s="8">
        <f t="shared" ref="DJ662:EF662" si="2816">DJ650*DJ620</f>
        <v>0.11315070406940457</v>
      </c>
      <c r="DK662" s="187">
        <f t="shared" si="2816"/>
        <v>0.11287552276608082</v>
      </c>
      <c r="DL662" s="8">
        <f t="shared" si="2816"/>
        <v>0.11309978625257334</v>
      </c>
      <c r="DM662" s="8">
        <f t="shared" si="2816"/>
        <v>0.11304889134875967</v>
      </c>
      <c r="DN662" s="187">
        <f t="shared" si="2816"/>
        <v>0.1127739576528847</v>
      </c>
      <c r="DO662" s="8">
        <f t="shared" si="2816"/>
        <v>0.11299801934765276</v>
      </c>
      <c r="DP662" s="8">
        <f t="shared" si="2816"/>
        <v>0.11294717023894632</v>
      </c>
      <c r="DQ662" s="187">
        <f t="shared" si="2816"/>
        <v>0.11267248392772355</v>
      </c>
      <c r="DR662" s="8">
        <f t="shared" si="2816"/>
        <v>0.11289634401233882</v>
      </c>
      <c r="DS662" s="8">
        <f t="shared" si="2816"/>
        <v>0.11284554065753327</v>
      </c>
      <c r="DT662" s="187">
        <f t="shared" si="2816"/>
        <v>0.11257110150836662</v>
      </c>
      <c r="DU662" s="8">
        <f t="shared" si="2816"/>
        <v>0.11279476016423738</v>
      </c>
      <c r="DV662" s="8">
        <f t="shared" si="2816"/>
        <v>0.11274400252216348</v>
      </c>
      <c r="DW662" s="187">
        <f t="shared" si="2816"/>
        <v>0.11246981031265714</v>
      </c>
      <c r="DX662" s="8">
        <f t="shared" si="2816"/>
        <v>0.1126932677210285</v>
      </c>
      <c r="DY662" s="8">
        <f t="shared" si="2816"/>
        <v>0.11264255575055404</v>
      </c>
      <c r="DZ662" s="187">
        <f t="shared" si="2816"/>
        <v>0.11236861025851236</v>
      </c>
      <c r="EA662" s="8">
        <f t="shared" si="2816"/>
        <v>0.11259186660046629</v>
      </c>
      <c r="EB662" s="8">
        <f t="shared" si="2816"/>
        <v>0.11254120026049609</v>
      </c>
      <c r="EC662" s="187">
        <f t="shared" si="2816"/>
        <v>0.11226750126392326</v>
      </c>
      <c r="ED662" s="8">
        <f t="shared" si="2816"/>
        <v>0.11249055672037887</v>
      </c>
      <c r="EE662" s="8">
        <f t="shared" si="2816"/>
        <v>0.11243993596985469</v>
      </c>
      <c r="EF662" s="187">
        <f t="shared" si="2816"/>
        <v>0.11216648324695473</v>
      </c>
      <c r="EG662" s="8">
        <f t="shared" ref="EG662:EL662" si="2817">EG650*EG620</f>
        <v>0.11238933799866827</v>
      </c>
      <c r="EH662" s="8">
        <f t="shared" si="2817"/>
        <v>0.11233876279656886</v>
      </c>
      <c r="EI662" s="187">
        <f t="shared" si="2817"/>
        <v>0.11206555612574536</v>
      </c>
      <c r="EJ662" s="8">
        <f t="shared" si="2817"/>
        <v>0.11228821035331041</v>
      </c>
      <c r="EK662" s="8">
        <f t="shared" si="2817"/>
        <v>0.11223768065865143</v>
      </c>
      <c r="EL662" s="187">
        <f t="shared" si="2817"/>
        <v>0.11196471981850729</v>
      </c>
      <c r="EM662" s="8">
        <f t="shared" ref="EM662:ER662" si="2818">EM650*EM620</f>
        <v>0.11218717370235505</v>
      </c>
      <c r="EN662" s="8">
        <f t="shared" si="2818"/>
        <v>0.11213668947418899</v>
      </c>
      <c r="EO662" s="187">
        <f t="shared" si="2818"/>
        <v>0.11186397424352644</v>
      </c>
      <c r="EP662" s="8">
        <f t="shared" si="2818"/>
        <v>0.11208622796392563</v>
      </c>
      <c r="EQ662" s="8">
        <f t="shared" si="2818"/>
        <v>0.11203578916134188</v>
      </c>
      <c r="ER662" s="187">
        <f t="shared" si="2818"/>
        <v>0.11176331931916206</v>
      </c>
      <c r="ES662" s="8">
        <f t="shared" ref="ES662:EX662" si="2819">ES650*ES620</f>
        <v>0.11198537305621928</v>
      </c>
      <c r="ET662" s="8">
        <f t="shared" si="2819"/>
        <v>0.11193497963834398</v>
      </c>
      <c r="EU662" s="187">
        <f t="shared" si="2819"/>
        <v>0.11166275496384702</v>
      </c>
      <c r="EV662" s="8">
        <f t="shared" si="2819"/>
        <v>0.11188460889750675</v>
      </c>
      <c r="EW662" s="8">
        <f t="shared" si="2819"/>
        <v>0.11183426082350285</v>
      </c>
      <c r="EX662" s="187">
        <f t="shared" si="2819"/>
        <v>0.1115622810960874</v>
      </c>
      <c r="EY662" s="8">
        <f t="shared" ref="EY662:FA662" si="2820">EY650*EY620</f>
        <v>0.1117839354061323</v>
      </c>
      <c r="EZ662" s="8">
        <f t="shared" si="2820"/>
        <v>0.11173363263519953</v>
      </c>
      <c r="FA662" s="187">
        <f t="shared" si="2820"/>
        <v>0.11146189763446288</v>
      </c>
      <c r="FH662" s="35"/>
      <c r="FI662" s="35"/>
      <c r="FJ662" s="35"/>
      <c r="FK662" s="35"/>
      <c r="FL662" s="35"/>
      <c r="FM662" s="35"/>
      <c r="FN662" s="35"/>
      <c r="FO662" s="35"/>
      <c r="FP662" s="35"/>
      <c r="FQ662" s="35"/>
    </row>
    <row r="663" spans="1:173" s="321" customFormat="1" hidden="1" outlineLevel="1">
      <c r="A663" s="1168"/>
      <c r="B663" s="186"/>
      <c r="C663" s="186" t="s">
        <v>431</v>
      </c>
      <c r="D663" s="910"/>
      <c r="E663" s="1"/>
      <c r="F663" s="1"/>
      <c r="G663" s="5"/>
      <c r="H663" s="1"/>
      <c r="I663" s="1"/>
      <c r="J663" s="5"/>
      <c r="K663" s="1"/>
      <c r="L663" s="1"/>
      <c r="M663" s="5"/>
      <c r="N663" s="1"/>
      <c r="O663" s="1"/>
      <c r="P663" s="5"/>
      <c r="Q663" s="1"/>
      <c r="R663" s="1"/>
      <c r="S663" s="5"/>
      <c r="T663" s="1"/>
      <c r="U663" s="1"/>
      <c r="V663" s="5"/>
      <c r="W663" s="1"/>
      <c r="X663" s="1"/>
      <c r="Y663" s="5"/>
      <c r="Z663" s="1"/>
      <c r="AA663" s="1"/>
      <c r="AB663" s="5"/>
      <c r="AC663" s="1"/>
      <c r="AD663" s="1"/>
      <c r="AE663" s="5"/>
      <c r="AF663" s="1"/>
      <c r="AG663" s="1"/>
      <c r="AH663" s="5"/>
      <c r="AI663" s="1"/>
      <c r="AJ663" s="1"/>
      <c r="AK663" s="5"/>
      <c r="AL663" s="1"/>
      <c r="AM663" s="1"/>
      <c r="AN663" s="5"/>
      <c r="AO663" s="1"/>
      <c r="AP663" s="1"/>
      <c r="AQ663" s="5"/>
      <c r="AR663" s="1"/>
      <c r="AS663" s="1"/>
      <c r="AT663" s="5"/>
      <c r="AU663" s="1"/>
      <c r="AV663" s="1"/>
      <c r="AW663" s="5"/>
      <c r="AX663" s="187">
        <f t="shared" ref="AX663:CC663" si="2821">AX651*AX621</f>
        <v>0.60709207415673594</v>
      </c>
      <c r="AY663" s="187">
        <f t="shared" si="2821"/>
        <v>0.61097746343133907</v>
      </c>
      <c r="AZ663" s="187">
        <f t="shared" si="2821"/>
        <v>0.60785008875607516</v>
      </c>
      <c r="BA663" s="8">
        <f t="shared" si="2821"/>
        <v>0.61488771919729968</v>
      </c>
      <c r="BB663" s="8">
        <f t="shared" si="2821"/>
        <v>0.61882300060016227</v>
      </c>
      <c r="BC663" s="978">
        <f t="shared" si="2821"/>
        <v>0.61565546743178823</v>
      </c>
      <c r="BD663" s="8">
        <f t="shared" si="2821"/>
        <v>0.6227834678040034</v>
      </c>
      <c r="BE663" s="8">
        <f t="shared" si="2821"/>
        <v>0.6267692819979489</v>
      </c>
      <c r="BF663" s="978">
        <f t="shared" si="2821"/>
        <v>0.62356107466286104</v>
      </c>
      <c r="BG663" s="8">
        <f t="shared" si="2821"/>
        <v>0.63078060540273573</v>
      </c>
      <c r="BH663" s="8">
        <f t="shared" si="2821"/>
        <v>0.63481760127731335</v>
      </c>
      <c r="BI663" s="978">
        <f t="shared" si="2821"/>
        <v>0.63156819748016391</v>
      </c>
      <c r="BJ663" s="115">
        <f t="shared" si="2821"/>
        <v>0.63888043392548799</v>
      </c>
      <c r="BK663" s="115">
        <f t="shared" si="2821"/>
        <v>0.64296926870261117</v>
      </c>
      <c r="BL663" s="116">
        <f t="shared" si="2821"/>
        <v>0.63967813944127871</v>
      </c>
      <c r="BM663" s="115">
        <f t="shared" si="2821"/>
        <v>0.64502677036245959</v>
      </c>
      <c r="BN663" s="115">
        <f t="shared" si="2821"/>
        <v>0.64709085602761962</v>
      </c>
      <c r="BO663" s="116">
        <f t="shared" si="2821"/>
        <v>0.64376806452305102</v>
      </c>
      <c r="BP663" s="115">
        <f t="shared" si="2821"/>
        <v>0.64916154676690796</v>
      </c>
      <c r="BQ663" s="115">
        <f t="shared" si="2821"/>
        <v>0.65123886371656214</v>
      </c>
      <c r="BR663" s="116">
        <f t="shared" si="2821"/>
        <v>0.64789477232097936</v>
      </c>
      <c r="BS663" s="8">
        <f t="shared" si="2821"/>
        <v>0.65332282808045516</v>
      </c>
      <c r="BT663" s="8">
        <f t="shared" si="2821"/>
        <v>0.65541346113031285</v>
      </c>
      <c r="BU663" s="187">
        <f t="shared" si="2821"/>
        <v>0.6520479333063024</v>
      </c>
      <c r="BV663" s="8">
        <f t="shared" si="2821"/>
        <v>0.6575107842059299</v>
      </c>
      <c r="BW663" s="8">
        <f t="shared" si="2821"/>
        <v>0.65961481871538896</v>
      </c>
      <c r="BX663" s="187">
        <f t="shared" si="2821"/>
        <v>0.65622771705030003</v>
      </c>
      <c r="BY663" s="8">
        <f t="shared" si="2821"/>
        <v>0.66172558613527832</v>
      </c>
      <c r="BZ663" s="8">
        <f t="shared" si="2821"/>
        <v>0.66384310801091106</v>
      </c>
      <c r="CA663" s="187">
        <f t="shared" si="2821"/>
        <v>0.66043429421124455</v>
      </c>
      <c r="CB663" s="8">
        <f t="shared" si="2821"/>
        <v>0.66596740595654613</v>
      </c>
      <c r="CC663" s="8">
        <f t="shared" si="2821"/>
        <v>0.66809850165560725</v>
      </c>
      <c r="CD663" s="187">
        <f t="shared" ref="CD663:DI663" si="2822">CD651*CD621</f>
        <v>0.66466783654136929</v>
      </c>
      <c r="CE663" s="8">
        <f t="shared" si="2822"/>
        <v>0.67023641686090518</v>
      </c>
      <c r="CF663" s="8">
        <f t="shared" si="2822"/>
        <v>0.67238117339486014</v>
      </c>
      <c r="CG663" s="187">
        <f t="shared" si="2822"/>
        <v>0.66892851689388044</v>
      </c>
      <c r="CH663" s="8">
        <f t="shared" si="2822"/>
        <v>0.67453279314972381</v>
      </c>
      <c r="CI663" s="8">
        <f t="shared" si="2822"/>
        <v>0.67669129808780282</v>
      </c>
      <c r="CJ663" s="187">
        <f t="shared" si="2822"/>
        <v>0.67321650923001441</v>
      </c>
      <c r="CK663" s="8">
        <f t="shared" si="2822"/>
        <v>0.67885671024168392</v>
      </c>
      <c r="CL663" s="8">
        <f t="shared" si="2822"/>
        <v>0.68102905171445727</v>
      </c>
      <c r="CM663" s="187">
        <f t="shared" si="2822"/>
        <v>0.67753198862614117</v>
      </c>
      <c r="CN663" s="8">
        <f t="shared" si="2822"/>
        <v>0.68320834467994374</v>
      </c>
      <c r="CO663" s="8">
        <f t="shared" si="2822"/>
        <v>0.68539461138291957</v>
      </c>
      <c r="CP663" s="187">
        <f t="shared" si="2822"/>
        <v>0.68187513128091204</v>
      </c>
      <c r="CQ663" s="8">
        <f t="shared" si="2822"/>
        <v>0.68758787413934519</v>
      </c>
      <c r="CR663" s="8">
        <f t="shared" si="2822"/>
        <v>0.68978815533659099</v>
      </c>
      <c r="CS663" s="187">
        <f t="shared" si="2822"/>
        <v>0.68624611452245443</v>
      </c>
      <c r="CT663" s="8">
        <f t="shared" si="2822"/>
        <v>0.69199547743366818</v>
      </c>
      <c r="CU663" s="8">
        <f t="shared" si="2822"/>
        <v>0.69420986296145581</v>
      </c>
      <c r="CV663" s="187">
        <f t="shared" si="2822"/>
        <v>0.69064511681561092</v>
      </c>
      <c r="CW663" s="8">
        <f t="shared" si="2822"/>
        <v>0.6964313345229326</v>
      </c>
      <c r="CX663" s="8">
        <f t="shared" si="2822"/>
        <v>0.69865991479340606</v>
      </c>
      <c r="CY663" s="187">
        <f t="shared" si="2822"/>
        <v>0.69507231776922707</v>
      </c>
      <c r="CZ663" s="8">
        <f t="shared" si="2822"/>
        <v>0.70089562652074522</v>
      </c>
      <c r="DA663" s="8">
        <f t="shared" si="2822"/>
        <v>0.70313849252561156</v>
      </c>
      <c r="DB663" s="187">
        <f t="shared" si="2822"/>
        <v>0.69952789814348437</v>
      </c>
      <c r="DC663" s="8">
        <f t="shared" si="2822"/>
        <v>0.70538853570169358</v>
      </c>
      <c r="DD663" s="8">
        <f t="shared" si="2822"/>
        <v>0.70764577901593895</v>
      </c>
      <c r="DE663" s="187">
        <f t="shared" si="2822"/>
        <v>0.70401203985727967</v>
      </c>
      <c r="DF663" s="8">
        <f t="shared" si="2822"/>
        <v>0.70991024550879001</v>
      </c>
      <c r="DG663" s="8">
        <f t="shared" si="2822"/>
        <v>0.7121819582944181</v>
      </c>
      <c r="DH663" s="187">
        <f t="shared" si="2822"/>
        <v>0.70852492599565442</v>
      </c>
      <c r="DI663" s="8">
        <f t="shared" si="2822"/>
        <v>0.71446094056096032</v>
      </c>
      <c r="DJ663" s="8">
        <f t="shared" ref="DJ663:EF663" si="2823">DJ651*DJ621</f>
        <v>0.71674721557075549</v>
      </c>
      <c r="DK663" s="187">
        <f t="shared" si="2823"/>
        <v>0.71306674081726873</v>
      </c>
      <c r="DL663" s="8">
        <f t="shared" si="2823"/>
        <v>0.71904080666058179</v>
      </c>
      <c r="DM663" s="8">
        <f t="shared" si="2823"/>
        <v>0.72134173724189576</v>
      </c>
      <c r="DN663" s="187">
        <f t="shared" si="2823"/>
        <v>0.71763766976192545</v>
      </c>
      <c r="DO663" s="8">
        <f t="shared" si="2823"/>
        <v>0.72365003080106993</v>
      </c>
      <c r="DP663" s="8">
        <f t="shared" si="2823"/>
        <v>0.72596571089963335</v>
      </c>
      <c r="DQ663" s="187">
        <f t="shared" si="2823"/>
        <v>0.72223789945814021</v>
      </c>
      <c r="DR663" s="8">
        <f t="shared" si="2823"/>
        <v>0.72828880117451222</v>
      </c>
      <c r="DS663" s="8">
        <f t="shared" si="2823"/>
        <v>0.73061932533827079</v>
      </c>
      <c r="DT663" s="187">
        <f t="shared" si="2823"/>
        <v>0.72686761773076281</v>
      </c>
      <c r="DU663" s="8">
        <f t="shared" si="2823"/>
        <v>0.73295730717935315</v>
      </c>
      <c r="DV663" s="8">
        <f t="shared" si="2823"/>
        <v>0.73530277056232718</v>
      </c>
      <c r="DW663" s="187">
        <f t="shared" si="2823"/>
        <v>0.73152701360864547</v>
      </c>
      <c r="DX663" s="8">
        <f t="shared" si="2823"/>
        <v>0.73765573942812668</v>
      </c>
      <c r="DY663" s="8">
        <f t="shared" si="2823"/>
        <v>0.74001623779429682</v>
      </c>
      <c r="DZ663" s="187">
        <f t="shared" si="2823"/>
        <v>0.73621627733236028</v>
      </c>
      <c r="EA663" s="8">
        <f t="shared" si="2823"/>
        <v>0.74238428975523862</v>
      </c>
      <c r="EB663" s="8">
        <f t="shared" si="2823"/>
        <v>0.74475991948245557</v>
      </c>
      <c r="EC663" s="187">
        <f t="shared" si="2823"/>
        <v>0.74093560036196737</v>
      </c>
      <c r="ED663" s="8">
        <f t="shared" si="2823"/>
        <v>0.74714315122479946</v>
      </c>
      <c r="EE663" s="8">
        <f t="shared" si="2823"/>
        <v>0.74953400930871883</v>
      </c>
      <c r="EF663" s="187">
        <f t="shared" si="2823"/>
        <v>0.74568517538483181</v>
      </c>
      <c r="EG663" s="8">
        <f t="shared" ref="EG663:EL663" si="2824">EG651*EG621</f>
        <v>0.75193251813850681</v>
      </c>
      <c r="EH663" s="8">
        <f t="shared" si="2824"/>
        <v>0.75433870219655019</v>
      </c>
      <c r="EI663" s="187">
        <f t="shared" si="2824"/>
        <v>0.75046519632349096</v>
      </c>
      <c r="EJ663" s="8">
        <f t="shared" si="2824"/>
        <v>0.75675258604357909</v>
      </c>
      <c r="EK663" s="8">
        <f t="shared" si="2824"/>
        <v>0.75917419431891864</v>
      </c>
      <c r="EL663" s="187">
        <f t="shared" si="2824"/>
        <v>0.75527585834357169</v>
      </c>
      <c r="EM663" s="8">
        <f t="shared" ref="EM663:ER663" si="2825">EM651*EM621</f>
        <v>0.76160355174073913</v>
      </c>
      <c r="EN663" s="8">
        <f t="shared" si="2825"/>
        <v>0.76404068310630968</v>
      </c>
      <c r="EO663" s="187">
        <f t="shared" si="2825"/>
        <v>0.76011735786176005</v>
      </c>
      <c r="EP663" s="8">
        <f t="shared" si="2825"/>
        <v>0.76648561329224996</v>
      </c>
      <c r="EQ663" s="8">
        <f t="shared" si="2825"/>
        <v>0.76893836725478515</v>
      </c>
      <c r="ER663" s="187">
        <f t="shared" si="2825"/>
        <v>0.76498989255381988</v>
      </c>
      <c r="ES663" s="8">
        <f t="shared" ref="ES663:EX663" si="2826">ES651*ES621</f>
        <v>0.77139897003000046</v>
      </c>
      <c r="ET663" s="8">
        <f t="shared" si="2826"/>
        <v>0.77386744673409658</v>
      </c>
      <c r="EU663" s="187">
        <f t="shared" si="2826"/>
        <v>0.76989366136266413</v>
      </c>
      <c r="EV663" s="8">
        <f t="shared" si="2826"/>
        <v>0.77634382256364576</v>
      </c>
      <c r="EW663" s="8">
        <f t="shared" si="2826"/>
        <v>0.77882812279584945</v>
      </c>
      <c r="EX663" s="187">
        <f t="shared" si="2826"/>
        <v>0.77482886450647759</v>
      </c>
      <c r="EY663" s="8">
        <f t="shared" ref="EY663:FA663" si="2827">EY651*EY621</f>
        <v>0.78132037278879607</v>
      </c>
      <c r="EZ663" s="8">
        <f t="shared" si="2827"/>
        <v>0.78382059798172043</v>
      </c>
      <c r="FA663" s="187">
        <f t="shared" si="2827"/>
        <v>0.77979570348689187</v>
      </c>
      <c r="FH663" s="35"/>
      <c r="FI663" s="35"/>
      <c r="FJ663" s="35"/>
      <c r="FK663" s="35"/>
      <c r="FL663" s="35"/>
      <c r="FM663" s="35"/>
      <c r="FN663" s="35"/>
      <c r="FO663" s="35"/>
      <c r="FP663" s="35"/>
      <c r="FQ663" s="35"/>
    </row>
    <row r="664" spans="1:173" s="321" customFormat="1" hidden="1" outlineLevel="1">
      <c r="A664" s="1168"/>
      <c r="B664" s="186"/>
      <c r="C664" s="186" t="s">
        <v>327</v>
      </c>
      <c r="D664" s="910"/>
      <c r="E664" s="1"/>
      <c r="F664" s="1"/>
      <c r="G664" s="5"/>
      <c r="H664" s="1"/>
      <c r="I664" s="1"/>
      <c r="J664" s="5"/>
      <c r="K664" s="1"/>
      <c r="L664" s="1"/>
      <c r="M664" s="5"/>
      <c r="N664" s="1"/>
      <c r="O664" s="1"/>
      <c r="P664" s="5"/>
      <c r="Q664" s="1"/>
      <c r="R664" s="1"/>
      <c r="S664" s="5"/>
      <c r="T664" s="1"/>
      <c r="U664" s="1"/>
      <c r="V664" s="5"/>
      <c r="W664" s="1"/>
      <c r="X664" s="1"/>
      <c r="Y664" s="5"/>
      <c r="Z664" s="1"/>
      <c r="AA664" s="1"/>
      <c r="AB664" s="5"/>
      <c r="AC664" s="1"/>
      <c r="AD664" s="1"/>
      <c r="AE664" s="5"/>
      <c r="AF664" s="1"/>
      <c r="AG664" s="1"/>
      <c r="AH664" s="5"/>
      <c r="AI664" s="1"/>
      <c r="AJ664" s="1"/>
      <c r="AK664" s="5"/>
      <c r="AL664" s="1"/>
      <c r="AM664" s="1"/>
      <c r="AN664" s="5"/>
      <c r="AO664" s="1"/>
      <c r="AP664" s="1"/>
      <c r="AQ664" s="5"/>
      <c r="AR664" s="1"/>
      <c r="AS664" s="1"/>
      <c r="AT664" s="5"/>
      <c r="AU664" s="1"/>
      <c r="AV664" s="1"/>
      <c r="AW664" s="5"/>
      <c r="AX664" s="187">
        <f t="shared" ref="AX664:CC664" si="2828">AX652*AX622</f>
        <v>0.77473779712211976</v>
      </c>
      <c r="AY664" s="187">
        <f t="shared" si="2828"/>
        <v>0.77867179395720865</v>
      </c>
      <c r="AZ664" s="187">
        <f t="shared" si="2828"/>
        <v>0.77507955270332862</v>
      </c>
      <c r="BA664" s="8">
        <f t="shared" si="2828"/>
        <v>0.78263120202854863</v>
      </c>
      <c r="BB664" s="8">
        <f t="shared" si="2828"/>
        <v>0.78661618172746417</v>
      </c>
      <c r="BC664" s="978">
        <f t="shared" si="2828"/>
        <v>0.78298320554662415</v>
      </c>
      <c r="BD664" s="8">
        <f t="shared" si="2828"/>
        <v>0.79062689446781198</v>
      </c>
      <c r="BE664" s="8">
        <f t="shared" si="2828"/>
        <v>0.79466350269250996</v>
      </c>
      <c r="BF664" s="978">
        <f t="shared" si="2828"/>
        <v>0.79098926860030405</v>
      </c>
      <c r="BG664" s="8">
        <f t="shared" si="2828"/>
        <v>0.79872616988011003</v>
      </c>
      <c r="BH664" s="8">
        <f t="shared" si="2828"/>
        <v>0.80281506055141172</v>
      </c>
      <c r="BI664" s="978">
        <f t="shared" si="2828"/>
        <v>0.79909903890551803</v>
      </c>
      <c r="BJ664" s="115">
        <f t="shared" si="2828"/>
        <v>0.80693034027611721</v>
      </c>
      <c r="BK664" s="115">
        <f t="shared" si="2828"/>
        <v>0.8110721756795326</v>
      </c>
      <c r="BL664" s="116">
        <f t="shared" si="2828"/>
        <v>0.80731383009445778</v>
      </c>
      <c r="BM664" s="115">
        <f t="shared" si="2828"/>
        <v>0.81315645506441969</v>
      </c>
      <c r="BN664" s="115">
        <f t="shared" si="2828"/>
        <v>0.81524745748009109</v>
      </c>
      <c r="BO664" s="116">
        <f t="shared" si="2828"/>
        <v>0.81145699569543184</v>
      </c>
      <c r="BP664" s="115">
        <f t="shared" si="2828"/>
        <v>0.81734520415563838</v>
      </c>
      <c r="BQ664" s="115">
        <f t="shared" si="2828"/>
        <v>0.81944971638783037</v>
      </c>
      <c r="BR664" s="116">
        <f t="shared" si="2828"/>
        <v>0.81563764943612505</v>
      </c>
      <c r="BS664" s="8">
        <f t="shared" si="2828"/>
        <v>0.82156101554132843</v>
      </c>
      <c r="BT664" s="8">
        <f t="shared" si="2828"/>
        <v>0.82367912304890378</v>
      </c>
      <c r="BU664" s="187">
        <f t="shared" si="2828"/>
        <v>0.81984531252389647</v>
      </c>
      <c r="BV664" s="8">
        <f t="shared" si="2828"/>
        <v>0.82580406041165477</v>
      </c>
      <c r="BW664" s="8">
        <f t="shared" si="2828"/>
        <v>0.82793584919922514</v>
      </c>
      <c r="BX664" s="187">
        <f t="shared" si="2828"/>
        <v>0.82408015581477567</v>
      </c>
      <c r="BY664" s="8">
        <f t="shared" si="2828"/>
        <v>0.83007451105002272</v>
      </c>
      <c r="BZ664" s="8">
        <f t="shared" si="2828"/>
        <v>0.83222006767143963</v>
      </c>
      <c r="CA664" s="187">
        <f t="shared" si="2828"/>
        <v>0.82834235125589917</v>
      </c>
      <c r="CB664" s="8">
        <f t="shared" si="2828"/>
        <v>0.83437254084007206</v>
      </c>
      <c r="CC664" s="8">
        <f t="shared" si="2828"/>
        <v>0.83653195240194123</v>
      </c>
      <c r="CD664" s="187">
        <f t="shared" ref="CD664:DI664" si="2829">CD652*CD622</f>
        <v>0.83263207189249022</v>
      </c>
      <c r="CE664" s="8">
        <f t="shared" si="2829"/>
        <v>0.83869832427271496</v>
      </c>
      <c r="CF664" s="8">
        <f t="shared" si="2829"/>
        <v>0.84087167843793054</v>
      </c>
      <c r="CG664" s="187">
        <f t="shared" si="2829"/>
        <v>0.83694949187488266</v>
      </c>
      <c r="CH664" s="8">
        <f t="shared" si="2829"/>
        <v>0.84305203695321795</v>
      </c>
      <c r="CI664" s="8">
        <f t="shared" si="2829"/>
        <v>0.84523942194452295</v>
      </c>
      <c r="CJ664" s="187">
        <f t="shared" si="2829"/>
        <v>0.84129478646559097</v>
      </c>
      <c r="CK664" s="8">
        <f t="shared" si="2829"/>
        <v>0.84743385560833251</v>
      </c>
      <c r="CL664" s="8">
        <f t="shared" si="2829"/>
        <v>0.84963536021189923</v>
      </c>
      <c r="CM664" s="187">
        <f t="shared" si="2829"/>
        <v>0.84566813204642433</v>
      </c>
      <c r="CN664" s="8">
        <f t="shared" si="2829"/>
        <v>0.85184395809346858</v>
      </c>
      <c r="CO664" s="8">
        <f t="shared" si="2829"/>
        <v>0.85405967166250341</v>
      </c>
      <c r="CP664" s="187">
        <f t="shared" si="2829"/>
        <v>0.85006970612564747</v>
      </c>
      <c r="CQ664" s="8">
        <f t="shared" si="2829"/>
        <v>0.85628252339991406</v>
      </c>
      <c r="CR664" s="8">
        <f t="shared" si="2829"/>
        <v>0.85851253585828435</v>
      </c>
      <c r="CS664" s="187">
        <f t="shared" si="2829"/>
        <v>0.85449968734518722</v>
      </c>
      <c r="CT664" s="8">
        <f t="shared" si="2829"/>
        <v>0.860749731662102</v>
      </c>
      <c r="CU664" s="8">
        <f t="shared" si="2829"/>
        <v>0.86299413350798704</v>
      </c>
      <c r="CV664" s="187">
        <f t="shared" si="2829"/>
        <v>0.85895825548788252</v>
      </c>
      <c r="CW664" s="8">
        <f t="shared" si="2829"/>
        <v>0.86524576416492349</v>
      </c>
      <c r="CX664" s="8">
        <f t="shared" si="2829"/>
        <v>0.86750464647448922</v>
      </c>
      <c r="CY664" s="187">
        <f t="shared" si="2829"/>
        <v>0.86344559148478672</v>
      </c>
      <c r="CZ664" s="8">
        <f t="shared" si="2829"/>
        <v>0.86977080335108825</v>
      </c>
      <c r="DA664" s="8">
        <f t="shared" si="2829"/>
        <v>0.87204425778218309</v>
      </c>
      <c r="DB664" s="187">
        <f t="shared" si="2829"/>
        <v>0.86796187742250963</v>
      </c>
      <c r="DC664" s="8">
        <f t="shared" si="2829"/>
        <v>0.87432503282852925</v>
      </c>
      <c r="DD664" s="8">
        <f t="shared" si="2829"/>
        <v>0.87661315162440734</v>
      </c>
      <c r="DE664" s="187">
        <f t="shared" si="2829"/>
        <v>0.87250729655061232</v>
      </c>
      <c r="DF664" s="8">
        <f t="shared" si="2829"/>
        <v>0.87890863737785996</v>
      </c>
      <c r="DG664" s="8">
        <f t="shared" si="2829"/>
        <v>0.88121151337092496</v>
      </c>
      <c r="DH664" s="187">
        <f t="shared" si="2829"/>
        <v>0.87708203328904577</v>
      </c>
      <c r="DI664" s="8">
        <f t="shared" si="2829"/>
        <v>0.8835218029598747</v>
      </c>
      <c r="DJ664" s="8">
        <f t="shared" ref="DJ664:EF664" si="2830">DJ652*DJ622</f>
        <v>0.88583952957544965</v>
      </c>
      <c r="DK664" s="187">
        <f t="shared" si="2830"/>
        <v>0.88168627323563931</v>
      </c>
      <c r="DL664" s="8">
        <f t="shared" si="2830"/>
        <v>0.88816471672309949</v>
      </c>
      <c r="DM664" s="8">
        <f t="shared" si="2830"/>
        <v>0.89049738798321942</v>
      </c>
      <c r="DN664" s="187">
        <f t="shared" si="2830"/>
        <v>0.88632020317363502</v>
      </c>
      <c r="DO664" s="8">
        <f t="shared" si="2830"/>
        <v>0.89283756701139061</v>
      </c>
      <c r="DP664" s="8">
        <f t="shared" si="2830"/>
        <v>0.89518527753862009</v>
      </c>
      <c r="DQ664" s="187">
        <f t="shared" si="2830"/>
        <v>0.89098401107927228</v>
      </c>
      <c r="DR664" s="8">
        <f t="shared" si="2830"/>
        <v>0.89754054337158151</v>
      </c>
      <c r="DS664" s="8">
        <f t="shared" si="2830"/>
        <v>0.899903388392857</v>
      </c>
      <c r="DT664" s="187">
        <f t="shared" si="2830"/>
        <v>0.89567788612941979</v>
      </c>
      <c r="DU664" s="8">
        <f t="shared" si="2830"/>
        <v>0.9022738365611791</v>
      </c>
      <c r="DV664" s="8">
        <f t="shared" si="2830"/>
        <v>0.90465191191167527</v>
      </c>
      <c r="DW664" s="187">
        <f t="shared" si="2830"/>
        <v>0.90040201870925674</v>
      </c>
      <c r="DX664" s="8">
        <f t="shared" si="2830"/>
        <v>0.90703763855610975</v>
      </c>
      <c r="DY664" s="8">
        <f t="shared" si="2830"/>
        <v>0.90943104068313063</v>
      </c>
      <c r="DZ664" s="187">
        <f t="shared" si="2830"/>
        <v>0.90515660042000323</v>
      </c>
      <c r="EA664" s="8">
        <f t="shared" si="2830"/>
        <v>0.91183214255851375</v>
      </c>
      <c r="EB664" s="8">
        <f t="shared" si="2830"/>
        <v>0.91424096852540948</v>
      </c>
      <c r="EC664" s="187">
        <f t="shared" si="2830"/>
        <v>0.90994182408669988</v>
      </c>
      <c r="ED664" s="8">
        <f t="shared" si="2830"/>
        <v>0.91665754300459046</v>
      </c>
      <c r="EE664" s="8">
        <f t="shared" si="2830"/>
        <v>0.91908189049469813</v>
      </c>
      <c r="EF664" s="187">
        <f t="shared" si="2830"/>
        <v>0.91475788376603817</v>
      </c>
      <c r="EG664" s="8">
        <f t="shared" ref="EG664:EL664" si="2831">EG652*EG622</f>
        <v>0.92151403557249356</v>
      </c>
      <c r="EH664" s="8">
        <f t="shared" si="2831"/>
        <v>0.92395400289310459</v>
      </c>
      <c r="EI664" s="187">
        <f t="shared" si="2831"/>
        <v>0.91960497475423997</v>
      </c>
      <c r="EJ664" s="8">
        <f t="shared" si="2831"/>
        <v>0.92640181719027748</v>
      </c>
      <c r="EK664" s="8">
        <f t="shared" si="2831"/>
        <v>0.92885750327662819</v>
      </c>
      <c r="EL664" s="187">
        <f t="shared" si="2831"/>
        <v>0.92448329359498727</v>
      </c>
      <c r="EM664" s="8">
        <f t="shared" ref="EM664:ER664" si="2832">EM652*EM622</f>
        <v>0.93132108604389341</v>
      </c>
      <c r="EN664" s="8">
        <f t="shared" si="2832"/>
        <v>0.93379259046318408</v>
      </c>
      <c r="EO664" s="187">
        <f t="shared" si="2832"/>
        <v>0.92939303808740459</v>
      </c>
      <c r="EP664" s="8">
        <f t="shared" si="2832"/>
        <v>0.93627204158523802</v>
      </c>
      <c r="EQ664" s="8">
        <f t="shared" si="2832"/>
        <v>0.93875946454067472</v>
      </c>
      <c r="ER664" s="187">
        <f t="shared" si="2832"/>
        <v>0.93433440729409012</v>
      </c>
      <c r="ES664" s="8">
        <f t="shared" ref="ES664:EX664" si="2833">ES652*ES622</f>
        <v>0.94125488454025119</v>
      </c>
      <c r="ET664" s="8">
        <f t="shared" si="2833"/>
        <v>0.94375832687511674</v>
      </c>
      <c r="EU664" s="187">
        <f t="shared" si="2833"/>
        <v>0.93930760154920001</v>
      </c>
      <c r="EV664" s="8">
        <f t="shared" si="2833"/>
        <v>0.94626981691707013</v>
      </c>
      <c r="EW664" s="8">
        <f t="shared" si="2833"/>
        <v>0.9487893801188173</v>
      </c>
      <c r="EX664" s="187">
        <f t="shared" si="2833"/>
        <v>0.94431282246658299</v>
      </c>
      <c r="EY664" s="8">
        <f t="shared" ref="EY664:FA664" si="2834">EY652*EY622</f>
        <v>0.95131704201423017</v>
      </c>
      <c r="EZ664" s="8">
        <f t="shared" si="2834"/>
        <v>0.95385282821860529</v>
      </c>
      <c r="FA664" s="187">
        <f t="shared" si="2834"/>
        <v>0.94935027294796981</v>
      </c>
      <c r="FH664" s="35"/>
      <c r="FI664" s="35"/>
      <c r="FJ664" s="35"/>
      <c r="FK664" s="35"/>
      <c r="FL664" s="35"/>
      <c r="FM664" s="35"/>
      <c r="FN664" s="35"/>
      <c r="FO664" s="35"/>
      <c r="FP664" s="35"/>
      <c r="FQ664" s="35"/>
    </row>
    <row r="665" spans="1:173" s="321" customFormat="1" hidden="1" outlineLevel="1">
      <c r="A665" s="1168"/>
      <c r="B665" s="186"/>
      <c r="C665" s="186"/>
      <c r="D665" s="910"/>
      <c r="E665" s="1"/>
      <c r="F665" s="1"/>
      <c r="G665" s="5"/>
      <c r="H665" s="1"/>
      <c r="I665" s="1"/>
      <c r="J665" s="5"/>
      <c r="K665" s="1"/>
      <c r="L665" s="1"/>
      <c r="M665" s="5"/>
      <c r="N665" s="1"/>
      <c r="O665" s="1"/>
      <c r="P665" s="5"/>
      <c r="Q665" s="1"/>
      <c r="R665" s="1"/>
      <c r="S665" s="5"/>
      <c r="T665" s="1"/>
      <c r="U665" s="1"/>
      <c r="V665" s="5"/>
      <c r="W665" s="1"/>
      <c r="X665" s="1"/>
      <c r="Y665" s="5"/>
      <c r="Z665" s="1"/>
      <c r="AA665" s="1"/>
      <c r="AB665" s="5"/>
      <c r="AC665" s="1"/>
      <c r="AD665" s="1"/>
      <c r="AE665" s="5"/>
      <c r="AF665" s="1"/>
      <c r="AG665" s="1"/>
      <c r="AH665" s="5"/>
      <c r="AI665" s="1"/>
      <c r="AJ665" s="1"/>
      <c r="AK665" s="5"/>
      <c r="AL665" s="1"/>
      <c r="AM665" s="1"/>
      <c r="AN665" s="5"/>
      <c r="AO665" s="1"/>
      <c r="AP665" s="1"/>
      <c r="AQ665" s="5"/>
      <c r="AR665" s="1"/>
      <c r="AS665" s="1"/>
      <c r="AT665" s="5"/>
      <c r="AU665" s="1"/>
      <c r="AV665" s="1"/>
      <c r="AW665" s="5"/>
      <c r="AX665" s="3"/>
      <c r="AY665" s="3"/>
      <c r="AZ665" s="2"/>
      <c r="BA665" s="3"/>
      <c r="BB665" s="3"/>
      <c r="BC665" s="973"/>
      <c r="BD665" s="3"/>
      <c r="BE665" s="3"/>
      <c r="BF665" s="973"/>
      <c r="BG665" s="3"/>
      <c r="BH665" s="3"/>
      <c r="BI665" s="978"/>
      <c r="BJ665" s="115"/>
      <c r="BK665" s="115"/>
      <c r="BL665" s="116"/>
      <c r="BM665" s="115"/>
      <c r="BN665" s="115"/>
      <c r="BO665" s="116"/>
      <c r="BP665" s="115"/>
      <c r="BQ665" s="115"/>
      <c r="BR665" s="116"/>
      <c r="BS665" s="8"/>
      <c r="BT665" s="8"/>
      <c r="BU665" s="187"/>
      <c r="BV665" s="8"/>
      <c r="BW665" s="8"/>
      <c r="BX665" s="187"/>
      <c r="BY665" s="8"/>
      <c r="BZ665" s="8"/>
      <c r="CA665" s="187"/>
      <c r="CB665" s="8"/>
      <c r="CC665" s="8"/>
      <c r="CD665" s="187"/>
      <c r="CE665" s="8"/>
      <c r="CF665" s="8"/>
      <c r="CG665" s="187"/>
      <c r="CH665" s="8"/>
      <c r="CI665" s="8"/>
      <c r="CJ665" s="187"/>
      <c r="CK665" s="8"/>
      <c r="CL665" s="8"/>
      <c r="CM665" s="187"/>
      <c r="CN665" s="8"/>
      <c r="CO665" s="8"/>
      <c r="CP665" s="187"/>
      <c r="CQ665" s="8"/>
      <c r="CR665" s="8"/>
      <c r="CS665" s="187"/>
      <c r="CT665" s="8"/>
      <c r="CU665" s="8"/>
      <c r="CV665" s="187"/>
      <c r="CW665" s="8"/>
      <c r="CX665" s="8"/>
      <c r="CY665" s="187"/>
      <c r="CZ665" s="8"/>
      <c r="DA665" s="8"/>
      <c r="DB665" s="187"/>
      <c r="DC665" s="8"/>
      <c r="DD665" s="8"/>
      <c r="DE665" s="187"/>
      <c r="DF665" s="8"/>
      <c r="DG665" s="8"/>
      <c r="DH665" s="187"/>
      <c r="DI665" s="8"/>
      <c r="DJ665" s="8"/>
      <c r="DK665" s="187"/>
      <c r="DL665" s="8"/>
      <c r="DM665" s="8"/>
      <c r="DN665" s="187"/>
      <c r="DO665" s="8"/>
      <c r="DP665" s="8"/>
      <c r="DQ665" s="187"/>
      <c r="DR665" s="8"/>
      <c r="DS665" s="8"/>
      <c r="DT665" s="187"/>
      <c r="DU665" s="8"/>
      <c r="DV665" s="8"/>
      <c r="DW665" s="187"/>
      <c r="DX665" s="8"/>
      <c r="DY665" s="8"/>
      <c r="DZ665" s="187"/>
      <c r="EA665" s="8"/>
      <c r="EB665" s="8"/>
      <c r="EC665" s="187"/>
      <c r="ED665" s="8"/>
      <c r="EE665" s="8"/>
      <c r="EF665" s="187"/>
      <c r="EG665" s="8"/>
      <c r="EH665" s="8"/>
      <c r="EI665" s="187"/>
      <c r="EJ665" s="8"/>
      <c r="EK665" s="8"/>
      <c r="EL665" s="187"/>
      <c r="EM665" s="8"/>
      <c r="EN665" s="8"/>
      <c r="EO665" s="187"/>
      <c r="EP665" s="8"/>
      <c r="EQ665" s="8"/>
      <c r="ER665" s="187"/>
      <c r="ES665" s="8"/>
      <c r="ET665" s="8"/>
      <c r="EU665" s="187"/>
      <c r="EV665" s="8"/>
      <c r="EW665" s="8"/>
      <c r="EX665" s="187"/>
      <c r="EY665" s="8"/>
      <c r="EZ665" s="8"/>
      <c r="FA665" s="187"/>
      <c r="FH665" s="35"/>
      <c r="FI665" s="35"/>
      <c r="FJ665" s="35"/>
      <c r="FK665" s="35"/>
      <c r="FL665" s="35"/>
      <c r="FM665" s="35"/>
      <c r="FN665" s="35"/>
      <c r="FO665" s="35"/>
      <c r="FP665" s="35"/>
      <c r="FQ665" s="35"/>
    </row>
    <row r="666" spans="1:173" s="321" customFormat="1" hidden="1" outlineLevel="1">
      <c r="A666" s="1168"/>
      <c r="B666" s="186"/>
      <c r="C666" s="331" t="s">
        <v>36</v>
      </c>
      <c r="D666" s="910"/>
      <c r="E666" s="1"/>
      <c r="F666" s="1"/>
      <c r="G666" s="5"/>
      <c r="H666" s="1"/>
      <c r="I666" s="1"/>
      <c r="J666" s="5"/>
      <c r="K666" s="1"/>
      <c r="L666" s="1"/>
      <c r="M666" s="5"/>
      <c r="N666" s="1"/>
      <c r="O666" s="1"/>
      <c r="P666" s="5"/>
      <c r="Q666" s="1"/>
      <c r="R666" s="1"/>
      <c r="S666" s="5"/>
      <c r="T666" s="1"/>
      <c r="U666" s="1"/>
      <c r="V666" s="5"/>
      <c r="W666" s="1"/>
      <c r="X666" s="1"/>
      <c r="Y666" s="5"/>
      <c r="Z666" s="1"/>
      <c r="AA666" s="1"/>
      <c r="AB666" s="5"/>
      <c r="AC666" s="1"/>
      <c r="AD666" s="1"/>
      <c r="AE666" s="5"/>
      <c r="AF666" s="1"/>
      <c r="AG666" s="1"/>
      <c r="AH666" s="5"/>
      <c r="AI666" s="1"/>
      <c r="AJ666" s="1"/>
      <c r="AK666" s="5"/>
      <c r="AL666" s="1"/>
      <c r="AM666" s="1"/>
      <c r="AN666" s="5"/>
      <c r="AO666" s="1"/>
      <c r="AP666" s="1"/>
      <c r="AQ666" s="5"/>
      <c r="AR666" s="1"/>
      <c r="AS666" s="1"/>
      <c r="AT666" s="5"/>
      <c r="AU666" s="1"/>
      <c r="AV666" s="1"/>
      <c r="AW666" s="5"/>
      <c r="AX666" s="3"/>
      <c r="AY666" s="3"/>
      <c r="AZ666" s="2"/>
      <c r="BA666" s="3"/>
      <c r="BB666" s="3"/>
      <c r="BC666" s="973"/>
      <c r="BD666" s="3"/>
      <c r="BE666" s="3"/>
      <c r="BF666" s="973"/>
      <c r="BG666" s="3"/>
      <c r="BH666" s="3"/>
      <c r="BI666" s="978"/>
      <c r="BJ666" s="115"/>
      <c r="BK666" s="115"/>
      <c r="BL666" s="116"/>
      <c r="BM666" s="115"/>
      <c r="BN666" s="115"/>
      <c r="BO666" s="116"/>
      <c r="BP666" s="115"/>
      <c r="BQ666" s="115"/>
      <c r="BR666" s="116"/>
      <c r="BS666" s="8"/>
      <c r="BT666" s="8"/>
      <c r="BU666" s="187"/>
      <c r="BV666" s="8"/>
      <c r="BW666" s="8"/>
      <c r="BX666" s="187"/>
      <c r="BY666" s="8"/>
      <c r="BZ666" s="8"/>
      <c r="CA666" s="187"/>
      <c r="CB666" s="8"/>
      <c r="CC666" s="8"/>
      <c r="CD666" s="187"/>
      <c r="CE666" s="8"/>
      <c r="CF666" s="8"/>
      <c r="CG666" s="187"/>
      <c r="CH666" s="8"/>
      <c r="CI666" s="8"/>
      <c r="CJ666" s="187"/>
      <c r="CK666" s="8"/>
      <c r="CL666" s="8"/>
      <c r="CM666" s="187"/>
      <c r="CN666" s="8"/>
      <c r="CO666" s="8"/>
      <c r="CP666" s="187"/>
      <c r="CQ666" s="8"/>
      <c r="CR666" s="8"/>
      <c r="CS666" s="187"/>
      <c r="CT666" s="8"/>
      <c r="CU666" s="8"/>
      <c r="CV666" s="187"/>
      <c r="CW666" s="8"/>
      <c r="CX666" s="8"/>
      <c r="CY666" s="187"/>
      <c r="CZ666" s="8"/>
      <c r="DA666" s="8"/>
      <c r="DB666" s="187"/>
      <c r="DC666" s="8"/>
      <c r="DD666" s="8"/>
      <c r="DE666" s="187"/>
      <c r="DF666" s="8"/>
      <c r="DG666" s="8"/>
      <c r="DH666" s="187"/>
      <c r="DI666" s="8"/>
      <c r="DJ666" s="8"/>
      <c r="DK666" s="187"/>
      <c r="DL666" s="8"/>
      <c r="DM666" s="8"/>
      <c r="DN666" s="187"/>
      <c r="DO666" s="8"/>
      <c r="DP666" s="8"/>
      <c r="DQ666" s="187"/>
      <c r="DR666" s="8"/>
      <c r="DS666" s="8"/>
      <c r="DT666" s="187"/>
      <c r="DU666" s="8"/>
      <c r="DV666" s="8"/>
      <c r="DW666" s="187"/>
      <c r="DX666" s="8"/>
      <c r="DY666" s="8"/>
      <c r="DZ666" s="187"/>
      <c r="EA666" s="8"/>
      <c r="EB666" s="8"/>
      <c r="EC666" s="187"/>
      <c r="ED666" s="8"/>
      <c r="EE666" s="8"/>
      <c r="EF666" s="187"/>
      <c r="EG666" s="8"/>
      <c r="EH666" s="8"/>
      <c r="EI666" s="187"/>
      <c r="EJ666" s="8"/>
      <c r="EK666" s="8"/>
      <c r="EL666" s="187"/>
      <c r="EM666" s="8"/>
      <c r="EN666" s="8"/>
      <c r="EO666" s="187"/>
      <c r="EP666" s="8"/>
      <c r="EQ666" s="8"/>
      <c r="ER666" s="187"/>
      <c r="ES666" s="8"/>
      <c r="ET666" s="8"/>
      <c r="EU666" s="187"/>
      <c r="EV666" s="8"/>
      <c r="EW666" s="8"/>
      <c r="EX666" s="187"/>
      <c r="EY666" s="8"/>
      <c r="EZ666" s="8"/>
      <c r="FA666" s="187"/>
      <c r="FH666" s="35"/>
      <c r="FI666" s="35"/>
      <c r="FJ666" s="35"/>
      <c r="FK666" s="35"/>
      <c r="FL666" s="35"/>
      <c r="FM666" s="35"/>
      <c r="FN666" s="35"/>
      <c r="FO666" s="35"/>
      <c r="FP666" s="35"/>
      <c r="FQ666" s="35"/>
    </row>
    <row r="667" spans="1:173" s="321" customFormat="1" hidden="1" outlineLevel="1">
      <c r="A667" s="1168"/>
      <c r="B667" s="186"/>
      <c r="C667" s="186" t="s">
        <v>316</v>
      </c>
      <c r="D667" s="910"/>
      <c r="E667" s="1"/>
      <c r="F667" s="1"/>
      <c r="G667" s="5"/>
      <c r="H667" s="1"/>
      <c r="I667" s="1"/>
      <c r="J667" s="5"/>
      <c r="K667" s="1"/>
      <c r="L667" s="1"/>
      <c r="M667" s="5"/>
      <c r="N667" s="1"/>
      <c r="O667" s="1"/>
      <c r="P667" s="5"/>
      <c r="Q667" s="1"/>
      <c r="R667" s="1"/>
      <c r="S667" s="5"/>
      <c r="T667" s="1"/>
      <c r="U667" s="1"/>
      <c r="V667" s="5"/>
      <c r="W667" s="1"/>
      <c r="X667" s="1"/>
      <c r="Y667" s="5"/>
      <c r="Z667" s="1"/>
      <c r="AA667" s="1"/>
      <c r="AB667" s="5"/>
      <c r="AC667" s="1"/>
      <c r="AD667" s="1"/>
      <c r="AE667" s="5"/>
      <c r="AF667" s="1"/>
      <c r="AG667" s="1"/>
      <c r="AH667" s="5"/>
      <c r="AI667" s="1"/>
      <c r="AJ667" s="1"/>
      <c r="AK667" s="5"/>
      <c r="AL667" s="1"/>
      <c r="AM667" s="1"/>
      <c r="AN667" s="5"/>
      <c r="AO667" s="1"/>
      <c r="AP667" s="1"/>
      <c r="AQ667" s="5"/>
      <c r="AR667" s="1"/>
      <c r="AS667" s="1"/>
      <c r="AT667" s="5"/>
      <c r="AU667" s="1"/>
      <c r="AV667" s="1"/>
      <c r="AW667" s="5"/>
      <c r="AX667" s="187">
        <f t="shared" ref="AX667:AZ669" si="2835">AX625</f>
        <v>2.2911858679125E-3</v>
      </c>
      <c r="AY667" s="187">
        <f t="shared" si="2835"/>
        <v>2.2979448662228423E-3</v>
      </c>
      <c r="AZ667" s="187">
        <f t="shared" si="2835"/>
        <v>4.5891307341353422E-3</v>
      </c>
      <c r="BA667" s="8">
        <f t="shared" ref="BA667:BB669" si="2836">BA625</f>
        <v>2.3047238035781995E-3</v>
      </c>
      <c r="BB667" s="8">
        <f t="shared" si="2836"/>
        <v>2.3115227387987551E-3</v>
      </c>
      <c r="BC667" s="51">
        <f>SUM(BA667:BB667)</f>
        <v>4.616246542376955E-3</v>
      </c>
      <c r="BD667" s="8">
        <f t="shared" ref="BD667:BE669" si="2837">BD625</f>
        <v>2.3183417308782115E-3</v>
      </c>
      <c r="BE667" s="8">
        <f t="shared" si="2837"/>
        <v>2.3251808389843026E-3</v>
      </c>
      <c r="BF667" s="51">
        <f>SUM(BD667:BE667)</f>
        <v>4.6435225698625137E-3</v>
      </c>
      <c r="BG667" s="8">
        <f t="shared" ref="BG667:BH669" si="2838">BG625</f>
        <v>2.3320401224593062E-3</v>
      </c>
      <c r="BH667" s="8">
        <f t="shared" si="2838"/>
        <v>2.3389196408205612E-3</v>
      </c>
      <c r="BI667" s="51">
        <f>SUM(BG667:BH667)</f>
        <v>4.670959763279867E-3</v>
      </c>
      <c r="BJ667" s="115">
        <f t="shared" ref="BJ667:BK669" si="2839">BJ625</f>
        <v>2.3458194537609818E-3</v>
      </c>
      <c r="BK667" s="115">
        <f t="shared" si="2839"/>
        <v>2.352739621149577E-3</v>
      </c>
      <c r="BL667" s="116">
        <f>SUM(BJ667:BK667)</f>
        <v>4.6985590749105584E-3</v>
      </c>
      <c r="BM667" s="115">
        <f t="shared" ref="BM667:BN669" si="2840">BM625</f>
        <v>2.3562099120907724E-3</v>
      </c>
      <c r="BN667" s="115">
        <f t="shared" si="2840"/>
        <v>2.3596853217111059E-3</v>
      </c>
      <c r="BO667" s="116">
        <f>SUM(BM667:BN667)</f>
        <v>4.7158952338018784E-3</v>
      </c>
      <c r="BP667" s="115">
        <f t="shared" ref="BP667:BQ669" si="2841">BP625</f>
        <v>2.3631658575606297E-3</v>
      </c>
      <c r="BQ667" s="115">
        <f t="shared" si="2841"/>
        <v>2.3666515272005315E-3</v>
      </c>
      <c r="BR667" s="116">
        <f>SUM(BP667:BQ667)</f>
        <v>4.7298173847611612E-3</v>
      </c>
      <c r="BS667" s="8">
        <f t="shared" ref="BS667:BT669" si="2842">BS625</f>
        <v>2.3701423382031517E-3</v>
      </c>
      <c r="BT667" s="8">
        <f t="shared" si="2842"/>
        <v>2.3736382981520009E-3</v>
      </c>
      <c r="BU667" s="9">
        <f>SUM(BS667:BT667)</f>
        <v>4.7437806363551521E-3</v>
      </c>
      <c r="BV667" s="8">
        <f t="shared" ref="BV667:BW669" si="2843">BV625</f>
        <v>2.3771394146417752E-3</v>
      </c>
      <c r="BW667" s="8">
        <f t="shared" si="2843"/>
        <v>2.3806456952783716E-3</v>
      </c>
      <c r="BX667" s="187">
        <f>SUM(BV667:BW667)</f>
        <v>4.7577851099201464E-3</v>
      </c>
      <c r="BY667" s="8">
        <f t="shared" ref="BY667:BZ669" si="2844">BY625</f>
        <v>2.3841571476789069E-3</v>
      </c>
      <c r="BZ667" s="8">
        <f t="shared" si="2844"/>
        <v>2.3876737794717336E-3</v>
      </c>
      <c r="CA667" s="187">
        <f>SUM(BY667:BZ667)</f>
        <v>4.7718309271506405E-3</v>
      </c>
      <c r="CB667" s="8">
        <f t="shared" ref="CB667:CC669" si="2845">CB625</f>
        <v>2.3911955982964537E-3</v>
      </c>
      <c r="CC667" s="8">
        <f t="shared" si="2845"/>
        <v>2.3947226118039406E-3</v>
      </c>
      <c r="CD667" s="187">
        <f>SUM(CB667:CC667)</f>
        <v>4.7859182101003938E-3</v>
      </c>
      <c r="CE667" s="8">
        <f t="shared" ref="CE667:CF669" si="2846">CE625</f>
        <v>2.3982548276563513E-3</v>
      </c>
      <c r="CF667" s="8">
        <f t="shared" si="2846"/>
        <v>2.401792253527144E-3</v>
      </c>
      <c r="CG667" s="187">
        <f>SUM(CE667:CF667)</f>
        <v>4.8000470811834957E-3</v>
      </c>
      <c r="CH667" s="8">
        <f t="shared" ref="CH667:CI669" si="2847">CH625</f>
        <v>2.4053348971010964E-3</v>
      </c>
      <c r="CI667" s="8">
        <f t="shared" si="2847"/>
        <v>2.4088827660743201E-3</v>
      </c>
      <c r="CJ667" s="187">
        <f>SUM(CH667:CI667)</f>
        <v>4.8142176631754165E-3</v>
      </c>
      <c r="CK667" s="8">
        <f t="shared" ref="CK667:CL669" si="2848">CK625</f>
        <v>2.4124358681542795E-3</v>
      </c>
      <c r="CL667" s="8">
        <f t="shared" si="2848"/>
        <v>2.4159942110598071E-3</v>
      </c>
      <c r="CM667" s="187">
        <f>SUM(CK667:CL667)</f>
        <v>4.8284300792140866E-3</v>
      </c>
      <c r="CN667" s="8">
        <f t="shared" ref="CN667:CO669" si="2849">CN625</f>
        <v>2.4195578025211196E-3</v>
      </c>
      <c r="CO667" s="8">
        <f t="shared" si="2849"/>
        <v>2.4231266502798385E-3</v>
      </c>
      <c r="CP667" s="187">
        <f>SUM(CN667:CO667)</f>
        <v>4.8426844528009581E-3</v>
      </c>
      <c r="CQ667" s="8">
        <f t="shared" ref="CQ667:CR669" si="2850">CQ625</f>
        <v>2.4267007620890008E-3</v>
      </c>
      <c r="CR667" s="8">
        <f t="shared" si="2850"/>
        <v>2.4302801457130817E-3</v>
      </c>
      <c r="CS667" s="187">
        <f>SUM(CQ667:CR667)</f>
        <v>4.8569809078020821E-3</v>
      </c>
      <c r="CT667" s="8">
        <f t="shared" ref="CT667:CU669" si="2851">CT625</f>
        <v>2.4338648089280079E-3</v>
      </c>
      <c r="CU667" s="8">
        <f t="shared" si="2851"/>
        <v>2.4374547595211768E-3</v>
      </c>
      <c r="CV667" s="187">
        <f>SUM(CT667:CU667)</f>
        <v>4.8713195684491842E-3</v>
      </c>
      <c r="CW667" s="8">
        <f t="shared" ref="CW667:CX669" si="2852">CW625</f>
        <v>2.4410500052914701E-3</v>
      </c>
      <c r="CX667" s="8">
        <f t="shared" si="2852"/>
        <v>2.4446505540492752E-3</v>
      </c>
      <c r="CY667" s="9">
        <f>SUM(CW667:CX667)</f>
        <v>4.8857005593407454E-3</v>
      </c>
      <c r="CZ667" s="8">
        <f t="shared" ref="CZ667:DA669" si="2853">CZ625</f>
        <v>2.4482564136164972E-3</v>
      </c>
      <c r="DA667" s="8">
        <f t="shared" si="2853"/>
        <v>2.4518675918265816E-3</v>
      </c>
      <c r="DB667" s="9">
        <f>SUM(CZ667:DA667)</f>
        <v>4.9001240054430788E-3</v>
      </c>
      <c r="DC667" s="8">
        <f t="shared" ref="DC667:DD669" si="2854">DC625</f>
        <v>2.4554840965245258E-3</v>
      </c>
      <c r="DD667" s="8">
        <f t="shared" si="2854"/>
        <v>2.4591059355668992E-3</v>
      </c>
      <c r="DE667" s="9">
        <f>SUM(DC667:DD667)</f>
        <v>4.9145900320914249E-3</v>
      </c>
      <c r="DF667" s="8">
        <f t="shared" ref="DF667:DG669" si="2855">DF625</f>
        <v>2.4627331168218598E-3</v>
      </c>
      <c r="DG667" s="8">
        <f t="shared" si="2855"/>
        <v>2.4663656481691719E-3</v>
      </c>
      <c r="DH667" s="9">
        <f>SUM(DF667:DG667)</f>
        <v>4.9290987649910321E-3</v>
      </c>
      <c r="DI667" s="8">
        <f t="shared" ref="DI667:DJ669" si="2856">DI625</f>
        <v>2.4700035375002211E-3</v>
      </c>
      <c r="DJ667" s="8">
        <f t="shared" si="2856"/>
        <v>2.4736467927180335E-3</v>
      </c>
      <c r="DK667" s="9">
        <f>SUM(DI667:DJ667)</f>
        <v>4.9436503302182546E-3</v>
      </c>
      <c r="DL667" s="8">
        <f t="shared" ref="DL667:DM669" si="2857">DL625</f>
        <v>2.4772954217372927E-3</v>
      </c>
      <c r="DM667" s="8">
        <f t="shared" si="2857"/>
        <v>2.4809494324843548E-3</v>
      </c>
      <c r="DN667" s="9">
        <f>SUM(DL667:DM667)</f>
        <v>4.9582448542216471E-3</v>
      </c>
      <c r="DO667" s="8">
        <f t="shared" ref="DO667:DP669" si="2858">DO625</f>
        <v>2.4846088328972691E-3</v>
      </c>
      <c r="DP667" s="8">
        <f t="shared" si="2858"/>
        <v>2.4882736309257926E-3</v>
      </c>
      <c r="DQ667" s="9">
        <f>SUM(DO667:DP667)</f>
        <v>4.9728824638230612E-3</v>
      </c>
      <c r="DR667" s="8">
        <f t="shared" ref="DR667:DS669" si="2859">DR625</f>
        <v>2.4919438345314075E-3</v>
      </c>
      <c r="DS667" s="8">
        <f t="shared" si="2859"/>
        <v>2.4956194516873409E-3</v>
      </c>
      <c r="DT667" s="9">
        <f>SUM(DR667:DS667)</f>
        <v>4.9875632862187488E-3</v>
      </c>
      <c r="DU667" s="8">
        <f t="shared" ref="DU667:DV669" si="2860">DU625</f>
        <v>2.4993004903785801E-3</v>
      </c>
      <c r="DV667" s="8">
        <f t="shared" si="2860"/>
        <v>2.5029869586018876E-3</v>
      </c>
      <c r="DW667" s="9">
        <f>SUM(DU667:DV667)</f>
        <v>5.0022874489804676E-3</v>
      </c>
      <c r="DX667" s="8">
        <f t="shared" ref="DX667:DY669" si="2861">DX625</f>
        <v>2.506678864365825E-3</v>
      </c>
      <c r="DY667" s="8">
        <f t="shared" si="2861"/>
        <v>2.5103762156907647E-3</v>
      </c>
      <c r="DZ667" s="9">
        <f>SUM(DX667:DY667)</f>
        <v>5.0170550800565893E-3</v>
      </c>
      <c r="EA667" s="8">
        <f t="shared" ref="EA667:EB669" si="2862">EA625</f>
        <v>2.514079020608908E-3</v>
      </c>
      <c r="EB667" s="8">
        <f t="shared" si="2862"/>
        <v>2.5177872871643059E-3</v>
      </c>
      <c r="EC667" s="9">
        <f>SUM(EA667:EB667)</f>
        <v>5.0318663077732143E-3</v>
      </c>
      <c r="ED667" s="8">
        <f t="shared" ref="ED667:EE669" si="2863">ED625</f>
        <v>2.521501023412873E-3</v>
      </c>
      <c r="EE667" s="8">
        <f t="shared" si="2863"/>
        <v>2.5252202374224067E-3</v>
      </c>
      <c r="EF667" s="9">
        <f>SUM(ED667:EE667)</f>
        <v>5.0467212608352793E-3</v>
      </c>
      <c r="EG667" s="8">
        <f t="shared" ref="EG667:EH669" si="2864">EG625</f>
        <v>2.5289449372726046E-3</v>
      </c>
      <c r="EH667" s="8">
        <f t="shared" si="2864"/>
        <v>2.5326751310550811E-3</v>
      </c>
      <c r="EI667" s="9">
        <f>SUM(EG667:EH667)</f>
        <v>5.0616200683276857E-3</v>
      </c>
      <c r="EJ667" s="8">
        <f t="shared" ref="EJ667:EK669" si="2865">EJ625</f>
        <v>2.5364108268733873E-3</v>
      </c>
      <c r="EK667" s="8">
        <f t="shared" si="2865"/>
        <v>2.5401520328430251E-3</v>
      </c>
      <c r="EL667" s="9">
        <f>SUM(EJ667:EK667)</f>
        <v>5.0765628597164124E-3</v>
      </c>
      <c r="EM667" s="8">
        <f t="shared" ref="EM667:EN669" si="2866">EM625</f>
        <v>2.5438987570914682E-3</v>
      </c>
      <c r="EN667" s="8">
        <f t="shared" si="2866"/>
        <v>2.5476510077581779E-3</v>
      </c>
      <c r="EO667" s="9">
        <f>SUM(EM667:EN667)</f>
        <v>5.0915497648496462E-3</v>
      </c>
      <c r="EP667" s="8">
        <f t="shared" ref="EP667:EQ669" si="2867">EP625</f>
        <v>2.5514087929946207E-3</v>
      </c>
      <c r="EQ667" s="8">
        <f t="shared" si="2867"/>
        <v>2.5551721209642877E-3</v>
      </c>
      <c r="ER667" s="9">
        <f>SUM(EP667:EQ667)</f>
        <v>5.106580913958908E-3</v>
      </c>
      <c r="ES667" s="8">
        <f t="shared" ref="ES667:ET667" si="2868">ES625</f>
        <v>2.5589409998427095E-3</v>
      </c>
      <c r="ET667" s="8">
        <f t="shared" si="2868"/>
        <v>2.5627154378174773E-3</v>
      </c>
      <c r="EU667" s="9">
        <f>SUM(ES667:ET667)</f>
        <v>5.1216564376601863E-3</v>
      </c>
      <c r="EV667" s="8">
        <f t="shared" ref="EV667:EW667" si="2869">EV625</f>
        <v>2.5664954430882573E-3</v>
      </c>
      <c r="EW667" s="8">
        <f t="shared" si="2869"/>
        <v>2.5702810238668128E-3</v>
      </c>
      <c r="EX667" s="9">
        <f>SUM(EV667:EW667)</f>
        <v>5.1367764669550701E-3</v>
      </c>
      <c r="EY667" s="8">
        <f t="shared" ref="EY667:EZ667" si="2870">EY625</f>
        <v>2.574072188377016E-3</v>
      </c>
      <c r="EZ667" s="8">
        <f t="shared" si="2870"/>
        <v>2.5778689448548719E-3</v>
      </c>
      <c r="FA667" s="9">
        <f>SUM(EY667:EZ667)</f>
        <v>5.1519411332318875E-3</v>
      </c>
      <c r="FB667" s="993"/>
      <c r="FJ667" s="35"/>
      <c r="FK667" s="35"/>
      <c r="FL667" s="35"/>
      <c r="FM667" s="35"/>
      <c r="FN667" s="35"/>
      <c r="FO667" s="35"/>
      <c r="FP667" s="35"/>
      <c r="FQ667" s="35"/>
    </row>
    <row r="668" spans="1:173" s="321" customFormat="1" hidden="1" outlineLevel="1">
      <c r="A668" s="1168"/>
      <c r="B668" s="186"/>
      <c r="C668" s="186" t="s">
        <v>317</v>
      </c>
      <c r="D668" s="910"/>
      <c r="E668" s="1"/>
      <c r="F668" s="1"/>
      <c r="G668" s="5"/>
      <c r="H668" s="1"/>
      <c r="I668" s="1"/>
      <c r="J668" s="5"/>
      <c r="K668" s="1"/>
      <c r="L668" s="1"/>
      <c r="M668" s="5"/>
      <c r="N668" s="1"/>
      <c r="O668" s="1"/>
      <c r="P668" s="5"/>
      <c r="Q668" s="1"/>
      <c r="R668" s="1"/>
      <c r="S668" s="5"/>
      <c r="T668" s="1"/>
      <c r="U668" s="1"/>
      <c r="V668" s="5"/>
      <c r="W668" s="1"/>
      <c r="X668" s="1"/>
      <c r="Y668" s="5"/>
      <c r="Z668" s="1"/>
      <c r="AA668" s="1"/>
      <c r="AB668" s="5"/>
      <c r="AC668" s="1"/>
      <c r="AD668" s="1"/>
      <c r="AE668" s="5"/>
      <c r="AF668" s="1"/>
      <c r="AG668" s="1"/>
      <c r="AH668" s="5"/>
      <c r="AI668" s="1"/>
      <c r="AJ668" s="1"/>
      <c r="AK668" s="5"/>
      <c r="AL668" s="1"/>
      <c r="AM668" s="1"/>
      <c r="AN668" s="5"/>
      <c r="AO668" s="1"/>
      <c r="AP668" s="1"/>
      <c r="AQ668" s="5"/>
      <c r="AR668" s="1"/>
      <c r="AS668" s="1"/>
      <c r="AT668" s="5"/>
      <c r="AU668" s="1"/>
      <c r="AV668" s="1"/>
      <c r="AW668" s="5"/>
      <c r="AX668" s="187">
        <f t="shared" si="2835"/>
        <v>3.5196463647900003E-3</v>
      </c>
      <c r="AY668" s="187">
        <f t="shared" si="2835"/>
        <v>3.5164786830616892E-3</v>
      </c>
      <c r="AZ668" s="9">
        <f>SUM(AX668:AY668)</f>
        <v>7.0361250478516895E-3</v>
      </c>
      <c r="BA668" s="8">
        <f t="shared" si="2836"/>
        <v>3.5133138522469342E-3</v>
      </c>
      <c r="BB668" s="8">
        <f t="shared" si="2836"/>
        <v>3.5101518697799117E-3</v>
      </c>
      <c r="BC668" s="51">
        <f>SUM(BA668:BB668)</f>
        <v>7.0234657220268459E-3</v>
      </c>
      <c r="BD668" s="8">
        <f t="shared" si="2837"/>
        <v>3.5069927330971095E-3</v>
      </c>
      <c r="BE668" s="8">
        <f t="shared" si="2837"/>
        <v>3.503836439637322E-3</v>
      </c>
      <c r="BF668" s="51">
        <f>SUM(BD668:BE668)</f>
        <v>7.0108291727344315E-3</v>
      </c>
      <c r="BG668" s="8">
        <f t="shared" si="2838"/>
        <v>3.5006829868416489E-3</v>
      </c>
      <c r="BH668" s="8">
        <f t="shared" si="2838"/>
        <v>3.497532372153491E-3</v>
      </c>
      <c r="BI668" s="51">
        <f>SUM(BG668:BH668)</f>
        <v>6.9982153589951395E-3</v>
      </c>
      <c r="BJ668" s="115">
        <f t="shared" si="2839"/>
        <v>3.4943845930185528E-3</v>
      </c>
      <c r="BK668" s="115">
        <f t="shared" si="2839"/>
        <v>3.4912396468848358E-3</v>
      </c>
      <c r="BL668" s="116">
        <f>SUM(BJ668:BK668)</f>
        <v>6.9856242399033881E-3</v>
      </c>
      <c r="BM668" s="115">
        <f t="shared" si="2840"/>
        <v>3.4896685890437379E-3</v>
      </c>
      <c r="BN668" s="115">
        <f t="shared" si="2840"/>
        <v>3.4880982381786684E-3</v>
      </c>
      <c r="BO668" s="116">
        <f>SUM(BM668:BN668)</f>
        <v>6.9777668272224067E-3</v>
      </c>
      <c r="BP668" s="115">
        <f t="shared" si="2841"/>
        <v>3.4865285939714879E-3</v>
      </c>
      <c r="BQ668" s="115">
        <f t="shared" si="2841"/>
        <v>3.4849596561042006E-3</v>
      </c>
      <c r="BR668" s="116">
        <f>SUM(BP668:BQ668)</f>
        <v>6.971488250075689E-3</v>
      </c>
      <c r="BS668" s="8">
        <f t="shared" si="2842"/>
        <v>3.4833914242589541E-3</v>
      </c>
      <c r="BT668" s="8">
        <f t="shared" si="2842"/>
        <v>3.4818238981180376E-3</v>
      </c>
      <c r="BU668" s="9">
        <f>SUM(BS668:BT668)</f>
        <v>6.9652153223769917E-3</v>
      </c>
      <c r="BV668" s="8">
        <f t="shared" si="2843"/>
        <v>3.4802570773638845E-3</v>
      </c>
      <c r="BW668" s="8">
        <f t="shared" si="2843"/>
        <v>3.478690961679071E-3</v>
      </c>
      <c r="BX668" s="187">
        <f>SUM(BV668:BW668)</f>
        <v>6.9589480390429559E-3</v>
      </c>
      <c r="BY668" s="8">
        <f t="shared" si="2844"/>
        <v>3.4771255507463159E-3</v>
      </c>
      <c r="BZ668" s="8">
        <f t="shared" si="2844"/>
        <v>3.4755608442484797E-3</v>
      </c>
      <c r="CA668" s="187">
        <f>SUM(BY668:BZ668)</f>
        <v>6.9526863949947951E-3</v>
      </c>
      <c r="CB668" s="8">
        <f t="shared" si="2845"/>
        <v>3.4739968418685679E-3</v>
      </c>
      <c r="CC668" s="8">
        <f t="shared" si="2845"/>
        <v>3.4724335432897275E-3</v>
      </c>
      <c r="CD668" s="187">
        <f>SUM(CB668:CC668)</f>
        <v>6.9464303851582958E-3</v>
      </c>
      <c r="CE668" s="8">
        <f t="shared" si="2846"/>
        <v>3.4708709481952476E-3</v>
      </c>
      <c r="CF668" s="8">
        <f t="shared" si="2846"/>
        <v>3.4693090562685595E-3</v>
      </c>
      <c r="CG668" s="187">
        <f>SUM(CE668:CF668)</f>
        <v>6.9401800044638067E-3</v>
      </c>
      <c r="CH668" s="8">
        <f t="shared" si="2847"/>
        <v>3.4677478671932393E-3</v>
      </c>
      <c r="CI668" s="8">
        <f t="shared" si="2847"/>
        <v>3.4661873806530021E-3</v>
      </c>
      <c r="CJ668" s="187">
        <f>SUM(CH668:CI668)</f>
        <v>6.9339352478462414E-3</v>
      </c>
      <c r="CK668" s="8">
        <f t="shared" si="2848"/>
        <v>3.4646275963317085E-3</v>
      </c>
      <c r="CL668" s="8">
        <f t="shared" si="2848"/>
        <v>3.4630685139133595E-3</v>
      </c>
      <c r="CM668" s="187">
        <f>SUM(CK668:CL668)</f>
        <v>6.927696110245068E-3</v>
      </c>
      <c r="CN668" s="8">
        <f t="shared" si="2849"/>
        <v>3.4615101330820984E-3</v>
      </c>
      <c r="CO668" s="8">
        <f t="shared" si="2849"/>
        <v>3.4599524535222116E-3</v>
      </c>
      <c r="CP668" s="187">
        <f>SUM(CN668:CO668)</f>
        <v>6.92146258660431E-3</v>
      </c>
      <c r="CQ668" s="8">
        <f t="shared" si="2850"/>
        <v>3.4583954749181269E-3</v>
      </c>
      <c r="CR668" s="8">
        <f t="shared" si="2850"/>
        <v>3.4568391969544143E-3</v>
      </c>
      <c r="CS668" s="187">
        <f>SUM(CQ668:CR668)</f>
        <v>6.9152346718725412E-3</v>
      </c>
      <c r="CT668" s="8">
        <f t="shared" si="2851"/>
        <v>3.4552836193157848E-3</v>
      </c>
      <c r="CU668" s="8">
        <f t="shared" si="2851"/>
        <v>3.4537287416870925E-3</v>
      </c>
      <c r="CV668" s="187">
        <f>SUM(CT668:CU668)</f>
        <v>6.9090123610028777E-3</v>
      </c>
      <c r="CW668" s="8">
        <f t="shared" si="2852"/>
        <v>3.4521745637533332E-3</v>
      </c>
      <c r="CX668" s="8">
        <f t="shared" si="2852"/>
        <v>3.4506210851996447E-3</v>
      </c>
      <c r="CY668" s="9">
        <f>SUM(CW668:CX668)</f>
        <v>6.9027956489529779E-3</v>
      </c>
      <c r="CZ668" s="8">
        <f t="shared" si="2853"/>
        <v>3.4490683057113048E-3</v>
      </c>
      <c r="DA668" s="8">
        <f t="shared" si="2853"/>
        <v>3.4475162249737348E-3</v>
      </c>
      <c r="DB668" s="9">
        <f>SUM(CZ668:DA668)</f>
        <v>6.8965845306850401E-3</v>
      </c>
      <c r="DC668" s="8">
        <f t="shared" si="2854"/>
        <v>3.4459648426724966E-3</v>
      </c>
      <c r="DD668" s="8">
        <f t="shared" si="2854"/>
        <v>3.4444141584932943E-3</v>
      </c>
      <c r="DE668" s="9">
        <f>SUM(DC668:DD668)</f>
        <v>6.8903790011657908E-3</v>
      </c>
      <c r="DF668" s="8">
        <f t="shared" si="2855"/>
        <v>3.4428641721219724E-3</v>
      </c>
      <c r="DG668" s="8">
        <f t="shared" si="2855"/>
        <v>3.4413148832445179E-3</v>
      </c>
      <c r="DH668" s="9">
        <f>SUM(DF668:DG668)</f>
        <v>6.8841790553664899E-3</v>
      </c>
      <c r="DI668" s="8">
        <f t="shared" si="2856"/>
        <v>3.4397662915470581E-3</v>
      </c>
      <c r="DJ668" s="8">
        <f t="shared" si="2856"/>
        <v>3.4382183967158618E-3</v>
      </c>
      <c r="DK668" s="9">
        <f>SUM(DI668:DJ668)</f>
        <v>6.8779846882629199E-3</v>
      </c>
      <c r="DL668" s="8">
        <f t="shared" si="2857"/>
        <v>3.43667119843734E-3</v>
      </c>
      <c r="DM668" s="8">
        <f t="shared" si="2857"/>
        <v>3.4351246963980433E-3</v>
      </c>
      <c r="DN668" s="9">
        <f>SUM(DL668:DM668)</f>
        <v>6.8717958948353829E-3</v>
      </c>
      <c r="DO668" s="8">
        <f t="shared" si="2858"/>
        <v>3.4335788902846646E-3</v>
      </c>
      <c r="DP668" s="8">
        <f t="shared" si="2858"/>
        <v>3.432033779784037E-3</v>
      </c>
      <c r="DQ668" s="9">
        <f>SUM(DO668:DP668)</f>
        <v>6.865612670068702E-3</v>
      </c>
      <c r="DR668" s="8">
        <f t="shared" si="2859"/>
        <v>3.4304893645831346E-3</v>
      </c>
      <c r="DS668" s="8">
        <f t="shared" si="2859"/>
        <v>3.4289456443690721E-3</v>
      </c>
      <c r="DT668" s="9">
        <f>SUM(DR668:DS668)</f>
        <v>6.8594350089522067E-3</v>
      </c>
      <c r="DU668" s="8">
        <f t="shared" si="2860"/>
        <v>3.427402618829106E-3</v>
      </c>
      <c r="DV668" s="8">
        <f t="shared" si="2860"/>
        <v>3.4258602876506331E-3</v>
      </c>
      <c r="DW668" s="9">
        <f>SUM(DU668:DV668)</f>
        <v>6.8532629064797391E-3</v>
      </c>
      <c r="DX668" s="8">
        <f t="shared" si="2861"/>
        <v>3.4243186505211903E-3</v>
      </c>
      <c r="DY668" s="8">
        <f t="shared" si="2861"/>
        <v>3.4227777071284562E-3</v>
      </c>
      <c r="DZ668" s="9">
        <f>SUM(DX668:DY668)</f>
        <v>6.8470963576496464E-3</v>
      </c>
      <c r="EA668" s="8">
        <f t="shared" si="2862"/>
        <v>3.4212374571602486E-3</v>
      </c>
      <c r="EB668" s="8">
        <f t="shared" si="2862"/>
        <v>3.419697900304526E-3</v>
      </c>
      <c r="EC668" s="9">
        <f>SUM(EA668:EB668)</f>
        <v>6.8409353574647742E-3</v>
      </c>
      <c r="ED668" s="8">
        <f t="shared" si="2863"/>
        <v>3.4181590362493889E-3</v>
      </c>
      <c r="EE668" s="8">
        <f t="shared" si="2863"/>
        <v>3.4166208646830773E-3</v>
      </c>
      <c r="EF668" s="9">
        <f>SUM(ED668:EE668)</f>
        <v>6.8347799009324667E-3</v>
      </c>
      <c r="EG668" s="8">
        <f t="shared" si="2864"/>
        <v>3.4150833852939697E-3</v>
      </c>
      <c r="EH668" s="8">
        <f t="shared" si="2864"/>
        <v>3.4135465977705873E-3</v>
      </c>
      <c r="EI668" s="9">
        <f>SUM(EG668:EH668)</f>
        <v>6.828629983064557E-3</v>
      </c>
      <c r="EJ668" s="8">
        <f t="shared" si="2865"/>
        <v>3.4120105018015912E-3</v>
      </c>
      <c r="EK668" s="8">
        <f t="shared" si="2865"/>
        <v>3.4104750970757802E-3</v>
      </c>
      <c r="EL668" s="9">
        <f>SUM(EJ668:EK668)</f>
        <v>6.822485598877371E-3</v>
      </c>
      <c r="EM668" s="8">
        <f t="shared" si="2866"/>
        <v>3.4089403832820967E-3</v>
      </c>
      <c r="EN668" s="8">
        <f t="shared" si="2866"/>
        <v>3.4074063601096201E-3</v>
      </c>
      <c r="EO668" s="9">
        <f>SUM(EM668:EN668)</f>
        <v>6.8163467433917171E-3</v>
      </c>
      <c r="EP668" s="8">
        <f t="shared" si="2867"/>
        <v>3.4058730272475712E-3</v>
      </c>
      <c r="EQ668" s="8">
        <f t="shared" si="2867"/>
        <v>3.4043403843853097E-3</v>
      </c>
      <c r="ER668" s="9">
        <f>SUM(EP668:EQ668)</f>
        <v>6.8102134116328813E-3</v>
      </c>
      <c r="ES668" s="8">
        <f t="shared" ref="ES668:ET668" si="2871">ES626</f>
        <v>3.4028084312123369E-3</v>
      </c>
      <c r="ET668" s="8">
        <f t="shared" si="2871"/>
        <v>3.4012771674182918E-3</v>
      </c>
      <c r="EU668" s="9">
        <f>SUM(ES668:ET668)</f>
        <v>6.8040855986306291E-3</v>
      </c>
      <c r="EV668" s="8">
        <f t="shared" ref="EV668:EW668" si="2872">EV626</f>
        <v>3.3997465926929532E-3</v>
      </c>
      <c r="EW668" s="8">
        <f t="shared" si="2872"/>
        <v>3.3982167067262412E-3</v>
      </c>
      <c r="EX668" s="9">
        <f>SUM(EV668:EW668)</f>
        <v>6.7979632994191949E-3</v>
      </c>
      <c r="EY668" s="8">
        <f t="shared" ref="EY668:EZ668" si="2873">EY626</f>
        <v>3.3966875092082149E-3</v>
      </c>
      <c r="EZ668" s="8">
        <f t="shared" si="2873"/>
        <v>3.3951589998290716E-3</v>
      </c>
      <c r="FA668" s="9">
        <f>SUM(EY668:EZ668)</f>
        <v>6.791846509037287E-3</v>
      </c>
      <c r="FB668" s="178"/>
      <c r="FC668" s="178"/>
      <c r="FD668" s="178"/>
      <c r="FE668" s="178"/>
      <c r="FF668" s="178"/>
      <c r="FG668" s="178"/>
      <c r="FH668" s="178"/>
      <c r="FI668" s="178"/>
      <c r="FJ668" s="35"/>
      <c r="FK668" s="35"/>
      <c r="FL668" s="35"/>
      <c r="FM668" s="35"/>
      <c r="FN668" s="35"/>
      <c r="FO668" s="35"/>
      <c r="FP668" s="35"/>
      <c r="FQ668" s="35"/>
    </row>
    <row r="669" spans="1:173" s="321" customFormat="1" hidden="1" outlineLevel="1">
      <c r="A669" s="1168"/>
      <c r="B669" s="186"/>
      <c r="C669" s="186" t="s">
        <v>431</v>
      </c>
      <c r="D669" s="910"/>
      <c r="E669" s="1"/>
      <c r="F669" s="1"/>
      <c r="G669" s="5"/>
      <c r="H669" s="1"/>
      <c r="I669" s="1"/>
      <c r="J669" s="5"/>
      <c r="K669" s="1"/>
      <c r="L669" s="1"/>
      <c r="M669" s="5"/>
      <c r="N669" s="1"/>
      <c r="O669" s="1"/>
      <c r="P669" s="5"/>
      <c r="Q669" s="1"/>
      <c r="R669" s="1"/>
      <c r="S669" s="5"/>
      <c r="T669" s="1"/>
      <c r="U669" s="1"/>
      <c r="V669" s="5"/>
      <c r="W669" s="1"/>
      <c r="X669" s="1"/>
      <c r="Y669" s="5"/>
      <c r="Z669" s="1"/>
      <c r="AA669" s="1"/>
      <c r="AB669" s="5"/>
      <c r="AC669" s="1"/>
      <c r="AD669" s="1"/>
      <c r="AE669" s="5"/>
      <c r="AF669" s="1"/>
      <c r="AG669" s="1"/>
      <c r="AH669" s="5"/>
      <c r="AI669" s="1"/>
      <c r="AJ669" s="1"/>
      <c r="AK669" s="5"/>
      <c r="AL669" s="1"/>
      <c r="AM669" s="1"/>
      <c r="AN669" s="5"/>
      <c r="AO669" s="1"/>
      <c r="AP669" s="1"/>
      <c r="AQ669" s="5"/>
      <c r="AR669" s="1"/>
      <c r="AS669" s="1"/>
      <c r="AT669" s="5"/>
      <c r="AU669" s="1"/>
      <c r="AV669" s="1"/>
      <c r="AW669" s="5"/>
      <c r="AX669" s="187">
        <f t="shared" si="2835"/>
        <v>3.9092183440800003E-2</v>
      </c>
      <c r="AY669" s="187">
        <f t="shared" si="2835"/>
        <v>3.9342373414821122E-2</v>
      </c>
      <c r="AZ669" s="9">
        <f>SUM(AX669:AY669)</f>
        <v>7.8434556855621118E-2</v>
      </c>
      <c r="BA669" s="8">
        <f t="shared" si="2836"/>
        <v>3.959416460467597E-2</v>
      </c>
      <c r="BB669" s="8">
        <f t="shared" si="2836"/>
        <v>3.9847567258145894E-2</v>
      </c>
      <c r="BC669" s="51">
        <f>SUM(BA669:BB669)</f>
        <v>7.9441731862821857E-2</v>
      </c>
      <c r="BD669" s="8">
        <f t="shared" si="2837"/>
        <v>4.0102591688598033E-2</v>
      </c>
      <c r="BE669" s="8">
        <f t="shared" si="2837"/>
        <v>4.0359248275405053E-2</v>
      </c>
      <c r="BF669" s="51">
        <f>SUM(BD669:BE669)</f>
        <v>8.0461839964003079E-2</v>
      </c>
      <c r="BG669" s="8">
        <f t="shared" si="2838"/>
        <v>4.0617547464367645E-2</v>
      </c>
      <c r="BH669" s="8">
        <f t="shared" si="2838"/>
        <v>4.0877499768139598E-2</v>
      </c>
      <c r="BI669" s="51">
        <f>SUM(BG669:BH669)</f>
        <v>8.1495047232507251E-2</v>
      </c>
      <c r="BJ669" s="115">
        <f t="shared" si="2839"/>
        <v>4.1139115766655694E-2</v>
      </c>
      <c r="BK669" s="115">
        <f t="shared" si="2839"/>
        <v>4.1402406107562288E-2</v>
      </c>
      <c r="BL669" s="116">
        <f>SUM(BJ669:BK669)</f>
        <v>8.2541521874217982E-2</v>
      </c>
      <c r="BM669" s="115">
        <f t="shared" si="2840"/>
        <v>4.1534893807106496E-2</v>
      </c>
      <c r="BN669" s="115">
        <f t="shared" si="2840"/>
        <v>4.1667805467289237E-2</v>
      </c>
      <c r="BO669" s="116">
        <f>SUM(BM669:BN669)</f>
        <v>8.3202699274395733E-2</v>
      </c>
      <c r="BP669" s="115">
        <f t="shared" si="2841"/>
        <v>4.180114244478457E-2</v>
      </c>
      <c r="BQ669" s="115">
        <f t="shared" si="2841"/>
        <v>4.1934906100607877E-2</v>
      </c>
      <c r="BR669" s="116">
        <f>SUM(BP669:BQ669)</f>
        <v>8.3736048545392447E-2</v>
      </c>
      <c r="BS669" s="8">
        <f t="shared" si="2842"/>
        <v>4.2069097800129823E-2</v>
      </c>
      <c r="BT669" s="8">
        <f t="shared" si="2842"/>
        <v>4.220371891309025E-2</v>
      </c>
      <c r="BU669" s="9">
        <f>SUM(BS669:BT669)</f>
        <v>8.4272816713220067E-2</v>
      </c>
      <c r="BV669" s="8">
        <f t="shared" si="2843"/>
        <v>4.2338770813612141E-2</v>
      </c>
      <c r="BW669" s="8">
        <f t="shared" si="2843"/>
        <v>4.2474254880215709E-2</v>
      </c>
      <c r="BX669" s="187">
        <f>SUM(BV669:BW669)</f>
        <v>8.4813025693827843E-2</v>
      </c>
      <c r="BY669" s="8">
        <f t="shared" si="2844"/>
        <v>4.2610172495832405E-2</v>
      </c>
      <c r="BZ669" s="8">
        <f t="shared" si="2844"/>
        <v>4.2746525047819069E-2</v>
      </c>
      <c r="CA669" s="187">
        <f>SUM(BY669:BZ669)</f>
        <v>8.5356697543651466E-2</v>
      </c>
      <c r="CB669" s="8">
        <f t="shared" si="2845"/>
        <v>4.2883313927972094E-2</v>
      </c>
      <c r="CC669" s="8">
        <f t="shared" si="2845"/>
        <v>4.3020540532541611E-2</v>
      </c>
      <c r="CD669" s="187">
        <f>SUM(CB669:CC669)</f>
        <v>8.5903854460513712E-2</v>
      </c>
      <c r="CE669" s="8">
        <f t="shared" si="2846"/>
        <v>4.315820626224575E-2</v>
      </c>
      <c r="CF669" s="8">
        <f t="shared" si="2846"/>
        <v>4.3296312522284934E-2</v>
      </c>
      <c r="CG669" s="187">
        <f>SUM(CE669:CF669)</f>
        <v>8.6454518784530685E-2</v>
      </c>
      <c r="CH669" s="8">
        <f t="shared" si="2847"/>
        <v>4.3434860722356257E-2</v>
      </c>
      <c r="CI669" s="8">
        <f t="shared" si="2847"/>
        <v>4.3573852276667796E-2</v>
      </c>
      <c r="CJ669" s="187">
        <f>SUM(CH669:CI669)</f>
        <v>8.7008712999024046E-2</v>
      </c>
      <c r="CK669" s="8">
        <f t="shared" si="2848"/>
        <v>4.3713288603953133E-2</v>
      </c>
      <c r="CL669" s="8">
        <f t="shared" si="2848"/>
        <v>4.3853171127485796E-2</v>
      </c>
      <c r="CM669" s="187">
        <f>SUM(CK669:CL669)</f>
        <v>8.7566459731438923E-2</v>
      </c>
      <c r="CN669" s="8">
        <f t="shared" si="2849"/>
        <v>4.3993501275093751E-2</v>
      </c>
      <c r="CO669" s="8">
        <f t="shared" si="2849"/>
        <v>4.4134280479174059E-2</v>
      </c>
      <c r="CP669" s="187">
        <f>SUM(CN669:CO669)</f>
        <v>8.8127781754267803E-2</v>
      </c>
      <c r="CQ669" s="8">
        <f t="shared" si="2850"/>
        <v>4.4275510176707424E-2</v>
      </c>
      <c r="CR669" s="8">
        <f t="shared" si="2850"/>
        <v>4.4417191809272887E-2</v>
      </c>
      <c r="CS669" s="187">
        <f>SUM(CQ669:CR669)</f>
        <v>8.869270198598031E-2</v>
      </c>
      <c r="CT669" s="8">
        <f t="shared" si="2851"/>
        <v>4.4559326823062566E-2</v>
      </c>
      <c r="CU669" s="8">
        <f t="shared" si="2851"/>
        <v>4.4701916668896363E-2</v>
      </c>
      <c r="CV669" s="187">
        <f>SUM(CT669:CU669)</f>
        <v>8.9261243491958936E-2</v>
      </c>
      <c r="CW669" s="8">
        <f t="shared" si="2852"/>
        <v>4.4844962802236835E-2</v>
      </c>
      <c r="CX669" s="8">
        <f t="shared" si="2852"/>
        <v>4.4988466683203998E-2</v>
      </c>
      <c r="CY669" s="9">
        <f>SUM(CW669:CX669)</f>
        <v>8.9833429485440833E-2</v>
      </c>
      <c r="CZ669" s="8">
        <f t="shared" si="2853"/>
        <v>4.5132429776590259E-2</v>
      </c>
      <c r="DA669" s="8">
        <f t="shared" si="2853"/>
        <v>4.527685355187535E-2</v>
      </c>
      <c r="DB669" s="9">
        <f>SUM(CZ669:DA669)</f>
        <v>9.0409283328465609E-2</v>
      </c>
      <c r="DC669" s="8">
        <f t="shared" si="2854"/>
        <v>4.5421739483241352E-2</v>
      </c>
      <c r="DD669" s="8">
        <f t="shared" si="2854"/>
        <v>4.5567089049587721E-2</v>
      </c>
      <c r="DE669" s="9">
        <f>SUM(DC669:DD669)</f>
        <v>9.098882853282908E-2</v>
      </c>
      <c r="DF669" s="8">
        <f t="shared" si="2855"/>
        <v>4.5712903734546409E-2</v>
      </c>
      <c r="DG669" s="8">
        <f t="shared" si="2855"/>
        <v>4.5859185026496961E-2</v>
      </c>
      <c r="DH669" s="9">
        <f>SUM(DF669:DG669)</f>
        <v>9.1572088761043363E-2</v>
      </c>
      <c r="DI669" s="8">
        <f t="shared" si="2856"/>
        <v>4.6005934418581751E-2</v>
      </c>
      <c r="DJ669" s="8">
        <f t="shared" si="2856"/>
        <v>4.6153153408721212E-2</v>
      </c>
      <c r="DK669" s="9">
        <f>SUM(DI669:DJ669)</f>
        <v>9.2159087827302963E-2</v>
      </c>
      <c r="DL669" s="8">
        <f t="shared" si="2857"/>
        <v>4.6300843499629124E-2</v>
      </c>
      <c r="DM669" s="8">
        <f t="shared" si="2857"/>
        <v>4.6449006198827941E-2</v>
      </c>
      <c r="DN669" s="9">
        <f>SUM(DL669:DM669)</f>
        <v>9.2749849698457065E-2</v>
      </c>
      <c r="DO669" s="8">
        <f t="shared" si="2858"/>
        <v>4.6597643018664189E-2</v>
      </c>
      <c r="DP669" s="8">
        <f t="shared" si="2858"/>
        <v>4.6746755476323919E-2</v>
      </c>
      <c r="DQ669" s="9">
        <f>SUM(DO669:DP669)</f>
        <v>9.3344398494988101E-2</v>
      </c>
      <c r="DR669" s="8">
        <f t="shared" si="2859"/>
        <v>4.6896345093848164E-2</v>
      </c>
      <c r="DS669" s="8">
        <f t="shared" si="2859"/>
        <v>4.7046413398148475E-2</v>
      </c>
      <c r="DT669" s="9">
        <f>SUM(DR669:DS669)</f>
        <v>9.3942758491996639E-2</v>
      </c>
      <c r="DU669" s="8">
        <f t="shared" si="2860"/>
        <v>4.7196961921022552E-2</v>
      </c>
      <c r="DV669" s="8">
        <f t="shared" si="2860"/>
        <v>4.7347992199169832E-2</v>
      </c>
      <c r="DW669" s="9">
        <f>SUM(DU669:DV669)</f>
        <v>9.4544954120192384E-2</v>
      </c>
      <c r="DX669" s="8">
        <f t="shared" si="2861"/>
        <v>4.7499505774207182E-2</v>
      </c>
      <c r="DY669" s="8">
        <f t="shared" si="2861"/>
        <v>4.765150419268465E-2</v>
      </c>
      <c r="DZ669" s="9">
        <f>SUM(DX669:DY669)</f>
        <v>9.5151009966891825E-2</v>
      </c>
      <c r="EA669" s="8">
        <f t="shared" si="2862"/>
        <v>4.7803989006101243E-2</v>
      </c>
      <c r="EB669" s="8">
        <f t="shared" si="2862"/>
        <v>4.7956961770920771E-2</v>
      </c>
      <c r="EC669" s="9">
        <f>SUM(EA669:EB669)</f>
        <v>9.5760950777022014E-2</v>
      </c>
      <c r="ED669" s="8">
        <f t="shared" si="2863"/>
        <v>4.8110424048587723E-2</v>
      </c>
      <c r="EE669" s="8">
        <f t="shared" si="2863"/>
        <v>4.8264377405543207E-2</v>
      </c>
      <c r="EF669" s="9">
        <f>SUM(ED669:EE669)</f>
        <v>9.6374801454130937E-2</v>
      </c>
      <c r="EG669" s="8">
        <f t="shared" si="2864"/>
        <v>4.8418823413240948E-2</v>
      </c>
      <c r="EH669" s="8">
        <f t="shared" si="2864"/>
        <v>4.8573763648163328E-2</v>
      </c>
      <c r="EI669" s="9">
        <f>SUM(EG669:EH669)</f>
        <v>9.6992587061404276E-2</v>
      </c>
      <c r="EJ669" s="8">
        <f t="shared" si="2865"/>
        <v>4.8729199691837449E-2</v>
      </c>
      <c r="EK669" s="8">
        <f t="shared" si="2865"/>
        <v>4.8885133130851341E-2</v>
      </c>
      <c r="EL669" s="9">
        <f>SUM(EJ669:EK669)</f>
        <v>9.761433282268879E-2</v>
      </c>
      <c r="EM669" s="8">
        <f t="shared" si="2866"/>
        <v>4.9041565556870059E-2</v>
      </c>
      <c r="EN669" s="8">
        <f t="shared" si="2866"/>
        <v>4.9198498566652052E-2</v>
      </c>
      <c r="EO669" s="9">
        <f>SUM(EM669:EN669)</f>
        <v>9.8240064123522111E-2</v>
      </c>
      <c r="EP669" s="8">
        <f t="shared" si="2867"/>
        <v>4.9355933762065339E-2</v>
      </c>
      <c r="EQ669" s="8">
        <f t="shared" si="2867"/>
        <v>4.9513872750103959E-2</v>
      </c>
      <c r="ER669" s="9">
        <f>SUM(EP669:EQ669)</f>
        <v>9.8869806512169298E-2</v>
      </c>
      <c r="ES669" s="8">
        <f t="shared" ref="ES669:ET669" si="2874">ES627</f>
        <v>4.9672317142904293E-2</v>
      </c>
      <c r="ET669" s="8">
        <f t="shared" si="2874"/>
        <v>4.9831268557761592E-2</v>
      </c>
      <c r="EU669" s="9">
        <f>SUM(ES669:ET669)</f>
        <v>9.9503585700665892E-2</v>
      </c>
      <c r="EV669" s="8">
        <f t="shared" ref="EV669:EW669" si="2875">EV627</f>
        <v>4.9990728617146422E-2</v>
      </c>
      <c r="EW669" s="8">
        <f t="shared" si="2875"/>
        <v>5.0150698948721296E-2</v>
      </c>
      <c r="EX669" s="9">
        <f>SUM(EV669:EW669)</f>
        <v>0.10014142756586772</v>
      </c>
      <c r="EY669" s="8">
        <f t="shared" ref="EY669:EZ669" si="2876">EY627</f>
        <v>5.0311181185357205E-2</v>
      </c>
      <c r="EZ669" s="8">
        <f t="shared" si="2876"/>
        <v>5.0472176965150356E-2</v>
      </c>
      <c r="FA669" s="9">
        <f>SUM(EY669:EZ669)</f>
        <v>0.10078335815050757</v>
      </c>
      <c r="FH669" s="35"/>
      <c r="FI669" s="35"/>
      <c r="FJ669" s="35"/>
      <c r="FK669" s="35"/>
      <c r="FL669" s="35"/>
      <c r="FM669" s="35"/>
      <c r="FN669" s="35"/>
      <c r="FO669" s="35"/>
      <c r="FP669" s="35"/>
      <c r="FQ669" s="35"/>
    </row>
    <row r="670" spans="1:173" s="321" customFormat="1" hidden="1" outlineLevel="1">
      <c r="A670" s="1174"/>
      <c r="C670" s="321" t="s">
        <v>327</v>
      </c>
      <c r="D670" s="926"/>
      <c r="E670" s="22"/>
      <c r="F670" s="22"/>
      <c r="G670" s="23"/>
      <c r="H670" s="22"/>
      <c r="I670" s="22"/>
      <c r="J670" s="23"/>
      <c r="K670" s="22"/>
      <c r="L670" s="22"/>
      <c r="M670" s="23"/>
      <c r="N670" s="22"/>
      <c r="O670" s="22"/>
      <c r="P670" s="23"/>
      <c r="Q670" s="22"/>
      <c r="R670" s="22"/>
      <c r="S670" s="23"/>
      <c r="T670" s="22"/>
      <c r="U670" s="22"/>
      <c r="V670" s="23"/>
      <c r="W670" s="22"/>
      <c r="X670" s="22"/>
      <c r="Y670" s="23"/>
      <c r="Z670" s="22"/>
      <c r="AA670" s="22"/>
      <c r="AB670" s="23"/>
      <c r="AC670" s="22"/>
      <c r="AD670" s="22"/>
      <c r="AE670" s="23"/>
      <c r="AF670" s="22"/>
      <c r="AG670" s="22"/>
      <c r="AH670" s="23"/>
      <c r="AI670" s="22"/>
      <c r="AJ670" s="22"/>
      <c r="AK670" s="23"/>
      <c r="AL670" s="22"/>
      <c r="AM670" s="22"/>
      <c r="AN670" s="23"/>
      <c r="AO670" s="22"/>
      <c r="AP670" s="22"/>
      <c r="AQ670" s="23"/>
      <c r="AR670" s="22"/>
      <c r="AS670" s="22"/>
      <c r="AT670" s="23"/>
      <c r="AU670" s="22"/>
      <c r="AV670" s="22"/>
      <c r="AW670" s="23"/>
      <c r="AX670" s="198">
        <f>SUM(AX667:AX669)</f>
        <v>4.4903015673502501E-2</v>
      </c>
      <c r="AY670" s="198">
        <f>SUM(AY667:AY669)</f>
        <v>4.5156796964105655E-2</v>
      </c>
      <c r="AZ670" s="15">
        <f>SUM(AX670:AY670)</f>
        <v>9.005981263760815E-2</v>
      </c>
      <c r="BA670" s="14">
        <f>SUM(BA667:BA669)</f>
        <v>4.5412202260501106E-2</v>
      </c>
      <c r="BB670" s="14">
        <f>SUM(BB667:BB669)</f>
        <v>4.5669241866724559E-2</v>
      </c>
      <c r="BC670" s="52">
        <f>SUM(BA670:BB670)</f>
        <v>9.1081444127225658E-2</v>
      </c>
      <c r="BD670" s="14">
        <f>SUM(BD667:BD669)</f>
        <v>4.5927926152573351E-2</v>
      </c>
      <c r="BE670" s="14">
        <f>SUM(BE667:BE669)</f>
        <v>4.6188265554026678E-2</v>
      </c>
      <c r="BF670" s="52">
        <f>SUM(BD670:BE670)</f>
        <v>9.2116191706600029E-2</v>
      </c>
      <c r="BG670" s="14">
        <f>SUM(BG667:BG669)</f>
        <v>4.6450270573668601E-2</v>
      </c>
      <c r="BH670" s="14">
        <f>SUM(BH667:BH669)</f>
        <v>4.671395178111365E-2</v>
      </c>
      <c r="BI670" s="52">
        <f>SUM(BG670:BH670)</f>
        <v>9.316422235478225E-2</v>
      </c>
      <c r="BJ670" s="149">
        <f>SUM(BJ667:BJ669)</f>
        <v>4.6979319813435227E-2</v>
      </c>
      <c r="BK670" s="149">
        <f>SUM(BK667:BK669)</f>
        <v>4.7246385375596701E-2</v>
      </c>
      <c r="BL670" s="150">
        <f>SUM(BJ670:BK670)</f>
        <v>9.4225705189031922E-2</v>
      </c>
      <c r="BM670" s="149">
        <f>SUM(BM667:BM669)</f>
        <v>4.7380772308241004E-2</v>
      </c>
      <c r="BN670" s="149">
        <f>SUM(BN667:BN669)</f>
        <v>4.7515589027179013E-2</v>
      </c>
      <c r="BO670" s="150">
        <f>SUM(BM670:BN670)</f>
        <v>9.489636133542001E-2</v>
      </c>
      <c r="BP670" s="149">
        <f>SUM(BP667:BP669)</f>
        <v>4.765083689631669E-2</v>
      </c>
      <c r="BQ670" s="149">
        <f>SUM(BQ667:BQ669)</f>
        <v>4.7786517283912609E-2</v>
      </c>
      <c r="BR670" s="150">
        <f>SUM(BP670:BQ670)</f>
        <v>9.5437354180229306E-2</v>
      </c>
      <c r="BS670" s="14">
        <f>SUM(BS667:BS669)</f>
        <v>4.7922631562591932E-2</v>
      </c>
      <c r="BT670" s="14">
        <f>SUM(BT667:BT669)</f>
        <v>4.8059181109360291E-2</v>
      </c>
      <c r="BU670" s="15">
        <f>SUM(BS670:BT670)</f>
        <v>9.5981812671952216E-2</v>
      </c>
      <c r="BV670" s="14">
        <f>SUM(BV667:BV669)</f>
        <v>4.81961673056178E-2</v>
      </c>
      <c r="BW670" s="14">
        <f>SUM(BW667:BW669)</f>
        <v>4.8333591537173148E-2</v>
      </c>
      <c r="BX670" s="198">
        <f>SUM(BV670:BW670)</f>
        <v>9.6529758842790941E-2</v>
      </c>
      <c r="BY670" s="14">
        <f>SUM(BY667:BY669)</f>
        <v>4.8471455194257627E-2</v>
      </c>
      <c r="BZ670" s="14">
        <f>SUM(BZ667:BZ669)</f>
        <v>4.8609759671539285E-2</v>
      </c>
      <c r="CA670" s="198">
        <f>SUM(BY670:BZ670)</f>
        <v>9.7081214865796905E-2</v>
      </c>
      <c r="CB670" s="14">
        <f>SUM(CB667:CB669)</f>
        <v>4.8748506368137115E-2</v>
      </c>
      <c r="CC670" s="14">
        <f>SUM(CC667:CC669)</f>
        <v>4.8887696687635276E-2</v>
      </c>
      <c r="CD670" s="198">
        <f>SUM(CB670:CC670)</f>
        <v>9.7636203055772391E-2</v>
      </c>
      <c r="CE670" s="14">
        <f>SUM(CE667:CE669)</f>
        <v>4.9027332038097352E-2</v>
      </c>
      <c r="CF670" s="14">
        <f>SUM(CF667:CF669)</f>
        <v>4.9167413832080634E-2</v>
      </c>
      <c r="CG670" s="198">
        <f>SUM(CE670:CF670)</f>
        <v>9.8194745870177985E-2</v>
      </c>
      <c r="CH670" s="14">
        <f>SUM(CH667:CH669)</f>
        <v>4.9307943486650595E-2</v>
      </c>
      <c r="CI670" s="14">
        <f>SUM(CI667:CI669)</f>
        <v>4.9448922423395117E-2</v>
      </c>
      <c r="CJ670" s="198">
        <f>SUM(CH670:CI670)</f>
        <v>9.8756865910045705E-2</v>
      </c>
      <c r="CK670" s="14">
        <f>SUM(CK667:CK669)</f>
        <v>4.959035206843912E-2</v>
      </c>
      <c r="CL670" s="14">
        <f>SUM(CL667:CL669)</f>
        <v>4.9732233852458965E-2</v>
      </c>
      <c r="CM670" s="198">
        <f>SUM(CK670:CL670)</f>
        <v>9.9322585920898085E-2</v>
      </c>
      <c r="CN670" s="14">
        <f>SUM(CN667:CN669)</f>
        <v>4.9874569210696967E-2</v>
      </c>
      <c r="CO670" s="14">
        <f>SUM(CO667:CO669)</f>
        <v>5.0017359582976109E-2</v>
      </c>
      <c r="CP670" s="198">
        <f>SUM(CN670:CO670)</f>
        <v>9.9891928793673077E-2</v>
      </c>
      <c r="CQ670" s="14">
        <f>SUM(CQ667:CQ669)</f>
        <v>5.0160606413714552E-2</v>
      </c>
      <c r="CR670" s="14">
        <f>SUM(CR667:CR669)</f>
        <v>5.0304311151940381E-2</v>
      </c>
      <c r="CS670" s="198">
        <f>SUM(CQ670:CR670)</f>
        <v>0.10046491756565493</v>
      </c>
      <c r="CT670" s="14">
        <f>SUM(CT667:CT669)</f>
        <v>5.0448475251306357E-2</v>
      </c>
      <c r="CU670" s="14">
        <f>SUM(CU667:CU669)</f>
        <v>5.0593100170104634E-2</v>
      </c>
      <c r="CV670" s="198">
        <f>SUM(CT670:CU670)</f>
        <v>0.10104157542141098</v>
      </c>
      <c r="CW670" s="14">
        <f>SUM(CW667:CW669)</f>
        <v>5.0738187371281634E-2</v>
      </c>
      <c r="CX670" s="14">
        <f>SUM(CX667:CX669)</f>
        <v>5.0883738322452916E-2</v>
      </c>
      <c r="CY670" s="15">
        <f>SUM(CW670:CX670)</f>
        <v>0.10162192569373454</v>
      </c>
      <c r="CZ670" s="14">
        <f>SUM(CZ667:CZ669)</f>
        <v>5.102975449591806E-2</v>
      </c>
      <c r="DA670" s="14">
        <f>SUM(DA667:DA669)</f>
        <v>5.1176237368675666E-2</v>
      </c>
      <c r="DB670" s="15">
        <f>SUM(CZ670:DA670)</f>
        <v>0.10220599186459373</v>
      </c>
      <c r="DC670" s="14">
        <f>SUM(DC667:DC669)</f>
        <v>5.1323188422438375E-2</v>
      </c>
      <c r="DD670" s="14">
        <f>SUM(DD667:DD669)</f>
        <v>5.1470609143647914E-2</v>
      </c>
      <c r="DE670" s="15">
        <f>SUM(DC670:DD670)</f>
        <v>0.10279379756608628</v>
      </c>
      <c r="DF670" s="14">
        <f>SUM(DF667:DF669)</f>
        <v>5.1618501023490242E-2</v>
      </c>
      <c r="DG670" s="14">
        <f>SUM(DG667:DG669)</f>
        <v>5.176686555791065E-2</v>
      </c>
      <c r="DH670" s="15">
        <f>SUM(DF670:DG670)</f>
        <v>0.10338536658140089</v>
      </c>
      <c r="DI670" s="14">
        <f>SUM(DI667:DI669)</f>
        <v>5.1915704247629028E-2</v>
      </c>
      <c r="DJ670" s="14">
        <f>SUM(DJ667:DJ669)</f>
        <v>5.2065018598155106E-2</v>
      </c>
      <c r="DK670" s="15">
        <f>SUM(DI670:DJ670)</f>
        <v>0.10398072284578413</v>
      </c>
      <c r="DL670" s="14">
        <f>SUM(DL667:DL669)</f>
        <v>5.2214810119803758E-2</v>
      </c>
      <c r="DM670" s="14">
        <f>SUM(DM667:DM669)</f>
        <v>5.2365080327710339E-2</v>
      </c>
      <c r="DN670" s="15">
        <f>SUM(DL670:DM670)</f>
        <v>0.10457989044751409</v>
      </c>
      <c r="DO670" s="14">
        <f>SUM(DO667:DO669)</f>
        <v>5.2515830741846126E-2</v>
      </c>
      <c r="DP670" s="14">
        <f>SUM(DP667:DP669)</f>
        <v>5.2667062887033746E-2</v>
      </c>
      <c r="DQ670" s="15">
        <f>SUM(DO670:DP670)</f>
        <v>0.10518289362887986</v>
      </c>
      <c r="DR670" s="14">
        <f>SUM(DR667:DR669)</f>
        <v>5.2818778292962706E-2</v>
      </c>
      <c r="DS670" s="14">
        <f>SUM(DS667:DS669)</f>
        <v>5.2970978494204887E-2</v>
      </c>
      <c r="DT670" s="15">
        <f>SUM(DR670:DS670)</f>
        <v>0.10578975678716759</v>
      </c>
      <c r="DU670" s="14">
        <f>SUM(DU667:DU669)</f>
        <v>5.3123665030230235E-2</v>
      </c>
      <c r="DV670" s="14">
        <f>SUM(DV667:DV669)</f>
        <v>5.3276839445422351E-2</v>
      </c>
      <c r="DW670" s="15">
        <f>SUM(DU670:DV670)</f>
        <v>0.10640050447565258</v>
      </c>
      <c r="DX670" s="14">
        <f>SUM(DX667:DX669)</f>
        <v>5.3430503289094197E-2</v>
      </c>
      <c r="DY670" s="14">
        <f>SUM(DY667:DY669)</f>
        <v>5.3584658115503871E-2</v>
      </c>
      <c r="DZ670" s="15">
        <f>SUM(DX670:DY670)</f>
        <v>0.10701516140459807</v>
      </c>
      <c r="EA670" s="14">
        <f>SUM(EA667:EA669)</f>
        <v>5.3739305483870403E-2</v>
      </c>
      <c r="EB670" s="14">
        <f>SUM(EB667:EB669)</f>
        <v>5.3894446958389602E-2</v>
      </c>
      <c r="EC670" s="15">
        <f>SUM(EA670:EB670)</f>
        <v>0.10763375244226001</v>
      </c>
      <c r="ED670" s="14">
        <f>SUM(ED667:ED669)</f>
        <v>5.4050084108249984E-2</v>
      </c>
      <c r="EE670" s="14">
        <f>SUM(EE667:EE669)</f>
        <v>5.4206218507648687E-2</v>
      </c>
      <c r="EF670" s="15">
        <f>SUM(ED670:EE670)</f>
        <v>0.10825630261589866</v>
      </c>
      <c r="EG670" s="14">
        <f>SUM(EG667:EG669)</f>
        <v>5.4362851735807523E-2</v>
      </c>
      <c r="EH670" s="14">
        <f>SUM(EH667:EH669)</f>
        <v>5.4519985376988996E-2</v>
      </c>
      <c r="EI670" s="15">
        <f>SUM(EG670:EH670)</f>
        <v>0.10888283711279652</v>
      </c>
      <c r="EJ670" s="14">
        <f>SUM(EJ667:EJ669)</f>
        <v>5.4677621020512428E-2</v>
      </c>
      <c r="EK670" s="14">
        <f>SUM(EK667:EK669)</f>
        <v>5.4835760260770146E-2</v>
      </c>
      <c r="EL670" s="15">
        <f>SUM(EJ670:EK670)</f>
        <v>0.10951338128128257</v>
      </c>
      <c r="EM670" s="14">
        <f>SUM(EM667:EM669)</f>
        <v>5.4994404697243621E-2</v>
      </c>
      <c r="EN670" s="14">
        <f>SUM(EN667:EN669)</f>
        <v>5.515355593451985E-2</v>
      </c>
      <c r="EO670" s="15">
        <f>SUM(EM670:EN670)</f>
        <v>0.11014796063176346</v>
      </c>
      <c r="EP670" s="14">
        <f>SUM(EP667:EP669)</f>
        <v>5.5313215582307534E-2</v>
      </c>
      <c r="EQ670" s="14">
        <f>SUM(EQ667:EQ669)</f>
        <v>5.5473385255453554E-2</v>
      </c>
      <c r="ER670" s="15">
        <f>SUM(EP670:EQ670)</f>
        <v>0.1107866008377611</v>
      </c>
      <c r="ES670" s="14">
        <f>SUM(ES667:ES669)</f>
        <v>5.5634066573959341E-2</v>
      </c>
      <c r="ET670" s="14">
        <f>SUM(ET667:ET669)</f>
        <v>5.5795261162997364E-2</v>
      </c>
      <c r="EU670" s="15">
        <f>SUM(ES670:ET670)</f>
        <v>0.11142932773695671</v>
      </c>
      <c r="EV670" s="14">
        <f>SUM(EV667:EV669)</f>
        <v>5.595697065292763E-2</v>
      </c>
      <c r="EW670" s="14">
        <f>SUM(EW667:EW669)</f>
        <v>5.6119196679314351E-2</v>
      </c>
      <c r="EX670" s="15">
        <f>SUM(EV670:EW670)</f>
        <v>0.11207616733224199</v>
      </c>
      <c r="EY670" s="14">
        <f>SUM(EY667:EY669)</f>
        <v>5.6281940882942437E-2</v>
      </c>
      <c r="EZ670" s="14">
        <f>SUM(EZ667:EZ669)</f>
        <v>5.6445204909834297E-2</v>
      </c>
      <c r="FA670" s="15">
        <f>SUM(EY670:EZ670)</f>
        <v>0.11272714579277673</v>
      </c>
      <c r="FB670" s="993"/>
      <c r="FC670" s="993"/>
      <c r="FD670" s="993"/>
      <c r="FE670" s="993"/>
      <c r="FF670" s="993"/>
      <c r="FG670" s="993"/>
      <c r="FH670" s="993"/>
      <c r="FI670" s="993"/>
      <c r="FJ670" s="35"/>
      <c r="FK670" s="35"/>
      <c r="FL670" s="35"/>
      <c r="FM670" s="35"/>
      <c r="FN670" s="35"/>
      <c r="FO670" s="35"/>
      <c r="FP670" s="35"/>
      <c r="FQ670" s="35"/>
    </row>
    <row r="671" spans="1:173" s="321" customFormat="1" hidden="1" outlineLevel="1">
      <c r="A671" s="1168"/>
      <c r="B671" s="186"/>
      <c r="C671" s="186"/>
      <c r="D671" s="910"/>
      <c r="E671" s="1"/>
      <c r="F671" s="1"/>
      <c r="G671" s="5"/>
      <c r="H671" s="1"/>
      <c r="I671" s="1"/>
      <c r="J671" s="5"/>
      <c r="K671" s="1"/>
      <c r="L671" s="1"/>
      <c r="M671" s="5"/>
      <c r="N671" s="1"/>
      <c r="O671" s="1"/>
      <c r="P671" s="5"/>
      <c r="Q671" s="1"/>
      <c r="R671" s="1"/>
      <c r="S671" s="5"/>
      <c r="T671" s="1"/>
      <c r="U671" s="1"/>
      <c r="V671" s="5"/>
      <c r="W671" s="1"/>
      <c r="X671" s="1"/>
      <c r="Y671" s="5"/>
      <c r="Z671" s="1"/>
      <c r="AA671" s="1"/>
      <c r="AB671" s="5"/>
      <c r="AC671" s="1"/>
      <c r="AD671" s="1"/>
      <c r="AE671" s="5"/>
      <c r="AF671" s="1"/>
      <c r="AG671" s="1"/>
      <c r="AH671" s="5"/>
      <c r="AI671" s="1"/>
      <c r="AJ671" s="1"/>
      <c r="AK671" s="5"/>
      <c r="AL671" s="1"/>
      <c r="AM671" s="1"/>
      <c r="AN671" s="5"/>
      <c r="AO671" s="1"/>
      <c r="AP671" s="1"/>
      <c r="AQ671" s="5"/>
      <c r="AR671" s="1"/>
      <c r="AS671" s="1"/>
      <c r="AT671" s="5"/>
      <c r="AU671" s="1"/>
      <c r="AV671" s="1"/>
      <c r="AW671" s="5"/>
      <c r="AX671" s="3"/>
      <c r="AY671" s="3"/>
      <c r="AZ671" s="2"/>
      <c r="BA671" s="3"/>
      <c r="BB671" s="3"/>
      <c r="BC671" s="973"/>
      <c r="BD671" s="3"/>
      <c r="BE671" s="3"/>
      <c r="BF671" s="973"/>
      <c r="BG671" s="3"/>
      <c r="BH671" s="3"/>
      <c r="BI671" s="978"/>
      <c r="BJ671" s="115"/>
      <c r="BK671" s="115"/>
      <c r="BL671" s="116"/>
      <c r="BM671" s="115"/>
      <c r="BN671" s="115"/>
      <c r="BO671" s="116"/>
      <c r="BP671" s="115"/>
      <c r="BQ671" s="115"/>
      <c r="BR671" s="116"/>
      <c r="BS671" s="8"/>
      <c r="BT671" s="8"/>
      <c r="BU671" s="187"/>
      <c r="BV671" s="8"/>
      <c r="BW671" s="8"/>
      <c r="BX671" s="187"/>
      <c r="BY671" s="8"/>
      <c r="BZ671" s="8"/>
      <c r="CA671" s="187"/>
      <c r="CB671" s="8"/>
      <c r="CC671" s="8"/>
      <c r="CD671" s="187"/>
      <c r="CE671" s="8"/>
      <c r="CF671" s="8"/>
      <c r="CG671" s="187"/>
      <c r="CH671" s="8"/>
      <c r="CI671" s="8"/>
      <c r="CJ671" s="187"/>
      <c r="CK671" s="8"/>
      <c r="CL671" s="8"/>
      <c r="CM671" s="187"/>
      <c r="CN671" s="8"/>
      <c r="CO671" s="8"/>
      <c r="CP671" s="187"/>
      <c r="CQ671" s="8"/>
      <c r="CR671" s="8"/>
      <c r="CS671" s="187"/>
      <c r="CT671" s="8"/>
      <c r="CU671" s="8"/>
      <c r="CV671" s="187"/>
      <c r="CW671" s="8"/>
      <c r="CX671" s="8"/>
      <c r="CY671" s="187"/>
      <c r="CZ671" s="8"/>
      <c r="DA671" s="8"/>
      <c r="DB671" s="187"/>
      <c r="DC671" s="8"/>
      <c r="DD671" s="8"/>
      <c r="DE671" s="187"/>
      <c r="DF671" s="8"/>
      <c r="DG671" s="8"/>
      <c r="DH671" s="187"/>
      <c r="DI671" s="8"/>
      <c r="DJ671" s="8"/>
      <c r="DK671" s="187"/>
      <c r="DL671" s="8"/>
      <c r="DM671" s="8"/>
      <c r="DN671" s="187"/>
      <c r="DO671" s="8"/>
      <c r="DP671" s="8"/>
      <c r="DQ671" s="187"/>
      <c r="DR671" s="8"/>
      <c r="DS671" s="8"/>
      <c r="DT671" s="187"/>
      <c r="DU671" s="8"/>
      <c r="DV671" s="8"/>
      <c r="DW671" s="187"/>
      <c r="DX671" s="8"/>
      <c r="DY671" s="8"/>
      <c r="DZ671" s="187"/>
      <c r="EA671" s="8"/>
      <c r="EB671" s="8"/>
      <c r="EC671" s="187"/>
      <c r="ED671" s="8"/>
      <c r="EE671" s="8"/>
      <c r="EF671" s="187"/>
      <c r="EG671" s="8"/>
      <c r="EH671" s="8"/>
      <c r="EI671" s="187"/>
      <c r="EJ671" s="8"/>
      <c r="EK671" s="8"/>
      <c r="EL671" s="187"/>
      <c r="EM671" s="8"/>
      <c r="EN671" s="8"/>
      <c r="EO671" s="187"/>
      <c r="EP671" s="8"/>
      <c r="EQ671" s="8"/>
      <c r="ER671" s="187"/>
      <c r="ES671" s="8"/>
      <c r="ET671" s="8"/>
      <c r="EU671" s="187"/>
      <c r="EV671" s="8"/>
      <c r="EW671" s="8"/>
      <c r="EX671" s="187"/>
      <c r="EY671" s="8"/>
      <c r="EZ671" s="8"/>
      <c r="FA671" s="187"/>
      <c r="FB671" s="65"/>
      <c r="FC671" s="65"/>
      <c r="FD671" s="65"/>
      <c r="FE671" s="65"/>
      <c r="FF671" s="65"/>
      <c r="FG671" s="65"/>
      <c r="FH671" s="65"/>
      <c r="FI671" s="65"/>
      <c r="FJ671" s="35"/>
      <c r="FK671" s="35"/>
      <c r="FL671" s="35"/>
      <c r="FM671" s="35"/>
      <c r="FN671" s="35"/>
      <c r="FO671" s="35"/>
      <c r="FP671" s="35"/>
      <c r="FQ671" s="35"/>
    </row>
    <row r="672" spans="1:173" s="321" customFormat="1" hidden="1" outlineLevel="1">
      <c r="A672" s="1168"/>
      <c r="B672" s="186"/>
      <c r="C672" s="331" t="s">
        <v>380</v>
      </c>
      <c r="D672" s="910"/>
      <c r="E672" s="1"/>
      <c r="F672" s="1"/>
      <c r="G672" s="5"/>
      <c r="H672" s="1"/>
      <c r="I672" s="1"/>
      <c r="J672" s="5"/>
      <c r="K672" s="1"/>
      <c r="L672" s="1"/>
      <c r="M672" s="5"/>
      <c r="N672" s="1"/>
      <c r="O672" s="1"/>
      <c r="P672" s="5"/>
      <c r="Q672" s="1"/>
      <c r="R672" s="1"/>
      <c r="S672" s="5"/>
      <c r="T672" s="1"/>
      <c r="U672" s="1"/>
      <c r="V672" s="5"/>
      <c r="W672" s="1"/>
      <c r="X672" s="1"/>
      <c r="Y672" s="5"/>
      <c r="Z672" s="1"/>
      <c r="AA672" s="1"/>
      <c r="AB672" s="5"/>
      <c r="AC672" s="1"/>
      <c r="AD672" s="1"/>
      <c r="AE672" s="5"/>
      <c r="AF672" s="1"/>
      <c r="AG672" s="1"/>
      <c r="AH672" s="5"/>
      <c r="AI672" s="1"/>
      <c r="AJ672" s="1"/>
      <c r="AK672" s="5"/>
      <c r="AL672" s="1"/>
      <c r="AM672" s="1"/>
      <c r="AN672" s="5"/>
      <c r="AO672" s="1"/>
      <c r="AP672" s="1"/>
      <c r="AQ672" s="5"/>
      <c r="AR672" s="1"/>
      <c r="AS672" s="1"/>
      <c r="AT672" s="5"/>
      <c r="AU672" s="1"/>
      <c r="AV672" s="1"/>
      <c r="AW672" s="5"/>
      <c r="AX672" s="3"/>
      <c r="AY672" s="3"/>
      <c r="AZ672" s="2"/>
      <c r="BA672" s="3"/>
      <c r="BB672" s="3"/>
      <c r="BC672" s="973"/>
      <c r="BD672" s="3"/>
      <c r="BE672" s="3"/>
      <c r="BF672" s="973"/>
      <c r="BG672" s="3"/>
      <c r="BH672" s="3"/>
      <c r="BI672" s="978"/>
      <c r="BJ672" s="115"/>
      <c r="BK672" s="115"/>
      <c r="BL672" s="116"/>
      <c r="BM672" s="115"/>
      <c r="BN672" s="115"/>
      <c r="BO672" s="116"/>
      <c r="BP672" s="115"/>
      <c r="BQ672" s="115"/>
      <c r="BR672" s="116"/>
      <c r="BS672" s="8"/>
      <c r="BT672" s="8"/>
      <c r="BU672" s="187"/>
      <c r="BV672" s="8"/>
      <c r="BW672" s="8"/>
      <c r="BX672" s="187"/>
      <c r="BY672" s="8"/>
      <c r="BZ672" s="8"/>
      <c r="CA672" s="187"/>
      <c r="CB672" s="8"/>
      <c r="CC672" s="8"/>
      <c r="CD672" s="187"/>
      <c r="CE672" s="8"/>
      <c r="CF672" s="8"/>
      <c r="CG672" s="187"/>
      <c r="CH672" s="8"/>
      <c r="CI672" s="8"/>
      <c r="CJ672" s="187"/>
      <c r="CK672" s="8"/>
      <c r="CL672" s="8"/>
      <c r="CM672" s="187"/>
      <c r="CN672" s="8"/>
      <c r="CO672" s="8"/>
      <c r="CP672" s="187"/>
      <c r="CQ672" s="8"/>
      <c r="CR672" s="8"/>
      <c r="CS672" s="187"/>
      <c r="CT672" s="8"/>
      <c r="CU672" s="8"/>
      <c r="CV672" s="187"/>
      <c r="CW672" s="8"/>
      <c r="CX672" s="8"/>
      <c r="CY672" s="187"/>
      <c r="CZ672" s="8"/>
      <c r="DA672" s="8"/>
      <c r="DB672" s="187"/>
      <c r="DC672" s="8"/>
      <c r="DD672" s="8"/>
      <c r="DE672" s="187"/>
      <c r="DF672" s="8"/>
      <c r="DG672" s="8"/>
      <c r="DH672" s="187"/>
      <c r="DI672" s="8"/>
      <c r="DJ672" s="8"/>
      <c r="DK672" s="187"/>
      <c r="DL672" s="8"/>
      <c r="DM672" s="8"/>
      <c r="DN672" s="187"/>
      <c r="DO672" s="8"/>
      <c r="DP672" s="8"/>
      <c r="DQ672" s="187"/>
      <c r="DR672" s="8"/>
      <c r="DS672" s="8"/>
      <c r="DT672" s="187"/>
      <c r="DU672" s="8"/>
      <c r="DV672" s="8"/>
      <c r="DW672" s="187"/>
      <c r="DX672" s="8"/>
      <c r="DY672" s="8"/>
      <c r="DZ672" s="187"/>
      <c r="EA672" s="8"/>
      <c r="EB672" s="8"/>
      <c r="EC672" s="187"/>
      <c r="ED672" s="8"/>
      <c r="EE672" s="8"/>
      <c r="EF672" s="187"/>
      <c r="EG672" s="8"/>
      <c r="EH672" s="8"/>
      <c r="EI672" s="187"/>
      <c r="EJ672" s="8"/>
      <c r="EK672" s="8"/>
      <c r="EL672" s="187"/>
      <c r="EM672" s="8"/>
      <c r="EN672" s="8"/>
      <c r="EO672" s="187"/>
      <c r="EP672" s="8"/>
      <c r="EQ672" s="8"/>
      <c r="ER672" s="187"/>
      <c r="ES672" s="8"/>
      <c r="ET672" s="8"/>
      <c r="EU672" s="187"/>
      <c r="EV672" s="8"/>
      <c r="EW672" s="8"/>
      <c r="EX672" s="187"/>
      <c r="EY672" s="8"/>
      <c r="EZ672" s="8"/>
      <c r="FA672" s="187"/>
      <c r="FB672" s="261"/>
      <c r="FC672" s="261"/>
      <c r="FD672" s="261"/>
      <c r="FE672" s="261"/>
      <c r="FF672" s="261"/>
      <c r="FG672" s="261"/>
      <c r="FH672" s="261"/>
      <c r="FI672" s="261"/>
      <c r="FJ672" s="35"/>
      <c r="FK672" s="35"/>
      <c r="FL672" s="35"/>
      <c r="FM672" s="35"/>
      <c r="FN672" s="35"/>
      <c r="FO672" s="35"/>
      <c r="FP672" s="35"/>
      <c r="FQ672" s="35"/>
    </row>
    <row r="673" spans="1:173" s="321" customFormat="1" hidden="1" outlineLevel="1">
      <c r="A673" s="1168"/>
      <c r="B673" s="186"/>
      <c r="C673" s="186" t="s">
        <v>316</v>
      </c>
      <c r="D673" s="910"/>
      <c r="E673" s="1"/>
      <c r="F673" s="1"/>
      <c r="G673" s="5"/>
      <c r="H673" s="1"/>
      <c r="I673" s="1"/>
      <c r="J673" s="5"/>
      <c r="K673" s="1"/>
      <c r="L673" s="1"/>
      <c r="M673" s="5"/>
      <c r="N673" s="1"/>
      <c r="O673" s="1"/>
      <c r="P673" s="5"/>
      <c r="Q673" s="1"/>
      <c r="R673" s="1"/>
      <c r="S673" s="5"/>
      <c r="T673" s="1"/>
      <c r="U673" s="1"/>
      <c r="V673" s="5"/>
      <c r="W673" s="1"/>
      <c r="X673" s="1"/>
      <c r="Y673" s="5"/>
      <c r="Z673" s="1"/>
      <c r="AA673" s="1"/>
      <c r="AB673" s="5"/>
      <c r="AC673" s="1"/>
      <c r="AD673" s="1"/>
      <c r="AE673" s="5"/>
      <c r="AF673" s="1"/>
      <c r="AG673" s="1"/>
      <c r="AH673" s="5"/>
      <c r="AI673" s="1"/>
      <c r="AJ673" s="1"/>
      <c r="AK673" s="5"/>
      <c r="AL673" s="1"/>
      <c r="AM673" s="1"/>
      <c r="AN673" s="5"/>
      <c r="AO673" s="1"/>
      <c r="AP673" s="1"/>
      <c r="AQ673" s="5"/>
      <c r="AR673" s="1"/>
      <c r="AS673" s="1"/>
      <c r="AT673" s="5"/>
      <c r="AU673" s="1"/>
      <c r="AV673" s="1"/>
      <c r="AW673" s="5"/>
      <c r="AX673" s="187">
        <f t="shared" ref="AX673:AZ675" si="2877">AX643*AX631</f>
        <v>0.89381305647228082</v>
      </c>
      <c r="AY673" s="187">
        <f t="shared" si="2877"/>
        <v>0.89644980498887428</v>
      </c>
      <c r="AZ673" s="187">
        <f t="shared" si="2877"/>
        <v>0.89328796849115499</v>
      </c>
      <c r="BA673" s="8">
        <f t="shared" ref="BA673:BC675" si="2878">BA643*BA631</f>
        <v>0.89909433191359123</v>
      </c>
      <c r="BB673" s="8">
        <f t="shared" si="2878"/>
        <v>0.90174666019273653</v>
      </c>
      <c r="BC673" s="51">
        <f t="shared" si="2878"/>
        <v>0.89856614134379853</v>
      </c>
      <c r="BD673" s="8">
        <f t="shared" ref="BD673:DO673" si="2879">BD643*BD631</f>
        <v>0.90440681284030511</v>
      </c>
      <c r="BE673" s="8">
        <f t="shared" si="2879"/>
        <v>0.90707481293818393</v>
      </c>
      <c r="BF673" s="51">
        <f t="shared" si="2879"/>
        <v>0.90387550134957206</v>
      </c>
      <c r="BG673" s="8">
        <f t="shared" si="2879"/>
        <v>0.90975068363635181</v>
      </c>
      <c r="BH673" s="8">
        <f t="shared" si="2879"/>
        <v>0.91243444815307895</v>
      </c>
      <c r="BI673" s="51">
        <f t="shared" si="2879"/>
        <v>0.90921623278408514</v>
      </c>
      <c r="BJ673" s="8">
        <f t="shared" si="2879"/>
        <v>0.91512612977513041</v>
      </c>
      <c r="BK673" s="8">
        <f t="shared" si="2879"/>
        <v>0.91782575185796722</v>
      </c>
      <c r="BL673" s="51">
        <f t="shared" si="2879"/>
        <v>0.91458852101177701</v>
      </c>
      <c r="BM673" s="8">
        <f t="shared" si="2879"/>
        <v>0.91917954484195763</v>
      </c>
      <c r="BN673" s="8">
        <f t="shared" si="2879"/>
        <v>0.92053533467059934</v>
      </c>
      <c r="BO673" s="51">
        <f t="shared" si="2879"/>
        <v>0.917283764991914</v>
      </c>
      <c r="BP673" s="8">
        <f t="shared" si="2879"/>
        <v>0.92189312428923831</v>
      </c>
      <c r="BQ673" s="8">
        <f t="shared" si="2879"/>
        <v>0.92325291664756481</v>
      </c>
      <c r="BR673" s="51">
        <f t="shared" si="2879"/>
        <v>0.91999174776413117</v>
      </c>
      <c r="BS673" s="8">
        <f t="shared" si="2879"/>
        <v>0.92461471469961998</v>
      </c>
      <c r="BT673" s="8">
        <f t="shared" si="2879"/>
        <v>0.92597852140380188</v>
      </c>
      <c r="BU673" s="51">
        <f t="shared" si="2879"/>
        <v>0.92270772497708153</v>
      </c>
      <c r="BV673" s="8">
        <f t="shared" si="2879"/>
        <v>0.92734433972287245</v>
      </c>
      <c r="BW673" s="8">
        <f t="shared" si="2879"/>
        <v>0.92871217262396344</v>
      </c>
      <c r="BX673" s="51">
        <f t="shared" si="2879"/>
        <v>0.9254317202317579</v>
      </c>
      <c r="BY673" s="8">
        <f t="shared" si="2879"/>
        <v>0.93008202307858368</v>
      </c>
      <c r="BZ673" s="8">
        <f t="shared" si="2879"/>
        <v>0.93145389406262458</v>
      </c>
      <c r="CA673" s="51">
        <f t="shared" si="2879"/>
        <v>0.92816375719882771</v>
      </c>
      <c r="CB673" s="8">
        <f t="shared" si="2879"/>
        <v>0.93282778855636683</v>
      </c>
      <c r="CC673" s="8">
        <f t="shared" si="2879"/>
        <v>0.93420370954448761</v>
      </c>
      <c r="CD673" s="51">
        <f t="shared" si="2879"/>
        <v>0.93090385961883837</v>
      </c>
      <c r="CE673" s="8">
        <f t="shared" si="2879"/>
        <v>0.93558166001606546</v>
      </c>
      <c r="CF673" s="8">
        <f t="shared" si="2879"/>
        <v>0.93696164296458906</v>
      </c>
      <c r="CG673" s="51">
        <f t="shared" si="2879"/>
        <v>0.93365205130242312</v>
      </c>
      <c r="CH673" s="8">
        <f t="shared" si="2879"/>
        <v>0.93834366138796177</v>
      </c>
      <c r="CI673" s="8">
        <f t="shared" si="2879"/>
        <v>0.93972771828850898</v>
      </c>
      <c r="CJ673" s="51">
        <f t="shared" si="2879"/>
        <v>0.93640835613050932</v>
      </c>
      <c r="CK673" s="8">
        <f t="shared" si="2879"/>
        <v>0.94111381667298422</v>
      </c>
      <c r="CL673" s="8">
        <f t="shared" si="2879"/>
        <v>0.94250195955257687</v>
      </c>
      <c r="CM673" s="51">
        <f t="shared" si="2879"/>
        <v>0.93917279805452403</v>
      </c>
      <c r="CN673" s="8">
        <f t="shared" si="2879"/>
        <v>0.9438921499429167</v>
      </c>
      <c r="CO673" s="8">
        <f t="shared" si="2879"/>
        <v>0.94528439086408245</v>
      </c>
      <c r="CP673" s="51">
        <f t="shared" si="2879"/>
        <v>0.94194540109660319</v>
      </c>
      <c r="CQ673" s="8">
        <f t="shared" si="2879"/>
        <v>0.94667868534060695</v>
      </c>
      <c r="CR673" s="8">
        <f t="shared" si="2879"/>
        <v>0.94807503640148427</v>
      </c>
      <c r="CS673" s="51">
        <f t="shared" si="2879"/>
        <v>0.94472618934980157</v>
      </c>
      <c r="CT673" s="8">
        <f t="shared" si="2879"/>
        <v>0.94947344708017634</v>
      </c>
      <c r="CU673" s="8">
        <f t="shared" si="2879"/>
        <v>0.95087392041461938</v>
      </c>
      <c r="CV673" s="51">
        <f t="shared" si="2879"/>
        <v>0.94751518697829884</v>
      </c>
      <c r="CW673" s="8">
        <f t="shared" si="2879"/>
        <v>0.95227645944723094</v>
      </c>
      <c r="CX673" s="8">
        <f t="shared" si="2879"/>
        <v>0.95368106722491541</v>
      </c>
      <c r="CY673" s="51">
        <f t="shared" si="2879"/>
        <v>0.95031241821761314</v>
      </c>
      <c r="CZ673" s="8">
        <f t="shared" si="2879"/>
        <v>0.95508774679907205</v>
      </c>
      <c r="DA673" s="8">
        <f t="shared" si="2879"/>
        <v>0.95649650122560059</v>
      </c>
      <c r="DB673" s="51">
        <f t="shared" si="2879"/>
        <v>0.95311790737480984</v>
      </c>
      <c r="DC673" s="8">
        <f t="shared" si="2879"/>
        <v>0.95790733356490831</v>
      </c>
      <c r="DD673" s="8">
        <f t="shared" si="2879"/>
        <v>0.95932024688191653</v>
      </c>
      <c r="DE673" s="51">
        <f t="shared" si="2879"/>
        <v>0.95593167882871266</v>
      </c>
      <c r="DF673" s="8">
        <f t="shared" si="2879"/>
        <v>0.96073524424606738</v>
      </c>
      <c r="DG673" s="8">
        <f t="shared" si="2879"/>
        <v>0.96215232873133016</v>
      </c>
      <c r="DH673" s="51">
        <f t="shared" si="2879"/>
        <v>0.95875375703011589</v>
      </c>
      <c r="DI673" s="8">
        <f t="shared" si="2879"/>
        <v>0.96357150341620867</v>
      </c>
      <c r="DJ673" s="8">
        <f t="shared" si="2879"/>
        <v>0.96499277138374751</v>
      </c>
      <c r="DK673" s="51">
        <f t="shared" si="2879"/>
        <v>0.96158416650199718</v>
      </c>
      <c r="DL673" s="8">
        <f t="shared" si="2879"/>
        <v>0.96641613572153839</v>
      </c>
      <c r="DM673" s="8">
        <f t="shared" si="2879"/>
        <v>0.96784159952172755</v>
      </c>
      <c r="DN673" s="51">
        <f t="shared" si="2879"/>
        <v>0.96442293183973005</v>
      </c>
      <c r="DO673" s="8">
        <f t="shared" si="2879"/>
        <v>0.96926916588102219</v>
      </c>
      <c r="DP673" s="8">
        <f t="shared" ref="DP673:ER673" si="2880">DP643*DP631</f>
        <v>0.97069883790069644</v>
      </c>
      <c r="DQ673" s="51">
        <f t="shared" si="2880"/>
        <v>0.96727007771129814</v>
      </c>
      <c r="DR673" s="8">
        <f t="shared" si="2880"/>
        <v>0.9721306186866</v>
      </c>
      <c r="DS673" s="8">
        <f t="shared" si="2880"/>
        <v>0.97356451134916244</v>
      </c>
      <c r="DT673" s="51">
        <f t="shared" si="2880"/>
        <v>0.97012562885750908</v>
      </c>
      <c r="DU673" s="8">
        <f t="shared" si="2880"/>
        <v>0.97500051900340257</v>
      </c>
      <c r="DV673" s="8">
        <f t="shared" si="2880"/>
        <v>0.97643864476893227</v>
      </c>
      <c r="DW673" s="51">
        <f t="shared" si="2880"/>
        <v>0.97298961009220974</v>
      </c>
      <c r="DX673" s="8">
        <f t="shared" si="2880"/>
        <v>0.97787889176996634</v>
      </c>
      <c r="DY673" s="8">
        <f t="shared" si="2880"/>
        <v>0.97932126313532697</v>
      </c>
      <c r="DZ673" s="51">
        <f t="shared" si="2880"/>
        <v>0.97586204630250217</v>
      </c>
      <c r="EA673" s="8">
        <f t="shared" si="2880"/>
        <v>0.98076576199845134</v>
      </c>
      <c r="EB673" s="8">
        <f t="shared" si="2880"/>
        <v>0.98221239149739914</v>
      </c>
      <c r="EC673" s="51">
        <f t="shared" si="2880"/>
        <v>0.97874296244895886</v>
      </c>
      <c r="ED673" s="8">
        <f t="shared" si="2880"/>
        <v>0.98366115477485749</v>
      </c>
      <c r="EE673" s="8">
        <f t="shared" si="2880"/>
        <v>0.98511205497815035</v>
      </c>
      <c r="EF673" s="51">
        <f t="shared" si="2880"/>
        <v>0.98163238356584059</v>
      </c>
      <c r="EG673" s="8">
        <f t="shared" si="2880"/>
        <v>0.98656509525924296</v>
      </c>
      <c r="EH673" s="8">
        <f t="shared" si="2880"/>
        <v>0.98802027877475029</v>
      </c>
      <c r="EI673" s="51">
        <f t="shared" si="2880"/>
        <v>0.98453033476131413</v>
      </c>
      <c r="EJ673" s="8">
        <f t="shared" si="2880"/>
        <v>0.98947760868594292</v>
      </c>
      <c r="EK673" s="8">
        <f t="shared" si="2880"/>
        <v>0.99093708815875448</v>
      </c>
      <c r="EL673" s="51">
        <f t="shared" si="2880"/>
        <v>0.98743684121766928</v>
      </c>
      <c r="EM673" s="8">
        <f t="shared" si="2880"/>
        <v>0.99239872036378873</v>
      </c>
      <c r="EN673" s="8">
        <f t="shared" si="2880"/>
        <v>0.99386250847632518</v>
      </c>
      <c r="EO673" s="51">
        <f t="shared" si="2880"/>
        <v>0.99035192819153883</v>
      </c>
      <c r="EP673" s="8">
        <f t="shared" si="2880"/>
        <v>0.99532845567632755</v>
      </c>
      <c r="EQ673" s="8">
        <f t="shared" si="2880"/>
        <v>0.99679656514845005</v>
      </c>
      <c r="ER673" s="51">
        <f t="shared" si="2880"/>
        <v>0.99327562101411759</v>
      </c>
      <c r="ES673" s="8">
        <f t="shared" ref="ES673:EX673" si="2881">ES643*ES631</f>
        <v>0.99826684008204392</v>
      </c>
      <c r="ET673" s="8">
        <f t="shared" si="2881"/>
        <v>0.99973928367116471</v>
      </c>
      <c r="EU673" s="51">
        <f t="shared" si="2881"/>
        <v>0.99620794509138177</v>
      </c>
      <c r="EV673" s="8">
        <f t="shared" si="2881"/>
        <v>1.0012138991145796</v>
      </c>
      <c r="EW673" s="8">
        <f t="shared" si="2881"/>
        <v>1.0026906896157735</v>
      </c>
      <c r="EX673" s="51">
        <f t="shared" si="2881"/>
        <v>0.99914892590431159</v>
      </c>
      <c r="EY673" s="8">
        <f t="shared" ref="EY673:FA673" si="2882">EY643*EY631</f>
        <v>1.0041696583829567</v>
      </c>
      <c r="EZ673" s="8">
        <f t="shared" si="2882"/>
        <v>1.0056508086290714</v>
      </c>
      <c r="FA673" s="51">
        <f t="shared" si="2882"/>
        <v>1.0020985890091112</v>
      </c>
      <c r="FB673" s="197"/>
      <c r="FC673" s="197"/>
      <c r="FD673" s="197"/>
      <c r="FE673" s="197"/>
      <c r="FF673" s="197"/>
      <c r="FG673" s="197"/>
      <c r="FH673" s="197"/>
      <c r="FI673" s="197"/>
      <c r="FJ673" s="35"/>
      <c r="FK673" s="35"/>
      <c r="FL673" s="35"/>
      <c r="FM673" s="35"/>
      <c r="FN673" s="35"/>
      <c r="FO673" s="35"/>
      <c r="FP673" s="35"/>
      <c r="FQ673" s="35"/>
    </row>
    <row r="674" spans="1:173" s="321" customFormat="1" hidden="1" outlineLevel="1">
      <c r="A674" s="1168"/>
      <c r="B674" s="186"/>
      <c r="C674" s="186" t="s">
        <v>317</v>
      </c>
      <c r="D674" s="910"/>
      <c r="E674" s="1"/>
      <c r="F674" s="1"/>
      <c r="G674" s="5"/>
      <c r="H674" s="1"/>
      <c r="I674" s="1"/>
      <c r="J674" s="5"/>
      <c r="K674" s="1"/>
      <c r="L674" s="1"/>
      <c r="M674" s="5"/>
      <c r="N674" s="1"/>
      <c r="O674" s="1"/>
      <c r="P674" s="5"/>
      <c r="Q674" s="1"/>
      <c r="R674" s="1"/>
      <c r="S674" s="5"/>
      <c r="T674" s="1"/>
      <c r="U674" s="1"/>
      <c r="V674" s="5"/>
      <c r="W674" s="1"/>
      <c r="X674" s="1"/>
      <c r="Y674" s="5"/>
      <c r="Z674" s="1"/>
      <c r="AA674" s="1"/>
      <c r="AB674" s="5"/>
      <c r="AC674" s="1"/>
      <c r="AD674" s="1"/>
      <c r="AE674" s="5"/>
      <c r="AF674" s="1"/>
      <c r="AG674" s="1"/>
      <c r="AH674" s="5"/>
      <c r="AI674" s="1"/>
      <c r="AJ674" s="1"/>
      <c r="AK674" s="5"/>
      <c r="AL674" s="1"/>
      <c r="AM674" s="1"/>
      <c r="AN674" s="5"/>
      <c r="AO674" s="1"/>
      <c r="AP674" s="1"/>
      <c r="AQ674" s="5"/>
      <c r="AR674" s="1"/>
      <c r="AS674" s="1"/>
      <c r="AT674" s="5"/>
      <c r="AU674" s="1"/>
      <c r="AV674" s="1"/>
      <c r="AW674" s="5"/>
      <c r="AX674" s="187">
        <f t="shared" si="2877"/>
        <v>1.9980756646805899</v>
      </c>
      <c r="AY674" s="187">
        <f t="shared" si="2877"/>
        <v>1.9962773965823777</v>
      </c>
      <c r="AZ674" s="187">
        <f t="shared" si="2877"/>
        <v>1.991420284598967</v>
      </c>
      <c r="BA674" s="8">
        <f t="shared" si="2878"/>
        <v>1.9944807469254533</v>
      </c>
      <c r="BB674" s="8">
        <f t="shared" si="2878"/>
        <v>1.9926857142532206</v>
      </c>
      <c r="BC674" s="51">
        <f t="shared" si="2878"/>
        <v>1.9878373411371195</v>
      </c>
      <c r="BD674" s="8">
        <f t="shared" ref="BD674:DO674" si="2883">BD644*BD632</f>
        <v>1.9908922971103924</v>
      </c>
      <c r="BE674" s="8">
        <f t="shared" si="2883"/>
        <v>1.9891004940429931</v>
      </c>
      <c r="BF674" s="51">
        <f t="shared" si="2883"/>
        <v>1.9842608440713188</v>
      </c>
      <c r="BG674" s="8">
        <f t="shared" si="2883"/>
        <v>1.9873103035983544</v>
      </c>
      <c r="BH674" s="8">
        <f t="shared" si="2883"/>
        <v>1.9855217243251158</v>
      </c>
      <c r="BI674" s="51">
        <f t="shared" si="2883"/>
        <v>1.9806907818032746</v>
      </c>
      <c r="BJ674" s="8">
        <f t="shared" si="2883"/>
        <v>1.9837347547732231</v>
      </c>
      <c r="BK674" s="8">
        <f t="shared" si="2883"/>
        <v>1.9819493934939272</v>
      </c>
      <c r="BL674" s="51">
        <f t="shared" si="2883"/>
        <v>1.9771271427555615</v>
      </c>
      <c r="BM674" s="8">
        <f t="shared" si="2883"/>
        <v>1.9810575162668553</v>
      </c>
      <c r="BN674" s="8">
        <f t="shared" si="2883"/>
        <v>1.9801660403845351</v>
      </c>
      <c r="BO674" s="51">
        <f t="shared" si="2883"/>
        <v>1.9753502977316548</v>
      </c>
      <c r="BP674" s="8">
        <f t="shared" si="2883"/>
        <v>1.9792749656663617</v>
      </c>
      <c r="BQ674" s="8">
        <f t="shared" si="2883"/>
        <v>1.9783842919318122</v>
      </c>
      <c r="BR674" s="51">
        <f t="shared" si="2883"/>
        <v>1.9735728824721315</v>
      </c>
      <c r="BS674" s="8">
        <f t="shared" si="2883"/>
        <v>1.9774940190004426</v>
      </c>
      <c r="BT674" s="8">
        <f t="shared" si="2883"/>
        <v>1.9766041466918924</v>
      </c>
      <c r="BU674" s="51">
        <f t="shared" si="2883"/>
        <v>1.9717970665264155</v>
      </c>
      <c r="BV674" s="8">
        <f t="shared" si="2883"/>
        <v>1.9757146748258816</v>
      </c>
      <c r="BW674" s="8">
        <f t="shared" si="2883"/>
        <v>1.97482560322221</v>
      </c>
      <c r="BX674" s="51">
        <f t="shared" si="2883"/>
        <v>1.9700228484554478</v>
      </c>
      <c r="BY674" s="8">
        <f t="shared" si="2883"/>
        <v>1.97393693170076</v>
      </c>
      <c r="BZ674" s="8">
        <f t="shared" si="2883"/>
        <v>1.9730486600814945</v>
      </c>
      <c r="CA674" s="51">
        <f t="shared" si="2883"/>
        <v>1.9682502268214648</v>
      </c>
      <c r="CB674" s="8">
        <f t="shared" si="2883"/>
        <v>1.9721607881844583</v>
      </c>
      <c r="CC674" s="8">
        <f t="shared" si="2883"/>
        <v>1.9712733158297751</v>
      </c>
      <c r="CD674" s="51">
        <f t="shared" si="2883"/>
        <v>1.9664792001879965</v>
      </c>
      <c r="CE674" s="8">
        <f t="shared" si="2883"/>
        <v>1.970386242837652</v>
      </c>
      <c r="CF674" s="8">
        <f t="shared" si="2883"/>
        <v>1.9694995690283754</v>
      </c>
      <c r="CG674" s="51">
        <f t="shared" si="2883"/>
        <v>1.9647097671198657</v>
      </c>
      <c r="CH674" s="8">
        <f t="shared" si="2883"/>
        <v>1.9686132942223125</v>
      </c>
      <c r="CI674" s="8">
        <f t="shared" si="2883"/>
        <v>1.9677274182399123</v>
      </c>
      <c r="CJ674" s="51">
        <f t="shared" si="2883"/>
        <v>1.962941926183186</v>
      </c>
      <c r="CK674" s="8">
        <f t="shared" si="2883"/>
        <v>1.9668419409017048</v>
      </c>
      <c r="CL674" s="8">
        <f t="shared" si="2883"/>
        <v>1.9659568620282988</v>
      </c>
      <c r="CM674" s="51">
        <f t="shared" si="2883"/>
        <v>1.9611756759453611</v>
      </c>
      <c r="CN674" s="8">
        <f t="shared" si="2883"/>
        <v>1.9650721814403862</v>
      </c>
      <c r="CO674" s="8">
        <f t="shared" si="2883"/>
        <v>1.9641878989587382</v>
      </c>
      <c r="CP674" s="51">
        <f t="shared" si="2883"/>
        <v>1.9594110149750847</v>
      </c>
      <c r="CQ674" s="8">
        <f t="shared" si="2883"/>
        <v>1.9633040144042067</v>
      </c>
      <c r="CR674" s="8">
        <f t="shared" si="2883"/>
        <v>1.9624205275977251</v>
      </c>
      <c r="CS674" s="51">
        <f t="shared" si="2883"/>
        <v>1.9576479418423385</v>
      </c>
      <c r="CT674" s="8">
        <f t="shared" si="2883"/>
        <v>1.9615374383603061</v>
      </c>
      <c r="CU674" s="8">
        <f t="shared" si="2883"/>
        <v>1.9606547465130439</v>
      </c>
      <c r="CV674" s="51">
        <f t="shared" si="2883"/>
        <v>1.9558864551183883</v>
      </c>
      <c r="CW674" s="8">
        <f t="shared" si="2883"/>
        <v>1.9597724518771134</v>
      </c>
      <c r="CX674" s="8">
        <f t="shared" si="2883"/>
        <v>1.9588905542737687</v>
      </c>
      <c r="CY674" s="51">
        <f t="shared" si="2883"/>
        <v>1.954126553375789</v>
      </c>
      <c r="CZ674" s="8">
        <f t="shared" si="2883"/>
        <v>1.9580090535243455</v>
      </c>
      <c r="DA674" s="8">
        <f t="shared" si="2883"/>
        <v>1.9571279494502594</v>
      </c>
      <c r="DB674" s="51">
        <f t="shared" si="2883"/>
        <v>1.952368235188378</v>
      </c>
      <c r="DC674" s="8">
        <f t="shared" si="2883"/>
        <v>1.956247241873007</v>
      </c>
      <c r="DD674" s="8">
        <f t="shared" si="2883"/>
        <v>1.9553669306141639</v>
      </c>
      <c r="DE674" s="51">
        <f t="shared" si="2883"/>
        <v>1.9506114991312762</v>
      </c>
      <c r="DF674" s="8">
        <f t="shared" si="2883"/>
        <v>1.9544870154953879</v>
      </c>
      <c r="DG674" s="8">
        <f t="shared" si="2883"/>
        <v>1.9536074963384149</v>
      </c>
      <c r="DH674" s="51">
        <f t="shared" si="2883"/>
        <v>1.948856343780887</v>
      </c>
      <c r="DI674" s="8">
        <f t="shared" si="2883"/>
        <v>1.9527283729650629</v>
      </c>
      <c r="DJ674" s="8">
        <f t="shared" si="2883"/>
        <v>1.9518496451972289</v>
      </c>
      <c r="DK674" s="51">
        <f t="shared" si="2883"/>
        <v>1.9471027677148942</v>
      </c>
      <c r="DL674" s="8">
        <f t="shared" si="2883"/>
        <v>1.9509713128568902</v>
      </c>
      <c r="DM674" s="8">
        <f t="shared" si="2883"/>
        <v>1.9500933757661048</v>
      </c>
      <c r="DN674" s="51">
        <f t="shared" si="2883"/>
        <v>1.9453507695122612</v>
      </c>
      <c r="DO674" s="8">
        <f t="shared" si="2883"/>
        <v>1.94921583374701</v>
      </c>
      <c r="DP674" s="8">
        <f t="shared" ref="DP674:ER674" si="2884">DP644*DP632</f>
        <v>1.9483386866218244</v>
      </c>
      <c r="DQ674" s="51">
        <f t="shared" si="2884"/>
        <v>1.9436003477532311</v>
      </c>
      <c r="DR674" s="8">
        <f t="shared" si="2884"/>
        <v>1.9474619342128445</v>
      </c>
      <c r="DS674" s="8">
        <f t="shared" si="2884"/>
        <v>1.9465855763424489</v>
      </c>
      <c r="DT674" s="51">
        <f t="shared" si="2884"/>
        <v>1.9418515010193242</v>
      </c>
      <c r="DU674" s="8">
        <f t="shared" si="2884"/>
        <v>1.9457096128330948</v>
      </c>
      <c r="DV674" s="8">
        <f t="shared" si="2884"/>
        <v>1.9448340435073197</v>
      </c>
      <c r="DW674" s="51">
        <f t="shared" si="2884"/>
        <v>1.9401042278933358</v>
      </c>
      <c r="DX674" s="8">
        <f t="shared" si="2884"/>
        <v>1.9439588681877418</v>
      </c>
      <c r="DY674" s="8">
        <f t="shared" si="2884"/>
        <v>1.9430840866970571</v>
      </c>
      <c r="DZ674" s="51">
        <f t="shared" si="2884"/>
        <v>1.9383585269593382</v>
      </c>
      <c r="EA674" s="8">
        <f t="shared" si="2884"/>
        <v>1.9422096988580437</v>
      </c>
      <c r="EB674" s="8">
        <f t="shared" si="2884"/>
        <v>1.9413357044935575</v>
      </c>
      <c r="EC674" s="51">
        <f t="shared" si="2884"/>
        <v>1.9366143968026761</v>
      </c>
      <c r="ED674" s="8">
        <f t="shared" si="2884"/>
        <v>1.9404621034265355</v>
      </c>
      <c r="EE674" s="8">
        <f t="shared" si="2884"/>
        <v>1.9395888954799934</v>
      </c>
      <c r="EF674" s="51">
        <f t="shared" si="2884"/>
        <v>1.9348718360099695</v>
      </c>
      <c r="EG674" s="8">
        <f t="shared" si="2884"/>
        <v>1.938716080477028</v>
      </c>
      <c r="EH674" s="8">
        <f t="shared" si="2884"/>
        <v>1.9378436582408127</v>
      </c>
      <c r="EI674" s="51">
        <f t="shared" si="2884"/>
        <v>1.9331308431691074</v>
      </c>
      <c r="EJ674" s="8">
        <f t="shared" si="2884"/>
        <v>1.9369716285946044</v>
      </c>
      <c r="EK674" s="8">
        <f t="shared" si="2884"/>
        <v>1.9360999913617369</v>
      </c>
      <c r="EL674" s="51">
        <f t="shared" si="2884"/>
        <v>1.931391416869251</v>
      </c>
      <c r="EM674" s="8">
        <f t="shared" si="2884"/>
        <v>1.9352287463656246</v>
      </c>
      <c r="EN674" s="8">
        <f t="shared" si="2884"/>
        <v>1.9343578934297601</v>
      </c>
      <c r="EO674" s="51">
        <f t="shared" si="2884"/>
        <v>1.9296535557008312</v>
      </c>
      <c r="EP674" s="8">
        <f t="shared" si="2884"/>
        <v>1.9334874323777171</v>
      </c>
      <c r="EQ674" s="8">
        <f t="shared" si="2884"/>
        <v>1.9326173630331476</v>
      </c>
      <c r="ER674" s="51">
        <f t="shared" si="2884"/>
        <v>1.9279172582555457</v>
      </c>
      <c r="ES674" s="8">
        <f t="shared" ref="ES674:EX674" si="2885">ES644*ES632</f>
        <v>1.9317476852197824</v>
      </c>
      <c r="ET674" s="8">
        <f t="shared" si="2885"/>
        <v>1.9308783987614337</v>
      </c>
      <c r="EU674" s="51">
        <f t="shared" si="2885"/>
        <v>1.9261825231263607</v>
      </c>
      <c r="EV674" s="8">
        <f t="shared" si="2885"/>
        <v>1.9300095034819911</v>
      </c>
      <c r="EW674" s="8">
        <f t="shared" si="2885"/>
        <v>1.9291409992054243</v>
      </c>
      <c r="EX674" s="51">
        <f t="shared" si="2885"/>
        <v>1.9244493489075079</v>
      </c>
      <c r="EY674" s="8">
        <f t="shared" ref="EY674:FA674" si="2886">EY644*EY632</f>
        <v>1.928272885755782</v>
      </c>
      <c r="EZ674" s="8">
        <f t="shared" si="2886"/>
        <v>1.927405162957192</v>
      </c>
      <c r="FA674" s="51">
        <f t="shared" si="2886"/>
        <v>1.9227177341944846</v>
      </c>
      <c r="FJ674" s="35"/>
      <c r="FK674" s="35"/>
      <c r="FL674" s="35"/>
      <c r="FM674" s="35"/>
      <c r="FN674" s="35"/>
      <c r="FO674" s="35"/>
      <c r="FP674" s="35"/>
      <c r="FQ674" s="35"/>
    </row>
    <row r="675" spans="1:173" s="321" customFormat="1" hidden="1" outlineLevel="1">
      <c r="A675" s="1168"/>
      <c r="B675" s="186"/>
      <c r="C675" s="186" t="s">
        <v>431</v>
      </c>
      <c r="D675" s="910"/>
      <c r="E675" s="1"/>
      <c r="F675" s="1"/>
      <c r="G675" s="5"/>
      <c r="H675" s="1"/>
      <c r="I675" s="1"/>
      <c r="J675" s="5"/>
      <c r="K675" s="1"/>
      <c r="L675" s="1"/>
      <c r="M675" s="5"/>
      <c r="N675" s="1"/>
      <c r="O675" s="1"/>
      <c r="P675" s="5"/>
      <c r="Q675" s="1"/>
      <c r="R675" s="1"/>
      <c r="S675" s="5"/>
      <c r="T675" s="1"/>
      <c r="U675" s="1"/>
      <c r="V675" s="5"/>
      <c r="W675" s="1"/>
      <c r="X675" s="1"/>
      <c r="Y675" s="5"/>
      <c r="Z675" s="1"/>
      <c r="AA675" s="1"/>
      <c r="AB675" s="5"/>
      <c r="AC675" s="1"/>
      <c r="AD675" s="1"/>
      <c r="AE675" s="5"/>
      <c r="AF675" s="1"/>
      <c r="AG675" s="1"/>
      <c r="AH675" s="5"/>
      <c r="AI675" s="1"/>
      <c r="AJ675" s="1"/>
      <c r="AK675" s="5"/>
      <c r="AL675" s="1"/>
      <c r="AM675" s="1"/>
      <c r="AN675" s="5"/>
      <c r="AO675" s="1"/>
      <c r="AP675" s="1"/>
      <c r="AQ675" s="5"/>
      <c r="AR675" s="1"/>
      <c r="AS675" s="1"/>
      <c r="AT675" s="5"/>
      <c r="AU675" s="1"/>
      <c r="AV675" s="1"/>
      <c r="AW675" s="5"/>
      <c r="AX675" s="187">
        <f t="shared" si="2877"/>
        <v>10.472338279203697</v>
      </c>
      <c r="AY675" s="187">
        <f t="shared" si="2877"/>
        <v>10.5393612441906</v>
      </c>
      <c r="AZ675" s="187">
        <f t="shared" si="2877"/>
        <v>10.485414031042295</v>
      </c>
      <c r="BA675" s="8">
        <f t="shared" si="2878"/>
        <v>10.606813156153418</v>
      </c>
      <c r="BB675" s="8">
        <f t="shared" si="2878"/>
        <v>10.674696760352798</v>
      </c>
      <c r="BC675" s="51">
        <f t="shared" si="2878"/>
        <v>10.620056813198346</v>
      </c>
      <c r="BD675" s="8">
        <f t="shared" ref="BD675:DO675" si="2887">BD645*BD633</f>
        <v>10.743014819619058</v>
      </c>
      <c r="BE675" s="8">
        <f t="shared" si="2887"/>
        <v>10.81177011446462</v>
      </c>
      <c r="BF675" s="51">
        <f t="shared" si="2887"/>
        <v>10.756428537934354</v>
      </c>
      <c r="BG675" s="8">
        <f t="shared" si="2887"/>
        <v>10.880965443197192</v>
      </c>
      <c r="BH675" s="8">
        <f t="shared" si="2887"/>
        <v>10.950603622033654</v>
      </c>
      <c r="BI675" s="51">
        <f t="shared" si="2887"/>
        <v>10.894551406532827</v>
      </c>
      <c r="BJ675" s="8">
        <f t="shared" si="2887"/>
        <v>11.020687485214671</v>
      </c>
      <c r="BK675" s="8">
        <f t="shared" si="2887"/>
        <v>11.091219885120042</v>
      </c>
      <c r="BL675" s="51">
        <f t="shared" si="2887"/>
        <v>11.034447905362057</v>
      </c>
      <c r="BM675" s="8">
        <f t="shared" si="2887"/>
        <v>11.126711788752427</v>
      </c>
      <c r="BN675" s="8">
        <f t="shared" si="2887"/>
        <v>11.162317266476437</v>
      </c>
      <c r="BO675" s="51">
        <f t="shared" si="2887"/>
        <v>11.104999113022631</v>
      </c>
      <c r="BP675" s="8">
        <f t="shared" si="2887"/>
        <v>11.198036681729162</v>
      </c>
      <c r="BQ675" s="8">
        <f t="shared" si="2887"/>
        <v>11.233870399110698</v>
      </c>
      <c r="BR675" s="51">
        <f t="shared" si="2887"/>
        <v>11.176184822536895</v>
      </c>
      <c r="BS675" s="8">
        <f t="shared" si="2887"/>
        <v>11.269818784387853</v>
      </c>
      <c r="BT675" s="8">
        <f t="shared" si="2887"/>
        <v>11.305882204497896</v>
      </c>
      <c r="BU675" s="51">
        <f t="shared" si="2887"/>
        <v>11.247826849533716</v>
      </c>
      <c r="BV675" s="8">
        <f t="shared" si="2887"/>
        <v>11.34206102755229</v>
      </c>
      <c r="BW675" s="8">
        <f t="shared" si="2887"/>
        <v>11.378355622840461</v>
      </c>
      <c r="BX675" s="51">
        <f t="shared" si="2887"/>
        <v>11.319928119117675</v>
      </c>
      <c r="BY675" s="8">
        <f t="shared" si="2887"/>
        <v>11.41476636083355</v>
      </c>
      <c r="BZ675" s="8">
        <f t="shared" si="2887"/>
        <v>11.451293613188216</v>
      </c>
      <c r="CA675" s="51">
        <f t="shared" si="2887"/>
        <v>11.392491575143969</v>
      </c>
      <c r="CB675" s="8">
        <f t="shared" si="2887"/>
        <v>11.487937752750423</v>
      </c>
      <c r="CC675" s="8">
        <f t="shared" si="2887"/>
        <v>11.524699153559224</v>
      </c>
      <c r="CD675" s="51">
        <f t="shared" si="2887"/>
        <v>11.465520180338622</v>
      </c>
      <c r="CE675" s="8">
        <f t="shared" si="2887"/>
        <v>11.561578190850614</v>
      </c>
      <c r="CF675" s="8">
        <f t="shared" si="2887"/>
        <v>11.598575241061338</v>
      </c>
      <c r="CG675" s="51">
        <f t="shared" si="2887"/>
        <v>11.539016916419438</v>
      </c>
      <c r="CH675" s="8">
        <f t="shared" si="2887"/>
        <v>11.635690681832736</v>
      </c>
      <c r="CI675" s="8">
        <f t="shared" si="2887"/>
        <v>11.672924892014601</v>
      </c>
      <c r="CJ675" s="51">
        <f t="shared" si="2887"/>
        <v>11.612984784217748</v>
      </c>
      <c r="CK675" s="8">
        <f t="shared" si="2887"/>
        <v>11.710278251669049</v>
      </c>
      <c r="CL675" s="8">
        <f t="shared" si="2887"/>
        <v>11.747751142074389</v>
      </c>
      <c r="CM675" s="51">
        <f t="shared" si="2887"/>
        <v>11.687426803800935</v>
      </c>
      <c r="CN675" s="8">
        <f t="shared" si="2887"/>
        <v>11.785343945729029</v>
      </c>
      <c r="CO675" s="8">
        <f t="shared" si="2887"/>
        <v>11.823057046355363</v>
      </c>
      <c r="CP675" s="51">
        <f t="shared" si="2887"/>
        <v>11.762346014595733</v>
      </c>
      <c r="CQ675" s="8">
        <f t="shared" si="2887"/>
        <v>11.860890828903702</v>
      </c>
      <c r="CR675" s="8">
        <f t="shared" si="2887"/>
        <v>11.898845679556196</v>
      </c>
      <c r="CS675" s="51">
        <f t="shared" si="2887"/>
        <v>11.837745475512339</v>
      </c>
      <c r="CT675" s="8">
        <f t="shared" si="2887"/>
        <v>11.936921985730775</v>
      </c>
      <c r="CU675" s="8">
        <f t="shared" si="2887"/>
        <v>11.975120136085113</v>
      </c>
      <c r="CV675" s="51">
        <f t="shared" si="2887"/>
        <v>11.913628265069287</v>
      </c>
      <c r="CW675" s="8">
        <f t="shared" si="2887"/>
        <v>12.013440520520589</v>
      </c>
      <c r="CX675" s="8">
        <f t="shared" si="2887"/>
        <v>12.051883530186256</v>
      </c>
      <c r="CY675" s="51">
        <f t="shared" si="2887"/>
        <v>11.989997481519168</v>
      </c>
      <c r="CZ675" s="8">
        <f t="shared" si="2887"/>
        <v>12.090449557482854</v>
      </c>
      <c r="DA675" s="8">
        <f t="shared" si="2887"/>
        <v>12.129138996066798</v>
      </c>
      <c r="DB675" s="51">
        <f t="shared" si="2887"/>
        <v>12.066856242975106</v>
      </c>
      <c r="DC675" s="8">
        <f t="shared" si="2887"/>
        <v>12.167952240854214</v>
      </c>
      <c r="DD675" s="8">
        <f t="shared" si="2887"/>
        <v>12.206889688024948</v>
      </c>
      <c r="DE675" s="51">
        <f t="shared" si="2887"/>
        <v>12.144207687538074</v>
      </c>
      <c r="DF675" s="8">
        <f t="shared" si="2887"/>
        <v>12.245951735026628</v>
      </c>
      <c r="DG675" s="8">
        <f t="shared" si="2887"/>
        <v>12.285138780578714</v>
      </c>
      <c r="DH675" s="51">
        <f t="shared" si="2887"/>
        <v>12.222054973425038</v>
      </c>
      <c r="DI675" s="8">
        <f t="shared" si="2887"/>
        <v>12.324451224676565</v>
      </c>
      <c r="DJ675" s="8">
        <f t="shared" si="2887"/>
        <v>12.363889468595531</v>
      </c>
      <c r="DK675" s="51">
        <f t="shared" si="2887"/>
        <v>12.300401279097887</v>
      </c>
      <c r="DL675" s="8">
        <f t="shared" si="2887"/>
        <v>12.403453914895037</v>
      </c>
      <c r="DM675" s="8">
        <f t="shared" si="2887"/>
        <v>12.443144967422702</v>
      </c>
      <c r="DN675" s="51">
        <f t="shared" si="2887"/>
        <v>12.379249803393213</v>
      </c>
      <c r="DO675" s="8">
        <f t="shared" si="2887"/>
        <v>12.482963031318453</v>
      </c>
      <c r="DP675" s="8">
        <f t="shared" ref="DP675:ER675" si="2888">DP645*DP633</f>
        <v>12.522908513018674</v>
      </c>
      <c r="DQ675" s="51">
        <f t="shared" si="2888"/>
        <v>12.458603765652919</v>
      </c>
      <c r="DR675" s="8">
        <f t="shared" si="2888"/>
        <v>12.562981820260337</v>
      </c>
      <c r="DS675" s="8">
        <f t="shared" si="2888"/>
        <v>12.60318336208517</v>
      </c>
      <c r="DT675" s="51">
        <f t="shared" si="2888"/>
        <v>12.53846640585566</v>
      </c>
      <c r="DU675" s="8">
        <f t="shared" si="2888"/>
        <v>12.643513548843842</v>
      </c>
      <c r="DV675" s="8">
        <f t="shared" si="2888"/>
        <v>12.683972792200146</v>
      </c>
      <c r="DW675" s="51">
        <f t="shared" si="2888"/>
        <v>12.618840984749134</v>
      </c>
      <c r="DX675" s="8">
        <f t="shared" si="2888"/>
        <v>12.724561505135187</v>
      </c>
      <c r="DY675" s="8">
        <f t="shared" si="2888"/>
        <v>12.765280101951619</v>
      </c>
      <c r="DZ675" s="51">
        <f t="shared" si="2888"/>
        <v>12.699730783983213</v>
      </c>
      <c r="EA675" s="8">
        <f t="shared" si="2888"/>
        <v>12.806128998277865</v>
      </c>
      <c r="EB675" s="8">
        <f t="shared" si="2888"/>
        <v>12.847108611072358</v>
      </c>
      <c r="EC675" s="51">
        <f t="shared" si="2888"/>
        <v>12.781139106243938</v>
      </c>
      <c r="ED675" s="8">
        <f t="shared" si="2888"/>
        <v>12.88821935862779</v>
      </c>
      <c r="EE675" s="8">
        <f t="shared" si="2888"/>
        <v>12.9294616605754</v>
      </c>
      <c r="EF675" s="51">
        <f t="shared" si="2888"/>
        <v>12.86306927538835</v>
      </c>
      <c r="EG675" s="8">
        <f t="shared" si="2888"/>
        <v>12.970835937889241</v>
      </c>
      <c r="EH675" s="8">
        <f t="shared" si="2888"/>
        <v>13.012342612890491</v>
      </c>
      <c r="EI675" s="51">
        <f t="shared" si="2888"/>
        <v>12.945524636580217</v>
      </c>
      <c r="EJ675" s="8">
        <f t="shared" si="2888"/>
        <v>13.05398210925174</v>
      </c>
      <c r="EK675" s="8">
        <f t="shared" si="2888"/>
        <v>13.095754852001345</v>
      </c>
      <c r="EL675" s="51">
        <f t="shared" si="2888"/>
        <v>13.028508556426612</v>
      </c>
      <c r="EM675" s="8">
        <f t="shared" si="2888"/>
        <v>13.137661267527749</v>
      </c>
      <c r="EN675" s="8">
        <f t="shared" si="2888"/>
        <v>13.179701783583841</v>
      </c>
      <c r="EO675" s="51">
        <f t="shared" si="2888"/>
        <v>13.112024423115361</v>
      </c>
      <c r="EP675" s="8">
        <f t="shared" si="2888"/>
        <v>13.221876829291313</v>
      </c>
      <c r="EQ675" s="8">
        <f t="shared" si="2888"/>
        <v>13.264186835145045</v>
      </c>
      <c r="ER675" s="51">
        <f t="shared" si="2888"/>
        <v>13.196075646553393</v>
      </c>
      <c r="ES675" s="8">
        <f t="shared" ref="ES675:EX675" si="2889">ES645*ES633</f>
        <v>13.30663223301751</v>
      </c>
      <c r="ET675" s="8">
        <f t="shared" si="2889"/>
        <v>13.349213456163163</v>
      </c>
      <c r="EU675" s="51">
        <f t="shared" si="2889"/>
        <v>13.280665658505958</v>
      </c>
      <c r="EV675" s="8">
        <f t="shared" si="2889"/>
        <v>13.391930939222888</v>
      </c>
      <c r="EW675" s="8">
        <f t="shared" si="2889"/>
        <v>13.434785118228401</v>
      </c>
      <c r="EX675" s="51">
        <f t="shared" si="2889"/>
        <v>13.365797912736738</v>
      </c>
      <c r="EY675" s="8">
        <f t="shared" ref="EY675:FA675" si="2890">EY645*EY633</f>
        <v>13.477776430606733</v>
      </c>
      <c r="EZ675" s="8">
        <f t="shared" si="2890"/>
        <v>13.520905315184677</v>
      </c>
      <c r="FA675" s="51">
        <f t="shared" si="2890"/>
        <v>13.451475885148882</v>
      </c>
      <c r="FJ675" s="35"/>
      <c r="FK675" s="35"/>
      <c r="FL675" s="35"/>
      <c r="FM675" s="35"/>
      <c r="FN675" s="35"/>
      <c r="FO675" s="35"/>
      <c r="FP675" s="35"/>
      <c r="FQ675" s="35"/>
    </row>
    <row r="676" spans="1:173" s="321" customFormat="1" hidden="1" outlineLevel="1">
      <c r="A676" s="1168"/>
      <c r="B676" s="186"/>
      <c r="C676" s="186" t="s">
        <v>327</v>
      </c>
      <c r="D676" s="910"/>
      <c r="E676" s="1"/>
      <c r="F676" s="1"/>
      <c r="G676" s="5"/>
      <c r="H676" s="1"/>
      <c r="I676" s="1"/>
      <c r="J676" s="5"/>
      <c r="K676" s="1"/>
      <c r="L676" s="1"/>
      <c r="M676" s="5"/>
      <c r="N676" s="1"/>
      <c r="O676" s="1"/>
      <c r="P676" s="5"/>
      <c r="Q676" s="1"/>
      <c r="R676" s="1"/>
      <c r="S676" s="5"/>
      <c r="T676" s="1"/>
      <c r="U676" s="1"/>
      <c r="V676" s="5"/>
      <c r="W676" s="1"/>
      <c r="X676" s="1"/>
      <c r="Y676" s="5"/>
      <c r="Z676" s="1"/>
      <c r="AA676" s="1"/>
      <c r="AB676" s="5"/>
      <c r="AC676" s="1"/>
      <c r="AD676" s="1"/>
      <c r="AE676" s="5"/>
      <c r="AF676" s="1"/>
      <c r="AG676" s="1"/>
      <c r="AH676" s="5"/>
      <c r="AI676" s="1"/>
      <c r="AJ676" s="1"/>
      <c r="AK676" s="5"/>
      <c r="AL676" s="1"/>
      <c r="AM676" s="1"/>
      <c r="AN676" s="5"/>
      <c r="AO676" s="1"/>
      <c r="AP676" s="1"/>
      <c r="AQ676" s="5"/>
      <c r="AR676" s="1"/>
      <c r="AS676" s="1"/>
      <c r="AT676" s="5"/>
      <c r="AU676" s="1"/>
      <c r="AV676" s="1"/>
      <c r="AW676" s="5"/>
      <c r="AX676" s="206">
        <f>SUM(AX673:AX675)</f>
        <v>13.364227000356568</v>
      </c>
      <c r="AY676" s="206">
        <f>SUM(AY673:AY675)</f>
        <v>13.432088445761853</v>
      </c>
      <c r="AZ676" s="9">
        <f>SUM(AX676:AY676)</f>
        <v>26.79631544611842</v>
      </c>
      <c r="BA676" s="16">
        <f>SUM(BA673:BA675)</f>
        <v>13.500388234992462</v>
      </c>
      <c r="BB676" s="16">
        <f>SUM(BB673:BB675)</f>
        <v>13.569129134798755</v>
      </c>
      <c r="BC676" s="51">
        <f>SUM(BC673:BC675)</f>
        <v>13.506460295679265</v>
      </c>
      <c r="BD676" s="16">
        <f t="shared" ref="BD676:DO676" si="2891">SUM(BD673:BD675)</f>
        <v>13.638313929569755</v>
      </c>
      <c r="BE676" s="16">
        <f t="shared" si="2891"/>
        <v>13.707945421445796</v>
      </c>
      <c r="BF676" s="51">
        <f t="shared" si="2891"/>
        <v>13.644564883355246</v>
      </c>
      <c r="BG676" s="16">
        <f t="shared" si="2891"/>
        <v>13.778026430431899</v>
      </c>
      <c r="BH676" s="16">
        <f t="shared" si="2891"/>
        <v>13.848559794511848</v>
      </c>
      <c r="BI676" s="51">
        <f t="shared" si="2891"/>
        <v>13.784458421120187</v>
      </c>
      <c r="BJ676" s="16">
        <f t="shared" si="2891"/>
        <v>13.919548369763024</v>
      </c>
      <c r="BK676" s="16">
        <f t="shared" si="2891"/>
        <v>13.990995030471936</v>
      </c>
      <c r="BL676" s="51">
        <f t="shared" si="2891"/>
        <v>13.926163569129397</v>
      </c>
      <c r="BM676" s="16">
        <f t="shared" si="2891"/>
        <v>14.02694884986124</v>
      </c>
      <c r="BN676" s="16">
        <f t="shared" si="2891"/>
        <v>14.063018641531571</v>
      </c>
      <c r="BO676" s="51">
        <f t="shared" si="2891"/>
        <v>13.997633175746198</v>
      </c>
      <c r="BP676" s="16">
        <f t="shared" si="2891"/>
        <v>14.099204771684763</v>
      </c>
      <c r="BQ676" s="16">
        <f t="shared" si="2891"/>
        <v>14.135507607690075</v>
      </c>
      <c r="BR676" s="51">
        <f t="shared" si="2891"/>
        <v>14.069749452773157</v>
      </c>
      <c r="BS676" s="16">
        <f t="shared" si="2891"/>
        <v>14.171927518087916</v>
      </c>
      <c r="BT676" s="16">
        <f t="shared" si="2891"/>
        <v>14.208464872593591</v>
      </c>
      <c r="BU676" s="51">
        <f t="shared" si="2891"/>
        <v>14.142331641037213</v>
      </c>
      <c r="BV676" s="16">
        <f t="shared" si="2891"/>
        <v>14.245120042101044</v>
      </c>
      <c r="BW676" s="16">
        <f t="shared" si="2891"/>
        <v>14.281893398686634</v>
      </c>
      <c r="BX676" s="51">
        <f t="shared" si="2891"/>
        <v>14.21538268780488</v>
      </c>
      <c r="BY676" s="16">
        <f t="shared" si="2891"/>
        <v>14.318785315612894</v>
      </c>
      <c r="BZ676" s="16">
        <f t="shared" si="2891"/>
        <v>14.355796167332336</v>
      </c>
      <c r="CA676" s="51">
        <f t="shared" si="2891"/>
        <v>14.288905559164263</v>
      </c>
      <c r="CB676" s="16">
        <f t="shared" si="2891"/>
        <v>14.392926329491248</v>
      </c>
      <c r="CC676" s="16">
        <f t="shared" si="2891"/>
        <v>14.430176178933486</v>
      </c>
      <c r="CD676" s="51">
        <f t="shared" si="2891"/>
        <v>14.362903240145457</v>
      </c>
      <c r="CE676" s="16">
        <f t="shared" si="2891"/>
        <v>14.467546093704332</v>
      </c>
      <c r="CF676" s="16">
        <f t="shared" si="2891"/>
        <v>14.505036453054302</v>
      </c>
      <c r="CG676" s="51">
        <f t="shared" si="2891"/>
        <v>14.437378734841726</v>
      </c>
      <c r="CH676" s="16">
        <f t="shared" si="2891"/>
        <v>14.542647637443011</v>
      </c>
      <c r="CI676" s="16">
        <f t="shared" si="2891"/>
        <v>14.580380028543022</v>
      </c>
      <c r="CJ676" s="51">
        <f t="shared" si="2891"/>
        <v>14.512335066531442</v>
      </c>
      <c r="CK676" s="16">
        <f t="shared" si="2891"/>
        <v>14.618234009243738</v>
      </c>
      <c r="CL676" s="16">
        <f t="shared" si="2891"/>
        <v>14.656209963655265</v>
      </c>
      <c r="CM676" s="51">
        <f t="shared" si="2891"/>
        <v>14.587775277800821</v>
      </c>
      <c r="CN676" s="16">
        <f t="shared" si="2891"/>
        <v>14.694308277112331</v>
      </c>
      <c r="CO676" s="16">
        <f t="shared" si="2891"/>
        <v>14.732529336178183</v>
      </c>
      <c r="CP676" s="51">
        <f t="shared" si="2891"/>
        <v>14.663702430667421</v>
      </c>
      <c r="CQ676" s="16">
        <f t="shared" si="2891"/>
        <v>14.770873528648515</v>
      </c>
      <c r="CR676" s="16">
        <f t="shared" si="2891"/>
        <v>14.809341243555405</v>
      </c>
      <c r="CS676" s="51">
        <f t="shared" si="2891"/>
        <v>14.740119606704479</v>
      </c>
      <c r="CT676" s="16">
        <f t="shared" si="2891"/>
        <v>14.847932871171258</v>
      </c>
      <c r="CU676" s="16">
        <f t="shared" si="2891"/>
        <v>14.886648803012777</v>
      </c>
      <c r="CV676" s="51">
        <f t="shared" si="2891"/>
        <v>14.817029907165974</v>
      </c>
      <c r="CW676" s="16">
        <f t="shared" si="2891"/>
        <v>14.925489431844934</v>
      </c>
      <c r="CX676" s="16">
        <f t="shared" si="2891"/>
        <v>14.964455151684941</v>
      </c>
      <c r="CY676" s="51">
        <f t="shared" si="2891"/>
        <v>14.89443645311257</v>
      </c>
      <c r="CZ676" s="16">
        <f t="shared" si="2891"/>
        <v>15.003546357806272</v>
      </c>
      <c r="DA676" s="16">
        <f t="shared" si="2891"/>
        <v>15.042763446742658</v>
      </c>
      <c r="DB676" s="51">
        <f t="shared" si="2891"/>
        <v>14.972342385538294</v>
      </c>
      <c r="DC676" s="16">
        <f t="shared" si="2891"/>
        <v>15.08210681629213</v>
      </c>
      <c r="DD676" s="16">
        <f t="shared" si="2891"/>
        <v>15.121576865521028</v>
      </c>
      <c r="DE676" s="51">
        <f t="shared" si="2891"/>
        <v>15.050750865498063</v>
      </c>
      <c r="DF676" s="16">
        <f t="shared" si="2891"/>
        <v>15.161173994768083</v>
      </c>
      <c r="DG676" s="16">
        <f t="shared" si="2891"/>
        <v>15.20089860564846</v>
      </c>
      <c r="DH676" s="51">
        <f t="shared" si="2891"/>
        <v>15.129665074236041</v>
      </c>
      <c r="DI676" s="16">
        <f t="shared" si="2891"/>
        <v>15.240751101057837</v>
      </c>
      <c r="DJ676" s="16">
        <f t="shared" si="2891"/>
        <v>15.280731885176507</v>
      </c>
      <c r="DK676" s="51">
        <f t="shared" si="2891"/>
        <v>15.209088213314779</v>
      </c>
      <c r="DL676" s="16">
        <f t="shared" si="2891"/>
        <v>15.320841363473466</v>
      </c>
      <c r="DM676" s="16">
        <f t="shared" si="2891"/>
        <v>15.361079942710536</v>
      </c>
      <c r="DN676" s="51">
        <f t="shared" si="2891"/>
        <v>15.289023504745204</v>
      </c>
      <c r="DO676" s="16">
        <f t="shared" si="2891"/>
        <v>15.401448030946487</v>
      </c>
      <c r="DP676" s="16">
        <f t="shared" ref="DP676:ER676" si="2892">SUM(DP673:DP675)</f>
        <v>15.441946037541195</v>
      </c>
      <c r="DQ676" s="51">
        <f t="shared" si="2892"/>
        <v>15.369474191117448</v>
      </c>
      <c r="DR676" s="16">
        <f t="shared" si="2892"/>
        <v>15.482574373159782</v>
      </c>
      <c r="DS676" s="16">
        <f t="shared" si="2892"/>
        <v>15.523333449776782</v>
      </c>
      <c r="DT676" s="51">
        <f t="shared" si="2892"/>
        <v>15.450443535732493</v>
      </c>
      <c r="DU676" s="16">
        <f t="shared" si="2892"/>
        <v>15.564223680680339</v>
      </c>
      <c r="DV676" s="16">
        <f t="shared" si="2892"/>
        <v>15.605245480476398</v>
      </c>
      <c r="DW676" s="51">
        <f t="shared" si="2892"/>
        <v>15.53193482273468</v>
      </c>
      <c r="DX676" s="16">
        <f t="shared" si="2892"/>
        <v>15.646399265092896</v>
      </c>
      <c r="DY676" s="16">
        <f t="shared" si="2892"/>
        <v>15.687685451784002</v>
      </c>
      <c r="DZ676" s="51">
        <f t="shared" si="2892"/>
        <v>15.613951357245053</v>
      </c>
      <c r="EA676" s="16">
        <f t="shared" si="2892"/>
        <v>15.72910445913436</v>
      </c>
      <c r="EB676" s="16">
        <f t="shared" si="2892"/>
        <v>15.770656707063313</v>
      </c>
      <c r="EC676" s="51">
        <f t="shared" si="2892"/>
        <v>15.696496465495573</v>
      </c>
      <c r="ED676" s="16">
        <f t="shared" si="2892"/>
        <v>15.812342616829183</v>
      </c>
      <c r="EE676" s="16">
        <f t="shared" si="2892"/>
        <v>15.854162611033544</v>
      </c>
      <c r="EF676" s="51">
        <f t="shared" si="2892"/>
        <v>15.77957349496416</v>
      </c>
      <c r="EG676" s="16">
        <f t="shared" si="2892"/>
        <v>15.896117113625511</v>
      </c>
      <c r="EH676" s="16">
        <f t="shared" si="2892"/>
        <v>15.938206549906054</v>
      </c>
      <c r="EI676" s="51">
        <f t="shared" si="2892"/>
        <v>15.863185814510638</v>
      </c>
      <c r="EJ676" s="16">
        <f t="shared" si="2892"/>
        <v>15.980431346532287</v>
      </c>
      <c r="EK676" s="16">
        <f t="shared" si="2892"/>
        <v>16.022791931521837</v>
      </c>
      <c r="EL676" s="51">
        <f t="shared" si="2892"/>
        <v>15.947336814513532</v>
      </c>
      <c r="EM676" s="16">
        <f t="shared" si="2892"/>
        <v>16.065288734257162</v>
      </c>
      <c r="EN676" s="16">
        <f t="shared" si="2892"/>
        <v>16.107922185489926</v>
      </c>
      <c r="EO676" s="51">
        <f t="shared" si="2892"/>
        <v>16.032029907007733</v>
      </c>
      <c r="EP676" s="16">
        <f t="shared" si="2892"/>
        <v>16.150692717345358</v>
      </c>
      <c r="EQ676" s="16">
        <f t="shared" si="2892"/>
        <v>16.193600763326643</v>
      </c>
      <c r="ER676" s="51">
        <f t="shared" si="2892"/>
        <v>16.117268525823057</v>
      </c>
      <c r="ES676" s="16">
        <f t="shared" ref="ES676:EX676" si="2893">SUM(ES673:ES675)</f>
        <v>16.236646758319335</v>
      </c>
      <c r="ET676" s="16">
        <f t="shared" si="2893"/>
        <v>16.27983113859576</v>
      </c>
      <c r="EU676" s="51">
        <f t="shared" si="2893"/>
        <v>16.203056126723702</v>
      </c>
      <c r="EV676" s="16">
        <f t="shared" si="2893"/>
        <v>16.32315434181946</v>
      </c>
      <c r="EW676" s="16">
        <f t="shared" si="2893"/>
        <v>16.366616807049599</v>
      </c>
      <c r="EX676" s="51">
        <f t="shared" si="2893"/>
        <v>16.289396187548558</v>
      </c>
      <c r="EY676" s="16">
        <f t="shared" ref="EY676:FA676" si="2894">SUM(EY673:EY675)</f>
        <v>16.410218974745472</v>
      </c>
      <c r="EZ676" s="16">
        <f t="shared" si="2894"/>
        <v>16.453961286770941</v>
      </c>
      <c r="FA676" s="51">
        <f t="shared" si="2894"/>
        <v>16.376292208352478</v>
      </c>
      <c r="FB676" s="993"/>
      <c r="FI676" s="35"/>
      <c r="FJ676" s="35"/>
      <c r="FK676" s="35"/>
      <c r="FL676" s="35"/>
      <c r="FM676" s="35"/>
      <c r="FN676" s="35"/>
      <c r="FO676" s="35"/>
      <c r="FP676" s="35"/>
      <c r="FQ676" s="35"/>
    </row>
    <row r="677" spans="1:173" s="321" customFormat="1" hidden="1" outlineLevel="1">
      <c r="A677" s="1168"/>
      <c r="B677" s="186"/>
      <c r="C677" s="186"/>
      <c r="D677" s="910"/>
      <c r="E677" s="1"/>
      <c r="F677" s="1"/>
      <c r="G677" s="5"/>
      <c r="H677" s="1"/>
      <c r="I677" s="1"/>
      <c r="J677" s="5"/>
      <c r="K677" s="1"/>
      <c r="L677" s="1"/>
      <c r="M677" s="5"/>
      <c r="N677" s="1"/>
      <c r="O677" s="1"/>
      <c r="P677" s="5"/>
      <c r="Q677" s="1"/>
      <c r="R677" s="1"/>
      <c r="S677" s="5"/>
      <c r="T677" s="1"/>
      <c r="U677" s="1"/>
      <c r="V677" s="5"/>
      <c r="W677" s="1"/>
      <c r="X677" s="1"/>
      <c r="Y677" s="5"/>
      <c r="Z677" s="1"/>
      <c r="AA677" s="1"/>
      <c r="AB677" s="5"/>
      <c r="AC677" s="1"/>
      <c r="AD677" s="1"/>
      <c r="AE677" s="5"/>
      <c r="AF677" s="1"/>
      <c r="AG677" s="1"/>
      <c r="AH677" s="5"/>
      <c r="AI677" s="1"/>
      <c r="AJ677" s="1"/>
      <c r="AK677" s="5"/>
      <c r="AL677" s="1"/>
      <c r="AM677" s="1"/>
      <c r="AN677" s="5"/>
      <c r="AO677" s="1"/>
      <c r="AP677" s="1"/>
      <c r="AQ677" s="5"/>
      <c r="AR677" s="1"/>
      <c r="AS677" s="1"/>
      <c r="AT677" s="5"/>
      <c r="AU677" s="1"/>
      <c r="AV677" s="1"/>
      <c r="AW677" s="5"/>
      <c r="AX677" s="3"/>
      <c r="AY677" s="3"/>
      <c r="AZ677" s="2"/>
      <c r="BA677" s="3"/>
      <c r="BB677" s="3"/>
      <c r="BC677" s="973"/>
      <c r="BD677" s="3"/>
      <c r="BE677" s="3"/>
      <c r="BF677" s="973"/>
      <c r="BG677" s="3"/>
      <c r="BH677" s="3"/>
      <c r="BI677" s="978"/>
      <c r="BJ677" s="115"/>
      <c r="BK677" s="115"/>
      <c r="BL677" s="116"/>
      <c r="BM677" s="115"/>
      <c r="BN677" s="115"/>
      <c r="BO677" s="116"/>
      <c r="BP677" s="115"/>
      <c r="BQ677" s="115"/>
      <c r="BR677" s="116"/>
      <c r="BS677" s="8"/>
      <c r="BT677" s="8"/>
      <c r="BU677" s="187"/>
      <c r="BV677" s="8"/>
      <c r="BW677" s="8"/>
      <c r="BX677" s="187"/>
      <c r="BY677" s="8"/>
      <c r="BZ677" s="8"/>
      <c r="CA677" s="187"/>
      <c r="CB677" s="8"/>
      <c r="CC677" s="8"/>
      <c r="CD677" s="187"/>
      <c r="CE677" s="8"/>
      <c r="CF677" s="8"/>
      <c r="CG677" s="187"/>
      <c r="CH677" s="8"/>
      <c r="CI677" s="8"/>
      <c r="CJ677" s="187"/>
      <c r="CK677" s="8"/>
      <c r="CL677" s="8"/>
      <c r="CM677" s="187"/>
      <c r="CN677" s="8"/>
      <c r="CO677" s="8"/>
      <c r="CP677" s="187"/>
      <c r="CQ677" s="8"/>
      <c r="CR677" s="8"/>
      <c r="CS677" s="187"/>
      <c r="CT677" s="8"/>
      <c r="CU677" s="8"/>
      <c r="CV677" s="187"/>
      <c r="CW677" s="8"/>
      <c r="CX677" s="8"/>
      <c r="CY677" s="187"/>
      <c r="CZ677" s="8"/>
      <c r="DA677" s="8"/>
      <c r="DB677" s="187"/>
      <c r="DC677" s="8"/>
      <c r="DD677" s="8"/>
      <c r="DE677" s="187"/>
      <c r="DF677" s="8"/>
      <c r="DG677" s="8"/>
      <c r="DH677" s="187"/>
      <c r="DI677" s="8"/>
      <c r="DJ677" s="8"/>
      <c r="DK677" s="187"/>
      <c r="DL677" s="8"/>
      <c r="DM677" s="8"/>
      <c r="DN677" s="187"/>
      <c r="DO677" s="8"/>
      <c r="DP677" s="8"/>
      <c r="DQ677" s="187"/>
      <c r="DR677" s="8"/>
      <c r="DS677" s="8"/>
      <c r="DT677" s="187"/>
      <c r="DU677" s="8"/>
      <c r="DV677" s="8"/>
      <c r="DW677" s="187"/>
      <c r="DX677" s="8"/>
      <c r="DY677" s="8"/>
      <c r="DZ677" s="187"/>
      <c r="EA677" s="8"/>
      <c r="EB677" s="8"/>
      <c r="EC677" s="187"/>
      <c r="ED677" s="8"/>
      <c r="EE677" s="8"/>
      <c r="EF677" s="187"/>
      <c r="EG677" s="8"/>
      <c r="EH677" s="8"/>
      <c r="EI677" s="187"/>
      <c r="EJ677" s="8"/>
      <c r="EK677" s="8"/>
      <c r="EL677" s="187"/>
      <c r="EM677" s="8"/>
      <c r="EN677" s="8"/>
      <c r="EO677" s="187"/>
      <c r="EP677" s="8"/>
      <c r="EQ677" s="8"/>
      <c r="ER677" s="187"/>
      <c r="ES677" s="8"/>
      <c r="ET677" s="8"/>
      <c r="EU677" s="187"/>
      <c r="EV677" s="8"/>
      <c r="EW677" s="8"/>
      <c r="EX677" s="187"/>
      <c r="EY677" s="8"/>
      <c r="EZ677" s="8"/>
      <c r="FA677" s="187"/>
      <c r="FB677" s="1003"/>
      <c r="FC677" s="65"/>
      <c r="FD677" s="1003"/>
      <c r="FE677" s="1003"/>
      <c r="FF677" s="1003"/>
      <c r="FG677" s="1003"/>
      <c r="FH677" s="1003"/>
      <c r="FI677" s="1003"/>
      <c r="FJ677" s="35"/>
      <c r="FK677" s="35"/>
      <c r="FL677" s="35"/>
      <c r="FM677" s="35"/>
      <c r="FN677" s="35"/>
      <c r="FO677" s="35"/>
      <c r="FP677" s="35"/>
      <c r="FQ677" s="35"/>
    </row>
    <row r="678" spans="1:173" s="321" customFormat="1" hidden="1" outlineLevel="1">
      <c r="A678" s="1168"/>
      <c r="B678" s="186"/>
      <c r="C678" s="331" t="s">
        <v>381</v>
      </c>
      <c r="D678" s="910"/>
      <c r="E678" s="1"/>
      <c r="F678" s="1"/>
      <c r="G678" s="5"/>
      <c r="H678" s="1"/>
      <c r="I678" s="1"/>
      <c r="J678" s="5"/>
      <c r="K678" s="1"/>
      <c r="L678" s="1"/>
      <c r="M678" s="5"/>
      <c r="N678" s="1"/>
      <c r="O678" s="1"/>
      <c r="P678" s="5"/>
      <c r="Q678" s="1"/>
      <c r="R678" s="1"/>
      <c r="S678" s="5"/>
      <c r="T678" s="1"/>
      <c r="U678" s="1"/>
      <c r="V678" s="5"/>
      <c r="W678" s="1"/>
      <c r="X678" s="1"/>
      <c r="Y678" s="5"/>
      <c r="Z678" s="1"/>
      <c r="AA678" s="1"/>
      <c r="AB678" s="5"/>
      <c r="AC678" s="1"/>
      <c r="AD678" s="1"/>
      <c r="AE678" s="5"/>
      <c r="AF678" s="1"/>
      <c r="AG678" s="1"/>
      <c r="AH678" s="5"/>
      <c r="AI678" s="1"/>
      <c r="AJ678" s="1"/>
      <c r="AK678" s="5"/>
      <c r="AL678" s="1"/>
      <c r="AM678" s="1"/>
      <c r="AN678" s="5"/>
      <c r="AO678" s="1"/>
      <c r="AP678" s="1"/>
      <c r="AQ678" s="5"/>
      <c r="AR678" s="1"/>
      <c r="AS678" s="1"/>
      <c r="AT678" s="5"/>
      <c r="AU678" s="1"/>
      <c r="AV678" s="1"/>
      <c r="AW678" s="5"/>
      <c r="AX678" s="3"/>
      <c r="AY678" s="3"/>
      <c r="AZ678" s="2"/>
      <c r="BA678" s="3"/>
      <c r="BB678" s="3"/>
      <c r="BC678" s="973"/>
      <c r="BD678" s="3"/>
      <c r="BE678" s="3"/>
      <c r="BF678" s="973"/>
      <c r="BG678" s="3"/>
      <c r="BH678" s="3"/>
      <c r="BI678" s="978"/>
      <c r="BJ678" s="115"/>
      <c r="BK678" s="115"/>
      <c r="BL678" s="116"/>
      <c r="BM678" s="115"/>
      <c r="BN678" s="115"/>
      <c r="BO678" s="116"/>
      <c r="BP678" s="115"/>
      <c r="BQ678" s="115"/>
      <c r="BR678" s="116"/>
      <c r="BS678" s="8"/>
      <c r="BT678" s="8"/>
      <c r="BU678" s="187"/>
      <c r="BV678" s="8"/>
      <c r="BW678" s="8"/>
      <c r="BX678" s="187"/>
      <c r="BY678" s="8"/>
      <c r="BZ678" s="8"/>
      <c r="CA678" s="187"/>
      <c r="CB678" s="8"/>
      <c r="CC678" s="8"/>
      <c r="CD678" s="187"/>
      <c r="CE678" s="8"/>
      <c r="CF678" s="8"/>
      <c r="CG678" s="187"/>
      <c r="CH678" s="8"/>
      <c r="CI678" s="8"/>
      <c r="CJ678" s="187"/>
      <c r="CK678" s="8"/>
      <c r="CL678" s="8"/>
      <c r="CM678" s="187"/>
      <c r="CN678" s="8"/>
      <c r="CO678" s="8"/>
      <c r="CP678" s="187"/>
      <c r="CQ678" s="8"/>
      <c r="CR678" s="8"/>
      <c r="CS678" s="187"/>
      <c r="CT678" s="8"/>
      <c r="CU678" s="8"/>
      <c r="CV678" s="187"/>
      <c r="CW678" s="8"/>
      <c r="CX678" s="8"/>
      <c r="CY678" s="187"/>
      <c r="CZ678" s="8"/>
      <c r="DA678" s="8"/>
      <c r="DB678" s="187"/>
      <c r="DC678" s="8"/>
      <c r="DD678" s="8"/>
      <c r="DE678" s="187"/>
      <c r="DF678" s="8"/>
      <c r="DG678" s="8"/>
      <c r="DH678" s="187"/>
      <c r="DI678" s="8"/>
      <c r="DJ678" s="8"/>
      <c r="DK678" s="187"/>
      <c r="DL678" s="8"/>
      <c r="DM678" s="8"/>
      <c r="DN678" s="187"/>
      <c r="DO678" s="8"/>
      <c r="DP678" s="8"/>
      <c r="DQ678" s="187"/>
      <c r="DR678" s="8"/>
      <c r="DS678" s="8"/>
      <c r="DT678" s="187"/>
      <c r="DU678" s="8"/>
      <c r="DV678" s="8"/>
      <c r="DW678" s="187"/>
      <c r="DX678" s="8"/>
      <c r="DY678" s="8"/>
      <c r="DZ678" s="187"/>
      <c r="EA678" s="8"/>
      <c r="EB678" s="8"/>
      <c r="EC678" s="187"/>
      <c r="ED678" s="8"/>
      <c r="EE678" s="8"/>
      <c r="EF678" s="187"/>
      <c r="EG678" s="8"/>
      <c r="EH678" s="8"/>
      <c r="EI678" s="187"/>
      <c r="EJ678" s="8"/>
      <c r="EK678" s="8"/>
      <c r="EL678" s="187"/>
      <c r="EM678" s="8"/>
      <c r="EN678" s="8"/>
      <c r="EO678" s="187"/>
      <c r="EP678" s="8"/>
      <c r="EQ678" s="8"/>
      <c r="ER678" s="187"/>
      <c r="ES678" s="8"/>
      <c r="ET678" s="8"/>
      <c r="EU678" s="187"/>
      <c r="EV678" s="8"/>
      <c r="EW678" s="8"/>
      <c r="EX678" s="187"/>
      <c r="EY678" s="8"/>
      <c r="EZ678" s="8"/>
      <c r="FA678" s="187"/>
      <c r="FB678" s="65"/>
      <c r="FC678" s="65"/>
      <c r="FD678" s="65"/>
      <c r="FE678" s="65"/>
      <c r="FF678" s="65"/>
      <c r="FG678" s="65"/>
      <c r="FH678" s="65"/>
      <c r="FI678" s="65"/>
      <c r="FJ678" s="35"/>
      <c r="FK678" s="35"/>
      <c r="FL678" s="35"/>
      <c r="FM678" s="35"/>
      <c r="FN678" s="35"/>
      <c r="FO678" s="35"/>
      <c r="FP678" s="35"/>
      <c r="FQ678" s="35"/>
    </row>
    <row r="679" spans="1:173" s="321" customFormat="1" hidden="1" outlineLevel="1">
      <c r="A679" s="1168"/>
      <c r="B679" s="186"/>
      <c r="C679" s="186" t="s">
        <v>316</v>
      </c>
      <c r="D679" s="910"/>
      <c r="E679" s="1"/>
      <c r="F679" s="1"/>
      <c r="G679" s="5"/>
      <c r="H679" s="1"/>
      <c r="I679" s="1"/>
      <c r="J679" s="5"/>
      <c r="K679" s="1"/>
      <c r="L679" s="1"/>
      <c r="M679" s="5"/>
      <c r="N679" s="1"/>
      <c r="O679" s="1"/>
      <c r="P679" s="5"/>
      <c r="Q679" s="1"/>
      <c r="R679" s="1"/>
      <c r="S679" s="5"/>
      <c r="T679" s="1"/>
      <c r="U679" s="1"/>
      <c r="V679" s="5"/>
      <c r="W679" s="1"/>
      <c r="X679" s="1"/>
      <c r="Y679" s="5"/>
      <c r="Z679" s="1"/>
      <c r="AA679" s="1"/>
      <c r="AB679" s="5"/>
      <c r="AC679" s="1"/>
      <c r="AD679" s="1"/>
      <c r="AE679" s="5"/>
      <c r="AF679" s="1"/>
      <c r="AG679" s="1"/>
      <c r="AH679" s="5"/>
      <c r="AI679" s="1"/>
      <c r="AJ679" s="1"/>
      <c r="AK679" s="5"/>
      <c r="AL679" s="1"/>
      <c r="AM679" s="1"/>
      <c r="AN679" s="5"/>
      <c r="AO679" s="1"/>
      <c r="AP679" s="1"/>
      <c r="AQ679" s="5"/>
      <c r="AR679" s="1"/>
      <c r="AS679" s="1"/>
      <c r="AT679" s="5"/>
      <c r="AU679" s="1"/>
      <c r="AV679" s="1"/>
      <c r="AW679" s="5"/>
      <c r="AX679" s="187">
        <f t="shared" ref="AX679:CC679" si="2895">AX649*AX631</f>
        <v>7.7722874475850509E-2</v>
      </c>
      <c r="AY679" s="187">
        <f t="shared" si="2895"/>
        <v>7.7952156955554283E-2</v>
      </c>
      <c r="AZ679" s="187">
        <f t="shared" si="2895"/>
        <v>7.7677214651404786E-2</v>
      </c>
      <c r="BA679" s="8">
        <f t="shared" si="2895"/>
        <v>7.818211581857315E-2</v>
      </c>
      <c r="BB679" s="8">
        <f t="shared" si="2895"/>
        <v>7.8412753060237955E-2</v>
      </c>
      <c r="BC679" s="978">
        <f t="shared" si="2895"/>
        <v>7.8136186203808564E-2</v>
      </c>
      <c r="BD679" s="8">
        <f t="shared" si="2895"/>
        <v>7.8644070681765654E-2</v>
      </c>
      <c r="BE679" s="8">
        <f t="shared" si="2895"/>
        <v>7.8876070690276856E-2</v>
      </c>
      <c r="BF679" s="978">
        <f t="shared" si="2895"/>
        <v>7.8597869682571486E-2</v>
      </c>
      <c r="BG679" s="8">
        <f t="shared" si="2895"/>
        <v>7.9108755098813197E-2</v>
      </c>
      <c r="BH679" s="8">
        <f t="shared" si="2895"/>
        <v>7.9342125926354687E-2</v>
      </c>
      <c r="BI679" s="978">
        <f t="shared" si="2895"/>
        <v>7.9062281111659582E-2</v>
      </c>
      <c r="BJ679" s="115">
        <f t="shared" si="2895"/>
        <v>7.9576185197837421E-2</v>
      </c>
      <c r="BK679" s="115">
        <f t="shared" si="2895"/>
        <v>7.9810934944171061E-2</v>
      </c>
      <c r="BL679" s="116">
        <f t="shared" si="2895"/>
        <v>7.9529436609719742E-2</v>
      </c>
      <c r="BM679" s="115">
        <f t="shared" si="2895"/>
        <v>7.99286560732137E-2</v>
      </c>
      <c r="BN679" s="115">
        <f t="shared" si="2895"/>
        <v>8.0046550840921674E-2</v>
      </c>
      <c r="BO679" s="116">
        <f t="shared" si="2895"/>
        <v>7.9763805651470787E-2</v>
      </c>
      <c r="BP679" s="115">
        <f t="shared" si="2895"/>
        <v>8.0164619503412027E-2</v>
      </c>
      <c r="BQ679" s="115">
        <f t="shared" si="2895"/>
        <v>8.0282862317179543E-2</v>
      </c>
      <c r="BR679" s="116">
        <f t="shared" si="2895"/>
        <v>7.9999282414272274E-2</v>
      </c>
      <c r="BS679" s="8">
        <f t="shared" si="2895"/>
        <v>8.0401279539097384E-2</v>
      </c>
      <c r="BT679" s="8">
        <f t="shared" si="2895"/>
        <v>8.0519871426417547E-2</v>
      </c>
      <c r="BU679" s="187">
        <f t="shared" si="2895"/>
        <v>8.0235454345833179E-2</v>
      </c>
      <c r="BV679" s="8">
        <f t="shared" si="2895"/>
        <v>8.0638638236771518E-2</v>
      </c>
      <c r="BW679" s="8">
        <f t="shared" si="2895"/>
        <v>8.0757580228170728E-2</v>
      </c>
      <c r="BX679" s="187">
        <f t="shared" si="2895"/>
        <v>8.0472323498413725E-2</v>
      </c>
      <c r="BY679" s="8">
        <f t="shared" si="2895"/>
        <v>8.0876697659007277E-2</v>
      </c>
      <c r="BZ679" s="8">
        <f t="shared" si="2895"/>
        <v>8.0995990788054306E-2</v>
      </c>
      <c r="CA679" s="187">
        <f t="shared" si="2895"/>
        <v>8.0709891930332844E-2</v>
      </c>
      <c r="CB679" s="8">
        <f t="shared" si="2895"/>
        <v>8.111545987446668E-2</v>
      </c>
      <c r="CC679" s="8">
        <f t="shared" si="2895"/>
        <v>8.1235105177781528E-2</v>
      </c>
      <c r="CD679" s="187">
        <f t="shared" ref="CD679:DI679" si="2896">CD649*CD631</f>
        <v>8.0948161705985941E-2</v>
      </c>
      <c r="CE679" s="8">
        <f t="shared" si="2896"/>
        <v>8.1354926957918738E-2</v>
      </c>
      <c r="CF679" s="8">
        <f t="shared" si="2896"/>
        <v>8.1474925475181662E-2</v>
      </c>
      <c r="CG679" s="187">
        <f t="shared" si="2896"/>
        <v>8.1187134895862878E-2</v>
      </c>
      <c r="CH679" s="8">
        <f t="shared" si="2896"/>
        <v>8.1595100990257546E-2</v>
      </c>
      <c r="CI679" s="8">
        <f t="shared" si="2896"/>
        <v>8.1715453764218168E-2</v>
      </c>
      <c r="CJ679" s="187">
        <f t="shared" si="2896"/>
        <v>8.1426813576566032E-2</v>
      </c>
      <c r="CK679" s="8">
        <f t="shared" si="2896"/>
        <v>8.183598405852037E-2</v>
      </c>
      <c r="CL679" s="8">
        <f t="shared" si="2896"/>
        <v>8.1956692135006684E-2</v>
      </c>
      <c r="CM679" s="187">
        <f t="shared" si="2896"/>
        <v>8.166719983082818E-2</v>
      </c>
      <c r="CN679" s="8">
        <f t="shared" si="2896"/>
        <v>8.2077578255905795E-2</v>
      </c>
      <c r="CO679" s="8">
        <f t="shared" si="2896"/>
        <v>8.2198642683833256E-2</v>
      </c>
      <c r="CP679" s="187">
        <f t="shared" si="2896"/>
        <v>8.190829574753071E-2</v>
      </c>
      <c r="CQ679" s="8">
        <f t="shared" si="2896"/>
        <v>8.231988568179191E-2</v>
      </c>
      <c r="CR679" s="8">
        <f t="shared" si="2896"/>
        <v>8.2441307513172538E-2</v>
      </c>
      <c r="CS679" s="187">
        <f t="shared" si="2896"/>
        <v>8.2150103421721868E-2</v>
      </c>
      <c r="CT679" s="8">
        <f t="shared" si="2896"/>
        <v>8.2562908441754457E-2</v>
      </c>
      <c r="CU679" s="8">
        <f t="shared" si="2896"/>
        <v>8.2684688731706035E-2</v>
      </c>
      <c r="CV679" s="187">
        <f t="shared" si="2896"/>
        <v>8.2392624954634675E-2</v>
      </c>
      <c r="CW679" s="8">
        <f t="shared" si="2896"/>
        <v>8.2806648647585301E-2</v>
      </c>
      <c r="CX679" s="8">
        <f t="shared" si="2896"/>
        <v>8.2928788454340471E-2</v>
      </c>
      <c r="CY679" s="187">
        <f t="shared" si="2896"/>
        <v>8.2635862453705494E-2</v>
      </c>
      <c r="CZ679" s="8">
        <f t="shared" si="2896"/>
        <v>8.3051108417310615E-2</v>
      </c>
      <c r="DA679" s="8">
        <f t="shared" si="2896"/>
        <v>8.3173608802226143E-2</v>
      </c>
      <c r="DB679" s="187">
        <f t="shared" si="2896"/>
        <v>8.2879818032592159E-2</v>
      </c>
      <c r="DC679" s="8">
        <f t="shared" si="2896"/>
        <v>8.3296289875209414E-2</v>
      </c>
      <c r="DD679" s="8">
        <f t="shared" si="2896"/>
        <v>8.3419151902775351E-2</v>
      </c>
      <c r="DE679" s="187">
        <f t="shared" si="2896"/>
        <v>8.3124493811192399E-2</v>
      </c>
      <c r="DF679" s="8">
        <f t="shared" si="2896"/>
        <v>8.3542195151831949E-2</v>
      </c>
      <c r="DG679" s="8">
        <f t="shared" si="2896"/>
        <v>8.3665419889680875E-2</v>
      </c>
      <c r="DH679" s="187">
        <f t="shared" si="2896"/>
        <v>8.3369891915662256E-2</v>
      </c>
      <c r="DI679" s="8">
        <f t="shared" si="2896"/>
        <v>8.3788826384018147E-2</v>
      </c>
      <c r="DJ679" s="8">
        <f t="shared" ref="DJ679:EF679" si="2897">DJ649*DJ631</f>
        <v>8.3912414902934565E-2</v>
      </c>
      <c r="DK679" s="187">
        <f t="shared" si="2897"/>
        <v>8.361601447843453E-2</v>
      </c>
      <c r="DL679" s="8">
        <f t="shared" si="2897"/>
        <v>8.4036185714916375E-2</v>
      </c>
      <c r="DM679" s="8">
        <f t="shared" si="2897"/>
        <v>8.416013908884587E-2</v>
      </c>
      <c r="DN679" s="187">
        <f t="shared" si="2897"/>
        <v>8.3862863638237389E-2</v>
      </c>
      <c r="DO679" s="8">
        <f t="shared" si="2897"/>
        <v>8.4284275294001926E-2</v>
      </c>
      <c r="DP679" s="8">
        <f t="shared" si="2897"/>
        <v>8.440859460006056E-2</v>
      </c>
      <c r="DQ679" s="187">
        <f t="shared" si="2897"/>
        <v>8.4110441540112879E-2</v>
      </c>
      <c r="DR679" s="8">
        <f t="shared" si="2897"/>
        <v>8.4533097277095653E-2</v>
      </c>
      <c r="DS679" s="8">
        <f t="shared" si="2897"/>
        <v>8.4657783595579336E-2</v>
      </c>
      <c r="DT679" s="187">
        <f t="shared" si="2897"/>
        <v>8.4358750335435564E-2</v>
      </c>
      <c r="DU679" s="8">
        <f t="shared" si="2897"/>
        <v>8.4782653826382823E-2</v>
      </c>
      <c r="DV679" s="8">
        <f t="shared" si="2897"/>
        <v>8.4907708240776716E-2</v>
      </c>
      <c r="DW679" s="187">
        <f t="shared" si="2897"/>
        <v>8.4607792181931277E-2</v>
      </c>
      <c r="DX679" s="8">
        <f t="shared" si="2897"/>
        <v>8.5032947110431856E-2</v>
      </c>
      <c r="DY679" s="8">
        <f t="shared" si="2897"/>
        <v>8.5158370707419731E-2</v>
      </c>
      <c r="DZ679" s="187">
        <f t="shared" si="2897"/>
        <v>8.4857569243695835E-2</v>
      </c>
      <c r="EA679" s="8">
        <f t="shared" si="2897"/>
        <v>8.5283979304213151E-2</v>
      </c>
      <c r="EB679" s="8">
        <f t="shared" si="2897"/>
        <v>8.5409773173686879E-2</v>
      </c>
      <c r="EC679" s="187">
        <f t="shared" si="2897"/>
        <v>8.5108083691213809E-2</v>
      </c>
      <c r="ED679" s="8">
        <f t="shared" si="2897"/>
        <v>8.5535752589118039E-2</v>
      </c>
      <c r="EE679" s="8">
        <f t="shared" si="2897"/>
        <v>8.5661917824186987E-2</v>
      </c>
      <c r="EF679" s="187">
        <f t="shared" si="2897"/>
        <v>8.5359337701377436E-2</v>
      </c>
      <c r="EG679" s="8">
        <f t="shared" ref="EG679:EL679" si="2898">EG649*EG631</f>
        <v>8.5788269152977645E-2</v>
      </c>
      <c r="EH679" s="8">
        <f t="shared" si="2898"/>
        <v>8.5914806849978279E-2</v>
      </c>
      <c r="EI679" s="187">
        <f t="shared" si="2898"/>
        <v>8.5611333457505573E-2</v>
      </c>
      <c r="EJ679" s="8">
        <f t="shared" si="2898"/>
        <v>8.6041531190081996E-2</v>
      </c>
      <c r="EK679" s="8">
        <f t="shared" si="2898"/>
        <v>8.6168442448587346E-2</v>
      </c>
      <c r="EL679" s="187">
        <f t="shared" si="2898"/>
        <v>8.5864073149362549E-2</v>
      </c>
      <c r="EM679" s="8">
        <f t="shared" ref="EM679:ER679" si="2899">EM649*EM631</f>
        <v>8.6295540901199022E-2</v>
      </c>
      <c r="EN679" s="8">
        <f t="shared" si="2899"/>
        <v>8.642282682402827E-2</v>
      </c>
      <c r="EO679" s="187">
        <f t="shared" si="2899"/>
        <v>8.6117558973177286E-2</v>
      </c>
      <c r="EP679" s="8">
        <f t="shared" si="2899"/>
        <v>8.6550300493593704E-2</v>
      </c>
      <c r="EQ679" s="8">
        <f t="shared" si="2899"/>
        <v>8.6677962186821736E-2</v>
      </c>
      <c r="ER679" s="187">
        <f t="shared" si="2899"/>
        <v>8.6371793131662392E-2</v>
      </c>
      <c r="ES679" s="8">
        <f t="shared" ref="ES679:EX679" si="2900">ES649*ES631</f>
        <v>8.6805812181047298E-2</v>
      </c>
      <c r="ET679" s="8">
        <f t="shared" si="2900"/>
        <v>8.6933850754014316E-2</v>
      </c>
      <c r="EU679" s="187">
        <f t="shared" si="2900"/>
        <v>8.6626777834033192E-2</v>
      </c>
      <c r="EV679" s="8">
        <f t="shared" si="2900"/>
        <v>8.7062078183876485E-2</v>
      </c>
      <c r="EW679" s="8">
        <f t="shared" si="2900"/>
        <v>8.7190494749197697E-2</v>
      </c>
      <c r="EX679" s="187">
        <f t="shared" si="2900"/>
        <v>8.6882515296027099E-2</v>
      </c>
      <c r="EY679" s="8">
        <f t="shared" ref="EY679:FA679" si="2901">EY649*EY631</f>
        <v>8.7319100728952756E-2</v>
      </c>
      <c r="EZ679" s="8">
        <f t="shared" si="2901"/>
        <v>8.7447896402527939E-2</v>
      </c>
      <c r="FA679" s="187">
        <f t="shared" si="2901"/>
        <v>8.7139007739922725E-2</v>
      </c>
      <c r="FB679" s="197"/>
      <c r="FH679" s="35"/>
      <c r="FJ679" s="35"/>
      <c r="FK679" s="35"/>
      <c r="FL679" s="35"/>
      <c r="FM679" s="35"/>
      <c r="FN679" s="35"/>
      <c r="FO679" s="35"/>
      <c r="FP679" s="35"/>
      <c r="FQ679" s="35"/>
    </row>
    <row r="680" spans="1:173" s="321" customFormat="1" hidden="1" outlineLevel="1">
      <c r="A680" s="1168"/>
      <c r="B680" s="186"/>
      <c r="C680" s="186" t="s">
        <v>317</v>
      </c>
      <c r="D680" s="910"/>
      <c r="E680" s="1"/>
      <c r="F680" s="1"/>
      <c r="G680" s="5"/>
      <c r="H680" s="1"/>
      <c r="I680" s="1"/>
      <c r="J680" s="5"/>
      <c r="K680" s="1"/>
      <c r="L680" s="1"/>
      <c r="M680" s="5"/>
      <c r="N680" s="1"/>
      <c r="O680" s="1"/>
      <c r="P680" s="5"/>
      <c r="Q680" s="1"/>
      <c r="R680" s="1"/>
      <c r="S680" s="5"/>
      <c r="T680" s="1"/>
      <c r="U680" s="1"/>
      <c r="V680" s="5"/>
      <c r="W680" s="1"/>
      <c r="X680" s="1"/>
      <c r="Y680" s="5"/>
      <c r="Z680" s="1"/>
      <c r="AA680" s="1"/>
      <c r="AB680" s="5"/>
      <c r="AC680" s="1"/>
      <c r="AD680" s="1"/>
      <c r="AE680" s="5"/>
      <c r="AF680" s="1"/>
      <c r="AG680" s="1"/>
      <c r="AH680" s="5"/>
      <c r="AI680" s="1"/>
      <c r="AJ680" s="1"/>
      <c r="AK680" s="5"/>
      <c r="AL680" s="1"/>
      <c r="AM680" s="1"/>
      <c r="AN680" s="5"/>
      <c r="AO680" s="1"/>
      <c r="AP680" s="1"/>
      <c r="AQ680" s="5"/>
      <c r="AR680" s="1"/>
      <c r="AS680" s="1"/>
      <c r="AT680" s="5"/>
      <c r="AU680" s="1"/>
      <c r="AV680" s="1"/>
      <c r="AW680" s="5"/>
      <c r="AX680" s="187">
        <f t="shared" ref="AX680:CC680" si="2902">AX650*AX632</f>
        <v>0.17374570997222522</v>
      </c>
      <c r="AY680" s="187">
        <f t="shared" si="2902"/>
        <v>0.17358933883325023</v>
      </c>
      <c r="AZ680" s="187">
        <f t="shared" si="2902"/>
        <v>0.17316698126947538</v>
      </c>
      <c r="BA680" s="8">
        <f t="shared" si="2902"/>
        <v>0.17343310842830029</v>
      </c>
      <c r="BB680" s="8">
        <f t="shared" si="2902"/>
        <v>0.17327701863071482</v>
      </c>
      <c r="BC680" s="978">
        <f t="shared" si="2902"/>
        <v>0.17285542096844517</v>
      </c>
      <c r="BD680" s="8">
        <f t="shared" si="2902"/>
        <v>0.17312106931394716</v>
      </c>
      <c r="BE680" s="8">
        <f t="shared" si="2902"/>
        <v>0.17296526035156462</v>
      </c>
      <c r="BF680" s="978">
        <f t="shared" si="2902"/>
        <v>0.17254442122359293</v>
      </c>
      <c r="BG680" s="8">
        <f t="shared" si="2902"/>
        <v>0.17280959161724821</v>
      </c>
      <c r="BH680" s="8">
        <f t="shared" si="2902"/>
        <v>0.17265406298479266</v>
      </c>
      <c r="BI680" s="978">
        <f t="shared" si="2902"/>
        <v>0.17223398102637169</v>
      </c>
      <c r="BJ680" s="115">
        <f t="shared" si="2902"/>
        <v>0.17249867432810637</v>
      </c>
      <c r="BK680" s="115">
        <f t="shared" si="2902"/>
        <v>0.17234342552121107</v>
      </c>
      <c r="BL680" s="116">
        <f t="shared" si="2902"/>
        <v>0.17192409937004882</v>
      </c>
      <c r="BM680" s="115">
        <f t="shared" si="2902"/>
        <v>0.17226587097972654</v>
      </c>
      <c r="BN680" s="115">
        <f t="shared" si="2902"/>
        <v>0.17218835133778565</v>
      </c>
      <c r="BO680" s="116">
        <f t="shared" si="2902"/>
        <v>0.17176959110710041</v>
      </c>
      <c r="BP680" s="115">
        <f t="shared" si="2902"/>
        <v>0.17211086657968364</v>
      </c>
      <c r="BQ680" s="115">
        <f t="shared" si="2902"/>
        <v>0.1720334166897228</v>
      </c>
      <c r="BR680" s="116">
        <f t="shared" si="2902"/>
        <v>0.17161503325844621</v>
      </c>
      <c r="BS680" s="8">
        <f t="shared" si="2902"/>
        <v>0.17195600165221239</v>
      </c>
      <c r="BT680" s="8">
        <f t="shared" si="2902"/>
        <v>0.1718786214514689</v>
      </c>
      <c r="BU680" s="187">
        <f t="shared" si="2902"/>
        <v>0.17146061448055785</v>
      </c>
      <c r="BV680" s="8">
        <f t="shared" si="2902"/>
        <v>0.17180127607181578</v>
      </c>
      <c r="BW680" s="8">
        <f t="shared" si="2902"/>
        <v>0.17172396549758348</v>
      </c>
      <c r="BX680" s="187">
        <f t="shared" si="2902"/>
        <v>0.17130633464829981</v>
      </c>
      <c r="BY680" s="8">
        <f t="shared" si="2902"/>
        <v>0.17164668971310956</v>
      </c>
      <c r="BZ680" s="8">
        <f t="shared" si="2902"/>
        <v>0.17156944870273866</v>
      </c>
      <c r="CA680" s="187">
        <f t="shared" si="2902"/>
        <v>0.1711521936366491</v>
      </c>
      <c r="CB680" s="8">
        <f t="shared" si="2902"/>
        <v>0.17149224245082245</v>
      </c>
      <c r="CC680" s="8">
        <f t="shared" si="2902"/>
        <v>0.17141507094171957</v>
      </c>
      <c r="CD680" s="187">
        <f t="shared" ref="CD680:DI680" si="2903">CD650*CD632</f>
        <v>0.17099819132069535</v>
      </c>
      <c r="CE680" s="8">
        <f t="shared" si="2903"/>
        <v>0.17133793415979581</v>
      </c>
      <c r="CF680" s="8">
        <f t="shared" si="2903"/>
        <v>0.17126083208942394</v>
      </c>
      <c r="CG680" s="187">
        <f t="shared" si="2903"/>
        <v>0.1708443275756405</v>
      </c>
      <c r="CH680" s="8">
        <f t="shared" si="2903"/>
        <v>0.1711837647149837</v>
      </c>
      <c r="CI680" s="8">
        <f t="shared" si="2903"/>
        <v>0.17110673202086193</v>
      </c>
      <c r="CJ680" s="187">
        <f t="shared" si="2903"/>
        <v>0.17069060227679878</v>
      </c>
      <c r="CK680" s="8">
        <f t="shared" si="2903"/>
        <v>0.1710297339914526</v>
      </c>
      <c r="CL680" s="8">
        <f t="shared" si="2903"/>
        <v>0.17095277061115641</v>
      </c>
      <c r="CM680" s="187">
        <f t="shared" si="2903"/>
        <v>0.17053701529959661</v>
      </c>
      <c r="CN680" s="8">
        <f t="shared" si="2903"/>
        <v>0.1708758418643814</v>
      </c>
      <c r="CO680" s="8">
        <f t="shared" si="2903"/>
        <v>0.17079894773554244</v>
      </c>
      <c r="CP680" s="187">
        <f t="shared" si="2903"/>
        <v>0.17038356651957259</v>
      </c>
      <c r="CQ680" s="8">
        <f t="shared" si="2903"/>
        <v>0.17072208820906146</v>
      </c>
      <c r="CR680" s="8">
        <f t="shared" si="2903"/>
        <v>0.17064526326936741</v>
      </c>
      <c r="CS680" s="187">
        <f t="shared" si="2903"/>
        <v>0.17023025581237725</v>
      </c>
      <c r="CT680" s="8">
        <f t="shared" si="2903"/>
        <v>0.17056847290089619</v>
      </c>
      <c r="CU680" s="8">
        <f t="shared" si="2903"/>
        <v>0.17049171708809077</v>
      </c>
      <c r="CV680" s="187">
        <f t="shared" si="2903"/>
        <v>0.17007708305377289</v>
      </c>
      <c r="CW680" s="8">
        <f t="shared" si="2903"/>
        <v>0.17041499581540115</v>
      </c>
      <c r="CX680" s="8">
        <f t="shared" si="2903"/>
        <v>0.17033830906728423</v>
      </c>
      <c r="CY680" s="187">
        <f t="shared" si="2903"/>
        <v>0.16992404811963382</v>
      </c>
      <c r="CZ680" s="8">
        <f t="shared" si="2903"/>
        <v>0.17026165682820396</v>
      </c>
      <c r="DA680" s="8">
        <f t="shared" si="2903"/>
        <v>0.17018503908263125</v>
      </c>
      <c r="DB680" s="187">
        <f t="shared" si="2903"/>
        <v>0.16977115088594591</v>
      </c>
      <c r="DC680" s="8">
        <f t="shared" si="2903"/>
        <v>0.17010845581504408</v>
      </c>
      <c r="DD680" s="8">
        <f t="shared" si="2903"/>
        <v>0.17003190700992729</v>
      </c>
      <c r="DE680" s="187">
        <f t="shared" si="2903"/>
        <v>0.16961839122880662</v>
      </c>
      <c r="DF680" s="8">
        <f t="shared" si="2903"/>
        <v>0.16995539265177287</v>
      </c>
      <c r="DG680" s="8">
        <f t="shared" si="2903"/>
        <v>0.16987891272507954</v>
      </c>
      <c r="DH680" s="187">
        <f t="shared" si="2903"/>
        <v>0.16946576902442495</v>
      </c>
      <c r="DI680" s="8">
        <f t="shared" si="2903"/>
        <v>0.1698024672143533</v>
      </c>
      <c r="DJ680" s="8">
        <f t="shared" ref="DJ680:EF680" si="2904">DJ650*DJ632</f>
        <v>0.16972605610410685</v>
      </c>
      <c r="DK680" s="187">
        <f t="shared" si="2904"/>
        <v>0.16931328414912122</v>
      </c>
      <c r="DL680" s="8">
        <f t="shared" si="2904"/>
        <v>0.16964967937886002</v>
      </c>
      <c r="DM680" s="8">
        <f t="shared" si="2904"/>
        <v>0.16957333702313954</v>
      </c>
      <c r="DN680" s="187">
        <f t="shared" si="2904"/>
        <v>0.16916093647932706</v>
      </c>
      <c r="DO680" s="8">
        <f t="shared" si="2904"/>
        <v>0.16949702902147912</v>
      </c>
      <c r="DP680" s="8">
        <f t="shared" si="2904"/>
        <v>0.16942075535841952</v>
      </c>
      <c r="DQ680" s="187">
        <f t="shared" si="2904"/>
        <v>0.1690087258915853</v>
      </c>
      <c r="DR680" s="8">
        <f t="shared" si="2904"/>
        <v>0.16934451601850822</v>
      </c>
      <c r="DS680" s="8">
        <f t="shared" si="2904"/>
        <v>0.16926831098629991</v>
      </c>
      <c r="DT680" s="187">
        <f t="shared" si="2904"/>
        <v>0.16885665226254992</v>
      </c>
      <c r="DU680" s="8">
        <f t="shared" si="2904"/>
        <v>0.16919214024635607</v>
      </c>
      <c r="DV680" s="8">
        <f t="shared" si="2904"/>
        <v>0.16911600378324518</v>
      </c>
      <c r="DW680" s="187">
        <f t="shared" si="2904"/>
        <v>0.16870471546898572</v>
      </c>
      <c r="DX680" s="8">
        <f t="shared" si="2904"/>
        <v>0.16903990158154275</v>
      </c>
      <c r="DY680" s="8">
        <f t="shared" si="2904"/>
        <v>0.16896383362583106</v>
      </c>
      <c r="DZ680" s="187">
        <f t="shared" si="2904"/>
        <v>0.16855291538776854</v>
      </c>
      <c r="EA680" s="8">
        <f t="shared" si="2904"/>
        <v>0.16888779990069946</v>
      </c>
      <c r="EB680" s="8">
        <f t="shared" si="2904"/>
        <v>0.16881180039074412</v>
      </c>
      <c r="EC680" s="187">
        <f t="shared" si="2904"/>
        <v>0.16840125189588487</v>
      </c>
      <c r="ED680" s="8">
        <f t="shared" si="2904"/>
        <v>0.1687358350805683</v>
      </c>
      <c r="EE680" s="8">
        <f t="shared" si="2904"/>
        <v>0.16865990395478203</v>
      </c>
      <c r="EF680" s="187">
        <f t="shared" si="2904"/>
        <v>0.16824972487043213</v>
      </c>
      <c r="EG680" s="8">
        <f t="shared" ref="EG680:EL680" si="2905">EG650*EG632</f>
        <v>0.16858400699800244</v>
      </c>
      <c r="EH680" s="8">
        <f t="shared" si="2905"/>
        <v>0.16850814419485327</v>
      </c>
      <c r="EI680" s="187">
        <f t="shared" si="2905"/>
        <v>0.16809833418861803</v>
      </c>
      <c r="EJ680" s="8">
        <f t="shared" si="2905"/>
        <v>0.1684323155299656</v>
      </c>
      <c r="EK680" s="8">
        <f t="shared" si="2905"/>
        <v>0.16835652098797713</v>
      </c>
      <c r="EL680" s="187">
        <f t="shared" si="2905"/>
        <v>0.16794707972776096</v>
      </c>
      <c r="EM680" s="8">
        <f t="shared" ref="EM680:ER680" si="2906">EM650*EM632</f>
        <v>0.16828076055353258</v>
      </c>
      <c r="EN680" s="8">
        <f t="shared" si="2906"/>
        <v>0.16820503421128347</v>
      </c>
      <c r="EO680" s="187">
        <f t="shared" si="2906"/>
        <v>0.16779596136528965</v>
      </c>
      <c r="EP680" s="8">
        <f t="shared" si="2906"/>
        <v>0.16812934194588844</v>
      </c>
      <c r="EQ680" s="8">
        <f t="shared" si="2906"/>
        <v>0.16805368374201282</v>
      </c>
      <c r="ER680" s="187">
        <f t="shared" si="2906"/>
        <v>0.16764497897874311</v>
      </c>
      <c r="ES680" s="8">
        <f t="shared" ref="ES680:EX680" si="2907">ES650*ES632</f>
        <v>0.1679780595843289</v>
      </c>
      <c r="ET680" s="8">
        <f t="shared" si="2907"/>
        <v>0.16790246945751597</v>
      </c>
      <c r="EU680" s="187">
        <f t="shared" si="2907"/>
        <v>0.16749413244577049</v>
      </c>
      <c r="EV680" s="8">
        <f t="shared" si="2907"/>
        <v>0.1678269133462601</v>
      </c>
      <c r="EW680" s="8">
        <f t="shared" si="2907"/>
        <v>0.16775139123525429</v>
      </c>
      <c r="EX680" s="187">
        <f t="shared" si="2907"/>
        <v>0.1673434216441311</v>
      </c>
      <c r="EY680" s="8">
        <f t="shared" ref="EY680:FA680" si="2908">EY650*EY632</f>
        <v>0.16767590310919844</v>
      </c>
      <c r="EZ680" s="8">
        <f t="shared" si="2908"/>
        <v>0.1676004489527993</v>
      </c>
      <c r="FA680" s="187">
        <f t="shared" si="2908"/>
        <v>0.1671928464516943</v>
      </c>
      <c r="FB680" s="65"/>
      <c r="FC680" s="65"/>
      <c r="FD680" s="65"/>
      <c r="FE680" s="65"/>
      <c r="FF680" s="65"/>
      <c r="FG680" s="65"/>
      <c r="FH680" s="65"/>
      <c r="FI680" s="65"/>
      <c r="FJ680" s="35"/>
      <c r="FK680" s="35"/>
      <c r="FL680" s="35"/>
      <c r="FM680" s="35"/>
      <c r="FN680" s="35"/>
      <c r="FO680" s="35"/>
      <c r="FP680" s="35"/>
      <c r="FQ680" s="35"/>
    </row>
    <row r="681" spans="1:173" s="321" customFormat="1" hidden="1" outlineLevel="1">
      <c r="A681" s="1168"/>
      <c r="B681" s="186"/>
      <c r="C681" s="186" t="s">
        <v>431</v>
      </c>
      <c r="D681" s="910"/>
      <c r="E681" s="1"/>
      <c r="F681" s="1"/>
      <c r="G681" s="5"/>
      <c r="H681" s="1"/>
      <c r="I681" s="1"/>
      <c r="J681" s="5"/>
      <c r="K681" s="1"/>
      <c r="L681" s="1"/>
      <c r="M681" s="5"/>
      <c r="N681" s="1"/>
      <c r="O681" s="1"/>
      <c r="P681" s="5"/>
      <c r="Q681" s="1"/>
      <c r="R681" s="1"/>
      <c r="S681" s="5"/>
      <c r="T681" s="1"/>
      <c r="U681" s="1"/>
      <c r="V681" s="5"/>
      <c r="W681" s="1"/>
      <c r="X681" s="1"/>
      <c r="Y681" s="5"/>
      <c r="Z681" s="1"/>
      <c r="AA681" s="1"/>
      <c r="AB681" s="5"/>
      <c r="AC681" s="1"/>
      <c r="AD681" s="1"/>
      <c r="AE681" s="5"/>
      <c r="AF681" s="1"/>
      <c r="AG681" s="1"/>
      <c r="AH681" s="5"/>
      <c r="AI681" s="1"/>
      <c r="AJ681" s="1"/>
      <c r="AK681" s="5"/>
      <c r="AL681" s="1"/>
      <c r="AM681" s="1"/>
      <c r="AN681" s="5"/>
      <c r="AO681" s="1"/>
      <c r="AP681" s="1"/>
      <c r="AQ681" s="5"/>
      <c r="AR681" s="1"/>
      <c r="AS681" s="1"/>
      <c r="AT681" s="5"/>
      <c r="AU681" s="1"/>
      <c r="AV681" s="1"/>
      <c r="AW681" s="5"/>
      <c r="AX681" s="187">
        <f t="shared" ref="AX681:CC681" si="2909">AX651*AX633</f>
        <v>0.91063811123510408</v>
      </c>
      <c r="AY681" s="187">
        <f t="shared" si="2909"/>
        <v>0.91646619514700856</v>
      </c>
      <c r="AZ681" s="187">
        <f t="shared" si="2909"/>
        <v>0.91177513313411251</v>
      </c>
      <c r="BA681" s="8">
        <f t="shared" si="2909"/>
        <v>0.9223315787959494</v>
      </c>
      <c r="BB681" s="8">
        <f t="shared" si="2909"/>
        <v>0.9282345009002434</v>
      </c>
      <c r="BC681" s="978">
        <f t="shared" si="2909"/>
        <v>0.92348320114768234</v>
      </c>
      <c r="BD681" s="8">
        <f t="shared" si="2909"/>
        <v>0.93417520170600499</v>
      </c>
      <c r="BE681" s="8">
        <f t="shared" si="2909"/>
        <v>0.94015392299692335</v>
      </c>
      <c r="BF681" s="978">
        <f t="shared" si="2909"/>
        <v>0.93534161199429167</v>
      </c>
      <c r="BG681" s="8">
        <f t="shared" si="2909"/>
        <v>0.94617090810410365</v>
      </c>
      <c r="BH681" s="8">
        <f t="shared" si="2909"/>
        <v>0.95222640191596997</v>
      </c>
      <c r="BI681" s="978">
        <f t="shared" si="2909"/>
        <v>0.94735229622024575</v>
      </c>
      <c r="BJ681" s="115">
        <f t="shared" si="2909"/>
        <v>0.95832065088823215</v>
      </c>
      <c r="BK681" s="115">
        <f t="shared" si="2909"/>
        <v>0.96445390305391676</v>
      </c>
      <c r="BL681" s="116">
        <f t="shared" si="2909"/>
        <v>0.95951720916191807</v>
      </c>
      <c r="BM681" s="115">
        <f t="shared" si="2909"/>
        <v>0.96754015554368933</v>
      </c>
      <c r="BN681" s="115">
        <f t="shared" si="2909"/>
        <v>0.97063628404142932</v>
      </c>
      <c r="BO681" s="116">
        <f t="shared" si="2909"/>
        <v>0.96565209678457653</v>
      </c>
      <c r="BP681" s="115">
        <f t="shared" si="2909"/>
        <v>0.97374232015036188</v>
      </c>
      <c r="BQ681" s="115">
        <f t="shared" si="2909"/>
        <v>0.97685829557484327</v>
      </c>
      <c r="BR681" s="116">
        <f t="shared" si="2909"/>
        <v>0.97184215848146904</v>
      </c>
      <c r="BS681" s="8">
        <f t="shared" si="2909"/>
        <v>0.97998424212068291</v>
      </c>
      <c r="BT681" s="8">
        <f t="shared" si="2909"/>
        <v>0.98312019169546916</v>
      </c>
      <c r="BU681" s="187">
        <f t="shared" si="2909"/>
        <v>0.97807189995945354</v>
      </c>
      <c r="BV681" s="8">
        <f t="shared" si="2909"/>
        <v>0.98626617630889468</v>
      </c>
      <c r="BW681" s="8">
        <f t="shared" si="2909"/>
        <v>0.98942222807308355</v>
      </c>
      <c r="BX681" s="187">
        <f t="shared" si="2909"/>
        <v>0.98434157557544999</v>
      </c>
      <c r="BY681" s="8">
        <f t="shared" si="2909"/>
        <v>0.99258837920291743</v>
      </c>
      <c r="BZ681" s="8">
        <f t="shared" si="2909"/>
        <v>0.9957646620163666</v>
      </c>
      <c r="CA681" s="187">
        <f t="shared" si="2909"/>
        <v>0.99065144131686678</v>
      </c>
      <c r="CB681" s="8">
        <f t="shared" si="2909"/>
        <v>0.99895110893481931</v>
      </c>
      <c r="CC681" s="8">
        <f t="shared" si="2909"/>
        <v>1.0021477524834108</v>
      </c>
      <c r="CD681" s="187">
        <f t="shared" ref="CD681:DI681" si="2910">CD651*CD633</f>
        <v>0.99700175481205411</v>
      </c>
      <c r="CE681" s="8">
        <f t="shared" si="2910"/>
        <v>1.0053546252913577</v>
      </c>
      <c r="CF681" s="8">
        <f t="shared" si="2910"/>
        <v>1.0085717600922903</v>
      </c>
      <c r="CG681" s="187">
        <f t="shared" si="2910"/>
        <v>1.0033927753408207</v>
      </c>
      <c r="CH681" s="8">
        <f t="shared" si="2910"/>
        <v>1.0117991897245857</v>
      </c>
      <c r="CI681" s="8">
        <f t="shared" si="2910"/>
        <v>1.0150369471317044</v>
      </c>
      <c r="CJ681" s="187">
        <f t="shared" si="2910"/>
        <v>1.0098247638450215</v>
      </c>
      <c r="CK681" s="8">
        <f t="shared" si="2910"/>
        <v>1.0182850653625259</v>
      </c>
      <c r="CL681" s="8">
        <f t="shared" si="2910"/>
        <v>1.0215435775716859</v>
      </c>
      <c r="CM681" s="187">
        <f t="shared" si="2910"/>
        <v>1.0162979829392118</v>
      </c>
      <c r="CN681" s="8">
        <f t="shared" si="2910"/>
        <v>1.0248125170199156</v>
      </c>
      <c r="CO681" s="8">
        <f t="shared" si="2910"/>
        <v>1.0280919170743794</v>
      </c>
      <c r="CP681" s="187">
        <f t="shared" si="2910"/>
        <v>1.022812696921368</v>
      </c>
      <c r="CQ681" s="8">
        <f t="shared" si="2910"/>
        <v>1.0313818112090176</v>
      </c>
      <c r="CR681" s="8">
        <f t="shared" si="2910"/>
        <v>1.0346822330048866</v>
      </c>
      <c r="CS681" s="187">
        <f t="shared" si="2910"/>
        <v>1.0293691717836817</v>
      </c>
      <c r="CT681" s="8">
        <f t="shared" si="2910"/>
        <v>1.0379932161505021</v>
      </c>
      <c r="CU681" s="8">
        <f t="shared" si="2910"/>
        <v>1.0413147944421837</v>
      </c>
      <c r="CV681" s="187">
        <f t="shared" si="2910"/>
        <v>1.0359676752234162</v>
      </c>
      <c r="CW681" s="8">
        <f t="shared" si="2910"/>
        <v>1.044647001784399</v>
      </c>
      <c r="CX681" s="8">
        <f t="shared" si="2910"/>
        <v>1.0479898721901091</v>
      </c>
      <c r="CY681" s="187">
        <f t="shared" si="2910"/>
        <v>1.0426084766538406</v>
      </c>
      <c r="CZ681" s="8">
        <f t="shared" si="2910"/>
        <v>1.0513434397811177</v>
      </c>
      <c r="DA681" s="8">
        <f t="shared" si="2910"/>
        <v>1.0547077387884172</v>
      </c>
      <c r="DB681" s="187">
        <f t="shared" si="2910"/>
        <v>1.0492918472152266</v>
      </c>
      <c r="DC681" s="8">
        <f t="shared" si="2910"/>
        <v>1.0580828035525403</v>
      </c>
      <c r="DD681" s="8">
        <f t="shared" si="2910"/>
        <v>1.0614686685239085</v>
      </c>
      <c r="DE681" s="187">
        <f t="shared" si="2910"/>
        <v>1.0560180597859194</v>
      </c>
      <c r="DF681" s="8">
        <f t="shared" si="2910"/>
        <v>1.064865368263185</v>
      </c>
      <c r="DG681" s="8">
        <f t="shared" si="2910"/>
        <v>1.0682729374416273</v>
      </c>
      <c r="DH681" s="187">
        <f t="shared" si="2910"/>
        <v>1.0627873889934816</v>
      </c>
      <c r="DI681" s="8">
        <f t="shared" si="2910"/>
        <v>1.0716914108414404</v>
      </c>
      <c r="DJ681" s="8">
        <f t="shared" ref="DJ681:EF681" si="2911">DJ651*DJ633</f>
        <v>1.0751208233561331</v>
      </c>
      <c r="DK681" s="187">
        <f t="shared" si="2911"/>
        <v>1.0696001112259033</v>
      </c>
      <c r="DL681" s="8">
        <f t="shared" si="2911"/>
        <v>1.0785612099908728</v>
      </c>
      <c r="DM681" s="8">
        <f t="shared" si="2911"/>
        <v>1.0820126058628436</v>
      </c>
      <c r="DN681" s="187">
        <f t="shared" si="2911"/>
        <v>1.076456504642888</v>
      </c>
      <c r="DO681" s="8">
        <f t="shared" si="2911"/>
        <v>1.0854750462016047</v>
      </c>
      <c r="DP681" s="8">
        <f t="shared" si="2911"/>
        <v>1.0889485663494498</v>
      </c>
      <c r="DQ681" s="187">
        <f t="shared" si="2911"/>
        <v>1.0833568491872103</v>
      </c>
      <c r="DR681" s="8">
        <f t="shared" si="2911"/>
        <v>1.0924332017617684</v>
      </c>
      <c r="DS681" s="8">
        <f t="shared" si="2911"/>
        <v>1.0959289880074061</v>
      </c>
      <c r="DT681" s="187">
        <f t="shared" si="2911"/>
        <v>1.0903014265961444</v>
      </c>
      <c r="DU681" s="8">
        <f t="shared" si="2911"/>
        <v>1.0994359607690296</v>
      </c>
      <c r="DV681" s="8">
        <f t="shared" si="2911"/>
        <v>1.102954155843491</v>
      </c>
      <c r="DW681" s="187">
        <f t="shared" si="2911"/>
        <v>1.0972905204129682</v>
      </c>
      <c r="DX681" s="8">
        <f t="shared" si="2911"/>
        <v>1.1064836091421901</v>
      </c>
      <c r="DY681" s="8">
        <f t="shared" si="2911"/>
        <v>1.1100243566914452</v>
      </c>
      <c r="DZ681" s="187">
        <f t="shared" si="2911"/>
        <v>1.1043244159985404</v>
      </c>
      <c r="EA681" s="8">
        <f t="shared" si="2911"/>
        <v>1.1135764346328578</v>
      </c>
      <c r="EB681" s="8">
        <f t="shared" si="2911"/>
        <v>1.1171398792236833</v>
      </c>
      <c r="EC681" s="187">
        <f t="shared" si="2911"/>
        <v>1.1114034005429512</v>
      </c>
      <c r="ED681" s="8">
        <f t="shared" si="2911"/>
        <v>1.1207147268371991</v>
      </c>
      <c r="EE681" s="8">
        <f t="shared" si="2911"/>
        <v>1.1243010139630782</v>
      </c>
      <c r="EF681" s="187">
        <f t="shared" si="2911"/>
        <v>1.1185277630772479</v>
      </c>
      <c r="EG681" s="8">
        <f t="shared" ref="EG681:EL681" si="2912">EG651*EG633</f>
        <v>1.12789877720776</v>
      </c>
      <c r="EH681" s="8">
        <f t="shared" si="2912"/>
        <v>1.1315080532948252</v>
      </c>
      <c r="EI681" s="187">
        <f t="shared" si="2912"/>
        <v>1.1256977944852362</v>
      </c>
      <c r="EJ681" s="8">
        <f t="shared" si="2912"/>
        <v>1.1351288790653686</v>
      </c>
      <c r="EK681" s="8">
        <f t="shared" si="2912"/>
        <v>1.1387612914783778</v>
      </c>
      <c r="EL681" s="187">
        <f t="shared" si="2912"/>
        <v>1.1329137875153574</v>
      </c>
      <c r="EM681" s="8">
        <f t="shared" ref="EM681:ER681" si="2913">EM651*EM633</f>
        <v>1.1424053276111086</v>
      </c>
      <c r="EN681" s="8">
        <f t="shared" si="2913"/>
        <v>1.1460610246594645</v>
      </c>
      <c r="EO681" s="187">
        <f t="shared" si="2913"/>
        <v>1.1401760367926401</v>
      </c>
      <c r="EP681" s="8">
        <f t="shared" si="2913"/>
        <v>1.149728419938375</v>
      </c>
      <c r="EQ681" s="8">
        <f t="shared" si="2913"/>
        <v>1.1534075508821777</v>
      </c>
      <c r="ER681" s="187">
        <f t="shared" si="2913"/>
        <v>1.1474848388307297</v>
      </c>
      <c r="ES681" s="8">
        <f t="shared" ref="ES681:EX681" si="2914">ES651*ES633</f>
        <v>1.1570984550450008</v>
      </c>
      <c r="ET681" s="8">
        <f t="shared" si="2914"/>
        <v>1.1608011701011447</v>
      </c>
      <c r="EU681" s="187">
        <f t="shared" si="2914"/>
        <v>1.1548404920439963</v>
      </c>
      <c r="EV681" s="8">
        <f t="shared" si="2914"/>
        <v>1.1645157338454686</v>
      </c>
      <c r="EW681" s="8">
        <f t="shared" si="2914"/>
        <v>1.168242184193774</v>
      </c>
      <c r="EX681" s="187">
        <f t="shared" si="2914"/>
        <v>1.1622432967597163</v>
      </c>
      <c r="EY681" s="8">
        <f t="shared" ref="EY681:FA681" si="2915">EY651*EY633</f>
        <v>1.1719805591831942</v>
      </c>
      <c r="EZ681" s="8">
        <f t="shared" si="2915"/>
        <v>1.1757308969725806</v>
      </c>
      <c r="FA681" s="187">
        <f t="shared" si="2915"/>
        <v>1.1696935552303376</v>
      </c>
      <c r="FH681" s="35"/>
      <c r="FI681" s="35"/>
      <c r="FJ681" s="35"/>
      <c r="FK681" s="35"/>
      <c r="FL681" s="35"/>
      <c r="FM681" s="35"/>
      <c r="FN681" s="35"/>
      <c r="FO681" s="35"/>
      <c r="FP681" s="35"/>
      <c r="FQ681" s="35"/>
    </row>
    <row r="682" spans="1:173" s="321" customFormat="1" hidden="1" outlineLevel="1">
      <c r="A682" s="1168"/>
      <c r="B682" s="186"/>
      <c r="C682" s="186" t="s">
        <v>327</v>
      </c>
      <c r="D682" s="910"/>
      <c r="E682" s="1"/>
      <c r="F682" s="1"/>
      <c r="G682" s="5"/>
      <c r="H682" s="1"/>
      <c r="I682" s="1"/>
      <c r="J682" s="5"/>
      <c r="K682" s="1"/>
      <c r="L682" s="1"/>
      <c r="M682" s="5"/>
      <c r="N682" s="1"/>
      <c r="O682" s="1"/>
      <c r="P682" s="5"/>
      <c r="Q682" s="1"/>
      <c r="R682" s="1"/>
      <c r="S682" s="5"/>
      <c r="T682" s="1"/>
      <c r="U682" s="1"/>
      <c r="V682" s="5"/>
      <c r="W682" s="1"/>
      <c r="X682" s="1"/>
      <c r="Y682" s="5"/>
      <c r="Z682" s="1"/>
      <c r="AA682" s="1"/>
      <c r="AB682" s="5"/>
      <c r="AC682" s="1"/>
      <c r="AD682" s="1"/>
      <c r="AE682" s="5"/>
      <c r="AF682" s="1"/>
      <c r="AG682" s="1"/>
      <c r="AH682" s="5"/>
      <c r="AI682" s="1"/>
      <c r="AJ682" s="1"/>
      <c r="AK682" s="5"/>
      <c r="AL682" s="1"/>
      <c r="AM682" s="1"/>
      <c r="AN682" s="5"/>
      <c r="AO682" s="1"/>
      <c r="AP682" s="1"/>
      <c r="AQ682" s="5"/>
      <c r="AR682" s="1"/>
      <c r="AS682" s="1"/>
      <c r="AT682" s="5"/>
      <c r="AU682" s="1"/>
      <c r="AV682" s="1"/>
      <c r="AW682" s="5"/>
      <c r="AX682" s="187">
        <f t="shared" ref="AX682:CC682" si="2916">AX652*AX634</f>
        <v>1.1621066956831798</v>
      </c>
      <c r="AY682" s="187">
        <f t="shared" si="2916"/>
        <v>1.168007690935813</v>
      </c>
      <c r="AZ682" s="187">
        <f t="shared" si="2916"/>
        <v>1.1626193290549927</v>
      </c>
      <c r="BA682" s="8">
        <f t="shared" si="2916"/>
        <v>1.1739468030428228</v>
      </c>
      <c r="BB682" s="8">
        <f t="shared" si="2916"/>
        <v>1.179924272591196</v>
      </c>
      <c r="BC682" s="978">
        <f t="shared" si="2916"/>
        <v>1.1744748083199361</v>
      </c>
      <c r="BD682" s="8">
        <f t="shared" si="2916"/>
        <v>1.1859403417017178</v>
      </c>
      <c r="BE682" s="8">
        <f t="shared" si="2916"/>
        <v>1.1919952540387651</v>
      </c>
      <c r="BF682" s="978">
        <f t="shared" si="2916"/>
        <v>1.1864839029004559</v>
      </c>
      <c r="BG682" s="8">
        <f t="shared" si="2916"/>
        <v>1.1980892548201649</v>
      </c>
      <c r="BH682" s="8">
        <f t="shared" si="2916"/>
        <v>1.2042225908271174</v>
      </c>
      <c r="BI682" s="978">
        <f t="shared" si="2916"/>
        <v>1.1986485583582771</v>
      </c>
      <c r="BJ682" s="115">
        <f t="shared" si="2916"/>
        <v>1.2103955104141759</v>
      </c>
      <c r="BK682" s="115">
        <f t="shared" si="2916"/>
        <v>1.216608263519299</v>
      </c>
      <c r="BL682" s="116">
        <f t="shared" si="2916"/>
        <v>1.2109707451416867</v>
      </c>
      <c r="BM682" s="115">
        <f t="shared" si="2916"/>
        <v>1.2197346825966295</v>
      </c>
      <c r="BN682" s="115">
        <f t="shared" si="2916"/>
        <v>1.2228711862201367</v>
      </c>
      <c r="BO682" s="116">
        <f t="shared" si="2916"/>
        <v>1.2171854935431479</v>
      </c>
      <c r="BP682" s="115">
        <f t="shared" si="2916"/>
        <v>1.2260178062334575</v>
      </c>
      <c r="BQ682" s="115">
        <f t="shared" si="2916"/>
        <v>1.2291745745817457</v>
      </c>
      <c r="BR682" s="116">
        <f t="shared" si="2916"/>
        <v>1.2234564741541876</v>
      </c>
      <c r="BS682" s="8">
        <f t="shared" si="2916"/>
        <v>1.2323415233119928</v>
      </c>
      <c r="BT682" s="8">
        <f t="shared" si="2916"/>
        <v>1.2355186845733557</v>
      </c>
      <c r="BU682" s="187">
        <f t="shared" si="2916"/>
        <v>1.2297679687858445</v>
      </c>
      <c r="BV682" s="8">
        <f t="shared" si="2916"/>
        <v>1.238706090617482</v>
      </c>
      <c r="BW682" s="8">
        <f t="shared" si="2916"/>
        <v>1.2419037737988377</v>
      </c>
      <c r="BX682" s="187">
        <f t="shared" si="2916"/>
        <v>1.2361202337221635</v>
      </c>
      <c r="BY682" s="8">
        <f t="shared" si="2916"/>
        <v>1.2451117665750342</v>
      </c>
      <c r="BZ682" s="8">
        <f t="shared" si="2916"/>
        <v>1.2483301015071595</v>
      </c>
      <c r="CA682" s="187">
        <f t="shared" si="2916"/>
        <v>1.2425135268838488</v>
      </c>
      <c r="CB682" s="8">
        <f t="shared" si="2916"/>
        <v>1.2515588112601084</v>
      </c>
      <c r="CC682" s="8">
        <f t="shared" si="2916"/>
        <v>1.2547979286029118</v>
      </c>
      <c r="CD682" s="187">
        <f t="shared" ref="CD682:DI682" si="2917">CD652*CD634</f>
        <v>1.2489481078387354</v>
      </c>
      <c r="CE682" s="8">
        <f t="shared" si="2917"/>
        <v>1.2580474864090723</v>
      </c>
      <c r="CF682" s="8">
        <f t="shared" si="2917"/>
        <v>1.2613075176568957</v>
      </c>
      <c r="CG682" s="187">
        <f t="shared" si="2917"/>
        <v>1.2554242378123239</v>
      </c>
      <c r="CH682" s="8">
        <f t="shared" si="2917"/>
        <v>1.2645780554298269</v>
      </c>
      <c r="CI682" s="8">
        <f t="shared" si="2917"/>
        <v>1.2678591329167845</v>
      </c>
      <c r="CJ682" s="187">
        <f t="shared" si="2917"/>
        <v>1.2619421796983863</v>
      </c>
      <c r="CK682" s="8">
        <f t="shared" si="2917"/>
        <v>1.2711507834124989</v>
      </c>
      <c r="CL682" s="8">
        <f t="shared" si="2917"/>
        <v>1.2744530403178491</v>
      </c>
      <c r="CM682" s="187">
        <f t="shared" si="2917"/>
        <v>1.2685021980696365</v>
      </c>
      <c r="CN682" s="8">
        <f t="shared" si="2917"/>
        <v>1.2777659371402026</v>
      </c>
      <c r="CO682" s="8">
        <f t="shared" si="2917"/>
        <v>1.2810895074937552</v>
      </c>
      <c r="CP682" s="187">
        <f t="shared" si="2917"/>
        <v>1.2751045591884713</v>
      </c>
      <c r="CQ682" s="8">
        <f t="shared" si="2917"/>
        <v>1.284423785099871</v>
      </c>
      <c r="CR682" s="8">
        <f t="shared" si="2917"/>
        <v>1.2877688037874264</v>
      </c>
      <c r="CS682" s="187">
        <f t="shared" si="2917"/>
        <v>1.2817495310177807</v>
      </c>
      <c r="CT682" s="8">
        <f t="shared" si="2917"/>
        <v>1.2911245974931529</v>
      </c>
      <c r="CU682" s="8">
        <f t="shared" si="2917"/>
        <v>1.2944912002619804</v>
      </c>
      <c r="CV682" s="187">
        <f t="shared" si="2917"/>
        <v>1.2884373832318239</v>
      </c>
      <c r="CW682" s="8">
        <f t="shared" si="2917"/>
        <v>1.2978686462473854</v>
      </c>
      <c r="CX682" s="8">
        <f t="shared" si="2917"/>
        <v>1.3012569697117338</v>
      </c>
      <c r="CY682" s="187">
        <f t="shared" si="2917"/>
        <v>1.2951683872271798</v>
      </c>
      <c r="CZ682" s="8">
        <f t="shared" si="2917"/>
        <v>1.3046562050266324</v>
      </c>
      <c r="DA682" s="8">
        <f t="shared" si="2917"/>
        <v>1.3080663866732747</v>
      </c>
      <c r="DB682" s="187">
        <f t="shared" si="2917"/>
        <v>1.3019428161337647</v>
      </c>
      <c r="DC682" s="8">
        <f t="shared" si="2917"/>
        <v>1.311487549242794</v>
      </c>
      <c r="DD682" s="8">
        <f t="shared" si="2917"/>
        <v>1.3149197274366111</v>
      </c>
      <c r="DE682" s="187">
        <f t="shared" si="2917"/>
        <v>1.3087609448259183</v>
      </c>
      <c r="DF682" s="8">
        <f t="shared" si="2917"/>
        <v>1.31836295606679</v>
      </c>
      <c r="DG682" s="8">
        <f t="shared" si="2917"/>
        <v>1.3218172700563877</v>
      </c>
      <c r="DH682" s="187">
        <f t="shared" si="2917"/>
        <v>1.3156230499335686</v>
      </c>
      <c r="DI682" s="8">
        <f t="shared" si="2917"/>
        <v>1.3252827044398117</v>
      </c>
      <c r="DJ682" s="8">
        <f t="shared" ref="DJ682:EF682" si="2918">DJ652*DJ634</f>
        <v>1.3287592943631745</v>
      </c>
      <c r="DK682" s="187">
        <f t="shared" si="2918"/>
        <v>1.322529409853459</v>
      </c>
      <c r="DL682" s="8">
        <f t="shared" si="2918"/>
        <v>1.3322470750846491</v>
      </c>
      <c r="DM682" s="8">
        <f t="shared" si="2918"/>
        <v>1.3357460819748292</v>
      </c>
      <c r="DN682" s="187">
        <f t="shared" si="2918"/>
        <v>1.3294803047604526</v>
      </c>
      <c r="DO682" s="8">
        <f t="shared" si="2918"/>
        <v>1.3392563505170858</v>
      </c>
      <c r="DP682" s="8">
        <f t="shared" si="2918"/>
        <v>1.3427779163079299</v>
      </c>
      <c r="DQ682" s="187">
        <f t="shared" si="2918"/>
        <v>1.3364760166189087</v>
      </c>
      <c r="DR682" s="8">
        <f t="shared" si="2918"/>
        <v>1.3463108150573724</v>
      </c>
      <c r="DS682" s="8">
        <f t="shared" si="2918"/>
        <v>1.3498550825892854</v>
      </c>
      <c r="DT682" s="187">
        <f t="shared" si="2918"/>
        <v>1.3435168291941297</v>
      </c>
      <c r="DU682" s="8">
        <f t="shared" si="2918"/>
        <v>1.3534107548417686</v>
      </c>
      <c r="DV682" s="8">
        <f t="shared" si="2918"/>
        <v>1.3569778678675126</v>
      </c>
      <c r="DW682" s="187">
        <f t="shared" si="2918"/>
        <v>1.350603028063885</v>
      </c>
      <c r="DX682" s="8">
        <f t="shared" si="2918"/>
        <v>1.3605564578341649</v>
      </c>
      <c r="DY682" s="8">
        <f t="shared" si="2918"/>
        <v>1.3641465610246959</v>
      </c>
      <c r="DZ682" s="187">
        <f t="shared" si="2918"/>
        <v>1.3577349006300046</v>
      </c>
      <c r="EA682" s="8">
        <f t="shared" si="2918"/>
        <v>1.3677482138377703</v>
      </c>
      <c r="EB682" s="8">
        <f t="shared" si="2918"/>
        <v>1.3713614527881144</v>
      </c>
      <c r="EC682" s="187">
        <f t="shared" si="2918"/>
        <v>1.3649127361300497</v>
      </c>
      <c r="ED682" s="8">
        <f t="shared" si="2918"/>
        <v>1.3749863145068855</v>
      </c>
      <c r="EE682" s="8">
        <f t="shared" si="2918"/>
        <v>1.3786228357420474</v>
      </c>
      <c r="EF682" s="187">
        <f t="shared" si="2918"/>
        <v>1.3721368256490576</v>
      </c>
      <c r="EG682" s="8">
        <f t="shared" ref="EG682:EL682" si="2919">EG652*EG634</f>
        <v>1.3822710533587401</v>
      </c>
      <c r="EH682" s="8">
        <f t="shared" si="2919"/>
        <v>1.3859310043396567</v>
      </c>
      <c r="EI682" s="187">
        <f t="shared" si="2919"/>
        <v>1.3794074621313599</v>
      </c>
      <c r="EJ682" s="8">
        <f t="shared" si="2919"/>
        <v>1.389602725785416</v>
      </c>
      <c r="EK682" s="8">
        <f t="shared" si="2919"/>
        <v>1.3932862549149423</v>
      </c>
      <c r="EL682" s="187">
        <f t="shared" si="2919"/>
        <v>1.3867249403924808</v>
      </c>
      <c r="EM682" s="8">
        <f t="shared" ref="EM682:ER682" si="2920">EM652*EM634</f>
        <v>1.3969816290658401</v>
      </c>
      <c r="EN682" s="8">
        <f t="shared" si="2920"/>
        <v>1.4006888856947763</v>
      </c>
      <c r="EO682" s="187">
        <f t="shared" si="2920"/>
        <v>1.3940895571311069</v>
      </c>
      <c r="EP682" s="8">
        <f t="shared" si="2920"/>
        <v>1.404408062377857</v>
      </c>
      <c r="EQ682" s="8">
        <f t="shared" si="2920"/>
        <v>1.4081391968110122</v>
      </c>
      <c r="ER682" s="187">
        <f t="shared" si="2920"/>
        <v>1.4015016109411351</v>
      </c>
      <c r="ES682" s="8">
        <f t="shared" ref="ES682:EX682" si="2921">ES652*ES634</f>
        <v>1.4118823268103771</v>
      </c>
      <c r="ET682" s="8">
        <f t="shared" si="2921"/>
        <v>1.4156374903126749</v>
      </c>
      <c r="EU682" s="187">
        <f t="shared" si="2921"/>
        <v>1.4089614023238</v>
      </c>
      <c r="EV682" s="8">
        <f t="shared" si="2921"/>
        <v>1.419404725375605</v>
      </c>
      <c r="EW682" s="8">
        <f t="shared" si="2921"/>
        <v>1.4231840701782261</v>
      </c>
      <c r="EX682" s="187">
        <f t="shared" si="2921"/>
        <v>1.4164692336998745</v>
      </c>
      <c r="EY682" s="8">
        <f t="shared" ref="EY682:FA682" si="2922">EY652*EY634</f>
        <v>1.4269755630213454</v>
      </c>
      <c r="EZ682" s="8">
        <f t="shared" si="2922"/>
        <v>1.430779242327908</v>
      </c>
      <c r="FA682" s="187">
        <f t="shared" si="2922"/>
        <v>1.4240254094219547</v>
      </c>
      <c r="FH682" s="35"/>
      <c r="FI682" s="35"/>
      <c r="FJ682" s="35"/>
      <c r="FK682" s="35"/>
      <c r="FL682" s="35"/>
      <c r="FM682" s="35"/>
      <c r="FN682" s="35"/>
      <c r="FO682" s="35"/>
      <c r="FP682" s="35"/>
      <c r="FQ682" s="35"/>
    </row>
    <row r="683" spans="1:173" s="321" customFormat="1" hidden="1" outlineLevel="1">
      <c r="A683" s="1168"/>
      <c r="B683" s="186"/>
      <c r="C683" s="186"/>
      <c r="D683" s="910"/>
      <c r="E683" s="1"/>
      <c r="F683" s="1"/>
      <c r="G683" s="5"/>
      <c r="H683" s="1"/>
      <c r="I683" s="1"/>
      <c r="J683" s="5"/>
      <c r="K683" s="1"/>
      <c r="L683" s="1"/>
      <c r="M683" s="5"/>
      <c r="N683" s="1"/>
      <c r="O683" s="1"/>
      <c r="P683" s="5"/>
      <c r="Q683" s="1"/>
      <c r="R683" s="1"/>
      <c r="S683" s="5"/>
      <c r="T683" s="1"/>
      <c r="U683" s="1"/>
      <c r="V683" s="5"/>
      <c r="W683" s="1"/>
      <c r="X683" s="1"/>
      <c r="Y683" s="5"/>
      <c r="Z683" s="1"/>
      <c r="AA683" s="1"/>
      <c r="AB683" s="5"/>
      <c r="AC683" s="1"/>
      <c r="AD683" s="1"/>
      <c r="AE683" s="5"/>
      <c r="AF683" s="1"/>
      <c r="AG683" s="1"/>
      <c r="AH683" s="5"/>
      <c r="AI683" s="1"/>
      <c r="AJ683" s="1"/>
      <c r="AK683" s="5"/>
      <c r="AL683" s="1"/>
      <c r="AM683" s="1"/>
      <c r="AN683" s="5"/>
      <c r="AO683" s="1"/>
      <c r="AP683" s="1"/>
      <c r="AQ683" s="5"/>
      <c r="AR683" s="1"/>
      <c r="AS683" s="1"/>
      <c r="AT683" s="5"/>
      <c r="AU683" s="1"/>
      <c r="AV683" s="1"/>
      <c r="AW683" s="5"/>
      <c r="AX683" s="3"/>
      <c r="AY683" s="3"/>
      <c r="AZ683" s="2"/>
      <c r="BA683" s="3"/>
      <c r="BB683" s="3"/>
      <c r="BC683" s="973"/>
      <c r="BD683" s="3"/>
      <c r="BE683" s="3"/>
      <c r="BF683" s="973"/>
      <c r="BG683" s="3"/>
      <c r="BH683" s="3"/>
      <c r="BI683" s="978"/>
      <c r="BJ683" s="115"/>
      <c r="BK683" s="115"/>
      <c r="BL683" s="116"/>
      <c r="BM683" s="115"/>
      <c r="BN683" s="115"/>
      <c r="BO683" s="116"/>
      <c r="BP683" s="115"/>
      <c r="BQ683" s="115"/>
      <c r="BR683" s="116"/>
      <c r="BS683" s="8"/>
      <c r="BT683" s="8"/>
      <c r="BU683" s="187"/>
      <c r="BV683" s="8"/>
      <c r="BW683" s="8"/>
      <c r="BX683" s="187"/>
      <c r="BY683" s="8"/>
      <c r="BZ683" s="8"/>
      <c r="CA683" s="187"/>
      <c r="CB683" s="8"/>
      <c r="CC683" s="8"/>
      <c r="CD683" s="187"/>
      <c r="CE683" s="8"/>
      <c r="CF683" s="8"/>
      <c r="CG683" s="187"/>
      <c r="CH683" s="8"/>
      <c r="CI683" s="8"/>
      <c r="CJ683" s="187"/>
      <c r="CK683" s="8"/>
      <c r="CL683" s="8"/>
      <c r="CM683" s="187"/>
      <c r="CN683" s="8"/>
      <c r="CO683" s="8"/>
      <c r="CP683" s="187"/>
      <c r="CQ683" s="8"/>
      <c r="CR683" s="8"/>
      <c r="CS683" s="187"/>
      <c r="CT683" s="8"/>
      <c r="CU683" s="8"/>
      <c r="CV683" s="187"/>
      <c r="CW683" s="8"/>
      <c r="CX683" s="8"/>
      <c r="CY683" s="187"/>
      <c r="CZ683" s="8"/>
      <c r="DA683" s="8"/>
      <c r="DB683" s="187"/>
      <c r="DC683" s="8"/>
      <c r="DD683" s="8"/>
      <c r="DE683" s="187"/>
      <c r="DF683" s="8"/>
      <c r="DG683" s="8"/>
      <c r="DH683" s="187"/>
      <c r="DI683" s="8"/>
      <c r="DJ683" s="8"/>
      <c r="DK683" s="187"/>
      <c r="DL683" s="8"/>
      <c r="DM683" s="8"/>
      <c r="DN683" s="187"/>
      <c r="DO683" s="8"/>
      <c r="DP683" s="8"/>
      <c r="DQ683" s="187"/>
      <c r="DR683" s="8"/>
      <c r="DS683" s="8"/>
      <c r="DT683" s="187"/>
      <c r="DU683" s="8"/>
      <c r="DV683" s="8"/>
      <c r="DW683" s="187"/>
      <c r="DX683" s="8"/>
      <c r="DY683" s="8"/>
      <c r="DZ683" s="187"/>
      <c r="EA683" s="8"/>
      <c r="EB683" s="8"/>
      <c r="EC683" s="187"/>
      <c r="ED683" s="8"/>
      <c r="EE683" s="8"/>
      <c r="EF683" s="187"/>
      <c r="EG683" s="8"/>
      <c r="EH683" s="8"/>
      <c r="EI683" s="187"/>
      <c r="EJ683" s="8"/>
      <c r="EK683" s="8"/>
      <c r="EL683" s="187"/>
      <c r="EM683" s="8"/>
      <c r="EN683" s="8"/>
      <c r="EO683" s="187"/>
      <c r="EP683" s="8"/>
      <c r="EQ683" s="8"/>
      <c r="ER683" s="187"/>
      <c r="ES683" s="8"/>
      <c r="ET683" s="8"/>
      <c r="EU683" s="187"/>
      <c r="EV683" s="8"/>
      <c r="EW683" s="8"/>
      <c r="EX683" s="187"/>
      <c r="EY683" s="8"/>
      <c r="EZ683" s="8"/>
      <c r="FA683" s="187"/>
      <c r="FH683" s="35"/>
      <c r="FI683" s="35"/>
      <c r="FJ683" s="35"/>
      <c r="FK683" s="35"/>
      <c r="FL683" s="35"/>
      <c r="FM683" s="35"/>
      <c r="FN683" s="35"/>
      <c r="FO683" s="35"/>
      <c r="FP683" s="35"/>
      <c r="FQ683" s="35"/>
    </row>
    <row r="684" spans="1:173" s="321" customFormat="1" hidden="1" outlineLevel="1">
      <c r="A684" s="1168"/>
      <c r="B684" s="186"/>
      <c r="C684" s="331" t="s">
        <v>792</v>
      </c>
      <c r="D684" s="910"/>
      <c r="E684" s="1"/>
      <c r="F684" s="1"/>
      <c r="G684" s="5"/>
      <c r="H684" s="1"/>
      <c r="I684" s="1"/>
      <c r="J684" s="5"/>
      <c r="K684" s="1"/>
      <c r="L684" s="1"/>
      <c r="M684" s="5"/>
      <c r="N684" s="1"/>
      <c r="O684" s="1"/>
      <c r="P684" s="5"/>
      <c r="Q684" s="1"/>
      <c r="R684" s="1"/>
      <c r="S684" s="5"/>
      <c r="T684" s="1"/>
      <c r="U684" s="1"/>
      <c r="V684" s="5"/>
      <c r="W684" s="1"/>
      <c r="X684" s="1"/>
      <c r="Y684" s="5"/>
      <c r="Z684" s="1"/>
      <c r="AA684" s="1"/>
      <c r="AB684" s="5"/>
      <c r="AC684" s="1"/>
      <c r="AD684" s="1"/>
      <c r="AE684" s="5"/>
      <c r="AF684" s="1"/>
      <c r="AG684" s="1"/>
      <c r="AH684" s="5"/>
      <c r="AI684" s="1"/>
      <c r="AJ684" s="1"/>
      <c r="AK684" s="5"/>
      <c r="AL684" s="1"/>
      <c r="AM684" s="1"/>
      <c r="AN684" s="5"/>
      <c r="AO684" s="1"/>
      <c r="AP684" s="1"/>
      <c r="AQ684" s="5"/>
      <c r="AR684" s="1"/>
      <c r="AS684" s="1"/>
      <c r="AT684" s="5"/>
      <c r="AU684" s="1"/>
      <c r="AV684" s="1"/>
      <c r="AW684" s="5"/>
      <c r="AX684" s="3"/>
      <c r="AY684" s="3"/>
      <c r="AZ684" s="2"/>
      <c r="BA684" s="3"/>
      <c r="BB684" s="3"/>
      <c r="BC684" s="973"/>
      <c r="BD684" s="3"/>
      <c r="BE684" s="3"/>
      <c r="BF684" s="973"/>
      <c r="BG684" s="3"/>
      <c r="BH684" s="3"/>
      <c r="BI684" s="978"/>
      <c r="BJ684" s="115"/>
      <c r="BK684" s="115"/>
      <c r="BL684" s="116"/>
      <c r="BM684" s="115"/>
      <c r="BN684" s="115"/>
      <c r="BO684" s="116"/>
      <c r="BP684" s="115"/>
      <c r="BQ684" s="115"/>
      <c r="BR684" s="116"/>
      <c r="BS684" s="8"/>
      <c r="BT684" s="8"/>
      <c r="BU684" s="187"/>
      <c r="BV684" s="8"/>
      <c r="BW684" s="8"/>
      <c r="BX684" s="187"/>
      <c r="BY684" s="8"/>
      <c r="BZ684" s="8"/>
      <c r="CA684" s="187"/>
      <c r="CB684" s="8"/>
      <c r="CC684" s="8"/>
      <c r="CD684" s="187"/>
      <c r="CE684" s="8"/>
      <c r="CF684" s="8"/>
      <c r="CG684" s="187"/>
      <c r="CH684" s="8"/>
      <c r="CI684" s="8"/>
      <c r="CJ684" s="187"/>
      <c r="CK684" s="8"/>
      <c r="CL684" s="8"/>
      <c r="CM684" s="187"/>
      <c r="CN684" s="8"/>
      <c r="CO684" s="8"/>
      <c r="CP684" s="187"/>
      <c r="CQ684" s="8"/>
      <c r="CR684" s="8"/>
      <c r="CS684" s="187"/>
      <c r="CT684" s="8"/>
      <c r="CU684" s="8"/>
      <c r="CV684" s="187"/>
      <c r="CW684" s="8"/>
      <c r="CX684" s="8"/>
      <c r="CY684" s="187"/>
      <c r="CZ684" s="8"/>
      <c r="DA684" s="8"/>
      <c r="DB684" s="187"/>
      <c r="DC684" s="8"/>
      <c r="DD684" s="8"/>
      <c r="DE684" s="187"/>
      <c r="DF684" s="8"/>
      <c r="DG684" s="8"/>
      <c r="DH684" s="187"/>
      <c r="DI684" s="8"/>
      <c r="DJ684" s="8"/>
      <c r="DK684" s="187"/>
      <c r="DL684" s="8"/>
      <c r="DM684" s="8"/>
      <c r="DN684" s="187"/>
      <c r="DO684" s="8"/>
      <c r="DP684" s="8"/>
      <c r="DQ684" s="187"/>
      <c r="DR684" s="8"/>
      <c r="DS684" s="8"/>
      <c r="DT684" s="187"/>
      <c r="DU684" s="8"/>
      <c r="DV684" s="8"/>
      <c r="DW684" s="187"/>
      <c r="DX684" s="8"/>
      <c r="DY684" s="8"/>
      <c r="DZ684" s="187"/>
      <c r="EA684" s="8"/>
      <c r="EB684" s="8"/>
      <c r="EC684" s="187"/>
      <c r="ED684" s="8"/>
      <c r="EE684" s="8"/>
      <c r="EF684" s="187"/>
      <c r="EG684" s="8"/>
      <c r="EH684" s="8"/>
      <c r="EI684" s="187"/>
      <c r="EJ684" s="8"/>
      <c r="EK684" s="8"/>
      <c r="EL684" s="187"/>
      <c r="EM684" s="8"/>
      <c r="EN684" s="8"/>
      <c r="EO684" s="187"/>
      <c r="EP684" s="8"/>
      <c r="EQ684" s="8"/>
      <c r="ER684" s="187"/>
      <c r="ES684" s="8"/>
      <c r="ET684" s="8"/>
      <c r="EU684" s="187"/>
      <c r="EV684" s="8"/>
      <c r="EW684" s="8"/>
      <c r="EX684" s="187"/>
      <c r="EY684" s="8"/>
      <c r="EZ684" s="8"/>
      <c r="FA684" s="187"/>
      <c r="FH684" s="35"/>
      <c r="FI684" s="35"/>
      <c r="FJ684" s="35"/>
      <c r="FK684" s="35"/>
      <c r="FL684" s="35"/>
      <c r="FM684" s="35"/>
      <c r="FN684" s="35"/>
      <c r="FO684" s="35"/>
      <c r="FP684" s="35"/>
      <c r="FQ684" s="35"/>
    </row>
    <row r="685" spans="1:173" s="321" customFormat="1" hidden="1" outlineLevel="1">
      <c r="A685" s="1168"/>
      <c r="B685" s="186"/>
      <c r="C685" s="186" t="s">
        <v>316</v>
      </c>
      <c r="D685" s="910"/>
      <c r="E685" s="1"/>
      <c r="F685" s="1"/>
      <c r="G685" s="5"/>
      <c r="H685" s="1"/>
      <c r="I685" s="1"/>
      <c r="J685" s="5"/>
      <c r="K685" s="1"/>
      <c r="L685" s="1"/>
      <c r="M685" s="5"/>
      <c r="N685" s="1"/>
      <c r="O685" s="1"/>
      <c r="P685" s="5"/>
      <c r="Q685" s="1"/>
      <c r="R685" s="1"/>
      <c r="S685" s="5"/>
      <c r="T685" s="1"/>
      <c r="U685" s="1"/>
      <c r="V685" s="5"/>
      <c r="W685" s="1"/>
      <c r="X685" s="1"/>
      <c r="Y685" s="5"/>
      <c r="Z685" s="1"/>
      <c r="AA685" s="1"/>
      <c r="AB685" s="5"/>
      <c r="AC685" s="1"/>
      <c r="AD685" s="1"/>
      <c r="AE685" s="5"/>
      <c r="AF685" s="1"/>
      <c r="AG685" s="1"/>
      <c r="AH685" s="5"/>
      <c r="AI685" s="1"/>
      <c r="AJ685" s="1"/>
      <c r="AK685" s="5"/>
      <c r="AL685" s="1"/>
      <c r="AM685" s="1"/>
      <c r="AN685" s="5"/>
      <c r="AO685" s="1"/>
      <c r="AP685" s="1"/>
      <c r="AQ685" s="5"/>
      <c r="AR685" s="1"/>
      <c r="AS685" s="1"/>
      <c r="AT685" s="5"/>
      <c r="AU685" s="1"/>
      <c r="AV685" s="1"/>
      <c r="AW685" s="5"/>
      <c r="AX685" s="187">
        <f t="shared" ref="AX685:AY687" si="2923">AX637</f>
        <v>3.4367788018687504E-3</v>
      </c>
      <c r="AY685" s="187">
        <f t="shared" si="2923"/>
        <v>3.4469172993342634E-3</v>
      </c>
      <c r="AZ685" s="9">
        <f>SUM(AX685:AY685)</f>
        <v>6.8836961012030138E-3</v>
      </c>
      <c r="BA685" s="8">
        <f t="shared" ref="BA685:BB687" si="2924">BA637</f>
        <v>3.4570857053672997E-3</v>
      </c>
      <c r="BB685" s="8">
        <f t="shared" si="2924"/>
        <v>3.4672841081981329E-3</v>
      </c>
      <c r="BC685" s="51">
        <f>SUM(BA685:BB685)</f>
        <v>6.9243698135654326E-3</v>
      </c>
      <c r="BD685" s="8">
        <f t="shared" ref="BD685:BE687" si="2925">BD637</f>
        <v>3.4775125963173175E-3</v>
      </c>
      <c r="BE685" s="8">
        <f t="shared" si="2925"/>
        <v>3.487771258476454E-3</v>
      </c>
      <c r="BF685" s="51">
        <f>SUM(BD685:BE685)</f>
        <v>6.9652838547937714E-3</v>
      </c>
      <c r="BG685" s="8">
        <f t="shared" ref="BG685:BH687" si="2926">BG637</f>
        <v>3.4980601836889598E-3</v>
      </c>
      <c r="BH685" s="8">
        <f t="shared" si="2926"/>
        <v>3.508379461230842E-3</v>
      </c>
      <c r="BI685" s="51">
        <f>SUM(BG685:BH685)</f>
        <v>7.0064396449198013E-3</v>
      </c>
      <c r="BJ685" s="115">
        <f t="shared" ref="BJ685:BK687" si="2927">BJ637</f>
        <v>3.5187291806414727E-3</v>
      </c>
      <c r="BK685" s="115">
        <f t="shared" si="2927"/>
        <v>3.5291094317243654E-3</v>
      </c>
      <c r="BL685" s="116">
        <f>SUM(BJ685:BK685)</f>
        <v>7.0478386123658376E-3</v>
      </c>
      <c r="BM685" s="115">
        <f t="shared" ref="BM685:BN687" si="2928">BM637</f>
        <v>3.5343148681361587E-3</v>
      </c>
      <c r="BN685" s="115">
        <f t="shared" si="2928"/>
        <v>3.5395279825666589E-3</v>
      </c>
      <c r="BO685" s="116">
        <f>SUM(BM685:BN685)</f>
        <v>7.0738428507028175E-3</v>
      </c>
      <c r="BP685" s="115">
        <f t="shared" ref="BP685:BQ687" si="2929">BP637</f>
        <v>3.5447487863409445E-3</v>
      </c>
      <c r="BQ685" s="115">
        <f t="shared" si="2929"/>
        <v>3.5499772908007968E-3</v>
      </c>
      <c r="BR685" s="116">
        <f>SUM(BP685:BQ685)</f>
        <v>7.0947260771417418E-3</v>
      </c>
      <c r="BS685" s="8">
        <f t="shared" ref="BS685:BT687" si="2930">BS637</f>
        <v>3.5552135073047275E-3</v>
      </c>
      <c r="BT685" s="8">
        <f t="shared" si="2930"/>
        <v>3.5604574472280015E-3</v>
      </c>
      <c r="BU685" s="9">
        <f>SUM(BS685:BT685)</f>
        <v>7.1156709545327291E-3</v>
      </c>
      <c r="BV685" s="8">
        <f t="shared" ref="BV685:BW687" si="2931">BV637</f>
        <v>3.5657091219626629E-3</v>
      </c>
      <c r="BW685" s="8">
        <f t="shared" si="2931"/>
        <v>3.5709685429175576E-3</v>
      </c>
      <c r="BX685" s="187">
        <f>SUM(BV685:BW685)</f>
        <v>7.1366776648802204E-3</v>
      </c>
      <c r="BY685" s="8">
        <f t="shared" ref="BY685:BZ687" si="2932">BY637</f>
        <v>3.5762357215183603E-3</v>
      </c>
      <c r="BZ685" s="8">
        <f t="shared" si="2932"/>
        <v>3.5815106692075999E-3</v>
      </c>
      <c r="CA685" s="187">
        <f>SUM(BY685:BZ685)</f>
        <v>7.1577463907259598E-3</v>
      </c>
      <c r="CB685" s="8">
        <f t="shared" ref="CB685:CC687" si="2933">CB637</f>
        <v>3.58679339744468E-3</v>
      </c>
      <c r="CC685" s="8">
        <f t="shared" si="2933"/>
        <v>3.5920839177059111E-3</v>
      </c>
      <c r="CD685" s="187">
        <f>SUM(CB685:CC685)</f>
        <v>7.1788773151505916E-3</v>
      </c>
      <c r="CE685" s="8">
        <f t="shared" ref="CE685:CF687" si="2934">CE637</f>
        <v>3.5973822414845269E-3</v>
      </c>
      <c r="CF685" s="8">
        <f t="shared" si="2934"/>
        <v>3.6026883802907162E-3</v>
      </c>
      <c r="CG685" s="187">
        <f>SUM(CE685:CF685)</f>
        <v>7.2000706217752435E-3</v>
      </c>
      <c r="CH685" s="8">
        <f t="shared" ref="CH685:CI687" si="2935">CH637</f>
        <v>3.6080023456516448E-3</v>
      </c>
      <c r="CI685" s="8">
        <f t="shared" si="2935"/>
        <v>3.6133241491114803E-3</v>
      </c>
      <c r="CJ685" s="187">
        <f>SUM(CH685:CI685)</f>
        <v>7.2213264947631247E-3</v>
      </c>
      <c r="CK685" s="8">
        <f t="shared" ref="CK685:CL687" si="2936">CK637</f>
        <v>3.6186538022314192E-3</v>
      </c>
      <c r="CL685" s="8">
        <f t="shared" si="2936"/>
        <v>3.6239913165897106E-3</v>
      </c>
      <c r="CM685" s="187">
        <f>SUM(CK685:CL685)</f>
        <v>7.2426451188211298E-3</v>
      </c>
      <c r="CN685" s="8">
        <f t="shared" ref="CN685:CO687" si="2937">CN637</f>
        <v>3.6293367037816791E-3</v>
      </c>
      <c r="CO685" s="8">
        <f t="shared" si="2937"/>
        <v>3.6346899754197575E-3</v>
      </c>
      <c r="CP685" s="187">
        <f>SUM(CN685:CO685)</f>
        <v>7.2640266792014362E-3</v>
      </c>
      <c r="CQ685" s="8">
        <f t="shared" ref="CQ685:CR687" si="2938">CQ637</f>
        <v>3.6400511431335012E-3</v>
      </c>
      <c r="CR685" s="8">
        <f t="shared" si="2938"/>
        <v>3.6454202185696228E-3</v>
      </c>
      <c r="CS685" s="187">
        <f>SUM(CQ685:CR685)</f>
        <v>7.285471361703124E-3</v>
      </c>
      <c r="CT685" s="8">
        <f t="shared" ref="CT685:CU687" si="2939">CT637</f>
        <v>3.6507972133920119E-3</v>
      </c>
      <c r="CU685" s="8">
        <f t="shared" si="2939"/>
        <v>3.6561821392817654E-3</v>
      </c>
      <c r="CV685" s="187">
        <f>SUM(CT685:CU685)</f>
        <v>7.3069793526737772E-3</v>
      </c>
      <c r="CW685" s="8">
        <f t="shared" ref="CW685:CX687" si="2940">CW637</f>
        <v>3.6615750079372054E-3</v>
      </c>
      <c r="CX685" s="8">
        <f t="shared" si="2940"/>
        <v>3.6669758310739126E-3</v>
      </c>
      <c r="CY685" s="9">
        <f>SUM(CW685:CX685)</f>
        <v>7.328550839011118E-3</v>
      </c>
      <c r="CZ685" s="8">
        <f t="shared" ref="CZ685:DA687" si="2941">CZ637</f>
        <v>3.6723846204247458E-3</v>
      </c>
      <c r="DA685" s="8">
        <f t="shared" si="2941"/>
        <v>3.6778013877398724E-3</v>
      </c>
      <c r="DB685" s="9">
        <f>SUM(CZ685:DA685)</f>
        <v>7.3501860081646182E-3</v>
      </c>
      <c r="DC685" s="8">
        <f t="shared" ref="DC685:DD687" si="2942">DC637</f>
        <v>3.6832261447867884E-3</v>
      </c>
      <c r="DD685" s="8">
        <f t="shared" si="2942"/>
        <v>3.688658903350349E-3</v>
      </c>
      <c r="DE685" s="9">
        <f>SUM(DC685:DD685)</f>
        <v>7.3718850481371374E-3</v>
      </c>
      <c r="DF685" s="8">
        <f t="shared" ref="DF685:DG687" si="2943">DF637</f>
        <v>3.69409967523279E-3</v>
      </c>
      <c r="DG685" s="8">
        <f t="shared" si="2943"/>
        <v>3.6995484722537578E-3</v>
      </c>
      <c r="DH685" s="9">
        <f>SUM(DF685:DG685)</f>
        <v>7.3936481474865482E-3</v>
      </c>
      <c r="DI685" s="8">
        <f t="shared" ref="DI685:DJ687" si="2944">DI637</f>
        <v>3.7050053062503314E-3</v>
      </c>
      <c r="DJ685" s="8">
        <f t="shared" si="2944"/>
        <v>3.7104701890770505E-3</v>
      </c>
      <c r="DK685" s="9">
        <f>SUM(DI685:DJ685)</f>
        <v>7.4154754953273819E-3</v>
      </c>
      <c r="DL685" s="8">
        <f t="shared" ref="DL685:DM687" si="2945">DL637</f>
        <v>3.7159431326059386E-3</v>
      </c>
      <c r="DM685" s="8">
        <f t="shared" si="2945"/>
        <v>3.7214241487265325E-3</v>
      </c>
      <c r="DN685" s="9">
        <f>SUM(DL685:DM685)</f>
        <v>7.4373672813324715E-3</v>
      </c>
      <c r="DO685" s="8">
        <f t="shared" ref="DO685:DP687" si="2946">DO637</f>
        <v>3.7269132493459038E-3</v>
      </c>
      <c r="DP685" s="8">
        <f t="shared" si="2946"/>
        <v>3.7324104463886888E-3</v>
      </c>
      <c r="DQ685" s="9">
        <f>SUM(DO685:DP685)</f>
        <v>7.4593236957345927E-3</v>
      </c>
      <c r="DR685" s="8">
        <f t="shared" ref="DR685:DS687" si="2947">DR637</f>
        <v>3.7379157517971116E-3</v>
      </c>
      <c r="DS685" s="8">
        <f t="shared" si="2947"/>
        <v>3.7434291775310115E-3</v>
      </c>
      <c r="DT685" s="9">
        <f>SUM(DR685:DS685)</f>
        <v>7.4813449293281232E-3</v>
      </c>
      <c r="DU685" s="8">
        <f t="shared" ref="DU685:DV687" si="2948">DU637</f>
        <v>3.7489507355678697E-3</v>
      </c>
      <c r="DV685" s="8">
        <f t="shared" si="2948"/>
        <v>3.7544804379028313E-3</v>
      </c>
      <c r="DW685" s="9">
        <f>SUM(DU685:DV685)</f>
        <v>7.503431173470701E-3</v>
      </c>
      <c r="DX685" s="8">
        <f t="shared" ref="DX685:DY687" si="2949">DX637</f>
        <v>3.7600182965487378E-3</v>
      </c>
      <c r="DY685" s="8">
        <f t="shared" si="2949"/>
        <v>3.765564323536147E-3</v>
      </c>
      <c r="DZ685" s="9">
        <f>SUM(DX685:DY685)</f>
        <v>7.5255826200848848E-3</v>
      </c>
      <c r="EA685" s="8">
        <f t="shared" ref="EA685:EB687" si="2950">EA637</f>
        <v>3.7711185309133623E-3</v>
      </c>
      <c r="EB685" s="8">
        <f t="shared" si="2950"/>
        <v>3.7766809307464588E-3</v>
      </c>
      <c r="EC685" s="9">
        <f>SUM(EA685:EB685)</f>
        <v>7.5477994616598206E-3</v>
      </c>
      <c r="ED685" s="8">
        <f t="shared" ref="ED685:EE687" si="2951">ED637</f>
        <v>3.782251535119309E-3</v>
      </c>
      <c r="EE685" s="8">
        <f t="shared" si="2951"/>
        <v>3.7878303561336099E-3</v>
      </c>
      <c r="EF685" s="9">
        <f>SUM(ED685:EE685)</f>
        <v>7.5700818912529189E-3</v>
      </c>
      <c r="EG685" s="8">
        <f t="shared" ref="EG685:EH687" si="2952">EG637</f>
        <v>3.7934174059089066E-3</v>
      </c>
      <c r="EH685" s="8">
        <f t="shared" si="2952"/>
        <v>3.7990126965826219E-3</v>
      </c>
      <c r="EI685" s="9">
        <f>SUM(EG685:EH685)</f>
        <v>7.5924301024915281E-3</v>
      </c>
      <c r="EJ685" s="8">
        <f t="shared" ref="EJ685:EK687" si="2953">EJ637</f>
        <v>3.8046162403100807E-3</v>
      </c>
      <c r="EK685" s="8">
        <f t="shared" si="2953"/>
        <v>3.8102280492645379E-3</v>
      </c>
      <c r="EL685" s="9">
        <f>SUM(EJ685:EK685)</f>
        <v>7.6148442895746186E-3</v>
      </c>
      <c r="EM685" s="8">
        <f t="shared" ref="EM685:EN687" si="2954">EM637</f>
        <v>3.8158481356372021E-3</v>
      </c>
      <c r="EN685" s="8">
        <f t="shared" si="2954"/>
        <v>3.8214765116372667E-3</v>
      </c>
      <c r="EO685" s="9">
        <f>SUM(EM685:EN685)</f>
        <v>7.6373246472744693E-3</v>
      </c>
      <c r="EP685" s="8">
        <f t="shared" ref="EP685:EQ687" si="2955">EP637</f>
        <v>3.8271131894919309E-3</v>
      </c>
      <c r="EQ685" s="8">
        <f t="shared" si="2955"/>
        <v>3.8327581814464316E-3</v>
      </c>
      <c r="ER685" s="9">
        <f>SUM(EP685:EQ685)</f>
        <v>7.659871370938362E-3</v>
      </c>
      <c r="ES685" s="8">
        <f t="shared" ref="ES685:ET685" si="2956">ES637</f>
        <v>3.8384114997640638E-3</v>
      </c>
      <c r="ET685" s="8">
        <f t="shared" si="2956"/>
        <v>3.8440731567262161E-3</v>
      </c>
      <c r="EU685" s="9">
        <f>SUM(ES685:ET685)</f>
        <v>7.6824846564902804E-3</v>
      </c>
      <c r="EV685" s="8">
        <f t="shared" ref="EV685:EW685" si="2957">EV637</f>
        <v>3.8497431646323864E-3</v>
      </c>
      <c r="EW685" s="8">
        <f t="shared" si="2957"/>
        <v>3.8554215358002188E-3</v>
      </c>
      <c r="EX685" s="9">
        <f>SUM(EV685:EW685)</f>
        <v>7.7051647004326047E-3</v>
      </c>
      <c r="EY685" s="8">
        <f t="shared" ref="EY685:EZ685" si="2958">EY637</f>
        <v>3.8611082825655237E-3</v>
      </c>
      <c r="EZ685" s="8">
        <f t="shared" si="2958"/>
        <v>3.8668034172823075E-3</v>
      </c>
      <c r="FA685" s="9">
        <f>SUM(EY685:EZ685)</f>
        <v>7.7279116998478312E-3</v>
      </c>
      <c r="FH685" s="35"/>
      <c r="FI685" s="35"/>
      <c r="FJ685" s="35"/>
      <c r="FK685" s="35"/>
      <c r="FL685" s="35"/>
      <c r="FM685" s="35"/>
      <c r="FN685" s="35"/>
      <c r="FO685" s="35"/>
      <c r="FP685" s="35"/>
      <c r="FQ685" s="35"/>
    </row>
    <row r="686" spans="1:173" s="321" customFormat="1" hidden="1" outlineLevel="1">
      <c r="A686" s="1168"/>
      <c r="B686" s="186"/>
      <c r="C686" s="186" t="s">
        <v>317</v>
      </c>
      <c r="D686" s="910"/>
      <c r="E686" s="1"/>
      <c r="F686" s="1"/>
      <c r="G686" s="5"/>
      <c r="H686" s="1"/>
      <c r="I686" s="1"/>
      <c r="J686" s="5"/>
      <c r="K686" s="1"/>
      <c r="L686" s="1"/>
      <c r="M686" s="5"/>
      <c r="N686" s="1"/>
      <c r="O686" s="1"/>
      <c r="P686" s="5"/>
      <c r="Q686" s="1"/>
      <c r="R686" s="1"/>
      <c r="S686" s="5"/>
      <c r="T686" s="1"/>
      <c r="U686" s="1"/>
      <c r="V686" s="5"/>
      <c r="W686" s="1"/>
      <c r="X686" s="1"/>
      <c r="Y686" s="5"/>
      <c r="Z686" s="1"/>
      <c r="AA686" s="1"/>
      <c r="AB686" s="5"/>
      <c r="AC686" s="1"/>
      <c r="AD686" s="1"/>
      <c r="AE686" s="5"/>
      <c r="AF686" s="1"/>
      <c r="AG686" s="1"/>
      <c r="AH686" s="5"/>
      <c r="AI686" s="1"/>
      <c r="AJ686" s="1"/>
      <c r="AK686" s="5"/>
      <c r="AL686" s="1"/>
      <c r="AM686" s="1"/>
      <c r="AN686" s="5"/>
      <c r="AO686" s="1"/>
      <c r="AP686" s="1"/>
      <c r="AQ686" s="5"/>
      <c r="AR686" s="1"/>
      <c r="AS686" s="1"/>
      <c r="AT686" s="5"/>
      <c r="AU686" s="1"/>
      <c r="AV686" s="1"/>
      <c r="AW686" s="5"/>
      <c r="AX686" s="187">
        <f t="shared" si="2923"/>
        <v>5.2794695471850006E-3</v>
      </c>
      <c r="AY686" s="187">
        <f t="shared" si="2923"/>
        <v>5.274718024592534E-3</v>
      </c>
      <c r="AZ686" s="9">
        <f>SUM(AX686:AY686)</f>
        <v>1.0554187571777535E-2</v>
      </c>
      <c r="BA686" s="8">
        <f t="shared" si="2924"/>
        <v>5.2699707783704008E-3</v>
      </c>
      <c r="BB686" s="8">
        <f t="shared" si="2924"/>
        <v>5.265227804669868E-3</v>
      </c>
      <c r="BC686" s="51">
        <f>SUM(BA686:BB686)</f>
        <v>1.0535198583040268E-2</v>
      </c>
      <c r="BD686" s="8">
        <f t="shared" si="2925"/>
        <v>5.2604890996456643E-3</v>
      </c>
      <c r="BE686" s="8">
        <f t="shared" si="2925"/>
        <v>5.2557546594559825E-3</v>
      </c>
      <c r="BF686" s="51">
        <f>SUM(BD686:BE686)</f>
        <v>1.0516243759101648E-2</v>
      </c>
      <c r="BG686" s="8">
        <f t="shared" si="2926"/>
        <v>5.251024480262473E-3</v>
      </c>
      <c r="BH686" s="8">
        <f t="shared" si="2926"/>
        <v>5.2462985582302363E-3</v>
      </c>
      <c r="BI686" s="51">
        <f>SUM(BG686:BH686)</f>
        <v>1.0497323038492708E-2</v>
      </c>
      <c r="BJ686" s="115">
        <f t="shared" si="2927"/>
        <v>5.2415768895278294E-3</v>
      </c>
      <c r="BK686" s="115">
        <f t="shared" si="2927"/>
        <v>5.2368594703272537E-3</v>
      </c>
      <c r="BL686" s="116">
        <f>SUM(BJ686:BK686)</f>
        <v>1.0478436359855084E-2</v>
      </c>
      <c r="BM686" s="115">
        <f t="shared" si="2928"/>
        <v>5.2345028835656063E-3</v>
      </c>
      <c r="BN686" s="115">
        <f t="shared" si="2928"/>
        <v>5.2321473572680029E-3</v>
      </c>
      <c r="BO686" s="116">
        <f>SUM(BM686:BN686)</f>
        <v>1.0466650240833609E-2</v>
      </c>
      <c r="BP686" s="115">
        <f t="shared" si="2929"/>
        <v>5.2297928909572321E-3</v>
      </c>
      <c r="BQ686" s="115">
        <f t="shared" si="2929"/>
        <v>5.2274394841563014E-3</v>
      </c>
      <c r="BR686" s="116">
        <f>SUM(BP686:BQ686)</f>
        <v>1.0457232375113534E-2</v>
      </c>
      <c r="BS686" s="8">
        <f t="shared" si="2930"/>
        <v>5.2250871363884307E-3</v>
      </c>
      <c r="BT686" s="8">
        <f t="shared" si="2930"/>
        <v>5.2227358471770569E-3</v>
      </c>
      <c r="BU686" s="9">
        <f>SUM(BS686:BT686)</f>
        <v>1.0447822983565488E-2</v>
      </c>
      <c r="BV686" s="8">
        <f t="shared" si="2931"/>
        <v>5.2203856160458273E-3</v>
      </c>
      <c r="BW686" s="8">
        <f t="shared" si="2931"/>
        <v>5.2180364425186065E-3</v>
      </c>
      <c r="BX686" s="187">
        <f>SUM(BV686:BW686)</f>
        <v>1.0438422058564434E-2</v>
      </c>
      <c r="BY686" s="8">
        <f t="shared" si="2932"/>
        <v>5.2156883261194739E-3</v>
      </c>
      <c r="BZ686" s="8">
        <f t="shared" si="2932"/>
        <v>5.2133412663727197E-3</v>
      </c>
      <c r="CA686" s="187">
        <f>SUM(BY686:BZ686)</f>
        <v>1.0429029592492194E-2</v>
      </c>
      <c r="CB686" s="8">
        <f t="shared" si="2933"/>
        <v>5.2109952628028519E-3</v>
      </c>
      <c r="CC686" s="8">
        <f t="shared" si="2933"/>
        <v>5.208650314934591E-3</v>
      </c>
      <c r="CD686" s="187">
        <f>SUM(CB686:CC686)</f>
        <v>1.0419645577737443E-2</v>
      </c>
      <c r="CE686" s="8">
        <f t="shared" si="2934"/>
        <v>5.2063064222928708E-3</v>
      </c>
      <c r="CF686" s="8">
        <f t="shared" si="2934"/>
        <v>5.2039635844028393E-3</v>
      </c>
      <c r="CG686" s="187">
        <f>SUM(CE686:CF686)</f>
        <v>1.0410270006695709E-2</v>
      </c>
      <c r="CH686" s="8">
        <f t="shared" si="2935"/>
        <v>5.2016218007898589E-3</v>
      </c>
      <c r="CI686" s="8">
        <f t="shared" si="2935"/>
        <v>5.1992810709795036E-3</v>
      </c>
      <c r="CJ686" s="187">
        <f>SUM(CH686:CI686)</f>
        <v>1.0400902871769362E-2</v>
      </c>
      <c r="CK686" s="8">
        <f t="shared" si="2936"/>
        <v>5.1969413944975631E-3</v>
      </c>
      <c r="CL686" s="8">
        <f t="shared" si="2936"/>
        <v>5.1946027708700392E-3</v>
      </c>
      <c r="CM686" s="187">
        <f>SUM(CK686:CL686)</f>
        <v>1.0391544165367602E-2</v>
      </c>
      <c r="CN686" s="8">
        <f t="shared" si="2937"/>
        <v>5.1922651996231476E-3</v>
      </c>
      <c r="CO686" s="8">
        <f t="shared" si="2937"/>
        <v>5.1899286802833174E-3</v>
      </c>
      <c r="CP686" s="187">
        <f>SUM(CN686:CO686)</f>
        <v>1.0382193879906465E-2</v>
      </c>
      <c r="CQ686" s="8">
        <f t="shared" si="2938"/>
        <v>5.1875932123771904E-3</v>
      </c>
      <c r="CR686" s="8">
        <f t="shared" si="2938"/>
        <v>5.1852587954316215E-3</v>
      </c>
      <c r="CS686" s="187">
        <f>SUM(CQ686:CR686)</f>
        <v>1.0372852007808811E-2</v>
      </c>
      <c r="CT686" s="8">
        <f t="shared" si="2939"/>
        <v>5.1829254289736766E-3</v>
      </c>
      <c r="CU686" s="8">
        <f t="shared" si="2939"/>
        <v>5.1805931125306392E-3</v>
      </c>
      <c r="CV686" s="187">
        <f>SUM(CT686:CU686)</f>
        <v>1.0363518541504316E-2</v>
      </c>
      <c r="CW686" s="8">
        <f t="shared" si="2940"/>
        <v>5.17826184563E-3</v>
      </c>
      <c r="CX686" s="8">
        <f t="shared" si="2940"/>
        <v>5.1759316277994669E-3</v>
      </c>
      <c r="CY686" s="9">
        <f>SUM(CW686:CX686)</f>
        <v>1.0354193473429467E-2</v>
      </c>
      <c r="CZ686" s="8">
        <f t="shared" si="2941"/>
        <v>5.1736024585669572E-3</v>
      </c>
      <c r="DA686" s="8">
        <f t="shared" si="2941"/>
        <v>5.171274337460602E-3</v>
      </c>
      <c r="DB686" s="9">
        <f>SUM(CZ686:DA686)</f>
        <v>1.0344876796027559E-2</v>
      </c>
      <c r="DC686" s="8">
        <f t="shared" si="2942"/>
        <v>5.1689472640087455E-3</v>
      </c>
      <c r="DD686" s="8">
        <f t="shared" si="2942"/>
        <v>5.1666212377399412E-3</v>
      </c>
      <c r="DE686" s="9">
        <f>SUM(DC686:DD686)</f>
        <v>1.0335568501748688E-2</v>
      </c>
      <c r="DF686" s="8">
        <f t="shared" si="2943"/>
        <v>5.164296258182959E-3</v>
      </c>
      <c r="DG686" s="8">
        <f t="shared" si="2943"/>
        <v>5.1619723248667766E-3</v>
      </c>
      <c r="DH686" s="9">
        <f>SUM(DF686:DG686)</f>
        <v>1.0326268583049737E-2</v>
      </c>
      <c r="DI686" s="8">
        <f t="shared" si="2944"/>
        <v>5.1596494373205874E-3</v>
      </c>
      <c r="DJ686" s="8">
        <f t="shared" si="2944"/>
        <v>5.1573275950737929E-3</v>
      </c>
      <c r="DK686" s="9">
        <f>SUM(DI686:DJ686)</f>
        <v>1.031697703239438E-2</v>
      </c>
      <c r="DL686" s="8">
        <f t="shared" si="2945"/>
        <v>5.15500679765601E-3</v>
      </c>
      <c r="DM686" s="8">
        <f t="shared" si="2945"/>
        <v>5.1526870445970652E-3</v>
      </c>
      <c r="DN686" s="9">
        <f>SUM(DL686:DM686)</f>
        <v>1.0307693842253076E-2</v>
      </c>
      <c r="DO686" s="8">
        <f t="shared" si="2946"/>
        <v>5.1503683354269967E-3</v>
      </c>
      <c r="DP686" s="8">
        <f t="shared" si="2946"/>
        <v>5.1480506696760554E-3</v>
      </c>
      <c r="DQ686" s="9">
        <f>SUM(DO686:DP686)</f>
        <v>1.0298419005103053E-2</v>
      </c>
      <c r="DR686" s="8">
        <f t="shared" si="2947"/>
        <v>5.1457340468747019E-3</v>
      </c>
      <c r="DS686" s="8">
        <f t="shared" si="2947"/>
        <v>5.1434184665536085E-3</v>
      </c>
      <c r="DT686" s="9">
        <f>SUM(DR686:DS686)</f>
        <v>1.028915251342831E-2</v>
      </c>
      <c r="DU686" s="8">
        <f t="shared" si="2948"/>
        <v>5.1411039282436592E-3</v>
      </c>
      <c r="DV686" s="8">
        <f t="shared" si="2948"/>
        <v>5.1387904314759503E-3</v>
      </c>
      <c r="DW686" s="9">
        <f>SUM(DU686:DV686)</f>
        <v>1.0279894359719609E-2</v>
      </c>
      <c r="DX686" s="8">
        <f t="shared" si="2949"/>
        <v>5.1364779757817856E-3</v>
      </c>
      <c r="DY686" s="8">
        <f t="shared" si="2949"/>
        <v>5.134166560692684E-3</v>
      </c>
      <c r="DZ686" s="9">
        <f>SUM(DX686:DY686)</f>
        <v>1.027064453647447E-2</v>
      </c>
      <c r="EA686" s="8">
        <f t="shared" si="2950"/>
        <v>5.1318561857403725E-3</v>
      </c>
      <c r="EB686" s="8">
        <f t="shared" si="2950"/>
        <v>5.1295468504567888E-3</v>
      </c>
      <c r="EC686" s="9">
        <f>SUM(EA686:EB686)</f>
        <v>1.0261403036197162E-2</v>
      </c>
      <c r="ED686" s="8">
        <f t="shared" si="2951"/>
        <v>5.1272385543740832E-3</v>
      </c>
      <c r="EE686" s="8">
        <f t="shared" si="2951"/>
        <v>5.1249312970246159E-3</v>
      </c>
      <c r="EF686" s="9">
        <f>SUM(ED686:EE686)</f>
        <v>1.02521698513987E-2</v>
      </c>
      <c r="EG686" s="8">
        <f t="shared" si="2952"/>
        <v>5.1226250779409545E-3</v>
      </c>
      <c r="EH686" s="8">
        <f t="shared" si="2952"/>
        <v>5.1203198966558814E-3</v>
      </c>
      <c r="EI686" s="9">
        <f>SUM(EG686:EH686)</f>
        <v>1.0242944974596836E-2</v>
      </c>
      <c r="EJ686" s="8">
        <f t="shared" si="2953"/>
        <v>5.1180157527023866E-3</v>
      </c>
      <c r="EK686" s="8">
        <f t="shared" si="2953"/>
        <v>5.1157126456136707E-3</v>
      </c>
      <c r="EL686" s="9">
        <f>SUM(EJ686:EK686)</f>
        <v>1.0233728398316058E-2</v>
      </c>
      <c r="EM686" s="8">
        <f t="shared" si="2954"/>
        <v>5.1134105749231452E-3</v>
      </c>
      <c r="EN686" s="8">
        <f t="shared" si="2954"/>
        <v>5.1111095401644296E-3</v>
      </c>
      <c r="EO686" s="9">
        <f>SUM(EM686:EN686)</f>
        <v>1.0224520115087576E-2</v>
      </c>
      <c r="EP686" s="8">
        <f t="shared" si="2955"/>
        <v>5.108809540871357E-3</v>
      </c>
      <c r="EQ686" s="8">
        <f t="shared" si="2955"/>
        <v>5.1065105765779649E-3</v>
      </c>
      <c r="ER686" s="9">
        <f>SUM(EP686:EQ686)</f>
        <v>1.0215320117449321E-2</v>
      </c>
      <c r="ES686" s="8">
        <f t="shared" ref="ES686:ET686" si="2959">ES638</f>
        <v>5.1042126468185053E-3</v>
      </c>
      <c r="ET686" s="8">
        <f t="shared" si="2959"/>
        <v>5.1019157511274374E-3</v>
      </c>
      <c r="EU686" s="9">
        <f>SUM(ES686:ET686)</f>
        <v>1.0206128397945942E-2</v>
      </c>
      <c r="EV686" s="8">
        <f t="shared" ref="EV686:EW686" si="2960">EV638</f>
        <v>5.0996198890394303E-3</v>
      </c>
      <c r="EW686" s="8">
        <f t="shared" si="2960"/>
        <v>5.0973250600893621E-3</v>
      </c>
      <c r="EX686" s="9">
        <f>SUM(EV686:EW686)</f>
        <v>1.0196944949128792E-2</v>
      </c>
      <c r="EY686" s="8">
        <f t="shared" ref="EY686:EZ686" si="2961">EY638</f>
        <v>5.0950312638123225E-3</v>
      </c>
      <c r="EZ686" s="8">
        <f t="shared" si="2961"/>
        <v>5.092738499743607E-3</v>
      </c>
      <c r="FA686" s="9">
        <f>SUM(EY686:EZ686)</f>
        <v>1.018776976355593E-2</v>
      </c>
      <c r="FH686" s="35"/>
      <c r="FI686" s="35"/>
      <c r="FJ686" s="35"/>
      <c r="FK686" s="35"/>
      <c r="FL686" s="35"/>
      <c r="FM686" s="35"/>
      <c r="FN686" s="35"/>
      <c r="FO686" s="35"/>
      <c r="FP686" s="35"/>
      <c r="FQ686" s="35"/>
    </row>
    <row r="687" spans="1:173" s="321" customFormat="1" hidden="1" outlineLevel="1">
      <c r="A687" s="1168"/>
      <c r="B687" s="186"/>
      <c r="C687" s="186" t="s">
        <v>431</v>
      </c>
      <c r="D687" s="910"/>
      <c r="E687" s="1"/>
      <c r="F687" s="1"/>
      <c r="G687" s="5"/>
      <c r="H687" s="1"/>
      <c r="I687" s="1"/>
      <c r="J687" s="5"/>
      <c r="K687" s="1"/>
      <c r="L687" s="1"/>
      <c r="M687" s="5"/>
      <c r="N687" s="1"/>
      <c r="O687" s="1"/>
      <c r="P687" s="5"/>
      <c r="Q687" s="1"/>
      <c r="R687" s="1"/>
      <c r="S687" s="5"/>
      <c r="T687" s="1"/>
      <c r="U687" s="1"/>
      <c r="V687" s="5"/>
      <c r="W687" s="1"/>
      <c r="X687" s="1"/>
      <c r="Y687" s="5"/>
      <c r="Z687" s="1"/>
      <c r="AA687" s="1"/>
      <c r="AB687" s="5"/>
      <c r="AC687" s="1"/>
      <c r="AD687" s="1"/>
      <c r="AE687" s="5"/>
      <c r="AF687" s="1"/>
      <c r="AG687" s="1"/>
      <c r="AH687" s="5"/>
      <c r="AI687" s="1"/>
      <c r="AJ687" s="1"/>
      <c r="AK687" s="5"/>
      <c r="AL687" s="1"/>
      <c r="AM687" s="1"/>
      <c r="AN687" s="5"/>
      <c r="AO687" s="1"/>
      <c r="AP687" s="1"/>
      <c r="AQ687" s="5"/>
      <c r="AR687" s="1"/>
      <c r="AS687" s="1"/>
      <c r="AT687" s="5"/>
      <c r="AU687" s="1"/>
      <c r="AV687" s="1"/>
      <c r="AW687" s="5"/>
      <c r="AX687" s="187">
        <f t="shared" si="2923"/>
        <v>5.8638275161200001E-2</v>
      </c>
      <c r="AY687" s="187">
        <f t="shared" si="2923"/>
        <v>5.9013560122231676E-2</v>
      </c>
      <c r="AZ687" s="9">
        <f>SUM(AX687:AY687)</f>
        <v>0.11765183528343168</v>
      </c>
      <c r="BA687" s="8">
        <f t="shared" si="2924"/>
        <v>5.9391246907013952E-2</v>
      </c>
      <c r="BB687" s="8">
        <f t="shared" si="2924"/>
        <v>5.9771350887218841E-2</v>
      </c>
      <c r="BC687" s="51">
        <f>SUM(BA687:BB687)</f>
        <v>0.1191625977942328</v>
      </c>
      <c r="BD687" s="8">
        <f t="shared" si="2925"/>
        <v>6.0153887532897049E-2</v>
      </c>
      <c r="BE687" s="8">
        <f t="shared" si="2925"/>
        <v>6.0538872413107576E-2</v>
      </c>
      <c r="BF687" s="51">
        <f>SUM(BD687:BE687)</f>
        <v>0.12069275994600462</v>
      </c>
      <c r="BG687" s="8">
        <f t="shared" si="2926"/>
        <v>6.0926321196551468E-2</v>
      </c>
      <c r="BH687" s="8">
        <f t="shared" si="2926"/>
        <v>6.1316249652209401E-2</v>
      </c>
      <c r="BI687" s="51">
        <f>SUM(BG687:BH687)</f>
        <v>0.12224257084876086</v>
      </c>
      <c r="BJ687" s="115">
        <f t="shared" si="2927"/>
        <v>6.1708673649983538E-2</v>
      </c>
      <c r="BK687" s="115">
        <f t="shared" si="2927"/>
        <v>6.2103609161343429E-2</v>
      </c>
      <c r="BL687" s="116">
        <f>SUM(BJ687:BK687)</f>
        <v>0.12381228281132697</v>
      </c>
      <c r="BM687" s="115">
        <f t="shared" si="2928"/>
        <v>6.2302340710659737E-2</v>
      </c>
      <c r="BN687" s="115">
        <f t="shared" si="2928"/>
        <v>6.2501708200933856E-2</v>
      </c>
      <c r="BO687" s="116">
        <f>SUM(BM687:BN687)</f>
        <v>0.12480404891159359</v>
      </c>
      <c r="BP687" s="115">
        <f t="shared" si="2929"/>
        <v>6.2701713667176848E-2</v>
      </c>
      <c r="BQ687" s="115">
        <f t="shared" si="2929"/>
        <v>6.2902359150911816E-2</v>
      </c>
      <c r="BR687" s="116">
        <f>SUM(BP687:BQ687)</f>
        <v>0.12560407281808866</v>
      </c>
      <c r="BS687" s="8">
        <f t="shared" si="2930"/>
        <v>6.3103646700194735E-2</v>
      </c>
      <c r="BT687" s="8">
        <f t="shared" si="2930"/>
        <v>6.3305578369635379E-2</v>
      </c>
      <c r="BU687" s="9">
        <f>SUM(BS687:BT687)</f>
        <v>0.1264092250698301</v>
      </c>
      <c r="BV687" s="8">
        <f t="shared" si="2931"/>
        <v>6.3508156220418222E-2</v>
      </c>
      <c r="BW687" s="8">
        <f t="shared" si="2931"/>
        <v>6.371138232032357E-2</v>
      </c>
      <c r="BX687" s="187">
        <f>SUM(BV687:BW687)</f>
        <v>0.12721953854074181</v>
      </c>
      <c r="BY687" s="8">
        <f t="shared" si="2932"/>
        <v>6.3915258743748607E-2</v>
      </c>
      <c r="BZ687" s="8">
        <f t="shared" si="2932"/>
        <v>6.4119787571728606E-2</v>
      </c>
      <c r="CA687" s="187">
        <f>SUM(BY687:BZ687)</f>
        <v>0.12803504631547721</v>
      </c>
      <c r="CB687" s="8">
        <f t="shared" si="2933"/>
        <v>6.4324970891958141E-2</v>
      </c>
      <c r="CC687" s="8">
        <f t="shared" si="2933"/>
        <v>6.4530810798812413E-2</v>
      </c>
      <c r="CD687" s="187">
        <f>SUM(CB687:CC687)</f>
        <v>0.12885578169077055</v>
      </c>
      <c r="CE687" s="8">
        <f t="shared" si="2934"/>
        <v>6.4737309393368622E-2</v>
      </c>
      <c r="CF687" s="8">
        <f t="shared" si="2934"/>
        <v>6.4944468783427411E-2</v>
      </c>
      <c r="CG687" s="187">
        <f>SUM(CE687:CF687)</f>
        <v>0.12968177817679605</v>
      </c>
      <c r="CH687" s="8">
        <f t="shared" si="2935"/>
        <v>6.5152291083534389E-2</v>
      </c>
      <c r="CI687" s="8">
        <f t="shared" si="2935"/>
        <v>6.5360778415001694E-2</v>
      </c>
      <c r="CJ687" s="187">
        <f>SUM(CH687:CI687)</f>
        <v>0.13051306949853608</v>
      </c>
      <c r="CK687" s="8">
        <f t="shared" si="2936"/>
        <v>6.5569932905929704E-2</v>
      </c>
      <c r="CL687" s="8">
        <f t="shared" si="2936"/>
        <v>6.5779756691228694E-2</v>
      </c>
      <c r="CM687" s="187">
        <f>SUM(CK687:CL687)</f>
        <v>0.1313496895971584</v>
      </c>
      <c r="CN687" s="8">
        <f t="shared" si="2937"/>
        <v>6.599025191264063E-2</v>
      </c>
      <c r="CO687" s="8">
        <f t="shared" si="2937"/>
        <v>6.6201420718761089E-2</v>
      </c>
      <c r="CP687" s="187">
        <f>SUM(CN687:CO687)</f>
        <v>0.13219167263140172</v>
      </c>
      <c r="CQ687" s="8">
        <f t="shared" si="2938"/>
        <v>6.6413265265061139E-2</v>
      </c>
      <c r="CR687" s="8">
        <f t="shared" si="2938"/>
        <v>6.6625787713909326E-2</v>
      </c>
      <c r="CS687" s="187">
        <f>SUM(CQ687:CR687)</f>
        <v>0.13303905297897045</v>
      </c>
      <c r="CT687" s="8">
        <f t="shared" si="2939"/>
        <v>6.6838990234593845E-2</v>
      </c>
      <c r="CU687" s="8">
        <f t="shared" si="2939"/>
        <v>6.7052875003344545E-2</v>
      </c>
      <c r="CV687" s="187">
        <f>SUM(CT687:CU687)</f>
        <v>0.13389186523793839</v>
      </c>
      <c r="CW687" s="8">
        <f t="shared" si="2940"/>
        <v>6.7267444203355259E-2</v>
      </c>
      <c r="CX687" s="8">
        <f t="shared" si="2940"/>
        <v>6.7482700024805997E-2</v>
      </c>
      <c r="CY687" s="9">
        <f>SUM(CW687:CX687)</f>
        <v>0.13475014422816126</v>
      </c>
      <c r="CZ687" s="8">
        <f t="shared" si="2941"/>
        <v>6.7698644664885385E-2</v>
      </c>
      <c r="DA687" s="8">
        <f t="shared" si="2941"/>
        <v>6.7915280327813021E-2</v>
      </c>
      <c r="DB687" s="9">
        <f>SUM(CZ687:DA687)</f>
        <v>0.13561392499269842</v>
      </c>
      <c r="DC687" s="8">
        <f t="shared" si="2942"/>
        <v>6.8132609224862029E-2</v>
      </c>
      <c r="DD687" s="8">
        <f t="shared" si="2942"/>
        <v>6.8350633574381578E-2</v>
      </c>
      <c r="DE687" s="9">
        <f>SUM(DC687:DD687)</f>
        <v>0.13648324279924362</v>
      </c>
      <c r="DF687" s="8">
        <f t="shared" si="2943"/>
        <v>6.856935560181962E-2</v>
      </c>
      <c r="DG687" s="8">
        <f t="shared" si="2943"/>
        <v>6.8788777539745438E-2</v>
      </c>
      <c r="DH687" s="9">
        <f>SUM(DF687:DG687)</f>
        <v>0.13735813314156506</v>
      </c>
      <c r="DI687" s="8">
        <f t="shared" si="2944"/>
        <v>6.9008901627872626E-2</v>
      </c>
      <c r="DJ687" s="8">
        <f t="shared" si="2944"/>
        <v>6.9229730113081811E-2</v>
      </c>
      <c r="DK687" s="9">
        <f>SUM(DI687:DJ687)</f>
        <v>0.13823863174095444</v>
      </c>
      <c r="DL687" s="8">
        <f t="shared" si="2945"/>
        <v>6.9451265249443686E-2</v>
      </c>
      <c r="DM687" s="8">
        <f t="shared" si="2945"/>
        <v>6.9673509298241912E-2</v>
      </c>
      <c r="DN687" s="9">
        <f>SUM(DL687:DM687)</f>
        <v>0.1391247745476856</v>
      </c>
      <c r="DO687" s="8">
        <f t="shared" si="2946"/>
        <v>6.9896464527996277E-2</v>
      </c>
      <c r="DP687" s="8">
        <f t="shared" si="2946"/>
        <v>7.0120133214485875E-2</v>
      </c>
      <c r="DQ687" s="9">
        <f>SUM(DO687:DP687)</f>
        <v>0.14001659774248215</v>
      </c>
      <c r="DR687" s="8">
        <f t="shared" si="2947"/>
        <v>7.034451764077225E-2</v>
      </c>
      <c r="DS687" s="8">
        <f t="shared" si="2947"/>
        <v>7.0569620097222716E-2</v>
      </c>
      <c r="DT687" s="9">
        <f>SUM(DR687:DS687)</f>
        <v>0.14091413773799497</v>
      </c>
      <c r="DU687" s="8">
        <f t="shared" si="2948"/>
        <v>7.0795442881533818E-2</v>
      </c>
      <c r="DV687" s="8">
        <f t="shared" si="2948"/>
        <v>7.1021988298754751E-2</v>
      </c>
      <c r="DW687" s="9">
        <f>SUM(DU687:DV687)</f>
        <v>0.14181743118028856</v>
      </c>
      <c r="DX687" s="8">
        <f t="shared" si="2949"/>
        <v>7.1249258661310766E-2</v>
      </c>
      <c r="DY687" s="8">
        <f t="shared" si="2949"/>
        <v>7.1477256289026972E-2</v>
      </c>
      <c r="DZ687" s="9">
        <f>SUM(DX687:DY687)</f>
        <v>0.14272651495033772</v>
      </c>
      <c r="EA687" s="8">
        <f t="shared" si="2950"/>
        <v>7.170598350915186E-2</v>
      </c>
      <c r="EB687" s="8">
        <f t="shared" si="2950"/>
        <v>7.193544265638116E-2</v>
      </c>
      <c r="EC687" s="9">
        <f>SUM(EA687:EB687)</f>
        <v>0.14364142616553302</v>
      </c>
      <c r="ED687" s="8">
        <f t="shared" si="2951"/>
        <v>7.2165636072881581E-2</v>
      </c>
      <c r="EE687" s="8">
        <f t="shared" si="2951"/>
        <v>7.2396566108314811E-2</v>
      </c>
      <c r="EF687" s="9">
        <f>SUM(ED687:EE687)</f>
        <v>0.14456220218119639</v>
      </c>
      <c r="EG687" s="8">
        <f t="shared" si="2952"/>
        <v>7.2628235119861426E-2</v>
      </c>
      <c r="EH687" s="8">
        <f t="shared" si="2952"/>
        <v>7.2860645472244995E-2</v>
      </c>
      <c r="EI687" s="9">
        <f>SUM(EG687:EH687)</f>
        <v>0.14548888059210641</v>
      </c>
      <c r="EJ687" s="8">
        <f t="shared" si="2953"/>
        <v>7.3093799537756174E-2</v>
      </c>
      <c r="EK687" s="8">
        <f t="shared" si="2953"/>
        <v>7.3327699696277004E-2</v>
      </c>
      <c r="EL687" s="9">
        <f>SUM(EJ687:EK687)</f>
        <v>0.14642149923403319</v>
      </c>
      <c r="EM687" s="8">
        <f t="shared" si="2954"/>
        <v>7.3562348335305089E-2</v>
      </c>
      <c r="EN687" s="8">
        <f t="shared" si="2954"/>
        <v>7.3797747849978071E-2</v>
      </c>
      <c r="EO687" s="9">
        <f>SUM(EM687:EN687)</f>
        <v>0.14736009618528317</v>
      </c>
      <c r="EP687" s="8">
        <f t="shared" si="2955"/>
        <v>7.4033900643098019E-2</v>
      </c>
      <c r="EQ687" s="8">
        <f t="shared" si="2955"/>
        <v>7.4270809125155934E-2</v>
      </c>
      <c r="ER687" s="9">
        <f>SUM(EP687:EQ687)</f>
        <v>0.14830470976825394</v>
      </c>
      <c r="ES687" s="8">
        <f t="shared" ref="ES687:ET687" si="2962">ES639</f>
        <v>7.450847571435644E-2</v>
      </c>
      <c r="ET687" s="8">
        <f t="shared" si="2962"/>
        <v>7.4746902836642384E-2</v>
      </c>
      <c r="EU687" s="9">
        <f>SUM(ES687:ET687)</f>
        <v>0.14925537855099882</v>
      </c>
      <c r="EV687" s="8">
        <f t="shared" ref="EV687:EW687" si="2963">EV639</f>
        <v>7.498609292571963E-2</v>
      </c>
      <c r="EW687" s="8">
        <f t="shared" si="2963"/>
        <v>7.5226048423081934E-2</v>
      </c>
      <c r="EX687" s="9">
        <f>SUM(EV687:EW687)</f>
        <v>0.15021214134880156</v>
      </c>
      <c r="EY687" s="8">
        <f t="shared" ref="EY687:EZ687" si="2964">EY639</f>
        <v>7.5466771778035804E-2</v>
      </c>
      <c r="EZ687" s="8">
        <f t="shared" si="2964"/>
        <v>7.5708265447725534E-2</v>
      </c>
      <c r="FA687" s="9">
        <f>SUM(EY687:EZ687)</f>
        <v>0.15117503722576134</v>
      </c>
      <c r="FH687" s="35"/>
      <c r="FI687" s="35"/>
      <c r="FJ687" s="35"/>
      <c r="FK687" s="35"/>
      <c r="FL687" s="35"/>
      <c r="FM687" s="35"/>
      <c r="FN687" s="35"/>
      <c r="FO687" s="35"/>
      <c r="FP687" s="35"/>
      <c r="FQ687" s="35"/>
    </row>
    <row r="688" spans="1:173" s="321" customFormat="1" ht="13.5" hidden="1" outlineLevel="1" thickBot="1">
      <c r="A688" s="1437"/>
      <c r="B688" s="967"/>
      <c r="C688" s="967" t="s">
        <v>327</v>
      </c>
      <c r="D688" s="969"/>
      <c r="E688" s="18"/>
      <c r="F688" s="18"/>
      <c r="G688" s="19"/>
      <c r="H688" s="18"/>
      <c r="I688" s="18"/>
      <c r="J688" s="19"/>
      <c r="K688" s="18"/>
      <c r="L688" s="18"/>
      <c r="M688" s="19"/>
      <c r="N688" s="18"/>
      <c r="O688" s="18"/>
      <c r="P688" s="19"/>
      <c r="Q688" s="18"/>
      <c r="R688" s="18"/>
      <c r="S688" s="19"/>
      <c r="T688" s="18"/>
      <c r="U688" s="18"/>
      <c r="V688" s="19"/>
      <c r="W688" s="18"/>
      <c r="X688" s="18"/>
      <c r="Y688" s="19"/>
      <c r="Z688" s="18"/>
      <c r="AA688" s="18"/>
      <c r="AB688" s="19"/>
      <c r="AC688" s="18"/>
      <c r="AD688" s="18"/>
      <c r="AE688" s="19"/>
      <c r="AF688" s="18"/>
      <c r="AG688" s="18"/>
      <c r="AH688" s="19"/>
      <c r="AI688" s="18"/>
      <c r="AJ688" s="18"/>
      <c r="AK688" s="19"/>
      <c r="AL688" s="18"/>
      <c r="AM688" s="18"/>
      <c r="AN688" s="19"/>
      <c r="AO688" s="18"/>
      <c r="AP688" s="18"/>
      <c r="AQ688" s="19"/>
      <c r="AR688" s="18"/>
      <c r="AS688" s="18"/>
      <c r="AT688" s="19"/>
      <c r="AU688" s="18"/>
      <c r="AV688" s="18"/>
      <c r="AW688" s="19"/>
      <c r="AX688" s="210">
        <f t="shared" ref="AX688:CC688" si="2965">SUM(AX685:AX687)</f>
        <v>6.7354523510253755E-2</v>
      </c>
      <c r="AY688" s="210">
        <f t="shared" si="2965"/>
        <v>6.7735195446158469E-2</v>
      </c>
      <c r="AZ688" s="210">
        <f t="shared" si="2965"/>
        <v>0.13508971895641222</v>
      </c>
      <c r="BA688" s="12">
        <f t="shared" si="2965"/>
        <v>6.8118303390751644E-2</v>
      </c>
      <c r="BB688" s="12">
        <f t="shared" si="2965"/>
        <v>6.8503862800086843E-2</v>
      </c>
      <c r="BC688" s="981">
        <f t="shared" si="2965"/>
        <v>0.1366221661908385</v>
      </c>
      <c r="BD688" s="12">
        <f t="shared" si="2965"/>
        <v>6.8891889228860026E-2</v>
      </c>
      <c r="BE688" s="12">
        <f t="shared" si="2965"/>
        <v>6.928239833104001E-2</v>
      </c>
      <c r="BF688" s="981">
        <f t="shared" si="2965"/>
        <v>0.13817428755990002</v>
      </c>
      <c r="BG688" s="12">
        <f t="shared" si="2965"/>
        <v>6.9675405860502901E-2</v>
      </c>
      <c r="BH688" s="12">
        <f t="shared" si="2965"/>
        <v>7.0070927671670474E-2</v>
      </c>
      <c r="BI688" s="981">
        <f t="shared" si="2965"/>
        <v>0.13974633353217336</v>
      </c>
      <c r="BJ688" s="145">
        <f t="shared" si="2965"/>
        <v>7.0468979720152841E-2</v>
      </c>
      <c r="BK688" s="145">
        <f t="shared" si="2965"/>
        <v>7.0869578063395056E-2</v>
      </c>
      <c r="BL688" s="146">
        <f t="shared" si="2965"/>
        <v>0.1413385577835479</v>
      </c>
      <c r="BM688" s="145">
        <f t="shared" si="2965"/>
        <v>7.1071158462361506E-2</v>
      </c>
      <c r="BN688" s="145">
        <f t="shared" si="2965"/>
        <v>7.1273383540768523E-2</v>
      </c>
      <c r="BO688" s="146">
        <f t="shared" si="2965"/>
        <v>0.14234454200313001</v>
      </c>
      <c r="BP688" s="145">
        <f t="shared" si="2965"/>
        <v>7.147625534447502E-2</v>
      </c>
      <c r="BQ688" s="145">
        <f t="shared" si="2965"/>
        <v>7.167977592586891E-2</v>
      </c>
      <c r="BR688" s="146">
        <f t="shared" si="2965"/>
        <v>0.14315603127034393</v>
      </c>
      <c r="BS688" s="12">
        <f t="shared" si="2965"/>
        <v>7.1883947343887894E-2</v>
      </c>
      <c r="BT688" s="12">
        <f t="shared" si="2965"/>
        <v>7.208877166404043E-2</v>
      </c>
      <c r="BU688" s="210">
        <f t="shared" si="2965"/>
        <v>0.14397271900792832</v>
      </c>
      <c r="BV688" s="12">
        <f t="shared" si="2965"/>
        <v>7.2294250958426717E-2</v>
      </c>
      <c r="BW688" s="12">
        <f t="shared" si="2965"/>
        <v>7.2500387305759736E-2</v>
      </c>
      <c r="BX688" s="210">
        <f t="shared" si="2965"/>
        <v>0.14479463826418645</v>
      </c>
      <c r="BY688" s="12">
        <f t="shared" si="2965"/>
        <v>7.2707182791386438E-2</v>
      </c>
      <c r="BZ688" s="12">
        <f t="shared" si="2965"/>
        <v>7.291463950730892E-2</v>
      </c>
      <c r="CA688" s="210">
        <f t="shared" si="2965"/>
        <v>0.14562182229869536</v>
      </c>
      <c r="CB688" s="12">
        <f t="shared" si="2965"/>
        <v>7.3122759552205679E-2</v>
      </c>
      <c r="CC688" s="12">
        <f t="shared" si="2965"/>
        <v>7.3331545031452922E-2</v>
      </c>
      <c r="CD688" s="210">
        <f t="shared" ref="CD688:DI688" si="2966">SUM(CD685:CD687)</f>
        <v>0.1464543045836586</v>
      </c>
      <c r="CE688" s="12">
        <f t="shared" si="2966"/>
        <v>7.354099805714602E-2</v>
      </c>
      <c r="CF688" s="12">
        <f t="shared" si="2966"/>
        <v>7.3751120748120971E-2</v>
      </c>
      <c r="CG688" s="210">
        <f t="shared" si="2966"/>
        <v>0.14729211880526699</v>
      </c>
      <c r="CH688" s="12">
        <f t="shared" si="2966"/>
        <v>7.3961915229975889E-2</v>
      </c>
      <c r="CI688" s="12">
        <f t="shared" si="2966"/>
        <v>7.4173383635092682E-2</v>
      </c>
      <c r="CJ688" s="210">
        <f t="shared" si="2966"/>
        <v>0.14813529886506857</v>
      </c>
      <c r="CK688" s="12">
        <f t="shared" si="2966"/>
        <v>7.4385528102658693E-2</v>
      </c>
      <c r="CL688" s="12">
        <f t="shared" si="2966"/>
        <v>7.4598350778688441E-2</v>
      </c>
      <c r="CM688" s="210">
        <f t="shared" si="2966"/>
        <v>0.14898387888134712</v>
      </c>
      <c r="CN688" s="12">
        <f t="shared" si="2966"/>
        <v>7.4811853816045451E-2</v>
      </c>
      <c r="CO688" s="12">
        <f t="shared" si="2966"/>
        <v>7.5026039374464171E-2</v>
      </c>
      <c r="CP688" s="210">
        <f t="shared" si="2966"/>
        <v>0.14983789319050961</v>
      </c>
      <c r="CQ688" s="12">
        <f t="shared" si="2966"/>
        <v>7.5240909620571825E-2</v>
      </c>
      <c r="CR688" s="12">
        <f t="shared" si="2966"/>
        <v>7.5456466727910565E-2</v>
      </c>
      <c r="CS688" s="210">
        <f t="shared" si="2966"/>
        <v>0.15069737634848238</v>
      </c>
      <c r="CT688" s="12">
        <f t="shared" si="2966"/>
        <v>7.5672712876959536E-2</v>
      </c>
      <c r="CU688" s="12">
        <f t="shared" si="2966"/>
        <v>7.5889650255156954E-2</v>
      </c>
      <c r="CV688" s="210">
        <f t="shared" si="2966"/>
        <v>0.15156236313211649</v>
      </c>
      <c r="CW688" s="12">
        <f t="shared" si="2966"/>
        <v>7.6107281056922466E-2</v>
      </c>
      <c r="CX688" s="12">
        <f t="shared" si="2966"/>
        <v>7.6325607483679378E-2</v>
      </c>
      <c r="CY688" s="210">
        <f t="shared" si="2966"/>
        <v>0.15243288854060183</v>
      </c>
      <c r="CZ688" s="12">
        <f t="shared" si="2966"/>
        <v>7.6544631743877087E-2</v>
      </c>
      <c r="DA688" s="12">
        <f t="shared" si="2966"/>
        <v>7.6764356053013488E-2</v>
      </c>
      <c r="DB688" s="210">
        <f t="shared" si="2966"/>
        <v>0.15330898779689059</v>
      </c>
      <c r="DC688" s="12">
        <f t="shared" si="2966"/>
        <v>7.6984782633657559E-2</v>
      </c>
      <c r="DD688" s="12">
        <f t="shared" si="2966"/>
        <v>7.7205913715471863E-2</v>
      </c>
      <c r="DE688" s="210">
        <f t="shared" si="2966"/>
        <v>0.15419069634912944</v>
      </c>
      <c r="DF688" s="12">
        <f t="shared" si="2966"/>
        <v>7.7427751535235373E-2</v>
      </c>
      <c r="DG688" s="12">
        <f t="shared" si="2966"/>
        <v>7.7650298336865972E-2</v>
      </c>
      <c r="DH688" s="210">
        <f t="shared" si="2966"/>
        <v>0.15507804987210133</v>
      </c>
      <c r="DI688" s="12">
        <f t="shared" si="2966"/>
        <v>7.7873556371443553E-2</v>
      </c>
      <c r="DJ688" s="12">
        <f t="shared" ref="DJ688:EF688" si="2967">SUM(DJ685:DJ687)</f>
        <v>7.8097527897232649E-2</v>
      </c>
      <c r="DK688" s="210">
        <f t="shared" si="2967"/>
        <v>0.1559710842686762</v>
      </c>
      <c r="DL688" s="12">
        <f t="shared" si="2967"/>
        <v>7.832221517970564E-2</v>
      </c>
      <c r="DM688" s="12">
        <f t="shared" si="2967"/>
        <v>7.8547620491565509E-2</v>
      </c>
      <c r="DN688" s="210">
        <f t="shared" si="2967"/>
        <v>0.15686983567127114</v>
      </c>
      <c r="DO688" s="12">
        <f t="shared" si="2967"/>
        <v>7.8773746112769175E-2</v>
      </c>
      <c r="DP688" s="12">
        <f t="shared" si="2967"/>
        <v>7.9000594330550622E-2</v>
      </c>
      <c r="DQ688" s="210">
        <f t="shared" si="2967"/>
        <v>0.15777434044331978</v>
      </c>
      <c r="DR688" s="12">
        <f t="shared" si="2967"/>
        <v>7.9228167439444067E-2</v>
      </c>
      <c r="DS688" s="12">
        <f t="shared" si="2967"/>
        <v>7.9456467741307338E-2</v>
      </c>
      <c r="DT688" s="210">
        <f t="shared" si="2967"/>
        <v>0.1586846351807514</v>
      </c>
      <c r="DU688" s="12">
        <f t="shared" si="2967"/>
        <v>7.9685497545345346E-2</v>
      </c>
      <c r="DV688" s="12">
        <f t="shared" si="2967"/>
        <v>7.9915259168133537E-2</v>
      </c>
      <c r="DW688" s="210">
        <f t="shared" si="2967"/>
        <v>0.15960075671347887</v>
      </c>
      <c r="DX688" s="12">
        <f t="shared" si="2967"/>
        <v>8.0145754933641289E-2</v>
      </c>
      <c r="DY688" s="12">
        <f t="shared" si="2967"/>
        <v>8.0376987173255809E-2</v>
      </c>
      <c r="DZ688" s="210">
        <f t="shared" si="2967"/>
        <v>0.16052274210689707</v>
      </c>
      <c r="EA688" s="12">
        <f t="shared" si="2967"/>
        <v>8.0608958225805591E-2</v>
      </c>
      <c r="EB688" s="12">
        <f t="shared" si="2967"/>
        <v>8.0841670437584404E-2</v>
      </c>
      <c r="EC688" s="210">
        <f t="shared" si="2967"/>
        <v>0.16145062866338999</v>
      </c>
      <c r="ED688" s="12">
        <f t="shared" si="2967"/>
        <v>8.1075126162374972E-2</v>
      </c>
      <c r="EE688" s="12">
        <f t="shared" si="2967"/>
        <v>8.1309327761473038E-2</v>
      </c>
      <c r="EF688" s="210">
        <f t="shared" si="2967"/>
        <v>0.16238445392384801</v>
      </c>
      <c r="EG688" s="12">
        <f t="shared" ref="EG688:EL688" si="2968">SUM(EG685:EG687)</f>
        <v>8.1544277603711288E-2</v>
      </c>
      <c r="EH688" s="12">
        <f t="shared" si="2968"/>
        <v>8.1779978065483497E-2</v>
      </c>
      <c r="EI688" s="210">
        <f t="shared" si="2968"/>
        <v>0.16332425566919478</v>
      </c>
      <c r="EJ688" s="12">
        <f t="shared" si="2968"/>
        <v>8.2016431530768638E-2</v>
      </c>
      <c r="EK688" s="12">
        <f t="shared" si="2968"/>
        <v>8.2253640391155208E-2</v>
      </c>
      <c r="EL688" s="210">
        <f t="shared" si="2968"/>
        <v>0.16427007192192386</v>
      </c>
      <c r="EM688" s="12">
        <f t="shared" ref="EM688:ER688" si="2969">SUM(EM685:EM687)</f>
        <v>8.2491607045865431E-2</v>
      </c>
      <c r="EN688" s="12">
        <f t="shared" si="2969"/>
        <v>8.2730333901779765E-2</v>
      </c>
      <c r="EO688" s="210">
        <f t="shared" si="2969"/>
        <v>0.16522194094764522</v>
      </c>
      <c r="EP688" s="12">
        <f t="shared" si="2969"/>
        <v>8.2969823373461302E-2</v>
      </c>
      <c r="EQ688" s="12">
        <f t="shared" si="2969"/>
        <v>8.3210077883180328E-2</v>
      </c>
      <c r="ER688" s="210">
        <f t="shared" si="2969"/>
        <v>0.16617990125664162</v>
      </c>
      <c r="ES688" s="12">
        <f t="shared" ref="ES688:EX688" si="2970">SUM(ES685:ES687)</f>
        <v>8.3451099860939015E-2</v>
      </c>
      <c r="ET688" s="12">
        <f t="shared" si="2970"/>
        <v>8.369289174449604E-2</v>
      </c>
      <c r="EU688" s="210">
        <f t="shared" si="2970"/>
        <v>0.16714399160543505</v>
      </c>
      <c r="EV688" s="12">
        <f t="shared" si="2970"/>
        <v>8.3935455979391449E-2</v>
      </c>
      <c r="EW688" s="12">
        <f t="shared" si="2970"/>
        <v>8.417879501897152E-2</v>
      </c>
      <c r="EX688" s="210">
        <f t="shared" si="2970"/>
        <v>0.16811425099836297</v>
      </c>
      <c r="EY688" s="12">
        <f t="shared" ref="EY688:FA688" si="2971">SUM(EY685:EY687)</f>
        <v>8.4422911324413652E-2</v>
      </c>
      <c r="EZ688" s="12">
        <f t="shared" si="2971"/>
        <v>8.4667807364751449E-2</v>
      </c>
      <c r="FA688" s="210">
        <f t="shared" si="2971"/>
        <v>0.16909071868916509</v>
      </c>
      <c r="FH688" s="35"/>
      <c r="FI688" s="35"/>
      <c r="FJ688" s="35"/>
      <c r="FK688" s="35"/>
      <c r="FL688" s="35"/>
      <c r="FM688" s="35"/>
      <c r="FN688" s="35"/>
      <c r="FO688" s="35"/>
      <c r="FP688" s="35"/>
      <c r="FQ688" s="35"/>
    </row>
    <row r="689" spans="1:173" s="321" customFormat="1" hidden="1" outlineLevel="1">
      <c r="A689" s="1168"/>
      <c r="B689" s="68" t="s">
        <v>564</v>
      </c>
      <c r="C689" s="186"/>
      <c r="D689" s="910"/>
      <c r="E689" s="1"/>
      <c r="F689" s="1"/>
      <c r="G689" s="5"/>
      <c r="H689" s="1"/>
      <c r="I689" s="1"/>
      <c r="J689" s="5"/>
      <c r="K689" s="1"/>
      <c r="L689" s="1"/>
      <c r="M689" s="5"/>
      <c r="N689" s="1"/>
      <c r="O689" s="1"/>
      <c r="P689" s="5"/>
      <c r="Q689" s="1"/>
      <c r="R689" s="1"/>
      <c r="S689" s="5"/>
      <c r="T689" s="1"/>
      <c r="U689" s="1"/>
      <c r="V689" s="5"/>
      <c r="W689" s="1"/>
      <c r="X689" s="1"/>
      <c r="Y689" s="5"/>
      <c r="Z689" s="1"/>
      <c r="AA689" s="1"/>
      <c r="AB689" s="5"/>
      <c r="AC689" s="1"/>
      <c r="AD689" s="1"/>
      <c r="AE689" s="5"/>
      <c r="AF689" s="1"/>
      <c r="AG689" s="1"/>
      <c r="AH689" s="5"/>
      <c r="AI689" s="1"/>
      <c r="AJ689" s="1"/>
      <c r="AK689" s="5"/>
      <c r="AL689" s="1"/>
      <c r="AM689" s="1"/>
      <c r="AN689" s="5"/>
      <c r="AO689" s="1"/>
      <c r="AP689" s="1"/>
      <c r="AQ689" s="5"/>
      <c r="AR689" s="1"/>
      <c r="AS689" s="1"/>
      <c r="AT689" s="5"/>
      <c r="AU689" s="1"/>
      <c r="AV689" s="1"/>
      <c r="AW689" s="5"/>
      <c r="AX689" s="3"/>
      <c r="AY689" s="3"/>
      <c r="AZ689" s="2"/>
      <c r="BA689" s="3"/>
      <c r="BB689" s="3"/>
      <c r="BC689" s="973"/>
      <c r="BD689" s="3"/>
      <c r="BE689" s="3"/>
      <c r="BF689" s="973"/>
      <c r="BG689" s="3"/>
      <c r="BH689" s="3"/>
      <c r="BI689" s="978"/>
      <c r="BJ689" s="115"/>
      <c r="BK689" s="115"/>
      <c r="BL689" s="116"/>
      <c r="BM689" s="115"/>
      <c r="BN689" s="115"/>
      <c r="BO689" s="116"/>
      <c r="BP689" s="115"/>
      <c r="BQ689" s="115"/>
      <c r="BR689" s="116"/>
      <c r="BS689" s="8"/>
      <c r="BT689" s="8"/>
      <c r="BU689" s="187"/>
      <c r="BV689" s="8"/>
      <c r="BW689" s="8"/>
      <c r="BX689" s="187"/>
      <c r="BY689" s="8"/>
      <c r="BZ689" s="8"/>
      <c r="CA689" s="187"/>
      <c r="CB689" s="8"/>
      <c r="CC689" s="8"/>
      <c r="CD689" s="187"/>
      <c r="CE689" s="8"/>
      <c r="CF689" s="8"/>
      <c r="CG689" s="187"/>
      <c r="CH689" s="8"/>
      <c r="CI689" s="8"/>
      <c r="CJ689" s="187"/>
      <c r="CK689" s="8"/>
      <c r="CL689" s="8"/>
      <c r="CM689" s="187"/>
      <c r="CN689" s="8"/>
      <c r="CO689" s="8"/>
      <c r="CP689" s="187"/>
      <c r="CQ689" s="8"/>
      <c r="CR689" s="8"/>
      <c r="CS689" s="187"/>
      <c r="CT689" s="8"/>
      <c r="CU689" s="8"/>
      <c r="CV689" s="187"/>
      <c r="CW689" s="8"/>
      <c r="CX689" s="8"/>
      <c r="CY689" s="187"/>
      <c r="CZ689" s="8"/>
      <c r="DA689" s="8"/>
      <c r="DB689" s="187"/>
      <c r="DC689" s="8"/>
      <c r="DD689" s="8"/>
      <c r="DE689" s="187"/>
      <c r="DF689" s="8"/>
      <c r="DG689" s="8"/>
      <c r="DH689" s="187"/>
      <c r="DI689" s="8"/>
      <c r="DJ689" s="8"/>
      <c r="DK689" s="187"/>
      <c r="DL689" s="8"/>
      <c r="DM689" s="8"/>
      <c r="DN689" s="187"/>
      <c r="DO689" s="8"/>
      <c r="DP689" s="8"/>
      <c r="DQ689" s="187"/>
      <c r="DR689" s="8"/>
      <c r="DS689" s="8"/>
      <c r="DT689" s="187"/>
      <c r="DU689" s="8"/>
      <c r="DV689" s="8"/>
      <c r="DW689" s="187"/>
      <c r="DX689" s="8"/>
      <c r="DY689" s="8"/>
      <c r="DZ689" s="187"/>
      <c r="EA689" s="8"/>
      <c r="EB689" s="8"/>
      <c r="EC689" s="187"/>
      <c r="ED689" s="8"/>
      <c r="EE689" s="8"/>
      <c r="EF689" s="187"/>
      <c r="EG689" s="8"/>
      <c r="EH689" s="8"/>
      <c r="EI689" s="187"/>
      <c r="EJ689" s="8"/>
      <c r="EK689" s="8"/>
      <c r="EL689" s="187"/>
      <c r="EM689" s="8"/>
      <c r="EN689" s="8"/>
      <c r="EO689" s="187"/>
      <c r="EP689" s="8"/>
      <c r="EQ689" s="8"/>
      <c r="ER689" s="187"/>
      <c r="ES689" s="8"/>
      <c r="ET689" s="8"/>
      <c r="EU689" s="187"/>
      <c r="EV689" s="8"/>
      <c r="EW689" s="8"/>
      <c r="EX689" s="187"/>
      <c r="EY689" s="8"/>
      <c r="EZ689" s="8"/>
      <c r="FA689" s="187"/>
      <c r="FH689" s="35"/>
      <c r="FI689" s="35"/>
      <c r="FJ689" s="35"/>
      <c r="FK689" s="35"/>
      <c r="FL689" s="35"/>
      <c r="FM689" s="35"/>
      <c r="FN689" s="35"/>
      <c r="FO689" s="35"/>
      <c r="FP689" s="35"/>
      <c r="FQ689" s="35"/>
    </row>
    <row r="690" spans="1:173" s="321" customFormat="1" hidden="1" outlineLevel="1">
      <c r="A690" s="1168"/>
      <c r="B690" s="186"/>
      <c r="C690" s="331" t="s">
        <v>793</v>
      </c>
      <c r="D690" s="910"/>
      <c r="E690" s="1"/>
      <c r="F690" s="1"/>
      <c r="G690" s="5"/>
      <c r="H690" s="1"/>
      <c r="I690" s="1"/>
      <c r="J690" s="5"/>
      <c r="K690" s="1"/>
      <c r="L690" s="1"/>
      <c r="M690" s="5"/>
      <c r="N690" s="1"/>
      <c r="O690" s="1"/>
      <c r="P690" s="5"/>
      <c r="Q690" s="1"/>
      <c r="R690" s="1"/>
      <c r="S690" s="5"/>
      <c r="T690" s="1"/>
      <c r="U690" s="1"/>
      <c r="V690" s="5"/>
      <c r="W690" s="1"/>
      <c r="X690" s="1"/>
      <c r="Y690" s="5"/>
      <c r="Z690" s="1"/>
      <c r="AA690" s="1"/>
      <c r="AB690" s="5"/>
      <c r="AC690" s="1"/>
      <c r="AD690" s="1"/>
      <c r="AE690" s="5"/>
      <c r="AF690" s="1"/>
      <c r="AG690" s="1"/>
      <c r="AH690" s="5"/>
      <c r="AI690" s="1"/>
      <c r="AJ690" s="1"/>
      <c r="AK690" s="5"/>
      <c r="AL690" s="1"/>
      <c r="AM690" s="1"/>
      <c r="AN690" s="5"/>
      <c r="AO690" s="1"/>
      <c r="AP690" s="1"/>
      <c r="AQ690" s="5"/>
      <c r="AR690" s="1"/>
      <c r="AS690" s="1"/>
      <c r="AT690" s="5"/>
      <c r="AU690" s="1"/>
      <c r="AV690" s="1"/>
      <c r="AW690" s="5"/>
      <c r="AX690" s="3"/>
      <c r="AY690" s="3"/>
      <c r="AZ690" s="2"/>
      <c r="BA690" s="3"/>
      <c r="BB690" s="3"/>
      <c r="BC690" s="973"/>
      <c r="BD690" s="3"/>
      <c r="BE690" s="3"/>
      <c r="BF690" s="973"/>
      <c r="BG690" s="3"/>
      <c r="BH690" s="3"/>
      <c r="BI690" s="978"/>
      <c r="BJ690" s="115"/>
      <c r="BK690" s="115"/>
      <c r="BL690" s="116"/>
      <c r="BM690" s="115"/>
      <c r="BN690" s="115"/>
      <c r="BO690" s="116"/>
      <c r="BP690" s="115"/>
      <c r="BQ690" s="115"/>
      <c r="BR690" s="116"/>
      <c r="BS690" s="8"/>
      <c r="BT690" s="8"/>
      <c r="BU690" s="187"/>
      <c r="BV690" s="8"/>
      <c r="BW690" s="8"/>
      <c r="BX690" s="187"/>
      <c r="BY690" s="8"/>
      <c r="BZ690" s="8"/>
      <c r="CA690" s="187"/>
      <c r="CB690" s="8"/>
      <c r="CC690" s="8"/>
      <c r="CD690" s="187"/>
      <c r="CE690" s="8"/>
      <c r="CF690" s="8"/>
      <c r="CG690" s="187"/>
      <c r="CH690" s="8"/>
      <c r="CI690" s="8"/>
      <c r="CJ690" s="187"/>
      <c r="CK690" s="8"/>
      <c r="CL690" s="8"/>
      <c r="CM690" s="187"/>
      <c r="CN690" s="8"/>
      <c r="CO690" s="8"/>
      <c r="CP690" s="187"/>
      <c r="CQ690" s="8"/>
      <c r="CR690" s="8"/>
      <c r="CS690" s="187"/>
      <c r="CT690" s="8"/>
      <c r="CU690" s="8"/>
      <c r="CV690" s="187"/>
      <c r="CW690" s="8"/>
      <c r="CX690" s="8"/>
      <c r="CY690" s="187"/>
      <c r="CZ690" s="8"/>
      <c r="DA690" s="8"/>
      <c r="DB690" s="187"/>
      <c r="DC690" s="8"/>
      <c r="DD690" s="8"/>
      <c r="DE690" s="187"/>
      <c r="DF690" s="8"/>
      <c r="DG690" s="8"/>
      <c r="DH690" s="187"/>
      <c r="DI690" s="8"/>
      <c r="DJ690" s="8"/>
      <c r="DK690" s="187"/>
      <c r="DL690" s="8"/>
      <c r="DM690" s="8"/>
      <c r="DN690" s="187"/>
      <c r="DO690" s="8"/>
      <c r="DP690" s="8"/>
      <c r="DQ690" s="187"/>
      <c r="DR690" s="8"/>
      <c r="DS690" s="8"/>
      <c r="DT690" s="187"/>
      <c r="DU690" s="8"/>
      <c r="DV690" s="8"/>
      <c r="DW690" s="187"/>
      <c r="DX690" s="8"/>
      <c r="DY690" s="8"/>
      <c r="DZ690" s="187"/>
      <c r="EA690" s="8"/>
      <c r="EB690" s="8"/>
      <c r="EC690" s="187"/>
      <c r="ED690" s="8"/>
      <c r="EE690" s="8"/>
      <c r="EF690" s="187"/>
      <c r="EG690" s="8"/>
      <c r="EH690" s="8"/>
      <c r="EI690" s="187"/>
      <c r="EJ690" s="8"/>
      <c r="EK690" s="8"/>
      <c r="EL690" s="187"/>
      <c r="EM690" s="8"/>
      <c r="EN690" s="8"/>
      <c r="EO690" s="187"/>
      <c r="EP690" s="8"/>
      <c r="EQ690" s="8"/>
      <c r="ER690" s="187"/>
      <c r="ES690" s="8"/>
      <c r="ET690" s="8"/>
      <c r="EU690" s="187"/>
      <c r="EV690" s="8"/>
      <c r="EW690" s="8"/>
      <c r="EX690" s="187"/>
      <c r="EY690" s="8"/>
      <c r="EZ690" s="8"/>
      <c r="FA690" s="187"/>
      <c r="FH690" s="35"/>
      <c r="FI690" s="35"/>
      <c r="FJ690" s="35"/>
      <c r="FK690" s="35"/>
      <c r="FL690" s="35"/>
      <c r="FM690" s="35"/>
      <c r="FN690" s="35"/>
      <c r="FO690" s="35"/>
      <c r="FP690" s="35"/>
      <c r="FQ690" s="35"/>
    </row>
    <row r="691" spans="1:173" s="321" customFormat="1" hidden="1" outlineLevel="1">
      <c r="A691" s="1168"/>
      <c r="B691" s="186"/>
      <c r="C691" s="186" t="s">
        <v>316</v>
      </c>
      <c r="D691" s="910"/>
      <c r="E691" s="1"/>
      <c r="F691" s="1"/>
      <c r="G691" s="5"/>
      <c r="H691" s="1"/>
      <c r="I691" s="1"/>
      <c r="J691" s="5"/>
      <c r="K691" s="1"/>
      <c r="L691" s="1"/>
      <c r="M691" s="5"/>
      <c r="N691" s="1"/>
      <c r="O691" s="1"/>
      <c r="P691" s="5"/>
      <c r="Q691" s="1"/>
      <c r="R691" s="1"/>
      <c r="S691" s="5"/>
      <c r="T691" s="1"/>
      <c r="U691" s="1"/>
      <c r="V691" s="5"/>
      <c r="W691" s="1"/>
      <c r="X691" s="1"/>
      <c r="Y691" s="5"/>
      <c r="Z691" s="1"/>
      <c r="AA691" s="1"/>
      <c r="AB691" s="5"/>
      <c r="AC691" s="1"/>
      <c r="AD691" s="1"/>
      <c r="AE691" s="5"/>
      <c r="AF691" s="1"/>
      <c r="AG691" s="1"/>
      <c r="AH691" s="5"/>
      <c r="AI691" s="1"/>
      <c r="AJ691" s="1"/>
      <c r="AK691" s="5"/>
      <c r="AL691" s="1"/>
      <c r="AM691" s="1"/>
      <c r="AN691" s="5"/>
      <c r="AO691" s="1"/>
      <c r="AP691" s="1"/>
      <c r="AQ691" s="5"/>
      <c r="AR691" s="1"/>
      <c r="AS691" s="1"/>
      <c r="AT691" s="5"/>
      <c r="AU691" s="1"/>
      <c r="AV691" s="1"/>
      <c r="AW691" s="5"/>
      <c r="AX691" s="83">
        <v>0.94</v>
      </c>
      <c r="AY691" s="185">
        <f t="shared" ref="AY691:CD691" si="2972">AX691</f>
        <v>0.94</v>
      </c>
      <c r="AZ691" s="185">
        <f t="shared" si="2972"/>
        <v>0.94</v>
      </c>
      <c r="BA691" s="4">
        <f t="shared" si="2972"/>
        <v>0.94</v>
      </c>
      <c r="BB691" s="4">
        <f t="shared" si="2972"/>
        <v>0.94</v>
      </c>
      <c r="BC691" s="971">
        <f t="shared" si="2972"/>
        <v>0.94</v>
      </c>
      <c r="BD691" s="4">
        <f t="shared" si="2972"/>
        <v>0.94</v>
      </c>
      <c r="BE691" s="4">
        <f t="shared" si="2972"/>
        <v>0.94</v>
      </c>
      <c r="BF691" s="971">
        <f t="shared" si="2972"/>
        <v>0.94</v>
      </c>
      <c r="BG691" s="4">
        <f t="shared" si="2972"/>
        <v>0.94</v>
      </c>
      <c r="BH691" s="4">
        <f t="shared" si="2972"/>
        <v>0.94</v>
      </c>
      <c r="BI691" s="971">
        <f t="shared" si="2972"/>
        <v>0.94</v>
      </c>
      <c r="BJ691" s="121">
        <f t="shared" si="2972"/>
        <v>0.94</v>
      </c>
      <c r="BK691" s="121">
        <f t="shared" si="2972"/>
        <v>0.94</v>
      </c>
      <c r="BL691" s="114">
        <f t="shared" si="2972"/>
        <v>0.94</v>
      </c>
      <c r="BM691" s="121">
        <f t="shared" si="2972"/>
        <v>0.94</v>
      </c>
      <c r="BN691" s="121">
        <f t="shared" si="2972"/>
        <v>0.94</v>
      </c>
      <c r="BO691" s="114">
        <f t="shared" si="2972"/>
        <v>0.94</v>
      </c>
      <c r="BP691" s="121">
        <f t="shared" si="2972"/>
        <v>0.94</v>
      </c>
      <c r="BQ691" s="121">
        <f t="shared" si="2972"/>
        <v>0.94</v>
      </c>
      <c r="BR691" s="114">
        <f t="shared" si="2972"/>
        <v>0.94</v>
      </c>
      <c r="BS691" s="4">
        <f t="shared" si="2972"/>
        <v>0.94</v>
      </c>
      <c r="BT691" s="4">
        <f t="shared" si="2972"/>
        <v>0.94</v>
      </c>
      <c r="BU691" s="185">
        <f t="shared" si="2972"/>
        <v>0.94</v>
      </c>
      <c r="BV691" s="4">
        <f t="shared" si="2972"/>
        <v>0.94</v>
      </c>
      <c r="BW691" s="4">
        <f t="shared" si="2972"/>
        <v>0.94</v>
      </c>
      <c r="BX691" s="185">
        <f t="shared" si="2972"/>
        <v>0.94</v>
      </c>
      <c r="BY691" s="4">
        <f t="shared" si="2972"/>
        <v>0.94</v>
      </c>
      <c r="BZ691" s="4">
        <f t="shared" si="2972"/>
        <v>0.94</v>
      </c>
      <c r="CA691" s="185">
        <f t="shared" si="2972"/>
        <v>0.94</v>
      </c>
      <c r="CB691" s="4">
        <f t="shared" si="2972"/>
        <v>0.94</v>
      </c>
      <c r="CC691" s="4">
        <f t="shared" si="2972"/>
        <v>0.94</v>
      </c>
      <c r="CD691" s="185">
        <f t="shared" si="2972"/>
        <v>0.94</v>
      </c>
      <c r="CE691" s="4">
        <f t="shared" ref="CE691:DJ691" si="2973">CD691</f>
        <v>0.94</v>
      </c>
      <c r="CF691" s="4">
        <f t="shared" si="2973"/>
        <v>0.94</v>
      </c>
      <c r="CG691" s="185">
        <f t="shared" si="2973"/>
        <v>0.94</v>
      </c>
      <c r="CH691" s="4">
        <f t="shared" si="2973"/>
        <v>0.94</v>
      </c>
      <c r="CI691" s="4">
        <f t="shared" si="2973"/>
        <v>0.94</v>
      </c>
      <c r="CJ691" s="185">
        <f t="shared" si="2973"/>
        <v>0.94</v>
      </c>
      <c r="CK691" s="4">
        <f t="shared" si="2973"/>
        <v>0.94</v>
      </c>
      <c r="CL691" s="4">
        <f t="shared" si="2973"/>
        <v>0.94</v>
      </c>
      <c r="CM691" s="185">
        <f t="shared" si="2973"/>
        <v>0.94</v>
      </c>
      <c r="CN691" s="4">
        <f t="shared" si="2973"/>
        <v>0.94</v>
      </c>
      <c r="CO691" s="4">
        <f t="shared" si="2973"/>
        <v>0.94</v>
      </c>
      <c r="CP691" s="185">
        <f t="shared" si="2973"/>
        <v>0.94</v>
      </c>
      <c r="CQ691" s="4">
        <f t="shared" si="2973"/>
        <v>0.94</v>
      </c>
      <c r="CR691" s="4">
        <f t="shared" si="2973"/>
        <v>0.94</v>
      </c>
      <c r="CS691" s="185">
        <f t="shared" si="2973"/>
        <v>0.94</v>
      </c>
      <c r="CT691" s="4">
        <f t="shared" si="2973"/>
        <v>0.94</v>
      </c>
      <c r="CU691" s="4">
        <f t="shared" si="2973"/>
        <v>0.94</v>
      </c>
      <c r="CV691" s="185">
        <f t="shared" si="2973"/>
        <v>0.94</v>
      </c>
      <c r="CW691" s="4">
        <f t="shared" si="2973"/>
        <v>0.94</v>
      </c>
      <c r="CX691" s="4">
        <f t="shared" si="2973"/>
        <v>0.94</v>
      </c>
      <c r="CY691" s="185">
        <f t="shared" si="2973"/>
        <v>0.94</v>
      </c>
      <c r="CZ691" s="4">
        <f t="shared" si="2973"/>
        <v>0.94</v>
      </c>
      <c r="DA691" s="4">
        <f t="shared" si="2973"/>
        <v>0.94</v>
      </c>
      <c r="DB691" s="185">
        <f t="shared" si="2973"/>
        <v>0.94</v>
      </c>
      <c r="DC691" s="4">
        <f t="shared" si="2973"/>
        <v>0.94</v>
      </c>
      <c r="DD691" s="4">
        <f t="shared" si="2973"/>
        <v>0.94</v>
      </c>
      <c r="DE691" s="185">
        <f t="shared" si="2973"/>
        <v>0.94</v>
      </c>
      <c r="DF691" s="4">
        <f t="shared" si="2973"/>
        <v>0.94</v>
      </c>
      <c r="DG691" s="4">
        <f t="shared" si="2973"/>
        <v>0.94</v>
      </c>
      <c r="DH691" s="185">
        <f t="shared" si="2973"/>
        <v>0.94</v>
      </c>
      <c r="DI691" s="4">
        <f t="shared" si="2973"/>
        <v>0.94</v>
      </c>
      <c r="DJ691" s="4">
        <f t="shared" si="2973"/>
        <v>0.94</v>
      </c>
      <c r="DK691" s="185">
        <f t="shared" ref="DK691:EF691" si="2974">DJ691</f>
        <v>0.94</v>
      </c>
      <c r="DL691" s="4">
        <f>DK691</f>
        <v>0.94</v>
      </c>
      <c r="DM691" s="4">
        <f t="shared" si="2974"/>
        <v>0.94</v>
      </c>
      <c r="DN691" s="185">
        <f t="shared" si="2974"/>
        <v>0.94</v>
      </c>
      <c r="DO691" s="4">
        <f t="shared" si="2974"/>
        <v>0.94</v>
      </c>
      <c r="DP691" s="4">
        <f t="shared" si="2974"/>
        <v>0.94</v>
      </c>
      <c r="DQ691" s="185">
        <f t="shared" si="2974"/>
        <v>0.94</v>
      </c>
      <c r="DR691" s="4">
        <f t="shared" si="2974"/>
        <v>0.94</v>
      </c>
      <c r="DS691" s="4">
        <f t="shared" si="2974"/>
        <v>0.94</v>
      </c>
      <c r="DT691" s="185">
        <f t="shared" si="2974"/>
        <v>0.94</v>
      </c>
      <c r="DU691" s="4">
        <f t="shared" si="2974"/>
        <v>0.94</v>
      </c>
      <c r="DV691" s="4">
        <f t="shared" si="2974"/>
        <v>0.94</v>
      </c>
      <c r="DW691" s="185">
        <f t="shared" si="2974"/>
        <v>0.94</v>
      </c>
      <c r="DX691" s="4">
        <f t="shared" si="2974"/>
        <v>0.94</v>
      </c>
      <c r="DY691" s="4">
        <f t="shared" si="2974"/>
        <v>0.94</v>
      </c>
      <c r="DZ691" s="185">
        <f t="shared" si="2974"/>
        <v>0.94</v>
      </c>
      <c r="EA691" s="4">
        <f t="shared" si="2974"/>
        <v>0.94</v>
      </c>
      <c r="EB691" s="4">
        <f t="shared" si="2974"/>
        <v>0.94</v>
      </c>
      <c r="EC691" s="185">
        <f t="shared" si="2974"/>
        <v>0.94</v>
      </c>
      <c r="ED691" s="4">
        <f t="shared" si="2974"/>
        <v>0.94</v>
      </c>
      <c r="EE691" s="4">
        <f t="shared" si="2974"/>
        <v>0.94</v>
      </c>
      <c r="EF691" s="185">
        <f t="shared" si="2974"/>
        <v>0.94</v>
      </c>
      <c r="EG691" s="4">
        <f t="shared" ref="EG691:EL693" si="2975">EF691</f>
        <v>0.94</v>
      </c>
      <c r="EH691" s="4">
        <f t="shared" si="2975"/>
        <v>0.94</v>
      </c>
      <c r="EI691" s="185">
        <f t="shared" si="2975"/>
        <v>0.94</v>
      </c>
      <c r="EJ691" s="4">
        <f t="shared" si="2975"/>
        <v>0.94</v>
      </c>
      <c r="EK691" s="4">
        <f t="shared" si="2975"/>
        <v>0.94</v>
      </c>
      <c r="EL691" s="185">
        <f t="shared" si="2975"/>
        <v>0.94</v>
      </c>
      <c r="EM691" s="4">
        <f t="shared" ref="EM691:ER693" si="2976">EL691</f>
        <v>0.94</v>
      </c>
      <c r="EN691" s="4">
        <f t="shared" si="2976"/>
        <v>0.94</v>
      </c>
      <c r="EO691" s="185">
        <f t="shared" si="2976"/>
        <v>0.94</v>
      </c>
      <c r="EP691" s="4">
        <f t="shared" si="2976"/>
        <v>0.94</v>
      </c>
      <c r="EQ691" s="4">
        <f t="shared" si="2976"/>
        <v>0.94</v>
      </c>
      <c r="ER691" s="185">
        <f t="shared" si="2976"/>
        <v>0.94</v>
      </c>
      <c r="ES691" s="4">
        <f t="shared" ref="ES691:ES693" si="2977">ER691</f>
        <v>0.94</v>
      </c>
      <c r="ET691" s="4">
        <f t="shared" ref="ET691:ET693" si="2978">ES691</f>
        <v>0.94</v>
      </c>
      <c r="EU691" s="185">
        <f t="shared" ref="EU691:EU693" si="2979">ET691</f>
        <v>0.94</v>
      </c>
      <c r="EV691" s="4">
        <f t="shared" ref="EV691:EV693" si="2980">EU691</f>
        <v>0.94</v>
      </c>
      <c r="EW691" s="4">
        <f t="shared" ref="EW691:EW693" si="2981">EV691</f>
        <v>0.94</v>
      </c>
      <c r="EX691" s="185">
        <f t="shared" ref="EX691:EX693" si="2982">EW691</f>
        <v>0.94</v>
      </c>
      <c r="EY691" s="4">
        <f t="shared" ref="EY691:EY693" si="2983">EX691</f>
        <v>0.94</v>
      </c>
      <c r="EZ691" s="4">
        <f t="shared" ref="EZ691:EZ693" si="2984">EY691</f>
        <v>0.94</v>
      </c>
      <c r="FA691" s="185">
        <f t="shared" ref="FA691:FA693" si="2985">EZ691</f>
        <v>0.94</v>
      </c>
      <c r="FH691" s="35"/>
      <c r="FI691" s="35"/>
      <c r="FJ691" s="35"/>
      <c r="FK691" s="35"/>
      <c r="FL691" s="35"/>
      <c r="FM691" s="35"/>
      <c r="FN691" s="35"/>
      <c r="FO691" s="35"/>
      <c r="FP691" s="35"/>
      <c r="FQ691" s="35"/>
    </row>
    <row r="692" spans="1:173" s="321" customFormat="1" hidden="1" outlineLevel="1">
      <c r="A692" s="1168"/>
      <c r="B692" s="186"/>
      <c r="C692" s="186" t="s">
        <v>317</v>
      </c>
      <c r="D692" s="910"/>
      <c r="E692" s="1"/>
      <c r="F692" s="1"/>
      <c r="G692" s="5"/>
      <c r="H692" s="1"/>
      <c r="I692" s="1"/>
      <c r="J692" s="5"/>
      <c r="K692" s="1"/>
      <c r="L692" s="1"/>
      <c r="M692" s="5"/>
      <c r="N692" s="1"/>
      <c r="O692" s="1"/>
      <c r="P692" s="5"/>
      <c r="Q692" s="1"/>
      <c r="R692" s="1"/>
      <c r="S692" s="5"/>
      <c r="T692" s="1"/>
      <c r="U692" s="1"/>
      <c r="V692" s="5"/>
      <c r="W692" s="1"/>
      <c r="X692" s="1"/>
      <c r="Y692" s="5"/>
      <c r="Z692" s="1"/>
      <c r="AA692" s="1"/>
      <c r="AB692" s="5"/>
      <c r="AC692" s="1"/>
      <c r="AD692" s="1"/>
      <c r="AE692" s="5"/>
      <c r="AF692" s="1"/>
      <c r="AG692" s="1"/>
      <c r="AH692" s="5"/>
      <c r="AI692" s="1"/>
      <c r="AJ692" s="1"/>
      <c r="AK692" s="5"/>
      <c r="AL692" s="1"/>
      <c r="AM692" s="1"/>
      <c r="AN692" s="5"/>
      <c r="AO692" s="1"/>
      <c r="AP692" s="1"/>
      <c r="AQ692" s="5"/>
      <c r="AR692" s="1"/>
      <c r="AS692" s="1"/>
      <c r="AT692" s="5"/>
      <c r="AU692" s="1"/>
      <c r="AV692" s="1"/>
      <c r="AW692" s="5"/>
      <c r="AX692" s="83">
        <v>0.9</v>
      </c>
      <c r="AY692" s="185">
        <f t="shared" ref="AY692:CD692" si="2986">AX692</f>
        <v>0.9</v>
      </c>
      <c r="AZ692" s="185">
        <f t="shared" si="2986"/>
        <v>0.9</v>
      </c>
      <c r="BA692" s="4">
        <f t="shared" si="2986"/>
        <v>0.9</v>
      </c>
      <c r="BB692" s="4">
        <f t="shared" si="2986"/>
        <v>0.9</v>
      </c>
      <c r="BC692" s="971">
        <f t="shared" si="2986"/>
        <v>0.9</v>
      </c>
      <c r="BD692" s="4">
        <f t="shared" si="2986"/>
        <v>0.9</v>
      </c>
      <c r="BE692" s="4">
        <f t="shared" si="2986"/>
        <v>0.9</v>
      </c>
      <c r="BF692" s="971">
        <f t="shared" si="2986"/>
        <v>0.9</v>
      </c>
      <c r="BG692" s="4">
        <f t="shared" si="2986"/>
        <v>0.9</v>
      </c>
      <c r="BH692" s="4">
        <f t="shared" si="2986"/>
        <v>0.9</v>
      </c>
      <c r="BI692" s="971">
        <f t="shared" si="2986"/>
        <v>0.9</v>
      </c>
      <c r="BJ692" s="121">
        <f t="shared" si="2986"/>
        <v>0.9</v>
      </c>
      <c r="BK692" s="121">
        <f t="shared" si="2986"/>
        <v>0.9</v>
      </c>
      <c r="BL692" s="114">
        <f t="shared" si="2986"/>
        <v>0.9</v>
      </c>
      <c r="BM692" s="121">
        <f t="shared" si="2986"/>
        <v>0.9</v>
      </c>
      <c r="BN692" s="121">
        <f t="shared" si="2986"/>
        <v>0.9</v>
      </c>
      <c r="BO692" s="114">
        <f t="shared" si="2986"/>
        <v>0.9</v>
      </c>
      <c r="BP692" s="121">
        <f t="shared" si="2986"/>
        <v>0.9</v>
      </c>
      <c r="BQ692" s="121">
        <f t="shared" si="2986"/>
        <v>0.9</v>
      </c>
      <c r="BR692" s="114">
        <f t="shared" si="2986"/>
        <v>0.9</v>
      </c>
      <c r="BS692" s="4">
        <f t="shared" si="2986"/>
        <v>0.9</v>
      </c>
      <c r="BT692" s="4">
        <f t="shared" si="2986"/>
        <v>0.9</v>
      </c>
      <c r="BU692" s="185">
        <f t="shared" si="2986"/>
        <v>0.9</v>
      </c>
      <c r="BV692" s="4">
        <f t="shared" si="2986"/>
        <v>0.9</v>
      </c>
      <c r="BW692" s="4">
        <f t="shared" si="2986"/>
        <v>0.9</v>
      </c>
      <c r="BX692" s="185">
        <f t="shared" si="2986"/>
        <v>0.9</v>
      </c>
      <c r="BY692" s="4">
        <f t="shared" si="2986"/>
        <v>0.9</v>
      </c>
      <c r="BZ692" s="4">
        <f t="shared" si="2986"/>
        <v>0.9</v>
      </c>
      <c r="CA692" s="185">
        <f t="shared" si="2986"/>
        <v>0.9</v>
      </c>
      <c r="CB692" s="4">
        <f t="shared" si="2986"/>
        <v>0.9</v>
      </c>
      <c r="CC692" s="4">
        <f t="shared" si="2986"/>
        <v>0.9</v>
      </c>
      <c r="CD692" s="185">
        <f t="shared" si="2986"/>
        <v>0.9</v>
      </c>
      <c r="CE692" s="4">
        <f t="shared" ref="CE692:DJ692" si="2987">CD692</f>
        <v>0.9</v>
      </c>
      <c r="CF692" s="4">
        <f t="shared" si="2987"/>
        <v>0.9</v>
      </c>
      <c r="CG692" s="185">
        <f t="shared" si="2987"/>
        <v>0.9</v>
      </c>
      <c r="CH692" s="4">
        <f t="shared" si="2987"/>
        <v>0.9</v>
      </c>
      <c r="CI692" s="4">
        <f t="shared" si="2987"/>
        <v>0.9</v>
      </c>
      <c r="CJ692" s="185">
        <f t="shared" si="2987"/>
        <v>0.9</v>
      </c>
      <c r="CK692" s="4">
        <f t="shared" si="2987"/>
        <v>0.9</v>
      </c>
      <c r="CL692" s="4">
        <f t="shared" si="2987"/>
        <v>0.9</v>
      </c>
      <c r="CM692" s="185">
        <f t="shared" si="2987"/>
        <v>0.9</v>
      </c>
      <c r="CN692" s="4">
        <f t="shared" si="2987"/>
        <v>0.9</v>
      </c>
      <c r="CO692" s="4">
        <f t="shared" si="2987"/>
        <v>0.9</v>
      </c>
      <c r="CP692" s="185">
        <f t="shared" si="2987"/>
        <v>0.9</v>
      </c>
      <c r="CQ692" s="4">
        <f t="shared" si="2987"/>
        <v>0.9</v>
      </c>
      <c r="CR692" s="4">
        <f t="shared" si="2987"/>
        <v>0.9</v>
      </c>
      <c r="CS692" s="185">
        <f t="shared" si="2987"/>
        <v>0.9</v>
      </c>
      <c r="CT692" s="4">
        <f t="shared" si="2987"/>
        <v>0.9</v>
      </c>
      <c r="CU692" s="4">
        <f t="shared" si="2987"/>
        <v>0.9</v>
      </c>
      <c r="CV692" s="185">
        <f t="shared" si="2987"/>
        <v>0.9</v>
      </c>
      <c r="CW692" s="4">
        <f t="shared" si="2987"/>
        <v>0.9</v>
      </c>
      <c r="CX692" s="4">
        <f t="shared" si="2987"/>
        <v>0.9</v>
      </c>
      <c r="CY692" s="185">
        <f t="shared" si="2987"/>
        <v>0.9</v>
      </c>
      <c r="CZ692" s="4">
        <f t="shared" si="2987"/>
        <v>0.9</v>
      </c>
      <c r="DA692" s="4">
        <f t="shared" si="2987"/>
        <v>0.9</v>
      </c>
      <c r="DB692" s="185">
        <f t="shared" si="2987"/>
        <v>0.9</v>
      </c>
      <c r="DC692" s="4">
        <f t="shared" si="2987"/>
        <v>0.9</v>
      </c>
      <c r="DD692" s="4">
        <f t="shared" si="2987"/>
        <v>0.9</v>
      </c>
      <c r="DE692" s="185">
        <f t="shared" si="2987"/>
        <v>0.9</v>
      </c>
      <c r="DF692" s="4">
        <f t="shared" si="2987"/>
        <v>0.9</v>
      </c>
      <c r="DG692" s="4">
        <f t="shared" si="2987"/>
        <v>0.9</v>
      </c>
      <c r="DH692" s="185">
        <f t="shared" si="2987"/>
        <v>0.9</v>
      </c>
      <c r="DI692" s="4">
        <f t="shared" si="2987"/>
        <v>0.9</v>
      </c>
      <c r="DJ692" s="4">
        <f t="shared" si="2987"/>
        <v>0.9</v>
      </c>
      <c r="DK692" s="185">
        <f t="shared" ref="DK692:EF692" si="2988">DJ692</f>
        <v>0.9</v>
      </c>
      <c r="DL692" s="4">
        <f>DK692</f>
        <v>0.9</v>
      </c>
      <c r="DM692" s="4">
        <f t="shared" si="2988"/>
        <v>0.9</v>
      </c>
      <c r="DN692" s="185">
        <f t="shared" si="2988"/>
        <v>0.9</v>
      </c>
      <c r="DO692" s="4">
        <f t="shared" si="2988"/>
        <v>0.9</v>
      </c>
      <c r="DP692" s="4">
        <f t="shared" si="2988"/>
        <v>0.9</v>
      </c>
      <c r="DQ692" s="185">
        <f t="shared" si="2988"/>
        <v>0.9</v>
      </c>
      <c r="DR692" s="4">
        <f t="shared" si="2988"/>
        <v>0.9</v>
      </c>
      <c r="DS692" s="4">
        <f t="shared" si="2988"/>
        <v>0.9</v>
      </c>
      <c r="DT692" s="185">
        <f t="shared" si="2988"/>
        <v>0.9</v>
      </c>
      <c r="DU692" s="4">
        <f t="shared" si="2988"/>
        <v>0.9</v>
      </c>
      <c r="DV692" s="4">
        <f t="shared" si="2988"/>
        <v>0.9</v>
      </c>
      <c r="DW692" s="185">
        <f t="shared" si="2988"/>
        <v>0.9</v>
      </c>
      <c r="DX692" s="4">
        <f t="shared" si="2988"/>
        <v>0.9</v>
      </c>
      <c r="DY692" s="4">
        <f t="shared" si="2988"/>
        <v>0.9</v>
      </c>
      <c r="DZ692" s="185">
        <f t="shared" si="2988"/>
        <v>0.9</v>
      </c>
      <c r="EA692" s="4">
        <f t="shared" si="2988"/>
        <v>0.9</v>
      </c>
      <c r="EB692" s="4">
        <f t="shared" si="2988"/>
        <v>0.9</v>
      </c>
      <c r="EC692" s="185">
        <f t="shared" si="2988"/>
        <v>0.9</v>
      </c>
      <c r="ED692" s="4">
        <f t="shared" si="2988"/>
        <v>0.9</v>
      </c>
      <c r="EE692" s="4">
        <f t="shared" si="2988"/>
        <v>0.9</v>
      </c>
      <c r="EF692" s="185">
        <f t="shared" si="2988"/>
        <v>0.9</v>
      </c>
      <c r="EG692" s="4">
        <f t="shared" si="2975"/>
        <v>0.9</v>
      </c>
      <c r="EH692" s="4">
        <f t="shared" si="2975"/>
        <v>0.9</v>
      </c>
      <c r="EI692" s="185">
        <f t="shared" si="2975"/>
        <v>0.9</v>
      </c>
      <c r="EJ692" s="4">
        <f t="shared" si="2975"/>
        <v>0.9</v>
      </c>
      <c r="EK692" s="4">
        <f t="shared" si="2975"/>
        <v>0.9</v>
      </c>
      <c r="EL692" s="185">
        <f t="shared" si="2975"/>
        <v>0.9</v>
      </c>
      <c r="EM692" s="4">
        <f t="shared" si="2976"/>
        <v>0.9</v>
      </c>
      <c r="EN692" s="4">
        <f t="shared" si="2976"/>
        <v>0.9</v>
      </c>
      <c r="EO692" s="185">
        <f t="shared" si="2976"/>
        <v>0.9</v>
      </c>
      <c r="EP692" s="4">
        <f t="shared" si="2976"/>
        <v>0.9</v>
      </c>
      <c r="EQ692" s="4">
        <f t="shared" si="2976"/>
        <v>0.9</v>
      </c>
      <c r="ER692" s="185">
        <f t="shared" si="2976"/>
        <v>0.9</v>
      </c>
      <c r="ES692" s="4">
        <f t="shared" si="2977"/>
        <v>0.9</v>
      </c>
      <c r="ET692" s="4">
        <f t="shared" si="2978"/>
        <v>0.9</v>
      </c>
      <c r="EU692" s="185">
        <f t="shared" si="2979"/>
        <v>0.9</v>
      </c>
      <c r="EV692" s="4">
        <f t="shared" si="2980"/>
        <v>0.9</v>
      </c>
      <c r="EW692" s="4">
        <f t="shared" si="2981"/>
        <v>0.9</v>
      </c>
      <c r="EX692" s="185">
        <f t="shared" si="2982"/>
        <v>0.9</v>
      </c>
      <c r="EY692" s="4">
        <f t="shared" si="2983"/>
        <v>0.9</v>
      </c>
      <c r="EZ692" s="4">
        <f t="shared" si="2984"/>
        <v>0.9</v>
      </c>
      <c r="FA692" s="185">
        <f t="shared" si="2985"/>
        <v>0.9</v>
      </c>
      <c r="FH692" s="35"/>
      <c r="FI692" s="35"/>
      <c r="FJ692" s="35"/>
      <c r="FK692" s="35"/>
      <c r="FL692" s="35"/>
      <c r="FM692" s="35"/>
      <c r="FN692" s="35"/>
      <c r="FO692" s="35"/>
      <c r="FP692" s="35"/>
      <c r="FQ692" s="35"/>
    </row>
    <row r="693" spans="1:173" s="321" customFormat="1" hidden="1" outlineLevel="1">
      <c r="A693" s="1168"/>
      <c r="B693" s="186"/>
      <c r="C693" s="186" t="s">
        <v>431</v>
      </c>
      <c r="D693" s="910"/>
      <c r="E693" s="1"/>
      <c r="F693" s="1"/>
      <c r="G693" s="5"/>
      <c r="H693" s="1"/>
      <c r="I693" s="1"/>
      <c r="J693" s="5"/>
      <c r="K693" s="1"/>
      <c r="L693" s="1"/>
      <c r="M693" s="5"/>
      <c r="N693" s="1"/>
      <c r="O693" s="1"/>
      <c r="P693" s="5"/>
      <c r="Q693" s="1"/>
      <c r="R693" s="1"/>
      <c r="S693" s="5"/>
      <c r="T693" s="1"/>
      <c r="U693" s="1"/>
      <c r="V693" s="5"/>
      <c r="W693" s="1"/>
      <c r="X693" s="1"/>
      <c r="Y693" s="5"/>
      <c r="Z693" s="1"/>
      <c r="AA693" s="1"/>
      <c r="AB693" s="5"/>
      <c r="AC693" s="1"/>
      <c r="AD693" s="1"/>
      <c r="AE693" s="5"/>
      <c r="AF693" s="1"/>
      <c r="AG693" s="1"/>
      <c r="AH693" s="5"/>
      <c r="AI693" s="1"/>
      <c r="AJ693" s="1"/>
      <c r="AK693" s="5"/>
      <c r="AL693" s="1"/>
      <c r="AM693" s="1"/>
      <c r="AN693" s="5"/>
      <c r="AO693" s="1"/>
      <c r="AP693" s="1"/>
      <c r="AQ693" s="5"/>
      <c r="AR693" s="1"/>
      <c r="AS693" s="1"/>
      <c r="AT693" s="5"/>
      <c r="AU693" s="1"/>
      <c r="AV693" s="1"/>
      <c r="AW693" s="5"/>
      <c r="AX693" s="83">
        <v>0.1</v>
      </c>
      <c r="AY693" s="185">
        <f t="shared" ref="AY693:CD693" si="2989">AX693</f>
        <v>0.1</v>
      </c>
      <c r="AZ693" s="185">
        <f t="shared" si="2989"/>
        <v>0.1</v>
      </c>
      <c r="BA693" s="4">
        <f t="shared" si="2989"/>
        <v>0.1</v>
      </c>
      <c r="BB693" s="4">
        <f t="shared" si="2989"/>
        <v>0.1</v>
      </c>
      <c r="BC693" s="971">
        <f t="shared" si="2989"/>
        <v>0.1</v>
      </c>
      <c r="BD693" s="4">
        <f t="shared" si="2989"/>
        <v>0.1</v>
      </c>
      <c r="BE693" s="4">
        <f t="shared" si="2989"/>
        <v>0.1</v>
      </c>
      <c r="BF693" s="971">
        <f t="shared" si="2989"/>
        <v>0.1</v>
      </c>
      <c r="BG693" s="4">
        <f t="shared" si="2989"/>
        <v>0.1</v>
      </c>
      <c r="BH693" s="4">
        <f t="shared" si="2989"/>
        <v>0.1</v>
      </c>
      <c r="BI693" s="971">
        <f t="shared" si="2989"/>
        <v>0.1</v>
      </c>
      <c r="BJ693" s="121">
        <f t="shared" si="2989"/>
        <v>0.1</v>
      </c>
      <c r="BK693" s="121">
        <f t="shared" si="2989"/>
        <v>0.1</v>
      </c>
      <c r="BL693" s="114">
        <f t="shared" si="2989"/>
        <v>0.1</v>
      </c>
      <c r="BM693" s="121">
        <f t="shared" si="2989"/>
        <v>0.1</v>
      </c>
      <c r="BN693" s="121">
        <f t="shared" si="2989"/>
        <v>0.1</v>
      </c>
      <c r="BO693" s="114">
        <f t="shared" si="2989"/>
        <v>0.1</v>
      </c>
      <c r="BP693" s="121">
        <f t="shared" si="2989"/>
        <v>0.1</v>
      </c>
      <c r="BQ693" s="121">
        <f t="shared" si="2989"/>
        <v>0.1</v>
      </c>
      <c r="BR693" s="114">
        <f t="shared" si="2989"/>
        <v>0.1</v>
      </c>
      <c r="BS693" s="4">
        <f t="shared" si="2989"/>
        <v>0.1</v>
      </c>
      <c r="BT693" s="4">
        <f t="shared" si="2989"/>
        <v>0.1</v>
      </c>
      <c r="BU693" s="185">
        <f t="shared" si="2989"/>
        <v>0.1</v>
      </c>
      <c r="BV693" s="4">
        <f t="shared" si="2989"/>
        <v>0.1</v>
      </c>
      <c r="BW693" s="4">
        <f t="shared" si="2989"/>
        <v>0.1</v>
      </c>
      <c r="BX693" s="185">
        <f t="shared" si="2989"/>
        <v>0.1</v>
      </c>
      <c r="BY693" s="4">
        <f t="shared" si="2989"/>
        <v>0.1</v>
      </c>
      <c r="BZ693" s="4">
        <f t="shared" si="2989"/>
        <v>0.1</v>
      </c>
      <c r="CA693" s="185">
        <f t="shared" si="2989"/>
        <v>0.1</v>
      </c>
      <c r="CB693" s="4">
        <f t="shared" si="2989"/>
        <v>0.1</v>
      </c>
      <c r="CC693" s="4">
        <f t="shared" si="2989"/>
        <v>0.1</v>
      </c>
      <c r="CD693" s="185">
        <f t="shared" si="2989"/>
        <v>0.1</v>
      </c>
      <c r="CE693" s="4">
        <f t="shared" ref="CE693:DJ693" si="2990">CD693</f>
        <v>0.1</v>
      </c>
      <c r="CF693" s="4">
        <f t="shared" si="2990"/>
        <v>0.1</v>
      </c>
      <c r="CG693" s="185">
        <f t="shared" si="2990"/>
        <v>0.1</v>
      </c>
      <c r="CH693" s="4">
        <f t="shared" si="2990"/>
        <v>0.1</v>
      </c>
      <c r="CI693" s="4">
        <f t="shared" si="2990"/>
        <v>0.1</v>
      </c>
      <c r="CJ693" s="185">
        <f t="shared" si="2990"/>
        <v>0.1</v>
      </c>
      <c r="CK693" s="4">
        <f t="shared" si="2990"/>
        <v>0.1</v>
      </c>
      <c r="CL693" s="4">
        <f t="shared" si="2990"/>
        <v>0.1</v>
      </c>
      <c r="CM693" s="185">
        <f t="shared" si="2990"/>
        <v>0.1</v>
      </c>
      <c r="CN693" s="4">
        <f t="shared" si="2990"/>
        <v>0.1</v>
      </c>
      <c r="CO693" s="4">
        <f t="shared" si="2990"/>
        <v>0.1</v>
      </c>
      <c r="CP693" s="185">
        <f t="shared" si="2990"/>
        <v>0.1</v>
      </c>
      <c r="CQ693" s="4">
        <f t="shared" si="2990"/>
        <v>0.1</v>
      </c>
      <c r="CR693" s="4">
        <f t="shared" si="2990"/>
        <v>0.1</v>
      </c>
      <c r="CS693" s="185">
        <f t="shared" si="2990"/>
        <v>0.1</v>
      </c>
      <c r="CT693" s="4">
        <f t="shared" si="2990"/>
        <v>0.1</v>
      </c>
      <c r="CU693" s="4">
        <f t="shared" si="2990"/>
        <v>0.1</v>
      </c>
      <c r="CV693" s="185">
        <f t="shared" si="2990"/>
        <v>0.1</v>
      </c>
      <c r="CW693" s="4">
        <f t="shared" si="2990"/>
        <v>0.1</v>
      </c>
      <c r="CX693" s="4">
        <f t="shared" si="2990"/>
        <v>0.1</v>
      </c>
      <c r="CY693" s="185">
        <f t="shared" si="2990"/>
        <v>0.1</v>
      </c>
      <c r="CZ693" s="4">
        <f t="shared" si="2990"/>
        <v>0.1</v>
      </c>
      <c r="DA693" s="4">
        <f t="shared" si="2990"/>
        <v>0.1</v>
      </c>
      <c r="DB693" s="185">
        <f t="shared" si="2990"/>
        <v>0.1</v>
      </c>
      <c r="DC693" s="4">
        <f t="shared" si="2990"/>
        <v>0.1</v>
      </c>
      <c r="DD693" s="4">
        <f t="shared" si="2990"/>
        <v>0.1</v>
      </c>
      <c r="DE693" s="185">
        <f t="shared" si="2990"/>
        <v>0.1</v>
      </c>
      <c r="DF693" s="4">
        <f t="shared" si="2990"/>
        <v>0.1</v>
      </c>
      <c r="DG693" s="4">
        <f t="shared" si="2990"/>
        <v>0.1</v>
      </c>
      <c r="DH693" s="185">
        <f t="shared" si="2990"/>
        <v>0.1</v>
      </c>
      <c r="DI693" s="4">
        <f t="shared" si="2990"/>
        <v>0.1</v>
      </c>
      <c r="DJ693" s="4">
        <f t="shared" si="2990"/>
        <v>0.1</v>
      </c>
      <c r="DK693" s="185">
        <f t="shared" ref="DK693:EF693" si="2991">DJ693</f>
        <v>0.1</v>
      </c>
      <c r="DL693" s="4">
        <f>DK693</f>
        <v>0.1</v>
      </c>
      <c r="DM693" s="4">
        <f t="shared" si="2991"/>
        <v>0.1</v>
      </c>
      <c r="DN693" s="185">
        <f t="shared" si="2991"/>
        <v>0.1</v>
      </c>
      <c r="DO693" s="4">
        <f t="shared" si="2991"/>
        <v>0.1</v>
      </c>
      <c r="DP693" s="4">
        <f t="shared" si="2991"/>
        <v>0.1</v>
      </c>
      <c r="DQ693" s="185">
        <f t="shared" si="2991"/>
        <v>0.1</v>
      </c>
      <c r="DR693" s="4">
        <f t="shared" si="2991"/>
        <v>0.1</v>
      </c>
      <c r="DS693" s="4">
        <f t="shared" si="2991"/>
        <v>0.1</v>
      </c>
      <c r="DT693" s="185">
        <f t="shared" si="2991"/>
        <v>0.1</v>
      </c>
      <c r="DU693" s="4">
        <f t="shared" si="2991"/>
        <v>0.1</v>
      </c>
      <c r="DV693" s="4">
        <f t="shared" si="2991"/>
        <v>0.1</v>
      </c>
      <c r="DW693" s="185">
        <f t="shared" si="2991"/>
        <v>0.1</v>
      </c>
      <c r="DX693" s="4">
        <f t="shared" si="2991"/>
        <v>0.1</v>
      </c>
      <c r="DY693" s="4">
        <f t="shared" si="2991"/>
        <v>0.1</v>
      </c>
      <c r="DZ693" s="185">
        <f t="shared" si="2991"/>
        <v>0.1</v>
      </c>
      <c r="EA693" s="4">
        <f t="shared" si="2991"/>
        <v>0.1</v>
      </c>
      <c r="EB693" s="4">
        <f t="shared" si="2991"/>
        <v>0.1</v>
      </c>
      <c r="EC693" s="185">
        <f t="shared" si="2991"/>
        <v>0.1</v>
      </c>
      <c r="ED693" s="4">
        <f t="shared" si="2991"/>
        <v>0.1</v>
      </c>
      <c r="EE693" s="4">
        <f t="shared" si="2991"/>
        <v>0.1</v>
      </c>
      <c r="EF693" s="185">
        <f t="shared" si="2991"/>
        <v>0.1</v>
      </c>
      <c r="EG693" s="4">
        <f t="shared" si="2975"/>
        <v>0.1</v>
      </c>
      <c r="EH693" s="4">
        <f t="shared" si="2975"/>
        <v>0.1</v>
      </c>
      <c r="EI693" s="185">
        <f t="shared" si="2975"/>
        <v>0.1</v>
      </c>
      <c r="EJ693" s="4">
        <f t="shared" si="2975"/>
        <v>0.1</v>
      </c>
      <c r="EK693" s="4">
        <f t="shared" si="2975"/>
        <v>0.1</v>
      </c>
      <c r="EL693" s="185">
        <f t="shared" si="2975"/>
        <v>0.1</v>
      </c>
      <c r="EM693" s="4">
        <f t="shared" si="2976"/>
        <v>0.1</v>
      </c>
      <c r="EN693" s="4">
        <f t="shared" si="2976"/>
        <v>0.1</v>
      </c>
      <c r="EO693" s="185">
        <f t="shared" si="2976"/>
        <v>0.1</v>
      </c>
      <c r="EP693" s="4">
        <f t="shared" si="2976"/>
        <v>0.1</v>
      </c>
      <c r="EQ693" s="4">
        <f t="shared" si="2976"/>
        <v>0.1</v>
      </c>
      <c r="ER693" s="185">
        <f t="shared" si="2976"/>
        <v>0.1</v>
      </c>
      <c r="ES693" s="4">
        <f t="shared" si="2977"/>
        <v>0.1</v>
      </c>
      <c r="ET693" s="4">
        <f t="shared" si="2978"/>
        <v>0.1</v>
      </c>
      <c r="EU693" s="185">
        <f t="shared" si="2979"/>
        <v>0.1</v>
      </c>
      <c r="EV693" s="4">
        <f t="shared" si="2980"/>
        <v>0.1</v>
      </c>
      <c r="EW693" s="4">
        <f t="shared" si="2981"/>
        <v>0.1</v>
      </c>
      <c r="EX693" s="185">
        <f t="shared" si="2982"/>
        <v>0.1</v>
      </c>
      <c r="EY693" s="4">
        <f t="shared" si="2983"/>
        <v>0.1</v>
      </c>
      <c r="EZ693" s="4">
        <f t="shared" si="2984"/>
        <v>0.1</v>
      </c>
      <c r="FA693" s="185">
        <f t="shared" si="2985"/>
        <v>0.1</v>
      </c>
      <c r="FH693" s="35"/>
      <c r="FI693" s="35"/>
      <c r="FJ693" s="35"/>
      <c r="FK693" s="35"/>
      <c r="FL693" s="35"/>
      <c r="FM693" s="35"/>
      <c r="FN693" s="35"/>
      <c r="FO693" s="35"/>
      <c r="FP693" s="35"/>
      <c r="FQ693" s="35"/>
    </row>
    <row r="694" spans="1:173" s="321" customFormat="1" ht="13.5" hidden="1" outlineLevel="1" thickBot="1">
      <c r="A694" s="1437"/>
      <c r="B694" s="967"/>
      <c r="C694" s="967" t="s">
        <v>327</v>
      </c>
      <c r="D694" s="969"/>
      <c r="E694" s="18"/>
      <c r="F694" s="18"/>
      <c r="G694" s="19"/>
      <c r="H694" s="18"/>
      <c r="I694" s="18"/>
      <c r="J694" s="19"/>
      <c r="K694" s="18"/>
      <c r="L694" s="18"/>
      <c r="M694" s="19"/>
      <c r="N694" s="18"/>
      <c r="O694" s="18"/>
      <c r="P694" s="19"/>
      <c r="Q694" s="18"/>
      <c r="R694" s="18"/>
      <c r="S694" s="19"/>
      <c r="T694" s="18"/>
      <c r="U694" s="18"/>
      <c r="V694" s="19"/>
      <c r="W694" s="18"/>
      <c r="X694" s="18"/>
      <c r="Y694" s="19"/>
      <c r="Z694" s="18"/>
      <c r="AA694" s="18"/>
      <c r="AB694" s="19"/>
      <c r="AC694" s="18"/>
      <c r="AD694" s="18"/>
      <c r="AE694" s="19"/>
      <c r="AF694" s="18"/>
      <c r="AG694" s="18"/>
      <c r="AH694" s="19"/>
      <c r="AI694" s="18"/>
      <c r="AJ694" s="18"/>
      <c r="AK694" s="19"/>
      <c r="AL694" s="18"/>
      <c r="AM694" s="18"/>
      <c r="AN694" s="19"/>
      <c r="AO694" s="18"/>
      <c r="AP694" s="18"/>
      <c r="AQ694" s="19"/>
      <c r="AR694" s="18"/>
      <c r="AS694" s="18"/>
      <c r="AT694" s="19"/>
      <c r="AU694" s="18"/>
      <c r="AV694" s="18"/>
      <c r="AW694" s="19"/>
      <c r="AX694" s="6"/>
      <c r="AY694" s="6"/>
      <c r="AZ694" s="7"/>
      <c r="BA694" s="6"/>
      <c r="BB694" s="6"/>
      <c r="BC694" s="984"/>
      <c r="BD694" s="6"/>
      <c r="BE694" s="6"/>
      <c r="BF694" s="984"/>
      <c r="BG694" s="6"/>
      <c r="BH694" s="6"/>
      <c r="BI694" s="985"/>
      <c r="BJ694" s="151"/>
      <c r="BK694" s="151"/>
      <c r="BL694" s="152"/>
      <c r="BM694" s="151"/>
      <c r="BN694" s="151"/>
      <c r="BO694" s="152"/>
      <c r="BP694" s="151"/>
      <c r="BQ694" s="151"/>
      <c r="BR694" s="152"/>
      <c r="BS694" s="11"/>
      <c r="BT694" s="11"/>
      <c r="BU694" s="220"/>
      <c r="BV694" s="11"/>
      <c r="BW694" s="11"/>
      <c r="BX694" s="220"/>
      <c r="BY694" s="11"/>
      <c r="BZ694" s="11"/>
      <c r="CA694" s="220"/>
      <c r="CB694" s="11"/>
      <c r="CC694" s="11"/>
      <c r="CD694" s="220"/>
      <c r="CE694" s="11"/>
      <c r="CF694" s="11"/>
      <c r="CG694" s="220"/>
      <c r="CH694" s="11"/>
      <c r="CI694" s="11"/>
      <c r="CJ694" s="220"/>
      <c r="CK694" s="11"/>
      <c r="CL694" s="11"/>
      <c r="CM694" s="220"/>
      <c r="CN694" s="11"/>
      <c r="CO694" s="11"/>
      <c r="CP694" s="220"/>
      <c r="CQ694" s="11"/>
      <c r="CR694" s="11"/>
      <c r="CS694" s="220"/>
      <c r="CT694" s="11"/>
      <c r="CU694" s="11"/>
      <c r="CV694" s="220"/>
      <c r="CW694" s="11"/>
      <c r="CX694" s="11"/>
      <c r="CY694" s="220"/>
      <c r="CZ694" s="11"/>
      <c r="DA694" s="11"/>
      <c r="DB694" s="220"/>
      <c r="DC694" s="11"/>
      <c r="DD694" s="11"/>
      <c r="DE694" s="220"/>
      <c r="DF694" s="11"/>
      <c r="DG694" s="11"/>
      <c r="DH694" s="220"/>
      <c r="DI694" s="11"/>
      <c r="DJ694" s="11"/>
      <c r="DK694" s="220"/>
      <c r="DL694" s="11"/>
      <c r="DM694" s="11"/>
      <c r="DN694" s="220"/>
      <c r="DO694" s="11"/>
      <c r="DP694" s="11"/>
      <c r="DQ694" s="220"/>
      <c r="DR694" s="11"/>
      <c r="DS694" s="11"/>
      <c r="DT694" s="220"/>
      <c r="DU694" s="11"/>
      <c r="DV694" s="11"/>
      <c r="DW694" s="220"/>
      <c r="DX694" s="11"/>
      <c r="DY694" s="11"/>
      <c r="DZ694" s="220"/>
      <c r="EA694" s="11"/>
      <c r="EB694" s="11"/>
      <c r="EC694" s="220"/>
      <c r="ED694" s="11"/>
      <c r="EE694" s="11"/>
      <c r="EF694" s="220"/>
      <c r="EG694" s="11"/>
      <c r="EH694" s="11"/>
      <c r="EI694" s="220"/>
      <c r="EJ694" s="11"/>
      <c r="EK694" s="11"/>
      <c r="EL694" s="220"/>
      <c r="EM694" s="11"/>
      <c r="EN694" s="11"/>
      <c r="EO694" s="220"/>
      <c r="EP694" s="11"/>
      <c r="EQ694" s="11"/>
      <c r="ER694" s="220"/>
      <c r="ES694" s="11"/>
      <c r="ET694" s="11"/>
      <c r="EU694" s="220"/>
      <c r="EV694" s="11"/>
      <c r="EW694" s="11"/>
      <c r="EX694" s="220"/>
      <c r="EY694" s="11"/>
      <c r="EZ694" s="11"/>
      <c r="FA694" s="220"/>
      <c r="FH694" s="35"/>
      <c r="FI694" s="35"/>
      <c r="FJ694" s="35"/>
      <c r="FK694" s="35"/>
      <c r="FL694" s="35"/>
      <c r="FM694" s="35"/>
      <c r="FN694" s="35"/>
      <c r="FO694" s="35"/>
      <c r="FP694" s="35"/>
      <c r="FQ694" s="35"/>
    </row>
    <row r="695" spans="1:173" s="321" customFormat="1" hidden="1" outlineLevel="1">
      <c r="A695" s="1168"/>
      <c r="B695" s="68" t="s">
        <v>998</v>
      </c>
      <c r="C695" s="186"/>
      <c r="D695" s="910"/>
      <c r="E695" s="1"/>
      <c r="F695" s="1"/>
      <c r="G695" s="5"/>
      <c r="H695" s="1"/>
      <c r="I695" s="1"/>
      <c r="J695" s="5"/>
      <c r="K695" s="1"/>
      <c r="L695" s="1"/>
      <c r="M695" s="5"/>
      <c r="N695" s="1"/>
      <c r="O695" s="1"/>
      <c r="P695" s="5"/>
      <c r="Q695" s="1"/>
      <c r="R695" s="1"/>
      <c r="S695" s="5"/>
      <c r="T695" s="1"/>
      <c r="U695" s="1"/>
      <c r="V695" s="5"/>
      <c r="W695" s="1"/>
      <c r="X695" s="1"/>
      <c r="Y695" s="5"/>
      <c r="Z695" s="1"/>
      <c r="AA695" s="1"/>
      <c r="AB695" s="5"/>
      <c r="AC695" s="1"/>
      <c r="AD695" s="1"/>
      <c r="AE695" s="5"/>
      <c r="AF695" s="1"/>
      <c r="AG695" s="1"/>
      <c r="AH695" s="5"/>
      <c r="AI695" s="1"/>
      <c r="AJ695" s="1"/>
      <c r="AK695" s="5"/>
      <c r="AL695" s="1"/>
      <c r="AM695" s="1"/>
      <c r="AN695" s="5"/>
      <c r="AO695" s="1"/>
      <c r="AP695" s="1"/>
      <c r="AQ695" s="5"/>
      <c r="AR695" s="1"/>
      <c r="AS695" s="1"/>
      <c r="AT695" s="5"/>
      <c r="AU695" s="1"/>
      <c r="AV695" s="1"/>
      <c r="AW695" s="5"/>
      <c r="AX695" s="3"/>
      <c r="AY695" s="3"/>
      <c r="AZ695" s="2"/>
      <c r="BA695" s="3"/>
      <c r="BB695" s="3"/>
      <c r="BC695" s="973"/>
      <c r="BD695" s="3"/>
      <c r="BE695" s="3"/>
      <c r="BF695" s="973"/>
      <c r="BG695" s="3"/>
      <c r="BH695" s="3"/>
      <c r="BI695" s="978"/>
      <c r="BJ695" s="115"/>
      <c r="BK695" s="115"/>
      <c r="BL695" s="116"/>
      <c r="BM695" s="115"/>
      <c r="BN695" s="115"/>
      <c r="BO695" s="116"/>
      <c r="BP695" s="115"/>
      <c r="BQ695" s="115"/>
      <c r="BR695" s="116"/>
      <c r="BS695" s="8"/>
      <c r="BT695" s="8"/>
      <c r="BU695" s="187"/>
      <c r="BV695" s="8"/>
      <c r="BW695" s="8"/>
      <c r="BX695" s="187"/>
      <c r="BY695" s="8"/>
      <c r="BZ695" s="8"/>
      <c r="CA695" s="187"/>
      <c r="CB695" s="8"/>
      <c r="CC695" s="8"/>
      <c r="CD695" s="187"/>
      <c r="CE695" s="8"/>
      <c r="CF695" s="8"/>
      <c r="CG695" s="187"/>
      <c r="CH695" s="8"/>
      <c r="CI695" s="8"/>
      <c r="CJ695" s="187"/>
      <c r="CK695" s="8"/>
      <c r="CL695" s="8"/>
      <c r="CM695" s="187"/>
      <c r="CN695" s="8"/>
      <c r="CO695" s="8"/>
      <c r="CP695" s="187"/>
      <c r="CQ695" s="8"/>
      <c r="CR695" s="8"/>
      <c r="CS695" s="187"/>
      <c r="CT695" s="8"/>
      <c r="CU695" s="8"/>
      <c r="CV695" s="187"/>
      <c r="CW695" s="8"/>
      <c r="CX695" s="8"/>
      <c r="CY695" s="187"/>
      <c r="CZ695" s="8"/>
      <c r="DA695" s="8"/>
      <c r="DB695" s="187"/>
      <c r="DC695" s="8"/>
      <c r="DD695" s="8"/>
      <c r="DE695" s="187"/>
      <c r="DF695" s="8"/>
      <c r="DG695" s="8"/>
      <c r="DH695" s="187"/>
      <c r="DI695" s="8"/>
      <c r="DJ695" s="8"/>
      <c r="DK695" s="187"/>
      <c r="DL695" s="8"/>
      <c r="DM695" s="8"/>
      <c r="DN695" s="187"/>
      <c r="DO695" s="8"/>
      <c r="DP695" s="8"/>
      <c r="DQ695" s="187"/>
      <c r="DR695" s="8"/>
      <c r="DS695" s="8"/>
      <c r="DT695" s="187"/>
      <c r="DU695" s="8"/>
      <c r="DV695" s="8"/>
      <c r="DW695" s="187"/>
      <c r="DX695" s="8"/>
      <c r="DY695" s="8"/>
      <c r="DZ695" s="187"/>
      <c r="EA695" s="8"/>
      <c r="EB695" s="8"/>
      <c r="EC695" s="187"/>
      <c r="ED695" s="8"/>
      <c r="EE695" s="8"/>
      <c r="EF695" s="187"/>
      <c r="EG695" s="8"/>
      <c r="EH695" s="8"/>
      <c r="EI695" s="187"/>
      <c r="EJ695" s="8"/>
      <c r="EK695" s="8"/>
      <c r="EL695" s="187"/>
      <c r="EM695" s="8"/>
      <c r="EN695" s="8"/>
      <c r="EO695" s="187"/>
      <c r="EP695" s="8"/>
      <c r="EQ695" s="8"/>
      <c r="ER695" s="187"/>
      <c r="ES695" s="8"/>
      <c r="ET695" s="8"/>
      <c r="EU695" s="187"/>
      <c r="EV695" s="8"/>
      <c r="EW695" s="8"/>
      <c r="EX695" s="187"/>
      <c r="EY695" s="8"/>
      <c r="EZ695" s="8"/>
      <c r="FA695" s="187"/>
      <c r="FH695" s="35"/>
      <c r="FI695" s="35"/>
      <c r="FJ695" s="35"/>
      <c r="FK695" s="35"/>
      <c r="FL695" s="35"/>
      <c r="FM695" s="35"/>
      <c r="FN695" s="35"/>
      <c r="FO695" s="35"/>
      <c r="FP695" s="35"/>
      <c r="FQ695" s="35"/>
    </row>
    <row r="696" spans="1:173" s="321" customFormat="1" hidden="1" outlineLevel="1">
      <c r="A696" s="1168"/>
      <c r="B696" s="186"/>
      <c r="C696" s="331" t="s">
        <v>661</v>
      </c>
      <c r="D696" s="910"/>
      <c r="E696" s="1"/>
      <c r="F696" s="1"/>
      <c r="G696" s="5"/>
      <c r="H696" s="1"/>
      <c r="I696" s="1"/>
      <c r="J696" s="5"/>
      <c r="K696" s="1"/>
      <c r="L696" s="1"/>
      <c r="M696" s="5"/>
      <c r="N696" s="1"/>
      <c r="O696" s="1"/>
      <c r="P696" s="5"/>
      <c r="Q696" s="1"/>
      <c r="R696" s="1"/>
      <c r="S696" s="5"/>
      <c r="T696" s="1"/>
      <c r="U696" s="1"/>
      <c r="V696" s="5"/>
      <c r="W696" s="1"/>
      <c r="X696" s="1"/>
      <c r="Y696" s="5"/>
      <c r="Z696" s="1"/>
      <c r="AA696" s="1"/>
      <c r="AB696" s="5"/>
      <c r="AC696" s="1"/>
      <c r="AD696" s="1"/>
      <c r="AE696" s="5"/>
      <c r="AF696" s="1"/>
      <c r="AG696" s="1"/>
      <c r="AH696" s="5"/>
      <c r="AI696" s="1"/>
      <c r="AJ696" s="1"/>
      <c r="AK696" s="5"/>
      <c r="AL696" s="1"/>
      <c r="AM696" s="1"/>
      <c r="AN696" s="5"/>
      <c r="AO696" s="1"/>
      <c r="AP696" s="1"/>
      <c r="AQ696" s="5"/>
      <c r="AR696" s="1"/>
      <c r="AS696" s="1"/>
      <c r="AT696" s="5"/>
      <c r="AU696" s="1"/>
      <c r="AV696" s="1"/>
      <c r="AW696" s="5"/>
      <c r="AX696" s="3"/>
      <c r="AY696" s="3"/>
      <c r="AZ696" s="2"/>
      <c r="BA696" s="3"/>
      <c r="BB696" s="3"/>
      <c r="BC696" s="973"/>
      <c r="BD696" s="3"/>
      <c r="BE696" s="3"/>
      <c r="BF696" s="973"/>
      <c r="BG696" s="3"/>
      <c r="BH696" s="3"/>
      <c r="BI696" s="978"/>
      <c r="BJ696" s="115"/>
      <c r="BK696" s="115"/>
      <c r="BL696" s="116"/>
      <c r="BM696" s="115"/>
      <c r="BN696" s="115"/>
      <c r="BO696" s="116"/>
      <c r="BP696" s="115"/>
      <c r="BQ696" s="115"/>
      <c r="BR696" s="116"/>
      <c r="BS696" s="8"/>
      <c r="BT696" s="8"/>
      <c r="BU696" s="187"/>
      <c r="BV696" s="8"/>
      <c r="BW696" s="8"/>
      <c r="BX696" s="187"/>
      <c r="BY696" s="8"/>
      <c r="BZ696" s="8"/>
      <c r="CA696" s="187"/>
      <c r="CB696" s="8"/>
      <c r="CC696" s="8"/>
      <c r="CD696" s="187"/>
      <c r="CE696" s="8"/>
      <c r="CF696" s="8"/>
      <c r="CG696" s="187"/>
      <c r="CH696" s="8"/>
      <c r="CI696" s="8"/>
      <c r="CJ696" s="187"/>
      <c r="CK696" s="8"/>
      <c r="CL696" s="8"/>
      <c r="CM696" s="187"/>
      <c r="CN696" s="8"/>
      <c r="CO696" s="8"/>
      <c r="CP696" s="187"/>
      <c r="CQ696" s="8"/>
      <c r="CR696" s="8"/>
      <c r="CS696" s="187"/>
      <c r="CT696" s="8"/>
      <c r="CU696" s="8"/>
      <c r="CV696" s="187"/>
      <c r="CW696" s="8"/>
      <c r="CX696" s="8"/>
      <c r="CY696" s="187"/>
      <c r="CZ696" s="8"/>
      <c r="DA696" s="8"/>
      <c r="DB696" s="187"/>
      <c r="DC696" s="8"/>
      <c r="DD696" s="8"/>
      <c r="DE696" s="187"/>
      <c r="DF696" s="8"/>
      <c r="DG696" s="8"/>
      <c r="DH696" s="187"/>
      <c r="DI696" s="8"/>
      <c r="DJ696" s="8"/>
      <c r="DK696" s="187"/>
      <c r="DL696" s="8"/>
      <c r="DM696" s="8"/>
      <c r="DN696" s="187"/>
      <c r="DO696" s="8"/>
      <c r="DP696" s="8"/>
      <c r="DQ696" s="187"/>
      <c r="DR696" s="8"/>
      <c r="DS696" s="8"/>
      <c r="DT696" s="187"/>
      <c r="DU696" s="8"/>
      <c r="DV696" s="8"/>
      <c r="DW696" s="187"/>
      <c r="DX696" s="8"/>
      <c r="DY696" s="8"/>
      <c r="DZ696" s="187"/>
      <c r="EA696" s="8"/>
      <c r="EB696" s="8"/>
      <c r="EC696" s="187"/>
      <c r="ED696" s="8"/>
      <c r="EE696" s="8"/>
      <c r="EF696" s="187"/>
      <c r="EG696" s="8"/>
      <c r="EH696" s="8"/>
      <c r="EI696" s="187"/>
      <c r="EJ696" s="8"/>
      <c r="EK696" s="8"/>
      <c r="EL696" s="187"/>
      <c r="EM696" s="8"/>
      <c r="EN696" s="8"/>
      <c r="EO696" s="187"/>
      <c r="EP696" s="8"/>
      <c r="EQ696" s="8"/>
      <c r="ER696" s="187"/>
      <c r="ES696" s="8"/>
      <c r="ET696" s="8"/>
      <c r="EU696" s="187"/>
      <c r="EV696" s="8"/>
      <c r="EW696" s="8"/>
      <c r="EX696" s="187"/>
      <c r="EY696" s="8"/>
      <c r="EZ696" s="8"/>
      <c r="FA696" s="187"/>
      <c r="FH696" s="35"/>
      <c r="FI696" s="35"/>
      <c r="FJ696" s="35"/>
      <c r="FK696" s="35"/>
      <c r="FL696" s="35"/>
      <c r="FM696" s="35"/>
      <c r="FN696" s="35"/>
      <c r="FO696" s="35"/>
      <c r="FP696" s="35"/>
      <c r="FQ696" s="35"/>
    </row>
    <row r="697" spans="1:173" s="321" customFormat="1" hidden="1" outlineLevel="1">
      <c r="A697" s="1168"/>
      <c r="B697" s="186"/>
      <c r="C697" s="186" t="s">
        <v>316</v>
      </c>
      <c r="D697" s="910"/>
      <c r="E697" s="1"/>
      <c r="F697" s="1"/>
      <c r="G697" s="5"/>
      <c r="H697" s="1"/>
      <c r="I697" s="1"/>
      <c r="J697" s="5"/>
      <c r="K697" s="1"/>
      <c r="L697" s="1"/>
      <c r="M697" s="5"/>
      <c r="N697" s="1"/>
      <c r="O697" s="1"/>
      <c r="P697" s="5"/>
      <c r="Q697" s="1"/>
      <c r="R697" s="1"/>
      <c r="S697" s="5"/>
      <c r="T697" s="1"/>
      <c r="U697" s="1"/>
      <c r="V697" s="5"/>
      <c r="W697" s="1"/>
      <c r="X697" s="1"/>
      <c r="Y697" s="5"/>
      <c r="Z697" s="1"/>
      <c r="AA697" s="1"/>
      <c r="AB697" s="5"/>
      <c r="AC697" s="1"/>
      <c r="AD697" s="1"/>
      <c r="AE697" s="5"/>
      <c r="AF697" s="1"/>
      <c r="AG697" s="1"/>
      <c r="AH697" s="5"/>
      <c r="AI697" s="1"/>
      <c r="AJ697" s="1"/>
      <c r="AK697" s="5"/>
      <c r="AL697" s="1"/>
      <c r="AM697" s="1"/>
      <c r="AN697" s="5"/>
      <c r="AO697" s="1"/>
      <c r="AP697" s="1"/>
      <c r="AQ697" s="5"/>
      <c r="AR697" s="1"/>
      <c r="AS697" s="1"/>
      <c r="AT697" s="5"/>
      <c r="AU697" s="1"/>
      <c r="AV697" s="1"/>
      <c r="AW697" s="5"/>
      <c r="AX697" s="187">
        <f t="shared" ref="AX697:CC697" si="2992">AX655*AX691</f>
        <v>0.5601228487226293</v>
      </c>
      <c r="AY697" s="187">
        <f t="shared" si="2992"/>
        <v>0.5617752111263612</v>
      </c>
      <c r="AZ697" s="187">
        <f t="shared" si="2992"/>
        <v>0.55979379358779047</v>
      </c>
      <c r="BA697" s="8">
        <f t="shared" si="2992"/>
        <v>0.56343244799918391</v>
      </c>
      <c r="BB697" s="8">
        <f t="shared" si="2992"/>
        <v>0.56509457372078153</v>
      </c>
      <c r="BC697" s="978">
        <f t="shared" si="2992"/>
        <v>0.56310144857544708</v>
      </c>
      <c r="BD697" s="8">
        <f t="shared" si="2992"/>
        <v>0.56676160271325782</v>
      </c>
      <c r="BE697" s="8">
        <f t="shared" si="2992"/>
        <v>0.5684335494412619</v>
      </c>
      <c r="BF697" s="978">
        <f t="shared" si="2992"/>
        <v>0.56642864751239841</v>
      </c>
      <c r="BG697" s="8">
        <f t="shared" si="2992"/>
        <v>0.57011042841211368</v>
      </c>
      <c r="BH697" s="8">
        <f t="shared" si="2992"/>
        <v>0.57179225417592949</v>
      </c>
      <c r="BI697" s="978">
        <f t="shared" si="2992"/>
        <v>0.56977550587802661</v>
      </c>
      <c r="BJ697" s="115">
        <f t="shared" si="2992"/>
        <v>0.57347904132574834</v>
      </c>
      <c r="BK697" s="115">
        <f t="shared" si="2992"/>
        <v>0.57517080449765945</v>
      </c>
      <c r="BL697" s="116">
        <f t="shared" si="2992"/>
        <v>0.57314213983404694</v>
      </c>
      <c r="BM697" s="115">
        <f t="shared" si="2992"/>
        <v>0.57601918143429343</v>
      </c>
      <c r="BN697" s="115">
        <f t="shared" si="2992"/>
        <v>0.5768688097269089</v>
      </c>
      <c r="BO697" s="116">
        <f t="shared" si="2992"/>
        <v>0.57483115939493279</v>
      </c>
      <c r="BP697" s="115">
        <f t="shared" si="2992"/>
        <v>0.5777196912212561</v>
      </c>
      <c r="BQ697" s="115">
        <f t="shared" si="2992"/>
        <v>0.57857182776580729</v>
      </c>
      <c r="BR697" s="116">
        <f t="shared" si="2992"/>
        <v>0.57652816193218892</v>
      </c>
      <c r="BS697" s="8">
        <f t="shared" si="2992"/>
        <v>0.57942522121176188</v>
      </c>
      <c r="BT697" s="8">
        <f t="shared" si="2992"/>
        <v>0.5802798734130491</v>
      </c>
      <c r="BU697" s="187">
        <f t="shared" si="2992"/>
        <v>0.57823017431897095</v>
      </c>
      <c r="BV697" s="8">
        <f t="shared" si="2992"/>
        <v>0.58113578622633322</v>
      </c>
      <c r="BW697" s="8">
        <f t="shared" si="2992"/>
        <v>0.58199296151101709</v>
      </c>
      <c r="BX697" s="187">
        <f t="shared" si="2992"/>
        <v>0.5799372113452349</v>
      </c>
      <c r="BY697" s="8">
        <f t="shared" si="2992"/>
        <v>0.58285140112924572</v>
      </c>
      <c r="BZ697" s="8">
        <f t="shared" si="2992"/>
        <v>0.58371110694591144</v>
      </c>
      <c r="CA697" s="187">
        <f t="shared" si="2992"/>
        <v>0.58164928784459868</v>
      </c>
      <c r="CB697" s="8">
        <f t="shared" si="2992"/>
        <v>0.58457208082865653</v>
      </c>
      <c r="CC697" s="8">
        <f t="shared" si="2992"/>
        <v>0.58543432464787892</v>
      </c>
      <c r="CD697" s="187">
        <f t="shared" ref="CD697:DI697" si="2993">CD655*CD691</f>
        <v>0.58336641869447203</v>
      </c>
      <c r="CE697" s="8">
        <f t="shared" si="2993"/>
        <v>0.58629784027673426</v>
      </c>
      <c r="CF697" s="8">
        <f t="shared" si="2993"/>
        <v>0.58716262959114252</v>
      </c>
      <c r="CG697" s="187">
        <f t="shared" si="2993"/>
        <v>0.58508861881618512</v>
      </c>
      <c r="CH697" s="8">
        <f t="shared" si="2993"/>
        <v>0.58802869446978923</v>
      </c>
      <c r="CI697" s="8">
        <f t="shared" si="2993"/>
        <v>0.58889603679413216</v>
      </c>
      <c r="CJ697" s="187">
        <f t="shared" si="2993"/>
        <v>0.58681590317511911</v>
      </c>
      <c r="CK697" s="8">
        <f t="shared" si="2993"/>
        <v>0.58976465844840342</v>
      </c>
      <c r="CL697" s="8">
        <f t="shared" si="2993"/>
        <v>0.59063456131961478</v>
      </c>
      <c r="CM697" s="187">
        <f t="shared" si="2993"/>
        <v>0.58854828678083504</v>
      </c>
      <c r="CN697" s="8">
        <f t="shared" si="2993"/>
        <v>0.59150574729756111</v>
      </c>
      <c r="CO697" s="8">
        <f t="shared" si="2993"/>
        <v>0.59237821827482495</v>
      </c>
      <c r="CP697" s="187">
        <f t="shared" si="2993"/>
        <v>0.59028578468720472</v>
      </c>
      <c r="CQ697" s="8">
        <f t="shared" si="2993"/>
        <v>0.59325197614678027</v>
      </c>
      <c r="CR697" s="8">
        <f t="shared" si="2993"/>
        <v>0.59412702281159668</v>
      </c>
      <c r="CS697" s="187">
        <f t="shared" si="2993"/>
        <v>0.5920284119925423</v>
      </c>
      <c r="CT697" s="8">
        <f t="shared" si="2993"/>
        <v>0.5950033601702438</v>
      </c>
      <c r="CU697" s="8">
        <f t="shared" si="2993"/>
        <v>0.59588099012649476</v>
      </c>
      <c r="CV697" s="187">
        <f t="shared" si="2993"/>
        <v>0.59377618383973385</v>
      </c>
      <c r="CW697" s="8">
        <f t="shared" si="2993"/>
        <v>0.59675991458693134</v>
      </c>
      <c r="CX697" s="8">
        <f t="shared" si="2993"/>
        <v>0.59764013546094708</v>
      </c>
      <c r="CY697" s="187">
        <f t="shared" si="2993"/>
        <v>0.59552911541637099</v>
      </c>
      <c r="CZ697" s="8">
        <f t="shared" si="2993"/>
        <v>0.5985216546607518</v>
      </c>
      <c r="DA697" s="8">
        <f t="shared" si="2993"/>
        <v>0.59940447410137643</v>
      </c>
      <c r="DB697" s="187">
        <f t="shared" si="2993"/>
        <v>0.59728722195488082</v>
      </c>
      <c r="DC697" s="8">
        <f t="shared" si="2993"/>
        <v>0.60028859570067583</v>
      </c>
      <c r="DD697" s="8">
        <f t="shared" si="2993"/>
        <v>0.60117402137933429</v>
      </c>
      <c r="DE697" s="187">
        <f t="shared" si="2993"/>
        <v>0.59905051873265991</v>
      </c>
      <c r="DF697" s="8">
        <f t="shared" si="2993"/>
        <v>0.60206075306086881</v>
      </c>
      <c r="DG697" s="8">
        <f t="shared" si="2993"/>
        <v>0.60294879267163348</v>
      </c>
      <c r="DH697" s="187">
        <f t="shared" si="2993"/>
        <v>0.60081902107220586</v>
      </c>
      <c r="DI697" s="8">
        <f t="shared" si="2993"/>
        <v>0.60383814214082399</v>
      </c>
      <c r="DJ697" s="8">
        <f t="shared" ref="DJ697:EF697" si="2994">DJ655*DJ691</f>
        <v>0.60472880340048174</v>
      </c>
      <c r="DK697" s="187">
        <f t="shared" si="2994"/>
        <v>0.60259274434125154</v>
      </c>
      <c r="DL697" s="8">
        <f t="shared" si="2994"/>
        <v>0.60562077838549722</v>
      </c>
      <c r="DM697" s="8">
        <f t="shared" si="2994"/>
        <v>0.60651406903361571</v>
      </c>
      <c r="DN697" s="187">
        <f t="shared" si="2994"/>
        <v>0.60437170395289741</v>
      </c>
      <c r="DO697" s="8">
        <f t="shared" si="2994"/>
        <v>0.60740867728544046</v>
      </c>
      <c r="DP697" s="8">
        <f t="shared" si="2994"/>
        <v>0.6083046050844364</v>
      </c>
      <c r="DQ697" s="187">
        <f t="shared" si="2994"/>
        <v>0.60615591536574687</v>
      </c>
      <c r="DR697" s="8">
        <f t="shared" si="2994"/>
        <v>0.60920185437693586</v>
      </c>
      <c r="DS697" s="8">
        <f t="shared" si="2994"/>
        <v>0.61010042711214185</v>
      </c>
      <c r="DT697" s="187">
        <f t="shared" si="2994"/>
        <v>0.60794539408403891</v>
      </c>
      <c r="DU697" s="8">
        <f t="shared" si="2994"/>
        <v>0.61100032524213221</v>
      </c>
      <c r="DV697" s="8">
        <f t="shared" si="2994"/>
        <v>0.61190155072186414</v>
      </c>
      <c r="DW697" s="187">
        <f t="shared" si="2994"/>
        <v>0.60974015565778472</v>
      </c>
      <c r="DX697" s="8">
        <f t="shared" si="2994"/>
        <v>0.61280410550917874</v>
      </c>
      <c r="DY697" s="8">
        <f t="shared" si="2994"/>
        <v>0.61370799156480504</v>
      </c>
      <c r="DZ697" s="187">
        <f t="shared" si="2994"/>
        <v>0.61154021568290129</v>
      </c>
      <c r="EA697" s="8">
        <f t="shared" si="2994"/>
        <v>0.61461321085236276</v>
      </c>
      <c r="EB697" s="8">
        <f t="shared" si="2994"/>
        <v>0.61551976533837005</v>
      </c>
      <c r="EC697" s="187">
        <f t="shared" si="2994"/>
        <v>0.61334558980134757</v>
      </c>
      <c r="ED697" s="8">
        <f t="shared" si="2994"/>
        <v>0.616427656992244</v>
      </c>
      <c r="EE697" s="8">
        <f t="shared" si="2994"/>
        <v>0.61733688778630746</v>
      </c>
      <c r="EF697" s="187">
        <f t="shared" si="2994"/>
        <v>0.61515629370126013</v>
      </c>
      <c r="EG697" s="8">
        <f t="shared" ref="EG697:EL697" si="2995">EG655*EG691</f>
        <v>0.61824745969579231</v>
      </c>
      <c r="EH697" s="8">
        <f t="shared" si="2995"/>
        <v>0.61915937469884352</v>
      </c>
      <c r="EI697" s="187">
        <f t="shared" si="2995"/>
        <v>0.61697234311709015</v>
      </c>
      <c r="EJ697" s="8">
        <f t="shared" si="2995"/>
        <v>0.62007263477652419</v>
      </c>
      <c r="EK697" s="8">
        <f t="shared" si="2995"/>
        <v>0.62098724191281951</v>
      </c>
      <c r="EL697" s="187">
        <f t="shared" si="2995"/>
        <v>0.61879375382973933</v>
      </c>
      <c r="EM697" s="8">
        <f t="shared" ref="EM697:ER697" si="2996">EM655*EM691</f>
        <v>0.62190319809464079</v>
      </c>
      <c r="EN697" s="8">
        <f t="shared" si="2996"/>
        <v>0.62282050531183031</v>
      </c>
      <c r="EO697" s="187">
        <f t="shared" si="2996"/>
        <v>0.62062054166669756</v>
      </c>
      <c r="EP697" s="8">
        <f t="shared" si="2996"/>
        <v>0.62373916555716524</v>
      </c>
      <c r="EQ697" s="8">
        <f t="shared" si="2996"/>
        <v>0.62465918082636196</v>
      </c>
      <c r="ER697" s="187">
        <f t="shared" si="2996"/>
        <v>0.6224527225021802</v>
      </c>
      <c r="ES697" s="8">
        <f t="shared" ref="ES697:EX697" si="2997">ES655*ES691</f>
        <v>0.62558055311808081</v>
      </c>
      <c r="ET697" s="8">
        <f t="shared" si="2997"/>
        <v>0.62650328443392989</v>
      </c>
      <c r="EU697" s="187">
        <f t="shared" si="2997"/>
        <v>0.62429031225726606</v>
      </c>
      <c r="EV697" s="8">
        <f t="shared" si="2997"/>
        <v>0.62742737677846983</v>
      </c>
      <c r="EW697" s="8">
        <f t="shared" si="2997"/>
        <v>0.628352832159218</v>
      </c>
      <c r="EX697" s="187">
        <f t="shared" si="2997"/>
        <v>0.62613332690003531</v>
      </c>
      <c r="EY697" s="8">
        <f t="shared" ref="EY697:FA697" si="2998">EY655*EY691</f>
        <v>0.62927965258665275</v>
      </c>
      <c r="EZ697" s="8">
        <f t="shared" si="2998"/>
        <v>0.63020784007421804</v>
      </c>
      <c r="FA697" s="187">
        <f t="shared" si="2998"/>
        <v>0.62798178244570968</v>
      </c>
      <c r="FH697" s="35"/>
      <c r="FI697" s="35"/>
      <c r="FJ697" s="35"/>
      <c r="FK697" s="35"/>
      <c r="FL697" s="35"/>
      <c r="FM697" s="35"/>
      <c r="FN697" s="35"/>
      <c r="FO697" s="35"/>
      <c r="FP697" s="35"/>
      <c r="FQ697" s="35"/>
    </row>
    <row r="698" spans="1:173" s="321" customFormat="1" hidden="1" outlineLevel="1">
      <c r="A698" s="1168"/>
      <c r="B698" s="186"/>
      <c r="C698" s="186" t="s">
        <v>317</v>
      </c>
      <c r="D698" s="910"/>
      <c r="E698" s="1"/>
      <c r="F698" s="1"/>
      <c r="G698" s="5"/>
      <c r="H698" s="1"/>
      <c r="I698" s="1"/>
      <c r="J698" s="5"/>
      <c r="K698" s="1"/>
      <c r="L698" s="1"/>
      <c r="M698" s="5"/>
      <c r="N698" s="1"/>
      <c r="O698" s="1"/>
      <c r="P698" s="5"/>
      <c r="Q698" s="1"/>
      <c r="R698" s="1"/>
      <c r="S698" s="5"/>
      <c r="T698" s="1"/>
      <c r="U698" s="1"/>
      <c r="V698" s="5"/>
      <c r="W698" s="1"/>
      <c r="X698" s="1"/>
      <c r="Y698" s="5"/>
      <c r="Z698" s="1"/>
      <c r="AA698" s="1"/>
      <c r="AB698" s="5"/>
      <c r="AC698" s="1"/>
      <c r="AD698" s="1"/>
      <c r="AE698" s="5"/>
      <c r="AF698" s="1"/>
      <c r="AG698" s="1"/>
      <c r="AH698" s="5"/>
      <c r="AI698" s="1"/>
      <c r="AJ698" s="1"/>
      <c r="AK698" s="5"/>
      <c r="AL698" s="1"/>
      <c r="AM698" s="1"/>
      <c r="AN698" s="5"/>
      <c r="AO698" s="1"/>
      <c r="AP698" s="1"/>
      <c r="AQ698" s="5"/>
      <c r="AR698" s="1"/>
      <c r="AS698" s="1"/>
      <c r="AT698" s="5"/>
      <c r="AU698" s="1"/>
      <c r="AV698" s="1"/>
      <c r="AW698" s="5"/>
      <c r="AX698" s="187">
        <f t="shared" ref="AX698:CC698" si="2999">AX656*AX692</f>
        <v>1.1988453988083538</v>
      </c>
      <c r="AY698" s="187">
        <f t="shared" si="2999"/>
        <v>1.1977664379494264</v>
      </c>
      <c r="AZ698" s="187">
        <f t="shared" si="2999"/>
        <v>1.1948521707593804</v>
      </c>
      <c r="BA698" s="8">
        <f t="shared" si="2999"/>
        <v>1.1966884481552722</v>
      </c>
      <c r="BB698" s="8">
        <f t="shared" si="2999"/>
        <v>1.1956114285519324</v>
      </c>
      <c r="BC698" s="978">
        <f t="shared" si="2999"/>
        <v>1.1927024046822718</v>
      </c>
      <c r="BD698" s="8">
        <f t="shared" si="2999"/>
        <v>1.1945353782662356</v>
      </c>
      <c r="BE698" s="8">
        <f t="shared" si="2999"/>
        <v>1.1934602964257959</v>
      </c>
      <c r="BF698" s="978">
        <f t="shared" si="2999"/>
        <v>1.1905565064427917</v>
      </c>
      <c r="BG698" s="8">
        <f t="shared" si="2999"/>
        <v>1.1923861821590127</v>
      </c>
      <c r="BH698" s="8">
        <f t="shared" si="2999"/>
        <v>1.1913130345950695</v>
      </c>
      <c r="BI698" s="978">
        <f t="shared" si="2999"/>
        <v>1.1884144690819647</v>
      </c>
      <c r="BJ698" s="115">
        <f t="shared" si="2999"/>
        <v>1.1902408528639339</v>
      </c>
      <c r="BK698" s="115">
        <f t="shared" si="2999"/>
        <v>1.1891696360963564</v>
      </c>
      <c r="BL698" s="116">
        <f t="shared" si="2999"/>
        <v>1.1862762856533369</v>
      </c>
      <c r="BM698" s="115">
        <f t="shared" si="2999"/>
        <v>1.1886345097601132</v>
      </c>
      <c r="BN698" s="115">
        <f t="shared" si="2999"/>
        <v>1.1880996242307211</v>
      </c>
      <c r="BO698" s="116">
        <f t="shared" si="2999"/>
        <v>1.1852101786389928</v>
      </c>
      <c r="BP698" s="115">
        <f t="shared" si="2999"/>
        <v>1.1875649793998173</v>
      </c>
      <c r="BQ698" s="115">
        <f t="shared" si="2999"/>
        <v>1.1870305751590873</v>
      </c>
      <c r="BR698" s="116">
        <f t="shared" si="2999"/>
        <v>1.1841437294832788</v>
      </c>
      <c r="BS698" s="8">
        <f t="shared" si="2999"/>
        <v>1.1864964114002656</v>
      </c>
      <c r="BT698" s="8">
        <f t="shared" si="2999"/>
        <v>1.1859624880151356</v>
      </c>
      <c r="BU698" s="187">
        <f t="shared" si="2999"/>
        <v>1.1830782399158493</v>
      </c>
      <c r="BV698" s="8">
        <f t="shared" si="2999"/>
        <v>1.185428804895529</v>
      </c>
      <c r="BW698" s="8">
        <f t="shared" si="2999"/>
        <v>1.1848953619333258</v>
      </c>
      <c r="BX698" s="187">
        <f t="shared" si="2999"/>
        <v>1.1820137090732687</v>
      </c>
      <c r="BY698" s="8">
        <f t="shared" si="2999"/>
        <v>1.1843621590204563</v>
      </c>
      <c r="BZ698" s="8">
        <f t="shared" si="2999"/>
        <v>1.1838291960488967</v>
      </c>
      <c r="CA698" s="187">
        <f t="shared" si="2999"/>
        <v>1.1809501360928789</v>
      </c>
      <c r="CB698" s="8">
        <f t="shared" si="2999"/>
        <v>1.183296472910675</v>
      </c>
      <c r="CC698" s="8">
        <f t="shared" si="2999"/>
        <v>1.1827639894978652</v>
      </c>
      <c r="CD698" s="187">
        <f t="shared" ref="CD698:DI698" si="3000">CD656*CD692</f>
        <v>1.1798875201127981</v>
      </c>
      <c r="CE698" s="8">
        <f t="shared" si="3000"/>
        <v>1.1822317457025913</v>
      </c>
      <c r="CF698" s="8">
        <f t="shared" si="3000"/>
        <v>1.1816997414170252</v>
      </c>
      <c r="CG698" s="187">
        <f t="shared" si="3000"/>
        <v>1.1788258602719195</v>
      </c>
      <c r="CH698" s="8">
        <f t="shared" si="3000"/>
        <v>1.1811679765333873</v>
      </c>
      <c r="CI698" s="8">
        <f t="shared" si="3000"/>
        <v>1.1806364509439473</v>
      </c>
      <c r="CJ698" s="187">
        <f t="shared" si="3000"/>
        <v>1.1777651557099116</v>
      </c>
      <c r="CK698" s="8">
        <f t="shared" si="3000"/>
        <v>1.180105164541023</v>
      </c>
      <c r="CL698" s="8">
        <f t="shared" si="3000"/>
        <v>1.1795741172169794</v>
      </c>
      <c r="CM698" s="187">
        <f t="shared" si="3000"/>
        <v>1.1767054055672166</v>
      </c>
      <c r="CN698" s="8">
        <f t="shared" si="3000"/>
        <v>1.1790433088642318</v>
      </c>
      <c r="CO698" s="8">
        <f t="shared" si="3000"/>
        <v>1.178512739375243</v>
      </c>
      <c r="CP698" s="187">
        <f t="shared" si="3000"/>
        <v>1.175646608985051</v>
      </c>
      <c r="CQ698" s="8">
        <f t="shared" si="3000"/>
        <v>1.1779824086425241</v>
      </c>
      <c r="CR698" s="8">
        <f t="shared" si="3000"/>
        <v>1.177452316558635</v>
      </c>
      <c r="CS698" s="187">
        <f t="shared" si="3000"/>
        <v>1.1745887651054032</v>
      </c>
      <c r="CT698" s="8">
        <f t="shared" si="3000"/>
        <v>1.1769224630161836</v>
      </c>
      <c r="CU698" s="8">
        <f t="shared" si="3000"/>
        <v>1.1763928479078263</v>
      </c>
      <c r="CV698" s="187">
        <f t="shared" si="3000"/>
        <v>1.1735318730710329</v>
      </c>
      <c r="CW698" s="8">
        <f t="shared" si="3000"/>
        <v>1.1758634711262681</v>
      </c>
      <c r="CX698" s="8">
        <f t="shared" si="3000"/>
        <v>1.1753343325642611</v>
      </c>
      <c r="CY698" s="187">
        <f t="shared" si="3000"/>
        <v>1.1724759320254734</v>
      </c>
      <c r="CZ698" s="8">
        <f t="shared" si="3000"/>
        <v>1.1748054321146073</v>
      </c>
      <c r="DA698" s="8">
        <f t="shared" si="3000"/>
        <v>1.1742767696701557</v>
      </c>
      <c r="DB698" s="187">
        <f t="shared" si="3000"/>
        <v>1.1714209411130267</v>
      </c>
      <c r="DC698" s="8">
        <f t="shared" si="3000"/>
        <v>1.1737483451238042</v>
      </c>
      <c r="DD698" s="8">
        <f t="shared" si="3000"/>
        <v>1.1732201583684985</v>
      </c>
      <c r="DE698" s="187">
        <f t="shared" si="3000"/>
        <v>1.1703668994787657</v>
      </c>
      <c r="DF698" s="8">
        <f t="shared" si="3000"/>
        <v>1.1726922092972329</v>
      </c>
      <c r="DG698" s="8">
        <f t="shared" si="3000"/>
        <v>1.1721644978030492</v>
      </c>
      <c r="DH698" s="187">
        <f t="shared" si="3000"/>
        <v>1.1693138062685322</v>
      </c>
      <c r="DI698" s="8">
        <f t="shared" si="3000"/>
        <v>1.1716370237790379</v>
      </c>
      <c r="DJ698" s="8">
        <f t="shared" ref="DJ698:EF698" si="3001">DJ656*DJ692</f>
        <v>1.1711097871183374</v>
      </c>
      <c r="DK698" s="187">
        <f t="shared" si="3001"/>
        <v>1.1682616606289367</v>
      </c>
      <c r="DL698" s="8">
        <f t="shared" si="3001"/>
        <v>1.1705827877141342</v>
      </c>
      <c r="DM698" s="8">
        <f t="shared" si="3001"/>
        <v>1.1700560254596626</v>
      </c>
      <c r="DN698" s="187">
        <f t="shared" si="3001"/>
        <v>1.1672104617073567</v>
      </c>
      <c r="DO698" s="8">
        <f t="shared" si="3001"/>
        <v>1.169529500248206</v>
      </c>
      <c r="DP698" s="8">
        <f t="shared" si="3001"/>
        <v>1.1690032119730946</v>
      </c>
      <c r="DQ698" s="187">
        <f t="shared" si="3001"/>
        <v>1.1661602086519389</v>
      </c>
      <c r="DR698" s="8">
        <f t="shared" si="3001"/>
        <v>1.1684771605277069</v>
      </c>
      <c r="DS698" s="8">
        <f t="shared" si="3001"/>
        <v>1.1679513458054693</v>
      </c>
      <c r="DT698" s="187">
        <f t="shared" si="3001"/>
        <v>1.1651109006115945</v>
      </c>
      <c r="DU698" s="8">
        <f t="shared" si="3001"/>
        <v>1.167425767699857</v>
      </c>
      <c r="DV698" s="8">
        <f t="shared" si="3001"/>
        <v>1.166900426104392</v>
      </c>
      <c r="DW698" s="187">
        <f t="shared" si="3001"/>
        <v>1.1640625367360014</v>
      </c>
      <c r="DX698" s="8">
        <f t="shared" si="3001"/>
        <v>1.1663753209126451</v>
      </c>
      <c r="DY698" s="8">
        <f t="shared" si="3001"/>
        <v>1.1658504520182345</v>
      </c>
      <c r="DZ698" s="187">
        <f t="shared" si="3001"/>
        <v>1.163015116175603</v>
      </c>
      <c r="EA698" s="8">
        <f t="shared" si="3001"/>
        <v>1.1653258193148262</v>
      </c>
      <c r="EB698" s="8">
        <f t="shared" si="3001"/>
        <v>1.1648014226961347</v>
      </c>
      <c r="EC698" s="187">
        <f t="shared" si="3001"/>
        <v>1.1619686380816059</v>
      </c>
      <c r="ED698" s="8">
        <f t="shared" si="3001"/>
        <v>1.1642772620559214</v>
      </c>
      <c r="EE698" s="8">
        <f t="shared" si="3001"/>
        <v>1.163753337287996</v>
      </c>
      <c r="EF698" s="187">
        <f t="shared" si="3001"/>
        <v>1.1609231016059816</v>
      </c>
      <c r="EG698" s="8">
        <f t="shared" ref="EG698:EL698" si="3002">EG656*EG692</f>
        <v>1.1632296482862166</v>
      </c>
      <c r="EH698" s="8">
        <f t="shared" si="3002"/>
        <v>1.1627061949444879</v>
      </c>
      <c r="EI698" s="187">
        <f t="shared" si="3002"/>
        <v>1.1598785059014645</v>
      </c>
      <c r="EJ698" s="8">
        <f t="shared" si="3002"/>
        <v>1.1621829771567629</v>
      </c>
      <c r="EK698" s="8">
        <f t="shared" si="3002"/>
        <v>1.1616599948170423</v>
      </c>
      <c r="EL698" s="187">
        <f t="shared" si="3002"/>
        <v>1.1588348501215506</v>
      </c>
      <c r="EM698" s="8">
        <f t="shared" ref="EM698:ER698" si="3003">EM656*EM692</f>
        <v>1.1611372478193749</v>
      </c>
      <c r="EN698" s="8">
        <f t="shared" si="3003"/>
        <v>1.1606147360578563</v>
      </c>
      <c r="EO698" s="187">
        <f t="shared" si="3003"/>
        <v>1.1577921334204986</v>
      </c>
      <c r="EP698" s="8">
        <f t="shared" si="3003"/>
        <v>1.1600924594266302</v>
      </c>
      <c r="EQ698" s="8">
        <f t="shared" si="3003"/>
        <v>1.1595704178198887</v>
      </c>
      <c r="ER698" s="187">
        <f t="shared" si="3003"/>
        <v>1.1567503549533273</v>
      </c>
      <c r="ES698" s="8">
        <f t="shared" ref="ES698:EX698" si="3004">ES656*ES692</f>
        <v>1.1590486111318696</v>
      </c>
      <c r="ET698" s="8">
        <f t="shared" si="3004"/>
        <v>1.1585270392568603</v>
      </c>
      <c r="EU698" s="187">
        <f t="shared" si="3004"/>
        <v>1.1557095138758167</v>
      </c>
      <c r="EV698" s="8">
        <f t="shared" si="3004"/>
        <v>1.1580057020891947</v>
      </c>
      <c r="EW698" s="8">
        <f t="shared" si="3004"/>
        <v>1.1574845995232546</v>
      </c>
      <c r="EX698" s="187">
        <f t="shared" si="3004"/>
        <v>1.1546696093445046</v>
      </c>
      <c r="EY698" s="8">
        <f t="shared" ref="EY698:FA698" si="3005">EY656*EY692</f>
        <v>1.1569637314534691</v>
      </c>
      <c r="EZ698" s="8">
        <f t="shared" si="3005"/>
        <v>1.1564430977743152</v>
      </c>
      <c r="FA698" s="187">
        <f t="shared" si="3005"/>
        <v>1.1536306405166907</v>
      </c>
      <c r="FH698" s="35"/>
      <c r="FI698" s="35"/>
      <c r="FJ698" s="35"/>
      <c r="FK698" s="35"/>
      <c r="FL698" s="35"/>
      <c r="FM698" s="35"/>
      <c r="FN698" s="35"/>
      <c r="FO698" s="35"/>
      <c r="FP698" s="35"/>
      <c r="FQ698" s="35"/>
    </row>
    <row r="699" spans="1:173" s="321" customFormat="1" hidden="1" outlineLevel="1">
      <c r="A699" s="1168"/>
      <c r="B699" s="186"/>
      <c r="C699" s="186" t="s">
        <v>431</v>
      </c>
      <c r="D699" s="910"/>
      <c r="E699" s="1"/>
      <c r="F699" s="1"/>
      <c r="G699" s="5"/>
      <c r="H699" s="1"/>
      <c r="I699" s="1"/>
      <c r="J699" s="5"/>
      <c r="K699" s="1"/>
      <c r="L699" s="1"/>
      <c r="M699" s="5"/>
      <c r="N699" s="1"/>
      <c r="O699" s="1"/>
      <c r="P699" s="5"/>
      <c r="Q699" s="1"/>
      <c r="R699" s="1"/>
      <c r="S699" s="5"/>
      <c r="T699" s="1"/>
      <c r="U699" s="1"/>
      <c r="V699" s="5"/>
      <c r="W699" s="1"/>
      <c r="X699" s="1"/>
      <c r="Y699" s="5"/>
      <c r="Z699" s="1"/>
      <c r="AA699" s="1"/>
      <c r="AB699" s="5"/>
      <c r="AC699" s="1"/>
      <c r="AD699" s="1"/>
      <c r="AE699" s="5"/>
      <c r="AF699" s="1"/>
      <c r="AG699" s="1"/>
      <c r="AH699" s="5"/>
      <c r="AI699" s="1"/>
      <c r="AJ699" s="1"/>
      <c r="AK699" s="5"/>
      <c r="AL699" s="1"/>
      <c r="AM699" s="1"/>
      <c r="AN699" s="5"/>
      <c r="AO699" s="1"/>
      <c r="AP699" s="1"/>
      <c r="AQ699" s="5"/>
      <c r="AR699" s="1"/>
      <c r="AS699" s="1"/>
      <c r="AT699" s="5"/>
      <c r="AU699" s="1"/>
      <c r="AV699" s="1"/>
      <c r="AW699" s="5"/>
      <c r="AX699" s="187">
        <f t="shared" ref="AX699:CC699" si="3006">AX657*AX693</f>
        <v>0.69815588528024641</v>
      </c>
      <c r="AY699" s="187">
        <f t="shared" si="3006"/>
        <v>0.70262408294603995</v>
      </c>
      <c r="AZ699" s="187">
        <f t="shared" si="3006"/>
        <v>0.69902760206948644</v>
      </c>
      <c r="BA699" s="8">
        <f t="shared" si="3006"/>
        <v>0.70712087707689464</v>
      </c>
      <c r="BB699" s="8">
        <f t="shared" si="3006"/>
        <v>0.71164645069018673</v>
      </c>
      <c r="BC699" s="978">
        <f t="shared" si="3006"/>
        <v>0.70800378754655657</v>
      </c>
      <c r="BD699" s="8">
        <f t="shared" si="3006"/>
        <v>0.71620098797460396</v>
      </c>
      <c r="BE699" s="8">
        <f t="shared" si="3006"/>
        <v>0.72078467429764137</v>
      </c>
      <c r="BF699" s="978">
        <f t="shared" si="3006"/>
        <v>0.71709523586229029</v>
      </c>
      <c r="BG699" s="8">
        <f t="shared" si="3006"/>
        <v>0.7253976962131462</v>
      </c>
      <c r="BH699" s="8">
        <f t="shared" si="3006"/>
        <v>0.73004024146891044</v>
      </c>
      <c r="BI699" s="978">
        <f t="shared" si="3006"/>
        <v>0.72630342710218854</v>
      </c>
      <c r="BJ699" s="115">
        <f t="shared" si="3006"/>
        <v>0.73471249901431124</v>
      </c>
      <c r="BK699" s="115">
        <f t="shared" si="3006"/>
        <v>0.73941465900800285</v>
      </c>
      <c r="BL699" s="116">
        <f t="shared" si="3006"/>
        <v>0.73562986035747058</v>
      </c>
      <c r="BM699" s="115">
        <f t="shared" si="3006"/>
        <v>0.74178078591682861</v>
      </c>
      <c r="BN699" s="115">
        <f t="shared" si="3006"/>
        <v>0.74415448443176269</v>
      </c>
      <c r="BO699" s="116">
        <f t="shared" si="3006"/>
        <v>0.74033327420150874</v>
      </c>
      <c r="BP699" s="115">
        <f t="shared" si="3006"/>
        <v>0.74653577878194421</v>
      </c>
      <c r="BQ699" s="115">
        <f t="shared" si="3006"/>
        <v>0.74892469327404654</v>
      </c>
      <c r="BR699" s="116">
        <f t="shared" si="3006"/>
        <v>0.74507898816912643</v>
      </c>
      <c r="BS699" s="8">
        <f t="shared" si="3006"/>
        <v>0.75132125229252356</v>
      </c>
      <c r="BT699" s="8">
        <f t="shared" si="3006"/>
        <v>0.75372548029985975</v>
      </c>
      <c r="BU699" s="187">
        <f t="shared" si="3006"/>
        <v>0.74985512330224779</v>
      </c>
      <c r="BV699" s="8">
        <f t="shared" si="3006"/>
        <v>0.75613740183681943</v>
      </c>
      <c r="BW699" s="8">
        <f t="shared" si="3006"/>
        <v>0.75855704152269743</v>
      </c>
      <c r="BX699" s="187">
        <f t="shared" si="3006"/>
        <v>0.75466187460784517</v>
      </c>
      <c r="BY699" s="8">
        <f t="shared" si="3006"/>
        <v>0.7609844240555701</v>
      </c>
      <c r="BZ699" s="8">
        <f t="shared" si="3006"/>
        <v>0.7634195742125478</v>
      </c>
      <c r="CA699" s="187">
        <f t="shared" si="3006"/>
        <v>0.75949943834293132</v>
      </c>
      <c r="CB699" s="8">
        <f t="shared" si="3006"/>
        <v>0.76586251685002804</v>
      </c>
      <c r="CC699" s="8">
        <f t="shared" si="3006"/>
        <v>0.76831327690394835</v>
      </c>
      <c r="CD699" s="187">
        <f t="shared" ref="CD699:DI699" si="3007">CD657*CD693</f>
        <v>0.76436801202257476</v>
      </c>
      <c r="CE699" s="8">
        <f t="shared" si="3007"/>
        <v>0.77077187939004099</v>
      </c>
      <c r="CF699" s="8">
        <f t="shared" si="3007"/>
        <v>0.7732383494040892</v>
      </c>
      <c r="CG699" s="187">
        <f t="shared" si="3007"/>
        <v>0.76926779442796256</v>
      </c>
      <c r="CH699" s="8">
        <f t="shared" si="3007"/>
        <v>0.7757127121221824</v>
      </c>
      <c r="CI699" s="8">
        <f t="shared" si="3007"/>
        <v>0.77819499280097337</v>
      </c>
      <c r="CJ699" s="187">
        <f t="shared" si="3007"/>
        <v>0.77419898561451672</v>
      </c>
      <c r="CK699" s="8">
        <f t="shared" si="3007"/>
        <v>0.78068521677793656</v>
      </c>
      <c r="CL699" s="8">
        <f t="shared" si="3007"/>
        <v>0.7831834094716259</v>
      </c>
      <c r="CM699" s="187">
        <f t="shared" si="3007"/>
        <v>0.77916178692006233</v>
      </c>
      <c r="CN699" s="8">
        <f t="shared" si="3007"/>
        <v>0.78568959638193536</v>
      </c>
      <c r="CO699" s="8">
        <f t="shared" si="3007"/>
        <v>0.78820380309035754</v>
      </c>
      <c r="CP699" s="187">
        <f t="shared" si="3007"/>
        <v>0.78415640097304884</v>
      </c>
      <c r="CQ699" s="8">
        <f t="shared" si="3007"/>
        <v>0.79072605526024697</v>
      </c>
      <c r="CR699" s="8">
        <f t="shared" si="3007"/>
        <v>0.79325637863707976</v>
      </c>
      <c r="CS699" s="187">
        <f t="shared" si="3007"/>
        <v>0.78918303170082271</v>
      </c>
      <c r="CT699" s="8">
        <f t="shared" si="3007"/>
        <v>0.79579479904871853</v>
      </c>
      <c r="CU699" s="8">
        <f t="shared" si="3007"/>
        <v>0.79834134240567423</v>
      </c>
      <c r="CV699" s="187">
        <f t="shared" si="3007"/>
        <v>0.79424188433795262</v>
      </c>
      <c r="CW699" s="8">
        <f t="shared" si="3007"/>
        <v>0.80089603470137249</v>
      </c>
      <c r="CX699" s="8">
        <f t="shared" si="3007"/>
        <v>0.80345890201241699</v>
      </c>
      <c r="CY699" s="187">
        <f t="shared" si="3007"/>
        <v>0.79933316543461119</v>
      </c>
      <c r="CZ699" s="8">
        <f t="shared" si="3007"/>
        <v>0.80602997049885694</v>
      </c>
      <c r="DA699" s="8">
        <f t="shared" si="3007"/>
        <v>0.80860926640445341</v>
      </c>
      <c r="DB699" s="187">
        <f t="shared" si="3007"/>
        <v>0.80445708286500706</v>
      </c>
      <c r="DC699" s="8">
        <f t="shared" si="3007"/>
        <v>0.8111968160569476</v>
      </c>
      <c r="DD699" s="8">
        <f t="shared" si="3007"/>
        <v>0.81379264586832978</v>
      </c>
      <c r="DE699" s="187">
        <f t="shared" si="3007"/>
        <v>0.8096138458358717</v>
      </c>
      <c r="DF699" s="8">
        <f t="shared" si="3007"/>
        <v>0.81639678233510871</v>
      </c>
      <c r="DG699" s="8">
        <f t="shared" si="3007"/>
        <v>0.81900925203858099</v>
      </c>
      <c r="DH699" s="187">
        <f t="shared" si="3007"/>
        <v>0.81480366489500256</v>
      </c>
      <c r="DI699" s="8">
        <f t="shared" si="3007"/>
        <v>0.82163008164510443</v>
      </c>
      <c r="DJ699" s="8">
        <f t="shared" ref="DJ699:EF699" si="3008">DJ657*DJ693</f>
        <v>0.82425929790636876</v>
      </c>
      <c r="DK699" s="187">
        <f t="shared" si="3008"/>
        <v>0.82002675193985908</v>
      </c>
      <c r="DL699" s="8">
        <f t="shared" si="3008"/>
        <v>0.82689692765966916</v>
      </c>
      <c r="DM699" s="8">
        <f t="shared" si="3008"/>
        <v>0.82954299782818031</v>
      </c>
      <c r="DN699" s="187">
        <f t="shared" si="3008"/>
        <v>0.8252833202262142</v>
      </c>
      <c r="DO699" s="8">
        <f t="shared" si="3008"/>
        <v>0.83219753542123043</v>
      </c>
      <c r="DP699" s="8">
        <f t="shared" si="3008"/>
        <v>0.83486056753457838</v>
      </c>
      <c r="DQ699" s="187">
        <f t="shared" si="3008"/>
        <v>0.83057358437686135</v>
      </c>
      <c r="DR699" s="8">
        <f t="shared" si="3008"/>
        <v>0.837532121350689</v>
      </c>
      <c r="DS699" s="8">
        <f t="shared" si="3008"/>
        <v>0.84021222413901142</v>
      </c>
      <c r="DT699" s="187">
        <f t="shared" si="3008"/>
        <v>0.83589776039037733</v>
      </c>
      <c r="DU699" s="8">
        <f t="shared" si="3008"/>
        <v>0.84290090325625622</v>
      </c>
      <c r="DV699" s="8">
        <f t="shared" si="3008"/>
        <v>0.84559818614667626</v>
      </c>
      <c r="DW699" s="187">
        <f t="shared" si="3008"/>
        <v>0.84125606564994238</v>
      </c>
      <c r="DX699" s="8">
        <f t="shared" si="3008"/>
        <v>0.84830410034234571</v>
      </c>
      <c r="DY699" s="8">
        <f t="shared" si="3008"/>
        <v>0.85101867346344129</v>
      </c>
      <c r="DZ699" s="187">
        <f t="shared" si="3008"/>
        <v>0.84664871893221427</v>
      </c>
      <c r="EA699" s="8">
        <f t="shared" si="3008"/>
        <v>0.85374193321852454</v>
      </c>
      <c r="EB699" s="8">
        <f t="shared" si="3008"/>
        <v>0.85647390740482399</v>
      </c>
      <c r="EC699" s="187">
        <f t="shared" si="3008"/>
        <v>0.85207594041626256</v>
      </c>
      <c r="ED699" s="8">
        <f t="shared" si="3008"/>
        <v>0.85921462390851944</v>
      </c>
      <c r="EE699" s="8">
        <f t="shared" si="3008"/>
        <v>0.86196411070502676</v>
      </c>
      <c r="EF699" s="187">
        <f t="shared" si="3008"/>
        <v>0.85753795169255653</v>
      </c>
      <c r="EG699" s="8">
        <f t="shared" ref="EG699:EL699" si="3009">EG657*EG693</f>
        <v>0.8647223958592829</v>
      </c>
      <c r="EH699" s="8">
        <f t="shared" si="3009"/>
        <v>0.86748950752603271</v>
      </c>
      <c r="EI699" s="187">
        <f t="shared" si="3009"/>
        <v>0.8630349757720146</v>
      </c>
      <c r="EJ699" s="8">
        <f t="shared" si="3009"/>
        <v>0.870265473950116</v>
      </c>
      <c r="EK699" s="8">
        <f t="shared" si="3009"/>
        <v>0.87305032346675648</v>
      </c>
      <c r="EL699" s="187">
        <f t="shared" si="3009"/>
        <v>0.86856723709510752</v>
      </c>
      <c r="EM699" s="8">
        <f t="shared" ref="EM699:ER699" si="3010">EM657*EM693</f>
        <v>0.87584408450185003</v>
      </c>
      <c r="EN699" s="8">
        <f t="shared" si="3010"/>
        <v>0.87864678557225617</v>
      </c>
      <c r="EO699" s="187">
        <f t="shared" si="3010"/>
        <v>0.87413496154102421</v>
      </c>
      <c r="EP699" s="8">
        <f t="shared" si="3010"/>
        <v>0.88145845528608735</v>
      </c>
      <c r="EQ699" s="8">
        <f t="shared" si="3010"/>
        <v>0.88427912234300288</v>
      </c>
      <c r="ER699" s="187">
        <f t="shared" si="3010"/>
        <v>0.8797383764368929</v>
      </c>
      <c r="ES699" s="8">
        <f t="shared" ref="ES699:EX699" si="3011">ES657*ES693</f>
        <v>0.88710881553450049</v>
      </c>
      <c r="ET699" s="8">
        <f t="shared" si="3011"/>
        <v>0.88994756374421113</v>
      </c>
      <c r="EU699" s="187">
        <f t="shared" si="3011"/>
        <v>0.88537771056706382</v>
      </c>
      <c r="EV699" s="8">
        <f t="shared" si="3011"/>
        <v>0.89279539594819279</v>
      </c>
      <c r="EW699" s="8">
        <f t="shared" si="3011"/>
        <v>0.89565234121522685</v>
      </c>
      <c r="EX699" s="187">
        <f t="shared" si="3011"/>
        <v>0.89105319418244933</v>
      </c>
      <c r="EY699" s="8">
        <f t="shared" ref="EY699:FA699" si="3012">EY657*EY693</f>
        <v>0.89851842870711551</v>
      </c>
      <c r="EZ699" s="8">
        <f t="shared" si="3012"/>
        <v>0.90139368767897854</v>
      </c>
      <c r="FA699" s="187">
        <f t="shared" si="3012"/>
        <v>0.89676505900992565</v>
      </c>
      <c r="FH699" s="35"/>
      <c r="FI699" s="35"/>
      <c r="FJ699" s="35"/>
      <c r="FK699" s="35"/>
      <c r="FL699" s="35"/>
      <c r="FM699" s="35"/>
      <c r="FN699" s="35"/>
      <c r="FO699" s="35"/>
      <c r="FP699" s="35"/>
      <c r="FQ699" s="35"/>
    </row>
    <row r="700" spans="1:173" s="321" customFormat="1" hidden="1" outlineLevel="1">
      <c r="A700" s="1168"/>
      <c r="B700" s="186"/>
      <c r="C700" s="186" t="s">
        <v>327</v>
      </c>
      <c r="D700" s="910"/>
      <c r="E700" s="1"/>
      <c r="F700" s="1"/>
      <c r="G700" s="5"/>
      <c r="H700" s="1"/>
      <c r="I700" s="1"/>
      <c r="J700" s="5"/>
      <c r="K700" s="1"/>
      <c r="L700" s="1"/>
      <c r="M700" s="5"/>
      <c r="N700" s="1"/>
      <c r="O700" s="1"/>
      <c r="P700" s="5"/>
      <c r="Q700" s="1"/>
      <c r="R700" s="1"/>
      <c r="S700" s="5"/>
      <c r="T700" s="1"/>
      <c r="U700" s="1"/>
      <c r="V700" s="5"/>
      <c r="W700" s="1"/>
      <c r="X700" s="1"/>
      <c r="Y700" s="5"/>
      <c r="Z700" s="1"/>
      <c r="AA700" s="1"/>
      <c r="AB700" s="5"/>
      <c r="AC700" s="1"/>
      <c r="AD700" s="1"/>
      <c r="AE700" s="5"/>
      <c r="AF700" s="1"/>
      <c r="AG700" s="1"/>
      <c r="AH700" s="5"/>
      <c r="AI700" s="1"/>
      <c r="AJ700" s="1"/>
      <c r="AK700" s="5"/>
      <c r="AL700" s="1"/>
      <c r="AM700" s="1"/>
      <c r="AN700" s="5"/>
      <c r="AO700" s="1"/>
      <c r="AP700" s="1"/>
      <c r="AQ700" s="5"/>
      <c r="AR700" s="1"/>
      <c r="AS700" s="1"/>
      <c r="AT700" s="5"/>
      <c r="AU700" s="1"/>
      <c r="AV700" s="1"/>
      <c r="AW700" s="5"/>
      <c r="AX700" s="187">
        <f t="shared" ref="AX700:CC700" si="3013">SUM(AX697:AX699)</f>
        <v>2.4571241328112294</v>
      </c>
      <c r="AY700" s="187">
        <f t="shared" si="3013"/>
        <v>2.4621657320218278</v>
      </c>
      <c r="AZ700" s="187">
        <f t="shared" si="3013"/>
        <v>2.4536735664166573</v>
      </c>
      <c r="BA700" s="8">
        <f t="shared" si="3013"/>
        <v>2.4672417732313505</v>
      </c>
      <c r="BB700" s="8">
        <f t="shared" si="3013"/>
        <v>2.4723524529629008</v>
      </c>
      <c r="BC700" s="978">
        <f t="shared" si="3013"/>
        <v>2.4638076408042755</v>
      </c>
      <c r="BD700" s="8">
        <f t="shared" si="3013"/>
        <v>2.4774979689540975</v>
      </c>
      <c r="BE700" s="8">
        <f t="shared" si="3013"/>
        <v>2.4826785201646993</v>
      </c>
      <c r="BF700" s="978">
        <f t="shared" si="3013"/>
        <v>2.4740803898174804</v>
      </c>
      <c r="BG700" s="8">
        <f t="shared" si="3013"/>
        <v>2.4878943067842725</v>
      </c>
      <c r="BH700" s="8">
        <f t="shared" si="3013"/>
        <v>2.4931455302399095</v>
      </c>
      <c r="BI700" s="978">
        <f t="shared" si="3013"/>
        <v>2.4844934020621796</v>
      </c>
      <c r="BJ700" s="115">
        <f t="shared" si="3013"/>
        <v>2.4984323932039936</v>
      </c>
      <c r="BK700" s="115">
        <f t="shared" si="3013"/>
        <v>2.5037550996020186</v>
      </c>
      <c r="BL700" s="116">
        <f t="shared" si="3013"/>
        <v>2.4950482858448542</v>
      </c>
      <c r="BM700" s="115">
        <f t="shared" si="3013"/>
        <v>2.5064344771112355</v>
      </c>
      <c r="BN700" s="115">
        <f t="shared" si="3013"/>
        <v>2.5091229183893926</v>
      </c>
      <c r="BO700" s="116">
        <f t="shared" si="3013"/>
        <v>2.5003746122354342</v>
      </c>
      <c r="BP700" s="115">
        <f t="shared" si="3013"/>
        <v>2.5118204494030176</v>
      </c>
      <c r="BQ700" s="115">
        <f t="shared" si="3013"/>
        <v>2.5145270961989414</v>
      </c>
      <c r="BR700" s="116">
        <f t="shared" si="3013"/>
        <v>2.5057508795845944</v>
      </c>
      <c r="BS700" s="8">
        <f t="shared" si="3013"/>
        <v>2.5172428849045509</v>
      </c>
      <c r="BT700" s="8">
        <f t="shared" si="3013"/>
        <v>2.5199678417280444</v>
      </c>
      <c r="BU700" s="187">
        <f t="shared" si="3013"/>
        <v>2.511163537537068</v>
      </c>
      <c r="BV700" s="8">
        <f t="shared" si="3013"/>
        <v>2.522701992958682</v>
      </c>
      <c r="BW700" s="8">
        <f t="shared" si="3013"/>
        <v>2.5254453649670401</v>
      </c>
      <c r="BX700" s="187">
        <f t="shared" si="3013"/>
        <v>2.516612795026349</v>
      </c>
      <c r="BY700" s="8">
        <f t="shared" si="3013"/>
        <v>2.5281979842052724</v>
      </c>
      <c r="BZ700" s="8">
        <f t="shared" si="3013"/>
        <v>2.5309598772073558</v>
      </c>
      <c r="CA700" s="187">
        <f t="shared" si="3013"/>
        <v>2.522098862280409</v>
      </c>
      <c r="CB700" s="8">
        <f t="shared" si="3013"/>
        <v>2.5337310705893596</v>
      </c>
      <c r="CC700" s="8">
        <f t="shared" si="3013"/>
        <v>2.5365115910496923</v>
      </c>
      <c r="CD700" s="187">
        <f t="shared" ref="CD700:DI700" si="3014">SUM(CD697:CD699)</f>
        <v>2.527621950829845</v>
      </c>
      <c r="CE700" s="8">
        <f t="shared" si="3014"/>
        <v>2.5393014653693666</v>
      </c>
      <c r="CF700" s="8">
        <f t="shared" si="3014"/>
        <v>2.542100720412257</v>
      </c>
      <c r="CG700" s="187">
        <f t="shared" si="3014"/>
        <v>2.5331822735160672</v>
      </c>
      <c r="CH700" s="8">
        <f t="shared" si="3014"/>
        <v>2.5449093831253591</v>
      </c>
      <c r="CI700" s="8">
        <f t="shared" si="3014"/>
        <v>2.5477274805390531</v>
      </c>
      <c r="CJ700" s="187">
        <f t="shared" si="3014"/>
        <v>2.5387800444995476</v>
      </c>
      <c r="CK700" s="8">
        <f t="shared" si="3014"/>
        <v>2.5505550397673629</v>
      </c>
      <c r="CL700" s="8">
        <f t="shared" si="3014"/>
        <v>2.5533920880082199</v>
      </c>
      <c r="CM700" s="187">
        <f t="shared" si="3014"/>
        <v>2.544415479268114</v>
      </c>
      <c r="CN700" s="8">
        <f t="shared" si="3014"/>
        <v>2.5562386525437284</v>
      </c>
      <c r="CO700" s="8">
        <f t="shared" si="3014"/>
        <v>2.5590947607404253</v>
      </c>
      <c r="CP700" s="187">
        <f t="shared" si="3014"/>
        <v>2.5500887946453048</v>
      </c>
      <c r="CQ700" s="8">
        <f t="shared" si="3014"/>
        <v>2.5619604400495515</v>
      </c>
      <c r="CR700" s="8">
        <f t="shared" si="3014"/>
        <v>2.5648357180073114</v>
      </c>
      <c r="CS700" s="187">
        <f t="shared" si="3014"/>
        <v>2.5558002087987681</v>
      </c>
      <c r="CT700" s="8">
        <f t="shared" si="3014"/>
        <v>2.5677206222351461</v>
      </c>
      <c r="CU700" s="8">
        <f t="shared" si="3014"/>
        <v>2.5706151804399955</v>
      </c>
      <c r="CV700" s="187">
        <f t="shared" si="3014"/>
        <v>2.5615499412487193</v>
      </c>
      <c r="CW700" s="8">
        <f t="shared" si="3014"/>
        <v>2.5735194204145717</v>
      </c>
      <c r="CX700" s="8">
        <f t="shared" si="3014"/>
        <v>2.5764333700376252</v>
      </c>
      <c r="CY700" s="187">
        <f t="shared" si="3014"/>
        <v>2.5673382128764555</v>
      </c>
      <c r="CZ700" s="8">
        <f t="shared" si="3014"/>
        <v>2.5793570572742159</v>
      </c>
      <c r="DA700" s="8">
        <f t="shared" si="3014"/>
        <v>2.5822905101759854</v>
      </c>
      <c r="DB700" s="187">
        <f t="shared" si="3014"/>
        <v>2.5731652459329144</v>
      </c>
      <c r="DC700" s="8">
        <f t="shared" si="3014"/>
        <v>2.5852337568814274</v>
      </c>
      <c r="DD700" s="8">
        <f t="shared" si="3014"/>
        <v>2.5881868256161624</v>
      </c>
      <c r="DE700" s="187">
        <f t="shared" si="3014"/>
        <v>2.5790312640472974</v>
      </c>
      <c r="DF700" s="8">
        <f t="shared" si="3014"/>
        <v>2.5911497446932104</v>
      </c>
      <c r="DG700" s="8">
        <f t="shared" si="3014"/>
        <v>2.5941225425132637</v>
      </c>
      <c r="DH700" s="187">
        <f t="shared" si="3014"/>
        <v>2.5849364922357405</v>
      </c>
      <c r="DI700" s="8">
        <f t="shared" si="3014"/>
        <v>2.5971052475649663</v>
      </c>
      <c r="DJ700" s="8">
        <f t="shared" ref="DJ700:EF700" si="3015">SUM(DJ697:DJ699)</f>
        <v>2.6000978884251875</v>
      </c>
      <c r="DK700" s="187">
        <f t="shared" si="3015"/>
        <v>2.5908811569100472</v>
      </c>
      <c r="DL700" s="8">
        <f t="shared" si="3015"/>
        <v>2.6031004937593005</v>
      </c>
      <c r="DM700" s="8">
        <f t="shared" si="3015"/>
        <v>2.6061130923214586</v>
      </c>
      <c r="DN700" s="187">
        <f t="shared" si="3015"/>
        <v>2.5968654858864682</v>
      </c>
      <c r="DO700" s="8">
        <f t="shared" si="3015"/>
        <v>2.6091357129548767</v>
      </c>
      <c r="DP700" s="8">
        <f t="shared" si="3015"/>
        <v>2.6121683845921093</v>
      </c>
      <c r="DQ700" s="187">
        <f t="shared" si="3015"/>
        <v>2.6028897083945473</v>
      </c>
      <c r="DR700" s="8">
        <f t="shared" si="3015"/>
        <v>2.6152111362553319</v>
      </c>
      <c r="DS700" s="8">
        <f t="shared" si="3015"/>
        <v>2.6182639970566228</v>
      </c>
      <c r="DT700" s="187">
        <f t="shared" si="3015"/>
        <v>2.6089540550860106</v>
      </c>
      <c r="DU700" s="8">
        <f t="shared" si="3015"/>
        <v>2.6213269961982455</v>
      </c>
      <c r="DV700" s="8">
        <f t="shared" si="3015"/>
        <v>2.6244001629729325</v>
      </c>
      <c r="DW700" s="187">
        <f t="shared" si="3015"/>
        <v>2.6150587580437286</v>
      </c>
      <c r="DX700" s="8">
        <f t="shared" si="3015"/>
        <v>2.6274835267641694</v>
      </c>
      <c r="DY700" s="8">
        <f t="shared" si="3015"/>
        <v>2.6305771170464807</v>
      </c>
      <c r="DZ700" s="187">
        <f t="shared" si="3015"/>
        <v>2.6212040507907188</v>
      </c>
      <c r="EA700" s="8">
        <f t="shared" si="3015"/>
        <v>2.6336809633857134</v>
      </c>
      <c r="EB700" s="8">
        <f t="shared" si="3015"/>
        <v>2.6367950954393287</v>
      </c>
      <c r="EC700" s="187">
        <f t="shared" si="3015"/>
        <v>2.627390168299216</v>
      </c>
      <c r="ED700" s="8">
        <f t="shared" si="3015"/>
        <v>2.6399195429566849</v>
      </c>
      <c r="EE700" s="8">
        <f t="shared" si="3015"/>
        <v>2.6430543357793304</v>
      </c>
      <c r="EF700" s="187">
        <f t="shared" si="3015"/>
        <v>2.6336173469997983</v>
      </c>
      <c r="EG700" s="8">
        <f t="shared" ref="EG700:EL700" si="3016">SUM(EG697:EG699)</f>
        <v>2.6461995038412915</v>
      </c>
      <c r="EH700" s="8">
        <f t="shared" si="3016"/>
        <v>2.6493550771693641</v>
      </c>
      <c r="EI700" s="187">
        <f t="shared" si="3016"/>
        <v>2.6398858247905692</v>
      </c>
      <c r="EJ700" s="8">
        <f t="shared" si="3016"/>
        <v>2.6525210858834032</v>
      </c>
      <c r="EK700" s="8">
        <f t="shared" si="3016"/>
        <v>2.6556975601966184</v>
      </c>
      <c r="EL700" s="187">
        <f t="shared" si="3016"/>
        <v>2.6461958410463975</v>
      </c>
      <c r="EM700" s="8">
        <f t="shared" ref="EM700:ER700" si="3017">SUM(EM697:EM699)</f>
        <v>2.6588845304158655</v>
      </c>
      <c r="EN700" s="8">
        <f t="shared" si="3017"/>
        <v>2.6620820269419427</v>
      </c>
      <c r="EO700" s="187">
        <f t="shared" si="3017"/>
        <v>2.6525476366282206</v>
      </c>
      <c r="EP700" s="8">
        <f t="shared" si="3017"/>
        <v>2.6652900802698829</v>
      </c>
      <c r="EQ700" s="8">
        <f t="shared" si="3017"/>
        <v>2.6685087209892533</v>
      </c>
      <c r="ER700" s="187">
        <f t="shared" si="3017"/>
        <v>2.6589414538924006</v>
      </c>
      <c r="ES700" s="8">
        <f t="shared" ref="ES700:EX700" si="3018">SUM(ES697:ES699)</f>
        <v>2.6717379797844507</v>
      </c>
      <c r="ET700" s="8">
        <f t="shared" si="3018"/>
        <v>2.6749778874350012</v>
      </c>
      <c r="EU700" s="187">
        <f t="shared" si="3018"/>
        <v>2.6653775367001464</v>
      </c>
      <c r="EV700" s="8">
        <f t="shared" si="3018"/>
        <v>2.6782284748158576</v>
      </c>
      <c r="EW700" s="8">
        <f t="shared" si="3018"/>
        <v>2.6814897728976996</v>
      </c>
      <c r="EX700" s="187">
        <f t="shared" si="3018"/>
        <v>2.6718561304269892</v>
      </c>
      <c r="EY700" s="8">
        <f t="shared" ref="EY700:FA700" si="3019">SUM(EY697:EY699)</f>
        <v>2.6847618127472375</v>
      </c>
      <c r="EZ700" s="8">
        <f t="shared" si="3019"/>
        <v>2.6880446255275121</v>
      </c>
      <c r="FA700" s="187">
        <f t="shared" si="3019"/>
        <v>2.6783774819723263</v>
      </c>
      <c r="FH700" s="35"/>
      <c r="FI700" s="35"/>
      <c r="FJ700" s="35"/>
      <c r="FK700" s="35"/>
      <c r="FL700" s="35"/>
      <c r="FM700" s="35"/>
      <c r="FN700" s="35"/>
      <c r="FO700" s="35"/>
      <c r="FP700" s="35"/>
      <c r="FQ700" s="35"/>
    </row>
    <row r="701" spans="1:173" s="321" customFormat="1" hidden="1" outlineLevel="1">
      <c r="A701" s="1168"/>
      <c r="B701" s="186"/>
      <c r="C701" s="186"/>
      <c r="D701" s="910"/>
      <c r="E701" s="1"/>
      <c r="F701" s="1"/>
      <c r="G701" s="5"/>
      <c r="H701" s="1"/>
      <c r="I701" s="1"/>
      <c r="J701" s="5"/>
      <c r="K701" s="1"/>
      <c r="L701" s="1"/>
      <c r="M701" s="5"/>
      <c r="N701" s="1"/>
      <c r="O701" s="1"/>
      <c r="P701" s="5"/>
      <c r="Q701" s="1"/>
      <c r="R701" s="1"/>
      <c r="S701" s="5"/>
      <c r="T701" s="1"/>
      <c r="U701" s="1"/>
      <c r="V701" s="5"/>
      <c r="W701" s="1"/>
      <c r="X701" s="1"/>
      <c r="Y701" s="5"/>
      <c r="Z701" s="1"/>
      <c r="AA701" s="1"/>
      <c r="AB701" s="5"/>
      <c r="AC701" s="1"/>
      <c r="AD701" s="1"/>
      <c r="AE701" s="5"/>
      <c r="AF701" s="1"/>
      <c r="AG701" s="1"/>
      <c r="AH701" s="5"/>
      <c r="AI701" s="1"/>
      <c r="AJ701" s="1"/>
      <c r="AK701" s="5"/>
      <c r="AL701" s="1"/>
      <c r="AM701" s="1"/>
      <c r="AN701" s="5"/>
      <c r="AO701" s="1"/>
      <c r="AP701" s="1"/>
      <c r="AQ701" s="5"/>
      <c r="AR701" s="1"/>
      <c r="AS701" s="1"/>
      <c r="AT701" s="5"/>
      <c r="AU701" s="1"/>
      <c r="AV701" s="1"/>
      <c r="AW701" s="5"/>
      <c r="AX701" s="187"/>
      <c r="AY701" s="187"/>
      <c r="AZ701" s="187"/>
      <c r="BA701" s="8"/>
      <c r="BB701" s="8"/>
      <c r="BC701" s="978"/>
      <c r="BD701" s="8"/>
      <c r="BE701" s="8"/>
      <c r="BF701" s="978"/>
      <c r="BG701" s="8"/>
      <c r="BH701" s="8"/>
      <c r="BI701" s="978"/>
      <c r="BJ701" s="115"/>
      <c r="BK701" s="115"/>
      <c r="BL701" s="116"/>
      <c r="BM701" s="115"/>
      <c r="BN701" s="115"/>
      <c r="BO701" s="116"/>
      <c r="BP701" s="115"/>
      <c r="BQ701" s="115"/>
      <c r="BR701" s="116"/>
      <c r="BS701" s="8"/>
      <c r="BT701" s="8"/>
      <c r="BU701" s="187"/>
      <c r="BV701" s="8"/>
      <c r="BW701" s="8"/>
      <c r="BX701" s="187"/>
      <c r="BY701" s="8"/>
      <c r="BZ701" s="8"/>
      <c r="CA701" s="187"/>
      <c r="CB701" s="8"/>
      <c r="CC701" s="8"/>
      <c r="CD701" s="187"/>
      <c r="CE701" s="8"/>
      <c r="CF701" s="8"/>
      <c r="CG701" s="187"/>
      <c r="CH701" s="8"/>
      <c r="CI701" s="8"/>
      <c r="CJ701" s="187"/>
      <c r="CK701" s="8"/>
      <c r="CL701" s="8"/>
      <c r="CM701" s="187"/>
      <c r="CN701" s="8"/>
      <c r="CO701" s="8"/>
      <c r="CP701" s="187"/>
      <c r="CQ701" s="8"/>
      <c r="CR701" s="8"/>
      <c r="CS701" s="187"/>
      <c r="CT701" s="8"/>
      <c r="CU701" s="8"/>
      <c r="CV701" s="187"/>
      <c r="CW701" s="8"/>
      <c r="CX701" s="8"/>
      <c r="CY701" s="187"/>
      <c r="CZ701" s="8"/>
      <c r="DA701" s="8"/>
      <c r="DB701" s="187"/>
      <c r="DC701" s="8"/>
      <c r="DD701" s="8"/>
      <c r="DE701" s="187"/>
      <c r="DF701" s="8"/>
      <c r="DG701" s="8"/>
      <c r="DH701" s="187"/>
      <c r="DI701" s="8"/>
      <c r="DJ701" s="8"/>
      <c r="DK701" s="187"/>
      <c r="DL701" s="8"/>
      <c r="DM701" s="8"/>
      <c r="DN701" s="187"/>
      <c r="DO701" s="8"/>
      <c r="DP701" s="8"/>
      <c r="DQ701" s="187"/>
      <c r="DR701" s="8"/>
      <c r="DS701" s="8"/>
      <c r="DT701" s="187"/>
      <c r="DU701" s="8"/>
      <c r="DV701" s="8"/>
      <c r="DW701" s="187"/>
      <c r="DX701" s="8"/>
      <c r="DY701" s="8"/>
      <c r="DZ701" s="187"/>
      <c r="EA701" s="8"/>
      <c r="EB701" s="8"/>
      <c r="EC701" s="187"/>
      <c r="ED701" s="8"/>
      <c r="EE701" s="8"/>
      <c r="EF701" s="187"/>
      <c r="EG701" s="8"/>
      <c r="EH701" s="8"/>
      <c r="EI701" s="187"/>
      <c r="EJ701" s="8"/>
      <c r="EK701" s="8"/>
      <c r="EL701" s="187"/>
      <c r="EM701" s="8"/>
      <c r="EN701" s="8"/>
      <c r="EO701" s="187"/>
      <c r="EP701" s="8"/>
      <c r="EQ701" s="8"/>
      <c r="ER701" s="187"/>
      <c r="ES701" s="8"/>
      <c r="ET701" s="8"/>
      <c r="EU701" s="187"/>
      <c r="EV701" s="8"/>
      <c r="EW701" s="8"/>
      <c r="EX701" s="187"/>
      <c r="EY701" s="8"/>
      <c r="EZ701" s="8"/>
      <c r="FA701" s="187"/>
      <c r="FH701" s="35"/>
      <c r="FI701" s="35"/>
      <c r="FJ701" s="35"/>
      <c r="FK701" s="35"/>
      <c r="FL701" s="35"/>
      <c r="FM701" s="35"/>
      <c r="FN701" s="35"/>
      <c r="FO701" s="35"/>
      <c r="FP701" s="35"/>
      <c r="FQ701" s="35"/>
    </row>
    <row r="702" spans="1:173" s="321" customFormat="1" hidden="1" outlineLevel="1">
      <c r="A702" s="1168"/>
      <c r="B702" s="186"/>
      <c r="C702" s="331" t="s">
        <v>662</v>
      </c>
      <c r="D702" s="910"/>
      <c r="E702" s="1"/>
      <c r="F702" s="1"/>
      <c r="G702" s="5"/>
      <c r="H702" s="1"/>
      <c r="I702" s="1"/>
      <c r="J702" s="5"/>
      <c r="K702" s="1"/>
      <c r="L702" s="1"/>
      <c r="M702" s="5"/>
      <c r="N702" s="1"/>
      <c r="O702" s="1"/>
      <c r="P702" s="5"/>
      <c r="Q702" s="1"/>
      <c r="R702" s="1"/>
      <c r="S702" s="5"/>
      <c r="T702" s="1"/>
      <c r="U702" s="1"/>
      <c r="V702" s="5"/>
      <c r="W702" s="1"/>
      <c r="X702" s="1"/>
      <c r="Y702" s="5"/>
      <c r="Z702" s="1"/>
      <c r="AA702" s="1"/>
      <c r="AB702" s="5"/>
      <c r="AC702" s="1"/>
      <c r="AD702" s="1"/>
      <c r="AE702" s="5"/>
      <c r="AF702" s="1"/>
      <c r="AG702" s="1"/>
      <c r="AH702" s="5"/>
      <c r="AI702" s="1"/>
      <c r="AJ702" s="1"/>
      <c r="AK702" s="5"/>
      <c r="AL702" s="1"/>
      <c r="AM702" s="1"/>
      <c r="AN702" s="5"/>
      <c r="AO702" s="1"/>
      <c r="AP702" s="1"/>
      <c r="AQ702" s="5"/>
      <c r="AR702" s="1"/>
      <c r="AS702" s="1"/>
      <c r="AT702" s="5"/>
      <c r="AU702" s="1"/>
      <c r="AV702" s="1"/>
      <c r="AW702" s="5"/>
      <c r="AX702" s="187"/>
      <c r="AY702" s="187"/>
      <c r="AZ702" s="187"/>
      <c r="BA702" s="8"/>
      <c r="BB702" s="8"/>
      <c r="BC702" s="978"/>
      <c r="BD702" s="8"/>
      <c r="BE702" s="8"/>
      <c r="BF702" s="978"/>
      <c r="BG702" s="8"/>
      <c r="BH702" s="8"/>
      <c r="BI702" s="978"/>
      <c r="BJ702" s="115"/>
      <c r="BK702" s="115"/>
      <c r="BL702" s="116"/>
      <c r="BM702" s="115"/>
      <c r="BN702" s="115"/>
      <c r="BO702" s="116"/>
      <c r="BP702" s="115"/>
      <c r="BQ702" s="115"/>
      <c r="BR702" s="116"/>
      <c r="BS702" s="8"/>
      <c r="BT702" s="8"/>
      <c r="BU702" s="187"/>
      <c r="BV702" s="8"/>
      <c r="BW702" s="8"/>
      <c r="BX702" s="187"/>
      <c r="BY702" s="8"/>
      <c r="BZ702" s="8"/>
      <c r="CA702" s="187"/>
      <c r="CB702" s="8"/>
      <c r="CC702" s="8"/>
      <c r="CD702" s="187"/>
      <c r="CE702" s="8"/>
      <c r="CF702" s="8"/>
      <c r="CG702" s="187"/>
      <c r="CH702" s="8"/>
      <c r="CI702" s="8"/>
      <c r="CJ702" s="187"/>
      <c r="CK702" s="8"/>
      <c r="CL702" s="8"/>
      <c r="CM702" s="187"/>
      <c r="CN702" s="8"/>
      <c r="CO702" s="8"/>
      <c r="CP702" s="187"/>
      <c r="CQ702" s="8"/>
      <c r="CR702" s="8"/>
      <c r="CS702" s="187"/>
      <c r="CT702" s="8"/>
      <c r="CU702" s="8"/>
      <c r="CV702" s="187"/>
      <c r="CW702" s="8"/>
      <c r="CX702" s="8"/>
      <c r="CY702" s="187"/>
      <c r="CZ702" s="8"/>
      <c r="DA702" s="8"/>
      <c r="DB702" s="187"/>
      <c r="DC702" s="8"/>
      <c r="DD702" s="8"/>
      <c r="DE702" s="187"/>
      <c r="DF702" s="8"/>
      <c r="DG702" s="8"/>
      <c r="DH702" s="187"/>
      <c r="DI702" s="8"/>
      <c r="DJ702" s="8"/>
      <c r="DK702" s="187"/>
      <c r="DL702" s="8"/>
      <c r="DM702" s="8"/>
      <c r="DN702" s="187"/>
      <c r="DO702" s="8"/>
      <c r="DP702" s="8"/>
      <c r="DQ702" s="187"/>
      <c r="DR702" s="8"/>
      <c r="DS702" s="8"/>
      <c r="DT702" s="187"/>
      <c r="DU702" s="8"/>
      <c r="DV702" s="8"/>
      <c r="DW702" s="187"/>
      <c r="DX702" s="8"/>
      <c r="DY702" s="8"/>
      <c r="DZ702" s="187"/>
      <c r="EA702" s="8"/>
      <c r="EB702" s="8"/>
      <c r="EC702" s="187"/>
      <c r="ED702" s="8"/>
      <c r="EE702" s="8"/>
      <c r="EF702" s="187"/>
      <c r="EG702" s="8"/>
      <c r="EH702" s="8"/>
      <c r="EI702" s="187"/>
      <c r="EJ702" s="8"/>
      <c r="EK702" s="8"/>
      <c r="EL702" s="187"/>
      <c r="EM702" s="8"/>
      <c r="EN702" s="8"/>
      <c r="EO702" s="187"/>
      <c r="EP702" s="8"/>
      <c r="EQ702" s="8"/>
      <c r="ER702" s="187"/>
      <c r="ES702" s="8"/>
      <c r="ET702" s="8"/>
      <c r="EU702" s="187"/>
      <c r="EV702" s="8"/>
      <c r="EW702" s="8"/>
      <c r="EX702" s="187"/>
      <c r="EY702" s="8"/>
      <c r="EZ702" s="8"/>
      <c r="FA702" s="187"/>
      <c r="FH702" s="35"/>
      <c r="FI702" s="35"/>
      <c r="FJ702" s="35"/>
      <c r="FK702" s="35"/>
      <c r="FL702" s="35"/>
      <c r="FM702" s="35"/>
      <c r="FN702" s="35"/>
      <c r="FO702" s="35"/>
      <c r="FP702" s="35"/>
      <c r="FQ702" s="35"/>
    </row>
    <row r="703" spans="1:173" s="321" customFormat="1" hidden="1" outlineLevel="1">
      <c r="A703" s="1168"/>
      <c r="B703" s="186"/>
      <c r="C703" s="186" t="s">
        <v>316</v>
      </c>
      <c r="D703" s="910"/>
      <c r="E703" s="1"/>
      <c r="F703" s="1"/>
      <c r="G703" s="5"/>
      <c r="H703" s="1"/>
      <c r="I703" s="1"/>
      <c r="J703" s="5"/>
      <c r="K703" s="1"/>
      <c r="L703" s="1"/>
      <c r="M703" s="5"/>
      <c r="N703" s="1"/>
      <c r="O703" s="1"/>
      <c r="P703" s="5"/>
      <c r="Q703" s="1"/>
      <c r="R703" s="1"/>
      <c r="S703" s="5"/>
      <c r="T703" s="1"/>
      <c r="U703" s="1"/>
      <c r="V703" s="5"/>
      <c r="W703" s="1"/>
      <c r="X703" s="1"/>
      <c r="Y703" s="5"/>
      <c r="Z703" s="1"/>
      <c r="AA703" s="1"/>
      <c r="AB703" s="5"/>
      <c r="AC703" s="1"/>
      <c r="AD703" s="1"/>
      <c r="AE703" s="5"/>
      <c r="AF703" s="1"/>
      <c r="AG703" s="1"/>
      <c r="AH703" s="5"/>
      <c r="AI703" s="1"/>
      <c r="AJ703" s="1"/>
      <c r="AK703" s="5"/>
      <c r="AL703" s="1"/>
      <c r="AM703" s="1"/>
      <c r="AN703" s="5"/>
      <c r="AO703" s="1"/>
      <c r="AP703" s="1"/>
      <c r="AQ703" s="5"/>
      <c r="AR703" s="1"/>
      <c r="AS703" s="1"/>
      <c r="AT703" s="5"/>
      <c r="AU703" s="1"/>
      <c r="AV703" s="1"/>
      <c r="AW703" s="5"/>
      <c r="AX703" s="187">
        <f t="shared" ref="AX703:CC703" si="3020">AX691*AX661</f>
        <v>4.8706334671532972E-2</v>
      </c>
      <c r="AY703" s="187">
        <f t="shared" si="3020"/>
        <v>4.8850018358814015E-2</v>
      </c>
      <c r="AZ703" s="187">
        <f t="shared" si="3020"/>
        <v>4.8677721181546993E-2</v>
      </c>
      <c r="BA703" s="8">
        <f t="shared" si="3020"/>
        <v>4.899412591297251E-2</v>
      </c>
      <c r="BB703" s="8">
        <f t="shared" si="3020"/>
        <v>4.9138658584415781E-2</v>
      </c>
      <c r="BC703" s="978">
        <f t="shared" si="3020"/>
        <v>4.8965343354386695E-2</v>
      </c>
      <c r="BD703" s="8">
        <f t="shared" si="3020"/>
        <v>4.9283617627239804E-2</v>
      </c>
      <c r="BE703" s="8">
        <f t="shared" si="3020"/>
        <v>4.9429004299240159E-2</v>
      </c>
      <c r="BF703" s="978">
        <f t="shared" si="3020"/>
        <v>4.9254665001078127E-2</v>
      </c>
      <c r="BG703" s="8">
        <f t="shared" si="3020"/>
        <v>4.9574819861922935E-2</v>
      </c>
      <c r="BH703" s="8">
        <f t="shared" si="3020"/>
        <v>4.972106558051561E-2</v>
      </c>
      <c r="BI703" s="978">
        <f t="shared" si="3020"/>
        <v>4.954569616330666E-2</v>
      </c>
      <c r="BJ703" s="115">
        <f t="shared" si="3020"/>
        <v>4.986774272397812E-2</v>
      </c>
      <c r="BK703" s="115">
        <f t="shared" si="3020"/>
        <v>5.0014852565013861E-2</v>
      </c>
      <c r="BL703" s="116">
        <f t="shared" si="3020"/>
        <v>4.9838446942091039E-2</v>
      </c>
      <c r="BM703" s="115">
        <f t="shared" si="3020"/>
        <v>5.0088624472547257E-2</v>
      </c>
      <c r="BN703" s="115">
        <f t="shared" si="3020"/>
        <v>5.016250519364425E-2</v>
      </c>
      <c r="BO703" s="116">
        <f t="shared" si="3020"/>
        <v>4.9985318208255025E-2</v>
      </c>
      <c r="BP703" s="115">
        <f t="shared" si="3020"/>
        <v>5.0236494888804877E-2</v>
      </c>
      <c r="BQ703" s="115">
        <f t="shared" si="3020"/>
        <v>5.0310593718765846E-2</v>
      </c>
      <c r="BR703" s="116">
        <f t="shared" si="3020"/>
        <v>5.0132883646277292E-2</v>
      </c>
      <c r="BS703" s="8">
        <f t="shared" si="3020"/>
        <v>5.0384801844501025E-2</v>
      </c>
      <c r="BT703" s="8">
        <f t="shared" si="3020"/>
        <v>5.0459119427221664E-2</v>
      </c>
      <c r="BU703" s="187">
        <f t="shared" si="3020"/>
        <v>5.0280884723388777E-2</v>
      </c>
      <c r="BV703" s="8">
        <f t="shared" si="3020"/>
        <v>5.0533546628376808E-2</v>
      </c>
      <c r="BW703" s="8">
        <f t="shared" si="3020"/>
        <v>5.0608083609653659E-2</v>
      </c>
      <c r="BX703" s="187">
        <f t="shared" si="3020"/>
        <v>5.0429322725672597E-2</v>
      </c>
      <c r="BY703" s="8">
        <f t="shared" si="3020"/>
        <v>5.0682730532977893E-2</v>
      </c>
      <c r="BZ703" s="8">
        <f t="shared" si="3020"/>
        <v>5.0757487560514035E-2</v>
      </c>
      <c r="CA703" s="187">
        <f t="shared" si="3020"/>
        <v>5.0578198943008586E-2</v>
      </c>
      <c r="CB703" s="8">
        <f t="shared" si="3020"/>
        <v>5.0832354854665779E-2</v>
      </c>
      <c r="CC703" s="8">
        <f t="shared" si="3020"/>
        <v>5.090733257807642E-2</v>
      </c>
      <c r="CD703" s="187">
        <f t="shared" ref="CD703:DI703" si="3021">CD691*CD661</f>
        <v>5.0727514669084525E-2</v>
      </c>
      <c r="CE703" s="8">
        <f t="shared" si="3021"/>
        <v>5.0982420893629067E-2</v>
      </c>
      <c r="CF703" s="8">
        <f t="shared" si="3021"/>
        <v>5.1057619964447173E-2</v>
      </c>
      <c r="CG703" s="187">
        <f t="shared" si="3021"/>
        <v>5.0877271201407406E-2</v>
      </c>
      <c r="CH703" s="8">
        <f t="shared" si="3021"/>
        <v>5.1132929953894721E-2</v>
      </c>
      <c r="CI703" s="8">
        <f t="shared" si="3021"/>
        <v>5.1208351025576707E-2</v>
      </c>
      <c r="CJ703" s="187">
        <f t="shared" si="3021"/>
        <v>5.1027469841314704E-2</v>
      </c>
      <c r="CK703" s="8">
        <f t="shared" si="3021"/>
        <v>5.1283883343339422E-2</v>
      </c>
      <c r="CL703" s="8">
        <f t="shared" si="3021"/>
        <v>5.1359527071270845E-2</v>
      </c>
      <c r="CM703" s="187">
        <f t="shared" si="3021"/>
        <v>5.1178111893985648E-2</v>
      </c>
      <c r="CN703" s="8">
        <f t="shared" si="3021"/>
        <v>5.1435282373700965E-2</v>
      </c>
      <c r="CO703" s="8">
        <f t="shared" si="3021"/>
        <v>5.1511149415202163E-2</v>
      </c>
      <c r="CP703" s="187">
        <f t="shared" si="3021"/>
        <v>5.1329198668452584E-2</v>
      </c>
      <c r="CQ703" s="8">
        <f t="shared" si="3021"/>
        <v>5.1587128360589589E-2</v>
      </c>
      <c r="CR703" s="8">
        <f t="shared" si="3021"/>
        <v>5.1663219374921451E-2</v>
      </c>
      <c r="CS703" s="187">
        <f t="shared" si="3021"/>
        <v>5.1480731477612368E-2</v>
      </c>
      <c r="CT703" s="8">
        <f t="shared" si="3021"/>
        <v>5.1739422623499454E-2</v>
      </c>
      <c r="CU703" s="8">
        <f t="shared" si="3021"/>
        <v>5.1815738271869111E-2</v>
      </c>
      <c r="CV703" s="187">
        <f t="shared" si="3021"/>
        <v>5.1632711638237731E-2</v>
      </c>
      <c r="CW703" s="8">
        <f t="shared" si="3021"/>
        <v>5.1892166485820117E-2</v>
      </c>
      <c r="CX703" s="8">
        <f t="shared" si="3021"/>
        <v>5.19687074313867E-2</v>
      </c>
      <c r="CY703" s="187">
        <f t="shared" si="3021"/>
        <v>5.1785140470988776E-2</v>
      </c>
      <c r="CZ703" s="8">
        <f t="shared" si="3021"/>
        <v>5.2045361274847983E-2</v>
      </c>
      <c r="DA703" s="8">
        <f t="shared" si="3021"/>
        <v>5.2122128182728378E-2</v>
      </c>
      <c r="DB703" s="187">
        <f t="shared" si="3021"/>
        <v>5.1938019300424416E-2</v>
      </c>
      <c r="DC703" s="8">
        <f t="shared" si="3021"/>
        <v>5.2199008321797899E-2</v>
      </c>
      <c r="DD703" s="8">
        <f t="shared" si="3021"/>
        <v>5.2276001859072545E-2</v>
      </c>
      <c r="DE703" s="187">
        <f t="shared" si="3021"/>
        <v>5.2091349455013904E-2</v>
      </c>
      <c r="DF703" s="8">
        <f t="shared" si="3021"/>
        <v>5.2353108961814679E-2</v>
      </c>
      <c r="DG703" s="8">
        <f t="shared" si="3021"/>
        <v>5.243032979753335E-2</v>
      </c>
      <c r="DH703" s="187">
        <f t="shared" si="3021"/>
        <v>5.2245132267148331E-2</v>
      </c>
      <c r="DI703" s="8">
        <f t="shared" si="3021"/>
        <v>5.2507664533984699E-2</v>
      </c>
      <c r="DJ703" s="8">
        <f t="shared" ref="DJ703:EF703" si="3022">DJ691*DJ661</f>
        <v>5.2585113339172325E-2</v>
      </c>
      <c r="DK703" s="187">
        <f t="shared" si="3022"/>
        <v>5.2399369073152298E-2</v>
      </c>
      <c r="DL703" s="8">
        <f t="shared" si="3022"/>
        <v>5.2662676381347591E-2</v>
      </c>
      <c r="DM703" s="8">
        <f t="shared" si="3022"/>
        <v>5.2740353829010066E-2</v>
      </c>
      <c r="DN703" s="187">
        <f t="shared" si="3022"/>
        <v>5.2554061213295429E-2</v>
      </c>
      <c r="DO703" s="8">
        <f t="shared" si="3022"/>
        <v>5.2818145850907869E-2</v>
      </c>
      <c r="DP703" s="8">
        <f t="shared" si="3022"/>
        <v>5.2896052616037949E-2</v>
      </c>
      <c r="DQ703" s="187">
        <f t="shared" si="3022"/>
        <v>5.2709210031804073E-2</v>
      </c>
      <c r="DR703" s="8">
        <f t="shared" si="3022"/>
        <v>5.2974074293646596E-2</v>
      </c>
      <c r="DS703" s="8">
        <f t="shared" si="3022"/>
        <v>5.3052211053229721E-2</v>
      </c>
      <c r="DT703" s="187">
        <f t="shared" si="3022"/>
        <v>5.2864816876872951E-2</v>
      </c>
      <c r="DU703" s="8">
        <f t="shared" si="3022"/>
        <v>5.3130463064533236E-2</v>
      </c>
      <c r="DV703" s="8">
        <f t="shared" si="3022"/>
        <v>5.3208830497553407E-2</v>
      </c>
      <c r="DW703" s="187">
        <f t="shared" si="3022"/>
        <v>5.302088310067693E-2</v>
      </c>
      <c r="DX703" s="8">
        <f t="shared" si="3022"/>
        <v>5.3287313522537287E-2</v>
      </c>
      <c r="DY703" s="8">
        <f t="shared" si="3022"/>
        <v>5.3365912309983034E-2</v>
      </c>
      <c r="DZ703" s="187">
        <f t="shared" si="3022"/>
        <v>5.3177410059382722E-2</v>
      </c>
      <c r="EA703" s="8">
        <f t="shared" si="3022"/>
        <v>5.3444627030640242E-2</v>
      </c>
      <c r="EB703" s="8">
        <f t="shared" si="3022"/>
        <v>5.3523457855510437E-2</v>
      </c>
      <c r="EC703" s="187">
        <f t="shared" si="3022"/>
        <v>5.3334399113160645E-2</v>
      </c>
      <c r="ED703" s="8">
        <f t="shared" si="3022"/>
        <v>5.360240495584731E-2</v>
      </c>
      <c r="EE703" s="8">
        <f t="shared" si="3022"/>
        <v>5.3681468503157172E-2</v>
      </c>
      <c r="EF703" s="187">
        <f t="shared" si="3022"/>
        <v>5.3491851626196532E-2</v>
      </c>
      <c r="EG703" s="8">
        <f t="shared" ref="EG703:EL703" si="3023">EG691*EG661</f>
        <v>5.3760648669199329E-2</v>
      </c>
      <c r="EH703" s="8">
        <f t="shared" si="3023"/>
        <v>5.3839945625986395E-2</v>
      </c>
      <c r="EI703" s="187">
        <f t="shared" si="3023"/>
        <v>5.3649768966703489E-2</v>
      </c>
      <c r="EJ703" s="8">
        <f t="shared" si="3023"/>
        <v>5.3919359545784709E-2</v>
      </c>
      <c r="EK703" s="8">
        <f t="shared" si="3023"/>
        <v>5.3998890601114735E-2</v>
      </c>
      <c r="EL703" s="187">
        <f t="shared" si="3023"/>
        <v>5.3808152506933854E-2</v>
      </c>
      <c r="EM703" s="8">
        <f t="shared" ref="EM703:ER703" si="3024">EM691*EM661</f>
        <v>5.4078538964751371E-2</v>
      </c>
      <c r="EN703" s="8">
        <f t="shared" si="3024"/>
        <v>5.4158304809724375E-2</v>
      </c>
      <c r="EO703" s="187">
        <f t="shared" si="3024"/>
        <v>5.3967003623191095E-2</v>
      </c>
      <c r="EP703" s="8">
        <f t="shared" si="3024"/>
        <v>5.4238188309318716E-2</v>
      </c>
      <c r="EQ703" s="8">
        <f t="shared" si="3024"/>
        <v>5.4318189637074951E-2</v>
      </c>
      <c r="ER703" s="187">
        <f t="shared" si="3024"/>
        <v>5.4126323695841763E-2</v>
      </c>
      <c r="ES703" s="8">
        <f t="shared" ref="ES703:EX703" si="3025">ES691*ES661</f>
        <v>5.4398308966789634E-2</v>
      </c>
      <c r="ET703" s="8">
        <f t="shared" si="3025"/>
        <v>5.447854647251564E-2</v>
      </c>
      <c r="EU703" s="187">
        <f t="shared" si="3025"/>
        <v>5.4286114109327474E-2</v>
      </c>
      <c r="EV703" s="8">
        <f t="shared" si="3025"/>
        <v>5.4558902328562593E-2</v>
      </c>
      <c r="EW703" s="8">
        <f t="shared" si="3025"/>
        <v>5.4639376709497214E-2</v>
      </c>
      <c r="EX703" s="187">
        <f t="shared" si="3025"/>
        <v>5.4446376252176978E-2</v>
      </c>
      <c r="EY703" s="8">
        <f t="shared" ref="EY703:FA703" si="3026">EY691*EY661</f>
        <v>5.4719969790143715E-2</v>
      </c>
      <c r="EZ703" s="8">
        <f t="shared" si="3026"/>
        <v>5.4800681745584182E-2</v>
      </c>
      <c r="FA703" s="187">
        <f t="shared" si="3026"/>
        <v>5.4607111517018241E-2</v>
      </c>
      <c r="FH703" s="35"/>
      <c r="FI703" s="35"/>
      <c r="FJ703" s="35"/>
      <c r="FK703" s="35"/>
      <c r="FL703" s="35"/>
      <c r="FM703" s="35"/>
      <c r="FN703" s="35"/>
      <c r="FO703" s="35"/>
      <c r="FP703" s="35"/>
      <c r="FQ703" s="35"/>
    </row>
    <row r="704" spans="1:173" s="321" customFormat="1" hidden="1" outlineLevel="1">
      <c r="A704" s="1168"/>
      <c r="B704" s="186"/>
      <c r="C704" s="186" t="s">
        <v>317</v>
      </c>
      <c r="D704" s="910"/>
      <c r="E704" s="1"/>
      <c r="F704" s="1"/>
      <c r="G704" s="5"/>
      <c r="H704" s="1"/>
      <c r="I704" s="1"/>
      <c r="J704" s="5"/>
      <c r="K704" s="1"/>
      <c r="L704" s="1"/>
      <c r="M704" s="5"/>
      <c r="N704" s="1"/>
      <c r="O704" s="1"/>
      <c r="P704" s="5"/>
      <c r="Q704" s="1"/>
      <c r="R704" s="1"/>
      <c r="S704" s="5"/>
      <c r="T704" s="1"/>
      <c r="U704" s="1"/>
      <c r="V704" s="5"/>
      <c r="W704" s="1"/>
      <c r="X704" s="1"/>
      <c r="Y704" s="5"/>
      <c r="Z704" s="1"/>
      <c r="AA704" s="1"/>
      <c r="AB704" s="5"/>
      <c r="AC704" s="1"/>
      <c r="AD704" s="1"/>
      <c r="AE704" s="5"/>
      <c r="AF704" s="1"/>
      <c r="AG704" s="1"/>
      <c r="AH704" s="5"/>
      <c r="AI704" s="1"/>
      <c r="AJ704" s="1"/>
      <c r="AK704" s="5"/>
      <c r="AL704" s="1"/>
      <c r="AM704" s="1"/>
      <c r="AN704" s="5"/>
      <c r="AO704" s="1"/>
      <c r="AP704" s="1"/>
      <c r="AQ704" s="5"/>
      <c r="AR704" s="1"/>
      <c r="AS704" s="1"/>
      <c r="AT704" s="5"/>
      <c r="AU704" s="1"/>
      <c r="AV704" s="1"/>
      <c r="AW704" s="5"/>
      <c r="AX704" s="187">
        <f t="shared" ref="AX704:CC704" si="3027">AX692*AX662</f>
        <v>0.10424742598333513</v>
      </c>
      <c r="AY704" s="187">
        <f t="shared" si="3027"/>
        <v>0.10415360329995012</v>
      </c>
      <c r="AZ704" s="187">
        <f t="shared" si="3027"/>
        <v>0.10390018876168525</v>
      </c>
      <c r="BA704" s="8">
        <f t="shared" si="3027"/>
        <v>0.10405986505698019</v>
      </c>
      <c r="BB704" s="8">
        <f t="shared" si="3027"/>
        <v>0.1039662111784289</v>
      </c>
      <c r="BC704" s="978">
        <f t="shared" si="3027"/>
        <v>0.10371325258106712</v>
      </c>
      <c r="BD704" s="8">
        <f t="shared" si="3027"/>
        <v>0.1038726415883683</v>
      </c>
      <c r="BE704" s="8">
        <f t="shared" si="3027"/>
        <v>0.10377915621093876</v>
      </c>
      <c r="BF704" s="978">
        <f t="shared" si="3027"/>
        <v>0.10352665273415577</v>
      </c>
      <c r="BG704" s="8">
        <f t="shared" si="3027"/>
        <v>0.10368575497034893</v>
      </c>
      <c r="BH704" s="8">
        <f t="shared" si="3027"/>
        <v>0.10359243779087561</v>
      </c>
      <c r="BI704" s="978">
        <f t="shared" si="3027"/>
        <v>0.10334038861582301</v>
      </c>
      <c r="BJ704" s="115">
        <f t="shared" si="3027"/>
        <v>0.10349920459686382</v>
      </c>
      <c r="BK704" s="115">
        <f t="shared" si="3027"/>
        <v>0.10340605531272663</v>
      </c>
      <c r="BL704" s="116">
        <f t="shared" si="3027"/>
        <v>0.10315445962202929</v>
      </c>
      <c r="BM704" s="115">
        <f t="shared" si="3027"/>
        <v>0.10335952258783593</v>
      </c>
      <c r="BN704" s="115">
        <f t="shared" si="3027"/>
        <v>0.10331301080267138</v>
      </c>
      <c r="BO704" s="116">
        <f t="shared" si="3027"/>
        <v>0.10306175466426024</v>
      </c>
      <c r="BP704" s="115">
        <f t="shared" si="3027"/>
        <v>0.10326651994781019</v>
      </c>
      <c r="BQ704" s="115">
        <f t="shared" si="3027"/>
        <v>0.10322005001383366</v>
      </c>
      <c r="BR704" s="116">
        <f t="shared" si="3027"/>
        <v>0.10296901995506773</v>
      </c>
      <c r="BS704" s="8">
        <f t="shared" si="3027"/>
        <v>0.10317360099132744</v>
      </c>
      <c r="BT704" s="8">
        <f t="shared" si="3027"/>
        <v>0.10312717287088136</v>
      </c>
      <c r="BU704" s="187">
        <f t="shared" si="3027"/>
        <v>0.10287636868833472</v>
      </c>
      <c r="BV704" s="8">
        <f t="shared" si="3027"/>
        <v>0.10308076564308948</v>
      </c>
      <c r="BW704" s="8">
        <f t="shared" si="3027"/>
        <v>0.10303437929855008</v>
      </c>
      <c r="BX704" s="187">
        <f t="shared" si="3027"/>
        <v>0.10278380078897988</v>
      </c>
      <c r="BY704" s="8">
        <f t="shared" si="3027"/>
        <v>0.10298801382786575</v>
      </c>
      <c r="BZ704" s="8">
        <f t="shared" si="3027"/>
        <v>0.10294166922164319</v>
      </c>
      <c r="CA704" s="187">
        <f t="shared" si="3027"/>
        <v>0.10269131618198947</v>
      </c>
      <c r="CB704" s="8">
        <f t="shared" si="3027"/>
        <v>0.10289534547049346</v>
      </c>
      <c r="CC704" s="8">
        <f t="shared" si="3027"/>
        <v>0.10284904256503175</v>
      </c>
      <c r="CD704" s="187">
        <f t="shared" ref="CD704:DI704" si="3028">CD692*CD662</f>
        <v>0.10259891479241723</v>
      </c>
      <c r="CE704" s="8">
        <f t="shared" si="3028"/>
        <v>0.1028027604958775</v>
      </c>
      <c r="CF704" s="8">
        <f t="shared" si="3028"/>
        <v>0.10275649925365436</v>
      </c>
      <c r="CG704" s="187">
        <f t="shared" si="3028"/>
        <v>0.1025065965453843</v>
      </c>
      <c r="CH704" s="8">
        <f t="shared" si="3028"/>
        <v>0.10271025882899022</v>
      </c>
      <c r="CI704" s="8">
        <f t="shared" si="3028"/>
        <v>0.10266403921251716</v>
      </c>
      <c r="CJ704" s="187">
        <f t="shared" si="3028"/>
        <v>0.10241436136607926</v>
      </c>
      <c r="CK704" s="8">
        <f t="shared" si="3028"/>
        <v>0.10261784039487155</v>
      </c>
      <c r="CL704" s="8">
        <f t="shared" si="3028"/>
        <v>0.10257166236669386</v>
      </c>
      <c r="CM704" s="187">
        <f t="shared" si="3028"/>
        <v>0.10232220917975797</v>
      </c>
      <c r="CN704" s="8">
        <f t="shared" si="3028"/>
        <v>0.10252550511862883</v>
      </c>
      <c r="CO704" s="8">
        <f t="shared" si="3028"/>
        <v>0.10247936864132548</v>
      </c>
      <c r="CP704" s="187">
        <f t="shared" si="3028"/>
        <v>0.10223013991174355</v>
      </c>
      <c r="CQ704" s="8">
        <f t="shared" si="3028"/>
        <v>0.10243325292543688</v>
      </c>
      <c r="CR704" s="8">
        <f t="shared" si="3028"/>
        <v>0.10238715796162044</v>
      </c>
      <c r="CS704" s="187">
        <f t="shared" si="3028"/>
        <v>0.10213815348742636</v>
      </c>
      <c r="CT704" s="8">
        <f t="shared" si="3028"/>
        <v>0.10234108374053771</v>
      </c>
      <c r="CU704" s="8">
        <f t="shared" si="3028"/>
        <v>0.10229503025285447</v>
      </c>
      <c r="CV704" s="187">
        <f t="shared" si="3028"/>
        <v>0.10204624983226374</v>
      </c>
      <c r="CW704" s="8">
        <f t="shared" si="3028"/>
        <v>0.1022489974892407</v>
      </c>
      <c r="CX704" s="8">
        <f t="shared" si="3028"/>
        <v>0.10220298544037054</v>
      </c>
      <c r="CY704" s="187">
        <f t="shared" si="3028"/>
        <v>0.1019544288717803</v>
      </c>
      <c r="CZ704" s="8">
        <f t="shared" si="3028"/>
        <v>0.10215699409692237</v>
      </c>
      <c r="DA704" s="8">
        <f t="shared" si="3028"/>
        <v>0.10211102344957877</v>
      </c>
      <c r="DB704" s="187">
        <f t="shared" si="3028"/>
        <v>0.10186269053156755</v>
      </c>
      <c r="DC704" s="8">
        <f t="shared" si="3028"/>
        <v>0.10206507348902645</v>
      </c>
      <c r="DD704" s="8">
        <f t="shared" si="3028"/>
        <v>0.10201914420595638</v>
      </c>
      <c r="DE704" s="187">
        <f t="shared" si="3028"/>
        <v>0.10177103473728397</v>
      </c>
      <c r="DF704" s="8">
        <f t="shared" si="3028"/>
        <v>0.10197323559106372</v>
      </c>
      <c r="DG704" s="8">
        <f t="shared" si="3028"/>
        <v>0.10192734763504775</v>
      </c>
      <c r="DH704" s="187">
        <f t="shared" si="3028"/>
        <v>0.10167946141465496</v>
      </c>
      <c r="DI704" s="8">
        <f t="shared" si="3028"/>
        <v>0.101881480328612</v>
      </c>
      <c r="DJ704" s="8">
        <f t="shared" ref="DJ704:EF704" si="3029">DJ692*DJ662</f>
        <v>0.10183563366246412</v>
      </c>
      <c r="DK704" s="187">
        <f t="shared" si="3029"/>
        <v>0.10158797048947274</v>
      </c>
      <c r="DL704" s="8">
        <f t="shared" si="3029"/>
        <v>0.10178980762731601</v>
      </c>
      <c r="DM704" s="8">
        <f t="shared" si="3029"/>
        <v>0.1017440022138837</v>
      </c>
      <c r="DN704" s="187">
        <f t="shared" si="3029"/>
        <v>0.10149656188759623</v>
      </c>
      <c r="DO704" s="8">
        <f t="shared" si="3029"/>
        <v>0.10169821741288748</v>
      </c>
      <c r="DP704" s="8">
        <f t="shared" si="3029"/>
        <v>0.10165245321505169</v>
      </c>
      <c r="DQ704" s="187">
        <f t="shared" si="3029"/>
        <v>0.1014052355349512</v>
      </c>
      <c r="DR704" s="8">
        <f t="shared" si="3029"/>
        <v>0.10160670961110493</v>
      </c>
      <c r="DS704" s="8">
        <f t="shared" si="3029"/>
        <v>0.10156098659177995</v>
      </c>
      <c r="DT704" s="187">
        <f t="shared" si="3029"/>
        <v>0.10131399135752996</v>
      </c>
      <c r="DU704" s="8">
        <f t="shared" si="3029"/>
        <v>0.10151528414781365</v>
      </c>
      <c r="DV704" s="8">
        <f t="shared" si="3029"/>
        <v>0.10146960226994713</v>
      </c>
      <c r="DW704" s="187">
        <f t="shared" si="3029"/>
        <v>0.10122282928139142</v>
      </c>
      <c r="DX704" s="8">
        <f t="shared" si="3029"/>
        <v>0.10142394094892565</v>
      </c>
      <c r="DY704" s="8">
        <f t="shared" si="3029"/>
        <v>0.10137830017549863</v>
      </c>
      <c r="DZ704" s="187">
        <f t="shared" si="3029"/>
        <v>0.10113174923266112</v>
      </c>
      <c r="EA704" s="8">
        <f t="shared" si="3029"/>
        <v>0.10133267994041965</v>
      </c>
      <c r="EB704" s="8">
        <f t="shared" si="3029"/>
        <v>0.10128708023444648</v>
      </c>
      <c r="EC704" s="187">
        <f t="shared" si="3029"/>
        <v>0.10104075113753094</v>
      </c>
      <c r="ED704" s="8">
        <f t="shared" si="3029"/>
        <v>0.10124150104834098</v>
      </c>
      <c r="EE704" s="8">
        <f t="shared" si="3029"/>
        <v>0.10119594237286922</v>
      </c>
      <c r="EF704" s="187">
        <f t="shared" si="3029"/>
        <v>0.10094983492225926</v>
      </c>
      <c r="EG704" s="8">
        <f t="shared" ref="EG704:EL704" si="3030">EG692*EG662</f>
        <v>0.10115040419880145</v>
      </c>
      <c r="EH704" s="8">
        <f t="shared" si="3030"/>
        <v>0.10110488651691198</v>
      </c>
      <c r="EI704" s="187">
        <f t="shared" si="3030"/>
        <v>0.10085900051317082</v>
      </c>
      <c r="EJ704" s="8">
        <f t="shared" si="3030"/>
        <v>0.10105938931797936</v>
      </c>
      <c r="EK704" s="8">
        <f t="shared" si="3030"/>
        <v>0.10101391259278629</v>
      </c>
      <c r="EL704" s="187">
        <f t="shared" si="3030"/>
        <v>0.10076824783665657</v>
      </c>
      <c r="EM704" s="8">
        <f t="shared" ref="EM704:ER704" si="3031">EM692*EM662</f>
        <v>0.10096845633211955</v>
      </c>
      <c r="EN704" s="8">
        <f t="shared" si="3031"/>
        <v>0.10092302052677009</v>
      </c>
      <c r="EO704" s="187">
        <f t="shared" si="3031"/>
        <v>0.1006775768191738</v>
      </c>
      <c r="EP704" s="8">
        <f t="shared" si="3031"/>
        <v>0.10087760516753307</v>
      </c>
      <c r="EQ704" s="8">
        <f t="shared" si="3031"/>
        <v>0.10083221024520769</v>
      </c>
      <c r="ER704" s="187">
        <f t="shared" si="3031"/>
        <v>0.10058698738724585</v>
      </c>
      <c r="ES704" s="8">
        <f t="shared" ref="ES704:EX704" si="3032">ES692*ES662</f>
        <v>0.10078683575059735</v>
      </c>
      <c r="ET704" s="8">
        <f t="shared" si="3032"/>
        <v>0.10074148167450958</v>
      </c>
      <c r="EU704" s="187">
        <f t="shared" si="3032"/>
        <v>0.10049647946746232</v>
      </c>
      <c r="EV704" s="8">
        <f t="shared" si="3032"/>
        <v>0.10069614800775607</v>
      </c>
      <c r="EW704" s="8">
        <f t="shared" si="3032"/>
        <v>0.10065083474115256</v>
      </c>
      <c r="EX704" s="187">
        <f t="shared" si="3032"/>
        <v>0.10040605298647866</v>
      </c>
      <c r="EY704" s="8">
        <f t="shared" ref="EY704:FA704" si="3033">EY692*EY662</f>
        <v>0.10060554186551907</v>
      </c>
      <c r="EZ704" s="8">
        <f t="shared" si="3033"/>
        <v>0.10056026937167958</v>
      </c>
      <c r="FA704" s="187">
        <f t="shared" si="3033"/>
        <v>0.1003157078710166</v>
      </c>
      <c r="FH704" s="35"/>
      <c r="FI704" s="35"/>
      <c r="FJ704" s="35"/>
      <c r="FK704" s="35"/>
      <c r="FL704" s="35"/>
      <c r="FM704" s="35"/>
      <c r="FN704" s="35"/>
      <c r="FO704" s="35"/>
      <c r="FP704" s="35"/>
      <c r="FQ704" s="35"/>
    </row>
    <row r="705" spans="1:173" s="321" customFormat="1" hidden="1" outlineLevel="1">
      <c r="A705" s="1168"/>
      <c r="B705" s="186"/>
      <c r="C705" s="186" t="s">
        <v>431</v>
      </c>
      <c r="D705" s="910"/>
      <c r="E705" s="1"/>
      <c r="F705" s="1"/>
      <c r="G705" s="5"/>
      <c r="H705" s="1"/>
      <c r="I705" s="1"/>
      <c r="J705" s="5"/>
      <c r="K705" s="1"/>
      <c r="L705" s="1"/>
      <c r="M705" s="5"/>
      <c r="N705" s="1"/>
      <c r="O705" s="1"/>
      <c r="P705" s="5"/>
      <c r="Q705" s="1"/>
      <c r="R705" s="1"/>
      <c r="S705" s="5"/>
      <c r="T705" s="1"/>
      <c r="U705" s="1"/>
      <c r="V705" s="5"/>
      <c r="W705" s="1"/>
      <c r="X705" s="1"/>
      <c r="Y705" s="5"/>
      <c r="Z705" s="1"/>
      <c r="AA705" s="1"/>
      <c r="AB705" s="5"/>
      <c r="AC705" s="1"/>
      <c r="AD705" s="1"/>
      <c r="AE705" s="5"/>
      <c r="AF705" s="1"/>
      <c r="AG705" s="1"/>
      <c r="AH705" s="5"/>
      <c r="AI705" s="1"/>
      <c r="AJ705" s="1"/>
      <c r="AK705" s="5"/>
      <c r="AL705" s="1"/>
      <c r="AM705" s="1"/>
      <c r="AN705" s="5"/>
      <c r="AO705" s="1"/>
      <c r="AP705" s="1"/>
      <c r="AQ705" s="5"/>
      <c r="AR705" s="1"/>
      <c r="AS705" s="1"/>
      <c r="AT705" s="5"/>
      <c r="AU705" s="1"/>
      <c r="AV705" s="1"/>
      <c r="AW705" s="5"/>
      <c r="AX705" s="187">
        <f t="shared" ref="AX705:CC705" si="3034">AX693*AX663</f>
        <v>6.0709207415673594E-2</v>
      </c>
      <c r="AY705" s="187">
        <f t="shared" si="3034"/>
        <v>6.1097746343133912E-2</v>
      </c>
      <c r="AZ705" s="187">
        <f t="shared" si="3034"/>
        <v>6.0785008875607519E-2</v>
      </c>
      <c r="BA705" s="8">
        <f t="shared" si="3034"/>
        <v>6.148877191972997E-2</v>
      </c>
      <c r="BB705" s="8">
        <f t="shared" si="3034"/>
        <v>6.1882300060016229E-2</v>
      </c>
      <c r="BC705" s="978">
        <f t="shared" si="3034"/>
        <v>6.1565546743178823E-2</v>
      </c>
      <c r="BD705" s="8">
        <f t="shared" si="3034"/>
        <v>6.227834678040034E-2</v>
      </c>
      <c r="BE705" s="8">
        <f t="shared" si="3034"/>
        <v>6.2676928199794896E-2</v>
      </c>
      <c r="BF705" s="978">
        <f t="shared" si="3034"/>
        <v>6.2356107466286108E-2</v>
      </c>
      <c r="BG705" s="8">
        <f t="shared" si="3034"/>
        <v>6.3078060540273581E-2</v>
      </c>
      <c r="BH705" s="8">
        <f t="shared" si="3034"/>
        <v>6.3481760127731338E-2</v>
      </c>
      <c r="BI705" s="978">
        <f t="shared" si="3034"/>
        <v>6.3156819748016388E-2</v>
      </c>
      <c r="BJ705" s="115">
        <f t="shared" si="3034"/>
        <v>6.3888043392548804E-2</v>
      </c>
      <c r="BK705" s="115">
        <f t="shared" si="3034"/>
        <v>6.4296926870261117E-2</v>
      </c>
      <c r="BL705" s="116">
        <f t="shared" si="3034"/>
        <v>6.3967813944127871E-2</v>
      </c>
      <c r="BM705" s="115">
        <f t="shared" si="3034"/>
        <v>6.4502677036245959E-2</v>
      </c>
      <c r="BN705" s="115">
        <f t="shared" si="3034"/>
        <v>6.4709085602761965E-2</v>
      </c>
      <c r="BO705" s="116">
        <f t="shared" si="3034"/>
        <v>6.4376806452305105E-2</v>
      </c>
      <c r="BP705" s="115">
        <f t="shared" si="3034"/>
        <v>6.4916154676690804E-2</v>
      </c>
      <c r="BQ705" s="115">
        <f t="shared" si="3034"/>
        <v>6.5123886371656212E-2</v>
      </c>
      <c r="BR705" s="116">
        <f t="shared" si="3034"/>
        <v>6.4789477232097936E-2</v>
      </c>
      <c r="BS705" s="8">
        <f t="shared" si="3034"/>
        <v>6.5332282808045525E-2</v>
      </c>
      <c r="BT705" s="8">
        <f t="shared" si="3034"/>
        <v>6.5541346113031293E-2</v>
      </c>
      <c r="BU705" s="187">
        <f t="shared" si="3034"/>
        <v>6.5204793330630242E-2</v>
      </c>
      <c r="BV705" s="8">
        <f t="shared" si="3034"/>
        <v>6.5751078420592995E-2</v>
      </c>
      <c r="BW705" s="8">
        <f t="shared" si="3034"/>
        <v>6.5961481871538899E-2</v>
      </c>
      <c r="BX705" s="187">
        <f t="shared" si="3034"/>
        <v>6.5622771705030003E-2</v>
      </c>
      <c r="BY705" s="8">
        <f t="shared" si="3034"/>
        <v>6.6172558613527832E-2</v>
      </c>
      <c r="BZ705" s="8">
        <f t="shared" si="3034"/>
        <v>6.6384310801091112E-2</v>
      </c>
      <c r="CA705" s="187">
        <f t="shared" si="3034"/>
        <v>6.6043429421124455E-2</v>
      </c>
      <c r="CB705" s="8">
        <f t="shared" si="3034"/>
        <v>6.659674059565461E-2</v>
      </c>
      <c r="CC705" s="8">
        <f t="shared" si="3034"/>
        <v>6.6809850165560722E-2</v>
      </c>
      <c r="CD705" s="187">
        <f t="shared" ref="CD705:DI705" si="3035">CD693*CD663</f>
        <v>6.6466783654136927E-2</v>
      </c>
      <c r="CE705" s="8">
        <f t="shared" si="3035"/>
        <v>6.7023641686090527E-2</v>
      </c>
      <c r="CF705" s="8">
        <f t="shared" si="3035"/>
        <v>6.7238117339486023E-2</v>
      </c>
      <c r="CG705" s="187">
        <f t="shared" si="3035"/>
        <v>6.689285168938805E-2</v>
      </c>
      <c r="CH705" s="8">
        <f t="shared" si="3035"/>
        <v>6.7453279314972386E-2</v>
      </c>
      <c r="CI705" s="8">
        <f t="shared" si="3035"/>
        <v>6.7669129808780287E-2</v>
      </c>
      <c r="CJ705" s="187">
        <f t="shared" si="3035"/>
        <v>6.732165092300145E-2</v>
      </c>
      <c r="CK705" s="8">
        <f t="shared" si="3035"/>
        <v>6.7885671024168398E-2</v>
      </c>
      <c r="CL705" s="8">
        <f t="shared" si="3035"/>
        <v>6.8102905171445724E-2</v>
      </c>
      <c r="CM705" s="187">
        <f t="shared" si="3035"/>
        <v>6.775319886261412E-2</v>
      </c>
      <c r="CN705" s="8">
        <f t="shared" si="3035"/>
        <v>6.8320834467994376E-2</v>
      </c>
      <c r="CO705" s="8">
        <f t="shared" si="3035"/>
        <v>6.8539461138291957E-2</v>
      </c>
      <c r="CP705" s="187">
        <f t="shared" si="3035"/>
        <v>6.8187513128091209E-2</v>
      </c>
      <c r="CQ705" s="8">
        <f t="shared" si="3035"/>
        <v>6.8758787413934527E-2</v>
      </c>
      <c r="CR705" s="8">
        <f t="shared" si="3035"/>
        <v>6.8978815533659102E-2</v>
      </c>
      <c r="CS705" s="187">
        <f t="shared" si="3035"/>
        <v>6.8624611452245451E-2</v>
      </c>
      <c r="CT705" s="8">
        <f t="shared" si="3035"/>
        <v>6.9199547743366827E-2</v>
      </c>
      <c r="CU705" s="8">
        <f t="shared" si="3035"/>
        <v>6.9420986296145584E-2</v>
      </c>
      <c r="CV705" s="187">
        <f t="shared" si="3035"/>
        <v>6.9064511681561094E-2</v>
      </c>
      <c r="CW705" s="8">
        <f t="shared" si="3035"/>
        <v>6.9643133452293268E-2</v>
      </c>
      <c r="CX705" s="8">
        <f t="shared" si="3035"/>
        <v>6.9865991479340611E-2</v>
      </c>
      <c r="CY705" s="187">
        <f t="shared" si="3035"/>
        <v>6.9507231776922709E-2</v>
      </c>
      <c r="CZ705" s="8">
        <f t="shared" si="3035"/>
        <v>7.0089562652074527E-2</v>
      </c>
      <c r="DA705" s="8">
        <f t="shared" si="3035"/>
        <v>7.0313849252561164E-2</v>
      </c>
      <c r="DB705" s="187">
        <f t="shared" si="3035"/>
        <v>6.9952789814348437E-2</v>
      </c>
      <c r="DC705" s="8">
        <f t="shared" si="3035"/>
        <v>7.0538853570169355E-2</v>
      </c>
      <c r="DD705" s="8">
        <f t="shared" si="3035"/>
        <v>7.0764577901593892E-2</v>
      </c>
      <c r="DE705" s="187">
        <f t="shared" si="3035"/>
        <v>7.0401203985727967E-2</v>
      </c>
      <c r="DF705" s="8">
        <f t="shared" si="3035"/>
        <v>7.0991024550879009E-2</v>
      </c>
      <c r="DG705" s="8">
        <f t="shared" si="3035"/>
        <v>7.1218195829441819E-2</v>
      </c>
      <c r="DH705" s="187">
        <f t="shared" si="3035"/>
        <v>7.0852492599565442E-2</v>
      </c>
      <c r="DI705" s="8">
        <f t="shared" si="3035"/>
        <v>7.1446094056096032E-2</v>
      </c>
      <c r="DJ705" s="8">
        <f t="shared" ref="DJ705:EF705" si="3036">DJ693*DJ663</f>
        <v>7.1674721557075549E-2</v>
      </c>
      <c r="DK705" s="187">
        <f t="shared" si="3036"/>
        <v>7.1306674081726876E-2</v>
      </c>
      <c r="DL705" s="8">
        <f t="shared" si="3036"/>
        <v>7.1904080666058176E-2</v>
      </c>
      <c r="DM705" s="8">
        <f t="shared" si="3036"/>
        <v>7.2134173724189579E-2</v>
      </c>
      <c r="DN705" s="187">
        <f t="shared" si="3036"/>
        <v>7.176376697619255E-2</v>
      </c>
      <c r="DO705" s="8">
        <f t="shared" si="3036"/>
        <v>7.2365003080107002E-2</v>
      </c>
      <c r="DP705" s="8">
        <f t="shared" si="3036"/>
        <v>7.2596571089963341E-2</v>
      </c>
      <c r="DQ705" s="187">
        <f t="shared" si="3036"/>
        <v>7.2223789945814021E-2</v>
      </c>
      <c r="DR705" s="8">
        <f t="shared" si="3036"/>
        <v>7.2828880117451228E-2</v>
      </c>
      <c r="DS705" s="8">
        <f t="shared" si="3036"/>
        <v>7.3061932533827076E-2</v>
      </c>
      <c r="DT705" s="187">
        <f t="shared" si="3036"/>
        <v>7.2686761773076286E-2</v>
      </c>
      <c r="DU705" s="8">
        <f t="shared" si="3036"/>
        <v>7.3295730717935312E-2</v>
      </c>
      <c r="DV705" s="8">
        <f t="shared" si="3036"/>
        <v>7.3530277056232718E-2</v>
      </c>
      <c r="DW705" s="187">
        <f t="shared" si="3036"/>
        <v>7.3152701360864547E-2</v>
      </c>
      <c r="DX705" s="8">
        <f t="shared" si="3036"/>
        <v>7.3765573942812676E-2</v>
      </c>
      <c r="DY705" s="8">
        <f t="shared" si="3036"/>
        <v>7.400162377942969E-2</v>
      </c>
      <c r="DZ705" s="187">
        <f t="shared" si="3036"/>
        <v>7.3621627733236036E-2</v>
      </c>
      <c r="EA705" s="8">
        <f t="shared" si="3036"/>
        <v>7.4238428975523865E-2</v>
      </c>
      <c r="EB705" s="8">
        <f t="shared" si="3036"/>
        <v>7.4475991948245557E-2</v>
      </c>
      <c r="EC705" s="187">
        <f t="shared" si="3036"/>
        <v>7.4093560036196743E-2</v>
      </c>
      <c r="ED705" s="8">
        <f t="shared" si="3036"/>
        <v>7.4714315122479946E-2</v>
      </c>
      <c r="EE705" s="8">
        <f t="shared" si="3036"/>
        <v>7.4953400930871883E-2</v>
      </c>
      <c r="EF705" s="187">
        <f t="shared" si="3036"/>
        <v>7.4568517538483189E-2</v>
      </c>
      <c r="EG705" s="8">
        <f t="shared" ref="EG705:EL705" si="3037">EG693*EG663</f>
        <v>7.5193251813850684E-2</v>
      </c>
      <c r="EH705" s="8">
        <f t="shared" si="3037"/>
        <v>7.543387021965503E-2</v>
      </c>
      <c r="EI705" s="187">
        <f t="shared" si="3037"/>
        <v>7.5046519632349096E-2</v>
      </c>
      <c r="EJ705" s="8">
        <f t="shared" si="3037"/>
        <v>7.567525860435792E-2</v>
      </c>
      <c r="EK705" s="8">
        <f t="shared" si="3037"/>
        <v>7.5917419431891869E-2</v>
      </c>
      <c r="EL705" s="187">
        <f t="shared" si="3037"/>
        <v>7.5527585834357175E-2</v>
      </c>
      <c r="EM705" s="8">
        <f t="shared" ref="EM705:ER705" si="3038">EM693*EM663</f>
        <v>7.6160355174073921E-2</v>
      </c>
      <c r="EN705" s="8">
        <f t="shared" si="3038"/>
        <v>7.6404068310630971E-2</v>
      </c>
      <c r="EO705" s="187">
        <f t="shared" si="3038"/>
        <v>7.601173578617601E-2</v>
      </c>
      <c r="EP705" s="8">
        <f t="shared" si="3038"/>
        <v>7.6648561329224998E-2</v>
      </c>
      <c r="EQ705" s="8">
        <f t="shared" si="3038"/>
        <v>7.6893836725478518E-2</v>
      </c>
      <c r="ER705" s="187">
        <f t="shared" si="3038"/>
        <v>7.6498989255381997E-2</v>
      </c>
      <c r="ES705" s="8">
        <f t="shared" ref="ES705:EX705" si="3039">ES693*ES663</f>
        <v>7.7139897003000057E-2</v>
      </c>
      <c r="ET705" s="8">
        <f t="shared" si="3039"/>
        <v>7.7386744673409669E-2</v>
      </c>
      <c r="EU705" s="187">
        <f t="shared" si="3039"/>
        <v>7.6989366136266418E-2</v>
      </c>
      <c r="EV705" s="8">
        <f t="shared" si="3039"/>
        <v>7.7634382256364584E-2</v>
      </c>
      <c r="EW705" s="8">
        <f t="shared" si="3039"/>
        <v>7.7882812279584948E-2</v>
      </c>
      <c r="EX705" s="187">
        <f t="shared" si="3039"/>
        <v>7.748288645064777E-2</v>
      </c>
      <c r="EY705" s="8">
        <f t="shared" ref="EY705:FA705" si="3040">EY693*EY663</f>
        <v>7.8132037278879615E-2</v>
      </c>
      <c r="EZ705" s="8">
        <f t="shared" si="3040"/>
        <v>7.8382059798172046E-2</v>
      </c>
      <c r="FA705" s="187">
        <f t="shared" si="3040"/>
        <v>7.7979570348689187E-2</v>
      </c>
      <c r="FH705" s="35"/>
      <c r="FI705" s="35"/>
      <c r="FJ705" s="35"/>
      <c r="FK705" s="35"/>
      <c r="FL705" s="35"/>
      <c r="FM705" s="35"/>
      <c r="FN705" s="35"/>
      <c r="FO705" s="35"/>
      <c r="FP705" s="35"/>
      <c r="FQ705" s="35"/>
    </row>
    <row r="706" spans="1:173" s="321" customFormat="1" hidden="1" outlineLevel="1">
      <c r="A706" s="1168"/>
      <c r="B706" s="186"/>
      <c r="C706" s="186" t="s">
        <v>327</v>
      </c>
      <c r="D706" s="910"/>
      <c r="E706" s="1"/>
      <c r="F706" s="1"/>
      <c r="G706" s="5"/>
      <c r="H706" s="1"/>
      <c r="I706" s="1"/>
      <c r="J706" s="5"/>
      <c r="K706" s="1"/>
      <c r="L706" s="1"/>
      <c r="M706" s="5"/>
      <c r="N706" s="1"/>
      <c r="O706" s="1"/>
      <c r="P706" s="5"/>
      <c r="Q706" s="1"/>
      <c r="R706" s="1"/>
      <c r="S706" s="5"/>
      <c r="T706" s="1"/>
      <c r="U706" s="1"/>
      <c r="V706" s="5"/>
      <c r="W706" s="1"/>
      <c r="X706" s="1"/>
      <c r="Y706" s="5"/>
      <c r="Z706" s="1"/>
      <c r="AA706" s="1"/>
      <c r="AB706" s="5"/>
      <c r="AC706" s="1"/>
      <c r="AD706" s="1"/>
      <c r="AE706" s="5"/>
      <c r="AF706" s="1"/>
      <c r="AG706" s="1"/>
      <c r="AH706" s="5"/>
      <c r="AI706" s="1"/>
      <c r="AJ706" s="1"/>
      <c r="AK706" s="5"/>
      <c r="AL706" s="1"/>
      <c r="AM706" s="1"/>
      <c r="AN706" s="5"/>
      <c r="AO706" s="1"/>
      <c r="AP706" s="1"/>
      <c r="AQ706" s="5"/>
      <c r="AR706" s="1"/>
      <c r="AS706" s="1"/>
      <c r="AT706" s="5"/>
      <c r="AU706" s="1"/>
      <c r="AV706" s="1"/>
      <c r="AW706" s="5"/>
      <c r="AX706" s="187">
        <f t="shared" ref="AX706:CC706" si="3041">SUM(AX703:AX705)</f>
        <v>0.21366296807054169</v>
      </c>
      <c r="AY706" s="187">
        <f t="shared" si="3041"/>
        <v>0.21410136800189805</v>
      </c>
      <c r="AZ706" s="187">
        <f t="shared" si="3041"/>
        <v>0.21336291881883973</v>
      </c>
      <c r="BA706" s="8">
        <f t="shared" si="3041"/>
        <v>0.21454276288968266</v>
      </c>
      <c r="BB706" s="8">
        <f t="shared" si="3041"/>
        <v>0.21498716982286092</v>
      </c>
      <c r="BC706" s="978">
        <f t="shared" si="3041"/>
        <v>0.21424414267863262</v>
      </c>
      <c r="BD706" s="8">
        <f t="shared" si="3041"/>
        <v>0.21543460599600844</v>
      </c>
      <c r="BE706" s="8">
        <f t="shared" si="3041"/>
        <v>0.21588508870997383</v>
      </c>
      <c r="BF706" s="978">
        <f t="shared" si="3041"/>
        <v>0.21513742520152002</v>
      </c>
      <c r="BG706" s="8">
        <f t="shared" si="3041"/>
        <v>0.21633863537254544</v>
      </c>
      <c r="BH706" s="8">
        <f t="shared" si="3041"/>
        <v>0.21679526349912254</v>
      </c>
      <c r="BI706" s="978">
        <f t="shared" si="3041"/>
        <v>0.21604290452714608</v>
      </c>
      <c r="BJ706" s="115">
        <f t="shared" si="3041"/>
        <v>0.21725499071339074</v>
      </c>
      <c r="BK706" s="115">
        <f t="shared" si="3041"/>
        <v>0.2177178347480016</v>
      </c>
      <c r="BL706" s="116">
        <f t="shared" si="3041"/>
        <v>0.21696072050824822</v>
      </c>
      <c r="BM706" s="115">
        <f t="shared" si="3041"/>
        <v>0.21795082409662914</v>
      </c>
      <c r="BN706" s="115">
        <f t="shared" si="3041"/>
        <v>0.2181846015990776</v>
      </c>
      <c r="BO706" s="116">
        <f t="shared" si="3041"/>
        <v>0.21742387932482038</v>
      </c>
      <c r="BP706" s="115">
        <f t="shared" si="3041"/>
        <v>0.21841916951330587</v>
      </c>
      <c r="BQ706" s="115">
        <f t="shared" si="3041"/>
        <v>0.21865453010425573</v>
      </c>
      <c r="BR706" s="116">
        <f t="shared" si="3041"/>
        <v>0.21789138083344295</v>
      </c>
      <c r="BS706" s="8">
        <f t="shared" si="3041"/>
        <v>0.21889068564387398</v>
      </c>
      <c r="BT706" s="8">
        <f t="shared" si="3041"/>
        <v>0.21912763841113431</v>
      </c>
      <c r="BU706" s="187">
        <f t="shared" si="3041"/>
        <v>0.21836204674235371</v>
      </c>
      <c r="BV706" s="8">
        <f t="shared" si="3041"/>
        <v>0.21936539069205926</v>
      </c>
      <c r="BW706" s="8">
        <f t="shared" si="3041"/>
        <v>0.21960394477974265</v>
      </c>
      <c r="BX706" s="187">
        <f t="shared" si="3041"/>
        <v>0.21883589521968247</v>
      </c>
      <c r="BY706" s="8">
        <f t="shared" si="3041"/>
        <v>0.21984330297437149</v>
      </c>
      <c r="BZ706" s="8">
        <f t="shared" si="3041"/>
        <v>0.22008346758324834</v>
      </c>
      <c r="CA706" s="187">
        <f t="shared" si="3041"/>
        <v>0.21931294454612252</v>
      </c>
      <c r="CB706" s="8">
        <f t="shared" si="3041"/>
        <v>0.22032444092081388</v>
      </c>
      <c r="CC706" s="8">
        <f t="shared" si="3041"/>
        <v>0.22056622530866887</v>
      </c>
      <c r="CD706" s="187">
        <f t="shared" ref="CD706:DI706" si="3042">SUM(CD703:CD705)</f>
        <v>0.21979321311563871</v>
      </c>
      <c r="CE706" s="8">
        <f t="shared" si="3042"/>
        <v>0.22080882307559707</v>
      </c>
      <c r="CF706" s="8">
        <f t="shared" si="3042"/>
        <v>0.22105223655758754</v>
      </c>
      <c r="CG706" s="187">
        <f t="shared" si="3042"/>
        <v>0.22027671943617974</v>
      </c>
      <c r="CH706" s="8">
        <f t="shared" si="3042"/>
        <v>0.22129646809785733</v>
      </c>
      <c r="CI706" s="8">
        <f t="shared" si="3042"/>
        <v>0.22154152004687414</v>
      </c>
      <c r="CJ706" s="187">
        <f t="shared" si="3042"/>
        <v>0.22076348213039543</v>
      </c>
      <c r="CK706" s="8">
        <f t="shared" si="3042"/>
        <v>0.22178739476237938</v>
      </c>
      <c r="CL706" s="8">
        <f t="shared" si="3042"/>
        <v>0.22203409460941043</v>
      </c>
      <c r="CM706" s="187">
        <f t="shared" si="3042"/>
        <v>0.22125351993635772</v>
      </c>
      <c r="CN706" s="8">
        <f t="shared" si="3042"/>
        <v>0.22228162196032419</v>
      </c>
      <c r="CO706" s="8">
        <f t="shared" si="3042"/>
        <v>0.22252997919481959</v>
      </c>
      <c r="CP706" s="187">
        <f t="shared" si="3042"/>
        <v>0.22174685170828734</v>
      </c>
      <c r="CQ706" s="8">
        <f t="shared" si="3042"/>
        <v>0.22277916869996101</v>
      </c>
      <c r="CR706" s="8">
        <f t="shared" si="3042"/>
        <v>0.22302919287020101</v>
      </c>
      <c r="CS706" s="187">
        <f t="shared" si="3042"/>
        <v>0.22224349641728419</v>
      </c>
      <c r="CT706" s="8">
        <f t="shared" si="3042"/>
        <v>0.22328005410740398</v>
      </c>
      <c r="CU706" s="8">
        <f t="shared" si="3042"/>
        <v>0.22353175482086918</v>
      </c>
      <c r="CV706" s="187">
        <f t="shared" si="3042"/>
        <v>0.22274347315206255</v>
      </c>
      <c r="CW706" s="8">
        <f t="shared" si="3042"/>
        <v>0.22378429742735406</v>
      </c>
      <c r="CX706" s="8">
        <f t="shared" si="3042"/>
        <v>0.22403768435109786</v>
      </c>
      <c r="CY706" s="187">
        <f t="shared" si="3042"/>
        <v>0.22324680111969181</v>
      </c>
      <c r="CZ706" s="8">
        <f t="shared" si="3042"/>
        <v>0.22429191802384488</v>
      </c>
      <c r="DA706" s="8">
        <f t="shared" si="3042"/>
        <v>0.22454700088486834</v>
      </c>
      <c r="DB706" s="187">
        <f t="shared" si="3042"/>
        <v>0.22375349964634039</v>
      </c>
      <c r="DC706" s="8">
        <f t="shared" si="3042"/>
        <v>0.22480293538099372</v>
      </c>
      <c r="DD706" s="8">
        <f t="shared" si="3042"/>
        <v>0.22505972396662283</v>
      </c>
      <c r="DE706" s="187">
        <f t="shared" si="3042"/>
        <v>0.22426358817802583</v>
      </c>
      <c r="DF706" s="8">
        <f t="shared" si="3042"/>
        <v>0.22531736910375744</v>
      </c>
      <c r="DG706" s="8">
        <f t="shared" si="3042"/>
        <v>0.22557587326202294</v>
      </c>
      <c r="DH706" s="187">
        <f t="shared" si="3042"/>
        <v>0.22477708628136872</v>
      </c>
      <c r="DI706" s="8">
        <f t="shared" si="3042"/>
        <v>0.22583523891869273</v>
      </c>
      <c r="DJ706" s="8">
        <f t="shared" ref="DJ706:EF706" si="3043">SUM(DJ703:DJ705)</f>
        <v>0.22609546855871199</v>
      </c>
      <c r="DK706" s="187">
        <f t="shared" si="3043"/>
        <v>0.22529401364435192</v>
      </c>
      <c r="DL706" s="8">
        <f t="shared" si="3043"/>
        <v>0.22635656467472176</v>
      </c>
      <c r="DM706" s="8">
        <f t="shared" si="3043"/>
        <v>0.22661852976708335</v>
      </c>
      <c r="DN706" s="187">
        <f t="shared" si="3043"/>
        <v>0.2258143900770842</v>
      </c>
      <c r="DO706" s="8">
        <f t="shared" si="3043"/>
        <v>0.22688136634390238</v>
      </c>
      <c r="DP706" s="8">
        <f t="shared" si="3043"/>
        <v>0.22714507692105299</v>
      </c>
      <c r="DQ706" s="187">
        <f t="shared" si="3043"/>
        <v>0.22633823551256929</v>
      </c>
      <c r="DR706" s="8">
        <f t="shared" si="3043"/>
        <v>0.22740966402220275</v>
      </c>
      <c r="DS706" s="8">
        <f t="shared" si="3043"/>
        <v>0.22767513017883673</v>
      </c>
      <c r="DT706" s="187">
        <f t="shared" si="3043"/>
        <v>0.2268655700074792</v>
      </c>
      <c r="DU706" s="8">
        <f t="shared" si="3043"/>
        <v>0.22794147793028219</v>
      </c>
      <c r="DV706" s="8">
        <f t="shared" si="3043"/>
        <v>0.22820870982373326</v>
      </c>
      <c r="DW706" s="187">
        <f t="shared" si="3043"/>
        <v>0.2273964137429329</v>
      </c>
      <c r="DX706" s="8">
        <f t="shared" si="3043"/>
        <v>0.22847682841427563</v>
      </c>
      <c r="DY706" s="8">
        <f t="shared" si="3043"/>
        <v>0.22874583626491135</v>
      </c>
      <c r="DZ706" s="187">
        <f t="shared" si="3043"/>
        <v>0.22793078702527986</v>
      </c>
      <c r="EA706" s="8">
        <f t="shared" si="3043"/>
        <v>0.22901573594658375</v>
      </c>
      <c r="EB706" s="8">
        <f t="shared" si="3043"/>
        <v>0.22928653003820249</v>
      </c>
      <c r="EC706" s="187">
        <f t="shared" si="3043"/>
        <v>0.22846871028688834</v>
      </c>
      <c r="ED706" s="8">
        <f t="shared" si="3043"/>
        <v>0.22955822112666824</v>
      </c>
      <c r="EE706" s="8">
        <f t="shared" si="3043"/>
        <v>0.22983081180689827</v>
      </c>
      <c r="EF706" s="187">
        <f t="shared" si="3043"/>
        <v>0.22901020408693901</v>
      </c>
      <c r="EG706" s="8">
        <f t="shared" ref="EG706:EL706" si="3044">SUM(EG703:EG705)</f>
        <v>0.23010430468185145</v>
      </c>
      <c r="EH706" s="8">
        <f t="shared" si="3044"/>
        <v>0.23037870236255339</v>
      </c>
      <c r="EI706" s="187">
        <f t="shared" si="3044"/>
        <v>0.22955528911222339</v>
      </c>
      <c r="EJ706" s="8">
        <f t="shared" si="3044"/>
        <v>0.23065400746812198</v>
      </c>
      <c r="EK706" s="8">
        <f t="shared" si="3044"/>
        <v>0.23093022262579291</v>
      </c>
      <c r="EL706" s="187">
        <f t="shared" si="3044"/>
        <v>0.23010398617794761</v>
      </c>
      <c r="EM706" s="8">
        <f t="shared" ref="EM706:ER706" si="3045">SUM(EM703:EM705)</f>
        <v>0.23120735047094487</v>
      </c>
      <c r="EN706" s="8">
        <f t="shared" si="3045"/>
        <v>0.23148539364712545</v>
      </c>
      <c r="EO706" s="187">
        <f t="shared" si="3045"/>
        <v>0.23065631622854091</v>
      </c>
      <c r="EP706" s="8">
        <f t="shared" si="3045"/>
        <v>0.23176435480607677</v>
      </c>
      <c r="EQ706" s="8">
        <f t="shared" si="3045"/>
        <v>0.23204423660776113</v>
      </c>
      <c r="ER706" s="187">
        <f t="shared" si="3045"/>
        <v>0.23121230033846962</v>
      </c>
      <c r="ES706" s="8">
        <f t="shared" ref="ES706:EX706" si="3046">SUM(ES703:ES705)</f>
        <v>0.23232504172038704</v>
      </c>
      <c r="ET706" s="8">
        <f t="shared" si="3046"/>
        <v>0.2326067728204349</v>
      </c>
      <c r="EU706" s="187">
        <f t="shared" si="3046"/>
        <v>0.23177195971305622</v>
      </c>
      <c r="EV706" s="8">
        <f t="shared" si="3046"/>
        <v>0.23288943259268324</v>
      </c>
      <c r="EW706" s="8">
        <f t="shared" si="3046"/>
        <v>0.23317302373023474</v>
      </c>
      <c r="EX706" s="187">
        <f t="shared" si="3046"/>
        <v>0.23233531568930341</v>
      </c>
      <c r="EY706" s="8">
        <f t="shared" ref="EY706:FA706" si="3047">SUM(EY703:EY705)</f>
        <v>0.2334575489345424</v>
      </c>
      <c r="EZ706" s="8">
        <f t="shared" si="3047"/>
        <v>0.23374301091543581</v>
      </c>
      <c r="FA706" s="187">
        <f t="shared" si="3047"/>
        <v>0.23290238973672403</v>
      </c>
      <c r="FH706" s="35"/>
      <c r="FI706" s="35"/>
      <c r="FJ706" s="35"/>
      <c r="FK706" s="35"/>
      <c r="FL706" s="35"/>
      <c r="FM706" s="35"/>
      <c r="FN706" s="35"/>
      <c r="FO706" s="35"/>
      <c r="FP706" s="35"/>
      <c r="FQ706" s="35"/>
    </row>
    <row r="707" spans="1:173" s="321" customFormat="1" hidden="1" outlineLevel="1">
      <c r="A707" s="1168"/>
      <c r="B707" s="186"/>
      <c r="C707" s="186"/>
      <c r="D707" s="910"/>
      <c r="E707" s="1"/>
      <c r="F707" s="1"/>
      <c r="G707" s="5"/>
      <c r="H707" s="1"/>
      <c r="I707" s="1"/>
      <c r="J707" s="5"/>
      <c r="K707" s="1"/>
      <c r="L707" s="1"/>
      <c r="M707" s="5"/>
      <c r="N707" s="1"/>
      <c r="O707" s="1"/>
      <c r="P707" s="5"/>
      <c r="Q707" s="1"/>
      <c r="R707" s="1"/>
      <c r="S707" s="5"/>
      <c r="T707" s="1"/>
      <c r="U707" s="1"/>
      <c r="V707" s="5"/>
      <c r="W707" s="1"/>
      <c r="X707" s="1"/>
      <c r="Y707" s="5"/>
      <c r="Z707" s="1"/>
      <c r="AA707" s="1"/>
      <c r="AB707" s="5"/>
      <c r="AC707" s="1"/>
      <c r="AD707" s="1"/>
      <c r="AE707" s="5"/>
      <c r="AF707" s="1"/>
      <c r="AG707" s="1"/>
      <c r="AH707" s="5"/>
      <c r="AI707" s="1"/>
      <c r="AJ707" s="1"/>
      <c r="AK707" s="5"/>
      <c r="AL707" s="1"/>
      <c r="AM707" s="1"/>
      <c r="AN707" s="5"/>
      <c r="AO707" s="1"/>
      <c r="AP707" s="1"/>
      <c r="AQ707" s="5"/>
      <c r="AR707" s="1"/>
      <c r="AS707" s="1"/>
      <c r="AT707" s="5"/>
      <c r="AU707" s="1"/>
      <c r="AV707" s="1"/>
      <c r="AW707" s="5"/>
      <c r="AX707" s="3"/>
      <c r="AY707" s="3"/>
      <c r="AZ707" s="2"/>
      <c r="BA707" s="3"/>
      <c r="BB707" s="3"/>
      <c r="BC707" s="973"/>
      <c r="BD707" s="3"/>
      <c r="BE707" s="3"/>
      <c r="BF707" s="973"/>
      <c r="BG707" s="3"/>
      <c r="BH707" s="3"/>
      <c r="BI707" s="978"/>
      <c r="BJ707" s="115"/>
      <c r="BK707" s="115"/>
      <c r="BL707" s="116"/>
      <c r="BM707" s="115"/>
      <c r="BN707" s="115"/>
      <c r="BO707" s="116"/>
      <c r="BP707" s="115"/>
      <c r="BQ707" s="115"/>
      <c r="BR707" s="116"/>
      <c r="BS707" s="8"/>
      <c r="BT707" s="8"/>
      <c r="BU707" s="187"/>
      <c r="BV707" s="8"/>
      <c r="BW707" s="8"/>
      <c r="BX707" s="187"/>
      <c r="BY707" s="8"/>
      <c r="BZ707" s="8"/>
      <c r="CA707" s="187"/>
      <c r="CB707" s="8"/>
      <c r="CC707" s="8"/>
      <c r="CD707" s="187"/>
      <c r="CE707" s="8"/>
      <c r="CF707" s="8"/>
      <c r="CG707" s="187"/>
      <c r="CH707" s="8"/>
      <c r="CI707" s="8"/>
      <c r="CJ707" s="187"/>
      <c r="CK707" s="8"/>
      <c r="CL707" s="8"/>
      <c r="CM707" s="187"/>
      <c r="CN707" s="8"/>
      <c r="CO707" s="8"/>
      <c r="CP707" s="187"/>
      <c r="CQ707" s="8"/>
      <c r="CR707" s="8"/>
      <c r="CS707" s="187"/>
      <c r="CT707" s="8"/>
      <c r="CU707" s="8"/>
      <c r="CV707" s="187"/>
      <c r="CW707" s="8"/>
      <c r="CX707" s="8"/>
      <c r="CY707" s="187"/>
      <c r="CZ707" s="8"/>
      <c r="DA707" s="8"/>
      <c r="DB707" s="187"/>
      <c r="DC707" s="8"/>
      <c r="DD707" s="8"/>
      <c r="DE707" s="187"/>
      <c r="DF707" s="8"/>
      <c r="DG707" s="8"/>
      <c r="DH707" s="187"/>
      <c r="DI707" s="8"/>
      <c r="DJ707" s="8"/>
      <c r="DK707" s="187"/>
      <c r="DL707" s="8"/>
      <c r="DM707" s="8"/>
      <c r="DN707" s="187"/>
      <c r="DO707" s="8"/>
      <c r="DP707" s="8"/>
      <c r="DQ707" s="187"/>
      <c r="DR707" s="8"/>
      <c r="DS707" s="8"/>
      <c r="DT707" s="187"/>
      <c r="DU707" s="8"/>
      <c r="DV707" s="8"/>
      <c r="DW707" s="187"/>
      <c r="DX707" s="8"/>
      <c r="DY707" s="8"/>
      <c r="DZ707" s="187"/>
      <c r="EA707" s="8"/>
      <c r="EB707" s="8"/>
      <c r="EC707" s="187"/>
      <c r="ED707" s="8"/>
      <c r="EE707" s="8"/>
      <c r="EF707" s="187"/>
      <c r="EG707" s="8"/>
      <c r="EH707" s="8"/>
      <c r="EI707" s="187"/>
      <c r="EJ707" s="8"/>
      <c r="EK707" s="8"/>
      <c r="EL707" s="187"/>
      <c r="EM707" s="8"/>
      <c r="EN707" s="8"/>
      <c r="EO707" s="187"/>
      <c r="EP707" s="8"/>
      <c r="EQ707" s="8"/>
      <c r="ER707" s="187"/>
      <c r="ES707" s="8"/>
      <c r="ET707" s="8"/>
      <c r="EU707" s="187"/>
      <c r="EV707" s="8"/>
      <c r="EW707" s="8"/>
      <c r="EX707" s="187"/>
      <c r="EY707" s="8"/>
      <c r="EZ707" s="8"/>
      <c r="FA707" s="187"/>
      <c r="FH707" s="35"/>
      <c r="FI707" s="35"/>
      <c r="FJ707" s="35"/>
      <c r="FK707" s="35"/>
      <c r="FL707" s="35"/>
      <c r="FM707" s="35"/>
      <c r="FN707" s="35"/>
      <c r="FO707" s="35"/>
      <c r="FP707" s="35"/>
      <c r="FQ707" s="35"/>
    </row>
    <row r="708" spans="1:173" s="321" customFormat="1" hidden="1" outlineLevel="1">
      <c r="A708" s="1168"/>
      <c r="B708" s="186"/>
      <c r="C708" s="331" t="s">
        <v>125</v>
      </c>
      <c r="D708" s="910"/>
      <c r="E708" s="1"/>
      <c r="F708" s="1"/>
      <c r="G708" s="5"/>
      <c r="H708" s="1"/>
      <c r="I708" s="1"/>
      <c r="J708" s="5"/>
      <c r="K708" s="1"/>
      <c r="L708" s="1"/>
      <c r="M708" s="5"/>
      <c r="N708" s="1"/>
      <c r="O708" s="1"/>
      <c r="P708" s="5"/>
      <c r="Q708" s="1"/>
      <c r="R708" s="1"/>
      <c r="S708" s="5"/>
      <c r="T708" s="1"/>
      <c r="U708" s="1"/>
      <c r="V708" s="5"/>
      <c r="W708" s="1"/>
      <c r="X708" s="1"/>
      <c r="Y708" s="5"/>
      <c r="Z708" s="1"/>
      <c r="AA708" s="1"/>
      <c r="AB708" s="5"/>
      <c r="AC708" s="1"/>
      <c r="AD708" s="1"/>
      <c r="AE708" s="5"/>
      <c r="AF708" s="1"/>
      <c r="AG708" s="1"/>
      <c r="AH708" s="5"/>
      <c r="AI708" s="1"/>
      <c r="AJ708" s="1"/>
      <c r="AK708" s="5"/>
      <c r="AL708" s="1"/>
      <c r="AM708" s="1"/>
      <c r="AN708" s="5"/>
      <c r="AO708" s="1"/>
      <c r="AP708" s="1"/>
      <c r="AQ708" s="5"/>
      <c r="AR708" s="1"/>
      <c r="AS708" s="1"/>
      <c r="AT708" s="5"/>
      <c r="AU708" s="1"/>
      <c r="AV708" s="1"/>
      <c r="AW708" s="5"/>
      <c r="AX708" s="3"/>
      <c r="AY708" s="3"/>
      <c r="AZ708" s="2"/>
      <c r="BA708" s="3"/>
      <c r="BB708" s="3"/>
      <c r="BC708" s="973"/>
      <c r="BD708" s="3"/>
      <c r="BE708" s="3"/>
      <c r="BF708" s="973"/>
      <c r="BG708" s="3"/>
      <c r="BH708" s="3"/>
      <c r="BI708" s="978"/>
      <c r="BJ708" s="115"/>
      <c r="BK708" s="115"/>
      <c r="BL708" s="116"/>
      <c r="BM708" s="115"/>
      <c r="BN708" s="115"/>
      <c r="BO708" s="116"/>
      <c r="BP708" s="115"/>
      <c r="BQ708" s="115"/>
      <c r="BR708" s="116"/>
      <c r="BS708" s="8"/>
      <c r="BT708" s="8"/>
      <c r="BU708" s="187"/>
      <c r="BV708" s="8"/>
      <c r="BW708" s="8"/>
      <c r="BX708" s="187"/>
      <c r="BY708" s="8"/>
      <c r="BZ708" s="8"/>
      <c r="CA708" s="187"/>
      <c r="CB708" s="8"/>
      <c r="CC708" s="8"/>
      <c r="CD708" s="187"/>
      <c r="CE708" s="8"/>
      <c r="CF708" s="8"/>
      <c r="CG708" s="187"/>
      <c r="CH708" s="8"/>
      <c r="CI708" s="8"/>
      <c r="CJ708" s="187"/>
      <c r="CK708" s="8"/>
      <c r="CL708" s="8"/>
      <c r="CM708" s="187"/>
      <c r="CN708" s="8"/>
      <c r="CO708" s="8"/>
      <c r="CP708" s="187"/>
      <c r="CQ708" s="8"/>
      <c r="CR708" s="8"/>
      <c r="CS708" s="187"/>
      <c r="CT708" s="8"/>
      <c r="CU708" s="8"/>
      <c r="CV708" s="187"/>
      <c r="CW708" s="8"/>
      <c r="CX708" s="8"/>
      <c r="CY708" s="187"/>
      <c r="CZ708" s="8"/>
      <c r="DA708" s="8"/>
      <c r="DB708" s="187"/>
      <c r="DC708" s="8"/>
      <c r="DD708" s="8"/>
      <c r="DE708" s="187"/>
      <c r="DF708" s="8"/>
      <c r="DG708" s="8"/>
      <c r="DH708" s="187"/>
      <c r="DI708" s="8"/>
      <c r="DJ708" s="8"/>
      <c r="DK708" s="187"/>
      <c r="DL708" s="8"/>
      <c r="DM708" s="8"/>
      <c r="DN708" s="187"/>
      <c r="DO708" s="8"/>
      <c r="DP708" s="8"/>
      <c r="DQ708" s="187"/>
      <c r="DR708" s="8"/>
      <c r="DS708" s="8"/>
      <c r="DT708" s="187"/>
      <c r="DU708" s="8"/>
      <c r="DV708" s="8"/>
      <c r="DW708" s="187"/>
      <c r="DX708" s="8"/>
      <c r="DY708" s="8"/>
      <c r="DZ708" s="187"/>
      <c r="EA708" s="8"/>
      <c r="EB708" s="8"/>
      <c r="EC708" s="187"/>
      <c r="ED708" s="8"/>
      <c r="EE708" s="8"/>
      <c r="EF708" s="187"/>
      <c r="EG708" s="8"/>
      <c r="EH708" s="8"/>
      <c r="EI708" s="187"/>
      <c r="EJ708" s="8"/>
      <c r="EK708" s="8"/>
      <c r="EL708" s="187"/>
      <c r="EM708" s="8"/>
      <c r="EN708" s="8"/>
      <c r="EO708" s="187"/>
      <c r="EP708" s="8"/>
      <c r="EQ708" s="8"/>
      <c r="ER708" s="187"/>
      <c r="ES708" s="8"/>
      <c r="ET708" s="8"/>
      <c r="EU708" s="187"/>
      <c r="EV708" s="8"/>
      <c r="EW708" s="8"/>
      <c r="EX708" s="187"/>
      <c r="EY708" s="8"/>
      <c r="EZ708" s="8"/>
      <c r="FA708" s="187"/>
      <c r="FH708" s="35"/>
      <c r="FI708" s="35"/>
      <c r="FJ708" s="35"/>
      <c r="FK708" s="35"/>
      <c r="FL708" s="35"/>
      <c r="FM708" s="35"/>
      <c r="FN708" s="35"/>
      <c r="FO708" s="35"/>
      <c r="FP708" s="35"/>
      <c r="FQ708" s="35"/>
    </row>
    <row r="709" spans="1:173" s="321" customFormat="1" hidden="1" outlineLevel="1">
      <c r="A709" s="1168"/>
      <c r="B709" s="186"/>
      <c r="C709" s="186" t="s">
        <v>316</v>
      </c>
      <c r="D709" s="910"/>
      <c r="E709" s="1"/>
      <c r="F709" s="1"/>
      <c r="G709" s="5"/>
      <c r="H709" s="1"/>
      <c r="I709" s="1"/>
      <c r="J709" s="5"/>
      <c r="K709" s="1"/>
      <c r="L709" s="1"/>
      <c r="M709" s="5"/>
      <c r="N709" s="1"/>
      <c r="O709" s="1"/>
      <c r="P709" s="5"/>
      <c r="Q709" s="1"/>
      <c r="R709" s="1"/>
      <c r="S709" s="5"/>
      <c r="T709" s="1"/>
      <c r="U709" s="1"/>
      <c r="V709" s="5"/>
      <c r="W709" s="1"/>
      <c r="X709" s="1"/>
      <c r="Y709" s="5"/>
      <c r="Z709" s="1"/>
      <c r="AA709" s="1"/>
      <c r="AB709" s="5"/>
      <c r="AC709" s="1"/>
      <c r="AD709" s="1"/>
      <c r="AE709" s="5"/>
      <c r="AF709" s="1"/>
      <c r="AG709" s="1"/>
      <c r="AH709" s="5"/>
      <c r="AI709" s="1"/>
      <c r="AJ709" s="1"/>
      <c r="AK709" s="5"/>
      <c r="AL709" s="1"/>
      <c r="AM709" s="1"/>
      <c r="AN709" s="5"/>
      <c r="AO709" s="1"/>
      <c r="AP709" s="1"/>
      <c r="AQ709" s="5"/>
      <c r="AR709" s="1"/>
      <c r="AS709" s="1"/>
      <c r="AT709" s="5"/>
      <c r="AU709" s="1"/>
      <c r="AV709" s="1"/>
      <c r="AW709" s="5"/>
      <c r="AX709" s="9">
        <f t="shared" ref="AX709:CC709" si="3048">AX667*AX691</f>
        <v>2.1537147158377499E-3</v>
      </c>
      <c r="AY709" s="9">
        <f t="shared" si="3048"/>
        <v>2.1600681742494714E-3</v>
      </c>
      <c r="AZ709" s="9">
        <f t="shared" si="3048"/>
        <v>4.3137828900872213E-3</v>
      </c>
      <c r="BA709" s="8">
        <f t="shared" si="3048"/>
        <v>2.1664403753635076E-3</v>
      </c>
      <c r="BB709" s="8">
        <f t="shared" si="3048"/>
        <v>2.1728313744708298E-3</v>
      </c>
      <c r="BC709" s="51">
        <f t="shared" si="3048"/>
        <v>4.3392717498343374E-3</v>
      </c>
      <c r="BD709" s="8">
        <f t="shared" si="3048"/>
        <v>2.1792412270255188E-3</v>
      </c>
      <c r="BE709" s="8">
        <f t="shared" si="3048"/>
        <v>2.1856699886452446E-3</v>
      </c>
      <c r="BF709" s="51">
        <f t="shared" si="3048"/>
        <v>4.3649112156707625E-3</v>
      </c>
      <c r="BG709" s="8">
        <f t="shared" si="3048"/>
        <v>2.1921177151117475E-3</v>
      </c>
      <c r="BH709" s="8">
        <f t="shared" si="3048"/>
        <v>2.1985844623713274E-3</v>
      </c>
      <c r="BI709" s="51">
        <f t="shared" si="3048"/>
        <v>4.3907021774830749E-3</v>
      </c>
      <c r="BJ709" s="115">
        <f t="shared" si="3048"/>
        <v>2.2050702865353228E-3</v>
      </c>
      <c r="BK709" s="115">
        <f t="shared" si="3048"/>
        <v>2.2115752438806023E-3</v>
      </c>
      <c r="BL709" s="116">
        <f t="shared" si="3048"/>
        <v>4.416645530415925E-3</v>
      </c>
      <c r="BM709" s="115">
        <f t="shared" si="3048"/>
        <v>2.2148373173653262E-3</v>
      </c>
      <c r="BN709" s="115">
        <f t="shared" si="3048"/>
        <v>2.2181042024084397E-3</v>
      </c>
      <c r="BO709" s="116">
        <f t="shared" si="3048"/>
        <v>4.4329415197737658E-3</v>
      </c>
      <c r="BP709" s="115">
        <f t="shared" si="3048"/>
        <v>2.2213759061069918E-3</v>
      </c>
      <c r="BQ709" s="115">
        <f t="shared" si="3048"/>
        <v>2.2246524355684994E-3</v>
      </c>
      <c r="BR709" s="116">
        <f t="shared" si="3048"/>
        <v>4.4460283416754912E-3</v>
      </c>
      <c r="BS709" s="8">
        <f t="shared" si="3048"/>
        <v>2.2279337979109626E-3</v>
      </c>
      <c r="BT709" s="8">
        <f t="shared" si="3048"/>
        <v>2.2312200002628808E-3</v>
      </c>
      <c r="BU709" s="9">
        <f t="shared" si="3048"/>
        <v>4.4591537981738425E-3</v>
      </c>
      <c r="BV709" s="8">
        <f t="shared" si="3048"/>
        <v>2.2345110497632688E-3</v>
      </c>
      <c r="BW709" s="8">
        <f t="shared" si="3048"/>
        <v>2.237806953561669E-3</v>
      </c>
      <c r="BX709" s="187">
        <f t="shared" si="3048"/>
        <v>4.472318003324937E-3</v>
      </c>
      <c r="BY709" s="8">
        <f t="shared" si="3048"/>
        <v>2.2411077188181725E-3</v>
      </c>
      <c r="BZ709" s="8">
        <f t="shared" si="3048"/>
        <v>2.2444133527034296E-3</v>
      </c>
      <c r="CA709" s="187">
        <f t="shared" si="3048"/>
        <v>4.4855210715216021E-3</v>
      </c>
      <c r="CB709" s="8">
        <f t="shared" si="3048"/>
        <v>2.2477238623986665E-3</v>
      </c>
      <c r="CC709" s="8">
        <f t="shared" si="3048"/>
        <v>2.2510392550957039E-3</v>
      </c>
      <c r="CD709" s="187">
        <f t="shared" ref="CD709:DI709" si="3049">CD667*CD691</f>
        <v>4.4987631174943695E-3</v>
      </c>
      <c r="CE709" s="8">
        <f t="shared" si="3049"/>
        <v>2.2543595379969699E-3</v>
      </c>
      <c r="CF709" s="8">
        <f t="shared" si="3049"/>
        <v>2.2576847183155154E-3</v>
      </c>
      <c r="CG709" s="187">
        <f t="shared" si="3049"/>
        <v>4.5120442563124858E-3</v>
      </c>
      <c r="CH709" s="8">
        <f t="shared" si="3049"/>
        <v>2.2610148032750307E-3</v>
      </c>
      <c r="CI709" s="8">
        <f t="shared" si="3049"/>
        <v>2.2643498001098609E-3</v>
      </c>
      <c r="CJ709" s="187">
        <f t="shared" si="3049"/>
        <v>4.5253646033848911E-3</v>
      </c>
      <c r="CK709" s="8">
        <f t="shared" si="3049"/>
        <v>2.2676897160650226E-3</v>
      </c>
      <c r="CL709" s="8">
        <f t="shared" si="3049"/>
        <v>2.2710345583962185E-3</v>
      </c>
      <c r="CM709" s="187">
        <f t="shared" si="3049"/>
        <v>4.5387242744612411E-3</v>
      </c>
      <c r="CN709" s="8">
        <f t="shared" si="3049"/>
        <v>2.2743843343698521E-3</v>
      </c>
      <c r="CO709" s="8">
        <f t="shared" si="3049"/>
        <v>2.277739051263048E-3</v>
      </c>
      <c r="CP709" s="187">
        <f t="shared" si="3049"/>
        <v>4.5521233856329005E-3</v>
      </c>
      <c r="CQ709" s="8">
        <f t="shared" si="3049"/>
        <v>2.2810987163636607E-3</v>
      </c>
      <c r="CR709" s="8">
        <f t="shared" si="3049"/>
        <v>2.2844633369702967E-3</v>
      </c>
      <c r="CS709" s="187">
        <f t="shared" si="3049"/>
        <v>4.5655620533339566E-3</v>
      </c>
      <c r="CT709" s="8">
        <f t="shared" si="3049"/>
        <v>2.2878329203923275E-3</v>
      </c>
      <c r="CU709" s="8">
        <f t="shared" si="3049"/>
        <v>2.2912074739499062E-3</v>
      </c>
      <c r="CV709" s="187">
        <f t="shared" si="3049"/>
        <v>4.5790403943422328E-3</v>
      </c>
      <c r="CW709" s="8">
        <f t="shared" si="3049"/>
        <v>2.2945870049739816E-3</v>
      </c>
      <c r="CX709" s="8">
        <f t="shared" si="3049"/>
        <v>2.2979715208063184E-3</v>
      </c>
      <c r="CY709" s="9">
        <f t="shared" si="3049"/>
        <v>4.5925585257803004E-3</v>
      </c>
      <c r="CZ709" s="8">
        <f t="shared" si="3049"/>
        <v>2.3013610287995071E-3</v>
      </c>
      <c r="DA709" s="8">
        <f t="shared" si="3049"/>
        <v>2.3047555363169864E-3</v>
      </c>
      <c r="DB709" s="9">
        <f t="shared" si="3049"/>
        <v>4.6061165651164939E-3</v>
      </c>
      <c r="DC709" s="8">
        <f t="shared" si="3049"/>
        <v>2.3081550507330541E-3</v>
      </c>
      <c r="DD709" s="8">
        <f t="shared" si="3049"/>
        <v>2.3115595794328853E-3</v>
      </c>
      <c r="DE709" s="9">
        <f t="shared" si="3049"/>
        <v>4.619714630165939E-3</v>
      </c>
      <c r="DF709" s="8">
        <f t="shared" si="3049"/>
        <v>2.3149691298125479E-3</v>
      </c>
      <c r="DG709" s="8">
        <f t="shared" si="3049"/>
        <v>2.3183837092790216E-3</v>
      </c>
      <c r="DH709" s="9">
        <f t="shared" si="3049"/>
        <v>4.63335283909157E-3</v>
      </c>
      <c r="DI709" s="8">
        <f t="shared" si="3049"/>
        <v>2.3218033252502077E-3</v>
      </c>
      <c r="DJ709" s="8">
        <f t="shared" ref="DJ709:EF709" si="3050">DJ667*DJ691</f>
        <v>2.3252279851549516E-3</v>
      </c>
      <c r="DK709" s="9">
        <f t="shared" si="3050"/>
        <v>4.6470313104051593E-3</v>
      </c>
      <c r="DL709" s="8">
        <f t="shared" si="3050"/>
        <v>2.3286576964330549E-3</v>
      </c>
      <c r="DM709" s="8">
        <f t="shared" si="3050"/>
        <v>2.3320924665352935E-3</v>
      </c>
      <c r="DN709" s="9">
        <f t="shared" si="3050"/>
        <v>4.660750162968348E-3</v>
      </c>
      <c r="DO709" s="8">
        <f t="shared" si="3050"/>
        <v>2.3355323029234328E-3</v>
      </c>
      <c r="DP709" s="8">
        <f t="shared" si="3050"/>
        <v>2.3389772130702449E-3</v>
      </c>
      <c r="DQ709" s="9">
        <f t="shared" si="3050"/>
        <v>4.6745095159936769E-3</v>
      </c>
      <c r="DR709" s="8">
        <f t="shared" si="3050"/>
        <v>2.3424272044595229E-3</v>
      </c>
      <c r="DS709" s="8">
        <f t="shared" si="3050"/>
        <v>2.3458822845861004E-3</v>
      </c>
      <c r="DT709" s="9">
        <f t="shared" si="3050"/>
        <v>4.6883094890456233E-3</v>
      </c>
      <c r="DU709" s="8">
        <f t="shared" si="3050"/>
        <v>2.349342460955865E-3</v>
      </c>
      <c r="DV709" s="8">
        <f t="shared" si="3050"/>
        <v>2.3528077410857741E-3</v>
      </c>
      <c r="DW709" s="9">
        <f t="shared" si="3050"/>
        <v>4.7021502020416391E-3</v>
      </c>
      <c r="DX709" s="8">
        <f t="shared" si="3050"/>
        <v>2.3562781325038753E-3</v>
      </c>
      <c r="DY709" s="8">
        <f t="shared" si="3050"/>
        <v>2.3597536427493186E-3</v>
      </c>
      <c r="DZ709" s="9">
        <f t="shared" si="3050"/>
        <v>4.716031775253194E-3</v>
      </c>
      <c r="EA709" s="8">
        <f t="shared" si="3050"/>
        <v>2.3632342793723734E-3</v>
      </c>
      <c r="EB709" s="8">
        <f t="shared" si="3050"/>
        <v>2.3667200499344473E-3</v>
      </c>
      <c r="EC709" s="9">
        <f t="shared" si="3050"/>
        <v>4.7299543293068212E-3</v>
      </c>
      <c r="ED709" s="8">
        <f t="shared" si="3050"/>
        <v>2.3702109620081005E-3</v>
      </c>
      <c r="EE709" s="8">
        <f t="shared" si="3050"/>
        <v>2.3737070231770623E-3</v>
      </c>
      <c r="EF709" s="9">
        <f t="shared" si="3050"/>
        <v>4.743917985185162E-3</v>
      </c>
      <c r="EG709" s="8">
        <f t="shared" ref="EG709:EL709" si="3051">EG667*EG691</f>
        <v>2.3772082410362483E-3</v>
      </c>
      <c r="EH709" s="8">
        <f t="shared" si="3051"/>
        <v>2.3807146231917763E-3</v>
      </c>
      <c r="EI709" s="9">
        <f t="shared" si="3051"/>
        <v>4.7579228642280246E-3</v>
      </c>
      <c r="EJ709" s="8">
        <f t="shared" si="3051"/>
        <v>2.3842261772609838E-3</v>
      </c>
      <c r="EK709" s="8">
        <f t="shared" si="3051"/>
        <v>2.3877429108724434E-3</v>
      </c>
      <c r="EL709" s="9">
        <f t="shared" si="3051"/>
        <v>4.7719690881334277E-3</v>
      </c>
      <c r="EM709" s="8">
        <f t="shared" ref="EM709:ER709" si="3052">EM667*EM691</f>
        <v>2.3912648316659802E-3</v>
      </c>
      <c r="EN709" s="8">
        <f t="shared" si="3052"/>
        <v>2.3947919472926873E-3</v>
      </c>
      <c r="EO709" s="9">
        <f t="shared" si="3052"/>
        <v>4.786056778958667E-3</v>
      </c>
      <c r="EP709" s="8">
        <f t="shared" si="3052"/>
        <v>2.3983242654149434E-3</v>
      </c>
      <c r="EQ709" s="8">
        <f t="shared" si="3052"/>
        <v>2.4018617937064304E-3</v>
      </c>
      <c r="ER709" s="9">
        <f t="shared" si="3052"/>
        <v>4.8001860591213733E-3</v>
      </c>
      <c r="ES709" s="8">
        <f t="shared" ref="ES709:EX709" si="3053">ES667*ES691</f>
        <v>2.4054045398521468E-3</v>
      </c>
      <c r="ET709" s="8">
        <f t="shared" si="3053"/>
        <v>2.4089525115484284E-3</v>
      </c>
      <c r="EU709" s="9">
        <f t="shared" si="3053"/>
        <v>4.8143570514005748E-3</v>
      </c>
      <c r="EV709" s="8">
        <f t="shared" si="3053"/>
        <v>2.4125057165029617E-3</v>
      </c>
      <c r="EW709" s="8">
        <f t="shared" si="3053"/>
        <v>2.4160641624348038E-3</v>
      </c>
      <c r="EX709" s="9">
        <f t="shared" si="3053"/>
        <v>4.8285698789377659E-3</v>
      </c>
      <c r="EY709" s="8">
        <f t="shared" ref="EY709:FA709" si="3054">EY667*EY691</f>
        <v>2.4196278570743947E-3</v>
      </c>
      <c r="EZ709" s="8">
        <f t="shared" si="3054"/>
        <v>2.4231968081635793E-3</v>
      </c>
      <c r="FA709" s="9">
        <f t="shared" si="3054"/>
        <v>4.842824665237974E-3</v>
      </c>
      <c r="FH709" s="35"/>
      <c r="FI709" s="35"/>
      <c r="FJ709" s="35"/>
      <c r="FK709" s="35"/>
      <c r="FL709" s="35"/>
      <c r="FM709" s="35"/>
      <c r="FN709" s="35"/>
      <c r="FO709" s="35"/>
      <c r="FP709" s="35"/>
      <c r="FQ709" s="35"/>
    </row>
    <row r="710" spans="1:173" s="321" customFormat="1" hidden="1" outlineLevel="1">
      <c r="A710" s="1168"/>
      <c r="B710" s="186"/>
      <c r="C710" s="186" t="s">
        <v>317</v>
      </c>
      <c r="D710" s="910"/>
      <c r="E710" s="1"/>
      <c r="F710" s="1"/>
      <c r="G710" s="5"/>
      <c r="H710" s="1"/>
      <c r="I710" s="1"/>
      <c r="J710" s="5"/>
      <c r="K710" s="1"/>
      <c r="L710" s="1"/>
      <c r="M710" s="5"/>
      <c r="N710" s="1"/>
      <c r="O710" s="1"/>
      <c r="P710" s="5"/>
      <c r="Q710" s="1"/>
      <c r="R710" s="1"/>
      <c r="S710" s="5"/>
      <c r="T710" s="1"/>
      <c r="U710" s="1"/>
      <c r="V710" s="5"/>
      <c r="W710" s="1"/>
      <c r="X710" s="1"/>
      <c r="Y710" s="5"/>
      <c r="Z710" s="1"/>
      <c r="AA710" s="1"/>
      <c r="AB710" s="5"/>
      <c r="AC710" s="1"/>
      <c r="AD710" s="1"/>
      <c r="AE710" s="5"/>
      <c r="AF710" s="1"/>
      <c r="AG710" s="1"/>
      <c r="AH710" s="5"/>
      <c r="AI710" s="1"/>
      <c r="AJ710" s="1"/>
      <c r="AK710" s="5"/>
      <c r="AL710" s="1"/>
      <c r="AM710" s="1"/>
      <c r="AN710" s="5"/>
      <c r="AO710" s="1"/>
      <c r="AP710" s="1"/>
      <c r="AQ710" s="5"/>
      <c r="AR710" s="1"/>
      <c r="AS710" s="1"/>
      <c r="AT710" s="5"/>
      <c r="AU710" s="1"/>
      <c r="AV710" s="1"/>
      <c r="AW710" s="5"/>
      <c r="AX710" s="9">
        <f t="shared" ref="AX710:CC710" si="3055">AX668*AX692</f>
        <v>3.1676817283110004E-3</v>
      </c>
      <c r="AY710" s="9">
        <f t="shared" si="3055"/>
        <v>3.1648308147555204E-3</v>
      </c>
      <c r="AZ710" s="9">
        <f t="shared" si="3055"/>
        <v>6.3325125430665208E-3</v>
      </c>
      <c r="BA710" s="8">
        <f t="shared" si="3055"/>
        <v>3.161982467022241E-3</v>
      </c>
      <c r="BB710" s="8">
        <f t="shared" si="3055"/>
        <v>3.1591366828019208E-3</v>
      </c>
      <c r="BC710" s="51">
        <f t="shared" si="3055"/>
        <v>6.3211191498241618E-3</v>
      </c>
      <c r="BD710" s="8">
        <f t="shared" si="3055"/>
        <v>3.1562934597873988E-3</v>
      </c>
      <c r="BE710" s="8">
        <f t="shared" si="3055"/>
        <v>3.1534527956735897E-3</v>
      </c>
      <c r="BF710" s="51">
        <f t="shared" si="3055"/>
        <v>6.3097462554609881E-3</v>
      </c>
      <c r="BG710" s="8">
        <f t="shared" si="3055"/>
        <v>3.1506146881574841E-3</v>
      </c>
      <c r="BH710" s="8">
        <f t="shared" si="3055"/>
        <v>3.1477791349381421E-3</v>
      </c>
      <c r="BI710" s="51">
        <f t="shared" si="3055"/>
        <v>6.2983938230956257E-3</v>
      </c>
      <c r="BJ710" s="115">
        <f t="shared" si="3055"/>
        <v>3.1449461337166975E-3</v>
      </c>
      <c r="BK710" s="115">
        <f t="shared" si="3055"/>
        <v>3.1421156821963524E-3</v>
      </c>
      <c r="BL710" s="116">
        <f t="shared" si="3055"/>
        <v>6.2870618159130498E-3</v>
      </c>
      <c r="BM710" s="115">
        <f t="shared" si="3055"/>
        <v>3.140701730139364E-3</v>
      </c>
      <c r="BN710" s="115">
        <f t="shared" si="3055"/>
        <v>3.1392884143608018E-3</v>
      </c>
      <c r="BO710" s="116">
        <f t="shared" si="3055"/>
        <v>6.2799901445001662E-3</v>
      </c>
      <c r="BP710" s="115">
        <f t="shared" si="3055"/>
        <v>3.1378757345743393E-3</v>
      </c>
      <c r="BQ710" s="115">
        <f t="shared" si="3055"/>
        <v>3.1364636904937806E-3</v>
      </c>
      <c r="BR710" s="116">
        <f t="shared" si="3055"/>
        <v>6.2743394250681199E-3</v>
      </c>
      <c r="BS710" s="8">
        <f t="shared" si="3055"/>
        <v>3.1350522818330588E-3</v>
      </c>
      <c r="BT710" s="8">
        <f t="shared" si="3055"/>
        <v>3.1336415083062339E-3</v>
      </c>
      <c r="BU710" s="9">
        <f t="shared" si="3055"/>
        <v>6.2686937901392931E-3</v>
      </c>
      <c r="BV710" s="8">
        <f t="shared" si="3055"/>
        <v>3.1322313696274962E-3</v>
      </c>
      <c r="BW710" s="8">
        <f t="shared" si="3055"/>
        <v>3.1308218655111638E-3</v>
      </c>
      <c r="BX710" s="187">
        <f t="shared" si="3055"/>
        <v>6.2630532351386605E-3</v>
      </c>
      <c r="BY710" s="8">
        <f t="shared" si="3055"/>
        <v>3.1294129956716842E-3</v>
      </c>
      <c r="BZ710" s="8">
        <f t="shared" si="3055"/>
        <v>3.1280047598236317E-3</v>
      </c>
      <c r="CA710" s="187">
        <f t="shared" si="3055"/>
        <v>6.257417755495316E-3</v>
      </c>
      <c r="CB710" s="8">
        <f t="shared" si="3055"/>
        <v>3.1265971576817111E-3</v>
      </c>
      <c r="CC710" s="8">
        <f t="shared" si="3055"/>
        <v>3.1251901889607549E-3</v>
      </c>
      <c r="CD710" s="187">
        <f t="shared" ref="CD710:DI710" si="3056">CD668*CD692</f>
        <v>6.2517873466424664E-3</v>
      </c>
      <c r="CE710" s="8">
        <f t="shared" si="3056"/>
        <v>3.1237838533757227E-3</v>
      </c>
      <c r="CF710" s="8">
        <f t="shared" si="3056"/>
        <v>3.1223781506417038E-3</v>
      </c>
      <c r="CG710" s="187">
        <f t="shared" si="3056"/>
        <v>6.2461620040174266E-3</v>
      </c>
      <c r="CH710" s="8">
        <f t="shared" si="3056"/>
        <v>3.1209730804739153E-3</v>
      </c>
      <c r="CI710" s="8">
        <f t="shared" si="3056"/>
        <v>3.1195686425877019E-3</v>
      </c>
      <c r="CJ710" s="187">
        <f t="shared" si="3056"/>
        <v>6.2405417230616171E-3</v>
      </c>
      <c r="CK710" s="8">
        <f t="shared" si="3056"/>
        <v>3.1181648366985378E-3</v>
      </c>
      <c r="CL710" s="8">
        <f t="shared" si="3056"/>
        <v>3.1167616625220238E-3</v>
      </c>
      <c r="CM710" s="187">
        <f t="shared" si="3056"/>
        <v>6.2349264992205616E-3</v>
      </c>
      <c r="CN710" s="8">
        <f t="shared" si="3056"/>
        <v>3.1153591197738886E-3</v>
      </c>
      <c r="CO710" s="8">
        <f t="shared" si="3056"/>
        <v>3.1139572081699905E-3</v>
      </c>
      <c r="CP710" s="187">
        <f t="shared" si="3056"/>
        <v>6.229316327943879E-3</v>
      </c>
      <c r="CQ710" s="8">
        <f t="shared" si="3056"/>
        <v>3.1125559274263145E-3</v>
      </c>
      <c r="CR710" s="8">
        <f t="shared" si="3056"/>
        <v>3.1111552772589732E-3</v>
      </c>
      <c r="CS710" s="187">
        <f t="shared" si="3056"/>
        <v>6.2237112046852876E-3</v>
      </c>
      <c r="CT710" s="8">
        <f t="shared" si="3056"/>
        <v>3.1097552573842065E-3</v>
      </c>
      <c r="CU710" s="8">
        <f t="shared" si="3056"/>
        <v>3.1083558675183832E-3</v>
      </c>
      <c r="CV710" s="187">
        <f t="shared" si="3056"/>
        <v>6.2181111249025901E-3</v>
      </c>
      <c r="CW710" s="8">
        <f t="shared" si="3056"/>
        <v>3.1069571073779998E-3</v>
      </c>
      <c r="CX710" s="8">
        <f t="shared" si="3056"/>
        <v>3.1055589766796803E-3</v>
      </c>
      <c r="CY710" s="9">
        <f t="shared" si="3056"/>
        <v>6.2125160840576805E-3</v>
      </c>
      <c r="CZ710" s="8">
        <f t="shared" si="3056"/>
        <v>3.1041614751401744E-3</v>
      </c>
      <c r="DA710" s="8">
        <f t="shared" si="3056"/>
        <v>3.1027646024763614E-3</v>
      </c>
      <c r="DB710" s="9">
        <f t="shared" si="3056"/>
        <v>6.2069260776165362E-3</v>
      </c>
      <c r="DC710" s="8">
        <f t="shared" si="3056"/>
        <v>3.1013683584052471E-3</v>
      </c>
      <c r="DD710" s="8">
        <f t="shared" si="3056"/>
        <v>3.0999727426439649E-3</v>
      </c>
      <c r="DE710" s="9">
        <f t="shared" si="3056"/>
        <v>6.2013411010492115E-3</v>
      </c>
      <c r="DF710" s="8">
        <f t="shared" si="3056"/>
        <v>3.0985777549097752E-3</v>
      </c>
      <c r="DG710" s="8">
        <f t="shared" si="3056"/>
        <v>3.0971833949200661E-3</v>
      </c>
      <c r="DH710" s="9">
        <f t="shared" si="3056"/>
        <v>6.1957611498298414E-3</v>
      </c>
      <c r="DI710" s="8">
        <f t="shared" si="3056"/>
        <v>3.0957896623923522E-3</v>
      </c>
      <c r="DJ710" s="8">
        <f t="shared" ref="DJ710:EF710" si="3057">DJ668*DJ692</f>
        <v>3.0943965570442758E-3</v>
      </c>
      <c r="DK710" s="9">
        <f t="shared" si="3057"/>
        <v>6.190186219436628E-3</v>
      </c>
      <c r="DL710" s="8">
        <f t="shared" si="3057"/>
        <v>3.0930040785936059E-3</v>
      </c>
      <c r="DM710" s="8">
        <f t="shared" si="3057"/>
        <v>3.091612226758239E-3</v>
      </c>
      <c r="DN710" s="9">
        <f t="shared" si="3057"/>
        <v>6.1846163053518449E-3</v>
      </c>
      <c r="DO710" s="8">
        <f t="shared" si="3057"/>
        <v>3.090221001256198E-3</v>
      </c>
      <c r="DP710" s="8">
        <f t="shared" si="3057"/>
        <v>3.0888304018056333E-3</v>
      </c>
      <c r="DQ710" s="9">
        <f t="shared" si="3057"/>
        <v>6.1790514030618318E-3</v>
      </c>
      <c r="DR710" s="8">
        <f t="shared" si="3057"/>
        <v>3.0874404281248211E-3</v>
      </c>
      <c r="DS710" s="8">
        <f t="shared" si="3057"/>
        <v>3.0860510799321649E-3</v>
      </c>
      <c r="DT710" s="9">
        <f t="shared" si="3057"/>
        <v>6.1734915080569859E-3</v>
      </c>
      <c r="DU710" s="8">
        <f t="shared" si="3057"/>
        <v>3.0846623569461954E-3</v>
      </c>
      <c r="DV710" s="8">
        <f t="shared" si="3057"/>
        <v>3.0832742588855697E-3</v>
      </c>
      <c r="DW710" s="9">
        <f t="shared" si="3057"/>
        <v>6.1679366158317655E-3</v>
      </c>
      <c r="DX710" s="8">
        <f t="shared" si="3057"/>
        <v>3.0818867854690711E-3</v>
      </c>
      <c r="DY710" s="8">
        <f t="shared" si="3057"/>
        <v>3.0804999364156104E-3</v>
      </c>
      <c r="DZ710" s="9">
        <f t="shared" si="3057"/>
        <v>6.162386721884682E-3</v>
      </c>
      <c r="EA710" s="8">
        <f t="shared" si="3057"/>
        <v>3.0791137114442239E-3</v>
      </c>
      <c r="EB710" s="8">
        <f t="shared" si="3057"/>
        <v>3.0777281102740734E-3</v>
      </c>
      <c r="EC710" s="9">
        <f t="shared" si="3057"/>
        <v>6.1568418217182973E-3</v>
      </c>
      <c r="ED710" s="8">
        <f t="shared" si="3057"/>
        <v>3.0763431326244501E-3</v>
      </c>
      <c r="EE710" s="8">
        <f t="shared" si="3057"/>
        <v>3.0749587782147696E-3</v>
      </c>
      <c r="EF710" s="9">
        <f t="shared" si="3057"/>
        <v>6.1513019108392205E-3</v>
      </c>
      <c r="EG710" s="8">
        <f t="shared" ref="EG710:EL710" si="3058">EG668*EG692</f>
        <v>3.0735750467645729E-3</v>
      </c>
      <c r="EH710" s="8">
        <f t="shared" si="3058"/>
        <v>3.0721919379935285E-3</v>
      </c>
      <c r="EI710" s="9">
        <f t="shared" si="3058"/>
        <v>6.145766984758101E-3</v>
      </c>
      <c r="EJ710" s="8">
        <f t="shared" si="3058"/>
        <v>3.070809451621432E-3</v>
      </c>
      <c r="EK710" s="8">
        <f t="shared" si="3058"/>
        <v>3.0694275873682023E-3</v>
      </c>
      <c r="EL710" s="9">
        <f t="shared" si="3058"/>
        <v>6.1402370389896342E-3</v>
      </c>
      <c r="EM710" s="8">
        <f t="shared" ref="EM710:ER710" si="3059">EM668*EM692</f>
        <v>3.0680463449538871E-3</v>
      </c>
      <c r="EN710" s="8">
        <f t="shared" si="3059"/>
        <v>3.0666657240986583E-3</v>
      </c>
      <c r="EO710" s="9">
        <f t="shared" si="3059"/>
        <v>6.1347120690525454E-3</v>
      </c>
      <c r="EP710" s="8">
        <f t="shared" si="3059"/>
        <v>3.0652857245228142E-3</v>
      </c>
      <c r="EQ710" s="8">
        <f t="shared" si="3059"/>
        <v>3.063906345946779E-3</v>
      </c>
      <c r="ER710" s="9">
        <f t="shared" si="3059"/>
        <v>6.1291920704695932E-3</v>
      </c>
      <c r="ES710" s="8">
        <f t="shared" ref="ES710:EX710" si="3060">ES668*ES692</f>
        <v>3.0625275880911034E-3</v>
      </c>
      <c r="ET710" s="8">
        <f t="shared" si="3060"/>
        <v>3.0611494506764627E-3</v>
      </c>
      <c r="EU710" s="9">
        <f t="shared" si="3060"/>
        <v>6.1236770387675665E-3</v>
      </c>
      <c r="EV710" s="8">
        <f t="shared" si="3060"/>
        <v>3.059771933423658E-3</v>
      </c>
      <c r="EW710" s="8">
        <f t="shared" si="3060"/>
        <v>3.0583950360536173E-3</v>
      </c>
      <c r="EX710" s="9">
        <f t="shared" si="3060"/>
        <v>6.1181669694772758E-3</v>
      </c>
      <c r="EY710" s="8">
        <f t="shared" ref="EY710:FA710" si="3061">EY668*EY692</f>
        <v>3.0570187582873933E-3</v>
      </c>
      <c r="EZ710" s="8">
        <f t="shared" si="3061"/>
        <v>3.0556430998461646E-3</v>
      </c>
      <c r="FA710" s="9">
        <f t="shared" si="3061"/>
        <v>6.1126618581335583E-3</v>
      </c>
      <c r="FH710" s="35"/>
      <c r="FI710" s="35"/>
      <c r="FJ710" s="35"/>
      <c r="FK710" s="35"/>
      <c r="FL710" s="35"/>
      <c r="FM710" s="35"/>
      <c r="FN710" s="35"/>
      <c r="FO710" s="35"/>
      <c r="FP710" s="35"/>
      <c r="FQ710" s="35"/>
    </row>
    <row r="711" spans="1:173" s="321" customFormat="1" hidden="1" outlineLevel="1">
      <c r="A711" s="1168"/>
      <c r="B711" s="186"/>
      <c r="C711" s="186" t="s">
        <v>431</v>
      </c>
      <c r="D711" s="910"/>
      <c r="E711" s="1"/>
      <c r="F711" s="1"/>
      <c r="G711" s="5"/>
      <c r="H711" s="1"/>
      <c r="I711" s="1"/>
      <c r="J711" s="5"/>
      <c r="K711" s="1"/>
      <c r="L711" s="1"/>
      <c r="M711" s="5"/>
      <c r="N711" s="1"/>
      <c r="O711" s="1"/>
      <c r="P711" s="5"/>
      <c r="Q711" s="1"/>
      <c r="R711" s="1"/>
      <c r="S711" s="5"/>
      <c r="T711" s="1"/>
      <c r="U711" s="1"/>
      <c r="V711" s="5"/>
      <c r="W711" s="1"/>
      <c r="X711" s="1"/>
      <c r="Y711" s="5"/>
      <c r="Z711" s="1"/>
      <c r="AA711" s="1"/>
      <c r="AB711" s="5"/>
      <c r="AC711" s="1"/>
      <c r="AD711" s="1"/>
      <c r="AE711" s="5"/>
      <c r="AF711" s="1"/>
      <c r="AG711" s="1"/>
      <c r="AH711" s="5"/>
      <c r="AI711" s="1"/>
      <c r="AJ711" s="1"/>
      <c r="AK711" s="5"/>
      <c r="AL711" s="1"/>
      <c r="AM711" s="1"/>
      <c r="AN711" s="5"/>
      <c r="AO711" s="1"/>
      <c r="AP711" s="1"/>
      <c r="AQ711" s="5"/>
      <c r="AR711" s="1"/>
      <c r="AS711" s="1"/>
      <c r="AT711" s="5"/>
      <c r="AU711" s="1"/>
      <c r="AV711" s="1"/>
      <c r="AW711" s="5"/>
      <c r="AX711" s="9">
        <f t="shared" ref="AX711:CC711" si="3062">AX669*AX693</f>
        <v>3.9092183440800005E-3</v>
      </c>
      <c r="AY711" s="9">
        <f t="shared" si="3062"/>
        <v>3.9342373414821127E-3</v>
      </c>
      <c r="AZ711" s="9">
        <f t="shared" si="3062"/>
        <v>7.8434556855621115E-3</v>
      </c>
      <c r="BA711" s="8">
        <f t="shared" si="3062"/>
        <v>3.9594164604675975E-3</v>
      </c>
      <c r="BB711" s="8">
        <f t="shared" si="3062"/>
        <v>3.9847567258145897E-3</v>
      </c>
      <c r="BC711" s="51">
        <f t="shared" si="3062"/>
        <v>7.9441731862821864E-3</v>
      </c>
      <c r="BD711" s="8">
        <f t="shared" si="3062"/>
        <v>4.0102591688598033E-3</v>
      </c>
      <c r="BE711" s="8">
        <f t="shared" si="3062"/>
        <v>4.0359248275405055E-3</v>
      </c>
      <c r="BF711" s="51">
        <f t="shared" si="3062"/>
        <v>8.0461839964003079E-3</v>
      </c>
      <c r="BG711" s="8">
        <f t="shared" si="3062"/>
        <v>4.0617547464367647E-3</v>
      </c>
      <c r="BH711" s="8">
        <f t="shared" si="3062"/>
        <v>4.0877499768139603E-3</v>
      </c>
      <c r="BI711" s="51">
        <f t="shared" si="3062"/>
        <v>8.1495047232507251E-3</v>
      </c>
      <c r="BJ711" s="115">
        <f t="shared" si="3062"/>
        <v>4.1139115766655699E-3</v>
      </c>
      <c r="BK711" s="115">
        <f t="shared" si="3062"/>
        <v>4.1402406107562293E-3</v>
      </c>
      <c r="BL711" s="116">
        <f t="shared" si="3062"/>
        <v>8.2541521874217993E-3</v>
      </c>
      <c r="BM711" s="115">
        <f t="shared" si="3062"/>
        <v>4.1534893807106494E-3</v>
      </c>
      <c r="BN711" s="115">
        <f t="shared" si="3062"/>
        <v>4.1667805467289236E-3</v>
      </c>
      <c r="BO711" s="116">
        <f t="shared" si="3062"/>
        <v>8.320269927439573E-3</v>
      </c>
      <c r="BP711" s="115">
        <f t="shared" si="3062"/>
        <v>4.180114244478457E-3</v>
      </c>
      <c r="BQ711" s="115">
        <f t="shared" si="3062"/>
        <v>4.1934906100607877E-3</v>
      </c>
      <c r="BR711" s="116">
        <f t="shared" si="3062"/>
        <v>8.3736048545392447E-3</v>
      </c>
      <c r="BS711" s="8">
        <f t="shared" si="3062"/>
        <v>4.2069097800129822E-3</v>
      </c>
      <c r="BT711" s="8">
        <f t="shared" si="3062"/>
        <v>4.2203718913090254E-3</v>
      </c>
      <c r="BU711" s="9">
        <f t="shared" si="3062"/>
        <v>8.4272816713220067E-3</v>
      </c>
      <c r="BV711" s="8">
        <f t="shared" si="3062"/>
        <v>4.2338770813612142E-3</v>
      </c>
      <c r="BW711" s="8">
        <f t="shared" si="3062"/>
        <v>4.2474254880215711E-3</v>
      </c>
      <c r="BX711" s="187">
        <f t="shared" si="3062"/>
        <v>8.4813025693827853E-3</v>
      </c>
      <c r="BY711" s="8">
        <f t="shared" si="3062"/>
        <v>4.261017249583241E-3</v>
      </c>
      <c r="BZ711" s="8">
        <f t="shared" si="3062"/>
        <v>4.2746525047819067E-3</v>
      </c>
      <c r="CA711" s="187">
        <f t="shared" si="3062"/>
        <v>8.5356697543651477E-3</v>
      </c>
      <c r="CB711" s="8">
        <f t="shared" si="3062"/>
        <v>4.2883313927972099E-3</v>
      </c>
      <c r="CC711" s="8">
        <f t="shared" si="3062"/>
        <v>4.3020540532541611E-3</v>
      </c>
      <c r="CD711" s="187">
        <f t="shared" ref="CD711:DI711" si="3063">CD669*CD693</f>
        <v>8.5903854460513719E-3</v>
      </c>
      <c r="CE711" s="8">
        <f t="shared" si="3063"/>
        <v>4.3158206262245754E-3</v>
      </c>
      <c r="CF711" s="8">
        <f t="shared" si="3063"/>
        <v>4.3296312522284938E-3</v>
      </c>
      <c r="CG711" s="187">
        <f t="shared" si="3063"/>
        <v>8.6454518784530691E-3</v>
      </c>
      <c r="CH711" s="8">
        <f t="shared" si="3063"/>
        <v>4.343486072235626E-3</v>
      </c>
      <c r="CI711" s="8">
        <f t="shared" si="3063"/>
        <v>4.3573852276667796E-3</v>
      </c>
      <c r="CJ711" s="187">
        <f t="shared" si="3063"/>
        <v>8.7008712999024056E-3</v>
      </c>
      <c r="CK711" s="8">
        <f t="shared" si="3063"/>
        <v>4.3713288603953139E-3</v>
      </c>
      <c r="CL711" s="8">
        <f t="shared" si="3063"/>
        <v>4.3853171127485801E-3</v>
      </c>
      <c r="CM711" s="187">
        <f t="shared" si="3063"/>
        <v>8.7566459731438923E-3</v>
      </c>
      <c r="CN711" s="8">
        <f t="shared" si="3063"/>
        <v>4.3993501275093752E-3</v>
      </c>
      <c r="CO711" s="8">
        <f t="shared" si="3063"/>
        <v>4.4134280479174058E-3</v>
      </c>
      <c r="CP711" s="187">
        <f t="shared" si="3063"/>
        <v>8.812778175426781E-3</v>
      </c>
      <c r="CQ711" s="8">
        <f t="shared" si="3063"/>
        <v>4.4275510176707425E-3</v>
      </c>
      <c r="CR711" s="8">
        <f t="shared" si="3063"/>
        <v>4.441719180927289E-3</v>
      </c>
      <c r="CS711" s="187">
        <f t="shared" si="3063"/>
        <v>8.8692701985980307E-3</v>
      </c>
      <c r="CT711" s="8">
        <f t="shared" si="3063"/>
        <v>4.4559326823062568E-3</v>
      </c>
      <c r="CU711" s="8">
        <f t="shared" si="3063"/>
        <v>4.4701916668896365E-3</v>
      </c>
      <c r="CV711" s="187">
        <f t="shared" si="3063"/>
        <v>8.9261243491958932E-3</v>
      </c>
      <c r="CW711" s="8">
        <f t="shared" si="3063"/>
        <v>4.4844962802236838E-3</v>
      </c>
      <c r="CX711" s="8">
        <f t="shared" si="3063"/>
        <v>4.4988466683203998E-3</v>
      </c>
      <c r="CY711" s="9">
        <f t="shared" si="3063"/>
        <v>8.9833429485440836E-3</v>
      </c>
      <c r="CZ711" s="8">
        <f t="shared" si="3063"/>
        <v>4.5132429776590264E-3</v>
      </c>
      <c r="DA711" s="8">
        <f t="shared" si="3063"/>
        <v>4.5276853551875348E-3</v>
      </c>
      <c r="DB711" s="9">
        <f t="shared" si="3063"/>
        <v>9.0409283328465612E-3</v>
      </c>
      <c r="DC711" s="8">
        <f t="shared" si="3063"/>
        <v>4.5421739483241354E-3</v>
      </c>
      <c r="DD711" s="8">
        <f t="shared" si="3063"/>
        <v>4.5567089049587724E-3</v>
      </c>
      <c r="DE711" s="9">
        <f t="shared" si="3063"/>
        <v>9.0988828532829087E-3</v>
      </c>
      <c r="DF711" s="8">
        <f t="shared" si="3063"/>
        <v>4.5712903734546409E-3</v>
      </c>
      <c r="DG711" s="8">
        <f t="shared" si="3063"/>
        <v>4.5859185026496966E-3</v>
      </c>
      <c r="DH711" s="9">
        <f t="shared" si="3063"/>
        <v>9.1572088761043367E-3</v>
      </c>
      <c r="DI711" s="8">
        <f t="shared" si="3063"/>
        <v>4.6005934418581751E-3</v>
      </c>
      <c r="DJ711" s="8">
        <f t="shared" ref="DJ711:EF711" si="3064">DJ669*DJ693</f>
        <v>4.6153153408721214E-3</v>
      </c>
      <c r="DK711" s="9">
        <f t="shared" si="3064"/>
        <v>9.2159087827302973E-3</v>
      </c>
      <c r="DL711" s="8">
        <f t="shared" si="3064"/>
        <v>4.6300843499629124E-3</v>
      </c>
      <c r="DM711" s="8">
        <f t="shared" si="3064"/>
        <v>4.644900619882794E-3</v>
      </c>
      <c r="DN711" s="9">
        <f t="shared" si="3064"/>
        <v>9.2749849698457072E-3</v>
      </c>
      <c r="DO711" s="8">
        <f t="shared" si="3064"/>
        <v>4.6597643018664193E-3</v>
      </c>
      <c r="DP711" s="8">
        <f t="shared" si="3064"/>
        <v>4.6746755476323922E-3</v>
      </c>
      <c r="DQ711" s="9">
        <f t="shared" si="3064"/>
        <v>9.3344398494988098E-3</v>
      </c>
      <c r="DR711" s="8">
        <f t="shared" si="3064"/>
        <v>4.6896345093848171E-3</v>
      </c>
      <c r="DS711" s="8">
        <f t="shared" si="3064"/>
        <v>4.704641339814848E-3</v>
      </c>
      <c r="DT711" s="9">
        <f t="shared" si="3064"/>
        <v>9.3942758491996643E-3</v>
      </c>
      <c r="DU711" s="8">
        <f t="shared" si="3064"/>
        <v>4.7196961921022558E-3</v>
      </c>
      <c r="DV711" s="8">
        <f t="shared" si="3064"/>
        <v>4.7347992199169835E-3</v>
      </c>
      <c r="DW711" s="9">
        <f t="shared" si="3064"/>
        <v>9.4544954120192384E-3</v>
      </c>
      <c r="DX711" s="8">
        <f t="shared" si="3064"/>
        <v>4.7499505774207182E-3</v>
      </c>
      <c r="DY711" s="8">
        <f t="shared" si="3064"/>
        <v>4.7651504192684655E-3</v>
      </c>
      <c r="DZ711" s="9">
        <f t="shared" si="3064"/>
        <v>9.5151009966891829E-3</v>
      </c>
      <c r="EA711" s="8">
        <f t="shared" si="3064"/>
        <v>4.7803989006101246E-3</v>
      </c>
      <c r="EB711" s="8">
        <f t="shared" si="3064"/>
        <v>4.7956961770920774E-3</v>
      </c>
      <c r="EC711" s="9">
        <f t="shared" si="3064"/>
        <v>9.5760950777022021E-3</v>
      </c>
      <c r="ED711" s="8">
        <f t="shared" si="3064"/>
        <v>4.811042404858773E-3</v>
      </c>
      <c r="EE711" s="8">
        <f t="shared" si="3064"/>
        <v>4.8264377405543213E-3</v>
      </c>
      <c r="EF711" s="9">
        <f t="shared" si="3064"/>
        <v>9.6374801454130951E-3</v>
      </c>
      <c r="EG711" s="8">
        <f t="shared" ref="EG711:EL711" si="3065">EG669*EG693</f>
        <v>4.8418823413240953E-3</v>
      </c>
      <c r="EH711" s="8">
        <f t="shared" si="3065"/>
        <v>4.8573763648163334E-3</v>
      </c>
      <c r="EI711" s="9">
        <f t="shared" si="3065"/>
        <v>9.6992587061404279E-3</v>
      </c>
      <c r="EJ711" s="8">
        <f t="shared" si="3065"/>
        <v>4.8729199691837453E-3</v>
      </c>
      <c r="EK711" s="8">
        <f t="shared" si="3065"/>
        <v>4.8885133130851348E-3</v>
      </c>
      <c r="EL711" s="9">
        <f t="shared" si="3065"/>
        <v>9.7614332822688801E-3</v>
      </c>
      <c r="EM711" s="8">
        <f t="shared" ref="EM711:ER711" si="3066">EM669*EM693</f>
        <v>4.9041565556870066E-3</v>
      </c>
      <c r="EN711" s="8">
        <f t="shared" si="3066"/>
        <v>4.9198498566652054E-3</v>
      </c>
      <c r="EO711" s="9">
        <f t="shared" si="3066"/>
        <v>9.8240064123522111E-3</v>
      </c>
      <c r="EP711" s="8">
        <f t="shared" si="3066"/>
        <v>4.9355933762065341E-3</v>
      </c>
      <c r="EQ711" s="8">
        <f t="shared" si="3066"/>
        <v>4.9513872750103962E-3</v>
      </c>
      <c r="ER711" s="9">
        <f t="shared" si="3066"/>
        <v>9.8869806512169311E-3</v>
      </c>
      <c r="ES711" s="8">
        <f t="shared" ref="ES711:EX711" si="3067">ES669*ES693</f>
        <v>4.9672317142904297E-3</v>
      </c>
      <c r="ET711" s="8">
        <f t="shared" si="3067"/>
        <v>4.9831268557761592E-3</v>
      </c>
      <c r="EU711" s="9">
        <f t="shared" si="3067"/>
        <v>9.9503585700665906E-3</v>
      </c>
      <c r="EV711" s="8">
        <f t="shared" si="3067"/>
        <v>4.9990728617146426E-3</v>
      </c>
      <c r="EW711" s="8">
        <f t="shared" si="3067"/>
        <v>5.01506989487213E-3</v>
      </c>
      <c r="EX711" s="9">
        <f t="shared" si="3067"/>
        <v>1.0014142756586773E-2</v>
      </c>
      <c r="EY711" s="8">
        <f t="shared" ref="EY711:FA711" si="3068">EY669*EY693</f>
        <v>5.0311181185357205E-3</v>
      </c>
      <c r="EZ711" s="8">
        <f t="shared" si="3068"/>
        <v>5.0472176965150363E-3</v>
      </c>
      <c r="FA711" s="9">
        <f t="shared" si="3068"/>
        <v>1.0078335815050757E-2</v>
      </c>
      <c r="FH711" s="35"/>
      <c r="FI711" s="35"/>
      <c r="FJ711" s="35"/>
      <c r="FK711" s="35"/>
      <c r="FL711" s="35"/>
      <c r="FM711" s="35"/>
      <c r="FN711" s="35"/>
      <c r="FO711" s="35"/>
      <c r="FP711" s="35"/>
      <c r="FQ711" s="35"/>
    </row>
    <row r="712" spans="1:173" s="321" customFormat="1" hidden="1" outlineLevel="1">
      <c r="A712" s="1168"/>
      <c r="B712" s="186"/>
      <c r="C712" s="186" t="s">
        <v>327</v>
      </c>
      <c r="D712" s="910"/>
      <c r="E712" s="1"/>
      <c r="F712" s="1"/>
      <c r="G712" s="5"/>
      <c r="H712" s="1"/>
      <c r="I712" s="1"/>
      <c r="J712" s="5"/>
      <c r="K712" s="1"/>
      <c r="L712" s="1"/>
      <c r="M712" s="5"/>
      <c r="N712" s="1"/>
      <c r="O712" s="1"/>
      <c r="P712" s="5"/>
      <c r="Q712" s="1"/>
      <c r="R712" s="1"/>
      <c r="S712" s="5"/>
      <c r="T712" s="1"/>
      <c r="U712" s="1"/>
      <c r="V712" s="5"/>
      <c r="W712" s="1"/>
      <c r="X712" s="1"/>
      <c r="Y712" s="5"/>
      <c r="Z712" s="1"/>
      <c r="AA712" s="1"/>
      <c r="AB712" s="5"/>
      <c r="AC712" s="1"/>
      <c r="AD712" s="1"/>
      <c r="AE712" s="5"/>
      <c r="AF712" s="1"/>
      <c r="AG712" s="1"/>
      <c r="AH712" s="5"/>
      <c r="AI712" s="1"/>
      <c r="AJ712" s="1"/>
      <c r="AK712" s="5"/>
      <c r="AL712" s="1"/>
      <c r="AM712" s="1"/>
      <c r="AN712" s="5"/>
      <c r="AO712" s="1"/>
      <c r="AP712" s="1"/>
      <c r="AQ712" s="5"/>
      <c r="AR712" s="1"/>
      <c r="AS712" s="1"/>
      <c r="AT712" s="5"/>
      <c r="AU712" s="1"/>
      <c r="AV712" s="1"/>
      <c r="AW712" s="5"/>
      <c r="AX712" s="9">
        <f t="shared" ref="AX712:CC712" si="3069">SUM(AX709:AX711)</f>
        <v>9.2306147882287512E-3</v>
      </c>
      <c r="AY712" s="9">
        <f t="shared" si="3069"/>
        <v>9.2591363304871041E-3</v>
      </c>
      <c r="AZ712" s="9">
        <f t="shared" si="3069"/>
        <v>1.8489751118715855E-2</v>
      </c>
      <c r="BA712" s="8">
        <f t="shared" si="3069"/>
        <v>9.2878393028533457E-3</v>
      </c>
      <c r="BB712" s="8">
        <f t="shared" si="3069"/>
        <v>9.31672478308734E-3</v>
      </c>
      <c r="BC712" s="51">
        <f t="shared" si="3069"/>
        <v>1.8604564085940686E-2</v>
      </c>
      <c r="BD712" s="8">
        <f t="shared" si="3069"/>
        <v>9.3457938556727217E-3</v>
      </c>
      <c r="BE712" s="8">
        <f t="shared" si="3069"/>
        <v>9.3750476118593384E-3</v>
      </c>
      <c r="BF712" s="51">
        <f t="shared" si="3069"/>
        <v>1.8720841467532057E-2</v>
      </c>
      <c r="BG712" s="8">
        <f t="shared" si="3069"/>
        <v>9.4044871497059972E-3</v>
      </c>
      <c r="BH712" s="8">
        <f t="shared" si="3069"/>
        <v>9.4341135741234303E-3</v>
      </c>
      <c r="BI712" s="51">
        <f t="shared" si="3069"/>
        <v>1.8838600723829424E-2</v>
      </c>
      <c r="BJ712" s="115">
        <f t="shared" si="3069"/>
        <v>9.4639279969175906E-3</v>
      </c>
      <c r="BK712" s="115">
        <f t="shared" si="3069"/>
        <v>9.4939315368331827E-3</v>
      </c>
      <c r="BL712" s="116">
        <f t="shared" si="3069"/>
        <v>1.8957859533750773E-2</v>
      </c>
      <c r="BM712" s="115">
        <f t="shared" si="3069"/>
        <v>9.5090284282153409E-3</v>
      </c>
      <c r="BN712" s="115">
        <f t="shared" si="3069"/>
        <v>9.524173163498165E-3</v>
      </c>
      <c r="BO712" s="116">
        <f t="shared" si="3069"/>
        <v>1.9033201591713504E-2</v>
      </c>
      <c r="BP712" s="115">
        <f t="shared" si="3069"/>
        <v>9.5393658851597885E-3</v>
      </c>
      <c r="BQ712" s="115">
        <f t="shared" si="3069"/>
        <v>9.5546067361230672E-3</v>
      </c>
      <c r="BR712" s="116">
        <f t="shared" si="3069"/>
        <v>1.9093972621282856E-2</v>
      </c>
      <c r="BS712" s="8">
        <f t="shared" si="3069"/>
        <v>9.5698958597570036E-3</v>
      </c>
      <c r="BT712" s="8">
        <f t="shared" si="3069"/>
        <v>9.5852333998781396E-3</v>
      </c>
      <c r="BU712" s="9">
        <f t="shared" si="3069"/>
        <v>1.9155129259635143E-2</v>
      </c>
      <c r="BV712" s="8">
        <f t="shared" si="3069"/>
        <v>9.6006195007519793E-3</v>
      </c>
      <c r="BW712" s="8">
        <f t="shared" si="3069"/>
        <v>9.6160543070944043E-3</v>
      </c>
      <c r="BX712" s="187">
        <f t="shared" si="3069"/>
        <v>1.9216673807846384E-2</v>
      </c>
      <c r="BY712" s="8">
        <f t="shared" si="3069"/>
        <v>9.6315379640730982E-3</v>
      </c>
      <c r="BZ712" s="8">
        <f t="shared" si="3069"/>
        <v>9.6470706173089685E-3</v>
      </c>
      <c r="CA712" s="187">
        <f t="shared" si="3069"/>
        <v>1.9278608581382063E-2</v>
      </c>
      <c r="CB712" s="8">
        <f t="shared" si="3069"/>
        <v>9.662652412877587E-3</v>
      </c>
      <c r="CC712" s="8">
        <f t="shared" si="3069"/>
        <v>9.6782834973106191E-3</v>
      </c>
      <c r="CD712" s="187">
        <f t="shared" ref="CD712:DI712" si="3070">SUM(CD709:CD711)</f>
        <v>1.9340935910188206E-2</v>
      </c>
      <c r="CE712" s="8">
        <f t="shared" si="3070"/>
        <v>9.6939640175972685E-3</v>
      </c>
      <c r="CF712" s="8">
        <f t="shared" si="3070"/>
        <v>9.7096941211857121E-3</v>
      </c>
      <c r="CG712" s="187">
        <f t="shared" si="3070"/>
        <v>1.9403658138782982E-2</v>
      </c>
      <c r="CH712" s="8">
        <f t="shared" si="3070"/>
        <v>9.7254739559845711E-3</v>
      </c>
      <c r="CI712" s="8">
        <f t="shared" si="3070"/>
        <v>9.7413036703643419E-3</v>
      </c>
      <c r="CJ712" s="187">
        <f t="shared" si="3070"/>
        <v>1.9466777626348915E-2</v>
      </c>
      <c r="CK712" s="8">
        <f t="shared" si="3070"/>
        <v>9.7571834131588743E-3</v>
      </c>
      <c r="CL712" s="8">
        <f t="shared" si="3070"/>
        <v>9.7731133336668233E-3</v>
      </c>
      <c r="CM712" s="187">
        <f t="shared" si="3070"/>
        <v>1.9530296746825694E-2</v>
      </c>
      <c r="CN712" s="8">
        <f t="shared" si="3070"/>
        <v>9.7890935816531167E-3</v>
      </c>
      <c r="CO712" s="8">
        <f t="shared" si="3070"/>
        <v>9.8051243073504456E-3</v>
      </c>
      <c r="CP712" s="187">
        <f t="shared" si="3070"/>
        <v>1.9594217889003562E-2</v>
      </c>
      <c r="CQ712" s="8">
        <f t="shared" si="3070"/>
        <v>9.821205661460719E-3</v>
      </c>
      <c r="CR712" s="8">
        <f t="shared" si="3070"/>
        <v>9.8373377951565585E-3</v>
      </c>
      <c r="CS712" s="187">
        <f t="shared" si="3070"/>
        <v>1.9658543456617272E-2</v>
      </c>
      <c r="CT712" s="8">
        <f t="shared" si="3070"/>
        <v>9.8535208600827907E-3</v>
      </c>
      <c r="CU712" s="8">
        <f t="shared" si="3070"/>
        <v>9.8697550083579264E-3</v>
      </c>
      <c r="CV712" s="187">
        <f t="shared" si="3070"/>
        <v>1.9723275868440714E-2</v>
      </c>
      <c r="CW712" s="8">
        <f t="shared" si="3070"/>
        <v>9.8860403925756651E-3</v>
      </c>
      <c r="CX712" s="8">
        <f t="shared" si="3070"/>
        <v>9.9023771658063985E-3</v>
      </c>
      <c r="CY712" s="9">
        <f t="shared" si="3070"/>
        <v>1.9788417558382065E-2</v>
      </c>
      <c r="CZ712" s="8">
        <f t="shared" si="3070"/>
        <v>9.9187654815987084E-3</v>
      </c>
      <c r="DA712" s="8">
        <f t="shared" si="3070"/>
        <v>9.935205493980883E-3</v>
      </c>
      <c r="DB712" s="9">
        <f t="shared" si="3070"/>
        <v>1.9853970975579591E-2</v>
      </c>
      <c r="DC712" s="8">
        <f t="shared" si="3070"/>
        <v>9.9516973574624371E-3</v>
      </c>
      <c r="DD712" s="8">
        <f t="shared" si="3070"/>
        <v>9.9682412270356222E-3</v>
      </c>
      <c r="DE712" s="9">
        <f t="shared" si="3070"/>
        <v>1.9919938584498059E-2</v>
      </c>
      <c r="DF712" s="8">
        <f t="shared" si="3070"/>
        <v>9.9848372581769641E-3</v>
      </c>
      <c r="DG712" s="8">
        <f t="shared" si="3070"/>
        <v>1.0001485606848784E-2</v>
      </c>
      <c r="DH712" s="9">
        <f t="shared" si="3070"/>
        <v>1.9986322865025746E-2</v>
      </c>
      <c r="DI712" s="8">
        <f t="shared" si="3070"/>
        <v>1.0018186429500735E-2</v>
      </c>
      <c r="DJ712" s="8">
        <f t="shared" ref="DJ712:EF712" si="3071">SUM(DJ709:DJ711)</f>
        <v>1.0034939883071348E-2</v>
      </c>
      <c r="DK712" s="9">
        <f t="shared" si="3071"/>
        <v>2.0053126312572084E-2</v>
      </c>
      <c r="DL712" s="8">
        <f t="shared" si="3071"/>
        <v>1.0051746124989573E-2</v>
      </c>
      <c r="DM712" s="8">
        <f t="shared" si="3071"/>
        <v>1.0068605313176326E-2</v>
      </c>
      <c r="DN712" s="9">
        <f t="shared" si="3071"/>
        <v>2.0120351438165901E-2</v>
      </c>
      <c r="DO712" s="8">
        <f t="shared" si="3071"/>
        <v>1.0085517606046051E-2</v>
      </c>
      <c r="DP712" s="8">
        <f t="shared" si="3071"/>
        <v>1.010248316250827E-2</v>
      </c>
      <c r="DQ712" s="9">
        <f t="shared" si="3071"/>
        <v>2.0188000768554318E-2</v>
      </c>
      <c r="DR712" s="8">
        <f t="shared" si="3071"/>
        <v>1.0119502141969161E-2</v>
      </c>
      <c r="DS712" s="8">
        <f t="shared" si="3071"/>
        <v>1.0136574704333113E-2</v>
      </c>
      <c r="DT712" s="9">
        <f t="shared" si="3071"/>
        <v>2.0256076846302276E-2</v>
      </c>
      <c r="DU712" s="8">
        <f t="shared" si="3071"/>
        <v>1.0153701010004316E-2</v>
      </c>
      <c r="DV712" s="8">
        <f t="shared" si="3071"/>
        <v>1.0170881219888328E-2</v>
      </c>
      <c r="DW712" s="9">
        <f t="shared" si="3071"/>
        <v>2.0324582229892644E-2</v>
      </c>
      <c r="DX712" s="8">
        <f t="shared" si="3071"/>
        <v>1.0188115495393665E-2</v>
      </c>
      <c r="DY712" s="8">
        <f t="shared" si="3071"/>
        <v>1.0205403998433393E-2</v>
      </c>
      <c r="DZ712" s="9">
        <f t="shared" si="3071"/>
        <v>2.0393519493827061E-2</v>
      </c>
      <c r="EA712" s="8">
        <f t="shared" si="3071"/>
        <v>1.0222746891426722E-2</v>
      </c>
      <c r="EB712" s="8">
        <f t="shared" si="3071"/>
        <v>1.0240144337300599E-2</v>
      </c>
      <c r="EC712" s="9">
        <f t="shared" si="3071"/>
        <v>2.0462891228727319E-2</v>
      </c>
      <c r="ED712" s="8">
        <f t="shared" si="3071"/>
        <v>1.0257596499491324E-2</v>
      </c>
      <c r="EE712" s="8">
        <f t="shared" si="3071"/>
        <v>1.0275103541946152E-2</v>
      </c>
      <c r="EF712" s="9">
        <f t="shared" si="3071"/>
        <v>2.0532700041437479E-2</v>
      </c>
      <c r="EG712" s="8">
        <f t="shared" ref="EG712:EL712" si="3072">SUM(EG709:EG711)</f>
        <v>1.0292665629124917E-2</v>
      </c>
      <c r="EH712" s="8">
        <f t="shared" si="3072"/>
        <v>1.0310282926001639E-2</v>
      </c>
      <c r="EI712" s="9">
        <f t="shared" si="3072"/>
        <v>2.0602948555126552E-2</v>
      </c>
      <c r="EJ712" s="8">
        <f t="shared" si="3072"/>
        <v>1.0327955598066161E-2</v>
      </c>
      <c r="EK712" s="8">
        <f t="shared" si="3072"/>
        <v>1.034568381132578E-2</v>
      </c>
      <c r="EL712" s="9">
        <f t="shared" si="3072"/>
        <v>2.0673639409391945E-2</v>
      </c>
      <c r="EM712" s="8">
        <f t="shared" ref="EM712:ER712" si="3073">SUM(EM709:EM711)</f>
        <v>1.0363467732306874E-2</v>
      </c>
      <c r="EN712" s="8">
        <f t="shared" si="3073"/>
        <v>1.0381307528056551E-2</v>
      </c>
      <c r="EO712" s="9">
        <f t="shared" si="3073"/>
        <v>2.0744775260363425E-2</v>
      </c>
      <c r="EP712" s="8">
        <f t="shared" si="3073"/>
        <v>1.0399203366144291E-2</v>
      </c>
      <c r="EQ712" s="8">
        <f t="shared" si="3073"/>
        <v>1.0417155414663606E-2</v>
      </c>
      <c r="ER712" s="9">
        <f t="shared" si="3073"/>
        <v>2.0816358780807898E-2</v>
      </c>
      <c r="ES712" s="8">
        <f t="shared" ref="ES712:EX712" si="3074">SUM(ES709:ES711)</f>
        <v>1.0435163842233679E-2</v>
      </c>
      <c r="ET712" s="8">
        <f t="shared" si="3074"/>
        <v>1.0453228818001051E-2</v>
      </c>
      <c r="EU712" s="9">
        <f t="shared" si="3074"/>
        <v>2.0888392660234734E-2</v>
      </c>
      <c r="EV712" s="8">
        <f t="shared" si="3074"/>
        <v>1.0471350511641261E-2</v>
      </c>
      <c r="EW712" s="8">
        <f t="shared" si="3074"/>
        <v>1.0489529093360551E-2</v>
      </c>
      <c r="EX712" s="9">
        <f t="shared" si="3074"/>
        <v>2.0960879605001814E-2</v>
      </c>
      <c r="EY712" s="8">
        <f t="shared" ref="EY712:FA712" si="3075">SUM(EY709:EY711)</f>
        <v>1.0507764733897508E-2</v>
      </c>
      <c r="EZ712" s="8">
        <f t="shared" si="3075"/>
        <v>1.0526057604524779E-2</v>
      </c>
      <c r="FA712" s="9">
        <f t="shared" si="3075"/>
        <v>2.1033822338422291E-2</v>
      </c>
      <c r="FH712" s="35"/>
      <c r="FI712" s="35"/>
      <c r="FJ712" s="35"/>
      <c r="FK712" s="35"/>
      <c r="FL712" s="35"/>
      <c r="FM712" s="35"/>
      <c r="FN712" s="35"/>
      <c r="FO712" s="35"/>
      <c r="FP712" s="35"/>
      <c r="FQ712" s="35"/>
    </row>
    <row r="713" spans="1:173" s="321" customFormat="1" hidden="1" outlineLevel="1">
      <c r="A713" s="1168"/>
      <c r="B713" s="186"/>
      <c r="C713" s="186"/>
      <c r="D713" s="910"/>
      <c r="E713" s="1"/>
      <c r="F713" s="1"/>
      <c r="G713" s="5"/>
      <c r="H713" s="1"/>
      <c r="I713" s="1"/>
      <c r="J713" s="5"/>
      <c r="K713" s="1"/>
      <c r="L713" s="1"/>
      <c r="M713" s="5"/>
      <c r="N713" s="1"/>
      <c r="O713" s="1"/>
      <c r="P713" s="5"/>
      <c r="Q713" s="1"/>
      <c r="R713" s="1"/>
      <c r="S713" s="5"/>
      <c r="T713" s="1"/>
      <c r="U713" s="1"/>
      <c r="V713" s="5"/>
      <c r="W713" s="1"/>
      <c r="X713" s="1"/>
      <c r="Y713" s="5"/>
      <c r="Z713" s="1"/>
      <c r="AA713" s="1"/>
      <c r="AB713" s="5"/>
      <c r="AC713" s="1"/>
      <c r="AD713" s="1"/>
      <c r="AE713" s="5"/>
      <c r="AF713" s="1"/>
      <c r="AG713" s="1"/>
      <c r="AH713" s="5"/>
      <c r="AI713" s="1"/>
      <c r="AJ713" s="1"/>
      <c r="AK713" s="5"/>
      <c r="AL713" s="1"/>
      <c r="AM713" s="1"/>
      <c r="AN713" s="5"/>
      <c r="AO713" s="1"/>
      <c r="AP713" s="1"/>
      <c r="AQ713" s="5"/>
      <c r="AR713" s="1"/>
      <c r="AS713" s="1"/>
      <c r="AT713" s="5"/>
      <c r="AU713" s="1"/>
      <c r="AV713" s="1"/>
      <c r="AW713" s="5"/>
      <c r="AX713" s="1"/>
      <c r="AY713" s="1"/>
      <c r="AZ713" s="5"/>
      <c r="BA713" s="1"/>
      <c r="BB713" s="1"/>
      <c r="BC713" s="46"/>
      <c r="BD713" s="1"/>
      <c r="BE713" s="1"/>
      <c r="BF713" s="46"/>
      <c r="BG713" s="1"/>
      <c r="BH713" s="1"/>
      <c r="BI713" s="51"/>
      <c r="BJ713" s="115"/>
      <c r="BK713" s="115"/>
      <c r="BL713" s="116"/>
      <c r="BM713" s="115"/>
      <c r="BN713" s="115"/>
      <c r="BO713" s="116"/>
      <c r="BP713" s="115"/>
      <c r="BQ713" s="115"/>
      <c r="BR713" s="116"/>
      <c r="BS713" s="8"/>
      <c r="BT713" s="8"/>
      <c r="BU713" s="9"/>
      <c r="BV713" s="8"/>
      <c r="BW713" s="8"/>
      <c r="BX713" s="187"/>
      <c r="BY713" s="8"/>
      <c r="BZ713" s="8"/>
      <c r="CA713" s="187"/>
      <c r="CB713" s="8"/>
      <c r="CC713" s="8"/>
      <c r="CD713" s="187"/>
      <c r="CE713" s="8"/>
      <c r="CF713" s="8"/>
      <c r="CG713" s="187"/>
      <c r="CH713" s="8"/>
      <c r="CI713" s="8"/>
      <c r="CJ713" s="187"/>
      <c r="CK713" s="8"/>
      <c r="CL713" s="8"/>
      <c r="CM713" s="187"/>
      <c r="CN713" s="8"/>
      <c r="CO713" s="8"/>
      <c r="CP713" s="187"/>
      <c r="CQ713" s="8"/>
      <c r="CR713" s="8"/>
      <c r="CS713" s="187"/>
      <c r="CT713" s="8"/>
      <c r="CU713" s="8"/>
      <c r="CV713" s="187"/>
      <c r="CW713" s="8"/>
      <c r="CX713" s="8"/>
      <c r="CY713" s="9"/>
      <c r="CZ713" s="8"/>
      <c r="DA713" s="8"/>
      <c r="DB713" s="9"/>
      <c r="DC713" s="8"/>
      <c r="DD713" s="8"/>
      <c r="DE713" s="9"/>
      <c r="DF713" s="8"/>
      <c r="DG713" s="8"/>
      <c r="DH713" s="9"/>
      <c r="DI713" s="8"/>
      <c r="DJ713" s="8"/>
      <c r="DK713" s="9"/>
      <c r="DL713" s="8"/>
      <c r="DM713" s="8"/>
      <c r="DN713" s="9"/>
      <c r="DO713" s="8"/>
      <c r="DP713" s="8"/>
      <c r="DQ713" s="9"/>
      <c r="DR713" s="8"/>
      <c r="DS713" s="8"/>
      <c r="DT713" s="9"/>
      <c r="DU713" s="8"/>
      <c r="DV713" s="8"/>
      <c r="DW713" s="9"/>
      <c r="DX713" s="8"/>
      <c r="DY713" s="8"/>
      <c r="DZ713" s="9"/>
      <c r="EA713" s="8"/>
      <c r="EB713" s="8"/>
      <c r="EC713" s="9"/>
      <c r="ED713" s="8"/>
      <c r="EE713" s="8"/>
      <c r="EF713" s="9"/>
      <c r="EG713" s="8"/>
      <c r="EH713" s="8"/>
      <c r="EI713" s="9"/>
      <c r="EJ713" s="8"/>
      <c r="EK713" s="8"/>
      <c r="EL713" s="9"/>
      <c r="EM713" s="8"/>
      <c r="EN713" s="8"/>
      <c r="EO713" s="9"/>
      <c r="EP713" s="8"/>
      <c r="EQ713" s="8"/>
      <c r="ER713" s="9"/>
      <c r="ES713" s="8"/>
      <c r="ET713" s="8"/>
      <c r="EU713" s="9"/>
      <c r="EV713" s="8"/>
      <c r="EW713" s="8"/>
      <c r="EX713" s="9"/>
      <c r="EY713" s="8"/>
      <c r="EZ713" s="8"/>
      <c r="FA713" s="9"/>
      <c r="FH713" s="35"/>
      <c r="FI713" s="35"/>
      <c r="FJ713" s="35"/>
      <c r="FK713" s="35"/>
      <c r="FL713" s="35"/>
      <c r="FM713" s="35"/>
      <c r="FN713" s="35"/>
      <c r="FO713" s="35"/>
      <c r="FP713" s="35"/>
      <c r="FQ713" s="35"/>
    </row>
    <row r="714" spans="1:173" s="321" customFormat="1" hidden="1" outlineLevel="1">
      <c r="A714" s="1168"/>
      <c r="B714" s="186"/>
      <c r="C714" s="331" t="s">
        <v>325</v>
      </c>
      <c r="D714" s="910"/>
      <c r="E714" s="1"/>
      <c r="F714" s="1"/>
      <c r="G714" s="5"/>
      <c r="H714" s="1"/>
      <c r="I714" s="1"/>
      <c r="J714" s="5"/>
      <c r="K714" s="1"/>
      <c r="L714" s="1"/>
      <c r="M714" s="5"/>
      <c r="N714" s="1"/>
      <c r="O714" s="1"/>
      <c r="P714" s="5"/>
      <c r="Q714" s="1"/>
      <c r="R714" s="1"/>
      <c r="S714" s="5"/>
      <c r="T714" s="1"/>
      <c r="U714" s="1"/>
      <c r="V714" s="5"/>
      <c r="W714" s="1"/>
      <c r="X714" s="1"/>
      <c r="Y714" s="5"/>
      <c r="Z714" s="1"/>
      <c r="AA714" s="1"/>
      <c r="AB714" s="5"/>
      <c r="AC714" s="1"/>
      <c r="AD714" s="1"/>
      <c r="AE714" s="5"/>
      <c r="AF714" s="1"/>
      <c r="AG714" s="1"/>
      <c r="AH714" s="5"/>
      <c r="AI714" s="1"/>
      <c r="AJ714" s="1"/>
      <c r="AK714" s="5"/>
      <c r="AL714" s="1"/>
      <c r="AM714" s="1"/>
      <c r="AN714" s="5"/>
      <c r="AO714" s="1"/>
      <c r="AP714" s="1"/>
      <c r="AQ714" s="5"/>
      <c r="AR714" s="1"/>
      <c r="AS714" s="1"/>
      <c r="AT714" s="5"/>
      <c r="AU714" s="1"/>
      <c r="AV714" s="1"/>
      <c r="AW714" s="5"/>
      <c r="AX714" s="1"/>
      <c r="AY714" s="1"/>
      <c r="AZ714" s="5"/>
      <c r="BA714" s="1"/>
      <c r="BB714" s="1"/>
      <c r="BC714" s="46"/>
      <c r="BD714" s="1"/>
      <c r="BE714" s="1"/>
      <c r="BF714" s="46"/>
      <c r="BG714" s="1"/>
      <c r="BH714" s="1"/>
      <c r="BI714" s="51"/>
      <c r="BJ714" s="115"/>
      <c r="BK714" s="115"/>
      <c r="BL714" s="116"/>
      <c r="BM714" s="115"/>
      <c r="BN714" s="115"/>
      <c r="BO714" s="116"/>
      <c r="BP714" s="115"/>
      <c r="BQ714" s="115"/>
      <c r="BR714" s="116"/>
      <c r="BS714" s="8"/>
      <c r="BT714" s="8"/>
      <c r="BU714" s="9"/>
      <c r="BV714" s="8"/>
      <c r="BW714" s="8"/>
      <c r="BX714" s="187"/>
      <c r="BY714" s="8"/>
      <c r="BZ714" s="8"/>
      <c r="CA714" s="187"/>
      <c r="CB714" s="8"/>
      <c r="CC714" s="8"/>
      <c r="CD714" s="187"/>
      <c r="CE714" s="8"/>
      <c r="CF714" s="8"/>
      <c r="CG714" s="187"/>
      <c r="CH714" s="8"/>
      <c r="CI714" s="8"/>
      <c r="CJ714" s="187"/>
      <c r="CK714" s="8"/>
      <c r="CL714" s="8"/>
      <c r="CM714" s="187"/>
      <c r="CN714" s="8"/>
      <c r="CO714" s="8"/>
      <c r="CP714" s="187"/>
      <c r="CQ714" s="8"/>
      <c r="CR714" s="8"/>
      <c r="CS714" s="187"/>
      <c r="CT714" s="8"/>
      <c r="CU714" s="8"/>
      <c r="CV714" s="187"/>
      <c r="CW714" s="8"/>
      <c r="CX714" s="8"/>
      <c r="CY714" s="9"/>
      <c r="CZ714" s="8"/>
      <c r="DA714" s="8"/>
      <c r="DB714" s="9"/>
      <c r="DC714" s="8"/>
      <c r="DD714" s="8"/>
      <c r="DE714" s="9"/>
      <c r="DF714" s="8"/>
      <c r="DG714" s="8"/>
      <c r="DH714" s="9"/>
      <c r="DI714" s="8"/>
      <c r="DJ714" s="8"/>
      <c r="DK714" s="9"/>
      <c r="DL714" s="8"/>
      <c r="DM714" s="8"/>
      <c r="DN714" s="9"/>
      <c r="DO714" s="8"/>
      <c r="DP714" s="8"/>
      <c r="DQ714" s="9"/>
      <c r="DR714" s="8"/>
      <c r="DS714" s="8"/>
      <c r="DT714" s="9"/>
      <c r="DU714" s="8"/>
      <c r="DV714" s="8"/>
      <c r="DW714" s="9"/>
      <c r="DX714" s="8"/>
      <c r="DY714" s="8"/>
      <c r="DZ714" s="9"/>
      <c r="EA714" s="8"/>
      <c r="EB714" s="8"/>
      <c r="EC714" s="9"/>
      <c r="ED714" s="8"/>
      <c r="EE714" s="8"/>
      <c r="EF714" s="9"/>
      <c r="EG714" s="8"/>
      <c r="EH714" s="8"/>
      <c r="EI714" s="9"/>
      <c r="EJ714" s="8"/>
      <c r="EK714" s="8"/>
      <c r="EL714" s="9"/>
      <c r="EM714" s="8"/>
      <c r="EN714" s="8"/>
      <c r="EO714" s="9"/>
      <c r="EP714" s="8"/>
      <c r="EQ714" s="8"/>
      <c r="ER714" s="9"/>
      <c r="ES714" s="8"/>
      <c r="ET714" s="8"/>
      <c r="EU714" s="9"/>
      <c r="EV714" s="8"/>
      <c r="EW714" s="8"/>
      <c r="EX714" s="9"/>
      <c r="EY714" s="8"/>
      <c r="EZ714" s="8"/>
      <c r="FA714" s="9"/>
      <c r="FH714" s="35"/>
      <c r="FI714" s="35"/>
      <c r="FJ714" s="35"/>
      <c r="FK714" s="35"/>
      <c r="FL714" s="35"/>
      <c r="FM714" s="35"/>
      <c r="FN714" s="35"/>
      <c r="FO714" s="35"/>
      <c r="FP714" s="35"/>
      <c r="FQ714" s="35"/>
    </row>
    <row r="715" spans="1:173" s="321" customFormat="1" hidden="1" outlineLevel="1">
      <c r="A715" s="1168"/>
      <c r="B715" s="186"/>
      <c r="C715" s="186" t="s">
        <v>316</v>
      </c>
      <c r="D715" s="910"/>
      <c r="E715" s="1"/>
      <c r="F715" s="1"/>
      <c r="G715" s="5"/>
      <c r="H715" s="1"/>
      <c r="I715" s="1"/>
      <c r="J715" s="5"/>
      <c r="K715" s="1"/>
      <c r="L715" s="1"/>
      <c r="M715" s="5"/>
      <c r="N715" s="1"/>
      <c r="O715" s="1"/>
      <c r="P715" s="5"/>
      <c r="Q715" s="1"/>
      <c r="R715" s="1"/>
      <c r="S715" s="5"/>
      <c r="T715" s="1"/>
      <c r="U715" s="1"/>
      <c r="V715" s="5"/>
      <c r="W715" s="1"/>
      <c r="X715" s="1"/>
      <c r="Y715" s="5"/>
      <c r="Z715" s="1"/>
      <c r="AA715" s="1"/>
      <c r="AB715" s="5"/>
      <c r="AC715" s="1"/>
      <c r="AD715" s="1"/>
      <c r="AE715" s="5"/>
      <c r="AF715" s="1"/>
      <c r="AG715" s="1"/>
      <c r="AH715" s="5"/>
      <c r="AI715" s="1"/>
      <c r="AJ715" s="1"/>
      <c r="AK715" s="5"/>
      <c r="AL715" s="1"/>
      <c r="AM715" s="1"/>
      <c r="AN715" s="5"/>
      <c r="AO715" s="1"/>
      <c r="AP715" s="1"/>
      <c r="AQ715" s="5"/>
      <c r="AR715" s="1"/>
      <c r="AS715" s="1"/>
      <c r="AT715" s="5"/>
      <c r="AU715" s="1"/>
      <c r="AV715" s="1"/>
      <c r="AW715" s="5"/>
      <c r="AX715" s="187">
        <f t="shared" ref="AX715:AZ717" si="3076">AX691*AX673</f>
        <v>0.84018427308394394</v>
      </c>
      <c r="AY715" s="187">
        <f t="shared" si="3076"/>
        <v>0.84266281668954179</v>
      </c>
      <c r="AZ715" s="187">
        <f t="shared" si="3076"/>
        <v>0.83969069038168564</v>
      </c>
      <c r="BA715" s="8">
        <f t="shared" ref="BA715:BC717" si="3077">BA691*BA673</f>
        <v>0.84514867199877575</v>
      </c>
      <c r="BB715" s="8">
        <f t="shared" si="3077"/>
        <v>0.8476418605811723</v>
      </c>
      <c r="BC715" s="51">
        <f t="shared" si="3077"/>
        <v>0.84465217286317062</v>
      </c>
      <c r="BD715" s="8">
        <f t="shared" ref="BD715:DO715" si="3078">BD691*BD673</f>
        <v>0.85014240406988673</v>
      </c>
      <c r="BE715" s="8">
        <f t="shared" si="3078"/>
        <v>0.85265032416189279</v>
      </c>
      <c r="BF715" s="51">
        <f t="shared" si="3078"/>
        <v>0.84964297126859767</v>
      </c>
      <c r="BG715" s="8">
        <f t="shared" si="3078"/>
        <v>0.85516564261817063</v>
      </c>
      <c r="BH715" s="8">
        <f t="shared" si="3078"/>
        <v>0.85768838126389413</v>
      </c>
      <c r="BI715" s="51">
        <f t="shared" si="3078"/>
        <v>0.85466325881703997</v>
      </c>
      <c r="BJ715" s="8">
        <f t="shared" si="3078"/>
        <v>0.86021856198862257</v>
      </c>
      <c r="BK715" s="8">
        <f t="shared" si="3078"/>
        <v>0.86275620674648912</v>
      </c>
      <c r="BL715" s="51">
        <f t="shared" si="3078"/>
        <v>0.85971320975107035</v>
      </c>
      <c r="BM715" s="8">
        <f t="shared" si="3078"/>
        <v>0.86402877215144014</v>
      </c>
      <c r="BN715" s="8">
        <f t="shared" si="3078"/>
        <v>0.8653032145903633</v>
      </c>
      <c r="BO715" s="51">
        <f t="shared" si="3078"/>
        <v>0.86224673909239913</v>
      </c>
      <c r="BP715" s="8">
        <f t="shared" si="3078"/>
        <v>0.86657953683188393</v>
      </c>
      <c r="BQ715" s="8">
        <f t="shared" si="3078"/>
        <v>0.86785774164871088</v>
      </c>
      <c r="BR715" s="51">
        <f t="shared" si="3078"/>
        <v>0.86479224289828327</v>
      </c>
      <c r="BS715" s="8">
        <f t="shared" si="3078"/>
        <v>0.8691378318176427</v>
      </c>
      <c r="BT715" s="8">
        <f t="shared" si="3078"/>
        <v>0.8704198101195737</v>
      </c>
      <c r="BU715" s="51">
        <f t="shared" si="3078"/>
        <v>0.86734526147845659</v>
      </c>
      <c r="BV715" s="8">
        <f t="shared" si="3078"/>
        <v>0.8717036793395001</v>
      </c>
      <c r="BW715" s="8">
        <f t="shared" si="3078"/>
        <v>0.87298944226652553</v>
      </c>
      <c r="BX715" s="51">
        <f t="shared" si="3078"/>
        <v>0.86990581701785241</v>
      </c>
      <c r="BY715" s="8">
        <f t="shared" si="3078"/>
        <v>0.87427710169386863</v>
      </c>
      <c r="BZ715" s="8">
        <f t="shared" si="3078"/>
        <v>0.8755666604188671</v>
      </c>
      <c r="CA715" s="51">
        <f t="shared" si="3078"/>
        <v>0.87247393176689803</v>
      </c>
      <c r="CB715" s="8">
        <f t="shared" si="3078"/>
        <v>0.87685812124298479</v>
      </c>
      <c r="CC715" s="8">
        <f t="shared" si="3078"/>
        <v>0.87815148697181833</v>
      </c>
      <c r="CD715" s="51">
        <f t="shared" si="3078"/>
        <v>0.87504962804170805</v>
      </c>
      <c r="CE715" s="8">
        <f t="shared" si="3078"/>
        <v>0.8794467604151015</v>
      </c>
      <c r="CF715" s="8">
        <f t="shared" si="3078"/>
        <v>0.88074394438671366</v>
      </c>
      <c r="CG715" s="51">
        <f t="shared" si="3078"/>
        <v>0.87763292822427774</v>
      </c>
      <c r="CH715" s="8">
        <f t="shared" si="3078"/>
        <v>0.88204304170468406</v>
      </c>
      <c r="CI715" s="8">
        <f t="shared" si="3078"/>
        <v>0.88334405519119841</v>
      </c>
      <c r="CJ715" s="51">
        <f t="shared" si="3078"/>
        <v>0.88022385476267873</v>
      </c>
      <c r="CK715" s="8">
        <f t="shared" si="3078"/>
        <v>0.88464698767260508</v>
      </c>
      <c r="CL715" s="8">
        <f t="shared" si="3078"/>
        <v>0.88595184197942223</v>
      </c>
      <c r="CM715" s="51">
        <f t="shared" si="3078"/>
        <v>0.8828224301712525</v>
      </c>
      <c r="CN715" s="8">
        <f t="shared" si="3078"/>
        <v>0.88725862094634167</v>
      </c>
      <c r="CO715" s="8">
        <f t="shared" si="3078"/>
        <v>0.88856732741223743</v>
      </c>
      <c r="CP715" s="51">
        <f t="shared" si="3078"/>
        <v>0.88542867703080697</v>
      </c>
      <c r="CQ715" s="8">
        <f t="shared" si="3078"/>
        <v>0.88987796422017051</v>
      </c>
      <c r="CR715" s="8">
        <f t="shared" si="3078"/>
        <v>0.89119053421739514</v>
      </c>
      <c r="CS715" s="51">
        <f t="shared" si="3078"/>
        <v>0.88804261798881345</v>
      </c>
      <c r="CT715" s="8">
        <f t="shared" si="3078"/>
        <v>0.8925050402553657</v>
      </c>
      <c r="CU715" s="8">
        <f t="shared" si="3078"/>
        <v>0.89382148518974214</v>
      </c>
      <c r="CV715" s="51">
        <f t="shared" si="3078"/>
        <v>0.89066427575960083</v>
      </c>
      <c r="CW715" s="8">
        <f t="shared" si="3078"/>
        <v>0.89513987188039701</v>
      </c>
      <c r="CX715" s="8">
        <f t="shared" si="3078"/>
        <v>0.89646020319142039</v>
      </c>
      <c r="CY715" s="51">
        <f t="shared" si="3078"/>
        <v>0.89329367312455632</v>
      </c>
      <c r="CZ715" s="8">
        <f t="shared" si="3078"/>
        <v>0.89778248199112765</v>
      </c>
      <c r="DA715" s="8">
        <f t="shared" si="3078"/>
        <v>0.89910671115206453</v>
      </c>
      <c r="DB715" s="51">
        <f t="shared" si="3078"/>
        <v>0.89593083293232123</v>
      </c>
      <c r="DC715" s="8">
        <f t="shared" si="3078"/>
        <v>0.90043289355101375</v>
      </c>
      <c r="DD715" s="8">
        <f t="shared" si="3078"/>
        <v>0.90176103206900149</v>
      </c>
      <c r="DE715" s="51">
        <f t="shared" si="3078"/>
        <v>0.89857577809898981</v>
      </c>
      <c r="DF715" s="8">
        <f t="shared" si="3078"/>
        <v>0.90309112959130333</v>
      </c>
      <c r="DG715" s="8">
        <f t="shared" si="3078"/>
        <v>0.90442318900745033</v>
      </c>
      <c r="DH715" s="51">
        <f t="shared" si="3078"/>
        <v>0.90122853160830885</v>
      </c>
      <c r="DI715" s="8">
        <f t="shared" si="3078"/>
        <v>0.90575721321123615</v>
      </c>
      <c r="DJ715" s="8">
        <f t="shared" si="3078"/>
        <v>0.90709320510072255</v>
      </c>
      <c r="DK715" s="51">
        <f t="shared" si="3078"/>
        <v>0.90388911651187731</v>
      </c>
      <c r="DL715" s="8">
        <f t="shared" si="3078"/>
        <v>0.90843116757824605</v>
      </c>
      <c r="DM715" s="8">
        <f t="shared" si="3078"/>
        <v>0.90977110355042379</v>
      </c>
      <c r="DN715" s="51">
        <f t="shared" si="3078"/>
        <v>0.90655755592934617</v>
      </c>
      <c r="DO715" s="8">
        <f t="shared" si="3078"/>
        <v>0.91111301592816085</v>
      </c>
      <c r="DP715" s="8">
        <f t="shared" ref="DP715:ER715" si="3079">DP691*DP673</f>
        <v>0.91245690762665466</v>
      </c>
      <c r="DQ715" s="51">
        <f t="shared" si="3079"/>
        <v>0.90923387304862024</v>
      </c>
      <c r="DR715" s="8">
        <f t="shared" si="3079"/>
        <v>0.91380278156540395</v>
      </c>
      <c r="DS715" s="8">
        <f t="shared" si="3079"/>
        <v>0.91515064066821261</v>
      </c>
      <c r="DT715" s="51">
        <f t="shared" si="3079"/>
        <v>0.91191809112605848</v>
      </c>
      <c r="DU715" s="8">
        <f t="shared" si="3079"/>
        <v>0.91650048786319838</v>
      </c>
      <c r="DV715" s="8">
        <f t="shared" si="3079"/>
        <v>0.91785232608279632</v>
      </c>
      <c r="DW715" s="51">
        <f t="shared" si="3079"/>
        <v>0.91461023348667714</v>
      </c>
      <c r="DX715" s="8">
        <f t="shared" si="3079"/>
        <v>0.91920615826376828</v>
      </c>
      <c r="DY715" s="8">
        <f t="shared" si="3079"/>
        <v>0.92056198734720729</v>
      </c>
      <c r="DZ715" s="51">
        <f t="shared" si="3079"/>
        <v>0.91731032352435204</v>
      </c>
      <c r="EA715" s="8">
        <f t="shared" si="3079"/>
        <v>0.92191981627854425</v>
      </c>
      <c r="EB715" s="8">
        <f t="shared" si="3079"/>
        <v>0.92327964800755513</v>
      </c>
      <c r="EC715" s="51">
        <f t="shared" si="3079"/>
        <v>0.92001838470202124</v>
      </c>
      <c r="ED715" s="8">
        <f t="shared" si="3079"/>
        <v>0.924641485488366</v>
      </c>
      <c r="EE715" s="8">
        <f t="shared" si="3079"/>
        <v>0.92600533167946131</v>
      </c>
      <c r="EF715" s="51">
        <f t="shared" si="3079"/>
        <v>0.92273444055189013</v>
      </c>
      <c r="EG715" s="8">
        <f t="shared" si="3079"/>
        <v>0.92737118954368836</v>
      </c>
      <c r="EH715" s="8">
        <f t="shared" si="3079"/>
        <v>0.92873906204826517</v>
      </c>
      <c r="EI715" s="51">
        <f t="shared" si="3079"/>
        <v>0.92545851467563522</v>
      </c>
      <c r="EJ715" s="8">
        <f t="shared" si="3079"/>
        <v>0.93010895216478628</v>
      </c>
      <c r="EK715" s="8">
        <f t="shared" si="3079"/>
        <v>0.93148086286922915</v>
      </c>
      <c r="EL715" s="51">
        <f t="shared" si="3079"/>
        <v>0.92819063074460906</v>
      </c>
      <c r="EM715" s="8">
        <f t="shared" si="3079"/>
        <v>0.9328547971419614</v>
      </c>
      <c r="EN715" s="8">
        <f t="shared" si="3079"/>
        <v>0.93423075796774557</v>
      </c>
      <c r="EO715" s="51">
        <f t="shared" si="3079"/>
        <v>0.9309308125000465</v>
      </c>
      <c r="EP715" s="8">
        <f t="shared" si="3079"/>
        <v>0.93560874833574781</v>
      </c>
      <c r="EQ715" s="8">
        <f t="shared" si="3079"/>
        <v>0.93698877123954305</v>
      </c>
      <c r="ER715" s="51">
        <f t="shared" si="3079"/>
        <v>0.93367908375327047</v>
      </c>
      <c r="ES715" s="8">
        <f t="shared" ref="ES715:EX715" si="3080">ES691*ES673</f>
        <v>0.93837082967712127</v>
      </c>
      <c r="ET715" s="8">
        <f t="shared" si="3080"/>
        <v>0.93975492665089477</v>
      </c>
      <c r="EU715" s="51">
        <f t="shared" si="3080"/>
        <v>0.93643546838589886</v>
      </c>
      <c r="EV715" s="8">
        <f t="shared" si="3080"/>
        <v>0.94114106516770479</v>
      </c>
      <c r="EW715" s="8">
        <f t="shared" si="3080"/>
        <v>0.942529248238827</v>
      </c>
      <c r="EX715" s="51">
        <f t="shared" si="3080"/>
        <v>0.93919999035005286</v>
      </c>
      <c r="EY715" s="8">
        <f t="shared" ref="EY715:FA715" si="3081">EY691*EY673</f>
        <v>0.94391947887997918</v>
      </c>
      <c r="EZ715" s="8">
        <f t="shared" si="3081"/>
        <v>0.94531176011132712</v>
      </c>
      <c r="FA715" s="51">
        <f t="shared" si="3081"/>
        <v>0.94197267366856452</v>
      </c>
      <c r="FH715" s="35"/>
      <c r="FI715" s="35"/>
      <c r="FJ715" s="35"/>
      <c r="FK715" s="35"/>
      <c r="FL715" s="35"/>
      <c r="FM715" s="35"/>
      <c r="FN715" s="35"/>
      <c r="FO715" s="35"/>
      <c r="FP715" s="35"/>
      <c r="FQ715" s="35"/>
    </row>
    <row r="716" spans="1:173" s="321" customFormat="1" hidden="1" outlineLevel="1">
      <c r="A716" s="1168"/>
      <c r="B716" s="186"/>
      <c r="C716" s="186" t="s">
        <v>317</v>
      </c>
      <c r="D716" s="910"/>
      <c r="E716" s="1"/>
      <c r="F716" s="1"/>
      <c r="G716" s="5"/>
      <c r="H716" s="1"/>
      <c r="I716" s="1"/>
      <c r="J716" s="5"/>
      <c r="K716" s="1"/>
      <c r="L716" s="1"/>
      <c r="M716" s="5"/>
      <c r="N716" s="1"/>
      <c r="O716" s="1"/>
      <c r="P716" s="5"/>
      <c r="Q716" s="1"/>
      <c r="R716" s="1"/>
      <c r="S716" s="5"/>
      <c r="T716" s="1"/>
      <c r="U716" s="1"/>
      <c r="V716" s="5"/>
      <c r="W716" s="1"/>
      <c r="X716" s="1"/>
      <c r="Y716" s="5"/>
      <c r="Z716" s="1"/>
      <c r="AA716" s="1"/>
      <c r="AB716" s="5"/>
      <c r="AC716" s="1"/>
      <c r="AD716" s="1"/>
      <c r="AE716" s="5"/>
      <c r="AF716" s="1"/>
      <c r="AG716" s="1"/>
      <c r="AH716" s="5"/>
      <c r="AI716" s="1"/>
      <c r="AJ716" s="1"/>
      <c r="AK716" s="5"/>
      <c r="AL716" s="1"/>
      <c r="AM716" s="1"/>
      <c r="AN716" s="5"/>
      <c r="AO716" s="1"/>
      <c r="AP716" s="1"/>
      <c r="AQ716" s="5"/>
      <c r="AR716" s="1"/>
      <c r="AS716" s="1"/>
      <c r="AT716" s="5"/>
      <c r="AU716" s="1"/>
      <c r="AV716" s="1"/>
      <c r="AW716" s="5"/>
      <c r="AX716" s="187">
        <f t="shared" si="3076"/>
        <v>1.798268098212531</v>
      </c>
      <c r="AY716" s="187">
        <f t="shared" si="3076"/>
        <v>1.7966496569241399</v>
      </c>
      <c r="AZ716" s="187">
        <f t="shared" si="3076"/>
        <v>1.7922782561390704</v>
      </c>
      <c r="BA716" s="8">
        <f t="shared" si="3077"/>
        <v>1.795032672232908</v>
      </c>
      <c r="BB716" s="8">
        <f t="shared" si="3077"/>
        <v>1.7934171428278987</v>
      </c>
      <c r="BC716" s="51">
        <f t="shared" si="3077"/>
        <v>1.7890536070234075</v>
      </c>
      <c r="BD716" s="8">
        <f t="shared" ref="BD716:DO716" si="3082">BD692*BD674</f>
        <v>1.7918030673993532</v>
      </c>
      <c r="BE716" s="8">
        <f t="shared" si="3082"/>
        <v>1.7901904446386938</v>
      </c>
      <c r="BF716" s="51">
        <f t="shared" si="3082"/>
        <v>1.7858347596641868</v>
      </c>
      <c r="BG716" s="8">
        <f t="shared" si="3082"/>
        <v>1.7885792732385191</v>
      </c>
      <c r="BH716" s="8">
        <f t="shared" si="3082"/>
        <v>1.7869695518926043</v>
      </c>
      <c r="BI716" s="51">
        <f t="shared" si="3082"/>
        <v>1.7826217036229473</v>
      </c>
      <c r="BJ716" s="8">
        <f t="shared" si="3082"/>
        <v>1.7853612792959008</v>
      </c>
      <c r="BK716" s="8">
        <f t="shared" si="3082"/>
        <v>1.7837544541445345</v>
      </c>
      <c r="BL716" s="51">
        <f t="shared" si="3082"/>
        <v>1.7794144284800053</v>
      </c>
      <c r="BM716" s="8">
        <f t="shared" si="3082"/>
        <v>1.7829517646401698</v>
      </c>
      <c r="BN716" s="8">
        <f t="shared" si="3082"/>
        <v>1.7821494363460817</v>
      </c>
      <c r="BO716" s="51">
        <f t="shared" si="3082"/>
        <v>1.7778152679584893</v>
      </c>
      <c r="BP716" s="8">
        <f t="shared" si="3082"/>
        <v>1.7813474690997255</v>
      </c>
      <c r="BQ716" s="8">
        <f t="shared" si="3082"/>
        <v>1.780545862738631</v>
      </c>
      <c r="BR716" s="51">
        <f t="shared" si="3082"/>
        <v>1.7762155942249183</v>
      </c>
      <c r="BS716" s="8">
        <f t="shared" si="3082"/>
        <v>1.7797446171003983</v>
      </c>
      <c r="BT716" s="8">
        <f t="shared" si="3082"/>
        <v>1.7789437320227033</v>
      </c>
      <c r="BU716" s="51">
        <f t="shared" si="3082"/>
        <v>1.774617359873774</v>
      </c>
      <c r="BV716" s="8">
        <f t="shared" si="3082"/>
        <v>1.7781432073432935</v>
      </c>
      <c r="BW716" s="8">
        <f t="shared" si="3082"/>
        <v>1.777343042899989</v>
      </c>
      <c r="BX716" s="51">
        <f t="shared" si="3082"/>
        <v>1.773020563609903</v>
      </c>
      <c r="BY716" s="8">
        <f t="shared" si="3082"/>
        <v>1.7765432385306841</v>
      </c>
      <c r="BZ716" s="8">
        <f t="shared" si="3082"/>
        <v>1.7757437940733451</v>
      </c>
      <c r="CA716" s="51">
        <f t="shared" si="3082"/>
        <v>1.7714252041393184</v>
      </c>
      <c r="CB716" s="8">
        <f t="shared" si="3082"/>
        <v>1.7749447093660125</v>
      </c>
      <c r="CC716" s="8">
        <f t="shared" si="3082"/>
        <v>1.7741459842467975</v>
      </c>
      <c r="CD716" s="51">
        <f t="shared" si="3082"/>
        <v>1.7698312801691969</v>
      </c>
      <c r="CE716" s="8">
        <f t="shared" si="3082"/>
        <v>1.7733476185538868</v>
      </c>
      <c r="CF716" s="8">
        <f t="shared" si="3082"/>
        <v>1.772549612125538</v>
      </c>
      <c r="CG716" s="51">
        <f t="shared" si="3082"/>
        <v>1.7682387904078791</v>
      </c>
      <c r="CH716" s="8">
        <f t="shared" si="3082"/>
        <v>1.7717519648000812</v>
      </c>
      <c r="CI716" s="8">
        <f t="shared" si="3082"/>
        <v>1.770954676415921</v>
      </c>
      <c r="CJ716" s="51">
        <f t="shared" si="3082"/>
        <v>1.7666477335648674</v>
      </c>
      <c r="CK716" s="8">
        <f t="shared" si="3082"/>
        <v>1.7701577468115344</v>
      </c>
      <c r="CL716" s="8">
        <f t="shared" si="3082"/>
        <v>1.769361175825469</v>
      </c>
      <c r="CM716" s="51">
        <f t="shared" si="3082"/>
        <v>1.765058108350825</v>
      </c>
      <c r="CN716" s="8">
        <f t="shared" si="3082"/>
        <v>1.7685649632963476</v>
      </c>
      <c r="CO716" s="8">
        <f t="shared" si="3082"/>
        <v>1.7677691090628644</v>
      </c>
      <c r="CP716" s="51">
        <f t="shared" si="3082"/>
        <v>1.7634699134775762</v>
      </c>
      <c r="CQ716" s="8">
        <f t="shared" si="3082"/>
        <v>1.7669736129637861</v>
      </c>
      <c r="CR716" s="8">
        <f t="shared" si="3082"/>
        <v>1.7661784748379525</v>
      </c>
      <c r="CS716" s="51">
        <f t="shared" si="3082"/>
        <v>1.7618831476581047</v>
      </c>
      <c r="CT716" s="8">
        <f t="shared" si="3082"/>
        <v>1.7653836945242756</v>
      </c>
      <c r="CU716" s="8">
        <f t="shared" si="3082"/>
        <v>1.7645892718617395</v>
      </c>
      <c r="CV716" s="51">
        <f t="shared" si="3082"/>
        <v>1.7602978096065496</v>
      </c>
      <c r="CW716" s="8">
        <f t="shared" si="3082"/>
        <v>1.763795206689402</v>
      </c>
      <c r="CX716" s="8">
        <f t="shared" si="3082"/>
        <v>1.7630014988463918</v>
      </c>
      <c r="CY716" s="51">
        <f t="shared" si="3082"/>
        <v>1.7587138980382102</v>
      </c>
      <c r="CZ716" s="8">
        <f t="shared" si="3082"/>
        <v>1.762208148171911</v>
      </c>
      <c r="DA716" s="8">
        <f t="shared" si="3082"/>
        <v>1.7614151545052334</v>
      </c>
      <c r="DB716" s="51">
        <f t="shared" si="3082"/>
        <v>1.7571314116695402</v>
      </c>
      <c r="DC716" s="8">
        <f t="shared" si="3082"/>
        <v>1.7606225176857064</v>
      </c>
      <c r="DD716" s="8">
        <f t="shared" si="3082"/>
        <v>1.7598302375527475</v>
      </c>
      <c r="DE716" s="51">
        <f t="shared" si="3082"/>
        <v>1.7555503492181486</v>
      </c>
      <c r="DF716" s="8">
        <f t="shared" si="3082"/>
        <v>1.7590383139458492</v>
      </c>
      <c r="DG716" s="8">
        <f t="shared" si="3082"/>
        <v>1.7582467467045735</v>
      </c>
      <c r="DH716" s="51">
        <f t="shared" si="3082"/>
        <v>1.7539707094027983</v>
      </c>
      <c r="DI716" s="8">
        <f t="shared" si="3082"/>
        <v>1.7574555356685566</v>
      </c>
      <c r="DJ716" s="8">
        <f t="shared" si="3082"/>
        <v>1.7566646806775061</v>
      </c>
      <c r="DK716" s="51">
        <f t="shared" si="3082"/>
        <v>1.7523924909434048</v>
      </c>
      <c r="DL716" s="8">
        <f t="shared" si="3082"/>
        <v>1.7558741815712011</v>
      </c>
      <c r="DM716" s="8">
        <f t="shared" si="3082"/>
        <v>1.7550840381894943</v>
      </c>
      <c r="DN716" s="51">
        <f t="shared" si="3082"/>
        <v>1.750815692561035</v>
      </c>
      <c r="DO716" s="8">
        <f t="shared" si="3082"/>
        <v>1.7542942503723091</v>
      </c>
      <c r="DP716" s="8">
        <f t="shared" ref="DP716:ER716" si="3083">DP692*DP674</f>
        <v>1.753504817959642</v>
      </c>
      <c r="DQ716" s="51">
        <f t="shared" si="3083"/>
        <v>1.7492403129779079</v>
      </c>
      <c r="DR716" s="8">
        <f t="shared" si="3083"/>
        <v>1.7527157407915601</v>
      </c>
      <c r="DS716" s="8">
        <f t="shared" si="3083"/>
        <v>1.7519270187082041</v>
      </c>
      <c r="DT716" s="51">
        <f t="shared" si="3083"/>
        <v>1.7476663509173918</v>
      </c>
      <c r="DU716" s="8">
        <f t="shared" si="3083"/>
        <v>1.7511386515497853</v>
      </c>
      <c r="DV716" s="8">
        <f t="shared" si="3083"/>
        <v>1.7503506391565877</v>
      </c>
      <c r="DW716" s="51">
        <f t="shared" si="3083"/>
        <v>1.7460938051040023</v>
      </c>
      <c r="DX716" s="8">
        <f t="shared" si="3083"/>
        <v>1.7495629813689677</v>
      </c>
      <c r="DY716" s="8">
        <f t="shared" si="3083"/>
        <v>1.7487756780273513</v>
      </c>
      <c r="DZ716" s="51">
        <f t="shared" si="3083"/>
        <v>1.7445226742634043</v>
      </c>
      <c r="EA716" s="8">
        <f t="shared" si="3083"/>
        <v>1.7479887289722393</v>
      </c>
      <c r="EB716" s="8">
        <f t="shared" si="3083"/>
        <v>1.7472021340442019</v>
      </c>
      <c r="EC716" s="51">
        <f t="shared" si="3083"/>
        <v>1.7429529571224085</v>
      </c>
      <c r="ED716" s="8">
        <f t="shared" si="3083"/>
        <v>1.746415893083882</v>
      </c>
      <c r="EE716" s="8">
        <f t="shared" si="3083"/>
        <v>1.745630005931994</v>
      </c>
      <c r="EF716" s="51">
        <f t="shared" si="3083"/>
        <v>1.7413846524089727</v>
      </c>
      <c r="EG716" s="8">
        <f t="shared" si="3083"/>
        <v>1.7448444724293253</v>
      </c>
      <c r="EH716" s="8">
        <f t="shared" si="3083"/>
        <v>1.7440592924167315</v>
      </c>
      <c r="EI716" s="51">
        <f t="shared" si="3083"/>
        <v>1.7398177588521968</v>
      </c>
      <c r="EJ716" s="8">
        <f t="shared" si="3083"/>
        <v>1.743274465735144</v>
      </c>
      <c r="EK716" s="8">
        <f t="shared" si="3083"/>
        <v>1.7424899922255632</v>
      </c>
      <c r="EL716" s="51">
        <f t="shared" si="3083"/>
        <v>1.7382522751823259</v>
      </c>
      <c r="EM716" s="8">
        <f t="shared" si="3083"/>
        <v>1.7417058717290621</v>
      </c>
      <c r="EN716" s="8">
        <f t="shared" si="3083"/>
        <v>1.7409221040867842</v>
      </c>
      <c r="EO716" s="51">
        <f t="shared" si="3083"/>
        <v>1.7366882001307482</v>
      </c>
      <c r="EP716" s="8">
        <f t="shared" si="3083"/>
        <v>1.7401386891399455</v>
      </c>
      <c r="EQ716" s="8">
        <f t="shared" si="3083"/>
        <v>1.7393556267298329</v>
      </c>
      <c r="ER716" s="51">
        <f t="shared" si="3083"/>
        <v>1.7351255324299912</v>
      </c>
      <c r="ES716" s="8">
        <f t="shared" ref="ES716:EX716" si="3084">ES692*ES674</f>
        <v>1.7385729166978041</v>
      </c>
      <c r="ET716" s="8">
        <f t="shared" si="3084"/>
        <v>1.7377905588852904</v>
      </c>
      <c r="EU716" s="51">
        <f t="shared" si="3084"/>
        <v>1.7335642708137247</v>
      </c>
      <c r="EV716" s="8">
        <f t="shared" si="3084"/>
        <v>1.737008553133792</v>
      </c>
      <c r="EW716" s="8">
        <f t="shared" si="3084"/>
        <v>1.7362268992848819</v>
      </c>
      <c r="EX716" s="51">
        <f t="shared" si="3084"/>
        <v>1.7320044140167572</v>
      </c>
      <c r="EY716" s="8">
        <f t="shared" ref="EY716:FA716" si="3085">EY692*EY674</f>
        <v>1.7354455971802039</v>
      </c>
      <c r="EZ716" s="8">
        <f t="shared" si="3085"/>
        <v>1.7346646466614728</v>
      </c>
      <c r="FA716" s="51">
        <f t="shared" si="3085"/>
        <v>1.7304459607750362</v>
      </c>
      <c r="FH716" s="35"/>
      <c r="FI716" s="35"/>
      <c r="FJ716" s="35"/>
      <c r="FK716" s="35"/>
      <c r="FL716" s="35"/>
      <c r="FM716" s="35"/>
      <c r="FN716" s="35"/>
      <c r="FO716" s="35"/>
      <c r="FP716" s="35"/>
      <c r="FQ716" s="35"/>
    </row>
    <row r="717" spans="1:173" s="321" customFormat="1" hidden="1" outlineLevel="1">
      <c r="A717" s="1168"/>
      <c r="B717" s="186"/>
      <c r="C717" s="186" t="s">
        <v>431</v>
      </c>
      <c r="D717" s="910"/>
      <c r="E717" s="1"/>
      <c r="F717" s="1"/>
      <c r="G717" s="5"/>
      <c r="H717" s="1"/>
      <c r="I717" s="1"/>
      <c r="J717" s="5"/>
      <c r="K717" s="1"/>
      <c r="L717" s="1"/>
      <c r="M717" s="5"/>
      <c r="N717" s="1"/>
      <c r="O717" s="1"/>
      <c r="P717" s="5"/>
      <c r="Q717" s="1"/>
      <c r="R717" s="1"/>
      <c r="S717" s="5"/>
      <c r="T717" s="1"/>
      <c r="U717" s="1"/>
      <c r="V717" s="5"/>
      <c r="W717" s="1"/>
      <c r="X717" s="1"/>
      <c r="Y717" s="5"/>
      <c r="Z717" s="1"/>
      <c r="AA717" s="1"/>
      <c r="AB717" s="5"/>
      <c r="AC717" s="1"/>
      <c r="AD717" s="1"/>
      <c r="AE717" s="5"/>
      <c r="AF717" s="1"/>
      <c r="AG717" s="1"/>
      <c r="AH717" s="5"/>
      <c r="AI717" s="1"/>
      <c r="AJ717" s="1"/>
      <c r="AK717" s="5"/>
      <c r="AL717" s="1"/>
      <c r="AM717" s="1"/>
      <c r="AN717" s="5"/>
      <c r="AO717" s="1"/>
      <c r="AP717" s="1"/>
      <c r="AQ717" s="5"/>
      <c r="AR717" s="1"/>
      <c r="AS717" s="1"/>
      <c r="AT717" s="5"/>
      <c r="AU717" s="1"/>
      <c r="AV717" s="1"/>
      <c r="AW717" s="5"/>
      <c r="AX717" s="187">
        <f t="shared" si="3076"/>
        <v>1.0472338279203697</v>
      </c>
      <c r="AY717" s="187">
        <f t="shared" si="3076"/>
        <v>1.0539361244190599</v>
      </c>
      <c r="AZ717" s="187">
        <f t="shared" si="3076"/>
        <v>1.0485414031042295</v>
      </c>
      <c r="BA717" s="8">
        <f t="shared" si="3077"/>
        <v>1.0606813156153418</v>
      </c>
      <c r="BB717" s="8">
        <f t="shared" si="3077"/>
        <v>1.06746967603528</v>
      </c>
      <c r="BC717" s="51">
        <f t="shared" si="3077"/>
        <v>1.0620056813198346</v>
      </c>
      <c r="BD717" s="8">
        <f t="shared" ref="BD717:DO717" si="3086">BD693*BD675</f>
        <v>1.0743014819619059</v>
      </c>
      <c r="BE717" s="8">
        <f t="shared" si="3086"/>
        <v>1.0811770114464621</v>
      </c>
      <c r="BF717" s="51">
        <f t="shared" si="3086"/>
        <v>1.0756428537934355</v>
      </c>
      <c r="BG717" s="8">
        <f t="shared" si="3086"/>
        <v>1.0880965443197192</v>
      </c>
      <c r="BH717" s="8">
        <f t="shared" si="3086"/>
        <v>1.0950603622033654</v>
      </c>
      <c r="BI717" s="51">
        <f t="shared" si="3086"/>
        <v>1.0894551406532826</v>
      </c>
      <c r="BJ717" s="8">
        <f t="shared" si="3086"/>
        <v>1.1020687485214671</v>
      </c>
      <c r="BK717" s="8">
        <f t="shared" si="3086"/>
        <v>1.1091219885120043</v>
      </c>
      <c r="BL717" s="51">
        <f t="shared" si="3086"/>
        <v>1.1034447905362057</v>
      </c>
      <c r="BM717" s="8">
        <f t="shared" si="3086"/>
        <v>1.1126711788752428</v>
      </c>
      <c r="BN717" s="8">
        <f t="shared" si="3086"/>
        <v>1.1162317266476438</v>
      </c>
      <c r="BO717" s="51">
        <f t="shared" si="3086"/>
        <v>1.1104999113022631</v>
      </c>
      <c r="BP717" s="8">
        <f t="shared" si="3086"/>
        <v>1.1198036681729162</v>
      </c>
      <c r="BQ717" s="8">
        <f t="shared" si="3086"/>
        <v>1.1233870399110699</v>
      </c>
      <c r="BR717" s="51">
        <f t="shared" si="3086"/>
        <v>1.1176184822536894</v>
      </c>
      <c r="BS717" s="8">
        <f t="shared" si="3086"/>
        <v>1.1269818784387853</v>
      </c>
      <c r="BT717" s="8">
        <f t="shared" si="3086"/>
        <v>1.1305882204497897</v>
      </c>
      <c r="BU717" s="51">
        <f t="shared" si="3086"/>
        <v>1.1247826849533717</v>
      </c>
      <c r="BV717" s="8">
        <f t="shared" si="3086"/>
        <v>1.134206102755229</v>
      </c>
      <c r="BW717" s="8">
        <f t="shared" si="3086"/>
        <v>1.1378355622840461</v>
      </c>
      <c r="BX717" s="51">
        <f t="shared" si="3086"/>
        <v>1.1319928119117675</v>
      </c>
      <c r="BY717" s="8">
        <f t="shared" si="3086"/>
        <v>1.141476636083355</v>
      </c>
      <c r="BZ717" s="8">
        <f t="shared" si="3086"/>
        <v>1.1451293613188216</v>
      </c>
      <c r="CA717" s="51">
        <f t="shared" si="3086"/>
        <v>1.139249157514397</v>
      </c>
      <c r="CB717" s="8">
        <f t="shared" si="3086"/>
        <v>1.1487937752750423</v>
      </c>
      <c r="CC717" s="8">
        <f t="shared" si="3086"/>
        <v>1.1524699153559224</v>
      </c>
      <c r="CD717" s="51">
        <f t="shared" si="3086"/>
        <v>1.1465520180338622</v>
      </c>
      <c r="CE717" s="8">
        <f t="shared" si="3086"/>
        <v>1.1561578190850614</v>
      </c>
      <c r="CF717" s="8">
        <f t="shared" si="3086"/>
        <v>1.159857524106134</v>
      </c>
      <c r="CG717" s="51">
        <f t="shared" si="3086"/>
        <v>1.1539016916419438</v>
      </c>
      <c r="CH717" s="8">
        <f t="shared" si="3086"/>
        <v>1.1635690681832738</v>
      </c>
      <c r="CI717" s="8">
        <f t="shared" si="3086"/>
        <v>1.1672924892014602</v>
      </c>
      <c r="CJ717" s="51">
        <f t="shared" si="3086"/>
        <v>1.1612984784217748</v>
      </c>
      <c r="CK717" s="8">
        <f t="shared" si="3086"/>
        <v>1.1710278251669048</v>
      </c>
      <c r="CL717" s="8">
        <f t="shared" si="3086"/>
        <v>1.174775114207439</v>
      </c>
      <c r="CM717" s="51">
        <f t="shared" si="3086"/>
        <v>1.1687426803800935</v>
      </c>
      <c r="CN717" s="8">
        <f t="shared" si="3086"/>
        <v>1.178534394572903</v>
      </c>
      <c r="CO717" s="8">
        <f t="shared" si="3086"/>
        <v>1.1823057046355363</v>
      </c>
      <c r="CP717" s="51">
        <f t="shared" si="3086"/>
        <v>1.1762346014595735</v>
      </c>
      <c r="CQ717" s="8">
        <f t="shared" si="3086"/>
        <v>1.1860890828903703</v>
      </c>
      <c r="CR717" s="8">
        <f t="shared" si="3086"/>
        <v>1.1898845679556196</v>
      </c>
      <c r="CS717" s="51">
        <f t="shared" si="3086"/>
        <v>1.183774547551234</v>
      </c>
      <c r="CT717" s="8">
        <f t="shared" si="3086"/>
        <v>1.1936921985730775</v>
      </c>
      <c r="CU717" s="8">
        <f t="shared" si="3086"/>
        <v>1.1975120136085113</v>
      </c>
      <c r="CV717" s="51">
        <f t="shared" si="3086"/>
        <v>1.1913628265069287</v>
      </c>
      <c r="CW717" s="8">
        <f t="shared" si="3086"/>
        <v>1.2013440520520591</v>
      </c>
      <c r="CX717" s="8">
        <f t="shared" si="3086"/>
        <v>1.2051883530186256</v>
      </c>
      <c r="CY717" s="51">
        <f t="shared" si="3086"/>
        <v>1.1989997481519168</v>
      </c>
      <c r="CZ717" s="8">
        <f t="shared" si="3086"/>
        <v>1.2090449557482854</v>
      </c>
      <c r="DA717" s="8">
        <f t="shared" si="3086"/>
        <v>1.2129138996066799</v>
      </c>
      <c r="DB717" s="51">
        <f t="shared" si="3086"/>
        <v>1.2066856242975108</v>
      </c>
      <c r="DC717" s="8">
        <f t="shared" si="3086"/>
        <v>1.2167952240854216</v>
      </c>
      <c r="DD717" s="8">
        <f t="shared" si="3086"/>
        <v>1.2206889688024949</v>
      </c>
      <c r="DE717" s="51">
        <f t="shared" si="3086"/>
        <v>1.2144207687538076</v>
      </c>
      <c r="DF717" s="8">
        <f t="shared" si="3086"/>
        <v>1.2245951735026628</v>
      </c>
      <c r="DG717" s="8">
        <f t="shared" si="3086"/>
        <v>1.2285138780578715</v>
      </c>
      <c r="DH717" s="51">
        <f t="shared" si="3086"/>
        <v>1.2222054973425038</v>
      </c>
      <c r="DI717" s="8">
        <f t="shared" si="3086"/>
        <v>1.2324451224676567</v>
      </c>
      <c r="DJ717" s="8">
        <f t="shared" si="3086"/>
        <v>1.2363889468595533</v>
      </c>
      <c r="DK717" s="51">
        <f t="shared" si="3086"/>
        <v>1.2300401279097888</v>
      </c>
      <c r="DL717" s="8">
        <f t="shared" si="3086"/>
        <v>1.2403453914895037</v>
      </c>
      <c r="DM717" s="8">
        <f t="shared" si="3086"/>
        <v>1.2443144967422703</v>
      </c>
      <c r="DN717" s="51">
        <f t="shared" si="3086"/>
        <v>1.2379249803393213</v>
      </c>
      <c r="DO717" s="8">
        <f t="shared" si="3086"/>
        <v>1.2482963031318455</v>
      </c>
      <c r="DP717" s="8">
        <f t="shared" ref="DP717:ER717" si="3087">DP693*DP675</f>
        <v>1.2522908513018676</v>
      </c>
      <c r="DQ717" s="51">
        <f t="shared" si="3087"/>
        <v>1.245860376565292</v>
      </c>
      <c r="DR717" s="8">
        <f t="shared" si="3087"/>
        <v>1.2562981820260337</v>
      </c>
      <c r="DS717" s="8">
        <f t="shared" si="3087"/>
        <v>1.2603183362085171</v>
      </c>
      <c r="DT717" s="51">
        <f t="shared" si="3087"/>
        <v>1.2538466405855662</v>
      </c>
      <c r="DU717" s="8">
        <f t="shared" si="3087"/>
        <v>1.2643513548843843</v>
      </c>
      <c r="DV717" s="8">
        <f t="shared" si="3087"/>
        <v>1.2683972792200147</v>
      </c>
      <c r="DW717" s="51">
        <f t="shared" si="3087"/>
        <v>1.2618840984749136</v>
      </c>
      <c r="DX717" s="8">
        <f t="shared" si="3087"/>
        <v>1.2724561505135188</v>
      </c>
      <c r="DY717" s="8">
        <f t="shared" si="3087"/>
        <v>1.2765280101951619</v>
      </c>
      <c r="DZ717" s="51">
        <f t="shared" si="3087"/>
        <v>1.2699730783983214</v>
      </c>
      <c r="EA717" s="8">
        <f t="shared" si="3087"/>
        <v>1.2806128998277866</v>
      </c>
      <c r="EB717" s="8">
        <f t="shared" si="3087"/>
        <v>1.2847108611072358</v>
      </c>
      <c r="EC717" s="51">
        <f t="shared" si="3087"/>
        <v>1.2781139106243939</v>
      </c>
      <c r="ED717" s="8">
        <f t="shared" si="3087"/>
        <v>1.288821935862779</v>
      </c>
      <c r="EE717" s="8">
        <f t="shared" si="3087"/>
        <v>1.2929461660575401</v>
      </c>
      <c r="EF717" s="51">
        <f t="shared" si="3087"/>
        <v>1.286306927538835</v>
      </c>
      <c r="EG717" s="8">
        <f t="shared" si="3087"/>
        <v>1.2970835937889242</v>
      </c>
      <c r="EH717" s="8">
        <f t="shared" si="3087"/>
        <v>1.3012342612890491</v>
      </c>
      <c r="EI717" s="51">
        <f t="shared" si="3087"/>
        <v>1.2945524636580217</v>
      </c>
      <c r="EJ717" s="8">
        <f t="shared" si="3087"/>
        <v>1.3053982109251741</v>
      </c>
      <c r="EK717" s="8">
        <f t="shared" si="3087"/>
        <v>1.3095754852001347</v>
      </c>
      <c r="EL717" s="51">
        <f t="shared" si="3087"/>
        <v>1.3028508556426612</v>
      </c>
      <c r="EM717" s="8">
        <f t="shared" si="3087"/>
        <v>1.3137661267527749</v>
      </c>
      <c r="EN717" s="8">
        <f t="shared" si="3087"/>
        <v>1.3179701783583841</v>
      </c>
      <c r="EO717" s="51">
        <f t="shared" si="3087"/>
        <v>1.3112024423115363</v>
      </c>
      <c r="EP717" s="8">
        <f t="shared" si="3087"/>
        <v>1.3221876829291315</v>
      </c>
      <c r="EQ717" s="8">
        <f t="shared" si="3087"/>
        <v>1.3264186835145046</v>
      </c>
      <c r="ER717" s="51">
        <f t="shared" si="3087"/>
        <v>1.3196075646553393</v>
      </c>
      <c r="ES717" s="8">
        <f t="shared" ref="ES717:EX717" si="3088">ES693*ES675</f>
        <v>1.330663223301751</v>
      </c>
      <c r="ET717" s="8">
        <f t="shared" si="3088"/>
        <v>1.3349213456163165</v>
      </c>
      <c r="EU717" s="51">
        <f t="shared" si="3088"/>
        <v>1.3280665658505959</v>
      </c>
      <c r="EV717" s="8">
        <f t="shared" si="3088"/>
        <v>1.3391930939222889</v>
      </c>
      <c r="EW717" s="8">
        <f t="shared" si="3088"/>
        <v>1.3434785118228403</v>
      </c>
      <c r="EX717" s="51">
        <f t="shared" si="3088"/>
        <v>1.3365797912736739</v>
      </c>
      <c r="EY717" s="8">
        <f t="shared" ref="EY717:FA717" si="3089">EY693*EY675</f>
        <v>1.3477776430606734</v>
      </c>
      <c r="EZ717" s="8">
        <f t="shared" si="3089"/>
        <v>1.3520905315184679</v>
      </c>
      <c r="FA717" s="51">
        <f t="shared" si="3089"/>
        <v>1.3451475885148882</v>
      </c>
      <c r="FH717" s="35"/>
      <c r="FI717" s="35"/>
      <c r="FJ717" s="35"/>
      <c r="FK717" s="35"/>
      <c r="FL717" s="35"/>
      <c r="FM717" s="35"/>
      <c r="FN717" s="35"/>
      <c r="FO717" s="35"/>
      <c r="FP717" s="35"/>
      <c r="FQ717" s="35"/>
    </row>
    <row r="718" spans="1:173" s="321" customFormat="1" hidden="1" outlineLevel="1">
      <c r="A718" s="1168"/>
      <c r="B718" s="186"/>
      <c r="C718" s="186" t="s">
        <v>327</v>
      </c>
      <c r="D718" s="910"/>
      <c r="E718" s="1"/>
      <c r="F718" s="1"/>
      <c r="G718" s="5"/>
      <c r="H718" s="1"/>
      <c r="I718" s="1"/>
      <c r="J718" s="5"/>
      <c r="K718" s="1"/>
      <c r="L718" s="1"/>
      <c r="M718" s="5"/>
      <c r="N718" s="1"/>
      <c r="O718" s="1"/>
      <c r="P718" s="5"/>
      <c r="Q718" s="1"/>
      <c r="R718" s="1"/>
      <c r="S718" s="5"/>
      <c r="T718" s="1"/>
      <c r="U718" s="1"/>
      <c r="V718" s="5"/>
      <c r="W718" s="1"/>
      <c r="X718" s="1"/>
      <c r="Y718" s="5"/>
      <c r="Z718" s="1"/>
      <c r="AA718" s="1"/>
      <c r="AB718" s="5"/>
      <c r="AC718" s="1"/>
      <c r="AD718" s="1"/>
      <c r="AE718" s="5"/>
      <c r="AF718" s="1"/>
      <c r="AG718" s="1"/>
      <c r="AH718" s="5"/>
      <c r="AI718" s="1"/>
      <c r="AJ718" s="1"/>
      <c r="AK718" s="5"/>
      <c r="AL718" s="1"/>
      <c r="AM718" s="1"/>
      <c r="AN718" s="5"/>
      <c r="AO718" s="1"/>
      <c r="AP718" s="1"/>
      <c r="AQ718" s="5"/>
      <c r="AR718" s="1"/>
      <c r="AS718" s="1"/>
      <c r="AT718" s="5"/>
      <c r="AU718" s="1"/>
      <c r="AV718" s="1"/>
      <c r="AW718" s="5"/>
      <c r="AX718" s="187">
        <f>SUM(AX715:AX717)</f>
        <v>3.6856861992168444</v>
      </c>
      <c r="AY718" s="187">
        <f>SUM(AY715:AY717)</f>
        <v>3.6932485980327421</v>
      </c>
      <c r="AZ718" s="74">
        <f>SUM(AX718:AY718)</f>
        <v>7.3789347972495865</v>
      </c>
      <c r="BA718" s="8">
        <f>SUM(BA715:BA717)</f>
        <v>3.7008626598470258</v>
      </c>
      <c r="BB718" s="8">
        <f>SUM(BB715:BB717)</f>
        <v>3.7085286794443508</v>
      </c>
      <c r="BC718" s="51">
        <f>SUM(BC715:BC717)</f>
        <v>3.6957114612064128</v>
      </c>
      <c r="BD718" s="8">
        <f t="shared" ref="BD718:DO718" si="3090">SUM(BD715:BD717)</f>
        <v>3.7162469534311455</v>
      </c>
      <c r="BE718" s="8">
        <f t="shared" si="3090"/>
        <v>3.7240177802470482</v>
      </c>
      <c r="BF718" s="51">
        <f t="shared" si="3090"/>
        <v>3.7111205847262196</v>
      </c>
      <c r="BG718" s="8">
        <f t="shared" si="3090"/>
        <v>3.7318414601764092</v>
      </c>
      <c r="BH718" s="8">
        <f t="shared" si="3090"/>
        <v>3.7397182953598636</v>
      </c>
      <c r="BI718" s="51">
        <f t="shared" si="3090"/>
        <v>3.7267401030932703</v>
      </c>
      <c r="BJ718" s="8">
        <f t="shared" si="3090"/>
        <v>3.7476485898059906</v>
      </c>
      <c r="BK718" s="8">
        <f t="shared" si="3090"/>
        <v>3.7556326494030281</v>
      </c>
      <c r="BL718" s="51">
        <f t="shared" si="3090"/>
        <v>3.7425724287672812</v>
      </c>
      <c r="BM718" s="8">
        <f t="shared" si="3090"/>
        <v>3.7596517156668527</v>
      </c>
      <c r="BN718" s="8">
        <f t="shared" si="3090"/>
        <v>3.7636843775840889</v>
      </c>
      <c r="BO718" s="51">
        <f t="shared" si="3090"/>
        <v>3.7505619183531511</v>
      </c>
      <c r="BP718" s="8">
        <f t="shared" si="3090"/>
        <v>3.7677306741045258</v>
      </c>
      <c r="BQ718" s="8">
        <f t="shared" si="3090"/>
        <v>3.7717906442984122</v>
      </c>
      <c r="BR718" s="51">
        <f t="shared" si="3090"/>
        <v>3.7586263193768907</v>
      </c>
      <c r="BS718" s="8">
        <f t="shared" si="3090"/>
        <v>3.7758643273568264</v>
      </c>
      <c r="BT718" s="8">
        <f t="shared" si="3090"/>
        <v>3.7799517625920664</v>
      </c>
      <c r="BU718" s="51">
        <f t="shared" si="3090"/>
        <v>3.7667453063056024</v>
      </c>
      <c r="BV718" s="8">
        <f t="shared" si="3090"/>
        <v>3.7840529894380226</v>
      </c>
      <c r="BW718" s="8">
        <f t="shared" si="3090"/>
        <v>3.7881680474505606</v>
      </c>
      <c r="BX718" s="51">
        <f t="shared" si="3090"/>
        <v>3.7749191925395227</v>
      </c>
      <c r="BY718" s="8">
        <f t="shared" si="3090"/>
        <v>3.7922969763079077</v>
      </c>
      <c r="BZ718" s="8">
        <f t="shared" si="3090"/>
        <v>3.7964398158110342</v>
      </c>
      <c r="CA718" s="51">
        <f t="shared" si="3090"/>
        <v>3.7831482934206133</v>
      </c>
      <c r="CB718" s="8">
        <f t="shared" si="3090"/>
        <v>3.8005966058840395</v>
      </c>
      <c r="CC718" s="8">
        <f t="shared" si="3090"/>
        <v>3.8047673865745386</v>
      </c>
      <c r="CD718" s="51">
        <f t="shared" si="3090"/>
        <v>3.791432926244767</v>
      </c>
      <c r="CE718" s="8">
        <f t="shared" si="3090"/>
        <v>3.8089521980540497</v>
      </c>
      <c r="CF718" s="8">
        <f t="shared" si="3090"/>
        <v>3.8131510806183853</v>
      </c>
      <c r="CG718" s="51">
        <f t="shared" si="3090"/>
        <v>3.799773410274101</v>
      </c>
      <c r="CH718" s="8">
        <f t="shared" si="3090"/>
        <v>3.8173640746880393</v>
      </c>
      <c r="CI718" s="8">
        <f t="shared" si="3090"/>
        <v>3.82159122080858</v>
      </c>
      <c r="CJ718" s="51">
        <f t="shared" si="3090"/>
        <v>3.8081700667493212</v>
      </c>
      <c r="CK718" s="8">
        <f t="shared" si="3090"/>
        <v>3.8258325596510447</v>
      </c>
      <c r="CL718" s="8">
        <f t="shared" si="3090"/>
        <v>3.8300881320123303</v>
      </c>
      <c r="CM718" s="51">
        <f t="shared" si="3090"/>
        <v>3.8166232189021709</v>
      </c>
      <c r="CN718" s="8">
        <f t="shared" si="3090"/>
        <v>3.8343579788155919</v>
      </c>
      <c r="CO718" s="8">
        <f t="shared" si="3090"/>
        <v>3.838642141110638</v>
      </c>
      <c r="CP718" s="51">
        <f t="shared" si="3090"/>
        <v>3.8251331919679563</v>
      </c>
      <c r="CQ718" s="8">
        <f t="shared" si="3090"/>
        <v>3.8429406600743272</v>
      </c>
      <c r="CR718" s="8">
        <f t="shared" si="3090"/>
        <v>3.8472535770109673</v>
      </c>
      <c r="CS718" s="51">
        <f t="shared" si="3090"/>
        <v>3.8337003131981522</v>
      </c>
      <c r="CT718" s="8">
        <f t="shared" si="3090"/>
        <v>3.8515809333527189</v>
      </c>
      <c r="CU718" s="8">
        <f t="shared" si="3090"/>
        <v>3.8559227706599932</v>
      </c>
      <c r="CV718" s="51">
        <f t="shared" si="3090"/>
        <v>3.8423249118730789</v>
      </c>
      <c r="CW718" s="8">
        <f t="shared" si="3090"/>
        <v>3.8602791306218585</v>
      </c>
      <c r="CX718" s="8">
        <f t="shared" si="3090"/>
        <v>3.8646500550564378</v>
      </c>
      <c r="CY718" s="51">
        <f t="shared" si="3090"/>
        <v>3.8510073193146832</v>
      </c>
      <c r="CZ718" s="8">
        <f t="shared" si="3090"/>
        <v>3.8690355859113241</v>
      </c>
      <c r="DA718" s="8">
        <f t="shared" si="3090"/>
        <v>3.8734357652639781</v>
      </c>
      <c r="DB718" s="51">
        <f t="shared" si="3090"/>
        <v>3.8597478688993725</v>
      </c>
      <c r="DC718" s="8">
        <f t="shared" si="3090"/>
        <v>3.877850635322142</v>
      </c>
      <c r="DD718" s="8">
        <f t="shared" si="3090"/>
        <v>3.8822802384242436</v>
      </c>
      <c r="DE718" s="51">
        <f t="shared" si="3090"/>
        <v>3.8685468960709457</v>
      </c>
      <c r="DF718" s="8">
        <f t="shared" si="3090"/>
        <v>3.8867246170398153</v>
      </c>
      <c r="DG718" s="8">
        <f t="shared" si="3090"/>
        <v>3.8911838137698949</v>
      </c>
      <c r="DH718" s="51">
        <f t="shared" si="3090"/>
        <v>3.877404738353611</v>
      </c>
      <c r="DI718" s="8">
        <f t="shared" si="3090"/>
        <v>3.8956578713474492</v>
      </c>
      <c r="DJ718" s="8">
        <f t="shared" si="3090"/>
        <v>3.9001468326377822</v>
      </c>
      <c r="DK718" s="51">
        <f t="shared" si="3090"/>
        <v>3.8863217353650708</v>
      </c>
      <c r="DL718" s="8">
        <f t="shared" si="3090"/>
        <v>3.9046507406389512</v>
      </c>
      <c r="DM718" s="8">
        <f t="shared" si="3090"/>
        <v>3.9091696384821883</v>
      </c>
      <c r="DN718" s="51">
        <f t="shared" si="3090"/>
        <v>3.8952982288297022</v>
      </c>
      <c r="DO718" s="8">
        <f t="shared" si="3090"/>
        <v>3.9137035694323155</v>
      </c>
      <c r="DP718" s="8">
        <f t="shared" ref="DP718:ER718" si="3091">SUM(DP715:DP717)</f>
        <v>3.9182525768881642</v>
      </c>
      <c r="DQ718" s="51">
        <f t="shared" si="3091"/>
        <v>3.9043345625918207</v>
      </c>
      <c r="DR718" s="8">
        <f t="shared" si="3091"/>
        <v>3.9228167043829973</v>
      </c>
      <c r="DS718" s="8">
        <f t="shared" si="3091"/>
        <v>3.9273959955849334</v>
      </c>
      <c r="DT718" s="51">
        <f t="shared" si="3091"/>
        <v>3.9134310826290166</v>
      </c>
      <c r="DU718" s="8">
        <f t="shared" si="3091"/>
        <v>3.9319904942973682</v>
      </c>
      <c r="DV718" s="8">
        <f t="shared" si="3091"/>
        <v>3.9366002444593988</v>
      </c>
      <c r="DW718" s="51">
        <f t="shared" si="3091"/>
        <v>3.9225881370655928</v>
      </c>
      <c r="DX718" s="8">
        <f t="shared" si="3091"/>
        <v>3.9412252901462548</v>
      </c>
      <c r="DY718" s="8">
        <f t="shared" si="3091"/>
        <v>3.9458656755697206</v>
      </c>
      <c r="DZ718" s="51">
        <f t="shared" si="3091"/>
        <v>3.9318060761860778</v>
      </c>
      <c r="EA718" s="8">
        <f t="shared" si="3091"/>
        <v>3.9505214450785702</v>
      </c>
      <c r="EB718" s="8">
        <f t="shared" si="3091"/>
        <v>3.955192643158993</v>
      </c>
      <c r="EC718" s="51">
        <f t="shared" si="3091"/>
        <v>3.9410852524488238</v>
      </c>
      <c r="ED718" s="8">
        <f t="shared" si="3091"/>
        <v>3.9598793144350273</v>
      </c>
      <c r="EE718" s="8">
        <f t="shared" si="3091"/>
        <v>3.9645815036689953</v>
      </c>
      <c r="EF718" s="51">
        <f t="shared" si="3091"/>
        <v>3.9504260204996982</v>
      </c>
      <c r="EG718" s="8">
        <f t="shared" si="3091"/>
        <v>3.9692992557619382</v>
      </c>
      <c r="EH718" s="8">
        <f t="shared" si="3091"/>
        <v>3.9740326157540458</v>
      </c>
      <c r="EI718" s="51">
        <f t="shared" si="3091"/>
        <v>3.9598287371858536</v>
      </c>
      <c r="EJ718" s="8">
        <f t="shared" si="3091"/>
        <v>3.9787816288251041</v>
      </c>
      <c r="EK718" s="8">
        <f t="shared" si="3091"/>
        <v>3.9835463402949269</v>
      </c>
      <c r="EL718" s="51">
        <f t="shared" si="3091"/>
        <v>3.9692937615695962</v>
      </c>
      <c r="EM718" s="8">
        <f t="shared" si="3091"/>
        <v>3.9883267956237987</v>
      </c>
      <c r="EN718" s="8">
        <f t="shared" si="3091"/>
        <v>3.9931230404129137</v>
      </c>
      <c r="EO718" s="51">
        <f t="shared" si="3091"/>
        <v>3.9788214549423309</v>
      </c>
      <c r="EP718" s="8">
        <f t="shared" si="3091"/>
        <v>3.9979351204048248</v>
      </c>
      <c r="EQ718" s="8">
        <f t="shared" si="3091"/>
        <v>4.0027630814838808</v>
      </c>
      <c r="ER718" s="51">
        <f t="shared" si="3091"/>
        <v>3.9884121808386008</v>
      </c>
      <c r="ES718" s="8">
        <f t="shared" ref="ES718:EX718" si="3092">SUM(ES715:ES717)</f>
        <v>4.0076069696766767</v>
      </c>
      <c r="ET718" s="8">
        <f t="shared" si="3092"/>
        <v>4.0124668311525014</v>
      </c>
      <c r="EU718" s="51">
        <f t="shared" si="3092"/>
        <v>3.9980663050502194</v>
      </c>
      <c r="EV718" s="8">
        <f t="shared" si="3092"/>
        <v>4.017342712223785</v>
      </c>
      <c r="EW718" s="8">
        <f t="shared" si="3092"/>
        <v>4.022234659346549</v>
      </c>
      <c r="EX718" s="51">
        <f t="shared" si="3092"/>
        <v>4.0077841956404843</v>
      </c>
      <c r="EY718" s="8">
        <f t="shared" ref="EY718:FA718" si="3093">SUM(EY715:EY717)</f>
        <v>4.0271427191208566</v>
      </c>
      <c r="EZ718" s="8">
        <f t="shared" si="3093"/>
        <v>4.0320669382912673</v>
      </c>
      <c r="FA718" s="51">
        <f t="shared" si="3093"/>
        <v>4.0175662229584894</v>
      </c>
      <c r="FH718" s="35"/>
      <c r="FI718" s="35"/>
      <c r="FJ718" s="35"/>
      <c r="FK718" s="35"/>
      <c r="FL718" s="35"/>
      <c r="FM718" s="35"/>
      <c r="FN718" s="35"/>
      <c r="FO718" s="35"/>
      <c r="FP718" s="35"/>
      <c r="FQ718" s="35"/>
    </row>
    <row r="719" spans="1:173" s="321" customFormat="1" hidden="1" outlineLevel="1">
      <c r="A719" s="1168"/>
      <c r="B719" s="186"/>
      <c r="C719" s="186"/>
      <c r="D719" s="910"/>
      <c r="E719" s="1"/>
      <c r="F719" s="1"/>
      <c r="G719" s="5"/>
      <c r="H719" s="1"/>
      <c r="I719" s="1"/>
      <c r="J719" s="5"/>
      <c r="K719" s="1"/>
      <c r="L719" s="1"/>
      <c r="M719" s="5"/>
      <c r="N719" s="1"/>
      <c r="O719" s="1"/>
      <c r="P719" s="5"/>
      <c r="Q719" s="1"/>
      <c r="R719" s="1"/>
      <c r="S719" s="5"/>
      <c r="T719" s="1"/>
      <c r="U719" s="1"/>
      <c r="V719" s="5"/>
      <c r="W719" s="1"/>
      <c r="X719" s="1"/>
      <c r="Y719" s="5"/>
      <c r="Z719" s="1"/>
      <c r="AA719" s="1"/>
      <c r="AB719" s="5"/>
      <c r="AC719" s="1"/>
      <c r="AD719" s="1"/>
      <c r="AE719" s="5"/>
      <c r="AF719" s="1"/>
      <c r="AG719" s="1"/>
      <c r="AH719" s="5"/>
      <c r="AI719" s="1"/>
      <c r="AJ719" s="1"/>
      <c r="AK719" s="5"/>
      <c r="AL719" s="1"/>
      <c r="AM719" s="1"/>
      <c r="AN719" s="5"/>
      <c r="AO719" s="1"/>
      <c r="AP719" s="1"/>
      <c r="AQ719" s="5"/>
      <c r="AR719" s="1"/>
      <c r="AS719" s="1"/>
      <c r="AT719" s="5"/>
      <c r="AU719" s="1"/>
      <c r="AV719" s="1"/>
      <c r="AW719" s="5"/>
      <c r="AX719" s="187"/>
      <c r="AY719" s="187"/>
      <c r="AZ719" s="74"/>
      <c r="BA719" s="8"/>
      <c r="BB719" s="8"/>
      <c r="BC719" s="986"/>
      <c r="BD719" s="8"/>
      <c r="BE719" s="8"/>
      <c r="BF719" s="986"/>
      <c r="BG719" s="8"/>
      <c r="BH719" s="8"/>
      <c r="BI719" s="986"/>
      <c r="BJ719" s="115"/>
      <c r="BK719" s="115"/>
      <c r="BL719" s="153"/>
      <c r="BM719" s="115"/>
      <c r="BN719" s="115"/>
      <c r="BO719" s="153"/>
      <c r="BP719" s="115"/>
      <c r="BQ719" s="115"/>
      <c r="BR719" s="153"/>
      <c r="BS719" s="8"/>
      <c r="BT719" s="8"/>
      <c r="BU719" s="74"/>
      <c r="BV719" s="8"/>
      <c r="BW719" s="8"/>
      <c r="BX719" s="74"/>
      <c r="BY719" s="8"/>
      <c r="BZ719" s="8"/>
      <c r="CA719" s="74"/>
      <c r="CB719" s="8"/>
      <c r="CC719" s="8"/>
      <c r="CD719" s="74"/>
      <c r="CE719" s="8"/>
      <c r="CF719" s="8"/>
      <c r="CG719" s="74"/>
      <c r="CH719" s="8"/>
      <c r="CI719" s="8"/>
      <c r="CJ719" s="74"/>
      <c r="CK719" s="8"/>
      <c r="CL719" s="8"/>
      <c r="CM719" s="74"/>
      <c r="CN719" s="8"/>
      <c r="CO719" s="8"/>
      <c r="CP719" s="74"/>
      <c r="CQ719" s="8"/>
      <c r="CR719" s="8"/>
      <c r="CS719" s="74"/>
      <c r="CT719" s="8"/>
      <c r="CU719" s="8"/>
      <c r="CV719" s="74"/>
      <c r="CW719" s="8"/>
      <c r="CX719" s="8"/>
      <c r="CY719" s="74"/>
      <c r="CZ719" s="8"/>
      <c r="DA719" s="8"/>
      <c r="DB719" s="74"/>
      <c r="DC719" s="8"/>
      <c r="DD719" s="8"/>
      <c r="DE719" s="74"/>
      <c r="DF719" s="8"/>
      <c r="DG719" s="8"/>
      <c r="DH719" s="74"/>
      <c r="DI719" s="8"/>
      <c r="DJ719" s="8"/>
      <c r="DK719" s="74"/>
      <c r="DL719" s="8"/>
      <c r="DM719" s="8"/>
      <c r="DN719" s="74"/>
      <c r="DO719" s="8"/>
      <c r="DP719" s="8"/>
      <c r="DQ719" s="74"/>
      <c r="DR719" s="8"/>
      <c r="DS719" s="8"/>
      <c r="DT719" s="74"/>
      <c r="DU719" s="8"/>
      <c r="DV719" s="8"/>
      <c r="DW719" s="74"/>
      <c r="DX719" s="8"/>
      <c r="DY719" s="8"/>
      <c r="DZ719" s="74"/>
      <c r="EA719" s="8"/>
      <c r="EB719" s="8"/>
      <c r="EC719" s="74"/>
      <c r="ED719" s="8"/>
      <c r="EE719" s="8"/>
      <c r="EF719" s="74"/>
      <c r="EG719" s="8"/>
      <c r="EH719" s="8"/>
      <c r="EI719" s="74"/>
      <c r="EJ719" s="8"/>
      <c r="EK719" s="8"/>
      <c r="EL719" s="74"/>
      <c r="EM719" s="8"/>
      <c r="EN719" s="8"/>
      <c r="EO719" s="74"/>
      <c r="EP719" s="8"/>
      <c r="EQ719" s="8"/>
      <c r="ER719" s="74"/>
      <c r="ES719" s="8"/>
      <c r="ET719" s="8"/>
      <c r="EU719" s="74"/>
      <c r="EV719" s="8"/>
      <c r="EW719" s="8"/>
      <c r="EX719" s="74"/>
      <c r="EY719" s="8"/>
      <c r="EZ719" s="8"/>
      <c r="FA719" s="74"/>
      <c r="FH719" s="35"/>
      <c r="FI719" s="35"/>
      <c r="FJ719" s="35"/>
      <c r="FK719" s="35"/>
      <c r="FL719" s="35"/>
      <c r="FM719" s="35"/>
      <c r="FN719" s="35"/>
      <c r="FO719" s="35"/>
      <c r="FP719" s="35"/>
      <c r="FQ719" s="35"/>
    </row>
    <row r="720" spans="1:173" s="321" customFormat="1" hidden="1" outlineLevel="1">
      <c r="A720" s="1168"/>
      <c r="B720" s="186"/>
      <c r="C720" s="331" t="s">
        <v>562</v>
      </c>
      <c r="D720" s="910"/>
      <c r="E720" s="1"/>
      <c r="F720" s="1"/>
      <c r="G720" s="5"/>
      <c r="H720" s="1"/>
      <c r="I720" s="1"/>
      <c r="J720" s="5"/>
      <c r="K720" s="1"/>
      <c r="L720" s="1"/>
      <c r="M720" s="5"/>
      <c r="N720" s="1"/>
      <c r="O720" s="1"/>
      <c r="P720" s="5"/>
      <c r="Q720" s="1"/>
      <c r="R720" s="1"/>
      <c r="S720" s="5"/>
      <c r="T720" s="1"/>
      <c r="U720" s="1"/>
      <c r="V720" s="5"/>
      <c r="W720" s="1"/>
      <c r="X720" s="1"/>
      <c r="Y720" s="5"/>
      <c r="Z720" s="1"/>
      <c r="AA720" s="1"/>
      <c r="AB720" s="5"/>
      <c r="AC720" s="1"/>
      <c r="AD720" s="1"/>
      <c r="AE720" s="5"/>
      <c r="AF720" s="1"/>
      <c r="AG720" s="1"/>
      <c r="AH720" s="5"/>
      <c r="AI720" s="1"/>
      <c r="AJ720" s="1"/>
      <c r="AK720" s="5"/>
      <c r="AL720" s="1"/>
      <c r="AM720" s="1"/>
      <c r="AN720" s="5"/>
      <c r="AO720" s="1"/>
      <c r="AP720" s="1"/>
      <c r="AQ720" s="5"/>
      <c r="AR720" s="1"/>
      <c r="AS720" s="1"/>
      <c r="AT720" s="5"/>
      <c r="AU720" s="1"/>
      <c r="AV720" s="1"/>
      <c r="AW720" s="5"/>
      <c r="AX720" s="187"/>
      <c r="AY720" s="187"/>
      <c r="AZ720" s="74"/>
      <c r="BA720" s="8"/>
      <c r="BB720" s="8"/>
      <c r="BC720" s="986"/>
      <c r="BD720" s="8"/>
      <c r="BE720" s="8"/>
      <c r="BF720" s="986"/>
      <c r="BG720" s="8"/>
      <c r="BH720" s="8"/>
      <c r="BI720" s="986"/>
      <c r="BJ720" s="115"/>
      <c r="BK720" s="115"/>
      <c r="BL720" s="153"/>
      <c r="BM720" s="115"/>
      <c r="BN720" s="115"/>
      <c r="BO720" s="153"/>
      <c r="BP720" s="115"/>
      <c r="BQ720" s="115"/>
      <c r="BR720" s="153"/>
      <c r="BS720" s="8"/>
      <c r="BT720" s="8"/>
      <c r="BU720" s="74"/>
      <c r="BV720" s="8"/>
      <c r="BW720" s="8"/>
      <c r="BX720" s="74"/>
      <c r="BY720" s="8"/>
      <c r="BZ720" s="8"/>
      <c r="CA720" s="74"/>
      <c r="CB720" s="8"/>
      <c r="CC720" s="8"/>
      <c r="CD720" s="74"/>
      <c r="CE720" s="8"/>
      <c r="CF720" s="8"/>
      <c r="CG720" s="74"/>
      <c r="CH720" s="8"/>
      <c r="CI720" s="8"/>
      <c r="CJ720" s="74"/>
      <c r="CK720" s="8"/>
      <c r="CL720" s="8"/>
      <c r="CM720" s="74"/>
      <c r="CN720" s="8"/>
      <c r="CO720" s="8"/>
      <c r="CP720" s="74"/>
      <c r="CQ720" s="8"/>
      <c r="CR720" s="8"/>
      <c r="CS720" s="74"/>
      <c r="CT720" s="8"/>
      <c r="CU720" s="8"/>
      <c r="CV720" s="74"/>
      <c r="CW720" s="8"/>
      <c r="CX720" s="8"/>
      <c r="CY720" s="74"/>
      <c r="CZ720" s="8"/>
      <c r="DA720" s="8"/>
      <c r="DB720" s="74"/>
      <c r="DC720" s="8"/>
      <c r="DD720" s="8"/>
      <c r="DE720" s="74"/>
      <c r="DF720" s="8"/>
      <c r="DG720" s="8"/>
      <c r="DH720" s="74"/>
      <c r="DI720" s="8"/>
      <c r="DJ720" s="8"/>
      <c r="DK720" s="74"/>
      <c r="DL720" s="8"/>
      <c r="DM720" s="8"/>
      <c r="DN720" s="74"/>
      <c r="DO720" s="8"/>
      <c r="DP720" s="8"/>
      <c r="DQ720" s="74"/>
      <c r="DR720" s="8"/>
      <c r="DS720" s="8"/>
      <c r="DT720" s="74"/>
      <c r="DU720" s="8"/>
      <c r="DV720" s="8"/>
      <c r="DW720" s="74"/>
      <c r="DX720" s="8"/>
      <c r="DY720" s="8"/>
      <c r="DZ720" s="74"/>
      <c r="EA720" s="8"/>
      <c r="EB720" s="8"/>
      <c r="EC720" s="74"/>
      <c r="ED720" s="8"/>
      <c r="EE720" s="8"/>
      <c r="EF720" s="74"/>
      <c r="EG720" s="8"/>
      <c r="EH720" s="8"/>
      <c r="EI720" s="74"/>
      <c r="EJ720" s="8"/>
      <c r="EK720" s="8"/>
      <c r="EL720" s="74"/>
      <c r="EM720" s="8"/>
      <c r="EN720" s="8"/>
      <c r="EO720" s="74"/>
      <c r="EP720" s="8"/>
      <c r="EQ720" s="8"/>
      <c r="ER720" s="74"/>
      <c r="ES720" s="8"/>
      <c r="ET720" s="8"/>
      <c r="EU720" s="74"/>
      <c r="EV720" s="8"/>
      <c r="EW720" s="8"/>
      <c r="EX720" s="74"/>
      <c r="EY720" s="8"/>
      <c r="EZ720" s="8"/>
      <c r="FA720" s="74"/>
      <c r="FH720" s="35"/>
      <c r="FI720" s="35"/>
      <c r="FJ720" s="35"/>
      <c r="FK720" s="35"/>
      <c r="FL720" s="35"/>
      <c r="FM720" s="35"/>
      <c r="FN720" s="35"/>
      <c r="FO720" s="35"/>
      <c r="FP720" s="35"/>
      <c r="FQ720" s="35"/>
    </row>
    <row r="721" spans="1:173" s="321" customFormat="1" hidden="1" outlineLevel="1">
      <c r="A721" s="1168"/>
      <c r="B721" s="186"/>
      <c r="C721" s="186" t="s">
        <v>316</v>
      </c>
      <c r="D721" s="910"/>
      <c r="E721" s="1"/>
      <c r="F721" s="1"/>
      <c r="G721" s="5"/>
      <c r="H721" s="1"/>
      <c r="I721" s="1"/>
      <c r="J721" s="5"/>
      <c r="K721" s="1"/>
      <c r="L721" s="1"/>
      <c r="M721" s="5"/>
      <c r="N721" s="1"/>
      <c r="O721" s="1"/>
      <c r="P721" s="5"/>
      <c r="Q721" s="1"/>
      <c r="R721" s="1"/>
      <c r="S721" s="5"/>
      <c r="T721" s="1"/>
      <c r="U721" s="1"/>
      <c r="V721" s="5"/>
      <c r="W721" s="1"/>
      <c r="X721" s="1"/>
      <c r="Y721" s="5"/>
      <c r="Z721" s="1"/>
      <c r="AA721" s="1"/>
      <c r="AB721" s="5"/>
      <c r="AC721" s="1"/>
      <c r="AD721" s="1"/>
      <c r="AE721" s="5"/>
      <c r="AF721" s="1"/>
      <c r="AG721" s="1"/>
      <c r="AH721" s="5"/>
      <c r="AI721" s="1"/>
      <c r="AJ721" s="1"/>
      <c r="AK721" s="5"/>
      <c r="AL721" s="1"/>
      <c r="AM721" s="1"/>
      <c r="AN721" s="5"/>
      <c r="AO721" s="1"/>
      <c r="AP721" s="1"/>
      <c r="AQ721" s="5"/>
      <c r="AR721" s="1"/>
      <c r="AS721" s="1"/>
      <c r="AT721" s="5"/>
      <c r="AU721" s="1"/>
      <c r="AV721" s="1"/>
      <c r="AW721" s="5"/>
      <c r="AX721" s="187">
        <f t="shared" ref="AX721:CC721" si="3094">AX691*AX679</f>
        <v>7.3059502007299479E-2</v>
      </c>
      <c r="AY721" s="187">
        <f t="shared" si="3094"/>
        <v>7.3275027538221016E-2</v>
      </c>
      <c r="AZ721" s="187">
        <f t="shared" si="3094"/>
        <v>7.3016581772320496E-2</v>
      </c>
      <c r="BA721" s="8">
        <f t="shared" si="3094"/>
        <v>7.3491188869458754E-2</v>
      </c>
      <c r="BB721" s="8">
        <f t="shared" si="3094"/>
        <v>7.3707987876623679E-2</v>
      </c>
      <c r="BC721" s="978">
        <f t="shared" si="3094"/>
        <v>7.344801503158005E-2</v>
      </c>
      <c r="BD721" s="8">
        <f t="shared" si="3094"/>
        <v>7.3925426440859712E-2</v>
      </c>
      <c r="BE721" s="8">
        <f t="shared" si="3094"/>
        <v>7.4143506448860239E-2</v>
      </c>
      <c r="BF721" s="978">
        <f t="shared" si="3094"/>
        <v>7.3881997501617197E-2</v>
      </c>
      <c r="BG721" s="8">
        <f t="shared" si="3094"/>
        <v>7.4362229792884399E-2</v>
      </c>
      <c r="BH721" s="8">
        <f t="shared" si="3094"/>
        <v>7.4581598370773397E-2</v>
      </c>
      <c r="BI721" s="978">
        <f t="shared" si="3094"/>
        <v>7.4318544244959997E-2</v>
      </c>
      <c r="BJ721" s="115">
        <f t="shared" si="3094"/>
        <v>7.4801614085967166E-2</v>
      </c>
      <c r="BK721" s="115">
        <f t="shared" si="3094"/>
        <v>7.5022278847520787E-2</v>
      </c>
      <c r="BL721" s="116">
        <f t="shared" si="3094"/>
        <v>7.4757670413136551E-2</v>
      </c>
      <c r="BM721" s="115">
        <f t="shared" si="3094"/>
        <v>7.5132936708820874E-2</v>
      </c>
      <c r="BN721" s="115">
        <f t="shared" si="3094"/>
        <v>7.5243757790466367E-2</v>
      </c>
      <c r="BO721" s="116">
        <f t="shared" si="3094"/>
        <v>7.4977977312382538E-2</v>
      </c>
      <c r="BP721" s="115">
        <f t="shared" si="3094"/>
        <v>7.5354742333207297E-2</v>
      </c>
      <c r="BQ721" s="115">
        <f t="shared" si="3094"/>
        <v>7.5465890578148773E-2</v>
      </c>
      <c r="BR721" s="116">
        <f t="shared" si="3094"/>
        <v>7.5199325469415934E-2</v>
      </c>
      <c r="BS721" s="8">
        <f t="shared" si="3094"/>
        <v>7.5577202766751533E-2</v>
      </c>
      <c r="BT721" s="8">
        <f t="shared" si="3094"/>
        <v>7.5688679140832493E-2</v>
      </c>
      <c r="BU721" s="187">
        <f t="shared" si="3094"/>
        <v>7.5421327085083187E-2</v>
      </c>
      <c r="BV721" s="8">
        <f t="shared" si="3094"/>
        <v>7.5800319942565225E-2</v>
      </c>
      <c r="BW721" s="8">
        <f t="shared" si="3094"/>
        <v>7.5912125414480475E-2</v>
      </c>
      <c r="BX721" s="187">
        <f t="shared" si="3094"/>
        <v>7.5643984088508892E-2</v>
      </c>
      <c r="BY721" s="8">
        <f t="shared" si="3094"/>
        <v>7.602409579946684E-2</v>
      </c>
      <c r="BZ721" s="8">
        <f t="shared" si="3094"/>
        <v>7.6136231340771049E-2</v>
      </c>
      <c r="CA721" s="187">
        <f t="shared" si="3094"/>
        <v>7.5867298414512868E-2</v>
      </c>
      <c r="CB721" s="8">
        <f t="shared" si="3094"/>
        <v>7.6248532281998682E-2</v>
      </c>
      <c r="CC721" s="8">
        <f t="shared" si="3094"/>
        <v>7.6360998867114629E-2</v>
      </c>
      <c r="CD721" s="187">
        <f t="shared" ref="CD721:DI721" si="3095">CD691*CD679</f>
        <v>7.6091272003626781E-2</v>
      </c>
      <c r="CE721" s="8">
        <f t="shared" si="3095"/>
        <v>7.6473631340443604E-2</v>
      </c>
      <c r="CF721" s="8">
        <f t="shared" si="3095"/>
        <v>7.6586429946670753E-2</v>
      </c>
      <c r="CG721" s="187">
        <f t="shared" si="3095"/>
        <v>7.6315906802111103E-2</v>
      </c>
      <c r="CH721" s="8">
        <f t="shared" si="3095"/>
        <v>7.6699394930842088E-2</v>
      </c>
      <c r="CI721" s="8">
        <f t="shared" si="3095"/>
        <v>7.6812526538365081E-2</v>
      </c>
      <c r="CJ721" s="187">
        <f t="shared" si="3095"/>
        <v>7.654120476197207E-2</v>
      </c>
      <c r="CK721" s="8">
        <f t="shared" si="3095"/>
        <v>7.692582501500915E-2</v>
      </c>
      <c r="CL721" s="8">
        <f t="shared" si="3095"/>
        <v>7.7039290606906285E-2</v>
      </c>
      <c r="CM721" s="187">
        <f t="shared" si="3095"/>
        <v>7.6767167840978479E-2</v>
      </c>
      <c r="CN721" s="8">
        <f t="shared" si="3095"/>
        <v>7.7152923560551437E-2</v>
      </c>
      <c r="CO721" s="8">
        <f t="shared" si="3095"/>
        <v>7.7266724122803263E-2</v>
      </c>
      <c r="CP721" s="187">
        <f t="shared" si="3095"/>
        <v>7.6993798002678859E-2</v>
      </c>
      <c r="CQ721" s="8">
        <f t="shared" si="3095"/>
        <v>7.7380692540884394E-2</v>
      </c>
      <c r="CR721" s="8">
        <f t="shared" si="3095"/>
        <v>7.7494829062382184E-2</v>
      </c>
      <c r="CS721" s="187">
        <f t="shared" si="3095"/>
        <v>7.7221097216418552E-2</v>
      </c>
      <c r="CT721" s="8">
        <f t="shared" si="3095"/>
        <v>7.760913393524918E-2</v>
      </c>
      <c r="CU721" s="8">
        <f t="shared" si="3095"/>
        <v>7.7723607407803666E-2</v>
      </c>
      <c r="CV721" s="187">
        <f t="shared" si="3095"/>
        <v>7.7449067457356593E-2</v>
      </c>
      <c r="CW721" s="8">
        <f t="shared" si="3095"/>
        <v>7.7838249728730186E-2</v>
      </c>
      <c r="CX721" s="8">
        <f t="shared" si="3095"/>
        <v>7.7953061147080033E-2</v>
      </c>
      <c r="CY721" s="187">
        <f t="shared" si="3095"/>
        <v>7.7677710706483161E-2</v>
      </c>
      <c r="CZ721" s="8">
        <f t="shared" si="3095"/>
        <v>7.8068041912271971E-2</v>
      </c>
      <c r="DA721" s="8">
        <f t="shared" si="3095"/>
        <v>7.8183192274092567E-2</v>
      </c>
      <c r="DB721" s="187">
        <f t="shared" si="3095"/>
        <v>7.7907028950636628E-2</v>
      </c>
      <c r="DC721" s="8">
        <f t="shared" si="3095"/>
        <v>7.8298512482696841E-2</v>
      </c>
      <c r="DD721" s="8">
        <f t="shared" si="3095"/>
        <v>7.8414002788608828E-2</v>
      </c>
      <c r="DE721" s="187">
        <f t="shared" si="3095"/>
        <v>7.8137024182520845E-2</v>
      </c>
      <c r="DF721" s="8">
        <f t="shared" si="3095"/>
        <v>7.8529663442722025E-2</v>
      </c>
      <c r="DG721" s="8">
        <f t="shared" si="3095"/>
        <v>7.8645494696300014E-2</v>
      </c>
      <c r="DH721" s="187">
        <f t="shared" si="3095"/>
        <v>7.836769840072251E-2</v>
      </c>
      <c r="DI721" s="8">
        <f t="shared" si="3095"/>
        <v>7.8761496800977049E-2</v>
      </c>
      <c r="DJ721" s="8">
        <f t="shared" ref="DJ721:EF721" si="3096">DJ691*DJ679</f>
        <v>7.8877670008758491E-2</v>
      </c>
      <c r="DK721" s="187">
        <f t="shared" si="3096"/>
        <v>7.859905360972845E-2</v>
      </c>
      <c r="DL721" s="8">
        <f t="shared" si="3096"/>
        <v>7.899401457202139E-2</v>
      </c>
      <c r="DM721" s="8">
        <f t="shared" si="3096"/>
        <v>7.9110530743515109E-2</v>
      </c>
      <c r="DN721" s="187">
        <f t="shared" si="3096"/>
        <v>7.8831091819943147E-2</v>
      </c>
      <c r="DO721" s="8">
        <f t="shared" si="3096"/>
        <v>7.922721877636181E-2</v>
      </c>
      <c r="DP721" s="8">
        <f t="shared" si="3096"/>
        <v>7.9344078924056927E-2</v>
      </c>
      <c r="DQ721" s="187">
        <f t="shared" si="3096"/>
        <v>7.9063815047706099E-2</v>
      </c>
      <c r="DR721" s="8">
        <f t="shared" si="3096"/>
        <v>7.9461111440469911E-2</v>
      </c>
      <c r="DS721" s="8">
        <f t="shared" si="3096"/>
        <v>7.9578316579844571E-2</v>
      </c>
      <c r="DT721" s="187">
        <f t="shared" si="3096"/>
        <v>7.929722531530943E-2</v>
      </c>
      <c r="DU721" s="8">
        <f t="shared" si="3096"/>
        <v>7.9695694596799843E-2</v>
      </c>
      <c r="DV721" s="8">
        <f t="shared" si="3096"/>
        <v>7.9813245746330114E-2</v>
      </c>
      <c r="DW721" s="187">
        <f t="shared" si="3096"/>
        <v>7.9531324651015395E-2</v>
      </c>
      <c r="DX721" s="8">
        <f t="shared" si="3096"/>
        <v>7.9930970283805941E-2</v>
      </c>
      <c r="DY721" s="8">
        <f t="shared" si="3096"/>
        <v>8.004886846497454E-2</v>
      </c>
      <c r="DZ721" s="187">
        <f t="shared" si="3096"/>
        <v>7.976611508907408E-2</v>
      </c>
      <c r="EA721" s="8">
        <f t="shared" si="3096"/>
        <v>8.0166940545960352E-2</v>
      </c>
      <c r="EB721" s="8">
        <f t="shared" si="3096"/>
        <v>8.0285186783265655E-2</v>
      </c>
      <c r="EC721" s="187">
        <f t="shared" si="3096"/>
        <v>8.0001598669740978E-2</v>
      </c>
      <c r="ED721" s="8">
        <f t="shared" si="3096"/>
        <v>8.0403607433770952E-2</v>
      </c>
      <c r="EE721" s="8">
        <f t="shared" si="3096"/>
        <v>8.0522202754735761E-2</v>
      </c>
      <c r="EF721" s="187">
        <f t="shared" si="3096"/>
        <v>8.0237777439294791E-2</v>
      </c>
      <c r="EG721" s="8">
        <f t="shared" ref="EG721:EL721" si="3097">EG691*EG679</f>
        <v>8.064097300379898E-2</v>
      </c>
      <c r="EH721" s="8">
        <f t="shared" si="3097"/>
        <v>8.0759918438979575E-2</v>
      </c>
      <c r="EI721" s="187">
        <f t="shared" si="3097"/>
        <v>8.0474653450055236E-2</v>
      </c>
      <c r="EJ721" s="8">
        <f t="shared" si="3097"/>
        <v>8.0879039318677071E-2</v>
      </c>
      <c r="EK721" s="8">
        <f t="shared" si="3097"/>
        <v>8.0998335901672103E-2</v>
      </c>
      <c r="EL721" s="187">
        <f t="shared" si="3097"/>
        <v>8.0712228760400795E-2</v>
      </c>
      <c r="EM721" s="8">
        <f t="shared" ref="EM721:ER721" si="3098">EM691*EM679</f>
        <v>8.1117808447127071E-2</v>
      </c>
      <c r="EN721" s="8">
        <f t="shared" si="3098"/>
        <v>8.123745721458657E-2</v>
      </c>
      <c r="EO721" s="187">
        <f t="shared" si="3098"/>
        <v>8.0950505434786643E-2</v>
      </c>
      <c r="EP721" s="8">
        <f t="shared" si="3098"/>
        <v>8.1357282463978081E-2</v>
      </c>
      <c r="EQ721" s="8">
        <f t="shared" si="3098"/>
        <v>8.1477284455612434E-2</v>
      </c>
      <c r="ER721" s="187">
        <f t="shared" si="3098"/>
        <v>8.1189485543762638E-2</v>
      </c>
      <c r="ES721" s="8">
        <f t="shared" ref="ES721:EX721" si="3099">ES691*ES679</f>
        <v>8.1597463450184454E-2</v>
      </c>
      <c r="ET721" s="8">
        <f t="shared" si="3099"/>
        <v>8.1717819708773454E-2</v>
      </c>
      <c r="EU721" s="187">
        <f t="shared" si="3099"/>
        <v>8.142917116399119E-2</v>
      </c>
      <c r="EV721" s="8">
        <f t="shared" si="3099"/>
        <v>8.1838353492843893E-2</v>
      </c>
      <c r="EW721" s="8">
        <f t="shared" si="3099"/>
        <v>8.1959065064245828E-2</v>
      </c>
      <c r="EX721" s="187">
        <f t="shared" si="3099"/>
        <v>8.1669564378265475E-2</v>
      </c>
      <c r="EY721" s="8">
        <f t="shared" ref="EY721:FA721" si="3100">EY691*EY679</f>
        <v>8.2079954685215589E-2</v>
      </c>
      <c r="EZ721" s="8">
        <f t="shared" si="3100"/>
        <v>8.2201022618376252E-2</v>
      </c>
      <c r="FA721" s="187">
        <f t="shared" si="3100"/>
        <v>8.1910667275527357E-2</v>
      </c>
      <c r="FH721" s="35"/>
      <c r="FI721" s="35"/>
      <c r="FJ721" s="35"/>
      <c r="FK721" s="35"/>
      <c r="FL721" s="35"/>
      <c r="FM721" s="35"/>
      <c r="FN721" s="35"/>
      <c r="FO721" s="35"/>
      <c r="FP721" s="35"/>
      <c r="FQ721" s="35"/>
    </row>
    <row r="722" spans="1:173" s="321" customFormat="1" hidden="1" outlineLevel="1">
      <c r="A722" s="1168"/>
      <c r="B722" s="186"/>
      <c r="C722" s="186" t="s">
        <v>317</v>
      </c>
      <c r="D722" s="910"/>
      <c r="E722" s="1"/>
      <c r="F722" s="1"/>
      <c r="G722" s="5"/>
      <c r="H722" s="1"/>
      <c r="I722" s="1"/>
      <c r="J722" s="5"/>
      <c r="K722" s="1"/>
      <c r="L722" s="1"/>
      <c r="M722" s="5"/>
      <c r="N722" s="1"/>
      <c r="O722" s="1"/>
      <c r="P722" s="5"/>
      <c r="Q722" s="1"/>
      <c r="R722" s="1"/>
      <c r="S722" s="5"/>
      <c r="T722" s="1"/>
      <c r="U722" s="1"/>
      <c r="V722" s="5"/>
      <c r="W722" s="1"/>
      <c r="X722" s="1"/>
      <c r="Y722" s="5"/>
      <c r="Z722" s="1"/>
      <c r="AA722" s="1"/>
      <c r="AB722" s="5"/>
      <c r="AC722" s="1"/>
      <c r="AD722" s="1"/>
      <c r="AE722" s="5"/>
      <c r="AF722" s="1"/>
      <c r="AG722" s="1"/>
      <c r="AH722" s="5"/>
      <c r="AI722" s="1"/>
      <c r="AJ722" s="1"/>
      <c r="AK722" s="5"/>
      <c r="AL722" s="1"/>
      <c r="AM722" s="1"/>
      <c r="AN722" s="5"/>
      <c r="AO722" s="1"/>
      <c r="AP722" s="1"/>
      <c r="AQ722" s="5"/>
      <c r="AR722" s="1"/>
      <c r="AS722" s="1"/>
      <c r="AT722" s="5"/>
      <c r="AU722" s="1"/>
      <c r="AV722" s="1"/>
      <c r="AW722" s="5"/>
      <c r="AX722" s="187">
        <f t="shared" ref="AX722:CC722" si="3101">AX692*AX680</f>
        <v>0.15637113897500271</v>
      </c>
      <c r="AY722" s="187">
        <f t="shared" si="3101"/>
        <v>0.15623040494992521</v>
      </c>
      <c r="AZ722" s="187">
        <f t="shared" si="3101"/>
        <v>0.15585028314252786</v>
      </c>
      <c r="BA722" s="8">
        <f t="shared" si="3101"/>
        <v>0.15608979758547026</v>
      </c>
      <c r="BB722" s="8">
        <f t="shared" si="3101"/>
        <v>0.15594931676764334</v>
      </c>
      <c r="BC722" s="978">
        <f t="shared" si="3101"/>
        <v>0.15556987887160065</v>
      </c>
      <c r="BD722" s="8">
        <f t="shared" si="3101"/>
        <v>0.15580896238255246</v>
      </c>
      <c r="BE722" s="8">
        <f t="shared" si="3101"/>
        <v>0.15566873431640815</v>
      </c>
      <c r="BF722" s="978">
        <f t="shared" si="3101"/>
        <v>0.15528997910123363</v>
      </c>
      <c r="BG722" s="8">
        <f t="shared" si="3101"/>
        <v>0.1555286324555234</v>
      </c>
      <c r="BH722" s="8">
        <f t="shared" si="3101"/>
        <v>0.15538865668631341</v>
      </c>
      <c r="BI722" s="978">
        <f t="shared" si="3101"/>
        <v>0.15501058292373451</v>
      </c>
      <c r="BJ722" s="115">
        <f t="shared" si="3101"/>
        <v>0.15524880689529574</v>
      </c>
      <c r="BK722" s="115">
        <f t="shared" si="3101"/>
        <v>0.15510908296908996</v>
      </c>
      <c r="BL722" s="116">
        <f t="shared" si="3101"/>
        <v>0.15473168943304394</v>
      </c>
      <c r="BM722" s="115">
        <f t="shared" si="3101"/>
        <v>0.15503928388175389</v>
      </c>
      <c r="BN722" s="115">
        <f t="shared" si="3101"/>
        <v>0.15496951620400709</v>
      </c>
      <c r="BO722" s="116">
        <f t="shared" si="3101"/>
        <v>0.15459263199639037</v>
      </c>
      <c r="BP722" s="115">
        <f t="shared" si="3101"/>
        <v>0.15489977992171527</v>
      </c>
      <c r="BQ722" s="115">
        <f t="shared" si="3101"/>
        <v>0.15483007502075052</v>
      </c>
      <c r="BR722" s="116">
        <f t="shared" si="3101"/>
        <v>0.15445352993260159</v>
      </c>
      <c r="BS722" s="8">
        <f t="shared" si="3101"/>
        <v>0.15476040148699116</v>
      </c>
      <c r="BT722" s="8">
        <f t="shared" si="3101"/>
        <v>0.15469075930632201</v>
      </c>
      <c r="BU722" s="187">
        <f t="shared" si="3101"/>
        <v>0.15431455303250208</v>
      </c>
      <c r="BV722" s="8">
        <f t="shared" si="3101"/>
        <v>0.15462114846463421</v>
      </c>
      <c r="BW722" s="8">
        <f t="shared" si="3101"/>
        <v>0.15455156894782512</v>
      </c>
      <c r="BX722" s="187">
        <f t="shared" si="3101"/>
        <v>0.15417570118346982</v>
      </c>
      <c r="BY722" s="8">
        <f t="shared" si="3101"/>
        <v>0.15448202074179862</v>
      </c>
      <c r="BZ722" s="8">
        <f t="shared" si="3101"/>
        <v>0.1544125038324648</v>
      </c>
      <c r="CA722" s="187">
        <f t="shared" si="3101"/>
        <v>0.15403697427298418</v>
      </c>
      <c r="CB722" s="8">
        <f t="shared" si="3101"/>
        <v>0.1543430182057402</v>
      </c>
      <c r="CC722" s="8">
        <f t="shared" si="3101"/>
        <v>0.15427356384754762</v>
      </c>
      <c r="CD722" s="187">
        <f t="shared" ref="CD722:DI722" si="3102">CD692*CD680</f>
        <v>0.15389837218862581</v>
      </c>
      <c r="CE722" s="8">
        <f t="shared" si="3102"/>
        <v>0.15420414074381625</v>
      </c>
      <c r="CF722" s="8">
        <f t="shared" si="3102"/>
        <v>0.15413474888048156</v>
      </c>
      <c r="CG722" s="187">
        <f t="shared" si="3102"/>
        <v>0.15375989481807645</v>
      </c>
      <c r="CH722" s="8">
        <f t="shared" si="3102"/>
        <v>0.15406538824348534</v>
      </c>
      <c r="CI722" s="8">
        <f t="shared" si="3102"/>
        <v>0.15399605881877573</v>
      </c>
      <c r="CJ722" s="187">
        <f t="shared" si="3102"/>
        <v>0.1536215420491189</v>
      </c>
      <c r="CK722" s="8">
        <f t="shared" si="3102"/>
        <v>0.15392676059230734</v>
      </c>
      <c r="CL722" s="8">
        <f t="shared" si="3102"/>
        <v>0.15385749355004077</v>
      </c>
      <c r="CM722" s="187">
        <f t="shared" si="3102"/>
        <v>0.15348331376963695</v>
      </c>
      <c r="CN722" s="8">
        <f t="shared" si="3102"/>
        <v>0.15378825767794327</v>
      </c>
      <c r="CO722" s="8">
        <f t="shared" si="3102"/>
        <v>0.15371905296198821</v>
      </c>
      <c r="CP722" s="187">
        <f t="shared" si="3102"/>
        <v>0.15334520986761535</v>
      </c>
      <c r="CQ722" s="8">
        <f t="shared" si="3102"/>
        <v>0.1536498793881553</v>
      </c>
      <c r="CR722" s="8">
        <f t="shared" si="3102"/>
        <v>0.15358073694243068</v>
      </c>
      <c r="CS722" s="187">
        <f t="shared" si="3102"/>
        <v>0.15320723023113952</v>
      </c>
      <c r="CT722" s="8">
        <f t="shared" si="3102"/>
        <v>0.15351162561080658</v>
      </c>
      <c r="CU722" s="8">
        <f t="shared" si="3102"/>
        <v>0.1534425453792817</v>
      </c>
      <c r="CV722" s="187">
        <f t="shared" si="3102"/>
        <v>0.1530693747483956</v>
      </c>
      <c r="CW722" s="8">
        <f t="shared" si="3102"/>
        <v>0.15337349623386104</v>
      </c>
      <c r="CX722" s="8">
        <f t="shared" si="3102"/>
        <v>0.15330447816055581</v>
      </c>
      <c r="CY722" s="187">
        <f t="shared" si="3102"/>
        <v>0.15293164330767045</v>
      </c>
      <c r="CZ722" s="8">
        <f t="shared" si="3102"/>
        <v>0.15323549114538357</v>
      </c>
      <c r="DA722" s="8">
        <f t="shared" si="3102"/>
        <v>0.15316653517436812</v>
      </c>
      <c r="DB722" s="187">
        <f t="shared" si="3102"/>
        <v>0.15279403579735132</v>
      </c>
      <c r="DC722" s="8">
        <f t="shared" si="3102"/>
        <v>0.15309761023353968</v>
      </c>
      <c r="DD722" s="8">
        <f t="shared" si="3102"/>
        <v>0.15302871630893455</v>
      </c>
      <c r="DE722" s="187">
        <f t="shared" si="3102"/>
        <v>0.15265655210592596</v>
      </c>
      <c r="DF722" s="8">
        <f t="shared" si="3102"/>
        <v>0.1529598533865956</v>
      </c>
      <c r="DG722" s="8">
        <f t="shared" si="3102"/>
        <v>0.15289102145257161</v>
      </c>
      <c r="DH722" s="187">
        <f t="shared" si="3102"/>
        <v>0.15251919212198245</v>
      </c>
      <c r="DI722" s="8">
        <f t="shared" si="3102"/>
        <v>0.15282222049291797</v>
      </c>
      <c r="DJ722" s="8">
        <f t="shared" ref="DJ722:EF722" si="3103">DJ692*DJ680</f>
        <v>0.15275345049369618</v>
      </c>
      <c r="DK722" s="187">
        <f t="shared" si="3103"/>
        <v>0.1523819557342091</v>
      </c>
      <c r="DL722" s="8">
        <f t="shared" si="3103"/>
        <v>0.15268471144097404</v>
      </c>
      <c r="DM722" s="8">
        <f t="shared" si="3103"/>
        <v>0.15261600332082559</v>
      </c>
      <c r="DN722" s="187">
        <f t="shared" si="3103"/>
        <v>0.15224484283139436</v>
      </c>
      <c r="DO722" s="8">
        <f t="shared" si="3103"/>
        <v>0.15254732611933122</v>
      </c>
      <c r="DP722" s="8">
        <f t="shared" si="3103"/>
        <v>0.15247867982257757</v>
      </c>
      <c r="DQ722" s="187">
        <f t="shared" si="3103"/>
        <v>0.15210785330242677</v>
      </c>
      <c r="DR722" s="8">
        <f t="shared" si="3103"/>
        <v>0.15241006441665741</v>
      </c>
      <c r="DS722" s="8">
        <f t="shared" si="3103"/>
        <v>0.15234147988766991</v>
      </c>
      <c r="DT722" s="187">
        <f t="shared" si="3103"/>
        <v>0.15197098703629494</v>
      </c>
      <c r="DU722" s="8">
        <f t="shared" si="3103"/>
        <v>0.15227292622172045</v>
      </c>
      <c r="DV722" s="8">
        <f t="shared" si="3103"/>
        <v>0.15220440340492067</v>
      </c>
      <c r="DW722" s="187">
        <f t="shared" si="3103"/>
        <v>0.15183424392208714</v>
      </c>
      <c r="DX722" s="8">
        <f t="shared" si="3103"/>
        <v>0.15213591142338848</v>
      </c>
      <c r="DY722" s="8">
        <f t="shared" si="3103"/>
        <v>0.15206745026324797</v>
      </c>
      <c r="DZ722" s="187">
        <f t="shared" si="3103"/>
        <v>0.15169762384899169</v>
      </c>
      <c r="EA722" s="8">
        <f t="shared" si="3103"/>
        <v>0.15199901991062953</v>
      </c>
      <c r="EB722" s="8">
        <f t="shared" si="3103"/>
        <v>0.15193062035166971</v>
      </c>
      <c r="EC722" s="187">
        <f t="shared" si="3103"/>
        <v>0.15156112670629637</v>
      </c>
      <c r="ED722" s="8">
        <f t="shared" si="3103"/>
        <v>0.15186225157251149</v>
      </c>
      <c r="EE722" s="8">
        <f t="shared" si="3103"/>
        <v>0.15179391355930383</v>
      </c>
      <c r="EF722" s="187">
        <f t="shared" si="3103"/>
        <v>0.15142475238338893</v>
      </c>
      <c r="EG722" s="8">
        <f t="shared" ref="EG722:EL722" si="3104">EG692*EG680</f>
        <v>0.1517256062982022</v>
      </c>
      <c r="EH722" s="8">
        <f t="shared" si="3104"/>
        <v>0.15165732977536794</v>
      </c>
      <c r="EI722" s="187">
        <f t="shared" si="3104"/>
        <v>0.15128850076975622</v>
      </c>
      <c r="EJ722" s="8">
        <f t="shared" si="3104"/>
        <v>0.15158908397696905</v>
      </c>
      <c r="EK722" s="8">
        <f t="shared" si="3104"/>
        <v>0.15152086888917943</v>
      </c>
      <c r="EL722" s="187">
        <f t="shared" si="3104"/>
        <v>0.15115237175498486</v>
      </c>
      <c r="EM722" s="8">
        <f t="shared" ref="EM722:ER722" si="3105">EM692*EM680</f>
        <v>0.15145268449817934</v>
      </c>
      <c r="EN722" s="8">
        <f t="shared" si="3105"/>
        <v>0.15138453079015513</v>
      </c>
      <c r="EO722" s="187">
        <f t="shared" si="3105"/>
        <v>0.15101636522876069</v>
      </c>
      <c r="EP722" s="8">
        <f t="shared" si="3105"/>
        <v>0.15131640775129959</v>
      </c>
      <c r="EQ722" s="8">
        <f t="shared" si="3105"/>
        <v>0.15124831536781155</v>
      </c>
      <c r="ER722" s="187">
        <f t="shared" si="3105"/>
        <v>0.15088048108086879</v>
      </c>
      <c r="ES722" s="8">
        <f t="shared" ref="ES722:EX722" si="3106">ES692*ES680</f>
        <v>0.15118025362589602</v>
      </c>
      <c r="ET722" s="8">
        <f t="shared" si="3106"/>
        <v>0.15111222251176437</v>
      </c>
      <c r="EU722" s="187">
        <f t="shared" si="3106"/>
        <v>0.15074471920119345</v>
      </c>
      <c r="EV722" s="8">
        <f t="shared" si="3106"/>
        <v>0.15104422201163409</v>
      </c>
      <c r="EW722" s="8">
        <f t="shared" si="3106"/>
        <v>0.15097625211172885</v>
      </c>
      <c r="EX722" s="187">
        <f t="shared" si="3106"/>
        <v>0.15060907947971799</v>
      </c>
      <c r="EY722" s="8">
        <f t="shared" ref="EY722:FA722" si="3107">EY692*EY680</f>
        <v>0.1509083127982786</v>
      </c>
      <c r="EZ722" s="8">
        <f t="shared" si="3107"/>
        <v>0.15084040405751936</v>
      </c>
      <c r="FA722" s="187">
        <f t="shared" si="3107"/>
        <v>0.15047356180652488</v>
      </c>
      <c r="FH722" s="35"/>
      <c r="FI722" s="35"/>
      <c r="FJ722" s="35"/>
      <c r="FK722" s="35"/>
      <c r="FL722" s="35"/>
      <c r="FM722" s="35"/>
      <c r="FN722" s="35"/>
      <c r="FO722" s="35"/>
      <c r="FP722" s="35"/>
      <c r="FQ722" s="35"/>
    </row>
    <row r="723" spans="1:173" s="321" customFormat="1" hidden="1" outlineLevel="1">
      <c r="A723" s="1168"/>
      <c r="B723" s="186"/>
      <c r="C723" s="186" t="s">
        <v>431</v>
      </c>
      <c r="D723" s="910"/>
      <c r="E723" s="1"/>
      <c r="F723" s="1"/>
      <c r="G723" s="5"/>
      <c r="H723" s="1"/>
      <c r="I723" s="1"/>
      <c r="J723" s="5"/>
      <c r="K723" s="1"/>
      <c r="L723" s="1"/>
      <c r="M723" s="5"/>
      <c r="N723" s="1"/>
      <c r="O723" s="1"/>
      <c r="P723" s="5"/>
      <c r="Q723" s="1"/>
      <c r="R723" s="1"/>
      <c r="S723" s="5"/>
      <c r="T723" s="1"/>
      <c r="U723" s="1"/>
      <c r="V723" s="5"/>
      <c r="W723" s="1"/>
      <c r="X723" s="1"/>
      <c r="Y723" s="5"/>
      <c r="Z723" s="1"/>
      <c r="AA723" s="1"/>
      <c r="AB723" s="5"/>
      <c r="AC723" s="1"/>
      <c r="AD723" s="1"/>
      <c r="AE723" s="5"/>
      <c r="AF723" s="1"/>
      <c r="AG723" s="1"/>
      <c r="AH723" s="5"/>
      <c r="AI723" s="1"/>
      <c r="AJ723" s="1"/>
      <c r="AK723" s="5"/>
      <c r="AL723" s="1"/>
      <c r="AM723" s="1"/>
      <c r="AN723" s="5"/>
      <c r="AO723" s="1"/>
      <c r="AP723" s="1"/>
      <c r="AQ723" s="5"/>
      <c r="AR723" s="1"/>
      <c r="AS723" s="1"/>
      <c r="AT723" s="5"/>
      <c r="AU723" s="1"/>
      <c r="AV723" s="1"/>
      <c r="AW723" s="5"/>
      <c r="AX723" s="187">
        <f t="shared" ref="AX723:CC723" si="3108">AX693*AX681</f>
        <v>9.1063811123510419E-2</v>
      </c>
      <c r="AY723" s="187">
        <f t="shared" si="3108"/>
        <v>9.1646619514700864E-2</v>
      </c>
      <c r="AZ723" s="187">
        <f t="shared" si="3108"/>
        <v>9.1177513313411257E-2</v>
      </c>
      <c r="BA723" s="8">
        <f t="shared" si="3108"/>
        <v>9.2233157879594949E-2</v>
      </c>
      <c r="BB723" s="8">
        <f t="shared" si="3108"/>
        <v>9.2823450090024351E-2</v>
      </c>
      <c r="BC723" s="978">
        <f t="shared" si="3108"/>
        <v>9.2348320114768234E-2</v>
      </c>
      <c r="BD723" s="8">
        <f t="shared" si="3108"/>
        <v>9.341752017060051E-2</v>
      </c>
      <c r="BE723" s="8">
        <f t="shared" si="3108"/>
        <v>9.4015392299692344E-2</v>
      </c>
      <c r="BF723" s="978">
        <f t="shared" si="3108"/>
        <v>9.3534161199429172E-2</v>
      </c>
      <c r="BG723" s="8">
        <f t="shared" si="3108"/>
        <v>9.4617090810410365E-2</v>
      </c>
      <c r="BH723" s="8">
        <f t="shared" si="3108"/>
        <v>9.5222640191596999E-2</v>
      </c>
      <c r="BI723" s="978">
        <f t="shared" si="3108"/>
        <v>9.4735229622024575E-2</v>
      </c>
      <c r="BJ723" s="115">
        <f t="shared" si="3108"/>
        <v>9.5832065088823221E-2</v>
      </c>
      <c r="BK723" s="115">
        <f t="shared" si="3108"/>
        <v>9.6445390305391676E-2</v>
      </c>
      <c r="BL723" s="116">
        <f t="shared" si="3108"/>
        <v>9.5951720916191807E-2</v>
      </c>
      <c r="BM723" s="115">
        <f t="shared" si="3108"/>
        <v>9.6754015554368938E-2</v>
      </c>
      <c r="BN723" s="115">
        <f t="shared" si="3108"/>
        <v>9.706362840414294E-2</v>
      </c>
      <c r="BO723" s="116">
        <f t="shared" si="3108"/>
        <v>9.6565209678457664E-2</v>
      </c>
      <c r="BP723" s="115">
        <f t="shared" si="3108"/>
        <v>9.73742320150362E-2</v>
      </c>
      <c r="BQ723" s="115">
        <f t="shared" si="3108"/>
        <v>9.7685829557484338E-2</v>
      </c>
      <c r="BR723" s="116">
        <f t="shared" si="3108"/>
        <v>9.7184215848146904E-2</v>
      </c>
      <c r="BS723" s="8">
        <f t="shared" si="3108"/>
        <v>9.7998424212068294E-2</v>
      </c>
      <c r="BT723" s="8">
        <f t="shared" si="3108"/>
        <v>9.8312019169546919E-2</v>
      </c>
      <c r="BU723" s="187">
        <f t="shared" si="3108"/>
        <v>9.7807189995945357E-2</v>
      </c>
      <c r="BV723" s="8">
        <f t="shared" si="3108"/>
        <v>9.8626617630889479E-2</v>
      </c>
      <c r="BW723" s="8">
        <f t="shared" si="3108"/>
        <v>9.8942222807308355E-2</v>
      </c>
      <c r="BX723" s="187">
        <f t="shared" si="3108"/>
        <v>9.8434157557545005E-2</v>
      </c>
      <c r="BY723" s="8">
        <f t="shared" si="3108"/>
        <v>9.9258837920291748E-2</v>
      </c>
      <c r="BZ723" s="8">
        <f t="shared" si="3108"/>
        <v>9.9576466201636668E-2</v>
      </c>
      <c r="CA723" s="187">
        <f t="shared" si="3108"/>
        <v>9.9065144131686683E-2</v>
      </c>
      <c r="CB723" s="8">
        <f t="shared" si="3108"/>
        <v>9.9895110893481937E-2</v>
      </c>
      <c r="CC723" s="8">
        <f t="shared" si="3108"/>
        <v>0.10021477524834109</v>
      </c>
      <c r="CD723" s="187">
        <f t="shared" ref="CD723:DI723" si="3109">CD693*CD681</f>
        <v>9.9700175481205411E-2</v>
      </c>
      <c r="CE723" s="8">
        <f t="shared" si="3109"/>
        <v>0.10053546252913577</v>
      </c>
      <c r="CF723" s="8">
        <f t="shared" si="3109"/>
        <v>0.10085717600922904</v>
      </c>
      <c r="CG723" s="187">
        <f t="shared" si="3109"/>
        <v>0.10033927753408207</v>
      </c>
      <c r="CH723" s="8">
        <f t="shared" si="3109"/>
        <v>0.10117991897245858</v>
      </c>
      <c r="CI723" s="8">
        <f t="shared" si="3109"/>
        <v>0.10150369471317044</v>
      </c>
      <c r="CJ723" s="187">
        <f t="shared" si="3109"/>
        <v>0.10098247638450215</v>
      </c>
      <c r="CK723" s="8">
        <f t="shared" si="3109"/>
        <v>0.1018285065362526</v>
      </c>
      <c r="CL723" s="8">
        <f t="shared" si="3109"/>
        <v>0.10215435775716859</v>
      </c>
      <c r="CM723" s="187">
        <f t="shared" si="3109"/>
        <v>0.10162979829392119</v>
      </c>
      <c r="CN723" s="8">
        <f t="shared" si="3109"/>
        <v>0.10248125170199157</v>
      </c>
      <c r="CO723" s="8">
        <f t="shared" si="3109"/>
        <v>0.10280919170743795</v>
      </c>
      <c r="CP723" s="187">
        <f t="shared" si="3109"/>
        <v>0.1022812696921368</v>
      </c>
      <c r="CQ723" s="8">
        <f t="shared" si="3109"/>
        <v>0.10313818112090177</v>
      </c>
      <c r="CR723" s="8">
        <f t="shared" si="3109"/>
        <v>0.10346822330048866</v>
      </c>
      <c r="CS723" s="187">
        <f t="shared" si="3109"/>
        <v>0.10293691717836817</v>
      </c>
      <c r="CT723" s="8">
        <f t="shared" si="3109"/>
        <v>0.10379932161505022</v>
      </c>
      <c r="CU723" s="8">
        <f t="shared" si="3109"/>
        <v>0.10413147944421837</v>
      </c>
      <c r="CV723" s="187">
        <f t="shared" si="3109"/>
        <v>0.10359676752234162</v>
      </c>
      <c r="CW723" s="8">
        <f t="shared" si="3109"/>
        <v>0.1044647001784399</v>
      </c>
      <c r="CX723" s="8">
        <f t="shared" si="3109"/>
        <v>0.10479898721901092</v>
      </c>
      <c r="CY723" s="187">
        <f t="shared" si="3109"/>
        <v>0.10426084766538407</v>
      </c>
      <c r="CZ723" s="8">
        <f t="shared" si="3109"/>
        <v>0.10513434397811178</v>
      </c>
      <c r="DA723" s="8">
        <f t="shared" si="3109"/>
        <v>0.10547077387884173</v>
      </c>
      <c r="DB723" s="187">
        <f t="shared" si="3109"/>
        <v>0.10492918472152267</v>
      </c>
      <c r="DC723" s="8">
        <f t="shared" si="3109"/>
        <v>0.10580828035525403</v>
      </c>
      <c r="DD723" s="8">
        <f t="shared" si="3109"/>
        <v>0.10614686685239086</v>
      </c>
      <c r="DE723" s="187">
        <f t="shared" si="3109"/>
        <v>0.10560180597859195</v>
      </c>
      <c r="DF723" s="8">
        <f t="shared" si="3109"/>
        <v>0.10648653682631851</v>
      </c>
      <c r="DG723" s="8">
        <f t="shared" si="3109"/>
        <v>0.10682729374416274</v>
      </c>
      <c r="DH723" s="187">
        <f t="shared" si="3109"/>
        <v>0.10627873889934816</v>
      </c>
      <c r="DI723" s="8">
        <f t="shared" si="3109"/>
        <v>0.10716914108414405</v>
      </c>
      <c r="DJ723" s="8">
        <f t="shared" ref="DJ723:EF723" si="3110">DJ693*DJ681</f>
        <v>0.10751208233561332</v>
      </c>
      <c r="DK723" s="187">
        <f t="shared" si="3110"/>
        <v>0.10696001112259033</v>
      </c>
      <c r="DL723" s="8">
        <f t="shared" si="3110"/>
        <v>0.10785612099908728</v>
      </c>
      <c r="DM723" s="8">
        <f t="shared" si="3110"/>
        <v>0.10820126058628438</v>
      </c>
      <c r="DN723" s="187">
        <f t="shared" si="3110"/>
        <v>0.10764565046428881</v>
      </c>
      <c r="DO723" s="8">
        <f t="shared" si="3110"/>
        <v>0.10854750462016048</v>
      </c>
      <c r="DP723" s="8">
        <f t="shared" si="3110"/>
        <v>0.10889485663494498</v>
      </c>
      <c r="DQ723" s="187">
        <f t="shared" si="3110"/>
        <v>0.10833568491872103</v>
      </c>
      <c r="DR723" s="8">
        <f t="shared" si="3110"/>
        <v>0.10924332017617684</v>
      </c>
      <c r="DS723" s="8">
        <f t="shared" si="3110"/>
        <v>0.10959289880074062</v>
      </c>
      <c r="DT723" s="187">
        <f t="shared" si="3110"/>
        <v>0.10903014265961444</v>
      </c>
      <c r="DU723" s="8">
        <f t="shared" si="3110"/>
        <v>0.10994359607690296</v>
      </c>
      <c r="DV723" s="8">
        <f t="shared" si="3110"/>
        <v>0.1102954155843491</v>
      </c>
      <c r="DW723" s="187">
        <f t="shared" si="3110"/>
        <v>0.10972905204129682</v>
      </c>
      <c r="DX723" s="8">
        <f t="shared" si="3110"/>
        <v>0.11064836091421902</v>
      </c>
      <c r="DY723" s="8">
        <f t="shared" si="3110"/>
        <v>0.11100243566914453</v>
      </c>
      <c r="DZ723" s="187">
        <f t="shared" si="3110"/>
        <v>0.11043244159985405</v>
      </c>
      <c r="EA723" s="8">
        <f t="shared" si="3110"/>
        <v>0.11135764346328579</v>
      </c>
      <c r="EB723" s="8">
        <f t="shared" si="3110"/>
        <v>0.11171398792236834</v>
      </c>
      <c r="EC723" s="187">
        <f t="shared" si="3110"/>
        <v>0.11114034005429513</v>
      </c>
      <c r="ED723" s="8">
        <f t="shared" si="3110"/>
        <v>0.11207147268371992</v>
      </c>
      <c r="EE723" s="8">
        <f t="shared" si="3110"/>
        <v>0.11243010139630782</v>
      </c>
      <c r="EF723" s="187">
        <f t="shared" si="3110"/>
        <v>0.11185277630772479</v>
      </c>
      <c r="EG723" s="8">
        <f t="shared" ref="EG723:EL723" si="3111">EG693*EG681</f>
        <v>0.11278987772077601</v>
      </c>
      <c r="EH723" s="8">
        <f t="shared" si="3111"/>
        <v>0.11315080532948252</v>
      </c>
      <c r="EI723" s="187">
        <f t="shared" si="3111"/>
        <v>0.11256977944852363</v>
      </c>
      <c r="EJ723" s="8">
        <f t="shared" si="3111"/>
        <v>0.11351288790653687</v>
      </c>
      <c r="EK723" s="8">
        <f t="shared" si="3111"/>
        <v>0.11387612914783779</v>
      </c>
      <c r="EL723" s="187">
        <f t="shared" si="3111"/>
        <v>0.11329137875153575</v>
      </c>
      <c r="EM723" s="8">
        <f t="shared" ref="EM723:ER723" si="3112">EM693*EM681</f>
        <v>0.11424053276111086</v>
      </c>
      <c r="EN723" s="8">
        <f t="shared" si="3112"/>
        <v>0.11460610246594645</v>
      </c>
      <c r="EO723" s="187">
        <f t="shared" si="3112"/>
        <v>0.11401760367926402</v>
      </c>
      <c r="EP723" s="8">
        <f t="shared" si="3112"/>
        <v>0.1149728419938375</v>
      </c>
      <c r="EQ723" s="8">
        <f t="shared" si="3112"/>
        <v>0.11534075508821778</v>
      </c>
      <c r="ER723" s="187">
        <f t="shared" si="3112"/>
        <v>0.11474848388307297</v>
      </c>
      <c r="ES723" s="8">
        <f t="shared" ref="ES723:EX723" si="3113">ES693*ES681</f>
        <v>0.11570984550450009</v>
      </c>
      <c r="ET723" s="8">
        <f t="shared" si="3113"/>
        <v>0.11608011701011448</v>
      </c>
      <c r="EU723" s="187">
        <f t="shared" si="3113"/>
        <v>0.11548404920439964</v>
      </c>
      <c r="EV723" s="8">
        <f t="shared" si="3113"/>
        <v>0.11645157338454687</v>
      </c>
      <c r="EW723" s="8">
        <f t="shared" si="3113"/>
        <v>0.1168242184193774</v>
      </c>
      <c r="EX723" s="187">
        <f t="shared" si="3113"/>
        <v>0.11622432967597163</v>
      </c>
      <c r="EY723" s="8">
        <f t="shared" ref="EY723:FA723" si="3114">EY693*EY681</f>
        <v>0.11719805591831943</v>
      </c>
      <c r="EZ723" s="8">
        <f t="shared" si="3114"/>
        <v>0.11757308969725806</v>
      </c>
      <c r="FA723" s="187">
        <f t="shared" si="3114"/>
        <v>0.11696935552303377</v>
      </c>
      <c r="FH723" s="35"/>
      <c r="FI723" s="35"/>
      <c r="FJ723" s="35"/>
      <c r="FK723" s="35"/>
      <c r="FL723" s="35"/>
      <c r="FM723" s="35"/>
      <c r="FN723" s="35"/>
      <c r="FO723" s="35"/>
      <c r="FP723" s="35"/>
      <c r="FQ723" s="35"/>
    </row>
    <row r="724" spans="1:173" s="321" customFormat="1" hidden="1" outlineLevel="1">
      <c r="A724" s="1168"/>
      <c r="B724" s="186"/>
      <c r="C724" s="186" t="s">
        <v>327</v>
      </c>
      <c r="D724" s="910"/>
      <c r="E724" s="1"/>
      <c r="F724" s="1"/>
      <c r="G724" s="5"/>
      <c r="H724" s="1"/>
      <c r="I724" s="1"/>
      <c r="J724" s="5"/>
      <c r="K724" s="1"/>
      <c r="L724" s="1"/>
      <c r="M724" s="5"/>
      <c r="N724" s="1"/>
      <c r="O724" s="1"/>
      <c r="P724" s="5"/>
      <c r="Q724" s="1"/>
      <c r="R724" s="1"/>
      <c r="S724" s="5"/>
      <c r="T724" s="1"/>
      <c r="U724" s="1"/>
      <c r="V724" s="5"/>
      <c r="W724" s="1"/>
      <c r="X724" s="1"/>
      <c r="Y724" s="5"/>
      <c r="Z724" s="1"/>
      <c r="AA724" s="1"/>
      <c r="AB724" s="5"/>
      <c r="AC724" s="1"/>
      <c r="AD724" s="1"/>
      <c r="AE724" s="5"/>
      <c r="AF724" s="1"/>
      <c r="AG724" s="1"/>
      <c r="AH724" s="5"/>
      <c r="AI724" s="1"/>
      <c r="AJ724" s="1"/>
      <c r="AK724" s="5"/>
      <c r="AL724" s="1"/>
      <c r="AM724" s="1"/>
      <c r="AN724" s="5"/>
      <c r="AO724" s="1"/>
      <c r="AP724" s="1"/>
      <c r="AQ724" s="5"/>
      <c r="AR724" s="1"/>
      <c r="AS724" s="1"/>
      <c r="AT724" s="5"/>
      <c r="AU724" s="1"/>
      <c r="AV724" s="1"/>
      <c r="AW724" s="5"/>
      <c r="AX724" s="187">
        <f t="shared" ref="AX724:CC724" si="3115">SUM(AX721:AX723)</f>
        <v>0.32049445210581262</v>
      </c>
      <c r="AY724" s="187">
        <f t="shared" si="3115"/>
        <v>0.32115205200284708</v>
      </c>
      <c r="AZ724" s="187">
        <f t="shared" si="3115"/>
        <v>0.3200443782282596</v>
      </c>
      <c r="BA724" s="8">
        <f t="shared" si="3115"/>
        <v>0.32181414433452399</v>
      </c>
      <c r="BB724" s="8">
        <f t="shared" si="3115"/>
        <v>0.32248075473429139</v>
      </c>
      <c r="BC724" s="978">
        <f t="shared" si="3115"/>
        <v>0.32136621401794896</v>
      </c>
      <c r="BD724" s="8">
        <f t="shared" si="3115"/>
        <v>0.32315190899401269</v>
      </c>
      <c r="BE724" s="8">
        <f t="shared" si="3115"/>
        <v>0.32382763306496076</v>
      </c>
      <c r="BF724" s="978">
        <f t="shared" si="3115"/>
        <v>0.32270613780227997</v>
      </c>
      <c r="BG724" s="8">
        <f t="shared" si="3115"/>
        <v>0.32450795305881819</v>
      </c>
      <c r="BH724" s="8">
        <f t="shared" si="3115"/>
        <v>0.32519289524868378</v>
      </c>
      <c r="BI724" s="978">
        <f t="shared" si="3115"/>
        <v>0.3240643567907191</v>
      </c>
      <c r="BJ724" s="115">
        <f t="shared" si="3115"/>
        <v>0.32588248607008613</v>
      </c>
      <c r="BK724" s="115">
        <f t="shared" si="3115"/>
        <v>0.32657675212200243</v>
      </c>
      <c r="BL724" s="116">
        <f t="shared" si="3115"/>
        <v>0.32544108076237233</v>
      </c>
      <c r="BM724" s="115">
        <f t="shared" si="3115"/>
        <v>0.3269262361449437</v>
      </c>
      <c r="BN724" s="115">
        <f t="shared" si="3115"/>
        <v>0.3272769023986164</v>
      </c>
      <c r="BO724" s="116">
        <f t="shared" si="3115"/>
        <v>0.32613581898723054</v>
      </c>
      <c r="BP724" s="115">
        <f t="shared" si="3115"/>
        <v>0.32762875426995874</v>
      </c>
      <c r="BQ724" s="115">
        <f t="shared" si="3115"/>
        <v>0.32798179515638365</v>
      </c>
      <c r="BR724" s="116">
        <f t="shared" si="3115"/>
        <v>0.32683707125016442</v>
      </c>
      <c r="BS724" s="8">
        <f t="shared" si="3115"/>
        <v>0.328336028465811</v>
      </c>
      <c r="BT724" s="8">
        <f t="shared" si="3115"/>
        <v>0.32869145761670143</v>
      </c>
      <c r="BU724" s="187">
        <f t="shared" si="3115"/>
        <v>0.32754307011353062</v>
      </c>
      <c r="BV724" s="8">
        <f t="shared" si="3115"/>
        <v>0.32904808603808888</v>
      </c>
      <c r="BW724" s="8">
        <f t="shared" si="3115"/>
        <v>0.32940591716961398</v>
      </c>
      <c r="BX724" s="187">
        <f t="shared" si="3115"/>
        <v>0.32825384282952375</v>
      </c>
      <c r="BY724" s="8">
        <f t="shared" si="3115"/>
        <v>0.32976495446155718</v>
      </c>
      <c r="BZ724" s="8">
        <f t="shared" si="3115"/>
        <v>0.3301252013748725</v>
      </c>
      <c r="CA724" s="187">
        <f t="shared" si="3115"/>
        <v>0.32896941681918374</v>
      </c>
      <c r="CB724" s="8">
        <f t="shared" si="3115"/>
        <v>0.33048666138122085</v>
      </c>
      <c r="CC724" s="8">
        <f t="shared" si="3115"/>
        <v>0.33084933796300336</v>
      </c>
      <c r="CD724" s="187">
        <f t="shared" ref="CD724:DI724" si="3116">SUM(CD721:CD723)</f>
        <v>0.32968981967345801</v>
      </c>
      <c r="CE724" s="8">
        <f t="shared" si="3116"/>
        <v>0.33121323461339564</v>
      </c>
      <c r="CF724" s="8">
        <f t="shared" si="3116"/>
        <v>0.33157835483638137</v>
      </c>
      <c r="CG724" s="187">
        <f t="shared" si="3116"/>
        <v>0.3304150791542696</v>
      </c>
      <c r="CH724" s="8">
        <f t="shared" si="3116"/>
        <v>0.33194470214678601</v>
      </c>
      <c r="CI724" s="8">
        <f t="shared" si="3116"/>
        <v>0.33231228007031127</v>
      </c>
      <c r="CJ724" s="187">
        <f t="shared" si="3116"/>
        <v>0.33114522319559314</v>
      </c>
      <c r="CK724" s="8">
        <f t="shared" si="3116"/>
        <v>0.33268109214356906</v>
      </c>
      <c r="CL724" s="8">
        <f t="shared" si="3116"/>
        <v>0.33305114191411567</v>
      </c>
      <c r="CM724" s="187">
        <f t="shared" si="3116"/>
        <v>0.33188027990453661</v>
      </c>
      <c r="CN724" s="8">
        <f t="shared" si="3116"/>
        <v>0.33342243294048629</v>
      </c>
      <c r="CO724" s="8">
        <f t="shared" si="3116"/>
        <v>0.33379496879222942</v>
      </c>
      <c r="CP724" s="187">
        <f t="shared" si="3116"/>
        <v>0.33262027756243101</v>
      </c>
      <c r="CQ724" s="8">
        <f t="shared" si="3116"/>
        <v>0.33416875304994148</v>
      </c>
      <c r="CR724" s="8">
        <f t="shared" si="3116"/>
        <v>0.33454378930530154</v>
      </c>
      <c r="CS724" s="187">
        <f t="shared" si="3116"/>
        <v>0.33336524462592626</v>
      </c>
      <c r="CT724" s="8">
        <f t="shared" si="3116"/>
        <v>0.334920081161106</v>
      </c>
      <c r="CU724" s="8">
        <f t="shared" si="3116"/>
        <v>0.33529763223130371</v>
      </c>
      <c r="CV724" s="187">
        <f t="shared" si="3116"/>
        <v>0.33411520972809383</v>
      </c>
      <c r="CW724" s="8">
        <f t="shared" si="3116"/>
        <v>0.33567644614103109</v>
      </c>
      <c r="CX724" s="8">
        <f t="shared" si="3116"/>
        <v>0.33605652652664675</v>
      </c>
      <c r="CY724" s="187">
        <f t="shared" si="3116"/>
        <v>0.33487020167953768</v>
      </c>
      <c r="CZ724" s="8">
        <f t="shared" si="3116"/>
        <v>0.33643787703576733</v>
      </c>
      <c r="DA724" s="8">
        <f t="shared" si="3116"/>
        <v>0.3368205013273024</v>
      </c>
      <c r="DB724" s="187">
        <f t="shared" si="3116"/>
        <v>0.33563024946951064</v>
      </c>
      <c r="DC724" s="8">
        <f t="shared" si="3116"/>
        <v>0.33720440307149058</v>
      </c>
      <c r="DD724" s="8">
        <f t="shared" si="3116"/>
        <v>0.33758958594993427</v>
      </c>
      <c r="DE724" s="187">
        <f t="shared" si="3116"/>
        <v>0.3363953822670388</v>
      </c>
      <c r="DF724" s="8">
        <f t="shared" si="3116"/>
        <v>0.3379760536556361</v>
      </c>
      <c r="DG724" s="8">
        <f t="shared" si="3116"/>
        <v>0.33836380989303433</v>
      </c>
      <c r="DH724" s="187">
        <f t="shared" si="3116"/>
        <v>0.33716562942205308</v>
      </c>
      <c r="DI724" s="8">
        <f t="shared" si="3116"/>
        <v>0.33875285837803903</v>
      </c>
      <c r="DJ724" s="8">
        <f t="shared" ref="DJ724:EF724" si="3117">SUM(DJ721:DJ723)</f>
        <v>0.33914320283806798</v>
      </c>
      <c r="DK724" s="187">
        <f t="shared" si="3117"/>
        <v>0.33794102046652791</v>
      </c>
      <c r="DL724" s="8">
        <f t="shared" si="3117"/>
        <v>0.3395348470120827</v>
      </c>
      <c r="DM724" s="8">
        <f t="shared" si="3117"/>
        <v>0.33992779465062506</v>
      </c>
      <c r="DN724" s="187">
        <f t="shared" si="3117"/>
        <v>0.33872158511562633</v>
      </c>
      <c r="DO724" s="8">
        <f t="shared" si="3117"/>
        <v>0.34032204951585354</v>
      </c>
      <c r="DP724" s="8">
        <f t="shared" si="3117"/>
        <v>0.34071761538157946</v>
      </c>
      <c r="DQ724" s="187">
        <f t="shared" si="3117"/>
        <v>0.3395073532688539</v>
      </c>
      <c r="DR724" s="8">
        <f t="shared" si="3117"/>
        <v>0.34111449603330418</v>
      </c>
      <c r="DS724" s="8">
        <f t="shared" si="3117"/>
        <v>0.34151269526825512</v>
      </c>
      <c r="DT724" s="187">
        <f t="shared" si="3117"/>
        <v>0.34029835501121886</v>
      </c>
      <c r="DU724" s="8">
        <f t="shared" si="3117"/>
        <v>0.34191221689542328</v>
      </c>
      <c r="DV724" s="8">
        <f t="shared" si="3117"/>
        <v>0.34231306473559986</v>
      </c>
      <c r="DW724" s="187">
        <f t="shared" si="3117"/>
        <v>0.34109462061439932</v>
      </c>
      <c r="DX724" s="8">
        <f t="shared" si="3117"/>
        <v>0.34271524262141345</v>
      </c>
      <c r="DY724" s="8">
        <f t="shared" si="3117"/>
        <v>0.34311875439736705</v>
      </c>
      <c r="DZ724" s="187">
        <f t="shared" si="3117"/>
        <v>0.34189618053791981</v>
      </c>
      <c r="EA724" s="8">
        <f t="shared" si="3117"/>
        <v>0.34352360391987569</v>
      </c>
      <c r="EB724" s="8">
        <f t="shared" si="3117"/>
        <v>0.3439297950573037</v>
      </c>
      <c r="EC724" s="187">
        <f t="shared" si="3117"/>
        <v>0.34270306543033247</v>
      </c>
      <c r="ED724" s="8">
        <f t="shared" si="3117"/>
        <v>0.34433733169000236</v>
      </c>
      <c r="EE724" s="8">
        <f t="shared" si="3117"/>
        <v>0.34474621771034741</v>
      </c>
      <c r="EF724" s="187">
        <f t="shared" si="3117"/>
        <v>0.34351530613040848</v>
      </c>
      <c r="EG724" s="8">
        <f t="shared" ref="EG724:EL724" si="3118">SUM(EG721:EG723)</f>
        <v>0.3451564570227772</v>
      </c>
      <c r="EH724" s="8">
        <f t="shared" si="3118"/>
        <v>0.34556805354383002</v>
      </c>
      <c r="EI724" s="187">
        <f t="shared" si="3118"/>
        <v>0.34433293366833512</v>
      </c>
      <c r="EJ724" s="8">
        <f t="shared" si="3118"/>
        <v>0.345981011202183</v>
      </c>
      <c r="EK724" s="8">
        <f t="shared" si="3118"/>
        <v>0.34639533393868932</v>
      </c>
      <c r="EL724" s="187">
        <f t="shared" si="3118"/>
        <v>0.34515597926692143</v>
      </c>
      <c r="EM724" s="8">
        <f t="shared" ref="EM724:ER724" si="3119">SUM(EM721:EM723)</f>
        <v>0.34681102570641725</v>
      </c>
      <c r="EN724" s="8">
        <f t="shared" si="3119"/>
        <v>0.34722809047068814</v>
      </c>
      <c r="EO724" s="187">
        <f t="shared" si="3119"/>
        <v>0.34598447434281132</v>
      </c>
      <c r="EP724" s="8">
        <f t="shared" si="3119"/>
        <v>0.34764653220911518</v>
      </c>
      <c r="EQ724" s="8">
        <f t="shared" si="3119"/>
        <v>0.34806635491164178</v>
      </c>
      <c r="ER724" s="187">
        <f t="shared" si="3119"/>
        <v>0.34681845050770438</v>
      </c>
      <c r="ES724" s="8">
        <f t="shared" ref="ES724:EX724" si="3120">SUM(ES721:ES723)</f>
        <v>0.34848756258058056</v>
      </c>
      <c r="ET724" s="8">
        <f t="shared" si="3120"/>
        <v>0.34891015923065227</v>
      </c>
      <c r="EU724" s="187">
        <f t="shared" si="3120"/>
        <v>0.3476579395695843</v>
      </c>
      <c r="EV724" s="8">
        <f t="shared" si="3120"/>
        <v>0.34933414888902486</v>
      </c>
      <c r="EW724" s="8">
        <f t="shared" si="3120"/>
        <v>0.34975953559535211</v>
      </c>
      <c r="EX724" s="187">
        <f t="shared" si="3120"/>
        <v>0.3485029735339551</v>
      </c>
      <c r="EY724" s="8">
        <f t="shared" ref="EY724:FA724" si="3121">SUM(EY721:EY723)</f>
        <v>0.3501863234018136</v>
      </c>
      <c r="EZ724" s="8">
        <f t="shared" si="3121"/>
        <v>0.35061451637315366</v>
      </c>
      <c r="FA724" s="187">
        <f t="shared" si="3121"/>
        <v>0.34935358460508603</v>
      </c>
      <c r="FH724" s="35"/>
      <c r="FI724" s="35"/>
      <c r="FJ724" s="35"/>
      <c r="FK724" s="35"/>
      <c r="FL724" s="35"/>
      <c r="FM724" s="35"/>
      <c r="FN724" s="35"/>
      <c r="FO724" s="35"/>
      <c r="FP724" s="35"/>
      <c r="FQ724" s="35"/>
    </row>
    <row r="725" spans="1:173" s="321" customFormat="1" hidden="1" outlineLevel="1">
      <c r="A725" s="1168"/>
      <c r="B725" s="186"/>
      <c r="C725" s="186"/>
      <c r="D725" s="910"/>
      <c r="E725" s="1"/>
      <c r="F725" s="1"/>
      <c r="G725" s="5"/>
      <c r="H725" s="1"/>
      <c r="I725" s="1"/>
      <c r="J725" s="5"/>
      <c r="K725" s="1"/>
      <c r="L725" s="1"/>
      <c r="M725" s="5"/>
      <c r="N725" s="1"/>
      <c r="O725" s="1"/>
      <c r="P725" s="5"/>
      <c r="Q725" s="1"/>
      <c r="R725" s="1"/>
      <c r="S725" s="5"/>
      <c r="T725" s="1"/>
      <c r="U725" s="1"/>
      <c r="V725" s="5"/>
      <c r="W725" s="1"/>
      <c r="X725" s="1"/>
      <c r="Y725" s="5"/>
      <c r="Z725" s="1"/>
      <c r="AA725" s="1"/>
      <c r="AB725" s="5"/>
      <c r="AC725" s="1"/>
      <c r="AD725" s="1"/>
      <c r="AE725" s="5"/>
      <c r="AF725" s="1"/>
      <c r="AG725" s="1"/>
      <c r="AH725" s="5"/>
      <c r="AI725" s="1"/>
      <c r="AJ725" s="1"/>
      <c r="AK725" s="5"/>
      <c r="AL725" s="1"/>
      <c r="AM725" s="1"/>
      <c r="AN725" s="5"/>
      <c r="AO725" s="1"/>
      <c r="AP725" s="1"/>
      <c r="AQ725" s="5"/>
      <c r="AR725" s="1"/>
      <c r="AS725" s="1"/>
      <c r="AT725" s="5"/>
      <c r="AU725" s="1"/>
      <c r="AV725" s="1"/>
      <c r="AW725" s="5"/>
      <c r="AX725" s="187"/>
      <c r="AY725" s="187"/>
      <c r="AZ725" s="74"/>
      <c r="BA725" s="8"/>
      <c r="BB725" s="8"/>
      <c r="BC725" s="986"/>
      <c r="BD725" s="8"/>
      <c r="BE725" s="8"/>
      <c r="BF725" s="986"/>
      <c r="BG725" s="8"/>
      <c r="BH725" s="8"/>
      <c r="BI725" s="986"/>
      <c r="BJ725" s="115"/>
      <c r="BK725" s="115"/>
      <c r="BL725" s="153"/>
      <c r="BM725" s="115"/>
      <c r="BN725" s="115"/>
      <c r="BO725" s="153"/>
      <c r="BP725" s="115"/>
      <c r="BQ725" s="115"/>
      <c r="BR725" s="153"/>
      <c r="BS725" s="8"/>
      <c r="BT725" s="8"/>
      <c r="BU725" s="74"/>
      <c r="BV725" s="8"/>
      <c r="BW725" s="8"/>
      <c r="BX725" s="74"/>
      <c r="BY725" s="8"/>
      <c r="BZ725" s="8"/>
      <c r="CA725" s="74"/>
      <c r="CB725" s="8"/>
      <c r="CC725" s="8"/>
      <c r="CD725" s="74"/>
      <c r="CE725" s="8"/>
      <c r="CF725" s="8"/>
      <c r="CG725" s="74"/>
      <c r="CH725" s="8"/>
      <c r="CI725" s="8"/>
      <c r="CJ725" s="74"/>
      <c r="CK725" s="8"/>
      <c r="CL725" s="8"/>
      <c r="CM725" s="74"/>
      <c r="CN725" s="8"/>
      <c r="CO725" s="8"/>
      <c r="CP725" s="74"/>
      <c r="CQ725" s="8"/>
      <c r="CR725" s="8"/>
      <c r="CS725" s="74"/>
      <c r="CT725" s="8"/>
      <c r="CU725" s="8"/>
      <c r="CV725" s="74"/>
      <c r="CW725" s="8"/>
      <c r="CX725" s="8"/>
      <c r="CY725" s="74"/>
      <c r="CZ725" s="8"/>
      <c r="DA725" s="8"/>
      <c r="DB725" s="74"/>
      <c r="DC725" s="8"/>
      <c r="DD725" s="8"/>
      <c r="DE725" s="74"/>
      <c r="DF725" s="8"/>
      <c r="DG725" s="8"/>
      <c r="DH725" s="74"/>
      <c r="DI725" s="8"/>
      <c r="DJ725" s="8"/>
      <c r="DK725" s="74"/>
      <c r="DL725" s="8"/>
      <c r="DM725" s="8"/>
      <c r="DN725" s="74"/>
      <c r="DO725" s="8"/>
      <c r="DP725" s="8"/>
      <c r="DQ725" s="74"/>
      <c r="DR725" s="8"/>
      <c r="DS725" s="8"/>
      <c r="DT725" s="74"/>
      <c r="DU725" s="8"/>
      <c r="DV725" s="8"/>
      <c r="DW725" s="74"/>
      <c r="DX725" s="8"/>
      <c r="DY725" s="8"/>
      <c r="DZ725" s="74"/>
      <c r="EA725" s="8"/>
      <c r="EB725" s="8"/>
      <c r="EC725" s="74"/>
      <c r="ED725" s="8"/>
      <c r="EE725" s="8"/>
      <c r="EF725" s="74"/>
      <c r="EG725" s="8"/>
      <c r="EH725" s="8"/>
      <c r="EI725" s="74"/>
      <c r="EJ725" s="8"/>
      <c r="EK725" s="8"/>
      <c r="EL725" s="74"/>
      <c r="EM725" s="8"/>
      <c r="EN725" s="8"/>
      <c r="EO725" s="74"/>
      <c r="EP725" s="8"/>
      <c r="EQ725" s="8"/>
      <c r="ER725" s="74"/>
      <c r="ES725" s="8"/>
      <c r="ET725" s="8"/>
      <c r="EU725" s="74"/>
      <c r="EV725" s="8"/>
      <c r="EW725" s="8"/>
      <c r="EX725" s="74"/>
      <c r="EY725" s="8"/>
      <c r="EZ725" s="8"/>
      <c r="FA725" s="74"/>
      <c r="FH725" s="35"/>
      <c r="FI725" s="35"/>
      <c r="FJ725" s="35"/>
      <c r="FK725" s="35"/>
      <c r="FL725" s="35"/>
      <c r="FM725" s="35"/>
      <c r="FN725" s="35"/>
      <c r="FO725" s="35"/>
      <c r="FP725" s="35"/>
      <c r="FQ725" s="35"/>
    </row>
    <row r="726" spans="1:173" s="321" customFormat="1" hidden="1" outlineLevel="1">
      <c r="A726" s="1168"/>
      <c r="B726" s="186"/>
      <c r="C726" s="331" t="s">
        <v>792</v>
      </c>
      <c r="D726" s="910"/>
      <c r="E726" s="1"/>
      <c r="F726" s="1"/>
      <c r="G726" s="5"/>
      <c r="H726" s="1"/>
      <c r="I726" s="1"/>
      <c r="J726" s="5"/>
      <c r="K726" s="1"/>
      <c r="L726" s="1"/>
      <c r="M726" s="5"/>
      <c r="N726" s="1"/>
      <c r="O726" s="1"/>
      <c r="P726" s="5"/>
      <c r="Q726" s="1"/>
      <c r="R726" s="1"/>
      <c r="S726" s="5"/>
      <c r="T726" s="1"/>
      <c r="U726" s="1"/>
      <c r="V726" s="5"/>
      <c r="W726" s="1"/>
      <c r="X726" s="1"/>
      <c r="Y726" s="5"/>
      <c r="Z726" s="1"/>
      <c r="AA726" s="1"/>
      <c r="AB726" s="5"/>
      <c r="AC726" s="1"/>
      <c r="AD726" s="1"/>
      <c r="AE726" s="5"/>
      <c r="AF726" s="1"/>
      <c r="AG726" s="1"/>
      <c r="AH726" s="5"/>
      <c r="AI726" s="1"/>
      <c r="AJ726" s="1"/>
      <c r="AK726" s="5"/>
      <c r="AL726" s="1"/>
      <c r="AM726" s="1"/>
      <c r="AN726" s="5"/>
      <c r="AO726" s="1"/>
      <c r="AP726" s="1"/>
      <c r="AQ726" s="5"/>
      <c r="AR726" s="1"/>
      <c r="AS726" s="1"/>
      <c r="AT726" s="5"/>
      <c r="AU726" s="1"/>
      <c r="AV726" s="1"/>
      <c r="AW726" s="5"/>
      <c r="AX726" s="1"/>
      <c r="AY726" s="1"/>
      <c r="AZ726" s="214"/>
      <c r="BA726" s="37"/>
      <c r="BB726" s="37"/>
      <c r="BC726" s="53"/>
      <c r="BD726" s="37"/>
      <c r="BE726" s="37"/>
      <c r="BF726" s="53"/>
      <c r="BG726" s="37"/>
      <c r="BH726" s="37"/>
      <c r="BI726" s="62"/>
      <c r="BJ726" s="987"/>
      <c r="BK726" s="987"/>
      <c r="BL726" s="988"/>
      <c r="BM726" s="987"/>
      <c r="BN726" s="987"/>
      <c r="BO726" s="988"/>
      <c r="BP726" s="987"/>
      <c r="BQ726" s="987"/>
      <c r="BR726" s="988"/>
      <c r="BS726" s="45"/>
      <c r="BT726" s="45"/>
      <c r="BU726" s="221"/>
      <c r="BV726" s="45"/>
      <c r="BW726" s="45"/>
      <c r="BX726" s="221"/>
      <c r="BY726" s="45"/>
      <c r="BZ726" s="45"/>
      <c r="CA726" s="221"/>
      <c r="CB726" s="45"/>
      <c r="CC726" s="45"/>
      <c r="CD726" s="221"/>
      <c r="CE726" s="45"/>
      <c r="CF726" s="45"/>
      <c r="CG726" s="221"/>
      <c r="CH726" s="45"/>
      <c r="CI726" s="45"/>
      <c r="CJ726" s="221"/>
      <c r="CK726" s="45"/>
      <c r="CL726" s="45"/>
      <c r="CM726" s="221"/>
      <c r="CN726" s="45"/>
      <c r="CO726" s="45"/>
      <c r="CP726" s="221"/>
      <c r="CQ726" s="45"/>
      <c r="CR726" s="45"/>
      <c r="CS726" s="221"/>
      <c r="CT726" s="45"/>
      <c r="CU726" s="45"/>
      <c r="CV726" s="221"/>
      <c r="CW726" s="45"/>
      <c r="CX726" s="45"/>
      <c r="CY726" s="222"/>
      <c r="CZ726" s="45"/>
      <c r="DA726" s="45"/>
      <c r="DB726" s="222"/>
      <c r="DC726" s="45"/>
      <c r="DD726" s="45"/>
      <c r="DE726" s="222"/>
      <c r="DF726" s="313"/>
      <c r="DG726" s="313"/>
      <c r="DH726" s="9"/>
      <c r="DI726" s="8"/>
      <c r="DJ726" s="8"/>
      <c r="DK726" s="9"/>
      <c r="DL726" s="8"/>
      <c r="DM726" s="8"/>
      <c r="DN726" s="9"/>
      <c r="DO726" s="8"/>
      <c r="DP726" s="8"/>
      <c r="DQ726" s="9"/>
      <c r="DR726" s="8"/>
      <c r="DS726" s="8"/>
      <c r="DT726" s="9"/>
      <c r="DU726" s="8"/>
      <c r="DV726" s="8"/>
      <c r="DW726" s="9"/>
      <c r="DX726" s="8"/>
      <c r="DY726" s="8"/>
      <c r="DZ726" s="9"/>
      <c r="EA726" s="8"/>
      <c r="EB726" s="8"/>
      <c r="EC726" s="9"/>
      <c r="ED726" s="8"/>
      <c r="EE726" s="8"/>
      <c r="EF726" s="9"/>
      <c r="EG726" s="8"/>
      <c r="EH726" s="8"/>
      <c r="EI726" s="9"/>
      <c r="EJ726" s="8"/>
      <c r="EK726" s="8"/>
      <c r="EL726" s="9"/>
      <c r="EM726" s="8"/>
      <c r="EN726" s="8"/>
      <c r="EO726" s="9"/>
      <c r="EP726" s="8"/>
      <c r="EQ726" s="8"/>
      <c r="ER726" s="9"/>
      <c r="ES726" s="8"/>
      <c r="ET726" s="8"/>
      <c r="EU726" s="9"/>
      <c r="EV726" s="8"/>
      <c r="EW726" s="8"/>
      <c r="EX726" s="9"/>
      <c r="EY726" s="8"/>
      <c r="EZ726" s="8"/>
      <c r="FA726" s="9"/>
      <c r="FH726" s="35"/>
      <c r="FI726" s="35"/>
      <c r="FJ726" s="35"/>
      <c r="FK726" s="35"/>
      <c r="FL726" s="35"/>
      <c r="FM726" s="35"/>
      <c r="FN726" s="35"/>
      <c r="FO726" s="35"/>
      <c r="FP726" s="35"/>
      <c r="FQ726" s="35"/>
    </row>
    <row r="727" spans="1:173" s="321" customFormat="1" hidden="1" outlineLevel="1">
      <c r="A727" s="1168"/>
      <c r="B727" s="186"/>
      <c r="C727" s="186" t="s">
        <v>316</v>
      </c>
      <c r="D727" s="910"/>
      <c r="E727" s="1"/>
      <c r="F727" s="1"/>
      <c r="G727" s="5"/>
      <c r="H727" s="1"/>
      <c r="I727" s="1"/>
      <c r="J727" s="5"/>
      <c r="K727" s="1"/>
      <c r="L727" s="1"/>
      <c r="M727" s="5"/>
      <c r="N727" s="1"/>
      <c r="O727" s="1"/>
      <c r="P727" s="5"/>
      <c r="Q727" s="1"/>
      <c r="R727" s="1"/>
      <c r="S727" s="5"/>
      <c r="T727" s="1"/>
      <c r="U727" s="1"/>
      <c r="V727" s="5"/>
      <c r="W727" s="1"/>
      <c r="X727" s="1"/>
      <c r="Y727" s="5"/>
      <c r="Z727" s="1"/>
      <c r="AA727" s="1"/>
      <c r="AB727" s="5"/>
      <c r="AC727" s="1"/>
      <c r="AD727" s="1"/>
      <c r="AE727" s="5"/>
      <c r="AF727" s="1"/>
      <c r="AG727" s="1"/>
      <c r="AH727" s="5"/>
      <c r="AI727" s="1"/>
      <c r="AJ727" s="1"/>
      <c r="AK727" s="5"/>
      <c r="AL727" s="1"/>
      <c r="AM727" s="1"/>
      <c r="AN727" s="5"/>
      <c r="AO727" s="1"/>
      <c r="AP727" s="1"/>
      <c r="AQ727" s="5"/>
      <c r="AR727" s="1"/>
      <c r="AS727" s="1"/>
      <c r="AT727" s="5"/>
      <c r="AU727" s="1"/>
      <c r="AV727" s="1"/>
      <c r="AW727" s="5"/>
      <c r="AX727" s="187">
        <f t="shared" ref="AX727:AY729" si="3122">AX691*AX685</f>
        <v>3.2305720737566251E-3</v>
      </c>
      <c r="AY727" s="187">
        <f t="shared" si="3122"/>
        <v>3.2401022613742073E-3</v>
      </c>
      <c r="AZ727" s="74">
        <f>SUM(AX727:AY727)</f>
        <v>6.470674335130832E-3</v>
      </c>
      <c r="BA727" s="8">
        <f t="shared" ref="BA727:BB729" si="3123">BA691*BA685</f>
        <v>3.2496605630452616E-3</v>
      </c>
      <c r="BB727" s="8">
        <f t="shared" si="3123"/>
        <v>3.2592470617062446E-3</v>
      </c>
      <c r="BC727" s="986">
        <f>SUM(BA727:BB727)</f>
        <v>6.5089076247515061E-3</v>
      </c>
      <c r="BD727" s="8">
        <f t="shared" ref="BD727:BE729" si="3124">BD691*BD685</f>
        <v>3.2688618405382784E-3</v>
      </c>
      <c r="BE727" s="8">
        <f t="shared" si="3124"/>
        <v>3.2785049829678666E-3</v>
      </c>
      <c r="BF727" s="986">
        <f>SUM(BD727:BE727)</f>
        <v>6.547366823506145E-3</v>
      </c>
      <c r="BG727" s="8">
        <f t="shared" ref="BG727:BH729" si="3125">BG691*BG685</f>
        <v>3.2881765726676219E-3</v>
      </c>
      <c r="BH727" s="8">
        <f t="shared" si="3125"/>
        <v>3.2978766935569913E-3</v>
      </c>
      <c r="BI727" s="986">
        <f>SUM(BG727:BH727)</f>
        <v>6.5860532662246132E-3</v>
      </c>
      <c r="BJ727" s="115">
        <f t="shared" ref="BJ727:BK729" si="3126">BJ691*BJ685</f>
        <v>3.3076054298029839E-3</v>
      </c>
      <c r="BK727" s="115">
        <f t="shared" si="3126"/>
        <v>3.3173628658209032E-3</v>
      </c>
      <c r="BL727" s="153">
        <f>SUM(BJ727:BK727)</f>
        <v>6.6249682956238867E-3</v>
      </c>
      <c r="BM727" s="115">
        <f t="shared" ref="BM727:BN729" si="3127">BM691*BM685</f>
        <v>3.322255976047989E-3</v>
      </c>
      <c r="BN727" s="115">
        <f t="shared" si="3127"/>
        <v>3.3271563036126593E-3</v>
      </c>
      <c r="BO727" s="153">
        <f>SUM(BM727:BN727)</f>
        <v>6.6494122796606483E-3</v>
      </c>
      <c r="BP727" s="115">
        <f t="shared" ref="BP727:BQ729" si="3128">BP691*BP685</f>
        <v>3.3320638591604877E-3</v>
      </c>
      <c r="BQ727" s="115">
        <f t="shared" si="3128"/>
        <v>3.3369786533527486E-3</v>
      </c>
      <c r="BR727" s="153">
        <f>SUM(BP727:BQ727)</f>
        <v>6.6690425125132367E-3</v>
      </c>
      <c r="BS727" s="8">
        <f t="shared" ref="BS727:BT729" si="3129">BS691*BS685</f>
        <v>3.3419006968664435E-3</v>
      </c>
      <c r="BT727" s="8">
        <f t="shared" si="3129"/>
        <v>3.3468300003943212E-3</v>
      </c>
      <c r="BU727" s="74">
        <f>SUM(BS727:BT727)</f>
        <v>6.6887306972607651E-3</v>
      </c>
      <c r="BV727" s="8">
        <f t="shared" ref="BV727:BW729" si="3130">BV691*BV685</f>
        <v>3.3517665746449028E-3</v>
      </c>
      <c r="BW727" s="8">
        <f t="shared" si="3130"/>
        <v>3.356710430342504E-3</v>
      </c>
      <c r="BX727" s="74">
        <f>SUM(BV727:BW727)</f>
        <v>6.7084770049874072E-3</v>
      </c>
      <c r="BY727" s="8">
        <f t="shared" ref="BY727:BZ729" si="3131">BY691*BY685</f>
        <v>3.3616615782272583E-3</v>
      </c>
      <c r="BZ727" s="8">
        <f t="shared" si="3131"/>
        <v>3.3666200290551436E-3</v>
      </c>
      <c r="CA727" s="74">
        <f>SUM(BY727:BZ727)</f>
        <v>6.7282816072824023E-3</v>
      </c>
      <c r="CB727" s="8">
        <f t="shared" ref="CB727:CC729" si="3132">CB691*CB685</f>
        <v>3.3715857935979992E-3</v>
      </c>
      <c r="CC727" s="8">
        <f t="shared" si="3132"/>
        <v>3.3765588826435563E-3</v>
      </c>
      <c r="CD727" s="74">
        <f>SUM(CB727:CC727)</f>
        <v>6.7481446762415551E-3</v>
      </c>
      <c r="CE727" s="8">
        <f t="shared" ref="CE727:CF729" si="3133">CE691*CE685</f>
        <v>3.3815393069954549E-3</v>
      </c>
      <c r="CF727" s="8">
        <f t="shared" si="3133"/>
        <v>3.3865270774732729E-3</v>
      </c>
      <c r="CG727" s="74">
        <f>SUM(CE727:CF727)</f>
        <v>6.7680663844687274E-3</v>
      </c>
      <c r="CH727" s="8">
        <f t="shared" ref="CH727:CI729" si="3134">CH691*CH685</f>
        <v>3.3915222049125458E-3</v>
      </c>
      <c r="CI727" s="8">
        <f t="shared" si="3134"/>
        <v>3.3965247001647913E-3</v>
      </c>
      <c r="CJ727" s="74">
        <f>SUM(CH727:CI727)</f>
        <v>6.7880469050773367E-3</v>
      </c>
      <c r="CK727" s="8">
        <f t="shared" ref="CK727:CL729" si="3135">CK691*CK685</f>
        <v>3.4015345740975337E-3</v>
      </c>
      <c r="CL727" s="8">
        <f t="shared" si="3135"/>
        <v>3.4065518375943279E-3</v>
      </c>
      <c r="CM727" s="74">
        <f>SUM(CK727:CL727)</f>
        <v>6.8080864116918617E-3</v>
      </c>
      <c r="CN727" s="8">
        <f t="shared" ref="CN727:CO729" si="3136">CN691*CN685</f>
        <v>3.4115765015547781E-3</v>
      </c>
      <c r="CO727" s="8">
        <f t="shared" si="3136"/>
        <v>3.4166085768945718E-3</v>
      </c>
      <c r="CP727" s="74">
        <f>SUM(CN727:CO727)</f>
        <v>6.82818507844935E-3</v>
      </c>
      <c r="CQ727" s="8">
        <f t="shared" ref="CQ727:CR729" si="3137">CQ691*CQ685</f>
        <v>3.4216480745454911E-3</v>
      </c>
      <c r="CR727" s="8">
        <f t="shared" si="3137"/>
        <v>3.4266950054554451E-3</v>
      </c>
      <c r="CS727" s="74">
        <f>SUM(CQ727:CR727)</f>
        <v>6.8483430800009362E-3</v>
      </c>
      <c r="CT727" s="8">
        <f t="shared" ref="CT727:CU729" si="3138">CT691*CT685</f>
        <v>3.4317493805884908E-3</v>
      </c>
      <c r="CU727" s="8">
        <f t="shared" si="3138"/>
        <v>3.4368112109248593E-3</v>
      </c>
      <c r="CV727" s="74">
        <f>SUM(CT727:CU727)</f>
        <v>6.8685605915133497E-3</v>
      </c>
      <c r="CW727" s="8">
        <f t="shared" ref="CW727:CX729" si="3139">CW691*CW685</f>
        <v>3.441880507460973E-3</v>
      </c>
      <c r="CX727" s="8">
        <f t="shared" si="3139"/>
        <v>3.4469572812094776E-3</v>
      </c>
      <c r="CY727" s="74">
        <f>SUM(CW727:CX727)</f>
        <v>6.8888377886704502E-3</v>
      </c>
      <c r="CZ727" s="8">
        <f t="shared" ref="CZ727:DA729" si="3140">CZ691*CZ685</f>
        <v>3.4520415431992606E-3</v>
      </c>
      <c r="DA727" s="8">
        <f t="shared" si="3140"/>
        <v>3.4571333044754798E-3</v>
      </c>
      <c r="DB727" s="74">
        <f>SUM(CZ727:DA727)</f>
        <v>6.90917484767474E-3</v>
      </c>
      <c r="DC727" s="8">
        <f t="shared" ref="DC727:DD729" si="3141">DC691*DC685</f>
        <v>3.4622325760995808E-3</v>
      </c>
      <c r="DD727" s="8">
        <f t="shared" si="3141"/>
        <v>3.4673393691493277E-3</v>
      </c>
      <c r="DE727" s="74">
        <f>SUM(DC727:DD727)</f>
        <v>6.9295719452489085E-3</v>
      </c>
      <c r="DF727" s="8">
        <f t="shared" ref="DF727:DG729" si="3142">DF691*DF685</f>
        <v>3.4724536947188223E-3</v>
      </c>
      <c r="DG727" s="8">
        <f t="shared" si="3142"/>
        <v>3.4775755639185322E-3</v>
      </c>
      <c r="DH727" s="74">
        <f>SUM(DF727:DG727)</f>
        <v>6.9500292586373545E-3</v>
      </c>
      <c r="DI727" s="8">
        <f t="shared" ref="DI727:DJ729" si="3143">DI691*DI685</f>
        <v>3.4827049878753112E-3</v>
      </c>
      <c r="DJ727" s="8">
        <f t="shared" si="3143"/>
        <v>3.4878419777324273E-3</v>
      </c>
      <c r="DK727" s="74">
        <f>SUM(DI727:DJ727)</f>
        <v>6.9705469656077389E-3</v>
      </c>
      <c r="DL727" s="8">
        <f t="shared" ref="DL727:DM729" si="3144">DL691*DL685</f>
        <v>3.492986544649582E-3</v>
      </c>
      <c r="DM727" s="8">
        <f t="shared" si="3144"/>
        <v>3.4981386998029405E-3</v>
      </c>
      <c r="DN727" s="74">
        <f>SUM(DL727:DM727)</f>
        <v>6.9911252444525224E-3</v>
      </c>
      <c r="DO727" s="8">
        <f t="shared" ref="DO727:DP729" si="3145">DO691*DO685</f>
        <v>3.5032984543851495E-3</v>
      </c>
      <c r="DP727" s="8">
        <f t="shared" si="3145"/>
        <v>3.5084658196053672E-3</v>
      </c>
      <c r="DQ727" s="74">
        <f>SUM(DO727:DP727)</f>
        <v>7.0117642739905162E-3</v>
      </c>
      <c r="DR727" s="8">
        <f t="shared" ref="DR727:DS729" si="3146">DR691*DR685</f>
        <v>3.5136408066892845E-3</v>
      </c>
      <c r="DS727" s="8">
        <f t="shared" si="3146"/>
        <v>3.5188234268791504E-3</v>
      </c>
      <c r="DT727" s="74">
        <f>SUM(DR727:DS727)</f>
        <v>7.032464233568435E-3</v>
      </c>
      <c r="DU727" s="8">
        <f t="shared" ref="DU727:DV729" si="3147">DU691*DU685</f>
        <v>3.5240136914337973E-3</v>
      </c>
      <c r="DV727" s="8">
        <f t="shared" si="3147"/>
        <v>3.5292116116286613E-3</v>
      </c>
      <c r="DW727" s="74">
        <f>SUM(DU727:DV727)</f>
        <v>7.0532253030624586E-3</v>
      </c>
      <c r="DX727" s="8">
        <f t="shared" ref="DX727:DY729" si="3148">DX691*DX685</f>
        <v>3.5344171987558132E-3</v>
      </c>
      <c r="DY727" s="8">
        <f t="shared" si="3148"/>
        <v>3.5396304641239782E-3</v>
      </c>
      <c r="DZ727" s="74">
        <f>SUM(DX727:DY727)</f>
        <v>7.074047662879791E-3</v>
      </c>
      <c r="EA727" s="8">
        <f t="shared" ref="EA727:EB729" si="3149">EA691*EA685</f>
        <v>3.5448514190585603E-3</v>
      </c>
      <c r="EB727" s="8">
        <f t="shared" si="3149"/>
        <v>3.550080074901671E-3</v>
      </c>
      <c r="EC727" s="74">
        <f>SUM(EA727:EB727)</f>
        <v>7.0949314939602309E-3</v>
      </c>
      <c r="ED727" s="8">
        <f t="shared" ref="ED727:EE729" si="3150">ED691*ED685</f>
        <v>3.5553164430121502E-3</v>
      </c>
      <c r="EE727" s="8">
        <f t="shared" si="3150"/>
        <v>3.5605605347655929E-3</v>
      </c>
      <c r="EF727" s="74">
        <f>SUM(ED727:EE727)</f>
        <v>7.1158769777777426E-3</v>
      </c>
      <c r="EG727" s="8">
        <f t="shared" ref="EG727:EH729" si="3151">EG691*EG685</f>
        <v>3.5658123615543722E-3</v>
      </c>
      <c r="EH727" s="8">
        <f t="shared" si="3151"/>
        <v>3.5710719347876643E-3</v>
      </c>
      <c r="EI727" s="74">
        <f>SUM(EG727:EH727)</f>
        <v>7.1368842963420364E-3</v>
      </c>
      <c r="EJ727" s="8">
        <f t="shared" ref="EJ727:EK729" si="3152">EJ691*EJ685</f>
        <v>3.5763392658914755E-3</v>
      </c>
      <c r="EK727" s="8">
        <f t="shared" si="3152"/>
        <v>3.5816143663086656E-3</v>
      </c>
      <c r="EL727" s="74">
        <f>SUM(EJ727:EK727)</f>
        <v>7.1579536322001411E-3</v>
      </c>
      <c r="EM727" s="8">
        <f t="shared" ref="EM727:EN729" si="3153">EM691*EM685</f>
        <v>3.58689724749897E-3</v>
      </c>
      <c r="EN727" s="8">
        <f t="shared" si="3153"/>
        <v>3.5921879209390305E-3</v>
      </c>
      <c r="EO727" s="74">
        <f>SUM(EM727:EN727)</f>
        <v>7.1790851684380005E-3</v>
      </c>
      <c r="EP727" s="8">
        <f t="shared" ref="EP727:EQ729" si="3154">EP691*EP685</f>
        <v>3.5974863981224148E-3</v>
      </c>
      <c r="EQ727" s="8">
        <f t="shared" si="3154"/>
        <v>3.6027926905596456E-3</v>
      </c>
      <c r="ER727" s="74">
        <f>SUM(EP727:EQ727)</f>
        <v>7.2002790886820604E-3</v>
      </c>
      <c r="ES727" s="8">
        <f t="shared" ref="ES727:ET727" si="3155">ES691*ES685</f>
        <v>3.60810680977822E-3</v>
      </c>
      <c r="ET727" s="8">
        <f t="shared" si="3155"/>
        <v>3.6134287673226431E-3</v>
      </c>
      <c r="EU727" s="74">
        <f>SUM(ES727:ET727)</f>
        <v>7.221535577100863E-3</v>
      </c>
      <c r="EV727" s="8">
        <f t="shared" ref="EV727:EW727" si="3156">EV691*EV685</f>
        <v>3.618758574754443E-3</v>
      </c>
      <c r="EW727" s="8">
        <f t="shared" si="3156"/>
        <v>3.6240962436522054E-3</v>
      </c>
      <c r="EX727" s="74">
        <f>SUM(EV727:EW727)</f>
        <v>7.242854818406648E-3</v>
      </c>
      <c r="EY727" s="8">
        <f t="shared" ref="EY727:EZ727" si="3157">EY691*EY685</f>
        <v>3.629441785611592E-3</v>
      </c>
      <c r="EZ727" s="8">
        <f t="shared" si="3157"/>
        <v>3.634795212245369E-3</v>
      </c>
      <c r="FA727" s="74">
        <f>SUM(EY727:EZ727)</f>
        <v>7.2642369978569606E-3</v>
      </c>
      <c r="FH727" s="35"/>
      <c r="FI727" s="35"/>
      <c r="FJ727" s="35"/>
      <c r="FK727" s="35"/>
      <c r="FL727" s="35"/>
      <c r="FM727" s="35"/>
      <c r="FN727" s="35"/>
      <c r="FO727" s="35"/>
      <c r="FP727" s="35"/>
      <c r="FQ727" s="35"/>
    </row>
    <row r="728" spans="1:173" s="321" customFormat="1" hidden="1" outlineLevel="1">
      <c r="A728" s="1168"/>
      <c r="B728" s="186"/>
      <c r="C728" s="186" t="s">
        <v>317</v>
      </c>
      <c r="D728" s="910"/>
      <c r="E728" s="1"/>
      <c r="F728" s="1"/>
      <c r="G728" s="5"/>
      <c r="H728" s="1"/>
      <c r="I728" s="1"/>
      <c r="J728" s="5"/>
      <c r="K728" s="1"/>
      <c r="L728" s="1"/>
      <c r="M728" s="5"/>
      <c r="N728" s="1"/>
      <c r="O728" s="1"/>
      <c r="P728" s="5"/>
      <c r="Q728" s="1"/>
      <c r="R728" s="1"/>
      <c r="S728" s="5"/>
      <c r="T728" s="1"/>
      <c r="U728" s="1"/>
      <c r="V728" s="5"/>
      <c r="W728" s="1"/>
      <c r="X728" s="1"/>
      <c r="Y728" s="5"/>
      <c r="Z728" s="1"/>
      <c r="AA728" s="1"/>
      <c r="AB728" s="5"/>
      <c r="AC728" s="1"/>
      <c r="AD728" s="1"/>
      <c r="AE728" s="5"/>
      <c r="AF728" s="1"/>
      <c r="AG728" s="1"/>
      <c r="AH728" s="5"/>
      <c r="AI728" s="1"/>
      <c r="AJ728" s="1"/>
      <c r="AK728" s="5"/>
      <c r="AL728" s="1"/>
      <c r="AM728" s="1"/>
      <c r="AN728" s="5"/>
      <c r="AO728" s="1"/>
      <c r="AP728" s="1"/>
      <c r="AQ728" s="5"/>
      <c r="AR728" s="1"/>
      <c r="AS728" s="1"/>
      <c r="AT728" s="5"/>
      <c r="AU728" s="1"/>
      <c r="AV728" s="1"/>
      <c r="AW728" s="5"/>
      <c r="AX728" s="187">
        <f t="shared" si="3122"/>
        <v>4.7515225924665005E-3</v>
      </c>
      <c r="AY728" s="187">
        <f t="shared" si="3122"/>
        <v>4.7472462221332806E-3</v>
      </c>
      <c r="AZ728" s="74">
        <f>SUM(AX728:AY728)</f>
        <v>9.4987688145997812E-3</v>
      </c>
      <c r="BA728" s="8">
        <f t="shared" si="3123"/>
        <v>4.7429737005333606E-3</v>
      </c>
      <c r="BB728" s="8">
        <f t="shared" si="3123"/>
        <v>4.7387050242028812E-3</v>
      </c>
      <c r="BC728" s="986">
        <f>SUM(BA728:BB728)</f>
        <v>9.4816787247362418E-3</v>
      </c>
      <c r="BD728" s="8">
        <f t="shared" si="3124"/>
        <v>4.7344401896810976E-3</v>
      </c>
      <c r="BE728" s="8">
        <f t="shared" si="3124"/>
        <v>4.7301791935103841E-3</v>
      </c>
      <c r="BF728" s="986">
        <f>SUM(BD728:BE728)</f>
        <v>9.4646193831914825E-3</v>
      </c>
      <c r="BG728" s="8">
        <f t="shared" si="3125"/>
        <v>4.7259220322362254E-3</v>
      </c>
      <c r="BH728" s="8">
        <f t="shared" si="3125"/>
        <v>4.7216687024072132E-3</v>
      </c>
      <c r="BI728" s="986">
        <f>SUM(BG728:BH728)</f>
        <v>9.4475907346434386E-3</v>
      </c>
      <c r="BJ728" s="115">
        <f t="shared" si="3126"/>
        <v>4.7174192005750466E-3</v>
      </c>
      <c r="BK728" s="115">
        <f t="shared" si="3126"/>
        <v>4.7131735232945286E-3</v>
      </c>
      <c r="BL728" s="153">
        <f>SUM(BJ728:BK728)</f>
        <v>9.4305927238695752E-3</v>
      </c>
      <c r="BM728" s="115">
        <f t="shared" si="3127"/>
        <v>4.7110525952090455E-3</v>
      </c>
      <c r="BN728" s="115">
        <f t="shared" si="3127"/>
        <v>4.7089326215412029E-3</v>
      </c>
      <c r="BO728" s="153">
        <f>SUM(BM728:BN728)</f>
        <v>9.4199852167502485E-3</v>
      </c>
      <c r="BP728" s="115">
        <f t="shared" si="3128"/>
        <v>4.7068136018615092E-3</v>
      </c>
      <c r="BQ728" s="115">
        <f t="shared" si="3128"/>
        <v>4.7046955357406715E-3</v>
      </c>
      <c r="BR728" s="153">
        <f>SUM(BP728:BQ728)</f>
        <v>9.4115091376021816E-3</v>
      </c>
      <c r="BS728" s="8">
        <f t="shared" si="3129"/>
        <v>4.7025784227495877E-3</v>
      </c>
      <c r="BT728" s="8">
        <f t="shared" si="3129"/>
        <v>4.700462262459351E-3</v>
      </c>
      <c r="BU728" s="74">
        <f>SUM(BS728:BT728)</f>
        <v>9.4030406852089396E-3</v>
      </c>
      <c r="BV728" s="8">
        <f t="shared" si="3130"/>
        <v>4.6983470544412443E-3</v>
      </c>
      <c r="BW728" s="8">
        <f t="shared" si="3130"/>
        <v>4.6962327982667459E-3</v>
      </c>
      <c r="BX728" s="74">
        <f>SUM(BV728:BW728)</f>
        <v>9.3945798527079911E-3</v>
      </c>
      <c r="BY728" s="8">
        <f t="shared" si="3131"/>
        <v>4.6941194935075266E-3</v>
      </c>
      <c r="BZ728" s="8">
        <f t="shared" si="3131"/>
        <v>4.6920071397354478E-3</v>
      </c>
      <c r="CA728" s="74">
        <f>SUM(BY728:BZ728)</f>
        <v>9.3861266332429735E-3</v>
      </c>
      <c r="CB728" s="8">
        <f t="shared" si="3132"/>
        <v>4.6898957365225672E-3</v>
      </c>
      <c r="CC728" s="8">
        <f t="shared" si="3132"/>
        <v>4.6877852834411324E-3</v>
      </c>
      <c r="CD728" s="74">
        <f>SUM(CB728:CC728)</f>
        <v>9.3776810199636997E-3</v>
      </c>
      <c r="CE728" s="8">
        <f t="shared" si="3133"/>
        <v>4.6856757800635834E-3</v>
      </c>
      <c r="CF728" s="8">
        <f t="shared" si="3133"/>
        <v>4.6835672259625555E-3</v>
      </c>
      <c r="CG728" s="74">
        <f>SUM(CE728:CF728)</f>
        <v>9.369243006026139E-3</v>
      </c>
      <c r="CH728" s="8">
        <f t="shared" si="3134"/>
        <v>4.6814596207108731E-3</v>
      </c>
      <c r="CI728" s="8">
        <f t="shared" si="3134"/>
        <v>4.679352963881553E-3</v>
      </c>
      <c r="CJ728" s="74">
        <f>SUM(CH728:CI728)</f>
        <v>9.3608125845924262E-3</v>
      </c>
      <c r="CK728" s="8">
        <f t="shared" si="3135"/>
        <v>4.6772472550478074E-3</v>
      </c>
      <c r="CL728" s="8">
        <f t="shared" si="3135"/>
        <v>4.6751424937830355E-3</v>
      </c>
      <c r="CM728" s="74">
        <f>SUM(CK728:CL728)</f>
        <v>9.3523897488308437E-3</v>
      </c>
      <c r="CN728" s="8">
        <f t="shared" si="3136"/>
        <v>4.6730386796608328E-3</v>
      </c>
      <c r="CO728" s="8">
        <f t="shared" si="3136"/>
        <v>4.6709358122549857E-3</v>
      </c>
      <c r="CP728" s="74">
        <f>SUM(CN728:CO728)</f>
        <v>9.3439744919158185E-3</v>
      </c>
      <c r="CQ728" s="8">
        <f t="shared" si="3137"/>
        <v>4.6688338911394711E-3</v>
      </c>
      <c r="CR728" s="8">
        <f t="shared" si="3137"/>
        <v>4.6667329158884595E-3</v>
      </c>
      <c r="CS728" s="74">
        <f>SUM(CQ728:CR728)</f>
        <v>9.3355668070279306E-3</v>
      </c>
      <c r="CT728" s="8">
        <f t="shared" si="3138"/>
        <v>4.6646328860763088E-3</v>
      </c>
      <c r="CU728" s="8">
        <f t="shared" si="3138"/>
        <v>4.6625338012775755E-3</v>
      </c>
      <c r="CV728" s="74">
        <f>SUM(CT728:CU728)</f>
        <v>9.3271666873538835E-3</v>
      </c>
      <c r="CW728" s="8">
        <f t="shared" si="3139"/>
        <v>4.6604356610669999E-3</v>
      </c>
      <c r="CX728" s="8">
        <f t="shared" si="3139"/>
        <v>4.65833846501952E-3</v>
      </c>
      <c r="CY728" s="74">
        <f>SUM(CW728:CX728)</f>
        <v>9.3187741260865199E-3</v>
      </c>
      <c r="CZ728" s="8">
        <f t="shared" si="3140"/>
        <v>4.6562422127102614E-3</v>
      </c>
      <c r="DA728" s="8">
        <f t="shared" si="3140"/>
        <v>4.6541469037145421E-3</v>
      </c>
      <c r="DB728" s="74">
        <f>SUM(CZ728:DA728)</f>
        <v>9.3103891164248026E-3</v>
      </c>
      <c r="DC728" s="8">
        <f t="shared" si="3141"/>
        <v>4.6520525376078708E-3</v>
      </c>
      <c r="DD728" s="8">
        <f t="shared" si="3141"/>
        <v>4.6499591139659473E-3</v>
      </c>
      <c r="DE728" s="74">
        <f>SUM(DC728:DD728)</f>
        <v>9.3020116515738181E-3</v>
      </c>
      <c r="DF728" s="8">
        <f t="shared" si="3142"/>
        <v>4.6478666323646629E-3</v>
      </c>
      <c r="DG728" s="8">
        <f t="shared" si="3142"/>
        <v>4.6457750923800988E-3</v>
      </c>
      <c r="DH728" s="74">
        <f>SUM(DF728:DG728)</f>
        <v>9.2936417247447625E-3</v>
      </c>
      <c r="DI728" s="8">
        <f t="shared" si="3143"/>
        <v>4.6436844935885289E-3</v>
      </c>
      <c r="DJ728" s="8">
        <f t="shared" si="3143"/>
        <v>4.6415948355664136E-3</v>
      </c>
      <c r="DK728" s="74">
        <f>SUM(DI728:DJ728)</f>
        <v>9.2852793291549433E-3</v>
      </c>
      <c r="DL728" s="8">
        <f t="shared" si="3144"/>
        <v>4.6395061178904091E-3</v>
      </c>
      <c r="DM728" s="8">
        <f t="shared" si="3144"/>
        <v>4.6374183401373592E-3</v>
      </c>
      <c r="DN728" s="74">
        <f>SUM(DL728:DM728)</f>
        <v>9.2769244580277674E-3</v>
      </c>
      <c r="DO728" s="8">
        <f t="shared" si="3145"/>
        <v>4.6353315018842975E-3</v>
      </c>
      <c r="DP728" s="8">
        <f t="shared" si="3145"/>
        <v>4.6332456027084502E-3</v>
      </c>
      <c r="DQ728" s="74">
        <f>SUM(DO728:DP728)</f>
        <v>9.2685771045927477E-3</v>
      </c>
      <c r="DR728" s="8">
        <f t="shared" si="3146"/>
        <v>4.6311606421872318E-3</v>
      </c>
      <c r="DS728" s="8">
        <f t="shared" si="3146"/>
        <v>4.6290766198982475E-3</v>
      </c>
      <c r="DT728" s="74">
        <f>SUM(DR728:DS728)</f>
        <v>9.2602372620854793E-3</v>
      </c>
      <c r="DU728" s="8">
        <f t="shared" si="3147"/>
        <v>4.6269935354192934E-3</v>
      </c>
      <c r="DV728" s="8">
        <f t="shared" si="3147"/>
        <v>4.6249113883283554E-3</v>
      </c>
      <c r="DW728" s="74">
        <f>SUM(DU728:DV728)</f>
        <v>9.2519049237476496E-3</v>
      </c>
      <c r="DX728" s="8">
        <f t="shared" si="3148"/>
        <v>4.6228301782036069E-3</v>
      </c>
      <c r="DY728" s="8">
        <f t="shared" si="3148"/>
        <v>4.6207499046234156E-3</v>
      </c>
      <c r="DZ728" s="74">
        <f>SUM(DX728:DY728)</f>
        <v>9.2435800828270225E-3</v>
      </c>
      <c r="EA728" s="8">
        <f t="shared" si="3149"/>
        <v>4.6186705671663357E-3</v>
      </c>
      <c r="EB728" s="8">
        <f t="shared" si="3149"/>
        <v>4.6165921654111102E-3</v>
      </c>
      <c r="EC728" s="74">
        <f>SUM(EA728:EB728)</f>
        <v>9.2352627325774459E-3</v>
      </c>
      <c r="ED728" s="8">
        <f t="shared" si="3150"/>
        <v>4.6145146989366751E-3</v>
      </c>
      <c r="EE728" s="8">
        <f t="shared" si="3150"/>
        <v>4.6124381673221544E-3</v>
      </c>
      <c r="EF728" s="74">
        <f>SUM(ED728:EE728)</f>
        <v>9.2269528662588286E-3</v>
      </c>
      <c r="EG728" s="8">
        <f t="shared" si="3151"/>
        <v>4.6103625701468592E-3</v>
      </c>
      <c r="EH728" s="8">
        <f t="shared" si="3151"/>
        <v>4.6082879069902936E-3</v>
      </c>
      <c r="EI728" s="74">
        <f>SUM(EG728:EH728)</f>
        <v>9.2186504771371528E-3</v>
      </c>
      <c r="EJ728" s="8">
        <f t="shared" si="3152"/>
        <v>4.6062141774321479E-3</v>
      </c>
      <c r="EK728" s="8">
        <f t="shared" si="3152"/>
        <v>4.6041413810523034E-3</v>
      </c>
      <c r="EL728" s="74">
        <f>SUM(EJ728:EK728)</f>
        <v>9.2103555584844513E-3</v>
      </c>
      <c r="EM728" s="8">
        <f t="shared" si="3153"/>
        <v>4.6020695174308311E-3</v>
      </c>
      <c r="EN728" s="8">
        <f t="shared" si="3153"/>
        <v>4.599998586147987E-3</v>
      </c>
      <c r="EO728" s="74">
        <f>SUM(EM728:EN728)</f>
        <v>9.2020681035788181E-3</v>
      </c>
      <c r="EP728" s="8">
        <f t="shared" si="3154"/>
        <v>4.5979285867842213E-3</v>
      </c>
      <c r="EQ728" s="8">
        <f t="shared" si="3154"/>
        <v>4.5958595189201689E-3</v>
      </c>
      <c r="ER728" s="74">
        <f>SUM(EP728:EQ728)</f>
        <v>9.193788105704391E-3</v>
      </c>
      <c r="ES728" s="8">
        <f t="shared" ref="ES728:ET728" si="3158">ES692*ES686</f>
        <v>4.5937913821366546E-3</v>
      </c>
      <c r="ET728" s="8">
        <f t="shared" si="3158"/>
        <v>4.5917241760146934E-3</v>
      </c>
      <c r="EU728" s="74">
        <f>SUM(ES728:ET728)</f>
        <v>9.1855155581513481E-3</v>
      </c>
      <c r="EV728" s="8">
        <f t="shared" ref="EV728:EW728" si="3159">EV692*EV686</f>
        <v>4.5896579001354874E-3</v>
      </c>
      <c r="EW728" s="8">
        <f t="shared" si="3159"/>
        <v>4.5875925540804262E-3</v>
      </c>
      <c r="EX728" s="74">
        <f>SUM(EV728:EW728)</f>
        <v>9.1772504542159128E-3</v>
      </c>
      <c r="EY728" s="8">
        <f t="shared" ref="EY728:EZ728" si="3160">EY692*EY686</f>
        <v>4.5855281374310901E-3</v>
      </c>
      <c r="EZ728" s="8">
        <f t="shared" si="3160"/>
        <v>4.5834646497692469E-3</v>
      </c>
      <c r="FA728" s="74">
        <f>SUM(EY728:EZ728)</f>
        <v>9.168992787200337E-3</v>
      </c>
      <c r="FH728" s="35"/>
      <c r="FI728" s="35"/>
      <c r="FJ728" s="35"/>
      <c r="FK728" s="35"/>
      <c r="FL728" s="35"/>
      <c r="FM728" s="35"/>
      <c r="FN728" s="35"/>
      <c r="FO728" s="35"/>
      <c r="FP728" s="35"/>
      <c r="FQ728" s="35"/>
    </row>
    <row r="729" spans="1:173" s="321" customFormat="1" hidden="1" outlineLevel="1">
      <c r="A729" s="1168"/>
      <c r="B729" s="186"/>
      <c r="C729" s="186" t="s">
        <v>431</v>
      </c>
      <c r="D729" s="910"/>
      <c r="E729" s="1"/>
      <c r="F729" s="1"/>
      <c r="G729" s="5"/>
      <c r="H729" s="1"/>
      <c r="I729" s="1"/>
      <c r="J729" s="5"/>
      <c r="K729" s="1"/>
      <c r="L729" s="1"/>
      <c r="M729" s="5"/>
      <c r="N729" s="1"/>
      <c r="O729" s="1"/>
      <c r="P729" s="5"/>
      <c r="Q729" s="1"/>
      <c r="R729" s="1"/>
      <c r="S729" s="5"/>
      <c r="T729" s="1"/>
      <c r="U729" s="1"/>
      <c r="V729" s="5"/>
      <c r="W729" s="1"/>
      <c r="X729" s="1"/>
      <c r="Y729" s="5"/>
      <c r="Z729" s="1"/>
      <c r="AA729" s="1"/>
      <c r="AB729" s="5"/>
      <c r="AC729" s="1"/>
      <c r="AD729" s="1"/>
      <c r="AE729" s="5"/>
      <c r="AF729" s="1"/>
      <c r="AG729" s="1"/>
      <c r="AH729" s="5"/>
      <c r="AI729" s="1"/>
      <c r="AJ729" s="1"/>
      <c r="AK729" s="5"/>
      <c r="AL729" s="1"/>
      <c r="AM729" s="1"/>
      <c r="AN729" s="5"/>
      <c r="AO729" s="1"/>
      <c r="AP729" s="1"/>
      <c r="AQ729" s="5"/>
      <c r="AR729" s="1"/>
      <c r="AS729" s="1"/>
      <c r="AT729" s="5"/>
      <c r="AU729" s="1"/>
      <c r="AV729" s="1"/>
      <c r="AW729" s="5"/>
      <c r="AX729" s="187">
        <f t="shared" si="3122"/>
        <v>5.8638275161200003E-3</v>
      </c>
      <c r="AY729" s="187">
        <f t="shared" si="3122"/>
        <v>5.9013560122231678E-3</v>
      </c>
      <c r="AZ729" s="74">
        <f>SUM(AX729:AY729)</f>
        <v>1.1765183528343168E-2</v>
      </c>
      <c r="BA729" s="8">
        <f t="shared" si="3123"/>
        <v>5.9391246907013959E-3</v>
      </c>
      <c r="BB729" s="8">
        <f t="shared" si="3123"/>
        <v>5.9771350887218846E-3</v>
      </c>
      <c r="BC729" s="986">
        <f>SUM(BA729:BB729)</f>
        <v>1.1916259779423281E-2</v>
      </c>
      <c r="BD729" s="8">
        <f t="shared" si="3124"/>
        <v>6.0153887532897049E-3</v>
      </c>
      <c r="BE729" s="8">
        <f t="shared" si="3124"/>
        <v>6.0538872413107578E-3</v>
      </c>
      <c r="BF729" s="986">
        <f>SUM(BD729:BE729)</f>
        <v>1.2069275994600462E-2</v>
      </c>
      <c r="BG729" s="8">
        <f t="shared" si="3125"/>
        <v>6.0926321196551475E-3</v>
      </c>
      <c r="BH729" s="8">
        <f t="shared" si="3125"/>
        <v>6.1316249652209401E-3</v>
      </c>
      <c r="BI729" s="986">
        <f>SUM(BG729:BH729)</f>
        <v>1.2224257084876088E-2</v>
      </c>
      <c r="BJ729" s="115">
        <f t="shared" si="3126"/>
        <v>6.1708673649983545E-3</v>
      </c>
      <c r="BK729" s="115">
        <f t="shared" si="3126"/>
        <v>6.2103609161343436E-3</v>
      </c>
      <c r="BL729" s="153">
        <f>SUM(BJ729:BK729)</f>
        <v>1.2381228281132698E-2</v>
      </c>
      <c r="BM729" s="115">
        <f t="shared" si="3127"/>
        <v>6.2302340710659737E-3</v>
      </c>
      <c r="BN729" s="115">
        <f t="shared" si="3127"/>
        <v>6.2501708200933858E-3</v>
      </c>
      <c r="BO729" s="153">
        <f>SUM(BM729:BN729)</f>
        <v>1.2480404891159359E-2</v>
      </c>
      <c r="BP729" s="115">
        <f t="shared" si="3128"/>
        <v>6.2701713667176855E-3</v>
      </c>
      <c r="BQ729" s="115">
        <f t="shared" si="3128"/>
        <v>6.2902359150911816E-3</v>
      </c>
      <c r="BR729" s="153">
        <f>SUM(BP729:BQ729)</f>
        <v>1.2560407281808867E-2</v>
      </c>
      <c r="BS729" s="8">
        <f t="shared" si="3129"/>
        <v>6.3103646700194737E-3</v>
      </c>
      <c r="BT729" s="8">
        <f t="shared" si="3129"/>
        <v>6.3305578369635381E-3</v>
      </c>
      <c r="BU729" s="74">
        <f>SUM(BS729:BT729)</f>
        <v>1.2640922506983012E-2</v>
      </c>
      <c r="BV729" s="8">
        <f t="shared" si="3130"/>
        <v>6.3508156220418227E-3</v>
      </c>
      <c r="BW729" s="8">
        <f t="shared" si="3130"/>
        <v>6.371138232032357E-3</v>
      </c>
      <c r="BX729" s="74">
        <f>SUM(BV729:BW729)</f>
        <v>1.2721953854074181E-2</v>
      </c>
      <c r="BY729" s="8">
        <f t="shared" si="3131"/>
        <v>6.391525874374861E-3</v>
      </c>
      <c r="BZ729" s="8">
        <f t="shared" si="3131"/>
        <v>6.4119787571728613E-3</v>
      </c>
      <c r="CA729" s="74">
        <f>SUM(BY729:BZ729)</f>
        <v>1.2803504631547722E-2</v>
      </c>
      <c r="CB729" s="8">
        <f t="shared" si="3132"/>
        <v>6.4324970891958145E-3</v>
      </c>
      <c r="CC729" s="8">
        <f t="shared" si="3132"/>
        <v>6.4530810798812416E-3</v>
      </c>
      <c r="CD729" s="74">
        <f>SUM(CB729:CC729)</f>
        <v>1.2885578169077056E-2</v>
      </c>
      <c r="CE729" s="8">
        <f t="shared" si="3133"/>
        <v>6.4737309393368622E-3</v>
      </c>
      <c r="CF729" s="8">
        <f t="shared" si="3133"/>
        <v>6.4944468783427415E-3</v>
      </c>
      <c r="CG729" s="74">
        <f>SUM(CE729:CF729)</f>
        <v>1.2968177817679604E-2</v>
      </c>
      <c r="CH729" s="8">
        <f t="shared" si="3134"/>
        <v>6.5152291083534391E-3</v>
      </c>
      <c r="CI729" s="8">
        <f t="shared" si="3134"/>
        <v>6.5360778415001694E-3</v>
      </c>
      <c r="CJ729" s="74">
        <f>SUM(CH729:CI729)</f>
        <v>1.3051306949853608E-2</v>
      </c>
      <c r="CK729" s="8">
        <f t="shared" si="3135"/>
        <v>6.5569932905929704E-3</v>
      </c>
      <c r="CL729" s="8">
        <f t="shared" si="3135"/>
        <v>6.5779756691228698E-3</v>
      </c>
      <c r="CM729" s="74">
        <f>SUM(CK729:CL729)</f>
        <v>1.313496895971584E-2</v>
      </c>
      <c r="CN729" s="8">
        <f t="shared" si="3136"/>
        <v>6.5990251912640633E-3</v>
      </c>
      <c r="CO729" s="8">
        <f t="shared" si="3136"/>
        <v>6.6201420718761091E-3</v>
      </c>
      <c r="CP729" s="74">
        <f>SUM(CN729:CO729)</f>
        <v>1.3219167263140173E-2</v>
      </c>
      <c r="CQ729" s="8">
        <f t="shared" si="3137"/>
        <v>6.6413265265061142E-3</v>
      </c>
      <c r="CR729" s="8">
        <f t="shared" si="3137"/>
        <v>6.6625787713909326E-3</v>
      </c>
      <c r="CS729" s="74">
        <f>SUM(CQ729:CR729)</f>
        <v>1.3303905297897047E-2</v>
      </c>
      <c r="CT729" s="8">
        <f t="shared" si="3138"/>
        <v>6.6838990234593847E-3</v>
      </c>
      <c r="CU729" s="8">
        <f t="shared" si="3138"/>
        <v>6.7052875003344552E-3</v>
      </c>
      <c r="CV729" s="74">
        <f>SUM(CT729:CU729)</f>
        <v>1.3389186523793839E-2</v>
      </c>
      <c r="CW729" s="8">
        <f t="shared" si="3139"/>
        <v>6.7267444203355266E-3</v>
      </c>
      <c r="CX729" s="8">
        <f t="shared" si="3139"/>
        <v>6.7482700024805997E-3</v>
      </c>
      <c r="CY729" s="74">
        <f>SUM(CW729:CX729)</f>
        <v>1.3475014422816126E-2</v>
      </c>
      <c r="CZ729" s="8">
        <f t="shared" si="3140"/>
        <v>6.7698644664885392E-3</v>
      </c>
      <c r="DA729" s="8">
        <f t="shared" si="3140"/>
        <v>6.7915280327813026E-3</v>
      </c>
      <c r="DB729" s="74">
        <f>SUM(CZ729:DA729)</f>
        <v>1.3561392499269843E-2</v>
      </c>
      <c r="DC729" s="8">
        <f t="shared" si="3141"/>
        <v>6.8132609224862035E-3</v>
      </c>
      <c r="DD729" s="8">
        <f t="shared" si="3141"/>
        <v>6.8350633574381578E-3</v>
      </c>
      <c r="DE729" s="74">
        <f>SUM(DC729:DD729)</f>
        <v>1.3648324279924361E-2</v>
      </c>
      <c r="DF729" s="8">
        <f t="shared" si="3142"/>
        <v>6.8569355601819622E-3</v>
      </c>
      <c r="DG729" s="8">
        <f t="shared" si="3142"/>
        <v>6.8788777539745445E-3</v>
      </c>
      <c r="DH729" s="74">
        <f>SUM(DF729:DG729)</f>
        <v>1.3735813314156506E-2</v>
      </c>
      <c r="DI729" s="8">
        <f t="shared" si="3143"/>
        <v>6.9008901627872626E-3</v>
      </c>
      <c r="DJ729" s="8">
        <f t="shared" si="3143"/>
        <v>6.9229730113081816E-3</v>
      </c>
      <c r="DK729" s="74">
        <f>SUM(DI729:DJ729)</f>
        <v>1.3823863174095445E-2</v>
      </c>
      <c r="DL729" s="8">
        <f t="shared" si="3144"/>
        <v>6.9451265249443686E-3</v>
      </c>
      <c r="DM729" s="8">
        <f t="shared" si="3144"/>
        <v>6.9673509298241914E-3</v>
      </c>
      <c r="DN729" s="74">
        <f>SUM(DL729:DM729)</f>
        <v>1.3912477454768559E-2</v>
      </c>
      <c r="DO729" s="8">
        <f t="shared" si="3145"/>
        <v>6.9896464527996281E-3</v>
      </c>
      <c r="DP729" s="8">
        <f t="shared" si="3145"/>
        <v>7.0120133214485875E-3</v>
      </c>
      <c r="DQ729" s="74">
        <f>SUM(DO729:DP729)</f>
        <v>1.4001659774248216E-2</v>
      </c>
      <c r="DR729" s="8">
        <f t="shared" si="3146"/>
        <v>7.0344517640772257E-3</v>
      </c>
      <c r="DS729" s="8">
        <f t="shared" si="3146"/>
        <v>7.0569620097222716E-3</v>
      </c>
      <c r="DT729" s="74">
        <f>SUM(DR729:DS729)</f>
        <v>1.4091413773799497E-2</v>
      </c>
      <c r="DU729" s="8">
        <f t="shared" si="3147"/>
        <v>7.0795442881533823E-3</v>
      </c>
      <c r="DV729" s="8">
        <f t="shared" si="3147"/>
        <v>7.1021988298754753E-3</v>
      </c>
      <c r="DW729" s="74">
        <f>SUM(DU729:DV729)</f>
        <v>1.4181743118028858E-2</v>
      </c>
      <c r="DX729" s="8">
        <f t="shared" si="3148"/>
        <v>7.1249258661310773E-3</v>
      </c>
      <c r="DY729" s="8">
        <f t="shared" si="3148"/>
        <v>7.1477256289026979E-3</v>
      </c>
      <c r="DZ729" s="74">
        <f>SUM(DX729:DY729)</f>
        <v>1.4272651495033775E-2</v>
      </c>
      <c r="EA729" s="8">
        <f t="shared" si="3149"/>
        <v>7.170598350915186E-3</v>
      </c>
      <c r="EB729" s="8">
        <f t="shared" si="3149"/>
        <v>7.1935442656381162E-3</v>
      </c>
      <c r="EC729" s="74">
        <f>SUM(EA729:EB729)</f>
        <v>1.4364142616553301E-2</v>
      </c>
      <c r="ED729" s="8">
        <f t="shared" si="3150"/>
        <v>7.2165636072881586E-3</v>
      </c>
      <c r="EE729" s="8">
        <f t="shared" si="3150"/>
        <v>7.2396566108314814E-3</v>
      </c>
      <c r="EF729" s="74">
        <f>SUM(ED729:EE729)</f>
        <v>1.4456220218119639E-2</v>
      </c>
      <c r="EG729" s="8">
        <f t="shared" si="3151"/>
        <v>7.2628235119861426E-3</v>
      </c>
      <c r="EH729" s="8">
        <f t="shared" si="3151"/>
        <v>7.2860645472245002E-3</v>
      </c>
      <c r="EI729" s="74">
        <f>SUM(EG729:EH729)</f>
        <v>1.4548888059210643E-2</v>
      </c>
      <c r="EJ729" s="8">
        <f t="shared" si="3152"/>
        <v>7.3093799537756179E-3</v>
      </c>
      <c r="EK729" s="8">
        <f t="shared" si="3152"/>
        <v>7.3327699696277004E-3</v>
      </c>
      <c r="EL729" s="74">
        <f>SUM(EJ729:EK729)</f>
        <v>1.4642149923403319E-2</v>
      </c>
      <c r="EM729" s="8">
        <f t="shared" si="3153"/>
        <v>7.3562348335305091E-3</v>
      </c>
      <c r="EN729" s="8">
        <f t="shared" si="3153"/>
        <v>7.3797747849978076E-3</v>
      </c>
      <c r="EO729" s="74">
        <f>SUM(EM729:EN729)</f>
        <v>1.4736009618528317E-2</v>
      </c>
      <c r="EP729" s="8">
        <f t="shared" si="3154"/>
        <v>7.4033900643098024E-3</v>
      </c>
      <c r="EQ729" s="8">
        <f t="shared" si="3154"/>
        <v>7.4270809125155934E-3</v>
      </c>
      <c r="ER729" s="74">
        <f>SUM(EP729:EQ729)</f>
        <v>1.4830470976825397E-2</v>
      </c>
      <c r="ES729" s="8">
        <f t="shared" ref="ES729:ET729" si="3161">ES693*ES687</f>
        <v>7.4508475714356445E-3</v>
      </c>
      <c r="ET729" s="8">
        <f t="shared" si="3161"/>
        <v>7.4746902836642388E-3</v>
      </c>
      <c r="EU729" s="74">
        <f>SUM(ES729:ET729)</f>
        <v>1.4925537855099882E-2</v>
      </c>
      <c r="EV729" s="8">
        <f t="shared" ref="EV729:EW729" si="3162">EV693*EV687</f>
        <v>7.498609292571963E-3</v>
      </c>
      <c r="EW729" s="8">
        <f t="shared" si="3162"/>
        <v>7.5226048423081941E-3</v>
      </c>
      <c r="EX729" s="74">
        <f>SUM(EV729:EW729)</f>
        <v>1.5021214134880157E-2</v>
      </c>
      <c r="EY729" s="8">
        <f t="shared" ref="EY729:EZ729" si="3163">EY693*EY687</f>
        <v>7.5466771778035808E-3</v>
      </c>
      <c r="EZ729" s="8">
        <f t="shared" si="3163"/>
        <v>7.5708265447725536E-3</v>
      </c>
      <c r="FA729" s="74">
        <f>SUM(EY729:EZ729)</f>
        <v>1.5117503722576135E-2</v>
      </c>
      <c r="FH729" s="35"/>
      <c r="FI729" s="35"/>
      <c r="FJ729" s="35"/>
      <c r="FK729" s="35"/>
      <c r="FL729" s="35"/>
      <c r="FM729" s="35"/>
      <c r="FN729" s="35"/>
      <c r="FO729" s="35"/>
      <c r="FP729" s="35"/>
      <c r="FQ729" s="35"/>
    </row>
    <row r="730" spans="1:173" s="321" customFormat="1" ht="13.5" hidden="1" outlineLevel="1" thickBot="1">
      <c r="A730" s="1437"/>
      <c r="B730" s="967"/>
      <c r="C730" s="967" t="s">
        <v>327</v>
      </c>
      <c r="D730" s="327"/>
      <c r="E730" s="18"/>
      <c r="F730" s="18"/>
      <c r="G730" s="19"/>
      <c r="H730" s="18"/>
      <c r="I730" s="18"/>
      <c r="J730" s="19"/>
      <c r="K730" s="18"/>
      <c r="L730" s="18"/>
      <c r="M730" s="19"/>
      <c r="N730" s="18"/>
      <c r="O730" s="18"/>
      <c r="P730" s="19"/>
      <c r="Q730" s="18"/>
      <c r="R730" s="18"/>
      <c r="S730" s="19"/>
      <c r="T730" s="18"/>
      <c r="U730" s="18"/>
      <c r="V730" s="19"/>
      <c r="W730" s="18"/>
      <c r="X730" s="18"/>
      <c r="Y730" s="19"/>
      <c r="Z730" s="18"/>
      <c r="AA730" s="18"/>
      <c r="AB730" s="19"/>
      <c r="AC730" s="18"/>
      <c r="AD730" s="18"/>
      <c r="AE730" s="19"/>
      <c r="AF730" s="18"/>
      <c r="AG730" s="18"/>
      <c r="AH730" s="19"/>
      <c r="AI730" s="18"/>
      <c r="AJ730" s="18"/>
      <c r="AK730" s="19"/>
      <c r="AL730" s="18"/>
      <c r="AM730" s="18"/>
      <c r="AN730" s="19"/>
      <c r="AO730" s="18"/>
      <c r="AP730" s="18"/>
      <c r="AQ730" s="19"/>
      <c r="AR730" s="18"/>
      <c r="AS730" s="18"/>
      <c r="AT730" s="19"/>
      <c r="AU730" s="18"/>
      <c r="AV730" s="18"/>
      <c r="AW730" s="19"/>
      <c r="AX730" s="210">
        <f>SUM(AX727:AX729)</f>
        <v>1.3845922182343127E-2</v>
      </c>
      <c r="AY730" s="210">
        <f>SUM(AY727:AY729)</f>
        <v>1.3888704495730656E-2</v>
      </c>
      <c r="AZ730" s="223">
        <f>SUM(AX730:AY730)</f>
        <v>2.7734626678073783E-2</v>
      </c>
      <c r="BA730" s="12">
        <f>SUM(BA727:BA729)</f>
        <v>1.3931758954280019E-2</v>
      </c>
      <c r="BB730" s="12">
        <f>SUM(BB727:BB729)</f>
        <v>1.3975087174631012E-2</v>
      </c>
      <c r="BC730" s="989">
        <f>SUM(BA730:BB730)</f>
        <v>2.790684612891103E-2</v>
      </c>
      <c r="BD730" s="12">
        <f>SUM(BD727:BD729)</f>
        <v>1.4018690783509081E-2</v>
      </c>
      <c r="BE730" s="12">
        <f>SUM(BE727:BE729)</f>
        <v>1.4062571417789008E-2</v>
      </c>
      <c r="BF730" s="989">
        <f>SUM(BD730:BE730)</f>
        <v>2.8081262201298089E-2</v>
      </c>
      <c r="BG730" s="12">
        <f>SUM(BG727:BG729)</f>
        <v>1.4106730724558994E-2</v>
      </c>
      <c r="BH730" s="12">
        <f>SUM(BH727:BH729)</f>
        <v>1.4151170361185145E-2</v>
      </c>
      <c r="BI730" s="989">
        <f>SUM(BG730:BH730)</f>
        <v>2.8257901085744139E-2</v>
      </c>
      <c r="BJ730" s="145">
        <f>SUM(BJ727:BJ729)</f>
        <v>1.4195891995376384E-2</v>
      </c>
      <c r="BK730" s="145">
        <f>SUM(BK727:BK729)</f>
        <v>1.4240897305249776E-2</v>
      </c>
      <c r="BL730" s="154">
        <f>SUM(BJ730:BK730)</f>
        <v>2.843678930062616E-2</v>
      </c>
      <c r="BM730" s="145">
        <f>SUM(BM727:BM729)</f>
        <v>1.4263542642323008E-2</v>
      </c>
      <c r="BN730" s="145">
        <f>SUM(BN727:BN729)</f>
        <v>1.4286259745247248E-2</v>
      </c>
      <c r="BO730" s="154">
        <f>SUM(BM730:BN730)</f>
        <v>2.8549802387570256E-2</v>
      </c>
      <c r="BP730" s="145">
        <f>SUM(BP727:BP729)</f>
        <v>1.4309048827739682E-2</v>
      </c>
      <c r="BQ730" s="145">
        <f>SUM(BQ727:BQ729)</f>
        <v>1.4331910104184602E-2</v>
      </c>
      <c r="BR730" s="154">
        <f>SUM(BP730:BQ730)</f>
        <v>2.8640958931924282E-2</v>
      </c>
      <c r="BS730" s="12">
        <f>SUM(BS727:BS729)</f>
        <v>1.4354843789635505E-2</v>
      </c>
      <c r="BT730" s="12">
        <f>SUM(BT727:BT729)</f>
        <v>1.4377850099817211E-2</v>
      </c>
      <c r="BU730" s="223">
        <f>SUM(BS730:BT730)</f>
        <v>2.8732693889452716E-2</v>
      </c>
      <c r="BV730" s="12">
        <f>SUM(BV727:BV729)</f>
        <v>1.4400929251127969E-2</v>
      </c>
      <c r="BW730" s="12">
        <f>SUM(BW727:BW729)</f>
        <v>1.4424081460641607E-2</v>
      </c>
      <c r="BX730" s="223">
        <f>SUM(BV730:BW730)</f>
        <v>2.8825010711769575E-2</v>
      </c>
      <c r="BY730" s="12">
        <f>SUM(BY727:BY729)</f>
        <v>1.4447306946109646E-2</v>
      </c>
      <c r="BZ730" s="12">
        <f>SUM(BZ727:BZ729)</f>
        <v>1.4470605925963453E-2</v>
      </c>
      <c r="CA730" s="223">
        <f>SUM(BY730:BZ730)</f>
        <v>2.8917912872073098E-2</v>
      </c>
      <c r="CB730" s="12">
        <f>SUM(CB727:CB729)</f>
        <v>1.4493978619316381E-2</v>
      </c>
      <c r="CC730" s="12">
        <f>SUM(CC727:CC729)</f>
        <v>1.451742524596593E-2</v>
      </c>
      <c r="CD730" s="223">
        <f>SUM(CB730:CC730)</f>
        <v>2.9011403865282309E-2</v>
      </c>
      <c r="CE730" s="12">
        <f>SUM(CE727:CE729)</f>
        <v>1.45409460263959E-2</v>
      </c>
      <c r="CF730" s="12">
        <f>SUM(CF727:CF729)</f>
        <v>1.456454118177857E-2</v>
      </c>
      <c r="CG730" s="223">
        <f>SUM(CE730:CF730)</f>
        <v>2.910548720817447E-2</v>
      </c>
      <c r="CH730" s="12">
        <f>SUM(CH727:CH729)</f>
        <v>1.4588210933976858E-2</v>
      </c>
      <c r="CI730" s="12">
        <f>SUM(CI727:CI729)</f>
        <v>1.4611955505546514E-2</v>
      </c>
      <c r="CJ730" s="223">
        <f>SUM(CH730:CI730)</f>
        <v>2.9200166439523372E-2</v>
      </c>
      <c r="CK730" s="12">
        <f>SUM(CK727:CK729)</f>
        <v>1.4635775119738311E-2</v>
      </c>
      <c r="CL730" s="12">
        <f>SUM(CL727:CL729)</f>
        <v>1.4659670000500233E-2</v>
      </c>
      <c r="CM730" s="223">
        <f>SUM(CK730:CL730)</f>
        <v>2.9295445120238545E-2</v>
      </c>
      <c r="CN730" s="12">
        <f>SUM(CN727:CN729)</f>
        <v>1.4683640372479675E-2</v>
      </c>
      <c r="CO730" s="12">
        <f>SUM(CO727:CO729)</f>
        <v>1.4707686461025667E-2</v>
      </c>
      <c r="CP730" s="223">
        <f>SUM(CN730:CO730)</f>
        <v>2.9391326833505343E-2</v>
      </c>
      <c r="CQ730" s="12">
        <f>SUM(CQ727:CQ729)</f>
        <v>1.4731808492191077E-2</v>
      </c>
      <c r="CR730" s="12">
        <f>SUM(CR727:CR729)</f>
        <v>1.4756006692734837E-2</v>
      </c>
      <c r="CS730" s="223">
        <f>SUM(CQ730:CR730)</f>
        <v>2.9487815184925915E-2</v>
      </c>
      <c r="CT730" s="12">
        <f>SUM(CT727:CT729)</f>
        <v>1.4780281290124184E-2</v>
      </c>
      <c r="CU730" s="12">
        <f>SUM(CU727:CU729)</f>
        <v>1.480463251253689E-2</v>
      </c>
      <c r="CV730" s="223">
        <f>SUM(CT730:CU730)</f>
        <v>2.9584913802661074E-2</v>
      </c>
      <c r="CW730" s="12">
        <f>SUM(CW727:CW729)</f>
        <v>1.4829060588863499E-2</v>
      </c>
      <c r="CX730" s="12">
        <f>SUM(CX727:CX729)</f>
        <v>1.4853565748709597E-2</v>
      </c>
      <c r="CY730" s="223">
        <f>SUM(CW730:CX730)</f>
        <v>2.9682626337573098E-2</v>
      </c>
      <c r="CZ730" s="12">
        <f>SUM(CZ727:CZ729)</f>
        <v>1.4878148222398061E-2</v>
      </c>
      <c r="DA730" s="12">
        <f>SUM(DA727:DA729)</f>
        <v>1.4902808240971326E-2</v>
      </c>
      <c r="DB730" s="223">
        <f>SUM(CZ730:DA730)</f>
        <v>2.9780956463369389E-2</v>
      </c>
      <c r="DC730" s="12">
        <f>SUM(DC727:DC729)</f>
        <v>1.4927546036193656E-2</v>
      </c>
      <c r="DD730" s="12">
        <f>SUM(DD727:DD729)</f>
        <v>1.4952361840553433E-2</v>
      </c>
      <c r="DE730" s="223">
        <f>SUM(DC730:DD730)</f>
        <v>2.9879907876747089E-2</v>
      </c>
      <c r="DF730" s="12">
        <f>SUM(DF727:DF729)</f>
        <v>1.4977255887265447E-2</v>
      </c>
      <c r="DG730" s="12">
        <f>SUM(DG727:DG729)</f>
        <v>1.5002228410273176E-2</v>
      </c>
      <c r="DH730" s="223">
        <f>SUM(DF730:DG730)</f>
        <v>2.9979484297538623E-2</v>
      </c>
      <c r="DI730" s="12">
        <f>SUM(DI727:DI729)</f>
        <v>1.5027279644251103E-2</v>
      </c>
      <c r="DJ730" s="12">
        <f>SUM(DJ727:DJ729)</f>
        <v>1.5052409824607024E-2</v>
      </c>
      <c r="DK730" s="223">
        <f>SUM(DI730:DJ730)</f>
        <v>3.0079689468858126E-2</v>
      </c>
      <c r="DL730" s="12">
        <f>SUM(DL727:DL729)</f>
        <v>1.507761918748436E-2</v>
      </c>
      <c r="DM730" s="12">
        <f>SUM(DM727:DM729)</f>
        <v>1.510290796976449E-2</v>
      </c>
      <c r="DN730" s="223">
        <f>SUM(DL730:DM730)</f>
        <v>3.0180527157248851E-2</v>
      </c>
      <c r="DO730" s="12">
        <f>SUM(DO727:DO729)</f>
        <v>1.5128276409069075E-2</v>
      </c>
      <c r="DP730" s="12">
        <f>SUM(DP727:DP729)</f>
        <v>1.5153724743762404E-2</v>
      </c>
      <c r="DQ730" s="223">
        <f>SUM(DO730:DP730)</f>
        <v>3.0282001152831479E-2</v>
      </c>
      <c r="DR730" s="12">
        <f>SUM(DR727:DR729)</f>
        <v>1.5179253212953742E-2</v>
      </c>
      <c r="DS730" s="12">
        <f>SUM(DS727:DS729)</f>
        <v>1.5204862056499669E-2</v>
      </c>
      <c r="DT730" s="223">
        <f>SUM(DR730:DS730)</f>
        <v>3.0384115269453411E-2</v>
      </c>
      <c r="DU730" s="12">
        <f>SUM(DU727:DU729)</f>
        <v>1.5230551515006473E-2</v>
      </c>
      <c r="DV730" s="12">
        <f>SUM(DV727:DV729)</f>
        <v>1.5256321829832491E-2</v>
      </c>
      <c r="DW730" s="223">
        <f>SUM(DU730:DV730)</f>
        <v>3.0486873344838964E-2</v>
      </c>
      <c r="DX730" s="12">
        <f>SUM(DX727:DX729)</f>
        <v>1.5282173243090497E-2</v>
      </c>
      <c r="DY730" s="12">
        <f>SUM(DY727:DY729)</f>
        <v>1.5308105997650092E-2</v>
      </c>
      <c r="DZ730" s="223">
        <f>SUM(DX730:DY730)</f>
        <v>3.0590279240740589E-2</v>
      </c>
      <c r="EA730" s="12">
        <f>SUM(EA727:EA729)</f>
        <v>1.5334120337140083E-2</v>
      </c>
      <c r="EB730" s="12">
        <f>SUM(EB727:EB729)</f>
        <v>1.5360216505950899E-2</v>
      </c>
      <c r="EC730" s="223">
        <f>SUM(EA730:EB730)</f>
        <v>3.0694336843090982E-2</v>
      </c>
      <c r="ED730" s="12">
        <f>SUM(ED727:ED729)</f>
        <v>1.5386394749236983E-2</v>
      </c>
      <c r="EE730" s="12">
        <f>SUM(EE727:EE729)</f>
        <v>1.5412655312919228E-2</v>
      </c>
      <c r="EF730" s="223">
        <f>SUM(ED730:EE730)</f>
        <v>3.0799050062156212E-2</v>
      </c>
      <c r="EG730" s="12">
        <f>SUM(EG727:EG729)</f>
        <v>1.5438998443687374E-2</v>
      </c>
      <c r="EH730" s="12">
        <f>SUM(EH727:EH729)</f>
        <v>1.5465424389002457E-2</v>
      </c>
      <c r="EI730" s="223">
        <f>SUM(EG730:EH730)</f>
        <v>3.0904422832689831E-2</v>
      </c>
      <c r="EJ730" s="12">
        <f>SUM(EJ727:EJ729)</f>
        <v>1.5491933397099242E-2</v>
      </c>
      <c r="EK730" s="12">
        <f>SUM(EK727:EK729)</f>
        <v>1.551852571698867E-2</v>
      </c>
      <c r="EL730" s="223">
        <f>SUM(EJ730:EK730)</f>
        <v>3.101045911408791E-2</v>
      </c>
      <c r="EM730" s="12">
        <f>SUM(EM727:EM729)</f>
        <v>1.5545201598460311E-2</v>
      </c>
      <c r="EN730" s="12">
        <f>SUM(EN727:EN729)</f>
        <v>1.5571961292084824E-2</v>
      </c>
      <c r="EO730" s="223">
        <f>SUM(EM730:EN730)</f>
        <v>3.1117162890545134E-2</v>
      </c>
      <c r="EP730" s="12">
        <f>SUM(EP727:EP729)</f>
        <v>1.559880504921644E-2</v>
      </c>
      <c r="EQ730" s="12">
        <f>SUM(EQ727:EQ729)</f>
        <v>1.562573312199541E-2</v>
      </c>
      <c r="ER730" s="223">
        <f>SUM(EP730:EQ730)</f>
        <v>3.122453817121185E-2</v>
      </c>
      <c r="ES730" s="12">
        <f>SUM(ES727:ES729)</f>
        <v>1.5652745763350521E-2</v>
      </c>
      <c r="ET730" s="12">
        <f>SUM(ET727:ET729)</f>
        <v>1.5679843227001576E-2</v>
      </c>
      <c r="EU730" s="223">
        <f>SUM(ES730:ET730)</f>
        <v>3.13325889903521E-2</v>
      </c>
      <c r="EV730" s="12">
        <f>SUM(EV727:EV729)</f>
        <v>1.5707025767461892E-2</v>
      </c>
      <c r="EW730" s="12">
        <f>SUM(EW727:EW729)</f>
        <v>1.5734293640040826E-2</v>
      </c>
      <c r="EX730" s="223">
        <f>SUM(EV730:EW730)</f>
        <v>3.1441319407502721E-2</v>
      </c>
      <c r="EY730" s="12">
        <f>SUM(EY727:EY729)</f>
        <v>1.5761647100846266E-2</v>
      </c>
      <c r="EZ730" s="12">
        <f>SUM(EZ727:EZ729)</f>
        <v>1.5789086406787171E-2</v>
      </c>
      <c r="FA730" s="223">
        <f>SUM(EY730:EZ730)</f>
        <v>3.1550733507633433E-2</v>
      </c>
      <c r="FH730" s="35"/>
      <c r="FI730" s="35"/>
      <c r="FJ730" s="35"/>
      <c r="FK730" s="35"/>
      <c r="FL730" s="35"/>
      <c r="FM730" s="35"/>
      <c r="FN730" s="35"/>
      <c r="FO730" s="35"/>
      <c r="FP730" s="35"/>
      <c r="FQ730" s="35"/>
    </row>
    <row r="731" spans="1:173" s="321" customFormat="1" hidden="1" outlineLevel="1">
      <c r="A731" s="1174"/>
      <c r="B731" s="68" t="s">
        <v>999</v>
      </c>
      <c r="D731" s="162"/>
      <c r="E731" s="22"/>
      <c r="F731" s="22"/>
      <c r="G731" s="23"/>
      <c r="H731" s="22"/>
      <c r="I731" s="22"/>
      <c r="J731" s="23"/>
      <c r="K731" s="22"/>
      <c r="L731" s="22"/>
      <c r="M731" s="23"/>
      <c r="N731" s="22"/>
      <c r="O731" s="22"/>
      <c r="P731" s="23"/>
      <c r="Q731" s="22"/>
      <c r="R731" s="22"/>
      <c r="S731" s="23"/>
      <c r="T731" s="22"/>
      <c r="U731" s="22"/>
      <c r="V731" s="23"/>
      <c r="W731" s="22"/>
      <c r="X731" s="22"/>
      <c r="Y731" s="23"/>
      <c r="Z731" s="22"/>
      <c r="AA731" s="22"/>
      <c r="AB731" s="23"/>
      <c r="AC731" s="22"/>
      <c r="AD731" s="22"/>
      <c r="AE731" s="23"/>
      <c r="AF731" s="22"/>
      <c r="AG731" s="22"/>
      <c r="AH731" s="23"/>
      <c r="AI731" s="22"/>
      <c r="AJ731" s="22"/>
      <c r="AK731" s="23"/>
      <c r="AL731" s="22"/>
      <c r="AM731" s="22"/>
      <c r="AN731" s="23"/>
      <c r="AO731" s="22"/>
      <c r="AP731" s="22"/>
      <c r="AQ731" s="23"/>
      <c r="AR731" s="22"/>
      <c r="AS731" s="22"/>
      <c r="AT731" s="23"/>
      <c r="AU731" s="22"/>
      <c r="AV731" s="22"/>
      <c r="AW731" s="23"/>
      <c r="AX731" s="198"/>
      <c r="AY731" s="198"/>
      <c r="AZ731" s="74"/>
      <c r="BA731" s="14"/>
      <c r="BB731" s="14"/>
      <c r="BC731" s="986"/>
      <c r="BD731" s="14"/>
      <c r="BE731" s="14"/>
      <c r="BF731" s="986"/>
      <c r="BG731" s="14"/>
      <c r="BH731" s="14"/>
      <c r="BI731" s="986"/>
      <c r="BJ731" s="149"/>
      <c r="BK731" s="149"/>
      <c r="BL731" s="153"/>
      <c r="BM731" s="149"/>
      <c r="BN731" s="149"/>
      <c r="BO731" s="153"/>
      <c r="BP731" s="149"/>
      <c r="BQ731" s="149"/>
      <c r="BR731" s="153"/>
      <c r="BS731" s="14"/>
      <c r="BT731" s="14"/>
      <c r="BU731" s="74"/>
      <c r="BV731" s="14"/>
      <c r="BW731" s="14"/>
      <c r="BX731" s="74"/>
      <c r="BY731" s="14"/>
      <c r="BZ731" s="14"/>
      <c r="CA731" s="74"/>
      <c r="CB731" s="14"/>
      <c r="CC731" s="14"/>
      <c r="CD731" s="74"/>
      <c r="CE731" s="14"/>
      <c r="CF731" s="14"/>
      <c r="CG731" s="74"/>
      <c r="CH731" s="14"/>
      <c r="CI731" s="14"/>
      <c r="CJ731" s="74"/>
      <c r="CK731" s="14"/>
      <c r="CL731" s="14"/>
      <c r="CM731" s="74"/>
      <c r="CN731" s="14"/>
      <c r="CO731" s="14"/>
      <c r="CP731" s="74"/>
      <c r="CQ731" s="14"/>
      <c r="CR731" s="14"/>
      <c r="CS731" s="74"/>
      <c r="CT731" s="14"/>
      <c r="CU731" s="14"/>
      <c r="CV731" s="74"/>
      <c r="CW731" s="14"/>
      <c r="CX731" s="14"/>
      <c r="CY731" s="74"/>
      <c r="CZ731" s="14"/>
      <c r="DA731" s="14"/>
      <c r="DB731" s="74"/>
      <c r="DC731" s="14"/>
      <c r="DD731" s="14"/>
      <c r="DE731" s="74"/>
      <c r="DF731" s="14"/>
      <c r="DG731" s="14"/>
      <c r="DH731" s="74"/>
      <c r="DI731" s="14"/>
      <c r="DJ731" s="14"/>
      <c r="DK731" s="74"/>
      <c r="DL731" s="14"/>
      <c r="DM731" s="14"/>
      <c r="DN731" s="74"/>
      <c r="DO731" s="14"/>
      <c r="DP731" s="14"/>
      <c r="DQ731" s="74"/>
      <c r="DR731" s="14"/>
      <c r="DS731" s="14"/>
      <c r="DT731" s="74"/>
      <c r="DU731" s="14"/>
      <c r="DV731" s="14"/>
      <c r="DW731" s="74"/>
      <c r="DX731" s="14"/>
      <c r="DY731" s="14"/>
      <c r="DZ731" s="74"/>
      <c r="EA731" s="14"/>
      <c r="EB731" s="14"/>
      <c r="EC731" s="74"/>
      <c r="ED731" s="14"/>
      <c r="EE731" s="14"/>
      <c r="EF731" s="74"/>
      <c r="EG731" s="14"/>
      <c r="EH731" s="14"/>
      <c r="EI731" s="74"/>
      <c r="EJ731" s="14"/>
      <c r="EK731" s="14"/>
      <c r="EL731" s="74"/>
      <c r="EM731" s="14"/>
      <c r="EN731" s="14"/>
      <c r="EO731" s="74"/>
      <c r="EP731" s="14"/>
      <c r="EQ731" s="14"/>
      <c r="ER731" s="74"/>
      <c r="ES731" s="14"/>
      <c r="ET731" s="14"/>
      <c r="EU731" s="74"/>
      <c r="EV731" s="14"/>
      <c r="EW731" s="14"/>
      <c r="EX731" s="74"/>
      <c r="EY731" s="14"/>
      <c r="EZ731" s="14"/>
      <c r="FA731" s="74"/>
      <c r="FH731" s="35"/>
      <c r="FI731" s="35"/>
      <c r="FJ731" s="35"/>
      <c r="FK731" s="35"/>
      <c r="FL731" s="35"/>
      <c r="FM731" s="35"/>
      <c r="FN731" s="35"/>
      <c r="FO731" s="35"/>
      <c r="FP731" s="35"/>
      <c r="FQ731" s="35"/>
    </row>
    <row r="732" spans="1:173" s="321" customFormat="1" hidden="1" outlineLevel="1">
      <c r="A732" s="1174"/>
      <c r="B732" s="35" t="s">
        <v>994</v>
      </c>
      <c r="C732" s="35"/>
      <c r="D732" s="162"/>
      <c r="E732" s="22"/>
      <c r="F732" s="22"/>
      <c r="G732" s="23"/>
      <c r="H732" s="22"/>
      <c r="I732" s="22"/>
      <c r="J732" s="23"/>
      <c r="K732" s="22"/>
      <c r="L732" s="22"/>
      <c r="M732" s="23"/>
      <c r="N732" s="22"/>
      <c r="O732" s="22"/>
      <c r="P732" s="23"/>
      <c r="Q732" s="22"/>
      <c r="R732" s="22"/>
      <c r="S732" s="23"/>
      <c r="T732" s="22"/>
      <c r="U732" s="22"/>
      <c r="V732" s="23"/>
      <c r="W732" s="22"/>
      <c r="X732" s="22"/>
      <c r="Y732" s="23"/>
      <c r="Z732" s="22"/>
      <c r="AA732" s="22"/>
      <c r="AB732" s="23"/>
      <c r="AC732" s="22"/>
      <c r="AD732" s="22"/>
      <c r="AE732" s="23"/>
      <c r="AF732" s="22"/>
      <c r="AG732" s="22"/>
      <c r="AH732" s="23"/>
      <c r="AI732" s="22"/>
      <c r="AJ732" s="22"/>
      <c r="AK732" s="23"/>
      <c r="AL732" s="22"/>
      <c r="AM732" s="22"/>
      <c r="AN732" s="23"/>
      <c r="AO732" s="22"/>
      <c r="AP732" s="22"/>
      <c r="AQ732" s="23"/>
      <c r="AR732" s="22"/>
      <c r="AS732" s="22"/>
      <c r="AT732" s="23"/>
      <c r="AU732" s="22"/>
      <c r="AV732" s="22"/>
      <c r="AW732" s="23"/>
      <c r="AX732" s="198"/>
      <c r="AY732" s="198"/>
      <c r="AZ732" s="74"/>
      <c r="BA732" s="14"/>
      <c r="BB732" s="14"/>
      <c r="BC732" s="986"/>
      <c r="BD732" s="14"/>
      <c r="BE732" s="14"/>
      <c r="BF732" s="986"/>
      <c r="BG732" s="14"/>
      <c r="BH732" s="14"/>
      <c r="BI732" s="986"/>
      <c r="BJ732" s="149"/>
      <c r="BK732" s="149"/>
      <c r="BL732" s="153"/>
      <c r="BM732" s="149"/>
      <c r="BN732" s="149"/>
      <c r="BO732" s="153"/>
      <c r="BP732" s="149"/>
      <c r="BQ732" s="149"/>
      <c r="BR732" s="153"/>
      <c r="BS732" s="14"/>
      <c r="BT732" s="14"/>
      <c r="BU732" s="74"/>
      <c r="BV732" s="14"/>
      <c r="BW732" s="14"/>
      <c r="BX732" s="74"/>
      <c r="BY732" s="14"/>
      <c r="BZ732" s="14"/>
      <c r="CA732" s="74"/>
      <c r="CB732" s="14"/>
      <c r="CC732" s="14"/>
      <c r="CD732" s="74"/>
      <c r="CE732" s="14"/>
      <c r="CF732" s="14"/>
      <c r="CG732" s="74"/>
      <c r="CH732" s="14"/>
      <c r="CI732" s="14"/>
      <c r="CJ732" s="74"/>
      <c r="CK732" s="14"/>
      <c r="CL732" s="14"/>
      <c r="CM732" s="74"/>
      <c r="CN732" s="14"/>
      <c r="CO732" s="14"/>
      <c r="CP732" s="74"/>
      <c r="CQ732" s="14"/>
      <c r="CR732" s="14"/>
      <c r="CS732" s="74"/>
      <c r="CT732" s="14"/>
      <c r="CU732" s="14"/>
      <c r="CV732" s="74"/>
      <c r="CW732" s="14"/>
      <c r="CX732" s="14"/>
      <c r="CY732" s="74"/>
      <c r="CZ732" s="14"/>
      <c r="DA732" s="14"/>
      <c r="DB732" s="74"/>
      <c r="DC732" s="14"/>
      <c r="DD732" s="14"/>
      <c r="DE732" s="74"/>
      <c r="DF732" s="14"/>
      <c r="DG732" s="14"/>
      <c r="DH732" s="74"/>
      <c r="DI732" s="14"/>
      <c r="DJ732" s="14"/>
      <c r="DK732" s="74"/>
      <c r="DL732" s="14"/>
      <c r="DM732" s="14"/>
      <c r="DN732" s="74"/>
      <c r="DO732" s="14"/>
      <c r="DP732" s="14"/>
      <c r="DQ732" s="74"/>
      <c r="DR732" s="14"/>
      <c r="DS732" s="14"/>
      <c r="DT732" s="74"/>
      <c r="DU732" s="14"/>
      <c r="DV732" s="14"/>
      <c r="DW732" s="74"/>
      <c r="DX732" s="14"/>
      <c r="DY732" s="14"/>
      <c r="DZ732" s="74"/>
      <c r="EA732" s="14"/>
      <c r="EB732" s="14"/>
      <c r="EC732" s="74"/>
      <c r="ED732" s="14"/>
      <c r="EE732" s="14"/>
      <c r="EF732" s="74"/>
      <c r="EG732" s="14"/>
      <c r="EH732" s="14"/>
      <c r="EI732" s="74"/>
      <c r="EJ732" s="14"/>
      <c r="EK732" s="14"/>
      <c r="EL732" s="74"/>
      <c r="EM732" s="14"/>
      <c r="EN732" s="14"/>
      <c r="EO732" s="74"/>
      <c r="EP732" s="14"/>
      <c r="EQ732" s="14"/>
      <c r="ER732" s="74"/>
      <c r="ES732" s="14"/>
      <c r="ET732" s="14"/>
      <c r="EU732" s="74"/>
      <c r="EV732" s="14"/>
      <c r="EW732" s="14"/>
      <c r="EX732" s="74"/>
      <c r="EY732" s="14"/>
      <c r="EZ732" s="14"/>
      <c r="FA732" s="74"/>
      <c r="FH732" s="35"/>
      <c r="FI732" s="35"/>
      <c r="FJ732" s="35"/>
      <c r="FK732" s="35"/>
      <c r="FL732" s="35"/>
      <c r="FM732" s="35"/>
      <c r="FN732" s="35"/>
      <c r="FO732" s="35"/>
      <c r="FP732" s="35"/>
      <c r="FQ732" s="35"/>
    </row>
    <row r="733" spans="1:173" s="321" customFormat="1" hidden="1" outlineLevel="1">
      <c r="A733" s="1174"/>
      <c r="B733" s="35"/>
      <c r="C733" s="186" t="s">
        <v>316</v>
      </c>
      <c r="D733" s="162" t="s">
        <v>985</v>
      </c>
      <c r="E733" s="22"/>
      <c r="F733" s="22"/>
      <c r="G733" s="23"/>
      <c r="H733" s="22"/>
      <c r="I733" s="22"/>
      <c r="J733" s="23"/>
      <c r="K733" s="22"/>
      <c r="L733" s="22"/>
      <c r="M733" s="23"/>
      <c r="N733" s="22"/>
      <c r="O733" s="22"/>
      <c r="P733" s="23"/>
      <c r="Q733" s="22"/>
      <c r="R733" s="22"/>
      <c r="S733" s="23"/>
      <c r="T733" s="22"/>
      <c r="U733" s="22"/>
      <c r="V733" s="23"/>
      <c r="W733" s="22"/>
      <c r="X733" s="22"/>
      <c r="Y733" s="23"/>
      <c r="Z733" s="22"/>
      <c r="AA733" s="22"/>
      <c r="AB733" s="23"/>
      <c r="AC733" s="22"/>
      <c r="AD733" s="22"/>
      <c r="AE733" s="23"/>
      <c r="AF733" s="22"/>
      <c r="AG733" s="22"/>
      <c r="AH733" s="23"/>
      <c r="AI733" s="22"/>
      <c r="AJ733" s="22"/>
      <c r="AK733" s="23"/>
      <c r="AL733" s="22"/>
      <c r="AM733" s="22"/>
      <c r="AN733" s="23"/>
      <c r="AO733" s="22"/>
      <c r="AP733" s="22"/>
      <c r="AQ733" s="23"/>
      <c r="AR733" s="22"/>
      <c r="AS733" s="22"/>
      <c r="AT733" s="23"/>
      <c r="AU733" s="22"/>
      <c r="AV733" s="22"/>
      <c r="AW733" s="23"/>
      <c r="AX733" s="198">
        <f>AX697+AX703+AX715+AX721</f>
        <v>1.5220729584854058</v>
      </c>
      <c r="AY733" s="198">
        <f>AY697+AY703+AY715+AY721</f>
        <v>1.5265630737129381</v>
      </c>
      <c r="AZ733" s="198">
        <f>AZ697+AZ703+AZ715+AZ721</f>
        <v>1.5211787869233437</v>
      </c>
      <c r="BA733" s="198">
        <f>BA697+BA703+BA715+BA721</f>
        <v>1.5310664347803908</v>
      </c>
      <c r="BB733" s="198">
        <f t="shared" ref="BB733:DM733" si="3164">BB697+BB703+BB715+BB721</f>
        <v>1.5355830807629933</v>
      </c>
      <c r="BC733" s="198">
        <f t="shared" si="3164"/>
        <v>1.5301669798245845</v>
      </c>
      <c r="BD733" s="198">
        <f t="shared" si="3164"/>
        <v>1.5401130508512442</v>
      </c>
      <c r="BE733" s="198">
        <f t="shared" si="3164"/>
        <v>1.5446563843512551</v>
      </c>
      <c r="BF733" s="198">
        <f t="shared" si="3164"/>
        <v>1.5392082812836914</v>
      </c>
      <c r="BG733" s="198">
        <f t="shared" si="3164"/>
        <v>1.5492131206850914</v>
      </c>
      <c r="BH733" s="198">
        <f t="shared" si="3164"/>
        <v>1.5537832993911127</v>
      </c>
      <c r="BI733" s="198">
        <f t="shared" si="3164"/>
        <v>1.5483030051033333</v>
      </c>
      <c r="BJ733" s="198">
        <f t="shared" si="3164"/>
        <v>1.5583669601243162</v>
      </c>
      <c r="BK733" s="198">
        <f t="shared" si="3164"/>
        <v>1.5629641426566832</v>
      </c>
      <c r="BL733" s="198">
        <f t="shared" si="3164"/>
        <v>1.557451466940345</v>
      </c>
      <c r="BM733" s="198">
        <f t="shared" si="3164"/>
        <v>1.5652695147671019</v>
      </c>
      <c r="BN733" s="198">
        <f t="shared" si="3164"/>
        <v>1.5675782873013828</v>
      </c>
      <c r="BO733" s="198">
        <f t="shared" si="3164"/>
        <v>1.5620411940079695</v>
      </c>
      <c r="BP733" s="198">
        <f t="shared" si="3164"/>
        <v>1.5698904652751522</v>
      </c>
      <c r="BQ733" s="198">
        <f t="shared" si="3164"/>
        <v>1.5722060537114328</v>
      </c>
      <c r="BR733" s="198">
        <f t="shared" si="3164"/>
        <v>1.5666526139461654</v>
      </c>
      <c r="BS733" s="198">
        <f t="shared" si="3164"/>
        <v>1.5745250576406573</v>
      </c>
      <c r="BT733" s="198">
        <f t="shared" si="3164"/>
        <v>1.576847482100677</v>
      </c>
      <c r="BU733" s="198">
        <f t="shared" si="3164"/>
        <v>1.5712776476058996</v>
      </c>
      <c r="BV733" s="198">
        <f t="shared" si="3164"/>
        <v>1.5791733321367754</v>
      </c>
      <c r="BW733" s="198">
        <f t="shared" si="3164"/>
        <v>1.5815026128016767</v>
      </c>
      <c r="BX733" s="198">
        <f t="shared" si="3164"/>
        <v>1.5759163351772687</v>
      </c>
      <c r="BY733" s="198">
        <f t="shared" si="3164"/>
        <v>1.5838353291555591</v>
      </c>
      <c r="BZ733" s="198">
        <f t="shared" si="3164"/>
        <v>1.5861714862660636</v>
      </c>
      <c r="CA733" s="198">
        <f t="shared" si="3164"/>
        <v>1.5805687169690181</v>
      </c>
      <c r="CB733" s="198">
        <f t="shared" si="3164"/>
        <v>1.5885110892083056</v>
      </c>
      <c r="CC733" s="198">
        <f t="shared" si="3164"/>
        <v>1.5908541430648881</v>
      </c>
      <c r="CD733" s="198">
        <f t="shared" si="3164"/>
        <v>1.5852348334088915</v>
      </c>
      <c r="CE733" s="198">
        <f t="shared" si="3164"/>
        <v>1.5932006529259084</v>
      </c>
      <c r="CF733" s="198">
        <f t="shared" si="3164"/>
        <v>1.5955506238889741</v>
      </c>
      <c r="CG733" s="198">
        <f t="shared" si="3164"/>
        <v>1.5899147250439813</v>
      </c>
      <c r="CH733" s="198">
        <f t="shared" si="3164"/>
        <v>1.5979040610592101</v>
      </c>
      <c r="CI733" s="198">
        <f t="shared" si="3164"/>
        <v>1.6002609695492722</v>
      </c>
      <c r="CJ733" s="198">
        <f t="shared" si="3164"/>
        <v>1.5946084325410845</v>
      </c>
      <c r="CK733" s="198">
        <f t="shared" si="3164"/>
        <v>1.6026213544793571</v>
      </c>
      <c r="CL733" s="198">
        <f t="shared" si="3164"/>
        <v>1.604985220977214</v>
      </c>
      <c r="CM733" s="198">
        <f t="shared" si="3164"/>
        <v>1.5993159966870516</v>
      </c>
      <c r="CN733" s="198">
        <f t="shared" si="3164"/>
        <v>1.6073525741781554</v>
      </c>
      <c r="CO733" s="198">
        <f t="shared" si="3164"/>
        <v>1.6097234192250678</v>
      </c>
      <c r="CP733" s="198">
        <f t="shared" si="3164"/>
        <v>1.604037458389143</v>
      </c>
      <c r="CQ733" s="198">
        <f t="shared" si="3164"/>
        <v>1.6120977612684246</v>
      </c>
      <c r="CR733" s="198">
        <f t="shared" si="3164"/>
        <v>1.6144756054662956</v>
      </c>
      <c r="CS733" s="198">
        <f t="shared" si="3164"/>
        <v>1.6087728586753867</v>
      </c>
      <c r="CT733" s="198">
        <f t="shared" si="3164"/>
        <v>1.6168569569843581</v>
      </c>
      <c r="CU733" s="198">
        <f t="shared" si="3164"/>
        <v>1.6192418209959096</v>
      </c>
      <c r="CV733" s="198">
        <f t="shared" si="3164"/>
        <v>1.6135222386949291</v>
      </c>
      <c r="CW733" s="198">
        <f t="shared" si="3164"/>
        <v>1.6216302026818787</v>
      </c>
      <c r="CX733" s="198">
        <f t="shared" si="3164"/>
        <v>1.6240221072308343</v>
      </c>
      <c r="CY733" s="198">
        <f t="shared" si="3164"/>
        <v>1.6182856397183993</v>
      </c>
      <c r="CZ733" s="198">
        <f t="shared" si="3164"/>
        <v>1.6264175398389993</v>
      </c>
      <c r="DA733" s="198">
        <f t="shared" si="3164"/>
        <v>1.6288165057102619</v>
      </c>
      <c r="DB733" s="198">
        <f t="shared" si="3164"/>
        <v>1.6230631031382632</v>
      </c>
      <c r="DC733" s="198">
        <f t="shared" si="3164"/>
        <v>1.6312190100561845</v>
      </c>
      <c r="DD733" s="198">
        <f t="shared" si="3164"/>
        <v>1.6336250580960172</v>
      </c>
      <c r="DE733" s="198">
        <f t="shared" si="3164"/>
        <v>1.6278546704691843</v>
      </c>
      <c r="DF733" s="198">
        <f t="shared" si="3164"/>
        <v>1.6360346550567086</v>
      </c>
      <c r="DG733" s="198">
        <f t="shared" si="3164"/>
        <v>1.6384478061729173</v>
      </c>
      <c r="DH733" s="198">
        <f t="shared" si="3164"/>
        <v>1.6326603833483855</v>
      </c>
      <c r="DI733" s="198">
        <f t="shared" si="3164"/>
        <v>1.6408645166870219</v>
      </c>
      <c r="DJ733" s="198">
        <f t="shared" si="3164"/>
        <v>1.6432847918491351</v>
      </c>
      <c r="DK733" s="198">
        <f t="shared" si="3164"/>
        <v>1.6374802835360096</v>
      </c>
      <c r="DL733" s="198">
        <f t="shared" si="3164"/>
        <v>1.6457086369171121</v>
      </c>
      <c r="DM733" s="198">
        <f t="shared" si="3164"/>
        <v>1.6481360571565646</v>
      </c>
      <c r="DN733" s="198">
        <f t="shared" ref="DN733:ER733" si="3165">DN697+DN703+DN715+DN721</f>
        <v>1.6423144129154821</v>
      </c>
      <c r="DO733" s="198">
        <f t="shared" si="3165"/>
        <v>1.6505670578408709</v>
      </c>
      <c r="DP733" s="198">
        <f t="shared" si="3165"/>
        <v>1.6530016442511859</v>
      </c>
      <c r="DQ733" s="198">
        <f t="shared" si="3165"/>
        <v>1.6471628134938772</v>
      </c>
      <c r="DR733" s="198">
        <f t="shared" si="3165"/>
        <v>1.6554398216764565</v>
      </c>
      <c r="DS733" s="198">
        <f t="shared" si="3165"/>
        <v>1.6578815954134287</v>
      </c>
      <c r="DT733" s="198">
        <f t="shared" si="3165"/>
        <v>1.6520255274022797</v>
      </c>
      <c r="DU733" s="198">
        <f t="shared" si="3165"/>
        <v>1.6603269707666637</v>
      </c>
      <c r="DV733" s="198">
        <f t="shared" si="3165"/>
        <v>1.662775953048544</v>
      </c>
      <c r="DW733" s="198">
        <f t="shared" si="3165"/>
        <v>1.6569025968961542</v>
      </c>
      <c r="DX733" s="198">
        <f t="shared" si="3165"/>
        <v>1.6652285475792903</v>
      </c>
      <c r="DY733" s="198">
        <f t="shared" si="3165"/>
        <v>1.6676847596869699</v>
      </c>
      <c r="DZ733" s="198">
        <f t="shared" si="3165"/>
        <v>1.6617940643557101</v>
      </c>
      <c r="EA733" s="198">
        <f t="shared" si="3165"/>
        <v>1.6701445947075078</v>
      </c>
      <c r="EB733" s="198">
        <f t="shared" si="3165"/>
        <v>1.6726080579847014</v>
      </c>
      <c r="EC733" s="198">
        <f t="shared" si="3165"/>
        <v>1.6666999722862703</v>
      </c>
      <c r="ED733" s="198">
        <f t="shared" si="3165"/>
        <v>1.6750751548702283</v>
      </c>
      <c r="EE733" s="198">
        <f t="shared" si="3165"/>
        <v>1.6775458907236618</v>
      </c>
      <c r="EF733" s="198">
        <f t="shared" si="3165"/>
        <v>1.6716203633186415</v>
      </c>
      <c r="EG733" s="198">
        <f t="shared" si="3165"/>
        <v>1.6800202709124787</v>
      </c>
      <c r="EH733" s="198">
        <f t="shared" si="3165"/>
        <v>1.6824983008120746</v>
      </c>
      <c r="EI733" s="198">
        <f t="shared" si="3165"/>
        <v>1.6765552802094843</v>
      </c>
      <c r="EJ733" s="198">
        <f t="shared" si="3165"/>
        <v>1.6849799858057724</v>
      </c>
      <c r="EK733" s="198">
        <f t="shared" si="3165"/>
        <v>1.6874653312848356</v>
      </c>
      <c r="EL733" s="198">
        <f t="shared" si="3165"/>
        <v>1.6815047658416831</v>
      </c>
      <c r="EM733" s="198">
        <f t="shared" si="3165"/>
        <v>1.6899543426484807</v>
      </c>
      <c r="EN733" s="198">
        <f t="shared" si="3165"/>
        <v>1.6924470253038868</v>
      </c>
      <c r="EO733" s="198">
        <f t="shared" si="3165"/>
        <v>1.6864688632247216</v>
      </c>
      <c r="EP733" s="198">
        <f t="shared" si="3165"/>
        <v>1.6949433846662099</v>
      </c>
      <c r="EQ733" s="198">
        <f t="shared" si="3165"/>
        <v>1.6974434261585922</v>
      </c>
      <c r="ER733" s="198">
        <f t="shared" si="3165"/>
        <v>1.6914476154950551</v>
      </c>
      <c r="ES733" s="198">
        <f t="shared" ref="ES733:EX733" si="3166">ES697+ES703+ES715+ES721</f>
        <v>1.6999471552121761</v>
      </c>
      <c r="ET733" s="198">
        <f t="shared" si="3166"/>
        <v>1.7024545772661139</v>
      </c>
      <c r="EU733" s="198">
        <f t="shared" si="3166"/>
        <v>1.6964410659164837</v>
      </c>
      <c r="EV733" s="198">
        <f t="shared" si="3166"/>
        <v>1.7049656977675813</v>
      </c>
      <c r="EW733" s="198">
        <f t="shared" si="3166"/>
        <v>1.7074805221717881</v>
      </c>
      <c r="EX733" s="198">
        <f t="shared" si="3166"/>
        <v>1.7014492578805307</v>
      </c>
      <c r="EY733" s="198">
        <f t="shared" ref="EY733:FA733" si="3167">EY697+EY703+EY715+EY721</f>
        <v>1.7099990559419913</v>
      </c>
      <c r="EZ733" s="198">
        <f t="shared" si="3167"/>
        <v>1.7125213045495056</v>
      </c>
      <c r="FA733" s="198">
        <f t="shared" si="3167"/>
        <v>1.70647223490682</v>
      </c>
      <c r="FH733" s="35"/>
      <c r="FI733" s="35"/>
      <c r="FJ733" s="35"/>
      <c r="FK733" s="35"/>
      <c r="FL733" s="35"/>
      <c r="FM733" s="35"/>
      <c r="FN733" s="35"/>
      <c r="FO733" s="35"/>
      <c r="FP733" s="35"/>
      <c r="FQ733" s="35"/>
    </row>
    <row r="734" spans="1:173" s="321" customFormat="1" hidden="1" outlineLevel="1">
      <c r="A734" s="1174"/>
      <c r="B734" s="35"/>
      <c r="C734" s="186" t="s">
        <v>317</v>
      </c>
      <c r="D734" s="162" t="s">
        <v>985</v>
      </c>
      <c r="E734" s="22"/>
      <c r="F734" s="22"/>
      <c r="G734" s="23"/>
      <c r="H734" s="22"/>
      <c r="I734" s="22"/>
      <c r="J734" s="23"/>
      <c r="K734" s="22"/>
      <c r="L734" s="22"/>
      <c r="M734" s="23"/>
      <c r="N734" s="22"/>
      <c r="O734" s="22"/>
      <c r="P734" s="23"/>
      <c r="Q734" s="22"/>
      <c r="R734" s="22"/>
      <c r="S734" s="23"/>
      <c r="T734" s="22"/>
      <c r="U734" s="22"/>
      <c r="V734" s="23"/>
      <c r="W734" s="22"/>
      <c r="X734" s="22"/>
      <c r="Y734" s="23"/>
      <c r="Z734" s="22"/>
      <c r="AA734" s="22"/>
      <c r="AB734" s="23"/>
      <c r="AC734" s="22"/>
      <c r="AD734" s="22"/>
      <c r="AE734" s="23"/>
      <c r="AF734" s="22"/>
      <c r="AG734" s="22"/>
      <c r="AH734" s="23"/>
      <c r="AI734" s="22"/>
      <c r="AJ734" s="22"/>
      <c r="AK734" s="23"/>
      <c r="AL734" s="22"/>
      <c r="AM734" s="22"/>
      <c r="AN734" s="23"/>
      <c r="AO734" s="22"/>
      <c r="AP734" s="22"/>
      <c r="AQ734" s="23"/>
      <c r="AR734" s="22"/>
      <c r="AS734" s="22"/>
      <c r="AT734" s="23"/>
      <c r="AU734" s="22"/>
      <c r="AV734" s="22"/>
      <c r="AW734" s="23"/>
      <c r="AX734" s="198">
        <f t="shared" ref="AX734:AZ735" si="3168">AX698+AX704+AX716+AX722</f>
        <v>3.2577320619792225</v>
      </c>
      <c r="AY734" s="198">
        <f t="shared" si="3168"/>
        <v>3.2548001031234417</v>
      </c>
      <c r="AZ734" s="198">
        <f t="shared" si="3168"/>
        <v>3.2468808988026638</v>
      </c>
      <c r="BA734" s="198">
        <f t="shared" ref="BA734:DL734" si="3169">BA698+BA704+BA716+BA722</f>
        <v>3.2518707830306308</v>
      </c>
      <c r="BB734" s="198">
        <f t="shared" si="3169"/>
        <v>3.2489440993259033</v>
      </c>
      <c r="BC734" s="198">
        <f t="shared" si="3169"/>
        <v>3.2410391431583472</v>
      </c>
      <c r="BD734" s="198">
        <f t="shared" si="3169"/>
        <v>3.2460200496365093</v>
      </c>
      <c r="BE734" s="198">
        <f t="shared" si="3169"/>
        <v>3.2430986315918364</v>
      </c>
      <c r="BF734" s="198">
        <f t="shared" si="3169"/>
        <v>3.235207897942368</v>
      </c>
      <c r="BG734" s="198">
        <f t="shared" si="3169"/>
        <v>3.2401798428234039</v>
      </c>
      <c r="BH734" s="198">
        <f t="shared" si="3169"/>
        <v>3.2372636809648627</v>
      </c>
      <c r="BI734" s="198">
        <f t="shared" si="3169"/>
        <v>3.2293871442444693</v>
      </c>
      <c r="BJ734" s="198">
        <f t="shared" si="3169"/>
        <v>3.2343501436519944</v>
      </c>
      <c r="BK734" s="198">
        <f t="shared" si="3169"/>
        <v>3.2314392285227074</v>
      </c>
      <c r="BL734" s="198">
        <f t="shared" si="3169"/>
        <v>3.2235768631884154</v>
      </c>
      <c r="BM734" s="198">
        <f t="shared" si="3169"/>
        <v>3.2299850808698727</v>
      </c>
      <c r="BN734" s="198">
        <f t="shared" si="3169"/>
        <v>3.2285315875834812</v>
      </c>
      <c r="BO734" s="198">
        <f t="shared" si="3169"/>
        <v>3.2206798332581328</v>
      </c>
      <c r="BP734" s="198">
        <f t="shared" si="3169"/>
        <v>3.2270787483690682</v>
      </c>
      <c r="BQ734" s="198">
        <f t="shared" si="3169"/>
        <v>3.2256265629323022</v>
      </c>
      <c r="BR734" s="198">
        <f t="shared" si="3169"/>
        <v>3.2177818735958663</v>
      </c>
      <c r="BS734" s="198">
        <f t="shared" si="3169"/>
        <v>3.2241750309789827</v>
      </c>
      <c r="BT734" s="198">
        <f t="shared" si="3169"/>
        <v>3.2227241522150423</v>
      </c>
      <c r="BU734" s="198">
        <f t="shared" si="3169"/>
        <v>3.2148865215104596</v>
      </c>
      <c r="BV734" s="198">
        <f t="shared" si="3169"/>
        <v>3.2212739263465462</v>
      </c>
      <c r="BW734" s="198">
        <f t="shared" si="3169"/>
        <v>3.2198243530796899</v>
      </c>
      <c r="BX734" s="198">
        <f t="shared" si="3169"/>
        <v>3.2119937746556215</v>
      </c>
      <c r="BY734" s="198">
        <f t="shared" si="3169"/>
        <v>3.2183754321208049</v>
      </c>
      <c r="BZ734" s="198">
        <f t="shared" si="3169"/>
        <v>3.2169271631763499</v>
      </c>
      <c r="CA734" s="198">
        <f t="shared" si="3169"/>
        <v>3.2091036306871712</v>
      </c>
      <c r="CB734" s="198">
        <f t="shared" si="3169"/>
        <v>3.2154795459529213</v>
      </c>
      <c r="CC734" s="198">
        <f t="shared" si="3169"/>
        <v>3.2140325801572422</v>
      </c>
      <c r="CD734" s="198">
        <f t="shared" si="3169"/>
        <v>3.2062160872630385</v>
      </c>
      <c r="CE734" s="198">
        <f t="shared" si="3169"/>
        <v>3.2125862654961717</v>
      </c>
      <c r="CF734" s="198">
        <f t="shared" si="3169"/>
        <v>3.211140601676699</v>
      </c>
      <c r="CG734" s="198">
        <f t="shared" si="3169"/>
        <v>3.2033311420432593</v>
      </c>
      <c r="CH734" s="198">
        <f t="shared" si="3169"/>
        <v>3.2096955884059444</v>
      </c>
      <c r="CI734" s="198">
        <f t="shared" si="3169"/>
        <v>3.2082512253911615</v>
      </c>
      <c r="CJ734" s="198">
        <f t="shared" si="3169"/>
        <v>3.200448792689977</v>
      </c>
      <c r="CK734" s="198">
        <f t="shared" si="3169"/>
        <v>3.2068075123397359</v>
      </c>
      <c r="CL734" s="198">
        <f t="shared" si="3169"/>
        <v>3.205364448959183</v>
      </c>
      <c r="CM734" s="198">
        <f t="shared" si="3169"/>
        <v>3.1975690368674363</v>
      </c>
      <c r="CN734" s="198">
        <f t="shared" si="3169"/>
        <v>3.2039220349571518</v>
      </c>
      <c r="CO734" s="198">
        <f t="shared" si="3169"/>
        <v>3.2024802700414212</v>
      </c>
      <c r="CP734" s="198">
        <f t="shared" si="3169"/>
        <v>3.1946918722419859</v>
      </c>
      <c r="CQ734" s="198">
        <f t="shared" si="3169"/>
        <v>3.2010391539199023</v>
      </c>
      <c r="CR734" s="198">
        <f t="shared" si="3169"/>
        <v>3.1995986863006385</v>
      </c>
      <c r="CS734" s="198">
        <f t="shared" si="3169"/>
        <v>3.1918172964820739</v>
      </c>
      <c r="CT734" s="198">
        <f t="shared" si="3169"/>
        <v>3.1981588668918035</v>
      </c>
      <c r="CU734" s="198">
        <f t="shared" si="3169"/>
        <v>3.1967196954017019</v>
      </c>
      <c r="CV734" s="198">
        <f t="shared" si="3169"/>
        <v>3.1889453072582419</v>
      </c>
      <c r="CW734" s="198">
        <f t="shared" si="3169"/>
        <v>3.1952811715387717</v>
      </c>
      <c r="CX734" s="198">
        <f t="shared" si="3169"/>
        <v>3.1938432950115794</v>
      </c>
      <c r="CY734" s="198">
        <f t="shared" si="3169"/>
        <v>3.1860759022431342</v>
      </c>
      <c r="CZ734" s="198">
        <f t="shared" si="3169"/>
        <v>3.1924060655288242</v>
      </c>
      <c r="DA734" s="198">
        <f t="shared" si="3169"/>
        <v>3.190969482799336</v>
      </c>
      <c r="DB734" s="198">
        <f t="shared" si="3169"/>
        <v>3.183209079111486</v>
      </c>
      <c r="DC734" s="198">
        <f t="shared" si="3169"/>
        <v>3.1895335465320769</v>
      </c>
      <c r="DD734" s="198">
        <f t="shared" si="3169"/>
        <v>3.1880982564361373</v>
      </c>
      <c r="DE734" s="198">
        <f t="shared" si="3169"/>
        <v>3.180344835540124</v>
      </c>
      <c r="DF734" s="198">
        <f t="shared" si="3169"/>
        <v>3.1866636122207415</v>
      </c>
      <c r="DG734" s="198">
        <f t="shared" si="3169"/>
        <v>3.1852296135952418</v>
      </c>
      <c r="DH734" s="198">
        <f t="shared" si="3169"/>
        <v>3.1774831692079681</v>
      </c>
      <c r="DI734" s="198">
        <f t="shared" si="3169"/>
        <v>3.183796260269125</v>
      </c>
      <c r="DJ734" s="198">
        <f t="shared" si="3169"/>
        <v>3.1823635519520037</v>
      </c>
      <c r="DK734" s="198">
        <f t="shared" si="3169"/>
        <v>3.1746240777960235</v>
      </c>
      <c r="DL734" s="198">
        <f t="shared" si="3169"/>
        <v>3.1809314883536253</v>
      </c>
      <c r="DM734" s="198">
        <f t="shared" ref="DM734:ER734" si="3170">DM698+DM704+DM716+DM722</f>
        <v>3.1795000691838662</v>
      </c>
      <c r="DN734" s="198">
        <f t="shared" si="3170"/>
        <v>3.1717675589873826</v>
      </c>
      <c r="DO734" s="198">
        <f t="shared" si="3170"/>
        <v>3.178069294152734</v>
      </c>
      <c r="DP734" s="198">
        <f t="shared" si="3170"/>
        <v>3.1766391629703663</v>
      </c>
      <c r="DQ734" s="198">
        <f t="shared" si="3170"/>
        <v>3.1689136104672251</v>
      </c>
      <c r="DR734" s="198">
        <f t="shared" si="3170"/>
        <v>3.1752096753470296</v>
      </c>
      <c r="DS734" s="198">
        <f t="shared" si="3170"/>
        <v>3.173780830993123</v>
      </c>
      <c r="DT734" s="198">
        <f t="shared" si="3170"/>
        <v>3.1660622299228112</v>
      </c>
      <c r="DU734" s="198">
        <f t="shared" si="3170"/>
        <v>3.1723526296191764</v>
      </c>
      <c r="DV734" s="198">
        <f t="shared" si="3170"/>
        <v>3.1709250709358474</v>
      </c>
      <c r="DW734" s="198">
        <f t="shared" si="3170"/>
        <v>3.1632134150434821</v>
      </c>
      <c r="DX734" s="198">
        <f t="shared" si="3170"/>
        <v>3.1694981546539269</v>
      </c>
      <c r="DY734" s="198">
        <f t="shared" si="3170"/>
        <v>3.168071880484332</v>
      </c>
      <c r="DZ734" s="198">
        <f t="shared" si="3170"/>
        <v>3.16036716352066</v>
      </c>
      <c r="EA734" s="198">
        <f t="shared" si="3170"/>
        <v>3.1666462481381146</v>
      </c>
      <c r="EB734" s="198">
        <f t="shared" si="3170"/>
        <v>3.1652212573264529</v>
      </c>
      <c r="EC734" s="198">
        <f t="shared" si="3170"/>
        <v>3.1575234730478412</v>
      </c>
      <c r="ED734" s="198">
        <f t="shared" si="3170"/>
        <v>3.163796907760656</v>
      </c>
      <c r="EE734" s="198">
        <f t="shared" si="3170"/>
        <v>3.1623731991521633</v>
      </c>
      <c r="EF734" s="198">
        <f t="shared" si="3170"/>
        <v>3.1546823413206022</v>
      </c>
      <c r="EG734" s="198">
        <f t="shared" si="3170"/>
        <v>3.1609501312125454</v>
      </c>
      <c r="EH734" s="198">
        <f t="shared" si="3170"/>
        <v>3.1595277036534997</v>
      </c>
      <c r="EI734" s="198">
        <f t="shared" si="3170"/>
        <v>3.1518437660365883</v>
      </c>
      <c r="EJ734" s="198">
        <f t="shared" si="3170"/>
        <v>3.1581059161868552</v>
      </c>
      <c r="EK734" s="198">
        <f t="shared" si="3170"/>
        <v>3.1566847685245709</v>
      </c>
      <c r="EL734" s="198">
        <f t="shared" si="3170"/>
        <v>3.1490077448955178</v>
      </c>
      <c r="EM734" s="198">
        <f t="shared" si="3170"/>
        <v>3.1552642603787358</v>
      </c>
      <c r="EN734" s="198">
        <f t="shared" si="3170"/>
        <v>3.1538443914615657</v>
      </c>
      <c r="EO734" s="198">
        <f t="shared" si="3170"/>
        <v>3.1461742755991815</v>
      </c>
      <c r="EP734" s="198">
        <f t="shared" si="3170"/>
        <v>3.1524251614854082</v>
      </c>
      <c r="EQ734" s="198">
        <f t="shared" si="3170"/>
        <v>3.1510065701627408</v>
      </c>
      <c r="ER734" s="198">
        <f t="shared" si="3170"/>
        <v>3.143343355851433</v>
      </c>
      <c r="ES734" s="198">
        <f t="shared" ref="ES734:EX734" si="3171">ES698+ES704+ES716+ES722</f>
        <v>3.1495886172061671</v>
      </c>
      <c r="ET734" s="198">
        <f t="shared" si="3171"/>
        <v>3.1481713023284246</v>
      </c>
      <c r="EU734" s="198">
        <f t="shared" si="3171"/>
        <v>3.1405149833581971</v>
      </c>
      <c r="EV734" s="198">
        <f t="shared" si="3171"/>
        <v>3.146754625242377</v>
      </c>
      <c r="EW734" s="198">
        <f t="shared" si="3171"/>
        <v>3.1453385856610181</v>
      </c>
      <c r="EX734" s="198">
        <f t="shared" si="3171"/>
        <v>3.1376891558274584</v>
      </c>
      <c r="EY734" s="198">
        <f t="shared" ref="EY734:FA734" si="3172">EY698+EY704+EY716+EY722</f>
        <v>3.1439231832974706</v>
      </c>
      <c r="EZ734" s="198">
        <f t="shared" si="3172"/>
        <v>3.1425084178649874</v>
      </c>
      <c r="FA734" s="198">
        <f t="shared" si="3172"/>
        <v>3.1348658709692683</v>
      </c>
      <c r="FH734" s="35"/>
      <c r="FI734" s="35"/>
      <c r="FJ734" s="35"/>
      <c r="FK734" s="35"/>
      <c r="FL734" s="35"/>
      <c r="FM734" s="35"/>
      <c r="FN734" s="35"/>
      <c r="FO734" s="35"/>
      <c r="FP734" s="35"/>
      <c r="FQ734" s="35"/>
    </row>
    <row r="735" spans="1:173" s="321" customFormat="1" hidden="1" outlineLevel="1">
      <c r="A735" s="1174"/>
      <c r="B735" s="35"/>
      <c r="C735" s="186" t="s">
        <v>431</v>
      </c>
      <c r="D735" s="162" t="s">
        <v>985</v>
      </c>
      <c r="E735" s="22"/>
      <c r="F735" s="22"/>
      <c r="G735" s="23"/>
      <c r="H735" s="22"/>
      <c r="I735" s="22"/>
      <c r="J735" s="23"/>
      <c r="K735" s="22"/>
      <c r="L735" s="22"/>
      <c r="M735" s="23"/>
      <c r="N735" s="22"/>
      <c r="O735" s="22"/>
      <c r="P735" s="23"/>
      <c r="Q735" s="22"/>
      <c r="R735" s="22"/>
      <c r="S735" s="23"/>
      <c r="T735" s="22"/>
      <c r="U735" s="22"/>
      <c r="V735" s="23"/>
      <c r="W735" s="22"/>
      <c r="X735" s="22"/>
      <c r="Y735" s="23"/>
      <c r="Z735" s="22"/>
      <c r="AA735" s="22"/>
      <c r="AB735" s="23"/>
      <c r="AC735" s="22"/>
      <c r="AD735" s="22"/>
      <c r="AE735" s="23"/>
      <c r="AF735" s="22"/>
      <c r="AG735" s="22"/>
      <c r="AH735" s="23"/>
      <c r="AI735" s="22"/>
      <c r="AJ735" s="22"/>
      <c r="AK735" s="23"/>
      <c r="AL735" s="22"/>
      <c r="AM735" s="22"/>
      <c r="AN735" s="23"/>
      <c r="AO735" s="22"/>
      <c r="AP735" s="22"/>
      <c r="AQ735" s="23"/>
      <c r="AR735" s="22"/>
      <c r="AS735" s="22"/>
      <c r="AT735" s="23"/>
      <c r="AU735" s="22"/>
      <c r="AV735" s="22"/>
      <c r="AW735" s="23"/>
      <c r="AX735" s="198">
        <f t="shared" si="3168"/>
        <v>1.8971627317398001</v>
      </c>
      <c r="AY735" s="198">
        <f t="shared" si="3168"/>
        <v>1.9093045732229346</v>
      </c>
      <c r="AZ735" s="198">
        <f t="shared" si="3168"/>
        <v>1.8995315273627347</v>
      </c>
      <c r="BA735" s="198">
        <f t="shared" ref="BA735:DL735" si="3173">BA699+BA705+BA717+BA723</f>
        <v>1.9215241224915616</v>
      </c>
      <c r="BB735" s="198">
        <f t="shared" si="3173"/>
        <v>1.9338218768755073</v>
      </c>
      <c r="BC735" s="198">
        <f t="shared" si="3173"/>
        <v>1.9239233357243384</v>
      </c>
      <c r="BD735" s="198">
        <f t="shared" si="3173"/>
        <v>1.9461983368875106</v>
      </c>
      <c r="BE735" s="198">
        <f t="shared" si="3173"/>
        <v>1.9586540062435904</v>
      </c>
      <c r="BF735" s="198">
        <f t="shared" si="3173"/>
        <v>1.948628358321441</v>
      </c>
      <c r="BG735" s="198">
        <f t="shared" si="3173"/>
        <v>1.9711893918835495</v>
      </c>
      <c r="BH735" s="198">
        <f t="shared" si="3173"/>
        <v>1.9838050039916042</v>
      </c>
      <c r="BI735" s="198">
        <f t="shared" si="3173"/>
        <v>1.9736506171255122</v>
      </c>
      <c r="BJ735" s="198">
        <f t="shared" si="3173"/>
        <v>1.9965013560171503</v>
      </c>
      <c r="BK735" s="198">
        <f t="shared" si="3173"/>
        <v>2.0092789646956599</v>
      </c>
      <c r="BL735" s="198">
        <f t="shared" si="3173"/>
        <v>1.9989941857539959</v>
      </c>
      <c r="BM735" s="198">
        <f t="shared" si="3173"/>
        <v>2.0157086573826866</v>
      </c>
      <c r="BN735" s="198">
        <f t="shared" si="3173"/>
        <v>2.0221589250863112</v>
      </c>
      <c r="BO735" s="198">
        <f t="shared" si="3173"/>
        <v>2.0117752016345345</v>
      </c>
      <c r="BP735" s="198">
        <f t="shared" si="3173"/>
        <v>2.0286298336465873</v>
      </c>
      <c r="BQ735" s="198">
        <f t="shared" si="3173"/>
        <v>2.0351214491142571</v>
      </c>
      <c r="BR735" s="198">
        <f t="shared" si="3173"/>
        <v>2.0246711635030605</v>
      </c>
      <c r="BS735" s="198">
        <f t="shared" si="3173"/>
        <v>2.0416338377514225</v>
      </c>
      <c r="BT735" s="198">
        <f t="shared" si="3173"/>
        <v>2.0481670660322275</v>
      </c>
      <c r="BU735" s="198">
        <f t="shared" si="3173"/>
        <v>2.0376497915821949</v>
      </c>
      <c r="BV735" s="198">
        <f t="shared" si="3173"/>
        <v>2.0547212006435309</v>
      </c>
      <c r="BW735" s="198">
        <f t="shared" si="3173"/>
        <v>2.0612963084855909</v>
      </c>
      <c r="BX735" s="198">
        <f t="shared" si="3173"/>
        <v>2.0507116157821876</v>
      </c>
      <c r="BY735" s="198">
        <f t="shared" si="3173"/>
        <v>2.0678924566727446</v>
      </c>
      <c r="BZ735" s="198">
        <f t="shared" si="3173"/>
        <v>2.074509712534097</v>
      </c>
      <c r="CA735" s="198">
        <f t="shared" si="3173"/>
        <v>2.0638571694101393</v>
      </c>
      <c r="CB735" s="198">
        <f t="shared" si="3173"/>
        <v>2.081148143614207</v>
      </c>
      <c r="CC735" s="198">
        <f t="shared" si="3173"/>
        <v>2.0878078176737724</v>
      </c>
      <c r="CD735" s="198">
        <f t="shared" si="3173"/>
        <v>2.0770869891917791</v>
      </c>
      <c r="CE735" s="198">
        <f t="shared" si="3173"/>
        <v>2.0944888026903286</v>
      </c>
      <c r="CF735" s="198">
        <f t="shared" si="3173"/>
        <v>2.1011911668589383</v>
      </c>
      <c r="CG735" s="198">
        <f t="shared" si="3173"/>
        <v>2.0904016152933762</v>
      </c>
      <c r="CH735" s="198">
        <f t="shared" si="3173"/>
        <v>2.1079149785928872</v>
      </c>
      <c r="CI735" s="198">
        <f t="shared" si="3173"/>
        <v>2.1146603065243843</v>
      </c>
      <c r="CJ735" s="198">
        <f t="shared" si="3173"/>
        <v>2.1038015913437951</v>
      </c>
      <c r="CK735" s="198">
        <f t="shared" si="3173"/>
        <v>2.1214272195052626</v>
      </c>
      <c r="CL735" s="198">
        <f t="shared" si="3173"/>
        <v>2.128215786607679</v>
      </c>
      <c r="CM735" s="198">
        <f t="shared" si="3173"/>
        <v>2.117287464456691</v>
      </c>
      <c r="CN735" s="198">
        <f t="shared" si="3173"/>
        <v>2.1350260771248246</v>
      </c>
      <c r="CO735" s="198">
        <f t="shared" si="3173"/>
        <v>2.1418581605716236</v>
      </c>
      <c r="CP735" s="198">
        <f t="shared" si="3173"/>
        <v>2.1308597852528504</v>
      </c>
      <c r="CQ735" s="198">
        <f t="shared" si="3173"/>
        <v>2.1487121066854535</v>
      </c>
      <c r="CR735" s="198">
        <f t="shared" si="3173"/>
        <v>2.1555879854268474</v>
      </c>
      <c r="CS735" s="198">
        <f t="shared" si="3173"/>
        <v>2.1445191078826702</v>
      </c>
      <c r="CT735" s="198">
        <f t="shared" si="3173"/>
        <v>2.1624858669802127</v>
      </c>
      <c r="CU735" s="198">
        <f t="shared" si="3173"/>
        <v>2.1694058217545495</v>
      </c>
      <c r="CV735" s="198">
        <f t="shared" si="3173"/>
        <v>2.1582659900487839</v>
      </c>
      <c r="CW735" s="198">
        <f t="shared" si="3173"/>
        <v>2.1763479203841647</v>
      </c>
      <c r="CX735" s="198">
        <f t="shared" si="3173"/>
        <v>2.183312233729394</v>
      </c>
      <c r="CY735" s="198">
        <f t="shared" si="3173"/>
        <v>2.1721009930288346</v>
      </c>
      <c r="CZ735" s="198">
        <f t="shared" si="3173"/>
        <v>2.1902988328773287</v>
      </c>
      <c r="DA735" s="198">
        <f t="shared" si="3173"/>
        <v>2.1973077891425361</v>
      </c>
      <c r="DB735" s="198">
        <f t="shared" si="3173"/>
        <v>2.186024681698389</v>
      </c>
      <c r="DC735" s="198">
        <f t="shared" si="3173"/>
        <v>2.2043391740677922</v>
      </c>
      <c r="DD735" s="198">
        <f t="shared" si="3173"/>
        <v>2.2113930594248097</v>
      </c>
      <c r="DE735" s="198">
        <f t="shared" si="3173"/>
        <v>2.2000376245539992</v>
      </c>
      <c r="DF735" s="198">
        <f t="shared" si="3173"/>
        <v>2.2184695172149689</v>
      </c>
      <c r="DG735" s="198">
        <f t="shared" si="3173"/>
        <v>2.225568619670057</v>
      </c>
      <c r="DH735" s="198">
        <f t="shared" si="3173"/>
        <v>2.2141403937364199</v>
      </c>
      <c r="DI735" s="198">
        <f t="shared" si="3173"/>
        <v>2.2326904392530014</v>
      </c>
      <c r="DJ735" s="198">
        <f t="shared" si="3173"/>
        <v>2.2398350486586107</v>
      </c>
      <c r="DK735" s="198">
        <f t="shared" si="3173"/>
        <v>2.2283335650539651</v>
      </c>
      <c r="DL735" s="198">
        <f t="shared" si="3173"/>
        <v>2.2470025208143181</v>
      </c>
      <c r="DM735" s="198">
        <f t="shared" ref="DM735:ER735" si="3174">DM699+DM705+DM717+DM723</f>
        <v>2.2541929288809248</v>
      </c>
      <c r="DN735" s="198">
        <f t="shared" si="3174"/>
        <v>2.2426177180060169</v>
      </c>
      <c r="DO735" s="198">
        <f t="shared" si="3174"/>
        <v>2.2614063462533434</v>
      </c>
      <c r="DP735" s="198">
        <f t="shared" si="3174"/>
        <v>2.2686428465613542</v>
      </c>
      <c r="DQ735" s="198">
        <f t="shared" si="3174"/>
        <v>2.2569934358066885</v>
      </c>
      <c r="DR735" s="198">
        <f t="shared" si="3174"/>
        <v>2.2759025036703506</v>
      </c>
      <c r="DS735" s="198">
        <f t="shared" si="3174"/>
        <v>2.2831853916820961</v>
      </c>
      <c r="DT735" s="198">
        <f t="shared" si="3174"/>
        <v>2.2714613054086343</v>
      </c>
      <c r="DU735" s="198">
        <f t="shared" si="3174"/>
        <v>2.2904915849354786</v>
      </c>
      <c r="DV735" s="198">
        <f t="shared" si="3174"/>
        <v>2.2978211580072725</v>
      </c>
      <c r="DW735" s="198">
        <f t="shared" si="3174"/>
        <v>2.2860219175270173</v>
      </c>
      <c r="DX735" s="198">
        <f t="shared" si="3174"/>
        <v>2.3051741857128958</v>
      </c>
      <c r="DY735" s="198">
        <f t="shared" si="3174"/>
        <v>2.3125507431071775</v>
      </c>
      <c r="DZ735" s="198">
        <f t="shared" si="3174"/>
        <v>2.3006758666636253</v>
      </c>
      <c r="EA735" s="198">
        <f t="shared" si="3174"/>
        <v>2.3199509054851206</v>
      </c>
      <c r="EB735" s="198">
        <f t="shared" si="3174"/>
        <v>2.3273747483826734</v>
      </c>
      <c r="EC735" s="198">
        <f t="shared" si="3174"/>
        <v>2.3154237511311484</v>
      </c>
      <c r="ED735" s="198">
        <f t="shared" si="3174"/>
        <v>2.3348223475774983</v>
      </c>
      <c r="EE735" s="198">
        <f t="shared" si="3174"/>
        <v>2.3422937790897462</v>
      </c>
      <c r="EF735" s="198">
        <f t="shared" si="3174"/>
        <v>2.3302661730775993</v>
      </c>
      <c r="EG735" s="198">
        <f t="shared" si="3174"/>
        <v>2.3497891191828337</v>
      </c>
      <c r="EH735" s="198">
        <f t="shared" si="3174"/>
        <v>2.3573084443642189</v>
      </c>
      <c r="EI735" s="198">
        <f t="shared" si="3174"/>
        <v>2.345203738510909</v>
      </c>
      <c r="EJ735" s="198">
        <f t="shared" si="3174"/>
        <v>2.3648518313861846</v>
      </c>
      <c r="EK735" s="198">
        <f t="shared" si="3174"/>
        <v>2.3724193572466206</v>
      </c>
      <c r="EL735" s="198">
        <f t="shared" si="3174"/>
        <v>2.3602370573236615</v>
      </c>
      <c r="EM735" s="198">
        <f t="shared" si="3174"/>
        <v>2.3800110991898098</v>
      </c>
      <c r="EN735" s="198">
        <f t="shared" si="3174"/>
        <v>2.387627134707218</v>
      </c>
      <c r="EO735" s="198">
        <f t="shared" si="3174"/>
        <v>2.3753667433180006</v>
      </c>
      <c r="EP735" s="198">
        <f t="shared" si="3174"/>
        <v>2.3952675415382814</v>
      </c>
      <c r="EQ735" s="198">
        <f t="shared" si="3174"/>
        <v>2.4029323976712038</v>
      </c>
      <c r="ER735" s="198">
        <f t="shared" si="3174"/>
        <v>2.3905934142306871</v>
      </c>
      <c r="ES735" s="198">
        <f t="shared" ref="ES735:EX735" si="3175">ES699+ES705+ES717+ES723</f>
        <v>2.4106217813437514</v>
      </c>
      <c r="ET735" s="198">
        <f t="shared" si="3175"/>
        <v>2.4183357710440521</v>
      </c>
      <c r="EU735" s="198">
        <f t="shared" si="3175"/>
        <v>2.4059176917583258</v>
      </c>
      <c r="EV735" s="198">
        <f t="shared" si="3175"/>
        <v>2.4260744455113934</v>
      </c>
      <c r="EW735" s="198">
        <f t="shared" si="3175"/>
        <v>2.4338378837370294</v>
      </c>
      <c r="EX735" s="198">
        <f t="shared" si="3175"/>
        <v>2.4213402015827428</v>
      </c>
      <c r="EY735" s="198">
        <f t="shared" ref="EY735:FA735" si="3176">EY699+EY705+EY717+EY723</f>
        <v>2.4416261649649882</v>
      </c>
      <c r="EZ735" s="198">
        <f t="shared" si="3176"/>
        <v>2.4494393686928766</v>
      </c>
      <c r="FA735" s="198">
        <f t="shared" si="3176"/>
        <v>2.4368615733965369</v>
      </c>
      <c r="FH735" s="35"/>
      <c r="FI735" s="35"/>
      <c r="FJ735" s="35"/>
      <c r="FK735" s="35"/>
      <c r="FL735" s="35"/>
      <c r="FM735" s="35"/>
      <c r="FN735" s="35"/>
      <c r="FO735" s="35"/>
      <c r="FP735" s="35"/>
      <c r="FQ735" s="35"/>
    </row>
    <row r="736" spans="1:173" s="321" customFormat="1" hidden="1" outlineLevel="1">
      <c r="A736" s="1174"/>
      <c r="B736" s="35"/>
      <c r="C736" s="186" t="s">
        <v>327</v>
      </c>
      <c r="D736" s="162" t="s">
        <v>985</v>
      </c>
      <c r="E736" s="22"/>
      <c r="F736" s="22"/>
      <c r="G736" s="23"/>
      <c r="H736" s="22"/>
      <c r="I736" s="22"/>
      <c r="J736" s="23"/>
      <c r="K736" s="22"/>
      <c r="L736" s="22"/>
      <c r="M736" s="23"/>
      <c r="N736" s="22"/>
      <c r="O736" s="22"/>
      <c r="P736" s="23"/>
      <c r="Q736" s="22"/>
      <c r="R736" s="22"/>
      <c r="S736" s="23"/>
      <c r="T736" s="22"/>
      <c r="U736" s="22"/>
      <c r="V736" s="23"/>
      <c r="W736" s="22"/>
      <c r="X736" s="22"/>
      <c r="Y736" s="23"/>
      <c r="Z736" s="22"/>
      <c r="AA736" s="22"/>
      <c r="AB736" s="23"/>
      <c r="AC736" s="22"/>
      <c r="AD736" s="22"/>
      <c r="AE736" s="23"/>
      <c r="AF736" s="22"/>
      <c r="AG736" s="22"/>
      <c r="AH736" s="23"/>
      <c r="AI736" s="22"/>
      <c r="AJ736" s="22"/>
      <c r="AK736" s="23"/>
      <c r="AL736" s="22"/>
      <c r="AM736" s="22"/>
      <c r="AN736" s="23"/>
      <c r="AO736" s="22"/>
      <c r="AP736" s="22"/>
      <c r="AQ736" s="23"/>
      <c r="AR736" s="22"/>
      <c r="AS736" s="22"/>
      <c r="AT736" s="23"/>
      <c r="AU736" s="22"/>
      <c r="AV736" s="22"/>
      <c r="AW736" s="23"/>
      <c r="AX736" s="198">
        <f t="shared" ref="AX736:CC736" si="3177">SUM(AX733:AX735)</f>
        <v>6.6769677522044288</v>
      </c>
      <c r="AY736" s="198">
        <f t="shared" si="3177"/>
        <v>6.6906677500593146</v>
      </c>
      <c r="AZ736" s="198">
        <f t="shared" si="3177"/>
        <v>6.667591213088742</v>
      </c>
      <c r="BA736" s="198">
        <f t="shared" si="3177"/>
        <v>6.7044613403025828</v>
      </c>
      <c r="BB736" s="198">
        <f t="shared" si="3177"/>
        <v>6.7183490569644038</v>
      </c>
      <c r="BC736" s="198">
        <f t="shared" si="3177"/>
        <v>6.6951294587072701</v>
      </c>
      <c r="BD736" s="198">
        <f t="shared" si="3177"/>
        <v>6.7323314373752643</v>
      </c>
      <c r="BE736" s="198">
        <f t="shared" si="3177"/>
        <v>6.7464090221866817</v>
      </c>
      <c r="BF736" s="198">
        <f t="shared" si="3177"/>
        <v>6.7230445375475005</v>
      </c>
      <c r="BG736" s="198">
        <f t="shared" si="3177"/>
        <v>6.760582355392045</v>
      </c>
      <c r="BH736" s="198">
        <f t="shared" si="3177"/>
        <v>6.7748519843475794</v>
      </c>
      <c r="BI736" s="198">
        <f t="shared" si="3177"/>
        <v>6.751340766473314</v>
      </c>
      <c r="BJ736" s="198">
        <f t="shared" si="3177"/>
        <v>6.7892184597934611</v>
      </c>
      <c r="BK736" s="198">
        <f t="shared" si="3177"/>
        <v>6.8036823358750507</v>
      </c>
      <c r="BL736" s="198">
        <f t="shared" si="3177"/>
        <v>6.7800225158827567</v>
      </c>
      <c r="BM736" s="198">
        <f t="shared" si="3177"/>
        <v>6.8109632530196613</v>
      </c>
      <c r="BN736" s="198">
        <f t="shared" si="3177"/>
        <v>6.8182687999711753</v>
      </c>
      <c r="BO736" s="198">
        <f t="shared" si="3177"/>
        <v>6.7944962289006376</v>
      </c>
      <c r="BP736" s="198">
        <f t="shared" si="3177"/>
        <v>6.8255990472908081</v>
      </c>
      <c r="BQ736" s="198">
        <f t="shared" si="3177"/>
        <v>6.8329540657579919</v>
      </c>
      <c r="BR736" s="198">
        <f t="shared" si="3177"/>
        <v>6.8091056510450922</v>
      </c>
      <c r="BS736" s="198">
        <f t="shared" si="3177"/>
        <v>6.8403339263710627</v>
      </c>
      <c r="BT736" s="198">
        <f t="shared" si="3177"/>
        <v>6.8477387003479464</v>
      </c>
      <c r="BU736" s="198">
        <f t="shared" si="3177"/>
        <v>6.8238139606985548</v>
      </c>
      <c r="BV736" s="198">
        <f t="shared" si="3177"/>
        <v>6.8551684591268529</v>
      </c>
      <c r="BW736" s="198">
        <f t="shared" si="3177"/>
        <v>6.8626232743669568</v>
      </c>
      <c r="BX736" s="198">
        <f t="shared" si="3177"/>
        <v>6.8386217256150781</v>
      </c>
      <c r="BY736" s="198">
        <f t="shared" si="3177"/>
        <v>6.8701032179491088</v>
      </c>
      <c r="BZ736" s="198">
        <f t="shared" si="3177"/>
        <v>6.8776083619765096</v>
      </c>
      <c r="CA736" s="198">
        <f t="shared" si="3177"/>
        <v>6.8535295170663293</v>
      </c>
      <c r="CB736" s="198">
        <f t="shared" si="3177"/>
        <v>6.8851387787754348</v>
      </c>
      <c r="CC736" s="198">
        <f t="shared" si="3177"/>
        <v>6.8926945408959028</v>
      </c>
      <c r="CD736" s="198">
        <f t="shared" ref="CD736:DI736" si="3178">SUM(CD733:CD735)</f>
        <v>6.8685379098637096</v>
      </c>
      <c r="CE736" s="198">
        <f t="shared" si="3178"/>
        <v>6.9002757211124086</v>
      </c>
      <c r="CF736" s="198">
        <f t="shared" si="3178"/>
        <v>6.9078823924246118</v>
      </c>
      <c r="CG736" s="198">
        <f t="shared" si="3178"/>
        <v>6.8836474823806171</v>
      </c>
      <c r="CH736" s="198">
        <f t="shared" si="3178"/>
        <v>6.9155146280580411</v>
      </c>
      <c r="CI736" s="198">
        <f t="shared" si="3178"/>
        <v>6.9231725014648182</v>
      </c>
      <c r="CJ736" s="198">
        <f t="shared" si="3178"/>
        <v>6.8988588165748563</v>
      </c>
      <c r="CK736" s="198">
        <f t="shared" si="3178"/>
        <v>6.930856086324356</v>
      </c>
      <c r="CL736" s="198">
        <f t="shared" si="3178"/>
        <v>6.938565456544076</v>
      </c>
      <c r="CM736" s="198">
        <f t="shared" si="3178"/>
        <v>6.9141724980111787</v>
      </c>
      <c r="CN736" s="198">
        <f t="shared" si="3178"/>
        <v>6.9463006862601313</v>
      </c>
      <c r="CO736" s="198">
        <f t="shared" si="3178"/>
        <v>6.954061849838113</v>
      </c>
      <c r="CP736" s="198">
        <f t="shared" si="3178"/>
        <v>6.9295891158839797</v>
      </c>
      <c r="CQ736" s="198">
        <f t="shared" si="3178"/>
        <v>6.9618490218737801</v>
      </c>
      <c r="CR736" s="198">
        <f t="shared" si="3178"/>
        <v>6.9696622771937813</v>
      </c>
      <c r="CS736" s="198">
        <f t="shared" si="3178"/>
        <v>6.9451092630401305</v>
      </c>
      <c r="CT736" s="198">
        <f t="shared" si="3178"/>
        <v>6.9775016908563749</v>
      </c>
      <c r="CU736" s="198">
        <f t="shared" si="3178"/>
        <v>6.9853673381521606</v>
      </c>
      <c r="CV736" s="198">
        <f t="shared" si="3178"/>
        <v>6.9607335360019551</v>
      </c>
      <c r="CW736" s="198">
        <f t="shared" si="3178"/>
        <v>6.9932592946048153</v>
      </c>
      <c r="CX736" s="198">
        <f t="shared" si="3178"/>
        <v>7.0011776359718079</v>
      </c>
      <c r="CY736" s="198">
        <f t="shared" si="3178"/>
        <v>6.9764625349903682</v>
      </c>
      <c r="CZ736" s="198">
        <f t="shared" si="3178"/>
        <v>7.0091224382451518</v>
      </c>
      <c r="DA736" s="198">
        <f t="shared" si="3178"/>
        <v>7.0170937776521338</v>
      </c>
      <c r="DB736" s="198">
        <f t="shared" si="3178"/>
        <v>6.9922968639481384</v>
      </c>
      <c r="DC736" s="198">
        <f t="shared" si="3178"/>
        <v>7.0250917306560536</v>
      </c>
      <c r="DD736" s="198">
        <f t="shared" si="3178"/>
        <v>7.0331163739569647</v>
      </c>
      <c r="DE736" s="198">
        <f t="shared" si="3178"/>
        <v>7.0082371305633071</v>
      </c>
      <c r="DF736" s="198">
        <f t="shared" si="3178"/>
        <v>7.0411677844924192</v>
      </c>
      <c r="DG736" s="198">
        <f t="shared" si="3178"/>
        <v>7.0492460394382164</v>
      </c>
      <c r="DH736" s="198">
        <f t="shared" si="3178"/>
        <v>7.0242839462927735</v>
      </c>
      <c r="DI736" s="198">
        <f t="shared" si="3178"/>
        <v>7.057351216209149</v>
      </c>
      <c r="DJ736" s="198">
        <f t="shared" ref="DJ736:EO736" si="3179">SUM(DJ733:DJ735)</f>
        <v>7.0654833924597495</v>
      </c>
      <c r="DK736" s="198">
        <f t="shared" si="3179"/>
        <v>7.040437926385998</v>
      </c>
      <c r="DL736" s="198">
        <f t="shared" si="3179"/>
        <v>7.0736426460850552</v>
      </c>
      <c r="DM736" s="198">
        <f t="shared" si="3179"/>
        <v>7.0818290552213554</v>
      </c>
      <c r="DN736" s="198">
        <f t="shared" si="3179"/>
        <v>7.0566996899088821</v>
      </c>
      <c r="DO736" s="198">
        <f t="shared" si="3179"/>
        <v>7.0900426982469487</v>
      </c>
      <c r="DP736" s="198">
        <f t="shared" si="3179"/>
        <v>7.0982836537829064</v>
      </c>
      <c r="DQ736" s="198">
        <f t="shared" si="3179"/>
        <v>7.0730698597677915</v>
      </c>
      <c r="DR736" s="198">
        <f t="shared" si="3179"/>
        <v>7.1065520006938367</v>
      </c>
      <c r="DS736" s="198">
        <f t="shared" si="3179"/>
        <v>7.1148478180886476</v>
      </c>
      <c r="DT736" s="198">
        <f t="shared" si="3179"/>
        <v>7.0895490627337256</v>
      </c>
      <c r="DU736" s="198">
        <f t="shared" si="3179"/>
        <v>7.1231711853213184</v>
      </c>
      <c r="DV736" s="198">
        <f t="shared" si="3179"/>
        <v>7.131522181991663</v>
      </c>
      <c r="DW736" s="198">
        <f t="shared" si="3179"/>
        <v>7.1061379294666533</v>
      </c>
      <c r="DX736" s="198">
        <f t="shared" si="3179"/>
        <v>7.139900887946113</v>
      </c>
      <c r="DY736" s="198">
        <f t="shared" si="3179"/>
        <v>7.1483073832784791</v>
      </c>
      <c r="DZ736" s="198">
        <f t="shared" si="3179"/>
        <v>7.122837094539995</v>
      </c>
      <c r="EA736" s="198">
        <f t="shared" si="3179"/>
        <v>7.1567417483307434</v>
      </c>
      <c r="EB736" s="198">
        <f t="shared" si="3179"/>
        <v>7.1652040636938281</v>
      </c>
      <c r="EC736" s="198">
        <f t="shared" si="3179"/>
        <v>7.1396471964652601</v>
      </c>
      <c r="ED736" s="198">
        <f t="shared" si="3179"/>
        <v>7.1736944102083822</v>
      </c>
      <c r="EE736" s="198">
        <f t="shared" si="3179"/>
        <v>7.1822128689655713</v>
      </c>
      <c r="EF736" s="198">
        <f t="shared" si="3179"/>
        <v>7.1565688777168432</v>
      </c>
      <c r="EG736" s="198">
        <f t="shared" si="3179"/>
        <v>7.1907595213078581</v>
      </c>
      <c r="EH736" s="198">
        <f t="shared" si="3179"/>
        <v>7.1993344488297932</v>
      </c>
      <c r="EI736" s="198">
        <f t="shared" si="3179"/>
        <v>7.1736027847569819</v>
      </c>
      <c r="EJ736" s="198">
        <f t="shared" si="3179"/>
        <v>7.2079377333788122</v>
      </c>
      <c r="EK736" s="198">
        <f t="shared" si="3179"/>
        <v>7.2165694570560266</v>
      </c>
      <c r="EL736" s="198">
        <f t="shared" si="3179"/>
        <v>7.1907495680608626</v>
      </c>
      <c r="EM736" s="198">
        <f t="shared" si="3179"/>
        <v>7.2252297022170264</v>
      </c>
      <c r="EN736" s="198">
        <f t="shared" si="3179"/>
        <v>7.2339185514726703</v>
      </c>
      <c r="EO736" s="198">
        <f t="shared" si="3179"/>
        <v>7.2080098821419032</v>
      </c>
      <c r="EP736" s="198">
        <f t="shared" ref="EP736:ER736" si="3180">SUM(EP733:EP735)</f>
        <v>7.242636087689899</v>
      </c>
      <c r="EQ736" s="198">
        <f t="shared" si="3180"/>
        <v>7.2513823939925377</v>
      </c>
      <c r="ER736" s="198">
        <f t="shared" si="3180"/>
        <v>7.2253843855771747</v>
      </c>
      <c r="ES736" s="198">
        <f t="shared" ref="ES736:EX736" si="3181">SUM(ES733:ES735)</f>
        <v>7.2601575537620944</v>
      </c>
      <c r="ET736" s="198">
        <f t="shared" si="3181"/>
        <v>7.268961650638591</v>
      </c>
      <c r="EU736" s="198">
        <f t="shared" si="3181"/>
        <v>7.2428737410330069</v>
      </c>
      <c r="EV736" s="198">
        <f t="shared" si="3181"/>
        <v>7.2777947685213515</v>
      </c>
      <c r="EW736" s="198">
        <f t="shared" si="3181"/>
        <v>7.2866569915698349</v>
      </c>
      <c r="EX736" s="198">
        <f t="shared" si="3181"/>
        <v>7.2604786152907312</v>
      </c>
      <c r="EY736" s="198">
        <f t="shared" ref="EY736:FA736" si="3182">SUM(EY733:EY735)</f>
        <v>7.2955484042044496</v>
      </c>
      <c r="EZ736" s="198">
        <f t="shared" si="3182"/>
        <v>7.3044690911073697</v>
      </c>
      <c r="FA736" s="198">
        <f t="shared" si="3182"/>
        <v>7.2781996792726256</v>
      </c>
      <c r="FH736" s="35"/>
      <c r="FI736" s="35"/>
      <c r="FJ736" s="35"/>
      <c r="FK736" s="35"/>
      <c r="FL736" s="35"/>
      <c r="FM736" s="35"/>
      <c r="FN736" s="35"/>
      <c r="FO736" s="35"/>
      <c r="FP736" s="35"/>
      <c r="FQ736" s="35"/>
    </row>
    <row r="737" spans="1:173" s="321" customFormat="1" hidden="1" outlineLevel="1">
      <c r="A737" s="1174"/>
      <c r="B737" s="35"/>
      <c r="C737" s="35"/>
      <c r="D737" s="162"/>
      <c r="E737" s="22"/>
      <c r="F737" s="22"/>
      <c r="G737" s="23"/>
      <c r="H737" s="22"/>
      <c r="I737" s="22"/>
      <c r="J737" s="23"/>
      <c r="K737" s="22"/>
      <c r="L737" s="22"/>
      <c r="M737" s="23"/>
      <c r="N737" s="22"/>
      <c r="O737" s="22"/>
      <c r="P737" s="23"/>
      <c r="Q737" s="22"/>
      <c r="R737" s="22"/>
      <c r="S737" s="23"/>
      <c r="T737" s="22"/>
      <c r="U737" s="22"/>
      <c r="V737" s="23"/>
      <c r="W737" s="22"/>
      <c r="X737" s="22"/>
      <c r="Y737" s="23"/>
      <c r="Z737" s="22"/>
      <c r="AA737" s="22"/>
      <c r="AB737" s="23"/>
      <c r="AC737" s="22"/>
      <c r="AD737" s="22"/>
      <c r="AE737" s="23"/>
      <c r="AF737" s="22"/>
      <c r="AG737" s="22"/>
      <c r="AH737" s="23"/>
      <c r="AI737" s="22"/>
      <c r="AJ737" s="22"/>
      <c r="AK737" s="23"/>
      <c r="AL737" s="22"/>
      <c r="AM737" s="22"/>
      <c r="AN737" s="23"/>
      <c r="AO737" s="22"/>
      <c r="AP737" s="22"/>
      <c r="AQ737" s="23"/>
      <c r="AR737" s="22"/>
      <c r="AS737" s="22"/>
      <c r="AT737" s="23"/>
      <c r="AU737" s="22"/>
      <c r="AV737" s="22"/>
      <c r="AW737" s="23"/>
      <c r="AX737" s="198"/>
      <c r="AY737" s="198"/>
      <c r="AZ737" s="74"/>
      <c r="BA737" s="198"/>
      <c r="BB737" s="198"/>
      <c r="BC737" s="74"/>
      <c r="BD737" s="198"/>
      <c r="BE737" s="198"/>
      <c r="BF737" s="74"/>
      <c r="BG737" s="198"/>
      <c r="BH737" s="198"/>
      <c r="BI737" s="74"/>
      <c r="BJ737" s="198"/>
      <c r="BK737" s="198"/>
      <c r="BL737" s="74"/>
      <c r="BM737" s="198"/>
      <c r="BN737" s="198"/>
      <c r="BO737" s="74"/>
      <c r="BP737" s="198"/>
      <c r="BQ737" s="198"/>
      <c r="BR737" s="74"/>
      <c r="BS737" s="198"/>
      <c r="BT737" s="198"/>
      <c r="BU737" s="74"/>
      <c r="BV737" s="198"/>
      <c r="BW737" s="198"/>
      <c r="BX737" s="74"/>
      <c r="BY737" s="198"/>
      <c r="BZ737" s="198"/>
      <c r="CA737" s="74"/>
      <c r="CB737" s="198"/>
      <c r="CC737" s="198"/>
      <c r="CD737" s="74"/>
      <c r="CE737" s="198"/>
      <c r="CF737" s="198"/>
      <c r="CG737" s="74"/>
      <c r="CH737" s="198"/>
      <c r="CI737" s="198"/>
      <c r="CJ737" s="74"/>
      <c r="CK737" s="198"/>
      <c r="CL737" s="198"/>
      <c r="CM737" s="74"/>
      <c r="CN737" s="198"/>
      <c r="CO737" s="198"/>
      <c r="CP737" s="74"/>
      <c r="CQ737" s="198"/>
      <c r="CR737" s="198"/>
      <c r="CS737" s="74"/>
      <c r="CT737" s="198"/>
      <c r="CU737" s="198"/>
      <c r="CV737" s="74"/>
      <c r="CW737" s="198"/>
      <c r="CX737" s="198"/>
      <c r="CY737" s="74"/>
      <c r="CZ737" s="198"/>
      <c r="DA737" s="198"/>
      <c r="DB737" s="74"/>
      <c r="DC737" s="198"/>
      <c r="DD737" s="198"/>
      <c r="DE737" s="74"/>
      <c r="DF737" s="198"/>
      <c r="DG737" s="198"/>
      <c r="DH737" s="74"/>
      <c r="DI737" s="198"/>
      <c r="DJ737" s="198"/>
      <c r="DK737" s="74"/>
      <c r="DL737" s="198"/>
      <c r="DM737" s="198"/>
      <c r="DN737" s="74"/>
      <c r="DO737" s="198"/>
      <c r="DP737" s="198"/>
      <c r="DQ737" s="74"/>
      <c r="DR737" s="198"/>
      <c r="DS737" s="198"/>
      <c r="DT737" s="74"/>
      <c r="DU737" s="198"/>
      <c r="DV737" s="198"/>
      <c r="DW737" s="74"/>
      <c r="DX737" s="198"/>
      <c r="DY737" s="198"/>
      <c r="DZ737" s="74"/>
      <c r="EA737" s="198"/>
      <c r="EB737" s="198"/>
      <c r="EC737" s="74"/>
      <c r="ED737" s="198"/>
      <c r="EE737" s="198"/>
      <c r="EF737" s="74"/>
      <c r="EG737" s="198"/>
      <c r="EH737" s="198"/>
      <c r="EI737" s="74"/>
      <c r="EJ737" s="198"/>
      <c r="EK737" s="198"/>
      <c r="EL737" s="74"/>
      <c r="EM737" s="198"/>
      <c r="EN737" s="198"/>
      <c r="EO737" s="74"/>
      <c r="EP737" s="198"/>
      <c r="EQ737" s="198"/>
      <c r="ER737" s="74"/>
      <c r="ES737" s="198"/>
      <c r="ET737" s="198"/>
      <c r="EU737" s="74"/>
      <c r="EV737" s="198"/>
      <c r="EW737" s="198"/>
      <c r="EX737" s="74"/>
      <c r="EY737" s="198"/>
      <c r="EZ737" s="198"/>
      <c r="FA737" s="74"/>
      <c r="FH737" s="35"/>
      <c r="FI737" s="35"/>
      <c r="FJ737" s="35"/>
      <c r="FK737" s="35"/>
      <c r="FL737" s="35"/>
      <c r="FM737" s="35"/>
      <c r="FN737" s="35"/>
      <c r="FO737" s="35"/>
      <c r="FP737" s="35"/>
      <c r="FQ737" s="35"/>
    </row>
    <row r="738" spans="1:173" s="321" customFormat="1" hidden="1" outlineLevel="1">
      <c r="A738" s="1174"/>
      <c r="B738" s="35" t="s">
        <v>995</v>
      </c>
      <c r="C738" s="35"/>
      <c r="D738" s="162"/>
      <c r="E738" s="22"/>
      <c r="F738" s="22"/>
      <c r="G738" s="23"/>
      <c r="H738" s="22"/>
      <c r="I738" s="22"/>
      <c r="J738" s="23"/>
      <c r="K738" s="22"/>
      <c r="L738" s="22"/>
      <c r="M738" s="23"/>
      <c r="N738" s="22"/>
      <c r="O738" s="22"/>
      <c r="P738" s="23"/>
      <c r="Q738" s="22"/>
      <c r="R738" s="22"/>
      <c r="S738" s="23"/>
      <c r="T738" s="22"/>
      <c r="U738" s="22"/>
      <c r="V738" s="23"/>
      <c r="W738" s="22"/>
      <c r="X738" s="22"/>
      <c r="Y738" s="23"/>
      <c r="Z738" s="22"/>
      <c r="AA738" s="22"/>
      <c r="AB738" s="23"/>
      <c r="AC738" s="22"/>
      <c r="AD738" s="22"/>
      <c r="AE738" s="23"/>
      <c r="AF738" s="22"/>
      <c r="AG738" s="22"/>
      <c r="AH738" s="23"/>
      <c r="AI738" s="22"/>
      <c r="AJ738" s="22"/>
      <c r="AK738" s="23"/>
      <c r="AL738" s="22"/>
      <c r="AM738" s="22"/>
      <c r="AN738" s="23"/>
      <c r="AO738" s="22"/>
      <c r="AP738" s="22"/>
      <c r="AQ738" s="23"/>
      <c r="AR738" s="22"/>
      <c r="AS738" s="22"/>
      <c r="AT738" s="23"/>
      <c r="AU738" s="22"/>
      <c r="AV738" s="22"/>
      <c r="AW738" s="23"/>
      <c r="AX738" s="198"/>
      <c r="AY738" s="198"/>
      <c r="AZ738" s="74"/>
      <c r="BA738" s="198"/>
      <c r="BB738" s="198"/>
      <c r="BC738" s="74"/>
      <c r="BD738" s="198"/>
      <c r="BE738" s="198"/>
      <c r="BF738" s="74"/>
      <c r="BG738" s="198"/>
      <c r="BH738" s="198"/>
      <c r="BI738" s="74"/>
      <c r="BJ738" s="198"/>
      <c r="BK738" s="198"/>
      <c r="BL738" s="74"/>
      <c r="BM738" s="198"/>
      <c r="BN738" s="198"/>
      <c r="BO738" s="74"/>
      <c r="BP738" s="198"/>
      <c r="BQ738" s="198"/>
      <c r="BR738" s="74"/>
      <c r="BS738" s="198"/>
      <c r="BT738" s="198"/>
      <c r="BU738" s="74"/>
      <c r="BV738" s="198"/>
      <c r="BW738" s="198"/>
      <c r="BX738" s="74"/>
      <c r="BY738" s="198"/>
      <c r="BZ738" s="198"/>
      <c r="CA738" s="74"/>
      <c r="CB738" s="198"/>
      <c r="CC738" s="198"/>
      <c r="CD738" s="74"/>
      <c r="CE738" s="198"/>
      <c r="CF738" s="198"/>
      <c r="CG738" s="74"/>
      <c r="CH738" s="198"/>
      <c r="CI738" s="198"/>
      <c r="CJ738" s="74"/>
      <c r="CK738" s="198"/>
      <c r="CL738" s="198"/>
      <c r="CM738" s="74"/>
      <c r="CN738" s="198"/>
      <c r="CO738" s="198"/>
      <c r="CP738" s="74"/>
      <c r="CQ738" s="198"/>
      <c r="CR738" s="198"/>
      <c r="CS738" s="74"/>
      <c r="CT738" s="198"/>
      <c r="CU738" s="198"/>
      <c r="CV738" s="74"/>
      <c r="CW738" s="198"/>
      <c r="CX738" s="198"/>
      <c r="CY738" s="74"/>
      <c r="CZ738" s="198"/>
      <c r="DA738" s="198"/>
      <c r="DB738" s="74"/>
      <c r="DC738" s="198"/>
      <c r="DD738" s="198"/>
      <c r="DE738" s="74"/>
      <c r="DF738" s="198"/>
      <c r="DG738" s="198"/>
      <c r="DH738" s="74"/>
      <c r="DI738" s="198"/>
      <c r="DJ738" s="198"/>
      <c r="DK738" s="74"/>
      <c r="DL738" s="198"/>
      <c r="DM738" s="198"/>
      <c r="DN738" s="74"/>
      <c r="DO738" s="198"/>
      <c r="DP738" s="198"/>
      <c r="DQ738" s="74"/>
      <c r="DR738" s="198"/>
      <c r="DS738" s="198"/>
      <c r="DT738" s="74"/>
      <c r="DU738" s="198"/>
      <c r="DV738" s="198"/>
      <c r="DW738" s="74"/>
      <c r="DX738" s="198"/>
      <c r="DY738" s="198"/>
      <c r="DZ738" s="74"/>
      <c r="EA738" s="198"/>
      <c r="EB738" s="198"/>
      <c r="EC738" s="74"/>
      <c r="ED738" s="198"/>
      <c r="EE738" s="198"/>
      <c r="EF738" s="74"/>
      <c r="EG738" s="198"/>
      <c r="EH738" s="198"/>
      <c r="EI738" s="74"/>
      <c r="EJ738" s="198"/>
      <c r="EK738" s="198"/>
      <c r="EL738" s="74"/>
      <c r="EM738" s="198"/>
      <c r="EN738" s="198"/>
      <c r="EO738" s="74"/>
      <c r="EP738" s="198"/>
      <c r="EQ738" s="198"/>
      <c r="ER738" s="74"/>
      <c r="ES738" s="198"/>
      <c r="ET738" s="198"/>
      <c r="EU738" s="74"/>
      <c r="EV738" s="198"/>
      <c r="EW738" s="198"/>
      <c r="EX738" s="74"/>
      <c r="EY738" s="198"/>
      <c r="EZ738" s="198"/>
      <c r="FA738" s="74"/>
      <c r="FH738" s="35"/>
      <c r="FI738" s="35"/>
      <c r="FJ738" s="35"/>
      <c r="FK738" s="35"/>
      <c r="FL738" s="35"/>
      <c r="FM738" s="35"/>
      <c r="FN738" s="35"/>
      <c r="FO738" s="35"/>
      <c r="FP738" s="35"/>
      <c r="FQ738" s="35"/>
    </row>
    <row r="739" spans="1:173" s="321" customFormat="1" hidden="1" outlineLevel="1">
      <c r="A739" s="1174"/>
      <c r="B739" s="35"/>
      <c r="C739" s="186" t="s">
        <v>316</v>
      </c>
      <c r="D739" s="162" t="s">
        <v>985</v>
      </c>
      <c r="E739" s="22"/>
      <c r="F739" s="22"/>
      <c r="G739" s="23"/>
      <c r="H739" s="22"/>
      <c r="I739" s="22"/>
      <c r="J739" s="23"/>
      <c r="K739" s="22"/>
      <c r="L739" s="22"/>
      <c r="M739" s="23"/>
      <c r="N739" s="22"/>
      <c r="O739" s="22"/>
      <c r="P739" s="23"/>
      <c r="Q739" s="22"/>
      <c r="R739" s="22"/>
      <c r="S739" s="23"/>
      <c r="T739" s="22"/>
      <c r="U739" s="22"/>
      <c r="V739" s="23"/>
      <c r="W739" s="22"/>
      <c r="X739" s="22"/>
      <c r="Y739" s="23"/>
      <c r="Z739" s="22"/>
      <c r="AA739" s="22"/>
      <c r="AB739" s="23"/>
      <c r="AC739" s="22"/>
      <c r="AD739" s="22"/>
      <c r="AE739" s="23"/>
      <c r="AF739" s="22"/>
      <c r="AG739" s="22"/>
      <c r="AH739" s="23"/>
      <c r="AI739" s="22"/>
      <c r="AJ739" s="22"/>
      <c r="AK739" s="23"/>
      <c r="AL739" s="22"/>
      <c r="AM739" s="22"/>
      <c r="AN739" s="23"/>
      <c r="AO739" s="22"/>
      <c r="AP739" s="22"/>
      <c r="AQ739" s="23"/>
      <c r="AR739" s="22"/>
      <c r="AS739" s="22"/>
      <c r="AT739" s="23"/>
      <c r="AU739" s="22"/>
      <c r="AV739" s="22"/>
      <c r="AW739" s="23"/>
      <c r="AX739" s="198">
        <f>AX709+AX727</f>
        <v>5.3842867895943745E-3</v>
      </c>
      <c r="AY739" s="198">
        <f>AY709+AY727</f>
        <v>5.4001704356236788E-3</v>
      </c>
      <c r="AZ739" s="198">
        <f>AZ709+AZ727</f>
        <v>1.0784457225218053E-2</v>
      </c>
      <c r="BA739" s="198">
        <f>BA709+BA727</f>
        <v>5.4161009384087692E-3</v>
      </c>
      <c r="BB739" s="198">
        <f t="shared" ref="BB739:DM739" si="3183">BB709+BB727</f>
        <v>5.4320784361770744E-3</v>
      </c>
      <c r="BC739" s="198">
        <f t="shared" si="3183"/>
        <v>1.0848179374585844E-2</v>
      </c>
      <c r="BD739" s="198">
        <f t="shared" si="3183"/>
        <v>5.4481030675637976E-3</v>
      </c>
      <c r="BE739" s="198">
        <f t="shared" si="3183"/>
        <v>5.4641749716131116E-3</v>
      </c>
      <c r="BF739" s="198">
        <f t="shared" si="3183"/>
        <v>1.0912278039176907E-2</v>
      </c>
      <c r="BG739" s="198">
        <f t="shared" si="3183"/>
        <v>5.4802942877793699E-3</v>
      </c>
      <c r="BH739" s="198">
        <f t="shared" si="3183"/>
        <v>5.4964611559283182E-3</v>
      </c>
      <c r="BI739" s="198">
        <f t="shared" si="3183"/>
        <v>1.0976755443707688E-2</v>
      </c>
      <c r="BJ739" s="198">
        <f t="shared" si="3183"/>
        <v>5.5126757163383062E-3</v>
      </c>
      <c r="BK739" s="198">
        <f t="shared" si="3183"/>
        <v>5.5289381097015054E-3</v>
      </c>
      <c r="BL739" s="198">
        <f t="shared" si="3183"/>
        <v>1.1041613826039812E-2</v>
      </c>
      <c r="BM739" s="198">
        <f t="shared" si="3183"/>
        <v>5.5370932934133152E-3</v>
      </c>
      <c r="BN739" s="198">
        <f t="shared" si="3183"/>
        <v>5.5452605060210989E-3</v>
      </c>
      <c r="BO739" s="198">
        <f t="shared" si="3183"/>
        <v>1.1082353799434414E-2</v>
      </c>
      <c r="BP739" s="198">
        <f t="shared" si="3183"/>
        <v>5.5534397652674799E-3</v>
      </c>
      <c r="BQ739" s="198">
        <f t="shared" si="3183"/>
        <v>5.561631088921248E-3</v>
      </c>
      <c r="BR739" s="198">
        <f t="shared" si="3183"/>
        <v>1.1115070854188728E-2</v>
      </c>
      <c r="BS739" s="198">
        <f t="shared" si="3183"/>
        <v>5.5698344947774057E-3</v>
      </c>
      <c r="BT739" s="198">
        <f t="shared" si="3183"/>
        <v>5.5780500006572019E-3</v>
      </c>
      <c r="BU739" s="198">
        <f t="shared" si="3183"/>
        <v>1.1147884495434607E-2</v>
      </c>
      <c r="BV739" s="198">
        <f t="shared" si="3183"/>
        <v>5.5862776244081716E-3</v>
      </c>
      <c r="BW739" s="198">
        <f t="shared" si="3183"/>
        <v>5.5945173839041726E-3</v>
      </c>
      <c r="BX739" s="198">
        <f t="shared" si="3183"/>
        <v>1.1180795008312344E-2</v>
      </c>
      <c r="BY739" s="198">
        <f t="shared" si="3183"/>
        <v>5.6027692970454304E-3</v>
      </c>
      <c r="BZ739" s="198">
        <f t="shared" si="3183"/>
        <v>5.6110333817585732E-3</v>
      </c>
      <c r="CA739" s="198">
        <f t="shared" si="3183"/>
        <v>1.1213802678804004E-2</v>
      </c>
      <c r="CB739" s="198">
        <f t="shared" si="3183"/>
        <v>5.6193096559966661E-3</v>
      </c>
      <c r="CC739" s="198">
        <f t="shared" si="3183"/>
        <v>5.6275981377392603E-3</v>
      </c>
      <c r="CD739" s="198">
        <f t="shared" si="3183"/>
        <v>1.1246907793735925E-2</v>
      </c>
      <c r="CE739" s="198">
        <f t="shared" si="3183"/>
        <v>5.6358988449924253E-3</v>
      </c>
      <c r="CF739" s="198">
        <f t="shared" si="3183"/>
        <v>5.6442117957887887E-3</v>
      </c>
      <c r="CG739" s="198">
        <f t="shared" si="3183"/>
        <v>1.1280110640781212E-2</v>
      </c>
      <c r="CH739" s="198">
        <f t="shared" si="3183"/>
        <v>5.6525370081875765E-3</v>
      </c>
      <c r="CI739" s="198">
        <f t="shared" si="3183"/>
        <v>5.6608745002746522E-3</v>
      </c>
      <c r="CJ739" s="198">
        <f t="shared" si="3183"/>
        <v>1.1313411508462228E-2</v>
      </c>
      <c r="CK739" s="198">
        <f t="shared" si="3183"/>
        <v>5.6692242901625559E-3</v>
      </c>
      <c r="CL739" s="198">
        <f t="shared" si="3183"/>
        <v>5.677586395990546E-3</v>
      </c>
      <c r="CM739" s="198">
        <f t="shared" si="3183"/>
        <v>1.1346810686153102E-2</v>
      </c>
      <c r="CN739" s="198">
        <f t="shared" si="3183"/>
        <v>5.6859608359246302E-3</v>
      </c>
      <c r="CO739" s="198">
        <f t="shared" si="3183"/>
        <v>5.6943476281576203E-3</v>
      </c>
      <c r="CP739" s="198">
        <f t="shared" si="3183"/>
        <v>1.138030846408225E-2</v>
      </c>
      <c r="CQ739" s="198">
        <f t="shared" si="3183"/>
        <v>5.7027467909091523E-3</v>
      </c>
      <c r="CR739" s="198">
        <f t="shared" si="3183"/>
        <v>5.7111583424257414E-3</v>
      </c>
      <c r="CS739" s="198">
        <f t="shared" si="3183"/>
        <v>1.1413905133334894E-2</v>
      </c>
      <c r="CT739" s="198">
        <f t="shared" si="3183"/>
        <v>5.7195823009808184E-3</v>
      </c>
      <c r="CU739" s="198">
        <f t="shared" si="3183"/>
        <v>5.7280186848747659E-3</v>
      </c>
      <c r="CV739" s="198">
        <f t="shared" si="3183"/>
        <v>1.1447600985855583E-2</v>
      </c>
      <c r="CW739" s="198">
        <f t="shared" si="3183"/>
        <v>5.7364675124349541E-3</v>
      </c>
      <c r="CX739" s="198">
        <f t="shared" si="3183"/>
        <v>5.7449288020157956E-3</v>
      </c>
      <c r="CY739" s="198">
        <f t="shared" si="3183"/>
        <v>1.1481396314450752E-2</v>
      </c>
      <c r="CZ739" s="198">
        <f t="shared" si="3183"/>
        <v>5.7534025719987673E-3</v>
      </c>
      <c r="DA739" s="198">
        <f t="shared" si="3183"/>
        <v>5.7618888407924666E-3</v>
      </c>
      <c r="DB739" s="198">
        <f t="shared" si="3183"/>
        <v>1.1515291412791234E-2</v>
      </c>
      <c r="DC739" s="198">
        <f t="shared" si="3183"/>
        <v>5.7703876268326345E-3</v>
      </c>
      <c r="DD739" s="198">
        <f t="shared" si="3183"/>
        <v>5.778898948582213E-3</v>
      </c>
      <c r="DE739" s="198">
        <f t="shared" si="3183"/>
        <v>1.1549286575414847E-2</v>
      </c>
      <c r="DF739" s="198">
        <f t="shared" si="3183"/>
        <v>5.7874228245313707E-3</v>
      </c>
      <c r="DG739" s="198">
        <f t="shared" si="3183"/>
        <v>5.7959592731975538E-3</v>
      </c>
      <c r="DH739" s="198">
        <f t="shared" si="3183"/>
        <v>1.1583382097728925E-2</v>
      </c>
      <c r="DI739" s="198">
        <f t="shared" si="3183"/>
        <v>5.8045083131255185E-3</v>
      </c>
      <c r="DJ739" s="198">
        <f t="shared" si="3183"/>
        <v>5.8130699628873789E-3</v>
      </c>
      <c r="DK739" s="198">
        <f t="shared" si="3183"/>
        <v>1.1617578276012898E-2</v>
      </c>
      <c r="DL739" s="198">
        <f t="shared" si="3183"/>
        <v>5.8216442410826373E-3</v>
      </c>
      <c r="DM739" s="198">
        <f t="shared" si="3183"/>
        <v>5.8302311663382339E-3</v>
      </c>
      <c r="DN739" s="198">
        <f t="shared" ref="DN739:ER739" si="3184">DN709+DN727</f>
        <v>1.165187540742087E-2</v>
      </c>
      <c r="DO739" s="198">
        <f t="shared" si="3184"/>
        <v>5.8388307573085819E-3</v>
      </c>
      <c r="DP739" s="198">
        <f t="shared" si="3184"/>
        <v>5.8474430326756121E-3</v>
      </c>
      <c r="DQ739" s="198">
        <f t="shared" si="3184"/>
        <v>1.1686273789984193E-2</v>
      </c>
      <c r="DR739" s="198">
        <f t="shared" si="3184"/>
        <v>5.8560680111488074E-3</v>
      </c>
      <c r="DS739" s="198">
        <f t="shared" si="3184"/>
        <v>5.8647057114652509E-3</v>
      </c>
      <c r="DT739" s="198">
        <f t="shared" si="3184"/>
        <v>1.1720773722614059E-2</v>
      </c>
      <c r="DU739" s="198">
        <f t="shared" si="3184"/>
        <v>5.8733561523896622E-3</v>
      </c>
      <c r="DV739" s="198">
        <f t="shared" si="3184"/>
        <v>5.8820193527144354E-3</v>
      </c>
      <c r="DW739" s="198">
        <f t="shared" si="3184"/>
        <v>1.1755375505104098E-2</v>
      </c>
      <c r="DX739" s="198">
        <f t="shared" si="3184"/>
        <v>5.8906953312596886E-3</v>
      </c>
      <c r="DY739" s="198">
        <f t="shared" si="3184"/>
        <v>5.8993841068732972E-3</v>
      </c>
      <c r="DZ739" s="198">
        <f t="shared" si="3184"/>
        <v>1.1790079438132985E-2</v>
      </c>
      <c r="EA739" s="198">
        <f t="shared" si="3184"/>
        <v>5.9080856984309333E-3</v>
      </c>
      <c r="EB739" s="198">
        <f t="shared" si="3184"/>
        <v>5.9168001248361187E-3</v>
      </c>
      <c r="EC739" s="198">
        <f t="shared" si="3184"/>
        <v>1.1824885823267052E-2</v>
      </c>
      <c r="ED739" s="198">
        <f t="shared" si="3184"/>
        <v>5.9255274050202507E-3</v>
      </c>
      <c r="EE739" s="198">
        <f t="shared" si="3184"/>
        <v>5.9342675579426556E-3</v>
      </c>
      <c r="EF739" s="198">
        <f t="shared" si="3184"/>
        <v>1.1859794962962904E-2</v>
      </c>
      <c r="EG739" s="198">
        <f t="shared" si="3184"/>
        <v>5.94302060259062E-3</v>
      </c>
      <c r="EH739" s="198">
        <f t="shared" si="3184"/>
        <v>5.951786557979441E-3</v>
      </c>
      <c r="EI739" s="198">
        <f t="shared" si="3184"/>
        <v>1.1894807160570061E-2</v>
      </c>
      <c r="EJ739" s="198">
        <f t="shared" si="3184"/>
        <v>5.9605654431524593E-3</v>
      </c>
      <c r="EK739" s="198">
        <f t="shared" si="3184"/>
        <v>5.9693572771811095E-3</v>
      </c>
      <c r="EL739" s="198">
        <f t="shared" si="3184"/>
        <v>1.192992272033357E-2</v>
      </c>
      <c r="EM739" s="198">
        <f t="shared" si="3184"/>
        <v>5.9781620791649502E-3</v>
      </c>
      <c r="EN739" s="198">
        <f t="shared" si="3184"/>
        <v>5.9869798682317173E-3</v>
      </c>
      <c r="EO739" s="198">
        <f t="shared" si="3184"/>
        <v>1.1965141947396667E-2</v>
      </c>
      <c r="EP739" s="198">
        <f t="shared" si="3184"/>
        <v>5.9958106635373577E-3</v>
      </c>
      <c r="EQ739" s="198">
        <f t="shared" si="3184"/>
        <v>6.0046544842660759E-3</v>
      </c>
      <c r="ER739" s="198">
        <f t="shared" si="3184"/>
        <v>1.2000465147803435E-2</v>
      </c>
      <c r="ES739" s="198">
        <f t="shared" ref="ES739:EX739" si="3185">ES709+ES727</f>
        <v>6.0135113496303672E-3</v>
      </c>
      <c r="ET739" s="198">
        <f t="shared" si="3185"/>
        <v>6.0223812788710715E-3</v>
      </c>
      <c r="EU739" s="198">
        <f t="shared" si="3185"/>
        <v>1.2035892628501438E-2</v>
      </c>
      <c r="EV739" s="198">
        <f t="shared" si="3185"/>
        <v>6.0312642912574051E-3</v>
      </c>
      <c r="EW739" s="198">
        <f t="shared" si="3185"/>
        <v>6.0401604060870088E-3</v>
      </c>
      <c r="EX739" s="198">
        <f t="shared" si="3185"/>
        <v>1.2071424697344414E-2</v>
      </c>
      <c r="EY739" s="198">
        <f t="shared" ref="EY739:FA739" si="3186">EY709+EY727</f>
        <v>6.0490696426859867E-3</v>
      </c>
      <c r="EZ739" s="198">
        <f t="shared" si="3186"/>
        <v>6.0579920204089487E-3</v>
      </c>
      <c r="FA739" s="198">
        <f t="shared" si="3186"/>
        <v>1.2107061663094935E-2</v>
      </c>
      <c r="FH739" s="35"/>
      <c r="FI739" s="35"/>
      <c r="FJ739" s="35"/>
      <c r="FK739" s="35"/>
      <c r="FL739" s="35"/>
      <c r="FM739" s="35"/>
      <c r="FN739" s="35"/>
      <c r="FO739" s="35"/>
      <c r="FP739" s="35"/>
      <c r="FQ739" s="35"/>
    </row>
    <row r="740" spans="1:173" s="321" customFormat="1" hidden="1" outlineLevel="1">
      <c r="A740" s="1174"/>
      <c r="B740" s="35"/>
      <c r="C740" s="186" t="s">
        <v>317</v>
      </c>
      <c r="D740" s="162" t="s">
        <v>985</v>
      </c>
      <c r="E740" s="22"/>
      <c r="F740" s="22"/>
      <c r="G740" s="23"/>
      <c r="H740" s="22"/>
      <c r="I740" s="22"/>
      <c r="J740" s="23"/>
      <c r="K740" s="22"/>
      <c r="L740" s="22"/>
      <c r="M740" s="23"/>
      <c r="N740" s="22"/>
      <c r="O740" s="22"/>
      <c r="P740" s="23"/>
      <c r="Q740" s="22"/>
      <c r="R740" s="22"/>
      <c r="S740" s="23"/>
      <c r="T740" s="22"/>
      <c r="U740" s="22"/>
      <c r="V740" s="23"/>
      <c r="W740" s="22"/>
      <c r="X740" s="22"/>
      <c r="Y740" s="23"/>
      <c r="Z740" s="22"/>
      <c r="AA740" s="22"/>
      <c r="AB740" s="23"/>
      <c r="AC740" s="22"/>
      <c r="AD740" s="22"/>
      <c r="AE740" s="23"/>
      <c r="AF740" s="22"/>
      <c r="AG740" s="22"/>
      <c r="AH740" s="23"/>
      <c r="AI740" s="22"/>
      <c r="AJ740" s="22"/>
      <c r="AK740" s="23"/>
      <c r="AL740" s="22"/>
      <c r="AM740" s="22"/>
      <c r="AN740" s="23"/>
      <c r="AO740" s="22"/>
      <c r="AP740" s="22"/>
      <c r="AQ740" s="23"/>
      <c r="AR740" s="22"/>
      <c r="AS740" s="22"/>
      <c r="AT740" s="23"/>
      <c r="AU740" s="22"/>
      <c r="AV740" s="22"/>
      <c r="AW740" s="23"/>
      <c r="AX740" s="198">
        <f t="shared" ref="AX740:AZ742" si="3187">AX710+AX728</f>
        <v>7.9192043207775009E-3</v>
      </c>
      <c r="AY740" s="198">
        <f t="shared" si="3187"/>
        <v>7.912077036888801E-3</v>
      </c>
      <c r="AZ740" s="198">
        <f t="shared" si="3187"/>
        <v>1.5831281357666302E-2</v>
      </c>
      <c r="BA740" s="198">
        <f t="shared" ref="BA740:DL740" si="3188">BA710+BA728</f>
        <v>7.9049561675556025E-3</v>
      </c>
      <c r="BB740" s="198">
        <f t="shared" si="3188"/>
        <v>7.8978417070048011E-3</v>
      </c>
      <c r="BC740" s="198">
        <f t="shared" si="3188"/>
        <v>1.5802797874560404E-2</v>
      </c>
      <c r="BD740" s="198">
        <f t="shared" si="3188"/>
        <v>7.8907336494684968E-3</v>
      </c>
      <c r="BE740" s="198">
        <f t="shared" si="3188"/>
        <v>7.8836319891839729E-3</v>
      </c>
      <c r="BF740" s="198">
        <f t="shared" si="3188"/>
        <v>1.577436563865247E-2</v>
      </c>
      <c r="BG740" s="198">
        <f t="shared" si="3188"/>
        <v>7.8765367203937099E-3</v>
      </c>
      <c r="BH740" s="198">
        <f t="shared" si="3188"/>
        <v>7.8694478373453544E-3</v>
      </c>
      <c r="BI740" s="198">
        <f t="shared" si="3188"/>
        <v>1.5745984557739064E-2</v>
      </c>
      <c r="BJ740" s="198">
        <f t="shared" si="3188"/>
        <v>7.8623653342917432E-3</v>
      </c>
      <c r="BK740" s="198">
        <f t="shared" si="3188"/>
        <v>7.8552892054908809E-3</v>
      </c>
      <c r="BL740" s="198">
        <f t="shared" si="3188"/>
        <v>1.5717654539782626E-2</v>
      </c>
      <c r="BM740" s="198">
        <f t="shared" si="3188"/>
        <v>7.8517543253484104E-3</v>
      </c>
      <c r="BN740" s="198">
        <f t="shared" si="3188"/>
        <v>7.8482210359020043E-3</v>
      </c>
      <c r="BO740" s="198">
        <f t="shared" si="3188"/>
        <v>1.5699975361250416E-2</v>
      </c>
      <c r="BP740" s="198">
        <f t="shared" si="3188"/>
        <v>7.8446893364358481E-3</v>
      </c>
      <c r="BQ740" s="198">
        <f t="shared" si="3188"/>
        <v>7.8411592262344516E-3</v>
      </c>
      <c r="BR740" s="198">
        <f t="shared" si="3188"/>
        <v>1.5685848562670301E-2</v>
      </c>
      <c r="BS740" s="198">
        <f t="shared" si="3188"/>
        <v>7.8376307045826474E-3</v>
      </c>
      <c r="BT740" s="198">
        <f t="shared" si="3188"/>
        <v>7.8341037707655853E-3</v>
      </c>
      <c r="BU740" s="198">
        <f t="shared" si="3188"/>
        <v>1.5671734475348233E-2</v>
      </c>
      <c r="BV740" s="198">
        <f t="shared" si="3188"/>
        <v>7.8305784240687397E-3</v>
      </c>
      <c r="BW740" s="198">
        <f t="shared" si="3188"/>
        <v>7.8270546637779093E-3</v>
      </c>
      <c r="BX740" s="198">
        <f t="shared" si="3188"/>
        <v>1.5657633087846651E-2</v>
      </c>
      <c r="BY740" s="198">
        <f t="shared" si="3188"/>
        <v>7.8235324891792104E-3</v>
      </c>
      <c r="BZ740" s="198">
        <f t="shared" si="3188"/>
        <v>7.82001189955908E-3</v>
      </c>
      <c r="CA740" s="198">
        <f t="shared" si="3188"/>
        <v>1.564354438873829E-2</v>
      </c>
      <c r="CB740" s="198">
        <f t="shared" si="3188"/>
        <v>7.8164928942042779E-3</v>
      </c>
      <c r="CC740" s="198">
        <f t="shared" si="3188"/>
        <v>7.8129754724018882E-3</v>
      </c>
      <c r="CD740" s="198">
        <f t="shared" si="3188"/>
        <v>1.5629468366606166E-2</v>
      </c>
      <c r="CE740" s="198">
        <f t="shared" si="3188"/>
        <v>7.8094596334393057E-3</v>
      </c>
      <c r="CF740" s="198">
        <f t="shared" si="3188"/>
        <v>7.8059453766042598E-3</v>
      </c>
      <c r="CG740" s="198">
        <f t="shared" si="3188"/>
        <v>1.5615405010043566E-2</v>
      </c>
      <c r="CH740" s="198">
        <f t="shared" si="3188"/>
        <v>7.8024327011847888E-3</v>
      </c>
      <c r="CI740" s="198">
        <f t="shared" si="3188"/>
        <v>7.7989216064692553E-3</v>
      </c>
      <c r="CJ740" s="198">
        <f t="shared" si="3188"/>
        <v>1.5601354307654042E-2</v>
      </c>
      <c r="CK740" s="198">
        <f t="shared" si="3188"/>
        <v>7.7954120917463447E-3</v>
      </c>
      <c r="CL740" s="198">
        <f t="shared" si="3188"/>
        <v>7.7919041563050597E-3</v>
      </c>
      <c r="CM740" s="198">
        <f t="shared" si="3188"/>
        <v>1.5587316248051406E-2</v>
      </c>
      <c r="CN740" s="198">
        <f t="shared" si="3188"/>
        <v>7.7883977994347214E-3</v>
      </c>
      <c r="CO740" s="198">
        <f t="shared" si="3188"/>
        <v>7.7848930204249761E-3</v>
      </c>
      <c r="CP740" s="198">
        <f t="shared" si="3188"/>
        <v>1.5573290819859698E-2</v>
      </c>
      <c r="CQ740" s="198">
        <f t="shared" si="3188"/>
        <v>7.781389818565786E-3</v>
      </c>
      <c r="CR740" s="198">
        <f t="shared" si="3188"/>
        <v>7.7778881931474322E-3</v>
      </c>
      <c r="CS740" s="198">
        <f t="shared" si="3188"/>
        <v>1.5559278011713218E-2</v>
      </c>
      <c r="CT740" s="198">
        <f t="shared" si="3188"/>
        <v>7.7743881434605153E-3</v>
      </c>
      <c r="CU740" s="198">
        <f t="shared" si="3188"/>
        <v>7.7708896687959592E-3</v>
      </c>
      <c r="CV740" s="198">
        <f t="shared" si="3188"/>
        <v>1.5545277812256474E-2</v>
      </c>
      <c r="CW740" s="198">
        <f t="shared" si="3188"/>
        <v>7.767392768445E-3</v>
      </c>
      <c r="CX740" s="198">
        <f t="shared" si="3188"/>
        <v>7.7638974416992003E-3</v>
      </c>
      <c r="CY740" s="198">
        <f t="shared" si="3188"/>
        <v>1.55312902101442E-2</v>
      </c>
      <c r="CZ740" s="198">
        <f t="shared" si="3188"/>
        <v>7.7604036878504354E-3</v>
      </c>
      <c r="DA740" s="198">
        <f t="shared" si="3188"/>
        <v>7.7569115061909034E-3</v>
      </c>
      <c r="DB740" s="198">
        <f t="shared" si="3188"/>
        <v>1.5517315194041339E-2</v>
      </c>
      <c r="DC740" s="198">
        <f t="shared" si="3188"/>
        <v>7.7534208960131183E-3</v>
      </c>
      <c r="DD740" s="198">
        <f t="shared" si="3188"/>
        <v>7.7499318566099122E-3</v>
      </c>
      <c r="DE740" s="198">
        <f t="shared" si="3188"/>
        <v>1.550335275262303E-2</v>
      </c>
      <c r="DF740" s="198">
        <f t="shared" si="3188"/>
        <v>7.7464443872744381E-3</v>
      </c>
      <c r="DG740" s="198">
        <f t="shared" si="3188"/>
        <v>7.7429584873001649E-3</v>
      </c>
      <c r="DH740" s="198">
        <f t="shared" si="3188"/>
        <v>1.5489402874574603E-2</v>
      </c>
      <c r="DI740" s="198">
        <f t="shared" si="3188"/>
        <v>7.7394741559808806E-3</v>
      </c>
      <c r="DJ740" s="198">
        <f t="shared" si="3188"/>
        <v>7.7359913926106898E-3</v>
      </c>
      <c r="DK740" s="198">
        <f t="shared" si="3188"/>
        <v>1.5475465548591572E-2</v>
      </c>
      <c r="DL740" s="198">
        <f t="shared" si="3188"/>
        <v>7.7325101964840146E-3</v>
      </c>
      <c r="DM740" s="198">
        <f t="shared" ref="DM740:ER740" si="3189">DM710+DM728</f>
        <v>7.7290305668955978E-3</v>
      </c>
      <c r="DN740" s="198">
        <f t="shared" si="3189"/>
        <v>1.5461540763379612E-2</v>
      </c>
      <c r="DO740" s="198">
        <f t="shared" si="3189"/>
        <v>7.7255525031404955E-3</v>
      </c>
      <c r="DP740" s="198">
        <f t="shared" si="3189"/>
        <v>7.7220760045140831E-3</v>
      </c>
      <c r="DQ740" s="198">
        <f t="shared" si="3189"/>
        <v>1.544762850765458E-2</v>
      </c>
      <c r="DR740" s="198">
        <f t="shared" si="3189"/>
        <v>7.7186010703120533E-3</v>
      </c>
      <c r="DS740" s="198">
        <f t="shared" si="3189"/>
        <v>7.7151276998304128E-3</v>
      </c>
      <c r="DT740" s="198">
        <f t="shared" si="3189"/>
        <v>1.5433728770142464E-2</v>
      </c>
      <c r="DU740" s="198">
        <f t="shared" si="3189"/>
        <v>7.7116558923654883E-3</v>
      </c>
      <c r="DV740" s="198">
        <f t="shared" si="3189"/>
        <v>7.708185647213925E-3</v>
      </c>
      <c r="DW740" s="198">
        <f t="shared" si="3189"/>
        <v>1.5419841539579416E-2</v>
      </c>
      <c r="DX740" s="198">
        <f t="shared" si="3189"/>
        <v>7.7047169636726785E-3</v>
      </c>
      <c r="DY740" s="198">
        <f t="shared" si="3189"/>
        <v>7.701249841039026E-3</v>
      </c>
      <c r="DZ740" s="198">
        <f t="shared" si="3189"/>
        <v>1.5405966804711704E-2</v>
      </c>
      <c r="EA740" s="198">
        <f t="shared" si="3189"/>
        <v>7.6977842786105592E-3</v>
      </c>
      <c r="EB740" s="198">
        <f t="shared" si="3189"/>
        <v>7.694320275685184E-3</v>
      </c>
      <c r="EC740" s="198">
        <f t="shared" si="3189"/>
        <v>1.5392104554295743E-2</v>
      </c>
      <c r="ED740" s="198">
        <f t="shared" si="3189"/>
        <v>7.6908578315611252E-3</v>
      </c>
      <c r="EE740" s="198">
        <f t="shared" si="3189"/>
        <v>7.6873969455369239E-3</v>
      </c>
      <c r="EF740" s="198">
        <f t="shared" si="3189"/>
        <v>1.537825477709805E-2</v>
      </c>
      <c r="EG740" s="198">
        <f t="shared" si="3189"/>
        <v>7.6839376169114317E-3</v>
      </c>
      <c r="EH740" s="198">
        <f t="shared" si="3189"/>
        <v>7.6804798449838221E-3</v>
      </c>
      <c r="EI740" s="198">
        <f t="shared" si="3189"/>
        <v>1.5364417461895253E-2</v>
      </c>
      <c r="EJ740" s="198">
        <f t="shared" si="3189"/>
        <v>7.6770236290535799E-3</v>
      </c>
      <c r="EK740" s="198">
        <f t="shared" si="3189"/>
        <v>7.6735689684205056E-3</v>
      </c>
      <c r="EL740" s="198">
        <f t="shared" si="3189"/>
        <v>1.5350592597474086E-2</v>
      </c>
      <c r="EM740" s="198">
        <f t="shared" si="3189"/>
        <v>7.6701158623847182E-3</v>
      </c>
      <c r="EN740" s="198">
        <f t="shared" si="3189"/>
        <v>7.6666643102466453E-3</v>
      </c>
      <c r="EO740" s="198">
        <f t="shared" si="3189"/>
        <v>1.5336780172631364E-2</v>
      </c>
      <c r="EP740" s="198">
        <f t="shared" si="3189"/>
        <v>7.6632143113070355E-3</v>
      </c>
      <c r="EQ740" s="198">
        <f t="shared" si="3189"/>
        <v>7.6597658648669478E-3</v>
      </c>
      <c r="ER740" s="198">
        <f t="shared" si="3189"/>
        <v>1.5322980176173985E-2</v>
      </c>
      <c r="ES740" s="198">
        <f t="shared" ref="ES740:EX740" si="3190">ES710+ES728</f>
        <v>7.656318970227758E-3</v>
      </c>
      <c r="ET740" s="198">
        <f t="shared" si="3190"/>
        <v>7.6528736266911566E-3</v>
      </c>
      <c r="EU740" s="198">
        <f t="shared" si="3190"/>
        <v>1.5309192596918915E-2</v>
      </c>
      <c r="EV740" s="198">
        <f t="shared" si="3190"/>
        <v>7.6494298335591454E-3</v>
      </c>
      <c r="EW740" s="198">
        <f t="shared" si="3190"/>
        <v>7.645987590134044E-3</v>
      </c>
      <c r="EX740" s="198">
        <f t="shared" si="3190"/>
        <v>1.5295417423693189E-2</v>
      </c>
      <c r="EY740" s="198">
        <f t="shared" ref="EY740:FA740" si="3191">EY710+EY728</f>
        <v>7.6425468957184838E-3</v>
      </c>
      <c r="EZ740" s="198">
        <f t="shared" si="3191"/>
        <v>7.6391077496154114E-3</v>
      </c>
      <c r="FA740" s="198">
        <f t="shared" si="3191"/>
        <v>1.5281654645333896E-2</v>
      </c>
      <c r="FH740" s="35"/>
      <c r="FI740" s="35"/>
      <c r="FJ740" s="35"/>
      <c r="FK740" s="35"/>
      <c r="FL740" s="35"/>
      <c r="FM740" s="35"/>
      <c r="FN740" s="35"/>
      <c r="FO740" s="35"/>
      <c r="FP740" s="35"/>
      <c r="FQ740" s="35"/>
    </row>
    <row r="741" spans="1:173" s="321" customFormat="1" hidden="1" outlineLevel="1">
      <c r="A741" s="1174"/>
      <c r="B741" s="35"/>
      <c r="C741" s="186" t="s">
        <v>431</v>
      </c>
      <c r="D741" s="162" t="s">
        <v>985</v>
      </c>
      <c r="E741" s="22"/>
      <c r="F741" s="22"/>
      <c r="G741" s="23"/>
      <c r="H741" s="22"/>
      <c r="I741" s="22"/>
      <c r="J741" s="23"/>
      <c r="K741" s="22"/>
      <c r="L741" s="22"/>
      <c r="M741" s="23"/>
      <c r="N741" s="22"/>
      <c r="O741" s="22"/>
      <c r="P741" s="23"/>
      <c r="Q741" s="22"/>
      <c r="R741" s="22"/>
      <c r="S741" s="23"/>
      <c r="T741" s="22"/>
      <c r="U741" s="22"/>
      <c r="V741" s="23"/>
      <c r="W741" s="22"/>
      <c r="X741" s="22"/>
      <c r="Y741" s="23"/>
      <c r="Z741" s="22"/>
      <c r="AA741" s="22"/>
      <c r="AB741" s="23"/>
      <c r="AC741" s="22"/>
      <c r="AD741" s="22"/>
      <c r="AE741" s="23"/>
      <c r="AF741" s="22"/>
      <c r="AG741" s="22"/>
      <c r="AH741" s="23"/>
      <c r="AI741" s="22"/>
      <c r="AJ741" s="22"/>
      <c r="AK741" s="23"/>
      <c r="AL741" s="22"/>
      <c r="AM741" s="22"/>
      <c r="AN741" s="23"/>
      <c r="AO741" s="22"/>
      <c r="AP741" s="22"/>
      <c r="AQ741" s="23"/>
      <c r="AR741" s="22"/>
      <c r="AS741" s="22"/>
      <c r="AT741" s="23"/>
      <c r="AU741" s="22"/>
      <c r="AV741" s="22"/>
      <c r="AW741" s="23"/>
      <c r="AX741" s="198">
        <f t="shared" si="3187"/>
        <v>9.7730458602000008E-3</v>
      </c>
      <c r="AY741" s="198">
        <f t="shared" si="3187"/>
        <v>9.8355933537052805E-3</v>
      </c>
      <c r="AZ741" s="198">
        <f t="shared" si="3187"/>
        <v>1.960863921390528E-2</v>
      </c>
      <c r="BA741" s="198">
        <f t="shared" ref="BA741:DL741" si="3192">BA711+BA729</f>
        <v>9.8985411511689943E-3</v>
      </c>
      <c r="BB741" s="198">
        <f t="shared" si="3192"/>
        <v>9.9618918145364735E-3</v>
      </c>
      <c r="BC741" s="198">
        <f t="shared" si="3192"/>
        <v>1.9860432965705468E-2</v>
      </c>
      <c r="BD741" s="198">
        <f t="shared" si="3192"/>
        <v>1.0025647922149508E-2</v>
      </c>
      <c r="BE741" s="198">
        <f t="shared" si="3192"/>
        <v>1.0089812068851263E-2</v>
      </c>
      <c r="BF741" s="198">
        <f t="shared" si="3192"/>
        <v>2.011545999100077E-2</v>
      </c>
      <c r="BG741" s="198">
        <f t="shared" si="3192"/>
        <v>1.0154386866091911E-2</v>
      </c>
      <c r="BH741" s="198">
        <f t="shared" si="3192"/>
        <v>1.0219374942034901E-2</v>
      </c>
      <c r="BI741" s="198">
        <f t="shared" si="3192"/>
        <v>2.0373761808126813E-2</v>
      </c>
      <c r="BJ741" s="198">
        <f t="shared" si="3192"/>
        <v>1.0284778941663925E-2</v>
      </c>
      <c r="BK741" s="198">
        <f t="shared" si="3192"/>
        <v>1.0350601526890574E-2</v>
      </c>
      <c r="BL741" s="198">
        <f t="shared" si="3192"/>
        <v>2.0635380468554496E-2</v>
      </c>
      <c r="BM741" s="198">
        <f t="shared" si="3192"/>
        <v>1.0383723451776624E-2</v>
      </c>
      <c r="BN741" s="198">
        <f t="shared" si="3192"/>
        <v>1.0416951366822309E-2</v>
      </c>
      <c r="BO741" s="198">
        <f t="shared" si="3192"/>
        <v>2.080067481859893E-2</v>
      </c>
      <c r="BP741" s="198">
        <f t="shared" si="3192"/>
        <v>1.0450285611196142E-2</v>
      </c>
      <c r="BQ741" s="198">
        <f t="shared" si="3192"/>
        <v>1.0483726525151969E-2</v>
      </c>
      <c r="BR741" s="198">
        <f t="shared" si="3192"/>
        <v>2.0934012136348112E-2</v>
      </c>
      <c r="BS741" s="198">
        <f t="shared" si="3192"/>
        <v>1.0517274450032456E-2</v>
      </c>
      <c r="BT741" s="198">
        <f t="shared" si="3192"/>
        <v>1.0550929728272564E-2</v>
      </c>
      <c r="BU741" s="198">
        <f t="shared" si="3192"/>
        <v>2.1068204178305017E-2</v>
      </c>
      <c r="BV741" s="198">
        <f t="shared" si="3192"/>
        <v>1.0584692703403037E-2</v>
      </c>
      <c r="BW741" s="198">
        <f t="shared" si="3192"/>
        <v>1.0618563720053927E-2</v>
      </c>
      <c r="BX741" s="198">
        <f t="shared" si="3192"/>
        <v>2.1203256423456968E-2</v>
      </c>
      <c r="BY741" s="198">
        <f t="shared" si="3192"/>
        <v>1.0652543123958101E-2</v>
      </c>
      <c r="BZ741" s="198">
        <f t="shared" si="3192"/>
        <v>1.0686631261954769E-2</v>
      </c>
      <c r="CA741" s="198">
        <f t="shared" si="3192"/>
        <v>2.133917438591287E-2</v>
      </c>
      <c r="CB741" s="198">
        <f t="shared" si="3192"/>
        <v>1.0720828481993024E-2</v>
      </c>
      <c r="CC741" s="198">
        <f t="shared" si="3192"/>
        <v>1.0755135133135403E-2</v>
      </c>
      <c r="CD741" s="198">
        <f t="shared" si="3192"/>
        <v>2.1475963615128428E-2</v>
      </c>
      <c r="CE741" s="198">
        <f t="shared" si="3192"/>
        <v>1.0789551565561438E-2</v>
      </c>
      <c r="CF741" s="198">
        <f t="shared" si="3192"/>
        <v>1.0824078130571235E-2</v>
      </c>
      <c r="CG741" s="198">
        <f t="shared" si="3192"/>
        <v>2.1613629696132675E-2</v>
      </c>
      <c r="CH741" s="198">
        <f t="shared" si="3192"/>
        <v>1.0858715180589066E-2</v>
      </c>
      <c r="CI741" s="198">
        <f t="shared" si="3192"/>
        <v>1.0893463069166949E-2</v>
      </c>
      <c r="CJ741" s="198">
        <f t="shared" si="3192"/>
        <v>2.1752178249756011E-2</v>
      </c>
      <c r="CK741" s="198">
        <f t="shared" si="3192"/>
        <v>1.0928322150988285E-2</v>
      </c>
      <c r="CL741" s="198">
        <f t="shared" si="3192"/>
        <v>1.0963292781871449E-2</v>
      </c>
      <c r="CM741" s="198">
        <f t="shared" si="3192"/>
        <v>2.1891614932859731E-2</v>
      </c>
      <c r="CN741" s="198">
        <f t="shared" si="3192"/>
        <v>1.0998375318773439E-2</v>
      </c>
      <c r="CO741" s="198">
        <f t="shared" si="3192"/>
        <v>1.1033570119793515E-2</v>
      </c>
      <c r="CP741" s="198">
        <f t="shared" si="3192"/>
        <v>2.2031945438566954E-2</v>
      </c>
      <c r="CQ741" s="198">
        <f t="shared" si="3192"/>
        <v>1.1068877544176858E-2</v>
      </c>
      <c r="CR741" s="198">
        <f t="shared" si="3192"/>
        <v>1.1104297952318222E-2</v>
      </c>
      <c r="CS741" s="198">
        <f t="shared" si="3192"/>
        <v>2.2173175496495078E-2</v>
      </c>
      <c r="CT741" s="198">
        <f t="shared" si="3192"/>
        <v>1.1139831705765641E-2</v>
      </c>
      <c r="CU741" s="198">
        <f t="shared" si="3192"/>
        <v>1.1175479167224091E-2</v>
      </c>
      <c r="CV741" s="198">
        <f t="shared" si="3192"/>
        <v>2.2315310872989734E-2</v>
      </c>
      <c r="CW741" s="198">
        <f t="shared" si="3192"/>
        <v>1.121124070055921E-2</v>
      </c>
      <c r="CX741" s="198">
        <f t="shared" si="3192"/>
        <v>1.1247116670801E-2</v>
      </c>
      <c r="CY741" s="198">
        <f t="shared" si="3192"/>
        <v>2.2458357371360212E-2</v>
      </c>
      <c r="CZ741" s="198">
        <f t="shared" si="3192"/>
        <v>1.1283107444147567E-2</v>
      </c>
      <c r="DA741" s="198">
        <f t="shared" si="3192"/>
        <v>1.1319213387968837E-2</v>
      </c>
      <c r="DB741" s="198">
        <f t="shared" si="3192"/>
        <v>2.2602320832116406E-2</v>
      </c>
      <c r="DC741" s="198">
        <f t="shared" si="3192"/>
        <v>1.1355434870810338E-2</v>
      </c>
      <c r="DD741" s="198">
        <f t="shared" si="3192"/>
        <v>1.139177226239693E-2</v>
      </c>
      <c r="DE741" s="198">
        <f t="shared" si="3192"/>
        <v>2.274720713320727E-2</v>
      </c>
      <c r="DF741" s="198">
        <f t="shared" si="3192"/>
        <v>1.1428225933636602E-2</v>
      </c>
      <c r="DG741" s="198">
        <f t="shared" si="3192"/>
        <v>1.1464796256624242E-2</v>
      </c>
      <c r="DH741" s="198">
        <f t="shared" si="3192"/>
        <v>2.2893022190260841E-2</v>
      </c>
      <c r="DI741" s="198">
        <f t="shared" si="3192"/>
        <v>1.1501483604645438E-2</v>
      </c>
      <c r="DJ741" s="198">
        <f t="shared" si="3192"/>
        <v>1.1538288352180303E-2</v>
      </c>
      <c r="DK741" s="198">
        <f t="shared" si="3192"/>
        <v>2.3039771956825744E-2</v>
      </c>
      <c r="DL741" s="198">
        <f t="shared" si="3192"/>
        <v>1.1575210874907281E-2</v>
      </c>
      <c r="DM741" s="198">
        <f t="shared" ref="DM741:ER741" si="3193">DM711+DM729</f>
        <v>1.1612251549706985E-2</v>
      </c>
      <c r="DN741" s="198">
        <f t="shared" si="3193"/>
        <v>2.3187462424614266E-2</v>
      </c>
      <c r="DO741" s="198">
        <f t="shared" si="3193"/>
        <v>1.1649410754666047E-2</v>
      </c>
      <c r="DP741" s="198">
        <f t="shared" si="3193"/>
        <v>1.168668886908098E-2</v>
      </c>
      <c r="DQ741" s="198">
        <f t="shared" si="3193"/>
        <v>2.3336099623747025E-2</v>
      </c>
      <c r="DR741" s="198">
        <f t="shared" si="3193"/>
        <v>1.1724086273462043E-2</v>
      </c>
      <c r="DS741" s="198">
        <f t="shared" si="3193"/>
        <v>1.176160334953712E-2</v>
      </c>
      <c r="DT741" s="198">
        <f t="shared" si="3193"/>
        <v>2.3485689622999163E-2</v>
      </c>
      <c r="DU741" s="198">
        <f t="shared" si="3193"/>
        <v>1.1799240480255638E-2</v>
      </c>
      <c r="DV741" s="198">
        <f t="shared" si="3193"/>
        <v>1.183699804979246E-2</v>
      </c>
      <c r="DW741" s="198">
        <f t="shared" si="3193"/>
        <v>2.3636238530048096E-2</v>
      </c>
      <c r="DX741" s="198">
        <f t="shared" si="3193"/>
        <v>1.1874876443551795E-2</v>
      </c>
      <c r="DY741" s="198">
        <f t="shared" si="3193"/>
        <v>1.1912876048171164E-2</v>
      </c>
      <c r="DZ741" s="198">
        <f t="shared" si="3193"/>
        <v>2.3787752491722956E-2</v>
      </c>
      <c r="EA741" s="198">
        <f t="shared" si="3193"/>
        <v>1.1950997251525311E-2</v>
      </c>
      <c r="EB741" s="198">
        <f t="shared" si="3193"/>
        <v>1.1989240442730194E-2</v>
      </c>
      <c r="EC741" s="198">
        <f t="shared" si="3193"/>
        <v>2.3940237694255503E-2</v>
      </c>
      <c r="ED741" s="198">
        <f t="shared" si="3193"/>
        <v>1.2027606012146932E-2</v>
      </c>
      <c r="EE741" s="198">
        <f t="shared" si="3193"/>
        <v>1.2066094351385802E-2</v>
      </c>
      <c r="EF741" s="198">
        <f t="shared" si="3193"/>
        <v>2.4093700363532734E-2</v>
      </c>
      <c r="EG741" s="198">
        <f t="shared" si="3193"/>
        <v>1.2104705853310239E-2</v>
      </c>
      <c r="EH741" s="198">
        <f t="shared" si="3193"/>
        <v>1.2143440912040834E-2</v>
      </c>
      <c r="EI741" s="198">
        <f t="shared" si="3193"/>
        <v>2.4248146765351072E-2</v>
      </c>
      <c r="EJ741" s="198">
        <f t="shared" si="3193"/>
        <v>1.2182299922959362E-2</v>
      </c>
      <c r="EK741" s="198">
        <f t="shared" si="3193"/>
        <v>1.2221283282712835E-2</v>
      </c>
      <c r="EL741" s="198">
        <f t="shared" si="3193"/>
        <v>2.4403583205672201E-2</v>
      </c>
      <c r="EM741" s="198">
        <f t="shared" si="3193"/>
        <v>1.2260391389217515E-2</v>
      </c>
      <c r="EN741" s="198">
        <f t="shared" si="3193"/>
        <v>1.2299624641663013E-2</v>
      </c>
      <c r="EO741" s="198">
        <f t="shared" si="3193"/>
        <v>2.4560016030880528E-2</v>
      </c>
      <c r="EP741" s="198">
        <f t="shared" si="3193"/>
        <v>1.2338983440516336E-2</v>
      </c>
      <c r="EQ741" s="198">
        <f t="shared" si="3193"/>
        <v>1.237846818752599E-2</v>
      </c>
      <c r="ER741" s="198">
        <f t="shared" si="3193"/>
        <v>2.4717451628042328E-2</v>
      </c>
      <c r="ES741" s="198">
        <f t="shared" ref="ES741:EX741" si="3194">ES711+ES729</f>
        <v>1.2418079285726073E-2</v>
      </c>
      <c r="ET741" s="198">
        <f t="shared" si="3194"/>
        <v>1.2457817139440398E-2</v>
      </c>
      <c r="EU741" s="198">
        <f t="shared" si="3194"/>
        <v>2.4875896425166473E-2</v>
      </c>
      <c r="EV741" s="198">
        <f t="shared" si="3194"/>
        <v>1.2497682154286606E-2</v>
      </c>
      <c r="EW741" s="198">
        <f t="shared" si="3194"/>
        <v>1.2537674737180324E-2</v>
      </c>
      <c r="EX741" s="198">
        <f t="shared" si="3194"/>
        <v>2.503535689146693E-2</v>
      </c>
      <c r="EY741" s="198">
        <f t="shared" ref="EY741:FA741" si="3195">EY711+EY729</f>
        <v>1.2577795296339301E-2</v>
      </c>
      <c r="EZ741" s="198">
        <f t="shared" si="3195"/>
        <v>1.2618044241287589E-2</v>
      </c>
      <c r="FA741" s="198">
        <f t="shared" si="3195"/>
        <v>2.5195839537626892E-2</v>
      </c>
      <c r="FH741" s="35"/>
      <c r="FI741" s="35"/>
      <c r="FJ741" s="35"/>
      <c r="FK741" s="35"/>
      <c r="FL741" s="35"/>
      <c r="FM741" s="35"/>
      <c r="FN741" s="35"/>
      <c r="FO741" s="35"/>
      <c r="FP741" s="35"/>
      <c r="FQ741" s="35"/>
    </row>
    <row r="742" spans="1:173" s="967" customFormat="1" ht="13.5" hidden="1" outlineLevel="1" thickBot="1">
      <c r="A742" s="1437"/>
      <c r="B742" s="438"/>
      <c r="C742" s="967" t="s">
        <v>327</v>
      </c>
      <c r="D742" s="327" t="s">
        <v>985</v>
      </c>
      <c r="E742" s="18"/>
      <c r="F742" s="18"/>
      <c r="G742" s="19"/>
      <c r="H742" s="18"/>
      <c r="I742" s="18"/>
      <c r="J742" s="19"/>
      <c r="K742" s="18"/>
      <c r="L742" s="18"/>
      <c r="M742" s="19"/>
      <c r="N742" s="18"/>
      <c r="O742" s="18"/>
      <c r="P742" s="19"/>
      <c r="Q742" s="18"/>
      <c r="R742" s="18"/>
      <c r="S742" s="19"/>
      <c r="T742" s="18"/>
      <c r="U742" s="18"/>
      <c r="V742" s="19"/>
      <c r="W742" s="18"/>
      <c r="X742" s="18"/>
      <c r="Y742" s="19"/>
      <c r="Z742" s="18"/>
      <c r="AA742" s="18"/>
      <c r="AB742" s="19"/>
      <c r="AC742" s="18"/>
      <c r="AD742" s="18"/>
      <c r="AE742" s="19"/>
      <c r="AF742" s="18"/>
      <c r="AG742" s="18"/>
      <c r="AH742" s="19"/>
      <c r="AI742" s="18"/>
      <c r="AJ742" s="18"/>
      <c r="AK742" s="19"/>
      <c r="AL742" s="18"/>
      <c r="AM742" s="18"/>
      <c r="AN742" s="19"/>
      <c r="AO742" s="18"/>
      <c r="AP742" s="18"/>
      <c r="AQ742" s="19"/>
      <c r="AR742" s="18"/>
      <c r="AS742" s="18"/>
      <c r="AT742" s="19"/>
      <c r="AU742" s="18"/>
      <c r="AV742" s="18"/>
      <c r="AW742" s="19"/>
      <c r="AX742" s="210">
        <f t="shared" si="3187"/>
        <v>2.3076536970571878E-2</v>
      </c>
      <c r="AY742" s="210">
        <f t="shared" si="3187"/>
        <v>2.314784082621776E-2</v>
      </c>
      <c r="AZ742" s="210">
        <f t="shared" si="3187"/>
        <v>4.6224377796789638E-2</v>
      </c>
      <c r="BA742" s="210">
        <f t="shared" ref="BA742:DL742" si="3196">BA712+BA730</f>
        <v>2.3219598257133364E-2</v>
      </c>
      <c r="BB742" s="210">
        <f t="shared" si="3196"/>
        <v>2.3291811957718352E-2</v>
      </c>
      <c r="BC742" s="210">
        <f t="shared" si="3196"/>
        <v>4.6511410214851716E-2</v>
      </c>
      <c r="BD742" s="210">
        <f t="shared" si="3196"/>
        <v>2.3364484639181803E-2</v>
      </c>
      <c r="BE742" s="210">
        <f t="shared" si="3196"/>
        <v>2.3437619029648346E-2</v>
      </c>
      <c r="BF742" s="210">
        <f t="shared" si="3196"/>
        <v>4.6802103668830142E-2</v>
      </c>
      <c r="BG742" s="210">
        <f t="shared" si="3196"/>
        <v>2.3511217874264991E-2</v>
      </c>
      <c r="BH742" s="210">
        <f t="shared" si="3196"/>
        <v>2.3585283935308576E-2</v>
      </c>
      <c r="BI742" s="210">
        <f t="shared" si="3196"/>
        <v>4.709650180957356E-2</v>
      </c>
      <c r="BJ742" s="210">
        <f t="shared" si="3196"/>
        <v>2.3659819992293975E-2</v>
      </c>
      <c r="BK742" s="210">
        <f t="shared" si="3196"/>
        <v>2.3734828842082958E-2</v>
      </c>
      <c r="BL742" s="210">
        <f t="shared" si="3196"/>
        <v>4.7394648834376933E-2</v>
      </c>
      <c r="BM742" s="210">
        <f t="shared" si="3196"/>
        <v>2.3772571070538349E-2</v>
      </c>
      <c r="BN742" s="210">
        <f t="shared" si="3196"/>
        <v>2.3810432908745412E-2</v>
      </c>
      <c r="BO742" s="210">
        <f t="shared" si="3196"/>
        <v>4.7583003979283764E-2</v>
      </c>
      <c r="BP742" s="210">
        <f t="shared" si="3196"/>
        <v>2.384841471289947E-2</v>
      </c>
      <c r="BQ742" s="210">
        <f t="shared" si="3196"/>
        <v>2.3886516840307667E-2</v>
      </c>
      <c r="BR742" s="210">
        <f t="shared" si="3196"/>
        <v>4.7734931553207141E-2</v>
      </c>
      <c r="BS742" s="210">
        <f t="shared" si="3196"/>
        <v>2.3924739649392509E-2</v>
      </c>
      <c r="BT742" s="210">
        <f t="shared" si="3196"/>
        <v>2.3963083499695351E-2</v>
      </c>
      <c r="BU742" s="210">
        <f t="shared" si="3196"/>
        <v>4.7887823149087863E-2</v>
      </c>
      <c r="BV742" s="210">
        <f t="shared" si="3196"/>
        <v>2.4001548751879948E-2</v>
      </c>
      <c r="BW742" s="210">
        <f t="shared" si="3196"/>
        <v>2.4040135767736011E-2</v>
      </c>
      <c r="BX742" s="210">
        <f t="shared" si="3196"/>
        <v>4.8041684519615963E-2</v>
      </c>
      <c r="BY742" s="210">
        <f t="shared" si="3196"/>
        <v>2.4078844910182744E-2</v>
      </c>
      <c r="BZ742" s="210">
        <f t="shared" si="3196"/>
        <v>2.4117676543272421E-2</v>
      </c>
      <c r="CA742" s="210">
        <f t="shared" si="3196"/>
        <v>4.8196521453455161E-2</v>
      </c>
      <c r="CB742" s="210">
        <f t="shared" si="3196"/>
        <v>2.4156631032193968E-2</v>
      </c>
      <c r="CC742" s="210">
        <f t="shared" si="3196"/>
        <v>2.4195708743276548E-2</v>
      </c>
      <c r="CD742" s="210">
        <f t="shared" si="3196"/>
        <v>4.8352339775470515E-2</v>
      </c>
      <c r="CE742" s="210">
        <f t="shared" si="3196"/>
        <v>2.4234910043993169E-2</v>
      </c>
      <c r="CF742" s="210">
        <f t="shared" si="3196"/>
        <v>2.4274235302964284E-2</v>
      </c>
      <c r="CG742" s="210">
        <f t="shared" si="3196"/>
        <v>4.8509145346957452E-2</v>
      </c>
      <c r="CH742" s="210">
        <f t="shared" si="3196"/>
        <v>2.431368488996143E-2</v>
      </c>
      <c r="CI742" s="210">
        <f t="shared" si="3196"/>
        <v>2.4353259175910857E-2</v>
      </c>
      <c r="CJ742" s="210">
        <f t="shared" si="3196"/>
        <v>4.8666944065872283E-2</v>
      </c>
      <c r="CK742" s="210">
        <f t="shared" si="3196"/>
        <v>2.4392958532897184E-2</v>
      </c>
      <c r="CL742" s="210">
        <f t="shared" si="3196"/>
        <v>2.4432783334167055E-2</v>
      </c>
      <c r="CM742" s="210">
        <f t="shared" si="3196"/>
        <v>4.8825741867064239E-2</v>
      </c>
      <c r="CN742" s="210">
        <f t="shared" si="3196"/>
        <v>2.447273395413279E-2</v>
      </c>
      <c r="CO742" s="210">
        <f t="shared" si="3196"/>
        <v>2.4512810768376112E-2</v>
      </c>
      <c r="CP742" s="210">
        <f t="shared" si="3196"/>
        <v>4.8985544722508906E-2</v>
      </c>
      <c r="CQ742" s="210">
        <f t="shared" si="3196"/>
        <v>2.4553014153651798E-2</v>
      </c>
      <c r="CR742" s="210">
        <f t="shared" si="3196"/>
        <v>2.4593344487891397E-2</v>
      </c>
      <c r="CS742" s="210">
        <f t="shared" si="3196"/>
        <v>4.9146358641543188E-2</v>
      </c>
      <c r="CT742" s="210">
        <f t="shared" si="3196"/>
        <v>2.4633802150206975E-2</v>
      </c>
      <c r="CU742" s="210">
        <f t="shared" si="3196"/>
        <v>2.4674387520894816E-2</v>
      </c>
      <c r="CV742" s="210">
        <f t="shared" si="3196"/>
        <v>4.9308189671101788E-2</v>
      </c>
      <c r="CW742" s="210">
        <f t="shared" si="3196"/>
        <v>2.4715100981439163E-2</v>
      </c>
      <c r="CX742" s="210">
        <f t="shared" si="3196"/>
        <v>2.4755942914515994E-2</v>
      </c>
      <c r="CY742" s="210">
        <f t="shared" si="3196"/>
        <v>4.9471043895955163E-2</v>
      </c>
      <c r="CZ742" s="210">
        <f t="shared" si="3196"/>
        <v>2.4796913703996767E-2</v>
      </c>
      <c r="DA742" s="210">
        <f t="shared" si="3196"/>
        <v>2.4838013734952209E-2</v>
      </c>
      <c r="DB742" s="210">
        <f t="shared" si="3196"/>
        <v>4.9634927438948984E-2</v>
      </c>
      <c r="DC742" s="210">
        <f t="shared" si="3196"/>
        <v>2.4879243393656093E-2</v>
      </c>
      <c r="DD742" s="210">
        <f t="shared" si="3196"/>
        <v>2.4920603067589055E-2</v>
      </c>
      <c r="DE742" s="210">
        <f t="shared" si="3196"/>
        <v>4.9799846461245148E-2</v>
      </c>
      <c r="DF742" s="210">
        <f t="shared" si="3196"/>
        <v>2.4962093145442413E-2</v>
      </c>
      <c r="DG742" s="210">
        <f t="shared" si="3196"/>
        <v>2.500371401712196E-2</v>
      </c>
      <c r="DH742" s="210">
        <f t="shared" si="3196"/>
        <v>4.9965807162564366E-2</v>
      </c>
      <c r="DI742" s="210">
        <f t="shared" si="3196"/>
        <v>2.504546607375184E-2</v>
      </c>
      <c r="DJ742" s="210">
        <f t="shared" si="3196"/>
        <v>2.5087349707678373E-2</v>
      </c>
      <c r="DK742" s="210">
        <f t="shared" si="3196"/>
        <v>5.0132815781430209E-2</v>
      </c>
      <c r="DL742" s="210">
        <f t="shared" si="3196"/>
        <v>2.5129365312473933E-2</v>
      </c>
      <c r="DM742" s="210">
        <f t="shared" ref="DM742:ER742" si="3197">DM712+DM730</f>
        <v>2.5171513282940816E-2</v>
      </c>
      <c r="DN742" s="210">
        <f t="shared" si="3197"/>
        <v>5.0300878595414752E-2</v>
      </c>
      <c r="DO742" s="210">
        <f t="shared" si="3197"/>
        <v>2.5213794015115126E-2</v>
      </c>
      <c r="DP742" s="210">
        <f t="shared" si="3197"/>
        <v>2.5256207906270672E-2</v>
      </c>
      <c r="DQ742" s="210">
        <f t="shared" si="3197"/>
        <v>5.0470001921385801E-2</v>
      </c>
      <c r="DR742" s="210">
        <f t="shared" si="3197"/>
        <v>2.5298755354922903E-2</v>
      </c>
      <c r="DS742" s="210">
        <f t="shared" si="3197"/>
        <v>2.5341436760832781E-2</v>
      </c>
      <c r="DT742" s="210">
        <f t="shared" si="3197"/>
        <v>5.0640192115755683E-2</v>
      </c>
      <c r="DU742" s="210">
        <f t="shared" si="3197"/>
        <v>2.5384252525010788E-2</v>
      </c>
      <c r="DV742" s="210">
        <f t="shared" si="3197"/>
        <v>2.542720304972082E-2</v>
      </c>
      <c r="DW742" s="210">
        <f t="shared" si="3197"/>
        <v>5.0811455574731608E-2</v>
      </c>
      <c r="DX742" s="210">
        <f t="shared" si="3197"/>
        <v>2.5470288738484163E-2</v>
      </c>
      <c r="DY742" s="210">
        <f t="shared" si="3197"/>
        <v>2.5513509996083483E-2</v>
      </c>
      <c r="DZ742" s="210">
        <f t="shared" si="3197"/>
        <v>5.0983798734567654E-2</v>
      </c>
      <c r="EA742" s="210">
        <f t="shared" si="3197"/>
        <v>2.5556867228566805E-2</v>
      </c>
      <c r="EB742" s="210">
        <f t="shared" si="3197"/>
        <v>2.5600360843251499E-2</v>
      </c>
      <c r="EC742" s="210">
        <f t="shared" si="3197"/>
        <v>5.11572280718183E-2</v>
      </c>
      <c r="ED742" s="210">
        <f t="shared" si="3197"/>
        <v>2.5643991248728307E-2</v>
      </c>
      <c r="EE742" s="210">
        <f t="shared" si="3197"/>
        <v>2.5687758854865378E-2</v>
      </c>
      <c r="EF742" s="210">
        <f t="shared" si="3197"/>
        <v>5.1331750103593692E-2</v>
      </c>
      <c r="EG742" s="210">
        <f t="shared" si="3197"/>
        <v>2.5731664072812292E-2</v>
      </c>
      <c r="EH742" s="210">
        <f t="shared" si="3197"/>
        <v>2.5775707315004094E-2</v>
      </c>
      <c r="EI742" s="210">
        <f t="shared" si="3197"/>
        <v>5.1507371387816386E-2</v>
      </c>
      <c r="EJ742" s="210">
        <f t="shared" si="3197"/>
        <v>2.5819888995165401E-2</v>
      </c>
      <c r="EK742" s="210">
        <f t="shared" si="3197"/>
        <v>2.586420952831445E-2</v>
      </c>
      <c r="EL742" s="210">
        <f t="shared" si="3197"/>
        <v>5.1684098523479854E-2</v>
      </c>
      <c r="EM742" s="210">
        <f t="shared" si="3197"/>
        <v>2.5908669330767187E-2</v>
      </c>
      <c r="EN742" s="210">
        <f t="shared" si="3197"/>
        <v>2.5953268820141373E-2</v>
      </c>
      <c r="EO742" s="210">
        <f t="shared" si="3197"/>
        <v>5.186193815090856E-2</v>
      </c>
      <c r="EP742" s="210">
        <f t="shared" si="3197"/>
        <v>2.5998008415360731E-2</v>
      </c>
      <c r="EQ742" s="210">
        <f t="shared" si="3197"/>
        <v>2.6042888536659016E-2</v>
      </c>
      <c r="ER742" s="210">
        <f t="shared" si="3197"/>
        <v>5.2040896952019744E-2</v>
      </c>
      <c r="ES742" s="210">
        <f t="shared" ref="ES742:EX742" si="3198">ES712+ES730</f>
        <v>2.60879096055842E-2</v>
      </c>
      <c r="ET742" s="210">
        <f t="shared" si="3198"/>
        <v>2.6133072045002627E-2</v>
      </c>
      <c r="EU742" s="210">
        <f t="shared" si="3198"/>
        <v>5.2220981650586834E-2</v>
      </c>
      <c r="EV742" s="210">
        <f t="shared" si="3198"/>
        <v>2.6178376279103154E-2</v>
      </c>
      <c r="EW742" s="210">
        <f t="shared" si="3198"/>
        <v>2.6223822733401375E-2</v>
      </c>
      <c r="EX742" s="210">
        <f t="shared" si="3198"/>
        <v>5.2402199012504536E-2</v>
      </c>
      <c r="EY742" s="210">
        <f t="shared" ref="EY742:FA742" si="3199">EY712+EY730</f>
        <v>2.6269411834743774E-2</v>
      </c>
      <c r="EZ742" s="210">
        <f t="shared" si="3199"/>
        <v>2.631514401131195E-2</v>
      </c>
      <c r="FA742" s="210">
        <f t="shared" si="3199"/>
        <v>5.2584555846055724E-2</v>
      </c>
      <c r="FH742" s="438"/>
      <c r="FI742" s="438"/>
      <c r="FJ742" s="438"/>
      <c r="FK742" s="438"/>
      <c r="FL742" s="438"/>
      <c r="FM742" s="438"/>
      <c r="FN742" s="438"/>
      <c r="FO742" s="438"/>
      <c r="FP742" s="438"/>
      <c r="FQ742" s="438"/>
    </row>
    <row r="743" spans="1:173" s="321" customFormat="1" hidden="1" outlineLevel="1">
      <c r="A743" s="1174"/>
      <c r="B743" s="68" t="s">
        <v>126</v>
      </c>
      <c r="D743" s="162"/>
      <c r="E743" s="22"/>
      <c r="F743" s="22"/>
      <c r="G743" s="23"/>
      <c r="H743" s="22"/>
      <c r="I743" s="22"/>
      <c r="J743" s="23"/>
      <c r="K743" s="22"/>
      <c r="L743" s="22"/>
      <c r="M743" s="23"/>
      <c r="N743" s="22"/>
      <c r="O743" s="22"/>
      <c r="P743" s="23"/>
      <c r="Q743" s="22"/>
      <c r="R743" s="22"/>
      <c r="S743" s="23"/>
      <c r="T743" s="22"/>
      <c r="U743" s="22"/>
      <c r="V743" s="23"/>
      <c r="W743" s="22"/>
      <c r="X743" s="22"/>
      <c r="Y743" s="23"/>
      <c r="Z743" s="22"/>
      <c r="AA743" s="22"/>
      <c r="AB743" s="23"/>
      <c r="AC743" s="22"/>
      <c r="AD743" s="22"/>
      <c r="AE743" s="23"/>
      <c r="AF743" s="22"/>
      <c r="AG743" s="22"/>
      <c r="AH743" s="23"/>
      <c r="AI743" s="22"/>
      <c r="AJ743" s="22"/>
      <c r="AK743" s="23"/>
      <c r="AL743" s="22"/>
      <c r="AM743" s="22"/>
      <c r="AN743" s="23"/>
      <c r="AO743" s="22"/>
      <c r="AP743" s="22"/>
      <c r="AQ743" s="23"/>
      <c r="AR743" s="22"/>
      <c r="AS743" s="22"/>
      <c r="AT743" s="23"/>
      <c r="AU743" s="22"/>
      <c r="AV743" s="22"/>
      <c r="AW743" s="23"/>
      <c r="AX743" s="198"/>
      <c r="AY743" s="198"/>
      <c r="AZ743" s="74"/>
      <c r="BA743" s="14"/>
      <c r="BB743" s="14"/>
      <c r="BC743" s="986"/>
      <c r="BD743" s="14"/>
      <c r="BE743" s="14"/>
      <c r="BF743" s="986"/>
      <c r="BG743" s="14"/>
      <c r="BH743" s="14"/>
      <c r="BI743" s="986"/>
      <c r="BJ743" s="149"/>
      <c r="BK743" s="149"/>
      <c r="BL743" s="153"/>
      <c r="BM743" s="149"/>
      <c r="BN743" s="149"/>
      <c r="BO743" s="153"/>
      <c r="BP743" s="149"/>
      <c r="BQ743" s="149"/>
      <c r="BR743" s="153"/>
      <c r="BS743" s="14"/>
      <c r="BT743" s="14"/>
      <c r="BU743" s="74"/>
      <c r="BV743" s="14"/>
      <c r="BW743" s="14"/>
      <c r="BX743" s="74"/>
      <c r="BY743" s="14"/>
      <c r="BZ743" s="14"/>
      <c r="CA743" s="74"/>
      <c r="CB743" s="14"/>
      <c r="CC743" s="14"/>
      <c r="CD743" s="74"/>
      <c r="CE743" s="14"/>
      <c r="CF743" s="14"/>
      <c r="CG743" s="74"/>
      <c r="CH743" s="14"/>
      <c r="CI743" s="14"/>
      <c r="CJ743" s="74"/>
      <c r="CK743" s="14"/>
      <c r="CL743" s="14"/>
      <c r="CM743" s="74"/>
      <c r="CN743" s="14"/>
      <c r="CO743" s="14"/>
      <c r="CP743" s="74"/>
      <c r="CQ743" s="14"/>
      <c r="CR743" s="14"/>
      <c r="CS743" s="74"/>
      <c r="CT743" s="14"/>
      <c r="CU743" s="14"/>
      <c r="CV743" s="74"/>
      <c r="CW743" s="14"/>
      <c r="CX743" s="14"/>
      <c r="CY743" s="74"/>
      <c r="CZ743" s="14"/>
      <c r="DA743" s="14"/>
      <c r="DB743" s="74"/>
      <c r="DC743" s="14"/>
      <c r="DD743" s="14"/>
      <c r="DE743" s="74"/>
      <c r="DF743" s="14"/>
      <c r="DG743" s="14"/>
      <c r="DH743" s="74"/>
      <c r="DI743" s="14"/>
      <c r="DJ743" s="14"/>
      <c r="DK743" s="74"/>
      <c r="DL743" s="14"/>
      <c r="DM743" s="14"/>
      <c r="DN743" s="74"/>
      <c r="DO743" s="14"/>
      <c r="DP743" s="14"/>
      <c r="DQ743" s="74"/>
      <c r="DR743" s="14"/>
      <c r="DS743" s="14"/>
      <c r="DT743" s="74"/>
      <c r="DU743" s="14"/>
      <c r="DV743" s="14"/>
      <c r="DW743" s="74"/>
      <c r="DX743" s="14"/>
      <c r="DY743" s="14"/>
      <c r="DZ743" s="74"/>
      <c r="EA743" s="14"/>
      <c r="EB743" s="14"/>
      <c r="EC743" s="74"/>
      <c r="ED743" s="14"/>
      <c r="EE743" s="14"/>
      <c r="EF743" s="74"/>
      <c r="EG743" s="14"/>
      <c r="EH743" s="14"/>
      <c r="EI743" s="74"/>
      <c r="EJ743" s="14"/>
      <c r="EK743" s="14"/>
      <c r="EL743" s="74"/>
      <c r="EM743" s="14"/>
      <c r="EN743" s="14"/>
      <c r="EO743" s="74"/>
      <c r="EP743" s="14"/>
      <c r="EQ743" s="14"/>
      <c r="ER743" s="74"/>
      <c r="ES743" s="14"/>
      <c r="ET743" s="14"/>
      <c r="EU743" s="74"/>
      <c r="EV743" s="14"/>
      <c r="EW743" s="14"/>
      <c r="EX743" s="74"/>
      <c r="EY743" s="14"/>
      <c r="EZ743" s="14"/>
      <c r="FA743" s="74"/>
      <c r="FH743" s="35"/>
      <c r="FI743" s="35"/>
      <c r="FJ743" s="35"/>
      <c r="FK743" s="35"/>
      <c r="FL743" s="35"/>
      <c r="FM743" s="35"/>
      <c r="FN743" s="35"/>
      <c r="FO743" s="35"/>
      <c r="FP743" s="35"/>
      <c r="FQ743" s="35"/>
    </row>
    <row r="744" spans="1:173" s="321" customFormat="1" hidden="1" outlineLevel="1">
      <c r="A744" s="1168"/>
      <c r="B744" s="186"/>
      <c r="C744" s="331" t="s">
        <v>313</v>
      </c>
      <c r="D744" s="329"/>
      <c r="E744" s="1"/>
      <c r="F744" s="1"/>
      <c r="G744" s="5"/>
      <c r="H744" s="1"/>
      <c r="I744" s="1"/>
      <c r="J744" s="5"/>
      <c r="K744" s="1"/>
      <c r="L744" s="1"/>
      <c r="M744" s="5"/>
      <c r="N744" s="1"/>
      <c r="O744" s="1"/>
      <c r="P744" s="5"/>
      <c r="Q744" s="1"/>
      <c r="R744" s="1"/>
      <c r="S744" s="5"/>
      <c r="T744" s="1"/>
      <c r="U744" s="1"/>
      <c r="V744" s="5"/>
      <c r="W744" s="1"/>
      <c r="X744" s="1"/>
      <c r="Y744" s="5"/>
      <c r="Z744" s="1"/>
      <c r="AA744" s="1"/>
      <c r="AB744" s="5"/>
      <c r="AC744" s="1"/>
      <c r="AD744" s="1"/>
      <c r="AE744" s="5"/>
      <c r="AF744" s="1"/>
      <c r="AG744" s="1"/>
      <c r="AH744" s="5"/>
      <c r="AI744" s="1"/>
      <c r="AJ744" s="1"/>
      <c r="AK744" s="5"/>
      <c r="AL744" s="1"/>
      <c r="AM744" s="1"/>
      <c r="AN744" s="5"/>
      <c r="AO744" s="1"/>
      <c r="AP744" s="1"/>
      <c r="AQ744" s="5"/>
      <c r="AR744" s="1"/>
      <c r="AS744" s="1"/>
      <c r="AT744" s="5"/>
      <c r="AU744" s="1"/>
      <c r="AV744" s="1"/>
      <c r="AW744" s="5"/>
      <c r="AX744" s="1"/>
      <c r="AY744" s="1"/>
      <c r="AZ744" s="35"/>
      <c r="BA744" s="1"/>
      <c r="BB744" s="1"/>
      <c r="BC744" s="49"/>
      <c r="BD744" s="28"/>
      <c r="BE744" s="28"/>
      <c r="BF744" s="49"/>
      <c r="BG744" s="28"/>
      <c r="BH744" s="28"/>
      <c r="BI744" s="51"/>
      <c r="BJ744" s="115"/>
      <c r="BK744" s="115"/>
      <c r="BL744" s="116"/>
      <c r="BM744" s="115"/>
      <c r="BN744" s="115"/>
      <c r="BO744" s="116"/>
      <c r="BP744" s="115"/>
      <c r="BQ744" s="115"/>
      <c r="BR744" s="116"/>
      <c r="BS744" s="8"/>
      <c r="BT744" s="8"/>
      <c r="BU744" s="9"/>
      <c r="BV744" s="8"/>
      <c r="BW744" s="8"/>
      <c r="BX744" s="187"/>
      <c r="BY744" s="8"/>
      <c r="BZ744" s="8"/>
      <c r="CA744" s="187"/>
      <c r="CB744" s="8"/>
      <c r="CC744" s="8"/>
      <c r="CD744" s="187"/>
      <c r="CE744" s="8"/>
      <c r="CF744" s="8"/>
      <c r="CG744" s="187"/>
      <c r="CH744" s="8"/>
      <c r="CI744" s="8"/>
      <c r="CJ744" s="187"/>
      <c r="CK744" s="8"/>
      <c r="CL744" s="8"/>
      <c r="CM744" s="187"/>
      <c r="CN744" s="8"/>
      <c r="CO744" s="8"/>
      <c r="CP744" s="187"/>
      <c r="CQ744" s="8"/>
      <c r="CR744" s="8"/>
      <c r="CS744" s="187"/>
      <c r="CT744" s="8"/>
      <c r="CU744" s="8"/>
      <c r="CV744" s="187"/>
      <c r="CW744" s="8"/>
      <c r="CX744" s="8"/>
      <c r="CY744" s="9"/>
      <c r="CZ744" s="8"/>
      <c r="DA744" s="8"/>
      <c r="DB744" s="9"/>
      <c r="DC744" s="8"/>
      <c r="DD744" s="8"/>
      <c r="DE744" s="9"/>
      <c r="DF744" s="8"/>
      <c r="DG744" s="8"/>
      <c r="DH744" s="9"/>
      <c r="DI744" s="8"/>
      <c r="DJ744" s="8"/>
      <c r="DK744" s="9"/>
      <c r="DL744" s="8"/>
      <c r="DM744" s="8"/>
      <c r="DN744" s="9"/>
      <c r="DO744" s="8"/>
      <c r="DP744" s="8"/>
      <c r="DQ744" s="9"/>
      <c r="DR744" s="8"/>
      <c r="DS744" s="8"/>
      <c r="DT744" s="9"/>
      <c r="DU744" s="8"/>
      <c r="DV744" s="8"/>
      <c r="DW744" s="9"/>
      <c r="DX744" s="8"/>
      <c r="DY744" s="8"/>
      <c r="DZ744" s="9"/>
      <c r="EA744" s="8"/>
      <c r="EB744" s="8"/>
      <c r="EC744" s="9"/>
      <c r="ED744" s="8"/>
      <c r="EE744" s="8"/>
      <c r="EF744" s="9"/>
      <c r="EG744" s="8"/>
      <c r="EH744" s="8"/>
      <c r="EI744" s="9"/>
      <c r="EJ744" s="8"/>
      <c r="EK744" s="8"/>
      <c r="EL744" s="9"/>
      <c r="EM744" s="8"/>
      <c r="EN744" s="8"/>
      <c r="EO744" s="9"/>
      <c r="EP744" s="8"/>
      <c r="EQ744" s="8"/>
      <c r="ER744" s="9"/>
      <c r="ES744" s="8"/>
      <c r="ET744" s="8"/>
      <c r="EU744" s="9"/>
      <c r="EV744" s="8"/>
      <c r="EW744" s="8"/>
      <c r="EX744" s="9"/>
      <c r="EY744" s="8"/>
      <c r="EZ744" s="8"/>
      <c r="FA744" s="9"/>
      <c r="FH744" s="35"/>
      <c r="FI744" s="35"/>
      <c r="FJ744" s="35"/>
      <c r="FK744" s="35"/>
      <c r="FL744" s="35"/>
      <c r="FM744" s="35"/>
      <c r="FN744" s="35"/>
      <c r="FO744" s="35"/>
      <c r="FP744" s="35"/>
      <c r="FQ744" s="35"/>
    </row>
    <row r="745" spans="1:173" s="321" customFormat="1" hidden="1" outlineLevel="1">
      <c r="A745" s="1168"/>
      <c r="B745" s="186"/>
      <c r="C745" s="186" t="s">
        <v>316</v>
      </c>
      <c r="D745" s="329"/>
      <c r="E745" s="1"/>
      <c r="F745" s="1"/>
      <c r="G745" s="5"/>
      <c r="H745" s="1"/>
      <c r="I745" s="1"/>
      <c r="J745" s="5"/>
      <c r="K745" s="1"/>
      <c r="L745" s="1"/>
      <c r="M745" s="5"/>
      <c r="N745" s="1"/>
      <c r="O745" s="1"/>
      <c r="P745" s="5"/>
      <c r="Q745" s="1"/>
      <c r="R745" s="1"/>
      <c r="S745" s="5"/>
      <c r="T745" s="1"/>
      <c r="U745" s="1"/>
      <c r="V745" s="5"/>
      <c r="W745" s="1"/>
      <c r="X745" s="1"/>
      <c r="Y745" s="5"/>
      <c r="Z745" s="1"/>
      <c r="AA745" s="1"/>
      <c r="AB745" s="5"/>
      <c r="AC745" s="1"/>
      <c r="AD745" s="1"/>
      <c r="AE745" s="5"/>
      <c r="AF745" s="1"/>
      <c r="AG745" s="1"/>
      <c r="AH745" s="5"/>
      <c r="AI745" s="1"/>
      <c r="AJ745" s="1"/>
      <c r="AK745" s="5"/>
      <c r="AL745" s="1"/>
      <c r="AM745" s="1"/>
      <c r="AN745" s="5"/>
      <c r="AO745" s="1"/>
      <c r="AP745" s="1"/>
      <c r="AQ745" s="5"/>
      <c r="AR745" s="1"/>
      <c r="AS745" s="1"/>
      <c r="AT745" s="5"/>
      <c r="AU745" s="1"/>
      <c r="AV745" s="1"/>
      <c r="AW745" s="5"/>
      <c r="AX745" s="20">
        <f t="shared" ref="AX745:AY747" si="3200">BA745/1.2</f>
        <v>1944.4444444444446</v>
      </c>
      <c r="AY745" s="20">
        <f t="shared" si="3200"/>
        <v>2500</v>
      </c>
      <c r="AZ745" s="20">
        <f>SUM(AX745:AY745)</f>
        <v>4444.4444444444443</v>
      </c>
      <c r="BA745" s="28">
        <f>BA99/0.6</f>
        <v>2333.3333333333335</v>
      </c>
      <c r="BB745" s="28">
        <f>BB99/0.6</f>
        <v>3000</v>
      </c>
      <c r="BC745" s="49">
        <f>SUM(BA745:BB745)</f>
        <v>5333.3333333333339</v>
      </c>
      <c r="BD745" s="28">
        <f>BD99/0.6</f>
        <v>2683.3333333333335</v>
      </c>
      <c r="BE745" s="28">
        <f>BE99/0.6</f>
        <v>3305.9061728395059</v>
      </c>
      <c r="BF745" s="49">
        <f>SUM(BD745:BE745)</f>
        <v>5989.2395061728394</v>
      </c>
      <c r="BG745" s="28">
        <f>BG99/0.7</f>
        <v>3243</v>
      </c>
      <c r="BH745" s="28">
        <f>BH99/0.65</f>
        <v>3509.3465527065523</v>
      </c>
      <c r="BI745" s="49">
        <f>SUM(BG745:BH745)</f>
        <v>6752.3465527065528</v>
      </c>
      <c r="BJ745" s="110">
        <f>BJ99/0.7</f>
        <v>3069.4994999999994</v>
      </c>
      <c r="BK745" s="110">
        <f>BK99/0.55</f>
        <v>3993.9554084848473</v>
      </c>
      <c r="BL745" s="111">
        <f>SUM(BJ745:BK745)</f>
        <v>7063.4549084848468</v>
      </c>
      <c r="BM745" s="110">
        <f>BM99/0.6</f>
        <v>4194.3431709374991</v>
      </c>
      <c r="BN745" s="110">
        <f>BN99/0.6</f>
        <v>4466.5734651555549</v>
      </c>
      <c r="BO745" s="111">
        <f>SUM(BM745:BN745)</f>
        <v>8660.916636093054</v>
      </c>
      <c r="BP745" s="110">
        <f>BP99/0.6</f>
        <v>5578.4764173468748</v>
      </c>
      <c r="BQ745" s="110">
        <f>BQ99/0.6</f>
        <v>5024.8951482999992</v>
      </c>
      <c r="BR745" s="111">
        <f>SUM(BP745:BQ745)</f>
        <v>10603.371565646874</v>
      </c>
      <c r="BS745" s="28">
        <f>BS99/0.6</f>
        <v>6805.7412291631872</v>
      </c>
      <c r="BT745" s="28">
        <f>BT99/0.6</f>
        <v>6408.0477868210564</v>
      </c>
      <c r="BU745" s="20">
        <f>SUM(BS745:BT745)</f>
        <v>13213.789015984243</v>
      </c>
      <c r="BV745" s="28">
        <f>BV99/0.6</f>
        <v>7350.2005274962421</v>
      </c>
      <c r="BW745" s="28">
        <f>BW99/0.6</f>
        <v>7119.3410911581941</v>
      </c>
      <c r="BX745" s="184">
        <f>SUM(BV745:BW745)</f>
        <v>14469.541618654435</v>
      </c>
      <c r="BY745" s="28">
        <f>BY99/0.6</f>
        <v>7543.143291343019</v>
      </c>
      <c r="BZ745" s="28">
        <f>BZ99/0.6</f>
        <v>7332.9213238929415</v>
      </c>
      <c r="CA745" s="184">
        <f>SUM(BY745:BZ745)</f>
        <v>14876.06461523596</v>
      </c>
      <c r="CB745" s="28">
        <f>CB99/0.6</f>
        <v>8237.8667884757106</v>
      </c>
      <c r="CC745" s="28">
        <f>CC99/0.6</f>
        <v>9019.4932283883172</v>
      </c>
      <c r="CD745" s="184">
        <f>SUM(CB745:CC745)</f>
        <v>17257.360016864026</v>
      </c>
      <c r="CE745" s="28">
        <f>CE99/0.6</f>
        <v>9473.5468067470683</v>
      </c>
      <c r="CF745" s="28">
        <f>CF99/0.6</f>
        <v>10372.417212646566</v>
      </c>
      <c r="CG745" s="184">
        <f>SUM(CE745:CF745)</f>
        <v>19845.964019393636</v>
      </c>
      <c r="CH745" s="28">
        <f>CH99/0.6</f>
        <v>8261.5113448852462</v>
      </c>
      <c r="CI745" s="28">
        <f>CI99/0.6</f>
        <v>9943.6670179108824</v>
      </c>
      <c r="CJ745" s="184">
        <f>SUM(CH745:CI745)</f>
        <v>18205.178362796127</v>
      </c>
      <c r="CK745" s="28">
        <f>CK99/0.6</f>
        <v>9054.4789551861031</v>
      </c>
      <c r="CL745" s="28">
        <f>CL99/0.6</f>
        <v>8852.8926542974241</v>
      </c>
      <c r="CM745" s="184">
        <f>SUM(CK745:CL745)</f>
        <v>17907.371609483525</v>
      </c>
      <c r="CN745" s="28">
        <f>CN99/0.6</f>
        <v>8874.3151919264619</v>
      </c>
      <c r="CO745" s="28">
        <f>CO99/0.6</f>
        <v>10166.998172178426</v>
      </c>
      <c r="CP745" s="184">
        <f>SUM(CN745:CO745)</f>
        <v>19041.313364104888</v>
      </c>
      <c r="CQ745" s="28">
        <f>CQ99/0.6</f>
        <v>10382.948774553959</v>
      </c>
      <c r="CR745" s="28">
        <f>CR99/0.6</f>
        <v>11692.04789800519</v>
      </c>
      <c r="CS745" s="184">
        <f>SUM(CQ745:CR745)</f>
        <v>22074.996672559151</v>
      </c>
      <c r="CT745" s="28">
        <f>CT99/0.6</f>
        <v>11421.243652009358</v>
      </c>
      <c r="CU745" s="28">
        <f>CU99/0.6</f>
        <v>12040.391648347751</v>
      </c>
      <c r="CV745" s="184">
        <f>SUM(CT745:CU745)</f>
        <v>23461.635300357109</v>
      </c>
      <c r="CW745" s="28">
        <f>CW99/0.6</f>
        <v>13645.220324454842</v>
      </c>
      <c r="CX745" s="28">
        <f>CX99/0.6</f>
        <v>13626.528276995494</v>
      </c>
      <c r="CY745" s="20">
        <f>SUM(CW745:CX745)</f>
        <v>27271.748601450337</v>
      </c>
      <c r="CZ745" s="28">
        <f>CZ99/0.6</f>
        <v>15167.778358776477</v>
      </c>
      <c r="DA745" s="28">
        <f>DA99/0.6</f>
        <v>14852.915821925089</v>
      </c>
      <c r="DB745" s="20">
        <f>SUM(CZ745:DA745)</f>
        <v>30020.694180701568</v>
      </c>
      <c r="DC745" s="28">
        <f>DC99/0.6</f>
        <v>14864.422791600946</v>
      </c>
      <c r="DD745" s="28">
        <f>DD99/0.6</f>
        <v>13219.095081513331</v>
      </c>
      <c r="DE745" s="20">
        <f>SUM(DC745:DD745)</f>
        <v>28083.517873114277</v>
      </c>
      <c r="DF745" s="28">
        <f>DF99/0.6</f>
        <v>16350.865070761041</v>
      </c>
      <c r="DG745" s="28">
        <f>DG99/0.6</f>
        <v>9914.3213111349978</v>
      </c>
      <c r="DH745" s="20">
        <f>SUM(DF745:DG745)</f>
        <v>26265.186381896041</v>
      </c>
      <c r="DI745" s="28">
        <f>DI99/0.6</f>
        <v>14648.48972356848</v>
      </c>
      <c r="DJ745" s="28">
        <f>DJ99/0.6</f>
        <v>14791.203419942258</v>
      </c>
      <c r="DK745" s="20">
        <f>SUM(DI745:DJ745)</f>
        <v>29439.69314351074</v>
      </c>
      <c r="DL745" s="28">
        <f>DL99/0.6</f>
        <v>14766.472872971093</v>
      </c>
      <c r="DM745" s="28">
        <f>DM99/0.6</f>
        <v>15466.253330104146</v>
      </c>
      <c r="DN745" s="20">
        <f>SUM(DL745:DM745)</f>
        <v>30232.726203075239</v>
      </c>
      <c r="DO745" s="28">
        <f>DO99/0.6</f>
        <v>17642.012215622548</v>
      </c>
      <c r="DP745" s="28">
        <f>DP99/0.6</f>
        <v>19164.561156040374</v>
      </c>
      <c r="DQ745" s="20">
        <f>SUM(DO745:DP745)</f>
        <v>36806.573371662918</v>
      </c>
      <c r="DR745" s="28">
        <f>DR99/0.6</f>
        <v>21200.20088617448</v>
      </c>
      <c r="DS745" s="28">
        <f>DS99/0.6</f>
        <v>19278.824685534593</v>
      </c>
      <c r="DT745" s="20">
        <f>SUM(DR745:DS745)</f>
        <v>40479.025571709077</v>
      </c>
      <c r="DU745" s="28">
        <f>DU99/0.6</f>
        <v>21004.605806764113</v>
      </c>
      <c r="DV745" s="28">
        <f>DV99/0.6</f>
        <v>22355.053545830171</v>
      </c>
      <c r="DW745" s="20">
        <f>SUM(DU745:DV745)</f>
        <v>43359.659352594288</v>
      </c>
      <c r="DX745" s="28">
        <f>DX99/0.6</f>
        <v>22838.781179138325</v>
      </c>
      <c r="DY745" s="28">
        <f>DY99/0.6</f>
        <v>24590.558900413191</v>
      </c>
      <c r="DZ745" s="20">
        <f>SUM(DX745:DY745)</f>
        <v>47429.340079551519</v>
      </c>
      <c r="EA745" s="28">
        <f>EA99/0.6</f>
        <v>27406.537414965987</v>
      </c>
      <c r="EB745" s="28">
        <f>EB99/0.6</f>
        <v>26311.898023442114</v>
      </c>
      <c r="EC745" s="20">
        <f>SUM(EA745:EB745)</f>
        <v>53718.435438408102</v>
      </c>
      <c r="ED745" s="28">
        <f>ED99/0.6</f>
        <v>29873.125782312927</v>
      </c>
      <c r="EE745" s="28">
        <f>EE99/0.6</f>
        <v>28679.96884555191</v>
      </c>
      <c r="EF745" s="20">
        <f>SUM(ED745:EE745)</f>
        <v>58553.094627864833</v>
      </c>
      <c r="EG745" s="28">
        <f>EG99/0.6</f>
        <v>32561.707102721091</v>
      </c>
      <c r="EH745" s="28">
        <f>EH99/0.6</f>
        <v>31261.166041651584</v>
      </c>
      <c r="EI745" s="20">
        <f>SUM(EG745:EH745)</f>
        <v>63822.873144372672</v>
      </c>
      <c r="EJ745" s="28">
        <f>EJ99/0.6</f>
        <v>35492.260741965991</v>
      </c>
      <c r="EK745" s="28">
        <f>EK99/0.6</f>
        <v>34074.670985400226</v>
      </c>
      <c r="EL745" s="20">
        <f>SUM(EJ745:EK745)</f>
        <v>69566.931727366216</v>
      </c>
      <c r="EM745" s="28">
        <f>EM99/0.6</f>
        <v>38686.56420874293</v>
      </c>
      <c r="EN745" s="28">
        <f>EN99/0.6</f>
        <v>37141.391374086248</v>
      </c>
      <c r="EO745" s="20">
        <f>SUM(EM745:EN745)</f>
        <v>75827.955582829178</v>
      </c>
      <c r="EP745" s="28">
        <f>EP99/0.6</f>
        <v>42168.354987529798</v>
      </c>
      <c r="EQ745" s="28">
        <f>EQ99/0.6</f>
        <v>40484.116597754015</v>
      </c>
      <c r="ER745" s="20">
        <f>SUM(EP745:EQ745)</f>
        <v>82652.471585283813</v>
      </c>
      <c r="ES745" s="28">
        <f>ES99/0.6</f>
        <v>45963.506936407481</v>
      </c>
      <c r="ET745" s="28">
        <f>ET99/0.6</f>
        <v>44127.687091551881</v>
      </c>
      <c r="EU745" s="20">
        <f>SUM(ES745:ET745)</f>
        <v>90091.194027959369</v>
      </c>
      <c r="EV745" s="28">
        <f>EV99/0.6</f>
        <v>50100.222560684153</v>
      </c>
      <c r="EW745" s="28">
        <f>EW99/0.6</f>
        <v>48099.178929791553</v>
      </c>
      <c r="EX745" s="20">
        <f>SUM(EV745:EW745)</f>
        <v>98199.401490475706</v>
      </c>
      <c r="EY745" s="28">
        <f>EY99/0.6</f>
        <v>54609.242591145732</v>
      </c>
      <c r="EZ745" s="28">
        <f>EZ99/0.6</f>
        <v>52428.105033472792</v>
      </c>
      <c r="FA745" s="20">
        <f>SUM(EY745:EZ745)</f>
        <v>107037.34762461853</v>
      </c>
      <c r="FH745" s="35"/>
      <c r="FI745" s="35"/>
      <c r="FJ745" s="35"/>
      <c r="FK745" s="35"/>
      <c r="FL745" s="35"/>
      <c r="FM745" s="35"/>
      <c r="FN745" s="35"/>
      <c r="FO745" s="35"/>
      <c r="FP745" s="35"/>
      <c r="FQ745" s="35"/>
    </row>
    <row r="746" spans="1:173" s="321" customFormat="1" hidden="1" outlineLevel="1">
      <c r="A746" s="1168"/>
      <c r="B746" s="186"/>
      <c r="C746" s="186" t="s">
        <v>317</v>
      </c>
      <c r="D746" s="329"/>
      <c r="E746" s="1"/>
      <c r="F746" s="1"/>
      <c r="G746" s="5"/>
      <c r="H746" s="1"/>
      <c r="I746" s="1"/>
      <c r="J746" s="5"/>
      <c r="K746" s="1"/>
      <c r="L746" s="1"/>
      <c r="M746" s="5"/>
      <c r="N746" s="1"/>
      <c r="O746" s="1"/>
      <c r="P746" s="5"/>
      <c r="Q746" s="1"/>
      <c r="R746" s="1"/>
      <c r="S746" s="5"/>
      <c r="T746" s="1"/>
      <c r="U746" s="1"/>
      <c r="V746" s="5"/>
      <c r="W746" s="1"/>
      <c r="X746" s="1"/>
      <c r="Y746" s="5"/>
      <c r="Z746" s="1"/>
      <c r="AA746" s="1"/>
      <c r="AB746" s="5"/>
      <c r="AC746" s="1"/>
      <c r="AD746" s="1"/>
      <c r="AE746" s="5"/>
      <c r="AF746" s="1"/>
      <c r="AG746" s="1"/>
      <c r="AH746" s="5"/>
      <c r="AI746" s="1"/>
      <c r="AJ746" s="1"/>
      <c r="AK746" s="5"/>
      <c r="AL746" s="1"/>
      <c r="AM746" s="1"/>
      <c r="AN746" s="5"/>
      <c r="AO746" s="1"/>
      <c r="AP746" s="1"/>
      <c r="AQ746" s="5"/>
      <c r="AR746" s="1"/>
      <c r="AS746" s="1"/>
      <c r="AT746" s="5"/>
      <c r="AU746" s="1"/>
      <c r="AV746" s="1"/>
      <c r="AW746" s="5"/>
      <c r="AX746" s="20">
        <f t="shared" si="3200"/>
        <v>1309.5238095238096</v>
      </c>
      <c r="AY746" s="20">
        <f t="shared" si="3200"/>
        <v>1592.4380403928351</v>
      </c>
      <c r="AZ746" s="20">
        <f>SUM(AX746:AY746)</f>
        <v>2901.9618499166445</v>
      </c>
      <c r="BA746" s="28">
        <f>BA102/0.7</f>
        <v>1571.4285714285716</v>
      </c>
      <c r="BB746" s="28">
        <f>BB102/0.7</f>
        <v>1910.9256484714019</v>
      </c>
      <c r="BC746" s="49">
        <f>SUM(BA746:BB746)</f>
        <v>3482.3542198999735</v>
      </c>
      <c r="BD746" s="28">
        <f>BD102/0.68</f>
        <v>1908.8235294117646</v>
      </c>
      <c r="BE746" s="28">
        <f>BE102/0.68</f>
        <v>2427.0556976545058</v>
      </c>
      <c r="BF746" s="49">
        <f>SUM(BD746:BE746)</f>
        <v>4335.8792270662707</v>
      </c>
      <c r="BG746" s="28">
        <f>BG102/0.74</f>
        <v>1999.6216216216217</v>
      </c>
      <c r="BH746" s="28">
        <f>BH102/0.74</f>
        <v>2341.7807677369151</v>
      </c>
      <c r="BI746" s="49">
        <f>SUM(BG746:BH746)</f>
        <v>4341.4023893585363</v>
      </c>
      <c r="BJ746" s="110">
        <f>BJ102/0.7</f>
        <v>2198.4411428571434</v>
      </c>
      <c r="BK746" s="110">
        <f>BK102/0.7</f>
        <v>2574.6206840719005</v>
      </c>
      <c r="BL746" s="111">
        <f>SUM(BJ746:BK746)</f>
        <v>4773.0618269290444</v>
      </c>
      <c r="BM746" s="110">
        <f>BM102/0.7</f>
        <v>2399.0488971428576</v>
      </c>
      <c r="BN746" s="110">
        <f>BN102/0.7</f>
        <v>2965.9630280508291</v>
      </c>
      <c r="BO746" s="111">
        <f>SUM(BM746:BN746)</f>
        <v>5365.0119251936867</v>
      </c>
      <c r="BP746" s="110">
        <f>BP102/0.7</f>
        <v>3046.7920993714292</v>
      </c>
      <c r="BQ746" s="110">
        <f>BQ102/0.7</f>
        <v>3262.5593308559123</v>
      </c>
      <c r="BR746" s="111">
        <f>SUM(BP746:BQ746)</f>
        <v>6309.3514302273416</v>
      </c>
      <c r="BS746" s="28">
        <f>BS102/0.7</f>
        <v>3717.0863612331436</v>
      </c>
      <c r="BT746" s="28">
        <f>BT102/0.7</f>
        <v>4012.9479769527725</v>
      </c>
      <c r="BU746" s="20">
        <f>SUM(BS746:BT746)</f>
        <v>7730.0343381859166</v>
      </c>
      <c r="BV746" s="28">
        <f>BV102/0.7</f>
        <v>4609.1870879290982</v>
      </c>
      <c r="BW746" s="28">
        <f>BW102/0.7</f>
        <v>4882.4334151191288</v>
      </c>
      <c r="BX746" s="184">
        <f>SUM(BV746:BW746)</f>
        <v>9491.620503048227</v>
      </c>
      <c r="BY746" s="28">
        <f>BY102/0.7</f>
        <v>4839.6464423255529</v>
      </c>
      <c r="BZ746" s="28">
        <f>BZ102/0.7</f>
        <v>4745.7252794957931</v>
      </c>
      <c r="CA746" s="184">
        <f>SUM(BY746:BZ746)</f>
        <v>9585.371721821346</v>
      </c>
      <c r="CB746" s="28">
        <f>CB102/0.7</f>
        <v>4984.8358355953196</v>
      </c>
      <c r="CC746" s="28">
        <f>CC102/0.7</f>
        <v>5453.7874911965655</v>
      </c>
      <c r="CD746" s="184">
        <f>SUM(CB746:CC746)</f>
        <v>10438.623326791885</v>
      </c>
      <c r="CE746" s="28">
        <f>CE102/0.7</f>
        <v>6226.9101851363303</v>
      </c>
      <c r="CF746" s="28">
        <f>CF102/0.7</f>
        <v>6271.8556148760508</v>
      </c>
      <c r="CG746" s="184">
        <f>SUM(CE746:CF746)</f>
        <v>12498.765800012381</v>
      </c>
      <c r="CH746" s="28">
        <f>CH102/0.7</f>
        <v>5545.041615929008</v>
      </c>
      <c r="CI746" s="28">
        <f>CI102/0.7</f>
        <v>6012.6046359476723</v>
      </c>
      <c r="CJ746" s="184">
        <f>SUM(CH746:CI746)</f>
        <v>11557.64625187668</v>
      </c>
      <c r="CK746" s="28">
        <f>CK102/0.7</f>
        <v>6210.4466098404901</v>
      </c>
      <c r="CL746" s="28">
        <f>CL102/0.7</f>
        <v>6313.2348677450555</v>
      </c>
      <c r="CM746" s="184">
        <f>SUM(CK746:CL746)</f>
        <v>12523.681477585546</v>
      </c>
      <c r="CN746" s="28">
        <f>CN102/0.7</f>
        <v>6086.8726926344561</v>
      </c>
      <c r="CO746" s="28">
        <f>CO102/0.7</f>
        <v>7250.3587095613566</v>
      </c>
      <c r="CP746" s="184">
        <f>SUM(CN746:CO746)</f>
        <v>13337.231402195812</v>
      </c>
      <c r="CQ746" s="28">
        <f>CQ102/0.7</f>
        <v>6330.3476003398337</v>
      </c>
      <c r="CR746" s="28">
        <f>CR102/0.7</f>
        <v>7757.8838192306521</v>
      </c>
      <c r="CS746" s="184">
        <f>SUM(CQ746:CR746)</f>
        <v>14088.231419570486</v>
      </c>
      <c r="CT746" s="28">
        <f>CT102/0.7</f>
        <v>6963.3823603738183</v>
      </c>
      <c r="CU746" s="28">
        <f>CU102/0.7</f>
        <v>8223.356848384492</v>
      </c>
      <c r="CV746" s="184">
        <f>SUM(CT746:CU746)</f>
        <v>15186.73920875831</v>
      </c>
      <c r="CW746" s="28">
        <f>CW102/0.7</f>
        <v>7659.7205964112009</v>
      </c>
      <c r="CX746" s="28">
        <f>CX102/0.7</f>
        <v>9045.6925332229421</v>
      </c>
      <c r="CY746" s="20">
        <f>SUM(CW746:CX746)</f>
        <v>16705.413129634144</v>
      </c>
      <c r="CZ746" s="28">
        <f>CZ102/0.7</f>
        <v>7506.5261844829774</v>
      </c>
      <c r="DA746" s="28">
        <f>DA102/0.7</f>
        <v>11307.115666528678</v>
      </c>
      <c r="DB746" s="20">
        <f>SUM(CZ746:DA746)</f>
        <v>18813.641851011656</v>
      </c>
      <c r="DC746" s="28">
        <f>DC102/0.7</f>
        <v>8332.244064776105</v>
      </c>
      <c r="DD746" s="28">
        <f>DD102/0.7</f>
        <v>10402.546413206384</v>
      </c>
      <c r="DE746" s="20">
        <f>SUM(DC746:DD746)</f>
        <v>18734.790477982489</v>
      </c>
      <c r="DF746" s="28">
        <f>DF102/0.7</f>
        <v>9457.097013520879</v>
      </c>
      <c r="DG746" s="28">
        <f>DG102/0.7</f>
        <v>7801.9098099047878</v>
      </c>
      <c r="DH746" s="20">
        <f>SUM(DF746:DG746)</f>
        <v>17259.006823425669</v>
      </c>
      <c r="DI746" s="28">
        <f>DI102/0.7</f>
        <v>7940.5631202400182</v>
      </c>
      <c r="DJ746" s="28">
        <f>DJ102/0.7</f>
        <v>10172.319215760923</v>
      </c>
      <c r="DK746" s="20">
        <f>SUM(DI746:DJ746)</f>
        <v>18112.882336000941</v>
      </c>
      <c r="DL746" s="28">
        <f>DL102/0.7</f>
        <v>9346.0889068003016</v>
      </c>
      <c r="DM746" s="28">
        <f>DM102/0.7</f>
        <v>9882.456492405634</v>
      </c>
      <c r="DN746" s="20">
        <f>SUM(DL746:DM746)</f>
        <v>19228.545399205934</v>
      </c>
      <c r="DO746" s="28">
        <f>DO102/0.7</f>
        <v>9753.4274187092742</v>
      </c>
      <c r="DP746" s="28">
        <f>DP102/0.7</f>
        <v>10853.729143716919</v>
      </c>
      <c r="DQ746" s="20">
        <f>SUM(DO746:DP746)</f>
        <v>20607.156562426193</v>
      </c>
      <c r="DR746" s="28">
        <f>DR102/0.7</f>
        <v>10942.072544843337</v>
      </c>
      <c r="DS746" s="28">
        <f>DS102/0.7</f>
        <v>11697.93313866427</v>
      </c>
      <c r="DT746" s="20">
        <f>SUM(DR746:DS746)</f>
        <v>22640.005683507607</v>
      </c>
      <c r="DU746" s="28">
        <f>DU102/0.7</f>
        <v>11167.594299879111</v>
      </c>
      <c r="DV746" s="28">
        <f>DV102/0.7</f>
        <v>14785.938347005897</v>
      </c>
      <c r="DW746" s="20">
        <f>SUM(DU746:DV746)</f>
        <v>25953.532646885007</v>
      </c>
      <c r="DX746" s="28">
        <f>DX102/0.7</f>
        <v>12198.551020408164</v>
      </c>
      <c r="DY746" s="28">
        <f>DY102/0.7</f>
        <v>16264.532181706489</v>
      </c>
      <c r="DZ746" s="20">
        <f>SUM(DX746:DY746)</f>
        <v>28463.083202114653</v>
      </c>
      <c r="EA746" s="28">
        <f>EA102/0.7</f>
        <v>14638.261224489795</v>
      </c>
      <c r="EB746" s="28">
        <f>EB102/0.7</f>
        <v>17403.049434425946</v>
      </c>
      <c r="EC746" s="20">
        <f>SUM(EA746:EB746)</f>
        <v>32041.31065891574</v>
      </c>
      <c r="ED746" s="28">
        <f>ED102/0.7</f>
        <v>15955.704734693878</v>
      </c>
      <c r="EE746" s="28">
        <f>EE102/0.7</f>
        <v>18969.323883524281</v>
      </c>
      <c r="EF746" s="20">
        <f>SUM(ED746:EE746)</f>
        <v>34925.028618218159</v>
      </c>
      <c r="EG746" s="28">
        <f>EG102/0.7</f>
        <v>17391.718160816326</v>
      </c>
      <c r="EH746" s="28">
        <f>EH102/0.7</f>
        <v>20676.563033041468</v>
      </c>
      <c r="EI746" s="20">
        <f>SUM(EG746:EH746)</f>
        <v>38068.281193857794</v>
      </c>
      <c r="EJ746" s="28">
        <f>EJ102/0.7</f>
        <v>18956.972795289799</v>
      </c>
      <c r="EK746" s="28">
        <f>EK102/0.7</f>
        <v>22537.453706015203</v>
      </c>
      <c r="EL746" s="20">
        <f>SUM(EJ746:EK746)</f>
        <v>41494.426501305003</v>
      </c>
      <c r="EM746" s="28">
        <f>EM102/0.7</f>
        <v>20663.100346865882</v>
      </c>
      <c r="EN746" s="28">
        <f>EN102/0.7</f>
        <v>24565.824539556572</v>
      </c>
      <c r="EO746" s="20">
        <f>SUM(EM746:EN746)</f>
        <v>45228.92488642245</v>
      </c>
      <c r="EP746" s="28">
        <f>EP102/0.7</f>
        <v>22522.779378083815</v>
      </c>
      <c r="EQ746" s="28">
        <f>EQ102/0.7</f>
        <v>26776.748748116668</v>
      </c>
      <c r="ER746" s="20">
        <f>SUM(EP746:EQ746)</f>
        <v>49299.528126200486</v>
      </c>
      <c r="ES746" s="28">
        <f>ES102/0.7</f>
        <v>24549.829522111359</v>
      </c>
      <c r="ET746" s="28">
        <f>ET102/0.7</f>
        <v>29186.656135447167</v>
      </c>
      <c r="EU746" s="20">
        <f>SUM(ES746:ET746)</f>
        <v>53736.485657558529</v>
      </c>
      <c r="EV746" s="28">
        <f>EV102/0.7</f>
        <v>26759.314179101384</v>
      </c>
      <c r="EW746" s="28">
        <f>EW102/0.7</f>
        <v>31813.455187637417</v>
      </c>
      <c r="EX746" s="20">
        <f>SUM(EV746:EW746)</f>
        <v>58572.769366738801</v>
      </c>
      <c r="EY746" s="28">
        <f>EY102/0.7</f>
        <v>29167.652455220516</v>
      </c>
      <c r="EZ746" s="28">
        <f>EZ102/0.7</f>
        <v>34676.666154524792</v>
      </c>
      <c r="FA746" s="20">
        <f>SUM(EY746:EZ746)</f>
        <v>63844.318609745307</v>
      </c>
      <c r="FH746" s="35"/>
      <c r="FI746" s="35"/>
      <c r="FJ746" s="35"/>
      <c r="FK746" s="35"/>
      <c r="FL746" s="35"/>
      <c r="FM746" s="35"/>
      <c r="FN746" s="35"/>
      <c r="FO746" s="35"/>
      <c r="FP746" s="35"/>
      <c r="FQ746" s="35"/>
    </row>
    <row r="747" spans="1:173" s="321" customFormat="1" hidden="1" outlineLevel="1">
      <c r="A747" s="1168"/>
      <c r="B747" s="186"/>
      <c r="C747" s="186" t="s">
        <v>431</v>
      </c>
      <c r="D747" s="329"/>
      <c r="E747" s="1"/>
      <c r="F747" s="1"/>
      <c r="G747" s="5"/>
      <c r="H747" s="1"/>
      <c r="I747" s="1"/>
      <c r="J747" s="5"/>
      <c r="K747" s="1"/>
      <c r="L747" s="1"/>
      <c r="M747" s="5"/>
      <c r="N747" s="1"/>
      <c r="O747" s="1"/>
      <c r="P747" s="5"/>
      <c r="Q747" s="1"/>
      <c r="R747" s="1"/>
      <c r="S747" s="5"/>
      <c r="T747" s="1"/>
      <c r="U747" s="1"/>
      <c r="V747" s="5"/>
      <c r="W747" s="1"/>
      <c r="X747" s="1"/>
      <c r="Y747" s="5"/>
      <c r="Z747" s="1"/>
      <c r="AA747" s="1"/>
      <c r="AB747" s="5"/>
      <c r="AC747" s="1"/>
      <c r="AD747" s="1"/>
      <c r="AE747" s="5"/>
      <c r="AF747" s="1"/>
      <c r="AG747" s="1"/>
      <c r="AH747" s="5"/>
      <c r="AI747" s="1"/>
      <c r="AJ747" s="1"/>
      <c r="AK747" s="5"/>
      <c r="AL747" s="1"/>
      <c r="AM747" s="1"/>
      <c r="AN747" s="5"/>
      <c r="AO747" s="1"/>
      <c r="AP747" s="1"/>
      <c r="AQ747" s="5"/>
      <c r="AR747" s="1"/>
      <c r="AS747" s="1"/>
      <c r="AT747" s="5"/>
      <c r="AU747" s="1"/>
      <c r="AV747" s="1"/>
      <c r="AW747" s="5"/>
      <c r="AX747" s="20">
        <f t="shared" si="3200"/>
        <v>529.62962962962968</v>
      </c>
      <c r="AY747" s="20">
        <f t="shared" si="3200"/>
        <v>252.17782043520259</v>
      </c>
      <c r="AZ747" s="20">
        <f>SUM(AX747:AY747)</f>
        <v>781.80745006483221</v>
      </c>
      <c r="BA747" s="28">
        <f>BA105/0.9</f>
        <v>635.55555555555554</v>
      </c>
      <c r="BB747" s="28">
        <f>BB105/0.9</f>
        <v>302.61338452224311</v>
      </c>
      <c r="BC747" s="49">
        <f>SUM(BA747:BB747)</f>
        <v>938.16894007779865</v>
      </c>
      <c r="BD747" s="28">
        <f>BD105/0.9</f>
        <v>777.77777777777771</v>
      </c>
      <c r="BE747" s="28">
        <f>BE105/0.9</f>
        <v>670.06491321248052</v>
      </c>
      <c r="BF747" s="49">
        <f>SUM(BD747:BE747)</f>
        <v>1447.8426909902582</v>
      </c>
      <c r="BG747" s="28">
        <f>BG105/0.9</f>
        <v>735.75555555555547</v>
      </c>
      <c r="BH747" s="28">
        <f>BH105/0.9</f>
        <v>1002.2299695726931</v>
      </c>
      <c r="BI747" s="49">
        <f>SUM(BG747:BH747)</f>
        <v>1737.9855251282486</v>
      </c>
      <c r="BJ747" s="110">
        <f>BJ105/0.9</f>
        <v>882.90666666666698</v>
      </c>
      <c r="BK747" s="110">
        <f>BK105/0.9</f>
        <v>917.04042215901416</v>
      </c>
      <c r="BL747" s="111">
        <f>SUM(BJ747:BK747)</f>
        <v>1799.947088825681</v>
      </c>
      <c r="BM747" s="110">
        <f>BM105/0.9</f>
        <v>909.39386666666701</v>
      </c>
      <c r="BN747" s="110">
        <f>BN105/0.9</f>
        <v>1146.3005276987678</v>
      </c>
      <c r="BO747" s="111">
        <f>SUM(BM747:BN747)</f>
        <v>2055.6943943654351</v>
      </c>
      <c r="BP747" s="110">
        <f>BP105/0.9</f>
        <v>1154.9302106666671</v>
      </c>
      <c r="BQ747" s="110">
        <f>BQ105/0.9</f>
        <v>1203.6155540837062</v>
      </c>
      <c r="BR747" s="111">
        <f>SUM(BP747:BQ747)</f>
        <v>2358.5457647503736</v>
      </c>
      <c r="BS747" s="28">
        <f>BS105/0.9</f>
        <v>1392.8458340640007</v>
      </c>
      <c r="BT747" s="28">
        <f>BT105/0.9</f>
        <v>1504.5194426046328</v>
      </c>
      <c r="BU747" s="20">
        <f>SUM(BS747:BT747)</f>
        <v>2897.3652766686337</v>
      </c>
      <c r="BV747" s="28">
        <f>BV105/0.9</f>
        <v>1479.2022757759689</v>
      </c>
      <c r="BW747" s="28">
        <f>BW105/0.9</f>
        <v>1745.2425534213739</v>
      </c>
      <c r="BX747" s="184">
        <f>SUM(BV747:BW747)</f>
        <v>3224.4448291973431</v>
      </c>
      <c r="BY747" s="28">
        <f>BY105/0.9</f>
        <v>1405.2421619871704</v>
      </c>
      <c r="BZ747" s="28">
        <f>BZ105/0.9</f>
        <v>1835.9951661992852</v>
      </c>
      <c r="CA747" s="184">
        <f>SUM(BY747:BZ747)</f>
        <v>3241.2373281864557</v>
      </c>
      <c r="CB747" s="28">
        <f>CB105/0.9</f>
        <v>1531.7139565660159</v>
      </c>
      <c r="CC747" s="28">
        <f>CC105/0.9</f>
        <v>2203.1941994391423</v>
      </c>
      <c r="CD747" s="184">
        <f>SUM(CB747:CC747)</f>
        <v>3734.9081560051582</v>
      </c>
      <c r="CE747" s="28">
        <f>CE105/0.9</f>
        <v>1913.3719848403641</v>
      </c>
      <c r="CF747" s="28">
        <f>CF105/0.9</f>
        <v>2535.8341577764709</v>
      </c>
      <c r="CG747" s="184">
        <f>SUM(CE747:CF747)</f>
        <v>4449.2061426168348</v>
      </c>
      <c r="CH747" s="28">
        <f>CH105/0.9</f>
        <v>2095.1423234001986</v>
      </c>
      <c r="CI747" s="28">
        <f>CI105/0.9</f>
        <v>2431.0139054982997</v>
      </c>
      <c r="CJ747" s="184">
        <f>SUM(CH747:CI747)</f>
        <v>4526.1562288984987</v>
      </c>
      <c r="CK747" s="28">
        <f>CK105/0.9</f>
        <v>4324.4444444444453</v>
      </c>
      <c r="CL747" s="28">
        <f>CL105/0.9</f>
        <v>3634.4444444444439</v>
      </c>
      <c r="CM747" s="184">
        <f>SUM(CK747:CL747)</f>
        <v>7958.8888888888887</v>
      </c>
      <c r="CN747" s="28">
        <f>CN105/0.9</f>
        <v>2362.8888888888896</v>
      </c>
      <c r="CO747" s="28">
        <f>CO105/0.9</f>
        <v>3455.0555555555547</v>
      </c>
      <c r="CP747" s="184">
        <f>SUM(CN747:CO747)</f>
        <v>5817.9444444444443</v>
      </c>
      <c r="CQ747" s="28">
        <f>CQ105/0.9</f>
        <v>1142.2082389219327</v>
      </c>
      <c r="CR747" s="28">
        <f>CR105/0.9</f>
        <v>3003.6139863727008</v>
      </c>
      <c r="CS747" s="184">
        <f>SUM(CQ747:CR747)</f>
        <v>4145.8222252946334</v>
      </c>
      <c r="CT747" s="28">
        <f>CT105/0.9</f>
        <v>3356.5401739252366</v>
      </c>
      <c r="CU747" s="28">
        <f>CU105/0.9</f>
        <v>2714.9057968024472</v>
      </c>
      <c r="CV747" s="184">
        <f>SUM(CT747:CU747)</f>
        <v>6071.4459707276837</v>
      </c>
      <c r="CW747" s="28">
        <f>CW105/0.9</f>
        <v>2983.4037642658395</v>
      </c>
      <c r="CX747" s="28">
        <f>CX105/0.9</f>
        <v>2013.4425117184924</v>
      </c>
      <c r="CY747" s="20">
        <f>SUM(CW747:CX747)</f>
        <v>4996.8462759843314</v>
      </c>
      <c r="CZ747" s="28">
        <f>CZ105/0.9</f>
        <v>1796.4051728844897</v>
      </c>
      <c r="DA747" s="28">
        <f>DA105/0.9</f>
        <v>2734.7439336387333</v>
      </c>
      <c r="DB747" s="20">
        <f>SUM(CZ747:DA747)</f>
        <v>4531.1491065232231</v>
      </c>
      <c r="DC747" s="28">
        <f>DC105/0.9</f>
        <v>2209.7505329957321</v>
      </c>
      <c r="DD747" s="28">
        <f>DD105/0.9</f>
        <v>2366.4005131639269</v>
      </c>
      <c r="DE747" s="20">
        <f>SUM(DC747:DD747)</f>
        <v>4576.151046159659</v>
      </c>
      <c r="DF747" s="28">
        <f>DF105/0.9</f>
        <v>2737.2367200875096</v>
      </c>
      <c r="DG747" s="28">
        <f>DG105/0.9</f>
        <v>1508.9670515396119</v>
      </c>
      <c r="DH747" s="20">
        <f>SUM(DF747:DG747)</f>
        <v>4246.2037716271216</v>
      </c>
      <c r="DI747" s="28">
        <f>DI105/0.9</f>
        <v>3366.1244241009995</v>
      </c>
      <c r="DJ747" s="28">
        <f>DJ105/0.9</f>
        <v>3426.2827744466654</v>
      </c>
      <c r="DK747" s="20">
        <f>SUM(DI747:DJ747)</f>
        <v>6792.4071985476648</v>
      </c>
      <c r="DL747" s="28">
        <f>DL105/0.9</f>
        <v>3550.9489349523687</v>
      </c>
      <c r="DM747" s="28">
        <f>DM105/0.9</f>
        <v>3762.8093969484135</v>
      </c>
      <c r="DN747" s="20">
        <f>SUM(DL747:DM747)</f>
        <v>7313.7583319007827</v>
      </c>
      <c r="DO747" s="28">
        <f>DO105/0.9</f>
        <v>4262.6594194777535</v>
      </c>
      <c r="DP747" s="28">
        <f>DP105/0.9</f>
        <v>4234.0587841932575</v>
      </c>
      <c r="DQ747" s="20">
        <f>SUM(DO747:DP747)</f>
        <v>8496.718203671011</v>
      </c>
      <c r="DR747" s="28">
        <f>DR105/0.9</f>
        <v>4237.142985449972</v>
      </c>
      <c r="DS747" s="28">
        <f>DS105/0.9</f>
        <v>4545.7244351269492</v>
      </c>
      <c r="DT747" s="20">
        <f>SUM(DR747:DS747)</f>
        <v>8782.8674205769203</v>
      </c>
      <c r="DU747" s="28">
        <f>DU105/0.9</f>
        <v>5522.1338955846177</v>
      </c>
      <c r="DV747" s="28">
        <f>DV105/0.9</f>
        <v>5349.7900328864162</v>
      </c>
      <c r="DW747" s="20">
        <f>SUM(DU747:DV747)</f>
        <v>10871.923928471035</v>
      </c>
      <c r="DX747" s="28">
        <f>DX105/0.9</f>
        <v>5304.1617535903251</v>
      </c>
      <c r="DY747" s="28">
        <f>DY105/0.9</f>
        <v>5884.7690361750583</v>
      </c>
      <c r="DZ747" s="20">
        <f>SUM(DX747:DY747)</f>
        <v>11188.930789765383</v>
      </c>
      <c r="EA747" s="28">
        <f>EA105/0.9</f>
        <v>6364.99410430839</v>
      </c>
      <c r="EB747" s="28">
        <f>EB105/0.9</f>
        <v>6296.7028687073125</v>
      </c>
      <c r="EC747" s="20">
        <f>SUM(EA747:EB747)</f>
        <v>12661.696973015703</v>
      </c>
      <c r="ED747" s="28">
        <f>ED105/0.9</f>
        <v>6937.8435736961455</v>
      </c>
      <c r="EE747" s="28">
        <f>EE105/0.9</f>
        <v>6863.4061268909718</v>
      </c>
      <c r="EF747" s="20">
        <f>SUM(ED747:EE747)</f>
        <v>13801.249700587117</v>
      </c>
      <c r="EG747" s="28">
        <f>EG105/0.9</f>
        <v>7562.2494953287987</v>
      </c>
      <c r="EH747" s="28">
        <f>EH105/0.9</f>
        <v>7481.1126783111595</v>
      </c>
      <c r="EI747" s="20">
        <f>SUM(EG747:EH747)</f>
        <v>15043.362173639958</v>
      </c>
      <c r="EJ747" s="28">
        <f>EJ105/0.9</f>
        <v>8242.8519499083905</v>
      </c>
      <c r="EK747" s="28">
        <f>EK105/0.9</f>
        <v>8154.4128193591641</v>
      </c>
      <c r="EL747" s="20">
        <f>SUM(EJ747:EK747)</f>
        <v>16397.264769267553</v>
      </c>
      <c r="EM747" s="28">
        <f>EM105/0.9</f>
        <v>8984.7086254001479</v>
      </c>
      <c r="EN747" s="28">
        <f>EN105/0.9</f>
        <v>8888.30997310149</v>
      </c>
      <c r="EO747" s="20">
        <f>SUM(EM747:EN747)</f>
        <v>17873.018598501636</v>
      </c>
      <c r="EP747" s="28">
        <f>EP105/0.9</f>
        <v>9793.3324016861625</v>
      </c>
      <c r="EQ747" s="28">
        <f>EQ105/0.9</f>
        <v>9688.2578706806253</v>
      </c>
      <c r="ER747" s="20">
        <f>SUM(EP747:EQ747)</f>
        <v>19481.59027236679</v>
      </c>
      <c r="ES747" s="28">
        <f>ES105/0.9</f>
        <v>10674.732317837917</v>
      </c>
      <c r="ET747" s="28">
        <f>ET105/0.9</f>
        <v>10560.201079041881</v>
      </c>
      <c r="EU747" s="20">
        <f>SUM(ES747:ET747)</f>
        <v>21234.933396879798</v>
      </c>
      <c r="EV747" s="28">
        <f>EV105/0.9</f>
        <v>11635.458226443332</v>
      </c>
      <c r="EW747" s="28">
        <f>EW105/0.9</f>
        <v>11510.619176155651</v>
      </c>
      <c r="EX747" s="20">
        <f>SUM(EV747:EW747)</f>
        <v>23146.077402598981</v>
      </c>
      <c r="EY747" s="28">
        <f>EY105/0.9</f>
        <v>12682.649466823232</v>
      </c>
      <c r="EZ747" s="28">
        <f>EZ105/0.9</f>
        <v>12546.574902009659</v>
      </c>
      <c r="FA747" s="20">
        <f>SUM(EY747:EZ747)</f>
        <v>25229.224368832889</v>
      </c>
      <c r="FH747" s="35"/>
      <c r="FI747" s="35"/>
      <c r="FJ747" s="35"/>
      <c r="FK747" s="35"/>
      <c r="FL747" s="35"/>
      <c r="FM747" s="35"/>
      <c r="FN747" s="35"/>
      <c r="FO747" s="35"/>
      <c r="FP747" s="35"/>
      <c r="FQ747" s="35"/>
    </row>
    <row r="748" spans="1:173" s="321" customFormat="1" hidden="1" outlineLevel="1">
      <c r="A748" s="1168"/>
      <c r="B748" s="186"/>
      <c r="C748" s="186" t="s">
        <v>327</v>
      </c>
      <c r="D748" s="329"/>
      <c r="E748" s="1"/>
      <c r="F748" s="1"/>
      <c r="G748" s="5"/>
      <c r="H748" s="1"/>
      <c r="I748" s="1"/>
      <c r="J748" s="5"/>
      <c r="K748" s="1"/>
      <c r="L748" s="1"/>
      <c r="M748" s="5"/>
      <c r="N748" s="1"/>
      <c r="O748" s="1"/>
      <c r="P748" s="5"/>
      <c r="Q748" s="1"/>
      <c r="R748" s="1"/>
      <c r="S748" s="5"/>
      <c r="T748" s="1"/>
      <c r="U748" s="1"/>
      <c r="V748" s="5">
        <v>5000</v>
      </c>
      <c r="W748" s="1"/>
      <c r="X748" s="1"/>
      <c r="Y748" s="5"/>
      <c r="Z748" s="1"/>
      <c r="AA748" s="1"/>
      <c r="AB748" s="5"/>
      <c r="AC748" s="1"/>
      <c r="AD748" s="1"/>
      <c r="AE748" s="5"/>
      <c r="AF748" s="1"/>
      <c r="AG748" s="1"/>
      <c r="AH748" s="5"/>
      <c r="AI748" s="1"/>
      <c r="AJ748" s="1"/>
      <c r="AK748" s="5"/>
      <c r="AL748" s="1"/>
      <c r="AM748" s="1"/>
      <c r="AN748" s="5"/>
      <c r="AO748" s="1"/>
      <c r="AP748" s="1"/>
      <c r="AQ748" s="5"/>
      <c r="AR748" s="1"/>
      <c r="AS748" s="1"/>
      <c r="AT748" s="5"/>
      <c r="AU748" s="1"/>
      <c r="AV748" s="1"/>
      <c r="AW748" s="5"/>
      <c r="AX748" s="20">
        <f>SUM(AX745:AX747)</f>
        <v>3783.597883597884</v>
      </c>
      <c r="AY748" s="20">
        <f>SUM(AY745:AY747)</f>
        <v>4344.6158608280375</v>
      </c>
      <c r="AZ748" s="20">
        <f>SUM(AX748:AY748)</f>
        <v>8128.2137444259215</v>
      </c>
      <c r="BA748" s="28">
        <f>SUM(BA745:BA747)</f>
        <v>4540.3174603174602</v>
      </c>
      <c r="BB748" s="28">
        <f>SUM(BB745:BB747)</f>
        <v>5213.5390329936454</v>
      </c>
      <c r="BC748" s="49">
        <f>SUM(BA748:BB748)</f>
        <v>9753.8564933111047</v>
      </c>
      <c r="BD748" s="28">
        <f>SUM(BD745:BD747)</f>
        <v>5369.9346405228753</v>
      </c>
      <c r="BE748" s="28">
        <f>SUM(BE745:BE747)</f>
        <v>6403.0267837064921</v>
      </c>
      <c r="BF748" s="49">
        <f>SUM(BD748:BE748)</f>
        <v>11772.961424229368</v>
      </c>
      <c r="BG748" s="28">
        <f t="shared" ref="BG748:CL748" si="3201">SUM(BG745:BG747)</f>
        <v>5978.3771771771771</v>
      </c>
      <c r="BH748" s="28">
        <f t="shared" si="3201"/>
        <v>6853.3572900161607</v>
      </c>
      <c r="BI748" s="49">
        <f t="shared" si="3201"/>
        <v>12831.734467193337</v>
      </c>
      <c r="BJ748" s="110">
        <f t="shared" si="3201"/>
        <v>6150.8473095238096</v>
      </c>
      <c r="BK748" s="110">
        <f t="shared" si="3201"/>
        <v>7485.6165147157626</v>
      </c>
      <c r="BL748" s="111">
        <f t="shared" si="3201"/>
        <v>13636.46382423957</v>
      </c>
      <c r="BM748" s="110">
        <f t="shared" si="3201"/>
        <v>7502.7859347470239</v>
      </c>
      <c r="BN748" s="110">
        <f t="shared" si="3201"/>
        <v>8578.8370209051518</v>
      </c>
      <c r="BO748" s="111">
        <f t="shared" si="3201"/>
        <v>16081.622955652176</v>
      </c>
      <c r="BP748" s="110">
        <f t="shared" si="3201"/>
        <v>9780.1987273849718</v>
      </c>
      <c r="BQ748" s="110">
        <f t="shared" si="3201"/>
        <v>9491.0700332396173</v>
      </c>
      <c r="BR748" s="111">
        <f t="shared" si="3201"/>
        <v>19271.268760624589</v>
      </c>
      <c r="BS748" s="28">
        <f t="shared" si="3201"/>
        <v>11915.673424460332</v>
      </c>
      <c r="BT748" s="28">
        <f t="shared" si="3201"/>
        <v>11925.515206378463</v>
      </c>
      <c r="BU748" s="20">
        <f t="shared" si="3201"/>
        <v>23841.188630838791</v>
      </c>
      <c r="BV748" s="28">
        <f t="shared" si="3201"/>
        <v>13438.589891201311</v>
      </c>
      <c r="BW748" s="28">
        <f t="shared" si="3201"/>
        <v>13747.017059698697</v>
      </c>
      <c r="BX748" s="184">
        <f t="shared" si="3201"/>
        <v>27185.606950900004</v>
      </c>
      <c r="BY748" s="28">
        <f t="shared" si="3201"/>
        <v>13788.031895655742</v>
      </c>
      <c r="BZ748" s="28">
        <f t="shared" si="3201"/>
        <v>13914.641769588019</v>
      </c>
      <c r="CA748" s="184">
        <f t="shared" si="3201"/>
        <v>27702.673665243761</v>
      </c>
      <c r="CB748" s="28">
        <f t="shared" si="3201"/>
        <v>14754.416580637046</v>
      </c>
      <c r="CC748" s="28">
        <f t="shared" si="3201"/>
        <v>16676.474919024025</v>
      </c>
      <c r="CD748" s="184">
        <f t="shared" si="3201"/>
        <v>31430.891499661069</v>
      </c>
      <c r="CE748" s="28">
        <f t="shared" si="3201"/>
        <v>17613.828976723762</v>
      </c>
      <c r="CF748" s="28">
        <f t="shared" si="3201"/>
        <v>19180.106985299088</v>
      </c>
      <c r="CG748" s="184">
        <f t="shared" si="3201"/>
        <v>36793.93596202285</v>
      </c>
      <c r="CH748" s="28">
        <f t="shared" si="3201"/>
        <v>15901.695284214453</v>
      </c>
      <c r="CI748" s="28">
        <f t="shared" si="3201"/>
        <v>18387.285559356857</v>
      </c>
      <c r="CJ748" s="184">
        <f t="shared" si="3201"/>
        <v>34288.980843571306</v>
      </c>
      <c r="CK748" s="28">
        <f t="shared" si="3201"/>
        <v>19589.370009471037</v>
      </c>
      <c r="CL748" s="28">
        <f t="shared" si="3201"/>
        <v>18800.571966486925</v>
      </c>
      <c r="CM748" s="184">
        <f t="shared" ref="CM748:DR748" si="3202">SUM(CM745:CM747)</f>
        <v>38389.941975957961</v>
      </c>
      <c r="CN748" s="28">
        <f t="shared" si="3202"/>
        <v>17324.076773449808</v>
      </c>
      <c r="CO748" s="28">
        <f t="shared" si="3202"/>
        <v>20872.412437295337</v>
      </c>
      <c r="CP748" s="184">
        <f t="shared" si="3202"/>
        <v>38196.489210745145</v>
      </c>
      <c r="CQ748" s="28">
        <f t="shared" si="3202"/>
        <v>17855.504613815723</v>
      </c>
      <c r="CR748" s="28">
        <f t="shared" si="3202"/>
        <v>22453.545703608543</v>
      </c>
      <c r="CS748" s="184">
        <f t="shared" si="3202"/>
        <v>40309.050317424269</v>
      </c>
      <c r="CT748" s="28">
        <f t="shared" si="3202"/>
        <v>21741.166186308412</v>
      </c>
      <c r="CU748" s="28">
        <f t="shared" si="3202"/>
        <v>22978.654293534692</v>
      </c>
      <c r="CV748" s="184">
        <f t="shared" si="3202"/>
        <v>44719.820479843103</v>
      </c>
      <c r="CW748" s="28">
        <f t="shared" si="3202"/>
        <v>24288.344685131884</v>
      </c>
      <c r="CX748" s="28">
        <f t="shared" si="3202"/>
        <v>24685.663321936929</v>
      </c>
      <c r="CY748" s="20">
        <f t="shared" si="3202"/>
        <v>48974.008007068813</v>
      </c>
      <c r="CZ748" s="28">
        <f t="shared" si="3202"/>
        <v>24470.709716143945</v>
      </c>
      <c r="DA748" s="28">
        <f t="shared" si="3202"/>
        <v>28894.775422092498</v>
      </c>
      <c r="DB748" s="20">
        <f t="shared" si="3202"/>
        <v>53365.48513823645</v>
      </c>
      <c r="DC748" s="28">
        <f t="shared" si="3202"/>
        <v>25406.417389372782</v>
      </c>
      <c r="DD748" s="28">
        <f t="shared" si="3202"/>
        <v>25988.042007883643</v>
      </c>
      <c r="DE748" s="20">
        <f t="shared" si="3202"/>
        <v>51394.459397256433</v>
      </c>
      <c r="DF748" s="28">
        <f t="shared" si="3202"/>
        <v>28545.198804369429</v>
      </c>
      <c r="DG748" s="28">
        <f t="shared" si="3202"/>
        <v>19225.198172579396</v>
      </c>
      <c r="DH748" s="20">
        <f t="shared" si="3202"/>
        <v>47770.396976948832</v>
      </c>
      <c r="DI748" s="28">
        <f t="shared" si="3202"/>
        <v>25955.177267909497</v>
      </c>
      <c r="DJ748" s="28">
        <f t="shared" si="3202"/>
        <v>28389.805410149846</v>
      </c>
      <c r="DK748" s="20">
        <f t="shared" si="3202"/>
        <v>54344.982678059343</v>
      </c>
      <c r="DL748" s="28">
        <f t="shared" si="3202"/>
        <v>27663.510714723761</v>
      </c>
      <c r="DM748" s="28">
        <f t="shared" si="3202"/>
        <v>29111.519219458194</v>
      </c>
      <c r="DN748" s="20">
        <f t="shared" si="3202"/>
        <v>56775.029934181955</v>
      </c>
      <c r="DO748" s="28">
        <f t="shared" si="3202"/>
        <v>31658.099053809576</v>
      </c>
      <c r="DP748" s="28">
        <f t="shared" si="3202"/>
        <v>34252.349083950554</v>
      </c>
      <c r="DQ748" s="20">
        <f t="shared" si="3202"/>
        <v>65910.448137760119</v>
      </c>
      <c r="DR748" s="28">
        <f t="shared" si="3202"/>
        <v>36379.416416467786</v>
      </c>
      <c r="DS748" s="28">
        <f t="shared" ref="DS748:EF748" si="3203">SUM(DS745:DS747)</f>
        <v>35522.482259325814</v>
      </c>
      <c r="DT748" s="20">
        <f t="shared" si="3203"/>
        <v>71901.898675793607</v>
      </c>
      <c r="DU748" s="28">
        <f t="shared" si="3203"/>
        <v>37694.334002227843</v>
      </c>
      <c r="DV748" s="28">
        <f t="shared" si="3203"/>
        <v>42490.781925722491</v>
      </c>
      <c r="DW748" s="20">
        <f t="shared" si="3203"/>
        <v>80185.115927950334</v>
      </c>
      <c r="DX748" s="28">
        <f t="shared" si="3203"/>
        <v>40341.493953136815</v>
      </c>
      <c r="DY748" s="28">
        <f t="shared" si="3203"/>
        <v>46739.860118294739</v>
      </c>
      <c r="DZ748" s="20">
        <f t="shared" si="3203"/>
        <v>87081.354071431546</v>
      </c>
      <c r="EA748" s="28">
        <f t="shared" si="3203"/>
        <v>48409.79274376417</v>
      </c>
      <c r="EB748" s="28">
        <f t="shared" si="3203"/>
        <v>50011.650326575371</v>
      </c>
      <c r="EC748" s="20">
        <f t="shared" si="3203"/>
        <v>98421.443070339534</v>
      </c>
      <c r="ED748" s="28">
        <f t="shared" si="3203"/>
        <v>52766.674090702953</v>
      </c>
      <c r="EE748" s="28">
        <f t="shared" si="3203"/>
        <v>54512.698855967159</v>
      </c>
      <c r="EF748" s="20">
        <f t="shared" si="3203"/>
        <v>107279.3729466701</v>
      </c>
      <c r="EG748" s="28">
        <f t="shared" ref="EG748:EL748" si="3204">SUM(EG745:EG747)</f>
        <v>57515.674758866211</v>
      </c>
      <c r="EH748" s="28">
        <f t="shared" si="3204"/>
        <v>59418.841753004213</v>
      </c>
      <c r="EI748" s="20">
        <f t="shared" si="3204"/>
        <v>116934.51651187043</v>
      </c>
      <c r="EJ748" s="28">
        <f t="shared" si="3204"/>
        <v>62692.085487164179</v>
      </c>
      <c r="EK748" s="28">
        <f t="shared" si="3204"/>
        <v>64766.537510774593</v>
      </c>
      <c r="EL748" s="20">
        <f t="shared" si="3204"/>
        <v>127458.62299793877</v>
      </c>
      <c r="EM748" s="28">
        <f t="shared" ref="EM748:ER748" si="3205">SUM(EM745:EM747)</f>
        <v>68334.373181008967</v>
      </c>
      <c r="EN748" s="28">
        <f t="shared" si="3205"/>
        <v>70595.525886744319</v>
      </c>
      <c r="EO748" s="20">
        <f t="shared" si="3205"/>
        <v>138929.89906775326</v>
      </c>
      <c r="EP748" s="28">
        <f t="shared" si="3205"/>
        <v>74484.466767299775</v>
      </c>
      <c r="EQ748" s="28">
        <f t="shared" si="3205"/>
        <v>76949.123216551307</v>
      </c>
      <c r="ER748" s="20">
        <f t="shared" si="3205"/>
        <v>151433.5899838511</v>
      </c>
      <c r="ES748" s="28">
        <f t="shared" ref="ES748:EX748" si="3206">SUM(ES745:ES747)</f>
        <v>81188.068776356755</v>
      </c>
      <c r="ET748" s="28">
        <f t="shared" si="3206"/>
        <v>83874.544306040931</v>
      </c>
      <c r="EU748" s="20">
        <f t="shared" si="3206"/>
        <v>165062.6130823977</v>
      </c>
      <c r="EV748" s="28">
        <f t="shared" si="3206"/>
        <v>88494.994966228871</v>
      </c>
      <c r="EW748" s="28">
        <f t="shared" si="3206"/>
        <v>91423.253293584625</v>
      </c>
      <c r="EX748" s="20">
        <f t="shared" si="3206"/>
        <v>179918.2482598135</v>
      </c>
      <c r="EY748" s="28">
        <f t="shared" ref="EY748:FA748" si="3207">SUM(EY745:EY747)</f>
        <v>96459.544513189481</v>
      </c>
      <c r="EZ748" s="28">
        <f t="shared" si="3207"/>
        <v>99651.346090007239</v>
      </c>
      <c r="FA748" s="20">
        <f t="shared" si="3207"/>
        <v>196110.89060319672</v>
      </c>
      <c r="FH748" s="35"/>
      <c r="FI748" s="35"/>
      <c r="FJ748" s="35"/>
      <c r="FK748" s="35"/>
      <c r="FL748" s="35"/>
      <c r="FM748" s="35"/>
      <c r="FN748" s="35"/>
      <c r="FO748" s="35"/>
      <c r="FP748" s="35"/>
      <c r="FQ748" s="35"/>
    </row>
    <row r="749" spans="1:173" s="321" customFormat="1" hidden="1" outlineLevel="1">
      <c r="A749" s="1168"/>
      <c r="B749" s="186"/>
      <c r="C749" s="35"/>
      <c r="D749" s="329"/>
      <c r="E749" s="1"/>
      <c r="F749" s="1"/>
      <c r="G749" s="5"/>
      <c r="H749" s="1"/>
      <c r="I749" s="1"/>
      <c r="J749" s="5"/>
      <c r="K749" s="1"/>
      <c r="L749" s="1"/>
      <c r="M749" s="5"/>
      <c r="N749" s="1"/>
      <c r="O749" s="1"/>
      <c r="P749" s="5"/>
      <c r="Q749" s="1"/>
      <c r="R749" s="1"/>
      <c r="S749" s="5"/>
      <c r="T749" s="1"/>
      <c r="U749" s="1"/>
      <c r="V749" s="5"/>
      <c r="W749" s="1"/>
      <c r="X749" s="1"/>
      <c r="Y749" s="5"/>
      <c r="Z749" s="1"/>
      <c r="AA749" s="1"/>
      <c r="AB749" s="5"/>
      <c r="AC749" s="1"/>
      <c r="AD749" s="1"/>
      <c r="AE749" s="5"/>
      <c r="AF749" s="1"/>
      <c r="AG749" s="1"/>
      <c r="AH749" s="5"/>
      <c r="AI749" s="1"/>
      <c r="AJ749" s="1"/>
      <c r="AK749" s="5"/>
      <c r="AL749" s="1"/>
      <c r="AM749" s="1"/>
      <c r="AN749" s="5"/>
      <c r="AO749" s="1"/>
      <c r="AP749" s="1"/>
      <c r="AQ749" s="5"/>
      <c r="AR749" s="1"/>
      <c r="AS749" s="1"/>
      <c r="AT749" s="5"/>
      <c r="AU749" s="1"/>
      <c r="AV749" s="1"/>
      <c r="AW749" s="5"/>
      <c r="AX749" s="1"/>
      <c r="AY749" s="1"/>
      <c r="AZ749" s="35"/>
      <c r="BA749" s="4">
        <f t="shared" ref="BA749:CF749" si="3208">(BA748-AX748)/AX748</f>
        <v>0.19999999999999984</v>
      </c>
      <c r="BB749" s="4">
        <f t="shared" si="3208"/>
        <v>0.20000000000000009</v>
      </c>
      <c r="BC749" s="54">
        <f t="shared" si="3208"/>
        <v>0.19999999999999987</v>
      </c>
      <c r="BD749" s="4">
        <f t="shared" si="3208"/>
        <v>0.18272228483058714</v>
      </c>
      <c r="BE749" s="4">
        <f t="shared" si="3208"/>
        <v>0.22815360989631561</v>
      </c>
      <c r="BF749" s="54">
        <f t="shared" si="3208"/>
        <v>0.20700580660612586</v>
      </c>
      <c r="BG749" s="4">
        <f t="shared" si="3208"/>
        <v>0.11330538961551631</v>
      </c>
      <c r="BH749" s="4">
        <f t="shared" si="3208"/>
        <v>7.0330879679529903E-2</v>
      </c>
      <c r="BI749" s="54">
        <f t="shared" si="3208"/>
        <v>8.9932601051843974E-2</v>
      </c>
      <c r="BJ749" s="121">
        <f t="shared" si="3208"/>
        <v>2.8848988151006564E-2</v>
      </c>
      <c r="BK749" s="121">
        <f t="shared" si="3208"/>
        <v>9.2255400958106318E-2</v>
      </c>
      <c r="BL749" s="114">
        <f t="shared" si="3208"/>
        <v>6.2713997012926848E-2</v>
      </c>
      <c r="BM749" s="121">
        <f t="shared" si="3208"/>
        <v>0.2197971364254008</v>
      </c>
      <c r="BN749" s="121">
        <f t="shared" si="3208"/>
        <v>0.14604281478222372</v>
      </c>
      <c r="BO749" s="114">
        <f t="shared" si="3208"/>
        <v>0.17931035222388075</v>
      </c>
      <c r="BP749" s="121">
        <f t="shared" si="3208"/>
        <v>0.30354228581822612</v>
      </c>
      <c r="BQ749" s="121">
        <f t="shared" si="3208"/>
        <v>0.10633527716070493</v>
      </c>
      <c r="BR749" s="114">
        <f t="shared" si="3208"/>
        <v>0.198341038946654</v>
      </c>
      <c r="BS749" s="4">
        <f t="shared" si="3208"/>
        <v>0.21834675926327965</v>
      </c>
      <c r="BT749" s="4">
        <f t="shared" si="3208"/>
        <v>0.25649849433340327</v>
      </c>
      <c r="BU749" s="10">
        <f t="shared" si="3208"/>
        <v>0.23713642972753027</v>
      </c>
      <c r="BV749" s="4">
        <f t="shared" si="3208"/>
        <v>0.12780783867529941</v>
      </c>
      <c r="BW749" s="4">
        <f t="shared" si="3208"/>
        <v>0.1527398876944108</v>
      </c>
      <c r="BX749" s="185">
        <f t="shared" si="3208"/>
        <v>0.14027900923258407</v>
      </c>
      <c r="BY749" s="4">
        <f t="shared" si="3208"/>
        <v>2.600287733188603E-2</v>
      </c>
      <c r="BZ749" s="4">
        <f t="shared" si="3208"/>
        <v>1.219353327062764E-2</v>
      </c>
      <c r="CA749" s="185">
        <f t="shared" si="3208"/>
        <v>1.9019870156941218E-2</v>
      </c>
      <c r="CB749" s="4">
        <f t="shared" si="3208"/>
        <v>7.0088660390014532E-2</v>
      </c>
      <c r="CC749" s="4">
        <f t="shared" si="3208"/>
        <v>0.19848395633671984</v>
      </c>
      <c r="CD749" s="185">
        <f t="shared" si="3208"/>
        <v>0.13457971167219115</v>
      </c>
      <c r="CE749" s="4">
        <f t="shared" si="3208"/>
        <v>0.19380043802201338</v>
      </c>
      <c r="CF749" s="4">
        <f t="shared" si="3208"/>
        <v>0.15012957345194058</v>
      </c>
      <c r="CG749" s="185">
        <f t="shared" ref="CG749:DK749" si="3209">(CG748-CD748)/CD748</f>
        <v>0.17062972784019226</v>
      </c>
      <c r="CH749" s="4">
        <f t="shared" si="3209"/>
        <v>-9.7203946670076757E-2</v>
      </c>
      <c r="CI749" s="4">
        <f t="shared" si="3209"/>
        <v>-4.1335610200188264E-2</v>
      </c>
      <c r="CJ749" s="185">
        <f t="shared" si="3209"/>
        <v>-6.8080651144173679E-2</v>
      </c>
      <c r="CK749" s="4">
        <f t="shared" si="3209"/>
        <v>0.23190450196321666</v>
      </c>
      <c r="CL749" s="4">
        <f t="shared" si="3209"/>
        <v>2.2476749262196373E-2</v>
      </c>
      <c r="CM749" s="185">
        <f t="shared" si="3209"/>
        <v>0.11959997152133285</v>
      </c>
      <c r="CN749" s="4">
        <f t="shared" si="3209"/>
        <v>-0.11563890185983565</v>
      </c>
      <c r="CO749" s="4">
        <f t="shared" si="3209"/>
        <v>0.11020092763675407</v>
      </c>
      <c r="CP749" s="185">
        <f t="shared" si="3209"/>
        <v>-5.039152321042001E-3</v>
      </c>
      <c r="CQ749" s="4">
        <f t="shared" si="3209"/>
        <v>3.0675680286776419E-2</v>
      </c>
      <c r="CR749" s="4">
        <f t="shared" si="3209"/>
        <v>7.5752300845109671E-2</v>
      </c>
      <c r="CS749" s="185">
        <f t="shared" si="3209"/>
        <v>5.530772985504738E-2</v>
      </c>
      <c r="CT749" s="4">
        <f t="shared" si="3209"/>
        <v>0.21761701259824112</v>
      </c>
      <c r="CU749" s="4">
        <f t="shared" si="3209"/>
        <v>2.3386444032389854E-2</v>
      </c>
      <c r="CV749" s="185">
        <f t="shared" si="3209"/>
        <v>0.10942381742276383</v>
      </c>
      <c r="CW749" s="4">
        <f t="shared" si="3209"/>
        <v>0.11715923961924214</v>
      </c>
      <c r="CX749" s="4">
        <f t="shared" si="3209"/>
        <v>7.4286727438278397E-2</v>
      </c>
      <c r="CY749" s="10">
        <f t="shared" si="3209"/>
        <v>9.5129798858276521E-2</v>
      </c>
      <c r="CZ749" s="4">
        <f t="shared" si="3209"/>
        <v>7.5083351037790519E-3</v>
      </c>
      <c r="DA749" s="4">
        <f t="shared" si="3209"/>
        <v>0.17050836533183775</v>
      </c>
      <c r="DB749" s="10">
        <f t="shared" si="3209"/>
        <v>8.9669547375697337E-2</v>
      </c>
      <c r="DC749" s="4">
        <f t="shared" si="3209"/>
        <v>3.8237864127476734E-2</v>
      </c>
      <c r="DD749" s="4">
        <f t="shared" si="3209"/>
        <v>-0.10059719695853429</v>
      </c>
      <c r="DE749" s="10">
        <f t="shared" si="3209"/>
        <v>-3.6934466835152502E-2</v>
      </c>
      <c r="DF749" s="4">
        <f t="shared" si="3209"/>
        <v>0.12354285796743479</v>
      </c>
      <c r="DG749" s="4">
        <f t="shared" si="3209"/>
        <v>-0.26022906355364112</v>
      </c>
      <c r="DH749" s="10">
        <f t="shared" si="3209"/>
        <v>-7.0514652022997296E-2</v>
      </c>
      <c r="DI749" s="4">
        <f t="shared" si="3209"/>
        <v>-9.0734051432266635E-2</v>
      </c>
      <c r="DJ749" s="4">
        <f t="shared" si="3209"/>
        <v>0.47669767329846241</v>
      </c>
      <c r="DK749" s="10">
        <f t="shared" si="3209"/>
        <v>0.13762886886376549</v>
      </c>
      <c r="DL749" s="4">
        <f>(DL748-DI748)/DI748</f>
        <v>6.5818600627567891E-2</v>
      </c>
      <c r="DM749" s="4">
        <f>(DM748-DJ748)/DJ748</f>
        <v>2.5421583518509198E-2</v>
      </c>
      <c r="DN749" s="10">
        <f>(DN748-DK748)/DK748</f>
        <v>4.4715208955318955E-2</v>
      </c>
      <c r="DO749" s="4">
        <f t="shared" ref="DO749:EF749" si="3210">(DO748-DL748)/DL748</f>
        <v>0.14439918274580077</v>
      </c>
      <c r="DP749" s="4">
        <f t="shared" si="3210"/>
        <v>0.17659091666560017</v>
      </c>
      <c r="DQ749" s="10">
        <f t="shared" si="3210"/>
        <v>0.1609055638397488</v>
      </c>
      <c r="DR749" s="4">
        <f t="shared" si="3210"/>
        <v>0.14913458179006078</v>
      </c>
      <c r="DS749" s="4">
        <f t="shared" si="3210"/>
        <v>3.7081637007208942E-2</v>
      </c>
      <c r="DT749" s="10">
        <f t="shared" si="3210"/>
        <v>9.0902894872004134E-2</v>
      </c>
      <c r="DU749" s="4">
        <f t="shared" si="3210"/>
        <v>3.6144548629010884E-2</v>
      </c>
      <c r="DV749" s="4">
        <f t="shared" si="3210"/>
        <v>0.1961658989798572</v>
      </c>
      <c r="DW749" s="10">
        <f t="shared" si="3210"/>
        <v>0.11520164842246847</v>
      </c>
      <c r="DX749" s="4">
        <f t="shared" si="3210"/>
        <v>7.02269988575078E-2</v>
      </c>
      <c r="DY749" s="4">
        <f t="shared" si="3210"/>
        <v>9.9999999999999964E-2</v>
      </c>
      <c r="DZ749" s="10">
        <f t="shared" si="3210"/>
        <v>8.600396798924341E-2</v>
      </c>
      <c r="EA749" s="4">
        <f t="shared" si="3210"/>
        <v>0.19999999999999982</v>
      </c>
      <c r="EB749" s="4">
        <f t="shared" si="3210"/>
        <v>7.0000000000000007E-2</v>
      </c>
      <c r="EC749" s="10">
        <f t="shared" si="3210"/>
        <v>0.13022407747134801</v>
      </c>
      <c r="ED749" s="4">
        <f t="shared" si="3210"/>
        <v>9.0000000000000149E-2</v>
      </c>
      <c r="EE749" s="4">
        <f t="shared" si="3210"/>
        <v>9.0000000000000094E-2</v>
      </c>
      <c r="EF749" s="10">
        <f t="shared" si="3210"/>
        <v>9.0000000000000122E-2</v>
      </c>
      <c r="EG749" s="4">
        <f t="shared" ref="EG749:EL749" si="3211">(EG748-ED748)/ED748</f>
        <v>8.9999999999999858E-2</v>
      </c>
      <c r="EH749" s="4">
        <f t="shared" si="3211"/>
        <v>9.0000000000000191E-2</v>
      </c>
      <c r="EI749" s="10">
        <f t="shared" si="3211"/>
        <v>9.0000000000000163E-2</v>
      </c>
      <c r="EJ749" s="4">
        <f t="shared" si="3211"/>
        <v>9.0000000000000149E-2</v>
      </c>
      <c r="EK749" s="4">
        <f t="shared" si="3211"/>
        <v>9.0000000000000011E-2</v>
      </c>
      <c r="EL749" s="10">
        <f t="shared" si="3211"/>
        <v>9.0000000000000011E-2</v>
      </c>
      <c r="EM749" s="4">
        <f t="shared" ref="EM749:ER749" si="3212">(EM748-EJ748)/EJ748</f>
        <v>9.0000000000000191E-2</v>
      </c>
      <c r="EN749" s="4">
        <f t="shared" si="3212"/>
        <v>9.0000000000000191E-2</v>
      </c>
      <c r="EO749" s="10">
        <f t="shared" si="3212"/>
        <v>8.9999999999999969E-2</v>
      </c>
      <c r="EP749" s="4">
        <f t="shared" si="3212"/>
        <v>9.0000000000000011E-2</v>
      </c>
      <c r="EQ749" s="4">
        <f t="shared" si="3212"/>
        <v>8.9999999999999983E-2</v>
      </c>
      <c r="ER749" s="10">
        <f t="shared" si="3212"/>
        <v>9.000000000000033E-2</v>
      </c>
      <c r="ES749" s="4">
        <f t="shared" ref="ES749" si="3213">(ES748-EP748)/EP748</f>
        <v>9.0000000000000011E-2</v>
      </c>
      <c r="ET749" s="4">
        <f t="shared" ref="ET749" si="3214">(ET748-EQ748)/EQ748</f>
        <v>9.000000000000008E-2</v>
      </c>
      <c r="EU749" s="10">
        <f t="shared" ref="EU749" si="3215">(EU748-ER748)/ER748</f>
        <v>9.0000000000000038E-2</v>
      </c>
      <c r="EV749" s="4">
        <f t="shared" ref="EV749" si="3216">(EV748-ES748)/ES748</f>
        <v>9.0000000000000094E-2</v>
      </c>
      <c r="EW749" s="4">
        <f t="shared" ref="EW749" si="3217">(EW748-ET748)/ET748</f>
        <v>9.0000000000000122E-2</v>
      </c>
      <c r="EX749" s="10">
        <f t="shared" ref="EX749" si="3218">(EX748-EU748)/EU748</f>
        <v>9.0000000000000011E-2</v>
      </c>
      <c r="EY749" s="4">
        <f t="shared" ref="EY749" si="3219">(EY748-EV748)/EV748</f>
        <v>9.0000000000000135E-2</v>
      </c>
      <c r="EZ749" s="4">
        <f t="shared" ref="EZ749" si="3220">(EZ748-EW748)/EW748</f>
        <v>8.9999999999999969E-2</v>
      </c>
      <c r="FA749" s="10">
        <f t="shared" ref="FA749" si="3221">(FA748-EX748)/EX748</f>
        <v>9.0000000000000052E-2</v>
      </c>
      <c r="FH749" s="35"/>
      <c r="FI749" s="35"/>
      <c r="FJ749" s="35"/>
      <c r="FK749" s="35"/>
      <c r="FL749" s="35"/>
      <c r="FM749" s="35"/>
      <c r="FN749" s="35"/>
      <c r="FO749" s="35"/>
      <c r="FP749" s="35"/>
      <c r="FQ749" s="35"/>
    </row>
    <row r="750" spans="1:173" s="321" customFormat="1" hidden="1" outlineLevel="1">
      <c r="A750" s="1168"/>
      <c r="B750" s="186"/>
      <c r="C750" s="331" t="s">
        <v>1004</v>
      </c>
      <c r="D750" s="329"/>
      <c r="E750" s="1"/>
      <c r="F750" s="1"/>
      <c r="G750" s="5"/>
      <c r="H750" s="1"/>
      <c r="I750" s="1"/>
      <c r="J750" s="5"/>
      <c r="K750" s="1"/>
      <c r="L750" s="1"/>
      <c r="M750" s="5"/>
      <c r="N750" s="1"/>
      <c r="O750" s="1"/>
      <c r="P750" s="5"/>
      <c r="Q750" s="1"/>
      <c r="R750" s="1"/>
      <c r="S750" s="5"/>
      <c r="T750" s="1"/>
      <c r="U750" s="1"/>
      <c r="V750" s="5"/>
      <c r="W750" s="1"/>
      <c r="X750" s="1"/>
      <c r="Y750" s="5"/>
      <c r="Z750" s="1"/>
      <c r="AA750" s="1"/>
      <c r="AB750" s="5"/>
      <c r="AC750" s="1"/>
      <c r="AD750" s="1"/>
      <c r="AE750" s="5"/>
      <c r="AF750" s="1"/>
      <c r="AG750" s="1"/>
      <c r="AH750" s="5"/>
      <c r="AI750" s="1"/>
      <c r="AJ750" s="1"/>
      <c r="AK750" s="5"/>
      <c r="AL750" s="1"/>
      <c r="AM750" s="1"/>
      <c r="AN750" s="5"/>
      <c r="AO750" s="1"/>
      <c r="AP750" s="1"/>
      <c r="AQ750" s="5"/>
      <c r="AR750" s="1"/>
      <c r="AS750" s="1"/>
      <c r="AT750" s="5"/>
      <c r="AU750" s="1"/>
      <c r="AV750" s="1"/>
      <c r="AW750" s="5"/>
      <c r="AX750" s="1"/>
      <c r="AY750" s="1"/>
      <c r="AZ750" s="35"/>
      <c r="BA750" s="1"/>
      <c r="BB750" s="1"/>
      <c r="BC750" s="49"/>
      <c r="BD750" s="28"/>
      <c r="BE750" s="28"/>
      <c r="BF750" s="49"/>
      <c r="BG750" s="28"/>
      <c r="BH750" s="28"/>
      <c r="BI750" s="51"/>
      <c r="BJ750" s="115"/>
      <c r="BK750" s="115"/>
      <c r="BL750" s="116"/>
      <c r="BM750" s="115"/>
      <c r="BN750" s="115"/>
      <c r="BO750" s="116"/>
      <c r="BP750" s="115"/>
      <c r="BQ750" s="115"/>
      <c r="BR750" s="116"/>
      <c r="BS750" s="8"/>
      <c r="BT750" s="8"/>
      <c r="BU750" s="9"/>
      <c r="BV750" s="8"/>
      <c r="BW750" s="8"/>
      <c r="BX750" s="187"/>
      <c r="BY750" s="8"/>
      <c r="BZ750" s="8"/>
      <c r="CA750" s="187"/>
      <c r="CB750" s="8"/>
      <c r="CC750" s="8"/>
      <c r="CD750" s="187"/>
      <c r="CE750" s="8"/>
      <c r="CF750" s="8"/>
      <c r="CG750" s="187"/>
      <c r="CH750" s="8"/>
      <c r="CI750" s="8"/>
      <c r="CJ750" s="187"/>
      <c r="CK750" s="8"/>
      <c r="CL750" s="8"/>
      <c r="CM750" s="187"/>
      <c r="CN750" s="8"/>
      <c r="CO750" s="8"/>
      <c r="CP750" s="187"/>
      <c r="CQ750" s="8"/>
      <c r="CR750" s="8"/>
      <c r="CS750" s="187"/>
      <c r="CT750" s="8"/>
      <c r="CU750" s="8"/>
      <c r="CV750" s="187"/>
      <c r="CW750" s="8"/>
      <c r="CX750" s="8"/>
      <c r="CY750" s="9"/>
      <c r="CZ750" s="8"/>
      <c r="DA750" s="8"/>
      <c r="DB750" s="9"/>
      <c r="DC750" s="8"/>
      <c r="DD750" s="8"/>
      <c r="DE750" s="9"/>
      <c r="DF750" s="8"/>
      <c r="DG750" s="8"/>
      <c r="DH750" s="9"/>
      <c r="DI750" s="8"/>
      <c r="DJ750" s="8"/>
      <c r="DK750" s="9"/>
      <c r="DL750" s="8"/>
      <c r="DM750" s="8"/>
      <c r="DN750" s="9"/>
      <c r="DO750" s="8"/>
      <c r="DP750" s="8"/>
      <c r="DQ750" s="9"/>
      <c r="DR750" s="8"/>
      <c r="DS750" s="8"/>
      <c r="DT750" s="9"/>
      <c r="DU750" s="8"/>
      <c r="DV750" s="8"/>
      <c r="DW750" s="9"/>
      <c r="DX750" s="8"/>
      <c r="DY750" s="8"/>
      <c r="DZ750" s="9"/>
      <c r="EA750" s="8"/>
      <c r="EB750" s="8"/>
      <c r="EC750" s="9"/>
      <c r="ED750" s="8"/>
      <c r="EE750" s="8"/>
      <c r="EF750" s="9"/>
      <c r="EG750" s="8"/>
      <c r="EH750" s="8"/>
      <c r="EI750" s="9"/>
      <c r="EJ750" s="8"/>
      <c r="EK750" s="8"/>
      <c r="EL750" s="9"/>
      <c r="EM750" s="8"/>
      <c r="EN750" s="8"/>
      <c r="EO750" s="9"/>
      <c r="EP750" s="8"/>
      <c r="EQ750" s="8"/>
      <c r="ER750" s="9"/>
      <c r="ES750" s="8"/>
      <c r="ET750" s="8"/>
      <c r="EU750" s="9"/>
      <c r="EV750" s="8"/>
      <c r="EW750" s="8"/>
      <c r="EX750" s="9"/>
      <c r="EY750" s="8"/>
      <c r="EZ750" s="8"/>
      <c r="FA750" s="9"/>
      <c r="FH750" s="35"/>
      <c r="FI750" s="35"/>
      <c r="FJ750" s="35"/>
      <c r="FK750" s="35"/>
      <c r="FL750" s="35"/>
      <c r="FM750" s="35"/>
      <c r="FN750" s="35"/>
      <c r="FO750" s="35"/>
      <c r="FP750" s="35"/>
      <c r="FQ750" s="35"/>
    </row>
    <row r="751" spans="1:173" s="321" customFormat="1" hidden="1" outlineLevel="1">
      <c r="A751" s="1168"/>
      <c r="B751" s="186"/>
      <c r="C751" s="186" t="s">
        <v>316</v>
      </c>
      <c r="D751" s="329"/>
      <c r="E751" s="1"/>
      <c r="F751" s="1"/>
      <c r="G751" s="5"/>
      <c r="H751" s="1"/>
      <c r="I751" s="1"/>
      <c r="J751" s="5"/>
      <c r="K751" s="1"/>
      <c r="L751" s="1"/>
      <c r="M751" s="5"/>
      <c r="N751" s="1"/>
      <c r="O751" s="1"/>
      <c r="P751" s="5"/>
      <c r="Q751" s="1"/>
      <c r="R751" s="1"/>
      <c r="S751" s="5"/>
      <c r="T751" s="1"/>
      <c r="U751" s="1"/>
      <c r="V751" s="5"/>
      <c r="W751" s="1"/>
      <c r="X751" s="1"/>
      <c r="Y751" s="5"/>
      <c r="Z751" s="1"/>
      <c r="AA751" s="1"/>
      <c r="AB751" s="5"/>
      <c r="AC751" s="1"/>
      <c r="AD751" s="1"/>
      <c r="AE751" s="5"/>
      <c r="AF751" s="1"/>
      <c r="AG751" s="1"/>
      <c r="AH751" s="5"/>
      <c r="AI751" s="1"/>
      <c r="AJ751" s="1"/>
      <c r="AK751" s="5"/>
      <c r="AL751" s="1"/>
      <c r="AM751" s="1"/>
      <c r="AN751" s="5"/>
      <c r="AO751" s="1"/>
      <c r="AP751" s="1"/>
      <c r="AQ751" s="5"/>
      <c r="AR751" s="1"/>
      <c r="AS751" s="1"/>
      <c r="AT751" s="5"/>
      <c r="AU751" s="1"/>
      <c r="AV751" s="1"/>
      <c r="AW751" s="20">
        <v>21171.07438016529</v>
      </c>
      <c r="AX751" s="184">
        <f t="shared" ref="AX751:AY753" si="3222">AW751+AX745</f>
        <v>23115.518824609735</v>
      </c>
      <c r="AY751" s="184">
        <f t="shared" si="3222"/>
        <v>25615.518824609735</v>
      </c>
      <c r="AZ751" s="20">
        <f>AY751</f>
        <v>25615.518824609735</v>
      </c>
      <c r="BA751" s="28">
        <f t="shared" ref="BA751:BB753" si="3223">AZ751+BA745</f>
        <v>27948.852157943067</v>
      </c>
      <c r="BB751" s="28">
        <f t="shared" si="3223"/>
        <v>30948.852157943067</v>
      </c>
      <c r="BC751" s="49">
        <f>BB751</f>
        <v>30948.852157943067</v>
      </c>
      <c r="BD751" s="28">
        <f t="shared" ref="BD751:BE753" si="3224">BC751+BD745</f>
        <v>33632.185491276403</v>
      </c>
      <c r="BE751" s="28">
        <f t="shared" si="3224"/>
        <v>36938.091664115906</v>
      </c>
      <c r="BF751" s="49">
        <f>BE751</f>
        <v>36938.091664115906</v>
      </c>
      <c r="BG751" s="28">
        <f t="shared" ref="BG751:BH753" si="3225">BF751+BG745</f>
        <v>40181.091664115906</v>
      </c>
      <c r="BH751" s="28">
        <f t="shared" si="3225"/>
        <v>43690.438216822455</v>
      </c>
      <c r="BI751" s="49">
        <f>BH751</f>
        <v>43690.438216822455</v>
      </c>
      <c r="BJ751" s="110">
        <f t="shared" ref="BJ751:BK753" si="3226">BI751+BJ745</f>
        <v>46759.937716822453</v>
      </c>
      <c r="BK751" s="110">
        <f t="shared" si="3226"/>
        <v>50753.893125307302</v>
      </c>
      <c r="BL751" s="111">
        <f>BK751</f>
        <v>50753.893125307302</v>
      </c>
      <c r="BM751" s="110">
        <f t="shared" ref="BM751:BN753" si="3227">BL751+BM745</f>
        <v>54948.236296244802</v>
      </c>
      <c r="BN751" s="110">
        <f t="shared" si="3227"/>
        <v>59414.809761400356</v>
      </c>
      <c r="BO751" s="111">
        <f>BN751</f>
        <v>59414.809761400356</v>
      </c>
      <c r="BP751" s="110">
        <f t="shared" ref="BP751:BQ753" si="3228">BO751+BP745</f>
        <v>64993.286178747228</v>
      </c>
      <c r="BQ751" s="110">
        <f t="shared" si="3228"/>
        <v>70018.181327047234</v>
      </c>
      <c r="BR751" s="111">
        <f>BQ751</f>
        <v>70018.181327047234</v>
      </c>
      <c r="BS751" s="28">
        <f t="shared" ref="BS751:BT753" si="3229">BR751+BS745</f>
        <v>76823.922556210426</v>
      </c>
      <c r="BT751" s="28">
        <f t="shared" si="3229"/>
        <v>83231.970343031484</v>
      </c>
      <c r="BU751" s="20">
        <f>BT751</f>
        <v>83231.970343031484</v>
      </c>
      <c r="BV751" s="28">
        <f t="shared" ref="BV751:BW753" si="3230">BU751+BV745</f>
        <v>90582.170870527727</v>
      </c>
      <c r="BW751" s="28">
        <f t="shared" si="3230"/>
        <v>97701.511961685916</v>
      </c>
      <c r="BX751" s="184">
        <f>BW751</f>
        <v>97701.511961685916</v>
      </c>
      <c r="BY751" s="28">
        <f t="shared" ref="BY751:BZ753" si="3231">BX751+BY745</f>
        <v>105244.65525302893</v>
      </c>
      <c r="BZ751" s="28">
        <f t="shared" si="3231"/>
        <v>112577.57657692187</v>
      </c>
      <c r="CA751" s="184">
        <f>BZ751</f>
        <v>112577.57657692187</v>
      </c>
      <c r="CB751" s="28">
        <f t="shared" ref="CB751:CC753" si="3232">CA751+CB745</f>
        <v>120815.44336539759</v>
      </c>
      <c r="CC751" s="28">
        <f t="shared" si="3232"/>
        <v>129834.93659378591</v>
      </c>
      <c r="CD751" s="184">
        <f>CC751</f>
        <v>129834.93659378591</v>
      </c>
      <c r="CE751" s="28">
        <f t="shared" ref="CE751:CF753" si="3233">CD751+CE745</f>
        <v>139308.48340053298</v>
      </c>
      <c r="CF751" s="28">
        <f t="shared" si="3233"/>
        <v>149680.90061317955</v>
      </c>
      <c r="CG751" s="184">
        <f>CF751</f>
        <v>149680.90061317955</v>
      </c>
      <c r="CH751" s="28">
        <f t="shared" ref="CH751:CI753" si="3234">CG751+CH745</f>
        <v>157942.4119580648</v>
      </c>
      <c r="CI751" s="28">
        <f t="shared" si="3234"/>
        <v>167886.07897597569</v>
      </c>
      <c r="CJ751" s="184">
        <f>CI751</f>
        <v>167886.07897597569</v>
      </c>
      <c r="CK751" s="28">
        <f t="shared" ref="CK751:CL753" si="3235">CJ751+CK745</f>
        <v>176940.55793116178</v>
      </c>
      <c r="CL751" s="28">
        <f t="shared" si="3235"/>
        <v>185793.45058545921</v>
      </c>
      <c r="CM751" s="184">
        <f>CL751</f>
        <v>185793.45058545921</v>
      </c>
      <c r="CN751" s="28">
        <f t="shared" ref="CN751:CO753" si="3236">CM751+CN745</f>
        <v>194667.76577738568</v>
      </c>
      <c r="CO751" s="28">
        <f t="shared" si="3236"/>
        <v>204834.76394956411</v>
      </c>
      <c r="CP751" s="184">
        <f>CO751</f>
        <v>204834.76394956411</v>
      </c>
      <c r="CQ751" s="28">
        <f t="shared" ref="CQ751:CR753" si="3237">CP751+CQ745</f>
        <v>215217.71272411806</v>
      </c>
      <c r="CR751" s="28">
        <f t="shared" si="3237"/>
        <v>226909.76062212326</v>
      </c>
      <c r="CS751" s="184">
        <f>CR751</f>
        <v>226909.76062212326</v>
      </c>
      <c r="CT751" s="28">
        <f t="shared" ref="CT751:CU753" si="3238">CS751+CT745</f>
        <v>238331.0042741326</v>
      </c>
      <c r="CU751" s="28">
        <f t="shared" si="3238"/>
        <v>250371.39592248035</v>
      </c>
      <c r="CV751" s="184">
        <f>CU751</f>
        <v>250371.39592248035</v>
      </c>
      <c r="CW751" s="28">
        <f t="shared" ref="CW751:CX753" si="3239">CV751+CW745</f>
        <v>264016.61624693521</v>
      </c>
      <c r="CX751" s="28">
        <f t="shared" si="3239"/>
        <v>277643.14452393074</v>
      </c>
      <c r="CY751" s="20">
        <f>CX751</f>
        <v>277643.14452393074</v>
      </c>
      <c r="CZ751" s="28">
        <f t="shared" ref="CZ751:DA753" si="3240">CY751+CZ745</f>
        <v>292810.92288270721</v>
      </c>
      <c r="DA751" s="28">
        <f t="shared" si="3240"/>
        <v>307663.8387046323</v>
      </c>
      <c r="DB751" s="20">
        <f>DA751</f>
        <v>307663.8387046323</v>
      </c>
      <c r="DC751" s="28">
        <f t="shared" ref="DC751:DD753" si="3241">DB751+DC745</f>
        <v>322528.26149623323</v>
      </c>
      <c r="DD751" s="28">
        <f t="shared" si="3241"/>
        <v>335747.35657774657</v>
      </c>
      <c r="DE751" s="20">
        <f>DD751</f>
        <v>335747.35657774657</v>
      </c>
      <c r="DF751" s="28">
        <f t="shared" ref="DF751:DG753" si="3242">DE751+DF745</f>
        <v>352098.22164850764</v>
      </c>
      <c r="DG751" s="28">
        <f t="shared" si="3242"/>
        <v>362012.54295964265</v>
      </c>
      <c r="DH751" s="20">
        <f>DG751</f>
        <v>362012.54295964265</v>
      </c>
      <c r="DI751" s="28">
        <f t="shared" ref="DI751:DJ753" si="3243">DH751+DI745</f>
        <v>376661.03268321115</v>
      </c>
      <c r="DJ751" s="28">
        <f t="shared" si="3243"/>
        <v>391452.23610315338</v>
      </c>
      <c r="DK751" s="20">
        <f>DJ751</f>
        <v>391452.23610315338</v>
      </c>
      <c r="DL751" s="28">
        <f>DK751+DL745</f>
        <v>406218.70897612447</v>
      </c>
      <c r="DM751" s="28">
        <f t="shared" ref="DM751:DM753" si="3244">DL751+DM745</f>
        <v>421684.96230622864</v>
      </c>
      <c r="DN751" s="20">
        <f>DM751</f>
        <v>421684.96230622864</v>
      </c>
      <c r="DO751" s="28">
        <f t="shared" ref="DO751:DP753" si="3245">DN751+DO745</f>
        <v>439326.97452185117</v>
      </c>
      <c r="DP751" s="28">
        <f t="shared" si="3245"/>
        <v>458491.53567789152</v>
      </c>
      <c r="DQ751" s="20">
        <f>DP751</f>
        <v>458491.53567789152</v>
      </c>
      <c r="DR751" s="28">
        <f t="shared" ref="DR751:DS753" si="3246">DQ751+DR745</f>
        <v>479691.73656406597</v>
      </c>
      <c r="DS751" s="28">
        <f t="shared" si="3246"/>
        <v>498970.56124960055</v>
      </c>
      <c r="DT751" s="20">
        <f>DS751</f>
        <v>498970.56124960055</v>
      </c>
      <c r="DU751" s="28">
        <f t="shared" ref="DU751:DV753" si="3247">DT751+DU745</f>
        <v>519975.16705636465</v>
      </c>
      <c r="DV751" s="28">
        <f t="shared" si="3247"/>
        <v>542330.22060219478</v>
      </c>
      <c r="DW751" s="20">
        <f>DV751</f>
        <v>542330.22060219478</v>
      </c>
      <c r="DX751" s="28">
        <f t="shared" ref="DX751:DY753" si="3248">DW751+DX745</f>
        <v>565169.00178133312</v>
      </c>
      <c r="DY751" s="28">
        <f t="shared" si="3248"/>
        <v>589759.56068174634</v>
      </c>
      <c r="DZ751" s="20">
        <f>DY751</f>
        <v>589759.56068174634</v>
      </c>
      <c r="EA751" s="28">
        <f t="shared" ref="EA751:EB753" si="3249">DZ751+EA745</f>
        <v>617166.09809671238</v>
      </c>
      <c r="EB751" s="28">
        <f t="shared" si="3249"/>
        <v>643477.99612015451</v>
      </c>
      <c r="EC751" s="20">
        <f>EB751</f>
        <v>643477.99612015451</v>
      </c>
      <c r="ED751" s="28">
        <f t="shared" ref="ED751:EE753" si="3250">EC751+ED745</f>
        <v>673351.12190246745</v>
      </c>
      <c r="EE751" s="28">
        <f t="shared" si="3250"/>
        <v>702031.0907480194</v>
      </c>
      <c r="EF751" s="20">
        <f>EE751</f>
        <v>702031.0907480194</v>
      </c>
      <c r="EG751" s="28">
        <f t="shared" ref="EG751:EH753" si="3251">EF751+EG745</f>
        <v>734592.79785074049</v>
      </c>
      <c r="EH751" s="28">
        <f t="shared" si="3251"/>
        <v>765853.96389239212</v>
      </c>
      <c r="EI751" s="20">
        <f>EH751</f>
        <v>765853.96389239212</v>
      </c>
      <c r="EJ751" s="28">
        <f t="shared" ref="EJ751:EK753" si="3252">EI751+EJ745</f>
        <v>801346.22463435808</v>
      </c>
      <c r="EK751" s="28">
        <f t="shared" si="3252"/>
        <v>835420.89561975829</v>
      </c>
      <c r="EL751" s="20">
        <f>EK751</f>
        <v>835420.89561975829</v>
      </c>
      <c r="EM751" s="28">
        <f t="shared" ref="EM751:EN753" si="3253">EL751+EM745</f>
        <v>874107.45982850122</v>
      </c>
      <c r="EN751" s="28">
        <f t="shared" si="3253"/>
        <v>911248.85120258748</v>
      </c>
      <c r="EO751" s="20">
        <f>EN751</f>
        <v>911248.85120258748</v>
      </c>
      <c r="EP751" s="28">
        <f t="shared" ref="EP751:EQ753" si="3254">EO751+EP745</f>
        <v>953417.20619011729</v>
      </c>
      <c r="EQ751" s="28">
        <f t="shared" si="3254"/>
        <v>993901.32278787135</v>
      </c>
      <c r="ER751" s="20">
        <f>EQ751</f>
        <v>993901.32278787135</v>
      </c>
      <c r="ES751" s="28">
        <f t="shared" ref="ES751:ES753" si="3255">ER751+ES745</f>
        <v>1039864.8297242789</v>
      </c>
      <c r="ET751" s="28">
        <f t="shared" ref="ET751:ET753" si="3256">ES751+ET745</f>
        <v>1083992.5168158307</v>
      </c>
      <c r="EU751" s="20">
        <f>ET751</f>
        <v>1083992.5168158307</v>
      </c>
      <c r="EV751" s="28">
        <f t="shared" ref="EV751:EV753" si="3257">EU751+EV745</f>
        <v>1134092.7393765149</v>
      </c>
      <c r="EW751" s="28">
        <f t="shared" ref="EW751:EW753" si="3258">EV751+EW745</f>
        <v>1182191.9183063065</v>
      </c>
      <c r="EX751" s="20">
        <f>EW751</f>
        <v>1182191.9183063065</v>
      </c>
      <c r="EY751" s="28">
        <f t="shared" ref="EY751:EY753" si="3259">EX751+EY745</f>
        <v>1236801.1608974522</v>
      </c>
      <c r="EZ751" s="28">
        <f t="shared" ref="EZ751:EZ753" si="3260">EY751+EZ745</f>
        <v>1289229.265930925</v>
      </c>
      <c r="FA751" s="20">
        <f>EZ751</f>
        <v>1289229.265930925</v>
      </c>
      <c r="FH751" s="35"/>
      <c r="FI751" s="35"/>
      <c r="FJ751" s="35"/>
      <c r="FK751" s="35"/>
      <c r="FL751" s="35"/>
      <c r="FM751" s="35"/>
      <c r="FN751" s="35"/>
      <c r="FO751" s="35"/>
      <c r="FP751" s="35"/>
      <c r="FQ751" s="35"/>
    </row>
    <row r="752" spans="1:173" s="321" customFormat="1" hidden="1" outlineLevel="1">
      <c r="A752" s="1168"/>
      <c r="B752" s="186"/>
      <c r="C752" s="186" t="s">
        <v>317</v>
      </c>
      <c r="D752" s="329"/>
      <c r="E752" s="1"/>
      <c r="F752" s="1"/>
      <c r="G752" s="5"/>
      <c r="H752" s="1"/>
      <c r="I752" s="1"/>
      <c r="J752" s="5"/>
      <c r="K752" s="1"/>
      <c r="L752" s="1"/>
      <c r="M752" s="5"/>
      <c r="N752" s="1"/>
      <c r="O752" s="1"/>
      <c r="P752" s="5"/>
      <c r="Q752" s="1"/>
      <c r="R752" s="1"/>
      <c r="S752" s="5"/>
      <c r="T752" s="1"/>
      <c r="U752" s="1"/>
      <c r="V752" s="5"/>
      <c r="W752" s="1"/>
      <c r="X752" s="1"/>
      <c r="Y752" s="5"/>
      <c r="Z752" s="1"/>
      <c r="AA752" s="1"/>
      <c r="AB752" s="5"/>
      <c r="AC752" s="1"/>
      <c r="AD752" s="1"/>
      <c r="AE752" s="5"/>
      <c r="AF752" s="1"/>
      <c r="AG752" s="1"/>
      <c r="AH752" s="5"/>
      <c r="AI752" s="1"/>
      <c r="AJ752" s="1"/>
      <c r="AK752" s="5"/>
      <c r="AL752" s="1"/>
      <c r="AM752" s="1"/>
      <c r="AN752" s="5"/>
      <c r="AO752" s="1"/>
      <c r="AP752" s="1"/>
      <c r="AQ752" s="5"/>
      <c r="AR752" s="1"/>
      <c r="AS752" s="1"/>
      <c r="AT752" s="5"/>
      <c r="AU752" s="1"/>
      <c r="AV752" s="1"/>
      <c r="AW752" s="20">
        <v>10321.487603305786</v>
      </c>
      <c r="AX752" s="184">
        <f t="shared" si="3222"/>
        <v>11631.011412829595</v>
      </c>
      <c r="AY752" s="184">
        <f t="shared" si="3222"/>
        <v>13223.449453222431</v>
      </c>
      <c r="AZ752" s="20">
        <f>AY752</f>
        <v>13223.449453222431</v>
      </c>
      <c r="BA752" s="28">
        <f t="shared" si="3223"/>
        <v>14794.878024651003</v>
      </c>
      <c r="BB752" s="28">
        <f t="shared" si="3223"/>
        <v>16705.803673122406</v>
      </c>
      <c r="BC752" s="49">
        <f>BB752</f>
        <v>16705.803673122406</v>
      </c>
      <c r="BD752" s="28">
        <f t="shared" si="3224"/>
        <v>18614.627202534171</v>
      </c>
      <c r="BE752" s="28">
        <f t="shared" si="3224"/>
        <v>21041.682900188676</v>
      </c>
      <c r="BF752" s="49">
        <f>BE752</f>
        <v>21041.682900188676</v>
      </c>
      <c r="BG752" s="28">
        <f t="shared" si="3225"/>
        <v>23041.3045218103</v>
      </c>
      <c r="BH752" s="28">
        <f t="shared" si="3225"/>
        <v>25383.085289547216</v>
      </c>
      <c r="BI752" s="49">
        <f>BH752</f>
        <v>25383.085289547216</v>
      </c>
      <c r="BJ752" s="110">
        <f t="shared" si="3226"/>
        <v>27581.52643240436</v>
      </c>
      <c r="BK752" s="110">
        <f t="shared" si="3226"/>
        <v>30156.147116476262</v>
      </c>
      <c r="BL752" s="111">
        <f>BK752</f>
        <v>30156.147116476262</v>
      </c>
      <c r="BM752" s="110">
        <f t="shared" si="3227"/>
        <v>32555.196013619119</v>
      </c>
      <c r="BN752" s="110">
        <f t="shared" si="3227"/>
        <v>35521.159041669947</v>
      </c>
      <c r="BO752" s="111">
        <f>BN752</f>
        <v>35521.159041669947</v>
      </c>
      <c r="BP752" s="110">
        <f t="shared" si="3228"/>
        <v>38567.951141041376</v>
      </c>
      <c r="BQ752" s="110">
        <f t="shared" si="3228"/>
        <v>41830.510471897287</v>
      </c>
      <c r="BR752" s="111">
        <f>BQ752</f>
        <v>41830.510471897287</v>
      </c>
      <c r="BS752" s="28">
        <f t="shared" si="3229"/>
        <v>45547.596833130432</v>
      </c>
      <c r="BT752" s="28">
        <f t="shared" si="3229"/>
        <v>49560.544810083207</v>
      </c>
      <c r="BU752" s="20">
        <f>BT752</f>
        <v>49560.544810083207</v>
      </c>
      <c r="BV752" s="28">
        <f t="shared" si="3230"/>
        <v>54169.731898012309</v>
      </c>
      <c r="BW752" s="28">
        <f t="shared" si="3230"/>
        <v>59052.165313131438</v>
      </c>
      <c r="BX752" s="184">
        <f>BW752</f>
        <v>59052.165313131438</v>
      </c>
      <c r="BY752" s="28">
        <f t="shared" si="3231"/>
        <v>63891.811755456991</v>
      </c>
      <c r="BZ752" s="28">
        <f t="shared" si="3231"/>
        <v>68637.53703495278</v>
      </c>
      <c r="CA752" s="184">
        <f>BZ752</f>
        <v>68637.53703495278</v>
      </c>
      <c r="CB752" s="28">
        <f t="shared" si="3232"/>
        <v>73622.372870548104</v>
      </c>
      <c r="CC752" s="28">
        <f t="shared" si="3232"/>
        <v>79076.160361744667</v>
      </c>
      <c r="CD752" s="184">
        <f>CC752</f>
        <v>79076.160361744667</v>
      </c>
      <c r="CE752" s="28">
        <f t="shared" si="3233"/>
        <v>85303.070546881005</v>
      </c>
      <c r="CF752" s="28">
        <f t="shared" si="3233"/>
        <v>91574.926161757059</v>
      </c>
      <c r="CG752" s="184">
        <f>CF752</f>
        <v>91574.926161757059</v>
      </c>
      <c r="CH752" s="28">
        <f t="shared" si="3234"/>
        <v>97119.967777686063</v>
      </c>
      <c r="CI752" s="28">
        <f t="shared" si="3234"/>
        <v>103132.57241363374</v>
      </c>
      <c r="CJ752" s="184">
        <f>CI752</f>
        <v>103132.57241363374</v>
      </c>
      <c r="CK752" s="28">
        <f t="shared" si="3235"/>
        <v>109343.01902347423</v>
      </c>
      <c r="CL752" s="28">
        <f t="shared" si="3235"/>
        <v>115656.25389121928</v>
      </c>
      <c r="CM752" s="184">
        <f>CL752</f>
        <v>115656.25389121928</v>
      </c>
      <c r="CN752" s="28">
        <f t="shared" si="3236"/>
        <v>121743.12658385374</v>
      </c>
      <c r="CO752" s="28">
        <f t="shared" si="3236"/>
        <v>128993.4852934151</v>
      </c>
      <c r="CP752" s="184">
        <f>CO752</f>
        <v>128993.4852934151</v>
      </c>
      <c r="CQ752" s="28">
        <f t="shared" si="3237"/>
        <v>135323.83289375494</v>
      </c>
      <c r="CR752" s="28">
        <f t="shared" si="3237"/>
        <v>143081.7167129856</v>
      </c>
      <c r="CS752" s="184">
        <f>CR752</f>
        <v>143081.7167129856</v>
      </c>
      <c r="CT752" s="28">
        <f t="shared" si="3238"/>
        <v>150045.09907335942</v>
      </c>
      <c r="CU752" s="28">
        <f t="shared" si="3238"/>
        <v>158268.45592174391</v>
      </c>
      <c r="CV752" s="184">
        <f>CU752</f>
        <v>158268.45592174391</v>
      </c>
      <c r="CW752" s="28">
        <f t="shared" si="3239"/>
        <v>165928.17651815512</v>
      </c>
      <c r="CX752" s="28">
        <f t="shared" si="3239"/>
        <v>174973.86905137805</v>
      </c>
      <c r="CY752" s="20">
        <f>CX752</f>
        <v>174973.86905137805</v>
      </c>
      <c r="CZ752" s="28">
        <f t="shared" si="3240"/>
        <v>182480.39523586101</v>
      </c>
      <c r="DA752" s="28">
        <f t="shared" si="3240"/>
        <v>193787.51090238968</v>
      </c>
      <c r="DB752" s="20">
        <f>DA752</f>
        <v>193787.51090238968</v>
      </c>
      <c r="DC752" s="28">
        <f t="shared" si="3241"/>
        <v>202119.75496716579</v>
      </c>
      <c r="DD752" s="28">
        <f t="shared" si="3241"/>
        <v>212522.30138037217</v>
      </c>
      <c r="DE752" s="20">
        <f>DD752</f>
        <v>212522.30138037217</v>
      </c>
      <c r="DF752" s="28">
        <f t="shared" si="3242"/>
        <v>221979.39839389306</v>
      </c>
      <c r="DG752" s="28">
        <f t="shared" si="3242"/>
        <v>229781.30820379785</v>
      </c>
      <c r="DH752" s="20">
        <f>DG752</f>
        <v>229781.30820379785</v>
      </c>
      <c r="DI752" s="28">
        <f t="shared" si="3243"/>
        <v>237721.87132403787</v>
      </c>
      <c r="DJ752" s="28">
        <f t="shared" si="3243"/>
        <v>247894.19053979879</v>
      </c>
      <c r="DK752" s="20">
        <f>DJ752</f>
        <v>247894.19053979879</v>
      </c>
      <c r="DL752" s="28">
        <f>DK752+DL746</f>
        <v>257240.27944659907</v>
      </c>
      <c r="DM752" s="28">
        <f t="shared" si="3244"/>
        <v>267122.73593900469</v>
      </c>
      <c r="DN752" s="20">
        <f>DM752</f>
        <v>267122.73593900469</v>
      </c>
      <c r="DO752" s="28">
        <f t="shared" si="3245"/>
        <v>276876.16335771396</v>
      </c>
      <c r="DP752" s="28">
        <f t="shared" si="3245"/>
        <v>287729.89250143088</v>
      </c>
      <c r="DQ752" s="20">
        <f>DP752</f>
        <v>287729.89250143088</v>
      </c>
      <c r="DR752" s="28">
        <f t="shared" si="3246"/>
        <v>298671.96504627424</v>
      </c>
      <c r="DS752" s="28">
        <f t="shared" si="3246"/>
        <v>310369.89818493853</v>
      </c>
      <c r="DT752" s="20">
        <f>DS752</f>
        <v>310369.89818493853</v>
      </c>
      <c r="DU752" s="28">
        <f t="shared" si="3247"/>
        <v>321537.49248481763</v>
      </c>
      <c r="DV752" s="28">
        <f t="shared" si="3247"/>
        <v>336323.4308318235</v>
      </c>
      <c r="DW752" s="20">
        <f>DV752</f>
        <v>336323.4308318235</v>
      </c>
      <c r="DX752" s="28">
        <f t="shared" si="3248"/>
        <v>348521.98185223166</v>
      </c>
      <c r="DY752" s="28">
        <f t="shared" si="3248"/>
        <v>364786.51403393818</v>
      </c>
      <c r="DZ752" s="20">
        <f>DY752</f>
        <v>364786.51403393818</v>
      </c>
      <c r="EA752" s="28">
        <f t="shared" si="3249"/>
        <v>379424.77525842795</v>
      </c>
      <c r="EB752" s="28">
        <f t="shared" si="3249"/>
        <v>396827.8246928539</v>
      </c>
      <c r="EC752" s="20">
        <f>EB752</f>
        <v>396827.8246928539</v>
      </c>
      <c r="ED752" s="28">
        <f t="shared" si="3250"/>
        <v>412783.52942754776</v>
      </c>
      <c r="EE752" s="28">
        <f t="shared" si="3250"/>
        <v>431752.85331107205</v>
      </c>
      <c r="EF752" s="20">
        <f>EE752</f>
        <v>431752.85331107205</v>
      </c>
      <c r="EG752" s="28">
        <f t="shared" si="3251"/>
        <v>449144.5714718884</v>
      </c>
      <c r="EH752" s="28">
        <f t="shared" si="3251"/>
        <v>469821.13450492988</v>
      </c>
      <c r="EI752" s="20">
        <f>EH752</f>
        <v>469821.13450492988</v>
      </c>
      <c r="EJ752" s="28">
        <f t="shared" si="3252"/>
        <v>488778.10730021971</v>
      </c>
      <c r="EK752" s="28">
        <f t="shared" si="3252"/>
        <v>511315.5610062349</v>
      </c>
      <c r="EL752" s="20">
        <f>EK752</f>
        <v>511315.5610062349</v>
      </c>
      <c r="EM752" s="28">
        <f t="shared" si="3253"/>
        <v>531978.66135310079</v>
      </c>
      <c r="EN752" s="28">
        <f t="shared" si="3253"/>
        <v>556544.48589265731</v>
      </c>
      <c r="EO752" s="20">
        <f>EN752</f>
        <v>556544.48589265731</v>
      </c>
      <c r="EP752" s="28">
        <f t="shared" si="3254"/>
        <v>579067.26527074107</v>
      </c>
      <c r="EQ752" s="28">
        <f t="shared" si="3254"/>
        <v>605844.01401885774</v>
      </c>
      <c r="ER752" s="20">
        <f>EQ752</f>
        <v>605844.01401885774</v>
      </c>
      <c r="ES752" s="28">
        <f t="shared" si="3255"/>
        <v>630393.84354096907</v>
      </c>
      <c r="ET752" s="28">
        <f t="shared" si="3256"/>
        <v>659580.49967641628</v>
      </c>
      <c r="EU752" s="20">
        <f>ET752</f>
        <v>659580.49967641628</v>
      </c>
      <c r="EV752" s="28">
        <f t="shared" si="3257"/>
        <v>686339.81385551766</v>
      </c>
      <c r="EW752" s="28">
        <f t="shared" si="3258"/>
        <v>718153.26904315501</v>
      </c>
      <c r="EX752" s="20">
        <f>EW752</f>
        <v>718153.26904315501</v>
      </c>
      <c r="EY752" s="28">
        <f t="shared" si="3259"/>
        <v>747320.92149837548</v>
      </c>
      <c r="EZ752" s="28">
        <f t="shared" si="3260"/>
        <v>781997.58765290026</v>
      </c>
      <c r="FA752" s="20">
        <f>EZ752</f>
        <v>781997.58765290026</v>
      </c>
      <c r="FH752" s="35"/>
      <c r="FI752" s="35"/>
      <c r="FJ752" s="35"/>
      <c r="FK752" s="35"/>
      <c r="FL752" s="35"/>
      <c r="FM752" s="35"/>
      <c r="FN752" s="35"/>
      <c r="FO752" s="35"/>
      <c r="FP752" s="35"/>
      <c r="FQ752" s="35"/>
    </row>
    <row r="753" spans="1:173" s="321" customFormat="1" hidden="1" outlineLevel="1">
      <c r="A753" s="1168"/>
      <c r="B753" s="186"/>
      <c r="C753" s="186" t="s">
        <v>431</v>
      </c>
      <c r="D753" s="329"/>
      <c r="E753" s="1"/>
      <c r="F753" s="1"/>
      <c r="G753" s="5"/>
      <c r="H753" s="1"/>
      <c r="I753" s="1"/>
      <c r="J753" s="5"/>
      <c r="K753" s="1"/>
      <c r="L753" s="1"/>
      <c r="M753" s="5"/>
      <c r="N753" s="1"/>
      <c r="O753" s="1"/>
      <c r="P753" s="5"/>
      <c r="Q753" s="1"/>
      <c r="R753" s="1"/>
      <c r="S753" s="5"/>
      <c r="T753" s="1"/>
      <c r="U753" s="1"/>
      <c r="V753" s="5"/>
      <c r="W753" s="1"/>
      <c r="X753" s="1"/>
      <c r="Y753" s="5"/>
      <c r="Z753" s="1"/>
      <c r="AA753" s="1"/>
      <c r="AB753" s="5"/>
      <c r="AC753" s="1"/>
      <c r="AD753" s="1"/>
      <c r="AE753" s="5"/>
      <c r="AF753" s="1"/>
      <c r="AG753" s="1"/>
      <c r="AH753" s="5"/>
      <c r="AI753" s="1"/>
      <c r="AJ753" s="1"/>
      <c r="AK753" s="5"/>
      <c r="AL753" s="1"/>
      <c r="AM753" s="1"/>
      <c r="AN753" s="5"/>
      <c r="AO753" s="1"/>
      <c r="AP753" s="1"/>
      <c r="AQ753" s="5"/>
      <c r="AR753" s="1"/>
      <c r="AS753" s="1"/>
      <c r="AT753" s="5"/>
      <c r="AU753" s="1"/>
      <c r="AV753" s="1"/>
      <c r="AW753" s="20">
        <v>4835.5371900826449</v>
      </c>
      <c r="AX753" s="184">
        <f t="shared" si="3222"/>
        <v>5365.1668197122744</v>
      </c>
      <c r="AY753" s="184">
        <f t="shared" si="3222"/>
        <v>5617.3446401474766</v>
      </c>
      <c r="AZ753" s="20">
        <f>AY753</f>
        <v>5617.3446401474766</v>
      </c>
      <c r="BA753" s="28">
        <f t="shared" si="3223"/>
        <v>6252.9001957030323</v>
      </c>
      <c r="BB753" s="28">
        <f t="shared" si="3223"/>
        <v>6555.5135802252753</v>
      </c>
      <c r="BC753" s="49">
        <f>BB753</f>
        <v>6555.5135802252753</v>
      </c>
      <c r="BD753" s="28">
        <f t="shared" si="3224"/>
        <v>7333.2913580030527</v>
      </c>
      <c r="BE753" s="28">
        <f t="shared" si="3224"/>
        <v>8003.3562712155335</v>
      </c>
      <c r="BF753" s="49">
        <f>BE753</f>
        <v>8003.3562712155335</v>
      </c>
      <c r="BG753" s="28">
        <f t="shared" si="3225"/>
        <v>8739.1118267710881</v>
      </c>
      <c r="BH753" s="28">
        <f t="shared" si="3225"/>
        <v>9741.3417963437805</v>
      </c>
      <c r="BI753" s="49">
        <f>BH753</f>
        <v>9741.3417963437805</v>
      </c>
      <c r="BJ753" s="110">
        <f t="shared" si="3226"/>
        <v>10624.248463010448</v>
      </c>
      <c r="BK753" s="110">
        <f t="shared" si="3226"/>
        <v>11541.288885169462</v>
      </c>
      <c r="BL753" s="111">
        <f>BK753</f>
        <v>11541.288885169462</v>
      </c>
      <c r="BM753" s="110">
        <f t="shared" si="3227"/>
        <v>12450.68275183613</v>
      </c>
      <c r="BN753" s="110">
        <f t="shared" si="3227"/>
        <v>13596.983279534898</v>
      </c>
      <c r="BO753" s="111">
        <f>BN753</f>
        <v>13596.983279534898</v>
      </c>
      <c r="BP753" s="110">
        <f t="shared" si="3228"/>
        <v>14751.913490201565</v>
      </c>
      <c r="BQ753" s="110">
        <f t="shared" si="3228"/>
        <v>15955.529044285271</v>
      </c>
      <c r="BR753" s="111">
        <f>BQ753</f>
        <v>15955.529044285271</v>
      </c>
      <c r="BS753" s="28">
        <f t="shared" si="3229"/>
        <v>17348.37487834927</v>
      </c>
      <c r="BT753" s="28">
        <f t="shared" si="3229"/>
        <v>18852.894320953903</v>
      </c>
      <c r="BU753" s="20">
        <f>BT753</f>
        <v>18852.894320953903</v>
      </c>
      <c r="BV753" s="28">
        <f t="shared" si="3230"/>
        <v>20332.096596729873</v>
      </c>
      <c r="BW753" s="28">
        <f t="shared" si="3230"/>
        <v>22077.339150151245</v>
      </c>
      <c r="BX753" s="184">
        <f>BW753</f>
        <v>22077.339150151245</v>
      </c>
      <c r="BY753" s="28">
        <f t="shared" si="3231"/>
        <v>23482.581312138416</v>
      </c>
      <c r="BZ753" s="28">
        <f t="shared" si="3231"/>
        <v>25318.576478337702</v>
      </c>
      <c r="CA753" s="184">
        <f>BZ753</f>
        <v>25318.576478337702</v>
      </c>
      <c r="CB753" s="28">
        <f t="shared" si="3232"/>
        <v>26850.290434903716</v>
      </c>
      <c r="CC753" s="28">
        <f t="shared" si="3232"/>
        <v>29053.484634342858</v>
      </c>
      <c r="CD753" s="184">
        <f>CC753</f>
        <v>29053.484634342858</v>
      </c>
      <c r="CE753" s="28">
        <f t="shared" si="3233"/>
        <v>30966.856619183221</v>
      </c>
      <c r="CF753" s="28">
        <f t="shared" si="3233"/>
        <v>33502.690776959695</v>
      </c>
      <c r="CG753" s="184">
        <f>CF753</f>
        <v>33502.690776959695</v>
      </c>
      <c r="CH753" s="28">
        <f t="shared" si="3234"/>
        <v>35597.833100359894</v>
      </c>
      <c r="CI753" s="28">
        <f t="shared" si="3234"/>
        <v>38028.847005858195</v>
      </c>
      <c r="CJ753" s="184">
        <f>CI753</f>
        <v>38028.847005858195</v>
      </c>
      <c r="CK753" s="28">
        <f t="shared" si="3235"/>
        <v>42353.29145030264</v>
      </c>
      <c r="CL753" s="28">
        <f t="shared" si="3235"/>
        <v>45987.735894747086</v>
      </c>
      <c r="CM753" s="184">
        <f>CL753</f>
        <v>45987.735894747086</v>
      </c>
      <c r="CN753" s="28">
        <f t="shared" si="3236"/>
        <v>48350.624783635976</v>
      </c>
      <c r="CO753" s="28">
        <f t="shared" si="3236"/>
        <v>51805.680339191531</v>
      </c>
      <c r="CP753" s="184">
        <f>CO753</f>
        <v>51805.680339191531</v>
      </c>
      <c r="CQ753" s="28">
        <f t="shared" si="3237"/>
        <v>52947.888578113467</v>
      </c>
      <c r="CR753" s="28">
        <f t="shared" si="3237"/>
        <v>55951.502564486167</v>
      </c>
      <c r="CS753" s="184">
        <f>CR753</f>
        <v>55951.502564486167</v>
      </c>
      <c r="CT753" s="28">
        <f t="shared" si="3238"/>
        <v>59308.042738411401</v>
      </c>
      <c r="CU753" s="28">
        <f t="shared" si="3238"/>
        <v>62022.948535213851</v>
      </c>
      <c r="CV753" s="184">
        <f>CU753</f>
        <v>62022.948535213851</v>
      </c>
      <c r="CW753" s="28">
        <f t="shared" si="3239"/>
        <v>65006.352299479688</v>
      </c>
      <c r="CX753" s="28">
        <f t="shared" si="3239"/>
        <v>67019.794811198182</v>
      </c>
      <c r="CY753" s="20">
        <f>CX753</f>
        <v>67019.794811198182</v>
      </c>
      <c r="CZ753" s="28">
        <f t="shared" si="3240"/>
        <v>68816.199984082676</v>
      </c>
      <c r="DA753" s="28">
        <f t="shared" si="3240"/>
        <v>71550.943917721408</v>
      </c>
      <c r="DB753" s="20">
        <f>DA753</f>
        <v>71550.943917721408</v>
      </c>
      <c r="DC753" s="28">
        <f t="shared" si="3241"/>
        <v>73760.694450717143</v>
      </c>
      <c r="DD753" s="28">
        <f t="shared" si="3241"/>
        <v>76127.094963881071</v>
      </c>
      <c r="DE753" s="20">
        <f>DD753</f>
        <v>76127.094963881071</v>
      </c>
      <c r="DF753" s="28">
        <f t="shared" si="3242"/>
        <v>78864.331683968587</v>
      </c>
      <c r="DG753" s="28">
        <f t="shared" si="3242"/>
        <v>80373.2987355082</v>
      </c>
      <c r="DH753" s="20">
        <f>DG753</f>
        <v>80373.2987355082</v>
      </c>
      <c r="DI753" s="28">
        <f t="shared" si="3243"/>
        <v>83739.4231596092</v>
      </c>
      <c r="DJ753" s="28">
        <f t="shared" si="3243"/>
        <v>87165.705934055863</v>
      </c>
      <c r="DK753" s="20">
        <f>DJ753</f>
        <v>87165.705934055863</v>
      </c>
      <c r="DL753" s="28">
        <f>DK753+DL747</f>
        <v>90716.654869008227</v>
      </c>
      <c r="DM753" s="28">
        <f t="shared" si="3244"/>
        <v>94479.464265956645</v>
      </c>
      <c r="DN753" s="20">
        <f>DM753</f>
        <v>94479.464265956645</v>
      </c>
      <c r="DO753" s="28">
        <f t="shared" si="3245"/>
        <v>98742.123685434402</v>
      </c>
      <c r="DP753" s="28">
        <f t="shared" si="3245"/>
        <v>102976.18246962766</v>
      </c>
      <c r="DQ753" s="20">
        <f>DP753</f>
        <v>102976.18246962766</v>
      </c>
      <c r="DR753" s="28">
        <f t="shared" si="3246"/>
        <v>107213.32545507763</v>
      </c>
      <c r="DS753" s="28">
        <f t="shared" si="3246"/>
        <v>111759.04989020458</v>
      </c>
      <c r="DT753" s="20">
        <f>DS753</f>
        <v>111759.04989020458</v>
      </c>
      <c r="DU753" s="28">
        <f t="shared" si="3247"/>
        <v>117281.1837857892</v>
      </c>
      <c r="DV753" s="28">
        <f t="shared" si="3247"/>
        <v>122630.97381867561</v>
      </c>
      <c r="DW753" s="20">
        <f>DV753</f>
        <v>122630.97381867561</v>
      </c>
      <c r="DX753" s="28">
        <f t="shared" si="3248"/>
        <v>127935.13557226594</v>
      </c>
      <c r="DY753" s="28">
        <f t="shared" si="3248"/>
        <v>133819.90460844099</v>
      </c>
      <c r="DZ753" s="20">
        <f>DY753</f>
        <v>133819.90460844099</v>
      </c>
      <c r="EA753" s="28">
        <f t="shared" si="3249"/>
        <v>140184.89871274939</v>
      </c>
      <c r="EB753" s="28">
        <f t="shared" si="3249"/>
        <v>146481.60158145669</v>
      </c>
      <c r="EC753" s="20">
        <f>EB753</f>
        <v>146481.60158145669</v>
      </c>
      <c r="ED753" s="28">
        <f t="shared" si="3250"/>
        <v>153419.44515515285</v>
      </c>
      <c r="EE753" s="28">
        <f t="shared" si="3250"/>
        <v>160282.85128204382</v>
      </c>
      <c r="EF753" s="20">
        <f>EE753</f>
        <v>160282.85128204382</v>
      </c>
      <c r="EG753" s="28">
        <f t="shared" si="3251"/>
        <v>167845.10077737263</v>
      </c>
      <c r="EH753" s="28">
        <f t="shared" si="3251"/>
        <v>175326.21345568378</v>
      </c>
      <c r="EI753" s="20">
        <f>EH753</f>
        <v>175326.21345568378</v>
      </c>
      <c r="EJ753" s="28">
        <f t="shared" si="3252"/>
        <v>183569.06540559218</v>
      </c>
      <c r="EK753" s="28">
        <f t="shared" si="3252"/>
        <v>191723.47822495134</v>
      </c>
      <c r="EL753" s="20">
        <f>EK753</f>
        <v>191723.47822495134</v>
      </c>
      <c r="EM753" s="28">
        <f t="shared" si="3253"/>
        <v>200708.18685035149</v>
      </c>
      <c r="EN753" s="28">
        <f t="shared" si="3253"/>
        <v>209596.49682345297</v>
      </c>
      <c r="EO753" s="20">
        <f>EN753</f>
        <v>209596.49682345297</v>
      </c>
      <c r="EP753" s="28">
        <f t="shared" si="3254"/>
        <v>219389.82922513914</v>
      </c>
      <c r="EQ753" s="28">
        <f t="shared" si="3254"/>
        <v>229078.08709581976</v>
      </c>
      <c r="ER753" s="20">
        <f>EQ753</f>
        <v>229078.08709581976</v>
      </c>
      <c r="ES753" s="28">
        <f t="shared" si="3255"/>
        <v>239752.81941365768</v>
      </c>
      <c r="ET753" s="28">
        <f t="shared" si="3256"/>
        <v>250313.02049269955</v>
      </c>
      <c r="EU753" s="20">
        <f>ET753</f>
        <v>250313.02049269955</v>
      </c>
      <c r="EV753" s="28">
        <f t="shared" si="3257"/>
        <v>261948.47871914288</v>
      </c>
      <c r="EW753" s="28">
        <f t="shared" si="3258"/>
        <v>273459.0978952985</v>
      </c>
      <c r="EX753" s="20">
        <f>EW753</f>
        <v>273459.0978952985</v>
      </c>
      <c r="EY753" s="28">
        <f t="shared" si="3259"/>
        <v>286141.74736212171</v>
      </c>
      <c r="EZ753" s="28">
        <f t="shared" si="3260"/>
        <v>298688.32226413139</v>
      </c>
      <c r="FA753" s="20">
        <f>EZ753</f>
        <v>298688.32226413139</v>
      </c>
      <c r="FH753" s="35"/>
      <c r="FI753" s="35"/>
      <c r="FJ753" s="35"/>
      <c r="FK753" s="35"/>
      <c r="FL753" s="35"/>
      <c r="FM753" s="35"/>
      <c r="FN753" s="35"/>
      <c r="FO753" s="35"/>
      <c r="FP753" s="35"/>
      <c r="FQ753" s="35"/>
    </row>
    <row r="754" spans="1:173" s="321" customFormat="1" ht="13.5" hidden="1" outlineLevel="1" thickBot="1">
      <c r="A754" s="1437"/>
      <c r="B754" s="967"/>
      <c r="C754" s="967" t="s">
        <v>327</v>
      </c>
      <c r="D754" s="990"/>
      <c r="E754" s="18"/>
      <c r="F754" s="18"/>
      <c r="G754" s="19"/>
      <c r="H754" s="18"/>
      <c r="I754" s="18"/>
      <c r="J754" s="19"/>
      <c r="K754" s="18"/>
      <c r="L754" s="18"/>
      <c r="M754" s="19"/>
      <c r="N754" s="18"/>
      <c r="O754" s="18"/>
      <c r="P754" s="19"/>
      <c r="Q754" s="18"/>
      <c r="R754" s="18"/>
      <c r="S754" s="19"/>
      <c r="T754" s="18"/>
      <c r="U754" s="18"/>
      <c r="V754" s="19"/>
      <c r="W754" s="18"/>
      <c r="X754" s="18"/>
      <c r="Y754" s="19"/>
      <c r="Z754" s="18"/>
      <c r="AA754" s="18"/>
      <c r="AB754" s="19"/>
      <c r="AC754" s="18"/>
      <c r="AD754" s="18"/>
      <c r="AE754" s="19"/>
      <c r="AF754" s="18"/>
      <c r="AG754" s="18"/>
      <c r="AH754" s="19">
        <v>10000</v>
      </c>
      <c r="AI754" s="18"/>
      <c r="AJ754" s="18"/>
      <c r="AK754" s="19">
        <f>AH754*(1+AK808)</f>
        <v>12105.999999999998</v>
      </c>
      <c r="AL754" s="18"/>
      <c r="AM754" s="18"/>
      <c r="AN754" s="24">
        <f>AK754*(1+AN808)</f>
        <v>14655.523599999997</v>
      </c>
      <c r="AO754" s="18"/>
      <c r="AP754" s="18"/>
      <c r="AQ754" s="24">
        <f>AN754*(1+AQ808)</f>
        <v>17741.976870159993</v>
      </c>
      <c r="AR754" s="18"/>
      <c r="AS754" s="18"/>
      <c r="AT754" s="24">
        <f>AQ754*(1+AT808)</f>
        <v>21478.437199015687</v>
      </c>
      <c r="AU754" s="18"/>
      <c r="AV754" s="18"/>
      <c r="AW754" s="24">
        <v>36328.099173553717</v>
      </c>
      <c r="AX754" s="227">
        <f t="shared" ref="AX754:CC754" si="3261">SUM(AX751:AX753)</f>
        <v>40111.697057151599</v>
      </c>
      <c r="AY754" s="227">
        <f t="shared" si="3261"/>
        <v>44456.312917979645</v>
      </c>
      <c r="AZ754" s="225">
        <f t="shared" si="3261"/>
        <v>44456.312917979645</v>
      </c>
      <c r="BA754" s="224">
        <f t="shared" si="3261"/>
        <v>48996.630378297101</v>
      </c>
      <c r="BB754" s="224">
        <f t="shared" si="3261"/>
        <v>54210.16941129075</v>
      </c>
      <c r="BC754" s="55">
        <f t="shared" si="3261"/>
        <v>54210.16941129075</v>
      </c>
      <c r="BD754" s="224">
        <f t="shared" si="3261"/>
        <v>59580.104051813621</v>
      </c>
      <c r="BE754" s="224">
        <f t="shared" si="3261"/>
        <v>65983.130835520118</v>
      </c>
      <c r="BF754" s="55">
        <f t="shared" si="3261"/>
        <v>65983.130835520118</v>
      </c>
      <c r="BG754" s="224">
        <f t="shared" si="3261"/>
        <v>71961.50801269729</v>
      </c>
      <c r="BH754" s="224">
        <f t="shared" si="3261"/>
        <v>78814.865302713457</v>
      </c>
      <c r="BI754" s="55">
        <f t="shared" si="3261"/>
        <v>78814.865302713457</v>
      </c>
      <c r="BJ754" s="991">
        <f t="shared" si="3261"/>
        <v>84965.712612237257</v>
      </c>
      <c r="BK754" s="991">
        <f t="shared" si="3261"/>
        <v>92451.329126953031</v>
      </c>
      <c r="BL754" s="992">
        <f t="shared" si="3261"/>
        <v>92451.329126953031</v>
      </c>
      <c r="BM754" s="991">
        <f t="shared" si="3261"/>
        <v>99954.115061700038</v>
      </c>
      <c r="BN754" s="991">
        <f t="shared" si="3261"/>
        <v>108532.9520826052</v>
      </c>
      <c r="BO754" s="992">
        <f t="shared" si="3261"/>
        <v>108532.9520826052</v>
      </c>
      <c r="BP754" s="991">
        <f t="shared" si="3261"/>
        <v>118313.15080999017</v>
      </c>
      <c r="BQ754" s="991">
        <f t="shared" si="3261"/>
        <v>127804.22084322979</v>
      </c>
      <c r="BR754" s="992">
        <f t="shared" si="3261"/>
        <v>127804.22084322979</v>
      </c>
      <c r="BS754" s="224">
        <f t="shared" si="3261"/>
        <v>139719.89426769014</v>
      </c>
      <c r="BT754" s="224">
        <f t="shared" si="3261"/>
        <v>151645.40947406858</v>
      </c>
      <c r="BU754" s="225">
        <f t="shared" si="3261"/>
        <v>151645.40947406858</v>
      </c>
      <c r="BV754" s="224">
        <f t="shared" si="3261"/>
        <v>165083.9993652699</v>
      </c>
      <c r="BW754" s="224">
        <f t="shared" si="3261"/>
        <v>178831.01642496861</v>
      </c>
      <c r="BX754" s="225">
        <f t="shared" si="3261"/>
        <v>178831.01642496861</v>
      </c>
      <c r="BY754" s="224">
        <f t="shared" si="3261"/>
        <v>192619.04832062434</v>
      </c>
      <c r="BZ754" s="224">
        <f t="shared" si="3261"/>
        <v>206533.69009021233</v>
      </c>
      <c r="CA754" s="225">
        <f t="shared" si="3261"/>
        <v>206533.69009021233</v>
      </c>
      <c r="CB754" s="224">
        <f t="shared" si="3261"/>
        <v>221288.1066708494</v>
      </c>
      <c r="CC754" s="224">
        <f t="shared" si="3261"/>
        <v>237964.58158987344</v>
      </c>
      <c r="CD754" s="225">
        <f t="shared" ref="CD754:DI754" si="3262">SUM(CD751:CD753)</f>
        <v>237964.58158987344</v>
      </c>
      <c r="CE754" s="224">
        <f t="shared" si="3262"/>
        <v>255578.41056659719</v>
      </c>
      <c r="CF754" s="224">
        <f t="shared" si="3262"/>
        <v>274758.51755189628</v>
      </c>
      <c r="CG754" s="225">
        <f t="shared" si="3262"/>
        <v>274758.51755189628</v>
      </c>
      <c r="CH754" s="224">
        <f t="shared" si="3262"/>
        <v>290660.21283611073</v>
      </c>
      <c r="CI754" s="224">
        <f t="shared" si="3262"/>
        <v>309047.49839546764</v>
      </c>
      <c r="CJ754" s="225">
        <f t="shared" si="3262"/>
        <v>309047.49839546764</v>
      </c>
      <c r="CK754" s="224">
        <f t="shared" si="3262"/>
        <v>328636.86840493866</v>
      </c>
      <c r="CL754" s="224">
        <f t="shared" si="3262"/>
        <v>347437.44037142559</v>
      </c>
      <c r="CM754" s="225">
        <f t="shared" si="3262"/>
        <v>347437.44037142559</v>
      </c>
      <c r="CN754" s="224">
        <f t="shared" si="3262"/>
        <v>364761.51714487537</v>
      </c>
      <c r="CO754" s="224">
        <f t="shared" si="3262"/>
        <v>385633.92958217073</v>
      </c>
      <c r="CP754" s="225">
        <f t="shared" si="3262"/>
        <v>385633.92958217073</v>
      </c>
      <c r="CQ754" s="224">
        <f t="shared" si="3262"/>
        <v>403489.43419598643</v>
      </c>
      <c r="CR754" s="224">
        <f t="shared" si="3262"/>
        <v>425942.97989959503</v>
      </c>
      <c r="CS754" s="225">
        <f t="shared" si="3262"/>
        <v>425942.97989959503</v>
      </c>
      <c r="CT754" s="224">
        <f t="shared" si="3262"/>
        <v>447684.14608590346</v>
      </c>
      <c r="CU754" s="224">
        <f t="shared" si="3262"/>
        <v>470662.80037943809</v>
      </c>
      <c r="CV754" s="225">
        <f t="shared" si="3262"/>
        <v>470662.80037943809</v>
      </c>
      <c r="CW754" s="224">
        <f t="shared" si="3262"/>
        <v>494951.14506457007</v>
      </c>
      <c r="CX754" s="224">
        <f t="shared" si="3262"/>
        <v>519636.80838650698</v>
      </c>
      <c r="CY754" s="225">
        <f t="shared" si="3262"/>
        <v>519636.80838650698</v>
      </c>
      <c r="CZ754" s="224">
        <f t="shared" si="3262"/>
        <v>544107.51810265088</v>
      </c>
      <c r="DA754" s="224">
        <f t="shared" si="3262"/>
        <v>573002.29352474341</v>
      </c>
      <c r="DB754" s="225">
        <f t="shared" si="3262"/>
        <v>573002.29352474341</v>
      </c>
      <c r="DC754" s="224">
        <f t="shared" si="3262"/>
        <v>598408.71091411624</v>
      </c>
      <c r="DD754" s="224">
        <f t="shared" si="3262"/>
        <v>624396.75292199978</v>
      </c>
      <c r="DE754" s="225">
        <f t="shared" si="3262"/>
        <v>624396.75292199978</v>
      </c>
      <c r="DF754" s="224">
        <f t="shared" si="3262"/>
        <v>652941.95172636921</v>
      </c>
      <c r="DG754" s="224">
        <f t="shared" si="3262"/>
        <v>672167.14989894873</v>
      </c>
      <c r="DH754" s="225">
        <f t="shared" si="3262"/>
        <v>672167.14989894873</v>
      </c>
      <c r="DI754" s="224">
        <f t="shared" si="3262"/>
        <v>698122.32716685825</v>
      </c>
      <c r="DJ754" s="224">
        <f t="shared" ref="DJ754:EF754" si="3263">SUM(DJ751:DJ753)</f>
        <v>726512.13257700799</v>
      </c>
      <c r="DK754" s="225">
        <f t="shared" si="3263"/>
        <v>726512.13257700799</v>
      </c>
      <c r="DL754" s="224">
        <f t="shared" si="3263"/>
        <v>754175.64329173171</v>
      </c>
      <c r="DM754" s="224">
        <f t="shared" si="3263"/>
        <v>783287.16251119005</v>
      </c>
      <c r="DN754" s="225">
        <f t="shared" si="3263"/>
        <v>783287.16251119005</v>
      </c>
      <c r="DO754" s="224">
        <f t="shared" si="3263"/>
        <v>814945.26156499959</v>
      </c>
      <c r="DP754" s="224">
        <f t="shared" si="3263"/>
        <v>849197.6106489501</v>
      </c>
      <c r="DQ754" s="225">
        <f t="shared" si="3263"/>
        <v>849197.6106489501</v>
      </c>
      <c r="DR754" s="224">
        <f t="shared" si="3263"/>
        <v>885577.02706541796</v>
      </c>
      <c r="DS754" s="224">
        <f t="shared" si="3263"/>
        <v>921099.50932474365</v>
      </c>
      <c r="DT754" s="225">
        <f t="shared" si="3263"/>
        <v>921099.50932474365</v>
      </c>
      <c r="DU754" s="224">
        <f t="shared" si="3263"/>
        <v>958793.8433269714</v>
      </c>
      <c r="DV754" s="224">
        <f t="shared" si="3263"/>
        <v>1001284.6252526939</v>
      </c>
      <c r="DW754" s="225">
        <f t="shared" si="3263"/>
        <v>1001284.6252526939</v>
      </c>
      <c r="DX754" s="224">
        <f t="shared" si="3263"/>
        <v>1041626.1192058307</v>
      </c>
      <c r="DY754" s="224">
        <f t="shared" si="3263"/>
        <v>1088365.9793241255</v>
      </c>
      <c r="DZ754" s="225">
        <f t="shared" si="3263"/>
        <v>1088365.9793241255</v>
      </c>
      <c r="EA754" s="224">
        <f t="shared" si="3263"/>
        <v>1136775.7720678898</v>
      </c>
      <c r="EB754" s="224">
        <f t="shared" si="3263"/>
        <v>1186787.422394465</v>
      </c>
      <c r="EC754" s="225">
        <f t="shared" si="3263"/>
        <v>1186787.422394465</v>
      </c>
      <c r="ED754" s="224">
        <f t="shared" si="3263"/>
        <v>1239554.096485168</v>
      </c>
      <c r="EE754" s="224">
        <f t="shared" si="3263"/>
        <v>1294066.7953411352</v>
      </c>
      <c r="EF754" s="225">
        <f t="shared" si="3263"/>
        <v>1294066.7953411352</v>
      </c>
      <c r="EG754" s="224">
        <f t="shared" ref="EG754:EL754" si="3264">SUM(EG751:EG753)</f>
        <v>1351582.4701000017</v>
      </c>
      <c r="EH754" s="224">
        <f t="shared" si="3264"/>
        <v>1411001.3118530058</v>
      </c>
      <c r="EI754" s="225">
        <f t="shared" si="3264"/>
        <v>1411001.3118530058</v>
      </c>
      <c r="EJ754" s="224">
        <f t="shared" si="3264"/>
        <v>1473693.3973401699</v>
      </c>
      <c r="EK754" s="224">
        <f t="shared" si="3264"/>
        <v>1538459.9348509444</v>
      </c>
      <c r="EL754" s="225">
        <f t="shared" si="3264"/>
        <v>1538459.9348509444</v>
      </c>
      <c r="EM754" s="224">
        <f t="shared" ref="EM754:ER754" si="3265">SUM(EM751:EM753)</f>
        <v>1606794.3080319536</v>
      </c>
      <c r="EN754" s="224">
        <f t="shared" si="3265"/>
        <v>1677389.8339186977</v>
      </c>
      <c r="EO754" s="225">
        <f t="shared" si="3265"/>
        <v>1677389.8339186977</v>
      </c>
      <c r="EP754" s="224">
        <f t="shared" si="3265"/>
        <v>1751874.3006859976</v>
      </c>
      <c r="EQ754" s="224">
        <f t="shared" si="3265"/>
        <v>1828823.4239025488</v>
      </c>
      <c r="ER754" s="225">
        <f t="shared" si="3265"/>
        <v>1828823.4239025488</v>
      </c>
      <c r="ES754" s="224">
        <f t="shared" ref="ES754:EX754" si="3266">SUM(ES751:ES753)</f>
        <v>1910011.4926789058</v>
      </c>
      <c r="ET754" s="224">
        <f t="shared" si="3266"/>
        <v>1993886.0369849466</v>
      </c>
      <c r="EU754" s="225">
        <f t="shared" si="3266"/>
        <v>1993886.0369849466</v>
      </c>
      <c r="EV754" s="224">
        <f t="shared" si="3266"/>
        <v>2082381.0319511755</v>
      </c>
      <c r="EW754" s="224">
        <f t="shared" si="3266"/>
        <v>2173804.2852447601</v>
      </c>
      <c r="EX754" s="225">
        <f t="shared" si="3266"/>
        <v>2173804.2852447601</v>
      </c>
      <c r="EY754" s="224">
        <f t="shared" ref="EY754:FA754" si="3267">SUM(EY751:EY753)</f>
        <v>2270263.8297579493</v>
      </c>
      <c r="EZ754" s="224">
        <f t="shared" si="3267"/>
        <v>2369915.1758479569</v>
      </c>
      <c r="FA754" s="225">
        <f t="shared" si="3267"/>
        <v>2369915.1758479569</v>
      </c>
      <c r="FH754" s="35"/>
      <c r="FI754" s="35"/>
      <c r="FJ754" s="35"/>
      <c r="FK754" s="35"/>
      <c r="FL754" s="35"/>
      <c r="FM754" s="35"/>
      <c r="FN754" s="35"/>
      <c r="FO754" s="35"/>
      <c r="FP754" s="35"/>
      <c r="FQ754" s="35"/>
    </row>
    <row r="755" spans="1:173" s="321" customFormat="1" hidden="1" outlineLevel="1">
      <c r="A755" s="1174"/>
      <c r="B755" s="322" t="s">
        <v>1000</v>
      </c>
      <c r="D755" s="329"/>
      <c r="E755" s="22"/>
      <c r="F755" s="22"/>
      <c r="G755" s="23"/>
      <c r="H755" s="22"/>
      <c r="I755" s="22"/>
      <c r="J755" s="23"/>
      <c r="K755" s="22"/>
      <c r="L755" s="22"/>
      <c r="M755" s="23"/>
      <c r="N755" s="22"/>
      <c r="O755" s="22"/>
      <c r="P755" s="23"/>
      <c r="Q755" s="22"/>
      <c r="R755" s="22"/>
      <c r="S755" s="23"/>
      <c r="T755" s="22"/>
      <c r="U755" s="22"/>
      <c r="V755" s="23"/>
      <c r="W755" s="22"/>
      <c r="X755" s="22"/>
      <c r="Y755" s="23"/>
      <c r="Z755" s="22"/>
      <c r="AA755" s="22"/>
      <c r="AB755" s="23"/>
      <c r="AC755" s="22"/>
      <c r="AD755" s="22"/>
      <c r="AE755" s="23"/>
      <c r="AF755" s="22"/>
      <c r="AG755" s="22"/>
      <c r="AH755" s="23"/>
      <c r="AI755" s="22"/>
      <c r="AJ755" s="22"/>
      <c r="AK755" s="23"/>
      <c r="AL755" s="22"/>
      <c r="AM755" s="22"/>
      <c r="AN755" s="328"/>
      <c r="AO755" s="22"/>
      <c r="AP755" s="22"/>
      <c r="AQ755" s="328"/>
      <c r="AR755" s="22"/>
      <c r="AS755" s="22"/>
      <c r="AT755" s="328"/>
      <c r="AU755" s="22"/>
      <c r="AV755" s="22"/>
      <c r="AW755" s="328"/>
      <c r="AX755" s="993"/>
      <c r="AY755" s="993"/>
      <c r="AZ755" s="163"/>
      <c r="BA755" s="66"/>
      <c r="BB755" s="66"/>
      <c r="BC755" s="56"/>
      <c r="BD755" s="66"/>
      <c r="BE755" s="66"/>
      <c r="BF755" s="56"/>
      <c r="BG755" s="66"/>
      <c r="BH755" s="66"/>
      <c r="BI755" s="56"/>
      <c r="BJ755" s="994"/>
      <c r="BK755" s="994"/>
      <c r="BL755" s="995"/>
      <c r="BM755" s="994"/>
      <c r="BN755" s="994"/>
      <c r="BO755" s="995"/>
      <c r="BP755" s="994"/>
      <c r="BQ755" s="994"/>
      <c r="BR755" s="995"/>
      <c r="BS755" s="66"/>
      <c r="BT755" s="66"/>
      <c r="BU755" s="163"/>
      <c r="BV755" s="66"/>
      <c r="BW755" s="66"/>
      <c r="BX755" s="163"/>
      <c r="BY755" s="66"/>
      <c r="BZ755" s="66"/>
      <c r="CA755" s="163"/>
      <c r="CB755" s="66"/>
      <c r="CC755" s="66"/>
      <c r="CD755" s="163"/>
      <c r="CE755" s="66"/>
      <c r="CF755" s="66"/>
      <c r="CG755" s="163"/>
      <c r="CH755" s="66"/>
      <c r="CI755" s="66"/>
      <c r="CJ755" s="163"/>
      <c r="CK755" s="66"/>
      <c r="CL755" s="66"/>
      <c r="CM755" s="163"/>
      <c r="CN755" s="66"/>
      <c r="CO755" s="66"/>
      <c r="CP755" s="163"/>
      <c r="CQ755" s="66"/>
      <c r="CR755" s="66"/>
      <c r="CS755" s="163"/>
      <c r="CT755" s="66"/>
      <c r="CU755" s="66"/>
      <c r="CV755" s="163"/>
      <c r="CW755" s="66"/>
      <c r="CX755" s="66"/>
      <c r="CY755" s="163"/>
      <c r="CZ755" s="66"/>
      <c r="DA755" s="66"/>
      <c r="DB755" s="163"/>
      <c r="DC755" s="66"/>
      <c r="DD755" s="66"/>
      <c r="DE755" s="163"/>
      <c r="DF755" s="66"/>
      <c r="DG755" s="66"/>
      <c r="DH755" s="163"/>
      <c r="DI755" s="66"/>
      <c r="DJ755" s="66"/>
      <c r="DK755" s="163"/>
      <c r="DL755" s="66"/>
      <c r="DM755" s="66"/>
      <c r="DN755" s="163"/>
      <c r="DO755" s="66"/>
      <c r="DP755" s="66"/>
      <c r="DQ755" s="163"/>
      <c r="DR755" s="66"/>
      <c r="DS755" s="66"/>
      <c r="DT755" s="163"/>
      <c r="DU755" s="66"/>
      <c r="DV755" s="66"/>
      <c r="DW755" s="163"/>
      <c r="DX755" s="66"/>
      <c r="DY755" s="66"/>
      <c r="DZ755" s="163"/>
      <c r="EA755" s="66"/>
      <c r="EB755" s="66"/>
      <c r="EC755" s="163"/>
      <c r="ED755" s="66"/>
      <c r="EE755" s="66"/>
      <c r="EF755" s="163"/>
      <c r="EG755" s="66"/>
      <c r="EH755" s="66"/>
      <c r="EI755" s="163"/>
      <c r="EJ755" s="66"/>
      <c r="EK755" s="66"/>
      <c r="EL755" s="163"/>
      <c r="EM755" s="66"/>
      <c r="EN755" s="66"/>
      <c r="EO755" s="163"/>
      <c r="EP755" s="66"/>
      <c r="EQ755" s="66"/>
      <c r="ER755" s="163"/>
      <c r="ES755" s="66"/>
      <c r="ET755" s="66"/>
      <c r="EU755" s="163"/>
      <c r="EV755" s="66"/>
      <c r="EW755" s="66"/>
      <c r="EX755" s="163"/>
      <c r="EY755" s="66"/>
      <c r="EZ755" s="66"/>
      <c r="FA755" s="163"/>
      <c r="FH755" s="35"/>
      <c r="FI755" s="35"/>
      <c r="FJ755" s="35"/>
      <c r="FK755" s="35"/>
      <c r="FL755" s="35"/>
      <c r="FM755" s="35"/>
      <c r="FN755" s="35"/>
      <c r="FO755" s="35"/>
      <c r="FP755" s="35"/>
      <c r="FQ755" s="35"/>
    </row>
    <row r="756" spans="1:173" s="321" customFormat="1" hidden="1" outlineLevel="1">
      <c r="A756" s="1174"/>
      <c r="C756" s="321" t="s">
        <v>993</v>
      </c>
      <c r="D756" s="329"/>
      <c r="E756" s="22"/>
      <c r="F756" s="22"/>
      <c r="G756" s="23"/>
      <c r="H756" s="22"/>
      <c r="I756" s="22"/>
      <c r="J756" s="23"/>
      <c r="K756" s="22"/>
      <c r="L756" s="22"/>
      <c r="M756" s="23"/>
      <c r="N756" s="22"/>
      <c r="O756" s="22"/>
      <c r="P756" s="23"/>
      <c r="Q756" s="22"/>
      <c r="R756" s="22"/>
      <c r="S756" s="23"/>
      <c r="T756" s="22"/>
      <c r="U756" s="22"/>
      <c r="V756" s="23"/>
      <c r="W756" s="22"/>
      <c r="X756" s="22"/>
      <c r="Y756" s="23"/>
      <c r="Z756" s="22"/>
      <c r="AA756" s="22"/>
      <c r="AB756" s="23"/>
      <c r="AC756" s="22"/>
      <c r="AD756" s="22"/>
      <c r="AE756" s="23"/>
      <c r="AF756" s="22"/>
      <c r="AG756" s="22"/>
      <c r="AH756" s="23"/>
      <c r="AI756" s="22"/>
      <c r="AJ756" s="22"/>
      <c r="AK756" s="23"/>
      <c r="AL756" s="22"/>
      <c r="AM756" s="22"/>
      <c r="AN756" s="328"/>
      <c r="AO756" s="22"/>
      <c r="AP756" s="22"/>
      <c r="AQ756" s="328"/>
      <c r="AR756" s="22"/>
      <c r="AS756" s="22"/>
      <c r="AT756" s="328"/>
      <c r="AU756" s="22"/>
      <c r="AV756" s="22"/>
      <c r="AW756" s="328"/>
      <c r="AX756" s="993"/>
      <c r="AY756" s="993"/>
      <c r="AZ756" s="163"/>
      <c r="BA756" s="66"/>
      <c r="BB756" s="66"/>
      <c r="BC756" s="56"/>
      <c r="BD756" s="66"/>
      <c r="BE756" s="66"/>
      <c r="BF756" s="56"/>
      <c r="BG756" s="66"/>
      <c r="BH756" s="66"/>
      <c r="BI756" s="56"/>
      <c r="BJ756" s="994"/>
      <c r="BK756" s="994"/>
      <c r="BL756" s="995"/>
      <c r="BM756" s="994"/>
      <c r="BN756" s="994"/>
      <c r="BO756" s="995"/>
      <c r="BP756" s="994"/>
      <c r="BQ756" s="994"/>
      <c r="BR756" s="995"/>
      <c r="BS756" s="66"/>
      <c r="BT756" s="66"/>
      <c r="BU756" s="163"/>
      <c r="BV756" s="66"/>
      <c r="BW756" s="66"/>
      <c r="BX756" s="163"/>
      <c r="BY756" s="66"/>
      <c r="BZ756" s="66"/>
      <c r="CA756" s="163"/>
      <c r="CB756" s="66"/>
      <c r="CC756" s="66"/>
      <c r="CD756" s="163"/>
      <c r="CE756" s="66"/>
      <c r="CF756" s="66"/>
      <c r="CG756" s="163"/>
      <c r="CH756" s="66"/>
      <c r="CI756" s="66"/>
      <c r="CJ756" s="163"/>
      <c r="CK756" s="66"/>
      <c r="CL756" s="66"/>
      <c r="CM756" s="163"/>
      <c r="CN756" s="66"/>
      <c r="CO756" s="66"/>
      <c r="CP756" s="163"/>
      <c r="CQ756" s="66"/>
      <c r="CR756" s="66"/>
      <c r="CS756" s="163"/>
      <c r="CT756" s="66"/>
      <c r="CU756" s="66"/>
      <c r="CV756" s="163"/>
      <c r="CW756" s="66"/>
      <c r="CX756" s="66"/>
      <c r="CY756" s="163"/>
      <c r="CZ756" s="66"/>
      <c r="DA756" s="66"/>
      <c r="DB756" s="163"/>
      <c r="DC756" s="66"/>
      <c r="DD756" s="66"/>
      <c r="DE756" s="163"/>
      <c r="DF756" s="66"/>
      <c r="DG756" s="66"/>
      <c r="DH756" s="163"/>
      <c r="DI756" s="66"/>
      <c r="DJ756" s="66"/>
      <c r="DK756" s="163"/>
      <c r="DL756" s="66"/>
      <c r="DM756" s="66"/>
      <c r="DN756" s="163"/>
      <c r="DO756" s="66"/>
      <c r="DP756" s="66"/>
      <c r="DQ756" s="163"/>
      <c r="DR756" s="66"/>
      <c r="DS756" s="66"/>
      <c r="DT756" s="163"/>
      <c r="DU756" s="66"/>
      <c r="DV756" s="66"/>
      <c r="DW756" s="163"/>
      <c r="DX756" s="66"/>
      <c r="DY756" s="66"/>
      <c r="DZ756" s="163"/>
      <c r="EA756" s="66"/>
      <c r="EB756" s="66"/>
      <c r="EC756" s="163"/>
      <c r="ED756" s="66"/>
      <c r="EE756" s="66"/>
      <c r="EF756" s="163"/>
      <c r="EG756" s="66"/>
      <c r="EH756" s="66"/>
      <c r="EI756" s="163"/>
      <c r="EJ756" s="66"/>
      <c r="EK756" s="66"/>
      <c r="EL756" s="163"/>
      <c r="EM756" s="66"/>
      <c r="EN756" s="66"/>
      <c r="EO756" s="163"/>
      <c r="EP756" s="66"/>
      <c r="EQ756" s="66"/>
      <c r="ER756" s="163"/>
      <c r="ES756" s="66"/>
      <c r="ET756" s="66"/>
      <c r="EU756" s="163"/>
      <c r="EV756" s="66"/>
      <c r="EW756" s="66"/>
      <c r="EX756" s="163"/>
      <c r="EY756" s="66"/>
      <c r="EZ756" s="66"/>
      <c r="FA756" s="163"/>
      <c r="FH756" s="35"/>
      <c r="FI756" s="35"/>
      <c r="FJ756" s="35"/>
      <c r="FK756" s="35"/>
      <c r="FL756" s="35"/>
      <c r="FM756" s="35"/>
      <c r="FN756" s="35"/>
      <c r="FO756" s="35"/>
      <c r="FP756" s="35"/>
      <c r="FQ756" s="35"/>
    </row>
    <row r="757" spans="1:173" s="321" customFormat="1" hidden="1" outlineLevel="1">
      <c r="A757" s="1174"/>
      <c r="C757" s="186" t="s">
        <v>316</v>
      </c>
      <c r="D757" s="329" t="s">
        <v>98</v>
      </c>
      <c r="E757" s="22"/>
      <c r="F757" s="22"/>
      <c r="G757" s="23"/>
      <c r="H757" s="22"/>
      <c r="I757" s="22"/>
      <c r="J757" s="23"/>
      <c r="K757" s="22"/>
      <c r="L757" s="22"/>
      <c r="M757" s="23"/>
      <c r="N757" s="22"/>
      <c r="O757" s="22"/>
      <c r="P757" s="23"/>
      <c r="Q757" s="22"/>
      <c r="R757" s="22"/>
      <c r="S757" s="23"/>
      <c r="T757" s="22"/>
      <c r="U757" s="22"/>
      <c r="V757" s="23"/>
      <c r="W757" s="22"/>
      <c r="X757" s="22"/>
      <c r="Y757" s="23"/>
      <c r="Z757" s="22"/>
      <c r="AA757" s="22"/>
      <c r="AB757" s="23"/>
      <c r="AC757" s="22"/>
      <c r="AD757" s="22"/>
      <c r="AE757" s="23"/>
      <c r="AF757" s="22"/>
      <c r="AG757" s="22"/>
      <c r="AH757" s="23"/>
      <c r="AI757" s="22"/>
      <c r="AJ757" s="22"/>
      <c r="AK757" s="23"/>
      <c r="AL757" s="22"/>
      <c r="AM757" s="22"/>
      <c r="AN757" s="328"/>
      <c r="AO757" s="22"/>
      <c r="AP757" s="22"/>
      <c r="AQ757" s="328"/>
      <c r="AR757" s="22"/>
      <c r="AS757" s="22"/>
      <c r="AT757" s="328"/>
      <c r="AU757" s="22"/>
      <c r="AV757" s="22"/>
      <c r="AW757" s="328"/>
      <c r="AX757" s="993">
        <f>AX745*AX$761</f>
        <v>972.22222222222229</v>
      </c>
      <c r="AY757" s="993">
        <f>AY745*AY$761</f>
        <v>1250</v>
      </c>
      <c r="AZ757" s="993">
        <f>AZ745*AZ$761</f>
        <v>2222.2222222222222</v>
      </c>
      <c r="BA757" s="993">
        <f>BA745*BA$761</f>
        <v>1187.4160949796355</v>
      </c>
      <c r="BB757" s="993">
        <f t="shared" ref="BB757:DK757" si="3268">BB745*BB$761</f>
        <v>1526.6778364023885</v>
      </c>
      <c r="BC757" s="993">
        <f t="shared" si="3268"/>
        <v>2714.0939313820245</v>
      </c>
      <c r="BD757" s="993">
        <f t="shared" si="3268"/>
        <v>1389.8147400078769</v>
      </c>
      <c r="BE757" s="993">
        <f t="shared" si="3268"/>
        <v>1712.2722216504496</v>
      </c>
      <c r="BF757" s="993">
        <f t="shared" si="3268"/>
        <v>3102.0869616583263</v>
      </c>
      <c r="BG757" s="993">
        <f t="shared" si="3268"/>
        <v>1709.5640559933011</v>
      </c>
      <c r="BH757" s="993">
        <f t="shared" si="3268"/>
        <v>1849.9700050974784</v>
      </c>
      <c r="BI757" s="993">
        <f t="shared" si="3268"/>
        <v>3559.5340610907797</v>
      </c>
      <c r="BJ757" s="993">
        <f t="shared" si="3268"/>
        <v>1646.8806926971361</v>
      </c>
      <c r="BK757" s="993">
        <f t="shared" si="3268"/>
        <v>2142.8796615627402</v>
      </c>
      <c r="BL757" s="993">
        <f t="shared" si="3268"/>
        <v>3789.7603542598763</v>
      </c>
      <c r="BM757" s="993">
        <f t="shared" si="3268"/>
        <v>2290.4176057944296</v>
      </c>
      <c r="BN757" s="993">
        <f t="shared" si="3268"/>
        <v>2439.075222326142</v>
      </c>
      <c r="BO757" s="993">
        <f t="shared" si="3268"/>
        <v>4729.4928281205721</v>
      </c>
      <c r="BP757" s="993">
        <f t="shared" si="3268"/>
        <v>3100.4337514533327</v>
      </c>
      <c r="BQ757" s="993">
        <f t="shared" si="3268"/>
        <v>2792.7615624326618</v>
      </c>
      <c r="BR757" s="993">
        <f t="shared" si="3268"/>
        <v>5893.1953138859944</v>
      </c>
      <c r="BS757" s="993">
        <f t="shared" si="3268"/>
        <v>3849.8023064832073</v>
      </c>
      <c r="BT757" s="993">
        <f t="shared" si="3268"/>
        <v>3624.8391349419007</v>
      </c>
      <c r="BU757" s="993">
        <f t="shared" si="3268"/>
        <v>7474.6414414251076</v>
      </c>
      <c r="BV757" s="993">
        <f t="shared" si="3268"/>
        <v>4231.7336562038699</v>
      </c>
      <c r="BW757" s="993">
        <f t="shared" si="3268"/>
        <v>4098.8208679133504</v>
      </c>
      <c r="BX757" s="993">
        <f t="shared" si="3268"/>
        <v>8330.5545241172185</v>
      </c>
      <c r="BY757" s="993">
        <f t="shared" si="3268"/>
        <v>4420.0546330164743</v>
      </c>
      <c r="BZ757" s="993">
        <f t="shared" si="3268"/>
        <v>4296.8708957731487</v>
      </c>
      <c r="CA757" s="993">
        <f t="shared" si="3268"/>
        <v>8716.9255287896231</v>
      </c>
      <c r="CB757" s="993">
        <f t="shared" si="3268"/>
        <v>4912.9934617989456</v>
      </c>
      <c r="CC757" s="993">
        <f t="shared" si="3268"/>
        <v>5379.1488012166619</v>
      </c>
      <c r="CD757" s="993">
        <f t="shared" si="3268"/>
        <v>10292.142263015607</v>
      </c>
      <c r="CE757" s="993">
        <f t="shared" si="3268"/>
        <v>5750.42797519736</v>
      </c>
      <c r="CF757" s="993">
        <f t="shared" si="3268"/>
        <v>6296.0408943714319</v>
      </c>
      <c r="CG757" s="993">
        <f t="shared" si="3268"/>
        <v>12046.468869568793</v>
      </c>
      <c r="CH757" s="993">
        <f t="shared" si="3268"/>
        <v>5103.9123582073044</v>
      </c>
      <c r="CI757" s="993">
        <f t="shared" si="3268"/>
        <v>6143.1380845387766</v>
      </c>
      <c r="CJ757" s="993">
        <f t="shared" si="3268"/>
        <v>11247.050442746078</v>
      </c>
      <c r="CK757" s="993">
        <f t="shared" si="3268"/>
        <v>5693.2900520720359</v>
      </c>
      <c r="CL757" s="993">
        <f t="shared" si="3268"/>
        <v>5566.5362888611608</v>
      </c>
      <c r="CM757" s="993">
        <f t="shared" si="3268"/>
        <v>11259.826340933196</v>
      </c>
      <c r="CN757" s="993">
        <f t="shared" si="3268"/>
        <v>5679.248052039341</v>
      </c>
      <c r="CO757" s="993">
        <f t="shared" si="3268"/>
        <v>6506.5194683373993</v>
      </c>
      <c r="CP757" s="993">
        <f t="shared" si="3268"/>
        <v>12185.767520376739</v>
      </c>
      <c r="CQ757" s="993">
        <f t="shared" si="3268"/>
        <v>6762.898060214321</v>
      </c>
      <c r="CR757" s="993">
        <f t="shared" si="3268"/>
        <v>7615.5752827307088</v>
      </c>
      <c r="CS757" s="993">
        <f t="shared" si="3268"/>
        <v>14378.47334294503</v>
      </c>
      <c r="CT757" s="993">
        <f t="shared" si="3268"/>
        <v>7571.4954908104692</v>
      </c>
      <c r="CU757" s="993">
        <f t="shared" si="3268"/>
        <v>7981.947837792467</v>
      </c>
      <c r="CV757" s="993">
        <f t="shared" si="3268"/>
        <v>15553.443328602936</v>
      </c>
      <c r="CW757" s="993">
        <f t="shared" si="3268"/>
        <v>9206.7206427720394</v>
      </c>
      <c r="CX757" s="993">
        <f t="shared" si="3268"/>
        <v>9194.1087204206469</v>
      </c>
      <c r="CY757" s="993">
        <f t="shared" si="3268"/>
        <v>18400.82936319269</v>
      </c>
      <c r="CZ757" s="993">
        <f t="shared" si="3268"/>
        <v>10416.037355450093</v>
      </c>
      <c r="DA757" s="993">
        <f t="shared" si="3268"/>
        <v>10199.814526496493</v>
      </c>
      <c r="DB757" s="993">
        <f t="shared" si="3268"/>
        <v>20615.851881946586</v>
      </c>
      <c r="DC757" s="993">
        <f t="shared" si="3268"/>
        <v>10389.263137487269</v>
      </c>
      <c r="DD757" s="993">
        <f t="shared" si="3268"/>
        <v>9239.2862586569445</v>
      </c>
      <c r="DE757" s="993">
        <f t="shared" si="3268"/>
        <v>19628.549396144212</v>
      </c>
      <c r="DF757" s="993">
        <f t="shared" si="3268"/>
        <v>11631.44236360638</v>
      </c>
      <c r="DG757" s="993">
        <f t="shared" si="3268"/>
        <v>7052.7067776343511</v>
      </c>
      <c r="DH757" s="993">
        <f t="shared" si="3268"/>
        <v>18684.14914124073</v>
      </c>
      <c r="DI757" s="993">
        <f t="shared" si="3268"/>
        <v>10605.760868716368</v>
      </c>
      <c r="DJ757" s="993">
        <f t="shared" si="3268"/>
        <v>10709.088062508614</v>
      </c>
      <c r="DK757" s="993">
        <f t="shared" si="3268"/>
        <v>21314.848931224984</v>
      </c>
      <c r="DL757" s="993">
        <f t="shared" ref="DL757:DM760" si="3269">DL745*DL$761</f>
        <v>10881.327799478138</v>
      </c>
      <c r="DM757" s="993">
        <f t="shared" si="3269"/>
        <v>11396.991939942665</v>
      </c>
      <c r="DN757" s="993">
        <f t="shared" ref="DN757:DQ760" si="3270">DN745*DN$761</f>
        <v>22278.319739420804</v>
      </c>
      <c r="DO757" s="993">
        <f t="shared" si="3270"/>
        <v>13231.509161716911</v>
      </c>
      <c r="DP757" s="993">
        <f t="shared" si="3270"/>
        <v>14373.42086703028</v>
      </c>
      <c r="DQ757" s="993">
        <f t="shared" si="3270"/>
        <v>27604.930028747189</v>
      </c>
      <c r="DR757" s="66">
        <f>DO757*(1+DR$791)</f>
        <v>14554.660077888604</v>
      </c>
      <c r="DS757" s="66">
        <f t="shared" ref="DS757:DS759" si="3271">DP757*(1+DS$791)</f>
        <v>15810.762953733309</v>
      </c>
      <c r="DT757" s="163">
        <f>SUM(DR757:DS757)</f>
        <v>30365.423031621911</v>
      </c>
      <c r="DU757" s="66">
        <f t="shared" ref="DU757:DV759" si="3272">DR757*(1+DU$791)</f>
        <v>16010.126085677466</v>
      </c>
      <c r="DV757" s="66">
        <f t="shared" si="3272"/>
        <v>17391.839249106641</v>
      </c>
      <c r="DW757" s="163">
        <f>SUM(DU757:DV757)</f>
        <v>33401.965334784109</v>
      </c>
      <c r="DX757" s="66">
        <f t="shared" ref="DX757:DY759" si="3273">DU757*(1+DX$791)</f>
        <v>17611.138694245215</v>
      </c>
      <c r="DY757" s="66">
        <f t="shared" si="3273"/>
        <v>19131.023174017308</v>
      </c>
      <c r="DZ757" s="163">
        <f>SUM(DX757:DY757)</f>
        <v>36742.161868262527</v>
      </c>
      <c r="EA757" s="66">
        <f t="shared" ref="EA757:EB759" si="3274">DX757*(1+EA$791)</f>
        <v>19372.252563669739</v>
      </c>
      <c r="EB757" s="66">
        <f t="shared" si="3274"/>
        <v>21044.125491419039</v>
      </c>
      <c r="EC757" s="163">
        <f>SUM(EA757:EB757)</f>
        <v>40416.378055088775</v>
      </c>
      <c r="ED757" s="66">
        <f t="shared" ref="ED757:EE759" si="3275">EA757*(1+ED$791)</f>
        <v>21309.477820036715</v>
      </c>
      <c r="EE757" s="66">
        <f t="shared" si="3275"/>
        <v>23148.538040560947</v>
      </c>
      <c r="EF757" s="163">
        <f>SUM(ED757:EE757)</f>
        <v>44458.015860597661</v>
      </c>
      <c r="EG757" s="66">
        <f t="shared" ref="EG757:EH759" si="3276">ED757*(1+EG$791)</f>
        <v>23440.425602040388</v>
      </c>
      <c r="EH757" s="66">
        <f t="shared" si="3276"/>
        <v>25463.391844617043</v>
      </c>
      <c r="EI757" s="163">
        <f>SUM(EG757:EH757)</f>
        <v>48903.817446657427</v>
      </c>
      <c r="EJ757" s="66">
        <f t="shared" ref="EJ757:EK759" si="3277">EG757*(1+EJ$791)</f>
        <v>25784.46816224443</v>
      </c>
      <c r="EK757" s="66">
        <f t="shared" si="3277"/>
        <v>28009.73102907875</v>
      </c>
      <c r="EL757" s="163">
        <f>SUM(EJ757:EK757)</f>
        <v>53794.199191323176</v>
      </c>
      <c r="EM757" s="66">
        <f t="shared" ref="EM757:EN759" si="3278">EJ757*(1+EM$791)</f>
        <v>28362.914978468874</v>
      </c>
      <c r="EN757" s="66">
        <f t="shared" si="3278"/>
        <v>30810.704131986626</v>
      </c>
      <c r="EO757" s="163">
        <f>SUM(EM757:EN757)</f>
        <v>59173.619110455504</v>
      </c>
      <c r="EP757" s="66">
        <f t="shared" ref="EP757:EQ759" si="3279">EM757*(1+EP$791)</f>
        <v>31199.206476315765</v>
      </c>
      <c r="EQ757" s="66">
        <f t="shared" si="3279"/>
        <v>33891.77454518529</v>
      </c>
      <c r="ER757" s="163">
        <f>SUM(EP757:EQ757)</f>
        <v>65090.981021501051</v>
      </c>
      <c r="ES757" s="66">
        <f t="shared" ref="ES757:ES759" si="3280">EP757*(1+ES$791)</f>
        <v>34319.127123947343</v>
      </c>
      <c r="ET757" s="66">
        <f t="shared" ref="ET757:ET759" si="3281">EQ757*(1+ET$791)</f>
        <v>37280.951999703822</v>
      </c>
      <c r="EU757" s="163">
        <f>SUM(ES757:ET757)</f>
        <v>71600.079123651172</v>
      </c>
      <c r="EV757" s="66">
        <f t="shared" ref="EV757:EV759" si="3282">ES757*(1+EV$791)</f>
        <v>37751.039836342083</v>
      </c>
      <c r="EW757" s="66">
        <f t="shared" ref="EW757:EW759" si="3283">ET757*(1+EW$791)</f>
        <v>41009.047199674205</v>
      </c>
      <c r="EX757" s="163">
        <f>SUM(EV757:EW757)</f>
        <v>78760.087036016281</v>
      </c>
      <c r="EY757" s="66">
        <f t="shared" ref="EY757:EY759" si="3284">EV757*(1+EY$791)</f>
        <v>41526.143819976292</v>
      </c>
      <c r="EZ757" s="66">
        <f t="shared" ref="EZ757:EZ759" si="3285">EW757*(1+EZ$791)</f>
        <v>45109.95191964163</v>
      </c>
      <c r="FA757" s="163">
        <f>SUM(EY757:EZ757)</f>
        <v>86636.095739617915</v>
      </c>
      <c r="FH757" s="35"/>
      <c r="FI757" s="35"/>
      <c r="FJ757" s="35"/>
      <c r="FK757" s="35"/>
      <c r="FL757" s="35"/>
      <c r="FM757" s="35"/>
      <c r="FN757" s="35"/>
      <c r="FO757" s="35"/>
      <c r="FP757" s="35"/>
      <c r="FQ757" s="35"/>
    </row>
    <row r="758" spans="1:173" s="321" customFormat="1" hidden="1" outlineLevel="1">
      <c r="A758" s="1174"/>
      <c r="C758" s="186" t="s">
        <v>317</v>
      </c>
      <c r="D758" s="329" t="s">
        <v>98</v>
      </c>
      <c r="E758" s="22"/>
      <c r="F758" s="22"/>
      <c r="G758" s="23"/>
      <c r="H758" s="22"/>
      <c r="I758" s="22"/>
      <c r="J758" s="23"/>
      <c r="K758" s="22"/>
      <c r="L758" s="22"/>
      <c r="M758" s="23"/>
      <c r="N758" s="22"/>
      <c r="O758" s="22"/>
      <c r="P758" s="23"/>
      <c r="Q758" s="22"/>
      <c r="R758" s="22"/>
      <c r="S758" s="23"/>
      <c r="T758" s="22"/>
      <c r="U758" s="22"/>
      <c r="V758" s="23"/>
      <c r="W758" s="22"/>
      <c r="X758" s="22"/>
      <c r="Y758" s="23"/>
      <c r="Z758" s="22"/>
      <c r="AA758" s="22"/>
      <c r="AB758" s="23"/>
      <c r="AC758" s="22"/>
      <c r="AD758" s="22"/>
      <c r="AE758" s="23"/>
      <c r="AF758" s="22"/>
      <c r="AG758" s="22"/>
      <c r="AH758" s="23"/>
      <c r="AI758" s="22"/>
      <c r="AJ758" s="22"/>
      <c r="AK758" s="23"/>
      <c r="AL758" s="22"/>
      <c r="AM758" s="22"/>
      <c r="AN758" s="328"/>
      <c r="AO758" s="22"/>
      <c r="AP758" s="22"/>
      <c r="AQ758" s="328"/>
      <c r="AR758" s="22"/>
      <c r="AS758" s="22"/>
      <c r="AT758" s="328"/>
      <c r="AU758" s="22"/>
      <c r="AV758" s="22"/>
      <c r="AW758" s="328"/>
      <c r="AX758" s="993">
        <f t="shared" ref="AX758:AZ760" si="3286">AX746*AX$761</f>
        <v>654.76190476190482</v>
      </c>
      <c r="AY758" s="993">
        <f t="shared" si="3286"/>
        <v>796.21902019641755</v>
      </c>
      <c r="AZ758" s="993">
        <f t="shared" si="3286"/>
        <v>1450.9809249583222</v>
      </c>
      <c r="BA758" s="993">
        <f t="shared" ref="BA758:DK758" si="3287">BA746*BA$761</f>
        <v>799.68839049648932</v>
      </c>
      <c r="BB758" s="993">
        <f t="shared" si="3287"/>
        <v>972.45594484471701</v>
      </c>
      <c r="BC758" s="993">
        <f t="shared" si="3287"/>
        <v>1772.1443353412064</v>
      </c>
      <c r="BD758" s="993">
        <f t="shared" si="3287"/>
        <v>988.66251326099234</v>
      </c>
      <c r="BE758" s="993">
        <f t="shared" si="3287"/>
        <v>1257.077434815031</v>
      </c>
      <c r="BF758" s="993">
        <f t="shared" si="3287"/>
        <v>2245.7399480760237</v>
      </c>
      <c r="BG758" s="993">
        <f t="shared" si="3287"/>
        <v>1054.110777030947</v>
      </c>
      <c r="BH758" s="993">
        <f t="shared" si="3287"/>
        <v>1234.4817229538783</v>
      </c>
      <c r="BI758" s="993">
        <f t="shared" si="3287"/>
        <v>2288.5924999848253</v>
      </c>
      <c r="BJ758" s="993">
        <f t="shared" si="3287"/>
        <v>1179.531149036661</v>
      </c>
      <c r="BK758" s="993">
        <f t="shared" si="3287"/>
        <v>1381.3630188298473</v>
      </c>
      <c r="BL758" s="993">
        <f t="shared" si="3287"/>
        <v>2560.8941678665087</v>
      </c>
      <c r="BM758" s="993">
        <f t="shared" si="3287"/>
        <v>1310.0558555273233</v>
      </c>
      <c r="BN758" s="993">
        <f t="shared" si="3287"/>
        <v>1619.6323621427889</v>
      </c>
      <c r="BO758" s="993">
        <f t="shared" si="3287"/>
        <v>2929.688217670112</v>
      </c>
      <c r="BP758" s="993">
        <f t="shared" si="3287"/>
        <v>1693.3614757567148</v>
      </c>
      <c r="BQ758" s="993">
        <f t="shared" si="3287"/>
        <v>1813.2816756291916</v>
      </c>
      <c r="BR758" s="993">
        <f t="shared" si="3287"/>
        <v>3506.6431513859061</v>
      </c>
      <c r="BS758" s="993">
        <f t="shared" si="3287"/>
        <v>2102.6435130317391</v>
      </c>
      <c r="BT758" s="993">
        <f t="shared" si="3287"/>
        <v>2270.0034951768907</v>
      </c>
      <c r="BU758" s="993">
        <f t="shared" si="3287"/>
        <v>4372.6470082086298</v>
      </c>
      <c r="BV758" s="993">
        <f t="shared" si="3287"/>
        <v>2653.6489793393384</v>
      </c>
      <c r="BW758" s="993">
        <f t="shared" si="3287"/>
        <v>2810.9651879078724</v>
      </c>
      <c r="BX758" s="993">
        <f t="shared" si="3287"/>
        <v>5464.6141672472104</v>
      </c>
      <c r="BY758" s="993">
        <f t="shared" si="3287"/>
        <v>2835.8869576444313</v>
      </c>
      <c r="BZ758" s="993">
        <f t="shared" si="3287"/>
        <v>2780.8519868279004</v>
      </c>
      <c r="CA758" s="993">
        <f t="shared" si="3287"/>
        <v>5616.7389444723322</v>
      </c>
      <c r="CB758" s="993">
        <f t="shared" si="3287"/>
        <v>2972.9135584811356</v>
      </c>
      <c r="CC758" s="993">
        <f t="shared" si="3287"/>
        <v>3252.5923244805826</v>
      </c>
      <c r="CD758" s="993">
        <f t="shared" si="3287"/>
        <v>6225.5058829617183</v>
      </c>
      <c r="CE758" s="993">
        <f t="shared" si="3287"/>
        <v>3779.7246646997369</v>
      </c>
      <c r="CF758" s="993">
        <f t="shared" si="3287"/>
        <v>3807.0064696883906</v>
      </c>
      <c r="CG758" s="993">
        <f t="shared" si="3287"/>
        <v>7586.7311343881274</v>
      </c>
      <c r="CH758" s="993">
        <f t="shared" si="3287"/>
        <v>3425.6935866626195</v>
      </c>
      <c r="CI758" s="993">
        <f t="shared" si="3287"/>
        <v>3714.55122741275</v>
      </c>
      <c r="CJ758" s="993">
        <f t="shared" si="3287"/>
        <v>7140.2448140753695</v>
      </c>
      <c r="CK758" s="993">
        <f t="shared" si="3287"/>
        <v>3905.0147532208416</v>
      </c>
      <c r="CL758" s="993">
        <f t="shared" si="3287"/>
        <v>3969.6461217506335</v>
      </c>
      <c r="CM758" s="993">
        <f t="shared" si="3287"/>
        <v>7874.6608749714751</v>
      </c>
      <c r="CN758" s="993">
        <f t="shared" si="3287"/>
        <v>3895.3833771990899</v>
      </c>
      <c r="CO758" s="993">
        <f t="shared" si="3287"/>
        <v>4639.9733035540366</v>
      </c>
      <c r="CP758" s="993">
        <f t="shared" si="3287"/>
        <v>8535.3566807531261</v>
      </c>
      <c r="CQ758" s="993">
        <f t="shared" si="3287"/>
        <v>4123.2501899403605</v>
      </c>
      <c r="CR758" s="993">
        <f t="shared" si="3287"/>
        <v>5053.0710082114338</v>
      </c>
      <c r="CS758" s="993">
        <f t="shared" si="3287"/>
        <v>9176.3211981517943</v>
      </c>
      <c r="CT758" s="993">
        <f t="shared" si="3287"/>
        <v>4616.2414312108513</v>
      </c>
      <c r="CU758" s="993">
        <f t="shared" si="3287"/>
        <v>5451.5174698960673</v>
      </c>
      <c r="CV758" s="993">
        <f t="shared" si="3287"/>
        <v>10067.758901106918</v>
      </c>
      <c r="CW758" s="993">
        <f t="shared" si="3287"/>
        <v>5168.1765523755021</v>
      </c>
      <c r="CX758" s="993">
        <f t="shared" si="3287"/>
        <v>6103.3213237705513</v>
      </c>
      <c r="CY758" s="993">
        <f t="shared" si="3287"/>
        <v>11271.497876146055</v>
      </c>
      <c r="CZ758" s="993">
        <f t="shared" si="3287"/>
        <v>5154.8918567891096</v>
      </c>
      <c r="DA758" s="993">
        <f t="shared" si="3287"/>
        <v>7764.8378278688233</v>
      </c>
      <c r="DB758" s="993">
        <f t="shared" si="3287"/>
        <v>12919.729684657934</v>
      </c>
      <c r="DC758" s="993">
        <f t="shared" si="3287"/>
        <v>5823.6957686402066</v>
      </c>
      <c r="DD758" s="993">
        <f t="shared" si="3287"/>
        <v>7270.7022332406013</v>
      </c>
      <c r="DE758" s="993">
        <f t="shared" si="3287"/>
        <v>13094.398001880809</v>
      </c>
      <c r="DF758" s="993">
        <f t="shared" si="3287"/>
        <v>6727.4531569895871</v>
      </c>
      <c r="DG758" s="993">
        <f t="shared" si="3287"/>
        <v>5550.0099772848871</v>
      </c>
      <c r="DH758" s="993">
        <f t="shared" si="3287"/>
        <v>12277.463134274476</v>
      </c>
      <c r="DI758" s="993">
        <f t="shared" si="3287"/>
        <v>5749.105553230942</v>
      </c>
      <c r="DJ758" s="993">
        <f t="shared" si="3287"/>
        <v>7364.9357113606347</v>
      </c>
      <c r="DK758" s="993">
        <f t="shared" si="3287"/>
        <v>13114.041264591577</v>
      </c>
      <c r="DL758" s="993">
        <f t="shared" si="3269"/>
        <v>6887.0784453957567</v>
      </c>
      <c r="DM758" s="993">
        <f t="shared" si="3269"/>
        <v>7282.3245932195432</v>
      </c>
      <c r="DN758" s="993">
        <f t="shared" si="3270"/>
        <v>14169.403038615299</v>
      </c>
      <c r="DO758" s="993">
        <f t="shared" si="3270"/>
        <v>7315.0705640319557</v>
      </c>
      <c r="DP758" s="993">
        <f t="shared" si="3270"/>
        <v>8140.2968577876891</v>
      </c>
      <c r="DQ758" s="993">
        <f t="shared" si="3270"/>
        <v>15455.367421819645</v>
      </c>
      <c r="DR758" s="66">
        <f>DO758*(1+DR$791)</f>
        <v>8046.5776204351523</v>
      </c>
      <c r="DS758" s="66">
        <f t="shared" si="3271"/>
        <v>8954.326543566458</v>
      </c>
      <c r="DT758" s="163">
        <f>SUM(DR758:DS758)</f>
        <v>17000.904164001611</v>
      </c>
      <c r="DU758" s="66">
        <f t="shared" si="3272"/>
        <v>8851.2353824786678</v>
      </c>
      <c r="DV758" s="66">
        <f t="shared" si="3272"/>
        <v>9849.7591979231038</v>
      </c>
      <c r="DW758" s="163">
        <f>SUM(DU758:DV758)</f>
        <v>18700.99458040177</v>
      </c>
      <c r="DX758" s="66">
        <f t="shared" si="3273"/>
        <v>9736.3589207265359</v>
      </c>
      <c r="DY758" s="66">
        <f t="shared" si="3273"/>
        <v>10834.735117715414</v>
      </c>
      <c r="DZ758" s="163">
        <f>SUM(DX758:DY758)</f>
        <v>20571.094038441952</v>
      </c>
      <c r="EA758" s="66">
        <f t="shared" si="3274"/>
        <v>10709.99481279919</v>
      </c>
      <c r="EB758" s="66">
        <f t="shared" si="3274"/>
        <v>11918.208629486957</v>
      </c>
      <c r="EC758" s="163">
        <f>SUM(EA758:EB758)</f>
        <v>22628.203442286147</v>
      </c>
      <c r="ED758" s="66">
        <f t="shared" si="3275"/>
        <v>11780.99429407911</v>
      </c>
      <c r="EE758" s="66">
        <f t="shared" si="3275"/>
        <v>13110.029492435653</v>
      </c>
      <c r="EF758" s="163">
        <f>SUM(ED758:EE758)</f>
        <v>24891.023786514765</v>
      </c>
      <c r="EG758" s="66">
        <f t="shared" si="3276"/>
        <v>12959.093723487022</v>
      </c>
      <c r="EH758" s="66">
        <f t="shared" si="3276"/>
        <v>14421.032441679219</v>
      </c>
      <c r="EI758" s="163">
        <f>SUM(EG758:EH758)</f>
        <v>27380.126165166243</v>
      </c>
      <c r="EJ758" s="66">
        <f t="shared" si="3277"/>
        <v>14255.003095835726</v>
      </c>
      <c r="EK758" s="66">
        <f t="shared" si="3277"/>
        <v>15863.135685847143</v>
      </c>
      <c r="EL758" s="163">
        <f>SUM(EJ758:EK758)</f>
        <v>30118.138781682868</v>
      </c>
      <c r="EM758" s="66">
        <f t="shared" si="3278"/>
        <v>15680.5034054193</v>
      </c>
      <c r="EN758" s="66">
        <f t="shared" si="3278"/>
        <v>17449.44925443186</v>
      </c>
      <c r="EO758" s="163">
        <f>SUM(EM758:EN758)</f>
        <v>33129.952659851158</v>
      </c>
      <c r="EP758" s="66">
        <f t="shared" si="3279"/>
        <v>17248.553745961231</v>
      </c>
      <c r="EQ758" s="66">
        <f t="shared" si="3279"/>
        <v>19194.394179875049</v>
      </c>
      <c r="ER758" s="163">
        <f>SUM(EP758:EQ758)</f>
        <v>36442.947925836284</v>
      </c>
      <c r="ES758" s="66">
        <f t="shared" si="3280"/>
        <v>18973.409120557357</v>
      </c>
      <c r="ET758" s="66">
        <f t="shared" si="3281"/>
        <v>21113.833597862555</v>
      </c>
      <c r="EU758" s="163">
        <f>SUM(ES758:ET758)</f>
        <v>40087.242718419911</v>
      </c>
      <c r="EV758" s="66">
        <f t="shared" si="3282"/>
        <v>20870.750032613094</v>
      </c>
      <c r="EW758" s="66">
        <f t="shared" si="3283"/>
        <v>23225.216957648812</v>
      </c>
      <c r="EX758" s="163">
        <f>SUM(EV758:EW758)</f>
        <v>44095.966990261906</v>
      </c>
      <c r="EY758" s="66">
        <f t="shared" si="3284"/>
        <v>22957.825035874404</v>
      </c>
      <c r="EZ758" s="66">
        <f t="shared" si="3285"/>
        <v>25547.738653413697</v>
      </c>
      <c r="FA758" s="163">
        <f>SUM(EY758:EZ758)</f>
        <v>48505.563689288101</v>
      </c>
      <c r="FH758" s="35"/>
      <c r="FI758" s="35"/>
      <c r="FJ758" s="35"/>
      <c r="FK758" s="35"/>
      <c r="FL758" s="35"/>
      <c r="FM758" s="35"/>
      <c r="FN758" s="35"/>
      <c r="FO758" s="35"/>
      <c r="FP758" s="35"/>
      <c r="FQ758" s="35"/>
    </row>
    <row r="759" spans="1:173" s="321" customFormat="1" hidden="1" outlineLevel="1">
      <c r="A759" s="1174"/>
      <c r="C759" s="186" t="s">
        <v>431</v>
      </c>
      <c r="D759" s="329" t="s">
        <v>98</v>
      </c>
      <c r="E759" s="22"/>
      <c r="F759" s="22"/>
      <c r="G759" s="23"/>
      <c r="H759" s="22"/>
      <c r="I759" s="22"/>
      <c r="J759" s="23"/>
      <c r="K759" s="22"/>
      <c r="L759" s="22"/>
      <c r="M759" s="23"/>
      <c r="N759" s="22"/>
      <c r="O759" s="22"/>
      <c r="P759" s="23"/>
      <c r="Q759" s="22"/>
      <c r="R759" s="22"/>
      <c r="S759" s="23"/>
      <c r="T759" s="22"/>
      <c r="U759" s="22"/>
      <c r="V759" s="23"/>
      <c r="W759" s="22"/>
      <c r="X759" s="22"/>
      <c r="Y759" s="23"/>
      <c r="Z759" s="22"/>
      <c r="AA759" s="22"/>
      <c r="AB759" s="23"/>
      <c r="AC759" s="22"/>
      <c r="AD759" s="22"/>
      <c r="AE759" s="23"/>
      <c r="AF759" s="22"/>
      <c r="AG759" s="22"/>
      <c r="AH759" s="23"/>
      <c r="AI759" s="22"/>
      <c r="AJ759" s="22"/>
      <c r="AK759" s="23"/>
      <c r="AL759" s="22"/>
      <c r="AM759" s="22"/>
      <c r="AN759" s="328"/>
      <c r="AO759" s="22"/>
      <c r="AP759" s="22"/>
      <c r="AQ759" s="328"/>
      <c r="AR759" s="22"/>
      <c r="AS759" s="22"/>
      <c r="AT759" s="328"/>
      <c r="AU759" s="22"/>
      <c r="AV759" s="22"/>
      <c r="AW759" s="328"/>
      <c r="AX759" s="993">
        <f t="shared" si="3286"/>
        <v>264.81481481481484</v>
      </c>
      <c r="AY759" s="993">
        <f t="shared" si="3286"/>
        <v>126.0889102176013</v>
      </c>
      <c r="AZ759" s="993">
        <f t="shared" si="3286"/>
        <v>390.90372503241611</v>
      </c>
      <c r="BA759" s="993">
        <f t="shared" ref="BA759:DK759" si="3288">BA747*BA$761</f>
        <v>323.4295268230245</v>
      </c>
      <c r="BB759" s="993">
        <f t="shared" si="3288"/>
        <v>153.99771571627406</v>
      </c>
      <c r="BC759" s="993">
        <f t="shared" si="3288"/>
        <v>477.42724253929856</v>
      </c>
      <c r="BD759" s="993">
        <f t="shared" si="3288"/>
        <v>402.84485217619618</v>
      </c>
      <c r="BE759" s="993">
        <f t="shared" si="3288"/>
        <v>347.05568688626244</v>
      </c>
      <c r="BF759" s="993">
        <f t="shared" si="3288"/>
        <v>749.90053906245862</v>
      </c>
      <c r="BG759" s="993">
        <f t="shared" si="3288"/>
        <v>387.85730859548562</v>
      </c>
      <c r="BH759" s="993">
        <f t="shared" si="3288"/>
        <v>528.33066044426027</v>
      </c>
      <c r="BI759" s="993">
        <f t="shared" si="3288"/>
        <v>916.18796903974589</v>
      </c>
      <c r="BJ759" s="993">
        <f t="shared" si="3288"/>
        <v>473.70652537552792</v>
      </c>
      <c r="BK759" s="993">
        <f t="shared" si="3288"/>
        <v>492.02033285117381</v>
      </c>
      <c r="BL759" s="993">
        <f t="shared" si="3288"/>
        <v>965.72685822670167</v>
      </c>
      <c r="BM759" s="993">
        <f t="shared" si="3288"/>
        <v>496.59544723166954</v>
      </c>
      <c r="BN759" s="993">
        <f t="shared" si="3288"/>
        <v>625.96378101934442</v>
      </c>
      <c r="BO759" s="993">
        <f t="shared" si="3288"/>
        <v>1122.559228251014</v>
      </c>
      <c r="BP759" s="993">
        <f t="shared" si="3288"/>
        <v>641.89293596172706</v>
      </c>
      <c r="BQ759" s="993">
        <f t="shared" si="3288"/>
        <v>668.95152161100987</v>
      </c>
      <c r="BR759" s="993">
        <f t="shared" si="3288"/>
        <v>1310.8444575727372</v>
      </c>
      <c r="BS759" s="993">
        <f t="shared" si="3288"/>
        <v>787.89082981552531</v>
      </c>
      <c r="BT759" s="993">
        <f t="shared" si="3288"/>
        <v>851.06121805931843</v>
      </c>
      <c r="BU759" s="993">
        <f t="shared" si="3288"/>
        <v>1638.9520478748439</v>
      </c>
      <c r="BV759" s="993">
        <f t="shared" si="3288"/>
        <v>851.62167090790649</v>
      </c>
      <c r="BW759" s="993">
        <f t="shared" si="3288"/>
        <v>1004.7891379186843</v>
      </c>
      <c r="BX759" s="993">
        <f t="shared" si="3288"/>
        <v>1856.4108088265909</v>
      </c>
      <c r="BY759" s="993">
        <f t="shared" si="3288"/>
        <v>823.42955565087743</v>
      </c>
      <c r="BZ759" s="993">
        <f t="shared" si="3288"/>
        <v>1075.8378340589804</v>
      </c>
      <c r="CA759" s="993">
        <f t="shared" si="3288"/>
        <v>1899.267389709858</v>
      </c>
      <c r="CB759" s="993">
        <f t="shared" si="3288"/>
        <v>913.50113411429311</v>
      </c>
      <c r="CC759" s="993">
        <f t="shared" si="3288"/>
        <v>1313.966221456797</v>
      </c>
      <c r="CD759" s="993">
        <f t="shared" si="3288"/>
        <v>2227.4673555710901</v>
      </c>
      <c r="CE759" s="993">
        <f t="shared" si="3288"/>
        <v>1161.4137780739934</v>
      </c>
      <c r="CF759" s="993">
        <f t="shared" si="3288"/>
        <v>1539.2473356392188</v>
      </c>
      <c r="CG759" s="993">
        <f t="shared" si="3288"/>
        <v>2700.6611137132122</v>
      </c>
      <c r="CH759" s="993">
        <f t="shared" si="3288"/>
        <v>1294.3664119308876</v>
      </c>
      <c r="CI759" s="993">
        <f t="shared" si="3288"/>
        <v>1501.8658690008638</v>
      </c>
      <c r="CJ759" s="993">
        <f t="shared" si="3288"/>
        <v>2796.2322809317516</v>
      </c>
      <c r="CK759" s="993">
        <f t="shared" si="3288"/>
        <v>2719.1312341823987</v>
      </c>
      <c r="CL759" s="993">
        <f t="shared" si="3288"/>
        <v>2285.2719082761105</v>
      </c>
      <c r="CM759" s="993">
        <f t="shared" si="3288"/>
        <v>5004.4031424585091</v>
      </c>
      <c r="CN759" s="993">
        <f t="shared" si="3288"/>
        <v>1512.1653704182327</v>
      </c>
      <c r="CO759" s="993">
        <f t="shared" si="3288"/>
        <v>2211.1134334543463</v>
      </c>
      <c r="CP759" s="993">
        <f t="shared" si="3288"/>
        <v>3723.2788038725794</v>
      </c>
      <c r="CQ759" s="993">
        <f t="shared" si="3288"/>
        <v>743.97341748397446</v>
      </c>
      <c r="CR759" s="993">
        <f t="shared" si="3288"/>
        <v>1956.3936645681056</v>
      </c>
      <c r="CS759" s="993">
        <f t="shared" si="3288"/>
        <v>2700.3670820520801</v>
      </c>
      <c r="CT759" s="993">
        <f t="shared" si="3288"/>
        <v>2225.1542446630133</v>
      </c>
      <c r="CU759" s="993">
        <f t="shared" si="3288"/>
        <v>1799.7949807198536</v>
      </c>
      <c r="CV759" s="993">
        <f t="shared" si="3288"/>
        <v>4024.9492253828666</v>
      </c>
      <c r="CW759" s="993">
        <f t="shared" si="3288"/>
        <v>2012.9660327260049</v>
      </c>
      <c r="CX759" s="993">
        <f t="shared" si="3288"/>
        <v>1358.5125263570292</v>
      </c>
      <c r="CY759" s="993">
        <f t="shared" si="3288"/>
        <v>3371.4785590830338</v>
      </c>
      <c r="CZ759" s="993">
        <f t="shared" si="3288"/>
        <v>1233.6298002048338</v>
      </c>
      <c r="DA759" s="993">
        <f t="shared" si="3288"/>
        <v>1878.0070684438297</v>
      </c>
      <c r="DB759" s="993">
        <f t="shared" si="3288"/>
        <v>3111.6368686486635</v>
      </c>
      <c r="DC759" s="993">
        <f t="shared" si="3288"/>
        <v>1544.4716607810365</v>
      </c>
      <c r="DD759" s="993">
        <f t="shared" si="3288"/>
        <v>1653.9597914179783</v>
      </c>
      <c r="DE759" s="993">
        <f t="shared" si="3288"/>
        <v>3198.431452199015</v>
      </c>
      <c r="DF759" s="993">
        <f t="shared" si="3288"/>
        <v>1947.1759449705346</v>
      </c>
      <c r="DG759" s="993">
        <f t="shared" si="3288"/>
        <v>1073.427198659351</v>
      </c>
      <c r="DH759" s="993">
        <f t="shared" si="3288"/>
        <v>3020.6031436298854</v>
      </c>
      <c r="DI759" s="993">
        <f t="shared" si="3288"/>
        <v>2437.1325215132106</v>
      </c>
      <c r="DJ759" s="993">
        <f t="shared" si="3288"/>
        <v>2480.6882115579015</v>
      </c>
      <c r="DK759" s="993">
        <f t="shared" si="3288"/>
        <v>4917.820733071112</v>
      </c>
      <c r="DL759" s="993">
        <f t="shared" si="3269"/>
        <v>2616.673574848759</v>
      </c>
      <c r="DM759" s="993">
        <f t="shared" si="3269"/>
        <v>2772.7923145477675</v>
      </c>
      <c r="DN759" s="993">
        <f t="shared" si="3270"/>
        <v>5389.465889396527</v>
      </c>
      <c r="DO759" s="993">
        <f t="shared" si="3270"/>
        <v>3196.9945646083152</v>
      </c>
      <c r="DP759" s="993">
        <f t="shared" si="3270"/>
        <v>3175.5440881449431</v>
      </c>
      <c r="DQ759" s="993">
        <f t="shared" si="3270"/>
        <v>6372.5386527532582</v>
      </c>
      <c r="DR759" s="66">
        <f>DO759*(1+DR$791)</f>
        <v>3516.6940210691469</v>
      </c>
      <c r="DS759" s="66">
        <f t="shared" si="3271"/>
        <v>3493.0984969594379</v>
      </c>
      <c r="DT759" s="163">
        <f>SUM(DR759:DS759)</f>
        <v>7009.7925180285847</v>
      </c>
      <c r="DU759" s="66">
        <f t="shared" si="3272"/>
        <v>3868.363423176062</v>
      </c>
      <c r="DV759" s="66">
        <f t="shared" si="3272"/>
        <v>3842.408346655382</v>
      </c>
      <c r="DW759" s="163">
        <f>SUM(DU759:DV759)</f>
        <v>7710.7717698314445</v>
      </c>
      <c r="DX759" s="66">
        <f t="shared" si="3273"/>
        <v>4255.1997654936686</v>
      </c>
      <c r="DY759" s="66">
        <f t="shared" si="3273"/>
        <v>4226.6491813209204</v>
      </c>
      <c r="DZ759" s="163">
        <f>SUM(DX759:DY759)</f>
        <v>8481.848946814589</v>
      </c>
      <c r="EA759" s="66">
        <f t="shared" si="3274"/>
        <v>4680.7197420430357</v>
      </c>
      <c r="EB759" s="66">
        <f t="shared" si="3274"/>
        <v>4649.3140994530131</v>
      </c>
      <c r="EC759" s="163">
        <f>SUM(EA759:EB759)</f>
        <v>9330.0338414960497</v>
      </c>
      <c r="ED759" s="66">
        <f t="shared" si="3275"/>
        <v>5148.7917162473395</v>
      </c>
      <c r="EE759" s="66">
        <f t="shared" si="3275"/>
        <v>5114.2455093983144</v>
      </c>
      <c r="EF759" s="163">
        <f>SUM(ED759:EE759)</f>
        <v>10263.037225645654</v>
      </c>
      <c r="EG759" s="66">
        <f t="shared" si="3276"/>
        <v>5663.6708878720738</v>
      </c>
      <c r="EH759" s="66">
        <f t="shared" si="3276"/>
        <v>5625.670060338146</v>
      </c>
      <c r="EI759" s="163">
        <f>SUM(EG759:EH759)</f>
        <v>11289.34094821022</v>
      </c>
      <c r="EJ759" s="66">
        <f t="shared" si="3277"/>
        <v>6230.0379766592814</v>
      </c>
      <c r="EK759" s="66">
        <f t="shared" si="3277"/>
        <v>6188.2370663719612</v>
      </c>
      <c r="EL759" s="163">
        <f>SUM(EJ759:EK759)</f>
        <v>12418.275043031243</v>
      </c>
      <c r="EM759" s="66">
        <f t="shared" si="3278"/>
        <v>6853.0417743252101</v>
      </c>
      <c r="EN759" s="66">
        <f t="shared" si="3278"/>
        <v>6807.0607730091579</v>
      </c>
      <c r="EO759" s="163">
        <f>SUM(EM759:EN759)</f>
        <v>13660.102547334369</v>
      </c>
      <c r="EP759" s="66">
        <f t="shared" si="3279"/>
        <v>7538.3459517577321</v>
      </c>
      <c r="EQ759" s="66">
        <f t="shared" si="3279"/>
        <v>7487.766850310074</v>
      </c>
      <c r="ER759" s="163">
        <f>SUM(EP759:EQ759)</f>
        <v>15026.112802067806</v>
      </c>
      <c r="ES759" s="66">
        <f t="shared" si="3280"/>
        <v>8292.1805469335068</v>
      </c>
      <c r="ET759" s="66">
        <f t="shared" si="3281"/>
        <v>8236.5435353410812</v>
      </c>
      <c r="EU759" s="163">
        <f>SUM(ES759:ET759)</f>
        <v>16528.724082274588</v>
      </c>
      <c r="EV759" s="66">
        <f t="shared" si="3282"/>
        <v>9121.3986016268591</v>
      </c>
      <c r="EW759" s="66">
        <f t="shared" si="3283"/>
        <v>9060.197888875191</v>
      </c>
      <c r="EX759" s="163">
        <f>SUM(EV759:EW759)</f>
        <v>18181.596490502052</v>
      </c>
      <c r="EY759" s="66">
        <f t="shared" si="3284"/>
        <v>10033.538461789545</v>
      </c>
      <c r="EZ759" s="66">
        <f t="shared" si="3285"/>
        <v>9966.2176777627101</v>
      </c>
      <c r="FA759" s="163">
        <f>SUM(EY759:EZ759)</f>
        <v>19999.756139552257</v>
      </c>
      <c r="FH759" s="35"/>
      <c r="FI759" s="35"/>
      <c r="FJ759" s="35"/>
      <c r="FK759" s="35"/>
      <c r="FL759" s="35"/>
      <c r="FM759" s="35"/>
      <c r="FN759" s="35"/>
      <c r="FO759" s="35"/>
      <c r="FP759" s="35"/>
      <c r="FQ759" s="35"/>
    </row>
    <row r="760" spans="1:173" s="321" customFormat="1" hidden="1" outlineLevel="1">
      <c r="A760" s="1174"/>
      <c r="C760" s="186" t="s">
        <v>327</v>
      </c>
      <c r="D760" s="329" t="s">
        <v>98</v>
      </c>
      <c r="E760" s="22"/>
      <c r="F760" s="22"/>
      <c r="G760" s="23"/>
      <c r="H760" s="22"/>
      <c r="I760" s="22"/>
      <c r="J760" s="23"/>
      <c r="K760" s="22"/>
      <c r="L760" s="22"/>
      <c r="M760" s="23"/>
      <c r="N760" s="22"/>
      <c r="O760" s="22"/>
      <c r="P760" s="23"/>
      <c r="Q760" s="22"/>
      <c r="R760" s="22"/>
      <c r="S760" s="23"/>
      <c r="T760" s="22"/>
      <c r="U760" s="22"/>
      <c r="V760" s="23"/>
      <c r="W760" s="22"/>
      <c r="X760" s="22"/>
      <c r="Y760" s="23"/>
      <c r="Z760" s="22"/>
      <c r="AA760" s="22"/>
      <c r="AB760" s="23"/>
      <c r="AC760" s="22"/>
      <c r="AD760" s="22"/>
      <c r="AE760" s="23"/>
      <c r="AF760" s="22"/>
      <c r="AG760" s="22"/>
      <c r="AH760" s="23"/>
      <c r="AI760" s="22"/>
      <c r="AJ760" s="22"/>
      <c r="AK760" s="23"/>
      <c r="AL760" s="22"/>
      <c r="AM760" s="22"/>
      <c r="AN760" s="328"/>
      <c r="AO760" s="22"/>
      <c r="AP760" s="22"/>
      <c r="AQ760" s="328"/>
      <c r="AR760" s="22"/>
      <c r="AS760" s="22"/>
      <c r="AT760" s="328"/>
      <c r="AU760" s="22"/>
      <c r="AV760" s="22"/>
      <c r="AW760" s="328"/>
      <c r="AX760" s="993">
        <f t="shared" si="3286"/>
        <v>1891.798941798942</v>
      </c>
      <c r="AY760" s="993">
        <f t="shared" si="3286"/>
        <v>2172.3079304140188</v>
      </c>
      <c r="AZ760" s="993">
        <f t="shared" si="3286"/>
        <v>4064.1068722129608</v>
      </c>
      <c r="BA760" s="993">
        <f t="shared" ref="BA760:DK760" si="3289">BA748*BA$761</f>
        <v>2310.5340122991493</v>
      </c>
      <c r="BB760" s="993">
        <f t="shared" si="3289"/>
        <v>2653.13149696338</v>
      </c>
      <c r="BC760" s="993">
        <f t="shared" si="3289"/>
        <v>4963.6655092625288</v>
      </c>
      <c r="BD760" s="993">
        <f t="shared" si="3289"/>
        <v>2781.3221054450651</v>
      </c>
      <c r="BE760" s="993">
        <f t="shared" si="3289"/>
        <v>3316.4053433517429</v>
      </c>
      <c r="BF760" s="993">
        <f t="shared" si="3289"/>
        <v>6097.7274487968089</v>
      </c>
      <c r="BG760" s="993">
        <f t="shared" si="3289"/>
        <v>3151.5321416197339</v>
      </c>
      <c r="BH760" s="993">
        <f t="shared" si="3289"/>
        <v>3612.7823884956169</v>
      </c>
      <c r="BI760" s="993">
        <f t="shared" si="3289"/>
        <v>6764.31453011535</v>
      </c>
      <c r="BJ760" s="993">
        <f t="shared" si="3289"/>
        <v>3300.1183671093249</v>
      </c>
      <c r="BK760" s="993">
        <f t="shared" si="3289"/>
        <v>4016.2630132437616</v>
      </c>
      <c r="BL760" s="993">
        <f t="shared" si="3289"/>
        <v>7316.3813803530857</v>
      </c>
      <c r="BM760" s="993">
        <f t="shared" si="3289"/>
        <v>4097.0689085534223</v>
      </c>
      <c r="BN760" s="993">
        <f t="shared" si="3289"/>
        <v>4684.6713654882751</v>
      </c>
      <c r="BO760" s="993">
        <f t="shared" si="3289"/>
        <v>8781.7402740416983</v>
      </c>
      <c r="BP760" s="993">
        <f t="shared" si="3289"/>
        <v>5435.6881631717742</v>
      </c>
      <c r="BQ760" s="993">
        <f t="shared" si="3289"/>
        <v>5274.9947596728625</v>
      </c>
      <c r="BR760" s="993">
        <f t="shared" si="3289"/>
        <v>10710.682922844637</v>
      </c>
      <c r="BS760" s="993">
        <f t="shared" si="3289"/>
        <v>6740.336649330472</v>
      </c>
      <c r="BT760" s="993">
        <f t="shared" si="3289"/>
        <v>6745.9038481781108</v>
      </c>
      <c r="BU760" s="993">
        <f t="shared" si="3289"/>
        <v>13486.240497508581</v>
      </c>
      <c r="BV760" s="993">
        <f t="shared" si="3289"/>
        <v>7737.0043064511156</v>
      </c>
      <c r="BW760" s="993">
        <f t="shared" si="3289"/>
        <v>7914.5751937399073</v>
      </c>
      <c r="BX760" s="993">
        <f t="shared" si="3289"/>
        <v>15651.579500191021</v>
      </c>
      <c r="BY760" s="993">
        <f t="shared" si="3289"/>
        <v>8079.3711463117834</v>
      </c>
      <c r="BZ760" s="993">
        <f t="shared" si="3289"/>
        <v>8153.5607166600294</v>
      </c>
      <c r="CA760" s="993">
        <f t="shared" si="3289"/>
        <v>16232.931862971813</v>
      </c>
      <c r="CB760" s="993">
        <f t="shared" si="3289"/>
        <v>8799.4081543943739</v>
      </c>
      <c r="CC760" s="993">
        <f t="shared" si="3289"/>
        <v>9945.7073471540425</v>
      </c>
      <c r="CD760" s="993">
        <f t="shared" si="3289"/>
        <v>18745.115501548415</v>
      </c>
      <c r="CE760" s="993">
        <f t="shared" si="3289"/>
        <v>10691.566417971091</v>
      </c>
      <c r="CF760" s="993">
        <f t="shared" si="3289"/>
        <v>11642.294699699041</v>
      </c>
      <c r="CG760" s="993">
        <f t="shared" si="3289"/>
        <v>22333.861117670131</v>
      </c>
      <c r="CH760" s="993">
        <f t="shared" si="3289"/>
        <v>9823.9723568008103</v>
      </c>
      <c r="CI760" s="993">
        <f t="shared" si="3289"/>
        <v>11359.555180952391</v>
      </c>
      <c r="CJ760" s="993">
        <f t="shared" si="3289"/>
        <v>21183.527537753202</v>
      </c>
      <c r="CK760" s="993">
        <f t="shared" si="3289"/>
        <v>12317.436039475275</v>
      </c>
      <c r="CL760" s="993">
        <f t="shared" si="3289"/>
        <v>11821.454318887905</v>
      </c>
      <c r="CM760" s="993">
        <f t="shared" si="3289"/>
        <v>24138.89035836318</v>
      </c>
      <c r="CN760" s="993">
        <f t="shared" si="3289"/>
        <v>11086.796799656664</v>
      </c>
      <c r="CO760" s="993">
        <f t="shared" si="3289"/>
        <v>13357.606205345783</v>
      </c>
      <c r="CP760" s="993">
        <f t="shared" si="3289"/>
        <v>24444.403005002445</v>
      </c>
      <c r="CQ760" s="993">
        <f t="shared" si="3289"/>
        <v>11630.121667638654</v>
      </c>
      <c r="CR760" s="993">
        <f t="shared" si="3289"/>
        <v>14625.039955510247</v>
      </c>
      <c r="CS760" s="993">
        <f t="shared" si="3289"/>
        <v>26255.161623148902</v>
      </c>
      <c r="CT760" s="993">
        <f t="shared" si="3289"/>
        <v>14412.891166684332</v>
      </c>
      <c r="CU760" s="993">
        <f t="shared" si="3289"/>
        <v>15233.260288408388</v>
      </c>
      <c r="CV760" s="993">
        <f t="shared" si="3289"/>
        <v>29646.15145509272</v>
      </c>
      <c r="CW760" s="993">
        <f t="shared" si="3289"/>
        <v>16387.863227873549</v>
      </c>
      <c r="CX760" s="993">
        <f t="shared" si="3289"/>
        <v>16655.942570548228</v>
      </c>
      <c r="CY760" s="993">
        <f t="shared" si="3289"/>
        <v>33043.805798421774</v>
      </c>
      <c r="CZ760" s="993">
        <f t="shared" si="3289"/>
        <v>16804.559012444035</v>
      </c>
      <c r="DA760" s="993">
        <f t="shared" si="3289"/>
        <v>19842.659422809145</v>
      </c>
      <c r="DB760" s="993">
        <f t="shared" si="3289"/>
        <v>36647.218435253184</v>
      </c>
      <c r="DC760" s="993">
        <f t="shared" si="3289"/>
        <v>17757.430566908512</v>
      </c>
      <c r="DD760" s="993">
        <f t="shared" si="3289"/>
        <v>18163.948283315523</v>
      </c>
      <c r="DE760" s="993">
        <f t="shared" si="3289"/>
        <v>35921.378850224042</v>
      </c>
      <c r="DF760" s="993">
        <f t="shared" si="3289"/>
        <v>20306.0714655665</v>
      </c>
      <c r="DG760" s="993">
        <f t="shared" si="3289"/>
        <v>13676.143953578588</v>
      </c>
      <c r="DH760" s="993">
        <f t="shared" si="3289"/>
        <v>33982.21541914509</v>
      </c>
      <c r="DI760" s="993">
        <f t="shared" si="3289"/>
        <v>18791.99894346052</v>
      </c>
      <c r="DJ760" s="993">
        <f t="shared" si="3289"/>
        <v>20554.711985427151</v>
      </c>
      <c r="DK760" s="993">
        <f t="shared" si="3289"/>
        <v>39346.710928887667</v>
      </c>
      <c r="DL760" s="993">
        <f t="shared" si="3269"/>
        <v>20385.079819722654</v>
      </c>
      <c r="DM760" s="993">
        <f t="shared" si="3269"/>
        <v>21452.108847709977</v>
      </c>
      <c r="DN760" s="993">
        <f t="shared" si="3270"/>
        <v>41837.188667432631</v>
      </c>
      <c r="DO760" s="993">
        <f t="shared" si="3270"/>
        <v>23743.574290357181</v>
      </c>
      <c r="DP760" s="993">
        <f t="shared" si="3270"/>
        <v>25689.261812962915</v>
      </c>
      <c r="DQ760" s="993">
        <f t="shared" si="3270"/>
        <v>49432.836103320093</v>
      </c>
      <c r="DR760" s="66">
        <f>SUM(DR757:DR759)</f>
        <v>26117.931719392902</v>
      </c>
      <c r="DS760" s="66">
        <f>SUM(DS757:DS759)</f>
        <v>28258.187994259206</v>
      </c>
      <c r="DT760" s="163">
        <f>SUM(DR760:DS760)</f>
        <v>54376.119713652108</v>
      </c>
      <c r="DU760" s="66">
        <f>SUM(DU757:DU759)</f>
        <v>28729.724891332196</v>
      </c>
      <c r="DV760" s="66">
        <f>SUM(DV757:DV759)</f>
        <v>31084.006793685126</v>
      </c>
      <c r="DW760" s="163">
        <f>SUM(DU760:DV760)</f>
        <v>59813.731685017323</v>
      </c>
      <c r="DX760" s="66">
        <f>SUM(DX757:DX759)</f>
        <v>31602.697380465419</v>
      </c>
      <c r="DY760" s="66">
        <f>SUM(DY757:DY759)</f>
        <v>34192.407473053645</v>
      </c>
      <c r="DZ760" s="163">
        <f>SUM(DX760:DY760)</f>
        <v>65795.104853519064</v>
      </c>
      <c r="EA760" s="66">
        <f>SUM(EA757:EA759)</f>
        <v>34762.967118511966</v>
      </c>
      <c r="EB760" s="66">
        <f>SUM(EB757:EB759)</f>
        <v>37611.648220359006</v>
      </c>
      <c r="EC760" s="163">
        <f>SUM(EA760:EB760)</f>
        <v>72374.615338870964</v>
      </c>
      <c r="ED760" s="66">
        <f>SUM(ED757:ED759)</f>
        <v>38239.263830363161</v>
      </c>
      <c r="EE760" s="66">
        <f>SUM(EE757:EE759)</f>
        <v>41372.813042394919</v>
      </c>
      <c r="EF760" s="163">
        <f>SUM(ED760:EE760)</f>
        <v>79612.076872758073</v>
      </c>
      <c r="EG760" s="66">
        <f>SUM(EG757:EG759)</f>
        <v>42063.190213399481</v>
      </c>
      <c r="EH760" s="66">
        <f>SUM(EH757:EH759)</f>
        <v>45510.094346634411</v>
      </c>
      <c r="EI760" s="163">
        <f>SUM(EG760:EH760)</f>
        <v>87573.284560033891</v>
      </c>
      <c r="EJ760" s="66">
        <f>SUM(EJ757:EJ759)</f>
        <v>46269.509234739438</v>
      </c>
      <c r="EK760" s="66">
        <f>SUM(EK757:EK759)</f>
        <v>50061.103781297854</v>
      </c>
      <c r="EL760" s="163">
        <f>SUM(EJ760:EK760)</f>
        <v>96330.6130160373</v>
      </c>
      <c r="EM760" s="66">
        <f>SUM(EM757:EM759)</f>
        <v>50896.460158213384</v>
      </c>
      <c r="EN760" s="66">
        <f>SUM(EN757:EN759)</f>
        <v>55067.214159427647</v>
      </c>
      <c r="EO760" s="163">
        <f>SUM(EM760:EN760)</f>
        <v>105963.67431764104</v>
      </c>
      <c r="EP760" s="66">
        <f>SUM(EP757:EP759)</f>
        <v>55986.106174034721</v>
      </c>
      <c r="EQ760" s="66">
        <f>SUM(EQ757:EQ759)</f>
        <v>60573.935575370415</v>
      </c>
      <c r="ER760" s="163">
        <f>SUM(EP760:EQ760)</f>
        <v>116560.04174940514</v>
      </c>
      <c r="ES760" s="66">
        <f>SUM(ES757:ES759)</f>
        <v>61584.716791438208</v>
      </c>
      <c r="ET760" s="66">
        <f>SUM(ET757:ET759)</f>
        <v>66631.329132907456</v>
      </c>
      <c r="EU760" s="163">
        <f>SUM(ES760:ET760)</f>
        <v>128216.04592434567</v>
      </c>
      <c r="EV760" s="66">
        <f>SUM(EV757:EV759)</f>
        <v>67743.188470582041</v>
      </c>
      <c r="EW760" s="66">
        <f>SUM(EW757:EW759)</f>
        <v>73294.462046198212</v>
      </c>
      <c r="EX760" s="163">
        <f>SUM(EV760:EW760)</f>
        <v>141037.65051678027</v>
      </c>
      <c r="EY760" s="66">
        <f>SUM(EY757:EY759)</f>
        <v>74517.507317640237</v>
      </c>
      <c r="EZ760" s="66">
        <f>SUM(EZ757:EZ759)</f>
        <v>80623.908250818029</v>
      </c>
      <c r="FA760" s="163">
        <f>SUM(EY760:EZ760)</f>
        <v>155141.41556845827</v>
      </c>
      <c r="FH760" s="35"/>
      <c r="FI760" s="35"/>
      <c r="FJ760" s="35"/>
      <c r="FK760" s="35"/>
      <c r="FL760" s="35"/>
      <c r="FM760" s="35"/>
      <c r="FN760" s="35"/>
      <c r="FO760" s="35"/>
      <c r="FP760" s="35"/>
      <c r="FQ760" s="35"/>
    </row>
    <row r="761" spans="1:173" s="321" customFormat="1" hidden="1" outlineLevel="1">
      <c r="A761" s="1174"/>
      <c r="B761" s="177">
        <f>(DQ761/AZ761)^(1/23)-1</f>
        <v>1.7785224268259014E-2</v>
      </c>
      <c r="C761" s="321" t="s">
        <v>1001</v>
      </c>
      <c r="D761" s="329" t="s">
        <v>460</v>
      </c>
      <c r="E761" s="22"/>
      <c r="F761" s="22"/>
      <c r="G761" s="23"/>
      <c r="H761" s="22"/>
      <c r="I761" s="22"/>
      <c r="J761" s="23"/>
      <c r="K761" s="22"/>
      <c r="L761" s="22"/>
      <c r="M761" s="23"/>
      <c r="N761" s="22"/>
      <c r="O761" s="22"/>
      <c r="P761" s="23"/>
      <c r="Q761" s="22"/>
      <c r="R761" s="22"/>
      <c r="S761" s="23"/>
      <c r="T761" s="22"/>
      <c r="U761" s="22"/>
      <c r="V761" s="23"/>
      <c r="W761" s="22"/>
      <c r="X761" s="22"/>
      <c r="Y761" s="23"/>
      <c r="Z761" s="22"/>
      <c r="AA761" s="22"/>
      <c r="AB761" s="23"/>
      <c r="AC761" s="22"/>
      <c r="AD761" s="22"/>
      <c r="AE761" s="23"/>
      <c r="AF761" s="22"/>
      <c r="AG761" s="22"/>
      <c r="AH761" s="23"/>
      <c r="AI761" s="22"/>
      <c r="AJ761" s="22"/>
      <c r="AK761" s="23"/>
      <c r="AL761" s="22"/>
      <c r="AM761" s="22"/>
      <c r="AN761" s="328"/>
      <c r="AO761" s="22"/>
      <c r="AP761" s="22"/>
      <c r="AQ761" s="328"/>
      <c r="AR761" s="22"/>
      <c r="AS761" s="22"/>
      <c r="AT761" s="328"/>
      <c r="AU761" s="22"/>
      <c r="AV761" s="22"/>
      <c r="AW761" s="328"/>
      <c r="AX761" s="173">
        <f>AZ761</f>
        <v>0.5</v>
      </c>
      <c r="AY761" s="173">
        <f>AZ761</f>
        <v>0.5</v>
      </c>
      <c r="AZ761" s="173">
        <v>0.5</v>
      </c>
      <c r="BA761" s="173">
        <f>BC761</f>
        <v>0.50889261213412951</v>
      </c>
      <c r="BB761" s="173">
        <f>BC761</f>
        <v>0.50889261213412951</v>
      </c>
      <c r="BC761" s="173">
        <f>AZ761*(1+$B761)</f>
        <v>0.50889261213412951</v>
      </c>
      <c r="BD761" s="173">
        <f>BF761</f>
        <v>0.51794338136939511</v>
      </c>
      <c r="BE761" s="173">
        <f>BF761</f>
        <v>0.51794338136939511</v>
      </c>
      <c r="BF761" s="173">
        <f>BC761*(1+$B761)</f>
        <v>0.51794338136939511</v>
      </c>
      <c r="BG761" s="173">
        <f>BI761</f>
        <v>0.52715512056531022</v>
      </c>
      <c r="BH761" s="173">
        <f>BI761</f>
        <v>0.52715512056531022</v>
      </c>
      <c r="BI761" s="173">
        <f>BF761*(1+$B761)</f>
        <v>0.52715512056531022</v>
      </c>
      <c r="BJ761" s="173">
        <f>BL761</f>
        <v>0.53653069260872543</v>
      </c>
      <c r="BK761" s="173">
        <f>BL761</f>
        <v>0.53653069260872543</v>
      </c>
      <c r="BL761" s="173">
        <f>BI761*(1+$B761)</f>
        <v>0.53653069260872543</v>
      </c>
      <c r="BM761" s="173">
        <f>BO761</f>
        <v>0.54607301130357599</v>
      </c>
      <c r="BN761" s="173">
        <f>BO761</f>
        <v>0.54607301130357599</v>
      </c>
      <c r="BO761" s="173">
        <f>BL761*(1+$B761)</f>
        <v>0.54607301130357599</v>
      </c>
      <c r="BP761" s="173">
        <f>BR761</f>
        <v>0.55578504227645364</v>
      </c>
      <c r="BQ761" s="173">
        <f>BR761</f>
        <v>0.55578504227645364</v>
      </c>
      <c r="BR761" s="173">
        <f>BO761*(1+$B761)</f>
        <v>0.55578504227645364</v>
      </c>
      <c r="BS761" s="173">
        <f>BU761</f>
        <v>0.56566980389828414</v>
      </c>
      <c r="BT761" s="173">
        <f>BU761</f>
        <v>0.56566980389828414</v>
      </c>
      <c r="BU761" s="173">
        <f>BR761*(1+$B761)</f>
        <v>0.56566980389828414</v>
      </c>
      <c r="BV761" s="173">
        <f>BX761</f>
        <v>0.5757303682223972</v>
      </c>
      <c r="BW761" s="173">
        <f>BX761</f>
        <v>0.5757303682223972</v>
      </c>
      <c r="BX761" s="173">
        <f>BU761*(1+$B761)</f>
        <v>0.5757303682223972</v>
      </c>
      <c r="BY761" s="173">
        <f>CA761</f>
        <v>0.58596986193927991</v>
      </c>
      <c r="BZ761" s="173">
        <f>CA761</f>
        <v>0.58596986193927991</v>
      </c>
      <c r="CA761" s="173">
        <f>BX761*(1+$B761)</f>
        <v>0.58596986193927991</v>
      </c>
      <c r="CB761" s="173">
        <f>CD761</f>
        <v>0.59639146734831083</v>
      </c>
      <c r="CC761" s="173">
        <f>CD761</f>
        <v>0.59639146734831083</v>
      </c>
      <c r="CD761" s="173">
        <f>CA761*(1+$B761)</f>
        <v>0.59639146734831083</v>
      </c>
      <c r="CE761" s="173">
        <f>CG761</f>
        <v>0.60699842334677656</v>
      </c>
      <c r="CF761" s="173">
        <f>CG761</f>
        <v>0.60699842334677656</v>
      </c>
      <c r="CG761" s="173">
        <f>CD761*(1+$B761)</f>
        <v>0.60699842334677656</v>
      </c>
      <c r="CH761" s="173">
        <f>CJ761</f>
        <v>0.61779402643647863</v>
      </c>
      <c r="CI761" s="173">
        <f>CJ761</f>
        <v>0.61779402643647863</v>
      </c>
      <c r="CJ761" s="173">
        <f>CG761*(1+$B761)</f>
        <v>0.61779402643647863</v>
      </c>
      <c r="CK761" s="173">
        <f>CM761</f>
        <v>0.62878163174824209</v>
      </c>
      <c r="CL761" s="173">
        <f>CM761</f>
        <v>0.62878163174824209</v>
      </c>
      <c r="CM761" s="173">
        <f>CJ761*(1+$B761)</f>
        <v>0.62878163174824209</v>
      </c>
      <c r="CN761" s="173">
        <f>CP761</f>
        <v>0.63996465408464642</v>
      </c>
      <c r="CO761" s="173">
        <f>CP761</f>
        <v>0.63996465408464642</v>
      </c>
      <c r="CP761" s="173">
        <f>CM761*(1+$B761)</f>
        <v>0.63996465408464642</v>
      </c>
      <c r="CQ761" s="173">
        <f>CS761</f>
        <v>0.65134656898130061</v>
      </c>
      <c r="CR761" s="173">
        <f>CS761</f>
        <v>0.65134656898130061</v>
      </c>
      <c r="CS761" s="173">
        <f>CP761*(1+$B761)</f>
        <v>0.65134656898130061</v>
      </c>
      <c r="CT761" s="173">
        <f>CV761</f>
        <v>0.66293091378699409</v>
      </c>
      <c r="CU761" s="173">
        <f>CV761</f>
        <v>0.66293091378699409</v>
      </c>
      <c r="CV761" s="173">
        <f>CS761*(1+$B761)</f>
        <v>0.66293091378699409</v>
      </c>
      <c r="CW761" s="173">
        <f>CY761</f>
        <v>0.6747212887630577</v>
      </c>
      <c r="CX761" s="173">
        <f>CY761</f>
        <v>0.6747212887630577</v>
      </c>
      <c r="CY761" s="173">
        <f>CV761*(1+$B761)</f>
        <v>0.6747212887630577</v>
      </c>
      <c r="CZ761" s="173">
        <f>DB761</f>
        <v>0.68672135820227742</v>
      </c>
      <c r="DA761" s="173">
        <f>DB761</f>
        <v>0.68672135820227742</v>
      </c>
      <c r="DB761" s="173">
        <f>CY761*(1+$B761)</f>
        <v>0.68672135820227742</v>
      </c>
      <c r="DC761" s="173">
        <f>DE761</f>
        <v>0.6989348515677084</v>
      </c>
      <c r="DD761" s="173">
        <f>DE761</f>
        <v>0.6989348515677084</v>
      </c>
      <c r="DE761" s="173">
        <f>DB761*(1+$B761)</f>
        <v>0.6989348515677084</v>
      </c>
      <c r="DF761" s="173">
        <f>DH761</f>
        <v>0.71136556465174239</v>
      </c>
      <c r="DG761" s="173">
        <f>DH761</f>
        <v>0.71136556465174239</v>
      </c>
      <c r="DH761" s="173">
        <f>DE761*(1+$B761)</f>
        <v>0.71136556465174239</v>
      </c>
      <c r="DI761" s="173">
        <f>DK761</f>
        <v>0.72401736075579037</v>
      </c>
      <c r="DJ761" s="173">
        <f>DK761</f>
        <v>0.72401736075579037</v>
      </c>
      <c r="DK761" s="173">
        <f>DH761*(1+$B761)</f>
        <v>0.72401736075579037</v>
      </c>
      <c r="DL761" s="173">
        <f>DN761</f>
        <v>0.73689417189094508</v>
      </c>
      <c r="DM761" s="173">
        <f>DN761</f>
        <v>0.73689417189094508</v>
      </c>
      <c r="DN761" s="173">
        <f>DK761*(1+$B761)</f>
        <v>0.73689417189094508</v>
      </c>
      <c r="DO761" s="173">
        <f>DQ761</f>
        <v>0.75</v>
      </c>
      <c r="DP761" s="173">
        <f>DQ761</f>
        <v>0.75</v>
      </c>
      <c r="DQ761" s="173">
        <v>0.75</v>
      </c>
      <c r="DR761" s="160">
        <f t="shared" ref="DR761:DX761" si="3290">1-DR769</f>
        <v>0.72447859495060374</v>
      </c>
      <c r="DS761" s="160">
        <f t="shared" si="3290"/>
        <v>0.72447859495060374</v>
      </c>
      <c r="DT761" s="173">
        <f t="shared" si="3290"/>
        <v>0.72447859495060374</v>
      </c>
      <c r="DU761" s="160">
        <f t="shared" si="3290"/>
        <v>0.74731491603515465</v>
      </c>
      <c r="DV761" s="160">
        <f t="shared" si="3290"/>
        <v>0.74731491603515465</v>
      </c>
      <c r="DW761" s="173">
        <f t="shared" si="3290"/>
        <v>0.74731491603515465</v>
      </c>
      <c r="DX761" s="160">
        <f t="shared" si="3290"/>
        <v>0.76886233917823144</v>
      </c>
      <c r="DY761" s="160">
        <f t="shared" ref="DY761:ER761" si="3291">1-DY769</f>
        <v>0.76886233917823144</v>
      </c>
      <c r="DZ761" s="173">
        <f t="shared" si="3291"/>
        <v>0.76886233917823144</v>
      </c>
      <c r="EA761" s="160">
        <f t="shared" si="3291"/>
        <v>0.78909089563526091</v>
      </c>
      <c r="EB761" s="160">
        <f t="shared" si="3291"/>
        <v>0.78909089563526091</v>
      </c>
      <c r="EC761" s="173">
        <f t="shared" si="3291"/>
        <v>0.78909089563526091</v>
      </c>
      <c r="ED761" s="160">
        <f t="shared" si="3291"/>
        <v>0.80799121362659621</v>
      </c>
      <c r="EE761" s="160">
        <f t="shared" si="3291"/>
        <v>0.80799121362659621</v>
      </c>
      <c r="EF761" s="173">
        <f t="shared" si="3291"/>
        <v>0.80799121362659621</v>
      </c>
      <c r="EG761" s="160">
        <f t="shared" si="3291"/>
        <v>0.82557220293885869</v>
      </c>
      <c r="EH761" s="160">
        <f t="shared" si="3291"/>
        <v>0.82557220293885869</v>
      </c>
      <c r="EI761" s="173">
        <f t="shared" si="3291"/>
        <v>0.82557220293885869</v>
      </c>
      <c r="EJ761" s="160">
        <f t="shared" si="3291"/>
        <v>0.84185848434347155</v>
      </c>
      <c r="EK761" s="160">
        <f t="shared" si="3291"/>
        <v>0.84185848434347155</v>
      </c>
      <c r="EL761" s="173">
        <f t="shared" si="3291"/>
        <v>0.84185848434347155</v>
      </c>
      <c r="EM761" s="160">
        <f t="shared" si="3291"/>
        <v>0.85688772236695787</v>
      </c>
      <c r="EN761" s="160">
        <f t="shared" si="3291"/>
        <v>0.85688772236695776</v>
      </c>
      <c r="EO761" s="173">
        <f t="shared" si="3291"/>
        <v>0.85688772236695787</v>
      </c>
      <c r="EP761" s="160">
        <f t="shared" si="3291"/>
        <v>0.87070799373484531</v>
      </c>
      <c r="EQ761" s="160">
        <f t="shared" si="3291"/>
        <v>0.87070799373484531</v>
      </c>
      <c r="ER761" s="173">
        <f t="shared" si="3291"/>
        <v>0.87070799373484531</v>
      </c>
      <c r="ES761" s="160">
        <f t="shared" ref="ES761:EX761" si="3292">1-ES769</f>
        <v>0.88337529411250626</v>
      </c>
      <c r="ET761" s="160">
        <f t="shared" si="3292"/>
        <v>0.88337529411250615</v>
      </c>
      <c r="EU761" s="173">
        <f t="shared" si="3292"/>
        <v>0.88337529411250626</v>
      </c>
      <c r="EV761" s="160">
        <f t="shared" si="3292"/>
        <v>0.89495125601799952</v>
      </c>
      <c r="EW761" s="160">
        <f t="shared" si="3292"/>
        <v>0.89495125601799952</v>
      </c>
      <c r="EX761" s="173">
        <f t="shared" si="3292"/>
        <v>0.89495125601799952</v>
      </c>
      <c r="EY761" s="160">
        <f t="shared" ref="EY761:FA761" si="3293">1-EY769</f>
        <v>0.9055011234677619</v>
      </c>
      <c r="EZ761" s="160">
        <f t="shared" si="3293"/>
        <v>0.90550112346776179</v>
      </c>
      <c r="FA761" s="173">
        <f t="shared" si="3293"/>
        <v>0.90550112346776179</v>
      </c>
      <c r="FH761" s="35"/>
      <c r="FI761" s="35"/>
      <c r="FJ761" s="35"/>
      <c r="FK761" s="35"/>
      <c r="FL761" s="35"/>
      <c r="FM761" s="35"/>
      <c r="FN761" s="35"/>
      <c r="FO761" s="35"/>
      <c r="FP761" s="35"/>
      <c r="FQ761" s="35"/>
    </row>
    <row r="762" spans="1:173" s="321" customFormat="1" hidden="1" outlineLevel="1">
      <c r="A762" s="1174"/>
      <c r="B762" s="177"/>
      <c r="C762" s="321" t="s">
        <v>209</v>
      </c>
      <c r="D762" s="329"/>
      <c r="E762" s="22"/>
      <c r="F762" s="22"/>
      <c r="G762" s="23"/>
      <c r="H762" s="22"/>
      <c r="I762" s="22"/>
      <c r="J762" s="23"/>
      <c r="K762" s="22"/>
      <c r="L762" s="22"/>
      <c r="M762" s="23"/>
      <c r="N762" s="22"/>
      <c r="O762" s="22"/>
      <c r="P762" s="23"/>
      <c r="Q762" s="22"/>
      <c r="R762" s="22"/>
      <c r="S762" s="23"/>
      <c r="T762" s="22"/>
      <c r="U762" s="22"/>
      <c r="V762" s="23"/>
      <c r="W762" s="22"/>
      <c r="X762" s="22"/>
      <c r="Y762" s="23"/>
      <c r="Z762" s="22"/>
      <c r="AA762" s="22"/>
      <c r="AB762" s="23"/>
      <c r="AC762" s="22"/>
      <c r="AD762" s="22"/>
      <c r="AE762" s="23"/>
      <c r="AF762" s="22"/>
      <c r="AG762" s="22"/>
      <c r="AH762" s="23"/>
      <c r="AI762" s="22"/>
      <c r="AJ762" s="22"/>
      <c r="AK762" s="23"/>
      <c r="AL762" s="22"/>
      <c r="AM762" s="22"/>
      <c r="AN762" s="328"/>
      <c r="AO762" s="22"/>
      <c r="AP762" s="22"/>
      <c r="AQ762" s="328"/>
      <c r="AR762" s="22"/>
      <c r="AS762" s="22"/>
      <c r="AT762" s="328"/>
      <c r="AU762" s="22"/>
      <c r="AV762" s="22"/>
      <c r="AW762" s="328"/>
      <c r="AX762" s="173"/>
      <c r="AY762" s="173"/>
      <c r="AZ762" s="173"/>
      <c r="BA762" s="173">
        <f>BA760/AX760-1</f>
        <v>0.22134226912191068</v>
      </c>
      <c r="BB762" s="173">
        <f t="shared" ref="BB762:DK762" si="3294">BB760/AY760-1</f>
        <v>0.22134226912191091</v>
      </c>
      <c r="BC762" s="173">
        <f t="shared" si="3294"/>
        <v>0.22134226912191068</v>
      </c>
      <c r="BD762" s="173">
        <f t="shared" si="3294"/>
        <v>0.20375726591336663</v>
      </c>
      <c r="BE762" s="173">
        <f t="shared" si="3294"/>
        <v>0.24999659728419332</v>
      </c>
      <c r="BF762" s="173">
        <f t="shared" si="3294"/>
        <v>0.22847267556970663</v>
      </c>
      <c r="BG762" s="173">
        <f t="shared" si="3294"/>
        <v>0.13310577564888981</v>
      </c>
      <c r="BH762" s="173">
        <f t="shared" si="3294"/>
        <v>8.9366954415873279E-2</v>
      </c>
      <c r="BI762" s="173">
        <f t="shared" si="3294"/>
        <v>0.10931729679883784</v>
      </c>
      <c r="BJ762" s="173">
        <f t="shared" si="3294"/>
        <v>4.7147298143443539E-2</v>
      </c>
      <c r="BK762" s="173">
        <f t="shared" si="3294"/>
        <v>0.11168140822236361</v>
      </c>
      <c r="BL762" s="173">
        <f t="shared" si="3294"/>
        <v>8.1614603782819817E-2</v>
      </c>
      <c r="BM762" s="173">
        <f t="shared" si="3294"/>
        <v>0.24149150205850667</v>
      </c>
      <c r="BN762" s="173">
        <f t="shared" si="3294"/>
        <v>0.16642544326415232</v>
      </c>
      <c r="BO762" s="173">
        <f t="shared" si="3294"/>
        <v>0.20028465132006223</v>
      </c>
      <c r="BP762" s="173">
        <f t="shared" si="3294"/>
        <v>0.32672607771466233</v>
      </c>
      <c r="BQ762" s="173">
        <f t="shared" si="3294"/>
        <v>0.12601169818089453</v>
      </c>
      <c r="BR762" s="173">
        <f t="shared" si="3294"/>
        <v>0.21965380307417859</v>
      </c>
      <c r="BS762" s="173">
        <f t="shared" si="3294"/>
        <v>0.24001532961328365</v>
      </c>
      <c r="BT762" s="173">
        <f t="shared" si="3294"/>
        <v>0.27884560184785268</v>
      </c>
      <c r="BU762" s="173">
        <f t="shared" si="3294"/>
        <v>0.2591391785806676</v>
      </c>
      <c r="BV762" s="173">
        <f t="shared" si="3294"/>
        <v>0.14786615401764003</v>
      </c>
      <c r="BW762" s="173">
        <f t="shared" si="3294"/>
        <v>0.1732416251200235</v>
      </c>
      <c r="BX762" s="173">
        <f t="shared" si="3294"/>
        <v>0.16055912714017362</v>
      </c>
      <c r="BY762" s="173">
        <f t="shared" si="3294"/>
        <v>4.4250568605112672E-2</v>
      </c>
      <c r="BZ762" s="173">
        <f t="shared" si="3294"/>
        <v>3.0195622262727317E-2</v>
      </c>
      <c r="CA762" s="173">
        <f t="shared" si="3294"/>
        <v>3.7143367081494683E-2</v>
      </c>
      <c r="CB762" s="173">
        <f t="shared" si="3294"/>
        <v>8.9120427201971886E-2</v>
      </c>
      <c r="CC762" s="173">
        <f t="shared" si="3294"/>
        <v>0.21979926228207902</v>
      </c>
      <c r="CD762" s="173">
        <f t="shared" si="3294"/>
        <v>0.15475846629449785</v>
      </c>
      <c r="CE762" s="173">
        <f t="shared" si="3294"/>
        <v>0.21503244654378073</v>
      </c>
      <c r="CF762" s="173">
        <f t="shared" si="3294"/>
        <v>0.17058488585334008</v>
      </c>
      <c r="CG762" s="173">
        <f t="shared" si="3294"/>
        <v>0.19144964008492082</v>
      </c>
      <c r="CH762" s="173">
        <f t="shared" si="3294"/>
        <v>-8.1147516393105024E-2</v>
      </c>
      <c r="CI762" s="173">
        <f t="shared" si="3294"/>
        <v>-2.4285549029604891E-2</v>
      </c>
      <c r="CJ762" s="173">
        <f t="shared" si="3294"/>
        <v>-5.1506256524842753E-2</v>
      </c>
      <c r="CK762" s="173">
        <f t="shared" si="3294"/>
        <v>0.25381419980771036</v>
      </c>
      <c r="CL762" s="173">
        <f t="shared" si="3294"/>
        <v>4.0661727556905003E-2</v>
      </c>
      <c r="CM762" s="173">
        <f t="shared" si="3294"/>
        <v>0.13951230810557602</v>
      </c>
      <c r="CN762" s="173">
        <f t="shared" si="3294"/>
        <v>-9.9910341395288982E-2</v>
      </c>
      <c r="CO762" s="173">
        <f t="shared" si="3294"/>
        <v>0.12994610011760299</v>
      </c>
      <c r="CP762" s="173">
        <f t="shared" si="3294"/>
        <v>1.2656449493065214E-2</v>
      </c>
      <c r="CQ762" s="173">
        <f t="shared" si="3294"/>
        <v>4.9006478408517129E-2</v>
      </c>
      <c r="CR762" s="173">
        <f t="shared" si="3294"/>
        <v>9.4884796772735314E-2</v>
      </c>
      <c r="CS762" s="173">
        <f t="shared" si="3294"/>
        <v>7.4076614502546656E-2</v>
      </c>
      <c r="CT762" s="173">
        <f t="shared" si="3294"/>
        <v>0.23927260424014851</v>
      </c>
      <c r="CU762" s="173">
        <f t="shared" si="3294"/>
        <v>4.1587601452601985E-2</v>
      </c>
      <c r="CV762" s="173">
        <f t="shared" si="3294"/>
        <v>0.12915516882417588</v>
      </c>
      <c r="CW762" s="173">
        <f t="shared" si="3294"/>
        <v>0.13702816723922839</v>
      </c>
      <c r="CX762" s="173">
        <f t="shared" si="3294"/>
        <v>9.3393157814182226E-2</v>
      </c>
      <c r="CY762" s="173">
        <f t="shared" si="3294"/>
        <v>0.11460692793382443</v>
      </c>
      <c r="CZ762" s="173">
        <f t="shared" si="3294"/>
        <v>2.5427096795739734E-2</v>
      </c>
      <c r="DA762" s="173">
        <f t="shared" si="3294"/>
        <v>0.19132611911713782</v>
      </c>
      <c r="DB762" s="173">
        <f t="shared" si="3294"/>
        <v>0.10904956465406634</v>
      </c>
      <c r="DC762" s="173">
        <f t="shared" si="3294"/>
        <v>5.6703157384782266E-2</v>
      </c>
      <c r="DD762" s="173">
        <f t="shared" si="3294"/>
        <v>-8.4601116398941079E-2</v>
      </c>
      <c r="DE762" s="173">
        <f t="shared" si="3294"/>
        <v>-1.9806130342785111E-2</v>
      </c>
      <c r="DF762" s="173">
        <f t="shared" si="3294"/>
        <v>0.14352531967138615</v>
      </c>
      <c r="DG762" s="173">
        <f t="shared" si="3294"/>
        <v>-0.24707207154180255</v>
      </c>
      <c r="DH762" s="173">
        <f t="shared" si="3294"/>
        <v>-5.3983546655165693E-2</v>
      </c>
      <c r="DI762" s="173">
        <f t="shared" si="3294"/>
        <v>-7.4562552617498112E-2</v>
      </c>
      <c r="DJ762" s="173">
        <f t="shared" si="3294"/>
        <v>0.50296107259449196</v>
      </c>
      <c r="DK762" s="173">
        <f t="shared" si="3294"/>
        <v>0.15786185343055359</v>
      </c>
      <c r="DL762" s="173">
        <f t="shared" ref="DL762:DQ762" si="3295">DL760/DI760-1</f>
        <v>8.4774423469011317E-2</v>
      </c>
      <c r="DM762" s="173">
        <f t="shared" si="3295"/>
        <v>4.3658936350899014E-2</v>
      </c>
      <c r="DN762" s="173">
        <f t="shared" si="3295"/>
        <v>6.3295703243050339E-2</v>
      </c>
      <c r="DO762" s="173">
        <f t="shared" si="3295"/>
        <v>0.16475257886334926</v>
      </c>
      <c r="DP762" s="173">
        <f t="shared" si="3295"/>
        <v>0.19751684999049668</v>
      </c>
      <c r="DQ762" s="173">
        <f t="shared" si="3295"/>
        <v>0.18155252964691071</v>
      </c>
      <c r="DR762" s="160">
        <f t="shared" ref="DR762:ER762" si="3296">(DR760/DO760)-1</f>
        <v>0.10000000000000009</v>
      </c>
      <c r="DS762" s="160">
        <f t="shared" si="3296"/>
        <v>9.9999999999999867E-2</v>
      </c>
      <c r="DT762" s="173">
        <f t="shared" si="3296"/>
        <v>0.10000000000000009</v>
      </c>
      <c r="DU762" s="160">
        <f t="shared" si="3296"/>
        <v>0.10000000000000009</v>
      </c>
      <c r="DV762" s="160">
        <f t="shared" si="3296"/>
        <v>0.10000000000000009</v>
      </c>
      <c r="DW762" s="173">
        <f t="shared" si="3296"/>
        <v>0.10000000000000009</v>
      </c>
      <c r="DX762" s="160">
        <f t="shared" si="3296"/>
        <v>0.10000000000000009</v>
      </c>
      <c r="DY762" s="160">
        <f t="shared" si="3296"/>
        <v>0.10000000000000009</v>
      </c>
      <c r="DZ762" s="173">
        <f t="shared" si="3296"/>
        <v>0.10000000000000009</v>
      </c>
      <c r="EA762" s="160">
        <f t="shared" si="3296"/>
        <v>0.10000000000000009</v>
      </c>
      <c r="EB762" s="160">
        <f t="shared" si="3296"/>
        <v>9.9999999999999867E-2</v>
      </c>
      <c r="EC762" s="173">
        <f t="shared" si="3296"/>
        <v>9.9999999999999867E-2</v>
      </c>
      <c r="ED762" s="160">
        <f t="shared" si="3296"/>
        <v>9.9999999999999867E-2</v>
      </c>
      <c r="EE762" s="160">
        <f t="shared" si="3296"/>
        <v>0.10000000000000031</v>
      </c>
      <c r="EF762" s="173">
        <f t="shared" si="3296"/>
        <v>0.10000000000000009</v>
      </c>
      <c r="EG762" s="160">
        <f t="shared" si="3296"/>
        <v>0.10000000000000009</v>
      </c>
      <c r="EH762" s="160">
        <f t="shared" si="3296"/>
        <v>0.10000000000000009</v>
      </c>
      <c r="EI762" s="173">
        <f t="shared" si="3296"/>
        <v>0.10000000000000009</v>
      </c>
      <c r="EJ762" s="160">
        <f t="shared" si="3296"/>
        <v>0.10000000000000031</v>
      </c>
      <c r="EK762" s="160">
        <f t="shared" si="3296"/>
        <v>0.10000000000000009</v>
      </c>
      <c r="EL762" s="173">
        <f t="shared" si="3296"/>
        <v>0.10000000000000031</v>
      </c>
      <c r="EM762" s="160">
        <f t="shared" si="3296"/>
        <v>0.10000000000000009</v>
      </c>
      <c r="EN762" s="160">
        <f t="shared" si="3296"/>
        <v>0.10000000000000009</v>
      </c>
      <c r="EO762" s="173">
        <f t="shared" si="3296"/>
        <v>0.10000000000000009</v>
      </c>
      <c r="EP762" s="160">
        <f t="shared" si="3296"/>
        <v>0.10000000000000009</v>
      </c>
      <c r="EQ762" s="160">
        <f t="shared" si="3296"/>
        <v>0.10000000000000009</v>
      </c>
      <c r="ER762" s="173">
        <f t="shared" si="3296"/>
        <v>9.9999999999999867E-2</v>
      </c>
      <c r="ES762" s="160">
        <f t="shared" ref="ES762" si="3297">(ES760/EP760)-1</f>
        <v>0.10000000000000031</v>
      </c>
      <c r="ET762" s="160">
        <f t="shared" ref="ET762" si="3298">(ET760/EQ760)-1</f>
        <v>0.10000000000000009</v>
      </c>
      <c r="EU762" s="173">
        <f t="shared" ref="EU762" si="3299">(EU760/ER760)-1</f>
        <v>0.10000000000000009</v>
      </c>
      <c r="EV762" s="160">
        <f t="shared" ref="EV762" si="3300">(EV760/ES760)-1</f>
        <v>0.10000000000000031</v>
      </c>
      <c r="EW762" s="160">
        <f t="shared" ref="EW762" si="3301">(EW760/ET760)-1</f>
        <v>0.10000000000000009</v>
      </c>
      <c r="EX762" s="173">
        <f t="shared" ref="EX762" si="3302">(EX760/EU760)-1</f>
        <v>0.10000000000000031</v>
      </c>
      <c r="EY762" s="160">
        <f t="shared" ref="EY762" si="3303">(EY760/EV760)-1</f>
        <v>9.9999999999999867E-2</v>
      </c>
      <c r="EZ762" s="160">
        <f t="shared" ref="EZ762" si="3304">(EZ760/EW760)-1</f>
        <v>9.9999999999999867E-2</v>
      </c>
      <c r="FA762" s="173">
        <f t="shared" ref="FA762" si="3305">(FA760/EX760)-1</f>
        <v>9.9999999999999867E-2</v>
      </c>
      <c r="FH762" s="35"/>
      <c r="FI762" s="35"/>
      <c r="FJ762" s="35"/>
      <c r="FK762" s="35"/>
      <c r="FL762" s="35"/>
      <c r="FM762" s="35"/>
      <c r="FN762" s="35"/>
      <c r="FO762" s="35"/>
      <c r="FP762" s="35"/>
      <c r="FQ762" s="35"/>
    </row>
    <row r="763" spans="1:173" s="321" customFormat="1" hidden="1" outlineLevel="1">
      <c r="A763" s="1174"/>
      <c r="B763" s="177"/>
      <c r="D763" s="329"/>
      <c r="E763" s="22"/>
      <c r="F763" s="22"/>
      <c r="G763" s="23"/>
      <c r="H763" s="22"/>
      <c r="I763" s="22"/>
      <c r="J763" s="23"/>
      <c r="K763" s="22"/>
      <c r="L763" s="22"/>
      <c r="M763" s="23"/>
      <c r="N763" s="22"/>
      <c r="O763" s="22"/>
      <c r="P763" s="23"/>
      <c r="Q763" s="22"/>
      <c r="R763" s="22"/>
      <c r="S763" s="23"/>
      <c r="T763" s="22"/>
      <c r="U763" s="22"/>
      <c r="V763" s="23"/>
      <c r="W763" s="22"/>
      <c r="X763" s="22"/>
      <c r="Y763" s="23"/>
      <c r="Z763" s="22"/>
      <c r="AA763" s="22"/>
      <c r="AB763" s="23"/>
      <c r="AC763" s="22"/>
      <c r="AD763" s="22"/>
      <c r="AE763" s="23"/>
      <c r="AF763" s="22"/>
      <c r="AG763" s="22"/>
      <c r="AH763" s="23"/>
      <c r="AI763" s="22"/>
      <c r="AJ763" s="22"/>
      <c r="AK763" s="23"/>
      <c r="AL763" s="22"/>
      <c r="AM763" s="22"/>
      <c r="AN763" s="328"/>
      <c r="AO763" s="22"/>
      <c r="AP763" s="22"/>
      <c r="AQ763" s="328"/>
      <c r="AR763" s="22"/>
      <c r="AS763" s="22"/>
      <c r="AT763" s="328"/>
      <c r="AU763" s="22"/>
      <c r="AV763" s="22"/>
      <c r="AW763" s="328"/>
      <c r="AX763" s="173"/>
      <c r="AY763" s="173"/>
      <c r="AZ763" s="173"/>
      <c r="BA763" s="173"/>
      <c r="BB763" s="173"/>
      <c r="BC763" s="173"/>
      <c r="BD763" s="173"/>
      <c r="BE763" s="173"/>
      <c r="BF763" s="173"/>
      <c r="BG763" s="173"/>
      <c r="BH763" s="173"/>
      <c r="BI763" s="173"/>
      <c r="BJ763" s="173"/>
      <c r="BK763" s="173"/>
      <c r="BL763" s="173"/>
      <c r="BM763" s="173"/>
      <c r="BN763" s="173"/>
      <c r="BO763" s="173"/>
      <c r="BP763" s="173"/>
      <c r="BQ763" s="173"/>
      <c r="BR763" s="173"/>
      <c r="BS763" s="173"/>
      <c r="BT763" s="173"/>
      <c r="BU763" s="173"/>
      <c r="BV763" s="173"/>
      <c r="BW763" s="173"/>
      <c r="BX763" s="173"/>
      <c r="BY763" s="173"/>
      <c r="BZ763" s="173"/>
      <c r="CA763" s="173"/>
      <c r="CB763" s="173"/>
      <c r="CC763" s="173"/>
      <c r="CD763" s="173"/>
      <c r="CE763" s="173"/>
      <c r="CF763" s="173"/>
      <c r="CG763" s="173"/>
      <c r="CH763" s="173"/>
      <c r="CI763" s="173"/>
      <c r="CJ763" s="173"/>
      <c r="CK763" s="173"/>
      <c r="CL763" s="173"/>
      <c r="CM763" s="173"/>
      <c r="CN763" s="173"/>
      <c r="CO763" s="173"/>
      <c r="CP763" s="173"/>
      <c r="CQ763" s="173"/>
      <c r="CR763" s="173"/>
      <c r="CS763" s="173"/>
      <c r="CT763" s="173"/>
      <c r="CU763" s="173"/>
      <c r="CV763" s="173"/>
      <c r="CW763" s="173"/>
      <c r="CX763" s="173"/>
      <c r="CY763" s="173"/>
      <c r="CZ763" s="173"/>
      <c r="DA763" s="173"/>
      <c r="DB763" s="173"/>
      <c r="DC763" s="173"/>
      <c r="DD763" s="173"/>
      <c r="DE763" s="173"/>
      <c r="DF763" s="173"/>
      <c r="DG763" s="173"/>
      <c r="DH763" s="173"/>
      <c r="DI763" s="173"/>
      <c r="DJ763" s="173"/>
      <c r="DK763" s="173"/>
      <c r="DL763" s="173"/>
      <c r="DM763" s="173"/>
      <c r="DN763" s="173"/>
      <c r="DO763" s="173"/>
      <c r="DP763" s="173"/>
      <c r="DQ763" s="173"/>
      <c r="DR763" s="66"/>
      <c r="DS763" s="66"/>
      <c r="DT763" s="163"/>
      <c r="DU763" s="66"/>
      <c r="DV763" s="66"/>
      <c r="DW763" s="163"/>
      <c r="DX763" s="66"/>
      <c r="DY763" s="66"/>
      <c r="DZ763" s="163"/>
      <c r="EA763" s="66"/>
      <c r="EB763" s="66"/>
      <c r="EC763" s="163"/>
      <c r="ED763" s="66"/>
      <c r="EE763" s="66"/>
      <c r="EF763" s="163"/>
      <c r="EG763" s="66"/>
      <c r="EH763" s="66"/>
      <c r="EI763" s="163"/>
      <c r="EJ763" s="66"/>
      <c r="EK763" s="66"/>
      <c r="EL763" s="163"/>
      <c r="EM763" s="66"/>
      <c r="EN763" s="66"/>
      <c r="EO763" s="163"/>
      <c r="EP763" s="66"/>
      <c r="EQ763" s="66"/>
      <c r="ER763" s="163"/>
      <c r="ES763" s="66"/>
      <c r="ET763" s="66"/>
      <c r="EU763" s="163"/>
      <c r="EV763" s="66"/>
      <c r="EW763" s="66"/>
      <c r="EX763" s="163"/>
      <c r="EY763" s="66"/>
      <c r="EZ763" s="66"/>
      <c r="FA763" s="163"/>
      <c r="FH763" s="35"/>
      <c r="FI763" s="35"/>
      <c r="FJ763" s="35"/>
      <c r="FK763" s="35"/>
      <c r="FL763" s="35"/>
      <c r="FM763" s="35"/>
      <c r="FN763" s="35"/>
      <c r="FO763" s="35"/>
      <c r="FP763" s="35"/>
      <c r="FQ763" s="35"/>
    </row>
    <row r="764" spans="1:173" s="321" customFormat="1" hidden="1" outlineLevel="1">
      <c r="A764" s="1174"/>
      <c r="B764" s="177"/>
      <c r="C764" s="321" t="s">
        <v>1002</v>
      </c>
      <c r="D764" s="329"/>
      <c r="E764" s="22"/>
      <c r="F764" s="22"/>
      <c r="G764" s="23"/>
      <c r="H764" s="22"/>
      <c r="I764" s="22"/>
      <c r="J764" s="23"/>
      <c r="K764" s="22"/>
      <c r="L764" s="22"/>
      <c r="M764" s="23"/>
      <c r="N764" s="22"/>
      <c r="O764" s="22"/>
      <c r="P764" s="23"/>
      <c r="Q764" s="22"/>
      <c r="R764" s="22"/>
      <c r="S764" s="23"/>
      <c r="T764" s="22"/>
      <c r="U764" s="22"/>
      <c r="V764" s="23"/>
      <c r="W764" s="22"/>
      <c r="X764" s="22"/>
      <c r="Y764" s="23"/>
      <c r="Z764" s="22"/>
      <c r="AA764" s="22"/>
      <c r="AB764" s="23"/>
      <c r="AC764" s="22"/>
      <c r="AD764" s="22"/>
      <c r="AE764" s="23"/>
      <c r="AF764" s="22"/>
      <c r="AG764" s="22"/>
      <c r="AH764" s="23"/>
      <c r="AI764" s="22"/>
      <c r="AJ764" s="22"/>
      <c r="AK764" s="23"/>
      <c r="AL764" s="22"/>
      <c r="AM764" s="22"/>
      <c r="AN764" s="328"/>
      <c r="AO764" s="22"/>
      <c r="AP764" s="22"/>
      <c r="AQ764" s="328"/>
      <c r="AR764" s="22"/>
      <c r="AS764" s="22"/>
      <c r="AT764" s="328"/>
      <c r="AU764" s="22"/>
      <c r="AV764" s="22"/>
      <c r="AW764" s="328"/>
      <c r="AX764" s="173"/>
      <c r="AY764" s="173"/>
      <c r="AZ764" s="173"/>
      <c r="BA764" s="66"/>
      <c r="BB764" s="66"/>
      <c r="BC764" s="56"/>
      <c r="BD764" s="66"/>
      <c r="BE764" s="66"/>
      <c r="BF764" s="56"/>
      <c r="BG764" s="66"/>
      <c r="BH764" s="66"/>
      <c r="BI764" s="56"/>
      <c r="BJ764" s="994"/>
      <c r="BK764" s="994"/>
      <c r="BL764" s="995"/>
      <c r="BM764" s="994"/>
      <c r="BN764" s="994"/>
      <c r="BO764" s="995"/>
      <c r="BP764" s="994"/>
      <c r="BQ764" s="994"/>
      <c r="BR764" s="995"/>
      <c r="BS764" s="66"/>
      <c r="BT764" s="66"/>
      <c r="BU764" s="163"/>
      <c r="BV764" s="66"/>
      <c r="BW764" s="66"/>
      <c r="BX764" s="163"/>
      <c r="BY764" s="66"/>
      <c r="BZ764" s="66"/>
      <c r="CA764" s="163"/>
      <c r="CB764" s="66"/>
      <c r="CC764" s="66"/>
      <c r="CD764" s="163"/>
      <c r="CE764" s="66"/>
      <c r="CF764" s="66"/>
      <c r="CG764" s="163"/>
      <c r="CH764" s="66"/>
      <c r="CI764" s="66"/>
      <c r="CJ764" s="163"/>
      <c r="CK764" s="66"/>
      <c r="CL764" s="66"/>
      <c r="CM764" s="163"/>
      <c r="CN764" s="66"/>
      <c r="CO764" s="66"/>
      <c r="CP764" s="163"/>
      <c r="CQ764" s="66"/>
      <c r="CR764" s="66"/>
      <c r="CS764" s="163"/>
      <c r="CT764" s="66"/>
      <c r="CU764" s="66"/>
      <c r="CV764" s="163"/>
      <c r="CW764" s="66"/>
      <c r="CX764" s="66"/>
      <c r="CY764" s="163"/>
      <c r="CZ764" s="66"/>
      <c r="DA764" s="66"/>
      <c r="DB764" s="163"/>
      <c r="DC764" s="66"/>
      <c r="DD764" s="66"/>
      <c r="DE764" s="163"/>
      <c r="DF764" s="66"/>
      <c r="DG764" s="66"/>
      <c r="DH764" s="163"/>
      <c r="DI764" s="66"/>
      <c r="DJ764" s="66"/>
      <c r="DK764" s="163"/>
      <c r="DL764" s="66"/>
      <c r="DM764" s="66"/>
      <c r="DN764" s="163"/>
      <c r="DO764" s="66"/>
      <c r="DP764" s="66"/>
      <c r="DQ764" s="173"/>
      <c r="DR764" s="66"/>
      <c r="DS764" s="66"/>
      <c r="DT764" s="163"/>
      <c r="DU764" s="66"/>
      <c r="DV764" s="66"/>
      <c r="DW764" s="163"/>
      <c r="DX764" s="66"/>
      <c r="DY764" s="66"/>
      <c r="DZ764" s="163"/>
      <c r="EA764" s="66"/>
      <c r="EB764" s="66"/>
      <c r="EC764" s="163"/>
      <c r="ED764" s="66"/>
      <c r="EE764" s="66"/>
      <c r="EF764" s="163"/>
      <c r="EG764" s="66"/>
      <c r="EH764" s="66"/>
      <c r="EI764" s="163"/>
      <c r="EJ764" s="66"/>
      <c r="EK764" s="66"/>
      <c r="EL764" s="163"/>
      <c r="EM764" s="66"/>
      <c r="EN764" s="66"/>
      <c r="EO764" s="163"/>
      <c r="EP764" s="66"/>
      <c r="EQ764" s="66"/>
      <c r="ER764" s="163"/>
      <c r="ES764" s="66"/>
      <c r="ET764" s="66"/>
      <c r="EU764" s="163"/>
      <c r="EV764" s="66"/>
      <c r="EW764" s="66"/>
      <c r="EX764" s="163"/>
      <c r="EY764" s="66"/>
      <c r="EZ764" s="66"/>
      <c r="FA764" s="163"/>
      <c r="FH764" s="35"/>
      <c r="FI764" s="35"/>
      <c r="FJ764" s="35"/>
      <c r="FK764" s="35"/>
      <c r="FL764" s="35"/>
      <c r="FM764" s="35"/>
      <c r="FN764" s="35"/>
      <c r="FO764" s="35"/>
      <c r="FP764" s="35"/>
      <c r="FQ764" s="35"/>
    </row>
    <row r="765" spans="1:173" s="321" customFormat="1" hidden="1" outlineLevel="1">
      <c r="A765" s="1174"/>
      <c r="B765" s="177"/>
      <c r="C765" s="186" t="s">
        <v>316</v>
      </c>
      <c r="D765" s="329" t="s">
        <v>98</v>
      </c>
      <c r="E765" s="22"/>
      <c r="F765" s="22"/>
      <c r="G765" s="23"/>
      <c r="H765" s="22"/>
      <c r="I765" s="22"/>
      <c r="J765" s="23"/>
      <c r="K765" s="22"/>
      <c r="L765" s="22"/>
      <c r="M765" s="23"/>
      <c r="N765" s="22"/>
      <c r="O765" s="22"/>
      <c r="P765" s="23"/>
      <c r="Q765" s="22"/>
      <c r="R765" s="22"/>
      <c r="S765" s="23"/>
      <c r="T765" s="22"/>
      <c r="U765" s="22"/>
      <c r="V765" s="23"/>
      <c r="W765" s="22"/>
      <c r="X765" s="22"/>
      <c r="Y765" s="23"/>
      <c r="Z765" s="22"/>
      <c r="AA765" s="22"/>
      <c r="AB765" s="23"/>
      <c r="AC765" s="22"/>
      <c r="AD765" s="22"/>
      <c r="AE765" s="23"/>
      <c r="AF765" s="22"/>
      <c r="AG765" s="22"/>
      <c r="AH765" s="23"/>
      <c r="AI765" s="22"/>
      <c r="AJ765" s="22"/>
      <c r="AK765" s="23"/>
      <c r="AL765" s="22"/>
      <c r="AM765" s="22"/>
      <c r="AN765" s="328"/>
      <c r="AO765" s="22"/>
      <c r="AP765" s="22"/>
      <c r="AQ765" s="328"/>
      <c r="AR765" s="22"/>
      <c r="AS765" s="22"/>
      <c r="AT765" s="328"/>
      <c r="AU765" s="22"/>
      <c r="AV765" s="22"/>
      <c r="AW765" s="328"/>
      <c r="AX765" s="993">
        <f>AX745-AX757</f>
        <v>972.22222222222229</v>
      </c>
      <c r="AY765" s="993">
        <f>AY745-AY757</f>
        <v>1250</v>
      </c>
      <c r="AZ765" s="993">
        <f>AZ745-AZ757</f>
        <v>2222.2222222222222</v>
      </c>
      <c r="BA765" s="993">
        <f>BA745-BA757</f>
        <v>1145.9172383536979</v>
      </c>
      <c r="BB765" s="993">
        <f t="shared" ref="BB765:DM765" si="3306">BB745-BB757</f>
        <v>1473.3221635976115</v>
      </c>
      <c r="BC765" s="993">
        <f t="shared" si="3306"/>
        <v>2619.2394019513094</v>
      </c>
      <c r="BD765" s="993">
        <f t="shared" si="3306"/>
        <v>1293.5185933254565</v>
      </c>
      <c r="BE765" s="993">
        <f t="shared" si="3306"/>
        <v>1593.6339511890562</v>
      </c>
      <c r="BF765" s="993">
        <f t="shared" si="3306"/>
        <v>2887.152544514513</v>
      </c>
      <c r="BG765" s="993">
        <f t="shared" si="3306"/>
        <v>1533.4359440066989</v>
      </c>
      <c r="BH765" s="993">
        <f t="shared" si="3306"/>
        <v>1659.3765476090739</v>
      </c>
      <c r="BI765" s="993">
        <f t="shared" si="3306"/>
        <v>3192.8124916157731</v>
      </c>
      <c r="BJ765" s="993">
        <f t="shared" si="3306"/>
        <v>1422.6188073028634</v>
      </c>
      <c r="BK765" s="993">
        <f t="shared" si="3306"/>
        <v>1851.0757469221071</v>
      </c>
      <c r="BL765" s="993">
        <f t="shared" si="3306"/>
        <v>3273.6945542249705</v>
      </c>
      <c r="BM765" s="993">
        <f t="shared" si="3306"/>
        <v>1903.9255651430694</v>
      </c>
      <c r="BN765" s="993">
        <f t="shared" si="3306"/>
        <v>2027.4982428294129</v>
      </c>
      <c r="BO765" s="993">
        <f t="shared" si="3306"/>
        <v>3931.4238079724819</v>
      </c>
      <c r="BP765" s="993">
        <f t="shared" si="3306"/>
        <v>2478.0426658935421</v>
      </c>
      <c r="BQ765" s="993">
        <f t="shared" si="3306"/>
        <v>2232.1335858673374</v>
      </c>
      <c r="BR765" s="993">
        <f t="shared" si="3306"/>
        <v>4710.1762517608795</v>
      </c>
      <c r="BS765" s="993">
        <f t="shared" si="3306"/>
        <v>2955.9389226799799</v>
      </c>
      <c r="BT765" s="993">
        <f t="shared" si="3306"/>
        <v>2783.2086518791557</v>
      </c>
      <c r="BU765" s="993">
        <f t="shared" si="3306"/>
        <v>5739.1475745591351</v>
      </c>
      <c r="BV765" s="993">
        <f t="shared" si="3306"/>
        <v>3118.4668712923722</v>
      </c>
      <c r="BW765" s="993">
        <f t="shared" si="3306"/>
        <v>3020.5202232448437</v>
      </c>
      <c r="BX765" s="993">
        <f t="shared" si="3306"/>
        <v>6138.9870945372168</v>
      </c>
      <c r="BY765" s="993">
        <f t="shared" si="3306"/>
        <v>3123.0886583265446</v>
      </c>
      <c r="BZ765" s="993">
        <f t="shared" si="3306"/>
        <v>3036.0504281197927</v>
      </c>
      <c r="CA765" s="993">
        <f t="shared" si="3306"/>
        <v>6159.1390864463374</v>
      </c>
      <c r="CB765" s="993">
        <f t="shared" si="3306"/>
        <v>3324.8733266767649</v>
      </c>
      <c r="CC765" s="993">
        <f t="shared" si="3306"/>
        <v>3640.3444271716553</v>
      </c>
      <c r="CD765" s="993">
        <f t="shared" si="3306"/>
        <v>6965.2177538484193</v>
      </c>
      <c r="CE765" s="993">
        <f t="shared" si="3306"/>
        <v>3723.1188315497084</v>
      </c>
      <c r="CF765" s="993">
        <f t="shared" si="3306"/>
        <v>4076.3763182751336</v>
      </c>
      <c r="CG765" s="993">
        <f t="shared" si="3306"/>
        <v>7799.4951498248429</v>
      </c>
      <c r="CH765" s="993">
        <f t="shared" si="3306"/>
        <v>3157.5989866779419</v>
      </c>
      <c r="CI765" s="993">
        <f t="shared" si="3306"/>
        <v>3800.5289333721057</v>
      </c>
      <c r="CJ765" s="993">
        <f t="shared" si="3306"/>
        <v>6958.1279200500485</v>
      </c>
      <c r="CK765" s="993">
        <f t="shared" si="3306"/>
        <v>3361.1889031140672</v>
      </c>
      <c r="CL765" s="993">
        <f t="shared" si="3306"/>
        <v>3286.3563654362633</v>
      </c>
      <c r="CM765" s="993">
        <f t="shared" si="3306"/>
        <v>6647.5452685503296</v>
      </c>
      <c r="CN765" s="993">
        <f t="shared" si="3306"/>
        <v>3195.0671398871209</v>
      </c>
      <c r="CO765" s="993">
        <f t="shared" si="3306"/>
        <v>3660.4787038410268</v>
      </c>
      <c r="CP765" s="993">
        <f t="shared" si="3306"/>
        <v>6855.5458437281486</v>
      </c>
      <c r="CQ765" s="993">
        <f t="shared" si="3306"/>
        <v>3620.050714339638</v>
      </c>
      <c r="CR765" s="993">
        <f t="shared" si="3306"/>
        <v>4076.4726152744815</v>
      </c>
      <c r="CS765" s="993">
        <f t="shared" si="3306"/>
        <v>7696.5233296141214</v>
      </c>
      <c r="CT765" s="993">
        <f t="shared" si="3306"/>
        <v>3849.7481611988887</v>
      </c>
      <c r="CU765" s="993">
        <f t="shared" si="3306"/>
        <v>4058.4438105552845</v>
      </c>
      <c r="CV765" s="993">
        <f t="shared" si="3306"/>
        <v>7908.1919717541732</v>
      </c>
      <c r="CW765" s="993">
        <f t="shared" si="3306"/>
        <v>4438.4996816828025</v>
      </c>
      <c r="CX765" s="993">
        <f t="shared" si="3306"/>
        <v>4432.4195565748469</v>
      </c>
      <c r="CY765" s="993">
        <f t="shared" si="3306"/>
        <v>8870.9192382576475</v>
      </c>
      <c r="CZ765" s="993">
        <f t="shared" si="3306"/>
        <v>4751.7410033263841</v>
      </c>
      <c r="DA765" s="993">
        <f t="shared" si="3306"/>
        <v>4653.1012954285961</v>
      </c>
      <c r="DB765" s="993">
        <f t="shared" si="3306"/>
        <v>9404.842298754982</v>
      </c>
      <c r="DC765" s="993">
        <f t="shared" si="3306"/>
        <v>4475.1596541136769</v>
      </c>
      <c r="DD765" s="993">
        <f t="shared" si="3306"/>
        <v>3979.8088228563865</v>
      </c>
      <c r="DE765" s="993">
        <f t="shared" si="3306"/>
        <v>8454.9684769700652</v>
      </c>
      <c r="DF765" s="993">
        <f t="shared" si="3306"/>
        <v>4719.4227071546611</v>
      </c>
      <c r="DG765" s="993">
        <f t="shared" si="3306"/>
        <v>2861.6145335006468</v>
      </c>
      <c r="DH765" s="993">
        <f t="shared" si="3306"/>
        <v>7581.0372406553106</v>
      </c>
      <c r="DI765" s="993">
        <f t="shared" si="3306"/>
        <v>4042.7288548521119</v>
      </c>
      <c r="DJ765" s="993">
        <f t="shared" si="3306"/>
        <v>4082.115357433644</v>
      </c>
      <c r="DK765" s="993">
        <f t="shared" si="3306"/>
        <v>8124.8442122857559</v>
      </c>
      <c r="DL765" s="993">
        <f t="shared" si="3306"/>
        <v>3885.1450734929549</v>
      </c>
      <c r="DM765" s="993">
        <f t="shared" si="3306"/>
        <v>4069.2613901614804</v>
      </c>
      <c r="DN765" s="993">
        <f t="shared" ref="DN765:DQ768" si="3307">DN745-DN757</f>
        <v>7954.4064636544354</v>
      </c>
      <c r="DO765" s="993">
        <f t="shared" si="3307"/>
        <v>4410.503053905637</v>
      </c>
      <c r="DP765" s="993">
        <f t="shared" si="3307"/>
        <v>4791.1402890100944</v>
      </c>
      <c r="DQ765" s="993">
        <f t="shared" si="3307"/>
        <v>9201.6433429157296</v>
      </c>
      <c r="DR765" s="66">
        <f>DO765*(1+DR$793)</f>
        <v>5535.1813326515739</v>
      </c>
      <c r="DS765" s="66">
        <f t="shared" ref="DS765:DS767" si="3308">DP765*(1+DS$793)</f>
        <v>6012.8810627076682</v>
      </c>
      <c r="DT765" s="163">
        <f>SUM(DR765:DS765)</f>
        <v>11548.062395359242</v>
      </c>
      <c r="DU765" s="66">
        <f t="shared" ref="DU765:DV767" si="3309">DR765*(1+DU$793)</f>
        <v>5413.4073433332396</v>
      </c>
      <c r="DV765" s="66">
        <f t="shared" si="3309"/>
        <v>5880.5976793280997</v>
      </c>
      <c r="DW765" s="163">
        <f>SUM(DU765:DV765)</f>
        <v>11294.005022661338</v>
      </c>
      <c r="DX765" s="66">
        <f t="shared" ref="DX765:DY767" si="3310">DU765*(1+DX$793)</f>
        <v>5294.3123817799078</v>
      </c>
      <c r="DY765" s="66">
        <f t="shared" si="3310"/>
        <v>5751.2245303828813</v>
      </c>
      <c r="DZ765" s="163">
        <f>SUM(DX765:DY765)</f>
        <v>11045.536912162788</v>
      </c>
      <c r="EA765" s="66">
        <f t="shared" ref="EA765:EB767" si="3311">DX765*(1+EA$793)</f>
        <v>5177.8375093807499</v>
      </c>
      <c r="EB765" s="66">
        <f t="shared" si="3311"/>
        <v>5624.6975907144579</v>
      </c>
      <c r="EC765" s="163">
        <f>SUM(EA765:EB765)</f>
        <v>10802.535100095207</v>
      </c>
      <c r="ED765" s="66">
        <f t="shared" ref="ED765:EE767" si="3312">EA765*(1+ED$793)</f>
        <v>5063.9250841743733</v>
      </c>
      <c r="EE765" s="66">
        <f t="shared" si="3312"/>
        <v>5500.9542437187401</v>
      </c>
      <c r="EF765" s="163">
        <f>SUM(ED765:EE765)</f>
        <v>10564.879327893113</v>
      </c>
      <c r="EG765" s="66">
        <f t="shared" ref="EG765:EH767" si="3313">ED765*(1+EG$793)</f>
        <v>4952.5187323225373</v>
      </c>
      <c r="EH765" s="66">
        <f t="shared" si="3313"/>
        <v>5379.9332503569276</v>
      </c>
      <c r="EI765" s="163">
        <f>SUM(EG765:EH765)</f>
        <v>10332.451982679464</v>
      </c>
      <c r="EJ765" s="66">
        <f t="shared" ref="EJ765:EK767" si="3314">EG765*(1+EJ$793)</f>
        <v>4843.5633202114414</v>
      </c>
      <c r="EK765" s="66">
        <f t="shared" si="3314"/>
        <v>5261.574718849075</v>
      </c>
      <c r="EL765" s="163">
        <f>SUM(EJ765:EK765)</f>
        <v>10105.138039060515</v>
      </c>
      <c r="EM765" s="66">
        <f t="shared" ref="EM765:EN767" si="3315">EJ765*(1+EM$793)</f>
        <v>4737.0049271667895</v>
      </c>
      <c r="EN765" s="66">
        <f t="shared" si="3315"/>
        <v>5145.8200750343949</v>
      </c>
      <c r="EO765" s="163">
        <f>SUM(EM765:EN765)</f>
        <v>9882.8250022011853</v>
      </c>
      <c r="EP765" s="66">
        <f t="shared" ref="EP765:EQ767" si="3316">EM765*(1+EP$793)</f>
        <v>4632.7908187691201</v>
      </c>
      <c r="EQ765" s="66">
        <f t="shared" si="3316"/>
        <v>5032.6120333836379</v>
      </c>
      <c r="ER765" s="163">
        <f>SUM(EP765:EQ765)</f>
        <v>9665.402852152758</v>
      </c>
      <c r="ES765" s="66">
        <f t="shared" ref="ES765:ES767" si="3317">EP765*(1+ES$793)</f>
        <v>4530.8694207561994</v>
      </c>
      <c r="ET765" s="66">
        <f t="shared" ref="ET765:ET767" si="3318">EQ765*(1+ET$793)</f>
        <v>4921.8945686491979</v>
      </c>
      <c r="EU765" s="163">
        <f>SUM(ES765:ET765)</f>
        <v>9452.7639894053973</v>
      </c>
      <c r="EV765" s="66">
        <f t="shared" ref="EV765:EV767" si="3319">ES765*(1+EV$793)</f>
        <v>4431.1902934995633</v>
      </c>
      <c r="EW765" s="66">
        <f t="shared" ref="EW765:EW767" si="3320">ET765*(1+EW$793)</f>
        <v>4813.6128881389159</v>
      </c>
      <c r="EX765" s="163">
        <f>SUM(EV765:EW765)</f>
        <v>9244.8031816384791</v>
      </c>
      <c r="EY765" s="66">
        <f t="shared" ref="EY765:EY767" si="3321">EV765*(1+EY$793)</f>
        <v>4333.704107042573</v>
      </c>
      <c r="EZ765" s="66">
        <f t="shared" ref="EZ765:EZ767" si="3322">EW765*(1+EZ$793)</f>
        <v>4707.71340459986</v>
      </c>
      <c r="FA765" s="163">
        <f>SUM(EY765:EZ765)</f>
        <v>9041.417511642434</v>
      </c>
      <c r="FH765" s="35"/>
      <c r="FI765" s="35"/>
      <c r="FJ765" s="35"/>
      <c r="FK765" s="35"/>
      <c r="FL765" s="35"/>
      <c r="FM765" s="35"/>
      <c r="FN765" s="35"/>
      <c r="FO765" s="35"/>
      <c r="FP765" s="35"/>
      <c r="FQ765" s="35"/>
    </row>
    <row r="766" spans="1:173" s="321" customFormat="1" hidden="1" outlineLevel="1">
      <c r="A766" s="1174"/>
      <c r="B766" s="177"/>
      <c r="C766" s="186" t="s">
        <v>317</v>
      </c>
      <c r="D766" s="329" t="s">
        <v>98</v>
      </c>
      <c r="E766" s="22"/>
      <c r="F766" s="22"/>
      <c r="G766" s="23"/>
      <c r="H766" s="22"/>
      <c r="I766" s="22"/>
      <c r="J766" s="23"/>
      <c r="K766" s="22"/>
      <c r="L766" s="22"/>
      <c r="M766" s="23"/>
      <c r="N766" s="22"/>
      <c r="O766" s="22"/>
      <c r="P766" s="23"/>
      <c r="Q766" s="22"/>
      <c r="R766" s="22"/>
      <c r="S766" s="23"/>
      <c r="T766" s="22"/>
      <c r="U766" s="22"/>
      <c r="V766" s="23"/>
      <c r="W766" s="22"/>
      <c r="X766" s="22"/>
      <c r="Y766" s="23"/>
      <c r="Z766" s="22"/>
      <c r="AA766" s="22"/>
      <c r="AB766" s="23"/>
      <c r="AC766" s="22"/>
      <c r="AD766" s="22"/>
      <c r="AE766" s="23"/>
      <c r="AF766" s="22"/>
      <c r="AG766" s="22"/>
      <c r="AH766" s="23"/>
      <c r="AI766" s="22"/>
      <c r="AJ766" s="22"/>
      <c r="AK766" s="23"/>
      <c r="AL766" s="22"/>
      <c r="AM766" s="22"/>
      <c r="AN766" s="328"/>
      <c r="AO766" s="22"/>
      <c r="AP766" s="22"/>
      <c r="AQ766" s="328"/>
      <c r="AR766" s="22"/>
      <c r="AS766" s="22"/>
      <c r="AT766" s="328"/>
      <c r="AU766" s="22"/>
      <c r="AV766" s="22"/>
      <c r="AW766" s="328"/>
      <c r="AX766" s="993">
        <f t="shared" ref="AX766:AZ768" si="3323">AX746-AX758</f>
        <v>654.76190476190482</v>
      </c>
      <c r="AY766" s="993">
        <f t="shared" si="3323"/>
        <v>796.21902019641755</v>
      </c>
      <c r="AZ766" s="993">
        <f t="shared" si="3323"/>
        <v>1450.9809249583222</v>
      </c>
      <c r="BA766" s="993">
        <f t="shared" ref="BA766:DL766" si="3324">BA746-BA758</f>
        <v>771.74018093208224</v>
      </c>
      <c r="BB766" s="993">
        <f t="shared" si="3324"/>
        <v>938.46970362668492</v>
      </c>
      <c r="BC766" s="993">
        <f t="shared" si="3324"/>
        <v>1710.209884558767</v>
      </c>
      <c r="BD766" s="993">
        <f t="shared" si="3324"/>
        <v>920.1610161507723</v>
      </c>
      <c r="BE766" s="993">
        <f t="shared" si="3324"/>
        <v>1169.9782628394748</v>
      </c>
      <c r="BF766" s="993">
        <f t="shared" si="3324"/>
        <v>2090.139278990247</v>
      </c>
      <c r="BG766" s="993">
        <f t="shared" si="3324"/>
        <v>945.51084459067465</v>
      </c>
      <c r="BH766" s="993">
        <f t="shared" si="3324"/>
        <v>1107.2990447830368</v>
      </c>
      <c r="BI766" s="993">
        <f t="shared" si="3324"/>
        <v>2052.809889373711</v>
      </c>
      <c r="BJ766" s="993">
        <f t="shared" si="3324"/>
        <v>1018.9099938204824</v>
      </c>
      <c r="BK766" s="993">
        <f t="shared" si="3324"/>
        <v>1193.2576652420532</v>
      </c>
      <c r="BL766" s="993">
        <f t="shared" si="3324"/>
        <v>2212.1676590625357</v>
      </c>
      <c r="BM766" s="993">
        <f t="shared" si="3324"/>
        <v>1088.9930416155344</v>
      </c>
      <c r="BN766" s="993">
        <f t="shared" si="3324"/>
        <v>1346.3306659080401</v>
      </c>
      <c r="BO766" s="993">
        <f t="shared" si="3324"/>
        <v>2435.3237075235747</v>
      </c>
      <c r="BP766" s="993">
        <f t="shared" si="3324"/>
        <v>1353.4306236147145</v>
      </c>
      <c r="BQ766" s="993">
        <f t="shared" si="3324"/>
        <v>1449.2776552267208</v>
      </c>
      <c r="BR766" s="993">
        <f t="shared" si="3324"/>
        <v>2802.7082788414355</v>
      </c>
      <c r="BS766" s="993">
        <f t="shared" si="3324"/>
        <v>1614.4428482014046</v>
      </c>
      <c r="BT766" s="993">
        <f t="shared" si="3324"/>
        <v>1742.9444817758817</v>
      </c>
      <c r="BU766" s="993">
        <f t="shared" si="3324"/>
        <v>3357.3873299772868</v>
      </c>
      <c r="BV766" s="993">
        <f t="shared" si="3324"/>
        <v>1955.5381085897598</v>
      </c>
      <c r="BW766" s="993">
        <f t="shared" si="3324"/>
        <v>2071.4682272112564</v>
      </c>
      <c r="BX766" s="993">
        <f t="shared" si="3324"/>
        <v>4027.0063358010166</v>
      </c>
      <c r="BY766" s="993">
        <f t="shared" si="3324"/>
        <v>2003.7594846811216</v>
      </c>
      <c r="BZ766" s="993">
        <f t="shared" si="3324"/>
        <v>1964.8732926678927</v>
      </c>
      <c r="CA766" s="993">
        <f t="shared" si="3324"/>
        <v>3968.6327773490138</v>
      </c>
      <c r="CB766" s="993">
        <f t="shared" si="3324"/>
        <v>2011.922277114184</v>
      </c>
      <c r="CC766" s="993">
        <f t="shared" si="3324"/>
        <v>2201.1951667159829</v>
      </c>
      <c r="CD766" s="993">
        <f t="shared" si="3324"/>
        <v>4213.1174438301668</v>
      </c>
      <c r="CE766" s="993">
        <f t="shared" si="3324"/>
        <v>2447.1855204365934</v>
      </c>
      <c r="CF766" s="993">
        <f t="shared" si="3324"/>
        <v>2464.8491451876603</v>
      </c>
      <c r="CG766" s="993">
        <f t="shared" si="3324"/>
        <v>4912.0346656242536</v>
      </c>
      <c r="CH766" s="993">
        <f t="shared" si="3324"/>
        <v>2119.3480292663885</v>
      </c>
      <c r="CI766" s="993">
        <f t="shared" si="3324"/>
        <v>2298.0534085349223</v>
      </c>
      <c r="CJ766" s="993">
        <f t="shared" si="3324"/>
        <v>4417.4014378013107</v>
      </c>
      <c r="CK766" s="993">
        <f t="shared" si="3324"/>
        <v>2305.4318566196484</v>
      </c>
      <c r="CL766" s="993">
        <f t="shared" si="3324"/>
        <v>2343.588745994422</v>
      </c>
      <c r="CM766" s="993">
        <f t="shared" si="3324"/>
        <v>4649.0206026140704</v>
      </c>
      <c r="CN766" s="993">
        <f t="shared" si="3324"/>
        <v>2191.4893154353663</v>
      </c>
      <c r="CO766" s="993">
        <f t="shared" si="3324"/>
        <v>2610.3854060073199</v>
      </c>
      <c r="CP766" s="993">
        <f t="shared" si="3324"/>
        <v>4801.8747214426858</v>
      </c>
      <c r="CQ766" s="993">
        <f t="shared" si="3324"/>
        <v>2207.0974103994731</v>
      </c>
      <c r="CR766" s="993">
        <f t="shared" si="3324"/>
        <v>2704.8128110192183</v>
      </c>
      <c r="CS766" s="993">
        <f t="shared" si="3324"/>
        <v>4911.9102214186914</v>
      </c>
      <c r="CT766" s="993">
        <f t="shared" si="3324"/>
        <v>2347.140929162967</v>
      </c>
      <c r="CU766" s="993">
        <f t="shared" si="3324"/>
        <v>2771.8393784884247</v>
      </c>
      <c r="CV766" s="993">
        <f t="shared" si="3324"/>
        <v>5118.9803076513926</v>
      </c>
      <c r="CW766" s="993">
        <f t="shared" si="3324"/>
        <v>2491.5440440356988</v>
      </c>
      <c r="CX766" s="993">
        <f t="shared" si="3324"/>
        <v>2942.3712094523908</v>
      </c>
      <c r="CY766" s="993">
        <f t="shared" si="3324"/>
        <v>5433.9152534880886</v>
      </c>
      <c r="CZ766" s="993">
        <f t="shared" si="3324"/>
        <v>2351.6343276938678</v>
      </c>
      <c r="DA766" s="993">
        <f t="shared" si="3324"/>
        <v>3542.2778386598548</v>
      </c>
      <c r="DB766" s="993">
        <f t="shared" si="3324"/>
        <v>5893.9121663537226</v>
      </c>
      <c r="DC766" s="993">
        <f t="shared" si="3324"/>
        <v>2508.5482961358985</v>
      </c>
      <c r="DD766" s="993">
        <f t="shared" si="3324"/>
        <v>3131.844179965783</v>
      </c>
      <c r="DE766" s="993">
        <f t="shared" si="3324"/>
        <v>5640.3924761016806</v>
      </c>
      <c r="DF766" s="993">
        <f t="shared" si="3324"/>
        <v>2729.6438565312919</v>
      </c>
      <c r="DG766" s="993">
        <f t="shared" si="3324"/>
        <v>2251.8998326199007</v>
      </c>
      <c r="DH766" s="993">
        <f t="shared" si="3324"/>
        <v>4981.5436891511927</v>
      </c>
      <c r="DI766" s="993">
        <f t="shared" si="3324"/>
        <v>2191.4575670090762</v>
      </c>
      <c r="DJ766" s="993">
        <f t="shared" si="3324"/>
        <v>2807.3835044002881</v>
      </c>
      <c r="DK766" s="993">
        <f t="shared" si="3324"/>
        <v>4998.8410714093643</v>
      </c>
      <c r="DL766" s="993">
        <f t="shared" si="3324"/>
        <v>2459.0104614045449</v>
      </c>
      <c r="DM766" s="993">
        <f>DM746-DM758</f>
        <v>2600.1318991860908</v>
      </c>
      <c r="DN766" s="993">
        <f t="shared" si="3307"/>
        <v>5059.1423605906348</v>
      </c>
      <c r="DO766" s="993">
        <f t="shared" si="3307"/>
        <v>2438.3568546773186</v>
      </c>
      <c r="DP766" s="993">
        <f t="shared" si="3307"/>
        <v>2713.4322859292297</v>
      </c>
      <c r="DQ766" s="993">
        <f t="shared" si="3307"/>
        <v>5151.7891406065482</v>
      </c>
      <c r="DR766" s="66">
        <f>DO766*(1+DR$793)</f>
        <v>3060.1378526200347</v>
      </c>
      <c r="DS766" s="66">
        <f t="shared" si="3308"/>
        <v>3405.3575188411828</v>
      </c>
      <c r="DT766" s="163">
        <f>SUM(DR766:DS766)</f>
        <v>6465.4953714612175</v>
      </c>
      <c r="DU766" s="66">
        <f t="shared" si="3309"/>
        <v>2992.814819862394</v>
      </c>
      <c r="DV766" s="66">
        <f t="shared" si="3309"/>
        <v>3330.4396534266766</v>
      </c>
      <c r="DW766" s="163">
        <f>SUM(DU766:DV766)</f>
        <v>6323.254473289071</v>
      </c>
      <c r="DX766" s="66">
        <f t="shared" si="3310"/>
        <v>2926.9728938254211</v>
      </c>
      <c r="DY766" s="66">
        <f t="shared" si="3310"/>
        <v>3257.1699810512896</v>
      </c>
      <c r="DZ766" s="163">
        <f>SUM(DX766:DY766)</f>
        <v>6184.1428748767103</v>
      </c>
      <c r="EA766" s="66">
        <f t="shared" si="3311"/>
        <v>2862.5794901612617</v>
      </c>
      <c r="EB766" s="66">
        <f t="shared" si="3311"/>
        <v>3185.5122414681609</v>
      </c>
      <c r="EC766" s="163">
        <f>SUM(EA766:EB766)</f>
        <v>6048.0917316294226</v>
      </c>
      <c r="ED766" s="66">
        <f t="shared" si="3312"/>
        <v>2799.6027413777138</v>
      </c>
      <c r="EE766" s="66">
        <f t="shared" si="3312"/>
        <v>3115.4309721558611</v>
      </c>
      <c r="EF766" s="163">
        <f>SUM(ED766:EE766)</f>
        <v>5915.0337135335749</v>
      </c>
      <c r="EG766" s="66">
        <f t="shared" si="3313"/>
        <v>2738.011481067404</v>
      </c>
      <c r="EH766" s="66">
        <f t="shared" si="3313"/>
        <v>3046.891490768432</v>
      </c>
      <c r="EI766" s="163">
        <f>SUM(EG766:EH766)</f>
        <v>5784.9029718358361</v>
      </c>
      <c r="EJ766" s="66">
        <f t="shared" si="3314"/>
        <v>2677.7752284839212</v>
      </c>
      <c r="EK766" s="66">
        <f t="shared" si="3314"/>
        <v>2979.8598779715267</v>
      </c>
      <c r="EL766" s="163">
        <f>SUM(EJ766:EK766)</f>
        <v>5657.6351064554474</v>
      </c>
      <c r="EM766" s="66">
        <f t="shared" si="3315"/>
        <v>2618.8641734572748</v>
      </c>
      <c r="EN766" s="66">
        <f t="shared" si="3315"/>
        <v>2914.3029606561531</v>
      </c>
      <c r="EO766" s="163">
        <f>SUM(EM766:EN766)</f>
        <v>5533.1671341134279</v>
      </c>
      <c r="EP766" s="66">
        <f t="shared" si="3316"/>
        <v>2561.2491616412149</v>
      </c>
      <c r="EQ766" s="66">
        <f t="shared" si="3316"/>
        <v>2850.1882955217179</v>
      </c>
      <c r="ER766" s="163">
        <f>SUM(EP766:EQ766)</f>
        <v>5411.4374571629323</v>
      </c>
      <c r="ES766" s="66">
        <f t="shared" si="3317"/>
        <v>2504.9016800851082</v>
      </c>
      <c r="ET766" s="66">
        <f t="shared" si="3318"/>
        <v>2787.4841530202402</v>
      </c>
      <c r="EU766" s="163">
        <f>SUM(ES766:ET766)</f>
        <v>5292.3858331053489</v>
      </c>
      <c r="EV766" s="66">
        <f t="shared" si="3319"/>
        <v>2449.7938431232355</v>
      </c>
      <c r="EW766" s="66">
        <f t="shared" si="3320"/>
        <v>2726.1595016537949</v>
      </c>
      <c r="EX766" s="163">
        <f>SUM(EV766:EW766)</f>
        <v>5175.95334477703</v>
      </c>
      <c r="EY766" s="66">
        <f t="shared" si="3321"/>
        <v>2395.8983785745245</v>
      </c>
      <c r="EZ766" s="66">
        <f t="shared" si="3322"/>
        <v>2666.1839926174111</v>
      </c>
      <c r="FA766" s="163">
        <f>SUM(EY766:EZ766)</f>
        <v>5062.0823711919356</v>
      </c>
      <c r="FH766" s="35"/>
      <c r="FI766" s="35"/>
      <c r="FJ766" s="35"/>
      <c r="FK766" s="35"/>
      <c r="FL766" s="35"/>
      <c r="FM766" s="35"/>
      <c r="FN766" s="35"/>
      <c r="FO766" s="35"/>
      <c r="FP766" s="35"/>
      <c r="FQ766" s="35"/>
    </row>
    <row r="767" spans="1:173" s="321" customFormat="1" hidden="1" outlineLevel="1">
      <c r="A767" s="1174"/>
      <c r="B767" s="177"/>
      <c r="C767" s="186" t="s">
        <v>431</v>
      </c>
      <c r="D767" s="329" t="s">
        <v>98</v>
      </c>
      <c r="E767" s="22"/>
      <c r="F767" s="22"/>
      <c r="G767" s="23"/>
      <c r="H767" s="22"/>
      <c r="I767" s="22"/>
      <c r="J767" s="23"/>
      <c r="K767" s="22"/>
      <c r="L767" s="22"/>
      <c r="M767" s="23"/>
      <c r="N767" s="22"/>
      <c r="O767" s="22"/>
      <c r="P767" s="23"/>
      <c r="Q767" s="22"/>
      <c r="R767" s="22"/>
      <c r="S767" s="23"/>
      <c r="T767" s="22"/>
      <c r="U767" s="22"/>
      <c r="V767" s="23"/>
      <c r="W767" s="22"/>
      <c r="X767" s="22"/>
      <c r="Y767" s="23"/>
      <c r="Z767" s="22"/>
      <c r="AA767" s="22"/>
      <c r="AB767" s="23"/>
      <c r="AC767" s="22"/>
      <c r="AD767" s="22"/>
      <c r="AE767" s="23"/>
      <c r="AF767" s="22"/>
      <c r="AG767" s="22"/>
      <c r="AH767" s="23"/>
      <c r="AI767" s="22"/>
      <c r="AJ767" s="22"/>
      <c r="AK767" s="23"/>
      <c r="AL767" s="22"/>
      <c r="AM767" s="22"/>
      <c r="AN767" s="328"/>
      <c r="AO767" s="22"/>
      <c r="AP767" s="22"/>
      <c r="AQ767" s="328"/>
      <c r="AR767" s="22"/>
      <c r="AS767" s="22"/>
      <c r="AT767" s="328"/>
      <c r="AU767" s="22"/>
      <c r="AV767" s="22"/>
      <c r="AW767" s="328"/>
      <c r="AX767" s="993">
        <f t="shared" si="3323"/>
        <v>264.81481481481484</v>
      </c>
      <c r="AY767" s="993">
        <f t="shared" si="3323"/>
        <v>126.0889102176013</v>
      </c>
      <c r="AZ767" s="993">
        <f t="shared" si="3323"/>
        <v>390.90372503241611</v>
      </c>
      <c r="BA767" s="993">
        <f t="shared" ref="BA767:DL767" si="3325">BA747-BA759</f>
        <v>312.12602873253104</v>
      </c>
      <c r="BB767" s="993">
        <f t="shared" si="3325"/>
        <v>148.61566880596905</v>
      </c>
      <c r="BC767" s="993">
        <f t="shared" si="3325"/>
        <v>460.74169753850009</v>
      </c>
      <c r="BD767" s="993">
        <f t="shared" si="3325"/>
        <v>374.93292560158153</v>
      </c>
      <c r="BE767" s="993">
        <f t="shared" si="3325"/>
        <v>323.00922632621808</v>
      </c>
      <c r="BF767" s="993">
        <f t="shared" si="3325"/>
        <v>697.94215192779961</v>
      </c>
      <c r="BG767" s="993">
        <f t="shared" si="3325"/>
        <v>347.89824696006986</v>
      </c>
      <c r="BH767" s="993">
        <f t="shared" si="3325"/>
        <v>473.89930912843283</v>
      </c>
      <c r="BI767" s="993">
        <f t="shared" si="3325"/>
        <v>821.79755608850269</v>
      </c>
      <c r="BJ767" s="993">
        <f t="shared" si="3325"/>
        <v>409.20014129113906</v>
      </c>
      <c r="BK767" s="993">
        <f t="shared" si="3325"/>
        <v>425.02008930784035</v>
      </c>
      <c r="BL767" s="993">
        <f t="shared" si="3325"/>
        <v>834.22023059897936</v>
      </c>
      <c r="BM767" s="993">
        <f t="shared" si="3325"/>
        <v>412.79841943499747</v>
      </c>
      <c r="BN767" s="993">
        <f t="shared" si="3325"/>
        <v>520.33674667942341</v>
      </c>
      <c r="BO767" s="993">
        <f t="shared" si="3325"/>
        <v>933.13516611442105</v>
      </c>
      <c r="BP767" s="993">
        <f t="shared" si="3325"/>
        <v>513.03727470494005</v>
      </c>
      <c r="BQ767" s="993">
        <f t="shared" si="3325"/>
        <v>534.66403247269636</v>
      </c>
      <c r="BR767" s="993">
        <f t="shared" si="3325"/>
        <v>1047.7013071776364</v>
      </c>
      <c r="BS767" s="993">
        <f t="shared" si="3325"/>
        <v>604.95500424847535</v>
      </c>
      <c r="BT767" s="993">
        <f t="shared" si="3325"/>
        <v>653.45822454531435</v>
      </c>
      <c r="BU767" s="993">
        <f t="shared" si="3325"/>
        <v>1258.4132287937898</v>
      </c>
      <c r="BV767" s="993">
        <f t="shared" si="3325"/>
        <v>627.58060486806244</v>
      </c>
      <c r="BW767" s="993">
        <f t="shared" si="3325"/>
        <v>740.45341550268961</v>
      </c>
      <c r="BX767" s="993">
        <f t="shared" si="3325"/>
        <v>1368.0340203707522</v>
      </c>
      <c r="BY767" s="993">
        <f t="shared" si="3325"/>
        <v>581.81260633629302</v>
      </c>
      <c r="BZ767" s="993">
        <f t="shared" si="3325"/>
        <v>760.15733214030479</v>
      </c>
      <c r="CA767" s="993">
        <f t="shared" si="3325"/>
        <v>1341.9699384765977</v>
      </c>
      <c r="CB767" s="993">
        <f t="shared" si="3325"/>
        <v>618.21282245172279</v>
      </c>
      <c r="CC767" s="993">
        <f t="shared" si="3325"/>
        <v>889.22797798234524</v>
      </c>
      <c r="CD767" s="993">
        <f t="shared" si="3325"/>
        <v>1507.440800434068</v>
      </c>
      <c r="CE767" s="993">
        <f t="shared" si="3325"/>
        <v>751.95820676637072</v>
      </c>
      <c r="CF767" s="993">
        <f t="shared" si="3325"/>
        <v>996.58682213725206</v>
      </c>
      <c r="CG767" s="993">
        <f t="shared" si="3325"/>
        <v>1748.5450289036226</v>
      </c>
      <c r="CH767" s="993">
        <f t="shared" si="3325"/>
        <v>800.77591146931104</v>
      </c>
      <c r="CI767" s="993">
        <f t="shared" si="3325"/>
        <v>929.1480364974359</v>
      </c>
      <c r="CJ767" s="993">
        <f t="shared" si="3325"/>
        <v>1729.9239479667472</v>
      </c>
      <c r="CK767" s="993">
        <f t="shared" si="3325"/>
        <v>1605.3132102620466</v>
      </c>
      <c r="CL767" s="993">
        <f t="shared" si="3325"/>
        <v>1349.1725361683334</v>
      </c>
      <c r="CM767" s="993">
        <f t="shared" si="3325"/>
        <v>2954.4857464303795</v>
      </c>
      <c r="CN767" s="993">
        <f t="shared" si="3325"/>
        <v>850.72351847065693</v>
      </c>
      <c r="CO767" s="993">
        <f t="shared" si="3325"/>
        <v>1243.9421221012085</v>
      </c>
      <c r="CP767" s="993">
        <f t="shared" si="3325"/>
        <v>2094.665640571865</v>
      </c>
      <c r="CQ767" s="993">
        <f t="shared" si="3325"/>
        <v>398.2348214379582</v>
      </c>
      <c r="CR767" s="993">
        <f t="shared" si="3325"/>
        <v>1047.2203218045952</v>
      </c>
      <c r="CS767" s="993">
        <f t="shared" si="3325"/>
        <v>1445.4551432425533</v>
      </c>
      <c r="CT767" s="993">
        <f t="shared" si="3325"/>
        <v>1131.3859292622233</v>
      </c>
      <c r="CU767" s="993">
        <f t="shared" si="3325"/>
        <v>915.1108160825936</v>
      </c>
      <c r="CV767" s="993">
        <f t="shared" si="3325"/>
        <v>2046.4967453448171</v>
      </c>
      <c r="CW767" s="993">
        <f t="shared" si="3325"/>
        <v>970.43773153983466</v>
      </c>
      <c r="CX767" s="993">
        <f t="shared" si="3325"/>
        <v>654.9299853614632</v>
      </c>
      <c r="CY767" s="993">
        <f t="shared" si="3325"/>
        <v>1625.3677169012976</v>
      </c>
      <c r="CZ767" s="993">
        <f t="shared" si="3325"/>
        <v>562.7753726796559</v>
      </c>
      <c r="DA767" s="993">
        <f t="shared" si="3325"/>
        <v>856.73686519490366</v>
      </c>
      <c r="DB767" s="993">
        <f t="shared" si="3325"/>
        <v>1419.5122378745596</v>
      </c>
      <c r="DC767" s="993">
        <f t="shared" si="3325"/>
        <v>665.27887221469564</v>
      </c>
      <c r="DD767" s="993">
        <f t="shared" si="3325"/>
        <v>712.44072174594862</v>
      </c>
      <c r="DE767" s="993">
        <f t="shared" si="3325"/>
        <v>1377.719593960644</v>
      </c>
      <c r="DF767" s="993">
        <f t="shared" si="3325"/>
        <v>790.06077511697504</v>
      </c>
      <c r="DG767" s="993">
        <f t="shared" si="3325"/>
        <v>435.53985288026092</v>
      </c>
      <c r="DH767" s="993">
        <f t="shared" si="3325"/>
        <v>1225.6006279972362</v>
      </c>
      <c r="DI767" s="993">
        <f t="shared" si="3325"/>
        <v>928.9919025877889</v>
      </c>
      <c r="DJ767" s="993">
        <f t="shared" si="3325"/>
        <v>945.5945628887639</v>
      </c>
      <c r="DK767" s="993">
        <f t="shared" si="3325"/>
        <v>1874.5864654765528</v>
      </c>
      <c r="DL767" s="993">
        <f t="shared" si="3325"/>
        <v>934.27536010360973</v>
      </c>
      <c r="DM767" s="993">
        <f>DM747-DM759</f>
        <v>990.0170824006459</v>
      </c>
      <c r="DN767" s="993">
        <f t="shared" si="3307"/>
        <v>1924.2924425042556</v>
      </c>
      <c r="DO767" s="993">
        <f t="shared" si="3307"/>
        <v>1065.6648548694384</v>
      </c>
      <c r="DP767" s="993">
        <f t="shared" si="3307"/>
        <v>1058.5146960483144</v>
      </c>
      <c r="DQ767" s="993">
        <f t="shared" si="3307"/>
        <v>2124.1795509177527</v>
      </c>
      <c r="DR767" s="66">
        <f>DO767*(1+DR$793)</f>
        <v>1337.4093928611451</v>
      </c>
      <c r="DS767" s="66">
        <f t="shared" si="3308"/>
        <v>1328.4359435406345</v>
      </c>
      <c r="DT767" s="163">
        <f>SUM(DR767:DS767)</f>
        <v>2665.8453364017796</v>
      </c>
      <c r="DU767" s="66">
        <f t="shared" si="3309"/>
        <v>1307.9863862181999</v>
      </c>
      <c r="DV767" s="66">
        <f t="shared" si="3309"/>
        <v>1299.2103527827405</v>
      </c>
      <c r="DW767" s="163">
        <f>SUM(DU767:DV767)</f>
        <v>2607.1967390009404</v>
      </c>
      <c r="DX767" s="66">
        <f t="shared" si="3310"/>
        <v>1279.2106857213994</v>
      </c>
      <c r="DY767" s="66">
        <f t="shared" si="3310"/>
        <v>1270.6277250215203</v>
      </c>
      <c r="DZ767" s="163">
        <f>SUM(DX767:DY767)</f>
        <v>2549.8384107429197</v>
      </c>
      <c r="EA767" s="66">
        <f t="shared" si="3311"/>
        <v>1251.0680506355286</v>
      </c>
      <c r="EB767" s="66">
        <f t="shared" si="3311"/>
        <v>1242.6739150710468</v>
      </c>
      <c r="EC767" s="163">
        <f>SUM(EA767:EB767)</f>
        <v>2493.7419657065757</v>
      </c>
      <c r="ED767" s="66">
        <f t="shared" si="3312"/>
        <v>1223.544553521547</v>
      </c>
      <c r="EE767" s="66">
        <f t="shared" si="3312"/>
        <v>1215.3350889394837</v>
      </c>
      <c r="EF767" s="163">
        <f>SUM(ED767:EE767)</f>
        <v>2438.8796424610309</v>
      </c>
      <c r="EG767" s="66">
        <f t="shared" si="3313"/>
        <v>1196.626573344073</v>
      </c>
      <c r="EH767" s="66">
        <f t="shared" si="3313"/>
        <v>1188.597716982815</v>
      </c>
      <c r="EI767" s="163">
        <f>SUM(EG767:EH767)</f>
        <v>2385.224290326888</v>
      </c>
      <c r="EJ767" s="66">
        <f t="shared" si="3314"/>
        <v>1170.3007887305034</v>
      </c>
      <c r="EK767" s="66">
        <f t="shared" si="3314"/>
        <v>1162.448567209193</v>
      </c>
      <c r="EL767" s="163">
        <f>SUM(EJ767:EK767)</f>
        <v>2332.7493559396962</v>
      </c>
      <c r="EM767" s="66">
        <f t="shared" si="3315"/>
        <v>1144.5541713784323</v>
      </c>
      <c r="EN767" s="66">
        <f t="shared" si="3315"/>
        <v>1136.8746987305908</v>
      </c>
      <c r="EO767" s="163">
        <f>SUM(EM767:EN767)</f>
        <v>2281.4288701090231</v>
      </c>
      <c r="EP767" s="66">
        <f t="shared" si="3316"/>
        <v>1119.3739796081068</v>
      </c>
      <c r="EQ767" s="66">
        <f t="shared" si="3316"/>
        <v>1111.8634553585177</v>
      </c>
      <c r="ER767" s="163">
        <f>SUM(EP767:EQ767)</f>
        <v>2231.2374349666243</v>
      </c>
      <c r="ES767" s="66">
        <f t="shared" si="3317"/>
        <v>1094.7477520567284</v>
      </c>
      <c r="ET767" s="66">
        <f t="shared" si="3318"/>
        <v>1087.4024593406302</v>
      </c>
      <c r="EU767" s="163">
        <f>SUM(ES767:ET767)</f>
        <v>2182.1502113973584</v>
      </c>
      <c r="EV767" s="66">
        <f t="shared" si="3319"/>
        <v>1070.6633015114803</v>
      </c>
      <c r="EW767" s="66">
        <f t="shared" si="3320"/>
        <v>1063.4796052351364</v>
      </c>
      <c r="EX767" s="163">
        <f>SUM(EV767:EW767)</f>
        <v>2134.142906746617</v>
      </c>
      <c r="EY767" s="66">
        <f t="shared" si="3321"/>
        <v>1047.1087088782276</v>
      </c>
      <c r="EZ767" s="66">
        <f t="shared" si="3322"/>
        <v>1040.0830539199635</v>
      </c>
      <c r="FA767" s="163">
        <f>SUM(EY767:EZ767)</f>
        <v>2087.1917627981911</v>
      </c>
      <c r="FH767" s="35"/>
      <c r="FI767" s="35"/>
      <c r="FJ767" s="35"/>
      <c r="FK767" s="35"/>
      <c r="FL767" s="35"/>
      <c r="FM767" s="35"/>
      <c r="FN767" s="35"/>
      <c r="FO767" s="35"/>
      <c r="FP767" s="35"/>
      <c r="FQ767" s="35"/>
    </row>
    <row r="768" spans="1:173" s="321" customFormat="1" hidden="1" outlineLevel="1">
      <c r="A768" s="1174"/>
      <c r="B768" s="177"/>
      <c r="C768" s="186" t="s">
        <v>327</v>
      </c>
      <c r="D768" s="329" t="s">
        <v>98</v>
      </c>
      <c r="E768" s="22"/>
      <c r="F768" s="22"/>
      <c r="G768" s="23"/>
      <c r="H768" s="22"/>
      <c r="I768" s="22"/>
      <c r="J768" s="23"/>
      <c r="K768" s="22"/>
      <c r="L768" s="22"/>
      <c r="M768" s="23"/>
      <c r="N768" s="22"/>
      <c r="O768" s="22"/>
      <c r="P768" s="23"/>
      <c r="Q768" s="22"/>
      <c r="R768" s="22"/>
      <c r="S768" s="23"/>
      <c r="T768" s="22"/>
      <c r="U768" s="22"/>
      <c r="V768" s="23"/>
      <c r="W768" s="22"/>
      <c r="X768" s="22"/>
      <c r="Y768" s="23"/>
      <c r="Z768" s="22"/>
      <c r="AA768" s="22"/>
      <c r="AB768" s="23"/>
      <c r="AC768" s="22"/>
      <c r="AD768" s="22"/>
      <c r="AE768" s="23"/>
      <c r="AF768" s="22"/>
      <c r="AG768" s="22"/>
      <c r="AH768" s="23"/>
      <c r="AI768" s="22"/>
      <c r="AJ768" s="22"/>
      <c r="AK768" s="23"/>
      <c r="AL768" s="22"/>
      <c r="AM768" s="22"/>
      <c r="AN768" s="328"/>
      <c r="AO768" s="22"/>
      <c r="AP768" s="22"/>
      <c r="AQ768" s="328"/>
      <c r="AR768" s="22"/>
      <c r="AS768" s="22"/>
      <c r="AT768" s="328"/>
      <c r="AU768" s="22"/>
      <c r="AV768" s="22"/>
      <c r="AW768" s="328"/>
      <c r="AX768" s="993">
        <f t="shared" si="3323"/>
        <v>1891.798941798942</v>
      </c>
      <c r="AY768" s="993">
        <f t="shared" si="3323"/>
        <v>2172.3079304140188</v>
      </c>
      <c r="AZ768" s="993">
        <f t="shared" si="3323"/>
        <v>4064.1068722129608</v>
      </c>
      <c r="BA768" s="993">
        <f t="shared" ref="BA768:DL768" si="3326">BA748-BA760</f>
        <v>2229.783448018311</v>
      </c>
      <c r="BB768" s="993">
        <f t="shared" si="3326"/>
        <v>2560.4075360302654</v>
      </c>
      <c r="BC768" s="993">
        <f t="shared" si="3326"/>
        <v>4790.190984048576</v>
      </c>
      <c r="BD768" s="993">
        <f t="shared" si="3326"/>
        <v>2588.6125350778102</v>
      </c>
      <c r="BE768" s="993">
        <f t="shared" si="3326"/>
        <v>3086.6214403547492</v>
      </c>
      <c r="BF768" s="993">
        <f t="shared" si="3326"/>
        <v>5675.2339754325594</v>
      </c>
      <c r="BG768" s="993">
        <f t="shared" si="3326"/>
        <v>2826.8450355574432</v>
      </c>
      <c r="BH768" s="993">
        <f t="shared" si="3326"/>
        <v>3240.5749015205438</v>
      </c>
      <c r="BI768" s="993">
        <f t="shared" si="3326"/>
        <v>6067.419937077987</v>
      </c>
      <c r="BJ768" s="993">
        <f t="shared" si="3326"/>
        <v>2850.7289424144847</v>
      </c>
      <c r="BK768" s="993">
        <f t="shared" si="3326"/>
        <v>3469.353501472001</v>
      </c>
      <c r="BL768" s="993">
        <f t="shared" si="3326"/>
        <v>6320.0824438864847</v>
      </c>
      <c r="BM768" s="993">
        <f t="shared" si="3326"/>
        <v>3405.7170261936017</v>
      </c>
      <c r="BN768" s="993">
        <f t="shared" si="3326"/>
        <v>3894.1656554168767</v>
      </c>
      <c r="BO768" s="993">
        <f t="shared" si="3326"/>
        <v>7299.8826816104774</v>
      </c>
      <c r="BP768" s="993">
        <f t="shared" si="3326"/>
        <v>4344.5105642131975</v>
      </c>
      <c r="BQ768" s="993">
        <f t="shared" si="3326"/>
        <v>4216.0752735667547</v>
      </c>
      <c r="BR768" s="993">
        <f t="shared" si="3326"/>
        <v>8560.5858377799523</v>
      </c>
      <c r="BS768" s="993">
        <f t="shared" si="3326"/>
        <v>5175.3367751298601</v>
      </c>
      <c r="BT768" s="993">
        <f t="shared" si="3326"/>
        <v>5179.6113582003518</v>
      </c>
      <c r="BU768" s="993">
        <f t="shared" si="3326"/>
        <v>10354.94813333021</v>
      </c>
      <c r="BV768" s="993">
        <f t="shared" si="3326"/>
        <v>5701.5855847501953</v>
      </c>
      <c r="BW768" s="993">
        <f t="shared" si="3326"/>
        <v>5832.44186595879</v>
      </c>
      <c r="BX768" s="993">
        <f t="shared" si="3326"/>
        <v>11534.027450708983</v>
      </c>
      <c r="BY768" s="993">
        <f t="shared" si="3326"/>
        <v>5708.6607493439587</v>
      </c>
      <c r="BZ768" s="993">
        <f t="shared" si="3326"/>
        <v>5761.0810529279897</v>
      </c>
      <c r="CA768" s="993">
        <f t="shared" si="3326"/>
        <v>11469.741802271948</v>
      </c>
      <c r="CB768" s="993">
        <f t="shared" si="3326"/>
        <v>5955.0084262426717</v>
      </c>
      <c r="CC768" s="993">
        <f t="shared" si="3326"/>
        <v>6730.7675718699829</v>
      </c>
      <c r="CD768" s="993">
        <f t="shared" si="3326"/>
        <v>12685.775998112655</v>
      </c>
      <c r="CE768" s="993">
        <f t="shared" si="3326"/>
        <v>6922.2625587526709</v>
      </c>
      <c r="CF768" s="993">
        <f t="shared" si="3326"/>
        <v>7537.8122856000464</v>
      </c>
      <c r="CG768" s="993">
        <f t="shared" si="3326"/>
        <v>14460.074844352719</v>
      </c>
      <c r="CH768" s="993">
        <f t="shared" si="3326"/>
        <v>6077.7229274136425</v>
      </c>
      <c r="CI768" s="993">
        <f t="shared" si="3326"/>
        <v>7027.7303784044652</v>
      </c>
      <c r="CJ768" s="993">
        <f t="shared" si="3326"/>
        <v>13105.453305818104</v>
      </c>
      <c r="CK768" s="993">
        <f t="shared" si="3326"/>
        <v>7271.9339699957618</v>
      </c>
      <c r="CL768" s="993">
        <f t="shared" si="3326"/>
        <v>6979.1176475990196</v>
      </c>
      <c r="CM768" s="993">
        <f t="shared" si="3326"/>
        <v>14251.051617594781</v>
      </c>
      <c r="CN768" s="993">
        <f t="shared" si="3326"/>
        <v>6237.2799737931437</v>
      </c>
      <c r="CO768" s="993">
        <f t="shared" si="3326"/>
        <v>7514.8062319495548</v>
      </c>
      <c r="CP768" s="993">
        <f t="shared" si="3326"/>
        <v>13752.0862057427</v>
      </c>
      <c r="CQ768" s="993">
        <f t="shared" si="3326"/>
        <v>6225.3829461770692</v>
      </c>
      <c r="CR768" s="993">
        <f t="shared" si="3326"/>
        <v>7828.505748098296</v>
      </c>
      <c r="CS768" s="993">
        <f t="shared" si="3326"/>
        <v>14053.888694275367</v>
      </c>
      <c r="CT768" s="993">
        <f t="shared" si="3326"/>
        <v>7328.2750196240795</v>
      </c>
      <c r="CU768" s="993">
        <f t="shared" si="3326"/>
        <v>7745.3940051263035</v>
      </c>
      <c r="CV768" s="993">
        <f t="shared" si="3326"/>
        <v>15073.669024750383</v>
      </c>
      <c r="CW768" s="993">
        <f t="shared" si="3326"/>
        <v>7900.4814572583346</v>
      </c>
      <c r="CX768" s="993">
        <f t="shared" si="3326"/>
        <v>8029.7207513887006</v>
      </c>
      <c r="CY768" s="993">
        <f t="shared" si="3326"/>
        <v>15930.202208647039</v>
      </c>
      <c r="CZ768" s="993">
        <f t="shared" si="3326"/>
        <v>7666.1507036999101</v>
      </c>
      <c r="DA768" s="993">
        <f t="shared" si="3326"/>
        <v>9052.1159992833527</v>
      </c>
      <c r="DB768" s="993">
        <f t="shared" si="3326"/>
        <v>16718.266702983266</v>
      </c>
      <c r="DC768" s="993">
        <f t="shared" si="3326"/>
        <v>7648.9868224642705</v>
      </c>
      <c r="DD768" s="993">
        <f t="shared" si="3326"/>
        <v>7824.0937245681198</v>
      </c>
      <c r="DE768" s="993">
        <f t="shared" si="3326"/>
        <v>15473.08054703239</v>
      </c>
      <c r="DF768" s="993">
        <f t="shared" si="3326"/>
        <v>8239.1273388029294</v>
      </c>
      <c r="DG768" s="993">
        <f t="shared" si="3326"/>
        <v>5549.0542190008073</v>
      </c>
      <c r="DH768" s="993">
        <f t="shared" si="3326"/>
        <v>13788.181557803742</v>
      </c>
      <c r="DI768" s="993">
        <f t="shared" si="3326"/>
        <v>7163.1783244489779</v>
      </c>
      <c r="DJ768" s="993">
        <f t="shared" si="3326"/>
        <v>7835.0934247226942</v>
      </c>
      <c r="DK768" s="993">
        <f t="shared" si="3326"/>
        <v>14998.271749171676</v>
      </c>
      <c r="DL768" s="993">
        <f t="shared" si="3326"/>
        <v>7278.4308950011073</v>
      </c>
      <c r="DM768" s="993">
        <f>DM748-DM760</f>
        <v>7659.4103717482176</v>
      </c>
      <c r="DN768" s="993">
        <f t="shared" si="3307"/>
        <v>14937.841266749325</v>
      </c>
      <c r="DO768" s="993">
        <f t="shared" si="3307"/>
        <v>7914.5247634523948</v>
      </c>
      <c r="DP768" s="993">
        <f t="shared" si="3307"/>
        <v>8563.0872709876385</v>
      </c>
      <c r="DQ768" s="993">
        <f t="shared" si="3307"/>
        <v>16477.612034440026</v>
      </c>
      <c r="DR768" s="66">
        <f>SUM(DR765:DR767)</f>
        <v>9932.7285781327537</v>
      </c>
      <c r="DS768" s="66">
        <f>SUM(DS765:DS767)</f>
        <v>10746.674525089486</v>
      </c>
      <c r="DT768" s="163">
        <f>SUM(DR768:DS768)</f>
        <v>20679.403103222241</v>
      </c>
      <c r="DU768" s="66">
        <f>SUM(DU765:DU767)</f>
        <v>9714.2085494138337</v>
      </c>
      <c r="DV768" s="66">
        <f>SUM(DV765:DV767)</f>
        <v>10510.247685537517</v>
      </c>
      <c r="DW768" s="163">
        <f>SUM(DU768:DV768)</f>
        <v>20224.456234951351</v>
      </c>
      <c r="DX768" s="66">
        <f>SUM(DX765:DX767)</f>
        <v>9500.4959613267274</v>
      </c>
      <c r="DY768" s="66">
        <f>SUM(DY765:DY767)</f>
        <v>10279.022236455692</v>
      </c>
      <c r="DZ768" s="163">
        <f>SUM(DX768:DY768)</f>
        <v>19779.518197782418</v>
      </c>
      <c r="EA768" s="66">
        <f>SUM(EA765:EA767)</f>
        <v>9291.48505017754</v>
      </c>
      <c r="EB768" s="66">
        <f>SUM(EB765:EB767)</f>
        <v>10052.883747253667</v>
      </c>
      <c r="EC768" s="163">
        <f>SUM(EA768:EB768)</f>
        <v>19344.368797431205</v>
      </c>
      <c r="ED768" s="66">
        <f>SUM(ED765:ED767)</f>
        <v>9087.0723790736338</v>
      </c>
      <c r="EE768" s="66">
        <f>SUM(EE765:EE767)</f>
        <v>9831.7203048140855</v>
      </c>
      <c r="EF768" s="163">
        <f>SUM(ED768:EE768)</f>
        <v>18918.792683887717</v>
      </c>
      <c r="EG768" s="66">
        <f>SUM(EG765:EG767)</f>
        <v>8887.1567867340145</v>
      </c>
      <c r="EH768" s="66">
        <f>SUM(EH765:EH767)</f>
        <v>9615.4224581081744</v>
      </c>
      <c r="EI768" s="163">
        <f>SUM(EG768:EH768)</f>
        <v>18502.579244842189</v>
      </c>
      <c r="EJ768" s="66">
        <f>SUM(EJ765:EJ767)</f>
        <v>8691.639337425866</v>
      </c>
      <c r="EK768" s="66">
        <f>SUM(EK765:EK767)</f>
        <v>9403.883164029794</v>
      </c>
      <c r="EL768" s="163">
        <f>SUM(EJ768:EK768)</f>
        <v>18095.52250145566</v>
      </c>
      <c r="EM768" s="66">
        <f>SUM(EM765:EM767)</f>
        <v>8500.4232720024957</v>
      </c>
      <c r="EN768" s="66">
        <f>SUM(EN765:EN767)</f>
        <v>9196.9977344211384</v>
      </c>
      <c r="EO768" s="163">
        <f>SUM(EM768:EN768)</f>
        <v>17697.421006423632</v>
      </c>
      <c r="EP768" s="66">
        <f>SUM(EP765:EP767)</f>
        <v>8313.4139600184408</v>
      </c>
      <c r="EQ768" s="66">
        <f>SUM(EQ765:EQ767)</f>
        <v>8994.6637842638738</v>
      </c>
      <c r="ER768" s="163">
        <f>SUM(EP768:EQ768)</f>
        <v>17308.077744282316</v>
      </c>
      <c r="ES768" s="66">
        <f>SUM(ES765:ES767)</f>
        <v>8130.5188528980361</v>
      </c>
      <c r="ET768" s="66">
        <f>SUM(ET765:ET767)</f>
        <v>8796.7811810100684</v>
      </c>
      <c r="EU768" s="163">
        <f>SUM(ES768:ET768)</f>
        <v>16927.300033908105</v>
      </c>
      <c r="EV768" s="66">
        <f>SUM(EV765:EV767)</f>
        <v>7951.6474381342796</v>
      </c>
      <c r="EW768" s="66">
        <f>SUM(EW765:EW767)</f>
        <v>8603.2519950278474</v>
      </c>
      <c r="EX768" s="163">
        <f>SUM(EV768:EW768)</f>
        <v>16554.899433162129</v>
      </c>
      <c r="EY768" s="66">
        <f>SUM(EY765:EY767)</f>
        <v>7776.7111944953249</v>
      </c>
      <c r="EZ768" s="66">
        <f>SUM(EZ765:EZ767)</f>
        <v>8413.9804511372349</v>
      </c>
      <c r="FA768" s="163">
        <f>SUM(EY768:EZ768)</f>
        <v>16190.69164563256</v>
      </c>
      <c r="FH768" s="35"/>
      <c r="FI768" s="35"/>
      <c r="FJ768" s="35"/>
      <c r="FK768" s="35"/>
      <c r="FL768" s="35"/>
      <c r="FM768" s="35"/>
      <c r="FN768" s="35"/>
      <c r="FO768" s="35"/>
      <c r="FP768" s="35"/>
      <c r="FQ768" s="35"/>
    </row>
    <row r="769" spans="1:173" s="321" customFormat="1" hidden="1" outlineLevel="1">
      <c r="A769" s="1174"/>
      <c r="B769" s="177"/>
      <c r="C769" s="321" t="s">
        <v>1001</v>
      </c>
      <c r="D769" s="329" t="s">
        <v>460</v>
      </c>
      <c r="E769" s="22"/>
      <c r="F769" s="22"/>
      <c r="G769" s="23"/>
      <c r="H769" s="22"/>
      <c r="I769" s="22"/>
      <c r="J769" s="23"/>
      <c r="K769" s="22"/>
      <c r="L769" s="22"/>
      <c r="M769" s="23"/>
      <c r="N769" s="22"/>
      <c r="O769" s="22"/>
      <c r="P769" s="23"/>
      <c r="Q769" s="22"/>
      <c r="R769" s="22"/>
      <c r="S769" s="23"/>
      <c r="T769" s="22"/>
      <c r="U769" s="22"/>
      <c r="V769" s="23"/>
      <c r="W769" s="22"/>
      <c r="X769" s="22"/>
      <c r="Y769" s="23"/>
      <c r="Z769" s="22"/>
      <c r="AA769" s="22"/>
      <c r="AB769" s="23"/>
      <c r="AC769" s="22"/>
      <c r="AD769" s="22"/>
      <c r="AE769" s="23"/>
      <c r="AF769" s="22"/>
      <c r="AG769" s="22"/>
      <c r="AH769" s="23"/>
      <c r="AI769" s="22"/>
      <c r="AJ769" s="22"/>
      <c r="AK769" s="23"/>
      <c r="AL769" s="22"/>
      <c r="AM769" s="22"/>
      <c r="AN769" s="328"/>
      <c r="AO769" s="22"/>
      <c r="AP769" s="22"/>
      <c r="AQ769" s="328"/>
      <c r="AR769" s="22"/>
      <c r="AS769" s="22"/>
      <c r="AT769" s="328"/>
      <c r="AU769" s="22"/>
      <c r="AV769" s="22"/>
      <c r="AW769" s="328"/>
      <c r="AX769" s="173">
        <f>AZ769</f>
        <v>0.5</v>
      </c>
      <c r="AY769" s="173">
        <f>AZ769</f>
        <v>0.5</v>
      </c>
      <c r="AZ769" s="173">
        <f t="shared" ref="AZ769:CE769" si="3327">1-AZ761</f>
        <v>0.5</v>
      </c>
      <c r="BA769" s="173">
        <f t="shared" si="3327"/>
        <v>0.49110738786587049</v>
      </c>
      <c r="BB769" s="173">
        <f t="shared" si="3327"/>
        <v>0.49110738786587049</v>
      </c>
      <c r="BC769" s="173">
        <f t="shared" si="3327"/>
        <v>0.49110738786587049</v>
      </c>
      <c r="BD769" s="173">
        <f t="shared" si="3327"/>
        <v>0.48205661863060489</v>
      </c>
      <c r="BE769" s="173">
        <f t="shared" si="3327"/>
        <v>0.48205661863060489</v>
      </c>
      <c r="BF769" s="173">
        <f t="shared" si="3327"/>
        <v>0.48205661863060489</v>
      </c>
      <c r="BG769" s="173">
        <f t="shared" si="3327"/>
        <v>0.47284487943468978</v>
      </c>
      <c r="BH769" s="173">
        <f t="shared" si="3327"/>
        <v>0.47284487943468978</v>
      </c>
      <c r="BI769" s="173">
        <f t="shared" si="3327"/>
        <v>0.47284487943468978</v>
      </c>
      <c r="BJ769" s="173">
        <f t="shared" si="3327"/>
        <v>0.46346930739127457</v>
      </c>
      <c r="BK769" s="173">
        <f t="shared" si="3327"/>
        <v>0.46346930739127457</v>
      </c>
      <c r="BL769" s="173">
        <f t="shared" si="3327"/>
        <v>0.46346930739127457</v>
      </c>
      <c r="BM769" s="173">
        <f t="shared" si="3327"/>
        <v>0.45392698869642401</v>
      </c>
      <c r="BN769" s="173">
        <f t="shared" si="3327"/>
        <v>0.45392698869642401</v>
      </c>
      <c r="BO769" s="173">
        <f t="shared" si="3327"/>
        <v>0.45392698869642401</v>
      </c>
      <c r="BP769" s="173">
        <f t="shared" si="3327"/>
        <v>0.44421495772354636</v>
      </c>
      <c r="BQ769" s="173">
        <f t="shared" si="3327"/>
        <v>0.44421495772354636</v>
      </c>
      <c r="BR769" s="173">
        <f t="shared" si="3327"/>
        <v>0.44421495772354636</v>
      </c>
      <c r="BS769" s="173">
        <f t="shared" si="3327"/>
        <v>0.43433019610171586</v>
      </c>
      <c r="BT769" s="173">
        <f t="shared" si="3327"/>
        <v>0.43433019610171586</v>
      </c>
      <c r="BU769" s="173">
        <f t="shared" si="3327"/>
        <v>0.43433019610171586</v>
      </c>
      <c r="BV769" s="173">
        <f t="shared" si="3327"/>
        <v>0.4242696317776028</v>
      </c>
      <c r="BW769" s="173">
        <f t="shared" si="3327"/>
        <v>0.4242696317776028</v>
      </c>
      <c r="BX769" s="173">
        <f t="shared" si="3327"/>
        <v>0.4242696317776028</v>
      </c>
      <c r="BY769" s="173">
        <f t="shared" si="3327"/>
        <v>0.41403013806072009</v>
      </c>
      <c r="BZ769" s="173">
        <f t="shared" si="3327"/>
        <v>0.41403013806072009</v>
      </c>
      <c r="CA769" s="173">
        <f t="shared" si="3327"/>
        <v>0.41403013806072009</v>
      </c>
      <c r="CB769" s="173">
        <f t="shared" si="3327"/>
        <v>0.40360853265168917</v>
      </c>
      <c r="CC769" s="173">
        <f t="shared" si="3327"/>
        <v>0.40360853265168917</v>
      </c>
      <c r="CD769" s="173">
        <f t="shared" si="3327"/>
        <v>0.40360853265168917</v>
      </c>
      <c r="CE769" s="173">
        <f t="shared" si="3327"/>
        <v>0.39300157665322344</v>
      </c>
      <c r="CF769" s="173">
        <f t="shared" ref="CF769:DK769" si="3328">1-CF761</f>
        <v>0.39300157665322344</v>
      </c>
      <c r="CG769" s="173">
        <f t="shared" si="3328"/>
        <v>0.39300157665322344</v>
      </c>
      <c r="CH769" s="173">
        <f t="shared" si="3328"/>
        <v>0.38220597356352137</v>
      </c>
      <c r="CI769" s="173">
        <f t="shared" si="3328"/>
        <v>0.38220597356352137</v>
      </c>
      <c r="CJ769" s="173">
        <f t="shared" si="3328"/>
        <v>0.38220597356352137</v>
      </c>
      <c r="CK769" s="173">
        <f t="shared" si="3328"/>
        <v>0.37121836825175791</v>
      </c>
      <c r="CL769" s="173">
        <f t="shared" si="3328"/>
        <v>0.37121836825175791</v>
      </c>
      <c r="CM769" s="173">
        <f t="shared" si="3328"/>
        <v>0.37121836825175791</v>
      </c>
      <c r="CN769" s="173">
        <f t="shared" si="3328"/>
        <v>0.36003534591535358</v>
      </c>
      <c r="CO769" s="173">
        <f t="shared" si="3328"/>
        <v>0.36003534591535358</v>
      </c>
      <c r="CP769" s="173">
        <f t="shared" si="3328"/>
        <v>0.36003534591535358</v>
      </c>
      <c r="CQ769" s="173">
        <f t="shared" si="3328"/>
        <v>0.34865343101869939</v>
      </c>
      <c r="CR769" s="173">
        <f t="shared" si="3328"/>
        <v>0.34865343101869939</v>
      </c>
      <c r="CS769" s="173">
        <f t="shared" si="3328"/>
        <v>0.34865343101869939</v>
      </c>
      <c r="CT769" s="173">
        <f t="shared" si="3328"/>
        <v>0.33706908621300591</v>
      </c>
      <c r="CU769" s="173">
        <f t="shared" si="3328"/>
        <v>0.33706908621300591</v>
      </c>
      <c r="CV769" s="173">
        <f t="shared" si="3328"/>
        <v>0.33706908621300591</v>
      </c>
      <c r="CW769" s="173">
        <f t="shared" si="3328"/>
        <v>0.3252787112369423</v>
      </c>
      <c r="CX769" s="173">
        <f t="shared" si="3328"/>
        <v>0.3252787112369423</v>
      </c>
      <c r="CY769" s="173">
        <f t="shared" si="3328"/>
        <v>0.3252787112369423</v>
      </c>
      <c r="CZ769" s="173">
        <f t="shared" si="3328"/>
        <v>0.31327864179772258</v>
      </c>
      <c r="DA769" s="173">
        <f t="shared" si="3328"/>
        <v>0.31327864179772258</v>
      </c>
      <c r="DB769" s="173">
        <f t="shared" si="3328"/>
        <v>0.31327864179772258</v>
      </c>
      <c r="DC769" s="173">
        <f t="shared" si="3328"/>
        <v>0.3010651484322916</v>
      </c>
      <c r="DD769" s="173">
        <f t="shared" si="3328"/>
        <v>0.3010651484322916</v>
      </c>
      <c r="DE769" s="173">
        <f t="shared" si="3328"/>
        <v>0.3010651484322916</v>
      </c>
      <c r="DF769" s="173">
        <f t="shared" si="3328"/>
        <v>0.28863443534825761</v>
      </c>
      <c r="DG769" s="173">
        <f t="shared" si="3328"/>
        <v>0.28863443534825761</v>
      </c>
      <c r="DH769" s="173">
        <f t="shared" si="3328"/>
        <v>0.28863443534825761</v>
      </c>
      <c r="DI769" s="173">
        <f t="shared" si="3328"/>
        <v>0.27598263924420963</v>
      </c>
      <c r="DJ769" s="173">
        <f t="shared" si="3328"/>
        <v>0.27598263924420963</v>
      </c>
      <c r="DK769" s="173">
        <f t="shared" si="3328"/>
        <v>0.27598263924420963</v>
      </c>
      <c r="DL769" s="173">
        <f t="shared" ref="DL769:DQ769" si="3329">1-DL761</f>
        <v>0.26310582810905492</v>
      </c>
      <c r="DM769" s="173">
        <f t="shared" si="3329"/>
        <v>0.26310582810905492</v>
      </c>
      <c r="DN769" s="173">
        <f t="shared" si="3329"/>
        <v>0.26310582810905492</v>
      </c>
      <c r="DO769" s="173">
        <f t="shared" si="3329"/>
        <v>0.25</v>
      </c>
      <c r="DP769" s="173">
        <f t="shared" si="3329"/>
        <v>0.25</v>
      </c>
      <c r="DQ769" s="173">
        <f t="shared" si="3329"/>
        <v>0.25</v>
      </c>
      <c r="DR769" s="160">
        <f t="shared" ref="DR769:ER769" si="3330">DR768/DR773</f>
        <v>0.27552140504939626</v>
      </c>
      <c r="DS769" s="160">
        <f t="shared" si="3330"/>
        <v>0.27552140504939626</v>
      </c>
      <c r="DT769" s="173">
        <f t="shared" si="3330"/>
        <v>0.27552140504939626</v>
      </c>
      <c r="DU769" s="160">
        <f t="shared" si="3330"/>
        <v>0.25268508396484529</v>
      </c>
      <c r="DV769" s="160">
        <f t="shared" si="3330"/>
        <v>0.25268508396484535</v>
      </c>
      <c r="DW769" s="173">
        <f t="shared" si="3330"/>
        <v>0.25268508396484529</v>
      </c>
      <c r="DX769" s="160">
        <f t="shared" si="3330"/>
        <v>0.23113766082176854</v>
      </c>
      <c r="DY769" s="160">
        <f t="shared" si="3330"/>
        <v>0.23113766082176859</v>
      </c>
      <c r="DZ769" s="173">
        <f t="shared" si="3330"/>
        <v>0.23113766082176854</v>
      </c>
      <c r="EA769" s="160">
        <f t="shared" si="3330"/>
        <v>0.21090910436473909</v>
      </c>
      <c r="EB769" s="160">
        <f t="shared" si="3330"/>
        <v>0.21090910436473914</v>
      </c>
      <c r="EC769" s="173">
        <f t="shared" si="3330"/>
        <v>0.21090910436473911</v>
      </c>
      <c r="ED769" s="160">
        <f t="shared" si="3330"/>
        <v>0.19200878637340379</v>
      </c>
      <c r="EE769" s="160">
        <f t="shared" si="3330"/>
        <v>0.19200878637340379</v>
      </c>
      <c r="EF769" s="173">
        <f t="shared" si="3330"/>
        <v>0.19200878637340379</v>
      </c>
      <c r="EG769" s="160">
        <f t="shared" si="3330"/>
        <v>0.17442779706114131</v>
      </c>
      <c r="EH769" s="160">
        <f t="shared" si="3330"/>
        <v>0.17442779706114131</v>
      </c>
      <c r="EI769" s="173">
        <f t="shared" si="3330"/>
        <v>0.17442779706114131</v>
      </c>
      <c r="EJ769" s="160">
        <f t="shared" si="3330"/>
        <v>0.15814151565652845</v>
      </c>
      <c r="EK769" s="160">
        <f t="shared" si="3330"/>
        <v>0.15814151565652848</v>
      </c>
      <c r="EL769" s="173">
        <f t="shared" si="3330"/>
        <v>0.15814151565652845</v>
      </c>
      <c r="EM769" s="160">
        <f t="shared" si="3330"/>
        <v>0.14311227763304216</v>
      </c>
      <c r="EN769" s="160">
        <f t="shared" si="3330"/>
        <v>0.14311227763304218</v>
      </c>
      <c r="EO769" s="173">
        <f t="shared" si="3330"/>
        <v>0.14311227763304216</v>
      </c>
      <c r="EP769" s="160">
        <f t="shared" si="3330"/>
        <v>0.12929200626515466</v>
      </c>
      <c r="EQ769" s="160">
        <f t="shared" si="3330"/>
        <v>0.12929200626515469</v>
      </c>
      <c r="ER769" s="173">
        <f t="shared" si="3330"/>
        <v>0.12929200626515469</v>
      </c>
      <c r="ES769" s="160">
        <f t="shared" ref="ES769:EX769" si="3331">ES768/ES773</f>
        <v>0.11662470588749377</v>
      </c>
      <c r="ET769" s="160">
        <f t="shared" si="3331"/>
        <v>0.1166247058874938</v>
      </c>
      <c r="EU769" s="173">
        <f t="shared" si="3331"/>
        <v>0.11662470588749377</v>
      </c>
      <c r="EV769" s="160">
        <f t="shared" si="3331"/>
        <v>0.10504874398200049</v>
      </c>
      <c r="EW769" s="160">
        <f t="shared" si="3331"/>
        <v>0.10504874398200054</v>
      </c>
      <c r="EX769" s="173">
        <f t="shared" si="3331"/>
        <v>0.10504874398200054</v>
      </c>
      <c r="EY769" s="160">
        <f t="shared" ref="EY769:FA769" si="3332">EY768/EY773</f>
        <v>9.4498876532238152E-2</v>
      </c>
      <c r="EZ769" s="160">
        <f t="shared" si="3332"/>
        <v>9.449887653223818E-2</v>
      </c>
      <c r="FA769" s="173">
        <f t="shared" si="3332"/>
        <v>9.4498876532238166E-2</v>
      </c>
      <c r="FH769" s="35"/>
      <c r="FI769" s="35"/>
      <c r="FJ769" s="35"/>
      <c r="FK769" s="35"/>
      <c r="FL769" s="35"/>
      <c r="FM769" s="35"/>
      <c r="FN769" s="35"/>
      <c r="FO769" s="35"/>
      <c r="FP769" s="35"/>
      <c r="FQ769" s="35"/>
    </row>
    <row r="770" spans="1:173" s="321" customFormat="1" hidden="1" outlineLevel="1">
      <c r="A770" s="1174"/>
      <c r="B770" s="177"/>
      <c r="C770" s="321" t="s">
        <v>209</v>
      </c>
      <c r="D770" s="329"/>
      <c r="E770" s="22"/>
      <c r="F770" s="22"/>
      <c r="G770" s="23"/>
      <c r="H770" s="22"/>
      <c r="I770" s="22"/>
      <c r="J770" s="23"/>
      <c r="K770" s="22"/>
      <c r="L770" s="22"/>
      <c r="M770" s="23"/>
      <c r="N770" s="22"/>
      <c r="O770" s="22"/>
      <c r="P770" s="23"/>
      <c r="Q770" s="22"/>
      <c r="R770" s="22"/>
      <c r="S770" s="23"/>
      <c r="T770" s="22"/>
      <c r="U770" s="22"/>
      <c r="V770" s="23"/>
      <c r="W770" s="22"/>
      <c r="X770" s="22"/>
      <c r="Y770" s="23"/>
      <c r="Z770" s="22"/>
      <c r="AA770" s="22"/>
      <c r="AB770" s="23"/>
      <c r="AC770" s="22"/>
      <c r="AD770" s="22"/>
      <c r="AE770" s="23"/>
      <c r="AF770" s="22"/>
      <c r="AG770" s="22"/>
      <c r="AH770" s="23"/>
      <c r="AI770" s="22"/>
      <c r="AJ770" s="22"/>
      <c r="AK770" s="23"/>
      <c r="AL770" s="22"/>
      <c r="AM770" s="22"/>
      <c r="AN770" s="328"/>
      <c r="AO770" s="22"/>
      <c r="AP770" s="22"/>
      <c r="AQ770" s="328"/>
      <c r="AR770" s="22"/>
      <c r="AS770" s="22"/>
      <c r="AT770" s="328"/>
      <c r="AU770" s="22"/>
      <c r="AV770" s="22"/>
      <c r="AW770" s="328"/>
      <c r="AX770" s="173"/>
      <c r="AY770" s="173"/>
      <c r="AZ770" s="173"/>
      <c r="BA770" s="173"/>
      <c r="BB770" s="173"/>
      <c r="BC770" s="173"/>
      <c r="BD770" s="173">
        <f t="shared" ref="BD770:CI770" si="3333">BD768/BA768-1</f>
        <v>0.16092553174991209</v>
      </c>
      <c r="BE770" s="173">
        <f t="shared" si="3333"/>
        <v>0.2055195889402599</v>
      </c>
      <c r="BF770" s="173">
        <f t="shared" si="3333"/>
        <v>0.18476152502712173</v>
      </c>
      <c r="BG770" s="173">
        <f t="shared" si="3333"/>
        <v>9.2030961471208483E-2</v>
      </c>
      <c r="BH770" s="173">
        <f t="shared" si="3333"/>
        <v>4.9877662078346985E-2</v>
      </c>
      <c r="BI770" s="173">
        <f t="shared" si="3333"/>
        <v>6.9104809307097392E-2</v>
      </c>
      <c r="BJ770" s="173">
        <f t="shared" si="3333"/>
        <v>8.4489622022494437E-3</v>
      </c>
      <c r="BK770" s="173">
        <f t="shared" si="3333"/>
        <v>7.0598152150135318E-2</v>
      </c>
      <c r="BL770" s="173">
        <f t="shared" si="3333"/>
        <v>4.1642495398163781E-2</v>
      </c>
      <c r="BM770" s="173">
        <f t="shared" si="3333"/>
        <v>0.19468286708067661</v>
      </c>
      <c r="BN770" s="173">
        <f t="shared" si="3333"/>
        <v>0.12244706506979863</v>
      </c>
      <c r="BO770" s="173">
        <f t="shared" si="3333"/>
        <v>0.15502966083484693</v>
      </c>
      <c r="BP770" s="173">
        <f t="shared" si="3333"/>
        <v>0.27565224321318271</v>
      </c>
      <c r="BQ770" s="173">
        <f t="shared" si="3333"/>
        <v>8.2664592786928281E-2</v>
      </c>
      <c r="BR770" s="173">
        <f t="shared" si="3333"/>
        <v>0.1727018379823253</v>
      </c>
      <c r="BS770" s="173">
        <f t="shared" si="3333"/>
        <v>0.19123585928421538</v>
      </c>
      <c r="BT770" s="173">
        <f t="shared" si="3333"/>
        <v>0.22853863418298404</v>
      </c>
      <c r="BU770" s="173">
        <f t="shared" si="3333"/>
        <v>0.20960741817823947</v>
      </c>
      <c r="BV770" s="173">
        <f t="shared" si="3333"/>
        <v>0.10168397391049599</v>
      </c>
      <c r="BW770" s="173">
        <f t="shared" si="3333"/>
        <v>0.12603851189044879</v>
      </c>
      <c r="BX770" s="173">
        <f t="shared" si="3333"/>
        <v>0.11386626974823622</v>
      </c>
      <c r="BY770" s="173">
        <f t="shared" si="3333"/>
        <v>1.240911758421559E-3</v>
      </c>
      <c r="BZ770" s="173">
        <f t="shared" si="3333"/>
        <v>-1.2235152046229492E-2</v>
      </c>
      <c r="CA770" s="173">
        <f t="shared" si="3333"/>
        <v>-5.5735647163804858E-3</v>
      </c>
      <c r="CB770" s="173">
        <f t="shared" si="3333"/>
        <v>4.3153322244104952E-2</v>
      </c>
      <c r="CC770" s="173">
        <f t="shared" si="3333"/>
        <v>0.16831676382146421</v>
      </c>
      <c r="CD770" s="173">
        <f t="shared" si="3333"/>
        <v>0.10602106104950249</v>
      </c>
      <c r="CE770" s="173">
        <f t="shared" si="3333"/>
        <v>0.16242699645016123</v>
      </c>
      <c r="CF770" s="173">
        <f t="shared" si="3333"/>
        <v>0.1199038155919927</v>
      </c>
      <c r="CG770" s="173">
        <f t="shared" si="3333"/>
        <v>0.13986521963686238</v>
      </c>
      <c r="CH770" s="173">
        <f t="shared" si="3333"/>
        <v>-0.12200340917019581</v>
      </c>
      <c r="CI770" s="173">
        <f t="shared" si="3333"/>
        <v>-6.7669754548016825E-2</v>
      </c>
      <c r="CJ770" s="173">
        <f t="shared" ref="CJ770:DO770" si="3334">CJ768/CG768-1</f>
        <v>-9.3680119440298304E-2</v>
      </c>
      <c r="CK770" s="173">
        <f t="shared" si="3334"/>
        <v>0.19648987899655901</v>
      </c>
      <c r="CL770" s="173">
        <f t="shared" si="3334"/>
        <v>-6.9172731718376568E-3</v>
      </c>
      <c r="CM770" s="173">
        <f t="shared" si="3334"/>
        <v>8.741386391175765E-2</v>
      </c>
      <c r="CN770" s="173">
        <f t="shared" si="3334"/>
        <v>-0.14228044430431219</v>
      </c>
      <c r="CO770" s="173">
        <f t="shared" si="3334"/>
        <v>7.6755918355212893E-2</v>
      </c>
      <c r="CP770" s="173">
        <f t="shared" si="3334"/>
        <v>-3.5012532775900107E-2</v>
      </c>
      <c r="CQ770" s="173">
        <f t="shared" si="3334"/>
        <v>-1.9074063800345042E-3</v>
      </c>
      <c r="CR770" s="173">
        <f t="shared" si="3334"/>
        <v>4.1744192260744217E-2</v>
      </c>
      <c r="CS770" s="173">
        <f t="shared" si="3334"/>
        <v>2.1945942165970234E-2</v>
      </c>
      <c r="CT770" s="173">
        <f t="shared" si="3334"/>
        <v>0.1771605189563934</v>
      </c>
      <c r="CU770" s="173">
        <f t="shared" si="3334"/>
        <v>-1.0616552589513217E-2</v>
      </c>
      <c r="CV770" s="173">
        <f t="shared" si="3334"/>
        <v>7.256214651041093E-2</v>
      </c>
      <c r="CW770" s="173">
        <f t="shared" si="3334"/>
        <v>7.8082009217990356E-2</v>
      </c>
      <c r="CX770" s="173">
        <f t="shared" si="3334"/>
        <v>3.6709139144401881E-2</v>
      </c>
      <c r="CY770" s="173">
        <f t="shared" si="3334"/>
        <v>5.6823138579616073E-2</v>
      </c>
      <c r="CZ770" s="173">
        <f t="shared" si="3334"/>
        <v>-2.9660313086760093E-2</v>
      </c>
      <c r="DA770" s="173">
        <f t="shared" si="3334"/>
        <v>0.12732637653903889</v>
      </c>
      <c r="DB770" s="173">
        <f t="shared" si="3334"/>
        <v>4.9469836227719721E-2</v>
      </c>
      <c r="DC770" s="173">
        <f t="shared" si="3334"/>
        <v>-2.2389177957792272E-3</v>
      </c>
      <c r="DD770" s="173">
        <f t="shared" si="3334"/>
        <v>-0.13566134976755206</v>
      </c>
      <c r="DE770" s="173">
        <f t="shared" si="3334"/>
        <v>-7.4480577327354247E-2</v>
      </c>
      <c r="DF770" s="173">
        <f t="shared" si="3334"/>
        <v>7.7152769384499109E-2</v>
      </c>
      <c r="DG770" s="173">
        <f t="shared" si="3334"/>
        <v>-0.2907735497113938</v>
      </c>
      <c r="DH770" s="173">
        <f t="shared" si="3334"/>
        <v>-0.10889227805072066</v>
      </c>
      <c r="DI770" s="173">
        <f t="shared" si="3334"/>
        <v>-0.13059016690841396</v>
      </c>
      <c r="DJ770" s="173">
        <f t="shared" si="3334"/>
        <v>0.411969160058689</v>
      </c>
      <c r="DK770" s="173">
        <f t="shared" si="3334"/>
        <v>8.7762855913589011E-2</v>
      </c>
      <c r="DL770" s="173">
        <f>DL768/DI768-1</f>
        <v>1.6089585562704123E-2</v>
      </c>
      <c r="DM770" s="173">
        <f>DM768/DJ768-1</f>
        <v>-2.2422585596762579E-2</v>
      </c>
      <c r="DN770" s="173">
        <f>DN768/DK768-1</f>
        <v>-4.0291630551159141E-3</v>
      </c>
      <c r="DO770" s="173">
        <f t="shared" si="3334"/>
        <v>8.7394368048223425E-2</v>
      </c>
      <c r="DP770" s="173">
        <f t="shared" ref="DP770:DQ770" si="3335">DP768/DM768-1</f>
        <v>0.11798256724468481</v>
      </c>
      <c r="DQ770" s="173">
        <f t="shared" si="3335"/>
        <v>0.10307853324952188</v>
      </c>
      <c r="DR770" s="160">
        <f t="shared" ref="DR770:ER770" si="3336">(DR768/DO768)-1</f>
        <v>0.25499999999999967</v>
      </c>
      <c r="DS770" s="160">
        <f t="shared" si="3336"/>
        <v>0.25499999999999989</v>
      </c>
      <c r="DT770" s="173">
        <f t="shared" si="3336"/>
        <v>0.25500000000000056</v>
      </c>
      <c r="DU770" s="160">
        <f t="shared" si="3336"/>
        <v>-2.1999999999999909E-2</v>
      </c>
      <c r="DV770" s="160">
        <f t="shared" si="3336"/>
        <v>-2.200000000000002E-2</v>
      </c>
      <c r="DW770" s="173">
        <f t="shared" si="3336"/>
        <v>-2.200000000000002E-2</v>
      </c>
      <c r="DX770" s="160">
        <f t="shared" si="3336"/>
        <v>-2.2000000000000242E-2</v>
      </c>
      <c r="DY770" s="160">
        <f t="shared" si="3336"/>
        <v>-2.1999999999999909E-2</v>
      </c>
      <c r="DZ770" s="173">
        <f t="shared" si="3336"/>
        <v>-2.2000000000000131E-2</v>
      </c>
      <c r="EA770" s="160">
        <f t="shared" si="3336"/>
        <v>-2.1999999999999909E-2</v>
      </c>
      <c r="EB770" s="160">
        <f t="shared" si="3336"/>
        <v>-2.200000000000002E-2</v>
      </c>
      <c r="EC770" s="173">
        <f t="shared" si="3336"/>
        <v>-2.200000000000002E-2</v>
      </c>
      <c r="ED770" s="160">
        <f t="shared" si="3336"/>
        <v>-2.200000000000002E-2</v>
      </c>
      <c r="EE770" s="160">
        <f t="shared" si="3336"/>
        <v>-2.2000000000000131E-2</v>
      </c>
      <c r="EF770" s="173">
        <f t="shared" si="3336"/>
        <v>-2.200000000000002E-2</v>
      </c>
      <c r="EG770" s="160">
        <f t="shared" si="3336"/>
        <v>-2.1999999999999909E-2</v>
      </c>
      <c r="EH770" s="160">
        <f t="shared" si="3336"/>
        <v>-2.2000000000000131E-2</v>
      </c>
      <c r="EI770" s="173">
        <f t="shared" si="3336"/>
        <v>-2.1999999999999909E-2</v>
      </c>
      <c r="EJ770" s="160">
        <f t="shared" si="3336"/>
        <v>-2.200000000000002E-2</v>
      </c>
      <c r="EK770" s="160">
        <f t="shared" si="3336"/>
        <v>-2.200000000000002E-2</v>
      </c>
      <c r="EL770" s="173">
        <f t="shared" si="3336"/>
        <v>-2.200000000000002E-2</v>
      </c>
      <c r="EM770" s="160">
        <f t="shared" si="3336"/>
        <v>-2.2000000000000131E-2</v>
      </c>
      <c r="EN770" s="160">
        <f t="shared" si="3336"/>
        <v>-2.200000000000002E-2</v>
      </c>
      <c r="EO770" s="173">
        <f t="shared" si="3336"/>
        <v>-2.2000000000000131E-2</v>
      </c>
      <c r="EP770" s="160">
        <f t="shared" si="3336"/>
        <v>-2.200000000000002E-2</v>
      </c>
      <c r="EQ770" s="160">
        <f t="shared" si="3336"/>
        <v>-2.1999999999999909E-2</v>
      </c>
      <c r="ER770" s="173">
        <f t="shared" si="3336"/>
        <v>-2.1999999999999797E-2</v>
      </c>
      <c r="ES770" s="160">
        <f t="shared" ref="ES770" si="3337">(ES768/EP768)-1</f>
        <v>-2.1999999999999909E-2</v>
      </c>
      <c r="ET770" s="160">
        <f t="shared" ref="ET770" si="3338">(ET768/EQ768)-1</f>
        <v>-2.200000000000002E-2</v>
      </c>
      <c r="EU770" s="173">
        <f t="shared" ref="EU770" si="3339">(EU768/ER768)-1</f>
        <v>-2.200000000000002E-2</v>
      </c>
      <c r="EV770" s="160">
        <f t="shared" ref="EV770" si="3340">(EV768/ES768)-1</f>
        <v>-2.200000000000002E-2</v>
      </c>
      <c r="EW770" s="160">
        <f t="shared" ref="EW770" si="3341">(EW768/ET768)-1</f>
        <v>-2.1999999999999909E-2</v>
      </c>
      <c r="EX770" s="173">
        <f t="shared" ref="EX770" si="3342">(EX768/EU768)-1</f>
        <v>-2.1999999999999797E-2</v>
      </c>
      <c r="EY770" s="160">
        <f t="shared" ref="EY770" si="3343">(EY768/EV768)-1</f>
        <v>-2.200000000000002E-2</v>
      </c>
      <c r="EZ770" s="160">
        <f t="shared" ref="EZ770" si="3344">(EZ768/EW768)-1</f>
        <v>-2.200000000000002E-2</v>
      </c>
      <c r="FA770" s="173">
        <f t="shared" ref="FA770" si="3345">(FA768/EX768)-1</f>
        <v>-2.2000000000000131E-2</v>
      </c>
      <c r="FH770" s="35"/>
      <c r="FI770" s="35"/>
      <c r="FJ770" s="35"/>
      <c r="FK770" s="35"/>
      <c r="FL770" s="35"/>
      <c r="FM770" s="35"/>
      <c r="FN770" s="35"/>
      <c r="FO770" s="35"/>
      <c r="FP770" s="35"/>
      <c r="FQ770" s="35"/>
    </row>
    <row r="771" spans="1:173" s="321" customFormat="1" hidden="1" outlineLevel="1">
      <c r="A771" s="1174"/>
      <c r="B771" s="321" t="s">
        <v>1003</v>
      </c>
      <c r="D771" s="329"/>
      <c r="E771" s="22"/>
      <c r="F771" s="22"/>
      <c r="G771" s="23"/>
      <c r="H771" s="22"/>
      <c r="I771" s="22"/>
      <c r="J771" s="23"/>
      <c r="K771" s="22"/>
      <c r="L771" s="22"/>
      <c r="M771" s="23"/>
      <c r="N771" s="22"/>
      <c r="O771" s="22"/>
      <c r="P771" s="23"/>
      <c r="Q771" s="22"/>
      <c r="R771" s="22"/>
      <c r="S771" s="23"/>
      <c r="T771" s="22"/>
      <c r="U771" s="22"/>
      <c r="V771" s="23"/>
      <c r="W771" s="22"/>
      <c r="X771" s="22"/>
      <c r="Y771" s="23"/>
      <c r="Z771" s="22"/>
      <c r="AA771" s="22"/>
      <c r="AB771" s="23"/>
      <c r="AC771" s="22"/>
      <c r="AD771" s="22"/>
      <c r="AE771" s="23"/>
      <c r="AF771" s="22"/>
      <c r="AG771" s="22"/>
      <c r="AH771" s="23"/>
      <c r="AI771" s="22"/>
      <c r="AJ771" s="22"/>
      <c r="AK771" s="23"/>
      <c r="AL771" s="22"/>
      <c r="AM771" s="22"/>
      <c r="AN771" s="328"/>
      <c r="AO771" s="22"/>
      <c r="AP771" s="22"/>
      <c r="AQ771" s="328"/>
      <c r="AR771" s="22"/>
      <c r="AS771" s="22"/>
      <c r="AT771" s="328"/>
      <c r="AU771" s="22"/>
      <c r="AV771" s="22"/>
      <c r="AW771" s="328"/>
      <c r="AX771" s="330">
        <f>AX748-AX760-AX768</f>
        <v>0</v>
      </c>
      <c r="AY771" s="330">
        <f t="shared" ref="AY771:DJ771" si="3346">AY748-AY760-AY768</f>
        <v>0</v>
      </c>
      <c r="AZ771" s="330">
        <f t="shared" si="3346"/>
        <v>0</v>
      </c>
      <c r="BA771" s="330">
        <f t="shared" si="3346"/>
        <v>0</v>
      </c>
      <c r="BB771" s="330">
        <f t="shared" si="3346"/>
        <v>0</v>
      </c>
      <c r="BC771" s="330">
        <f t="shared" si="3346"/>
        <v>0</v>
      </c>
      <c r="BD771" s="330">
        <f t="shared" si="3346"/>
        <v>0</v>
      </c>
      <c r="BE771" s="330">
        <f t="shared" si="3346"/>
        <v>0</v>
      </c>
      <c r="BF771" s="330">
        <f t="shared" si="3346"/>
        <v>0</v>
      </c>
      <c r="BG771" s="330">
        <f t="shared" si="3346"/>
        <v>0</v>
      </c>
      <c r="BH771" s="330">
        <f t="shared" si="3346"/>
        <v>0</v>
      </c>
      <c r="BI771" s="330">
        <f t="shared" si="3346"/>
        <v>0</v>
      </c>
      <c r="BJ771" s="330">
        <f t="shared" si="3346"/>
        <v>0</v>
      </c>
      <c r="BK771" s="330">
        <f t="shared" si="3346"/>
        <v>0</v>
      </c>
      <c r="BL771" s="330">
        <f t="shared" si="3346"/>
        <v>0</v>
      </c>
      <c r="BM771" s="330">
        <f t="shared" si="3346"/>
        <v>0</v>
      </c>
      <c r="BN771" s="330">
        <f t="shared" si="3346"/>
        <v>0</v>
      </c>
      <c r="BO771" s="330">
        <f t="shared" si="3346"/>
        <v>0</v>
      </c>
      <c r="BP771" s="330">
        <f t="shared" si="3346"/>
        <v>0</v>
      </c>
      <c r="BQ771" s="330">
        <f t="shared" si="3346"/>
        <v>0</v>
      </c>
      <c r="BR771" s="330">
        <f t="shared" si="3346"/>
        <v>0</v>
      </c>
      <c r="BS771" s="330">
        <f t="shared" si="3346"/>
        <v>0</v>
      </c>
      <c r="BT771" s="330">
        <f t="shared" si="3346"/>
        <v>0</v>
      </c>
      <c r="BU771" s="330">
        <f t="shared" si="3346"/>
        <v>0</v>
      </c>
      <c r="BV771" s="330">
        <f t="shared" si="3346"/>
        <v>0</v>
      </c>
      <c r="BW771" s="330">
        <f t="shared" si="3346"/>
        <v>0</v>
      </c>
      <c r="BX771" s="330">
        <f t="shared" si="3346"/>
        <v>0</v>
      </c>
      <c r="BY771" s="330">
        <f t="shared" si="3346"/>
        <v>0</v>
      </c>
      <c r="BZ771" s="330">
        <f t="shared" si="3346"/>
        <v>0</v>
      </c>
      <c r="CA771" s="330">
        <f t="shared" si="3346"/>
        <v>0</v>
      </c>
      <c r="CB771" s="330">
        <f t="shared" si="3346"/>
        <v>0</v>
      </c>
      <c r="CC771" s="330">
        <f t="shared" si="3346"/>
        <v>0</v>
      </c>
      <c r="CD771" s="330">
        <f t="shared" si="3346"/>
        <v>0</v>
      </c>
      <c r="CE771" s="330">
        <f t="shared" si="3346"/>
        <v>0</v>
      </c>
      <c r="CF771" s="330">
        <f t="shared" si="3346"/>
        <v>0</v>
      </c>
      <c r="CG771" s="330">
        <f t="shared" si="3346"/>
        <v>0</v>
      </c>
      <c r="CH771" s="330">
        <f t="shared" si="3346"/>
        <v>0</v>
      </c>
      <c r="CI771" s="330">
        <f t="shared" si="3346"/>
        <v>0</v>
      </c>
      <c r="CJ771" s="330">
        <f t="shared" si="3346"/>
        <v>0</v>
      </c>
      <c r="CK771" s="330">
        <f t="shared" si="3346"/>
        <v>0</v>
      </c>
      <c r="CL771" s="330">
        <f t="shared" si="3346"/>
        <v>0</v>
      </c>
      <c r="CM771" s="330">
        <f t="shared" si="3346"/>
        <v>0</v>
      </c>
      <c r="CN771" s="330">
        <f t="shared" si="3346"/>
        <v>0</v>
      </c>
      <c r="CO771" s="330">
        <f t="shared" si="3346"/>
        <v>0</v>
      </c>
      <c r="CP771" s="330">
        <f t="shared" si="3346"/>
        <v>0</v>
      </c>
      <c r="CQ771" s="330">
        <f t="shared" si="3346"/>
        <v>0</v>
      </c>
      <c r="CR771" s="330">
        <f t="shared" si="3346"/>
        <v>0</v>
      </c>
      <c r="CS771" s="330">
        <f t="shared" si="3346"/>
        <v>0</v>
      </c>
      <c r="CT771" s="330">
        <f t="shared" si="3346"/>
        <v>0</v>
      </c>
      <c r="CU771" s="330">
        <f t="shared" si="3346"/>
        <v>0</v>
      </c>
      <c r="CV771" s="330">
        <f t="shared" si="3346"/>
        <v>0</v>
      </c>
      <c r="CW771" s="330">
        <f t="shared" si="3346"/>
        <v>0</v>
      </c>
      <c r="CX771" s="330">
        <f t="shared" si="3346"/>
        <v>0</v>
      </c>
      <c r="CY771" s="330">
        <f t="shared" si="3346"/>
        <v>0</v>
      </c>
      <c r="CZ771" s="330">
        <f t="shared" si="3346"/>
        <v>0</v>
      </c>
      <c r="DA771" s="330">
        <f t="shared" si="3346"/>
        <v>0</v>
      </c>
      <c r="DB771" s="330">
        <f t="shared" si="3346"/>
        <v>0</v>
      </c>
      <c r="DC771" s="330">
        <f t="shared" si="3346"/>
        <v>0</v>
      </c>
      <c r="DD771" s="330">
        <f t="shared" si="3346"/>
        <v>0</v>
      </c>
      <c r="DE771" s="330">
        <f t="shared" si="3346"/>
        <v>0</v>
      </c>
      <c r="DF771" s="330">
        <f t="shared" si="3346"/>
        <v>0</v>
      </c>
      <c r="DG771" s="330">
        <f t="shared" si="3346"/>
        <v>0</v>
      </c>
      <c r="DH771" s="330">
        <f t="shared" si="3346"/>
        <v>0</v>
      </c>
      <c r="DI771" s="330">
        <f t="shared" si="3346"/>
        <v>0</v>
      </c>
      <c r="DJ771" s="330">
        <f t="shared" si="3346"/>
        <v>0</v>
      </c>
      <c r="DK771" s="330">
        <f t="shared" ref="DK771:DQ771" si="3347">DK748-DK760-DK768</f>
        <v>0</v>
      </c>
      <c r="DL771" s="330">
        <f t="shared" si="3347"/>
        <v>0</v>
      </c>
      <c r="DM771" s="330">
        <f t="shared" si="3347"/>
        <v>0</v>
      </c>
      <c r="DN771" s="330">
        <f t="shared" si="3347"/>
        <v>0</v>
      </c>
      <c r="DO771" s="330">
        <f t="shared" si="3347"/>
        <v>0</v>
      </c>
      <c r="DP771" s="330">
        <f t="shared" si="3347"/>
        <v>0</v>
      </c>
      <c r="DQ771" s="330">
        <f t="shared" si="3347"/>
        <v>0</v>
      </c>
      <c r="DR771" s="66"/>
      <c r="DS771" s="66"/>
      <c r="DT771" s="66"/>
      <c r="DU771" s="66"/>
      <c r="DV771" s="66"/>
      <c r="DW771" s="66"/>
      <c r="DX771" s="66"/>
      <c r="DY771" s="66"/>
      <c r="DZ771" s="66"/>
      <c r="EA771" s="66"/>
      <c r="EB771" s="66"/>
      <c r="EC771" s="66"/>
      <c r="ED771" s="66"/>
      <c r="EE771" s="66"/>
      <c r="EF771" s="66"/>
      <c r="EG771" s="66"/>
      <c r="EH771" s="66"/>
      <c r="EI771" s="66"/>
      <c r="EJ771" s="66"/>
      <c r="EK771" s="66"/>
      <c r="EL771" s="66"/>
      <c r="EM771" s="66"/>
      <c r="EN771" s="66"/>
      <c r="EO771" s="66"/>
      <c r="EP771" s="66"/>
      <c r="EQ771" s="66"/>
      <c r="ER771" s="66"/>
      <c r="ES771" s="66"/>
      <c r="ET771" s="66"/>
      <c r="EU771" s="66"/>
      <c r="EV771" s="66"/>
      <c r="EW771" s="66"/>
      <c r="EX771" s="66"/>
      <c r="EY771" s="66"/>
      <c r="EZ771" s="66"/>
      <c r="FA771" s="66"/>
      <c r="FH771" s="35"/>
      <c r="FI771" s="35"/>
      <c r="FJ771" s="35"/>
      <c r="FK771" s="35"/>
      <c r="FL771" s="35"/>
      <c r="FM771" s="35"/>
      <c r="FN771" s="35"/>
      <c r="FO771" s="35"/>
      <c r="FP771" s="35"/>
      <c r="FQ771" s="35"/>
    </row>
    <row r="772" spans="1:173" s="321" customFormat="1" hidden="1" outlineLevel="1">
      <c r="A772" s="1174"/>
      <c r="D772" s="329"/>
      <c r="E772" s="22"/>
      <c r="F772" s="22"/>
      <c r="G772" s="23"/>
      <c r="H772" s="22"/>
      <c r="I772" s="22"/>
      <c r="J772" s="23"/>
      <c r="K772" s="22"/>
      <c r="L772" s="22"/>
      <c r="M772" s="23"/>
      <c r="N772" s="22"/>
      <c r="O772" s="22"/>
      <c r="P772" s="23"/>
      <c r="Q772" s="22"/>
      <c r="R772" s="22"/>
      <c r="S772" s="23"/>
      <c r="T772" s="22"/>
      <c r="U772" s="22"/>
      <c r="V772" s="23"/>
      <c r="W772" s="22"/>
      <c r="X772" s="22"/>
      <c r="Y772" s="23"/>
      <c r="Z772" s="22"/>
      <c r="AA772" s="22"/>
      <c r="AB772" s="23"/>
      <c r="AC772" s="22"/>
      <c r="AD772" s="22"/>
      <c r="AE772" s="23"/>
      <c r="AF772" s="22"/>
      <c r="AG772" s="22"/>
      <c r="AH772" s="23"/>
      <c r="AI772" s="22"/>
      <c r="AJ772" s="22"/>
      <c r="AK772" s="23"/>
      <c r="AL772" s="22"/>
      <c r="AM772" s="22"/>
      <c r="AN772" s="328"/>
      <c r="AO772" s="22"/>
      <c r="AP772" s="22"/>
      <c r="AQ772" s="328"/>
      <c r="AR772" s="22"/>
      <c r="AS772" s="22"/>
      <c r="AT772" s="328"/>
      <c r="AU772" s="22"/>
      <c r="AV772" s="22"/>
      <c r="AW772" s="328"/>
      <c r="AX772" s="330"/>
      <c r="AY772" s="330"/>
      <c r="AZ772" s="330"/>
      <c r="BA772" s="330"/>
      <c r="BB772" s="330"/>
      <c r="BC772" s="330"/>
      <c r="BD772" s="330"/>
      <c r="BE772" s="330"/>
      <c r="BF772" s="330"/>
      <c r="BG772" s="330"/>
      <c r="BH772" s="330"/>
      <c r="BI772" s="330"/>
      <c r="BJ772" s="330"/>
      <c r="BK772" s="330"/>
      <c r="BL772" s="330"/>
      <c r="BM772" s="330"/>
      <c r="BN772" s="330"/>
      <c r="BO772" s="330"/>
      <c r="BP772" s="330"/>
      <c r="BQ772" s="330"/>
      <c r="BR772" s="330"/>
      <c r="BS772" s="330"/>
      <c r="BT772" s="330"/>
      <c r="BU772" s="330"/>
      <c r="BV772" s="330"/>
      <c r="BW772" s="330"/>
      <c r="BX772" s="330"/>
      <c r="BY772" s="330"/>
      <c r="BZ772" s="330"/>
      <c r="CA772" s="330"/>
      <c r="CB772" s="330"/>
      <c r="CC772" s="330"/>
      <c r="CD772" s="330"/>
      <c r="CE772" s="330"/>
      <c r="CF772" s="330"/>
      <c r="CG772" s="330"/>
      <c r="CH772" s="330"/>
      <c r="CI772" s="330"/>
      <c r="CJ772" s="330"/>
      <c r="CK772" s="330"/>
      <c r="CL772" s="330"/>
      <c r="CM772" s="330"/>
      <c r="CN772" s="330"/>
      <c r="CO772" s="330"/>
      <c r="CP772" s="330"/>
      <c r="CQ772" s="330"/>
      <c r="CR772" s="330"/>
      <c r="CS772" s="330"/>
      <c r="CT772" s="330"/>
      <c r="CU772" s="330"/>
      <c r="CV772" s="330"/>
      <c r="CW772" s="330"/>
      <c r="CX772" s="330"/>
      <c r="CY772" s="330"/>
      <c r="CZ772" s="330"/>
      <c r="DA772" s="330"/>
      <c r="DB772" s="330"/>
      <c r="DC772" s="330"/>
      <c r="DD772" s="330"/>
      <c r="DE772" s="330"/>
      <c r="DF772" s="330"/>
      <c r="DG772" s="330"/>
      <c r="DH772" s="330"/>
      <c r="DI772" s="330"/>
      <c r="DJ772" s="330"/>
      <c r="DK772" s="330"/>
      <c r="DL772" s="330"/>
      <c r="DM772" s="330"/>
      <c r="DN772" s="330"/>
      <c r="DO772" s="330"/>
      <c r="DP772" s="330"/>
      <c r="DQ772" s="330"/>
      <c r="DR772" s="66"/>
      <c r="DS772" s="66"/>
      <c r="DT772" s="66"/>
      <c r="DU772" s="66"/>
      <c r="DV772" s="66"/>
      <c r="DW772" s="66"/>
      <c r="DX772" s="66"/>
      <c r="DY772" s="66"/>
      <c r="DZ772" s="66"/>
      <c r="EA772" s="66"/>
      <c r="EB772" s="66"/>
      <c r="EC772" s="66"/>
      <c r="ED772" s="66"/>
      <c r="EE772" s="66"/>
      <c r="EF772" s="66"/>
      <c r="EG772" s="66"/>
      <c r="EH772" s="66"/>
      <c r="EI772" s="66"/>
      <c r="EJ772" s="66"/>
      <c r="EK772" s="66"/>
      <c r="EL772" s="66"/>
      <c r="EM772" s="66"/>
      <c r="EN772" s="66"/>
      <c r="EO772" s="66"/>
      <c r="EP772" s="66"/>
      <c r="EQ772" s="66"/>
      <c r="ER772" s="66"/>
      <c r="ES772" s="66"/>
      <c r="ET772" s="66"/>
      <c r="EU772" s="66"/>
      <c r="EV772" s="66"/>
      <c r="EW772" s="66"/>
      <c r="EX772" s="66"/>
      <c r="EY772" s="66"/>
      <c r="EZ772" s="66"/>
      <c r="FA772" s="66"/>
      <c r="FH772" s="35"/>
      <c r="FI772" s="35"/>
      <c r="FJ772" s="35"/>
      <c r="FK772" s="35"/>
      <c r="FL772" s="35"/>
      <c r="FM772" s="35"/>
      <c r="FN772" s="35"/>
      <c r="FO772" s="35"/>
      <c r="FP772" s="35"/>
      <c r="FQ772" s="35"/>
    </row>
    <row r="773" spans="1:173" s="321" customFormat="1" hidden="1" outlineLevel="1">
      <c r="A773" s="1174"/>
      <c r="C773" s="321" t="s">
        <v>1007</v>
      </c>
      <c r="D773" s="329"/>
      <c r="E773" s="22"/>
      <c r="F773" s="22"/>
      <c r="G773" s="23"/>
      <c r="H773" s="22"/>
      <c r="I773" s="22"/>
      <c r="J773" s="23"/>
      <c r="K773" s="22"/>
      <c r="L773" s="22"/>
      <c r="M773" s="23"/>
      <c r="N773" s="22"/>
      <c r="O773" s="22"/>
      <c r="P773" s="23"/>
      <c r="Q773" s="22"/>
      <c r="R773" s="22"/>
      <c r="S773" s="23"/>
      <c r="T773" s="22"/>
      <c r="U773" s="22"/>
      <c r="V773" s="23"/>
      <c r="W773" s="22"/>
      <c r="X773" s="22"/>
      <c r="Y773" s="23"/>
      <c r="Z773" s="22"/>
      <c r="AA773" s="22"/>
      <c r="AB773" s="23"/>
      <c r="AC773" s="22"/>
      <c r="AD773" s="22"/>
      <c r="AE773" s="23"/>
      <c r="AF773" s="22"/>
      <c r="AG773" s="22"/>
      <c r="AH773" s="23"/>
      <c r="AI773" s="22"/>
      <c r="AJ773" s="22"/>
      <c r="AK773" s="23"/>
      <c r="AL773" s="22"/>
      <c r="AM773" s="22"/>
      <c r="AN773" s="328"/>
      <c r="AO773" s="22"/>
      <c r="AP773" s="22"/>
      <c r="AQ773" s="328"/>
      <c r="AR773" s="22"/>
      <c r="AS773" s="22"/>
      <c r="AT773" s="328"/>
      <c r="AU773" s="22"/>
      <c r="AV773" s="22"/>
      <c r="AW773" s="328"/>
      <c r="AX773" s="333">
        <f t="shared" ref="AX773:BC773" si="3348">AX760+AX768</f>
        <v>3783.597883597884</v>
      </c>
      <c r="AY773" s="333">
        <f t="shared" si="3348"/>
        <v>4344.6158608280375</v>
      </c>
      <c r="AZ773" s="333">
        <f t="shared" si="3348"/>
        <v>8128.2137444259215</v>
      </c>
      <c r="BA773" s="333">
        <f t="shared" si="3348"/>
        <v>4540.3174603174602</v>
      </c>
      <c r="BB773" s="333">
        <f t="shared" si="3348"/>
        <v>5213.5390329936454</v>
      </c>
      <c r="BC773" s="333">
        <f t="shared" si="3348"/>
        <v>9753.8564933111047</v>
      </c>
      <c r="BD773" s="333">
        <f t="shared" ref="BD773:DO773" si="3349">BD760+BD768</f>
        <v>5369.9346405228753</v>
      </c>
      <c r="BE773" s="333">
        <f t="shared" si="3349"/>
        <v>6403.0267837064921</v>
      </c>
      <c r="BF773" s="333">
        <f t="shared" si="3349"/>
        <v>11772.961424229368</v>
      </c>
      <c r="BG773" s="333">
        <f t="shared" si="3349"/>
        <v>5978.3771771771771</v>
      </c>
      <c r="BH773" s="333">
        <f t="shared" si="3349"/>
        <v>6853.3572900161607</v>
      </c>
      <c r="BI773" s="333">
        <f t="shared" si="3349"/>
        <v>12831.734467193337</v>
      </c>
      <c r="BJ773" s="333">
        <f t="shared" si="3349"/>
        <v>6150.8473095238096</v>
      </c>
      <c r="BK773" s="333">
        <f t="shared" si="3349"/>
        <v>7485.6165147157626</v>
      </c>
      <c r="BL773" s="333">
        <f t="shared" si="3349"/>
        <v>13636.46382423957</v>
      </c>
      <c r="BM773" s="333">
        <f t="shared" si="3349"/>
        <v>7502.7859347470239</v>
      </c>
      <c r="BN773" s="333">
        <f t="shared" si="3349"/>
        <v>8578.8370209051518</v>
      </c>
      <c r="BO773" s="333">
        <f t="shared" si="3349"/>
        <v>16081.622955652176</v>
      </c>
      <c r="BP773" s="333">
        <f t="shared" si="3349"/>
        <v>9780.1987273849718</v>
      </c>
      <c r="BQ773" s="333">
        <f t="shared" si="3349"/>
        <v>9491.0700332396173</v>
      </c>
      <c r="BR773" s="333">
        <f t="shared" si="3349"/>
        <v>19271.268760624589</v>
      </c>
      <c r="BS773" s="333">
        <f t="shared" si="3349"/>
        <v>11915.673424460332</v>
      </c>
      <c r="BT773" s="333">
        <f t="shared" si="3349"/>
        <v>11925.515206378463</v>
      </c>
      <c r="BU773" s="333">
        <f t="shared" si="3349"/>
        <v>23841.188630838791</v>
      </c>
      <c r="BV773" s="333">
        <f t="shared" si="3349"/>
        <v>13438.589891201311</v>
      </c>
      <c r="BW773" s="333">
        <f t="shared" si="3349"/>
        <v>13747.017059698697</v>
      </c>
      <c r="BX773" s="333">
        <f t="shared" si="3349"/>
        <v>27185.606950900004</v>
      </c>
      <c r="BY773" s="333">
        <f t="shared" si="3349"/>
        <v>13788.031895655742</v>
      </c>
      <c r="BZ773" s="333">
        <f t="shared" si="3349"/>
        <v>13914.641769588019</v>
      </c>
      <c r="CA773" s="333">
        <f t="shared" si="3349"/>
        <v>27702.673665243761</v>
      </c>
      <c r="CB773" s="333">
        <f t="shared" si="3349"/>
        <v>14754.416580637046</v>
      </c>
      <c r="CC773" s="333">
        <f t="shared" si="3349"/>
        <v>16676.474919024025</v>
      </c>
      <c r="CD773" s="333">
        <f t="shared" si="3349"/>
        <v>31430.891499661069</v>
      </c>
      <c r="CE773" s="333">
        <f t="shared" si="3349"/>
        <v>17613.828976723762</v>
      </c>
      <c r="CF773" s="333">
        <f t="shared" si="3349"/>
        <v>19180.106985299088</v>
      </c>
      <c r="CG773" s="333">
        <f t="shared" si="3349"/>
        <v>36793.93596202285</v>
      </c>
      <c r="CH773" s="333">
        <f t="shared" si="3349"/>
        <v>15901.695284214453</v>
      </c>
      <c r="CI773" s="333">
        <f t="shared" si="3349"/>
        <v>18387.285559356857</v>
      </c>
      <c r="CJ773" s="333">
        <f t="shared" si="3349"/>
        <v>34288.980843571306</v>
      </c>
      <c r="CK773" s="333">
        <f t="shared" si="3349"/>
        <v>19589.370009471037</v>
      </c>
      <c r="CL773" s="333">
        <f t="shared" si="3349"/>
        <v>18800.571966486925</v>
      </c>
      <c r="CM773" s="333">
        <f t="shared" si="3349"/>
        <v>38389.941975957961</v>
      </c>
      <c r="CN773" s="333">
        <f t="shared" si="3349"/>
        <v>17324.076773449808</v>
      </c>
      <c r="CO773" s="333">
        <f t="shared" si="3349"/>
        <v>20872.412437295337</v>
      </c>
      <c r="CP773" s="333">
        <f t="shared" si="3349"/>
        <v>38196.489210745145</v>
      </c>
      <c r="CQ773" s="333">
        <f t="shared" si="3349"/>
        <v>17855.504613815723</v>
      </c>
      <c r="CR773" s="333">
        <f t="shared" si="3349"/>
        <v>22453.545703608543</v>
      </c>
      <c r="CS773" s="333">
        <f t="shared" si="3349"/>
        <v>40309.050317424269</v>
      </c>
      <c r="CT773" s="333">
        <f t="shared" si="3349"/>
        <v>21741.166186308412</v>
      </c>
      <c r="CU773" s="333">
        <f t="shared" si="3349"/>
        <v>22978.654293534692</v>
      </c>
      <c r="CV773" s="333">
        <f t="shared" si="3349"/>
        <v>44719.820479843103</v>
      </c>
      <c r="CW773" s="333">
        <f t="shared" si="3349"/>
        <v>24288.344685131884</v>
      </c>
      <c r="CX773" s="333">
        <f t="shared" si="3349"/>
        <v>24685.663321936929</v>
      </c>
      <c r="CY773" s="333">
        <f t="shared" si="3349"/>
        <v>48974.008007068813</v>
      </c>
      <c r="CZ773" s="333">
        <f t="shared" si="3349"/>
        <v>24470.709716143945</v>
      </c>
      <c r="DA773" s="333">
        <f t="shared" si="3349"/>
        <v>28894.775422092498</v>
      </c>
      <c r="DB773" s="333">
        <f t="shared" si="3349"/>
        <v>53365.48513823645</v>
      </c>
      <c r="DC773" s="333">
        <f t="shared" si="3349"/>
        <v>25406.417389372782</v>
      </c>
      <c r="DD773" s="333">
        <f t="shared" si="3349"/>
        <v>25988.042007883643</v>
      </c>
      <c r="DE773" s="333">
        <f t="shared" si="3349"/>
        <v>51394.459397256433</v>
      </c>
      <c r="DF773" s="333">
        <f t="shared" si="3349"/>
        <v>28545.198804369429</v>
      </c>
      <c r="DG773" s="333">
        <f t="shared" si="3349"/>
        <v>19225.198172579396</v>
      </c>
      <c r="DH773" s="333">
        <f t="shared" si="3349"/>
        <v>47770.396976948832</v>
      </c>
      <c r="DI773" s="333">
        <f t="shared" si="3349"/>
        <v>25955.177267909497</v>
      </c>
      <c r="DJ773" s="333">
        <f t="shared" si="3349"/>
        <v>28389.805410149846</v>
      </c>
      <c r="DK773" s="333">
        <f t="shared" si="3349"/>
        <v>54344.982678059343</v>
      </c>
      <c r="DL773" s="333">
        <f t="shared" si="3349"/>
        <v>27663.510714723761</v>
      </c>
      <c r="DM773" s="333">
        <f t="shared" si="3349"/>
        <v>29111.519219458194</v>
      </c>
      <c r="DN773" s="333">
        <f t="shared" si="3349"/>
        <v>56775.029934181955</v>
      </c>
      <c r="DO773" s="333">
        <f t="shared" si="3349"/>
        <v>31658.099053809576</v>
      </c>
      <c r="DP773" s="333">
        <f t="shared" ref="DP773:DX773" si="3350">DP760+DP768</f>
        <v>34252.349083950554</v>
      </c>
      <c r="DQ773" s="333">
        <f t="shared" si="3350"/>
        <v>65910.448137760119</v>
      </c>
      <c r="DR773" s="333">
        <f t="shared" si="3350"/>
        <v>36050.660297525654</v>
      </c>
      <c r="DS773" s="333">
        <f t="shared" si="3350"/>
        <v>39004.862519348695</v>
      </c>
      <c r="DT773" s="333">
        <f t="shared" si="3350"/>
        <v>75055.522816874349</v>
      </c>
      <c r="DU773" s="333">
        <f t="shared" si="3350"/>
        <v>38443.933440746026</v>
      </c>
      <c r="DV773" s="333">
        <f t="shared" si="3350"/>
        <v>41594.25447922264</v>
      </c>
      <c r="DW773" s="333">
        <f t="shared" si="3350"/>
        <v>80038.187919968681</v>
      </c>
      <c r="DX773" s="333">
        <f t="shared" si="3350"/>
        <v>41103.193341792146</v>
      </c>
      <c r="DY773" s="333">
        <f t="shared" ref="DY773:ER773" si="3351">DY760+DY768</f>
        <v>44471.429709509335</v>
      </c>
      <c r="DZ773" s="333">
        <f t="shared" si="3351"/>
        <v>85574.623051301489</v>
      </c>
      <c r="EA773" s="333">
        <f t="shared" si="3351"/>
        <v>44054.452168689502</v>
      </c>
      <c r="EB773" s="333">
        <f t="shared" si="3351"/>
        <v>47664.531967612675</v>
      </c>
      <c r="EC773" s="333">
        <f t="shared" si="3351"/>
        <v>91718.98413630217</v>
      </c>
      <c r="ED773" s="333">
        <f t="shared" si="3351"/>
        <v>47326.336209436791</v>
      </c>
      <c r="EE773" s="333">
        <f t="shared" si="3351"/>
        <v>51204.533347209006</v>
      </c>
      <c r="EF773" s="333">
        <f t="shared" si="3351"/>
        <v>98530.86955664579</v>
      </c>
      <c r="EG773" s="333">
        <f t="shared" si="3351"/>
        <v>50950.347000133494</v>
      </c>
      <c r="EH773" s="333">
        <f t="shared" si="3351"/>
        <v>55125.516804742583</v>
      </c>
      <c r="EI773" s="333">
        <f t="shared" si="3351"/>
        <v>106075.86380487608</v>
      </c>
      <c r="EJ773" s="333">
        <f t="shared" si="3351"/>
        <v>54961.148572165301</v>
      </c>
      <c r="EK773" s="333">
        <f t="shared" si="3351"/>
        <v>59464.986945327648</v>
      </c>
      <c r="EL773" s="333">
        <f t="shared" si="3351"/>
        <v>114426.13551749296</v>
      </c>
      <c r="EM773" s="333">
        <f t="shared" si="3351"/>
        <v>59396.883430215879</v>
      </c>
      <c r="EN773" s="333">
        <f t="shared" si="3351"/>
        <v>64264.211893848784</v>
      </c>
      <c r="EO773" s="333">
        <f t="shared" si="3351"/>
        <v>123661.09532406466</v>
      </c>
      <c r="EP773" s="333">
        <f t="shared" si="3351"/>
        <v>64299.520134053164</v>
      </c>
      <c r="EQ773" s="333">
        <f t="shared" si="3351"/>
        <v>69568.599359634289</v>
      </c>
      <c r="ER773" s="333">
        <f t="shared" si="3351"/>
        <v>133868.11949368747</v>
      </c>
      <c r="ES773" s="333">
        <f t="shared" ref="ES773:EX773" si="3352">ES760+ES768</f>
        <v>69715.235644336237</v>
      </c>
      <c r="ET773" s="333">
        <f t="shared" si="3352"/>
        <v>75428.110313917525</v>
      </c>
      <c r="EU773" s="333">
        <f t="shared" si="3352"/>
        <v>145143.34595825378</v>
      </c>
      <c r="EV773" s="333">
        <f t="shared" si="3352"/>
        <v>75694.835908716326</v>
      </c>
      <c r="EW773" s="333">
        <f t="shared" si="3352"/>
        <v>81897.714041226063</v>
      </c>
      <c r="EX773" s="333">
        <f t="shared" si="3352"/>
        <v>157592.54994994239</v>
      </c>
      <c r="EY773" s="333">
        <f t="shared" ref="EY773:FA773" si="3353">EY760+EY768</f>
        <v>82294.218512135558</v>
      </c>
      <c r="EZ773" s="333">
        <f t="shared" si="3353"/>
        <v>89037.888701955264</v>
      </c>
      <c r="FA773" s="333">
        <f t="shared" si="3353"/>
        <v>171332.10721409082</v>
      </c>
      <c r="FH773" s="35"/>
      <c r="FI773" s="35"/>
      <c r="FJ773" s="35"/>
      <c r="FK773" s="35"/>
      <c r="FL773" s="35"/>
      <c r="FM773" s="35"/>
      <c r="FN773" s="35"/>
      <c r="FO773" s="35"/>
      <c r="FP773" s="35"/>
      <c r="FQ773" s="35"/>
    </row>
    <row r="774" spans="1:173" s="321" customFormat="1" hidden="1" outlineLevel="1">
      <c r="A774" s="1174"/>
      <c r="C774" s="321" t="s">
        <v>209</v>
      </c>
      <c r="D774" s="329"/>
      <c r="E774" s="22"/>
      <c r="F774" s="22"/>
      <c r="G774" s="23"/>
      <c r="H774" s="22"/>
      <c r="I774" s="22"/>
      <c r="J774" s="23"/>
      <c r="K774" s="22"/>
      <c r="L774" s="22"/>
      <c r="M774" s="23"/>
      <c r="N774" s="22"/>
      <c r="O774" s="22"/>
      <c r="P774" s="23"/>
      <c r="Q774" s="22"/>
      <c r="R774" s="22"/>
      <c r="S774" s="23"/>
      <c r="T774" s="22"/>
      <c r="U774" s="22"/>
      <c r="V774" s="23"/>
      <c r="W774" s="22"/>
      <c r="X774" s="22"/>
      <c r="Y774" s="23"/>
      <c r="Z774" s="22"/>
      <c r="AA774" s="22"/>
      <c r="AB774" s="23"/>
      <c r="AC774" s="22"/>
      <c r="AD774" s="22"/>
      <c r="AE774" s="23"/>
      <c r="AF774" s="22"/>
      <c r="AG774" s="22"/>
      <c r="AH774" s="23"/>
      <c r="AI774" s="22"/>
      <c r="AJ774" s="22"/>
      <c r="AK774" s="23"/>
      <c r="AL774" s="22"/>
      <c r="AM774" s="22"/>
      <c r="AN774" s="328"/>
      <c r="AO774" s="22"/>
      <c r="AP774" s="22"/>
      <c r="AQ774" s="328"/>
      <c r="AR774" s="22"/>
      <c r="AS774" s="22"/>
      <c r="AT774" s="328"/>
      <c r="AU774" s="22"/>
      <c r="AV774" s="22"/>
      <c r="AW774" s="328"/>
      <c r="AX774" s="330"/>
      <c r="AY774" s="330"/>
      <c r="AZ774" s="330"/>
      <c r="BA774" s="332">
        <f t="shared" ref="BA774:CF774" si="3354">BA773/AX773-1</f>
        <v>0.19999999999999996</v>
      </c>
      <c r="BB774" s="332">
        <f t="shared" si="3354"/>
        <v>0.20000000000000018</v>
      </c>
      <c r="BC774" s="332">
        <f t="shared" si="3354"/>
        <v>0.19999999999999996</v>
      </c>
      <c r="BD774" s="332">
        <f t="shared" si="3354"/>
        <v>0.18272228483058717</v>
      </c>
      <c r="BE774" s="332">
        <f t="shared" si="3354"/>
        <v>0.22815360989631572</v>
      </c>
      <c r="BF774" s="332">
        <f t="shared" si="3354"/>
        <v>0.20700580660612578</v>
      </c>
      <c r="BG774" s="332">
        <f t="shared" si="3354"/>
        <v>0.11330538961551628</v>
      </c>
      <c r="BH774" s="332">
        <f t="shared" si="3354"/>
        <v>7.033087967952989E-2</v>
      </c>
      <c r="BI774" s="332">
        <f t="shared" si="3354"/>
        <v>8.9932601051843974E-2</v>
      </c>
      <c r="BJ774" s="332">
        <f t="shared" si="3354"/>
        <v>2.884898815100656E-2</v>
      </c>
      <c r="BK774" s="332">
        <f t="shared" si="3354"/>
        <v>9.2255400958106248E-2</v>
      </c>
      <c r="BL774" s="332">
        <f t="shared" si="3354"/>
        <v>6.2713997012926903E-2</v>
      </c>
      <c r="BM774" s="332">
        <f t="shared" si="3354"/>
        <v>0.21979713642540077</v>
      </c>
      <c r="BN774" s="332">
        <f t="shared" si="3354"/>
        <v>0.1460428147822237</v>
      </c>
      <c r="BO774" s="332">
        <f t="shared" si="3354"/>
        <v>0.17931035222388081</v>
      </c>
      <c r="BP774" s="332">
        <f t="shared" si="3354"/>
        <v>0.30354228581822618</v>
      </c>
      <c r="BQ774" s="332">
        <f t="shared" si="3354"/>
        <v>0.1063352771607049</v>
      </c>
      <c r="BR774" s="332">
        <f t="shared" si="3354"/>
        <v>0.198341038946654</v>
      </c>
      <c r="BS774" s="332">
        <f t="shared" si="3354"/>
        <v>0.21834675926327973</v>
      </c>
      <c r="BT774" s="332">
        <f t="shared" si="3354"/>
        <v>0.25649849433340322</v>
      </c>
      <c r="BU774" s="332">
        <f t="shared" si="3354"/>
        <v>0.23713642972753024</v>
      </c>
      <c r="BV774" s="332">
        <f t="shared" si="3354"/>
        <v>0.12780783867529943</v>
      </c>
      <c r="BW774" s="332">
        <f t="shared" si="3354"/>
        <v>0.15273988769441083</v>
      </c>
      <c r="BX774" s="332">
        <f t="shared" si="3354"/>
        <v>0.14027900923258407</v>
      </c>
      <c r="BY774" s="332">
        <f t="shared" si="3354"/>
        <v>2.600287733188611E-2</v>
      </c>
      <c r="BZ774" s="332">
        <f t="shared" si="3354"/>
        <v>1.2193533270627555E-2</v>
      </c>
      <c r="CA774" s="332">
        <f t="shared" si="3354"/>
        <v>1.9019870156941288E-2</v>
      </c>
      <c r="CB774" s="332">
        <f t="shared" si="3354"/>
        <v>7.0088660390014601E-2</v>
      </c>
      <c r="CC774" s="332">
        <f t="shared" si="3354"/>
        <v>0.19848395633671978</v>
      </c>
      <c r="CD774" s="332">
        <f t="shared" si="3354"/>
        <v>0.13457971167219118</v>
      </c>
      <c r="CE774" s="332">
        <f t="shared" si="3354"/>
        <v>0.1938004380220133</v>
      </c>
      <c r="CF774" s="332">
        <f t="shared" si="3354"/>
        <v>0.15012957345194056</v>
      </c>
      <c r="CG774" s="332">
        <f t="shared" ref="CG774:DK774" si="3355">CG773/CD773-1</f>
        <v>0.17062972784019226</v>
      </c>
      <c r="CH774" s="332">
        <f t="shared" si="3355"/>
        <v>-9.7203946670076702E-2</v>
      </c>
      <c r="CI774" s="332">
        <f t="shared" si="3355"/>
        <v>-4.1335610200188277E-2</v>
      </c>
      <c r="CJ774" s="332">
        <f t="shared" si="3355"/>
        <v>-6.8080651144173721E-2</v>
      </c>
      <c r="CK774" s="332">
        <f t="shared" si="3355"/>
        <v>0.23190450196321666</v>
      </c>
      <c r="CL774" s="332">
        <f t="shared" si="3355"/>
        <v>2.2476749262196449E-2</v>
      </c>
      <c r="CM774" s="332">
        <f t="shared" si="3355"/>
        <v>0.11959997152133295</v>
      </c>
      <c r="CN774" s="332">
        <f t="shared" si="3355"/>
        <v>-0.11563890185983561</v>
      </c>
      <c r="CO774" s="332">
        <f t="shared" si="3355"/>
        <v>0.11020092763675415</v>
      </c>
      <c r="CP774" s="332">
        <f t="shared" si="3355"/>
        <v>-5.0391523210420175E-3</v>
      </c>
      <c r="CQ774" s="332">
        <f t="shared" si="3355"/>
        <v>3.0675680286776474E-2</v>
      </c>
      <c r="CR774" s="332">
        <f t="shared" si="3355"/>
        <v>7.5752300845109755E-2</v>
      </c>
      <c r="CS774" s="332">
        <f t="shared" si="3355"/>
        <v>5.5307729855047283E-2</v>
      </c>
      <c r="CT774" s="332">
        <f t="shared" si="3355"/>
        <v>0.21761701259824107</v>
      </c>
      <c r="CU774" s="332">
        <f t="shared" si="3355"/>
        <v>2.3386444032389875E-2</v>
      </c>
      <c r="CV774" s="332">
        <f t="shared" si="3355"/>
        <v>0.10942381742276375</v>
      </c>
      <c r="CW774" s="332">
        <f t="shared" si="3355"/>
        <v>0.11715923961924224</v>
      </c>
      <c r="CX774" s="332">
        <f t="shared" si="3355"/>
        <v>7.4286727438278355E-2</v>
      </c>
      <c r="CY774" s="332">
        <f t="shared" si="3355"/>
        <v>9.5129798858276438E-2</v>
      </c>
      <c r="CZ774" s="332">
        <f t="shared" si="3355"/>
        <v>7.508335103779018E-3</v>
      </c>
      <c r="DA774" s="332">
        <f t="shared" si="3355"/>
        <v>0.17050836533183777</v>
      </c>
      <c r="DB774" s="332">
        <f t="shared" si="3355"/>
        <v>8.9669547375697434E-2</v>
      </c>
      <c r="DC774" s="332">
        <f t="shared" si="3355"/>
        <v>3.8237864127476762E-2</v>
      </c>
      <c r="DD774" s="332">
        <f t="shared" si="3355"/>
        <v>-0.10059719695853431</v>
      </c>
      <c r="DE774" s="332">
        <f t="shared" si="3355"/>
        <v>-3.6934466835152446E-2</v>
      </c>
      <c r="DF774" s="332">
        <f t="shared" si="3355"/>
        <v>0.12354285796743469</v>
      </c>
      <c r="DG774" s="332">
        <f t="shared" si="3355"/>
        <v>-0.26022906355364106</v>
      </c>
      <c r="DH774" s="332">
        <f t="shared" si="3355"/>
        <v>-7.0514652022997337E-2</v>
      </c>
      <c r="DI774" s="332">
        <f t="shared" si="3355"/>
        <v>-9.0734051432266649E-2</v>
      </c>
      <c r="DJ774" s="332">
        <f t="shared" si="3355"/>
        <v>0.47669767329846247</v>
      </c>
      <c r="DK774" s="332">
        <f t="shared" si="3355"/>
        <v>0.13762886886376546</v>
      </c>
      <c r="DL774" s="332">
        <f>DL773/DI773-1</f>
        <v>6.5818600627567836E-2</v>
      </c>
      <c r="DM774" s="332">
        <f>DM773/DJ773-1</f>
        <v>2.5421583518509205E-2</v>
      </c>
      <c r="DN774" s="332">
        <f>DN773/DK773-1</f>
        <v>4.4715208955318886E-2</v>
      </c>
      <c r="DO774" s="332">
        <f t="shared" ref="DO774:ER774" si="3356">DO773/DL773-1</f>
        <v>0.14439918274580088</v>
      </c>
      <c r="DP774" s="332">
        <f t="shared" si="3356"/>
        <v>0.17659091666560012</v>
      </c>
      <c r="DQ774" s="332">
        <f t="shared" si="3356"/>
        <v>0.16090556383974874</v>
      </c>
      <c r="DR774" s="334">
        <f t="shared" si="3356"/>
        <v>0.13874999999999993</v>
      </c>
      <c r="DS774" s="334">
        <f t="shared" si="3356"/>
        <v>0.13875000000000015</v>
      </c>
      <c r="DT774" s="334">
        <f t="shared" si="3356"/>
        <v>0.13875000000000015</v>
      </c>
      <c r="DU774" s="334">
        <f t="shared" si="3356"/>
        <v>6.6386388583973721E-2</v>
      </c>
      <c r="DV774" s="334">
        <f t="shared" si="3356"/>
        <v>6.6386388583973499E-2</v>
      </c>
      <c r="DW774" s="334">
        <f t="shared" si="3356"/>
        <v>6.6386388583973721E-2</v>
      </c>
      <c r="DX774" s="334">
        <f t="shared" si="3356"/>
        <v>6.9172419756289072E-2</v>
      </c>
      <c r="DY774" s="334">
        <f t="shared" si="3356"/>
        <v>6.9172419756289072E-2</v>
      </c>
      <c r="DZ774" s="334">
        <f t="shared" si="3356"/>
        <v>6.917241975628885E-2</v>
      </c>
      <c r="EA774" s="334">
        <f t="shared" si="3356"/>
        <v>7.1801205379744326E-2</v>
      </c>
      <c r="EB774" s="334">
        <f t="shared" si="3356"/>
        <v>7.1801205379744326E-2</v>
      </c>
      <c r="EC774" s="334">
        <f t="shared" si="3356"/>
        <v>7.1801205379744104E-2</v>
      </c>
      <c r="ED774" s="334">
        <f t="shared" si="3356"/>
        <v>7.4269089267501753E-2</v>
      </c>
      <c r="EE774" s="334">
        <f t="shared" si="3356"/>
        <v>7.4269089267501975E-2</v>
      </c>
      <c r="EF774" s="334">
        <f t="shared" si="3356"/>
        <v>7.4269089267501975E-2</v>
      </c>
      <c r="EG774" s="334">
        <f t="shared" si="3356"/>
        <v>7.6574928062444814E-2</v>
      </c>
      <c r="EH774" s="334">
        <f t="shared" si="3356"/>
        <v>7.6574928062444592E-2</v>
      </c>
      <c r="EI774" s="334">
        <f t="shared" si="3356"/>
        <v>7.6574928062444814E-2</v>
      </c>
      <c r="EJ774" s="334">
        <f t="shared" si="3356"/>
        <v>7.871980875854101E-2</v>
      </c>
      <c r="EK774" s="334">
        <f t="shared" si="3356"/>
        <v>7.8719808758540788E-2</v>
      </c>
      <c r="EL774" s="334">
        <f t="shared" si="3356"/>
        <v>7.871980875854101E-2</v>
      </c>
      <c r="EM774" s="334">
        <f t="shared" si="3356"/>
        <v>8.0706735089903558E-2</v>
      </c>
      <c r="EN774" s="334">
        <f t="shared" si="3356"/>
        <v>8.0706735089903558E-2</v>
      </c>
      <c r="EO774" s="334">
        <f t="shared" si="3356"/>
        <v>8.0706735089903558E-2</v>
      </c>
      <c r="EP774" s="334">
        <f t="shared" si="3356"/>
        <v>8.254030212876895E-2</v>
      </c>
      <c r="EQ774" s="334">
        <f t="shared" si="3356"/>
        <v>8.254030212876895E-2</v>
      </c>
      <c r="ER774" s="334">
        <f t="shared" si="3356"/>
        <v>8.254030212876895E-2</v>
      </c>
      <c r="ES774" s="334">
        <f t="shared" ref="ES774" si="3357">ES773/EP773-1</f>
        <v>8.422637523565113E-2</v>
      </c>
      <c r="ET774" s="334">
        <f t="shared" ref="ET774" si="3358">ET773/EQ773-1</f>
        <v>8.422637523565113E-2</v>
      </c>
      <c r="EU774" s="334">
        <f t="shared" ref="EU774" si="3359">EU773/ER773-1</f>
        <v>8.422637523565113E-2</v>
      </c>
      <c r="EV774" s="334">
        <f t="shared" ref="EV774" si="3360">EV773/ES773-1</f>
        <v>8.5771785881726181E-2</v>
      </c>
      <c r="EW774" s="334">
        <f t="shared" ref="EW774" si="3361">EW773/ET773-1</f>
        <v>8.5771785881725959E-2</v>
      </c>
      <c r="EX774" s="334">
        <f t="shared" ref="EX774" si="3362">EX773/EU773-1</f>
        <v>8.5771785881725959E-2</v>
      </c>
      <c r="EY774" s="334">
        <f t="shared" ref="EY774" si="3363">EY773/EV773-1</f>
        <v>8.7184053234195646E-2</v>
      </c>
      <c r="EZ774" s="334">
        <f t="shared" ref="EZ774" si="3364">EZ773/EW773-1</f>
        <v>8.7184053234195868E-2</v>
      </c>
      <c r="FA774" s="334">
        <f t="shared" ref="FA774" si="3365">FA773/EX773-1</f>
        <v>8.7184053234195868E-2</v>
      </c>
      <c r="FH774" s="35"/>
      <c r="FI774" s="35"/>
      <c r="FJ774" s="35"/>
      <c r="FK774" s="35"/>
      <c r="FL774" s="35"/>
      <c r="FM774" s="35"/>
      <c r="FN774" s="35"/>
      <c r="FO774" s="35"/>
      <c r="FP774" s="35"/>
      <c r="FQ774" s="35"/>
    </row>
    <row r="775" spans="1:173" s="321" customFormat="1" hidden="1" outlineLevel="1">
      <c r="A775" s="1174"/>
      <c r="D775" s="329"/>
      <c r="E775" s="22"/>
      <c r="F775" s="22"/>
      <c r="G775" s="23"/>
      <c r="H775" s="22"/>
      <c r="I775" s="22"/>
      <c r="J775" s="23"/>
      <c r="K775" s="22"/>
      <c r="L775" s="22"/>
      <c r="M775" s="23"/>
      <c r="N775" s="22"/>
      <c r="O775" s="22"/>
      <c r="P775" s="23"/>
      <c r="Q775" s="22"/>
      <c r="R775" s="22"/>
      <c r="S775" s="23"/>
      <c r="T775" s="22"/>
      <c r="U775" s="22"/>
      <c r="V775" s="23"/>
      <c r="W775" s="22"/>
      <c r="X775" s="22"/>
      <c r="Y775" s="23"/>
      <c r="Z775" s="22"/>
      <c r="AA775" s="22"/>
      <c r="AB775" s="23"/>
      <c r="AC775" s="22"/>
      <c r="AD775" s="22"/>
      <c r="AE775" s="23"/>
      <c r="AF775" s="22"/>
      <c r="AG775" s="22"/>
      <c r="AH775" s="23"/>
      <c r="AI775" s="22"/>
      <c r="AJ775" s="22"/>
      <c r="AK775" s="23"/>
      <c r="AL775" s="22"/>
      <c r="AM775" s="22"/>
      <c r="AN775" s="328"/>
      <c r="AO775" s="22"/>
      <c r="AP775" s="22"/>
      <c r="AQ775" s="328"/>
      <c r="AR775" s="22"/>
      <c r="AS775" s="22"/>
      <c r="AT775" s="328"/>
      <c r="AU775" s="22"/>
      <c r="AV775" s="22"/>
      <c r="AW775" s="328"/>
      <c r="AX775" s="330"/>
      <c r="AY775" s="330"/>
      <c r="AZ775" s="330"/>
      <c r="BA775" s="330"/>
      <c r="BB775" s="330"/>
      <c r="BC775" s="330"/>
      <c r="BD775" s="330"/>
      <c r="BE775" s="330"/>
      <c r="BF775" s="330"/>
      <c r="BG775" s="330"/>
      <c r="BH775" s="330"/>
      <c r="BI775" s="330"/>
      <c r="BJ775" s="330"/>
      <c r="BK775" s="330"/>
      <c r="BL775" s="330"/>
      <c r="BM775" s="330"/>
      <c r="BN775" s="330"/>
      <c r="BO775" s="330"/>
      <c r="BP775" s="330"/>
      <c r="BQ775" s="330"/>
      <c r="BR775" s="330"/>
      <c r="BS775" s="330"/>
      <c r="BT775" s="330"/>
      <c r="BU775" s="330"/>
      <c r="BV775" s="330"/>
      <c r="BW775" s="330"/>
      <c r="BX775" s="330"/>
      <c r="BY775" s="330"/>
      <c r="BZ775" s="330"/>
      <c r="CA775" s="330"/>
      <c r="CB775" s="330"/>
      <c r="CC775" s="330"/>
      <c r="CD775" s="330"/>
      <c r="CE775" s="330"/>
      <c r="CF775" s="330"/>
      <c r="CG775" s="330"/>
      <c r="CH775" s="330"/>
      <c r="CI775" s="330"/>
      <c r="CJ775" s="330"/>
      <c r="CK775" s="330"/>
      <c r="CL775" s="330"/>
      <c r="CM775" s="330"/>
      <c r="CN775" s="330"/>
      <c r="CO775" s="330"/>
      <c r="CP775" s="330"/>
      <c r="CQ775" s="330"/>
      <c r="CR775" s="330"/>
      <c r="CS775" s="330"/>
      <c r="CT775" s="330"/>
      <c r="CU775" s="330"/>
      <c r="CV775" s="330"/>
      <c r="CW775" s="330"/>
      <c r="CX775" s="330"/>
      <c r="CY775" s="330"/>
      <c r="CZ775" s="330"/>
      <c r="DA775" s="330"/>
      <c r="DB775" s="330"/>
      <c r="DC775" s="330"/>
      <c r="DD775" s="330"/>
      <c r="DE775" s="330"/>
      <c r="DF775" s="330"/>
      <c r="DG775" s="330"/>
      <c r="DH775" s="330"/>
      <c r="DI775" s="330"/>
      <c r="DJ775" s="330"/>
      <c r="DK775" s="330"/>
      <c r="DL775" s="330"/>
      <c r="DM775" s="330"/>
      <c r="DN775" s="330"/>
      <c r="DO775" s="330"/>
      <c r="DP775" s="330"/>
      <c r="DQ775" s="330"/>
      <c r="DR775" s="66"/>
      <c r="DS775" s="66"/>
      <c r="DT775" s="163"/>
      <c r="DU775" s="66"/>
      <c r="DV775" s="66"/>
      <c r="DW775" s="163"/>
      <c r="DX775" s="66"/>
      <c r="DY775" s="66"/>
      <c r="DZ775" s="163"/>
      <c r="EA775" s="66"/>
      <c r="EB775" s="66"/>
      <c r="EC775" s="163"/>
      <c r="ED775" s="66"/>
      <c r="EE775" s="66"/>
      <c r="EF775" s="163"/>
      <c r="EG775" s="66"/>
      <c r="EH775" s="66"/>
      <c r="EI775" s="163"/>
      <c r="EJ775" s="66"/>
      <c r="EK775" s="66"/>
      <c r="EL775" s="163"/>
      <c r="EM775" s="66"/>
      <c r="EN775" s="66"/>
      <c r="EO775" s="163"/>
      <c r="EP775" s="66"/>
      <c r="EQ775" s="66"/>
      <c r="ER775" s="163"/>
      <c r="ES775" s="66"/>
      <c r="ET775" s="66"/>
      <c r="EU775" s="163"/>
      <c r="EV775" s="66"/>
      <c r="EW775" s="66"/>
      <c r="EX775" s="163"/>
      <c r="EY775" s="66"/>
      <c r="EZ775" s="66"/>
      <c r="FA775" s="163"/>
      <c r="FH775" s="35"/>
      <c r="FI775" s="35"/>
      <c r="FJ775" s="35"/>
      <c r="FK775" s="35"/>
      <c r="FL775" s="35"/>
      <c r="FM775" s="35"/>
      <c r="FN775" s="35"/>
      <c r="FO775" s="35"/>
      <c r="FP775" s="35"/>
      <c r="FQ775" s="35"/>
    </row>
    <row r="776" spans="1:173" s="321" customFormat="1" hidden="1" outlineLevel="1">
      <c r="A776" s="1174"/>
      <c r="D776" s="329"/>
      <c r="E776" s="22"/>
      <c r="F776" s="22"/>
      <c r="G776" s="23"/>
      <c r="H776" s="22"/>
      <c r="I776" s="22"/>
      <c r="J776" s="23"/>
      <c r="K776" s="22"/>
      <c r="L776" s="22"/>
      <c r="M776" s="23"/>
      <c r="N776" s="22"/>
      <c r="O776" s="22"/>
      <c r="P776" s="23"/>
      <c r="Q776" s="22"/>
      <c r="R776" s="22"/>
      <c r="S776" s="23"/>
      <c r="T776" s="22"/>
      <c r="U776" s="22"/>
      <c r="V776" s="23"/>
      <c r="W776" s="22"/>
      <c r="X776" s="22"/>
      <c r="Y776" s="23"/>
      <c r="Z776" s="22"/>
      <c r="AA776" s="22"/>
      <c r="AB776" s="23"/>
      <c r="AC776" s="22"/>
      <c r="AD776" s="22"/>
      <c r="AE776" s="23"/>
      <c r="AF776" s="22"/>
      <c r="AG776" s="22"/>
      <c r="AH776" s="23"/>
      <c r="AI776" s="22"/>
      <c r="AJ776" s="22"/>
      <c r="AK776" s="23"/>
      <c r="AL776" s="22"/>
      <c r="AM776" s="22"/>
      <c r="AN776" s="328"/>
      <c r="AO776" s="22"/>
      <c r="AP776" s="22"/>
      <c r="AQ776" s="328"/>
      <c r="AR776" s="22"/>
      <c r="AS776" s="22"/>
      <c r="AT776" s="328"/>
      <c r="AU776" s="22"/>
      <c r="AV776" s="22"/>
      <c r="AW776" s="328"/>
      <c r="AX776" s="330"/>
      <c r="AY776" s="330"/>
      <c r="AZ776" s="330"/>
      <c r="BA776" s="330"/>
      <c r="BB776" s="330"/>
      <c r="BC776" s="330"/>
      <c r="BD776" s="330"/>
      <c r="BE776" s="330"/>
      <c r="BF776" s="330"/>
      <c r="BG776" s="330"/>
      <c r="BH776" s="330"/>
      <c r="BI776" s="330"/>
      <c r="BJ776" s="330"/>
      <c r="BK776" s="330"/>
      <c r="BL776" s="330"/>
      <c r="BM776" s="330"/>
      <c r="BN776" s="330"/>
      <c r="BO776" s="330"/>
      <c r="BP776" s="330"/>
      <c r="BQ776" s="330"/>
      <c r="BR776" s="330"/>
      <c r="BS776" s="330"/>
      <c r="BT776" s="330"/>
      <c r="BU776" s="330"/>
      <c r="BV776" s="330"/>
      <c r="BW776" s="330"/>
      <c r="BX776" s="330"/>
      <c r="BY776" s="330"/>
      <c r="BZ776" s="330"/>
      <c r="CA776" s="330"/>
      <c r="CB776" s="330"/>
      <c r="CC776" s="330"/>
      <c r="CD776" s="330"/>
      <c r="CE776" s="330"/>
      <c r="CF776" s="330"/>
      <c r="CG776" s="330"/>
      <c r="CH776" s="330"/>
      <c r="CI776" s="330"/>
      <c r="CJ776" s="330"/>
      <c r="CK776" s="330"/>
      <c r="CL776" s="330"/>
      <c r="CM776" s="330"/>
      <c r="CN776" s="330"/>
      <c r="CO776" s="330"/>
      <c r="CP776" s="330"/>
      <c r="CQ776" s="330"/>
      <c r="CR776" s="330"/>
      <c r="CS776" s="330"/>
      <c r="CT776" s="330"/>
      <c r="CU776" s="330"/>
      <c r="CV776" s="330"/>
      <c r="CW776" s="330"/>
      <c r="CX776" s="330"/>
      <c r="CY776" s="330"/>
      <c r="CZ776" s="330"/>
      <c r="DA776" s="330"/>
      <c r="DB776" s="330"/>
      <c r="DC776" s="330"/>
      <c r="DD776" s="330"/>
      <c r="DE776" s="330"/>
      <c r="DF776" s="330"/>
      <c r="DG776" s="330"/>
      <c r="DH776" s="330"/>
      <c r="DI776" s="330"/>
      <c r="DJ776" s="330"/>
      <c r="DK776" s="330"/>
      <c r="DL776" s="330"/>
      <c r="DM776" s="330"/>
      <c r="DN776" s="330"/>
      <c r="DO776" s="330"/>
      <c r="DP776" s="330"/>
      <c r="DQ776" s="330"/>
      <c r="DR776" s="66"/>
      <c r="DS776" s="66"/>
      <c r="DT776" s="163"/>
      <c r="DU776" s="66"/>
      <c r="DV776" s="66"/>
      <c r="DW776" s="163"/>
      <c r="DX776" s="66"/>
      <c r="DY776" s="66"/>
      <c r="DZ776" s="163"/>
      <c r="EA776" s="66"/>
      <c r="EB776" s="66"/>
      <c r="EC776" s="163"/>
      <c r="ED776" s="66"/>
      <c r="EE776" s="66"/>
      <c r="EF776" s="163"/>
      <c r="EG776" s="66"/>
      <c r="EH776" s="66"/>
      <c r="EI776" s="163"/>
      <c r="EJ776" s="66"/>
      <c r="EK776" s="66"/>
      <c r="EL776" s="163"/>
      <c r="EM776" s="66"/>
      <c r="EN776" s="66"/>
      <c r="EO776" s="163"/>
      <c r="EP776" s="66"/>
      <c r="EQ776" s="66"/>
      <c r="ER776" s="163"/>
      <c r="ES776" s="66"/>
      <c r="ET776" s="66"/>
      <c r="EU776" s="163"/>
      <c r="EV776" s="66"/>
      <c r="EW776" s="66"/>
      <c r="EX776" s="163"/>
      <c r="EY776" s="66"/>
      <c r="EZ776" s="66"/>
      <c r="FA776" s="163"/>
      <c r="FH776" s="35"/>
      <c r="FI776" s="35"/>
      <c r="FJ776" s="35"/>
      <c r="FK776" s="35"/>
      <c r="FL776" s="35"/>
      <c r="FM776" s="35"/>
      <c r="FN776" s="35"/>
      <c r="FO776" s="35"/>
      <c r="FP776" s="35"/>
      <c r="FQ776" s="35"/>
    </row>
    <row r="777" spans="1:173" s="321" customFormat="1" hidden="1" outlineLevel="1">
      <c r="A777" s="1174"/>
      <c r="B777" s="331" t="s">
        <v>1005</v>
      </c>
      <c r="D777" s="329"/>
      <c r="E777" s="22"/>
      <c r="F777" s="22"/>
      <c r="G777" s="23"/>
      <c r="H777" s="22"/>
      <c r="I777" s="22"/>
      <c r="J777" s="23"/>
      <c r="K777" s="22"/>
      <c r="L777" s="22"/>
      <c r="M777" s="23"/>
      <c r="N777" s="22"/>
      <c r="O777" s="22"/>
      <c r="P777" s="23"/>
      <c r="Q777" s="22"/>
      <c r="R777" s="22"/>
      <c r="S777" s="23"/>
      <c r="T777" s="22"/>
      <c r="U777" s="22"/>
      <c r="V777" s="23"/>
      <c r="W777" s="22"/>
      <c r="X777" s="22"/>
      <c r="Y777" s="23"/>
      <c r="Z777" s="22"/>
      <c r="AA777" s="22"/>
      <c r="AB777" s="23"/>
      <c r="AC777" s="22"/>
      <c r="AD777" s="22"/>
      <c r="AE777" s="23"/>
      <c r="AF777" s="22"/>
      <c r="AG777" s="22"/>
      <c r="AH777" s="23"/>
      <c r="AI777" s="22"/>
      <c r="AJ777" s="22"/>
      <c r="AK777" s="23"/>
      <c r="AL777" s="22"/>
      <c r="AM777" s="22"/>
      <c r="AN777" s="328"/>
      <c r="AO777" s="22"/>
      <c r="AP777" s="22"/>
      <c r="AQ777" s="328"/>
      <c r="AR777" s="22"/>
      <c r="AS777" s="22"/>
      <c r="AT777" s="328"/>
      <c r="AU777" s="22"/>
      <c r="AV777" s="22"/>
      <c r="AW777" s="328"/>
      <c r="AX777" s="993"/>
      <c r="AY777" s="993"/>
      <c r="AZ777" s="163"/>
      <c r="BA777" s="66"/>
      <c r="BB777" s="66"/>
      <c r="BC777" s="56"/>
      <c r="BD777" s="66"/>
      <c r="BE777" s="66"/>
      <c r="BF777" s="56"/>
      <c r="BG777" s="66"/>
      <c r="BH777" s="66"/>
      <c r="BI777" s="56"/>
      <c r="BJ777" s="994"/>
      <c r="BK777" s="994"/>
      <c r="BL777" s="995"/>
      <c r="BM777" s="994"/>
      <c r="BN777" s="994"/>
      <c r="BO777" s="995"/>
      <c r="BP777" s="994"/>
      <c r="BQ777" s="994"/>
      <c r="BR777" s="995"/>
      <c r="BS777" s="66"/>
      <c r="BT777" s="66"/>
      <c r="BU777" s="163"/>
      <c r="BV777" s="66"/>
      <c r="BW777" s="66"/>
      <c r="BX777" s="163"/>
      <c r="BY777" s="66"/>
      <c r="BZ777" s="66"/>
      <c r="CA777" s="163"/>
      <c r="CB777" s="66"/>
      <c r="CC777" s="66"/>
      <c r="CD777" s="163"/>
      <c r="CE777" s="66"/>
      <c r="CF777" s="66"/>
      <c r="CG777" s="163"/>
      <c r="CH777" s="66"/>
      <c r="CI777" s="66"/>
      <c r="CJ777" s="163"/>
      <c r="CK777" s="66"/>
      <c r="CL777" s="66"/>
      <c r="CM777" s="163"/>
      <c r="CN777" s="66"/>
      <c r="CO777" s="66"/>
      <c r="CP777" s="163"/>
      <c r="CQ777" s="66"/>
      <c r="CR777" s="66"/>
      <c r="CS777" s="163"/>
      <c r="CT777" s="66"/>
      <c r="CU777" s="66"/>
      <c r="CV777" s="163"/>
      <c r="CW777" s="66"/>
      <c r="CX777" s="66"/>
      <c r="CY777" s="163"/>
      <c r="CZ777" s="66"/>
      <c r="DA777" s="66"/>
      <c r="DB777" s="163"/>
      <c r="DC777" s="66"/>
      <c r="DD777" s="66"/>
      <c r="DE777" s="163"/>
      <c r="DF777" s="66"/>
      <c r="DG777" s="66"/>
      <c r="DH777" s="163"/>
      <c r="DI777" s="66"/>
      <c r="DJ777" s="66"/>
      <c r="DK777" s="163"/>
      <c r="DL777" s="66"/>
      <c r="DM777" s="66"/>
      <c r="DN777" s="163"/>
      <c r="DO777" s="66"/>
      <c r="DP777" s="66"/>
      <c r="DQ777" s="163"/>
      <c r="DR777" s="66"/>
      <c r="DS777" s="66"/>
      <c r="DT777" s="163"/>
      <c r="DU777" s="66"/>
      <c r="DV777" s="66"/>
      <c r="DW777" s="163"/>
      <c r="DX777" s="66"/>
      <c r="DY777" s="66"/>
      <c r="DZ777" s="163"/>
      <c r="EA777" s="66"/>
      <c r="EB777" s="66"/>
      <c r="EC777" s="163"/>
      <c r="ED777" s="66"/>
      <c r="EE777" s="66"/>
      <c r="EF777" s="163"/>
      <c r="EG777" s="66"/>
      <c r="EH777" s="66"/>
      <c r="EI777" s="163"/>
      <c r="EJ777" s="66"/>
      <c r="EK777" s="66"/>
      <c r="EL777" s="163"/>
      <c r="EM777" s="66"/>
      <c r="EN777" s="66"/>
      <c r="EO777" s="163"/>
      <c r="EP777" s="66"/>
      <c r="EQ777" s="66"/>
      <c r="ER777" s="163"/>
      <c r="ES777" s="66"/>
      <c r="ET777" s="66"/>
      <c r="EU777" s="163"/>
      <c r="EV777" s="66"/>
      <c r="EW777" s="66"/>
      <c r="EX777" s="163"/>
      <c r="EY777" s="66"/>
      <c r="EZ777" s="66"/>
      <c r="FA777" s="163"/>
      <c r="FH777" s="35"/>
      <c r="FI777" s="35"/>
      <c r="FJ777" s="35"/>
      <c r="FK777" s="35"/>
      <c r="FL777" s="35"/>
      <c r="FM777" s="35"/>
      <c r="FN777" s="35"/>
      <c r="FO777" s="35"/>
      <c r="FP777" s="35"/>
      <c r="FQ777" s="35"/>
    </row>
    <row r="778" spans="1:173" s="321" customFormat="1" hidden="1" outlineLevel="1">
      <c r="A778" s="1174"/>
      <c r="C778" s="321" t="s">
        <v>993</v>
      </c>
      <c r="D778" s="329"/>
      <c r="E778" s="22"/>
      <c r="F778" s="22"/>
      <c r="G778" s="23"/>
      <c r="H778" s="22"/>
      <c r="I778" s="22"/>
      <c r="J778" s="23"/>
      <c r="K778" s="22"/>
      <c r="L778" s="22"/>
      <c r="M778" s="23"/>
      <c r="N778" s="22"/>
      <c r="O778" s="22"/>
      <c r="P778" s="23"/>
      <c r="Q778" s="22"/>
      <c r="R778" s="22"/>
      <c r="S778" s="23"/>
      <c r="T778" s="22"/>
      <c r="U778" s="22"/>
      <c r="V778" s="23"/>
      <c r="W778" s="22"/>
      <c r="X778" s="22"/>
      <c r="Y778" s="23"/>
      <c r="Z778" s="22"/>
      <c r="AA778" s="22"/>
      <c r="AB778" s="23"/>
      <c r="AC778" s="22"/>
      <c r="AD778" s="22"/>
      <c r="AE778" s="23"/>
      <c r="AF778" s="22"/>
      <c r="AG778" s="22"/>
      <c r="AH778" s="23"/>
      <c r="AI778" s="22"/>
      <c r="AJ778" s="22"/>
      <c r="AK778" s="23"/>
      <c r="AL778" s="22"/>
      <c r="AM778" s="22"/>
      <c r="AN778" s="328"/>
      <c r="AO778" s="22"/>
      <c r="AP778" s="22"/>
      <c r="AQ778" s="328"/>
      <c r="AR778" s="22"/>
      <c r="AS778" s="22"/>
      <c r="AT778" s="328"/>
      <c r="AU778" s="22"/>
      <c r="AV778" s="22"/>
      <c r="AW778" s="328"/>
      <c r="AX778" s="993"/>
      <c r="AY778" s="993"/>
      <c r="AZ778" s="163"/>
      <c r="BA778" s="66"/>
      <c r="BB778" s="66"/>
      <c r="BC778" s="56"/>
      <c r="BD778" s="66"/>
      <c r="BE778" s="66"/>
      <c r="BF778" s="56"/>
      <c r="BG778" s="66"/>
      <c r="BH778" s="66"/>
      <c r="BI778" s="56"/>
      <c r="BJ778" s="994"/>
      <c r="BK778" s="994"/>
      <c r="BL778" s="995"/>
      <c r="BM778" s="994"/>
      <c r="BN778" s="994"/>
      <c r="BO778" s="995"/>
      <c r="BP778" s="994"/>
      <c r="BQ778" s="994"/>
      <c r="BR778" s="995"/>
      <c r="BS778" s="66"/>
      <c r="BT778" s="66"/>
      <c r="BU778" s="163"/>
      <c r="BV778" s="66"/>
      <c r="BW778" s="66"/>
      <c r="BX778" s="163"/>
      <c r="BY778" s="66"/>
      <c r="BZ778" s="66"/>
      <c r="CA778" s="163"/>
      <c r="CB778" s="66"/>
      <c r="CC778" s="66"/>
      <c r="CD778" s="163"/>
      <c r="CE778" s="66"/>
      <c r="CF778" s="66"/>
      <c r="CG778" s="163"/>
      <c r="CH778" s="66"/>
      <c r="CI778" s="66"/>
      <c r="CJ778" s="163"/>
      <c r="CK778" s="66"/>
      <c r="CL778" s="66"/>
      <c r="CM778" s="163"/>
      <c r="CN778" s="66"/>
      <c r="CO778" s="66"/>
      <c r="CP778" s="163"/>
      <c r="CQ778" s="66"/>
      <c r="CR778" s="66"/>
      <c r="CS778" s="163"/>
      <c r="CT778" s="66"/>
      <c r="CU778" s="66"/>
      <c r="CV778" s="163"/>
      <c r="CW778" s="66"/>
      <c r="CX778" s="66"/>
      <c r="CY778" s="163"/>
      <c r="CZ778" s="66"/>
      <c r="DA778" s="66"/>
      <c r="DB778" s="163"/>
      <c r="DC778" s="66"/>
      <c r="DD778" s="66"/>
      <c r="DE778" s="163"/>
      <c r="DF778" s="66"/>
      <c r="DG778" s="66"/>
      <c r="DH778" s="163"/>
      <c r="DI778" s="66"/>
      <c r="DJ778" s="66"/>
      <c r="DK778" s="163"/>
      <c r="DL778" s="66"/>
      <c r="DM778" s="66"/>
      <c r="DN778" s="163"/>
      <c r="DO778" s="66"/>
      <c r="DP778" s="66"/>
      <c r="DQ778" s="163"/>
      <c r="DR778" s="66"/>
      <c r="DS778" s="66"/>
      <c r="DT778" s="163"/>
      <c r="DU778" s="66"/>
      <c r="DV778" s="66"/>
      <c r="DW778" s="163"/>
      <c r="DX778" s="66"/>
      <c r="DY778" s="66"/>
      <c r="DZ778" s="163"/>
      <c r="EA778" s="66"/>
      <c r="EB778" s="66"/>
      <c r="EC778" s="163"/>
      <c r="ED778" s="66"/>
      <c r="EE778" s="66"/>
      <c r="EF778" s="163"/>
      <c r="EG778" s="66"/>
      <c r="EH778" s="66"/>
      <c r="EI778" s="163"/>
      <c r="EJ778" s="66"/>
      <c r="EK778" s="66"/>
      <c r="EL778" s="163"/>
      <c r="EM778" s="66"/>
      <c r="EN778" s="66"/>
      <c r="EO778" s="163"/>
      <c r="EP778" s="66"/>
      <c r="EQ778" s="66"/>
      <c r="ER778" s="163"/>
      <c r="ES778" s="66"/>
      <c r="ET778" s="66"/>
      <c r="EU778" s="163"/>
      <c r="EV778" s="66"/>
      <c r="EW778" s="66"/>
      <c r="EX778" s="163"/>
      <c r="EY778" s="66"/>
      <c r="EZ778" s="66"/>
      <c r="FA778" s="163"/>
      <c r="FH778" s="35"/>
      <c r="FI778" s="35"/>
      <c r="FJ778" s="35"/>
      <c r="FK778" s="35"/>
      <c r="FL778" s="35"/>
      <c r="FM778" s="35"/>
      <c r="FN778" s="35"/>
      <c r="FO778" s="35"/>
      <c r="FP778" s="35"/>
      <c r="FQ778" s="35"/>
    </row>
    <row r="779" spans="1:173" s="321" customFormat="1" hidden="1" outlineLevel="1">
      <c r="A779" s="1174"/>
      <c r="C779" s="186" t="s">
        <v>316</v>
      </c>
      <c r="D779" s="329" t="s">
        <v>460</v>
      </c>
      <c r="E779" s="22"/>
      <c r="F779" s="22"/>
      <c r="G779" s="23"/>
      <c r="H779" s="22"/>
      <c r="I779" s="22"/>
      <c r="J779" s="23"/>
      <c r="K779" s="22"/>
      <c r="L779" s="22"/>
      <c r="M779" s="23"/>
      <c r="N779" s="22"/>
      <c r="O779" s="22"/>
      <c r="P779" s="23"/>
      <c r="Q779" s="22"/>
      <c r="R779" s="22"/>
      <c r="S779" s="23"/>
      <c r="T779" s="22"/>
      <c r="U779" s="22"/>
      <c r="V779" s="23"/>
      <c r="W779" s="22"/>
      <c r="X779" s="22"/>
      <c r="Y779" s="23"/>
      <c r="Z779" s="22"/>
      <c r="AA779" s="22"/>
      <c r="AB779" s="23"/>
      <c r="AC779" s="22"/>
      <c r="AD779" s="22"/>
      <c r="AE779" s="23"/>
      <c r="AF779" s="22"/>
      <c r="AG779" s="22"/>
      <c r="AH779" s="23"/>
      <c r="AI779" s="22"/>
      <c r="AJ779" s="22"/>
      <c r="AK779" s="23"/>
      <c r="AL779" s="22"/>
      <c r="AM779" s="22"/>
      <c r="AN779" s="328"/>
      <c r="AO779" s="22"/>
      <c r="AP779" s="22"/>
      <c r="AQ779" s="328"/>
      <c r="AR779" s="22"/>
      <c r="AS779" s="22"/>
      <c r="AT779" s="328"/>
      <c r="AU779" s="22"/>
      <c r="AV779" s="22"/>
      <c r="AW779" s="328"/>
      <c r="AX779" s="173">
        <f>((AX751-AX745)/1000000)/AX733</f>
        <v>1.3909368970875311E-2</v>
      </c>
      <c r="AY779" s="173">
        <f>((AY751-AY745)/1000000)/AY733</f>
        <v>1.514219701933946E-2</v>
      </c>
      <c r="AZ779" s="173">
        <f>((AZ751-AZ745)/1000000)/AZ733</f>
        <v>1.3917545105256689E-2</v>
      </c>
      <c r="BA779" s="173">
        <f>((BA751-BA745)/1000000)/BA733</f>
        <v>1.6730507731549812E-2</v>
      </c>
      <c r="BB779" s="173">
        <f t="shared" ref="BB779:DM779" si="3366">((BB751-BB745)/1000000)/BB733</f>
        <v>1.8200807568194859E-2</v>
      </c>
      <c r="BC779" s="173">
        <f t="shared" si="3366"/>
        <v>1.6740342173339962E-2</v>
      </c>
      <c r="BD779" s="173">
        <f t="shared" si="3366"/>
        <v>2.0095182065262784E-2</v>
      </c>
      <c r="BE779" s="173">
        <f t="shared" si="3366"/>
        <v>2.177324732671965E-2</v>
      </c>
      <c r="BF779" s="173">
        <f t="shared" si="3366"/>
        <v>2.0106994312772207E-2</v>
      </c>
      <c r="BG779" s="173">
        <f t="shared" si="3366"/>
        <v>2.3843131181190347E-2</v>
      </c>
      <c r="BH779" s="173">
        <f t="shared" si="3366"/>
        <v>2.5860164464286513E-2</v>
      </c>
      <c r="BI779" s="173">
        <f t="shared" si="3366"/>
        <v>2.3857146529048211E-2</v>
      </c>
      <c r="BJ779" s="173">
        <f t="shared" si="3366"/>
        <v>2.8036039864023504E-2</v>
      </c>
      <c r="BK779" s="173">
        <f t="shared" si="3366"/>
        <v>2.9917473114476702E-2</v>
      </c>
      <c r="BL779" s="173">
        <f t="shared" si="3366"/>
        <v>2.805251986609476E-2</v>
      </c>
      <c r="BM779" s="173">
        <f t="shared" si="3366"/>
        <v>3.2425018596787168E-2</v>
      </c>
      <c r="BN779" s="173">
        <f t="shared" si="3366"/>
        <v>3.5052945515620333E-2</v>
      </c>
      <c r="BO779" s="173">
        <f t="shared" si="3366"/>
        <v>3.2492032425265445E-2</v>
      </c>
      <c r="BP779" s="173">
        <f t="shared" si="3366"/>
        <v>3.7846468320951822E-2</v>
      </c>
      <c r="BQ779" s="173">
        <f t="shared" si="3366"/>
        <v>4.1338911032253463E-2</v>
      </c>
      <c r="BR779" s="173">
        <f t="shared" si="3366"/>
        <v>3.7924686833888006E-2</v>
      </c>
      <c r="BS779" s="173">
        <f t="shared" si="3366"/>
        <v>4.4469397922422257E-2</v>
      </c>
      <c r="BT779" s="173">
        <f t="shared" si="3366"/>
        <v>4.8719944971384016E-2</v>
      </c>
      <c r="BU779" s="173">
        <f t="shared" si="3366"/>
        <v>4.4561304256909316E-2</v>
      </c>
      <c r="BV779" s="173">
        <f t="shared" si="3366"/>
        <v>5.270603843747191E-2</v>
      </c>
      <c r="BW779" s="173">
        <f t="shared" si="3366"/>
        <v>5.7276017211289228E-2</v>
      </c>
      <c r="BX779" s="173">
        <f t="shared" si="3366"/>
        <v>5.2814967701739726E-2</v>
      </c>
      <c r="BY779" s="173">
        <f t="shared" si="3366"/>
        <v>6.1686660325841233E-2</v>
      </c>
      <c r="BZ779" s="173">
        <f t="shared" si="3366"/>
        <v>6.6351372574967121E-2</v>
      </c>
      <c r="CA779" s="173">
        <f t="shared" si="3366"/>
        <v>6.1814150130114862E-2</v>
      </c>
      <c r="CB779" s="173">
        <f t="shared" si="3366"/>
        <v>7.0869871379386565E-2</v>
      </c>
      <c r="CC779" s="173">
        <f t="shared" si="3366"/>
        <v>7.5943758824198973E-2</v>
      </c>
      <c r="CD779" s="173">
        <f t="shared" si="3366"/>
        <v>7.1016340421207427E-2</v>
      </c>
      <c r="CE779" s="173">
        <f t="shared" si="3366"/>
        <v>8.1493147994475421E-2</v>
      </c>
      <c r="CF779" s="173">
        <f t="shared" si="3366"/>
        <v>8.7310600688422099E-2</v>
      </c>
      <c r="CG779" s="173">
        <f t="shared" si="3366"/>
        <v>8.1661572503641242E-2</v>
      </c>
      <c r="CH779" s="173">
        <f t="shared" si="3366"/>
        <v>9.3673271293872207E-2</v>
      </c>
      <c r="CI779" s="173">
        <f t="shared" si="3366"/>
        <v>9.8697909255732644E-2</v>
      </c>
      <c r="CJ779" s="173">
        <f t="shared" si="3366"/>
        <v>9.38668688554819E-2</v>
      </c>
      <c r="CK779" s="173">
        <f t="shared" si="3366"/>
        <v>0.10475717081064152</v>
      </c>
      <c r="CL779" s="173">
        <f t="shared" si="3366"/>
        <v>0.11024435341742864</v>
      </c>
      <c r="CM779" s="173">
        <f t="shared" si="3366"/>
        <v>0.10497367582375719</v>
      </c>
      <c r="CN779" s="173">
        <f t="shared" si="3366"/>
        <v>0.11558973032438512</v>
      </c>
      <c r="CO779" s="173">
        <f t="shared" si="3366"/>
        <v>0.12093243066010688</v>
      </c>
      <c r="CP779" s="173">
        <f t="shared" si="3366"/>
        <v>0.11582862333654137</v>
      </c>
      <c r="CQ779" s="173">
        <f t="shared" si="3366"/>
        <v>0.12706100639231505</v>
      </c>
      <c r="CR779" s="173">
        <f t="shared" si="3366"/>
        <v>0.13330502609976475</v>
      </c>
      <c r="CS779" s="173">
        <f t="shared" si="3366"/>
        <v>0.12732360745955065</v>
      </c>
      <c r="CT779" s="173">
        <f t="shared" si="3366"/>
        <v>0.14034003418913357</v>
      </c>
      <c r="CU779" s="173">
        <f t="shared" si="3366"/>
        <v>0.14718678901681767</v>
      </c>
      <c r="CV779" s="173">
        <f t="shared" si="3366"/>
        <v>0.14063007945007036</v>
      </c>
      <c r="CW779" s="173">
        <f t="shared" si="3366"/>
        <v>0.15439487714795397</v>
      </c>
      <c r="CX779" s="173">
        <f t="shared" si="3366"/>
        <v>0.16256959500207629</v>
      </c>
      <c r="CY779" s="173">
        <f t="shared" si="3366"/>
        <v>0.15471397000473164</v>
      </c>
      <c r="CZ779" s="173">
        <f t="shared" si="3366"/>
        <v>0.17070840526683875</v>
      </c>
      <c r="DA779" s="173">
        <f t="shared" si="3366"/>
        <v>0.17976912798720937</v>
      </c>
      <c r="DB779" s="173">
        <f t="shared" si="3366"/>
        <v>0.17106121381669981</v>
      </c>
      <c r="DC779" s="173">
        <f t="shared" si="3366"/>
        <v>0.18860976779202407</v>
      </c>
      <c r="DD779" s="173">
        <f t="shared" si="3366"/>
        <v>0.19743101998700882</v>
      </c>
      <c r="DE779" s="173">
        <f t="shared" si="3366"/>
        <v>0.18899957366338893</v>
      </c>
      <c r="DF779" s="173">
        <f t="shared" si="3366"/>
        <v>0.20522019844751321</v>
      </c>
      <c r="DG779" s="173">
        <f t="shared" si="3366"/>
        <v>0.21489742933645098</v>
      </c>
      <c r="DH779" s="173">
        <f t="shared" si="3366"/>
        <v>0.20564433362998011</v>
      </c>
      <c r="DI779" s="173">
        <f t="shared" si="3366"/>
        <v>0.22062305527244991</v>
      </c>
      <c r="DJ779" s="173">
        <f t="shared" si="3366"/>
        <v>0.22921226713195994</v>
      </c>
      <c r="DK779" s="173">
        <f t="shared" si="3366"/>
        <v>0.22107902403435667</v>
      </c>
      <c r="DL779" s="173">
        <f t="shared" si="3366"/>
        <v>0.23786241824461501</v>
      </c>
      <c r="DM779" s="173">
        <f t="shared" si="3366"/>
        <v>0.24647158662189</v>
      </c>
      <c r="DN779" s="173">
        <f t="shared" ref="DN779:DW779" si="3367">((DN751-DN745)/1000000)/DN733</f>
        <v>0.23835401615226437</v>
      </c>
      <c r="DO779" s="173">
        <f t="shared" si="3367"/>
        <v>0.25547884304551699</v>
      </c>
      <c r="DP779" s="173">
        <f t="shared" si="3367"/>
        <v>0.26577527980673449</v>
      </c>
      <c r="DQ779" s="173">
        <f t="shared" si="3367"/>
        <v>0.25600684938471391</v>
      </c>
      <c r="DR779" s="173">
        <f t="shared" si="3367"/>
        <v>0.27696055735422576</v>
      </c>
      <c r="DS779" s="173">
        <f t="shared" si="3367"/>
        <v>0.28934016632499288</v>
      </c>
      <c r="DT779" s="173">
        <f t="shared" si="3367"/>
        <v>0.27753296064307459</v>
      </c>
      <c r="DU779" s="173">
        <f t="shared" si="3367"/>
        <v>0.30052548084501607</v>
      </c>
      <c r="DV779" s="173">
        <f t="shared" si="3367"/>
        <v>0.31271511119885925</v>
      </c>
      <c r="DW779" s="173">
        <f t="shared" si="3367"/>
        <v>0.30114658651891368</v>
      </c>
      <c r="DX779" s="173">
        <f t="shared" ref="DX779:ER779" si="3368">((DX751-DX745)/1000000)/DX733</f>
        <v>0.32567915160388616</v>
      </c>
      <c r="DY779" s="173">
        <f t="shared" si="3368"/>
        <v>0.33889438546372352</v>
      </c>
      <c r="DZ779" s="173">
        <f t="shared" si="3368"/>
        <v>0.32635224317789358</v>
      </c>
      <c r="EA779" s="173">
        <f t="shared" si="3368"/>
        <v>0.35311886321138009</v>
      </c>
      <c r="EB779" s="173">
        <f t="shared" si="3368"/>
        <v>0.36898429082084294</v>
      </c>
      <c r="EC779" s="173">
        <f t="shared" si="3368"/>
        <v>0.35384866531962128</v>
      </c>
      <c r="ED779" s="173">
        <f t="shared" si="3368"/>
        <v>0.38414873162512292</v>
      </c>
      <c r="EE779" s="173">
        <f t="shared" si="3368"/>
        <v>0.40139058229399405</v>
      </c>
      <c r="EF779" s="173">
        <f t="shared" si="3368"/>
        <v>0.38494266416010148</v>
      </c>
      <c r="EG779" s="173">
        <f t="shared" si="3368"/>
        <v>0.41787060721994823</v>
      </c>
      <c r="EH779" s="173">
        <f t="shared" si="3368"/>
        <v>0.43660834456485448</v>
      </c>
      <c r="EI779" s="173">
        <f t="shared" si="3368"/>
        <v>0.4187342338394599</v>
      </c>
      <c r="EJ779" s="173">
        <f t="shared" si="3368"/>
        <v>0.45451813691790172</v>
      </c>
      <c r="EK779" s="173">
        <f t="shared" si="3368"/>
        <v>0.47488159298906207</v>
      </c>
      <c r="EL779" s="173">
        <f t="shared" si="3368"/>
        <v>0.45545750416534875</v>
      </c>
      <c r="EM779" s="173">
        <f t="shared" si="3368"/>
        <v>0.49434524622156034</v>
      </c>
      <c r="EN779" s="173">
        <f t="shared" si="3368"/>
        <v>0.51647552139574426</v>
      </c>
      <c r="EO779" s="173">
        <f t="shared" si="3368"/>
        <v>0.49536692543634508</v>
      </c>
      <c r="EP779" s="173">
        <f t="shared" si="3368"/>
        <v>0.53762789922451737</v>
      </c>
      <c r="EQ779" s="173">
        <f t="shared" si="3368"/>
        <v>0.56167834020115348</v>
      </c>
      <c r="ER779" s="173">
        <f t="shared" si="3368"/>
        <v>0.53873903208990725</v>
      </c>
      <c r="ES779" s="173">
        <f t="shared" ref="ES779:EX779" si="3369">((ES751-ES745)/1000000)/ES733</f>
        <v>0.58466601137599439</v>
      </c>
      <c r="ET779" s="173">
        <f t="shared" si="3369"/>
        <v>0.61080327405512669</v>
      </c>
      <c r="EU779" s="173">
        <f t="shared" si="3369"/>
        <v>0.58587435942015886</v>
      </c>
      <c r="EV779" s="173">
        <f t="shared" si="3369"/>
        <v>0.63578552825735446</v>
      </c>
      <c r="EW779" s="173">
        <f t="shared" si="3369"/>
        <v>0.66419073286647712</v>
      </c>
      <c r="EX779" s="173">
        <f t="shared" si="3369"/>
        <v>0.63709952665067637</v>
      </c>
      <c r="EY779" s="173">
        <f t="shared" ref="EY779:FA779" si="3370">((EY751-EY745)/1000000)/EY733</f>
        <v>0.69134068477895716</v>
      </c>
      <c r="EZ779" s="173">
        <f t="shared" si="3370"/>
        <v>0.72221067125515492</v>
      </c>
      <c r="FA779" s="173">
        <f t="shared" si="3370"/>
        <v>0.69276950080049726</v>
      </c>
      <c r="FH779" s="35"/>
      <c r="FI779" s="35"/>
      <c r="FJ779" s="35"/>
      <c r="FK779" s="35"/>
      <c r="FL779" s="35"/>
      <c r="FM779" s="35"/>
      <c r="FN779" s="35"/>
      <c r="FO779" s="35"/>
      <c r="FP779" s="35"/>
      <c r="FQ779" s="35"/>
    </row>
    <row r="780" spans="1:173" s="321" customFormat="1" hidden="1" outlineLevel="1">
      <c r="A780" s="1174"/>
      <c r="C780" s="186" t="s">
        <v>317</v>
      </c>
      <c r="D780" s="329" t="s">
        <v>460</v>
      </c>
      <c r="E780" s="22"/>
      <c r="F780" s="22"/>
      <c r="G780" s="23"/>
      <c r="H780" s="22"/>
      <c r="I780" s="22"/>
      <c r="J780" s="23"/>
      <c r="K780" s="22"/>
      <c r="L780" s="22"/>
      <c r="M780" s="23"/>
      <c r="N780" s="22"/>
      <c r="O780" s="22"/>
      <c r="P780" s="23"/>
      <c r="Q780" s="22"/>
      <c r="R780" s="22"/>
      <c r="S780" s="23"/>
      <c r="T780" s="22"/>
      <c r="U780" s="22"/>
      <c r="V780" s="23"/>
      <c r="W780" s="22"/>
      <c r="X780" s="22"/>
      <c r="Y780" s="23"/>
      <c r="Z780" s="22"/>
      <c r="AA780" s="22"/>
      <c r="AB780" s="23"/>
      <c r="AC780" s="22"/>
      <c r="AD780" s="22"/>
      <c r="AE780" s="23"/>
      <c r="AF780" s="22"/>
      <c r="AG780" s="22"/>
      <c r="AH780" s="23"/>
      <c r="AI780" s="22"/>
      <c r="AJ780" s="22"/>
      <c r="AK780" s="23"/>
      <c r="AL780" s="22"/>
      <c r="AM780" s="22"/>
      <c r="AN780" s="328"/>
      <c r="AO780" s="22"/>
      <c r="AP780" s="22"/>
      <c r="AQ780" s="328"/>
      <c r="AR780" s="22"/>
      <c r="AS780" s="22"/>
      <c r="AT780" s="328"/>
      <c r="AU780" s="22"/>
      <c r="AV780" s="22"/>
      <c r="AW780" s="328"/>
      <c r="AX780" s="173">
        <f t="shared" ref="AX780:AZ782" si="3371">((AX752-AX746)/1000000)/AX734</f>
        <v>3.1683046386064687E-3</v>
      </c>
      <c r="AY780" s="173">
        <f t="shared" si="3371"/>
        <v>3.5734948520088814E-3</v>
      </c>
      <c r="AZ780" s="173">
        <f t="shared" si="3371"/>
        <v>3.1788931978108561E-3</v>
      </c>
      <c r="BA780" s="173">
        <f t="shared" ref="BA780:DL780" si="3372">((BA752-BA746)/1000000)/BA734</f>
        <v>4.0664129467341973E-3</v>
      </c>
      <c r="BB780" s="173">
        <f t="shared" si="3372"/>
        <v>4.5537496406049798E-3</v>
      </c>
      <c r="BC780" s="173">
        <f t="shared" si="3372"/>
        <v>4.0800030080279642E-3</v>
      </c>
      <c r="BD780" s="173">
        <f t="shared" si="3372"/>
        <v>5.1465497494364307E-3</v>
      </c>
      <c r="BE780" s="173">
        <f t="shared" si="3372"/>
        <v>5.7397659822012266E-3</v>
      </c>
      <c r="BF780" s="173">
        <f t="shared" si="3372"/>
        <v>5.1637496569378136E-3</v>
      </c>
      <c r="BG780" s="173">
        <f t="shared" si="3372"/>
        <v>6.4939861121577538E-3</v>
      </c>
      <c r="BH780" s="173">
        <f t="shared" si="3372"/>
        <v>7.1175247964178389E-3</v>
      </c>
      <c r="BI780" s="173">
        <f t="shared" si="3372"/>
        <v>6.5156891881761308E-3</v>
      </c>
      <c r="BJ780" s="173">
        <f t="shared" si="3372"/>
        <v>7.8479707397685981E-3</v>
      </c>
      <c r="BK780" s="173">
        <f t="shared" si="3372"/>
        <v>8.5353690668085371E-3</v>
      </c>
      <c r="BL780" s="173">
        <f t="shared" si="3372"/>
        <v>7.8741988687811224E-3</v>
      </c>
      <c r="BM780" s="173">
        <f t="shared" si="3372"/>
        <v>9.3363115808432345E-3</v>
      </c>
      <c r="BN780" s="173">
        <f t="shared" si="3372"/>
        <v>1.0083592224657871E-2</v>
      </c>
      <c r="BO780" s="173">
        <f t="shared" si="3372"/>
        <v>9.3632862245637861E-3</v>
      </c>
      <c r="BP780" s="173">
        <f t="shared" si="3372"/>
        <v>1.1007217924143305E-2</v>
      </c>
      <c r="BQ780" s="173">
        <f t="shared" si="3372"/>
        <v>1.1956731626732582E-2</v>
      </c>
      <c r="BR780" s="173">
        <f t="shared" si="3372"/>
        <v>1.1039020181307414E-2</v>
      </c>
      <c r="BS780" s="173">
        <f t="shared" si="3372"/>
        <v>1.2974019732171906E-2</v>
      </c>
      <c r="BT780" s="173">
        <f t="shared" si="3372"/>
        <v>1.4133259528844462E-2</v>
      </c>
      <c r="BU780" s="173">
        <f t="shared" si="3372"/>
        <v>1.3011504509417002E-2</v>
      </c>
      <c r="BV780" s="173">
        <f t="shared" si="3372"/>
        <v>1.5385386633757351E-2</v>
      </c>
      <c r="BW780" s="173">
        <f t="shared" si="3372"/>
        <v>1.6823815822810388E-2</v>
      </c>
      <c r="BX780" s="173">
        <f t="shared" si="3372"/>
        <v>1.5429838376756169E-2</v>
      </c>
      <c r="BY780" s="173">
        <f t="shared" si="3372"/>
        <v>1.8348439005519621E-2</v>
      </c>
      <c r="BZ780" s="173">
        <f t="shared" si="3372"/>
        <v>1.9861130984504819E-2</v>
      </c>
      <c r="CA780" s="173">
        <f t="shared" si="3372"/>
        <v>1.8401451654113922E-2</v>
      </c>
      <c r="CB780" s="173">
        <f t="shared" si="3372"/>
        <v>2.134597221162287E-2</v>
      </c>
      <c r="CC780" s="173">
        <f t="shared" si="3372"/>
        <v>2.2906542181643421E-2</v>
      </c>
      <c r="CD780" s="173">
        <f t="shared" si="3372"/>
        <v>2.1407645388475571E-2</v>
      </c>
      <c r="CE780" s="173">
        <f t="shared" si="3372"/>
        <v>2.4614486219728532E-2</v>
      </c>
      <c r="CF780" s="173">
        <f t="shared" si="3372"/>
        <v>2.656472609836516E-2</v>
      </c>
      <c r="CG780" s="173">
        <f t="shared" si="3372"/>
        <v>2.4685602847573727E-2</v>
      </c>
      <c r="CH780" s="173">
        <f t="shared" si="3372"/>
        <v>2.8530720013618678E-2</v>
      </c>
      <c r="CI780" s="173">
        <f t="shared" si="3372"/>
        <v>3.0271933509772087E-2</v>
      </c>
      <c r="CJ780" s="173">
        <f t="shared" si="3372"/>
        <v>2.8613151496415083E-2</v>
      </c>
      <c r="CK780" s="173">
        <f t="shared" si="3372"/>
        <v>3.2160512290426387E-2</v>
      </c>
      <c r="CL780" s="173">
        <f t="shared" si="3372"/>
        <v>3.4112507568048657E-2</v>
      </c>
      <c r="CM780" s="173">
        <f t="shared" si="3372"/>
        <v>3.2253431036056587E-2</v>
      </c>
      <c r="CN780" s="173">
        <f t="shared" si="3372"/>
        <v>3.609833592369735E-2</v>
      </c>
      <c r="CO780" s="173">
        <f t="shared" si="3372"/>
        <v>3.801526202135793E-2</v>
      </c>
      <c r="CP780" s="173">
        <f t="shared" si="3372"/>
        <v>3.6202631902041149E-2</v>
      </c>
      <c r="CQ780" s="173">
        <f t="shared" si="3372"/>
        <v>4.0297378160917934E-2</v>
      </c>
      <c r="CR780" s="173">
        <f t="shared" si="3372"/>
        <v>4.2294001892536008E-2</v>
      </c>
      <c r="CS780" s="173">
        <f t="shared" si="3372"/>
        <v>4.0413806089586612E-2</v>
      </c>
      <c r="CT780" s="173">
        <f t="shared" si="3372"/>
        <v>4.4738777111483052E-2</v>
      </c>
      <c r="CU780" s="173">
        <f t="shared" si="3372"/>
        <v>4.6937208567016588E-2</v>
      </c>
      <c r="CV780" s="173">
        <f t="shared" si="3372"/>
        <v>4.4868037211965507E-2</v>
      </c>
      <c r="CW780" s="173">
        <f t="shared" si="3372"/>
        <v>4.953193394418106E-2</v>
      </c>
      <c r="CX780" s="173">
        <f t="shared" si="3372"/>
        <v>5.1952510249114625E-2</v>
      </c>
      <c r="CY780" s="173">
        <f t="shared" si="3372"/>
        <v>4.9675042521842031E-2</v>
      </c>
      <c r="CZ780" s="173">
        <f t="shared" si="3372"/>
        <v>5.4809402519536157E-2</v>
      </c>
      <c r="DA780" s="173">
        <f t="shared" si="3372"/>
        <v>5.7186505925395682E-2</v>
      </c>
      <c r="DB780" s="173">
        <f t="shared" si="3372"/>
        <v>5.4967758856800462E-2</v>
      </c>
      <c r="DC780" s="173">
        <f t="shared" si="3372"/>
        <v>6.0757320177143581E-2</v>
      </c>
      <c r="DD780" s="173">
        <f t="shared" si="3372"/>
        <v>6.3398220101631486E-2</v>
      </c>
      <c r="DE780" s="173">
        <f t="shared" si="3372"/>
        <v>6.0932861347872798E-2</v>
      </c>
      <c r="DF780" s="173">
        <f t="shared" si="3372"/>
        <v>6.6691162683553018E-2</v>
      </c>
      <c r="DG780" s="173">
        <f t="shared" si="3372"/>
        <v>6.9690234401450196E-2</v>
      </c>
      <c r="DH780" s="173">
        <f t="shared" si="3372"/>
        <v>6.6883848021560513E-2</v>
      </c>
      <c r="DI780" s="173">
        <f t="shared" si="3372"/>
        <v>7.217211448837324E-2</v>
      </c>
      <c r="DJ780" s="173">
        <f t="shared" si="3372"/>
        <v>7.4699784434818464E-2</v>
      </c>
      <c r="DK780" s="173">
        <f t="shared" si="3372"/>
        <v>7.2380635493485918E-2</v>
      </c>
      <c r="DL780" s="173">
        <f t="shared" si="3372"/>
        <v>7.7931320258677717E-2</v>
      </c>
      <c r="DM780" s="173">
        <f>((DM752-DM746)/1000000)/DM734</f>
        <v>8.0905888928830591E-2</v>
      </c>
      <c r="DN780" s="173">
        <f t="shared" ref="DN780:DW780" si="3373">((DN752-DN746)/1000000)/DN734</f>
        <v>7.8156480867387829E-2</v>
      </c>
      <c r="DO780" s="173">
        <f t="shared" si="3373"/>
        <v>8.4051891640776519E-2</v>
      </c>
      <c r="DP780" s="173">
        <f t="shared" si="3373"/>
        <v>8.7160092523324739E-2</v>
      </c>
      <c r="DQ780" s="173">
        <f t="shared" si="3373"/>
        <v>8.4294735917278638E-2</v>
      </c>
      <c r="DR780" s="173">
        <f t="shared" si="3373"/>
        <v>9.0617603850046205E-2</v>
      </c>
      <c r="DS780" s="173">
        <f t="shared" si="3373"/>
        <v>9.4106046053852865E-2</v>
      </c>
      <c r="DT780" s="173">
        <f t="shared" si="3373"/>
        <v>9.0879417903433249E-2</v>
      </c>
      <c r="DU780" s="173">
        <f t="shared" si="3373"/>
        <v>9.7835875900781161E-2</v>
      </c>
      <c r="DV780" s="173">
        <f t="shared" si="3373"/>
        <v>0.10140179452109255</v>
      </c>
      <c r="DW780" s="173">
        <f t="shared" si="3373"/>
        <v>9.8118545118990041E-2</v>
      </c>
      <c r="DX780" s="173">
        <f t="shared" ref="DX780:ER780" si="3374">((DX752-DX746)/1000000)/DX734</f>
        <v>0.10611251826664848</v>
      </c>
      <c r="DY780" s="173">
        <f t="shared" si="3374"/>
        <v>0.11001075575310176</v>
      </c>
      <c r="DZ780" s="173">
        <f t="shared" si="3374"/>
        <v>0.10641910051272586</v>
      </c>
      <c r="EA780" s="173">
        <f t="shared" si="3374"/>
        <v>0.1151964840557801</v>
      </c>
      <c r="EB780" s="173">
        <f t="shared" si="3374"/>
        <v>0.11987306554958317</v>
      </c>
      <c r="EC780" s="173">
        <f t="shared" si="3374"/>
        <v>0.11552931186345962</v>
      </c>
      <c r="ED780" s="173">
        <f t="shared" si="3374"/>
        <v>0.12542771747435891</v>
      </c>
      <c r="EE780" s="173">
        <f t="shared" si="3374"/>
        <v>0.13052966978667022</v>
      </c>
      <c r="EF780" s="173">
        <f t="shared" si="3374"/>
        <v>0.12579010555044828</v>
      </c>
      <c r="EG780" s="173">
        <f t="shared" si="3374"/>
        <v>0.13658958078704361</v>
      </c>
      <c r="EH780" s="173">
        <f t="shared" si="3374"/>
        <v>0.14215560476096567</v>
      </c>
      <c r="EI780" s="173">
        <f t="shared" si="3374"/>
        <v>0.13698421792460766</v>
      </c>
      <c r="EJ780" s="173">
        <f t="shared" si="3374"/>
        <v>0.14876674404644383</v>
      </c>
      <c r="EK780" s="173">
        <f t="shared" si="3374"/>
        <v>0.15483906159203656</v>
      </c>
      <c r="EL780" s="173">
        <f t="shared" si="3374"/>
        <v>0.14919656366882586</v>
      </c>
      <c r="EM780" s="173">
        <f t="shared" si="3374"/>
        <v>0.16205158072714332</v>
      </c>
      <c r="EN780" s="173">
        <f t="shared" si="3374"/>
        <v>0.16867625517394957</v>
      </c>
      <c r="EO780" s="173">
        <f t="shared" si="3374"/>
        <v>0.16251978314483423</v>
      </c>
      <c r="EP780" s="173">
        <f t="shared" si="3374"/>
        <v>0.17654486859583879</v>
      </c>
      <c r="EQ780" s="173">
        <f t="shared" si="3374"/>
        <v>0.18377215419161561</v>
      </c>
      <c r="ER780" s="173">
        <f t="shared" si="3374"/>
        <v>0.17705494528831284</v>
      </c>
      <c r="ES780" s="173">
        <f t="shared" ref="ES780:EX780" si="3375">((ES752-ES746)/1000000)/ES734</f>
        <v>0.19235655434780871</v>
      </c>
      <c r="ET780" s="173">
        <f t="shared" si="3375"/>
        <v>0.20024127755523416</v>
      </c>
      <c r="EU780" s="173">
        <f t="shared" si="3375"/>
        <v>0.19291231445456128</v>
      </c>
      <c r="EV780" s="173">
        <f t="shared" si="3375"/>
        <v>0.20960658781127953</v>
      </c>
      <c r="EW780" s="173">
        <f t="shared" si="3375"/>
        <v>0.21820856329566754</v>
      </c>
      <c r="EX780" s="173">
        <f t="shared" si="3375"/>
        <v>0.2102121870330633</v>
      </c>
      <c r="EY780" s="173">
        <f t="shared" ref="EY780:FA780" si="3376">((EY752-EY746)/1000000)/EY734</f>
        <v>0.22842583204909211</v>
      </c>
      <c r="EZ780" s="173">
        <f t="shared" si="3376"/>
        <v>0.23781031651336149</v>
      </c>
      <c r="FA780" s="173">
        <f t="shared" si="3376"/>
        <v>0.22908580417863597</v>
      </c>
      <c r="FH780" s="35"/>
      <c r="FI780" s="35"/>
      <c r="FJ780" s="35"/>
      <c r="FK780" s="35"/>
      <c r="FL780" s="35"/>
      <c r="FM780" s="35"/>
      <c r="FN780" s="35"/>
      <c r="FO780" s="35"/>
      <c r="FP780" s="35"/>
      <c r="FQ780" s="35"/>
    </row>
    <row r="781" spans="1:173" s="321" customFormat="1" hidden="1" outlineLevel="1">
      <c r="A781" s="1174"/>
      <c r="C781" s="186" t="s">
        <v>431</v>
      </c>
      <c r="D781" s="329" t="s">
        <v>460</v>
      </c>
      <c r="E781" s="22"/>
      <c r="F781" s="22"/>
      <c r="G781" s="23"/>
      <c r="H781" s="22"/>
      <c r="I781" s="22"/>
      <c r="J781" s="23"/>
      <c r="K781" s="22"/>
      <c r="L781" s="22"/>
      <c r="M781" s="23"/>
      <c r="N781" s="22"/>
      <c r="O781" s="22"/>
      <c r="P781" s="23"/>
      <c r="Q781" s="22"/>
      <c r="R781" s="22"/>
      <c r="S781" s="23"/>
      <c r="T781" s="22"/>
      <c r="U781" s="22"/>
      <c r="V781" s="23"/>
      <c r="W781" s="22"/>
      <c r="X781" s="22"/>
      <c r="Y781" s="23"/>
      <c r="Z781" s="22"/>
      <c r="AA781" s="22"/>
      <c r="AB781" s="23"/>
      <c r="AC781" s="22"/>
      <c r="AD781" s="22"/>
      <c r="AE781" s="23"/>
      <c r="AF781" s="22"/>
      <c r="AG781" s="22"/>
      <c r="AH781" s="23"/>
      <c r="AI781" s="22"/>
      <c r="AJ781" s="22"/>
      <c r="AK781" s="23"/>
      <c r="AL781" s="22"/>
      <c r="AM781" s="22"/>
      <c r="AN781" s="328"/>
      <c r="AO781" s="22"/>
      <c r="AP781" s="22"/>
      <c r="AQ781" s="328"/>
      <c r="AR781" s="22"/>
      <c r="AS781" s="22"/>
      <c r="AT781" s="328"/>
      <c r="AU781" s="22"/>
      <c r="AV781" s="22"/>
      <c r="AW781" s="328"/>
      <c r="AX781" s="173">
        <f t="shared" si="3371"/>
        <v>2.5488257328606691E-3</v>
      </c>
      <c r="AY781" s="173">
        <f t="shared" si="3371"/>
        <v>2.8100109825096127E-3</v>
      </c>
      <c r="AZ781" s="173">
        <f t="shared" si="3371"/>
        <v>2.5456472400835549E-3</v>
      </c>
      <c r="BA781" s="173">
        <f t="shared" ref="BA781:DL781" si="3377">((BA753-BA747)/1000000)/BA735</f>
        <v>2.9233797142570847E-3</v>
      </c>
      <c r="BB781" s="173">
        <f t="shared" si="3377"/>
        <v>3.2334416475864351E-3</v>
      </c>
      <c r="BC781" s="173">
        <f t="shared" si="3377"/>
        <v>2.9197341369283829E-3</v>
      </c>
      <c r="BD781" s="173">
        <f t="shared" si="3377"/>
        <v>3.3683687093830771E-3</v>
      </c>
      <c r="BE781" s="173">
        <f t="shared" si="3377"/>
        <v>3.7440463372432095E-3</v>
      </c>
      <c r="BF781" s="173">
        <f t="shared" si="3377"/>
        <v>3.3641682120813588E-3</v>
      </c>
      <c r="BG781" s="173">
        <f t="shared" si="3377"/>
        <v>4.0601660622615306E-3</v>
      </c>
      <c r="BH781" s="173">
        <f t="shared" si="3377"/>
        <v>4.4052272321055573E-3</v>
      </c>
      <c r="BI781" s="173">
        <f t="shared" si="3377"/>
        <v>4.0551028645950905E-3</v>
      </c>
      <c r="BJ781" s="173">
        <f t="shared" si="3377"/>
        <v>4.8792062008797855E-3</v>
      </c>
      <c r="BK781" s="173">
        <f t="shared" si="3377"/>
        <v>5.2875925392568248E-3</v>
      </c>
      <c r="BL781" s="173">
        <f t="shared" si="3377"/>
        <v>4.873121625748736E-3</v>
      </c>
      <c r="BM781" s="173">
        <f t="shared" si="3377"/>
        <v>5.7256731238905052E-3</v>
      </c>
      <c r="BN781" s="173">
        <f t="shared" si="3377"/>
        <v>6.1571237539130115E-3</v>
      </c>
      <c r="BO781" s="173">
        <f t="shared" si="3377"/>
        <v>5.7368680535441301E-3</v>
      </c>
      <c r="BP781" s="173">
        <f t="shared" si="3377"/>
        <v>6.70254526183985E-3</v>
      </c>
      <c r="BQ781" s="173">
        <f t="shared" si="3377"/>
        <v>7.2486649367397796E-3</v>
      </c>
      <c r="BR781" s="173">
        <f t="shared" si="3377"/>
        <v>6.7156501878604166E-3</v>
      </c>
      <c r="BS781" s="173">
        <f t="shared" si="3377"/>
        <v>7.8150786635952704E-3</v>
      </c>
      <c r="BT781" s="173">
        <f t="shared" si="3377"/>
        <v>8.4701952131068479E-3</v>
      </c>
      <c r="BU781" s="173">
        <f t="shared" si="3377"/>
        <v>7.830358833102579E-3</v>
      </c>
      <c r="BV781" s="173">
        <f t="shared" si="3377"/>
        <v>9.1754026361577663E-3</v>
      </c>
      <c r="BW781" s="173">
        <f t="shared" si="3377"/>
        <v>9.8637427879874357E-3</v>
      </c>
      <c r="BX781" s="173">
        <f t="shared" si="3377"/>
        <v>9.1933425333249434E-3</v>
      </c>
      <c r="BY781" s="173">
        <f t="shared" si="3377"/>
        <v>1.0676251116885381E-2</v>
      </c>
      <c r="BZ781" s="173">
        <f t="shared" si="3377"/>
        <v>1.1319581282390573E-2</v>
      </c>
      <c r="CA781" s="173">
        <f t="shared" si="3377"/>
        <v>1.0697125497527068E-2</v>
      </c>
      <c r="CB781" s="173">
        <f t="shared" si="3377"/>
        <v>1.2165677179697755E-2</v>
      </c>
      <c r="CC781" s="173">
        <f t="shared" si="3377"/>
        <v>1.2860518198854245E-2</v>
      </c>
      <c r="CD781" s="173">
        <f t="shared" si="3377"/>
        <v>1.2189463710515793E-2</v>
      </c>
      <c r="CE781" s="173">
        <f t="shared" si="3377"/>
        <v>1.3871396493991394E-2</v>
      </c>
      <c r="CF781" s="173">
        <f t="shared" si="3377"/>
        <v>1.4737762611802452E-2</v>
      </c>
      <c r="CG781" s="173">
        <f t="shared" si="3377"/>
        <v>1.3898518075085473E-2</v>
      </c>
      <c r="CH781" s="173">
        <f t="shared" si="3377"/>
        <v>1.5893758105615816E-2</v>
      </c>
      <c r="CI781" s="173">
        <f t="shared" si="3377"/>
        <v>1.6833830469380598E-2</v>
      </c>
      <c r="CJ781" s="173">
        <f t="shared" si="3377"/>
        <v>1.5924833841179851E-2</v>
      </c>
      <c r="CK781" s="173">
        <f t="shared" si="3377"/>
        <v>1.7926067251426561E-2</v>
      </c>
      <c r="CL781" s="173">
        <f t="shared" si="3377"/>
        <v>1.9900844508729396E-2</v>
      </c>
      <c r="CM781" s="173">
        <f t="shared" si="3377"/>
        <v>1.796111659104194E-2</v>
      </c>
      <c r="CN781" s="173">
        <f t="shared" si="3377"/>
        <v>2.1539660047935987E-2</v>
      </c>
      <c r="CO781" s="173">
        <f t="shared" si="3377"/>
        <v>2.2574148780576609E-2</v>
      </c>
      <c r="CP781" s="173">
        <f t="shared" si="3377"/>
        <v>2.1581774743235922E-2</v>
      </c>
      <c r="CQ781" s="173">
        <f t="shared" si="3377"/>
        <v>2.4110107714292912E-2</v>
      </c>
      <c r="CR781" s="173">
        <f t="shared" si="3377"/>
        <v>2.4563083917740793E-2</v>
      </c>
      <c r="CS781" s="173">
        <f t="shared" si="3377"/>
        <v>2.4157248190873146E-2</v>
      </c>
      <c r="CT781" s="173">
        <f t="shared" si="3377"/>
        <v>2.5873696295004796E-2</v>
      </c>
      <c r="CU781" s="173">
        <f t="shared" si="3377"/>
        <v>2.7338380926093787E-2</v>
      </c>
      <c r="CV781" s="173">
        <f t="shared" si="3377"/>
        <v>2.59242849687964E-2</v>
      </c>
      <c r="CW781" s="173">
        <f t="shared" si="3377"/>
        <v>2.8498636617010062E-2</v>
      </c>
      <c r="CX781" s="173">
        <f t="shared" si="3377"/>
        <v>2.977418955255887E-2</v>
      </c>
      <c r="CY781" s="173">
        <f t="shared" si="3377"/>
        <v>2.8554357617012745E-2</v>
      </c>
      <c r="CZ781" s="173">
        <f t="shared" si="3377"/>
        <v>3.0598470768098948E-2</v>
      </c>
      <c r="DA781" s="173">
        <f t="shared" si="3377"/>
        <v>3.1318416256530486E-2</v>
      </c>
      <c r="DB781" s="173">
        <f t="shared" si="3377"/>
        <v>3.0658297398146697E-2</v>
      </c>
      <c r="DC781" s="173">
        <f t="shared" si="3377"/>
        <v>3.2459135490335814E-2</v>
      </c>
      <c r="DD781" s="173">
        <f t="shared" si="3377"/>
        <v>3.3354854821649182E-2</v>
      </c>
      <c r="DE781" s="173">
        <f t="shared" si="3377"/>
        <v>3.2522600122453137E-2</v>
      </c>
      <c r="DF781" s="173">
        <f t="shared" si="3377"/>
        <v>3.431514130491628E-2</v>
      </c>
      <c r="DG781" s="173">
        <f t="shared" si="3377"/>
        <v>3.5435587555894058E-2</v>
      </c>
      <c r="DH781" s="173">
        <f t="shared" si="3377"/>
        <v>3.4382234829930823E-2</v>
      </c>
      <c r="DI781" s="173">
        <f t="shared" si="3377"/>
        <v>3.5998406820069051E-2</v>
      </c>
      <c r="DJ781" s="173">
        <f t="shared" si="3377"/>
        <v>3.7386424151974469E-2</v>
      </c>
      <c r="DK781" s="173">
        <f t="shared" si="3377"/>
        <v>3.6068791493324634E-2</v>
      </c>
      <c r="DL781" s="173">
        <f t="shared" si="3377"/>
        <v>3.8791992944657148E-2</v>
      </c>
      <c r="DM781" s="173">
        <f>((DM753-DM747)/1000000)/DM735</f>
        <v>4.0243518514648059E-2</v>
      </c>
      <c r="DN781" s="173">
        <f t="shared" ref="DN781:DW781" si="3378">((DN753-DN747)/1000000)/DN735</f>
        <v>3.8867839683152806E-2</v>
      </c>
      <c r="DO781" s="173">
        <f t="shared" si="3378"/>
        <v>4.1779074522581262E-2</v>
      </c>
      <c r="DP781" s="173">
        <f t="shared" si="3378"/>
        <v>4.3524754826481667E-2</v>
      </c>
      <c r="DQ781" s="173">
        <f t="shared" si="3378"/>
        <v>4.186076165178923E-2</v>
      </c>
      <c r="DR781" s="173">
        <f t="shared" si="3378"/>
        <v>4.5246306598616524E-2</v>
      </c>
      <c r="DS781" s="173">
        <f t="shared" si="3378"/>
        <v>4.6957783562240701E-2</v>
      </c>
      <c r="DT781" s="173">
        <f t="shared" si="3378"/>
        <v>4.5334772916636727E-2</v>
      </c>
      <c r="DU781" s="173">
        <f t="shared" si="3378"/>
        <v>4.8792604445806222E-2</v>
      </c>
      <c r="DV781" s="173">
        <f t="shared" si="3378"/>
        <v>5.1040170544646886E-2</v>
      </c>
      <c r="DW781" s="173">
        <f t="shared" si="3378"/>
        <v>4.888800454332641E-2</v>
      </c>
      <c r="DX781" s="173">
        <f t="shared" ref="DX781:ER781" si="3379">((DX753-DX747)/1000000)/DX735</f>
        <v>5.3198137728039364E-2</v>
      </c>
      <c r="DY781" s="173">
        <f t="shared" si="3379"/>
        <v>5.5322087938433899E-2</v>
      </c>
      <c r="DZ781" s="173">
        <f t="shared" si="3379"/>
        <v>5.3302151596222709E-2</v>
      </c>
      <c r="EA781" s="173">
        <f t="shared" si="3379"/>
        <v>5.768221400377356E-2</v>
      </c>
      <c r="EB781" s="173">
        <f t="shared" si="3379"/>
        <v>6.023305821727503E-2</v>
      </c>
      <c r="EC781" s="173">
        <f t="shared" si="3379"/>
        <v>5.7794995211164379E-2</v>
      </c>
      <c r="ED781" s="173">
        <f t="shared" si="3379"/>
        <v>6.2737793191605828E-2</v>
      </c>
      <c r="EE781" s="173">
        <f t="shared" si="3379"/>
        <v>6.5499659575057309E-2</v>
      </c>
      <c r="EF781" s="173">
        <f t="shared" si="3379"/>
        <v>6.2860459150036671E-2</v>
      </c>
      <c r="EG781" s="173">
        <f t="shared" si="3379"/>
        <v>6.8211589701200087E-2</v>
      </c>
      <c r="EH781" s="173">
        <f t="shared" si="3379"/>
        <v>7.1202010572121596E-2</v>
      </c>
      <c r="EI781" s="173">
        <f t="shared" si="3379"/>
        <v>6.8344958116012419E-2</v>
      </c>
      <c r="EJ781" s="173">
        <f t="shared" si="3379"/>
        <v>7.4138350288489044E-2</v>
      </c>
      <c r="EK781" s="173">
        <f t="shared" si="3379"/>
        <v>7.7376314117854159E-2</v>
      </c>
      <c r="EL781" s="173">
        <f t="shared" si="3379"/>
        <v>7.428330680244935E-2</v>
      </c>
      <c r="EM781" s="173">
        <f t="shared" si="3379"/>
        <v>8.0555707614227839E-2</v>
      </c>
      <c r="EN781" s="173">
        <f t="shared" si="3379"/>
        <v>8.4061779970917974E-2</v>
      </c>
      <c r="EO781" s="173">
        <f t="shared" si="3379"/>
        <v>8.0713211450095856E-2</v>
      </c>
      <c r="EP781" s="173">
        <f t="shared" si="3379"/>
        <v>8.7504419940014941E-2</v>
      </c>
      <c r="EQ781" s="173">
        <f t="shared" si="3379"/>
        <v>9.1300874480597233E-2</v>
      </c>
      <c r="ER781" s="173">
        <f t="shared" si="3379"/>
        <v>8.7675510011769556E-2</v>
      </c>
      <c r="ES781" s="173">
        <f t="shared" ref="ES781:EX781" si="3380">((ES753-ES747)/1000000)/ES735</f>
        <v>9.5028630732824831E-2</v>
      </c>
      <c r="ET781" s="173">
        <f t="shared" si="3380"/>
        <v>9.9139591070991268E-2</v>
      </c>
      <c r="EU781" s="173">
        <f t="shared" si="3380"/>
        <v>9.5214432264472751E-2</v>
      </c>
      <c r="EV781" s="173">
        <f t="shared" si="3380"/>
        <v>0.10317614983160005</v>
      </c>
      <c r="EW781" s="173">
        <f t="shared" si="3380"/>
        <v>0.10762774319090423</v>
      </c>
      <c r="EX781" s="173">
        <f t="shared" si="3380"/>
        <v>0.10337788152572652</v>
      </c>
      <c r="EY781" s="173">
        <f t="shared" ref="EY781:FA781" si="3381">((EY753-EY747)/1000000)/EY735</f>
        <v>0.11199875796679128</v>
      </c>
      <c r="EZ781" s="173">
        <f t="shared" si="3381"/>
        <v>0.11681928159537133</v>
      </c>
      <c r="FA781" s="173">
        <f t="shared" si="3381"/>
        <v>0.11221773976851168</v>
      </c>
      <c r="FH781" s="35"/>
      <c r="FI781" s="35"/>
      <c r="FJ781" s="35"/>
      <c r="FK781" s="35"/>
      <c r="FL781" s="35"/>
      <c r="FM781" s="35"/>
      <c r="FN781" s="35"/>
      <c r="FO781" s="35"/>
      <c r="FP781" s="35"/>
      <c r="FQ781" s="35"/>
    </row>
    <row r="782" spans="1:173" s="321" customFormat="1" hidden="1" outlineLevel="1">
      <c r="A782" s="1174"/>
      <c r="C782" s="186" t="s">
        <v>327</v>
      </c>
      <c r="D782" s="329" t="s">
        <v>460</v>
      </c>
      <c r="E782" s="22"/>
      <c r="F782" s="22"/>
      <c r="G782" s="23"/>
      <c r="H782" s="22"/>
      <c r="I782" s="22"/>
      <c r="J782" s="23"/>
      <c r="K782" s="22"/>
      <c r="L782" s="22"/>
      <c r="M782" s="23"/>
      <c r="N782" s="22"/>
      <c r="O782" s="22"/>
      <c r="P782" s="23"/>
      <c r="Q782" s="22"/>
      <c r="R782" s="22"/>
      <c r="S782" s="23"/>
      <c r="T782" s="22"/>
      <c r="U782" s="22"/>
      <c r="V782" s="23"/>
      <c r="W782" s="22"/>
      <c r="X782" s="22"/>
      <c r="Y782" s="23"/>
      <c r="Z782" s="22"/>
      <c r="AA782" s="22"/>
      <c r="AB782" s="23"/>
      <c r="AC782" s="22"/>
      <c r="AD782" s="22"/>
      <c r="AE782" s="23"/>
      <c r="AF782" s="22"/>
      <c r="AG782" s="22"/>
      <c r="AH782" s="23"/>
      <c r="AI782" s="22"/>
      <c r="AJ782" s="22"/>
      <c r="AK782" s="23"/>
      <c r="AL782" s="22"/>
      <c r="AM782" s="22"/>
      <c r="AN782" s="328"/>
      <c r="AO782" s="22"/>
      <c r="AP782" s="22"/>
      <c r="AQ782" s="328"/>
      <c r="AR782" s="22"/>
      <c r="AS782" s="22"/>
      <c r="AT782" s="328"/>
      <c r="AU782" s="22"/>
      <c r="AV782" s="22"/>
      <c r="AW782" s="328"/>
      <c r="AX782" s="173">
        <f t="shared" si="3371"/>
        <v>5.4408079418325544E-3</v>
      </c>
      <c r="AY782" s="173">
        <f t="shared" si="3371"/>
        <v>5.9951709688163789E-3</v>
      </c>
      <c r="AZ782" s="173">
        <f t="shared" si="3371"/>
        <v>5.4484592730040561E-3</v>
      </c>
      <c r="BA782" s="173">
        <f t="shared" ref="BA782:DL782" si="3382">((BA754-BA748)/1000000)/BA736</f>
        <v>6.630855285977867E-3</v>
      </c>
      <c r="BB782" s="173">
        <f t="shared" si="3382"/>
        <v>7.2929569396972625E-3</v>
      </c>
      <c r="BC782" s="173">
        <f t="shared" si="3382"/>
        <v>6.6400975802137071E-3</v>
      </c>
      <c r="BD782" s="173">
        <f t="shared" si="3382"/>
        <v>8.0522133997053581E-3</v>
      </c>
      <c r="BE782" s="173">
        <f t="shared" si="3382"/>
        <v>8.8313803470668039E-3</v>
      </c>
      <c r="BF782" s="173">
        <f t="shared" si="3382"/>
        <v>8.0633363513409172E-3</v>
      </c>
      <c r="BG782" s="173">
        <f t="shared" si="3382"/>
        <v>9.7599773757498683E-3</v>
      </c>
      <c r="BH782" s="173">
        <f t="shared" si="3382"/>
        <v>1.0621856858121044E-2</v>
      </c>
      <c r="BI782" s="173">
        <f t="shared" si="3382"/>
        <v>9.7733373440706366E-3</v>
      </c>
      <c r="BJ782" s="173">
        <f t="shared" si="3382"/>
        <v>1.1608827403251818E-2</v>
      </c>
      <c r="BK782" s="173">
        <f t="shared" si="3382"/>
        <v>1.2488195129896445E-2</v>
      </c>
      <c r="BL782" s="173">
        <f t="shared" si="3382"/>
        <v>1.1624572797226441E-2</v>
      </c>
      <c r="BM782" s="173">
        <f t="shared" si="3382"/>
        <v>1.3573899269822729E-2</v>
      </c>
      <c r="BN782" s="173">
        <f t="shared" si="3382"/>
        <v>1.4659749856462482E-2</v>
      </c>
      <c r="BO782" s="173">
        <f t="shared" si="3382"/>
        <v>1.3606796738470164E-2</v>
      </c>
      <c r="BP782" s="173">
        <f t="shared" si="3382"/>
        <v>1.590086838248779E-2</v>
      </c>
      <c r="BQ782" s="173">
        <f t="shared" si="3382"/>
        <v>1.7315080662241432E-2</v>
      </c>
      <c r="BR782" s="173">
        <f t="shared" si="3382"/>
        <v>1.5939384354529303E-2</v>
      </c>
      <c r="BS782" s="173">
        <f t="shared" si="3382"/>
        <v>1.8683915466541058E-2</v>
      </c>
      <c r="BT782" s="173">
        <f t="shared" si="3382"/>
        <v>2.0403800492648866E-2</v>
      </c>
      <c r="BU782" s="173">
        <f t="shared" si="3382"/>
        <v>1.872914788992085E-2</v>
      </c>
      <c r="BV782" s="173">
        <f t="shared" si="3382"/>
        <v>2.2121325008748763E-2</v>
      </c>
      <c r="BW782" s="173">
        <f t="shared" si="3382"/>
        <v>2.4055524070785903E-2</v>
      </c>
      <c r="BX782" s="173">
        <f t="shared" si="3382"/>
        <v>2.2174849780922681E-2</v>
      </c>
      <c r="BY782" s="173">
        <f t="shared" si="3382"/>
        <v>2.6030324545597432E-2</v>
      </c>
      <c r="BZ782" s="173">
        <f t="shared" si="3382"/>
        <v>2.8006690434066651E-2</v>
      </c>
      <c r="CA782" s="173">
        <f t="shared" si="3382"/>
        <v>2.6093272959524311E-2</v>
      </c>
      <c r="CB782" s="173">
        <f t="shared" si="3382"/>
        <v>2.9997026454555455E-2</v>
      </c>
      <c r="CC782" s="173">
        <f t="shared" si="3382"/>
        <v>3.2104731372890161E-2</v>
      </c>
      <c r="CD782" s="173">
        <f t="shared" si="3382"/>
        <v>3.0069527576402438E-2</v>
      </c>
      <c r="CE782" s="173">
        <f t="shared" si="3382"/>
        <v>3.4486242464454829E-2</v>
      </c>
      <c r="CF782" s="173">
        <f t="shared" si="3382"/>
        <v>3.6998083645267618E-2</v>
      </c>
      <c r="CG782" s="173">
        <f t="shared" si="3382"/>
        <v>3.4569547932105399E-2</v>
      </c>
      <c r="CH782" s="173">
        <f t="shared" si="3382"/>
        <v>3.973074056370722E-2</v>
      </c>
      <c r="CI782" s="173">
        <f t="shared" si="3382"/>
        <v>4.1983673348398053E-2</v>
      </c>
      <c r="CJ782" s="173">
        <f t="shared" si="3382"/>
        <v>3.9826661895410169E-2</v>
      </c>
      <c r="CK782" s="173">
        <f t="shared" si="3382"/>
        <v>4.4590090249495416E-2</v>
      </c>
      <c r="CL782" s="173">
        <f t="shared" si="3382"/>
        <v>4.7363806029239994E-2</v>
      </c>
      <c r="CM782" s="173">
        <f t="shared" si="3382"/>
        <v>4.4697684138537669E-2</v>
      </c>
      <c r="CN782" s="173">
        <f t="shared" si="3382"/>
        <v>5.0017621762136089E-2</v>
      </c>
      <c r="CO782" s="173">
        <f t="shared" si="3382"/>
        <v>5.2453015952592774E-2</v>
      </c>
      <c r="CP782" s="173">
        <f t="shared" si="3382"/>
        <v>5.0138245509395461E-2</v>
      </c>
      <c r="CQ782" s="173">
        <f t="shared" si="3382"/>
        <v>5.5392458005125975E-2</v>
      </c>
      <c r="CR782" s="173">
        <f t="shared" si="3382"/>
        <v>5.7892250463310084E-2</v>
      </c>
      <c r="CS782" s="173">
        <f t="shared" si="3382"/>
        <v>5.5525970143393333E-2</v>
      </c>
      <c r="CT782" s="173">
        <f t="shared" si="3382"/>
        <v>6.1045199094364878E-2</v>
      </c>
      <c r="CU782" s="173">
        <f t="shared" si="3382"/>
        <v>6.4088848075429819E-2</v>
      </c>
      <c r="CV782" s="173">
        <f t="shared" si="3382"/>
        <v>6.119225476690842E-2</v>
      </c>
      <c r="CW782" s="173">
        <f t="shared" si="3382"/>
        <v>6.730235224404546E-2</v>
      </c>
      <c r="CX782" s="173">
        <f t="shared" si="3382"/>
        <v>7.0695413086153999E-2</v>
      </c>
      <c r="CY782" s="173">
        <f t="shared" si="3382"/>
        <v>6.7464391590843387E-2</v>
      </c>
      <c r="CZ782" s="173">
        <f t="shared" si="3382"/>
        <v>7.4137213747489689E-2</v>
      </c>
      <c r="DA782" s="173">
        <f t="shared" si="3382"/>
        <v>7.7540294507038088E-2</v>
      </c>
      <c r="DB782" s="173">
        <f t="shared" si="3382"/>
        <v>7.4315610234703136E-2</v>
      </c>
      <c r="DC782" s="173">
        <f t="shared" si="3382"/>
        <v>8.1565097723105787E-2</v>
      </c>
      <c r="DD782" s="173">
        <f t="shared" si="3382"/>
        <v>8.5084431864368537E-2</v>
      </c>
      <c r="DE782" s="173">
        <f t="shared" si="3382"/>
        <v>8.1761259336652417E-2</v>
      </c>
      <c r="DF782" s="173">
        <f t="shared" si="3382"/>
        <v>8.8678010811953839E-2</v>
      </c>
      <c r="DG782" s="173">
        <f t="shared" si="3382"/>
        <v>9.2625785519951154E-2</v>
      </c>
      <c r="DH782" s="173">
        <f t="shared" si="3382"/>
        <v>8.8891160678596939E-2</v>
      </c>
      <c r="DI782" s="173">
        <f t="shared" si="3382"/>
        <v>9.5243545248978392E-2</v>
      </c>
      <c r="DJ782" s="173">
        <f t="shared" si="3382"/>
        <v>9.8807440112574751E-2</v>
      </c>
      <c r="DK782" s="173">
        <f t="shared" si="3382"/>
        <v>9.547234943721547E-2</v>
      </c>
      <c r="DL782" s="173">
        <f t="shared" si="3382"/>
        <v>0.10270693176437178</v>
      </c>
      <c r="DM782" s="173">
        <f>((DM754-DM748)/1000000)/DM736</f>
        <v>0.10649447161333078</v>
      </c>
      <c r="DN782" s="173">
        <f t="shared" ref="DN782:DW782" si="3383">((DN754-DN748)/1000000)/DN736</f>
        <v>0.10295352849093525</v>
      </c>
      <c r="DO782" s="173">
        <f t="shared" si="3383"/>
        <v>0.11047707268460626</v>
      </c>
      <c r="DP782" s="173">
        <f t="shared" si="3383"/>
        <v>0.11480877650341413</v>
      </c>
      <c r="DQ782" s="173">
        <f t="shared" si="3383"/>
        <v>0.11074217815472066</v>
      </c>
      <c r="DR782" s="173">
        <f t="shared" si="3383"/>
        <v>0.11949502523390247</v>
      </c>
      <c r="DS782" s="173">
        <f t="shared" si="3383"/>
        <v>0.12446886422699646</v>
      </c>
      <c r="DT782" s="173">
        <f t="shared" si="3383"/>
        <v>0.11978161137395388</v>
      </c>
      <c r="DU782" s="173">
        <f t="shared" si="3383"/>
        <v>0.12931031493709549</v>
      </c>
      <c r="DV782" s="173">
        <f t="shared" si="3383"/>
        <v>0.13444448728605135</v>
      </c>
      <c r="DW782" s="173">
        <f t="shared" si="3383"/>
        <v>0.12962026890939846</v>
      </c>
      <c r="DX782" s="173">
        <f t="shared" ref="DX782:ER782" si="3384">((DX754-DX748)/1000000)/DX736</f>
        <v>0.14023788858793623</v>
      </c>
      <c r="DY782" s="173">
        <f t="shared" si="3384"/>
        <v>0.1457164701174479</v>
      </c>
      <c r="DZ782" s="173">
        <f t="shared" si="3384"/>
        <v>0.1405738488698875</v>
      </c>
      <c r="EA782" s="173">
        <f t="shared" si="3384"/>
        <v>0.15207562569628544</v>
      </c>
      <c r="EB782" s="173">
        <f t="shared" si="3384"/>
        <v>0.15865225358031956</v>
      </c>
      <c r="EC782" s="173">
        <f t="shared" si="3384"/>
        <v>0.15243974238152275</v>
      </c>
      <c r="ED782" s="173">
        <f t="shared" si="3384"/>
        <v>0.1654360158840375</v>
      </c>
      <c r="EE782" s="173">
        <f t="shared" si="3384"/>
        <v>0.17258665526906006</v>
      </c>
      <c r="EF782" s="173">
        <f t="shared" si="3384"/>
        <v>0.16583190110692897</v>
      </c>
      <c r="EG782" s="173">
        <f t="shared" si="3384"/>
        <v>0.17996246314544673</v>
      </c>
      <c r="EH782" s="173">
        <f t="shared" si="3384"/>
        <v>0.18773714149641887</v>
      </c>
      <c r="EI782" s="173">
        <f t="shared" si="3384"/>
        <v>0.18039287010578106</v>
      </c>
      <c r="EJ782" s="173">
        <f t="shared" si="3384"/>
        <v>0.1957565900325253</v>
      </c>
      <c r="EK782" s="173">
        <f t="shared" si="3384"/>
        <v>0.20420968801169936</v>
      </c>
      <c r="EL782" s="173">
        <f t="shared" si="3384"/>
        <v>0.19622451018461931</v>
      </c>
      <c r="EM782" s="173">
        <f t="shared" si="3384"/>
        <v>0.21292886153901458</v>
      </c>
      <c r="EN782" s="173">
        <f t="shared" si="3384"/>
        <v>0.22211949119953037</v>
      </c>
      <c r="EO782" s="173">
        <f t="shared" si="3384"/>
        <v>0.21343754517630903</v>
      </c>
      <c r="EP782" s="173">
        <f t="shared" si="3384"/>
        <v>0.23159935327548892</v>
      </c>
      <c r="EQ782" s="173">
        <f t="shared" si="3384"/>
        <v>0.24159176905873161</v>
      </c>
      <c r="ER782" s="173">
        <f t="shared" si="3384"/>
        <v>0.23215233189074205</v>
      </c>
      <c r="ES782" s="173">
        <f t="shared" ref="ES782:EX782" si="3385">((ES754-ES748)/1000000)/ES736</f>
        <v>0.25189858627171019</v>
      </c>
      <c r="ET782" s="173">
        <f t="shared" si="3385"/>
        <v>0.26276263164919955</v>
      </c>
      <c r="EU782" s="173">
        <f t="shared" si="3385"/>
        <v>0.25249969684570467</v>
      </c>
      <c r="EV782" s="173">
        <f t="shared" si="3385"/>
        <v>0.27396843417584438</v>
      </c>
      <c r="EW782" s="173">
        <f t="shared" si="3385"/>
        <v>0.28578002702204158</v>
      </c>
      <c r="EX782" s="173">
        <f t="shared" si="3385"/>
        <v>0.27462184556067387</v>
      </c>
      <c r="EY782" s="173">
        <f t="shared" ref="EY782:FA782" si="3386">((EY754-EY748)/1000000)/EY736</f>
        <v>0.29796310911897844</v>
      </c>
      <c r="EZ782" s="173">
        <f t="shared" si="3386"/>
        <v>0.31080476916820987</v>
      </c>
      <c r="FA782" s="173">
        <f t="shared" si="3386"/>
        <v>0.2986733506962545</v>
      </c>
      <c r="FH782" s="35"/>
      <c r="FI782" s="35"/>
      <c r="FJ782" s="35"/>
      <c r="FK782" s="35"/>
      <c r="FL782" s="35"/>
      <c r="FM782" s="35"/>
      <c r="FN782" s="35"/>
      <c r="FO782" s="35"/>
      <c r="FP782" s="35"/>
      <c r="FQ782" s="35"/>
    </row>
    <row r="783" spans="1:173" s="321" customFormat="1" hidden="1" outlineLevel="1">
      <c r="A783" s="1174"/>
      <c r="C783" s="186"/>
      <c r="D783" s="329"/>
      <c r="E783" s="22"/>
      <c r="F783" s="22"/>
      <c r="G783" s="23"/>
      <c r="H783" s="22"/>
      <c r="I783" s="22"/>
      <c r="J783" s="23"/>
      <c r="K783" s="22"/>
      <c r="L783" s="22"/>
      <c r="M783" s="23"/>
      <c r="N783" s="22"/>
      <c r="O783" s="22"/>
      <c r="P783" s="23"/>
      <c r="Q783" s="22"/>
      <c r="R783" s="22"/>
      <c r="S783" s="23"/>
      <c r="T783" s="22"/>
      <c r="U783" s="22"/>
      <c r="V783" s="23"/>
      <c r="W783" s="22"/>
      <c r="X783" s="22"/>
      <c r="Y783" s="23"/>
      <c r="Z783" s="22"/>
      <c r="AA783" s="22"/>
      <c r="AB783" s="23"/>
      <c r="AC783" s="22"/>
      <c r="AD783" s="22"/>
      <c r="AE783" s="23"/>
      <c r="AF783" s="22"/>
      <c r="AG783" s="22"/>
      <c r="AH783" s="23"/>
      <c r="AI783" s="22"/>
      <c r="AJ783" s="22"/>
      <c r="AK783" s="23"/>
      <c r="AL783" s="22"/>
      <c r="AM783" s="22"/>
      <c r="AN783" s="328"/>
      <c r="AO783" s="22"/>
      <c r="AP783" s="22"/>
      <c r="AQ783" s="328"/>
      <c r="AR783" s="22"/>
      <c r="AS783" s="22"/>
      <c r="AT783" s="328"/>
      <c r="AU783" s="22"/>
      <c r="AV783" s="22"/>
      <c r="AW783" s="328"/>
      <c r="AX783" s="173"/>
      <c r="AY783" s="173"/>
      <c r="AZ783" s="173"/>
      <c r="BA783" s="173"/>
      <c r="BB783" s="173"/>
      <c r="BC783" s="173"/>
      <c r="BD783" s="173"/>
      <c r="BE783" s="173"/>
      <c r="BF783" s="173"/>
      <c r="BG783" s="173"/>
      <c r="BH783" s="173"/>
      <c r="BI783" s="173"/>
      <c r="BJ783" s="173"/>
      <c r="BK783" s="173"/>
      <c r="BL783" s="173"/>
      <c r="BM783" s="173"/>
      <c r="BN783" s="173"/>
      <c r="BO783" s="173"/>
      <c r="BP783" s="173"/>
      <c r="BQ783" s="173"/>
      <c r="BR783" s="173"/>
      <c r="BS783" s="173"/>
      <c r="BT783" s="173"/>
      <c r="BU783" s="173"/>
      <c r="BV783" s="173"/>
      <c r="BW783" s="173"/>
      <c r="BX783" s="173"/>
      <c r="BY783" s="173"/>
      <c r="BZ783" s="173"/>
      <c r="CA783" s="173"/>
      <c r="CB783" s="173"/>
      <c r="CC783" s="173"/>
      <c r="CD783" s="173"/>
      <c r="CE783" s="173"/>
      <c r="CF783" s="173"/>
      <c r="CG783" s="173"/>
      <c r="CH783" s="173"/>
      <c r="CI783" s="173"/>
      <c r="CJ783" s="173"/>
      <c r="CK783" s="173"/>
      <c r="CL783" s="173"/>
      <c r="CM783" s="173"/>
      <c r="CN783" s="173"/>
      <c r="CO783" s="173"/>
      <c r="CP783" s="173"/>
      <c r="CQ783" s="173"/>
      <c r="CR783" s="173"/>
      <c r="CS783" s="173"/>
      <c r="CT783" s="173"/>
      <c r="CU783" s="173"/>
      <c r="CV783" s="173"/>
      <c r="CW783" s="173"/>
      <c r="CX783" s="173"/>
      <c r="CY783" s="173"/>
      <c r="CZ783" s="173"/>
      <c r="DA783" s="173"/>
      <c r="DB783" s="173"/>
      <c r="DC783" s="173"/>
      <c r="DD783" s="173"/>
      <c r="DE783" s="173"/>
      <c r="DF783" s="173"/>
      <c r="DG783" s="173"/>
      <c r="DH783" s="173"/>
      <c r="DI783" s="173"/>
      <c r="DJ783" s="173"/>
      <c r="DK783" s="173"/>
      <c r="DL783" s="173"/>
      <c r="DM783" s="173"/>
      <c r="DN783" s="173"/>
      <c r="DO783" s="173"/>
      <c r="DP783" s="173"/>
      <c r="DQ783" s="173"/>
      <c r="DR783" s="173"/>
      <c r="DS783" s="173"/>
      <c r="DT783" s="173"/>
      <c r="DU783" s="173"/>
      <c r="DV783" s="173"/>
      <c r="DW783" s="173"/>
      <c r="DX783" s="173"/>
      <c r="DY783" s="173"/>
      <c r="DZ783" s="173"/>
      <c r="EA783" s="173"/>
      <c r="EB783" s="173"/>
      <c r="EC783" s="173"/>
      <c r="ED783" s="173"/>
      <c r="EE783" s="173"/>
      <c r="EF783" s="173"/>
      <c r="EG783" s="173"/>
      <c r="EH783" s="173"/>
      <c r="EI783" s="173"/>
      <c r="EJ783" s="173"/>
      <c r="EK783" s="173"/>
      <c r="EL783" s="173"/>
      <c r="EM783" s="173"/>
      <c r="EN783" s="173"/>
      <c r="EO783" s="173"/>
      <c r="EP783" s="173"/>
      <c r="EQ783" s="173"/>
      <c r="ER783" s="173"/>
      <c r="ES783" s="173"/>
      <c r="ET783" s="173"/>
      <c r="EU783" s="173"/>
      <c r="EV783" s="173"/>
      <c r="EW783" s="173"/>
      <c r="EX783" s="173"/>
      <c r="EY783" s="173"/>
      <c r="EZ783" s="173"/>
      <c r="FA783" s="173"/>
      <c r="FH783" s="35"/>
      <c r="FI783" s="35"/>
      <c r="FJ783" s="35"/>
      <c r="FK783" s="35"/>
      <c r="FL783" s="35"/>
      <c r="FM783" s="35"/>
      <c r="FN783" s="35"/>
      <c r="FO783" s="35"/>
      <c r="FP783" s="35"/>
      <c r="FQ783" s="35"/>
    </row>
    <row r="784" spans="1:173" s="321" customFormat="1" hidden="1" outlineLevel="1">
      <c r="A784" s="1174"/>
      <c r="C784" s="321" t="s">
        <v>1002</v>
      </c>
      <c r="D784" s="329"/>
      <c r="E784" s="22"/>
      <c r="F784" s="22"/>
      <c r="G784" s="23"/>
      <c r="H784" s="22"/>
      <c r="I784" s="22"/>
      <c r="J784" s="23"/>
      <c r="K784" s="22"/>
      <c r="L784" s="22"/>
      <c r="M784" s="23"/>
      <c r="N784" s="22"/>
      <c r="O784" s="22"/>
      <c r="P784" s="23"/>
      <c r="Q784" s="22"/>
      <c r="R784" s="22"/>
      <c r="S784" s="23"/>
      <c r="T784" s="22"/>
      <c r="U784" s="22"/>
      <c r="V784" s="23"/>
      <c r="W784" s="22"/>
      <c r="X784" s="22"/>
      <c r="Y784" s="23"/>
      <c r="Z784" s="22"/>
      <c r="AA784" s="22"/>
      <c r="AB784" s="23"/>
      <c r="AC784" s="22"/>
      <c r="AD784" s="22"/>
      <c r="AE784" s="23"/>
      <c r="AF784" s="22"/>
      <c r="AG784" s="22"/>
      <c r="AH784" s="23"/>
      <c r="AI784" s="22"/>
      <c r="AJ784" s="22"/>
      <c r="AK784" s="23"/>
      <c r="AL784" s="22"/>
      <c r="AM784" s="22"/>
      <c r="AN784" s="328"/>
      <c r="AO784" s="22"/>
      <c r="AP784" s="22"/>
      <c r="AQ784" s="328"/>
      <c r="AR784" s="22"/>
      <c r="AS784" s="22"/>
      <c r="AT784" s="328"/>
      <c r="AU784" s="22"/>
      <c r="AV784" s="22"/>
      <c r="AW784" s="328"/>
      <c r="AX784" s="993"/>
      <c r="AY784" s="993"/>
      <c r="AZ784" s="163"/>
      <c r="BA784" s="66"/>
      <c r="BB784" s="66"/>
      <c r="BC784" s="56"/>
      <c r="BD784" s="66"/>
      <c r="BE784" s="66"/>
      <c r="BF784" s="56"/>
      <c r="BG784" s="66"/>
      <c r="BH784" s="66"/>
      <c r="BI784" s="56"/>
      <c r="BJ784" s="994"/>
      <c r="BK784" s="994"/>
      <c r="BL784" s="995"/>
      <c r="BM784" s="994"/>
      <c r="BN784" s="994"/>
      <c r="BO784" s="995"/>
      <c r="BP784" s="994"/>
      <c r="BQ784" s="994"/>
      <c r="BR784" s="995"/>
      <c r="BS784" s="66"/>
      <c r="BT784" s="66"/>
      <c r="BU784" s="163"/>
      <c r="BV784" s="66"/>
      <c r="BW784" s="66"/>
      <c r="BX784" s="163"/>
      <c r="BY784" s="66"/>
      <c r="BZ784" s="66"/>
      <c r="CA784" s="163"/>
      <c r="CB784" s="66"/>
      <c r="CC784" s="66"/>
      <c r="CD784" s="163"/>
      <c r="CE784" s="66"/>
      <c r="CF784" s="66"/>
      <c r="CG784" s="163"/>
      <c r="CH784" s="66"/>
      <c r="CI784" s="66"/>
      <c r="CJ784" s="163"/>
      <c r="CK784" s="66"/>
      <c r="CL784" s="66"/>
      <c r="CM784" s="163"/>
      <c r="CN784" s="66"/>
      <c r="CO784" s="66"/>
      <c r="CP784" s="163"/>
      <c r="CQ784" s="66"/>
      <c r="CR784" s="66"/>
      <c r="CS784" s="163"/>
      <c r="CT784" s="66"/>
      <c r="CU784" s="66"/>
      <c r="CV784" s="163"/>
      <c r="CW784" s="66"/>
      <c r="CX784" s="66"/>
      <c r="CY784" s="163"/>
      <c r="CZ784" s="66"/>
      <c r="DA784" s="66"/>
      <c r="DB784" s="163"/>
      <c r="DC784" s="66"/>
      <c r="DD784" s="66"/>
      <c r="DE784" s="163"/>
      <c r="DF784" s="66"/>
      <c r="DG784" s="66"/>
      <c r="DH784" s="163"/>
      <c r="DI784" s="66"/>
      <c r="DJ784" s="66"/>
      <c r="DK784" s="163"/>
      <c r="DL784" s="66"/>
      <c r="DM784" s="66"/>
      <c r="DN784" s="163"/>
      <c r="DO784" s="66"/>
      <c r="DP784" s="66"/>
      <c r="DQ784" s="163"/>
      <c r="DR784" s="66"/>
      <c r="DS784" s="66"/>
      <c r="DT784" s="163"/>
      <c r="DU784" s="66"/>
      <c r="DV784" s="66"/>
      <c r="DW784" s="163"/>
      <c r="DX784" s="66"/>
      <c r="DY784" s="66"/>
      <c r="DZ784" s="163"/>
      <c r="EA784" s="66"/>
      <c r="EB784" s="66"/>
      <c r="EC784" s="163"/>
      <c r="ED784" s="66"/>
      <c r="EE784" s="66"/>
      <c r="EF784" s="163"/>
      <c r="EG784" s="66"/>
      <c r="EH784" s="66"/>
      <c r="EI784" s="163"/>
      <c r="EJ784" s="66"/>
      <c r="EK784" s="66"/>
      <c r="EL784" s="163"/>
      <c r="EM784" s="66"/>
      <c r="EN784" s="66"/>
      <c r="EO784" s="163"/>
      <c r="EP784" s="66"/>
      <c r="EQ784" s="66"/>
      <c r="ER784" s="163"/>
      <c r="ES784" s="66"/>
      <c r="ET784" s="66"/>
      <c r="EU784" s="163"/>
      <c r="EV784" s="66"/>
      <c r="EW784" s="66"/>
      <c r="EX784" s="163"/>
      <c r="EY784" s="66"/>
      <c r="EZ784" s="66"/>
      <c r="FA784" s="163"/>
      <c r="FH784" s="35"/>
      <c r="FI784" s="35"/>
      <c r="FJ784" s="35"/>
      <c r="FK784" s="35"/>
      <c r="FL784" s="35"/>
      <c r="FM784" s="35"/>
      <c r="FN784" s="35"/>
      <c r="FO784" s="35"/>
      <c r="FP784" s="35"/>
      <c r="FQ784" s="35"/>
    </row>
    <row r="785" spans="1:173" s="321" customFormat="1" hidden="1" outlineLevel="1">
      <c r="A785" s="1174"/>
      <c r="C785" s="186" t="s">
        <v>316</v>
      </c>
      <c r="D785" s="329" t="s">
        <v>460</v>
      </c>
      <c r="E785" s="22"/>
      <c r="F785" s="22"/>
      <c r="G785" s="23"/>
      <c r="H785" s="22"/>
      <c r="I785" s="22"/>
      <c r="J785" s="23"/>
      <c r="K785" s="22"/>
      <c r="L785" s="22"/>
      <c r="M785" s="23"/>
      <c r="N785" s="22"/>
      <c r="O785" s="22"/>
      <c r="P785" s="23"/>
      <c r="Q785" s="22"/>
      <c r="R785" s="22"/>
      <c r="S785" s="23"/>
      <c r="T785" s="22"/>
      <c r="U785" s="22"/>
      <c r="V785" s="23"/>
      <c r="W785" s="22"/>
      <c r="X785" s="22"/>
      <c r="Y785" s="23"/>
      <c r="Z785" s="22"/>
      <c r="AA785" s="22"/>
      <c r="AB785" s="23"/>
      <c r="AC785" s="22"/>
      <c r="AD785" s="22"/>
      <c r="AE785" s="23"/>
      <c r="AF785" s="22"/>
      <c r="AG785" s="22"/>
      <c r="AH785" s="23"/>
      <c r="AI785" s="22"/>
      <c r="AJ785" s="22"/>
      <c r="AK785" s="23"/>
      <c r="AL785" s="22"/>
      <c r="AM785" s="22"/>
      <c r="AN785" s="328"/>
      <c r="AO785" s="22"/>
      <c r="AP785" s="22"/>
      <c r="AQ785" s="328"/>
      <c r="AR785" s="22"/>
      <c r="AS785" s="22"/>
      <c r="AT785" s="328"/>
      <c r="AU785" s="22"/>
      <c r="AV785" s="22"/>
      <c r="AW785" s="328"/>
      <c r="AX785" s="173">
        <f>(AX765/1000000)/AX739</f>
        <v>0.1805665745927818</v>
      </c>
      <c r="AY785" s="173">
        <f>(AY765/1000000)/AY739</f>
        <v>0.23147417565824188</v>
      </c>
      <c r="AZ785" s="173">
        <f>(AZ765/1000000)/AZ739</f>
        <v>0.20605786418493496</v>
      </c>
      <c r="BA785" s="173">
        <f>(BA765/1000000)/BA739</f>
        <v>0.21157604915139638</v>
      </c>
      <c r="BB785" s="173">
        <f t="shared" ref="BB785:DM785" si="3387">(BB765/1000000)/BB739</f>
        <v>0.27122623152593672</v>
      </c>
      <c r="BC785" s="173">
        <f t="shared" si="3387"/>
        <v>0.24144506755552289</v>
      </c>
      <c r="BD785" s="173">
        <f t="shared" si="3387"/>
        <v>0.23742549971689009</v>
      </c>
      <c r="BE785" s="173">
        <f t="shared" si="3387"/>
        <v>0.29165133976641128</v>
      </c>
      <c r="BF785" s="173">
        <f t="shared" si="3387"/>
        <v>0.26457835239801913</v>
      </c>
      <c r="BG785" s="173">
        <f t="shared" si="3387"/>
        <v>0.27980905102598991</v>
      </c>
      <c r="BH785" s="173">
        <f t="shared" si="3387"/>
        <v>0.30189907661210708</v>
      </c>
      <c r="BI785" s="173">
        <f t="shared" si="3387"/>
        <v>0.29087033121850409</v>
      </c>
      <c r="BJ785" s="173">
        <f t="shared" si="3387"/>
        <v>0.25806321294875872</v>
      </c>
      <c r="BK785" s="173">
        <f t="shared" si="3387"/>
        <v>0.334797697169745</v>
      </c>
      <c r="BL785" s="173">
        <f t="shared" si="3387"/>
        <v>0.29648696339157465</v>
      </c>
      <c r="BM785" s="173">
        <f t="shared" si="3387"/>
        <v>0.34384928413756299</v>
      </c>
      <c r="BN785" s="173">
        <f t="shared" si="3387"/>
        <v>0.36562723079067883</v>
      </c>
      <c r="BO785" s="173">
        <f t="shared" si="3387"/>
        <v>0.35474628216373327</v>
      </c>
      <c r="BP785" s="173">
        <f t="shared" si="3387"/>
        <v>0.44621761838343954</v>
      </c>
      <c r="BQ785" s="173">
        <f t="shared" si="3387"/>
        <v>0.40134513601841387</v>
      </c>
      <c r="BR785" s="173">
        <f t="shared" si="3387"/>
        <v>0.42376484266727316</v>
      </c>
      <c r="BS785" s="173">
        <f t="shared" si="3387"/>
        <v>0.53070498332609994</v>
      </c>
      <c r="BT785" s="173">
        <f t="shared" si="3387"/>
        <v>0.49895727925551764</v>
      </c>
      <c r="BU785" s="173">
        <f t="shared" si="3387"/>
        <v>0.51481943295245736</v>
      </c>
      <c r="BV785" s="173">
        <f t="shared" si="3387"/>
        <v>0.55823700162462886</v>
      </c>
      <c r="BW785" s="173">
        <f t="shared" si="3387"/>
        <v>0.53990720127800418</v>
      </c>
      <c r="BX785" s="173">
        <f t="shared" si="3387"/>
        <v>0.54906534731861167</v>
      </c>
      <c r="BY785" s="173">
        <f t="shared" si="3387"/>
        <v>0.55741875004089092</v>
      </c>
      <c r="BZ785" s="173">
        <f t="shared" si="3387"/>
        <v>0.54108578964972298</v>
      </c>
      <c r="CA785" s="173">
        <f t="shared" si="3387"/>
        <v>0.54924625150468875</v>
      </c>
      <c r="CB785" s="173">
        <f t="shared" si="3387"/>
        <v>0.59168715202028677</v>
      </c>
      <c r="CC785" s="173">
        <f t="shared" si="3387"/>
        <v>0.64687355743458763</v>
      </c>
      <c r="CD785" s="173">
        <f t="shared" si="3387"/>
        <v>0.61930068971737862</v>
      </c>
      <c r="CE785" s="173">
        <f t="shared" si="3387"/>
        <v>0.66060781677402736</v>
      </c>
      <c r="CF785" s="173">
        <f t="shared" si="3387"/>
        <v>0.72222242285744209</v>
      </c>
      <c r="CG785" s="173">
        <f t="shared" si="3387"/>
        <v>0.69143782345779214</v>
      </c>
      <c r="CH785" s="173">
        <f t="shared" si="3387"/>
        <v>0.55861624295501799</v>
      </c>
      <c r="CI785" s="173">
        <f t="shared" si="3387"/>
        <v>0.67136781308041948</v>
      </c>
      <c r="CJ785" s="173">
        <f t="shared" si="3387"/>
        <v>0.61503357451865825</v>
      </c>
      <c r="CK785" s="173">
        <f t="shared" si="3387"/>
        <v>0.59288338775844951</v>
      </c>
      <c r="CL785" s="173">
        <f t="shared" si="3387"/>
        <v>0.57882982947772577</v>
      </c>
      <c r="CM785" s="173">
        <f t="shared" si="3387"/>
        <v>0.58585143018756403</v>
      </c>
      <c r="CN785" s="173">
        <f t="shared" si="3387"/>
        <v>0.56192211520351609</v>
      </c>
      <c r="CO785" s="173">
        <f t="shared" si="3387"/>
        <v>0.6428267016471837</v>
      </c>
      <c r="CP785" s="173">
        <f t="shared" si="3387"/>
        <v>0.60240422000556071</v>
      </c>
      <c r="CQ785" s="173">
        <f t="shared" si="3387"/>
        <v>0.63479071525855291</v>
      </c>
      <c r="CR785" s="173">
        <f t="shared" si="3387"/>
        <v>0.71377334874295439</v>
      </c>
      <c r="CS785" s="173">
        <f t="shared" si="3387"/>
        <v>0.67431113538310661</v>
      </c>
      <c r="CT785" s="173">
        <f t="shared" si="3387"/>
        <v>0.67308204666251903</v>
      </c>
      <c r="CU785" s="173">
        <f t="shared" si="3387"/>
        <v>0.70852489033806565</v>
      </c>
      <c r="CV785" s="173">
        <f t="shared" si="3387"/>
        <v>0.69081652841720909</v>
      </c>
      <c r="CW785" s="173">
        <f t="shared" si="3387"/>
        <v>0.77373395248233456</v>
      </c>
      <c r="CX785" s="173">
        <f t="shared" si="3387"/>
        <v>0.7715360293098128</v>
      </c>
      <c r="CY785" s="173">
        <f t="shared" si="3387"/>
        <v>0.77263418100919512</v>
      </c>
      <c r="CZ785" s="173">
        <f t="shared" si="3387"/>
        <v>0.82590101142107286</v>
      </c>
      <c r="DA785" s="173">
        <f t="shared" si="3387"/>
        <v>0.8075652661825089</v>
      </c>
      <c r="DB785" s="173">
        <f t="shared" si="3387"/>
        <v>0.81672638247852281</v>
      </c>
      <c r="DC785" s="173">
        <f t="shared" si="3387"/>
        <v>0.77553882746176817</v>
      </c>
      <c r="DD785" s="173">
        <f t="shared" si="3387"/>
        <v>0.68867942808253946</v>
      </c>
      <c r="DE785" s="173">
        <f t="shared" si="3387"/>
        <v>0.73207712197290997</v>
      </c>
      <c r="DF785" s="173">
        <f t="shared" si="3387"/>
        <v>0.81546188178099988</v>
      </c>
      <c r="DG785" s="996">
        <f t="shared" si="3387"/>
        <v>0.49372578353573071</v>
      </c>
      <c r="DH785" s="996">
        <f t="shared" si="3387"/>
        <v>0.65447527990479337</v>
      </c>
      <c r="DI785" s="996">
        <f t="shared" si="3387"/>
        <v>0.69648084502014396</v>
      </c>
      <c r="DJ785" s="996">
        <f t="shared" si="3387"/>
        <v>0.70223055691661385</v>
      </c>
      <c r="DK785" s="996">
        <f t="shared" si="3387"/>
        <v>0.69935781961214094</v>
      </c>
      <c r="DL785" s="996">
        <f t="shared" si="3387"/>
        <v>0.66736215965859902</v>
      </c>
      <c r="DM785" s="996">
        <f t="shared" si="3387"/>
        <v>0.69795884143599796</v>
      </c>
      <c r="DN785" s="996">
        <f t="shared" ref="DN785:DW785" si="3388">(DN765/1000000)/DN739</f>
        <v>0.68267177475897278</v>
      </c>
      <c r="DO785" s="996">
        <f t="shared" si="3388"/>
        <v>0.75537436127685698</v>
      </c>
      <c r="DP785" s="173">
        <f t="shared" si="3388"/>
        <v>0.81935647123659361</v>
      </c>
      <c r="DQ785" s="173">
        <f t="shared" si="3388"/>
        <v>0.78738899227246117</v>
      </c>
      <c r="DR785" s="997">
        <f t="shared" si="3388"/>
        <v>0.94520441397088828</v>
      </c>
      <c r="DS785" s="997">
        <f t="shared" si="3388"/>
        <v>1.0252656072670008</v>
      </c>
      <c r="DT785" s="997">
        <f t="shared" si="3388"/>
        <v>0.98526451142712634</v>
      </c>
      <c r="DU785" s="997">
        <f t="shared" si="3388"/>
        <v>0.92168892927269774</v>
      </c>
      <c r="DV785" s="997">
        <f t="shared" si="3388"/>
        <v>0.99975830181760961</v>
      </c>
      <c r="DW785" s="997">
        <f t="shared" si="3388"/>
        <v>0.96075238241071625</v>
      </c>
      <c r="DX785" s="997">
        <f t="shared" ref="DX785:ER785" si="3389">(DX765/1000000)/DX739</f>
        <v>0.89875847995142399</v>
      </c>
      <c r="DY785" s="997">
        <f t="shared" si="3389"/>
        <v>0.9748855857143125</v>
      </c>
      <c r="DZ785" s="997">
        <f t="shared" si="3389"/>
        <v>0.93685008401537129</v>
      </c>
      <c r="EA785" s="997">
        <f t="shared" si="3389"/>
        <v>0.87639851107032474</v>
      </c>
      <c r="EB785" s="997">
        <f t="shared" si="3389"/>
        <v>0.95063167118058578</v>
      </c>
      <c r="EC785" s="997">
        <f t="shared" si="3389"/>
        <v>0.91354244443018362</v>
      </c>
      <c r="ED785" s="997">
        <f t="shared" si="3389"/>
        <v>0.85459482980098844</v>
      </c>
      <c r="EE785" s="997">
        <f t="shared" si="3389"/>
        <v>0.92698116321972168</v>
      </c>
      <c r="EF785" s="997">
        <f t="shared" si="3389"/>
        <v>0.89081466929962128</v>
      </c>
      <c r="EG785" s="997">
        <f t="shared" si="3389"/>
        <v>0.83333359641453819</v>
      </c>
      <c r="EH785" s="997">
        <f t="shared" si="3389"/>
        <v>0.90391904984296845</v>
      </c>
      <c r="EI785" s="997">
        <f t="shared" si="3389"/>
        <v>0.86865233233291683</v>
      </c>
      <c r="EJ785" s="997">
        <f t="shared" si="3389"/>
        <v>0.81260131549696546</v>
      </c>
      <c r="EK785" s="997">
        <f t="shared" si="3389"/>
        <v>0.88143069254077744</v>
      </c>
      <c r="EL785" s="997">
        <f t="shared" si="3389"/>
        <v>0.84704136614708658</v>
      </c>
      <c r="EM785" s="997">
        <f t="shared" si="3389"/>
        <v>0.7923848273830123</v>
      </c>
      <c r="EN785" s="997">
        <f t="shared" si="3389"/>
        <v>0.85950181699111627</v>
      </c>
      <c r="EO785" s="997">
        <f t="shared" si="3389"/>
        <v>0.8259680533377588</v>
      </c>
      <c r="EP785" s="997">
        <f t="shared" si="3389"/>
        <v>0.7726712998031704</v>
      </c>
      <c r="EQ785" s="997">
        <f t="shared" si="3389"/>
        <v>0.83811850399894461</v>
      </c>
      <c r="ER785" s="997">
        <f t="shared" si="3389"/>
        <v>0.80541901777214975</v>
      </c>
      <c r="ES785" s="997">
        <f t="shared" ref="ES785:EX785" si="3390">(ES765/1000000)/ES739</f>
        <v>0.75344821973848919</v>
      </c>
      <c r="ET785" s="997">
        <f t="shared" si="3390"/>
        <v>0.81726718066110782</v>
      </c>
      <c r="EU785" s="997">
        <f t="shared" si="3390"/>
        <v>0.7853812160986634</v>
      </c>
      <c r="EV785" s="997">
        <f t="shared" si="3390"/>
        <v>0.73470338547802938</v>
      </c>
      <c r="EW785" s="997">
        <f t="shared" si="3390"/>
        <v>0.79693461175103364</v>
      </c>
      <c r="EX785" s="997">
        <f t="shared" si="3390"/>
        <v>0.76584192946771557</v>
      </c>
      <c r="EY785" s="997">
        <f t="shared" ref="EY785:FA785" si="3391">(EY765/1000000)/EY739</f>
        <v>0.71642489887391436</v>
      </c>
      <c r="EZ785" s="997">
        <f t="shared" si="3391"/>
        <v>0.77710789131776747</v>
      </c>
      <c r="FA785" s="997">
        <f t="shared" si="3391"/>
        <v>0.74678875545853718</v>
      </c>
      <c r="FH785" s="35"/>
      <c r="FI785" s="35"/>
      <c r="FJ785" s="35"/>
      <c r="FK785" s="35"/>
      <c r="FL785" s="35"/>
      <c r="FM785" s="35"/>
      <c r="FN785" s="35"/>
      <c r="FO785" s="35"/>
      <c r="FP785" s="35"/>
      <c r="FQ785" s="35"/>
    </row>
    <row r="786" spans="1:173" s="321" customFormat="1" hidden="1" outlineLevel="1">
      <c r="A786" s="1174"/>
      <c r="C786" s="186" t="s">
        <v>317</v>
      </c>
      <c r="D786" s="329" t="s">
        <v>460</v>
      </c>
      <c r="E786" s="22"/>
      <c r="F786" s="22"/>
      <c r="G786" s="23"/>
      <c r="H786" s="22"/>
      <c r="I786" s="22"/>
      <c r="J786" s="23"/>
      <c r="K786" s="22"/>
      <c r="L786" s="22"/>
      <c r="M786" s="23"/>
      <c r="N786" s="22"/>
      <c r="O786" s="22"/>
      <c r="P786" s="23"/>
      <c r="Q786" s="22"/>
      <c r="R786" s="22"/>
      <c r="S786" s="23"/>
      <c r="T786" s="22"/>
      <c r="U786" s="22"/>
      <c r="V786" s="23"/>
      <c r="W786" s="22"/>
      <c r="X786" s="22"/>
      <c r="Y786" s="23"/>
      <c r="Z786" s="22"/>
      <c r="AA786" s="22"/>
      <c r="AB786" s="23"/>
      <c r="AC786" s="22"/>
      <c r="AD786" s="22"/>
      <c r="AE786" s="23"/>
      <c r="AF786" s="22"/>
      <c r="AG786" s="22"/>
      <c r="AH786" s="23"/>
      <c r="AI786" s="22"/>
      <c r="AJ786" s="22"/>
      <c r="AK786" s="23"/>
      <c r="AL786" s="22"/>
      <c r="AM786" s="22"/>
      <c r="AN786" s="328"/>
      <c r="AO786" s="22"/>
      <c r="AP786" s="22"/>
      <c r="AQ786" s="328"/>
      <c r="AR786" s="22"/>
      <c r="AS786" s="22"/>
      <c r="AT786" s="328"/>
      <c r="AU786" s="22"/>
      <c r="AV786" s="22"/>
      <c r="AW786" s="328"/>
      <c r="AX786" s="173">
        <f t="shared" ref="AX786:AZ788" si="3392">(AX766/1000000)/AX740</f>
        <v>8.2680264107344165E-2</v>
      </c>
      <c r="AY786" s="173">
        <f t="shared" si="3392"/>
        <v>0.10063337559583571</v>
      </c>
      <c r="AZ786" s="173">
        <f t="shared" si="3392"/>
        <v>9.1652778582934122E-2</v>
      </c>
      <c r="BA786" s="173">
        <f t="shared" ref="BA786:DL786" si="3393">(BA766/1000000)/BA740</f>
        <v>9.762738269182869E-2</v>
      </c>
      <c r="BB786" s="173">
        <f t="shared" si="3393"/>
        <v>0.1188260968555918</v>
      </c>
      <c r="BC786" s="173">
        <f t="shared" si="3393"/>
        <v>0.10822196791568728</v>
      </c>
      <c r="BD786" s="173">
        <f t="shared" si="3393"/>
        <v>0.11661285971967289</v>
      </c>
      <c r="BE786" s="173">
        <f t="shared" si="3393"/>
        <v>0.14840599668333557</v>
      </c>
      <c r="BF786" s="173">
        <f t="shared" si="3393"/>
        <v>0.13250227152518304</v>
      </c>
      <c r="BG786" s="173">
        <f t="shared" si="3393"/>
        <v>0.12004144437523973</v>
      </c>
      <c r="BH786" s="173">
        <f t="shared" si="3393"/>
        <v>0.14070860721996581</v>
      </c>
      <c r="BI786" s="173">
        <f t="shared" si="3393"/>
        <v>0.13037037359247036</v>
      </c>
      <c r="BJ786" s="173">
        <f t="shared" si="3393"/>
        <v>0.12959331581508959</v>
      </c>
      <c r="BK786" s="173">
        <f t="shared" si="3393"/>
        <v>0.151904994714639</v>
      </c>
      <c r="BL786" s="173">
        <f t="shared" si="3393"/>
        <v>0.14074413287703738</v>
      </c>
      <c r="BM786" s="173">
        <f t="shared" si="3393"/>
        <v>0.13869423271431913</v>
      </c>
      <c r="BN786" s="173">
        <f t="shared" si="3393"/>
        <v>0.1715459668820738</v>
      </c>
      <c r="BO786" s="173">
        <f t="shared" si="3393"/>
        <v>0.15511640314635591</v>
      </c>
      <c r="BP786" s="173">
        <f t="shared" si="3393"/>
        <v>0.1725282628246986</v>
      </c>
      <c r="BQ786" s="173">
        <f t="shared" si="3393"/>
        <v>0.1848295147964627</v>
      </c>
      <c r="BR786" s="173">
        <f t="shared" si="3393"/>
        <v>0.1786775046082883</v>
      </c>
      <c r="BS786" s="173">
        <f t="shared" si="3393"/>
        <v>0.2059860829188396</v>
      </c>
      <c r="BT786" s="173">
        <f t="shared" si="3393"/>
        <v>0.22248166896639832</v>
      </c>
      <c r="BU786" s="173">
        <f t="shared" si="3393"/>
        <v>0.21423201977155015</v>
      </c>
      <c r="BV786" s="173">
        <f t="shared" si="3393"/>
        <v>0.24973099082681421</v>
      </c>
      <c r="BW786" s="173">
        <f t="shared" si="3393"/>
        <v>0.26465488184177494</v>
      </c>
      <c r="BX786" s="173">
        <f t="shared" si="3393"/>
        <v>0.25719125701870943</v>
      </c>
      <c r="BY786" s="173">
        <f t="shared" si="3393"/>
        <v>0.25611953263471932</v>
      </c>
      <c r="BZ786" s="173">
        <f t="shared" si="3393"/>
        <v>0.25126218705353626</v>
      </c>
      <c r="CA786" s="173">
        <f t="shared" si="3393"/>
        <v>0.25369140641848487</v>
      </c>
      <c r="CB786" s="173">
        <f t="shared" si="3393"/>
        <v>0.2573944995978914</v>
      </c>
      <c r="CC786" s="173">
        <f t="shared" si="3393"/>
        <v>0.28173583476504693</v>
      </c>
      <c r="CD786" s="173">
        <f t="shared" si="3393"/>
        <v>0.26956242816498416</v>
      </c>
      <c r="CE786" s="173">
        <f t="shared" si="3393"/>
        <v>0.31336169662213192</v>
      </c>
      <c r="CF786" s="173">
        <f t="shared" si="3393"/>
        <v>0.31576561534432851</v>
      </c>
      <c r="CG786" s="173">
        <f t="shared" si="3393"/>
        <v>0.31456338548151108</v>
      </c>
      <c r="CH786" s="173">
        <f t="shared" si="3393"/>
        <v>0.27162656961393183</v>
      </c>
      <c r="CI786" s="173">
        <f t="shared" si="3393"/>
        <v>0.29466297066362002</v>
      </c>
      <c r="CJ786" s="173">
        <f t="shared" si="3393"/>
        <v>0.28314217796041774</v>
      </c>
      <c r="CK786" s="173">
        <f t="shared" si="3393"/>
        <v>0.29574214031104301</v>
      </c>
      <c r="CL786" s="173">
        <f t="shared" si="3393"/>
        <v>0.30077227581117444</v>
      </c>
      <c r="CM786" s="173">
        <f t="shared" si="3393"/>
        <v>0.29825664204351093</v>
      </c>
      <c r="CN786" s="173">
        <f t="shared" si="3393"/>
        <v>0.28137870867284459</v>
      </c>
      <c r="CO786" s="173">
        <f t="shared" si="3393"/>
        <v>0.33531422964432972</v>
      </c>
      <c r="CP786" s="173">
        <f t="shared" si="3393"/>
        <v>0.3083404000469277</v>
      </c>
      <c r="CQ786" s="173">
        <f t="shared" si="3393"/>
        <v>0.28363794410267323</v>
      </c>
      <c r="CR786" s="173">
        <f t="shared" si="3393"/>
        <v>0.34775671028573601</v>
      </c>
      <c r="CS786" s="173">
        <f t="shared" si="3393"/>
        <v>0.31569011220963755</v>
      </c>
      <c r="CT786" s="173">
        <f t="shared" si="3393"/>
        <v>0.30190683637750737</v>
      </c>
      <c r="CU786" s="173">
        <f t="shared" si="3393"/>
        <v>0.35669524296796512</v>
      </c>
      <c r="CV786" s="173">
        <f t="shared" si="3393"/>
        <v>0.32929487458985124</v>
      </c>
      <c r="CW786" s="173">
        <f t="shared" si="3393"/>
        <v>0.32076967372598769</v>
      </c>
      <c r="CX786" s="173">
        <f t="shared" si="3393"/>
        <v>0.37898120519330636</v>
      </c>
      <c r="CY786" s="173">
        <f t="shared" si="3393"/>
        <v>0.34986888918854586</v>
      </c>
      <c r="CZ786" s="173">
        <f t="shared" si="3393"/>
        <v>0.30302989667606456</v>
      </c>
      <c r="DA786" s="173">
        <f t="shared" si="3393"/>
        <v>0.4566608547529144</v>
      </c>
      <c r="DB786" s="173">
        <f t="shared" si="3393"/>
        <v>0.37982808834204707</v>
      </c>
      <c r="DC786" s="173">
        <f t="shared" si="3393"/>
        <v>0.32354083826737917</v>
      </c>
      <c r="DD786" s="173">
        <f t="shared" si="3393"/>
        <v>0.40411247968517749</v>
      </c>
      <c r="DE786" s="173">
        <f t="shared" si="3393"/>
        <v>0.36381759262669017</v>
      </c>
      <c r="DF786" s="173">
        <f t="shared" si="3393"/>
        <v>0.35237377564027261</v>
      </c>
      <c r="DG786" s="173">
        <f t="shared" si="3393"/>
        <v>0.29083196510912707</v>
      </c>
      <c r="DH786" s="173">
        <f t="shared" si="3393"/>
        <v>0.32160979538651224</v>
      </c>
      <c r="DI786" s="173">
        <f t="shared" si="3393"/>
        <v>0.28315328959598246</v>
      </c>
      <c r="DJ786" s="173">
        <f t="shared" si="3393"/>
        <v>0.36289899534814135</v>
      </c>
      <c r="DK786" s="173">
        <f t="shared" si="3393"/>
        <v>0.32301716906114725</v>
      </c>
      <c r="DL786" s="173">
        <f t="shared" si="3393"/>
        <v>0.31800933964790129</v>
      </c>
      <c r="DM786" s="173">
        <f>(DM766/1000000)/DM740</f>
        <v>0.33641112901309772</v>
      </c>
      <c r="DN786" s="173">
        <f t="shared" ref="DN786:DW786" si="3394">(DN766/1000000)/DN740</f>
        <v>0.32720816366329575</v>
      </c>
      <c r="DO786" s="173">
        <f t="shared" si="3394"/>
        <v>0.31562232651789085</v>
      </c>
      <c r="DP786" s="173">
        <f t="shared" si="3394"/>
        <v>0.35138637386410626</v>
      </c>
      <c r="DQ786" s="173">
        <f t="shared" si="3394"/>
        <v>0.33350032583019096</v>
      </c>
      <c r="DR786" s="173">
        <f t="shared" si="3394"/>
        <v>0.39646275597662378</v>
      </c>
      <c r="DS786" s="173">
        <f t="shared" si="3394"/>
        <v>0.44138705817092777</v>
      </c>
      <c r="DT786" s="173">
        <f t="shared" si="3394"/>
        <v>0.41891985195237669</v>
      </c>
      <c r="DU786" s="173">
        <f t="shared" si="3394"/>
        <v>0.38808977755675922</v>
      </c>
      <c r="DV786" s="173">
        <f t="shared" si="3394"/>
        <v>0.43206531418070387</v>
      </c>
      <c r="DW786" s="173">
        <f t="shared" si="3394"/>
        <v>0.41007259750747999</v>
      </c>
      <c r="DX786" s="173">
        <f t="shared" ref="DX786:ER786" si="3395">(DX766/1000000)/DX740</f>
        <v>0.37989362978886043</v>
      </c>
      <c r="DY786" s="173">
        <f t="shared" si="3395"/>
        <v>0.42294043801750542</v>
      </c>
      <c r="DZ786" s="173">
        <f t="shared" si="3395"/>
        <v>0.40141219004738965</v>
      </c>
      <c r="EA786" s="173">
        <f t="shared" si="3395"/>
        <v>0.37187057815004837</v>
      </c>
      <c r="EB786" s="173">
        <f t="shared" si="3395"/>
        <v>0.41400827198923545</v>
      </c>
      <c r="EC786" s="173">
        <f t="shared" si="3395"/>
        <v>0.39293468351223459</v>
      </c>
      <c r="ED786" s="173">
        <f t="shared" si="3395"/>
        <v>0.36401696698760033</v>
      </c>
      <c r="EE786" s="173">
        <f t="shared" si="3395"/>
        <v>0.40526474621095099</v>
      </c>
      <c r="EF786" s="173">
        <f t="shared" si="3395"/>
        <v>0.38463621517979363</v>
      </c>
      <c r="EG786" s="173">
        <f t="shared" si="3395"/>
        <v>0.35632921785327443</v>
      </c>
      <c r="EH786" s="173">
        <f t="shared" si="3395"/>
        <v>0.39670587675044539</v>
      </c>
      <c r="EI786" s="173">
        <f t="shared" si="3395"/>
        <v>0.37651300390546982</v>
      </c>
      <c r="EJ786" s="173">
        <f t="shared" si="3395"/>
        <v>0.34880382787281278</v>
      </c>
      <c r="EK786" s="173">
        <f t="shared" si="3395"/>
        <v>0.38832776381299511</v>
      </c>
      <c r="EL786" s="173">
        <f t="shared" si="3395"/>
        <v>0.36856134839943583</v>
      </c>
      <c r="EM786" s="173">
        <f t="shared" si="3395"/>
        <v>0.34143736814987863</v>
      </c>
      <c r="EN786" s="173">
        <f t="shared" si="3395"/>
        <v>0.38012658996444265</v>
      </c>
      <c r="EO786" s="173">
        <f t="shared" si="3395"/>
        <v>0.36077762554016518</v>
      </c>
      <c r="EP786" s="173">
        <f t="shared" si="3395"/>
        <v>0.33422648220370194</v>
      </c>
      <c r="EQ786" s="173">
        <f t="shared" si="3395"/>
        <v>0.37209861839180725</v>
      </c>
      <c r="ER786" s="173">
        <f t="shared" si="3395"/>
        <v>0.35315828872357918</v>
      </c>
      <c r="ES786" s="173">
        <f t="shared" ref="ES786:EX786" si="3396">(ES766/1000000)/ES740</f>
        <v>0.32716788443971961</v>
      </c>
      <c r="ET786" s="173">
        <f t="shared" si="3396"/>
        <v>0.36424019120062934</v>
      </c>
      <c r="EU786" s="173">
        <f t="shared" si="3396"/>
        <v>0.34569986624705995</v>
      </c>
      <c r="EV786" s="173">
        <f t="shared" si="3396"/>
        <v>0.3202583586525154</v>
      </c>
      <c r="EW786" s="173">
        <f t="shared" si="3396"/>
        <v>0.35654772774827403</v>
      </c>
      <c r="EX786" s="173">
        <f t="shared" si="3396"/>
        <v>0.33839895972759004</v>
      </c>
      <c r="EY786" s="173">
        <f t="shared" ref="EY786:FA786" si="3397">(EY766/1000000)/EY740</f>
        <v>0.31349475656037618</v>
      </c>
      <c r="EZ786" s="173">
        <f t="shared" si="3397"/>
        <v>0.34901772301243422</v>
      </c>
      <c r="FA786" s="173">
        <f t="shared" si="3397"/>
        <v>0.33125224255330182</v>
      </c>
      <c r="FH786" s="35"/>
      <c r="FI786" s="35"/>
      <c r="FJ786" s="35"/>
      <c r="FK786" s="35"/>
      <c r="FL786" s="35"/>
      <c r="FM786" s="35"/>
      <c r="FN786" s="35"/>
      <c r="FO786" s="35"/>
      <c r="FP786" s="35"/>
      <c r="FQ786" s="35"/>
    </row>
    <row r="787" spans="1:173" s="321" customFormat="1" hidden="1" outlineLevel="1">
      <c r="A787" s="1174"/>
      <c r="C787" s="186" t="s">
        <v>431</v>
      </c>
      <c r="D787" s="329" t="s">
        <v>460</v>
      </c>
      <c r="E787" s="22"/>
      <c r="F787" s="22"/>
      <c r="G787" s="23"/>
      <c r="H787" s="22"/>
      <c r="I787" s="22"/>
      <c r="J787" s="23"/>
      <c r="K787" s="22"/>
      <c r="L787" s="22"/>
      <c r="M787" s="23"/>
      <c r="N787" s="22"/>
      <c r="O787" s="22"/>
      <c r="P787" s="23"/>
      <c r="Q787" s="22"/>
      <c r="R787" s="22"/>
      <c r="S787" s="23"/>
      <c r="T787" s="22"/>
      <c r="U787" s="22"/>
      <c r="V787" s="23"/>
      <c r="W787" s="22"/>
      <c r="X787" s="22"/>
      <c r="Y787" s="23"/>
      <c r="Z787" s="22"/>
      <c r="AA787" s="22"/>
      <c r="AB787" s="23"/>
      <c r="AC787" s="22"/>
      <c r="AD787" s="22"/>
      <c r="AE787" s="23"/>
      <c r="AF787" s="22"/>
      <c r="AG787" s="22"/>
      <c r="AH787" s="23"/>
      <c r="AI787" s="22"/>
      <c r="AJ787" s="22"/>
      <c r="AK787" s="23"/>
      <c r="AL787" s="22"/>
      <c r="AM787" s="22"/>
      <c r="AN787" s="328"/>
      <c r="AO787" s="22"/>
      <c r="AP787" s="22"/>
      <c r="AQ787" s="328"/>
      <c r="AR787" s="22"/>
      <c r="AS787" s="22"/>
      <c r="AT787" s="328"/>
      <c r="AU787" s="22"/>
      <c r="AV787" s="22"/>
      <c r="AW787" s="328"/>
      <c r="AX787" s="173">
        <f t="shared" si="3392"/>
        <v>2.7096446553397789E-2</v>
      </c>
      <c r="AY787" s="173">
        <f t="shared" si="3392"/>
        <v>1.2819654664769246E-2</v>
      </c>
      <c r="AZ787" s="173">
        <f t="shared" si="3392"/>
        <v>1.9935280606071352E-2</v>
      </c>
      <c r="BA787" s="173">
        <f t="shared" ref="BA787:DL787" si="3398">(BA767/1000000)/BA741</f>
        <v>3.1532528275206459E-2</v>
      </c>
      <c r="BB787" s="173">
        <f t="shared" si="3398"/>
        <v>1.4918418265605721E-2</v>
      </c>
      <c r="BC787" s="173">
        <f t="shared" si="3398"/>
        <v>2.3198975487296682E-2</v>
      </c>
      <c r="BD787" s="173">
        <f t="shared" si="3398"/>
        <v>3.7397376061176858E-2</v>
      </c>
      <c r="BE787" s="173">
        <f t="shared" si="3398"/>
        <v>3.2013403631510159E-2</v>
      </c>
      <c r="BF787" s="173">
        <f t="shared" si="3398"/>
        <v>3.4696802968465258E-2</v>
      </c>
      <c r="BG787" s="173">
        <f t="shared" si="3398"/>
        <v>3.4260881680782805E-2</v>
      </c>
      <c r="BH787" s="173">
        <f t="shared" si="3398"/>
        <v>4.6372631576434661E-2</v>
      </c>
      <c r="BI787" s="173">
        <f t="shared" si="3398"/>
        <v>4.0336073614088246E-2</v>
      </c>
      <c r="BJ787" s="173">
        <f t="shared" si="3398"/>
        <v>3.9786965146470767E-2</v>
      </c>
      <c r="BK787" s="173">
        <f t="shared" si="3398"/>
        <v>4.1062356444082015E-2</v>
      </c>
      <c r="BL787" s="173">
        <f t="shared" si="3398"/>
        <v>4.0426694912178485E-2</v>
      </c>
      <c r="BM787" s="173">
        <f t="shared" si="3398"/>
        <v>3.9754373404885787E-2</v>
      </c>
      <c r="BN787" s="173">
        <f t="shared" si="3398"/>
        <v>4.9950962460733085E-2</v>
      </c>
      <c r="BO787" s="173">
        <f t="shared" si="3398"/>
        <v>4.4860812173269392E-2</v>
      </c>
      <c r="BP787" s="173">
        <f t="shared" si="3398"/>
        <v>4.9093134273314624E-2</v>
      </c>
      <c r="BQ787" s="173">
        <f t="shared" si="3398"/>
        <v>5.0999425747129165E-2</v>
      </c>
      <c r="BR787" s="173">
        <f t="shared" si="3398"/>
        <v>5.0047802607245714E-2</v>
      </c>
      <c r="BS787" s="173">
        <f t="shared" si="3398"/>
        <v>5.7520131011377054E-2</v>
      </c>
      <c r="BT787" s="173">
        <f t="shared" si="3398"/>
        <v>6.193371023923034E-2</v>
      </c>
      <c r="BU787" s="173">
        <f t="shared" si="3398"/>
        <v>5.973044584832915E-2</v>
      </c>
      <c r="BV787" s="173">
        <f t="shared" si="3398"/>
        <v>5.9291339149250104E-2</v>
      </c>
      <c r="BW787" s="173">
        <f t="shared" si="3398"/>
        <v>6.9731974589396645E-2</v>
      </c>
      <c r="BX787" s="173">
        <f t="shared" si="3398"/>
        <v>6.4519996035010393E-2</v>
      </c>
      <c r="BY787" s="173">
        <f t="shared" si="3398"/>
        <v>5.4617249568111814E-2</v>
      </c>
      <c r="BZ787" s="173">
        <f t="shared" si="3398"/>
        <v>7.1131614210974359E-2</v>
      </c>
      <c r="CA787" s="173">
        <f t="shared" si="3398"/>
        <v>6.2887622276638022E-2</v>
      </c>
      <c r="CB787" s="173">
        <f t="shared" si="3398"/>
        <v>5.766465003055396E-2</v>
      </c>
      <c r="CC787" s="173">
        <f t="shared" si="3398"/>
        <v>8.2679386820787626E-2</v>
      </c>
      <c r="CD787" s="173">
        <f t="shared" si="3398"/>
        <v>7.0191998247388226E-2</v>
      </c>
      <c r="CE787" s="173">
        <f t="shared" si="3398"/>
        <v>6.9693184392065358E-2</v>
      </c>
      <c r="CF787" s="173">
        <f t="shared" si="3398"/>
        <v>9.2071288669149473E-2</v>
      </c>
      <c r="CG787" s="173">
        <f t="shared" si="3398"/>
        <v>8.0900110415812743E-2</v>
      </c>
      <c r="CH787" s="173">
        <f t="shared" si="3398"/>
        <v>7.3744996360229645E-2</v>
      </c>
      <c r="CI787" s="173">
        <f t="shared" si="3398"/>
        <v>8.5294091566465488E-2</v>
      </c>
      <c r="CJ787" s="173">
        <f t="shared" si="3398"/>
        <v>7.9528768480285478E-2</v>
      </c>
      <c r="CK787" s="173">
        <f t="shared" si="3398"/>
        <v>0.14689475548786532</v>
      </c>
      <c r="CL787" s="173">
        <f t="shared" si="3398"/>
        <v>0.12306271145100511</v>
      </c>
      <c r="CM787" s="173">
        <f t="shared" si="3398"/>
        <v>0.13495969829049204</v>
      </c>
      <c r="CN787" s="173">
        <f t="shared" si="3398"/>
        <v>7.7349926131228916E-2</v>
      </c>
      <c r="CO787" s="173">
        <f t="shared" si="3398"/>
        <v>0.11274157943399085</v>
      </c>
      <c r="CP787" s="173">
        <f t="shared" si="3398"/>
        <v>9.5074020876302165E-2</v>
      </c>
      <c r="CQ787" s="173">
        <f t="shared" si="3398"/>
        <v>3.5977886632909996E-2</v>
      </c>
      <c r="CR787" s="173">
        <f t="shared" si="3398"/>
        <v>9.4307656936201814E-2</v>
      </c>
      <c r="CS787" s="173">
        <f t="shared" si="3398"/>
        <v>6.5189361057961095E-2</v>
      </c>
      <c r="CT787" s="173">
        <f t="shared" si="3398"/>
        <v>0.10156221019718387</v>
      </c>
      <c r="CU787" s="173">
        <f t="shared" si="3398"/>
        <v>8.1885599927246838E-2</v>
      </c>
      <c r="CV787" s="173">
        <f t="shared" si="3398"/>
        <v>9.1708188919827224E-2</v>
      </c>
      <c r="CW787" s="173">
        <f t="shared" si="3398"/>
        <v>8.6559352123394315E-2</v>
      </c>
      <c r="CX787" s="173">
        <f t="shared" si="3398"/>
        <v>5.8230923047304019E-2</v>
      </c>
      <c r="CY787" s="173">
        <f t="shared" si="3398"/>
        <v>7.2372511044553556E-2</v>
      </c>
      <c r="CZ787" s="173">
        <f t="shared" si="3398"/>
        <v>4.9877693309706247E-2</v>
      </c>
      <c r="DA787" s="173">
        <f t="shared" si="3398"/>
        <v>7.5688728167765354E-2</v>
      </c>
      <c r="DB787" s="173">
        <f t="shared" si="3398"/>
        <v>6.2803826581274189E-2</v>
      </c>
      <c r="DC787" s="173">
        <f t="shared" si="3398"/>
        <v>5.85868247040741E-2</v>
      </c>
      <c r="DD787" s="173">
        <f t="shared" si="3398"/>
        <v>6.253993718761762E-2</v>
      </c>
      <c r="DE787" s="173">
        <f t="shared" si="3398"/>
        <v>6.0566538383931744E-2</v>
      </c>
      <c r="DF787" s="173">
        <f t="shared" si="3398"/>
        <v>6.9132407751197472E-2</v>
      </c>
      <c r="DG787" s="173">
        <f t="shared" si="3398"/>
        <v>3.7989323415024534E-2</v>
      </c>
      <c r="DH787" s="173">
        <f t="shared" si="3398"/>
        <v>5.3535990915110881E-2</v>
      </c>
      <c r="DI787" s="173">
        <f t="shared" si="3398"/>
        <v>8.0771484316385936E-2</v>
      </c>
      <c r="DJ787" s="173">
        <f t="shared" si="3398"/>
        <v>8.1952758851799895E-2</v>
      </c>
      <c r="DK787" s="173">
        <f t="shared" si="3398"/>
        <v>8.1363065094105208E-2</v>
      </c>
      <c r="DL787" s="173">
        <f t="shared" si="3398"/>
        <v>8.0713463469501881E-2</v>
      </c>
      <c r="DM787" s="173">
        <f>(DM767/1000000)/DM741</f>
        <v>8.5256255271668413E-2</v>
      </c>
      <c r="DN787" s="173">
        <f t="shared" ref="DN787:DW787" si="3399">(DN767/1000000)/DN741</f>
        <v>8.2988487798542149E-2</v>
      </c>
      <c r="DO787" s="173">
        <f t="shared" si="3399"/>
        <v>9.147800496626815E-2</v>
      </c>
      <c r="DP787" s="173">
        <f t="shared" si="3399"/>
        <v>9.0574388340977044E-2</v>
      </c>
      <c r="DQ787" s="173">
        <f t="shared" si="3399"/>
        <v>9.1025474915104002E-2</v>
      </c>
      <c r="DR787" s="173">
        <f t="shared" si="3399"/>
        <v>0.11407365671544288</v>
      </c>
      <c r="DS787" s="173">
        <f t="shared" si="3399"/>
        <v>0.11294684100981141</v>
      </c>
      <c r="DT787" s="173">
        <f t="shared" si="3399"/>
        <v>0.11350934885008272</v>
      </c>
      <c r="DU787" s="173">
        <f t="shared" si="3399"/>
        <v>0.11085343911813056</v>
      </c>
      <c r="DV787" s="173">
        <f t="shared" si="3399"/>
        <v>0.10975843261252542</v>
      </c>
      <c r="DW787" s="173">
        <f t="shared" si="3399"/>
        <v>0.11030506125949284</v>
      </c>
      <c r="DX787" s="173">
        <f t="shared" ref="DX787:ER787" si="3400">(DX767/1000000)/DX741</f>
        <v>0.10772412595636113</v>
      </c>
      <c r="DY787" s="173">
        <f t="shared" si="3400"/>
        <v>0.1066600306998564</v>
      </c>
      <c r="DZ787" s="173">
        <f t="shared" si="3400"/>
        <v>0.10719122841176972</v>
      </c>
      <c r="EA787" s="173">
        <f t="shared" si="3400"/>
        <v>0.10468315106305077</v>
      </c>
      <c r="EB787" s="173">
        <f t="shared" si="3400"/>
        <v>0.10364909445323166</v>
      </c>
      <c r="EC787" s="173">
        <f t="shared" si="3400"/>
        <v>0.10416529683433147</v>
      </c>
      <c r="ED787" s="173">
        <f t="shared" si="3400"/>
        <v>0.10172802071217361</v>
      </c>
      <c r="EE787" s="173">
        <f t="shared" si="3400"/>
        <v>0.10072315477956638</v>
      </c>
      <c r="EF787" s="173">
        <f t="shared" si="3400"/>
        <v>0.10122478513729764</v>
      </c>
      <c r="EG787" s="173">
        <f t="shared" si="3400"/>
        <v>9.8856311573802938E-2</v>
      </c>
      <c r="EH787" s="173">
        <f t="shared" si="3400"/>
        <v>9.7879812286504428E-2</v>
      </c>
      <c r="EI787" s="173">
        <f t="shared" si="3400"/>
        <v>9.8367281978646248E-2</v>
      </c>
      <c r="EJ787" s="173">
        <f t="shared" si="3400"/>
        <v>9.6065668726879466E-2</v>
      </c>
      <c r="EK787" s="173">
        <f t="shared" si="3400"/>
        <v>9.5116735314816875E-2</v>
      </c>
      <c r="EL787" s="173">
        <f t="shared" si="3400"/>
        <v>9.559044408681297E-2</v>
      </c>
      <c r="EM787" s="173">
        <f t="shared" si="3400"/>
        <v>9.3353803728078236E-2</v>
      </c>
      <c r="EN787" s="173">
        <f t="shared" si="3400"/>
        <v>9.2431658026344093E-2</v>
      </c>
      <c r="EO787" s="173">
        <f t="shared" si="3400"/>
        <v>9.2891994339110745E-2</v>
      </c>
      <c r="EP787" s="173">
        <f t="shared" si="3400"/>
        <v>9.0718492735189657E-2</v>
      </c>
      <c r="EQ787" s="173">
        <f t="shared" si="3400"/>
        <v>8.9822378545914336E-2</v>
      </c>
      <c r="ER787" s="173">
        <f t="shared" si="3400"/>
        <v>9.0269719894394432E-2</v>
      </c>
      <c r="ES787" s="173">
        <f t="shared" ref="ES787:EX787" si="3401">(ES767/1000000)/ES741</f>
        <v>8.8157574683476472E-2</v>
      </c>
      <c r="ET787" s="173">
        <f t="shared" si="3401"/>
        <v>8.7286757155714378E-2</v>
      </c>
      <c r="EU787" s="173">
        <f t="shared" si="3401"/>
        <v>8.772147037843904E-2</v>
      </c>
      <c r="EV787" s="173">
        <f t="shared" si="3401"/>
        <v>8.5668949513510506E-2</v>
      </c>
      <c r="EW787" s="173">
        <f t="shared" si="3401"/>
        <v>8.4822714540631727E-2</v>
      </c>
      <c r="EX787" s="173">
        <f t="shared" si="3401"/>
        <v>8.5245156120543258E-2</v>
      </c>
      <c r="EY787" s="173">
        <f t="shared" ref="EY787:FA787" si="3402">(EY767/1000000)/EY741</f>
        <v>8.3250576449036565E-2</v>
      </c>
      <c r="EZ787" s="173">
        <f t="shared" si="3402"/>
        <v>8.242823008312973E-2</v>
      </c>
      <c r="FA787" s="173">
        <f t="shared" si="3402"/>
        <v>8.2838746439912306E-2</v>
      </c>
      <c r="FH787" s="35"/>
      <c r="FI787" s="35"/>
      <c r="FJ787" s="35"/>
      <c r="FK787" s="35"/>
      <c r="FL787" s="35"/>
      <c r="FM787" s="35"/>
      <c r="FN787" s="35"/>
      <c r="FO787" s="35"/>
      <c r="FP787" s="35"/>
      <c r="FQ787" s="35"/>
    </row>
    <row r="788" spans="1:173" s="321" customFormat="1" hidden="1" outlineLevel="1">
      <c r="A788" s="1174"/>
      <c r="C788" s="186" t="s">
        <v>327</v>
      </c>
      <c r="D788" s="329" t="s">
        <v>460</v>
      </c>
      <c r="E788" s="22"/>
      <c r="F788" s="22"/>
      <c r="G788" s="23"/>
      <c r="H788" s="22"/>
      <c r="I788" s="22"/>
      <c r="J788" s="23"/>
      <c r="K788" s="22"/>
      <c r="L788" s="22"/>
      <c r="M788" s="23"/>
      <c r="N788" s="22"/>
      <c r="O788" s="22"/>
      <c r="P788" s="23"/>
      <c r="Q788" s="22"/>
      <c r="R788" s="22"/>
      <c r="S788" s="23"/>
      <c r="T788" s="22"/>
      <c r="U788" s="22"/>
      <c r="V788" s="23"/>
      <c r="W788" s="22"/>
      <c r="X788" s="22"/>
      <c r="Y788" s="23"/>
      <c r="Z788" s="22"/>
      <c r="AA788" s="22"/>
      <c r="AB788" s="23"/>
      <c r="AC788" s="22"/>
      <c r="AD788" s="22"/>
      <c r="AE788" s="23"/>
      <c r="AF788" s="22"/>
      <c r="AG788" s="22"/>
      <c r="AH788" s="23"/>
      <c r="AI788" s="22"/>
      <c r="AJ788" s="22"/>
      <c r="AK788" s="23"/>
      <c r="AL788" s="22"/>
      <c r="AM788" s="22"/>
      <c r="AN788" s="328"/>
      <c r="AO788" s="22"/>
      <c r="AP788" s="22"/>
      <c r="AQ788" s="328"/>
      <c r="AR788" s="22"/>
      <c r="AS788" s="22"/>
      <c r="AT788" s="328"/>
      <c r="AU788" s="22"/>
      <c r="AV788" s="22"/>
      <c r="AW788" s="328"/>
      <c r="AX788" s="173">
        <f t="shared" si="3392"/>
        <v>8.1979325763282401E-2</v>
      </c>
      <c r="AY788" s="173">
        <f t="shared" si="3392"/>
        <v>9.3844948508269271E-2</v>
      </c>
      <c r="AZ788" s="173">
        <f t="shared" si="3392"/>
        <v>8.7921288850646664E-2</v>
      </c>
      <c r="BA788" s="173">
        <f t="shared" ref="BA788:DL788" si="3403">(BA768/1000000)/BA742</f>
        <v>9.6030233741589074E-2</v>
      </c>
      <c r="BB788" s="173">
        <f t="shared" si="3403"/>
        <v>0.10992736592061518</v>
      </c>
      <c r="BC788" s="173">
        <f t="shared" si="3403"/>
        <v>0.10298958818752402</v>
      </c>
      <c r="BD788" s="173">
        <f t="shared" si="3403"/>
        <v>0.11079262286559301</v>
      </c>
      <c r="BE788" s="173">
        <f t="shared" si="3403"/>
        <v>0.13169517929488506</v>
      </c>
      <c r="BF788" s="173">
        <f t="shared" si="3403"/>
        <v>0.12126023256540547</v>
      </c>
      <c r="BG788" s="173">
        <f t="shared" si="3403"/>
        <v>0.12023388370075305</v>
      </c>
      <c r="BH788" s="173">
        <f t="shared" si="3403"/>
        <v>0.13739817211482497</v>
      </c>
      <c r="BI788" s="173">
        <f t="shared" si="3403"/>
        <v>0.12882952457085953</v>
      </c>
      <c r="BJ788" s="173">
        <f t="shared" si="3403"/>
        <v>0.12048819235915446</v>
      </c>
      <c r="BK788" s="173">
        <f t="shared" si="3403"/>
        <v>0.14617141436135725</v>
      </c>
      <c r="BL788" s="173">
        <f t="shared" si="3403"/>
        <v>0.13335012705700894</v>
      </c>
      <c r="BM788" s="173">
        <f t="shared" si="3403"/>
        <v>0.14326246059326542</v>
      </c>
      <c r="BN788" s="173">
        <f t="shared" si="3403"/>
        <v>0.16354871288319062</v>
      </c>
      <c r="BO788" s="173">
        <f t="shared" si="3403"/>
        <v>0.15341365763264192</v>
      </c>
      <c r="BP788" s="173">
        <f t="shared" si="3403"/>
        <v>0.18217188087824038</v>
      </c>
      <c r="BQ788" s="173">
        <f t="shared" si="3403"/>
        <v>0.17650439793098147</v>
      </c>
      <c r="BR788" s="173">
        <f t="shared" si="3403"/>
        <v>0.17933587750593091</v>
      </c>
      <c r="BS788" s="173">
        <f t="shared" si="3403"/>
        <v>0.21631737067873469</v>
      </c>
      <c r="BT788" s="173">
        <f t="shared" si="3403"/>
        <v>0.21614961856917128</v>
      </c>
      <c r="BU788" s="173">
        <f t="shared" si="3403"/>
        <v>0.21623342746427274</v>
      </c>
      <c r="BV788" s="173">
        <f t="shared" si="3403"/>
        <v>0.23755073656668146</v>
      </c>
      <c r="BW788" s="173">
        <f t="shared" si="3403"/>
        <v>0.24261268415074605</v>
      </c>
      <c r="BX788" s="173">
        <f t="shared" si="3403"/>
        <v>0.24008374323343115</v>
      </c>
      <c r="BY788" s="173">
        <f t="shared" si="3403"/>
        <v>0.23708200167566232</v>
      </c>
      <c r="BZ788" s="173">
        <f t="shared" si="3403"/>
        <v>0.2388738004090627</v>
      </c>
      <c r="CA788" s="173">
        <f t="shared" si="3403"/>
        <v>0.23797862286282684</v>
      </c>
      <c r="CB788" s="173">
        <f t="shared" si="3403"/>
        <v>0.24651651210412276</v>
      </c>
      <c r="CC788" s="173">
        <f t="shared" si="3403"/>
        <v>0.27818021961188943</v>
      </c>
      <c r="CD788" s="173">
        <f t="shared" si="3403"/>
        <v>0.26236116094940742</v>
      </c>
      <c r="CE788" s="173">
        <f t="shared" si="3403"/>
        <v>0.28563186519722256</v>
      </c>
      <c r="CF788" s="173">
        <f t="shared" si="3403"/>
        <v>0.3105272809429987</v>
      </c>
      <c r="CG788" s="173">
        <f t="shared" si="3403"/>
        <v>0.29808966414329274</v>
      </c>
      <c r="CH788" s="173">
        <f t="shared" si="3403"/>
        <v>0.24997127975130568</v>
      </c>
      <c r="CI788" s="173">
        <f t="shared" si="3403"/>
        <v>0.28857453237125558</v>
      </c>
      <c r="CJ788" s="173">
        <f t="shared" si="3403"/>
        <v>0.2692886014802871</v>
      </c>
      <c r="CK788" s="173">
        <f t="shared" si="3403"/>
        <v>0.29811611249158571</v>
      </c>
      <c r="CL788" s="173">
        <f t="shared" si="3403"/>
        <v>0.28564562424778472</v>
      </c>
      <c r="CM788" s="173">
        <f t="shared" si="3403"/>
        <v>0.29187578258197305</v>
      </c>
      <c r="CN788" s="173">
        <f t="shared" si="3403"/>
        <v>0.25486649695465813</v>
      </c>
      <c r="CO788" s="173">
        <f t="shared" si="3403"/>
        <v>0.30656648488652222</v>
      </c>
      <c r="CP788" s="173">
        <f t="shared" si="3403"/>
        <v>0.28073763971891902</v>
      </c>
      <c r="CQ788" s="173">
        <f t="shared" si="3403"/>
        <v>0.25354862369315911</v>
      </c>
      <c r="CR788" s="173">
        <f t="shared" si="3403"/>
        <v>0.31831806169968802</v>
      </c>
      <c r="CS788" s="173">
        <f t="shared" si="3403"/>
        <v>0.28595991814530242</v>
      </c>
      <c r="CT788" s="173">
        <f t="shared" si="3403"/>
        <v>0.29748858803603351</v>
      </c>
      <c r="CU788" s="173">
        <f t="shared" si="3403"/>
        <v>0.3139042052641563</v>
      </c>
      <c r="CV788" s="173">
        <f t="shared" si="3403"/>
        <v>0.30570315246403496</v>
      </c>
      <c r="CW788" s="173">
        <f t="shared" si="3403"/>
        <v>0.31966211520606497</v>
      </c>
      <c r="CX788" s="173">
        <f t="shared" si="3403"/>
        <v>0.32435527820999949</v>
      </c>
      <c r="CY788" s="173">
        <f t="shared" si="3403"/>
        <v>0.32201063398117458</v>
      </c>
      <c r="CZ788" s="173">
        <f t="shared" si="3403"/>
        <v>0.30915745383524401</v>
      </c>
      <c r="DA788" s="173">
        <f t="shared" si="3403"/>
        <v>0.36444605015034509</v>
      </c>
      <c r="DB788" s="173">
        <f t="shared" si="3403"/>
        <v>0.33682464275880636</v>
      </c>
      <c r="DC788" s="173">
        <f t="shared" si="3403"/>
        <v>0.30744451113069898</v>
      </c>
      <c r="DD788" s="173">
        <f t="shared" si="3403"/>
        <v>0.31396085011858671</v>
      </c>
      <c r="DE788" s="173">
        <f t="shared" si="3403"/>
        <v>0.31070538659338498</v>
      </c>
      <c r="DF788" s="173">
        <f t="shared" si="3403"/>
        <v>0.33006556344443544</v>
      </c>
      <c r="DG788" s="173">
        <f t="shared" si="3403"/>
        <v>0.22192919880626313</v>
      </c>
      <c r="DH788" s="173">
        <f t="shared" si="3403"/>
        <v>0.27595234302817773</v>
      </c>
      <c r="DI788" s="173">
        <f t="shared" si="3403"/>
        <v>0.28600698838486122</v>
      </c>
      <c r="DJ788" s="173">
        <f t="shared" si="3403"/>
        <v>0.31231252069343307</v>
      </c>
      <c r="DK788" s="173">
        <f t="shared" si="3403"/>
        <v>0.29917074306301411</v>
      </c>
      <c r="DL788" s="173">
        <f t="shared" si="3403"/>
        <v>0.28963846895839329</v>
      </c>
      <c r="DM788" s="173">
        <f>(DM768/1000000)/DM742</f>
        <v>0.30428883180969246</v>
      </c>
      <c r="DN788" s="173">
        <f t="shared" ref="DN788:DW788" si="3404">(DN768/1000000)/DN742</f>
        <v>0.29696978827942389</v>
      </c>
      <c r="DO788" s="173">
        <f t="shared" si="3404"/>
        <v>0.3138966217740895</v>
      </c>
      <c r="DP788" s="173">
        <f t="shared" si="3404"/>
        <v>0.33904881139585391</v>
      </c>
      <c r="DQ788" s="173">
        <f t="shared" si="3404"/>
        <v>0.32648328526133696</v>
      </c>
      <c r="DR788" s="173">
        <f t="shared" si="3404"/>
        <v>0.39261728250200012</v>
      </c>
      <c r="DS788" s="173">
        <f t="shared" si="3404"/>
        <v>0.42407518667999644</v>
      </c>
      <c r="DT788" s="173">
        <f t="shared" si="3404"/>
        <v>0.40835949152705248</v>
      </c>
      <c r="DU788" s="173">
        <f t="shared" si="3404"/>
        <v>0.38268641315487012</v>
      </c>
      <c r="DV788" s="173">
        <f t="shared" si="3404"/>
        <v>0.41334659046005123</v>
      </c>
      <c r="DW788" s="173">
        <f t="shared" si="3404"/>
        <v>0.39802946021111263</v>
      </c>
      <c r="DX788" s="173">
        <f t="shared" ref="DX788:ER788" si="3405">(DX768/1000000)/DX742</f>
        <v>0.37300307267314237</v>
      </c>
      <c r="DY788" s="173">
        <f t="shared" si="3405"/>
        <v>0.40288546099825545</v>
      </c>
      <c r="DZ788" s="173">
        <f t="shared" si="3405"/>
        <v>0.38795693315750629</v>
      </c>
      <c r="EA788" s="173">
        <f t="shared" si="3405"/>
        <v>0.36356118952606831</v>
      </c>
      <c r="EB788" s="173">
        <f t="shared" si="3405"/>
        <v>0.39268523630610092</v>
      </c>
      <c r="EC788" s="173">
        <f t="shared" si="3405"/>
        <v>0.37813559347418413</v>
      </c>
      <c r="ED788" s="173">
        <f t="shared" si="3405"/>
        <v>0.35435483856376154</v>
      </c>
      <c r="EE788" s="173">
        <f t="shared" si="3405"/>
        <v>0.38273951263568146</v>
      </c>
      <c r="EF788" s="173">
        <f t="shared" si="3405"/>
        <v>0.36855927658237447</v>
      </c>
      <c r="EG788" s="173">
        <f t="shared" si="3405"/>
        <v>0.34537823755145541</v>
      </c>
      <c r="EH788" s="173">
        <f t="shared" si="3405"/>
        <v>0.37304204073232228</v>
      </c>
      <c r="EI788" s="173">
        <f t="shared" si="3405"/>
        <v>0.35922196660998335</v>
      </c>
      <c r="EJ788" s="173">
        <f t="shared" si="3405"/>
        <v>0.33662574378430971</v>
      </c>
      <c r="EK788" s="173">
        <f t="shared" si="3405"/>
        <v>0.36358672217432492</v>
      </c>
      <c r="EL788" s="173">
        <f t="shared" si="3405"/>
        <v>0.35011779286882494</v>
      </c>
      <c r="EM788" s="173">
        <f t="shared" si="3405"/>
        <v>0.32809185078092884</v>
      </c>
      <c r="EN788" s="173">
        <f t="shared" si="3405"/>
        <v>0.35436760579783649</v>
      </c>
      <c r="EO788" s="173">
        <f t="shared" si="3405"/>
        <v>0.34124102641377269</v>
      </c>
      <c r="EP788" s="173">
        <f t="shared" si="3405"/>
        <v>0.31977118505379515</v>
      </c>
      <c r="EQ788" s="173">
        <f t="shared" si="3405"/>
        <v>0.34537888420490009</v>
      </c>
      <c r="ER788" s="173">
        <f t="shared" si="3405"/>
        <v>0.33258607668195811</v>
      </c>
      <c r="ES788" s="173">
        <f t="shared" ref="ES788:EX788" si="3406">(ES768/1000000)/ES742</f>
        <v>0.3116585029548582</v>
      </c>
      <c r="ET788" s="173">
        <f t="shared" si="3406"/>
        <v>0.33661489035278797</v>
      </c>
      <c r="EU788" s="173">
        <f t="shared" si="3406"/>
        <v>0.32414748821018924</v>
      </c>
      <c r="EV788" s="173">
        <f t="shared" si="3406"/>
        <v>0.30374868759456519</v>
      </c>
      <c r="EW788" s="173">
        <f t="shared" si="3406"/>
        <v>0.32807009422275629</v>
      </c>
      <c r="EX788" s="173">
        <f t="shared" si="3406"/>
        <v>0.31591993742880325</v>
      </c>
      <c r="EY788" s="173">
        <f t="shared" ref="EY788:FA788" si="3407">(EY768/1000000)/EY742</f>
        <v>0.29603674583265283</v>
      </c>
      <c r="EZ788" s="173">
        <f t="shared" si="3407"/>
        <v>0.31973909956640795</v>
      </c>
      <c r="FA788" s="173">
        <f t="shared" si="3407"/>
        <v>0.30789822953020146</v>
      </c>
      <c r="FH788" s="35"/>
      <c r="FI788" s="35"/>
      <c r="FJ788" s="35"/>
      <c r="FK788" s="35"/>
      <c r="FL788" s="35"/>
      <c r="FM788" s="35"/>
      <c r="FN788" s="35"/>
      <c r="FO788" s="35"/>
      <c r="FP788" s="35"/>
      <c r="FQ788" s="35"/>
    </row>
    <row r="789" spans="1:173" s="321" customFormat="1" hidden="1" outlineLevel="1">
      <c r="A789" s="1174"/>
      <c r="D789" s="329"/>
      <c r="E789" s="22"/>
      <c r="F789" s="22"/>
      <c r="G789" s="23"/>
      <c r="H789" s="22"/>
      <c r="I789" s="22"/>
      <c r="J789" s="23"/>
      <c r="K789" s="22"/>
      <c r="L789" s="22"/>
      <c r="M789" s="23"/>
      <c r="N789" s="22"/>
      <c r="O789" s="22"/>
      <c r="P789" s="23"/>
      <c r="Q789" s="22"/>
      <c r="R789" s="22"/>
      <c r="S789" s="23"/>
      <c r="T789" s="22"/>
      <c r="U789" s="22"/>
      <c r="V789" s="23"/>
      <c r="W789" s="22"/>
      <c r="X789" s="22"/>
      <c r="Y789" s="23"/>
      <c r="Z789" s="22"/>
      <c r="AA789" s="22"/>
      <c r="AB789" s="23"/>
      <c r="AC789" s="22"/>
      <c r="AD789" s="22"/>
      <c r="AE789" s="23"/>
      <c r="AF789" s="22"/>
      <c r="AG789" s="22"/>
      <c r="AH789" s="23"/>
      <c r="AI789" s="22"/>
      <c r="AJ789" s="22"/>
      <c r="AK789" s="23"/>
      <c r="AL789" s="22"/>
      <c r="AM789" s="22"/>
      <c r="AN789" s="328"/>
      <c r="AO789" s="22"/>
      <c r="AP789" s="22"/>
      <c r="AQ789" s="328"/>
      <c r="AR789" s="22"/>
      <c r="AS789" s="22"/>
      <c r="AT789" s="328"/>
      <c r="AU789" s="22"/>
      <c r="AV789" s="22"/>
      <c r="AW789" s="328"/>
      <c r="AX789" s="993"/>
      <c r="AY789" s="993"/>
      <c r="AZ789" s="163"/>
      <c r="BA789" s="66"/>
      <c r="BB789" s="66"/>
      <c r="BC789" s="56"/>
      <c r="BD789" s="66"/>
      <c r="BE789" s="66"/>
      <c r="BF789" s="56"/>
      <c r="BG789" s="66"/>
      <c r="BH789" s="66"/>
      <c r="BI789" s="56"/>
      <c r="BJ789" s="994"/>
      <c r="BK789" s="994"/>
      <c r="BL789" s="995"/>
      <c r="BM789" s="994"/>
      <c r="BN789" s="994"/>
      <c r="BO789" s="995"/>
      <c r="BP789" s="994"/>
      <c r="BQ789" s="994"/>
      <c r="BR789" s="995"/>
      <c r="BS789" s="66"/>
      <c r="BT789" s="66"/>
      <c r="BU789" s="163"/>
      <c r="BV789" s="66"/>
      <c r="BW789" s="66"/>
      <c r="BX789" s="163"/>
      <c r="BY789" s="66"/>
      <c r="BZ789" s="66"/>
      <c r="CA789" s="163"/>
      <c r="CB789" s="66"/>
      <c r="CC789" s="66"/>
      <c r="CD789" s="163"/>
      <c r="CE789" s="66"/>
      <c r="CF789" s="66"/>
      <c r="CG789" s="163"/>
      <c r="CH789" s="66"/>
      <c r="CI789" s="66"/>
      <c r="CJ789" s="163"/>
      <c r="CK789" s="66"/>
      <c r="CL789" s="66"/>
      <c r="CM789" s="163"/>
      <c r="CN789" s="66"/>
      <c r="CO789" s="66"/>
      <c r="CP789" s="163"/>
      <c r="CQ789" s="66"/>
      <c r="CR789" s="66"/>
      <c r="CS789" s="163"/>
      <c r="CT789" s="66"/>
      <c r="CU789" s="66"/>
      <c r="CV789" s="163"/>
      <c r="CW789" s="66"/>
      <c r="CX789" s="66"/>
      <c r="CY789" s="163"/>
      <c r="CZ789" s="66"/>
      <c r="DA789" s="66"/>
      <c r="DB789" s="163"/>
      <c r="DC789" s="66"/>
      <c r="DD789" s="66"/>
      <c r="DE789" s="163"/>
      <c r="DF789" s="66"/>
      <c r="DG789" s="66"/>
      <c r="DH789" s="163"/>
      <c r="DI789" s="66"/>
      <c r="DJ789" s="66"/>
      <c r="DK789" s="163"/>
      <c r="DL789" s="66"/>
      <c r="DM789" s="66"/>
      <c r="DN789" s="163"/>
      <c r="DO789" s="66"/>
      <c r="DP789" s="66"/>
      <c r="DQ789" s="163"/>
      <c r="DR789" s="66"/>
      <c r="DS789" s="66"/>
      <c r="DT789" s="163"/>
      <c r="DU789" s="66"/>
      <c r="DV789" s="66"/>
      <c r="DW789" s="163"/>
      <c r="DX789" s="66"/>
      <c r="DY789" s="66"/>
      <c r="DZ789" s="163"/>
      <c r="EA789" s="66"/>
      <c r="EB789" s="66"/>
      <c r="EC789" s="163"/>
      <c r="ED789" s="66"/>
      <c r="EE789" s="66"/>
      <c r="EF789" s="163"/>
      <c r="EG789" s="66"/>
      <c r="EH789" s="66"/>
      <c r="EI789" s="163"/>
      <c r="EJ789" s="66"/>
      <c r="EK789" s="66"/>
      <c r="EL789" s="163"/>
      <c r="EM789" s="66"/>
      <c r="EN789" s="66"/>
      <c r="EO789" s="163"/>
      <c r="EP789" s="66"/>
      <c r="EQ789" s="66"/>
      <c r="ER789" s="163"/>
      <c r="ES789" s="66"/>
      <c r="ET789" s="66"/>
      <c r="EU789" s="163"/>
      <c r="EV789" s="66"/>
      <c r="EW789" s="66"/>
      <c r="EX789" s="163"/>
      <c r="EY789" s="66"/>
      <c r="EZ789" s="66"/>
      <c r="FA789" s="163"/>
      <c r="FH789" s="35"/>
      <c r="FI789" s="35"/>
      <c r="FJ789" s="35"/>
      <c r="FK789" s="35"/>
      <c r="FL789" s="35"/>
      <c r="FM789" s="35"/>
      <c r="FN789" s="35"/>
      <c r="FO789" s="35"/>
      <c r="FP789" s="35"/>
      <c r="FQ789" s="35"/>
    </row>
    <row r="790" spans="1:173" s="321" customFormat="1" hidden="1" outlineLevel="1">
      <c r="A790" s="1174"/>
      <c r="C790" s="321" t="s">
        <v>1006</v>
      </c>
      <c r="D790" s="329"/>
      <c r="E790" s="22"/>
      <c r="F790" s="22"/>
      <c r="G790" s="23"/>
      <c r="H790" s="22"/>
      <c r="I790" s="22"/>
      <c r="J790" s="23"/>
      <c r="K790" s="22"/>
      <c r="L790" s="22"/>
      <c r="M790" s="23"/>
      <c r="N790" s="22"/>
      <c r="O790" s="22"/>
      <c r="P790" s="23"/>
      <c r="Q790" s="22"/>
      <c r="R790" s="22"/>
      <c r="S790" s="23"/>
      <c r="T790" s="22"/>
      <c r="U790" s="22"/>
      <c r="V790" s="23"/>
      <c r="W790" s="22"/>
      <c r="X790" s="22"/>
      <c r="Y790" s="23"/>
      <c r="Z790" s="22"/>
      <c r="AA790" s="22"/>
      <c r="AB790" s="23"/>
      <c r="AC790" s="22"/>
      <c r="AD790" s="22"/>
      <c r="AE790" s="23"/>
      <c r="AF790" s="22"/>
      <c r="AG790" s="22"/>
      <c r="AH790" s="23"/>
      <c r="AI790" s="22"/>
      <c r="AJ790" s="22"/>
      <c r="AK790" s="23"/>
      <c r="AL790" s="22"/>
      <c r="AM790" s="22"/>
      <c r="AN790" s="328"/>
      <c r="AO790" s="22"/>
      <c r="AP790" s="22"/>
      <c r="AQ790" s="328"/>
      <c r="AR790" s="22"/>
      <c r="AS790" s="22"/>
      <c r="AT790" s="328"/>
      <c r="AU790" s="22"/>
      <c r="AV790" s="22"/>
      <c r="AW790" s="328"/>
      <c r="AX790" s="993"/>
      <c r="AY790" s="993"/>
      <c r="AZ790" s="163"/>
      <c r="BA790" s="66"/>
      <c r="BB790" s="66"/>
      <c r="BC790" s="56"/>
      <c r="BD790" s="66"/>
      <c r="BE790" s="66"/>
      <c r="BF790" s="56"/>
      <c r="BG790" s="66"/>
      <c r="BH790" s="66"/>
      <c r="BI790" s="56"/>
      <c r="BJ790" s="994"/>
      <c r="BK790" s="994"/>
      <c r="BL790" s="995"/>
      <c r="BM790" s="994"/>
      <c r="BN790" s="994"/>
      <c r="BO790" s="995"/>
      <c r="BP790" s="994"/>
      <c r="BQ790" s="994"/>
      <c r="BR790" s="995"/>
      <c r="BS790" s="66"/>
      <c r="BT790" s="66"/>
      <c r="BU790" s="163"/>
      <c r="BV790" s="66"/>
      <c r="BW790" s="66"/>
      <c r="BX790" s="163"/>
      <c r="BY790" s="66"/>
      <c r="BZ790" s="66"/>
      <c r="CA790" s="163"/>
      <c r="CB790" s="66"/>
      <c r="CC790" s="66"/>
      <c r="CD790" s="163"/>
      <c r="CE790" s="66"/>
      <c r="CF790" s="66"/>
      <c r="CG790" s="163"/>
      <c r="CH790" s="66"/>
      <c r="CI790" s="66"/>
      <c r="CJ790" s="163"/>
      <c r="CK790" s="66"/>
      <c r="CL790" s="66"/>
      <c r="CM790" s="163"/>
      <c r="CN790" s="66"/>
      <c r="CO790" s="66"/>
      <c r="CP790" s="163"/>
      <c r="CQ790" s="66"/>
      <c r="CR790" s="66"/>
      <c r="CS790" s="163"/>
      <c r="CT790" s="66"/>
      <c r="CU790" s="66"/>
      <c r="CV790" s="163"/>
      <c r="CW790" s="66"/>
      <c r="CX790" s="66"/>
      <c r="CY790" s="163"/>
      <c r="CZ790" s="66"/>
      <c r="DA790" s="66"/>
      <c r="DB790" s="163"/>
      <c r="DC790" s="66"/>
      <c r="DD790" s="66"/>
      <c r="DE790" s="163"/>
      <c r="DF790" s="66"/>
      <c r="DG790" s="66"/>
      <c r="DH790" s="163"/>
      <c r="DI790" s="66"/>
      <c r="DJ790" s="66"/>
      <c r="DK790" s="163"/>
      <c r="DL790" s="66"/>
      <c r="DM790" s="66"/>
      <c r="DN790" s="163"/>
      <c r="DO790" s="66"/>
      <c r="DP790" s="66"/>
      <c r="DQ790" s="163"/>
      <c r="DR790" s="66"/>
      <c r="DS790" s="66"/>
      <c r="DT790" s="163"/>
      <c r="DU790" s="66"/>
      <c r="DV790" s="66"/>
      <c r="DW790" s="163"/>
      <c r="DX790" s="66"/>
      <c r="DY790" s="66"/>
      <c r="DZ790" s="163"/>
      <c r="EA790" s="66"/>
      <c r="EB790" s="66"/>
      <c r="EC790" s="163"/>
      <c r="ED790" s="66"/>
      <c r="EE790" s="66"/>
      <c r="EF790" s="163"/>
      <c r="EG790" s="66"/>
      <c r="EH790" s="66"/>
      <c r="EI790" s="163"/>
      <c r="EJ790" s="66"/>
      <c r="EK790" s="66"/>
      <c r="EL790" s="163"/>
      <c r="EM790" s="66"/>
      <c r="EN790" s="66"/>
      <c r="EO790" s="163"/>
      <c r="EP790" s="66"/>
      <c r="EQ790" s="66"/>
      <c r="ER790" s="163"/>
      <c r="ES790" s="66"/>
      <c r="ET790" s="66"/>
      <c r="EU790" s="163"/>
      <c r="EV790" s="66"/>
      <c r="EW790" s="66"/>
      <c r="EX790" s="163"/>
      <c r="EY790" s="66"/>
      <c r="EZ790" s="66"/>
      <c r="FA790" s="163"/>
      <c r="FH790" s="35"/>
      <c r="FI790" s="35"/>
      <c r="FJ790" s="35"/>
      <c r="FK790" s="35"/>
      <c r="FL790" s="35"/>
      <c r="FM790" s="35"/>
      <c r="FN790" s="35"/>
      <c r="FO790" s="35"/>
      <c r="FP790" s="35"/>
      <c r="FQ790" s="35"/>
    </row>
    <row r="791" spans="1:173" s="321" customFormat="1" hidden="1" outlineLevel="1">
      <c r="A791" s="1174"/>
      <c r="C791" s="321" t="s">
        <v>993</v>
      </c>
      <c r="D791" s="329" t="s">
        <v>460</v>
      </c>
      <c r="E791" s="22"/>
      <c r="F791" s="22"/>
      <c r="G791" s="23"/>
      <c r="H791" s="22"/>
      <c r="I791" s="22"/>
      <c r="J791" s="23"/>
      <c r="K791" s="22"/>
      <c r="L791" s="22"/>
      <c r="M791" s="23"/>
      <c r="N791" s="22"/>
      <c r="O791" s="22"/>
      <c r="P791" s="23"/>
      <c r="Q791" s="22"/>
      <c r="R791" s="22"/>
      <c r="S791" s="23"/>
      <c r="T791" s="22"/>
      <c r="U791" s="22"/>
      <c r="V791" s="23"/>
      <c r="W791" s="22"/>
      <c r="X791" s="22"/>
      <c r="Y791" s="23"/>
      <c r="Z791" s="22"/>
      <c r="AA791" s="22"/>
      <c r="AB791" s="23"/>
      <c r="AC791" s="22"/>
      <c r="AD791" s="22"/>
      <c r="AE791" s="23"/>
      <c r="AF791" s="22"/>
      <c r="AG791" s="22"/>
      <c r="AH791" s="23"/>
      <c r="AI791" s="22"/>
      <c r="AJ791" s="22"/>
      <c r="AK791" s="23"/>
      <c r="AL791" s="22"/>
      <c r="AM791" s="22"/>
      <c r="AN791" s="328"/>
      <c r="AO791" s="22"/>
      <c r="AP791" s="22"/>
      <c r="AQ791" s="328"/>
      <c r="AR791" s="22"/>
      <c r="AS791" s="22"/>
      <c r="AT791" s="328"/>
      <c r="AU791" s="22"/>
      <c r="AV791" s="22"/>
      <c r="AW791" s="328"/>
      <c r="AX791" s="993"/>
      <c r="AY791" s="993"/>
      <c r="AZ791" s="163"/>
      <c r="BA791" s="66"/>
      <c r="BB791" s="66"/>
      <c r="BC791" s="56"/>
      <c r="BD791" s="66"/>
      <c r="BE791" s="66"/>
      <c r="BF791" s="56"/>
      <c r="BG791" s="66"/>
      <c r="BH791" s="66"/>
      <c r="BI791" s="56"/>
      <c r="BJ791" s="994"/>
      <c r="BK791" s="994"/>
      <c r="BL791" s="995"/>
      <c r="BM791" s="994"/>
      <c r="BN791" s="994"/>
      <c r="BO791" s="995"/>
      <c r="BP791" s="994"/>
      <c r="BQ791" s="994"/>
      <c r="BR791" s="995"/>
      <c r="BS791" s="66"/>
      <c r="BT791" s="66"/>
      <c r="BU791" s="163"/>
      <c r="BV791" s="66"/>
      <c r="BW791" s="66"/>
      <c r="BX791" s="163"/>
      <c r="BY791" s="66"/>
      <c r="BZ791" s="66"/>
      <c r="CA791" s="163"/>
      <c r="CB791" s="66"/>
      <c r="CC791" s="66"/>
      <c r="CD791" s="163"/>
      <c r="CE791" s="66"/>
      <c r="CF791" s="66"/>
      <c r="CG791" s="163"/>
      <c r="CH791" s="66"/>
      <c r="CI791" s="66"/>
      <c r="CJ791" s="163"/>
      <c r="CK791" s="66"/>
      <c r="CL791" s="66"/>
      <c r="CM791" s="163"/>
      <c r="CN791" s="66"/>
      <c r="CO791" s="66"/>
      <c r="CP791" s="163"/>
      <c r="CQ791" s="66"/>
      <c r="CR791" s="66"/>
      <c r="CS791" s="163"/>
      <c r="CT791" s="66"/>
      <c r="CU791" s="66"/>
      <c r="CV791" s="163"/>
      <c r="CW791" s="66"/>
      <c r="CX791" s="66"/>
      <c r="CY791" s="163"/>
      <c r="CZ791" s="66"/>
      <c r="DA791" s="66"/>
      <c r="DB791" s="163"/>
      <c r="DC791" s="66"/>
      <c r="DD791" s="66"/>
      <c r="DE791" s="163"/>
      <c r="DF791" s="66"/>
      <c r="DG791" s="66"/>
      <c r="DH791" s="163"/>
      <c r="DI791" s="66"/>
      <c r="DJ791" s="66"/>
      <c r="DK791" s="163"/>
      <c r="DL791" s="66"/>
      <c r="DM791" s="66"/>
      <c r="DN791" s="163"/>
      <c r="DO791" s="66"/>
      <c r="DP791" s="66"/>
      <c r="DQ791" s="163"/>
      <c r="DR791" s="160">
        <v>0.1</v>
      </c>
      <c r="DS791" s="160">
        <v>0.1</v>
      </c>
      <c r="DT791" s="173">
        <f>DT760/DQ760-1</f>
        <v>0.10000000000000009</v>
      </c>
      <c r="DU791" s="160">
        <v>0.1</v>
      </c>
      <c r="DV791" s="160">
        <v>0.1</v>
      </c>
      <c r="DW791" s="173">
        <f>DW760/DT760-1</f>
        <v>0.10000000000000009</v>
      </c>
      <c r="DX791" s="160">
        <v>0.1</v>
      </c>
      <c r="DY791" s="160">
        <v>0.1</v>
      </c>
      <c r="DZ791" s="173">
        <f>DZ760/DW760-1</f>
        <v>0.10000000000000009</v>
      </c>
      <c r="EA791" s="160">
        <v>0.1</v>
      </c>
      <c r="EB791" s="160">
        <v>0.1</v>
      </c>
      <c r="EC791" s="173">
        <f>EC760/DZ760-1</f>
        <v>9.9999999999999867E-2</v>
      </c>
      <c r="ED791" s="160">
        <v>0.1</v>
      </c>
      <c r="EE791" s="160">
        <v>0.1</v>
      </c>
      <c r="EF791" s="173">
        <f>EF760/EC760-1</f>
        <v>0.10000000000000009</v>
      </c>
      <c r="EG791" s="160">
        <v>0.1</v>
      </c>
      <c r="EH791" s="160">
        <v>0.1</v>
      </c>
      <c r="EI791" s="173">
        <f>EI760/EF760-1</f>
        <v>0.10000000000000009</v>
      </c>
      <c r="EJ791" s="160">
        <v>0.1</v>
      </c>
      <c r="EK791" s="160">
        <v>0.1</v>
      </c>
      <c r="EL791" s="173">
        <f>EL760/EI760-1</f>
        <v>0.10000000000000031</v>
      </c>
      <c r="EM791" s="160">
        <v>0.1</v>
      </c>
      <c r="EN791" s="160">
        <v>0.1</v>
      </c>
      <c r="EO791" s="173">
        <f>EO760/EL760-1</f>
        <v>0.10000000000000009</v>
      </c>
      <c r="EP791" s="160">
        <v>0.1</v>
      </c>
      <c r="EQ791" s="160">
        <v>0.1</v>
      </c>
      <c r="ER791" s="173">
        <f>ER760/EO760-1</f>
        <v>9.9999999999999867E-2</v>
      </c>
      <c r="ES791" s="160">
        <v>0.1</v>
      </c>
      <c r="ET791" s="160">
        <v>0.1</v>
      </c>
      <c r="EU791" s="173">
        <f>EU760/ER760-1</f>
        <v>0.10000000000000009</v>
      </c>
      <c r="EV791" s="160">
        <v>0.1</v>
      </c>
      <c r="EW791" s="160">
        <v>0.1</v>
      </c>
      <c r="EX791" s="173">
        <f>EX760/EU760-1</f>
        <v>0.10000000000000031</v>
      </c>
      <c r="EY791" s="160">
        <v>0.1</v>
      </c>
      <c r="EZ791" s="160">
        <v>0.1</v>
      </c>
      <c r="FA791" s="173">
        <f>FA760/EX760-1</f>
        <v>9.9999999999999867E-2</v>
      </c>
      <c r="FH791" s="35"/>
      <c r="FI791" s="35"/>
      <c r="FJ791" s="35"/>
      <c r="FK791" s="35"/>
      <c r="FL791" s="35"/>
      <c r="FM791" s="35"/>
      <c r="FN791" s="35"/>
      <c r="FO791" s="35"/>
      <c r="FP791" s="35"/>
      <c r="FQ791" s="35"/>
    </row>
    <row r="792" spans="1:173" s="321" customFormat="1" hidden="1" outlineLevel="1">
      <c r="A792" s="1174"/>
      <c r="D792" s="329"/>
      <c r="E792" s="22"/>
      <c r="F792" s="22"/>
      <c r="G792" s="23"/>
      <c r="H792" s="22"/>
      <c r="I792" s="22"/>
      <c r="J792" s="23"/>
      <c r="K792" s="22"/>
      <c r="L792" s="22"/>
      <c r="M792" s="23"/>
      <c r="N792" s="22"/>
      <c r="O792" s="22"/>
      <c r="P792" s="23"/>
      <c r="Q792" s="22"/>
      <c r="R792" s="22"/>
      <c r="S792" s="23"/>
      <c r="T792" s="22"/>
      <c r="U792" s="22"/>
      <c r="V792" s="23"/>
      <c r="W792" s="22"/>
      <c r="X792" s="22"/>
      <c r="Y792" s="23"/>
      <c r="Z792" s="22"/>
      <c r="AA792" s="22"/>
      <c r="AB792" s="23"/>
      <c r="AC792" s="22"/>
      <c r="AD792" s="22"/>
      <c r="AE792" s="23"/>
      <c r="AF792" s="22"/>
      <c r="AG792" s="22"/>
      <c r="AH792" s="23"/>
      <c r="AI792" s="22"/>
      <c r="AJ792" s="22"/>
      <c r="AK792" s="23"/>
      <c r="AL792" s="22"/>
      <c r="AM792" s="22"/>
      <c r="AN792" s="328"/>
      <c r="AO792" s="22"/>
      <c r="AP792" s="22"/>
      <c r="AQ792" s="328"/>
      <c r="AR792" s="22"/>
      <c r="AS792" s="22"/>
      <c r="AT792" s="328"/>
      <c r="AU792" s="22"/>
      <c r="AV792" s="22"/>
      <c r="AW792" s="328"/>
      <c r="AX792" s="993"/>
      <c r="AY792" s="993"/>
      <c r="AZ792" s="163"/>
      <c r="BA792" s="66"/>
      <c r="BB792" s="66"/>
      <c r="BC792" s="56"/>
      <c r="BD792" s="66"/>
      <c r="BE792" s="66"/>
      <c r="BF792" s="56"/>
      <c r="BG792" s="66"/>
      <c r="BH792" s="66"/>
      <c r="BI792" s="56"/>
      <c r="BJ792" s="994"/>
      <c r="BK792" s="994"/>
      <c r="BL792" s="995"/>
      <c r="BM792" s="994"/>
      <c r="BN792" s="994"/>
      <c r="BO792" s="995"/>
      <c r="BP792" s="994"/>
      <c r="BQ792" s="994"/>
      <c r="BR792" s="995"/>
      <c r="BS792" s="66"/>
      <c r="BT792" s="66"/>
      <c r="BU792" s="163"/>
      <c r="BV792" s="66"/>
      <c r="BW792" s="66"/>
      <c r="BX792" s="163"/>
      <c r="BY792" s="66"/>
      <c r="BZ792" s="66"/>
      <c r="CA792" s="163"/>
      <c r="CB792" s="66"/>
      <c r="CC792" s="66"/>
      <c r="CD792" s="163"/>
      <c r="CE792" s="66"/>
      <c r="CF792" s="66"/>
      <c r="CG792" s="163"/>
      <c r="CH792" s="66"/>
      <c r="CI792" s="66"/>
      <c r="CJ792" s="163"/>
      <c r="CK792" s="66"/>
      <c r="CL792" s="66"/>
      <c r="CM792" s="163"/>
      <c r="CN792" s="66"/>
      <c r="CO792" s="66"/>
      <c r="CP792" s="163"/>
      <c r="CQ792" s="66"/>
      <c r="CR792" s="66"/>
      <c r="CS792" s="163"/>
      <c r="CT792" s="66"/>
      <c r="CU792" s="66"/>
      <c r="CV792" s="163"/>
      <c r="CW792" s="66"/>
      <c r="CX792" s="66"/>
      <c r="CY792" s="163"/>
      <c r="CZ792" s="66"/>
      <c r="DA792" s="66"/>
      <c r="DB792" s="163"/>
      <c r="DC792" s="66"/>
      <c r="DD792" s="66"/>
      <c r="DE792" s="163"/>
      <c r="DF792" s="66"/>
      <c r="DG792" s="66"/>
      <c r="DH792" s="163"/>
      <c r="DI792" s="66"/>
      <c r="DJ792" s="66"/>
      <c r="DK792" s="163"/>
      <c r="DL792" s="66"/>
      <c r="DM792" s="66"/>
      <c r="DN792" s="163"/>
      <c r="DO792" s="66"/>
      <c r="DP792" s="66"/>
      <c r="DQ792" s="163"/>
      <c r="DR792" s="66"/>
      <c r="DS792" s="66"/>
      <c r="DT792" s="163"/>
      <c r="DU792" s="66"/>
      <c r="DV792" s="66"/>
      <c r="DW792" s="163"/>
      <c r="DX792" s="66"/>
      <c r="DY792" s="66"/>
      <c r="DZ792" s="163"/>
      <c r="EA792" s="66"/>
      <c r="EB792" s="66"/>
      <c r="EC792" s="163"/>
      <c r="ED792" s="66"/>
      <c r="EE792" s="66"/>
      <c r="EF792" s="163"/>
      <c r="EG792" s="66"/>
      <c r="EH792" s="66"/>
      <c r="EI792" s="163"/>
      <c r="EJ792" s="66"/>
      <c r="EK792" s="66"/>
      <c r="EL792" s="163"/>
      <c r="EM792" s="66"/>
      <c r="EN792" s="66"/>
      <c r="EO792" s="163"/>
      <c r="EP792" s="66"/>
      <c r="EQ792" s="66"/>
      <c r="ER792" s="163"/>
      <c r="ES792" s="66"/>
      <c r="ET792" s="66"/>
      <c r="EU792" s="163"/>
      <c r="EV792" s="66"/>
      <c r="EW792" s="66"/>
      <c r="EX792" s="163"/>
      <c r="EY792" s="66"/>
      <c r="EZ792" s="66"/>
      <c r="FA792" s="163"/>
      <c r="FH792" s="35"/>
      <c r="FI792" s="35"/>
      <c r="FJ792" s="35"/>
      <c r="FK792" s="35"/>
      <c r="FL792" s="35"/>
      <c r="FM792" s="35"/>
      <c r="FN792" s="35"/>
      <c r="FO792" s="35"/>
      <c r="FP792" s="35"/>
      <c r="FQ792" s="35"/>
    </row>
    <row r="793" spans="1:173" s="321" customFormat="1" hidden="1" outlineLevel="1">
      <c r="A793" s="1174"/>
      <c r="C793" s="321" t="s">
        <v>1002</v>
      </c>
      <c r="D793" s="329" t="s">
        <v>460</v>
      </c>
      <c r="E793" s="22"/>
      <c r="F793" s="22"/>
      <c r="G793" s="23"/>
      <c r="H793" s="22"/>
      <c r="I793" s="22"/>
      <c r="J793" s="23"/>
      <c r="K793" s="22"/>
      <c r="L793" s="22"/>
      <c r="M793" s="23"/>
      <c r="N793" s="22"/>
      <c r="O793" s="22"/>
      <c r="P793" s="23"/>
      <c r="Q793" s="22"/>
      <c r="R793" s="22"/>
      <c r="S793" s="23"/>
      <c r="T793" s="22"/>
      <c r="U793" s="22"/>
      <c r="V793" s="23"/>
      <c r="W793" s="22"/>
      <c r="X793" s="22"/>
      <c r="Y793" s="23"/>
      <c r="Z793" s="22"/>
      <c r="AA793" s="22"/>
      <c r="AB793" s="23"/>
      <c r="AC793" s="22"/>
      <c r="AD793" s="22"/>
      <c r="AE793" s="23"/>
      <c r="AF793" s="22"/>
      <c r="AG793" s="22"/>
      <c r="AH793" s="23"/>
      <c r="AI793" s="22"/>
      <c r="AJ793" s="22"/>
      <c r="AK793" s="23"/>
      <c r="AL793" s="22"/>
      <c r="AM793" s="22"/>
      <c r="AN793" s="328"/>
      <c r="AO793" s="22"/>
      <c r="AP793" s="22"/>
      <c r="AQ793" s="328"/>
      <c r="AR793" s="22"/>
      <c r="AS793" s="22"/>
      <c r="AT793" s="328"/>
      <c r="AU793" s="22"/>
      <c r="AV793" s="22"/>
      <c r="AW793" s="328"/>
      <c r="AX793" s="993"/>
      <c r="AY793" s="993"/>
      <c r="AZ793" s="163"/>
      <c r="BA793" s="66"/>
      <c r="BB793" s="66"/>
      <c r="BC793" s="56"/>
      <c r="BD793" s="66"/>
      <c r="BE793" s="66"/>
      <c r="BF793" s="56"/>
      <c r="BG793" s="66"/>
      <c r="BH793" s="66"/>
      <c r="BI793" s="56"/>
      <c r="BJ793" s="994"/>
      <c r="BK793" s="994"/>
      <c r="BL793" s="995"/>
      <c r="BM793" s="994"/>
      <c r="BN793" s="994"/>
      <c r="BO793" s="995"/>
      <c r="BP793" s="994"/>
      <c r="BQ793" s="994"/>
      <c r="BR793" s="995"/>
      <c r="BS793" s="66"/>
      <c r="BT793" s="66"/>
      <c r="BU793" s="163"/>
      <c r="BV793" s="66"/>
      <c r="BW793" s="66"/>
      <c r="BX793" s="163"/>
      <c r="BY793" s="66"/>
      <c r="BZ793" s="66"/>
      <c r="CA793" s="163"/>
      <c r="CB793" s="66"/>
      <c r="CC793" s="66"/>
      <c r="CD793" s="163"/>
      <c r="CE793" s="66"/>
      <c r="CF793" s="66"/>
      <c r="CG793" s="163"/>
      <c r="CH793" s="66"/>
      <c r="CI793" s="66"/>
      <c r="CJ793" s="163"/>
      <c r="CK793" s="66"/>
      <c r="CL793" s="66"/>
      <c r="CM793" s="163"/>
      <c r="CN793" s="66"/>
      <c r="CO793" s="66"/>
      <c r="CP793" s="163"/>
      <c r="CQ793" s="66"/>
      <c r="CR793" s="66"/>
      <c r="CS793" s="163"/>
      <c r="CT793" s="66"/>
      <c r="CU793" s="66"/>
      <c r="CV793" s="163"/>
      <c r="CW793" s="66"/>
      <c r="CX793" s="66"/>
      <c r="CY793" s="163"/>
      <c r="CZ793" s="66"/>
      <c r="DA793" s="66"/>
      <c r="DB793" s="163"/>
      <c r="DC793" s="66"/>
      <c r="DD793" s="66"/>
      <c r="DE793" s="163"/>
      <c r="DF793" s="66"/>
      <c r="DG793" s="66"/>
      <c r="DH793" s="163"/>
      <c r="DI793" s="66"/>
      <c r="DJ793" s="66"/>
      <c r="DK793" s="163"/>
      <c r="DL793" s="66"/>
      <c r="DM793" s="66"/>
      <c r="DN793" s="163"/>
      <c r="DO793" s="66"/>
      <c r="DP793" s="66"/>
      <c r="DQ793" s="163"/>
      <c r="DR793" s="248">
        <v>0.255</v>
      </c>
      <c r="DS793" s="160">
        <f>DR793</f>
        <v>0.255</v>
      </c>
      <c r="DT793" s="173">
        <f>DT768/DQ768-1</f>
        <v>0.25500000000000056</v>
      </c>
      <c r="DU793" s="160">
        <v>-2.1999999999999999E-2</v>
      </c>
      <c r="DV793" s="160">
        <f>DU793</f>
        <v>-2.1999999999999999E-2</v>
      </c>
      <c r="DW793" s="173">
        <f>DW768/DT768-1</f>
        <v>-2.200000000000002E-2</v>
      </c>
      <c r="DX793" s="160">
        <f>DU793</f>
        <v>-2.1999999999999999E-2</v>
      </c>
      <c r="DY793" s="160">
        <f>DV793</f>
        <v>-2.1999999999999999E-2</v>
      </c>
      <c r="DZ793" s="173">
        <f>DZ768/DW768-1</f>
        <v>-2.2000000000000131E-2</v>
      </c>
      <c r="EA793" s="160">
        <f>DX793</f>
        <v>-2.1999999999999999E-2</v>
      </c>
      <c r="EB793" s="160">
        <f>DY793</f>
        <v>-2.1999999999999999E-2</v>
      </c>
      <c r="EC793" s="173">
        <f>EC768/DZ768-1</f>
        <v>-2.200000000000002E-2</v>
      </c>
      <c r="ED793" s="160">
        <f>EA793</f>
        <v>-2.1999999999999999E-2</v>
      </c>
      <c r="EE793" s="160">
        <f>EB793</f>
        <v>-2.1999999999999999E-2</v>
      </c>
      <c r="EF793" s="173">
        <f>EF768/EC768-1</f>
        <v>-2.200000000000002E-2</v>
      </c>
      <c r="EG793" s="160">
        <f>ED793</f>
        <v>-2.1999999999999999E-2</v>
      </c>
      <c r="EH793" s="160">
        <f>EE793</f>
        <v>-2.1999999999999999E-2</v>
      </c>
      <c r="EI793" s="173">
        <f>EI768/EF768-1</f>
        <v>-2.1999999999999909E-2</v>
      </c>
      <c r="EJ793" s="160">
        <f>EG793</f>
        <v>-2.1999999999999999E-2</v>
      </c>
      <c r="EK793" s="160">
        <f>EH793</f>
        <v>-2.1999999999999999E-2</v>
      </c>
      <c r="EL793" s="173">
        <f>EL768/EI768-1</f>
        <v>-2.200000000000002E-2</v>
      </c>
      <c r="EM793" s="160">
        <f>EJ793</f>
        <v>-2.1999999999999999E-2</v>
      </c>
      <c r="EN793" s="160">
        <f>EK793</f>
        <v>-2.1999999999999999E-2</v>
      </c>
      <c r="EO793" s="173">
        <f>EO768/EL768-1</f>
        <v>-2.2000000000000131E-2</v>
      </c>
      <c r="EP793" s="160">
        <f>EM793</f>
        <v>-2.1999999999999999E-2</v>
      </c>
      <c r="EQ793" s="160">
        <f>EN793</f>
        <v>-2.1999999999999999E-2</v>
      </c>
      <c r="ER793" s="173">
        <f>ER768/EO768-1</f>
        <v>-2.1999999999999797E-2</v>
      </c>
      <c r="ES793" s="160">
        <f>EP793</f>
        <v>-2.1999999999999999E-2</v>
      </c>
      <c r="ET793" s="160">
        <f>EQ793</f>
        <v>-2.1999999999999999E-2</v>
      </c>
      <c r="EU793" s="173">
        <f>EU768/ER768-1</f>
        <v>-2.200000000000002E-2</v>
      </c>
      <c r="EV793" s="160">
        <f>ES793</f>
        <v>-2.1999999999999999E-2</v>
      </c>
      <c r="EW793" s="160">
        <f>ET793</f>
        <v>-2.1999999999999999E-2</v>
      </c>
      <c r="EX793" s="173">
        <f>EX768/EU768-1</f>
        <v>-2.1999999999999797E-2</v>
      </c>
      <c r="EY793" s="160">
        <f>EV793</f>
        <v>-2.1999999999999999E-2</v>
      </c>
      <c r="EZ793" s="160">
        <f>EW793</f>
        <v>-2.1999999999999999E-2</v>
      </c>
      <c r="FA793" s="173">
        <f>FA768/EX768-1</f>
        <v>-2.2000000000000131E-2</v>
      </c>
      <c r="FH793" s="35"/>
      <c r="FI793" s="35"/>
      <c r="FJ793" s="35"/>
      <c r="FK793" s="35"/>
      <c r="FL793" s="35"/>
      <c r="FM793" s="35"/>
      <c r="FN793" s="35"/>
      <c r="FO793" s="35"/>
      <c r="FP793" s="35"/>
      <c r="FQ793" s="35"/>
    </row>
    <row r="794" spans="1:173" s="321" customFormat="1" hidden="1" outlineLevel="1">
      <c r="A794" s="1174"/>
      <c r="D794" s="329"/>
      <c r="E794" s="22"/>
      <c r="F794" s="22"/>
      <c r="G794" s="23"/>
      <c r="H794" s="22"/>
      <c r="I794" s="22"/>
      <c r="J794" s="23"/>
      <c r="K794" s="22"/>
      <c r="L794" s="22"/>
      <c r="M794" s="23"/>
      <c r="N794" s="22"/>
      <c r="O794" s="22"/>
      <c r="P794" s="23"/>
      <c r="Q794" s="22"/>
      <c r="R794" s="22"/>
      <c r="S794" s="23"/>
      <c r="T794" s="22"/>
      <c r="U794" s="22"/>
      <c r="V794" s="23"/>
      <c r="W794" s="22"/>
      <c r="X794" s="22"/>
      <c r="Y794" s="23"/>
      <c r="Z794" s="22"/>
      <c r="AA794" s="22"/>
      <c r="AB794" s="23"/>
      <c r="AC794" s="22"/>
      <c r="AD794" s="22"/>
      <c r="AE794" s="23"/>
      <c r="AF794" s="22"/>
      <c r="AG794" s="22"/>
      <c r="AH794" s="23"/>
      <c r="AI794" s="22"/>
      <c r="AJ794" s="22"/>
      <c r="AK794" s="23"/>
      <c r="AL794" s="22"/>
      <c r="AM794" s="22"/>
      <c r="AN794" s="328"/>
      <c r="AO794" s="22"/>
      <c r="AP794" s="22"/>
      <c r="AQ794" s="328"/>
      <c r="AR794" s="22"/>
      <c r="AS794" s="22"/>
      <c r="AT794" s="328"/>
      <c r="AU794" s="22"/>
      <c r="AV794" s="22"/>
      <c r="AW794" s="328"/>
      <c r="AX794" s="993"/>
      <c r="AY794" s="993"/>
      <c r="AZ794" s="163"/>
      <c r="BA794" s="66"/>
      <c r="BB794" s="66"/>
      <c r="BC794" s="56"/>
      <c r="BD794" s="66"/>
      <c r="BE794" s="66"/>
      <c r="BF794" s="56"/>
      <c r="BG794" s="66"/>
      <c r="BH794" s="66"/>
      <c r="BI794" s="56"/>
      <c r="BJ794" s="994"/>
      <c r="BK794" s="994"/>
      <c r="BL794" s="995"/>
      <c r="BM794" s="994"/>
      <c r="BN794" s="994"/>
      <c r="BO794" s="995"/>
      <c r="BP794" s="994"/>
      <c r="BQ794" s="994"/>
      <c r="BR794" s="995"/>
      <c r="BS794" s="66"/>
      <c r="BT794" s="66"/>
      <c r="BU794" s="163"/>
      <c r="BV794" s="66"/>
      <c r="BW794" s="66"/>
      <c r="BX794" s="163"/>
      <c r="BY794" s="66"/>
      <c r="BZ794" s="66"/>
      <c r="CA794" s="163"/>
      <c r="CB794" s="66"/>
      <c r="CC794" s="66"/>
      <c r="CD794" s="163"/>
      <c r="CE794" s="66"/>
      <c r="CF794" s="66"/>
      <c r="CG794" s="163"/>
      <c r="CH794" s="66"/>
      <c r="CI794" s="66"/>
      <c r="CJ794" s="163"/>
      <c r="CK794" s="66"/>
      <c r="CL794" s="66"/>
      <c r="CM794" s="163"/>
      <c r="CN794" s="66"/>
      <c r="CO794" s="66"/>
      <c r="CP794" s="163"/>
      <c r="CQ794" s="66"/>
      <c r="CR794" s="66"/>
      <c r="CS794" s="163"/>
      <c r="CT794" s="66"/>
      <c r="CU794" s="66"/>
      <c r="CV794" s="163"/>
      <c r="CW794" s="66"/>
      <c r="CX794" s="66"/>
      <c r="CY794" s="163"/>
      <c r="CZ794" s="66"/>
      <c r="DA794" s="66"/>
      <c r="DB794" s="163"/>
      <c r="DC794" s="66"/>
      <c r="DD794" s="66"/>
      <c r="DE794" s="163"/>
      <c r="DF794" s="66"/>
      <c r="DG794" s="66"/>
      <c r="DH794" s="163"/>
      <c r="DI794" s="66"/>
      <c r="DJ794" s="66"/>
      <c r="DK794" s="163"/>
      <c r="DL794" s="66"/>
      <c r="DM794" s="66"/>
      <c r="DN794" s="163"/>
      <c r="DO794" s="66"/>
      <c r="DP794" s="66"/>
      <c r="DQ794" s="163"/>
      <c r="DR794" s="66"/>
      <c r="DS794" s="66"/>
      <c r="DT794" s="163"/>
      <c r="DU794" s="66"/>
      <c r="DV794" s="66"/>
      <c r="DW794" s="163"/>
      <c r="DX794" s="66"/>
      <c r="DY794" s="66"/>
      <c r="DZ794" s="163"/>
      <c r="EA794" s="66"/>
      <c r="EB794" s="66"/>
      <c r="EC794" s="163"/>
      <c r="ED794" s="66"/>
      <c r="EE794" s="66"/>
      <c r="EF794" s="163"/>
      <c r="EG794" s="66"/>
      <c r="EH794" s="66"/>
      <c r="EI794" s="163"/>
      <c r="EJ794" s="66"/>
      <c r="EK794" s="66"/>
      <c r="EL794" s="163"/>
      <c r="EM794" s="66"/>
      <c r="EN794" s="66"/>
      <c r="EO794" s="163"/>
      <c r="EP794" s="66"/>
      <c r="EQ794" s="66"/>
      <c r="ER794" s="163"/>
      <c r="ES794" s="66"/>
      <c r="ET794" s="66"/>
      <c r="EU794" s="163"/>
      <c r="EV794" s="66"/>
      <c r="EW794" s="66"/>
      <c r="EX794" s="163"/>
      <c r="EY794" s="66"/>
      <c r="EZ794" s="66"/>
      <c r="FA794" s="163"/>
      <c r="FH794" s="35"/>
      <c r="FI794" s="35"/>
      <c r="FJ794" s="35"/>
      <c r="FK794" s="35"/>
      <c r="FL794" s="35"/>
      <c r="FM794" s="35"/>
      <c r="FN794" s="35"/>
      <c r="FO794" s="35"/>
      <c r="FP794" s="35"/>
      <c r="FQ794" s="35"/>
    </row>
    <row r="795" spans="1:173" s="321" customFormat="1" hidden="1" outlineLevel="1">
      <c r="A795" s="1174"/>
      <c r="C795" s="321" t="s">
        <v>327</v>
      </c>
      <c r="D795" s="329"/>
      <c r="E795" s="22"/>
      <c r="F795" s="22"/>
      <c r="G795" s="23"/>
      <c r="H795" s="22"/>
      <c r="I795" s="22"/>
      <c r="J795" s="23"/>
      <c r="K795" s="22"/>
      <c r="L795" s="22"/>
      <c r="M795" s="23"/>
      <c r="N795" s="22"/>
      <c r="O795" s="22"/>
      <c r="P795" s="23"/>
      <c r="Q795" s="22"/>
      <c r="R795" s="22"/>
      <c r="S795" s="23"/>
      <c r="T795" s="22"/>
      <c r="U795" s="22"/>
      <c r="V795" s="23"/>
      <c r="W795" s="22"/>
      <c r="X795" s="22"/>
      <c r="Y795" s="23"/>
      <c r="Z795" s="22"/>
      <c r="AA795" s="22"/>
      <c r="AB795" s="23"/>
      <c r="AC795" s="22"/>
      <c r="AD795" s="22"/>
      <c r="AE795" s="23"/>
      <c r="AF795" s="22"/>
      <c r="AG795" s="22"/>
      <c r="AH795" s="23"/>
      <c r="AI795" s="22"/>
      <c r="AJ795" s="22"/>
      <c r="AK795" s="23"/>
      <c r="AL795" s="22"/>
      <c r="AM795" s="22"/>
      <c r="AN795" s="328"/>
      <c r="AO795" s="22"/>
      <c r="AP795" s="22"/>
      <c r="AQ795" s="328"/>
      <c r="AR795" s="22"/>
      <c r="AS795" s="22"/>
      <c r="AT795" s="328"/>
      <c r="AU795" s="22"/>
      <c r="AV795" s="22"/>
      <c r="AW795" s="328"/>
      <c r="AX795" s="993"/>
      <c r="AY795" s="993"/>
      <c r="AZ795" s="163"/>
      <c r="BA795" s="66"/>
      <c r="BB795" s="66"/>
      <c r="BC795" s="56"/>
      <c r="BD795" s="66"/>
      <c r="BE795" s="66"/>
      <c r="BF795" s="56"/>
      <c r="BG795" s="66"/>
      <c r="BH795" s="66"/>
      <c r="BI795" s="56"/>
      <c r="BJ795" s="994"/>
      <c r="BK795" s="994"/>
      <c r="BL795" s="995"/>
      <c r="BM795" s="994"/>
      <c r="BN795" s="994"/>
      <c r="BO795" s="995"/>
      <c r="BP795" s="994"/>
      <c r="BQ795" s="994"/>
      <c r="BR795" s="995"/>
      <c r="BS795" s="66"/>
      <c r="BT795" s="66"/>
      <c r="BU795" s="163"/>
      <c r="BV795" s="66"/>
      <c r="BW795" s="66"/>
      <c r="BX795" s="163"/>
      <c r="BY795" s="66"/>
      <c r="BZ795" s="66"/>
      <c r="CA795" s="163"/>
      <c r="CB795" s="66"/>
      <c r="CC795" s="66"/>
      <c r="CD795" s="163"/>
      <c r="CE795" s="66"/>
      <c r="CF795" s="66"/>
      <c r="CG795" s="163"/>
      <c r="CH795" s="66"/>
      <c r="CI795" s="66"/>
      <c r="CJ795" s="163"/>
      <c r="CK795" s="66"/>
      <c r="CL795" s="66"/>
      <c r="CM795" s="163"/>
      <c r="CN795" s="66"/>
      <c r="CO795" s="66"/>
      <c r="CP795" s="163"/>
      <c r="CQ795" s="66"/>
      <c r="CR795" s="66"/>
      <c r="CS795" s="163"/>
      <c r="CT795" s="66"/>
      <c r="CU795" s="66"/>
      <c r="CV795" s="163"/>
      <c r="CW795" s="66"/>
      <c r="CX795" s="66"/>
      <c r="CY795" s="163"/>
      <c r="CZ795" s="66"/>
      <c r="DA795" s="66"/>
      <c r="DB795" s="163"/>
      <c r="DC795" s="66"/>
      <c r="DD795" s="66"/>
      <c r="DE795" s="163"/>
      <c r="DF795" s="66"/>
      <c r="DG795" s="66"/>
      <c r="DH795" s="163"/>
      <c r="DI795" s="66"/>
      <c r="DJ795" s="66"/>
      <c r="DK795" s="163"/>
      <c r="DL795" s="66"/>
      <c r="DM795" s="66"/>
      <c r="DN795" s="163"/>
      <c r="DO795" s="66"/>
      <c r="DP795" s="66"/>
      <c r="DQ795" s="163"/>
      <c r="DR795" s="160">
        <f t="shared" ref="DR795:DW795" si="3408">DR774</f>
        <v>0.13874999999999993</v>
      </c>
      <c r="DS795" s="160">
        <f t="shared" si="3408"/>
        <v>0.13875000000000015</v>
      </c>
      <c r="DT795" s="173">
        <f t="shared" si="3408"/>
        <v>0.13875000000000015</v>
      </c>
      <c r="DU795" s="160">
        <f t="shared" si="3408"/>
        <v>6.6386388583973721E-2</v>
      </c>
      <c r="DV795" s="160">
        <f t="shared" si="3408"/>
        <v>6.6386388583973499E-2</v>
      </c>
      <c r="DW795" s="173">
        <f t="shared" si="3408"/>
        <v>6.6386388583973721E-2</v>
      </c>
      <c r="DX795" s="160">
        <f t="shared" ref="DX795:ER795" si="3409">DX774</f>
        <v>6.9172419756289072E-2</v>
      </c>
      <c r="DY795" s="160">
        <f t="shared" si="3409"/>
        <v>6.9172419756289072E-2</v>
      </c>
      <c r="DZ795" s="173">
        <f t="shared" si="3409"/>
        <v>6.917241975628885E-2</v>
      </c>
      <c r="EA795" s="160">
        <f t="shared" si="3409"/>
        <v>7.1801205379744326E-2</v>
      </c>
      <c r="EB795" s="160">
        <f t="shared" si="3409"/>
        <v>7.1801205379744326E-2</v>
      </c>
      <c r="EC795" s="173">
        <f t="shared" si="3409"/>
        <v>7.1801205379744104E-2</v>
      </c>
      <c r="ED795" s="160">
        <f t="shared" si="3409"/>
        <v>7.4269089267501753E-2</v>
      </c>
      <c r="EE795" s="160">
        <f t="shared" si="3409"/>
        <v>7.4269089267501975E-2</v>
      </c>
      <c r="EF795" s="173">
        <f t="shared" si="3409"/>
        <v>7.4269089267501975E-2</v>
      </c>
      <c r="EG795" s="160">
        <f t="shared" si="3409"/>
        <v>7.6574928062444814E-2</v>
      </c>
      <c r="EH795" s="160">
        <f t="shared" si="3409"/>
        <v>7.6574928062444592E-2</v>
      </c>
      <c r="EI795" s="173">
        <f t="shared" si="3409"/>
        <v>7.6574928062444814E-2</v>
      </c>
      <c r="EJ795" s="160">
        <f t="shared" si="3409"/>
        <v>7.871980875854101E-2</v>
      </c>
      <c r="EK795" s="160">
        <f t="shared" si="3409"/>
        <v>7.8719808758540788E-2</v>
      </c>
      <c r="EL795" s="173">
        <f t="shared" si="3409"/>
        <v>7.871980875854101E-2</v>
      </c>
      <c r="EM795" s="160">
        <f t="shared" si="3409"/>
        <v>8.0706735089903558E-2</v>
      </c>
      <c r="EN795" s="160">
        <f t="shared" si="3409"/>
        <v>8.0706735089903558E-2</v>
      </c>
      <c r="EO795" s="173">
        <f t="shared" si="3409"/>
        <v>8.0706735089903558E-2</v>
      </c>
      <c r="EP795" s="160">
        <f t="shared" si="3409"/>
        <v>8.254030212876895E-2</v>
      </c>
      <c r="EQ795" s="160">
        <f t="shared" si="3409"/>
        <v>8.254030212876895E-2</v>
      </c>
      <c r="ER795" s="173">
        <f t="shared" si="3409"/>
        <v>8.254030212876895E-2</v>
      </c>
      <c r="ES795" s="160">
        <f t="shared" ref="ES795:EX795" si="3410">ES774</f>
        <v>8.422637523565113E-2</v>
      </c>
      <c r="ET795" s="160">
        <f t="shared" si="3410"/>
        <v>8.422637523565113E-2</v>
      </c>
      <c r="EU795" s="173">
        <f t="shared" si="3410"/>
        <v>8.422637523565113E-2</v>
      </c>
      <c r="EV795" s="160">
        <f t="shared" si="3410"/>
        <v>8.5771785881726181E-2</v>
      </c>
      <c r="EW795" s="160">
        <f t="shared" si="3410"/>
        <v>8.5771785881725959E-2</v>
      </c>
      <c r="EX795" s="173">
        <f t="shared" si="3410"/>
        <v>8.5771785881725959E-2</v>
      </c>
      <c r="EY795" s="160">
        <f t="shared" ref="EY795:FA795" si="3411">EY774</f>
        <v>8.7184053234195646E-2</v>
      </c>
      <c r="EZ795" s="160">
        <f t="shared" si="3411"/>
        <v>8.7184053234195868E-2</v>
      </c>
      <c r="FA795" s="173">
        <f t="shared" si="3411"/>
        <v>8.7184053234195868E-2</v>
      </c>
      <c r="FH795" s="35"/>
      <c r="FI795" s="35"/>
      <c r="FJ795" s="35"/>
      <c r="FK795" s="35"/>
      <c r="FL795" s="35"/>
      <c r="FM795" s="35"/>
      <c r="FN795" s="35"/>
      <c r="FO795" s="35"/>
      <c r="FP795" s="35"/>
      <c r="FQ795" s="35"/>
    </row>
    <row r="796" spans="1:173" s="321" customFormat="1" hidden="1" outlineLevel="1">
      <c r="A796" s="1174"/>
      <c r="D796" s="329"/>
      <c r="E796" s="22"/>
      <c r="F796" s="22"/>
      <c r="G796" s="23"/>
      <c r="H796" s="22"/>
      <c r="I796" s="22"/>
      <c r="J796" s="23"/>
      <c r="K796" s="22"/>
      <c r="L796" s="22"/>
      <c r="M796" s="23"/>
      <c r="N796" s="22"/>
      <c r="O796" s="22"/>
      <c r="P796" s="23"/>
      <c r="Q796" s="22"/>
      <c r="R796" s="22"/>
      <c r="S796" s="23"/>
      <c r="T796" s="22"/>
      <c r="U796" s="22"/>
      <c r="V796" s="23"/>
      <c r="W796" s="22"/>
      <c r="X796" s="22"/>
      <c r="Y796" s="23"/>
      <c r="Z796" s="22"/>
      <c r="AA796" s="22"/>
      <c r="AB796" s="23"/>
      <c r="AC796" s="22"/>
      <c r="AD796" s="22"/>
      <c r="AE796" s="23"/>
      <c r="AF796" s="22"/>
      <c r="AG796" s="22"/>
      <c r="AH796" s="23"/>
      <c r="AI796" s="22"/>
      <c r="AJ796" s="22"/>
      <c r="AK796" s="23"/>
      <c r="AL796" s="22"/>
      <c r="AM796" s="22"/>
      <c r="AN796" s="328"/>
      <c r="AO796" s="22"/>
      <c r="AP796" s="22"/>
      <c r="AQ796" s="328"/>
      <c r="AR796" s="22"/>
      <c r="AS796" s="22"/>
      <c r="AT796" s="328"/>
      <c r="AU796" s="22"/>
      <c r="AV796" s="22"/>
      <c r="AW796" s="328"/>
      <c r="AX796" s="993"/>
      <c r="AY796" s="993"/>
      <c r="AZ796" s="163"/>
      <c r="BA796" s="66"/>
      <c r="BB796" s="66"/>
      <c r="BC796" s="56"/>
      <c r="BD796" s="66"/>
      <c r="BE796" s="66"/>
      <c r="BF796" s="56"/>
      <c r="BG796" s="66"/>
      <c r="BH796" s="66"/>
      <c r="BI796" s="56"/>
      <c r="BJ796" s="994"/>
      <c r="BK796" s="994"/>
      <c r="BL796" s="995"/>
      <c r="BM796" s="994"/>
      <c r="BN796" s="994"/>
      <c r="BO796" s="995"/>
      <c r="BP796" s="994"/>
      <c r="BQ796" s="994"/>
      <c r="BR796" s="995"/>
      <c r="BS796" s="66"/>
      <c r="BT796" s="66"/>
      <c r="BU796" s="163"/>
      <c r="BV796" s="66"/>
      <c r="BW796" s="66"/>
      <c r="BX796" s="163"/>
      <c r="BY796" s="66"/>
      <c r="BZ796" s="66"/>
      <c r="CA796" s="163"/>
      <c r="CB796" s="66"/>
      <c r="CC796" s="66"/>
      <c r="CD796" s="163"/>
      <c r="CE796" s="66"/>
      <c r="CF796" s="66"/>
      <c r="CG796" s="163"/>
      <c r="CH796" s="66"/>
      <c r="CI796" s="66"/>
      <c r="CJ796" s="163"/>
      <c r="CK796" s="66"/>
      <c r="CL796" s="66"/>
      <c r="CM796" s="163"/>
      <c r="CN796" s="66"/>
      <c r="CO796" s="66"/>
      <c r="CP796" s="163"/>
      <c r="CQ796" s="66"/>
      <c r="CR796" s="66"/>
      <c r="CS796" s="163"/>
      <c r="CT796" s="66"/>
      <c r="CU796" s="66"/>
      <c r="CV796" s="163"/>
      <c r="CW796" s="66"/>
      <c r="CX796" s="66"/>
      <c r="CY796" s="163"/>
      <c r="CZ796" s="66"/>
      <c r="DA796" s="66"/>
      <c r="DB796" s="163"/>
      <c r="DC796" s="66"/>
      <c r="DD796" s="66"/>
      <c r="DE796" s="163"/>
      <c r="DF796" s="66"/>
      <c r="DG796" s="66"/>
      <c r="DH796" s="163"/>
      <c r="DI796" s="66"/>
      <c r="DJ796" s="66"/>
      <c r="DK796" s="163"/>
      <c r="DL796" s="66"/>
      <c r="DM796" s="66"/>
      <c r="DN796" s="163"/>
      <c r="DO796" s="66"/>
      <c r="DP796" s="66"/>
      <c r="DQ796" s="163"/>
      <c r="DR796" s="66"/>
      <c r="DS796" s="66"/>
      <c r="DT796" s="163"/>
      <c r="DU796" s="66"/>
      <c r="DV796" s="66"/>
      <c r="DW796" s="163"/>
      <c r="DX796" s="66"/>
      <c r="DY796" s="66"/>
      <c r="DZ796" s="163"/>
      <c r="EA796" s="66"/>
      <c r="EB796" s="66"/>
      <c r="EC796" s="163"/>
      <c r="ED796" s="66"/>
      <c r="EE796" s="66"/>
      <c r="EF796" s="163"/>
      <c r="EG796" s="66"/>
      <c r="EH796" s="66"/>
      <c r="EI796" s="163"/>
      <c r="EJ796" s="66"/>
      <c r="EK796" s="66"/>
      <c r="EL796" s="163"/>
      <c r="EM796" s="66"/>
      <c r="EN796" s="66"/>
      <c r="EO796" s="163"/>
      <c r="EP796" s="66"/>
      <c r="EQ796" s="66"/>
      <c r="ER796" s="163"/>
      <c r="ES796" s="66"/>
      <c r="ET796" s="66"/>
      <c r="EU796" s="163"/>
      <c r="EV796" s="66"/>
      <c r="EW796" s="66"/>
      <c r="EX796" s="163"/>
      <c r="EY796" s="66"/>
      <c r="EZ796" s="66"/>
      <c r="FA796" s="163"/>
      <c r="FH796" s="35"/>
      <c r="FI796" s="35"/>
      <c r="FJ796" s="35"/>
      <c r="FK796" s="35"/>
      <c r="FL796" s="35"/>
      <c r="FM796" s="35"/>
      <c r="FN796" s="35"/>
      <c r="FO796" s="35"/>
      <c r="FP796" s="35"/>
      <c r="FQ796" s="35"/>
    </row>
    <row r="797" spans="1:173" s="321" customFormat="1" hidden="1" outlineLevel="1">
      <c r="A797" s="1174"/>
      <c r="C797" s="321" t="s">
        <v>1008</v>
      </c>
      <c r="D797" s="329"/>
      <c r="E797" s="22"/>
      <c r="F797" s="22"/>
      <c r="G797" s="23"/>
      <c r="H797" s="22"/>
      <c r="I797" s="22"/>
      <c r="J797" s="23"/>
      <c r="K797" s="22"/>
      <c r="L797" s="22"/>
      <c r="M797" s="23"/>
      <c r="N797" s="22"/>
      <c r="O797" s="22"/>
      <c r="P797" s="23"/>
      <c r="Q797" s="22"/>
      <c r="R797" s="22"/>
      <c r="S797" s="23"/>
      <c r="T797" s="22"/>
      <c r="U797" s="22"/>
      <c r="V797" s="23"/>
      <c r="W797" s="22"/>
      <c r="X797" s="22"/>
      <c r="Y797" s="23"/>
      <c r="Z797" s="22"/>
      <c r="AA797" s="22"/>
      <c r="AB797" s="23"/>
      <c r="AC797" s="22"/>
      <c r="AD797" s="22"/>
      <c r="AE797" s="23"/>
      <c r="AF797" s="22"/>
      <c r="AG797" s="22"/>
      <c r="AH797" s="23"/>
      <c r="AI797" s="22"/>
      <c r="AJ797" s="22"/>
      <c r="AK797" s="23"/>
      <c r="AL797" s="22"/>
      <c r="AM797" s="22"/>
      <c r="AN797" s="328"/>
      <c r="AO797" s="22"/>
      <c r="AP797" s="22"/>
      <c r="AQ797" s="328"/>
      <c r="AR797" s="22"/>
      <c r="AS797" s="22"/>
      <c r="AT797" s="328"/>
      <c r="AU797" s="22"/>
      <c r="AV797" s="22"/>
      <c r="AW797" s="328"/>
      <c r="AX797" s="993"/>
      <c r="AY797" s="993"/>
      <c r="AZ797" s="163"/>
      <c r="BA797" s="66"/>
      <c r="BB797" s="66"/>
      <c r="BC797" s="56"/>
      <c r="BD797" s="66"/>
      <c r="BE797" s="66"/>
      <c r="BF797" s="56"/>
      <c r="BG797" s="66"/>
      <c r="BH797" s="66"/>
      <c r="BI797" s="56"/>
      <c r="BJ797" s="994"/>
      <c r="BK797" s="994"/>
      <c r="BL797" s="995"/>
      <c r="BM797" s="994"/>
      <c r="BN797" s="994"/>
      <c r="BO797" s="995"/>
      <c r="BP797" s="994"/>
      <c r="BQ797" s="994"/>
      <c r="BR797" s="995"/>
      <c r="BS797" s="66"/>
      <c r="BT797" s="66"/>
      <c r="BU797" s="163"/>
      <c r="BV797" s="66"/>
      <c r="BW797" s="66"/>
      <c r="BX797" s="163"/>
      <c r="BY797" s="66"/>
      <c r="BZ797" s="66"/>
      <c r="CA797" s="163"/>
      <c r="CB797" s="66"/>
      <c r="CC797" s="66"/>
      <c r="CD797" s="163"/>
      <c r="CE797" s="66"/>
      <c r="CF797" s="66"/>
      <c r="CG797" s="163"/>
      <c r="CH797" s="66"/>
      <c r="CI797" s="66"/>
      <c r="CJ797" s="163"/>
      <c r="CK797" s="66"/>
      <c r="CL797" s="66"/>
      <c r="CM797" s="163"/>
      <c r="CN797" s="66"/>
      <c r="CO797" s="66"/>
      <c r="CP797" s="163"/>
      <c r="CQ797" s="66"/>
      <c r="CR797" s="66"/>
      <c r="CS797" s="163"/>
      <c r="CT797" s="66"/>
      <c r="CU797" s="66"/>
      <c r="CV797" s="163"/>
      <c r="CW797" s="66"/>
      <c r="CX797" s="66"/>
      <c r="CY797" s="163"/>
      <c r="CZ797" s="66"/>
      <c r="DA797" s="66"/>
      <c r="DB797" s="163"/>
      <c r="DC797" s="163">
        <f>DC768</f>
        <v>7648.9868224642705</v>
      </c>
      <c r="DD797" s="163">
        <f>DD768</f>
        <v>7824.0937245681198</v>
      </c>
      <c r="DE797" s="163">
        <f>DE768</f>
        <v>15473.08054703239</v>
      </c>
      <c r="DF797" s="66">
        <f>DF768</f>
        <v>8239.1273388029294</v>
      </c>
      <c r="DG797" s="66">
        <f t="shared" ref="DG797:DO797" si="3412">DD797*(1+DG798)</f>
        <v>7980.5755990594826</v>
      </c>
      <c r="DH797" s="66">
        <f>DF797+DG797</f>
        <v>16219.702937862412</v>
      </c>
      <c r="DI797" s="66">
        <f t="shared" si="3412"/>
        <v>8403.9098855789889</v>
      </c>
      <c r="DJ797" s="66">
        <f t="shared" si="3412"/>
        <v>8140.1871110406728</v>
      </c>
      <c r="DK797" s="66">
        <f>DI797+DJ797</f>
        <v>16544.096996619661</v>
      </c>
      <c r="DL797" s="66">
        <f>DI797*(1+DL798)</f>
        <v>8571.9880832905692</v>
      </c>
      <c r="DM797" s="66">
        <f>DJ797*(1+DM798)</f>
        <v>8302.9908532614863</v>
      </c>
      <c r="DN797" s="66">
        <f>DK797*(1+DN798)</f>
        <v>16874.978936552056</v>
      </c>
      <c r="DO797" s="66">
        <f t="shared" si="3412"/>
        <v>8743.4278449563808</v>
      </c>
      <c r="DP797" s="66">
        <f t="shared" ref="DP797:DZ797" si="3413">DM797*(1+DP798)</f>
        <v>8469.0506703267165</v>
      </c>
      <c r="DQ797" s="66">
        <f t="shared" si="3413"/>
        <v>17212.478515283095</v>
      </c>
      <c r="DR797" s="66">
        <f t="shared" si="3413"/>
        <v>8918.2964018555085</v>
      </c>
      <c r="DS797" s="66">
        <f t="shared" si="3413"/>
        <v>8638.4316837332517</v>
      </c>
      <c r="DT797" s="66">
        <f t="shared" si="3413"/>
        <v>17556.728085588758</v>
      </c>
      <c r="DU797" s="66">
        <f t="shared" si="3413"/>
        <v>9096.6623298926188</v>
      </c>
      <c r="DV797" s="66">
        <f t="shared" si="3413"/>
        <v>8811.2003174079164</v>
      </c>
      <c r="DW797" s="66">
        <f t="shared" si="3413"/>
        <v>17907.862647300535</v>
      </c>
      <c r="DX797" s="66">
        <f t="shared" si="3413"/>
        <v>9278.595576490472</v>
      </c>
      <c r="DY797" s="66">
        <f t="shared" si="3413"/>
        <v>8987.424323756075</v>
      </c>
      <c r="DZ797" s="66">
        <f t="shared" si="3413"/>
        <v>18266.019900246545</v>
      </c>
      <c r="EA797" s="66"/>
      <c r="EB797" s="66"/>
      <c r="EC797" s="66"/>
      <c r="ED797" s="66"/>
      <c r="EE797" s="66"/>
      <c r="EF797" s="66"/>
      <c r="EG797" s="66"/>
      <c r="EH797" s="66"/>
      <c r="EI797" s="66"/>
      <c r="EJ797" s="66"/>
      <c r="EK797" s="66"/>
      <c r="EL797" s="66"/>
      <c r="EM797" s="66"/>
      <c r="EN797" s="66"/>
      <c r="EO797" s="66"/>
      <c r="EP797" s="66"/>
      <c r="EQ797" s="66"/>
      <c r="ER797" s="66"/>
      <c r="ES797" s="66"/>
      <c r="ET797" s="66"/>
      <c r="EU797" s="66"/>
      <c r="EV797" s="66"/>
      <c r="EW797" s="66"/>
      <c r="EX797" s="66"/>
      <c r="EY797" s="66"/>
      <c r="EZ797" s="66"/>
      <c r="FA797" s="66"/>
      <c r="FH797" s="35"/>
      <c r="FI797" s="35"/>
      <c r="FJ797" s="35"/>
      <c r="FK797" s="35"/>
      <c r="FL797" s="35"/>
      <c r="FM797" s="35"/>
      <c r="FN797" s="35"/>
      <c r="FO797" s="35"/>
      <c r="FP797" s="35"/>
      <c r="FQ797" s="35"/>
    </row>
    <row r="798" spans="1:173" s="321" customFormat="1" hidden="1" outlineLevel="1">
      <c r="A798" s="1174"/>
      <c r="C798" s="321" t="s">
        <v>209</v>
      </c>
      <c r="D798" s="329"/>
      <c r="E798" s="22"/>
      <c r="F798" s="22"/>
      <c r="G798" s="23"/>
      <c r="H798" s="22"/>
      <c r="I798" s="22"/>
      <c r="J798" s="23"/>
      <c r="K798" s="22"/>
      <c r="L798" s="22"/>
      <c r="M798" s="23"/>
      <c r="N798" s="22"/>
      <c r="O798" s="22"/>
      <c r="P798" s="23"/>
      <c r="Q798" s="22"/>
      <c r="R798" s="22"/>
      <c r="S798" s="23"/>
      <c r="T798" s="22"/>
      <c r="U798" s="22"/>
      <c r="V798" s="23"/>
      <c r="W798" s="22"/>
      <c r="X798" s="22"/>
      <c r="Y798" s="23"/>
      <c r="Z798" s="22"/>
      <c r="AA798" s="22"/>
      <c r="AB798" s="23"/>
      <c r="AC798" s="22"/>
      <c r="AD798" s="22"/>
      <c r="AE798" s="23"/>
      <c r="AF798" s="22"/>
      <c r="AG798" s="22"/>
      <c r="AH798" s="23"/>
      <c r="AI798" s="22"/>
      <c r="AJ798" s="22"/>
      <c r="AK798" s="23"/>
      <c r="AL798" s="22"/>
      <c r="AM798" s="22"/>
      <c r="AN798" s="328"/>
      <c r="AO798" s="22"/>
      <c r="AP798" s="22"/>
      <c r="AQ798" s="328"/>
      <c r="AR798" s="22"/>
      <c r="AS798" s="22"/>
      <c r="AT798" s="328"/>
      <c r="AU798" s="22"/>
      <c r="AV798" s="22"/>
      <c r="AW798" s="328"/>
      <c r="AX798" s="993"/>
      <c r="AY798" s="993"/>
      <c r="AZ798" s="163"/>
      <c r="BA798" s="66"/>
      <c r="BB798" s="66"/>
      <c r="BC798" s="56"/>
      <c r="BD798" s="66"/>
      <c r="BE798" s="66"/>
      <c r="BF798" s="56"/>
      <c r="BG798" s="66"/>
      <c r="BH798" s="66"/>
      <c r="BI798" s="56"/>
      <c r="BJ798" s="994"/>
      <c r="BK798" s="994"/>
      <c r="BL798" s="995"/>
      <c r="BM798" s="994"/>
      <c r="BN798" s="994"/>
      <c r="BO798" s="995"/>
      <c r="BP798" s="994"/>
      <c r="BQ798" s="994"/>
      <c r="BR798" s="995"/>
      <c r="BS798" s="66"/>
      <c r="BT798" s="66"/>
      <c r="BU798" s="163"/>
      <c r="BV798" s="66"/>
      <c r="BW798" s="66"/>
      <c r="BX798" s="163"/>
      <c r="BY798" s="66"/>
      <c r="BZ798" s="66"/>
      <c r="CA798" s="163"/>
      <c r="CB798" s="66"/>
      <c r="CC798" s="66"/>
      <c r="CD798" s="163"/>
      <c r="CE798" s="66"/>
      <c r="CF798" s="66"/>
      <c r="CG798" s="163"/>
      <c r="CH798" s="66"/>
      <c r="CI798" s="66"/>
      <c r="CJ798" s="163"/>
      <c r="CK798" s="66"/>
      <c r="CL798" s="66"/>
      <c r="CM798" s="163"/>
      <c r="CN798" s="66"/>
      <c r="CO798" s="66"/>
      <c r="CP798" s="163"/>
      <c r="CQ798" s="66"/>
      <c r="CR798" s="66"/>
      <c r="CS798" s="163"/>
      <c r="CT798" s="66"/>
      <c r="CU798" s="66"/>
      <c r="CV798" s="163"/>
      <c r="CW798" s="66"/>
      <c r="CX798" s="66"/>
      <c r="CY798" s="163"/>
      <c r="CZ798" s="66"/>
      <c r="DA798" s="66"/>
      <c r="DB798" s="163"/>
      <c r="DC798" s="66"/>
      <c r="DD798" s="66"/>
      <c r="DE798" s="173"/>
      <c r="DF798" s="32"/>
      <c r="DG798" s="32">
        <v>0.02</v>
      </c>
      <c r="DH798" s="32">
        <f>DH797/DE797-1</f>
        <v>4.825298934886102E-2</v>
      </c>
      <c r="DI798" s="32">
        <v>0.02</v>
      </c>
      <c r="DJ798" s="32">
        <f t="shared" ref="DJ798:DO798" si="3414">DI798</f>
        <v>0.02</v>
      </c>
      <c r="DK798" s="32">
        <f>DK797/DH797-1</f>
        <v>2.0000000000000018E-2</v>
      </c>
      <c r="DL798" s="32">
        <f>DK798</f>
        <v>2.0000000000000018E-2</v>
      </c>
      <c r="DM798" s="32">
        <f t="shared" si="3414"/>
        <v>2.0000000000000018E-2</v>
      </c>
      <c r="DN798" s="32">
        <f t="shared" si="3414"/>
        <v>2.0000000000000018E-2</v>
      </c>
      <c r="DO798" s="32">
        <f t="shared" si="3414"/>
        <v>2.0000000000000018E-2</v>
      </c>
      <c r="DP798" s="32">
        <f t="shared" ref="DP798:DZ798" si="3415">DO798</f>
        <v>2.0000000000000018E-2</v>
      </c>
      <c r="DQ798" s="32">
        <f t="shared" si="3415"/>
        <v>2.0000000000000018E-2</v>
      </c>
      <c r="DR798" s="32">
        <f t="shared" si="3415"/>
        <v>2.0000000000000018E-2</v>
      </c>
      <c r="DS798" s="32">
        <f t="shared" si="3415"/>
        <v>2.0000000000000018E-2</v>
      </c>
      <c r="DT798" s="32">
        <f t="shared" si="3415"/>
        <v>2.0000000000000018E-2</v>
      </c>
      <c r="DU798" s="32">
        <f t="shared" si="3415"/>
        <v>2.0000000000000018E-2</v>
      </c>
      <c r="DV798" s="32">
        <f t="shared" si="3415"/>
        <v>2.0000000000000018E-2</v>
      </c>
      <c r="DW798" s="32">
        <f t="shared" si="3415"/>
        <v>2.0000000000000018E-2</v>
      </c>
      <c r="DX798" s="32">
        <f t="shared" si="3415"/>
        <v>2.0000000000000018E-2</v>
      </c>
      <c r="DY798" s="32">
        <f t="shared" si="3415"/>
        <v>2.0000000000000018E-2</v>
      </c>
      <c r="DZ798" s="32">
        <f t="shared" si="3415"/>
        <v>2.0000000000000018E-2</v>
      </c>
      <c r="EA798" s="66"/>
      <c r="EB798" s="66"/>
      <c r="EC798" s="32"/>
      <c r="ED798" s="66"/>
      <c r="EE798" s="66"/>
      <c r="EF798" s="32"/>
      <c r="EG798" s="66"/>
      <c r="EH798" s="66"/>
      <c r="EI798" s="32"/>
      <c r="EJ798" s="66"/>
      <c r="EK798" s="66"/>
      <c r="EL798" s="32"/>
      <c r="EM798" s="66"/>
      <c r="EN798" s="66"/>
      <c r="EO798" s="32"/>
      <c r="EP798" s="66"/>
      <c r="EQ798" s="66"/>
      <c r="ER798" s="32"/>
      <c r="ES798" s="66"/>
      <c r="ET798" s="66"/>
      <c r="EU798" s="32"/>
      <c r="EV798" s="66"/>
      <c r="EW798" s="66"/>
      <c r="EX798" s="32"/>
      <c r="EY798" s="66"/>
      <c r="EZ798" s="66"/>
      <c r="FA798" s="32"/>
      <c r="FH798" s="35"/>
      <c r="FI798" s="35"/>
      <c r="FJ798" s="35"/>
      <c r="FK798" s="35"/>
      <c r="FL798" s="35"/>
      <c r="FM798" s="35"/>
      <c r="FN798" s="35"/>
      <c r="FO798" s="35"/>
      <c r="FP798" s="35"/>
      <c r="FQ798" s="35"/>
    </row>
    <row r="799" spans="1:173" s="321" customFormat="1" hidden="1" outlineLevel="1">
      <c r="A799" s="1174"/>
      <c r="D799" s="329"/>
      <c r="E799" s="22"/>
      <c r="F799" s="22"/>
      <c r="G799" s="23"/>
      <c r="H799" s="22"/>
      <c r="I799" s="22"/>
      <c r="J799" s="23"/>
      <c r="K799" s="22"/>
      <c r="L799" s="22"/>
      <c r="M799" s="23"/>
      <c r="N799" s="22"/>
      <c r="O799" s="22"/>
      <c r="P799" s="23"/>
      <c r="Q799" s="22"/>
      <c r="R799" s="22"/>
      <c r="S799" s="23"/>
      <c r="T799" s="22"/>
      <c r="U799" s="22"/>
      <c r="V799" s="23"/>
      <c r="W799" s="22"/>
      <c r="X799" s="22"/>
      <c r="Y799" s="23"/>
      <c r="Z799" s="22"/>
      <c r="AA799" s="22"/>
      <c r="AB799" s="23"/>
      <c r="AC799" s="22"/>
      <c r="AD799" s="22"/>
      <c r="AE799" s="23"/>
      <c r="AF799" s="22"/>
      <c r="AG799" s="22"/>
      <c r="AH799" s="23"/>
      <c r="AI799" s="22"/>
      <c r="AJ799" s="22"/>
      <c r="AK799" s="23"/>
      <c r="AL799" s="22"/>
      <c r="AM799" s="22"/>
      <c r="AN799" s="328"/>
      <c r="AO799" s="22"/>
      <c r="AP799" s="22"/>
      <c r="AQ799" s="328"/>
      <c r="AR799" s="22"/>
      <c r="AS799" s="22"/>
      <c r="AT799" s="328"/>
      <c r="AU799" s="22"/>
      <c r="AV799" s="22"/>
      <c r="AW799" s="328"/>
      <c r="AX799" s="993"/>
      <c r="AY799" s="993"/>
      <c r="AZ799" s="163"/>
      <c r="BA799" s="66"/>
      <c r="BB799" s="66"/>
      <c r="BC799" s="56"/>
      <c r="BD799" s="66"/>
      <c r="BE799" s="66"/>
      <c r="BF799" s="56"/>
      <c r="BG799" s="66"/>
      <c r="BH799" s="66"/>
      <c r="BI799" s="56"/>
      <c r="BJ799" s="994"/>
      <c r="BK799" s="994"/>
      <c r="BL799" s="995"/>
      <c r="BM799" s="994"/>
      <c r="BN799" s="994"/>
      <c r="BO799" s="995"/>
      <c r="BP799" s="994"/>
      <c r="BQ799" s="994"/>
      <c r="BR799" s="995"/>
      <c r="BS799" s="66"/>
      <c r="BT799" s="66"/>
      <c r="BU799" s="163"/>
      <c r="BV799" s="66"/>
      <c r="BW799" s="66"/>
      <c r="BX799" s="163"/>
      <c r="BY799" s="66"/>
      <c r="BZ799" s="66"/>
      <c r="CA799" s="163"/>
      <c r="CB799" s="66"/>
      <c r="CC799" s="66"/>
      <c r="CD799" s="163"/>
      <c r="CE799" s="66"/>
      <c r="CF799" s="66"/>
      <c r="CG799" s="163"/>
      <c r="CH799" s="66"/>
      <c r="CI799" s="66"/>
      <c r="CJ799" s="163"/>
      <c r="CK799" s="66"/>
      <c r="CL799" s="66"/>
      <c r="CM799" s="163"/>
      <c r="CN799" s="66"/>
      <c r="CO799" s="66"/>
      <c r="CP799" s="163"/>
      <c r="CQ799" s="66"/>
      <c r="CR799" s="66"/>
      <c r="CS799" s="163"/>
      <c r="CT799" s="66"/>
      <c r="CU799" s="66"/>
      <c r="CV799" s="163"/>
      <c r="CW799" s="66"/>
      <c r="CX799" s="66"/>
      <c r="CY799" s="163"/>
      <c r="CZ799" s="66"/>
      <c r="DA799" s="66"/>
      <c r="DB799" s="163"/>
      <c r="DC799" s="66"/>
      <c r="DD799" s="66"/>
      <c r="DE799" s="163"/>
      <c r="DF799" s="66"/>
      <c r="DG799" s="66"/>
      <c r="DH799" s="163"/>
      <c r="DI799" s="66"/>
      <c r="DJ799" s="66"/>
      <c r="DK799" s="163"/>
      <c r="DL799" s="66"/>
      <c r="DM799" s="66"/>
      <c r="DN799" s="163"/>
      <c r="DO799" s="66"/>
      <c r="DP799" s="335"/>
      <c r="DQ799" s="163"/>
      <c r="DR799" s="66"/>
      <c r="DS799" s="66"/>
      <c r="DT799" s="163"/>
      <c r="DU799" s="66"/>
      <c r="DV799" s="66"/>
      <c r="DW799" s="163"/>
      <c r="DX799" s="66"/>
      <c r="DY799" s="66"/>
      <c r="DZ799" s="163"/>
      <c r="EA799" s="66"/>
      <c r="EB799" s="66"/>
      <c r="EC799" s="163"/>
      <c r="ED799" s="66"/>
      <c r="EE799" s="66"/>
      <c r="EF799" s="163"/>
      <c r="EG799" s="66"/>
      <c r="EH799" s="66"/>
      <c r="EI799" s="163"/>
      <c r="EJ799" s="66"/>
      <c r="EK799" s="66"/>
      <c r="EL799" s="163"/>
      <c r="EM799" s="66"/>
      <c r="EN799" s="66"/>
      <c r="EO799" s="163"/>
      <c r="EP799" s="66"/>
      <c r="EQ799" s="66"/>
      <c r="ER799" s="163"/>
      <c r="ES799" s="66"/>
      <c r="ET799" s="66"/>
      <c r="EU799" s="163"/>
      <c r="EV799" s="66"/>
      <c r="EW799" s="66"/>
      <c r="EX799" s="163"/>
      <c r="EY799" s="66"/>
      <c r="EZ799" s="66"/>
      <c r="FA799" s="163"/>
      <c r="FH799" s="35"/>
      <c r="FI799" s="35"/>
      <c r="FJ799" s="35"/>
      <c r="FK799" s="35"/>
      <c r="FL799" s="35"/>
      <c r="FM799" s="35"/>
      <c r="FN799" s="35"/>
      <c r="FO799" s="35"/>
      <c r="FP799" s="35"/>
      <c r="FQ799" s="35"/>
    </row>
    <row r="800" spans="1:173" s="321" customFormat="1" hidden="1" outlineLevel="1">
      <c r="A800" s="1174"/>
      <c r="C800" s="321" t="s">
        <v>1009</v>
      </c>
      <c r="D800" s="329" t="s">
        <v>98</v>
      </c>
      <c r="E800" s="22"/>
      <c r="F800" s="22"/>
      <c r="G800" s="23"/>
      <c r="H800" s="22"/>
      <c r="I800" s="22"/>
      <c r="J800" s="23"/>
      <c r="K800" s="22"/>
      <c r="L800" s="22"/>
      <c r="M800" s="23"/>
      <c r="N800" s="22"/>
      <c r="O800" s="22"/>
      <c r="P800" s="23"/>
      <c r="Q800" s="22"/>
      <c r="R800" s="22"/>
      <c r="S800" s="23"/>
      <c r="T800" s="22"/>
      <c r="U800" s="22"/>
      <c r="V800" s="23"/>
      <c r="W800" s="22"/>
      <c r="X800" s="22"/>
      <c r="Y800" s="23"/>
      <c r="Z800" s="22"/>
      <c r="AA800" s="22"/>
      <c r="AB800" s="23"/>
      <c r="AC800" s="22"/>
      <c r="AD800" s="22"/>
      <c r="AE800" s="23"/>
      <c r="AF800" s="22"/>
      <c r="AG800" s="22"/>
      <c r="AH800" s="23"/>
      <c r="AI800" s="22"/>
      <c r="AJ800" s="22"/>
      <c r="AK800" s="23"/>
      <c r="AL800" s="22"/>
      <c r="AM800" s="22"/>
      <c r="AN800" s="328"/>
      <c r="AO800" s="22"/>
      <c r="AP800" s="22"/>
      <c r="AQ800" s="328"/>
      <c r="AR800" s="22"/>
      <c r="AS800" s="22"/>
      <c r="AT800" s="328"/>
      <c r="AU800" s="22"/>
      <c r="AV800" s="22"/>
      <c r="AW800" s="328"/>
      <c r="AX800" s="993"/>
      <c r="AY800" s="993"/>
      <c r="AZ800" s="163"/>
      <c r="BA800" s="66"/>
      <c r="BB800" s="66"/>
      <c r="BC800" s="56"/>
      <c r="BD800" s="66"/>
      <c r="BE800" s="66"/>
      <c r="BF800" s="56"/>
      <c r="BG800" s="66"/>
      <c r="BH800" s="66"/>
      <c r="BI800" s="56"/>
      <c r="BJ800" s="994"/>
      <c r="BK800" s="994"/>
      <c r="BL800" s="995"/>
      <c r="BM800" s="994"/>
      <c r="BN800" s="994"/>
      <c r="BO800" s="995"/>
      <c r="BP800" s="994"/>
      <c r="BQ800" s="994"/>
      <c r="BR800" s="995"/>
      <c r="BS800" s="66"/>
      <c r="BT800" s="66"/>
      <c r="BU800" s="163"/>
      <c r="BV800" s="66"/>
      <c r="BW800" s="66"/>
      <c r="BX800" s="163"/>
      <c r="BY800" s="66"/>
      <c r="BZ800" s="66"/>
      <c r="CA800" s="163"/>
      <c r="CB800" s="66"/>
      <c r="CC800" s="66"/>
      <c r="CD800" s="163"/>
      <c r="CE800" s="66"/>
      <c r="CF800" s="66"/>
      <c r="CG800" s="163"/>
      <c r="CH800" s="66"/>
      <c r="CI800" s="66"/>
      <c r="CJ800" s="163"/>
      <c r="CK800" s="66"/>
      <c r="CL800" s="66"/>
      <c r="CM800" s="163"/>
      <c r="CN800" s="66"/>
      <c r="CO800" s="66"/>
      <c r="CP800" s="163"/>
      <c r="CQ800" s="66"/>
      <c r="CR800" s="66"/>
      <c r="CS800" s="163"/>
      <c r="CT800" s="66"/>
      <c r="CU800" s="66"/>
      <c r="CV800" s="163"/>
      <c r="CW800" s="66"/>
      <c r="CX800" s="66"/>
      <c r="CY800" s="163"/>
      <c r="CZ800" s="66"/>
      <c r="DA800" s="66"/>
      <c r="DB800" s="163"/>
      <c r="DC800" s="66"/>
      <c r="DD800" s="66"/>
      <c r="DE800" s="163"/>
      <c r="DF800" s="66"/>
      <c r="DG800" s="66">
        <f>DG797-DG768</f>
        <v>2431.5213800586753</v>
      </c>
      <c r="DH800" s="66">
        <f t="shared" ref="DH800:DZ800" si="3416">DH797-DH768</f>
        <v>2431.5213800586698</v>
      </c>
      <c r="DI800" s="66">
        <f t="shared" si="3416"/>
        <v>1240.731561130011</v>
      </c>
      <c r="DJ800" s="66">
        <f t="shared" si="3416"/>
        <v>305.09368631797861</v>
      </c>
      <c r="DK800" s="66">
        <f t="shared" si="3416"/>
        <v>1545.825247447985</v>
      </c>
      <c r="DL800" s="66">
        <f t="shared" si="3416"/>
        <v>1293.5571882894619</v>
      </c>
      <c r="DM800" s="66">
        <f t="shared" si="3416"/>
        <v>643.58048151326875</v>
      </c>
      <c r="DN800" s="66">
        <f t="shared" si="3416"/>
        <v>1937.1376698027307</v>
      </c>
      <c r="DO800" s="66">
        <f t="shared" si="3416"/>
        <v>828.90308150398596</v>
      </c>
      <c r="DP800" s="66">
        <f t="shared" si="3416"/>
        <v>-94.036600660921977</v>
      </c>
      <c r="DQ800" s="66">
        <f t="shared" si="3416"/>
        <v>734.86648084306944</v>
      </c>
      <c r="DR800" s="66">
        <f t="shared" si="3416"/>
        <v>-1014.4321762772452</v>
      </c>
      <c r="DS800" s="66">
        <f t="shared" si="3416"/>
        <v>-2108.2428413562338</v>
      </c>
      <c r="DT800" s="66">
        <f t="shared" si="3416"/>
        <v>-3122.6750176334826</v>
      </c>
      <c r="DU800" s="66">
        <f t="shared" si="3416"/>
        <v>-617.54621952121488</v>
      </c>
      <c r="DV800" s="66">
        <f t="shared" si="3416"/>
        <v>-1699.0473681296007</v>
      </c>
      <c r="DW800" s="66">
        <f t="shared" si="3416"/>
        <v>-2316.5935876508156</v>
      </c>
      <c r="DX800" s="66">
        <f t="shared" si="3416"/>
        <v>-221.9003848362554</v>
      </c>
      <c r="DY800" s="66">
        <f t="shared" si="3416"/>
        <v>-1291.5979126996172</v>
      </c>
      <c r="DZ800" s="66">
        <f t="shared" si="3416"/>
        <v>-1513.4982975358726</v>
      </c>
      <c r="EA800" s="66"/>
      <c r="EB800" s="66"/>
      <c r="EC800" s="66"/>
      <c r="ED800" s="66"/>
      <c r="EE800" s="66"/>
      <c r="EF800" s="66"/>
      <c r="EG800" s="66"/>
      <c r="EH800" s="66"/>
      <c r="EI800" s="66"/>
      <c r="EJ800" s="66"/>
      <c r="EK800" s="66"/>
      <c r="EL800" s="66"/>
      <c r="EM800" s="66"/>
      <c r="EN800" s="66"/>
      <c r="EO800" s="66"/>
      <c r="EP800" s="66"/>
      <c r="EQ800" s="66"/>
      <c r="ER800" s="66"/>
      <c r="ES800" s="66"/>
      <c r="ET800" s="66"/>
      <c r="EU800" s="66"/>
      <c r="EV800" s="66"/>
      <c r="EW800" s="66"/>
      <c r="EX800" s="66"/>
      <c r="EY800" s="66"/>
      <c r="EZ800" s="66"/>
      <c r="FA800" s="66"/>
      <c r="FH800" s="35"/>
      <c r="FI800" s="35"/>
      <c r="FJ800" s="35"/>
      <c r="FK800" s="35"/>
      <c r="FL800" s="35"/>
      <c r="FM800" s="35"/>
      <c r="FN800" s="35"/>
      <c r="FO800" s="35"/>
      <c r="FP800" s="35"/>
      <c r="FQ800" s="35"/>
    </row>
    <row r="801" spans="1:173" s="321" customFormat="1" hidden="1" outlineLevel="1">
      <c r="A801" s="1174"/>
      <c r="D801" s="329" t="s">
        <v>460</v>
      </c>
      <c r="E801" s="22"/>
      <c r="F801" s="22"/>
      <c r="G801" s="23"/>
      <c r="H801" s="22"/>
      <c r="I801" s="22"/>
      <c r="J801" s="23"/>
      <c r="K801" s="22"/>
      <c r="L801" s="22"/>
      <c r="M801" s="23"/>
      <c r="N801" s="22"/>
      <c r="O801" s="22"/>
      <c r="P801" s="23"/>
      <c r="Q801" s="22"/>
      <c r="R801" s="22"/>
      <c r="S801" s="23"/>
      <c r="T801" s="22"/>
      <c r="U801" s="22"/>
      <c r="V801" s="23"/>
      <c r="W801" s="22"/>
      <c r="X801" s="22"/>
      <c r="Y801" s="23"/>
      <c r="Z801" s="22"/>
      <c r="AA801" s="22"/>
      <c r="AB801" s="23"/>
      <c r="AC801" s="22"/>
      <c r="AD801" s="22"/>
      <c r="AE801" s="23"/>
      <c r="AF801" s="22"/>
      <c r="AG801" s="22"/>
      <c r="AH801" s="23"/>
      <c r="AI801" s="22"/>
      <c r="AJ801" s="22"/>
      <c r="AK801" s="23"/>
      <c r="AL801" s="22"/>
      <c r="AM801" s="22"/>
      <c r="AN801" s="328"/>
      <c r="AO801" s="22"/>
      <c r="AP801" s="22"/>
      <c r="AQ801" s="328"/>
      <c r="AR801" s="22"/>
      <c r="AS801" s="22"/>
      <c r="AT801" s="328"/>
      <c r="AU801" s="22"/>
      <c r="AV801" s="22"/>
      <c r="AW801" s="328"/>
      <c r="AX801" s="993"/>
      <c r="AY801" s="993"/>
      <c r="AZ801" s="163"/>
      <c r="BA801" s="66"/>
      <c r="BB801" s="66"/>
      <c r="BC801" s="56"/>
      <c r="BD801" s="66"/>
      <c r="BE801" s="66"/>
      <c r="BF801" s="56"/>
      <c r="BG801" s="66"/>
      <c r="BH801" s="66"/>
      <c r="BI801" s="56"/>
      <c r="BJ801" s="994"/>
      <c r="BK801" s="994"/>
      <c r="BL801" s="995"/>
      <c r="BM801" s="994"/>
      <c r="BN801" s="994"/>
      <c r="BO801" s="995"/>
      <c r="BP801" s="994"/>
      <c r="BQ801" s="994"/>
      <c r="BR801" s="995"/>
      <c r="BS801" s="66"/>
      <c r="BT801" s="66"/>
      <c r="BU801" s="163"/>
      <c r="BV801" s="66"/>
      <c r="BW801" s="66"/>
      <c r="BX801" s="163"/>
      <c r="BY801" s="66"/>
      <c r="BZ801" s="66"/>
      <c r="CA801" s="163"/>
      <c r="CB801" s="66"/>
      <c r="CC801" s="66"/>
      <c r="CD801" s="163"/>
      <c r="CE801" s="66"/>
      <c r="CF801" s="66"/>
      <c r="CG801" s="163"/>
      <c r="CH801" s="66"/>
      <c r="CI801" s="66"/>
      <c r="CJ801" s="163"/>
      <c r="CK801" s="66"/>
      <c r="CL801" s="66"/>
      <c r="CM801" s="163"/>
      <c r="CN801" s="66"/>
      <c r="CO801" s="66"/>
      <c r="CP801" s="163"/>
      <c r="CQ801" s="66"/>
      <c r="CR801" s="66"/>
      <c r="CS801" s="163"/>
      <c r="CT801" s="66"/>
      <c r="CU801" s="66"/>
      <c r="CV801" s="163"/>
      <c r="CW801" s="66"/>
      <c r="CX801" s="66"/>
      <c r="CY801" s="163"/>
      <c r="CZ801" s="66"/>
      <c r="DA801" s="66"/>
      <c r="DB801" s="163"/>
      <c r="DC801" s="66"/>
      <c r="DD801" s="66"/>
      <c r="DE801" s="163"/>
      <c r="DF801" s="66"/>
      <c r="DG801" s="66"/>
      <c r="DH801" s="163"/>
      <c r="DI801" s="66"/>
      <c r="DJ801" s="66"/>
      <c r="DK801" s="163"/>
      <c r="DL801" s="66"/>
      <c r="DM801" s="66"/>
      <c r="DN801" s="163"/>
      <c r="DO801" s="66">
        <f>SUM(DH800,DK800,DN800,DO800)</f>
        <v>6743.3873788133715</v>
      </c>
      <c r="DP801" s="66"/>
      <c r="DQ801" s="163"/>
      <c r="DR801" s="66"/>
      <c r="DS801" s="66"/>
      <c r="DT801" s="295">
        <f>SUM(DP800,DR800,DS800)</f>
        <v>-3216.711618294401</v>
      </c>
      <c r="DU801" s="66"/>
      <c r="DV801" s="66"/>
      <c r="DW801" s="295">
        <f>DO801+DT801</f>
        <v>3526.6757605189705</v>
      </c>
      <c r="DX801" s="66"/>
      <c r="DY801" s="66"/>
      <c r="DZ801" s="295"/>
      <c r="EA801" s="66"/>
      <c r="EB801" s="66"/>
      <c r="EC801" s="295"/>
      <c r="ED801" s="66"/>
      <c r="EE801" s="66"/>
      <c r="EF801" s="295"/>
      <c r="EG801" s="66"/>
      <c r="EH801" s="66"/>
      <c r="EI801" s="295"/>
      <c r="EJ801" s="66"/>
      <c r="EK801" s="66"/>
      <c r="EL801" s="295"/>
      <c r="EM801" s="66"/>
      <c r="EN801" s="66"/>
      <c r="EO801" s="295"/>
      <c r="EP801" s="66"/>
      <c r="EQ801" s="66"/>
      <c r="ER801" s="295"/>
      <c r="ES801" s="66"/>
      <c r="ET801" s="66"/>
      <c r="EU801" s="295"/>
      <c r="EV801" s="66"/>
      <c r="EW801" s="66"/>
      <c r="EX801" s="295"/>
      <c r="EY801" s="66"/>
      <c r="EZ801" s="66"/>
      <c r="FA801" s="295"/>
      <c r="FH801" s="35"/>
      <c r="FI801" s="35"/>
      <c r="FJ801" s="35"/>
      <c r="FK801" s="35"/>
      <c r="FL801" s="35"/>
      <c r="FM801" s="35"/>
      <c r="FN801" s="35"/>
      <c r="FO801" s="35"/>
      <c r="FP801" s="35"/>
      <c r="FQ801" s="35"/>
    </row>
    <row r="802" spans="1:173" s="321" customFormat="1" hidden="1" outlineLevel="1">
      <c r="A802" s="1174"/>
      <c r="D802" s="329"/>
      <c r="E802" s="22"/>
      <c r="F802" s="22"/>
      <c r="G802" s="23"/>
      <c r="H802" s="22"/>
      <c r="I802" s="22"/>
      <c r="J802" s="23"/>
      <c r="K802" s="22"/>
      <c r="L802" s="22"/>
      <c r="M802" s="23"/>
      <c r="N802" s="22"/>
      <c r="O802" s="22"/>
      <c r="P802" s="23"/>
      <c r="Q802" s="22"/>
      <c r="R802" s="22"/>
      <c r="S802" s="23"/>
      <c r="T802" s="22"/>
      <c r="U802" s="22"/>
      <c r="V802" s="23"/>
      <c r="W802" s="22"/>
      <c r="X802" s="22"/>
      <c r="Y802" s="23"/>
      <c r="Z802" s="22"/>
      <c r="AA802" s="22"/>
      <c r="AB802" s="23"/>
      <c r="AC802" s="22"/>
      <c r="AD802" s="22"/>
      <c r="AE802" s="23"/>
      <c r="AF802" s="22"/>
      <c r="AG802" s="22"/>
      <c r="AH802" s="23"/>
      <c r="AI802" s="22"/>
      <c r="AJ802" s="22"/>
      <c r="AK802" s="23"/>
      <c r="AL802" s="22"/>
      <c r="AM802" s="22"/>
      <c r="AN802" s="328"/>
      <c r="AO802" s="22"/>
      <c r="AP802" s="22"/>
      <c r="AQ802" s="328"/>
      <c r="AR802" s="22"/>
      <c r="AS802" s="22"/>
      <c r="AT802" s="328"/>
      <c r="AU802" s="22"/>
      <c r="AV802" s="22"/>
      <c r="AW802" s="328"/>
      <c r="AX802" s="993"/>
      <c r="AY802" s="993"/>
      <c r="AZ802" s="163"/>
      <c r="BA802" s="66"/>
      <c r="BB802" s="66"/>
      <c r="BC802" s="56"/>
      <c r="BD802" s="66"/>
      <c r="BE802" s="66"/>
      <c r="BF802" s="56"/>
      <c r="BG802" s="66"/>
      <c r="BH802" s="66"/>
      <c r="BI802" s="56"/>
      <c r="BJ802" s="994"/>
      <c r="BK802" s="994"/>
      <c r="BL802" s="995"/>
      <c r="BM802" s="994"/>
      <c r="BN802" s="994"/>
      <c r="BO802" s="995"/>
      <c r="BP802" s="994"/>
      <c r="BQ802" s="994"/>
      <c r="BR802" s="995"/>
      <c r="BS802" s="66"/>
      <c r="BT802" s="66"/>
      <c r="BU802" s="163"/>
      <c r="BV802" s="66"/>
      <c r="BW802" s="66"/>
      <c r="BX802" s="163"/>
      <c r="BY802" s="66"/>
      <c r="BZ802" s="66"/>
      <c r="CA802" s="163"/>
      <c r="CB802" s="66"/>
      <c r="CC802" s="66"/>
      <c r="CD802" s="163"/>
      <c r="CE802" s="66"/>
      <c r="CF802" s="66"/>
      <c r="CG802" s="163"/>
      <c r="CH802" s="66"/>
      <c r="CI802" s="66"/>
      <c r="CJ802" s="163"/>
      <c r="CK802" s="66"/>
      <c r="CL802" s="66"/>
      <c r="CM802" s="163"/>
      <c r="CN802" s="66"/>
      <c r="CO802" s="66"/>
      <c r="CP802" s="163"/>
      <c r="CQ802" s="66"/>
      <c r="CR802" s="66"/>
      <c r="CS802" s="163"/>
      <c r="CT802" s="66"/>
      <c r="CU802" s="66"/>
      <c r="CV802" s="163"/>
      <c r="CW802" s="66"/>
      <c r="CX802" s="66"/>
      <c r="CY802" s="163"/>
      <c r="CZ802" s="66"/>
      <c r="DA802" s="66"/>
      <c r="DB802" s="163"/>
      <c r="DC802" s="66"/>
      <c r="DD802" s="66"/>
      <c r="DE802" s="163"/>
      <c r="DF802" s="66"/>
      <c r="DG802" s="66"/>
      <c r="DH802" s="163"/>
      <c r="DI802" s="66"/>
      <c r="DJ802" s="66"/>
      <c r="DK802" s="163"/>
      <c r="DL802" s="66"/>
      <c r="DM802" s="66"/>
      <c r="DN802" s="163"/>
      <c r="DO802" s="66"/>
      <c r="DP802" s="66"/>
      <c r="DQ802" s="163"/>
      <c r="DR802" s="66"/>
      <c r="DS802" s="66"/>
      <c r="DT802" s="163"/>
      <c r="DU802" s="66"/>
      <c r="DV802" s="66"/>
      <c r="DW802" s="163"/>
      <c r="DX802" s="66"/>
      <c r="DY802" s="66"/>
      <c r="DZ802" s="163"/>
      <c r="EA802" s="66"/>
      <c r="EB802" s="66"/>
      <c r="EC802" s="163"/>
      <c r="ED802" s="66"/>
      <c r="EE802" s="66"/>
      <c r="EF802" s="163"/>
      <c r="EG802" s="66"/>
      <c r="EH802" s="66"/>
      <c r="EI802" s="163"/>
      <c r="EJ802" s="66"/>
      <c r="EK802" s="66"/>
      <c r="EL802" s="163"/>
      <c r="EM802" s="66"/>
      <c r="EN802" s="66"/>
      <c r="EO802" s="163"/>
      <c r="EP802" s="66"/>
      <c r="EQ802" s="66"/>
      <c r="ER802" s="163"/>
      <c r="ES802" s="66"/>
      <c r="ET802" s="66"/>
      <c r="EU802" s="163"/>
      <c r="EV802" s="66"/>
      <c r="EW802" s="66"/>
      <c r="EX802" s="163"/>
      <c r="EY802" s="66"/>
      <c r="EZ802" s="66"/>
      <c r="FA802" s="163"/>
      <c r="FH802" s="35"/>
      <c r="FI802" s="35"/>
      <c r="FJ802" s="35"/>
      <c r="FK802" s="35"/>
      <c r="FL802" s="35"/>
      <c r="FM802" s="35"/>
      <c r="FN802" s="35"/>
      <c r="FO802" s="35"/>
      <c r="FP802" s="35"/>
      <c r="FQ802" s="35"/>
    </row>
    <row r="803" spans="1:173" s="321" customFormat="1" hidden="1" outlineLevel="1">
      <c r="A803" s="1174"/>
      <c r="D803" s="329"/>
      <c r="E803" s="22"/>
      <c r="F803" s="22"/>
      <c r="G803" s="23"/>
      <c r="H803" s="22"/>
      <c r="I803" s="22"/>
      <c r="J803" s="23"/>
      <c r="K803" s="22"/>
      <c r="L803" s="22"/>
      <c r="M803" s="23"/>
      <c r="N803" s="22"/>
      <c r="O803" s="22"/>
      <c r="P803" s="23"/>
      <c r="Q803" s="22"/>
      <c r="R803" s="22"/>
      <c r="S803" s="23"/>
      <c r="T803" s="22"/>
      <c r="U803" s="22"/>
      <c r="V803" s="23"/>
      <c r="W803" s="22"/>
      <c r="X803" s="22"/>
      <c r="Y803" s="23"/>
      <c r="Z803" s="22"/>
      <c r="AA803" s="22"/>
      <c r="AB803" s="23"/>
      <c r="AC803" s="22"/>
      <c r="AD803" s="22"/>
      <c r="AE803" s="23"/>
      <c r="AF803" s="22"/>
      <c r="AG803" s="22"/>
      <c r="AH803" s="23"/>
      <c r="AI803" s="22"/>
      <c r="AJ803" s="22"/>
      <c r="AK803" s="23"/>
      <c r="AL803" s="22"/>
      <c r="AM803" s="22"/>
      <c r="AN803" s="328"/>
      <c r="AO803" s="22"/>
      <c r="AP803" s="22"/>
      <c r="AQ803" s="328"/>
      <c r="AR803" s="22"/>
      <c r="AS803" s="22"/>
      <c r="AT803" s="328"/>
      <c r="AU803" s="22"/>
      <c r="AV803" s="22"/>
      <c r="AW803" s="328"/>
      <c r="AX803" s="993"/>
      <c r="AY803" s="993"/>
      <c r="AZ803" s="163"/>
      <c r="BA803" s="66"/>
      <c r="BB803" s="66"/>
      <c r="BC803" s="56"/>
      <c r="BD803" s="66"/>
      <c r="BE803" s="66"/>
      <c r="BF803" s="56"/>
      <c r="BG803" s="66"/>
      <c r="BH803" s="66"/>
      <c r="BI803" s="56"/>
      <c r="BJ803" s="994"/>
      <c r="BK803" s="994"/>
      <c r="BL803" s="995"/>
      <c r="BM803" s="994"/>
      <c r="BN803" s="994"/>
      <c r="BO803" s="995"/>
      <c r="BP803" s="994"/>
      <c r="BQ803" s="994"/>
      <c r="BR803" s="995"/>
      <c r="BS803" s="66"/>
      <c r="BT803" s="66"/>
      <c r="BU803" s="163"/>
      <c r="BV803" s="66"/>
      <c r="BW803" s="66"/>
      <c r="BX803" s="163"/>
      <c r="BY803" s="66"/>
      <c r="BZ803" s="66"/>
      <c r="CA803" s="163"/>
      <c r="CB803" s="66"/>
      <c r="CC803" s="66"/>
      <c r="CD803" s="163"/>
      <c r="CE803" s="66"/>
      <c r="CF803" s="66"/>
      <c r="CG803" s="163"/>
      <c r="CH803" s="66"/>
      <c r="CI803" s="66"/>
      <c r="CJ803" s="163"/>
      <c r="CK803" s="66"/>
      <c r="CL803" s="66"/>
      <c r="CM803" s="163"/>
      <c r="CN803" s="66"/>
      <c r="CO803" s="66"/>
      <c r="CP803" s="163"/>
      <c r="CQ803" s="66"/>
      <c r="CR803" s="66"/>
      <c r="CS803" s="163"/>
      <c r="CT803" s="66"/>
      <c r="CU803" s="66"/>
      <c r="CV803" s="163"/>
      <c r="CW803" s="66"/>
      <c r="CX803" s="66"/>
      <c r="CY803" s="163"/>
      <c r="CZ803" s="66"/>
      <c r="DA803" s="66"/>
      <c r="DB803" s="163"/>
      <c r="DC803" s="66"/>
      <c r="DD803" s="66"/>
      <c r="DE803" s="163"/>
      <c r="DF803" s="66"/>
      <c r="DG803" s="66"/>
      <c r="DH803" s="163"/>
      <c r="DI803" s="66"/>
      <c r="DJ803" s="66"/>
      <c r="DK803" s="163"/>
      <c r="DL803" s="66"/>
      <c r="DM803" s="66"/>
      <c r="DN803" s="163"/>
      <c r="DO803" s="66"/>
      <c r="DP803" s="66"/>
      <c r="DQ803" s="163"/>
      <c r="DR803" s="66"/>
      <c r="DS803" s="66"/>
      <c r="DT803" s="163"/>
      <c r="DU803" s="66"/>
      <c r="DV803" s="66"/>
      <c r="DW803" s="163"/>
      <c r="DX803" s="66"/>
      <c r="DY803" s="66"/>
      <c r="DZ803" s="163"/>
      <c r="EA803" s="66"/>
      <c r="EB803" s="66"/>
      <c r="EC803" s="163"/>
      <c r="ED803" s="66"/>
      <c r="EE803" s="66"/>
      <c r="EF803" s="163"/>
      <c r="EG803" s="66"/>
      <c r="EH803" s="66"/>
      <c r="EI803" s="163"/>
      <c r="EJ803" s="66"/>
      <c r="EK803" s="66"/>
      <c r="EL803" s="163"/>
      <c r="EM803" s="66"/>
      <c r="EN803" s="66"/>
      <c r="EO803" s="163"/>
      <c r="EP803" s="66"/>
      <c r="EQ803" s="66"/>
      <c r="ER803" s="163"/>
      <c r="ES803" s="66"/>
      <c r="ET803" s="66"/>
      <c r="EU803" s="163"/>
      <c r="EV803" s="66"/>
      <c r="EW803" s="66"/>
      <c r="EX803" s="163"/>
      <c r="EY803" s="66"/>
      <c r="EZ803" s="66"/>
      <c r="FA803" s="163"/>
      <c r="FH803" s="35"/>
      <c r="FI803" s="35"/>
      <c r="FJ803" s="35"/>
      <c r="FK803" s="35"/>
      <c r="FL803" s="35"/>
      <c r="FM803" s="35"/>
      <c r="FN803" s="35"/>
      <c r="FO803" s="35"/>
      <c r="FP803" s="35"/>
      <c r="FQ803" s="35"/>
    </row>
    <row r="804" spans="1:173" s="321" customFormat="1" hidden="1" outlineLevel="1">
      <c r="A804" s="1174"/>
      <c r="D804" s="329"/>
      <c r="E804" s="22"/>
      <c r="F804" s="22"/>
      <c r="G804" s="23"/>
      <c r="H804" s="22"/>
      <c r="I804" s="22"/>
      <c r="J804" s="23"/>
      <c r="K804" s="22"/>
      <c r="L804" s="22"/>
      <c r="M804" s="23"/>
      <c r="N804" s="22"/>
      <c r="O804" s="22"/>
      <c r="P804" s="23"/>
      <c r="Q804" s="22"/>
      <c r="R804" s="22"/>
      <c r="S804" s="23"/>
      <c r="T804" s="22"/>
      <c r="U804" s="22"/>
      <c r="V804" s="23"/>
      <c r="W804" s="22"/>
      <c r="X804" s="22"/>
      <c r="Y804" s="23"/>
      <c r="Z804" s="22"/>
      <c r="AA804" s="22"/>
      <c r="AB804" s="23"/>
      <c r="AC804" s="22"/>
      <c r="AD804" s="22"/>
      <c r="AE804" s="23"/>
      <c r="AF804" s="22"/>
      <c r="AG804" s="22"/>
      <c r="AH804" s="23"/>
      <c r="AI804" s="22"/>
      <c r="AJ804" s="22"/>
      <c r="AK804" s="23"/>
      <c r="AL804" s="22"/>
      <c r="AM804" s="22"/>
      <c r="AN804" s="328"/>
      <c r="AO804" s="22"/>
      <c r="AP804" s="22"/>
      <c r="AQ804" s="328"/>
      <c r="AR804" s="22"/>
      <c r="AS804" s="22"/>
      <c r="AT804" s="328"/>
      <c r="AU804" s="22"/>
      <c r="AV804" s="22"/>
      <c r="AW804" s="328"/>
      <c r="AX804" s="993"/>
      <c r="AY804" s="993"/>
      <c r="AZ804" s="163"/>
      <c r="BA804" s="66"/>
      <c r="BB804" s="66"/>
      <c r="BC804" s="56"/>
      <c r="BD804" s="66"/>
      <c r="BE804" s="66"/>
      <c r="BF804" s="56"/>
      <c r="BG804" s="66"/>
      <c r="BH804" s="66"/>
      <c r="BI804" s="56"/>
      <c r="BJ804" s="994"/>
      <c r="BK804" s="994"/>
      <c r="BL804" s="995"/>
      <c r="BM804" s="994"/>
      <c r="BN804" s="994"/>
      <c r="BO804" s="995"/>
      <c r="BP804" s="994"/>
      <c r="BQ804" s="994"/>
      <c r="BR804" s="995"/>
      <c r="BS804" s="66"/>
      <c r="BT804" s="66"/>
      <c r="BU804" s="163"/>
      <c r="BV804" s="66"/>
      <c r="BW804" s="66"/>
      <c r="BX804" s="163"/>
      <c r="BY804" s="66"/>
      <c r="BZ804" s="66"/>
      <c r="CA804" s="163"/>
      <c r="CB804" s="66"/>
      <c r="CC804" s="66"/>
      <c r="CD804" s="163"/>
      <c r="CE804" s="66"/>
      <c r="CF804" s="66"/>
      <c r="CG804" s="163"/>
      <c r="CH804" s="66"/>
      <c r="CI804" s="66"/>
      <c r="CJ804" s="163"/>
      <c r="CK804" s="66"/>
      <c r="CL804" s="66"/>
      <c r="CM804" s="163"/>
      <c r="CN804" s="66"/>
      <c r="CO804" s="66"/>
      <c r="CP804" s="163"/>
      <c r="CQ804" s="66"/>
      <c r="CR804" s="66"/>
      <c r="CS804" s="163"/>
      <c r="CT804" s="66"/>
      <c r="CU804" s="66"/>
      <c r="CV804" s="163"/>
      <c r="CW804" s="66"/>
      <c r="CX804" s="66"/>
      <c r="CY804" s="163"/>
      <c r="CZ804" s="66"/>
      <c r="DA804" s="66"/>
      <c r="DB804" s="163"/>
      <c r="DC804" s="66"/>
      <c r="DD804" s="66"/>
      <c r="DE804" s="163"/>
      <c r="DF804" s="66"/>
      <c r="DG804" s="66"/>
      <c r="DH804" s="163"/>
      <c r="DI804" s="66"/>
      <c r="DJ804" s="66"/>
      <c r="DK804" s="163"/>
      <c r="DL804" s="66"/>
      <c r="DM804" s="66"/>
      <c r="DN804" s="163"/>
      <c r="DO804" s="66"/>
      <c r="DP804" s="66"/>
      <c r="DQ804" s="163"/>
      <c r="DR804" s="66"/>
      <c r="DS804" s="66"/>
      <c r="DT804" s="163"/>
      <c r="DU804" s="66"/>
      <c r="DV804" s="66"/>
      <c r="DW804" s="163"/>
      <c r="DX804" s="66"/>
      <c r="DY804" s="66"/>
      <c r="DZ804" s="163"/>
      <c r="EA804" s="66"/>
      <c r="EB804" s="66"/>
      <c r="EC804" s="163"/>
      <c r="ED804" s="66"/>
      <c r="EE804" s="66"/>
      <c r="EF804" s="163"/>
      <c r="EG804" s="66"/>
      <c r="EH804" s="66"/>
      <c r="EI804" s="163"/>
      <c r="EJ804" s="66"/>
      <c r="EK804" s="66"/>
      <c r="EL804" s="163"/>
      <c r="EM804" s="66"/>
      <c r="EN804" s="66"/>
      <c r="EO804" s="163"/>
      <c r="EP804" s="66"/>
      <c r="EQ804" s="66"/>
      <c r="ER804" s="163"/>
      <c r="ES804" s="66"/>
      <c r="ET804" s="66"/>
      <c r="EU804" s="163"/>
      <c r="EV804" s="66"/>
      <c r="EW804" s="66"/>
      <c r="EX804" s="163"/>
      <c r="EY804" s="66"/>
      <c r="EZ804" s="66"/>
      <c r="FA804" s="163"/>
      <c r="FH804" s="35"/>
      <c r="FI804" s="35"/>
      <c r="FJ804" s="35"/>
      <c r="FK804" s="35"/>
      <c r="FL804" s="35"/>
      <c r="FM804" s="35"/>
      <c r="FN804" s="35"/>
      <c r="FO804" s="35"/>
      <c r="FP804" s="35"/>
      <c r="FQ804" s="35"/>
    </row>
    <row r="805" spans="1:173" s="321" customFormat="1" hidden="1" outlineLevel="1">
      <c r="A805" s="1174"/>
      <c r="D805" s="329"/>
      <c r="E805" s="22"/>
      <c r="F805" s="22"/>
      <c r="G805" s="23"/>
      <c r="H805" s="22"/>
      <c r="I805" s="22"/>
      <c r="J805" s="23"/>
      <c r="K805" s="22"/>
      <c r="L805" s="22"/>
      <c r="M805" s="23"/>
      <c r="N805" s="22"/>
      <c r="O805" s="22"/>
      <c r="P805" s="23"/>
      <c r="Q805" s="22"/>
      <c r="R805" s="22"/>
      <c r="S805" s="23"/>
      <c r="T805" s="22"/>
      <c r="U805" s="22"/>
      <c r="V805" s="23"/>
      <c r="W805" s="22"/>
      <c r="X805" s="22"/>
      <c r="Y805" s="23"/>
      <c r="Z805" s="22"/>
      <c r="AA805" s="22"/>
      <c r="AB805" s="23"/>
      <c r="AC805" s="22"/>
      <c r="AD805" s="22"/>
      <c r="AE805" s="23"/>
      <c r="AF805" s="22"/>
      <c r="AG805" s="22"/>
      <c r="AH805" s="23"/>
      <c r="AI805" s="22"/>
      <c r="AJ805" s="22"/>
      <c r="AK805" s="23"/>
      <c r="AL805" s="22"/>
      <c r="AM805" s="22"/>
      <c r="AN805" s="328"/>
      <c r="AO805" s="22"/>
      <c r="AP805" s="22"/>
      <c r="AQ805" s="328"/>
      <c r="AR805" s="22"/>
      <c r="AS805" s="22"/>
      <c r="AT805" s="328"/>
      <c r="AU805" s="22"/>
      <c r="AV805" s="22"/>
      <c r="AW805" s="328"/>
      <c r="AX805" s="993"/>
      <c r="AY805" s="993"/>
      <c r="AZ805" s="163"/>
      <c r="BA805" s="66"/>
      <c r="BB805" s="66"/>
      <c r="BC805" s="56"/>
      <c r="BD805" s="66"/>
      <c r="BE805" s="66"/>
      <c r="BF805" s="56"/>
      <c r="BG805" s="66"/>
      <c r="BH805" s="66"/>
      <c r="BI805" s="56"/>
      <c r="BJ805" s="994"/>
      <c r="BK805" s="994"/>
      <c r="BL805" s="995"/>
      <c r="BM805" s="994"/>
      <c r="BN805" s="994"/>
      <c r="BO805" s="995"/>
      <c r="BP805" s="994"/>
      <c r="BQ805" s="994"/>
      <c r="BR805" s="995"/>
      <c r="BS805" s="66"/>
      <c r="BT805" s="66"/>
      <c r="BU805" s="163"/>
      <c r="BV805" s="66"/>
      <c r="BW805" s="66"/>
      <c r="BX805" s="163"/>
      <c r="BY805" s="66"/>
      <c r="BZ805" s="66"/>
      <c r="CA805" s="163"/>
      <c r="CB805" s="66"/>
      <c r="CC805" s="66"/>
      <c r="CD805" s="163"/>
      <c r="CE805" s="66"/>
      <c r="CF805" s="66"/>
      <c r="CG805" s="163"/>
      <c r="CH805" s="66"/>
      <c r="CI805" s="66"/>
      <c r="CJ805" s="163"/>
      <c r="CK805" s="66"/>
      <c r="CL805" s="66"/>
      <c r="CM805" s="163"/>
      <c r="CN805" s="66"/>
      <c r="CO805" s="66"/>
      <c r="CP805" s="163"/>
      <c r="CQ805" s="66"/>
      <c r="CR805" s="66"/>
      <c r="CS805" s="163"/>
      <c r="CT805" s="66"/>
      <c r="CU805" s="66"/>
      <c r="CV805" s="163"/>
      <c r="CW805" s="66"/>
      <c r="CX805" s="66"/>
      <c r="CY805" s="163"/>
      <c r="CZ805" s="66"/>
      <c r="DA805" s="66"/>
      <c r="DB805" s="163"/>
      <c r="DC805" s="66"/>
      <c r="DD805" s="66"/>
      <c r="DE805" s="163"/>
      <c r="DF805" s="66"/>
      <c r="DG805" s="66"/>
      <c r="DH805" s="163"/>
      <c r="DI805" s="66"/>
      <c r="DJ805" s="66"/>
      <c r="DK805" s="163"/>
      <c r="DL805" s="66"/>
      <c r="DM805" s="66"/>
      <c r="DN805" s="163"/>
      <c r="DO805" s="66"/>
      <c r="DP805" s="66"/>
      <c r="DQ805" s="163"/>
      <c r="DR805" s="66"/>
      <c r="DS805" s="66"/>
      <c r="DT805" s="163"/>
      <c r="DU805" s="66"/>
      <c r="DV805" s="66"/>
      <c r="DW805" s="163"/>
      <c r="DX805" s="66"/>
      <c r="DY805" s="66"/>
      <c r="DZ805" s="163"/>
      <c r="EA805" s="66"/>
      <c r="EB805" s="66"/>
      <c r="EC805" s="163"/>
      <c r="ED805" s="66"/>
      <c r="EE805" s="66"/>
      <c r="EF805" s="163"/>
      <c r="EG805" s="66"/>
      <c r="EH805" s="66"/>
      <c r="EI805" s="163"/>
      <c r="EJ805" s="66"/>
      <c r="EK805" s="66"/>
      <c r="EL805" s="163"/>
      <c r="EM805" s="66"/>
      <c r="EN805" s="66"/>
      <c r="EO805" s="163"/>
      <c r="EP805" s="66"/>
      <c r="EQ805" s="66"/>
      <c r="ER805" s="163"/>
      <c r="ES805" s="66"/>
      <c r="ET805" s="66"/>
      <c r="EU805" s="163"/>
      <c r="EV805" s="66"/>
      <c r="EW805" s="66"/>
      <c r="EX805" s="163"/>
      <c r="EY805" s="66"/>
      <c r="EZ805" s="66"/>
      <c r="FA805" s="163"/>
      <c r="FH805" s="35"/>
      <c r="FI805" s="35"/>
      <c r="FJ805" s="35"/>
      <c r="FK805" s="35"/>
      <c r="FL805" s="35"/>
      <c r="FM805" s="35"/>
      <c r="FN805" s="35"/>
      <c r="FO805" s="35"/>
      <c r="FP805" s="35"/>
      <c r="FQ805" s="35"/>
    </row>
    <row r="806" spans="1:173" s="321" customFormat="1" hidden="1" outlineLevel="1">
      <c r="A806" s="1174"/>
      <c r="D806" s="329"/>
      <c r="E806" s="22"/>
      <c r="F806" s="22"/>
      <c r="G806" s="23"/>
      <c r="H806" s="22"/>
      <c r="I806" s="22"/>
      <c r="J806" s="23"/>
      <c r="K806" s="22"/>
      <c r="L806" s="22"/>
      <c r="M806" s="23"/>
      <c r="N806" s="22"/>
      <c r="O806" s="22"/>
      <c r="P806" s="23"/>
      <c r="Q806" s="22"/>
      <c r="R806" s="22"/>
      <c r="S806" s="23"/>
      <c r="T806" s="22"/>
      <c r="U806" s="22"/>
      <c r="V806" s="23"/>
      <c r="W806" s="22"/>
      <c r="X806" s="22"/>
      <c r="Y806" s="23"/>
      <c r="Z806" s="22"/>
      <c r="AA806" s="22"/>
      <c r="AB806" s="23"/>
      <c r="AC806" s="22"/>
      <c r="AD806" s="22"/>
      <c r="AE806" s="23"/>
      <c r="AF806" s="22"/>
      <c r="AG806" s="22"/>
      <c r="AH806" s="23"/>
      <c r="AI806" s="22"/>
      <c r="AJ806" s="22"/>
      <c r="AK806" s="23"/>
      <c r="AL806" s="22"/>
      <c r="AM806" s="22"/>
      <c r="AN806" s="328"/>
      <c r="AO806" s="22"/>
      <c r="AP806" s="22"/>
      <c r="AQ806" s="328"/>
      <c r="AR806" s="22"/>
      <c r="AS806" s="22"/>
      <c r="AT806" s="328"/>
      <c r="AU806" s="22"/>
      <c r="AV806" s="22"/>
      <c r="AW806" s="328"/>
      <c r="AX806" s="993"/>
      <c r="AY806" s="993"/>
      <c r="AZ806" s="163"/>
      <c r="BA806" s="66"/>
      <c r="BB806" s="66"/>
      <c r="BC806" s="56"/>
      <c r="BD806" s="66"/>
      <c r="BE806" s="66"/>
      <c r="BF806" s="56"/>
      <c r="BG806" s="66"/>
      <c r="BH806" s="66"/>
      <c r="BI806" s="56"/>
      <c r="BJ806" s="994"/>
      <c r="BK806" s="994"/>
      <c r="BL806" s="995"/>
      <c r="BM806" s="994"/>
      <c r="BN806" s="994"/>
      <c r="BO806" s="995"/>
      <c r="BP806" s="994"/>
      <c r="BQ806" s="994"/>
      <c r="BR806" s="995"/>
      <c r="BS806" s="66"/>
      <c r="BT806" s="66"/>
      <c r="BU806" s="163"/>
      <c r="BV806" s="66"/>
      <c r="BW806" s="66"/>
      <c r="BX806" s="163"/>
      <c r="BY806" s="66"/>
      <c r="BZ806" s="66"/>
      <c r="CA806" s="163"/>
      <c r="CB806" s="66"/>
      <c r="CC806" s="66"/>
      <c r="CD806" s="163"/>
      <c r="CE806" s="66"/>
      <c r="CF806" s="66"/>
      <c r="CG806" s="163"/>
      <c r="CH806" s="66"/>
      <c r="CI806" s="66"/>
      <c r="CJ806" s="163"/>
      <c r="CK806" s="66"/>
      <c r="CL806" s="66"/>
      <c r="CM806" s="163"/>
      <c r="CN806" s="66"/>
      <c r="CO806" s="66"/>
      <c r="CP806" s="163"/>
      <c r="CQ806" s="66"/>
      <c r="CR806" s="66"/>
      <c r="CS806" s="163"/>
      <c r="CT806" s="66"/>
      <c r="CU806" s="66"/>
      <c r="CV806" s="163"/>
      <c r="CW806" s="66"/>
      <c r="CX806" s="66"/>
      <c r="CY806" s="163"/>
      <c r="CZ806" s="66"/>
      <c r="DA806" s="66"/>
      <c r="DB806" s="163"/>
      <c r="DC806" s="66"/>
      <c r="DD806" s="66"/>
      <c r="DE806" s="163"/>
      <c r="DF806" s="66"/>
      <c r="DG806" s="66"/>
      <c r="DH806" s="163"/>
      <c r="DI806" s="66"/>
      <c r="DJ806" s="66"/>
      <c r="DK806" s="163"/>
      <c r="DL806" s="66"/>
      <c r="DM806" s="66"/>
      <c r="DN806" s="163"/>
      <c r="DO806" s="66"/>
      <c r="DP806" s="66"/>
      <c r="DQ806" s="163"/>
      <c r="DR806" s="66"/>
      <c r="DS806" s="66"/>
      <c r="DT806" s="163"/>
      <c r="DU806" s="66"/>
      <c r="DV806" s="66"/>
      <c r="DW806" s="163"/>
      <c r="DX806" s="66"/>
      <c r="DY806" s="66"/>
      <c r="DZ806" s="163"/>
      <c r="EA806" s="66"/>
      <c r="EB806" s="66"/>
      <c r="EC806" s="163"/>
      <c r="ED806" s="66"/>
      <c r="EE806" s="66"/>
      <c r="EF806" s="163"/>
      <c r="EG806" s="66"/>
      <c r="EH806" s="66"/>
      <c r="EI806" s="163"/>
      <c r="EJ806" s="66"/>
      <c r="EK806" s="66"/>
      <c r="EL806" s="163"/>
      <c r="EM806" s="66"/>
      <c r="EN806" s="66"/>
      <c r="EO806" s="163"/>
      <c r="EP806" s="66"/>
      <c r="EQ806" s="66"/>
      <c r="ER806" s="163"/>
      <c r="ES806" s="66"/>
      <c r="ET806" s="66"/>
      <c r="EU806" s="163"/>
      <c r="EV806" s="66"/>
      <c r="EW806" s="66"/>
      <c r="EX806" s="163"/>
      <c r="EY806" s="66"/>
      <c r="EZ806" s="66"/>
      <c r="FA806" s="163"/>
      <c r="FH806" s="35"/>
      <c r="FI806" s="35"/>
      <c r="FJ806" s="35"/>
      <c r="FK806" s="35"/>
      <c r="FL806" s="35"/>
      <c r="FM806" s="35"/>
      <c r="FN806" s="35"/>
      <c r="FO806" s="35"/>
      <c r="FP806" s="35"/>
      <c r="FQ806" s="35"/>
    </row>
    <row r="807" spans="1:173" s="321" customFormat="1" hidden="1" outlineLevel="1">
      <c r="A807" s="1174"/>
      <c r="D807" s="329"/>
      <c r="E807" s="22"/>
      <c r="F807" s="22"/>
      <c r="G807" s="23"/>
      <c r="H807" s="22"/>
      <c r="I807" s="22"/>
      <c r="J807" s="23"/>
      <c r="K807" s="22"/>
      <c r="L807" s="22"/>
      <c r="M807" s="23"/>
      <c r="N807" s="22"/>
      <c r="O807" s="22"/>
      <c r="P807" s="23"/>
      <c r="Q807" s="22"/>
      <c r="R807" s="22"/>
      <c r="S807" s="23"/>
      <c r="T807" s="22"/>
      <c r="U807" s="22"/>
      <c r="V807" s="23"/>
      <c r="W807" s="22"/>
      <c r="X807" s="22"/>
      <c r="Y807" s="23"/>
      <c r="Z807" s="22"/>
      <c r="AA807" s="22"/>
      <c r="AB807" s="23"/>
      <c r="AC807" s="22"/>
      <c r="AD807" s="22"/>
      <c r="AE807" s="23"/>
      <c r="AF807" s="22"/>
      <c r="AG807" s="22"/>
      <c r="AH807" s="23"/>
      <c r="AI807" s="22"/>
      <c r="AJ807" s="22"/>
      <c r="AK807" s="23"/>
      <c r="AL807" s="22"/>
      <c r="AM807" s="22"/>
      <c r="AN807" s="328"/>
      <c r="AO807" s="22"/>
      <c r="AP807" s="22"/>
      <c r="AQ807" s="328"/>
      <c r="AR807" s="22"/>
      <c r="AS807" s="22"/>
      <c r="AT807" s="328"/>
      <c r="AU807" s="22"/>
      <c r="AV807" s="22"/>
      <c r="AW807" s="328"/>
      <c r="AX807" s="993"/>
      <c r="AY807" s="993"/>
      <c r="AZ807" s="163"/>
      <c r="BA807" s="66"/>
      <c r="BB807" s="66"/>
      <c r="BC807" s="56"/>
      <c r="BD807" s="66"/>
      <c r="BE807" s="66"/>
      <c r="BF807" s="56"/>
      <c r="BG807" s="66"/>
      <c r="BH807" s="66"/>
      <c r="BI807" s="56"/>
      <c r="BJ807" s="994"/>
      <c r="BK807" s="994"/>
      <c r="BL807" s="995"/>
      <c r="BM807" s="994"/>
      <c r="BN807" s="994"/>
      <c r="BO807" s="995"/>
      <c r="BP807" s="994"/>
      <c r="BQ807" s="994"/>
      <c r="BR807" s="995"/>
      <c r="BS807" s="66"/>
      <c r="BT807" s="66"/>
      <c r="BU807" s="163"/>
      <c r="BV807" s="66"/>
      <c r="BW807" s="66"/>
      <c r="BX807" s="163"/>
      <c r="BY807" s="66"/>
      <c r="BZ807" s="66"/>
      <c r="CA807" s="163"/>
      <c r="CB807" s="66"/>
      <c r="CC807" s="66"/>
      <c r="CD807" s="163"/>
      <c r="CE807" s="66"/>
      <c r="CF807" s="66"/>
      <c r="CG807" s="163"/>
      <c r="CH807" s="66"/>
      <c r="CI807" s="66"/>
      <c r="CJ807" s="163"/>
      <c r="CK807" s="66"/>
      <c r="CL807" s="66"/>
      <c r="CM807" s="163"/>
      <c r="CN807" s="66"/>
      <c r="CO807" s="66"/>
      <c r="CP807" s="163"/>
      <c r="CQ807" s="66"/>
      <c r="CR807" s="66"/>
      <c r="CS807" s="163"/>
      <c r="CT807" s="66"/>
      <c r="CU807" s="66"/>
      <c r="CV807" s="163"/>
      <c r="CW807" s="66"/>
      <c r="CX807" s="66"/>
      <c r="CY807" s="163"/>
      <c r="CZ807" s="66"/>
      <c r="DA807" s="66"/>
      <c r="DB807" s="163"/>
      <c r="DC807" s="66"/>
      <c r="DD807" s="66"/>
      <c r="DE807" s="163"/>
      <c r="DF807" s="66"/>
      <c r="DG807" s="66"/>
      <c r="DH807" s="163"/>
      <c r="DI807" s="66"/>
      <c r="DJ807" s="66"/>
      <c r="DK807" s="163"/>
      <c r="DL807" s="66"/>
      <c r="DM807" s="66"/>
      <c r="DN807" s="163"/>
      <c r="DO807" s="66"/>
      <c r="DP807" s="66"/>
      <c r="DQ807" s="163"/>
      <c r="DR807" s="66"/>
      <c r="DS807" s="66"/>
      <c r="DT807" s="163"/>
      <c r="DU807" s="66"/>
      <c r="DV807" s="66"/>
      <c r="DW807" s="163"/>
      <c r="DX807" s="66"/>
      <c r="DY807" s="66"/>
      <c r="DZ807" s="163"/>
      <c r="EA807" s="66"/>
      <c r="EB807" s="66"/>
      <c r="EC807" s="163"/>
      <c r="ED807" s="66"/>
      <c r="EE807" s="66"/>
      <c r="EF807" s="163"/>
      <c r="EG807" s="66"/>
      <c r="EH807" s="66"/>
      <c r="EI807" s="163"/>
      <c r="EJ807" s="66"/>
      <c r="EK807" s="66"/>
      <c r="EL807" s="163"/>
      <c r="EM807" s="66"/>
      <c r="EN807" s="66"/>
      <c r="EO807" s="163"/>
      <c r="EP807" s="66"/>
      <c r="EQ807" s="66"/>
      <c r="ER807" s="163"/>
      <c r="ES807" s="66"/>
      <c r="ET807" s="66"/>
      <c r="EU807" s="163"/>
      <c r="EV807" s="66"/>
      <c r="EW807" s="66"/>
      <c r="EX807" s="163"/>
      <c r="EY807" s="66"/>
      <c r="EZ807" s="66"/>
      <c r="FA807" s="163"/>
      <c r="FH807" s="35"/>
      <c r="FI807" s="35"/>
      <c r="FJ807" s="35"/>
      <c r="FK807" s="35"/>
      <c r="FL807" s="35"/>
      <c r="FM807" s="35"/>
      <c r="FN807" s="35"/>
      <c r="FO807" s="35"/>
      <c r="FP807" s="35"/>
      <c r="FQ807" s="35"/>
    </row>
    <row r="808" spans="1:173" s="321" customFormat="1" hidden="1" outlineLevel="1">
      <c r="A808" s="1168"/>
      <c r="B808" s="68" t="s">
        <v>654</v>
      </c>
      <c r="C808" s="186"/>
      <c r="D808" s="329"/>
      <c r="E808" s="1"/>
      <c r="F808" s="1"/>
      <c r="G808" s="5"/>
      <c r="H808" s="1"/>
      <c r="I808" s="1"/>
      <c r="J808" s="5"/>
      <c r="K808" s="1"/>
      <c r="L808" s="1"/>
      <c r="M808" s="5"/>
      <c r="N808" s="1"/>
      <c r="O808" s="1"/>
      <c r="P808" s="5"/>
      <c r="Q808" s="1"/>
      <c r="R808" s="1"/>
      <c r="S808" s="5"/>
      <c r="T808" s="1"/>
      <c r="U808" s="1"/>
      <c r="V808" s="5"/>
      <c r="W808" s="1"/>
      <c r="X808" s="1"/>
      <c r="Y808" s="5"/>
      <c r="Z808" s="1"/>
      <c r="AA808" s="1"/>
      <c r="AB808" s="5"/>
      <c r="AC808" s="1"/>
      <c r="AD808" s="1"/>
      <c r="AE808" s="5"/>
      <c r="AF808" s="1"/>
      <c r="AG808" s="1"/>
      <c r="AH808" s="5"/>
      <c r="AI808" s="1"/>
      <c r="AJ808" s="1"/>
      <c r="AK808" s="10">
        <v>0.21060000000000001</v>
      </c>
      <c r="AL808" s="1"/>
      <c r="AM808" s="1"/>
      <c r="AN808" s="10">
        <f>AK808</f>
        <v>0.21060000000000001</v>
      </c>
      <c r="AO808" s="1"/>
      <c r="AP808" s="1"/>
      <c r="AQ808" s="10">
        <f>AN808</f>
        <v>0.21060000000000001</v>
      </c>
      <c r="AR808" s="1"/>
      <c r="AS808" s="1"/>
      <c r="AT808" s="10">
        <f>AQ808</f>
        <v>0.21060000000000001</v>
      </c>
      <c r="AU808" s="1"/>
      <c r="AV808" s="1"/>
      <c r="AW808" s="10">
        <f>AT808</f>
        <v>0.21060000000000001</v>
      </c>
      <c r="AX808" s="1"/>
      <c r="AY808" s="1"/>
      <c r="AZ808" s="163"/>
      <c r="BA808" s="66"/>
      <c r="BB808" s="66"/>
      <c r="BC808" s="56"/>
      <c r="BD808" s="66"/>
      <c r="BE808" s="66"/>
      <c r="BF808" s="56"/>
      <c r="BG808" s="66"/>
      <c r="BH808" s="66"/>
      <c r="BI808" s="56"/>
      <c r="BJ808" s="994"/>
      <c r="BK808" s="994"/>
      <c r="BL808" s="995"/>
      <c r="BM808" s="994"/>
      <c r="BN808" s="994"/>
      <c r="BO808" s="995"/>
      <c r="BP808" s="994"/>
      <c r="BQ808" s="994"/>
      <c r="BR808" s="995"/>
      <c r="BS808" s="66"/>
      <c r="BT808" s="66"/>
      <c r="BU808" s="163"/>
      <c r="BV808" s="66"/>
      <c r="BW808" s="66"/>
      <c r="BX808" s="163"/>
      <c r="BY808" s="66"/>
      <c r="BZ808" s="66"/>
      <c r="CA808" s="163"/>
      <c r="CB808" s="66"/>
      <c r="CC808" s="66"/>
      <c r="CD808" s="163"/>
      <c r="CE808" s="66"/>
      <c r="CF808" s="66"/>
      <c r="CG808" s="163"/>
      <c r="CH808" s="66"/>
      <c r="CI808" s="66"/>
      <c r="CJ808" s="163"/>
      <c r="CK808" s="66"/>
      <c r="CL808" s="66"/>
      <c r="CM808" s="163"/>
      <c r="CN808" s="66"/>
      <c r="CO808" s="66"/>
      <c r="CP808" s="163"/>
      <c r="CQ808" s="66"/>
      <c r="CR808" s="66"/>
      <c r="CS808" s="163"/>
      <c r="CT808" s="66"/>
      <c r="CU808" s="66"/>
      <c r="CV808" s="163"/>
      <c r="CW808" s="66"/>
      <c r="CX808" s="66"/>
      <c r="CY808" s="163"/>
      <c r="CZ808" s="66"/>
      <c r="DA808" s="66"/>
      <c r="DB808" s="163"/>
      <c r="DC808" s="66"/>
      <c r="DD808" s="66"/>
      <c r="DE808" s="163"/>
      <c r="DF808" s="66"/>
      <c r="DG808" s="66"/>
      <c r="DH808" s="163"/>
      <c r="DI808" s="66"/>
      <c r="DJ808" s="66"/>
      <c r="DK808" s="163"/>
      <c r="DL808" s="66"/>
      <c r="DM808" s="66"/>
      <c r="DN808" s="163"/>
      <c r="DO808" s="66"/>
      <c r="DP808" s="66"/>
      <c r="DQ808" s="163"/>
      <c r="DR808" s="66"/>
      <c r="DS808" s="66"/>
      <c r="DT808" s="163"/>
      <c r="DU808" s="66"/>
      <c r="DV808" s="66"/>
      <c r="DW808" s="163"/>
      <c r="DX808" s="66"/>
      <c r="DY808" s="66"/>
      <c r="DZ808" s="163"/>
      <c r="EA808" s="66"/>
      <c r="EB808" s="66"/>
      <c r="EC808" s="163"/>
      <c r="ED808" s="66"/>
      <c r="EE808" s="66"/>
      <c r="EF808" s="163"/>
      <c r="EG808" s="66"/>
      <c r="EH808" s="66"/>
      <c r="EI808" s="163"/>
      <c r="EJ808" s="66"/>
      <c r="EK808" s="66"/>
      <c r="EL808" s="163"/>
      <c r="EM808" s="66"/>
      <c r="EN808" s="66"/>
      <c r="EO808" s="163"/>
      <c r="EP808" s="66"/>
      <c r="EQ808" s="66"/>
      <c r="ER808" s="163"/>
      <c r="ES808" s="66"/>
      <c r="ET808" s="66"/>
      <c r="EU808" s="163"/>
      <c r="EV808" s="66"/>
      <c r="EW808" s="66"/>
      <c r="EX808" s="163"/>
      <c r="EY808" s="66"/>
      <c r="EZ808" s="66"/>
      <c r="FA808" s="163"/>
      <c r="FH808" s="35"/>
      <c r="FI808" s="35"/>
      <c r="FJ808" s="35"/>
      <c r="FK808" s="35"/>
      <c r="FL808" s="35"/>
      <c r="FM808" s="35"/>
      <c r="FN808" s="35"/>
      <c r="FO808" s="35"/>
      <c r="FP808" s="35"/>
      <c r="FQ808" s="35"/>
    </row>
    <row r="809" spans="1:173" s="321" customFormat="1" hidden="1" outlineLevel="1">
      <c r="A809" s="1168"/>
      <c r="B809" s="186"/>
      <c r="C809" s="331" t="s">
        <v>191</v>
      </c>
      <c r="D809" s="910"/>
      <c r="E809" s="1"/>
      <c r="F809" s="1"/>
      <c r="G809" s="5"/>
      <c r="H809" s="1"/>
      <c r="I809" s="1"/>
      <c r="J809" s="5"/>
      <c r="K809" s="1"/>
      <c r="L809" s="1"/>
      <c r="M809" s="5"/>
      <c r="N809" s="1"/>
      <c r="O809" s="1"/>
      <c r="P809" s="5"/>
      <c r="Q809" s="1"/>
      <c r="R809" s="1"/>
      <c r="S809" s="5"/>
      <c r="T809" s="1"/>
      <c r="U809" s="1"/>
      <c r="V809" s="5"/>
      <c r="W809" s="1"/>
      <c r="X809" s="1"/>
      <c r="Y809" s="5"/>
      <c r="Z809" s="1"/>
      <c r="AA809" s="1"/>
      <c r="AB809" s="5"/>
      <c r="AC809" s="1"/>
      <c r="AD809" s="1"/>
      <c r="AE809" s="5"/>
      <c r="AF809" s="1"/>
      <c r="AG809" s="1"/>
      <c r="AH809" s="5"/>
      <c r="AI809" s="1"/>
      <c r="AJ809" s="1"/>
      <c r="AK809" s="5"/>
      <c r="AL809" s="1"/>
      <c r="AM809" s="1"/>
      <c r="AN809" s="5"/>
      <c r="AO809" s="1"/>
      <c r="AP809" s="1"/>
      <c r="AQ809" s="5"/>
      <c r="AR809" s="1"/>
      <c r="AS809" s="1"/>
      <c r="AT809" s="5"/>
      <c r="AU809" s="1"/>
      <c r="AV809" s="1"/>
      <c r="AW809" s="5"/>
      <c r="AX809" s="3"/>
      <c r="AY809" s="185"/>
      <c r="AZ809" s="2"/>
      <c r="BA809" s="3"/>
      <c r="BB809" s="3"/>
      <c r="BC809" s="973"/>
      <c r="BD809" s="3"/>
      <c r="BE809" s="3"/>
      <c r="BF809" s="973"/>
      <c r="BG809" s="3"/>
      <c r="BH809" s="3"/>
      <c r="BI809" s="978"/>
      <c r="BJ809" s="115"/>
      <c r="BK809" s="115"/>
      <c r="BL809" s="116"/>
      <c r="BM809" s="115"/>
      <c r="BN809" s="115"/>
      <c r="BO809" s="116"/>
      <c r="BP809" s="115"/>
      <c r="BQ809" s="115"/>
      <c r="BR809" s="116"/>
      <c r="BS809" s="8"/>
      <c r="BT809" s="8"/>
      <c r="BU809" s="187"/>
      <c r="BV809" s="8"/>
      <c r="BW809" s="8"/>
      <c r="BX809" s="187"/>
      <c r="BY809" s="8"/>
      <c r="BZ809" s="8"/>
      <c r="CA809" s="187"/>
      <c r="CB809" s="8"/>
      <c r="CC809" s="8"/>
      <c r="CD809" s="187"/>
      <c r="CE809" s="8"/>
      <c r="CF809" s="8"/>
      <c r="CG809" s="187"/>
      <c r="CH809" s="8"/>
      <c r="CI809" s="8"/>
      <c r="CJ809" s="187"/>
      <c r="CK809" s="8"/>
      <c r="CL809" s="8"/>
      <c r="CM809" s="187"/>
      <c r="CN809" s="8"/>
      <c r="CO809" s="8"/>
      <c r="CP809" s="187"/>
      <c r="CQ809" s="8"/>
      <c r="CR809" s="8"/>
      <c r="CS809" s="187"/>
      <c r="CT809" s="8"/>
      <c r="CU809" s="8"/>
      <c r="CV809" s="187"/>
      <c r="CW809" s="8"/>
      <c r="CX809" s="8"/>
      <c r="CY809" s="187"/>
      <c r="CZ809" s="8"/>
      <c r="DA809" s="8"/>
      <c r="DB809" s="187"/>
      <c r="DC809" s="8"/>
      <c r="DD809" s="8"/>
      <c r="DE809" s="187"/>
      <c r="DF809" s="8"/>
      <c r="DG809" s="8"/>
      <c r="DH809" s="187"/>
      <c r="DI809" s="8"/>
      <c r="DJ809" s="8"/>
      <c r="DK809" s="187"/>
      <c r="DL809" s="8"/>
      <c r="DM809" s="8"/>
      <c r="DN809" s="187"/>
      <c r="DO809" s="8"/>
      <c r="DP809" s="8"/>
      <c r="DQ809" s="187"/>
      <c r="DR809" s="8"/>
      <c r="DS809" s="8"/>
      <c r="DT809" s="187"/>
      <c r="DU809" s="8"/>
      <c r="DV809" s="8"/>
      <c r="DW809" s="187"/>
      <c r="DX809" s="8"/>
      <c r="DY809" s="8"/>
      <c r="DZ809" s="187"/>
      <c r="EA809" s="8"/>
      <c r="EB809" s="8"/>
      <c r="EC809" s="187"/>
      <c r="ED809" s="8"/>
      <c r="EE809" s="8"/>
      <c r="EF809" s="187"/>
      <c r="EG809" s="8"/>
      <c r="EH809" s="8"/>
      <c r="EI809" s="187"/>
      <c r="EJ809" s="8"/>
      <c r="EK809" s="8"/>
      <c r="EL809" s="187"/>
      <c r="EM809" s="8"/>
      <c r="EN809" s="8"/>
      <c r="EO809" s="187"/>
      <c r="EP809" s="8"/>
      <c r="EQ809" s="8"/>
      <c r="ER809" s="187"/>
      <c r="ES809" s="8"/>
      <c r="ET809" s="8"/>
      <c r="EU809" s="187"/>
      <c r="EV809" s="8"/>
      <c r="EW809" s="8"/>
      <c r="EX809" s="187"/>
      <c r="EY809" s="8"/>
      <c r="EZ809" s="8"/>
      <c r="FA809" s="187"/>
      <c r="FH809" s="35"/>
      <c r="FI809" s="35"/>
      <c r="FJ809" s="35"/>
      <c r="FK809" s="35"/>
      <c r="FL809" s="35"/>
      <c r="FM809" s="35"/>
      <c r="FN809" s="35"/>
      <c r="FO809" s="35"/>
      <c r="FP809" s="35"/>
      <c r="FQ809" s="35"/>
    </row>
    <row r="810" spans="1:173" s="321" customFormat="1" hidden="1" outlineLevel="1">
      <c r="A810" s="1168"/>
      <c r="B810" s="186"/>
      <c r="C810" s="186" t="s">
        <v>316</v>
      </c>
      <c r="D810" s="910"/>
      <c r="E810" s="1"/>
      <c r="F810" s="1"/>
      <c r="G810" s="5"/>
      <c r="H810" s="1"/>
      <c r="I810" s="1"/>
      <c r="J810" s="5"/>
      <c r="K810" s="1"/>
      <c r="L810" s="1"/>
      <c r="M810" s="5"/>
      <c r="N810" s="1"/>
      <c r="O810" s="1"/>
      <c r="P810" s="5"/>
      <c r="Q810" s="1"/>
      <c r="R810" s="1"/>
      <c r="S810" s="5"/>
      <c r="T810" s="1"/>
      <c r="U810" s="1"/>
      <c r="V810" s="5"/>
      <c r="W810" s="1"/>
      <c r="X810" s="1"/>
      <c r="Y810" s="5"/>
      <c r="Z810" s="1"/>
      <c r="AA810" s="1"/>
      <c r="AB810" s="5"/>
      <c r="AC810" s="1"/>
      <c r="AD810" s="1"/>
      <c r="AE810" s="5"/>
      <c r="AF810" s="1"/>
      <c r="AG810" s="1"/>
      <c r="AH810" s="5"/>
      <c r="AI810" s="1"/>
      <c r="AJ810" s="1"/>
      <c r="AK810" s="5"/>
      <c r="AL810" s="1"/>
      <c r="AM810" s="1"/>
      <c r="AN810" s="5"/>
      <c r="AO810" s="1"/>
      <c r="AP810" s="1"/>
      <c r="AQ810" s="5"/>
      <c r="AR810" s="1"/>
      <c r="AS810" s="1"/>
      <c r="AT810" s="5"/>
      <c r="AU810" s="1"/>
      <c r="AV810" s="1"/>
      <c r="AW810" s="5"/>
      <c r="AX810" s="185">
        <v>0.5</v>
      </c>
      <c r="AY810" s="185">
        <f t="shared" ref="AY810:CD810" si="3417">AX810</f>
        <v>0.5</v>
      </c>
      <c r="AZ810" s="185">
        <f t="shared" si="3417"/>
        <v>0.5</v>
      </c>
      <c r="BA810" s="4">
        <f t="shared" si="3417"/>
        <v>0.5</v>
      </c>
      <c r="BB810" s="4">
        <f t="shared" si="3417"/>
        <v>0.5</v>
      </c>
      <c r="BC810" s="971">
        <f t="shared" si="3417"/>
        <v>0.5</v>
      </c>
      <c r="BD810" s="4">
        <f t="shared" si="3417"/>
        <v>0.5</v>
      </c>
      <c r="BE810" s="4">
        <f t="shared" si="3417"/>
        <v>0.5</v>
      </c>
      <c r="BF810" s="971">
        <f t="shared" si="3417"/>
        <v>0.5</v>
      </c>
      <c r="BG810" s="4">
        <f t="shared" si="3417"/>
        <v>0.5</v>
      </c>
      <c r="BH810" s="4">
        <f t="shared" si="3417"/>
        <v>0.5</v>
      </c>
      <c r="BI810" s="971">
        <f t="shared" si="3417"/>
        <v>0.5</v>
      </c>
      <c r="BJ810" s="121">
        <f t="shared" si="3417"/>
        <v>0.5</v>
      </c>
      <c r="BK810" s="121">
        <f t="shared" si="3417"/>
        <v>0.5</v>
      </c>
      <c r="BL810" s="114">
        <f t="shared" si="3417"/>
        <v>0.5</v>
      </c>
      <c r="BM810" s="121">
        <f t="shared" si="3417"/>
        <v>0.5</v>
      </c>
      <c r="BN810" s="121">
        <f t="shared" si="3417"/>
        <v>0.5</v>
      </c>
      <c r="BO810" s="114">
        <f t="shared" si="3417"/>
        <v>0.5</v>
      </c>
      <c r="BP810" s="121">
        <f t="shared" si="3417"/>
        <v>0.5</v>
      </c>
      <c r="BQ810" s="121">
        <f t="shared" si="3417"/>
        <v>0.5</v>
      </c>
      <c r="BR810" s="114">
        <f t="shared" si="3417"/>
        <v>0.5</v>
      </c>
      <c r="BS810" s="4">
        <f t="shared" si="3417"/>
        <v>0.5</v>
      </c>
      <c r="BT810" s="4">
        <f t="shared" si="3417"/>
        <v>0.5</v>
      </c>
      <c r="BU810" s="185">
        <f t="shared" si="3417"/>
        <v>0.5</v>
      </c>
      <c r="BV810" s="4">
        <f t="shared" si="3417"/>
        <v>0.5</v>
      </c>
      <c r="BW810" s="4">
        <f t="shared" si="3417"/>
        <v>0.5</v>
      </c>
      <c r="BX810" s="185">
        <f t="shared" si="3417"/>
        <v>0.5</v>
      </c>
      <c r="BY810" s="4">
        <f t="shared" si="3417"/>
        <v>0.5</v>
      </c>
      <c r="BZ810" s="4">
        <f t="shared" si="3417"/>
        <v>0.5</v>
      </c>
      <c r="CA810" s="185">
        <f t="shared" si="3417"/>
        <v>0.5</v>
      </c>
      <c r="CB810" s="4">
        <f t="shared" si="3417"/>
        <v>0.5</v>
      </c>
      <c r="CC810" s="4">
        <f t="shared" si="3417"/>
        <v>0.5</v>
      </c>
      <c r="CD810" s="185">
        <f t="shared" si="3417"/>
        <v>0.5</v>
      </c>
      <c r="CE810" s="4">
        <f t="shared" ref="CE810:DJ810" si="3418">CD810</f>
        <v>0.5</v>
      </c>
      <c r="CF810" s="4">
        <f t="shared" si="3418"/>
        <v>0.5</v>
      </c>
      <c r="CG810" s="185">
        <f t="shared" si="3418"/>
        <v>0.5</v>
      </c>
      <c r="CH810" s="4">
        <f t="shared" si="3418"/>
        <v>0.5</v>
      </c>
      <c r="CI810" s="4">
        <f t="shared" si="3418"/>
        <v>0.5</v>
      </c>
      <c r="CJ810" s="185">
        <f t="shared" si="3418"/>
        <v>0.5</v>
      </c>
      <c r="CK810" s="4">
        <f t="shared" si="3418"/>
        <v>0.5</v>
      </c>
      <c r="CL810" s="4">
        <f t="shared" si="3418"/>
        <v>0.5</v>
      </c>
      <c r="CM810" s="185">
        <f t="shared" si="3418"/>
        <v>0.5</v>
      </c>
      <c r="CN810" s="4">
        <f t="shared" si="3418"/>
        <v>0.5</v>
      </c>
      <c r="CO810" s="4">
        <f t="shared" si="3418"/>
        <v>0.5</v>
      </c>
      <c r="CP810" s="185">
        <f t="shared" si="3418"/>
        <v>0.5</v>
      </c>
      <c r="CQ810" s="4">
        <f t="shared" si="3418"/>
        <v>0.5</v>
      </c>
      <c r="CR810" s="4">
        <f t="shared" si="3418"/>
        <v>0.5</v>
      </c>
      <c r="CS810" s="185">
        <f t="shared" si="3418"/>
        <v>0.5</v>
      </c>
      <c r="CT810" s="4">
        <f t="shared" si="3418"/>
        <v>0.5</v>
      </c>
      <c r="CU810" s="4">
        <f t="shared" si="3418"/>
        <v>0.5</v>
      </c>
      <c r="CV810" s="185">
        <f t="shared" si="3418"/>
        <v>0.5</v>
      </c>
      <c r="CW810" s="4">
        <f t="shared" si="3418"/>
        <v>0.5</v>
      </c>
      <c r="CX810" s="4">
        <f t="shared" si="3418"/>
        <v>0.5</v>
      </c>
      <c r="CY810" s="185">
        <f t="shared" si="3418"/>
        <v>0.5</v>
      </c>
      <c r="CZ810" s="4">
        <f t="shared" si="3418"/>
        <v>0.5</v>
      </c>
      <c r="DA810" s="4">
        <f t="shared" si="3418"/>
        <v>0.5</v>
      </c>
      <c r="DB810" s="185">
        <f t="shared" si="3418"/>
        <v>0.5</v>
      </c>
      <c r="DC810" s="4">
        <f t="shared" si="3418"/>
        <v>0.5</v>
      </c>
      <c r="DD810" s="4">
        <f t="shared" si="3418"/>
        <v>0.5</v>
      </c>
      <c r="DE810" s="185">
        <f t="shared" si="3418"/>
        <v>0.5</v>
      </c>
      <c r="DF810" s="4">
        <f t="shared" si="3418"/>
        <v>0.5</v>
      </c>
      <c r="DG810" s="4">
        <f t="shared" si="3418"/>
        <v>0.5</v>
      </c>
      <c r="DH810" s="185">
        <f t="shared" si="3418"/>
        <v>0.5</v>
      </c>
      <c r="DI810" s="4">
        <f t="shared" si="3418"/>
        <v>0.5</v>
      </c>
      <c r="DJ810" s="4">
        <f t="shared" si="3418"/>
        <v>0.5</v>
      </c>
      <c r="DK810" s="185">
        <f t="shared" ref="DK810:EF810" si="3419">DJ810</f>
        <v>0.5</v>
      </c>
      <c r="DL810" s="4">
        <f>DK810</f>
        <v>0.5</v>
      </c>
      <c r="DM810" s="4">
        <f t="shared" si="3419"/>
        <v>0.5</v>
      </c>
      <c r="DN810" s="185">
        <f t="shared" si="3419"/>
        <v>0.5</v>
      </c>
      <c r="DO810" s="4">
        <f t="shared" si="3419"/>
        <v>0.5</v>
      </c>
      <c r="DP810" s="4">
        <f t="shared" si="3419"/>
        <v>0.5</v>
      </c>
      <c r="DQ810" s="185">
        <f t="shared" si="3419"/>
        <v>0.5</v>
      </c>
      <c r="DR810" s="4">
        <f t="shared" si="3419"/>
        <v>0.5</v>
      </c>
      <c r="DS810" s="4">
        <f t="shared" si="3419"/>
        <v>0.5</v>
      </c>
      <c r="DT810" s="185">
        <f t="shared" si="3419"/>
        <v>0.5</v>
      </c>
      <c r="DU810" s="4">
        <f t="shared" si="3419"/>
        <v>0.5</v>
      </c>
      <c r="DV810" s="4">
        <f t="shared" si="3419"/>
        <v>0.5</v>
      </c>
      <c r="DW810" s="185">
        <f t="shared" si="3419"/>
        <v>0.5</v>
      </c>
      <c r="DX810" s="4">
        <f t="shared" si="3419"/>
        <v>0.5</v>
      </c>
      <c r="DY810" s="4">
        <f t="shared" si="3419"/>
        <v>0.5</v>
      </c>
      <c r="DZ810" s="185">
        <f t="shared" si="3419"/>
        <v>0.5</v>
      </c>
      <c r="EA810" s="4">
        <f t="shared" si="3419"/>
        <v>0.5</v>
      </c>
      <c r="EB810" s="4">
        <f t="shared" si="3419"/>
        <v>0.5</v>
      </c>
      <c r="EC810" s="185">
        <f t="shared" si="3419"/>
        <v>0.5</v>
      </c>
      <c r="ED810" s="4">
        <f t="shared" si="3419"/>
        <v>0.5</v>
      </c>
      <c r="EE810" s="4">
        <f t="shared" si="3419"/>
        <v>0.5</v>
      </c>
      <c r="EF810" s="185">
        <f t="shared" si="3419"/>
        <v>0.5</v>
      </c>
      <c r="EG810" s="4">
        <f t="shared" ref="EG810:EL810" si="3420">EF810</f>
        <v>0.5</v>
      </c>
      <c r="EH810" s="4">
        <f t="shared" si="3420"/>
        <v>0.5</v>
      </c>
      <c r="EI810" s="185">
        <f t="shared" si="3420"/>
        <v>0.5</v>
      </c>
      <c r="EJ810" s="4">
        <f t="shared" si="3420"/>
        <v>0.5</v>
      </c>
      <c r="EK810" s="4">
        <f t="shared" si="3420"/>
        <v>0.5</v>
      </c>
      <c r="EL810" s="185">
        <f t="shared" si="3420"/>
        <v>0.5</v>
      </c>
      <c r="EM810" s="4">
        <f t="shared" ref="EM810:ER810" si="3421">EL810</f>
        <v>0.5</v>
      </c>
      <c r="EN810" s="4">
        <f t="shared" si="3421"/>
        <v>0.5</v>
      </c>
      <c r="EO810" s="185">
        <f t="shared" si="3421"/>
        <v>0.5</v>
      </c>
      <c r="EP810" s="4">
        <f t="shared" si="3421"/>
        <v>0.5</v>
      </c>
      <c r="EQ810" s="4">
        <f t="shared" si="3421"/>
        <v>0.5</v>
      </c>
      <c r="ER810" s="185">
        <f t="shared" si="3421"/>
        <v>0.5</v>
      </c>
      <c r="ES810" s="4">
        <f t="shared" ref="ES810" si="3422">ER810</f>
        <v>0.5</v>
      </c>
      <c r="ET810" s="4">
        <f t="shared" ref="ET810:ET813" si="3423">ES810</f>
        <v>0.5</v>
      </c>
      <c r="EU810" s="185">
        <f t="shared" ref="EU810:EU813" si="3424">ET810</f>
        <v>0.5</v>
      </c>
      <c r="EV810" s="4">
        <f t="shared" ref="EV810" si="3425">EU810</f>
        <v>0.5</v>
      </c>
      <c r="EW810" s="4">
        <f t="shared" ref="EW810:EW813" si="3426">EV810</f>
        <v>0.5</v>
      </c>
      <c r="EX810" s="185">
        <f t="shared" ref="EX810:EX813" si="3427">EW810</f>
        <v>0.5</v>
      </c>
      <c r="EY810" s="4">
        <f t="shared" ref="EY810" si="3428">EX810</f>
        <v>0.5</v>
      </c>
      <c r="EZ810" s="4">
        <f t="shared" ref="EZ810:EZ813" si="3429">EY810</f>
        <v>0.5</v>
      </c>
      <c r="FA810" s="185">
        <f t="shared" ref="FA810:FA813" si="3430">EZ810</f>
        <v>0.5</v>
      </c>
      <c r="FH810" s="35"/>
      <c r="FI810" s="35"/>
      <c r="FJ810" s="35"/>
      <c r="FK810" s="35"/>
      <c r="FL810" s="35"/>
      <c r="FM810" s="35"/>
      <c r="FN810" s="35"/>
      <c r="FO810" s="35"/>
      <c r="FP810" s="35"/>
      <c r="FQ810" s="35"/>
    </row>
    <row r="811" spans="1:173" s="321" customFormat="1" hidden="1" outlineLevel="1">
      <c r="A811" s="1168"/>
      <c r="B811" s="186"/>
      <c r="C811" s="186" t="s">
        <v>317</v>
      </c>
      <c r="D811" s="910"/>
      <c r="E811" s="1"/>
      <c r="F811" s="1"/>
      <c r="G811" s="5"/>
      <c r="H811" s="1"/>
      <c r="I811" s="1"/>
      <c r="J811" s="5"/>
      <c r="K811" s="1"/>
      <c r="L811" s="1"/>
      <c r="M811" s="5"/>
      <c r="N811" s="1"/>
      <c r="O811" s="1"/>
      <c r="P811" s="5"/>
      <c r="Q811" s="1"/>
      <c r="R811" s="1"/>
      <c r="S811" s="5"/>
      <c r="T811" s="1"/>
      <c r="U811" s="1"/>
      <c r="V811" s="5"/>
      <c r="W811" s="1"/>
      <c r="X811" s="1"/>
      <c r="Y811" s="5"/>
      <c r="Z811" s="1"/>
      <c r="AA811" s="1"/>
      <c r="AB811" s="5"/>
      <c r="AC811" s="1"/>
      <c r="AD811" s="1"/>
      <c r="AE811" s="5"/>
      <c r="AF811" s="1"/>
      <c r="AG811" s="1"/>
      <c r="AH811" s="5"/>
      <c r="AI811" s="1"/>
      <c r="AJ811" s="1"/>
      <c r="AK811" s="5"/>
      <c r="AL811" s="1"/>
      <c r="AM811" s="1"/>
      <c r="AN811" s="5"/>
      <c r="AO811" s="1"/>
      <c r="AP811" s="1"/>
      <c r="AQ811" s="5"/>
      <c r="AR811" s="1"/>
      <c r="AS811" s="1"/>
      <c r="AT811" s="5"/>
      <c r="AU811" s="1"/>
      <c r="AV811" s="1"/>
      <c r="AW811" s="5"/>
      <c r="AX811" s="185">
        <f>AX810</f>
        <v>0.5</v>
      </c>
      <c r="AY811" s="185">
        <f t="shared" ref="AY811:AZ813" si="3431">AX811</f>
        <v>0.5</v>
      </c>
      <c r="AZ811" s="185">
        <f t="shared" si="3431"/>
        <v>0.5</v>
      </c>
      <c r="BA811" s="4">
        <f>BA810</f>
        <v>0.5</v>
      </c>
      <c r="BB811" s="4">
        <f t="shared" ref="BB811:BC813" si="3432">BA811</f>
        <v>0.5</v>
      </c>
      <c r="BC811" s="971">
        <f t="shared" si="3432"/>
        <v>0.5</v>
      </c>
      <c r="BD811" s="4">
        <f>BD810</f>
        <v>0.5</v>
      </c>
      <c r="BE811" s="4">
        <f t="shared" ref="BE811:BF813" si="3433">BD811</f>
        <v>0.5</v>
      </c>
      <c r="BF811" s="971">
        <f t="shared" si="3433"/>
        <v>0.5</v>
      </c>
      <c r="BG811" s="4">
        <f>BG810</f>
        <v>0.5</v>
      </c>
      <c r="BH811" s="4">
        <f t="shared" ref="BH811:BI813" si="3434">BG811</f>
        <v>0.5</v>
      </c>
      <c r="BI811" s="971">
        <f t="shared" si="3434"/>
        <v>0.5</v>
      </c>
      <c r="BJ811" s="121">
        <f>BJ810</f>
        <v>0.5</v>
      </c>
      <c r="BK811" s="121">
        <f t="shared" ref="BK811:BL813" si="3435">BJ811</f>
        <v>0.5</v>
      </c>
      <c r="BL811" s="114">
        <f t="shared" si="3435"/>
        <v>0.5</v>
      </c>
      <c r="BM811" s="121">
        <f>BM810</f>
        <v>0.5</v>
      </c>
      <c r="BN811" s="121">
        <f t="shared" ref="BN811:BO813" si="3436">BM811</f>
        <v>0.5</v>
      </c>
      <c r="BO811" s="114">
        <f t="shared" si="3436"/>
        <v>0.5</v>
      </c>
      <c r="BP811" s="121">
        <f>BP810</f>
        <v>0.5</v>
      </c>
      <c r="BQ811" s="121">
        <f t="shared" ref="BQ811:BR813" si="3437">BP811</f>
        <v>0.5</v>
      </c>
      <c r="BR811" s="114">
        <f t="shared" si="3437"/>
        <v>0.5</v>
      </c>
      <c r="BS811" s="4">
        <f>BS810</f>
        <v>0.5</v>
      </c>
      <c r="BT811" s="4">
        <f t="shared" ref="BT811:BU813" si="3438">BS811</f>
        <v>0.5</v>
      </c>
      <c r="BU811" s="185">
        <f t="shared" si="3438"/>
        <v>0.5</v>
      </c>
      <c r="BV811" s="4">
        <f>BV810</f>
        <v>0.5</v>
      </c>
      <c r="BW811" s="4">
        <f t="shared" ref="BW811:BX813" si="3439">BV811</f>
        <v>0.5</v>
      </c>
      <c r="BX811" s="185">
        <f t="shared" si="3439"/>
        <v>0.5</v>
      </c>
      <c r="BY811" s="4">
        <f>BY810</f>
        <v>0.5</v>
      </c>
      <c r="BZ811" s="4">
        <f t="shared" ref="BZ811:CA813" si="3440">BY811</f>
        <v>0.5</v>
      </c>
      <c r="CA811" s="185">
        <f t="shared" si="3440"/>
        <v>0.5</v>
      </c>
      <c r="CB811" s="4">
        <f>CB810</f>
        <v>0.5</v>
      </c>
      <c r="CC811" s="4">
        <f t="shared" ref="CC811:CD813" si="3441">CB811</f>
        <v>0.5</v>
      </c>
      <c r="CD811" s="185">
        <f t="shared" si="3441"/>
        <v>0.5</v>
      </c>
      <c r="CE811" s="4">
        <f>CE810</f>
        <v>0.5</v>
      </c>
      <c r="CF811" s="4">
        <f t="shared" ref="CF811:CG813" si="3442">CE811</f>
        <v>0.5</v>
      </c>
      <c r="CG811" s="185">
        <f t="shared" si="3442"/>
        <v>0.5</v>
      </c>
      <c r="CH811" s="4">
        <f>CH810</f>
        <v>0.5</v>
      </c>
      <c r="CI811" s="4">
        <f t="shared" ref="CI811:CJ813" si="3443">CH811</f>
        <v>0.5</v>
      </c>
      <c r="CJ811" s="185">
        <f t="shared" si="3443"/>
        <v>0.5</v>
      </c>
      <c r="CK811" s="4">
        <f>CK810</f>
        <v>0.5</v>
      </c>
      <c r="CL811" s="4">
        <f t="shared" ref="CL811:CM813" si="3444">CK811</f>
        <v>0.5</v>
      </c>
      <c r="CM811" s="185">
        <f t="shared" si="3444"/>
        <v>0.5</v>
      </c>
      <c r="CN811" s="4">
        <f>CN810</f>
        <v>0.5</v>
      </c>
      <c r="CO811" s="4">
        <f t="shared" ref="CO811:CP813" si="3445">CN811</f>
        <v>0.5</v>
      </c>
      <c r="CP811" s="185">
        <f t="shared" si="3445"/>
        <v>0.5</v>
      </c>
      <c r="CQ811" s="4">
        <f>CQ810</f>
        <v>0.5</v>
      </c>
      <c r="CR811" s="4">
        <f t="shared" ref="CR811:CS813" si="3446">CQ811</f>
        <v>0.5</v>
      </c>
      <c r="CS811" s="185">
        <f t="shared" si="3446"/>
        <v>0.5</v>
      </c>
      <c r="CT811" s="4">
        <f>CT810</f>
        <v>0.5</v>
      </c>
      <c r="CU811" s="4">
        <f t="shared" ref="CU811:CV813" si="3447">CT811</f>
        <v>0.5</v>
      </c>
      <c r="CV811" s="185">
        <f t="shared" si="3447"/>
        <v>0.5</v>
      </c>
      <c r="CW811" s="4">
        <f>CW810</f>
        <v>0.5</v>
      </c>
      <c r="CX811" s="4">
        <f t="shared" ref="CX811:CY813" si="3448">CW811</f>
        <v>0.5</v>
      </c>
      <c r="CY811" s="185">
        <f t="shared" si="3448"/>
        <v>0.5</v>
      </c>
      <c r="CZ811" s="4">
        <f>CZ810</f>
        <v>0.5</v>
      </c>
      <c r="DA811" s="4">
        <f t="shared" ref="DA811:DB813" si="3449">CZ811</f>
        <v>0.5</v>
      </c>
      <c r="DB811" s="185">
        <f t="shared" si="3449"/>
        <v>0.5</v>
      </c>
      <c r="DC811" s="4">
        <f>DC810</f>
        <v>0.5</v>
      </c>
      <c r="DD811" s="4">
        <f t="shared" ref="DD811:DE813" si="3450">DC811</f>
        <v>0.5</v>
      </c>
      <c r="DE811" s="185">
        <f t="shared" si="3450"/>
        <v>0.5</v>
      </c>
      <c r="DF811" s="4">
        <f>DF810</f>
        <v>0.5</v>
      </c>
      <c r="DG811" s="4">
        <f t="shared" ref="DG811:DH813" si="3451">DF811</f>
        <v>0.5</v>
      </c>
      <c r="DH811" s="185">
        <f t="shared" si="3451"/>
        <v>0.5</v>
      </c>
      <c r="DI811" s="4">
        <f>DI810</f>
        <v>0.5</v>
      </c>
      <c r="DJ811" s="4">
        <f t="shared" ref="DJ811:DK813" si="3452">DI811</f>
        <v>0.5</v>
      </c>
      <c r="DK811" s="185">
        <f t="shared" si="3452"/>
        <v>0.5</v>
      </c>
      <c r="DL811" s="4">
        <f>DL810</f>
        <v>0.5</v>
      </c>
      <c r="DM811" s="4">
        <f t="shared" ref="DM811:DN813" si="3453">DL811</f>
        <v>0.5</v>
      </c>
      <c r="DN811" s="185">
        <f t="shared" si="3453"/>
        <v>0.5</v>
      </c>
      <c r="DO811" s="4">
        <f>DO810</f>
        <v>0.5</v>
      </c>
      <c r="DP811" s="4">
        <f t="shared" ref="DP811:DQ813" si="3454">DO811</f>
        <v>0.5</v>
      </c>
      <c r="DQ811" s="185">
        <f t="shared" si="3454"/>
        <v>0.5</v>
      </c>
      <c r="DR811" s="4">
        <f>DR810</f>
        <v>0.5</v>
      </c>
      <c r="DS811" s="4">
        <f t="shared" ref="DS811:DT813" si="3455">DR811</f>
        <v>0.5</v>
      </c>
      <c r="DT811" s="185">
        <f t="shared" si="3455"/>
        <v>0.5</v>
      </c>
      <c r="DU811" s="4">
        <f>DU810</f>
        <v>0.5</v>
      </c>
      <c r="DV811" s="4">
        <f t="shared" ref="DV811:DW813" si="3456">DU811</f>
        <v>0.5</v>
      </c>
      <c r="DW811" s="185">
        <f t="shared" si="3456"/>
        <v>0.5</v>
      </c>
      <c r="DX811" s="4">
        <f>DX810</f>
        <v>0.5</v>
      </c>
      <c r="DY811" s="4">
        <f t="shared" ref="DY811:DZ813" si="3457">DX811</f>
        <v>0.5</v>
      </c>
      <c r="DZ811" s="185">
        <f t="shared" si="3457"/>
        <v>0.5</v>
      </c>
      <c r="EA811" s="4">
        <f>EA810</f>
        <v>0.5</v>
      </c>
      <c r="EB811" s="4">
        <f t="shared" ref="EB811:EC813" si="3458">EA811</f>
        <v>0.5</v>
      </c>
      <c r="EC811" s="185">
        <f t="shared" si="3458"/>
        <v>0.5</v>
      </c>
      <c r="ED811" s="4">
        <f>ED810</f>
        <v>0.5</v>
      </c>
      <c r="EE811" s="4">
        <f t="shared" ref="EE811:EF813" si="3459">ED811</f>
        <v>0.5</v>
      </c>
      <c r="EF811" s="185">
        <f t="shared" si="3459"/>
        <v>0.5</v>
      </c>
      <c r="EG811" s="4">
        <f>EG810</f>
        <v>0.5</v>
      </c>
      <c r="EH811" s="4">
        <f t="shared" ref="EH811:EI813" si="3460">EG811</f>
        <v>0.5</v>
      </c>
      <c r="EI811" s="185">
        <f t="shared" si="3460"/>
        <v>0.5</v>
      </c>
      <c r="EJ811" s="4">
        <f>EJ810</f>
        <v>0.5</v>
      </c>
      <c r="EK811" s="4">
        <f t="shared" ref="EK811:EL813" si="3461">EJ811</f>
        <v>0.5</v>
      </c>
      <c r="EL811" s="185">
        <f t="shared" si="3461"/>
        <v>0.5</v>
      </c>
      <c r="EM811" s="4">
        <f>EM810</f>
        <v>0.5</v>
      </c>
      <c r="EN811" s="4">
        <f t="shared" ref="EN811:EO813" si="3462">EM811</f>
        <v>0.5</v>
      </c>
      <c r="EO811" s="185">
        <f t="shared" si="3462"/>
        <v>0.5</v>
      </c>
      <c r="EP811" s="4">
        <f>EP810</f>
        <v>0.5</v>
      </c>
      <c r="EQ811" s="4">
        <f t="shared" ref="EQ811:ER813" si="3463">EP811</f>
        <v>0.5</v>
      </c>
      <c r="ER811" s="185">
        <f t="shared" si="3463"/>
        <v>0.5</v>
      </c>
      <c r="ES811" s="4">
        <f>ES810</f>
        <v>0.5</v>
      </c>
      <c r="ET811" s="4">
        <f t="shared" si="3423"/>
        <v>0.5</v>
      </c>
      <c r="EU811" s="185">
        <f t="shared" si="3424"/>
        <v>0.5</v>
      </c>
      <c r="EV811" s="4">
        <f>EV810</f>
        <v>0.5</v>
      </c>
      <c r="EW811" s="4">
        <f t="shared" si="3426"/>
        <v>0.5</v>
      </c>
      <c r="EX811" s="185">
        <f t="shared" si="3427"/>
        <v>0.5</v>
      </c>
      <c r="EY811" s="4">
        <f>EY810</f>
        <v>0.5</v>
      </c>
      <c r="EZ811" s="4">
        <f t="shared" si="3429"/>
        <v>0.5</v>
      </c>
      <c r="FA811" s="185">
        <f t="shared" si="3430"/>
        <v>0.5</v>
      </c>
      <c r="FH811" s="35"/>
      <c r="FI811" s="35"/>
      <c r="FJ811" s="35"/>
      <c r="FK811" s="35"/>
      <c r="FL811" s="35"/>
      <c r="FM811" s="35"/>
      <c r="FN811" s="35"/>
      <c r="FO811" s="35"/>
      <c r="FP811" s="35"/>
      <c r="FQ811" s="35"/>
    </row>
    <row r="812" spans="1:173" s="321" customFormat="1" hidden="1" outlineLevel="1">
      <c r="A812" s="1168"/>
      <c r="B812" s="186"/>
      <c r="C812" s="186" t="s">
        <v>431</v>
      </c>
      <c r="D812" s="910"/>
      <c r="E812" s="1"/>
      <c r="F812" s="1"/>
      <c r="G812" s="5"/>
      <c r="H812" s="1"/>
      <c r="I812" s="1"/>
      <c r="J812" s="5"/>
      <c r="K812" s="1"/>
      <c r="L812" s="1"/>
      <c r="M812" s="5"/>
      <c r="N812" s="1"/>
      <c r="O812" s="1"/>
      <c r="P812" s="5"/>
      <c r="Q812" s="1"/>
      <c r="R812" s="1"/>
      <c r="S812" s="5"/>
      <c r="T812" s="1"/>
      <c r="U812" s="1"/>
      <c r="V812" s="5"/>
      <c r="W812" s="1"/>
      <c r="X812" s="1"/>
      <c r="Y812" s="5"/>
      <c r="Z812" s="1"/>
      <c r="AA812" s="1"/>
      <c r="AB812" s="5"/>
      <c r="AC812" s="1"/>
      <c r="AD812" s="1"/>
      <c r="AE812" s="5"/>
      <c r="AF812" s="1"/>
      <c r="AG812" s="1"/>
      <c r="AH812" s="5"/>
      <c r="AI812" s="1"/>
      <c r="AJ812" s="1"/>
      <c r="AK812" s="5"/>
      <c r="AL812" s="1"/>
      <c r="AM812" s="1"/>
      <c r="AN812" s="5"/>
      <c r="AO812" s="1"/>
      <c r="AP812" s="1"/>
      <c r="AQ812" s="5"/>
      <c r="AR812" s="1"/>
      <c r="AS812" s="1"/>
      <c r="AT812" s="5"/>
      <c r="AU812" s="1"/>
      <c r="AV812" s="1"/>
      <c r="AW812" s="5"/>
      <c r="AX812" s="185">
        <f>AX811</f>
        <v>0.5</v>
      </c>
      <c r="AY812" s="185">
        <f t="shared" si="3431"/>
        <v>0.5</v>
      </c>
      <c r="AZ812" s="185">
        <f t="shared" si="3431"/>
        <v>0.5</v>
      </c>
      <c r="BA812" s="4">
        <f>BA811</f>
        <v>0.5</v>
      </c>
      <c r="BB812" s="4">
        <f t="shared" si="3432"/>
        <v>0.5</v>
      </c>
      <c r="BC812" s="971">
        <f t="shared" si="3432"/>
        <v>0.5</v>
      </c>
      <c r="BD812" s="4">
        <f>BD811</f>
        <v>0.5</v>
      </c>
      <c r="BE812" s="4">
        <f t="shared" si="3433"/>
        <v>0.5</v>
      </c>
      <c r="BF812" s="971">
        <f t="shared" si="3433"/>
        <v>0.5</v>
      </c>
      <c r="BG812" s="4">
        <f>BG811</f>
        <v>0.5</v>
      </c>
      <c r="BH812" s="4">
        <f t="shared" si="3434"/>
        <v>0.5</v>
      </c>
      <c r="BI812" s="971">
        <f t="shared" si="3434"/>
        <v>0.5</v>
      </c>
      <c r="BJ812" s="121">
        <f>BJ811</f>
        <v>0.5</v>
      </c>
      <c r="BK812" s="121">
        <f t="shared" si="3435"/>
        <v>0.5</v>
      </c>
      <c r="BL812" s="114">
        <f t="shared" si="3435"/>
        <v>0.5</v>
      </c>
      <c r="BM812" s="121">
        <f>BM811</f>
        <v>0.5</v>
      </c>
      <c r="BN812" s="121">
        <f t="shared" si="3436"/>
        <v>0.5</v>
      </c>
      <c r="BO812" s="114">
        <f t="shared" si="3436"/>
        <v>0.5</v>
      </c>
      <c r="BP812" s="121">
        <f>BP811</f>
        <v>0.5</v>
      </c>
      <c r="BQ812" s="121">
        <f t="shared" si="3437"/>
        <v>0.5</v>
      </c>
      <c r="BR812" s="114">
        <f t="shared" si="3437"/>
        <v>0.5</v>
      </c>
      <c r="BS812" s="4">
        <f>BS811</f>
        <v>0.5</v>
      </c>
      <c r="BT812" s="4">
        <f t="shared" si="3438"/>
        <v>0.5</v>
      </c>
      <c r="BU812" s="185">
        <f t="shared" si="3438"/>
        <v>0.5</v>
      </c>
      <c r="BV812" s="4">
        <f>BV811</f>
        <v>0.5</v>
      </c>
      <c r="BW812" s="4">
        <f t="shared" si="3439"/>
        <v>0.5</v>
      </c>
      <c r="BX812" s="185">
        <f t="shared" si="3439"/>
        <v>0.5</v>
      </c>
      <c r="BY812" s="4">
        <f>BY811</f>
        <v>0.5</v>
      </c>
      <c r="BZ812" s="4">
        <f t="shared" si="3440"/>
        <v>0.5</v>
      </c>
      <c r="CA812" s="185">
        <f t="shared" si="3440"/>
        <v>0.5</v>
      </c>
      <c r="CB812" s="4">
        <f>CB811</f>
        <v>0.5</v>
      </c>
      <c r="CC812" s="4">
        <f t="shared" si="3441"/>
        <v>0.5</v>
      </c>
      <c r="CD812" s="185">
        <f t="shared" si="3441"/>
        <v>0.5</v>
      </c>
      <c r="CE812" s="4">
        <f>CE811</f>
        <v>0.5</v>
      </c>
      <c r="CF812" s="4">
        <f t="shared" si="3442"/>
        <v>0.5</v>
      </c>
      <c r="CG812" s="185">
        <f t="shared" si="3442"/>
        <v>0.5</v>
      </c>
      <c r="CH812" s="4">
        <f>CH811</f>
        <v>0.5</v>
      </c>
      <c r="CI812" s="4">
        <f t="shared" si="3443"/>
        <v>0.5</v>
      </c>
      <c r="CJ812" s="185">
        <f t="shared" si="3443"/>
        <v>0.5</v>
      </c>
      <c r="CK812" s="4">
        <f>CK811</f>
        <v>0.5</v>
      </c>
      <c r="CL812" s="4">
        <f t="shared" si="3444"/>
        <v>0.5</v>
      </c>
      <c r="CM812" s="185">
        <f t="shared" si="3444"/>
        <v>0.5</v>
      </c>
      <c r="CN812" s="4">
        <f>CN811</f>
        <v>0.5</v>
      </c>
      <c r="CO812" s="4">
        <f t="shared" si="3445"/>
        <v>0.5</v>
      </c>
      <c r="CP812" s="185">
        <f t="shared" si="3445"/>
        <v>0.5</v>
      </c>
      <c r="CQ812" s="4">
        <f>CQ811</f>
        <v>0.5</v>
      </c>
      <c r="CR812" s="4">
        <f t="shared" si="3446"/>
        <v>0.5</v>
      </c>
      <c r="CS812" s="185">
        <f t="shared" si="3446"/>
        <v>0.5</v>
      </c>
      <c r="CT812" s="4">
        <f>CT811</f>
        <v>0.5</v>
      </c>
      <c r="CU812" s="4">
        <f t="shared" si="3447"/>
        <v>0.5</v>
      </c>
      <c r="CV812" s="185">
        <f t="shared" si="3447"/>
        <v>0.5</v>
      </c>
      <c r="CW812" s="4">
        <f>CW811</f>
        <v>0.5</v>
      </c>
      <c r="CX812" s="4">
        <f t="shared" si="3448"/>
        <v>0.5</v>
      </c>
      <c r="CY812" s="185">
        <f t="shared" si="3448"/>
        <v>0.5</v>
      </c>
      <c r="CZ812" s="4">
        <f>CZ811</f>
        <v>0.5</v>
      </c>
      <c r="DA812" s="4">
        <f t="shared" si="3449"/>
        <v>0.5</v>
      </c>
      <c r="DB812" s="185">
        <f t="shared" si="3449"/>
        <v>0.5</v>
      </c>
      <c r="DC812" s="4">
        <f>DC811</f>
        <v>0.5</v>
      </c>
      <c r="DD812" s="4">
        <f t="shared" si="3450"/>
        <v>0.5</v>
      </c>
      <c r="DE812" s="185">
        <f t="shared" si="3450"/>
        <v>0.5</v>
      </c>
      <c r="DF812" s="4">
        <f>DF811</f>
        <v>0.5</v>
      </c>
      <c r="DG812" s="4">
        <f t="shared" si="3451"/>
        <v>0.5</v>
      </c>
      <c r="DH812" s="185">
        <f t="shared" si="3451"/>
        <v>0.5</v>
      </c>
      <c r="DI812" s="4">
        <f>DI811</f>
        <v>0.5</v>
      </c>
      <c r="DJ812" s="4">
        <f t="shared" si="3452"/>
        <v>0.5</v>
      </c>
      <c r="DK812" s="185">
        <f t="shared" si="3452"/>
        <v>0.5</v>
      </c>
      <c r="DL812" s="4">
        <f>DL811</f>
        <v>0.5</v>
      </c>
      <c r="DM812" s="4">
        <f t="shared" si="3453"/>
        <v>0.5</v>
      </c>
      <c r="DN812" s="185">
        <f t="shared" si="3453"/>
        <v>0.5</v>
      </c>
      <c r="DO812" s="4">
        <f>DO811</f>
        <v>0.5</v>
      </c>
      <c r="DP812" s="4">
        <f t="shared" si="3454"/>
        <v>0.5</v>
      </c>
      <c r="DQ812" s="185">
        <f t="shared" si="3454"/>
        <v>0.5</v>
      </c>
      <c r="DR812" s="4">
        <f>DR811</f>
        <v>0.5</v>
      </c>
      <c r="DS812" s="4">
        <f t="shared" si="3455"/>
        <v>0.5</v>
      </c>
      <c r="DT812" s="185">
        <f t="shared" si="3455"/>
        <v>0.5</v>
      </c>
      <c r="DU812" s="4">
        <f>DU811</f>
        <v>0.5</v>
      </c>
      <c r="DV812" s="4">
        <f t="shared" si="3456"/>
        <v>0.5</v>
      </c>
      <c r="DW812" s="185">
        <f t="shared" si="3456"/>
        <v>0.5</v>
      </c>
      <c r="DX812" s="4">
        <f>DX811</f>
        <v>0.5</v>
      </c>
      <c r="DY812" s="4">
        <f t="shared" si="3457"/>
        <v>0.5</v>
      </c>
      <c r="DZ812" s="185">
        <f t="shared" si="3457"/>
        <v>0.5</v>
      </c>
      <c r="EA812" s="4">
        <f>EA811</f>
        <v>0.5</v>
      </c>
      <c r="EB812" s="4">
        <f t="shared" si="3458"/>
        <v>0.5</v>
      </c>
      <c r="EC812" s="185">
        <f t="shared" si="3458"/>
        <v>0.5</v>
      </c>
      <c r="ED812" s="4">
        <f>ED811</f>
        <v>0.5</v>
      </c>
      <c r="EE812" s="4">
        <f t="shared" si="3459"/>
        <v>0.5</v>
      </c>
      <c r="EF812" s="185">
        <f t="shared" si="3459"/>
        <v>0.5</v>
      </c>
      <c r="EG812" s="4">
        <f>EG811</f>
        <v>0.5</v>
      </c>
      <c r="EH812" s="4">
        <f t="shared" si="3460"/>
        <v>0.5</v>
      </c>
      <c r="EI812" s="185">
        <f t="shared" si="3460"/>
        <v>0.5</v>
      </c>
      <c r="EJ812" s="4">
        <f>EJ811</f>
        <v>0.5</v>
      </c>
      <c r="EK812" s="4">
        <f t="shared" si="3461"/>
        <v>0.5</v>
      </c>
      <c r="EL812" s="185">
        <f t="shared" si="3461"/>
        <v>0.5</v>
      </c>
      <c r="EM812" s="4">
        <f>EM811</f>
        <v>0.5</v>
      </c>
      <c r="EN812" s="4">
        <f t="shared" si="3462"/>
        <v>0.5</v>
      </c>
      <c r="EO812" s="185">
        <f t="shared" si="3462"/>
        <v>0.5</v>
      </c>
      <c r="EP812" s="4">
        <f>EP811</f>
        <v>0.5</v>
      </c>
      <c r="EQ812" s="4">
        <f t="shared" si="3463"/>
        <v>0.5</v>
      </c>
      <c r="ER812" s="185">
        <f t="shared" si="3463"/>
        <v>0.5</v>
      </c>
      <c r="ES812" s="4">
        <f>ES811</f>
        <v>0.5</v>
      </c>
      <c r="ET812" s="4">
        <f t="shared" si="3423"/>
        <v>0.5</v>
      </c>
      <c r="EU812" s="185">
        <f t="shared" si="3424"/>
        <v>0.5</v>
      </c>
      <c r="EV812" s="4">
        <f>EV811</f>
        <v>0.5</v>
      </c>
      <c r="EW812" s="4">
        <f t="shared" si="3426"/>
        <v>0.5</v>
      </c>
      <c r="EX812" s="185">
        <f t="shared" si="3427"/>
        <v>0.5</v>
      </c>
      <c r="EY812" s="4">
        <f>EY811</f>
        <v>0.5</v>
      </c>
      <c r="EZ812" s="4">
        <f t="shared" si="3429"/>
        <v>0.5</v>
      </c>
      <c r="FA812" s="185">
        <f t="shared" si="3430"/>
        <v>0.5</v>
      </c>
      <c r="FH812" s="35"/>
      <c r="FI812" s="35"/>
      <c r="FJ812" s="35"/>
      <c r="FK812" s="35"/>
      <c r="FL812" s="35"/>
      <c r="FM812" s="35"/>
      <c r="FN812" s="35"/>
      <c r="FO812" s="35"/>
      <c r="FP812" s="35"/>
      <c r="FQ812" s="35"/>
    </row>
    <row r="813" spans="1:173" s="321" customFormat="1" hidden="1" outlineLevel="1">
      <c r="A813" s="1168"/>
      <c r="B813" s="186"/>
      <c r="C813" s="186" t="s">
        <v>327</v>
      </c>
      <c r="D813" s="910"/>
      <c r="E813" s="1"/>
      <c r="F813" s="1"/>
      <c r="G813" s="5"/>
      <c r="H813" s="1"/>
      <c r="I813" s="1"/>
      <c r="J813" s="5"/>
      <c r="K813" s="1"/>
      <c r="L813" s="1"/>
      <c r="M813" s="5"/>
      <c r="N813" s="1"/>
      <c r="O813" s="1"/>
      <c r="P813" s="5"/>
      <c r="Q813" s="1"/>
      <c r="R813" s="1"/>
      <c r="S813" s="5"/>
      <c r="T813" s="1"/>
      <c r="U813" s="1"/>
      <c r="V813" s="5"/>
      <c r="W813" s="1"/>
      <c r="X813" s="1"/>
      <c r="Y813" s="5"/>
      <c r="Z813" s="1"/>
      <c r="AA813" s="1"/>
      <c r="AB813" s="5"/>
      <c r="AC813" s="1"/>
      <c r="AD813" s="1"/>
      <c r="AE813" s="5"/>
      <c r="AF813" s="1"/>
      <c r="AG813" s="1"/>
      <c r="AH813" s="5"/>
      <c r="AI813" s="1"/>
      <c r="AJ813" s="1"/>
      <c r="AK813" s="5"/>
      <c r="AL813" s="1"/>
      <c r="AM813" s="1"/>
      <c r="AN813" s="5"/>
      <c r="AO813" s="1"/>
      <c r="AP813" s="1"/>
      <c r="AQ813" s="5"/>
      <c r="AR813" s="1"/>
      <c r="AS813" s="1"/>
      <c r="AT813" s="5"/>
      <c r="AU813" s="1"/>
      <c r="AV813" s="1"/>
      <c r="AW813" s="5"/>
      <c r="AX813" s="185">
        <f>AX812</f>
        <v>0.5</v>
      </c>
      <c r="AY813" s="185">
        <f t="shared" si="3431"/>
        <v>0.5</v>
      </c>
      <c r="AZ813" s="185">
        <f t="shared" si="3431"/>
        <v>0.5</v>
      </c>
      <c r="BA813" s="4">
        <f>BA812</f>
        <v>0.5</v>
      </c>
      <c r="BB813" s="4">
        <f t="shared" si="3432"/>
        <v>0.5</v>
      </c>
      <c r="BC813" s="971">
        <f t="shared" si="3432"/>
        <v>0.5</v>
      </c>
      <c r="BD813" s="4">
        <f>BD812</f>
        <v>0.5</v>
      </c>
      <c r="BE813" s="4">
        <f t="shared" si="3433"/>
        <v>0.5</v>
      </c>
      <c r="BF813" s="971">
        <f t="shared" si="3433"/>
        <v>0.5</v>
      </c>
      <c r="BG813" s="4">
        <f>BG812</f>
        <v>0.5</v>
      </c>
      <c r="BH813" s="4">
        <f t="shared" si="3434"/>
        <v>0.5</v>
      </c>
      <c r="BI813" s="971">
        <f t="shared" si="3434"/>
        <v>0.5</v>
      </c>
      <c r="BJ813" s="121">
        <f>BJ812</f>
        <v>0.5</v>
      </c>
      <c r="BK813" s="121">
        <f t="shared" si="3435"/>
        <v>0.5</v>
      </c>
      <c r="BL813" s="114">
        <f t="shared" si="3435"/>
        <v>0.5</v>
      </c>
      <c r="BM813" s="121">
        <f>BM812</f>
        <v>0.5</v>
      </c>
      <c r="BN813" s="121">
        <f t="shared" si="3436"/>
        <v>0.5</v>
      </c>
      <c r="BO813" s="114">
        <f t="shared" si="3436"/>
        <v>0.5</v>
      </c>
      <c r="BP813" s="121">
        <f>BP812</f>
        <v>0.5</v>
      </c>
      <c r="BQ813" s="121">
        <f t="shared" si="3437"/>
        <v>0.5</v>
      </c>
      <c r="BR813" s="114">
        <f t="shared" si="3437"/>
        <v>0.5</v>
      </c>
      <c r="BS813" s="4">
        <f>BS812</f>
        <v>0.5</v>
      </c>
      <c r="BT813" s="4">
        <f t="shared" si="3438"/>
        <v>0.5</v>
      </c>
      <c r="BU813" s="185">
        <f t="shared" si="3438"/>
        <v>0.5</v>
      </c>
      <c r="BV813" s="4">
        <f>BV812</f>
        <v>0.5</v>
      </c>
      <c r="BW813" s="4">
        <f t="shared" si="3439"/>
        <v>0.5</v>
      </c>
      <c r="BX813" s="185">
        <f t="shared" si="3439"/>
        <v>0.5</v>
      </c>
      <c r="BY813" s="4">
        <f>BY812</f>
        <v>0.5</v>
      </c>
      <c r="BZ813" s="4">
        <f t="shared" si="3440"/>
        <v>0.5</v>
      </c>
      <c r="CA813" s="185">
        <f t="shared" si="3440"/>
        <v>0.5</v>
      </c>
      <c r="CB813" s="4">
        <f>CB812</f>
        <v>0.5</v>
      </c>
      <c r="CC813" s="4">
        <f t="shared" si="3441"/>
        <v>0.5</v>
      </c>
      <c r="CD813" s="185">
        <f t="shared" si="3441"/>
        <v>0.5</v>
      </c>
      <c r="CE813" s="4">
        <f>CE812</f>
        <v>0.5</v>
      </c>
      <c r="CF813" s="4">
        <f t="shared" si="3442"/>
        <v>0.5</v>
      </c>
      <c r="CG813" s="185">
        <f t="shared" si="3442"/>
        <v>0.5</v>
      </c>
      <c r="CH813" s="4">
        <f>CH812</f>
        <v>0.5</v>
      </c>
      <c r="CI813" s="4">
        <f t="shared" si="3443"/>
        <v>0.5</v>
      </c>
      <c r="CJ813" s="185">
        <f t="shared" si="3443"/>
        <v>0.5</v>
      </c>
      <c r="CK813" s="4">
        <f>CK812</f>
        <v>0.5</v>
      </c>
      <c r="CL813" s="4">
        <f t="shared" si="3444"/>
        <v>0.5</v>
      </c>
      <c r="CM813" s="185">
        <f t="shared" si="3444"/>
        <v>0.5</v>
      </c>
      <c r="CN813" s="4">
        <f>CN812</f>
        <v>0.5</v>
      </c>
      <c r="CO813" s="4">
        <f t="shared" si="3445"/>
        <v>0.5</v>
      </c>
      <c r="CP813" s="185">
        <f t="shared" si="3445"/>
        <v>0.5</v>
      </c>
      <c r="CQ813" s="4">
        <f>CQ812</f>
        <v>0.5</v>
      </c>
      <c r="CR813" s="4">
        <f t="shared" si="3446"/>
        <v>0.5</v>
      </c>
      <c r="CS813" s="185">
        <f t="shared" si="3446"/>
        <v>0.5</v>
      </c>
      <c r="CT813" s="4">
        <f>CT812</f>
        <v>0.5</v>
      </c>
      <c r="CU813" s="4">
        <f t="shared" si="3447"/>
        <v>0.5</v>
      </c>
      <c r="CV813" s="185">
        <f t="shared" si="3447"/>
        <v>0.5</v>
      </c>
      <c r="CW813" s="4">
        <f>CW812</f>
        <v>0.5</v>
      </c>
      <c r="CX813" s="4">
        <f t="shared" si="3448"/>
        <v>0.5</v>
      </c>
      <c r="CY813" s="185">
        <f t="shared" si="3448"/>
        <v>0.5</v>
      </c>
      <c r="CZ813" s="4">
        <f>CZ812</f>
        <v>0.5</v>
      </c>
      <c r="DA813" s="4">
        <f t="shared" si="3449"/>
        <v>0.5</v>
      </c>
      <c r="DB813" s="185">
        <f t="shared" si="3449"/>
        <v>0.5</v>
      </c>
      <c r="DC813" s="4">
        <f>DC812</f>
        <v>0.5</v>
      </c>
      <c r="DD813" s="4">
        <f t="shared" si="3450"/>
        <v>0.5</v>
      </c>
      <c r="DE813" s="185">
        <f t="shared" si="3450"/>
        <v>0.5</v>
      </c>
      <c r="DF813" s="4">
        <f>DF812</f>
        <v>0.5</v>
      </c>
      <c r="DG813" s="4">
        <f t="shared" si="3451"/>
        <v>0.5</v>
      </c>
      <c r="DH813" s="185">
        <f t="shared" si="3451"/>
        <v>0.5</v>
      </c>
      <c r="DI813" s="4">
        <f>DI812</f>
        <v>0.5</v>
      </c>
      <c r="DJ813" s="4">
        <f t="shared" si="3452"/>
        <v>0.5</v>
      </c>
      <c r="DK813" s="185">
        <f t="shared" si="3452"/>
        <v>0.5</v>
      </c>
      <c r="DL813" s="4">
        <f>DL812</f>
        <v>0.5</v>
      </c>
      <c r="DM813" s="4">
        <f t="shared" si="3453"/>
        <v>0.5</v>
      </c>
      <c r="DN813" s="185">
        <f t="shared" si="3453"/>
        <v>0.5</v>
      </c>
      <c r="DO813" s="4">
        <f>DO812</f>
        <v>0.5</v>
      </c>
      <c r="DP813" s="4">
        <f t="shared" si="3454"/>
        <v>0.5</v>
      </c>
      <c r="DQ813" s="185">
        <f t="shared" si="3454"/>
        <v>0.5</v>
      </c>
      <c r="DR813" s="4">
        <f>DR812</f>
        <v>0.5</v>
      </c>
      <c r="DS813" s="4">
        <f t="shared" si="3455"/>
        <v>0.5</v>
      </c>
      <c r="DT813" s="185">
        <f t="shared" si="3455"/>
        <v>0.5</v>
      </c>
      <c r="DU813" s="4">
        <f>DU812</f>
        <v>0.5</v>
      </c>
      <c r="DV813" s="4">
        <f t="shared" si="3456"/>
        <v>0.5</v>
      </c>
      <c r="DW813" s="185">
        <f t="shared" si="3456"/>
        <v>0.5</v>
      </c>
      <c r="DX813" s="4">
        <f>DX812</f>
        <v>0.5</v>
      </c>
      <c r="DY813" s="4">
        <f t="shared" si="3457"/>
        <v>0.5</v>
      </c>
      <c r="DZ813" s="185">
        <f t="shared" si="3457"/>
        <v>0.5</v>
      </c>
      <c r="EA813" s="4">
        <f>EA812</f>
        <v>0.5</v>
      </c>
      <c r="EB813" s="4">
        <f t="shared" si="3458"/>
        <v>0.5</v>
      </c>
      <c r="EC813" s="185">
        <f t="shared" si="3458"/>
        <v>0.5</v>
      </c>
      <c r="ED813" s="4">
        <f>ED812</f>
        <v>0.5</v>
      </c>
      <c r="EE813" s="4">
        <f t="shared" si="3459"/>
        <v>0.5</v>
      </c>
      <c r="EF813" s="185">
        <f t="shared" si="3459"/>
        <v>0.5</v>
      </c>
      <c r="EG813" s="4">
        <f>EG812</f>
        <v>0.5</v>
      </c>
      <c r="EH813" s="4">
        <f t="shared" si="3460"/>
        <v>0.5</v>
      </c>
      <c r="EI813" s="185">
        <f t="shared" si="3460"/>
        <v>0.5</v>
      </c>
      <c r="EJ813" s="4">
        <f>EJ812</f>
        <v>0.5</v>
      </c>
      <c r="EK813" s="4">
        <f t="shared" si="3461"/>
        <v>0.5</v>
      </c>
      <c r="EL813" s="185">
        <f t="shared" si="3461"/>
        <v>0.5</v>
      </c>
      <c r="EM813" s="4">
        <f>EM812</f>
        <v>0.5</v>
      </c>
      <c r="EN813" s="4">
        <f t="shared" si="3462"/>
        <v>0.5</v>
      </c>
      <c r="EO813" s="185">
        <f t="shared" si="3462"/>
        <v>0.5</v>
      </c>
      <c r="EP813" s="4">
        <f>EP812</f>
        <v>0.5</v>
      </c>
      <c r="EQ813" s="4">
        <f t="shared" si="3463"/>
        <v>0.5</v>
      </c>
      <c r="ER813" s="185">
        <f t="shared" si="3463"/>
        <v>0.5</v>
      </c>
      <c r="ES813" s="4">
        <f>ES812</f>
        <v>0.5</v>
      </c>
      <c r="ET813" s="4">
        <f t="shared" si="3423"/>
        <v>0.5</v>
      </c>
      <c r="EU813" s="185">
        <f t="shared" si="3424"/>
        <v>0.5</v>
      </c>
      <c r="EV813" s="4">
        <f>EV812</f>
        <v>0.5</v>
      </c>
      <c r="EW813" s="4">
        <f t="shared" si="3426"/>
        <v>0.5</v>
      </c>
      <c r="EX813" s="185">
        <f t="shared" si="3427"/>
        <v>0.5</v>
      </c>
      <c r="EY813" s="4">
        <f>EY812</f>
        <v>0.5</v>
      </c>
      <c r="EZ813" s="4">
        <f t="shared" si="3429"/>
        <v>0.5</v>
      </c>
      <c r="FA813" s="185">
        <f t="shared" si="3430"/>
        <v>0.5</v>
      </c>
      <c r="FH813" s="35"/>
      <c r="FI813" s="35"/>
      <c r="FJ813" s="35"/>
      <c r="FK813" s="35"/>
      <c r="FL813" s="35"/>
      <c r="FM813" s="35"/>
      <c r="FN813" s="35"/>
      <c r="FO813" s="35"/>
      <c r="FP813" s="35"/>
      <c r="FQ813" s="35"/>
    </row>
    <row r="814" spans="1:173" s="321" customFormat="1" hidden="1" outlineLevel="1">
      <c r="A814" s="1168"/>
      <c r="B814" s="186"/>
      <c r="C814" s="186"/>
      <c r="D814" s="910"/>
      <c r="E814" s="1"/>
      <c r="F814" s="1"/>
      <c r="G814" s="5"/>
      <c r="H814" s="1"/>
      <c r="I814" s="1"/>
      <c r="J814" s="5"/>
      <c r="K814" s="1"/>
      <c r="L814" s="1"/>
      <c r="M814" s="5"/>
      <c r="N814" s="1"/>
      <c r="O814" s="1"/>
      <c r="P814" s="5"/>
      <c r="Q814" s="1"/>
      <c r="R814" s="1"/>
      <c r="S814" s="5"/>
      <c r="T814" s="1"/>
      <c r="U814" s="1"/>
      <c r="V814" s="5"/>
      <c r="W814" s="1"/>
      <c r="X814" s="1"/>
      <c r="Y814" s="5"/>
      <c r="Z814" s="1"/>
      <c r="AA814" s="1"/>
      <c r="AB814" s="5"/>
      <c r="AC814" s="1"/>
      <c r="AD814" s="1"/>
      <c r="AE814" s="5"/>
      <c r="AF814" s="1"/>
      <c r="AG814" s="1"/>
      <c r="AH814" s="5"/>
      <c r="AI814" s="1"/>
      <c r="AJ814" s="1"/>
      <c r="AK814" s="5"/>
      <c r="AL814" s="1"/>
      <c r="AM814" s="1"/>
      <c r="AN814" s="5"/>
      <c r="AO814" s="1"/>
      <c r="AP814" s="1"/>
      <c r="AQ814" s="5"/>
      <c r="AR814" s="1"/>
      <c r="AS814" s="1"/>
      <c r="AT814" s="5"/>
      <c r="AU814" s="1"/>
      <c r="AV814" s="1"/>
      <c r="AW814" s="5"/>
      <c r="AX814" s="3"/>
      <c r="AY814" s="185"/>
      <c r="AZ814" s="2"/>
      <c r="BA814" s="3"/>
      <c r="BB814" s="3"/>
      <c r="BC814" s="973"/>
      <c r="BD814" s="3"/>
      <c r="BE814" s="3"/>
      <c r="BF814" s="973"/>
      <c r="BG814" s="3"/>
      <c r="BH814" s="3"/>
      <c r="BI814" s="978"/>
      <c r="BJ814" s="115"/>
      <c r="BK814" s="115"/>
      <c r="BL814" s="116"/>
      <c r="BM814" s="115"/>
      <c r="BN814" s="115"/>
      <c r="BO814" s="116"/>
      <c r="BP814" s="115"/>
      <c r="BQ814" s="115"/>
      <c r="BR814" s="116"/>
      <c r="BS814" s="8"/>
      <c r="BT814" s="8"/>
      <c r="BU814" s="187"/>
      <c r="BV814" s="8"/>
      <c r="BW814" s="8"/>
      <c r="BX814" s="187"/>
      <c r="BY814" s="8"/>
      <c r="BZ814" s="8"/>
      <c r="CA814" s="187"/>
      <c r="CB814" s="8"/>
      <c r="CC814" s="8"/>
      <c r="CD814" s="187"/>
      <c r="CE814" s="8"/>
      <c r="CF814" s="8"/>
      <c r="CG814" s="187"/>
      <c r="CH814" s="8"/>
      <c r="CI814" s="8"/>
      <c r="CJ814" s="187"/>
      <c r="CK814" s="8"/>
      <c r="CL814" s="8"/>
      <c r="CM814" s="187"/>
      <c r="CN814" s="8"/>
      <c r="CO814" s="8"/>
      <c r="CP814" s="187"/>
      <c r="CQ814" s="8"/>
      <c r="CR814" s="8"/>
      <c r="CS814" s="187"/>
      <c r="CT814" s="8"/>
      <c r="CU814" s="8"/>
      <c r="CV814" s="187"/>
      <c r="CW814" s="8"/>
      <c r="CX814" s="8"/>
      <c r="CY814" s="187"/>
      <c r="CZ814" s="8"/>
      <c r="DA814" s="8"/>
      <c r="DB814" s="187"/>
      <c r="DC814" s="8"/>
      <c r="DD814" s="8"/>
      <c r="DE814" s="187"/>
      <c r="DF814" s="8"/>
      <c r="DG814" s="8"/>
      <c r="DH814" s="187"/>
      <c r="DI814" s="8"/>
      <c r="DJ814" s="8"/>
      <c r="DK814" s="187"/>
      <c r="DL814" s="8"/>
      <c r="DM814" s="8"/>
      <c r="DN814" s="187"/>
      <c r="DO814" s="8"/>
      <c r="DP814" s="8"/>
      <c r="DQ814" s="187"/>
      <c r="DR814" s="8"/>
      <c r="DS814" s="8"/>
      <c r="DT814" s="187"/>
      <c r="DU814" s="8"/>
      <c r="DV814" s="8"/>
      <c r="DW814" s="187"/>
      <c r="DX814" s="8"/>
      <c r="DY814" s="8"/>
      <c r="DZ814" s="187"/>
      <c r="EA814" s="8"/>
      <c r="EB814" s="8"/>
      <c r="EC814" s="187"/>
      <c r="ED814" s="8"/>
      <c r="EE814" s="8"/>
      <c r="EF814" s="187"/>
      <c r="EG814" s="8"/>
      <c r="EH814" s="8"/>
      <c r="EI814" s="187"/>
      <c r="EJ814" s="8"/>
      <c r="EK814" s="8"/>
      <c r="EL814" s="187"/>
      <c r="EM814" s="8"/>
      <c r="EN814" s="8"/>
      <c r="EO814" s="187"/>
      <c r="EP814" s="8"/>
      <c r="EQ814" s="8"/>
      <c r="ER814" s="187"/>
      <c r="ES814" s="8"/>
      <c r="ET814" s="8"/>
      <c r="EU814" s="187"/>
      <c r="EV814" s="8"/>
      <c r="EW814" s="8"/>
      <c r="EX814" s="187"/>
      <c r="EY814" s="8"/>
      <c r="EZ814" s="8"/>
      <c r="FA814" s="187"/>
      <c r="FH814" s="35"/>
      <c r="FI814" s="35"/>
      <c r="FJ814" s="35"/>
      <c r="FK814" s="35"/>
      <c r="FL814" s="35"/>
      <c r="FM814" s="35"/>
      <c r="FN814" s="35"/>
      <c r="FO814" s="35"/>
      <c r="FP814" s="35"/>
      <c r="FQ814" s="35"/>
    </row>
    <row r="815" spans="1:173" s="321" customFormat="1" hidden="1" outlineLevel="1">
      <c r="A815" s="1168"/>
      <c r="B815" s="186"/>
      <c r="C815" s="331" t="s">
        <v>192</v>
      </c>
      <c r="D815" s="910"/>
      <c r="E815" s="1"/>
      <c r="F815" s="1"/>
      <c r="G815" s="5"/>
      <c r="H815" s="1"/>
      <c r="I815" s="1"/>
      <c r="J815" s="5"/>
      <c r="K815" s="1"/>
      <c r="L815" s="1"/>
      <c r="M815" s="5"/>
      <c r="N815" s="1"/>
      <c r="O815" s="1"/>
      <c r="P815" s="5"/>
      <c r="Q815" s="1"/>
      <c r="R815" s="1"/>
      <c r="S815" s="5"/>
      <c r="T815" s="1"/>
      <c r="U815" s="1"/>
      <c r="V815" s="5"/>
      <c r="W815" s="1"/>
      <c r="X815" s="1"/>
      <c r="Y815" s="5"/>
      <c r="Z815" s="1"/>
      <c r="AA815" s="1"/>
      <c r="AB815" s="5"/>
      <c r="AC815" s="1"/>
      <c r="AD815" s="1"/>
      <c r="AE815" s="5"/>
      <c r="AF815" s="1"/>
      <c r="AG815" s="1"/>
      <c r="AH815" s="5"/>
      <c r="AI815" s="1"/>
      <c r="AJ815" s="1"/>
      <c r="AK815" s="5"/>
      <c r="AL815" s="1"/>
      <c r="AM815" s="1"/>
      <c r="AN815" s="5"/>
      <c r="AO815" s="1"/>
      <c r="AP815" s="1"/>
      <c r="AQ815" s="5"/>
      <c r="AR815" s="1"/>
      <c r="AS815" s="1"/>
      <c r="AT815" s="5"/>
      <c r="AU815" s="1"/>
      <c r="AV815" s="1"/>
      <c r="AW815" s="5"/>
      <c r="AX815" s="3"/>
      <c r="AY815" s="3"/>
      <c r="AZ815" s="2"/>
      <c r="BA815" s="3"/>
      <c r="BB815" s="3"/>
      <c r="BC815" s="973"/>
      <c r="BD815" s="3"/>
      <c r="BE815" s="3"/>
      <c r="BF815" s="973"/>
      <c r="BG815" s="3"/>
      <c r="BH815" s="3"/>
      <c r="BI815" s="978"/>
      <c r="BJ815" s="115"/>
      <c r="BK815" s="115"/>
      <c r="BL815" s="116"/>
      <c r="BM815" s="115"/>
      <c r="BN815" s="115"/>
      <c r="BO815" s="116"/>
      <c r="BP815" s="115"/>
      <c r="BQ815" s="115"/>
      <c r="BR815" s="116"/>
      <c r="BS815" s="8"/>
      <c r="BT815" s="8"/>
      <c r="BU815" s="187"/>
      <c r="BV815" s="8"/>
      <c r="BW815" s="8"/>
      <c r="BX815" s="187"/>
      <c r="BY815" s="8"/>
      <c r="BZ815" s="8"/>
      <c r="CA815" s="187"/>
      <c r="CB815" s="8"/>
      <c r="CC815" s="8"/>
      <c r="CD815" s="187"/>
      <c r="CE815" s="8"/>
      <c r="CF815" s="8"/>
      <c r="CG815" s="187"/>
      <c r="CH815" s="8"/>
      <c r="CI815" s="8"/>
      <c r="CJ815" s="187"/>
      <c r="CK815" s="8"/>
      <c r="CL815" s="8"/>
      <c r="CM815" s="187"/>
      <c r="CN815" s="8"/>
      <c r="CO815" s="8"/>
      <c r="CP815" s="187"/>
      <c r="CQ815" s="8"/>
      <c r="CR815" s="8"/>
      <c r="CS815" s="187"/>
      <c r="CT815" s="8"/>
      <c r="CU815" s="8"/>
      <c r="CV815" s="187"/>
      <c r="CW815" s="8"/>
      <c r="CX815" s="8"/>
      <c r="CY815" s="187"/>
      <c r="CZ815" s="8"/>
      <c r="DA815" s="8"/>
      <c r="DB815" s="187"/>
      <c r="DC815" s="8"/>
      <c r="DD815" s="8"/>
      <c r="DE815" s="187"/>
      <c r="DF815" s="8"/>
      <c r="DG815" s="8"/>
      <c r="DH815" s="187"/>
      <c r="DI815" s="8"/>
      <c r="DJ815" s="8"/>
      <c r="DK815" s="187"/>
      <c r="DL815" s="8"/>
      <c r="DM815" s="8"/>
      <c r="DN815" s="187"/>
      <c r="DO815" s="8"/>
      <c r="DP815" s="8"/>
      <c r="DQ815" s="187"/>
      <c r="DR815" s="8"/>
      <c r="DS815" s="8"/>
      <c r="DT815" s="187"/>
      <c r="DU815" s="8"/>
      <c r="DV815" s="8"/>
      <c r="DW815" s="187"/>
      <c r="DX815" s="8"/>
      <c r="DY815" s="8"/>
      <c r="DZ815" s="187"/>
      <c r="EA815" s="8"/>
      <c r="EB815" s="8"/>
      <c r="EC815" s="187"/>
      <c r="ED815" s="8"/>
      <c r="EE815" s="8"/>
      <c r="EF815" s="187"/>
      <c r="EG815" s="8"/>
      <c r="EH815" s="8"/>
      <c r="EI815" s="187"/>
      <c r="EJ815" s="8"/>
      <c r="EK815" s="8"/>
      <c r="EL815" s="187"/>
      <c r="EM815" s="8"/>
      <c r="EN815" s="8"/>
      <c r="EO815" s="187"/>
      <c r="EP815" s="8"/>
      <c r="EQ815" s="8"/>
      <c r="ER815" s="187"/>
      <c r="ES815" s="8"/>
      <c r="ET815" s="8"/>
      <c r="EU815" s="187"/>
      <c r="EV815" s="8"/>
      <c r="EW815" s="8"/>
      <c r="EX815" s="187"/>
      <c r="EY815" s="8"/>
      <c r="EZ815" s="8"/>
      <c r="FA815" s="187"/>
      <c r="FH815" s="35"/>
      <c r="FI815" s="35"/>
      <c r="FJ815" s="35"/>
      <c r="FK815" s="35"/>
      <c r="FL815" s="35"/>
      <c r="FM815" s="35"/>
      <c r="FN815" s="35"/>
      <c r="FO815" s="35"/>
      <c r="FP815" s="35"/>
      <c r="FQ815" s="35"/>
    </row>
    <row r="816" spans="1:173" s="321" customFormat="1" hidden="1" outlineLevel="1">
      <c r="A816" s="1168"/>
      <c r="B816" s="186"/>
      <c r="C816" s="186" t="s">
        <v>316</v>
      </c>
      <c r="D816" s="910"/>
      <c r="E816" s="1"/>
      <c r="F816" s="1"/>
      <c r="G816" s="5"/>
      <c r="H816" s="1"/>
      <c r="I816" s="1"/>
      <c r="J816" s="5"/>
      <c r="K816" s="1"/>
      <c r="L816" s="1"/>
      <c r="M816" s="5"/>
      <c r="N816" s="1"/>
      <c r="O816" s="1"/>
      <c r="P816" s="5"/>
      <c r="Q816" s="1"/>
      <c r="R816" s="1"/>
      <c r="S816" s="5"/>
      <c r="T816" s="1"/>
      <c r="U816" s="1"/>
      <c r="V816" s="5"/>
      <c r="W816" s="1"/>
      <c r="X816" s="1"/>
      <c r="Y816" s="5"/>
      <c r="Z816" s="1"/>
      <c r="AA816" s="1"/>
      <c r="AB816" s="5"/>
      <c r="AC816" s="1"/>
      <c r="AD816" s="1"/>
      <c r="AE816" s="5"/>
      <c r="AF816" s="1"/>
      <c r="AG816" s="1"/>
      <c r="AH816" s="5"/>
      <c r="AI816" s="1"/>
      <c r="AJ816" s="1"/>
      <c r="AK816" s="5"/>
      <c r="AL816" s="1"/>
      <c r="AM816" s="1"/>
      <c r="AN816" s="5"/>
      <c r="AO816" s="1"/>
      <c r="AP816" s="1"/>
      <c r="AQ816" s="5"/>
      <c r="AR816" s="1"/>
      <c r="AS816" s="1"/>
      <c r="AT816" s="5"/>
      <c r="AU816" s="1"/>
      <c r="AV816" s="1"/>
      <c r="AW816" s="5"/>
      <c r="AX816" s="185">
        <f t="shared" ref="AX816:CC816" si="3464">1-AX810</f>
        <v>0.5</v>
      </c>
      <c r="AY816" s="185">
        <f t="shared" si="3464"/>
        <v>0.5</v>
      </c>
      <c r="AZ816" s="185">
        <f t="shared" si="3464"/>
        <v>0.5</v>
      </c>
      <c r="BA816" s="4">
        <f t="shared" si="3464"/>
        <v>0.5</v>
      </c>
      <c r="BB816" s="4">
        <f t="shared" si="3464"/>
        <v>0.5</v>
      </c>
      <c r="BC816" s="971">
        <f t="shared" si="3464"/>
        <v>0.5</v>
      </c>
      <c r="BD816" s="4">
        <f t="shared" si="3464"/>
        <v>0.5</v>
      </c>
      <c r="BE816" s="4">
        <f t="shared" si="3464"/>
        <v>0.5</v>
      </c>
      <c r="BF816" s="971">
        <f t="shared" si="3464"/>
        <v>0.5</v>
      </c>
      <c r="BG816" s="4">
        <f t="shared" si="3464"/>
        <v>0.5</v>
      </c>
      <c r="BH816" s="4">
        <f t="shared" si="3464"/>
        <v>0.5</v>
      </c>
      <c r="BI816" s="971">
        <f t="shared" si="3464"/>
        <v>0.5</v>
      </c>
      <c r="BJ816" s="121">
        <f t="shared" si="3464"/>
        <v>0.5</v>
      </c>
      <c r="BK816" s="121">
        <f t="shared" si="3464"/>
        <v>0.5</v>
      </c>
      <c r="BL816" s="114">
        <f t="shared" si="3464"/>
        <v>0.5</v>
      </c>
      <c r="BM816" s="121">
        <f t="shared" si="3464"/>
        <v>0.5</v>
      </c>
      <c r="BN816" s="121">
        <f t="shared" si="3464"/>
        <v>0.5</v>
      </c>
      <c r="BO816" s="114">
        <f t="shared" si="3464"/>
        <v>0.5</v>
      </c>
      <c r="BP816" s="121">
        <f t="shared" si="3464"/>
        <v>0.5</v>
      </c>
      <c r="BQ816" s="121">
        <f t="shared" si="3464"/>
        <v>0.5</v>
      </c>
      <c r="BR816" s="114">
        <f t="shared" si="3464"/>
        <v>0.5</v>
      </c>
      <c r="BS816" s="4">
        <f t="shared" si="3464"/>
        <v>0.5</v>
      </c>
      <c r="BT816" s="4">
        <f t="shared" si="3464"/>
        <v>0.5</v>
      </c>
      <c r="BU816" s="185">
        <f t="shared" si="3464"/>
        <v>0.5</v>
      </c>
      <c r="BV816" s="4">
        <f t="shared" si="3464"/>
        <v>0.5</v>
      </c>
      <c r="BW816" s="4">
        <f t="shared" si="3464"/>
        <v>0.5</v>
      </c>
      <c r="BX816" s="185">
        <f t="shared" si="3464"/>
        <v>0.5</v>
      </c>
      <c r="BY816" s="4">
        <f t="shared" si="3464"/>
        <v>0.5</v>
      </c>
      <c r="BZ816" s="4">
        <f t="shared" si="3464"/>
        <v>0.5</v>
      </c>
      <c r="CA816" s="185">
        <f t="shared" si="3464"/>
        <v>0.5</v>
      </c>
      <c r="CB816" s="4">
        <f t="shared" si="3464"/>
        <v>0.5</v>
      </c>
      <c r="CC816" s="4">
        <f t="shared" si="3464"/>
        <v>0.5</v>
      </c>
      <c r="CD816" s="185">
        <f t="shared" ref="CD816:DI816" si="3465">1-CD810</f>
        <v>0.5</v>
      </c>
      <c r="CE816" s="4">
        <f t="shared" si="3465"/>
        <v>0.5</v>
      </c>
      <c r="CF816" s="4">
        <f t="shared" si="3465"/>
        <v>0.5</v>
      </c>
      <c r="CG816" s="185">
        <f t="shared" si="3465"/>
        <v>0.5</v>
      </c>
      <c r="CH816" s="4">
        <f t="shared" si="3465"/>
        <v>0.5</v>
      </c>
      <c r="CI816" s="4">
        <f t="shared" si="3465"/>
        <v>0.5</v>
      </c>
      <c r="CJ816" s="185">
        <f t="shared" si="3465"/>
        <v>0.5</v>
      </c>
      <c r="CK816" s="4">
        <f t="shared" si="3465"/>
        <v>0.5</v>
      </c>
      <c r="CL816" s="4">
        <f t="shared" si="3465"/>
        <v>0.5</v>
      </c>
      <c r="CM816" s="185">
        <f t="shared" si="3465"/>
        <v>0.5</v>
      </c>
      <c r="CN816" s="4">
        <f t="shared" si="3465"/>
        <v>0.5</v>
      </c>
      <c r="CO816" s="4">
        <f t="shared" si="3465"/>
        <v>0.5</v>
      </c>
      <c r="CP816" s="185">
        <f t="shared" si="3465"/>
        <v>0.5</v>
      </c>
      <c r="CQ816" s="4">
        <f t="shared" si="3465"/>
        <v>0.5</v>
      </c>
      <c r="CR816" s="4">
        <f t="shared" si="3465"/>
        <v>0.5</v>
      </c>
      <c r="CS816" s="185">
        <f t="shared" si="3465"/>
        <v>0.5</v>
      </c>
      <c r="CT816" s="4">
        <f t="shared" si="3465"/>
        <v>0.5</v>
      </c>
      <c r="CU816" s="4">
        <f t="shared" si="3465"/>
        <v>0.5</v>
      </c>
      <c r="CV816" s="185">
        <f t="shared" si="3465"/>
        <v>0.5</v>
      </c>
      <c r="CW816" s="4">
        <f t="shared" si="3465"/>
        <v>0.5</v>
      </c>
      <c r="CX816" s="4">
        <f t="shared" si="3465"/>
        <v>0.5</v>
      </c>
      <c r="CY816" s="185">
        <f t="shared" si="3465"/>
        <v>0.5</v>
      </c>
      <c r="CZ816" s="4">
        <f t="shared" si="3465"/>
        <v>0.5</v>
      </c>
      <c r="DA816" s="4">
        <f t="shared" si="3465"/>
        <v>0.5</v>
      </c>
      <c r="DB816" s="185">
        <f t="shared" si="3465"/>
        <v>0.5</v>
      </c>
      <c r="DC816" s="4">
        <f t="shared" si="3465"/>
        <v>0.5</v>
      </c>
      <c r="DD816" s="4">
        <f t="shared" si="3465"/>
        <v>0.5</v>
      </c>
      <c r="DE816" s="185">
        <f t="shared" si="3465"/>
        <v>0.5</v>
      </c>
      <c r="DF816" s="4">
        <f t="shared" si="3465"/>
        <v>0.5</v>
      </c>
      <c r="DG816" s="4">
        <f t="shared" si="3465"/>
        <v>0.5</v>
      </c>
      <c r="DH816" s="185">
        <f t="shared" si="3465"/>
        <v>0.5</v>
      </c>
      <c r="DI816" s="4">
        <f t="shared" si="3465"/>
        <v>0.5</v>
      </c>
      <c r="DJ816" s="4">
        <f t="shared" ref="DJ816:EF816" si="3466">1-DJ810</f>
        <v>0.5</v>
      </c>
      <c r="DK816" s="185">
        <f t="shared" si="3466"/>
        <v>0.5</v>
      </c>
      <c r="DL816" s="4">
        <f t="shared" si="3466"/>
        <v>0.5</v>
      </c>
      <c r="DM816" s="4">
        <f t="shared" si="3466"/>
        <v>0.5</v>
      </c>
      <c r="DN816" s="185">
        <f t="shared" si="3466"/>
        <v>0.5</v>
      </c>
      <c r="DO816" s="4">
        <f t="shared" si="3466"/>
        <v>0.5</v>
      </c>
      <c r="DP816" s="4">
        <f t="shared" si="3466"/>
        <v>0.5</v>
      </c>
      <c r="DQ816" s="185">
        <f t="shared" si="3466"/>
        <v>0.5</v>
      </c>
      <c r="DR816" s="4">
        <f t="shared" si="3466"/>
        <v>0.5</v>
      </c>
      <c r="DS816" s="4">
        <f t="shared" si="3466"/>
        <v>0.5</v>
      </c>
      <c r="DT816" s="185">
        <f t="shared" si="3466"/>
        <v>0.5</v>
      </c>
      <c r="DU816" s="4">
        <f t="shared" si="3466"/>
        <v>0.5</v>
      </c>
      <c r="DV816" s="4">
        <f t="shared" si="3466"/>
        <v>0.5</v>
      </c>
      <c r="DW816" s="185">
        <f t="shared" si="3466"/>
        <v>0.5</v>
      </c>
      <c r="DX816" s="4">
        <f t="shared" si="3466"/>
        <v>0.5</v>
      </c>
      <c r="DY816" s="4">
        <f t="shared" si="3466"/>
        <v>0.5</v>
      </c>
      <c r="DZ816" s="185">
        <f t="shared" si="3466"/>
        <v>0.5</v>
      </c>
      <c r="EA816" s="4">
        <f t="shared" si="3466"/>
        <v>0.5</v>
      </c>
      <c r="EB816" s="4">
        <f t="shared" si="3466"/>
        <v>0.5</v>
      </c>
      <c r="EC816" s="185">
        <f t="shared" si="3466"/>
        <v>0.5</v>
      </c>
      <c r="ED816" s="4">
        <f t="shared" si="3466"/>
        <v>0.5</v>
      </c>
      <c r="EE816" s="4">
        <f t="shared" si="3466"/>
        <v>0.5</v>
      </c>
      <c r="EF816" s="185">
        <f t="shared" si="3466"/>
        <v>0.5</v>
      </c>
      <c r="EG816" s="4">
        <f t="shared" ref="EG816:EL816" si="3467">1-EG810</f>
        <v>0.5</v>
      </c>
      <c r="EH816" s="4">
        <f t="shared" si="3467"/>
        <v>0.5</v>
      </c>
      <c r="EI816" s="185">
        <f t="shared" si="3467"/>
        <v>0.5</v>
      </c>
      <c r="EJ816" s="4">
        <f t="shared" si="3467"/>
        <v>0.5</v>
      </c>
      <c r="EK816" s="4">
        <f t="shared" si="3467"/>
        <v>0.5</v>
      </c>
      <c r="EL816" s="185">
        <f t="shared" si="3467"/>
        <v>0.5</v>
      </c>
      <c r="EM816" s="4">
        <f t="shared" ref="EM816:ER816" si="3468">1-EM810</f>
        <v>0.5</v>
      </c>
      <c r="EN816" s="4">
        <f t="shared" si="3468"/>
        <v>0.5</v>
      </c>
      <c r="EO816" s="185">
        <f t="shared" si="3468"/>
        <v>0.5</v>
      </c>
      <c r="EP816" s="4">
        <f t="shared" si="3468"/>
        <v>0.5</v>
      </c>
      <c r="EQ816" s="4">
        <f t="shared" si="3468"/>
        <v>0.5</v>
      </c>
      <c r="ER816" s="185">
        <f t="shared" si="3468"/>
        <v>0.5</v>
      </c>
      <c r="ES816" s="4">
        <f t="shared" ref="ES816:EX816" si="3469">1-ES810</f>
        <v>0.5</v>
      </c>
      <c r="ET816" s="4">
        <f t="shared" si="3469"/>
        <v>0.5</v>
      </c>
      <c r="EU816" s="185">
        <f t="shared" si="3469"/>
        <v>0.5</v>
      </c>
      <c r="EV816" s="4">
        <f t="shared" si="3469"/>
        <v>0.5</v>
      </c>
      <c r="EW816" s="4">
        <f t="shared" si="3469"/>
        <v>0.5</v>
      </c>
      <c r="EX816" s="185">
        <f t="shared" si="3469"/>
        <v>0.5</v>
      </c>
      <c r="EY816" s="4">
        <f t="shared" ref="EY816:FA816" si="3470">1-EY810</f>
        <v>0.5</v>
      </c>
      <c r="EZ816" s="4">
        <f t="shared" si="3470"/>
        <v>0.5</v>
      </c>
      <c r="FA816" s="185">
        <f t="shared" si="3470"/>
        <v>0.5</v>
      </c>
      <c r="FH816" s="35"/>
      <c r="FI816" s="35"/>
      <c r="FJ816" s="35"/>
      <c r="FK816" s="35"/>
      <c r="FL816" s="35"/>
      <c r="FM816" s="35"/>
      <c r="FN816" s="35"/>
      <c r="FO816" s="35"/>
      <c r="FP816" s="35"/>
      <c r="FQ816" s="35"/>
    </row>
    <row r="817" spans="1:173" s="321" customFormat="1" hidden="1" outlineLevel="1">
      <c r="A817" s="1168"/>
      <c r="B817" s="186"/>
      <c r="C817" s="186" t="s">
        <v>317</v>
      </c>
      <c r="D817" s="910"/>
      <c r="E817" s="1"/>
      <c r="F817" s="1"/>
      <c r="G817" s="5"/>
      <c r="H817" s="1"/>
      <c r="I817" s="1"/>
      <c r="J817" s="5"/>
      <c r="K817" s="1"/>
      <c r="L817" s="1"/>
      <c r="M817" s="5"/>
      <c r="N817" s="1"/>
      <c r="O817" s="1"/>
      <c r="P817" s="5"/>
      <c r="Q817" s="1"/>
      <c r="R817" s="1"/>
      <c r="S817" s="5"/>
      <c r="T817" s="1"/>
      <c r="U817" s="1"/>
      <c r="V817" s="5"/>
      <c r="W817" s="1"/>
      <c r="X817" s="1"/>
      <c r="Y817" s="5"/>
      <c r="Z817" s="1"/>
      <c r="AA817" s="1"/>
      <c r="AB817" s="5"/>
      <c r="AC817" s="1"/>
      <c r="AD817" s="1"/>
      <c r="AE817" s="5"/>
      <c r="AF817" s="1"/>
      <c r="AG817" s="1"/>
      <c r="AH817" s="5"/>
      <c r="AI817" s="1"/>
      <c r="AJ817" s="1"/>
      <c r="AK817" s="5"/>
      <c r="AL817" s="1"/>
      <c r="AM817" s="1"/>
      <c r="AN817" s="5"/>
      <c r="AO817" s="1"/>
      <c r="AP817" s="1"/>
      <c r="AQ817" s="5"/>
      <c r="AR817" s="1"/>
      <c r="AS817" s="1"/>
      <c r="AT817" s="5"/>
      <c r="AU817" s="1"/>
      <c r="AV817" s="1"/>
      <c r="AW817" s="5"/>
      <c r="AX817" s="185">
        <f t="shared" ref="AX817:CC817" si="3471">1-AX811</f>
        <v>0.5</v>
      </c>
      <c r="AY817" s="185">
        <f t="shared" si="3471"/>
        <v>0.5</v>
      </c>
      <c r="AZ817" s="185">
        <f t="shared" si="3471"/>
        <v>0.5</v>
      </c>
      <c r="BA817" s="4">
        <f t="shared" si="3471"/>
        <v>0.5</v>
      </c>
      <c r="BB817" s="4">
        <f t="shared" si="3471"/>
        <v>0.5</v>
      </c>
      <c r="BC817" s="971">
        <f t="shared" si="3471"/>
        <v>0.5</v>
      </c>
      <c r="BD817" s="4">
        <f t="shared" si="3471"/>
        <v>0.5</v>
      </c>
      <c r="BE817" s="4">
        <f t="shared" si="3471"/>
        <v>0.5</v>
      </c>
      <c r="BF817" s="971">
        <f t="shared" si="3471"/>
        <v>0.5</v>
      </c>
      <c r="BG817" s="4">
        <f t="shared" si="3471"/>
        <v>0.5</v>
      </c>
      <c r="BH817" s="4">
        <f t="shared" si="3471"/>
        <v>0.5</v>
      </c>
      <c r="BI817" s="971">
        <f t="shared" si="3471"/>
        <v>0.5</v>
      </c>
      <c r="BJ817" s="121">
        <f t="shared" si="3471"/>
        <v>0.5</v>
      </c>
      <c r="BK817" s="121">
        <f t="shared" si="3471"/>
        <v>0.5</v>
      </c>
      <c r="BL817" s="114">
        <f t="shared" si="3471"/>
        <v>0.5</v>
      </c>
      <c r="BM817" s="121">
        <f t="shared" si="3471"/>
        <v>0.5</v>
      </c>
      <c r="BN817" s="121">
        <f t="shared" si="3471"/>
        <v>0.5</v>
      </c>
      <c r="BO817" s="114">
        <f t="shared" si="3471"/>
        <v>0.5</v>
      </c>
      <c r="BP817" s="121">
        <f t="shared" si="3471"/>
        <v>0.5</v>
      </c>
      <c r="BQ817" s="121">
        <f t="shared" si="3471"/>
        <v>0.5</v>
      </c>
      <c r="BR817" s="114">
        <f t="shared" si="3471"/>
        <v>0.5</v>
      </c>
      <c r="BS817" s="4">
        <f t="shared" si="3471"/>
        <v>0.5</v>
      </c>
      <c r="BT817" s="4">
        <f t="shared" si="3471"/>
        <v>0.5</v>
      </c>
      <c r="BU817" s="185">
        <f t="shared" si="3471"/>
        <v>0.5</v>
      </c>
      <c r="BV817" s="4">
        <f t="shared" si="3471"/>
        <v>0.5</v>
      </c>
      <c r="BW817" s="4">
        <f t="shared" si="3471"/>
        <v>0.5</v>
      </c>
      <c r="BX817" s="185">
        <f t="shared" si="3471"/>
        <v>0.5</v>
      </c>
      <c r="BY817" s="4">
        <f t="shared" si="3471"/>
        <v>0.5</v>
      </c>
      <c r="BZ817" s="4">
        <f t="shared" si="3471"/>
        <v>0.5</v>
      </c>
      <c r="CA817" s="185">
        <f t="shared" si="3471"/>
        <v>0.5</v>
      </c>
      <c r="CB817" s="4">
        <f t="shared" si="3471"/>
        <v>0.5</v>
      </c>
      <c r="CC817" s="4">
        <f t="shared" si="3471"/>
        <v>0.5</v>
      </c>
      <c r="CD817" s="185">
        <f t="shared" ref="CD817:DI817" si="3472">1-CD811</f>
        <v>0.5</v>
      </c>
      <c r="CE817" s="4">
        <f t="shared" si="3472"/>
        <v>0.5</v>
      </c>
      <c r="CF817" s="4">
        <f t="shared" si="3472"/>
        <v>0.5</v>
      </c>
      <c r="CG817" s="185">
        <f t="shared" si="3472"/>
        <v>0.5</v>
      </c>
      <c r="CH817" s="4">
        <f t="shared" si="3472"/>
        <v>0.5</v>
      </c>
      <c r="CI817" s="4">
        <f t="shared" si="3472"/>
        <v>0.5</v>
      </c>
      <c r="CJ817" s="185">
        <f t="shared" si="3472"/>
        <v>0.5</v>
      </c>
      <c r="CK817" s="4">
        <f t="shared" si="3472"/>
        <v>0.5</v>
      </c>
      <c r="CL817" s="4">
        <f t="shared" si="3472"/>
        <v>0.5</v>
      </c>
      <c r="CM817" s="185">
        <f t="shared" si="3472"/>
        <v>0.5</v>
      </c>
      <c r="CN817" s="4">
        <f t="shared" si="3472"/>
        <v>0.5</v>
      </c>
      <c r="CO817" s="4">
        <f t="shared" si="3472"/>
        <v>0.5</v>
      </c>
      <c r="CP817" s="185">
        <f t="shared" si="3472"/>
        <v>0.5</v>
      </c>
      <c r="CQ817" s="4">
        <f t="shared" si="3472"/>
        <v>0.5</v>
      </c>
      <c r="CR817" s="4">
        <f t="shared" si="3472"/>
        <v>0.5</v>
      </c>
      <c r="CS817" s="185">
        <f t="shared" si="3472"/>
        <v>0.5</v>
      </c>
      <c r="CT817" s="4">
        <f t="shared" si="3472"/>
        <v>0.5</v>
      </c>
      <c r="CU817" s="4">
        <f t="shared" si="3472"/>
        <v>0.5</v>
      </c>
      <c r="CV817" s="185">
        <f t="shared" si="3472"/>
        <v>0.5</v>
      </c>
      <c r="CW817" s="4">
        <f t="shared" si="3472"/>
        <v>0.5</v>
      </c>
      <c r="CX817" s="4">
        <f t="shared" si="3472"/>
        <v>0.5</v>
      </c>
      <c r="CY817" s="185">
        <f t="shared" si="3472"/>
        <v>0.5</v>
      </c>
      <c r="CZ817" s="4">
        <f t="shared" si="3472"/>
        <v>0.5</v>
      </c>
      <c r="DA817" s="4">
        <f t="shared" si="3472"/>
        <v>0.5</v>
      </c>
      <c r="DB817" s="185">
        <f t="shared" si="3472"/>
        <v>0.5</v>
      </c>
      <c r="DC817" s="4">
        <f t="shared" si="3472"/>
        <v>0.5</v>
      </c>
      <c r="DD817" s="4">
        <f t="shared" si="3472"/>
        <v>0.5</v>
      </c>
      <c r="DE817" s="185">
        <f t="shared" si="3472"/>
        <v>0.5</v>
      </c>
      <c r="DF817" s="4">
        <f t="shared" si="3472"/>
        <v>0.5</v>
      </c>
      <c r="DG817" s="4">
        <f t="shared" si="3472"/>
        <v>0.5</v>
      </c>
      <c r="DH817" s="185">
        <f t="shared" si="3472"/>
        <v>0.5</v>
      </c>
      <c r="DI817" s="4">
        <f t="shared" si="3472"/>
        <v>0.5</v>
      </c>
      <c r="DJ817" s="4">
        <f t="shared" ref="DJ817:EF817" si="3473">1-DJ811</f>
        <v>0.5</v>
      </c>
      <c r="DK817" s="185">
        <f t="shared" si="3473"/>
        <v>0.5</v>
      </c>
      <c r="DL817" s="4">
        <f t="shared" si="3473"/>
        <v>0.5</v>
      </c>
      <c r="DM817" s="4">
        <f t="shared" si="3473"/>
        <v>0.5</v>
      </c>
      <c r="DN817" s="185">
        <f t="shared" si="3473"/>
        <v>0.5</v>
      </c>
      <c r="DO817" s="4">
        <f t="shared" si="3473"/>
        <v>0.5</v>
      </c>
      <c r="DP817" s="4">
        <f t="shared" si="3473"/>
        <v>0.5</v>
      </c>
      <c r="DQ817" s="185">
        <f t="shared" si="3473"/>
        <v>0.5</v>
      </c>
      <c r="DR817" s="4">
        <f t="shared" si="3473"/>
        <v>0.5</v>
      </c>
      <c r="DS817" s="4">
        <f t="shared" si="3473"/>
        <v>0.5</v>
      </c>
      <c r="DT817" s="185">
        <f t="shared" si="3473"/>
        <v>0.5</v>
      </c>
      <c r="DU817" s="4">
        <f t="shared" si="3473"/>
        <v>0.5</v>
      </c>
      <c r="DV817" s="4">
        <f t="shared" si="3473"/>
        <v>0.5</v>
      </c>
      <c r="DW817" s="185">
        <f t="shared" si="3473"/>
        <v>0.5</v>
      </c>
      <c r="DX817" s="4">
        <f t="shared" si="3473"/>
        <v>0.5</v>
      </c>
      <c r="DY817" s="4">
        <f t="shared" si="3473"/>
        <v>0.5</v>
      </c>
      <c r="DZ817" s="185">
        <f t="shared" si="3473"/>
        <v>0.5</v>
      </c>
      <c r="EA817" s="4">
        <f t="shared" si="3473"/>
        <v>0.5</v>
      </c>
      <c r="EB817" s="4">
        <f t="shared" si="3473"/>
        <v>0.5</v>
      </c>
      <c r="EC817" s="185">
        <f t="shared" si="3473"/>
        <v>0.5</v>
      </c>
      <c r="ED817" s="4">
        <f t="shared" si="3473"/>
        <v>0.5</v>
      </c>
      <c r="EE817" s="4">
        <f t="shared" si="3473"/>
        <v>0.5</v>
      </c>
      <c r="EF817" s="185">
        <f t="shared" si="3473"/>
        <v>0.5</v>
      </c>
      <c r="EG817" s="4">
        <f t="shared" ref="EG817:EL817" si="3474">1-EG811</f>
        <v>0.5</v>
      </c>
      <c r="EH817" s="4">
        <f t="shared" si="3474"/>
        <v>0.5</v>
      </c>
      <c r="EI817" s="185">
        <f t="shared" si="3474"/>
        <v>0.5</v>
      </c>
      <c r="EJ817" s="4">
        <f t="shared" si="3474"/>
        <v>0.5</v>
      </c>
      <c r="EK817" s="4">
        <f t="shared" si="3474"/>
        <v>0.5</v>
      </c>
      <c r="EL817" s="185">
        <f t="shared" si="3474"/>
        <v>0.5</v>
      </c>
      <c r="EM817" s="4">
        <f t="shared" ref="EM817:ER817" si="3475">1-EM811</f>
        <v>0.5</v>
      </c>
      <c r="EN817" s="4">
        <f t="shared" si="3475"/>
        <v>0.5</v>
      </c>
      <c r="EO817" s="185">
        <f t="shared" si="3475"/>
        <v>0.5</v>
      </c>
      <c r="EP817" s="4">
        <f t="shared" si="3475"/>
        <v>0.5</v>
      </c>
      <c r="EQ817" s="4">
        <f t="shared" si="3475"/>
        <v>0.5</v>
      </c>
      <c r="ER817" s="185">
        <f t="shared" si="3475"/>
        <v>0.5</v>
      </c>
      <c r="ES817" s="4">
        <f t="shared" ref="ES817:EX817" si="3476">1-ES811</f>
        <v>0.5</v>
      </c>
      <c r="ET817" s="4">
        <f t="shared" si="3476"/>
        <v>0.5</v>
      </c>
      <c r="EU817" s="185">
        <f t="shared" si="3476"/>
        <v>0.5</v>
      </c>
      <c r="EV817" s="4">
        <f t="shared" si="3476"/>
        <v>0.5</v>
      </c>
      <c r="EW817" s="4">
        <f t="shared" si="3476"/>
        <v>0.5</v>
      </c>
      <c r="EX817" s="185">
        <f t="shared" si="3476"/>
        <v>0.5</v>
      </c>
      <c r="EY817" s="4">
        <f t="shared" ref="EY817:FA817" si="3477">1-EY811</f>
        <v>0.5</v>
      </c>
      <c r="EZ817" s="4">
        <f t="shared" si="3477"/>
        <v>0.5</v>
      </c>
      <c r="FA817" s="185">
        <f t="shared" si="3477"/>
        <v>0.5</v>
      </c>
      <c r="FH817" s="35"/>
      <c r="FI817" s="35"/>
      <c r="FJ817" s="35"/>
      <c r="FK817" s="35"/>
      <c r="FL817" s="35"/>
      <c r="FM817" s="35"/>
      <c r="FN817" s="35"/>
      <c r="FO817" s="35"/>
      <c r="FP817" s="35"/>
      <c r="FQ817" s="35"/>
    </row>
    <row r="818" spans="1:173" s="321" customFormat="1" hidden="1" outlineLevel="1">
      <c r="A818" s="1168"/>
      <c r="B818" s="186"/>
      <c r="C818" s="186" t="s">
        <v>431</v>
      </c>
      <c r="D818" s="910"/>
      <c r="E818" s="1"/>
      <c r="F818" s="1"/>
      <c r="G818" s="5"/>
      <c r="H818" s="1"/>
      <c r="I818" s="1"/>
      <c r="J818" s="5"/>
      <c r="K818" s="1"/>
      <c r="L818" s="1"/>
      <c r="M818" s="5"/>
      <c r="N818" s="1"/>
      <c r="O818" s="1"/>
      <c r="P818" s="5"/>
      <c r="Q818" s="1"/>
      <c r="R818" s="1"/>
      <c r="S818" s="5"/>
      <c r="T818" s="1"/>
      <c r="U818" s="1"/>
      <c r="V818" s="5"/>
      <c r="W818" s="1"/>
      <c r="X818" s="1"/>
      <c r="Y818" s="5"/>
      <c r="Z818" s="1"/>
      <c r="AA818" s="1"/>
      <c r="AB818" s="5"/>
      <c r="AC818" s="1"/>
      <c r="AD818" s="1"/>
      <c r="AE818" s="5"/>
      <c r="AF818" s="1"/>
      <c r="AG818" s="1"/>
      <c r="AH818" s="5"/>
      <c r="AI818" s="1"/>
      <c r="AJ818" s="1"/>
      <c r="AK818" s="5"/>
      <c r="AL818" s="1"/>
      <c r="AM818" s="1"/>
      <c r="AN818" s="5"/>
      <c r="AO818" s="1"/>
      <c r="AP818" s="1"/>
      <c r="AQ818" s="5"/>
      <c r="AR818" s="1"/>
      <c r="AS818" s="1"/>
      <c r="AT818" s="5"/>
      <c r="AU818" s="1"/>
      <c r="AV818" s="1"/>
      <c r="AW818" s="5"/>
      <c r="AX818" s="185">
        <f t="shared" ref="AX818:CC818" si="3478">1-AX812</f>
        <v>0.5</v>
      </c>
      <c r="AY818" s="185">
        <f t="shared" si="3478"/>
        <v>0.5</v>
      </c>
      <c r="AZ818" s="185">
        <f t="shared" si="3478"/>
        <v>0.5</v>
      </c>
      <c r="BA818" s="4">
        <f t="shared" si="3478"/>
        <v>0.5</v>
      </c>
      <c r="BB818" s="4">
        <f t="shared" si="3478"/>
        <v>0.5</v>
      </c>
      <c r="BC818" s="971">
        <f t="shared" si="3478"/>
        <v>0.5</v>
      </c>
      <c r="BD818" s="4">
        <f t="shared" si="3478"/>
        <v>0.5</v>
      </c>
      <c r="BE818" s="4">
        <f t="shared" si="3478"/>
        <v>0.5</v>
      </c>
      <c r="BF818" s="971">
        <f t="shared" si="3478"/>
        <v>0.5</v>
      </c>
      <c r="BG818" s="4">
        <f t="shared" si="3478"/>
        <v>0.5</v>
      </c>
      <c r="BH818" s="4">
        <f t="shared" si="3478"/>
        <v>0.5</v>
      </c>
      <c r="BI818" s="971">
        <f t="shared" si="3478"/>
        <v>0.5</v>
      </c>
      <c r="BJ818" s="121">
        <f t="shared" si="3478"/>
        <v>0.5</v>
      </c>
      <c r="BK818" s="121">
        <f t="shared" si="3478"/>
        <v>0.5</v>
      </c>
      <c r="BL818" s="114">
        <f t="shared" si="3478"/>
        <v>0.5</v>
      </c>
      <c r="BM818" s="121">
        <f t="shared" si="3478"/>
        <v>0.5</v>
      </c>
      <c r="BN818" s="121">
        <f t="shared" si="3478"/>
        <v>0.5</v>
      </c>
      <c r="BO818" s="114">
        <f t="shared" si="3478"/>
        <v>0.5</v>
      </c>
      <c r="BP818" s="121">
        <f t="shared" si="3478"/>
        <v>0.5</v>
      </c>
      <c r="BQ818" s="121">
        <f t="shared" si="3478"/>
        <v>0.5</v>
      </c>
      <c r="BR818" s="114">
        <f t="shared" si="3478"/>
        <v>0.5</v>
      </c>
      <c r="BS818" s="4">
        <f t="shared" si="3478"/>
        <v>0.5</v>
      </c>
      <c r="BT818" s="4">
        <f t="shared" si="3478"/>
        <v>0.5</v>
      </c>
      <c r="BU818" s="185">
        <f t="shared" si="3478"/>
        <v>0.5</v>
      </c>
      <c r="BV818" s="4">
        <f t="shared" si="3478"/>
        <v>0.5</v>
      </c>
      <c r="BW818" s="4">
        <f t="shared" si="3478"/>
        <v>0.5</v>
      </c>
      <c r="BX818" s="185">
        <f t="shared" si="3478"/>
        <v>0.5</v>
      </c>
      <c r="BY818" s="4">
        <f t="shared" si="3478"/>
        <v>0.5</v>
      </c>
      <c r="BZ818" s="4">
        <f t="shared" si="3478"/>
        <v>0.5</v>
      </c>
      <c r="CA818" s="185">
        <f t="shared" si="3478"/>
        <v>0.5</v>
      </c>
      <c r="CB818" s="4">
        <f t="shared" si="3478"/>
        <v>0.5</v>
      </c>
      <c r="CC818" s="4">
        <f t="shared" si="3478"/>
        <v>0.5</v>
      </c>
      <c r="CD818" s="185">
        <f t="shared" ref="CD818:DI818" si="3479">1-CD812</f>
        <v>0.5</v>
      </c>
      <c r="CE818" s="4">
        <f t="shared" si="3479"/>
        <v>0.5</v>
      </c>
      <c r="CF818" s="4">
        <f t="shared" si="3479"/>
        <v>0.5</v>
      </c>
      <c r="CG818" s="185">
        <f t="shared" si="3479"/>
        <v>0.5</v>
      </c>
      <c r="CH818" s="4">
        <f t="shared" si="3479"/>
        <v>0.5</v>
      </c>
      <c r="CI818" s="4">
        <f t="shared" si="3479"/>
        <v>0.5</v>
      </c>
      <c r="CJ818" s="185">
        <f t="shared" si="3479"/>
        <v>0.5</v>
      </c>
      <c r="CK818" s="4">
        <f t="shared" si="3479"/>
        <v>0.5</v>
      </c>
      <c r="CL818" s="4">
        <f t="shared" si="3479"/>
        <v>0.5</v>
      </c>
      <c r="CM818" s="185">
        <f t="shared" si="3479"/>
        <v>0.5</v>
      </c>
      <c r="CN818" s="4">
        <f t="shared" si="3479"/>
        <v>0.5</v>
      </c>
      <c r="CO818" s="4">
        <f t="shared" si="3479"/>
        <v>0.5</v>
      </c>
      <c r="CP818" s="185">
        <f t="shared" si="3479"/>
        <v>0.5</v>
      </c>
      <c r="CQ818" s="4">
        <f t="shared" si="3479"/>
        <v>0.5</v>
      </c>
      <c r="CR818" s="4">
        <f t="shared" si="3479"/>
        <v>0.5</v>
      </c>
      <c r="CS818" s="185">
        <f t="shared" si="3479"/>
        <v>0.5</v>
      </c>
      <c r="CT818" s="4">
        <f t="shared" si="3479"/>
        <v>0.5</v>
      </c>
      <c r="CU818" s="4">
        <f t="shared" si="3479"/>
        <v>0.5</v>
      </c>
      <c r="CV818" s="185">
        <f t="shared" si="3479"/>
        <v>0.5</v>
      </c>
      <c r="CW818" s="4">
        <f t="shared" si="3479"/>
        <v>0.5</v>
      </c>
      <c r="CX818" s="4">
        <f t="shared" si="3479"/>
        <v>0.5</v>
      </c>
      <c r="CY818" s="185">
        <f t="shared" si="3479"/>
        <v>0.5</v>
      </c>
      <c r="CZ818" s="4">
        <f t="shared" si="3479"/>
        <v>0.5</v>
      </c>
      <c r="DA818" s="4">
        <f t="shared" si="3479"/>
        <v>0.5</v>
      </c>
      <c r="DB818" s="185">
        <f t="shared" si="3479"/>
        <v>0.5</v>
      </c>
      <c r="DC818" s="4">
        <f t="shared" si="3479"/>
        <v>0.5</v>
      </c>
      <c r="DD818" s="4">
        <f t="shared" si="3479"/>
        <v>0.5</v>
      </c>
      <c r="DE818" s="185">
        <f t="shared" si="3479"/>
        <v>0.5</v>
      </c>
      <c r="DF818" s="4">
        <f t="shared" si="3479"/>
        <v>0.5</v>
      </c>
      <c r="DG818" s="4">
        <f t="shared" si="3479"/>
        <v>0.5</v>
      </c>
      <c r="DH818" s="185">
        <f t="shared" si="3479"/>
        <v>0.5</v>
      </c>
      <c r="DI818" s="4">
        <f t="shared" si="3479"/>
        <v>0.5</v>
      </c>
      <c r="DJ818" s="4">
        <f t="shared" ref="DJ818:EF818" si="3480">1-DJ812</f>
        <v>0.5</v>
      </c>
      <c r="DK818" s="185">
        <f t="shared" si="3480"/>
        <v>0.5</v>
      </c>
      <c r="DL818" s="4">
        <f t="shared" si="3480"/>
        <v>0.5</v>
      </c>
      <c r="DM818" s="4">
        <f t="shared" si="3480"/>
        <v>0.5</v>
      </c>
      <c r="DN818" s="185">
        <f t="shared" si="3480"/>
        <v>0.5</v>
      </c>
      <c r="DO818" s="4">
        <f t="shared" si="3480"/>
        <v>0.5</v>
      </c>
      <c r="DP818" s="4">
        <f t="shared" si="3480"/>
        <v>0.5</v>
      </c>
      <c r="DQ818" s="185">
        <f t="shared" si="3480"/>
        <v>0.5</v>
      </c>
      <c r="DR818" s="4">
        <f t="shared" si="3480"/>
        <v>0.5</v>
      </c>
      <c r="DS818" s="4">
        <f t="shared" si="3480"/>
        <v>0.5</v>
      </c>
      <c r="DT818" s="185">
        <f t="shared" si="3480"/>
        <v>0.5</v>
      </c>
      <c r="DU818" s="4">
        <f t="shared" si="3480"/>
        <v>0.5</v>
      </c>
      <c r="DV818" s="4">
        <f t="shared" si="3480"/>
        <v>0.5</v>
      </c>
      <c r="DW818" s="185">
        <f t="shared" si="3480"/>
        <v>0.5</v>
      </c>
      <c r="DX818" s="4">
        <f t="shared" si="3480"/>
        <v>0.5</v>
      </c>
      <c r="DY818" s="4">
        <f t="shared" si="3480"/>
        <v>0.5</v>
      </c>
      <c r="DZ818" s="185">
        <f t="shared" si="3480"/>
        <v>0.5</v>
      </c>
      <c r="EA818" s="4">
        <f t="shared" si="3480"/>
        <v>0.5</v>
      </c>
      <c r="EB818" s="4">
        <f t="shared" si="3480"/>
        <v>0.5</v>
      </c>
      <c r="EC818" s="185">
        <f t="shared" si="3480"/>
        <v>0.5</v>
      </c>
      <c r="ED818" s="4">
        <f t="shared" si="3480"/>
        <v>0.5</v>
      </c>
      <c r="EE818" s="4">
        <f t="shared" si="3480"/>
        <v>0.5</v>
      </c>
      <c r="EF818" s="185">
        <f t="shared" si="3480"/>
        <v>0.5</v>
      </c>
      <c r="EG818" s="4">
        <f t="shared" ref="EG818:EL818" si="3481">1-EG812</f>
        <v>0.5</v>
      </c>
      <c r="EH818" s="4">
        <f t="shared" si="3481"/>
        <v>0.5</v>
      </c>
      <c r="EI818" s="185">
        <f t="shared" si="3481"/>
        <v>0.5</v>
      </c>
      <c r="EJ818" s="4">
        <f t="shared" si="3481"/>
        <v>0.5</v>
      </c>
      <c r="EK818" s="4">
        <f t="shared" si="3481"/>
        <v>0.5</v>
      </c>
      <c r="EL818" s="185">
        <f t="shared" si="3481"/>
        <v>0.5</v>
      </c>
      <c r="EM818" s="4">
        <f t="shared" ref="EM818:ER818" si="3482">1-EM812</f>
        <v>0.5</v>
      </c>
      <c r="EN818" s="4">
        <f t="shared" si="3482"/>
        <v>0.5</v>
      </c>
      <c r="EO818" s="185">
        <f t="shared" si="3482"/>
        <v>0.5</v>
      </c>
      <c r="EP818" s="4">
        <f t="shared" si="3482"/>
        <v>0.5</v>
      </c>
      <c r="EQ818" s="4">
        <f t="shared" si="3482"/>
        <v>0.5</v>
      </c>
      <c r="ER818" s="185">
        <f t="shared" si="3482"/>
        <v>0.5</v>
      </c>
      <c r="ES818" s="4">
        <f t="shared" ref="ES818:EX818" si="3483">1-ES812</f>
        <v>0.5</v>
      </c>
      <c r="ET818" s="4">
        <f t="shared" si="3483"/>
        <v>0.5</v>
      </c>
      <c r="EU818" s="185">
        <f t="shared" si="3483"/>
        <v>0.5</v>
      </c>
      <c r="EV818" s="4">
        <f t="shared" si="3483"/>
        <v>0.5</v>
      </c>
      <c r="EW818" s="4">
        <f t="shared" si="3483"/>
        <v>0.5</v>
      </c>
      <c r="EX818" s="185">
        <f t="shared" si="3483"/>
        <v>0.5</v>
      </c>
      <c r="EY818" s="4">
        <f t="shared" ref="EY818:FA818" si="3484">1-EY812</f>
        <v>0.5</v>
      </c>
      <c r="EZ818" s="4">
        <f t="shared" si="3484"/>
        <v>0.5</v>
      </c>
      <c r="FA818" s="185">
        <f t="shared" si="3484"/>
        <v>0.5</v>
      </c>
      <c r="FH818" s="35"/>
      <c r="FI818" s="35"/>
      <c r="FJ818" s="35"/>
      <c r="FK818" s="35"/>
      <c r="FL818" s="35"/>
      <c r="FM818" s="35"/>
      <c r="FN818" s="35"/>
      <c r="FO818" s="35"/>
      <c r="FP818" s="35"/>
      <c r="FQ818" s="35"/>
    </row>
    <row r="819" spans="1:173" s="321" customFormat="1" ht="13.5" hidden="1" outlineLevel="1" thickBot="1">
      <c r="A819" s="1437"/>
      <c r="B819" s="967"/>
      <c r="C819" s="967" t="s">
        <v>327</v>
      </c>
      <c r="D819" s="969"/>
      <c r="E819" s="18"/>
      <c r="F819" s="18"/>
      <c r="G819" s="19"/>
      <c r="H819" s="18"/>
      <c r="I819" s="18"/>
      <c r="J819" s="19"/>
      <c r="K819" s="18"/>
      <c r="L819" s="18"/>
      <c r="M819" s="19"/>
      <c r="N819" s="18"/>
      <c r="O819" s="18"/>
      <c r="P819" s="19"/>
      <c r="Q819" s="18"/>
      <c r="R819" s="18"/>
      <c r="S819" s="19"/>
      <c r="T819" s="18"/>
      <c r="U819" s="18"/>
      <c r="V819" s="19"/>
      <c r="W819" s="18"/>
      <c r="X819" s="18"/>
      <c r="Y819" s="19"/>
      <c r="Z819" s="18"/>
      <c r="AA819" s="18"/>
      <c r="AB819" s="19"/>
      <c r="AC819" s="18"/>
      <c r="AD819" s="18"/>
      <c r="AE819" s="19"/>
      <c r="AF819" s="18"/>
      <c r="AG819" s="18"/>
      <c r="AH819" s="19"/>
      <c r="AI819" s="18"/>
      <c r="AJ819" s="18"/>
      <c r="AK819" s="19"/>
      <c r="AL819" s="18"/>
      <c r="AM819" s="18"/>
      <c r="AN819" s="19"/>
      <c r="AO819" s="18"/>
      <c r="AP819" s="18"/>
      <c r="AQ819" s="19"/>
      <c r="AR819" s="18"/>
      <c r="AS819" s="18"/>
      <c r="AT819" s="19"/>
      <c r="AU819" s="18"/>
      <c r="AV819" s="18"/>
      <c r="AW819" s="19"/>
      <c r="AX819" s="220">
        <f t="shared" ref="AX819:CC819" si="3485">1-AX813</f>
        <v>0.5</v>
      </c>
      <c r="AY819" s="220">
        <f t="shared" si="3485"/>
        <v>0.5</v>
      </c>
      <c r="AZ819" s="220">
        <f t="shared" si="3485"/>
        <v>0.5</v>
      </c>
      <c r="BA819" s="11">
        <f t="shared" si="3485"/>
        <v>0.5</v>
      </c>
      <c r="BB819" s="11">
        <f t="shared" si="3485"/>
        <v>0.5</v>
      </c>
      <c r="BC819" s="985">
        <f t="shared" si="3485"/>
        <v>0.5</v>
      </c>
      <c r="BD819" s="11">
        <f t="shared" si="3485"/>
        <v>0.5</v>
      </c>
      <c r="BE819" s="11">
        <f t="shared" si="3485"/>
        <v>0.5</v>
      </c>
      <c r="BF819" s="985">
        <f t="shared" si="3485"/>
        <v>0.5</v>
      </c>
      <c r="BG819" s="11">
        <f t="shared" si="3485"/>
        <v>0.5</v>
      </c>
      <c r="BH819" s="11">
        <f t="shared" si="3485"/>
        <v>0.5</v>
      </c>
      <c r="BI819" s="985">
        <f t="shared" si="3485"/>
        <v>0.5</v>
      </c>
      <c r="BJ819" s="151">
        <f t="shared" si="3485"/>
        <v>0.5</v>
      </c>
      <c r="BK819" s="151">
        <f t="shared" si="3485"/>
        <v>0.5</v>
      </c>
      <c r="BL819" s="152">
        <f t="shared" si="3485"/>
        <v>0.5</v>
      </c>
      <c r="BM819" s="151">
        <f t="shared" si="3485"/>
        <v>0.5</v>
      </c>
      <c r="BN819" s="151">
        <f t="shared" si="3485"/>
        <v>0.5</v>
      </c>
      <c r="BO819" s="152">
        <f t="shared" si="3485"/>
        <v>0.5</v>
      </c>
      <c r="BP819" s="151">
        <f t="shared" si="3485"/>
        <v>0.5</v>
      </c>
      <c r="BQ819" s="151">
        <f t="shared" si="3485"/>
        <v>0.5</v>
      </c>
      <c r="BR819" s="152">
        <f t="shared" si="3485"/>
        <v>0.5</v>
      </c>
      <c r="BS819" s="11">
        <f t="shared" si="3485"/>
        <v>0.5</v>
      </c>
      <c r="BT819" s="11">
        <f t="shared" si="3485"/>
        <v>0.5</v>
      </c>
      <c r="BU819" s="220">
        <f t="shared" si="3485"/>
        <v>0.5</v>
      </c>
      <c r="BV819" s="11">
        <f t="shared" si="3485"/>
        <v>0.5</v>
      </c>
      <c r="BW819" s="11">
        <f t="shared" si="3485"/>
        <v>0.5</v>
      </c>
      <c r="BX819" s="220">
        <f t="shared" si="3485"/>
        <v>0.5</v>
      </c>
      <c r="BY819" s="11">
        <f t="shared" si="3485"/>
        <v>0.5</v>
      </c>
      <c r="BZ819" s="11">
        <f t="shared" si="3485"/>
        <v>0.5</v>
      </c>
      <c r="CA819" s="220">
        <f t="shared" si="3485"/>
        <v>0.5</v>
      </c>
      <c r="CB819" s="11">
        <f t="shared" si="3485"/>
        <v>0.5</v>
      </c>
      <c r="CC819" s="11">
        <f t="shared" si="3485"/>
        <v>0.5</v>
      </c>
      <c r="CD819" s="220">
        <f t="shared" ref="CD819:DI819" si="3486">1-CD813</f>
        <v>0.5</v>
      </c>
      <c r="CE819" s="11">
        <f t="shared" si="3486"/>
        <v>0.5</v>
      </c>
      <c r="CF819" s="11">
        <f t="shared" si="3486"/>
        <v>0.5</v>
      </c>
      <c r="CG819" s="220">
        <f t="shared" si="3486"/>
        <v>0.5</v>
      </c>
      <c r="CH819" s="11">
        <f t="shared" si="3486"/>
        <v>0.5</v>
      </c>
      <c r="CI819" s="11">
        <f t="shared" si="3486"/>
        <v>0.5</v>
      </c>
      <c r="CJ819" s="220">
        <f t="shared" si="3486"/>
        <v>0.5</v>
      </c>
      <c r="CK819" s="11">
        <f t="shared" si="3486"/>
        <v>0.5</v>
      </c>
      <c r="CL819" s="11">
        <f t="shared" si="3486"/>
        <v>0.5</v>
      </c>
      <c r="CM819" s="220">
        <f t="shared" si="3486"/>
        <v>0.5</v>
      </c>
      <c r="CN819" s="11">
        <f t="shared" si="3486"/>
        <v>0.5</v>
      </c>
      <c r="CO819" s="11">
        <f t="shared" si="3486"/>
        <v>0.5</v>
      </c>
      <c r="CP819" s="220">
        <f t="shared" si="3486"/>
        <v>0.5</v>
      </c>
      <c r="CQ819" s="11">
        <f t="shared" si="3486"/>
        <v>0.5</v>
      </c>
      <c r="CR819" s="11">
        <f t="shared" si="3486"/>
        <v>0.5</v>
      </c>
      <c r="CS819" s="220">
        <f t="shared" si="3486"/>
        <v>0.5</v>
      </c>
      <c r="CT819" s="11">
        <f t="shared" si="3486"/>
        <v>0.5</v>
      </c>
      <c r="CU819" s="11">
        <f t="shared" si="3486"/>
        <v>0.5</v>
      </c>
      <c r="CV819" s="220">
        <f t="shared" si="3486"/>
        <v>0.5</v>
      </c>
      <c r="CW819" s="11">
        <f t="shared" si="3486"/>
        <v>0.5</v>
      </c>
      <c r="CX819" s="11">
        <f t="shared" si="3486"/>
        <v>0.5</v>
      </c>
      <c r="CY819" s="220">
        <f t="shared" si="3486"/>
        <v>0.5</v>
      </c>
      <c r="CZ819" s="11">
        <f t="shared" si="3486"/>
        <v>0.5</v>
      </c>
      <c r="DA819" s="11">
        <f t="shared" si="3486"/>
        <v>0.5</v>
      </c>
      <c r="DB819" s="220">
        <f t="shared" si="3486"/>
        <v>0.5</v>
      </c>
      <c r="DC819" s="11">
        <f t="shared" si="3486"/>
        <v>0.5</v>
      </c>
      <c r="DD819" s="11">
        <f t="shared" si="3486"/>
        <v>0.5</v>
      </c>
      <c r="DE819" s="220">
        <f t="shared" si="3486"/>
        <v>0.5</v>
      </c>
      <c r="DF819" s="11">
        <f t="shared" si="3486"/>
        <v>0.5</v>
      </c>
      <c r="DG819" s="11">
        <f t="shared" si="3486"/>
        <v>0.5</v>
      </c>
      <c r="DH819" s="220">
        <f t="shared" si="3486"/>
        <v>0.5</v>
      </c>
      <c r="DI819" s="11">
        <f t="shared" si="3486"/>
        <v>0.5</v>
      </c>
      <c r="DJ819" s="11">
        <f t="shared" ref="DJ819:EF819" si="3487">1-DJ813</f>
        <v>0.5</v>
      </c>
      <c r="DK819" s="220">
        <f t="shared" si="3487"/>
        <v>0.5</v>
      </c>
      <c r="DL819" s="11">
        <f t="shared" si="3487"/>
        <v>0.5</v>
      </c>
      <c r="DM819" s="11">
        <f t="shared" si="3487"/>
        <v>0.5</v>
      </c>
      <c r="DN819" s="220">
        <f t="shared" si="3487"/>
        <v>0.5</v>
      </c>
      <c r="DO819" s="11">
        <f t="shared" si="3487"/>
        <v>0.5</v>
      </c>
      <c r="DP819" s="11">
        <f t="shared" si="3487"/>
        <v>0.5</v>
      </c>
      <c r="DQ819" s="220">
        <f t="shared" si="3487"/>
        <v>0.5</v>
      </c>
      <c r="DR819" s="11">
        <f t="shared" si="3487"/>
        <v>0.5</v>
      </c>
      <c r="DS819" s="11">
        <f t="shared" si="3487"/>
        <v>0.5</v>
      </c>
      <c r="DT819" s="220">
        <f t="shared" si="3487"/>
        <v>0.5</v>
      </c>
      <c r="DU819" s="11">
        <f t="shared" si="3487"/>
        <v>0.5</v>
      </c>
      <c r="DV819" s="11">
        <f t="shared" si="3487"/>
        <v>0.5</v>
      </c>
      <c r="DW819" s="220">
        <f t="shared" si="3487"/>
        <v>0.5</v>
      </c>
      <c r="DX819" s="11">
        <f t="shared" si="3487"/>
        <v>0.5</v>
      </c>
      <c r="DY819" s="11">
        <f t="shared" si="3487"/>
        <v>0.5</v>
      </c>
      <c r="DZ819" s="220">
        <f t="shared" si="3487"/>
        <v>0.5</v>
      </c>
      <c r="EA819" s="11">
        <f t="shared" si="3487"/>
        <v>0.5</v>
      </c>
      <c r="EB819" s="11">
        <f t="shared" si="3487"/>
        <v>0.5</v>
      </c>
      <c r="EC819" s="220">
        <f t="shared" si="3487"/>
        <v>0.5</v>
      </c>
      <c r="ED819" s="11">
        <f t="shared" si="3487"/>
        <v>0.5</v>
      </c>
      <c r="EE819" s="11">
        <f t="shared" si="3487"/>
        <v>0.5</v>
      </c>
      <c r="EF819" s="220">
        <f t="shared" si="3487"/>
        <v>0.5</v>
      </c>
      <c r="EG819" s="11">
        <f t="shared" ref="EG819:EL819" si="3488">1-EG813</f>
        <v>0.5</v>
      </c>
      <c r="EH819" s="11">
        <f t="shared" si="3488"/>
        <v>0.5</v>
      </c>
      <c r="EI819" s="220">
        <f t="shared" si="3488"/>
        <v>0.5</v>
      </c>
      <c r="EJ819" s="11">
        <f t="shared" si="3488"/>
        <v>0.5</v>
      </c>
      <c r="EK819" s="11">
        <f t="shared" si="3488"/>
        <v>0.5</v>
      </c>
      <c r="EL819" s="220">
        <f t="shared" si="3488"/>
        <v>0.5</v>
      </c>
      <c r="EM819" s="11">
        <f t="shared" ref="EM819:ER819" si="3489">1-EM813</f>
        <v>0.5</v>
      </c>
      <c r="EN819" s="11">
        <f t="shared" si="3489"/>
        <v>0.5</v>
      </c>
      <c r="EO819" s="220">
        <f t="shared" si="3489"/>
        <v>0.5</v>
      </c>
      <c r="EP819" s="11">
        <f t="shared" si="3489"/>
        <v>0.5</v>
      </c>
      <c r="EQ819" s="11">
        <f t="shared" si="3489"/>
        <v>0.5</v>
      </c>
      <c r="ER819" s="220">
        <f t="shared" si="3489"/>
        <v>0.5</v>
      </c>
      <c r="ES819" s="11">
        <f t="shared" ref="ES819:EX819" si="3490">1-ES813</f>
        <v>0.5</v>
      </c>
      <c r="ET819" s="11">
        <f t="shared" si="3490"/>
        <v>0.5</v>
      </c>
      <c r="EU819" s="220">
        <f t="shared" si="3490"/>
        <v>0.5</v>
      </c>
      <c r="EV819" s="11">
        <f t="shared" si="3490"/>
        <v>0.5</v>
      </c>
      <c r="EW819" s="11">
        <f t="shared" si="3490"/>
        <v>0.5</v>
      </c>
      <c r="EX819" s="220">
        <f t="shared" si="3490"/>
        <v>0.5</v>
      </c>
      <c r="EY819" s="11">
        <f t="shared" ref="EY819:FA819" si="3491">1-EY813</f>
        <v>0.5</v>
      </c>
      <c r="EZ819" s="11">
        <f t="shared" si="3491"/>
        <v>0.5</v>
      </c>
      <c r="FA819" s="220">
        <f t="shared" si="3491"/>
        <v>0.5</v>
      </c>
      <c r="FH819" s="35"/>
      <c r="FI819" s="35"/>
      <c r="FJ819" s="35"/>
      <c r="FK819" s="35"/>
      <c r="FL819" s="35"/>
      <c r="FM819" s="35"/>
      <c r="FN819" s="35"/>
      <c r="FO819" s="35"/>
      <c r="FP819" s="35"/>
      <c r="FQ819" s="35"/>
    </row>
    <row r="820" spans="1:173" s="321" customFormat="1" hidden="1" outlineLevel="1">
      <c r="A820" s="1168"/>
      <c r="B820" s="68" t="s">
        <v>655</v>
      </c>
      <c r="C820" s="186"/>
      <c r="D820" s="329"/>
      <c r="E820" s="1"/>
      <c r="F820" s="1"/>
      <c r="G820" s="5"/>
      <c r="H820" s="1"/>
      <c r="I820" s="1"/>
      <c r="J820" s="5"/>
      <c r="K820" s="1"/>
      <c r="L820" s="1"/>
      <c r="M820" s="5"/>
      <c r="N820" s="1"/>
      <c r="O820" s="1"/>
      <c r="P820" s="5"/>
      <c r="Q820" s="1"/>
      <c r="R820" s="1"/>
      <c r="S820" s="5"/>
      <c r="T820" s="1"/>
      <c r="U820" s="1"/>
      <c r="V820" s="5"/>
      <c r="W820" s="1"/>
      <c r="X820" s="1"/>
      <c r="Y820" s="5"/>
      <c r="Z820" s="1"/>
      <c r="AA820" s="1"/>
      <c r="AB820" s="5"/>
      <c r="AC820" s="1"/>
      <c r="AD820" s="1"/>
      <c r="AE820" s="5"/>
      <c r="AF820" s="1"/>
      <c r="AG820" s="1"/>
      <c r="AH820" s="5"/>
      <c r="AI820" s="1"/>
      <c r="AJ820" s="1"/>
      <c r="AK820" s="5"/>
      <c r="AL820" s="1"/>
      <c r="AM820" s="1"/>
      <c r="AN820" s="5"/>
      <c r="AO820" s="1"/>
      <c r="AP820" s="1"/>
      <c r="AQ820" s="5"/>
      <c r="AR820" s="1"/>
      <c r="AS820" s="1"/>
      <c r="AT820" s="5"/>
      <c r="AU820" s="1"/>
      <c r="AV820" s="1"/>
      <c r="AW820" s="5"/>
      <c r="AX820" s="1"/>
      <c r="AY820" s="1"/>
      <c r="AZ820" s="163"/>
      <c r="BA820" s="66"/>
      <c r="BB820" s="66"/>
      <c r="BC820" s="56"/>
      <c r="BD820" s="66"/>
      <c r="BE820" s="66"/>
      <c r="BF820" s="56"/>
      <c r="BG820" s="66"/>
      <c r="BH820" s="66"/>
      <c r="BI820" s="56"/>
      <c r="BJ820" s="994"/>
      <c r="BK820" s="994"/>
      <c r="BL820" s="995"/>
      <c r="BM820" s="994"/>
      <c r="BN820" s="994"/>
      <c r="BO820" s="995"/>
      <c r="BP820" s="994"/>
      <c r="BQ820" s="994"/>
      <c r="BR820" s="995"/>
      <c r="BS820" s="66"/>
      <c r="BT820" s="66"/>
      <c r="BU820" s="163"/>
      <c r="BV820" s="66"/>
      <c r="BW820" s="66"/>
      <c r="BX820" s="163"/>
      <c r="BY820" s="66"/>
      <c r="BZ820" s="66"/>
      <c r="CA820" s="163"/>
      <c r="CB820" s="66"/>
      <c r="CC820" s="66"/>
      <c r="CD820" s="163"/>
      <c r="CE820" s="66"/>
      <c r="CF820" s="66"/>
      <c r="CG820" s="163"/>
      <c r="CH820" s="66"/>
      <c r="CI820" s="66"/>
      <c r="CJ820" s="163"/>
      <c r="CK820" s="66"/>
      <c r="CL820" s="66"/>
      <c r="CM820" s="163"/>
      <c r="CN820" s="66"/>
      <c r="CO820" s="66"/>
      <c r="CP820" s="163"/>
      <c r="CQ820" s="66"/>
      <c r="CR820" s="66"/>
      <c r="CS820" s="163"/>
      <c r="CT820" s="66"/>
      <c r="CU820" s="66"/>
      <c r="CV820" s="163"/>
      <c r="CW820" s="66"/>
      <c r="CX820" s="66"/>
      <c r="CY820" s="163"/>
      <c r="CZ820" s="66"/>
      <c r="DA820" s="66"/>
      <c r="DB820" s="163"/>
      <c r="DC820" s="66"/>
      <c r="DD820" s="66"/>
      <c r="DE820" s="163"/>
      <c r="DF820" s="66"/>
      <c r="DG820" s="66"/>
      <c r="DH820" s="163"/>
      <c r="DI820" s="66"/>
      <c r="DJ820" s="66"/>
      <c r="DK820" s="163"/>
      <c r="DL820" s="66"/>
      <c r="DM820" s="66"/>
      <c r="DN820" s="163"/>
      <c r="DO820" s="66"/>
      <c r="DP820" s="66"/>
      <c r="DQ820" s="163"/>
      <c r="DR820" s="66"/>
      <c r="DS820" s="66"/>
      <c r="DT820" s="163"/>
      <c r="DU820" s="66"/>
      <c r="DV820" s="66"/>
      <c r="DW820" s="163"/>
      <c r="DX820" s="66"/>
      <c r="DY820" s="66"/>
      <c r="DZ820" s="163"/>
      <c r="EA820" s="66"/>
      <c r="EB820" s="66"/>
      <c r="EC820" s="163"/>
      <c r="ED820" s="66"/>
      <c r="EE820" s="66"/>
      <c r="EF820" s="163"/>
      <c r="EG820" s="66"/>
      <c r="EH820" s="66"/>
      <c r="EI820" s="163"/>
      <c r="EJ820" s="66"/>
      <c r="EK820" s="66"/>
      <c r="EL820" s="163"/>
      <c r="EM820" s="66"/>
      <c r="EN820" s="66"/>
      <c r="EO820" s="163"/>
      <c r="EP820" s="66"/>
      <c r="EQ820" s="66"/>
      <c r="ER820" s="163"/>
      <c r="ES820" s="66"/>
      <c r="ET820" s="66"/>
      <c r="EU820" s="163"/>
      <c r="EV820" s="66"/>
      <c r="EW820" s="66"/>
      <c r="EX820" s="163"/>
      <c r="EY820" s="66"/>
      <c r="EZ820" s="66"/>
      <c r="FA820" s="163"/>
      <c r="FH820" s="35"/>
      <c r="FI820" s="35"/>
      <c r="FJ820" s="35"/>
      <c r="FK820" s="35"/>
      <c r="FL820" s="35"/>
      <c r="FM820" s="35"/>
      <c r="FN820" s="35"/>
      <c r="FO820" s="35"/>
      <c r="FP820" s="35"/>
      <c r="FQ820" s="35"/>
    </row>
    <row r="821" spans="1:173" s="321" customFormat="1" hidden="1" outlineLevel="1">
      <c r="A821" s="1168"/>
      <c r="B821" s="186"/>
      <c r="C821" s="331" t="s">
        <v>726</v>
      </c>
      <c r="D821" s="910"/>
      <c r="E821" s="1"/>
      <c r="F821" s="1"/>
      <c r="G821" s="5"/>
      <c r="H821" s="1"/>
      <c r="I821" s="1"/>
      <c r="J821" s="5"/>
      <c r="K821" s="1"/>
      <c r="L821" s="1"/>
      <c r="M821" s="5"/>
      <c r="N821" s="1"/>
      <c r="O821" s="1"/>
      <c r="P821" s="5"/>
      <c r="Q821" s="1"/>
      <c r="R821" s="1"/>
      <c r="S821" s="5"/>
      <c r="T821" s="1"/>
      <c r="U821" s="1"/>
      <c r="V821" s="5"/>
      <c r="W821" s="1"/>
      <c r="X821" s="1"/>
      <c r="Y821" s="5"/>
      <c r="Z821" s="1"/>
      <c r="AA821" s="1"/>
      <c r="AB821" s="5"/>
      <c r="AC821" s="1"/>
      <c r="AD821" s="1"/>
      <c r="AE821" s="5"/>
      <c r="AF821" s="1"/>
      <c r="AG821" s="1"/>
      <c r="AH821" s="5"/>
      <c r="AI821" s="1"/>
      <c r="AJ821" s="1"/>
      <c r="AK821" s="5"/>
      <c r="AL821" s="1"/>
      <c r="AM821" s="1"/>
      <c r="AN821" s="5"/>
      <c r="AO821" s="1"/>
      <c r="AP821" s="1"/>
      <c r="AQ821" s="5"/>
      <c r="AR821" s="1"/>
      <c r="AS821" s="1"/>
      <c r="AT821" s="5"/>
      <c r="AU821" s="1"/>
      <c r="AV821" s="1"/>
      <c r="AW821" s="5"/>
      <c r="AX821" s="3"/>
      <c r="AY821" s="3"/>
      <c r="AZ821" s="2"/>
      <c r="BA821" s="3"/>
      <c r="BB821" s="3"/>
      <c r="BC821" s="973"/>
      <c r="BD821" s="3"/>
      <c r="BE821" s="3"/>
      <c r="BF821" s="973"/>
      <c r="BG821" s="3"/>
      <c r="BH821" s="3"/>
      <c r="BI821" s="978"/>
      <c r="BJ821" s="115"/>
      <c r="BK821" s="115"/>
      <c r="BL821" s="116"/>
      <c r="BM821" s="115"/>
      <c r="BN821" s="115"/>
      <c r="BO821" s="116"/>
      <c r="BP821" s="115"/>
      <c r="BQ821" s="115"/>
      <c r="BR821" s="116"/>
      <c r="BS821" s="8"/>
      <c r="BT821" s="8"/>
      <c r="BU821" s="187"/>
      <c r="BV821" s="8"/>
      <c r="BW821" s="8"/>
      <c r="BX821" s="187"/>
      <c r="BY821" s="8"/>
      <c r="BZ821" s="8"/>
      <c r="CA821" s="187"/>
      <c r="CB821" s="8"/>
      <c r="CC821" s="8"/>
      <c r="CD821" s="187"/>
      <c r="CE821" s="8"/>
      <c r="CF821" s="8"/>
      <c r="CG821" s="187"/>
      <c r="CH821" s="8"/>
      <c r="CI821" s="8"/>
      <c r="CJ821" s="187"/>
      <c r="CK821" s="8"/>
      <c r="CL821" s="8"/>
      <c r="CM821" s="187"/>
      <c r="CN821" s="8"/>
      <c r="CO821" s="8"/>
      <c r="CP821" s="187"/>
      <c r="CQ821" s="8"/>
      <c r="CR821" s="8"/>
      <c r="CS821" s="187"/>
      <c r="CT821" s="8"/>
      <c r="CU821" s="8"/>
      <c r="CV821" s="187"/>
      <c r="CW821" s="8"/>
      <c r="CX821" s="8"/>
      <c r="CY821" s="187"/>
      <c r="CZ821" s="8"/>
      <c r="DA821" s="8"/>
      <c r="DB821" s="187"/>
      <c r="DC821" s="8"/>
      <c r="DD821" s="8"/>
      <c r="DE821" s="187"/>
      <c r="DF821" s="8"/>
      <c r="DG821" s="8"/>
      <c r="DH821" s="187"/>
      <c r="DI821" s="8"/>
      <c r="DJ821" s="8"/>
      <c r="DK821" s="187"/>
      <c r="DL821" s="8"/>
      <c r="DM821" s="8"/>
      <c r="DN821" s="187"/>
      <c r="DO821" s="8"/>
      <c r="DP821" s="8"/>
      <c r="DQ821" s="187"/>
      <c r="DR821" s="8"/>
      <c r="DS821" s="8"/>
      <c r="DT821" s="187"/>
      <c r="DU821" s="8"/>
      <c r="DV821" s="8"/>
      <c r="DW821" s="187"/>
      <c r="DX821" s="8"/>
      <c r="DY821" s="8"/>
      <c r="DZ821" s="187"/>
      <c r="EA821" s="8"/>
      <c r="EB821" s="8"/>
      <c r="EC821" s="187"/>
      <c r="ED821" s="8"/>
      <c r="EE821" s="8"/>
      <c r="EF821" s="187"/>
      <c r="EG821" s="8"/>
      <c r="EH821" s="8"/>
      <c r="EI821" s="187"/>
      <c r="EJ821" s="8"/>
      <c r="EK821" s="8"/>
      <c r="EL821" s="187"/>
      <c r="EM821" s="8"/>
      <c r="EN821" s="8"/>
      <c r="EO821" s="187"/>
      <c r="EP821" s="8"/>
      <c r="EQ821" s="8"/>
      <c r="ER821" s="187"/>
      <c r="ES821" s="8"/>
      <c r="ET821" s="8"/>
      <c r="EU821" s="187"/>
      <c r="EV821" s="8"/>
      <c r="EW821" s="8"/>
      <c r="EX821" s="187"/>
      <c r="EY821" s="8"/>
      <c r="EZ821" s="8"/>
      <c r="FA821" s="187"/>
      <c r="FH821" s="35"/>
      <c r="FI821" s="35"/>
      <c r="FJ821" s="35"/>
      <c r="FK821" s="35"/>
      <c r="FL821" s="35"/>
      <c r="FM821" s="35"/>
      <c r="FN821" s="35"/>
      <c r="FO821" s="35"/>
      <c r="FP821" s="35"/>
      <c r="FQ821" s="35"/>
    </row>
    <row r="822" spans="1:173" s="321" customFormat="1" hidden="1" outlineLevel="1">
      <c r="A822" s="1168"/>
      <c r="B822" s="186"/>
      <c r="C822" s="186" t="s">
        <v>316</v>
      </c>
      <c r="D822" s="910"/>
      <c r="E822" s="1"/>
      <c r="F822" s="1"/>
      <c r="G822" s="5"/>
      <c r="H822" s="1"/>
      <c r="I822" s="1"/>
      <c r="J822" s="5"/>
      <c r="K822" s="1"/>
      <c r="L822" s="1"/>
      <c r="M822" s="5"/>
      <c r="N822" s="1"/>
      <c r="O822" s="1"/>
      <c r="P822" s="5"/>
      <c r="Q822" s="1"/>
      <c r="R822" s="1"/>
      <c r="S822" s="5"/>
      <c r="T822" s="1"/>
      <c r="U822" s="1"/>
      <c r="V822" s="5"/>
      <c r="W822" s="1"/>
      <c r="X822" s="1"/>
      <c r="Y822" s="5"/>
      <c r="Z822" s="1"/>
      <c r="AA822" s="1"/>
      <c r="AB822" s="5"/>
      <c r="AC822" s="1"/>
      <c r="AD822" s="1"/>
      <c r="AE822" s="5"/>
      <c r="AF822" s="1"/>
      <c r="AG822" s="1"/>
      <c r="AH822" s="5"/>
      <c r="AI822" s="1"/>
      <c r="AJ822" s="1"/>
      <c r="AK822" s="5"/>
      <c r="AL822" s="1"/>
      <c r="AM822" s="1"/>
      <c r="AN822" s="5"/>
      <c r="AO822" s="1"/>
      <c r="AP822" s="1"/>
      <c r="AQ822" s="5"/>
      <c r="AR822" s="1"/>
      <c r="AS822" s="1"/>
      <c r="AT822" s="5"/>
      <c r="AU822" s="1"/>
      <c r="AV822" s="1"/>
      <c r="AW822" s="5"/>
      <c r="AX822" s="185">
        <v>0.3</v>
      </c>
      <c r="AY822" s="185">
        <f t="shared" ref="AY822:AZ825" si="3492">AX822</f>
        <v>0.3</v>
      </c>
      <c r="AZ822" s="185">
        <f t="shared" si="3492"/>
        <v>0.3</v>
      </c>
      <c r="BA822" s="4">
        <f t="shared" ref="BA822:BB825" si="3493">BB822</f>
        <v>0.28566000000000003</v>
      </c>
      <c r="BB822" s="4">
        <f t="shared" si="3493"/>
        <v>0.28566000000000003</v>
      </c>
      <c r="BC822" s="971">
        <f>AZ822*(1-0.0478)</f>
        <v>0.28566000000000003</v>
      </c>
      <c r="BD822" s="4">
        <f t="shared" ref="BD822:BE825" si="3494">BE822</f>
        <v>0.27200545200000004</v>
      </c>
      <c r="BE822" s="4">
        <f t="shared" si="3494"/>
        <v>0.27200545200000004</v>
      </c>
      <c r="BF822" s="971">
        <f>BC822*(1-0.0478)</f>
        <v>0.27200545200000004</v>
      </c>
      <c r="BG822" s="4">
        <f t="shared" ref="BG822:BH825" si="3495">BH822</f>
        <v>0.25900359139440005</v>
      </c>
      <c r="BH822" s="4">
        <f t="shared" si="3495"/>
        <v>0.25900359139440005</v>
      </c>
      <c r="BI822" s="971">
        <f>BF822*(1-0.0478)</f>
        <v>0.25900359139440005</v>
      </c>
      <c r="BJ822" s="121">
        <f t="shared" ref="BJ822:BK825" si="3496">BK822</f>
        <v>0.24662321972574774</v>
      </c>
      <c r="BK822" s="121">
        <f t="shared" si="3496"/>
        <v>0.24662321972574774</v>
      </c>
      <c r="BL822" s="114">
        <f>BI822*(1-0.0478)</f>
        <v>0.24662321972574774</v>
      </c>
      <c r="BM822" s="121">
        <f t="shared" ref="BM822:BN825" si="3497">BN822</f>
        <v>0.23483462982285702</v>
      </c>
      <c r="BN822" s="121">
        <f t="shared" si="3497"/>
        <v>0.23483462982285702</v>
      </c>
      <c r="BO822" s="114">
        <f>BL822*(1-0.0478)</f>
        <v>0.23483462982285702</v>
      </c>
      <c r="BP822" s="121">
        <f t="shared" ref="BP822:BQ825" si="3498">BQ822</f>
        <v>0.22360953451732446</v>
      </c>
      <c r="BQ822" s="121">
        <f t="shared" si="3498"/>
        <v>0.22360953451732446</v>
      </c>
      <c r="BR822" s="114">
        <f>BO822*(1-0.0478)</f>
        <v>0.22360953451732446</v>
      </c>
      <c r="BS822" s="4">
        <f t="shared" ref="BS822:BT825" si="3499">BT822</f>
        <v>0.21292099876739637</v>
      </c>
      <c r="BT822" s="4">
        <f t="shared" si="3499"/>
        <v>0.21292099876739637</v>
      </c>
      <c r="BU822" s="185">
        <f>BR822*(1-0.0478)</f>
        <v>0.21292099876739637</v>
      </c>
      <c r="BV822" s="4">
        <f t="shared" ref="BV822:BW825" si="3500">BW822</f>
        <v>0.20274337502631484</v>
      </c>
      <c r="BW822" s="4">
        <f t="shared" si="3500"/>
        <v>0.20274337502631484</v>
      </c>
      <c r="BX822" s="185">
        <f>BU822*(1-0.0478)</f>
        <v>0.20274337502631484</v>
      </c>
      <c r="BY822" s="4">
        <f t="shared" ref="BY822:BZ825" si="3501">BZ822</f>
        <v>0.193052241700057</v>
      </c>
      <c r="BZ822" s="4">
        <f t="shared" si="3501"/>
        <v>0.193052241700057</v>
      </c>
      <c r="CA822" s="185">
        <f>BX822*(1-0.0478)</f>
        <v>0.193052241700057</v>
      </c>
      <c r="CB822" s="4">
        <f t="shared" ref="CB822:CC825" si="3502">CC822</f>
        <v>0.18382434454679428</v>
      </c>
      <c r="CC822" s="4">
        <f t="shared" si="3502"/>
        <v>0.18382434454679428</v>
      </c>
      <c r="CD822" s="185">
        <f>CA822*(1-0.0478)</f>
        <v>0.18382434454679428</v>
      </c>
      <c r="CE822" s="4">
        <f t="shared" ref="CE822:CF825" si="3503">CF822</f>
        <v>0.17503754087745751</v>
      </c>
      <c r="CF822" s="4">
        <f t="shared" si="3503"/>
        <v>0.17503754087745751</v>
      </c>
      <c r="CG822" s="185">
        <f>CD822*(1-0.0478)</f>
        <v>0.17503754087745751</v>
      </c>
      <c r="CH822" s="4">
        <f t="shared" ref="CH822:CI825" si="3504">CI822</f>
        <v>0.16667074642351506</v>
      </c>
      <c r="CI822" s="4">
        <f t="shared" si="3504"/>
        <v>0.16667074642351506</v>
      </c>
      <c r="CJ822" s="185">
        <f>CG822*(1-0.0478)</f>
        <v>0.16667074642351506</v>
      </c>
      <c r="CK822" s="4">
        <f t="shared" ref="CK822:CL825" si="3505">CL822</f>
        <v>0.15870388474447106</v>
      </c>
      <c r="CL822" s="4">
        <f t="shared" si="3505"/>
        <v>0.15870388474447106</v>
      </c>
      <c r="CM822" s="185">
        <f>CJ822*(1-0.0478)</f>
        <v>0.15870388474447106</v>
      </c>
      <c r="CN822" s="4">
        <f t="shared" ref="CN822:CO825" si="3506">CO822</f>
        <v>0.15111783905368534</v>
      </c>
      <c r="CO822" s="4">
        <f t="shared" si="3506"/>
        <v>0.15111783905368534</v>
      </c>
      <c r="CP822" s="185">
        <f>CM822*(1-0.0478)</f>
        <v>0.15111783905368534</v>
      </c>
      <c r="CQ822" s="4">
        <f t="shared" ref="CQ822:CR825" si="3507">CR822</f>
        <v>0.14389440634691919</v>
      </c>
      <c r="CR822" s="4">
        <f t="shared" si="3507"/>
        <v>0.14389440634691919</v>
      </c>
      <c r="CS822" s="185">
        <f>CP822*(1-0.0478)</f>
        <v>0.14389440634691919</v>
      </c>
      <c r="CT822" s="4">
        <f t="shared" ref="CT822:CU825" si="3508">CU822</f>
        <v>0.13701625372353646</v>
      </c>
      <c r="CU822" s="4">
        <f t="shared" si="3508"/>
        <v>0.13701625372353646</v>
      </c>
      <c r="CV822" s="185">
        <f>CS822*(1-0.0478)</f>
        <v>0.13701625372353646</v>
      </c>
      <c r="CW822" s="4">
        <f t="shared" ref="CW822:CX825" si="3509">CX822</f>
        <v>0.13046687679555141</v>
      </c>
      <c r="CX822" s="4">
        <f t="shared" si="3509"/>
        <v>0.13046687679555141</v>
      </c>
      <c r="CY822" s="185">
        <f>CV822*(1-0.0478)</f>
        <v>0.13046687679555141</v>
      </c>
      <c r="CZ822" s="4">
        <f t="shared" ref="CZ822:DA825" si="3510">DA822</f>
        <v>0.12423056008472406</v>
      </c>
      <c r="DA822" s="4">
        <f t="shared" si="3510"/>
        <v>0.12423056008472406</v>
      </c>
      <c r="DB822" s="185">
        <f>CY822*(1-0.0478)</f>
        <v>0.12423056008472406</v>
      </c>
      <c r="DC822" s="4">
        <f t="shared" ref="DC822:DD825" si="3511">DD822</f>
        <v>0.11829233931267426</v>
      </c>
      <c r="DD822" s="4">
        <f t="shared" si="3511"/>
        <v>0.11829233931267426</v>
      </c>
      <c r="DE822" s="185">
        <f>DB822*(1-0.0478)</f>
        <v>0.11829233931267426</v>
      </c>
      <c r="DF822" s="4">
        <f t="shared" ref="DF822:DG825" si="3512">DG822</f>
        <v>0.11263796549352843</v>
      </c>
      <c r="DG822" s="4">
        <f t="shared" si="3512"/>
        <v>0.11263796549352843</v>
      </c>
      <c r="DH822" s="185">
        <f>DE822*(1-0.0478)</f>
        <v>0.11263796549352843</v>
      </c>
      <c r="DI822" s="4">
        <f t="shared" ref="DI822:DJ825" si="3513">DJ822</f>
        <v>0.10725387074293778</v>
      </c>
      <c r="DJ822" s="4">
        <f t="shared" si="3513"/>
        <v>0.10725387074293778</v>
      </c>
      <c r="DK822" s="185">
        <f>DH822*(1-0.0478)</f>
        <v>0.10725387074293778</v>
      </c>
      <c r="DL822" s="4">
        <f t="shared" ref="DL822:DM825" si="3514">DM822</f>
        <v>0.10212713572142536</v>
      </c>
      <c r="DM822" s="4">
        <f t="shared" si="3514"/>
        <v>0.10212713572142536</v>
      </c>
      <c r="DN822" s="185">
        <f>DK822*(1-0.0478)</f>
        <v>0.10212713572142536</v>
      </c>
      <c r="DO822" s="4">
        <f t="shared" ref="DO822:DP825" si="3515">DP822</f>
        <v>9.7245458633941226E-2</v>
      </c>
      <c r="DP822" s="4">
        <f t="shared" si="3515"/>
        <v>9.7245458633941226E-2</v>
      </c>
      <c r="DQ822" s="185">
        <f>DN822*(1-0.0478)</f>
        <v>9.7245458633941226E-2</v>
      </c>
      <c r="DR822" s="4">
        <f t="shared" ref="DR822:DS825" si="3516">DS822</f>
        <v>9.2597125711238834E-2</v>
      </c>
      <c r="DS822" s="4">
        <f t="shared" si="3516"/>
        <v>9.2597125711238834E-2</v>
      </c>
      <c r="DT822" s="185">
        <f>DQ822*(1-0.0478)</f>
        <v>9.2597125711238834E-2</v>
      </c>
      <c r="DU822" s="4">
        <f t="shared" ref="DU822:DV825" si="3517">DV822</f>
        <v>8.8170983102241626E-2</v>
      </c>
      <c r="DV822" s="4">
        <f t="shared" si="3517"/>
        <v>8.8170983102241626E-2</v>
      </c>
      <c r="DW822" s="185">
        <f>DT822*(1-0.0478)</f>
        <v>8.8170983102241626E-2</v>
      </c>
      <c r="DX822" s="4">
        <f t="shared" ref="DX822:DY825" si="3518">DY822</f>
        <v>8.3956410109954485E-2</v>
      </c>
      <c r="DY822" s="4">
        <f t="shared" si="3518"/>
        <v>8.3956410109954485E-2</v>
      </c>
      <c r="DZ822" s="185">
        <f>DW822*(1-0.0478)</f>
        <v>8.3956410109954485E-2</v>
      </c>
      <c r="EA822" s="4">
        <f t="shared" ref="EA822:EB825" si="3519">EB822</f>
        <v>7.994329370669867E-2</v>
      </c>
      <c r="EB822" s="4">
        <f t="shared" si="3519"/>
        <v>7.994329370669867E-2</v>
      </c>
      <c r="EC822" s="185">
        <f>DZ822*(1-0.0478)</f>
        <v>7.994329370669867E-2</v>
      </c>
      <c r="ED822" s="4">
        <f t="shared" ref="ED822:EE825" si="3520">EE822</f>
        <v>7.6122004267518473E-2</v>
      </c>
      <c r="EE822" s="4">
        <f t="shared" si="3520"/>
        <v>7.6122004267518473E-2</v>
      </c>
      <c r="EF822" s="185">
        <f>EC822*(1-0.0478)</f>
        <v>7.6122004267518473E-2</v>
      </c>
      <c r="EG822" s="4">
        <f t="shared" ref="EG822:EH825" si="3521">EH822</f>
        <v>7.2483372463531093E-2</v>
      </c>
      <c r="EH822" s="4">
        <f t="shared" si="3521"/>
        <v>7.2483372463531093E-2</v>
      </c>
      <c r="EI822" s="185">
        <f>EF822*(1-0.0478)</f>
        <v>7.2483372463531093E-2</v>
      </c>
      <c r="EJ822" s="4">
        <f t="shared" ref="EJ822:EK825" si="3522">EK822</f>
        <v>6.9018667259774305E-2</v>
      </c>
      <c r="EK822" s="4">
        <f t="shared" si="3522"/>
        <v>6.9018667259774305E-2</v>
      </c>
      <c r="EL822" s="185">
        <f>EI822*(1-0.0478)</f>
        <v>6.9018667259774305E-2</v>
      </c>
      <c r="EM822" s="4">
        <f t="shared" ref="EM822:EN825" si="3523">EN822</f>
        <v>6.5719574964757096E-2</v>
      </c>
      <c r="EN822" s="4">
        <f t="shared" si="3523"/>
        <v>6.5719574964757096E-2</v>
      </c>
      <c r="EO822" s="185">
        <f>EL822*(1-0.0478)</f>
        <v>6.5719574964757096E-2</v>
      </c>
      <c r="EP822" s="4">
        <f t="shared" ref="EP822:EQ825" si="3524">EQ822</f>
        <v>6.2578179281441715E-2</v>
      </c>
      <c r="EQ822" s="4">
        <f t="shared" si="3524"/>
        <v>6.2578179281441715E-2</v>
      </c>
      <c r="ER822" s="185">
        <f>EO822*(1-0.0478)</f>
        <v>6.2578179281441715E-2</v>
      </c>
      <c r="ES822" s="4">
        <f t="shared" ref="ES822:ES825" si="3525">ET822</f>
        <v>5.9586942311788807E-2</v>
      </c>
      <c r="ET822" s="4">
        <f t="shared" ref="ET822:ET825" si="3526">EU822</f>
        <v>5.9586942311788807E-2</v>
      </c>
      <c r="EU822" s="185">
        <f>ER822*(1-0.0478)</f>
        <v>5.9586942311788807E-2</v>
      </c>
      <c r="EV822" s="4">
        <f t="shared" ref="EV822:EV825" si="3527">EW822</f>
        <v>5.6738686469285302E-2</v>
      </c>
      <c r="EW822" s="4">
        <f t="shared" ref="EW822:EW825" si="3528">EX822</f>
        <v>5.6738686469285302E-2</v>
      </c>
      <c r="EX822" s="185">
        <f>EU822*(1-0.0478)</f>
        <v>5.6738686469285302E-2</v>
      </c>
      <c r="EY822" s="4">
        <f t="shared" ref="EY822:EY825" si="3529">EZ822</f>
        <v>5.4026577256053469E-2</v>
      </c>
      <c r="EZ822" s="4">
        <f t="shared" ref="EZ822:EZ825" si="3530">FA822</f>
        <v>5.4026577256053469E-2</v>
      </c>
      <c r="FA822" s="185">
        <f>EX822*(1-0.0478)</f>
        <v>5.4026577256053469E-2</v>
      </c>
      <c r="FH822" s="35"/>
      <c r="FI822" s="35"/>
      <c r="FJ822" s="35"/>
      <c r="FK822" s="35"/>
      <c r="FL822" s="35"/>
      <c r="FM822" s="35"/>
      <c r="FN822" s="35"/>
      <c r="FO822" s="35"/>
      <c r="FP822" s="35"/>
      <c r="FQ822" s="35"/>
    </row>
    <row r="823" spans="1:173" s="321" customFormat="1" hidden="1" outlineLevel="1">
      <c r="A823" s="1168"/>
      <c r="B823" s="186"/>
      <c r="C823" s="186" t="s">
        <v>317</v>
      </c>
      <c r="D823" s="910"/>
      <c r="E823" s="1"/>
      <c r="F823" s="1"/>
      <c r="G823" s="5"/>
      <c r="H823" s="1"/>
      <c r="I823" s="1"/>
      <c r="J823" s="5"/>
      <c r="K823" s="1"/>
      <c r="L823" s="1"/>
      <c r="M823" s="5"/>
      <c r="N823" s="1"/>
      <c r="O823" s="1"/>
      <c r="P823" s="5"/>
      <c r="Q823" s="1"/>
      <c r="R823" s="1"/>
      <c r="S823" s="5"/>
      <c r="T823" s="1"/>
      <c r="U823" s="1"/>
      <c r="V823" s="5"/>
      <c r="W823" s="1"/>
      <c r="X823" s="1"/>
      <c r="Y823" s="5"/>
      <c r="Z823" s="1"/>
      <c r="AA823" s="1"/>
      <c r="AB823" s="5"/>
      <c r="AC823" s="1"/>
      <c r="AD823" s="1"/>
      <c r="AE823" s="5"/>
      <c r="AF823" s="1"/>
      <c r="AG823" s="1"/>
      <c r="AH823" s="5"/>
      <c r="AI823" s="1"/>
      <c r="AJ823" s="1"/>
      <c r="AK823" s="5"/>
      <c r="AL823" s="1"/>
      <c r="AM823" s="1"/>
      <c r="AN823" s="5"/>
      <c r="AO823" s="1"/>
      <c r="AP823" s="1"/>
      <c r="AQ823" s="5"/>
      <c r="AR823" s="1"/>
      <c r="AS823" s="1"/>
      <c r="AT823" s="5"/>
      <c r="AU823" s="1"/>
      <c r="AV823" s="1"/>
      <c r="AW823" s="5"/>
      <c r="AX823" s="185">
        <f>AX822</f>
        <v>0.3</v>
      </c>
      <c r="AY823" s="185">
        <f t="shared" si="3492"/>
        <v>0.3</v>
      </c>
      <c r="AZ823" s="185">
        <f t="shared" si="3492"/>
        <v>0.3</v>
      </c>
      <c r="BA823" s="4">
        <f t="shared" si="3493"/>
        <v>0.28566000000000003</v>
      </c>
      <c r="BB823" s="4">
        <f t="shared" si="3493"/>
        <v>0.28566000000000003</v>
      </c>
      <c r="BC823" s="971">
        <f>AZ823*(1-0.0478)</f>
        <v>0.28566000000000003</v>
      </c>
      <c r="BD823" s="4">
        <f t="shared" si="3494"/>
        <v>0.27200545200000004</v>
      </c>
      <c r="BE823" s="4">
        <f t="shared" si="3494"/>
        <v>0.27200545200000004</v>
      </c>
      <c r="BF823" s="971">
        <f>BC823*(1-0.0478)</f>
        <v>0.27200545200000004</v>
      </c>
      <c r="BG823" s="4">
        <f t="shared" si="3495"/>
        <v>0.25900359139440005</v>
      </c>
      <c r="BH823" s="4">
        <f t="shared" si="3495"/>
        <v>0.25900359139440005</v>
      </c>
      <c r="BI823" s="971">
        <f>BF823*(1-0.0478)</f>
        <v>0.25900359139440005</v>
      </c>
      <c r="BJ823" s="121">
        <f t="shared" si="3496"/>
        <v>0.24662321972574774</v>
      </c>
      <c r="BK823" s="121">
        <f t="shared" si="3496"/>
        <v>0.24662321972574774</v>
      </c>
      <c r="BL823" s="114">
        <f>BI823*(1-0.0478)</f>
        <v>0.24662321972574774</v>
      </c>
      <c r="BM823" s="121">
        <f t="shared" si="3497"/>
        <v>0.23483462982285702</v>
      </c>
      <c r="BN823" s="121">
        <f t="shared" si="3497"/>
        <v>0.23483462982285702</v>
      </c>
      <c r="BO823" s="114">
        <f>BL823*(1-0.0478)</f>
        <v>0.23483462982285702</v>
      </c>
      <c r="BP823" s="121">
        <f t="shared" si="3498"/>
        <v>0.22360953451732446</v>
      </c>
      <c r="BQ823" s="121">
        <f t="shared" si="3498"/>
        <v>0.22360953451732446</v>
      </c>
      <c r="BR823" s="114">
        <f>BO823*(1-0.0478)</f>
        <v>0.22360953451732446</v>
      </c>
      <c r="BS823" s="4">
        <f t="shared" si="3499"/>
        <v>0.21292099876739637</v>
      </c>
      <c r="BT823" s="4">
        <f t="shared" si="3499"/>
        <v>0.21292099876739637</v>
      </c>
      <c r="BU823" s="185">
        <f>BR823*(1-0.0478)</f>
        <v>0.21292099876739637</v>
      </c>
      <c r="BV823" s="4">
        <f t="shared" si="3500"/>
        <v>0.20274337502631484</v>
      </c>
      <c r="BW823" s="4">
        <f t="shared" si="3500"/>
        <v>0.20274337502631484</v>
      </c>
      <c r="BX823" s="185">
        <f>BU823*(1-0.0478)</f>
        <v>0.20274337502631484</v>
      </c>
      <c r="BY823" s="4">
        <f t="shared" si="3501"/>
        <v>0.193052241700057</v>
      </c>
      <c r="BZ823" s="4">
        <f t="shared" si="3501"/>
        <v>0.193052241700057</v>
      </c>
      <c r="CA823" s="185">
        <f>BX823*(1-0.0478)</f>
        <v>0.193052241700057</v>
      </c>
      <c r="CB823" s="4">
        <f t="shared" si="3502"/>
        <v>0.18382434454679428</v>
      </c>
      <c r="CC823" s="4">
        <f t="shared" si="3502"/>
        <v>0.18382434454679428</v>
      </c>
      <c r="CD823" s="185">
        <f>CA823*(1-0.0478)</f>
        <v>0.18382434454679428</v>
      </c>
      <c r="CE823" s="4">
        <f t="shared" si="3503"/>
        <v>0.17503754087745751</v>
      </c>
      <c r="CF823" s="4">
        <f t="shared" si="3503"/>
        <v>0.17503754087745751</v>
      </c>
      <c r="CG823" s="185">
        <f>CD823*(1-0.0478)</f>
        <v>0.17503754087745751</v>
      </c>
      <c r="CH823" s="4">
        <f t="shared" si="3504"/>
        <v>0.16667074642351506</v>
      </c>
      <c r="CI823" s="4">
        <f t="shared" si="3504"/>
        <v>0.16667074642351506</v>
      </c>
      <c r="CJ823" s="185">
        <f>CG823*(1-0.0478)</f>
        <v>0.16667074642351506</v>
      </c>
      <c r="CK823" s="4">
        <f t="shared" si="3505"/>
        <v>0.15870388474447106</v>
      </c>
      <c r="CL823" s="4">
        <f t="shared" si="3505"/>
        <v>0.15870388474447106</v>
      </c>
      <c r="CM823" s="185">
        <f>CJ823*(1-0.0478)</f>
        <v>0.15870388474447106</v>
      </c>
      <c r="CN823" s="4">
        <f t="shared" si="3506"/>
        <v>0.15111783905368534</v>
      </c>
      <c r="CO823" s="4">
        <f t="shared" si="3506"/>
        <v>0.15111783905368534</v>
      </c>
      <c r="CP823" s="185">
        <f>CM823*(1-0.0478)</f>
        <v>0.15111783905368534</v>
      </c>
      <c r="CQ823" s="4">
        <f t="shared" si="3507"/>
        <v>0.14389440634691919</v>
      </c>
      <c r="CR823" s="4">
        <f t="shared" si="3507"/>
        <v>0.14389440634691919</v>
      </c>
      <c r="CS823" s="185">
        <f>CP823*(1-0.0478)</f>
        <v>0.14389440634691919</v>
      </c>
      <c r="CT823" s="4">
        <f t="shared" si="3508"/>
        <v>0.13701625372353646</v>
      </c>
      <c r="CU823" s="4">
        <f t="shared" si="3508"/>
        <v>0.13701625372353646</v>
      </c>
      <c r="CV823" s="185">
        <f>CS823*(1-0.0478)</f>
        <v>0.13701625372353646</v>
      </c>
      <c r="CW823" s="4">
        <f t="shared" si="3509"/>
        <v>0.13046687679555141</v>
      </c>
      <c r="CX823" s="4">
        <f t="shared" si="3509"/>
        <v>0.13046687679555141</v>
      </c>
      <c r="CY823" s="185">
        <f>CV823*(1-0.0478)</f>
        <v>0.13046687679555141</v>
      </c>
      <c r="CZ823" s="4">
        <f t="shared" si="3510"/>
        <v>0.12423056008472406</v>
      </c>
      <c r="DA823" s="4">
        <f t="shared" si="3510"/>
        <v>0.12423056008472406</v>
      </c>
      <c r="DB823" s="185">
        <f>CY823*(1-0.0478)</f>
        <v>0.12423056008472406</v>
      </c>
      <c r="DC823" s="4">
        <f t="shared" si="3511"/>
        <v>0.11829233931267426</v>
      </c>
      <c r="DD823" s="4">
        <f t="shared" si="3511"/>
        <v>0.11829233931267426</v>
      </c>
      <c r="DE823" s="185">
        <f>DB823*(1-0.0478)</f>
        <v>0.11829233931267426</v>
      </c>
      <c r="DF823" s="4">
        <f t="shared" si="3512"/>
        <v>0.11263796549352843</v>
      </c>
      <c r="DG823" s="4">
        <f t="shared" si="3512"/>
        <v>0.11263796549352843</v>
      </c>
      <c r="DH823" s="185">
        <f>DE823*(1-0.0478)</f>
        <v>0.11263796549352843</v>
      </c>
      <c r="DI823" s="4">
        <f t="shared" si="3513"/>
        <v>0.10725387074293778</v>
      </c>
      <c r="DJ823" s="4">
        <f t="shared" si="3513"/>
        <v>0.10725387074293778</v>
      </c>
      <c r="DK823" s="185">
        <f>DH823*(1-0.0478)</f>
        <v>0.10725387074293778</v>
      </c>
      <c r="DL823" s="4">
        <f t="shared" si="3514"/>
        <v>0.10212713572142536</v>
      </c>
      <c r="DM823" s="4">
        <f t="shared" si="3514"/>
        <v>0.10212713572142536</v>
      </c>
      <c r="DN823" s="185">
        <f>DK823*(1-0.0478)</f>
        <v>0.10212713572142536</v>
      </c>
      <c r="DO823" s="4">
        <f t="shared" si="3515"/>
        <v>9.7245458633941226E-2</v>
      </c>
      <c r="DP823" s="4">
        <f t="shared" si="3515"/>
        <v>9.7245458633941226E-2</v>
      </c>
      <c r="DQ823" s="185">
        <f>DN823*(1-0.0478)</f>
        <v>9.7245458633941226E-2</v>
      </c>
      <c r="DR823" s="4">
        <f t="shared" si="3516"/>
        <v>9.2597125711238834E-2</v>
      </c>
      <c r="DS823" s="4">
        <f t="shared" si="3516"/>
        <v>9.2597125711238834E-2</v>
      </c>
      <c r="DT823" s="185">
        <f>DQ823*(1-0.0478)</f>
        <v>9.2597125711238834E-2</v>
      </c>
      <c r="DU823" s="4">
        <f t="shared" si="3517"/>
        <v>8.8170983102241626E-2</v>
      </c>
      <c r="DV823" s="4">
        <f t="shared" si="3517"/>
        <v>8.8170983102241626E-2</v>
      </c>
      <c r="DW823" s="185">
        <f>DT823*(1-0.0478)</f>
        <v>8.8170983102241626E-2</v>
      </c>
      <c r="DX823" s="4">
        <f t="shared" si="3518"/>
        <v>8.3956410109954485E-2</v>
      </c>
      <c r="DY823" s="4">
        <f t="shared" si="3518"/>
        <v>8.3956410109954485E-2</v>
      </c>
      <c r="DZ823" s="185">
        <f>DW823*(1-0.0478)</f>
        <v>8.3956410109954485E-2</v>
      </c>
      <c r="EA823" s="4">
        <f t="shared" si="3519"/>
        <v>7.994329370669867E-2</v>
      </c>
      <c r="EB823" s="4">
        <f t="shared" si="3519"/>
        <v>7.994329370669867E-2</v>
      </c>
      <c r="EC823" s="185">
        <f>DZ823*(1-0.0478)</f>
        <v>7.994329370669867E-2</v>
      </c>
      <c r="ED823" s="4">
        <f t="shared" si="3520"/>
        <v>7.6122004267518473E-2</v>
      </c>
      <c r="EE823" s="4">
        <f t="shared" si="3520"/>
        <v>7.6122004267518473E-2</v>
      </c>
      <c r="EF823" s="185">
        <f>EC823*(1-0.0478)</f>
        <v>7.6122004267518473E-2</v>
      </c>
      <c r="EG823" s="4">
        <f t="shared" si="3521"/>
        <v>7.2483372463531093E-2</v>
      </c>
      <c r="EH823" s="4">
        <f t="shared" si="3521"/>
        <v>7.2483372463531093E-2</v>
      </c>
      <c r="EI823" s="185">
        <f>EF823*(1-0.0478)</f>
        <v>7.2483372463531093E-2</v>
      </c>
      <c r="EJ823" s="4">
        <f t="shared" si="3522"/>
        <v>6.9018667259774305E-2</v>
      </c>
      <c r="EK823" s="4">
        <f t="shared" si="3522"/>
        <v>6.9018667259774305E-2</v>
      </c>
      <c r="EL823" s="185">
        <f>EI823*(1-0.0478)</f>
        <v>6.9018667259774305E-2</v>
      </c>
      <c r="EM823" s="4">
        <f t="shared" si="3523"/>
        <v>6.5719574964757096E-2</v>
      </c>
      <c r="EN823" s="4">
        <f t="shared" si="3523"/>
        <v>6.5719574964757096E-2</v>
      </c>
      <c r="EO823" s="185">
        <f>EL823*(1-0.0478)</f>
        <v>6.5719574964757096E-2</v>
      </c>
      <c r="EP823" s="4">
        <f t="shared" si="3524"/>
        <v>6.2578179281441715E-2</v>
      </c>
      <c r="EQ823" s="4">
        <f t="shared" si="3524"/>
        <v>6.2578179281441715E-2</v>
      </c>
      <c r="ER823" s="185">
        <f>EO823*(1-0.0478)</f>
        <v>6.2578179281441715E-2</v>
      </c>
      <c r="ES823" s="4">
        <f t="shared" si="3525"/>
        <v>5.9586942311788807E-2</v>
      </c>
      <c r="ET823" s="4">
        <f t="shared" si="3526"/>
        <v>5.9586942311788807E-2</v>
      </c>
      <c r="EU823" s="185">
        <f>ER823*(1-0.0478)</f>
        <v>5.9586942311788807E-2</v>
      </c>
      <c r="EV823" s="4">
        <f t="shared" si="3527"/>
        <v>5.6738686469285302E-2</v>
      </c>
      <c r="EW823" s="4">
        <f t="shared" si="3528"/>
        <v>5.6738686469285302E-2</v>
      </c>
      <c r="EX823" s="185">
        <f>EU823*(1-0.0478)</f>
        <v>5.6738686469285302E-2</v>
      </c>
      <c r="EY823" s="4">
        <f t="shared" si="3529"/>
        <v>5.4026577256053469E-2</v>
      </c>
      <c r="EZ823" s="4">
        <f t="shared" si="3530"/>
        <v>5.4026577256053469E-2</v>
      </c>
      <c r="FA823" s="185">
        <f>EX823*(1-0.0478)</f>
        <v>5.4026577256053469E-2</v>
      </c>
      <c r="FH823" s="35"/>
      <c r="FI823" s="35"/>
      <c r="FJ823" s="35"/>
      <c r="FK823" s="35"/>
      <c r="FL823" s="35"/>
      <c r="FM823" s="35"/>
      <c r="FN823" s="35"/>
      <c r="FO823" s="35"/>
      <c r="FP823" s="35"/>
      <c r="FQ823" s="35"/>
    </row>
    <row r="824" spans="1:173" s="321" customFormat="1" hidden="1" outlineLevel="1">
      <c r="A824" s="1168"/>
      <c r="B824" s="186"/>
      <c r="C824" s="186" t="s">
        <v>431</v>
      </c>
      <c r="D824" s="910"/>
      <c r="E824" s="1"/>
      <c r="F824" s="1"/>
      <c r="G824" s="5"/>
      <c r="H824" s="1"/>
      <c r="I824" s="1"/>
      <c r="J824" s="5"/>
      <c r="K824" s="1"/>
      <c r="L824" s="1"/>
      <c r="M824" s="5"/>
      <c r="N824" s="1"/>
      <c r="O824" s="1"/>
      <c r="P824" s="5"/>
      <c r="Q824" s="1"/>
      <c r="R824" s="1"/>
      <c r="S824" s="5"/>
      <c r="T824" s="1"/>
      <c r="U824" s="1"/>
      <c r="V824" s="5"/>
      <c r="W824" s="1"/>
      <c r="X824" s="1"/>
      <c r="Y824" s="5"/>
      <c r="Z824" s="1"/>
      <c r="AA824" s="1"/>
      <c r="AB824" s="5"/>
      <c r="AC824" s="1"/>
      <c r="AD824" s="1"/>
      <c r="AE824" s="5"/>
      <c r="AF824" s="1"/>
      <c r="AG824" s="1"/>
      <c r="AH824" s="5"/>
      <c r="AI824" s="1"/>
      <c r="AJ824" s="1"/>
      <c r="AK824" s="5"/>
      <c r="AL824" s="1"/>
      <c r="AM824" s="1"/>
      <c r="AN824" s="5"/>
      <c r="AO824" s="1"/>
      <c r="AP824" s="1"/>
      <c r="AQ824" s="5"/>
      <c r="AR824" s="1"/>
      <c r="AS824" s="1"/>
      <c r="AT824" s="5"/>
      <c r="AU824" s="1"/>
      <c r="AV824" s="1"/>
      <c r="AW824" s="5"/>
      <c r="AX824" s="185">
        <f>AX823</f>
        <v>0.3</v>
      </c>
      <c r="AY824" s="185">
        <f t="shared" si="3492"/>
        <v>0.3</v>
      </c>
      <c r="AZ824" s="185">
        <f t="shared" si="3492"/>
        <v>0.3</v>
      </c>
      <c r="BA824" s="4">
        <f t="shared" si="3493"/>
        <v>0.28566000000000003</v>
      </c>
      <c r="BB824" s="4">
        <f t="shared" si="3493"/>
        <v>0.28566000000000003</v>
      </c>
      <c r="BC824" s="971">
        <f>AZ824*(1-0.0478)</f>
        <v>0.28566000000000003</v>
      </c>
      <c r="BD824" s="4">
        <f t="shared" si="3494"/>
        <v>0.27200545200000004</v>
      </c>
      <c r="BE824" s="4">
        <f t="shared" si="3494"/>
        <v>0.27200545200000004</v>
      </c>
      <c r="BF824" s="971">
        <f>BC824*(1-0.0478)</f>
        <v>0.27200545200000004</v>
      </c>
      <c r="BG824" s="4">
        <f t="shared" si="3495"/>
        <v>0.25900359139440005</v>
      </c>
      <c r="BH824" s="4">
        <f t="shared" si="3495"/>
        <v>0.25900359139440005</v>
      </c>
      <c r="BI824" s="971">
        <f>BF824*(1-0.0478)</f>
        <v>0.25900359139440005</v>
      </c>
      <c r="BJ824" s="121">
        <f t="shared" si="3496"/>
        <v>0.24662321972574774</v>
      </c>
      <c r="BK824" s="121">
        <f t="shared" si="3496"/>
        <v>0.24662321972574774</v>
      </c>
      <c r="BL824" s="114">
        <f>BI824*(1-0.0478)</f>
        <v>0.24662321972574774</v>
      </c>
      <c r="BM824" s="121">
        <f t="shared" si="3497"/>
        <v>0.23483462982285702</v>
      </c>
      <c r="BN824" s="121">
        <f t="shared" si="3497"/>
        <v>0.23483462982285702</v>
      </c>
      <c r="BO824" s="114">
        <f>BL824*(1-0.0478)</f>
        <v>0.23483462982285702</v>
      </c>
      <c r="BP824" s="121">
        <f t="shared" si="3498"/>
        <v>0.22360953451732446</v>
      </c>
      <c r="BQ824" s="121">
        <f t="shared" si="3498"/>
        <v>0.22360953451732446</v>
      </c>
      <c r="BR824" s="114">
        <f>BO824*(1-0.0478)</f>
        <v>0.22360953451732446</v>
      </c>
      <c r="BS824" s="4">
        <f t="shared" si="3499"/>
        <v>0.21292099876739637</v>
      </c>
      <c r="BT824" s="4">
        <f t="shared" si="3499"/>
        <v>0.21292099876739637</v>
      </c>
      <c r="BU824" s="185">
        <f>BR824*(1-0.0478)</f>
        <v>0.21292099876739637</v>
      </c>
      <c r="BV824" s="4">
        <f t="shared" si="3500"/>
        <v>0.20274337502631484</v>
      </c>
      <c r="BW824" s="4">
        <f t="shared" si="3500"/>
        <v>0.20274337502631484</v>
      </c>
      <c r="BX824" s="185">
        <f>BU824*(1-0.0478)</f>
        <v>0.20274337502631484</v>
      </c>
      <c r="BY824" s="4">
        <f t="shared" si="3501"/>
        <v>0.193052241700057</v>
      </c>
      <c r="BZ824" s="4">
        <f t="shared" si="3501"/>
        <v>0.193052241700057</v>
      </c>
      <c r="CA824" s="185">
        <f>BX824*(1-0.0478)</f>
        <v>0.193052241700057</v>
      </c>
      <c r="CB824" s="4">
        <f t="shared" si="3502"/>
        <v>0.18382434454679428</v>
      </c>
      <c r="CC824" s="4">
        <f t="shared" si="3502"/>
        <v>0.18382434454679428</v>
      </c>
      <c r="CD824" s="185">
        <f>CA824*(1-0.0478)</f>
        <v>0.18382434454679428</v>
      </c>
      <c r="CE824" s="4">
        <f t="shared" si="3503"/>
        <v>0.17503754087745751</v>
      </c>
      <c r="CF824" s="4">
        <f t="shared" si="3503"/>
        <v>0.17503754087745751</v>
      </c>
      <c r="CG824" s="185">
        <f>CD824*(1-0.0478)</f>
        <v>0.17503754087745751</v>
      </c>
      <c r="CH824" s="4">
        <f t="shared" si="3504"/>
        <v>0.16667074642351506</v>
      </c>
      <c r="CI824" s="4">
        <f t="shared" si="3504"/>
        <v>0.16667074642351506</v>
      </c>
      <c r="CJ824" s="185">
        <f>CG824*(1-0.0478)</f>
        <v>0.16667074642351506</v>
      </c>
      <c r="CK824" s="4">
        <f t="shared" si="3505"/>
        <v>0.15870388474447106</v>
      </c>
      <c r="CL824" s="4">
        <f t="shared" si="3505"/>
        <v>0.15870388474447106</v>
      </c>
      <c r="CM824" s="185">
        <f>CJ824*(1-0.0478)</f>
        <v>0.15870388474447106</v>
      </c>
      <c r="CN824" s="4">
        <f t="shared" si="3506"/>
        <v>0.15111783905368534</v>
      </c>
      <c r="CO824" s="4">
        <f t="shared" si="3506"/>
        <v>0.15111783905368534</v>
      </c>
      <c r="CP824" s="185">
        <f>CM824*(1-0.0478)</f>
        <v>0.15111783905368534</v>
      </c>
      <c r="CQ824" s="4">
        <f t="shared" si="3507"/>
        <v>0.14389440634691919</v>
      </c>
      <c r="CR824" s="4">
        <f t="shared" si="3507"/>
        <v>0.14389440634691919</v>
      </c>
      <c r="CS824" s="185">
        <f>CP824*(1-0.0478)</f>
        <v>0.14389440634691919</v>
      </c>
      <c r="CT824" s="4">
        <f t="shared" si="3508"/>
        <v>0.13701625372353646</v>
      </c>
      <c r="CU824" s="4">
        <f t="shared" si="3508"/>
        <v>0.13701625372353646</v>
      </c>
      <c r="CV824" s="185">
        <f>CS824*(1-0.0478)</f>
        <v>0.13701625372353646</v>
      </c>
      <c r="CW824" s="4">
        <f t="shared" si="3509"/>
        <v>0.13046687679555141</v>
      </c>
      <c r="CX824" s="4">
        <f t="shared" si="3509"/>
        <v>0.13046687679555141</v>
      </c>
      <c r="CY824" s="185">
        <f>CV824*(1-0.0478)</f>
        <v>0.13046687679555141</v>
      </c>
      <c r="CZ824" s="4">
        <f t="shared" si="3510"/>
        <v>0.12423056008472406</v>
      </c>
      <c r="DA824" s="4">
        <f t="shared" si="3510"/>
        <v>0.12423056008472406</v>
      </c>
      <c r="DB824" s="185">
        <f>CY824*(1-0.0478)</f>
        <v>0.12423056008472406</v>
      </c>
      <c r="DC824" s="4">
        <f t="shared" si="3511"/>
        <v>0.11829233931267426</v>
      </c>
      <c r="DD824" s="4">
        <f t="shared" si="3511"/>
        <v>0.11829233931267426</v>
      </c>
      <c r="DE824" s="185">
        <f>DB824*(1-0.0478)</f>
        <v>0.11829233931267426</v>
      </c>
      <c r="DF824" s="4">
        <f t="shared" si="3512"/>
        <v>0.11263796549352843</v>
      </c>
      <c r="DG824" s="4">
        <f t="shared" si="3512"/>
        <v>0.11263796549352843</v>
      </c>
      <c r="DH824" s="185">
        <f>DE824*(1-0.0478)</f>
        <v>0.11263796549352843</v>
      </c>
      <c r="DI824" s="4">
        <f t="shared" si="3513"/>
        <v>0.10725387074293778</v>
      </c>
      <c r="DJ824" s="4">
        <f t="shared" si="3513"/>
        <v>0.10725387074293778</v>
      </c>
      <c r="DK824" s="185">
        <f>DH824*(1-0.0478)</f>
        <v>0.10725387074293778</v>
      </c>
      <c r="DL824" s="4">
        <f t="shared" si="3514"/>
        <v>0.10212713572142536</v>
      </c>
      <c r="DM824" s="4">
        <f t="shared" si="3514"/>
        <v>0.10212713572142536</v>
      </c>
      <c r="DN824" s="185">
        <f>DK824*(1-0.0478)</f>
        <v>0.10212713572142536</v>
      </c>
      <c r="DO824" s="4">
        <f t="shared" si="3515"/>
        <v>9.7245458633941226E-2</v>
      </c>
      <c r="DP824" s="4">
        <f t="shared" si="3515"/>
        <v>9.7245458633941226E-2</v>
      </c>
      <c r="DQ824" s="185">
        <f>DN824*(1-0.0478)</f>
        <v>9.7245458633941226E-2</v>
      </c>
      <c r="DR824" s="4">
        <f t="shared" si="3516"/>
        <v>9.2597125711238834E-2</v>
      </c>
      <c r="DS824" s="4">
        <f t="shared" si="3516"/>
        <v>9.2597125711238834E-2</v>
      </c>
      <c r="DT824" s="185">
        <f>DQ824*(1-0.0478)</f>
        <v>9.2597125711238834E-2</v>
      </c>
      <c r="DU824" s="4">
        <f t="shared" si="3517"/>
        <v>8.8170983102241626E-2</v>
      </c>
      <c r="DV824" s="4">
        <f t="shared" si="3517"/>
        <v>8.8170983102241626E-2</v>
      </c>
      <c r="DW824" s="185">
        <f>DT824*(1-0.0478)</f>
        <v>8.8170983102241626E-2</v>
      </c>
      <c r="DX824" s="4">
        <f t="shared" si="3518"/>
        <v>8.3956410109954485E-2</v>
      </c>
      <c r="DY824" s="4">
        <f t="shared" si="3518"/>
        <v>8.3956410109954485E-2</v>
      </c>
      <c r="DZ824" s="185">
        <f>DW824*(1-0.0478)</f>
        <v>8.3956410109954485E-2</v>
      </c>
      <c r="EA824" s="4">
        <f t="shared" si="3519"/>
        <v>7.994329370669867E-2</v>
      </c>
      <c r="EB824" s="4">
        <f t="shared" si="3519"/>
        <v>7.994329370669867E-2</v>
      </c>
      <c r="EC824" s="185">
        <f>DZ824*(1-0.0478)</f>
        <v>7.994329370669867E-2</v>
      </c>
      <c r="ED824" s="4">
        <f t="shared" si="3520"/>
        <v>7.6122004267518473E-2</v>
      </c>
      <c r="EE824" s="4">
        <f t="shared" si="3520"/>
        <v>7.6122004267518473E-2</v>
      </c>
      <c r="EF824" s="185">
        <f>EC824*(1-0.0478)</f>
        <v>7.6122004267518473E-2</v>
      </c>
      <c r="EG824" s="4">
        <f t="shared" si="3521"/>
        <v>7.2483372463531093E-2</v>
      </c>
      <c r="EH824" s="4">
        <f t="shared" si="3521"/>
        <v>7.2483372463531093E-2</v>
      </c>
      <c r="EI824" s="185">
        <f>EF824*(1-0.0478)</f>
        <v>7.2483372463531093E-2</v>
      </c>
      <c r="EJ824" s="4">
        <f t="shared" si="3522"/>
        <v>6.9018667259774305E-2</v>
      </c>
      <c r="EK824" s="4">
        <f t="shared" si="3522"/>
        <v>6.9018667259774305E-2</v>
      </c>
      <c r="EL824" s="185">
        <f>EI824*(1-0.0478)</f>
        <v>6.9018667259774305E-2</v>
      </c>
      <c r="EM824" s="4">
        <f t="shared" si="3523"/>
        <v>6.5719574964757096E-2</v>
      </c>
      <c r="EN824" s="4">
        <f t="shared" si="3523"/>
        <v>6.5719574964757096E-2</v>
      </c>
      <c r="EO824" s="185">
        <f>EL824*(1-0.0478)</f>
        <v>6.5719574964757096E-2</v>
      </c>
      <c r="EP824" s="4">
        <f t="shared" si="3524"/>
        <v>6.2578179281441715E-2</v>
      </c>
      <c r="EQ824" s="4">
        <f t="shared" si="3524"/>
        <v>6.2578179281441715E-2</v>
      </c>
      <c r="ER824" s="185">
        <f>EO824*(1-0.0478)</f>
        <v>6.2578179281441715E-2</v>
      </c>
      <c r="ES824" s="4">
        <f t="shared" si="3525"/>
        <v>5.9586942311788807E-2</v>
      </c>
      <c r="ET824" s="4">
        <f t="shared" si="3526"/>
        <v>5.9586942311788807E-2</v>
      </c>
      <c r="EU824" s="185">
        <f>ER824*(1-0.0478)</f>
        <v>5.9586942311788807E-2</v>
      </c>
      <c r="EV824" s="4">
        <f t="shared" si="3527"/>
        <v>5.6738686469285302E-2</v>
      </c>
      <c r="EW824" s="4">
        <f t="shared" si="3528"/>
        <v>5.6738686469285302E-2</v>
      </c>
      <c r="EX824" s="185">
        <f>EU824*(1-0.0478)</f>
        <v>5.6738686469285302E-2</v>
      </c>
      <c r="EY824" s="4">
        <f t="shared" si="3529"/>
        <v>5.4026577256053469E-2</v>
      </c>
      <c r="EZ824" s="4">
        <f t="shared" si="3530"/>
        <v>5.4026577256053469E-2</v>
      </c>
      <c r="FA824" s="185">
        <f>EX824*(1-0.0478)</f>
        <v>5.4026577256053469E-2</v>
      </c>
      <c r="FH824" s="35"/>
      <c r="FI824" s="35"/>
      <c r="FJ824" s="35"/>
      <c r="FK824" s="35"/>
      <c r="FL824" s="35"/>
      <c r="FM824" s="35"/>
      <c r="FN824" s="35"/>
      <c r="FO824" s="35"/>
      <c r="FP824" s="35"/>
      <c r="FQ824" s="35"/>
    </row>
    <row r="825" spans="1:173" s="321" customFormat="1" hidden="1" outlineLevel="1">
      <c r="A825" s="1168"/>
      <c r="B825" s="186"/>
      <c r="C825" s="186" t="s">
        <v>327</v>
      </c>
      <c r="D825" s="910"/>
      <c r="E825" s="1"/>
      <c r="F825" s="1"/>
      <c r="G825" s="5"/>
      <c r="H825" s="1"/>
      <c r="I825" s="1"/>
      <c r="J825" s="5"/>
      <c r="K825" s="1"/>
      <c r="L825" s="1"/>
      <c r="M825" s="5"/>
      <c r="N825" s="1"/>
      <c r="O825" s="1"/>
      <c r="P825" s="5"/>
      <c r="Q825" s="1"/>
      <c r="R825" s="1"/>
      <c r="S825" s="5"/>
      <c r="T825" s="1"/>
      <c r="U825" s="1"/>
      <c r="V825" s="5"/>
      <c r="W825" s="1"/>
      <c r="X825" s="1"/>
      <c r="Y825" s="5"/>
      <c r="Z825" s="1"/>
      <c r="AA825" s="1"/>
      <c r="AB825" s="5"/>
      <c r="AC825" s="1"/>
      <c r="AD825" s="1"/>
      <c r="AE825" s="5"/>
      <c r="AF825" s="1"/>
      <c r="AG825" s="1"/>
      <c r="AH825" s="5"/>
      <c r="AI825" s="1"/>
      <c r="AJ825" s="1"/>
      <c r="AK825" s="5"/>
      <c r="AL825" s="1"/>
      <c r="AM825" s="1"/>
      <c r="AN825" s="5"/>
      <c r="AO825" s="1"/>
      <c r="AP825" s="1"/>
      <c r="AQ825" s="5"/>
      <c r="AR825" s="1"/>
      <c r="AS825" s="1"/>
      <c r="AT825" s="5"/>
      <c r="AU825" s="1"/>
      <c r="AV825" s="1"/>
      <c r="AW825" s="5"/>
      <c r="AX825" s="185">
        <f>AX824</f>
        <v>0.3</v>
      </c>
      <c r="AY825" s="185">
        <f t="shared" si="3492"/>
        <v>0.3</v>
      </c>
      <c r="AZ825" s="185">
        <f t="shared" si="3492"/>
        <v>0.3</v>
      </c>
      <c r="BA825" s="4">
        <f t="shared" si="3493"/>
        <v>0.28566000000000003</v>
      </c>
      <c r="BB825" s="4">
        <f t="shared" si="3493"/>
        <v>0.28566000000000003</v>
      </c>
      <c r="BC825" s="971">
        <f>AZ825*(1-0.0478)</f>
        <v>0.28566000000000003</v>
      </c>
      <c r="BD825" s="4">
        <f t="shared" si="3494"/>
        <v>0.27200545200000004</v>
      </c>
      <c r="BE825" s="4">
        <f t="shared" si="3494"/>
        <v>0.27200545200000004</v>
      </c>
      <c r="BF825" s="971">
        <f>BC825*(1-0.0478)</f>
        <v>0.27200545200000004</v>
      </c>
      <c r="BG825" s="4">
        <f t="shared" si="3495"/>
        <v>0.25900359139440005</v>
      </c>
      <c r="BH825" s="4">
        <f t="shared" si="3495"/>
        <v>0.25900359139440005</v>
      </c>
      <c r="BI825" s="971">
        <f>BF825*(1-0.0478)</f>
        <v>0.25900359139440005</v>
      </c>
      <c r="BJ825" s="121">
        <f t="shared" si="3496"/>
        <v>0.24662321972574774</v>
      </c>
      <c r="BK825" s="121">
        <f t="shared" si="3496"/>
        <v>0.24662321972574774</v>
      </c>
      <c r="BL825" s="114">
        <f>BI825*(1-0.0478)</f>
        <v>0.24662321972574774</v>
      </c>
      <c r="BM825" s="121">
        <f t="shared" si="3497"/>
        <v>0.23483462982285702</v>
      </c>
      <c r="BN825" s="121">
        <f t="shared" si="3497"/>
        <v>0.23483462982285702</v>
      </c>
      <c r="BO825" s="114">
        <f>BL825*(1-0.0478)</f>
        <v>0.23483462982285702</v>
      </c>
      <c r="BP825" s="121">
        <f t="shared" si="3498"/>
        <v>0.22360953451732446</v>
      </c>
      <c r="BQ825" s="121">
        <f t="shared" si="3498"/>
        <v>0.22360953451732446</v>
      </c>
      <c r="BR825" s="114">
        <f>BO825*(1-0.0478)</f>
        <v>0.22360953451732446</v>
      </c>
      <c r="BS825" s="4">
        <f t="shared" si="3499"/>
        <v>0.21292099876739637</v>
      </c>
      <c r="BT825" s="4">
        <f t="shared" si="3499"/>
        <v>0.21292099876739637</v>
      </c>
      <c r="BU825" s="185">
        <f>BR825*(1-0.0478)</f>
        <v>0.21292099876739637</v>
      </c>
      <c r="BV825" s="4">
        <f t="shared" si="3500"/>
        <v>0.20274337502631484</v>
      </c>
      <c r="BW825" s="4">
        <f t="shared" si="3500"/>
        <v>0.20274337502631484</v>
      </c>
      <c r="BX825" s="185">
        <f>BU825*(1-0.0478)</f>
        <v>0.20274337502631484</v>
      </c>
      <c r="BY825" s="4">
        <f t="shared" si="3501"/>
        <v>0.193052241700057</v>
      </c>
      <c r="BZ825" s="4">
        <f t="shared" si="3501"/>
        <v>0.193052241700057</v>
      </c>
      <c r="CA825" s="185">
        <f>BX825*(1-0.0478)</f>
        <v>0.193052241700057</v>
      </c>
      <c r="CB825" s="4">
        <f t="shared" si="3502"/>
        <v>0.18382434454679428</v>
      </c>
      <c r="CC825" s="4">
        <f t="shared" si="3502"/>
        <v>0.18382434454679428</v>
      </c>
      <c r="CD825" s="185">
        <f>CA825*(1-0.0478)</f>
        <v>0.18382434454679428</v>
      </c>
      <c r="CE825" s="4">
        <f t="shared" si="3503"/>
        <v>0.17503754087745751</v>
      </c>
      <c r="CF825" s="4">
        <f t="shared" si="3503"/>
        <v>0.17503754087745751</v>
      </c>
      <c r="CG825" s="185">
        <f>CD825*(1-0.0478)</f>
        <v>0.17503754087745751</v>
      </c>
      <c r="CH825" s="4">
        <f t="shared" si="3504"/>
        <v>0.16667074642351506</v>
      </c>
      <c r="CI825" s="4">
        <f t="shared" si="3504"/>
        <v>0.16667074642351506</v>
      </c>
      <c r="CJ825" s="185">
        <f>CG825*(1-0.0478)</f>
        <v>0.16667074642351506</v>
      </c>
      <c r="CK825" s="4">
        <f t="shared" si="3505"/>
        <v>0.15870388474447106</v>
      </c>
      <c r="CL825" s="4">
        <f t="shared" si="3505"/>
        <v>0.15870388474447106</v>
      </c>
      <c r="CM825" s="185">
        <f>CJ825*(1-0.0478)</f>
        <v>0.15870388474447106</v>
      </c>
      <c r="CN825" s="4">
        <f t="shared" si="3506"/>
        <v>0.15111783905368534</v>
      </c>
      <c r="CO825" s="4">
        <f t="shared" si="3506"/>
        <v>0.15111783905368534</v>
      </c>
      <c r="CP825" s="185">
        <f>CM825*(1-0.0478)</f>
        <v>0.15111783905368534</v>
      </c>
      <c r="CQ825" s="4">
        <f t="shared" si="3507"/>
        <v>0.14389440634691919</v>
      </c>
      <c r="CR825" s="4">
        <f t="shared" si="3507"/>
        <v>0.14389440634691919</v>
      </c>
      <c r="CS825" s="185">
        <f>CP825*(1-0.0478)</f>
        <v>0.14389440634691919</v>
      </c>
      <c r="CT825" s="4">
        <f t="shared" si="3508"/>
        <v>0.13701625372353646</v>
      </c>
      <c r="CU825" s="4">
        <f t="shared" si="3508"/>
        <v>0.13701625372353646</v>
      </c>
      <c r="CV825" s="185">
        <f>CS825*(1-0.0478)</f>
        <v>0.13701625372353646</v>
      </c>
      <c r="CW825" s="4">
        <f t="shared" si="3509"/>
        <v>0.13046687679555141</v>
      </c>
      <c r="CX825" s="4">
        <f t="shared" si="3509"/>
        <v>0.13046687679555141</v>
      </c>
      <c r="CY825" s="185">
        <f>CV825*(1-0.0478)</f>
        <v>0.13046687679555141</v>
      </c>
      <c r="CZ825" s="4">
        <f t="shared" si="3510"/>
        <v>0.12423056008472406</v>
      </c>
      <c r="DA825" s="4">
        <f t="shared" si="3510"/>
        <v>0.12423056008472406</v>
      </c>
      <c r="DB825" s="185">
        <f>CY825*(1-0.0478)</f>
        <v>0.12423056008472406</v>
      </c>
      <c r="DC825" s="4">
        <f t="shared" si="3511"/>
        <v>0.11829233931267426</v>
      </c>
      <c r="DD825" s="4">
        <f t="shared" si="3511"/>
        <v>0.11829233931267426</v>
      </c>
      <c r="DE825" s="185">
        <f>DB825*(1-0.0478)</f>
        <v>0.11829233931267426</v>
      </c>
      <c r="DF825" s="4">
        <f t="shared" si="3512"/>
        <v>0.11263796549352843</v>
      </c>
      <c r="DG825" s="4">
        <f t="shared" si="3512"/>
        <v>0.11263796549352843</v>
      </c>
      <c r="DH825" s="185">
        <f>DE825*(1-0.0478)</f>
        <v>0.11263796549352843</v>
      </c>
      <c r="DI825" s="4">
        <f t="shared" si="3513"/>
        <v>0.10725387074293778</v>
      </c>
      <c r="DJ825" s="4">
        <f t="shared" si="3513"/>
        <v>0.10725387074293778</v>
      </c>
      <c r="DK825" s="185">
        <f>DH825*(1-0.0478)</f>
        <v>0.10725387074293778</v>
      </c>
      <c r="DL825" s="4">
        <f t="shared" si="3514"/>
        <v>0.10212713572142536</v>
      </c>
      <c r="DM825" s="4">
        <f t="shared" si="3514"/>
        <v>0.10212713572142536</v>
      </c>
      <c r="DN825" s="185">
        <f>DK825*(1-0.0478)</f>
        <v>0.10212713572142536</v>
      </c>
      <c r="DO825" s="4">
        <f t="shared" si="3515"/>
        <v>9.7245458633941226E-2</v>
      </c>
      <c r="DP825" s="4">
        <f t="shared" si="3515"/>
        <v>9.7245458633941226E-2</v>
      </c>
      <c r="DQ825" s="185">
        <f>DN825*(1-0.0478)</f>
        <v>9.7245458633941226E-2</v>
      </c>
      <c r="DR825" s="4">
        <f t="shared" si="3516"/>
        <v>9.2597125711238834E-2</v>
      </c>
      <c r="DS825" s="4">
        <f t="shared" si="3516"/>
        <v>9.2597125711238834E-2</v>
      </c>
      <c r="DT825" s="185">
        <f>DQ825*(1-0.0478)</f>
        <v>9.2597125711238834E-2</v>
      </c>
      <c r="DU825" s="4">
        <f t="shared" si="3517"/>
        <v>8.8170983102241626E-2</v>
      </c>
      <c r="DV825" s="4">
        <f t="shared" si="3517"/>
        <v>8.8170983102241626E-2</v>
      </c>
      <c r="DW825" s="185">
        <f>DT825*(1-0.0478)</f>
        <v>8.8170983102241626E-2</v>
      </c>
      <c r="DX825" s="4">
        <f t="shared" si="3518"/>
        <v>8.3956410109954485E-2</v>
      </c>
      <c r="DY825" s="4">
        <f t="shared" si="3518"/>
        <v>8.3956410109954485E-2</v>
      </c>
      <c r="DZ825" s="185">
        <f>DW825*(1-0.0478)</f>
        <v>8.3956410109954485E-2</v>
      </c>
      <c r="EA825" s="4">
        <f t="shared" si="3519"/>
        <v>7.994329370669867E-2</v>
      </c>
      <c r="EB825" s="4">
        <f t="shared" si="3519"/>
        <v>7.994329370669867E-2</v>
      </c>
      <c r="EC825" s="185">
        <f>DZ825*(1-0.0478)</f>
        <v>7.994329370669867E-2</v>
      </c>
      <c r="ED825" s="4">
        <f t="shared" si="3520"/>
        <v>7.6122004267518473E-2</v>
      </c>
      <c r="EE825" s="4">
        <f t="shared" si="3520"/>
        <v>7.6122004267518473E-2</v>
      </c>
      <c r="EF825" s="185">
        <f>EC825*(1-0.0478)</f>
        <v>7.6122004267518473E-2</v>
      </c>
      <c r="EG825" s="4">
        <f t="shared" si="3521"/>
        <v>7.2483372463531093E-2</v>
      </c>
      <c r="EH825" s="4">
        <f t="shared" si="3521"/>
        <v>7.2483372463531093E-2</v>
      </c>
      <c r="EI825" s="185">
        <f>EF825*(1-0.0478)</f>
        <v>7.2483372463531093E-2</v>
      </c>
      <c r="EJ825" s="4">
        <f t="shared" si="3522"/>
        <v>6.9018667259774305E-2</v>
      </c>
      <c r="EK825" s="4">
        <f t="shared" si="3522"/>
        <v>6.9018667259774305E-2</v>
      </c>
      <c r="EL825" s="185">
        <f>EI825*(1-0.0478)</f>
        <v>6.9018667259774305E-2</v>
      </c>
      <c r="EM825" s="4">
        <f t="shared" si="3523"/>
        <v>6.5719574964757096E-2</v>
      </c>
      <c r="EN825" s="4">
        <f t="shared" si="3523"/>
        <v>6.5719574964757096E-2</v>
      </c>
      <c r="EO825" s="185">
        <f>EL825*(1-0.0478)</f>
        <v>6.5719574964757096E-2</v>
      </c>
      <c r="EP825" s="4">
        <f t="shared" si="3524"/>
        <v>6.2578179281441715E-2</v>
      </c>
      <c r="EQ825" s="4">
        <f t="shared" si="3524"/>
        <v>6.2578179281441715E-2</v>
      </c>
      <c r="ER825" s="185">
        <f>EO825*(1-0.0478)</f>
        <v>6.2578179281441715E-2</v>
      </c>
      <c r="ES825" s="4">
        <f t="shared" si="3525"/>
        <v>5.9586942311788807E-2</v>
      </c>
      <c r="ET825" s="4">
        <f t="shared" si="3526"/>
        <v>5.9586942311788807E-2</v>
      </c>
      <c r="EU825" s="185">
        <f>ER825*(1-0.0478)</f>
        <v>5.9586942311788807E-2</v>
      </c>
      <c r="EV825" s="4">
        <f t="shared" si="3527"/>
        <v>5.6738686469285302E-2</v>
      </c>
      <c r="EW825" s="4">
        <f t="shared" si="3528"/>
        <v>5.6738686469285302E-2</v>
      </c>
      <c r="EX825" s="185">
        <f>EU825*(1-0.0478)</f>
        <v>5.6738686469285302E-2</v>
      </c>
      <c r="EY825" s="4">
        <f t="shared" si="3529"/>
        <v>5.4026577256053469E-2</v>
      </c>
      <c r="EZ825" s="4">
        <f t="shared" si="3530"/>
        <v>5.4026577256053469E-2</v>
      </c>
      <c r="FA825" s="185">
        <f>EX825*(1-0.0478)</f>
        <v>5.4026577256053469E-2</v>
      </c>
      <c r="FH825" s="35"/>
      <c r="FI825" s="35"/>
      <c r="FJ825" s="35"/>
      <c r="FK825" s="35"/>
      <c r="FL825" s="35"/>
      <c r="FM825" s="35"/>
      <c r="FN825" s="35"/>
      <c r="FO825" s="35"/>
      <c r="FP825" s="35"/>
      <c r="FQ825" s="35"/>
    </row>
    <row r="826" spans="1:173" s="321" customFormat="1" hidden="1" outlineLevel="1">
      <c r="A826" s="1168"/>
      <c r="B826" s="186"/>
      <c r="C826" s="186"/>
      <c r="D826" s="910"/>
      <c r="E826" s="1"/>
      <c r="F826" s="1"/>
      <c r="G826" s="5"/>
      <c r="H826" s="1"/>
      <c r="I826" s="1"/>
      <c r="J826" s="5"/>
      <c r="K826" s="1"/>
      <c r="L826" s="1"/>
      <c r="M826" s="5"/>
      <c r="N826" s="1"/>
      <c r="O826" s="1"/>
      <c r="P826" s="5"/>
      <c r="Q826" s="1"/>
      <c r="R826" s="1"/>
      <c r="S826" s="5"/>
      <c r="T826" s="1"/>
      <c r="U826" s="1"/>
      <c r="V826" s="5"/>
      <c r="W826" s="1"/>
      <c r="X826" s="1"/>
      <c r="Y826" s="5"/>
      <c r="Z826" s="1"/>
      <c r="AA826" s="1"/>
      <c r="AB826" s="5"/>
      <c r="AC826" s="1"/>
      <c r="AD826" s="1"/>
      <c r="AE826" s="5"/>
      <c r="AF826" s="1"/>
      <c r="AG826" s="1"/>
      <c r="AH826" s="5"/>
      <c r="AI826" s="1"/>
      <c r="AJ826" s="1"/>
      <c r="AK826" s="5"/>
      <c r="AL826" s="1"/>
      <c r="AM826" s="1"/>
      <c r="AN826" s="5"/>
      <c r="AO826" s="1"/>
      <c r="AP826" s="1"/>
      <c r="AQ826" s="5"/>
      <c r="AR826" s="1"/>
      <c r="AS826" s="1"/>
      <c r="AT826" s="5"/>
      <c r="AU826" s="1"/>
      <c r="AV826" s="1"/>
      <c r="AW826" s="5"/>
      <c r="AX826" s="185"/>
      <c r="AY826" s="185"/>
      <c r="AZ826" s="185"/>
      <c r="BA826" s="4"/>
      <c r="BB826" s="4"/>
      <c r="BC826" s="971"/>
      <c r="BD826" s="4"/>
      <c r="BE826" s="4"/>
      <c r="BF826" s="971"/>
      <c r="BG826" s="4"/>
      <c r="BH826" s="4"/>
      <c r="BI826" s="971"/>
      <c r="BJ826" s="121"/>
      <c r="BK826" s="121"/>
      <c r="BL826" s="114"/>
      <c r="BM826" s="121"/>
      <c r="BN826" s="121"/>
      <c r="BO826" s="114"/>
      <c r="BP826" s="121"/>
      <c r="BQ826" s="121"/>
      <c r="BR826" s="114"/>
      <c r="BS826" s="4"/>
      <c r="BT826" s="4"/>
      <c r="BU826" s="185"/>
      <c r="BV826" s="4"/>
      <c r="BW826" s="4"/>
      <c r="BX826" s="185"/>
      <c r="BY826" s="4"/>
      <c r="BZ826" s="4"/>
      <c r="CA826" s="185"/>
      <c r="CB826" s="4"/>
      <c r="CC826" s="4"/>
      <c r="CD826" s="185"/>
      <c r="CE826" s="4"/>
      <c r="CF826" s="4"/>
      <c r="CG826" s="185"/>
      <c r="CH826" s="4"/>
      <c r="CI826" s="4"/>
      <c r="CJ826" s="185"/>
      <c r="CK826" s="4"/>
      <c r="CL826" s="4"/>
      <c r="CM826" s="185"/>
      <c r="CN826" s="4"/>
      <c r="CO826" s="4"/>
      <c r="CP826" s="185"/>
      <c r="CQ826" s="4"/>
      <c r="CR826" s="4"/>
      <c r="CS826" s="185"/>
      <c r="CT826" s="4"/>
      <c r="CU826" s="4"/>
      <c r="CV826" s="185"/>
      <c r="CW826" s="4"/>
      <c r="CX826" s="4"/>
      <c r="CY826" s="185"/>
      <c r="CZ826" s="4"/>
      <c r="DA826" s="4"/>
      <c r="DB826" s="185"/>
      <c r="DC826" s="4"/>
      <c r="DD826" s="4"/>
      <c r="DE826" s="185"/>
      <c r="DF826" s="4"/>
      <c r="DG826" s="4"/>
      <c r="DH826" s="185"/>
      <c r="DI826" s="4"/>
      <c r="DJ826" s="4"/>
      <c r="DK826" s="185"/>
      <c r="DL826" s="4"/>
      <c r="DM826" s="4"/>
      <c r="DN826" s="185"/>
      <c r="DO826" s="4"/>
      <c r="DP826" s="4"/>
      <c r="DQ826" s="185"/>
      <c r="DR826" s="4"/>
      <c r="DS826" s="4"/>
      <c r="DT826" s="185"/>
      <c r="DU826" s="4"/>
      <c r="DV826" s="4"/>
      <c r="DW826" s="185"/>
      <c r="DX826" s="4"/>
      <c r="DY826" s="4"/>
      <c r="DZ826" s="185"/>
      <c r="EA826" s="4"/>
      <c r="EB826" s="4"/>
      <c r="EC826" s="185"/>
      <c r="ED826" s="4"/>
      <c r="EE826" s="4"/>
      <c r="EF826" s="185"/>
      <c r="EG826" s="4"/>
      <c r="EH826" s="4"/>
      <c r="EI826" s="185"/>
      <c r="EJ826" s="4"/>
      <c r="EK826" s="4"/>
      <c r="EL826" s="185"/>
      <c r="EM826" s="4"/>
      <c r="EN826" s="4"/>
      <c r="EO826" s="185"/>
      <c r="EP826" s="4"/>
      <c r="EQ826" s="4"/>
      <c r="ER826" s="185"/>
      <c r="ES826" s="4"/>
      <c r="ET826" s="4"/>
      <c r="EU826" s="185"/>
      <c r="EV826" s="4"/>
      <c r="EW826" s="4"/>
      <c r="EX826" s="185"/>
      <c r="EY826" s="4"/>
      <c r="EZ826" s="4"/>
      <c r="FA826" s="185"/>
      <c r="FH826" s="35"/>
      <c r="FI826" s="35"/>
      <c r="FJ826" s="35"/>
      <c r="FK826" s="35"/>
      <c r="FL826" s="35"/>
      <c r="FM826" s="35"/>
      <c r="FN826" s="35"/>
      <c r="FO826" s="35"/>
      <c r="FP826" s="35"/>
      <c r="FQ826" s="35"/>
    </row>
    <row r="827" spans="1:173" s="321" customFormat="1" hidden="1" outlineLevel="1">
      <c r="A827" s="1168"/>
      <c r="B827" s="186"/>
      <c r="C827" s="331" t="s">
        <v>727</v>
      </c>
      <c r="D827" s="910"/>
      <c r="E827" s="1"/>
      <c r="F827" s="1"/>
      <c r="G827" s="5"/>
      <c r="H827" s="1"/>
      <c r="I827" s="1"/>
      <c r="J827" s="5"/>
      <c r="K827" s="1"/>
      <c r="L827" s="1"/>
      <c r="M827" s="5"/>
      <c r="N827" s="1"/>
      <c r="O827" s="1"/>
      <c r="P827" s="5"/>
      <c r="Q827" s="1"/>
      <c r="R827" s="1"/>
      <c r="S827" s="5"/>
      <c r="T827" s="1"/>
      <c r="U827" s="1"/>
      <c r="V827" s="5"/>
      <c r="W827" s="1"/>
      <c r="X827" s="1"/>
      <c r="Y827" s="5"/>
      <c r="Z827" s="1"/>
      <c r="AA827" s="1"/>
      <c r="AB827" s="5"/>
      <c r="AC827" s="1"/>
      <c r="AD827" s="1"/>
      <c r="AE827" s="5"/>
      <c r="AF827" s="1"/>
      <c r="AG827" s="1"/>
      <c r="AH827" s="5"/>
      <c r="AI827" s="1"/>
      <c r="AJ827" s="1"/>
      <c r="AK827" s="5"/>
      <c r="AL827" s="1"/>
      <c r="AM827" s="1"/>
      <c r="AN827" s="5"/>
      <c r="AO827" s="1"/>
      <c r="AP827" s="1"/>
      <c r="AQ827" s="5"/>
      <c r="AR827" s="1"/>
      <c r="AS827" s="1"/>
      <c r="AT827" s="5"/>
      <c r="AU827" s="1"/>
      <c r="AV827" s="1"/>
      <c r="AW827" s="5"/>
      <c r="AX827" s="185"/>
      <c r="AY827" s="185"/>
      <c r="AZ827" s="185"/>
      <c r="BA827" s="4"/>
      <c r="BB827" s="4"/>
      <c r="BC827" s="971"/>
      <c r="BD827" s="4"/>
      <c r="BE827" s="4"/>
      <c r="BF827" s="971"/>
      <c r="BG827" s="4"/>
      <c r="BH827" s="4"/>
      <c r="BI827" s="971"/>
      <c r="BJ827" s="121"/>
      <c r="BK827" s="121"/>
      <c r="BL827" s="114"/>
      <c r="BM827" s="121"/>
      <c r="BN827" s="121"/>
      <c r="BO827" s="114"/>
      <c r="BP827" s="121"/>
      <c r="BQ827" s="121"/>
      <c r="BR827" s="114"/>
      <c r="BS827" s="4"/>
      <c r="BT827" s="4"/>
      <c r="BU827" s="185"/>
      <c r="BV827" s="4"/>
      <c r="BW827" s="4"/>
      <c r="BX827" s="185"/>
      <c r="BY827" s="4"/>
      <c r="BZ827" s="4"/>
      <c r="CA827" s="185"/>
      <c r="CB827" s="4"/>
      <c r="CC827" s="4"/>
      <c r="CD827" s="185"/>
      <c r="CE827" s="4"/>
      <c r="CF827" s="4"/>
      <c r="CG827" s="185"/>
      <c r="CH827" s="4"/>
      <c r="CI827" s="4"/>
      <c r="CJ827" s="185"/>
      <c r="CK827" s="4"/>
      <c r="CL827" s="4"/>
      <c r="CM827" s="185"/>
      <c r="CN827" s="4"/>
      <c r="CO827" s="4"/>
      <c r="CP827" s="185"/>
      <c r="CQ827" s="4"/>
      <c r="CR827" s="4"/>
      <c r="CS827" s="185"/>
      <c r="CT827" s="4"/>
      <c r="CU827" s="4"/>
      <c r="CV827" s="185"/>
      <c r="CW827" s="4"/>
      <c r="CX827" s="4"/>
      <c r="CY827" s="185"/>
      <c r="CZ827" s="4"/>
      <c r="DA827" s="4"/>
      <c r="DB827" s="185"/>
      <c r="DC827" s="4"/>
      <c r="DD827" s="4"/>
      <c r="DE827" s="185"/>
      <c r="DF827" s="4"/>
      <c r="DG827" s="4"/>
      <c r="DH827" s="185"/>
      <c r="DI827" s="4"/>
      <c r="DJ827" s="4"/>
      <c r="DK827" s="185"/>
      <c r="DL827" s="4"/>
      <c r="DM827" s="4"/>
      <c r="DN827" s="185"/>
      <c r="DO827" s="4"/>
      <c r="DP827" s="4"/>
      <c r="DQ827" s="185"/>
      <c r="DR827" s="4"/>
      <c r="DS827" s="4"/>
      <c r="DT827" s="185"/>
      <c r="DU827" s="4"/>
      <c r="DV827" s="4"/>
      <c r="DW827" s="185"/>
      <c r="DX827" s="4"/>
      <c r="DY827" s="4"/>
      <c r="DZ827" s="185"/>
      <c r="EA827" s="4"/>
      <c r="EB827" s="4"/>
      <c r="EC827" s="185"/>
      <c r="ED827" s="4"/>
      <c r="EE827" s="4"/>
      <c r="EF827" s="185"/>
      <c r="EG827" s="4"/>
      <c r="EH827" s="4"/>
      <c r="EI827" s="185"/>
      <c r="EJ827" s="4"/>
      <c r="EK827" s="4"/>
      <c r="EL827" s="185"/>
      <c r="EM827" s="4"/>
      <c r="EN827" s="4"/>
      <c r="EO827" s="185"/>
      <c r="EP827" s="4"/>
      <c r="EQ827" s="4"/>
      <c r="ER827" s="185"/>
      <c r="ES827" s="4"/>
      <c r="ET827" s="4"/>
      <c r="EU827" s="185"/>
      <c r="EV827" s="4"/>
      <c r="EW827" s="4"/>
      <c r="EX827" s="185"/>
      <c r="EY827" s="4"/>
      <c r="EZ827" s="4"/>
      <c r="FA827" s="185"/>
      <c r="FH827" s="35"/>
      <c r="FI827" s="35"/>
      <c r="FJ827" s="35"/>
      <c r="FK827" s="35"/>
      <c r="FL827" s="35"/>
      <c r="FM827" s="35"/>
      <c r="FN827" s="35"/>
      <c r="FO827" s="35"/>
      <c r="FP827" s="35"/>
      <c r="FQ827" s="35"/>
    </row>
    <row r="828" spans="1:173" s="321" customFormat="1" hidden="1" outlineLevel="1">
      <c r="A828" s="1168"/>
      <c r="B828" s="186"/>
      <c r="C828" s="186" t="s">
        <v>316</v>
      </c>
      <c r="D828" s="910"/>
      <c r="E828" s="1"/>
      <c r="F828" s="1"/>
      <c r="G828" s="5"/>
      <c r="H828" s="1"/>
      <c r="I828" s="1"/>
      <c r="J828" s="5"/>
      <c r="K828" s="1"/>
      <c r="L828" s="1"/>
      <c r="M828" s="5"/>
      <c r="N828" s="1"/>
      <c r="O828" s="1"/>
      <c r="P828" s="5"/>
      <c r="Q828" s="1"/>
      <c r="R828" s="1"/>
      <c r="S828" s="5"/>
      <c r="T828" s="1"/>
      <c r="U828" s="1"/>
      <c r="V828" s="5"/>
      <c r="W828" s="1"/>
      <c r="X828" s="1"/>
      <c r="Y828" s="5"/>
      <c r="Z828" s="1"/>
      <c r="AA828" s="1"/>
      <c r="AB828" s="5"/>
      <c r="AC828" s="1"/>
      <c r="AD828" s="1"/>
      <c r="AE828" s="5"/>
      <c r="AF828" s="1"/>
      <c r="AG828" s="1"/>
      <c r="AH828" s="5"/>
      <c r="AI828" s="1"/>
      <c r="AJ828" s="1"/>
      <c r="AK828" s="5"/>
      <c r="AL828" s="1"/>
      <c r="AM828" s="1"/>
      <c r="AN828" s="5"/>
      <c r="AO828" s="1"/>
      <c r="AP828" s="1"/>
      <c r="AQ828" s="5"/>
      <c r="AR828" s="1"/>
      <c r="AS828" s="1"/>
      <c r="AT828" s="5"/>
      <c r="AU828" s="1"/>
      <c r="AV828" s="1"/>
      <c r="AW828" s="5"/>
      <c r="AX828" s="185">
        <f t="shared" ref="AX828:CC828" si="3531">1-AX822-AX834</f>
        <v>0.6905</v>
      </c>
      <c r="AY828" s="185">
        <f t="shared" si="3531"/>
        <v>0.69021974999999991</v>
      </c>
      <c r="AZ828" s="185">
        <f t="shared" si="3531"/>
        <v>0.68993949999999993</v>
      </c>
      <c r="BA828" s="4">
        <f t="shared" si="3531"/>
        <v>0.70398271525</v>
      </c>
      <c r="BB828" s="4">
        <f t="shared" si="3531"/>
        <v>0.70398271525</v>
      </c>
      <c r="BC828" s="971">
        <f t="shared" si="3531"/>
        <v>0.70368593049999995</v>
      </c>
      <c r="BD828" s="4">
        <f t="shared" si="3531"/>
        <v>0.71702618344975</v>
      </c>
      <c r="BE828" s="4">
        <f t="shared" si="3531"/>
        <v>0.71702618344975</v>
      </c>
      <c r="BF828" s="971">
        <f t="shared" si="3531"/>
        <v>0.71671188839949995</v>
      </c>
      <c r="BG828" s="4">
        <f t="shared" si="3531"/>
        <v>0.72938091054688525</v>
      </c>
      <c r="BH828" s="4">
        <f t="shared" si="3531"/>
        <v>0.72938091054688525</v>
      </c>
      <c r="BI828" s="971">
        <f t="shared" si="3531"/>
        <v>0.72904807208867051</v>
      </c>
      <c r="BJ828" s="121">
        <f t="shared" si="3531"/>
        <v>0.74107596783007335</v>
      </c>
      <c r="BK828" s="121">
        <f t="shared" si="3531"/>
        <v>0.74107596783007335</v>
      </c>
      <c r="BL828" s="114">
        <f t="shared" si="3531"/>
        <v>0.74072349190282394</v>
      </c>
      <c r="BM828" s="121">
        <f t="shared" si="3531"/>
        <v>0.75213880979875758</v>
      </c>
      <c r="BN828" s="121">
        <f t="shared" si="3531"/>
        <v>0.75213880979875758</v>
      </c>
      <c r="BO828" s="114">
        <f t="shared" si="3531"/>
        <v>0.75176553779180044</v>
      </c>
      <c r="BP828" s="121">
        <f t="shared" si="3531"/>
        <v>0.76259533804196533</v>
      </c>
      <c r="BQ828" s="121">
        <f t="shared" si="3531"/>
        <v>0.76259533804196533</v>
      </c>
      <c r="BR828" s="114">
        <f t="shared" si="3531"/>
        <v>0.76220004298659771</v>
      </c>
      <c r="BS828" s="4">
        <f t="shared" si="3531"/>
        <v>0.77246996127289158</v>
      </c>
      <c r="BT828" s="4">
        <f t="shared" si="3531"/>
        <v>0.77246996127289158</v>
      </c>
      <c r="BU828" s="185">
        <f t="shared" si="3531"/>
        <v>0.77205134380925722</v>
      </c>
      <c r="BV828" s="4">
        <f t="shared" si="3531"/>
        <v>0.78178565165635006</v>
      </c>
      <c r="BW828" s="4">
        <f t="shared" si="3531"/>
        <v>0.78178565165635006</v>
      </c>
      <c r="BX828" s="185">
        <f t="shared" si="3531"/>
        <v>0.78134233576236134</v>
      </c>
      <c r="BY828" s="4">
        <f t="shared" si="3531"/>
        <v>0.79056399755688511</v>
      </c>
      <c r="BZ828" s="4">
        <f t="shared" si="3531"/>
        <v>0.79056399755688511</v>
      </c>
      <c r="CA828" s="185">
        <f t="shared" si="3531"/>
        <v>0.79009452602515107</v>
      </c>
      <c r="CB828" s="4">
        <f t="shared" si="3531"/>
        <v>0.79882525282630734</v>
      </c>
      <c r="CC828" s="4">
        <f t="shared" si="3531"/>
        <v>0.79882525282630734</v>
      </c>
      <c r="CD828" s="185">
        <f t="shared" ref="CD828:DI828" si="3532">1-CD822-CD834</f>
        <v>0.79832808247420106</v>
      </c>
      <c r="CE828" s="4">
        <f t="shared" si="3532"/>
        <v>0.80658838274065714</v>
      </c>
      <c r="CF828" s="4">
        <f t="shared" si="3532"/>
        <v>0.80658838274065714</v>
      </c>
      <c r="CG828" s="185">
        <f t="shared" si="3532"/>
        <v>0.80606187933777651</v>
      </c>
      <c r="CH828" s="4">
        <f t="shared" si="3532"/>
        <v>0.81387110668806839</v>
      </c>
      <c r="CI828" s="4">
        <f t="shared" si="3532"/>
        <v>0.81387110668806839</v>
      </c>
      <c r="CJ828" s="185">
        <f t="shared" si="3532"/>
        <v>0.81331353958441777</v>
      </c>
      <c r="CK828" s="4">
        <f t="shared" si="3532"/>
        <v>0.82068993770069576</v>
      </c>
      <c r="CL828" s="4">
        <f t="shared" si="3532"/>
        <v>0.82068993770069576</v>
      </c>
      <c r="CM828" s="185">
        <f t="shared" si="3532"/>
        <v>0.82009947413792983</v>
      </c>
      <c r="CN828" s="4">
        <f t="shared" si="3532"/>
        <v>0.82706021891574633</v>
      </c>
      <c r="CO828" s="4">
        <f t="shared" si="3532"/>
        <v>0.82706021891574633</v>
      </c>
      <c r="CP828" s="185">
        <f t="shared" si="3532"/>
        <v>0.82643491800277713</v>
      </c>
      <c r="CQ828" s="4">
        <f t="shared" si="3532"/>
        <v>0.83299615704270902</v>
      </c>
      <c r="CR828" s="4">
        <f t="shared" si="3532"/>
        <v>0.83299615704270902</v>
      </c>
      <c r="CS828" s="185">
        <f t="shared" si="3532"/>
        <v>0.83233396337587462</v>
      </c>
      <c r="CT828" s="4">
        <f t="shared" si="3532"/>
        <v>0.83851085290607985</v>
      </c>
      <c r="CU828" s="4">
        <f t="shared" si="3532"/>
        <v>0.83851085290607985</v>
      </c>
      <c r="CV828" s="185">
        <f t="shared" si="3532"/>
        <v>0.83780958981290221</v>
      </c>
      <c r="CW828" s="4">
        <f t="shared" si="3532"/>
        <v>0.84361632912521212</v>
      </c>
      <c r="CX828" s="4">
        <f t="shared" si="3532"/>
        <v>0.84361632912521212</v>
      </c>
      <c r="CY828" s="185">
        <f t="shared" si="3532"/>
        <v>0.84287369150953706</v>
      </c>
      <c r="CZ828" s="4">
        <f t="shared" si="3532"/>
        <v>0.8483235549853646</v>
      </c>
      <c r="DA828" s="4">
        <f t="shared" si="3532"/>
        <v>0.8483235549853646</v>
      </c>
      <c r="DB828" s="185">
        <f t="shared" si="3532"/>
        <v>0.84753710175036467</v>
      </c>
      <c r="DC828" s="4">
        <f t="shared" si="3532"/>
        <v>0.85264246854654968</v>
      </c>
      <c r="DD828" s="4">
        <f t="shared" si="3532"/>
        <v>0.85264246854654968</v>
      </c>
      <c r="DE828" s="185">
        <f t="shared" si="3532"/>
        <v>0.85180961457068483</v>
      </c>
      <c r="DF828" s="4">
        <f t="shared" si="3532"/>
        <v>0.85658199602938967</v>
      </c>
      <c r="DG828" s="4">
        <f t="shared" si="3532"/>
        <v>0.85658199602938967</v>
      </c>
      <c r="DH828" s="185">
        <f t="shared" si="3532"/>
        <v>0.85570000366894872</v>
      </c>
      <c r="DI828" s="4">
        <f t="shared" si="3532"/>
        <v>0.86015006850983244</v>
      </c>
      <c r="DJ828" s="4">
        <f t="shared" ref="DJ828:EF828" si="3533">1-DJ822-DJ834</f>
        <v>0.86015006850983244</v>
      </c>
      <c r="DK828" s="185">
        <f t="shared" si="3533"/>
        <v>0.85921603860012552</v>
      </c>
      <c r="DL828" s="4">
        <f t="shared" si="3533"/>
        <v>0.86335363594725834</v>
      </c>
      <c r="DM828" s="4">
        <f t="shared" si="3533"/>
        <v>0.86335363594725834</v>
      </c>
      <c r="DN828" s="185">
        <f t="shared" si="3533"/>
        <v>0.86236449827287864</v>
      </c>
      <c r="DO828" s="4">
        <f t="shared" si="3533"/>
        <v>0.86619867856319488</v>
      </c>
      <c r="DP828" s="4">
        <f t="shared" si="3533"/>
        <v>0.86619867856319488</v>
      </c>
      <c r="DQ828" s="185">
        <f t="shared" si="3533"/>
        <v>0.8651511817660269</v>
      </c>
      <c r="DR828" s="4">
        <f t="shared" si="3533"/>
        <v>0.86869021558052828</v>
      </c>
      <c r="DS828" s="4">
        <f t="shared" si="3533"/>
        <v>0.86869021558052828</v>
      </c>
      <c r="DT828" s="185">
        <f t="shared" si="3533"/>
        <v>0.86758091647232738</v>
      </c>
      <c r="DU828" s="4">
        <f t="shared" si="3533"/>
        <v>0.87083231132573979</v>
      </c>
      <c r="DV828" s="4">
        <f t="shared" si="3533"/>
        <v>0.87083231132573979</v>
      </c>
      <c r="DW828" s="185">
        <f t="shared" si="3533"/>
        <v>0.869657563570155</v>
      </c>
      <c r="DX828" s="4">
        <f t="shared" si="3533"/>
        <v>0.87262807868927783</v>
      </c>
      <c r="DY828" s="4">
        <f t="shared" si="3533"/>
        <v>0.87262807868927783</v>
      </c>
      <c r="DZ828" s="185">
        <f t="shared" si="3533"/>
        <v>0.87138402081611344</v>
      </c>
      <c r="EA828" s="4">
        <f t="shared" si="3533"/>
        <v>0.87407967993168834</v>
      </c>
      <c r="EB828" s="4">
        <f t="shared" si="3533"/>
        <v>0.87407967993168834</v>
      </c>
      <c r="EC828" s="185">
        <f t="shared" si="3533"/>
        <v>0.87276222264400738</v>
      </c>
      <c r="ED828" s="4">
        <f t="shared" si="3533"/>
        <v>0.87518832481553333</v>
      </c>
      <c r="EE828" s="4">
        <f t="shared" si="3533"/>
        <v>0.87518832481553333</v>
      </c>
      <c r="EF828" s="185">
        <f t="shared" si="3533"/>
        <v>0.87379313754787913</v>
      </c>
      <c r="EG828" s="4">
        <f t="shared" ref="EG828:EL828" si="3534">1-EG822-EG834</f>
        <v>0.87595426603542081</v>
      </c>
      <c r="EH828" s="4">
        <f t="shared" si="3534"/>
        <v>0.87595426603542081</v>
      </c>
      <c r="EI828" s="185">
        <f t="shared" si="3534"/>
        <v>0.87447676271897501</v>
      </c>
      <c r="EJ828" s="4">
        <f t="shared" si="3534"/>
        <v>0.87637679191061568</v>
      </c>
      <c r="EK828" s="4">
        <f t="shared" si="3534"/>
        <v>0.87637679191061568</v>
      </c>
      <c r="EL828" s="185">
        <f t="shared" si="3534"/>
        <v>0.87481211589849961</v>
      </c>
      <c r="EM828" s="4">
        <f t="shared" ref="EM828:ER828" si="3535">1-EM822-EM834</f>
        <v>0.87645421629668596</v>
      </c>
      <c r="EN828" s="4">
        <f t="shared" si="3535"/>
        <v>0.87645421629668596</v>
      </c>
      <c r="EO828" s="185">
        <f t="shared" si="3535"/>
        <v>0.87479722439985497</v>
      </c>
      <c r="EP828" s="4">
        <f t="shared" si="3535"/>
        <v>0.87618386566442652</v>
      </c>
      <c r="EQ828" s="4">
        <f t="shared" si="3535"/>
        <v>0.87618386566442652</v>
      </c>
      <c r="ER828" s="185">
        <f t="shared" si="3535"/>
        <v>0.87442911124568257</v>
      </c>
      <c r="ES828" s="4">
        <f t="shared" ref="ES828:EX828" si="3536">1-ES822-ES834</f>
        <v>0.87556206328588559</v>
      </c>
      <c r="ET828" s="4">
        <f t="shared" si="3536"/>
        <v>0.87556206328588559</v>
      </c>
      <c r="EU828" s="185">
        <f t="shared" si="3536"/>
        <v>0.87370377835643576</v>
      </c>
      <c r="EV828" s="4">
        <f t="shared" si="3536"/>
        <v>0.87458411045865192</v>
      </c>
      <c r="EW828" s="4">
        <f t="shared" si="3536"/>
        <v>0.87458411045865192</v>
      </c>
      <c r="EX828" s="185">
        <f t="shared" si="3536"/>
        <v>0.87261618671836461</v>
      </c>
      <c r="EY828" s="4">
        <f t="shared" ref="EY828:FA828" si="3537">1-EY822-EY834</f>
        <v>0.8732442646906321</v>
      </c>
      <c r="EZ828" s="4">
        <f t="shared" si="3537"/>
        <v>0.8732442646906321</v>
      </c>
      <c r="FA828" s="185">
        <f t="shared" si="3537"/>
        <v>0.87116023344966775</v>
      </c>
      <c r="FH828" s="35"/>
      <c r="FI828" s="35"/>
      <c r="FJ828" s="35"/>
      <c r="FK828" s="35"/>
      <c r="FL828" s="35"/>
      <c r="FM828" s="35"/>
      <c r="FN828" s="35"/>
      <c r="FO828" s="35"/>
      <c r="FP828" s="35"/>
      <c r="FQ828" s="35"/>
    </row>
    <row r="829" spans="1:173" s="321" customFormat="1" hidden="1" outlineLevel="1">
      <c r="A829" s="1168"/>
      <c r="B829" s="186"/>
      <c r="C829" s="186" t="s">
        <v>317</v>
      </c>
      <c r="D829" s="910"/>
      <c r="E829" s="1"/>
      <c r="F829" s="1"/>
      <c r="G829" s="5"/>
      <c r="H829" s="1"/>
      <c r="I829" s="1"/>
      <c r="J829" s="5"/>
      <c r="K829" s="1"/>
      <c r="L829" s="1"/>
      <c r="M829" s="5"/>
      <c r="N829" s="1"/>
      <c r="O829" s="1"/>
      <c r="P829" s="5"/>
      <c r="Q829" s="1"/>
      <c r="R829" s="1"/>
      <c r="S829" s="5"/>
      <c r="T829" s="1"/>
      <c r="U829" s="1"/>
      <c r="V829" s="5"/>
      <c r="W829" s="1"/>
      <c r="X829" s="1"/>
      <c r="Y829" s="5"/>
      <c r="Z829" s="1"/>
      <c r="AA829" s="1"/>
      <c r="AB829" s="5"/>
      <c r="AC829" s="1"/>
      <c r="AD829" s="1"/>
      <c r="AE829" s="5"/>
      <c r="AF829" s="1"/>
      <c r="AG829" s="1"/>
      <c r="AH829" s="5"/>
      <c r="AI829" s="1"/>
      <c r="AJ829" s="1"/>
      <c r="AK829" s="5"/>
      <c r="AL829" s="1"/>
      <c r="AM829" s="1"/>
      <c r="AN829" s="5"/>
      <c r="AO829" s="1"/>
      <c r="AP829" s="1"/>
      <c r="AQ829" s="5"/>
      <c r="AR829" s="1"/>
      <c r="AS829" s="1"/>
      <c r="AT829" s="5"/>
      <c r="AU829" s="1"/>
      <c r="AV829" s="1"/>
      <c r="AW829" s="5"/>
      <c r="AX829" s="185">
        <f t="shared" ref="AX829:BG831" si="3538">AX828</f>
        <v>0.6905</v>
      </c>
      <c r="AY829" s="185">
        <f t="shared" si="3538"/>
        <v>0.69021974999999991</v>
      </c>
      <c r="AZ829" s="185">
        <f t="shared" si="3538"/>
        <v>0.68993949999999993</v>
      </c>
      <c r="BA829" s="4">
        <f t="shared" si="3538"/>
        <v>0.70398271525</v>
      </c>
      <c r="BB829" s="4">
        <f t="shared" si="3538"/>
        <v>0.70398271525</v>
      </c>
      <c r="BC829" s="971">
        <f t="shared" si="3538"/>
        <v>0.70368593049999995</v>
      </c>
      <c r="BD829" s="4">
        <f t="shared" si="3538"/>
        <v>0.71702618344975</v>
      </c>
      <c r="BE829" s="4">
        <f t="shared" si="3538"/>
        <v>0.71702618344975</v>
      </c>
      <c r="BF829" s="971">
        <f t="shared" si="3538"/>
        <v>0.71671188839949995</v>
      </c>
      <c r="BG829" s="4">
        <f t="shared" si="3538"/>
        <v>0.72938091054688525</v>
      </c>
      <c r="BH829" s="4">
        <f t="shared" ref="BH829:BQ831" si="3539">BH828</f>
        <v>0.72938091054688525</v>
      </c>
      <c r="BI829" s="971">
        <f t="shared" si="3539"/>
        <v>0.72904807208867051</v>
      </c>
      <c r="BJ829" s="121">
        <f t="shared" si="3539"/>
        <v>0.74107596783007335</v>
      </c>
      <c r="BK829" s="121">
        <f t="shared" si="3539"/>
        <v>0.74107596783007335</v>
      </c>
      <c r="BL829" s="114">
        <f t="shared" si="3539"/>
        <v>0.74072349190282394</v>
      </c>
      <c r="BM829" s="121">
        <f t="shared" si="3539"/>
        <v>0.75213880979875758</v>
      </c>
      <c r="BN829" s="121">
        <f t="shared" si="3539"/>
        <v>0.75213880979875758</v>
      </c>
      <c r="BO829" s="114">
        <f t="shared" si="3539"/>
        <v>0.75176553779180044</v>
      </c>
      <c r="BP829" s="121">
        <f t="shared" si="3539"/>
        <v>0.76259533804196533</v>
      </c>
      <c r="BQ829" s="121">
        <f t="shared" si="3539"/>
        <v>0.76259533804196533</v>
      </c>
      <c r="BR829" s="114">
        <f t="shared" ref="BR829:CA831" si="3540">BR828</f>
        <v>0.76220004298659771</v>
      </c>
      <c r="BS829" s="4">
        <f t="shared" si="3540"/>
        <v>0.77246996127289158</v>
      </c>
      <c r="BT829" s="4">
        <f t="shared" si="3540"/>
        <v>0.77246996127289158</v>
      </c>
      <c r="BU829" s="185">
        <f t="shared" si="3540"/>
        <v>0.77205134380925722</v>
      </c>
      <c r="BV829" s="4">
        <f t="shared" si="3540"/>
        <v>0.78178565165635006</v>
      </c>
      <c r="BW829" s="4">
        <f t="shared" si="3540"/>
        <v>0.78178565165635006</v>
      </c>
      <c r="BX829" s="185">
        <f t="shared" si="3540"/>
        <v>0.78134233576236134</v>
      </c>
      <c r="BY829" s="4">
        <f t="shared" si="3540"/>
        <v>0.79056399755688511</v>
      </c>
      <c r="BZ829" s="4">
        <f t="shared" si="3540"/>
        <v>0.79056399755688511</v>
      </c>
      <c r="CA829" s="185">
        <f t="shared" si="3540"/>
        <v>0.79009452602515107</v>
      </c>
      <c r="CB829" s="4">
        <f t="shared" ref="CB829:CK831" si="3541">CB828</f>
        <v>0.79882525282630734</v>
      </c>
      <c r="CC829" s="4">
        <f t="shared" si="3541"/>
        <v>0.79882525282630734</v>
      </c>
      <c r="CD829" s="185">
        <f t="shared" si="3541"/>
        <v>0.79832808247420106</v>
      </c>
      <c r="CE829" s="4">
        <f t="shared" si="3541"/>
        <v>0.80658838274065714</v>
      </c>
      <c r="CF829" s="4">
        <f t="shared" si="3541"/>
        <v>0.80658838274065714</v>
      </c>
      <c r="CG829" s="185">
        <f t="shared" si="3541"/>
        <v>0.80606187933777651</v>
      </c>
      <c r="CH829" s="4">
        <f t="shared" si="3541"/>
        <v>0.81387110668806839</v>
      </c>
      <c r="CI829" s="4">
        <f t="shared" si="3541"/>
        <v>0.81387110668806839</v>
      </c>
      <c r="CJ829" s="185">
        <f t="shared" si="3541"/>
        <v>0.81331353958441777</v>
      </c>
      <c r="CK829" s="4">
        <f t="shared" si="3541"/>
        <v>0.82068993770069576</v>
      </c>
      <c r="CL829" s="4">
        <f t="shared" ref="CL829:CU831" si="3542">CL828</f>
        <v>0.82068993770069576</v>
      </c>
      <c r="CM829" s="185">
        <f t="shared" si="3542"/>
        <v>0.82009947413792983</v>
      </c>
      <c r="CN829" s="4">
        <f t="shared" si="3542"/>
        <v>0.82706021891574633</v>
      </c>
      <c r="CO829" s="4">
        <f t="shared" si="3542"/>
        <v>0.82706021891574633</v>
      </c>
      <c r="CP829" s="185">
        <f t="shared" si="3542"/>
        <v>0.82643491800277713</v>
      </c>
      <c r="CQ829" s="4">
        <f t="shared" si="3542"/>
        <v>0.83299615704270902</v>
      </c>
      <c r="CR829" s="4">
        <f t="shared" si="3542"/>
        <v>0.83299615704270902</v>
      </c>
      <c r="CS829" s="185">
        <f t="shared" si="3542"/>
        <v>0.83233396337587462</v>
      </c>
      <c r="CT829" s="4">
        <f t="shared" si="3542"/>
        <v>0.83851085290607985</v>
      </c>
      <c r="CU829" s="4">
        <f t="shared" si="3542"/>
        <v>0.83851085290607985</v>
      </c>
      <c r="CV829" s="185">
        <f t="shared" ref="CV829:DE831" si="3543">CV828</f>
        <v>0.83780958981290221</v>
      </c>
      <c r="CW829" s="4">
        <f t="shared" si="3543"/>
        <v>0.84361632912521212</v>
      </c>
      <c r="CX829" s="4">
        <f t="shared" si="3543"/>
        <v>0.84361632912521212</v>
      </c>
      <c r="CY829" s="185">
        <f t="shared" si="3543"/>
        <v>0.84287369150953706</v>
      </c>
      <c r="CZ829" s="4">
        <f t="shared" si="3543"/>
        <v>0.8483235549853646</v>
      </c>
      <c r="DA829" s="4">
        <f t="shared" si="3543"/>
        <v>0.8483235549853646</v>
      </c>
      <c r="DB829" s="185">
        <f t="shared" si="3543"/>
        <v>0.84753710175036467</v>
      </c>
      <c r="DC829" s="4">
        <f t="shared" si="3543"/>
        <v>0.85264246854654968</v>
      </c>
      <c r="DD829" s="4">
        <f t="shared" si="3543"/>
        <v>0.85264246854654968</v>
      </c>
      <c r="DE829" s="185">
        <f t="shared" si="3543"/>
        <v>0.85180961457068483</v>
      </c>
      <c r="DF829" s="4">
        <f t="shared" ref="DF829:DO831" si="3544">DF828</f>
        <v>0.85658199602938967</v>
      </c>
      <c r="DG829" s="4">
        <f t="shared" si="3544"/>
        <v>0.85658199602938967</v>
      </c>
      <c r="DH829" s="185">
        <f t="shared" si="3544"/>
        <v>0.85570000366894872</v>
      </c>
      <c r="DI829" s="4">
        <f t="shared" si="3544"/>
        <v>0.86015006850983244</v>
      </c>
      <c r="DJ829" s="4">
        <f t="shared" si="3544"/>
        <v>0.86015006850983244</v>
      </c>
      <c r="DK829" s="185">
        <f t="shared" si="3544"/>
        <v>0.85921603860012552</v>
      </c>
      <c r="DL829" s="4">
        <f t="shared" si="3544"/>
        <v>0.86335363594725834</v>
      </c>
      <c r="DM829" s="4">
        <f t="shared" si="3544"/>
        <v>0.86335363594725834</v>
      </c>
      <c r="DN829" s="185">
        <f t="shared" si="3544"/>
        <v>0.86236449827287864</v>
      </c>
      <c r="DO829" s="4">
        <f t="shared" si="3544"/>
        <v>0.86619867856319488</v>
      </c>
      <c r="DP829" s="4">
        <f t="shared" ref="DP829:DY831" si="3545">DP828</f>
        <v>0.86619867856319488</v>
      </c>
      <c r="DQ829" s="185">
        <f t="shared" si="3545"/>
        <v>0.8651511817660269</v>
      </c>
      <c r="DR829" s="4">
        <f t="shared" si="3545"/>
        <v>0.86869021558052828</v>
      </c>
      <c r="DS829" s="4">
        <f t="shared" si="3545"/>
        <v>0.86869021558052828</v>
      </c>
      <c r="DT829" s="185">
        <f t="shared" si="3545"/>
        <v>0.86758091647232738</v>
      </c>
      <c r="DU829" s="4">
        <f t="shared" si="3545"/>
        <v>0.87083231132573979</v>
      </c>
      <c r="DV829" s="4">
        <f t="shared" si="3545"/>
        <v>0.87083231132573979</v>
      </c>
      <c r="DW829" s="185">
        <f t="shared" si="3545"/>
        <v>0.869657563570155</v>
      </c>
      <c r="DX829" s="4">
        <f t="shared" si="3545"/>
        <v>0.87262807868927783</v>
      </c>
      <c r="DY829" s="4">
        <f t="shared" si="3545"/>
        <v>0.87262807868927783</v>
      </c>
      <c r="DZ829" s="185">
        <f t="shared" ref="DZ829:EF831" si="3546">DZ828</f>
        <v>0.87138402081611344</v>
      </c>
      <c r="EA829" s="4">
        <f t="shared" si="3546"/>
        <v>0.87407967993168834</v>
      </c>
      <c r="EB829" s="4">
        <f t="shared" si="3546"/>
        <v>0.87407967993168834</v>
      </c>
      <c r="EC829" s="185">
        <f t="shared" si="3546"/>
        <v>0.87276222264400738</v>
      </c>
      <c r="ED829" s="4">
        <f t="shared" si="3546"/>
        <v>0.87518832481553333</v>
      </c>
      <c r="EE829" s="4">
        <f t="shared" si="3546"/>
        <v>0.87518832481553333</v>
      </c>
      <c r="EF829" s="185">
        <f t="shared" si="3546"/>
        <v>0.87379313754787913</v>
      </c>
      <c r="EG829" s="4">
        <f t="shared" ref="EG829:EL829" si="3547">EG828</f>
        <v>0.87595426603542081</v>
      </c>
      <c r="EH829" s="4">
        <f t="shared" si="3547"/>
        <v>0.87595426603542081</v>
      </c>
      <c r="EI829" s="185">
        <f t="shared" si="3547"/>
        <v>0.87447676271897501</v>
      </c>
      <c r="EJ829" s="4">
        <f t="shared" si="3547"/>
        <v>0.87637679191061568</v>
      </c>
      <c r="EK829" s="4">
        <f t="shared" si="3547"/>
        <v>0.87637679191061568</v>
      </c>
      <c r="EL829" s="185">
        <f t="shared" si="3547"/>
        <v>0.87481211589849961</v>
      </c>
      <c r="EM829" s="4">
        <f t="shared" ref="EM829:ER829" si="3548">EM828</f>
        <v>0.87645421629668596</v>
      </c>
      <c r="EN829" s="4">
        <f t="shared" si="3548"/>
        <v>0.87645421629668596</v>
      </c>
      <c r="EO829" s="185">
        <f t="shared" si="3548"/>
        <v>0.87479722439985497</v>
      </c>
      <c r="EP829" s="4">
        <f t="shared" si="3548"/>
        <v>0.87618386566442652</v>
      </c>
      <c r="EQ829" s="4">
        <f t="shared" si="3548"/>
        <v>0.87618386566442652</v>
      </c>
      <c r="ER829" s="185">
        <f t="shared" si="3548"/>
        <v>0.87442911124568257</v>
      </c>
      <c r="ES829" s="4">
        <f t="shared" ref="ES829:EX829" si="3549">ES828</f>
        <v>0.87556206328588559</v>
      </c>
      <c r="ET829" s="4">
        <f t="shared" si="3549"/>
        <v>0.87556206328588559</v>
      </c>
      <c r="EU829" s="185">
        <f t="shared" si="3549"/>
        <v>0.87370377835643576</v>
      </c>
      <c r="EV829" s="4">
        <f t="shared" si="3549"/>
        <v>0.87458411045865192</v>
      </c>
      <c r="EW829" s="4">
        <f t="shared" si="3549"/>
        <v>0.87458411045865192</v>
      </c>
      <c r="EX829" s="185">
        <f t="shared" si="3549"/>
        <v>0.87261618671836461</v>
      </c>
      <c r="EY829" s="4">
        <f t="shared" ref="EY829:FA829" si="3550">EY828</f>
        <v>0.8732442646906321</v>
      </c>
      <c r="EZ829" s="4">
        <f t="shared" si="3550"/>
        <v>0.8732442646906321</v>
      </c>
      <c r="FA829" s="185">
        <f t="shared" si="3550"/>
        <v>0.87116023344966775</v>
      </c>
      <c r="FH829" s="35"/>
      <c r="FI829" s="35"/>
      <c r="FJ829" s="35"/>
      <c r="FK829" s="35"/>
      <c r="FL829" s="35"/>
      <c r="FM829" s="35"/>
      <c r="FN829" s="35"/>
      <c r="FO829" s="35"/>
      <c r="FP829" s="35"/>
      <c r="FQ829" s="35"/>
    </row>
    <row r="830" spans="1:173" s="321" customFormat="1" hidden="1" outlineLevel="1">
      <c r="A830" s="1168"/>
      <c r="B830" s="186"/>
      <c r="C830" s="186" t="s">
        <v>431</v>
      </c>
      <c r="D830" s="910"/>
      <c r="E830" s="1"/>
      <c r="F830" s="1"/>
      <c r="G830" s="5"/>
      <c r="H830" s="1"/>
      <c r="I830" s="1"/>
      <c r="J830" s="5"/>
      <c r="K830" s="1"/>
      <c r="L830" s="1"/>
      <c r="M830" s="5"/>
      <c r="N830" s="1"/>
      <c r="O830" s="1"/>
      <c r="P830" s="5"/>
      <c r="Q830" s="1"/>
      <c r="R830" s="1"/>
      <c r="S830" s="5"/>
      <c r="T830" s="1"/>
      <c r="U830" s="1"/>
      <c r="V830" s="5"/>
      <c r="W830" s="1"/>
      <c r="X830" s="1"/>
      <c r="Y830" s="5"/>
      <c r="Z830" s="1"/>
      <c r="AA830" s="1"/>
      <c r="AB830" s="5"/>
      <c r="AC830" s="1"/>
      <c r="AD830" s="1"/>
      <c r="AE830" s="5"/>
      <c r="AF830" s="1"/>
      <c r="AG830" s="1"/>
      <c r="AH830" s="5"/>
      <c r="AI830" s="1"/>
      <c r="AJ830" s="1"/>
      <c r="AK830" s="5"/>
      <c r="AL830" s="1"/>
      <c r="AM830" s="1"/>
      <c r="AN830" s="5"/>
      <c r="AO830" s="1"/>
      <c r="AP830" s="1"/>
      <c r="AQ830" s="5"/>
      <c r="AR830" s="1"/>
      <c r="AS830" s="1"/>
      <c r="AT830" s="5"/>
      <c r="AU830" s="1"/>
      <c r="AV830" s="1"/>
      <c r="AW830" s="5"/>
      <c r="AX830" s="185">
        <f t="shared" si="3538"/>
        <v>0.6905</v>
      </c>
      <c r="AY830" s="185">
        <f t="shared" si="3538"/>
        <v>0.69021974999999991</v>
      </c>
      <c r="AZ830" s="185">
        <f t="shared" si="3538"/>
        <v>0.68993949999999993</v>
      </c>
      <c r="BA830" s="4">
        <f t="shared" si="3538"/>
        <v>0.70398271525</v>
      </c>
      <c r="BB830" s="4">
        <f t="shared" si="3538"/>
        <v>0.70398271525</v>
      </c>
      <c r="BC830" s="971">
        <f t="shared" si="3538"/>
        <v>0.70368593049999995</v>
      </c>
      <c r="BD830" s="4">
        <f t="shared" si="3538"/>
        <v>0.71702618344975</v>
      </c>
      <c r="BE830" s="4">
        <f t="shared" si="3538"/>
        <v>0.71702618344975</v>
      </c>
      <c r="BF830" s="971">
        <f t="shared" si="3538"/>
        <v>0.71671188839949995</v>
      </c>
      <c r="BG830" s="4">
        <f t="shared" si="3538"/>
        <v>0.72938091054688525</v>
      </c>
      <c r="BH830" s="4">
        <f t="shared" si="3539"/>
        <v>0.72938091054688525</v>
      </c>
      <c r="BI830" s="971">
        <f t="shared" si="3539"/>
        <v>0.72904807208867051</v>
      </c>
      <c r="BJ830" s="121">
        <f t="shared" si="3539"/>
        <v>0.74107596783007335</v>
      </c>
      <c r="BK830" s="121">
        <f t="shared" si="3539"/>
        <v>0.74107596783007335</v>
      </c>
      <c r="BL830" s="114">
        <f t="shared" si="3539"/>
        <v>0.74072349190282394</v>
      </c>
      <c r="BM830" s="121">
        <f t="shared" si="3539"/>
        <v>0.75213880979875758</v>
      </c>
      <c r="BN830" s="121">
        <f t="shared" si="3539"/>
        <v>0.75213880979875758</v>
      </c>
      <c r="BO830" s="114">
        <f t="shared" si="3539"/>
        <v>0.75176553779180044</v>
      </c>
      <c r="BP830" s="121">
        <f t="shared" si="3539"/>
        <v>0.76259533804196533</v>
      </c>
      <c r="BQ830" s="121">
        <f t="shared" si="3539"/>
        <v>0.76259533804196533</v>
      </c>
      <c r="BR830" s="114">
        <f t="shared" si="3540"/>
        <v>0.76220004298659771</v>
      </c>
      <c r="BS830" s="4">
        <f t="shared" si="3540"/>
        <v>0.77246996127289158</v>
      </c>
      <c r="BT830" s="4">
        <f t="shared" si="3540"/>
        <v>0.77246996127289158</v>
      </c>
      <c r="BU830" s="185">
        <f t="shared" si="3540"/>
        <v>0.77205134380925722</v>
      </c>
      <c r="BV830" s="4">
        <f t="shared" si="3540"/>
        <v>0.78178565165635006</v>
      </c>
      <c r="BW830" s="4">
        <f t="shared" si="3540"/>
        <v>0.78178565165635006</v>
      </c>
      <c r="BX830" s="185">
        <f t="shared" si="3540"/>
        <v>0.78134233576236134</v>
      </c>
      <c r="BY830" s="4">
        <f t="shared" si="3540"/>
        <v>0.79056399755688511</v>
      </c>
      <c r="BZ830" s="4">
        <f t="shared" si="3540"/>
        <v>0.79056399755688511</v>
      </c>
      <c r="CA830" s="185">
        <f t="shared" si="3540"/>
        <v>0.79009452602515107</v>
      </c>
      <c r="CB830" s="4">
        <f t="shared" si="3541"/>
        <v>0.79882525282630734</v>
      </c>
      <c r="CC830" s="4">
        <f t="shared" si="3541"/>
        <v>0.79882525282630734</v>
      </c>
      <c r="CD830" s="185">
        <f t="shared" si="3541"/>
        <v>0.79832808247420106</v>
      </c>
      <c r="CE830" s="4">
        <f t="shared" si="3541"/>
        <v>0.80658838274065714</v>
      </c>
      <c r="CF830" s="4">
        <f t="shared" si="3541"/>
        <v>0.80658838274065714</v>
      </c>
      <c r="CG830" s="185">
        <f t="shared" si="3541"/>
        <v>0.80606187933777651</v>
      </c>
      <c r="CH830" s="4">
        <f t="shared" si="3541"/>
        <v>0.81387110668806839</v>
      </c>
      <c r="CI830" s="4">
        <f t="shared" si="3541"/>
        <v>0.81387110668806839</v>
      </c>
      <c r="CJ830" s="185">
        <f t="shared" si="3541"/>
        <v>0.81331353958441777</v>
      </c>
      <c r="CK830" s="4">
        <f t="shared" si="3541"/>
        <v>0.82068993770069576</v>
      </c>
      <c r="CL830" s="4">
        <f t="shared" si="3542"/>
        <v>0.82068993770069576</v>
      </c>
      <c r="CM830" s="185">
        <f t="shared" si="3542"/>
        <v>0.82009947413792983</v>
      </c>
      <c r="CN830" s="4">
        <f t="shared" si="3542"/>
        <v>0.82706021891574633</v>
      </c>
      <c r="CO830" s="4">
        <f t="shared" si="3542"/>
        <v>0.82706021891574633</v>
      </c>
      <c r="CP830" s="185">
        <f t="shared" si="3542"/>
        <v>0.82643491800277713</v>
      </c>
      <c r="CQ830" s="4">
        <f t="shared" si="3542"/>
        <v>0.83299615704270902</v>
      </c>
      <c r="CR830" s="4">
        <f t="shared" si="3542"/>
        <v>0.83299615704270902</v>
      </c>
      <c r="CS830" s="185">
        <f t="shared" si="3542"/>
        <v>0.83233396337587462</v>
      </c>
      <c r="CT830" s="4">
        <f t="shared" si="3542"/>
        <v>0.83851085290607985</v>
      </c>
      <c r="CU830" s="4">
        <f t="shared" si="3542"/>
        <v>0.83851085290607985</v>
      </c>
      <c r="CV830" s="185">
        <f t="shared" si="3543"/>
        <v>0.83780958981290221</v>
      </c>
      <c r="CW830" s="4">
        <f t="shared" si="3543"/>
        <v>0.84361632912521212</v>
      </c>
      <c r="CX830" s="4">
        <f t="shared" si="3543"/>
        <v>0.84361632912521212</v>
      </c>
      <c r="CY830" s="185">
        <f t="shared" si="3543"/>
        <v>0.84287369150953706</v>
      </c>
      <c r="CZ830" s="4">
        <f t="shared" si="3543"/>
        <v>0.8483235549853646</v>
      </c>
      <c r="DA830" s="4">
        <f t="shared" si="3543"/>
        <v>0.8483235549853646</v>
      </c>
      <c r="DB830" s="185">
        <f t="shared" si="3543"/>
        <v>0.84753710175036467</v>
      </c>
      <c r="DC830" s="4">
        <f t="shared" si="3543"/>
        <v>0.85264246854654968</v>
      </c>
      <c r="DD830" s="4">
        <f t="shared" si="3543"/>
        <v>0.85264246854654968</v>
      </c>
      <c r="DE830" s="185">
        <f t="shared" si="3543"/>
        <v>0.85180961457068483</v>
      </c>
      <c r="DF830" s="4">
        <f t="shared" si="3544"/>
        <v>0.85658199602938967</v>
      </c>
      <c r="DG830" s="4">
        <f t="shared" si="3544"/>
        <v>0.85658199602938967</v>
      </c>
      <c r="DH830" s="185">
        <f t="shared" si="3544"/>
        <v>0.85570000366894872</v>
      </c>
      <c r="DI830" s="4">
        <f t="shared" si="3544"/>
        <v>0.86015006850983244</v>
      </c>
      <c r="DJ830" s="4">
        <f t="shared" si="3544"/>
        <v>0.86015006850983244</v>
      </c>
      <c r="DK830" s="185">
        <f t="shared" si="3544"/>
        <v>0.85921603860012552</v>
      </c>
      <c r="DL830" s="4">
        <f t="shared" si="3544"/>
        <v>0.86335363594725834</v>
      </c>
      <c r="DM830" s="4">
        <f t="shared" si="3544"/>
        <v>0.86335363594725834</v>
      </c>
      <c r="DN830" s="185">
        <f t="shared" si="3544"/>
        <v>0.86236449827287864</v>
      </c>
      <c r="DO830" s="4">
        <f t="shared" si="3544"/>
        <v>0.86619867856319488</v>
      </c>
      <c r="DP830" s="4">
        <f t="shared" si="3545"/>
        <v>0.86619867856319488</v>
      </c>
      <c r="DQ830" s="185">
        <f t="shared" si="3545"/>
        <v>0.8651511817660269</v>
      </c>
      <c r="DR830" s="4">
        <f t="shared" si="3545"/>
        <v>0.86869021558052828</v>
      </c>
      <c r="DS830" s="4">
        <f t="shared" si="3545"/>
        <v>0.86869021558052828</v>
      </c>
      <c r="DT830" s="185">
        <f t="shared" si="3545"/>
        <v>0.86758091647232738</v>
      </c>
      <c r="DU830" s="4">
        <f t="shared" si="3545"/>
        <v>0.87083231132573979</v>
      </c>
      <c r="DV830" s="4">
        <f t="shared" si="3545"/>
        <v>0.87083231132573979</v>
      </c>
      <c r="DW830" s="185">
        <f t="shared" si="3545"/>
        <v>0.869657563570155</v>
      </c>
      <c r="DX830" s="4">
        <f t="shared" si="3545"/>
        <v>0.87262807868927783</v>
      </c>
      <c r="DY830" s="4">
        <f t="shared" si="3545"/>
        <v>0.87262807868927783</v>
      </c>
      <c r="DZ830" s="185">
        <f t="shared" si="3546"/>
        <v>0.87138402081611344</v>
      </c>
      <c r="EA830" s="4">
        <f t="shared" si="3546"/>
        <v>0.87407967993168834</v>
      </c>
      <c r="EB830" s="4">
        <f t="shared" si="3546"/>
        <v>0.87407967993168834</v>
      </c>
      <c r="EC830" s="185">
        <f t="shared" si="3546"/>
        <v>0.87276222264400738</v>
      </c>
      <c r="ED830" s="4">
        <f t="shared" si="3546"/>
        <v>0.87518832481553333</v>
      </c>
      <c r="EE830" s="4">
        <f t="shared" si="3546"/>
        <v>0.87518832481553333</v>
      </c>
      <c r="EF830" s="185">
        <f t="shared" si="3546"/>
        <v>0.87379313754787913</v>
      </c>
      <c r="EG830" s="4">
        <f t="shared" ref="EG830:EL830" si="3551">EG829</f>
        <v>0.87595426603542081</v>
      </c>
      <c r="EH830" s="4">
        <f t="shared" si="3551"/>
        <v>0.87595426603542081</v>
      </c>
      <c r="EI830" s="185">
        <f t="shared" si="3551"/>
        <v>0.87447676271897501</v>
      </c>
      <c r="EJ830" s="4">
        <f t="shared" si="3551"/>
        <v>0.87637679191061568</v>
      </c>
      <c r="EK830" s="4">
        <f t="shared" si="3551"/>
        <v>0.87637679191061568</v>
      </c>
      <c r="EL830" s="185">
        <f t="shared" si="3551"/>
        <v>0.87481211589849961</v>
      </c>
      <c r="EM830" s="4">
        <f t="shared" ref="EM830:ER830" si="3552">EM829</f>
        <v>0.87645421629668596</v>
      </c>
      <c r="EN830" s="4">
        <f t="shared" si="3552"/>
        <v>0.87645421629668596</v>
      </c>
      <c r="EO830" s="185">
        <f t="shared" si="3552"/>
        <v>0.87479722439985497</v>
      </c>
      <c r="EP830" s="4">
        <f t="shared" si="3552"/>
        <v>0.87618386566442652</v>
      </c>
      <c r="EQ830" s="4">
        <f t="shared" si="3552"/>
        <v>0.87618386566442652</v>
      </c>
      <c r="ER830" s="185">
        <f t="shared" si="3552"/>
        <v>0.87442911124568257</v>
      </c>
      <c r="ES830" s="4">
        <f t="shared" ref="ES830:EX830" si="3553">ES829</f>
        <v>0.87556206328588559</v>
      </c>
      <c r="ET830" s="4">
        <f t="shared" si="3553"/>
        <v>0.87556206328588559</v>
      </c>
      <c r="EU830" s="185">
        <f t="shared" si="3553"/>
        <v>0.87370377835643576</v>
      </c>
      <c r="EV830" s="4">
        <f t="shared" si="3553"/>
        <v>0.87458411045865192</v>
      </c>
      <c r="EW830" s="4">
        <f t="shared" si="3553"/>
        <v>0.87458411045865192</v>
      </c>
      <c r="EX830" s="185">
        <f t="shared" si="3553"/>
        <v>0.87261618671836461</v>
      </c>
      <c r="EY830" s="4">
        <f t="shared" ref="EY830:FA830" si="3554">EY829</f>
        <v>0.8732442646906321</v>
      </c>
      <c r="EZ830" s="4">
        <f t="shared" si="3554"/>
        <v>0.8732442646906321</v>
      </c>
      <c r="FA830" s="185">
        <f t="shared" si="3554"/>
        <v>0.87116023344966775</v>
      </c>
      <c r="FH830" s="35"/>
      <c r="FI830" s="35"/>
      <c r="FJ830" s="35"/>
      <c r="FK830" s="35"/>
      <c r="FL830" s="35"/>
      <c r="FM830" s="35"/>
      <c r="FN830" s="35"/>
      <c r="FO830" s="35"/>
      <c r="FP830" s="35"/>
      <c r="FQ830" s="35"/>
    </row>
    <row r="831" spans="1:173" s="321" customFormat="1" hidden="1" outlineLevel="1">
      <c r="A831" s="1168"/>
      <c r="B831" s="186"/>
      <c r="C831" s="186" t="s">
        <v>327</v>
      </c>
      <c r="D831" s="910"/>
      <c r="E831" s="1"/>
      <c r="F831" s="1"/>
      <c r="G831" s="5"/>
      <c r="H831" s="1"/>
      <c r="I831" s="1"/>
      <c r="J831" s="5"/>
      <c r="K831" s="1"/>
      <c r="L831" s="1"/>
      <c r="M831" s="5"/>
      <c r="N831" s="1"/>
      <c r="O831" s="1"/>
      <c r="P831" s="5"/>
      <c r="Q831" s="1"/>
      <c r="R831" s="1"/>
      <c r="S831" s="5"/>
      <c r="T831" s="1"/>
      <c r="U831" s="1"/>
      <c r="V831" s="5"/>
      <c r="W831" s="1"/>
      <c r="X831" s="1"/>
      <c r="Y831" s="5"/>
      <c r="Z831" s="1"/>
      <c r="AA831" s="1"/>
      <c r="AB831" s="5"/>
      <c r="AC831" s="1"/>
      <c r="AD831" s="1"/>
      <c r="AE831" s="5"/>
      <c r="AF831" s="1"/>
      <c r="AG831" s="1"/>
      <c r="AH831" s="5"/>
      <c r="AI831" s="1"/>
      <c r="AJ831" s="1"/>
      <c r="AK831" s="5"/>
      <c r="AL831" s="1"/>
      <c r="AM831" s="1"/>
      <c r="AN831" s="5"/>
      <c r="AO831" s="1"/>
      <c r="AP831" s="1"/>
      <c r="AQ831" s="5"/>
      <c r="AR831" s="1"/>
      <c r="AS831" s="1"/>
      <c r="AT831" s="5"/>
      <c r="AU831" s="1"/>
      <c r="AV831" s="1"/>
      <c r="AW831" s="5"/>
      <c r="AX831" s="185">
        <f t="shared" si="3538"/>
        <v>0.6905</v>
      </c>
      <c r="AY831" s="185">
        <f t="shared" si="3538"/>
        <v>0.69021974999999991</v>
      </c>
      <c r="AZ831" s="185">
        <f t="shared" si="3538"/>
        <v>0.68993949999999993</v>
      </c>
      <c r="BA831" s="4">
        <f t="shared" si="3538"/>
        <v>0.70398271525</v>
      </c>
      <c r="BB831" s="4">
        <f t="shared" si="3538"/>
        <v>0.70398271525</v>
      </c>
      <c r="BC831" s="971">
        <f t="shared" si="3538"/>
        <v>0.70368593049999995</v>
      </c>
      <c r="BD831" s="4">
        <f t="shared" si="3538"/>
        <v>0.71702618344975</v>
      </c>
      <c r="BE831" s="4">
        <f t="shared" si="3538"/>
        <v>0.71702618344975</v>
      </c>
      <c r="BF831" s="971">
        <f t="shared" si="3538"/>
        <v>0.71671188839949995</v>
      </c>
      <c r="BG831" s="4">
        <f t="shared" si="3538"/>
        <v>0.72938091054688525</v>
      </c>
      <c r="BH831" s="4">
        <f t="shared" si="3539"/>
        <v>0.72938091054688525</v>
      </c>
      <c r="BI831" s="971">
        <f t="shared" si="3539"/>
        <v>0.72904807208867051</v>
      </c>
      <c r="BJ831" s="121">
        <f t="shared" si="3539"/>
        <v>0.74107596783007335</v>
      </c>
      <c r="BK831" s="121">
        <f t="shared" si="3539"/>
        <v>0.74107596783007335</v>
      </c>
      <c r="BL831" s="114">
        <f t="shared" si="3539"/>
        <v>0.74072349190282394</v>
      </c>
      <c r="BM831" s="121">
        <f t="shared" si="3539"/>
        <v>0.75213880979875758</v>
      </c>
      <c r="BN831" s="121">
        <f t="shared" si="3539"/>
        <v>0.75213880979875758</v>
      </c>
      <c r="BO831" s="114">
        <f t="shared" si="3539"/>
        <v>0.75176553779180044</v>
      </c>
      <c r="BP831" s="121">
        <f t="shared" si="3539"/>
        <v>0.76259533804196533</v>
      </c>
      <c r="BQ831" s="121">
        <f t="shared" si="3539"/>
        <v>0.76259533804196533</v>
      </c>
      <c r="BR831" s="114">
        <f t="shared" si="3540"/>
        <v>0.76220004298659771</v>
      </c>
      <c r="BS831" s="4">
        <f t="shared" si="3540"/>
        <v>0.77246996127289158</v>
      </c>
      <c r="BT831" s="4">
        <f t="shared" si="3540"/>
        <v>0.77246996127289158</v>
      </c>
      <c r="BU831" s="185">
        <f t="shared" si="3540"/>
        <v>0.77205134380925722</v>
      </c>
      <c r="BV831" s="4">
        <f t="shared" si="3540"/>
        <v>0.78178565165635006</v>
      </c>
      <c r="BW831" s="4">
        <f t="shared" si="3540"/>
        <v>0.78178565165635006</v>
      </c>
      <c r="BX831" s="185">
        <f t="shared" si="3540"/>
        <v>0.78134233576236134</v>
      </c>
      <c r="BY831" s="4">
        <f t="shared" si="3540"/>
        <v>0.79056399755688511</v>
      </c>
      <c r="BZ831" s="4">
        <f t="shared" si="3540"/>
        <v>0.79056399755688511</v>
      </c>
      <c r="CA831" s="185">
        <f t="shared" si="3540"/>
        <v>0.79009452602515107</v>
      </c>
      <c r="CB831" s="4">
        <f t="shared" si="3541"/>
        <v>0.79882525282630734</v>
      </c>
      <c r="CC831" s="4">
        <f t="shared" si="3541"/>
        <v>0.79882525282630734</v>
      </c>
      <c r="CD831" s="185">
        <f t="shared" si="3541"/>
        <v>0.79832808247420106</v>
      </c>
      <c r="CE831" s="4">
        <f t="shared" si="3541"/>
        <v>0.80658838274065714</v>
      </c>
      <c r="CF831" s="4">
        <f t="shared" si="3541"/>
        <v>0.80658838274065714</v>
      </c>
      <c r="CG831" s="185">
        <f t="shared" si="3541"/>
        <v>0.80606187933777651</v>
      </c>
      <c r="CH831" s="4">
        <f t="shared" si="3541"/>
        <v>0.81387110668806839</v>
      </c>
      <c r="CI831" s="4">
        <f t="shared" si="3541"/>
        <v>0.81387110668806839</v>
      </c>
      <c r="CJ831" s="185">
        <f t="shared" si="3541"/>
        <v>0.81331353958441777</v>
      </c>
      <c r="CK831" s="4">
        <f t="shared" si="3541"/>
        <v>0.82068993770069576</v>
      </c>
      <c r="CL831" s="4">
        <f t="shared" si="3542"/>
        <v>0.82068993770069576</v>
      </c>
      <c r="CM831" s="185">
        <f t="shared" si="3542"/>
        <v>0.82009947413792983</v>
      </c>
      <c r="CN831" s="4">
        <f t="shared" si="3542"/>
        <v>0.82706021891574633</v>
      </c>
      <c r="CO831" s="4">
        <f t="shared" si="3542"/>
        <v>0.82706021891574633</v>
      </c>
      <c r="CP831" s="185">
        <f t="shared" si="3542"/>
        <v>0.82643491800277713</v>
      </c>
      <c r="CQ831" s="4">
        <f t="shared" si="3542"/>
        <v>0.83299615704270902</v>
      </c>
      <c r="CR831" s="4">
        <f t="shared" si="3542"/>
        <v>0.83299615704270902</v>
      </c>
      <c r="CS831" s="185">
        <f t="shared" si="3542"/>
        <v>0.83233396337587462</v>
      </c>
      <c r="CT831" s="4">
        <f t="shared" si="3542"/>
        <v>0.83851085290607985</v>
      </c>
      <c r="CU831" s="4">
        <f t="shared" si="3542"/>
        <v>0.83851085290607985</v>
      </c>
      <c r="CV831" s="185">
        <f t="shared" si="3543"/>
        <v>0.83780958981290221</v>
      </c>
      <c r="CW831" s="4">
        <f t="shared" si="3543"/>
        <v>0.84361632912521212</v>
      </c>
      <c r="CX831" s="4">
        <f t="shared" si="3543"/>
        <v>0.84361632912521212</v>
      </c>
      <c r="CY831" s="185">
        <f t="shared" si="3543"/>
        <v>0.84287369150953706</v>
      </c>
      <c r="CZ831" s="4">
        <f t="shared" si="3543"/>
        <v>0.8483235549853646</v>
      </c>
      <c r="DA831" s="4">
        <f t="shared" si="3543"/>
        <v>0.8483235549853646</v>
      </c>
      <c r="DB831" s="185">
        <f t="shared" si="3543"/>
        <v>0.84753710175036467</v>
      </c>
      <c r="DC831" s="4">
        <f t="shared" si="3543"/>
        <v>0.85264246854654968</v>
      </c>
      <c r="DD831" s="4">
        <f t="shared" si="3543"/>
        <v>0.85264246854654968</v>
      </c>
      <c r="DE831" s="185">
        <f t="shared" si="3543"/>
        <v>0.85180961457068483</v>
      </c>
      <c r="DF831" s="4">
        <f t="shared" si="3544"/>
        <v>0.85658199602938967</v>
      </c>
      <c r="DG831" s="4">
        <f t="shared" si="3544"/>
        <v>0.85658199602938967</v>
      </c>
      <c r="DH831" s="185">
        <f t="shared" si="3544"/>
        <v>0.85570000366894872</v>
      </c>
      <c r="DI831" s="4">
        <f t="shared" si="3544"/>
        <v>0.86015006850983244</v>
      </c>
      <c r="DJ831" s="4">
        <f t="shared" si="3544"/>
        <v>0.86015006850983244</v>
      </c>
      <c r="DK831" s="185">
        <f t="shared" si="3544"/>
        <v>0.85921603860012552</v>
      </c>
      <c r="DL831" s="4">
        <f t="shared" si="3544"/>
        <v>0.86335363594725834</v>
      </c>
      <c r="DM831" s="4">
        <f t="shared" si="3544"/>
        <v>0.86335363594725834</v>
      </c>
      <c r="DN831" s="185">
        <f t="shared" si="3544"/>
        <v>0.86236449827287864</v>
      </c>
      <c r="DO831" s="4">
        <f t="shared" si="3544"/>
        <v>0.86619867856319488</v>
      </c>
      <c r="DP831" s="4">
        <f t="shared" si="3545"/>
        <v>0.86619867856319488</v>
      </c>
      <c r="DQ831" s="185">
        <f t="shared" si="3545"/>
        <v>0.8651511817660269</v>
      </c>
      <c r="DR831" s="4">
        <f t="shared" si="3545"/>
        <v>0.86869021558052828</v>
      </c>
      <c r="DS831" s="4">
        <f t="shared" si="3545"/>
        <v>0.86869021558052828</v>
      </c>
      <c r="DT831" s="185">
        <f t="shared" si="3545"/>
        <v>0.86758091647232738</v>
      </c>
      <c r="DU831" s="4">
        <f t="shared" si="3545"/>
        <v>0.87083231132573979</v>
      </c>
      <c r="DV831" s="4">
        <f t="shared" si="3545"/>
        <v>0.87083231132573979</v>
      </c>
      <c r="DW831" s="185">
        <f t="shared" si="3545"/>
        <v>0.869657563570155</v>
      </c>
      <c r="DX831" s="4">
        <f t="shared" si="3545"/>
        <v>0.87262807868927783</v>
      </c>
      <c r="DY831" s="4">
        <f t="shared" si="3545"/>
        <v>0.87262807868927783</v>
      </c>
      <c r="DZ831" s="185">
        <f t="shared" si="3546"/>
        <v>0.87138402081611344</v>
      </c>
      <c r="EA831" s="4">
        <f t="shared" si="3546"/>
        <v>0.87407967993168834</v>
      </c>
      <c r="EB831" s="4">
        <f t="shared" si="3546"/>
        <v>0.87407967993168834</v>
      </c>
      <c r="EC831" s="185">
        <f t="shared" si="3546"/>
        <v>0.87276222264400738</v>
      </c>
      <c r="ED831" s="4">
        <f t="shared" si="3546"/>
        <v>0.87518832481553333</v>
      </c>
      <c r="EE831" s="4">
        <f t="shared" si="3546"/>
        <v>0.87518832481553333</v>
      </c>
      <c r="EF831" s="185">
        <f t="shared" si="3546"/>
        <v>0.87379313754787913</v>
      </c>
      <c r="EG831" s="4">
        <f t="shared" ref="EG831:EL831" si="3555">EG830</f>
        <v>0.87595426603542081</v>
      </c>
      <c r="EH831" s="4">
        <f t="shared" si="3555"/>
        <v>0.87595426603542081</v>
      </c>
      <c r="EI831" s="185">
        <f t="shared" si="3555"/>
        <v>0.87447676271897501</v>
      </c>
      <c r="EJ831" s="4">
        <f t="shared" si="3555"/>
        <v>0.87637679191061568</v>
      </c>
      <c r="EK831" s="4">
        <f t="shared" si="3555"/>
        <v>0.87637679191061568</v>
      </c>
      <c r="EL831" s="185">
        <f t="shared" si="3555"/>
        <v>0.87481211589849961</v>
      </c>
      <c r="EM831" s="4">
        <f t="shared" ref="EM831:ER831" si="3556">EM830</f>
        <v>0.87645421629668596</v>
      </c>
      <c r="EN831" s="4">
        <f t="shared" si="3556"/>
        <v>0.87645421629668596</v>
      </c>
      <c r="EO831" s="185">
        <f t="shared" si="3556"/>
        <v>0.87479722439985497</v>
      </c>
      <c r="EP831" s="4">
        <f t="shared" si="3556"/>
        <v>0.87618386566442652</v>
      </c>
      <c r="EQ831" s="4">
        <f t="shared" si="3556"/>
        <v>0.87618386566442652</v>
      </c>
      <c r="ER831" s="185">
        <f t="shared" si="3556"/>
        <v>0.87442911124568257</v>
      </c>
      <c r="ES831" s="4">
        <f t="shared" ref="ES831:EX831" si="3557">ES830</f>
        <v>0.87556206328588559</v>
      </c>
      <c r="ET831" s="4">
        <f t="shared" si="3557"/>
        <v>0.87556206328588559</v>
      </c>
      <c r="EU831" s="185">
        <f t="shared" si="3557"/>
        <v>0.87370377835643576</v>
      </c>
      <c r="EV831" s="4">
        <f t="shared" si="3557"/>
        <v>0.87458411045865192</v>
      </c>
      <c r="EW831" s="4">
        <f t="shared" si="3557"/>
        <v>0.87458411045865192</v>
      </c>
      <c r="EX831" s="185">
        <f t="shared" si="3557"/>
        <v>0.87261618671836461</v>
      </c>
      <c r="EY831" s="4">
        <f t="shared" ref="EY831:FA831" si="3558">EY830</f>
        <v>0.8732442646906321</v>
      </c>
      <c r="EZ831" s="4">
        <f t="shared" si="3558"/>
        <v>0.8732442646906321</v>
      </c>
      <c r="FA831" s="185">
        <f t="shared" si="3558"/>
        <v>0.87116023344966775</v>
      </c>
      <c r="FH831" s="35"/>
      <c r="FI831" s="35"/>
      <c r="FJ831" s="35"/>
      <c r="FK831" s="35"/>
      <c r="FL831" s="35"/>
      <c r="FM831" s="35"/>
      <c r="FN831" s="35"/>
      <c r="FO831" s="35"/>
      <c r="FP831" s="35"/>
      <c r="FQ831" s="35"/>
    </row>
    <row r="832" spans="1:173" s="321" customFormat="1" hidden="1" outlineLevel="1">
      <c r="A832" s="1168"/>
      <c r="B832" s="186"/>
      <c r="C832" s="186"/>
      <c r="D832" s="910"/>
      <c r="E832" s="1"/>
      <c r="F832" s="1"/>
      <c r="G832" s="5"/>
      <c r="H832" s="1"/>
      <c r="I832" s="1"/>
      <c r="J832" s="5"/>
      <c r="K832" s="1"/>
      <c r="L832" s="1"/>
      <c r="M832" s="5"/>
      <c r="N832" s="1"/>
      <c r="O832" s="1"/>
      <c r="P832" s="5"/>
      <c r="Q832" s="1"/>
      <c r="R832" s="1"/>
      <c r="S832" s="5"/>
      <c r="T832" s="1"/>
      <c r="U832" s="1"/>
      <c r="V832" s="5"/>
      <c r="W832" s="1"/>
      <c r="X832" s="1"/>
      <c r="Y832" s="5"/>
      <c r="Z832" s="1"/>
      <c r="AA832" s="1"/>
      <c r="AB832" s="5"/>
      <c r="AC832" s="1"/>
      <c r="AD832" s="1"/>
      <c r="AE832" s="5"/>
      <c r="AF832" s="1"/>
      <c r="AG832" s="1"/>
      <c r="AH832" s="5"/>
      <c r="AI832" s="1"/>
      <c r="AJ832" s="1"/>
      <c r="AK832" s="5"/>
      <c r="AL832" s="1"/>
      <c r="AM832" s="1"/>
      <c r="AN832" s="5"/>
      <c r="AO832" s="1"/>
      <c r="AP832" s="1"/>
      <c r="AQ832" s="5"/>
      <c r="AR832" s="1"/>
      <c r="AS832" s="1"/>
      <c r="AT832" s="5"/>
      <c r="AU832" s="1"/>
      <c r="AV832" s="1"/>
      <c r="AW832" s="5"/>
      <c r="AX832" s="3"/>
      <c r="AY832" s="3"/>
      <c r="AZ832" s="2"/>
      <c r="BA832" s="3"/>
      <c r="BB832" s="3"/>
      <c r="BC832" s="971">
        <f>(BC831-AZ831)/AZ831</f>
        <v>1.9924110012544606E-2</v>
      </c>
      <c r="BD832" s="3"/>
      <c r="BE832" s="3"/>
      <c r="BF832" s="973"/>
      <c r="BG832" s="3"/>
      <c r="BH832" s="3"/>
      <c r="BI832" s="978"/>
      <c r="BJ832" s="115"/>
      <c r="BK832" s="115"/>
      <c r="BL832" s="116"/>
      <c r="BM832" s="115"/>
      <c r="BN832" s="115"/>
      <c r="BO832" s="116"/>
      <c r="BP832" s="115"/>
      <c r="BQ832" s="115"/>
      <c r="BR832" s="116"/>
      <c r="BS832" s="8"/>
      <c r="BT832" s="8"/>
      <c r="BU832" s="187"/>
      <c r="BV832" s="8"/>
      <c r="BW832" s="8"/>
      <c r="BX832" s="187"/>
      <c r="BY832" s="8"/>
      <c r="BZ832" s="8"/>
      <c r="CA832" s="187"/>
      <c r="CB832" s="8"/>
      <c r="CC832" s="8"/>
      <c r="CD832" s="187"/>
      <c r="CE832" s="8"/>
      <c r="CF832" s="8"/>
      <c r="CG832" s="187"/>
      <c r="CH832" s="8"/>
      <c r="CI832" s="8"/>
      <c r="CJ832" s="187"/>
      <c r="CK832" s="8"/>
      <c r="CL832" s="8"/>
      <c r="CM832" s="187"/>
      <c r="CN832" s="8"/>
      <c r="CO832" s="8"/>
      <c r="CP832" s="187"/>
      <c r="CQ832" s="8"/>
      <c r="CR832" s="8"/>
      <c r="CS832" s="187"/>
      <c r="CT832" s="8"/>
      <c r="CU832" s="8"/>
      <c r="CV832" s="187"/>
      <c r="CW832" s="8"/>
      <c r="CX832" s="8"/>
      <c r="CY832" s="187"/>
      <c r="CZ832" s="8"/>
      <c r="DA832" s="8"/>
      <c r="DB832" s="187"/>
      <c r="DC832" s="8"/>
      <c r="DD832" s="8"/>
      <c r="DE832" s="187"/>
      <c r="DF832" s="8"/>
      <c r="DG832" s="8"/>
      <c r="DH832" s="187"/>
      <c r="DI832" s="8"/>
      <c r="DJ832" s="8"/>
      <c r="DK832" s="187"/>
      <c r="DL832" s="8"/>
      <c r="DM832" s="8"/>
      <c r="DN832" s="187"/>
      <c r="DO832" s="8"/>
      <c r="DP832" s="8"/>
      <c r="DQ832" s="187"/>
      <c r="DR832" s="8"/>
      <c r="DS832" s="8"/>
      <c r="DT832" s="187"/>
      <c r="DU832" s="8"/>
      <c r="DV832" s="8"/>
      <c r="DW832" s="187"/>
      <c r="DX832" s="8"/>
      <c r="DY832" s="8"/>
      <c r="DZ832" s="187"/>
      <c r="EA832" s="8"/>
      <c r="EB832" s="8"/>
      <c r="EC832" s="187"/>
      <c r="ED832" s="8"/>
      <c r="EE832" s="8"/>
      <c r="EF832" s="187"/>
      <c r="EG832" s="8"/>
      <c r="EH832" s="8"/>
      <c r="EI832" s="187"/>
      <c r="EJ832" s="8"/>
      <c r="EK832" s="8"/>
      <c r="EL832" s="187"/>
      <c r="EM832" s="8"/>
      <c r="EN832" s="8"/>
      <c r="EO832" s="187"/>
      <c r="EP832" s="8"/>
      <c r="EQ832" s="8"/>
      <c r="ER832" s="187"/>
      <c r="ES832" s="8"/>
      <c r="ET832" s="8"/>
      <c r="EU832" s="187"/>
      <c r="EV832" s="8"/>
      <c r="EW832" s="8"/>
      <c r="EX832" s="187"/>
      <c r="EY832" s="8"/>
      <c r="EZ832" s="8"/>
      <c r="FA832" s="187"/>
      <c r="FH832" s="35"/>
      <c r="FI832" s="35"/>
      <c r="FJ832" s="35"/>
      <c r="FK832" s="35"/>
      <c r="FL832" s="35"/>
      <c r="FM832" s="35"/>
      <c r="FN832" s="35"/>
      <c r="FO832" s="35"/>
      <c r="FP832" s="35"/>
      <c r="FQ832" s="35"/>
    </row>
    <row r="833" spans="1:173" s="321" customFormat="1" hidden="1" outlineLevel="1">
      <c r="A833" s="1168"/>
      <c r="B833" s="186"/>
      <c r="C833" s="331" t="s">
        <v>438</v>
      </c>
      <c r="D833" s="910"/>
      <c r="E833" s="1"/>
      <c r="F833" s="1"/>
      <c r="G833" s="5"/>
      <c r="H833" s="1"/>
      <c r="I833" s="1"/>
      <c r="J833" s="5"/>
      <c r="K833" s="1"/>
      <c r="L833" s="1"/>
      <c r="M833" s="5"/>
      <c r="N833" s="1"/>
      <c r="O833" s="1"/>
      <c r="P833" s="5"/>
      <c r="Q833" s="1"/>
      <c r="R833" s="1"/>
      <c r="S833" s="5"/>
      <c r="T833" s="1"/>
      <c r="U833" s="1"/>
      <c r="V833" s="5"/>
      <c r="W833" s="1"/>
      <c r="X833" s="1"/>
      <c r="Y833" s="5"/>
      <c r="Z833" s="1"/>
      <c r="AA833" s="1"/>
      <c r="AB833" s="5"/>
      <c r="AC833" s="1"/>
      <c r="AD833" s="1"/>
      <c r="AE833" s="5"/>
      <c r="AF833" s="1"/>
      <c r="AG833" s="1"/>
      <c r="AH833" s="5"/>
      <c r="AI833" s="1"/>
      <c r="AJ833" s="1"/>
      <c r="AK833" s="5"/>
      <c r="AL833" s="1"/>
      <c r="AM833" s="1"/>
      <c r="AN833" s="5"/>
      <c r="AO833" s="1"/>
      <c r="AP833" s="1"/>
      <c r="AQ833" s="5"/>
      <c r="AR833" s="1"/>
      <c r="AS833" s="1"/>
      <c r="AT833" s="5"/>
      <c r="AU833" s="1"/>
      <c r="AV833" s="1"/>
      <c r="AW833" s="5"/>
      <c r="AX833" s="3"/>
      <c r="AY833" s="3"/>
      <c r="AZ833" s="2"/>
      <c r="BA833" s="3"/>
      <c r="BB833" s="3"/>
      <c r="BC833" s="973"/>
      <c r="BD833" s="3"/>
      <c r="BE833" s="3"/>
      <c r="BF833" s="973"/>
      <c r="BG833" s="3"/>
      <c r="BH833" s="3"/>
      <c r="BI833" s="978"/>
      <c r="BJ833" s="115"/>
      <c r="BK833" s="115"/>
      <c r="BL833" s="116"/>
      <c r="BM833" s="115"/>
      <c r="BN833" s="115"/>
      <c r="BO833" s="116"/>
      <c r="BP833" s="115"/>
      <c r="BQ833" s="115"/>
      <c r="BR833" s="116"/>
      <c r="BS833" s="8"/>
      <c r="BT833" s="8"/>
      <c r="BU833" s="187"/>
      <c r="BV833" s="8"/>
      <c r="BW833" s="8"/>
      <c r="BX833" s="187"/>
      <c r="BY833" s="8"/>
      <c r="BZ833" s="8"/>
      <c r="CA833" s="187"/>
      <c r="CB833" s="8"/>
      <c r="CC833" s="8"/>
      <c r="CD833" s="187"/>
      <c r="CE833" s="8"/>
      <c r="CF833" s="8"/>
      <c r="CG833" s="187"/>
      <c r="CH833" s="8"/>
      <c r="CI833" s="8"/>
      <c r="CJ833" s="187"/>
      <c r="CK833" s="8"/>
      <c r="CL833" s="8"/>
      <c r="CM833" s="187"/>
      <c r="CN833" s="8"/>
      <c r="CO833" s="8"/>
      <c r="CP833" s="187"/>
      <c r="CQ833" s="8"/>
      <c r="CR833" s="8"/>
      <c r="CS833" s="187"/>
      <c r="CT833" s="8"/>
      <c r="CU833" s="8"/>
      <c r="CV833" s="187"/>
      <c r="CW833" s="8"/>
      <c r="CX833" s="8"/>
      <c r="CY833" s="187"/>
      <c r="CZ833" s="8"/>
      <c r="DA833" s="8"/>
      <c r="DB833" s="187"/>
      <c r="DC833" s="8"/>
      <c r="DD833" s="8"/>
      <c r="DE833" s="187"/>
      <c r="DF833" s="8"/>
      <c r="DG833" s="8"/>
      <c r="DH833" s="187"/>
      <c r="DI833" s="8"/>
      <c r="DJ833" s="8"/>
      <c r="DK833" s="187"/>
      <c r="DL833" s="8"/>
      <c r="DM833" s="8"/>
      <c r="DN833" s="187"/>
      <c r="DO833" s="8"/>
      <c r="DP833" s="8"/>
      <c r="DQ833" s="187"/>
      <c r="DR833" s="8"/>
      <c r="DS833" s="8"/>
      <c r="DT833" s="187"/>
      <c r="DU833" s="8"/>
      <c r="DV833" s="8"/>
      <c r="DW833" s="187"/>
      <c r="DX833" s="8"/>
      <c r="DY833" s="8"/>
      <c r="DZ833" s="187"/>
      <c r="EA833" s="8"/>
      <c r="EB833" s="8"/>
      <c r="EC833" s="187"/>
      <c r="ED833" s="8"/>
      <c r="EE833" s="8"/>
      <c r="EF833" s="187"/>
      <c r="EG833" s="8"/>
      <c r="EH833" s="8"/>
      <c r="EI833" s="187"/>
      <c r="EJ833" s="8"/>
      <c r="EK833" s="8"/>
      <c r="EL833" s="187"/>
      <c r="EM833" s="8"/>
      <c r="EN833" s="8"/>
      <c r="EO833" s="187"/>
      <c r="EP833" s="8"/>
      <c r="EQ833" s="8"/>
      <c r="ER833" s="187"/>
      <c r="ES833" s="8"/>
      <c r="ET833" s="8"/>
      <c r="EU833" s="187"/>
      <c r="EV833" s="8"/>
      <c r="EW833" s="8"/>
      <c r="EX833" s="187"/>
      <c r="EY833" s="8"/>
      <c r="EZ833" s="8"/>
      <c r="FA833" s="187"/>
      <c r="FH833" s="35"/>
      <c r="FI833" s="35"/>
      <c r="FJ833" s="35"/>
      <c r="FK833" s="35"/>
      <c r="FL833" s="35"/>
      <c r="FM833" s="35"/>
      <c r="FN833" s="35"/>
      <c r="FO833" s="35"/>
      <c r="FP833" s="35"/>
      <c r="FQ833" s="35"/>
    </row>
    <row r="834" spans="1:173" s="321" customFormat="1" hidden="1" outlineLevel="1">
      <c r="A834" s="1168"/>
      <c r="B834" s="186"/>
      <c r="C834" s="186" t="s">
        <v>316</v>
      </c>
      <c r="D834" s="910"/>
      <c r="E834" s="1"/>
      <c r="F834" s="1"/>
      <c r="G834" s="5"/>
      <c r="H834" s="1"/>
      <c r="I834" s="1"/>
      <c r="J834" s="5"/>
      <c r="K834" s="1"/>
      <c r="L834" s="1"/>
      <c r="M834" s="5"/>
      <c r="N834" s="1"/>
      <c r="O834" s="1"/>
      <c r="P834" s="5"/>
      <c r="Q834" s="1"/>
      <c r="R834" s="1"/>
      <c r="S834" s="5"/>
      <c r="T834" s="1"/>
      <c r="U834" s="1"/>
      <c r="V834" s="5"/>
      <c r="W834" s="1"/>
      <c r="X834" s="1"/>
      <c r="Y834" s="5"/>
      <c r="Z834" s="1"/>
      <c r="AA834" s="1"/>
      <c r="AB834" s="5"/>
      <c r="AC834" s="1"/>
      <c r="AD834" s="1"/>
      <c r="AE834" s="5"/>
      <c r="AF834" s="1"/>
      <c r="AG834" s="1"/>
      <c r="AH834" s="5"/>
      <c r="AI834" s="1"/>
      <c r="AJ834" s="1"/>
      <c r="AK834" s="5"/>
      <c r="AL834" s="1"/>
      <c r="AM834" s="1"/>
      <c r="AN834" s="5"/>
      <c r="AO834" s="1"/>
      <c r="AP834" s="1"/>
      <c r="AQ834" s="5"/>
      <c r="AR834" s="1"/>
      <c r="AS834" s="1"/>
      <c r="AT834" s="5"/>
      <c r="AU834" s="1"/>
      <c r="AV834" s="1"/>
      <c r="AW834" s="25">
        <v>5.8999999999999997E-2</v>
      </c>
      <c r="AX834" s="185">
        <v>9.4999999999999998E-3</v>
      </c>
      <c r="AY834" s="185">
        <f>AX834+((AZ834-AX834)/2)</f>
        <v>9.7802500000000007E-3</v>
      </c>
      <c r="AZ834" s="185">
        <f>AX834*(1+AW834)</f>
        <v>1.00605E-2</v>
      </c>
      <c r="BA834" s="4">
        <f>AZ834+((BC834-AZ834)/2)</f>
        <v>1.0357284750000001E-2</v>
      </c>
      <c r="BB834" s="4">
        <f>BA834</f>
        <v>1.0357284750000001E-2</v>
      </c>
      <c r="BC834" s="971">
        <f>AZ834*(1+$AW834)</f>
        <v>1.06540695E-2</v>
      </c>
      <c r="BD834" s="4">
        <f>BC834+((BF834-BC834)/2)</f>
        <v>1.096836455025E-2</v>
      </c>
      <c r="BE834" s="4">
        <f>BD834</f>
        <v>1.096836455025E-2</v>
      </c>
      <c r="BF834" s="971">
        <f>BC834*(1+$AW834)</f>
        <v>1.1282659600499999E-2</v>
      </c>
      <c r="BG834" s="4">
        <f>BF834+((BI834-BF834)/2)</f>
        <v>1.1615498058714748E-2</v>
      </c>
      <c r="BH834" s="4">
        <f>BG834</f>
        <v>1.1615498058714748E-2</v>
      </c>
      <c r="BI834" s="971">
        <f>BF834*(1+$AW834)</f>
        <v>1.1948336516929498E-2</v>
      </c>
      <c r="BJ834" s="121">
        <f>BI834+((BL834-BI834)/2)</f>
        <v>1.2300812444178917E-2</v>
      </c>
      <c r="BK834" s="121">
        <f>BJ834</f>
        <v>1.2300812444178917E-2</v>
      </c>
      <c r="BL834" s="114">
        <f>BI834*(1+$AW834)</f>
        <v>1.2653288371428338E-2</v>
      </c>
      <c r="BM834" s="121">
        <f>BL834+((BO834-BL834)/2)</f>
        <v>1.3026560378385474E-2</v>
      </c>
      <c r="BN834" s="121">
        <f>BM834</f>
        <v>1.3026560378385474E-2</v>
      </c>
      <c r="BO834" s="114">
        <f>BL834*(1+$AW834)</f>
        <v>1.3399832385342609E-2</v>
      </c>
      <c r="BP834" s="121">
        <f>BO834+((BR834-BO834)/2)</f>
        <v>1.3795127440710216E-2</v>
      </c>
      <c r="BQ834" s="121">
        <f>BP834</f>
        <v>1.3795127440710216E-2</v>
      </c>
      <c r="BR834" s="114">
        <f>BO834*(1+$AW834)</f>
        <v>1.4190422496077822E-2</v>
      </c>
      <c r="BS834" s="4">
        <f>BR834+((BU834-BR834)/2)</f>
        <v>1.4609039959712118E-2</v>
      </c>
      <c r="BT834" s="4">
        <f>BS834</f>
        <v>1.4609039959712118E-2</v>
      </c>
      <c r="BU834" s="185">
        <f>BR834*(1+$AW834)</f>
        <v>1.5027657423346413E-2</v>
      </c>
      <c r="BV834" s="4">
        <f>BU834+((BX834-BU834)/2)</f>
        <v>1.5470973317335133E-2</v>
      </c>
      <c r="BW834" s="4">
        <f>BV834</f>
        <v>1.5470973317335133E-2</v>
      </c>
      <c r="BX834" s="185">
        <f>BU834*(1+$AW834)</f>
        <v>1.5914289211323852E-2</v>
      </c>
      <c r="BY834" s="4">
        <f>BX834+((CA834-BX834)/2)</f>
        <v>1.6383760743057904E-2</v>
      </c>
      <c r="BZ834" s="4">
        <f>BY834</f>
        <v>1.6383760743057904E-2</v>
      </c>
      <c r="CA834" s="185">
        <f>BX834*(1+$AW834)</f>
        <v>1.6853232274791959E-2</v>
      </c>
      <c r="CB834" s="4">
        <f>CA834+((CD834-CA834)/2)</f>
        <v>1.7350402626898322E-2</v>
      </c>
      <c r="CC834" s="4">
        <f>CB834</f>
        <v>1.7350402626898322E-2</v>
      </c>
      <c r="CD834" s="185">
        <f>CA834*(1+$AW834)</f>
        <v>1.7847572979004685E-2</v>
      </c>
      <c r="CE834" s="4">
        <f>CD834+((CG834-CD834)/2)</f>
        <v>1.8374076381885325E-2</v>
      </c>
      <c r="CF834" s="4">
        <f>CE834</f>
        <v>1.8374076381885325E-2</v>
      </c>
      <c r="CG834" s="185">
        <f>CD834*(1+$AW834)</f>
        <v>1.8900579784765961E-2</v>
      </c>
      <c r="CH834" s="4">
        <f>CG834+((CJ834-CG834)/2)</f>
        <v>1.9458146888416558E-2</v>
      </c>
      <c r="CI834" s="4">
        <f>CH834</f>
        <v>1.9458146888416558E-2</v>
      </c>
      <c r="CJ834" s="185">
        <f>CG834*(1+$AW834)</f>
        <v>2.0015713992067152E-2</v>
      </c>
      <c r="CK834" s="4">
        <f>CJ834+((CM834-CJ834)/2)</f>
        <v>2.0606177554833134E-2</v>
      </c>
      <c r="CL834" s="4">
        <f>CK834</f>
        <v>2.0606177554833134E-2</v>
      </c>
      <c r="CM834" s="185">
        <f>CJ834*(1+$AW834)</f>
        <v>2.1196641117599113E-2</v>
      </c>
      <c r="CN834" s="4">
        <f>CM834+((CP834-CM834)/2)</f>
        <v>2.1821942030568288E-2</v>
      </c>
      <c r="CO834" s="4">
        <f>CN834</f>
        <v>2.1821942030568288E-2</v>
      </c>
      <c r="CP834" s="185">
        <f>CM834*(1+$AW834)</f>
        <v>2.2447242943537459E-2</v>
      </c>
      <c r="CQ834" s="4">
        <f>CP834+((CS834-CP834)/2)</f>
        <v>2.3109436610371813E-2</v>
      </c>
      <c r="CR834" s="4">
        <f>CQ834</f>
        <v>2.3109436610371813E-2</v>
      </c>
      <c r="CS834" s="185">
        <f>CP834*(1+$AW834)</f>
        <v>2.377163027720617E-2</v>
      </c>
      <c r="CT834" s="4">
        <f>CS834+((CV834-CS834)/2)</f>
        <v>2.447289337038375E-2</v>
      </c>
      <c r="CU834" s="4">
        <f>CT834</f>
        <v>2.447289337038375E-2</v>
      </c>
      <c r="CV834" s="185">
        <f>CS834*(1+$AW834)</f>
        <v>2.5174156463561331E-2</v>
      </c>
      <c r="CW834" s="4">
        <f>CV834+((CY834-CV834)/2)</f>
        <v>2.5916794079236388E-2</v>
      </c>
      <c r="CX834" s="4">
        <f>CW834</f>
        <v>2.5916794079236388E-2</v>
      </c>
      <c r="CY834" s="185">
        <f>CV834*(1+$AW834)</f>
        <v>2.6659431694911449E-2</v>
      </c>
      <c r="CZ834" s="4">
        <f>CY834+((DB834-CY834)/2)</f>
        <v>2.7445884929911336E-2</v>
      </c>
      <c r="DA834" s="4">
        <f>CZ834</f>
        <v>2.7445884929911336E-2</v>
      </c>
      <c r="DB834" s="185">
        <f>CY834*(1+$AW834)</f>
        <v>2.8232338164911223E-2</v>
      </c>
      <c r="DC834" s="4">
        <f>DB834+((DE834-DB834)/2)</f>
        <v>2.9065192140776103E-2</v>
      </c>
      <c r="DD834" s="4">
        <f>DC834</f>
        <v>2.9065192140776103E-2</v>
      </c>
      <c r="DE834" s="185">
        <f>DB834*(1+$AW834)</f>
        <v>2.9898046116640983E-2</v>
      </c>
      <c r="DF834" s="4">
        <f>DE834+((DH834-DE834)/2)</f>
        <v>3.0780038477081891E-2</v>
      </c>
      <c r="DG834" s="4">
        <f>DF834</f>
        <v>3.0780038477081891E-2</v>
      </c>
      <c r="DH834" s="185">
        <f>DE834*(1+$AW834)</f>
        <v>3.1662030837522802E-2</v>
      </c>
      <c r="DI834" s="4">
        <f>DH834+((DK834-DH834)/2)</f>
        <v>3.2596060747229719E-2</v>
      </c>
      <c r="DJ834" s="4">
        <f>DI834</f>
        <v>3.2596060747229719E-2</v>
      </c>
      <c r="DK834" s="185">
        <f>DH834*(1+$AW834)</f>
        <v>3.3530090656936642E-2</v>
      </c>
      <c r="DL834" s="4">
        <f>DK834+((DN834-DK834)/2)</f>
        <v>3.4519228331316272E-2</v>
      </c>
      <c r="DM834" s="4">
        <f>DL834</f>
        <v>3.4519228331316272E-2</v>
      </c>
      <c r="DN834" s="185">
        <f>DK834*(1+$AW834)</f>
        <v>3.5508366005695902E-2</v>
      </c>
      <c r="DO834" s="4">
        <f>DN834+((DQ834-DN834)/2)</f>
        <v>3.655586280286393E-2</v>
      </c>
      <c r="DP834" s="4">
        <f>DO834</f>
        <v>3.655586280286393E-2</v>
      </c>
      <c r="DQ834" s="185">
        <f>DN834*(1+$AW834)</f>
        <v>3.7603359600031958E-2</v>
      </c>
      <c r="DR834" s="4">
        <f>DQ834+((DT834-DQ834)/2)</f>
        <v>3.87126587082329E-2</v>
      </c>
      <c r="DS834" s="4">
        <f>DR834</f>
        <v>3.87126587082329E-2</v>
      </c>
      <c r="DT834" s="185">
        <f>DQ834*(1+$AW834)</f>
        <v>3.9821957816433842E-2</v>
      </c>
      <c r="DU834" s="4">
        <f>DT834+((DW834-DT834)/2)</f>
        <v>4.0996705572018635E-2</v>
      </c>
      <c r="DV834" s="4">
        <f>DU834</f>
        <v>4.0996705572018635E-2</v>
      </c>
      <c r="DW834" s="185">
        <f>DT834*(1+$AW834)</f>
        <v>4.2171453327603435E-2</v>
      </c>
      <c r="DX834" s="4">
        <f>DW834+((DZ834-DW834)/2)</f>
        <v>4.341551120076774E-2</v>
      </c>
      <c r="DY834" s="4">
        <f>DX834</f>
        <v>4.341551120076774E-2</v>
      </c>
      <c r="DZ834" s="185">
        <f>DW834*(1+$AW834)</f>
        <v>4.4659569073932037E-2</v>
      </c>
      <c r="EA834" s="4">
        <f>DZ834+((EC834-DZ834)/2)</f>
        <v>4.5977026361613035E-2</v>
      </c>
      <c r="EB834" s="4">
        <f>EA834</f>
        <v>4.5977026361613035E-2</v>
      </c>
      <c r="EC834" s="185">
        <f>DZ834*(1+$AW834)</f>
        <v>4.7294483649294027E-2</v>
      </c>
      <c r="ED834" s="4">
        <f>EC834+((EF834-EC834)/2)</f>
        <v>4.8689670916948202E-2</v>
      </c>
      <c r="EE834" s="4">
        <f>ED834</f>
        <v>4.8689670916948202E-2</v>
      </c>
      <c r="EF834" s="185">
        <f>EC834*(1+$AW834)</f>
        <v>5.0084858184602371E-2</v>
      </c>
      <c r="EG834" s="4">
        <f>EF834+((EI834-EF834)/2)</f>
        <v>5.1562361501048135E-2</v>
      </c>
      <c r="EH834" s="4">
        <f>EG834</f>
        <v>5.1562361501048135E-2</v>
      </c>
      <c r="EI834" s="185">
        <f>EF834*(1+$AW834)</f>
        <v>5.3039864817493905E-2</v>
      </c>
      <c r="EJ834" s="4">
        <f>EI834+((EL834-EI834)/2)</f>
        <v>5.4604540829609971E-2</v>
      </c>
      <c r="EK834" s="4">
        <f>EJ834</f>
        <v>5.4604540829609971E-2</v>
      </c>
      <c r="EL834" s="185">
        <f>EI834*(1+$AW834)</f>
        <v>5.6169216841726044E-2</v>
      </c>
      <c r="EM834" s="4">
        <f>EL834+((EO834-EL834)/2)</f>
        <v>5.7826208738556956E-2</v>
      </c>
      <c r="EN834" s="4">
        <f>EM834</f>
        <v>5.7826208738556956E-2</v>
      </c>
      <c r="EO834" s="185">
        <f>EL834*(1+$AW834)</f>
        <v>5.9483200635387874E-2</v>
      </c>
      <c r="EP834" s="4">
        <f>EO834+((ER834-EO834)/2)</f>
        <v>6.1237955054131821E-2</v>
      </c>
      <c r="EQ834" s="4">
        <f>EP834</f>
        <v>6.1237955054131821E-2</v>
      </c>
      <c r="ER834" s="185">
        <f>EO834*(1+$AW834)</f>
        <v>6.299270947287576E-2</v>
      </c>
      <c r="ES834" s="4">
        <f>ER834+((EU834-ER834)/2)</f>
        <v>6.4850994402325585E-2</v>
      </c>
      <c r="ET834" s="4">
        <f>ES834</f>
        <v>6.4850994402325585E-2</v>
      </c>
      <c r="EU834" s="185">
        <f>ER834*(1+$AW834)</f>
        <v>6.6709279331775423E-2</v>
      </c>
      <c r="EV834" s="4">
        <f>EU834+((EX834-EU834)/2)</f>
        <v>6.8677203072062792E-2</v>
      </c>
      <c r="EW834" s="4">
        <f>EV834</f>
        <v>6.8677203072062792E-2</v>
      </c>
      <c r="EX834" s="185">
        <f>EU834*(1+$AW834)</f>
        <v>7.0645126812350176E-2</v>
      </c>
      <c r="EY834" s="4">
        <f>EX834+((FA834-EX834)/2)</f>
        <v>7.2729158053314508E-2</v>
      </c>
      <c r="EZ834" s="4">
        <f>EY834</f>
        <v>7.2729158053314508E-2</v>
      </c>
      <c r="FA834" s="185">
        <f>EX834*(1+$AW834)</f>
        <v>7.4813189294278826E-2</v>
      </c>
      <c r="FH834" s="35"/>
      <c r="FI834" s="35"/>
      <c r="FJ834" s="35"/>
      <c r="FK834" s="35"/>
      <c r="FL834" s="35"/>
      <c r="FM834" s="35"/>
      <c r="FN834" s="35"/>
      <c r="FO834" s="35"/>
      <c r="FP834" s="35"/>
      <c r="FQ834" s="35"/>
    </row>
    <row r="835" spans="1:173" s="321" customFormat="1" hidden="1" outlineLevel="1">
      <c r="A835" s="1168"/>
      <c r="B835" s="186"/>
      <c r="C835" s="186" t="s">
        <v>317</v>
      </c>
      <c r="D835" s="910"/>
      <c r="E835" s="1"/>
      <c r="F835" s="1"/>
      <c r="G835" s="5"/>
      <c r="H835" s="1"/>
      <c r="I835" s="1"/>
      <c r="J835" s="5"/>
      <c r="K835" s="1"/>
      <c r="L835" s="1"/>
      <c r="M835" s="5"/>
      <c r="N835" s="1"/>
      <c r="O835" s="1"/>
      <c r="P835" s="5"/>
      <c r="Q835" s="1"/>
      <c r="R835" s="1"/>
      <c r="S835" s="5"/>
      <c r="T835" s="1"/>
      <c r="U835" s="1"/>
      <c r="V835" s="5"/>
      <c r="W835" s="1"/>
      <c r="X835" s="1"/>
      <c r="Y835" s="5"/>
      <c r="Z835" s="1"/>
      <c r="AA835" s="1"/>
      <c r="AB835" s="5"/>
      <c r="AC835" s="1"/>
      <c r="AD835" s="1"/>
      <c r="AE835" s="5"/>
      <c r="AF835" s="1"/>
      <c r="AG835" s="1"/>
      <c r="AH835" s="5"/>
      <c r="AI835" s="1"/>
      <c r="AJ835" s="1"/>
      <c r="AK835" s="5"/>
      <c r="AL835" s="1"/>
      <c r="AM835" s="1"/>
      <c r="AN835" s="5"/>
      <c r="AO835" s="1"/>
      <c r="AP835" s="1"/>
      <c r="AQ835" s="5"/>
      <c r="AR835" s="1"/>
      <c r="AS835" s="1"/>
      <c r="AT835" s="5"/>
      <c r="AU835" s="1"/>
      <c r="AV835" s="1"/>
      <c r="AW835" s="25">
        <v>5.8999999999999997E-2</v>
      </c>
      <c r="AX835" s="185">
        <v>9.4999999999999998E-3</v>
      </c>
      <c r="AY835" s="185">
        <f>AX835+((AZ835-AX835)/2)</f>
        <v>9.7802500000000007E-3</v>
      </c>
      <c r="AZ835" s="185">
        <f>AX835*(1+AW835)</f>
        <v>1.00605E-2</v>
      </c>
      <c r="BA835" s="4">
        <f>AZ835+((BC835-AZ835)/2)</f>
        <v>1.0357284750000001E-2</v>
      </c>
      <c r="BB835" s="4">
        <f>BA835</f>
        <v>1.0357284750000001E-2</v>
      </c>
      <c r="BC835" s="971">
        <f>AZ835*(1+$AW835)</f>
        <v>1.06540695E-2</v>
      </c>
      <c r="BD835" s="4">
        <f>BC835+((BF835-BC835)/2)</f>
        <v>1.096836455025E-2</v>
      </c>
      <c r="BE835" s="4">
        <f>BD835</f>
        <v>1.096836455025E-2</v>
      </c>
      <c r="BF835" s="971">
        <f>BC835*(1+$AW835)</f>
        <v>1.1282659600499999E-2</v>
      </c>
      <c r="BG835" s="4">
        <f>BF835+((BI835-BF835)/2)</f>
        <v>1.1615498058714748E-2</v>
      </c>
      <c r="BH835" s="4">
        <f>BG835</f>
        <v>1.1615498058714748E-2</v>
      </c>
      <c r="BI835" s="971">
        <f>BF835*(1+$AW835)</f>
        <v>1.1948336516929498E-2</v>
      </c>
      <c r="BJ835" s="121">
        <f>BI835+((BL835-BI835)/2)</f>
        <v>1.2300812444178917E-2</v>
      </c>
      <c r="BK835" s="121">
        <f>BJ835</f>
        <v>1.2300812444178917E-2</v>
      </c>
      <c r="BL835" s="114">
        <f>BI835*(1+$AW835)</f>
        <v>1.2653288371428338E-2</v>
      </c>
      <c r="BM835" s="121">
        <f>BL835+((BO835-BL835)/2)</f>
        <v>1.3026560378385474E-2</v>
      </c>
      <c r="BN835" s="121">
        <f>BM835</f>
        <v>1.3026560378385474E-2</v>
      </c>
      <c r="BO835" s="114">
        <f>BL835*(1+$AW835)</f>
        <v>1.3399832385342609E-2</v>
      </c>
      <c r="BP835" s="121">
        <f>BO835+((BR835-BO835)/2)</f>
        <v>1.3795127440710216E-2</v>
      </c>
      <c r="BQ835" s="121">
        <f>BP835</f>
        <v>1.3795127440710216E-2</v>
      </c>
      <c r="BR835" s="114">
        <f>BO835*(1+$AW835)</f>
        <v>1.4190422496077822E-2</v>
      </c>
      <c r="BS835" s="4">
        <f>BR835+((BU835-BR835)/2)</f>
        <v>1.4609039959712118E-2</v>
      </c>
      <c r="BT835" s="4">
        <f>BS835</f>
        <v>1.4609039959712118E-2</v>
      </c>
      <c r="BU835" s="185">
        <f>BR835*(1+$AW835)</f>
        <v>1.5027657423346413E-2</v>
      </c>
      <c r="BV835" s="4">
        <f>BU835+((BX835-BU835)/2)</f>
        <v>1.5470973317335133E-2</v>
      </c>
      <c r="BW835" s="4">
        <f>BV835</f>
        <v>1.5470973317335133E-2</v>
      </c>
      <c r="BX835" s="185">
        <f>BU835*(1+$AW835)</f>
        <v>1.5914289211323852E-2</v>
      </c>
      <c r="BY835" s="4">
        <f>BX835+((CA835-BX835)/2)</f>
        <v>1.6383760743057904E-2</v>
      </c>
      <c r="BZ835" s="4">
        <f>BY835</f>
        <v>1.6383760743057904E-2</v>
      </c>
      <c r="CA835" s="185">
        <f>BX835*(1+$AW835)</f>
        <v>1.6853232274791959E-2</v>
      </c>
      <c r="CB835" s="4">
        <f>CA835+((CD835-CA835)/2)</f>
        <v>1.7350402626898322E-2</v>
      </c>
      <c r="CC835" s="4">
        <f>CB835</f>
        <v>1.7350402626898322E-2</v>
      </c>
      <c r="CD835" s="185">
        <f>CA835*(1+$AW835)</f>
        <v>1.7847572979004685E-2</v>
      </c>
      <c r="CE835" s="4">
        <f>CD835+((CG835-CD835)/2)</f>
        <v>1.8374076381885325E-2</v>
      </c>
      <c r="CF835" s="4">
        <f>CE835</f>
        <v>1.8374076381885325E-2</v>
      </c>
      <c r="CG835" s="185">
        <f>CD835*(1+$AW835)</f>
        <v>1.8900579784765961E-2</v>
      </c>
      <c r="CH835" s="4">
        <f>CG835+((CJ835-CG835)/2)</f>
        <v>1.9458146888416558E-2</v>
      </c>
      <c r="CI835" s="4">
        <f>CH835</f>
        <v>1.9458146888416558E-2</v>
      </c>
      <c r="CJ835" s="185">
        <f>CG835*(1+$AW835)</f>
        <v>2.0015713992067152E-2</v>
      </c>
      <c r="CK835" s="4">
        <f>CJ835+((CM835-CJ835)/2)</f>
        <v>2.0606177554833134E-2</v>
      </c>
      <c r="CL835" s="4">
        <f>CK835</f>
        <v>2.0606177554833134E-2</v>
      </c>
      <c r="CM835" s="185">
        <f>CJ835*(1+$AW835)</f>
        <v>2.1196641117599113E-2</v>
      </c>
      <c r="CN835" s="4">
        <f>CM835+((CP835-CM835)/2)</f>
        <v>2.1821942030568288E-2</v>
      </c>
      <c r="CO835" s="4">
        <f>CN835</f>
        <v>2.1821942030568288E-2</v>
      </c>
      <c r="CP835" s="185">
        <f>CM835*(1+$AW835)</f>
        <v>2.2447242943537459E-2</v>
      </c>
      <c r="CQ835" s="4">
        <f>CP835+((CS835-CP835)/2)</f>
        <v>2.3109436610371813E-2</v>
      </c>
      <c r="CR835" s="4">
        <f>CQ835</f>
        <v>2.3109436610371813E-2</v>
      </c>
      <c r="CS835" s="185">
        <f>CP835*(1+$AW835)</f>
        <v>2.377163027720617E-2</v>
      </c>
      <c r="CT835" s="4">
        <f>CS835+((CV835-CS835)/2)</f>
        <v>2.447289337038375E-2</v>
      </c>
      <c r="CU835" s="4">
        <f>CT835</f>
        <v>2.447289337038375E-2</v>
      </c>
      <c r="CV835" s="185">
        <f>CS835*(1+$AW835)</f>
        <v>2.5174156463561331E-2</v>
      </c>
      <c r="CW835" s="4">
        <f>CV835+((CY835-CV835)/2)</f>
        <v>2.5916794079236388E-2</v>
      </c>
      <c r="CX835" s="4">
        <f>CW835</f>
        <v>2.5916794079236388E-2</v>
      </c>
      <c r="CY835" s="185">
        <f>CV835*(1+$AW835)</f>
        <v>2.6659431694911449E-2</v>
      </c>
      <c r="CZ835" s="4">
        <f>CY835+((DB835-CY835)/2)</f>
        <v>2.7445884929911336E-2</v>
      </c>
      <c r="DA835" s="4">
        <f>CZ835</f>
        <v>2.7445884929911336E-2</v>
      </c>
      <c r="DB835" s="185">
        <f>CY835*(1+$AW835)</f>
        <v>2.8232338164911223E-2</v>
      </c>
      <c r="DC835" s="4">
        <f>DB835+((DE835-DB835)/2)</f>
        <v>2.9065192140776103E-2</v>
      </c>
      <c r="DD835" s="4">
        <f>DC835</f>
        <v>2.9065192140776103E-2</v>
      </c>
      <c r="DE835" s="185">
        <f>DB835*(1+$AW835)</f>
        <v>2.9898046116640983E-2</v>
      </c>
      <c r="DF835" s="4">
        <f>DE835+((DH835-DE835)/2)</f>
        <v>3.0780038477081891E-2</v>
      </c>
      <c r="DG835" s="4">
        <f>DF835</f>
        <v>3.0780038477081891E-2</v>
      </c>
      <c r="DH835" s="185">
        <f>DE835*(1+$AW835)</f>
        <v>3.1662030837522802E-2</v>
      </c>
      <c r="DI835" s="4">
        <f>DH835+((DK835-DH835)/2)</f>
        <v>3.2596060747229719E-2</v>
      </c>
      <c r="DJ835" s="4">
        <f>DI835</f>
        <v>3.2596060747229719E-2</v>
      </c>
      <c r="DK835" s="185">
        <f>DH835*(1+$AW835)</f>
        <v>3.3530090656936642E-2</v>
      </c>
      <c r="DL835" s="4">
        <f>DK835+((DN835-DK835)/2)</f>
        <v>3.4519228331316272E-2</v>
      </c>
      <c r="DM835" s="4">
        <f>DL835</f>
        <v>3.4519228331316272E-2</v>
      </c>
      <c r="DN835" s="185">
        <f>DK835*(1+$AW835)</f>
        <v>3.5508366005695902E-2</v>
      </c>
      <c r="DO835" s="4">
        <f>DN835+((DQ835-DN835)/2)</f>
        <v>3.655586280286393E-2</v>
      </c>
      <c r="DP835" s="4">
        <f>DO835</f>
        <v>3.655586280286393E-2</v>
      </c>
      <c r="DQ835" s="185">
        <f>DN835*(1+$AW835)</f>
        <v>3.7603359600031958E-2</v>
      </c>
      <c r="DR835" s="4">
        <f>DQ835+((DT835-DQ835)/2)</f>
        <v>3.87126587082329E-2</v>
      </c>
      <c r="DS835" s="4">
        <f>DR835</f>
        <v>3.87126587082329E-2</v>
      </c>
      <c r="DT835" s="185">
        <f>DQ835*(1+$AW835)</f>
        <v>3.9821957816433842E-2</v>
      </c>
      <c r="DU835" s="4">
        <f>DT835+((DW835-DT835)/2)</f>
        <v>4.0996705572018635E-2</v>
      </c>
      <c r="DV835" s="4">
        <f>DU835</f>
        <v>4.0996705572018635E-2</v>
      </c>
      <c r="DW835" s="185">
        <f>DT835*(1+$AW835)</f>
        <v>4.2171453327603435E-2</v>
      </c>
      <c r="DX835" s="4">
        <f>DW835+((DZ835-DW835)/2)</f>
        <v>4.341551120076774E-2</v>
      </c>
      <c r="DY835" s="4">
        <f>DX835</f>
        <v>4.341551120076774E-2</v>
      </c>
      <c r="DZ835" s="185">
        <f>DW835*(1+$AW835)</f>
        <v>4.4659569073932037E-2</v>
      </c>
      <c r="EA835" s="4">
        <f>DZ835+((EC835-DZ835)/2)</f>
        <v>4.5977026361613035E-2</v>
      </c>
      <c r="EB835" s="4">
        <f>EA835</f>
        <v>4.5977026361613035E-2</v>
      </c>
      <c r="EC835" s="185">
        <f>DZ835*(1+$AW835)</f>
        <v>4.7294483649294027E-2</v>
      </c>
      <c r="ED835" s="4">
        <f>EC835+((EF835-EC835)/2)</f>
        <v>4.8689670916948202E-2</v>
      </c>
      <c r="EE835" s="4">
        <f>ED835</f>
        <v>4.8689670916948202E-2</v>
      </c>
      <c r="EF835" s="185">
        <f>EC835*(1+$AW835)</f>
        <v>5.0084858184602371E-2</v>
      </c>
      <c r="EG835" s="4">
        <f>EF835+((EI835-EF835)/2)</f>
        <v>5.1562361501048135E-2</v>
      </c>
      <c r="EH835" s="4">
        <f>EG835</f>
        <v>5.1562361501048135E-2</v>
      </c>
      <c r="EI835" s="185">
        <f>EF835*(1+$AW835)</f>
        <v>5.3039864817493905E-2</v>
      </c>
      <c r="EJ835" s="4">
        <f>EI835+((EL835-EI835)/2)</f>
        <v>5.4604540829609971E-2</v>
      </c>
      <c r="EK835" s="4">
        <f>EJ835</f>
        <v>5.4604540829609971E-2</v>
      </c>
      <c r="EL835" s="185">
        <f>EI835*(1+$AW835)</f>
        <v>5.6169216841726044E-2</v>
      </c>
      <c r="EM835" s="4">
        <f>EL835+((EO835-EL835)/2)</f>
        <v>5.7826208738556956E-2</v>
      </c>
      <c r="EN835" s="4">
        <f>EM835</f>
        <v>5.7826208738556956E-2</v>
      </c>
      <c r="EO835" s="185">
        <f>EL835*(1+$AW835)</f>
        <v>5.9483200635387874E-2</v>
      </c>
      <c r="EP835" s="4">
        <f>EO835+((ER835-EO835)/2)</f>
        <v>6.1237955054131821E-2</v>
      </c>
      <c r="EQ835" s="4">
        <f>EP835</f>
        <v>6.1237955054131821E-2</v>
      </c>
      <c r="ER835" s="185">
        <f>EO835*(1+$AW835)</f>
        <v>6.299270947287576E-2</v>
      </c>
      <c r="ES835" s="4">
        <f>ER835+((EU835-ER835)/2)</f>
        <v>6.4850994402325585E-2</v>
      </c>
      <c r="ET835" s="4">
        <f>ES835</f>
        <v>6.4850994402325585E-2</v>
      </c>
      <c r="EU835" s="185">
        <f>ER835*(1+$AW835)</f>
        <v>6.6709279331775423E-2</v>
      </c>
      <c r="EV835" s="4">
        <f>EU835+((EX835-EU835)/2)</f>
        <v>6.8677203072062792E-2</v>
      </c>
      <c r="EW835" s="4">
        <f>EV835</f>
        <v>6.8677203072062792E-2</v>
      </c>
      <c r="EX835" s="185">
        <f>EU835*(1+$AW835)</f>
        <v>7.0645126812350176E-2</v>
      </c>
      <c r="EY835" s="4">
        <f>EX835+((FA835-EX835)/2)</f>
        <v>7.2729158053314508E-2</v>
      </c>
      <c r="EZ835" s="4">
        <f>EY835</f>
        <v>7.2729158053314508E-2</v>
      </c>
      <c r="FA835" s="185">
        <f>EX835*(1+$AW835)</f>
        <v>7.4813189294278826E-2</v>
      </c>
      <c r="FH835" s="35"/>
      <c r="FI835" s="35"/>
      <c r="FJ835" s="35"/>
      <c r="FK835" s="35"/>
      <c r="FL835" s="35"/>
      <c r="FM835" s="35"/>
      <c r="FN835" s="35"/>
      <c r="FO835" s="35"/>
      <c r="FP835" s="35"/>
      <c r="FQ835" s="35"/>
    </row>
    <row r="836" spans="1:173" s="321" customFormat="1" hidden="1" outlineLevel="1">
      <c r="A836" s="1168"/>
      <c r="B836" s="186"/>
      <c r="C836" s="186" t="s">
        <v>431</v>
      </c>
      <c r="D836" s="910"/>
      <c r="E836" s="1"/>
      <c r="F836" s="1"/>
      <c r="G836" s="5"/>
      <c r="H836" s="1"/>
      <c r="I836" s="1"/>
      <c r="J836" s="5"/>
      <c r="K836" s="1"/>
      <c r="L836" s="1"/>
      <c r="M836" s="5"/>
      <c r="N836" s="1"/>
      <c r="O836" s="1"/>
      <c r="P836" s="5"/>
      <c r="Q836" s="1"/>
      <c r="R836" s="1"/>
      <c r="S836" s="5"/>
      <c r="T836" s="1"/>
      <c r="U836" s="1"/>
      <c r="V836" s="5"/>
      <c r="W836" s="1"/>
      <c r="X836" s="1"/>
      <c r="Y836" s="5"/>
      <c r="Z836" s="1"/>
      <c r="AA836" s="1"/>
      <c r="AB836" s="5"/>
      <c r="AC836" s="1"/>
      <c r="AD836" s="1"/>
      <c r="AE836" s="5"/>
      <c r="AF836" s="1"/>
      <c r="AG836" s="1"/>
      <c r="AH836" s="5"/>
      <c r="AI836" s="1"/>
      <c r="AJ836" s="1"/>
      <c r="AK836" s="5"/>
      <c r="AL836" s="1"/>
      <c r="AM836" s="1"/>
      <c r="AN836" s="5"/>
      <c r="AO836" s="1"/>
      <c r="AP836" s="1"/>
      <c r="AQ836" s="5"/>
      <c r="AR836" s="1"/>
      <c r="AS836" s="1"/>
      <c r="AT836" s="5"/>
      <c r="AU836" s="1"/>
      <c r="AV836" s="1"/>
      <c r="AW836" s="25">
        <v>5.8999999999999997E-2</v>
      </c>
      <c r="AX836" s="185">
        <v>9.4999999999999998E-3</v>
      </c>
      <c r="AY836" s="185">
        <f>AX836+((AZ836-AX836)/2)</f>
        <v>9.7802500000000007E-3</v>
      </c>
      <c r="AZ836" s="185">
        <f>AX836*(1+AW836)</f>
        <v>1.00605E-2</v>
      </c>
      <c r="BA836" s="4">
        <f>AZ836+((BC836-AZ836)/2)</f>
        <v>1.0357284750000001E-2</v>
      </c>
      <c r="BB836" s="4">
        <f>BA836</f>
        <v>1.0357284750000001E-2</v>
      </c>
      <c r="BC836" s="971">
        <f>AZ836*(1+$AW836)</f>
        <v>1.06540695E-2</v>
      </c>
      <c r="BD836" s="4">
        <f>BC836+((BF836-BC836)/2)</f>
        <v>1.096836455025E-2</v>
      </c>
      <c r="BE836" s="4">
        <f>BD836</f>
        <v>1.096836455025E-2</v>
      </c>
      <c r="BF836" s="971">
        <f>BC836*(1+$AW836)</f>
        <v>1.1282659600499999E-2</v>
      </c>
      <c r="BG836" s="4">
        <f>BF836+((BI836-BF836)/2)</f>
        <v>1.1615498058714748E-2</v>
      </c>
      <c r="BH836" s="4">
        <f>BG836</f>
        <v>1.1615498058714748E-2</v>
      </c>
      <c r="BI836" s="971">
        <f>BF836*(1+$AW836)</f>
        <v>1.1948336516929498E-2</v>
      </c>
      <c r="BJ836" s="121">
        <f>BI836+((BL836-BI836)/2)</f>
        <v>1.2300812444178917E-2</v>
      </c>
      <c r="BK836" s="121">
        <f>BJ836</f>
        <v>1.2300812444178917E-2</v>
      </c>
      <c r="BL836" s="114">
        <f>BI836*(1+$AW836)</f>
        <v>1.2653288371428338E-2</v>
      </c>
      <c r="BM836" s="121">
        <f>BL836+((BO836-BL836)/2)</f>
        <v>1.3026560378385474E-2</v>
      </c>
      <c r="BN836" s="121">
        <f>BM836</f>
        <v>1.3026560378385474E-2</v>
      </c>
      <c r="BO836" s="114">
        <f>BL836*(1+$AW836)</f>
        <v>1.3399832385342609E-2</v>
      </c>
      <c r="BP836" s="121">
        <f>BO836+((BR836-BO836)/2)</f>
        <v>1.3795127440710216E-2</v>
      </c>
      <c r="BQ836" s="121">
        <f>BP836</f>
        <v>1.3795127440710216E-2</v>
      </c>
      <c r="BR836" s="114">
        <f>BO836*(1+$AW836)</f>
        <v>1.4190422496077822E-2</v>
      </c>
      <c r="BS836" s="4">
        <f>BR836+((BU836-BR836)/2)</f>
        <v>1.4609039959712118E-2</v>
      </c>
      <c r="BT836" s="4">
        <f>BS836</f>
        <v>1.4609039959712118E-2</v>
      </c>
      <c r="BU836" s="185">
        <f>BR836*(1+$AW836)</f>
        <v>1.5027657423346413E-2</v>
      </c>
      <c r="BV836" s="4">
        <f>BU836+((BX836-BU836)/2)</f>
        <v>1.5470973317335133E-2</v>
      </c>
      <c r="BW836" s="4">
        <f>BV836</f>
        <v>1.5470973317335133E-2</v>
      </c>
      <c r="BX836" s="185">
        <f>BU836*(1+$AW836)</f>
        <v>1.5914289211323852E-2</v>
      </c>
      <c r="BY836" s="4">
        <f>BX836+((CA836-BX836)/2)</f>
        <v>1.6383760743057904E-2</v>
      </c>
      <c r="BZ836" s="4">
        <f>BY836</f>
        <v>1.6383760743057904E-2</v>
      </c>
      <c r="CA836" s="185">
        <f>BX836*(1+$AW836)</f>
        <v>1.6853232274791959E-2</v>
      </c>
      <c r="CB836" s="4">
        <f>CA836+((CD836-CA836)/2)</f>
        <v>1.7350402626898322E-2</v>
      </c>
      <c r="CC836" s="4">
        <f>CB836</f>
        <v>1.7350402626898322E-2</v>
      </c>
      <c r="CD836" s="185">
        <f>CA836*(1+$AW836)</f>
        <v>1.7847572979004685E-2</v>
      </c>
      <c r="CE836" s="4">
        <f>CD836+((CG836-CD836)/2)</f>
        <v>1.8374076381885325E-2</v>
      </c>
      <c r="CF836" s="4">
        <f>CE836</f>
        <v>1.8374076381885325E-2</v>
      </c>
      <c r="CG836" s="185">
        <f>CD836*(1+$AW836)</f>
        <v>1.8900579784765961E-2</v>
      </c>
      <c r="CH836" s="4">
        <f>CG836+((CJ836-CG836)/2)</f>
        <v>1.9458146888416558E-2</v>
      </c>
      <c r="CI836" s="4">
        <f>CH836</f>
        <v>1.9458146888416558E-2</v>
      </c>
      <c r="CJ836" s="185">
        <f>CG836*(1+$AW836)</f>
        <v>2.0015713992067152E-2</v>
      </c>
      <c r="CK836" s="4">
        <f>CJ836+((CM836-CJ836)/2)</f>
        <v>2.0606177554833134E-2</v>
      </c>
      <c r="CL836" s="4">
        <f>CK836</f>
        <v>2.0606177554833134E-2</v>
      </c>
      <c r="CM836" s="185">
        <f>CJ836*(1+$AW836)</f>
        <v>2.1196641117599113E-2</v>
      </c>
      <c r="CN836" s="4">
        <f>CM836+((CP836-CM836)/2)</f>
        <v>2.1821942030568288E-2</v>
      </c>
      <c r="CO836" s="4">
        <f>CN836</f>
        <v>2.1821942030568288E-2</v>
      </c>
      <c r="CP836" s="185">
        <f>CM836*(1+$AW836)</f>
        <v>2.2447242943537459E-2</v>
      </c>
      <c r="CQ836" s="4">
        <f>CP836+((CS836-CP836)/2)</f>
        <v>2.3109436610371813E-2</v>
      </c>
      <c r="CR836" s="4">
        <f>CQ836</f>
        <v>2.3109436610371813E-2</v>
      </c>
      <c r="CS836" s="185">
        <f>CP836*(1+$AW836)</f>
        <v>2.377163027720617E-2</v>
      </c>
      <c r="CT836" s="4">
        <f>CS836+((CV836-CS836)/2)</f>
        <v>2.447289337038375E-2</v>
      </c>
      <c r="CU836" s="4">
        <f>CT836</f>
        <v>2.447289337038375E-2</v>
      </c>
      <c r="CV836" s="185">
        <f>CS836*(1+$AW836)</f>
        <v>2.5174156463561331E-2</v>
      </c>
      <c r="CW836" s="4">
        <f>CV836+((CY836-CV836)/2)</f>
        <v>2.5916794079236388E-2</v>
      </c>
      <c r="CX836" s="4">
        <f>CW836</f>
        <v>2.5916794079236388E-2</v>
      </c>
      <c r="CY836" s="185">
        <f>CV836*(1+$AW836)</f>
        <v>2.6659431694911449E-2</v>
      </c>
      <c r="CZ836" s="4">
        <f>CY836+((DB836-CY836)/2)</f>
        <v>2.7445884929911336E-2</v>
      </c>
      <c r="DA836" s="4">
        <f>CZ836</f>
        <v>2.7445884929911336E-2</v>
      </c>
      <c r="DB836" s="185">
        <f>CY836*(1+$AW836)</f>
        <v>2.8232338164911223E-2</v>
      </c>
      <c r="DC836" s="4">
        <f>DB836+((DE836-DB836)/2)</f>
        <v>2.9065192140776103E-2</v>
      </c>
      <c r="DD836" s="4">
        <f>DC836</f>
        <v>2.9065192140776103E-2</v>
      </c>
      <c r="DE836" s="185">
        <f>DB836*(1+$AW836)</f>
        <v>2.9898046116640983E-2</v>
      </c>
      <c r="DF836" s="4">
        <f>DE836+((DH836-DE836)/2)</f>
        <v>3.0780038477081891E-2</v>
      </c>
      <c r="DG836" s="4">
        <f>DF836</f>
        <v>3.0780038477081891E-2</v>
      </c>
      <c r="DH836" s="185">
        <f>DE836*(1+$AW836)</f>
        <v>3.1662030837522802E-2</v>
      </c>
      <c r="DI836" s="4">
        <f>DH836+((DK836-DH836)/2)</f>
        <v>3.2596060747229719E-2</v>
      </c>
      <c r="DJ836" s="4">
        <f>DI836</f>
        <v>3.2596060747229719E-2</v>
      </c>
      <c r="DK836" s="185">
        <f>DH836*(1+$AW836)</f>
        <v>3.3530090656936642E-2</v>
      </c>
      <c r="DL836" s="4">
        <f>DK836+((DN836-DK836)/2)</f>
        <v>3.4519228331316272E-2</v>
      </c>
      <c r="DM836" s="4">
        <f>DL836</f>
        <v>3.4519228331316272E-2</v>
      </c>
      <c r="DN836" s="185">
        <f>DK836*(1+$AW836)</f>
        <v>3.5508366005695902E-2</v>
      </c>
      <c r="DO836" s="4">
        <f>DN836+((DQ836-DN836)/2)</f>
        <v>3.655586280286393E-2</v>
      </c>
      <c r="DP836" s="4">
        <f>DO836</f>
        <v>3.655586280286393E-2</v>
      </c>
      <c r="DQ836" s="185">
        <f>DN836*(1+$AW836)</f>
        <v>3.7603359600031958E-2</v>
      </c>
      <c r="DR836" s="4">
        <f>DQ836+((DT836-DQ836)/2)</f>
        <v>3.87126587082329E-2</v>
      </c>
      <c r="DS836" s="4">
        <f>DR836</f>
        <v>3.87126587082329E-2</v>
      </c>
      <c r="DT836" s="185">
        <f>DQ836*(1+$AW836)</f>
        <v>3.9821957816433842E-2</v>
      </c>
      <c r="DU836" s="4">
        <f>DT836+((DW836-DT836)/2)</f>
        <v>4.0996705572018635E-2</v>
      </c>
      <c r="DV836" s="4">
        <f>DU836</f>
        <v>4.0996705572018635E-2</v>
      </c>
      <c r="DW836" s="185">
        <f>DT836*(1+$AW836)</f>
        <v>4.2171453327603435E-2</v>
      </c>
      <c r="DX836" s="4">
        <f>DW836+((DZ836-DW836)/2)</f>
        <v>4.341551120076774E-2</v>
      </c>
      <c r="DY836" s="4">
        <f>DX836</f>
        <v>4.341551120076774E-2</v>
      </c>
      <c r="DZ836" s="185">
        <f>DW836*(1+$AW836)</f>
        <v>4.4659569073932037E-2</v>
      </c>
      <c r="EA836" s="4">
        <f>DZ836+((EC836-DZ836)/2)</f>
        <v>4.5977026361613035E-2</v>
      </c>
      <c r="EB836" s="4">
        <f>EA836</f>
        <v>4.5977026361613035E-2</v>
      </c>
      <c r="EC836" s="185">
        <f>DZ836*(1+$AW836)</f>
        <v>4.7294483649294027E-2</v>
      </c>
      <c r="ED836" s="4">
        <f>EC836+((EF836-EC836)/2)</f>
        <v>4.8689670916948202E-2</v>
      </c>
      <c r="EE836" s="4">
        <f>ED836</f>
        <v>4.8689670916948202E-2</v>
      </c>
      <c r="EF836" s="185">
        <f>EC836*(1+$AW836)</f>
        <v>5.0084858184602371E-2</v>
      </c>
      <c r="EG836" s="4">
        <f>EF836+((EI836-EF836)/2)</f>
        <v>5.1562361501048135E-2</v>
      </c>
      <c r="EH836" s="4">
        <f>EG836</f>
        <v>5.1562361501048135E-2</v>
      </c>
      <c r="EI836" s="185">
        <f>EF836*(1+$AW836)</f>
        <v>5.3039864817493905E-2</v>
      </c>
      <c r="EJ836" s="4">
        <f>EI836+((EL836-EI836)/2)</f>
        <v>5.4604540829609971E-2</v>
      </c>
      <c r="EK836" s="4">
        <f>EJ836</f>
        <v>5.4604540829609971E-2</v>
      </c>
      <c r="EL836" s="185">
        <f>EI836*(1+$AW836)</f>
        <v>5.6169216841726044E-2</v>
      </c>
      <c r="EM836" s="4">
        <f>EL836+((EO836-EL836)/2)</f>
        <v>5.7826208738556956E-2</v>
      </c>
      <c r="EN836" s="4">
        <f>EM836</f>
        <v>5.7826208738556956E-2</v>
      </c>
      <c r="EO836" s="185">
        <f>EL836*(1+$AW836)</f>
        <v>5.9483200635387874E-2</v>
      </c>
      <c r="EP836" s="4">
        <f>EO836+((ER836-EO836)/2)</f>
        <v>6.1237955054131821E-2</v>
      </c>
      <c r="EQ836" s="4">
        <f>EP836</f>
        <v>6.1237955054131821E-2</v>
      </c>
      <c r="ER836" s="185">
        <f>EO836*(1+$AW836)</f>
        <v>6.299270947287576E-2</v>
      </c>
      <c r="ES836" s="4">
        <f>ER836+((EU836-ER836)/2)</f>
        <v>6.4850994402325585E-2</v>
      </c>
      <c r="ET836" s="4">
        <f>ES836</f>
        <v>6.4850994402325585E-2</v>
      </c>
      <c r="EU836" s="185">
        <f>ER836*(1+$AW836)</f>
        <v>6.6709279331775423E-2</v>
      </c>
      <c r="EV836" s="4">
        <f>EU836+((EX836-EU836)/2)</f>
        <v>6.8677203072062792E-2</v>
      </c>
      <c r="EW836" s="4">
        <f>EV836</f>
        <v>6.8677203072062792E-2</v>
      </c>
      <c r="EX836" s="185">
        <f>EU836*(1+$AW836)</f>
        <v>7.0645126812350176E-2</v>
      </c>
      <c r="EY836" s="4">
        <f>EX836+((FA836-EX836)/2)</f>
        <v>7.2729158053314508E-2</v>
      </c>
      <c r="EZ836" s="4">
        <f>EY836</f>
        <v>7.2729158053314508E-2</v>
      </c>
      <c r="FA836" s="185">
        <f>EX836*(1+$AW836)</f>
        <v>7.4813189294278826E-2</v>
      </c>
      <c r="FH836" s="35"/>
      <c r="FI836" s="35"/>
      <c r="FJ836" s="35"/>
      <c r="FK836" s="35"/>
      <c r="FL836" s="35"/>
      <c r="FM836" s="35"/>
      <c r="FN836" s="35"/>
      <c r="FO836" s="35"/>
      <c r="FP836" s="35"/>
      <c r="FQ836" s="35"/>
    </row>
    <row r="837" spans="1:173" s="321" customFormat="1" hidden="1" outlineLevel="1">
      <c r="A837" s="1168"/>
      <c r="B837" s="186"/>
      <c r="C837" s="186" t="s">
        <v>327</v>
      </c>
      <c r="D837" s="910"/>
      <c r="E837" s="1"/>
      <c r="F837" s="1"/>
      <c r="G837" s="5"/>
      <c r="H837" s="1"/>
      <c r="I837" s="1"/>
      <c r="J837" s="5"/>
      <c r="K837" s="1"/>
      <c r="L837" s="1"/>
      <c r="M837" s="5"/>
      <c r="N837" s="1"/>
      <c r="O837" s="1"/>
      <c r="P837" s="5"/>
      <c r="Q837" s="1"/>
      <c r="R837" s="1"/>
      <c r="S837" s="5"/>
      <c r="T837" s="1"/>
      <c r="U837" s="1"/>
      <c r="V837" s="5"/>
      <c r="W837" s="1"/>
      <c r="X837" s="1"/>
      <c r="Y837" s="5"/>
      <c r="Z837" s="1"/>
      <c r="AA837" s="1"/>
      <c r="AB837" s="5"/>
      <c r="AC837" s="1"/>
      <c r="AD837" s="1"/>
      <c r="AE837" s="5"/>
      <c r="AF837" s="1"/>
      <c r="AG837" s="1"/>
      <c r="AH837" s="5"/>
      <c r="AI837" s="1"/>
      <c r="AJ837" s="1"/>
      <c r="AK837" s="5"/>
      <c r="AL837" s="1"/>
      <c r="AM837" s="1"/>
      <c r="AN837" s="5"/>
      <c r="AO837" s="1"/>
      <c r="AP837" s="1"/>
      <c r="AQ837" s="5"/>
      <c r="AR837" s="1"/>
      <c r="AS837" s="1"/>
      <c r="AT837" s="5"/>
      <c r="AU837" s="1"/>
      <c r="AV837" s="1"/>
      <c r="AW837" s="25">
        <v>5.8999999999999997E-2</v>
      </c>
      <c r="AX837" s="185">
        <v>9.4999999999999998E-3</v>
      </c>
      <c r="AY837" s="185">
        <f>AX837+((AZ837-AX837)/2)</f>
        <v>9.7802500000000007E-3</v>
      </c>
      <c r="AZ837" s="185">
        <f>AX837*(1+AW837)</f>
        <v>1.00605E-2</v>
      </c>
      <c r="BA837" s="4">
        <f>AZ837+((BC837-AZ837)/2)</f>
        <v>1.0357284750000001E-2</v>
      </c>
      <c r="BB837" s="4">
        <f>BA837</f>
        <v>1.0357284750000001E-2</v>
      </c>
      <c r="BC837" s="971">
        <f>AZ837*(1+$AW837)</f>
        <v>1.06540695E-2</v>
      </c>
      <c r="BD837" s="4">
        <f>BC837+((BF837-BC837)/2)</f>
        <v>1.096836455025E-2</v>
      </c>
      <c r="BE837" s="4">
        <f>BD837</f>
        <v>1.096836455025E-2</v>
      </c>
      <c r="BF837" s="971">
        <f>BC837*(1+$AW837)</f>
        <v>1.1282659600499999E-2</v>
      </c>
      <c r="BG837" s="4">
        <f>BF837+((BI837-BF837)/2)</f>
        <v>1.1615498058714748E-2</v>
      </c>
      <c r="BH837" s="4">
        <f>BG837</f>
        <v>1.1615498058714748E-2</v>
      </c>
      <c r="BI837" s="971">
        <f>BF837*(1+$AW837)</f>
        <v>1.1948336516929498E-2</v>
      </c>
      <c r="BJ837" s="121">
        <f>BI837+((BL837-BI837)/2)</f>
        <v>1.2300812444178917E-2</v>
      </c>
      <c r="BK837" s="121">
        <f>BJ837</f>
        <v>1.2300812444178917E-2</v>
      </c>
      <c r="BL837" s="114">
        <f>BI837*(1+$AW837)</f>
        <v>1.2653288371428338E-2</v>
      </c>
      <c r="BM837" s="121">
        <f>BL837+((BO837-BL837)/2)</f>
        <v>1.3026560378385474E-2</v>
      </c>
      <c r="BN837" s="121">
        <f>BM837</f>
        <v>1.3026560378385474E-2</v>
      </c>
      <c r="BO837" s="114">
        <f>BL837*(1+$AW837)</f>
        <v>1.3399832385342609E-2</v>
      </c>
      <c r="BP837" s="121">
        <f>BO837+((BR837-BO837)/2)</f>
        <v>1.3795127440710216E-2</v>
      </c>
      <c r="BQ837" s="121">
        <f>BP837</f>
        <v>1.3795127440710216E-2</v>
      </c>
      <c r="BR837" s="114">
        <f>BO837*(1+$AW837)</f>
        <v>1.4190422496077822E-2</v>
      </c>
      <c r="BS837" s="4">
        <f>BR837+((BU837-BR837)/2)</f>
        <v>1.4609039959712118E-2</v>
      </c>
      <c r="BT837" s="4">
        <f>BS837</f>
        <v>1.4609039959712118E-2</v>
      </c>
      <c r="BU837" s="185">
        <f>BR837*(1+$AW837)</f>
        <v>1.5027657423346413E-2</v>
      </c>
      <c r="BV837" s="4">
        <f>BU837+((BX837-BU837)/2)</f>
        <v>1.5470973317335133E-2</v>
      </c>
      <c r="BW837" s="4">
        <f>BV837</f>
        <v>1.5470973317335133E-2</v>
      </c>
      <c r="BX837" s="185">
        <f>BU837*(1+$AW837)</f>
        <v>1.5914289211323852E-2</v>
      </c>
      <c r="BY837" s="4">
        <f>BX837+((CA837-BX837)/2)</f>
        <v>1.6383760743057904E-2</v>
      </c>
      <c r="BZ837" s="4">
        <f>BY837</f>
        <v>1.6383760743057904E-2</v>
      </c>
      <c r="CA837" s="185">
        <f>BX837*(1+$AW837)</f>
        <v>1.6853232274791959E-2</v>
      </c>
      <c r="CB837" s="4">
        <f>CA837+((CD837-CA837)/2)</f>
        <v>1.7350402626898322E-2</v>
      </c>
      <c r="CC837" s="4">
        <f>CB837</f>
        <v>1.7350402626898322E-2</v>
      </c>
      <c r="CD837" s="185">
        <f>CA837*(1+$AW837)</f>
        <v>1.7847572979004685E-2</v>
      </c>
      <c r="CE837" s="4">
        <f>CD837+((CG837-CD837)/2)</f>
        <v>1.8374076381885325E-2</v>
      </c>
      <c r="CF837" s="4">
        <f>CE837</f>
        <v>1.8374076381885325E-2</v>
      </c>
      <c r="CG837" s="185">
        <f>CD837*(1+$AW837)</f>
        <v>1.8900579784765961E-2</v>
      </c>
      <c r="CH837" s="4">
        <f>CG837+((CJ837-CG837)/2)</f>
        <v>1.9458146888416558E-2</v>
      </c>
      <c r="CI837" s="4">
        <f>CH837</f>
        <v>1.9458146888416558E-2</v>
      </c>
      <c r="CJ837" s="185">
        <f>CG837*(1+$AW837)</f>
        <v>2.0015713992067152E-2</v>
      </c>
      <c r="CK837" s="4">
        <f>CJ837+((CM837-CJ837)/2)</f>
        <v>2.0606177554833134E-2</v>
      </c>
      <c r="CL837" s="4">
        <f>CK837</f>
        <v>2.0606177554833134E-2</v>
      </c>
      <c r="CM837" s="185">
        <f>CJ837*(1+$AW837)</f>
        <v>2.1196641117599113E-2</v>
      </c>
      <c r="CN837" s="4">
        <f>CM837+((CP837-CM837)/2)</f>
        <v>2.1821942030568288E-2</v>
      </c>
      <c r="CO837" s="4">
        <f>CN837</f>
        <v>2.1821942030568288E-2</v>
      </c>
      <c r="CP837" s="185">
        <f>CM837*(1+$AW837)</f>
        <v>2.2447242943537459E-2</v>
      </c>
      <c r="CQ837" s="4">
        <f>CP837+((CS837-CP837)/2)</f>
        <v>2.3109436610371813E-2</v>
      </c>
      <c r="CR837" s="4">
        <f>CQ837</f>
        <v>2.3109436610371813E-2</v>
      </c>
      <c r="CS837" s="185">
        <f>CP837*(1+$AW837)</f>
        <v>2.377163027720617E-2</v>
      </c>
      <c r="CT837" s="4">
        <f>CS837+((CV837-CS837)/2)</f>
        <v>2.447289337038375E-2</v>
      </c>
      <c r="CU837" s="4">
        <f>CT837</f>
        <v>2.447289337038375E-2</v>
      </c>
      <c r="CV837" s="185">
        <f>CS837*(1+$AW837)</f>
        <v>2.5174156463561331E-2</v>
      </c>
      <c r="CW837" s="4">
        <f>CV837+((CY837-CV837)/2)</f>
        <v>2.5916794079236388E-2</v>
      </c>
      <c r="CX837" s="4">
        <f>CW837</f>
        <v>2.5916794079236388E-2</v>
      </c>
      <c r="CY837" s="185">
        <f>CV837*(1+$AW837)</f>
        <v>2.6659431694911449E-2</v>
      </c>
      <c r="CZ837" s="4">
        <f>CY837+((DB837-CY837)/2)</f>
        <v>2.7445884929911336E-2</v>
      </c>
      <c r="DA837" s="4">
        <f>CZ837</f>
        <v>2.7445884929911336E-2</v>
      </c>
      <c r="DB837" s="185">
        <f>CY837*(1+$AW837)</f>
        <v>2.8232338164911223E-2</v>
      </c>
      <c r="DC837" s="4">
        <f>DB837+((DE837-DB837)/2)</f>
        <v>2.9065192140776103E-2</v>
      </c>
      <c r="DD837" s="4">
        <f>DC837</f>
        <v>2.9065192140776103E-2</v>
      </c>
      <c r="DE837" s="185">
        <f>DB837*(1+$AW837)</f>
        <v>2.9898046116640983E-2</v>
      </c>
      <c r="DF837" s="4">
        <f>DE837+((DH837-DE837)/2)</f>
        <v>3.0780038477081891E-2</v>
      </c>
      <c r="DG837" s="4">
        <f>DF837</f>
        <v>3.0780038477081891E-2</v>
      </c>
      <c r="DH837" s="185">
        <f>DE837*(1+$AW837)</f>
        <v>3.1662030837522802E-2</v>
      </c>
      <c r="DI837" s="4">
        <f>DH837+((DK837-DH837)/2)</f>
        <v>3.2596060747229719E-2</v>
      </c>
      <c r="DJ837" s="4">
        <f>DI837</f>
        <v>3.2596060747229719E-2</v>
      </c>
      <c r="DK837" s="185">
        <f>DH837*(1+$AW837)</f>
        <v>3.3530090656936642E-2</v>
      </c>
      <c r="DL837" s="4">
        <f>DK837+((DN837-DK837)/2)</f>
        <v>3.4519228331316272E-2</v>
      </c>
      <c r="DM837" s="4">
        <f>DL837</f>
        <v>3.4519228331316272E-2</v>
      </c>
      <c r="DN837" s="185">
        <f>DK837*(1+$AW837)</f>
        <v>3.5508366005695902E-2</v>
      </c>
      <c r="DO837" s="4">
        <f>DN837+((DQ837-DN837)/2)</f>
        <v>3.655586280286393E-2</v>
      </c>
      <c r="DP837" s="4">
        <f>DO837</f>
        <v>3.655586280286393E-2</v>
      </c>
      <c r="DQ837" s="185">
        <f>DN837*(1+$AW837)</f>
        <v>3.7603359600031958E-2</v>
      </c>
      <c r="DR837" s="4">
        <f>DQ837+((DT837-DQ837)/2)</f>
        <v>3.87126587082329E-2</v>
      </c>
      <c r="DS837" s="4">
        <f>DR837</f>
        <v>3.87126587082329E-2</v>
      </c>
      <c r="DT837" s="185">
        <f>DQ837*(1+$AW837)</f>
        <v>3.9821957816433842E-2</v>
      </c>
      <c r="DU837" s="4">
        <f>DT837+((DW837-DT837)/2)</f>
        <v>4.0996705572018635E-2</v>
      </c>
      <c r="DV837" s="4">
        <f>DU837</f>
        <v>4.0996705572018635E-2</v>
      </c>
      <c r="DW837" s="185">
        <f>DT837*(1+$AW837)</f>
        <v>4.2171453327603435E-2</v>
      </c>
      <c r="DX837" s="4">
        <f>DW837+((DZ837-DW837)/2)</f>
        <v>4.341551120076774E-2</v>
      </c>
      <c r="DY837" s="4">
        <f>DX837</f>
        <v>4.341551120076774E-2</v>
      </c>
      <c r="DZ837" s="185">
        <f>DW837*(1+$AW837)</f>
        <v>4.4659569073932037E-2</v>
      </c>
      <c r="EA837" s="4">
        <f>DZ837+((EC837-DZ837)/2)</f>
        <v>4.5977026361613035E-2</v>
      </c>
      <c r="EB837" s="4">
        <f>EA837</f>
        <v>4.5977026361613035E-2</v>
      </c>
      <c r="EC837" s="185">
        <f>DZ837*(1+$AW837)</f>
        <v>4.7294483649294027E-2</v>
      </c>
      <c r="ED837" s="4">
        <f>EC837+((EF837-EC837)/2)</f>
        <v>4.8689670916948202E-2</v>
      </c>
      <c r="EE837" s="4">
        <f>ED837</f>
        <v>4.8689670916948202E-2</v>
      </c>
      <c r="EF837" s="185">
        <f>EC837*(1+$AW837)</f>
        <v>5.0084858184602371E-2</v>
      </c>
      <c r="EG837" s="4">
        <f>EF837+((EI837-EF837)/2)</f>
        <v>5.1562361501048135E-2</v>
      </c>
      <c r="EH837" s="4">
        <f>EG837</f>
        <v>5.1562361501048135E-2</v>
      </c>
      <c r="EI837" s="185">
        <f>EF837*(1+$AW837)</f>
        <v>5.3039864817493905E-2</v>
      </c>
      <c r="EJ837" s="4">
        <f>EI837+((EL837-EI837)/2)</f>
        <v>5.4604540829609971E-2</v>
      </c>
      <c r="EK837" s="4">
        <f>EJ837</f>
        <v>5.4604540829609971E-2</v>
      </c>
      <c r="EL837" s="185">
        <f>EI837*(1+$AW837)</f>
        <v>5.6169216841726044E-2</v>
      </c>
      <c r="EM837" s="4">
        <f>EL837+((EO837-EL837)/2)</f>
        <v>5.7826208738556956E-2</v>
      </c>
      <c r="EN837" s="4">
        <f>EM837</f>
        <v>5.7826208738556956E-2</v>
      </c>
      <c r="EO837" s="185">
        <f>EL837*(1+$AW837)</f>
        <v>5.9483200635387874E-2</v>
      </c>
      <c r="EP837" s="4">
        <f>EO837+((ER837-EO837)/2)</f>
        <v>6.1237955054131821E-2</v>
      </c>
      <c r="EQ837" s="4">
        <f>EP837</f>
        <v>6.1237955054131821E-2</v>
      </c>
      <c r="ER837" s="185">
        <f>EO837*(1+$AW837)</f>
        <v>6.299270947287576E-2</v>
      </c>
      <c r="ES837" s="4">
        <f>ER837+((EU837-ER837)/2)</f>
        <v>6.4850994402325585E-2</v>
      </c>
      <c r="ET837" s="4">
        <f>ES837</f>
        <v>6.4850994402325585E-2</v>
      </c>
      <c r="EU837" s="185">
        <f>ER837*(1+$AW837)</f>
        <v>6.6709279331775423E-2</v>
      </c>
      <c r="EV837" s="4">
        <f>EU837+((EX837-EU837)/2)</f>
        <v>6.8677203072062792E-2</v>
      </c>
      <c r="EW837" s="4">
        <f>EV837</f>
        <v>6.8677203072062792E-2</v>
      </c>
      <c r="EX837" s="185">
        <f>EU837*(1+$AW837)</f>
        <v>7.0645126812350176E-2</v>
      </c>
      <c r="EY837" s="4">
        <f>EX837+((FA837-EX837)/2)</f>
        <v>7.2729158053314508E-2</v>
      </c>
      <c r="EZ837" s="4">
        <f>EY837</f>
        <v>7.2729158053314508E-2</v>
      </c>
      <c r="FA837" s="185">
        <f>EX837*(1+$AW837)</f>
        <v>7.4813189294278826E-2</v>
      </c>
      <c r="FH837" s="35"/>
      <c r="FI837" s="35"/>
      <c r="FJ837" s="35"/>
      <c r="FK837" s="35"/>
      <c r="FL837" s="35"/>
      <c r="FM837" s="35"/>
      <c r="FN837" s="35"/>
      <c r="FO837" s="35"/>
      <c r="FP837" s="35"/>
      <c r="FQ837" s="35"/>
    </row>
    <row r="838" spans="1:173" s="321" customFormat="1" hidden="1" outlineLevel="1">
      <c r="A838" s="1168"/>
      <c r="B838" s="186"/>
      <c r="C838" s="186"/>
      <c r="D838" s="910"/>
      <c r="E838" s="1"/>
      <c r="F838" s="1"/>
      <c r="G838" s="5"/>
      <c r="H838" s="1"/>
      <c r="I838" s="1"/>
      <c r="J838" s="5"/>
      <c r="K838" s="1"/>
      <c r="L838" s="1"/>
      <c r="M838" s="5"/>
      <c r="N838" s="1"/>
      <c r="O838" s="1"/>
      <c r="P838" s="5"/>
      <c r="Q838" s="1"/>
      <c r="R838" s="1"/>
      <c r="S838" s="5"/>
      <c r="T838" s="1"/>
      <c r="U838" s="1"/>
      <c r="V838" s="5"/>
      <c r="W838" s="1"/>
      <c r="X838" s="1"/>
      <c r="Y838" s="5"/>
      <c r="Z838" s="1"/>
      <c r="AA838" s="1"/>
      <c r="AB838" s="5"/>
      <c r="AC838" s="1"/>
      <c r="AD838" s="1"/>
      <c r="AE838" s="5"/>
      <c r="AF838" s="1"/>
      <c r="AG838" s="1"/>
      <c r="AH838" s="5"/>
      <c r="AI838" s="1"/>
      <c r="AJ838" s="1"/>
      <c r="AK838" s="5"/>
      <c r="AL838" s="1"/>
      <c r="AM838" s="1"/>
      <c r="AN838" s="5"/>
      <c r="AO838" s="1"/>
      <c r="AP838" s="1"/>
      <c r="AQ838" s="5"/>
      <c r="AR838" s="1"/>
      <c r="AS838" s="1"/>
      <c r="AT838" s="5"/>
      <c r="AU838" s="1"/>
      <c r="AV838" s="1"/>
      <c r="AW838" s="26"/>
      <c r="AX838" s="4">
        <f t="shared" ref="AX838:CC838" si="3559">SUM(AX825,AX831,AX837)</f>
        <v>0.99999999999999989</v>
      </c>
      <c r="AY838" s="4">
        <f t="shared" si="3559"/>
        <v>0.99999999999999989</v>
      </c>
      <c r="AZ838" s="4">
        <f t="shared" si="3559"/>
        <v>1</v>
      </c>
      <c r="BA838" s="4">
        <f t="shared" si="3559"/>
        <v>1</v>
      </c>
      <c r="BB838" s="4">
        <f t="shared" si="3559"/>
        <v>1</v>
      </c>
      <c r="BC838" s="57">
        <f t="shared" si="3559"/>
        <v>1</v>
      </c>
      <c r="BD838" s="4">
        <f t="shared" si="3559"/>
        <v>1</v>
      </c>
      <c r="BE838" s="4">
        <f t="shared" si="3559"/>
        <v>1</v>
      </c>
      <c r="BF838" s="57">
        <f t="shared" si="3559"/>
        <v>1</v>
      </c>
      <c r="BG838" s="4">
        <f t="shared" si="3559"/>
        <v>1</v>
      </c>
      <c r="BH838" s="4">
        <f t="shared" si="3559"/>
        <v>1</v>
      </c>
      <c r="BI838" s="57">
        <f t="shared" si="3559"/>
        <v>1</v>
      </c>
      <c r="BJ838" s="121">
        <f t="shared" si="3559"/>
        <v>1</v>
      </c>
      <c r="BK838" s="121">
        <f t="shared" si="3559"/>
        <v>1</v>
      </c>
      <c r="BL838" s="114">
        <f t="shared" si="3559"/>
        <v>1</v>
      </c>
      <c r="BM838" s="121">
        <f t="shared" si="3559"/>
        <v>1</v>
      </c>
      <c r="BN838" s="121">
        <f t="shared" si="3559"/>
        <v>1</v>
      </c>
      <c r="BO838" s="114">
        <f t="shared" si="3559"/>
        <v>1</v>
      </c>
      <c r="BP838" s="121">
        <f t="shared" si="3559"/>
        <v>1</v>
      </c>
      <c r="BQ838" s="121">
        <f t="shared" si="3559"/>
        <v>1</v>
      </c>
      <c r="BR838" s="114">
        <f t="shared" si="3559"/>
        <v>1</v>
      </c>
      <c r="BS838" s="4">
        <f t="shared" si="3559"/>
        <v>1</v>
      </c>
      <c r="BT838" s="4">
        <f t="shared" si="3559"/>
        <v>1</v>
      </c>
      <c r="BU838" s="4">
        <f t="shared" si="3559"/>
        <v>1</v>
      </c>
      <c r="BV838" s="4">
        <f t="shared" si="3559"/>
        <v>1</v>
      </c>
      <c r="BW838" s="4">
        <f t="shared" si="3559"/>
        <v>1</v>
      </c>
      <c r="BX838" s="185">
        <f t="shared" si="3559"/>
        <v>1</v>
      </c>
      <c r="BY838" s="4">
        <f t="shared" si="3559"/>
        <v>1</v>
      </c>
      <c r="BZ838" s="4">
        <f t="shared" si="3559"/>
        <v>1</v>
      </c>
      <c r="CA838" s="185">
        <f t="shared" si="3559"/>
        <v>1</v>
      </c>
      <c r="CB838" s="4">
        <f t="shared" si="3559"/>
        <v>1</v>
      </c>
      <c r="CC838" s="4">
        <f t="shared" si="3559"/>
        <v>1</v>
      </c>
      <c r="CD838" s="185">
        <f t="shared" ref="CD838:DI838" si="3560">SUM(CD825,CD831,CD837)</f>
        <v>1</v>
      </c>
      <c r="CE838" s="4">
        <f t="shared" si="3560"/>
        <v>1</v>
      </c>
      <c r="CF838" s="4">
        <f t="shared" si="3560"/>
        <v>1</v>
      </c>
      <c r="CG838" s="185">
        <f t="shared" si="3560"/>
        <v>1</v>
      </c>
      <c r="CH838" s="4">
        <f t="shared" si="3560"/>
        <v>1</v>
      </c>
      <c r="CI838" s="4">
        <f t="shared" si="3560"/>
        <v>1</v>
      </c>
      <c r="CJ838" s="185">
        <f t="shared" si="3560"/>
        <v>1</v>
      </c>
      <c r="CK838" s="4">
        <f t="shared" si="3560"/>
        <v>1</v>
      </c>
      <c r="CL838" s="4">
        <f t="shared" si="3560"/>
        <v>1</v>
      </c>
      <c r="CM838" s="185">
        <f t="shared" si="3560"/>
        <v>1</v>
      </c>
      <c r="CN838" s="4">
        <f t="shared" si="3560"/>
        <v>1</v>
      </c>
      <c r="CO838" s="4">
        <f t="shared" si="3560"/>
        <v>1</v>
      </c>
      <c r="CP838" s="185">
        <f t="shared" si="3560"/>
        <v>1</v>
      </c>
      <c r="CQ838" s="4">
        <f t="shared" si="3560"/>
        <v>1</v>
      </c>
      <c r="CR838" s="4">
        <f t="shared" si="3560"/>
        <v>1</v>
      </c>
      <c r="CS838" s="185">
        <f t="shared" si="3560"/>
        <v>1</v>
      </c>
      <c r="CT838" s="4">
        <f t="shared" si="3560"/>
        <v>1</v>
      </c>
      <c r="CU838" s="4">
        <f t="shared" si="3560"/>
        <v>1</v>
      </c>
      <c r="CV838" s="185">
        <f t="shared" si="3560"/>
        <v>1</v>
      </c>
      <c r="CW838" s="4">
        <f t="shared" si="3560"/>
        <v>1</v>
      </c>
      <c r="CX838" s="4">
        <f t="shared" si="3560"/>
        <v>1</v>
      </c>
      <c r="CY838" s="4">
        <f t="shared" si="3560"/>
        <v>0.99999999999999989</v>
      </c>
      <c r="CZ838" s="4">
        <f t="shared" si="3560"/>
        <v>1</v>
      </c>
      <c r="DA838" s="4">
        <f t="shared" si="3560"/>
        <v>1</v>
      </c>
      <c r="DB838" s="4">
        <f t="shared" si="3560"/>
        <v>1</v>
      </c>
      <c r="DC838" s="4">
        <f t="shared" si="3560"/>
        <v>1</v>
      </c>
      <c r="DD838" s="4">
        <f t="shared" si="3560"/>
        <v>1</v>
      </c>
      <c r="DE838" s="4">
        <f t="shared" si="3560"/>
        <v>1</v>
      </c>
      <c r="DF838" s="4">
        <f t="shared" si="3560"/>
        <v>1</v>
      </c>
      <c r="DG838" s="4">
        <f t="shared" si="3560"/>
        <v>1</v>
      </c>
      <c r="DH838" s="4">
        <f t="shared" si="3560"/>
        <v>1</v>
      </c>
      <c r="DI838" s="4">
        <f t="shared" si="3560"/>
        <v>1</v>
      </c>
      <c r="DJ838" s="4">
        <f t="shared" ref="DJ838:EF838" si="3561">SUM(DJ825,DJ831,DJ837)</f>
        <v>1</v>
      </c>
      <c r="DK838" s="4">
        <f t="shared" si="3561"/>
        <v>1</v>
      </c>
      <c r="DL838" s="4">
        <f t="shared" si="3561"/>
        <v>1</v>
      </c>
      <c r="DM838" s="4">
        <f t="shared" si="3561"/>
        <v>1</v>
      </c>
      <c r="DN838" s="4">
        <f t="shared" si="3561"/>
        <v>1</v>
      </c>
      <c r="DO838" s="4">
        <f t="shared" si="3561"/>
        <v>1</v>
      </c>
      <c r="DP838" s="4">
        <f t="shared" si="3561"/>
        <v>1</v>
      </c>
      <c r="DQ838" s="4">
        <f t="shared" si="3561"/>
        <v>1</v>
      </c>
      <c r="DR838" s="4">
        <f t="shared" si="3561"/>
        <v>1</v>
      </c>
      <c r="DS838" s="4">
        <f t="shared" si="3561"/>
        <v>1</v>
      </c>
      <c r="DT838" s="4">
        <f t="shared" si="3561"/>
        <v>1</v>
      </c>
      <c r="DU838" s="4">
        <f t="shared" si="3561"/>
        <v>1</v>
      </c>
      <c r="DV838" s="4">
        <f t="shared" si="3561"/>
        <v>1</v>
      </c>
      <c r="DW838" s="4">
        <f t="shared" si="3561"/>
        <v>1</v>
      </c>
      <c r="DX838" s="4">
        <f t="shared" si="3561"/>
        <v>1</v>
      </c>
      <c r="DY838" s="4">
        <f t="shared" si="3561"/>
        <v>1</v>
      </c>
      <c r="DZ838" s="4">
        <f t="shared" si="3561"/>
        <v>1</v>
      </c>
      <c r="EA838" s="4">
        <f t="shared" si="3561"/>
        <v>1</v>
      </c>
      <c r="EB838" s="4">
        <f t="shared" si="3561"/>
        <v>1</v>
      </c>
      <c r="EC838" s="4">
        <f t="shared" si="3561"/>
        <v>1.0000000000000002</v>
      </c>
      <c r="ED838" s="4">
        <f t="shared" si="3561"/>
        <v>1</v>
      </c>
      <c r="EE838" s="4">
        <f t="shared" si="3561"/>
        <v>1</v>
      </c>
      <c r="EF838" s="4">
        <f t="shared" si="3561"/>
        <v>1</v>
      </c>
      <c r="EG838" s="4">
        <f t="shared" ref="EG838:EL838" si="3562">SUM(EG825,EG831,EG837)</f>
        <v>1</v>
      </c>
      <c r="EH838" s="4">
        <f t="shared" si="3562"/>
        <v>1</v>
      </c>
      <c r="EI838" s="4">
        <f t="shared" si="3562"/>
        <v>1</v>
      </c>
      <c r="EJ838" s="4">
        <f t="shared" si="3562"/>
        <v>1</v>
      </c>
      <c r="EK838" s="4">
        <f t="shared" si="3562"/>
        <v>1</v>
      </c>
      <c r="EL838" s="4">
        <f t="shared" si="3562"/>
        <v>1</v>
      </c>
      <c r="EM838" s="4">
        <f t="shared" ref="EM838:ER838" si="3563">SUM(EM825,EM831,EM837)</f>
        <v>1</v>
      </c>
      <c r="EN838" s="4">
        <f t="shared" si="3563"/>
        <v>1</v>
      </c>
      <c r="EO838" s="4">
        <f t="shared" si="3563"/>
        <v>1</v>
      </c>
      <c r="EP838" s="4">
        <f t="shared" si="3563"/>
        <v>1</v>
      </c>
      <c r="EQ838" s="4">
        <f t="shared" si="3563"/>
        <v>1</v>
      </c>
      <c r="ER838" s="4">
        <f t="shared" si="3563"/>
        <v>1</v>
      </c>
      <c r="ES838" s="4">
        <f t="shared" ref="ES838:EX838" si="3564">SUM(ES825,ES831,ES837)</f>
        <v>1</v>
      </c>
      <c r="ET838" s="4">
        <f t="shared" si="3564"/>
        <v>1</v>
      </c>
      <c r="EU838" s="4">
        <f t="shared" si="3564"/>
        <v>1</v>
      </c>
      <c r="EV838" s="4">
        <f t="shared" si="3564"/>
        <v>1</v>
      </c>
      <c r="EW838" s="4">
        <f t="shared" si="3564"/>
        <v>1</v>
      </c>
      <c r="EX838" s="4">
        <f t="shared" si="3564"/>
        <v>1</v>
      </c>
      <c r="EY838" s="4">
        <f t="shared" ref="EY838:FA838" si="3565">SUM(EY825,EY831,EY837)</f>
        <v>1</v>
      </c>
      <c r="EZ838" s="4">
        <f t="shared" si="3565"/>
        <v>1</v>
      </c>
      <c r="FA838" s="4">
        <f t="shared" si="3565"/>
        <v>1</v>
      </c>
      <c r="FH838" s="35"/>
      <c r="FI838" s="35"/>
      <c r="FJ838" s="35"/>
      <c r="FK838" s="35"/>
      <c r="FL838" s="35"/>
      <c r="FM838" s="35"/>
      <c r="FN838" s="35"/>
      <c r="FO838" s="35"/>
      <c r="FP838" s="35"/>
      <c r="FQ838" s="35"/>
    </row>
    <row r="839" spans="1:173" s="321" customFormat="1" hidden="1" outlineLevel="1">
      <c r="A839" s="1168"/>
      <c r="B839" s="186"/>
      <c r="C839" s="331" t="s">
        <v>926</v>
      </c>
      <c r="D839" s="910"/>
      <c r="E839" s="1"/>
      <c r="F839" s="1"/>
      <c r="G839" s="5"/>
      <c r="H839" s="1"/>
      <c r="I839" s="1"/>
      <c r="J839" s="5"/>
      <c r="K839" s="1"/>
      <c r="L839" s="1"/>
      <c r="M839" s="5"/>
      <c r="N839" s="1"/>
      <c r="O839" s="1"/>
      <c r="P839" s="5"/>
      <c r="Q839" s="1"/>
      <c r="R839" s="1"/>
      <c r="S839" s="5"/>
      <c r="T839" s="1"/>
      <c r="U839" s="1"/>
      <c r="V839" s="5"/>
      <c r="W839" s="1"/>
      <c r="X839" s="1"/>
      <c r="Y839" s="5"/>
      <c r="Z839" s="1"/>
      <c r="AA839" s="1"/>
      <c r="AB839" s="5"/>
      <c r="AC839" s="1"/>
      <c r="AD839" s="1"/>
      <c r="AE839" s="5"/>
      <c r="AF839" s="1"/>
      <c r="AG839" s="1"/>
      <c r="AH839" s="5"/>
      <c r="AI839" s="1"/>
      <c r="AJ839" s="1"/>
      <c r="AK839" s="5"/>
      <c r="AL839" s="1"/>
      <c r="AM839" s="1"/>
      <c r="AN839" s="5"/>
      <c r="AO839" s="1"/>
      <c r="AP839" s="1"/>
      <c r="AQ839" s="5"/>
      <c r="AR839" s="1"/>
      <c r="AS839" s="1"/>
      <c r="AT839" s="5"/>
      <c r="AU839" s="1"/>
      <c r="AV839" s="1"/>
      <c r="AW839" s="26"/>
      <c r="AX839" s="1"/>
      <c r="AY839" s="1"/>
      <c r="AZ839" s="5"/>
      <c r="BA839" s="1"/>
      <c r="BB839" s="1"/>
      <c r="BC839" s="46"/>
      <c r="BD839" s="1"/>
      <c r="BE839" s="1"/>
      <c r="BF839" s="46"/>
      <c r="BG839" s="1"/>
      <c r="BH839" s="1"/>
      <c r="BI839" s="51"/>
      <c r="BJ839" s="115"/>
      <c r="BK839" s="115"/>
      <c r="BL839" s="116"/>
      <c r="BM839" s="115"/>
      <c r="BN839" s="115"/>
      <c r="BO839" s="116"/>
      <c r="BP839" s="115"/>
      <c r="BQ839" s="115"/>
      <c r="BR839" s="116"/>
      <c r="BS839" s="8"/>
      <c r="BT839" s="8"/>
      <c r="BU839" s="9"/>
      <c r="BV839" s="8"/>
      <c r="BW839" s="8"/>
      <c r="BX839" s="187"/>
      <c r="BY839" s="8"/>
      <c r="BZ839" s="8"/>
      <c r="CA839" s="187"/>
      <c r="CB839" s="8"/>
      <c r="CC839" s="8"/>
      <c r="CD839" s="187"/>
      <c r="CE839" s="8"/>
      <c r="CF839" s="8"/>
      <c r="CG839" s="187"/>
      <c r="CH839" s="8"/>
      <c r="CI839" s="8"/>
      <c r="CJ839" s="187"/>
      <c r="CK839" s="8"/>
      <c r="CL839" s="8"/>
      <c r="CM839" s="187"/>
      <c r="CN839" s="8"/>
      <c r="CO839" s="8"/>
      <c r="CP839" s="187"/>
      <c r="CQ839" s="8"/>
      <c r="CR839" s="8"/>
      <c r="CS839" s="187"/>
      <c r="CT839" s="8"/>
      <c r="CU839" s="8"/>
      <c r="CV839" s="187"/>
      <c r="CW839" s="8"/>
      <c r="CX839" s="8"/>
      <c r="CY839" s="9"/>
      <c r="CZ839" s="8"/>
      <c r="DA839" s="8"/>
      <c r="DB839" s="9"/>
      <c r="DC839" s="8"/>
      <c r="DD839" s="8"/>
      <c r="DE839" s="9"/>
      <c r="DF839" s="8"/>
      <c r="DG839" s="8"/>
      <c r="DH839" s="9"/>
      <c r="DI839" s="8"/>
      <c r="DJ839" s="8"/>
      <c r="DK839" s="9"/>
      <c r="DL839" s="8"/>
      <c r="DM839" s="8"/>
      <c r="DN839" s="9"/>
      <c r="DO839" s="8"/>
      <c r="DP839" s="8"/>
      <c r="DQ839" s="9"/>
      <c r="DR839" s="8"/>
      <c r="DS839" s="8"/>
      <c r="DT839" s="9"/>
      <c r="DU839" s="8"/>
      <c r="DV839" s="8"/>
      <c r="DW839" s="9"/>
      <c r="DX839" s="8"/>
      <c r="DY839" s="8"/>
      <c r="DZ839" s="9"/>
      <c r="EA839" s="8"/>
      <c r="EB839" s="8"/>
      <c r="EC839" s="9"/>
      <c r="ED839" s="8"/>
      <c r="EE839" s="8"/>
      <c r="EF839" s="9"/>
      <c r="EG839" s="8"/>
      <c r="EH839" s="8"/>
      <c r="EI839" s="9"/>
      <c r="EJ839" s="8"/>
      <c r="EK839" s="8"/>
      <c r="EL839" s="9"/>
      <c r="EM839" s="8"/>
      <c r="EN839" s="8"/>
      <c r="EO839" s="9"/>
      <c r="EP839" s="8"/>
      <c r="EQ839" s="8"/>
      <c r="ER839" s="9"/>
      <c r="ES839" s="8"/>
      <c r="ET839" s="8"/>
      <c r="EU839" s="9"/>
      <c r="EV839" s="8"/>
      <c r="EW839" s="8"/>
      <c r="EX839" s="9"/>
      <c r="EY839" s="8"/>
      <c r="EZ839" s="8"/>
      <c r="FA839" s="9"/>
      <c r="FH839" s="35"/>
      <c r="FI839" s="35"/>
      <c r="FJ839" s="35"/>
      <c r="FK839" s="35"/>
      <c r="FL839" s="35"/>
      <c r="FM839" s="35"/>
      <c r="FN839" s="35"/>
      <c r="FO839" s="35"/>
      <c r="FP839" s="35"/>
      <c r="FQ839" s="35"/>
    </row>
    <row r="840" spans="1:173" s="321" customFormat="1" hidden="1" outlineLevel="1">
      <c r="A840" s="1168"/>
      <c r="B840" s="186"/>
      <c r="C840" s="186" t="s">
        <v>316</v>
      </c>
      <c r="D840" s="910"/>
      <c r="E840" s="1"/>
      <c r="F840" s="1"/>
      <c r="G840" s="5"/>
      <c r="H840" s="1"/>
      <c r="I840" s="1"/>
      <c r="J840" s="5"/>
      <c r="K840" s="1"/>
      <c r="L840" s="1"/>
      <c r="M840" s="5"/>
      <c r="N840" s="1"/>
      <c r="O840" s="1"/>
      <c r="P840" s="5"/>
      <c r="Q840" s="1"/>
      <c r="R840" s="1"/>
      <c r="S840" s="5"/>
      <c r="T840" s="1"/>
      <c r="U840" s="1"/>
      <c r="V840" s="5"/>
      <c r="W840" s="1"/>
      <c r="X840" s="1"/>
      <c r="Y840" s="5"/>
      <c r="Z840" s="1"/>
      <c r="AA840" s="1"/>
      <c r="AB840" s="5"/>
      <c r="AC840" s="1"/>
      <c r="AD840" s="1"/>
      <c r="AE840" s="5"/>
      <c r="AF840" s="1"/>
      <c r="AG840" s="1"/>
      <c r="AH840" s="5"/>
      <c r="AI840" s="1"/>
      <c r="AJ840" s="1"/>
      <c r="AK840" s="5"/>
      <c r="AL840" s="1"/>
      <c r="AM840" s="1"/>
      <c r="AN840" s="5"/>
      <c r="AO840" s="1"/>
      <c r="AP840" s="1"/>
      <c r="AQ840" s="5"/>
      <c r="AR840" s="1"/>
      <c r="AS840" s="1"/>
      <c r="AT840" s="5"/>
      <c r="AU840" s="1"/>
      <c r="AV840" s="1"/>
      <c r="AW840" s="26"/>
      <c r="AX840" s="185">
        <f t="shared" ref="AX840:CC840" si="3566">AX822</f>
        <v>0.3</v>
      </c>
      <c r="AY840" s="185">
        <f t="shared" si="3566"/>
        <v>0.3</v>
      </c>
      <c r="AZ840" s="185">
        <f t="shared" si="3566"/>
        <v>0.3</v>
      </c>
      <c r="BA840" s="4">
        <f t="shared" si="3566"/>
        <v>0.28566000000000003</v>
      </c>
      <c r="BB840" s="4">
        <f t="shared" si="3566"/>
        <v>0.28566000000000003</v>
      </c>
      <c r="BC840" s="971">
        <f t="shared" si="3566"/>
        <v>0.28566000000000003</v>
      </c>
      <c r="BD840" s="4">
        <f t="shared" si="3566"/>
        <v>0.27200545200000004</v>
      </c>
      <c r="BE840" s="4">
        <f t="shared" si="3566"/>
        <v>0.27200545200000004</v>
      </c>
      <c r="BF840" s="971">
        <f t="shared" si="3566"/>
        <v>0.27200545200000004</v>
      </c>
      <c r="BG840" s="4">
        <f t="shared" si="3566"/>
        <v>0.25900359139440005</v>
      </c>
      <c r="BH840" s="4">
        <f t="shared" si="3566"/>
        <v>0.25900359139440005</v>
      </c>
      <c r="BI840" s="971">
        <f t="shared" si="3566"/>
        <v>0.25900359139440005</v>
      </c>
      <c r="BJ840" s="121">
        <f t="shared" si="3566"/>
        <v>0.24662321972574774</v>
      </c>
      <c r="BK840" s="121">
        <f t="shared" si="3566"/>
        <v>0.24662321972574774</v>
      </c>
      <c r="BL840" s="114">
        <f t="shared" si="3566"/>
        <v>0.24662321972574774</v>
      </c>
      <c r="BM840" s="121">
        <f t="shared" si="3566"/>
        <v>0.23483462982285702</v>
      </c>
      <c r="BN840" s="121">
        <f t="shared" si="3566"/>
        <v>0.23483462982285702</v>
      </c>
      <c r="BO840" s="114">
        <f t="shared" si="3566"/>
        <v>0.23483462982285702</v>
      </c>
      <c r="BP840" s="121">
        <f t="shared" si="3566"/>
        <v>0.22360953451732446</v>
      </c>
      <c r="BQ840" s="121">
        <f t="shared" si="3566"/>
        <v>0.22360953451732446</v>
      </c>
      <c r="BR840" s="114">
        <f t="shared" si="3566"/>
        <v>0.22360953451732446</v>
      </c>
      <c r="BS840" s="4">
        <f t="shared" si="3566"/>
        <v>0.21292099876739637</v>
      </c>
      <c r="BT840" s="4">
        <f t="shared" si="3566"/>
        <v>0.21292099876739637</v>
      </c>
      <c r="BU840" s="185">
        <f t="shared" si="3566"/>
        <v>0.21292099876739637</v>
      </c>
      <c r="BV840" s="4">
        <f t="shared" si="3566"/>
        <v>0.20274337502631484</v>
      </c>
      <c r="BW840" s="4">
        <f t="shared" si="3566"/>
        <v>0.20274337502631484</v>
      </c>
      <c r="BX840" s="185">
        <f t="shared" si="3566"/>
        <v>0.20274337502631484</v>
      </c>
      <c r="BY840" s="4">
        <f t="shared" si="3566"/>
        <v>0.193052241700057</v>
      </c>
      <c r="BZ840" s="4">
        <f t="shared" si="3566"/>
        <v>0.193052241700057</v>
      </c>
      <c r="CA840" s="185">
        <f t="shared" si="3566"/>
        <v>0.193052241700057</v>
      </c>
      <c r="CB840" s="4">
        <f t="shared" si="3566"/>
        <v>0.18382434454679428</v>
      </c>
      <c r="CC840" s="4">
        <f t="shared" si="3566"/>
        <v>0.18382434454679428</v>
      </c>
      <c r="CD840" s="185">
        <f t="shared" ref="CD840:DI840" si="3567">CD822</f>
        <v>0.18382434454679428</v>
      </c>
      <c r="CE840" s="4">
        <f t="shared" si="3567"/>
        <v>0.17503754087745751</v>
      </c>
      <c r="CF840" s="4">
        <f t="shared" si="3567"/>
        <v>0.17503754087745751</v>
      </c>
      <c r="CG840" s="185">
        <f t="shared" si="3567"/>
        <v>0.17503754087745751</v>
      </c>
      <c r="CH840" s="4">
        <f t="shared" si="3567"/>
        <v>0.16667074642351506</v>
      </c>
      <c r="CI840" s="4">
        <f t="shared" si="3567"/>
        <v>0.16667074642351506</v>
      </c>
      <c r="CJ840" s="185">
        <f t="shared" si="3567"/>
        <v>0.16667074642351506</v>
      </c>
      <c r="CK840" s="4">
        <f t="shared" si="3567"/>
        <v>0.15870388474447106</v>
      </c>
      <c r="CL840" s="4">
        <f t="shared" si="3567"/>
        <v>0.15870388474447106</v>
      </c>
      <c r="CM840" s="185">
        <f t="shared" si="3567"/>
        <v>0.15870388474447106</v>
      </c>
      <c r="CN840" s="4">
        <f t="shared" si="3567"/>
        <v>0.15111783905368534</v>
      </c>
      <c r="CO840" s="4">
        <f t="shared" si="3567"/>
        <v>0.15111783905368534</v>
      </c>
      <c r="CP840" s="185">
        <f t="shared" si="3567"/>
        <v>0.15111783905368534</v>
      </c>
      <c r="CQ840" s="4">
        <f t="shared" si="3567"/>
        <v>0.14389440634691919</v>
      </c>
      <c r="CR840" s="4">
        <f t="shared" si="3567"/>
        <v>0.14389440634691919</v>
      </c>
      <c r="CS840" s="185">
        <f t="shared" si="3567"/>
        <v>0.14389440634691919</v>
      </c>
      <c r="CT840" s="4">
        <f t="shared" si="3567"/>
        <v>0.13701625372353646</v>
      </c>
      <c r="CU840" s="4">
        <f t="shared" si="3567"/>
        <v>0.13701625372353646</v>
      </c>
      <c r="CV840" s="185">
        <f t="shared" si="3567"/>
        <v>0.13701625372353646</v>
      </c>
      <c r="CW840" s="4">
        <f t="shared" si="3567"/>
        <v>0.13046687679555141</v>
      </c>
      <c r="CX840" s="4">
        <f t="shared" si="3567"/>
        <v>0.13046687679555141</v>
      </c>
      <c r="CY840" s="185">
        <f t="shared" si="3567"/>
        <v>0.13046687679555141</v>
      </c>
      <c r="CZ840" s="4">
        <f t="shared" si="3567"/>
        <v>0.12423056008472406</v>
      </c>
      <c r="DA840" s="4">
        <f t="shared" si="3567"/>
        <v>0.12423056008472406</v>
      </c>
      <c r="DB840" s="185">
        <f t="shared" si="3567"/>
        <v>0.12423056008472406</v>
      </c>
      <c r="DC840" s="4">
        <f t="shared" si="3567"/>
        <v>0.11829233931267426</v>
      </c>
      <c r="DD840" s="4">
        <f t="shared" si="3567"/>
        <v>0.11829233931267426</v>
      </c>
      <c r="DE840" s="185">
        <f t="shared" si="3567"/>
        <v>0.11829233931267426</v>
      </c>
      <c r="DF840" s="4">
        <f t="shared" si="3567"/>
        <v>0.11263796549352843</v>
      </c>
      <c r="DG840" s="4">
        <f t="shared" si="3567"/>
        <v>0.11263796549352843</v>
      </c>
      <c r="DH840" s="185">
        <f t="shared" si="3567"/>
        <v>0.11263796549352843</v>
      </c>
      <c r="DI840" s="4">
        <f t="shared" si="3567"/>
        <v>0.10725387074293778</v>
      </c>
      <c r="DJ840" s="4">
        <f t="shared" ref="DJ840:EF840" si="3568">DJ822</f>
        <v>0.10725387074293778</v>
      </c>
      <c r="DK840" s="185">
        <f t="shared" si="3568"/>
        <v>0.10725387074293778</v>
      </c>
      <c r="DL840" s="4">
        <f t="shared" si="3568"/>
        <v>0.10212713572142536</v>
      </c>
      <c r="DM840" s="4">
        <f t="shared" si="3568"/>
        <v>0.10212713572142536</v>
      </c>
      <c r="DN840" s="185">
        <f t="shared" si="3568"/>
        <v>0.10212713572142536</v>
      </c>
      <c r="DO840" s="4">
        <f t="shared" si="3568"/>
        <v>9.7245458633941226E-2</v>
      </c>
      <c r="DP840" s="4">
        <f t="shared" si="3568"/>
        <v>9.7245458633941226E-2</v>
      </c>
      <c r="DQ840" s="185">
        <f t="shared" si="3568"/>
        <v>9.7245458633941226E-2</v>
      </c>
      <c r="DR840" s="4">
        <f t="shared" si="3568"/>
        <v>9.2597125711238834E-2</v>
      </c>
      <c r="DS840" s="4">
        <f t="shared" si="3568"/>
        <v>9.2597125711238834E-2</v>
      </c>
      <c r="DT840" s="185">
        <f t="shared" si="3568"/>
        <v>9.2597125711238834E-2</v>
      </c>
      <c r="DU840" s="4">
        <f t="shared" si="3568"/>
        <v>8.8170983102241626E-2</v>
      </c>
      <c r="DV840" s="4">
        <f t="shared" si="3568"/>
        <v>8.8170983102241626E-2</v>
      </c>
      <c r="DW840" s="185">
        <f t="shared" si="3568"/>
        <v>8.8170983102241626E-2</v>
      </c>
      <c r="DX840" s="4">
        <f t="shared" si="3568"/>
        <v>8.3956410109954485E-2</v>
      </c>
      <c r="DY840" s="4">
        <f t="shared" si="3568"/>
        <v>8.3956410109954485E-2</v>
      </c>
      <c r="DZ840" s="185">
        <f t="shared" si="3568"/>
        <v>8.3956410109954485E-2</v>
      </c>
      <c r="EA840" s="4">
        <f t="shared" si="3568"/>
        <v>7.994329370669867E-2</v>
      </c>
      <c r="EB840" s="4">
        <f t="shared" si="3568"/>
        <v>7.994329370669867E-2</v>
      </c>
      <c r="EC840" s="185">
        <f t="shared" si="3568"/>
        <v>7.994329370669867E-2</v>
      </c>
      <c r="ED840" s="4">
        <f t="shared" si="3568"/>
        <v>7.6122004267518473E-2</v>
      </c>
      <c r="EE840" s="4">
        <f t="shared" si="3568"/>
        <v>7.6122004267518473E-2</v>
      </c>
      <c r="EF840" s="185">
        <f t="shared" si="3568"/>
        <v>7.6122004267518473E-2</v>
      </c>
      <c r="EG840" s="4">
        <f t="shared" ref="EG840:EL840" si="3569">EG822</f>
        <v>7.2483372463531093E-2</v>
      </c>
      <c r="EH840" s="4">
        <f t="shared" si="3569"/>
        <v>7.2483372463531093E-2</v>
      </c>
      <c r="EI840" s="185">
        <f t="shared" si="3569"/>
        <v>7.2483372463531093E-2</v>
      </c>
      <c r="EJ840" s="4">
        <f t="shared" si="3569"/>
        <v>6.9018667259774305E-2</v>
      </c>
      <c r="EK840" s="4">
        <f t="shared" si="3569"/>
        <v>6.9018667259774305E-2</v>
      </c>
      <c r="EL840" s="185">
        <f t="shared" si="3569"/>
        <v>6.9018667259774305E-2</v>
      </c>
      <c r="EM840" s="4">
        <f t="shared" ref="EM840:ER840" si="3570">EM822</f>
        <v>6.5719574964757096E-2</v>
      </c>
      <c r="EN840" s="4">
        <f t="shared" si="3570"/>
        <v>6.5719574964757096E-2</v>
      </c>
      <c r="EO840" s="185">
        <f t="shared" si="3570"/>
        <v>6.5719574964757096E-2</v>
      </c>
      <c r="EP840" s="4">
        <f t="shared" si="3570"/>
        <v>6.2578179281441715E-2</v>
      </c>
      <c r="EQ840" s="4">
        <f t="shared" si="3570"/>
        <v>6.2578179281441715E-2</v>
      </c>
      <c r="ER840" s="185">
        <f t="shared" si="3570"/>
        <v>6.2578179281441715E-2</v>
      </c>
      <c r="ES840" s="4">
        <f t="shared" ref="ES840:EX840" si="3571">ES822</f>
        <v>5.9586942311788807E-2</v>
      </c>
      <c r="ET840" s="4">
        <f t="shared" si="3571"/>
        <v>5.9586942311788807E-2</v>
      </c>
      <c r="EU840" s="185">
        <f t="shared" si="3571"/>
        <v>5.9586942311788807E-2</v>
      </c>
      <c r="EV840" s="4">
        <f t="shared" si="3571"/>
        <v>5.6738686469285302E-2</v>
      </c>
      <c r="EW840" s="4">
        <f t="shared" si="3571"/>
        <v>5.6738686469285302E-2</v>
      </c>
      <c r="EX840" s="185">
        <f t="shared" si="3571"/>
        <v>5.6738686469285302E-2</v>
      </c>
      <c r="EY840" s="4">
        <f t="shared" ref="EY840:FA840" si="3572">EY822</f>
        <v>5.4026577256053469E-2</v>
      </c>
      <c r="EZ840" s="4">
        <f t="shared" si="3572"/>
        <v>5.4026577256053469E-2</v>
      </c>
      <c r="FA840" s="185">
        <f t="shared" si="3572"/>
        <v>5.4026577256053469E-2</v>
      </c>
      <c r="FH840" s="35"/>
      <c r="FI840" s="35"/>
      <c r="FJ840" s="35"/>
      <c r="FK840" s="35"/>
      <c r="FL840" s="35"/>
      <c r="FM840" s="35"/>
      <c r="FN840" s="35"/>
      <c r="FO840" s="35"/>
      <c r="FP840" s="35"/>
      <c r="FQ840" s="35"/>
    </row>
    <row r="841" spans="1:173" s="321" customFormat="1" hidden="1" outlineLevel="1">
      <c r="A841" s="1168"/>
      <c r="B841" s="186"/>
      <c r="C841" s="186" t="s">
        <v>317</v>
      </c>
      <c r="D841" s="910"/>
      <c r="E841" s="1"/>
      <c r="F841" s="1"/>
      <c r="G841" s="5"/>
      <c r="H841" s="1"/>
      <c r="I841" s="1"/>
      <c r="J841" s="5"/>
      <c r="K841" s="1"/>
      <c r="L841" s="1"/>
      <c r="M841" s="5"/>
      <c r="N841" s="1"/>
      <c r="O841" s="1"/>
      <c r="P841" s="5"/>
      <c r="Q841" s="1"/>
      <c r="R841" s="1"/>
      <c r="S841" s="5"/>
      <c r="T841" s="1"/>
      <c r="U841" s="1"/>
      <c r="V841" s="5"/>
      <c r="W841" s="1"/>
      <c r="X841" s="1"/>
      <c r="Y841" s="5"/>
      <c r="Z841" s="1"/>
      <c r="AA841" s="1"/>
      <c r="AB841" s="5"/>
      <c r="AC841" s="1"/>
      <c r="AD841" s="1"/>
      <c r="AE841" s="5"/>
      <c r="AF841" s="1"/>
      <c r="AG841" s="1"/>
      <c r="AH841" s="5"/>
      <c r="AI841" s="1"/>
      <c r="AJ841" s="1"/>
      <c r="AK841" s="5"/>
      <c r="AL841" s="1"/>
      <c r="AM841" s="1"/>
      <c r="AN841" s="5"/>
      <c r="AO841" s="1"/>
      <c r="AP841" s="1"/>
      <c r="AQ841" s="5"/>
      <c r="AR841" s="1"/>
      <c r="AS841" s="1"/>
      <c r="AT841" s="5"/>
      <c r="AU841" s="1"/>
      <c r="AV841" s="1"/>
      <c r="AW841" s="26"/>
      <c r="AX841" s="185">
        <f t="shared" ref="AX841:CC841" si="3573">AX823</f>
        <v>0.3</v>
      </c>
      <c r="AY841" s="185">
        <f t="shared" si="3573"/>
        <v>0.3</v>
      </c>
      <c r="AZ841" s="185">
        <f t="shared" si="3573"/>
        <v>0.3</v>
      </c>
      <c r="BA841" s="4">
        <f t="shared" si="3573"/>
        <v>0.28566000000000003</v>
      </c>
      <c r="BB841" s="4">
        <f t="shared" si="3573"/>
        <v>0.28566000000000003</v>
      </c>
      <c r="BC841" s="971">
        <f t="shared" si="3573"/>
        <v>0.28566000000000003</v>
      </c>
      <c r="BD841" s="4">
        <f t="shared" si="3573"/>
        <v>0.27200545200000004</v>
      </c>
      <c r="BE841" s="4">
        <f t="shared" si="3573"/>
        <v>0.27200545200000004</v>
      </c>
      <c r="BF841" s="971">
        <f t="shared" si="3573"/>
        <v>0.27200545200000004</v>
      </c>
      <c r="BG841" s="4">
        <f t="shared" si="3573"/>
        <v>0.25900359139440005</v>
      </c>
      <c r="BH841" s="4">
        <f t="shared" si="3573"/>
        <v>0.25900359139440005</v>
      </c>
      <c r="BI841" s="971">
        <f t="shared" si="3573"/>
        <v>0.25900359139440005</v>
      </c>
      <c r="BJ841" s="121">
        <f t="shared" si="3573"/>
        <v>0.24662321972574774</v>
      </c>
      <c r="BK841" s="121">
        <f t="shared" si="3573"/>
        <v>0.24662321972574774</v>
      </c>
      <c r="BL841" s="114">
        <f t="shared" si="3573"/>
        <v>0.24662321972574774</v>
      </c>
      <c r="BM841" s="121">
        <f t="shared" si="3573"/>
        <v>0.23483462982285702</v>
      </c>
      <c r="BN841" s="121">
        <f t="shared" si="3573"/>
        <v>0.23483462982285702</v>
      </c>
      <c r="BO841" s="114">
        <f t="shared" si="3573"/>
        <v>0.23483462982285702</v>
      </c>
      <c r="BP841" s="121">
        <f t="shared" si="3573"/>
        <v>0.22360953451732446</v>
      </c>
      <c r="BQ841" s="121">
        <f t="shared" si="3573"/>
        <v>0.22360953451732446</v>
      </c>
      <c r="BR841" s="114">
        <f t="shared" si="3573"/>
        <v>0.22360953451732446</v>
      </c>
      <c r="BS841" s="4">
        <f t="shared" si="3573"/>
        <v>0.21292099876739637</v>
      </c>
      <c r="BT841" s="4">
        <f t="shared" si="3573"/>
        <v>0.21292099876739637</v>
      </c>
      <c r="BU841" s="185">
        <f t="shared" si="3573"/>
        <v>0.21292099876739637</v>
      </c>
      <c r="BV841" s="4">
        <f t="shared" si="3573"/>
        <v>0.20274337502631484</v>
      </c>
      <c r="BW841" s="4">
        <f t="shared" si="3573"/>
        <v>0.20274337502631484</v>
      </c>
      <c r="BX841" s="185">
        <f t="shared" si="3573"/>
        <v>0.20274337502631484</v>
      </c>
      <c r="BY841" s="4">
        <f t="shared" si="3573"/>
        <v>0.193052241700057</v>
      </c>
      <c r="BZ841" s="4">
        <f t="shared" si="3573"/>
        <v>0.193052241700057</v>
      </c>
      <c r="CA841" s="185">
        <f t="shared" si="3573"/>
        <v>0.193052241700057</v>
      </c>
      <c r="CB841" s="4">
        <f t="shared" si="3573"/>
        <v>0.18382434454679428</v>
      </c>
      <c r="CC841" s="4">
        <f t="shared" si="3573"/>
        <v>0.18382434454679428</v>
      </c>
      <c r="CD841" s="185">
        <f t="shared" ref="CD841:DI841" si="3574">CD823</f>
        <v>0.18382434454679428</v>
      </c>
      <c r="CE841" s="4">
        <f t="shared" si="3574"/>
        <v>0.17503754087745751</v>
      </c>
      <c r="CF841" s="4">
        <f t="shared" si="3574"/>
        <v>0.17503754087745751</v>
      </c>
      <c r="CG841" s="185">
        <f t="shared" si="3574"/>
        <v>0.17503754087745751</v>
      </c>
      <c r="CH841" s="4">
        <f t="shared" si="3574"/>
        <v>0.16667074642351506</v>
      </c>
      <c r="CI841" s="4">
        <f t="shared" si="3574"/>
        <v>0.16667074642351506</v>
      </c>
      <c r="CJ841" s="185">
        <f t="shared" si="3574"/>
        <v>0.16667074642351506</v>
      </c>
      <c r="CK841" s="4">
        <f t="shared" si="3574"/>
        <v>0.15870388474447106</v>
      </c>
      <c r="CL841" s="4">
        <f t="shared" si="3574"/>
        <v>0.15870388474447106</v>
      </c>
      <c r="CM841" s="185">
        <f t="shared" si="3574"/>
        <v>0.15870388474447106</v>
      </c>
      <c r="CN841" s="4">
        <f t="shared" si="3574"/>
        <v>0.15111783905368534</v>
      </c>
      <c r="CO841" s="4">
        <f t="shared" si="3574"/>
        <v>0.15111783905368534</v>
      </c>
      <c r="CP841" s="185">
        <f t="shared" si="3574"/>
        <v>0.15111783905368534</v>
      </c>
      <c r="CQ841" s="4">
        <f t="shared" si="3574"/>
        <v>0.14389440634691919</v>
      </c>
      <c r="CR841" s="4">
        <f t="shared" si="3574"/>
        <v>0.14389440634691919</v>
      </c>
      <c r="CS841" s="185">
        <f t="shared" si="3574"/>
        <v>0.14389440634691919</v>
      </c>
      <c r="CT841" s="4">
        <f t="shared" si="3574"/>
        <v>0.13701625372353646</v>
      </c>
      <c r="CU841" s="4">
        <f t="shared" si="3574"/>
        <v>0.13701625372353646</v>
      </c>
      <c r="CV841" s="185">
        <f t="shared" si="3574"/>
        <v>0.13701625372353646</v>
      </c>
      <c r="CW841" s="4">
        <f t="shared" si="3574"/>
        <v>0.13046687679555141</v>
      </c>
      <c r="CX841" s="4">
        <f t="shared" si="3574"/>
        <v>0.13046687679555141</v>
      </c>
      <c r="CY841" s="185">
        <f t="shared" si="3574"/>
        <v>0.13046687679555141</v>
      </c>
      <c r="CZ841" s="4">
        <f t="shared" si="3574"/>
        <v>0.12423056008472406</v>
      </c>
      <c r="DA841" s="4">
        <f t="shared" si="3574"/>
        <v>0.12423056008472406</v>
      </c>
      <c r="DB841" s="185">
        <f t="shared" si="3574"/>
        <v>0.12423056008472406</v>
      </c>
      <c r="DC841" s="4">
        <f t="shared" si="3574"/>
        <v>0.11829233931267426</v>
      </c>
      <c r="DD841" s="4">
        <f t="shared" si="3574"/>
        <v>0.11829233931267426</v>
      </c>
      <c r="DE841" s="185">
        <f t="shared" si="3574"/>
        <v>0.11829233931267426</v>
      </c>
      <c r="DF841" s="4">
        <f t="shared" si="3574"/>
        <v>0.11263796549352843</v>
      </c>
      <c r="DG841" s="4">
        <f t="shared" si="3574"/>
        <v>0.11263796549352843</v>
      </c>
      <c r="DH841" s="185">
        <f t="shared" si="3574"/>
        <v>0.11263796549352843</v>
      </c>
      <c r="DI841" s="4">
        <f t="shared" si="3574"/>
        <v>0.10725387074293778</v>
      </c>
      <c r="DJ841" s="4">
        <f t="shared" ref="DJ841:EF841" si="3575">DJ823</f>
        <v>0.10725387074293778</v>
      </c>
      <c r="DK841" s="185">
        <f t="shared" si="3575"/>
        <v>0.10725387074293778</v>
      </c>
      <c r="DL841" s="4">
        <f t="shared" si="3575"/>
        <v>0.10212713572142536</v>
      </c>
      <c r="DM841" s="4">
        <f t="shared" si="3575"/>
        <v>0.10212713572142536</v>
      </c>
      <c r="DN841" s="185">
        <f t="shared" si="3575"/>
        <v>0.10212713572142536</v>
      </c>
      <c r="DO841" s="4">
        <f t="shared" si="3575"/>
        <v>9.7245458633941226E-2</v>
      </c>
      <c r="DP841" s="4">
        <f t="shared" si="3575"/>
        <v>9.7245458633941226E-2</v>
      </c>
      <c r="DQ841" s="185">
        <f t="shared" si="3575"/>
        <v>9.7245458633941226E-2</v>
      </c>
      <c r="DR841" s="4">
        <f t="shared" si="3575"/>
        <v>9.2597125711238834E-2</v>
      </c>
      <c r="DS841" s="4">
        <f t="shared" si="3575"/>
        <v>9.2597125711238834E-2</v>
      </c>
      <c r="DT841" s="185">
        <f t="shared" si="3575"/>
        <v>9.2597125711238834E-2</v>
      </c>
      <c r="DU841" s="4">
        <f t="shared" si="3575"/>
        <v>8.8170983102241626E-2</v>
      </c>
      <c r="DV841" s="4">
        <f t="shared" si="3575"/>
        <v>8.8170983102241626E-2</v>
      </c>
      <c r="DW841" s="185">
        <f t="shared" si="3575"/>
        <v>8.8170983102241626E-2</v>
      </c>
      <c r="DX841" s="4">
        <f t="shared" si="3575"/>
        <v>8.3956410109954485E-2</v>
      </c>
      <c r="DY841" s="4">
        <f t="shared" si="3575"/>
        <v>8.3956410109954485E-2</v>
      </c>
      <c r="DZ841" s="185">
        <f t="shared" si="3575"/>
        <v>8.3956410109954485E-2</v>
      </c>
      <c r="EA841" s="4">
        <f t="shared" si="3575"/>
        <v>7.994329370669867E-2</v>
      </c>
      <c r="EB841" s="4">
        <f t="shared" si="3575"/>
        <v>7.994329370669867E-2</v>
      </c>
      <c r="EC841" s="185">
        <f t="shared" si="3575"/>
        <v>7.994329370669867E-2</v>
      </c>
      <c r="ED841" s="4">
        <f t="shared" si="3575"/>
        <v>7.6122004267518473E-2</v>
      </c>
      <c r="EE841" s="4">
        <f t="shared" si="3575"/>
        <v>7.6122004267518473E-2</v>
      </c>
      <c r="EF841" s="185">
        <f t="shared" si="3575"/>
        <v>7.6122004267518473E-2</v>
      </c>
      <c r="EG841" s="4">
        <f t="shared" ref="EG841:EL841" si="3576">EG823</f>
        <v>7.2483372463531093E-2</v>
      </c>
      <c r="EH841" s="4">
        <f t="shared" si="3576"/>
        <v>7.2483372463531093E-2</v>
      </c>
      <c r="EI841" s="185">
        <f t="shared" si="3576"/>
        <v>7.2483372463531093E-2</v>
      </c>
      <c r="EJ841" s="4">
        <f t="shared" si="3576"/>
        <v>6.9018667259774305E-2</v>
      </c>
      <c r="EK841" s="4">
        <f t="shared" si="3576"/>
        <v>6.9018667259774305E-2</v>
      </c>
      <c r="EL841" s="185">
        <f t="shared" si="3576"/>
        <v>6.9018667259774305E-2</v>
      </c>
      <c r="EM841" s="4">
        <f t="shared" ref="EM841:ER841" si="3577">EM823</f>
        <v>6.5719574964757096E-2</v>
      </c>
      <c r="EN841" s="4">
        <f t="shared" si="3577"/>
        <v>6.5719574964757096E-2</v>
      </c>
      <c r="EO841" s="185">
        <f t="shared" si="3577"/>
        <v>6.5719574964757096E-2</v>
      </c>
      <c r="EP841" s="4">
        <f t="shared" si="3577"/>
        <v>6.2578179281441715E-2</v>
      </c>
      <c r="EQ841" s="4">
        <f t="shared" si="3577"/>
        <v>6.2578179281441715E-2</v>
      </c>
      <c r="ER841" s="185">
        <f t="shared" si="3577"/>
        <v>6.2578179281441715E-2</v>
      </c>
      <c r="ES841" s="4">
        <f t="shared" ref="ES841:EX841" si="3578">ES823</f>
        <v>5.9586942311788807E-2</v>
      </c>
      <c r="ET841" s="4">
        <f t="shared" si="3578"/>
        <v>5.9586942311788807E-2</v>
      </c>
      <c r="EU841" s="185">
        <f t="shared" si="3578"/>
        <v>5.9586942311788807E-2</v>
      </c>
      <c r="EV841" s="4">
        <f t="shared" si="3578"/>
        <v>5.6738686469285302E-2</v>
      </c>
      <c r="EW841" s="4">
        <f t="shared" si="3578"/>
        <v>5.6738686469285302E-2</v>
      </c>
      <c r="EX841" s="185">
        <f t="shared" si="3578"/>
        <v>5.6738686469285302E-2</v>
      </c>
      <c r="EY841" s="4">
        <f t="shared" ref="EY841:FA841" si="3579">EY823</f>
        <v>5.4026577256053469E-2</v>
      </c>
      <c r="EZ841" s="4">
        <f t="shared" si="3579"/>
        <v>5.4026577256053469E-2</v>
      </c>
      <c r="FA841" s="185">
        <f t="shared" si="3579"/>
        <v>5.4026577256053469E-2</v>
      </c>
      <c r="FH841" s="35"/>
      <c r="FI841" s="35"/>
      <c r="FJ841" s="35"/>
      <c r="FK841" s="35"/>
      <c r="FL841" s="35"/>
      <c r="FM841" s="35"/>
      <c r="FN841" s="35"/>
      <c r="FO841" s="35"/>
      <c r="FP841" s="35"/>
      <c r="FQ841" s="35"/>
    </row>
    <row r="842" spans="1:173" s="321" customFormat="1" hidden="1" outlineLevel="1">
      <c r="A842" s="1168"/>
      <c r="B842" s="186"/>
      <c r="C842" s="186" t="s">
        <v>431</v>
      </c>
      <c r="D842" s="910"/>
      <c r="E842" s="1"/>
      <c r="F842" s="1"/>
      <c r="G842" s="5"/>
      <c r="H842" s="1"/>
      <c r="I842" s="1"/>
      <c r="J842" s="5"/>
      <c r="K842" s="1"/>
      <c r="L842" s="1"/>
      <c r="M842" s="5"/>
      <c r="N842" s="1"/>
      <c r="O842" s="1"/>
      <c r="P842" s="5"/>
      <c r="Q842" s="1"/>
      <c r="R842" s="1"/>
      <c r="S842" s="5"/>
      <c r="T842" s="1"/>
      <c r="U842" s="1"/>
      <c r="V842" s="5"/>
      <c r="W842" s="1"/>
      <c r="X842" s="1"/>
      <c r="Y842" s="5"/>
      <c r="Z842" s="1"/>
      <c r="AA842" s="1"/>
      <c r="AB842" s="5"/>
      <c r="AC842" s="1"/>
      <c r="AD842" s="1"/>
      <c r="AE842" s="5"/>
      <c r="AF842" s="1"/>
      <c r="AG842" s="1"/>
      <c r="AH842" s="5"/>
      <c r="AI842" s="1"/>
      <c r="AJ842" s="1"/>
      <c r="AK842" s="5"/>
      <c r="AL842" s="1"/>
      <c r="AM842" s="1"/>
      <c r="AN842" s="5"/>
      <c r="AO842" s="1"/>
      <c r="AP842" s="1"/>
      <c r="AQ842" s="5"/>
      <c r="AR842" s="1"/>
      <c r="AS842" s="1"/>
      <c r="AT842" s="5"/>
      <c r="AU842" s="1"/>
      <c r="AV842" s="1"/>
      <c r="AW842" s="26"/>
      <c r="AX842" s="185">
        <f t="shared" ref="AX842:CC842" si="3580">AX824</f>
        <v>0.3</v>
      </c>
      <c r="AY842" s="185">
        <f t="shared" si="3580"/>
        <v>0.3</v>
      </c>
      <c r="AZ842" s="185">
        <f t="shared" si="3580"/>
        <v>0.3</v>
      </c>
      <c r="BA842" s="4">
        <f t="shared" si="3580"/>
        <v>0.28566000000000003</v>
      </c>
      <c r="BB842" s="4">
        <f t="shared" si="3580"/>
        <v>0.28566000000000003</v>
      </c>
      <c r="BC842" s="971">
        <f t="shared" si="3580"/>
        <v>0.28566000000000003</v>
      </c>
      <c r="BD842" s="4">
        <f t="shared" si="3580"/>
        <v>0.27200545200000004</v>
      </c>
      <c r="BE842" s="4">
        <f t="shared" si="3580"/>
        <v>0.27200545200000004</v>
      </c>
      <c r="BF842" s="971">
        <f t="shared" si="3580"/>
        <v>0.27200545200000004</v>
      </c>
      <c r="BG842" s="4">
        <f t="shared" si="3580"/>
        <v>0.25900359139440005</v>
      </c>
      <c r="BH842" s="4">
        <f t="shared" si="3580"/>
        <v>0.25900359139440005</v>
      </c>
      <c r="BI842" s="971">
        <f t="shared" si="3580"/>
        <v>0.25900359139440005</v>
      </c>
      <c r="BJ842" s="121">
        <f t="shared" si="3580"/>
        <v>0.24662321972574774</v>
      </c>
      <c r="BK842" s="121">
        <f t="shared" si="3580"/>
        <v>0.24662321972574774</v>
      </c>
      <c r="BL842" s="114">
        <f t="shared" si="3580"/>
        <v>0.24662321972574774</v>
      </c>
      <c r="BM842" s="121">
        <f t="shared" si="3580"/>
        <v>0.23483462982285702</v>
      </c>
      <c r="BN842" s="121">
        <f t="shared" si="3580"/>
        <v>0.23483462982285702</v>
      </c>
      <c r="BO842" s="114">
        <f t="shared" si="3580"/>
        <v>0.23483462982285702</v>
      </c>
      <c r="BP842" s="121">
        <f t="shared" si="3580"/>
        <v>0.22360953451732446</v>
      </c>
      <c r="BQ842" s="121">
        <f t="shared" si="3580"/>
        <v>0.22360953451732446</v>
      </c>
      <c r="BR842" s="114">
        <f t="shared" si="3580"/>
        <v>0.22360953451732446</v>
      </c>
      <c r="BS842" s="4">
        <f t="shared" si="3580"/>
        <v>0.21292099876739637</v>
      </c>
      <c r="BT842" s="4">
        <f t="shared" si="3580"/>
        <v>0.21292099876739637</v>
      </c>
      <c r="BU842" s="185">
        <f t="shared" si="3580"/>
        <v>0.21292099876739637</v>
      </c>
      <c r="BV842" s="4">
        <f t="shared" si="3580"/>
        <v>0.20274337502631484</v>
      </c>
      <c r="BW842" s="4">
        <f t="shared" si="3580"/>
        <v>0.20274337502631484</v>
      </c>
      <c r="BX842" s="185">
        <f t="shared" si="3580"/>
        <v>0.20274337502631484</v>
      </c>
      <c r="BY842" s="4">
        <f t="shared" si="3580"/>
        <v>0.193052241700057</v>
      </c>
      <c r="BZ842" s="4">
        <f t="shared" si="3580"/>
        <v>0.193052241700057</v>
      </c>
      <c r="CA842" s="185">
        <f t="shared" si="3580"/>
        <v>0.193052241700057</v>
      </c>
      <c r="CB842" s="4">
        <f t="shared" si="3580"/>
        <v>0.18382434454679428</v>
      </c>
      <c r="CC842" s="4">
        <f t="shared" si="3580"/>
        <v>0.18382434454679428</v>
      </c>
      <c r="CD842" s="185">
        <f t="shared" ref="CD842:DI842" si="3581">CD824</f>
        <v>0.18382434454679428</v>
      </c>
      <c r="CE842" s="4">
        <f t="shared" si="3581"/>
        <v>0.17503754087745751</v>
      </c>
      <c r="CF842" s="4">
        <f t="shared" si="3581"/>
        <v>0.17503754087745751</v>
      </c>
      <c r="CG842" s="185">
        <f t="shared" si="3581"/>
        <v>0.17503754087745751</v>
      </c>
      <c r="CH842" s="4">
        <f t="shared" si="3581"/>
        <v>0.16667074642351506</v>
      </c>
      <c r="CI842" s="4">
        <f t="shared" si="3581"/>
        <v>0.16667074642351506</v>
      </c>
      <c r="CJ842" s="185">
        <f t="shared" si="3581"/>
        <v>0.16667074642351506</v>
      </c>
      <c r="CK842" s="4">
        <f t="shared" si="3581"/>
        <v>0.15870388474447106</v>
      </c>
      <c r="CL842" s="4">
        <f t="shared" si="3581"/>
        <v>0.15870388474447106</v>
      </c>
      <c r="CM842" s="185">
        <f t="shared" si="3581"/>
        <v>0.15870388474447106</v>
      </c>
      <c r="CN842" s="4">
        <f t="shared" si="3581"/>
        <v>0.15111783905368534</v>
      </c>
      <c r="CO842" s="4">
        <f t="shared" si="3581"/>
        <v>0.15111783905368534</v>
      </c>
      <c r="CP842" s="185">
        <f t="shared" si="3581"/>
        <v>0.15111783905368534</v>
      </c>
      <c r="CQ842" s="4">
        <f t="shared" si="3581"/>
        <v>0.14389440634691919</v>
      </c>
      <c r="CR842" s="4">
        <f t="shared" si="3581"/>
        <v>0.14389440634691919</v>
      </c>
      <c r="CS842" s="185">
        <f t="shared" si="3581"/>
        <v>0.14389440634691919</v>
      </c>
      <c r="CT842" s="4">
        <f t="shared" si="3581"/>
        <v>0.13701625372353646</v>
      </c>
      <c r="CU842" s="4">
        <f t="shared" si="3581"/>
        <v>0.13701625372353646</v>
      </c>
      <c r="CV842" s="185">
        <f t="shared" si="3581"/>
        <v>0.13701625372353646</v>
      </c>
      <c r="CW842" s="4">
        <f t="shared" si="3581"/>
        <v>0.13046687679555141</v>
      </c>
      <c r="CX842" s="4">
        <f t="shared" si="3581"/>
        <v>0.13046687679555141</v>
      </c>
      <c r="CY842" s="185">
        <f t="shared" si="3581"/>
        <v>0.13046687679555141</v>
      </c>
      <c r="CZ842" s="4">
        <f t="shared" si="3581"/>
        <v>0.12423056008472406</v>
      </c>
      <c r="DA842" s="4">
        <f t="shared" si="3581"/>
        <v>0.12423056008472406</v>
      </c>
      <c r="DB842" s="185">
        <f t="shared" si="3581"/>
        <v>0.12423056008472406</v>
      </c>
      <c r="DC842" s="4">
        <f t="shared" si="3581"/>
        <v>0.11829233931267426</v>
      </c>
      <c r="DD842" s="4">
        <f t="shared" si="3581"/>
        <v>0.11829233931267426</v>
      </c>
      <c r="DE842" s="185">
        <f t="shared" si="3581"/>
        <v>0.11829233931267426</v>
      </c>
      <c r="DF842" s="4">
        <f t="shared" si="3581"/>
        <v>0.11263796549352843</v>
      </c>
      <c r="DG842" s="4">
        <f t="shared" si="3581"/>
        <v>0.11263796549352843</v>
      </c>
      <c r="DH842" s="185">
        <f t="shared" si="3581"/>
        <v>0.11263796549352843</v>
      </c>
      <c r="DI842" s="4">
        <f t="shared" si="3581"/>
        <v>0.10725387074293778</v>
      </c>
      <c r="DJ842" s="4">
        <f t="shared" ref="DJ842:EF842" si="3582">DJ824</f>
        <v>0.10725387074293778</v>
      </c>
      <c r="DK842" s="185">
        <f t="shared" si="3582"/>
        <v>0.10725387074293778</v>
      </c>
      <c r="DL842" s="4">
        <f t="shared" si="3582"/>
        <v>0.10212713572142536</v>
      </c>
      <c r="DM842" s="4">
        <f t="shared" si="3582"/>
        <v>0.10212713572142536</v>
      </c>
      <c r="DN842" s="185">
        <f t="shared" si="3582"/>
        <v>0.10212713572142536</v>
      </c>
      <c r="DO842" s="4">
        <f t="shared" si="3582"/>
        <v>9.7245458633941226E-2</v>
      </c>
      <c r="DP842" s="4">
        <f t="shared" si="3582"/>
        <v>9.7245458633941226E-2</v>
      </c>
      <c r="DQ842" s="185">
        <f t="shared" si="3582"/>
        <v>9.7245458633941226E-2</v>
      </c>
      <c r="DR842" s="4">
        <f t="shared" si="3582"/>
        <v>9.2597125711238834E-2</v>
      </c>
      <c r="DS842" s="4">
        <f t="shared" si="3582"/>
        <v>9.2597125711238834E-2</v>
      </c>
      <c r="DT842" s="185">
        <f t="shared" si="3582"/>
        <v>9.2597125711238834E-2</v>
      </c>
      <c r="DU842" s="4">
        <f t="shared" si="3582"/>
        <v>8.8170983102241626E-2</v>
      </c>
      <c r="DV842" s="4">
        <f t="shared" si="3582"/>
        <v>8.8170983102241626E-2</v>
      </c>
      <c r="DW842" s="185">
        <f t="shared" si="3582"/>
        <v>8.8170983102241626E-2</v>
      </c>
      <c r="DX842" s="4">
        <f t="shared" si="3582"/>
        <v>8.3956410109954485E-2</v>
      </c>
      <c r="DY842" s="4">
        <f t="shared" si="3582"/>
        <v>8.3956410109954485E-2</v>
      </c>
      <c r="DZ842" s="185">
        <f t="shared" si="3582"/>
        <v>8.3956410109954485E-2</v>
      </c>
      <c r="EA842" s="4">
        <f t="shared" si="3582"/>
        <v>7.994329370669867E-2</v>
      </c>
      <c r="EB842" s="4">
        <f t="shared" si="3582"/>
        <v>7.994329370669867E-2</v>
      </c>
      <c r="EC842" s="185">
        <f t="shared" si="3582"/>
        <v>7.994329370669867E-2</v>
      </c>
      <c r="ED842" s="4">
        <f t="shared" si="3582"/>
        <v>7.6122004267518473E-2</v>
      </c>
      <c r="EE842" s="4">
        <f t="shared" si="3582"/>
        <v>7.6122004267518473E-2</v>
      </c>
      <c r="EF842" s="185">
        <f t="shared" si="3582"/>
        <v>7.6122004267518473E-2</v>
      </c>
      <c r="EG842" s="4">
        <f t="shared" ref="EG842:EL842" si="3583">EG824</f>
        <v>7.2483372463531093E-2</v>
      </c>
      <c r="EH842" s="4">
        <f t="shared" si="3583"/>
        <v>7.2483372463531093E-2</v>
      </c>
      <c r="EI842" s="185">
        <f t="shared" si="3583"/>
        <v>7.2483372463531093E-2</v>
      </c>
      <c r="EJ842" s="4">
        <f t="shared" si="3583"/>
        <v>6.9018667259774305E-2</v>
      </c>
      <c r="EK842" s="4">
        <f t="shared" si="3583"/>
        <v>6.9018667259774305E-2</v>
      </c>
      <c r="EL842" s="185">
        <f t="shared" si="3583"/>
        <v>6.9018667259774305E-2</v>
      </c>
      <c r="EM842" s="4">
        <f t="shared" ref="EM842:ER842" si="3584">EM824</f>
        <v>6.5719574964757096E-2</v>
      </c>
      <c r="EN842" s="4">
        <f t="shared" si="3584"/>
        <v>6.5719574964757096E-2</v>
      </c>
      <c r="EO842" s="185">
        <f t="shared" si="3584"/>
        <v>6.5719574964757096E-2</v>
      </c>
      <c r="EP842" s="4">
        <f t="shared" si="3584"/>
        <v>6.2578179281441715E-2</v>
      </c>
      <c r="EQ842" s="4">
        <f t="shared" si="3584"/>
        <v>6.2578179281441715E-2</v>
      </c>
      <c r="ER842" s="185">
        <f t="shared" si="3584"/>
        <v>6.2578179281441715E-2</v>
      </c>
      <c r="ES842" s="4">
        <f t="shared" ref="ES842:EX842" si="3585">ES824</f>
        <v>5.9586942311788807E-2</v>
      </c>
      <c r="ET842" s="4">
        <f t="shared" si="3585"/>
        <v>5.9586942311788807E-2</v>
      </c>
      <c r="EU842" s="185">
        <f t="shared" si="3585"/>
        <v>5.9586942311788807E-2</v>
      </c>
      <c r="EV842" s="4">
        <f t="shared" si="3585"/>
        <v>5.6738686469285302E-2</v>
      </c>
      <c r="EW842" s="4">
        <f t="shared" si="3585"/>
        <v>5.6738686469285302E-2</v>
      </c>
      <c r="EX842" s="185">
        <f t="shared" si="3585"/>
        <v>5.6738686469285302E-2</v>
      </c>
      <c r="EY842" s="4">
        <f t="shared" ref="EY842:FA842" si="3586">EY824</f>
        <v>5.4026577256053469E-2</v>
      </c>
      <c r="EZ842" s="4">
        <f t="shared" si="3586"/>
        <v>5.4026577256053469E-2</v>
      </c>
      <c r="FA842" s="185">
        <f t="shared" si="3586"/>
        <v>5.4026577256053469E-2</v>
      </c>
      <c r="FH842" s="35"/>
      <c r="FI842" s="35"/>
      <c r="FJ842" s="35"/>
      <c r="FK842" s="35"/>
      <c r="FL842" s="35"/>
      <c r="FM842" s="35"/>
      <c r="FN842" s="35"/>
      <c r="FO842" s="35"/>
      <c r="FP842" s="35"/>
      <c r="FQ842" s="35"/>
    </row>
    <row r="843" spans="1:173" s="321" customFormat="1" hidden="1" outlineLevel="1">
      <c r="A843" s="1168"/>
      <c r="B843" s="186"/>
      <c r="C843" s="186" t="s">
        <v>327</v>
      </c>
      <c r="D843" s="910"/>
      <c r="E843" s="1"/>
      <c r="F843" s="1"/>
      <c r="G843" s="5"/>
      <c r="H843" s="1"/>
      <c r="I843" s="1"/>
      <c r="J843" s="5"/>
      <c r="K843" s="1"/>
      <c r="L843" s="1"/>
      <c r="M843" s="5"/>
      <c r="N843" s="1"/>
      <c r="O843" s="1"/>
      <c r="P843" s="5"/>
      <c r="Q843" s="1"/>
      <c r="R843" s="1"/>
      <c r="S843" s="5"/>
      <c r="T843" s="1"/>
      <c r="U843" s="1"/>
      <c r="V843" s="5"/>
      <c r="W843" s="1"/>
      <c r="X843" s="1"/>
      <c r="Y843" s="5"/>
      <c r="Z843" s="1"/>
      <c r="AA843" s="1"/>
      <c r="AB843" s="5"/>
      <c r="AC843" s="1"/>
      <c r="AD843" s="1"/>
      <c r="AE843" s="5"/>
      <c r="AF843" s="1"/>
      <c r="AG843" s="1"/>
      <c r="AH843" s="5"/>
      <c r="AI843" s="1"/>
      <c r="AJ843" s="1"/>
      <c r="AK843" s="5"/>
      <c r="AL843" s="1"/>
      <c r="AM843" s="1"/>
      <c r="AN843" s="5"/>
      <c r="AO843" s="1"/>
      <c r="AP843" s="1"/>
      <c r="AQ843" s="5"/>
      <c r="AR843" s="1"/>
      <c r="AS843" s="1"/>
      <c r="AT843" s="5"/>
      <c r="AU843" s="1"/>
      <c r="AV843" s="1"/>
      <c r="AW843" s="26"/>
      <c r="AX843" s="185">
        <f t="shared" ref="AX843:CC843" si="3587">AX825</f>
        <v>0.3</v>
      </c>
      <c r="AY843" s="185">
        <f t="shared" si="3587"/>
        <v>0.3</v>
      </c>
      <c r="AZ843" s="185">
        <f t="shared" si="3587"/>
        <v>0.3</v>
      </c>
      <c r="BA843" s="4">
        <f t="shared" si="3587"/>
        <v>0.28566000000000003</v>
      </c>
      <c r="BB843" s="4">
        <f t="shared" si="3587"/>
        <v>0.28566000000000003</v>
      </c>
      <c r="BC843" s="971">
        <f t="shared" si="3587"/>
        <v>0.28566000000000003</v>
      </c>
      <c r="BD843" s="4">
        <f t="shared" si="3587"/>
        <v>0.27200545200000004</v>
      </c>
      <c r="BE843" s="4">
        <f t="shared" si="3587"/>
        <v>0.27200545200000004</v>
      </c>
      <c r="BF843" s="971">
        <f t="shared" si="3587"/>
        <v>0.27200545200000004</v>
      </c>
      <c r="BG843" s="4">
        <f t="shared" si="3587"/>
        <v>0.25900359139440005</v>
      </c>
      <c r="BH843" s="4">
        <f t="shared" si="3587"/>
        <v>0.25900359139440005</v>
      </c>
      <c r="BI843" s="971">
        <f t="shared" si="3587"/>
        <v>0.25900359139440005</v>
      </c>
      <c r="BJ843" s="121">
        <f t="shared" si="3587"/>
        <v>0.24662321972574774</v>
      </c>
      <c r="BK843" s="121">
        <f t="shared" si="3587"/>
        <v>0.24662321972574774</v>
      </c>
      <c r="BL843" s="114">
        <f t="shared" si="3587"/>
        <v>0.24662321972574774</v>
      </c>
      <c r="BM843" s="121">
        <f t="shared" si="3587"/>
        <v>0.23483462982285702</v>
      </c>
      <c r="BN843" s="121">
        <f t="shared" si="3587"/>
        <v>0.23483462982285702</v>
      </c>
      <c r="BO843" s="114">
        <f t="shared" si="3587"/>
        <v>0.23483462982285702</v>
      </c>
      <c r="BP843" s="121">
        <f t="shared" si="3587"/>
        <v>0.22360953451732446</v>
      </c>
      <c r="BQ843" s="121">
        <f t="shared" si="3587"/>
        <v>0.22360953451732446</v>
      </c>
      <c r="BR843" s="114">
        <f t="shared" si="3587"/>
        <v>0.22360953451732446</v>
      </c>
      <c r="BS843" s="4">
        <f t="shared" si="3587"/>
        <v>0.21292099876739637</v>
      </c>
      <c r="BT843" s="4">
        <f t="shared" si="3587"/>
        <v>0.21292099876739637</v>
      </c>
      <c r="BU843" s="185">
        <f t="shared" si="3587"/>
        <v>0.21292099876739637</v>
      </c>
      <c r="BV843" s="4">
        <f t="shared" si="3587"/>
        <v>0.20274337502631484</v>
      </c>
      <c r="BW843" s="4">
        <f t="shared" si="3587"/>
        <v>0.20274337502631484</v>
      </c>
      <c r="BX843" s="185">
        <f t="shared" si="3587"/>
        <v>0.20274337502631484</v>
      </c>
      <c r="BY843" s="4">
        <f t="shared" si="3587"/>
        <v>0.193052241700057</v>
      </c>
      <c r="BZ843" s="4">
        <f t="shared" si="3587"/>
        <v>0.193052241700057</v>
      </c>
      <c r="CA843" s="185">
        <f t="shared" si="3587"/>
        <v>0.193052241700057</v>
      </c>
      <c r="CB843" s="4">
        <f t="shared" si="3587"/>
        <v>0.18382434454679428</v>
      </c>
      <c r="CC843" s="4">
        <f t="shared" si="3587"/>
        <v>0.18382434454679428</v>
      </c>
      <c r="CD843" s="185">
        <f t="shared" ref="CD843:DI843" si="3588">CD825</f>
        <v>0.18382434454679428</v>
      </c>
      <c r="CE843" s="4">
        <f t="shared" si="3588"/>
        <v>0.17503754087745751</v>
      </c>
      <c r="CF843" s="4">
        <f t="shared" si="3588"/>
        <v>0.17503754087745751</v>
      </c>
      <c r="CG843" s="185">
        <f t="shared" si="3588"/>
        <v>0.17503754087745751</v>
      </c>
      <c r="CH843" s="4">
        <f t="shared" si="3588"/>
        <v>0.16667074642351506</v>
      </c>
      <c r="CI843" s="4">
        <f t="shared" si="3588"/>
        <v>0.16667074642351506</v>
      </c>
      <c r="CJ843" s="185">
        <f t="shared" si="3588"/>
        <v>0.16667074642351506</v>
      </c>
      <c r="CK843" s="4">
        <f t="shared" si="3588"/>
        <v>0.15870388474447106</v>
      </c>
      <c r="CL843" s="4">
        <f t="shared" si="3588"/>
        <v>0.15870388474447106</v>
      </c>
      <c r="CM843" s="185">
        <f t="shared" si="3588"/>
        <v>0.15870388474447106</v>
      </c>
      <c r="CN843" s="4">
        <f t="shared" si="3588"/>
        <v>0.15111783905368534</v>
      </c>
      <c r="CO843" s="4">
        <f t="shared" si="3588"/>
        <v>0.15111783905368534</v>
      </c>
      <c r="CP843" s="185">
        <f t="shared" si="3588"/>
        <v>0.15111783905368534</v>
      </c>
      <c r="CQ843" s="4">
        <f t="shared" si="3588"/>
        <v>0.14389440634691919</v>
      </c>
      <c r="CR843" s="4">
        <f t="shared" si="3588"/>
        <v>0.14389440634691919</v>
      </c>
      <c r="CS843" s="185">
        <f t="shared" si="3588"/>
        <v>0.14389440634691919</v>
      </c>
      <c r="CT843" s="4">
        <f t="shared" si="3588"/>
        <v>0.13701625372353646</v>
      </c>
      <c r="CU843" s="4">
        <f t="shared" si="3588"/>
        <v>0.13701625372353646</v>
      </c>
      <c r="CV843" s="185">
        <f t="shared" si="3588"/>
        <v>0.13701625372353646</v>
      </c>
      <c r="CW843" s="4">
        <f t="shared" si="3588"/>
        <v>0.13046687679555141</v>
      </c>
      <c r="CX843" s="4">
        <f t="shared" si="3588"/>
        <v>0.13046687679555141</v>
      </c>
      <c r="CY843" s="185">
        <f t="shared" si="3588"/>
        <v>0.13046687679555141</v>
      </c>
      <c r="CZ843" s="4">
        <f t="shared" si="3588"/>
        <v>0.12423056008472406</v>
      </c>
      <c r="DA843" s="4">
        <f t="shared" si="3588"/>
        <v>0.12423056008472406</v>
      </c>
      <c r="DB843" s="185">
        <f t="shared" si="3588"/>
        <v>0.12423056008472406</v>
      </c>
      <c r="DC843" s="4">
        <f t="shared" si="3588"/>
        <v>0.11829233931267426</v>
      </c>
      <c r="DD843" s="4">
        <f t="shared" si="3588"/>
        <v>0.11829233931267426</v>
      </c>
      <c r="DE843" s="185">
        <f t="shared" si="3588"/>
        <v>0.11829233931267426</v>
      </c>
      <c r="DF843" s="4">
        <f t="shared" si="3588"/>
        <v>0.11263796549352843</v>
      </c>
      <c r="DG843" s="4">
        <f t="shared" si="3588"/>
        <v>0.11263796549352843</v>
      </c>
      <c r="DH843" s="185">
        <f t="shared" si="3588"/>
        <v>0.11263796549352843</v>
      </c>
      <c r="DI843" s="4">
        <f t="shared" si="3588"/>
        <v>0.10725387074293778</v>
      </c>
      <c r="DJ843" s="4">
        <f t="shared" ref="DJ843:EF843" si="3589">DJ825</f>
        <v>0.10725387074293778</v>
      </c>
      <c r="DK843" s="185">
        <f t="shared" si="3589"/>
        <v>0.10725387074293778</v>
      </c>
      <c r="DL843" s="4">
        <f t="shared" si="3589"/>
        <v>0.10212713572142536</v>
      </c>
      <c r="DM843" s="4">
        <f t="shared" si="3589"/>
        <v>0.10212713572142536</v>
      </c>
      <c r="DN843" s="185">
        <f t="shared" si="3589"/>
        <v>0.10212713572142536</v>
      </c>
      <c r="DO843" s="4">
        <f t="shared" si="3589"/>
        <v>9.7245458633941226E-2</v>
      </c>
      <c r="DP843" s="4">
        <f t="shared" si="3589"/>
        <v>9.7245458633941226E-2</v>
      </c>
      <c r="DQ843" s="185">
        <f t="shared" si="3589"/>
        <v>9.7245458633941226E-2</v>
      </c>
      <c r="DR843" s="4">
        <f t="shared" si="3589"/>
        <v>9.2597125711238834E-2</v>
      </c>
      <c r="DS843" s="4">
        <f t="shared" si="3589"/>
        <v>9.2597125711238834E-2</v>
      </c>
      <c r="DT843" s="185">
        <f t="shared" si="3589"/>
        <v>9.2597125711238834E-2</v>
      </c>
      <c r="DU843" s="4">
        <f t="shared" si="3589"/>
        <v>8.8170983102241626E-2</v>
      </c>
      <c r="DV843" s="4">
        <f t="shared" si="3589"/>
        <v>8.8170983102241626E-2</v>
      </c>
      <c r="DW843" s="185">
        <f t="shared" si="3589"/>
        <v>8.8170983102241626E-2</v>
      </c>
      <c r="DX843" s="4">
        <f t="shared" si="3589"/>
        <v>8.3956410109954485E-2</v>
      </c>
      <c r="DY843" s="4">
        <f t="shared" si="3589"/>
        <v>8.3956410109954485E-2</v>
      </c>
      <c r="DZ843" s="185">
        <f t="shared" si="3589"/>
        <v>8.3956410109954485E-2</v>
      </c>
      <c r="EA843" s="4">
        <f t="shared" si="3589"/>
        <v>7.994329370669867E-2</v>
      </c>
      <c r="EB843" s="4">
        <f t="shared" si="3589"/>
        <v>7.994329370669867E-2</v>
      </c>
      <c r="EC843" s="185">
        <f t="shared" si="3589"/>
        <v>7.994329370669867E-2</v>
      </c>
      <c r="ED843" s="4">
        <f t="shared" si="3589"/>
        <v>7.6122004267518473E-2</v>
      </c>
      <c r="EE843" s="4">
        <f t="shared" si="3589"/>
        <v>7.6122004267518473E-2</v>
      </c>
      <c r="EF843" s="185">
        <f t="shared" si="3589"/>
        <v>7.6122004267518473E-2</v>
      </c>
      <c r="EG843" s="4">
        <f t="shared" ref="EG843:EL843" si="3590">EG825</f>
        <v>7.2483372463531093E-2</v>
      </c>
      <c r="EH843" s="4">
        <f t="shared" si="3590"/>
        <v>7.2483372463531093E-2</v>
      </c>
      <c r="EI843" s="185">
        <f t="shared" si="3590"/>
        <v>7.2483372463531093E-2</v>
      </c>
      <c r="EJ843" s="4">
        <f t="shared" si="3590"/>
        <v>6.9018667259774305E-2</v>
      </c>
      <c r="EK843" s="4">
        <f t="shared" si="3590"/>
        <v>6.9018667259774305E-2</v>
      </c>
      <c r="EL843" s="185">
        <f t="shared" si="3590"/>
        <v>6.9018667259774305E-2</v>
      </c>
      <c r="EM843" s="4">
        <f t="shared" ref="EM843:ER843" si="3591">EM825</f>
        <v>6.5719574964757096E-2</v>
      </c>
      <c r="EN843" s="4">
        <f t="shared" si="3591"/>
        <v>6.5719574964757096E-2</v>
      </c>
      <c r="EO843" s="185">
        <f t="shared" si="3591"/>
        <v>6.5719574964757096E-2</v>
      </c>
      <c r="EP843" s="4">
        <f t="shared" si="3591"/>
        <v>6.2578179281441715E-2</v>
      </c>
      <c r="EQ843" s="4">
        <f t="shared" si="3591"/>
        <v>6.2578179281441715E-2</v>
      </c>
      <c r="ER843" s="185">
        <f t="shared" si="3591"/>
        <v>6.2578179281441715E-2</v>
      </c>
      <c r="ES843" s="4">
        <f t="shared" ref="ES843:EX843" si="3592">ES825</f>
        <v>5.9586942311788807E-2</v>
      </c>
      <c r="ET843" s="4">
        <f t="shared" si="3592"/>
        <v>5.9586942311788807E-2</v>
      </c>
      <c r="EU843" s="185">
        <f t="shared" si="3592"/>
        <v>5.9586942311788807E-2</v>
      </c>
      <c r="EV843" s="4">
        <f t="shared" si="3592"/>
        <v>5.6738686469285302E-2</v>
      </c>
      <c r="EW843" s="4">
        <f t="shared" si="3592"/>
        <v>5.6738686469285302E-2</v>
      </c>
      <c r="EX843" s="185">
        <f t="shared" si="3592"/>
        <v>5.6738686469285302E-2</v>
      </c>
      <c r="EY843" s="4">
        <f t="shared" ref="EY843:FA843" si="3593">EY825</f>
        <v>5.4026577256053469E-2</v>
      </c>
      <c r="EZ843" s="4">
        <f t="shared" si="3593"/>
        <v>5.4026577256053469E-2</v>
      </c>
      <c r="FA843" s="185">
        <f t="shared" si="3593"/>
        <v>5.4026577256053469E-2</v>
      </c>
      <c r="FH843" s="35"/>
      <c r="FI843" s="35"/>
      <c r="FJ843" s="35"/>
      <c r="FK843" s="35"/>
      <c r="FL843" s="35"/>
      <c r="FM843" s="35"/>
      <c r="FN843" s="35"/>
      <c r="FO843" s="35"/>
      <c r="FP843" s="35"/>
      <c r="FQ843" s="35"/>
    </row>
    <row r="844" spans="1:173" s="321" customFormat="1" hidden="1" outlineLevel="1">
      <c r="A844" s="1168"/>
      <c r="B844" s="186"/>
      <c r="C844" s="186"/>
      <c r="D844" s="910"/>
      <c r="E844" s="1"/>
      <c r="F844" s="1"/>
      <c r="G844" s="5"/>
      <c r="H844" s="1"/>
      <c r="I844" s="1"/>
      <c r="J844" s="5"/>
      <c r="K844" s="1"/>
      <c r="L844" s="1"/>
      <c r="M844" s="5"/>
      <c r="N844" s="1"/>
      <c r="O844" s="1"/>
      <c r="P844" s="5"/>
      <c r="Q844" s="1"/>
      <c r="R844" s="1"/>
      <c r="S844" s="5"/>
      <c r="T844" s="1"/>
      <c r="U844" s="1"/>
      <c r="V844" s="5"/>
      <c r="W844" s="1"/>
      <c r="X844" s="1"/>
      <c r="Y844" s="5"/>
      <c r="Z844" s="1"/>
      <c r="AA844" s="1"/>
      <c r="AB844" s="5"/>
      <c r="AC844" s="1"/>
      <c r="AD844" s="1"/>
      <c r="AE844" s="5"/>
      <c r="AF844" s="1"/>
      <c r="AG844" s="1"/>
      <c r="AH844" s="5"/>
      <c r="AI844" s="1"/>
      <c r="AJ844" s="1"/>
      <c r="AK844" s="5"/>
      <c r="AL844" s="1"/>
      <c r="AM844" s="1"/>
      <c r="AN844" s="5"/>
      <c r="AO844" s="1"/>
      <c r="AP844" s="1"/>
      <c r="AQ844" s="5"/>
      <c r="AR844" s="1"/>
      <c r="AS844" s="1"/>
      <c r="AT844" s="5"/>
      <c r="AU844" s="1"/>
      <c r="AV844" s="1"/>
      <c r="AW844" s="26"/>
      <c r="AX844" s="185"/>
      <c r="AY844" s="185"/>
      <c r="AZ844" s="185"/>
      <c r="BA844" s="4"/>
      <c r="BB844" s="4"/>
      <c r="BC844" s="971"/>
      <c r="BD844" s="4"/>
      <c r="BE844" s="4"/>
      <c r="BF844" s="971"/>
      <c r="BG844" s="4"/>
      <c r="BH844" s="4"/>
      <c r="BI844" s="971"/>
      <c r="BJ844" s="121"/>
      <c r="BK844" s="121"/>
      <c r="BL844" s="114"/>
      <c r="BM844" s="121"/>
      <c r="BN844" s="121"/>
      <c r="BO844" s="114"/>
      <c r="BP844" s="121"/>
      <c r="BQ844" s="121"/>
      <c r="BR844" s="114"/>
      <c r="BS844" s="4"/>
      <c r="BT844" s="4"/>
      <c r="BU844" s="185"/>
      <c r="BV844" s="4"/>
      <c r="BW844" s="4"/>
      <c r="BX844" s="185"/>
      <c r="BY844" s="4"/>
      <c r="BZ844" s="4"/>
      <c r="CA844" s="185"/>
      <c r="CB844" s="4"/>
      <c r="CC844" s="4"/>
      <c r="CD844" s="185"/>
      <c r="CE844" s="4"/>
      <c r="CF844" s="4"/>
      <c r="CG844" s="185"/>
      <c r="CH844" s="4"/>
      <c r="CI844" s="4"/>
      <c r="CJ844" s="185"/>
      <c r="CK844" s="4"/>
      <c r="CL844" s="4"/>
      <c r="CM844" s="185"/>
      <c r="CN844" s="4"/>
      <c r="CO844" s="4"/>
      <c r="CP844" s="185"/>
      <c r="CQ844" s="4"/>
      <c r="CR844" s="4"/>
      <c r="CS844" s="185"/>
      <c r="CT844" s="4"/>
      <c r="CU844" s="4"/>
      <c r="CV844" s="185"/>
      <c r="CW844" s="4"/>
      <c r="CX844" s="4"/>
      <c r="CY844" s="185"/>
      <c r="CZ844" s="4"/>
      <c r="DA844" s="4"/>
      <c r="DB844" s="185"/>
      <c r="DC844" s="4"/>
      <c r="DD844" s="4"/>
      <c r="DE844" s="185"/>
      <c r="DF844" s="4"/>
      <c r="DG844" s="4"/>
      <c r="DH844" s="185"/>
      <c r="DI844" s="4"/>
      <c r="DJ844" s="4"/>
      <c r="DK844" s="185"/>
      <c r="DL844" s="4"/>
      <c r="DM844" s="4"/>
      <c r="DN844" s="185"/>
      <c r="DO844" s="4"/>
      <c r="DP844" s="4"/>
      <c r="DQ844" s="185"/>
      <c r="DR844" s="4"/>
      <c r="DS844" s="4"/>
      <c r="DT844" s="185"/>
      <c r="DU844" s="4"/>
      <c r="DV844" s="4"/>
      <c r="DW844" s="185"/>
      <c r="DX844" s="4"/>
      <c r="DY844" s="4"/>
      <c r="DZ844" s="185"/>
      <c r="EA844" s="4"/>
      <c r="EB844" s="4"/>
      <c r="EC844" s="185"/>
      <c r="ED844" s="4"/>
      <c r="EE844" s="4"/>
      <c r="EF844" s="185"/>
      <c r="EG844" s="4"/>
      <c r="EH844" s="4"/>
      <c r="EI844" s="185"/>
      <c r="EJ844" s="4"/>
      <c r="EK844" s="4"/>
      <c r="EL844" s="185"/>
      <c r="EM844" s="4"/>
      <c r="EN844" s="4"/>
      <c r="EO844" s="185"/>
      <c r="EP844" s="4"/>
      <c r="EQ844" s="4"/>
      <c r="ER844" s="185"/>
      <c r="ES844" s="4"/>
      <c r="ET844" s="4"/>
      <c r="EU844" s="185"/>
      <c r="EV844" s="4"/>
      <c r="EW844" s="4"/>
      <c r="EX844" s="185"/>
      <c r="EY844" s="4"/>
      <c r="EZ844" s="4"/>
      <c r="FA844" s="185"/>
      <c r="FH844" s="35"/>
      <c r="FI844" s="35"/>
      <c r="FJ844" s="35"/>
      <c r="FK844" s="35"/>
      <c r="FL844" s="35"/>
      <c r="FM844" s="35"/>
      <c r="FN844" s="35"/>
      <c r="FO844" s="35"/>
      <c r="FP844" s="35"/>
      <c r="FQ844" s="35"/>
    </row>
    <row r="845" spans="1:173" s="321" customFormat="1" hidden="1" outlineLevel="1">
      <c r="A845" s="1168"/>
      <c r="B845" s="186"/>
      <c r="C845" s="331" t="s">
        <v>827</v>
      </c>
      <c r="D845" s="910"/>
      <c r="E845" s="1"/>
      <c r="F845" s="1"/>
      <c r="G845" s="5"/>
      <c r="H845" s="1"/>
      <c r="I845" s="1"/>
      <c r="J845" s="5"/>
      <c r="K845" s="1"/>
      <c r="L845" s="1"/>
      <c r="M845" s="5"/>
      <c r="N845" s="1"/>
      <c r="O845" s="1"/>
      <c r="P845" s="5"/>
      <c r="Q845" s="1"/>
      <c r="R845" s="1"/>
      <c r="S845" s="5"/>
      <c r="T845" s="1"/>
      <c r="U845" s="1"/>
      <c r="V845" s="5"/>
      <c r="W845" s="1"/>
      <c r="X845" s="1"/>
      <c r="Y845" s="5"/>
      <c r="Z845" s="1"/>
      <c r="AA845" s="1"/>
      <c r="AB845" s="5"/>
      <c r="AC845" s="1"/>
      <c r="AD845" s="1"/>
      <c r="AE845" s="5"/>
      <c r="AF845" s="1"/>
      <c r="AG845" s="1"/>
      <c r="AH845" s="5"/>
      <c r="AI845" s="1"/>
      <c r="AJ845" s="1"/>
      <c r="AK845" s="5"/>
      <c r="AL845" s="1"/>
      <c r="AM845" s="1"/>
      <c r="AN845" s="5"/>
      <c r="AO845" s="1"/>
      <c r="AP845" s="1"/>
      <c r="AQ845" s="5"/>
      <c r="AR845" s="1"/>
      <c r="AS845" s="1"/>
      <c r="AT845" s="5"/>
      <c r="AU845" s="1"/>
      <c r="AV845" s="1"/>
      <c r="AW845" s="26"/>
      <c r="AX845" s="185"/>
      <c r="AY845" s="185"/>
      <c r="AZ845" s="185"/>
      <c r="BA845" s="4"/>
      <c r="BB845" s="4"/>
      <c r="BC845" s="971"/>
      <c r="BD845" s="4"/>
      <c r="BE845" s="4"/>
      <c r="BF845" s="971"/>
      <c r="BG845" s="4"/>
      <c r="BH845" s="4"/>
      <c r="BI845" s="971"/>
      <c r="BJ845" s="121"/>
      <c r="BK845" s="121"/>
      <c r="BL845" s="114"/>
      <c r="BM845" s="121"/>
      <c r="BN845" s="121"/>
      <c r="BO845" s="114"/>
      <c r="BP845" s="121"/>
      <c r="BQ845" s="121"/>
      <c r="BR845" s="114"/>
      <c r="BS845" s="4"/>
      <c r="BT845" s="4"/>
      <c r="BU845" s="185"/>
      <c r="BV845" s="4"/>
      <c r="BW845" s="4"/>
      <c r="BX845" s="185"/>
      <c r="BY845" s="4"/>
      <c r="BZ845" s="4"/>
      <c r="CA845" s="185"/>
      <c r="CB845" s="4"/>
      <c r="CC845" s="4"/>
      <c r="CD845" s="185"/>
      <c r="CE845" s="4"/>
      <c r="CF845" s="4"/>
      <c r="CG845" s="185"/>
      <c r="CH845" s="4"/>
      <c r="CI845" s="4"/>
      <c r="CJ845" s="185"/>
      <c r="CK845" s="4"/>
      <c r="CL845" s="4"/>
      <c r="CM845" s="185"/>
      <c r="CN845" s="4"/>
      <c r="CO845" s="4"/>
      <c r="CP845" s="185"/>
      <c r="CQ845" s="4"/>
      <c r="CR845" s="4"/>
      <c r="CS845" s="185"/>
      <c r="CT845" s="4"/>
      <c r="CU845" s="4"/>
      <c r="CV845" s="185"/>
      <c r="CW845" s="4"/>
      <c r="CX845" s="4"/>
      <c r="CY845" s="185"/>
      <c r="CZ845" s="4"/>
      <c r="DA845" s="4"/>
      <c r="DB845" s="185"/>
      <c r="DC845" s="4"/>
      <c r="DD845" s="4"/>
      <c r="DE845" s="185"/>
      <c r="DF845" s="4"/>
      <c r="DG845" s="4"/>
      <c r="DH845" s="185"/>
      <c r="DI845" s="4"/>
      <c r="DJ845" s="4"/>
      <c r="DK845" s="185"/>
      <c r="DL845" s="4"/>
      <c r="DM845" s="4"/>
      <c r="DN845" s="185"/>
      <c r="DO845" s="4"/>
      <c r="DP845" s="4"/>
      <c r="DQ845" s="185"/>
      <c r="DR845" s="4"/>
      <c r="DS845" s="4"/>
      <c r="DT845" s="185"/>
      <c r="DU845" s="4"/>
      <c r="DV845" s="4"/>
      <c r="DW845" s="185"/>
      <c r="DX845" s="4"/>
      <c r="DY845" s="4"/>
      <c r="DZ845" s="185"/>
      <c r="EA845" s="4"/>
      <c r="EB845" s="4"/>
      <c r="EC845" s="185"/>
      <c r="ED845" s="4"/>
      <c r="EE845" s="4"/>
      <c r="EF845" s="185"/>
      <c r="EG845" s="4"/>
      <c r="EH845" s="4"/>
      <c r="EI845" s="185"/>
      <c r="EJ845" s="4"/>
      <c r="EK845" s="4"/>
      <c r="EL845" s="185"/>
      <c r="EM845" s="4"/>
      <c r="EN845" s="4"/>
      <c r="EO845" s="185"/>
      <c r="EP845" s="4"/>
      <c r="EQ845" s="4"/>
      <c r="ER845" s="185"/>
      <c r="ES845" s="4"/>
      <c r="ET845" s="4"/>
      <c r="EU845" s="185"/>
      <c r="EV845" s="4"/>
      <c r="EW845" s="4"/>
      <c r="EX845" s="185"/>
      <c r="EY845" s="4"/>
      <c r="EZ845" s="4"/>
      <c r="FA845" s="185"/>
      <c r="FH845" s="35"/>
      <c r="FI845" s="35"/>
      <c r="FJ845" s="35"/>
      <c r="FK845" s="35"/>
      <c r="FL845" s="35"/>
      <c r="FM845" s="35"/>
      <c r="FN845" s="35"/>
      <c r="FO845" s="35"/>
      <c r="FP845" s="35"/>
      <c r="FQ845" s="35"/>
    </row>
    <row r="846" spans="1:173" s="321" customFormat="1" hidden="1" outlineLevel="1">
      <c r="A846" s="1168"/>
      <c r="B846" s="186"/>
      <c r="C846" s="186" t="s">
        <v>316</v>
      </c>
      <c r="D846" s="910"/>
      <c r="E846" s="1"/>
      <c r="F846" s="1"/>
      <c r="G846" s="5"/>
      <c r="H846" s="1"/>
      <c r="I846" s="1"/>
      <c r="J846" s="5"/>
      <c r="K846" s="1"/>
      <c r="L846" s="1"/>
      <c r="M846" s="5"/>
      <c r="N846" s="1"/>
      <c r="O846" s="1"/>
      <c r="P846" s="5"/>
      <c r="Q846" s="1"/>
      <c r="R846" s="1"/>
      <c r="S846" s="5"/>
      <c r="T846" s="1"/>
      <c r="U846" s="1"/>
      <c r="V846" s="5"/>
      <c r="W846" s="1"/>
      <c r="X846" s="1"/>
      <c r="Y846" s="5"/>
      <c r="Z846" s="1"/>
      <c r="AA846" s="1"/>
      <c r="AB846" s="5"/>
      <c r="AC846" s="1"/>
      <c r="AD846" s="1"/>
      <c r="AE846" s="5"/>
      <c r="AF846" s="1"/>
      <c r="AG846" s="1"/>
      <c r="AH846" s="5"/>
      <c r="AI846" s="1"/>
      <c r="AJ846" s="1"/>
      <c r="AK846" s="5"/>
      <c r="AL846" s="1"/>
      <c r="AM846" s="1"/>
      <c r="AN846" s="5"/>
      <c r="AO846" s="1"/>
      <c r="AP846" s="1"/>
      <c r="AQ846" s="5"/>
      <c r="AR846" s="1"/>
      <c r="AS846" s="1"/>
      <c r="AT846" s="5"/>
      <c r="AU846" s="1"/>
      <c r="AV846" s="1"/>
      <c r="AW846" s="26"/>
      <c r="AX846" s="185">
        <f t="shared" ref="AX846:CC846" si="3594">1-AX840-AX852</f>
        <v>0.6905</v>
      </c>
      <c r="AY846" s="185">
        <f t="shared" si="3594"/>
        <v>0.69021974999999991</v>
      </c>
      <c r="AZ846" s="185">
        <f t="shared" si="3594"/>
        <v>0.68993949999999993</v>
      </c>
      <c r="BA846" s="4">
        <f t="shared" si="3594"/>
        <v>0.70398271525</v>
      </c>
      <c r="BB846" s="4">
        <f t="shared" si="3594"/>
        <v>0.70398271525</v>
      </c>
      <c r="BC846" s="971">
        <f t="shared" si="3594"/>
        <v>0.70368593049999995</v>
      </c>
      <c r="BD846" s="4">
        <f t="shared" si="3594"/>
        <v>0.71702618344975</v>
      </c>
      <c r="BE846" s="4">
        <f t="shared" si="3594"/>
        <v>0.71702618344975</v>
      </c>
      <c r="BF846" s="971">
        <f t="shared" si="3594"/>
        <v>0.71671188839949995</v>
      </c>
      <c r="BG846" s="4">
        <f t="shared" si="3594"/>
        <v>0.72938091054688525</v>
      </c>
      <c r="BH846" s="4">
        <f t="shared" si="3594"/>
        <v>0.72938091054688525</v>
      </c>
      <c r="BI846" s="971">
        <f t="shared" si="3594"/>
        <v>0.72904807208867051</v>
      </c>
      <c r="BJ846" s="121">
        <f t="shared" si="3594"/>
        <v>0.74107596783007335</v>
      </c>
      <c r="BK846" s="121">
        <f t="shared" si="3594"/>
        <v>0.74107596783007335</v>
      </c>
      <c r="BL846" s="114">
        <f t="shared" si="3594"/>
        <v>0.74072349190282394</v>
      </c>
      <c r="BM846" s="121">
        <f t="shared" si="3594"/>
        <v>0.75213880979875758</v>
      </c>
      <c r="BN846" s="121">
        <f t="shared" si="3594"/>
        <v>0.75213880979875758</v>
      </c>
      <c r="BO846" s="114">
        <f t="shared" si="3594"/>
        <v>0.75176553779180044</v>
      </c>
      <c r="BP846" s="121">
        <f t="shared" si="3594"/>
        <v>0.76259533804196533</v>
      </c>
      <c r="BQ846" s="121">
        <f t="shared" si="3594"/>
        <v>0.76259533804196533</v>
      </c>
      <c r="BR846" s="114">
        <f t="shared" si="3594"/>
        <v>0.76220004298659771</v>
      </c>
      <c r="BS846" s="4">
        <f t="shared" si="3594"/>
        <v>0.77246996127289158</v>
      </c>
      <c r="BT846" s="4">
        <f t="shared" si="3594"/>
        <v>0.77246996127289158</v>
      </c>
      <c r="BU846" s="185">
        <f t="shared" si="3594"/>
        <v>0.77205134380925722</v>
      </c>
      <c r="BV846" s="4">
        <f t="shared" si="3594"/>
        <v>0.78178565165635006</v>
      </c>
      <c r="BW846" s="4">
        <f t="shared" si="3594"/>
        <v>0.78178565165635006</v>
      </c>
      <c r="BX846" s="185">
        <f t="shared" si="3594"/>
        <v>0.78134233576236134</v>
      </c>
      <c r="BY846" s="4">
        <f t="shared" si="3594"/>
        <v>0.79056399755688511</v>
      </c>
      <c r="BZ846" s="4">
        <f t="shared" si="3594"/>
        <v>0.79056399755688511</v>
      </c>
      <c r="CA846" s="185">
        <f t="shared" si="3594"/>
        <v>0.79009452602515107</v>
      </c>
      <c r="CB846" s="4">
        <f t="shared" si="3594"/>
        <v>0.79882525282630734</v>
      </c>
      <c r="CC846" s="4">
        <f t="shared" si="3594"/>
        <v>0.79882525282630734</v>
      </c>
      <c r="CD846" s="185">
        <f t="shared" ref="CD846:DI846" si="3595">1-CD840-CD852</f>
        <v>0.79832808247420106</v>
      </c>
      <c r="CE846" s="4">
        <f t="shared" si="3595"/>
        <v>0.80658838274065714</v>
      </c>
      <c r="CF846" s="4">
        <f t="shared" si="3595"/>
        <v>0.80658838274065714</v>
      </c>
      <c r="CG846" s="185">
        <f t="shared" si="3595"/>
        <v>0.80606187933777651</v>
      </c>
      <c r="CH846" s="4">
        <f t="shared" si="3595"/>
        <v>0.81387110668806839</v>
      </c>
      <c r="CI846" s="4">
        <f t="shared" si="3595"/>
        <v>0.81387110668806839</v>
      </c>
      <c r="CJ846" s="185">
        <f t="shared" si="3595"/>
        <v>0.81331353958441777</v>
      </c>
      <c r="CK846" s="4">
        <f t="shared" si="3595"/>
        <v>0.82068993770069576</v>
      </c>
      <c r="CL846" s="4">
        <f t="shared" si="3595"/>
        <v>0.82068993770069576</v>
      </c>
      <c r="CM846" s="185">
        <f t="shared" si="3595"/>
        <v>0.82009947413792983</v>
      </c>
      <c r="CN846" s="4">
        <f t="shared" si="3595"/>
        <v>0.82706021891574633</v>
      </c>
      <c r="CO846" s="4">
        <f t="shared" si="3595"/>
        <v>0.82706021891574633</v>
      </c>
      <c r="CP846" s="185">
        <f t="shared" si="3595"/>
        <v>0.82643491800277713</v>
      </c>
      <c r="CQ846" s="4">
        <f t="shared" si="3595"/>
        <v>0.83299615704270902</v>
      </c>
      <c r="CR846" s="4">
        <f t="shared" si="3595"/>
        <v>0.83299615704270902</v>
      </c>
      <c r="CS846" s="185">
        <f t="shared" si="3595"/>
        <v>0.83233396337587462</v>
      </c>
      <c r="CT846" s="4">
        <f t="shared" si="3595"/>
        <v>0.83851085290607985</v>
      </c>
      <c r="CU846" s="4">
        <f t="shared" si="3595"/>
        <v>0.83851085290607985</v>
      </c>
      <c r="CV846" s="185">
        <f t="shared" si="3595"/>
        <v>0.83780958981290221</v>
      </c>
      <c r="CW846" s="4">
        <f t="shared" si="3595"/>
        <v>0.84361632912521212</v>
      </c>
      <c r="CX846" s="4">
        <f t="shared" si="3595"/>
        <v>0.84361632912521212</v>
      </c>
      <c r="CY846" s="185">
        <f t="shared" si="3595"/>
        <v>0.84287369150953706</v>
      </c>
      <c r="CZ846" s="4">
        <f t="shared" si="3595"/>
        <v>0.8483235549853646</v>
      </c>
      <c r="DA846" s="4">
        <f t="shared" si="3595"/>
        <v>0.8483235549853646</v>
      </c>
      <c r="DB846" s="185">
        <f t="shared" si="3595"/>
        <v>0.84753710175036467</v>
      </c>
      <c r="DC846" s="4">
        <f t="shared" si="3595"/>
        <v>0.85264246854654968</v>
      </c>
      <c r="DD846" s="4">
        <f t="shared" si="3595"/>
        <v>0.85264246854654968</v>
      </c>
      <c r="DE846" s="185">
        <f t="shared" si="3595"/>
        <v>0.85180961457068483</v>
      </c>
      <c r="DF846" s="4">
        <f t="shared" si="3595"/>
        <v>0.85658199602938967</v>
      </c>
      <c r="DG846" s="4">
        <f t="shared" si="3595"/>
        <v>0.85658199602938967</v>
      </c>
      <c r="DH846" s="185">
        <f t="shared" si="3595"/>
        <v>0.85570000366894872</v>
      </c>
      <c r="DI846" s="4">
        <f t="shared" si="3595"/>
        <v>0.86015006850983244</v>
      </c>
      <c r="DJ846" s="4">
        <f t="shared" ref="DJ846:EF846" si="3596">1-DJ840-DJ852</f>
        <v>0.86015006850983244</v>
      </c>
      <c r="DK846" s="185">
        <f t="shared" si="3596"/>
        <v>0.85921603860012552</v>
      </c>
      <c r="DL846" s="4">
        <f t="shared" si="3596"/>
        <v>0.86335363594725834</v>
      </c>
      <c r="DM846" s="4">
        <f t="shared" si="3596"/>
        <v>0.86335363594725834</v>
      </c>
      <c r="DN846" s="185">
        <f t="shared" si="3596"/>
        <v>0.86236449827287864</v>
      </c>
      <c r="DO846" s="4">
        <f t="shared" si="3596"/>
        <v>0.86619867856319488</v>
      </c>
      <c r="DP846" s="4">
        <f t="shared" si="3596"/>
        <v>0.86619867856319488</v>
      </c>
      <c r="DQ846" s="185">
        <f t="shared" si="3596"/>
        <v>0.8651511817660269</v>
      </c>
      <c r="DR846" s="4">
        <f t="shared" si="3596"/>
        <v>0.86869021558052828</v>
      </c>
      <c r="DS846" s="4">
        <f t="shared" si="3596"/>
        <v>0.86869021558052828</v>
      </c>
      <c r="DT846" s="185">
        <f t="shared" si="3596"/>
        <v>0.86758091647232738</v>
      </c>
      <c r="DU846" s="4">
        <f t="shared" si="3596"/>
        <v>0.87083231132573979</v>
      </c>
      <c r="DV846" s="4">
        <f t="shared" si="3596"/>
        <v>0.87083231132573979</v>
      </c>
      <c r="DW846" s="185">
        <f t="shared" si="3596"/>
        <v>0.869657563570155</v>
      </c>
      <c r="DX846" s="4">
        <f t="shared" si="3596"/>
        <v>0.87262807868927783</v>
      </c>
      <c r="DY846" s="4">
        <f t="shared" si="3596"/>
        <v>0.87262807868927783</v>
      </c>
      <c r="DZ846" s="185">
        <f t="shared" si="3596"/>
        <v>0.87138402081611344</v>
      </c>
      <c r="EA846" s="4">
        <f t="shared" si="3596"/>
        <v>0.87407967993168834</v>
      </c>
      <c r="EB846" s="4">
        <f t="shared" si="3596"/>
        <v>0.87407967993168834</v>
      </c>
      <c r="EC846" s="185">
        <f t="shared" si="3596"/>
        <v>0.87276222264400738</v>
      </c>
      <c r="ED846" s="4">
        <f t="shared" si="3596"/>
        <v>0.87518832481553333</v>
      </c>
      <c r="EE846" s="4">
        <f t="shared" si="3596"/>
        <v>0.87518832481553333</v>
      </c>
      <c r="EF846" s="185">
        <f t="shared" si="3596"/>
        <v>0.87379313754787913</v>
      </c>
      <c r="EG846" s="4">
        <f t="shared" ref="EG846:EL846" si="3597">1-EG840-EG852</f>
        <v>0.87595426603542081</v>
      </c>
      <c r="EH846" s="4">
        <f t="shared" si="3597"/>
        <v>0.87595426603542081</v>
      </c>
      <c r="EI846" s="185">
        <f t="shared" si="3597"/>
        <v>0.87447676271897501</v>
      </c>
      <c r="EJ846" s="4">
        <f t="shared" si="3597"/>
        <v>0.87637679191061568</v>
      </c>
      <c r="EK846" s="4">
        <f t="shared" si="3597"/>
        <v>0.87637679191061568</v>
      </c>
      <c r="EL846" s="185">
        <f t="shared" si="3597"/>
        <v>0.87481211589849961</v>
      </c>
      <c r="EM846" s="4">
        <f t="shared" ref="EM846:ER846" si="3598">1-EM840-EM852</f>
        <v>0.87645421629668596</v>
      </c>
      <c r="EN846" s="4">
        <f t="shared" si="3598"/>
        <v>0.87645421629668596</v>
      </c>
      <c r="EO846" s="185">
        <f t="shared" si="3598"/>
        <v>0.87479722439985497</v>
      </c>
      <c r="EP846" s="4">
        <f t="shared" si="3598"/>
        <v>0.87618386566442652</v>
      </c>
      <c r="EQ846" s="4">
        <f t="shared" si="3598"/>
        <v>0.87618386566442652</v>
      </c>
      <c r="ER846" s="185">
        <f t="shared" si="3598"/>
        <v>0.87442911124568257</v>
      </c>
      <c r="ES846" s="4">
        <f t="shared" ref="ES846:EX846" si="3599">1-ES840-ES852</f>
        <v>0.87556206328588559</v>
      </c>
      <c r="ET846" s="4">
        <f t="shared" si="3599"/>
        <v>0.87556206328588559</v>
      </c>
      <c r="EU846" s="185">
        <f t="shared" si="3599"/>
        <v>0.87370377835643576</v>
      </c>
      <c r="EV846" s="4">
        <f t="shared" si="3599"/>
        <v>0.87458411045865192</v>
      </c>
      <c r="EW846" s="4">
        <f t="shared" si="3599"/>
        <v>0.87458411045865192</v>
      </c>
      <c r="EX846" s="185">
        <f t="shared" si="3599"/>
        <v>0.87261618671836461</v>
      </c>
      <c r="EY846" s="4">
        <f t="shared" ref="EY846:FA846" si="3600">1-EY840-EY852</f>
        <v>0.8732442646906321</v>
      </c>
      <c r="EZ846" s="4">
        <f t="shared" si="3600"/>
        <v>0.8732442646906321</v>
      </c>
      <c r="FA846" s="185">
        <f t="shared" si="3600"/>
        <v>0.87116023344966775</v>
      </c>
      <c r="FH846" s="35"/>
      <c r="FI846" s="35"/>
      <c r="FJ846" s="35"/>
      <c r="FK846" s="35"/>
      <c r="FL846" s="35"/>
      <c r="FM846" s="35"/>
      <c r="FN846" s="35"/>
      <c r="FO846" s="35"/>
      <c r="FP846" s="35"/>
      <c r="FQ846" s="35"/>
    </row>
    <row r="847" spans="1:173" s="321" customFormat="1" hidden="1" outlineLevel="1">
      <c r="A847" s="1168"/>
      <c r="B847" s="186"/>
      <c r="C847" s="186" t="s">
        <v>317</v>
      </c>
      <c r="D847" s="910"/>
      <c r="E847" s="1"/>
      <c r="F847" s="1"/>
      <c r="G847" s="5"/>
      <c r="H847" s="1"/>
      <c r="I847" s="1"/>
      <c r="J847" s="5"/>
      <c r="K847" s="1"/>
      <c r="L847" s="1"/>
      <c r="M847" s="5"/>
      <c r="N847" s="1"/>
      <c r="O847" s="1"/>
      <c r="P847" s="5"/>
      <c r="Q847" s="1"/>
      <c r="R847" s="1"/>
      <c r="S847" s="5"/>
      <c r="T847" s="1"/>
      <c r="U847" s="1"/>
      <c r="V847" s="5"/>
      <c r="W847" s="1"/>
      <c r="X847" s="1"/>
      <c r="Y847" s="5"/>
      <c r="Z847" s="1"/>
      <c r="AA847" s="1"/>
      <c r="AB847" s="5"/>
      <c r="AC847" s="1"/>
      <c r="AD847" s="1"/>
      <c r="AE847" s="5"/>
      <c r="AF847" s="1"/>
      <c r="AG847" s="1"/>
      <c r="AH847" s="5"/>
      <c r="AI847" s="1"/>
      <c r="AJ847" s="1"/>
      <c r="AK847" s="5"/>
      <c r="AL847" s="1"/>
      <c r="AM847" s="1"/>
      <c r="AN847" s="5"/>
      <c r="AO847" s="1"/>
      <c r="AP847" s="1"/>
      <c r="AQ847" s="5"/>
      <c r="AR847" s="1"/>
      <c r="AS847" s="1"/>
      <c r="AT847" s="5"/>
      <c r="AU847" s="1"/>
      <c r="AV847" s="1"/>
      <c r="AW847" s="26"/>
      <c r="AX847" s="185">
        <f t="shared" ref="AX847:BG849" si="3601">AX846</f>
        <v>0.6905</v>
      </c>
      <c r="AY847" s="185">
        <f t="shared" si="3601"/>
        <v>0.69021974999999991</v>
      </c>
      <c r="AZ847" s="185">
        <f t="shared" si="3601"/>
        <v>0.68993949999999993</v>
      </c>
      <c r="BA847" s="4">
        <f t="shared" si="3601"/>
        <v>0.70398271525</v>
      </c>
      <c r="BB847" s="4">
        <f t="shared" si="3601"/>
        <v>0.70398271525</v>
      </c>
      <c r="BC847" s="971">
        <f t="shared" si="3601"/>
        <v>0.70368593049999995</v>
      </c>
      <c r="BD847" s="4">
        <f t="shared" si="3601"/>
        <v>0.71702618344975</v>
      </c>
      <c r="BE847" s="4">
        <f t="shared" si="3601"/>
        <v>0.71702618344975</v>
      </c>
      <c r="BF847" s="971">
        <f t="shared" si="3601"/>
        <v>0.71671188839949995</v>
      </c>
      <c r="BG847" s="4">
        <f t="shared" si="3601"/>
        <v>0.72938091054688525</v>
      </c>
      <c r="BH847" s="4">
        <f t="shared" ref="BH847:BQ849" si="3602">BH846</f>
        <v>0.72938091054688525</v>
      </c>
      <c r="BI847" s="971">
        <f t="shared" si="3602"/>
        <v>0.72904807208867051</v>
      </c>
      <c r="BJ847" s="121">
        <f t="shared" si="3602"/>
        <v>0.74107596783007335</v>
      </c>
      <c r="BK847" s="121">
        <f t="shared" si="3602"/>
        <v>0.74107596783007335</v>
      </c>
      <c r="BL847" s="114">
        <f t="shared" si="3602"/>
        <v>0.74072349190282394</v>
      </c>
      <c r="BM847" s="121">
        <f t="shared" si="3602"/>
        <v>0.75213880979875758</v>
      </c>
      <c r="BN847" s="121">
        <f t="shared" si="3602"/>
        <v>0.75213880979875758</v>
      </c>
      <c r="BO847" s="114">
        <f t="shared" si="3602"/>
        <v>0.75176553779180044</v>
      </c>
      <c r="BP847" s="121">
        <f t="shared" si="3602"/>
        <v>0.76259533804196533</v>
      </c>
      <c r="BQ847" s="121">
        <f t="shared" si="3602"/>
        <v>0.76259533804196533</v>
      </c>
      <c r="BR847" s="114">
        <f t="shared" ref="BR847:CA849" si="3603">BR846</f>
        <v>0.76220004298659771</v>
      </c>
      <c r="BS847" s="4">
        <f t="shared" si="3603"/>
        <v>0.77246996127289158</v>
      </c>
      <c r="BT847" s="4">
        <f t="shared" si="3603"/>
        <v>0.77246996127289158</v>
      </c>
      <c r="BU847" s="185">
        <f t="shared" si="3603"/>
        <v>0.77205134380925722</v>
      </c>
      <c r="BV847" s="4">
        <f t="shared" si="3603"/>
        <v>0.78178565165635006</v>
      </c>
      <c r="BW847" s="4">
        <f t="shared" si="3603"/>
        <v>0.78178565165635006</v>
      </c>
      <c r="BX847" s="185">
        <f t="shared" si="3603"/>
        <v>0.78134233576236134</v>
      </c>
      <c r="BY847" s="4">
        <f t="shared" si="3603"/>
        <v>0.79056399755688511</v>
      </c>
      <c r="BZ847" s="4">
        <f t="shared" si="3603"/>
        <v>0.79056399755688511</v>
      </c>
      <c r="CA847" s="185">
        <f t="shared" si="3603"/>
        <v>0.79009452602515107</v>
      </c>
      <c r="CB847" s="4">
        <f t="shared" ref="CB847:CK849" si="3604">CB846</f>
        <v>0.79882525282630734</v>
      </c>
      <c r="CC847" s="4">
        <f t="shared" si="3604"/>
        <v>0.79882525282630734</v>
      </c>
      <c r="CD847" s="185">
        <f t="shared" si="3604"/>
        <v>0.79832808247420106</v>
      </c>
      <c r="CE847" s="4">
        <f t="shared" si="3604"/>
        <v>0.80658838274065714</v>
      </c>
      <c r="CF847" s="4">
        <f t="shared" si="3604"/>
        <v>0.80658838274065714</v>
      </c>
      <c r="CG847" s="185">
        <f t="shared" si="3604"/>
        <v>0.80606187933777651</v>
      </c>
      <c r="CH847" s="4">
        <f t="shared" si="3604"/>
        <v>0.81387110668806839</v>
      </c>
      <c r="CI847" s="4">
        <f t="shared" si="3604"/>
        <v>0.81387110668806839</v>
      </c>
      <c r="CJ847" s="185">
        <f t="shared" si="3604"/>
        <v>0.81331353958441777</v>
      </c>
      <c r="CK847" s="4">
        <f t="shared" si="3604"/>
        <v>0.82068993770069576</v>
      </c>
      <c r="CL847" s="4">
        <f t="shared" ref="CL847:CU849" si="3605">CL846</f>
        <v>0.82068993770069576</v>
      </c>
      <c r="CM847" s="185">
        <f t="shared" si="3605"/>
        <v>0.82009947413792983</v>
      </c>
      <c r="CN847" s="4">
        <f t="shared" si="3605"/>
        <v>0.82706021891574633</v>
      </c>
      <c r="CO847" s="4">
        <f t="shared" si="3605"/>
        <v>0.82706021891574633</v>
      </c>
      <c r="CP847" s="185">
        <f t="shared" si="3605"/>
        <v>0.82643491800277713</v>
      </c>
      <c r="CQ847" s="4">
        <f t="shared" si="3605"/>
        <v>0.83299615704270902</v>
      </c>
      <c r="CR847" s="4">
        <f t="shared" si="3605"/>
        <v>0.83299615704270902</v>
      </c>
      <c r="CS847" s="185">
        <f t="shared" si="3605"/>
        <v>0.83233396337587462</v>
      </c>
      <c r="CT847" s="4">
        <f t="shared" si="3605"/>
        <v>0.83851085290607985</v>
      </c>
      <c r="CU847" s="4">
        <f t="shared" si="3605"/>
        <v>0.83851085290607985</v>
      </c>
      <c r="CV847" s="185">
        <f t="shared" ref="CV847:DE849" si="3606">CV846</f>
        <v>0.83780958981290221</v>
      </c>
      <c r="CW847" s="4">
        <f t="shared" si="3606"/>
        <v>0.84361632912521212</v>
      </c>
      <c r="CX847" s="4">
        <f t="shared" si="3606"/>
        <v>0.84361632912521212</v>
      </c>
      <c r="CY847" s="185">
        <f t="shared" si="3606"/>
        <v>0.84287369150953706</v>
      </c>
      <c r="CZ847" s="4">
        <f t="shared" si="3606"/>
        <v>0.8483235549853646</v>
      </c>
      <c r="DA847" s="4">
        <f t="shared" si="3606"/>
        <v>0.8483235549853646</v>
      </c>
      <c r="DB847" s="185">
        <f t="shared" si="3606"/>
        <v>0.84753710175036467</v>
      </c>
      <c r="DC847" s="4">
        <f t="shared" si="3606"/>
        <v>0.85264246854654968</v>
      </c>
      <c r="DD847" s="4">
        <f t="shared" si="3606"/>
        <v>0.85264246854654968</v>
      </c>
      <c r="DE847" s="185">
        <f t="shared" si="3606"/>
        <v>0.85180961457068483</v>
      </c>
      <c r="DF847" s="4">
        <f t="shared" ref="DF847:DO849" si="3607">DF846</f>
        <v>0.85658199602938967</v>
      </c>
      <c r="DG847" s="4">
        <f t="shared" si="3607"/>
        <v>0.85658199602938967</v>
      </c>
      <c r="DH847" s="185">
        <f t="shared" si="3607"/>
        <v>0.85570000366894872</v>
      </c>
      <c r="DI847" s="4">
        <f t="shared" si="3607"/>
        <v>0.86015006850983244</v>
      </c>
      <c r="DJ847" s="4">
        <f t="shared" si="3607"/>
        <v>0.86015006850983244</v>
      </c>
      <c r="DK847" s="185">
        <f t="shared" si="3607"/>
        <v>0.85921603860012552</v>
      </c>
      <c r="DL847" s="4">
        <f t="shared" si="3607"/>
        <v>0.86335363594725834</v>
      </c>
      <c r="DM847" s="4">
        <f t="shared" si="3607"/>
        <v>0.86335363594725834</v>
      </c>
      <c r="DN847" s="185">
        <f t="shared" si="3607"/>
        <v>0.86236449827287864</v>
      </c>
      <c r="DO847" s="4">
        <f t="shared" si="3607"/>
        <v>0.86619867856319488</v>
      </c>
      <c r="DP847" s="4">
        <f t="shared" ref="DP847:DY849" si="3608">DP846</f>
        <v>0.86619867856319488</v>
      </c>
      <c r="DQ847" s="185">
        <f t="shared" si="3608"/>
        <v>0.8651511817660269</v>
      </c>
      <c r="DR847" s="4">
        <f t="shared" si="3608"/>
        <v>0.86869021558052828</v>
      </c>
      <c r="DS847" s="4">
        <f t="shared" si="3608"/>
        <v>0.86869021558052828</v>
      </c>
      <c r="DT847" s="185">
        <f t="shared" si="3608"/>
        <v>0.86758091647232738</v>
      </c>
      <c r="DU847" s="4">
        <f t="shared" si="3608"/>
        <v>0.87083231132573979</v>
      </c>
      <c r="DV847" s="4">
        <f t="shared" si="3608"/>
        <v>0.87083231132573979</v>
      </c>
      <c r="DW847" s="185">
        <f t="shared" si="3608"/>
        <v>0.869657563570155</v>
      </c>
      <c r="DX847" s="4">
        <f t="shared" si="3608"/>
        <v>0.87262807868927783</v>
      </c>
      <c r="DY847" s="4">
        <f t="shared" si="3608"/>
        <v>0.87262807868927783</v>
      </c>
      <c r="DZ847" s="185">
        <f t="shared" ref="DZ847:EF849" si="3609">DZ846</f>
        <v>0.87138402081611344</v>
      </c>
      <c r="EA847" s="4">
        <f t="shared" si="3609"/>
        <v>0.87407967993168834</v>
      </c>
      <c r="EB847" s="4">
        <f t="shared" si="3609"/>
        <v>0.87407967993168834</v>
      </c>
      <c r="EC847" s="185">
        <f t="shared" si="3609"/>
        <v>0.87276222264400738</v>
      </c>
      <c r="ED847" s="4">
        <f t="shared" si="3609"/>
        <v>0.87518832481553333</v>
      </c>
      <c r="EE847" s="4">
        <f t="shared" si="3609"/>
        <v>0.87518832481553333</v>
      </c>
      <c r="EF847" s="185">
        <f t="shared" si="3609"/>
        <v>0.87379313754787913</v>
      </c>
      <c r="EG847" s="4">
        <f t="shared" ref="EG847:EL847" si="3610">EG846</f>
        <v>0.87595426603542081</v>
      </c>
      <c r="EH847" s="4">
        <f t="shared" si="3610"/>
        <v>0.87595426603542081</v>
      </c>
      <c r="EI847" s="185">
        <f t="shared" si="3610"/>
        <v>0.87447676271897501</v>
      </c>
      <c r="EJ847" s="4">
        <f t="shared" si="3610"/>
        <v>0.87637679191061568</v>
      </c>
      <c r="EK847" s="4">
        <f t="shared" si="3610"/>
        <v>0.87637679191061568</v>
      </c>
      <c r="EL847" s="185">
        <f t="shared" si="3610"/>
        <v>0.87481211589849961</v>
      </c>
      <c r="EM847" s="4">
        <f t="shared" ref="EM847:ER847" si="3611">EM846</f>
        <v>0.87645421629668596</v>
      </c>
      <c r="EN847" s="4">
        <f t="shared" si="3611"/>
        <v>0.87645421629668596</v>
      </c>
      <c r="EO847" s="185">
        <f t="shared" si="3611"/>
        <v>0.87479722439985497</v>
      </c>
      <c r="EP847" s="4">
        <f t="shared" si="3611"/>
        <v>0.87618386566442652</v>
      </c>
      <c r="EQ847" s="4">
        <f t="shared" si="3611"/>
        <v>0.87618386566442652</v>
      </c>
      <c r="ER847" s="185">
        <f t="shared" si="3611"/>
        <v>0.87442911124568257</v>
      </c>
      <c r="ES847" s="4">
        <f t="shared" ref="ES847:EX847" si="3612">ES846</f>
        <v>0.87556206328588559</v>
      </c>
      <c r="ET847" s="4">
        <f t="shared" si="3612"/>
        <v>0.87556206328588559</v>
      </c>
      <c r="EU847" s="185">
        <f t="shared" si="3612"/>
        <v>0.87370377835643576</v>
      </c>
      <c r="EV847" s="4">
        <f t="shared" si="3612"/>
        <v>0.87458411045865192</v>
      </c>
      <c r="EW847" s="4">
        <f t="shared" si="3612"/>
        <v>0.87458411045865192</v>
      </c>
      <c r="EX847" s="185">
        <f t="shared" si="3612"/>
        <v>0.87261618671836461</v>
      </c>
      <c r="EY847" s="4">
        <f t="shared" ref="EY847:FA847" si="3613">EY846</f>
        <v>0.8732442646906321</v>
      </c>
      <c r="EZ847" s="4">
        <f t="shared" si="3613"/>
        <v>0.8732442646906321</v>
      </c>
      <c r="FA847" s="185">
        <f t="shared" si="3613"/>
        <v>0.87116023344966775</v>
      </c>
      <c r="FH847" s="35"/>
      <c r="FI847" s="35"/>
      <c r="FJ847" s="35"/>
      <c r="FK847" s="35"/>
      <c r="FL847" s="35"/>
      <c r="FM847" s="35"/>
      <c r="FN847" s="35"/>
      <c r="FO847" s="35"/>
      <c r="FP847" s="35"/>
      <c r="FQ847" s="35"/>
    </row>
    <row r="848" spans="1:173" s="321" customFormat="1" hidden="1" outlineLevel="1">
      <c r="A848" s="1168"/>
      <c r="B848" s="186"/>
      <c r="C848" s="186" t="s">
        <v>431</v>
      </c>
      <c r="D848" s="910"/>
      <c r="E848" s="1"/>
      <c r="F848" s="1"/>
      <c r="G848" s="5"/>
      <c r="H848" s="1"/>
      <c r="I848" s="1"/>
      <c r="J848" s="5"/>
      <c r="K848" s="1"/>
      <c r="L848" s="1"/>
      <c r="M848" s="5"/>
      <c r="N848" s="1"/>
      <c r="O848" s="1"/>
      <c r="P848" s="5"/>
      <c r="Q848" s="1"/>
      <c r="R848" s="1"/>
      <c r="S848" s="5"/>
      <c r="T848" s="1"/>
      <c r="U848" s="1"/>
      <c r="V848" s="5"/>
      <c r="W848" s="1"/>
      <c r="X848" s="1"/>
      <c r="Y848" s="5"/>
      <c r="Z848" s="1"/>
      <c r="AA848" s="1"/>
      <c r="AB848" s="5"/>
      <c r="AC848" s="1"/>
      <c r="AD848" s="1"/>
      <c r="AE848" s="5"/>
      <c r="AF848" s="1"/>
      <c r="AG848" s="1"/>
      <c r="AH848" s="5"/>
      <c r="AI848" s="1"/>
      <c r="AJ848" s="1"/>
      <c r="AK848" s="5"/>
      <c r="AL848" s="1"/>
      <c r="AM848" s="1"/>
      <c r="AN848" s="5"/>
      <c r="AO848" s="1"/>
      <c r="AP848" s="1"/>
      <c r="AQ848" s="5"/>
      <c r="AR848" s="1"/>
      <c r="AS848" s="1"/>
      <c r="AT848" s="5"/>
      <c r="AU848" s="1"/>
      <c r="AV848" s="1"/>
      <c r="AW848" s="26"/>
      <c r="AX848" s="185">
        <f t="shared" si="3601"/>
        <v>0.6905</v>
      </c>
      <c r="AY848" s="185">
        <f t="shared" si="3601"/>
        <v>0.69021974999999991</v>
      </c>
      <c r="AZ848" s="185">
        <f t="shared" si="3601"/>
        <v>0.68993949999999993</v>
      </c>
      <c r="BA848" s="4">
        <f t="shared" si="3601"/>
        <v>0.70398271525</v>
      </c>
      <c r="BB848" s="4">
        <f t="shared" si="3601"/>
        <v>0.70398271525</v>
      </c>
      <c r="BC848" s="971">
        <f t="shared" si="3601"/>
        <v>0.70368593049999995</v>
      </c>
      <c r="BD848" s="4">
        <f t="shared" si="3601"/>
        <v>0.71702618344975</v>
      </c>
      <c r="BE848" s="4">
        <f t="shared" si="3601"/>
        <v>0.71702618344975</v>
      </c>
      <c r="BF848" s="971">
        <f t="shared" si="3601"/>
        <v>0.71671188839949995</v>
      </c>
      <c r="BG848" s="4">
        <f t="shared" si="3601"/>
        <v>0.72938091054688525</v>
      </c>
      <c r="BH848" s="4">
        <f t="shared" si="3602"/>
        <v>0.72938091054688525</v>
      </c>
      <c r="BI848" s="971">
        <f t="shared" si="3602"/>
        <v>0.72904807208867051</v>
      </c>
      <c r="BJ848" s="121">
        <f t="shared" si="3602"/>
        <v>0.74107596783007335</v>
      </c>
      <c r="BK848" s="121">
        <f t="shared" si="3602"/>
        <v>0.74107596783007335</v>
      </c>
      <c r="BL848" s="114">
        <f t="shared" si="3602"/>
        <v>0.74072349190282394</v>
      </c>
      <c r="BM848" s="121">
        <f t="shared" si="3602"/>
        <v>0.75213880979875758</v>
      </c>
      <c r="BN848" s="121">
        <f t="shared" si="3602"/>
        <v>0.75213880979875758</v>
      </c>
      <c r="BO848" s="114">
        <f t="shared" si="3602"/>
        <v>0.75176553779180044</v>
      </c>
      <c r="BP848" s="121">
        <f t="shared" si="3602"/>
        <v>0.76259533804196533</v>
      </c>
      <c r="BQ848" s="121">
        <f t="shared" si="3602"/>
        <v>0.76259533804196533</v>
      </c>
      <c r="BR848" s="114">
        <f t="shared" si="3603"/>
        <v>0.76220004298659771</v>
      </c>
      <c r="BS848" s="4">
        <f t="shared" si="3603"/>
        <v>0.77246996127289158</v>
      </c>
      <c r="BT848" s="4">
        <f t="shared" si="3603"/>
        <v>0.77246996127289158</v>
      </c>
      <c r="BU848" s="185">
        <f t="shared" si="3603"/>
        <v>0.77205134380925722</v>
      </c>
      <c r="BV848" s="4">
        <f t="shared" si="3603"/>
        <v>0.78178565165635006</v>
      </c>
      <c r="BW848" s="4">
        <f t="shared" si="3603"/>
        <v>0.78178565165635006</v>
      </c>
      <c r="BX848" s="185">
        <f t="shared" si="3603"/>
        <v>0.78134233576236134</v>
      </c>
      <c r="BY848" s="4">
        <f t="shared" si="3603"/>
        <v>0.79056399755688511</v>
      </c>
      <c r="BZ848" s="4">
        <f t="shared" si="3603"/>
        <v>0.79056399755688511</v>
      </c>
      <c r="CA848" s="185">
        <f t="shared" si="3603"/>
        <v>0.79009452602515107</v>
      </c>
      <c r="CB848" s="4">
        <f t="shared" si="3604"/>
        <v>0.79882525282630734</v>
      </c>
      <c r="CC848" s="4">
        <f t="shared" si="3604"/>
        <v>0.79882525282630734</v>
      </c>
      <c r="CD848" s="185">
        <f t="shared" si="3604"/>
        <v>0.79832808247420106</v>
      </c>
      <c r="CE848" s="4">
        <f t="shared" si="3604"/>
        <v>0.80658838274065714</v>
      </c>
      <c r="CF848" s="4">
        <f t="shared" si="3604"/>
        <v>0.80658838274065714</v>
      </c>
      <c r="CG848" s="185">
        <f t="shared" si="3604"/>
        <v>0.80606187933777651</v>
      </c>
      <c r="CH848" s="4">
        <f t="shared" si="3604"/>
        <v>0.81387110668806839</v>
      </c>
      <c r="CI848" s="4">
        <f t="shared" si="3604"/>
        <v>0.81387110668806839</v>
      </c>
      <c r="CJ848" s="185">
        <f t="shared" si="3604"/>
        <v>0.81331353958441777</v>
      </c>
      <c r="CK848" s="4">
        <f t="shared" si="3604"/>
        <v>0.82068993770069576</v>
      </c>
      <c r="CL848" s="4">
        <f t="shared" si="3605"/>
        <v>0.82068993770069576</v>
      </c>
      <c r="CM848" s="185">
        <f t="shared" si="3605"/>
        <v>0.82009947413792983</v>
      </c>
      <c r="CN848" s="4">
        <f t="shared" si="3605"/>
        <v>0.82706021891574633</v>
      </c>
      <c r="CO848" s="4">
        <f t="shared" si="3605"/>
        <v>0.82706021891574633</v>
      </c>
      <c r="CP848" s="185">
        <f t="shared" si="3605"/>
        <v>0.82643491800277713</v>
      </c>
      <c r="CQ848" s="4">
        <f t="shared" si="3605"/>
        <v>0.83299615704270902</v>
      </c>
      <c r="CR848" s="4">
        <f t="shared" si="3605"/>
        <v>0.83299615704270902</v>
      </c>
      <c r="CS848" s="185">
        <f t="shared" si="3605"/>
        <v>0.83233396337587462</v>
      </c>
      <c r="CT848" s="4">
        <f t="shared" si="3605"/>
        <v>0.83851085290607985</v>
      </c>
      <c r="CU848" s="4">
        <f t="shared" si="3605"/>
        <v>0.83851085290607985</v>
      </c>
      <c r="CV848" s="185">
        <f t="shared" si="3606"/>
        <v>0.83780958981290221</v>
      </c>
      <c r="CW848" s="4">
        <f t="shared" si="3606"/>
        <v>0.84361632912521212</v>
      </c>
      <c r="CX848" s="4">
        <f t="shared" si="3606"/>
        <v>0.84361632912521212</v>
      </c>
      <c r="CY848" s="185">
        <f t="shared" si="3606"/>
        <v>0.84287369150953706</v>
      </c>
      <c r="CZ848" s="4">
        <f t="shared" si="3606"/>
        <v>0.8483235549853646</v>
      </c>
      <c r="DA848" s="4">
        <f t="shared" si="3606"/>
        <v>0.8483235549853646</v>
      </c>
      <c r="DB848" s="185">
        <f t="shared" si="3606"/>
        <v>0.84753710175036467</v>
      </c>
      <c r="DC848" s="4">
        <f t="shared" si="3606"/>
        <v>0.85264246854654968</v>
      </c>
      <c r="DD848" s="4">
        <f t="shared" si="3606"/>
        <v>0.85264246854654968</v>
      </c>
      <c r="DE848" s="185">
        <f t="shared" si="3606"/>
        <v>0.85180961457068483</v>
      </c>
      <c r="DF848" s="4">
        <f t="shared" si="3607"/>
        <v>0.85658199602938967</v>
      </c>
      <c r="DG848" s="4">
        <f t="shared" si="3607"/>
        <v>0.85658199602938967</v>
      </c>
      <c r="DH848" s="185">
        <f t="shared" si="3607"/>
        <v>0.85570000366894872</v>
      </c>
      <c r="DI848" s="4">
        <f t="shared" si="3607"/>
        <v>0.86015006850983244</v>
      </c>
      <c r="DJ848" s="4">
        <f t="shared" si="3607"/>
        <v>0.86015006850983244</v>
      </c>
      <c r="DK848" s="185">
        <f t="shared" si="3607"/>
        <v>0.85921603860012552</v>
      </c>
      <c r="DL848" s="4">
        <f t="shared" si="3607"/>
        <v>0.86335363594725834</v>
      </c>
      <c r="DM848" s="4">
        <f t="shared" si="3607"/>
        <v>0.86335363594725834</v>
      </c>
      <c r="DN848" s="185">
        <f t="shared" si="3607"/>
        <v>0.86236449827287864</v>
      </c>
      <c r="DO848" s="4">
        <f t="shared" si="3607"/>
        <v>0.86619867856319488</v>
      </c>
      <c r="DP848" s="4">
        <f t="shared" si="3608"/>
        <v>0.86619867856319488</v>
      </c>
      <c r="DQ848" s="185">
        <f t="shared" si="3608"/>
        <v>0.8651511817660269</v>
      </c>
      <c r="DR848" s="4">
        <f t="shared" si="3608"/>
        <v>0.86869021558052828</v>
      </c>
      <c r="DS848" s="4">
        <f t="shared" si="3608"/>
        <v>0.86869021558052828</v>
      </c>
      <c r="DT848" s="185">
        <f t="shared" si="3608"/>
        <v>0.86758091647232738</v>
      </c>
      <c r="DU848" s="4">
        <f t="shared" si="3608"/>
        <v>0.87083231132573979</v>
      </c>
      <c r="DV848" s="4">
        <f t="shared" si="3608"/>
        <v>0.87083231132573979</v>
      </c>
      <c r="DW848" s="185">
        <f t="shared" si="3608"/>
        <v>0.869657563570155</v>
      </c>
      <c r="DX848" s="4">
        <f t="shared" si="3608"/>
        <v>0.87262807868927783</v>
      </c>
      <c r="DY848" s="4">
        <f t="shared" si="3608"/>
        <v>0.87262807868927783</v>
      </c>
      <c r="DZ848" s="185">
        <f t="shared" si="3609"/>
        <v>0.87138402081611344</v>
      </c>
      <c r="EA848" s="4">
        <f t="shared" si="3609"/>
        <v>0.87407967993168834</v>
      </c>
      <c r="EB848" s="4">
        <f t="shared" si="3609"/>
        <v>0.87407967993168834</v>
      </c>
      <c r="EC848" s="185">
        <f t="shared" si="3609"/>
        <v>0.87276222264400738</v>
      </c>
      <c r="ED848" s="4">
        <f t="shared" si="3609"/>
        <v>0.87518832481553333</v>
      </c>
      <c r="EE848" s="4">
        <f t="shared" si="3609"/>
        <v>0.87518832481553333</v>
      </c>
      <c r="EF848" s="185">
        <f t="shared" si="3609"/>
        <v>0.87379313754787913</v>
      </c>
      <c r="EG848" s="4">
        <f t="shared" ref="EG848:EL848" si="3614">EG847</f>
        <v>0.87595426603542081</v>
      </c>
      <c r="EH848" s="4">
        <f t="shared" si="3614"/>
        <v>0.87595426603542081</v>
      </c>
      <c r="EI848" s="185">
        <f t="shared" si="3614"/>
        <v>0.87447676271897501</v>
      </c>
      <c r="EJ848" s="4">
        <f t="shared" si="3614"/>
        <v>0.87637679191061568</v>
      </c>
      <c r="EK848" s="4">
        <f t="shared" si="3614"/>
        <v>0.87637679191061568</v>
      </c>
      <c r="EL848" s="185">
        <f t="shared" si="3614"/>
        <v>0.87481211589849961</v>
      </c>
      <c r="EM848" s="4">
        <f t="shared" ref="EM848:ER848" si="3615">EM847</f>
        <v>0.87645421629668596</v>
      </c>
      <c r="EN848" s="4">
        <f t="shared" si="3615"/>
        <v>0.87645421629668596</v>
      </c>
      <c r="EO848" s="185">
        <f t="shared" si="3615"/>
        <v>0.87479722439985497</v>
      </c>
      <c r="EP848" s="4">
        <f t="shared" si="3615"/>
        <v>0.87618386566442652</v>
      </c>
      <c r="EQ848" s="4">
        <f t="shared" si="3615"/>
        <v>0.87618386566442652</v>
      </c>
      <c r="ER848" s="185">
        <f t="shared" si="3615"/>
        <v>0.87442911124568257</v>
      </c>
      <c r="ES848" s="4">
        <f t="shared" ref="ES848:EX848" si="3616">ES847</f>
        <v>0.87556206328588559</v>
      </c>
      <c r="ET848" s="4">
        <f t="shared" si="3616"/>
        <v>0.87556206328588559</v>
      </c>
      <c r="EU848" s="185">
        <f t="shared" si="3616"/>
        <v>0.87370377835643576</v>
      </c>
      <c r="EV848" s="4">
        <f t="shared" si="3616"/>
        <v>0.87458411045865192</v>
      </c>
      <c r="EW848" s="4">
        <f t="shared" si="3616"/>
        <v>0.87458411045865192</v>
      </c>
      <c r="EX848" s="185">
        <f t="shared" si="3616"/>
        <v>0.87261618671836461</v>
      </c>
      <c r="EY848" s="4">
        <f t="shared" ref="EY848:FA848" si="3617">EY847</f>
        <v>0.8732442646906321</v>
      </c>
      <c r="EZ848" s="4">
        <f t="shared" si="3617"/>
        <v>0.8732442646906321</v>
      </c>
      <c r="FA848" s="185">
        <f t="shared" si="3617"/>
        <v>0.87116023344966775</v>
      </c>
      <c r="FH848" s="35"/>
      <c r="FI848" s="35"/>
      <c r="FJ848" s="35"/>
      <c r="FK848" s="35"/>
      <c r="FL848" s="35"/>
      <c r="FM848" s="35"/>
      <c r="FN848" s="35"/>
      <c r="FO848" s="35"/>
      <c r="FP848" s="35"/>
      <c r="FQ848" s="35"/>
    </row>
    <row r="849" spans="1:173" s="321" customFormat="1" hidden="1" outlineLevel="1">
      <c r="A849" s="1168"/>
      <c r="B849" s="186"/>
      <c r="C849" s="186" t="s">
        <v>327</v>
      </c>
      <c r="D849" s="910"/>
      <c r="E849" s="1"/>
      <c r="F849" s="1"/>
      <c r="G849" s="5"/>
      <c r="H849" s="1"/>
      <c r="I849" s="1"/>
      <c r="J849" s="5"/>
      <c r="K849" s="1"/>
      <c r="L849" s="1"/>
      <c r="M849" s="5"/>
      <c r="N849" s="1"/>
      <c r="O849" s="1"/>
      <c r="P849" s="5"/>
      <c r="Q849" s="1"/>
      <c r="R849" s="1"/>
      <c r="S849" s="5"/>
      <c r="T849" s="1"/>
      <c r="U849" s="1"/>
      <c r="V849" s="5"/>
      <c r="W849" s="1"/>
      <c r="X849" s="1"/>
      <c r="Y849" s="5"/>
      <c r="Z849" s="1"/>
      <c r="AA849" s="1"/>
      <c r="AB849" s="5"/>
      <c r="AC849" s="1"/>
      <c r="AD849" s="1"/>
      <c r="AE849" s="5"/>
      <c r="AF849" s="1"/>
      <c r="AG849" s="1"/>
      <c r="AH849" s="5"/>
      <c r="AI849" s="1"/>
      <c r="AJ849" s="1"/>
      <c r="AK849" s="5"/>
      <c r="AL849" s="1"/>
      <c r="AM849" s="1"/>
      <c r="AN849" s="5"/>
      <c r="AO849" s="1"/>
      <c r="AP849" s="1"/>
      <c r="AQ849" s="5"/>
      <c r="AR849" s="1"/>
      <c r="AS849" s="1"/>
      <c r="AT849" s="5"/>
      <c r="AU849" s="1"/>
      <c r="AV849" s="1"/>
      <c r="AW849" s="26"/>
      <c r="AX849" s="185">
        <f t="shared" si="3601"/>
        <v>0.6905</v>
      </c>
      <c r="AY849" s="185">
        <f t="shared" si="3601"/>
        <v>0.69021974999999991</v>
      </c>
      <c r="AZ849" s="185">
        <f t="shared" si="3601"/>
        <v>0.68993949999999993</v>
      </c>
      <c r="BA849" s="4">
        <f t="shared" si="3601"/>
        <v>0.70398271525</v>
      </c>
      <c r="BB849" s="4">
        <f t="shared" si="3601"/>
        <v>0.70398271525</v>
      </c>
      <c r="BC849" s="971">
        <f t="shared" si="3601"/>
        <v>0.70368593049999995</v>
      </c>
      <c r="BD849" s="4">
        <f t="shared" si="3601"/>
        <v>0.71702618344975</v>
      </c>
      <c r="BE849" s="4">
        <f t="shared" si="3601"/>
        <v>0.71702618344975</v>
      </c>
      <c r="BF849" s="971">
        <f t="shared" si="3601"/>
        <v>0.71671188839949995</v>
      </c>
      <c r="BG849" s="4">
        <f t="shared" si="3601"/>
        <v>0.72938091054688525</v>
      </c>
      <c r="BH849" s="4">
        <f t="shared" si="3602"/>
        <v>0.72938091054688525</v>
      </c>
      <c r="BI849" s="971">
        <f t="shared" si="3602"/>
        <v>0.72904807208867051</v>
      </c>
      <c r="BJ849" s="121">
        <f t="shared" si="3602"/>
        <v>0.74107596783007335</v>
      </c>
      <c r="BK849" s="121">
        <f t="shared" si="3602"/>
        <v>0.74107596783007335</v>
      </c>
      <c r="BL849" s="114">
        <f t="shared" si="3602"/>
        <v>0.74072349190282394</v>
      </c>
      <c r="BM849" s="121">
        <f t="shared" si="3602"/>
        <v>0.75213880979875758</v>
      </c>
      <c r="BN849" s="121">
        <f t="shared" si="3602"/>
        <v>0.75213880979875758</v>
      </c>
      <c r="BO849" s="114">
        <f t="shared" si="3602"/>
        <v>0.75176553779180044</v>
      </c>
      <c r="BP849" s="121">
        <f t="shared" si="3602"/>
        <v>0.76259533804196533</v>
      </c>
      <c r="BQ849" s="121">
        <f t="shared" si="3602"/>
        <v>0.76259533804196533</v>
      </c>
      <c r="BR849" s="114">
        <f t="shared" si="3603"/>
        <v>0.76220004298659771</v>
      </c>
      <c r="BS849" s="4">
        <f t="shared" si="3603"/>
        <v>0.77246996127289158</v>
      </c>
      <c r="BT849" s="4">
        <f t="shared" si="3603"/>
        <v>0.77246996127289158</v>
      </c>
      <c r="BU849" s="185">
        <f t="shared" si="3603"/>
        <v>0.77205134380925722</v>
      </c>
      <c r="BV849" s="4">
        <f t="shared" si="3603"/>
        <v>0.78178565165635006</v>
      </c>
      <c r="BW849" s="4">
        <f t="shared" si="3603"/>
        <v>0.78178565165635006</v>
      </c>
      <c r="BX849" s="185">
        <f t="shared" si="3603"/>
        <v>0.78134233576236134</v>
      </c>
      <c r="BY849" s="4">
        <f t="shared" si="3603"/>
        <v>0.79056399755688511</v>
      </c>
      <c r="BZ849" s="4">
        <f t="shared" si="3603"/>
        <v>0.79056399755688511</v>
      </c>
      <c r="CA849" s="185">
        <f t="shared" si="3603"/>
        <v>0.79009452602515107</v>
      </c>
      <c r="CB849" s="4">
        <f t="shared" si="3604"/>
        <v>0.79882525282630734</v>
      </c>
      <c r="CC849" s="4">
        <f t="shared" si="3604"/>
        <v>0.79882525282630734</v>
      </c>
      <c r="CD849" s="185">
        <f t="shared" si="3604"/>
        <v>0.79832808247420106</v>
      </c>
      <c r="CE849" s="4">
        <f t="shared" si="3604"/>
        <v>0.80658838274065714</v>
      </c>
      <c r="CF849" s="4">
        <f t="shared" si="3604"/>
        <v>0.80658838274065714</v>
      </c>
      <c r="CG849" s="185">
        <f t="shared" si="3604"/>
        <v>0.80606187933777651</v>
      </c>
      <c r="CH849" s="4">
        <f t="shared" si="3604"/>
        <v>0.81387110668806839</v>
      </c>
      <c r="CI849" s="4">
        <f t="shared" si="3604"/>
        <v>0.81387110668806839</v>
      </c>
      <c r="CJ849" s="185">
        <f t="shared" si="3604"/>
        <v>0.81331353958441777</v>
      </c>
      <c r="CK849" s="4">
        <f t="shared" si="3604"/>
        <v>0.82068993770069576</v>
      </c>
      <c r="CL849" s="4">
        <f t="shared" si="3605"/>
        <v>0.82068993770069576</v>
      </c>
      <c r="CM849" s="185">
        <f t="shared" si="3605"/>
        <v>0.82009947413792983</v>
      </c>
      <c r="CN849" s="4">
        <f t="shared" si="3605"/>
        <v>0.82706021891574633</v>
      </c>
      <c r="CO849" s="4">
        <f t="shared" si="3605"/>
        <v>0.82706021891574633</v>
      </c>
      <c r="CP849" s="185">
        <f t="shared" si="3605"/>
        <v>0.82643491800277713</v>
      </c>
      <c r="CQ849" s="4">
        <f t="shared" si="3605"/>
        <v>0.83299615704270902</v>
      </c>
      <c r="CR849" s="4">
        <f t="shared" si="3605"/>
        <v>0.83299615704270902</v>
      </c>
      <c r="CS849" s="185">
        <f t="shared" si="3605"/>
        <v>0.83233396337587462</v>
      </c>
      <c r="CT849" s="4">
        <f t="shared" si="3605"/>
        <v>0.83851085290607985</v>
      </c>
      <c r="CU849" s="4">
        <f t="shared" si="3605"/>
        <v>0.83851085290607985</v>
      </c>
      <c r="CV849" s="185">
        <f t="shared" si="3606"/>
        <v>0.83780958981290221</v>
      </c>
      <c r="CW849" s="4">
        <f t="shared" si="3606"/>
        <v>0.84361632912521212</v>
      </c>
      <c r="CX849" s="4">
        <f t="shared" si="3606"/>
        <v>0.84361632912521212</v>
      </c>
      <c r="CY849" s="185">
        <f t="shared" si="3606"/>
        <v>0.84287369150953706</v>
      </c>
      <c r="CZ849" s="4">
        <f t="shared" si="3606"/>
        <v>0.8483235549853646</v>
      </c>
      <c r="DA849" s="4">
        <f t="shared" si="3606"/>
        <v>0.8483235549853646</v>
      </c>
      <c r="DB849" s="185">
        <f t="shared" si="3606"/>
        <v>0.84753710175036467</v>
      </c>
      <c r="DC849" s="4">
        <f t="shared" si="3606"/>
        <v>0.85264246854654968</v>
      </c>
      <c r="DD849" s="4">
        <f t="shared" si="3606"/>
        <v>0.85264246854654968</v>
      </c>
      <c r="DE849" s="185">
        <f t="shared" si="3606"/>
        <v>0.85180961457068483</v>
      </c>
      <c r="DF849" s="4">
        <f t="shared" si="3607"/>
        <v>0.85658199602938967</v>
      </c>
      <c r="DG849" s="4">
        <f t="shared" si="3607"/>
        <v>0.85658199602938967</v>
      </c>
      <c r="DH849" s="185">
        <f t="shared" si="3607"/>
        <v>0.85570000366894872</v>
      </c>
      <c r="DI849" s="4">
        <f t="shared" si="3607"/>
        <v>0.86015006850983244</v>
      </c>
      <c r="DJ849" s="4">
        <f t="shared" si="3607"/>
        <v>0.86015006850983244</v>
      </c>
      <c r="DK849" s="185">
        <f t="shared" si="3607"/>
        <v>0.85921603860012552</v>
      </c>
      <c r="DL849" s="4">
        <f t="shared" si="3607"/>
        <v>0.86335363594725834</v>
      </c>
      <c r="DM849" s="4">
        <f t="shared" si="3607"/>
        <v>0.86335363594725834</v>
      </c>
      <c r="DN849" s="185">
        <f t="shared" si="3607"/>
        <v>0.86236449827287864</v>
      </c>
      <c r="DO849" s="4">
        <f t="shared" si="3607"/>
        <v>0.86619867856319488</v>
      </c>
      <c r="DP849" s="4">
        <f t="shared" si="3608"/>
        <v>0.86619867856319488</v>
      </c>
      <c r="DQ849" s="185">
        <f t="shared" si="3608"/>
        <v>0.8651511817660269</v>
      </c>
      <c r="DR849" s="4">
        <f t="shared" si="3608"/>
        <v>0.86869021558052828</v>
      </c>
      <c r="DS849" s="4">
        <f t="shared" si="3608"/>
        <v>0.86869021558052828</v>
      </c>
      <c r="DT849" s="185">
        <f t="shared" si="3608"/>
        <v>0.86758091647232738</v>
      </c>
      <c r="DU849" s="4">
        <f t="shared" si="3608"/>
        <v>0.87083231132573979</v>
      </c>
      <c r="DV849" s="4">
        <f t="shared" si="3608"/>
        <v>0.87083231132573979</v>
      </c>
      <c r="DW849" s="185">
        <f t="shared" si="3608"/>
        <v>0.869657563570155</v>
      </c>
      <c r="DX849" s="4">
        <f t="shared" si="3608"/>
        <v>0.87262807868927783</v>
      </c>
      <c r="DY849" s="4">
        <f t="shared" si="3608"/>
        <v>0.87262807868927783</v>
      </c>
      <c r="DZ849" s="185">
        <f t="shared" si="3609"/>
        <v>0.87138402081611344</v>
      </c>
      <c r="EA849" s="4">
        <f t="shared" si="3609"/>
        <v>0.87407967993168834</v>
      </c>
      <c r="EB849" s="4">
        <f t="shared" si="3609"/>
        <v>0.87407967993168834</v>
      </c>
      <c r="EC849" s="185">
        <f t="shared" si="3609"/>
        <v>0.87276222264400738</v>
      </c>
      <c r="ED849" s="4">
        <f t="shared" si="3609"/>
        <v>0.87518832481553333</v>
      </c>
      <c r="EE849" s="4">
        <f t="shared" si="3609"/>
        <v>0.87518832481553333</v>
      </c>
      <c r="EF849" s="185">
        <f t="shared" si="3609"/>
        <v>0.87379313754787913</v>
      </c>
      <c r="EG849" s="4">
        <f t="shared" ref="EG849:EL849" si="3618">EG848</f>
        <v>0.87595426603542081</v>
      </c>
      <c r="EH849" s="4">
        <f t="shared" si="3618"/>
        <v>0.87595426603542081</v>
      </c>
      <c r="EI849" s="185">
        <f t="shared" si="3618"/>
        <v>0.87447676271897501</v>
      </c>
      <c r="EJ849" s="4">
        <f t="shared" si="3618"/>
        <v>0.87637679191061568</v>
      </c>
      <c r="EK849" s="4">
        <f t="shared" si="3618"/>
        <v>0.87637679191061568</v>
      </c>
      <c r="EL849" s="185">
        <f t="shared" si="3618"/>
        <v>0.87481211589849961</v>
      </c>
      <c r="EM849" s="4">
        <f t="shared" ref="EM849:ER849" si="3619">EM848</f>
        <v>0.87645421629668596</v>
      </c>
      <c r="EN849" s="4">
        <f t="shared" si="3619"/>
        <v>0.87645421629668596</v>
      </c>
      <c r="EO849" s="185">
        <f t="shared" si="3619"/>
        <v>0.87479722439985497</v>
      </c>
      <c r="EP849" s="4">
        <f t="shared" si="3619"/>
        <v>0.87618386566442652</v>
      </c>
      <c r="EQ849" s="4">
        <f t="shared" si="3619"/>
        <v>0.87618386566442652</v>
      </c>
      <c r="ER849" s="185">
        <f t="shared" si="3619"/>
        <v>0.87442911124568257</v>
      </c>
      <c r="ES849" s="4">
        <f t="shared" ref="ES849:EX849" si="3620">ES848</f>
        <v>0.87556206328588559</v>
      </c>
      <c r="ET849" s="4">
        <f t="shared" si="3620"/>
        <v>0.87556206328588559</v>
      </c>
      <c r="EU849" s="185">
        <f t="shared" si="3620"/>
        <v>0.87370377835643576</v>
      </c>
      <c r="EV849" s="4">
        <f t="shared" si="3620"/>
        <v>0.87458411045865192</v>
      </c>
      <c r="EW849" s="4">
        <f t="shared" si="3620"/>
        <v>0.87458411045865192</v>
      </c>
      <c r="EX849" s="185">
        <f t="shared" si="3620"/>
        <v>0.87261618671836461</v>
      </c>
      <c r="EY849" s="4">
        <f t="shared" ref="EY849:FA849" si="3621">EY848</f>
        <v>0.8732442646906321</v>
      </c>
      <c r="EZ849" s="4">
        <f t="shared" si="3621"/>
        <v>0.8732442646906321</v>
      </c>
      <c r="FA849" s="185">
        <f t="shared" si="3621"/>
        <v>0.87116023344966775</v>
      </c>
      <c r="FH849" s="35"/>
      <c r="FI849" s="35"/>
      <c r="FJ849" s="35"/>
      <c r="FK849" s="35"/>
      <c r="FL849" s="35"/>
      <c r="FM849" s="35"/>
      <c r="FN849" s="35"/>
      <c r="FO849" s="35"/>
      <c r="FP849" s="35"/>
      <c r="FQ849" s="35"/>
    </row>
    <row r="850" spans="1:173" s="321" customFormat="1" hidden="1" outlineLevel="1">
      <c r="A850" s="1168"/>
      <c r="B850" s="186"/>
      <c r="C850" s="186"/>
      <c r="D850" s="910"/>
      <c r="E850" s="1"/>
      <c r="F850" s="1"/>
      <c r="G850" s="5"/>
      <c r="H850" s="1"/>
      <c r="I850" s="1"/>
      <c r="J850" s="5"/>
      <c r="K850" s="1"/>
      <c r="L850" s="1"/>
      <c r="M850" s="5"/>
      <c r="N850" s="1"/>
      <c r="O850" s="1"/>
      <c r="P850" s="5"/>
      <c r="Q850" s="1"/>
      <c r="R850" s="1"/>
      <c r="S850" s="5"/>
      <c r="T850" s="1"/>
      <c r="U850" s="1"/>
      <c r="V850" s="5"/>
      <c r="W850" s="1"/>
      <c r="X850" s="1"/>
      <c r="Y850" s="5"/>
      <c r="Z850" s="1"/>
      <c r="AA850" s="1"/>
      <c r="AB850" s="5"/>
      <c r="AC850" s="1"/>
      <c r="AD850" s="1"/>
      <c r="AE850" s="5"/>
      <c r="AF850" s="1"/>
      <c r="AG850" s="1"/>
      <c r="AH850" s="5"/>
      <c r="AI850" s="1"/>
      <c r="AJ850" s="1"/>
      <c r="AK850" s="5"/>
      <c r="AL850" s="1"/>
      <c r="AM850" s="1"/>
      <c r="AN850" s="5"/>
      <c r="AO850" s="1"/>
      <c r="AP850" s="1"/>
      <c r="AQ850" s="5"/>
      <c r="AR850" s="1"/>
      <c r="AS850" s="1"/>
      <c r="AT850" s="5"/>
      <c r="AU850" s="1"/>
      <c r="AV850" s="1"/>
      <c r="AW850" s="26"/>
      <c r="AX850" s="185"/>
      <c r="AY850" s="185"/>
      <c r="AZ850" s="185"/>
      <c r="BA850" s="4"/>
      <c r="BB850" s="4"/>
      <c r="BC850" s="971"/>
      <c r="BD850" s="4"/>
      <c r="BE850" s="4"/>
      <c r="BF850" s="971"/>
      <c r="BG850" s="4"/>
      <c r="BH850" s="4"/>
      <c r="BI850" s="971"/>
      <c r="BJ850" s="121"/>
      <c r="BK850" s="121"/>
      <c r="BL850" s="114"/>
      <c r="BM850" s="121"/>
      <c r="BN850" s="121"/>
      <c r="BO850" s="114"/>
      <c r="BP850" s="121"/>
      <c r="BQ850" s="121"/>
      <c r="BR850" s="114"/>
      <c r="BS850" s="4"/>
      <c r="BT850" s="4"/>
      <c r="BU850" s="185"/>
      <c r="BV850" s="4"/>
      <c r="BW850" s="4"/>
      <c r="BX850" s="185"/>
      <c r="BY850" s="4"/>
      <c r="BZ850" s="4"/>
      <c r="CA850" s="185"/>
      <c r="CB850" s="4"/>
      <c r="CC850" s="4"/>
      <c r="CD850" s="185"/>
      <c r="CE850" s="4"/>
      <c r="CF850" s="4"/>
      <c r="CG850" s="185"/>
      <c r="CH850" s="4"/>
      <c r="CI850" s="4"/>
      <c r="CJ850" s="185"/>
      <c r="CK850" s="4"/>
      <c r="CL850" s="4"/>
      <c r="CM850" s="185"/>
      <c r="CN850" s="4"/>
      <c r="CO850" s="4"/>
      <c r="CP850" s="185"/>
      <c r="CQ850" s="4"/>
      <c r="CR850" s="4"/>
      <c r="CS850" s="185"/>
      <c r="CT850" s="4"/>
      <c r="CU850" s="4"/>
      <c r="CV850" s="185"/>
      <c r="CW850" s="4"/>
      <c r="CX850" s="4"/>
      <c r="CY850" s="185"/>
      <c r="CZ850" s="4"/>
      <c r="DA850" s="4"/>
      <c r="DB850" s="185"/>
      <c r="DC850" s="4"/>
      <c r="DD850" s="4"/>
      <c r="DE850" s="185"/>
      <c r="DF850" s="4"/>
      <c r="DG850" s="4"/>
      <c r="DH850" s="185"/>
      <c r="DI850" s="4"/>
      <c r="DJ850" s="4"/>
      <c r="DK850" s="185"/>
      <c r="DL850" s="4"/>
      <c r="DM850" s="4"/>
      <c r="DN850" s="185"/>
      <c r="DO850" s="4"/>
      <c r="DP850" s="4"/>
      <c r="DQ850" s="185"/>
      <c r="DR850" s="4"/>
      <c r="DS850" s="4"/>
      <c r="DT850" s="185"/>
      <c r="DU850" s="4"/>
      <c r="DV850" s="4"/>
      <c r="DW850" s="185"/>
      <c r="DX850" s="4"/>
      <c r="DY850" s="4"/>
      <c r="DZ850" s="185"/>
      <c r="EA850" s="4"/>
      <c r="EB850" s="4"/>
      <c r="EC850" s="185"/>
      <c r="ED850" s="4"/>
      <c r="EE850" s="4"/>
      <c r="EF850" s="185"/>
      <c r="EG850" s="4"/>
      <c r="EH850" s="4"/>
      <c r="EI850" s="185"/>
      <c r="EJ850" s="4"/>
      <c r="EK850" s="4"/>
      <c r="EL850" s="185"/>
      <c r="EM850" s="4"/>
      <c r="EN850" s="4"/>
      <c r="EO850" s="185"/>
      <c r="EP850" s="4"/>
      <c r="EQ850" s="4"/>
      <c r="ER850" s="185"/>
      <c r="ES850" s="4"/>
      <c r="ET850" s="4"/>
      <c r="EU850" s="185"/>
      <c r="EV850" s="4"/>
      <c r="EW850" s="4"/>
      <c r="EX850" s="185"/>
      <c r="EY850" s="4"/>
      <c r="EZ850" s="4"/>
      <c r="FA850" s="185"/>
      <c r="FH850" s="35"/>
      <c r="FI850" s="35"/>
      <c r="FJ850" s="35"/>
      <c r="FK850" s="35"/>
      <c r="FL850" s="35"/>
      <c r="FM850" s="35"/>
      <c r="FN850" s="35"/>
      <c r="FO850" s="35"/>
      <c r="FP850" s="35"/>
      <c r="FQ850" s="35"/>
    </row>
    <row r="851" spans="1:173" s="321" customFormat="1" hidden="1" outlineLevel="1">
      <c r="A851" s="1168"/>
      <c r="B851" s="186"/>
      <c r="C851" s="331" t="s">
        <v>439</v>
      </c>
      <c r="D851" s="910"/>
      <c r="E851" s="1"/>
      <c r="F851" s="1"/>
      <c r="G851" s="5"/>
      <c r="H851" s="1"/>
      <c r="I851" s="1"/>
      <c r="J851" s="5"/>
      <c r="K851" s="1"/>
      <c r="L851" s="1"/>
      <c r="M851" s="5"/>
      <c r="N851" s="1"/>
      <c r="O851" s="1"/>
      <c r="P851" s="5"/>
      <c r="Q851" s="1"/>
      <c r="R851" s="1"/>
      <c r="S851" s="5"/>
      <c r="T851" s="1"/>
      <c r="U851" s="1"/>
      <c r="V851" s="5"/>
      <c r="W851" s="1"/>
      <c r="X851" s="1"/>
      <c r="Y851" s="5"/>
      <c r="Z851" s="1"/>
      <c r="AA851" s="1"/>
      <c r="AB851" s="5"/>
      <c r="AC851" s="1"/>
      <c r="AD851" s="1"/>
      <c r="AE851" s="5"/>
      <c r="AF851" s="1"/>
      <c r="AG851" s="1"/>
      <c r="AH851" s="5"/>
      <c r="AI851" s="1"/>
      <c r="AJ851" s="1"/>
      <c r="AK851" s="5"/>
      <c r="AL851" s="1"/>
      <c r="AM851" s="1"/>
      <c r="AN851" s="5"/>
      <c r="AO851" s="1"/>
      <c r="AP851" s="1"/>
      <c r="AQ851" s="5"/>
      <c r="AR851" s="1"/>
      <c r="AS851" s="1"/>
      <c r="AT851" s="5"/>
      <c r="AU851" s="1"/>
      <c r="AV851" s="1"/>
      <c r="AW851" s="26"/>
      <c r="AX851" s="1"/>
      <c r="AY851" s="1"/>
      <c r="AZ851" s="214"/>
      <c r="BA851" s="37"/>
      <c r="BB851" s="37"/>
      <c r="BC851" s="53"/>
      <c r="BD851" s="37"/>
      <c r="BE851" s="37"/>
      <c r="BF851" s="53"/>
      <c r="BG851" s="37"/>
      <c r="BH851" s="37"/>
      <c r="BI851" s="62"/>
      <c r="BJ851" s="987"/>
      <c r="BK851" s="987"/>
      <c r="BL851" s="988"/>
      <c r="BM851" s="987"/>
      <c r="BN851" s="987"/>
      <c r="BO851" s="988"/>
      <c r="BP851" s="987"/>
      <c r="BQ851" s="987"/>
      <c r="BR851" s="988"/>
      <c r="BS851" s="45"/>
      <c r="BT851" s="45"/>
      <c r="BU851" s="221"/>
      <c r="BV851" s="45"/>
      <c r="BW851" s="45"/>
      <c r="BX851" s="221"/>
      <c r="BY851" s="45"/>
      <c r="BZ851" s="45"/>
      <c r="CA851" s="221"/>
      <c r="CB851" s="45"/>
      <c r="CC851" s="45"/>
      <c r="CD851" s="221"/>
      <c r="CE851" s="45"/>
      <c r="CF851" s="45"/>
      <c r="CG851" s="221"/>
      <c r="CH851" s="45"/>
      <c r="CI851" s="45"/>
      <c r="CJ851" s="221"/>
      <c r="CK851" s="45"/>
      <c r="CL851" s="45"/>
      <c r="CM851" s="221"/>
      <c r="CN851" s="45"/>
      <c r="CO851" s="45"/>
      <c r="CP851" s="221"/>
      <c r="CQ851" s="45"/>
      <c r="CR851" s="45"/>
      <c r="CS851" s="221"/>
      <c r="CT851" s="45"/>
      <c r="CU851" s="45"/>
      <c r="CV851" s="221"/>
      <c r="CW851" s="45"/>
      <c r="CX851" s="45"/>
      <c r="CY851" s="222"/>
      <c r="CZ851" s="45"/>
      <c r="DA851" s="45"/>
      <c r="DB851" s="222"/>
      <c r="DC851" s="45"/>
      <c r="DD851" s="45"/>
      <c r="DE851" s="222"/>
      <c r="DF851" s="313"/>
      <c r="DG851" s="313"/>
      <c r="DH851" s="9"/>
      <c r="DI851" s="8"/>
      <c r="DJ851" s="8"/>
      <c r="DK851" s="9"/>
      <c r="DL851" s="8"/>
      <c r="DM851" s="8"/>
      <c r="DN851" s="9"/>
      <c r="DO851" s="8"/>
      <c r="DP851" s="8"/>
      <c r="DQ851" s="9"/>
      <c r="DR851" s="8"/>
      <c r="DS851" s="8"/>
      <c r="DT851" s="9"/>
      <c r="DU851" s="8"/>
      <c r="DV851" s="8"/>
      <c r="DW851" s="9"/>
      <c r="DX851" s="8"/>
      <c r="DY851" s="8"/>
      <c r="DZ851" s="9"/>
      <c r="EA851" s="8"/>
      <c r="EB851" s="8"/>
      <c r="EC851" s="9"/>
      <c r="ED851" s="8"/>
      <c r="EE851" s="8"/>
      <c r="EF851" s="9"/>
      <c r="EG851" s="8"/>
      <c r="EH851" s="8"/>
      <c r="EI851" s="9"/>
      <c r="EJ851" s="8"/>
      <c r="EK851" s="8"/>
      <c r="EL851" s="9"/>
      <c r="EM851" s="8"/>
      <c r="EN851" s="8"/>
      <c r="EO851" s="9"/>
      <c r="EP851" s="8"/>
      <c r="EQ851" s="8"/>
      <c r="ER851" s="9"/>
      <c r="ES851" s="8"/>
      <c r="ET851" s="8"/>
      <c r="EU851" s="9"/>
      <c r="EV851" s="8"/>
      <c r="EW851" s="8"/>
      <c r="EX851" s="9"/>
      <c r="EY851" s="8"/>
      <c r="EZ851" s="8"/>
      <c r="FA851" s="9"/>
      <c r="FH851" s="35"/>
      <c r="FI851" s="35"/>
      <c r="FJ851" s="35"/>
      <c r="FK851" s="35"/>
      <c r="FL851" s="35"/>
      <c r="FM851" s="35"/>
      <c r="FN851" s="35"/>
      <c r="FO851" s="35"/>
      <c r="FP851" s="35"/>
      <c r="FQ851" s="35"/>
    </row>
    <row r="852" spans="1:173" s="321" customFormat="1" hidden="1" outlineLevel="1">
      <c r="A852" s="1168"/>
      <c r="B852" s="186"/>
      <c r="C852" s="186" t="s">
        <v>316</v>
      </c>
      <c r="D852" s="910"/>
      <c r="E852" s="1"/>
      <c r="F852" s="1"/>
      <c r="G852" s="5"/>
      <c r="H852" s="1"/>
      <c r="I852" s="1"/>
      <c r="J852" s="5"/>
      <c r="K852" s="1"/>
      <c r="L852" s="1"/>
      <c r="M852" s="5"/>
      <c r="N852" s="1"/>
      <c r="O852" s="1"/>
      <c r="P852" s="5"/>
      <c r="Q852" s="1"/>
      <c r="R852" s="1"/>
      <c r="S852" s="5"/>
      <c r="T852" s="1"/>
      <c r="U852" s="1"/>
      <c r="V852" s="5"/>
      <c r="W852" s="1"/>
      <c r="X852" s="1"/>
      <c r="Y852" s="5"/>
      <c r="Z852" s="1"/>
      <c r="AA852" s="1"/>
      <c r="AB852" s="5"/>
      <c r="AC852" s="1"/>
      <c r="AD852" s="1"/>
      <c r="AE852" s="5"/>
      <c r="AF852" s="1"/>
      <c r="AG852" s="1"/>
      <c r="AH852" s="5"/>
      <c r="AI852" s="1"/>
      <c r="AJ852" s="1"/>
      <c r="AK852" s="5"/>
      <c r="AL852" s="1"/>
      <c r="AM852" s="1"/>
      <c r="AN852" s="5"/>
      <c r="AO852" s="1"/>
      <c r="AP852" s="1"/>
      <c r="AQ852" s="5"/>
      <c r="AR852" s="1"/>
      <c r="AS852" s="1"/>
      <c r="AT852" s="5"/>
      <c r="AU852" s="1"/>
      <c r="AV852" s="1"/>
      <c r="AW852" s="25">
        <v>5.8999999999999997E-2</v>
      </c>
      <c r="AX852" s="185">
        <v>9.4999999999999998E-3</v>
      </c>
      <c r="AY852" s="185">
        <f>AX852+((AZ852-AX852)/2)</f>
        <v>9.7802500000000007E-3</v>
      </c>
      <c r="AZ852" s="185">
        <f>AX852*(1+AW852)</f>
        <v>1.00605E-2</v>
      </c>
      <c r="BA852" s="4">
        <f>AZ852+((BC852-AZ852)/2)</f>
        <v>1.0357284750000001E-2</v>
      </c>
      <c r="BB852" s="4">
        <f>BA852</f>
        <v>1.0357284750000001E-2</v>
      </c>
      <c r="BC852" s="971">
        <f>AZ852*(1+$AW852)</f>
        <v>1.06540695E-2</v>
      </c>
      <c r="BD852" s="4">
        <f>BC852+((BF852-BC852)/2)</f>
        <v>1.096836455025E-2</v>
      </c>
      <c r="BE852" s="4">
        <f>BD852</f>
        <v>1.096836455025E-2</v>
      </c>
      <c r="BF852" s="971">
        <f>BC852*(1+$AW852)</f>
        <v>1.1282659600499999E-2</v>
      </c>
      <c r="BG852" s="4">
        <f>BF852+((BI852-BF852)/2)</f>
        <v>1.1615498058714748E-2</v>
      </c>
      <c r="BH852" s="4">
        <f>BG852</f>
        <v>1.1615498058714748E-2</v>
      </c>
      <c r="BI852" s="971">
        <f>BF852*(1+$AW852)</f>
        <v>1.1948336516929498E-2</v>
      </c>
      <c r="BJ852" s="121">
        <f>BI852+((BL852-BI852)/2)</f>
        <v>1.2300812444178917E-2</v>
      </c>
      <c r="BK852" s="121">
        <f>BJ852</f>
        <v>1.2300812444178917E-2</v>
      </c>
      <c r="BL852" s="114">
        <f>BI852*(1+$AW852)</f>
        <v>1.2653288371428338E-2</v>
      </c>
      <c r="BM852" s="121">
        <f>BL852+((BO852-BL852)/2)</f>
        <v>1.3026560378385474E-2</v>
      </c>
      <c r="BN852" s="121">
        <f>BM852</f>
        <v>1.3026560378385474E-2</v>
      </c>
      <c r="BO852" s="114">
        <f>BL852*(1+$AW852)</f>
        <v>1.3399832385342609E-2</v>
      </c>
      <c r="BP852" s="121">
        <f>BO852+((BR852-BO852)/2)</f>
        <v>1.3795127440710216E-2</v>
      </c>
      <c r="BQ852" s="121">
        <f>BP852</f>
        <v>1.3795127440710216E-2</v>
      </c>
      <c r="BR852" s="114">
        <f>BO852*(1+$AW852)</f>
        <v>1.4190422496077822E-2</v>
      </c>
      <c r="BS852" s="4">
        <f>BR852+((BU852-BR852)/2)</f>
        <v>1.4609039959712118E-2</v>
      </c>
      <c r="BT852" s="4">
        <f>BS852</f>
        <v>1.4609039959712118E-2</v>
      </c>
      <c r="BU852" s="185">
        <f>BR852*(1+$AW852)</f>
        <v>1.5027657423346413E-2</v>
      </c>
      <c r="BV852" s="4">
        <f>BU852+((BX852-BU852)/2)</f>
        <v>1.5470973317335133E-2</v>
      </c>
      <c r="BW852" s="4">
        <f>BV852</f>
        <v>1.5470973317335133E-2</v>
      </c>
      <c r="BX852" s="185">
        <f>BU852*(1+$AW852)</f>
        <v>1.5914289211323852E-2</v>
      </c>
      <c r="BY852" s="4">
        <f>BX852+((CA852-BX852)/2)</f>
        <v>1.6383760743057904E-2</v>
      </c>
      <c r="BZ852" s="4">
        <f>BY852</f>
        <v>1.6383760743057904E-2</v>
      </c>
      <c r="CA852" s="185">
        <f>BX852*(1+$AW852)</f>
        <v>1.6853232274791959E-2</v>
      </c>
      <c r="CB852" s="4">
        <f>CA852+((CD852-CA852)/2)</f>
        <v>1.7350402626898322E-2</v>
      </c>
      <c r="CC852" s="4">
        <f>CB852</f>
        <v>1.7350402626898322E-2</v>
      </c>
      <c r="CD852" s="185">
        <f>CA852*(1+$AW852)</f>
        <v>1.7847572979004685E-2</v>
      </c>
      <c r="CE852" s="4">
        <f>CD852+((CG852-CD852)/2)</f>
        <v>1.8374076381885325E-2</v>
      </c>
      <c r="CF852" s="4">
        <f>CE852</f>
        <v>1.8374076381885325E-2</v>
      </c>
      <c r="CG852" s="185">
        <f>CD852*(1+$AW852)</f>
        <v>1.8900579784765961E-2</v>
      </c>
      <c r="CH852" s="4">
        <f>CG852+((CJ852-CG852)/2)</f>
        <v>1.9458146888416558E-2</v>
      </c>
      <c r="CI852" s="4">
        <f>CH852</f>
        <v>1.9458146888416558E-2</v>
      </c>
      <c r="CJ852" s="185">
        <f>CG852*(1+$AW852)</f>
        <v>2.0015713992067152E-2</v>
      </c>
      <c r="CK852" s="4">
        <f>CJ852+((CM852-CJ852)/2)</f>
        <v>2.0606177554833134E-2</v>
      </c>
      <c r="CL852" s="4">
        <f>CK852</f>
        <v>2.0606177554833134E-2</v>
      </c>
      <c r="CM852" s="185">
        <f>CJ852*(1+$AW852)</f>
        <v>2.1196641117599113E-2</v>
      </c>
      <c r="CN852" s="4">
        <f>CM852+((CP852-CM852)/2)</f>
        <v>2.1821942030568288E-2</v>
      </c>
      <c r="CO852" s="4">
        <f>CN852</f>
        <v>2.1821942030568288E-2</v>
      </c>
      <c r="CP852" s="185">
        <f>CM852*(1+$AW852)</f>
        <v>2.2447242943537459E-2</v>
      </c>
      <c r="CQ852" s="4">
        <f>CP852+((CS852-CP852)/2)</f>
        <v>2.3109436610371813E-2</v>
      </c>
      <c r="CR852" s="4">
        <f>CQ852</f>
        <v>2.3109436610371813E-2</v>
      </c>
      <c r="CS852" s="185">
        <f>CP852*(1+$AW852)</f>
        <v>2.377163027720617E-2</v>
      </c>
      <c r="CT852" s="4">
        <f>CS852+((CV852-CS852)/2)</f>
        <v>2.447289337038375E-2</v>
      </c>
      <c r="CU852" s="4">
        <f>CT852</f>
        <v>2.447289337038375E-2</v>
      </c>
      <c r="CV852" s="185">
        <f>CS852*(1+$AW852)</f>
        <v>2.5174156463561331E-2</v>
      </c>
      <c r="CW852" s="4">
        <f>CV852+((CY852-CV852)/2)</f>
        <v>2.5916794079236388E-2</v>
      </c>
      <c r="CX852" s="4">
        <f>CW852</f>
        <v>2.5916794079236388E-2</v>
      </c>
      <c r="CY852" s="185">
        <f>CV852*(1+$AW852)</f>
        <v>2.6659431694911449E-2</v>
      </c>
      <c r="CZ852" s="4">
        <f>CY852+((DB852-CY852)/2)</f>
        <v>2.7445884929911336E-2</v>
      </c>
      <c r="DA852" s="4">
        <f>CZ852</f>
        <v>2.7445884929911336E-2</v>
      </c>
      <c r="DB852" s="185">
        <f>CY852*(1+$AW852)</f>
        <v>2.8232338164911223E-2</v>
      </c>
      <c r="DC852" s="4">
        <f>DB852+((DE852-DB852)/2)</f>
        <v>2.9065192140776103E-2</v>
      </c>
      <c r="DD852" s="4">
        <f>DC852</f>
        <v>2.9065192140776103E-2</v>
      </c>
      <c r="DE852" s="185">
        <f>DB852*(1+$AW852)</f>
        <v>2.9898046116640983E-2</v>
      </c>
      <c r="DF852" s="4">
        <f>DE852+((DH852-DE852)/2)</f>
        <v>3.0780038477081891E-2</v>
      </c>
      <c r="DG852" s="4">
        <f>DF852</f>
        <v>3.0780038477081891E-2</v>
      </c>
      <c r="DH852" s="185">
        <f>DE852*(1+$AW852)</f>
        <v>3.1662030837522802E-2</v>
      </c>
      <c r="DI852" s="4">
        <f>DH852+((DK852-DH852)/2)</f>
        <v>3.2596060747229719E-2</v>
      </c>
      <c r="DJ852" s="4">
        <f>DI852</f>
        <v>3.2596060747229719E-2</v>
      </c>
      <c r="DK852" s="185">
        <f>DH852*(1+$AW852)</f>
        <v>3.3530090656936642E-2</v>
      </c>
      <c r="DL852" s="4">
        <f>DK852+((DN852-DK852)/2)</f>
        <v>3.4519228331316272E-2</v>
      </c>
      <c r="DM852" s="4">
        <f>DL852</f>
        <v>3.4519228331316272E-2</v>
      </c>
      <c r="DN852" s="185">
        <f>DK852*(1+$AW852)</f>
        <v>3.5508366005695902E-2</v>
      </c>
      <c r="DO852" s="4">
        <f>DN852+((DQ852-DN852)/2)</f>
        <v>3.655586280286393E-2</v>
      </c>
      <c r="DP852" s="4">
        <f>DO852</f>
        <v>3.655586280286393E-2</v>
      </c>
      <c r="DQ852" s="185">
        <f>DN852*(1+$AW852)</f>
        <v>3.7603359600031958E-2</v>
      </c>
      <c r="DR852" s="4">
        <f>DQ852+((DT852-DQ852)/2)</f>
        <v>3.87126587082329E-2</v>
      </c>
      <c r="DS852" s="4">
        <f>DR852</f>
        <v>3.87126587082329E-2</v>
      </c>
      <c r="DT852" s="185">
        <f>DQ852*(1+$AW852)</f>
        <v>3.9821957816433842E-2</v>
      </c>
      <c r="DU852" s="4">
        <f>DT852+((DW852-DT852)/2)</f>
        <v>4.0996705572018635E-2</v>
      </c>
      <c r="DV852" s="4">
        <f>DU852</f>
        <v>4.0996705572018635E-2</v>
      </c>
      <c r="DW852" s="185">
        <f>DT852*(1+$AW852)</f>
        <v>4.2171453327603435E-2</v>
      </c>
      <c r="DX852" s="4">
        <f>DW852+((DZ852-DW852)/2)</f>
        <v>4.341551120076774E-2</v>
      </c>
      <c r="DY852" s="4">
        <f>DX852</f>
        <v>4.341551120076774E-2</v>
      </c>
      <c r="DZ852" s="185">
        <f>DW852*(1+$AW852)</f>
        <v>4.4659569073932037E-2</v>
      </c>
      <c r="EA852" s="4">
        <f>DZ852+((EC852-DZ852)/2)</f>
        <v>4.5977026361613035E-2</v>
      </c>
      <c r="EB852" s="4">
        <f>EA852</f>
        <v>4.5977026361613035E-2</v>
      </c>
      <c r="EC852" s="185">
        <f>DZ852*(1+$AW852)</f>
        <v>4.7294483649294027E-2</v>
      </c>
      <c r="ED852" s="4">
        <f>EC852+((EF852-EC852)/2)</f>
        <v>4.8689670916948202E-2</v>
      </c>
      <c r="EE852" s="4">
        <f>ED852</f>
        <v>4.8689670916948202E-2</v>
      </c>
      <c r="EF852" s="185">
        <f>EC852*(1+$AW852)</f>
        <v>5.0084858184602371E-2</v>
      </c>
      <c r="EG852" s="4">
        <f>EF852+((EI852-EF852)/2)</f>
        <v>5.1562361501048135E-2</v>
      </c>
      <c r="EH852" s="4">
        <f>EG852</f>
        <v>5.1562361501048135E-2</v>
      </c>
      <c r="EI852" s="185">
        <f>EF852*(1+$AW852)</f>
        <v>5.3039864817493905E-2</v>
      </c>
      <c r="EJ852" s="4">
        <f>EI852+((EL852-EI852)/2)</f>
        <v>5.4604540829609971E-2</v>
      </c>
      <c r="EK852" s="4">
        <f>EJ852</f>
        <v>5.4604540829609971E-2</v>
      </c>
      <c r="EL852" s="185">
        <f>EI852*(1+$AW852)</f>
        <v>5.6169216841726044E-2</v>
      </c>
      <c r="EM852" s="4">
        <f>EL852+((EO852-EL852)/2)</f>
        <v>5.7826208738556956E-2</v>
      </c>
      <c r="EN852" s="4">
        <f>EM852</f>
        <v>5.7826208738556956E-2</v>
      </c>
      <c r="EO852" s="185">
        <f>EL852*(1+$AW852)</f>
        <v>5.9483200635387874E-2</v>
      </c>
      <c r="EP852" s="4">
        <f>EO852+((ER852-EO852)/2)</f>
        <v>6.1237955054131821E-2</v>
      </c>
      <c r="EQ852" s="4">
        <f>EP852</f>
        <v>6.1237955054131821E-2</v>
      </c>
      <c r="ER852" s="185">
        <f>EO852*(1+$AW852)</f>
        <v>6.299270947287576E-2</v>
      </c>
      <c r="ES852" s="4">
        <f>ER852+((EU852-ER852)/2)</f>
        <v>6.4850994402325585E-2</v>
      </c>
      <c r="ET852" s="4">
        <f>ES852</f>
        <v>6.4850994402325585E-2</v>
      </c>
      <c r="EU852" s="185">
        <f>ER852*(1+$AW852)</f>
        <v>6.6709279331775423E-2</v>
      </c>
      <c r="EV852" s="4">
        <f>EU852+((EX852-EU852)/2)</f>
        <v>6.8677203072062792E-2</v>
      </c>
      <c r="EW852" s="4">
        <f>EV852</f>
        <v>6.8677203072062792E-2</v>
      </c>
      <c r="EX852" s="185">
        <f>EU852*(1+$AW852)</f>
        <v>7.0645126812350176E-2</v>
      </c>
      <c r="EY852" s="4">
        <f>EX852+((FA852-EX852)/2)</f>
        <v>7.2729158053314508E-2</v>
      </c>
      <c r="EZ852" s="4">
        <f>EY852</f>
        <v>7.2729158053314508E-2</v>
      </c>
      <c r="FA852" s="185">
        <f>EX852*(1+$AW852)</f>
        <v>7.4813189294278826E-2</v>
      </c>
      <c r="FH852" s="35"/>
      <c r="FI852" s="35"/>
      <c r="FJ852" s="35"/>
      <c r="FK852" s="35"/>
      <c r="FL852" s="35"/>
      <c r="FM852" s="35"/>
      <c r="FN852" s="35"/>
      <c r="FO852" s="35"/>
      <c r="FP852" s="35"/>
      <c r="FQ852" s="35"/>
    </row>
    <row r="853" spans="1:173" s="321" customFormat="1" hidden="1" outlineLevel="1">
      <c r="A853" s="1168"/>
      <c r="B853" s="186"/>
      <c r="C853" s="186" t="s">
        <v>317</v>
      </c>
      <c r="D853" s="910"/>
      <c r="E853" s="1"/>
      <c r="F853" s="1"/>
      <c r="G853" s="5"/>
      <c r="H853" s="1"/>
      <c r="I853" s="1"/>
      <c r="J853" s="5"/>
      <c r="K853" s="1"/>
      <c r="L853" s="1"/>
      <c r="M853" s="5"/>
      <c r="N853" s="1"/>
      <c r="O853" s="1"/>
      <c r="P853" s="5"/>
      <c r="Q853" s="1"/>
      <c r="R853" s="1"/>
      <c r="S853" s="5"/>
      <c r="T853" s="1"/>
      <c r="U853" s="1"/>
      <c r="V853" s="5"/>
      <c r="W853" s="1"/>
      <c r="X853" s="1"/>
      <c r="Y853" s="5"/>
      <c r="Z853" s="1"/>
      <c r="AA853" s="1"/>
      <c r="AB853" s="5"/>
      <c r="AC853" s="1"/>
      <c r="AD853" s="1"/>
      <c r="AE853" s="5"/>
      <c r="AF853" s="1"/>
      <c r="AG853" s="1"/>
      <c r="AH853" s="5"/>
      <c r="AI853" s="1"/>
      <c r="AJ853" s="1"/>
      <c r="AK853" s="5"/>
      <c r="AL853" s="1"/>
      <c r="AM853" s="1"/>
      <c r="AN853" s="5"/>
      <c r="AO853" s="1"/>
      <c r="AP853" s="1"/>
      <c r="AQ853" s="5"/>
      <c r="AR853" s="1"/>
      <c r="AS853" s="1"/>
      <c r="AT853" s="5"/>
      <c r="AU853" s="1"/>
      <c r="AV853" s="1"/>
      <c r="AW853" s="25">
        <v>5.8999999999999997E-2</v>
      </c>
      <c r="AX853" s="185">
        <v>9.4999999999999998E-3</v>
      </c>
      <c r="AY853" s="185">
        <f>AX853+((AZ853-AX853)/2)</f>
        <v>9.7802500000000007E-3</v>
      </c>
      <c r="AZ853" s="185">
        <f>AX853*(1+AW853)</f>
        <v>1.00605E-2</v>
      </c>
      <c r="BA853" s="4">
        <f>AZ853+((BC853-AZ853)/2)</f>
        <v>1.0357284750000001E-2</v>
      </c>
      <c r="BB853" s="4">
        <f>BA853</f>
        <v>1.0357284750000001E-2</v>
      </c>
      <c r="BC853" s="971">
        <f>AZ853*(1+$AW853)</f>
        <v>1.06540695E-2</v>
      </c>
      <c r="BD853" s="4">
        <f>BC853+((BF853-BC853)/2)</f>
        <v>1.096836455025E-2</v>
      </c>
      <c r="BE853" s="4">
        <f>BD853</f>
        <v>1.096836455025E-2</v>
      </c>
      <c r="BF853" s="971">
        <f>BC853*(1+$AW853)</f>
        <v>1.1282659600499999E-2</v>
      </c>
      <c r="BG853" s="4">
        <f>BF853+((BI853-BF853)/2)</f>
        <v>1.1615498058714748E-2</v>
      </c>
      <c r="BH853" s="4">
        <f>BG853</f>
        <v>1.1615498058714748E-2</v>
      </c>
      <c r="BI853" s="971">
        <f>BF853*(1+$AW853)</f>
        <v>1.1948336516929498E-2</v>
      </c>
      <c r="BJ853" s="121">
        <f>BI853+((BL853-BI853)/2)</f>
        <v>1.2300812444178917E-2</v>
      </c>
      <c r="BK853" s="121">
        <f>BJ853</f>
        <v>1.2300812444178917E-2</v>
      </c>
      <c r="BL853" s="114">
        <f>BI853*(1+$AW853)</f>
        <v>1.2653288371428338E-2</v>
      </c>
      <c r="BM853" s="121">
        <f>BL853+((BO853-BL853)/2)</f>
        <v>1.3026560378385474E-2</v>
      </c>
      <c r="BN853" s="121">
        <f>BM853</f>
        <v>1.3026560378385474E-2</v>
      </c>
      <c r="BO853" s="114">
        <f>BL853*(1+$AW853)</f>
        <v>1.3399832385342609E-2</v>
      </c>
      <c r="BP853" s="121">
        <f>BO853+((BR853-BO853)/2)</f>
        <v>1.3795127440710216E-2</v>
      </c>
      <c r="BQ853" s="121">
        <f>BP853</f>
        <v>1.3795127440710216E-2</v>
      </c>
      <c r="BR853" s="114">
        <f>BO853*(1+$AW853)</f>
        <v>1.4190422496077822E-2</v>
      </c>
      <c r="BS853" s="4">
        <f>BR853+((BU853-BR853)/2)</f>
        <v>1.4609039959712118E-2</v>
      </c>
      <c r="BT853" s="4">
        <f>BS853</f>
        <v>1.4609039959712118E-2</v>
      </c>
      <c r="BU853" s="185">
        <f>BR853*(1+$AW853)</f>
        <v>1.5027657423346413E-2</v>
      </c>
      <c r="BV853" s="4">
        <f>BU853+((BX853-BU853)/2)</f>
        <v>1.5470973317335133E-2</v>
      </c>
      <c r="BW853" s="4">
        <f>BV853</f>
        <v>1.5470973317335133E-2</v>
      </c>
      <c r="BX853" s="185">
        <f>BU853*(1+$AW853)</f>
        <v>1.5914289211323852E-2</v>
      </c>
      <c r="BY853" s="4">
        <f>BX853+((CA853-BX853)/2)</f>
        <v>1.6383760743057904E-2</v>
      </c>
      <c r="BZ853" s="4">
        <f>BY853</f>
        <v>1.6383760743057904E-2</v>
      </c>
      <c r="CA853" s="185">
        <f>BX853*(1+$AW853)</f>
        <v>1.6853232274791959E-2</v>
      </c>
      <c r="CB853" s="4">
        <f>CA853+((CD853-CA853)/2)</f>
        <v>1.7350402626898322E-2</v>
      </c>
      <c r="CC853" s="4">
        <f>CB853</f>
        <v>1.7350402626898322E-2</v>
      </c>
      <c r="CD853" s="185">
        <f>CA853*(1+$AW853)</f>
        <v>1.7847572979004685E-2</v>
      </c>
      <c r="CE853" s="4">
        <f>CD853+((CG853-CD853)/2)</f>
        <v>1.8374076381885325E-2</v>
      </c>
      <c r="CF853" s="4">
        <f>CE853</f>
        <v>1.8374076381885325E-2</v>
      </c>
      <c r="CG853" s="185">
        <f>CD853*(1+$AW853)</f>
        <v>1.8900579784765961E-2</v>
      </c>
      <c r="CH853" s="4">
        <f>CG853+((CJ853-CG853)/2)</f>
        <v>1.9458146888416558E-2</v>
      </c>
      <c r="CI853" s="4">
        <f>CH853</f>
        <v>1.9458146888416558E-2</v>
      </c>
      <c r="CJ853" s="185">
        <f>CG853*(1+$AW853)</f>
        <v>2.0015713992067152E-2</v>
      </c>
      <c r="CK853" s="4">
        <f>CJ853+((CM853-CJ853)/2)</f>
        <v>2.0606177554833134E-2</v>
      </c>
      <c r="CL853" s="4">
        <f>CK853</f>
        <v>2.0606177554833134E-2</v>
      </c>
      <c r="CM853" s="185">
        <f>CJ853*(1+$AW853)</f>
        <v>2.1196641117599113E-2</v>
      </c>
      <c r="CN853" s="4">
        <f>CM853+((CP853-CM853)/2)</f>
        <v>2.1821942030568288E-2</v>
      </c>
      <c r="CO853" s="4">
        <f>CN853</f>
        <v>2.1821942030568288E-2</v>
      </c>
      <c r="CP853" s="185">
        <f>CM853*(1+$AW853)</f>
        <v>2.2447242943537459E-2</v>
      </c>
      <c r="CQ853" s="4">
        <f>CP853+((CS853-CP853)/2)</f>
        <v>2.3109436610371813E-2</v>
      </c>
      <c r="CR853" s="4">
        <f>CQ853</f>
        <v>2.3109436610371813E-2</v>
      </c>
      <c r="CS853" s="185">
        <f>CP853*(1+$AW853)</f>
        <v>2.377163027720617E-2</v>
      </c>
      <c r="CT853" s="4">
        <f>CS853+((CV853-CS853)/2)</f>
        <v>2.447289337038375E-2</v>
      </c>
      <c r="CU853" s="4">
        <f>CT853</f>
        <v>2.447289337038375E-2</v>
      </c>
      <c r="CV853" s="185">
        <f>CS853*(1+$AW853)</f>
        <v>2.5174156463561331E-2</v>
      </c>
      <c r="CW853" s="4">
        <f>CV853+((CY853-CV853)/2)</f>
        <v>2.5916794079236388E-2</v>
      </c>
      <c r="CX853" s="4">
        <f>CW853</f>
        <v>2.5916794079236388E-2</v>
      </c>
      <c r="CY853" s="185">
        <f>CV853*(1+$AW853)</f>
        <v>2.6659431694911449E-2</v>
      </c>
      <c r="CZ853" s="4">
        <f>CY853+((DB853-CY853)/2)</f>
        <v>2.7445884929911336E-2</v>
      </c>
      <c r="DA853" s="4">
        <f>CZ853</f>
        <v>2.7445884929911336E-2</v>
      </c>
      <c r="DB853" s="185">
        <f>CY853*(1+$AW853)</f>
        <v>2.8232338164911223E-2</v>
      </c>
      <c r="DC853" s="4">
        <f>DB853+((DE853-DB853)/2)</f>
        <v>2.9065192140776103E-2</v>
      </c>
      <c r="DD853" s="4">
        <f>DC853</f>
        <v>2.9065192140776103E-2</v>
      </c>
      <c r="DE853" s="185">
        <f>DB853*(1+$AW853)</f>
        <v>2.9898046116640983E-2</v>
      </c>
      <c r="DF853" s="4">
        <f>DE853+((DH853-DE853)/2)</f>
        <v>3.0780038477081891E-2</v>
      </c>
      <c r="DG853" s="4">
        <f>DF853</f>
        <v>3.0780038477081891E-2</v>
      </c>
      <c r="DH853" s="185">
        <f>DE853*(1+$AW853)</f>
        <v>3.1662030837522802E-2</v>
      </c>
      <c r="DI853" s="4">
        <f>DH853+((DK853-DH853)/2)</f>
        <v>3.2596060747229719E-2</v>
      </c>
      <c r="DJ853" s="4">
        <f>DI853</f>
        <v>3.2596060747229719E-2</v>
      </c>
      <c r="DK853" s="185">
        <f>DH853*(1+$AW853)</f>
        <v>3.3530090656936642E-2</v>
      </c>
      <c r="DL853" s="4">
        <f>DK853+((DN853-DK853)/2)</f>
        <v>3.4519228331316272E-2</v>
      </c>
      <c r="DM853" s="4">
        <f>DL853</f>
        <v>3.4519228331316272E-2</v>
      </c>
      <c r="DN853" s="185">
        <f>DK853*(1+$AW853)</f>
        <v>3.5508366005695902E-2</v>
      </c>
      <c r="DO853" s="4">
        <f>DN853+((DQ853-DN853)/2)</f>
        <v>3.655586280286393E-2</v>
      </c>
      <c r="DP853" s="4">
        <f>DO853</f>
        <v>3.655586280286393E-2</v>
      </c>
      <c r="DQ853" s="185">
        <f>DN853*(1+$AW853)</f>
        <v>3.7603359600031958E-2</v>
      </c>
      <c r="DR853" s="4">
        <f>DQ853+((DT853-DQ853)/2)</f>
        <v>3.87126587082329E-2</v>
      </c>
      <c r="DS853" s="4">
        <f>DR853</f>
        <v>3.87126587082329E-2</v>
      </c>
      <c r="DT853" s="185">
        <f>DQ853*(1+$AW853)</f>
        <v>3.9821957816433842E-2</v>
      </c>
      <c r="DU853" s="4">
        <f>DT853+((DW853-DT853)/2)</f>
        <v>4.0996705572018635E-2</v>
      </c>
      <c r="DV853" s="4">
        <f>DU853</f>
        <v>4.0996705572018635E-2</v>
      </c>
      <c r="DW853" s="185">
        <f>DT853*(1+$AW853)</f>
        <v>4.2171453327603435E-2</v>
      </c>
      <c r="DX853" s="4">
        <f>DW853+((DZ853-DW853)/2)</f>
        <v>4.341551120076774E-2</v>
      </c>
      <c r="DY853" s="4">
        <f>DX853</f>
        <v>4.341551120076774E-2</v>
      </c>
      <c r="DZ853" s="185">
        <f>DW853*(1+$AW853)</f>
        <v>4.4659569073932037E-2</v>
      </c>
      <c r="EA853" s="4">
        <f>DZ853+((EC853-DZ853)/2)</f>
        <v>4.5977026361613035E-2</v>
      </c>
      <c r="EB853" s="4">
        <f>EA853</f>
        <v>4.5977026361613035E-2</v>
      </c>
      <c r="EC853" s="185">
        <f>DZ853*(1+$AW853)</f>
        <v>4.7294483649294027E-2</v>
      </c>
      <c r="ED853" s="4">
        <f>EC853+((EF853-EC853)/2)</f>
        <v>4.8689670916948202E-2</v>
      </c>
      <c r="EE853" s="4">
        <f>ED853</f>
        <v>4.8689670916948202E-2</v>
      </c>
      <c r="EF853" s="185">
        <f>EC853*(1+$AW853)</f>
        <v>5.0084858184602371E-2</v>
      </c>
      <c r="EG853" s="4">
        <f>EF853+((EI853-EF853)/2)</f>
        <v>5.1562361501048135E-2</v>
      </c>
      <c r="EH853" s="4">
        <f>EG853</f>
        <v>5.1562361501048135E-2</v>
      </c>
      <c r="EI853" s="185">
        <f>EF853*(1+$AW853)</f>
        <v>5.3039864817493905E-2</v>
      </c>
      <c r="EJ853" s="4">
        <f>EI853+((EL853-EI853)/2)</f>
        <v>5.4604540829609971E-2</v>
      </c>
      <c r="EK853" s="4">
        <f>EJ853</f>
        <v>5.4604540829609971E-2</v>
      </c>
      <c r="EL853" s="185">
        <f>EI853*(1+$AW853)</f>
        <v>5.6169216841726044E-2</v>
      </c>
      <c r="EM853" s="4">
        <f>EL853+((EO853-EL853)/2)</f>
        <v>5.7826208738556956E-2</v>
      </c>
      <c r="EN853" s="4">
        <f>EM853</f>
        <v>5.7826208738556956E-2</v>
      </c>
      <c r="EO853" s="185">
        <f>EL853*(1+$AW853)</f>
        <v>5.9483200635387874E-2</v>
      </c>
      <c r="EP853" s="4">
        <f>EO853+((ER853-EO853)/2)</f>
        <v>6.1237955054131821E-2</v>
      </c>
      <c r="EQ853" s="4">
        <f>EP853</f>
        <v>6.1237955054131821E-2</v>
      </c>
      <c r="ER853" s="185">
        <f>EO853*(1+$AW853)</f>
        <v>6.299270947287576E-2</v>
      </c>
      <c r="ES853" s="4">
        <f>ER853+((EU853-ER853)/2)</f>
        <v>6.4850994402325585E-2</v>
      </c>
      <c r="ET853" s="4">
        <f>ES853</f>
        <v>6.4850994402325585E-2</v>
      </c>
      <c r="EU853" s="185">
        <f>ER853*(1+$AW853)</f>
        <v>6.6709279331775423E-2</v>
      </c>
      <c r="EV853" s="4">
        <f>EU853+((EX853-EU853)/2)</f>
        <v>6.8677203072062792E-2</v>
      </c>
      <c r="EW853" s="4">
        <f>EV853</f>
        <v>6.8677203072062792E-2</v>
      </c>
      <c r="EX853" s="185">
        <f>EU853*(1+$AW853)</f>
        <v>7.0645126812350176E-2</v>
      </c>
      <c r="EY853" s="4">
        <f>EX853+((FA853-EX853)/2)</f>
        <v>7.2729158053314508E-2</v>
      </c>
      <c r="EZ853" s="4">
        <f>EY853</f>
        <v>7.2729158053314508E-2</v>
      </c>
      <c r="FA853" s="185">
        <f>EX853*(1+$AW853)</f>
        <v>7.4813189294278826E-2</v>
      </c>
      <c r="FH853" s="35"/>
      <c r="FI853" s="35"/>
      <c r="FJ853" s="35"/>
      <c r="FK853" s="35"/>
      <c r="FL853" s="35"/>
      <c r="FM853" s="35"/>
      <c r="FN853" s="35"/>
      <c r="FO853" s="35"/>
      <c r="FP853" s="35"/>
      <c r="FQ853" s="35"/>
    </row>
    <row r="854" spans="1:173" s="321" customFormat="1" hidden="1" outlineLevel="1">
      <c r="A854" s="1168"/>
      <c r="B854" s="186"/>
      <c r="C854" s="186" t="s">
        <v>431</v>
      </c>
      <c r="D854" s="910"/>
      <c r="E854" s="1"/>
      <c r="F854" s="1"/>
      <c r="G854" s="5"/>
      <c r="H854" s="1"/>
      <c r="I854" s="1"/>
      <c r="J854" s="5"/>
      <c r="K854" s="1"/>
      <c r="L854" s="1"/>
      <c r="M854" s="5"/>
      <c r="N854" s="1"/>
      <c r="O854" s="1"/>
      <c r="P854" s="5"/>
      <c r="Q854" s="1"/>
      <c r="R854" s="1"/>
      <c r="S854" s="5"/>
      <c r="T854" s="1"/>
      <c r="U854" s="1"/>
      <c r="V854" s="5"/>
      <c r="W854" s="1"/>
      <c r="X854" s="1"/>
      <c r="Y854" s="5"/>
      <c r="Z854" s="1"/>
      <c r="AA854" s="1"/>
      <c r="AB854" s="5"/>
      <c r="AC854" s="1"/>
      <c r="AD854" s="1"/>
      <c r="AE854" s="5"/>
      <c r="AF854" s="1"/>
      <c r="AG854" s="1"/>
      <c r="AH854" s="5"/>
      <c r="AI854" s="1"/>
      <c r="AJ854" s="1"/>
      <c r="AK854" s="5"/>
      <c r="AL854" s="1"/>
      <c r="AM854" s="1"/>
      <c r="AN854" s="5"/>
      <c r="AO854" s="1"/>
      <c r="AP854" s="1"/>
      <c r="AQ854" s="5"/>
      <c r="AR854" s="1"/>
      <c r="AS854" s="1"/>
      <c r="AT854" s="5"/>
      <c r="AU854" s="1"/>
      <c r="AV854" s="1"/>
      <c r="AW854" s="25">
        <v>5.8999999999999997E-2</v>
      </c>
      <c r="AX854" s="185">
        <v>9.4999999999999998E-3</v>
      </c>
      <c r="AY854" s="185">
        <f>AX854+((AZ854-AX854)/2)</f>
        <v>9.7802500000000007E-3</v>
      </c>
      <c r="AZ854" s="185">
        <f>AX854*(1+AW854)</f>
        <v>1.00605E-2</v>
      </c>
      <c r="BA854" s="4">
        <f>AZ854+((BC854-AZ854)/2)</f>
        <v>1.0357284750000001E-2</v>
      </c>
      <c r="BB854" s="4">
        <f>BA854</f>
        <v>1.0357284750000001E-2</v>
      </c>
      <c r="BC854" s="971">
        <f>AZ854*(1+$AW854)</f>
        <v>1.06540695E-2</v>
      </c>
      <c r="BD854" s="4">
        <f>BC854+((BF854-BC854)/2)</f>
        <v>1.096836455025E-2</v>
      </c>
      <c r="BE854" s="4">
        <f>BD854</f>
        <v>1.096836455025E-2</v>
      </c>
      <c r="BF854" s="971">
        <f>BC854*(1+$AW854)</f>
        <v>1.1282659600499999E-2</v>
      </c>
      <c r="BG854" s="4">
        <f>BF854+((BI854-BF854)/2)</f>
        <v>1.1615498058714748E-2</v>
      </c>
      <c r="BH854" s="4">
        <f>BG854</f>
        <v>1.1615498058714748E-2</v>
      </c>
      <c r="BI854" s="971">
        <f>BF854*(1+$AW854)</f>
        <v>1.1948336516929498E-2</v>
      </c>
      <c r="BJ854" s="121">
        <f>BI854+((BL854-BI854)/2)</f>
        <v>1.2300812444178917E-2</v>
      </c>
      <c r="BK854" s="121">
        <f>BJ854</f>
        <v>1.2300812444178917E-2</v>
      </c>
      <c r="BL854" s="114">
        <f>BI854*(1+$AW854)</f>
        <v>1.2653288371428338E-2</v>
      </c>
      <c r="BM854" s="121">
        <f>BL854+((BO854-BL854)/2)</f>
        <v>1.3026560378385474E-2</v>
      </c>
      <c r="BN854" s="121">
        <f>BM854</f>
        <v>1.3026560378385474E-2</v>
      </c>
      <c r="BO854" s="114">
        <f>BL854*(1+$AW854)</f>
        <v>1.3399832385342609E-2</v>
      </c>
      <c r="BP854" s="121">
        <f>BO854+((BR854-BO854)/2)</f>
        <v>1.3795127440710216E-2</v>
      </c>
      <c r="BQ854" s="121">
        <f>BP854</f>
        <v>1.3795127440710216E-2</v>
      </c>
      <c r="BR854" s="114">
        <f>BO854*(1+$AW854)</f>
        <v>1.4190422496077822E-2</v>
      </c>
      <c r="BS854" s="4">
        <f>BR854+((BU854-BR854)/2)</f>
        <v>1.4609039959712118E-2</v>
      </c>
      <c r="BT854" s="4">
        <f>BS854</f>
        <v>1.4609039959712118E-2</v>
      </c>
      <c r="BU854" s="185">
        <f>BR854*(1+$AW854)</f>
        <v>1.5027657423346413E-2</v>
      </c>
      <c r="BV854" s="4">
        <f>BU854+((BX854-BU854)/2)</f>
        <v>1.5470973317335133E-2</v>
      </c>
      <c r="BW854" s="4">
        <f>BV854</f>
        <v>1.5470973317335133E-2</v>
      </c>
      <c r="BX854" s="185">
        <f>BU854*(1+$AW854)</f>
        <v>1.5914289211323852E-2</v>
      </c>
      <c r="BY854" s="4">
        <f>BX854+((CA854-BX854)/2)</f>
        <v>1.6383760743057904E-2</v>
      </c>
      <c r="BZ854" s="4">
        <f>BY854</f>
        <v>1.6383760743057904E-2</v>
      </c>
      <c r="CA854" s="185">
        <f>BX854*(1+$AW854)</f>
        <v>1.6853232274791959E-2</v>
      </c>
      <c r="CB854" s="4">
        <f>CA854+((CD854-CA854)/2)</f>
        <v>1.7350402626898322E-2</v>
      </c>
      <c r="CC854" s="4">
        <f>CB854</f>
        <v>1.7350402626898322E-2</v>
      </c>
      <c r="CD854" s="185">
        <f>CA854*(1+$AW854)</f>
        <v>1.7847572979004685E-2</v>
      </c>
      <c r="CE854" s="4">
        <f>CD854+((CG854-CD854)/2)</f>
        <v>1.8374076381885325E-2</v>
      </c>
      <c r="CF854" s="4">
        <f>CE854</f>
        <v>1.8374076381885325E-2</v>
      </c>
      <c r="CG854" s="185">
        <f>CD854*(1+$AW854)</f>
        <v>1.8900579784765961E-2</v>
      </c>
      <c r="CH854" s="4">
        <f>CG854+((CJ854-CG854)/2)</f>
        <v>1.9458146888416558E-2</v>
      </c>
      <c r="CI854" s="4">
        <f>CH854</f>
        <v>1.9458146888416558E-2</v>
      </c>
      <c r="CJ854" s="185">
        <f>CG854*(1+$AW854)</f>
        <v>2.0015713992067152E-2</v>
      </c>
      <c r="CK854" s="4">
        <f>CJ854+((CM854-CJ854)/2)</f>
        <v>2.0606177554833134E-2</v>
      </c>
      <c r="CL854" s="4">
        <f>CK854</f>
        <v>2.0606177554833134E-2</v>
      </c>
      <c r="CM854" s="185">
        <f>CJ854*(1+$AW854)</f>
        <v>2.1196641117599113E-2</v>
      </c>
      <c r="CN854" s="4">
        <f>CM854+((CP854-CM854)/2)</f>
        <v>2.1821942030568288E-2</v>
      </c>
      <c r="CO854" s="4">
        <f>CN854</f>
        <v>2.1821942030568288E-2</v>
      </c>
      <c r="CP854" s="185">
        <f>CM854*(1+$AW854)</f>
        <v>2.2447242943537459E-2</v>
      </c>
      <c r="CQ854" s="4">
        <f>CP854+((CS854-CP854)/2)</f>
        <v>2.3109436610371813E-2</v>
      </c>
      <c r="CR854" s="4">
        <f>CQ854</f>
        <v>2.3109436610371813E-2</v>
      </c>
      <c r="CS854" s="185">
        <f>CP854*(1+$AW854)</f>
        <v>2.377163027720617E-2</v>
      </c>
      <c r="CT854" s="4">
        <f>CS854+((CV854-CS854)/2)</f>
        <v>2.447289337038375E-2</v>
      </c>
      <c r="CU854" s="4">
        <f>CT854</f>
        <v>2.447289337038375E-2</v>
      </c>
      <c r="CV854" s="185">
        <f>CS854*(1+$AW854)</f>
        <v>2.5174156463561331E-2</v>
      </c>
      <c r="CW854" s="4">
        <f>CV854+((CY854-CV854)/2)</f>
        <v>2.5916794079236388E-2</v>
      </c>
      <c r="CX854" s="4">
        <f>CW854</f>
        <v>2.5916794079236388E-2</v>
      </c>
      <c r="CY854" s="185">
        <f>CV854*(1+$AW854)</f>
        <v>2.6659431694911449E-2</v>
      </c>
      <c r="CZ854" s="4">
        <f>CY854+((DB854-CY854)/2)</f>
        <v>2.7445884929911336E-2</v>
      </c>
      <c r="DA854" s="4">
        <f>CZ854</f>
        <v>2.7445884929911336E-2</v>
      </c>
      <c r="DB854" s="185">
        <f>CY854*(1+$AW854)</f>
        <v>2.8232338164911223E-2</v>
      </c>
      <c r="DC854" s="4">
        <f>DB854+((DE854-DB854)/2)</f>
        <v>2.9065192140776103E-2</v>
      </c>
      <c r="DD854" s="4">
        <f>DC854</f>
        <v>2.9065192140776103E-2</v>
      </c>
      <c r="DE854" s="185">
        <f>DB854*(1+$AW854)</f>
        <v>2.9898046116640983E-2</v>
      </c>
      <c r="DF854" s="4">
        <f>DE854+((DH854-DE854)/2)</f>
        <v>3.0780038477081891E-2</v>
      </c>
      <c r="DG854" s="4">
        <f>DF854</f>
        <v>3.0780038477081891E-2</v>
      </c>
      <c r="DH854" s="185">
        <f>DE854*(1+$AW854)</f>
        <v>3.1662030837522802E-2</v>
      </c>
      <c r="DI854" s="4">
        <f>DH854+((DK854-DH854)/2)</f>
        <v>3.2596060747229719E-2</v>
      </c>
      <c r="DJ854" s="4">
        <f>DI854</f>
        <v>3.2596060747229719E-2</v>
      </c>
      <c r="DK854" s="185">
        <f>DH854*(1+$AW854)</f>
        <v>3.3530090656936642E-2</v>
      </c>
      <c r="DL854" s="4">
        <f>DK854+((DN854-DK854)/2)</f>
        <v>3.4519228331316272E-2</v>
      </c>
      <c r="DM854" s="4">
        <f>DL854</f>
        <v>3.4519228331316272E-2</v>
      </c>
      <c r="DN854" s="185">
        <f>DK854*(1+$AW854)</f>
        <v>3.5508366005695902E-2</v>
      </c>
      <c r="DO854" s="4">
        <f>DN854+((DQ854-DN854)/2)</f>
        <v>3.655586280286393E-2</v>
      </c>
      <c r="DP854" s="4">
        <f>DO854</f>
        <v>3.655586280286393E-2</v>
      </c>
      <c r="DQ854" s="185">
        <f>DN854*(1+$AW854)</f>
        <v>3.7603359600031958E-2</v>
      </c>
      <c r="DR854" s="4">
        <f>DQ854+((DT854-DQ854)/2)</f>
        <v>3.87126587082329E-2</v>
      </c>
      <c r="DS854" s="4">
        <f>DR854</f>
        <v>3.87126587082329E-2</v>
      </c>
      <c r="DT854" s="185">
        <f>DQ854*(1+$AW854)</f>
        <v>3.9821957816433842E-2</v>
      </c>
      <c r="DU854" s="4">
        <f>DT854+((DW854-DT854)/2)</f>
        <v>4.0996705572018635E-2</v>
      </c>
      <c r="DV854" s="4">
        <f>DU854</f>
        <v>4.0996705572018635E-2</v>
      </c>
      <c r="DW854" s="185">
        <f>DT854*(1+$AW854)</f>
        <v>4.2171453327603435E-2</v>
      </c>
      <c r="DX854" s="4">
        <f>DW854+((DZ854-DW854)/2)</f>
        <v>4.341551120076774E-2</v>
      </c>
      <c r="DY854" s="4">
        <f>DX854</f>
        <v>4.341551120076774E-2</v>
      </c>
      <c r="DZ854" s="185">
        <f>DW854*(1+$AW854)</f>
        <v>4.4659569073932037E-2</v>
      </c>
      <c r="EA854" s="4">
        <f>DZ854+((EC854-DZ854)/2)</f>
        <v>4.5977026361613035E-2</v>
      </c>
      <c r="EB854" s="4">
        <f>EA854</f>
        <v>4.5977026361613035E-2</v>
      </c>
      <c r="EC854" s="185">
        <f>DZ854*(1+$AW854)</f>
        <v>4.7294483649294027E-2</v>
      </c>
      <c r="ED854" s="4">
        <f>EC854+((EF854-EC854)/2)</f>
        <v>4.8689670916948202E-2</v>
      </c>
      <c r="EE854" s="4">
        <f>ED854</f>
        <v>4.8689670916948202E-2</v>
      </c>
      <c r="EF854" s="185">
        <f>EC854*(1+$AW854)</f>
        <v>5.0084858184602371E-2</v>
      </c>
      <c r="EG854" s="4">
        <f>EF854+((EI854-EF854)/2)</f>
        <v>5.1562361501048135E-2</v>
      </c>
      <c r="EH854" s="4">
        <f>EG854</f>
        <v>5.1562361501048135E-2</v>
      </c>
      <c r="EI854" s="185">
        <f>EF854*(1+$AW854)</f>
        <v>5.3039864817493905E-2</v>
      </c>
      <c r="EJ854" s="4">
        <f>EI854+((EL854-EI854)/2)</f>
        <v>5.4604540829609971E-2</v>
      </c>
      <c r="EK854" s="4">
        <f>EJ854</f>
        <v>5.4604540829609971E-2</v>
      </c>
      <c r="EL854" s="185">
        <f>EI854*(1+$AW854)</f>
        <v>5.6169216841726044E-2</v>
      </c>
      <c r="EM854" s="4">
        <f>EL854+((EO854-EL854)/2)</f>
        <v>5.7826208738556956E-2</v>
      </c>
      <c r="EN854" s="4">
        <f>EM854</f>
        <v>5.7826208738556956E-2</v>
      </c>
      <c r="EO854" s="185">
        <f>EL854*(1+$AW854)</f>
        <v>5.9483200635387874E-2</v>
      </c>
      <c r="EP854" s="4">
        <f>EO854+((ER854-EO854)/2)</f>
        <v>6.1237955054131821E-2</v>
      </c>
      <c r="EQ854" s="4">
        <f>EP854</f>
        <v>6.1237955054131821E-2</v>
      </c>
      <c r="ER854" s="185">
        <f>EO854*(1+$AW854)</f>
        <v>6.299270947287576E-2</v>
      </c>
      <c r="ES854" s="4">
        <f>ER854+((EU854-ER854)/2)</f>
        <v>6.4850994402325585E-2</v>
      </c>
      <c r="ET854" s="4">
        <f>ES854</f>
        <v>6.4850994402325585E-2</v>
      </c>
      <c r="EU854" s="185">
        <f>ER854*(1+$AW854)</f>
        <v>6.6709279331775423E-2</v>
      </c>
      <c r="EV854" s="4">
        <f>EU854+((EX854-EU854)/2)</f>
        <v>6.8677203072062792E-2</v>
      </c>
      <c r="EW854" s="4">
        <f>EV854</f>
        <v>6.8677203072062792E-2</v>
      </c>
      <c r="EX854" s="185">
        <f>EU854*(1+$AW854)</f>
        <v>7.0645126812350176E-2</v>
      </c>
      <c r="EY854" s="4">
        <f>EX854+((FA854-EX854)/2)</f>
        <v>7.2729158053314508E-2</v>
      </c>
      <c r="EZ854" s="4">
        <f>EY854</f>
        <v>7.2729158053314508E-2</v>
      </c>
      <c r="FA854" s="185">
        <f>EX854*(1+$AW854)</f>
        <v>7.4813189294278826E-2</v>
      </c>
      <c r="FH854" s="35"/>
      <c r="FI854" s="35"/>
      <c r="FJ854" s="35"/>
      <c r="FK854" s="35"/>
      <c r="FL854" s="35"/>
      <c r="FM854" s="35"/>
      <c r="FN854" s="35"/>
      <c r="FO854" s="35"/>
      <c r="FP854" s="35"/>
      <c r="FQ854" s="35"/>
    </row>
    <row r="855" spans="1:173" s="321" customFormat="1" ht="13.5" hidden="1" outlineLevel="1" thickBot="1">
      <c r="A855" s="1437"/>
      <c r="B855" s="967"/>
      <c r="C855" s="967" t="s">
        <v>327</v>
      </c>
      <c r="D855" s="327"/>
      <c r="E855" s="18"/>
      <c r="F855" s="18"/>
      <c r="G855" s="19"/>
      <c r="H855" s="18"/>
      <c r="I855" s="18"/>
      <c r="J855" s="19"/>
      <c r="K855" s="18"/>
      <c r="L855" s="18"/>
      <c r="M855" s="19"/>
      <c r="N855" s="18"/>
      <c r="O855" s="18"/>
      <c r="P855" s="19"/>
      <c r="Q855" s="18"/>
      <c r="R855" s="18"/>
      <c r="S855" s="19"/>
      <c r="T855" s="18"/>
      <c r="U855" s="18"/>
      <c r="V855" s="19"/>
      <c r="W855" s="18"/>
      <c r="X855" s="18"/>
      <c r="Y855" s="19"/>
      <c r="Z855" s="18"/>
      <c r="AA855" s="18"/>
      <c r="AB855" s="19"/>
      <c r="AC855" s="18"/>
      <c r="AD855" s="18"/>
      <c r="AE855" s="19"/>
      <c r="AF855" s="18"/>
      <c r="AG855" s="18"/>
      <c r="AH855" s="19"/>
      <c r="AI855" s="18"/>
      <c r="AJ855" s="18"/>
      <c r="AK855" s="19"/>
      <c r="AL855" s="18"/>
      <c r="AM855" s="18"/>
      <c r="AN855" s="19"/>
      <c r="AO855" s="18"/>
      <c r="AP855" s="18"/>
      <c r="AQ855" s="19"/>
      <c r="AR855" s="18"/>
      <c r="AS855" s="18"/>
      <c r="AT855" s="19"/>
      <c r="AU855" s="18"/>
      <c r="AV855" s="18"/>
      <c r="AW855" s="27">
        <v>5.8999999999999997E-2</v>
      </c>
      <c r="AX855" s="220">
        <v>9.4999999999999998E-3</v>
      </c>
      <c r="AY855" s="220">
        <f>AX855+((AZ855-AX855)/2)</f>
        <v>9.7802500000000007E-3</v>
      </c>
      <c r="AZ855" s="220">
        <f>AX855*(1+AW855)</f>
        <v>1.00605E-2</v>
      </c>
      <c r="BA855" s="11">
        <f>AZ855+((BC855-AZ855)/2)</f>
        <v>1.0357284750000001E-2</v>
      </c>
      <c r="BB855" s="11">
        <f>BA855</f>
        <v>1.0357284750000001E-2</v>
      </c>
      <c r="BC855" s="985">
        <f>AZ855*(1+$AW855)</f>
        <v>1.06540695E-2</v>
      </c>
      <c r="BD855" s="11">
        <f>BC855+((BF855-BC855)/2)</f>
        <v>1.096836455025E-2</v>
      </c>
      <c r="BE855" s="11">
        <f>BD855</f>
        <v>1.096836455025E-2</v>
      </c>
      <c r="BF855" s="985">
        <f>BC855*(1+$AW855)</f>
        <v>1.1282659600499999E-2</v>
      </c>
      <c r="BG855" s="11">
        <f>BF855+((BI855-BF855)/2)</f>
        <v>1.1615498058714748E-2</v>
      </c>
      <c r="BH855" s="11">
        <f>BG855</f>
        <v>1.1615498058714748E-2</v>
      </c>
      <c r="BI855" s="985">
        <f>BF855*(1+$AW855)</f>
        <v>1.1948336516929498E-2</v>
      </c>
      <c r="BJ855" s="151">
        <f>BI855+((BL855-BI855)/2)</f>
        <v>1.2300812444178917E-2</v>
      </c>
      <c r="BK855" s="151">
        <f>BJ855</f>
        <v>1.2300812444178917E-2</v>
      </c>
      <c r="BL855" s="152">
        <f>BI855*(1+$AW855)</f>
        <v>1.2653288371428338E-2</v>
      </c>
      <c r="BM855" s="151">
        <f>BL855+((BO855-BL855)/2)</f>
        <v>1.3026560378385474E-2</v>
      </c>
      <c r="BN855" s="151">
        <f>BM855</f>
        <v>1.3026560378385474E-2</v>
      </c>
      <c r="BO855" s="152">
        <f>BL855*(1+$AW855)</f>
        <v>1.3399832385342609E-2</v>
      </c>
      <c r="BP855" s="151">
        <f>BO855+((BR855-BO855)/2)</f>
        <v>1.3795127440710216E-2</v>
      </c>
      <c r="BQ855" s="151">
        <f>BP855</f>
        <v>1.3795127440710216E-2</v>
      </c>
      <c r="BR855" s="152">
        <f>BO855*(1+$AW855)</f>
        <v>1.4190422496077822E-2</v>
      </c>
      <c r="BS855" s="11">
        <f>BR855+((BU855-BR855)/2)</f>
        <v>1.4609039959712118E-2</v>
      </c>
      <c r="BT855" s="11">
        <f>BS855</f>
        <v>1.4609039959712118E-2</v>
      </c>
      <c r="BU855" s="220">
        <f>BR855*(1+$AW855)</f>
        <v>1.5027657423346413E-2</v>
      </c>
      <c r="BV855" s="11">
        <f>BU855+((BX855-BU855)/2)</f>
        <v>1.5470973317335133E-2</v>
      </c>
      <c r="BW855" s="11">
        <f>BV855</f>
        <v>1.5470973317335133E-2</v>
      </c>
      <c r="BX855" s="220">
        <f>BU855*(1+$AW855)</f>
        <v>1.5914289211323852E-2</v>
      </c>
      <c r="BY855" s="11">
        <f>BX855+((CA855-BX855)/2)</f>
        <v>1.6383760743057904E-2</v>
      </c>
      <c r="BZ855" s="11">
        <f>BY855</f>
        <v>1.6383760743057904E-2</v>
      </c>
      <c r="CA855" s="220">
        <f>BX855*(1+$AW855)</f>
        <v>1.6853232274791959E-2</v>
      </c>
      <c r="CB855" s="11">
        <f>CA855+((CD855-CA855)/2)</f>
        <v>1.7350402626898322E-2</v>
      </c>
      <c r="CC855" s="11">
        <f>CB855</f>
        <v>1.7350402626898322E-2</v>
      </c>
      <c r="CD855" s="220">
        <f>CA855*(1+$AW855)</f>
        <v>1.7847572979004685E-2</v>
      </c>
      <c r="CE855" s="11">
        <f>CD855+((CG855-CD855)/2)</f>
        <v>1.8374076381885325E-2</v>
      </c>
      <c r="CF855" s="11">
        <f>CE855</f>
        <v>1.8374076381885325E-2</v>
      </c>
      <c r="CG855" s="220">
        <f>CD855*(1+$AW855)</f>
        <v>1.8900579784765961E-2</v>
      </c>
      <c r="CH855" s="11">
        <f>CG855+((CJ855-CG855)/2)</f>
        <v>1.9458146888416558E-2</v>
      </c>
      <c r="CI855" s="11">
        <f>CH855</f>
        <v>1.9458146888416558E-2</v>
      </c>
      <c r="CJ855" s="220">
        <f>CG855*(1+$AW855)</f>
        <v>2.0015713992067152E-2</v>
      </c>
      <c r="CK855" s="11">
        <f>CJ855+((CM855-CJ855)/2)</f>
        <v>2.0606177554833134E-2</v>
      </c>
      <c r="CL855" s="11">
        <f>CK855</f>
        <v>2.0606177554833134E-2</v>
      </c>
      <c r="CM855" s="220">
        <f>CJ855*(1+$AW855)</f>
        <v>2.1196641117599113E-2</v>
      </c>
      <c r="CN855" s="11">
        <f>CM855+((CP855-CM855)/2)</f>
        <v>2.1821942030568288E-2</v>
      </c>
      <c r="CO855" s="11">
        <f>CN855</f>
        <v>2.1821942030568288E-2</v>
      </c>
      <c r="CP855" s="220">
        <f>CM855*(1+$AW855)</f>
        <v>2.2447242943537459E-2</v>
      </c>
      <c r="CQ855" s="11">
        <f>CP855+((CS855-CP855)/2)</f>
        <v>2.3109436610371813E-2</v>
      </c>
      <c r="CR855" s="11">
        <f>CQ855</f>
        <v>2.3109436610371813E-2</v>
      </c>
      <c r="CS855" s="220">
        <f>CP855*(1+$AW855)</f>
        <v>2.377163027720617E-2</v>
      </c>
      <c r="CT855" s="11">
        <f>CS855+((CV855-CS855)/2)</f>
        <v>2.447289337038375E-2</v>
      </c>
      <c r="CU855" s="11">
        <f>CT855</f>
        <v>2.447289337038375E-2</v>
      </c>
      <c r="CV855" s="220">
        <f>CS855*(1+$AW855)</f>
        <v>2.5174156463561331E-2</v>
      </c>
      <c r="CW855" s="11">
        <f>CV855+((CY855-CV855)/2)</f>
        <v>2.5916794079236388E-2</v>
      </c>
      <c r="CX855" s="11">
        <f>CW855</f>
        <v>2.5916794079236388E-2</v>
      </c>
      <c r="CY855" s="220">
        <f>CV855*(1+$AW855)</f>
        <v>2.6659431694911449E-2</v>
      </c>
      <c r="CZ855" s="11">
        <f>CY855+((DB855-CY855)/2)</f>
        <v>2.7445884929911336E-2</v>
      </c>
      <c r="DA855" s="11">
        <f>CZ855</f>
        <v>2.7445884929911336E-2</v>
      </c>
      <c r="DB855" s="220">
        <f>CY855*(1+$AW855)</f>
        <v>2.8232338164911223E-2</v>
      </c>
      <c r="DC855" s="11">
        <f>DB855+((DE855-DB855)/2)</f>
        <v>2.9065192140776103E-2</v>
      </c>
      <c r="DD855" s="11">
        <f>DC855</f>
        <v>2.9065192140776103E-2</v>
      </c>
      <c r="DE855" s="220">
        <f>DB855*(1+$AW855)</f>
        <v>2.9898046116640983E-2</v>
      </c>
      <c r="DF855" s="11">
        <f>DE855+((DH855-DE855)/2)</f>
        <v>3.0780038477081891E-2</v>
      </c>
      <c r="DG855" s="11">
        <f>DF855</f>
        <v>3.0780038477081891E-2</v>
      </c>
      <c r="DH855" s="220">
        <f>DE855*(1+$AW855)</f>
        <v>3.1662030837522802E-2</v>
      </c>
      <c r="DI855" s="11">
        <f>DH855+((DK855-DH855)/2)</f>
        <v>3.2596060747229719E-2</v>
      </c>
      <c r="DJ855" s="11">
        <f>DI855</f>
        <v>3.2596060747229719E-2</v>
      </c>
      <c r="DK855" s="220">
        <f>DH855*(1+$AW855)</f>
        <v>3.3530090656936642E-2</v>
      </c>
      <c r="DL855" s="11">
        <f>DK855+((DN855-DK855)/2)</f>
        <v>3.4519228331316272E-2</v>
      </c>
      <c r="DM855" s="11">
        <f>DL855</f>
        <v>3.4519228331316272E-2</v>
      </c>
      <c r="DN855" s="220">
        <f>DK855*(1+$AW855)</f>
        <v>3.5508366005695902E-2</v>
      </c>
      <c r="DO855" s="11">
        <f>DN855+((DQ855-DN855)/2)</f>
        <v>3.655586280286393E-2</v>
      </c>
      <c r="DP855" s="11">
        <f>DO855</f>
        <v>3.655586280286393E-2</v>
      </c>
      <c r="DQ855" s="220">
        <f>DN855*(1+$AW855)</f>
        <v>3.7603359600031958E-2</v>
      </c>
      <c r="DR855" s="11">
        <f>DQ855+((DT855-DQ855)/2)</f>
        <v>3.87126587082329E-2</v>
      </c>
      <c r="DS855" s="11">
        <f>DR855</f>
        <v>3.87126587082329E-2</v>
      </c>
      <c r="DT855" s="220">
        <f>DQ855*(1+$AW855)</f>
        <v>3.9821957816433842E-2</v>
      </c>
      <c r="DU855" s="11">
        <f>DT855+((DW855-DT855)/2)</f>
        <v>4.0996705572018635E-2</v>
      </c>
      <c r="DV855" s="11">
        <f>DU855</f>
        <v>4.0996705572018635E-2</v>
      </c>
      <c r="DW855" s="220">
        <f>DT855*(1+$AW855)</f>
        <v>4.2171453327603435E-2</v>
      </c>
      <c r="DX855" s="11">
        <f>DW855+((DZ855-DW855)/2)</f>
        <v>4.341551120076774E-2</v>
      </c>
      <c r="DY855" s="11">
        <f>DX855</f>
        <v>4.341551120076774E-2</v>
      </c>
      <c r="DZ855" s="220">
        <f>DW855*(1+$AW855)</f>
        <v>4.4659569073932037E-2</v>
      </c>
      <c r="EA855" s="11">
        <f>DZ855+((EC855-DZ855)/2)</f>
        <v>4.5977026361613035E-2</v>
      </c>
      <c r="EB855" s="11">
        <f>EA855</f>
        <v>4.5977026361613035E-2</v>
      </c>
      <c r="EC855" s="220">
        <f>DZ855*(1+$AW855)</f>
        <v>4.7294483649294027E-2</v>
      </c>
      <c r="ED855" s="11">
        <f>EC855+((EF855-EC855)/2)</f>
        <v>4.8689670916948202E-2</v>
      </c>
      <c r="EE855" s="11">
        <f>ED855</f>
        <v>4.8689670916948202E-2</v>
      </c>
      <c r="EF855" s="220">
        <f>EC855*(1+$AW855)</f>
        <v>5.0084858184602371E-2</v>
      </c>
      <c r="EG855" s="11">
        <f>EF855+((EI855-EF855)/2)</f>
        <v>5.1562361501048135E-2</v>
      </c>
      <c r="EH855" s="11">
        <f>EG855</f>
        <v>5.1562361501048135E-2</v>
      </c>
      <c r="EI855" s="220">
        <f>EF855*(1+$AW855)</f>
        <v>5.3039864817493905E-2</v>
      </c>
      <c r="EJ855" s="11">
        <f>EI855+((EL855-EI855)/2)</f>
        <v>5.4604540829609971E-2</v>
      </c>
      <c r="EK855" s="11">
        <f>EJ855</f>
        <v>5.4604540829609971E-2</v>
      </c>
      <c r="EL855" s="220">
        <f>EI855*(1+$AW855)</f>
        <v>5.6169216841726044E-2</v>
      </c>
      <c r="EM855" s="11">
        <f>EL855+((EO855-EL855)/2)</f>
        <v>5.7826208738556956E-2</v>
      </c>
      <c r="EN855" s="11">
        <f>EM855</f>
        <v>5.7826208738556956E-2</v>
      </c>
      <c r="EO855" s="220">
        <f>EL855*(1+$AW855)</f>
        <v>5.9483200635387874E-2</v>
      </c>
      <c r="EP855" s="11">
        <f>EO855+((ER855-EO855)/2)</f>
        <v>6.1237955054131821E-2</v>
      </c>
      <c r="EQ855" s="11">
        <f>EP855</f>
        <v>6.1237955054131821E-2</v>
      </c>
      <c r="ER855" s="220">
        <f>EO855*(1+$AW855)</f>
        <v>6.299270947287576E-2</v>
      </c>
      <c r="ES855" s="11">
        <f>ER855+((EU855-ER855)/2)</f>
        <v>6.4850994402325585E-2</v>
      </c>
      <c r="ET855" s="11">
        <f>ES855</f>
        <v>6.4850994402325585E-2</v>
      </c>
      <c r="EU855" s="220">
        <f>ER855*(1+$AW855)</f>
        <v>6.6709279331775423E-2</v>
      </c>
      <c r="EV855" s="11">
        <f>EU855+((EX855-EU855)/2)</f>
        <v>6.8677203072062792E-2</v>
      </c>
      <c r="EW855" s="11">
        <f>EV855</f>
        <v>6.8677203072062792E-2</v>
      </c>
      <c r="EX855" s="220">
        <f>EU855*(1+$AW855)</f>
        <v>7.0645126812350176E-2</v>
      </c>
      <c r="EY855" s="11">
        <f>EX855+((FA855-EX855)/2)</f>
        <v>7.2729158053314508E-2</v>
      </c>
      <c r="EZ855" s="11">
        <f>EY855</f>
        <v>7.2729158053314508E-2</v>
      </c>
      <c r="FA855" s="220">
        <f>EX855*(1+$AW855)</f>
        <v>7.4813189294278826E-2</v>
      </c>
      <c r="FH855" s="35"/>
      <c r="FI855" s="35"/>
      <c r="FJ855" s="35"/>
      <c r="FK855" s="35"/>
      <c r="FL855" s="35"/>
      <c r="FM855" s="35"/>
      <c r="FN855" s="35"/>
      <c r="FO855" s="35"/>
      <c r="FP855" s="35"/>
      <c r="FQ855" s="35"/>
    </row>
    <row r="856" spans="1:173" s="321" customFormat="1" hidden="1" outlineLevel="1">
      <c r="A856" s="1168"/>
      <c r="B856" s="68" t="s">
        <v>656</v>
      </c>
      <c r="C856" s="35"/>
      <c r="D856" s="329"/>
      <c r="E856" s="1"/>
      <c r="F856" s="1"/>
      <c r="G856" s="5"/>
      <c r="H856" s="1"/>
      <c r="I856" s="1"/>
      <c r="J856" s="5"/>
      <c r="K856" s="1"/>
      <c r="L856" s="1"/>
      <c r="M856" s="5"/>
      <c r="N856" s="1"/>
      <c r="O856" s="1"/>
      <c r="P856" s="5"/>
      <c r="Q856" s="1"/>
      <c r="R856" s="1"/>
      <c r="S856" s="5"/>
      <c r="T856" s="1"/>
      <c r="U856" s="1"/>
      <c r="V856" s="5"/>
      <c r="W856" s="1"/>
      <c r="X856" s="1"/>
      <c r="Y856" s="5"/>
      <c r="Z856" s="1"/>
      <c r="AA856" s="1"/>
      <c r="AB856" s="5"/>
      <c r="AC856" s="1"/>
      <c r="AD856" s="1"/>
      <c r="AE856" s="5"/>
      <c r="AF856" s="1"/>
      <c r="AG856" s="1"/>
      <c r="AH856" s="5"/>
      <c r="AI856" s="1"/>
      <c r="AJ856" s="1"/>
      <c r="AK856" s="5"/>
      <c r="AL856" s="1"/>
      <c r="AM856" s="1"/>
      <c r="AN856" s="5"/>
      <c r="AO856" s="1"/>
      <c r="AP856" s="1"/>
      <c r="AQ856" s="5"/>
      <c r="AR856" s="1"/>
      <c r="AS856" s="1"/>
      <c r="AT856" s="5"/>
      <c r="AU856" s="1"/>
      <c r="AV856" s="1"/>
      <c r="AW856" s="5"/>
      <c r="AX856" s="4">
        <f t="shared" ref="AX856:CC856" si="3622">SUM(AX843,AX849,AX855)</f>
        <v>0.99999999999999989</v>
      </c>
      <c r="AY856" s="4">
        <f t="shared" si="3622"/>
        <v>0.99999999999999989</v>
      </c>
      <c r="AZ856" s="4">
        <f t="shared" si="3622"/>
        <v>1</v>
      </c>
      <c r="BA856" s="4">
        <f t="shared" si="3622"/>
        <v>1</v>
      </c>
      <c r="BB856" s="4">
        <f t="shared" si="3622"/>
        <v>1</v>
      </c>
      <c r="BC856" s="57">
        <f t="shared" si="3622"/>
        <v>1</v>
      </c>
      <c r="BD856" s="4">
        <f t="shared" si="3622"/>
        <v>1</v>
      </c>
      <c r="BE856" s="4">
        <f t="shared" si="3622"/>
        <v>1</v>
      </c>
      <c r="BF856" s="57">
        <f t="shared" si="3622"/>
        <v>1</v>
      </c>
      <c r="BG856" s="4">
        <f t="shared" si="3622"/>
        <v>1</v>
      </c>
      <c r="BH856" s="4">
        <f t="shared" si="3622"/>
        <v>1</v>
      </c>
      <c r="BI856" s="57">
        <f t="shared" si="3622"/>
        <v>1</v>
      </c>
      <c r="BJ856" s="121">
        <f t="shared" si="3622"/>
        <v>1</v>
      </c>
      <c r="BK856" s="121">
        <f t="shared" si="3622"/>
        <v>1</v>
      </c>
      <c r="BL856" s="114">
        <f t="shared" si="3622"/>
        <v>1</v>
      </c>
      <c r="BM856" s="121">
        <f t="shared" si="3622"/>
        <v>1</v>
      </c>
      <c r="BN856" s="121">
        <f t="shared" si="3622"/>
        <v>1</v>
      </c>
      <c r="BO856" s="114">
        <f t="shared" si="3622"/>
        <v>1</v>
      </c>
      <c r="BP856" s="121">
        <f t="shared" si="3622"/>
        <v>1</v>
      </c>
      <c r="BQ856" s="121">
        <f t="shared" si="3622"/>
        <v>1</v>
      </c>
      <c r="BR856" s="114">
        <f t="shared" si="3622"/>
        <v>1</v>
      </c>
      <c r="BS856" s="4">
        <f t="shared" si="3622"/>
        <v>1</v>
      </c>
      <c r="BT856" s="4">
        <f t="shared" si="3622"/>
        <v>1</v>
      </c>
      <c r="BU856" s="4">
        <f t="shared" si="3622"/>
        <v>1</v>
      </c>
      <c r="BV856" s="4">
        <f t="shared" si="3622"/>
        <v>1</v>
      </c>
      <c r="BW856" s="4">
        <f t="shared" si="3622"/>
        <v>1</v>
      </c>
      <c r="BX856" s="185">
        <f t="shared" si="3622"/>
        <v>1</v>
      </c>
      <c r="BY856" s="4">
        <f t="shared" si="3622"/>
        <v>1</v>
      </c>
      <c r="BZ856" s="4">
        <f t="shared" si="3622"/>
        <v>1</v>
      </c>
      <c r="CA856" s="185">
        <f t="shared" si="3622"/>
        <v>1</v>
      </c>
      <c r="CB856" s="4">
        <f t="shared" si="3622"/>
        <v>1</v>
      </c>
      <c r="CC856" s="4">
        <f t="shared" si="3622"/>
        <v>1</v>
      </c>
      <c r="CD856" s="185">
        <f t="shared" ref="CD856:DI856" si="3623">SUM(CD843,CD849,CD855)</f>
        <v>1</v>
      </c>
      <c r="CE856" s="4">
        <f t="shared" si="3623"/>
        <v>1</v>
      </c>
      <c r="CF856" s="4">
        <f t="shared" si="3623"/>
        <v>1</v>
      </c>
      <c r="CG856" s="185">
        <f t="shared" si="3623"/>
        <v>1</v>
      </c>
      <c r="CH856" s="4">
        <f t="shared" si="3623"/>
        <v>1</v>
      </c>
      <c r="CI856" s="4">
        <f t="shared" si="3623"/>
        <v>1</v>
      </c>
      <c r="CJ856" s="185">
        <f t="shared" si="3623"/>
        <v>1</v>
      </c>
      <c r="CK856" s="4">
        <f t="shared" si="3623"/>
        <v>1</v>
      </c>
      <c r="CL856" s="4">
        <f t="shared" si="3623"/>
        <v>1</v>
      </c>
      <c r="CM856" s="185">
        <f t="shared" si="3623"/>
        <v>1</v>
      </c>
      <c r="CN856" s="4">
        <f t="shared" si="3623"/>
        <v>1</v>
      </c>
      <c r="CO856" s="4">
        <f t="shared" si="3623"/>
        <v>1</v>
      </c>
      <c r="CP856" s="185">
        <f t="shared" si="3623"/>
        <v>1</v>
      </c>
      <c r="CQ856" s="4">
        <f t="shared" si="3623"/>
        <v>1</v>
      </c>
      <c r="CR856" s="4">
        <f t="shared" si="3623"/>
        <v>1</v>
      </c>
      <c r="CS856" s="185">
        <f t="shared" si="3623"/>
        <v>1</v>
      </c>
      <c r="CT856" s="4">
        <f t="shared" si="3623"/>
        <v>1</v>
      </c>
      <c r="CU856" s="4">
        <f t="shared" si="3623"/>
        <v>1</v>
      </c>
      <c r="CV856" s="185">
        <f t="shared" si="3623"/>
        <v>1</v>
      </c>
      <c r="CW856" s="4">
        <f t="shared" si="3623"/>
        <v>1</v>
      </c>
      <c r="CX856" s="4">
        <f t="shared" si="3623"/>
        <v>1</v>
      </c>
      <c r="CY856" s="4">
        <f t="shared" si="3623"/>
        <v>0.99999999999999989</v>
      </c>
      <c r="CZ856" s="4">
        <f t="shared" si="3623"/>
        <v>1</v>
      </c>
      <c r="DA856" s="4">
        <f t="shared" si="3623"/>
        <v>1</v>
      </c>
      <c r="DB856" s="4">
        <f t="shared" si="3623"/>
        <v>1</v>
      </c>
      <c r="DC856" s="4">
        <f t="shared" si="3623"/>
        <v>1</v>
      </c>
      <c r="DD856" s="4">
        <f t="shared" si="3623"/>
        <v>1</v>
      </c>
      <c r="DE856" s="4">
        <f t="shared" si="3623"/>
        <v>1</v>
      </c>
      <c r="DF856" s="4">
        <f t="shared" si="3623"/>
        <v>1</v>
      </c>
      <c r="DG856" s="4">
        <f t="shared" si="3623"/>
        <v>1</v>
      </c>
      <c r="DH856" s="4">
        <f t="shared" si="3623"/>
        <v>1</v>
      </c>
      <c r="DI856" s="4">
        <f t="shared" si="3623"/>
        <v>1</v>
      </c>
      <c r="DJ856" s="4">
        <f t="shared" ref="DJ856:EF856" si="3624">SUM(DJ843,DJ849,DJ855)</f>
        <v>1</v>
      </c>
      <c r="DK856" s="4">
        <f t="shared" si="3624"/>
        <v>1</v>
      </c>
      <c r="DL856" s="4">
        <f t="shared" si="3624"/>
        <v>1</v>
      </c>
      <c r="DM856" s="4">
        <f t="shared" si="3624"/>
        <v>1</v>
      </c>
      <c r="DN856" s="4">
        <f t="shared" si="3624"/>
        <v>1</v>
      </c>
      <c r="DO856" s="4">
        <f t="shared" si="3624"/>
        <v>1</v>
      </c>
      <c r="DP856" s="4">
        <f t="shared" si="3624"/>
        <v>1</v>
      </c>
      <c r="DQ856" s="4">
        <f t="shared" si="3624"/>
        <v>1</v>
      </c>
      <c r="DR856" s="4">
        <f t="shared" si="3624"/>
        <v>1</v>
      </c>
      <c r="DS856" s="4">
        <f t="shared" si="3624"/>
        <v>1</v>
      </c>
      <c r="DT856" s="4">
        <f t="shared" si="3624"/>
        <v>1</v>
      </c>
      <c r="DU856" s="4">
        <f t="shared" si="3624"/>
        <v>1</v>
      </c>
      <c r="DV856" s="4">
        <f t="shared" si="3624"/>
        <v>1</v>
      </c>
      <c r="DW856" s="4">
        <f t="shared" si="3624"/>
        <v>1</v>
      </c>
      <c r="DX856" s="4">
        <f t="shared" si="3624"/>
        <v>1</v>
      </c>
      <c r="DY856" s="4">
        <f t="shared" si="3624"/>
        <v>1</v>
      </c>
      <c r="DZ856" s="4">
        <f t="shared" si="3624"/>
        <v>1</v>
      </c>
      <c r="EA856" s="4">
        <f t="shared" si="3624"/>
        <v>1</v>
      </c>
      <c r="EB856" s="4">
        <f t="shared" si="3624"/>
        <v>1</v>
      </c>
      <c r="EC856" s="4">
        <f t="shared" si="3624"/>
        <v>1.0000000000000002</v>
      </c>
      <c r="ED856" s="4">
        <f t="shared" si="3624"/>
        <v>1</v>
      </c>
      <c r="EE856" s="4">
        <f t="shared" si="3624"/>
        <v>1</v>
      </c>
      <c r="EF856" s="4">
        <f t="shared" si="3624"/>
        <v>1</v>
      </c>
      <c r="EG856" s="4">
        <f t="shared" ref="EG856:EL856" si="3625">SUM(EG843,EG849,EG855)</f>
        <v>1</v>
      </c>
      <c r="EH856" s="4">
        <f t="shared" si="3625"/>
        <v>1</v>
      </c>
      <c r="EI856" s="4">
        <f t="shared" si="3625"/>
        <v>1</v>
      </c>
      <c r="EJ856" s="4">
        <f t="shared" si="3625"/>
        <v>1</v>
      </c>
      <c r="EK856" s="4">
        <f t="shared" si="3625"/>
        <v>1</v>
      </c>
      <c r="EL856" s="4">
        <f t="shared" si="3625"/>
        <v>1</v>
      </c>
      <c r="EM856" s="4">
        <f t="shared" ref="EM856:ER856" si="3626">SUM(EM843,EM849,EM855)</f>
        <v>1</v>
      </c>
      <c r="EN856" s="4">
        <f t="shared" si="3626"/>
        <v>1</v>
      </c>
      <c r="EO856" s="4">
        <f t="shared" si="3626"/>
        <v>1</v>
      </c>
      <c r="EP856" s="4">
        <f t="shared" si="3626"/>
        <v>1</v>
      </c>
      <c r="EQ856" s="4">
        <f t="shared" si="3626"/>
        <v>1</v>
      </c>
      <c r="ER856" s="4">
        <f t="shared" si="3626"/>
        <v>1</v>
      </c>
      <c r="ES856" s="4">
        <f t="shared" ref="ES856:EX856" si="3627">SUM(ES843,ES849,ES855)</f>
        <v>1</v>
      </c>
      <c r="ET856" s="4">
        <f t="shared" si="3627"/>
        <v>1</v>
      </c>
      <c r="EU856" s="4">
        <f t="shared" si="3627"/>
        <v>1</v>
      </c>
      <c r="EV856" s="4">
        <f t="shared" si="3627"/>
        <v>1</v>
      </c>
      <c r="EW856" s="4">
        <f t="shared" si="3627"/>
        <v>1</v>
      </c>
      <c r="EX856" s="4">
        <f t="shared" si="3627"/>
        <v>1</v>
      </c>
      <c r="EY856" s="4">
        <f t="shared" ref="EY856:FA856" si="3628">SUM(EY843,EY849,EY855)</f>
        <v>1</v>
      </c>
      <c r="EZ856" s="4">
        <f t="shared" si="3628"/>
        <v>1</v>
      </c>
      <c r="FA856" s="4">
        <f t="shared" si="3628"/>
        <v>1</v>
      </c>
      <c r="FH856" s="35"/>
      <c r="FI856" s="35"/>
      <c r="FJ856" s="35"/>
      <c r="FK856" s="35"/>
      <c r="FL856" s="35"/>
      <c r="FM856" s="35"/>
      <c r="FN856" s="35"/>
      <c r="FO856" s="35"/>
      <c r="FP856" s="35"/>
      <c r="FQ856" s="35"/>
    </row>
    <row r="857" spans="1:173" s="321" customFormat="1" hidden="1" outlineLevel="1">
      <c r="A857" s="1168"/>
      <c r="B857" s="186"/>
      <c r="C857" s="331" t="s">
        <v>828</v>
      </c>
      <c r="D857" s="910"/>
      <c r="E857" s="1"/>
      <c r="F857" s="1"/>
      <c r="G857" s="5"/>
      <c r="H857" s="1"/>
      <c r="I857" s="1"/>
      <c r="J857" s="5"/>
      <c r="K857" s="1"/>
      <c r="L857" s="1"/>
      <c r="M857" s="5"/>
      <c r="N857" s="1"/>
      <c r="O857" s="1"/>
      <c r="P857" s="5"/>
      <c r="Q857" s="1"/>
      <c r="R857" s="1"/>
      <c r="S857" s="5"/>
      <c r="T857" s="1"/>
      <c r="U857" s="1"/>
      <c r="V857" s="5"/>
      <c r="W857" s="1"/>
      <c r="X857" s="1"/>
      <c r="Y857" s="5"/>
      <c r="Z857" s="1"/>
      <c r="AA857" s="1"/>
      <c r="AB857" s="5"/>
      <c r="AC857" s="1"/>
      <c r="AD857" s="1"/>
      <c r="AE857" s="5"/>
      <c r="AF857" s="1"/>
      <c r="AG857" s="1"/>
      <c r="AH857" s="5"/>
      <c r="AI857" s="1"/>
      <c r="AJ857" s="1"/>
      <c r="AK857" s="5"/>
      <c r="AL857" s="1"/>
      <c r="AM857" s="1"/>
      <c r="AN857" s="5"/>
      <c r="AO857" s="1"/>
      <c r="AP857" s="1"/>
      <c r="AQ857" s="5"/>
      <c r="AR857" s="1"/>
      <c r="AS857" s="1"/>
      <c r="AT857" s="5"/>
      <c r="AU857" s="1"/>
      <c r="AV857" s="1"/>
      <c r="AW857" s="5"/>
      <c r="AX857" s="3"/>
      <c r="AY857" s="3"/>
      <c r="AZ857" s="2"/>
      <c r="BA857" s="3"/>
      <c r="BB857" s="3"/>
      <c r="BC857" s="973"/>
      <c r="BD857" s="3"/>
      <c r="BE857" s="3"/>
      <c r="BF857" s="973"/>
      <c r="BG857" s="3"/>
      <c r="BH857" s="3"/>
      <c r="BI857" s="978"/>
      <c r="BJ857" s="115"/>
      <c r="BK857" s="115"/>
      <c r="BL857" s="116"/>
      <c r="BM857" s="115"/>
      <c r="BN857" s="115"/>
      <c r="BO857" s="116"/>
      <c r="BP857" s="115"/>
      <c r="BQ857" s="115"/>
      <c r="BR857" s="116"/>
      <c r="BS857" s="8"/>
      <c r="BT857" s="8"/>
      <c r="BU857" s="187"/>
      <c r="BV857" s="8"/>
      <c r="BW857" s="8"/>
      <c r="BX857" s="187"/>
      <c r="BY857" s="8"/>
      <c r="BZ857" s="8"/>
      <c r="CA857" s="187"/>
      <c r="CB857" s="8"/>
      <c r="CC857" s="8"/>
      <c r="CD857" s="187"/>
      <c r="CE857" s="8"/>
      <c r="CF857" s="8"/>
      <c r="CG857" s="187"/>
      <c r="CH857" s="8"/>
      <c r="CI857" s="8"/>
      <c r="CJ857" s="187"/>
      <c r="CK857" s="8"/>
      <c r="CL857" s="8"/>
      <c r="CM857" s="187"/>
      <c r="CN857" s="8"/>
      <c r="CO857" s="8"/>
      <c r="CP857" s="187"/>
      <c r="CQ857" s="8"/>
      <c r="CR857" s="8"/>
      <c r="CS857" s="187"/>
      <c r="CT857" s="8"/>
      <c r="CU857" s="8"/>
      <c r="CV857" s="187"/>
      <c r="CW857" s="8"/>
      <c r="CX857" s="8"/>
      <c r="CY857" s="187"/>
      <c r="CZ857" s="8"/>
      <c r="DA857" s="8"/>
      <c r="DB857" s="187"/>
      <c r="DC857" s="8"/>
      <c r="DD857" s="8"/>
      <c r="DE857" s="187"/>
      <c r="DF857" s="8"/>
      <c r="DG857" s="8"/>
      <c r="DH857" s="187"/>
      <c r="DI857" s="8"/>
      <c r="DJ857" s="8"/>
      <c r="DK857" s="187"/>
      <c r="DL857" s="8"/>
      <c r="DM857" s="8"/>
      <c r="DN857" s="187"/>
      <c r="DO857" s="8"/>
      <c r="DP857" s="8"/>
      <c r="DQ857" s="187"/>
      <c r="DR857" s="8"/>
      <c r="DS857" s="8"/>
      <c r="DT857" s="187"/>
      <c r="DU857" s="8"/>
      <c r="DV857" s="8"/>
      <c r="DW857" s="187"/>
      <c r="DX857" s="8"/>
      <c r="DY857" s="8"/>
      <c r="DZ857" s="187"/>
      <c r="EA857" s="8"/>
      <c r="EB857" s="8"/>
      <c r="EC857" s="187"/>
      <c r="ED857" s="8"/>
      <c r="EE857" s="8"/>
      <c r="EF857" s="187"/>
      <c r="EG857" s="8"/>
      <c r="EH857" s="8"/>
      <c r="EI857" s="187"/>
      <c r="EJ857" s="8"/>
      <c r="EK857" s="8"/>
      <c r="EL857" s="187"/>
      <c r="EM857" s="8"/>
      <c r="EN857" s="8"/>
      <c r="EO857" s="187"/>
      <c r="EP857" s="8"/>
      <c r="EQ857" s="8"/>
      <c r="ER857" s="187"/>
      <c r="ES857" s="8"/>
      <c r="ET857" s="8"/>
      <c r="EU857" s="187"/>
      <c r="EV857" s="8"/>
      <c r="EW857" s="8"/>
      <c r="EX857" s="187"/>
      <c r="EY857" s="8"/>
      <c r="EZ857" s="8"/>
      <c r="FA857" s="187"/>
      <c r="FH857" s="35"/>
      <c r="FI857" s="35"/>
      <c r="FJ857" s="35"/>
      <c r="FK857" s="35"/>
      <c r="FL857" s="35"/>
      <c r="FM857" s="35"/>
      <c r="FN857" s="35"/>
      <c r="FO857" s="35"/>
      <c r="FP857" s="35"/>
      <c r="FQ857" s="35"/>
    </row>
    <row r="858" spans="1:173" s="321" customFormat="1" hidden="1" outlineLevel="1">
      <c r="A858" s="1168"/>
      <c r="B858" s="186"/>
      <c r="C858" s="186" t="s">
        <v>316</v>
      </c>
      <c r="D858" s="910"/>
      <c r="E858" s="1"/>
      <c r="F858" s="1"/>
      <c r="G858" s="5"/>
      <c r="H858" s="1"/>
      <c r="I858" s="1"/>
      <c r="J858" s="5"/>
      <c r="K858" s="1"/>
      <c r="L858" s="1"/>
      <c r="M858" s="5"/>
      <c r="N858" s="1"/>
      <c r="O858" s="1"/>
      <c r="P858" s="5"/>
      <c r="Q858" s="1"/>
      <c r="R858" s="1"/>
      <c r="S858" s="5"/>
      <c r="T858" s="1"/>
      <c r="U858" s="1"/>
      <c r="V858" s="5"/>
      <c r="W858" s="1"/>
      <c r="X858" s="1"/>
      <c r="Y858" s="5"/>
      <c r="Z858" s="1"/>
      <c r="AA858" s="1"/>
      <c r="AB858" s="5"/>
      <c r="AC858" s="1"/>
      <c r="AD858" s="1"/>
      <c r="AE858" s="5"/>
      <c r="AF858" s="1"/>
      <c r="AG858" s="1"/>
      <c r="AH858" s="5"/>
      <c r="AI858" s="1"/>
      <c r="AJ858" s="1"/>
      <c r="AK858" s="5"/>
      <c r="AL858" s="1"/>
      <c r="AM858" s="1"/>
      <c r="AN858" s="5"/>
      <c r="AO858" s="1"/>
      <c r="AP858" s="1"/>
      <c r="AQ858" s="5"/>
      <c r="AR858" s="1"/>
      <c r="AS858" s="1"/>
      <c r="AT858" s="5"/>
      <c r="AU858" s="1"/>
      <c r="AV858" s="1"/>
      <c r="AW858" s="5"/>
      <c r="AX858" s="184">
        <f>(AX822*AX810*AX751)</f>
        <v>3467.3278236914603</v>
      </c>
      <c r="AY858" s="184">
        <f>AX858+(AY822*AY810*AY745)</f>
        <v>3842.3278236914603</v>
      </c>
      <c r="AZ858" s="184">
        <f>AY858</f>
        <v>3842.3278236914603</v>
      </c>
      <c r="BA858" s="28">
        <f t="shared" ref="BA858:BB860" si="3629">AZ858+(BA822*BA810*BA745)</f>
        <v>4175.5978236914607</v>
      </c>
      <c r="BB858" s="28">
        <f t="shared" si="3629"/>
        <v>4604.0878236914605</v>
      </c>
      <c r="BC858" s="58">
        <f>BB858</f>
        <v>4604.0878236914605</v>
      </c>
      <c r="BD858" s="28">
        <f t="shared" ref="BD858:BE860" si="3630">BC858+(BD822*BD810*BD745)</f>
        <v>4969.0284717914601</v>
      </c>
      <c r="BE858" s="28">
        <f t="shared" si="3630"/>
        <v>5418.6407231978601</v>
      </c>
      <c r="BF858" s="58">
        <f>BE858</f>
        <v>5418.6407231978601</v>
      </c>
      <c r="BG858" s="28">
        <f t="shared" ref="BG858:BH860" si="3631">BF858+(BG822*BG810*BG745)</f>
        <v>5838.6150466438794</v>
      </c>
      <c r="BH858" s="28">
        <f t="shared" si="3631"/>
        <v>6293.0817269431564</v>
      </c>
      <c r="BI858" s="58">
        <f>BH858</f>
        <v>6293.0817269431564</v>
      </c>
      <c r="BJ858" s="110">
        <f t="shared" ref="BJ858:BK860" si="3632">BI858+(BJ822*BJ810*BJ745)</f>
        <v>6671.5866517614431</v>
      </c>
      <c r="BK858" s="110">
        <f t="shared" si="3632"/>
        <v>7164.0877229022417</v>
      </c>
      <c r="BL858" s="111">
        <f>BK858</f>
        <v>7164.0877229022417</v>
      </c>
      <c r="BM858" s="110">
        <f t="shared" ref="BM858:BN860" si="3633">BL858+(BM822*BM810*BM745)</f>
        <v>7656.57623585081</v>
      </c>
      <c r="BN858" s="110">
        <f t="shared" si="3633"/>
        <v>8181.02929898401</v>
      </c>
      <c r="BO858" s="111">
        <f>BN858</f>
        <v>8181.02929898401</v>
      </c>
      <c r="BP858" s="110">
        <f t="shared" ref="BP858:BQ860" si="3634">BO858+(BP822*BP810*BP745)</f>
        <v>8804.729556483413</v>
      </c>
      <c r="BQ858" s="110">
        <f t="shared" si="3634"/>
        <v>9366.5367890382749</v>
      </c>
      <c r="BR858" s="111">
        <f>BQ858</f>
        <v>9366.5367890382749</v>
      </c>
      <c r="BS858" s="28">
        <f t="shared" ref="BS858:BT860" si="3635">BR858+(BS822*BS810*BS745)</f>
        <v>10091.079398971211</v>
      </c>
      <c r="BT858" s="28">
        <f t="shared" si="3635"/>
        <v>10773.283366430782</v>
      </c>
      <c r="BU858" s="184">
        <f>BT858</f>
        <v>10773.283366430782</v>
      </c>
      <c r="BV858" s="28">
        <f t="shared" ref="BV858:BW860" si="3636">BU858+(BV822*BV810*BV745)</f>
        <v>11518.385597463175</v>
      </c>
      <c r="BW858" s="28">
        <f t="shared" si="3636"/>
        <v>12240.085217855645</v>
      </c>
      <c r="BX858" s="184">
        <f>BW858</f>
        <v>12240.085217855645</v>
      </c>
      <c r="BY858" s="28">
        <f t="shared" ref="BY858:BZ860" si="3637">BX858+(BY822*BY810*BY745)</f>
        <v>12968.195578784904</v>
      </c>
      <c r="BZ858" s="28">
        <f t="shared" si="3637"/>
        <v>13676.014028678745</v>
      </c>
      <c r="CA858" s="184">
        <f>BZ858</f>
        <v>13676.014028678745</v>
      </c>
      <c r="CB858" s="28">
        <f t="shared" ref="CB858:CC860" si="3638">CA858+(CB822*CB810*CB745)</f>
        <v>14433.174260106422</v>
      </c>
      <c r="CC858" s="28">
        <f t="shared" si="3638"/>
        <v>15262.175475532787</v>
      </c>
      <c r="CD858" s="184">
        <f>CC858</f>
        <v>15262.175475532787</v>
      </c>
      <c r="CE858" s="28">
        <f t="shared" ref="CE858:CF860" si="3639">CD858+(CE822*CE810*CE745)</f>
        <v>16091.288643753036</v>
      </c>
      <c r="CF858" s="28">
        <f t="shared" si="3639"/>
        <v>16999.069844681369</v>
      </c>
      <c r="CG858" s="184">
        <f>CF858</f>
        <v>16999.069844681369</v>
      </c>
      <c r="CH858" s="28">
        <f t="shared" ref="CH858:CI860" si="3640">CG858+(CH822*CH810*CH745)</f>
        <v>17687.54597590055</v>
      </c>
      <c r="CI858" s="28">
        <f t="shared" si="3640"/>
        <v>18516.205177931599</v>
      </c>
      <c r="CJ858" s="184">
        <f>CI858</f>
        <v>18516.205177931599</v>
      </c>
      <c r="CK858" s="28">
        <f t="shared" ref="CK858:CL860" si="3641">CJ858+(CK822*CK810*CK745)</f>
        <v>19234.695670194145</v>
      </c>
      <c r="CL858" s="28">
        <f t="shared" si="3641"/>
        <v>19937.189897925542</v>
      </c>
      <c r="CM858" s="184">
        <f>CL858</f>
        <v>19937.189897925542</v>
      </c>
      <c r="CN858" s="28">
        <f t="shared" ref="CN858:CO860" si="3642">CM858+(CN822*CN810*CN745)</f>
        <v>20607.723565368149</v>
      </c>
      <c r="CO858" s="28">
        <f t="shared" si="3642"/>
        <v>21375.930962089336</v>
      </c>
      <c r="CP858" s="184">
        <f>CO858</f>
        <v>21375.930962089336</v>
      </c>
      <c r="CQ858" s="28">
        <f t="shared" ref="CQ858:CR860" si="3643">CP858+(CQ822*CQ810*CQ745)</f>
        <v>22122.955087111794</v>
      </c>
      <c r="CR858" s="28">
        <f t="shared" si="3643"/>
        <v>22964.165232743395</v>
      </c>
      <c r="CS858" s="184">
        <f>CR858</f>
        <v>22964.165232743395</v>
      </c>
      <c r="CT858" s="28">
        <f t="shared" ref="CT858:CU860" si="3644">CS858+(CT822*CT810*CT745)</f>
        <v>23746.613241774416</v>
      </c>
      <c r="CU858" s="28">
        <f t="shared" si="3644"/>
        <v>24571.477920284797</v>
      </c>
      <c r="CV858" s="184">
        <f>CU858</f>
        <v>24571.477920284797</v>
      </c>
      <c r="CW858" s="28">
        <f t="shared" ref="CW858:CX860" si="3645">CV858+(CW822*CW810*CW745)</f>
        <v>25461.602559744199</v>
      </c>
      <c r="CX858" s="28">
        <f t="shared" si="3645"/>
        <v>26350.507852677132</v>
      </c>
      <c r="CY858" s="184">
        <f>CX858</f>
        <v>26350.507852677132</v>
      </c>
      <c r="CZ858" s="28">
        <f t="shared" ref="CZ858:DA860" si="3646">CY858+(CZ822*CZ810*CZ745)</f>
        <v>27292.658653053011</v>
      </c>
      <c r="DA858" s="28">
        <f t="shared" si="3646"/>
        <v>28215.251678777517</v>
      </c>
      <c r="DB858" s="184">
        <f>DA858</f>
        <v>28215.251678777517</v>
      </c>
      <c r="DC858" s="28">
        <f t="shared" ref="DC858:DD860" si="3647">DB858+(DC822*DC810*DC745)</f>
        <v>29094.425351053069</v>
      </c>
      <c r="DD858" s="28">
        <f t="shared" si="3647"/>
        <v>29876.284191447507</v>
      </c>
      <c r="DE858" s="184">
        <f>DD858</f>
        <v>29876.284191447507</v>
      </c>
      <c r="DF858" s="28">
        <f t="shared" ref="DF858:DG860" si="3648">DE858+(DF822*DF810*DF745)</f>
        <v>30797.148279262368</v>
      </c>
      <c r="DG858" s="28">
        <f t="shared" si="3648"/>
        <v>31355.512770130055</v>
      </c>
      <c r="DH858" s="184">
        <f>DG858</f>
        <v>31355.512770130055</v>
      </c>
      <c r="DI858" s="28">
        <f t="shared" ref="DI858:DJ860" si="3649">DH858+(DI822*DI810*DI745)</f>
        <v>32141.066381825487</v>
      </c>
      <c r="DJ858" s="28">
        <f t="shared" si="3649"/>
        <v>32934.273291692982</v>
      </c>
      <c r="DK858" s="184">
        <f>DJ858</f>
        <v>32934.273291692982</v>
      </c>
      <c r="DL858" s="28">
        <f>DK858+(DL822*DL810*DL745)</f>
        <v>33688.302081305315</v>
      </c>
      <c r="DM858" s="28">
        <f t="shared" ref="DM858:DM860" si="3650">DL858+(DM822*DM810*DM745)</f>
        <v>34478.064157778063</v>
      </c>
      <c r="DN858" s="184">
        <f>DM858</f>
        <v>34478.064157778063</v>
      </c>
      <c r="DO858" s="28">
        <f t="shared" ref="DO858:DP860" si="3651">DN858+(DO822*DO810*DO745)</f>
        <v>35335.866942344968</v>
      </c>
      <c r="DP858" s="28">
        <f t="shared" si="3651"/>
        <v>36267.700211913652</v>
      </c>
      <c r="DQ858" s="184">
        <f>DP858</f>
        <v>36267.700211913652</v>
      </c>
      <c r="DR858" s="28">
        <f t="shared" ref="DR858:DS860" si="3652">DQ858+(DR822*DR810*DR745)</f>
        <v>37249.239045193957</v>
      </c>
      <c r="DS858" s="28">
        <f t="shared" si="3652"/>
        <v>38141.820921679646</v>
      </c>
      <c r="DT858" s="184">
        <f>DS858</f>
        <v>38141.820921679646</v>
      </c>
      <c r="DU858" s="28">
        <f t="shared" ref="DU858:DV860" si="3653">DT858+(DU822*DU810*DU745)</f>
        <v>39067.819293508372</v>
      </c>
      <c r="DV858" s="28">
        <f t="shared" si="3653"/>
        <v>40053.352817727922</v>
      </c>
      <c r="DW858" s="184">
        <f>DV858</f>
        <v>40053.352817727922</v>
      </c>
      <c r="DX858" s="28">
        <f t="shared" ref="DX858:DY860" si="3654">DW858+(DX822*DX810*DX745)</f>
        <v>41012.083857271544</v>
      </c>
      <c r="DY858" s="28">
        <f t="shared" si="3654"/>
        <v>42044.351381209584</v>
      </c>
      <c r="DZ858" s="184">
        <f>DY858</f>
        <v>42044.351381209584</v>
      </c>
      <c r="EA858" s="28">
        <f t="shared" ref="EA858:EB860" si="3655">DZ858+(EA822*EA810*EA745)</f>
        <v>43139.83581623371</v>
      </c>
      <c r="EB858" s="28">
        <f t="shared" si="3655"/>
        <v>44191.565712068077</v>
      </c>
      <c r="EC858" s="184">
        <f>EB858</f>
        <v>44191.565712068077</v>
      </c>
      <c r="ED858" s="28">
        <f t="shared" ref="ED858:EE860" si="3656">EC858+(ED822*ED810*ED745)</f>
        <v>45328.566816210747</v>
      </c>
      <c r="EE858" s="28">
        <f t="shared" si="3656"/>
        <v>46420.155171637445</v>
      </c>
      <c r="EF858" s="184">
        <f>EE858</f>
        <v>46420.155171637445</v>
      </c>
      <c r="EG858" s="28">
        <f t="shared" ref="EG858:EH860" si="3657">EF858+(EG822*EG810*EG745)</f>
        <v>47600.246343624916</v>
      </c>
      <c r="EH858" s="28">
        <f t="shared" si="3657"/>
        <v>48733.203714545576</v>
      </c>
      <c r="EI858" s="184">
        <f>EH858</f>
        <v>48733.203714545576</v>
      </c>
      <c r="EJ858" s="28">
        <f t="shared" ref="EJ858:EK860" si="3658">EI858+(EJ822*EJ810*EJ745)</f>
        <v>49958.01798176903</v>
      </c>
      <c r="EK858" s="28">
        <f t="shared" si="3658"/>
        <v>51133.912171132841</v>
      </c>
      <c r="EL858" s="184">
        <f>EK858</f>
        <v>51133.912171132841</v>
      </c>
      <c r="EM858" s="28">
        <f t="shared" ref="EM858:EN860" si="3659">EL858+(EM822*EM810*EM745)</f>
        <v>52405.144449455525</v>
      </c>
      <c r="EN858" s="28">
        <f t="shared" si="3659"/>
        <v>53625.602676807845</v>
      </c>
      <c r="EO858" s="184">
        <f>EN858</f>
        <v>53625.602676807845</v>
      </c>
      <c r="EP858" s="28">
        <f t="shared" ref="EP858:EQ860" si="3660">EO858+(EP822*EP810*EP745)</f>
        <v>54945.012116014404</v>
      </c>
      <c r="EQ858" s="28">
        <f t="shared" si="3660"/>
        <v>56211.723269266928</v>
      </c>
      <c r="ER858" s="184">
        <f>EQ858</f>
        <v>56211.723269266928</v>
      </c>
      <c r="ES858" s="28">
        <f t="shared" ref="ES858:ES860" si="3661">ER858+(ES822*ES810*ES745)</f>
        <v>57581.135687400536</v>
      </c>
      <c r="ET858" s="28">
        <f t="shared" ref="ET858:ET860" si="3662">ES858+(ET822*ET810*ET745)</f>
        <v>58895.852659939017</v>
      </c>
      <c r="EU858" s="184">
        <f>ET858</f>
        <v>58895.852659939017</v>
      </c>
      <c r="EV858" s="28">
        <f t="shared" ref="EV858:EV860" si="3663">EU858+(EV822*EV810*EV745)</f>
        <v>60317.163069895054</v>
      </c>
      <c r="EW858" s="28">
        <f t="shared" ref="EW858:EW860" si="3664">EV858+(EW822*EW810*EW745)</f>
        <v>61681.705186258805</v>
      </c>
      <c r="EX858" s="184">
        <f>EW858</f>
        <v>61681.705186258805</v>
      </c>
      <c r="EY858" s="28">
        <f t="shared" ref="EY858:EY860" si="3665">EX858+(EY822*EY810*EY745)</f>
        <v>63156.880418131354</v>
      </c>
      <c r="EZ858" s="28">
        <f t="shared" ref="EZ858:EZ860" si="3666">EY858+(EZ822*EZ810*EZ745)</f>
        <v>64573.135951621058</v>
      </c>
      <c r="FA858" s="184">
        <f>EZ858</f>
        <v>64573.135951621058</v>
      </c>
      <c r="FH858" s="35"/>
      <c r="FI858" s="35"/>
      <c r="FJ858" s="35"/>
      <c r="FK858" s="35"/>
      <c r="FL858" s="35"/>
      <c r="FM858" s="35"/>
      <c r="FN858" s="35"/>
      <c r="FO858" s="35"/>
      <c r="FP858" s="35"/>
      <c r="FQ858" s="35"/>
    </row>
    <row r="859" spans="1:173" s="321" customFormat="1" hidden="1" outlineLevel="1">
      <c r="A859" s="1168"/>
      <c r="B859" s="186"/>
      <c r="C859" s="186" t="s">
        <v>317</v>
      </c>
      <c r="D859" s="910"/>
      <c r="E859" s="1"/>
      <c r="F859" s="1"/>
      <c r="G859" s="5"/>
      <c r="H859" s="1"/>
      <c r="I859" s="1"/>
      <c r="J859" s="5"/>
      <c r="K859" s="1"/>
      <c r="L859" s="1"/>
      <c r="M859" s="5"/>
      <c r="N859" s="1"/>
      <c r="O859" s="1"/>
      <c r="P859" s="5"/>
      <c r="Q859" s="1"/>
      <c r="R859" s="1"/>
      <c r="S859" s="5"/>
      <c r="T859" s="1"/>
      <c r="U859" s="1"/>
      <c r="V859" s="5"/>
      <c r="W859" s="1"/>
      <c r="X859" s="1"/>
      <c r="Y859" s="5"/>
      <c r="Z859" s="1"/>
      <c r="AA859" s="1"/>
      <c r="AB859" s="5"/>
      <c r="AC859" s="1"/>
      <c r="AD859" s="1"/>
      <c r="AE859" s="5"/>
      <c r="AF859" s="1"/>
      <c r="AG859" s="1"/>
      <c r="AH859" s="5"/>
      <c r="AI859" s="1"/>
      <c r="AJ859" s="1"/>
      <c r="AK859" s="5"/>
      <c r="AL859" s="1"/>
      <c r="AM859" s="1"/>
      <c r="AN859" s="5"/>
      <c r="AO859" s="1"/>
      <c r="AP859" s="1"/>
      <c r="AQ859" s="5"/>
      <c r="AR859" s="1"/>
      <c r="AS859" s="1"/>
      <c r="AT859" s="5"/>
      <c r="AU859" s="1"/>
      <c r="AV859" s="1"/>
      <c r="AW859" s="5"/>
      <c r="AX859" s="184">
        <f>(AX823*AX811*AX752)</f>
        <v>1744.6517119244393</v>
      </c>
      <c r="AY859" s="184">
        <f>AX859+(AY823*AY811*AY746)</f>
        <v>1983.5174179833646</v>
      </c>
      <c r="AZ859" s="184">
        <f>AY859</f>
        <v>1983.5174179833646</v>
      </c>
      <c r="BA859" s="28">
        <f t="shared" si="3629"/>
        <v>2207.9645608405076</v>
      </c>
      <c r="BB859" s="28">
        <f t="shared" si="3629"/>
        <v>2480.902071211678</v>
      </c>
      <c r="BC859" s="58">
        <f>BB859</f>
        <v>2480.902071211678</v>
      </c>
      <c r="BD859" s="28">
        <f t="shared" si="3630"/>
        <v>2740.5072746646192</v>
      </c>
      <c r="BE859" s="28">
        <f t="shared" si="3630"/>
        <v>3070.5934656994641</v>
      </c>
      <c r="BF859" s="58">
        <f>BE859</f>
        <v>3070.5934656994641</v>
      </c>
      <c r="BG859" s="28">
        <f t="shared" si="3631"/>
        <v>3329.5480564144113</v>
      </c>
      <c r="BH859" s="28">
        <f t="shared" si="3631"/>
        <v>3632.8128709655093</v>
      </c>
      <c r="BI859" s="58">
        <f>BH859</f>
        <v>3632.8128709655093</v>
      </c>
      <c r="BJ859" s="110">
        <f t="shared" si="3632"/>
        <v>3903.90618748</v>
      </c>
      <c r="BK859" s="110">
        <f t="shared" si="3632"/>
        <v>4221.3868088191593</v>
      </c>
      <c r="BL859" s="111">
        <f>BK859</f>
        <v>4221.3868088191593</v>
      </c>
      <c r="BM859" s="110">
        <f t="shared" si="3633"/>
        <v>4503.0766886628971</v>
      </c>
      <c r="BN859" s="110">
        <f t="shared" si="3633"/>
        <v>4851.3321035431954</v>
      </c>
      <c r="BO859" s="111">
        <f>BN859</f>
        <v>4851.3321035431954</v>
      </c>
      <c r="BP859" s="110">
        <f t="shared" si="3634"/>
        <v>5191.9779850989489</v>
      </c>
      <c r="BQ859" s="110">
        <f t="shared" si="3634"/>
        <v>5556.7476717528707</v>
      </c>
      <c r="BR859" s="111">
        <f>BQ859</f>
        <v>5556.7476717528707</v>
      </c>
      <c r="BS859" s="28">
        <f t="shared" si="3635"/>
        <v>5952.4705420220844</v>
      </c>
      <c r="BT859" s="28">
        <f t="shared" si="3635"/>
        <v>6379.6909876492782</v>
      </c>
      <c r="BU859" s="184">
        <f>BT859</f>
        <v>6379.6909876492782</v>
      </c>
      <c r="BV859" s="28">
        <f t="shared" si="3636"/>
        <v>6846.9320608165071</v>
      </c>
      <c r="BW859" s="28">
        <f t="shared" si="3636"/>
        <v>7341.8725752777618</v>
      </c>
      <c r="BX859" s="184">
        <f>BW859</f>
        <v>7341.8725752777618</v>
      </c>
      <c r="BY859" s="28">
        <f t="shared" si="3637"/>
        <v>7809.0248726410882</v>
      </c>
      <c r="BZ859" s="28">
        <f t="shared" si="3637"/>
        <v>8267.1113244907338</v>
      </c>
      <c r="CA859" s="184">
        <f>BZ859</f>
        <v>8267.1113244907338</v>
      </c>
      <c r="CB859" s="28">
        <f t="shared" si="3638"/>
        <v>8725.2784145665737</v>
      </c>
      <c r="CC859" s="28">
        <f t="shared" si="3638"/>
        <v>9226.5478699999312</v>
      </c>
      <c r="CD859" s="184">
        <f>CC859</f>
        <v>9226.5478699999312</v>
      </c>
      <c r="CE859" s="28">
        <f t="shared" si="3639"/>
        <v>9771.5193930354599</v>
      </c>
      <c r="CF859" s="28">
        <f t="shared" si="3639"/>
        <v>10320.424484818648</v>
      </c>
      <c r="CG859" s="184">
        <f>CF859</f>
        <v>10320.424484818648</v>
      </c>
      <c r="CH859" s="28">
        <f t="shared" si="3640"/>
        <v>10782.522597356819</v>
      </c>
      <c r="CI859" s="28">
        <f t="shared" si="3640"/>
        <v>11283.585248668262</v>
      </c>
      <c r="CJ859" s="184">
        <f>CI859</f>
        <v>11283.585248668262</v>
      </c>
      <c r="CK859" s="28">
        <f t="shared" si="3641"/>
        <v>11776.39625015817</v>
      </c>
      <c r="CL859" s="28">
        <f t="shared" si="3641"/>
        <v>12277.363699565863</v>
      </c>
      <c r="CM859" s="184">
        <f>CL859</f>
        <v>12277.363699565863</v>
      </c>
      <c r="CN859" s="28">
        <f t="shared" si="3642"/>
        <v>12737.281223518767</v>
      </c>
      <c r="CO859" s="28">
        <f t="shared" si="3642"/>
        <v>13285.110493795257</v>
      </c>
      <c r="CP859" s="184">
        <f>CO859</f>
        <v>13285.110493795257</v>
      </c>
      <c r="CQ859" s="28">
        <f t="shared" si="3643"/>
        <v>13740.561298755529</v>
      </c>
      <c r="CR859" s="28">
        <f t="shared" si="3643"/>
        <v>14298.719342093811</v>
      </c>
      <c r="CS859" s="184">
        <f>CR859</f>
        <v>14298.719342093811</v>
      </c>
      <c r="CT859" s="28">
        <f t="shared" si="3644"/>
        <v>14775.7676242253</v>
      </c>
      <c r="CU859" s="28">
        <f t="shared" si="3644"/>
        <v>15339.134398424016</v>
      </c>
      <c r="CV859" s="184">
        <f>CU859</f>
        <v>15339.134398424016</v>
      </c>
      <c r="CW859" s="28">
        <f t="shared" si="3645"/>
        <v>15838.80431009418</v>
      </c>
      <c r="CX859" s="28">
        <f t="shared" si="3645"/>
        <v>16428.885936725397</v>
      </c>
      <c r="CY859" s="184">
        <f>CX859</f>
        <v>16428.885936725397</v>
      </c>
      <c r="CZ859" s="28">
        <f t="shared" si="3646"/>
        <v>16895.155912819882</v>
      </c>
      <c r="DA859" s="28">
        <f t="shared" si="3646"/>
        <v>17597.500568917691</v>
      </c>
      <c r="DB859" s="184">
        <f>DA859</f>
        <v>17597.500568917691</v>
      </c>
      <c r="DC859" s="28">
        <f t="shared" si="3647"/>
        <v>18090.320889990948</v>
      </c>
      <c r="DD859" s="28">
        <f t="shared" si="3647"/>
        <v>18705.591665004373</v>
      </c>
      <c r="DE859" s="184">
        <f>DD859</f>
        <v>18705.591665004373</v>
      </c>
      <c r="DF859" s="28">
        <f t="shared" si="3648"/>
        <v>19238.205748543329</v>
      </c>
      <c r="DG859" s="28">
        <f t="shared" si="3648"/>
        <v>19677.601372519166</v>
      </c>
      <c r="DH859" s="184">
        <f>DG859</f>
        <v>19677.601372519166</v>
      </c>
      <c r="DI859" s="28">
        <f t="shared" si="3649"/>
        <v>20103.429437781346</v>
      </c>
      <c r="DJ859" s="28">
        <f t="shared" si="3649"/>
        <v>20648.939742942908</v>
      </c>
      <c r="DK859" s="184">
        <f>DJ859</f>
        <v>20648.939742942908</v>
      </c>
      <c r="DL859" s="28">
        <f>DK859+(DL823*DL811*DL746)</f>
        <v>21126.184388067559</v>
      </c>
      <c r="DM859" s="28">
        <f t="shared" si="3650"/>
        <v>21630.817875798053</v>
      </c>
      <c r="DN859" s="184">
        <f>DM859</f>
        <v>21630.817875798053</v>
      </c>
      <c r="DO859" s="28">
        <f t="shared" si="3651"/>
        <v>22105.056137090673</v>
      </c>
      <c r="DP859" s="28">
        <f t="shared" si="3651"/>
        <v>22632.794071325334</v>
      </c>
      <c r="DQ859" s="184">
        <f>DP859</f>
        <v>22632.794071325334</v>
      </c>
      <c r="DR859" s="28">
        <f t="shared" si="3652"/>
        <v>23139.396304813512</v>
      </c>
      <c r="DS859" s="28">
        <f t="shared" si="3652"/>
        <v>23680.993797514791</v>
      </c>
      <c r="DT859" s="184">
        <f>DS859</f>
        <v>23680.993797514791</v>
      </c>
      <c r="DU859" s="28">
        <f t="shared" si="3653"/>
        <v>24173.322681668458</v>
      </c>
      <c r="DV859" s="28">
        <f t="shared" si="3653"/>
        <v>24825.168041740781</v>
      </c>
      <c r="DW859" s="184">
        <f>DV859</f>
        <v>24825.168041740781</v>
      </c>
      <c r="DX859" s="28">
        <f t="shared" si="3654"/>
        <v>25337.241317849075</v>
      </c>
      <c r="DY859" s="28">
        <f t="shared" si="3654"/>
        <v>26019.997184896027</v>
      </c>
      <c r="DZ859" s="184">
        <f>DY859</f>
        <v>26019.997184896027</v>
      </c>
      <c r="EA859" s="28">
        <f t="shared" si="3655"/>
        <v>26605.11259310841</v>
      </c>
      <c r="EB859" s="28">
        <f t="shared" si="3655"/>
        <v>27300.741139272664</v>
      </c>
      <c r="EC859" s="184">
        <f>EB859</f>
        <v>27300.741139272664</v>
      </c>
      <c r="ED859" s="28">
        <f t="shared" si="3656"/>
        <v>27908.031251225482</v>
      </c>
      <c r="EE859" s="28">
        <f t="shared" si="3656"/>
        <v>28630.022728032269</v>
      </c>
      <c r="EF859" s="184">
        <f>EE859</f>
        <v>28630.022728032269</v>
      </c>
      <c r="EG859" s="28">
        <f t="shared" si="3657"/>
        <v>29260.327920647873</v>
      </c>
      <c r="EH859" s="28">
        <f t="shared" si="3657"/>
        <v>30009.681430442684</v>
      </c>
      <c r="EI859" s="184">
        <f>EH859</f>
        <v>30009.681430442684</v>
      </c>
      <c r="EJ859" s="28">
        <f t="shared" si="3658"/>
        <v>30663.873929248035</v>
      </c>
      <c r="EK859" s="28">
        <f t="shared" si="3658"/>
        <v>31441.626438357049</v>
      </c>
      <c r="EL859" s="184">
        <f>EK859</f>
        <v>31441.626438357049</v>
      </c>
      <c r="EM859" s="28">
        <f t="shared" si="3659"/>
        <v>32120.611524482123</v>
      </c>
      <c r="EN859" s="28">
        <f t="shared" si="3659"/>
        <v>32927.839298181352</v>
      </c>
      <c r="EO859" s="184">
        <f>EN859</f>
        <v>32927.839298181352</v>
      </c>
      <c r="EP859" s="28">
        <f t="shared" si="3660"/>
        <v>33632.556561100399</v>
      </c>
      <c r="EQ859" s="28">
        <f t="shared" si="3660"/>
        <v>34470.376652967279</v>
      </c>
      <c r="ER859" s="184">
        <f>EQ859</f>
        <v>34470.376652967279</v>
      </c>
      <c r="ES859" s="28">
        <f t="shared" si="3661"/>
        <v>35201.80129071643</v>
      </c>
      <c r="ET859" s="28">
        <f t="shared" si="3662"/>
        <v>36071.373088424887</v>
      </c>
      <c r="EU859" s="184">
        <f>ET859</f>
        <v>36071.373088424887</v>
      </c>
      <c r="EV859" s="28">
        <f t="shared" si="3663"/>
        <v>36830.517257095453</v>
      </c>
      <c r="EW859" s="28">
        <f t="shared" si="3664"/>
        <v>37733.044086793459</v>
      </c>
      <c r="EX859" s="184">
        <f>EW859</f>
        <v>37733.044086793459</v>
      </c>
      <c r="EY859" s="28">
        <f t="shared" si="3665"/>
        <v>38520.958301168306</v>
      </c>
      <c r="EZ859" s="28">
        <f t="shared" si="3666"/>
        <v>39457.689092658213</v>
      </c>
      <c r="FA859" s="184">
        <f>EZ859</f>
        <v>39457.689092658213</v>
      </c>
      <c r="FH859" s="35"/>
      <c r="FI859" s="35"/>
      <c r="FJ859" s="35"/>
      <c r="FK859" s="35"/>
      <c r="FL859" s="35"/>
      <c r="FM859" s="35"/>
      <c r="FN859" s="35"/>
      <c r="FO859" s="35"/>
      <c r="FP859" s="35"/>
      <c r="FQ859" s="35"/>
    </row>
    <row r="860" spans="1:173" s="321" customFormat="1" hidden="1" outlineLevel="1">
      <c r="A860" s="1168"/>
      <c r="B860" s="186"/>
      <c r="C860" s="186" t="s">
        <v>431</v>
      </c>
      <c r="D860" s="910"/>
      <c r="E860" s="1"/>
      <c r="F860" s="1"/>
      <c r="G860" s="5"/>
      <c r="H860" s="1"/>
      <c r="I860" s="1"/>
      <c r="J860" s="5"/>
      <c r="K860" s="1"/>
      <c r="L860" s="1"/>
      <c r="M860" s="5"/>
      <c r="N860" s="1"/>
      <c r="O860" s="1"/>
      <c r="P860" s="5"/>
      <c r="Q860" s="1"/>
      <c r="R860" s="1"/>
      <c r="S860" s="5"/>
      <c r="T860" s="1"/>
      <c r="U860" s="1"/>
      <c r="V860" s="5"/>
      <c r="W860" s="1"/>
      <c r="X860" s="1"/>
      <c r="Y860" s="5"/>
      <c r="Z860" s="1"/>
      <c r="AA860" s="1"/>
      <c r="AB860" s="5"/>
      <c r="AC860" s="1"/>
      <c r="AD860" s="1"/>
      <c r="AE860" s="5"/>
      <c r="AF860" s="1"/>
      <c r="AG860" s="1"/>
      <c r="AH860" s="5"/>
      <c r="AI860" s="1"/>
      <c r="AJ860" s="1"/>
      <c r="AK860" s="5"/>
      <c r="AL860" s="1"/>
      <c r="AM860" s="1"/>
      <c r="AN860" s="5"/>
      <c r="AO860" s="1"/>
      <c r="AP860" s="1"/>
      <c r="AQ860" s="5"/>
      <c r="AR860" s="1"/>
      <c r="AS860" s="1"/>
      <c r="AT860" s="5"/>
      <c r="AU860" s="1"/>
      <c r="AV860" s="1"/>
      <c r="AW860" s="5"/>
      <c r="AX860" s="184">
        <f>(AX824*AX812*AX753)</f>
        <v>804.7750229568411</v>
      </c>
      <c r="AY860" s="184">
        <f>AX860+(AY824*AY812*AY747)</f>
        <v>842.60169602212147</v>
      </c>
      <c r="AZ860" s="184">
        <f>AY860</f>
        <v>842.60169602212147</v>
      </c>
      <c r="BA860" s="28">
        <f t="shared" si="3629"/>
        <v>933.37809602212144</v>
      </c>
      <c r="BB860" s="28">
        <f t="shared" si="3629"/>
        <v>976.60036573343348</v>
      </c>
      <c r="BC860" s="58">
        <f>BB860</f>
        <v>976.60036573343348</v>
      </c>
      <c r="BD860" s="28">
        <f t="shared" si="3630"/>
        <v>1082.3802637334334</v>
      </c>
      <c r="BE860" s="28">
        <f t="shared" si="3630"/>
        <v>1173.510918527284</v>
      </c>
      <c r="BF860" s="58">
        <f>BE860</f>
        <v>1173.510918527284</v>
      </c>
      <c r="BG860" s="28">
        <f t="shared" si="3631"/>
        <v>1268.7925841659194</v>
      </c>
      <c r="BH860" s="28">
        <f t="shared" si="3631"/>
        <v>1398.5831649271333</v>
      </c>
      <c r="BI860" s="58">
        <f>BH860</f>
        <v>1398.5831649271333</v>
      </c>
      <c r="BJ860" s="110">
        <f t="shared" si="3632"/>
        <v>1507.4558073524638</v>
      </c>
      <c r="BK860" s="110">
        <f t="shared" si="3632"/>
        <v>1620.5375381182214</v>
      </c>
      <c r="BL860" s="111">
        <f>BK860</f>
        <v>1620.5375381182214</v>
      </c>
      <c r="BM860" s="110">
        <f t="shared" si="3633"/>
        <v>1727.3161241391431</v>
      </c>
      <c r="BN860" s="110">
        <f t="shared" si="3633"/>
        <v>1861.9116541830861</v>
      </c>
      <c r="BO860" s="111">
        <f>BN860</f>
        <v>1861.9116541830861</v>
      </c>
      <c r="BP860" s="110">
        <f t="shared" si="3634"/>
        <v>1991.0383575866706</v>
      </c>
      <c r="BQ860" s="110">
        <f t="shared" si="3634"/>
        <v>2125.6083144799049</v>
      </c>
      <c r="BR860" s="111">
        <f>BQ860</f>
        <v>2125.6083144799049</v>
      </c>
      <c r="BS860" s="28">
        <f t="shared" si="3635"/>
        <v>2273.8913775388619</v>
      </c>
      <c r="BT860" s="28">
        <f t="shared" si="3635"/>
        <v>2434.0632687310344</v>
      </c>
      <c r="BU860" s="184">
        <f>BT860</f>
        <v>2434.0632687310344</v>
      </c>
      <c r="BV860" s="28">
        <f t="shared" si="3636"/>
        <v>2584.0124995997471</v>
      </c>
      <c r="BW860" s="28">
        <f t="shared" si="3636"/>
        <v>2760.9306823598436</v>
      </c>
      <c r="BX860" s="184">
        <f>BW860</f>
        <v>2760.9306823598436</v>
      </c>
      <c r="BY860" s="28">
        <f t="shared" si="3637"/>
        <v>2896.5732571113726</v>
      </c>
      <c r="BZ860" s="28">
        <f t="shared" si="3637"/>
        <v>3073.7947484039928</v>
      </c>
      <c r="CA860" s="184">
        <f>BZ860</f>
        <v>3073.7947484039928</v>
      </c>
      <c r="CB860" s="28">
        <f t="shared" si="3638"/>
        <v>3214.5779054534551</v>
      </c>
      <c r="CC860" s="28">
        <f t="shared" si="3638"/>
        <v>3417.0782702640549</v>
      </c>
      <c r="CD860" s="184">
        <f>CC860</f>
        <v>3417.0782702640549</v>
      </c>
      <c r="CE860" s="28">
        <f t="shared" si="3639"/>
        <v>3584.5342337691936</v>
      </c>
      <c r="CF860" s="28">
        <f t="shared" si="3639"/>
        <v>3806.4673212943198</v>
      </c>
      <c r="CG860" s="184">
        <f>CF860</f>
        <v>3806.4673212943198</v>
      </c>
      <c r="CH860" s="28">
        <f t="shared" si="3640"/>
        <v>3981.0667887466243</v>
      </c>
      <c r="CI860" s="28">
        <f t="shared" si="3640"/>
        <v>4183.6562398442975</v>
      </c>
      <c r="CJ860" s="184">
        <f>CI860</f>
        <v>4183.6562398442975</v>
      </c>
      <c r="CK860" s="28">
        <f t="shared" si="3641"/>
        <v>4526.8093061917871</v>
      </c>
      <c r="CL860" s="28">
        <f t="shared" si="3641"/>
        <v>4815.2095323024341</v>
      </c>
      <c r="CM860" s="184">
        <f>CL860</f>
        <v>4815.2095323024341</v>
      </c>
      <c r="CN860" s="28">
        <f t="shared" si="3642"/>
        <v>4993.7468637088605</v>
      </c>
      <c r="CO860" s="28">
        <f t="shared" si="3642"/>
        <v>5254.8071283918534</v>
      </c>
      <c r="CP860" s="184">
        <f>CO860</f>
        <v>5254.8071283918534</v>
      </c>
      <c r="CQ860" s="28">
        <f t="shared" si="3643"/>
        <v>5336.9858166239692</v>
      </c>
      <c r="CR860" s="28">
        <f t="shared" si="3643"/>
        <v>5553.0874423561709</v>
      </c>
      <c r="CS860" s="184">
        <f>CR860</f>
        <v>5553.0874423561709</v>
      </c>
      <c r="CT860" s="28">
        <f t="shared" si="3644"/>
        <v>5783.0377224080621</v>
      </c>
      <c r="CU860" s="28">
        <f t="shared" si="3644"/>
        <v>5969.0308331531542</v>
      </c>
      <c r="CV860" s="184">
        <f>CU860</f>
        <v>5969.0308331531542</v>
      </c>
      <c r="CW860" s="28">
        <f t="shared" si="3645"/>
        <v>6163.6485188250817</v>
      </c>
      <c r="CX860" s="28">
        <f t="shared" si="3645"/>
        <v>6294.9922968807332</v>
      </c>
      <c r="CY860" s="184">
        <f>CX860</f>
        <v>6294.9922968807332</v>
      </c>
      <c r="CZ860" s="28">
        <f t="shared" si="3646"/>
        <v>6406.5765072640006</v>
      </c>
      <c r="DA860" s="28">
        <f t="shared" si="3646"/>
        <v>6576.4458925461213</v>
      </c>
      <c r="DB860" s="184">
        <f>DA860</f>
        <v>6576.4458925461213</v>
      </c>
      <c r="DC860" s="28">
        <f t="shared" si="3647"/>
        <v>6707.1441724688684</v>
      </c>
      <c r="DD860" s="28">
        <f t="shared" si="3647"/>
        <v>6847.1076986953049</v>
      </c>
      <c r="DE860" s="184">
        <f>DD860</f>
        <v>6847.1076986953049</v>
      </c>
      <c r="DF860" s="28">
        <f t="shared" si="3648"/>
        <v>7001.2660863077226</v>
      </c>
      <c r="DG860" s="28">
        <f t="shared" si="3648"/>
        <v>7086.2495756488179</v>
      </c>
      <c r="DH860" s="184">
        <f>DG860</f>
        <v>7086.2495756488179</v>
      </c>
      <c r="DI860" s="28">
        <f t="shared" si="3649"/>
        <v>7266.7645125924055</v>
      </c>
      <c r="DJ860" s="28">
        <f t="shared" si="3649"/>
        <v>7450.5055575020342</v>
      </c>
      <c r="DK860" s="184">
        <f>DJ860</f>
        <v>7450.5055575020342</v>
      </c>
      <c r="DL860" s="28">
        <f>DK860+(DL824*DL812*DL747)</f>
        <v>7631.8296794118996</v>
      </c>
      <c r="DM860" s="28">
        <f t="shared" si="3650"/>
        <v>7823.9721523999024</v>
      </c>
      <c r="DN860" s="184">
        <f>DM860</f>
        <v>7823.9721523999024</v>
      </c>
      <c r="DO860" s="28">
        <f t="shared" si="3651"/>
        <v>8031.2342875236045</v>
      </c>
      <c r="DP860" s="28">
        <f t="shared" si="3651"/>
        <v>8237.1057816995744</v>
      </c>
      <c r="DQ860" s="184">
        <f>DP860</f>
        <v>8237.1057816995744</v>
      </c>
      <c r="DR860" s="28">
        <f t="shared" si="3652"/>
        <v>8433.2794125396777</v>
      </c>
      <c r="DS860" s="28">
        <f t="shared" si="3652"/>
        <v>8643.7399210237272</v>
      </c>
      <c r="DT860" s="184">
        <f>DS860</f>
        <v>8643.7399210237272</v>
      </c>
      <c r="DU860" s="28">
        <f t="shared" si="3653"/>
        <v>8887.1859082216815</v>
      </c>
      <c r="DV860" s="28">
        <f t="shared" si="3653"/>
        <v>9123.0340315167668</v>
      </c>
      <c r="DW860" s="184">
        <f>DV860</f>
        <v>9123.0340315167668</v>
      </c>
      <c r="DX860" s="28">
        <f t="shared" si="3654"/>
        <v>9345.6932212537486</v>
      </c>
      <c r="DY860" s="28">
        <f t="shared" si="3654"/>
        <v>9592.7252625554866</v>
      </c>
      <c r="DZ860" s="184">
        <f>DY860</f>
        <v>9592.7252625554866</v>
      </c>
      <c r="EA860" s="28">
        <f t="shared" si="3655"/>
        <v>9847.144559116552</v>
      </c>
      <c r="EB860" s="28">
        <f t="shared" si="3655"/>
        <v>10098.834142524993</v>
      </c>
      <c r="EC860" s="184">
        <f>EB860</f>
        <v>10098.834142524993</v>
      </c>
      <c r="ED860" s="28">
        <f t="shared" si="3656"/>
        <v>10362.895421587129</v>
      </c>
      <c r="EE860" s="28">
        <f t="shared" si="3656"/>
        <v>10624.123536827583</v>
      </c>
      <c r="EF860" s="184">
        <f>EE860</f>
        <v>10624.123536827583</v>
      </c>
      <c r="EG860" s="28">
        <f t="shared" si="3657"/>
        <v>10898.192210243617</v>
      </c>
      <c r="EH860" s="28">
        <f t="shared" si="3657"/>
        <v>11169.320348595453</v>
      </c>
      <c r="EI860" s="184">
        <f>EH860</f>
        <v>11169.320348595453</v>
      </c>
      <c r="EJ860" s="28">
        <f t="shared" si="3658"/>
        <v>11453.775676596608</v>
      </c>
      <c r="EK860" s="28">
        <f t="shared" si="3658"/>
        <v>11735.179029135701</v>
      </c>
      <c r="EL860" s="184">
        <f>EK860</f>
        <v>11735.179029135701</v>
      </c>
      <c r="EM860" s="28">
        <f t="shared" si="3659"/>
        <v>12030.414645157443</v>
      </c>
      <c r="EN860" s="28">
        <f t="shared" si="3659"/>
        <v>12322.482621951063</v>
      </c>
      <c r="EO860" s="184">
        <f>EN860</f>
        <v>12322.482621951063</v>
      </c>
      <c r="EP860" s="28">
        <f t="shared" si="3660"/>
        <v>12628.907077348798</v>
      </c>
      <c r="EQ860" s="28">
        <f t="shared" si="3660"/>
        <v>12932.043846326944</v>
      </c>
      <c r="ER860" s="184">
        <f>EQ860</f>
        <v>12932.043846326944</v>
      </c>
      <c r="ES860" s="28">
        <f t="shared" si="3661"/>
        <v>13250.081175735342</v>
      </c>
      <c r="ET860" s="28">
        <f t="shared" si="3662"/>
        <v>13564.706221984221</v>
      </c>
      <c r="EU860" s="184">
        <f>ET860</f>
        <v>13564.706221984221</v>
      </c>
      <c r="EV860" s="28">
        <f t="shared" si="3663"/>
        <v>13894.796530102538</v>
      </c>
      <c r="EW860" s="28">
        <f t="shared" si="3664"/>
        <v>14221.345236354156</v>
      </c>
      <c r="EX860" s="184">
        <f>EW860</f>
        <v>14221.345236354156</v>
      </c>
      <c r="EY860" s="28">
        <f t="shared" si="3665"/>
        <v>14563.945306969541</v>
      </c>
      <c r="EZ860" s="28">
        <f t="shared" si="3666"/>
        <v>14902.869556090684</v>
      </c>
      <c r="FA860" s="184">
        <f>EZ860</f>
        <v>14902.869556090684</v>
      </c>
      <c r="FH860" s="35"/>
      <c r="FI860" s="35"/>
      <c r="FJ860" s="35"/>
      <c r="FK860" s="35"/>
      <c r="FL860" s="35"/>
      <c r="FM860" s="35"/>
      <c r="FN860" s="35"/>
      <c r="FO860" s="35"/>
      <c r="FP860" s="35"/>
      <c r="FQ860" s="35"/>
    </row>
    <row r="861" spans="1:173" s="321" customFormat="1" hidden="1" outlineLevel="1">
      <c r="A861" s="1168"/>
      <c r="B861" s="186"/>
      <c r="C861" s="186" t="s">
        <v>327</v>
      </c>
      <c r="D861" s="910"/>
      <c r="E861" s="1"/>
      <c r="F861" s="1"/>
      <c r="G861" s="5"/>
      <c r="H861" s="1"/>
      <c r="I861" s="1"/>
      <c r="J861" s="5"/>
      <c r="K861" s="1"/>
      <c r="L861" s="1"/>
      <c r="M861" s="5"/>
      <c r="N861" s="1"/>
      <c r="O861" s="1"/>
      <c r="P861" s="5"/>
      <c r="Q861" s="1"/>
      <c r="R861" s="1"/>
      <c r="S861" s="5"/>
      <c r="T861" s="1"/>
      <c r="U861" s="1"/>
      <c r="V861" s="5"/>
      <c r="W861" s="1"/>
      <c r="X861" s="1"/>
      <c r="Y861" s="5"/>
      <c r="Z861" s="1"/>
      <c r="AA861" s="1"/>
      <c r="AB861" s="5"/>
      <c r="AC861" s="1"/>
      <c r="AD861" s="1"/>
      <c r="AE861" s="5"/>
      <c r="AF861" s="1"/>
      <c r="AG861" s="1"/>
      <c r="AH861" s="5"/>
      <c r="AI861" s="1"/>
      <c r="AJ861" s="1"/>
      <c r="AK861" s="5"/>
      <c r="AL861" s="1"/>
      <c r="AM861" s="1"/>
      <c r="AN861" s="5"/>
      <c r="AO861" s="1"/>
      <c r="AP861" s="1"/>
      <c r="AQ861" s="5"/>
      <c r="AR861" s="1"/>
      <c r="AS861" s="1"/>
      <c r="AT861" s="5"/>
      <c r="AU861" s="1"/>
      <c r="AV861" s="1"/>
      <c r="AW861" s="5"/>
      <c r="AX861" s="184">
        <f t="shared" ref="AX861:CC861" si="3667">SUM(AX858:AX860)</f>
        <v>6016.7545585727403</v>
      </c>
      <c r="AY861" s="184">
        <f t="shared" si="3667"/>
        <v>6668.4469376969464</v>
      </c>
      <c r="AZ861" s="184">
        <f t="shared" si="3667"/>
        <v>6668.4469376969464</v>
      </c>
      <c r="BA861" s="28">
        <f t="shared" si="3667"/>
        <v>7316.9404805540889</v>
      </c>
      <c r="BB861" s="28">
        <f t="shared" si="3667"/>
        <v>8061.5902606365717</v>
      </c>
      <c r="BC861" s="58">
        <f t="shared" si="3667"/>
        <v>8061.5902606365717</v>
      </c>
      <c r="BD861" s="28">
        <f t="shared" si="3667"/>
        <v>8791.9160101895122</v>
      </c>
      <c r="BE861" s="28">
        <f t="shared" si="3667"/>
        <v>9662.7451074246092</v>
      </c>
      <c r="BF861" s="58">
        <f t="shared" si="3667"/>
        <v>9662.7451074246092</v>
      </c>
      <c r="BG861" s="28">
        <f t="shared" si="3667"/>
        <v>10436.95568722421</v>
      </c>
      <c r="BH861" s="28">
        <f t="shared" si="3667"/>
        <v>11324.477762835799</v>
      </c>
      <c r="BI861" s="58">
        <f t="shared" si="3667"/>
        <v>11324.477762835799</v>
      </c>
      <c r="BJ861" s="110">
        <f t="shared" si="3667"/>
        <v>12082.948646593908</v>
      </c>
      <c r="BK861" s="110">
        <f t="shared" si="3667"/>
        <v>13006.012069839622</v>
      </c>
      <c r="BL861" s="111">
        <f t="shared" si="3667"/>
        <v>13006.012069839622</v>
      </c>
      <c r="BM861" s="110">
        <f t="shared" si="3667"/>
        <v>13886.969048652849</v>
      </c>
      <c r="BN861" s="110">
        <f t="shared" si="3667"/>
        <v>14894.273056710292</v>
      </c>
      <c r="BO861" s="111">
        <f t="shared" si="3667"/>
        <v>14894.273056710292</v>
      </c>
      <c r="BP861" s="110">
        <f t="shared" si="3667"/>
        <v>15987.745899169033</v>
      </c>
      <c r="BQ861" s="110">
        <f t="shared" si="3667"/>
        <v>17048.892775271052</v>
      </c>
      <c r="BR861" s="111">
        <f t="shared" si="3667"/>
        <v>17048.892775271052</v>
      </c>
      <c r="BS861" s="28">
        <f t="shared" si="3667"/>
        <v>18317.441318532157</v>
      </c>
      <c r="BT861" s="28">
        <f t="shared" si="3667"/>
        <v>19587.037622811094</v>
      </c>
      <c r="BU861" s="184">
        <f t="shared" si="3667"/>
        <v>19587.037622811094</v>
      </c>
      <c r="BV861" s="28">
        <f t="shared" si="3667"/>
        <v>20949.330157879427</v>
      </c>
      <c r="BW861" s="28">
        <f t="shared" si="3667"/>
        <v>22342.888475493251</v>
      </c>
      <c r="BX861" s="184">
        <f t="shared" si="3667"/>
        <v>22342.888475493251</v>
      </c>
      <c r="BY861" s="28">
        <f t="shared" si="3667"/>
        <v>23673.793708537367</v>
      </c>
      <c r="BZ861" s="28">
        <f t="shared" si="3667"/>
        <v>25016.920101573472</v>
      </c>
      <c r="CA861" s="184">
        <f t="shared" si="3667"/>
        <v>25016.920101573472</v>
      </c>
      <c r="CB861" s="28">
        <f t="shared" si="3667"/>
        <v>26373.030580126451</v>
      </c>
      <c r="CC861" s="28">
        <f t="shared" si="3667"/>
        <v>27905.801615796772</v>
      </c>
      <c r="CD861" s="184">
        <f t="shared" ref="CD861:DI861" si="3668">SUM(CD858:CD860)</f>
        <v>27905.801615796772</v>
      </c>
      <c r="CE861" s="28">
        <f t="shared" si="3668"/>
        <v>29447.342270557692</v>
      </c>
      <c r="CF861" s="28">
        <f t="shared" si="3668"/>
        <v>31125.961650794339</v>
      </c>
      <c r="CG861" s="184">
        <f t="shared" si="3668"/>
        <v>31125.961650794339</v>
      </c>
      <c r="CH861" s="28">
        <f t="shared" si="3668"/>
        <v>32451.135362003995</v>
      </c>
      <c r="CI861" s="28">
        <f t="shared" si="3668"/>
        <v>33983.446666444157</v>
      </c>
      <c r="CJ861" s="184">
        <f t="shared" si="3668"/>
        <v>33983.446666444157</v>
      </c>
      <c r="CK861" s="28">
        <f t="shared" si="3668"/>
        <v>35537.901226544105</v>
      </c>
      <c r="CL861" s="28">
        <f t="shared" si="3668"/>
        <v>37029.763129793842</v>
      </c>
      <c r="CM861" s="184">
        <f t="shared" si="3668"/>
        <v>37029.763129793842</v>
      </c>
      <c r="CN861" s="28">
        <f t="shared" si="3668"/>
        <v>38338.751652595776</v>
      </c>
      <c r="CO861" s="28">
        <f t="shared" si="3668"/>
        <v>39915.848584276449</v>
      </c>
      <c r="CP861" s="184">
        <f t="shared" si="3668"/>
        <v>39915.848584276449</v>
      </c>
      <c r="CQ861" s="28">
        <f t="shared" si="3668"/>
        <v>41200.502202491291</v>
      </c>
      <c r="CR861" s="28">
        <f t="shared" si="3668"/>
        <v>42815.972017193373</v>
      </c>
      <c r="CS861" s="184">
        <f t="shared" si="3668"/>
        <v>42815.972017193373</v>
      </c>
      <c r="CT861" s="28">
        <f t="shared" si="3668"/>
        <v>44305.418588407774</v>
      </c>
      <c r="CU861" s="28">
        <f t="shared" si="3668"/>
        <v>45879.643151861965</v>
      </c>
      <c r="CV861" s="184">
        <f t="shared" si="3668"/>
        <v>45879.643151861965</v>
      </c>
      <c r="CW861" s="28">
        <f t="shared" si="3668"/>
        <v>47464.055388663459</v>
      </c>
      <c r="CX861" s="28">
        <f t="shared" si="3668"/>
        <v>49074.386086283266</v>
      </c>
      <c r="CY861" s="184">
        <f t="shared" si="3668"/>
        <v>49074.386086283266</v>
      </c>
      <c r="CZ861" s="28">
        <f t="shared" si="3668"/>
        <v>50594.391073136889</v>
      </c>
      <c r="DA861" s="28">
        <f t="shared" si="3668"/>
        <v>52389.198140241329</v>
      </c>
      <c r="DB861" s="184">
        <f t="shared" si="3668"/>
        <v>52389.198140241329</v>
      </c>
      <c r="DC861" s="28">
        <f t="shared" si="3668"/>
        <v>53891.890413512891</v>
      </c>
      <c r="DD861" s="28">
        <f t="shared" si="3668"/>
        <v>55428.983555147184</v>
      </c>
      <c r="DE861" s="184">
        <f t="shared" si="3668"/>
        <v>55428.983555147184</v>
      </c>
      <c r="DF861" s="28">
        <f t="shared" si="3668"/>
        <v>57036.620114113422</v>
      </c>
      <c r="DG861" s="28">
        <f t="shared" si="3668"/>
        <v>58119.363718298046</v>
      </c>
      <c r="DH861" s="184">
        <f t="shared" si="3668"/>
        <v>58119.363718298046</v>
      </c>
      <c r="DI861" s="28">
        <f t="shared" si="3668"/>
        <v>59511.260332199236</v>
      </c>
      <c r="DJ861" s="28">
        <f t="shared" ref="DJ861:EF861" si="3669">SUM(DJ858:DJ860)</f>
        <v>61033.718592137928</v>
      </c>
      <c r="DK861" s="184">
        <f t="shared" si="3669"/>
        <v>61033.718592137928</v>
      </c>
      <c r="DL861" s="28">
        <f t="shared" si="3669"/>
        <v>62446.316148784776</v>
      </c>
      <c r="DM861" s="28">
        <f t="shared" si="3669"/>
        <v>63932.854185976015</v>
      </c>
      <c r="DN861" s="184">
        <f t="shared" si="3669"/>
        <v>63932.854185976015</v>
      </c>
      <c r="DO861" s="28">
        <f t="shared" si="3669"/>
        <v>65472.157366959247</v>
      </c>
      <c r="DP861" s="28">
        <f t="shared" si="3669"/>
        <v>67137.600064938568</v>
      </c>
      <c r="DQ861" s="184">
        <f t="shared" si="3669"/>
        <v>67137.600064938568</v>
      </c>
      <c r="DR861" s="28">
        <f t="shared" si="3669"/>
        <v>68821.914762547152</v>
      </c>
      <c r="DS861" s="28">
        <f t="shared" si="3669"/>
        <v>70466.554640218164</v>
      </c>
      <c r="DT861" s="184">
        <f t="shared" si="3669"/>
        <v>70466.554640218164</v>
      </c>
      <c r="DU861" s="28">
        <f t="shared" si="3669"/>
        <v>72128.32788339851</v>
      </c>
      <c r="DV861" s="28">
        <f t="shared" si="3669"/>
        <v>74001.55489098547</v>
      </c>
      <c r="DW861" s="184">
        <f t="shared" si="3669"/>
        <v>74001.55489098547</v>
      </c>
      <c r="DX861" s="28">
        <f t="shared" si="3669"/>
        <v>75695.018396374362</v>
      </c>
      <c r="DY861" s="28">
        <f t="shared" si="3669"/>
        <v>77657.073828661101</v>
      </c>
      <c r="DZ861" s="184">
        <f t="shared" si="3669"/>
        <v>77657.073828661101</v>
      </c>
      <c r="EA861" s="28">
        <f t="shared" si="3669"/>
        <v>79592.092968458674</v>
      </c>
      <c r="EB861" s="28">
        <f t="shared" si="3669"/>
        <v>81591.140993865745</v>
      </c>
      <c r="EC861" s="184">
        <f t="shared" si="3669"/>
        <v>81591.140993865745</v>
      </c>
      <c r="ED861" s="28">
        <f t="shared" si="3669"/>
        <v>83599.493489023356</v>
      </c>
      <c r="EE861" s="28">
        <f t="shared" si="3669"/>
        <v>85674.301436497291</v>
      </c>
      <c r="EF861" s="184">
        <f t="shared" si="3669"/>
        <v>85674.301436497291</v>
      </c>
      <c r="EG861" s="28">
        <f t="shared" ref="EG861:EL861" si="3670">SUM(EG858:EG860)</f>
        <v>87758.766474516407</v>
      </c>
      <c r="EH861" s="28">
        <f t="shared" si="3670"/>
        <v>89912.205493583722</v>
      </c>
      <c r="EI861" s="184">
        <f t="shared" si="3670"/>
        <v>89912.205493583722</v>
      </c>
      <c r="EJ861" s="28">
        <f t="shared" si="3670"/>
        <v>92075.667587613672</v>
      </c>
      <c r="EK861" s="28">
        <f t="shared" si="3670"/>
        <v>94310.717638625589</v>
      </c>
      <c r="EL861" s="184">
        <f t="shared" si="3670"/>
        <v>94310.717638625589</v>
      </c>
      <c r="EM861" s="28">
        <f t="shared" ref="EM861:ER861" si="3671">SUM(EM858:EM860)</f>
        <v>96556.170619095094</v>
      </c>
      <c r="EN861" s="28">
        <f t="shared" si="3671"/>
        <v>98875.924596940255</v>
      </c>
      <c r="EO861" s="184">
        <f t="shared" si="3671"/>
        <v>98875.924596940255</v>
      </c>
      <c r="EP861" s="28">
        <f t="shared" si="3671"/>
        <v>101206.47575446361</v>
      </c>
      <c r="EQ861" s="28">
        <f t="shared" si="3671"/>
        <v>103614.14376856115</v>
      </c>
      <c r="ER861" s="184">
        <f t="shared" si="3671"/>
        <v>103614.14376856115</v>
      </c>
      <c r="ES861" s="28">
        <f t="shared" ref="ES861:EX861" si="3672">SUM(ES858:ES860)</f>
        <v>106033.0181538523</v>
      </c>
      <c r="ET861" s="28">
        <f t="shared" si="3672"/>
        <v>108531.93197034813</v>
      </c>
      <c r="EU861" s="184">
        <f t="shared" si="3672"/>
        <v>108531.93197034813</v>
      </c>
      <c r="EV861" s="28">
        <f t="shared" si="3672"/>
        <v>111042.47685709305</v>
      </c>
      <c r="EW861" s="28">
        <f t="shared" si="3672"/>
        <v>113636.09450940642</v>
      </c>
      <c r="EX861" s="184">
        <f t="shared" si="3672"/>
        <v>113636.09450940642</v>
      </c>
      <c r="EY861" s="28">
        <f t="shared" ref="EY861:FA861" si="3673">SUM(EY858:EY860)</f>
        <v>116241.7840262692</v>
      </c>
      <c r="EZ861" s="28">
        <f t="shared" si="3673"/>
        <v>118933.69460036996</v>
      </c>
      <c r="FA861" s="184">
        <f t="shared" si="3673"/>
        <v>118933.69460036996</v>
      </c>
      <c r="FH861" s="35"/>
      <c r="FI861" s="35"/>
      <c r="FJ861" s="35"/>
      <c r="FK861" s="35"/>
      <c r="FL861" s="35"/>
      <c r="FM861" s="35"/>
      <c r="FN861" s="35"/>
      <c r="FO861" s="35"/>
      <c r="FP861" s="35"/>
      <c r="FQ861" s="35"/>
    </row>
    <row r="862" spans="1:173" s="321" customFormat="1" hidden="1" outlineLevel="1">
      <c r="A862" s="1168"/>
      <c r="B862" s="186"/>
      <c r="C862" s="186"/>
      <c r="D862" s="910"/>
      <c r="E862" s="1"/>
      <c r="F862" s="1"/>
      <c r="G862" s="5"/>
      <c r="H862" s="1"/>
      <c r="I862" s="1"/>
      <c r="J862" s="5"/>
      <c r="K862" s="1"/>
      <c r="L862" s="1"/>
      <c r="M862" s="5"/>
      <c r="N862" s="1"/>
      <c r="O862" s="1"/>
      <c r="P862" s="5"/>
      <c r="Q862" s="1"/>
      <c r="R862" s="1"/>
      <c r="S862" s="5"/>
      <c r="T862" s="1"/>
      <c r="U862" s="1"/>
      <c r="V862" s="5"/>
      <c r="W862" s="1"/>
      <c r="X862" s="1"/>
      <c r="Y862" s="5"/>
      <c r="Z862" s="1"/>
      <c r="AA862" s="1"/>
      <c r="AB862" s="5"/>
      <c r="AC862" s="1"/>
      <c r="AD862" s="1"/>
      <c r="AE862" s="5"/>
      <c r="AF862" s="1"/>
      <c r="AG862" s="1"/>
      <c r="AH862" s="5"/>
      <c r="AI862" s="1"/>
      <c r="AJ862" s="1"/>
      <c r="AK862" s="5"/>
      <c r="AL862" s="1"/>
      <c r="AM862" s="1"/>
      <c r="AN862" s="5"/>
      <c r="AO862" s="1"/>
      <c r="AP862" s="1"/>
      <c r="AQ862" s="5"/>
      <c r="AR862" s="1"/>
      <c r="AS862" s="1"/>
      <c r="AT862" s="5"/>
      <c r="AU862" s="1"/>
      <c r="AV862" s="1"/>
      <c r="AW862" s="5"/>
      <c r="AX862" s="184"/>
      <c r="AY862" s="184"/>
      <c r="AZ862" s="184"/>
      <c r="BA862" s="28"/>
      <c r="BB862" s="28"/>
      <c r="BC862" s="58"/>
      <c r="BD862" s="28"/>
      <c r="BE862" s="28"/>
      <c r="BF862" s="982"/>
      <c r="BG862" s="29"/>
      <c r="BH862" s="29"/>
      <c r="BI862" s="982"/>
      <c r="BJ862" s="112"/>
      <c r="BK862" s="112"/>
      <c r="BL862" s="113"/>
      <c r="BM862" s="112"/>
      <c r="BN862" s="112"/>
      <c r="BO862" s="113"/>
      <c r="BP862" s="112"/>
      <c r="BQ862" s="112"/>
      <c r="BR862" s="113"/>
      <c r="BS862" s="29"/>
      <c r="BT862" s="29"/>
      <c r="BU862" s="194"/>
      <c r="BV862" s="29"/>
      <c r="BW862" s="29"/>
      <c r="BX862" s="194"/>
      <c r="BY862" s="29"/>
      <c r="BZ862" s="29"/>
      <c r="CA862" s="194"/>
      <c r="CB862" s="29"/>
      <c r="CC862" s="29"/>
      <c r="CD862" s="194"/>
      <c r="CE862" s="28"/>
      <c r="CF862" s="28"/>
      <c r="CG862" s="184"/>
      <c r="CH862" s="28"/>
      <c r="CI862" s="28"/>
      <c r="CJ862" s="184"/>
      <c r="CK862" s="28"/>
      <c r="CL862" s="28"/>
      <c r="CM862" s="184"/>
      <c r="CN862" s="28"/>
      <c r="CO862" s="28"/>
      <c r="CP862" s="184"/>
      <c r="CQ862" s="28"/>
      <c r="CR862" s="28"/>
      <c r="CS862" s="184"/>
      <c r="CT862" s="28"/>
      <c r="CU862" s="28"/>
      <c r="CV862" s="184"/>
      <c r="CW862" s="28"/>
      <c r="CX862" s="28"/>
      <c r="CY862" s="184"/>
      <c r="CZ862" s="28"/>
      <c r="DA862" s="28"/>
      <c r="DB862" s="184"/>
      <c r="DC862" s="28"/>
      <c r="DD862" s="28"/>
      <c r="DE862" s="184"/>
      <c r="DF862" s="28"/>
      <c r="DG862" s="28"/>
      <c r="DH862" s="184"/>
      <c r="DI862" s="28"/>
      <c r="DJ862" s="28"/>
      <c r="DK862" s="184"/>
      <c r="DL862" s="28"/>
      <c r="DM862" s="28"/>
      <c r="DN862" s="184"/>
      <c r="DO862" s="28"/>
      <c r="DP862" s="28"/>
      <c r="DQ862" s="184"/>
      <c r="DR862" s="28"/>
      <c r="DS862" s="28"/>
      <c r="DT862" s="184"/>
      <c r="DU862" s="28"/>
      <c r="DV862" s="28"/>
      <c r="DW862" s="184"/>
      <c r="DX862" s="28"/>
      <c r="DY862" s="28"/>
      <c r="DZ862" s="184"/>
      <c r="EA862" s="28"/>
      <c r="EB862" s="28"/>
      <c r="EC862" s="184"/>
      <c r="ED862" s="28"/>
      <c r="EE862" s="28"/>
      <c r="EF862" s="184"/>
      <c r="EG862" s="28"/>
      <c r="EH862" s="28"/>
      <c r="EI862" s="184"/>
      <c r="EJ862" s="28"/>
      <c r="EK862" s="28"/>
      <c r="EL862" s="184"/>
      <c r="EM862" s="28"/>
      <c r="EN862" s="28"/>
      <c r="EO862" s="184"/>
      <c r="EP862" s="28"/>
      <c r="EQ862" s="28"/>
      <c r="ER862" s="184"/>
      <c r="ES862" s="28"/>
      <c r="ET862" s="28"/>
      <c r="EU862" s="184"/>
      <c r="EV862" s="28"/>
      <c r="EW862" s="28"/>
      <c r="EX862" s="184"/>
      <c r="EY862" s="28"/>
      <c r="EZ862" s="28"/>
      <c r="FA862" s="184"/>
      <c r="FH862" s="35"/>
      <c r="FI862" s="35"/>
      <c r="FJ862" s="35"/>
      <c r="FK862" s="35"/>
      <c r="FL862" s="35"/>
      <c r="FM862" s="35"/>
      <c r="FN862" s="35"/>
      <c r="FO862" s="35"/>
      <c r="FP862" s="35"/>
      <c r="FQ862" s="35"/>
    </row>
    <row r="863" spans="1:173" s="321" customFormat="1" hidden="1" outlineLevel="1">
      <c r="A863" s="1168"/>
      <c r="B863" s="186"/>
      <c r="C863" s="331" t="s">
        <v>829</v>
      </c>
      <c r="D863" s="910"/>
      <c r="E863" s="1"/>
      <c r="F863" s="1"/>
      <c r="G863" s="5"/>
      <c r="H863" s="1"/>
      <c r="I863" s="1"/>
      <c r="J863" s="5"/>
      <c r="K863" s="1"/>
      <c r="L863" s="1"/>
      <c r="M863" s="5"/>
      <c r="N863" s="1"/>
      <c r="O863" s="1"/>
      <c r="P863" s="5"/>
      <c r="Q863" s="1"/>
      <c r="R863" s="1"/>
      <c r="S863" s="5"/>
      <c r="T863" s="1"/>
      <c r="U863" s="1"/>
      <c r="V863" s="5"/>
      <c r="W863" s="1"/>
      <c r="X863" s="1"/>
      <c r="Y863" s="5"/>
      <c r="Z863" s="1"/>
      <c r="AA863" s="1"/>
      <c r="AB863" s="5"/>
      <c r="AC863" s="1"/>
      <c r="AD863" s="1"/>
      <c r="AE863" s="5"/>
      <c r="AF863" s="1"/>
      <c r="AG863" s="1"/>
      <c r="AH863" s="5"/>
      <c r="AI863" s="1"/>
      <c r="AJ863" s="1"/>
      <c r="AK863" s="5"/>
      <c r="AL863" s="1"/>
      <c r="AM863" s="1"/>
      <c r="AN863" s="5"/>
      <c r="AO863" s="1"/>
      <c r="AP863" s="1"/>
      <c r="AQ863" s="5"/>
      <c r="AR863" s="1"/>
      <c r="AS863" s="1"/>
      <c r="AT863" s="5"/>
      <c r="AU863" s="1"/>
      <c r="AV863" s="1"/>
      <c r="AW863" s="5"/>
      <c r="AX863" s="184"/>
      <c r="AY863" s="184"/>
      <c r="AZ863" s="184"/>
      <c r="BA863" s="28"/>
      <c r="BB863" s="28"/>
      <c r="BC863" s="58"/>
      <c r="BD863" s="28"/>
      <c r="BE863" s="28"/>
      <c r="BF863" s="58"/>
      <c r="BG863" s="28"/>
      <c r="BH863" s="28"/>
      <c r="BI863" s="58"/>
      <c r="BJ863" s="110"/>
      <c r="BK863" s="110"/>
      <c r="BL863" s="111"/>
      <c r="BM863" s="110"/>
      <c r="BN863" s="110"/>
      <c r="BO863" s="111"/>
      <c r="BP863" s="110"/>
      <c r="BQ863" s="110"/>
      <c r="BR863" s="111"/>
      <c r="BS863" s="28"/>
      <c r="BT863" s="28"/>
      <c r="BU863" s="184"/>
      <c r="BV863" s="28"/>
      <c r="BW863" s="28"/>
      <c r="BX863" s="184"/>
      <c r="BY863" s="28"/>
      <c r="BZ863" s="28"/>
      <c r="CA863" s="184"/>
      <c r="CB863" s="28"/>
      <c r="CC863" s="28"/>
      <c r="CD863" s="184"/>
      <c r="CE863" s="28"/>
      <c r="CF863" s="28"/>
      <c r="CG863" s="184"/>
      <c r="CH863" s="28"/>
      <c r="CI863" s="28"/>
      <c r="CJ863" s="184"/>
      <c r="CK863" s="28"/>
      <c r="CL863" s="28"/>
      <c r="CM863" s="184"/>
      <c r="CN863" s="28"/>
      <c r="CO863" s="28"/>
      <c r="CP863" s="184"/>
      <c r="CQ863" s="28"/>
      <c r="CR863" s="28"/>
      <c r="CS863" s="184"/>
      <c r="CT863" s="28"/>
      <c r="CU863" s="28"/>
      <c r="CV863" s="184"/>
      <c r="CW863" s="28"/>
      <c r="CX863" s="28"/>
      <c r="CY863" s="184"/>
      <c r="CZ863" s="28"/>
      <c r="DA863" s="28"/>
      <c r="DB863" s="184"/>
      <c r="DC863" s="28"/>
      <c r="DD863" s="28"/>
      <c r="DE863" s="184"/>
      <c r="DF863" s="28"/>
      <c r="DG863" s="28"/>
      <c r="DH863" s="184"/>
      <c r="DI863" s="28"/>
      <c r="DJ863" s="28"/>
      <c r="DK863" s="184"/>
      <c r="DL863" s="28"/>
      <c r="DM863" s="28"/>
      <c r="DN863" s="184"/>
      <c r="DO863" s="28"/>
      <c r="DP863" s="28"/>
      <c r="DQ863" s="184"/>
      <c r="DR863" s="28"/>
      <c r="DS863" s="28"/>
      <c r="DT863" s="184"/>
      <c r="DU863" s="28"/>
      <c r="DV863" s="28"/>
      <c r="DW863" s="184"/>
      <c r="DX863" s="28"/>
      <c r="DY863" s="28"/>
      <c r="DZ863" s="184"/>
      <c r="EA863" s="28"/>
      <c r="EB863" s="28"/>
      <c r="EC863" s="184"/>
      <c r="ED863" s="28"/>
      <c r="EE863" s="28"/>
      <c r="EF863" s="184"/>
      <c r="EG863" s="28"/>
      <c r="EH863" s="28"/>
      <c r="EI863" s="184"/>
      <c r="EJ863" s="28"/>
      <c r="EK863" s="28"/>
      <c r="EL863" s="184"/>
      <c r="EM863" s="28"/>
      <c r="EN863" s="28"/>
      <c r="EO863" s="184"/>
      <c r="EP863" s="28"/>
      <c r="EQ863" s="28"/>
      <c r="ER863" s="184"/>
      <c r="ES863" s="28"/>
      <c r="ET863" s="28"/>
      <c r="EU863" s="184"/>
      <c r="EV863" s="28"/>
      <c r="EW863" s="28"/>
      <c r="EX863" s="184"/>
      <c r="EY863" s="28"/>
      <c r="EZ863" s="28"/>
      <c r="FA863" s="184"/>
      <c r="FH863" s="35"/>
      <c r="FI863" s="35"/>
      <c r="FJ863" s="35"/>
      <c r="FK863" s="35"/>
      <c r="FL863" s="35"/>
      <c r="FM863" s="35"/>
      <c r="FN863" s="35"/>
      <c r="FO863" s="35"/>
      <c r="FP863" s="35"/>
      <c r="FQ863" s="35"/>
    </row>
    <row r="864" spans="1:173" s="321" customFormat="1" hidden="1" outlineLevel="1">
      <c r="A864" s="1168"/>
      <c r="B864" s="186"/>
      <c r="C864" s="186" t="s">
        <v>316</v>
      </c>
      <c r="D864" s="910"/>
      <c r="E864" s="1"/>
      <c r="F864" s="1"/>
      <c r="G864" s="5"/>
      <c r="H864" s="1"/>
      <c r="I864" s="1"/>
      <c r="J864" s="5"/>
      <c r="K864" s="1"/>
      <c r="L864" s="1"/>
      <c r="M864" s="5"/>
      <c r="N864" s="1"/>
      <c r="O864" s="1"/>
      <c r="P864" s="5"/>
      <c r="Q864" s="1"/>
      <c r="R864" s="1"/>
      <c r="S864" s="5"/>
      <c r="T864" s="1"/>
      <c r="U864" s="1"/>
      <c r="V864" s="5"/>
      <c r="W864" s="1"/>
      <c r="X864" s="1"/>
      <c r="Y864" s="5"/>
      <c r="Z864" s="1"/>
      <c r="AA864" s="1"/>
      <c r="AB864" s="5"/>
      <c r="AC864" s="1"/>
      <c r="AD864" s="1"/>
      <c r="AE864" s="5"/>
      <c r="AF864" s="1"/>
      <c r="AG864" s="1"/>
      <c r="AH864" s="5"/>
      <c r="AI864" s="1"/>
      <c r="AJ864" s="1"/>
      <c r="AK864" s="5"/>
      <c r="AL864" s="1"/>
      <c r="AM864" s="1"/>
      <c r="AN864" s="5"/>
      <c r="AO864" s="1"/>
      <c r="AP864" s="1"/>
      <c r="AQ864" s="5"/>
      <c r="AR864" s="1"/>
      <c r="AS864" s="1"/>
      <c r="AT864" s="5"/>
      <c r="AU864" s="1"/>
      <c r="AV864" s="1"/>
      <c r="AW864" s="5"/>
      <c r="AX864" s="184">
        <f>(AX828*AX810*AX751)</f>
        <v>7980.6328741965108</v>
      </c>
      <c r="AY864" s="184">
        <f>AX864+(AY828*AY810*AY745)</f>
        <v>8843.407561696511</v>
      </c>
      <c r="AZ864" s="184">
        <f>AY864</f>
        <v>8843.407561696511</v>
      </c>
      <c r="BA864" s="28">
        <f t="shared" ref="BA864:BB866" si="3674">AZ864+(BA828*BA810*BA745)</f>
        <v>9664.7207294881773</v>
      </c>
      <c r="BB864" s="28">
        <f t="shared" si="3674"/>
        <v>10720.694802363178</v>
      </c>
      <c r="BC864" s="58">
        <f>BB864</f>
        <v>10720.694802363178</v>
      </c>
      <c r="BD864" s="28">
        <f t="shared" ref="BD864:BE866" si="3675">BC864+(BD828*BD810*BD745)</f>
        <v>11682.704931824926</v>
      </c>
      <c r="BE864" s="28">
        <f t="shared" si="3675"/>
        <v>12867.915574801966</v>
      </c>
      <c r="BF864" s="58">
        <f>BE864</f>
        <v>12867.915574801966</v>
      </c>
      <c r="BG864" s="28">
        <f t="shared" ref="BG864:BH866" si="3676">BF864+(BG828*BG810*BG745)</f>
        <v>14050.60672125374</v>
      </c>
      <c r="BH864" s="28">
        <f t="shared" si="3676"/>
        <v>15330.43191327258</v>
      </c>
      <c r="BI864" s="58">
        <f>BH864</f>
        <v>15330.43191327258</v>
      </c>
      <c r="BJ864" s="110">
        <f t="shared" ref="BJ864:BK866" si="3677">BI864+(BJ828*BJ810*BJ745)</f>
        <v>16467.798069630793</v>
      </c>
      <c r="BK864" s="110">
        <f t="shared" si="3677"/>
        <v>17947.710254537324</v>
      </c>
      <c r="BL864" s="111">
        <f>BK864</f>
        <v>17947.710254537324</v>
      </c>
      <c r="BM864" s="110">
        <f t="shared" ref="BM864:BN866" si="3678">BL864+(BM828*BM810*BM745)</f>
        <v>19525.074394775562</v>
      </c>
      <c r="BN864" s="110">
        <f t="shared" si="3678"/>
        <v>21204.816019755966</v>
      </c>
      <c r="BO864" s="111">
        <f>BN864</f>
        <v>21204.816019755966</v>
      </c>
      <c r="BP864" s="110">
        <f t="shared" ref="BP864:BQ866" si="3679">BO864+(BP828*BP810*BP745)</f>
        <v>23331.876074378852</v>
      </c>
      <c r="BQ864" s="110">
        <f t="shared" si="3679"/>
        <v>25247.856881500487</v>
      </c>
      <c r="BR864" s="111">
        <f>BQ864</f>
        <v>25247.856881500487</v>
      </c>
      <c r="BS864" s="28">
        <f t="shared" ref="BS864:BT866" si="3680">BR864+(BS828*BS810*BS745)</f>
        <v>27876.472213362991</v>
      </c>
      <c r="BT864" s="28">
        <f t="shared" si="3680"/>
        <v>30351.48442622324</v>
      </c>
      <c r="BU864" s="184">
        <f>BT864</f>
        <v>30351.48442622324</v>
      </c>
      <c r="BV864" s="28">
        <f t="shared" ref="BV864:BW866" si="3681">BU864+(BV828*BV810*BV745)</f>
        <v>33224.625080819991</v>
      </c>
      <c r="BW864" s="28">
        <f t="shared" si="3681"/>
        <v>36007.524437977459</v>
      </c>
      <c r="BX864" s="184">
        <f>BW864</f>
        <v>36007.524437977459</v>
      </c>
      <c r="BY864" s="28">
        <f t="shared" ref="BY864:BZ866" si="3682">BX864+(BY828*BY810*BY745)</f>
        <v>38989.193195251726</v>
      </c>
      <c r="BZ864" s="28">
        <f t="shared" si="3682"/>
        <v>41887.764993045188</v>
      </c>
      <c r="CA864" s="184">
        <f>BZ864</f>
        <v>41887.764993045188</v>
      </c>
      <c r="CB864" s="28">
        <f t="shared" ref="CB864:CC866" si="3683">CA864+(CB828*CB810*CB745)</f>
        <v>45178.073003071964</v>
      </c>
      <c r="CC864" s="28">
        <f t="shared" si="3683"/>
        <v>48780.572482338197</v>
      </c>
      <c r="CD864" s="184">
        <f>CC864</f>
        <v>48780.572482338197</v>
      </c>
      <c r="CE864" s="28">
        <f t="shared" ref="CE864:CF866" si="3684">CD864+(CE828*CE810*CE745)</f>
        <v>52601.198881174212</v>
      </c>
      <c r="CF864" s="28">
        <f t="shared" si="3684"/>
        <v>56784.334493504182</v>
      </c>
      <c r="CG864" s="184">
        <f>CF864</f>
        <v>56784.334493504182</v>
      </c>
      <c r="CH864" s="28">
        <f t="shared" ref="CH864:CI866" si="3685">CG864+(CH828*CH810*CH745)</f>
        <v>60146.237184093079</v>
      </c>
      <c r="CI864" s="28">
        <f t="shared" si="3685"/>
        <v>64192.66882429547</v>
      </c>
      <c r="CJ864" s="184">
        <f>CI864</f>
        <v>64192.66882429547</v>
      </c>
      <c r="CK864" s="28">
        <f t="shared" ref="CK864:CL866" si="3686">CJ864+(CK828*CK810*CK745)</f>
        <v>67908.128709117445</v>
      </c>
      <c r="CL864" s="28">
        <f t="shared" si="3686"/>
        <v>71540.868669580595</v>
      </c>
      <c r="CM864" s="184">
        <f>CL864</f>
        <v>71540.868669580595</v>
      </c>
      <c r="CN864" s="28">
        <f t="shared" ref="CN864:CO866" si="3687">CM864+(CN828*CN810*CN745)</f>
        <v>75210.665202261618</v>
      </c>
      <c r="CO864" s="28">
        <f t="shared" si="3687"/>
        <v>79415.025069260562</v>
      </c>
      <c r="CP864" s="184">
        <f>CO864</f>
        <v>79415.025069260562</v>
      </c>
      <c r="CQ864" s="28">
        <f t="shared" ref="CQ864:CR866" si="3688">CP864+(CQ828*CQ810*CQ745)</f>
        <v>83739.503283247934</v>
      </c>
      <c r="CR864" s="28">
        <f t="shared" si="3688"/>
        <v>88609.218766746737</v>
      </c>
      <c r="CS864" s="184">
        <f>CR864</f>
        <v>88609.218766746737</v>
      </c>
      <c r="CT864" s="28">
        <f t="shared" ref="CT864:CU866" si="3689">CS864+(CT828*CT810*CT745)</f>
        <v>93397.637144693988</v>
      </c>
      <c r="CU864" s="28">
        <f t="shared" si="3689"/>
        <v>98445.636679883639</v>
      </c>
      <c r="CV864" s="184">
        <f>CU864</f>
        <v>98445.636679883639</v>
      </c>
      <c r="CW864" s="28">
        <f t="shared" ref="CW864:CX866" si="3690">CV864+(CW828*CW810*CW745)</f>
        <v>104201.3020199943</v>
      </c>
      <c r="CX864" s="28">
        <f t="shared" si="3690"/>
        <v>109949.08290187422</v>
      </c>
      <c r="CY864" s="184">
        <f>CX864</f>
        <v>109949.08290187422</v>
      </c>
      <c r="CZ864" s="28">
        <f t="shared" ref="CZ864:DA866" si="3691">CY864+(CZ828*CZ810*CZ745)</f>
        <v>116382.6747311479</v>
      </c>
      <c r="DA864" s="28">
        <f t="shared" si="3691"/>
        <v>122682.71390712482</v>
      </c>
      <c r="DB864" s="184">
        <f>DA864</f>
        <v>122682.71390712482</v>
      </c>
      <c r="DC864" s="28">
        <f t="shared" ref="DC864:DD866" si="3692">DB864+(DC828*DC810*DC745)</f>
        <v>129019.73297839993</v>
      </c>
      <c r="DD864" s="28">
        <f t="shared" si="3692"/>
        <v>134655.31390952648</v>
      </c>
      <c r="DE864" s="184">
        <f>DD864</f>
        <v>134655.31390952648</v>
      </c>
      <c r="DF864" s="28">
        <f t="shared" ref="DF864:DG866" si="3693">DE864+(DF828*DF810*DF745)</f>
        <v>141658.24222908635</v>
      </c>
      <c r="DG864" s="28">
        <f t="shared" si="3693"/>
        <v>145904.45679807072</v>
      </c>
      <c r="DH864" s="184">
        <f>DG864</f>
        <v>145904.45679807072</v>
      </c>
      <c r="DI864" s="28">
        <f t="shared" ref="DI864:DJ866" si="3694">DH864+(DI828*DI810*DI745)</f>
        <v>152204.40651771723</v>
      </c>
      <c r="DJ864" s="28">
        <f t="shared" si="3694"/>
        <v>158565.73383522034</v>
      </c>
      <c r="DK864" s="184">
        <f>DJ864</f>
        <v>158565.73383522034</v>
      </c>
      <c r="DL864" s="28">
        <f>DK864+(DL828*DL810*DL745)</f>
        <v>164940.07785771842</v>
      </c>
      <c r="DM864" s="28">
        <f t="shared" ref="DM864:DM866" si="3695">DL864+(DM828*DM810*DM745)</f>
        <v>171616.50088123183</v>
      </c>
      <c r="DN864" s="184">
        <f>DM864</f>
        <v>171616.50088123183</v>
      </c>
      <c r="DO864" s="28">
        <f t="shared" ref="DO864:DP866" si="3696">DN864+(DO828*DO810*DO745)</f>
        <v>179257.24471541581</v>
      </c>
      <c r="DP864" s="28">
        <f t="shared" si="3696"/>
        <v>187557.40348971868</v>
      </c>
      <c r="DQ864" s="184">
        <f>DP864</f>
        <v>187557.40348971868</v>
      </c>
      <c r="DR864" s="28">
        <f t="shared" ref="DR864:DS866" si="3697">DQ864+(DR828*DR810*DR745)</f>
        <v>196765.60702879939</v>
      </c>
      <c r="DS864" s="28">
        <f t="shared" si="3697"/>
        <v>205139.27021490753</v>
      </c>
      <c r="DT864" s="184">
        <f>DS864</f>
        <v>205139.27021490753</v>
      </c>
      <c r="DU864" s="28">
        <f t="shared" ref="DU864:DV866" si="3698">DT864+(DU828*DU810*DU745)</f>
        <v>214285.01492650277</v>
      </c>
      <c r="DV864" s="28">
        <f t="shared" si="3698"/>
        <v>224018.76640106575</v>
      </c>
      <c r="DW864" s="184">
        <f>DV864</f>
        <v>224018.76640106575</v>
      </c>
      <c r="DX864" s="28">
        <f t="shared" ref="DX864:DY866" si="3699">DW864+(DX828*DX810*DX745)</f>
        <v>233983.64727104391</v>
      </c>
      <c r="DY864" s="28">
        <f t="shared" si="3699"/>
        <v>244712.85335462546</v>
      </c>
      <c r="DZ864" s="184">
        <f>DY864</f>
        <v>244712.85335462546</v>
      </c>
      <c r="EA864" s="28">
        <f t="shared" ref="EA864:EB866" si="3700">DZ864+(EA828*EA810*EA745)</f>
        <v>256690.60208048011</v>
      </c>
      <c r="EB864" s="28">
        <f t="shared" si="3700"/>
        <v>268189.94978184288</v>
      </c>
      <c r="EC864" s="184">
        <f>EB864</f>
        <v>268189.94978184288</v>
      </c>
      <c r="ED864" s="28">
        <f t="shared" ref="ED864:EE866" si="3701">EC864+(ED828*ED810*ED745)</f>
        <v>281262.25523705594</v>
      </c>
      <c r="EE864" s="28">
        <f t="shared" si="3701"/>
        <v>293812.44218190608</v>
      </c>
      <c r="EF864" s="184">
        <f>EE864</f>
        <v>293812.44218190608</v>
      </c>
      <c r="EG864" s="28">
        <f t="shared" ref="EG864:EH866" si="3702">EF864+(EG828*EG810*EG745)</f>
        <v>308073.72530491831</v>
      </c>
      <c r="EH864" s="28">
        <f t="shared" si="3702"/>
        <v>321765.4011826315</v>
      </c>
      <c r="EI864" s="184">
        <f>EH864</f>
        <v>321765.4011826315</v>
      </c>
      <c r="EJ864" s="28">
        <f t="shared" ref="EJ864:EK866" si="3703">EI864+(EJ828*EJ810*EJ745)</f>
        <v>337317.69798598113</v>
      </c>
      <c r="EK864" s="28">
        <f t="shared" si="3703"/>
        <v>352248.82340777852</v>
      </c>
      <c r="EL864" s="184">
        <f>EK864</f>
        <v>352248.82340777852</v>
      </c>
      <c r="EM864" s="28">
        <f t="shared" ref="EM864:EN866" si="3704">EL864+(EM828*EM810*EM745)</f>
        <v>369202.32456517115</v>
      </c>
      <c r="EN864" s="28">
        <f t="shared" si="3704"/>
        <v>385478.6890996428</v>
      </c>
      <c r="EO864" s="184">
        <f>EN864</f>
        <v>385478.6890996428</v>
      </c>
      <c r="EP864" s="28">
        <f t="shared" ref="EP864:EQ866" si="3705">EO864+(EP828*EP810*EP745)</f>
        <v>403952.30524048465</v>
      </c>
      <c r="EQ864" s="28">
        <f t="shared" si="3705"/>
        <v>421688.07012979942</v>
      </c>
      <c r="ER864" s="184">
        <f>EQ864</f>
        <v>421688.07012979942</v>
      </c>
      <c r="ES864" s="28">
        <f t="shared" ref="ES864:ES866" si="3706">ER864+(ES828*ES810*ES745)</f>
        <v>441810.02161434747</v>
      </c>
      <c r="ET864" s="28">
        <f t="shared" ref="ET864:ET866" si="3707">ES864+(ET828*ET810*ET745)</f>
        <v>461128.28599330405</v>
      </c>
      <c r="EU864" s="184">
        <f>ET864</f>
        <v>461128.28599330405</v>
      </c>
      <c r="EV864" s="28">
        <f t="shared" ref="EV864:EV866" si="3708">EU864+(EV828*EV810*EV745)</f>
        <v>483036.71528431226</v>
      </c>
      <c r="EW864" s="28">
        <f t="shared" ref="EW864:EW866" si="3709">EV864+(EW828*EW810*EW745)</f>
        <v>504070.10409336392</v>
      </c>
      <c r="EX864" s="184">
        <f>EW864</f>
        <v>504070.10409336392</v>
      </c>
      <c r="EY864" s="28">
        <f t="shared" ref="EY864:EY866" si="3710">EX864+(EY828*EY810*EY745)</f>
        <v>527913.70803927258</v>
      </c>
      <c r="EZ864" s="28">
        <f t="shared" ref="EZ864:EZ866" si="3711">EY864+(EZ828*EZ810*EZ745)</f>
        <v>550804.97905381164</v>
      </c>
      <c r="FA864" s="184">
        <f>EZ864</f>
        <v>550804.97905381164</v>
      </c>
      <c r="FH864" s="35"/>
      <c r="FI864" s="35"/>
      <c r="FJ864" s="35"/>
      <c r="FK864" s="35"/>
      <c r="FL864" s="35"/>
      <c r="FM864" s="35"/>
      <c r="FN864" s="35"/>
      <c r="FO864" s="35"/>
      <c r="FP864" s="35"/>
      <c r="FQ864" s="35"/>
    </row>
    <row r="865" spans="1:173" s="321" customFormat="1" hidden="1" outlineLevel="1">
      <c r="A865" s="1168"/>
      <c r="B865" s="186"/>
      <c r="C865" s="186" t="s">
        <v>317</v>
      </c>
      <c r="D865" s="910"/>
      <c r="E865" s="1"/>
      <c r="F865" s="1"/>
      <c r="G865" s="5"/>
      <c r="H865" s="1"/>
      <c r="I865" s="1"/>
      <c r="J865" s="5"/>
      <c r="K865" s="1"/>
      <c r="L865" s="1"/>
      <c r="M865" s="5"/>
      <c r="N865" s="1"/>
      <c r="O865" s="1"/>
      <c r="P865" s="5"/>
      <c r="Q865" s="1"/>
      <c r="R865" s="1"/>
      <c r="S865" s="5"/>
      <c r="T865" s="1"/>
      <c r="U865" s="1"/>
      <c r="V865" s="5"/>
      <c r="W865" s="1"/>
      <c r="X865" s="1"/>
      <c r="Y865" s="5"/>
      <c r="Z865" s="1"/>
      <c r="AA865" s="1"/>
      <c r="AB865" s="5"/>
      <c r="AC865" s="1"/>
      <c r="AD865" s="1"/>
      <c r="AE865" s="5"/>
      <c r="AF865" s="1"/>
      <c r="AG865" s="1"/>
      <c r="AH865" s="5"/>
      <c r="AI865" s="1"/>
      <c r="AJ865" s="1"/>
      <c r="AK865" s="5"/>
      <c r="AL865" s="1"/>
      <c r="AM865" s="1"/>
      <c r="AN865" s="5"/>
      <c r="AO865" s="1"/>
      <c r="AP865" s="1"/>
      <c r="AQ865" s="5"/>
      <c r="AR865" s="1"/>
      <c r="AS865" s="1"/>
      <c r="AT865" s="5"/>
      <c r="AU865" s="1"/>
      <c r="AV865" s="1"/>
      <c r="AW865" s="5"/>
      <c r="AX865" s="184">
        <f>(AX829*AX811*AX752)</f>
        <v>4015.6066902794178</v>
      </c>
      <c r="AY865" s="184">
        <f>AX865+(AY829*AY811*AY746)</f>
        <v>4565.1727833446339</v>
      </c>
      <c r="AZ865" s="184">
        <f>AY865</f>
        <v>4565.1727833446339</v>
      </c>
      <c r="BA865" s="28">
        <f t="shared" si="3674"/>
        <v>5118.3020596124916</v>
      </c>
      <c r="BB865" s="28">
        <f t="shared" si="3674"/>
        <v>5790.9313729383739</v>
      </c>
      <c r="BC865" s="58">
        <f>BB865</f>
        <v>5790.9313729383739</v>
      </c>
      <c r="BD865" s="28">
        <f t="shared" si="3675"/>
        <v>6475.2695980249737</v>
      </c>
      <c r="BE865" s="28">
        <f t="shared" si="3675"/>
        <v>7345.4008399795639</v>
      </c>
      <c r="BF865" s="58">
        <f>BE865</f>
        <v>7345.4008399795639</v>
      </c>
      <c r="BG865" s="28">
        <f t="shared" si="3676"/>
        <v>8074.6437595433727</v>
      </c>
      <c r="BH865" s="28">
        <f t="shared" si="3676"/>
        <v>8928.6688538799408</v>
      </c>
      <c r="BI865" s="58">
        <f>BH865</f>
        <v>8928.6688538799408</v>
      </c>
      <c r="BJ865" s="110">
        <f t="shared" si="3677"/>
        <v>9743.2748027100952</v>
      </c>
      <c r="BK865" s="110">
        <f t="shared" si="3677"/>
        <v>10697.26956033205</v>
      </c>
      <c r="BL865" s="111">
        <f>BK865</f>
        <v>10697.26956033205</v>
      </c>
      <c r="BM865" s="110">
        <f t="shared" si="3678"/>
        <v>11599.478451405075</v>
      </c>
      <c r="BN865" s="110">
        <f t="shared" si="3678"/>
        <v>12714.88640231771</v>
      </c>
      <c r="BO865" s="111">
        <f>BN865</f>
        <v>12714.88640231771</v>
      </c>
      <c r="BP865" s="110">
        <f t="shared" si="3679"/>
        <v>13876.621127799583</v>
      </c>
      <c r="BQ865" s="110">
        <f t="shared" si="3679"/>
        <v>15120.627395697598</v>
      </c>
      <c r="BR865" s="111">
        <f>BQ865</f>
        <v>15120.627395697598</v>
      </c>
      <c r="BS865" s="28">
        <f t="shared" si="3680"/>
        <v>16556.29617445248</v>
      </c>
      <c r="BT865" s="28">
        <f t="shared" si="3680"/>
        <v>18106.237058625898</v>
      </c>
      <c r="BU865" s="184">
        <f>BT865</f>
        <v>18106.237058625898</v>
      </c>
      <c r="BV865" s="28">
        <f t="shared" si="3681"/>
        <v>19907.935224197241</v>
      </c>
      <c r="BW865" s="28">
        <f t="shared" si="3681"/>
        <v>21816.443418751063</v>
      </c>
      <c r="BX865" s="184">
        <f>BW865</f>
        <v>21816.443418751063</v>
      </c>
      <c r="BY865" s="28">
        <f t="shared" si="3682"/>
        <v>23729.468537854485</v>
      </c>
      <c r="BZ865" s="28">
        <f t="shared" si="3682"/>
        <v>25605.368311986964</v>
      </c>
      <c r="CA865" s="184">
        <f>BZ865</f>
        <v>25605.368311986964</v>
      </c>
      <c r="CB865" s="28">
        <f t="shared" si="3683"/>
        <v>27596.374685320498</v>
      </c>
      <c r="CC865" s="28">
        <f t="shared" si="3683"/>
        <v>29774.686271078521</v>
      </c>
      <c r="CD865" s="184">
        <f>CC865</f>
        <v>29774.686271078521</v>
      </c>
      <c r="CE865" s="28">
        <f t="shared" si="3684"/>
        <v>32285.962978928739</v>
      </c>
      <c r="CF865" s="28">
        <f t="shared" si="3684"/>
        <v>34815.365917521631</v>
      </c>
      <c r="CG865" s="184">
        <f>CF865</f>
        <v>34815.365917521631</v>
      </c>
      <c r="CH865" s="28">
        <f t="shared" si="3685"/>
        <v>37071.840495815399</v>
      </c>
      <c r="CI865" s="28">
        <f t="shared" si="3685"/>
        <v>39518.583090383669</v>
      </c>
      <c r="CJ865" s="184">
        <f>CI865</f>
        <v>39518.583090383669</v>
      </c>
      <c r="CK865" s="28">
        <f t="shared" si="3686"/>
        <v>42067.008611045414</v>
      </c>
      <c r="CL865" s="28">
        <f t="shared" si="3686"/>
        <v>44657.612776195187</v>
      </c>
      <c r="CM865" s="184">
        <f>CL865</f>
        <v>44657.612776195187</v>
      </c>
      <c r="CN865" s="28">
        <f t="shared" si="3687"/>
        <v>47174.717907036451</v>
      </c>
      <c r="CO865" s="28">
        <f t="shared" si="3687"/>
        <v>50172.959537810202</v>
      </c>
      <c r="CP865" s="184">
        <f>CO865</f>
        <v>50172.959537810202</v>
      </c>
      <c r="CQ865" s="28">
        <f t="shared" si="3688"/>
        <v>52809.537149724012</v>
      </c>
      <c r="CR865" s="28">
        <f t="shared" si="3688"/>
        <v>56040.680853825485</v>
      </c>
      <c r="CS865" s="184">
        <f>CR865</f>
        <v>56040.680853825485</v>
      </c>
      <c r="CT865" s="28">
        <f t="shared" si="3689"/>
        <v>58960.116694879587</v>
      </c>
      <c r="CU865" s="28">
        <f t="shared" si="3689"/>
        <v>62407.803677224554</v>
      </c>
      <c r="CV865" s="184">
        <f>CU865</f>
        <v>62407.803677224554</v>
      </c>
      <c r="CW865" s="28">
        <f t="shared" si="3690"/>
        <v>65638.736363059157</v>
      </c>
      <c r="CX865" s="28">
        <f t="shared" si="3690"/>
        <v>69454.283327695593</v>
      </c>
      <c r="CY865" s="184">
        <f>CX865</f>
        <v>69454.283327695593</v>
      </c>
      <c r="CZ865" s="28">
        <f t="shared" si="3691"/>
        <v>72638.264816901254</v>
      </c>
      <c r="DA865" s="28">
        <f t="shared" si="3691"/>
        <v>77434.31109633141</v>
      </c>
      <c r="DB865" s="184">
        <f>DA865</f>
        <v>77434.31109633141</v>
      </c>
      <c r="DC865" s="28">
        <f t="shared" si="3692"/>
        <v>80986.523670292925</v>
      </c>
      <c r="DD865" s="28">
        <f t="shared" si="3692"/>
        <v>85421.350096756098</v>
      </c>
      <c r="DE865" s="184">
        <f>DD865</f>
        <v>85421.350096756098</v>
      </c>
      <c r="DF865" s="28">
        <f t="shared" si="3693"/>
        <v>89471.739614998747</v>
      </c>
      <c r="DG865" s="28">
        <f t="shared" si="3693"/>
        <v>92813.227353903509</v>
      </c>
      <c r="DH865" s="184">
        <f>DG865</f>
        <v>92813.227353903509</v>
      </c>
      <c r="DI865" s="28">
        <f t="shared" si="3694"/>
        <v>96228.265309844064</v>
      </c>
      <c r="DJ865" s="28">
        <f t="shared" si="3694"/>
        <v>100603.12584501438</v>
      </c>
      <c r="DK865" s="184">
        <f>DJ865</f>
        <v>100603.12584501438</v>
      </c>
      <c r="DL865" s="28">
        <f>DK865+(DL829*DL811*DL746)</f>
        <v>104637.61576480058</v>
      </c>
      <c r="DM865" s="28">
        <f t="shared" si="3695"/>
        <v>108903.64313720507</v>
      </c>
      <c r="DN865" s="184">
        <f>DM865</f>
        <v>108903.64313720507</v>
      </c>
      <c r="DO865" s="28">
        <f t="shared" si="3696"/>
        <v>113127.84610797907</v>
      </c>
      <c r="DP865" s="28">
        <f t="shared" si="3696"/>
        <v>117828.58902886428</v>
      </c>
      <c r="DQ865" s="184">
        <f>DP865</f>
        <v>117828.58902886428</v>
      </c>
      <c r="DR865" s="28">
        <f t="shared" si="3697"/>
        <v>122581.22470780315</v>
      </c>
      <c r="DS865" s="28">
        <f t="shared" si="3697"/>
        <v>127662.16473783959</v>
      </c>
      <c r="DT865" s="184">
        <f>DS865</f>
        <v>127662.16473783959</v>
      </c>
      <c r="DU865" s="28">
        <f t="shared" si="3698"/>
        <v>132524.71571589552</v>
      </c>
      <c r="DV865" s="28">
        <f t="shared" si="3698"/>
        <v>138962.75214881703</v>
      </c>
      <c r="DW865" s="184">
        <f>DV865</f>
        <v>138962.75214881703</v>
      </c>
      <c r="DX865" s="28">
        <f t="shared" si="3699"/>
        <v>144285.15121868299</v>
      </c>
      <c r="DY865" s="28">
        <f t="shared" si="3699"/>
        <v>151381.59495293422</v>
      </c>
      <c r="DZ865" s="184">
        <f>DY865</f>
        <v>151381.59495293422</v>
      </c>
      <c r="EA865" s="28">
        <f t="shared" si="3700"/>
        <v>157779.09829586346</v>
      </c>
      <c r="EB865" s="28">
        <f t="shared" si="3700"/>
        <v>165384.92423560264</v>
      </c>
      <c r="EC865" s="184">
        <f>EB865</f>
        <v>165384.92423560264</v>
      </c>
      <c r="ED865" s="28">
        <f t="shared" si="3701"/>
        <v>172367.04748460665</v>
      </c>
      <c r="EE865" s="28">
        <f t="shared" si="3701"/>
        <v>180667.9128808591</v>
      </c>
      <c r="EF865" s="184">
        <f>EE865</f>
        <v>180667.9128808591</v>
      </c>
      <c r="EG865" s="28">
        <f t="shared" si="3702"/>
        <v>188285.08773918549</v>
      </c>
      <c r="EH865" s="28">
        <f t="shared" si="3702"/>
        <v>197340.94953705696</v>
      </c>
      <c r="EI865" s="184">
        <f>EH865</f>
        <v>197340.94953705696</v>
      </c>
      <c r="EJ865" s="28">
        <f t="shared" si="3703"/>
        <v>205647.67503839341</v>
      </c>
      <c r="EK865" s="28">
        <f t="shared" si="3703"/>
        <v>215523.32572674923</v>
      </c>
      <c r="EL865" s="184">
        <f>EK865</f>
        <v>215523.32572674923</v>
      </c>
      <c r="EM865" s="28">
        <f t="shared" si="3704"/>
        <v>224578.45643713529</v>
      </c>
      <c r="EN865" s="28">
        <f t="shared" si="3704"/>
        <v>235343.86668438476</v>
      </c>
      <c r="EO865" s="184">
        <f>EN865</f>
        <v>235343.86668438476</v>
      </c>
      <c r="EP865" s="28">
        <f t="shared" si="3705"/>
        <v>245210.91463488303</v>
      </c>
      <c r="EQ865" s="28">
        <f t="shared" si="3705"/>
        <v>256941.59224890801</v>
      </c>
      <c r="ER865" s="184">
        <f>EQ865</f>
        <v>256941.59224890801</v>
      </c>
      <c r="ES865" s="28">
        <f t="shared" si="3706"/>
        <v>267689.04194375628</v>
      </c>
      <c r="ET865" s="28">
        <f t="shared" si="3707"/>
        <v>280466.40637694014</v>
      </c>
      <c r="EU865" s="184">
        <f>ET865</f>
        <v>280466.40637694014</v>
      </c>
      <c r="EV865" s="28">
        <f t="shared" si="3708"/>
        <v>292168.04187084665</v>
      </c>
      <c r="EW865" s="28">
        <f t="shared" si="3709"/>
        <v>306079.81307379465</v>
      </c>
      <c r="EX865" s="184">
        <f>EW865</f>
        <v>306079.81307379465</v>
      </c>
      <c r="EY865" s="28">
        <f t="shared" si="3710"/>
        <v>318815.05568430014</v>
      </c>
      <c r="EZ865" s="28">
        <f t="shared" si="3711"/>
        <v>333955.65560331539</v>
      </c>
      <c r="FA865" s="184">
        <f>EZ865</f>
        <v>333955.65560331539</v>
      </c>
      <c r="FH865" s="35"/>
      <c r="FI865" s="35"/>
      <c r="FJ865" s="35"/>
      <c r="FK865" s="35"/>
      <c r="FL865" s="35"/>
      <c r="FM865" s="35"/>
      <c r="FN865" s="35"/>
      <c r="FO865" s="35"/>
      <c r="FP865" s="35"/>
      <c r="FQ865" s="35"/>
    </row>
    <row r="866" spans="1:173" s="321" customFormat="1" hidden="1" outlineLevel="1">
      <c r="A866" s="1168"/>
      <c r="B866" s="186"/>
      <c r="C866" s="186" t="s">
        <v>431</v>
      </c>
      <c r="D866" s="910"/>
      <c r="E866" s="1"/>
      <c r="F866" s="1"/>
      <c r="G866" s="5"/>
      <c r="H866" s="1"/>
      <c r="I866" s="1"/>
      <c r="J866" s="5"/>
      <c r="K866" s="1"/>
      <c r="L866" s="1"/>
      <c r="M866" s="5"/>
      <c r="N866" s="1"/>
      <c r="O866" s="1"/>
      <c r="P866" s="5"/>
      <c r="Q866" s="1"/>
      <c r="R866" s="1"/>
      <c r="S866" s="5"/>
      <c r="T866" s="1"/>
      <c r="U866" s="1"/>
      <c r="V866" s="5"/>
      <c r="W866" s="1"/>
      <c r="X866" s="1"/>
      <c r="Y866" s="5"/>
      <c r="Z866" s="1"/>
      <c r="AA866" s="1"/>
      <c r="AB866" s="5"/>
      <c r="AC866" s="1"/>
      <c r="AD866" s="1"/>
      <c r="AE866" s="5"/>
      <c r="AF866" s="1"/>
      <c r="AG866" s="1"/>
      <c r="AH866" s="5"/>
      <c r="AI866" s="1"/>
      <c r="AJ866" s="1"/>
      <c r="AK866" s="5"/>
      <c r="AL866" s="1"/>
      <c r="AM866" s="1"/>
      <c r="AN866" s="5"/>
      <c r="AO866" s="1"/>
      <c r="AP866" s="1"/>
      <c r="AQ866" s="5"/>
      <c r="AR866" s="1"/>
      <c r="AS866" s="1"/>
      <c r="AT866" s="5"/>
      <c r="AU866" s="1"/>
      <c r="AV866" s="1"/>
      <c r="AW866" s="5"/>
      <c r="AX866" s="184">
        <f>(AX830*AX812*AX753)</f>
        <v>1852.3238445056627</v>
      </c>
      <c r="AY866" s="184">
        <f>AX866+(AY830*AY812*AY747)</f>
        <v>1939.3529005938278</v>
      </c>
      <c r="AZ866" s="184">
        <f>AY866</f>
        <v>1939.3529005938278</v>
      </c>
      <c r="BA866" s="28">
        <f t="shared" si="3674"/>
        <v>2163.0629634399388</v>
      </c>
      <c r="BB866" s="28">
        <f t="shared" si="3674"/>
        <v>2269.5802594934194</v>
      </c>
      <c r="BC866" s="58">
        <f>BB866</f>
        <v>2269.5802594934194</v>
      </c>
      <c r="BD866" s="28">
        <f t="shared" si="3675"/>
        <v>2548.4237752794334</v>
      </c>
      <c r="BE866" s="28">
        <f t="shared" si="3675"/>
        <v>2788.6508189715996</v>
      </c>
      <c r="BF866" s="58">
        <f>BE866</f>
        <v>2788.6508189715996</v>
      </c>
      <c r="BG866" s="28">
        <f t="shared" si="3676"/>
        <v>3056.97384749712</v>
      </c>
      <c r="BH866" s="28">
        <f t="shared" si="3676"/>
        <v>3422.4775513892741</v>
      </c>
      <c r="BI866" s="58">
        <f>BH866</f>
        <v>3422.4775513892741</v>
      </c>
      <c r="BJ866" s="110">
        <f t="shared" si="3677"/>
        <v>3749.6280076410862</v>
      </c>
      <c r="BK866" s="110">
        <f t="shared" si="3677"/>
        <v>4089.4263168364814</v>
      </c>
      <c r="BL866" s="111">
        <f>BK866</f>
        <v>4089.4263168364814</v>
      </c>
      <c r="BM866" s="110">
        <f t="shared" si="3678"/>
        <v>4431.4215270929599</v>
      </c>
      <c r="BN866" s="110">
        <f t="shared" si="3678"/>
        <v>4862.5100843804794</v>
      </c>
      <c r="BO866" s="111">
        <f>BN866</f>
        <v>4862.5100843804794</v>
      </c>
      <c r="BP866" s="110">
        <f t="shared" si="3679"/>
        <v>5302.8822815895919</v>
      </c>
      <c r="BQ866" s="110">
        <f t="shared" si="3679"/>
        <v>5761.8180867591072</v>
      </c>
      <c r="BR866" s="111">
        <f>BQ866</f>
        <v>5761.8180867591072</v>
      </c>
      <c r="BS866" s="28">
        <f t="shared" si="3680"/>
        <v>6299.7838705083705</v>
      </c>
      <c r="BT866" s="28">
        <f t="shared" si="3680"/>
        <v>6880.8819082899272</v>
      </c>
      <c r="BU866" s="184">
        <f>BT866</f>
        <v>6880.8819082899272</v>
      </c>
      <c r="BV866" s="28">
        <f t="shared" si="3681"/>
        <v>7459.0914658394631</v>
      </c>
      <c r="BW866" s="28">
        <f t="shared" si="3681"/>
        <v>8141.2942593019234</v>
      </c>
      <c r="BX866" s="184">
        <f>BW866</f>
        <v>8141.2942593019234</v>
      </c>
      <c r="BY866" s="28">
        <f t="shared" si="3682"/>
        <v>8696.7611898599516</v>
      </c>
      <c r="BZ866" s="28">
        <f t="shared" si="3682"/>
        <v>9422.4970289027642</v>
      </c>
      <c r="CA866" s="184">
        <f>BZ866</f>
        <v>9422.4970289027642</v>
      </c>
      <c r="CB866" s="28">
        <f t="shared" si="3683"/>
        <v>10034.28292320848</v>
      </c>
      <c r="CC866" s="28">
        <f t="shared" si="3683"/>
        <v>10914.266504904694</v>
      </c>
      <c r="CD866" s="184">
        <f>CC866</f>
        <v>10914.266504904694</v>
      </c>
      <c r="CE866" s="28">
        <f t="shared" si="3684"/>
        <v>11685.91831232153</v>
      </c>
      <c r="CF866" s="28">
        <f t="shared" si="3684"/>
        <v>12708.60549843125</v>
      </c>
      <c r="CG866" s="184">
        <f>CF866</f>
        <v>12708.60549843125</v>
      </c>
      <c r="CH866" s="28">
        <f t="shared" si="3685"/>
        <v>13561.193399138616</v>
      </c>
      <c r="CI866" s="28">
        <f t="shared" si="3685"/>
        <v>14550.459387959609</v>
      </c>
      <c r="CJ866" s="184">
        <f>CI866</f>
        <v>14550.459387959609</v>
      </c>
      <c r="CK866" s="28">
        <f t="shared" si="3686"/>
        <v>16324.973408810225</v>
      </c>
      <c r="CL866" s="28">
        <f t="shared" si="3686"/>
        <v>17816.349401154101</v>
      </c>
      <c r="CM866" s="184">
        <f>CL866</f>
        <v>17816.349401154101</v>
      </c>
      <c r="CN866" s="28">
        <f t="shared" si="3687"/>
        <v>18793.475102013115</v>
      </c>
      <c r="CO866" s="28">
        <f t="shared" si="3687"/>
        <v>20222.244604085037</v>
      </c>
      <c r="CP866" s="184">
        <f>CO866</f>
        <v>20222.244604085037</v>
      </c>
      <c r="CQ866" s="28">
        <f t="shared" si="3688"/>
        <v>20697.972140867281</v>
      </c>
      <c r="CR866" s="28">
        <f t="shared" si="3688"/>
        <v>21948.971594811377</v>
      </c>
      <c r="CS866" s="184">
        <f>CR866</f>
        <v>21948.971594811377</v>
      </c>
      <c r="CT866" s="28">
        <f t="shared" si="3689"/>
        <v>23356.219276837164</v>
      </c>
      <c r="CU866" s="28">
        <f t="shared" si="3689"/>
        <v>24494.458264455403</v>
      </c>
      <c r="CV866" s="184">
        <f>CU866</f>
        <v>24494.458264455403</v>
      </c>
      <c r="CW866" s="28">
        <f t="shared" si="3690"/>
        <v>25752.882330409546</v>
      </c>
      <c r="CX866" s="28">
        <f t="shared" si="3690"/>
        <v>26602.168820729847</v>
      </c>
      <c r="CY866" s="184">
        <f>CX866</f>
        <v>26602.168820729847</v>
      </c>
      <c r="CZ866" s="28">
        <f t="shared" si="3691"/>
        <v>27364.135231957582</v>
      </c>
      <c r="DA866" s="28">
        <f t="shared" si="3691"/>
        <v>28524.109079837115</v>
      </c>
      <c r="DB866" s="184">
        <f>DA866</f>
        <v>28524.109079837115</v>
      </c>
      <c r="DC866" s="28">
        <f t="shared" si="3692"/>
        <v>29466.172654499882</v>
      </c>
      <c r="DD866" s="28">
        <f t="shared" si="3692"/>
        <v>30475.019442056837</v>
      </c>
      <c r="DE866" s="184">
        <f>DD866</f>
        <v>30475.019442056837</v>
      </c>
      <c r="DF866" s="28">
        <f t="shared" si="3693"/>
        <v>31647.353288705584</v>
      </c>
      <c r="DG866" s="28">
        <f t="shared" si="3693"/>
        <v>32293.630293180777</v>
      </c>
      <c r="DH866" s="184">
        <f>DG866</f>
        <v>32293.630293180777</v>
      </c>
      <c r="DI866" s="28">
        <f t="shared" si="3694"/>
        <v>33741.316370182321</v>
      </c>
      <c r="DJ866" s="28">
        <f t="shared" si="3694"/>
        <v>35214.875051769501</v>
      </c>
      <c r="DK866" s="184">
        <f>DJ866</f>
        <v>35214.875051769501</v>
      </c>
      <c r="DL866" s="28">
        <f>DK866+(DL830*DL812*DL747)</f>
        <v>36747.737388796588</v>
      </c>
      <c r="DM866" s="28">
        <f t="shared" si="3695"/>
        <v>38372.05497591255</v>
      </c>
      <c r="DN866" s="184">
        <f>DM866</f>
        <v>38372.05497591255</v>
      </c>
      <c r="DO866" s="28">
        <f t="shared" si="3696"/>
        <v>40218.209954070844</v>
      </c>
      <c r="DP866" s="28">
        <f t="shared" si="3696"/>
        <v>42051.978015984387</v>
      </c>
      <c r="DQ866" s="184">
        <f>DP866</f>
        <v>42051.978015984387</v>
      </c>
      <c r="DR866" s="28">
        <f t="shared" si="3697"/>
        <v>43892.360342722415</v>
      </c>
      <c r="DS866" s="28">
        <f t="shared" si="3697"/>
        <v>45866.773512482469</v>
      </c>
      <c r="DT866" s="184">
        <f>DS866</f>
        <v>45866.773512482469</v>
      </c>
      <c r="DU866" s="28">
        <f t="shared" si="3698"/>
        <v>48271.199824353549</v>
      </c>
      <c r="DV866" s="28">
        <f t="shared" si="3698"/>
        <v>50600.584834076493</v>
      </c>
      <c r="DW866" s="184">
        <f>DV866</f>
        <v>50600.584834076493</v>
      </c>
      <c r="DX866" s="28">
        <f t="shared" si="3699"/>
        <v>52914.865074122834</v>
      </c>
      <c r="DY866" s="28">
        <f t="shared" si="3699"/>
        <v>55482.472422906634</v>
      </c>
      <c r="DZ866" s="184">
        <f>DY866</f>
        <v>55482.472422906634</v>
      </c>
      <c r="EA866" s="28">
        <f t="shared" si="3700"/>
        <v>58264.228427637114</v>
      </c>
      <c r="EB866" s="28">
        <f t="shared" si="3700"/>
        <v>61016.138441689429</v>
      </c>
      <c r="EC866" s="184">
        <f>EB866</f>
        <v>61016.138441689429</v>
      </c>
      <c r="ED866" s="28">
        <f t="shared" si="3701"/>
        <v>64052.098289237103</v>
      </c>
      <c r="EE866" s="28">
        <f t="shared" si="3701"/>
        <v>67055.484744598289</v>
      </c>
      <c r="EF866" s="184">
        <f>EE866</f>
        <v>67055.484744598289</v>
      </c>
      <c r="EG866" s="28">
        <f t="shared" si="3702"/>
        <v>70367.577097727029</v>
      </c>
      <c r="EH866" s="28">
        <f t="shared" si="3702"/>
        <v>73644.133380356201</v>
      </c>
      <c r="EI866" s="184">
        <f>EH866</f>
        <v>73644.133380356201</v>
      </c>
      <c r="EJ866" s="28">
        <f t="shared" si="3703"/>
        <v>77256.055454383633</v>
      </c>
      <c r="EK866" s="28">
        <f t="shared" si="3703"/>
        <v>80829.224527656028</v>
      </c>
      <c r="EL866" s="184">
        <f>EK866</f>
        <v>80829.224527656028</v>
      </c>
      <c r="EM866" s="28">
        <f t="shared" si="3704"/>
        <v>84766.567406120608</v>
      </c>
      <c r="EN866" s="28">
        <f t="shared" si="3704"/>
        <v>88661.665781958945</v>
      </c>
      <c r="EO866" s="184">
        <f>EN866</f>
        <v>88661.665781958945</v>
      </c>
      <c r="EP866" s="28">
        <f t="shared" si="3705"/>
        <v>92952.045702681979</v>
      </c>
      <c r="EQ866" s="28">
        <f t="shared" si="3705"/>
        <v>97196.393319025359</v>
      </c>
      <c r="ER866" s="184">
        <f>EQ866</f>
        <v>97196.393319025359</v>
      </c>
      <c r="ES866" s="28">
        <f t="shared" si="3706"/>
        <v>101869.5886456407</v>
      </c>
      <c r="ET866" s="28">
        <f t="shared" si="3707"/>
        <v>106492.64436838057</v>
      </c>
      <c r="EU866" s="184">
        <f>ET866</f>
        <v>106492.64436838057</v>
      </c>
      <c r="EV866" s="28">
        <f t="shared" si="3708"/>
        <v>111580.73780975695</v>
      </c>
      <c r="EW866" s="28">
        <f t="shared" si="3709"/>
        <v>116614.24012626013</v>
      </c>
      <c r="EX866" s="184">
        <f>EW866</f>
        <v>116614.24012626013</v>
      </c>
      <c r="EY866" s="28">
        <f t="shared" si="3710"/>
        <v>122151.76558025269</v>
      </c>
      <c r="EZ866" s="28">
        <f t="shared" si="3711"/>
        <v>127629.87786759836</v>
      </c>
      <c r="FA866" s="184">
        <f>EZ866</f>
        <v>127629.87786759836</v>
      </c>
      <c r="FH866" s="35"/>
      <c r="FI866" s="35"/>
      <c r="FJ866" s="35"/>
      <c r="FK866" s="35"/>
      <c r="FL866" s="35"/>
      <c r="FM866" s="35"/>
      <c r="FN866" s="35"/>
      <c r="FO866" s="35"/>
      <c r="FP866" s="35"/>
      <c r="FQ866" s="35"/>
    </row>
    <row r="867" spans="1:173" s="321" customFormat="1" hidden="1" outlineLevel="1">
      <c r="A867" s="1168"/>
      <c r="B867" s="186"/>
      <c r="C867" s="186" t="s">
        <v>327</v>
      </c>
      <c r="D867" s="910"/>
      <c r="E867" s="1"/>
      <c r="F867" s="1"/>
      <c r="G867" s="5"/>
      <c r="H867" s="1"/>
      <c r="I867" s="1"/>
      <c r="J867" s="5"/>
      <c r="K867" s="1"/>
      <c r="L867" s="1"/>
      <c r="M867" s="5"/>
      <c r="N867" s="1"/>
      <c r="O867" s="1"/>
      <c r="P867" s="5"/>
      <c r="Q867" s="1"/>
      <c r="R867" s="1"/>
      <c r="S867" s="5"/>
      <c r="T867" s="1"/>
      <c r="U867" s="1"/>
      <c r="V867" s="5"/>
      <c r="W867" s="1"/>
      <c r="X867" s="1"/>
      <c r="Y867" s="5"/>
      <c r="Z867" s="1"/>
      <c r="AA867" s="1"/>
      <c r="AB867" s="5"/>
      <c r="AC867" s="1"/>
      <c r="AD867" s="1"/>
      <c r="AE867" s="5"/>
      <c r="AF867" s="1"/>
      <c r="AG867" s="1"/>
      <c r="AH867" s="5"/>
      <c r="AI867" s="1"/>
      <c r="AJ867" s="1"/>
      <c r="AK867" s="5"/>
      <c r="AL867" s="1"/>
      <c r="AM867" s="1"/>
      <c r="AN867" s="5"/>
      <c r="AO867" s="1"/>
      <c r="AP867" s="1"/>
      <c r="AQ867" s="5"/>
      <c r="AR867" s="1"/>
      <c r="AS867" s="1"/>
      <c r="AT867" s="5"/>
      <c r="AU867" s="1"/>
      <c r="AV867" s="1"/>
      <c r="AW867" s="5"/>
      <c r="AX867" s="184">
        <f>SUM(AX864:AX866)</f>
        <v>13848.563408981592</v>
      </c>
      <c r="AY867" s="184">
        <f>SUM(AY864:AY866)</f>
        <v>15347.933245634971</v>
      </c>
      <c r="AZ867" s="184">
        <f>SUM(AZ864:AZ866)</f>
        <v>15347.933245634971</v>
      </c>
      <c r="BA867" s="28">
        <f>SUM(BA864:BA866)</f>
        <v>16946.085752540606</v>
      </c>
      <c r="BB867" s="28">
        <f>SUM(BB864:BB866)</f>
        <v>18781.206434794971</v>
      </c>
      <c r="BC867" s="58">
        <f>BB867</f>
        <v>18781.206434794971</v>
      </c>
      <c r="BD867" s="28">
        <f>SUM(BD864:BD866)</f>
        <v>20706.398305129333</v>
      </c>
      <c r="BE867" s="28">
        <f>SUM(BE864:BE866)</f>
        <v>23001.96723375313</v>
      </c>
      <c r="BF867" s="58">
        <f>BE867</f>
        <v>23001.96723375313</v>
      </c>
      <c r="BG867" s="28">
        <f>SUM(BG864:BG866)</f>
        <v>25182.224328294233</v>
      </c>
      <c r="BH867" s="28">
        <f>SUM(BH864:BH866)</f>
        <v>27681.578318541797</v>
      </c>
      <c r="BI867" s="58">
        <f>BH867</f>
        <v>27681.578318541797</v>
      </c>
      <c r="BJ867" s="110">
        <f>SUM(BJ864:BJ866)</f>
        <v>29960.700879981978</v>
      </c>
      <c r="BK867" s="110">
        <f>SUM(BK864:BK866)</f>
        <v>32734.406131705855</v>
      </c>
      <c r="BL867" s="111">
        <f>BK867</f>
        <v>32734.406131705855</v>
      </c>
      <c r="BM867" s="110">
        <f>SUM(BM864:BM866)</f>
        <v>35555.974373273595</v>
      </c>
      <c r="BN867" s="110">
        <f>SUM(BN864:BN866)</f>
        <v>38782.212506454161</v>
      </c>
      <c r="BO867" s="111">
        <f>BN867</f>
        <v>38782.212506454161</v>
      </c>
      <c r="BP867" s="110">
        <f>SUM(BP864:BP866)</f>
        <v>42511.379483768025</v>
      </c>
      <c r="BQ867" s="110">
        <f>SUM(BQ864:BQ866)</f>
        <v>46130.302363957191</v>
      </c>
      <c r="BR867" s="111">
        <f>BQ867</f>
        <v>46130.302363957191</v>
      </c>
      <c r="BS867" s="28">
        <f>SUM(BS864:BS866)</f>
        <v>50732.552258323842</v>
      </c>
      <c r="BT867" s="28">
        <f>SUM(BT864:BT866)</f>
        <v>55338.60339313907</v>
      </c>
      <c r="BU867" s="184">
        <f>BT867</f>
        <v>55338.60339313907</v>
      </c>
      <c r="BV867" s="28">
        <f>SUM(BV864:BV866)</f>
        <v>60591.651770856697</v>
      </c>
      <c r="BW867" s="28">
        <f>SUM(BW864:BW866)</f>
        <v>65965.262116030441</v>
      </c>
      <c r="BX867" s="184">
        <f>BW867</f>
        <v>65965.262116030441</v>
      </c>
      <c r="BY867" s="28">
        <f>SUM(BY864:BY866)</f>
        <v>71415.422922966172</v>
      </c>
      <c r="BZ867" s="28">
        <f>SUM(BZ864:BZ866)</f>
        <v>76915.630333934925</v>
      </c>
      <c r="CA867" s="184">
        <f>BZ867</f>
        <v>76915.630333934925</v>
      </c>
      <c r="CB867" s="28">
        <f>SUM(CB864:CB866)</f>
        <v>82808.730611600942</v>
      </c>
      <c r="CC867" s="28">
        <f>SUM(CC864:CC866)</f>
        <v>89469.525258321402</v>
      </c>
      <c r="CD867" s="184">
        <f>CC867</f>
        <v>89469.525258321402</v>
      </c>
      <c r="CE867" s="28">
        <f>SUM(CE864:CE866)</f>
        <v>96573.080172424481</v>
      </c>
      <c r="CF867" s="28">
        <f>SUM(CF864:CF866)</f>
        <v>104308.30590945706</v>
      </c>
      <c r="CG867" s="184">
        <f>CF867</f>
        <v>104308.30590945706</v>
      </c>
      <c r="CH867" s="28">
        <f>SUM(CH864:CH866)</f>
        <v>110779.2710790471</v>
      </c>
      <c r="CI867" s="28">
        <f>SUM(CI864:CI866)</f>
        <v>118261.71130263874</v>
      </c>
      <c r="CJ867" s="184">
        <f>CI867</f>
        <v>118261.71130263874</v>
      </c>
      <c r="CK867" s="28">
        <f>SUM(CK864:CK866)</f>
        <v>126300.11072897309</v>
      </c>
      <c r="CL867" s="28">
        <f>SUM(CL864:CL866)</f>
        <v>134014.83084692986</v>
      </c>
      <c r="CM867" s="184">
        <f>CL867</f>
        <v>134014.83084692986</v>
      </c>
      <c r="CN867" s="28">
        <f>SUM(CN864:CN866)</f>
        <v>141178.85821131119</v>
      </c>
      <c r="CO867" s="28">
        <f>SUM(CO864:CO866)</f>
        <v>149810.22921115582</v>
      </c>
      <c r="CP867" s="184">
        <f>CO867</f>
        <v>149810.22921115582</v>
      </c>
      <c r="CQ867" s="28">
        <f>SUM(CQ864:CQ866)</f>
        <v>157247.01257383925</v>
      </c>
      <c r="CR867" s="28">
        <f>SUM(CR864:CR866)</f>
        <v>166598.87121538361</v>
      </c>
      <c r="CS867" s="184">
        <f>CR867</f>
        <v>166598.87121538361</v>
      </c>
      <c r="CT867" s="28">
        <f>SUM(CT864:CT866)</f>
        <v>175713.97311641075</v>
      </c>
      <c r="CU867" s="28">
        <f>SUM(CU864:CU866)</f>
        <v>185347.8986215636</v>
      </c>
      <c r="CV867" s="184">
        <f>CU867</f>
        <v>185347.8986215636</v>
      </c>
      <c r="CW867" s="28">
        <f>SUM(CW864:CW866)</f>
        <v>195592.92071346298</v>
      </c>
      <c r="CX867" s="28">
        <f>SUM(CX864:CX866)</f>
        <v>206005.53505029969</v>
      </c>
      <c r="CY867" s="184">
        <f>CX867</f>
        <v>206005.53505029969</v>
      </c>
      <c r="CZ867" s="28">
        <f>SUM(CZ864:CZ866)</f>
        <v>216385.07478000672</v>
      </c>
      <c r="DA867" s="28">
        <f>SUM(DA864:DA866)</f>
        <v>228641.13408329332</v>
      </c>
      <c r="DB867" s="184">
        <f>DA867</f>
        <v>228641.13408329332</v>
      </c>
      <c r="DC867" s="28">
        <f>SUM(DC864:DC866)</f>
        <v>239472.42930319274</v>
      </c>
      <c r="DD867" s="28">
        <f>SUM(DD864:DD866)</f>
        <v>250551.68344833941</v>
      </c>
      <c r="DE867" s="184">
        <f>DD867</f>
        <v>250551.68344833941</v>
      </c>
      <c r="DF867" s="28">
        <f>SUM(DF864:DF866)</f>
        <v>262777.33513279067</v>
      </c>
      <c r="DG867" s="28">
        <f>SUM(DG864:DG866)</f>
        <v>271011.31444515497</v>
      </c>
      <c r="DH867" s="184">
        <f>DG867</f>
        <v>271011.31444515497</v>
      </c>
      <c r="DI867" s="28">
        <f>SUM(DI864:DI866)</f>
        <v>282173.9881977436</v>
      </c>
      <c r="DJ867" s="28">
        <f>SUM(DJ864:DJ866)</f>
        <v>294383.73473200423</v>
      </c>
      <c r="DK867" s="184">
        <f>DJ867</f>
        <v>294383.73473200423</v>
      </c>
      <c r="DL867" s="28">
        <f>SUM(DL864:DL866)</f>
        <v>306325.43101131561</v>
      </c>
      <c r="DM867" s="28">
        <f>SUM(DM864:DM866)</f>
        <v>318892.19899434946</v>
      </c>
      <c r="DN867" s="184">
        <f>DM867</f>
        <v>318892.19899434946</v>
      </c>
      <c r="DO867" s="28">
        <f>SUM(DO864:DO866)</f>
        <v>332603.30077746575</v>
      </c>
      <c r="DP867" s="28">
        <f>SUM(DP864:DP866)</f>
        <v>347437.97053456737</v>
      </c>
      <c r="DQ867" s="184">
        <f>DP867</f>
        <v>347437.97053456737</v>
      </c>
      <c r="DR867" s="28">
        <f>SUM(DR864:DR866)</f>
        <v>363239.19207932497</v>
      </c>
      <c r="DS867" s="28">
        <f>SUM(DS864:DS866)</f>
        <v>378668.2084652296</v>
      </c>
      <c r="DT867" s="184">
        <f>DS867</f>
        <v>378668.2084652296</v>
      </c>
      <c r="DU867" s="28">
        <f>SUM(DU864:DU866)</f>
        <v>395080.93046675186</v>
      </c>
      <c r="DV867" s="28">
        <f>SUM(DV864:DV866)</f>
        <v>413582.10338395927</v>
      </c>
      <c r="DW867" s="184">
        <f>DV867</f>
        <v>413582.10338395927</v>
      </c>
      <c r="DX867" s="28">
        <f>SUM(DX864:DX866)</f>
        <v>431183.66356384975</v>
      </c>
      <c r="DY867" s="28">
        <f>SUM(DY864:DY866)</f>
        <v>451576.92073046637</v>
      </c>
      <c r="DZ867" s="184">
        <f>DY867</f>
        <v>451576.92073046637</v>
      </c>
      <c r="EA867" s="28">
        <f>SUM(EA864:EA866)</f>
        <v>472733.9288039807</v>
      </c>
      <c r="EB867" s="28">
        <f>SUM(EB864:EB866)</f>
        <v>494591.01245913492</v>
      </c>
      <c r="EC867" s="184">
        <f>EB867</f>
        <v>494591.01245913492</v>
      </c>
      <c r="ED867" s="28">
        <f>SUM(ED864:ED866)</f>
        <v>517681.40101089969</v>
      </c>
      <c r="EE867" s="28">
        <f>SUM(EE864:EE866)</f>
        <v>541535.83980736346</v>
      </c>
      <c r="EF867" s="184">
        <f>EE867</f>
        <v>541535.83980736346</v>
      </c>
      <c r="EG867" s="28">
        <f>SUM(EG864:EG866)</f>
        <v>566726.39014183078</v>
      </c>
      <c r="EH867" s="28">
        <f>SUM(EH864:EH866)</f>
        <v>592750.4841000447</v>
      </c>
      <c r="EI867" s="184">
        <f>EH867</f>
        <v>592750.4841000447</v>
      </c>
      <c r="EJ867" s="28">
        <f>SUM(EJ864:EJ866)</f>
        <v>620221.42847875808</v>
      </c>
      <c r="EK867" s="28">
        <f>SUM(EK864:EK866)</f>
        <v>648601.37366218376</v>
      </c>
      <c r="EL867" s="184">
        <f>EK867</f>
        <v>648601.37366218376</v>
      </c>
      <c r="EM867" s="28">
        <f>SUM(EM864:EM866)</f>
        <v>678547.34840842697</v>
      </c>
      <c r="EN867" s="28">
        <f>SUM(EN864:EN866)</f>
        <v>709484.22156598652</v>
      </c>
      <c r="EO867" s="184">
        <f>EN867</f>
        <v>709484.22156598652</v>
      </c>
      <c r="EP867" s="28">
        <f>SUM(EP864:EP866)</f>
        <v>742115.2655780497</v>
      </c>
      <c r="EQ867" s="28">
        <f>SUM(EQ864:EQ866)</f>
        <v>775826.05569773284</v>
      </c>
      <c r="ER867" s="184">
        <f>EQ867</f>
        <v>775826.05569773284</v>
      </c>
      <c r="ES867" s="28">
        <f>SUM(ES864:ES866)</f>
        <v>811368.65220374451</v>
      </c>
      <c r="ET867" s="28">
        <f>SUM(ET864:ET866)</f>
        <v>848087.33673862473</v>
      </c>
      <c r="EU867" s="184">
        <f>ET867</f>
        <v>848087.33673862473</v>
      </c>
      <c r="EV867" s="28">
        <f>SUM(EV864:EV866)</f>
        <v>886785.49496491579</v>
      </c>
      <c r="EW867" s="28">
        <f>SUM(EW864:EW866)</f>
        <v>926764.15729341866</v>
      </c>
      <c r="EX867" s="184">
        <f>EW867</f>
        <v>926764.15729341866</v>
      </c>
      <c r="EY867" s="28">
        <f>SUM(EY864:EY866)</f>
        <v>968880.52930382546</v>
      </c>
      <c r="EZ867" s="28">
        <f>SUM(EZ864:EZ866)</f>
        <v>1012390.5125247254</v>
      </c>
      <c r="FA867" s="184">
        <f>EZ867</f>
        <v>1012390.5125247254</v>
      </c>
      <c r="FH867" s="35"/>
      <c r="FI867" s="35"/>
      <c r="FJ867" s="35"/>
      <c r="FK867" s="35"/>
      <c r="FL867" s="35"/>
      <c r="FM867" s="35"/>
      <c r="FN867" s="35"/>
      <c r="FO867" s="35"/>
      <c r="FP867" s="35"/>
      <c r="FQ867" s="35"/>
    </row>
    <row r="868" spans="1:173" s="321" customFormat="1" hidden="1" outlineLevel="1">
      <c r="A868" s="1168"/>
      <c r="B868" s="186"/>
      <c r="C868" s="186"/>
      <c r="D868" s="910"/>
      <c r="E868" s="1"/>
      <c r="F868" s="1"/>
      <c r="G868" s="5"/>
      <c r="H868" s="1"/>
      <c r="I868" s="1"/>
      <c r="J868" s="5"/>
      <c r="K868" s="1"/>
      <c r="L868" s="1"/>
      <c r="M868" s="5"/>
      <c r="N868" s="1"/>
      <c r="O868" s="1"/>
      <c r="P868" s="5"/>
      <c r="Q868" s="1"/>
      <c r="R868" s="1"/>
      <c r="S868" s="5"/>
      <c r="T868" s="1"/>
      <c r="U868" s="1"/>
      <c r="V868" s="5"/>
      <c r="W868" s="1"/>
      <c r="X868" s="1"/>
      <c r="Y868" s="5"/>
      <c r="Z868" s="1"/>
      <c r="AA868" s="1"/>
      <c r="AB868" s="5"/>
      <c r="AC868" s="1"/>
      <c r="AD868" s="1"/>
      <c r="AE868" s="5"/>
      <c r="AF868" s="1"/>
      <c r="AG868" s="1"/>
      <c r="AH868" s="5"/>
      <c r="AI868" s="1"/>
      <c r="AJ868" s="1"/>
      <c r="AK868" s="5"/>
      <c r="AL868" s="1"/>
      <c r="AM868" s="1"/>
      <c r="AN868" s="5"/>
      <c r="AO868" s="1"/>
      <c r="AP868" s="1"/>
      <c r="AQ868" s="5"/>
      <c r="AR868" s="1"/>
      <c r="AS868" s="1"/>
      <c r="AT868" s="5"/>
      <c r="AU868" s="1"/>
      <c r="AV868" s="1"/>
      <c r="AW868" s="5"/>
      <c r="AX868" s="3"/>
      <c r="AY868" s="3"/>
      <c r="AZ868" s="2"/>
      <c r="BA868" s="3"/>
      <c r="BB868" s="3"/>
      <c r="BC868" s="973"/>
      <c r="BD868" s="3"/>
      <c r="BE868" s="3"/>
      <c r="BF868" s="982"/>
      <c r="BG868" s="29"/>
      <c r="BH868" s="29"/>
      <c r="BI868" s="982"/>
      <c r="BJ868" s="112"/>
      <c r="BK868" s="112"/>
      <c r="BL868" s="113"/>
      <c r="BM868" s="112"/>
      <c r="BN868" s="112"/>
      <c r="BO868" s="113"/>
      <c r="BP868" s="112"/>
      <c r="BQ868" s="112"/>
      <c r="BR868" s="113"/>
      <c r="BS868" s="29"/>
      <c r="BT868" s="29"/>
      <c r="BU868" s="194"/>
      <c r="BV868" s="29"/>
      <c r="BW868" s="29"/>
      <c r="BX868" s="194"/>
      <c r="BY868" s="29"/>
      <c r="BZ868" s="29"/>
      <c r="CA868" s="194"/>
      <c r="CB868" s="29"/>
      <c r="CC868" s="29"/>
      <c r="CD868" s="194"/>
      <c r="CE868" s="8"/>
      <c r="CF868" s="8"/>
      <c r="CG868" s="187"/>
      <c r="CH868" s="8"/>
      <c r="CI868" s="8"/>
      <c r="CJ868" s="187"/>
      <c r="CK868" s="8"/>
      <c r="CL868" s="8"/>
      <c r="CM868" s="187"/>
      <c r="CN868" s="8"/>
      <c r="CO868" s="8"/>
      <c r="CP868" s="187"/>
      <c r="CQ868" s="8"/>
      <c r="CR868" s="8"/>
      <c r="CS868" s="187"/>
      <c r="CT868" s="8"/>
      <c r="CU868" s="8"/>
      <c r="CV868" s="187"/>
      <c r="CW868" s="8"/>
      <c r="CX868" s="8"/>
      <c r="CY868" s="187"/>
      <c r="CZ868" s="8"/>
      <c r="DA868" s="8"/>
      <c r="DB868" s="187"/>
      <c r="DC868" s="8"/>
      <c r="DD868" s="8"/>
      <c r="DE868" s="187"/>
      <c r="DF868" s="8"/>
      <c r="DG868" s="8"/>
      <c r="DH868" s="187"/>
      <c r="DI868" s="8"/>
      <c r="DJ868" s="8"/>
      <c r="DK868" s="187"/>
      <c r="DL868" s="8"/>
      <c r="DM868" s="8"/>
      <c r="DN868" s="187"/>
      <c r="DO868" s="8"/>
      <c r="DP868" s="8"/>
      <c r="DQ868" s="187"/>
      <c r="DR868" s="8"/>
      <c r="DS868" s="8"/>
      <c r="DT868" s="187"/>
      <c r="DU868" s="8"/>
      <c r="DV868" s="8"/>
      <c r="DW868" s="187"/>
      <c r="DX868" s="8"/>
      <c r="DY868" s="8"/>
      <c r="DZ868" s="187"/>
      <c r="EA868" s="8"/>
      <c r="EB868" s="8"/>
      <c r="EC868" s="187"/>
      <c r="ED868" s="8"/>
      <c r="EE868" s="8"/>
      <c r="EF868" s="187"/>
      <c r="EG868" s="8"/>
      <c r="EH868" s="8"/>
      <c r="EI868" s="187"/>
      <c r="EJ868" s="8"/>
      <c r="EK868" s="8"/>
      <c r="EL868" s="187"/>
      <c r="EM868" s="8"/>
      <c r="EN868" s="8"/>
      <c r="EO868" s="187"/>
      <c r="EP868" s="8"/>
      <c r="EQ868" s="8"/>
      <c r="ER868" s="187"/>
      <c r="ES868" s="8"/>
      <c r="ET868" s="8"/>
      <c r="EU868" s="187"/>
      <c r="EV868" s="8"/>
      <c r="EW868" s="8"/>
      <c r="EX868" s="187"/>
      <c r="EY868" s="8"/>
      <c r="EZ868" s="8"/>
      <c r="FA868" s="187"/>
      <c r="FH868" s="35"/>
      <c r="FI868" s="35"/>
      <c r="FJ868" s="35"/>
      <c r="FK868" s="35"/>
      <c r="FL868" s="35"/>
      <c r="FM868" s="35"/>
      <c r="FN868" s="35"/>
      <c r="FO868" s="35"/>
      <c r="FP868" s="35"/>
      <c r="FQ868" s="35"/>
    </row>
    <row r="869" spans="1:173" s="321" customFormat="1" hidden="1" outlineLevel="1">
      <c r="A869" s="1168"/>
      <c r="B869" s="186"/>
      <c r="C869" s="331" t="s">
        <v>193</v>
      </c>
      <c r="D869" s="910"/>
      <c r="E869" s="1"/>
      <c r="F869" s="1"/>
      <c r="G869" s="5"/>
      <c r="H869" s="1"/>
      <c r="I869" s="1"/>
      <c r="J869" s="5"/>
      <c r="K869" s="1"/>
      <c r="L869" s="1"/>
      <c r="M869" s="5"/>
      <c r="N869" s="1"/>
      <c r="O869" s="1"/>
      <c r="P869" s="5"/>
      <c r="Q869" s="1"/>
      <c r="R869" s="1"/>
      <c r="S869" s="5"/>
      <c r="T869" s="1"/>
      <c r="U869" s="1"/>
      <c r="V869" s="5"/>
      <c r="W869" s="1"/>
      <c r="X869" s="1"/>
      <c r="Y869" s="5"/>
      <c r="Z869" s="1"/>
      <c r="AA869" s="1"/>
      <c r="AB869" s="5"/>
      <c r="AC869" s="1"/>
      <c r="AD869" s="1"/>
      <c r="AE869" s="5"/>
      <c r="AF869" s="1"/>
      <c r="AG869" s="1"/>
      <c r="AH869" s="5"/>
      <c r="AI869" s="1"/>
      <c r="AJ869" s="1"/>
      <c r="AK869" s="5"/>
      <c r="AL869" s="1"/>
      <c r="AM869" s="1"/>
      <c r="AN869" s="5"/>
      <c r="AO869" s="1"/>
      <c r="AP869" s="1"/>
      <c r="AQ869" s="5"/>
      <c r="AR869" s="1"/>
      <c r="AS869" s="1"/>
      <c r="AT869" s="5"/>
      <c r="AU869" s="1"/>
      <c r="AV869" s="1"/>
      <c r="AW869" s="5"/>
      <c r="AX869" s="3"/>
      <c r="AY869" s="3"/>
      <c r="AZ869" s="2"/>
      <c r="BA869" s="3"/>
      <c r="BB869" s="3"/>
      <c r="BC869" s="973"/>
      <c r="BD869" s="3"/>
      <c r="BE869" s="3"/>
      <c r="BF869" s="973"/>
      <c r="BG869" s="3"/>
      <c r="BH869" s="3"/>
      <c r="BI869" s="978"/>
      <c r="BJ869" s="115"/>
      <c r="BK869" s="115"/>
      <c r="BL869" s="116"/>
      <c r="BM869" s="115"/>
      <c r="BN869" s="115"/>
      <c r="BO869" s="116"/>
      <c r="BP869" s="115"/>
      <c r="BQ869" s="115"/>
      <c r="BR869" s="116"/>
      <c r="BS869" s="8"/>
      <c r="BT869" s="8"/>
      <c r="BU869" s="187"/>
      <c r="BV869" s="8"/>
      <c r="BW869" s="8"/>
      <c r="BX869" s="187"/>
      <c r="BY869" s="8"/>
      <c r="BZ869" s="8"/>
      <c r="CA869" s="187"/>
      <c r="CB869" s="8"/>
      <c r="CC869" s="8"/>
      <c r="CD869" s="187"/>
      <c r="CE869" s="8"/>
      <c r="CF869" s="8"/>
      <c r="CG869" s="187"/>
      <c r="CH869" s="8"/>
      <c r="CI869" s="8"/>
      <c r="CJ869" s="187"/>
      <c r="CK869" s="8"/>
      <c r="CL869" s="8"/>
      <c r="CM869" s="187"/>
      <c r="CN869" s="8"/>
      <c r="CO869" s="8"/>
      <c r="CP869" s="187"/>
      <c r="CQ869" s="8"/>
      <c r="CR869" s="8"/>
      <c r="CS869" s="187"/>
      <c r="CT869" s="8"/>
      <c r="CU869" s="8"/>
      <c r="CV869" s="187"/>
      <c r="CW869" s="8"/>
      <c r="CX869" s="8"/>
      <c r="CY869" s="187"/>
      <c r="CZ869" s="8"/>
      <c r="DA869" s="8"/>
      <c r="DB869" s="187"/>
      <c r="DC869" s="8"/>
      <c r="DD869" s="8"/>
      <c r="DE869" s="187"/>
      <c r="DF869" s="8"/>
      <c r="DG869" s="8"/>
      <c r="DH869" s="187"/>
      <c r="DI869" s="8"/>
      <c r="DJ869" s="8"/>
      <c r="DK869" s="187"/>
      <c r="DL869" s="8"/>
      <c r="DM869" s="8"/>
      <c r="DN869" s="187"/>
      <c r="DO869" s="8"/>
      <c r="DP869" s="8"/>
      <c r="DQ869" s="187"/>
      <c r="DR869" s="8"/>
      <c r="DS869" s="8"/>
      <c r="DT869" s="187"/>
      <c r="DU869" s="8"/>
      <c r="DV869" s="8"/>
      <c r="DW869" s="187"/>
      <c r="DX869" s="8"/>
      <c r="DY869" s="8"/>
      <c r="DZ869" s="187"/>
      <c r="EA869" s="8"/>
      <c r="EB869" s="8"/>
      <c r="EC869" s="187"/>
      <c r="ED869" s="8"/>
      <c r="EE869" s="8"/>
      <c r="EF869" s="187"/>
      <c r="EG869" s="8"/>
      <c r="EH869" s="8"/>
      <c r="EI869" s="187"/>
      <c r="EJ869" s="8"/>
      <c r="EK869" s="8"/>
      <c r="EL869" s="187"/>
      <c r="EM869" s="8"/>
      <c r="EN869" s="8"/>
      <c r="EO869" s="187"/>
      <c r="EP869" s="8"/>
      <c r="EQ869" s="8"/>
      <c r="ER869" s="187"/>
      <c r="ES869" s="8"/>
      <c r="ET869" s="8"/>
      <c r="EU869" s="187"/>
      <c r="EV869" s="8"/>
      <c r="EW869" s="8"/>
      <c r="EX869" s="187"/>
      <c r="EY869" s="8"/>
      <c r="EZ869" s="8"/>
      <c r="FA869" s="187"/>
      <c r="FH869" s="35"/>
      <c r="FI869" s="35"/>
      <c r="FJ869" s="35"/>
      <c r="FK869" s="35"/>
      <c r="FL869" s="35"/>
      <c r="FM869" s="35"/>
      <c r="FN869" s="35"/>
      <c r="FO869" s="35"/>
      <c r="FP869" s="35"/>
      <c r="FQ869" s="35"/>
    </row>
    <row r="870" spans="1:173" s="321" customFormat="1" hidden="1" outlineLevel="1">
      <c r="A870" s="1168"/>
      <c r="B870" s="186"/>
      <c r="C870" s="186" t="s">
        <v>316</v>
      </c>
      <c r="D870" s="910"/>
      <c r="E870" s="1"/>
      <c r="F870" s="1"/>
      <c r="G870" s="5"/>
      <c r="H870" s="1"/>
      <c r="I870" s="1"/>
      <c r="J870" s="5"/>
      <c r="K870" s="1"/>
      <c r="L870" s="1"/>
      <c r="M870" s="5"/>
      <c r="N870" s="1"/>
      <c r="O870" s="1"/>
      <c r="P870" s="5"/>
      <c r="Q870" s="1"/>
      <c r="R870" s="1"/>
      <c r="S870" s="5"/>
      <c r="T870" s="1"/>
      <c r="U870" s="1"/>
      <c r="V870" s="5"/>
      <c r="W870" s="1"/>
      <c r="X870" s="1"/>
      <c r="Y870" s="5"/>
      <c r="Z870" s="1"/>
      <c r="AA870" s="1"/>
      <c r="AB870" s="5"/>
      <c r="AC870" s="1"/>
      <c r="AD870" s="1"/>
      <c r="AE870" s="5"/>
      <c r="AF870" s="1"/>
      <c r="AG870" s="1"/>
      <c r="AH870" s="5"/>
      <c r="AI870" s="1"/>
      <c r="AJ870" s="1"/>
      <c r="AK870" s="5"/>
      <c r="AL870" s="1"/>
      <c r="AM870" s="1"/>
      <c r="AN870" s="5"/>
      <c r="AO870" s="1"/>
      <c r="AP870" s="1"/>
      <c r="AQ870" s="5"/>
      <c r="AR870" s="1"/>
      <c r="AS870" s="1"/>
      <c r="AT870" s="5"/>
      <c r="AU870" s="1"/>
      <c r="AV870" s="1"/>
      <c r="AW870" s="5"/>
      <c r="AX870" s="184">
        <f>(AX834*AX810*AX751)</f>
        <v>109.79871441689623</v>
      </c>
      <c r="AY870" s="184">
        <f>AX870+(AY745*AY810*AY834)</f>
        <v>122.02402691689623</v>
      </c>
      <c r="AZ870" s="184">
        <f>AY870</f>
        <v>122.02402691689623</v>
      </c>
      <c r="BA870" s="28">
        <f t="shared" ref="BA870:BB872" si="3712">AZ870+(BA745*BA810*BA834)</f>
        <v>134.10752579189622</v>
      </c>
      <c r="BB870" s="28">
        <f t="shared" si="3712"/>
        <v>149.64345291689622</v>
      </c>
      <c r="BC870" s="58">
        <f>BB870</f>
        <v>149.64345291689622</v>
      </c>
      <c r="BD870" s="28">
        <f t="shared" ref="BD870:BE872" si="3713">BC870+(BD745*BD810*BD834)</f>
        <v>164.35934202181497</v>
      </c>
      <c r="BE870" s="28">
        <f t="shared" si="3713"/>
        <v>182.4895340581277</v>
      </c>
      <c r="BF870" s="58">
        <f>BE870</f>
        <v>182.4895340581277</v>
      </c>
      <c r="BG870" s="28">
        <f t="shared" ref="BG870:BH872" si="3714">BF870+(BG745*BG810*BG834)</f>
        <v>201.32406416033368</v>
      </c>
      <c r="BH870" s="28">
        <f t="shared" si="3714"/>
        <v>221.70546819549381</v>
      </c>
      <c r="BI870" s="58">
        <f>BH870</f>
        <v>221.70546819549381</v>
      </c>
      <c r="BJ870" s="110">
        <f t="shared" ref="BJ870:BK872" si="3715">BI870+(BJ745*BJ810*BJ834)</f>
        <v>240.58413701899428</v>
      </c>
      <c r="BK870" s="110">
        <f t="shared" si="3715"/>
        <v>265.14858521408735</v>
      </c>
      <c r="BL870" s="111">
        <f>BK870</f>
        <v>265.14858521408735</v>
      </c>
      <c r="BM870" s="110">
        <f t="shared" ref="BM870:BN872" si="3716">BL870+(BM745*BM810*BM834)</f>
        <v>292.46751749603038</v>
      </c>
      <c r="BN870" s="110">
        <f t="shared" si="3716"/>
        <v>321.55956196020202</v>
      </c>
      <c r="BO870" s="111">
        <f>BN870</f>
        <v>321.55956196020202</v>
      </c>
      <c r="BP870" s="110">
        <f t="shared" ref="BP870:BQ872" si="3717">BO870+(BP745*BP810*BP834)</f>
        <v>360.03745851135034</v>
      </c>
      <c r="BQ870" s="110">
        <f t="shared" si="3717"/>
        <v>394.69699298485284</v>
      </c>
      <c r="BR870" s="111">
        <f>BQ870</f>
        <v>394.69699298485284</v>
      </c>
      <c r="BS870" s="28">
        <f t="shared" ref="BS870:BT872" si="3718">BR870+(BS745*BS810*BS834)</f>
        <v>444.40966577100545</v>
      </c>
      <c r="BT870" s="28">
        <f t="shared" si="3718"/>
        <v>491.21737886171223</v>
      </c>
      <c r="BU870" s="184">
        <f>BT870</f>
        <v>491.21737886171223</v>
      </c>
      <c r="BV870" s="28">
        <f t="shared" ref="BV870:BW872" si="3719">BU870+(BV745*BV810*BV834)</f>
        <v>548.07475698069072</v>
      </c>
      <c r="BW870" s="28">
        <f t="shared" si="3719"/>
        <v>603.14632500984874</v>
      </c>
      <c r="BX870" s="184">
        <f>BW870</f>
        <v>603.14632500984874</v>
      </c>
      <c r="BY870" s="28">
        <f t="shared" ref="BY870:BZ872" si="3720">BX870+(BY745*BY810*BY834)</f>
        <v>664.93885247783192</v>
      </c>
      <c r="BZ870" s="28">
        <f t="shared" si="3720"/>
        <v>725.00926673699655</v>
      </c>
      <c r="CA870" s="184">
        <f>BZ870</f>
        <v>725.00926673699655</v>
      </c>
      <c r="CB870" s="28">
        <f t="shared" ref="CB870:CC872" si="3721">CA870+(CB745*CB810*CB834)</f>
        <v>796.47441952040026</v>
      </c>
      <c r="CC870" s="28">
        <f t="shared" si="3721"/>
        <v>874.7203390219604</v>
      </c>
      <c r="CD870" s="184">
        <f>CC870</f>
        <v>874.7203390219604</v>
      </c>
      <c r="CE870" s="28">
        <f t="shared" ref="CE870:CF872" si="3722">CD870+(CE745*CE810*CE834)</f>
        <v>961.7541753392286</v>
      </c>
      <c r="CF870" s="28">
        <f t="shared" si="3722"/>
        <v>1057.0459684042037</v>
      </c>
      <c r="CG870" s="184">
        <f>CF870</f>
        <v>1057.0459684042037</v>
      </c>
      <c r="CH870" s="28">
        <f t="shared" ref="CH870:CI872" si="3723">CG870+(CH745*CH810*CH834)</f>
        <v>1137.4228190387521</v>
      </c>
      <c r="CI870" s="28">
        <f t="shared" si="3723"/>
        <v>1234.1654857607587</v>
      </c>
      <c r="CJ870" s="184">
        <f>CI870</f>
        <v>1234.1654857607587</v>
      </c>
      <c r="CK870" s="28">
        <f t="shared" ref="CK870:CL872" si="3724">CJ870+(CK745*CK810*CK834)</f>
        <v>1327.454586269291</v>
      </c>
      <c r="CL870" s="28">
        <f t="shared" si="3724"/>
        <v>1418.6667252234563</v>
      </c>
      <c r="CM870" s="184">
        <f>CL870</f>
        <v>1418.6667252234563</v>
      </c>
      <c r="CN870" s="28">
        <f t="shared" ref="CN870:CO872" si="3725">CM870+(CN745*CN810*CN834)</f>
        <v>1515.4941210630616</v>
      </c>
      <c r="CO870" s="28">
        <f t="shared" si="3725"/>
        <v>1626.4259434321473</v>
      </c>
      <c r="CP870" s="184">
        <f>CO870</f>
        <v>1626.4259434321473</v>
      </c>
      <c r="CQ870" s="28">
        <f t="shared" ref="CQ870:CR872" si="3726">CP870+(CQ745*CQ810*CQ834)</f>
        <v>1746.3979916992935</v>
      </c>
      <c r="CR870" s="28">
        <f t="shared" si="3726"/>
        <v>1881.4963115714845</v>
      </c>
      <c r="CS870" s="184">
        <f>CR870</f>
        <v>1881.4963115714845</v>
      </c>
      <c r="CT870" s="28">
        <f t="shared" ref="CT870:CU872" si="3727">CS870+(CT745*CT810*CT834)</f>
        <v>2021.2517505978831</v>
      </c>
      <c r="CU870" s="28">
        <f t="shared" si="3727"/>
        <v>2168.58336107172</v>
      </c>
      <c r="CV870" s="184">
        <f>CU870</f>
        <v>2168.58336107172</v>
      </c>
      <c r="CW870" s="28">
        <f t="shared" ref="CW870:CX872" si="3728">CV870+(CW745*CW810*CW834)</f>
        <v>2345.4035437290736</v>
      </c>
      <c r="CX870" s="28">
        <f t="shared" si="3728"/>
        <v>2521.9815074139656</v>
      </c>
      <c r="CY870" s="184">
        <f>CX870</f>
        <v>2521.9815074139656</v>
      </c>
      <c r="CZ870" s="28">
        <f t="shared" ref="CZ870:DA872" si="3729">CY870+(CZ745*CZ810*CZ834)</f>
        <v>2730.1280571526549</v>
      </c>
      <c r="DA870" s="28">
        <f t="shared" si="3729"/>
        <v>2933.9537664137629</v>
      </c>
      <c r="DB870" s="184">
        <f>DA870</f>
        <v>2933.9537664137629</v>
      </c>
      <c r="DC870" s="28">
        <f t="shared" ref="DC870:DD872" si="3730">DB870+(DC745*DC810*DC834)</f>
        <v>3149.9724186635694</v>
      </c>
      <c r="DD870" s="28">
        <f t="shared" si="3730"/>
        <v>3342.0801878992561</v>
      </c>
      <c r="DE870" s="184">
        <f>DD870</f>
        <v>3342.0801878992561</v>
      </c>
      <c r="DF870" s="28">
        <f t="shared" ref="DF870:DG872" si="3731">DE870+(DF745*DF810*DF834)</f>
        <v>3593.7203159050555</v>
      </c>
      <c r="DG870" s="28">
        <f t="shared" si="3731"/>
        <v>3746.3019116204996</v>
      </c>
      <c r="DH870" s="184">
        <f>DG870</f>
        <v>3746.3019116204996</v>
      </c>
      <c r="DI870" s="28">
        <f t="shared" ref="DI870:DJ872" si="3732">DH870+(DI745*DI810*DI834)</f>
        <v>3985.0434420628039</v>
      </c>
      <c r="DJ870" s="28">
        <f t="shared" si="3732"/>
        <v>4226.1109246633387</v>
      </c>
      <c r="DK870" s="184">
        <f>DJ870</f>
        <v>4226.1109246633387</v>
      </c>
      <c r="DL870" s="28">
        <f>DK870+(DL745*DL810*DL834)</f>
        <v>4480.9745490384776</v>
      </c>
      <c r="DM870" s="28">
        <f t="shared" ref="DM870:DM872" si="3733">DL870+(DM745*DM810*DM834)</f>
        <v>4747.9161141044005</v>
      </c>
      <c r="DN870" s="184">
        <f>DM870</f>
        <v>4747.9161141044005</v>
      </c>
      <c r="DO870" s="28">
        <f t="shared" ref="DO870:DP872" si="3734">DN870+(DO745*DO810*DO834)</f>
        <v>5070.3756031647745</v>
      </c>
      <c r="DP870" s="28">
        <f t="shared" si="3734"/>
        <v>5420.664137313428</v>
      </c>
      <c r="DQ870" s="184">
        <f>DP870</f>
        <v>5420.664137313428</v>
      </c>
      <c r="DR870" s="28">
        <f t="shared" ref="DR870:DS872" si="3735">DQ870+(DR745*DR810*DR834)</f>
        <v>5831.0222080396525</v>
      </c>
      <c r="DS870" s="28">
        <f t="shared" si="3735"/>
        <v>6204.189488213131</v>
      </c>
      <c r="DT870" s="184">
        <f>DS870</f>
        <v>6204.189488213131</v>
      </c>
      <c r="DU870" s="28">
        <f t="shared" ref="DU870:DV872" si="3736">DT870+(DU745*DU810*DU834)</f>
        <v>6634.7493081712419</v>
      </c>
      <c r="DV870" s="28">
        <f t="shared" si="3736"/>
        <v>7092.9910823037972</v>
      </c>
      <c r="DW870" s="184">
        <f>DV870</f>
        <v>7092.9910823037972</v>
      </c>
      <c r="DX870" s="28">
        <f t="shared" ref="DX870:DY872" si="3737">DW870+(DX745*DX810*DX834)</f>
        <v>7588.7697623511785</v>
      </c>
      <c r="DY870" s="28">
        <f t="shared" si="3737"/>
        <v>8122.5756050381924</v>
      </c>
      <c r="DZ870" s="184">
        <f>DY870</f>
        <v>8122.5756050381924</v>
      </c>
      <c r="EA870" s="28">
        <f t="shared" ref="EA870:EB872" si="3738">DZ870+(EA745*EA810*EA834)</f>
        <v>8752.6111516424044</v>
      </c>
      <c r="EB870" s="28">
        <f t="shared" si="3738"/>
        <v>9357.4825661663399</v>
      </c>
      <c r="EC870" s="184">
        <f>EB870</f>
        <v>9357.4825661663399</v>
      </c>
      <c r="ED870" s="28">
        <f t="shared" ref="ED870:EE872" si="3739">EC870+(ED745*ED810*ED834)</f>
        <v>10084.738897967049</v>
      </c>
      <c r="EE870" s="28">
        <f t="shared" si="3739"/>
        <v>10782.948020466174</v>
      </c>
      <c r="EF870" s="184">
        <f>EE870</f>
        <v>10782.948020466174</v>
      </c>
      <c r="EG870" s="28">
        <f t="shared" ref="EG870:EH872" si="3740">EF870+(EG745*EG810*EG834)</f>
        <v>11622.427276827049</v>
      </c>
      <c r="EH870" s="28">
        <f t="shared" si="3740"/>
        <v>12428.377049019015</v>
      </c>
      <c r="EI870" s="184">
        <f>EH870</f>
        <v>12428.377049019015</v>
      </c>
      <c r="EJ870" s="28">
        <f t="shared" ref="EJ870:EK872" si="3741">EI870+(EJ745*EJ810*EJ834)</f>
        <v>13397.396349428936</v>
      </c>
      <c r="EK870" s="28">
        <f t="shared" si="3741"/>
        <v>14327.712230967843</v>
      </c>
      <c r="EL870" s="184">
        <f>EK870</f>
        <v>14327.712230967843</v>
      </c>
      <c r="EM870" s="28">
        <f t="shared" ref="EM870:EN872" si="3742">EL870+(EM745*EM810*EM834)</f>
        <v>15446.260899624021</v>
      </c>
      <c r="EN870" s="28">
        <f t="shared" si="3742"/>
        <v>16520.133824843197</v>
      </c>
      <c r="EO870" s="184">
        <f>EN870</f>
        <v>16520.133824843197</v>
      </c>
      <c r="EP870" s="28">
        <f t="shared" ref="EP870:EQ872" si="3743">EO870+(EP745*EP810*EP834)</f>
        <v>17811.285738559709</v>
      </c>
      <c r="EQ870" s="28">
        <f t="shared" si="3743"/>
        <v>19050.867994869455</v>
      </c>
      <c r="ER870" s="184">
        <f>EQ870</f>
        <v>19050.867994869455</v>
      </c>
      <c r="ES870" s="28">
        <f t="shared" ref="ES870:ES872" si="3744">ER870+(ES745*ES810*ES834)</f>
        <v>20541.257560391561</v>
      </c>
      <c r="ET870" s="28">
        <f t="shared" ref="ET870:ET872" si="3745">ES870+(ET745*ET810*ET834)</f>
        <v>21972.119754672465</v>
      </c>
      <c r="EU870" s="184">
        <f>ET870</f>
        <v>21972.119754672465</v>
      </c>
      <c r="EV870" s="28">
        <f t="shared" ref="EV870:EV872" si="3746">EU870+(EV745*EV810*EV834)</f>
        <v>23692.49133405029</v>
      </c>
      <c r="EW870" s="28">
        <f t="shared" ref="EW870:EW872" si="3747">EV870+(EW745*EW810*EW834)</f>
        <v>25344.149873530678</v>
      </c>
      <c r="EX870" s="184">
        <f>EW870</f>
        <v>25344.149873530678</v>
      </c>
      <c r="EY870" s="28">
        <f t="shared" ref="EY870:EY872" si="3748">EX870+(EY745*EY810*EY834)</f>
        <v>27329.991991322295</v>
      </c>
      <c r="EZ870" s="28">
        <f t="shared" ref="EZ870:EZ872" si="3749">EY870+(EZ745*EZ810*EZ834)</f>
        <v>29236.517960029902</v>
      </c>
      <c r="FA870" s="184">
        <f>EZ870</f>
        <v>29236.517960029902</v>
      </c>
      <c r="FH870" s="35"/>
      <c r="FI870" s="35"/>
      <c r="FJ870" s="35"/>
      <c r="FK870" s="35"/>
      <c r="FL870" s="35"/>
      <c r="FM870" s="35"/>
      <c r="FN870" s="35"/>
      <c r="FO870" s="35"/>
      <c r="FP870" s="35"/>
      <c r="FQ870" s="35"/>
    </row>
    <row r="871" spans="1:173" s="321" customFormat="1" hidden="1" outlineLevel="1">
      <c r="A871" s="1168"/>
      <c r="B871" s="186"/>
      <c r="C871" s="186" t="s">
        <v>317</v>
      </c>
      <c r="D871" s="910"/>
      <c r="E871" s="1"/>
      <c r="F871" s="1"/>
      <c r="G871" s="5"/>
      <c r="H871" s="1"/>
      <c r="I871" s="1"/>
      <c r="J871" s="5"/>
      <c r="K871" s="1"/>
      <c r="L871" s="1"/>
      <c r="M871" s="5"/>
      <c r="N871" s="1"/>
      <c r="O871" s="1"/>
      <c r="P871" s="5"/>
      <c r="Q871" s="1"/>
      <c r="R871" s="1"/>
      <c r="S871" s="5"/>
      <c r="T871" s="1"/>
      <c r="U871" s="1"/>
      <c r="V871" s="5"/>
      <c r="W871" s="1"/>
      <c r="X871" s="1"/>
      <c r="Y871" s="5"/>
      <c r="Z871" s="1"/>
      <c r="AA871" s="1"/>
      <c r="AB871" s="5"/>
      <c r="AC871" s="1"/>
      <c r="AD871" s="1"/>
      <c r="AE871" s="5"/>
      <c r="AF871" s="1"/>
      <c r="AG871" s="1"/>
      <c r="AH871" s="5"/>
      <c r="AI871" s="1"/>
      <c r="AJ871" s="1"/>
      <c r="AK871" s="5"/>
      <c r="AL871" s="1"/>
      <c r="AM871" s="1"/>
      <c r="AN871" s="5"/>
      <c r="AO871" s="1"/>
      <c r="AP871" s="1"/>
      <c r="AQ871" s="5"/>
      <c r="AR871" s="1"/>
      <c r="AS871" s="1"/>
      <c r="AT871" s="5"/>
      <c r="AU871" s="1"/>
      <c r="AV871" s="1"/>
      <c r="AW871" s="5"/>
      <c r="AX871" s="184">
        <f>(AX835*AX811*AX752)</f>
        <v>55.247304210940577</v>
      </c>
      <c r="AY871" s="184">
        <f>AX871+(AY746*AY811*AY835)</f>
        <v>63.034525283216588</v>
      </c>
      <c r="AZ871" s="184">
        <f>AY871</f>
        <v>63.034525283216588</v>
      </c>
      <c r="BA871" s="28">
        <f t="shared" si="3712"/>
        <v>71.172391872502303</v>
      </c>
      <c r="BB871" s="28">
        <f t="shared" si="3712"/>
        <v>81.068392411150654</v>
      </c>
      <c r="BC871" s="58">
        <f>BB871</f>
        <v>81.068392411150654</v>
      </c>
      <c r="BD871" s="28">
        <f t="shared" si="3713"/>
        <v>91.536728577492198</v>
      </c>
      <c r="BE871" s="28">
        <f t="shared" si="3713"/>
        <v>104.84714441531018</v>
      </c>
      <c r="BF871" s="58">
        <f>BE871</f>
        <v>104.84714441531018</v>
      </c>
      <c r="BG871" s="28">
        <f t="shared" si="3714"/>
        <v>116.46044494736518</v>
      </c>
      <c r="BH871" s="28">
        <f t="shared" si="3714"/>
        <v>130.06091992815701</v>
      </c>
      <c r="BI871" s="58">
        <f>BH871</f>
        <v>130.06091992815701</v>
      </c>
      <c r="BJ871" s="110">
        <f t="shared" si="3715"/>
        <v>143.58222601208303</v>
      </c>
      <c r="BK871" s="110">
        <f t="shared" si="3715"/>
        <v>159.41718908691905</v>
      </c>
      <c r="BL871" s="111">
        <f>BK871</f>
        <v>159.41718908691905</v>
      </c>
      <c r="BM871" s="110">
        <f t="shared" si="3716"/>
        <v>175.04286674158431</v>
      </c>
      <c r="BN871" s="110">
        <f t="shared" si="3716"/>
        <v>194.36101497406588</v>
      </c>
      <c r="BO871" s="111">
        <f>BN871</f>
        <v>194.36101497406588</v>
      </c>
      <c r="BP871" s="110">
        <f t="shared" si="3717"/>
        <v>215.37645762215482</v>
      </c>
      <c r="BQ871" s="110">
        <f t="shared" si="3717"/>
        <v>237.88016849817259</v>
      </c>
      <c r="BR871" s="111">
        <f>BQ871</f>
        <v>237.88016849817259</v>
      </c>
      <c r="BS871" s="28">
        <f t="shared" si="3718"/>
        <v>265.03170009065053</v>
      </c>
      <c r="BT871" s="28">
        <f t="shared" si="3718"/>
        <v>294.34435876642499</v>
      </c>
      <c r="BU871" s="184">
        <f>BT871</f>
        <v>294.34435876642499</v>
      </c>
      <c r="BV871" s="28">
        <f t="shared" si="3719"/>
        <v>329.99866399240335</v>
      </c>
      <c r="BW871" s="28">
        <f t="shared" si="3719"/>
        <v>367.76666253689007</v>
      </c>
      <c r="BX871" s="184">
        <f>BW871</f>
        <v>367.76666253689007</v>
      </c>
      <c r="BY871" s="28">
        <f t="shared" si="3720"/>
        <v>407.4124672329167</v>
      </c>
      <c r="BZ871" s="28">
        <f t="shared" si="3720"/>
        <v>446.28888099868703</v>
      </c>
      <c r="CA871" s="184">
        <f>BZ871</f>
        <v>446.28888099868703</v>
      </c>
      <c r="CB871" s="28">
        <f t="shared" si="3721"/>
        <v>489.533335386972</v>
      </c>
      <c r="CC871" s="28">
        <f t="shared" si="3721"/>
        <v>536.84603979387305</v>
      </c>
      <c r="CD871" s="184">
        <f>CC871</f>
        <v>536.84603979387305</v>
      </c>
      <c r="CE871" s="28">
        <f t="shared" si="3722"/>
        <v>594.05290147629034</v>
      </c>
      <c r="CF871" s="28">
        <f t="shared" si="3722"/>
        <v>651.67267853823478</v>
      </c>
      <c r="CG871" s="184">
        <f>CF871</f>
        <v>651.67267853823478</v>
      </c>
      <c r="CH871" s="28">
        <f t="shared" si="3723"/>
        <v>705.62079567079945</v>
      </c>
      <c r="CI871" s="28">
        <f t="shared" si="3723"/>
        <v>764.11786776492158</v>
      </c>
      <c r="CJ871" s="184">
        <f>CI871</f>
        <v>764.11786776492158</v>
      </c>
      <c r="CK871" s="28">
        <f t="shared" si="3724"/>
        <v>828.1046505335139</v>
      </c>
      <c r="CL871" s="28">
        <f t="shared" si="3724"/>
        <v>893.15046984857293</v>
      </c>
      <c r="CM871" s="184">
        <f>CL871</f>
        <v>893.15046984857293</v>
      </c>
      <c r="CN871" s="28">
        <f t="shared" si="3725"/>
        <v>959.56416137163205</v>
      </c>
      <c r="CO871" s="28">
        <f t="shared" si="3725"/>
        <v>1038.6726151020689</v>
      </c>
      <c r="CP871" s="184">
        <f>CO871</f>
        <v>1038.6726151020689</v>
      </c>
      <c r="CQ871" s="28">
        <f t="shared" si="3726"/>
        <v>1111.8179983979053</v>
      </c>
      <c r="CR871" s="28">
        <f t="shared" si="3726"/>
        <v>1201.4581605734752</v>
      </c>
      <c r="CS871" s="184">
        <f>CR871</f>
        <v>1201.4581605734752</v>
      </c>
      <c r="CT871" s="28">
        <f t="shared" si="3727"/>
        <v>1286.665217574795</v>
      </c>
      <c r="CU871" s="28">
        <f t="shared" si="3727"/>
        <v>1387.2898852233593</v>
      </c>
      <c r="CV871" s="184">
        <f>CU871</f>
        <v>1387.2898852233593</v>
      </c>
      <c r="CW871" s="28">
        <f t="shared" si="3728"/>
        <v>1486.5475859241967</v>
      </c>
      <c r="CX871" s="28">
        <f t="shared" si="3728"/>
        <v>1603.7652612680092</v>
      </c>
      <c r="CY871" s="184">
        <f>CX871</f>
        <v>1603.7652612680092</v>
      </c>
      <c r="CZ871" s="28">
        <f t="shared" si="3729"/>
        <v>1706.7768882093524</v>
      </c>
      <c r="DA871" s="28">
        <f t="shared" si="3729"/>
        <v>1861.9437859457244</v>
      </c>
      <c r="DB871" s="184">
        <f>DA871</f>
        <v>1861.9437859457244</v>
      </c>
      <c r="DC871" s="28">
        <f t="shared" si="3730"/>
        <v>1983.0329232990036</v>
      </c>
      <c r="DD871" s="28">
        <f t="shared" si="3730"/>
        <v>2134.2089284255962</v>
      </c>
      <c r="DE871" s="184">
        <f>DD871</f>
        <v>2134.2089284255962</v>
      </c>
      <c r="DF871" s="28">
        <f t="shared" si="3731"/>
        <v>2279.7538334044307</v>
      </c>
      <c r="DG871" s="28">
        <f t="shared" si="3731"/>
        <v>2399.8253754762268</v>
      </c>
      <c r="DH871" s="184">
        <f>DG871</f>
        <v>2399.8253754762268</v>
      </c>
      <c r="DI871" s="28">
        <f t="shared" si="3732"/>
        <v>2529.2409143935047</v>
      </c>
      <c r="DJ871" s="28">
        <f t="shared" si="3732"/>
        <v>2695.0296819420823</v>
      </c>
      <c r="DK871" s="184">
        <f>DJ871</f>
        <v>2695.0296819420823</v>
      </c>
      <c r="DL871" s="28">
        <f>DK871+(DL746*DL811*DL835)</f>
        <v>2856.339570431393</v>
      </c>
      <c r="DM871" s="28">
        <f t="shared" si="3733"/>
        <v>3026.9069564992174</v>
      </c>
      <c r="DN871" s="184">
        <f>DM871</f>
        <v>3026.9069564992174</v>
      </c>
      <c r="DO871" s="28">
        <f t="shared" si="3734"/>
        <v>3205.1794337872311</v>
      </c>
      <c r="DP871" s="28">
        <f t="shared" si="3734"/>
        <v>3403.563150525812</v>
      </c>
      <c r="DQ871" s="184">
        <f>DP871</f>
        <v>3403.563150525812</v>
      </c>
      <c r="DR871" s="28">
        <f t="shared" si="3735"/>
        <v>3615.3615105204349</v>
      </c>
      <c r="DS871" s="28">
        <f t="shared" si="3735"/>
        <v>3841.7905571148535</v>
      </c>
      <c r="DT871" s="184">
        <f>DS871</f>
        <v>3841.7905571148535</v>
      </c>
      <c r="DU871" s="28">
        <f t="shared" si="3736"/>
        <v>4070.7078448448024</v>
      </c>
      <c r="DV871" s="28">
        <f t="shared" si="3736"/>
        <v>4373.7952253539124</v>
      </c>
      <c r="DW871" s="184">
        <f>DV871</f>
        <v>4373.7952253539124</v>
      </c>
      <c r="DX871" s="28">
        <f t="shared" si="3737"/>
        <v>4638.5983895837462</v>
      </c>
      <c r="DY871" s="28">
        <f t="shared" si="3737"/>
        <v>4991.6648791388088</v>
      </c>
      <c r="DZ871" s="184">
        <f>DY871</f>
        <v>4991.6648791388088</v>
      </c>
      <c r="EA871" s="28">
        <f t="shared" si="3738"/>
        <v>5328.176740242081</v>
      </c>
      <c r="EB871" s="28">
        <f t="shared" si="3738"/>
        <v>5728.246971551609</v>
      </c>
      <c r="EC871" s="184">
        <f>EB871</f>
        <v>5728.246971551609</v>
      </c>
      <c r="ED871" s="28">
        <f t="shared" si="3739"/>
        <v>6116.6859779417273</v>
      </c>
      <c r="EE871" s="28">
        <f t="shared" si="3739"/>
        <v>6578.491046644629</v>
      </c>
      <c r="EF871" s="184">
        <f>EE871</f>
        <v>6578.491046644629</v>
      </c>
      <c r="EG871" s="28">
        <f t="shared" si="3740"/>
        <v>7026.8700761108066</v>
      </c>
      <c r="EH871" s="28">
        <f t="shared" si="3740"/>
        <v>7559.9362849652525</v>
      </c>
      <c r="EI871" s="184">
        <f>EH871</f>
        <v>7559.9362849652525</v>
      </c>
      <c r="EJ871" s="28">
        <f t="shared" si="3741"/>
        <v>8077.5046824683559</v>
      </c>
      <c r="EK871" s="28">
        <f t="shared" si="3741"/>
        <v>8692.8283380111316</v>
      </c>
      <c r="EL871" s="184">
        <f>EK871</f>
        <v>8692.8283380111316</v>
      </c>
      <c r="EM871" s="28">
        <f t="shared" si="3742"/>
        <v>9290.2627149329383</v>
      </c>
      <c r="EN871" s="28">
        <f t="shared" si="3742"/>
        <v>10000.536963762519</v>
      </c>
      <c r="EO871" s="184">
        <f>EN871</f>
        <v>10000.536963762519</v>
      </c>
      <c r="EP871" s="28">
        <f t="shared" si="3743"/>
        <v>10690.161439387131</v>
      </c>
      <c r="EQ871" s="28">
        <f t="shared" si="3743"/>
        <v>11510.038107553606</v>
      </c>
      <c r="ER871" s="184">
        <f>EQ871</f>
        <v>11510.038107553606</v>
      </c>
      <c r="ES871" s="28">
        <f t="shared" si="3744"/>
        <v>12306.078536011852</v>
      </c>
      <c r="ET871" s="28">
        <f t="shared" si="3745"/>
        <v>13252.470372843094</v>
      </c>
      <c r="EU871" s="184">
        <f>ET871</f>
        <v>13252.470372843094</v>
      </c>
      <c r="EV871" s="28">
        <f t="shared" si="3746"/>
        <v>14171.347799816731</v>
      </c>
      <c r="EW871" s="28">
        <f t="shared" si="3747"/>
        <v>15263.777360989403</v>
      </c>
      <c r="EX871" s="184">
        <f>EW871</f>
        <v>15263.777360989403</v>
      </c>
      <c r="EY871" s="28">
        <f t="shared" si="3748"/>
        <v>16324.446763719343</v>
      </c>
      <c r="EZ871" s="28">
        <f t="shared" si="3749"/>
        <v>17585.449130476569</v>
      </c>
      <c r="FA871" s="184">
        <f>EZ871</f>
        <v>17585.449130476569</v>
      </c>
      <c r="FH871" s="35"/>
      <c r="FI871" s="35"/>
      <c r="FJ871" s="35"/>
      <c r="FK871" s="35"/>
      <c r="FL871" s="35"/>
      <c r="FM871" s="35"/>
      <c r="FN871" s="35"/>
      <c r="FO871" s="35"/>
      <c r="FP871" s="35"/>
      <c r="FQ871" s="35"/>
    </row>
    <row r="872" spans="1:173" s="321" customFormat="1" hidden="1" outlineLevel="1">
      <c r="A872" s="1168"/>
      <c r="B872" s="186"/>
      <c r="C872" s="186" t="s">
        <v>431</v>
      </c>
      <c r="D872" s="910"/>
      <c r="E872" s="1"/>
      <c r="F872" s="1"/>
      <c r="G872" s="5"/>
      <c r="H872" s="1"/>
      <c r="I872" s="1"/>
      <c r="J872" s="5"/>
      <c r="K872" s="1"/>
      <c r="L872" s="1"/>
      <c r="M872" s="5"/>
      <c r="N872" s="1"/>
      <c r="O872" s="1"/>
      <c r="P872" s="5"/>
      <c r="Q872" s="1"/>
      <c r="R872" s="1"/>
      <c r="S872" s="5"/>
      <c r="T872" s="1"/>
      <c r="U872" s="1"/>
      <c r="V872" s="5"/>
      <c r="W872" s="1"/>
      <c r="X872" s="1"/>
      <c r="Y872" s="5"/>
      <c r="Z872" s="1"/>
      <c r="AA872" s="1"/>
      <c r="AB872" s="5"/>
      <c r="AC872" s="1"/>
      <c r="AD872" s="1"/>
      <c r="AE872" s="5"/>
      <c r="AF872" s="1"/>
      <c r="AG872" s="1"/>
      <c r="AH872" s="5"/>
      <c r="AI872" s="1"/>
      <c r="AJ872" s="1"/>
      <c r="AK872" s="5"/>
      <c r="AL872" s="1"/>
      <c r="AM872" s="1"/>
      <c r="AN872" s="5"/>
      <c r="AO872" s="1"/>
      <c r="AP872" s="1"/>
      <c r="AQ872" s="5"/>
      <c r="AR872" s="1"/>
      <c r="AS872" s="1"/>
      <c r="AT872" s="5"/>
      <c r="AU872" s="1"/>
      <c r="AV872" s="1"/>
      <c r="AW872" s="5"/>
      <c r="AX872" s="184">
        <f>(AX836*AX812*AX753)</f>
        <v>25.484542393633301</v>
      </c>
      <c r="AY872" s="184">
        <f>AX872+(AY747*AY812*AY836)</f>
        <v>26.717723457788995</v>
      </c>
      <c r="AZ872" s="184">
        <f>AY872</f>
        <v>26.717723457788995</v>
      </c>
      <c r="BA872" s="28">
        <f t="shared" si="3712"/>
        <v>30.009038389455661</v>
      </c>
      <c r="BB872" s="28">
        <f t="shared" si="3712"/>
        <v>31.576164885784717</v>
      </c>
      <c r="BC872" s="58">
        <f>BB872</f>
        <v>31.576164885784717</v>
      </c>
      <c r="BD872" s="28">
        <f t="shared" si="3713"/>
        <v>35.841639988659715</v>
      </c>
      <c r="BE872" s="28">
        <f t="shared" si="3713"/>
        <v>39.516398108882768</v>
      </c>
      <c r="BF872" s="58">
        <f>BE872</f>
        <v>39.516398108882768</v>
      </c>
      <c r="BG872" s="28">
        <f t="shared" si="3714"/>
        <v>43.789481722504839</v>
      </c>
      <c r="BH872" s="28">
        <f t="shared" si="3714"/>
        <v>49.610181855483518</v>
      </c>
      <c r="BI872" s="58">
        <f>BH872</f>
        <v>49.610181855483518</v>
      </c>
      <c r="BJ872" s="110">
        <f t="shared" si="3715"/>
        <v>55.040416511674451</v>
      </c>
      <c r="BK872" s="110">
        <f t="shared" si="3715"/>
        <v>60.680587630028796</v>
      </c>
      <c r="BL872" s="111">
        <f>BK872</f>
        <v>60.680587630028796</v>
      </c>
      <c r="BM872" s="110">
        <f t="shared" si="3716"/>
        <v>66.603724685962177</v>
      </c>
      <c r="BN872" s="110">
        <f t="shared" si="3716"/>
        <v>74.069901203883745</v>
      </c>
      <c r="BO872" s="111">
        <f>BN872</f>
        <v>74.069901203883745</v>
      </c>
      <c r="BP872" s="110">
        <f t="shared" si="3717"/>
        <v>82.036105924520228</v>
      </c>
      <c r="BQ872" s="110">
        <f t="shared" si="3717"/>
        <v>90.338120903623107</v>
      </c>
      <c r="BR872" s="111">
        <f>BQ872</f>
        <v>90.338120903623107</v>
      </c>
      <c r="BS872" s="28">
        <f t="shared" si="3718"/>
        <v>100.51219112740287</v>
      </c>
      <c r="BT872" s="28">
        <f t="shared" si="3718"/>
        <v>111.50198345599031</v>
      </c>
      <c r="BU872" s="184">
        <f>BT872</f>
        <v>111.50198345599031</v>
      </c>
      <c r="BV872" s="28">
        <f t="shared" si="3719"/>
        <v>122.94433292572603</v>
      </c>
      <c r="BW872" s="28">
        <f t="shared" si="3719"/>
        <v>136.444633413856</v>
      </c>
      <c r="BX872" s="184">
        <f>BW872</f>
        <v>136.444633413856</v>
      </c>
      <c r="BY872" s="28">
        <f t="shared" si="3720"/>
        <v>147.9562090978836</v>
      </c>
      <c r="BZ872" s="28">
        <f t="shared" si="3720"/>
        <v>162.99646186209355</v>
      </c>
      <c r="CA872" s="184">
        <f>BZ872</f>
        <v>162.99646186209355</v>
      </c>
      <c r="CB872" s="28">
        <f t="shared" si="3721"/>
        <v>176.28438878992347</v>
      </c>
      <c r="CC872" s="28">
        <f t="shared" si="3721"/>
        <v>195.39754200268149</v>
      </c>
      <c r="CD872" s="184">
        <f>CC872</f>
        <v>195.39754200268149</v>
      </c>
      <c r="CE872" s="28">
        <f t="shared" si="3722"/>
        <v>212.97576350088968</v>
      </c>
      <c r="CF872" s="28">
        <f t="shared" si="3722"/>
        <v>236.27256875427904</v>
      </c>
      <c r="CG872" s="184">
        <f>CF872</f>
        <v>236.27256875427904</v>
      </c>
      <c r="CH872" s="28">
        <f t="shared" si="3723"/>
        <v>256.65636229470874</v>
      </c>
      <c r="CI872" s="28">
        <f t="shared" si="3723"/>
        <v>280.30787512519328</v>
      </c>
      <c r="CJ872" s="184">
        <f>CI872</f>
        <v>280.30787512519328</v>
      </c>
      <c r="CK872" s="28">
        <f t="shared" si="3724"/>
        <v>324.86301014931024</v>
      </c>
      <c r="CL872" s="28">
        <f t="shared" si="3724"/>
        <v>362.30901391700979</v>
      </c>
      <c r="CM872" s="184">
        <f>CL872</f>
        <v>362.30901391700979</v>
      </c>
      <c r="CN872" s="28">
        <f t="shared" si="3725"/>
        <v>388.0904260960134</v>
      </c>
      <c r="CO872" s="28">
        <f t="shared" si="3725"/>
        <v>425.78843711887652</v>
      </c>
      <c r="CP872" s="184">
        <f>CO872</f>
        <v>425.78843711887652</v>
      </c>
      <c r="CQ872" s="28">
        <f t="shared" si="3726"/>
        <v>438.98633156548192</v>
      </c>
      <c r="CR872" s="28">
        <f t="shared" si="3726"/>
        <v>473.69224507553497</v>
      </c>
      <c r="CS872" s="184">
        <f>CR872</f>
        <v>473.69224507553497</v>
      </c>
      <c r="CT872" s="28">
        <f t="shared" si="3727"/>
        <v>514.76436996047573</v>
      </c>
      <c r="CU872" s="28">
        <f t="shared" si="3727"/>
        <v>547.98516999836727</v>
      </c>
      <c r="CV872" s="184">
        <f>CU872</f>
        <v>547.98516999836727</v>
      </c>
      <c r="CW872" s="28">
        <f t="shared" si="3728"/>
        <v>586.64530050521546</v>
      </c>
      <c r="CX872" s="28">
        <f t="shared" si="3728"/>
        <v>612.73628798850984</v>
      </c>
      <c r="CY872" s="184">
        <f>CX872</f>
        <v>612.73628798850984</v>
      </c>
      <c r="CZ872" s="28">
        <f t="shared" si="3729"/>
        <v>637.38825281975244</v>
      </c>
      <c r="DA872" s="28">
        <f t="shared" si="3729"/>
        <v>674.9169864774633</v>
      </c>
      <c r="DB872" s="184">
        <f>DA872</f>
        <v>674.9169864774633</v>
      </c>
      <c r="DC872" s="28">
        <f t="shared" si="3730"/>
        <v>707.03039838981499</v>
      </c>
      <c r="DD872" s="28">
        <f t="shared" si="3730"/>
        <v>741.42034118838535</v>
      </c>
      <c r="DE872" s="184">
        <f>DD872</f>
        <v>741.42034118838535</v>
      </c>
      <c r="DF872" s="28">
        <f t="shared" si="3731"/>
        <v>783.5464669709728</v>
      </c>
      <c r="DG872" s="28">
        <f t="shared" si="3731"/>
        <v>806.76949892449181</v>
      </c>
      <c r="DH872" s="184">
        <f>DG872</f>
        <v>806.76949892449181</v>
      </c>
      <c r="DI872" s="28">
        <f t="shared" si="3732"/>
        <v>861.63069702985672</v>
      </c>
      <c r="DJ872" s="28">
        <f t="shared" si="3732"/>
        <v>917.47235775638183</v>
      </c>
      <c r="DK872" s="184">
        <f>DJ872</f>
        <v>917.47235775638183</v>
      </c>
      <c r="DL872" s="28">
        <f>DK872+(DL747*DL812*DL836)</f>
        <v>978.7603662956144</v>
      </c>
      <c r="DM872" s="28">
        <f t="shared" si="3733"/>
        <v>1043.7050046658569</v>
      </c>
      <c r="DN872" s="184">
        <f>DM872</f>
        <v>1043.7050046658569</v>
      </c>
      <c r="DO872" s="28">
        <f t="shared" si="3734"/>
        <v>1121.6176011227392</v>
      </c>
      <c r="DP872" s="28">
        <f t="shared" si="3734"/>
        <v>1199.007437129854</v>
      </c>
      <c r="DQ872" s="184">
        <f>DP872</f>
        <v>1199.007437129854</v>
      </c>
      <c r="DR872" s="28">
        <f t="shared" si="3735"/>
        <v>1281.0229722767078</v>
      </c>
      <c r="DS872" s="28">
        <f t="shared" si="3735"/>
        <v>1369.01151159608</v>
      </c>
      <c r="DT872" s="184">
        <f>DS872</f>
        <v>1369.01151159608</v>
      </c>
      <c r="DU872" s="28">
        <f t="shared" si="3736"/>
        <v>1482.2061603193536</v>
      </c>
      <c r="DV872" s="28">
        <f t="shared" si="3736"/>
        <v>1591.8680437445357</v>
      </c>
      <c r="DW872" s="184">
        <f>DV872</f>
        <v>1591.8680437445357</v>
      </c>
      <c r="DX872" s="28">
        <f t="shared" si="3737"/>
        <v>1707.009490756378</v>
      </c>
      <c r="DY872" s="28">
        <f t="shared" si="3737"/>
        <v>1834.7546187583728</v>
      </c>
      <c r="DZ872" s="184">
        <f>DY872</f>
        <v>1834.7546187583728</v>
      </c>
      <c r="EA872" s="28">
        <f t="shared" si="3738"/>
        <v>1981.076369621022</v>
      </c>
      <c r="EB872" s="28">
        <f t="shared" si="3738"/>
        <v>2125.8282065139224</v>
      </c>
      <c r="EC872" s="184">
        <f>EB872</f>
        <v>2125.8282065139224</v>
      </c>
      <c r="ED872" s="28">
        <f t="shared" si="3739"/>
        <v>2294.7288667521871</v>
      </c>
      <c r="EE872" s="28">
        <f t="shared" si="3739"/>
        <v>2461.8173595960307</v>
      </c>
      <c r="EF872" s="184">
        <f>EE872</f>
        <v>2461.8173595960307</v>
      </c>
      <c r="EG872" s="28">
        <f t="shared" si="3740"/>
        <v>2656.781080715662</v>
      </c>
      <c r="EH872" s="28">
        <f t="shared" si="3740"/>
        <v>2849.6529988902394</v>
      </c>
      <c r="EI872" s="184">
        <f>EH872</f>
        <v>2849.6529988902394</v>
      </c>
      <c r="EJ872" s="28">
        <f t="shared" si="3741"/>
        <v>3074.7015718158409</v>
      </c>
      <c r="EK872" s="28">
        <f t="shared" si="3741"/>
        <v>3297.3355556839369</v>
      </c>
      <c r="EL872" s="184">
        <f>EK872</f>
        <v>3297.3355556839369</v>
      </c>
      <c r="EM872" s="28">
        <f t="shared" si="3742"/>
        <v>3557.1113738976878</v>
      </c>
      <c r="EN872" s="28">
        <f t="shared" si="3742"/>
        <v>3814.1000078164698</v>
      </c>
      <c r="EO872" s="184">
        <f>EN872</f>
        <v>3814.1000078164698</v>
      </c>
      <c r="EP872" s="28">
        <f t="shared" si="3743"/>
        <v>4113.9618325387846</v>
      </c>
      <c r="EQ872" s="28">
        <f t="shared" si="3743"/>
        <v>4410.6063825575739</v>
      </c>
      <c r="ER872" s="184">
        <f>EQ872</f>
        <v>4410.6063825575739</v>
      </c>
      <c r="ES872" s="28">
        <f t="shared" si="3744"/>
        <v>4756.7398854527892</v>
      </c>
      <c r="ET872" s="28">
        <f t="shared" si="3745"/>
        <v>5099.1596559849777</v>
      </c>
      <c r="EU872" s="184">
        <f>ET872</f>
        <v>5099.1596559849777</v>
      </c>
      <c r="EV872" s="28">
        <f t="shared" si="3746"/>
        <v>5498.7050197119534</v>
      </c>
      <c r="EW872" s="28">
        <f t="shared" si="3747"/>
        <v>5893.9635850349641</v>
      </c>
      <c r="EX872" s="184">
        <f>EW872</f>
        <v>5893.9635850349641</v>
      </c>
      <c r="EY872" s="28">
        <f t="shared" si="3748"/>
        <v>6355.16279383865</v>
      </c>
      <c r="EZ872" s="28">
        <f t="shared" si="3749"/>
        <v>6811.4137083766545</v>
      </c>
      <c r="FA872" s="184">
        <f>EZ872</f>
        <v>6811.4137083766545</v>
      </c>
      <c r="FH872" s="35"/>
      <c r="FI872" s="35"/>
      <c r="FJ872" s="35"/>
      <c r="FK872" s="35"/>
      <c r="FL872" s="35"/>
      <c r="FM872" s="35"/>
      <c r="FN872" s="35"/>
      <c r="FO872" s="35"/>
      <c r="FP872" s="35"/>
      <c r="FQ872" s="35"/>
    </row>
    <row r="873" spans="1:173" s="321" customFormat="1" hidden="1" outlineLevel="1">
      <c r="A873" s="1168"/>
      <c r="B873" s="186"/>
      <c r="C873" s="186" t="s">
        <v>327</v>
      </c>
      <c r="D873" s="910"/>
      <c r="E873" s="1"/>
      <c r="F873" s="1"/>
      <c r="G873" s="5"/>
      <c r="H873" s="1"/>
      <c r="I873" s="1"/>
      <c r="J873" s="5"/>
      <c r="K873" s="1"/>
      <c r="L873" s="1"/>
      <c r="M873" s="5"/>
      <c r="N873" s="1"/>
      <c r="O873" s="1"/>
      <c r="P873" s="5"/>
      <c r="Q873" s="1"/>
      <c r="R873" s="1"/>
      <c r="S873" s="5"/>
      <c r="T873" s="1"/>
      <c r="U873" s="1"/>
      <c r="V873" s="5"/>
      <c r="W873" s="1"/>
      <c r="X873" s="1"/>
      <c r="Y873" s="5"/>
      <c r="Z873" s="1"/>
      <c r="AA873" s="1"/>
      <c r="AB873" s="5"/>
      <c r="AC873" s="1"/>
      <c r="AD873" s="1"/>
      <c r="AE873" s="5"/>
      <c r="AF873" s="1"/>
      <c r="AG873" s="1"/>
      <c r="AH873" s="5"/>
      <c r="AI873" s="1"/>
      <c r="AJ873" s="1"/>
      <c r="AK873" s="5"/>
      <c r="AL873" s="1"/>
      <c r="AM873" s="1"/>
      <c r="AN873" s="5"/>
      <c r="AO873" s="1"/>
      <c r="AP873" s="1"/>
      <c r="AQ873" s="5"/>
      <c r="AR873" s="1"/>
      <c r="AS873" s="1"/>
      <c r="AT873" s="5"/>
      <c r="AU873" s="1"/>
      <c r="AV873" s="1"/>
      <c r="AW873" s="5"/>
      <c r="AX873" s="184">
        <f>SUM(AX870:AX872)</f>
        <v>190.53056102147011</v>
      </c>
      <c r="AY873" s="184">
        <f>SUM(AY870:AY872)</f>
        <v>211.77627565790181</v>
      </c>
      <c r="AZ873" s="184">
        <f>AY873</f>
        <v>211.77627565790181</v>
      </c>
      <c r="BA873" s="28">
        <f t="shared" ref="BA873:CF873" si="3750">SUM(BA870:BA872)</f>
        <v>235.28895605385418</v>
      </c>
      <c r="BB873" s="28">
        <f t="shared" si="3750"/>
        <v>262.28801021383157</v>
      </c>
      <c r="BC873" s="58">
        <f t="shared" si="3750"/>
        <v>262.28801021383157</v>
      </c>
      <c r="BD873" s="28">
        <f t="shared" si="3750"/>
        <v>291.73771058796689</v>
      </c>
      <c r="BE873" s="28">
        <f t="shared" si="3750"/>
        <v>326.85307658232063</v>
      </c>
      <c r="BF873" s="58">
        <f t="shared" si="3750"/>
        <v>326.85307658232063</v>
      </c>
      <c r="BG873" s="28">
        <f t="shared" si="3750"/>
        <v>361.57399083020368</v>
      </c>
      <c r="BH873" s="28">
        <f t="shared" si="3750"/>
        <v>401.37656997913433</v>
      </c>
      <c r="BI873" s="58">
        <f t="shared" si="3750"/>
        <v>401.37656997913433</v>
      </c>
      <c r="BJ873" s="110">
        <f t="shared" si="3750"/>
        <v>439.20677954275175</v>
      </c>
      <c r="BK873" s="110">
        <f t="shared" si="3750"/>
        <v>485.24636193103521</v>
      </c>
      <c r="BL873" s="111">
        <f t="shared" si="3750"/>
        <v>485.24636193103521</v>
      </c>
      <c r="BM873" s="110">
        <f t="shared" si="3750"/>
        <v>534.11410892357685</v>
      </c>
      <c r="BN873" s="110">
        <f t="shared" si="3750"/>
        <v>589.99047813815173</v>
      </c>
      <c r="BO873" s="111">
        <f t="shared" si="3750"/>
        <v>589.99047813815173</v>
      </c>
      <c r="BP873" s="110">
        <f t="shared" si="3750"/>
        <v>657.45002205802541</v>
      </c>
      <c r="BQ873" s="110">
        <f t="shared" si="3750"/>
        <v>722.91528238664853</v>
      </c>
      <c r="BR873" s="111">
        <f t="shared" si="3750"/>
        <v>722.91528238664853</v>
      </c>
      <c r="BS873" s="28">
        <f t="shared" si="3750"/>
        <v>809.95355698905882</v>
      </c>
      <c r="BT873" s="28">
        <f t="shared" si="3750"/>
        <v>897.06372108412756</v>
      </c>
      <c r="BU873" s="184">
        <f t="shared" si="3750"/>
        <v>897.06372108412756</v>
      </c>
      <c r="BV873" s="28">
        <f t="shared" si="3750"/>
        <v>1001.01775389882</v>
      </c>
      <c r="BW873" s="28">
        <f t="shared" si="3750"/>
        <v>1107.3576209605949</v>
      </c>
      <c r="BX873" s="184">
        <f t="shared" si="3750"/>
        <v>1107.3576209605949</v>
      </c>
      <c r="BY873" s="28">
        <f t="shared" si="3750"/>
        <v>1220.3075288086322</v>
      </c>
      <c r="BZ873" s="28">
        <f t="shared" si="3750"/>
        <v>1334.2946095977773</v>
      </c>
      <c r="CA873" s="184">
        <f t="shared" si="3750"/>
        <v>1334.2946095977773</v>
      </c>
      <c r="CB873" s="28">
        <f t="shared" si="3750"/>
        <v>1462.2921436972956</v>
      </c>
      <c r="CC873" s="28">
        <f t="shared" si="3750"/>
        <v>1606.9639208185151</v>
      </c>
      <c r="CD873" s="184">
        <f t="shared" si="3750"/>
        <v>1606.9639208185151</v>
      </c>
      <c r="CE873" s="28">
        <f t="shared" si="3750"/>
        <v>1768.7828403164085</v>
      </c>
      <c r="CF873" s="28">
        <f t="shared" si="3750"/>
        <v>1944.9912156967175</v>
      </c>
      <c r="CG873" s="184">
        <f t="shared" ref="CG873:DL873" si="3751">SUM(CG870:CG872)</f>
        <v>1944.9912156967175</v>
      </c>
      <c r="CH873" s="28">
        <f t="shared" si="3751"/>
        <v>2099.6999770042603</v>
      </c>
      <c r="CI873" s="28">
        <f t="shared" si="3751"/>
        <v>2278.5912286508737</v>
      </c>
      <c r="CJ873" s="184">
        <f t="shared" si="3751"/>
        <v>2278.5912286508737</v>
      </c>
      <c r="CK873" s="28">
        <f t="shared" si="3751"/>
        <v>2480.4222469521151</v>
      </c>
      <c r="CL873" s="28">
        <f t="shared" si="3751"/>
        <v>2674.1262089890392</v>
      </c>
      <c r="CM873" s="184">
        <f t="shared" si="3751"/>
        <v>2674.1262089890392</v>
      </c>
      <c r="CN873" s="28">
        <f t="shared" si="3751"/>
        <v>2863.1487085307072</v>
      </c>
      <c r="CO873" s="28">
        <f t="shared" si="3751"/>
        <v>3090.8869956530925</v>
      </c>
      <c r="CP873" s="184">
        <f t="shared" si="3751"/>
        <v>3090.8869956530925</v>
      </c>
      <c r="CQ873" s="28">
        <f t="shared" si="3751"/>
        <v>3297.2023216626808</v>
      </c>
      <c r="CR873" s="28">
        <f t="shared" si="3751"/>
        <v>3556.6467172204948</v>
      </c>
      <c r="CS873" s="184">
        <f t="shared" si="3751"/>
        <v>3556.6467172204948</v>
      </c>
      <c r="CT873" s="28">
        <f t="shared" si="3751"/>
        <v>3822.681338133154</v>
      </c>
      <c r="CU873" s="28">
        <f t="shared" si="3751"/>
        <v>4103.8584162934467</v>
      </c>
      <c r="CV873" s="184">
        <f t="shared" si="3751"/>
        <v>4103.8584162934467</v>
      </c>
      <c r="CW873" s="28">
        <f t="shared" si="3751"/>
        <v>4418.5964301584854</v>
      </c>
      <c r="CX873" s="28">
        <f t="shared" si="3751"/>
        <v>4738.4830566704841</v>
      </c>
      <c r="CY873" s="184">
        <f t="shared" si="3751"/>
        <v>4738.4830566704841</v>
      </c>
      <c r="CZ873" s="28">
        <f t="shared" si="3751"/>
        <v>5074.2931981817601</v>
      </c>
      <c r="DA873" s="28">
        <f t="shared" si="3751"/>
        <v>5470.8145388369503</v>
      </c>
      <c r="DB873" s="184">
        <f t="shared" si="3751"/>
        <v>5470.8145388369503</v>
      </c>
      <c r="DC873" s="28">
        <f t="shared" si="3751"/>
        <v>5840.0357403523876</v>
      </c>
      <c r="DD873" s="28">
        <f t="shared" si="3751"/>
        <v>6217.7094575132378</v>
      </c>
      <c r="DE873" s="184">
        <f t="shared" si="3751"/>
        <v>6217.7094575132378</v>
      </c>
      <c r="DF873" s="28">
        <f t="shared" si="3751"/>
        <v>6657.0206162804589</v>
      </c>
      <c r="DG873" s="28">
        <f t="shared" si="3751"/>
        <v>6952.8967860212178</v>
      </c>
      <c r="DH873" s="184">
        <f t="shared" si="3751"/>
        <v>6952.8967860212178</v>
      </c>
      <c r="DI873" s="28">
        <f t="shared" si="3751"/>
        <v>7375.9150534861647</v>
      </c>
      <c r="DJ873" s="28">
        <f t="shared" si="3751"/>
        <v>7838.6129643618024</v>
      </c>
      <c r="DK873" s="184">
        <f t="shared" si="3751"/>
        <v>7838.6129643618024</v>
      </c>
      <c r="DL873" s="28">
        <f t="shared" si="3751"/>
        <v>8316.0744857654863</v>
      </c>
      <c r="DM873" s="28">
        <f t="shared" ref="DM873:EF873" si="3752">SUM(DM870:DM872)</f>
        <v>8818.5280752694744</v>
      </c>
      <c r="DN873" s="184">
        <f t="shared" si="3752"/>
        <v>8818.5280752694744</v>
      </c>
      <c r="DO873" s="28">
        <f t="shared" si="3752"/>
        <v>9397.1726380747459</v>
      </c>
      <c r="DP873" s="28">
        <f t="shared" si="3752"/>
        <v>10023.234724969094</v>
      </c>
      <c r="DQ873" s="184">
        <f t="shared" si="3752"/>
        <v>10023.234724969094</v>
      </c>
      <c r="DR873" s="28">
        <f t="shared" si="3752"/>
        <v>10727.406690836795</v>
      </c>
      <c r="DS873" s="28">
        <f t="shared" si="3752"/>
        <v>11414.991556924064</v>
      </c>
      <c r="DT873" s="184">
        <f t="shared" si="3752"/>
        <v>11414.991556924064</v>
      </c>
      <c r="DU873" s="28">
        <f t="shared" si="3752"/>
        <v>12187.663313335399</v>
      </c>
      <c r="DV873" s="28">
        <f t="shared" si="3752"/>
        <v>13058.654351402245</v>
      </c>
      <c r="DW873" s="184">
        <f t="shared" si="3752"/>
        <v>13058.654351402245</v>
      </c>
      <c r="DX873" s="28">
        <f t="shared" si="3752"/>
        <v>13934.377642691303</v>
      </c>
      <c r="DY873" s="28">
        <f t="shared" si="3752"/>
        <v>14948.995102935372</v>
      </c>
      <c r="DZ873" s="184">
        <f t="shared" si="3752"/>
        <v>14948.995102935372</v>
      </c>
      <c r="EA873" s="28">
        <f t="shared" si="3752"/>
        <v>16061.864261505507</v>
      </c>
      <c r="EB873" s="28">
        <f t="shared" si="3752"/>
        <v>17211.557744231872</v>
      </c>
      <c r="EC873" s="184">
        <f t="shared" si="3752"/>
        <v>17211.557744231872</v>
      </c>
      <c r="ED873" s="28">
        <f t="shared" si="3752"/>
        <v>18496.153742660961</v>
      </c>
      <c r="EE873" s="28">
        <f t="shared" si="3752"/>
        <v>19823.256426706837</v>
      </c>
      <c r="EF873" s="184">
        <f t="shared" si="3752"/>
        <v>19823.256426706837</v>
      </c>
      <c r="EG873" s="28">
        <f t="shared" ref="EG873:EL873" si="3753">SUM(EG870:EG872)</f>
        <v>21306.078433653522</v>
      </c>
      <c r="EH873" s="28">
        <f t="shared" si="3753"/>
        <v>22837.966332874508</v>
      </c>
      <c r="EI873" s="184">
        <f t="shared" si="3753"/>
        <v>22837.966332874508</v>
      </c>
      <c r="EJ873" s="28">
        <f t="shared" si="3753"/>
        <v>24549.602603713134</v>
      </c>
      <c r="EK873" s="28">
        <f t="shared" si="3753"/>
        <v>26317.876124662915</v>
      </c>
      <c r="EL873" s="184">
        <f t="shared" si="3753"/>
        <v>26317.876124662915</v>
      </c>
      <c r="EM873" s="28">
        <f t="shared" ref="EM873:ER873" si="3754">SUM(EM870:EM872)</f>
        <v>28293.634988454647</v>
      </c>
      <c r="EN873" s="28">
        <f t="shared" si="3754"/>
        <v>30334.770796422185</v>
      </c>
      <c r="EO873" s="184">
        <f t="shared" si="3754"/>
        <v>30334.770796422185</v>
      </c>
      <c r="EP873" s="28">
        <f t="shared" si="3754"/>
        <v>32615.409010485626</v>
      </c>
      <c r="EQ873" s="28">
        <f t="shared" si="3754"/>
        <v>34971.512484980638</v>
      </c>
      <c r="ER873" s="184">
        <f t="shared" si="3754"/>
        <v>34971.512484980638</v>
      </c>
      <c r="ES873" s="28">
        <f t="shared" ref="ES873:EX873" si="3755">SUM(ES870:ES872)</f>
        <v>37604.075981856207</v>
      </c>
      <c r="ET873" s="28">
        <f t="shared" si="3755"/>
        <v>40323.749783500542</v>
      </c>
      <c r="EU873" s="184">
        <f t="shared" si="3755"/>
        <v>40323.749783500542</v>
      </c>
      <c r="EV873" s="28">
        <f t="shared" si="3755"/>
        <v>43362.544153578972</v>
      </c>
      <c r="EW873" s="28">
        <f t="shared" si="3755"/>
        <v>46501.890819555047</v>
      </c>
      <c r="EX873" s="184">
        <f t="shared" si="3755"/>
        <v>46501.890819555047</v>
      </c>
      <c r="EY873" s="28">
        <f t="shared" ref="EY873:FA873" si="3756">SUM(EY870:EY872)</f>
        <v>50009.601548880288</v>
      </c>
      <c r="EZ873" s="28">
        <f t="shared" si="3756"/>
        <v>53633.380798883125</v>
      </c>
      <c r="FA873" s="184">
        <f t="shared" si="3756"/>
        <v>53633.380798883125</v>
      </c>
      <c r="FH873" s="35"/>
      <c r="FI873" s="35"/>
      <c r="FJ873" s="35"/>
      <c r="FK873" s="35"/>
      <c r="FL873" s="35"/>
      <c r="FM873" s="35"/>
      <c r="FN873" s="35"/>
      <c r="FO873" s="35"/>
      <c r="FP873" s="35"/>
      <c r="FQ873" s="35"/>
    </row>
    <row r="874" spans="1:173" s="321" customFormat="1" hidden="1" outlineLevel="1">
      <c r="A874" s="1168"/>
      <c r="B874" s="186"/>
      <c r="C874" s="186"/>
      <c r="D874" s="910"/>
      <c r="E874" s="1"/>
      <c r="F874" s="1"/>
      <c r="G874" s="5"/>
      <c r="H874" s="1"/>
      <c r="I874" s="1"/>
      <c r="J874" s="5"/>
      <c r="K874" s="1"/>
      <c r="L874" s="1"/>
      <c r="M874" s="5"/>
      <c r="N874" s="1"/>
      <c r="O874" s="1"/>
      <c r="P874" s="5"/>
      <c r="Q874" s="1"/>
      <c r="R874" s="1"/>
      <c r="S874" s="5"/>
      <c r="T874" s="1"/>
      <c r="U874" s="1"/>
      <c r="V874" s="5"/>
      <c r="W874" s="1"/>
      <c r="X874" s="1"/>
      <c r="Y874" s="5"/>
      <c r="Z874" s="1"/>
      <c r="AA874" s="1"/>
      <c r="AB874" s="5"/>
      <c r="AC874" s="1"/>
      <c r="AD874" s="1"/>
      <c r="AE874" s="5"/>
      <c r="AF874" s="1"/>
      <c r="AG874" s="1"/>
      <c r="AH874" s="5"/>
      <c r="AI874" s="1"/>
      <c r="AJ874" s="1"/>
      <c r="AK874" s="5"/>
      <c r="AL874" s="1"/>
      <c r="AM874" s="1"/>
      <c r="AN874" s="5"/>
      <c r="AO874" s="1"/>
      <c r="AP874" s="1"/>
      <c r="AQ874" s="5"/>
      <c r="AR874" s="1"/>
      <c r="AS874" s="1"/>
      <c r="AT874" s="5"/>
      <c r="AU874" s="1"/>
      <c r="AV874" s="1"/>
      <c r="AW874" s="5"/>
      <c r="AX874" s="1"/>
      <c r="AY874" s="1"/>
      <c r="AZ874" s="5"/>
      <c r="BA874" s="1"/>
      <c r="BB874" s="1"/>
      <c r="BC874" s="46"/>
      <c r="BD874" s="1"/>
      <c r="BE874" s="1"/>
      <c r="BF874" s="46"/>
      <c r="BG874" s="1"/>
      <c r="BH874" s="1"/>
      <c r="BI874" s="51"/>
      <c r="BJ874" s="115"/>
      <c r="BK874" s="115"/>
      <c r="BL874" s="116"/>
      <c r="BM874" s="115"/>
      <c r="BN874" s="115"/>
      <c r="BO874" s="116"/>
      <c r="BP874" s="115"/>
      <c r="BQ874" s="115"/>
      <c r="BR874" s="116"/>
      <c r="BS874" s="8"/>
      <c r="BT874" s="8"/>
      <c r="BU874" s="9"/>
      <c r="BV874" s="8"/>
      <c r="BW874" s="8"/>
      <c r="BX874" s="187"/>
      <c r="BY874" s="8"/>
      <c r="BZ874" s="8"/>
      <c r="CA874" s="187"/>
      <c r="CB874" s="8"/>
      <c r="CC874" s="8"/>
      <c r="CD874" s="187"/>
      <c r="CE874" s="8"/>
      <c r="CF874" s="8"/>
      <c r="CG874" s="187"/>
      <c r="CH874" s="8"/>
      <c r="CI874" s="8"/>
      <c r="CJ874" s="187"/>
      <c r="CK874" s="8"/>
      <c r="CL874" s="8"/>
      <c r="CM874" s="187"/>
      <c r="CN874" s="8"/>
      <c r="CO874" s="8"/>
      <c r="CP874" s="187"/>
      <c r="CQ874" s="8"/>
      <c r="CR874" s="8"/>
      <c r="CS874" s="187"/>
      <c r="CT874" s="8"/>
      <c r="CU874" s="8"/>
      <c r="CV874" s="187"/>
      <c r="CW874" s="8"/>
      <c r="CX874" s="8"/>
      <c r="CY874" s="9"/>
      <c r="CZ874" s="8"/>
      <c r="DA874" s="8"/>
      <c r="DB874" s="9"/>
      <c r="DC874" s="8"/>
      <c r="DD874" s="8"/>
      <c r="DE874" s="9"/>
      <c r="DF874" s="8"/>
      <c r="DG874" s="8"/>
      <c r="DH874" s="9"/>
      <c r="DI874" s="8"/>
      <c r="DJ874" s="8"/>
      <c r="DK874" s="9"/>
      <c r="DL874" s="8"/>
      <c r="DM874" s="8"/>
      <c r="DN874" s="9"/>
      <c r="DO874" s="8"/>
      <c r="DP874" s="8"/>
      <c r="DQ874" s="9"/>
      <c r="DR874" s="8"/>
      <c r="DS874" s="8"/>
      <c r="DT874" s="9"/>
      <c r="DU874" s="8"/>
      <c r="DV874" s="8"/>
      <c r="DW874" s="9"/>
      <c r="DX874" s="8"/>
      <c r="DY874" s="8"/>
      <c r="DZ874" s="9"/>
      <c r="EA874" s="8"/>
      <c r="EB874" s="8"/>
      <c r="EC874" s="9"/>
      <c r="ED874" s="8"/>
      <c r="EE874" s="8"/>
      <c r="EF874" s="9"/>
      <c r="EG874" s="8"/>
      <c r="EH874" s="8"/>
      <c r="EI874" s="9"/>
      <c r="EJ874" s="8"/>
      <c r="EK874" s="8"/>
      <c r="EL874" s="9"/>
      <c r="EM874" s="8"/>
      <c r="EN874" s="8"/>
      <c r="EO874" s="9"/>
      <c r="EP874" s="8"/>
      <c r="EQ874" s="8"/>
      <c r="ER874" s="9"/>
      <c r="ES874" s="8"/>
      <c r="ET874" s="8"/>
      <c r="EU874" s="9"/>
      <c r="EV874" s="8"/>
      <c r="EW874" s="8"/>
      <c r="EX874" s="9"/>
      <c r="EY874" s="8"/>
      <c r="EZ874" s="8"/>
      <c r="FA874" s="9"/>
      <c r="FH874" s="35"/>
      <c r="FI874" s="35"/>
      <c r="FJ874" s="35"/>
      <c r="FK874" s="35"/>
      <c r="FL874" s="35"/>
      <c r="FM874" s="35"/>
      <c r="FN874" s="35"/>
      <c r="FO874" s="35"/>
      <c r="FP874" s="35"/>
      <c r="FQ874" s="35"/>
    </row>
    <row r="875" spans="1:173" s="321" customFormat="1" hidden="1" outlineLevel="1">
      <c r="A875" s="1168"/>
      <c r="B875" s="186"/>
      <c r="C875" s="331" t="s">
        <v>332</v>
      </c>
      <c r="D875" s="910"/>
      <c r="E875" s="1"/>
      <c r="F875" s="1"/>
      <c r="G875" s="5"/>
      <c r="H875" s="1"/>
      <c r="I875" s="1"/>
      <c r="J875" s="5"/>
      <c r="K875" s="1"/>
      <c r="L875" s="1"/>
      <c r="M875" s="5"/>
      <c r="N875" s="1"/>
      <c r="O875" s="1"/>
      <c r="P875" s="5"/>
      <c r="Q875" s="1"/>
      <c r="R875" s="1"/>
      <c r="S875" s="5"/>
      <c r="T875" s="1"/>
      <c r="U875" s="1"/>
      <c r="V875" s="5"/>
      <c r="W875" s="1"/>
      <c r="X875" s="1"/>
      <c r="Y875" s="5"/>
      <c r="Z875" s="1"/>
      <c r="AA875" s="1"/>
      <c r="AB875" s="5"/>
      <c r="AC875" s="1"/>
      <c r="AD875" s="1"/>
      <c r="AE875" s="5"/>
      <c r="AF875" s="1"/>
      <c r="AG875" s="1"/>
      <c r="AH875" s="5"/>
      <c r="AI875" s="1"/>
      <c r="AJ875" s="1"/>
      <c r="AK875" s="5"/>
      <c r="AL875" s="1"/>
      <c r="AM875" s="1"/>
      <c r="AN875" s="5"/>
      <c r="AO875" s="1"/>
      <c r="AP875" s="1"/>
      <c r="AQ875" s="5"/>
      <c r="AR875" s="1"/>
      <c r="AS875" s="1"/>
      <c r="AT875" s="5"/>
      <c r="AU875" s="1"/>
      <c r="AV875" s="1"/>
      <c r="AW875" s="5"/>
      <c r="AX875" s="1"/>
      <c r="AY875" s="1"/>
      <c r="AZ875" s="5"/>
      <c r="BA875" s="1"/>
      <c r="BB875" s="1"/>
      <c r="BC875" s="46"/>
      <c r="BD875" s="1"/>
      <c r="BE875" s="1"/>
      <c r="BF875" s="46"/>
      <c r="BG875" s="1"/>
      <c r="BH875" s="1"/>
      <c r="BI875" s="51"/>
      <c r="BJ875" s="115"/>
      <c r="BK875" s="115"/>
      <c r="BL875" s="116"/>
      <c r="BM875" s="115"/>
      <c r="BN875" s="115"/>
      <c r="BO875" s="116"/>
      <c r="BP875" s="115"/>
      <c r="BQ875" s="115"/>
      <c r="BR875" s="116"/>
      <c r="BS875" s="8"/>
      <c r="BT875" s="8"/>
      <c r="BU875" s="9"/>
      <c r="BV875" s="8"/>
      <c r="BW875" s="8"/>
      <c r="BX875" s="187"/>
      <c r="BY875" s="8"/>
      <c r="BZ875" s="8"/>
      <c r="CA875" s="187"/>
      <c r="CB875" s="8"/>
      <c r="CC875" s="8"/>
      <c r="CD875" s="187"/>
      <c r="CE875" s="8"/>
      <c r="CF875" s="8"/>
      <c r="CG875" s="187"/>
      <c r="CH875" s="8"/>
      <c r="CI875" s="8"/>
      <c r="CJ875" s="187"/>
      <c r="CK875" s="8"/>
      <c r="CL875" s="8"/>
      <c r="CM875" s="187"/>
      <c r="CN875" s="8"/>
      <c r="CO875" s="8"/>
      <c r="CP875" s="187"/>
      <c r="CQ875" s="8"/>
      <c r="CR875" s="8"/>
      <c r="CS875" s="187"/>
      <c r="CT875" s="8"/>
      <c r="CU875" s="8"/>
      <c r="CV875" s="187"/>
      <c r="CW875" s="8"/>
      <c r="CX875" s="8"/>
      <c r="CY875" s="9"/>
      <c r="CZ875" s="8"/>
      <c r="DA875" s="8"/>
      <c r="DB875" s="9"/>
      <c r="DC875" s="8"/>
      <c r="DD875" s="8"/>
      <c r="DE875" s="9"/>
      <c r="DF875" s="8"/>
      <c r="DG875" s="8"/>
      <c r="DH875" s="9"/>
      <c r="DI875" s="8"/>
      <c r="DJ875" s="8"/>
      <c r="DK875" s="9"/>
      <c r="DL875" s="8"/>
      <c r="DM875" s="8"/>
      <c r="DN875" s="9"/>
      <c r="DO875" s="8"/>
      <c r="DP875" s="8"/>
      <c r="DQ875" s="9"/>
      <c r="DR875" s="8"/>
      <c r="DS875" s="8"/>
      <c r="DT875" s="9"/>
      <c r="DU875" s="8"/>
      <c r="DV875" s="8"/>
      <c r="DW875" s="9"/>
      <c r="DX875" s="8"/>
      <c r="DY875" s="8"/>
      <c r="DZ875" s="9"/>
      <c r="EA875" s="8"/>
      <c r="EB875" s="8"/>
      <c r="EC875" s="9"/>
      <c r="ED875" s="8"/>
      <c r="EE875" s="8"/>
      <c r="EF875" s="9"/>
      <c r="EG875" s="8"/>
      <c r="EH875" s="8"/>
      <c r="EI875" s="9"/>
      <c r="EJ875" s="8"/>
      <c r="EK875" s="8"/>
      <c r="EL875" s="9"/>
      <c r="EM875" s="8"/>
      <c r="EN875" s="8"/>
      <c r="EO875" s="9"/>
      <c r="EP875" s="8"/>
      <c r="EQ875" s="8"/>
      <c r="ER875" s="9"/>
      <c r="ES875" s="8"/>
      <c r="ET875" s="8"/>
      <c r="EU875" s="9"/>
      <c r="EV875" s="8"/>
      <c r="EW875" s="8"/>
      <c r="EX875" s="9"/>
      <c r="EY875" s="8"/>
      <c r="EZ875" s="8"/>
      <c r="FA875" s="9"/>
      <c r="FH875" s="35"/>
      <c r="FI875" s="35"/>
      <c r="FJ875" s="35"/>
      <c r="FK875" s="35"/>
      <c r="FL875" s="35"/>
      <c r="FM875" s="35"/>
      <c r="FN875" s="35"/>
      <c r="FO875" s="35"/>
      <c r="FP875" s="35"/>
      <c r="FQ875" s="35"/>
    </row>
    <row r="876" spans="1:173" s="321" customFormat="1" hidden="1" outlineLevel="1">
      <c r="A876" s="1168"/>
      <c r="B876" s="186"/>
      <c r="C876" s="186" t="s">
        <v>316</v>
      </c>
      <c r="D876" s="910"/>
      <c r="E876" s="1"/>
      <c r="F876" s="1"/>
      <c r="G876" s="5"/>
      <c r="H876" s="1"/>
      <c r="I876" s="1"/>
      <c r="J876" s="5"/>
      <c r="K876" s="1"/>
      <c r="L876" s="1"/>
      <c r="M876" s="5"/>
      <c r="N876" s="1"/>
      <c r="O876" s="1"/>
      <c r="P876" s="5"/>
      <c r="Q876" s="1"/>
      <c r="R876" s="1"/>
      <c r="S876" s="5"/>
      <c r="T876" s="1"/>
      <c r="U876" s="1"/>
      <c r="V876" s="5"/>
      <c r="W876" s="1"/>
      <c r="X876" s="1"/>
      <c r="Y876" s="5"/>
      <c r="Z876" s="1"/>
      <c r="AA876" s="1"/>
      <c r="AB876" s="5"/>
      <c r="AC876" s="1"/>
      <c r="AD876" s="1"/>
      <c r="AE876" s="5"/>
      <c r="AF876" s="1"/>
      <c r="AG876" s="1"/>
      <c r="AH876" s="5"/>
      <c r="AI876" s="1"/>
      <c r="AJ876" s="1"/>
      <c r="AK876" s="5"/>
      <c r="AL876" s="1"/>
      <c r="AM876" s="1"/>
      <c r="AN876" s="5"/>
      <c r="AO876" s="1"/>
      <c r="AP876" s="1"/>
      <c r="AQ876" s="5"/>
      <c r="AR876" s="1"/>
      <c r="AS876" s="1"/>
      <c r="AT876" s="5"/>
      <c r="AU876" s="1"/>
      <c r="AV876" s="1"/>
      <c r="AW876" s="5"/>
      <c r="AX876" s="184">
        <f>(AX751*AX816*AX840)</f>
        <v>3467.3278236914603</v>
      </c>
      <c r="AY876" s="184">
        <f>AX876+(AY745*AY816*AY840)</f>
        <v>3842.3278236914603</v>
      </c>
      <c r="AZ876" s="184">
        <f>AY876</f>
        <v>3842.3278236914603</v>
      </c>
      <c r="BA876" s="28">
        <f t="shared" ref="BA876:BB878" si="3757">AZ876+(BA745*BA816*BA840)</f>
        <v>4175.5978236914607</v>
      </c>
      <c r="BB876" s="28">
        <f t="shared" si="3757"/>
        <v>4604.0878236914605</v>
      </c>
      <c r="BC876" s="58">
        <f>BB876</f>
        <v>4604.0878236914605</v>
      </c>
      <c r="BD876" s="28">
        <f t="shared" ref="BD876:BE878" si="3758">BC876+(BD745*BD816*BD840)</f>
        <v>4969.0284717914601</v>
      </c>
      <c r="BE876" s="28">
        <f t="shared" si="3758"/>
        <v>5418.6407231978601</v>
      </c>
      <c r="BF876" s="58">
        <f>BE876</f>
        <v>5418.6407231978601</v>
      </c>
      <c r="BG876" s="28">
        <f t="shared" ref="BG876:BH878" si="3759">BF876+(BG745*BG816*BG840)</f>
        <v>5838.6150466438794</v>
      </c>
      <c r="BH876" s="28">
        <f t="shared" si="3759"/>
        <v>6293.0817269431564</v>
      </c>
      <c r="BI876" s="58">
        <f>BH876</f>
        <v>6293.0817269431564</v>
      </c>
      <c r="BJ876" s="110">
        <f t="shared" ref="BJ876:BK878" si="3760">BI876+(BJ745*BJ816*BJ840)</f>
        <v>6671.5866517614431</v>
      </c>
      <c r="BK876" s="110">
        <f t="shared" si="3760"/>
        <v>7164.0877229022417</v>
      </c>
      <c r="BL876" s="111">
        <f>BK876</f>
        <v>7164.0877229022417</v>
      </c>
      <c r="BM876" s="110">
        <f t="shared" ref="BM876:BN878" si="3761">BL876+(BM745*BM816*BM840)</f>
        <v>7656.57623585081</v>
      </c>
      <c r="BN876" s="110">
        <f t="shared" si="3761"/>
        <v>8181.02929898401</v>
      </c>
      <c r="BO876" s="111">
        <f>BN876</f>
        <v>8181.02929898401</v>
      </c>
      <c r="BP876" s="110">
        <f t="shared" ref="BP876:BQ878" si="3762">BO876+(BP745*BP816*BP840)</f>
        <v>8804.729556483413</v>
      </c>
      <c r="BQ876" s="110">
        <f t="shared" si="3762"/>
        <v>9366.5367890382749</v>
      </c>
      <c r="BR876" s="111">
        <f>BQ876</f>
        <v>9366.5367890382749</v>
      </c>
      <c r="BS876" s="28">
        <f t="shared" ref="BS876:BT878" si="3763">BR876+(BS745*BS816*BS840)</f>
        <v>10091.079398971211</v>
      </c>
      <c r="BT876" s="28">
        <f t="shared" si="3763"/>
        <v>10773.283366430782</v>
      </c>
      <c r="BU876" s="184">
        <f>BT876</f>
        <v>10773.283366430782</v>
      </c>
      <c r="BV876" s="28">
        <f t="shared" ref="BV876:BW878" si="3764">BU876+(BV745*BV816*BV840)</f>
        <v>11518.385597463175</v>
      </c>
      <c r="BW876" s="28">
        <f t="shared" si="3764"/>
        <v>12240.085217855645</v>
      </c>
      <c r="BX876" s="184">
        <f>BW876</f>
        <v>12240.085217855645</v>
      </c>
      <c r="BY876" s="28">
        <f t="shared" ref="BY876:BZ878" si="3765">BX876+(BY745*BY816*BY840)</f>
        <v>12968.195578784904</v>
      </c>
      <c r="BZ876" s="28">
        <f t="shared" si="3765"/>
        <v>13676.014028678745</v>
      </c>
      <c r="CA876" s="184">
        <f>BZ876</f>
        <v>13676.014028678745</v>
      </c>
      <c r="CB876" s="28">
        <f t="shared" ref="CB876:CC878" si="3766">CA876+(CB745*CB816*CB840)</f>
        <v>14433.174260106422</v>
      </c>
      <c r="CC876" s="28">
        <f t="shared" si="3766"/>
        <v>15262.175475532787</v>
      </c>
      <c r="CD876" s="184">
        <f>CC876</f>
        <v>15262.175475532787</v>
      </c>
      <c r="CE876" s="28">
        <f t="shared" ref="CE876:CF878" si="3767">CD876+(CE745*CE816*CE840)</f>
        <v>16091.288643753036</v>
      </c>
      <c r="CF876" s="28">
        <f t="shared" si="3767"/>
        <v>16999.069844681369</v>
      </c>
      <c r="CG876" s="184">
        <f>CF876</f>
        <v>16999.069844681369</v>
      </c>
      <c r="CH876" s="28">
        <f t="shared" ref="CH876:CI878" si="3768">CG876+(CH745*CH816*CH840)</f>
        <v>17687.54597590055</v>
      </c>
      <c r="CI876" s="28">
        <f t="shared" si="3768"/>
        <v>18516.205177931599</v>
      </c>
      <c r="CJ876" s="184">
        <f>CI876</f>
        <v>18516.205177931599</v>
      </c>
      <c r="CK876" s="28">
        <f t="shared" ref="CK876:CL878" si="3769">CJ876+(CK745*CK816*CK840)</f>
        <v>19234.695670194145</v>
      </c>
      <c r="CL876" s="28">
        <f t="shared" si="3769"/>
        <v>19937.189897925542</v>
      </c>
      <c r="CM876" s="184">
        <f>CL876</f>
        <v>19937.189897925542</v>
      </c>
      <c r="CN876" s="28">
        <f t="shared" ref="CN876:CO878" si="3770">CM876+(CN745*CN816*CN840)</f>
        <v>20607.723565368149</v>
      </c>
      <c r="CO876" s="28">
        <f t="shared" si="3770"/>
        <v>21375.930962089336</v>
      </c>
      <c r="CP876" s="184">
        <f>CO876</f>
        <v>21375.930962089336</v>
      </c>
      <c r="CQ876" s="28">
        <f t="shared" ref="CQ876:CR878" si="3771">CP876+(CQ745*CQ816*CQ840)</f>
        <v>22122.955087111794</v>
      </c>
      <c r="CR876" s="28">
        <f t="shared" si="3771"/>
        <v>22964.165232743395</v>
      </c>
      <c r="CS876" s="184">
        <f>CR876</f>
        <v>22964.165232743395</v>
      </c>
      <c r="CT876" s="28">
        <f t="shared" ref="CT876:CU878" si="3772">CS876+(CT745*CT816*CT840)</f>
        <v>23746.613241774416</v>
      </c>
      <c r="CU876" s="28">
        <f t="shared" si="3772"/>
        <v>24571.477920284797</v>
      </c>
      <c r="CV876" s="184">
        <f>CU876</f>
        <v>24571.477920284797</v>
      </c>
      <c r="CW876" s="28">
        <f t="shared" ref="CW876:CX878" si="3773">CV876+(CW745*CW816*CW840)</f>
        <v>25461.602559744199</v>
      </c>
      <c r="CX876" s="28">
        <f t="shared" si="3773"/>
        <v>26350.507852677132</v>
      </c>
      <c r="CY876" s="184">
        <f>CX876</f>
        <v>26350.507852677132</v>
      </c>
      <c r="CZ876" s="28">
        <f t="shared" ref="CZ876:DA878" si="3774">CY876+(CZ745*CZ816*CZ840)</f>
        <v>27292.658653053011</v>
      </c>
      <c r="DA876" s="28">
        <f t="shared" si="3774"/>
        <v>28215.251678777517</v>
      </c>
      <c r="DB876" s="184">
        <f>DA876</f>
        <v>28215.251678777517</v>
      </c>
      <c r="DC876" s="28">
        <f t="shared" ref="DC876:DD878" si="3775">DB876+(DC745*DC816*DC840)</f>
        <v>29094.425351053069</v>
      </c>
      <c r="DD876" s="28">
        <f t="shared" si="3775"/>
        <v>29876.284191447507</v>
      </c>
      <c r="DE876" s="184">
        <f>DD876</f>
        <v>29876.284191447507</v>
      </c>
      <c r="DF876" s="28">
        <f t="shared" ref="DF876:DG878" si="3776">DE876+(DF745*DF816*DF840)</f>
        <v>30797.148279262368</v>
      </c>
      <c r="DG876" s="28">
        <f t="shared" si="3776"/>
        <v>31355.512770130055</v>
      </c>
      <c r="DH876" s="184">
        <f>DG876</f>
        <v>31355.512770130055</v>
      </c>
      <c r="DI876" s="28">
        <f t="shared" ref="DI876:DJ878" si="3777">DH876+(DI745*DI816*DI840)</f>
        <v>32141.066381825487</v>
      </c>
      <c r="DJ876" s="28">
        <f t="shared" si="3777"/>
        <v>32934.273291692982</v>
      </c>
      <c r="DK876" s="184">
        <f>DJ876</f>
        <v>32934.273291692982</v>
      </c>
      <c r="DL876" s="28">
        <f>DK876+(DL745*DL816*DL840)</f>
        <v>33688.302081305315</v>
      </c>
      <c r="DM876" s="28">
        <f t="shared" ref="DM876:DM878" si="3778">DL876+(DM745*DM816*DM840)</f>
        <v>34478.064157778063</v>
      </c>
      <c r="DN876" s="184">
        <f>DM876</f>
        <v>34478.064157778063</v>
      </c>
      <c r="DO876" s="28">
        <f t="shared" ref="DO876:DP878" si="3779">DN876+(DO745*DO816*DO840)</f>
        <v>35335.866942344968</v>
      </c>
      <c r="DP876" s="28">
        <f t="shared" si="3779"/>
        <v>36267.700211913652</v>
      </c>
      <c r="DQ876" s="184">
        <f>DP876</f>
        <v>36267.700211913652</v>
      </c>
      <c r="DR876" s="28">
        <f t="shared" ref="DR876:DS878" si="3780">DQ876+(DR745*DR816*DR840)</f>
        <v>37249.239045193957</v>
      </c>
      <c r="DS876" s="28">
        <f t="shared" si="3780"/>
        <v>38141.820921679646</v>
      </c>
      <c r="DT876" s="184">
        <f>DS876</f>
        <v>38141.820921679646</v>
      </c>
      <c r="DU876" s="28">
        <f t="shared" ref="DU876:DV878" si="3781">DT876+(DU745*DU816*DU840)</f>
        <v>39067.819293508372</v>
      </c>
      <c r="DV876" s="28">
        <f t="shared" si="3781"/>
        <v>40053.352817727922</v>
      </c>
      <c r="DW876" s="184">
        <f>DV876</f>
        <v>40053.352817727922</v>
      </c>
      <c r="DX876" s="28">
        <f t="shared" ref="DX876:DY878" si="3782">DW876+(DX745*DX816*DX840)</f>
        <v>41012.083857271544</v>
      </c>
      <c r="DY876" s="28">
        <f t="shared" si="3782"/>
        <v>42044.351381209584</v>
      </c>
      <c r="DZ876" s="184">
        <f>DY876</f>
        <v>42044.351381209584</v>
      </c>
      <c r="EA876" s="28">
        <f t="shared" ref="EA876:EB878" si="3783">DZ876+(EA745*EA816*EA840)</f>
        <v>43139.83581623371</v>
      </c>
      <c r="EB876" s="28">
        <f t="shared" si="3783"/>
        <v>44191.565712068077</v>
      </c>
      <c r="EC876" s="184">
        <f>EB876</f>
        <v>44191.565712068077</v>
      </c>
      <c r="ED876" s="28">
        <f t="shared" ref="ED876:EE878" si="3784">EC876+(ED745*ED816*ED840)</f>
        <v>45328.566816210747</v>
      </c>
      <c r="EE876" s="28">
        <f t="shared" si="3784"/>
        <v>46420.155171637445</v>
      </c>
      <c r="EF876" s="184">
        <f>EE876</f>
        <v>46420.155171637445</v>
      </c>
      <c r="EG876" s="28">
        <f t="shared" ref="EG876:EH878" si="3785">EF876+(EG745*EG816*EG840)</f>
        <v>47600.246343624916</v>
      </c>
      <c r="EH876" s="28">
        <f t="shared" si="3785"/>
        <v>48733.203714545576</v>
      </c>
      <c r="EI876" s="184">
        <f>EH876</f>
        <v>48733.203714545576</v>
      </c>
      <c r="EJ876" s="28">
        <f t="shared" ref="EJ876:EK878" si="3786">EI876+(EJ745*EJ816*EJ840)</f>
        <v>49958.01798176903</v>
      </c>
      <c r="EK876" s="28">
        <f t="shared" si="3786"/>
        <v>51133.912171132841</v>
      </c>
      <c r="EL876" s="184">
        <f>EK876</f>
        <v>51133.912171132841</v>
      </c>
      <c r="EM876" s="28">
        <f t="shared" ref="EM876:EN878" si="3787">EL876+(EM745*EM816*EM840)</f>
        <v>52405.144449455525</v>
      </c>
      <c r="EN876" s="28">
        <f t="shared" si="3787"/>
        <v>53625.602676807845</v>
      </c>
      <c r="EO876" s="184">
        <f>EN876</f>
        <v>53625.602676807845</v>
      </c>
      <c r="EP876" s="28">
        <f t="shared" ref="EP876:EQ878" si="3788">EO876+(EP745*EP816*EP840)</f>
        <v>54945.012116014404</v>
      </c>
      <c r="EQ876" s="28">
        <f t="shared" si="3788"/>
        <v>56211.723269266928</v>
      </c>
      <c r="ER876" s="184">
        <f>EQ876</f>
        <v>56211.723269266928</v>
      </c>
      <c r="ES876" s="28">
        <f t="shared" ref="ES876:ES878" si="3789">ER876+(ES745*ES816*ES840)</f>
        <v>57581.135687400536</v>
      </c>
      <c r="ET876" s="28">
        <f t="shared" ref="ET876:ET878" si="3790">ES876+(ET745*ET816*ET840)</f>
        <v>58895.852659939017</v>
      </c>
      <c r="EU876" s="184">
        <f>ET876</f>
        <v>58895.852659939017</v>
      </c>
      <c r="EV876" s="28">
        <f t="shared" ref="EV876:EV878" si="3791">EU876+(EV745*EV816*EV840)</f>
        <v>60317.163069895054</v>
      </c>
      <c r="EW876" s="28">
        <f t="shared" ref="EW876:EW878" si="3792">EV876+(EW745*EW816*EW840)</f>
        <v>61681.705186258805</v>
      </c>
      <c r="EX876" s="184">
        <f>EW876</f>
        <v>61681.705186258805</v>
      </c>
      <c r="EY876" s="28">
        <f t="shared" ref="EY876:EY878" si="3793">EX876+(EY745*EY816*EY840)</f>
        <v>63156.880418131354</v>
      </c>
      <c r="EZ876" s="28">
        <f t="shared" ref="EZ876:EZ878" si="3794">EY876+(EZ745*EZ816*EZ840)</f>
        <v>64573.135951621058</v>
      </c>
      <c r="FA876" s="184">
        <f>EZ876</f>
        <v>64573.135951621058</v>
      </c>
      <c r="FH876" s="35"/>
      <c r="FI876" s="35"/>
      <c r="FJ876" s="35"/>
      <c r="FK876" s="35"/>
      <c r="FL876" s="35"/>
      <c r="FM876" s="35"/>
      <c r="FN876" s="35"/>
      <c r="FO876" s="35"/>
      <c r="FP876" s="35"/>
      <c r="FQ876" s="35"/>
    </row>
    <row r="877" spans="1:173" s="321" customFormat="1" hidden="1" outlineLevel="1">
      <c r="A877" s="1168"/>
      <c r="B877" s="186"/>
      <c r="C877" s="186" t="s">
        <v>317</v>
      </c>
      <c r="D877" s="910"/>
      <c r="E877" s="1"/>
      <c r="F877" s="1"/>
      <c r="G877" s="5"/>
      <c r="H877" s="1"/>
      <c r="I877" s="1"/>
      <c r="J877" s="5"/>
      <c r="K877" s="1"/>
      <c r="L877" s="1"/>
      <c r="M877" s="5"/>
      <c r="N877" s="1"/>
      <c r="O877" s="1"/>
      <c r="P877" s="5"/>
      <c r="Q877" s="1"/>
      <c r="R877" s="1"/>
      <c r="S877" s="5"/>
      <c r="T877" s="1"/>
      <c r="U877" s="1"/>
      <c r="V877" s="5"/>
      <c r="W877" s="1"/>
      <c r="X877" s="1"/>
      <c r="Y877" s="5"/>
      <c r="Z877" s="1"/>
      <c r="AA877" s="1"/>
      <c r="AB877" s="5"/>
      <c r="AC877" s="1"/>
      <c r="AD877" s="1"/>
      <c r="AE877" s="5"/>
      <c r="AF877" s="1"/>
      <c r="AG877" s="1"/>
      <c r="AH877" s="5"/>
      <c r="AI877" s="1"/>
      <c r="AJ877" s="1"/>
      <c r="AK877" s="5"/>
      <c r="AL877" s="1"/>
      <c r="AM877" s="1"/>
      <c r="AN877" s="5"/>
      <c r="AO877" s="1"/>
      <c r="AP877" s="1"/>
      <c r="AQ877" s="5"/>
      <c r="AR877" s="1"/>
      <c r="AS877" s="1"/>
      <c r="AT877" s="5"/>
      <c r="AU877" s="1"/>
      <c r="AV877" s="1"/>
      <c r="AW877" s="5"/>
      <c r="AX877" s="184">
        <f>(AX752*AX817*AX841)</f>
        <v>1744.6517119244393</v>
      </c>
      <c r="AY877" s="184">
        <f>AX877+(AY746*AY817*AY841)</f>
        <v>1983.5174179833646</v>
      </c>
      <c r="AZ877" s="184">
        <f>AY877</f>
        <v>1983.5174179833646</v>
      </c>
      <c r="BA877" s="28">
        <f t="shared" si="3757"/>
        <v>2207.9645608405076</v>
      </c>
      <c r="BB877" s="28">
        <f t="shared" si="3757"/>
        <v>2480.902071211678</v>
      </c>
      <c r="BC877" s="58">
        <f>BB877</f>
        <v>2480.902071211678</v>
      </c>
      <c r="BD877" s="28">
        <f t="shared" si="3758"/>
        <v>2740.5072746646192</v>
      </c>
      <c r="BE877" s="28">
        <f t="shared" si="3758"/>
        <v>3070.5934656994641</v>
      </c>
      <c r="BF877" s="58">
        <f>BE877</f>
        <v>3070.5934656994641</v>
      </c>
      <c r="BG877" s="28">
        <f t="shared" si="3759"/>
        <v>3329.5480564144113</v>
      </c>
      <c r="BH877" s="28">
        <f t="shared" si="3759"/>
        <v>3632.8128709655093</v>
      </c>
      <c r="BI877" s="58">
        <f>BH877</f>
        <v>3632.8128709655093</v>
      </c>
      <c r="BJ877" s="110">
        <f t="shared" si="3760"/>
        <v>3903.90618748</v>
      </c>
      <c r="BK877" s="110">
        <f t="shared" si="3760"/>
        <v>4221.3868088191593</v>
      </c>
      <c r="BL877" s="111">
        <f>BK877</f>
        <v>4221.3868088191593</v>
      </c>
      <c r="BM877" s="110">
        <f t="shared" si="3761"/>
        <v>4503.0766886628971</v>
      </c>
      <c r="BN877" s="110">
        <f t="shared" si="3761"/>
        <v>4851.3321035431954</v>
      </c>
      <c r="BO877" s="111">
        <f>BN877</f>
        <v>4851.3321035431954</v>
      </c>
      <c r="BP877" s="110">
        <f t="shared" si="3762"/>
        <v>5191.9779850989489</v>
      </c>
      <c r="BQ877" s="110">
        <f t="shared" si="3762"/>
        <v>5556.7476717528707</v>
      </c>
      <c r="BR877" s="111">
        <f>BQ877</f>
        <v>5556.7476717528707</v>
      </c>
      <c r="BS877" s="28">
        <f t="shared" si="3763"/>
        <v>5952.4705420220844</v>
      </c>
      <c r="BT877" s="28">
        <f t="shared" si="3763"/>
        <v>6379.6909876492782</v>
      </c>
      <c r="BU877" s="184">
        <f>BT877</f>
        <v>6379.6909876492782</v>
      </c>
      <c r="BV877" s="28">
        <f t="shared" si="3764"/>
        <v>6846.9320608165071</v>
      </c>
      <c r="BW877" s="28">
        <f t="shared" si="3764"/>
        <v>7341.8725752777618</v>
      </c>
      <c r="BX877" s="184">
        <f>BW877</f>
        <v>7341.8725752777618</v>
      </c>
      <c r="BY877" s="28">
        <f t="shared" si="3765"/>
        <v>7809.0248726410882</v>
      </c>
      <c r="BZ877" s="28">
        <f t="shared" si="3765"/>
        <v>8267.1113244907338</v>
      </c>
      <c r="CA877" s="184">
        <f>BZ877</f>
        <v>8267.1113244907338</v>
      </c>
      <c r="CB877" s="28">
        <f t="shared" si="3766"/>
        <v>8725.2784145665737</v>
      </c>
      <c r="CC877" s="28">
        <f t="shared" si="3766"/>
        <v>9226.5478699999312</v>
      </c>
      <c r="CD877" s="184">
        <f>CC877</f>
        <v>9226.5478699999312</v>
      </c>
      <c r="CE877" s="28">
        <f t="shared" si="3767"/>
        <v>9771.5193930354599</v>
      </c>
      <c r="CF877" s="28">
        <f t="shared" si="3767"/>
        <v>10320.424484818648</v>
      </c>
      <c r="CG877" s="184">
        <f>CF877</f>
        <v>10320.424484818648</v>
      </c>
      <c r="CH877" s="28">
        <f t="shared" si="3768"/>
        <v>10782.522597356819</v>
      </c>
      <c r="CI877" s="28">
        <f t="shared" si="3768"/>
        <v>11283.585248668262</v>
      </c>
      <c r="CJ877" s="184">
        <f>CI877</f>
        <v>11283.585248668262</v>
      </c>
      <c r="CK877" s="28">
        <f t="shared" si="3769"/>
        <v>11776.39625015817</v>
      </c>
      <c r="CL877" s="28">
        <f t="shared" si="3769"/>
        <v>12277.363699565863</v>
      </c>
      <c r="CM877" s="184">
        <f>CL877</f>
        <v>12277.363699565863</v>
      </c>
      <c r="CN877" s="28">
        <f t="shared" si="3770"/>
        <v>12737.281223518767</v>
      </c>
      <c r="CO877" s="28">
        <f t="shared" si="3770"/>
        <v>13285.110493795257</v>
      </c>
      <c r="CP877" s="184">
        <f>CO877</f>
        <v>13285.110493795257</v>
      </c>
      <c r="CQ877" s="28">
        <f t="shared" si="3771"/>
        <v>13740.561298755529</v>
      </c>
      <c r="CR877" s="28">
        <f t="shared" si="3771"/>
        <v>14298.719342093811</v>
      </c>
      <c r="CS877" s="184">
        <f>CR877</f>
        <v>14298.719342093811</v>
      </c>
      <c r="CT877" s="28">
        <f t="shared" si="3772"/>
        <v>14775.7676242253</v>
      </c>
      <c r="CU877" s="28">
        <f t="shared" si="3772"/>
        <v>15339.134398424016</v>
      </c>
      <c r="CV877" s="184">
        <f>CU877</f>
        <v>15339.134398424016</v>
      </c>
      <c r="CW877" s="28">
        <f t="shared" si="3773"/>
        <v>15838.80431009418</v>
      </c>
      <c r="CX877" s="28">
        <f t="shared" si="3773"/>
        <v>16428.885936725397</v>
      </c>
      <c r="CY877" s="184">
        <f>CX877</f>
        <v>16428.885936725397</v>
      </c>
      <c r="CZ877" s="28">
        <f t="shared" si="3774"/>
        <v>16895.155912819882</v>
      </c>
      <c r="DA877" s="28">
        <f t="shared" si="3774"/>
        <v>17597.500568917691</v>
      </c>
      <c r="DB877" s="184">
        <f>DA877</f>
        <v>17597.500568917691</v>
      </c>
      <c r="DC877" s="28">
        <f t="shared" si="3775"/>
        <v>18090.320889990948</v>
      </c>
      <c r="DD877" s="28">
        <f t="shared" si="3775"/>
        <v>18705.591665004373</v>
      </c>
      <c r="DE877" s="184">
        <f>DD877</f>
        <v>18705.591665004373</v>
      </c>
      <c r="DF877" s="28">
        <f t="shared" si="3776"/>
        <v>19238.205748543329</v>
      </c>
      <c r="DG877" s="28">
        <f t="shared" si="3776"/>
        <v>19677.601372519166</v>
      </c>
      <c r="DH877" s="184">
        <f>DG877</f>
        <v>19677.601372519166</v>
      </c>
      <c r="DI877" s="28">
        <f t="shared" si="3777"/>
        <v>20103.429437781346</v>
      </c>
      <c r="DJ877" s="28">
        <f t="shared" si="3777"/>
        <v>20648.939742942908</v>
      </c>
      <c r="DK877" s="184">
        <f>DJ877</f>
        <v>20648.939742942908</v>
      </c>
      <c r="DL877" s="28">
        <f>DK877+(DL746*DL817*DL841)</f>
        <v>21126.184388067559</v>
      </c>
      <c r="DM877" s="28">
        <f t="shared" si="3778"/>
        <v>21630.817875798053</v>
      </c>
      <c r="DN877" s="184">
        <f>DM877</f>
        <v>21630.817875798053</v>
      </c>
      <c r="DO877" s="28">
        <f t="shared" si="3779"/>
        <v>22105.056137090673</v>
      </c>
      <c r="DP877" s="28">
        <f t="shared" si="3779"/>
        <v>22632.794071325334</v>
      </c>
      <c r="DQ877" s="184">
        <f>DP877</f>
        <v>22632.794071325334</v>
      </c>
      <c r="DR877" s="28">
        <f t="shared" si="3780"/>
        <v>23139.396304813512</v>
      </c>
      <c r="DS877" s="28">
        <f t="shared" si="3780"/>
        <v>23680.993797514791</v>
      </c>
      <c r="DT877" s="184">
        <f>DS877</f>
        <v>23680.993797514791</v>
      </c>
      <c r="DU877" s="28">
        <f t="shared" si="3781"/>
        <v>24173.322681668458</v>
      </c>
      <c r="DV877" s="28">
        <f t="shared" si="3781"/>
        <v>24825.168041740781</v>
      </c>
      <c r="DW877" s="184">
        <f>DV877</f>
        <v>24825.168041740781</v>
      </c>
      <c r="DX877" s="28">
        <f t="shared" si="3782"/>
        <v>25337.241317849075</v>
      </c>
      <c r="DY877" s="28">
        <f t="shared" si="3782"/>
        <v>26019.997184896027</v>
      </c>
      <c r="DZ877" s="184">
        <f>DY877</f>
        <v>26019.997184896027</v>
      </c>
      <c r="EA877" s="28">
        <f t="shared" si="3783"/>
        <v>26605.11259310841</v>
      </c>
      <c r="EB877" s="28">
        <f t="shared" si="3783"/>
        <v>27300.741139272664</v>
      </c>
      <c r="EC877" s="184">
        <f>EB877</f>
        <v>27300.741139272664</v>
      </c>
      <c r="ED877" s="28">
        <f t="shared" si="3784"/>
        <v>27908.031251225482</v>
      </c>
      <c r="EE877" s="28">
        <f t="shared" si="3784"/>
        <v>28630.022728032269</v>
      </c>
      <c r="EF877" s="184">
        <f>EE877</f>
        <v>28630.022728032269</v>
      </c>
      <c r="EG877" s="28">
        <f t="shared" si="3785"/>
        <v>29260.327920647873</v>
      </c>
      <c r="EH877" s="28">
        <f t="shared" si="3785"/>
        <v>30009.681430442684</v>
      </c>
      <c r="EI877" s="184">
        <f>EH877</f>
        <v>30009.681430442684</v>
      </c>
      <c r="EJ877" s="28">
        <f t="shared" si="3786"/>
        <v>30663.873929248035</v>
      </c>
      <c r="EK877" s="28">
        <f t="shared" si="3786"/>
        <v>31441.626438357049</v>
      </c>
      <c r="EL877" s="184">
        <f>EK877</f>
        <v>31441.626438357049</v>
      </c>
      <c r="EM877" s="28">
        <f t="shared" si="3787"/>
        <v>32120.611524482123</v>
      </c>
      <c r="EN877" s="28">
        <f t="shared" si="3787"/>
        <v>32927.839298181352</v>
      </c>
      <c r="EO877" s="184">
        <f>EN877</f>
        <v>32927.839298181352</v>
      </c>
      <c r="EP877" s="28">
        <f t="shared" si="3788"/>
        <v>33632.556561100399</v>
      </c>
      <c r="EQ877" s="28">
        <f t="shared" si="3788"/>
        <v>34470.376652967279</v>
      </c>
      <c r="ER877" s="184">
        <f>EQ877</f>
        <v>34470.376652967279</v>
      </c>
      <c r="ES877" s="28">
        <f t="shared" si="3789"/>
        <v>35201.80129071643</v>
      </c>
      <c r="ET877" s="28">
        <f t="shared" si="3790"/>
        <v>36071.373088424887</v>
      </c>
      <c r="EU877" s="184">
        <f>ET877</f>
        <v>36071.373088424887</v>
      </c>
      <c r="EV877" s="28">
        <f t="shared" si="3791"/>
        <v>36830.517257095453</v>
      </c>
      <c r="EW877" s="28">
        <f t="shared" si="3792"/>
        <v>37733.044086793459</v>
      </c>
      <c r="EX877" s="184">
        <f>EW877</f>
        <v>37733.044086793459</v>
      </c>
      <c r="EY877" s="28">
        <f t="shared" si="3793"/>
        <v>38520.958301168306</v>
      </c>
      <c r="EZ877" s="28">
        <f t="shared" si="3794"/>
        <v>39457.689092658213</v>
      </c>
      <c r="FA877" s="184">
        <f>EZ877</f>
        <v>39457.689092658213</v>
      </c>
      <c r="FH877" s="35"/>
      <c r="FI877" s="35"/>
      <c r="FJ877" s="35"/>
      <c r="FK877" s="35"/>
      <c r="FL877" s="35"/>
      <c r="FM877" s="35"/>
      <c r="FN877" s="35"/>
      <c r="FO877" s="35"/>
      <c r="FP877" s="35"/>
      <c r="FQ877" s="35"/>
    </row>
    <row r="878" spans="1:173" s="321" customFormat="1" hidden="1" outlineLevel="1">
      <c r="A878" s="1168"/>
      <c r="B878" s="186"/>
      <c r="C878" s="186" t="s">
        <v>431</v>
      </c>
      <c r="D878" s="910"/>
      <c r="E878" s="1"/>
      <c r="F878" s="1"/>
      <c r="G878" s="5"/>
      <c r="H878" s="1"/>
      <c r="I878" s="1"/>
      <c r="J878" s="5"/>
      <c r="K878" s="1"/>
      <c r="L878" s="1"/>
      <c r="M878" s="5"/>
      <c r="N878" s="1"/>
      <c r="O878" s="1"/>
      <c r="P878" s="5"/>
      <c r="Q878" s="1"/>
      <c r="R878" s="1"/>
      <c r="S878" s="5"/>
      <c r="T878" s="1"/>
      <c r="U878" s="1"/>
      <c r="V878" s="5"/>
      <c r="W878" s="1"/>
      <c r="X878" s="1"/>
      <c r="Y878" s="5"/>
      <c r="Z878" s="1"/>
      <c r="AA878" s="1"/>
      <c r="AB878" s="5"/>
      <c r="AC878" s="1"/>
      <c r="AD878" s="1"/>
      <c r="AE878" s="5"/>
      <c r="AF878" s="1"/>
      <c r="AG878" s="1"/>
      <c r="AH878" s="5"/>
      <c r="AI878" s="1"/>
      <c r="AJ878" s="1"/>
      <c r="AK878" s="5"/>
      <c r="AL878" s="1"/>
      <c r="AM878" s="1"/>
      <c r="AN878" s="5"/>
      <c r="AO878" s="1"/>
      <c r="AP878" s="1"/>
      <c r="AQ878" s="5"/>
      <c r="AR878" s="1"/>
      <c r="AS878" s="1"/>
      <c r="AT878" s="5"/>
      <c r="AU878" s="1"/>
      <c r="AV878" s="1"/>
      <c r="AW878" s="5"/>
      <c r="AX878" s="184">
        <f>(AX753*AX818*AX842)</f>
        <v>804.7750229568411</v>
      </c>
      <c r="AY878" s="184">
        <f>AX878+(AY747*AY818*AY842)</f>
        <v>842.60169602212147</v>
      </c>
      <c r="AZ878" s="184">
        <f>AY878</f>
        <v>842.60169602212147</v>
      </c>
      <c r="BA878" s="28">
        <f t="shared" si="3757"/>
        <v>933.37809602212144</v>
      </c>
      <c r="BB878" s="28">
        <f t="shared" si="3757"/>
        <v>976.60036573343348</v>
      </c>
      <c r="BC878" s="58">
        <f>BB878</f>
        <v>976.60036573343348</v>
      </c>
      <c r="BD878" s="28">
        <f t="shared" si="3758"/>
        <v>1082.3802637334334</v>
      </c>
      <c r="BE878" s="28">
        <f t="shared" si="3758"/>
        <v>1173.510918527284</v>
      </c>
      <c r="BF878" s="58">
        <f>BE878</f>
        <v>1173.510918527284</v>
      </c>
      <c r="BG878" s="28">
        <f t="shared" si="3759"/>
        <v>1268.7925841659194</v>
      </c>
      <c r="BH878" s="28">
        <f t="shared" si="3759"/>
        <v>1398.5831649271333</v>
      </c>
      <c r="BI878" s="58">
        <f>BH878</f>
        <v>1398.5831649271333</v>
      </c>
      <c r="BJ878" s="110">
        <f t="shared" si="3760"/>
        <v>1507.4558073524638</v>
      </c>
      <c r="BK878" s="110">
        <f t="shared" si="3760"/>
        <v>1620.5375381182214</v>
      </c>
      <c r="BL878" s="111">
        <f>BK878</f>
        <v>1620.5375381182214</v>
      </c>
      <c r="BM878" s="110">
        <f t="shared" si="3761"/>
        <v>1727.3161241391431</v>
      </c>
      <c r="BN878" s="110">
        <f t="shared" si="3761"/>
        <v>1861.9116541830861</v>
      </c>
      <c r="BO878" s="111">
        <f>BN878</f>
        <v>1861.9116541830861</v>
      </c>
      <c r="BP878" s="110">
        <f t="shared" si="3762"/>
        <v>1991.0383575866706</v>
      </c>
      <c r="BQ878" s="110">
        <f t="shared" si="3762"/>
        <v>2125.6083144799049</v>
      </c>
      <c r="BR878" s="111">
        <f>BQ878</f>
        <v>2125.6083144799049</v>
      </c>
      <c r="BS878" s="28">
        <f t="shared" si="3763"/>
        <v>2273.8913775388619</v>
      </c>
      <c r="BT878" s="28">
        <f t="shared" si="3763"/>
        <v>2434.0632687310344</v>
      </c>
      <c r="BU878" s="184">
        <f>BT878</f>
        <v>2434.0632687310344</v>
      </c>
      <c r="BV878" s="28">
        <f t="shared" si="3764"/>
        <v>2584.0124995997471</v>
      </c>
      <c r="BW878" s="28">
        <f t="shared" si="3764"/>
        <v>2760.9306823598436</v>
      </c>
      <c r="BX878" s="184">
        <f>BW878</f>
        <v>2760.9306823598436</v>
      </c>
      <c r="BY878" s="28">
        <f t="shared" si="3765"/>
        <v>2896.5732571113726</v>
      </c>
      <c r="BZ878" s="28">
        <f t="shared" si="3765"/>
        <v>3073.7947484039928</v>
      </c>
      <c r="CA878" s="184">
        <f>BZ878</f>
        <v>3073.7947484039928</v>
      </c>
      <c r="CB878" s="28">
        <f t="shared" si="3766"/>
        <v>3214.5779054534551</v>
      </c>
      <c r="CC878" s="28">
        <f t="shared" si="3766"/>
        <v>3417.0782702640549</v>
      </c>
      <c r="CD878" s="184">
        <f>CC878</f>
        <v>3417.0782702640549</v>
      </c>
      <c r="CE878" s="28">
        <f t="shared" si="3767"/>
        <v>3584.5342337691936</v>
      </c>
      <c r="CF878" s="28">
        <f t="shared" si="3767"/>
        <v>3806.4673212943198</v>
      </c>
      <c r="CG878" s="184">
        <f>CF878</f>
        <v>3806.4673212943198</v>
      </c>
      <c r="CH878" s="28">
        <f t="shared" si="3768"/>
        <v>3981.0667887466243</v>
      </c>
      <c r="CI878" s="28">
        <f t="shared" si="3768"/>
        <v>4183.6562398442975</v>
      </c>
      <c r="CJ878" s="184">
        <f>CI878</f>
        <v>4183.6562398442975</v>
      </c>
      <c r="CK878" s="28">
        <f t="shared" si="3769"/>
        <v>4526.8093061917871</v>
      </c>
      <c r="CL878" s="28">
        <f t="shared" si="3769"/>
        <v>4815.2095323024341</v>
      </c>
      <c r="CM878" s="184">
        <f>CL878</f>
        <v>4815.2095323024341</v>
      </c>
      <c r="CN878" s="28">
        <f t="shared" si="3770"/>
        <v>4993.7468637088605</v>
      </c>
      <c r="CO878" s="28">
        <f t="shared" si="3770"/>
        <v>5254.8071283918534</v>
      </c>
      <c r="CP878" s="184">
        <f>CO878</f>
        <v>5254.8071283918534</v>
      </c>
      <c r="CQ878" s="28">
        <f t="shared" si="3771"/>
        <v>5336.9858166239692</v>
      </c>
      <c r="CR878" s="28">
        <f t="shared" si="3771"/>
        <v>5553.0874423561709</v>
      </c>
      <c r="CS878" s="184">
        <f>CR878</f>
        <v>5553.0874423561709</v>
      </c>
      <c r="CT878" s="28">
        <f t="shared" si="3772"/>
        <v>5783.0377224080621</v>
      </c>
      <c r="CU878" s="28">
        <f t="shared" si="3772"/>
        <v>5969.0308331531542</v>
      </c>
      <c r="CV878" s="184">
        <f>CU878</f>
        <v>5969.0308331531542</v>
      </c>
      <c r="CW878" s="28">
        <f t="shared" si="3773"/>
        <v>6163.6485188250817</v>
      </c>
      <c r="CX878" s="28">
        <f t="shared" si="3773"/>
        <v>6294.9922968807332</v>
      </c>
      <c r="CY878" s="184">
        <f>CX878</f>
        <v>6294.9922968807332</v>
      </c>
      <c r="CZ878" s="28">
        <f t="shared" si="3774"/>
        <v>6406.5765072640006</v>
      </c>
      <c r="DA878" s="28">
        <f t="shared" si="3774"/>
        <v>6576.4458925461213</v>
      </c>
      <c r="DB878" s="184">
        <f>DA878</f>
        <v>6576.4458925461213</v>
      </c>
      <c r="DC878" s="28">
        <f t="shared" si="3775"/>
        <v>6707.1441724688684</v>
      </c>
      <c r="DD878" s="28">
        <f t="shared" si="3775"/>
        <v>6847.1076986953049</v>
      </c>
      <c r="DE878" s="184">
        <f>DD878</f>
        <v>6847.1076986953049</v>
      </c>
      <c r="DF878" s="28">
        <f t="shared" si="3776"/>
        <v>7001.2660863077226</v>
      </c>
      <c r="DG878" s="28">
        <f t="shared" si="3776"/>
        <v>7086.2495756488179</v>
      </c>
      <c r="DH878" s="184">
        <f>DG878</f>
        <v>7086.2495756488179</v>
      </c>
      <c r="DI878" s="28">
        <f t="shared" si="3777"/>
        <v>7266.7645125924055</v>
      </c>
      <c r="DJ878" s="28">
        <f t="shared" si="3777"/>
        <v>7450.5055575020342</v>
      </c>
      <c r="DK878" s="184">
        <f>DJ878</f>
        <v>7450.5055575020342</v>
      </c>
      <c r="DL878" s="28">
        <f>DK878+(DL747*DL818*DL842)</f>
        <v>7631.8296794118996</v>
      </c>
      <c r="DM878" s="28">
        <f t="shared" si="3778"/>
        <v>7823.9721523999024</v>
      </c>
      <c r="DN878" s="184">
        <f>DM878</f>
        <v>7823.9721523999024</v>
      </c>
      <c r="DO878" s="28">
        <f t="shared" si="3779"/>
        <v>8031.2342875236045</v>
      </c>
      <c r="DP878" s="28">
        <f t="shared" si="3779"/>
        <v>8237.1057816995744</v>
      </c>
      <c r="DQ878" s="184">
        <f>DP878</f>
        <v>8237.1057816995744</v>
      </c>
      <c r="DR878" s="28">
        <f t="shared" si="3780"/>
        <v>8433.2794125396777</v>
      </c>
      <c r="DS878" s="28">
        <f t="shared" si="3780"/>
        <v>8643.7399210237272</v>
      </c>
      <c r="DT878" s="184">
        <f>DS878</f>
        <v>8643.7399210237272</v>
      </c>
      <c r="DU878" s="28">
        <f t="shared" si="3781"/>
        <v>8887.1859082216815</v>
      </c>
      <c r="DV878" s="28">
        <f t="shared" si="3781"/>
        <v>9123.0340315167668</v>
      </c>
      <c r="DW878" s="184">
        <f>DV878</f>
        <v>9123.0340315167668</v>
      </c>
      <c r="DX878" s="28">
        <f t="shared" si="3782"/>
        <v>9345.6932212537486</v>
      </c>
      <c r="DY878" s="28">
        <f t="shared" si="3782"/>
        <v>9592.7252625554866</v>
      </c>
      <c r="DZ878" s="184">
        <f>DY878</f>
        <v>9592.7252625554866</v>
      </c>
      <c r="EA878" s="28">
        <f t="shared" si="3783"/>
        <v>9847.144559116552</v>
      </c>
      <c r="EB878" s="28">
        <f t="shared" si="3783"/>
        <v>10098.834142524993</v>
      </c>
      <c r="EC878" s="184">
        <f>EB878</f>
        <v>10098.834142524993</v>
      </c>
      <c r="ED878" s="28">
        <f t="shared" si="3784"/>
        <v>10362.895421587129</v>
      </c>
      <c r="EE878" s="28">
        <f t="shared" si="3784"/>
        <v>10624.123536827583</v>
      </c>
      <c r="EF878" s="184">
        <f>EE878</f>
        <v>10624.123536827583</v>
      </c>
      <c r="EG878" s="28">
        <f t="shared" si="3785"/>
        <v>10898.192210243617</v>
      </c>
      <c r="EH878" s="28">
        <f t="shared" si="3785"/>
        <v>11169.320348595453</v>
      </c>
      <c r="EI878" s="184">
        <f>EH878</f>
        <v>11169.320348595453</v>
      </c>
      <c r="EJ878" s="28">
        <f t="shared" si="3786"/>
        <v>11453.775676596608</v>
      </c>
      <c r="EK878" s="28">
        <f t="shared" si="3786"/>
        <v>11735.179029135701</v>
      </c>
      <c r="EL878" s="184">
        <f>EK878</f>
        <v>11735.179029135701</v>
      </c>
      <c r="EM878" s="28">
        <f t="shared" si="3787"/>
        <v>12030.414645157443</v>
      </c>
      <c r="EN878" s="28">
        <f t="shared" si="3787"/>
        <v>12322.482621951063</v>
      </c>
      <c r="EO878" s="184">
        <f>EN878</f>
        <v>12322.482621951063</v>
      </c>
      <c r="EP878" s="28">
        <f t="shared" si="3788"/>
        <v>12628.907077348798</v>
      </c>
      <c r="EQ878" s="28">
        <f t="shared" si="3788"/>
        <v>12932.043846326944</v>
      </c>
      <c r="ER878" s="184">
        <f>EQ878</f>
        <v>12932.043846326944</v>
      </c>
      <c r="ES878" s="28">
        <f t="shared" si="3789"/>
        <v>13250.081175735342</v>
      </c>
      <c r="ET878" s="28">
        <f t="shared" si="3790"/>
        <v>13564.706221984221</v>
      </c>
      <c r="EU878" s="184">
        <f>ET878</f>
        <v>13564.706221984221</v>
      </c>
      <c r="EV878" s="28">
        <f t="shared" si="3791"/>
        <v>13894.796530102538</v>
      </c>
      <c r="EW878" s="28">
        <f t="shared" si="3792"/>
        <v>14221.345236354156</v>
      </c>
      <c r="EX878" s="184">
        <f>EW878</f>
        <v>14221.345236354156</v>
      </c>
      <c r="EY878" s="28">
        <f t="shared" si="3793"/>
        <v>14563.945306969541</v>
      </c>
      <c r="EZ878" s="28">
        <f t="shared" si="3794"/>
        <v>14902.869556090684</v>
      </c>
      <c r="FA878" s="184">
        <f>EZ878</f>
        <v>14902.869556090684</v>
      </c>
      <c r="FH878" s="35"/>
      <c r="FI878" s="35"/>
      <c r="FJ878" s="35"/>
      <c r="FK878" s="35"/>
      <c r="FL878" s="35"/>
      <c r="FM878" s="35"/>
      <c r="FN878" s="35"/>
      <c r="FO878" s="35"/>
      <c r="FP878" s="35"/>
      <c r="FQ878" s="35"/>
    </row>
    <row r="879" spans="1:173" s="321" customFormat="1" hidden="1" outlineLevel="1">
      <c r="A879" s="1168"/>
      <c r="B879" s="186"/>
      <c r="C879" s="186" t="s">
        <v>327</v>
      </c>
      <c r="D879" s="910"/>
      <c r="E879" s="1"/>
      <c r="F879" s="1"/>
      <c r="G879" s="5"/>
      <c r="H879" s="1"/>
      <c r="I879" s="1"/>
      <c r="J879" s="5"/>
      <c r="K879" s="1"/>
      <c r="L879" s="1"/>
      <c r="M879" s="5"/>
      <c r="N879" s="1"/>
      <c r="O879" s="1"/>
      <c r="P879" s="5"/>
      <c r="Q879" s="1"/>
      <c r="R879" s="1"/>
      <c r="S879" s="5"/>
      <c r="T879" s="1"/>
      <c r="U879" s="1"/>
      <c r="V879" s="5"/>
      <c r="W879" s="1"/>
      <c r="X879" s="1"/>
      <c r="Y879" s="5"/>
      <c r="Z879" s="1"/>
      <c r="AA879" s="1"/>
      <c r="AB879" s="5"/>
      <c r="AC879" s="1"/>
      <c r="AD879" s="1"/>
      <c r="AE879" s="5"/>
      <c r="AF879" s="1"/>
      <c r="AG879" s="1"/>
      <c r="AH879" s="5"/>
      <c r="AI879" s="1"/>
      <c r="AJ879" s="1"/>
      <c r="AK879" s="5"/>
      <c r="AL879" s="1"/>
      <c r="AM879" s="1"/>
      <c r="AN879" s="5"/>
      <c r="AO879" s="1"/>
      <c r="AP879" s="1"/>
      <c r="AQ879" s="5"/>
      <c r="AR879" s="1"/>
      <c r="AS879" s="1"/>
      <c r="AT879" s="5"/>
      <c r="AU879" s="1"/>
      <c r="AV879" s="1"/>
      <c r="AW879" s="5"/>
      <c r="AX879" s="184">
        <f t="shared" ref="AX879:CC879" si="3795">SUM(AX876:AX878)</f>
        <v>6016.7545585727403</v>
      </c>
      <c r="AY879" s="184">
        <f t="shared" si="3795"/>
        <v>6668.4469376969464</v>
      </c>
      <c r="AZ879" s="184">
        <f t="shared" si="3795"/>
        <v>6668.4469376969464</v>
      </c>
      <c r="BA879" s="28">
        <f t="shared" si="3795"/>
        <v>7316.9404805540889</v>
      </c>
      <c r="BB879" s="28">
        <f t="shared" si="3795"/>
        <v>8061.5902606365717</v>
      </c>
      <c r="BC879" s="58">
        <f t="shared" si="3795"/>
        <v>8061.5902606365717</v>
      </c>
      <c r="BD879" s="28">
        <f t="shared" si="3795"/>
        <v>8791.9160101895122</v>
      </c>
      <c r="BE879" s="28">
        <f t="shared" si="3795"/>
        <v>9662.7451074246092</v>
      </c>
      <c r="BF879" s="58">
        <f t="shared" si="3795"/>
        <v>9662.7451074246092</v>
      </c>
      <c r="BG879" s="28">
        <f t="shared" si="3795"/>
        <v>10436.95568722421</v>
      </c>
      <c r="BH879" s="28">
        <f t="shared" si="3795"/>
        <v>11324.477762835799</v>
      </c>
      <c r="BI879" s="58">
        <f t="shared" si="3795"/>
        <v>11324.477762835799</v>
      </c>
      <c r="BJ879" s="110">
        <f t="shared" si="3795"/>
        <v>12082.948646593908</v>
      </c>
      <c r="BK879" s="110">
        <f t="shared" si="3795"/>
        <v>13006.012069839622</v>
      </c>
      <c r="BL879" s="111">
        <f t="shared" si="3795"/>
        <v>13006.012069839622</v>
      </c>
      <c r="BM879" s="110">
        <f t="shared" si="3795"/>
        <v>13886.969048652849</v>
      </c>
      <c r="BN879" s="110">
        <f t="shared" si="3795"/>
        <v>14894.273056710292</v>
      </c>
      <c r="BO879" s="111">
        <f t="shared" si="3795"/>
        <v>14894.273056710292</v>
      </c>
      <c r="BP879" s="110">
        <f t="shared" si="3795"/>
        <v>15987.745899169033</v>
      </c>
      <c r="BQ879" s="110">
        <f t="shared" si="3795"/>
        <v>17048.892775271052</v>
      </c>
      <c r="BR879" s="111">
        <f t="shared" si="3795"/>
        <v>17048.892775271052</v>
      </c>
      <c r="BS879" s="28">
        <f t="shared" si="3795"/>
        <v>18317.441318532157</v>
      </c>
      <c r="BT879" s="28">
        <f t="shared" si="3795"/>
        <v>19587.037622811094</v>
      </c>
      <c r="BU879" s="184">
        <f t="shared" si="3795"/>
        <v>19587.037622811094</v>
      </c>
      <c r="BV879" s="28">
        <f t="shared" si="3795"/>
        <v>20949.330157879427</v>
      </c>
      <c r="BW879" s="28">
        <f t="shared" si="3795"/>
        <v>22342.888475493251</v>
      </c>
      <c r="BX879" s="184">
        <f t="shared" si="3795"/>
        <v>22342.888475493251</v>
      </c>
      <c r="BY879" s="28">
        <f t="shared" si="3795"/>
        <v>23673.793708537367</v>
      </c>
      <c r="BZ879" s="28">
        <f t="shared" si="3795"/>
        <v>25016.920101573472</v>
      </c>
      <c r="CA879" s="184">
        <f t="shared" si="3795"/>
        <v>25016.920101573472</v>
      </c>
      <c r="CB879" s="28">
        <f t="shared" si="3795"/>
        <v>26373.030580126451</v>
      </c>
      <c r="CC879" s="28">
        <f t="shared" si="3795"/>
        <v>27905.801615796772</v>
      </c>
      <c r="CD879" s="184">
        <f t="shared" ref="CD879:DI879" si="3796">SUM(CD876:CD878)</f>
        <v>27905.801615796772</v>
      </c>
      <c r="CE879" s="28">
        <f t="shared" si="3796"/>
        <v>29447.342270557692</v>
      </c>
      <c r="CF879" s="28">
        <f t="shared" si="3796"/>
        <v>31125.961650794339</v>
      </c>
      <c r="CG879" s="184">
        <f t="shared" si="3796"/>
        <v>31125.961650794339</v>
      </c>
      <c r="CH879" s="28">
        <f t="shared" si="3796"/>
        <v>32451.135362003995</v>
      </c>
      <c r="CI879" s="28">
        <f t="shared" si="3796"/>
        <v>33983.446666444157</v>
      </c>
      <c r="CJ879" s="184">
        <f t="shared" si="3796"/>
        <v>33983.446666444157</v>
      </c>
      <c r="CK879" s="28">
        <f t="shared" si="3796"/>
        <v>35537.901226544105</v>
      </c>
      <c r="CL879" s="28">
        <f t="shared" si="3796"/>
        <v>37029.763129793842</v>
      </c>
      <c r="CM879" s="184">
        <f t="shared" si="3796"/>
        <v>37029.763129793842</v>
      </c>
      <c r="CN879" s="28">
        <f t="shared" si="3796"/>
        <v>38338.751652595776</v>
      </c>
      <c r="CO879" s="28">
        <f t="shared" si="3796"/>
        <v>39915.848584276449</v>
      </c>
      <c r="CP879" s="184">
        <f t="shared" si="3796"/>
        <v>39915.848584276449</v>
      </c>
      <c r="CQ879" s="28">
        <f t="shared" si="3796"/>
        <v>41200.502202491291</v>
      </c>
      <c r="CR879" s="28">
        <f t="shared" si="3796"/>
        <v>42815.972017193373</v>
      </c>
      <c r="CS879" s="184">
        <f t="shared" si="3796"/>
        <v>42815.972017193373</v>
      </c>
      <c r="CT879" s="28">
        <f t="shared" si="3796"/>
        <v>44305.418588407774</v>
      </c>
      <c r="CU879" s="28">
        <f t="shared" si="3796"/>
        <v>45879.643151861965</v>
      </c>
      <c r="CV879" s="184">
        <f t="shared" si="3796"/>
        <v>45879.643151861965</v>
      </c>
      <c r="CW879" s="28">
        <f t="shared" si="3796"/>
        <v>47464.055388663459</v>
      </c>
      <c r="CX879" s="28">
        <f t="shared" si="3796"/>
        <v>49074.386086283266</v>
      </c>
      <c r="CY879" s="184">
        <f t="shared" si="3796"/>
        <v>49074.386086283266</v>
      </c>
      <c r="CZ879" s="28">
        <f t="shared" si="3796"/>
        <v>50594.391073136889</v>
      </c>
      <c r="DA879" s="28">
        <f t="shared" si="3796"/>
        <v>52389.198140241329</v>
      </c>
      <c r="DB879" s="184">
        <f t="shared" si="3796"/>
        <v>52389.198140241329</v>
      </c>
      <c r="DC879" s="28">
        <f t="shared" si="3796"/>
        <v>53891.890413512891</v>
      </c>
      <c r="DD879" s="28">
        <f t="shared" si="3796"/>
        <v>55428.983555147184</v>
      </c>
      <c r="DE879" s="184">
        <f t="shared" si="3796"/>
        <v>55428.983555147184</v>
      </c>
      <c r="DF879" s="28">
        <f t="shared" si="3796"/>
        <v>57036.620114113422</v>
      </c>
      <c r="DG879" s="28">
        <f t="shared" si="3796"/>
        <v>58119.363718298046</v>
      </c>
      <c r="DH879" s="184">
        <f t="shared" si="3796"/>
        <v>58119.363718298046</v>
      </c>
      <c r="DI879" s="28">
        <f t="shared" si="3796"/>
        <v>59511.260332199236</v>
      </c>
      <c r="DJ879" s="28">
        <f t="shared" ref="DJ879:EF879" si="3797">SUM(DJ876:DJ878)</f>
        <v>61033.718592137928</v>
      </c>
      <c r="DK879" s="184">
        <f t="shared" si="3797"/>
        <v>61033.718592137928</v>
      </c>
      <c r="DL879" s="28">
        <f t="shared" si="3797"/>
        <v>62446.316148784776</v>
      </c>
      <c r="DM879" s="28">
        <f t="shared" si="3797"/>
        <v>63932.854185976015</v>
      </c>
      <c r="DN879" s="184">
        <f t="shared" si="3797"/>
        <v>63932.854185976015</v>
      </c>
      <c r="DO879" s="28">
        <f t="shared" si="3797"/>
        <v>65472.157366959247</v>
      </c>
      <c r="DP879" s="28">
        <f t="shared" si="3797"/>
        <v>67137.600064938568</v>
      </c>
      <c r="DQ879" s="184">
        <f t="shared" si="3797"/>
        <v>67137.600064938568</v>
      </c>
      <c r="DR879" s="28">
        <f t="shared" si="3797"/>
        <v>68821.914762547152</v>
      </c>
      <c r="DS879" s="28">
        <f t="shared" si="3797"/>
        <v>70466.554640218164</v>
      </c>
      <c r="DT879" s="184">
        <f t="shared" si="3797"/>
        <v>70466.554640218164</v>
      </c>
      <c r="DU879" s="28">
        <f t="shared" si="3797"/>
        <v>72128.32788339851</v>
      </c>
      <c r="DV879" s="28">
        <f t="shared" si="3797"/>
        <v>74001.55489098547</v>
      </c>
      <c r="DW879" s="184">
        <f t="shared" si="3797"/>
        <v>74001.55489098547</v>
      </c>
      <c r="DX879" s="28">
        <f t="shared" si="3797"/>
        <v>75695.018396374362</v>
      </c>
      <c r="DY879" s="28">
        <f t="shared" si="3797"/>
        <v>77657.073828661101</v>
      </c>
      <c r="DZ879" s="184">
        <f t="shared" si="3797"/>
        <v>77657.073828661101</v>
      </c>
      <c r="EA879" s="28">
        <f t="shared" si="3797"/>
        <v>79592.092968458674</v>
      </c>
      <c r="EB879" s="28">
        <f t="shared" si="3797"/>
        <v>81591.140993865745</v>
      </c>
      <c r="EC879" s="184">
        <f t="shared" si="3797"/>
        <v>81591.140993865745</v>
      </c>
      <c r="ED879" s="28">
        <f t="shared" si="3797"/>
        <v>83599.493489023356</v>
      </c>
      <c r="EE879" s="28">
        <f t="shared" si="3797"/>
        <v>85674.301436497291</v>
      </c>
      <c r="EF879" s="184">
        <f t="shared" si="3797"/>
        <v>85674.301436497291</v>
      </c>
      <c r="EG879" s="28">
        <f t="shared" ref="EG879:EL879" si="3798">SUM(EG876:EG878)</f>
        <v>87758.766474516407</v>
      </c>
      <c r="EH879" s="28">
        <f t="shared" si="3798"/>
        <v>89912.205493583722</v>
      </c>
      <c r="EI879" s="184">
        <f t="shared" si="3798"/>
        <v>89912.205493583722</v>
      </c>
      <c r="EJ879" s="28">
        <f t="shared" si="3798"/>
        <v>92075.667587613672</v>
      </c>
      <c r="EK879" s="28">
        <f t="shared" si="3798"/>
        <v>94310.717638625589</v>
      </c>
      <c r="EL879" s="184">
        <f t="shared" si="3798"/>
        <v>94310.717638625589</v>
      </c>
      <c r="EM879" s="28">
        <f t="shared" ref="EM879:ER879" si="3799">SUM(EM876:EM878)</f>
        <v>96556.170619095094</v>
      </c>
      <c r="EN879" s="28">
        <f t="shared" si="3799"/>
        <v>98875.924596940255</v>
      </c>
      <c r="EO879" s="184">
        <f t="shared" si="3799"/>
        <v>98875.924596940255</v>
      </c>
      <c r="EP879" s="28">
        <f t="shared" si="3799"/>
        <v>101206.47575446361</v>
      </c>
      <c r="EQ879" s="28">
        <f t="shared" si="3799"/>
        <v>103614.14376856115</v>
      </c>
      <c r="ER879" s="184">
        <f t="shared" si="3799"/>
        <v>103614.14376856115</v>
      </c>
      <c r="ES879" s="28">
        <f t="shared" ref="ES879:EX879" si="3800">SUM(ES876:ES878)</f>
        <v>106033.0181538523</v>
      </c>
      <c r="ET879" s="28">
        <f t="shared" si="3800"/>
        <v>108531.93197034813</v>
      </c>
      <c r="EU879" s="184">
        <f t="shared" si="3800"/>
        <v>108531.93197034813</v>
      </c>
      <c r="EV879" s="28">
        <f t="shared" si="3800"/>
        <v>111042.47685709305</v>
      </c>
      <c r="EW879" s="28">
        <f t="shared" si="3800"/>
        <v>113636.09450940642</v>
      </c>
      <c r="EX879" s="184">
        <f t="shared" si="3800"/>
        <v>113636.09450940642</v>
      </c>
      <c r="EY879" s="28">
        <f t="shared" ref="EY879:FA879" si="3801">SUM(EY876:EY878)</f>
        <v>116241.7840262692</v>
      </c>
      <c r="EZ879" s="28">
        <f t="shared" si="3801"/>
        <v>118933.69460036996</v>
      </c>
      <c r="FA879" s="184">
        <f t="shared" si="3801"/>
        <v>118933.69460036996</v>
      </c>
      <c r="FH879" s="35"/>
      <c r="FI879" s="35"/>
      <c r="FJ879" s="35"/>
      <c r="FK879" s="35"/>
      <c r="FL879" s="35"/>
      <c r="FM879" s="35"/>
      <c r="FN879" s="35"/>
      <c r="FO879" s="35"/>
      <c r="FP879" s="35"/>
      <c r="FQ879" s="35"/>
    </row>
    <row r="880" spans="1:173" s="321" customFormat="1" hidden="1" outlineLevel="1">
      <c r="A880" s="1168"/>
      <c r="B880" s="186"/>
      <c r="C880" s="186"/>
      <c r="D880" s="910"/>
      <c r="E880" s="1"/>
      <c r="F880" s="1"/>
      <c r="G880" s="5"/>
      <c r="H880" s="1"/>
      <c r="I880" s="1"/>
      <c r="J880" s="5"/>
      <c r="K880" s="1"/>
      <c r="L880" s="1"/>
      <c r="M880" s="5"/>
      <c r="N880" s="1"/>
      <c r="O880" s="1"/>
      <c r="P880" s="5"/>
      <c r="Q880" s="1"/>
      <c r="R880" s="1"/>
      <c r="S880" s="5"/>
      <c r="T880" s="1"/>
      <c r="U880" s="1"/>
      <c r="V880" s="5"/>
      <c r="W880" s="1"/>
      <c r="X880" s="1"/>
      <c r="Y880" s="5"/>
      <c r="Z880" s="1"/>
      <c r="AA880" s="1"/>
      <c r="AB880" s="5"/>
      <c r="AC880" s="1"/>
      <c r="AD880" s="1"/>
      <c r="AE880" s="5"/>
      <c r="AF880" s="1"/>
      <c r="AG880" s="1"/>
      <c r="AH880" s="5"/>
      <c r="AI880" s="1"/>
      <c r="AJ880" s="1"/>
      <c r="AK880" s="5"/>
      <c r="AL880" s="1"/>
      <c r="AM880" s="1"/>
      <c r="AN880" s="5"/>
      <c r="AO880" s="1"/>
      <c r="AP880" s="1"/>
      <c r="AQ880" s="5"/>
      <c r="AR880" s="1"/>
      <c r="AS880" s="1"/>
      <c r="AT880" s="5"/>
      <c r="AU880" s="1"/>
      <c r="AV880" s="1"/>
      <c r="AW880" s="5"/>
      <c r="AX880" s="184"/>
      <c r="AY880" s="184"/>
      <c r="AZ880" s="184"/>
      <c r="BA880" s="28"/>
      <c r="BB880" s="28"/>
      <c r="BC880" s="58"/>
      <c r="BD880" s="28"/>
      <c r="BE880" s="28"/>
      <c r="BF880" s="58"/>
      <c r="BG880" s="28"/>
      <c r="BH880" s="28"/>
      <c r="BI880" s="58"/>
      <c r="BJ880" s="110"/>
      <c r="BK880" s="110"/>
      <c r="BL880" s="111"/>
      <c r="BM880" s="110"/>
      <c r="BN880" s="110"/>
      <c r="BO880" s="111"/>
      <c r="BP880" s="110"/>
      <c r="BQ880" s="110"/>
      <c r="BR880" s="111"/>
      <c r="BS880" s="28"/>
      <c r="BT880" s="28"/>
      <c r="BU880" s="184"/>
      <c r="BV880" s="28"/>
      <c r="BW880" s="28"/>
      <c r="BX880" s="184"/>
      <c r="BY880" s="28"/>
      <c r="BZ880" s="28"/>
      <c r="CA880" s="184"/>
      <c r="CB880" s="28"/>
      <c r="CC880" s="28"/>
      <c r="CD880" s="184"/>
      <c r="CE880" s="28"/>
      <c r="CF880" s="28"/>
      <c r="CG880" s="184"/>
      <c r="CH880" s="28"/>
      <c r="CI880" s="28"/>
      <c r="CJ880" s="184"/>
      <c r="CK880" s="28"/>
      <c r="CL880" s="28"/>
      <c r="CM880" s="184"/>
      <c r="CN880" s="28"/>
      <c r="CO880" s="28"/>
      <c r="CP880" s="184"/>
      <c r="CQ880" s="28"/>
      <c r="CR880" s="28"/>
      <c r="CS880" s="184"/>
      <c r="CT880" s="28"/>
      <c r="CU880" s="28"/>
      <c r="CV880" s="184"/>
      <c r="CW880" s="28"/>
      <c r="CX880" s="28"/>
      <c r="CY880" s="184"/>
      <c r="CZ880" s="28"/>
      <c r="DA880" s="28"/>
      <c r="DB880" s="184"/>
      <c r="DC880" s="28"/>
      <c r="DD880" s="28"/>
      <c r="DE880" s="184"/>
      <c r="DF880" s="28"/>
      <c r="DG880" s="28"/>
      <c r="DH880" s="184"/>
      <c r="DI880" s="28"/>
      <c r="DJ880" s="28"/>
      <c r="DK880" s="184"/>
      <c r="DL880" s="28"/>
      <c r="DM880" s="28"/>
      <c r="DN880" s="184"/>
      <c r="DO880" s="28"/>
      <c r="DP880" s="28"/>
      <c r="DQ880" s="184"/>
      <c r="DR880" s="28"/>
      <c r="DS880" s="28"/>
      <c r="DT880" s="184"/>
      <c r="DU880" s="28"/>
      <c r="DV880" s="28"/>
      <c r="DW880" s="184"/>
      <c r="DX880" s="28"/>
      <c r="DY880" s="28"/>
      <c r="DZ880" s="184"/>
      <c r="EA880" s="28"/>
      <c r="EB880" s="28"/>
      <c r="EC880" s="184"/>
      <c r="ED880" s="28"/>
      <c r="EE880" s="28"/>
      <c r="EF880" s="184"/>
      <c r="EG880" s="28"/>
      <c r="EH880" s="28"/>
      <c r="EI880" s="184"/>
      <c r="EJ880" s="28"/>
      <c r="EK880" s="28"/>
      <c r="EL880" s="184"/>
      <c r="EM880" s="28"/>
      <c r="EN880" s="28"/>
      <c r="EO880" s="184"/>
      <c r="EP880" s="28"/>
      <c r="EQ880" s="28"/>
      <c r="ER880" s="184"/>
      <c r="ES880" s="28"/>
      <c r="ET880" s="28"/>
      <c r="EU880" s="184"/>
      <c r="EV880" s="28"/>
      <c r="EW880" s="28"/>
      <c r="EX880" s="184"/>
      <c r="EY880" s="28"/>
      <c r="EZ880" s="28"/>
      <c r="FA880" s="184"/>
      <c r="FH880" s="35"/>
      <c r="FI880" s="35"/>
      <c r="FJ880" s="35"/>
      <c r="FK880" s="35"/>
      <c r="FL880" s="35"/>
      <c r="FM880" s="35"/>
      <c r="FN880" s="35"/>
      <c r="FO880" s="35"/>
      <c r="FP880" s="35"/>
      <c r="FQ880" s="35"/>
    </row>
    <row r="881" spans="1:173" s="321" customFormat="1" hidden="1" outlineLevel="1">
      <c r="A881" s="1168"/>
      <c r="B881" s="186"/>
      <c r="C881" s="331" t="s">
        <v>181</v>
      </c>
      <c r="D881" s="910"/>
      <c r="E881" s="1"/>
      <c r="F881" s="1"/>
      <c r="G881" s="5"/>
      <c r="H881" s="1"/>
      <c r="I881" s="1"/>
      <c r="J881" s="5"/>
      <c r="K881" s="1"/>
      <c r="L881" s="1"/>
      <c r="M881" s="5"/>
      <c r="N881" s="1"/>
      <c r="O881" s="1"/>
      <c r="P881" s="5"/>
      <c r="Q881" s="1"/>
      <c r="R881" s="1"/>
      <c r="S881" s="5"/>
      <c r="T881" s="1"/>
      <c r="U881" s="1"/>
      <c r="V881" s="5"/>
      <c r="W881" s="1"/>
      <c r="X881" s="1"/>
      <c r="Y881" s="5"/>
      <c r="Z881" s="1"/>
      <c r="AA881" s="1"/>
      <c r="AB881" s="5"/>
      <c r="AC881" s="1"/>
      <c r="AD881" s="1"/>
      <c r="AE881" s="5"/>
      <c r="AF881" s="1"/>
      <c r="AG881" s="1"/>
      <c r="AH881" s="5"/>
      <c r="AI881" s="1"/>
      <c r="AJ881" s="1"/>
      <c r="AK881" s="5"/>
      <c r="AL881" s="1"/>
      <c r="AM881" s="1"/>
      <c r="AN881" s="5"/>
      <c r="AO881" s="1"/>
      <c r="AP881" s="1"/>
      <c r="AQ881" s="5"/>
      <c r="AR881" s="1"/>
      <c r="AS881" s="1"/>
      <c r="AT881" s="5"/>
      <c r="AU881" s="1"/>
      <c r="AV881" s="1"/>
      <c r="AW881" s="5"/>
      <c r="AX881" s="184"/>
      <c r="AY881" s="184"/>
      <c r="AZ881" s="184"/>
      <c r="BA881" s="28"/>
      <c r="BB881" s="28"/>
      <c r="BC881" s="58"/>
      <c r="BD881" s="28"/>
      <c r="BE881" s="28"/>
      <c r="BF881" s="58"/>
      <c r="BG881" s="28"/>
      <c r="BH881" s="28"/>
      <c r="BI881" s="58"/>
      <c r="BJ881" s="110"/>
      <c r="BK881" s="110"/>
      <c r="BL881" s="111"/>
      <c r="BM881" s="110"/>
      <c r="BN881" s="110"/>
      <c r="BO881" s="111"/>
      <c r="BP881" s="110"/>
      <c r="BQ881" s="110"/>
      <c r="BR881" s="111"/>
      <c r="BS881" s="28"/>
      <c r="BT881" s="28"/>
      <c r="BU881" s="184"/>
      <c r="BV881" s="28"/>
      <c r="BW881" s="28"/>
      <c r="BX881" s="184"/>
      <c r="BY881" s="28"/>
      <c r="BZ881" s="28"/>
      <c r="CA881" s="184"/>
      <c r="CB881" s="28"/>
      <c r="CC881" s="28"/>
      <c r="CD881" s="184"/>
      <c r="CE881" s="28"/>
      <c r="CF881" s="28"/>
      <c r="CG881" s="184"/>
      <c r="CH881" s="28"/>
      <c r="CI881" s="28"/>
      <c r="CJ881" s="184"/>
      <c r="CK881" s="28"/>
      <c r="CL881" s="28"/>
      <c r="CM881" s="184"/>
      <c r="CN881" s="28"/>
      <c r="CO881" s="28"/>
      <c r="CP881" s="184"/>
      <c r="CQ881" s="28"/>
      <c r="CR881" s="28"/>
      <c r="CS881" s="184"/>
      <c r="CT881" s="28"/>
      <c r="CU881" s="28"/>
      <c r="CV881" s="184"/>
      <c r="CW881" s="28"/>
      <c r="CX881" s="28"/>
      <c r="CY881" s="184"/>
      <c r="CZ881" s="28"/>
      <c r="DA881" s="28"/>
      <c r="DB881" s="184"/>
      <c r="DC881" s="28"/>
      <c r="DD881" s="28"/>
      <c r="DE881" s="184"/>
      <c r="DF881" s="28"/>
      <c r="DG881" s="28"/>
      <c r="DH881" s="184"/>
      <c r="DI881" s="28"/>
      <c r="DJ881" s="28"/>
      <c r="DK881" s="184"/>
      <c r="DL881" s="28"/>
      <c r="DM881" s="28"/>
      <c r="DN881" s="184"/>
      <c r="DO881" s="28"/>
      <c r="DP881" s="28"/>
      <c r="DQ881" s="184"/>
      <c r="DR881" s="28"/>
      <c r="DS881" s="28"/>
      <c r="DT881" s="184"/>
      <c r="DU881" s="28"/>
      <c r="DV881" s="28"/>
      <c r="DW881" s="184"/>
      <c r="DX881" s="28"/>
      <c r="DY881" s="28"/>
      <c r="DZ881" s="184"/>
      <c r="EA881" s="28"/>
      <c r="EB881" s="28"/>
      <c r="EC881" s="184"/>
      <c r="ED881" s="28"/>
      <c r="EE881" s="28"/>
      <c r="EF881" s="184"/>
      <c r="EG881" s="28"/>
      <c r="EH881" s="28"/>
      <c r="EI881" s="184"/>
      <c r="EJ881" s="28"/>
      <c r="EK881" s="28"/>
      <c r="EL881" s="184"/>
      <c r="EM881" s="28"/>
      <c r="EN881" s="28"/>
      <c r="EO881" s="184"/>
      <c r="EP881" s="28"/>
      <c r="EQ881" s="28"/>
      <c r="ER881" s="184"/>
      <c r="ES881" s="28"/>
      <c r="ET881" s="28"/>
      <c r="EU881" s="184"/>
      <c r="EV881" s="28"/>
      <c r="EW881" s="28"/>
      <c r="EX881" s="184"/>
      <c r="EY881" s="28"/>
      <c r="EZ881" s="28"/>
      <c r="FA881" s="184"/>
      <c r="FH881" s="35"/>
      <c r="FI881" s="35"/>
      <c r="FJ881" s="35"/>
      <c r="FK881" s="35"/>
      <c r="FL881" s="35"/>
      <c r="FM881" s="35"/>
      <c r="FN881" s="35"/>
      <c r="FO881" s="35"/>
      <c r="FP881" s="35"/>
      <c r="FQ881" s="35"/>
    </row>
    <row r="882" spans="1:173" s="321" customFormat="1" hidden="1" outlineLevel="1">
      <c r="A882" s="1168"/>
      <c r="B882" s="186"/>
      <c r="C882" s="186" t="s">
        <v>316</v>
      </c>
      <c r="D882" s="910"/>
      <c r="E882" s="1"/>
      <c r="F882" s="1"/>
      <c r="G882" s="5"/>
      <c r="H882" s="1"/>
      <c r="I882" s="1"/>
      <c r="J882" s="5"/>
      <c r="K882" s="1"/>
      <c r="L882" s="1"/>
      <c r="M882" s="5"/>
      <c r="N882" s="1"/>
      <c r="O882" s="1"/>
      <c r="P882" s="5"/>
      <c r="Q882" s="1"/>
      <c r="R882" s="1"/>
      <c r="S882" s="5"/>
      <c r="T882" s="1"/>
      <c r="U882" s="1"/>
      <c r="V882" s="5"/>
      <c r="W882" s="1"/>
      <c r="X882" s="1"/>
      <c r="Y882" s="5"/>
      <c r="Z882" s="1"/>
      <c r="AA882" s="1"/>
      <c r="AB882" s="5"/>
      <c r="AC882" s="1"/>
      <c r="AD882" s="1"/>
      <c r="AE882" s="5"/>
      <c r="AF882" s="1"/>
      <c r="AG882" s="1"/>
      <c r="AH882" s="5"/>
      <c r="AI882" s="1"/>
      <c r="AJ882" s="1"/>
      <c r="AK882" s="5"/>
      <c r="AL882" s="1"/>
      <c r="AM882" s="1"/>
      <c r="AN882" s="5"/>
      <c r="AO882" s="1"/>
      <c r="AP882" s="1"/>
      <c r="AQ882" s="5"/>
      <c r="AR882" s="1"/>
      <c r="AS882" s="1"/>
      <c r="AT882" s="5"/>
      <c r="AU882" s="1"/>
      <c r="AV882" s="1"/>
      <c r="AW882" s="5"/>
      <c r="AX882" s="184">
        <f>(AX751*AX816*AX846)</f>
        <v>7980.6328741965108</v>
      </c>
      <c r="AY882" s="184">
        <f>AX882+(AY745*AY816*AY846)</f>
        <v>8843.407561696511</v>
      </c>
      <c r="AZ882" s="184">
        <f>AY882</f>
        <v>8843.407561696511</v>
      </c>
      <c r="BA882" s="28">
        <f t="shared" ref="BA882:BB884" si="3802">AZ882+(BA745*BA816*BA846)</f>
        <v>9664.7207294881773</v>
      </c>
      <c r="BB882" s="28">
        <f t="shared" si="3802"/>
        <v>10720.694802363178</v>
      </c>
      <c r="BC882" s="58">
        <f>BB882</f>
        <v>10720.694802363178</v>
      </c>
      <c r="BD882" s="28">
        <f t="shared" ref="BD882:BE884" si="3803">BC882+(BD745*BD816*BD846)</f>
        <v>11682.704931824926</v>
      </c>
      <c r="BE882" s="28">
        <f t="shared" si="3803"/>
        <v>12867.915574801966</v>
      </c>
      <c r="BF882" s="58">
        <f>BE882</f>
        <v>12867.915574801966</v>
      </c>
      <c r="BG882" s="28">
        <f t="shared" ref="BG882:BH884" si="3804">BF882+(BG745*BG816*BG846)</f>
        <v>14050.60672125374</v>
      </c>
      <c r="BH882" s="28">
        <f t="shared" si="3804"/>
        <v>15330.43191327258</v>
      </c>
      <c r="BI882" s="58">
        <f>BH882</f>
        <v>15330.43191327258</v>
      </c>
      <c r="BJ882" s="110">
        <f t="shared" ref="BJ882:BK884" si="3805">BI882+(BJ745*BJ816*BJ846)</f>
        <v>16467.798069630793</v>
      </c>
      <c r="BK882" s="110">
        <f t="shared" si="3805"/>
        <v>17947.710254537324</v>
      </c>
      <c r="BL882" s="111">
        <f>BK882</f>
        <v>17947.710254537324</v>
      </c>
      <c r="BM882" s="110">
        <f t="shared" ref="BM882:BN884" si="3806">BL882+(BM745*BM816*BM846)</f>
        <v>19525.074394775562</v>
      </c>
      <c r="BN882" s="110">
        <f t="shared" si="3806"/>
        <v>21204.816019755966</v>
      </c>
      <c r="BO882" s="111">
        <f>BN882</f>
        <v>21204.816019755966</v>
      </c>
      <c r="BP882" s="110">
        <f t="shared" ref="BP882:BQ884" si="3807">BO882+(BP745*BP816*BP846)</f>
        <v>23331.876074378852</v>
      </c>
      <c r="BQ882" s="110">
        <f t="shared" si="3807"/>
        <v>25247.856881500487</v>
      </c>
      <c r="BR882" s="111">
        <f>BQ882</f>
        <v>25247.856881500487</v>
      </c>
      <c r="BS882" s="28">
        <f t="shared" ref="BS882:BT884" si="3808">BR882+(BS745*BS816*BS846)</f>
        <v>27876.472213362991</v>
      </c>
      <c r="BT882" s="28">
        <f t="shared" si="3808"/>
        <v>30351.48442622324</v>
      </c>
      <c r="BU882" s="184">
        <f>BT882</f>
        <v>30351.48442622324</v>
      </c>
      <c r="BV882" s="28">
        <f t="shared" ref="BV882:BW884" si="3809">BU882+(BV745*BV816*BV846)</f>
        <v>33224.625080819991</v>
      </c>
      <c r="BW882" s="28">
        <f t="shared" si="3809"/>
        <v>36007.524437977459</v>
      </c>
      <c r="BX882" s="184">
        <f>BW882</f>
        <v>36007.524437977459</v>
      </c>
      <c r="BY882" s="28">
        <f t="shared" ref="BY882:BZ884" si="3810">BX882+(BY745*BY816*BY846)</f>
        <v>38989.193195251726</v>
      </c>
      <c r="BZ882" s="28">
        <f t="shared" si="3810"/>
        <v>41887.764993045188</v>
      </c>
      <c r="CA882" s="184">
        <f>BZ882</f>
        <v>41887.764993045188</v>
      </c>
      <c r="CB882" s="28">
        <f t="shared" ref="CB882:CC884" si="3811">CA882+(CB745*CB816*CB846)</f>
        <v>45178.073003071964</v>
      </c>
      <c r="CC882" s="28">
        <f t="shared" si="3811"/>
        <v>48780.572482338197</v>
      </c>
      <c r="CD882" s="184">
        <f>CC882</f>
        <v>48780.572482338197</v>
      </c>
      <c r="CE882" s="28">
        <f t="shared" ref="CE882:CF884" si="3812">CD882+(CE745*CE816*CE846)</f>
        <v>52601.198881174212</v>
      </c>
      <c r="CF882" s="28">
        <f t="shared" si="3812"/>
        <v>56784.334493504182</v>
      </c>
      <c r="CG882" s="184">
        <f>CF882</f>
        <v>56784.334493504182</v>
      </c>
      <c r="CH882" s="28">
        <f t="shared" ref="CH882:CI884" si="3813">CG882+(CH745*CH816*CH846)</f>
        <v>60146.237184093079</v>
      </c>
      <c r="CI882" s="28">
        <f t="shared" si="3813"/>
        <v>64192.66882429547</v>
      </c>
      <c r="CJ882" s="184">
        <f>CI882</f>
        <v>64192.66882429547</v>
      </c>
      <c r="CK882" s="28">
        <f t="shared" ref="CK882:CL884" si="3814">CJ882+(CK745*CK816*CK846)</f>
        <v>67908.128709117445</v>
      </c>
      <c r="CL882" s="28">
        <f t="shared" si="3814"/>
        <v>71540.868669580595</v>
      </c>
      <c r="CM882" s="184">
        <f>CL882</f>
        <v>71540.868669580595</v>
      </c>
      <c r="CN882" s="28">
        <f t="shared" ref="CN882:CO884" si="3815">CM882+(CN745*CN816*CN846)</f>
        <v>75210.665202261618</v>
      </c>
      <c r="CO882" s="28">
        <f t="shared" si="3815"/>
        <v>79415.025069260562</v>
      </c>
      <c r="CP882" s="184">
        <f>CO882</f>
        <v>79415.025069260562</v>
      </c>
      <c r="CQ882" s="28">
        <f t="shared" ref="CQ882:CR884" si="3816">CP882+(CQ745*CQ816*CQ846)</f>
        <v>83739.503283247934</v>
      </c>
      <c r="CR882" s="28">
        <f t="shared" si="3816"/>
        <v>88609.218766746737</v>
      </c>
      <c r="CS882" s="184">
        <f>CR882</f>
        <v>88609.218766746737</v>
      </c>
      <c r="CT882" s="28">
        <f t="shared" ref="CT882:CU884" si="3817">CS882+(CT745*CT816*CT846)</f>
        <v>93397.637144693988</v>
      </c>
      <c r="CU882" s="28">
        <f t="shared" si="3817"/>
        <v>98445.636679883639</v>
      </c>
      <c r="CV882" s="184">
        <f>CU882</f>
        <v>98445.636679883639</v>
      </c>
      <c r="CW882" s="28">
        <f t="shared" ref="CW882:CX884" si="3818">CV882+(CW745*CW816*CW846)</f>
        <v>104201.3020199943</v>
      </c>
      <c r="CX882" s="28">
        <f t="shared" si="3818"/>
        <v>109949.08290187422</v>
      </c>
      <c r="CY882" s="184">
        <f>CX882</f>
        <v>109949.08290187422</v>
      </c>
      <c r="CZ882" s="28">
        <f t="shared" ref="CZ882:DA884" si="3819">CY882+(CZ745*CZ816*CZ846)</f>
        <v>116382.6747311479</v>
      </c>
      <c r="DA882" s="28">
        <f t="shared" si="3819"/>
        <v>122682.71390712482</v>
      </c>
      <c r="DB882" s="184">
        <f>DA882</f>
        <v>122682.71390712482</v>
      </c>
      <c r="DC882" s="28">
        <f t="shared" ref="DC882:DD884" si="3820">DB882+(DC745*DC816*DC846)</f>
        <v>129019.73297839993</v>
      </c>
      <c r="DD882" s="28">
        <f t="shared" si="3820"/>
        <v>134655.31390952648</v>
      </c>
      <c r="DE882" s="184">
        <f>DD882</f>
        <v>134655.31390952648</v>
      </c>
      <c r="DF882" s="28">
        <f t="shared" ref="DF882:DG884" si="3821">DE882+(DF745*DF816*DF846)</f>
        <v>141658.24222908635</v>
      </c>
      <c r="DG882" s="28">
        <f t="shared" si="3821"/>
        <v>145904.45679807072</v>
      </c>
      <c r="DH882" s="184">
        <f>DG882</f>
        <v>145904.45679807072</v>
      </c>
      <c r="DI882" s="28">
        <f t="shared" ref="DI882:DJ884" si="3822">DH882+(DI745*DI816*DI846)</f>
        <v>152204.40651771723</v>
      </c>
      <c r="DJ882" s="28">
        <f t="shared" si="3822"/>
        <v>158565.73383522034</v>
      </c>
      <c r="DK882" s="184">
        <f>DJ882</f>
        <v>158565.73383522034</v>
      </c>
      <c r="DL882" s="28">
        <f>DK882+(DL745*DL816*DL846)</f>
        <v>164940.07785771842</v>
      </c>
      <c r="DM882" s="28">
        <f t="shared" ref="DM882:DM884" si="3823">DL882+(DM745*DM816*DM846)</f>
        <v>171616.50088123183</v>
      </c>
      <c r="DN882" s="184">
        <f>DM882</f>
        <v>171616.50088123183</v>
      </c>
      <c r="DO882" s="28">
        <f t="shared" ref="DO882:DP884" si="3824">DN882+(DO745*DO816*DO846)</f>
        <v>179257.24471541581</v>
      </c>
      <c r="DP882" s="28">
        <f t="shared" si="3824"/>
        <v>187557.40348971868</v>
      </c>
      <c r="DQ882" s="184">
        <f>DP882</f>
        <v>187557.40348971868</v>
      </c>
      <c r="DR882" s="28">
        <f t="shared" ref="DR882:DS884" si="3825">DQ882+(DR745*DR816*DR846)</f>
        <v>196765.60702879939</v>
      </c>
      <c r="DS882" s="28">
        <f t="shared" si="3825"/>
        <v>205139.27021490753</v>
      </c>
      <c r="DT882" s="184">
        <f>DS882</f>
        <v>205139.27021490753</v>
      </c>
      <c r="DU882" s="28">
        <f t="shared" ref="DU882:DV884" si="3826">DT882+(DU745*DU816*DU846)</f>
        <v>214285.01492650277</v>
      </c>
      <c r="DV882" s="28">
        <f t="shared" si="3826"/>
        <v>224018.76640106575</v>
      </c>
      <c r="DW882" s="184">
        <f>DV882</f>
        <v>224018.76640106575</v>
      </c>
      <c r="DX882" s="28">
        <f t="shared" ref="DX882:DY884" si="3827">DW882+(DX745*DX816*DX846)</f>
        <v>233983.64727104391</v>
      </c>
      <c r="DY882" s="28">
        <f t="shared" si="3827"/>
        <v>244712.85335462546</v>
      </c>
      <c r="DZ882" s="184">
        <f>DY882</f>
        <v>244712.85335462546</v>
      </c>
      <c r="EA882" s="28">
        <f t="shared" ref="EA882:EB884" si="3828">DZ882+(EA745*EA816*EA846)</f>
        <v>256690.60208048011</v>
      </c>
      <c r="EB882" s="28">
        <f t="shared" si="3828"/>
        <v>268189.94978184288</v>
      </c>
      <c r="EC882" s="184">
        <f>EB882</f>
        <v>268189.94978184288</v>
      </c>
      <c r="ED882" s="28">
        <f t="shared" ref="ED882:EE884" si="3829">EC882+(ED745*ED816*ED846)</f>
        <v>281262.25523705594</v>
      </c>
      <c r="EE882" s="28">
        <f t="shared" si="3829"/>
        <v>293812.44218190608</v>
      </c>
      <c r="EF882" s="184">
        <f>EE882</f>
        <v>293812.44218190608</v>
      </c>
      <c r="EG882" s="28">
        <f t="shared" ref="EG882:EH884" si="3830">EF882+(EG745*EG816*EG846)</f>
        <v>308073.72530491831</v>
      </c>
      <c r="EH882" s="28">
        <f t="shared" si="3830"/>
        <v>321765.4011826315</v>
      </c>
      <c r="EI882" s="184">
        <f>EH882</f>
        <v>321765.4011826315</v>
      </c>
      <c r="EJ882" s="28">
        <f t="shared" ref="EJ882:EK884" si="3831">EI882+(EJ745*EJ816*EJ846)</f>
        <v>337317.69798598113</v>
      </c>
      <c r="EK882" s="28">
        <f t="shared" si="3831"/>
        <v>352248.82340777852</v>
      </c>
      <c r="EL882" s="184">
        <f>EK882</f>
        <v>352248.82340777852</v>
      </c>
      <c r="EM882" s="28">
        <f t="shared" ref="EM882:EN884" si="3832">EL882+(EM745*EM816*EM846)</f>
        <v>369202.32456517115</v>
      </c>
      <c r="EN882" s="28">
        <f t="shared" si="3832"/>
        <v>385478.6890996428</v>
      </c>
      <c r="EO882" s="184">
        <f>EN882</f>
        <v>385478.6890996428</v>
      </c>
      <c r="EP882" s="28">
        <f t="shared" ref="EP882:EQ884" si="3833">EO882+(EP745*EP816*EP846)</f>
        <v>403952.30524048465</v>
      </c>
      <c r="EQ882" s="28">
        <f t="shared" si="3833"/>
        <v>421688.07012979942</v>
      </c>
      <c r="ER882" s="184">
        <f>EQ882</f>
        <v>421688.07012979942</v>
      </c>
      <c r="ES882" s="28">
        <f t="shared" ref="ES882:ES884" si="3834">ER882+(ES745*ES816*ES846)</f>
        <v>441810.02161434747</v>
      </c>
      <c r="ET882" s="28">
        <f t="shared" ref="ET882:ET884" si="3835">ES882+(ET745*ET816*ET846)</f>
        <v>461128.28599330405</v>
      </c>
      <c r="EU882" s="184">
        <f>ET882</f>
        <v>461128.28599330405</v>
      </c>
      <c r="EV882" s="28">
        <f t="shared" ref="EV882:EV884" si="3836">EU882+(EV745*EV816*EV846)</f>
        <v>483036.71528431226</v>
      </c>
      <c r="EW882" s="28">
        <f t="shared" ref="EW882:EW884" si="3837">EV882+(EW745*EW816*EW846)</f>
        <v>504070.10409336392</v>
      </c>
      <c r="EX882" s="184">
        <f>EW882</f>
        <v>504070.10409336392</v>
      </c>
      <c r="EY882" s="28">
        <f t="shared" ref="EY882:EY884" si="3838">EX882+(EY745*EY816*EY846)</f>
        <v>527913.70803927258</v>
      </c>
      <c r="EZ882" s="28">
        <f t="shared" ref="EZ882:EZ884" si="3839">EY882+(EZ745*EZ816*EZ846)</f>
        <v>550804.97905381164</v>
      </c>
      <c r="FA882" s="184">
        <f>EZ882</f>
        <v>550804.97905381164</v>
      </c>
      <c r="FH882" s="35"/>
      <c r="FI882" s="35"/>
      <c r="FJ882" s="35"/>
      <c r="FK882" s="35"/>
      <c r="FL882" s="35"/>
      <c r="FM882" s="35"/>
      <c r="FN882" s="35"/>
      <c r="FO882" s="35"/>
      <c r="FP882" s="35"/>
      <c r="FQ882" s="35"/>
    </row>
    <row r="883" spans="1:173" s="321" customFormat="1" hidden="1" outlineLevel="1">
      <c r="A883" s="1168"/>
      <c r="B883" s="186"/>
      <c r="C883" s="186" t="s">
        <v>317</v>
      </c>
      <c r="D883" s="910"/>
      <c r="E883" s="1"/>
      <c r="F883" s="1"/>
      <c r="G883" s="5"/>
      <c r="H883" s="1"/>
      <c r="I883" s="1"/>
      <c r="J883" s="5"/>
      <c r="K883" s="1"/>
      <c r="L883" s="1"/>
      <c r="M883" s="5"/>
      <c r="N883" s="1"/>
      <c r="O883" s="1"/>
      <c r="P883" s="5"/>
      <c r="Q883" s="1"/>
      <c r="R883" s="1"/>
      <c r="S883" s="5"/>
      <c r="T883" s="1"/>
      <c r="U883" s="1"/>
      <c r="V883" s="5"/>
      <c r="W883" s="1"/>
      <c r="X883" s="1"/>
      <c r="Y883" s="5"/>
      <c r="Z883" s="1"/>
      <c r="AA883" s="1"/>
      <c r="AB883" s="5"/>
      <c r="AC883" s="1"/>
      <c r="AD883" s="1"/>
      <c r="AE883" s="5"/>
      <c r="AF883" s="1"/>
      <c r="AG883" s="1"/>
      <c r="AH883" s="5"/>
      <c r="AI883" s="1"/>
      <c r="AJ883" s="1"/>
      <c r="AK883" s="5"/>
      <c r="AL883" s="1"/>
      <c r="AM883" s="1"/>
      <c r="AN883" s="5"/>
      <c r="AO883" s="1"/>
      <c r="AP883" s="1"/>
      <c r="AQ883" s="5"/>
      <c r="AR883" s="1"/>
      <c r="AS883" s="1"/>
      <c r="AT883" s="5"/>
      <c r="AU883" s="1"/>
      <c r="AV883" s="1"/>
      <c r="AW883" s="5"/>
      <c r="AX883" s="184">
        <f>(AX752*AX817*AX847)</f>
        <v>4015.6066902794178</v>
      </c>
      <c r="AY883" s="184">
        <f>AX883+(AY746*AY817*AY847)</f>
        <v>4565.1727833446339</v>
      </c>
      <c r="AZ883" s="184">
        <f>AY883</f>
        <v>4565.1727833446339</v>
      </c>
      <c r="BA883" s="28">
        <f t="shared" si="3802"/>
        <v>5118.3020596124916</v>
      </c>
      <c r="BB883" s="28">
        <f t="shared" si="3802"/>
        <v>5790.9313729383739</v>
      </c>
      <c r="BC883" s="58">
        <f>BB883</f>
        <v>5790.9313729383739</v>
      </c>
      <c r="BD883" s="28">
        <f t="shared" si="3803"/>
        <v>6475.2695980249737</v>
      </c>
      <c r="BE883" s="28">
        <f t="shared" si="3803"/>
        <v>7345.4008399795639</v>
      </c>
      <c r="BF883" s="58">
        <f>BE883</f>
        <v>7345.4008399795639</v>
      </c>
      <c r="BG883" s="28">
        <f t="shared" si="3804"/>
        <v>8074.6437595433727</v>
      </c>
      <c r="BH883" s="28">
        <f t="shared" si="3804"/>
        <v>8928.6688538799408</v>
      </c>
      <c r="BI883" s="58">
        <f>BH883</f>
        <v>8928.6688538799408</v>
      </c>
      <c r="BJ883" s="110">
        <f t="shared" si="3805"/>
        <v>9743.2748027100952</v>
      </c>
      <c r="BK883" s="110">
        <f t="shared" si="3805"/>
        <v>10697.26956033205</v>
      </c>
      <c r="BL883" s="111">
        <f>BK883</f>
        <v>10697.26956033205</v>
      </c>
      <c r="BM883" s="110">
        <f t="shared" si="3806"/>
        <v>11599.478451405075</v>
      </c>
      <c r="BN883" s="110">
        <f t="shared" si="3806"/>
        <v>12714.88640231771</v>
      </c>
      <c r="BO883" s="111">
        <f>BN883</f>
        <v>12714.88640231771</v>
      </c>
      <c r="BP883" s="110">
        <f t="shared" si="3807"/>
        <v>13876.621127799583</v>
      </c>
      <c r="BQ883" s="110">
        <f t="shared" si="3807"/>
        <v>15120.627395697598</v>
      </c>
      <c r="BR883" s="111">
        <f>BQ883</f>
        <v>15120.627395697598</v>
      </c>
      <c r="BS883" s="28">
        <f t="shared" si="3808"/>
        <v>16556.29617445248</v>
      </c>
      <c r="BT883" s="28">
        <f t="shared" si="3808"/>
        <v>18106.237058625898</v>
      </c>
      <c r="BU883" s="184">
        <f>BT883</f>
        <v>18106.237058625898</v>
      </c>
      <c r="BV883" s="28">
        <f t="shared" si="3809"/>
        <v>19907.935224197241</v>
      </c>
      <c r="BW883" s="28">
        <f t="shared" si="3809"/>
        <v>21816.443418751063</v>
      </c>
      <c r="BX883" s="184">
        <f>BW883</f>
        <v>21816.443418751063</v>
      </c>
      <c r="BY883" s="28">
        <f t="shared" si="3810"/>
        <v>23729.468537854485</v>
      </c>
      <c r="BZ883" s="28">
        <f t="shared" si="3810"/>
        <v>25605.368311986964</v>
      </c>
      <c r="CA883" s="184">
        <f>BZ883</f>
        <v>25605.368311986964</v>
      </c>
      <c r="CB883" s="28">
        <f t="shared" si="3811"/>
        <v>27596.374685320498</v>
      </c>
      <c r="CC883" s="28">
        <f t="shared" si="3811"/>
        <v>29774.686271078521</v>
      </c>
      <c r="CD883" s="184">
        <f>CC883</f>
        <v>29774.686271078521</v>
      </c>
      <c r="CE883" s="28">
        <f t="shared" si="3812"/>
        <v>32285.962978928739</v>
      </c>
      <c r="CF883" s="28">
        <f t="shared" si="3812"/>
        <v>34815.365917521631</v>
      </c>
      <c r="CG883" s="184">
        <f>CF883</f>
        <v>34815.365917521631</v>
      </c>
      <c r="CH883" s="28">
        <f t="shared" si="3813"/>
        <v>37071.840495815399</v>
      </c>
      <c r="CI883" s="28">
        <f t="shared" si="3813"/>
        <v>39518.583090383669</v>
      </c>
      <c r="CJ883" s="184">
        <f>CI883</f>
        <v>39518.583090383669</v>
      </c>
      <c r="CK883" s="28">
        <f t="shared" si="3814"/>
        <v>42067.008611045414</v>
      </c>
      <c r="CL883" s="28">
        <f t="shared" si="3814"/>
        <v>44657.612776195187</v>
      </c>
      <c r="CM883" s="184">
        <f>CL883</f>
        <v>44657.612776195187</v>
      </c>
      <c r="CN883" s="28">
        <f t="shared" si="3815"/>
        <v>47174.717907036451</v>
      </c>
      <c r="CO883" s="28">
        <f t="shared" si="3815"/>
        <v>50172.959537810202</v>
      </c>
      <c r="CP883" s="184">
        <f>CO883</f>
        <v>50172.959537810202</v>
      </c>
      <c r="CQ883" s="28">
        <f t="shared" si="3816"/>
        <v>52809.537149724012</v>
      </c>
      <c r="CR883" s="28">
        <f t="shared" si="3816"/>
        <v>56040.680853825485</v>
      </c>
      <c r="CS883" s="184">
        <f>CR883</f>
        <v>56040.680853825485</v>
      </c>
      <c r="CT883" s="28">
        <f t="shared" si="3817"/>
        <v>58960.116694879587</v>
      </c>
      <c r="CU883" s="28">
        <f t="shared" si="3817"/>
        <v>62407.803677224554</v>
      </c>
      <c r="CV883" s="184">
        <f>CU883</f>
        <v>62407.803677224554</v>
      </c>
      <c r="CW883" s="28">
        <f t="shared" si="3818"/>
        <v>65638.736363059157</v>
      </c>
      <c r="CX883" s="28">
        <f t="shared" si="3818"/>
        <v>69454.283327695593</v>
      </c>
      <c r="CY883" s="184">
        <f>CX883</f>
        <v>69454.283327695593</v>
      </c>
      <c r="CZ883" s="28">
        <f t="shared" si="3819"/>
        <v>72638.264816901254</v>
      </c>
      <c r="DA883" s="28">
        <f t="shared" si="3819"/>
        <v>77434.31109633141</v>
      </c>
      <c r="DB883" s="184">
        <f>DA883</f>
        <v>77434.31109633141</v>
      </c>
      <c r="DC883" s="28">
        <f t="shared" si="3820"/>
        <v>80986.523670292925</v>
      </c>
      <c r="DD883" s="28">
        <f t="shared" si="3820"/>
        <v>85421.350096756098</v>
      </c>
      <c r="DE883" s="184">
        <f>DD883</f>
        <v>85421.350096756098</v>
      </c>
      <c r="DF883" s="28">
        <f t="shared" si="3821"/>
        <v>89471.739614998747</v>
      </c>
      <c r="DG883" s="28">
        <f t="shared" si="3821"/>
        <v>92813.227353903509</v>
      </c>
      <c r="DH883" s="184">
        <f>DG883</f>
        <v>92813.227353903509</v>
      </c>
      <c r="DI883" s="28">
        <f t="shared" si="3822"/>
        <v>96228.265309844064</v>
      </c>
      <c r="DJ883" s="28">
        <f t="shared" si="3822"/>
        <v>100603.12584501438</v>
      </c>
      <c r="DK883" s="184">
        <f>DJ883</f>
        <v>100603.12584501438</v>
      </c>
      <c r="DL883" s="28">
        <f>DK883+(DL746*DL817*DL847)</f>
        <v>104637.61576480058</v>
      </c>
      <c r="DM883" s="28">
        <f t="shared" si="3823"/>
        <v>108903.64313720507</v>
      </c>
      <c r="DN883" s="184">
        <f>DM883</f>
        <v>108903.64313720507</v>
      </c>
      <c r="DO883" s="28">
        <f t="shared" si="3824"/>
        <v>113127.84610797907</v>
      </c>
      <c r="DP883" s="28">
        <f t="shared" si="3824"/>
        <v>117828.58902886428</v>
      </c>
      <c r="DQ883" s="184">
        <f>DP883</f>
        <v>117828.58902886428</v>
      </c>
      <c r="DR883" s="28">
        <f t="shared" si="3825"/>
        <v>122581.22470780315</v>
      </c>
      <c r="DS883" s="28">
        <f t="shared" si="3825"/>
        <v>127662.16473783959</v>
      </c>
      <c r="DT883" s="184">
        <f>DS883</f>
        <v>127662.16473783959</v>
      </c>
      <c r="DU883" s="28">
        <f t="shared" si="3826"/>
        <v>132524.71571589552</v>
      </c>
      <c r="DV883" s="28">
        <f t="shared" si="3826"/>
        <v>138962.75214881703</v>
      </c>
      <c r="DW883" s="184">
        <f>DV883</f>
        <v>138962.75214881703</v>
      </c>
      <c r="DX883" s="28">
        <f t="shared" si="3827"/>
        <v>144285.15121868299</v>
      </c>
      <c r="DY883" s="28">
        <f t="shared" si="3827"/>
        <v>151381.59495293422</v>
      </c>
      <c r="DZ883" s="184">
        <f>DY883</f>
        <v>151381.59495293422</v>
      </c>
      <c r="EA883" s="28">
        <f t="shared" si="3828"/>
        <v>157779.09829586346</v>
      </c>
      <c r="EB883" s="28">
        <f t="shared" si="3828"/>
        <v>165384.92423560264</v>
      </c>
      <c r="EC883" s="184">
        <f>EB883</f>
        <v>165384.92423560264</v>
      </c>
      <c r="ED883" s="28">
        <f t="shared" si="3829"/>
        <v>172367.04748460665</v>
      </c>
      <c r="EE883" s="28">
        <f t="shared" si="3829"/>
        <v>180667.9128808591</v>
      </c>
      <c r="EF883" s="184">
        <f>EE883</f>
        <v>180667.9128808591</v>
      </c>
      <c r="EG883" s="28">
        <f t="shared" si="3830"/>
        <v>188285.08773918549</v>
      </c>
      <c r="EH883" s="28">
        <f t="shared" si="3830"/>
        <v>197340.94953705696</v>
      </c>
      <c r="EI883" s="184">
        <f>EH883</f>
        <v>197340.94953705696</v>
      </c>
      <c r="EJ883" s="28">
        <f t="shared" si="3831"/>
        <v>205647.67503839341</v>
      </c>
      <c r="EK883" s="28">
        <f t="shared" si="3831"/>
        <v>215523.32572674923</v>
      </c>
      <c r="EL883" s="184">
        <f>EK883</f>
        <v>215523.32572674923</v>
      </c>
      <c r="EM883" s="28">
        <f t="shared" si="3832"/>
        <v>224578.45643713529</v>
      </c>
      <c r="EN883" s="28">
        <f t="shared" si="3832"/>
        <v>235343.86668438476</v>
      </c>
      <c r="EO883" s="184">
        <f>EN883</f>
        <v>235343.86668438476</v>
      </c>
      <c r="EP883" s="28">
        <f t="shared" si="3833"/>
        <v>245210.91463488303</v>
      </c>
      <c r="EQ883" s="28">
        <f t="shared" si="3833"/>
        <v>256941.59224890801</v>
      </c>
      <c r="ER883" s="184">
        <f>EQ883</f>
        <v>256941.59224890801</v>
      </c>
      <c r="ES883" s="28">
        <f t="shared" si="3834"/>
        <v>267689.04194375628</v>
      </c>
      <c r="ET883" s="28">
        <f t="shared" si="3835"/>
        <v>280466.40637694014</v>
      </c>
      <c r="EU883" s="184">
        <f>ET883</f>
        <v>280466.40637694014</v>
      </c>
      <c r="EV883" s="28">
        <f t="shared" si="3836"/>
        <v>292168.04187084665</v>
      </c>
      <c r="EW883" s="28">
        <f t="shared" si="3837"/>
        <v>306079.81307379465</v>
      </c>
      <c r="EX883" s="184">
        <f>EW883</f>
        <v>306079.81307379465</v>
      </c>
      <c r="EY883" s="28">
        <f t="shared" si="3838"/>
        <v>318815.05568430014</v>
      </c>
      <c r="EZ883" s="28">
        <f t="shared" si="3839"/>
        <v>333955.65560331539</v>
      </c>
      <c r="FA883" s="184">
        <f>EZ883</f>
        <v>333955.65560331539</v>
      </c>
      <c r="FH883" s="35"/>
      <c r="FI883" s="35"/>
      <c r="FJ883" s="35"/>
      <c r="FK883" s="35"/>
      <c r="FL883" s="35"/>
      <c r="FM883" s="35"/>
      <c r="FN883" s="35"/>
      <c r="FO883" s="35"/>
      <c r="FP883" s="35"/>
      <c r="FQ883" s="35"/>
    </row>
    <row r="884" spans="1:173" s="321" customFormat="1" hidden="1" outlineLevel="1">
      <c r="A884" s="1168"/>
      <c r="B884" s="186"/>
      <c r="C884" s="186" t="s">
        <v>431</v>
      </c>
      <c r="D884" s="910"/>
      <c r="E884" s="1"/>
      <c r="F884" s="1"/>
      <c r="G884" s="5"/>
      <c r="H884" s="1"/>
      <c r="I884" s="1"/>
      <c r="J884" s="5"/>
      <c r="K884" s="1"/>
      <c r="L884" s="1"/>
      <c r="M884" s="5"/>
      <c r="N884" s="1"/>
      <c r="O884" s="1"/>
      <c r="P884" s="5"/>
      <c r="Q884" s="1"/>
      <c r="R884" s="1"/>
      <c r="S884" s="5"/>
      <c r="T884" s="1"/>
      <c r="U884" s="1"/>
      <c r="V884" s="5"/>
      <c r="W884" s="1"/>
      <c r="X884" s="1"/>
      <c r="Y884" s="5"/>
      <c r="Z884" s="1"/>
      <c r="AA884" s="1"/>
      <c r="AB884" s="5"/>
      <c r="AC884" s="1"/>
      <c r="AD884" s="1"/>
      <c r="AE884" s="5"/>
      <c r="AF884" s="1"/>
      <c r="AG884" s="1"/>
      <c r="AH884" s="5"/>
      <c r="AI884" s="1"/>
      <c r="AJ884" s="1"/>
      <c r="AK884" s="5"/>
      <c r="AL884" s="1"/>
      <c r="AM884" s="1"/>
      <c r="AN884" s="5"/>
      <c r="AO884" s="1"/>
      <c r="AP884" s="1"/>
      <c r="AQ884" s="5"/>
      <c r="AR884" s="1"/>
      <c r="AS884" s="1"/>
      <c r="AT884" s="5"/>
      <c r="AU884" s="1"/>
      <c r="AV884" s="1"/>
      <c r="AW884" s="5"/>
      <c r="AX884" s="184">
        <f>(AX753*AX818*AX848)</f>
        <v>1852.3238445056627</v>
      </c>
      <c r="AY884" s="184">
        <f>AX884+(AY747*AY818*AY848)</f>
        <v>1939.3529005938278</v>
      </c>
      <c r="AZ884" s="184">
        <f>AY884</f>
        <v>1939.3529005938278</v>
      </c>
      <c r="BA884" s="28">
        <f t="shared" si="3802"/>
        <v>2163.0629634399388</v>
      </c>
      <c r="BB884" s="28">
        <f t="shared" si="3802"/>
        <v>2269.5802594934194</v>
      </c>
      <c r="BC884" s="58">
        <f>BB884</f>
        <v>2269.5802594934194</v>
      </c>
      <c r="BD884" s="28">
        <f t="shared" si="3803"/>
        <v>2548.4237752794334</v>
      </c>
      <c r="BE884" s="28">
        <f t="shared" si="3803"/>
        <v>2788.6508189715996</v>
      </c>
      <c r="BF884" s="58">
        <f>BE884</f>
        <v>2788.6508189715996</v>
      </c>
      <c r="BG884" s="28">
        <f t="shared" si="3804"/>
        <v>3056.97384749712</v>
      </c>
      <c r="BH884" s="28">
        <f t="shared" si="3804"/>
        <v>3422.4775513892741</v>
      </c>
      <c r="BI884" s="58">
        <f>BH884</f>
        <v>3422.4775513892741</v>
      </c>
      <c r="BJ884" s="110">
        <f t="shared" si="3805"/>
        <v>3749.6280076410862</v>
      </c>
      <c r="BK884" s="110">
        <f t="shared" si="3805"/>
        <v>4089.4263168364814</v>
      </c>
      <c r="BL884" s="111">
        <f>BK884</f>
        <v>4089.4263168364814</v>
      </c>
      <c r="BM884" s="110">
        <f t="shared" si="3806"/>
        <v>4431.4215270929599</v>
      </c>
      <c r="BN884" s="110">
        <f t="shared" si="3806"/>
        <v>4862.5100843804794</v>
      </c>
      <c r="BO884" s="111">
        <f>BN884</f>
        <v>4862.5100843804794</v>
      </c>
      <c r="BP884" s="110">
        <f t="shared" si="3807"/>
        <v>5302.8822815895919</v>
      </c>
      <c r="BQ884" s="110">
        <f t="shared" si="3807"/>
        <v>5761.8180867591072</v>
      </c>
      <c r="BR884" s="111">
        <f>BQ884</f>
        <v>5761.8180867591072</v>
      </c>
      <c r="BS884" s="28">
        <f t="shared" si="3808"/>
        <v>6299.7838705083705</v>
      </c>
      <c r="BT884" s="28">
        <f t="shared" si="3808"/>
        <v>6880.8819082899272</v>
      </c>
      <c r="BU884" s="184">
        <f>BT884</f>
        <v>6880.8819082899272</v>
      </c>
      <c r="BV884" s="28">
        <f t="shared" si="3809"/>
        <v>7459.0914658394631</v>
      </c>
      <c r="BW884" s="28">
        <f t="shared" si="3809"/>
        <v>8141.2942593019234</v>
      </c>
      <c r="BX884" s="184">
        <f>BW884</f>
        <v>8141.2942593019234</v>
      </c>
      <c r="BY884" s="28">
        <f t="shared" si="3810"/>
        <v>8696.7611898599516</v>
      </c>
      <c r="BZ884" s="28">
        <f t="shared" si="3810"/>
        <v>9422.4970289027642</v>
      </c>
      <c r="CA884" s="184">
        <f>BZ884</f>
        <v>9422.4970289027642</v>
      </c>
      <c r="CB884" s="28">
        <f t="shared" si="3811"/>
        <v>10034.28292320848</v>
      </c>
      <c r="CC884" s="28">
        <f t="shared" si="3811"/>
        <v>10914.266504904694</v>
      </c>
      <c r="CD884" s="184">
        <f>CC884</f>
        <v>10914.266504904694</v>
      </c>
      <c r="CE884" s="28">
        <f t="shared" si="3812"/>
        <v>11685.91831232153</v>
      </c>
      <c r="CF884" s="28">
        <f t="shared" si="3812"/>
        <v>12708.60549843125</v>
      </c>
      <c r="CG884" s="184">
        <f>CF884</f>
        <v>12708.60549843125</v>
      </c>
      <c r="CH884" s="28">
        <f t="shared" si="3813"/>
        <v>13561.193399138616</v>
      </c>
      <c r="CI884" s="28">
        <f t="shared" si="3813"/>
        <v>14550.459387959609</v>
      </c>
      <c r="CJ884" s="184">
        <f>CI884</f>
        <v>14550.459387959609</v>
      </c>
      <c r="CK884" s="28">
        <f t="shared" si="3814"/>
        <v>16324.973408810225</v>
      </c>
      <c r="CL884" s="28">
        <f t="shared" si="3814"/>
        <v>17816.349401154101</v>
      </c>
      <c r="CM884" s="184">
        <f>CL884</f>
        <v>17816.349401154101</v>
      </c>
      <c r="CN884" s="28">
        <f t="shared" si="3815"/>
        <v>18793.475102013115</v>
      </c>
      <c r="CO884" s="28">
        <f t="shared" si="3815"/>
        <v>20222.244604085037</v>
      </c>
      <c r="CP884" s="184">
        <f>CO884</f>
        <v>20222.244604085037</v>
      </c>
      <c r="CQ884" s="28">
        <f t="shared" si="3816"/>
        <v>20697.972140867281</v>
      </c>
      <c r="CR884" s="28">
        <f t="shared" si="3816"/>
        <v>21948.971594811377</v>
      </c>
      <c r="CS884" s="184">
        <f>CR884</f>
        <v>21948.971594811377</v>
      </c>
      <c r="CT884" s="28">
        <f t="shared" si="3817"/>
        <v>23356.219276837164</v>
      </c>
      <c r="CU884" s="28">
        <f t="shared" si="3817"/>
        <v>24494.458264455403</v>
      </c>
      <c r="CV884" s="184">
        <f>CU884</f>
        <v>24494.458264455403</v>
      </c>
      <c r="CW884" s="28">
        <f t="shared" si="3818"/>
        <v>25752.882330409546</v>
      </c>
      <c r="CX884" s="28">
        <f t="shared" si="3818"/>
        <v>26602.168820729847</v>
      </c>
      <c r="CY884" s="184">
        <f>CX884</f>
        <v>26602.168820729847</v>
      </c>
      <c r="CZ884" s="28">
        <f t="shared" si="3819"/>
        <v>27364.135231957582</v>
      </c>
      <c r="DA884" s="28">
        <f t="shared" si="3819"/>
        <v>28524.109079837115</v>
      </c>
      <c r="DB884" s="184">
        <f>DA884</f>
        <v>28524.109079837115</v>
      </c>
      <c r="DC884" s="28">
        <f t="shared" si="3820"/>
        <v>29466.172654499882</v>
      </c>
      <c r="DD884" s="28">
        <f t="shared" si="3820"/>
        <v>30475.019442056837</v>
      </c>
      <c r="DE884" s="184">
        <f>DD884</f>
        <v>30475.019442056837</v>
      </c>
      <c r="DF884" s="28">
        <f t="shared" si="3821"/>
        <v>31647.353288705584</v>
      </c>
      <c r="DG884" s="28">
        <f t="shared" si="3821"/>
        <v>32293.630293180777</v>
      </c>
      <c r="DH884" s="184">
        <f>DG884</f>
        <v>32293.630293180777</v>
      </c>
      <c r="DI884" s="28">
        <f t="shared" si="3822"/>
        <v>33741.316370182321</v>
      </c>
      <c r="DJ884" s="28">
        <f t="shared" si="3822"/>
        <v>35214.875051769501</v>
      </c>
      <c r="DK884" s="184">
        <f>DJ884</f>
        <v>35214.875051769501</v>
      </c>
      <c r="DL884" s="28">
        <f>DK884+(DL747*DL818*DL848)</f>
        <v>36747.737388796588</v>
      </c>
      <c r="DM884" s="28">
        <f t="shared" si="3823"/>
        <v>38372.05497591255</v>
      </c>
      <c r="DN884" s="184">
        <f>DM884</f>
        <v>38372.05497591255</v>
      </c>
      <c r="DO884" s="28">
        <f t="shared" si="3824"/>
        <v>40218.209954070844</v>
      </c>
      <c r="DP884" s="28">
        <f t="shared" si="3824"/>
        <v>42051.978015984387</v>
      </c>
      <c r="DQ884" s="184">
        <f>DP884</f>
        <v>42051.978015984387</v>
      </c>
      <c r="DR884" s="28">
        <f t="shared" si="3825"/>
        <v>43892.360342722415</v>
      </c>
      <c r="DS884" s="28">
        <f t="shared" si="3825"/>
        <v>45866.773512482469</v>
      </c>
      <c r="DT884" s="184">
        <f>DS884</f>
        <v>45866.773512482469</v>
      </c>
      <c r="DU884" s="28">
        <f t="shared" si="3826"/>
        <v>48271.199824353549</v>
      </c>
      <c r="DV884" s="28">
        <f t="shared" si="3826"/>
        <v>50600.584834076493</v>
      </c>
      <c r="DW884" s="184">
        <f>DV884</f>
        <v>50600.584834076493</v>
      </c>
      <c r="DX884" s="28">
        <f t="shared" si="3827"/>
        <v>52914.865074122834</v>
      </c>
      <c r="DY884" s="28">
        <f t="shared" si="3827"/>
        <v>55482.472422906634</v>
      </c>
      <c r="DZ884" s="184">
        <f>DY884</f>
        <v>55482.472422906634</v>
      </c>
      <c r="EA884" s="28">
        <f t="shared" si="3828"/>
        <v>58264.228427637114</v>
      </c>
      <c r="EB884" s="28">
        <f t="shared" si="3828"/>
        <v>61016.138441689429</v>
      </c>
      <c r="EC884" s="184">
        <f>EB884</f>
        <v>61016.138441689429</v>
      </c>
      <c r="ED884" s="28">
        <f t="shared" si="3829"/>
        <v>64052.098289237103</v>
      </c>
      <c r="EE884" s="28">
        <f t="shared" si="3829"/>
        <v>67055.484744598289</v>
      </c>
      <c r="EF884" s="184">
        <f>EE884</f>
        <v>67055.484744598289</v>
      </c>
      <c r="EG884" s="28">
        <f t="shared" si="3830"/>
        <v>70367.577097727029</v>
      </c>
      <c r="EH884" s="28">
        <f t="shared" si="3830"/>
        <v>73644.133380356201</v>
      </c>
      <c r="EI884" s="184">
        <f>EH884</f>
        <v>73644.133380356201</v>
      </c>
      <c r="EJ884" s="28">
        <f t="shared" si="3831"/>
        <v>77256.055454383633</v>
      </c>
      <c r="EK884" s="28">
        <f t="shared" si="3831"/>
        <v>80829.224527656028</v>
      </c>
      <c r="EL884" s="184">
        <f>EK884</f>
        <v>80829.224527656028</v>
      </c>
      <c r="EM884" s="28">
        <f t="shared" si="3832"/>
        <v>84766.567406120608</v>
      </c>
      <c r="EN884" s="28">
        <f t="shared" si="3832"/>
        <v>88661.665781958945</v>
      </c>
      <c r="EO884" s="184">
        <f>EN884</f>
        <v>88661.665781958945</v>
      </c>
      <c r="EP884" s="28">
        <f t="shared" si="3833"/>
        <v>92952.045702681979</v>
      </c>
      <c r="EQ884" s="28">
        <f t="shared" si="3833"/>
        <v>97196.393319025359</v>
      </c>
      <c r="ER884" s="184">
        <f>EQ884</f>
        <v>97196.393319025359</v>
      </c>
      <c r="ES884" s="28">
        <f t="shared" si="3834"/>
        <v>101869.5886456407</v>
      </c>
      <c r="ET884" s="28">
        <f t="shared" si="3835"/>
        <v>106492.64436838057</v>
      </c>
      <c r="EU884" s="184">
        <f>ET884</f>
        <v>106492.64436838057</v>
      </c>
      <c r="EV884" s="28">
        <f t="shared" si="3836"/>
        <v>111580.73780975695</v>
      </c>
      <c r="EW884" s="28">
        <f t="shared" si="3837"/>
        <v>116614.24012626013</v>
      </c>
      <c r="EX884" s="184">
        <f>EW884</f>
        <v>116614.24012626013</v>
      </c>
      <c r="EY884" s="28">
        <f t="shared" si="3838"/>
        <v>122151.76558025269</v>
      </c>
      <c r="EZ884" s="28">
        <f t="shared" si="3839"/>
        <v>127629.87786759836</v>
      </c>
      <c r="FA884" s="184">
        <f>EZ884</f>
        <v>127629.87786759836</v>
      </c>
      <c r="FH884" s="35"/>
      <c r="FI884" s="35"/>
      <c r="FJ884" s="35"/>
      <c r="FK884" s="35"/>
      <c r="FL884" s="35"/>
      <c r="FM884" s="35"/>
      <c r="FN884" s="35"/>
      <c r="FO884" s="35"/>
      <c r="FP884" s="35"/>
      <c r="FQ884" s="35"/>
    </row>
    <row r="885" spans="1:173" s="321" customFormat="1" hidden="1" outlineLevel="1">
      <c r="A885" s="1168"/>
      <c r="B885" s="186"/>
      <c r="C885" s="186" t="s">
        <v>327</v>
      </c>
      <c r="D885" s="910"/>
      <c r="E885" s="1"/>
      <c r="F885" s="1"/>
      <c r="G885" s="5"/>
      <c r="H885" s="1"/>
      <c r="I885" s="1"/>
      <c r="J885" s="5"/>
      <c r="K885" s="1"/>
      <c r="L885" s="1"/>
      <c r="M885" s="5"/>
      <c r="N885" s="1"/>
      <c r="O885" s="1"/>
      <c r="P885" s="5"/>
      <c r="Q885" s="1"/>
      <c r="R885" s="1"/>
      <c r="S885" s="5"/>
      <c r="T885" s="1"/>
      <c r="U885" s="1"/>
      <c r="V885" s="5"/>
      <c r="W885" s="1"/>
      <c r="X885" s="1"/>
      <c r="Y885" s="5"/>
      <c r="Z885" s="1"/>
      <c r="AA885" s="1"/>
      <c r="AB885" s="5"/>
      <c r="AC885" s="1"/>
      <c r="AD885" s="1"/>
      <c r="AE885" s="5"/>
      <c r="AF885" s="1"/>
      <c r="AG885" s="1"/>
      <c r="AH885" s="5"/>
      <c r="AI885" s="1"/>
      <c r="AJ885" s="1"/>
      <c r="AK885" s="5"/>
      <c r="AL885" s="1"/>
      <c r="AM885" s="1"/>
      <c r="AN885" s="5"/>
      <c r="AO885" s="1"/>
      <c r="AP885" s="1"/>
      <c r="AQ885" s="5"/>
      <c r="AR885" s="1"/>
      <c r="AS885" s="1"/>
      <c r="AT885" s="5"/>
      <c r="AU885" s="1"/>
      <c r="AV885" s="1"/>
      <c r="AW885" s="5"/>
      <c r="AX885" s="184">
        <f t="shared" ref="AX885:CC885" si="3840">SUM(AX882:AX884)</f>
        <v>13848.563408981592</v>
      </c>
      <c r="AY885" s="184">
        <f t="shared" si="3840"/>
        <v>15347.933245634971</v>
      </c>
      <c r="AZ885" s="184">
        <f t="shared" si="3840"/>
        <v>15347.933245634971</v>
      </c>
      <c r="BA885" s="28">
        <f t="shared" si="3840"/>
        <v>16946.085752540606</v>
      </c>
      <c r="BB885" s="28">
        <f t="shared" si="3840"/>
        <v>18781.206434794971</v>
      </c>
      <c r="BC885" s="58">
        <f t="shared" si="3840"/>
        <v>18781.206434794971</v>
      </c>
      <c r="BD885" s="28">
        <f t="shared" si="3840"/>
        <v>20706.398305129333</v>
      </c>
      <c r="BE885" s="28">
        <f t="shared" si="3840"/>
        <v>23001.96723375313</v>
      </c>
      <c r="BF885" s="58">
        <f t="shared" si="3840"/>
        <v>23001.96723375313</v>
      </c>
      <c r="BG885" s="28">
        <f t="shared" si="3840"/>
        <v>25182.224328294233</v>
      </c>
      <c r="BH885" s="28">
        <f t="shared" si="3840"/>
        <v>27681.578318541797</v>
      </c>
      <c r="BI885" s="58">
        <f t="shared" si="3840"/>
        <v>27681.578318541797</v>
      </c>
      <c r="BJ885" s="110">
        <f t="shared" si="3840"/>
        <v>29960.700879981978</v>
      </c>
      <c r="BK885" s="110">
        <f t="shared" si="3840"/>
        <v>32734.406131705855</v>
      </c>
      <c r="BL885" s="111">
        <f t="shared" si="3840"/>
        <v>32734.406131705855</v>
      </c>
      <c r="BM885" s="110">
        <f t="shared" si="3840"/>
        <v>35555.974373273595</v>
      </c>
      <c r="BN885" s="110">
        <f t="shared" si="3840"/>
        <v>38782.212506454161</v>
      </c>
      <c r="BO885" s="111">
        <f t="shared" si="3840"/>
        <v>38782.212506454161</v>
      </c>
      <c r="BP885" s="110">
        <f t="shared" si="3840"/>
        <v>42511.379483768025</v>
      </c>
      <c r="BQ885" s="110">
        <f t="shared" si="3840"/>
        <v>46130.302363957191</v>
      </c>
      <c r="BR885" s="111">
        <f t="shared" si="3840"/>
        <v>46130.302363957191</v>
      </c>
      <c r="BS885" s="28">
        <f t="shared" si="3840"/>
        <v>50732.552258323842</v>
      </c>
      <c r="BT885" s="28">
        <f t="shared" si="3840"/>
        <v>55338.60339313907</v>
      </c>
      <c r="BU885" s="184">
        <f t="shared" si="3840"/>
        <v>55338.60339313907</v>
      </c>
      <c r="BV885" s="28">
        <f t="shared" si="3840"/>
        <v>60591.651770856697</v>
      </c>
      <c r="BW885" s="28">
        <f t="shared" si="3840"/>
        <v>65965.262116030441</v>
      </c>
      <c r="BX885" s="184">
        <f t="shared" si="3840"/>
        <v>65965.262116030441</v>
      </c>
      <c r="BY885" s="28">
        <f t="shared" si="3840"/>
        <v>71415.422922966172</v>
      </c>
      <c r="BZ885" s="28">
        <f t="shared" si="3840"/>
        <v>76915.630333934925</v>
      </c>
      <c r="CA885" s="184">
        <f t="shared" si="3840"/>
        <v>76915.630333934925</v>
      </c>
      <c r="CB885" s="28">
        <f t="shared" si="3840"/>
        <v>82808.730611600942</v>
      </c>
      <c r="CC885" s="28">
        <f t="shared" si="3840"/>
        <v>89469.525258321402</v>
      </c>
      <c r="CD885" s="184">
        <f t="shared" ref="CD885:DI885" si="3841">SUM(CD882:CD884)</f>
        <v>89469.525258321402</v>
      </c>
      <c r="CE885" s="28">
        <f t="shared" si="3841"/>
        <v>96573.080172424481</v>
      </c>
      <c r="CF885" s="28">
        <f t="shared" si="3841"/>
        <v>104308.30590945706</v>
      </c>
      <c r="CG885" s="184">
        <f t="shared" si="3841"/>
        <v>104308.30590945706</v>
      </c>
      <c r="CH885" s="28">
        <f t="shared" si="3841"/>
        <v>110779.2710790471</v>
      </c>
      <c r="CI885" s="28">
        <f t="shared" si="3841"/>
        <v>118261.71130263874</v>
      </c>
      <c r="CJ885" s="184">
        <f t="shared" si="3841"/>
        <v>118261.71130263874</v>
      </c>
      <c r="CK885" s="28">
        <f t="shared" si="3841"/>
        <v>126300.11072897309</v>
      </c>
      <c r="CL885" s="28">
        <f t="shared" si="3841"/>
        <v>134014.83084692986</v>
      </c>
      <c r="CM885" s="184">
        <f t="shared" si="3841"/>
        <v>134014.83084692986</v>
      </c>
      <c r="CN885" s="28">
        <f t="shared" si="3841"/>
        <v>141178.85821131119</v>
      </c>
      <c r="CO885" s="28">
        <f t="shared" si="3841"/>
        <v>149810.22921115582</v>
      </c>
      <c r="CP885" s="184">
        <f t="shared" si="3841"/>
        <v>149810.22921115582</v>
      </c>
      <c r="CQ885" s="28">
        <f t="shared" si="3841"/>
        <v>157247.01257383925</v>
      </c>
      <c r="CR885" s="28">
        <f t="shared" si="3841"/>
        <v>166598.87121538361</v>
      </c>
      <c r="CS885" s="184">
        <f t="shared" si="3841"/>
        <v>166598.87121538361</v>
      </c>
      <c r="CT885" s="28">
        <f t="shared" si="3841"/>
        <v>175713.97311641075</v>
      </c>
      <c r="CU885" s="28">
        <f t="shared" si="3841"/>
        <v>185347.8986215636</v>
      </c>
      <c r="CV885" s="184">
        <f t="shared" si="3841"/>
        <v>185347.8986215636</v>
      </c>
      <c r="CW885" s="28">
        <f t="shared" si="3841"/>
        <v>195592.92071346298</v>
      </c>
      <c r="CX885" s="28">
        <f t="shared" si="3841"/>
        <v>206005.53505029969</v>
      </c>
      <c r="CY885" s="184">
        <f t="shared" si="3841"/>
        <v>206005.53505029969</v>
      </c>
      <c r="CZ885" s="28">
        <f t="shared" si="3841"/>
        <v>216385.07478000672</v>
      </c>
      <c r="DA885" s="28">
        <f t="shared" si="3841"/>
        <v>228641.13408329332</v>
      </c>
      <c r="DB885" s="184">
        <f t="shared" si="3841"/>
        <v>228641.13408329332</v>
      </c>
      <c r="DC885" s="28">
        <f t="shared" si="3841"/>
        <v>239472.42930319274</v>
      </c>
      <c r="DD885" s="28">
        <f t="shared" si="3841"/>
        <v>250551.68344833941</v>
      </c>
      <c r="DE885" s="184">
        <f t="shared" si="3841"/>
        <v>250551.68344833941</v>
      </c>
      <c r="DF885" s="28">
        <f t="shared" si="3841"/>
        <v>262777.33513279067</v>
      </c>
      <c r="DG885" s="28">
        <f t="shared" si="3841"/>
        <v>271011.31444515497</v>
      </c>
      <c r="DH885" s="184">
        <f t="shared" si="3841"/>
        <v>271011.31444515497</v>
      </c>
      <c r="DI885" s="28">
        <f t="shared" si="3841"/>
        <v>282173.9881977436</v>
      </c>
      <c r="DJ885" s="28">
        <f t="shared" ref="DJ885:EF885" si="3842">SUM(DJ882:DJ884)</f>
        <v>294383.73473200423</v>
      </c>
      <c r="DK885" s="184">
        <f t="shared" si="3842"/>
        <v>294383.73473200423</v>
      </c>
      <c r="DL885" s="28">
        <f t="shared" si="3842"/>
        <v>306325.43101131561</v>
      </c>
      <c r="DM885" s="28">
        <f t="shared" si="3842"/>
        <v>318892.19899434946</v>
      </c>
      <c r="DN885" s="184">
        <f t="shared" si="3842"/>
        <v>318892.19899434946</v>
      </c>
      <c r="DO885" s="28">
        <f t="shared" si="3842"/>
        <v>332603.30077746575</v>
      </c>
      <c r="DP885" s="28">
        <f t="shared" si="3842"/>
        <v>347437.97053456737</v>
      </c>
      <c r="DQ885" s="184">
        <f t="shared" si="3842"/>
        <v>347437.97053456737</v>
      </c>
      <c r="DR885" s="28">
        <f t="shared" si="3842"/>
        <v>363239.19207932497</v>
      </c>
      <c r="DS885" s="28">
        <f t="shared" si="3842"/>
        <v>378668.2084652296</v>
      </c>
      <c r="DT885" s="184">
        <f t="shared" si="3842"/>
        <v>378668.2084652296</v>
      </c>
      <c r="DU885" s="28">
        <f t="shared" si="3842"/>
        <v>395080.93046675186</v>
      </c>
      <c r="DV885" s="28">
        <f t="shared" si="3842"/>
        <v>413582.10338395927</v>
      </c>
      <c r="DW885" s="184">
        <f t="shared" si="3842"/>
        <v>413582.10338395927</v>
      </c>
      <c r="DX885" s="28">
        <f t="shared" si="3842"/>
        <v>431183.66356384975</v>
      </c>
      <c r="DY885" s="28">
        <f t="shared" si="3842"/>
        <v>451576.92073046637</v>
      </c>
      <c r="DZ885" s="184">
        <f t="shared" si="3842"/>
        <v>451576.92073046637</v>
      </c>
      <c r="EA885" s="28">
        <f t="shared" si="3842"/>
        <v>472733.9288039807</v>
      </c>
      <c r="EB885" s="28">
        <f t="shared" si="3842"/>
        <v>494591.01245913492</v>
      </c>
      <c r="EC885" s="184">
        <f t="shared" si="3842"/>
        <v>494591.01245913492</v>
      </c>
      <c r="ED885" s="28">
        <f t="shared" si="3842"/>
        <v>517681.40101089969</v>
      </c>
      <c r="EE885" s="28">
        <f t="shared" si="3842"/>
        <v>541535.83980736346</v>
      </c>
      <c r="EF885" s="184">
        <f t="shared" si="3842"/>
        <v>541535.83980736346</v>
      </c>
      <c r="EG885" s="28">
        <f t="shared" ref="EG885:EL885" si="3843">SUM(EG882:EG884)</f>
        <v>566726.39014183078</v>
      </c>
      <c r="EH885" s="28">
        <f t="shared" si="3843"/>
        <v>592750.4841000447</v>
      </c>
      <c r="EI885" s="184">
        <f t="shared" si="3843"/>
        <v>592750.4841000447</v>
      </c>
      <c r="EJ885" s="28">
        <f t="shared" si="3843"/>
        <v>620221.42847875808</v>
      </c>
      <c r="EK885" s="28">
        <f t="shared" si="3843"/>
        <v>648601.37366218376</v>
      </c>
      <c r="EL885" s="184">
        <f t="shared" si="3843"/>
        <v>648601.37366218376</v>
      </c>
      <c r="EM885" s="28">
        <f t="shared" ref="EM885:ER885" si="3844">SUM(EM882:EM884)</f>
        <v>678547.34840842697</v>
      </c>
      <c r="EN885" s="28">
        <f t="shared" si="3844"/>
        <v>709484.22156598652</v>
      </c>
      <c r="EO885" s="184">
        <f t="shared" si="3844"/>
        <v>709484.22156598652</v>
      </c>
      <c r="EP885" s="28">
        <f t="shared" si="3844"/>
        <v>742115.2655780497</v>
      </c>
      <c r="EQ885" s="28">
        <f t="shared" si="3844"/>
        <v>775826.05569773284</v>
      </c>
      <c r="ER885" s="184">
        <f t="shared" si="3844"/>
        <v>775826.05569773284</v>
      </c>
      <c r="ES885" s="28">
        <f t="shared" ref="ES885:EX885" si="3845">SUM(ES882:ES884)</f>
        <v>811368.65220374451</v>
      </c>
      <c r="ET885" s="28">
        <f t="shared" si="3845"/>
        <v>848087.33673862473</v>
      </c>
      <c r="EU885" s="184">
        <f t="shared" si="3845"/>
        <v>848087.33673862473</v>
      </c>
      <c r="EV885" s="28">
        <f t="shared" si="3845"/>
        <v>886785.49496491579</v>
      </c>
      <c r="EW885" s="28">
        <f t="shared" si="3845"/>
        <v>926764.15729341866</v>
      </c>
      <c r="EX885" s="184">
        <f t="shared" si="3845"/>
        <v>926764.15729341866</v>
      </c>
      <c r="EY885" s="28">
        <f t="shared" ref="EY885:FA885" si="3846">SUM(EY882:EY884)</f>
        <v>968880.52930382546</v>
      </c>
      <c r="EZ885" s="28">
        <f t="shared" si="3846"/>
        <v>1012390.5125247254</v>
      </c>
      <c r="FA885" s="184">
        <f t="shared" si="3846"/>
        <v>1012390.5125247254</v>
      </c>
      <c r="FH885" s="35"/>
      <c r="FI885" s="35"/>
      <c r="FJ885" s="35"/>
      <c r="FK885" s="35"/>
      <c r="FL885" s="35"/>
      <c r="FM885" s="35"/>
      <c r="FN885" s="35"/>
      <c r="FO885" s="35"/>
      <c r="FP885" s="35"/>
      <c r="FQ885" s="35"/>
    </row>
    <row r="886" spans="1:173" s="321" customFormat="1" hidden="1" outlineLevel="1">
      <c r="A886" s="1168"/>
      <c r="B886" s="186"/>
      <c r="C886" s="186"/>
      <c r="D886" s="910"/>
      <c r="E886" s="1"/>
      <c r="F886" s="1"/>
      <c r="G886" s="5"/>
      <c r="H886" s="1"/>
      <c r="I886" s="1"/>
      <c r="J886" s="5"/>
      <c r="K886" s="1"/>
      <c r="L886" s="1"/>
      <c r="M886" s="5"/>
      <c r="N886" s="1"/>
      <c r="O886" s="1"/>
      <c r="P886" s="5"/>
      <c r="Q886" s="1"/>
      <c r="R886" s="1"/>
      <c r="S886" s="5"/>
      <c r="T886" s="1"/>
      <c r="U886" s="1"/>
      <c r="V886" s="5"/>
      <c r="W886" s="1"/>
      <c r="X886" s="1"/>
      <c r="Y886" s="5"/>
      <c r="Z886" s="1"/>
      <c r="AA886" s="1"/>
      <c r="AB886" s="5"/>
      <c r="AC886" s="1"/>
      <c r="AD886" s="1"/>
      <c r="AE886" s="5"/>
      <c r="AF886" s="1"/>
      <c r="AG886" s="1"/>
      <c r="AH886" s="5"/>
      <c r="AI886" s="1"/>
      <c r="AJ886" s="1"/>
      <c r="AK886" s="5"/>
      <c r="AL886" s="1"/>
      <c r="AM886" s="1"/>
      <c r="AN886" s="5"/>
      <c r="AO886" s="1"/>
      <c r="AP886" s="1"/>
      <c r="AQ886" s="5"/>
      <c r="AR886" s="1"/>
      <c r="AS886" s="1"/>
      <c r="AT886" s="5"/>
      <c r="AU886" s="1"/>
      <c r="AV886" s="1"/>
      <c r="AW886" s="5"/>
      <c r="AX886" s="184"/>
      <c r="AY886" s="184"/>
      <c r="AZ886" s="184"/>
      <c r="BA886" s="28"/>
      <c r="BB886" s="28"/>
      <c r="BC886" s="58"/>
      <c r="BD886" s="28"/>
      <c r="BE886" s="28"/>
      <c r="BF886" s="58"/>
      <c r="BG886" s="28"/>
      <c r="BH886" s="28"/>
      <c r="BI886" s="58"/>
      <c r="BJ886" s="110"/>
      <c r="BK886" s="110"/>
      <c r="BL886" s="111"/>
      <c r="BM886" s="110"/>
      <c r="BN886" s="110"/>
      <c r="BO886" s="111"/>
      <c r="BP886" s="110"/>
      <c r="BQ886" s="110"/>
      <c r="BR886" s="111"/>
      <c r="BS886" s="28"/>
      <c r="BT886" s="28"/>
      <c r="BU886" s="184"/>
      <c r="BV886" s="28"/>
      <c r="BW886" s="28"/>
      <c r="BX886" s="184"/>
      <c r="BY886" s="28"/>
      <c r="BZ886" s="28"/>
      <c r="CA886" s="184"/>
      <c r="CB886" s="28"/>
      <c r="CC886" s="28"/>
      <c r="CD886" s="184"/>
      <c r="CE886" s="28"/>
      <c r="CF886" s="28"/>
      <c r="CG886" s="184"/>
      <c r="CH886" s="28"/>
      <c r="CI886" s="28"/>
      <c r="CJ886" s="184"/>
      <c r="CK886" s="28"/>
      <c r="CL886" s="28"/>
      <c r="CM886" s="184"/>
      <c r="CN886" s="28"/>
      <c r="CO886" s="28"/>
      <c r="CP886" s="184"/>
      <c r="CQ886" s="28"/>
      <c r="CR886" s="28"/>
      <c r="CS886" s="184"/>
      <c r="CT886" s="28"/>
      <c r="CU886" s="28"/>
      <c r="CV886" s="184"/>
      <c r="CW886" s="28"/>
      <c r="CX886" s="28"/>
      <c r="CY886" s="184"/>
      <c r="CZ886" s="28"/>
      <c r="DA886" s="28"/>
      <c r="DB886" s="184"/>
      <c r="DC886" s="28"/>
      <c r="DD886" s="28"/>
      <c r="DE886" s="184"/>
      <c r="DF886" s="28"/>
      <c r="DG886" s="28"/>
      <c r="DH886" s="184"/>
      <c r="DI886" s="28"/>
      <c r="DJ886" s="28"/>
      <c r="DK886" s="184"/>
      <c r="DL886" s="28"/>
      <c r="DM886" s="28"/>
      <c r="DN886" s="184"/>
      <c r="DO886" s="28"/>
      <c r="DP886" s="28"/>
      <c r="DQ886" s="184"/>
      <c r="DR886" s="28"/>
      <c r="DS886" s="28"/>
      <c r="DT886" s="184"/>
      <c r="DU886" s="28"/>
      <c r="DV886" s="28"/>
      <c r="DW886" s="184"/>
      <c r="DX886" s="28"/>
      <c r="DY886" s="28"/>
      <c r="DZ886" s="184"/>
      <c r="EA886" s="28"/>
      <c r="EB886" s="28"/>
      <c r="EC886" s="184"/>
      <c r="ED886" s="28"/>
      <c r="EE886" s="28"/>
      <c r="EF886" s="184"/>
      <c r="EG886" s="28"/>
      <c r="EH886" s="28"/>
      <c r="EI886" s="184"/>
      <c r="EJ886" s="28"/>
      <c r="EK886" s="28"/>
      <c r="EL886" s="184"/>
      <c r="EM886" s="28"/>
      <c r="EN886" s="28"/>
      <c r="EO886" s="184"/>
      <c r="EP886" s="28"/>
      <c r="EQ886" s="28"/>
      <c r="ER886" s="184"/>
      <c r="ES886" s="28"/>
      <c r="ET886" s="28"/>
      <c r="EU886" s="184"/>
      <c r="EV886" s="28"/>
      <c r="EW886" s="28"/>
      <c r="EX886" s="184"/>
      <c r="EY886" s="28"/>
      <c r="EZ886" s="28"/>
      <c r="FA886" s="184"/>
      <c r="FH886" s="35"/>
      <c r="FI886" s="35"/>
      <c r="FJ886" s="35"/>
      <c r="FK886" s="35"/>
      <c r="FL886" s="35"/>
      <c r="FM886" s="35"/>
      <c r="FN886" s="35"/>
      <c r="FO886" s="35"/>
      <c r="FP886" s="35"/>
      <c r="FQ886" s="35"/>
    </row>
    <row r="887" spans="1:173" s="321" customFormat="1" hidden="1" outlineLevel="1">
      <c r="A887" s="1168"/>
      <c r="B887" s="186"/>
      <c r="C887" s="331" t="s">
        <v>194</v>
      </c>
      <c r="D887" s="910"/>
      <c r="E887" s="1"/>
      <c r="F887" s="1"/>
      <c r="G887" s="5"/>
      <c r="H887" s="1"/>
      <c r="I887" s="1"/>
      <c r="J887" s="5"/>
      <c r="K887" s="1"/>
      <c r="L887" s="1"/>
      <c r="M887" s="5"/>
      <c r="N887" s="1"/>
      <c r="O887" s="1"/>
      <c r="P887" s="5"/>
      <c r="Q887" s="1"/>
      <c r="R887" s="1"/>
      <c r="S887" s="5"/>
      <c r="T887" s="1"/>
      <c r="U887" s="1"/>
      <c r="V887" s="5"/>
      <c r="W887" s="1"/>
      <c r="X887" s="1"/>
      <c r="Y887" s="5"/>
      <c r="Z887" s="1"/>
      <c r="AA887" s="1"/>
      <c r="AB887" s="5"/>
      <c r="AC887" s="1"/>
      <c r="AD887" s="1"/>
      <c r="AE887" s="5"/>
      <c r="AF887" s="1"/>
      <c r="AG887" s="1"/>
      <c r="AH887" s="5"/>
      <c r="AI887" s="1"/>
      <c r="AJ887" s="1"/>
      <c r="AK887" s="5"/>
      <c r="AL887" s="1"/>
      <c r="AM887" s="1"/>
      <c r="AN887" s="5"/>
      <c r="AO887" s="1"/>
      <c r="AP887" s="1"/>
      <c r="AQ887" s="5"/>
      <c r="AR887" s="1"/>
      <c r="AS887" s="1"/>
      <c r="AT887" s="5"/>
      <c r="AU887" s="1"/>
      <c r="AV887" s="1"/>
      <c r="AW887" s="5"/>
      <c r="AX887" s="1"/>
      <c r="AY887" s="1"/>
      <c r="AZ887" s="214"/>
      <c r="BA887" s="37"/>
      <c r="BB887" s="37"/>
      <c r="BC887" s="53"/>
      <c r="BD887" s="37"/>
      <c r="BE887" s="37"/>
      <c r="BF887" s="53"/>
      <c r="BG887" s="37"/>
      <c r="BH887" s="37"/>
      <c r="BI887" s="62"/>
      <c r="BJ887" s="987"/>
      <c r="BK887" s="987"/>
      <c r="BL887" s="988"/>
      <c r="BM887" s="987"/>
      <c r="BN887" s="987"/>
      <c r="BO887" s="988"/>
      <c r="BP887" s="987"/>
      <c r="BQ887" s="987"/>
      <c r="BR887" s="988"/>
      <c r="BS887" s="45"/>
      <c r="BT887" s="45"/>
      <c r="BU887" s="221"/>
      <c r="BV887" s="45"/>
      <c r="BW887" s="45"/>
      <c r="BX887" s="221"/>
      <c r="BY887" s="45"/>
      <c r="BZ887" s="45"/>
      <c r="CA887" s="221"/>
      <c r="CB887" s="45"/>
      <c r="CC887" s="45"/>
      <c r="CD887" s="221"/>
      <c r="CE887" s="45"/>
      <c r="CF887" s="45"/>
      <c r="CG887" s="221"/>
      <c r="CH887" s="45"/>
      <c r="CI887" s="45"/>
      <c r="CJ887" s="221"/>
      <c r="CK887" s="45"/>
      <c r="CL887" s="45"/>
      <c r="CM887" s="221"/>
      <c r="CN887" s="45"/>
      <c r="CO887" s="45"/>
      <c r="CP887" s="221"/>
      <c r="CQ887" s="45"/>
      <c r="CR887" s="45"/>
      <c r="CS887" s="221"/>
      <c r="CT887" s="45"/>
      <c r="CU887" s="45"/>
      <c r="CV887" s="221"/>
      <c r="CW887" s="45"/>
      <c r="CX887" s="45"/>
      <c r="CY887" s="222"/>
      <c r="CZ887" s="45"/>
      <c r="DA887" s="45"/>
      <c r="DB887" s="222"/>
      <c r="DC887" s="45"/>
      <c r="DD887" s="45"/>
      <c r="DE887" s="222"/>
      <c r="DF887" s="313"/>
      <c r="DG887" s="313"/>
      <c r="DH887" s="9"/>
      <c r="DI887" s="8"/>
      <c r="DJ887" s="8"/>
      <c r="DK887" s="9"/>
      <c r="DL887" s="8"/>
      <c r="DM887" s="8"/>
      <c r="DN887" s="9"/>
      <c r="DO887" s="8"/>
      <c r="DP887" s="8"/>
      <c r="DQ887" s="9"/>
      <c r="DR887" s="8"/>
      <c r="DS887" s="8"/>
      <c r="DT887" s="9"/>
      <c r="DU887" s="8"/>
      <c r="DV887" s="8"/>
      <c r="DW887" s="9"/>
      <c r="DX887" s="8"/>
      <c r="DY887" s="8"/>
      <c r="DZ887" s="9"/>
      <c r="EA887" s="8"/>
      <c r="EB887" s="8"/>
      <c r="EC887" s="9"/>
      <c r="ED887" s="8"/>
      <c r="EE887" s="8"/>
      <c r="EF887" s="9"/>
      <c r="EG887" s="8"/>
      <c r="EH887" s="8"/>
      <c r="EI887" s="9"/>
      <c r="EJ887" s="8"/>
      <c r="EK887" s="8"/>
      <c r="EL887" s="9"/>
      <c r="EM887" s="8"/>
      <c r="EN887" s="8"/>
      <c r="EO887" s="9"/>
      <c r="EP887" s="8"/>
      <c r="EQ887" s="8"/>
      <c r="ER887" s="9"/>
      <c r="ES887" s="8"/>
      <c r="ET887" s="8"/>
      <c r="EU887" s="9"/>
      <c r="EV887" s="8"/>
      <c r="EW887" s="8"/>
      <c r="EX887" s="9"/>
      <c r="EY887" s="8"/>
      <c r="EZ887" s="8"/>
      <c r="FA887" s="9"/>
      <c r="FH887" s="35"/>
      <c r="FI887" s="35"/>
      <c r="FJ887" s="35"/>
      <c r="FK887" s="35"/>
      <c r="FL887" s="35"/>
      <c r="FM887" s="35"/>
      <c r="FN887" s="35"/>
      <c r="FO887" s="35"/>
      <c r="FP887" s="35"/>
      <c r="FQ887" s="35"/>
    </row>
    <row r="888" spans="1:173" s="321" customFormat="1" hidden="1" outlineLevel="1">
      <c r="A888" s="1168"/>
      <c r="B888" s="186"/>
      <c r="C888" s="186" t="s">
        <v>316</v>
      </c>
      <c r="D888" s="910"/>
      <c r="E888" s="1"/>
      <c r="F888" s="1"/>
      <c r="G888" s="5"/>
      <c r="H888" s="1"/>
      <c r="I888" s="1"/>
      <c r="J888" s="5"/>
      <c r="K888" s="1"/>
      <c r="L888" s="1"/>
      <c r="M888" s="5"/>
      <c r="N888" s="1"/>
      <c r="O888" s="1"/>
      <c r="P888" s="5"/>
      <c r="Q888" s="1"/>
      <c r="R888" s="1"/>
      <c r="S888" s="5"/>
      <c r="T888" s="1"/>
      <c r="U888" s="1"/>
      <c r="V888" s="5"/>
      <c r="W888" s="1"/>
      <c r="X888" s="1"/>
      <c r="Y888" s="5"/>
      <c r="Z888" s="1"/>
      <c r="AA888" s="1"/>
      <c r="AB888" s="5"/>
      <c r="AC888" s="1"/>
      <c r="AD888" s="1"/>
      <c r="AE888" s="5"/>
      <c r="AF888" s="1"/>
      <c r="AG888" s="1"/>
      <c r="AH888" s="5"/>
      <c r="AI888" s="1"/>
      <c r="AJ888" s="1"/>
      <c r="AK888" s="5"/>
      <c r="AL888" s="1"/>
      <c r="AM888" s="1"/>
      <c r="AN888" s="5"/>
      <c r="AO888" s="1"/>
      <c r="AP888" s="1"/>
      <c r="AQ888" s="5"/>
      <c r="AR888" s="1"/>
      <c r="AS888" s="1"/>
      <c r="AT888" s="5"/>
      <c r="AU888" s="1"/>
      <c r="AV888" s="1"/>
      <c r="AW888" s="5"/>
      <c r="AX888" s="184">
        <f>(AX751*AX816*AX852)</f>
        <v>109.79871441689623</v>
      </c>
      <c r="AY888" s="184">
        <f>AX888+(AY745*AY816*AY852)</f>
        <v>122.02402691689623</v>
      </c>
      <c r="AZ888" s="184">
        <f>AY888</f>
        <v>122.02402691689623</v>
      </c>
      <c r="BA888" s="28">
        <f t="shared" ref="BA888:BB890" si="3847">AZ888+(BA745*BA816*BA852)</f>
        <v>134.10752579189622</v>
      </c>
      <c r="BB888" s="28">
        <f t="shared" si="3847"/>
        <v>149.64345291689622</v>
      </c>
      <c r="BC888" s="58">
        <f>BB888</f>
        <v>149.64345291689622</v>
      </c>
      <c r="BD888" s="28">
        <f t="shared" ref="BD888:BE890" si="3848">BC888+(BD745*BD816*BD852)</f>
        <v>164.35934202181497</v>
      </c>
      <c r="BE888" s="28">
        <f t="shared" si="3848"/>
        <v>182.4895340581277</v>
      </c>
      <c r="BF888" s="58">
        <f>BE888</f>
        <v>182.4895340581277</v>
      </c>
      <c r="BG888" s="28">
        <f t="shared" ref="BG888:BH890" si="3849">BF888+(BG745*BG816*BG852)</f>
        <v>201.32406416033368</v>
      </c>
      <c r="BH888" s="28">
        <f t="shared" si="3849"/>
        <v>221.70546819549381</v>
      </c>
      <c r="BI888" s="58">
        <f>BH888</f>
        <v>221.70546819549381</v>
      </c>
      <c r="BJ888" s="110">
        <f t="shared" ref="BJ888:BK890" si="3850">BI888+(BJ745*BJ816*BJ852)</f>
        <v>240.58413701899428</v>
      </c>
      <c r="BK888" s="110">
        <f t="shared" si="3850"/>
        <v>265.14858521408735</v>
      </c>
      <c r="BL888" s="111">
        <f>BK888</f>
        <v>265.14858521408735</v>
      </c>
      <c r="BM888" s="110">
        <f t="shared" ref="BM888:BN890" si="3851">BL888+(BM745*BM816*BM852)</f>
        <v>292.46751749603038</v>
      </c>
      <c r="BN888" s="110">
        <f t="shared" si="3851"/>
        <v>321.55956196020202</v>
      </c>
      <c r="BO888" s="111">
        <f>BN888</f>
        <v>321.55956196020202</v>
      </c>
      <c r="BP888" s="110">
        <f t="shared" ref="BP888:BQ890" si="3852">BO888+(BP745*BP816*BP852)</f>
        <v>360.03745851135034</v>
      </c>
      <c r="BQ888" s="110">
        <f t="shared" si="3852"/>
        <v>394.69699298485284</v>
      </c>
      <c r="BR888" s="111">
        <f>BQ888</f>
        <v>394.69699298485284</v>
      </c>
      <c r="BS888" s="28">
        <f t="shared" ref="BS888:BT890" si="3853">BR888+(BS745*BS816*BS852)</f>
        <v>444.40966577100545</v>
      </c>
      <c r="BT888" s="28">
        <f t="shared" si="3853"/>
        <v>491.21737886171223</v>
      </c>
      <c r="BU888" s="184">
        <f>BT888</f>
        <v>491.21737886171223</v>
      </c>
      <c r="BV888" s="28">
        <f t="shared" ref="BV888:BW890" si="3854">BU888+(BV745*BV816*BV852)</f>
        <v>548.07475698069072</v>
      </c>
      <c r="BW888" s="28">
        <f t="shared" si="3854"/>
        <v>603.14632500984874</v>
      </c>
      <c r="BX888" s="184">
        <f>BW888</f>
        <v>603.14632500984874</v>
      </c>
      <c r="BY888" s="28">
        <f t="shared" ref="BY888:BZ890" si="3855">BX888+(BY745*BY816*BY852)</f>
        <v>664.93885247783192</v>
      </c>
      <c r="BZ888" s="28">
        <f t="shared" si="3855"/>
        <v>725.00926673699655</v>
      </c>
      <c r="CA888" s="184">
        <f>BZ888</f>
        <v>725.00926673699655</v>
      </c>
      <c r="CB888" s="28">
        <f t="shared" ref="CB888:CC890" si="3856">CA888+(CB745*CB816*CB852)</f>
        <v>796.47441952040026</v>
      </c>
      <c r="CC888" s="28">
        <f t="shared" si="3856"/>
        <v>874.7203390219604</v>
      </c>
      <c r="CD888" s="184">
        <f>CC888</f>
        <v>874.7203390219604</v>
      </c>
      <c r="CE888" s="28">
        <f t="shared" ref="CE888:CF890" si="3857">CD888+(CE745*CE816*CE852)</f>
        <v>961.7541753392286</v>
      </c>
      <c r="CF888" s="28">
        <f t="shared" si="3857"/>
        <v>1057.0459684042037</v>
      </c>
      <c r="CG888" s="184">
        <f>CF888</f>
        <v>1057.0459684042037</v>
      </c>
      <c r="CH888" s="28">
        <f t="shared" ref="CH888:CI890" si="3858">CG888+(CH745*CH816*CH852)</f>
        <v>1137.4228190387521</v>
      </c>
      <c r="CI888" s="28">
        <f t="shared" si="3858"/>
        <v>1234.1654857607587</v>
      </c>
      <c r="CJ888" s="184">
        <f>CI888</f>
        <v>1234.1654857607587</v>
      </c>
      <c r="CK888" s="28">
        <f t="shared" ref="CK888:CL890" si="3859">CJ888+(CK745*CK816*CK852)</f>
        <v>1327.454586269291</v>
      </c>
      <c r="CL888" s="28">
        <f t="shared" si="3859"/>
        <v>1418.6667252234563</v>
      </c>
      <c r="CM888" s="184">
        <f>CL888</f>
        <v>1418.6667252234563</v>
      </c>
      <c r="CN888" s="28">
        <f t="shared" ref="CN888:CO890" si="3860">CM888+(CN745*CN816*CN852)</f>
        <v>1515.4941210630616</v>
      </c>
      <c r="CO888" s="28">
        <f t="shared" si="3860"/>
        <v>1626.4259434321473</v>
      </c>
      <c r="CP888" s="184">
        <f>CO888</f>
        <v>1626.4259434321473</v>
      </c>
      <c r="CQ888" s="28">
        <f t="shared" ref="CQ888:CR890" si="3861">CP888+(CQ745*CQ816*CQ852)</f>
        <v>1746.3979916992935</v>
      </c>
      <c r="CR888" s="28">
        <f t="shared" si="3861"/>
        <v>1881.4963115714845</v>
      </c>
      <c r="CS888" s="184">
        <f>CR888</f>
        <v>1881.4963115714845</v>
      </c>
      <c r="CT888" s="28">
        <f t="shared" ref="CT888:CU890" si="3862">CS888+(CT745*CT816*CT852)</f>
        <v>2021.2517505978831</v>
      </c>
      <c r="CU888" s="28">
        <f t="shared" si="3862"/>
        <v>2168.58336107172</v>
      </c>
      <c r="CV888" s="184">
        <f>CU888</f>
        <v>2168.58336107172</v>
      </c>
      <c r="CW888" s="28">
        <f t="shared" ref="CW888:CX890" si="3863">CV888+(CW745*CW816*CW852)</f>
        <v>2345.4035437290736</v>
      </c>
      <c r="CX888" s="28">
        <f t="shared" si="3863"/>
        <v>2521.9815074139656</v>
      </c>
      <c r="CY888" s="184">
        <f>CX888</f>
        <v>2521.9815074139656</v>
      </c>
      <c r="CZ888" s="28">
        <f t="shared" ref="CZ888:DA890" si="3864">CY888+(CZ745*CZ816*CZ852)</f>
        <v>2730.1280571526549</v>
      </c>
      <c r="DA888" s="28">
        <f t="shared" si="3864"/>
        <v>2933.9537664137629</v>
      </c>
      <c r="DB888" s="184">
        <f>DA888</f>
        <v>2933.9537664137629</v>
      </c>
      <c r="DC888" s="28">
        <f t="shared" ref="DC888:DD890" si="3865">DB888+(DC745*DC816*DC852)</f>
        <v>3149.9724186635694</v>
      </c>
      <c r="DD888" s="28">
        <f t="shared" si="3865"/>
        <v>3342.0801878992561</v>
      </c>
      <c r="DE888" s="184">
        <f>DD888</f>
        <v>3342.0801878992561</v>
      </c>
      <c r="DF888" s="28">
        <f t="shared" ref="DF888:DG890" si="3866">DE888+(DF745*DF816*DF852)</f>
        <v>3593.7203159050555</v>
      </c>
      <c r="DG888" s="28">
        <f t="shared" si="3866"/>
        <v>3746.3019116204996</v>
      </c>
      <c r="DH888" s="184">
        <f>DG888</f>
        <v>3746.3019116204996</v>
      </c>
      <c r="DI888" s="28">
        <f t="shared" ref="DI888:DJ890" si="3867">DH888+(DI745*DI816*DI852)</f>
        <v>3985.0434420628039</v>
      </c>
      <c r="DJ888" s="28">
        <f t="shared" si="3867"/>
        <v>4226.1109246633387</v>
      </c>
      <c r="DK888" s="184">
        <f>DJ888</f>
        <v>4226.1109246633387</v>
      </c>
      <c r="DL888" s="28">
        <f>DK888+(DL745*DL816*DL852)</f>
        <v>4480.9745490384776</v>
      </c>
      <c r="DM888" s="28">
        <f t="shared" ref="DM888:DM890" si="3868">DL888+(DM745*DM816*DM852)</f>
        <v>4747.9161141044005</v>
      </c>
      <c r="DN888" s="184">
        <f>DM888</f>
        <v>4747.9161141044005</v>
      </c>
      <c r="DO888" s="28">
        <f t="shared" ref="DO888:DP890" si="3869">DN888+(DO745*DO816*DO852)</f>
        <v>5070.3756031647745</v>
      </c>
      <c r="DP888" s="28">
        <f t="shared" si="3869"/>
        <v>5420.664137313428</v>
      </c>
      <c r="DQ888" s="184">
        <f>DP888</f>
        <v>5420.664137313428</v>
      </c>
      <c r="DR888" s="28">
        <f t="shared" ref="DR888:DS890" si="3870">DQ888+(DR745*DR816*DR852)</f>
        <v>5831.0222080396525</v>
      </c>
      <c r="DS888" s="28">
        <f t="shared" si="3870"/>
        <v>6204.189488213131</v>
      </c>
      <c r="DT888" s="184">
        <f>DS888</f>
        <v>6204.189488213131</v>
      </c>
      <c r="DU888" s="28">
        <f t="shared" ref="DU888:DV890" si="3871">DT888+(DU745*DU816*DU852)</f>
        <v>6634.7493081712419</v>
      </c>
      <c r="DV888" s="28">
        <f t="shared" si="3871"/>
        <v>7092.9910823037972</v>
      </c>
      <c r="DW888" s="184">
        <f>DV888</f>
        <v>7092.9910823037972</v>
      </c>
      <c r="DX888" s="28">
        <f t="shared" ref="DX888:DY890" si="3872">DW888+(DX745*DX816*DX852)</f>
        <v>7588.7697623511785</v>
      </c>
      <c r="DY888" s="28">
        <f t="shared" si="3872"/>
        <v>8122.5756050381924</v>
      </c>
      <c r="DZ888" s="184">
        <f>DY888</f>
        <v>8122.5756050381924</v>
      </c>
      <c r="EA888" s="28">
        <f t="shared" ref="EA888:EB890" si="3873">DZ888+(EA745*EA816*EA852)</f>
        <v>8752.6111516424044</v>
      </c>
      <c r="EB888" s="28">
        <f t="shared" si="3873"/>
        <v>9357.4825661663399</v>
      </c>
      <c r="EC888" s="184">
        <f>EB888</f>
        <v>9357.4825661663399</v>
      </c>
      <c r="ED888" s="28">
        <f t="shared" ref="ED888:EE890" si="3874">EC888+(ED745*ED816*ED852)</f>
        <v>10084.738897967049</v>
      </c>
      <c r="EE888" s="28">
        <f t="shared" si="3874"/>
        <v>10782.948020466174</v>
      </c>
      <c r="EF888" s="184">
        <f>EE888</f>
        <v>10782.948020466174</v>
      </c>
      <c r="EG888" s="28">
        <f t="shared" ref="EG888:EH890" si="3875">EF888+(EG745*EG816*EG852)</f>
        <v>11622.427276827049</v>
      </c>
      <c r="EH888" s="28">
        <f t="shared" si="3875"/>
        <v>12428.377049019015</v>
      </c>
      <c r="EI888" s="184">
        <f>EH888</f>
        <v>12428.377049019015</v>
      </c>
      <c r="EJ888" s="28">
        <f t="shared" ref="EJ888:EK890" si="3876">EI888+(EJ745*EJ816*EJ852)</f>
        <v>13397.396349428936</v>
      </c>
      <c r="EK888" s="28">
        <f t="shared" si="3876"/>
        <v>14327.712230967843</v>
      </c>
      <c r="EL888" s="184">
        <f>EK888</f>
        <v>14327.712230967843</v>
      </c>
      <c r="EM888" s="28">
        <f t="shared" ref="EM888:EN890" si="3877">EL888+(EM745*EM816*EM852)</f>
        <v>15446.260899624021</v>
      </c>
      <c r="EN888" s="28">
        <f t="shared" si="3877"/>
        <v>16520.133824843197</v>
      </c>
      <c r="EO888" s="184">
        <f>EN888</f>
        <v>16520.133824843197</v>
      </c>
      <c r="EP888" s="28">
        <f t="shared" ref="EP888:EQ890" si="3878">EO888+(EP745*EP816*EP852)</f>
        <v>17811.285738559709</v>
      </c>
      <c r="EQ888" s="28">
        <f t="shared" si="3878"/>
        <v>19050.867994869455</v>
      </c>
      <c r="ER888" s="184">
        <f>EQ888</f>
        <v>19050.867994869455</v>
      </c>
      <c r="ES888" s="28">
        <f t="shared" ref="ES888:ES890" si="3879">ER888+(ES745*ES816*ES852)</f>
        <v>20541.257560391561</v>
      </c>
      <c r="ET888" s="28">
        <f t="shared" ref="ET888:ET890" si="3880">ES888+(ET745*ET816*ET852)</f>
        <v>21972.119754672465</v>
      </c>
      <c r="EU888" s="184">
        <f>ET888</f>
        <v>21972.119754672465</v>
      </c>
      <c r="EV888" s="28">
        <f t="shared" ref="EV888:EV890" si="3881">EU888+(EV745*EV816*EV852)</f>
        <v>23692.49133405029</v>
      </c>
      <c r="EW888" s="28">
        <f t="shared" ref="EW888:EW890" si="3882">EV888+(EW745*EW816*EW852)</f>
        <v>25344.149873530678</v>
      </c>
      <c r="EX888" s="184">
        <f>EW888</f>
        <v>25344.149873530678</v>
      </c>
      <c r="EY888" s="28">
        <f t="shared" ref="EY888:EY890" si="3883">EX888+(EY745*EY816*EY852)</f>
        <v>27329.991991322295</v>
      </c>
      <c r="EZ888" s="28">
        <f t="shared" ref="EZ888:EZ890" si="3884">EY888+(EZ745*EZ816*EZ852)</f>
        <v>29236.517960029902</v>
      </c>
      <c r="FA888" s="184">
        <f>EZ888</f>
        <v>29236.517960029902</v>
      </c>
      <c r="FH888" s="35"/>
      <c r="FI888" s="35"/>
      <c r="FJ888" s="35"/>
      <c r="FK888" s="35"/>
      <c r="FL888" s="35"/>
      <c r="FM888" s="35"/>
      <c r="FN888" s="35"/>
      <c r="FO888" s="35"/>
      <c r="FP888" s="35"/>
      <c r="FQ888" s="35"/>
    </row>
    <row r="889" spans="1:173" s="321" customFormat="1" hidden="1" outlineLevel="1">
      <c r="A889" s="1168"/>
      <c r="B889" s="186"/>
      <c r="C889" s="186" t="s">
        <v>317</v>
      </c>
      <c r="D889" s="910"/>
      <c r="E889" s="1"/>
      <c r="F889" s="1"/>
      <c r="G889" s="5"/>
      <c r="H889" s="1"/>
      <c r="I889" s="1"/>
      <c r="J889" s="5"/>
      <c r="K889" s="1"/>
      <c r="L889" s="1"/>
      <c r="M889" s="5"/>
      <c r="N889" s="1"/>
      <c r="O889" s="1"/>
      <c r="P889" s="5"/>
      <c r="Q889" s="1"/>
      <c r="R889" s="1"/>
      <c r="S889" s="5"/>
      <c r="T889" s="1"/>
      <c r="U889" s="1"/>
      <c r="V889" s="5"/>
      <c r="W889" s="1"/>
      <c r="X889" s="1"/>
      <c r="Y889" s="5"/>
      <c r="Z889" s="1"/>
      <c r="AA889" s="1"/>
      <c r="AB889" s="5"/>
      <c r="AC889" s="1"/>
      <c r="AD889" s="1"/>
      <c r="AE889" s="5"/>
      <c r="AF889" s="1"/>
      <c r="AG889" s="1"/>
      <c r="AH889" s="5"/>
      <c r="AI889" s="1"/>
      <c r="AJ889" s="1"/>
      <c r="AK889" s="5"/>
      <c r="AL889" s="1"/>
      <c r="AM889" s="1"/>
      <c r="AN889" s="5"/>
      <c r="AO889" s="1"/>
      <c r="AP889" s="1"/>
      <c r="AQ889" s="5"/>
      <c r="AR889" s="1"/>
      <c r="AS889" s="1"/>
      <c r="AT889" s="5"/>
      <c r="AU889" s="1"/>
      <c r="AV889" s="1"/>
      <c r="AW889" s="5"/>
      <c r="AX889" s="184">
        <f>(AX752*AX817*AX853)</f>
        <v>55.247304210940577</v>
      </c>
      <c r="AY889" s="184">
        <f>AX889+(AY746*AY817*AY853)</f>
        <v>63.034525283216588</v>
      </c>
      <c r="AZ889" s="184">
        <f>AY889</f>
        <v>63.034525283216588</v>
      </c>
      <c r="BA889" s="28">
        <f t="shared" si="3847"/>
        <v>71.172391872502303</v>
      </c>
      <c r="BB889" s="28">
        <f t="shared" si="3847"/>
        <v>81.068392411150654</v>
      </c>
      <c r="BC889" s="58">
        <f>BB889</f>
        <v>81.068392411150654</v>
      </c>
      <c r="BD889" s="28">
        <f t="shared" si="3848"/>
        <v>91.536728577492198</v>
      </c>
      <c r="BE889" s="28">
        <f t="shared" si="3848"/>
        <v>104.84714441531018</v>
      </c>
      <c r="BF889" s="58">
        <f>BE889</f>
        <v>104.84714441531018</v>
      </c>
      <c r="BG889" s="28">
        <f t="shared" si="3849"/>
        <v>116.46044494736518</v>
      </c>
      <c r="BH889" s="28">
        <f t="shared" si="3849"/>
        <v>130.06091992815701</v>
      </c>
      <c r="BI889" s="58">
        <f>BH889</f>
        <v>130.06091992815701</v>
      </c>
      <c r="BJ889" s="110">
        <f t="shared" si="3850"/>
        <v>143.58222601208303</v>
      </c>
      <c r="BK889" s="110">
        <f t="shared" si="3850"/>
        <v>159.41718908691905</v>
      </c>
      <c r="BL889" s="111">
        <f>BK889</f>
        <v>159.41718908691905</v>
      </c>
      <c r="BM889" s="110">
        <f t="shared" si="3851"/>
        <v>175.04286674158431</v>
      </c>
      <c r="BN889" s="110">
        <f t="shared" si="3851"/>
        <v>194.36101497406588</v>
      </c>
      <c r="BO889" s="111">
        <f>BN889</f>
        <v>194.36101497406588</v>
      </c>
      <c r="BP889" s="110">
        <f t="shared" si="3852"/>
        <v>215.37645762215482</v>
      </c>
      <c r="BQ889" s="110">
        <f t="shared" si="3852"/>
        <v>237.88016849817259</v>
      </c>
      <c r="BR889" s="111">
        <f>BQ889</f>
        <v>237.88016849817259</v>
      </c>
      <c r="BS889" s="28">
        <f t="shared" si="3853"/>
        <v>265.03170009065053</v>
      </c>
      <c r="BT889" s="28">
        <f t="shared" si="3853"/>
        <v>294.34435876642499</v>
      </c>
      <c r="BU889" s="184">
        <f>BT889</f>
        <v>294.34435876642499</v>
      </c>
      <c r="BV889" s="28">
        <f t="shared" si="3854"/>
        <v>329.99866399240335</v>
      </c>
      <c r="BW889" s="28">
        <f t="shared" si="3854"/>
        <v>367.76666253689007</v>
      </c>
      <c r="BX889" s="184">
        <f>BW889</f>
        <v>367.76666253689007</v>
      </c>
      <c r="BY889" s="28">
        <f t="shared" si="3855"/>
        <v>407.4124672329167</v>
      </c>
      <c r="BZ889" s="28">
        <f t="shared" si="3855"/>
        <v>446.28888099868703</v>
      </c>
      <c r="CA889" s="184">
        <f>BZ889</f>
        <v>446.28888099868703</v>
      </c>
      <c r="CB889" s="28">
        <f t="shared" si="3856"/>
        <v>489.533335386972</v>
      </c>
      <c r="CC889" s="28">
        <f t="shared" si="3856"/>
        <v>536.84603979387305</v>
      </c>
      <c r="CD889" s="184">
        <f>CC889</f>
        <v>536.84603979387305</v>
      </c>
      <c r="CE889" s="28">
        <f t="shared" si="3857"/>
        <v>594.05290147629034</v>
      </c>
      <c r="CF889" s="28">
        <f t="shared" si="3857"/>
        <v>651.67267853823478</v>
      </c>
      <c r="CG889" s="184">
        <f>CF889</f>
        <v>651.67267853823478</v>
      </c>
      <c r="CH889" s="28">
        <f t="shared" si="3858"/>
        <v>705.62079567079945</v>
      </c>
      <c r="CI889" s="28">
        <f t="shared" si="3858"/>
        <v>764.11786776492158</v>
      </c>
      <c r="CJ889" s="184">
        <f>CI889</f>
        <v>764.11786776492158</v>
      </c>
      <c r="CK889" s="28">
        <f t="shared" si="3859"/>
        <v>828.1046505335139</v>
      </c>
      <c r="CL889" s="28">
        <f t="shared" si="3859"/>
        <v>893.15046984857293</v>
      </c>
      <c r="CM889" s="184">
        <f>CL889</f>
        <v>893.15046984857293</v>
      </c>
      <c r="CN889" s="28">
        <f t="shared" si="3860"/>
        <v>959.56416137163205</v>
      </c>
      <c r="CO889" s="28">
        <f t="shared" si="3860"/>
        <v>1038.6726151020689</v>
      </c>
      <c r="CP889" s="184">
        <f>CO889</f>
        <v>1038.6726151020689</v>
      </c>
      <c r="CQ889" s="28">
        <f t="shared" si="3861"/>
        <v>1111.8179983979053</v>
      </c>
      <c r="CR889" s="28">
        <f t="shared" si="3861"/>
        <v>1201.4581605734752</v>
      </c>
      <c r="CS889" s="184">
        <f>CR889</f>
        <v>1201.4581605734752</v>
      </c>
      <c r="CT889" s="28">
        <f t="shared" si="3862"/>
        <v>1286.665217574795</v>
      </c>
      <c r="CU889" s="28">
        <f t="shared" si="3862"/>
        <v>1387.2898852233593</v>
      </c>
      <c r="CV889" s="184">
        <f>CU889</f>
        <v>1387.2898852233593</v>
      </c>
      <c r="CW889" s="28">
        <f t="shared" si="3863"/>
        <v>1486.5475859241967</v>
      </c>
      <c r="CX889" s="28">
        <f t="shared" si="3863"/>
        <v>1603.7652612680092</v>
      </c>
      <c r="CY889" s="184">
        <f>CX889</f>
        <v>1603.7652612680092</v>
      </c>
      <c r="CZ889" s="28">
        <f t="shared" si="3864"/>
        <v>1706.7768882093524</v>
      </c>
      <c r="DA889" s="28">
        <f t="shared" si="3864"/>
        <v>1861.9437859457244</v>
      </c>
      <c r="DB889" s="184">
        <f>DA889</f>
        <v>1861.9437859457244</v>
      </c>
      <c r="DC889" s="28">
        <f t="shared" si="3865"/>
        <v>1983.0329232990036</v>
      </c>
      <c r="DD889" s="28">
        <f t="shared" si="3865"/>
        <v>2134.2089284255962</v>
      </c>
      <c r="DE889" s="184">
        <f>DD889</f>
        <v>2134.2089284255962</v>
      </c>
      <c r="DF889" s="28">
        <f t="shared" si="3866"/>
        <v>2279.7538334044307</v>
      </c>
      <c r="DG889" s="28">
        <f t="shared" si="3866"/>
        <v>2399.8253754762268</v>
      </c>
      <c r="DH889" s="184">
        <f>DG889</f>
        <v>2399.8253754762268</v>
      </c>
      <c r="DI889" s="28">
        <f t="shared" si="3867"/>
        <v>2529.2409143935047</v>
      </c>
      <c r="DJ889" s="28">
        <f t="shared" si="3867"/>
        <v>2695.0296819420823</v>
      </c>
      <c r="DK889" s="184">
        <f>DJ889</f>
        <v>2695.0296819420823</v>
      </c>
      <c r="DL889" s="28">
        <f>DK889+(DL746*DL817*DL853)</f>
        <v>2856.339570431393</v>
      </c>
      <c r="DM889" s="28">
        <f t="shared" si="3868"/>
        <v>3026.9069564992174</v>
      </c>
      <c r="DN889" s="184">
        <f>DM889</f>
        <v>3026.9069564992174</v>
      </c>
      <c r="DO889" s="28">
        <f t="shared" si="3869"/>
        <v>3205.1794337872311</v>
      </c>
      <c r="DP889" s="28">
        <f t="shared" si="3869"/>
        <v>3403.563150525812</v>
      </c>
      <c r="DQ889" s="184">
        <f>DP889</f>
        <v>3403.563150525812</v>
      </c>
      <c r="DR889" s="28">
        <f t="shared" si="3870"/>
        <v>3615.3615105204349</v>
      </c>
      <c r="DS889" s="28">
        <f t="shared" si="3870"/>
        <v>3841.7905571148535</v>
      </c>
      <c r="DT889" s="184">
        <f>DS889</f>
        <v>3841.7905571148535</v>
      </c>
      <c r="DU889" s="28">
        <f t="shared" si="3871"/>
        <v>4070.7078448448024</v>
      </c>
      <c r="DV889" s="28">
        <f t="shared" si="3871"/>
        <v>4373.7952253539124</v>
      </c>
      <c r="DW889" s="184">
        <f>DV889</f>
        <v>4373.7952253539124</v>
      </c>
      <c r="DX889" s="28">
        <f t="shared" si="3872"/>
        <v>4638.5983895837462</v>
      </c>
      <c r="DY889" s="28">
        <f t="shared" si="3872"/>
        <v>4991.6648791388088</v>
      </c>
      <c r="DZ889" s="184">
        <f>DY889</f>
        <v>4991.6648791388088</v>
      </c>
      <c r="EA889" s="28">
        <f t="shared" si="3873"/>
        <v>5328.176740242081</v>
      </c>
      <c r="EB889" s="28">
        <f t="shared" si="3873"/>
        <v>5728.246971551609</v>
      </c>
      <c r="EC889" s="184">
        <f>EB889</f>
        <v>5728.246971551609</v>
      </c>
      <c r="ED889" s="28">
        <f t="shared" si="3874"/>
        <v>6116.6859779417273</v>
      </c>
      <c r="EE889" s="28">
        <f t="shared" si="3874"/>
        <v>6578.491046644629</v>
      </c>
      <c r="EF889" s="184">
        <f>EE889</f>
        <v>6578.491046644629</v>
      </c>
      <c r="EG889" s="28">
        <f t="shared" si="3875"/>
        <v>7026.8700761108066</v>
      </c>
      <c r="EH889" s="28">
        <f t="shared" si="3875"/>
        <v>7559.9362849652525</v>
      </c>
      <c r="EI889" s="184">
        <f>EH889</f>
        <v>7559.9362849652525</v>
      </c>
      <c r="EJ889" s="28">
        <f t="shared" si="3876"/>
        <v>8077.5046824683559</v>
      </c>
      <c r="EK889" s="28">
        <f t="shared" si="3876"/>
        <v>8692.8283380111316</v>
      </c>
      <c r="EL889" s="184">
        <f>EK889</f>
        <v>8692.8283380111316</v>
      </c>
      <c r="EM889" s="28">
        <f t="shared" si="3877"/>
        <v>9290.2627149329383</v>
      </c>
      <c r="EN889" s="28">
        <f t="shared" si="3877"/>
        <v>10000.536963762519</v>
      </c>
      <c r="EO889" s="184">
        <f>EN889</f>
        <v>10000.536963762519</v>
      </c>
      <c r="EP889" s="28">
        <f t="shared" si="3878"/>
        <v>10690.161439387131</v>
      </c>
      <c r="EQ889" s="28">
        <f t="shared" si="3878"/>
        <v>11510.038107553606</v>
      </c>
      <c r="ER889" s="184">
        <f>EQ889</f>
        <v>11510.038107553606</v>
      </c>
      <c r="ES889" s="28">
        <f t="shared" si="3879"/>
        <v>12306.078536011852</v>
      </c>
      <c r="ET889" s="28">
        <f t="shared" si="3880"/>
        <v>13252.470372843094</v>
      </c>
      <c r="EU889" s="184">
        <f>ET889</f>
        <v>13252.470372843094</v>
      </c>
      <c r="EV889" s="28">
        <f t="shared" si="3881"/>
        <v>14171.347799816731</v>
      </c>
      <c r="EW889" s="28">
        <f t="shared" si="3882"/>
        <v>15263.777360989403</v>
      </c>
      <c r="EX889" s="184">
        <f>EW889</f>
        <v>15263.777360989403</v>
      </c>
      <c r="EY889" s="28">
        <f t="shared" si="3883"/>
        <v>16324.446763719343</v>
      </c>
      <c r="EZ889" s="28">
        <f t="shared" si="3884"/>
        <v>17585.449130476569</v>
      </c>
      <c r="FA889" s="184">
        <f>EZ889</f>
        <v>17585.449130476569</v>
      </c>
      <c r="FH889" s="35"/>
      <c r="FI889" s="35"/>
      <c r="FJ889" s="35"/>
      <c r="FK889" s="35"/>
      <c r="FL889" s="35"/>
      <c r="FM889" s="35"/>
      <c r="FN889" s="35"/>
      <c r="FO889" s="35"/>
      <c r="FP889" s="35"/>
      <c r="FQ889" s="35"/>
    </row>
    <row r="890" spans="1:173" s="321" customFormat="1" hidden="1" outlineLevel="1">
      <c r="A890" s="1168"/>
      <c r="B890" s="186"/>
      <c r="C890" s="186" t="s">
        <v>431</v>
      </c>
      <c r="D890" s="910"/>
      <c r="E890" s="1"/>
      <c r="F890" s="1"/>
      <c r="G890" s="5"/>
      <c r="H890" s="1"/>
      <c r="I890" s="1"/>
      <c r="J890" s="5"/>
      <c r="K890" s="1"/>
      <c r="L890" s="1"/>
      <c r="M890" s="5"/>
      <c r="N890" s="1"/>
      <c r="O890" s="1"/>
      <c r="P890" s="5"/>
      <c r="Q890" s="1"/>
      <c r="R890" s="1"/>
      <c r="S890" s="5"/>
      <c r="T890" s="1"/>
      <c r="U890" s="1"/>
      <c r="V890" s="5"/>
      <c r="W890" s="1"/>
      <c r="X890" s="1"/>
      <c r="Y890" s="5"/>
      <c r="Z890" s="1"/>
      <c r="AA890" s="1"/>
      <c r="AB890" s="5"/>
      <c r="AC890" s="1"/>
      <c r="AD890" s="1"/>
      <c r="AE890" s="5"/>
      <c r="AF890" s="1"/>
      <c r="AG890" s="1"/>
      <c r="AH890" s="5"/>
      <c r="AI890" s="1"/>
      <c r="AJ890" s="1"/>
      <c r="AK890" s="5"/>
      <c r="AL890" s="1"/>
      <c r="AM890" s="1"/>
      <c r="AN890" s="5"/>
      <c r="AO890" s="1"/>
      <c r="AP890" s="1"/>
      <c r="AQ890" s="5"/>
      <c r="AR890" s="1"/>
      <c r="AS890" s="1"/>
      <c r="AT890" s="5"/>
      <c r="AU890" s="1"/>
      <c r="AV890" s="1"/>
      <c r="AW890" s="5"/>
      <c r="AX890" s="184">
        <f>(AX753*AX818*AX854)</f>
        <v>25.484542393633301</v>
      </c>
      <c r="AY890" s="184">
        <f>AX890+(AY747*AY818*AY854)</f>
        <v>26.717723457788995</v>
      </c>
      <c r="AZ890" s="184">
        <f>AY890</f>
        <v>26.717723457788995</v>
      </c>
      <c r="BA890" s="28">
        <f t="shared" si="3847"/>
        <v>30.009038389455661</v>
      </c>
      <c r="BB890" s="28">
        <f t="shared" si="3847"/>
        <v>31.576164885784717</v>
      </c>
      <c r="BC890" s="58">
        <f>BB890</f>
        <v>31.576164885784717</v>
      </c>
      <c r="BD890" s="28">
        <f t="shared" si="3848"/>
        <v>35.841639988659715</v>
      </c>
      <c r="BE890" s="28">
        <f t="shared" si="3848"/>
        <v>39.516398108882768</v>
      </c>
      <c r="BF890" s="58">
        <f>BE890</f>
        <v>39.516398108882768</v>
      </c>
      <c r="BG890" s="28">
        <f t="shared" si="3849"/>
        <v>43.789481722504839</v>
      </c>
      <c r="BH890" s="28">
        <f t="shared" si="3849"/>
        <v>49.610181855483518</v>
      </c>
      <c r="BI890" s="58">
        <f>BH890</f>
        <v>49.610181855483518</v>
      </c>
      <c r="BJ890" s="110">
        <f t="shared" si="3850"/>
        <v>55.040416511674451</v>
      </c>
      <c r="BK890" s="110">
        <f t="shared" si="3850"/>
        <v>60.680587630028796</v>
      </c>
      <c r="BL890" s="111">
        <f>BK890</f>
        <v>60.680587630028796</v>
      </c>
      <c r="BM890" s="110">
        <f t="shared" si="3851"/>
        <v>66.603724685962177</v>
      </c>
      <c r="BN890" s="110">
        <f t="shared" si="3851"/>
        <v>74.069901203883745</v>
      </c>
      <c r="BO890" s="111">
        <f>BN890</f>
        <v>74.069901203883745</v>
      </c>
      <c r="BP890" s="110">
        <f t="shared" si="3852"/>
        <v>82.036105924520228</v>
      </c>
      <c r="BQ890" s="110">
        <f t="shared" si="3852"/>
        <v>90.338120903623107</v>
      </c>
      <c r="BR890" s="111">
        <f>BQ890</f>
        <v>90.338120903623107</v>
      </c>
      <c r="BS890" s="28">
        <f t="shared" si="3853"/>
        <v>100.51219112740287</v>
      </c>
      <c r="BT890" s="28">
        <f t="shared" si="3853"/>
        <v>111.50198345599031</v>
      </c>
      <c r="BU890" s="184">
        <f>BT890</f>
        <v>111.50198345599031</v>
      </c>
      <c r="BV890" s="28">
        <f t="shared" si="3854"/>
        <v>122.94433292572603</v>
      </c>
      <c r="BW890" s="28">
        <f t="shared" si="3854"/>
        <v>136.444633413856</v>
      </c>
      <c r="BX890" s="184">
        <f>BW890</f>
        <v>136.444633413856</v>
      </c>
      <c r="BY890" s="28">
        <f t="shared" si="3855"/>
        <v>147.9562090978836</v>
      </c>
      <c r="BZ890" s="28">
        <f t="shared" si="3855"/>
        <v>162.99646186209355</v>
      </c>
      <c r="CA890" s="184">
        <f>BZ890</f>
        <v>162.99646186209355</v>
      </c>
      <c r="CB890" s="28">
        <f t="shared" si="3856"/>
        <v>176.28438878992347</v>
      </c>
      <c r="CC890" s="28">
        <f t="shared" si="3856"/>
        <v>195.39754200268149</v>
      </c>
      <c r="CD890" s="184">
        <f>CC890</f>
        <v>195.39754200268149</v>
      </c>
      <c r="CE890" s="28">
        <f t="shared" si="3857"/>
        <v>212.97576350088968</v>
      </c>
      <c r="CF890" s="28">
        <f t="shared" si="3857"/>
        <v>236.27256875427904</v>
      </c>
      <c r="CG890" s="184">
        <f>CF890</f>
        <v>236.27256875427904</v>
      </c>
      <c r="CH890" s="28">
        <f t="shared" si="3858"/>
        <v>256.65636229470874</v>
      </c>
      <c r="CI890" s="28">
        <f t="shared" si="3858"/>
        <v>280.30787512519328</v>
      </c>
      <c r="CJ890" s="184">
        <f>CI890</f>
        <v>280.30787512519328</v>
      </c>
      <c r="CK890" s="28">
        <f t="shared" si="3859"/>
        <v>324.86301014931024</v>
      </c>
      <c r="CL890" s="28">
        <f t="shared" si="3859"/>
        <v>362.30901391700979</v>
      </c>
      <c r="CM890" s="184">
        <f>CL890</f>
        <v>362.30901391700979</v>
      </c>
      <c r="CN890" s="28">
        <f t="shared" si="3860"/>
        <v>388.0904260960134</v>
      </c>
      <c r="CO890" s="28">
        <f t="shared" si="3860"/>
        <v>425.78843711887652</v>
      </c>
      <c r="CP890" s="184">
        <f>CO890</f>
        <v>425.78843711887652</v>
      </c>
      <c r="CQ890" s="28">
        <f t="shared" si="3861"/>
        <v>438.98633156548192</v>
      </c>
      <c r="CR890" s="28">
        <f t="shared" si="3861"/>
        <v>473.69224507553497</v>
      </c>
      <c r="CS890" s="184">
        <f>CR890</f>
        <v>473.69224507553497</v>
      </c>
      <c r="CT890" s="28">
        <f t="shared" si="3862"/>
        <v>514.76436996047573</v>
      </c>
      <c r="CU890" s="28">
        <f t="shared" si="3862"/>
        <v>547.98516999836727</v>
      </c>
      <c r="CV890" s="184">
        <f>CU890</f>
        <v>547.98516999836727</v>
      </c>
      <c r="CW890" s="28">
        <f t="shared" si="3863"/>
        <v>586.64530050521546</v>
      </c>
      <c r="CX890" s="28">
        <f t="shared" si="3863"/>
        <v>612.73628798850984</v>
      </c>
      <c r="CY890" s="184">
        <f>CX890</f>
        <v>612.73628798850984</v>
      </c>
      <c r="CZ890" s="28">
        <f t="shared" si="3864"/>
        <v>637.38825281975244</v>
      </c>
      <c r="DA890" s="28">
        <f t="shared" si="3864"/>
        <v>674.9169864774633</v>
      </c>
      <c r="DB890" s="184">
        <f>DA890</f>
        <v>674.9169864774633</v>
      </c>
      <c r="DC890" s="28">
        <f t="shared" si="3865"/>
        <v>707.03039838981499</v>
      </c>
      <c r="DD890" s="28">
        <f t="shared" si="3865"/>
        <v>741.42034118838535</v>
      </c>
      <c r="DE890" s="184">
        <f>DD890</f>
        <v>741.42034118838535</v>
      </c>
      <c r="DF890" s="28">
        <f t="shared" si="3866"/>
        <v>783.5464669709728</v>
      </c>
      <c r="DG890" s="28">
        <f t="shared" si="3866"/>
        <v>806.76949892449181</v>
      </c>
      <c r="DH890" s="184">
        <f>DG890</f>
        <v>806.76949892449181</v>
      </c>
      <c r="DI890" s="28">
        <f t="shared" si="3867"/>
        <v>861.63069702985672</v>
      </c>
      <c r="DJ890" s="28">
        <f t="shared" si="3867"/>
        <v>917.47235775638183</v>
      </c>
      <c r="DK890" s="184">
        <f>DJ890</f>
        <v>917.47235775638183</v>
      </c>
      <c r="DL890" s="28">
        <f>DK890+(DL747*DL818*DL854)</f>
        <v>978.7603662956144</v>
      </c>
      <c r="DM890" s="28">
        <f t="shared" si="3868"/>
        <v>1043.7050046658569</v>
      </c>
      <c r="DN890" s="184">
        <f>DM890</f>
        <v>1043.7050046658569</v>
      </c>
      <c r="DO890" s="28">
        <f t="shared" si="3869"/>
        <v>1121.6176011227392</v>
      </c>
      <c r="DP890" s="28">
        <f t="shared" si="3869"/>
        <v>1199.007437129854</v>
      </c>
      <c r="DQ890" s="184">
        <f>DP890</f>
        <v>1199.007437129854</v>
      </c>
      <c r="DR890" s="28">
        <f t="shared" si="3870"/>
        <v>1281.0229722767078</v>
      </c>
      <c r="DS890" s="28">
        <f t="shared" si="3870"/>
        <v>1369.01151159608</v>
      </c>
      <c r="DT890" s="184">
        <f>DS890</f>
        <v>1369.01151159608</v>
      </c>
      <c r="DU890" s="28">
        <f t="shared" si="3871"/>
        <v>1482.2061603193536</v>
      </c>
      <c r="DV890" s="28">
        <f t="shared" si="3871"/>
        <v>1591.8680437445357</v>
      </c>
      <c r="DW890" s="184">
        <f>DV890</f>
        <v>1591.8680437445357</v>
      </c>
      <c r="DX890" s="28">
        <f t="shared" si="3872"/>
        <v>1707.009490756378</v>
      </c>
      <c r="DY890" s="28">
        <f t="shared" si="3872"/>
        <v>1834.7546187583728</v>
      </c>
      <c r="DZ890" s="184">
        <f>DY890</f>
        <v>1834.7546187583728</v>
      </c>
      <c r="EA890" s="28">
        <f t="shared" si="3873"/>
        <v>1981.076369621022</v>
      </c>
      <c r="EB890" s="28">
        <f t="shared" si="3873"/>
        <v>2125.8282065139224</v>
      </c>
      <c r="EC890" s="184">
        <f>EB890</f>
        <v>2125.8282065139224</v>
      </c>
      <c r="ED890" s="28">
        <f t="shared" si="3874"/>
        <v>2294.7288667521871</v>
      </c>
      <c r="EE890" s="28">
        <f t="shared" si="3874"/>
        <v>2461.8173595960307</v>
      </c>
      <c r="EF890" s="184">
        <f>EE890</f>
        <v>2461.8173595960307</v>
      </c>
      <c r="EG890" s="28">
        <f t="shared" si="3875"/>
        <v>2656.781080715662</v>
      </c>
      <c r="EH890" s="28">
        <f t="shared" si="3875"/>
        <v>2849.6529988902394</v>
      </c>
      <c r="EI890" s="184">
        <f>EH890</f>
        <v>2849.6529988902394</v>
      </c>
      <c r="EJ890" s="28">
        <f t="shared" si="3876"/>
        <v>3074.7015718158409</v>
      </c>
      <c r="EK890" s="28">
        <f t="shared" si="3876"/>
        <v>3297.3355556839369</v>
      </c>
      <c r="EL890" s="184">
        <f>EK890</f>
        <v>3297.3355556839369</v>
      </c>
      <c r="EM890" s="28">
        <f t="shared" si="3877"/>
        <v>3557.1113738976878</v>
      </c>
      <c r="EN890" s="28">
        <f t="shared" si="3877"/>
        <v>3814.1000078164698</v>
      </c>
      <c r="EO890" s="184">
        <f>EN890</f>
        <v>3814.1000078164698</v>
      </c>
      <c r="EP890" s="28">
        <f t="shared" si="3878"/>
        <v>4113.9618325387846</v>
      </c>
      <c r="EQ890" s="28">
        <f t="shared" si="3878"/>
        <v>4410.6063825575739</v>
      </c>
      <c r="ER890" s="184">
        <f>EQ890</f>
        <v>4410.6063825575739</v>
      </c>
      <c r="ES890" s="28">
        <f t="shared" si="3879"/>
        <v>4756.7398854527892</v>
      </c>
      <c r="ET890" s="28">
        <f t="shared" si="3880"/>
        <v>5099.1596559849777</v>
      </c>
      <c r="EU890" s="184">
        <f>ET890</f>
        <v>5099.1596559849777</v>
      </c>
      <c r="EV890" s="28">
        <f t="shared" si="3881"/>
        <v>5498.7050197119534</v>
      </c>
      <c r="EW890" s="28">
        <f t="shared" si="3882"/>
        <v>5893.9635850349641</v>
      </c>
      <c r="EX890" s="184">
        <f>EW890</f>
        <v>5893.9635850349641</v>
      </c>
      <c r="EY890" s="28">
        <f t="shared" si="3883"/>
        <v>6355.16279383865</v>
      </c>
      <c r="EZ890" s="28">
        <f t="shared" si="3884"/>
        <v>6811.4137083766545</v>
      </c>
      <c r="FA890" s="184">
        <f>EZ890</f>
        <v>6811.4137083766545</v>
      </c>
      <c r="FH890" s="35"/>
      <c r="FI890" s="35"/>
      <c r="FJ890" s="35"/>
      <c r="FK890" s="35"/>
      <c r="FL890" s="35"/>
      <c r="FM890" s="35"/>
      <c r="FN890" s="35"/>
      <c r="FO890" s="35"/>
      <c r="FP890" s="35"/>
      <c r="FQ890" s="35"/>
    </row>
    <row r="891" spans="1:173" s="321" customFormat="1" hidden="1" outlineLevel="1">
      <c r="A891" s="1168"/>
      <c r="B891" s="186"/>
      <c r="C891" s="186" t="s">
        <v>327</v>
      </c>
      <c r="D891" s="162"/>
      <c r="E891" s="1"/>
      <c r="F891" s="1"/>
      <c r="G891" s="5"/>
      <c r="H891" s="1"/>
      <c r="I891" s="1"/>
      <c r="J891" s="5"/>
      <c r="K891" s="1"/>
      <c r="L891" s="1"/>
      <c r="M891" s="5"/>
      <c r="N891" s="1"/>
      <c r="O891" s="1"/>
      <c r="P891" s="5"/>
      <c r="Q891" s="1"/>
      <c r="R891" s="1"/>
      <c r="S891" s="5"/>
      <c r="T891" s="1"/>
      <c r="U891" s="1"/>
      <c r="V891" s="5"/>
      <c r="W891" s="1"/>
      <c r="X891" s="1"/>
      <c r="Y891" s="5"/>
      <c r="Z891" s="1"/>
      <c r="AA891" s="1"/>
      <c r="AB891" s="5"/>
      <c r="AC891" s="1"/>
      <c r="AD891" s="1"/>
      <c r="AE891" s="5"/>
      <c r="AF891" s="1"/>
      <c r="AG891" s="1"/>
      <c r="AH891" s="5"/>
      <c r="AI891" s="1"/>
      <c r="AJ891" s="1"/>
      <c r="AK891" s="5"/>
      <c r="AL891" s="1"/>
      <c r="AM891" s="1"/>
      <c r="AN891" s="5"/>
      <c r="AO891" s="1"/>
      <c r="AP891" s="1"/>
      <c r="AQ891" s="5"/>
      <c r="AR891" s="1"/>
      <c r="AS891" s="1"/>
      <c r="AT891" s="5"/>
      <c r="AU891" s="1"/>
      <c r="AV891" s="1"/>
      <c r="AW891" s="5"/>
      <c r="AX891" s="184">
        <f t="shared" ref="AX891:CC891" si="3885">SUM(AX888:AX890)</f>
        <v>190.53056102147011</v>
      </c>
      <c r="AY891" s="184">
        <f t="shared" si="3885"/>
        <v>211.77627565790181</v>
      </c>
      <c r="AZ891" s="184">
        <f t="shared" si="3885"/>
        <v>211.77627565790181</v>
      </c>
      <c r="BA891" s="28">
        <f t="shared" si="3885"/>
        <v>235.28895605385418</v>
      </c>
      <c r="BB891" s="28">
        <f t="shared" si="3885"/>
        <v>262.28801021383157</v>
      </c>
      <c r="BC891" s="58">
        <f t="shared" si="3885"/>
        <v>262.28801021383157</v>
      </c>
      <c r="BD891" s="28">
        <f t="shared" si="3885"/>
        <v>291.73771058796689</v>
      </c>
      <c r="BE891" s="28">
        <f t="shared" si="3885"/>
        <v>326.85307658232063</v>
      </c>
      <c r="BF891" s="58">
        <f t="shared" si="3885"/>
        <v>326.85307658232063</v>
      </c>
      <c r="BG891" s="28">
        <f t="shared" si="3885"/>
        <v>361.57399083020368</v>
      </c>
      <c r="BH891" s="28">
        <f t="shared" si="3885"/>
        <v>401.37656997913433</v>
      </c>
      <c r="BI891" s="58">
        <f t="shared" si="3885"/>
        <v>401.37656997913433</v>
      </c>
      <c r="BJ891" s="110">
        <f t="shared" si="3885"/>
        <v>439.20677954275175</v>
      </c>
      <c r="BK891" s="110">
        <f t="shared" si="3885"/>
        <v>485.24636193103521</v>
      </c>
      <c r="BL891" s="111">
        <f t="shared" si="3885"/>
        <v>485.24636193103521</v>
      </c>
      <c r="BM891" s="110">
        <f t="shared" si="3885"/>
        <v>534.11410892357685</v>
      </c>
      <c r="BN891" s="110">
        <f t="shared" si="3885"/>
        <v>589.99047813815173</v>
      </c>
      <c r="BO891" s="111">
        <f t="shared" si="3885"/>
        <v>589.99047813815173</v>
      </c>
      <c r="BP891" s="110">
        <f t="shared" si="3885"/>
        <v>657.45002205802541</v>
      </c>
      <c r="BQ891" s="110">
        <f t="shared" si="3885"/>
        <v>722.91528238664853</v>
      </c>
      <c r="BR891" s="111">
        <f t="shared" si="3885"/>
        <v>722.91528238664853</v>
      </c>
      <c r="BS891" s="28">
        <f t="shared" si="3885"/>
        <v>809.95355698905882</v>
      </c>
      <c r="BT891" s="28">
        <f t="shared" si="3885"/>
        <v>897.06372108412756</v>
      </c>
      <c r="BU891" s="184">
        <f t="shared" si="3885"/>
        <v>897.06372108412756</v>
      </c>
      <c r="BV891" s="28">
        <f t="shared" si="3885"/>
        <v>1001.01775389882</v>
      </c>
      <c r="BW891" s="28">
        <f t="shared" si="3885"/>
        <v>1107.3576209605949</v>
      </c>
      <c r="BX891" s="184">
        <f t="shared" si="3885"/>
        <v>1107.3576209605949</v>
      </c>
      <c r="BY891" s="28">
        <f t="shared" si="3885"/>
        <v>1220.3075288086322</v>
      </c>
      <c r="BZ891" s="28">
        <f t="shared" si="3885"/>
        <v>1334.2946095977773</v>
      </c>
      <c r="CA891" s="184">
        <f t="shared" si="3885"/>
        <v>1334.2946095977773</v>
      </c>
      <c r="CB891" s="28">
        <f t="shared" si="3885"/>
        <v>1462.2921436972956</v>
      </c>
      <c r="CC891" s="28">
        <f t="shared" si="3885"/>
        <v>1606.9639208185151</v>
      </c>
      <c r="CD891" s="184">
        <f t="shared" ref="CD891:DI891" si="3886">SUM(CD888:CD890)</f>
        <v>1606.9639208185151</v>
      </c>
      <c r="CE891" s="28">
        <f t="shared" si="3886"/>
        <v>1768.7828403164085</v>
      </c>
      <c r="CF891" s="28">
        <f t="shared" si="3886"/>
        <v>1944.9912156967175</v>
      </c>
      <c r="CG891" s="184">
        <f t="shared" si="3886"/>
        <v>1944.9912156967175</v>
      </c>
      <c r="CH891" s="28">
        <f t="shared" si="3886"/>
        <v>2099.6999770042603</v>
      </c>
      <c r="CI891" s="28">
        <f t="shared" si="3886"/>
        <v>2278.5912286508737</v>
      </c>
      <c r="CJ891" s="184">
        <f t="shared" si="3886"/>
        <v>2278.5912286508737</v>
      </c>
      <c r="CK891" s="28">
        <f t="shared" si="3886"/>
        <v>2480.4222469521151</v>
      </c>
      <c r="CL891" s="28">
        <f t="shared" si="3886"/>
        <v>2674.1262089890392</v>
      </c>
      <c r="CM891" s="184">
        <f t="shared" si="3886"/>
        <v>2674.1262089890392</v>
      </c>
      <c r="CN891" s="28">
        <f t="shared" si="3886"/>
        <v>2863.1487085307072</v>
      </c>
      <c r="CO891" s="28">
        <f t="shared" si="3886"/>
        <v>3090.8869956530925</v>
      </c>
      <c r="CP891" s="184">
        <f t="shared" si="3886"/>
        <v>3090.8869956530925</v>
      </c>
      <c r="CQ891" s="28">
        <f t="shared" si="3886"/>
        <v>3297.2023216626808</v>
      </c>
      <c r="CR891" s="28">
        <f t="shared" si="3886"/>
        <v>3556.6467172204948</v>
      </c>
      <c r="CS891" s="184">
        <f t="shared" si="3886"/>
        <v>3556.6467172204948</v>
      </c>
      <c r="CT891" s="28">
        <f t="shared" si="3886"/>
        <v>3822.681338133154</v>
      </c>
      <c r="CU891" s="28">
        <f t="shared" si="3886"/>
        <v>4103.8584162934467</v>
      </c>
      <c r="CV891" s="184">
        <f t="shared" si="3886"/>
        <v>4103.8584162934467</v>
      </c>
      <c r="CW891" s="28">
        <f t="shared" si="3886"/>
        <v>4418.5964301584854</v>
      </c>
      <c r="CX891" s="28">
        <f t="shared" si="3886"/>
        <v>4738.4830566704841</v>
      </c>
      <c r="CY891" s="184">
        <f t="shared" si="3886"/>
        <v>4738.4830566704841</v>
      </c>
      <c r="CZ891" s="28">
        <f t="shared" si="3886"/>
        <v>5074.2931981817601</v>
      </c>
      <c r="DA891" s="28">
        <f t="shared" si="3886"/>
        <v>5470.8145388369503</v>
      </c>
      <c r="DB891" s="184">
        <f t="shared" si="3886"/>
        <v>5470.8145388369503</v>
      </c>
      <c r="DC891" s="28">
        <f t="shared" si="3886"/>
        <v>5840.0357403523876</v>
      </c>
      <c r="DD891" s="28">
        <f t="shared" si="3886"/>
        <v>6217.7094575132378</v>
      </c>
      <c r="DE891" s="184">
        <f t="shared" si="3886"/>
        <v>6217.7094575132378</v>
      </c>
      <c r="DF891" s="28">
        <f t="shared" si="3886"/>
        <v>6657.0206162804589</v>
      </c>
      <c r="DG891" s="28">
        <f t="shared" si="3886"/>
        <v>6952.8967860212178</v>
      </c>
      <c r="DH891" s="184">
        <f t="shared" si="3886"/>
        <v>6952.8967860212178</v>
      </c>
      <c r="DI891" s="28">
        <f t="shared" si="3886"/>
        <v>7375.9150534861647</v>
      </c>
      <c r="DJ891" s="28">
        <f t="shared" ref="DJ891:EF891" si="3887">SUM(DJ888:DJ890)</f>
        <v>7838.6129643618024</v>
      </c>
      <c r="DK891" s="184">
        <f t="shared" si="3887"/>
        <v>7838.6129643618024</v>
      </c>
      <c r="DL891" s="28">
        <f t="shared" si="3887"/>
        <v>8316.0744857654863</v>
      </c>
      <c r="DM891" s="28">
        <f t="shared" si="3887"/>
        <v>8818.5280752694744</v>
      </c>
      <c r="DN891" s="184">
        <f t="shared" si="3887"/>
        <v>8818.5280752694744</v>
      </c>
      <c r="DO891" s="28">
        <f t="shared" si="3887"/>
        <v>9397.1726380747459</v>
      </c>
      <c r="DP891" s="28">
        <f t="shared" si="3887"/>
        <v>10023.234724969094</v>
      </c>
      <c r="DQ891" s="184">
        <f t="shared" si="3887"/>
        <v>10023.234724969094</v>
      </c>
      <c r="DR891" s="28">
        <f t="shared" si="3887"/>
        <v>10727.406690836795</v>
      </c>
      <c r="DS891" s="28">
        <f t="shared" si="3887"/>
        <v>11414.991556924064</v>
      </c>
      <c r="DT891" s="184">
        <f t="shared" si="3887"/>
        <v>11414.991556924064</v>
      </c>
      <c r="DU891" s="28">
        <f t="shared" si="3887"/>
        <v>12187.663313335399</v>
      </c>
      <c r="DV891" s="28">
        <f t="shared" si="3887"/>
        <v>13058.654351402245</v>
      </c>
      <c r="DW891" s="184">
        <f t="shared" si="3887"/>
        <v>13058.654351402245</v>
      </c>
      <c r="DX891" s="28">
        <f t="shared" si="3887"/>
        <v>13934.377642691303</v>
      </c>
      <c r="DY891" s="28">
        <f t="shared" si="3887"/>
        <v>14948.995102935372</v>
      </c>
      <c r="DZ891" s="184">
        <f t="shared" si="3887"/>
        <v>14948.995102935372</v>
      </c>
      <c r="EA891" s="28">
        <f t="shared" si="3887"/>
        <v>16061.864261505507</v>
      </c>
      <c r="EB891" s="28">
        <f t="shared" si="3887"/>
        <v>17211.557744231872</v>
      </c>
      <c r="EC891" s="184">
        <f t="shared" si="3887"/>
        <v>17211.557744231872</v>
      </c>
      <c r="ED891" s="28">
        <f t="shared" si="3887"/>
        <v>18496.153742660961</v>
      </c>
      <c r="EE891" s="28">
        <f t="shared" si="3887"/>
        <v>19823.256426706837</v>
      </c>
      <c r="EF891" s="184">
        <f t="shared" si="3887"/>
        <v>19823.256426706837</v>
      </c>
      <c r="EG891" s="28">
        <f t="shared" ref="EG891:EL891" si="3888">SUM(EG888:EG890)</f>
        <v>21306.078433653522</v>
      </c>
      <c r="EH891" s="28">
        <f t="shared" si="3888"/>
        <v>22837.966332874508</v>
      </c>
      <c r="EI891" s="184">
        <f t="shared" si="3888"/>
        <v>22837.966332874508</v>
      </c>
      <c r="EJ891" s="28">
        <f t="shared" si="3888"/>
        <v>24549.602603713134</v>
      </c>
      <c r="EK891" s="28">
        <f t="shared" si="3888"/>
        <v>26317.876124662915</v>
      </c>
      <c r="EL891" s="184">
        <f t="shared" si="3888"/>
        <v>26317.876124662915</v>
      </c>
      <c r="EM891" s="28">
        <f t="shared" ref="EM891:ER891" si="3889">SUM(EM888:EM890)</f>
        <v>28293.634988454647</v>
      </c>
      <c r="EN891" s="28">
        <f t="shared" si="3889"/>
        <v>30334.770796422185</v>
      </c>
      <c r="EO891" s="184">
        <f t="shared" si="3889"/>
        <v>30334.770796422185</v>
      </c>
      <c r="EP891" s="28">
        <f t="shared" si="3889"/>
        <v>32615.409010485626</v>
      </c>
      <c r="EQ891" s="28">
        <f t="shared" si="3889"/>
        <v>34971.512484980638</v>
      </c>
      <c r="ER891" s="184">
        <f t="shared" si="3889"/>
        <v>34971.512484980638</v>
      </c>
      <c r="ES891" s="28">
        <f t="shared" ref="ES891:EX891" si="3890">SUM(ES888:ES890)</f>
        <v>37604.075981856207</v>
      </c>
      <c r="ET891" s="28">
        <f t="shared" si="3890"/>
        <v>40323.749783500542</v>
      </c>
      <c r="EU891" s="184">
        <f t="shared" si="3890"/>
        <v>40323.749783500542</v>
      </c>
      <c r="EV891" s="28">
        <f t="shared" si="3890"/>
        <v>43362.544153578972</v>
      </c>
      <c r="EW891" s="28">
        <f t="shared" si="3890"/>
        <v>46501.890819555047</v>
      </c>
      <c r="EX891" s="184">
        <f t="shared" si="3890"/>
        <v>46501.890819555047</v>
      </c>
      <c r="EY891" s="28">
        <f t="shared" ref="EY891:FA891" si="3891">SUM(EY888:EY890)</f>
        <v>50009.601548880288</v>
      </c>
      <c r="EZ891" s="28">
        <f t="shared" si="3891"/>
        <v>53633.380798883125</v>
      </c>
      <c r="FA891" s="184">
        <f t="shared" si="3891"/>
        <v>53633.380798883125</v>
      </c>
      <c r="FH891" s="35"/>
      <c r="FI891" s="35"/>
      <c r="FJ891" s="35"/>
      <c r="FK891" s="35"/>
      <c r="FL891" s="35"/>
      <c r="FM891" s="35"/>
      <c r="FN891" s="35"/>
      <c r="FO891" s="35"/>
      <c r="FP891" s="35"/>
      <c r="FQ891" s="35"/>
    </row>
    <row r="892" spans="1:173" s="321" customFormat="1" hidden="1" outlineLevel="1">
      <c r="A892" s="1168"/>
      <c r="B892" s="186"/>
      <c r="C892" s="186"/>
      <c r="D892" s="162"/>
      <c r="E892" s="1"/>
      <c r="F892" s="1"/>
      <c r="G892" s="5"/>
      <c r="H892" s="1"/>
      <c r="I892" s="1"/>
      <c r="J892" s="5"/>
      <c r="K892" s="1"/>
      <c r="L892" s="1"/>
      <c r="M892" s="5"/>
      <c r="N892" s="1"/>
      <c r="O892" s="1"/>
      <c r="P892" s="5"/>
      <c r="Q892" s="1"/>
      <c r="R892" s="1"/>
      <c r="S892" s="5"/>
      <c r="T892" s="1"/>
      <c r="U892" s="1"/>
      <c r="V892" s="5"/>
      <c r="W892" s="1"/>
      <c r="X892" s="1"/>
      <c r="Y892" s="5"/>
      <c r="Z892" s="1"/>
      <c r="AA892" s="1"/>
      <c r="AB892" s="5"/>
      <c r="AC892" s="1"/>
      <c r="AD892" s="1"/>
      <c r="AE892" s="5"/>
      <c r="AF892" s="1"/>
      <c r="AG892" s="1"/>
      <c r="AH892" s="5"/>
      <c r="AI892" s="1"/>
      <c r="AJ892" s="1"/>
      <c r="AK892" s="5"/>
      <c r="AL892" s="1"/>
      <c r="AM892" s="1"/>
      <c r="AN892" s="5"/>
      <c r="AO892" s="1"/>
      <c r="AP892" s="1"/>
      <c r="AQ892" s="5"/>
      <c r="AR892" s="1"/>
      <c r="AS892" s="1"/>
      <c r="AT892" s="5"/>
      <c r="AU892" s="1"/>
      <c r="AV892" s="1"/>
      <c r="AW892" s="5"/>
      <c r="AX892" s="184"/>
      <c r="AY892" s="184"/>
      <c r="AZ892" s="184"/>
      <c r="BA892" s="28"/>
      <c r="BB892" s="28"/>
      <c r="BC892" s="58"/>
      <c r="BD892" s="28"/>
      <c r="BE892" s="28"/>
      <c r="BF892" s="58"/>
      <c r="BG892" s="28"/>
      <c r="BH892" s="28"/>
      <c r="BI892" s="58"/>
      <c r="BJ892" s="110"/>
      <c r="BK892" s="110"/>
      <c r="BL892" s="111"/>
      <c r="BM892" s="110"/>
      <c r="BN892" s="110"/>
      <c r="BO892" s="111"/>
      <c r="BP892" s="110"/>
      <c r="BQ892" s="110"/>
      <c r="BR892" s="111"/>
      <c r="BS892" s="28"/>
      <c r="BT892" s="28"/>
      <c r="BU892" s="184"/>
      <c r="BV892" s="28"/>
      <c r="BW892" s="28"/>
      <c r="BX892" s="184"/>
      <c r="BY892" s="28"/>
      <c r="BZ892" s="28"/>
      <c r="CA892" s="184"/>
      <c r="CB892" s="28"/>
      <c r="CC892" s="28"/>
      <c r="CD892" s="184"/>
      <c r="CE892" s="28"/>
      <c r="CF892" s="28"/>
      <c r="CG892" s="184"/>
      <c r="CH892" s="28"/>
      <c r="CI892" s="28"/>
      <c r="CJ892" s="184"/>
      <c r="CK892" s="28"/>
      <c r="CL892" s="28"/>
      <c r="CM892" s="184"/>
      <c r="CN892" s="28"/>
      <c r="CO892" s="28"/>
      <c r="CP892" s="184"/>
      <c r="CQ892" s="28"/>
      <c r="CR892" s="28"/>
      <c r="CS892" s="184"/>
      <c r="CT892" s="28"/>
      <c r="CU892" s="28"/>
      <c r="CV892" s="184"/>
      <c r="CW892" s="28"/>
      <c r="CX892" s="28"/>
      <c r="CY892" s="184"/>
      <c r="CZ892" s="28"/>
      <c r="DA892" s="28"/>
      <c r="DB892" s="184"/>
      <c r="DC892" s="28"/>
      <c r="DD892" s="28"/>
      <c r="DE892" s="184"/>
      <c r="DF892" s="28"/>
      <c r="DG892" s="28"/>
      <c r="DH892" s="184"/>
      <c r="DI892" s="28"/>
      <c r="DJ892" s="28"/>
      <c r="DK892" s="184"/>
      <c r="DL892" s="28"/>
      <c r="DM892" s="28"/>
      <c r="DN892" s="184"/>
      <c r="DO892" s="28"/>
      <c r="DP892" s="28"/>
      <c r="DQ892" s="184"/>
      <c r="DR892" s="28"/>
      <c r="DS892" s="28"/>
      <c r="DT892" s="184"/>
      <c r="DU892" s="28"/>
      <c r="DV892" s="28"/>
      <c r="DW892" s="184"/>
      <c r="DX892" s="28"/>
      <c r="DY892" s="28"/>
      <c r="DZ892" s="184"/>
      <c r="EA892" s="28"/>
      <c r="EB892" s="28"/>
      <c r="EC892" s="184"/>
      <c r="ED892" s="28"/>
      <c r="EE892" s="28"/>
      <c r="EF892" s="184"/>
      <c r="EG892" s="28"/>
      <c r="EH892" s="28"/>
      <c r="EI892" s="184"/>
      <c r="EJ892" s="28"/>
      <c r="EK892" s="28"/>
      <c r="EL892" s="184"/>
      <c r="EM892" s="28"/>
      <c r="EN892" s="28"/>
      <c r="EO892" s="184"/>
      <c r="EP892" s="28"/>
      <c r="EQ892" s="28"/>
      <c r="ER892" s="184"/>
      <c r="ES892" s="28"/>
      <c r="ET892" s="28"/>
      <c r="EU892" s="184"/>
      <c r="EV892" s="28"/>
      <c r="EW892" s="28"/>
      <c r="EX892" s="184"/>
      <c r="EY892" s="28"/>
      <c r="EZ892" s="28"/>
      <c r="FA892" s="184"/>
      <c r="FH892" s="35"/>
      <c r="FI892" s="35"/>
      <c r="FJ892" s="35"/>
      <c r="FK892" s="35"/>
      <c r="FL892" s="35"/>
      <c r="FM892" s="35"/>
      <c r="FN892" s="35"/>
      <c r="FO892" s="35"/>
      <c r="FP892" s="35"/>
      <c r="FQ892" s="35"/>
    </row>
    <row r="893" spans="1:173" s="321" customFormat="1" hidden="1" outlineLevel="1">
      <c r="A893" s="1168"/>
      <c r="B893" s="186"/>
      <c r="C893" s="331" t="s">
        <v>182</v>
      </c>
      <c r="D893" s="910"/>
      <c r="E893" s="1"/>
      <c r="F893" s="1"/>
      <c r="G893" s="5"/>
      <c r="H893" s="1"/>
      <c r="I893" s="1"/>
      <c r="J893" s="5"/>
      <c r="K893" s="1"/>
      <c r="L893" s="1"/>
      <c r="M893" s="5"/>
      <c r="N893" s="1"/>
      <c r="O893" s="1"/>
      <c r="P893" s="5"/>
      <c r="Q893" s="1"/>
      <c r="R893" s="1"/>
      <c r="S893" s="5"/>
      <c r="T893" s="1"/>
      <c r="U893" s="1"/>
      <c r="V893" s="5"/>
      <c r="W893" s="1"/>
      <c r="X893" s="1"/>
      <c r="Y893" s="5"/>
      <c r="Z893" s="1"/>
      <c r="AA893" s="1"/>
      <c r="AB893" s="5"/>
      <c r="AC893" s="1"/>
      <c r="AD893" s="1"/>
      <c r="AE893" s="5"/>
      <c r="AF893" s="1"/>
      <c r="AG893" s="1"/>
      <c r="AH893" s="5"/>
      <c r="AI893" s="1"/>
      <c r="AJ893" s="1"/>
      <c r="AK893" s="5"/>
      <c r="AL893" s="1"/>
      <c r="AM893" s="1"/>
      <c r="AN893" s="5"/>
      <c r="AO893" s="1"/>
      <c r="AP893" s="1"/>
      <c r="AQ893" s="5"/>
      <c r="AR893" s="1"/>
      <c r="AS893" s="1"/>
      <c r="AT893" s="5"/>
      <c r="AU893" s="1"/>
      <c r="AV893" s="1"/>
      <c r="AW893" s="5"/>
      <c r="AX893" s="3"/>
      <c r="AY893" s="3"/>
      <c r="AZ893" s="2"/>
      <c r="BA893" s="3"/>
      <c r="BB893" s="3"/>
      <c r="BC893" s="973"/>
      <c r="BD893" s="3"/>
      <c r="BE893" s="3"/>
      <c r="BF893" s="973"/>
      <c r="BG893" s="3"/>
      <c r="BH893" s="3"/>
      <c r="BI893" s="978"/>
      <c r="BJ893" s="115"/>
      <c r="BK893" s="115"/>
      <c r="BL893" s="116"/>
      <c r="BM893" s="115"/>
      <c r="BN893" s="115"/>
      <c r="BO893" s="116"/>
      <c r="BP893" s="115"/>
      <c r="BQ893" s="115"/>
      <c r="BR893" s="116"/>
      <c r="BS893" s="8"/>
      <c r="BT893" s="8"/>
      <c r="BU893" s="187"/>
      <c r="BV893" s="8"/>
      <c r="BW893" s="8"/>
      <c r="BX893" s="187"/>
      <c r="BY893" s="8"/>
      <c r="BZ893" s="8"/>
      <c r="CA893" s="187"/>
      <c r="CB893" s="8"/>
      <c r="CC893" s="8"/>
      <c r="CD893" s="187"/>
      <c r="CE893" s="8"/>
      <c r="CF893" s="8"/>
      <c r="CG893" s="187"/>
      <c r="CH893" s="8"/>
      <c r="CI893" s="8"/>
      <c r="CJ893" s="187"/>
      <c r="CK893" s="8"/>
      <c r="CL893" s="8"/>
      <c r="CM893" s="187"/>
      <c r="CN893" s="8"/>
      <c r="CO893" s="8"/>
      <c r="CP893" s="187"/>
      <c r="CQ893" s="8"/>
      <c r="CR893" s="8"/>
      <c r="CS893" s="187"/>
      <c r="CT893" s="8"/>
      <c r="CU893" s="8"/>
      <c r="CV893" s="187"/>
      <c r="CW893" s="8"/>
      <c r="CX893" s="8"/>
      <c r="CY893" s="187"/>
      <c r="CZ893" s="8"/>
      <c r="DA893" s="8"/>
      <c r="DB893" s="187"/>
      <c r="DC893" s="8"/>
      <c r="DD893" s="8"/>
      <c r="DE893" s="187"/>
      <c r="DF893" s="8"/>
      <c r="DG893" s="8"/>
      <c r="DH893" s="187"/>
      <c r="DI893" s="8"/>
      <c r="DJ893" s="8"/>
      <c r="DK893" s="187"/>
      <c r="DL893" s="8"/>
      <c r="DM893" s="8"/>
      <c r="DN893" s="187"/>
      <c r="DO893" s="8"/>
      <c r="DP893" s="8"/>
      <c r="DQ893" s="187"/>
      <c r="DR893" s="8"/>
      <c r="DS893" s="8"/>
      <c r="DT893" s="187"/>
      <c r="DU893" s="8"/>
      <c r="DV893" s="8"/>
      <c r="DW893" s="187"/>
      <c r="DX893" s="8"/>
      <c r="DY893" s="8"/>
      <c r="DZ893" s="187"/>
      <c r="EA893" s="8"/>
      <c r="EB893" s="8"/>
      <c r="EC893" s="187"/>
      <c r="ED893" s="8"/>
      <c r="EE893" s="8"/>
      <c r="EF893" s="187"/>
      <c r="EG893" s="8"/>
      <c r="EH893" s="8"/>
      <c r="EI893" s="187"/>
      <c r="EJ893" s="8"/>
      <c r="EK893" s="8"/>
      <c r="EL893" s="187"/>
      <c r="EM893" s="8"/>
      <c r="EN893" s="8"/>
      <c r="EO893" s="187"/>
      <c r="EP893" s="8"/>
      <c r="EQ893" s="8"/>
      <c r="ER893" s="187"/>
      <c r="ES893" s="8"/>
      <c r="ET893" s="8"/>
      <c r="EU893" s="187"/>
      <c r="EV893" s="8"/>
      <c r="EW893" s="8"/>
      <c r="EX893" s="187"/>
      <c r="EY893" s="8"/>
      <c r="EZ893" s="8"/>
      <c r="FA893" s="187"/>
      <c r="FH893" s="35"/>
      <c r="FI893" s="35"/>
      <c r="FJ893" s="35"/>
      <c r="FK893" s="35"/>
      <c r="FL893" s="35"/>
      <c r="FM893" s="35"/>
      <c r="FN893" s="35"/>
      <c r="FO893" s="35"/>
      <c r="FP893" s="35"/>
      <c r="FQ893" s="35"/>
    </row>
    <row r="894" spans="1:173" s="321" customFormat="1" hidden="1" outlineLevel="1">
      <c r="A894" s="1168"/>
      <c r="B894" s="186"/>
      <c r="C894" s="186" t="s">
        <v>316</v>
      </c>
      <c r="D894" s="910"/>
      <c r="E894" s="1"/>
      <c r="F894" s="1"/>
      <c r="G894" s="5"/>
      <c r="H894" s="1"/>
      <c r="I894" s="1"/>
      <c r="J894" s="5"/>
      <c r="K894" s="1"/>
      <c r="L894" s="1"/>
      <c r="M894" s="5"/>
      <c r="N894" s="1"/>
      <c r="O894" s="1"/>
      <c r="P894" s="5"/>
      <c r="Q894" s="1"/>
      <c r="R894" s="1"/>
      <c r="S894" s="5"/>
      <c r="T894" s="1"/>
      <c r="U894" s="1"/>
      <c r="V894" s="5"/>
      <c r="W894" s="1"/>
      <c r="X894" s="1"/>
      <c r="Y894" s="5"/>
      <c r="Z894" s="1"/>
      <c r="AA894" s="1"/>
      <c r="AB894" s="5"/>
      <c r="AC894" s="1"/>
      <c r="AD894" s="1"/>
      <c r="AE894" s="5"/>
      <c r="AF894" s="1"/>
      <c r="AG894" s="1"/>
      <c r="AH894" s="5"/>
      <c r="AI894" s="1"/>
      <c r="AJ894" s="1"/>
      <c r="AK894" s="5"/>
      <c r="AL894" s="1"/>
      <c r="AM894" s="1"/>
      <c r="AN894" s="5"/>
      <c r="AO894" s="1"/>
      <c r="AP894" s="1"/>
      <c r="AQ894" s="5"/>
      <c r="AR894" s="1"/>
      <c r="AS894" s="1"/>
      <c r="AT894" s="5"/>
      <c r="AU894" s="1"/>
      <c r="AV894" s="1"/>
      <c r="AW894" s="5"/>
      <c r="AX894" s="184">
        <f t="shared" ref="AX894:CC894" si="3892">(SUM(AX858,AX864,AX870,AX876,AX882,AX888))-AX751</f>
        <v>0</v>
      </c>
      <c r="AY894" s="184">
        <f t="shared" si="3892"/>
        <v>0</v>
      </c>
      <c r="AZ894" s="184">
        <f t="shared" si="3892"/>
        <v>0</v>
      </c>
      <c r="BA894" s="28">
        <f t="shared" si="3892"/>
        <v>0</v>
      </c>
      <c r="BB894" s="28">
        <f t="shared" si="3892"/>
        <v>0</v>
      </c>
      <c r="BC894" s="58">
        <f t="shared" si="3892"/>
        <v>0</v>
      </c>
      <c r="BD894" s="28">
        <f t="shared" si="3892"/>
        <v>0</v>
      </c>
      <c r="BE894" s="28">
        <f t="shared" si="3892"/>
        <v>0</v>
      </c>
      <c r="BF894" s="58">
        <f t="shared" si="3892"/>
        <v>0</v>
      </c>
      <c r="BG894" s="28">
        <f t="shared" si="3892"/>
        <v>0</v>
      </c>
      <c r="BH894" s="28">
        <f t="shared" si="3892"/>
        <v>0</v>
      </c>
      <c r="BI894" s="58">
        <f t="shared" si="3892"/>
        <v>0</v>
      </c>
      <c r="BJ894" s="110">
        <f t="shared" si="3892"/>
        <v>0</v>
      </c>
      <c r="BK894" s="110">
        <f t="shared" si="3892"/>
        <v>0</v>
      </c>
      <c r="BL894" s="111">
        <f t="shared" si="3892"/>
        <v>0</v>
      </c>
      <c r="BM894" s="110">
        <f t="shared" si="3892"/>
        <v>0</v>
      </c>
      <c r="BN894" s="110">
        <f t="shared" si="3892"/>
        <v>0</v>
      </c>
      <c r="BO894" s="111">
        <f t="shared" si="3892"/>
        <v>0</v>
      </c>
      <c r="BP894" s="110">
        <f t="shared" si="3892"/>
        <v>0</v>
      </c>
      <c r="BQ894" s="110">
        <f t="shared" si="3892"/>
        <v>0</v>
      </c>
      <c r="BR894" s="111">
        <f t="shared" si="3892"/>
        <v>0</v>
      </c>
      <c r="BS894" s="28">
        <f t="shared" si="3892"/>
        <v>0</v>
      </c>
      <c r="BT894" s="28">
        <f t="shared" si="3892"/>
        <v>0</v>
      </c>
      <c r="BU894" s="184">
        <f t="shared" si="3892"/>
        <v>0</v>
      </c>
      <c r="BV894" s="28">
        <f t="shared" si="3892"/>
        <v>0</v>
      </c>
      <c r="BW894" s="28">
        <f t="shared" si="3892"/>
        <v>0</v>
      </c>
      <c r="BX894" s="184">
        <f t="shared" si="3892"/>
        <v>0</v>
      </c>
      <c r="BY894" s="28">
        <f t="shared" si="3892"/>
        <v>0</v>
      </c>
      <c r="BZ894" s="28">
        <f t="shared" si="3892"/>
        <v>0</v>
      </c>
      <c r="CA894" s="184">
        <f t="shared" si="3892"/>
        <v>0</v>
      </c>
      <c r="CB894" s="28">
        <f t="shared" si="3892"/>
        <v>0</v>
      </c>
      <c r="CC894" s="28">
        <f t="shared" si="3892"/>
        <v>0</v>
      </c>
      <c r="CD894" s="184">
        <f t="shared" ref="CD894:DI894" si="3893">(SUM(CD858,CD864,CD870,CD876,CD882,CD888))-CD751</f>
        <v>0</v>
      </c>
      <c r="CE894" s="28">
        <f t="shared" si="3893"/>
        <v>0</v>
      </c>
      <c r="CF894" s="28">
        <f t="shared" si="3893"/>
        <v>0</v>
      </c>
      <c r="CG894" s="184">
        <f t="shared" si="3893"/>
        <v>0</v>
      </c>
      <c r="CH894" s="28">
        <f t="shared" si="3893"/>
        <v>0</v>
      </c>
      <c r="CI894" s="28">
        <f t="shared" si="3893"/>
        <v>0</v>
      </c>
      <c r="CJ894" s="184">
        <f t="shared" si="3893"/>
        <v>0</v>
      </c>
      <c r="CK894" s="28">
        <f t="shared" si="3893"/>
        <v>0</v>
      </c>
      <c r="CL894" s="28">
        <f t="shared" si="3893"/>
        <v>0</v>
      </c>
      <c r="CM894" s="184">
        <f t="shared" si="3893"/>
        <v>0</v>
      </c>
      <c r="CN894" s="28">
        <f t="shared" si="3893"/>
        <v>0</v>
      </c>
      <c r="CO894" s="28">
        <f t="shared" si="3893"/>
        <v>0</v>
      </c>
      <c r="CP894" s="184">
        <f t="shared" si="3893"/>
        <v>0</v>
      </c>
      <c r="CQ894" s="28">
        <f t="shared" si="3893"/>
        <v>0</v>
      </c>
      <c r="CR894" s="28">
        <f t="shared" si="3893"/>
        <v>0</v>
      </c>
      <c r="CS894" s="184">
        <f t="shared" si="3893"/>
        <v>0</v>
      </c>
      <c r="CT894" s="28">
        <f t="shared" si="3893"/>
        <v>0</v>
      </c>
      <c r="CU894" s="28">
        <f t="shared" si="3893"/>
        <v>0</v>
      </c>
      <c r="CV894" s="184">
        <f t="shared" si="3893"/>
        <v>0</v>
      </c>
      <c r="CW894" s="28">
        <f t="shared" si="3893"/>
        <v>0</v>
      </c>
      <c r="CX894" s="28">
        <f t="shared" si="3893"/>
        <v>0</v>
      </c>
      <c r="CY894" s="184">
        <f t="shared" si="3893"/>
        <v>0</v>
      </c>
      <c r="CZ894" s="28">
        <f t="shared" si="3893"/>
        <v>0</v>
      </c>
      <c r="DA894" s="28">
        <f t="shared" si="3893"/>
        <v>0</v>
      </c>
      <c r="DB894" s="184">
        <f t="shared" si="3893"/>
        <v>0</v>
      </c>
      <c r="DC894" s="28">
        <f t="shared" si="3893"/>
        <v>0</v>
      </c>
      <c r="DD894" s="28">
        <f t="shared" si="3893"/>
        <v>0</v>
      </c>
      <c r="DE894" s="184">
        <f t="shared" si="3893"/>
        <v>0</v>
      </c>
      <c r="DF894" s="28">
        <f t="shared" si="3893"/>
        <v>0</v>
      </c>
      <c r="DG894" s="28">
        <f t="shared" si="3893"/>
        <v>0</v>
      </c>
      <c r="DH894" s="184">
        <f t="shared" si="3893"/>
        <v>0</v>
      </c>
      <c r="DI894" s="28">
        <f t="shared" si="3893"/>
        <v>0</v>
      </c>
      <c r="DJ894" s="28">
        <f t="shared" ref="DJ894:ER894" si="3894">(SUM(DJ858,DJ864,DJ870,DJ876,DJ882,DJ888))-DJ751</f>
        <v>0</v>
      </c>
      <c r="DK894" s="184">
        <f t="shared" si="3894"/>
        <v>0</v>
      </c>
      <c r="DL894" s="28">
        <f t="shared" si="3894"/>
        <v>0</v>
      </c>
      <c r="DM894" s="28">
        <f t="shared" si="3894"/>
        <v>0</v>
      </c>
      <c r="DN894" s="184">
        <f t="shared" si="3894"/>
        <v>0</v>
      </c>
      <c r="DO894" s="28">
        <f t="shared" si="3894"/>
        <v>0</v>
      </c>
      <c r="DP894" s="28">
        <f t="shared" si="3894"/>
        <v>0</v>
      </c>
      <c r="DQ894" s="184">
        <f t="shared" si="3894"/>
        <v>0</v>
      </c>
      <c r="DR894" s="28">
        <f t="shared" si="3894"/>
        <v>0</v>
      </c>
      <c r="DS894" s="28">
        <f t="shared" si="3894"/>
        <v>0</v>
      </c>
      <c r="DT894" s="184">
        <f t="shared" si="3894"/>
        <v>0</v>
      </c>
      <c r="DU894" s="28">
        <f t="shared" si="3894"/>
        <v>0</v>
      </c>
      <c r="DV894" s="28">
        <f t="shared" si="3894"/>
        <v>0</v>
      </c>
      <c r="DW894" s="184">
        <f t="shared" si="3894"/>
        <v>0</v>
      </c>
      <c r="DX894" s="28">
        <f t="shared" si="3894"/>
        <v>0</v>
      </c>
      <c r="DY894" s="28">
        <f t="shared" si="3894"/>
        <v>0</v>
      </c>
      <c r="DZ894" s="184">
        <f t="shared" si="3894"/>
        <v>0</v>
      </c>
      <c r="EA894" s="28">
        <f t="shared" si="3894"/>
        <v>0</v>
      </c>
      <c r="EB894" s="28">
        <f t="shared" si="3894"/>
        <v>0</v>
      </c>
      <c r="EC894" s="184">
        <f t="shared" si="3894"/>
        <v>0</v>
      </c>
      <c r="ED894" s="28">
        <f t="shared" si="3894"/>
        <v>0</v>
      </c>
      <c r="EE894" s="28">
        <f t="shared" si="3894"/>
        <v>0</v>
      </c>
      <c r="EF894" s="184">
        <f t="shared" si="3894"/>
        <v>0</v>
      </c>
      <c r="EG894" s="28">
        <f t="shared" si="3894"/>
        <v>0</v>
      </c>
      <c r="EH894" s="28">
        <f t="shared" si="3894"/>
        <v>0</v>
      </c>
      <c r="EI894" s="184">
        <f t="shared" si="3894"/>
        <v>0</v>
      </c>
      <c r="EJ894" s="28">
        <f t="shared" si="3894"/>
        <v>0</v>
      </c>
      <c r="EK894" s="28">
        <f t="shared" si="3894"/>
        <v>0</v>
      </c>
      <c r="EL894" s="184">
        <f t="shared" si="3894"/>
        <v>0</v>
      </c>
      <c r="EM894" s="28">
        <f t="shared" si="3894"/>
        <v>0</v>
      </c>
      <c r="EN894" s="28">
        <f t="shared" si="3894"/>
        <v>0</v>
      </c>
      <c r="EO894" s="184">
        <f t="shared" si="3894"/>
        <v>0</v>
      </c>
      <c r="EP894" s="28">
        <f t="shared" si="3894"/>
        <v>0</v>
      </c>
      <c r="EQ894" s="28">
        <f t="shared" si="3894"/>
        <v>0</v>
      </c>
      <c r="ER894" s="184">
        <f t="shared" si="3894"/>
        <v>0</v>
      </c>
      <c r="ES894" s="28">
        <f t="shared" ref="ES894:EX894" si="3895">(SUM(ES858,ES864,ES870,ES876,ES882,ES888))-ES751</f>
        <v>0</v>
      </c>
      <c r="ET894" s="28">
        <f t="shared" si="3895"/>
        <v>0</v>
      </c>
      <c r="EU894" s="184">
        <f t="shared" si="3895"/>
        <v>0</v>
      </c>
      <c r="EV894" s="28">
        <f t="shared" si="3895"/>
        <v>0</v>
      </c>
      <c r="EW894" s="28">
        <f t="shared" si="3895"/>
        <v>0</v>
      </c>
      <c r="EX894" s="184">
        <f t="shared" si="3895"/>
        <v>0</v>
      </c>
      <c r="EY894" s="28">
        <f t="shared" ref="EY894:FA894" si="3896">(SUM(EY858,EY864,EY870,EY876,EY882,EY888))-EY751</f>
        <v>0</v>
      </c>
      <c r="EZ894" s="28">
        <f t="shared" si="3896"/>
        <v>0</v>
      </c>
      <c r="FA894" s="184">
        <f t="shared" si="3896"/>
        <v>0</v>
      </c>
      <c r="FH894" s="35"/>
      <c r="FI894" s="35"/>
      <c r="FJ894" s="35"/>
      <c r="FK894" s="35"/>
      <c r="FL894" s="35"/>
      <c r="FM894" s="35"/>
      <c r="FN894" s="35"/>
      <c r="FO894" s="35"/>
      <c r="FP894" s="35"/>
      <c r="FQ894" s="35"/>
    </row>
    <row r="895" spans="1:173" s="321" customFormat="1" hidden="1" outlineLevel="1">
      <c r="A895" s="1168"/>
      <c r="B895" s="186"/>
      <c r="C895" s="186" t="s">
        <v>317</v>
      </c>
      <c r="D895" s="910"/>
      <c r="E895" s="1"/>
      <c r="F895" s="1"/>
      <c r="G895" s="5"/>
      <c r="H895" s="1"/>
      <c r="I895" s="1"/>
      <c r="J895" s="5"/>
      <c r="K895" s="1"/>
      <c r="L895" s="1"/>
      <c r="M895" s="5"/>
      <c r="N895" s="1"/>
      <c r="O895" s="1"/>
      <c r="P895" s="5"/>
      <c r="Q895" s="1"/>
      <c r="R895" s="1"/>
      <c r="S895" s="5"/>
      <c r="T895" s="1"/>
      <c r="U895" s="1"/>
      <c r="V895" s="5"/>
      <c r="W895" s="1"/>
      <c r="X895" s="1"/>
      <c r="Y895" s="5"/>
      <c r="Z895" s="1"/>
      <c r="AA895" s="1"/>
      <c r="AB895" s="5"/>
      <c r="AC895" s="1"/>
      <c r="AD895" s="1"/>
      <c r="AE895" s="5"/>
      <c r="AF895" s="1"/>
      <c r="AG895" s="1"/>
      <c r="AH895" s="5"/>
      <c r="AI895" s="1"/>
      <c r="AJ895" s="1"/>
      <c r="AK895" s="5"/>
      <c r="AL895" s="1"/>
      <c r="AM895" s="1"/>
      <c r="AN895" s="5"/>
      <c r="AO895" s="1"/>
      <c r="AP895" s="1"/>
      <c r="AQ895" s="5"/>
      <c r="AR895" s="1"/>
      <c r="AS895" s="1"/>
      <c r="AT895" s="5"/>
      <c r="AU895" s="1"/>
      <c r="AV895" s="1"/>
      <c r="AW895" s="5"/>
      <c r="AX895" s="184">
        <f t="shared" ref="AX895:CC895" si="3897">(SUM(AX859,AX865,AX871,AX877,AX883,AX889))-AX752</f>
        <v>0</v>
      </c>
      <c r="AY895" s="184">
        <f t="shared" si="3897"/>
        <v>0</v>
      </c>
      <c r="AZ895" s="184">
        <f t="shared" si="3897"/>
        <v>0</v>
      </c>
      <c r="BA895" s="28">
        <f t="shared" si="3897"/>
        <v>0</v>
      </c>
      <c r="BB895" s="28">
        <f t="shared" si="3897"/>
        <v>0</v>
      </c>
      <c r="BC895" s="58">
        <f t="shared" si="3897"/>
        <v>0</v>
      </c>
      <c r="BD895" s="28">
        <f t="shared" si="3897"/>
        <v>0</v>
      </c>
      <c r="BE895" s="28">
        <f t="shared" si="3897"/>
        <v>0</v>
      </c>
      <c r="BF895" s="58">
        <f t="shared" si="3897"/>
        <v>0</v>
      </c>
      <c r="BG895" s="28">
        <f t="shared" si="3897"/>
        <v>0</v>
      </c>
      <c r="BH895" s="28">
        <f t="shared" si="3897"/>
        <v>0</v>
      </c>
      <c r="BI895" s="58">
        <f t="shared" si="3897"/>
        <v>0</v>
      </c>
      <c r="BJ895" s="110">
        <f t="shared" si="3897"/>
        <v>0</v>
      </c>
      <c r="BK895" s="110">
        <f t="shared" si="3897"/>
        <v>0</v>
      </c>
      <c r="BL895" s="111">
        <f t="shared" si="3897"/>
        <v>0</v>
      </c>
      <c r="BM895" s="110">
        <f t="shared" si="3897"/>
        <v>0</v>
      </c>
      <c r="BN895" s="110">
        <f t="shared" si="3897"/>
        <v>0</v>
      </c>
      <c r="BO895" s="111">
        <f t="shared" si="3897"/>
        <v>0</v>
      </c>
      <c r="BP895" s="110">
        <f t="shared" si="3897"/>
        <v>0</v>
      </c>
      <c r="BQ895" s="110">
        <f t="shared" si="3897"/>
        <v>0</v>
      </c>
      <c r="BR895" s="111">
        <f t="shared" si="3897"/>
        <v>0</v>
      </c>
      <c r="BS895" s="28">
        <f t="shared" si="3897"/>
        <v>0</v>
      </c>
      <c r="BT895" s="28">
        <f t="shared" si="3897"/>
        <v>0</v>
      </c>
      <c r="BU895" s="184">
        <f t="shared" si="3897"/>
        <v>0</v>
      </c>
      <c r="BV895" s="28">
        <f t="shared" si="3897"/>
        <v>0</v>
      </c>
      <c r="BW895" s="28">
        <f t="shared" si="3897"/>
        <v>0</v>
      </c>
      <c r="BX895" s="184">
        <f t="shared" si="3897"/>
        <v>0</v>
      </c>
      <c r="BY895" s="28">
        <f t="shared" si="3897"/>
        <v>0</v>
      </c>
      <c r="BZ895" s="28">
        <f t="shared" si="3897"/>
        <v>0</v>
      </c>
      <c r="CA895" s="184">
        <f t="shared" si="3897"/>
        <v>0</v>
      </c>
      <c r="CB895" s="28">
        <f t="shared" si="3897"/>
        <v>0</v>
      </c>
      <c r="CC895" s="28">
        <f t="shared" si="3897"/>
        <v>0</v>
      </c>
      <c r="CD895" s="184">
        <f t="shared" ref="CD895:DI895" si="3898">(SUM(CD859,CD865,CD871,CD877,CD883,CD889))-CD752</f>
        <v>0</v>
      </c>
      <c r="CE895" s="28">
        <f t="shared" si="3898"/>
        <v>0</v>
      </c>
      <c r="CF895" s="28">
        <f t="shared" si="3898"/>
        <v>0</v>
      </c>
      <c r="CG895" s="184">
        <f t="shared" si="3898"/>
        <v>0</v>
      </c>
      <c r="CH895" s="28">
        <f t="shared" si="3898"/>
        <v>0</v>
      </c>
      <c r="CI895" s="28">
        <f t="shared" si="3898"/>
        <v>0</v>
      </c>
      <c r="CJ895" s="184">
        <f t="shared" si="3898"/>
        <v>0</v>
      </c>
      <c r="CK895" s="28">
        <f t="shared" si="3898"/>
        <v>0</v>
      </c>
      <c r="CL895" s="28">
        <f t="shared" si="3898"/>
        <v>0</v>
      </c>
      <c r="CM895" s="184">
        <f t="shared" si="3898"/>
        <v>0</v>
      </c>
      <c r="CN895" s="28">
        <f t="shared" si="3898"/>
        <v>0</v>
      </c>
      <c r="CO895" s="28">
        <f t="shared" si="3898"/>
        <v>0</v>
      </c>
      <c r="CP895" s="184">
        <f t="shared" si="3898"/>
        <v>0</v>
      </c>
      <c r="CQ895" s="28">
        <f t="shared" si="3898"/>
        <v>0</v>
      </c>
      <c r="CR895" s="28">
        <f t="shared" si="3898"/>
        <v>0</v>
      </c>
      <c r="CS895" s="184">
        <f t="shared" si="3898"/>
        <v>0</v>
      </c>
      <c r="CT895" s="28">
        <f t="shared" si="3898"/>
        <v>0</v>
      </c>
      <c r="CU895" s="28">
        <f t="shared" si="3898"/>
        <v>0</v>
      </c>
      <c r="CV895" s="184">
        <f t="shared" si="3898"/>
        <v>0</v>
      </c>
      <c r="CW895" s="28">
        <f t="shared" si="3898"/>
        <v>0</v>
      </c>
      <c r="CX895" s="28">
        <f t="shared" si="3898"/>
        <v>0</v>
      </c>
      <c r="CY895" s="184">
        <f t="shared" si="3898"/>
        <v>0</v>
      </c>
      <c r="CZ895" s="28">
        <f t="shared" si="3898"/>
        <v>0</v>
      </c>
      <c r="DA895" s="28">
        <f t="shared" si="3898"/>
        <v>0</v>
      </c>
      <c r="DB895" s="184">
        <f t="shared" si="3898"/>
        <v>0</v>
      </c>
      <c r="DC895" s="28">
        <f t="shared" si="3898"/>
        <v>0</v>
      </c>
      <c r="DD895" s="28">
        <f t="shared" si="3898"/>
        <v>0</v>
      </c>
      <c r="DE895" s="184">
        <f t="shared" si="3898"/>
        <v>0</v>
      </c>
      <c r="DF895" s="28">
        <f t="shared" si="3898"/>
        <v>0</v>
      </c>
      <c r="DG895" s="28">
        <f t="shared" si="3898"/>
        <v>0</v>
      </c>
      <c r="DH895" s="184">
        <f t="shared" si="3898"/>
        <v>0</v>
      </c>
      <c r="DI895" s="28">
        <f t="shared" si="3898"/>
        <v>0</v>
      </c>
      <c r="DJ895" s="28">
        <f t="shared" ref="DJ895:ER895" si="3899">(SUM(DJ859,DJ865,DJ871,DJ877,DJ883,DJ889))-DJ752</f>
        <v>0</v>
      </c>
      <c r="DK895" s="184">
        <f t="shared" si="3899"/>
        <v>0</v>
      </c>
      <c r="DL895" s="28">
        <f t="shared" si="3899"/>
        <v>0</v>
      </c>
      <c r="DM895" s="28">
        <f t="shared" si="3899"/>
        <v>0</v>
      </c>
      <c r="DN895" s="184">
        <f t="shared" si="3899"/>
        <v>0</v>
      </c>
      <c r="DO895" s="28">
        <f t="shared" si="3899"/>
        <v>0</v>
      </c>
      <c r="DP895" s="28">
        <f t="shared" si="3899"/>
        <v>0</v>
      </c>
      <c r="DQ895" s="184">
        <f t="shared" si="3899"/>
        <v>0</v>
      </c>
      <c r="DR895" s="28">
        <f t="shared" si="3899"/>
        <v>0</v>
      </c>
      <c r="DS895" s="28">
        <f t="shared" si="3899"/>
        <v>0</v>
      </c>
      <c r="DT895" s="184">
        <f t="shared" si="3899"/>
        <v>0</v>
      </c>
      <c r="DU895" s="28">
        <f t="shared" si="3899"/>
        <v>0</v>
      </c>
      <c r="DV895" s="28">
        <f t="shared" si="3899"/>
        <v>0</v>
      </c>
      <c r="DW895" s="184">
        <f t="shared" si="3899"/>
        <v>0</v>
      </c>
      <c r="DX895" s="28">
        <f t="shared" si="3899"/>
        <v>0</v>
      </c>
      <c r="DY895" s="28">
        <f t="shared" si="3899"/>
        <v>0</v>
      </c>
      <c r="DZ895" s="184">
        <f t="shared" si="3899"/>
        <v>0</v>
      </c>
      <c r="EA895" s="28">
        <f t="shared" si="3899"/>
        <v>0</v>
      </c>
      <c r="EB895" s="28">
        <f t="shared" si="3899"/>
        <v>0</v>
      </c>
      <c r="EC895" s="184">
        <f t="shared" si="3899"/>
        <v>0</v>
      </c>
      <c r="ED895" s="28">
        <f t="shared" si="3899"/>
        <v>0</v>
      </c>
      <c r="EE895" s="28">
        <f t="shared" si="3899"/>
        <v>0</v>
      </c>
      <c r="EF895" s="184">
        <f t="shared" si="3899"/>
        <v>0</v>
      </c>
      <c r="EG895" s="28">
        <f t="shared" si="3899"/>
        <v>0</v>
      </c>
      <c r="EH895" s="28">
        <f t="shared" si="3899"/>
        <v>0</v>
      </c>
      <c r="EI895" s="184">
        <f t="shared" si="3899"/>
        <v>0</v>
      </c>
      <c r="EJ895" s="28">
        <f t="shared" si="3899"/>
        <v>0</v>
      </c>
      <c r="EK895" s="28">
        <f t="shared" si="3899"/>
        <v>0</v>
      </c>
      <c r="EL895" s="184">
        <f t="shared" si="3899"/>
        <v>0</v>
      </c>
      <c r="EM895" s="28">
        <f t="shared" si="3899"/>
        <v>0</v>
      </c>
      <c r="EN895" s="28">
        <f t="shared" si="3899"/>
        <v>0</v>
      </c>
      <c r="EO895" s="184">
        <f t="shared" si="3899"/>
        <v>0</v>
      </c>
      <c r="EP895" s="28">
        <f t="shared" si="3899"/>
        <v>0</v>
      </c>
      <c r="EQ895" s="28">
        <f t="shared" si="3899"/>
        <v>0</v>
      </c>
      <c r="ER895" s="184">
        <f t="shared" si="3899"/>
        <v>0</v>
      </c>
      <c r="ES895" s="28">
        <f t="shared" ref="ES895:EX895" si="3900">(SUM(ES859,ES865,ES871,ES877,ES883,ES889))-ES752</f>
        <v>0</v>
      </c>
      <c r="ET895" s="28">
        <f t="shared" si="3900"/>
        <v>0</v>
      </c>
      <c r="EU895" s="184">
        <f t="shared" si="3900"/>
        <v>0</v>
      </c>
      <c r="EV895" s="28">
        <f t="shared" si="3900"/>
        <v>0</v>
      </c>
      <c r="EW895" s="28">
        <f t="shared" si="3900"/>
        <v>0</v>
      </c>
      <c r="EX895" s="184">
        <f t="shared" si="3900"/>
        <v>0</v>
      </c>
      <c r="EY895" s="28">
        <f t="shared" ref="EY895:FA895" si="3901">(SUM(EY859,EY865,EY871,EY877,EY883,EY889))-EY752</f>
        <v>0</v>
      </c>
      <c r="EZ895" s="28">
        <f t="shared" si="3901"/>
        <v>0</v>
      </c>
      <c r="FA895" s="184">
        <f t="shared" si="3901"/>
        <v>0</v>
      </c>
      <c r="FH895" s="35"/>
      <c r="FI895" s="35"/>
      <c r="FJ895" s="35"/>
      <c r="FK895" s="35"/>
      <c r="FL895" s="35"/>
      <c r="FM895" s="35"/>
      <c r="FN895" s="35"/>
      <c r="FO895" s="35"/>
      <c r="FP895" s="35"/>
      <c r="FQ895" s="35"/>
    </row>
    <row r="896" spans="1:173" s="321" customFormat="1" hidden="1" outlineLevel="1">
      <c r="A896" s="1168"/>
      <c r="B896" s="186"/>
      <c r="C896" s="186" t="s">
        <v>431</v>
      </c>
      <c r="D896" s="910"/>
      <c r="E896" s="1"/>
      <c r="F896" s="1"/>
      <c r="G896" s="5"/>
      <c r="H896" s="1"/>
      <c r="I896" s="1"/>
      <c r="J896" s="5"/>
      <c r="K896" s="1"/>
      <c r="L896" s="1"/>
      <c r="M896" s="5"/>
      <c r="N896" s="1"/>
      <c r="O896" s="1"/>
      <c r="P896" s="5"/>
      <c r="Q896" s="1"/>
      <c r="R896" s="1"/>
      <c r="S896" s="5"/>
      <c r="T896" s="1"/>
      <c r="U896" s="1"/>
      <c r="V896" s="5"/>
      <c r="W896" s="1"/>
      <c r="X896" s="1"/>
      <c r="Y896" s="5"/>
      <c r="Z896" s="1"/>
      <c r="AA896" s="1"/>
      <c r="AB896" s="5"/>
      <c r="AC896" s="1"/>
      <c r="AD896" s="1"/>
      <c r="AE896" s="5"/>
      <c r="AF896" s="1"/>
      <c r="AG896" s="1"/>
      <c r="AH896" s="5"/>
      <c r="AI896" s="1"/>
      <c r="AJ896" s="1"/>
      <c r="AK896" s="5"/>
      <c r="AL896" s="1"/>
      <c r="AM896" s="1"/>
      <c r="AN896" s="5"/>
      <c r="AO896" s="1"/>
      <c r="AP896" s="1"/>
      <c r="AQ896" s="5"/>
      <c r="AR896" s="1"/>
      <c r="AS896" s="1"/>
      <c r="AT896" s="5"/>
      <c r="AU896" s="1"/>
      <c r="AV896" s="1"/>
      <c r="AW896" s="5"/>
      <c r="AX896" s="184">
        <f t="shared" ref="AX896:CC896" si="3902">(SUM(AX860,AX866,AX872,AX878,AX884,AX890))-AX753</f>
        <v>0</v>
      </c>
      <c r="AY896" s="184">
        <f t="shared" si="3902"/>
        <v>0</v>
      </c>
      <c r="AZ896" s="184">
        <f t="shared" si="3902"/>
        <v>0</v>
      </c>
      <c r="BA896" s="28">
        <f t="shared" si="3902"/>
        <v>0</v>
      </c>
      <c r="BB896" s="28">
        <f t="shared" si="3902"/>
        <v>0</v>
      </c>
      <c r="BC896" s="58">
        <f t="shared" si="3902"/>
        <v>0</v>
      </c>
      <c r="BD896" s="28">
        <f t="shared" si="3902"/>
        <v>0</v>
      </c>
      <c r="BE896" s="28">
        <f t="shared" si="3902"/>
        <v>0</v>
      </c>
      <c r="BF896" s="58">
        <f t="shared" si="3902"/>
        <v>0</v>
      </c>
      <c r="BG896" s="28">
        <f t="shared" si="3902"/>
        <v>0</v>
      </c>
      <c r="BH896" s="28">
        <f t="shared" si="3902"/>
        <v>0</v>
      </c>
      <c r="BI896" s="58">
        <f t="shared" si="3902"/>
        <v>0</v>
      </c>
      <c r="BJ896" s="110">
        <f t="shared" si="3902"/>
        <v>0</v>
      </c>
      <c r="BK896" s="110">
        <f t="shared" si="3902"/>
        <v>0</v>
      </c>
      <c r="BL896" s="111">
        <f t="shared" si="3902"/>
        <v>0</v>
      </c>
      <c r="BM896" s="110">
        <f t="shared" si="3902"/>
        <v>0</v>
      </c>
      <c r="BN896" s="110">
        <f t="shared" si="3902"/>
        <v>0</v>
      </c>
      <c r="BO896" s="111">
        <f t="shared" si="3902"/>
        <v>0</v>
      </c>
      <c r="BP896" s="110">
        <f t="shared" si="3902"/>
        <v>0</v>
      </c>
      <c r="BQ896" s="110">
        <f t="shared" si="3902"/>
        <v>0</v>
      </c>
      <c r="BR896" s="111">
        <f t="shared" si="3902"/>
        <v>0</v>
      </c>
      <c r="BS896" s="28">
        <f t="shared" si="3902"/>
        <v>0</v>
      </c>
      <c r="BT896" s="28">
        <f t="shared" si="3902"/>
        <v>0</v>
      </c>
      <c r="BU896" s="184">
        <f t="shared" si="3902"/>
        <v>0</v>
      </c>
      <c r="BV896" s="28">
        <f t="shared" si="3902"/>
        <v>0</v>
      </c>
      <c r="BW896" s="28">
        <f t="shared" si="3902"/>
        <v>0</v>
      </c>
      <c r="BX896" s="184">
        <f t="shared" si="3902"/>
        <v>0</v>
      </c>
      <c r="BY896" s="28">
        <f t="shared" si="3902"/>
        <v>0</v>
      </c>
      <c r="BZ896" s="28">
        <f t="shared" si="3902"/>
        <v>0</v>
      </c>
      <c r="CA896" s="184">
        <f t="shared" si="3902"/>
        <v>0</v>
      </c>
      <c r="CB896" s="28">
        <f t="shared" si="3902"/>
        <v>0</v>
      </c>
      <c r="CC896" s="28">
        <f t="shared" si="3902"/>
        <v>0</v>
      </c>
      <c r="CD896" s="184">
        <f t="shared" ref="CD896:DI896" si="3903">(SUM(CD860,CD866,CD872,CD878,CD884,CD890))-CD753</f>
        <v>0</v>
      </c>
      <c r="CE896" s="28">
        <f t="shared" si="3903"/>
        <v>0</v>
      </c>
      <c r="CF896" s="28">
        <f t="shared" si="3903"/>
        <v>0</v>
      </c>
      <c r="CG896" s="184">
        <f t="shared" si="3903"/>
        <v>0</v>
      </c>
      <c r="CH896" s="28">
        <f t="shared" si="3903"/>
        <v>0</v>
      </c>
      <c r="CI896" s="28">
        <f t="shared" si="3903"/>
        <v>0</v>
      </c>
      <c r="CJ896" s="184">
        <f t="shared" si="3903"/>
        <v>0</v>
      </c>
      <c r="CK896" s="28">
        <f t="shared" si="3903"/>
        <v>0</v>
      </c>
      <c r="CL896" s="28">
        <f t="shared" si="3903"/>
        <v>0</v>
      </c>
      <c r="CM896" s="184">
        <f t="shared" si="3903"/>
        <v>0</v>
      </c>
      <c r="CN896" s="28">
        <f t="shared" si="3903"/>
        <v>0</v>
      </c>
      <c r="CO896" s="28">
        <f t="shared" si="3903"/>
        <v>0</v>
      </c>
      <c r="CP896" s="184">
        <f t="shared" si="3903"/>
        <v>0</v>
      </c>
      <c r="CQ896" s="28">
        <f t="shared" si="3903"/>
        <v>0</v>
      </c>
      <c r="CR896" s="28">
        <f t="shared" si="3903"/>
        <v>0</v>
      </c>
      <c r="CS896" s="184">
        <f t="shared" si="3903"/>
        <v>0</v>
      </c>
      <c r="CT896" s="28">
        <f t="shared" si="3903"/>
        <v>0</v>
      </c>
      <c r="CU896" s="28">
        <f t="shared" si="3903"/>
        <v>0</v>
      </c>
      <c r="CV896" s="184">
        <f t="shared" si="3903"/>
        <v>0</v>
      </c>
      <c r="CW896" s="28">
        <f t="shared" si="3903"/>
        <v>0</v>
      </c>
      <c r="CX896" s="28">
        <f t="shared" si="3903"/>
        <v>0</v>
      </c>
      <c r="CY896" s="184">
        <f t="shared" si="3903"/>
        <v>0</v>
      </c>
      <c r="CZ896" s="28">
        <f t="shared" si="3903"/>
        <v>0</v>
      </c>
      <c r="DA896" s="28">
        <f t="shared" si="3903"/>
        <v>0</v>
      </c>
      <c r="DB896" s="184">
        <f t="shared" si="3903"/>
        <v>0</v>
      </c>
      <c r="DC896" s="28">
        <f t="shared" si="3903"/>
        <v>0</v>
      </c>
      <c r="DD896" s="28">
        <f t="shared" si="3903"/>
        <v>0</v>
      </c>
      <c r="DE896" s="184">
        <f t="shared" si="3903"/>
        <v>0</v>
      </c>
      <c r="DF896" s="28">
        <f t="shared" si="3903"/>
        <v>0</v>
      </c>
      <c r="DG896" s="28">
        <f t="shared" si="3903"/>
        <v>0</v>
      </c>
      <c r="DH896" s="184">
        <f t="shared" si="3903"/>
        <v>0</v>
      </c>
      <c r="DI896" s="28">
        <f t="shared" si="3903"/>
        <v>0</v>
      </c>
      <c r="DJ896" s="28">
        <f t="shared" ref="DJ896:ER896" si="3904">(SUM(DJ860,DJ866,DJ872,DJ878,DJ884,DJ890))-DJ753</f>
        <v>0</v>
      </c>
      <c r="DK896" s="184">
        <f t="shared" si="3904"/>
        <v>0</v>
      </c>
      <c r="DL896" s="28">
        <f t="shared" si="3904"/>
        <v>0</v>
      </c>
      <c r="DM896" s="28">
        <f t="shared" si="3904"/>
        <v>0</v>
      </c>
      <c r="DN896" s="184">
        <f t="shared" si="3904"/>
        <v>0</v>
      </c>
      <c r="DO896" s="28">
        <f t="shared" si="3904"/>
        <v>0</v>
      </c>
      <c r="DP896" s="28">
        <f t="shared" si="3904"/>
        <v>0</v>
      </c>
      <c r="DQ896" s="184">
        <f t="shared" si="3904"/>
        <v>0</v>
      </c>
      <c r="DR896" s="28">
        <f t="shared" si="3904"/>
        <v>0</v>
      </c>
      <c r="DS896" s="28">
        <f t="shared" si="3904"/>
        <v>0</v>
      </c>
      <c r="DT896" s="184">
        <f t="shared" si="3904"/>
        <v>0</v>
      </c>
      <c r="DU896" s="28">
        <f t="shared" si="3904"/>
        <v>0</v>
      </c>
      <c r="DV896" s="28">
        <f t="shared" si="3904"/>
        <v>0</v>
      </c>
      <c r="DW896" s="184">
        <f t="shared" si="3904"/>
        <v>0</v>
      </c>
      <c r="DX896" s="28">
        <f t="shared" si="3904"/>
        <v>0</v>
      </c>
      <c r="DY896" s="28">
        <f t="shared" si="3904"/>
        <v>0</v>
      </c>
      <c r="DZ896" s="184">
        <f t="shared" si="3904"/>
        <v>0</v>
      </c>
      <c r="EA896" s="28">
        <f t="shared" si="3904"/>
        <v>0</v>
      </c>
      <c r="EB896" s="28">
        <f t="shared" si="3904"/>
        <v>0</v>
      </c>
      <c r="EC896" s="184">
        <f t="shared" si="3904"/>
        <v>0</v>
      </c>
      <c r="ED896" s="28">
        <f t="shared" si="3904"/>
        <v>0</v>
      </c>
      <c r="EE896" s="28">
        <f t="shared" si="3904"/>
        <v>0</v>
      </c>
      <c r="EF896" s="184">
        <f t="shared" si="3904"/>
        <v>0</v>
      </c>
      <c r="EG896" s="28">
        <f t="shared" si="3904"/>
        <v>0</v>
      </c>
      <c r="EH896" s="28">
        <f t="shared" si="3904"/>
        <v>0</v>
      </c>
      <c r="EI896" s="184">
        <f t="shared" si="3904"/>
        <v>0</v>
      </c>
      <c r="EJ896" s="28">
        <f t="shared" si="3904"/>
        <v>0</v>
      </c>
      <c r="EK896" s="28">
        <f t="shared" si="3904"/>
        <v>0</v>
      </c>
      <c r="EL896" s="184">
        <f t="shared" si="3904"/>
        <v>0</v>
      </c>
      <c r="EM896" s="28">
        <f t="shared" si="3904"/>
        <v>0</v>
      </c>
      <c r="EN896" s="28">
        <f t="shared" si="3904"/>
        <v>0</v>
      </c>
      <c r="EO896" s="184">
        <f t="shared" si="3904"/>
        <v>0</v>
      </c>
      <c r="EP896" s="28">
        <f t="shared" si="3904"/>
        <v>0</v>
      </c>
      <c r="EQ896" s="28">
        <f t="shared" si="3904"/>
        <v>0</v>
      </c>
      <c r="ER896" s="184">
        <f t="shared" si="3904"/>
        <v>0</v>
      </c>
      <c r="ES896" s="28">
        <f t="shared" ref="ES896:EX896" si="3905">(SUM(ES860,ES866,ES872,ES878,ES884,ES890))-ES753</f>
        <v>0</v>
      </c>
      <c r="ET896" s="28">
        <f t="shared" si="3905"/>
        <v>0</v>
      </c>
      <c r="EU896" s="184">
        <f t="shared" si="3905"/>
        <v>0</v>
      </c>
      <c r="EV896" s="28">
        <f t="shared" si="3905"/>
        <v>0</v>
      </c>
      <c r="EW896" s="28">
        <f t="shared" si="3905"/>
        <v>0</v>
      </c>
      <c r="EX896" s="184">
        <f t="shared" si="3905"/>
        <v>0</v>
      </c>
      <c r="EY896" s="28">
        <f t="shared" ref="EY896:FA896" si="3906">(SUM(EY860,EY866,EY872,EY878,EY884,EY890))-EY753</f>
        <v>0</v>
      </c>
      <c r="EZ896" s="28">
        <f t="shared" si="3906"/>
        <v>0</v>
      </c>
      <c r="FA896" s="184">
        <f t="shared" si="3906"/>
        <v>0</v>
      </c>
      <c r="FH896" s="35"/>
      <c r="FI896" s="35"/>
      <c r="FJ896" s="35"/>
      <c r="FK896" s="35"/>
      <c r="FL896" s="35"/>
      <c r="FM896" s="35"/>
      <c r="FN896" s="35"/>
      <c r="FO896" s="35"/>
      <c r="FP896" s="35"/>
      <c r="FQ896" s="35"/>
    </row>
    <row r="897" spans="1:173" s="321" customFormat="1" ht="13.5" hidden="1" outlineLevel="1" thickBot="1">
      <c r="A897" s="1437"/>
      <c r="B897" s="967"/>
      <c r="C897" s="967" t="s">
        <v>327</v>
      </c>
      <c r="D897" s="969"/>
      <c r="E897" s="18"/>
      <c r="F897" s="18"/>
      <c r="G897" s="19"/>
      <c r="H897" s="18"/>
      <c r="I897" s="18"/>
      <c r="J897" s="19"/>
      <c r="K897" s="18"/>
      <c r="L897" s="18"/>
      <c r="M897" s="19"/>
      <c r="N897" s="18"/>
      <c r="O897" s="18"/>
      <c r="P897" s="19"/>
      <c r="Q897" s="18"/>
      <c r="R897" s="18"/>
      <c r="S897" s="19"/>
      <c r="T897" s="18"/>
      <c r="U897" s="18"/>
      <c r="V897" s="19"/>
      <c r="W897" s="18"/>
      <c r="X897" s="18"/>
      <c r="Y897" s="19"/>
      <c r="Z897" s="18"/>
      <c r="AA897" s="18"/>
      <c r="AB897" s="19"/>
      <c r="AC897" s="18"/>
      <c r="AD897" s="18"/>
      <c r="AE897" s="19"/>
      <c r="AF897" s="18"/>
      <c r="AG897" s="18"/>
      <c r="AH897" s="19"/>
      <c r="AI897" s="18"/>
      <c r="AJ897" s="18"/>
      <c r="AK897" s="19"/>
      <c r="AL897" s="18"/>
      <c r="AM897" s="18"/>
      <c r="AN897" s="19"/>
      <c r="AO897" s="18"/>
      <c r="AP897" s="18"/>
      <c r="AQ897" s="19"/>
      <c r="AR897" s="18"/>
      <c r="AS897" s="18"/>
      <c r="AT897" s="19"/>
      <c r="AU897" s="18"/>
      <c r="AV897" s="18"/>
      <c r="AW897" s="19"/>
      <c r="AX897" s="227">
        <f t="shared" ref="AX897:CC897" si="3907">(SUM(AX861,AX867,AX873,AX879,AX885,AX891))-AX754</f>
        <v>0</v>
      </c>
      <c r="AY897" s="227">
        <f t="shared" si="3907"/>
        <v>0</v>
      </c>
      <c r="AZ897" s="227">
        <f t="shared" si="3907"/>
        <v>0</v>
      </c>
      <c r="BA897" s="226">
        <f t="shared" si="3907"/>
        <v>0</v>
      </c>
      <c r="BB897" s="226">
        <f t="shared" si="3907"/>
        <v>0</v>
      </c>
      <c r="BC897" s="59">
        <f t="shared" si="3907"/>
        <v>0</v>
      </c>
      <c r="BD897" s="226">
        <f t="shared" si="3907"/>
        <v>0</v>
      </c>
      <c r="BE897" s="226">
        <f t="shared" si="3907"/>
        <v>0</v>
      </c>
      <c r="BF897" s="59">
        <f t="shared" si="3907"/>
        <v>0</v>
      </c>
      <c r="BG897" s="226">
        <f t="shared" si="3907"/>
        <v>0</v>
      </c>
      <c r="BH897" s="226">
        <f t="shared" si="3907"/>
        <v>0</v>
      </c>
      <c r="BI897" s="59">
        <f t="shared" si="3907"/>
        <v>0</v>
      </c>
      <c r="BJ897" s="998">
        <f t="shared" si="3907"/>
        <v>0</v>
      </c>
      <c r="BK897" s="998">
        <f t="shared" si="3907"/>
        <v>0</v>
      </c>
      <c r="BL897" s="999">
        <f t="shared" si="3907"/>
        <v>0</v>
      </c>
      <c r="BM897" s="998">
        <f t="shared" si="3907"/>
        <v>0</v>
      </c>
      <c r="BN897" s="998">
        <f t="shared" si="3907"/>
        <v>0</v>
      </c>
      <c r="BO897" s="999">
        <f t="shared" si="3907"/>
        <v>0</v>
      </c>
      <c r="BP897" s="998">
        <f t="shared" si="3907"/>
        <v>0</v>
      </c>
      <c r="BQ897" s="998">
        <f t="shared" si="3907"/>
        <v>0</v>
      </c>
      <c r="BR897" s="999">
        <f t="shared" si="3907"/>
        <v>0</v>
      </c>
      <c r="BS897" s="226">
        <f t="shared" si="3907"/>
        <v>0</v>
      </c>
      <c r="BT897" s="226">
        <f t="shared" si="3907"/>
        <v>0</v>
      </c>
      <c r="BU897" s="227">
        <f t="shared" si="3907"/>
        <v>0</v>
      </c>
      <c r="BV897" s="226">
        <f t="shared" si="3907"/>
        <v>0</v>
      </c>
      <c r="BW897" s="226">
        <f t="shared" si="3907"/>
        <v>0</v>
      </c>
      <c r="BX897" s="227">
        <f t="shared" si="3907"/>
        <v>0</v>
      </c>
      <c r="BY897" s="226">
        <f t="shared" si="3907"/>
        <v>0</v>
      </c>
      <c r="BZ897" s="226">
        <f t="shared" si="3907"/>
        <v>0</v>
      </c>
      <c r="CA897" s="227">
        <f t="shared" si="3907"/>
        <v>0</v>
      </c>
      <c r="CB897" s="226">
        <f t="shared" si="3907"/>
        <v>0</v>
      </c>
      <c r="CC897" s="226">
        <f t="shared" si="3907"/>
        <v>0</v>
      </c>
      <c r="CD897" s="227">
        <f t="shared" ref="CD897:DI897" si="3908">(SUM(CD861,CD867,CD873,CD879,CD885,CD891))-CD754</f>
        <v>0</v>
      </c>
      <c r="CE897" s="226">
        <f t="shared" si="3908"/>
        <v>0</v>
      </c>
      <c r="CF897" s="226">
        <f t="shared" si="3908"/>
        <v>0</v>
      </c>
      <c r="CG897" s="227">
        <f t="shared" si="3908"/>
        <v>0</v>
      </c>
      <c r="CH897" s="226">
        <f t="shared" si="3908"/>
        <v>0</v>
      </c>
      <c r="CI897" s="226">
        <f t="shared" si="3908"/>
        <v>0</v>
      </c>
      <c r="CJ897" s="227">
        <f t="shared" si="3908"/>
        <v>0</v>
      </c>
      <c r="CK897" s="226">
        <f t="shared" si="3908"/>
        <v>0</v>
      </c>
      <c r="CL897" s="226">
        <f t="shared" si="3908"/>
        <v>0</v>
      </c>
      <c r="CM897" s="227">
        <f t="shared" si="3908"/>
        <v>0</v>
      </c>
      <c r="CN897" s="226">
        <f t="shared" si="3908"/>
        <v>0</v>
      </c>
      <c r="CO897" s="226">
        <f t="shared" si="3908"/>
        <v>0</v>
      </c>
      <c r="CP897" s="227">
        <f t="shared" si="3908"/>
        <v>0</v>
      </c>
      <c r="CQ897" s="226">
        <f t="shared" si="3908"/>
        <v>0</v>
      </c>
      <c r="CR897" s="226">
        <f t="shared" si="3908"/>
        <v>0</v>
      </c>
      <c r="CS897" s="227">
        <f t="shared" si="3908"/>
        <v>0</v>
      </c>
      <c r="CT897" s="226">
        <f t="shared" si="3908"/>
        <v>0</v>
      </c>
      <c r="CU897" s="226">
        <f t="shared" si="3908"/>
        <v>0</v>
      </c>
      <c r="CV897" s="227">
        <f t="shared" si="3908"/>
        <v>0</v>
      </c>
      <c r="CW897" s="226">
        <f t="shared" si="3908"/>
        <v>0</v>
      </c>
      <c r="CX897" s="226">
        <f t="shared" si="3908"/>
        <v>0</v>
      </c>
      <c r="CY897" s="227">
        <f t="shared" si="3908"/>
        <v>0</v>
      </c>
      <c r="CZ897" s="226">
        <f t="shared" si="3908"/>
        <v>0</v>
      </c>
      <c r="DA897" s="226">
        <f t="shared" si="3908"/>
        <v>0</v>
      </c>
      <c r="DB897" s="227">
        <f t="shared" si="3908"/>
        <v>0</v>
      </c>
      <c r="DC897" s="226">
        <f t="shared" si="3908"/>
        <v>0</v>
      </c>
      <c r="DD897" s="226">
        <f t="shared" si="3908"/>
        <v>0</v>
      </c>
      <c r="DE897" s="227">
        <f t="shared" si="3908"/>
        <v>0</v>
      </c>
      <c r="DF897" s="226">
        <f t="shared" si="3908"/>
        <v>0</v>
      </c>
      <c r="DG897" s="226">
        <f t="shared" si="3908"/>
        <v>0</v>
      </c>
      <c r="DH897" s="227">
        <f t="shared" si="3908"/>
        <v>0</v>
      </c>
      <c r="DI897" s="226">
        <f t="shared" si="3908"/>
        <v>0</v>
      </c>
      <c r="DJ897" s="226">
        <f t="shared" ref="DJ897:ER897" si="3909">(SUM(DJ861,DJ867,DJ873,DJ879,DJ885,DJ891))-DJ754</f>
        <v>0</v>
      </c>
      <c r="DK897" s="227">
        <f t="shared" si="3909"/>
        <v>0</v>
      </c>
      <c r="DL897" s="226">
        <f t="shared" si="3909"/>
        <v>0</v>
      </c>
      <c r="DM897" s="226">
        <f t="shared" si="3909"/>
        <v>0</v>
      </c>
      <c r="DN897" s="227">
        <f t="shared" si="3909"/>
        <v>0</v>
      </c>
      <c r="DO897" s="226">
        <f t="shared" si="3909"/>
        <v>0</v>
      </c>
      <c r="DP897" s="226">
        <f t="shared" si="3909"/>
        <v>0</v>
      </c>
      <c r="DQ897" s="227">
        <f t="shared" si="3909"/>
        <v>0</v>
      </c>
      <c r="DR897" s="226">
        <f t="shared" si="3909"/>
        <v>0</v>
      </c>
      <c r="DS897" s="226">
        <f t="shared" si="3909"/>
        <v>0</v>
      </c>
      <c r="DT897" s="227">
        <f t="shared" si="3909"/>
        <v>0</v>
      </c>
      <c r="DU897" s="226">
        <f t="shared" si="3909"/>
        <v>0</v>
      </c>
      <c r="DV897" s="226">
        <f t="shared" si="3909"/>
        <v>0</v>
      </c>
      <c r="DW897" s="227">
        <f t="shared" si="3909"/>
        <v>0</v>
      </c>
      <c r="DX897" s="226">
        <f t="shared" si="3909"/>
        <v>0</v>
      </c>
      <c r="DY897" s="226">
        <f t="shared" si="3909"/>
        <v>0</v>
      </c>
      <c r="DZ897" s="227">
        <f t="shared" si="3909"/>
        <v>0</v>
      </c>
      <c r="EA897" s="226">
        <f t="shared" si="3909"/>
        <v>0</v>
      </c>
      <c r="EB897" s="226">
        <f t="shared" si="3909"/>
        <v>0</v>
      </c>
      <c r="EC897" s="227">
        <f t="shared" si="3909"/>
        <v>0</v>
      </c>
      <c r="ED897" s="226">
        <f t="shared" si="3909"/>
        <v>0</v>
      </c>
      <c r="EE897" s="226">
        <f t="shared" si="3909"/>
        <v>0</v>
      </c>
      <c r="EF897" s="227">
        <f t="shared" si="3909"/>
        <v>0</v>
      </c>
      <c r="EG897" s="226">
        <f t="shared" si="3909"/>
        <v>0</v>
      </c>
      <c r="EH897" s="226">
        <f t="shared" si="3909"/>
        <v>0</v>
      </c>
      <c r="EI897" s="227">
        <f t="shared" si="3909"/>
        <v>0</v>
      </c>
      <c r="EJ897" s="226">
        <f t="shared" si="3909"/>
        <v>0</v>
      </c>
      <c r="EK897" s="226">
        <f t="shared" si="3909"/>
        <v>0</v>
      </c>
      <c r="EL897" s="227">
        <f t="shared" si="3909"/>
        <v>0</v>
      </c>
      <c r="EM897" s="226">
        <f t="shared" si="3909"/>
        <v>0</v>
      </c>
      <c r="EN897" s="226">
        <f t="shared" si="3909"/>
        <v>0</v>
      </c>
      <c r="EO897" s="227">
        <f t="shared" si="3909"/>
        <v>0</v>
      </c>
      <c r="EP897" s="226">
        <f t="shared" si="3909"/>
        <v>0</v>
      </c>
      <c r="EQ897" s="226">
        <f t="shared" si="3909"/>
        <v>0</v>
      </c>
      <c r="ER897" s="227">
        <f t="shared" si="3909"/>
        <v>0</v>
      </c>
      <c r="ES897" s="226">
        <f t="shared" ref="ES897:EX897" si="3910">(SUM(ES861,ES867,ES873,ES879,ES885,ES891))-ES754</f>
        <v>0</v>
      </c>
      <c r="ET897" s="226">
        <f t="shared" si="3910"/>
        <v>0</v>
      </c>
      <c r="EU897" s="227">
        <f t="shared" si="3910"/>
        <v>0</v>
      </c>
      <c r="EV897" s="226">
        <f t="shared" si="3910"/>
        <v>0</v>
      </c>
      <c r="EW897" s="226">
        <f t="shared" si="3910"/>
        <v>0</v>
      </c>
      <c r="EX897" s="227">
        <f t="shared" si="3910"/>
        <v>0</v>
      </c>
      <c r="EY897" s="226">
        <f t="shared" ref="EY897:FA897" si="3911">(SUM(EY861,EY867,EY873,EY879,EY885,EY891))-EY754</f>
        <v>0</v>
      </c>
      <c r="EZ897" s="226">
        <f t="shared" si="3911"/>
        <v>0</v>
      </c>
      <c r="FA897" s="227">
        <f t="shared" si="3911"/>
        <v>0</v>
      </c>
      <c r="FH897" s="35"/>
      <c r="FI897" s="35"/>
      <c r="FJ897" s="35"/>
      <c r="FK897" s="35"/>
      <c r="FL897" s="35"/>
      <c r="FM897" s="35"/>
      <c r="FN897" s="35"/>
      <c r="FO897" s="35"/>
      <c r="FP897" s="35"/>
      <c r="FQ897" s="35"/>
    </row>
    <row r="898" spans="1:173" s="321" customFormat="1" hidden="1" outlineLevel="1">
      <c r="A898" s="1168"/>
      <c r="B898" s="68" t="s">
        <v>657</v>
      </c>
      <c r="C898" s="186"/>
      <c r="D898" s="910"/>
      <c r="E898" s="1"/>
      <c r="F898" s="1"/>
      <c r="G898" s="5"/>
      <c r="H898" s="1"/>
      <c r="I898" s="1"/>
      <c r="J898" s="5"/>
      <c r="K898" s="1"/>
      <c r="L898" s="1"/>
      <c r="M898" s="5"/>
      <c r="N898" s="1"/>
      <c r="O898" s="1"/>
      <c r="P898" s="5"/>
      <c r="Q898" s="1"/>
      <c r="R898" s="1"/>
      <c r="S898" s="5"/>
      <c r="T898" s="1"/>
      <c r="U898" s="1"/>
      <c r="V898" s="5"/>
      <c r="W898" s="1"/>
      <c r="X898" s="1"/>
      <c r="Y898" s="5"/>
      <c r="Z898" s="1"/>
      <c r="AA898" s="1"/>
      <c r="AB898" s="5"/>
      <c r="AC898" s="1"/>
      <c r="AD898" s="1"/>
      <c r="AE898" s="5"/>
      <c r="AF898" s="1"/>
      <c r="AG898" s="1"/>
      <c r="AH898" s="5"/>
      <c r="AI898" s="1"/>
      <c r="AJ898" s="1"/>
      <c r="AK898" s="5"/>
      <c r="AL898" s="1"/>
      <c r="AM898" s="1"/>
      <c r="AN898" s="5"/>
      <c r="AO898" s="1"/>
      <c r="AP898" s="1"/>
      <c r="AQ898" s="5"/>
      <c r="AR898" s="1"/>
      <c r="AS898" s="1"/>
      <c r="AT898" s="5"/>
      <c r="AU898" s="1"/>
      <c r="AV898" s="1"/>
      <c r="AW898" s="5"/>
      <c r="AX898" s="3"/>
      <c r="AY898" s="3"/>
      <c r="AZ898" s="2"/>
      <c r="BA898" s="3"/>
      <c r="BB898" s="3"/>
      <c r="BC898" s="973"/>
      <c r="BD898" s="3"/>
      <c r="BE898" s="3"/>
      <c r="BF898" s="973"/>
      <c r="BG898" s="3"/>
      <c r="BH898" s="3"/>
      <c r="BI898" s="978"/>
      <c r="BJ898" s="115"/>
      <c r="BK898" s="115"/>
      <c r="BL898" s="116"/>
      <c r="BM898" s="115"/>
      <c r="BN898" s="115"/>
      <c r="BO898" s="116"/>
      <c r="BP898" s="115"/>
      <c r="BQ898" s="115"/>
      <c r="BR898" s="116"/>
      <c r="BS898" s="8"/>
      <c r="BT898" s="8"/>
      <c r="BU898" s="187"/>
      <c r="BV898" s="8"/>
      <c r="BW898" s="8"/>
      <c r="BX898" s="187"/>
      <c r="BY898" s="8"/>
      <c r="BZ898" s="8"/>
      <c r="CA898" s="187"/>
      <c r="CB898" s="8"/>
      <c r="CC898" s="8"/>
      <c r="CD898" s="187"/>
      <c r="CE898" s="8"/>
      <c r="CF898" s="8"/>
      <c r="CG898" s="187"/>
      <c r="CH898" s="8"/>
      <c r="CI898" s="8"/>
      <c r="CJ898" s="187"/>
      <c r="CK898" s="8"/>
      <c r="CL898" s="8"/>
      <c r="CM898" s="187"/>
      <c r="CN898" s="8"/>
      <c r="CO898" s="8"/>
      <c r="CP898" s="187"/>
      <c r="CQ898" s="8"/>
      <c r="CR898" s="8"/>
      <c r="CS898" s="187"/>
      <c r="CT898" s="8"/>
      <c r="CU898" s="8"/>
      <c r="CV898" s="187"/>
      <c r="CW898" s="8"/>
      <c r="CX898" s="8"/>
      <c r="CY898" s="187"/>
      <c r="CZ898" s="8"/>
      <c r="DA898" s="8"/>
      <c r="DB898" s="187"/>
      <c r="DC898" s="8"/>
      <c r="DD898" s="8"/>
      <c r="DE898" s="187"/>
      <c r="DF898" s="8"/>
      <c r="DG898" s="8"/>
      <c r="DH898" s="187"/>
      <c r="DI898" s="8"/>
      <c r="DJ898" s="8"/>
      <c r="DK898" s="187"/>
      <c r="DL898" s="8"/>
      <c r="DM898" s="8"/>
      <c r="DN898" s="187"/>
      <c r="DO898" s="8"/>
      <c r="DP898" s="8"/>
      <c r="DQ898" s="187"/>
      <c r="DR898" s="8"/>
      <c r="DS898" s="8"/>
      <c r="DT898" s="187"/>
      <c r="DU898" s="8"/>
      <c r="DV898" s="8"/>
      <c r="DW898" s="187"/>
      <c r="DX898" s="8"/>
      <c r="DY898" s="8"/>
      <c r="DZ898" s="187"/>
      <c r="EA898" s="8"/>
      <c r="EB898" s="8"/>
      <c r="EC898" s="187"/>
      <c r="ED898" s="8"/>
      <c r="EE898" s="8"/>
      <c r="EF898" s="187"/>
      <c r="EG898" s="8"/>
      <c r="EH898" s="8"/>
      <c r="EI898" s="187"/>
      <c r="EJ898" s="8"/>
      <c r="EK898" s="8"/>
      <c r="EL898" s="187"/>
      <c r="EM898" s="8"/>
      <c r="EN898" s="8"/>
      <c r="EO898" s="187"/>
      <c r="EP898" s="8"/>
      <c r="EQ898" s="8"/>
      <c r="ER898" s="187"/>
      <c r="ES898" s="8"/>
      <c r="ET898" s="8"/>
      <c r="EU898" s="187"/>
      <c r="EV898" s="8"/>
      <c r="EW898" s="8"/>
      <c r="EX898" s="187"/>
      <c r="EY898" s="8"/>
      <c r="EZ898" s="8"/>
      <c r="FA898" s="187"/>
      <c r="FH898" s="35"/>
      <c r="FI898" s="35"/>
      <c r="FJ898" s="35"/>
      <c r="FK898" s="35"/>
      <c r="FL898" s="35"/>
      <c r="FM898" s="35"/>
      <c r="FN898" s="35"/>
      <c r="FO898" s="35"/>
      <c r="FP898" s="35"/>
      <c r="FQ898" s="35"/>
    </row>
    <row r="899" spans="1:173" s="321" customFormat="1" hidden="1" outlineLevel="1">
      <c r="A899" s="1168"/>
      <c r="B899" s="186"/>
      <c r="C899" s="331" t="s">
        <v>930</v>
      </c>
      <c r="D899" s="910"/>
      <c r="E899" s="1"/>
      <c r="F899" s="1"/>
      <c r="G899" s="5"/>
      <c r="H899" s="1"/>
      <c r="I899" s="1"/>
      <c r="J899" s="5"/>
      <c r="K899" s="1"/>
      <c r="L899" s="1"/>
      <c r="M899" s="5"/>
      <c r="N899" s="1"/>
      <c r="O899" s="1"/>
      <c r="P899" s="5"/>
      <c r="Q899" s="1"/>
      <c r="R899" s="1"/>
      <c r="S899" s="5"/>
      <c r="T899" s="1"/>
      <c r="U899" s="1"/>
      <c r="V899" s="5"/>
      <c r="W899" s="1"/>
      <c r="X899" s="1"/>
      <c r="Y899" s="5"/>
      <c r="Z899" s="1"/>
      <c r="AA899" s="1"/>
      <c r="AB899" s="5"/>
      <c r="AC899" s="1"/>
      <c r="AD899" s="1"/>
      <c r="AE899" s="5"/>
      <c r="AF899" s="1"/>
      <c r="AG899" s="1"/>
      <c r="AH899" s="5"/>
      <c r="AI899" s="1"/>
      <c r="AJ899" s="1"/>
      <c r="AK899" s="5"/>
      <c r="AL899" s="1"/>
      <c r="AM899" s="1"/>
      <c r="AN899" s="5"/>
      <c r="AO899" s="1"/>
      <c r="AP899" s="1"/>
      <c r="AQ899" s="5"/>
      <c r="AR899" s="1"/>
      <c r="AS899" s="1"/>
      <c r="AT899" s="5"/>
      <c r="AU899" s="1"/>
      <c r="AV899" s="1"/>
      <c r="AW899" s="5"/>
      <c r="AX899" s="28"/>
      <c r="AY899" s="3"/>
      <c r="AZ899" s="2"/>
      <c r="BA899" s="3"/>
      <c r="BB899" s="3"/>
      <c r="BC899" s="973"/>
      <c r="BD899" s="3"/>
      <c r="BE899" s="3"/>
      <c r="BF899" s="973"/>
      <c r="BG899" s="3"/>
      <c r="BH899" s="3"/>
      <c r="BI899" s="978"/>
      <c r="BJ899" s="115"/>
      <c r="BK899" s="115"/>
      <c r="BL899" s="116"/>
      <c r="BM899" s="115"/>
      <c r="BN899" s="115"/>
      <c r="BO899" s="116"/>
      <c r="BP899" s="115"/>
      <c r="BQ899" s="115"/>
      <c r="BR899" s="116"/>
      <c r="BS899" s="8"/>
      <c r="BT899" s="8"/>
      <c r="BU899" s="187"/>
      <c r="BV899" s="8"/>
      <c r="BW899" s="8"/>
      <c r="BX899" s="187"/>
      <c r="BY899" s="8"/>
      <c r="BZ899" s="8"/>
      <c r="CA899" s="187"/>
      <c r="CB899" s="8"/>
      <c r="CC899" s="8"/>
      <c r="CD899" s="187"/>
      <c r="CE899" s="8"/>
      <c r="CF899" s="8"/>
      <c r="CG899" s="187"/>
      <c r="CH899" s="8"/>
      <c r="CI899" s="8"/>
      <c r="CJ899" s="187"/>
      <c r="CK899" s="8"/>
      <c r="CL899" s="8"/>
      <c r="CM899" s="187"/>
      <c r="CN899" s="8"/>
      <c r="CO899" s="8"/>
      <c r="CP899" s="187"/>
      <c r="CQ899" s="8"/>
      <c r="CR899" s="8"/>
      <c r="CS899" s="187"/>
      <c r="CT899" s="8"/>
      <c r="CU899" s="8"/>
      <c r="CV899" s="187"/>
      <c r="CW899" s="8"/>
      <c r="CX899" s="8"/>
      <c r="CY899" s="187"/>
      <c r="CZ899" s="8"/>
      <c r="DA899" s="8"/>
      <c r="DB899" s="187"/>
      <c r="DC899" s="8"/>
      <c r="DD899" s="8"/>
      <c r="DE899" s="187"/>
      <c r="DF899" s="8"/>
      <c r="DG899" s="8"/>
      <c r="DH899" s="187"/>
      <c r="DI899" s="8"/>
      <c r="DJ899" s="8"/>
      <c r="DK899" s="187"/>
      <c r="DL899" s="8"/>
      <c r="DM899" s="8"/>
      <c r="DN899" s="187"/>
      <c r="DO899" s="8"/>
      <c r="DP899" s="8"/>
      <c r="DQ899" s="187"/>
      <c r="DR899" s="8"/>
      <c r="DS899" s="8"/>
      <c r="DT899" s="187"/>
      <c r="DU899" s="8"/>
      <c r="DV899" s="8"/>
      <c r="DW899" s="187"/>
      <c r="DX899" s="8"/>
      <c r="DY899" s="8"/>
      <c r="DZ899" s="187"/>
      <c r="EA899" s="8"/>
      <c r="EB899" s="8"/>
      <c r="EC899" s="187"/>
      <c r="ED899" s="8"/>
      <c r="EE899" s="8"/>
      <c r="EF899" s="187"/>
      <c r="EG899" s="8"/>
      <c r="EH899" s="8"/>
      <c r="EI899" s="187"/>
      <c r="EJ899" s="8"/>
      <c r="EK899" s="8"/>
      <c r="EL899" s="187"/>
      <c r="EM899" s="8"/>
      <c r="EN899" s="8"/>
      <c r="EO899" s="187"/>
      <c r="EP899" s="8"/>
      <c r="EQ899" s="8"/>
      <c r="ER899" s="187"/>
      <c r="ES899" s="8"/>
      <c r="ET899" s="8"/>
      <c r="EU899" s="187"/>
      <c r="EV899" s="8"/>
      <c r="EW899" s="8"/>
      <c r="EX899" s="187"/>
      <c r="EY899" s="8"/>
      <c r="EZ899" s="8"/>
      <c r="FA899" s="187"/>
      <c r="FH899" s="35"/>
      <c r="FI899" s="35"/>
      <c r="FJ899" s="35"/>
      <c r="FK899" s="35"/>
      <c r="FL899" s="35"/>
      <c r="FM899" s="35"/>
      <c r="FN899" s="35"/>
      <c r="FO899" s="35"/>
      <c r="FP899" s="35"/>
      <c r="FQ899" s="35"/>
    </row>
    <row r="900" spans="1:173" s="321" customFormat="1" hidden="1" outlineLevel="1">
      <c r="A900" s="1168"/>
      <c r="B900" s="186"/>
      <c r="C900" s="186" t="s">
        <v>316</v>
      </c>
      <c r="D900" s="910"/>
      <c r="E900" s="1"/>
      <c r="F900" s="1"/>
      <c r="G900" s="5"/>
      <c r="H900" s="1"/>
      <c r="I900" s="1"/>
      <c r="J900" s="5"/>
      <c r="K900" s="1"/>
      <c r="L900" s="1"/>
      <c r="M900" s="5"/>
      <c r="N900" s="1"/>
      <c r="O900" s="1"/>
      <c r="P900" s="5"/>
      <c r="Q900" s="1"/>
      <c r="R900" s="1"/>
      <c r="S900" s="5"/>
      <c r="T900" s="1"/>
      <c r="U900" s="1"/>
      <c r="V900" s="5"/>
      <c r="W900" s="1"/>
      <c r="X900" s="1"/>
      <c r="Y900" s="5"/>
      <c r="Z900" s="1"/>
      <c r="AA900" s="1"/>
      <c r="AB900" s="5"/>
      <c r="AC900" s="1"/>
      <c r="AD900" s="1"/>
      <c r="AE900" s="5"/>
      <c r="AF900" s="1"/>
      <c r="AG900" s="1"/>
      <c r="AH900" s="5"/>
      <c r="AI900" s="1"/>
      <c r="AJ900" s="1"/>
      <c r="AK900" s="5"/>
      <c r="AL900" s="1"/>
      <c r="AM900" s="1"/>
      <c r="AN900" s="5"/>
      <c r="AO900" s="1"/>
      <c r="AP900" s="1"/>
      <c r="AQ900" s="5"/>
      <c r="AR900" s="1"/>
      <c r="AS900" s="1"/>
      <c r="AT900" s="5"/>
      <c r="AU900" s="1"/>
      <c r="AV900" s="1"/>
      <c r="AW900" s="5"/>
      <c r="AX900" s="185">
        <f t="shared" ref="AX900:CC900" si="3912">AX858/(AX697*1000000)</f>
        <v>6.1902988453314605E-3</v>
      </c>
      <c r="AY900" s="185">
        <f t="shared" si="3912"/>
        <v>6.8396179603360929E-3</v>
      </c>
      <c r="AZ900" s="185">
        <f t="shared" si="3912"/>
        <v>6.8638271229580572E-3</v>
      </c>
      <c r="BA900" s="4">
        <f t="shared" si="3912"/>
        <v>7.4109999140438369E-3</v>
      </c>
      <c r="BB900" s="4">
        <f t="shared" si="3912"/>
        <v>8.1474642259905736E-3</v>
      </c>
      <c r="BC900" s="971">
        <f t="shared" si="3912"/>
        <v>8.1763025744988511E-3</v>
      </c>
      <c r="BD900" s="4">
        <f t="shared" si="3912"/>
        <v>8.7674049335791805E-3</v>
      </c>
      <c r="BE900" s="4">
        <f t="shared" si="3912"/>
        <v>9.5325842897979515E-3</v>
      </c>
      <c r="BF900" s="971">
        <f t="shared" si="3912"/>
        <v>9.5663253385842445E-3</v>
      </c>
      <c r="BG900" s="4">
        <f t="shared" si="3912"/>
        <v>1.0241200223096674E-2</v>
      </c>
      <c r="BH900" s="4">
        <f t="shared" si="3912"/>
        <v>1.1005888381633964E-2</v>
      </c>
      <c r="BI900" s="971">
        <f t="shared" si="3912"/>
        <v>1.1044844262382759E-2</v>
      </c>
      <c r="BJ900" s="121">
        <f t="shared" si="3912"/>
        <v>1.1633531778839395E-2</v>
      </c>
      <c r="BK900" s="121">
        <f t="shared" si="3912"/>
        <v>1.2455583049211245E-2</v>
      </c>
      <c r="BL900" s="114">
        <f t="shared" si="3912"/>
        <v>1.2499670195209516E-2</v>
      </c>
      <c r="BM900" s="121">
        <f t="shared" si="3912"/>
        <v>1.3292224430418897E-2</v>
      </c>
      <c r="BN900" s="121">
        <f t="shared" si="3912"/>
        <v>1.4181784768112058E-2</v>
      </c>
      <c r="BO900" s="114">
        <f t="shared" si="3912"/>
        <v>1.4232056083381702E-2</v>
      </c>
      <c r="BP900" s="121">
        <f t="shared" si="3912"/>
        <v>1.5240487195218972E-2</v>
      </c>
      <c r="BQ900" s="121">
        <f t="shared" si="3912"/>
        <v>1.6189064761773429E-2</v>
      </c>
      <c r="BR900" s="114">
        <f t="shared" si="3912"/>
        <v>1.6246451444188018E-2</v>
      </c>
      <c r="BS900" s="4">
        <f t="shared" si="3912"/>
        <v>1.7415671651067527E-2</v>
      </c>
      <c r="BT900" s="4">
        <f t="shared" si="3912"/>
        <v>1.8565667809681639E-2</v>
      </c>
      <c r="BU900" s="185">
        <f t="shared" si="3912"/>
        <v>1.8631479028432509E-2</v>
      </c>
      <c r="BV900" s="4">
        <f t="shared" si="3912"/>
        <v>1.9820472031603892E-2</v>
      </c>
      <c r="BW900" s="4">
        <f t="shared" si="3912"/>
        <v>2.1031328602457579E-2</v>
      </c>
      <c r="BX900" s="185">
        <f t="shared" si="3912"/>
        <v>2.1105880047709438E-2</v>
      </c>
      <c r="BY900" s="4">
        <f t="shared" si="3912"/>
        <v>2.2249574340320134E-2</v>
      </c>
      <c r="BZ900" s="4">
        <f t="shared" si="3912"/>
        <v>2.3429422304869742E-2</v>
      </c>
      <c r="CA900" s="185">
        <f t="shared" si="3912"/>
        <v>2.3512474466112671E-2</v>
      </c>
      <c r="CB900" s="4">
        <f t="shared" si="3912"/>
        <v>2.4690153247905314E-2</v>
      </c>
      <c r="CC900" s="4">
        <f t="shared" si="3912"/>
        <v>2.6069833682390464E-2</v>
      </c>
      <c r="CD900" s="185">
        <f t="shared" ref="CD900:DI900" si="3913">CD858/(CD697*1000000)</f>
        <v>2.6162245522613953E-2</v>
      </c>
      <c r="CE900" s="4">
        <f t="shared" si="3913"/>
        <v>2.7445587444357468E-2</v>
      </c>
      <c r="CF900" s="4">
        <f t="shared" si="3913"/>
        <v>2.8951212130987097E-2</v>
      </c>
      <c r="CG900" s="185">
        <f t="shared" si="3913"/>
        <v>2.9053837825585693E-2</v>
      </c>
      <c r="CH900" s="4">
        <f t="shared" si="3913"/>
        <v>3.0079392625302011E-2</v>
      </c>
      <c r="CI900" s="4">
        <f t="shared" si="3913"/>
        <v>3.1442230921999804E-2</v>
      </c>
      <c r="CJ900" s="185">
        <f t="shared" si="3913"/>
        <v>3.1553686731639149E-2</v>
      </c>
      <c r="CK900" s="4">
        <f t="shared" si="3913"/>
        <v>3.2614188379477008E-2</v>
      </c>
      <c r="CL900" s="4">
        <f t="shared" si="3913"/>
        <v>3.3755542265222732E-2</v>
      </c>
      <c r="CM900" s="185">
        <f t="shared" si="3913"/>
        <v>3.3875198255992542E-2</v>
      </c>
      <c r="CN900" s="4">
        <f t="shared" si="3913"/>
        <v>3.4839430824670059E-2</v>
      </c>
      <c r="CO900" s="4">
        <f t="shared" si="3913"/>
        <v>3.6084937465023906E-2</v>
      </c>
      <c r="CP900" s="185">
        <f t="shared" si="3913"/>
        <v>3.6212850650666685E-2</v>
      </c>
      <c r="CQ900" s="4">
        <f t="shared" si="3913"/>
        <v>3.7290992658468969E-2</v>
      </c>
      <c r="CR900" s="4">
        <f t="shared" si="3913"/>
        <v>3.8651945377050377E-2</v>
      </c>
      <c r="CS900" s="185">
        <f t="shared" si="3913"/>
        <v>3.8788958042494541E-2</v>
      </c>
      <c r="CT900" s="4">
        <f t="shared" si="3913"/>
        <v>3.9910048970109982E-2</v>
      </c>
      <c r="CU900" s="4">
        <f t="shared" si="3913"/>
        <v>4.1235545901655152E-2</v>
      </c>
      <c r="CV900" s="185">
        <f t="shared" si="3913"/>
        <v>4.1381716864071605E-2</v>
      </c>
      <c r="CW900" s="4">
        <f t="shared" si="3913"/>
        <v>4.2666408948342907E-2</v>
      </c>
      <c r="CX900" s="4">
        <f t="shared" si="3913"/>
        <v>4.4090927448093072E-2</v>
      </c>
      <c r="CY900" s="185">
        <f t="shared" si="3913"/>
        <v>4.4247220111570652E-2</v>
      </c>
      <c r="CZ900" s="4">
        <f t="shared" si="3913"/>
        <v>4.5600118960646079E-2</v>
      </c>
      <c r="DA900" s="4">
        <f t="shared" si="3913"/>
        <v>4.7072140596010156E-2</v>
      </c>
      <c r="DB900" s="185">
        <f t="shared" si="3913"/>
        <v>4.7239001005966438E-2</v>
      </c>
      <c r="DC900" s="4">
        <f t="shared" si="3913"/>
        <v>4.8467396448025363E-2</v>
      </c>
      <c r="DD900" s="4">
        <f t="shared" si="3913"/>
        <v>4.9696565601586258E-2</v>
      </c>
      <c r="DE900" s="185">
        <f t="shared" si="3913"/>
        <v>4.9872729022342251E-2</v>
      </c>
      <c r="DF900" s="4">
        <f t="shared" si="3913"/>
        <v>5.1152891336447487E-2</v>
      </c>
      <c r="DG900" s="4">
        <f t="shared" si="3913"/>
        <v>5.2003608185689325E-2</v>
      </c>
      <c r="DH900" s="185">
        <f t="shared" si="3913"/>
        <v>5.2187949566200202E-2</v>
      </c>
      <c r="DI900" s="4">
        <f t="shared" si="3913"/>
        <v>5.3227949907029413E-2</v>
      </c>
      <c r="DJ900" s="4">
        <f t="shared" ref="DJ900:ER900" si="3914">DJ858/(DJ697*1000000)</f>
        <v>5.4461228085215342E-2</v>
      </c>
      <c r="DK900" s="185">
        <f t="shared" si="3914"/>
        <v>5.4654281189024941E-2</v>
      </c>
      <c r="DL900" s="4">
        <f t="shared" si="3914"/>
        <v>5.5626067142401814E-2</v>
      </c>
      <c r="DM900" s="4">
        <f t="shared" si="3914"/>
        <v>5.6846272688634257E-2</v>
      </c>
      <c r="DN900" s="185">
        <f t="shared" si="3914"/>
        <v>5.7047780252242185E-2</v>
      </c>
      <c r="DO900" s="4">
        <f t="shared" si="3914"/>
        <v>5.8174781269612202E-2</v>
      </c>
      <c r="DP900" s="4">
        <f t="shared" si="3914"/>
        <v>5.9620952905460045E-2</v>
      </c>
      <c r="DQ900" s="185">
        <f t="shared" si="3914"/>
        <v>5.9832296101622932E-2</v>
      </c>
      <c r="DR900" s="4">
        <f t="shared" si="3914"/>
        <v>6.114432971201441E-2</v>
      </c>
      <c r="DS900" s="4">
        <f t="shared" si="3914"/>
        <v>6.2517282772970167E-2</v>
      </c>
      <c r="DT900" s="185">
        <f t="shared" si="3914"/>
        <v>6.2738892823007611E-2</v>
      </c>
      <c r="DU900" s="4">
        <f t="shared" si="3914"/>
        <v>6.3940750404717472E-2</v>
      </c>
      <c r="DV900" s="4">
        <f t="shared" si="3914"/>
        <v>6.5457184690048145E-2</v>
      </c>
      <c r="DW900" s="185">
        <f t="shared" si="3914"/>
        <v>6.5689216047315369E-2</v>
      </c>
      <c r="DX900" s="4">
        <f t="shared" si="3914"/>
        <v>6.6925275938212944E-2</v>
      </c>
      <c r="DY900" s="4">
        <f t="shared" si="3914"/>
        <v>6.8508723951934844E-2</v>
      </c>
      <c r="DZ900" s="185">
        <f t="shared" si="3914"/>
        <v>6.8751572346324022E-2</v>
      </c>
      <c r="EA900" s="4">
        <f t="shared" si="3914"/>
        <v>7.0190218912486724E-2</v>
      </c>
      <c r="EB900" s="4">
        <f t="shared" si="3914"/>
        <v>7.1795526643688892E-2</v>
      </c>
      <c r="EC900" s="185">
        <f t="shared" si="3914"/>
        <v>7.2050026032437917E-2</v>
      </c>
      <c r="ED900" s="4">
        <f t="shared" si="3914"/>
        <v>7.3534284683759873E-2</v>
      </c>
      <c r="EE900" s="4">
        <f t="shared" si="3914"/>
        <v>7.5194202857526121E-2</v>
      </c>
      <c r="EF900" s="185">
        <f t="shared" si="3914"/>
        <v>7.5460749807723798E-2</v>
      </c>
      <c r="EG900" s="4">
        <f t="shared" si="3914"/>
        <v>7.6992223093074325E-2</v>
      </c>
      <c r="EH900" s="4">
        <f t="shared" si="3914"/>
        <v>7.8708658393889616E-2</v>
      </c>
      <c r="EI900" s="185">
        <f t="shared" si="3914"/>
        <v>7.8987663317830276E-2</v>
      </c>
      <c r="EJ900" s="4">
        <f t="shared" si="3914"/>
        <v>8.0568009584512684E-2</v>
      </c>
      <c r="EK900" s="4">
        <f t="shared" si="3914"/>
        <v>8.2342935119932029E-2</v>
      </c>
      <c r="EL900" s="185">
        <f t="shared" si="3914"/>
        <v>8.2634822757442217E-2</v>
      </c>
      <c r="EM900" s="4">
        <f t="shared" si="3914"/>
        <v>8.42657580954915E-2</v>
      </c>
      <c r="EN900" s="4">
        <f t="shared" si="3914"/>
        <v>8.6101215710550308E-2</v>
      </c>
      <c r="EO900" s="185">
        <f t="shared" si="3914"/>
        <v>8.6406425628121272E-2</v>
      </c>
      <c r="EP900" s="4">
        <f t="shared" si="3914"/>
        <v>8.8089725882346773E-2</v>
      </c>
      <c r="EQ900" s="4">
        <f t="shared" si="3914"/>
        <v>8.9987828554611821E-2</v>
      </c>
      <c r="ER900" s="185">
        <f t="shared" si="3914"/>
        <v>9.0306815661923695E-2</v>
      </c>
      <c r="ES900" s="4">
        <f t="shared" ref="ES900:EX900" si="3915">ES858/(ES697*1000000)</f>
        <v>9.2044318514056922E-2</v>
      </c>
      <c r="ET900" s="4">
        <f t="shared" si="3915"/>
        <v>9.4007252832127963E-2</v>
      </c>
      <c r="EU900" s="185">
        <f t="shared" si="3915"/>
        <v>9.4340487916571125E-2</v>
      </c>
      <c r="EV900" s="4">
        <f t="shared" si="3915"/>
        <v>9.6134095039961356E-2</v>
      </c>
      <c r="EW900" s="4">
        <f t="shared" si="3915"/>
        <v>9.8164123768331016E-2</v>
      </c>
      <c r="EX900" s="185">
        <f t="shared" si="3915"/>
        <v>9.8512094048152365E-2</v>
      </c>
      <c r="EY900" s="4">
        <f t="shared" ref="EY900:FA900" si="3916">EY858/(EY697*1000000)</f>
        <v>0.10036377333753781</v>
      </c>
      <c r="EZ900" s="4">
        <f t="shared" si="3916"/>
        <v>0.10246323807081874</v>
      </c>
      <c r="FA900" s="185">
        <f t="shared" si="3916"/>
        <v>0.10282644776754099</v>
      </c>
      <c r="FH900" s="35"/>
      <c r="FI900" s="35"/>
      <c r="FJ900" s="35"/>
      <c r="FK900" s="35"/>
      <c r="FL900" s="35"/>
      <c r="FM900" s="35"/>
      <c r="FN900" s="35"/>
      <c r="FO900" s="35"/>
      <c r="FP900" s="35"/>
      <c r="FQ900" s="35"/>
    </row>
    <row r="901" spans="1:173" s="321" customFormat="1" hidden="1" outlineLevel="1">
      <c r="A901" s="1168"/>
      <c r="B901" s="186"/>
      <c r="C901" s="186" t="s">
        <v>317</v>
      </c>
      <c r="D901" s="910"/>
      <c r="E901" s="1"/>
      <c r="F901" s="1"/>
      <c r="G901" s="5"/>
      <c r="H901" s="1"/>
      <c r="I901" s="1"/>
      <c r="J901" s="5"/>
      <c r="K901" s="1"/>
      <c r="L901" s="1"/>
      <c r="M901" s="5"/>
      <c r="N901" s="1"/>
      <c r="O901" s="1"/>
      <c r="P901" s="5"/>
      <c r="Q901" s="1"/>
      <c r="R901" s="1"/>
      <c r="S901" s="5"/>
      <c r="T901" s="1"/>
      <c r="U901" s="1"/>
      <c r="V901" s="5"/>
      <c r="W901" s="1"/>
      <c r="X901" s="1"/>
      <c r="Y901" s="5"/>
      <c r="Z901" s="1"/>
      <c r="AA901" s="1"/>
      <c r="AB901" s="5"/>
      <c r="AC901" s="1"/>
      <c r="AD901" s="1"/>
      <c r="AE901" s="5"/>
      <c r="AF901" s="1"/>
      <c r="AG901" s="1"/>
      <c r="AH901" s="5"/>
      <c r="AI901" s="1"/>
      <c r="AJ901" s="1"/>
      <c r="AK901" s="5"/>
      <c r="AL901" s="1"/>
      <c r="AM901" s="1"/>
      <c r="AN901" s="5"/>
      <c r="AO901" s="1"/>
      <c r="AP901" s="1"/>
      <c r="AQ901" s="5"/>
      <c r="AR901" s="1"/>
      <c r="AS901" s="1"/>
      <c r="AT901" s="5"/>
      <c r="AU901" s="1"/>
      <c r="AV901" s="1"/>
      <c r="AW901" s="5"/>
      <c r="AX901" s="185">
        <f t="shared" ref="AX901:CC901" si="3917">AX859/(AX698*1000000)</f>
        <v>1.4552766467291064E-3</v>
      </c>
      <c r="AY901" s="185">
        <f t="shared" si="3917"/>
        <v>1.6560135224519582E-3</v>
      </c>
      <c r="AZ901" s="185">
        <f t="shared" si="3917"/>
        <v>1.6600525709575883E-3</v>
      </c>
      <c r="BA901" s="4">
        <f t="shared" si="3917"/>
        <v>1.8450621498387026E-3</v>
      </c>
      <c r="BB901" s="4">
        <f t="shared" si="3917"/>
        <v>2.0750069897010172E-3</v>
      </c>
      <c r="BC901" s="971">
        <f t="shared" si="3917"/>
        <v>2.0800679712493528E-3</v>
      </c>
      <c r="BD901" s="4">
        <f t="shared" si="3917"/>
        <v>2.2942035242541144E-3</v>
      </c>
      <c r="BE901" s="4">
        <f t="shared" si="3917"/>
        <v>2.5728492811158887E-3</v>
      </c>
      <c r="BF901" s="971">
        <f t="shared" si="3917"/>
        <v>2.5791245094900599E-3</v>
      </c>
      <c r="BG901" s="4">
        <f t="shared" si="3917"/>
        <v>2.7923403560293808E-3</v>
      </c>
      <c r="BH901" s="4">
        <f t="shared" si="3917"/>
        <v>3.0494192252335361E-3</v>
      </c>
      <c r="BI901" s="971">
        <f t="shared" si="3917"/>
        <v>3.0568568167735387E-3</v>
      </c>
      <c r="BJ901" s="121">
        <f t="shared" si="3917"/>
        <v>3.279929585752748E-3</v>
      </c>
      <c r="BK901" s="121">
        <f t="shared" si="3917"/>
        <v>3.5498609119187998E-3</v>
      </c>
      <c r="BL901" s="114">
        <f t="shared" si="3917"/>
        <v>3.5585190902591864E-3</v>
      </c>
      <c r="BM901" s="121">
        <f t="shared" si="3917"/>
        <v>3.7884451878918567E-3</v>
      </c>
      <c r="BN901" s="121">
        <f t="shared" si="3917"/>
        <v>4.0832704636905928E-3</v>
      </c>
      <c r="BO901" s="114">
        <f t="shared" si="3917"/>
        <v>4.093225143505015E-3</v>
      </c>
      <c r="BP901" s="121">
        <f t="shared" si="3917"/>
        <v>4.3719527564065755E-3</v>
      </c>
      <c r="BQ901" s="121">
        <f t="shared" si="3917"/>
        <v>4.681216969502364E-3</v>
      </c>
      <c r="BR901" s="114">
        <f t="shared" si="3917"/>
        <v>4.6926293940496994E-3</v>
      </c>
      <c r="BS901" s="4">
        <f t="shared" si="3917"/>
        <v>5.0168466459979992E-3</v>
      </c>
      <c r="BT901" s="4">
        <f t="shared" si="3917"/>
        <v>5.3793362371237661E-3</v>
      </c>
      <c r="BU901" s="185">
        <f t="shared" si="3917"/>
        <v>5.3924506194138588E-3</v>
      </c>
      <c r="BV901" s="4">
        <f t="shared" si="3917"/>
        <v>5.7759116638134347E-3</v>
      </c>
      <c r="BW901" s="4">
        <f t="shared" si="3917"/>
        <v>6.1962201989705229E-3</v>
      </c>
      <c r="BX901" s="185">
        <f t="shared" si="3917"/>
        <v>6.211326077625607E-3</v>
      </c>
      <c r="BY901" s="4">
        <f t="shared" si="3917"/>
        <v>6.5934434101640451E-3</v>
      </c>
      <c r="BZ901" s="4">
        <f t="shared" si="3917"/>
        <v>6.9833649584608399E-3</v>
      </c>
      <c r="CA901" s="185">
        <f t="shared" si="3917"/>
        <v>7.0003898317350681E-3</v>
      </c>
      <c r="CB901" s="4">
        <f t="shared" si="3917"/>
        <v>7.3737044048683056E-3</v>
      </c>
      <c r="CC901" s="4">
        <f t="shared" si="3917"/>
        <v>7.8008359672135453E-3</v>
      </c>
      <c r="CD901" s="185">
        <f t="shared" ref="CD901:DI901" si="3918">CD859/(CD698*1000000)</f>
        <v>7.8198537680251642E-3</v>
      </c>
      <c r="CE901" s="4">
        <f t="shared" si="3918"/>
        <v>8.2653163633567631E-3</v>
      </c>
      <c r="CF901" s="4">
        <f t="shared" si="3918"/>
        <v>8.733542136890881E-3</v>
      </c>
      <c r="CG901" s="185">
        <f t="shared" si="3918"/>
        <v>8.7548337991482789E-3</v>
      </c>
      <c r="CH901" s="4">
        <f t="shared" si="3918"/>
        <v>9.1286953351059092E-3</v>
      </c>
      <c r="CI901" s="4">
        <f t="shared" si="3918"/>
        <v>9.5572055560767775E-3</v>
      </c>
      <c r="CJ901" s="185">
        <f t="shared" si="3918"/>
        <v>9.5805052424623224E-3</v>
      </c>
      <c r="CK901" s="4">
        <f t="shared" si="3918"/>
        <v>9.9791074592393211E-3</v>
      </c>
      <c r="CL901" s="4">
        <f t="shared" si="3918"/>
        <v>1.0408302047634262E-2</v>
      </c>
      <c r="CM901" s="185">
        <f t="shared" si="3918"/>
        <v>1.04336766377373E-2</v>
      </c>
      <c r="CN901" s="4">
        <f t="shared" si="3918"/>
        <v>1.0803064762556129E-2</v>
      </c>
      <c r="CO901" s="4">
        <f t="shared" si="3918"/>
        <v>1.127277631367651E-2</v>
      </c>
      <c r="CP901" s="185">
        <f t="shared" si="3918"/>
        <v>1.1300258421418357E-2</v>
      </c>
      <c r="CQ901" s="4">
        <f t="shared" si="3918"/>
        <v>1.1664487684998445E-2</v>
      </c>
      <c r="CR901" s="4">
        <f t="shared" si="3918"/>
        <v>1.214377783372577E-2</v>
      </c>
      <c r="CS901" s="185">
        <f t="shared" si="3918"/>
        <v>1.2173383372018459E-2</v>
      </c>
      <c r="CT901" s="4">
        <f t="shared" si="3918"/>
        <v>1.2554580347084532E-2</v>
      </c>
      <c r="CU901" s="4">
        <f t="shared" si="3918"/>
        <v>1.3039125854687176E-2</v>
      </c>
      <c r="CV901" s="185">
        <f t="shared" si="3918"/>
        <v>1.307091417831099E-2</v>
      </c>
      <c r="CW901" s="4">
        <f t="shared" si="3918"/>
        <v>1.3469934817282333E-2</v>
      </c>
      <c r="CX901" s="4">
        <f t="shared" si="3918"/>
        <v>1.3978053292191355E-2</v>
      </c>
      <c r="CY901" s="185">
        <f t="shared" si="3918"/>
        <v>1.4012130644203672E-2</v>
      </c>
      <c r="CZ901" s="4">
        <f t="shared" si="3918"/>
        <v>1.4381237480668788E-2</v>
      </c>
      <c r="DA901" s="4">
        <f t="shared" si="3918"/>
        <v>1.4985820228616699E-2</v>
      </c>
      <c r="DB901" s="185">
        <f t="shared" si="3918"/>
        <v>1.5022354434092161E-2</v>
      </c>
      <c r="DC901" s="4">
        <f t="shared" si="3918"/>
        <v>1.5412435693856355E-2</v>
      </c>
      <c r="DD901" s="4">
        <f t="shared" si="3918"/>
        <v>1.59438034980721E-2</v>
      </c>
      <c r="DE901" s="185">
        <f t="shared" si="3918"/>
        <v>1.5982673188497633E-2</v>
      </c>
      <c r="DF901" s="4">
        <f t="shared" si="3918"/>
        <v>1.6405162067267706E-2</v>
      </c>
      <c r="DG901" s="4">
        <f t="shared" si="3918"/>
        <v>1.6787406041899641E-2</v>
      </c>
      <c r="DH901" s="185">
        <f t="shared" si="3918"/>
        <v>1.6828332366410299E-2</v>
      </c>
      <c r="DI901" s="4">
        <f t="shared" si="3918"/>
        <v>1.7158410864261578E-2</v>
      </c>
      <c r="DJ901" s="4">
        <f t="shared" ref="DJ901:ER901" si="3919">DJ859/(DJ698*1000000)</f>
        <v>1.7631941915328211E-2</v>
      </c>
      <c r="DK901" s="185">
        <f t="shared" si="3919"/>
        <v>1.7674927149305318E-2</v>
      </c>
      <c r="DL901" s="4">
        <f t="shared" si="3919"/>
        <v>1.8047578189084687E-2</v>
      </c>
      <c r="DM901" s="4">
        <f t="shared" si="3919"/>
        <v>1.8486993276497402E-2</v>
      </c>
      <c r="DN901" s="185">
        <f t="shared" si="3919"/>
        <v>1.8532063055841028E-2</v>
      </c>
      <c r="DO901" s="4">
        <f t="shared" si="3919"/>
        <v>1.8900811080352721E-2</v>
      </c>
      <c r="DP901" s="4">
        <f t="shared" si="3919"/>
        <v>1.9360762947027935E-2</v>
      </c>
      <c r="DQ901" s="185">
        <f t="shared" si="3919"/>
        <v>1.9407962905447145E-2</v>
      </c>
      <c r="DR901" s="4">
        <f t="shared" si="3919"/>
        <v>1.9803036881237211E-2</v>
      </c>
      <c r="DS901" s="4">
        <f t="shared" si="3919"/>
        <v>2.027566805977124E-2</v>
      </c>
      <c r="DT901" s="185">
        <f t="shared" si="3919"/>
        <v>2.0325098482113654E-2</v>
      </c>
      <c r="DU901" s="4">
        <f t="shared" si="3919"/>
        <v>2.0706518007818527E-2</v>
      </c>
      <c r="DV901" s="4">
        <f t="shared" si="3919"/>
        <v>2.1274452803670414E-2</v>
      </c>
      <c r="DW901" s="185">
        <f t="shared" si="3919"/>
        <v>2.1326318181624379E-2</v>
      </c>
      <c r="DX901" s="4">
        <f t="shared" si="3919"/>
        <v>2.1723060205032146E-2</v>
      </c>
      <c r="DY901" s="4">
        <f t="shared" si="3919"/>
        <v>2.2318469011057229E-2</v>
      </c>
      <c r="DZ901" s="185">
        <f t="shared" si="3919"/>
        <v>2.2372879615235611E-2</v>
      </c>
      <c r="EA901" s="4">
        <f t="shared" si="3919"/>
        <v>2.2830621404021888E-2</v>
      </c>
      <c r="EB901" s="4">
        <f t="shared" si="3919"/>
        <v>2.3438107652788032E-2</v>
      </c>
      <c r="EC901" s="185">
        <f t="shared" si="3919"/>
        <v>2.3495247844507933E-2</v>
      </c>
      <c r="ED901" s="4">
        <f t="shared" si="3919"/>
        <v>2.3970262205365505E-2</v>
      </c>
      <c r="EE901" s="4">
        <f t="shared" si="3919"/>
        <v>2.4601452739763142E-2</v>
      </c>
      <c r="EF901" s="185">
        <f t="shared" si="3919"/>
        <v>2.4661429071767518E-2</v>
      </c>
      <c r="EG901" s="4">
        <f t="shared" si="3919"/>
        <v>2.5154386293159775E-2</v>
      </c>
      <c r="EH901" s="4">
        <f t="shared" si="3919"/>
        <v>2.5810201718135219E-2</v>
      </c>
      <c r="EI901" s="185">
        <f t="shared" si="3919"/>
        <v>2.5873124881402108E-2</v>
      </c>
      <c r="EJ901" s="4">
        <f t="shared" si="3919"/>
        <v>2.6384721280521637E-2</v>
      </c>
      <c r="EK901" s="4">
        <f t="shared" si="3919"/>
        <v>2.7066117950725336E-2</v>
      </c>
      <c r="EL901" s="185">
        <f t="shared" si="3919"/>
        <v>2.7132102935167268E-2</v>
      </c>
      <c r="EM901" s="4">
        <f t="shared" si="3919"/>
        <v>2.7663061868702338E-2</v>
      </c>
      <c r="EN901" s="4">
        <f t="shared" si="3919"/>
        <v>2.837103327674784E-2</v>
      </c>
      <c r="EO901" s="185">
        <f t="shared" si="3919"/>
        <v>2.8440199538151714E-2</v>
      </c>
      <c r="EP901" s="4">
        <f t="shared" si="3919"/>
        <v>2.8991272452303599E-2</v>
      </c>
      <c r="EQ901" s="4">
        <f t="shared" si="3919"/>
        <v>2.9726850670936507E-2</v>
      </c>
      <c r="ER901" s="185">
        <f t="shared" si="3919"/>
        <v>2.9799322304386144E-2</v>
      </c>
      <c r="ES901" s="4">
        <f t="shared" ref="ES901:EX901" si="3920">ES859/(ES698*1000000)</f>
        <v>3.0371289825661486E-2</v>
      </c>
      <c r="ET901" s="4">
        <f t="shared" si="3920"/>
        <v>3.113554700593173E-2</v>
      </c>
      <c r="EU901" s="185">
        <f t="shared" si="3920"/>
        <v>3.1211452925964948E-2</v>
      </c>
      <c r="EV901" s="4">
        <f t="shared" si="3920"/>
        <v>3.1805125994326583E-2</v>
      </c>
      <c r="EW901" s="4">
        <f t="shared" si="3920"/>
        <v>3.2599175921938804E-2</v>
      </c>
      <c r="EX901" s="185">
        <f t="shared" si="3920"/>
        <v>3.2678650049700511E-2</v>
      </c>
      <c r="EY901" s="4">
        <f t="shared" ref="EY901:FA901" si="3921">EY859/(EY698*1000000)</f>
        <v>3.3294871095721594E-2</v>
      </c>
      <c r="EZ901" s="4">
        <f t="shared" si="3921"/>
        <v>3.4119870807822965E-2</v>
      </c>
      <c r="FA901" s="185">
        <f t="shared" si="3921"/>
        <v>3.4203052265485784E-2</v>
      </c>
      <c r="FH901" s="35"/>
      <c r="FI901" s="35"/>
      <c r="FJ901" s="35"/>
      <c r="FK901" s="35"/>
      <c r="FL901" s="35"/>
      <c r="FM901" s="35"/>
      <c r="FN901" s="35"/>
      <c r="FO901" s="35"/>
      <c r="FP901" s="35"/>
      <c r="FQ901" s="35"/>
    </row>
    <row r="902" spans="1:173" s="321" customFormat="1" hidden="1" outlineLevel="1">
      <c r="A902" s="1168"/>
      <c r="B902" s="186"/>
      <c r="C902" s="186" t="s">
        <v>431</v>
      </c>
      <c r="D902" s="910"/>
      <c r="E902" s="1"/>
      <c r="F902" s="1"/>
      <c r="G902" s="5"/>
      <c r="H902" s="1"/>
      <c r="I902" s="1"/>
      <c r="J902" s="5"/>
      <c r="K902" s="1"/>
      <c r="L902" s="1"/>
      <c r="M902" s="5"/>
      <c r="N902" s="1"/>
      <c r="O902" s="1"/>
      <c r="P902" s="5"/>
      <c r="Q902" s="1"/>
      <c r="R902" s="1"/>
      <c r="S902" s="5"/>
      <c r="T902" s="1"/>
      <c r="U902" s="1"/>
      <c r="V902" s="5"/>
      <c r="W902" s="1"/>
      <c r="X902" s="1"/>
      <c r="Y902" s="5"/>
      <c r="Z902" s="1"/>
      <c r="AA902" s="1"/>
      <c r="AB902" s="5"/>
      <c r="AC902" s="1"/>
      <c r="AD902" s="1"/>
      <c r="AE902" s="5"/>
      <c r="AF902" s="1"/>
      <c r="AG902" s="1"/>
      <c r="AH902" s="5"/>
      <c r="AI902" s="1"/>
      <c r="AJ902" s="1"/>
      <c r="AK902" s="5"/>
      <c r="AL902" s="1"/>
      <c r="AM902" s="1"/>
      <c r="AN902" s="5"/>
      <c r="AO902" s="1"/>
      <c r="AP902" s="1"/>
      <c r="AQ902" s="5"/>
      <c r="AR902" s="1"/>
      <c r="AS902" s="1"/>
      <c r="AT902" s="5"/>
      <c r="AU902" s="1"/>
      <c r="AV902" s="1"/>
      <c r="AW902" s="5"/>
      <c r="AX902" s="185">
        <f t="shared" ref="AX902:CC902" si="3922">AX860/(AX699*1000000)</f>
        <v>1.1527153747816605E-3</v>
      </c>
      <c r="AY902" s="185">
        <f t="shared" si="3922"/>
        <v>1.199221200174591E-3</v>
      </c>
      <c r="AZ902" s="185">
        <f t="shared" si="3922"/>
        <v>1.2053911655671118E-3</v>
      </c>
      <c r="BA902" s="4">
        <f t="shared" si="3922"/>
        <v>1.3199696491504138E-3</v>
      </c>
      <c r="BB902" s="4">
        <f t="shared" si="3922"/>
        <v>1.3723111592649447E-3</v>
      </c>
      <c r="BC902" s="971">
        <f t="shared" si="3922"/>
        <v>1.3793716685014409E-3</v>
      </c>
      <c r="BD902" s="4">
        <f t="shared" si="3922"/>
        <v>1.5112800483484028E-3</v>
      </c>
      <c r="BE902" s="4">
        <f t="shared" si="3922"/>
        <v>1.6281019288746609E-3</v>
      </c>
      <c r="BF902" s="971">
        <f t="shared" si="3922"/>
        <v>1.6364784757162201E-3</v>
      </c>
      <c r="BG902" s="4">
        <f t="shared" si="3922"/>
        <v>1.7490992744938433E-3</v>
      </c>
      <c r="BH902" s="4">
        <f t="shared" si="3922"/>
        <v>1.9157617422747148E-3</v>
      </c>
      <c r="BI902" s="971">
        <f t="shared" si="3922"/>
        <v>1.9256182922159847E-3</v>
      </c>
      <c r="BJ902" s="121">
        <f t="shared" si="3922"/>
        <v>2.0517628451603362E-3</v>
      </c>
      <c r="BK902" s="121">
        <f t="shared" si="3922"/>
        <v>2.1916491894985301E-3</v>
      </c>
      <c r="BL902" s="114">
        <f t="shared" si="3922"/>
        <v>2.2029251739872826E-3</v>
      </c>
      <c r="BM902" s="121">
        <f t="shared" si="3922"/>
        <v>2.3286072609769869E-3</v>
      </c>
      <c r="BN902" s="121">
        <f t="shared" si="3922"/>
        <v>2.5020499011100417E-3</v>
      </c>
      <c r="BO902" s="114">
        <f t="shared" si="3922"/>
        <v>2.5149641642019439E-3</v>
      </c>
      <c r="BP902" s="121">
        <f t="shared" si="3922"/>
        <v>2.6670367505161911E-3</v>
      </c>
      <c r="BQ902" s="121">
        <f t="shared" si="3922"/>
        <v>2.8382136863286766E-3</v>
      </c>
      <c r="BR902" s="114">
        <f t="shared" si="3922"/>
        <v>2.8528630497326687E-3</v>
      </c>
      <c r="BS902" s="4">
        <f t="shared" si="3922"/>
        <v>3.0265234353487082E-3</v>
      </c>
      <c r="BT902" s="4">
        <f t="shared" si="3922"/>
        <v>3.2293763874914703E-3</v>
      </c>
      <c r="BU902" s="185">
        <f t="shared" si="3922"/>
        <v>3.2460447266290456E-3</v>
      </c>
      <c r="BV902" s="4">
        <f t="shared" si="3922"/>
        <v>3.4173848474134834E-3</v>
      </c>
      <c r="BW902" s="4">
        <f t="shared" si="3922"/>
        <v>3.6397139980635608E-3</v>
      </c>
      <c r="BX902" s="185">
        <f t="shared" si="3922"/>
        <v>3.6585002837125459E-3</v>
      </c>
      <c r="BY902" s="4">
        <f t="shared" si="3922"/>
        <v>3.806350255731191E-3</v>
      </c>
      <c r="BZ902" s="4">
        <f t="shared" si="3922"/>
        <v>4.0263504529269517E-3</v>
      </c>
      <c r="CA902" s="185">
        <f t="shared" si="3922"/>
        <v>4.0471323522113054E-3</v>
      </c>
      <c r="CB902" s="4">
        <f t="shared" si="3922"/>
        <v>4.1973302449569245E-3</v>
      </c>
      <c r="CC902" s="4">
        <f t="shared" si="3922"/>
        <v>4.4475064703212788E-3</v>
      </c>
      <c r="CD902" s="185">
        <f t="shared" ref="CD902:DI902" si="3923">CD860/(CD699*1000000)</f>
        <v>4.4704621550321171E-3</v>
      </c>
      <c r="CE902" s="4">
        <f t="shared" si="3923"/>
        <v>4.6505773363266119E-3</v>
      </c>
      <c r="CF902" s="4">
        <f t="shared" si="3923"/>
        <v>4.922760652298022E-3</v>
      </c>
      <c r="CG902" s="185">
        <f t="shared" si="3923"/>
        <v>4.9481693486529725E-3</v>
      </c>
      <c r="CH902" s="4">
        <f t="shared" si="3923"/>
        <v>5.132140709484167E-3</v>
      </c>
      <c r="CI902" s="4">
        <f t="shared" si="3923"/>
        <v>5.3761027487287949E-3</v>
      </c>
      <c r="CJ902" s="185">
        <f t="shared" si="3923"/>
        <v>5.4038513580892131E-3</v>
      </c>
      <c r="CK902" s="4">
        <f t="shared" si="3923"/>
        <v>5.7985077838093911E-3</v>
      </c>
      <c r="CL902" s="4">
        <f t="shared" si="3923"/>
        <v>6.1482527260772945E-3</v>
      </c>
      <c r="CM902" s="185">
        <f t="shared" si="3923"/>
        <v>6.1799867667232606E-3</v>
      </c>
      <c r="CN902" s="4">
        <f t="shared" si="3923"/>
        <v>6.3558775459225071E-3</v>
      </c>
      <c r="CO902" s="4">
        <f t="shared" si="3923"/>
        <v>6.6668127047713023E-3</v>
      </c>
      <c r="CP902" s="185">
        <f t="shared" si="3923"/>
        <v>6.7012232787633129E-3</v>
      </c>
      <c r="CQ902" s="4">
        <f t="shared" si="3923"/>
        <v>6.7494750945919424E-3</v>
      </c>
      <c r="CR902" s="4">
        <f t="shared" si="3923"/>
        <v>7.0003691012193508E-3</v>
      </c>
      <c r="CS902" s="185">
        <f t="shared" si="3923"/>
        <v>7.0365013175566248E-3</v>
      </c>
      <c r="CT902" s="4">
        <f t="shared" si="3923"/>
        <v>7.2669961267917572E-3</v>
      </c>
      <c r="CU902" s="4">
        <f t="shared" si="3923"/>
        <v>7.4767903352799345E-3</v>
      </c>
      <c r="CV902" s="185">
        <f t="shared" si="3923"/>
        <v>7.5153815869691805E-3</v>
      </c>
      <c r="CW902" s="4">
        <f t="shared" si="3923"/>
        <v>7.6959408609424589E-3</v>
      </c>
      <c r="CX902" s="4">
        <f t="shared" si="3923"/>
        <v>7.8348653317720628E-3</v>
      </c>
      <c r="CY902" s="185">
        <f t="shared" si="3923"/>
        <v>7.8753047778995101E-3</v>
      </c>
      <c r="CZ902" s="4">
        <f t="shared" si="3923"/>
        <v>7.9483105365163158E-3</v>
      </c>
      <c r="DA902" s="4">
        <f t="shared" si="3923"/>
        <v>8.1330330553702652E-3</v>
      </c>
      <c r="DB902" s="185">
        <f t="shared" si="3923"/>
        <v>8.1750114861623875E-3</v>
      </c>
      <c r="DC902" s="4">
        <f t="shared" si="3923"/>
        <v>8.2682082075603396E-3</v>
      </c>
      <c r="DD902" s="4">
        <f t="shared" si="3923"/>
        <v>8.4138235132234836E-3</v>
      </c>
      <c r="DE902" s="185">
        <f t="shared" si="3923"/>
        <v>8.4572512363917489E-3</v>
      </c>
      <c r="DF902" s="4">
        <f t="shared" si="3923"/>
        <v>8.5758129353257218E-3</v>
      </c>
      <c r="DG902" s="4">
        <f t="shared" si="3923"/>
        <v>8.652221642198258E-3</v>
      </c>
      <c r="DH902" s="185">
        <f t="shared" si="3923"/>
        <v>8.6968798508803569E-3</v>
      </c>
      <c r="DI902" s="4">
        <f t="shared" si="3923"/>
        <v>8.8443262666850816E-3</v>
      </c>
      <c r="DJ902" s="4">
        <f t="shared" ref="DJ902:ER902" si="3924">DJ860/(DJ699*1000000)</f>
        <v>9.0390312568222556E-3</v>
      </c>
      <c r="DK902" s="185">
        <f t="shared" si="3924"/>
        <v>9.0856859728991567E-3</v>
      </c>
      <c r="DL902" s="4">
        <f t="shared" si="3924"/>
        <v>9.2294812377788603E-3</v>
      </c>
      <c r="DM902" s="4">
        <f t="shared" si="3924"/>
        <v>9.431665595253989E-3</v>
      </c>
      <c r="DN902" s="185">
        <f t="shared" si="3924"/>
        <v>9.4803468828805523E-3</v>
      </c>
      <c r="DO902" s="4">
        <f t="shared" si="3924"/>
        <v>9.650634549714765E-3</v>
      </c>
      <c r="DP902" s="4">
        <f t="shared" si="3924"/>
        <v>9.8664448915398179E-3</v>
      </c>
      <c r="DQ902" s="185">
        <f t="shared" si="3924"/>
        <v>9.917370280779483E-3</v>
      </c>
      <c r="DR902" s="4">
        <f t="shared" si="3924"/>
        <v>1.0069201165609408E-2</v>
      </c>
      <c r="DS902" s="4">
        <f t="shared" si="3924"/>
        <v>1.0287567441524913E-2</v>
      </c>
      <c r="DT902" s="185">
        <f t="shared" si="3924"/>
        <v>1.0340666443449933E-2</v>
      </c>
      <c r="DU902" s="4">
        <f t="shared" si="3924"/>
        <v>1.0543571461234779E-2</v>
      </c>
      <c r="DV902" s="4">
        <f t="shared" si="3924"/>
        <v>1.078885241356738E-2</v>
      </c>
      <c r="DW902" s="185">
        <f t="shared" si="3924"/>
        <v>1.0844538784357462E-2</v>
      </c>
      <c r="DX902" s="4">
        <f t="shared" si="3924"/>
        <v>1.101691388439848E-2</v>
      </c>
      <c r="DY902" s="4">
        <f t="shared" si="3924"/>
        <v>1.1272050263615723E-2</v>
      </c>
      <c r="DZ902" s="185">
        <f t="shared" si="3924"/>
        <v>1.1330230647078453E-2</v>
      </c>
      <c r="EA902" s="4">
        <f t="shared" si="3924"/>
        <v>1.1534099680442975E-2</v>
      </c>
      <c r="EB902" s="4">
        <f t="shared" si="3924"/>
        <v>1.1791175487324732E-2</v>
      </c>
      <c r="EC902" s="185">
        <f t="shared" si="3924"/>
        <v>1.185203532163041E-2</v>
      </c>
      <c r="ED902" s="4">
        <f t="shared" si="3924"/>
        <v>1.2060892742312619E-2</v>
      </c>
      <c r="EE902" s="4">
        <f t="shared" si="3924"/>
        <v>1.2325482470653898E-2</v>
      </c>
      <c r="EF902" s="185">
        <f t="shared" si="3924"/>
        <v>1.2389100116045396E-2</v>
      </c>
      <c r="EG902" s="4">
        <f t="shared" si="3924"/>
        <v>1.2603110850869056E-2</v>
      </c>
      <c r="EH902" s="4">
        <f t="shared" si="3924"/>
        <v>1.2875452961326186E-2</v>
      </c>
      <c r="EI902" s="185">
        <f t="shared" si="3924"/>
        <v>1.2941909264574255E-2</v>
      </c>
      <c r="EJ902" s="4">
        <f t="shared" si="3924"/>
        <v>1.3161243344066232E-2</v>
      </c>
      <c r="EK902" s="4">
        <f t="shared" si="3924"/>
        <v>1.3441583736590353E-2</v>
      </c>
      <c r="EL902" s="185">
        <f t="shared" si="3924"/>
        <v>1.3510962108568121E-2</v>
      </c>
      <c r="EM902" s="4">
        <f t="shared" si="3924"/>
        <v>1.3735794826998151E-2</v>
      </c>
      <c r="EN902" s="4">
        <f t="shared" si="3924"/>
        <v>1.4024387073726698E-2</v>
      </c>
      <c r="EO902" s="185">
        <f t="shared" si="3924"/>
        <v>1.4096773569412661E-2</v>
      </c>
      <c r="EP902" s="4">
        <f t="shared" si="3924"/>
        <v>1.4327285649838078E-2</v>
      </c>
      <c r="EQ902" s="4">
        <f t="shared" si="3924"/>
        <v>1.4624391235271905E-2</v>
      </c>
      <c r="ER902" s="185">
        <f t="shared" si="3924"/>
        <v>1.4699874636257397E-2</v>
      </c>
      <c r="ES902" s="4">
        <f t="shared" ref="ES902:EX902" si="3925">ES860/(ES699*1000000)</f>
        <v>1.4936252400729337E-2</v>
      </c>
      <c r="ET902" s="4">
        <f t="shared" si="3925"/>
        <v>1.5242140969423442E-2</v>
      </c>
      <c r="EU902" s="185">
        <f t="shared" si="3925"/>
        <v>1.5320812869002928E-2</v>
      </c>
      <c r="EV902" s="4">
        <f t="shared" si="3925"/>
        <v>1.556324841409557E-2</v>
      </c>
      <c r="EW902" s="4">
        <f t="shared" si="3925"/>
        <v>1.5878198026098547E-2</v>
      </c>
      <c r="EX902" s="185">
        <f t="shared" si="3925"/>
        <v>1.5960152917023535E-2</v>
      </c>
      <c r="EY902" s="4">
        <f t="shared" ref="EY902:FA902" si="3926">EY860/(EY699*1000000)</f>
        <v>1.6208844294852923E-2</v>
      </c>
      <c r="EZ902" s="4">
        <f t="shared" si="3926"/>
        <v>1.6533141689137474E-2</v>
      </c>
      <c r="FA902" s="185">
        <f t="shared" si="3926"/>
        <v>1.6618477054117398E-2</v>
      </c>
      <c r="FH902" s="35"/>
      <c r="FI902" s="35"/>
      <c r="FJ902" s="35"/>
      <c r="FK902" s="35"/>
      <c r="FL902" s="35"/>
      <c r="FM902" s="35"/>
      <c r="FN902" s="35"/>
      <c r="FO902" s="35"/>
      <c r="FP902" s="35"/>
      <c r="FQ902" s="35"/>
    </row>
    <row r="903" spans="1:173" s="321" customFormat="1" hidden="1" outlineLevel="1">
      <c r="A903" s="1168"/>
      <c r="B903" s="186"/>
      <c r="C903" s="186" t="s">
        <v>327</v>
      </c>
      <c r="D903" s="910"/>
      <c r="E903" s="1"/>
      <c r="F903" s="1"/>
      <c r="G903" s="5"/>
      <c r="H903" s="1"/>
      <c r="I903" s="1"/>
      <c r="J903" s="5"/>
      <c r="K903" s="1"/>
      <c r="L903" s="1"/>
      <c r="M903" s="5"/>
      <c r="N903" s="1"/>
      <c r="O903" s="1"/>
      <c r="P903" s="5"/>
      <c r="Q903" s="1"/>
      <c r="R903" s="1"/>
      <c r="S903" s="5"/>
      <c r="T903" s="1"/>
      <c r="U903" s="1"/>
      <c r="V903" s="5"/>
      <c r="W903" s="1"/>
      <c r="X903" s="1"/>
      <c r="Y903" s="5"/>
      <c r="Z903" s="1"/>
      <c r="AA903" s="1"/>
      <c r="AB903" s="5"/>
      <c r="AC903" s="1"/>
      <c r="AD903" s="1"/>
      <c r="AE903" s="5"/>
      <c r="AF903" s="1"/>
      <c r="AG903" s="1"/>
      <c r="AH903" s="5"/>
      <c r="AI903" s="1"/>
      <c r="AJ903" s="1"/>
      <c r="AK903" s="5"/>
      <c r="AL903" s="1"/>
      <c r="AM903" s="1"/>
      <c r="AN903" s="5"/>
      <c r="AO903" s="1"/>
      <c r="AP903" s="1"/>
      <c r="AQ903" s="5"/>
      <c r="AR903" s="1"/>
      <c r="AS903" s="1"/>
      <c r="AT903" s="5"/>
      <c r="AU903" s="1"/>
      <c r="AV903" s="1"/>
      <c r="AW903" s="5"/>
      <c r="AX903" s="185">
        <f t="shared" ref="AX903:CC903" si="3927">AX861/(AX700*1000000)</f>
        <v>2.4486978407919869E-3</v>
      </c>
      <c r="AY903" s="185">
        <f t="shared" si="3927"/>
        <v>2.7083663991298817E-3</v>
      </c>
      <c r="AZ903" s="185">
        <f t="shared" si="3927"/>
        <v>2.7177400567735422E-3</v>
      </c>
      <c r="BA903" s="4">
        <f t="shared" si="3927"/>
        <v>2.9656357799791467E-3</v>
      </c>
      <c r="BB903" s="4">
        <f t="shared" si="3927"/>
        <v>3.2606962049344752E-3</v>
      </c>
      <c r="BC903" s="971">
        <f t="shared" si="3927"/>
        <v>3.2720047324818666E-3</v>
      </c>
      <c r="BD903" s="4">
        <f t="shared" si="3927"/>
        <v>3.5487076560151991E-3</v>
      </c>
      <c r="BE903" s="4">
        <f t="shared" si="3927"/>
        <v>3.8920645701577138E-3</v>
      </c>
      <c r="BF903" s="971">
        <f t="shared" si="3927"/>
        <v>3.9055905972956101E-3</v>
      </c>
      <c r="BG903" s="4">
        <f t="shared" si="3927"/>
        <v>4.1950960934166431E-3</v>
      </c>
      <c r="BH903" s="4">
        <f t="shared" si="3927"/>
        <v>4.5422449774707181E-3</v>
      </c>
      <c r="BI903" s="971">
        <f t="shared" si="3927"/>
        <v>4.5580631260426184E-3</v>
      </c>
      <c r="BJ903" s="121">
        <f t="shared" si="3927"/>
        <v>4.8362119701380896E-3</v>
      </c>
      <c r="BK903" s="121">
        <f t="shared" si="3927"/>
        <v>5.1946023282816193E-3</v>
      </c>
      <c r="BL903" s="114">
        <f t="shared" si="3927"/>
        <v>5.212729606728082E-3</v>
      </c>
      <c r="BM903" s="121">
        <f t="shared" si="3927"/>
        <v>5.5405274606093553E-3</v>
      </c>
      <c r="BN903" s="121">
        <f t="shared" si="3927"/>
        <v>5.9360475915906643E-3</v>
      </c>
      <c r="BO903" s="114">
        <f t="shared" si="3927"/>
        <v>5.9568166241274617E-3</v>
      </c>
      <c r="BP903" s="121">
        <f t="shared" si="3927"/>
        <v>6.3650034790380125E-3</v>
      </c>
      <c r="BQ903" s="121">
        <f t="shared" si="3927"/>
        <v>6.7801587030192796E-3</v>
      </c>
      <c r="BR903" s="114">
        <f t="shared" si="3927"/>
        <v>6.8039057330780747E-3</v>
      </c>
      <c r="BS903" s="4">
        <f t="shared" si="3927"/>
        <v>7.2767874043377107E-3</v>
      </c>
      <c r="BT903" s="4">
        <f t="shared" si="3927"/>
        <v>7.7727331668563928E-3</v>
      </c>
      <c r="BU903" s="185">
        <f t="shared" si="3927"/>
        <v>7.7999848795279681E-3</v>
      </c>
      <c r="BV903" s="4">
        <f t="shared" si="3927"/>
        <v>8.3043221975297905E-3</v>
      </c>
      <c r="BW903" s="4">
        <f t="shared" si="3927"/>
        <v>8.8471082310604063E-3</v>
      </c>
      <c r="BX903" s="185">
        <f t="shared" si="3927"/>
        <v>8.8781589760848854E-3</v>
      </c>
      <c r="BY903" s="4">
        <f t="shared" si="3927"/>
        <v>9.3639002389993269E-3</v>
      </c>
      <c r="BZ903" s="4">
        <f t="shared" si="3927"/>
        <v>9.8843606043952665E-3</v>
      </c>
      <c r="CA903" s="185">
        <f t="shared" si="3927"/>
        <v>9.9190878183712024E-3</v>
      </c>
      <c r="CB903" s="4">
        <f t="shared" si="3927"/>
        <v>1.04087726145269E-2</v>
      </c>
      <c r="CC903" s="4">
        <f t="shared" si="3927"/>
        <v>1.100164561213317E-2</v>
      </c>
      <c r="CD903" s="185">
        <f t="shared" ref="CD903:DI903" si="3928">CD861/(CD700*1000000)</f>
        <v>1.1040338372846858E-2</v>
      </c>
      <c r="CE903" s="4">
        <f t="shared" si="3928"/>
        <v>1.1596631070456333E-2</v>
      </c>
      <c r="CF903" s="4">
        <f t="shared" si="3928"/>
        <v>1.2244188989390862E-2</v>
      </c>
      <c r="CG903" s="185">
        <f t="shared" si="3928"/>
        <v>1.2287296487193311E-2</v>
      </c>
      <c r="CH903" s="4">
        <f t="shared" si="3928"/>
        <v>1.2751391297929562E-2</v>
      </c>
      <c r="CI903" s="4">
        <f t="shared" si="3928"/>
        <v>1.3338729093291356E-2</v>
      </c>
      <c r="CJ903" s="185">
        <f t="shared" si="3928"/>
        <v>1.3385738847314392E-2</v>
      </c>
      <c r="CK903" s="4">
        <f t="shared" si="3928"/>
        <v>1.3933399072927097E-2</v>
      </c>
      <c r="CL903" s="4">
        <f t="shared" si="3928"/>
        <v>1.4502184487725505E-2</v>
      </c>
      <c r="CM903" s="185">
        <f t="shared" si="3928"/>
        <v>1.455334768692935E-2</v>
      </c>
      <c r="CN903" s="4">
        <f t="shared" si="3928"/>
        <v>1.4998111234428232E-2</v>
      </c>
      <c r="CO903" s="4">
        <f t="shared" si="3928"/>
        <v>1.5597643821805004E-2</v>
      </c>
      <c r="CP903" s="185">
        <f t="shared" si="3928"/>
        <v>1.5652728904221706E-2</v>
      </c>
      <c r="CQ903" s="4">
        <f t="shared" si="3928"/>
        <v>1.6081630909841223E-2</v>
      </c>
      <c r="CR903" s="4">
        <f t="shared" si="3928"/>
        <v>1.6693455926470892E-2</v>
      </c>
      <c r="CS903" s="185">
        <f t="shared" si="3928"/>
        <v>1.6752472227599111E-2</v>
      </c>
      <c r="CT903" s="4">
        <f t="shared" si="3928"/>
        <v>1.725476603830866E-2</v>
      </c>
      <c r="CU903" s="4">
        <f t="shared" si="3928"/>
        <v>1.7847729018704791E-2</v>
      </c>
      <c r="CV903" s="185">
        <f t="shared" si="3928"/>
        <v>1.7910891532138661E-2</v>
      </c>
      <c r="CW903" s="4">
        <f t="shared" si="3928"/>
        <v>1.8443247411366888E-2</v>
      </c>
      <c r="CX903" s="4">
        <f t="shared" si="3928"/>
        <v>1.904741130005105E-2</v>
      </c>
      <c r="CY903" s="185">
        <f t="shared" si="3928"/>
        <v>1.9114889436908328E-2</v>
      </c>
      <c r="CZ903" s="4">
        <f t="shared" si="3928"/>
        <v>1.9615117236464915E-2</v>
      </c>
      <c r="DA903" s="4">
        <f t="shared" si="3928"/>
        <v>2.0287879281510802E-2</v>
      </c>
      <c r="DB903" s="185">
        <f t="shared" si="3928"/>
        <v>2.035982656887135E-2</v>
      </c>
      <c r="DC903" s="4">
        <f t="shared" si="3928"/>
        <v>2.0846041589106735E-2</v>
      </c>
      <c r="DD903" s="4">
        <f t="shared" si="3928"/>
        <v>2.1416144695022687E-2</v>
      </c>
      <c r="DE903" s="185">
        <f t="shared" si="3928"/>
        <v>2.1492172013518739E-2</v>
      </c>
      <c r="DF903" s="4">
        <f t="shared" si="3928"/>
        <v>2.2012089510043544E-2</v>
      </c>
      <c r="DG903" s="4">
        <f t="shared" si="3928"/>
        <v>2.2404247588855328E-2</v>
      </c>
      <c r="DH903" s="185">
        <f t="shared" si="3928"/>
        <v>2.2483865229520571E-2</v>
      </c>
      <c r="DI903" s="4">
        <f t="shared" si="3928"/>
        <v>2.291445846794107E-2</v>
      </c>
      <c r="DJ903" s="4">
        <f t="shared" ref="DJ903:ER903" si="3929">DJ861/(DJ700*1000000)</f>
        <v>2.3473623383119809E-2</v>
      </c>
      <c r="DK903" s="185">
        <f t="shared" si="3929"/>
        <v>2.3557127824777709E-2</v>
      </c>
      <c r="DL903" s="4">
        <f t="shared" si="3929"/>
        <v>2.3989206831812375E-2</v>
      </c>
      <c r="DM903" s="4">
        <f t="shared" si="3929"/>
        <v>2.4531880206712851E-2</v>
      </c>
      <c r="DN903" s="185">
        <f t="shared" si="3929"/>
        <v>2.461923982333334E-2</v>
      </c>
      <c r="DO903" s="4">
        <f t="shared" si="3929"/>
        <v>2.5093427314599619E-2</v>
      </c>
      <c r="DP903" s="4">
        <f t="shared" si="3929"/>
        <v>2.570186533952026E-2</v>
      </c>
      <c r="DQ903" s="185">
        <f t="shared" si="3929"/>
        <v>2.5793486311930128E-2</v>
      </c>
      <c r="DR903" s="4">
        <f t="shared" si="3929"/>
        <v>2.6316007074324358E-2</v>
      </c>
      <c r="DS903" s="4">
        <f t="shared" si="3929"/>
        <v>2.6913464310487651E-2</v>
      </c>
      <c r="DT903" s="185">
        <f t="shared" si="3929"/>
        <v>2.7009503867209749E-2</v>
      </c>
      <c r="DU903" s="4">
        <f t="shared" si="3929"/>
        <v>2.7515959660129177E-2</v>
      </c>
      <c r="DV903" s="4">
        <f t="shared" si="3929"/>
        <v>2.8197511924841587E-2</v>
      </c>
      <c r="DW903" s="185">
        <f t="shared" si="3929"/>
        <v>2.8298237912766634E-2</v>
      </c>
      <c r="DX903" s="4">
        <f t="shared" si="3929"/>
        <v>2.8808941188527722E-2</v>
      </c>
      <c r="DY903" s="4">
        <f t="shared" si="3929"/>
        <v>2.9520926539440034E-2</v>
      </c>
      <c r="DZ903" s="185">
        <f t="shared" si="3929"/>
        <v>2.9626489324718876E-2</v>
      </c>
      <c r="EA903" s="4">
        <f t="shared" si="3929"/>
        <v>3.0220855933187716E-2</v>
      </c>
      <c r="EB903" s="4">
        <f t="shared" si="3929"/>
        <v>3.0943299741033332E-2</v>
      </c>
      <c r="EC903" s="185">
        <f t="shared" si="3929"/>
        <v>3.1054063449846129E-2</v>
      </c>
      <c r="ED903" s="4">
        <f t="shared" si="3929"/>
        <v>3.1667439908184748E-2</v>
      </c>
      <c r="EE903" s="4">
        <f t="shared" si="3929"/>
        <v>3.2414884657010049E-2</v>
      </c>
      <c r="EF903" s="185">
        <f t="shared" si="3929"/>
        <v>3.2531036269979371E-2</v>
      </c>
      <c r="EG903" s="4">
        <f t="shared" si="3929"/>
        <v>3.3164077896289945E-2</v>
      </c>
      <c r="EH903" s="4">
        <f t="shared" si="3929"/>
        <v>3.3937393393734194E-2</v>
      </c>
      <c r="EI903" s="185">
        <f t="shared" si="3929"/>
        <v>3.405912659147551E-2</v>
      </c>
      <c r="EJ903" s="4">
        <f t="shared" si="3929"/>
        <v>3.4712511081490059E-2</v>
      </c>
      <c r="EK903" s="4">
        <f t="shared" si="3929"/>
        <v>3.5512597161720158E-2</v>
      </c>
      <c r="EL903" s="185">
        <f t="shared" si="3929"/>
        <v>3.564011256299604E-2</v>
      </c>
      <c r="EM903" s="4">
        <f t="shared" si="3929"/>
        <v>3.6314540746150085E-2</v>
      </c>
      <c r="EN903" s="4">
        <f t="shared" si="3929"/>
        <v>3.7142328296518957E-2</v>
      </c>
      <c r="EO903" s="185">
        <f t="shared" si="3929"/>
        <v>3.727583370477227E-2</v>
      </c>
      <c r="EP903" s="4">
        <f t="shared" si="3929"/>
        <v>3.7972030325575522E-2</v>
      </c>
      <c r="EQ903" s="4">
        <f t="shared" si="3929"/>
        <v>3.8828482348054659E-2</v>
      </c>
      <c r="ER903" s="185">
        <f t="shared" si="3929"/>
        <v>3.8968193006612209E-2</v>
      </c>
      <c r="ES903" s="4">
        <f t="shared" ref="ES903:EX903" si="3930">ES861/(ES700*1000000)</f>
        <v>3.9686907532155077E-2</v>
      </c>
      <c r="ET903" s="4">
        <f t="shared" si="3930"/>
        <v>4.0573020240708559E-2</v>
      </c>
      <c r="EU903" s="185">
        <f t="shared" si="3930"/>
        <v>4.0719159096956822E-2</v>
      </c>
      <c r="EV903" s="4">
        <f t="shared" si="3930"/>
        <v>4.146116655141896E-2</v>
      </c>
      <c r="EW903" s="4">
        <f t="shared" si="3930"/>
        <v>4.2377970506524733E-2</v>
      </c>
      <c r="EX903" s="185">
        <f t="shared" si="3930"/>
        <v>4.2530768485369845E-2</v>
      </c>
      <c r="EY903" s="4">
        <f t="shared" ref="EY903:FA903" si="3931">EY861/(EY700*1000000)</f>
        <v>4.3296870312425378E-2</v>
      </c>
      <c r="EZ903" s="4">
        <f t="shared" si="3931"/>
        <v>4.4245431593989977E-2</v>
      </c>
      <c r="FA903" s="185">
        <f t="shared" si="3931"/>
        <v>4.44051278809246E-2</v>
      </c>
      <c r="FH903" s="35"/>
      <c r="FI903" s="35"/>
      <c r="FJ903" s="35"/>
      <c r="FK903" s="35"/>
      <c r="FL903" s="35"/>
      <c r="FM903" s="35"/>
      <c r="FN903" s="35"/>
      <c r="FO903" s="35"/>
      <c r="FP903" s="35"/>
      <c r="FQ903" s="35"/>
    </row>
    <row r="904" spans="1:173" s="321" customFormat="1" hidden="1" outlineLevel="1">
      <c r="A904" s="1168"/>
      <c r="B904" s="186"/>
      <c r="C904" s="186"/>
      <c r="D904" s="910"/>
      <c r="E904" s="1"/>
      <c r="F904" s="1"/>
      <c r="G904" s="5"/>
      <c r="H904" s="1"/>
      <c r="I904" s="1"/>
      <c r="J904" s="5"/>
      <c r="K904" s="1"/>
      <c r="L904" s="1"/>
      <c r="M904" s="5"/>
      <c r="N904" s="1"/>
      <c r="O904" s="1"/>
      <c r="P904" s="5"/>
      <c r="Q904" s="1"/>
      <c r="R904" s="1"/>
      <c r="S904" s="5"/>
      <c r="T904" s="1"/>
      <c r="U904" s="1"/>
      <c r="V904" s="5"/>
      <c r="W904" s="1"/>
      <c r="X904" s="1"/>
      <c r="Y904" s="5"/>
      <c r="Z904" s="1"/>
      <c r="AA904" s="1"/>
      <c r="AB904" s="5"/>
      <c r="AC904" s="1"/>
      <c r="AD904" s="1"/>
      <c r="AE904" s="5"/>
      <c r="AF904" s="1"/>
      <c r="AG904" s="1"/>
      <c r="AH904" s="5"/>
      <c r="AI904" s="1"/>
      <c r="AJ904" s="1"/>
      <c r="AK904" s="5"/>
      <c r="AL904" s="1"/>
      <c r="AM904" s="1"/>
      <c r="AN904" s="5"/>
      <c r="AO904" s="1"/>
      <c r="AP904" s="1"/>
      <c r="AQ904" s="5"/>
      <c r="AR904" s="1"/>
      <c r="AS904" s="1"/>
      <c r="AT904" s="5"/>
      <c r="AU904" s="1"/>
      <c r="AV904" s="1"/>
      <c r="AW904" s="5"/>
      <c r="AX904" s="1"/>
      <c r="AY904" s="1"/>
      <c r="AZ904" s="5"/>
      <c r="BA904" s="1"/>
      <c r="BB904" s="1"/>
      <c r="BC904" s="46"/>
      <c r="BD904" s="1"/>
      <c r="BE904" s="1"/>
      <c r="BF904" s="46"/>
      <c r="BG904" s="1"/>
      <c r="BH904" s="1"/>
      <c r="BI904" s="51"/>
      <c r="BJ904" s="115"/>
      <c r="BK904" s="115"/>
      <c r="BL904" s="116"/>
      <c r="BM904" s="115"/>
      <c r="BN904" s="115"/>
      <c r="BO904" s="116"/>
      <c r="BP904" s="115"/>
      <c r="BQ904" s="115"/>
      <c r="BR904" s="116"/>
      <c r="BS904" s="8"/>
      <c r="BT904" s="8"/>
      <c r="BU904" s="9"/>
      <c r="BV904" s="8"/>
      <c r="BW904" s="8"/>
      <c r="BX904" s="187"/>
      <c r="BY904" s="8"/>
      <c r="BZ904" s="8"/>
      <c r="CA904" s="187"/>
      <c r="CB904" s="8"/>
      <c r="CC904" s="8"/>
      <c r="CD904" s="187"/>
      <c r="CE904" s="8"/>
      <c r="CF904" s="8"/>
      <c r="CG904" s="187"/>
      <c r="CH904" s="8"/>
      <c r="CI904" s="8"/>
      <c r="CJ904" s="187"/>
      <c r="CK904" s="8"/>
      <c r="CL904" s="8"/>
      <c r="CM904" s="187"/>
      <c r="CN904" s="8"/>
      <c r="CO904" s="8"/>
      <c r="CP904" s="187"/>
      <c r="CQ904" s="8"/>
      <c r="CR904" s="8"/>
      <c r="CS904" s="187"/>
      <c r="CT904" s="8"/>
      <c r="CU904" s="8"/>
      <c r="CV904" s="187"/>
      <c r="CW904" s="8"/>
      <c r="CX904" s="8"/>
      <c r="CY904" s="9"/>
      <c r="CZ904" s="8"/>
      <c r="DA904" s="8"/>
      <c r="DB904" s="9"/>
      <c r="DC904" s="8"/>
      <c r="DD904" s="8"/>
      <c r="DE904" s="9"/>
      <c r="DF904" s="8"/>
      <c r="DG904" s="8"/>
      <c r="DH904" s="9"/>
      <c r="DI904" s="8"/>
      <c r="DJ904" s="8"/>
      <c r="DK904" s="9"/>
      <c r="DL904" s="8"/>
      <c r="DM904" s="8"/>
      <c r="DN904" s="9"/>
      <c r="DO904" s="8"/>
      <c r="DP904" s="8"/>
      <c r="DQ904" s="9"/>
      <c r="DR904" s="8"/>
      <c r="DS904" s="8"/>
      <c r="DT904" s="9"/>
      <c r="DU904" s="8"/>
      <c r="DV904" s="8"/>
      <c r="DW904" s="9"/>
      <c r="DX904" s="8"/>
      <c r="DY904" s="8"/>
      <c r="DZ904" s="9"/>
      <c r="EA904" s="8"/>
      <c r="EB904" s="8"/>
      <c r="EC904" s="9"/>
      <c r="ED904" s="8"/>
      <c r="EE904" s="8"/>
      <c r="EF904" s="9"/>
      <c r="EG904" s="8"/>
      <c r="EH904" s="8"/>
      <c r="EI904" s="9"/>
      <c r="EJ904" s="8"/>
      <c r="EK904" s="8"/>
      <c r="EL904" s="9"/>
      <c r="EM904" s="8"/>
      <c r="EN904" s="8"/>
      <c r="EO904" s="9"/>
      <c r="EP904" s="8"/>
      <c r="EQ904" s="8"/>
      <c r="ER904" s="9"/>
      <c r="ES904" s="8"/>
      <c r="ET904" s="8"/>
      <c r="EU904" s="9"/>
      <c r="EV904" s="8"/>
      <c r="EW904" s="8"/>
      <c r="EX904" s="9"/>
      <c r="EY904" s="8"/>
      <c r="EZ904" s="8"/>
      <c r="FA904" s="9"/>
      <c r="FH904" s="35"/>
      <c r="FI904" s="35"/>
      <c r="FJ904" s="35"/>
      <c r="FK904" s="35"/>
      <c r="FL904" s="35"/>
      <c r="FM904" s="35"/>
      <c r="FN904" s="35"/>
      <c r="FO904" s="35"/>
      <c r="FP904" s="35"/>
      <c r="FQ904" s="35"/>
    </row>
    <row r="905" spans="1:173" s="321" customFormat="1" hidden="1" outlineLevel="1">
      <c r="A905" s="1168"/>
      <c r="B905" s="186"/>
      <c r="C905" s="331" t="s">
        <v>104</v>
      </c>
      <c r="D905" s="910"/>
      <c r="E905" s="1"/>
      <c r="F905" s="1"/>
      <c r="G905" s="5"/>
      <c r="H905" s="1"/>
      <c r="I905" s="1"/>
      <c r="J905" s="5"/>
      <c r="K905" s="1"/>
      <c r="L905" s="1"/>
      <c r="M905" s="5"/>
      <c r="N905" s="1"/>
      <c r="O905" s="1"/>
      <c r="P905" s="5"/>
      <c r="Q905" s="1"/>
      <c r="R905" s="1"/>
      <c r="S905" s="5"/>
      <c r="T905" s="1"/>
      <c r="U905" s="1"/>
      <c r="V905" s="5"/>
      <c r="W905" s="1"/>
      <c r="X905" s="1"/>
      <c r="Y905" s="5"/>
      <c r="Z905" s="1"/>
      <c r="AA905" s="1"/>
      <c r="AB905" s="5"/>
      <c r="AC905" s="1"/>
      <c r="AD905" s="1"/>
      <c r="AE905" s="5"/>
      <c r="AF905" s="1"/>
      <c r="AG905" s="1"/>
      <c r="AH905" s="5"/>
      <c r="AI905" s="1"/>
      <c r="AJ905" s="1"/>
      <c r="AK905" s="5"/>
      <c r="AL905" s="1"/>
      <c r="AM905" s="1"/>
      <c r="AN905" s="5"/>
      <c r="AO905" s="1"/>
      <c r="AP905" s="1"/>
      <c r="AQ905" s="5"/>
      <c r="AR905" s="1"/>
      <c r="AS905" s="1"/>
      <c r="AT905" s="5"/>
      <c r="AU905" s="1"/>
      <c r="AV905" s="1"/>
      <c r="AW905" s="5"/>
      <c r="AX905" s="1"/>
      <c r="AY905" s="1"/>
      <c r="AZ905" s="5"/>
      <c r="BA905" s="1"/>
      <c r="BB905" s="1"/>
      <c r="BC905" s="46"/>
      <c r="BD905" s="1"/>
      <c r="BE905" s="1"/>
      <c r="BF905" s="46"/>
      <c r="BG905" s="1"/>
      <c r="BH905" s="1"/>
      <c r="BI905" s="51"/>
      <c r="BJ905" s="115"/>
      <c r="BK905" s="115"/>
      <c r="BL905" s="116"/>
      <c r="BM905" s="115"/>
      <c r="BN905" s="115"/>
      <c r="BO905" s="116"/>
      <c r="BP905" s="115"/>
      <c r="BQ905" s="115"/>
      <c r="BR905" s="116"/>
      <c r="BS905" s="8"/>
      <c r="BT905" s="8"/>
      <c r="BU905" s="9"/>
      <c r="BV905" s="8"/>
      <c r="BW905" s="8"/>
      <c r="BX905" s="187"/>
      <c r="BY905" s="8"/>
      <c r="BZ905" s="8"/>
      <c r="CA905" s="187"/>
      <c r="CB905" s="8"/>
      <c r="CC905" s="8"/>
      <c r="CD905" s="187"/>
      <c r="CE905" s="8"/>
      <c r="CF905" s="8"/>
      <c r="CG905" s="187"/>
      <c r="CH905" s="8"/>
      <c r="CI905" s="8"/>
      <c r="CJ905" s="187"/>
      <c r="CK905" s="8"/>
      <c r="CL905" s="8"/>
      <c r="CM905" s="187"/>
      <c r="CN905" s="8"/>
      <c r="CO905" s="8"/>
      <c r="CP905" s="187"/>
      <c r="CQ905" s="8"/>
      <c r="CR905" s="8"/>
      <c r="CS905" s="187"/>
      <c r="CT905" s="8"/>
      <c r="CU905" s="8"/>
      <c r="CV905" s="187"/>
      <c r="CW905" s="8"/>
      <c r="CX905" s="8"/>
      <c r="CY905" s="9"/>
      <c r="CZ905" s="8"/>
      <c r="DA905" s="8"/>
      <c r="DB905" s="9"/>
      <c r="DC905" s="8"/>
      <c r="DD905" s="8"/>
      <c r="DE905" s="9"/>
      <c r="DF905" s="8"/>
      <c r="DG905" s="8"/>
      <c r="DH905" s="9"/>
      <c r="DI905" s="8"/>
      <c r="DJ905" s="8"/>
      <c r="DK905" s="9"/>
      <c r="DL905" s="8"/>
      <c r="DM905" s="8"/>
      <c r="DN905" s="9"/>
      <c r="DO905" s="8"/>
      <c r="DP905" s="8"/>
      <c r="DQ905" s="9"/>
      <c r="DR905" s="8"/>
      <c r="DS905" s="8"/>
      <c r="DT905" s="9"/>
      <c r="DU905" s="8"/>
      <c r="DV905" s="8"/>
      <c r="DW905" s="9"/>
      <c r="DX905" s="8"/>
      <c r="DY905" s="8"/>
      <c r="DZ905" s="9"/>
      <c r="EA905" s="8"/>
      <c r="EB905" s="8"/>
      <c r="EC905" s="9"/>
      <c r="ED905" s="8"/>
      <c r="EE905" s="8"/>
      <c r="EF905" s="9"/>
      <c r="EG905" s="8"/>
      <c r="EH905" s="8"/>
      <c r="EI905" s="9"/>
      <c r="EJ905" s="8"/>
      <c r="EK905" s="8"/>
      <c r="EL905" s="9"/>
      <c r="EM905" s="8"/>
      <c r="EN905" s="8"/>
      <c r="EO905" s="9"/>
      <c r="EP905" s="8"/>
      <c r="EQ905" s="8"/>
      <c r="ER905" s="9"/>
      <c r="ES905" s="8"/>
      <c r="ET905" s="8"/>
      <c r="EU905" s="9"/>
      <c r="EV905" s="8"/>
      <c r="EW905" s="8"/>
      <c r="EX905" s="9"/>
      <c r="EY905" s="8"/>
      <c r="EZ905" s="8"/>
      <c r="FA905" s="9"/>
      <c r="FH905" s="35"/>
      <c r="FI905" s="35"/>
      <c r="FJ905" s="35"/>
      <c r="FK905" s="35"/>
      <c r="FL905" s="35"/>
      <c r="FM905" s="35"/>
      <c r="FN905" s="35"/>
      <c r="FO905" s="35"/>
      <c r="FP905" s="35"/>
      <c r="FQ905" s="35"/>
    </row>
    <row r="906" spans="1:173" s="321" customFormat="1" hidden="1" outlineLevel="1">
      <c r="A906" s="1168"/>
      <c r="B906" s="186"/>
      <c r="C906" s="186" t="s">
        <v>316</v>
      </c>
      <c r="D906" s="910"/>
      <c r="E906" s="1"/>
      <c r="F906" s="1"/>
      <c r="G906" s="5"/>
      <c r="H906" s="1"/>
      <c r="I906" s="1"/>
      <c r="J906" s="5"/>
      <c r="K906" s="1"/>
      <c r="L906" s="1"/>
      <c r="M906" s="5"/>
      <c r="N906" s="1"/>
      <c r="O906" s="1"/>
      <c r="P906" s="5"/>
      <c r="Q906" s="1"/>
      <c r="R906" s="1"/>
      <c r="S906" s="5"/>
      <c r="T906" s="1"/>
      <c r="U906" s="1"/>
      <c r="V906" s="5"/>
      <c r="W906" s="1"/>
      <c r="X906" s="1"/>
      <c r="Y906" s="5"/>
      <c r="Z906" s="1"/>
      <c r="AA906" s="1"/>
      <c r="AB906" s="5"/>
      <c r="AC906" s="1"/>
      <c r="AD906" s="1"/>
      <c r="AE906" s="5"/>
      <c r="AF906" s="1"/>
      <c r="AG906" s="1"/>
      <c r="AH906" s="5"/>
      <c r="AI906" s="1"/>
      <c r="AJ906" s="1"/>
      <c r="AK906" s="5"/>
      <c r="AL906" s="1"/>
      <c r="AM906" s="1"/>
      <c r="AN906" s="5"/>
      <c r="AO906" s="1"/>
      <c r="AP906" s="1"/>
      <c r="AQ906" s="5"/>
      <c r="AR906" s="1"/>
      <c r="AS906" s="1"/>
      <c r="AT906" s="5"/>
      <c r="AU906" s="1"/>
      <c r="AV906" s="1"/>
      <c r="AW906" s="5"/>
      <c r="AX906" s="185">
        <f t="shared" ref="AX906:CC906" si="3932">AX864/(AX703*1000000)</f>
        <v>0.16385205185355267</v>
      </c>
      <c r="AY906" s="185">
        <f t="shared" si="3932"/>
        <v>0.18103181654384976</v>
      </c>
      <c r="AZ906" s="185">
        <f t="shared" si="3932"/>
        <v>0.18167258752139195</v>
      </c>
      <c r="BA906" s="4">
        <f t="shared" si="3932"/>
        <v>0.19726284629825763</v>
      </c>
      <c r="BB906" s="4">
        <f t="shared" si="3932"/>
        <v>0.21817231302612772</v>
      </c>
      <c r="BC906" s="971">
        <f t="shared" si="3932"/>
        <v>0.21894454460927895</v>
      </c>
      <c r="BD906" s="4">
        <f t="shared" si="3932"/>
        <v>0.23705047426079612</v>
      </c>
      <c r="BE906" s="4">
        <f t="shared" si="3932"/>
        <v>0.26033127224049252</v>
      </c>
      <c r="BF906" s="971">
        <f t="shared" si="3932"/>
        <v>0.26125272752378487</v>
      </c>
      <c r="BG906" s="4">
        <f t="shared" si="3932"/>
        <v>0.28342224460699711</v>
      </c>
      <c r="BH906" s="4">
        <f t="shared" si="3932"/>
        <v>0.30832870804925339</v>
      </c>
      <c r="BI906" s="971">
        <f t="shared" si="3932"/>
        <v>0.30942005260643074</v>
      </c>
      <c r="BJ906" s="121">
        <f t="shared" si="3932"/>
        <v>0.33022946638634421</v>
      </c>
      <c r="BK906" s="121">
        <f t="shared" si="3932"/>
        <v>0.35884760894190892</v>
      </c>
      <c r="BL906" s="114">
        <f t="shared" si="3932"/>
        <v>0.36011776762208036</v>
      </c>
      <c r="BM906" s="121">
        <f t="shared" si="3932"/>
        <v>0.38981055280280119</v>
      </c>
      <c r="BN906" s="121">
        <f t="shared" si="3932"/>
        <v>0.42272242859279457</v>
      </c>
      <c r="BO906" s="114">
        <f t="shared" si="3932"/>
        <v>0.42422088684941117</v>
      </c>
      <c r="BP906" s="121">
        <f t="shared" si="3932"/>
        <v>0.4644407641500945</v>
      </c>
      <c r="BQ906" s="121">
        <f t="shared" si="3932"/>
        <v>0.5018397720097475</v>
      </c>
      <c r="BR906" s="114">
        <f t="shared" si="3932"/>
        <v>0.50361868388903885</v>
      </c>
      <c r="BS906" s="4">
        <f t="shared" si="3932"/>
        <v>0.55327144680247298</v>
      </c>
      <c r="BT906" s="4">
        <f t="shared" si="3932"/>
        <v>0.60150642283799416</v>
      </c>
      <c r="BU906" s="185">
        <f t="shared" si="3932"/>
        <v>0.60363863112585348</v>
      </c>
      <c r="BV906" s="4">
        <f t="shared" si="3932"/>
        <v>0.65747661301419325</v>
      </c>
      <c r="BW906" s="4">
        <f t="shared" si="3932"/>
        <v>0.71149748952574254</v>
      </c>
      <c r="BX906" s="185">
        <f t="shared" si="3932"/>
        <v>0.71401959201103293</v>
      </c>
      <c r="BY906" s="4">
        <f t="shared" si="3932"/>
        <v>0.76927964979871211</v>
      </c>
      <c r="BZ906" s="4">
        <f t="shared" si="3932"/>
        <v>0.82525292338604828</v>
      </c>
      <c r="CA906" s="185">
        <f t="shared" si="3932"/>
        <v>0.82817826392442795</v>
      </c>
      <c r="CB906" s="4">
        <f t="shared" si="3932"/>
        <v>0.88876608475527241</v>
      </c>
      <c r="CC906" s="4">
        <f t="shared" si="3932"/>
        <v>0.95822291233828805</v>
      </c>
      <c r="CD906" s="185">
        <f t="shared" ref="CD906:DI906" si="3933">CD864/(CD703*1000000)</f>
        <v>0.96161960231154631</v>
      </c>
      <c r="CE906" s="4">
        <f t="shared" si="3933"/>
        <v>1.0317516892915424</v>
      </c>
      <c r="CF906" s="4">
        <f t="shared" si="3933"/>
        <v>1.1121617994149489</v>
      </c>
      <c r="CG906" s="185">
        <f t="shared" si="3933"/>
        <v>1.1161041689659914</v>
      </c>
      <c r="CH906" s="4">
        <f t="shared" si="3933"/>
        <v>1.1762720665200572</v>
      </c>
      <c r="CI906" s="4">
        <f t="shared" si="3933"/>
        <v>1.2535586000852394</v>
      </c>
      <c r="CJ906" s="185">
        <f t="shared" si="3933"/>
        <v>1.2580021902697101</v>
      </c>
      <c r="CK906" s="4">
        <f t="shared" si="3933"/>
        <v>1.3241612039104118</v>
      </c>
      <c r="CL906" s="4">
        <f t="shared" si="3933"/>
        <v>1.3929425123074908</v>
      </c>
      <c r="CM906" s="185">
        <f t="shared" si="3933"/>
        <v>1.3978801878775045</v>
      </c>
      <c r="CN906" s="4">
        <f t="shared" si="3933"/>
        <v>1.462238792738058</v>
      </c>
      <c r="CO906" s="4">
        <f t="shared" si="3933"/>
        <v>1.5417055525036159</v>
      </c>
      <c r="CP906" s="185">
        <f t="shared" si="3933"/>
        <v>1.547170560409894</v>
      </c>
      <c r="CQ906" s="4">
        <f t="shared" si="3933"/>
        <v>1.6232635144549239</v>
      </c>
      <c r="CR906" s="4">
        <f t="shared" si="3933"/>
        <v>1.7151315740451079</v>
      </c>
      <c r="CS906" s="185">
        <f t="shared" si="3933"/>
        <v>1.7212113391450272</v>
      </c>
      <c r="CT906" s="4">
        <f t="shared" si="3933"/>
        <v>1.8051542210730787</v>
      </c>
      <c r="CU906" s="4">
        <f t="shared" si="3933"/>
        <v>1.8999176690941797</v>
      </c>
      <c r="CV906" s="185">
        <f t="shared" si="3933"/>
        <v>1.9066524603557249</v>
      </c>
      <c r="CW906" s="4">
        <f t="shared" si="3933"/>
        <v>2.0080352985159715</v>
      </c>
      <c r="CX906" s="4">
        <f t="shared" si="3933"/>
        <v>2.1156786138473409</v>
      </c>
      <c r="CY906" s="185">
        <f t="shared" si="3933"/>
        <v>2.1231782303162858</v>
      </c>
      <c r="CZ906" s="4">
        <f t="shared" si="3933"/>
        <v>2.2361776704082996</v>
      </c>
      <c r="DA906" s="4">
        <f t="shared" si="3933"/>
        <v>2.3537548865431401</v>
      </c>
      <c r="DB906" s="185">
        <f t="shared" si="3933"/>
        <v>2.3620984311606645</v>
      </c>
      <c r="DC906" s="4">
        <f t="shared" si="3933"/>
        <v>2.471689350552706</v>
      </c>
      <c r="DD906" s="4">
        <f t="shared" si="3933"/>
        <v>2.5758533384503073</v>
      </c>
      <c r="DE906" s="185">
        <f t="shared" si="3933"/>
        <v>2.5849841733475314</v>
      </c>
      <c r="DF906" s="4">
        <f t="shared" si="3933"/>
        <v>2.705822921278831</v>
      </c>
      <c r="DG906" s="4">
        <f t="shared" si="3933"/>
        <v>2.7828254630764309</v>
      </c>
      <c r="DH906" s="185">
        <f t="shared" si="3933"/>
        <v>2.7926899687421263</v>
      </c>
      <c r="DI906" s="4">
        <f t="shared" si="3933"/>
        <v>2.8987083670271696</v>
      </c>
      <c r="DJ906" s="4">
        <f t="shared" ref="DJ906:ER906" si="3934">DJ864/(DJ703*1000000)</f>
        <v>3.0154110881624678</v>
      </c>
      <c r="DK906" s="185">
        <f t="shared" si="3934"/>
        <v>3.0261000588357119</v>
      </c>
      <c r="DL906" s="4">
        <f t="shared" si="3934"/>
        <v>3.1320109267393401</v>
      </c>
      <c r="DM906" s="4">
        <f t="shared" si="3934"/>
        <v>3.2539884248336883</v>
      </c>
      <c r="DN906" s="185">
        <f t="shared" si="3934"/>
        <v>3.265523099817361</v>
      </c>
      <c r="DO906" s="4">
        <f t="shared" si="3934"/>
        <v>3.3938572024359437</v>
      </c>
      <c r="DP906" s="4">
        <f t="shared" si="3934"/>
        <v>3.5457731572365332</v>
      </c>
      <c r="DQ906" s="185">
        <f t="shared" si="3934"/>
        <v>3.5583421450738664</v>
      </c>
      <c r="DR906" s="4">
        <f t="shared" si="3934"/>
        <v>3.7143755629987161</v>
      </c>
      <c r="DS906" s="4">
        <f t="shared" si="3934"/>
        <v>3.8667430846394293</v>
      </c>
      <c r="DT906" s="185">
        <f t="shared" si="3934"/>
        <v>3.8804498404429522</v>
      </c>
      <c r="DU906" s="4">
        <f t="shared" si="3934"/>
        <v>4.0331855317396395</v>
      </c>
      <c r="DV906" s="4">
        <f t="shared" si="3934"/>
        <v>4.2101802333611964</v>
      </c>
      <c r="DW906" s="185">
        <f t="shared" si="3934"/>
        <v>4.225104398500779</v>
      </c>
      <c r="DX906" s="4">
        <f t="shared" si="3934"/>
        <v>4.3909822395546936</v>
      </c>
      <c r="DY906" s="4">
        <f t="shared" si="3934"/>
        <v>4.5855648814392636</v>
      </c>
      <c r="DZ906" s="185">
        <f t="shared" si="3934"/>
        <v>4.6018197027902801</v>
      </c>
      <c r="EA906" s="4">
        <f t="shared" si="3934"/>
        <v>4.8029262498794738</v>
      </c>
      <c r="EB906" s="4">
        <f t="shared" si="3934"/>
        <v>5.0106992434202704</v>
      </c>
      <c r="EC906" s="185">
        <f t="shared" si="3934"/>
        <v>5.0284610728025445</v>
      </c>
      <c r="ED906" s="4">
        <f t="shared" si="3934"/>
        <v>5.2471947008484729</v>
      </c>
      <c r="EE906" s="4">
        <f t="shared" si="3934"/>
        <v>5.4732564211544634</v>
      </c>
      <c r="EF906" s="185">
        <f t="shared" si="3934"/>
        <v>5.492657914238614</v>
      </c>
      <c r="EG906" s="4">
        <f t="shared" si="3934"/>
        <v>5.7304689011578205</v>
      </c>
      <c r="EH906" s="4">
        <f t="shared" si="3934"/>
        <v>5.9763322091344788</v>
      </c>
      <c r="EI906" s="185">
        <f t="shared" si="3934"/>
        <v>5.9975169955033341</v>
      </c>
      <c r="EJ906" s="4">
        <f t="shared" si="3934"/>
        <v>6.2559663324552943</v>
      </c>
      <c r="EK906" s="4">
        <f t="shared" si="3934"/>
        <v>6.5232603760290369</v>
      </c>
      <c r="EL906" s="185">
        <f t="shared" si="3934"/>
        <v>6.5463839027438615</v>
      </c>
      <c r="EM906" s="4">
        <f t="shared" si="3934"/>
        <v>6.8271505043029883</v>
      </c>
      <c r="EN906" s="4">
        <f t="shared" si="3934"/>
        <v>7.1176284127421274</v>
      </c>
      <c r="EO906" s="185">
        <f t="shared" si="3934"/>
        <v>7.1428588437322853</v>
      </c>
      <c r="EP906" s="4">
        <f t="shared" si="3934"/>
        <v>7.4477470179637475</v>
      </c>
      <c r="EQ906" s="4">
        <f t="shared" si="3934"/>
        <v>7.7632938974456485</v>
      </c>
      <c r="ER906" s="185">
        <f t="shared" si="3934"/>
        <v>7.790813070908702</v>
      </c>
      <c r="ES906" s="4">
        <f t="shared" ref="ES906:EX906" si="3935">ES864/(ES703*1000000)</f>
        <v>8.1217602165551526</v>
      </c>
      <c r="ET906" s="4">
        <f t="shared" si="3935"/>
        <v>8.4644014176469025</v>
      </c>
      <c r="EU906" s="185">
        <f t="shared" si="3935"/>
        <v>8.4944058634337338</v>
      </c>
      <c r="EV906" s="4">
        <f t="shared" si="3935"/>
        <v>8.8534903502161111</v>
      </c>
      <c r="EW906" s="4">
        <f t="shared" si="3935"/>
        <v>9.2253999670122209</v>
      </c>
      <c r="EX906" s="185">
        <f t="shared" si="3935"/>
        <v>9.2581019856800708</v>
      </c>
      <c r="EY906" s="4">
        <f t="shared" ref="EY906:FA906" si="3936">EY864/(EY703*1000000)</f>
        <v>9.6475511602778994</v>
      </c>
      <c r="EZ906" s="4">
        <f t="shared" si="3936"/>
        <v>10.051060707802149</v>
      </c>
      <c r="FA906" s="185">
        <f t="shared" si="3936"/>
        <v>10.08668951263159</v>
      </c>
      <c r="FH906" s="35"/>
      <c r="FI906" s="35"/>
      <c r="FJ906" s="35"/>
      <c r="FK906" s="35"/>
      <c r="FL906" s="35"/>
      <c r="FM906" s="35"/>
      <c r="FN906" s="35"/>
      <c r="FO906" s="35"/>
      <c r="FP906" s="35"/>
      <c r="FQ906" s="35"/>
    </row>
    <row r="907" spans="1:173" s="321" customFormat="1" hidden="1" outlineLevel="1">
      <c r="A907" s="1168"/>
      <c r="B907" s="186"/>
      <c r="C907" s="186" t="s">
        <v>317</v>
      </c>
      <c r="D907" s="910"/>
      <c r="E907" s="1"/>
      <c r="F907" s="1"/>
      <c r="G907" s="5"/>
      <c r="H907" s="1"/>
      <c r="I907" s="1"/>
      <c r="J907" s="5"/>
      <c r="K907" s="1"/>
      <c r="L907" s="1"/>
      <c r="M907" s="5"/>
      <c r="N907" s="1"/>
      <c r="O907" s="1"/>
      <c r="P907" s="5"/>
      <c r="Q907" s="1"/>
      <c r="R907" s="1"/>
      <c r="S907" s="5"/>
      <c r="T907" s="1"/>
      <c r="U907" s="1"/>
      <c r="V907" s="5"/>
      <c r="W907" s="1"/>
      <c r="X907" s="1"/>
      <c r="Y907" s="5"/>
      <c r="Z907" s="1"/>
      <c r="AA907" s="1"/>
      <c r="AB907" s="5"/>
      <c r="AC907" s="1"/>
      <c r="AD907" s="1"/>
      <c r="AE907" s="5"/>
      <c r="AF907" s="1"/>
      <c r="AG907" s="1"/>
      <c r="AH907" s="5"/>
      <c r="AI907" s="1"/>
      <c r="AJ907" s="1"/>
      <c r="AK907" s="5"/>
      <c r="AL907" s="1"/>
      <c r="AM907" s="1"/>
      <c r="AN907" s="5"/>
      <c r="AO907" s="1"/>
      <c r="AP907" s="1"/>
      <c r="AQ907" s="5"/>
      <c r="AR907" s="1"/>
      <c r="AS907" s="1"/>
      <c r="AT907" s="5"/>
      <c r="AU907" s="1"/>
      <c r="AV907" s="1"/>
      <c r="AW907" s="5"/>
      <c r="AX907" s="185">
        <f t="shared" ref="AX907:CC907" si="3937">AX865/(AX704*1000000)</f>
        <v>3.8519960108380498E-2</v>
      </c>
      <c r="AY907" s="185">
        <f t="shared" si="3937"/>
        <v>4.3831155511705855E-2</v>
      </c>
      <c r="AZ907" s="185">
        <f t="shared" si="3937"/>
        <v>4.3938060534381915E-2</v>
      </c>
      <c r="BA907" s="4">
        <f t="shared" si="3937"/>
        <v>4.9186130087809136E-2</v>
      </c>
      <c r="BB907" s="4">
        <f t="shared" si="3937"/>
        <v>5.5700128987098134E-2</v>
      </c>
      <c r="BC907" s="971">
        <f t="shared" si="3937"/>
        <v>5.5835982662022013E-2</v>
      </c>
      <c r="BD907" s="4">
        <f t="shared" si="3937"/>
        <v>6.2338547465515474E-2</v>
      </c>
      <c r="BE907" s="4">
        <f t="shared" si="3937"/>
        <v>7.0779153619725879E-2</v>
      </c>
      <c r="BF907" s="971">
        <f t="shared" si="3937"/>
        <v>7.0951785322777558E-2</v>
      </c>
      <c r="BG907" s="4">
        <f t="shared" si="3937"/>
        <v>7.7876114822643505E-2</v>
      </c>
      <c r="BH907" s="4">
        <f t="shared" si="3937"/>
        <v>8.6190353700377684E-2</v>
      </c>
      <c r="BI907" s="971">
        <f t="shared" si="3937"/>
        <v>8.6400573613798298E-2</v>
      </c>
      <c r="BJ907" s="121">
        <f t="shared" si="3937"/>
        <v>9.4138644259738891E-2</v>
      </c>
      <c r="BK907" s="121">
        <f t="shared" si="3937"/>
        <v>0.10344915999339442</v>
      </c>
      <c r="BL907" s="114">
        <f t="shared" si="3937"/>
        <v>0.10370147446390753</v>
      </c>
      <c r="BM907" s="121">
        <f t="shared" si="3937"/>
        <v>0.11222457458187005</v>
      </c>
      <c r="BN907" s="121">
        <f t="shared" si="3937"/>
        <v>0.12307149219185216</v>
      </c>
      <c r="BO907" s="114">
        <f t="shared" si="3937"/>
        <v>0.12337153043569303</v>
      </c>
      <c r="BP907" s="121">
        <f t="shared" si="3937"/>
        <v>0.13437676736673881</v>
      </c>
      <c r="BQ907" s="121">
        <f t="shared" si="3937"/>
        <v>0.14648924694060034</v>
      </c>
      <c r="BR907" s="114">
        <f t="shared" si="3937"/>
        <v>0.14684637575744372</v>
      </c>
      <c r="BS907" s="4">
        <f t="shared" si="3937"/>
        <v>0.16047027549076404</v>
      </c>
      <c r="BT907" s="4">
        <f t="shared" si="3937"/>
        <v>0.17557193273683075</v>
      </c>
      <c r="BU907" s="185">
        <f t="shared" si="3937"/>
        <v>0.17599996276578322</v>
      </c>
      <c r="BV907" s="4">
        <f t="shared" si="3937"/>
        <v>0.19312948540882194</v>
      </c>
      <c r="BW907" s="4">
        <f t="shared" si="3937"/>
        <v>0.21173945596873284</v>
      </c>
      <c r="BX907" s="185">
        <f t="shared" si="3937"/>
        <v>0.21225565946467848</v>
      </c>
      <c r="BY907" s="4">
        <f t="shared" si="3937"/>
        <v>0.23041000263890843</v>
      </c>
      <c r="BZ907" s="4">
        <f t="shared" si="3937"/>
        <v>0.24873667296822413</v>
      </c>
      <c r="CA907" s="185">
        <f t="shared" si="3937"/>
        <v>0.24934307265678773</v>
      </c>
      <c r="CB907" s="4">
        <f t="shared" si="3937"/>
        <v>0.26819847447068546</v>
      </c>
      <c r="CC907" s="4">
        <f t="shared" si="3937"/>
        <v>0.28949891538612915</v>
      </c>
      <c r="CD907" s="185">
        <f t="shared" ref="CD907:DI907" si="3938">CD865/(CD704*1000000)</f>
        <v>0.29020469009170335</v>
      </c>
      <c r="CE907" s="4">
        <f t="shared" si="3938"/>
        <v>0.31405735432779003</v>
      </c>
      <c r="CF907" s="4">
        <f t="shared" si="3938"/>
        <v>0.33881424698577867</v>
      </c>
      <c r="CG907" s="185">
        <f t="shared" si="3938"/>
        <v>0.33964024844105811</v>
      </c>
      <c r="CH907" s="4">
        <f t="shared" si="3938"/>
        <v>0.36093610237648222</v>
      </c>
      <c r="CI907" s="4">
        <f t="shared" si="3938"/>
        <v>0.3849311150575247</v>
      </c>
      <c r="CJ907" s="185">
        <f t="shared" si="3938"/>
        <v>0.38586954566972137</v>
      </c>
      <c r="CK907" s="4">
        <f t="shared" si="3938"/>
        <v>0.40993854917597505</v>
      </c>
      <c r="CL907" s="4">
        <f t="shared" si="3938"/>
        <v>0.43537963357310272</v>
      </c>
      <c r="CM907" s="185">
        <f t="shared" si="3938"/>
        <v>0.43644105355213186</v>
      </c>
      <c r="CN907" s="4">
        <f t="shared" si="3938"/>
        <v>0.46012665680068743</v>
      </c>
      <c r="CO907" s="4">
        <f t="shared" si="3938"/>
        <v>0.48959083377468848</v>
      </c>
      <c r="CP907" s="185">
        <f t="shared" si="3938"/>
        <v>0.49078441623111435</v>
      </c>
      <c r="CQ907" s="4">
        <f t="shared" si="3938"/>
        <v>0.51555071855586854</v>
      </c>
      <c r="CR907" s="4">
        <f t="shared" si="3938"/>
        <v>0.54734091627811554</v>
      </c>
      <c r="CS907" s="185">
        <f t="shared" si="3938"/>
        <v>0.54867528871788673</v>
      </c>
      <c r="CT907" s="4">
        <f t="shared" si="3938"/>
        <v>0.57611385906718959</v>
      </c>
      <c r="CU907" s="4">
        <f t="shared" si="3938"/>
        <v>0.6100765943659624</v>
      </c>
      <c r="CV907" s="185">
        <f t="shared" si="3938"/>
        <v>0.61156391126382392</v>
      </c>
      <c r="CW907" s="4">
        <f t="shared" si="3938"/>
        <v>0.64194992591458988</v>
      </c>
      <c r="CX907" s="4">
        <f t="shared" si="3938"/>
        <v>0.67957196189947022</v>
      </c>
      <c r="CY907" s="185">
        <f t="shared" si="3938"/>
        <v>0.68122870282606884</v>
      </c>
      <c r="CZ907" s="4">
        <f t="shared" si="3938"/>
        <v>0.7110454400017393</v>
      </c>
      <c r="DA907" s="4">
        <f t="shared" si="3938"/>
        <v>0.75833449201072367</v>
      </c>
      <c r="DB907" s="185">
        <f t="shared" si="3938"/>
        <v>0.76018324955135852</v>
      </c>
      <c r="DC907" s="4">
        <f t="shared" si="3938"/>
        <v>0.79347930591555593</v>
      </c>
      <c r="DD907" s="4">
        <f t="shared" si="3938"/>
        <v>0.8373070639007455</v>
      </c>
      <c r="DE907" s="185">
        <f t="shared" si="3938"/>
        <v>0.839348350120114</v>
      </c>
      <c r="DF907" s="4">
        <f t="shared" si="3938"/>
        <v>0.87740414527789556</v>
      </c>
      <c r="DG907" s="4">
        <f t="shared" si="3938"/>
        <v>0.91058218924937129</v>
      </c>
      <c r="DH907" s="185">
        <f t="shared" si="3938"/>
        <v>0.91280211423824897</v>
      </c>
      <c r="DI907" s="4">
        <f t="shared" si="3938"/>
        <v>0.94451184846810365</v>
      </c>
      <c r="DJ907" s="4">
        <f t="shared" ref="DJ907:ER907" si="3939">DJ865/(DJ704*1000000)</f>
        <v>0.98789708697119794</v>
      </c>
      <c r="DK907" s="185">
        <f t="shared" si="3939"/>
        <v>0.99030549936460821</v>
      </c>
      <c r="DL907" s="4">
        <f t="shared" si="3939"/>
        <v>1.0279773407953698</v>
      </c>
      <c r="DM907" s="4">
        <f t="shared" si="3939"/>
        <v>1.0703691693616548</v>
      </c>
      <c r="DN907" s="185">
        <f t="shared" si="3939"/>
        <v>1.072978641954512</v>
      </c>
      <c r="DO907" s="4">
        <f t="shared" si="3939"/>
        <v>1.1123876994685966</v>
      </c>
      <c r="DP907" s="4">
        <f t="shared" si="3939"/>
        <v>1.159131779924593</v>
      </c>
      <c r="DQ907" s="185">
        <f t="shared" si="3939"/>
        <v>1.1619576485106873</v>
      </c>
      <c r="DR907" s="4">
        <f t="shared" si="3939"/>
        <v>1.2064284452963512</v>
      </c>
      <c r="DS907" s="4">
        <f t="shared" si="3939"/>
        <v>1.2570000452139385</v>
      </c>
      <c r="DT907" s="185">
        <f t="shared" si="3939"/>
        <v>1.2600645086356215</v>
      </c>
      <c r="DU907" s="4">
        <f t="shared" si="3939"/>
        <v>1.3054656432122071</v>
      </c>
      <c r="DV907" s="4">
        <f t="shared" si="3939"/>
        <v>1.3695012993066051</v>
      </c>
      <c r="DW907" s="185">
        <f t="shared" si="3939"/>
        <v>1.3728400315951612</v>
      </c>
      <c r="DX907" s="4">
        <f t="shared" si="3939"/>
        <v>1.4225946050680587</v>
      </c>
      <c r="DY907" s="4">
        <f t="shared" si="3939"/>
        <v>1.4932346931332796</v>
      </c>
      <c r="DZ907" s="185">
        <f t="shared" si="3939"/>
        <v>1.4968750773277892</v>
      </c>
      <c r="EA907" s="4">
        <f t="shared" si="3939"/>
        <v>1.5570406150181015</v>
      </c>
      <c r="EB907" s="4">
        <f t="shared" si="3939"/>
        <v>1.6328333668301092</v>
      </c>
      <c r="EC907" s="185">
        <f t="shared" si="3939"/>
        <v>1.6368140811868082</v>
      </c>
      <c r="ED907" s="4">
        <f t="shared" si="3939"/>
        <v>1.7025335035511229</v>
      </c>
      <c r="EE907" s="4">
        <f t="shared" si="3939"/>
        <v>1.7853276390783079</v>
      </c>
      <c r="EF907" s="185">
        <f t="shared" si="3939"/>
        <v>1.7896801220129799</v>
      </c>
      <c r="EG907" s="4">
        <f t="shared" si="3939"/>
        <v>1.8614368299421635</v>
      </c>
      <c r="EH907" s="4">
        <f t="shared" si="3939"/>
        <v>1.9518438359954779</v>
      </c>
      <c r="EI907" s="185">
        <f t="shared" si="3939"/>
        <v>1.9566022718149672</v>
      </c>
      <c r="EJ907" s="4">
        <f t="shared" si="3939"/>
        <v>2.0349190354923987</v>
      </c>
      <c r="EK907" s="4">
        <f t="shared" si="3939"/>
        <v>2.1336004139903042</v>
      </c>
      <c r="EL907" s="185">
        <f t="shared" si="3939"/>
        <v>2.1388019574986408</v>
      </c>
      <c r="EM907" s="4">
        <f t="shared" si="3939"/>
        <v>2.2242437350772253</v>
      </c>
      <c r="EN907" s="4">
        <f t="shared" si="3939"/>
        <v>2.331914616268933</v>
      </c>
      <c r="EO907" s="185">
        <f t="shared" si="3939"/>
        <v>2.3375996336014722</v>
      </c>
      <c r="EP907" s="4">
        <f t="shared" si="3939"/>
        <v>2.430776525945948</v>
      </c>
      <c r="EQ907" s="4">
        <f t="shared" si="3939"/>
        <v>2.5482094622746785</v>
      </c>
      <c r="ER907" s="185">
        <f t="shared" si="3939"/>
        <v>2.5544217887719287</v>
      </c>
      <c r="ES907" s="4">
        <f t="shared" ref="ES907:EX907" si="3940">ES865/(ES704*1000000)</f>
        <v>2.6559921238738733</v>
      </c>
      <c r="ET907" s="4">
        <f t="shared" si="3940"/>
        <v>2.7840210578112434</v>
      </c>
      <c r="EU907" s="185">
        <f t="shared" si="3940"/>
        <v>2.7908082737141711</v>
      </c>
      <c r="EV907" s="4">
        <f t="shared" si="3940"/>
        <v>2.9014818108865748</v>
      </c>
      <c r="EW907" s="4">
        <f t="shared" si="3940"/>
        <v>3.0410062058695422</v>
      </c>
      <c r="EX907" s="185">
        <f t="shared" si="3940"/>
        <v>3.0484199305694588</v>
      </c>
      <c r="EY907" s="4">
        <f t="shared" ref="EY907:FA907" si="3941">EY865/(EY704*1000000)</f>
        <v>3.1689611702550642</v>
      </c>
      <c r="EZ907" s="4">
        <f t="shared" si="3941"/>
        <v>3.3209502887167694</v>
      </c>
      <c r="FA907" s="185">
        <f t="shared" si="3941"/>
        <v>3.329046494221096</v>
      </c>
      <c r="FH907" s="35"/>
      <c r="FI907" s="35"/>
      <c r="FJ907" s="35"/>
      <c r="FK907" s="35"/>
      <c r="FL907" s="35"/>
      <c r="FM907" s="35"/>
      <c r="FN907" s="35"/>
      <c r="FO907" s="35"/>
      <c r="FP907" s="35"/>
      <c r="FQ907" s="35"/>
    </row>
    <row r="908" spans="1:173" s="321" customFormat="1" hidden="1" outlineLevel="1">
      <c r="A908" s="1168"/>
      <c r="B908" s="186"/>
      <c r="C908" s="186" t="s">
        <v>431</v>
      </c>
      <c r="D908" s="910"/>
      <c r="E908" s="1"/>
      <c r="F908" s="1"/>
      <c r="G908" s="5"/>
      <c r="H908" s="1"/>
      <c r="I908" s="1"/>
      <c r="J908" s="5"/>
      <c r="K908" s="1"/>
      <c r="L908" s="1"/>
      <c r="M908" s="5"/>
      <c r="N908" s="1"/>
      <c r="O908" s="1"/>
      <c r="P908" s="5"/>
      <c r="Q908" s="1"/>
      <c r="R908" s="1"/>
      <c r="S908" s="5"/>
      <c r="T908" s="1"/>
      <c r="U908" s="1"/>
      <c r="V908" s="5"/>
      <c r="W908" s="1"/>
      <c r="X908" s="1"/>
      <c r="Y908" s="5"/>
      <c r="Z908" s="1"/>
      <c r="AA908" s="1"/>
      <c r="AB908" s="5"/>
      <c r="AC908" s="1"/>
      <c r="AD908" s="1"/>
      <c r="AE908" s="5"/>
      <c r="AF908" s="1"/>
      <c r="AG908" s="1"/>
      <c r="AH908" s="5"/>
      <c r="AI908" s="1"/>
      <c r="AJ908" s="1"/>
      <c r="AK908" s="5"/>
      <c r="AL908" s="1"/>
      <c r="AM908" s="1"/>
      <c r="AN908" s="5"/>
      <c r="AO908" s="1"/>
      <c r="AP908" s="1"/>
      <c r="AQ908" s="5"/>
      <c r="AR908" s="1"/>
      <c r="AS908" s="1"/>
      <c r="AT908" s="5"/>
      <c r="AU908" s="1"/>
      <c r="AV908" s="1"/>
      <c r="AW908" s="5"/>
      <c r="AX908" s="185">
        <f t="shared" ref="AX908:CC908" si="3942">AX866/(AX705*1000000)</f>
        <v>3.0511415374324904E-2</v>
      </c>
      <c r="AY908" s="185">
        <f t="shared" si="3942"/>
        <v>3.1741807458856783E-2</v>
      </c>
      <c r="AZ908" s="185">
        <f t="shared" si="3942"/>
        <v>3.1905118325516485E-2</v>
      </c>
      <c r="BA908" s="4">
        <f t="shared" si="3942"/>
        <v>3.5178177997499969E-2</v>
      </c>
      <c r="BB908" s="4">
        <f t="shared" si="3942"/>
        <v>3.667575796782406E-2</v>
      </c>
      <c r="BC908" s="971">
        <f t="shared" si="3942"/>
        <v>3.6864453895958917E-2</v>
      </c>
      <c r="BD908" s="4">
        <f t="shared" si="3942"/>
        <v>4.09199008487722E-2</v>
      </c>
      <c r="BE908" s="4">
        <f t="shared" si="3942"/>
        <v>4.4492461565478016E-2</v>
      </c>
      <c r="BF908" s="971">
        <f t="shared" si="3942"/>
        <v>4.4721374253184926E-2</v>
      </c>
      <c r="BG908" s="4">
        <f t="shared" si="3942"/>
        <v>4.8463345596133661E-2</v>
      </c>
      <c r="BH908" s="4">
        <f t="shared" si="3942"/>
        <v>5.3912770290283761E-2</v>
      </c>
      <c r="BI908" s="971">
        <f t="shared" si="3942"/>
        <v>5.419015024892488E-2</v>
      </c>
      <c r="BJ908" s="121">
        <f t="shared" si="3942"/>
        <v>5.8690606387836283E-2</v>
      </c>
      <c r="BK908" s="121">
        <f t="shared" si="3942"/>
        <v>6.3602204893682721E-2</v>
      </c>
      <c r="BL908" s="114">
        <f t="shared" si="3942"/>
        <v>6.3929436769691012E-2</v>
      </c>
      <c r="BM908" s="121">
        <f t="shared" si="3942"/>
        <v>6.8701358311110308E-2</v>
      </c>
      <c r="BN908" s="121">
        <f t="shared" si="3942"/>
        <v>7.5144163127734476E-2</v>
      </c>
      <c r="BO908" s="114">
        <f t="shared" si="3942"/>
        <v>7.5532017699308687E-2</v>
      </c>
      <c r="BP908" s="121">
        <f t="shared" si="3942"/>
        <v>8.168817620205833E-2</v>
      </c>
      <c r="BQ908" s="121">
        <f t="shared" si="3942"/>
        <v>8.8474727289414593E-2</v>
      </c>
      <c r="BR908" s="114">
        <f t="shared" si="3942"/>
        <v>8.8931387208424528E-2</v>
      </c>
      <c r="BS908" s="4">
        <f t="shared" si="3942"/>
        <v>9.6426813816041443E-2</v>
      </c>
      <c r="BT908" s="4">
        <f t="shared" si="3942"/>
        <v>0.10498536139955526</v>
      </c>
      <c r="BU908" s="185">
        <f t="shared" si="3942"/>
        <v>0.10552724051128312</v>
      </c>
      <c r="BV908" s="4">
        <f t="shared" si="3942"/>
        <v>0.11344439733939486</v>
      </c>
      <c r="BW908" s="4">
        <f t="shared" si="3942"/>
        <v>0.12342497512650234</v>
      </c>
      <c r="BX908" s="185">
        <f t="shared" si="3942"/>
        <v>0.1240620298072215</v>
      </c>
      <c r="BY908" s="4">
        <f t="shared" si="3942"/>
        <v>0.13142549377079776</v>
      </c>
      <c r="BZ908" s="4">
        <f t="shared" si="3942"/>
        <v>0.14193861343436429</v>
      </c>
      <c r="CA908" s="185">
        <f t="shared" si="3942"/>
        <v>0.14267122575995292</v>
      </c>
      <c r="CB908" s="4">
        <f t="shared" si="3942"/>
        <v>0.15067228265917881</v>
      </c>
      <c r="CC908" s="4">
        <f t="shared" si="3942"/>
        <v>0.16336313399683092</v>
      </c>
      <c r="CD908" s="185">
        <f t="shared" ref="CD908:DI908" si="3943">CD866/(CD705*1000000)</f>
        <v>0.16420632840754862</v>
      </c>
      <c r="CE908" s="4">
        <f t="shared" si="3943"/>
        <v>0.17435516809207813</v>
      </c>
      <c r="CF908" s="4">
        <f t="shared" si="3943"/>
        <v>0.18900894316040046</v>
      </c>
      <c r="CG908" s="185">
        <f t="shared" si="3943"/>
        <v>0.18998450772352643</v>
      </c>
      <c r="CH908" s="4">
        <f t="shared" si="3943"/>
        <v>0.20104572434224827</v>
      </c>
      <c r="CI908" s="4">
        <f t="shared" si="3943"/>
        <v>0.21502359242798538</v>
      </c>
      <c r="CJ908" s="185">
        <f t="shared" si="3943"/>
        <v>0.21613343090176992</v>
      </c>
      <c r="CK908" s="4">
        <f t="shared" si="3943"/>
        <v>0.24047745514658414</v>
      </c>
      <c r="CL908" s="4">
        <f t="shared" si="3943"/>
        <v>0.26160924201841779</v>
      </c>
      <c r="CM908" s="185">
        <f t="shared" si="3943"/>
        <v>0.26295953106628994</v>
      </c>
      <c r="CN908" s="4">
        <f t="shared" si="3943"/>
        <v>0.27507677926295121</v>
      </c>
      <c r="CO908" s="4">
        <f t="shared" si="3943"/>
        <v>0.29504528148073195</v>
      </c>
      <c r="CP908" s="185">
        <f t="shared" si="3943"/>
        <v>0.29656814974462065</v>
      </c>
      <c r="CQ908" s="4">
        <f t="shared" si="3943"/>
        <v>0.30102293713039902</v>
      </c>
      <c r="CR908" s="4">
        <f t="shared" si="3943"/>
        <v>0.31819873137863747</v>
      </c>
      <c r="CS908" s="185">
        <f t="shared" si="3943"/>
        <v>0.31984110554979606</v>
      </c>
      <c r="CT908" s="4">
        <f t="shared" si="3943"/>
        <v>0.3375198254684546</v>
      </c>
      <c r="CU908" s="4">
        <f t="shared" si="3943"/>
        <v>0.35283938721301911</v>
      </c>
      <c r="CV908" s="185">
        <f t="shared" si="3943"/>
        <v>0.35466055819511361</v>
      </c>
      <c r="CW908" s="4">
        <f t="shared" si="3943"/>
        <v>0.36978350992852305</v>
      </c>
      <c r="CX908" s="4">
        <f t="shared" si="3943"/>
        <v>0.38075991276236471</v>
      </c>
      <c r="CY908" s="185">
        <f t="shared" si="3943"/>
        <v>0.38272519478415062</v>
      </c>
      <c r="CZ908" s="4">
        <f t="shared" si="3943"/>
        <v>0.39041669253656913</v>
      </c>
      <c r="DA908" s="4">
        <f t="shared" si="3943"/>
        <v>0.40566843350278015</v>
      </c>
      <c r="DB908" s="185">
        <f t="shared" si="3943"/>
        <v>0.40776228018266064</v>
      </c>
      <c r="DC908" s="4">
        <f t="shared" si="3943"/>
        <v>0.41772967893769436</v>
      </c>
      <c r="DD908" s="4">
        <f t="shared" si="3943"/>
        <v>0.43065358892461397</v>
      </c>
      <c r="DE908" s="185">
        <f t="shared" si="3943"/>
        <v>0.43287639581043047</v>
      </c>
      <c r="DF908" s="4">
        <f t="shared" si="3943"/>
        <v>0.44579372517752636</v>
      </c>
      <c r="DG908" s="4">
        <f t="shared" si="3943"/>
        <v>0.45344634074302809</v>
      </c>
      <c r="DH908" s="185">
        <f t="shared" si="3943"/>
        <v>0.45578679180270421</v>
      </c>
      <c r="DI908" s="4">
        <f t="shared" si="3943"/>
        <v>0.47226257524575471</v>
      </c>
      <c r="DJ908" s="4">
        <f t="shared" ref="DJ908:ER908" si="3944">DJ866/(DJ705*1000000)</f>
        <v>0.49131512877559519</v>
      </c>
      <c r="DK908" s="185">
        <f t="shared" si="3944"/>
        <v>0.49385103856349549</v>
      </c>
      <c r="DL908" s="4">
        <f t="shared" si="3944"/>
        <v>0.51106609038592588</v>
      </c>
      <c r="DM908" s="4">
        <f t="shared" si="3944"/>
        <v>0.53195389916894287</v>
      </c>
      <c r="DN908" s="185">
        <f t="shared" si="3944"/>
        <v>0.53469956487432413</v>
      </c>
      <c r="DO908" s="4">
        <f t="shared" si="3944"/>
        <v>0.55576878659909512</v>
      </c>
      <c r="DP908" s="4">
        <f t="shared" si="3944"/>
        <v>0.57925570567062468</v>
      </c>
      <c r="DQ908" s="185">
        <f t="shared" si="3944"/>
        <v>0.58224551837467864</v>
      </c>
      <c r="DR908" s="4">
        <f t="shared" si="3944"/>
        <v>0.60267795237187705</v>
      </c>
      <c r="DS908" s="4">
        <f t="shared" si="3944"/>
        <v>0.62777936364120301</v>
      </c>
      <c r="DT908" s="185">
        <f t="shared" si="3944"/>
        <v>0.63101962989733651</v>
      </c>
      <c r="DU908" s="4">
        <f t="shared" si="3944"/>
        <v>0.65858133006567721</v>
      </c>
      <c r="DV908" s="4">
        <f t="shared" si="3944"/>
        <v>0.68815985550250802</v>
      </c>
      <c r="DW908" s="185">
        <f t="shared" si="3944"/>
        <v>0.69171177403910533</v>
      </c>
      <c r="DX908" s="4">
        <f t="shared" si="3944"/>
        <v>0.71733821409897103</v>
      </c>
      <c r="DY908" s="4">
        <f t="shared" si="3944"/>
        <v>0.74974668918453047</v>
      </c>
      <c r="DZ908" s="185">
        <f t="shared" si="3944"/>
        <v>0.75361648650236801</v>
      </c>
      <c r="EA908" s="4">
        <f t="shared" si="3944"/>
        <v>0.78482571939724921</v>
      </c>
      <c r="EB908" s="4">
        <f t="shared" si="3944"/>
        <v>0.8192725849706094</v>
      </c>
      <c r="EC908" s="185">
        <f t="shared" si="3944"/>
        <v>0.82350123832464484</v>
      </c>
      <c r="ED908" s="4">
        <f t="shared" si="3944"/>
        <v>0.85729352111755064</v>
      </c>
      <c r="EE908" s="4">
        <f t="shared" si="3944"/>
        <v>0.89462898163143134</v>
      </c>
      <c r="EF908" s="185">
        <f t="shared" si="3944"/>
        <v>0.89924658499469845</v>
      </c>
      <c r="EG908" s="4">
        <f t="shared" si="3944"/>
        <v>0.9358230346511659</v>
      </c>
      <c r="EH908" s="4">
        <f t="shared" si="3944"/>
        <v>0.97627409499091966</v>
      </c>
      <c r="EI908" s="185">
        <f t="shared" si="3944"/>
        <v>0.98131310740507161</v>
      </c>
      <c r="EJ908" s="4">
        <f t="shared" si="3944"/>
        <v>1.0208892163592114</v>
      </c>
      <c r="EK908" s="4">
        <f t="shared" si="3944"/>
        <v>1.0646993158160585</v>
      </c>
      <c r="EL908" s="185">
        <f t="shared" si="3944"/>
        <v>1.07019473262294</v>
      </c>
      <c r="EM908" s="4">
        <f t="shared" si="3944"/>
        <v>1.1130012092561297</v>
      </c>
      <c r="EN908" s="4">
        <f t="shared" si="3944"/>
        <v>1.1604312144936193</v>
      </c>
      <c r="EO908" s="185">
        <f t="shared" si="3944"/>
        <v>1.1664207489139267</v>
      </c>
      <c r="EP908" s="4">
        <f t="shared" si="3944"/>
        <v>1.2127043755384967</v>
      </c>
      <c r="EQ908" s="4">
        <f t="shared" si="3944"/>
        <v>1.264033600846707</v>
      </c>
      <c r="ER908" s="185">
        <f t="shared" si="3944"/>
        <v>1.2705578761903344</v>
      </c>
      <c r="ES908" s="4">
        <f t="shared" ref="ES908:EX908" si="3945">ES866/(ES705*1000000)</f>
        <v>1.3205823782948385</v>
      </c>
      <c r="ET908" s="4">
        <f t="shared" si="3945"/>
        <v>1.3761096272727928</v>
      </c>
      <c r="EU908" s="185">
        <f t="shared" si="3945"/>
        <v>1.3832123800044696</v>
      </c>
      <c r="EV908" s="4">
        <f t="shared" si="3945"/>
        <v>1.4372592988670221</v>
      </c>
      <c r="EW908" s="4">
        <f t="shared" si="3945"/>
        <v>1.4973039199924689</v>
      </c>
      <c r="EX908" s="185">
        <f t="shared" si="3945"/>
        <v>1.5050322137977763</v>
      </c>
      <c r="EY908" s="4">
        <f t="shared" ref="EY908:FA908" si="3946">EY866/(EY705*1000000)</f>
        <v>1.5634017726205169</v>
      </c>
      <c r="EZ908" s="4">
        <f t="shared" si="3946"/>
        <v>1.6283047191696132</v>
      </c>
      <c r="FA908" s="185">
        <f t="shared" si="3946"/>
        <v>1.6367091700671801</v>
      </c>
      <c r="FH908" s="35"/>
      <c r="FI908" s="35"/>
      <c r="FJ908" s="35"/>
      <c r="FK908" s="35"/>
      <c r="FL908" s="35"/>
      <c r="FM908" s="35"/>
      <c r="FN908" s="35"/>
      <c r="FO908" s="35"/>
      <c r="FP908" s="35"/>
      <c r="FQ908" s="35"/>
    </row>
    <row r="909" spans="1:173" s="321" customFormat="1" hidden="1" outlineLevel="1">
      <c r="A909" s="1168"/>
      <c r="B909" s="186"/>
      <c r="C909" s="186" t="s">
        <v>327</v>
      </c>
      <c r="D909" s="910"/>
      <c r="E909" s="1"/>
      <c r="F909" s="1"/>
      <c r="G909" s="5"/>
      <c r="H909" s="1"/>
      <c r="I909" s="1"/>
      <c r="J909" s="5"/>
      <c r="K909" s="1"/>
      <c r="L909" s="1"/>
      <c r="M909" s="5"/>
      <c r="N909" s="1"/>
      <c r="O909" s="1"/>
      <c r="P909" s="5"/>
      <c r="Q909" s="1"/>
      <c r="R909" s="1"/>
      <c r="S909" s="5"/>
      <c r="T909" s="1"/>
      <c r="U909" s="1"/>
      <c r="V909" s="5"/>
      <c r="W909" s="1"/>
      <c r="X909" s="1"/>
      <c r="Y909" s="5"/>
      <c r="Z909" s="1"/>
      <c r="AA909" s="1"/>
      <c r="AB909" s="5"/>
      <c r="AC909" s="1"/>
      <c r="AD909" s="1"/>
      <c r="AE909" s="5"/>
      <c r="AF909" s="1"/>
      <c r="AG909" s="1"/>
      <c r="AH909" s="5"/>
      <c r="AI909" s="1"/>
      <c r="AJ909" s="1"/>
      <c r="AK909" s="5"/>
      <c r="AL909" s="1"/>
      <c r="AM909" s="1"/>
      <c r="AN909" s="5"/>
      <c r="AO909" s="1"/>
      <c r="AP909" s="1"/>
      <c r="AQ909" s="5"/>
      <c r="AR909" s="1"/>
      <c r="AS909" s="1"/>
      <c r="AT909" s="5"/>
      <c r="AU909" s="1"/>
      <c r="AV909" s="1"/>
      <c r="AW909" s="5"/>
      <c r="AX909" s="185">
        <f t="shared" ref="AX909:CC909" si="3947">AX867/(AX706*1000000)</f>
        <v>6.4814991264229904E-2</v>
      </c>
      <c r="AY909" s="185">
        <f t="shared" si="3947"/>
        <v>7.1685358150065201E-2</v>
      </c>
      <c r="AZ909" s="185">
        <f t="shared" si="3947"/>
        <v>7.1933461215284822E-2</v>
      </c>
      <c r="BA909" s="4">
        <f t="shared" si="3947"/>
        <v>7.8986983873486516E-2</v>
      </c>
      <c r="BB909" s="4">
        <f t="shared" si="3947"/>
        <v>8.7359661742929973E-2</v>
      </c>
      <c r="BC909" s="971">
        <f t="shared" si="3947"/>
        <v>8.766263665358115E-2</v>
      </c>
      <c r="BD909" s="4">
        <f t="shared" si="3947"/>
        <v>9.6114541159246156E-2</v>
      </c>
      <c r="BE909" s="4">
        <f t="shared" si="3947"/>
        <v>0.10654727184356223</v>
      </c>
      <c r="BF909" s="971">
        <f t="shared" si="3947"/>
        <v>0.10691755380174837</v>
      </c>
      <c r="BG909" s="4">
        <f t="shared" si="3947"/>
        <v>0.11640188209992747</v>
      </c>
      <c r="BH909" s="4">
        <f t="shared" si="3947"/>
        <v>0.12768534640358428</v>
      </c>
      <c r="BI909" s="971">
        <f t="shared" si="3947"/>
        <v>0.12813000445040568</v>
      </c>
      <c r="BJ909" s="121">
        <f t="shared" si="3947"/>
        <v>0.13790569681092862</v>
      </c>
      <c r="BK909" s="121">
        <f t="shared" si="3947"/>
        <v>0.15035243286152661</v>
      </c>
      <c r="BL909" s="114">
        <f t="shared" si="3947"/>
        <v>0.15087710833105103</v>
      </c>
      <c r="BM909" s="121">
        <f t="shared" si="3947"/>
        <v>0.1631376000556426</v>
      </c>
      <c r="BN909" s="121">
        <f t="shared" si="3947"/>
        <v>0.17774953971187174</v>
      </c>
      <c r="BO909" s="114">
        <f t="shared" si="3947"/>
        <v>0.17837144947871839</v>
      </c>
      <c r="BP909" s="121">
        <f t="shared" si="3947"/>
        <v>0.19463209011596522</v>
      </c>
      <c r="BQ909" s="121">
        <f t="shared" si="3947"/>
        <v>0.21097345818521115</v>
      </c>
      <c r="BR909" s="114">
        <f t="shared" si="3947"/>
        <v>0.21171237791741462</v>
      </c>
      <c r="BS909" s="4">
        <f t="shared" si="3947"/>
        <v>0.23177117888361676</v>
      </c>
      <c r="BT909" s="4">
        <f t="shared" si="3947"/>
        <v>0.25254050011396101</v>
      </c>
      <c r="BU909" s="185">
        <f t="shared" si="3947"/>
        <v>0.25342592368367622</v>
      </c>
      <c r="BV909" s="4">
        <f t="shared" si="3947"/>
        <v>0.27621336063861612</v>
      </c>
      <c r="BW909" s="4">
        <f t="shared" si="3947"/>
        <v>0.30038286508100742</v>
      </c>
      <c r="BX909" s="185">
        <f t="shared" si="3947"/>
        <v>0.30143712049529164</v>
      </c>
      <c r="BY909" s="4">
        <f t="shared" si="3947"/>
        <v>0.32484693396046505</v>
      </c>
      <c r="BZ909" s="4">
        <f t="shared" si="3947"/>
        <v>0.34948390798523277</v>
      </c>
      <c r="CA909" s="185">
        <f t="shared" si="3947"/>
        <v>0.35071176711942426</v>
      </c>
      <c r="CB909" s="4">
        <f t="shared" si="3947"/>
        <v>0.37584904455226992</v>
      </c>
      <c r="CC909" s="4">
        <f t="shared" si="3947"/>
        <v>0.40563565492910031</v>
      </c>
      <c r="CD909" s="185">
        <f t="shared" ref="CD909:DI909" si="3948">CD867/(CD706*1000000)</f>
        <v>0.40706227453551647</v>
      </c>
      <c r="CE909" s="4">
        <f t="shared" si="3948"/>
        <v>0.43736060374435903</v>
      </c>
      <c r="CF909" s="4">
        <f t="shared" si="3948"/>
        <v>0.47187175092111372</v>
      </c>
      <c r="CG909" s="185">
        <f t="shared" si="3948"/>
        <v>0.47353304596347989</v>
      </c>
      <c r="CH909" s="4">
        <f t="shared" si="3948"/>
        <v>0.50059213340025155</v>
      </c>
      <c r="CI909" s="4">
        <f t="shared" si="3948"/>
        <v>0.53381285493399488</v>
      </c>
      <c r="CJ909" s="185">
        <f t="shared" si="3948"/>
        <v>0.53569417442322576</v>
      </c>
      <c r="CK909" s="4">
        <f t="shared" si="3948"/>
        <v>0.56946478344402607</v>
      </c>
      <c r="CL909" s="4">
        <f t="shared" si="3948"/>
        <v>0.60357771216479628</v>
      </c>
      <c r="CM909" s="185">
        <f t="shared" si="3948"/>
        <v>0.60570711320424842</v>
      </c>
      <c r="CN909" s="4">
        <f t="shared" si="3948"/>
        <v>0.63513509108958488</v>
      </c>
      <c r="CO909" s="4">
        <f t="shared" si="3948"/>
        <v>0.67321369351318094</v>
      </c>
      <c r="CP909" s="185">
        <f t="shared" si="3948"/>
        <v>0.67559123413501421</v>
      </c>
      <c r="CQ909" s="4">
        <f t="shared" si="3948"/>
        <v>0.705842532277421</v>
      </c>
      <c r="CR909" s="4">
        <f t="shared" si="3948"/>
        <v>0.74698235271981261</v>
      </c>
      <c r="CS909" s="185">
        <f t="shared" si="3948"/>
        <v>0.74962315613761643</v>
      </c>
      <c r="CT909" s="4">
        <f t="shared" si="3948"/>
        <v>0.78696672579579086</v>
      </c>
      <c r="CU909" s="4">
        <f t="shared" si="3948"/>
        <v>0.8291792759829365</v>
      </c>
      <c r="CV909" s="185">
        <f t="shared" si="3948"/>
        <v>0.83211371358580843</v>
      </c>
      <c r="CW909" s="4">
        <f t="shared" si="3948"/>
        <v>0.87402433040216909</v>
      </c>
      <c r="CX909" s="4">
        <f t="shared" si="3948"/>
        <v>0.91951287412639338</v>
      </c>
      <c r="CY909" s="185">
        <f t="shared" si="3948"/>
        <v>0.92277037797218708</v>
      </c>
      <c r="CZ909" s="4">
        <f t="shared" si="3948"/>
        <v>0.96474753386790524</v>
      </c>
      <c r="DA909" s="4">
        <f t="shared" si="3948"/>
        <v>1.0182328562941891</v>
      </c>
      <c r="DB909" s="185">
        <f t="shared" si="3948"/>
        <v>1.0218438345977972</v>
      </c>
      <c r="DC909" s="4">
        <f t="shared" si="3948"/>
        <v>1.0652549037997983</v>
      </c>
      <c r="DD909" s="4">
        <f t="shared" si="3948"/>
        <v>1.1132675319796319</v>
      </c>
      <c r="DE909" s="185">
        <f t="shared" si="3948"/>
        <v>1.1172196319691696</v>
      </c>
      <c r="DF909" s="4">
        <f t="shared" si="3948"/>
        <v>1.1662542314338098</v>
      </c>
      <c r="DG909" s="4">
        <f t="shared" si="3948"/>
        <v>1.2014197729841234</v>
      </c>
      <c r="DH909" s="185">
        <f t="shared" si="3948"/>
        <v>1.2056892405212147</v>
      </c>
      <c r="DI909" s="4">
        <f t="shared" si="3948"/>
        <v>1.2494683714942045</v>
      </c>
      <c r="DJ909" s="4">
        <f t="shared" ref="DJ909:ER909" si="3949">DJ867/(DJ706*1000000)</f>
        <v>1.3020328828729235</v>
      </c>
      <c r="DK909" s="185">
        <f t="shared" si="3949"/>
        <v>1.3066646999183789</v>
      </c>
      <c r="DL909" s="4">
        <f t="shared" si="3949"/>
        <v>1.3532871531758333</v>
      </c>
      <c r="DM909" s="4">
        <f t="shared" si="3949"/>
        <v>1.4071761886466398</v>
      </c>
      <c r="DN909" s="185">
        <f t="shared" si="3949"/>
        <v>1.41218723432768</v>
      </c>
      <c r="DO909" s="4">
        <f t="shared" si="3949"/>
        <v>1.4659789216594903</v>
      </c>
      <c r="DP909" s="4">
        <f t="shared" si="3949"/>
        <v>1.5295861800928383</v>
      </c>
      <c r="DQ909" s="185">
        <f t="shared" si="3949"/>
        <v>1.5350387871839402</v>
      </c>
      <c r="DR909" s="4">
        <f t="shared" si="3949"/>
        <v>1.59729004324047</v>
      </c>
      <c r="DS909" s="4">
        <f t="shared" si="3949"/>
        <v>1.6631953088938138</v>
      </c>
      <c r="DT909" s="185">
        <f t="shared" si="3949"/>
        <v>1.6691303508626092</v>
      </c>
      <c r="DU909" s="4">
        <f t="shared" si="3949"/>
        <v>1.7332559833080958</v>
      </c>
      <c r="DV909" s="4">
        <f t="shared" si="3949"/>
        <v>1.8122976274805946</v>
      </c>
      <c r="DW909" s="185">
        <f t="shared" si="3949"/>
        <v>1.8187714422422931</v>
      </c>
      <c r="DX909" s="4">
        <f t="shared" si="3949"/>
        <v>1.8872095982618631</v>
      </c>
      <c r="DY909" s="4">
        <f t="shared" si="3949"/>
        <v>1.9741426908750093</v>
      </c>
      <c r="DZ909" s="185">
        <f t="shared" si="3949"/>
        <v>1.9812019544353254</v>
      </c>
      <c r="EA909" s="4">
        <f t="shared" si="3949"/>
        <v>2.0641984571498719</v>
      </c>
      <c r="EB909" s="4">
        <f t="shared" si="3949"/>
        <v>2.1570870839064504</v>
      </c>
      <c r="EC909" s="185">
        <f t="shared" si="3949"/>
        <v>2.164808528214111</v>
      </c>
      <c r="ED909" s="4">
        <f t="shared" si="3949"/>
        <v>2.2551202848241605</v>
      </c>
      <c r="EE909" s="4">
        <f t="shared" si="3949"/>
        <v>2.3562369011791024</v>
      </c>
      <c r="EF909" s="185">
        <f t="shared" si="3949"/>
        <v>2.3646799581113012</v>
      </c>
      <c r="EG909" s="4">
        <f t="shared" si="3949"/>
        <v>2.4629108565587345</v>
      </c>
      <c r="EH909" s="4">
        <f t="shared" si="3949"/>
        <v>2.5729395904280108</v>
      </c>
      <c r="EI909" s="185">
        <f t="shared" si="3949"/>
        <v>2.5821687071225137</v>
      </c>
      <c r="EJ909" s="4">
        <f t="shared" si="3949"/>
        <v>2.6889687948061214</v>
      </c>
      <c r="EK909" s="4">
        <f t="shared" si="3949"/>
        <v>2.8086465525701207</v>
      </c>
      <c r="EL909" s="185">
        <f t="shared" si="3949"/>
        <v>2.8187315849478471</v>
      </c>
      <c r="EM909" s="4">
        <f t="shared" si="3949"/>
        <v>2.934800070267221</v>
      </c>
      <c r="EN909" s="4">
        <f t="shared" si="3949"/>
        <v>3.0649200383136002</v>
      </c>
      <c r="EO909" s="185">
        <f t="shared" si="3949"/>
        <v>3.0759366713505005</v>
      </c>
      <c r="EP909" s="4">
        <f t="shared" si="3949"/>
        <v>3.2020250318432133</v>
      </c>
      <c r="EQ909" s="4">
        <f t="shared" si="3949"/>
        <v>3.3434403156892887</v>
      </c>
      <c r="ER909" s="185">
        <f t="shared" si="3949"/>
        <v>3.3554705115688397</v>
      </c>
      <c r="ES909" s="4">
        <f t="shared" ref="ES909:EX909" si="3950">ES867/(ES706*1000000)</f>
        <v>3.4923856946091107</v>
      </c>
      <c r="ET909" s="4">
        <f t="shared" si="3950"/>
        <v>3.646013082316057</v>
      </c>
      <c r="EU909" s="185">
        <f t="shared" si="3950"/>
        <v>3.6591455575065845</v>
      </c>
      <c r="EV909" s="4">
        <f t="shared" si="3950"/>
        <v>3.8077532548068747</v>
      </c>
      <c r="EW909" s="4">
        <f t="shared" si="3950"/>
        <v>3.9745770864369865</v>
      </c>
      <c r="EX909" s="185">
        <f t="shared" si="3950"/>
        <v>3.9889078186148792</v>
      </c>
      <c r="EY909" s="4">
        <f t="shared" ref="EY909:FA909" si="3951">EY867/(EY706*1000000)</f>
        <v>4.1501357901066775</v>
      </c>
      <c r="EZ909" s="4">
        <f t="shared" si="3951"/>
        <v>4.3312119090097232</v>
      </c>
      <c r="FA909" s="185">
        <f t="shared" si="3951"/>
        <v>4.3468446745829663</v>
      </c>
      <c r="FH909" s="35"/>
      <c r="FI909" s="35"/>
      <c r="FJ909" s="35"/>
      <c r="FK909" s="35"/>
      <c r="FL909" s="35"/>
      <c r="FM909" s="35"/>
      <c r="FN909" s="35"/>
      <c r="FO909" s="35"/>
      <c r="FP909" s="35"/>
      <c r="FQ909" s="35"/>
    </row>
    <row r="910" spans="1:173" s="321" customFormat="1" hidden="1" outlineLevel="1">
      <c r="A910" s="1168"/>
      <c r="B910" s="186"/>
      <c r="C910" s="186"/>
      <c r="D910" s="910"/>
      <c r="E910" s="1"/>
      <c r="F910" s="1"/>
      <c r="G910" s="5"/>
      <c r="H910" s="1"/>
      <c r="I910" s="1"/>
      <c r="J910" s="5"/>
      <c r="K910" s="1"/>
      <c r="L910" s="1"/>
      <c r="M910" s="5"/>
      <c r="N910" s="1"/>
      <c r="O910" s="1"/>
      <c r="P910" s="5"/>
      <c r="Q910" s="1"/>
      <c r="R910" s="1"/>
      <c r="S910" s="5"/>
      <c r="T910" s="1"/>
      <c r="U910" s="1"/>
      <c r="V910" s="5"/>
      <c r="W910" s="1"/>
      <c r="X910" s="1"/>
      <c r="Y910" s="5"/>
      <c r="Z910" s="1"/>
      <c r="AA910" s="1"/>
      <c r="AB910" s="5"/>
      <c r="AC910" s="1"/>
      <c r="AD910" s="1"/>
      <c r="AE910" s="5"/>
      <c r="AF910" s="1"/>
      <c r="AG910" s="1"/>
      <c r="AH910" s="5"/>
      <c r="AI910" s="1"/>
      <c r="AJ910" s="1"/>
      <c r="AK910" s="5"/>
      <c r="AL910" s="1"/>
      <c r="AM910" s="1"/>
      <c r="AN910" s="5"/>
      <c r="AO910" s="1"/>
      <c r="AP910" s="1"/>
      <c r="AQ910" s="5"/>
      <c r="AR910" s="1"/>
      <c r="AS910" s="1"/>
      <c r="AT910" s="5"/>
      <c r="AU910" s="1"/>
      <c r="AV910" s="1"/>
      <c r="AW910" s="5"/>
      <c r="AX910" s="1"/>
      <c r="AY910" s="1"/>
      <c r="AZ910" s="5"/>
      <c r="BA910" s="1"/>
      <c r="BB910" s="1"/>
      <c r="BC910" s="46"/>
      <c r="BD910" s="1"/>
      <c r="BE910" s="1"/>
      <c r="BF910" s="46"/>
      <c r="BG910" s="1"/>
      <c r="BH910" s="1"/>
      <c r="BI910" s="51"/>
      <c r="BJ910" s="115"/>
      <c r="BK910" s="115"/>
      <c r="BL910" s="116"/>
      <c r="BM910" s="115"/>
      <c r="BN910" s="115"/>
      <c r="BO910" s="116"/>
      <c r="BP910" s="115"/>
      <c r="BQ910" s="115"/>
      <c r="BR910" s="116"/>
      <c r="BS910" s="8"/>
      <c r="BT910" s="8"/>
      <c r="BU910" s="9"/>
      <c r="BV910" s="8"/>
      <c r="BW910" s="8"/>
      <c r="BX910" s="187"/>
      <c r="BY910" s="8"/>
      <c r="BZ910" s="8"/>
      <c r="CA910" s="187"/>
      <c r="CB910" s="8"/>
      <c r="CC910" s="8"/>
      <c r="CD910" s="187"/>
      <c r="CE910" s="8"/>
      <c r="CF910" s="8"/>
      <c r="CG910" s="187"/>
      <c r="CH910" s="8"/>
      <c r="CI910" s="8"/>
      <c r="CJ910" s="187"/>
      <c r="CK910" s="8"/>
      <c r="CL910" s="8"/>
      <c r="CM910" s="187"/>
      <c r="CN910" s="8"/>
      <c r="CO910" s="8"/>
      <c r="CP910" s="187"/>
      <c r="CQ910" s="8"/>
      <c r="CR910" s="8"/>
      <c r="CS910" s="187"/>
      <c r="CT910" s="8"/>
      <c r="CU910" s="8"/>
      <c r="CV910" s="187"/>
      <c r="CW910" s="8"/>
      <c r="CX910" s="8"/>
      <c r="CY910" s="9"/>
      <c r="CZ910" s="8"/>
      <c r="DA910" s="8"/>
      <c r="DB910" s="9"/>
      <c r="DC910" s="8"/>
      <c r="DD910" s="8"/>
      <c r="DE910" s="9"/>
      <c r="DF910" s="8"/>
      <c r="DG910" s="8"/>
      <c r="DH910" s="9"/>
      <c r="DI910" s="8"/>
      <c r="DJ910" s="8"/>
      <c r="DK910" s="9"/>
      <c r="DL910" s="8"/>
      <c r="DM910" s="8"/>
      <c r="DN910" s="9"/>
      <c r="DO910" s="8"/>
      <c r="DP910" s="8"/>
      <c r="DQ910" s="9"/>
      <c r="DR910" s="8"/>
      <c r="DS910" s="8"/>
      <c r="DT910" s="9"/>
      <c r="DU910" s="8"/>
      <c r="DV910" s="8"/>
      <c r="DW910" s="9"/>
      <c r="DX910" s="8"/>
      <c r="DY910" s="8"/>
      <c r="DZ910" s="9"/>
      <c r="EA910" s="8"/>
      <c r="EB910" s="8"/>
      <c r="EC910" s="9"/>
      <c r="ED910" s="8"/>
      <c r="EE910" s="8"/>
      <c r="EF910" s="9"/>
      <c r="EG910" s="8"/>
      <c r="EH910" s="8"/>
      <c r="EI910" s="9"/>
      <c r="EJ910" s="8"/>
      <c r="EK910" s="8"/>
      <c r="EL910" s="9"/>
      <c r="EM910" s="8"/>
      <c r="EN910" s="8"/>
      <c r="EO910" s="9"/>
      <c r="EP910" s="8"/>
      <c r="EQ910" s="8"/>
      <c r="ER910" s="9"/>
      <c r="ES910" s="8"/>
      <c r="ET910" s="8"/>
      <c r="EU910" s="9"/>
      <c r="EV910" s="8"/>
      <c r="EW910" s="8"/>
      <c r="EX910" s="9"/>
      <c r="EY910" s="8"/>
      <c r="EZ910" s="8"/>
      <c r="FA910" s="9"/>
      <c r="FH910" s="35"/>
      <c r="FI910" s="35"/>
      <c r="FJ910" s="35"/>
      <c r="FK910" s="35"/>
      <c r="FL910" s="35"/>
      <c r="FM910" s="35"/>
      <c r="FN910" s="35"/>
      <c r="FO910" s="35"/>
      <c r="FP910" s="35"/>
      <c r="FQ910" s="35"/>
    </row>
    <row r="911" spans="1:173" s="321" customFormat="1" hidden="1" outlineLevel="1">
      <c r="A911" s="1168"/>
      <c r="B911" s="186"/>
      <c r="C911" s="331" t="s">
        <v>231</v>
      </c>
      <c r="D911" s="910"/>
      <c r="E911" s="1"/>
      <c r="F911" s="1"/>
      <c r="G911" s="5"/>
      <c r="H911" s="1"/>
      <c r="I911" s="1"/>
      <c r="J911" s="5"/>
      <c r="K911" s="1"/>
      <c r="L911" s="1"/>
      <c r="M911" s="5"/>
      <c r="N911" s="1"/>
      <c r="O911" s="1"/>
      <c r="P911" s="5"/>
      <c r="Q911" s="1"/>
      <c r="R911" s="1"/>
      <c r="S911" s="5"/>
      <c r="T911" s="1"/>
      <c r="U911" s="1"/>
      <c r="V911" s="5"/>
      <c r="W911" s="1"/>
      <c r="X911" s="1"/>
      <c r="Y911" s="5"/>
      <c r="Z911" s="1"/>
      <c r="AA911" s="1"/>
      <c r="AB911" s="5"/>
      <c r="AC911" s="1"/>
      <c r="AD911" s="1"/>
      <c r="AE911" s="5"/>
      <c r="AF911" s="1"/>
      <c r="AG911" s="1"/>
      <c r="AH911" s="5"/>
      <c r="AI911" s="1"/>
      <c r="AJ911" s="1"/>
      <c r="AK911" s="5"/>
      <c r="AL911" s="1"/>
      <c r="AM911" s="1"/>
      <c r="AN911" s="5"/>
      <c r="AO911" s="1"/>
      <c r="AP911" s="1"/>
      <c r="AQ911" s="5"/>
      <c r="AR911" s="1"/>
      <c r="AS911" s="1"/>
      <c r="AT911" s="5"/>
      <c r="AU911" s="1"/>
      <c r="AV911" s="1"/>
      <c r="AW911" s="5"/>
      <c r="AX911" s="1"/>
      <c r="AY911" s="1"/>
      <c r="AZ911" s="5"/>
      <c r="BA911" s="1"/>
      <c r="BB911" s="1"/>
      <c r="BC911" s="46"/>
      <c r="BD911" s="1"/>
      <c r="BE911" s="1"/>
      <c r="BF911" s="46"/>
      <c r="BG911" s="1"/>
      <c r="BH911" s="1"/>
      <c r="BI911" s="51"/>
      <c r="BJ911" s="115"/>
      <c r="BK911" s="115"/>
      <c r="BL911" s="116"/>
      <c r="BM911" s="115"/>
      <c r="BN911" s="115"/>
      <c r="BO911" s="116"/>
      <c r="BP911" s="115"/>
      <c r="BQ911" s="115"/>
      <c r="BR911" s="116"/>
      <c r="BS911" s="8"/>
      <c r="BT911" s="8"/>
      <c r="BU911" s="9"/>
      <c r="BV911" s="8"/>
      <c r="BW911" s="8"/>
      <c r="BX911" s="187"/>
      <c r="BY911" s="8"/>
      <c r="BZ911" s="8"/>
      <c r="CA911" s="187"/>
      <c r="CB911" s="8"/>
      <c r="CC911" s="8"/>
      <c r="CD911" s="187"/>
      <c r="CE911" s="8"/>
      <c r="CF911" s="8"/>
      <c r="CG911" s="187"/>
      <c r="CH911" s="8"/>
      <c r="CI911" s="8"/>
      <c r="CJ911" s="187"/>
      <c r="CK911" s="8"/>
      <c r="CL911" s="8"/>
      <c r="CM911" s="187"/>
      <c r="CN911" s="8"/>
      <c r="CO911" s="8"/>
      <c r="CP911" s="187"/>
      <c r="CQ911" s="8"/>
      <c r="CR911" s="8"/>
      <c r="CS911" s="187"/>
      <c r="CT911" s="8"/>
      <c r="CU911" s="8"/>
      <c r="CV911" s="187"/>
      <c r="CW911" s="8"/>
      <c r="CX911" s="8"/>
      <c r="CY911" s="9"/>
      <c r="CZ911" s="8"/>
      <c r="DA911" s="8"/>
      <c r="DB911" s="9"/>
      <c r="DC911" s="8"/>
      <c r="DD911" s="8"/>
      <c r="DE911" s="9"/>
      <c r="DF911" s="8"/>
      <c r="DG911" s="8"/>
      <c r="DH911" s="9"/>
      <c r="DI911" s="8"/>
      <c r="DJ911" s="8"/>
      <c r="DK911" s="9"/>
      <c r="DL911" s="8"/>
      <c r="DM911" s="8"/>
      <c r="DN911" s="9"/>
      <c r="DO911" s="8"/>
      <c r="DP911" s="8"/>
      <c r="DQ911" s="9"/>
      <c r="DR911" s="8"/>
      <c r="DS911" s="8"/>
      <c r="DT911" s="9"/>
      <c r="DU911" s="8"/>
      <c r="DV911" s="8"/>
      <c r="DW911" s="9"/>
      <c r="DX911" s="8"/>
      <c r="DY911" s="8"/>
      <c r="DZ911" s="9"/>
      <c r="EA911" s="8"/>
      <c r="EB911" s="8"/>
      <c r="EC911" s="9"/>
      <c r="ED911" s="8"/>
      <c r="EE911" s="8"/>
      <c r="EF911" s="9"/>
      <c r="EG911" s="8"/>
      <c r="EH911" s="8"/>
      <c r="EI911" s="9"/>
      <c r="EJ911" s="8"/>
      <c r="EK911" s="8"/>
      <c r="EL911" s="9"/>
      <c r="EM911" s="8"/>
      <c r="EN911" s="8"/>
      <c r="EO911" s="9"/>
      <c r="EP911" s="8"/>
      <c r="EQ911" s="8"/>
      <c r="ER911" s="9"/>
      <c r="ES911" s="8"/>
      <c r="ET911" s="8"/>
      <c r="EU911" s="9"/>
      <c r="EV911" s="8"/>
      <c r="EW911" s="8"/>
      <c r="EX911" s="9"/>
      <c r="EY911" s="8"/>
      <c r="EZ911" s="8"/>
      <c r="FA911" s="9"/>
      <c r="FH911" s="35"/>
      <c r="FI911" s="35"/>
      <c r="FJ911" s="35"/>
      <c r="FK911" s="35"/>
      <c r="FL911" s="35"/>
      <c r="FM911" s="35"/>
      <c r="FN911" s="35"/>
      <c r="FO911" s="35"/>
      <c r="FP911" s="35"/>
      <c r="FQ911" s="35"/>
    </row>
    <row r="912" spans="1:173" s="321" customFormat="1" hidden="1" outlineLevel="1">
      <c r="A912" s="1168"/>
      <c r="B912" s="186"/>
      <c r="C912" s="186" t="s">
        <v>316</v>
      </c>
      <c r="D912" s="910"/>
      <c r="E912" s="1"/>
      <c r="F912" s="1"/>
      <c r="G912" s="5"/>
      <c r="H912" s="1"/>
      <c r="I912" s="1"/>
      <c r="J912" s="5"/>
      <c r="K912" s="1"/>
      <c r="L912" s="1"/>
      <c r="M912" s="5"/>
      <c r="N912" s="1"/>
      <c r="O912" s="1"/>
      <c r="P912" s="5"/>
      <c r="Q912" s="1"/>
      <c r="R912" s="1"/>
      <c r="S912" s="5"/>
      <c r="T912" s="1"/>
      <c r="U912" s="1"/>
      <c r="V912" s="5"/>
      <c r="W912" s="1"/>
      <c r="X912" s="1"/>
      <c r="Y912" s="5"/>
      <c r="Z912" s="1"/>
      <c r="AA912" s="1"/>
      <c r="AB912" s="5"/>
      <c r="AC912" s="1"/>
      <c r="AD912" s="1"/>
      <c r="AE912" s="5"/>
      <c r="AF912" s="1"/>
      <c r="AG912" s="1"/>
      <c r="AH912" s="5"/>
      <c r="AI912" s="1"/>
      <c r="AJ912" s="1"/>
      <c r="AK912" s="5"/>
      <c r="AL912" s="1"/>
      <c r="AM912" s="1"/>
      <c r="AN912" s="5"/>
      <c r="AO912" s="1"/>
      <c r="AP912" s="1"/>
      <c r="AQ912" s="5"/>
      <c r="AR912" s="1"/>
      <c r="AS912" s="1"/>
      <c r="AT912" s="5"/>
      <c r="AU912" s="1"/>
      <c r="AV912" s="1"/>
      <c r="AW912" s="5"/>
      <c r="AX912" s="185">
        <f t="shared" ref="AX912:CC912" si="3952">AX870/(AX709*1000000)</f>
        <v>5.0981085660728676E-2</v>
      </c>
      <c r="AY912" s="185">
        <f t="shared" si="3952"/>
        <v>5.6490822082175353E-2</v>
      </c>
      <c r="AZ912" s="185">
        <f t="shared" si="3952"/>
        <v>2.8287011661458236E-2</v>
      </c>
      <c r="BA912" s="4">
        <f t="shared" si="3952"/>
        <v>6.1902246337794689E-2</v>
      </c>
      <c r="BB912" s="4">
        <f t="shared" si="3952"/>
        <v>6.8870255959618723E-2</v>
      </c>
      <c r="BC912" s="971">
        <f t="shared" si="3952"/>
        <v>3.448584498599546E-2</v>
      </c>
      <c r="BD912" s="4">
        <f t="shared" si="3952"/>
        <v>7.5420444503131803E-2</v>
      </c>
      <c r="BE912" s="4">
        <f t="shared" si="3952"/>
        <v>8.3493635821591319E-2</v>
      </c>
      <c r="BF912" s="971">
        <f t="shared" si="3952"/>
        <v>4.180830377556357E-2</v>
      </c>
      <c r="BG912" s="4">
        <f t="shared" si="3952"/>
        <v>9.183998777641865E-2</v>
      </c>
      <c r="BH912" s="4">
        <f t="shared" si="3952"/>
        <v>0.10084009597537541</v>
      </c>
      <c r="BI912" s="971">
        <f t="shared" si="3952"/>
        <v>5.0494308024914641E-2</v>
      </c>
      <c r="BJ912" s="121">
        <f t="shared" si="3952"/>
        <v>0.10910497433485795</v>
      </c>
      <c r="BK912" s="121">
        <f t="shared" si="3952"/>
        <v>0.11989127928057153</v>
      </c>
      <c r="BL912" s="114">
        <f t="shared" si="3952"/>
        <v>6.0033929231607976E-2</v>
      </c>
      <c r="BM912" s="121">
        <f t="shared" si="3952"/>
        <v>0.13204920975592779</v>
      </c>
      <c r="BN912" s="121">
        <f t="shared" si="3952"/>
        <v>0.14497044891355845</v>
      </c>
      <c r="BO912" s="114">
        <f t="shared" si="3952"/>
        <v>7.2538642913704113E-2</v>
      </c>
      <c r="BP912" s="121">
        <f t="shared" si="3952"/>
        <v>0.16207858270252135</v>
      </c>
      <c r="BQ912" s="121">
        <f t="shared" si="3952"/>
        <v>0.17741962145380696</v>
      </c>
      <c r="BR912" s="114">
        <f t="shared" si="3952"/>
        <v>8.8775185998052106E-2</v>
      </c>
      <c r="BS912" s="4">
        <f t="shared" si="3952"/>
        <v>0.19947166571453298</v>
      </c>
      <c r="BT912" s="4">
        <f t="shared" si="3952"/>
        <v>0.22015640716909915</v>
      </c>
      <c r="BU912" s="185">
        <f t="shared" si="3952"/>
        <v>0.11015932643159347</v>
      </c>
      <c r="BV912" s="4">
        <f t="shared" si="3952"/>
        <v>0.24527726414186027</v>
      </c>
      <c r="BW912" s="4">
        <f t="shared" si="3952"/>
        <v>0.26952562822717463</v>
      </c>
      <c r="BX912" s="185">
        <f t="shared" si="3952"/>
        <v>0.13486212844467693</v>
      </c>
      <c r="BY912" s="4">
        <f t="shared" si="3952"/>
        <v>0.29670097822360869</v>
      </c>
      <c r="BZ912" s="4">
        <f t="shared" si="3952"/>
        <v>0.32302840555805462</v>
      </c>
      <c r="CA912" s="185">
        <f t="shared" si="3952"/>
        <v>0.16163323171973309</v>
      </c>
      <c r="CB912" s="4">
        <f t="shared" si="3952"/>
        <v>0.35434709434033407</v>
      </c>
      <c r="CC912" s="4">
        <f t="shared" si="3952"/>
        <v>0.38858511109561761</v>
      </c>
      <c r="CD912" s="185">
        <f t="shared" ref="CD912:DI912" si="3953">CD870/(CD709*1000000)</f>
        <v>0.19443574070846931</v>
      </c>
      <c r="CE912" s="4">
        <f t="shared" si="3953"/>
        <v>0.42661969358878787</v>
      </c>
      <c r="CF912" s="4">
        <f t="shared" si="3953"/>
        <v>0.46819910673483134</v>
      </c>
      <c r="CG912" s="185">
        <f t="shared" si="3953"/>
        <v>0.23427207455364926</v>
      </c>
      <c r="CH912" s="4">
        <f t="shared" si="3953"/>
        <v>0.50305854583137621</v>
      </c>
      <c r="CI912" s="4">
        <f t="shared" si="3953"/>
        <v>0.54504188606410542</v>
      </c>
      <c r="CJ912" s="185">
        <f t="shared" si="3953"/>
        <v>0.27272177911093071</v>
      </c>
      <c r="CK912" s="4">
        <f t="shared" si="3953"/>
        <v>0.58537752182989933</v>
      </c>
      <c r="CL912" s="4">
        <f t="shared" si="3953"/>
        <v>0.62467861617451759</v>
      </c>
      <c r="CM912" s="185">
        <f t="shared" si="3953"/>
        <v>0.3125694885688679</v>
      </c>
      <c r="CN912" s="4">
        <f t="shared" si="3953"/>
        <v>0.66633158616217292</v>
      </c>
      <c r="CO912" s="4">
        <f t="shared" si="3953"/>
        <v>0.71405279833537749</v>
      </c>
      <c r="CP912" s="185">
        <f t="shared" si="3953"/>
        <v>0.35728951209129373</v>
      </c>
      <c r="CQ912" s="4">
        <f t="shared" si="3953"/>
        <v>0.76559509642057799</v>
      </c>
      <c r="CR912" s="4">
        <f t="shared" si="3953"/>
        <v>0.82360538736715483</v>
      </c>
      <c r="CS912" s="185">
        <f t="shared" si="3953"/>
        <v>0.41210617435317526</v>
      </c>
      <c r="CT912" s="4">
        <f t="shared" si="3953"/>
        <v>0.88347874208019961</v>
      </c>
      <c r="CU912" s="4">
        <f t="shared" si="3953"/>
        <v>0.94648057224307602</v>
      </c>
      <c r="CV912" s="185">
        <f t="shared" si="3953"/>
        <v>0.47358904362389481</v>
      </c>
      <c r="CW912" s="4">
        <f t="shared" si="3953"/>
        <v>1.02214626799722</v>
      </c>
      <c r="CX912" s="4">
        <f t="shared" si="3953"/>
        <v>1.0974816200198363</v>
      </c>
      <c r="CY912" s="185">
        <f t="shared" si="3953"/>
        <v>0.54914520811369893</v>
      </c>
      <c r="CZ912" s="4">
        <f t="shared" si="3953"/>
        <v>1.186310197742773</v>
      </c>
      <c r="DA912" s="4">
        <f t="shared" si="3953"/>
        <v>1.2729999864116779</v>
      </c>
      <c r="DB912" s="185">
        <f t="shared" si="3953"/>
        <v>0.63696906600963532</v>
      </c>
      <c r="DC912" s="4">
        <f t="shared" si="3953"/>
        <v>1.3647143928494578</v>
      </c>
      <c r="DD912" s="4">
        <f t="shared" si="3953"/>
        <v>1.4458118309540597</v>
      </c>
      <c r="DE912" s="185">
        <f t="shared" si="3953"/>
        <v>0.72343866568641491</v>
      </c>
      <c r="DF912" s="4">
        <f t="shared" si="3953"/>
        <v>1.5523836882421205</v>
      </c>
      <c r="DG912" s="4">
        <f t="shared" si="3953"/>
        <v>1.6159110748692831</v>
      </c>
      <c r="DH912" s="185">
        <f t="shared" si="3953"/>
        <v>0.80855096551529015</v>
      </c>
      <c r="DI912" s="4">
        <f t="shared" si="3953"/>
        <v>1.71635702245941</v>
      </c>
      <c r="DJ912" s="4">
        <f t="shared" ref="DJ912:ER912" si="3954">DJ870/(DJ709*1000000)</f>
        <v>1.8175038970992403</v>
      </c>
      <c r="DK912" s="185">
        <f t="shared" si="3954"/>
        <v>0.90942165920007068</v>
      </c>
      <c r="DL912" s="4">
        <f t="shared" si="3954"/>
        <v>1.9242736087413175</v>
      </c>
      <c r="DM912" s="4">
        <f t="shared" si="3954"/>
        <v>2.0359038855599967</v>
      </c>
      <c r="DN912" s="185">
        <f t="shared" si="3954"/>
        <v>1.0187021290754057</v>
      </c>
      <c r="DO912" s="4">
        <f t="shared" si="3954"/>
        <v>2.1709721577466872</v>
      </c>
      <c r="DP912" s="4">
        <f t="shared" si="3954"/>
        <v>2.3175361038246391</v>
      </c>
      <c r="DQ912" s="185">
        <f t="shared" si="3954"/>
        <v>1.1596220135538944</v>
      </c>
      <c r="DR912" s="4">
        <f t="shared" si="3954"/>
        <v>2.4893077560483108</v>
      </c>
      <c r="DS912" s="4">
        <f t="shared" si="3954"/>
        <v>2.6447147535826918</v>
      </c>
      <c r="DT912" s="185">
        <f t="shared" si="3954"/>
        <v>1.3233318966483349</v>
      </c>
      <c r="DU912" s="4">
        <f t="shared" si="3954"/>
        <v>2.8240877685715495</v>
      </c>
      <c r="DV912" s="4">
        <f t="shared" si="3954"/>
        <v>3.0146921732884655</v>
      </c>
      <c r="DW912" s="185">
        <f t="shared" si="3954"/>
        <v>1.5084569351323724</v>
      </c>
      <c r="DX912" s="4">
        <f t="shared" si="3954"/>
        <v>3.220659589234081</v>
      </c>
      <c r="DY912" s="4">
        <f t="shared" si="3954"/>
        <v>3.4421286433844354</v>
      </c>
      <c r="DZ912" s="185">
        <f t="shared" si="3954"/>
        <v>1.722332671221688</v>
      </c>
      <c r="EA912" s="4">
        <f t="shared" si="3954"/>
        <v>3.7036578336900727</v>
      </c>
      <c r="EB912" s="4">
        <f t="shared" si="3954"/>
        <v>3.9537766904140272</v>
      </c>
      <c r="EC912" s="185">
        <f t="shared" si="3954"/>
        <v>1.9783452259120835</v>
      </c>
      <c r="ED912" s="4">
        <f t="shared" si="3954"/>
        <v>4.2547853586091815</v>
      </c>
      <c r="EE912" s="4">
        <f t="shared" si="3954"/>
        <v>4.5426617165389915</v>
      </c>
      <c r="EF912" s="185">
        <f t="shared" si="3954"/>
        <v>2.2730047302968495</v>
      </c>
      <c r="EG912" s="4">
        <f t="shared" si="3954"/>
        <v>4.8891077677573254</v>
      </c>
      <c r="EH912" s="4">
        <f t="shared" si="3954"/>
        <v>5.2204396646064781</v>
      </c>
      <c r="EI912" s="185">
        <f t="shared" si="3954"/>
        <v>2.6121434507609496</v>
      </c>
      <c r="EJ912" s="4">
        <f t="shared" si="3954"/>
        <v>5.6191801252765217</v>
      </c>
      <c r="EK912" s="4">
        <f t="shared" si="3954"/>
        <v>6.0005255028619153</v>
      </c>
      <c r="EL912" s="185">
        <f t="shared" si="3954"/>
        <v>3.0024738145510868</v>
      </c>
      <c r="EM912" s="4">
        <f t="shared" si="3954"/>
        <v>6.4594522091736293</v>
      </c>
      <c r="EN912" s="4">
        <f t="shared" si="3954"/>
        <v>6.8983586835253936</v>
      </c>
      <c r="EO912" s="185">
        <f t="shared" si="3954"/>
        <v>3.4517212368795986</v>
      </c>
      <c r="EP912" s="4">
        <f t="shared" si="3954"/>
        <v>7.426554446955949</v>
      </c>
      <c r="EQ912" s="4">
        <f t="shared" si="3954"/>
        <v>7.9317086623336177</v>
      </c>
      <c r="ER912" s="185">
        <f t="shared" si="3954"/>
        <v>3.9687769932727415</v>
      </c>
      <c r="ES912" s="4">
        <f t="shared" ref="ES912:EX912" si="3955">ES870/(ES709*1000000)</f>
        <v>8.5396270024725958</v>
      </c>
      <c r="ET912" s="4">
        <f t="shared" si="3955"/>
        <v>9.1210265247400866</v>
      </c>
      <c r="EU912" s="185">
        <f t="shared" si="3955"/>
        <v>4.5638741622373891</v>
      </c>
      <c r="EV912" s="4">
        <f t="shared" si="3955"/>
        <v>9.8206985260095667</v>
      </c>
      <c r="EW912" s="4">
        <f t="shared" si="3955"/>
        <v>10.489849676835549</v>
      </c>
      <c r="EX912" s="185">
        <f t="shared" si="3955"/>
        <v>5.2487901198410576</v>
      </c>
      <c r="EY912" s="4">
        <f t="shared" ref="EY912:FA912" si="3956">EY870/(EY709*1000000)</f>
        <v>11.295122062434578</v>
      </c>
      <c r="EZ912" s="4">
        <f t="shared" si="3956"/>
        <v>12.065267609107991</v>
      </c>
      <c r="FA912" s="185">
        <f t="shared" si="3956"/>
        <v>6.037079593215716</v>
      </c>
      <c r="FH912" s="35"/>
      <c r="FI912" s="35"/>
      <c r="FJ912" s="35"/>
      <c r="FK912" s="35"/>
      <c r="FL912" s="35"/>
      <c r="FM912" s="35"/>
      <c r="FN912" s="35"/>
      <c r="FO912" s="35"/>
      <c r="FP912" s="35"/>
      <c r="FQ912" s="35"/>
    </row>
    <row r="913" spans="1:173" s="321" customFormat="1" hidden="1" outlineLevel="1">
      <c r="A913" s="1168"/>
      <c r="B913" s="186"/>
      <c r="C913" s="186" t="s">
        <v>317</v>
      </c>
      <c r="D913" s="910"/>
      <c r="E913" s="1"/>
      <c r="F913" s="1"/>
      <c r="G913" s="5"/>
      <c r="H913" s="1"/>
      <c r="I913" s="1"/>
      <c r="J913" s="5"/>
      <c r="K913" s="1"/>
      <c r="L913" s="1"/>
      <c r="M913" s="5"/>
      <c r="N913" s="1"/>
      <c r="O913" s="1"/>
      <c r="P913" s="5"/>
      <c r="Q913" s="1"/>
      <c r="R913" s="1"/>
      <c r="S913" s="5"/>
      <c r="T913" s="1"/>
      <c r="U913" s="1"/>
      <c r="V913" s="5"/>
      <c r="W913" s="1"/>
      <c r="X913" s="1"/>
      <c r="Y913" s="5"/>
      <c r="Z913" s="1"/>
      <c r="AA913" s="1"/>
      <c r="AB913" s="5"/>
      <c r="AC913" s="1"/>
      <c r="AD913" s="1"/>
      <c r="AE913" s="5"/>
      <c r="AF913" s="1"/>
      <c r="AG913" s="1"/>
      <c r="AH913" s="5"/>
      <c r="AI913" s="1"/>
      <c r="AJ913" s="1"/>
      <c r="AK913" s="5"/>
      <c r="AL913" s="1"/>
      <c r="AM913" s="1"/>
      <c r="AN913" s="5"/>
      <c r="AO913" s="1"/>
      <c r="AP913" s="1"/>
      <c r="AQ913" s="5"/>
      <c r="AR913" s="1"/>
      <c r="AS913" s="1"/>
      <c r="AT913" s="5"/>
      <c r="AU913" s="1"/>
      <c r="AV913" s="1"/>
      <c r="AW913" s="5"/>
      <c r="AX913" s="185">
        <f t="shared" ref="AX913:CC913" si="3957">AX871/(AX710*1000000)</f>
        <v>1.7440926503812078E-2</v>
      </c>
      <c r="AY913" s="185">
        <f t="shared" si="3957"/>
        <v>1.9917186406719797E-2</v>
      </c>
      <c r="AZ913" s="185">
        <f t="shared" si="3957"/>
        <v>9.954109818895376E-3</v>
      </c>
      <c r="BA913" s="4">
        <f t="shared" si="3957"/>
        <v>2.2508787640283169E-2</v>
      </c>
      <c r="BB913" s="4">
        <f t="shared" si="3957"/>
        <v>2.5661565342354538E-2</v>
      </c>
      <c r="BC913" s="971">
        <f t="shared" si="3957"/>
        <v>1.2825006219572017E-2</v>
      </c>
      <c r="BD913" s="4">
        <f t="shared" si="3957"/>
        <v>2.9001336454835831E-2</v>
      </c>
      <c r="BE913" s="4">
        <f t="shared" si="3957"/>
        <v>3.3248363368291498E-2</v>
      </c>
      <c r="BF913" s="971">
        <f t="shared" si="3957"/>
        <v>1.6616697434475528E-2</v>
      </c>
      <c r="BG913" s="4">
        <f t="shared" si="3957"/>
        <v>3.6964356633363053E-2</v>
      </c>
      <c r="BH913" s="4">
        <f t="shared" si="3957"/>
        <v>4.1318311848684661E-2</v>
      </c>
      <c r="BI913" s="971">
        <f t="shared" si="3957"/>
        <v>2.0649855118813891E-2</v>
      </c>
      <c r="BJ913" s="121">
        <f t="shared" si="3957"/>
        <v>4.5654907876720142E-2</v>
      </c>
      <c r="BK913" s="121">
        <f t="shared" si="3957"/>
        <v>5.0735620585263035E-2</v>
      </c>
      <c r="BL913" s="114">
        <f t="shared" si="3957"/>
        <v>2.5356389638705564E-2</v>
      </c>
      <c r="BM913" s="121">
        <f t="shared" si="3957"/>
        <v>5.5733680489874801E-2</v>
      </c>
      <c r="BN913" s="121">
        <f t="shared" si="3957"/>
        <v>6.1912442987064699E-2</v>
      </c>
      <c r="BO913" s="114">
        <f t="shared" si="3957"/>
        <v>3.0949254776184904E-2</v>
      </c>
      <c r="BP913" s="121">
        <f t="shared" si="3957"/>
        <v>6.8637663132753463E-2</v>
      </c>
      <c r="BQ913" s="121">
        <f t="shared" si="3957"/>
        <v>7.5843431320170199E-2</v>
      </c>
      <c r="BR913" s="114">
        <f t="shared" si="3957"/>
        <v>3.7913181353842675E-2</v>
      </c>
      <c r="BS913" s="4">
        <f t="shared" si="3957"/>
        <v>8.4538207425264064E-2</v>
      </c>
      <c r="BT913" s="4">
        <f t="shared" si="3957"/>
        <v>9.3930450559266812E-2</v>
      </c>
      <c r="BU913" s="185">
        <f t="shared" si="3957"/>
        <v>4.6954655725795873E-2</v>
      </c>
      <c r="BV913" s="4">
        <f t="shared" si="3957"/>
        <v>0.10535577518069771</v>
      </c>
      <c r="BW913" s="4">
        <f t="shared" si="3957"/>
        <v>0.11746649229334083</v>
      </c>
      <c r="BX913" s="185">
        <f t="shared" si="3957"/>
        <v>5.8720028192247663E-2</v>
      </c>
      <c r="BY913" s="4">
        <f t="shared" si="3957"/>
        <v>0.13018814320654132</v>
      </c>
      <c r="BZ913" s="4">
        <f t="shared" si="3957"/>
        <v>0.14267525635857742</v>
      </c>
      <c r="CA913" s="185">
        <f t="shared" si="3957"/>
        <v>7.1321573600668181E-2</v>
      </c>
      <c r="CB913" s="4">
        <f t="shared" si="3957"/>
        <v>0.1565706455608589</v>
      </c>
      <c r="CC913" s="4">
        <f t="shared" si="3957"/>
        <v>0.17178027810601662</v>
      </c>
      <c r="CD913" s="185">
        <f t="shared" ref="CD913:DI913" si="3958">CD871/(CD710*1000000)</f>
        <v>8.5870809422554525E-2</v>
      </c>
      <c r="CE913" s="4">
        <f t="shared" si="3958"/>
        <v>0.19017093671008192</v>
      </c>
      <c r="CF913" s="4">
        <f t="shared" si="3958"/>
        <v>0.20871036341459939</v>
      </c>
      <c r="CG913" s="185">
        <f t="shared" si="3958"/>
        <v>0.10433169650724554</v>
      </c>
      <c r="CH913" s="4">
        <f t="shared" si="3958"/>
        <v>0.22608999740672289</v>
      </c>
      <c r="CI913" s="4">
        <f t="shared" si="3958"/>
        <v>0.24494343779884931</v>
      </c>
      <c r="CJ913" s="185">
        <f t="shared" si="3958"/>
        <v>0.12244415656114618</v>
      </c>
      <c r="CK913" s="4">
        <f t="shared" si="3958"/>
        <v>0.26557436630268</v>
      </c>
      <c r="CL913" s="4">
        <f t="shared" si="3958"/>
        <v>0.28656360882142418</v>
      </c>
      <c r="CM913" s="185">
        <f t="shared" si="3958"/>
        <v>0.14324955874944589</v>
      </c>
      <c r="CN913" s="4">
        <f t="shared" si="3958"/>
        <v>0.30801077002040034</v>
      </c>
      <c r="CO913" s="4">
        <f t="shared" si="3958"/>
        <v>0.33355391409263324</v>
      </c>
      <c r="CP913" s="185">
        <f t="shared" si="3958"/>
        <v>0.16673942378599763</v>
      </c>
      <c r="CQ913" s="4">
        <f t="shared" si="3958"/>
        <v>0.35720418341759291</v>
      </c>
      <c r="CR913" s="4">
        <f t="shared" si="3958"/>
        <v>0.38617749790746481</v>
      </c>
      <c r="CS913" s="185">
        <f t="shared" si="3958"/>
        <v>0.19304529420790001</v>
      </c>
      <c r="CT913" s="4">
        <f t="shared" si="3958"/>
        <v>0.41375127978948512</v>
      </c>
      <c r="CU913" s="4">
        <f t="shared" si="3958"/>
        <v>0.44630986423408764</v>
      </c>
      <c r="CV913" s="185">
        <f t="shared" si="3958"/>
        <v>0.22310471095755657</v>
      </c>
      <c r="CW913" s="4">
        <f t="shared" si="3958"/>
        <v>0.4784577110492243</v>
      </c>
      <c r="CX913" s="4">
        <f t="shared" si="3958"/>
        <v>0.51641758321481979</v>
      </c>
      <c r="CY913" s="185">
        <f t="shared" si="3958"/>
        <v>0.2581506815545363</v>
      </c>
      <c r="CZ913" s="4">
        <f t="shared" si="3958"/>
        <v>0.54983508489431254</v>
      </c>
      <c r="DA913" s="4">
        <f t="shared" si="3958"/>
        <v>0.60009186145145532</v>
      </c>
      <c r="DB913" s="185">
        <f t="shared" si="3958"/>
        <v>0.29997840519807062</v>
      </c>
      <c r="DC913" s="4">
        <f t="shared" si="3958"/>
        <v>0.63940580225649113</v>
      </c>
      <c r="DD913" s="4">
        <f t="shared" si="3958"/>
        <v>0.68846054646446042</v>
      </c>
      <c r="DE913" s="185">
        <f t="shared" si="3958"/>
        <v>0.34415280399017351</v>
      </c>
      <c r="DF913" s="4">
        <f t="shared" si="3958"/>
        <v>0.73574201253852767</v>
      </c>
      <c r="DG913" s="4">
        <f t="shared" si="3958"/>
        <v>0.77484122490530227</v>
      </c>
      <c r="DH913" s="185">
        <f t="shared" si="3958"/>
        <v>0.38733342319726688</v>
      </c>
      <c r="DI913" s="4">
        <f t="shared" si="3958"/>
        <v>0.81699378517821131</v>
      </c>
      <c r="DJ913" s="4">
        <f t="shared" ref="DJ913:ER913" si="3959">DJ871/(DJ710*1000000)</f>
        <v>0.87093868942135089</v>
      </c>
      <c r="DK913" s="185">
        <f t="shared" si="3959"/>
        <v>0.43537134205751865</v>
      </c>
      <c r="DL913" s="4">
        <f t="shared" si="3959"/>
        <v>0.92348393272412865</v>
      </c>
      <c r="DM913" s="4">
        <f t="shared" si="3959"/>
        <v>0.97907070307880439</v>
      </c>
      <c r="DN913" s="185">
        <f t="shared" si="3959"/>
        <v>0.48942518129700135</v>
      </c>
      <c r="DO913" s="4">
        <f t="shared" si="3959"/>
        <v>1.0372007155748089</v>
      </c>
      <c r="DP913" s="4">
        <f t="shared" si="3959"/>
        <v>1.1018938263933804</v>
      </c>
      <c r="DQ913" s="185">
        <f t="shared" si="3959"/>
        <v>0.55082292224325646</v>
      </c>
      <c r="DR913" s="4">
        <f t="shared" si="3959"/>
        <v>1.1709898845615136</v>
      </c>
      <c r="DS913" s="4">
        <f t="shared" si="3959"/>
        <v>1.2448888426044136</v>
      </c>
      <c r="DT913" s="185">
        <f t="shared" si="3959"/>
        <v>0.62230433978907329</v>
      </c>
      <c r="DU913" s="4">
        <f t="shared" si="3959"/>
        <v>1.3196607517442487</v>
      </c>
      <c r="DV913" s="4">
        <f t="shared" si="3959"/>
        <v>1.4185553596957001</v>
      </c>
      <c r="DW913" s="185">
        <f t="shared" si="3959"/>
        <v>0.70911805645462078</v>
      </c>
      <c r="DX913" s="4">
        <f t="shared" si="3959"/>
        <v>1.5051164148710736</v>
      </c>
      <c r="DY913" s="4">
        <f t="shared" si="3959"/>
        <v>1.620407395608318</v>
      </c>
      <c r="DZ913" s="185">
        <f t="shared" si="3959"/>
        <v>0.81002136094636012</v>
      </c>
      <c r="EA913" s="4">
        <f t="shared" si="3959"/>
        <v>1.7304254534149566</v>
      </c>
      <c r="EB913" s="4">
        <f t="shared" si="3959"/>
        <v>1.8611933108807019</v>
      </c>
      <c r="EC913" s="185">
        <f t="shared" si="3959"/>
        <v>0.93038722407081875</v>
      </c>
      <c r="ED913" s="4">
        <f t="shared" si="3959"/>
        <v>1.9882977009536447</v>
      </c>
      <c r="EE913" s="4">
        <f t="shared" si="3959"/>
        <v>2.13937536114351</v>
      </c>
      <c r="EF913" s="185">
        <f t="shared" si="3959"/>
        <v>1.0694469466785002</v>
      </c>
      <c r="EG913" s="4">
        <f t="shared" si="3959"/>
        <v>2.2862204335982312</v>
      </c>
      <c r="EH913" s="4">
        <f t="shared" si="3959"/>
        <v>2.4607630114096009</v>
      </c>
      <c r="EI913" s="185">
        <f t="shared" si="3959"/>
        <v>1.230104607563935</v>
      </c>
      <c r="EJ913" s="4">
        <f t="shared" si="3959"/>
        <v>2.6304154685349546</v>
      </c>
      <c r="EK913" s="4">
        <f t="shared" si="3959"/>
        <v>2.8320682246374682</v>
      </c>
      <c r="EL913" s="185">
        <f t="shared" si="3959"/>
        <v>1.4157154329406023</v>
      </c>
      <c r="EM913" s="4">
        <f t="shared" si="3959"/>
        <v>3.0280711796329047</v>
      </c>
      <c r="EN913" s="4">
        <f t="shared" si="3959"/>
        <v>3.2610456644086421</v>
      </c>
      <c r="EO913" s="185">
        <f t="shared" si="3959"/>
        <v>1.63015588200328</v>
      </c>
      <c r="EP913" s="4">
        <f t="shared" si="3959"/>
        <v>3.4874926516193896</v>
      </c>
      <c r="EQ913" s="4">
        <f t="shared" si="3959"/>
        <v>3.756654678032231</v>
      </c>
      <c r="ER913" s="185">
        <f t="shared" si="3959"/>
        <v>1.8779046202531151</v>
      </c>
      <c r="ES913" s="4">
        <f t="shared" ref="ES913:EX913" si="3960">ES871/(ES710*1000000)</f>
        <v>4.0182751606434746</v>
      </c>
      <c r="ET913" s="4">
        <f t="shared" si="3960"/>
        <v>4.3292464436568165</v>
      </c>
      <c r="EU913" s="185">
        <f t="shared" si="3960"/>
        <v>2.164136071994784</v>
      </c>
      <c r="EV913" s="4">
        <f t="shared" si="3960"/>
        <v>4.6315046049723199</v>
      </c>
      <c r="EW913" s="4">
        <f t="shared" si="3960"/>
        <v>4.9907801906077287</v>
      </c>
      <c r="EX913" s="185">
        <f t="shared" si="3960"/>
        <v>2.494828506174867</v>
      </c>
      <c r="EY913" s="4">
        <f t="shared" ref="EY913:FA913" si="3961">EY871/(EY710*1000000)</f>
        <v>5.3399890725121502</v>
      </c>
      <c r="EZ913" s="4">
        <f t="shared" si="3961"/>
        <v>5.7550730094630174</v>
      </c>
      <c r="FA913" s="185">
        <f t="shared" si="3961"/>
        <v>2.8768889133098745</v>
      </c>
      <c r="FH913" s="35"/>
      <c r="FI913" s="35"/>
      <c r="FJ913" s="35"/>
      <c r="FK913" s="35"/>
      <c r="FL913" s="35"/>
      <c r="FM913" s="35"/>
      <c r="FN913" s="35"/>
      <c r="FO913" s="35"/>
      <c r="FP913" s="35"/>
      <c r="FQ913" s="35"/>
    </row>
    <row r="914" spans="1:173" s="321" customFormat="1" hidden="1" outlineLevel="1">
      <c r="A914" s="1168"/>
      <c r="B914" s="186"/>
      <c r="C914" s="186" t="s">
        <v>431</v>
      </c>
      <c r="D914" s="910"/>
      <c r="E914" s="1"/>
      <c r="F914" s="1"/>
      <c r="G914" s="5"/>
      <c r="H914" s="1"/>
      <c r="I914" s="1"/>
      <c r="J914" s="5"/>
      <c r="K914" s="1"/>
      <c r="L914" s="1"/>
      <c r="M914" s="5"/>
      <c r="N914" s="1"/>
      <c r="O914" s="1"/>
      <c r="P914" s="5"/>
      <c r="Q914" s="1"/>
      <c r="R914" s="1"/>
      <c r="S914" s="5"/>
      <c r="T914" s="1"/>
      <c r="U914" s="1"/>
      <c r="V914" s="5"/>
      <c r="W914" s="1"/>
      <c r="X914" s="1"/>
      <c r="Y914" s="5"/>
      <c r="Z914" s="1"/>
      <c r="AA914" s="1"/>
      <c r="AB914" s="5"/>
      <c r="AC914" s="1"/>
      <c r="AD914" s="1"/>
      <c r="AE914" s="5"/>
      <c r="AF914" s="1"/>
      <c r="AG914" s="1"/>
      <c r="AH914" s="5"/>
      <c r="AI914" s="1"/>
      <c r="AJ914" s="1"/>
      <c r="AK914" s="5"/>
      <c r="AL914" s="1"/>
      <c r="AM914" s="1"/>
      <c r="AN914" s="5"/>
      <c r="AO914" s="1"/>
      <c r="AP914" s="1"/>
      <c r="AQ914" s="5"/>
      <c r="AR914" s="1"/>
      <c r="AS914" s="1"/>
      <c r="AT914" s="5"/>
      <c r="AU914" s="1"/>
      <c r="AV914" s="1"/>
      <c r="AW914" s="5"/>
      <c r="AX914" s="185">
        <f t="shared" ref="AX914:CC914" si="3962">AX872/(AX711*1000000)</f>
        <v>6.5190890225475138E-3</v>
      </c>
      <c r="AY914" s="185">
        <f t="shared" si="3962"/>
        <v>6.791080745454937E-3</v>
      </c>
      <c r="AZ914" s="185">
        <f t="shared" si="3962"/>
        <v>3.406371442496935E-3</v>
      </c>
      <c r="BA914" s="4">
        <f t="shared" si="3962"/>
        <v>7.579156850277797E-3</v>
      </c>
      <c r="BB914" s="4">
        <f t="shared" si="3962"/>
        <v>7.9242390586164863E-3</v>
      </c>
      <c r="BC914" s="971">
        <f t="shared" si="3962"/>
        <v>3.9747578691146498E-3</v>
      </c>
      <c r="BD914" s="4">
        <f t="shared" si="3962"/>
        <v>8.9374871995742382E-3</v>
      </c>
      <c r="BE914" s="4">
        <f t="shared" si="3962"/>
        <v>9.7911630660782352E-3</v>
      </c>
      <c r="BF914" s="971">
        <f t="shared" si="3962"/>
        <v>4.9111974230966592E-3</v>
      </c>
      <c r="BG914" s="4">
        <f t="shared" si="3962"/>
        <v>1.0780927076141122E-2</v>
      </c>
      <c r="BH914" s="4">
        <f t="shared" si="3962"/>
        <v>1.2136305335912513E-2</v>
      </c>
      <c r="BI914" s="971">
        <f t="shared" si="3962"/>
        <v>6.0875088168173613E-3</v>
      </c>
      <c r="BJ914" s="121">
        <f t="shared" si="3962"/>
        <v>1.3379095657735578E-2</v>
      </c>
      <c r="BK914" s="121">
        <f t="shared" si="3962"/>
        <v>1.4656294968070775E-2</v>
      </c>
      <c r="BL914" s="114">
        <f t="shared" si="3962"/>
        <v>7.3515227551168398E-3</v>
      </c>
      <c r="BM914" s="121">
        <f t="shared" si="3962"/>
        <v>1.6035607312559562E-2</v>
      </c>
      <c r="BN914" s="121">
        <f t="shared" si="3962"/>
        <v>1.7776290441317181E-2</v>
      </c>
      <c r="BO914" s="114">
        <f t="shared" si="3962"/>
        <v>8.9023435357075669E-3</v>
      </c>
      <c r="BP914" s="121">
        <f t="shared" si="3962"/>
        <v>1.9625326277357684E-2</v>
      </c>
      <c r="BQ914" s="121">
        <f t="shared" si="3962"/>
        <v>2.1542464095874913E-2</v>
      </c>
      <c r="BR914" s="114">
        <f t="shared" si="3962"/>
        <v>1.0788438488908604E-2</v>
      </c>
      <c r="BS914" s="4">
        <f t="shared" si="3962"/>
        <v>2.3892167026004704E-2</v>
      </c>
      <c r="BT914" s="4">
        <f t="shared" si="3962"/>
        <v>2.6419942679839513E-2</v>
      </c>
      <c r="BU914" s="185">
        <f t="shared" si="3962"/>
        <v>1.3231073530558607E-2</v>
      </c>
      <c r="BV914" s="4">
        <f t="shared" si="3962"/>
        <v>2.9038238608051124E-2</v>
      </c>
      <c r="BW914" s="4">
        <f t="shared" si="3962"/>
        <v>3.2124079350809562E-2</v>
      </c>
      <c r="BX914" s="185">
        <f t="shared" si="3962"/>
        <v>1.6087697885748882E-2</v>
      </c>
      <c r="BY914" s="4">
        <f t="shared" si="3962"/>
        <v>3.4723212892967002E-2</v>
      </c>
      <c r="BZ914" s="4">
        <f t="shared" si="3962"/>
        <v>3.8130926824988698E-2</v>
      </c>
      <c r="CA914" s="185">
        <f t="shared" si="3962"/>
        <v>1.9095919424335393E-2</v>
      </c>
      <c r="CB914" s="4">
        <f t="shared" si="3962"/>
        <v>4.1107921156936511E-2</v>
      </c>
      <c r="CC914" s="4">
        <f t="shared" si="3962"/>
        <v>4.5419592497885707E-2</v>
      </c>
      <c r="CD914" s="185">
        <f t="shared" ref="CD914:DI914" si="3963">CD872/(CD711*1000000)</f>
        <v>2.2746073878733494E-2</v>
      </c>
      <c r="CE914" s="4">
        <f t="shared" si="3963"/>
        <v>4.9347686557399427E-2</v>
      </c>
      <c r="CF914" s="4">
        <f t="shared" si="3963"/>
        <v>5.4571060441386966E-2</v>
      </c>
      <c r="CG914" s="185">
        <f t="shared" si="3963"/>
        <v>2.7329117329672224E-2</v>
      </c>
      <c r="CH914" s="4">
        <f t="shared" si="3963"/>
        <v>5.9089947113058365E-2</v>
      </c>
      <c r="CI914" s="4">
        <f t="shared" si="3963"/>
        <v>6.4329376559457405E-2</v>
      </c>
      <c r="CJ914" s="185">
        <f t="shared" si="3963"/>
        <v>3.2216069570910368E-2</v>
      </c>
      <c r="CK914" s="4">
        <f t="shared" si="3963"/>
        <v>7.4316762825282323E-2</v>
      </c>
      <c r="CL914" s="4">
        <f t="shared" si="3963"/>
        <v>8.2618657807833146E-2</v>
      </c>
      <c r="CM914" s="185">
        <f t="shared" si="3963"/>
        <v>4.1375318247213584E-2</v>
      </c>
      <c r="CN914" s="4">
        <f t="shared" si="3963"/>
        <v>8.8215398831128014E-2</v>
      </c>
      <c r="CO914" s="4">
        <f t="shared" si="3963"/>
        <v>9.6475672084378086E-2</v>
      </c>
      <c r="CP914" s="185">
        <f t="shared" si="3963"/>
        <v>4.8314893288262828E-2</v>
      </c>
      <c r="CQ914" s="4">
        <f t="shared" si="3963"/>
        <v>9.9148791242257672E-2</v>
      </c>
      <c r="CR914" s="4">
        <f t="shared" si="3963"/>
        <v>0.10664614888522582</v>
      </c>
      <c r="CS914" s="185">
        <f t="shared" si="3963"/>
        <v>5.3408255072712935E-2</v>
      </c>
      <c r="CT914" s="4">
        <f t="shared" si="3963"/>
        <v>0.11552337224584129</v>
      </c>
      <c r="CU914" s="4">
        <f t="shared" si="3963"/>
        <v>0.12258650430075538</v>
      </c>
      <c r="CV914" s="185">
        <f t="shared" si="3963"/>
        <v>6.139116469374889E-2</v>
      </c>
      <c r="CW914" s="4">
        <f t="shared" si="3963"/>
        <v>0.13081632001620344</v>
      </c>
      <c r="CX914" s="4">
        <f t="shared" si="3963"/>
        <v>0.13619852668089907</v>
      </c>
      <c r="CY914" s="185">
        <f t="shared" si="3963"/>
        <v>6.8208048106169109E-2</v>
      </c>
      <c r="CZ914" s="4">
        <f t="shared" si="3963"/>
        <v>0.1412262215827696</v>
      </c>
      <c r="DA914" s="4">
        <f t="shared" si="3963"/>
        <v>0.14906446308248567</v>
      </c>
      <c r="DB914" s="185">
        <f t="shared" si="3963"/>
        <v>7.465129261399242E-2</v>
      </c>
      <c r="DC914" s="4">
        <f t="shared" si="3963"/>
        <v>0.15565903165172229</v>
      </c>
      <c r="DD914" s="4">
        <f t="shared" si="3963"/>
        <v>0.16270961271665729</v>
      </c>
      <c r="DE914" s="185">
        <f t="shared" si="3963"/>
        <v>8.1484766112894652E-2</v>
      </c>
      <c r="DF914" s="4">
        <f t="shared" si="3963"/>
        <v>0.17140597139070532</v>
      </c>
      <c r="DG914" s="4">
        <f t="shared" si="3963"/>
        <v>0.17592320894022617</v>
      </c>
      <c r="DH914" s="185">
        <f t="shared" si="3963"/>
        <v>8.8102118215273043E-2</v>
      </c>
      <c r="DI914" s="4">
        <f t="shared" si="3963"/>
        <v>0.18728685938435038</v>
      </c>
      <c r="DJ914" s="4">
        <f t="shared" ref="DJ914:ER914" si="3964">DJ872/(DJ711*1000000)</f>
        <v>0.19878866122786185</v>
      </c>
      <c r="DK914" s="185">
        <f t="shared" si="3964"/>
        <v>9.9553107499895654E-2</v>
      </c>
      <c r="DL914" s="4">
        <f t="shared" si="3964"/>
        <v>0.21139147633529706</v>
      </c>
      <c r="DM914" s="4">
        <f t="shared" si="3964"/>
        <v>0.224699103399158</v>
      </c>
      <c r="DN914" s="185">
        <f t="shared" si="3964"/>
        <v>0.1125290238268946</v>
      </c>
      <c r="DO914" s="4">
        <f t="shared" si="3964"/>
        <v>0.24070264684277853</v>
      </c>
      <c r="DP914" s="4">
        <f t="shared" si="3964"/>
        <v>0.25648997987403033</v>
      </c>
      <c r="DQ914" s="185">
        <f t="shared" si="3964"/>
        <v>0.12844985413819254</v>
      </c>
      <c r="DR914" s="4">
        <f t="shared" si="3964"/>
        <v>0.27316051383389184</v>
      </c>
      <c r="DS914" s="4">
        <f t="shared" si="3964"/>
        <v>0.29099168517061869</v>
      </c>
      <c r="DT914" s="185">
        <f t="shared" si="3964"/>
        <v>0.14572826405908781</v>
      </c>
      <c r="DU914" s="4">
        <f t="shared" si="3964"/>
        <v>0.31404694285187595</v>
      </c>
      <c r="DV914" s="4">
        <f t="shared" si="3964"/>
        <v>0.3362060289797138</v>
      </c>
      <c r="DW914" s="185">
        <f t="shared" si="3964"/>
        <v>0.16837154965677364</v>
      </c>
      <c r="DX914" s="4">
        <f t="shared" si="3964"/>
        <v>0.35937415830614922</v>
      </c>
      <c r="DY914" s="4">
        <f t="shared" si="3964"/>
        <v>0.38503603398107211</v>
      </c>
      <c r="DZ914" s="185">
        <f t="shared" si="3964"/>
        <v>0.19282555375889157</v>
      </c>
      <c r="EA914" s="4">
        <f t="shared" si="3964"/>
        <v>0.41441653945828166</v>
      </c>
      <c r="EB914" s="4">
        <f t="shared" si="3964"/>
        <v>0.4432783329078494</v>
      </c>
      <c r="EC914" s="185">
        <f t="shared" si="3964"/>
        <v>0.22199322263036864</v>
      </c>
      <c r="ED914" s="4">
        <f t="shared" si="3964"/>
        <v>0.47697124108378097</v>
      </c>
      <c r="EE914" s="4">
        <f t="shared" si="3964"/>
        <v>0.51006922536481092</v>
      </c>
      <c r="EF914" s="185">
        <f t="shared" si="3964"/>
        <v>0.25544201621704182</v>
      </c>
      <c r="EG914" s="4">
        <f t="shared" si="3964"/>
        <v>0.54870831082382721</v>
      </c>
      <c r="EH914" s="4">
        <f t="shared" si="3964"/>
        <v>0.58666506049052891</v>
      </c>
      <c r="EI914" s="185">
        <f t="shared" si="3964"/>
        <v>0.29380111256195018</v>
      </c>
      <c r="EJ914" s="4">
        <f t="shared" si="3964"/>
        <v>0.63097723567392772</v>
      </c>
      <c r="EK914" s="4">
        <f t="shared" si="3964"/>
        <v>0.67450681720717109</v>
      </c>
      <c r="EL914" s="185">
        <f t="shared" si="3964"/>
        <v>0.33779215206780855</v>
      </c>
      <c r="EM914" s="4">
        <f t="shared" si="3964"/>
        <v>0.72532581974218491</v>
      </c>
      <c r="EN914" s="4">
        <f t="shared" si="3964"/>
        <v>0.77524723699632581</v>
      </c>
      <c r="EO914" s="185">
        <f t="shared" si="3964"/>
        <v>0.38824282555646666</v>
      </c>
      <c r="EP914" s="4">
        <f t="shared" si="3964"/>
        <v>0.83352932848385286</v>
      </c>
      <c r="EQ914" s="4">
        <f t="shared" si="3964"/>
        <v>0.89078194404583566</v>
      </c>
      <c r="ER914" s="185">
        <f t="shared" si="3964"/>
        <v>0.44610245919867336</v>
      </c>
      <c r="ES914" s="4">
        <f t="shared" ref="ES914:EX914" si="3965">ES872/(ES711*1000000)</f>
        <v>0.95762391590630491</v>
      </c>
      <c r="ET914" s="4">
        <f t="shared" si="3965"/>
        <v>1.0232851387426189</v>
      </c>
      <c r="EU914" s="185">
        <f t="shared" si="3965"/>
        <v>0.51245988976966617</v>
      </c>
      <c r="EV914" s="4">
        <f t="shared" si="3965"/>
        <v>1.0999449641600025</v>
      </c>
      <c r="EW914" s="4">
        <f t="shared" si="3965"/>
        <v>1.1752505365999975</v>
      </c>
      <c r="EX914" s="185">
        <f t="shared" si="3965"/>
        <v>0.58856396681166012</v>
      </c>
      <c r="EY914" s="4">
        <f t="shared" ref="EY914:FA914" si="3966">EY872/(EY711*1000000)</f>
        <v>1.2631710574285393</v>
      </c>
      <c r="EZ914" s="4">
        <f t="shared" si="3966"/>
        <v>1.3495383234766645</v>
      </c>
      <c r="FA914" s="185">
        <f t="shared" si="3966"/>
        <v>0.67584706774749892</v>
      </c>
      <c r="FH914" s="35"/>
      <c r="FI914" s="35"/>
      <c r="FJ914" s="35"/>
      <c r="FK914" s="35"/>
      <c r="FL914" s="35"/>
      <c r="FM914" s="35"/>
      <c r="FN914" s="35"/>
      <c r="FO914" s="35"/>
      <c r="FP914" s="35"/>
      <c r="FQ914" s="35"/>
    </row>
    <row r="915" spans="1:173" s="321" customFormat="1" hidden="1" outlineLevel="1">
      <c r="A915" s="1168"/>
      <c r="B915" s="186"/>
      <c r="C915" s="186" t="s">
        <v>327</v>
      </c>
      <c r="D915" s="162"/>
      <c r="E915" s="1"/>
      <c r="F915" s="1"/>
      <c r="G915" s="5"/>
      <c r="H915" s="1"/>
      <c r="I915" s="1"/>
      <c r="J915" s="5"/>
      <c r="K915" s="1"/>
      <c r="L915" s="1"/>
      <c r="M915" s="5"/>
      <c r="N915" s="1"/>
      <c r="O915" s="1"/>
      <c r="P915" s="5"/>
      <c r="Q915" s="1"/>
      <c r="R915" s="1"/>
      <c r="S915" s="5"/>
      <c r="T915" s="1"/>
      <c r="U915" s="1"/>
      <c r="V915" s="5"/>
      <c r="W915" s="1"/>
      <c r="X915" s="1"/>
      <c r="Y915" s="5"/>
      <c r="Z915" s="1"/>
      <c r="AA915" s="1"/>
      <c r="AB915" s="5"/>
      <c r="AC915" s="1"/>
      <c r="AD915" s="1"/>
      <c r="AE915" s="5"/>
      <c r="AF915" s="1"/>
      <c r="AG915" s="1"/>
      <c r="AH915" s="5"/>
      <c r="AI915" s="1"/>
      <c r="AJ915" s="1"/>
      <c r="AK915" s="5"/>
      <c r="AL915" s="1"/>
      <c r="AM915" s="1"/>
      <c r="AN915" s="5"/>
      <c r="AO915" s="1"/>
      <c r="AP915" s="1"/>
      <c r="AQ915" s="5"/>
      <c r="AR915" s="1"/>
      <c r="AS915" s="1"/>
      <c r="AT915" s="5"/>
      <c r="AU915" s="1"/>
      <c r="AV915" s="1"/>
      <c r="AW915" s="5"/>
      <c r="AX915" s="185">
        <f t="shared" ref="AX915:CC915" si="3967">AX873/(AX712*1000000)</f>
        <v>2.0641156130189971E-2</v>
      </c>
      <c r="AY915" s="185">
        <f t="shared" si="3967"/>
        <v>2.2872141428633731E-2</v>
      </c>
      <c r="AZ915" s="185">
        <f t="shared" si="3967"/>
        <v>1.1453711534469266E-2</v>
      </c>
      <c r="BA915" s="4">
        <f t="shared" si="3967"/>
        <v>2.5333013242549354E-2</v>
      </c>
      <c r="BB915" s="4">
        <f t="shared" si="3967"/>
        <v>2.8152383624121136E-2</v>
      </c>
      <c r="BC915" s="971">
        <f t="shared" si="3967"/>
        <v>1.4098046533218183E-2</v>
      </c>
      <c r="BD915" s="4">
        <f t="shared" si="3967"/>
        <v>3.12159368260501E-2</v>
      </c>
      <c r="BE915" s="4">
        <f t="shared" si="3967"/>
        <v>3.4864151107761296E-2</v>
      </c>
      <c r="BF915" s="971">
        <f t="shared" si="3967"/>
        <v>1.7459315445258628E-2</v>
      </c>
      <c r="BG915" s="4">
        <f t="shared" si="3967"/>
        <v>3.8446965270350464E-2</v>
      </c>
      <c r="BH915" s="4">
        <f t="shared" si="3967"/>
        <v>4.2545234040859872E-2</v>
      </c>
      <c r="BI915" s="971">
        <f t="shared" si="3967"/>
        <v>2.1306071287525243E-2</v>
      </c>
      <c r="BJ915" s="121">
        <f t="shared" si="3967"/>
        <v>4.640850814649073E-2</v>
      </c>
      <c r="BK915" s="121">
        <f t="shared" si="3967"/>
        <v>5.1111213520810272E-2</v>
      </c>
      <c r="BL915" s="114">
        <f t="shared" si="3967"/>
        <v>2.5596052184432987E-2</v>
      </c>
      <c r="BM915" s="121">
        <f t="shared" si="3967"/>
        <v>5.6169156812986801E-2</v>
      </c>
      <c r="BN915" s="121">
        <f t="shared" si="3967"/>
        <v>6.1946634947726238E-2</v>
      </c>
      <c r="BO915" s="114">
        <f t="shared" si="3967"/>
        <v>3.0997962969877661E-2</v>
      </c>
      <c r="BP915" s="121">
        <f t="shared" si="3967"/>
        <v>6.8919677678031824E-2</v>
      </c>
      <c r="BQ915" s="121">
        <f t="shared" si="3967"/>
        <v>7.5661437707689766E-2</v>
      </c>
      <c r="BR915" s="114">
        <f t="shared" si="3967"/>
        <v>3.7860915416881871E-2</v>
      </c>
      <c r="BS915" s="4">
        <f t="shared" si="3967"/>
        <v>8.4635566453240899E-2</v>
      </c>
      <c r="BT915" s="4">
        <f t="shared" si="3967"/>
        <v>9.3588093649919074E-2</v>
      </c>
      <c r="BU915" s="185">
        <f t="shared" si="3967"/>
        <v>4.6831514886953807E-2</v>
      </c>
      <c r="BV915" s="4">
        <f t="shared" si="3967"/>
        <v>0.10426595427726451</v>
      </c>
      <c r="BW915" s="4">
        <f t="shared" si="3967"/>
        <v>0.11515717212033873</v>
      </c>
      <c r="BX915" s="185">
        <f t="shared" si="3967"/>
        <v>5.7624833102409657E-2</v>
      </c>
      <c r="BY915" s="4">
        <f t="shared" si="3967"/>
        <v>0.12669913500424745</v>
      </c>
      <c r="BZ915" s="4">
        <f t="shared" si="3967"/>
        <v>0.13831085751603797</v>
      </c>
      <c r="CA915" s="185">
        <f t="shared" si="3967"/>
        <v>6.921114685041875E-2</v>
      </c>
      <c r="CB915" s="4">
        <f t="shared" si="3967"/>
        <v>0.15133444536910726</v>
      </c>
      <c r="CC915" s="4">
        <f t="shared" si="3967"/>
        <v>0.16603811215749725</v>
      </c>
      <c r="CD915" s="185">
        <f t="shared" ref="CD915:DI915" si="3968">CD873/(CD712*1000000)</f>
        <v>8.3086150963977715E-2</v>
      </c>
      <c r="CE915" s="4">
        <f t="shared" si="3968"/>
        <v>0.18246228654300456</v>
      </c>
      <c r="CF915" s="4">
        <f t="shared" si="3968"/>
        <v>0.20031436535708319</v>
      </c>
      <c r="CG915" s="185">
        <f t="shared" si="3968"/>
        <v>0.10023837782470379</v>
      </c>
      <c r="CH915" s="4">
        <f t="shared" si="3968"/>
        <v>0.2158969307312997</v>
      </c>
      <c r="CI915" s="4">
        <f t="shared" si="3968"/>
        <v>0.233910296378806</v>
      </c>
      <c r="CJ915" s="185">
        <f t="shared" si="3968"/>
        <v>0.11705025209548429</v>
      </c>
      <c r="CK915" s="4">
        <f t="shared" si="3968"/>
        <v>0.25421498622306637</v>
      </c>
      <c r="CL915" s="4">
        <f t="shared" si="3968"/>
        <v>0.27362070997141713</v>
      </c>
      <c r="CM915" s="185">
        <f t="shared" si="3968"/>
        <v>0.1369219445896884</v>
      </c>
      <c r="CN915" s="4">
        <f t="shared" si="3968"/>
        <v>0.29248353636100372</v>
      </c>
      <c r="CO915" s="4">
        <f t="shared" si="3968"/>
        <v>0.31523180112423443</v>
      </c>
      <c r="CP915" s="185">
        <f t="shared" si="3968"/>
        <v>0.15774485172933206</v>
      </c>
      <c r="CQ915" s="4">
        <f t="shared" si="3968"/>
        <v>0.33572276513882554</v>
      </c>
      <c r="CR915" s="4">
        <f t="shared" si="3968"/>
        <v>0.36154565302938163</v>
      </c>
      <c r="CS915" s="185">
        <f t="shared" si="3968"/>
        <v>0.18092117175768127</v>
      </c>
      <c r="CT915" s="4">
        <f t="shared" si="3968"/>
        <v>0.38795080382070002</v>
      </c>
      <c r="CU915" s="4">
        <f t="shared" si="3968"/>
        <v>0.41580144723128476</v>
      </c>
      <c r="CV915" s="185">
        <f t="shared" si="3968"/>
        <v>0.20807184585700825</v>
      </c>
      <c r="CW915" s="4">
        <f t="shared" si="3968"/>
        <v>0.44695310303170671</v>
      </c>
      <c r="CX915" s="4">
        <f t="shared" si="3968"/>
        <v>0.47851975109903894</v>
      </c>
      <c r="CY915" s="185">
        <f t="shared" si="3968"/>
        <v>0.23945740192162746</v>
      </c>
      <c r="CZ915" s="4">
        <f t="shared" si="3968"/>
        <v>0.51158515720485453</v>
      </c>
      <c r="DA915" s="4">
        <f t="shared" si="3968"/>
        <v>0.5506493592056424</v>
      </c>
      <c r="DB915" s="185">
        <f t="shared" si="3968"/>
        <v>0.27555266125683664</v>
      </c>
      <c r="DC915" s="4">
        <f t="shared" si="3968"/>
        <v>0.58683815740971512</v>
      </c>
      <c r="DD915" s="4">
        <f t="shared" si="3968"/>
        <v>0.62375190526586743</v>
      </c>
      <c r="DE915" s="185">
        <f t="shared" si="3968"/>
        <v>0.31213497125698647</v>
      </c>
      <c r="DF915" s="4">
        <f t="shared" si="3968"/>
        <v>0.66671298130861079</v>
      </c>
      <c r="DG915" s="4">
        <f t="shared" si="3968"/>
        <v>0.69518640123423625</v>
      </c>
      <c r="DH915" s="185">
        <f t="shared" si="3968"/>
        <v>0.34788274126143315</v>
      </c>
      <c r="DI915" s="4">
        <f t="shared" si="3968"/>
        <v>0.73625252488476089</v>
      </c>
      <c r="DJ915" s="4">
        <f t="shared" ref="DJ915:ER915" si="3969">DJ873/(DJ712*1000000)</f>
        <v>0.78113203025613676</v>
      </c>
      <c r="DK915" s="185">
        <f t="shared" si="3969"/>
        <v>0.39089231485304471</v>
      </c>
      <c r="DL915" s="4">
        <f t="shared" si="3969"/>
        <v>0.82732635527781129</v>
      </c>
      <c r="DM915" s="4">
        <f t="shared" si="3969"/>
        <v>0.87584405197898341</v>
      </c>
      <c r="DN915" s="185">
        <f t="shared" si="3969"/>
        <v>0.43828896837963682</v>
      </c>
      <c r="DO915" s="4">
        <f t="shared" si="3969"/>
        <v>0.93174916797937501</v>
      </c>
      <c r="DP915" s="4">
        <f t="shared" si="3969"/>
        <v>0.99215554866418609</v>
      </c>
      <c r="DQ915" s="185">
        <f t="shared" si="3969"/>
        <v>0.4964946672967096</v>
      </c>
      <c r="DR915" s="4">
        <f t="shared" si="3969"/>
        <v>1.0600725747511273</v>
      </c>
      <c r="DS915" s="4">
        <f t="shared" si="3969"/>
        <v>1.1261192157982578</v>
      </c>
      <c r="DT915" s="185">
        <f t="shared" si="3969"/>
        <v>0.56353417512867787</v>
      </c>
      <c r="DU915" s="4">
        <f t="shared" si="3969"/>
        <v>1.2003173326974121</v>
      </c>
      <c r="DV915" s="4">
        <f t="shared" si="3969"/>
        <v>1.2839255585707867</v>
      </c>
      <c r="DW915" s="185">
        <f t="shared" si="3969"/>
        <v>0.64250542538562294</v>
      </c>
      <c r="DX915" s="4">
        <f t="shared" si="3969"/>
        <v>1.3677090379463632</v>
      </c>
      <c r="DY915" s="4">
        <f t="shared" si="3969"/>
        <v>1.4648116924357091</v>
      </c>
      <c r="DZ915" s="185">
        <f t="shared" si="3969"/>
        <v>0.73302673957088682</v>
      </c>
      <c r="EA915" s="4">
        <f t="shared" si="3969"/>
        <v>1.5711886865726614</v>
      </c>
      <c r="EB915" s="4">
        <f t="shared" si="3969"/>
        <v>1.6807924944512067</v>
      </c>
      <c r="EC915" s="185">
        <f t="shared" si="3969"/>
        <v>0.84111074783357176</v>
      </c>
      <c r="ED915" s="4">
        <f t="shared" si="3969"/>
        <v>1.8031664380226096</v>
      </c>
      <c r="EE915" s="4">
        <f t="shared" si="3969"/>
        <v>1.9292512572532405</v>
      </c>
      <c r="EF915" s="185">
        <f t="shared" si="3969"/>
        <v>0.96544810895308963</v>
      </c>
      <c r="EG915" s="4">
        <f t="shared" si="3969"/>
        <v>2.0700253171893785</v>
      </c>
      <c r="EH915" s="4">
        <f t="shared" si="3969"/>
        <v>2.2150668897047567</v>
      </c>
      <c r="EI915" s="185">
        <f t="shared" si="3969"/>
        <v>1.1084804814110853</v>
      </c>
      <c r="EJ915" s="4">
        <f t="shared" si="3969"/>
        <v>2.3770050491221979</v>
      </c>
      <c r="EK915" s="4">
        <f t="shared" si="3969"/>
        <v>2.5438508081845512</v>
      </c>
      <c r="EL915" s="185">
        <f t="shared" si="3969"/>
        <v>1.2730161150390782</v>
      </c>
      <c r="EM915" s="4">
        <f t="shared" si="3969"/>
        <v>2.7301320097955841</v>
      </c>
      <c r="EN915" s="4">
        <f t="shared" si="3969"/>
        <v>2.922056852129594</v>
      </c>
      <c r="EO915" s="185">
        <f t="shared" si="3969"/>
        <v>1.4622848604381917</v>
      </c>
      <c r="EP915" s="4">
        <f t="shared" si="3969"/>
        <v>3.1363372618203185</v>
      </c>
      <c r="EQ915" s="4">
        <f t="shared" si="3969"/>
        <v>3.3571076837111726</v>
      </c>
      <c r="ER915" s="185">
        <f t="shared" si="3969"/>
        <v>1.6800014283585174</v>
      </c>
      <c r="ES915" s="4">
        <f t="shared" ref="ES915:EX915" si="3970">ES873/(ES712*1000000)</f>
        <v>3.6035922914466609</v>
      </c>
      <c r="ET915" s="4">
        <f t="shared" si="3970"/>
        <v>3.8575401424352984</v>
      </c>
      <c r="EU915" s="185">
        <f t="shared" si="3970"/>
        <v>1.9304381356381206</v>
      </c>
      <c r="EV915" s="4">
        <f t="shared" si="3970"/>
        <v>4.1410650999956262</v>
      </c>
      <c r="EW915" s="4">
        <f t="shared" si="3970"/>
        <v>4.4331723956024742</v>
      </c>
      <c r="EX915" s="185">
        <f t="shared" si="3970"/>
        <v>2.218508559557705</v>
      </c>
      <c r="EY915" s="4">
        <f t="shared" ref="EY915:FA915" si="3971">EY873/(EY712*1000000)</f>
        <v>4.7592997003018054</v>
      </c>
      <c r="EZ915" s="4">
        <f t="shared" si="3971"/>
        <v>5.0952961511276582</v>
      </c>
      <c r="FA915" s="185">
        <f t="shared" si="3971"/>
        <v>2.5498637354615057</v>
      </c>
      <c r="FH915" s="35"/>
      <c r="FI915" s="35"/>
      <c r="FJ915" s="35"/>
      <c r="FK915" s="35"/>
      <c r="FL915" s="35"/>
      <c r="FM915" s="35"/>
      <c r="FN915" s="35"/>
      <c r="FO915" s="35"/>
      <c r="FP915" s="35"/>
      <c r="FQ915" s="35"/>
    </row>
    <row r="916" spans="1:173" s="321" customFormat="1" hidden="1" outlineLevel="1">
      <c r="A916" s="1168"/>
      <c r="B916" s="186"/>
      <c r="C916" s="186"/>
      <c r="D916" s="162"/>
      <c r="E916" s="1"/>
      <c r="F916" s="1"/>
      <c r="G916" s="5"/>
      <c r="H916" s="1"/>
      <c r="I916" s="1"/>
      <c r="J916" s="5"/>
      <c r="K916" s="1"/>
      <c r="L916" s="1"/>
      <c r="M916" s="5"/>
      <c r="N916" s="1"/>
      <c r="O916" s="1"/>
      <c r="P916" s="5"/>
      <c r="Q916" s="1"/>
      <c r="R916" s="1"/>
      <c r="S916" s="5"/>
      <c r="T916" s="1"/>
      <c r="U916" s="1"/>
      <c r="V916" s="5"/>
      <c r="W916" s="1"/>
      <c r="X916" s="1"/>
      <c r="Y916" s="5"/>
      <c r="Z916" s="1"/>
      <c r="AA916" s="1"/>
      <c r="AB916" s="5"/>
      <c r="AC916" s="1"/>
      <c r="AD916" s="1"/>
      <c r="AE916" s="5"/>
      <c r="AF916" s="1"/>
      <c r="AG916" s="1"/>
      <c r="AH916" s="5"/>
      <c r="AI916" s="1"/>
      <c r="AJ916" s="1"/>
      <c r="AK916" s="5"/>
      <c r="AL916" s="1"/>
      <c r="AM916" s="1"/>
      <c r="AN916" s="5"/>
      <c r="AO916" s="1"/>
      <c r="AP916" s="1"/>
      <c r="AQ916" s="5"/>
      <c r="AR916" s="1"/>
      <c r="AS916" s="1"/>
      <c r="AT916" s="5"/>
      <c r="AU916" s="1"/>
      <c r="AV916" s="1"/>
      <c r="AW916" s="5"/>
      <c r="AX916" s="1"/>
      <c r="AY916" s="1"/>
      <c r="AZ916" s="5"/>
      <c r="BA916" s="1"/>
      <c r="BB916" s="1"/>
      <c r="BC916" s="46"/>
      <c r="BD916" s="1"/>
      <c r="BE916" s="1"/>
      <c r="BF916" s="46"/>
      <c r="BG916" s="1"/>
      <c r="BH916" s="1"/>
      <c r="BI916" s="51"/>
      <c r="BJ916" s="115"/>
      <c r="BK916" s="115"/>
      <c r="BL916" s="116"/>
      <c r="BM916" s="115"/>
      <c r="BN916" s="115"/>
      <c r="BO916" s="116"/>
      <c r="BP916" s="115"/>
      <c r="BQ916" s="115"/>
      <c r="BR916" s="116"/>
      <c r="BS916" s="8"/>
      <c r="BT916" s="8"/>
      <c r="BU916" s="9"/>
      <c r="BV916" s="8"/>
      <c r="BW916" s="8"/>
      <c r="BX916" s="187"/>
      <c r="BY916" s="8"/>
      <c r="BZ916" s="8"/>
      <c r="CA916" s="187"/>
      <c r="CB916" s="8"/>
      <c r="CC916" s="8"/>
      <c r="CD916" s="187"/>
      <c r="CE916" s="8"/>
      <c r="CF916" s="8"/>
      <c r="CG916" s="187"/>
      <c r="CH916" s="8"/>
      <c r="CI916" s="8"/>
      <c r="CJ916" s="187"/>
      <c r="CK916" s="8"/>
      <c r="CL916" s="8"/>
      <c r="CM916" s="187"/>
      <c r="CN916" s="8"/>
      <c r="CO916" s="8"/>
      <c r="CP916" s="187"/>
      <c r="CQ916" s="8"/>
      <c r="CR916" s="8"/>
      <c r="CS916" s="187"/>
      <c r="CT916" s="8"/>
      <c r="CU916" s="8"/>
      <c r="CV916" s="187"/>
      <c r="CW916" s="8"/>
      <c r="CX916" s="8"/>
      <c r="CY916" s="9"/>
      <c r="CZ916" s="8"/>
      <c r="DA916" s="8"/>
      <c r="DB916" s="9"/>
      <c r="DC916" s="8"/>
      <c r="DD916" s="8"/>
      <c r="DE916" s="9"/>
      <c r="DF916" s="8"/>
      <c r="DG916" s="8"/>
      <c r="DH916" s="9"/>
      <c r="DI916" s="8"/>
      <c r="DJ916" s="8"/>
      <c r="DK916" s="9"/>
      <c r="DL916" s="8"/>
      <c r="DM916" s="8"/>
      <c r="DN916" s="9"/>
      <c r="DO916" s="8"/>
      <c r="DP916" s="8"/>
      <c r="DQ916" s="9"/>
      <c r="DR916" s="8"/>
      <c r="DS916" s="8"/>
      <c r="DT916" s="9"/>
      <c r="DU916" s="8"/>
      <c r="DV916" s="8"/>
      <c r="DW916" s="9"/>
      <c r="DX916" s="8"/>
      <c r="DY916" s="8"/>
      <c r="DZ916" s="9"/>
      <c r="EA916" s="8"/>
      <c r="EB916" s="8"/>
      <c r="EC916" s="9"/>
      <c r="ED916" s="8"/>
      <c r="EE916" s="8"/>
      <c r="EF916" s="9"/>
      <c r="EG916" s="8"/>
      <c r="EH916" s="8"/>
      <c r="EI916" s="9"/>
      <c r="EJ916" s="8"/>
      <c r="EK916" s="8"/>
      <c r="EL916" s="9"/>
      <c r="EM916" s="8"/>
      <c r="EN916" s="8"/>
      <c r="EO916" s="9"/>
      <c r="EP916" s="8"/>
      <c r="EQ916" s="8"/>
      <c r="ER916" s="9"/>
      <c r="ES916" s="8"/>
      <c r="ET916" s="8"/>
      <c r="EU916" s="9"/>
      <c r="EV916" s="8"/>
      <c r="EW916" s="8"/>
      <c r="EX916" s="9"/>
      <c r="EY916" s="8"/>
      <c r="EZ916" s="8"/>
      <c r="FA916" s="9"/>
      <c r="FH916" s="35"/>
      <c r="FI916" s="35"/>
      <c r="FJ916" s="35"/>
      <c r="FK916" s="35"/>
      <c r="FL916" s="35"/>
      <c r="FM916" s="35"/>
      <c r="FN916" s="35"/>
      <c r="FO916" s="35"/>
      <c r="FP916" s="35"/>
      <c r="FQ916" s="35"/>
    </row>
    <row r="917" spans="1:173" s="321" customFormat="1" hidden="1" outlineLevel="1">
      <c r="A917" s="1168"/>
      <c r="B917" s="186"/>
      <c r="C917" s="331" t="s">
        <v>232</v>
      </c>
      <c r="D917" s="910"/>
      <c r="E917" s="1"/>
      <c r="F917" s="1"/>
      <c r="G917" s="5"/>
      <c r="H917" s="1"/>
      <c r="I917" s="1"/>
      <c r="J917" s="5"/>
      <c r="K917" s="1"/>
      <c r="L917" s="1"/>
      <c r="M917" s="5"/>
      <c r="N917" s="1"/>
      <c r="O917" s="1"/>
      <c r="P917" s="5"/>
      <c r="Q917" s="1"/>
      <c r="R917" s="1"/>
      <c r="S917" s="5"/>
      <c r="T917" s="1"/>
      <c r="U917" s="1"/>
      <c r="V917" s="5"/>
      <c r="W917" s="1"/>
      <c r="X917" s="1"/>
      <c r="Y917" s="5"/>
      <c r="Z917" s="1"/>
      <c r="AA917" s="1"/>
      <c r="AB917" s="5"/>
      <c r="AC917" s="1"/>
      <c r="AD917" s="1"/>
      <c r="AE917" s="5"/>
      <c r="AF917" s="1"/>
      <c r="AG917" s="1"/>
      <c r="AH917" s="5"/>
      <c r="AI917" s="1"/>
      <c r="AJ917" s="1"/>
      <c r="AK917" s="5"/>
      <c r="AL917" s="1"/>
      <c r="AM917" s="1"/>
      <c r="AN917" s="5"/>
      <c r="AO917" s="1"/>
      <c r="AP917" s="1"/>
      <c r="AQ917" s="5"/>
      <c r="AR917" s="1"/>
      <c r="AS917" s="1"/>
      <c r="AT917" s="5"/>
      <c r="AU917" s="1"/>
      <c r="AV917" s="1"/>
      <c r="AW917" s="5"/>
      <c r="AX917" s="1"/>
      <c r="AY917" s="1"/>
      <c r="AZ917" s="5"/>
      <c r="BA917" s="1"/>
      <c r="BB917" s="1"/>
      <c r="BC917" s="46"/>
      <c r="BD917" s="1"/>
      <c r="BE917" s="1"/>
      <c r="BF917" s="46"/>
      <c r="BG917" s="1"/>
      <c r="BH917" s="1"/>
      <c r="BI917" s="51"/>
      <c r="BJ917" s="115"/>
      <c r="BK917" s="115"/>
      <c r="BL917" s="116"/>
      <c r="BM917" s="115"/>
      <c r="BN917" s="115"/>
      <c r="BO917" s="116"/>
      <c r="BP917" s="115"/>
      <c r="BQ917" s="115"/>
      <c r="BR917" s="116"/>
      <c r="BS917" s="8"/>
      <c r="BT917" s="8"/>
      <c r="BU917" s="9"/>
      <c r="BV917" s="8"/>
      <c r="BW917" s="8"/>
      <c r="BX917" s="187"/>
      <c r="BY917" s="8"/>
      <c r="BZ917" s="8"/>
      <c r="CA917" s="187"/>
      <c r="CB917" s="8"/>
      <c r="CC917" s="8"/>
      <c r="CD917" s="187"/>
      <c r="CE917" s="8"/>
      <c r="CF917" s="8"/>
      <c r="CG917" s="187"/>
      <c r="CH917" s="8"/>
      <c r="CI917" s="8"/>
      <c r="CJ917" s="187"/>
      <c r="CK917" s="8"/>
      <c r="CL917" s="8"/>
      <c r="CM917" s="187"/>
      <c r="CN917" s="8"/>
      <c r="CO917" s="8"/>
      <c r="CP917" s="187"/>
      <c r="CQ917" s="8"/>
      <c r="CR917" s="8"/>
      <c r="CS917" s="187"/>
      <c r="CT917" s="8"/>
      <c r="CU917" s="8"/>
      <c r="CV917" s="187"/>
      <c r="CW917" s="8"/>
      <c r="CX917" s="8"/>
      <c r="CY917" s="9"/>
      <c r="CZ917" s="8"/>
      <c r="DA917" s="8"/>
      <c r="DB917" s="9"/>
      <c r="DC917" s="8"/>
      <c r="DD917" s="8"/>
      <c r="DE917" s="9"/>
      <c r="DF917" s="8"/>
      <c r="DG917" s="8"/>
      <c r="DH917" s="9"/>
      <c r="DI917" s="8"/>
      <c r="DJ917" s="8"/>
      <c r="DK917" s="9"/>
      <c r="DL917" s="8"/>
      <c r="DM917" s="8"/>
      <c r="DN917" s="9"/>
      <c r="DO917" s="8"/>
      <c r="DP917" s="8"/>
      <c r="DQ917" s="9"/>
      <c r="DR917" s="8"/>
      <c r="DS917" s="8"/>
      <c r="DT917" s="9"/>
      <c r="DU917" s="8"/>
      <c r="DV917" s="8"/>
      <c r="DW917" s="9"/>
      <c r="DX917" s="8"/>
      <c r="DY917" s="8"/>
      <c r="DZ917" s="9"/>
      <c r="EA917" s="8"/>
      <c r="EB917" s="8"/>
      <c r="EC917" s="9"/>
      <c r="ED917" s="8"/>
      <c r="EE917" s="8"/>
      <c r="EF917" s="9"/>
      <c r="EG917" s="8"/>
      <c r="EH917" s="8"/>
      <c r="EI917" s="9"/>
      <c r="EJ917" s="8"/>
      <c r="EK917" s="8"/>
      <c r="EL917" s="9"/>
      <c r="EM917" s="8"/>
      <c r="EN917" s="8"/>
      <c r="EO917" s="9"/>
      <c r="EP917" s="8"/>
      <c r="EQ917" s="8"/>
      <c r="ER917" s="9"/>
      <c r="ES917" s="8"/>
      <c r="ET917" s="8"/>
      <c r="EU917" s="9"/>
      <c r="EV917" s="8"/>
      <c r="EW917" s="8"/>
      <c r="EX917" s="9"/>
      <c r="EY917" s="8"/>
      <c r="EZ917" s="8"/>
      <c r="FA917" s="9"/>
      <c r="FH917" s="35"/>
      <c r="FI917" s="35"/>
      <c r="FJ917" s="35"/>
      <c r="FK917" s="35"/>
      <c r="FL917" s="35"/>
      <c r="FM917" s="35"/>
      <c r="FN917" s="35"/>
      <c r="FO917" s="35"/>
      <c r="FP917" s="35"/>
      <c r="FQ917" s="35"/>
    </row>
    <row r="918" spans="1:173" s="321" customFormat="1" hidden="1" outlineLevel="1">
      <c r="A918" s="1168"/>
      <c r="B918" s="186"/>
      <c r="C918" s="186" t="s">
        <v>316</v>
      </c>
      <c r="D918" s="910"/>
      <c r="E918" s="1"/>
      <c r="F918" s="1"/>
      <c r="G918" s="5"/>
      <c r="H918" s="1"/>
      <c r="I918" s="1"/>
      <c r="J918" s="5"/>
      <c r="K918" s="1"/>
      <c r="L918" s="1"/>
      <c r="M918" s="5"/>
      <c r="N918" s="1"/>
      <c r="O918" s="1"/>
      <c r="P918" s="5"/>
      <c r="Q918" s="1"/>
      <c r="R918" s="1"/>
      <c r="S918" s="5"/>
      <c r="T918" s="1"/>
      <c r="U918" s="1"/>
      <c r="V918" s="5"/>
      <c r="W918" s="1"/>
      <c r="X918" s="1"/>
      <c r="Y918" s="5"/>
      <c r="Z918" s="1"/>
      <c r="AA918" s="1"/>
      <c r="AB918" s="5"/>
      <c r="AC918" s="1"/>
      <c r="AD918" s="1"/>
      <c r="AE918" s="5"/>
      <c r="AF918" s="1"/>
      <c r="AG918" s="1"/>
      <c r="AH918" s="5"/>
      <c r="AI918" s="1"/>
      <c r="AJ918" s="1"/>
      <c r="AK918" s="5"/>
      <c r="AL918" s="1"/>
      <c r="AM918" s="1"/>
      <c r="AN918" s="5"/>
      <c r="AO918" s="1"/>
      <c r="AP918" s="1"/>
      <c r="AQ918" s="5"/>
      <c r="AR918" s="1"/>
      <c r="AS918" s="1"/>
      <c r="AT918" s="5"/>
      <c r="AU918" s="1"/>
      <c r="AV918" s="1"/>
      <c r="AW918" s="5"/>
      <c r="AX918" s="185">
        <f t="shared" ref="AX918:CC918" si="3972">AX876/(AX715*1000000)</f>
        <v>4.1268658968876401E-3</v>
      </c>
      <c r="AY918" s="185">
        <f t="shared" si="3972"/>
        <v>4.5597453068907286E-3</v>
      </c>
      <c r="AZ918" s="185">
        <f t="shared" si="3972"/>
        <v>4.5758847486387054E-3</v>
      </c>
      <c r="BA918" s="4">
        <f t="shared" si="3972"/>
        <v>4.9406666093625585E-3</v>
      </c>
      <c r="BB918" s="4">
        <f t="shared" si="3972"/>
        <v>5.4316428173270493E-3</v>
      </c>
      <c r="BC918" s="971">
        <f t="shared" si="3972"/>
        <v>5.4508683829992341E-3</v>
      </c>
      <c r="BD918" s="4">
        <f t="shared" si="3972"/>
        <v>5.8449366223861203E-3</v>
      </c>
      <c r="BE918" s="4">
        <f t="shared" si="3972"/>
        <v>6.3550561931986346E-3</v>
      </c>
      <c r="BF918" s="971">
        <f t="shared" si="3972"/>
        <v>6.3775502257228294E-3</v>
      </c>
      <c r="BG918" s="4">
        <f t="shared" si="3972"/>
        <v>6.8274668153977822E-3</v>
      </c>
      <c r="BH918" s="4">
        <f t="shared" si="3972"/>
        <v>7.3372589210893091E-3</v>
      </c>
      <c r="BI918" s="971">
        <f t="shared" si="3972"/>
        <v>7.3632295082551721E-3</v>
      </c>
      <c r="BJ918" s="121">
        <f t="shared" si="3972"/>
        <v>7.7556878525595957E-3</v>
      </c>
      <c r="BK918" s="121">
        <f t="shared" si="3972"/>
        <v>8.3037220328074958E-3</v>
      </c>
      <c r="BL918" s="114">
        <f t="shared" si="3972"/>
        <v>8.3331134634730113E-3</v>
      </c>
      <c r="BM918" s="121">
        <f t="shared" si="3972"/>
        <v>8.8614829536125973E-3</v>
      </c>
      <c r="BN918" s="121">
        <f t="shared" si="3972"/>
        <v>9.4545231787413735E-3</v>
      </c>
      <c r="BO918" s="114">
        <f t="shared" si="3972"/>
        <v>9.4880373889211344E-3</v>
      </c>
      <c r="BP918" s="121">
        <f t="shared" si="3972"/>
        <v>1.0160324796812652E-2</v>
      </c>
      <c r="BQ918" s="121">
        <f t="shared" si="3972"/>
        <v>1.0792709841182285E-2</v>
      </c>
      <c r="BR918" s="114">
        <f t="shared" si="3972"/>
        <v>1.083096762945868E-2</v>
      </c>
      <c r="BS918" s="4">
        <f t="shared" si="3972"/>
        <v>1.1610447767378353E-2</v>
      </c>
      <c r="BT918" s="4">
        <f t="shared" si="3972"/>
        <v>1.2377111873121091E-2</v>
      </c>
      <c r="BU918" s="185">
        <f t="shared" si="3972"/>
        <v>1.2420986018955004E-2</v>
      </c>
      <c r="BV918" s="4">
        <f t="shared" si="3972"/>
        <v>1.3213648021069255E-2</v>
      </c>
      <c r="BW918" s="4">
        <f t="shared" si="3972"/>
        <v>1.4020885734971719E-2</v>
      </c>
      <c r="BX918" s="185">
        <f t="shared" si="3972"/>
        <v>1.4070586698472958E-2</v>
      </c>
      <c r="BY918" s="4">
        <f t="shared" si="3972"/>
        <v>1.4833049560213422E-2</v>
      </c>
      <c r="BZ918" s="4">
        <f t="shared" si="3972"/>
        <v>1.5619614869913161E-2</v>
      </c>
      <c r="CA918" s="185">
        <f t="shared" si="3972"/>
        <v>1.5674982977408446E-2</v>
      </c>
      <c r="CB918" s="4">
        <f t="shared" si="3972"/>
        <v>1.6460102165270208E-2</v>
      </c>
      <c r="CC918" s="4">
        <f t="shared" si="3972"/>
        <v>1.7379889121593644E-2</v>
      </c>
      <c r="CD918" s="185">
        <f t="shared" ref="CD918:DI918" si="3973">CD876/(CD715*1000000)</f>
        <v>1.7441497015075969E-2</v>
      </c>
      <c r="CE918" s="4">
        <f t="shared" si="3973"/>
        <v>1.8297058296238306E-2</v>
      </c>
      <c r="CF918" s="4">
        <f t="shared" si="3973"/>
        <v>1.9300808087324733E-2</v>
      </c>
      <c r="CG918" s="185">
        <f t="shared" si="3973"/>
        <v>1.9369225217057126E-2</v>
      </c>
      <c r="CH918" s="4">
        <f t="shared" si="3973"/>
        <v>2.0052928416868007E-2</v>
      </c>
      <c r="CI918" s="4">
        <f t="shared" si="3973"/>
        <v>2.0961487281333201E-2</v>
      </c>
      <c r="CJ918" s="185">
        <f t="shared" si="3973"/>
        <v>2.1035791154426099E-2</v>
      </c>
      <c r="CK918" s="4">
        <f t="shared" si="3973"/>
        <v>2.1742792252984672E-2</v>
      </c>
      <c r="CL918" s="4">
        <f t="shared" si="3973"/>
        <v>2.2503694843481817E-2</v>
      </c>
      <c r="CM918" s="185">
        <f t="shared" si="3973"/>
        <v>2.258346550399503E-2</v>
      </c>
      <c r="CN918" s="4">
        <f t="shared" si="3973"/>
        <v>2.3226287216446706E-2</v>
      </c>
      <c r="CO918" s="4">
        <f t="shared" si="3973"/>
        <v>2.4056624976682602E-2</v>
      </c>
      <c r="CP918" s="185">
        <f t="shared" si="3973"/>
        <v>2.4141900433777792E-2</v>
      </c>
      <c r="CQ918" s="4">
        <f t="shared" si="3973"/>
        <v>2.4860661772312647E-2</v>
      </c>
      <c r="CR918" s="4">
        <f t="shared" si="3973"/>
        <v>2.5767963584700244E-2</v>
      </c>
      <c r="CS918" s="185">
        <f t="shared" si="3973"/>
        <v>2.5859305361663028E-2</v>
      </c>
      <c r="CT918" s="4">
        <f t="shared" si="3973"/>
        <v>2.6606699313406652E-2</v>
      </c>
      <c r="CU918" s="4">
        <f t="shared" si="3973"/>
        <v>2.7490363934436768E-2</v>
      </c>
      <c r="CV918" s="185">
        <f t="shared" si="3973"/>
        <v>2.7587811242714404E-2</v>
      </c>
      <c r="CW918" s="4">
        <f t="shared" si="3973"/>
        <v>2.8444272632228609E-2</v>
      </c>
      <c r="CX918" s="4">
        <f t="shared" si="3973"/>
        <v>2.9393951632062053E-2</v>
      </c>
      <c r="CY918" s="185">
        <f t="shared" si="3973"/>
        <v>2.9498146741047108E-2</v>
      </c>
      <c r="CZ918" s="4">
        <f t="shared" si="3973"/>
        <v>3.0400079307097389E-2</v>
      </c>
      <c r="DA918" s="4">
        <f t="shared" si="3973"/>
        <v>3.1381427064006776E-2</v>
      </c>
      <c r="DB918" s="185">
        <f t="shared" si="3973"/>
        <v>3.1492667337310959E-2</v>
      </c>
      <c r="DC918" s="4">
        <f t="shared" si="3973"/>
        <v>3.2311597632016908E-2</v>
      </c>
      <c r="DD918" s="4">
        <f t="shared" si="3973"/>
        <v>3.3131043734390839E-2</v>
      </c>
      <c r="DE918" s="185">
        <f t="shared" si="3973"/>
        <v>3.3248486014894829E-2</v>
      </c>
      <c r="DF918" s="4">
        <f t="shared" si="3973"/>
        <v>3.410192755763166E-2</v>
      </c>
      <c r="DG918" s="4">
        <f t="shared" si="3973"/>
        <v>3.4669072123792881E-2</v>
      </c>
      <c r="DH918" s="185">
        <f t="shared" si="3973"/>
        <v>3.4791966377466794E-2</v>
      </c>
      <c r="DI918" s="4">
        <f t="shared" si="3973"/>
        <v>3.5485299938019604E-2</v>
      </c>
      <c r="DJ918" s="4">
        <f t="shared" ref="DJ918:ER918" si="3974">DJ876/(DJ715*1000000)</f>
        <v>3.6307485390143557E-2</v>
      </c>
      <c r="DK918" s="185">
        <f t="shared" si="3974"/>
        <v>3.6436187459349963E-2</v>
      </c>
      <c r="DL918" s="4">
        <f t="shared" si="3974"/>
        <v>3.7084044761601195E-2</v>
      </c>
      <c r="DM918" s="4">
        <f t="shared" si="3974"/>
        <v>3.7897515125756162E-2</v>
      </c>
      <c r="DN918" s="185">
        <f t="shared" si="3974"/>
        <v>3.8031853501494794E-2</v>
      </c>
      <c r="DO918" s="4">
        <f t="shared" si="3974"/>
        <v>3.8783187513074802E-2</v>
      </c>
      <c r="DP918" s="4">
        <f t="shared" si="3974"/>
        <v>3.9747301936973359E-2</v>
      </c>
      <c r="DQ918" s="185">
        <f t="shared" si="3974"/>
        <v>3.9888197401081953E-2</v>
      </c>
      <c r="DR918" s="4">
        <f t="shared" si="3974"/>
        <v>4.0762886474676269E-2</v>
      </c>
      <c r="DS918" s="4">
        <f t="shared" si="3974"/>
        <v>4.167818851531345E-2</v>
      </c>
      <c r="DT918" s="185">
        <f t="shared" si="3974"/>
        <v>4.1825928548671738E-2</v>
      </c>
      <c r="DU918" s="4">
        <f t="shared" si="3974"/>
        <v>4.2627166936478313E-2</v>
      </c>
      <c r="DV918" s="4">
        <f t="shared" si="3974"/>
        <v>4.3638123126698757E-2</v>
      </c>
      <c r="DW918" s="185">
        <f t="shared" si="3974"/>
        <v>4.3792810698210241E-2</v>
      </c>
      <c r="DX918" s="4">
        <f t="shared" si="3974"/>
        <v>4.4616850625475282E-2</v>
      </c>
      <c r="DY918" s="4">
        <f t="shared" si="3974"/>
        <v>4.5672482634623243E-2</v>
      </c>
      <c r="DZ918" s="185">
        <f t="shared" si="3974"/>
        <v>4.5834381564216008E-2</v>
      </c>
      <c r="EA918" s="4">
        <f t="shared" si="3974"/>
        <v>4.6793479274991154E-2</v>
      </c>
      <c r="EB918" s="4">
        <f t="shared" si="3974"/>
        <v>4.7863684429125919E-2</v>
      </c>
      <c r="EC918" s="185">
        <f t="shared" si="3974"/>
        <v>4.8033350688291947E-2</v>
      </c>
      <c r="ED918" s="4">
        <f t="shared" si="3974"/>
        <v>4.9022856455839911E-2</v>
      </c>
      <c r="EE918" s="4">
        <f t="shared" si="3974"/>
        <v>5.0129468571684078E-2</v>
      </c>
      <c r="EF918" s="185">
        <f t="shared" si="3974"/>
        <v>5.030716653848253E-2</v>
      </c>
      <c r="EG918" s="4">
        <f t="shared" si="3974"/>
        <v>5.1328148728716223E-2</v>
      </c>
      <c r="EH918" s="4">
        <f t="shared" si="3974"/>
        <v>5.2472438929259756E-2</v>
      </c>
      <c r="EI918" s="185">
        <f t="shared" si="3974"/>
        <v>5.2658442211886848E-2</v>
      </c>
      <c r="EJ918" s="4">
        <f t="shared" si="3974"/>
        <v>5.3712006389675118E-2</v>
      </c>
      <c r="EK918" s="4">
        <f t="shared" si="3974"/>
        <v>5.4895290079954702E-2</v>
      </c>
      <c r="EL918" s="185">
        <f t="shared" si="3974"/>
        <v>5.5089881838294809E-2</v>
      </c>
      <c r="EM918" s="4">
        <f t="shared" si="3974"/>
        <v>5.6177172063660984E-2</v>
      </c>
      <c r="EN918" s="4">
        <f t="shared" si="3974"/>
        <v>5.7400810473700201E-2</v>
      </c>
      <c r="EO918" s="185">
        <f t="shared" si="3974"/>
        <v>5.7604283752080841E-2</v>
      </c>
      <c r="EP918" s="4">
        <f t="shared" si="3974"/>
        <v>5.8726483921564522E-2</v>
      </c>
      <c r="EQ918" s="4">
        <f t="shared" si="3974"/>
        <v>5.9991885703074538E-2</v>
      </c>
      <c r="ER918" s="185">
        <f t="shared" si="3974"/>
        <v>6.0204543774615787E-2</v>
      </c>
      <c r="ES918" s="4">
        <f t="shared" ref="ES918:EX918" si="3975">ES876/(ES715*1000000)</f>
        <v>6.1362879009371277E-2</v>
      </c>
      <c r="ET918" s="4">
        <f t="shared" si="3975"/>
        <v>6.2671501888085304E-2</v>
      </c>
      <c r="EU918" s="185">
        <f t="shared" si="3975"/>
        <v>6.2893658611047426E-2</v>
      </c>
      <c r="EV918" s="4">
        <f t="shared" si="3975"/>
        <v>6.4089396693307557E-2</v>
      </c>
      <c r="EW918" s="4">
        <f t="shared" si="3975"/>
        <v>6.5442749178887344E-2</v>
      </c>
      <c r="EX918" s="185">
        <f t="shared" si="3975"/>
        <v>6.567472936543492E-2</v>
      </c>
      <c r="EY918" s="4">
        <f t="shared" ref="EY918:FA918" si="3976">EY876/(EY715*1000000)</f>
        <v>6.6909182225025191E-2</v>
      </c>
      <c r="EZ918" s="4">
        <f t="shared" si="3976"/>
        <v>6.8308825380545807E-2</v>
      </c>
      <c r="FA918" s="185">
        <f t="shared" si="3976"/>
        <v>6.8550965178360665E-2</v>
      </c>
      <c r="FH918" s="35"/>
      <c r="FI918" s="35"/>
      <c r="FJ918" s="35"/>
      <c r="FK918" s="35"/>
      <c r="FL918" s="35"/>
      <c r="FM918" s="35"/>
      <c r="FN918" s="35"/>
      <c r="FO918" s="35"/>
      <c r="FP918" s="35"/>
      <c r="FQ918" s="35"/>
    </row>
    <row r="919" spans="1:173" s="321" customFormat="1" hidden="1" outlineLevel="1">
      <c r="A919" s="1168"/>
      <c r="B919" s="186"/>
      <c r="C919" s="186" t="s">
        <v>317</v>
      </c>
      <c r="D919" s="910"/>
      <c r="E919" s="1"/>
      <c r="F919" s="1"/>
      <c r="G919" s="5"/>
      <c r="H919" s="1"/>
      <c r="I919" s="1"/>
      <c r="J919" s="5"/>
      <c r="K919" s="1"/>
      <c r="L919" s="1"/>
      <c r="M919" s="5"/>
      <c r="N919" s="1"/>
      <c r="O919" s="1"/>
      <c r="P919" s="5"/>
      <c r="Q919" s="1"/>
      <c r="R919" s="1"/>
      <c r="S919" s="5"/>
      <c r="T919" s="1"/>
      <c r="U919" s="1"/>
      <c r="V919" s="5"/>
      <c r="W919" s="1"/>
      <c r="X919" s="1"/>
      <c r="Y919" s="5"/>
      <c r="Z919" s="1"/>
      <c r="AA919" s="1"/>
      <c r="AB919" s="5"/>
      <c r="AC919" s="1"/>
      <c r="AD919" s="1"/>
      <c r="AE919" s="5"/>
      <c r="AF919" s="1"/>
      <c r="AG919" s="1"/>
      <c r="AH919" s="5"/>
      <c r="AI919" s="1"/>
      <c r="AJ919" s="1"/>
      <c r="AK919" s="5"/>
      <c r="AL919" s="1"/>
      <c r="AM919" s="1"/>
      <c r="AN919" s="5"/>
      <c r="AO919" s="1"/>
      <c r="AP919" s="1"/>
      <c r="AQ919" s="5"/>
      <c r="AR919" s="1"/>
      <c r="AS919" s="1"/>
      <c r="AT919" s="5"/>
      <c r="AU919" s="1"/>
      <c r="AV919" s="1"/>
      <c r="AW919" s="5"/>
      <c r="AX919" s="185">
        <f t="shared" ref="AX919:CC919" si="3977">AX877/(AX716*1000000)</f>
        <v>9.7018443115273734E-4</v>
      </c>
      <c r="AY919" s="185">
        <f t="shared" si="3977"/>
        <v>1.1040090149679719E-3</v>
      </c>
      <c r="AZ919" s="185">
        <f t="shared" si="3977"/>
        <v>1.1067017139717256E-3</v>
      </c>
      <c r="BA919" s="4">
        <f t="shared" si="3977"/>
        <v>1.2300414332258021E-3</v>
      </c>
      <c r="BB919" s="4">
        <f t="shared" si="3977"/>
        <v>1.3833379931340113E-3</v>
      </c>
      <c r="BC919" s="971">
        <f t="shared" si="3977"/>
        <v>1.3867119808329022E-3</v>
      </c>
      <c r="BD919" s="4">
        <f t="shared" si="3977"/>
        <v>1.5294690161694097E-3</v>
      </c>
      <c r="BE919" s="4">
        <f t="shared" si="3977"/>
        <v>1.7152328540772591E-3</v>
      </c>
      <c r="BF919" s="971">
        <f t="shared" si="3977"/>
        <v>1.7194163396600404E-3</v>
      </c>
      <c r="BG919" s="4">
        <f t="shared" si="3977"/>
        <v>1.8615602373529205E-3</v>
      </c>
      <c r="BH919" s="4">
        <f t="shared" si="3977"/>
        <v>2.0329461501556907E-3</v>
      </c>
      <c r="BI919" s="971">
        <f t="shared" si="3977"/>
        <v>2.0379045445156922E-3</v>
      </c>
      <c r="BJ919" s="121">
        <f t="shared" si="3977"/>
        <v>2.1866197238351653E-3</v>
      </c>
      <c r="BK919" s="121">
        <f t="shared" si="3977"/>
        <v>2.3665739412792003E-3</v>
      </c>
      <c r="BL919" s="114">
        <f t="shared" si="3977"/>
        <v>2.3723460601727912E-3</v>
      </c>
      <c r="BM919" s="121">
        <f t="shared" si="3977"/>
        <v>2.5256301252612376E-3</v>
      </c>
      <c r="BN919" s="121">
        <f t="shared" si="3977"/>
        <v>2.7221803091270614E-3</v>
      </c>
      <c r="BO919" s="114">
        <f t="shared" si="3977"/>
        <v>2.7288167623366762E-3</v>
      </c>
      <c r="BP919" s="121">
        <f t="shared" si="3977"/>
        <v>2.9146351709377172E-3</v>
      </c>
      <c r="BQ919" s="121">
        <f t="shared" si="3977"/>
        <v>3.1208113130015759E-3</v>
      </c>
      <c r="BR919" s="114">
        <f t="shared" si="3977"/>
        <v>3.1284195960331333E-3</v>
      </c>
      <c r="BS919" s="4">
        <f t="shared" si="3977"/>
        <v>3.3445644306653328E-3</v>
      </c>
      <c r="BT919" s="4">
        <f t="shared" si="3977"/>
        <v>3.5862241580825105E-3</v>
      </c>
      <c r="BU919" s="185">
        <f t="shared" si="3977"/>
        <v>3.5949670796092386E-3</v>
      </c>
      <c r="BV919" s="4">
        <f t="shared" si="3977"/>
        <v>3.850607775875624E-3</v>
      </c>
      <c r="BW919" s="4">
        <f t="shared" si="3977"/>
        <v>4.1308134659803477E-3</v>
      </c>
      <c r="BX919" s="185">
        <f t="shared" si="3977"/>
        <v>4.1408840517504052E-3</v>
      </c>
      <c r="BY919" s="4">
        <f t="shared" si="3977"/>
        <v>4.395628940109364E-3</v>
      </c>
      <c r="BZ919" s="4">
        <f t="shared" si="3977"/>
        <v>4.6555766389738936E-3</v>
      </c>
      <c r="CA919" s="185">
        <f t="shared" si="3977"/>
        <v>4.6669265544900451E-3</v>
      </c>
      <c r="CB919" s="4">
        <f t="shared" si="3977"/>
        <v>4.9158029365788704E-3</v>
      </c>
      <c r="CC919" s="4">
        <f t="shared" si="3977"/>
        <v>5.2005573114756983E-3</v>
      </c>
      <c r="CD919" s="185">
        <f t="shared" ref="CD919:DI919" si="3978">CD877/(CD716*1000000)</f>
        <v>5.2132358453501103E-3</v>
      </c>
      <c r="CE919" s="4">
        <f t="shared" si="3978"/>
        <v>5.5102109089045096E-3</v>
      </c>
      <c r="CF919" s="4">
        <f t="shared" si="3978"/>
        <v>5.8223614245939198E-3</v>
      </c>
      <c r="CG919" s="185">
        <f t="shared" si="3978"/>
        <v>5.8365558660988534E-3</v>
      </c>
      <c r="CH919" s="4">
        <f t="shared" si="3978"/>
        <v>6.0857968900706058E-3</v>
      </c>
      <c r="CI919" s="4">
        <f t="shared" si="3978"/>
        <v>6.371470370717852E-3</v>
      </c>
      <c r="CJ919" s="185">
        <f t="shared" si="3978"/>
        <v>6.3870034949748819E-3</v>
      </c>
      <c r="CK919" s="4">
        <f t="shared" si="3978"/>
        <v>6.6527383061595492E-3</v>
      </c>
      <c r="CL919" s="4">
        <f t="shared" si="3978"/>
        <v>6.9388680317561749E-3</v>
      </c>
      <c r="CM919" s="185">
        <f t="shared" si="3978"/>
        <v>6.9557844251581999E-3</v>
      </c>
      <c r="CN919" s="4">
        <f t="shared" si="3978"/>
        <v>7.2020431750374212E-3</v>
      </c>
      <c r="CO919" s="4">
        <f t="shared" si="3978"/>
        <v>7.5151842091176731E-3</v>
      </c>
      <c r="CP919" s="185">
        <f t="shared" si="3978"/>
        <v>7.5335056142789066E-3</v>
      </c>
      <c r="CQ919" s="4">
        <f t="shared" si="3978"/>
        <v>7.7763251233322972E-3</v>
      </c>
      <c r="CR919" s="4">
        <f t="shared" si="3978"/>
        <v>8.095851889150513E-3</v>
      </c>
      <c r="CS919" s="185">
        <f t="shared" si="3978"/>
        <v>8.1155889146789732E-3</v>
      </c>
      <c r="CT919" s="4">
        <f t="shared" si="3978"/>
        <v>8.3697202313896876E-3</v>
      </c>
      <c r="CU919" s="4">
        <f t="shared" si="3978"/>
        <v>8.6927505697914492E-3</v>
      </c>
      <c r="CV919" s="185">
        <f t="shared" si="3978"/>
        <v>8.7139427855406574E-3</v>
      </c>
      <c r="CW919" s="4">
        <f t="shared" si="3978"/>
        <v>8.9799565448548911E-3</v>
      </c>
      <c r="CX919" s="4">
        <f t="shared" si="3978"/>
        <v>9.3187021947942362E-3</v>
      </c>
      <c r="CY919" s="185">
        <f t="shared" si="3978"/>
        <v>9.3414204294691144E-3</v>
      </c>
      <c r="CZ919" s="4">
        <f t="shared" si="3978"/>
        <v>9.5874916537791923E-3</v>
      </c>
      <c r="DA919" s="4">
        <f t="shared" si="3978"/>
        <v>9.9905468190777998E-3</v>
      </c>
      <c r="DB919" s="185">
        <f t="shared" si="3978"/>
        <v>1.0014902956061441E-2</v>
      </c>
      <c r="DC919" s="4">
        <f t="shared" si="3978"/>
        <v>1.027495712923757E-2</v>
      </c>
      <c r="DD919" s="4">
        <f t="shared" si="3978"/>
        <v>1.062920233204807E-2</v>
      </c>
      <c r="DE919" s="185">
        <f t="shared" si="3978"/>
        <v>1.0655115458998422E-2</v>
      </c>
      <c r="DF919" s="4">
        <f t="shared" si="3978"/>
        <v>1.0936774711511806E-2</v>
      </c>
      <c r="DG919" s="4">
        <f t="shared" si="3978"/>
        <v>1.1191604027933096E-2</v>
      </c>
      <c r="DH919" s="185">
        <f t="shared" si="3978"/>
        <v>1.1218888244273535E-2</v>
      </c>
      <c r="DI919" s="4">
        <f t="shared" si="3978"/>
        <v>1.1438940576174388E-2</v>
      </c>
      <c r="DJ919" s="4">
        <f t="shared" ref="DJ919:ER919" si="3979">DJ877/(DJ716*1000000)</f>
        <v>1.1754627943552139E-2</v>
      </c>
      <c r="DK919" s="185">
        <f t="shared" si="3979"/>
        <v>1.1783284766203547E-2</v>
      </c>
      <c r="DL919" s="4">
        <f t="shared" si="3979"/>
        <v>1.2031718792723125E-2</v>
      </c>
      <c r="DM919" s="4">
        <f t="shared" si="3979"/>
        <v>1.2324662184331597E-2</v>
      </c>
      <c r="DN919" s="185">
        <f t="shared" si="3979"/>
        <v>1.2354708703894018E-2</v>
      </c>
      <c r="DO919" s="4">
        <f t="shared" si="3979"/>
        <v>1.2600540720235146E-2</v>
      </c>
      <c r="DP919" s="4">
        <f t="shared" si="3979"/>
        <v>1.2907175298018624E-2</v>
      </c>
      <c r="DQ919" s="185">
        <f t="shared" si="3979"/>
        <v>1.2938641936964767E-2</v>
      </c>
      <c r="DR919" s="4">
        <f t="shared" si="3979"/>
        <v>1.3202024587491475E-2</v>
      </c>
      <c r="DS919" s="4">
        <f t="shared" si="3979"/>
        <v>1.3517112039847493E-2</v>
      </c>
      <c r="DT919" s="185">
        <f t="shared" si="3979"/>
        <v>1.3550065654742436E-2</v>
      </c>
      <c r="DU919" s="4">
        <f t="shared" si="3979"/>
        <v>1.3804345338545685E-2</v>
      </c>
      <c r="DV919" s="4">
        <f t="shared" si="3979"/>
        <v>1.4182968535780277E-2</v>
      </c>
      <c r="DW919" s="185">
        <f t="shared" si="3979"/>
        <v>1.4217545454416249E-2</v>
      </c>
      <c r="DX919" s="4">
        <f t="shared" si="3979"/>
        <v>1.4482040136688093E-2</v>
      </c>
      <c r="DY919" s="4">
        <f t="shared" si="3979"/>
        <v>1.4878979340704821E-2</v>
      </c>
      <c r="DZ919" s="185">
        <f t="shared" si="3979"/>
        <v>1.4915253076823742E-2</v>
      </c>
      <c r="EA919" s="4">
        <f t="shared" si="3979"/>
        <v>1.5220414269347922E-2</v>
      </c>
      <c r="EB919" s="4">
        <f t="shared" si="3979"/>
        <v>1.562540510185869E-2</v>
      </c>
      <c r="EC919" s="185">
        <f t="shared" si="3979"/>
        <v>1.566349856300529E-2</v>
      </c>
      <c r="ED919" s="4">
        <f t="shared" si="3979"/>
        <v>1.5980174803577003E-2</v>
      </c>
      <c r="EE919" s="4">
        <f t="shared" si="3979"/>
        <v>1.6400968493175429E-2</v>
      </c>
      <c r="EF919" s="185">
        <f t="shared" si="3979"/>
        <v>1.6440952714511674E-2</v>
      </c>
      <c r="EG919" s="4">
        <f t="shared" si="3979"/>
        <v>1.6769590862106512E-2</v>
      </c>
      <c r="EH919" s="4">
        <f t="shared" si="3979"/>
        <v>1.7206801145423483E-2</v>
      </c>
      <c r="EI919" s="185">
        <f t="shared" si="3979"/>
        <v>1.7248749920934739E-2</v>
      </c>
      <c r="EJ919" s="4">
        <f t="shared" si="3979"/>
        <v>1.758981418701443E-2</v>
      </c>
      <c r="EK919" s="4">
        <f t="shared" si="3979"/>
        <v>1.8044078633816893E-2</v>
      </c>
      <c r="EL919" s="185">
        <f t="shared" si="3979"/>
        <v>1.808806862344485E-2</v>
      </c>
      <c r="EM919" s="4">
        <f t="shared" si="3979"/>
        <v>1.8442041245801559E-2</v>
      </c>
      <c r="EN919" s="4">
        <f t="shared" si="3979"/>
        <v>1.8914022184498561E-2</v>
      </c>
      <c r="EO919" s="185">
        <f t="shared" si="3979"/>
        <v>1.8960133025434475E-2</v>
      </c>
      <c r="EP919" s="4">
        <f t="shared" si="3979"/>
        <v>1.9327514968202401E-2</v>
      </c>
      <c r="EQ919" s="4">
        <f t="shared" si="3979"/>
        <v>1.9817900447291002E-2</v>
      </c>
      <c r="ER919" s="185">
        <f t="shared" si="3979"/>
        <v>1.9866214869590761E-2</v>
      </c>
      <c r="ES919" s="4">
        <f t="shared" ref="ES919:EX919" si="3980">ES877/(ES716*1000000)</f>
        <v>2.0247526550440997E-2</v>
      </c>
      <c r="ET919" s="4">
        <f t="shared" si="3980"/>
        <v>2.0757031337287818E-2</v>
      </c>
      <c r="EU919" s="185">
        <f t="shared" si="3980"/>
        <v>2.0807635283976635E-2</v>
      </c>
      <c r="EV919" s="4">
        <f t="shared" si="3980"/>
        <v>2.1203417329551055E-2</v>
      </c>
      <c r="EW919" s="4">
        <f t="shared" si="3980"/>
        <v>2.1732783947959199E-2</v>
      </c>
      <c r="EX919" s="185">
        <f t="shared" si="3980"/>
        <v>2.1785766699800334E-2</v>
      </c>
      <c r="EY919" s="4">
        <f t="shared" ref="EY919:FA919" si="3981">EY877/(EY716*1000000)</f>
        <v>2.2196580730481058E-2</v>
      </c>
      <c r="EZ919" s="4">
        <f t="shared" si="3981"/>
        <v>2.2746580538548642E-2</v>
      </c>
      <c r="FA919" s="185">
        <f t="shared" si="3981"/>
        <v>2.2802034843657188E-2</v>
      </c>
      <c r="FH919" s="35"/>
      <c r="FI919" s="35"/>
      <c r="FJ919" s="35"/>
      <c r="FK919" s="35"/>
      <c r="FL919" s="35"/>
      <c r="FM919" s="35"/>
      <c r="FN919" s="35"/>
      <c r="FO919" s="35"/>
      <c r="FP919" s="35"/>
      <c r="FQ919" s="35"/>
    </row>
    <row r="920" spans="1:173" s="321" customFormat="1" hidden="1" outlineLevel="1">
      <c r="A920" s="1168"/>
      <c r="B920" s="186"/>
      <c r="C920" s="186" t="s">
        <v>431</v>
      </c>
      <c r="D920" s="910"/>
      <c r="E920" s="1"/>
      <c r="F920" s="1"/>
      <c r="G920" s="5"/>
      <c r="H920" s="1"/>
      <c r="I920" s="1"/>
      <c r="J920" s="5"/>
      <c r="K920" s="1"/>
      <c r="L920" s="1"/>
      <c r="M920" s="5"/>
      <c r="N920" s="1"/>
      <c r="O920" s="1"/>
      <c r="P920" s="5"/>
      <c r="Q920" s="1"/>
      <c r="R920" s="1"/>
      <c r="S920" s="5"/>
      <c r="T920" s="1"/>
      <c r="U920" s="1"/>
      <c r="V920" s="5"/>
      <c r="W920" s="1"/>
      <c r="X920" s="1"/>
      <c r="Y920" s="5"/>
      <c r="Z920" s="1"/>
      <c r="AA920" s="1"/>
      <c r="AB920" s="5"/>
      <c r="AC920" s="1"/>
      <c r="AD920" s="1"/>
      <c r="AE920" s="5"/>
      <c r="AF920" s="1"/>
      <c r="AG920" s="1"/>
      <c r="AH920" s="5"/>
      <c r="AI920" s="1"/>
      <c r="AJ920" s="1"/>
      <c r="AK920" s="5"/>
      <c r="AL920" s="1"/>
      <c r="AM920" s="1"/>
      <c r="AN920" s="5"/>
      <c r="AO920" s="1"/>
      <c r="AP920" s="1"/>
      <c r="AQ920" s="5"/>
      <c r="AR920" s="1"/>
      <c r="AS920" s="1"/>
      <c r="AT920" s="5"/>
      <c r="AU920" s="1"/>
      <c r="AV920" s="1"/>
      <c r="AW920" s="5"/>
      <c r="AX920" s="185">
        <f t="shared" ref="AX920:CC920" si="3982">AX878/(AX717*1000000)</f>
        <v>7.6847691652110687E-4</v>
      </c>
      <c r="AY920" s="185">
        <f t="shared" si="3982"/>
        <v>7.9948080011639413E-4</v>
      </c>
      <c r="AZ920" s="185">
        <f t="shared" si="3982"/>
        <v>8.0359411037807466E-4</v>
      </c>
      <c r="BA920" s="4">
        <f t="shared" si="3982"/>
        <v>8.7997976610027602E-4</v>
      </c>
      <c r="BB920" s="4">
        <f t="shared" si="3982"/>
        <v>9.1487410617662997E-4</v>
      </c>
      <c r="BC920" s="971">
        <f t="shared" si="3982"/>
        <v>9.1958111233429415E-4</v>
      </c>
      <c r="BD920" s="4">
        <f t="shared" si="3982"/>
        <v>1.0075200322322685E-3</v>
      </c>
      <c r="BE920" s="4">
        <f t="shared" si="3982"/>
        <v>1.0854012859164406E-3</v>
      </c>
      <c r="BF920" s="971">
        <f t="shared" si="3982"/>
        <v>1.0909856504774799E-3</v>
      </c>
      <c r="BG920" s="4">
        <f t="shared" si="3982"/>
        <v>1.1660661829958955E-3</v>
      </c>
      <c r="BH920" s="4">
        <f t="shared" si="3982"/>
        <v>1.2771744948498101E-3</v>
      </c>
      <c r="BI920" s="971">
        <f t="shared" si="3982"/>
        <v>1.2837455281439901E-3</v>
      </c>
      <c r="BJ920" s="121">
        <f t="shared" si="3982"/>
        <v>1.3678418967735572E-3</v>
      </c>
      <c r="BK920" s="121">
        <f t="shared" si="3982"/>
        <v>1.4610994596656868E-3</v>
      </c>
      <c r="BL920" s="114">
        <f t="shared" si="3982"/>
        <v>1.4686167826581888E-3</v>
      </c>
      <c r="BM920" s="121">
        <f t="shared" si="3982"/>
        <v>1.5524048406513249E-3</v>
      </c>
      <c r="BN920" s="121">
        <f t="shared" si="3982"/>
        <v>1.6680332674066948E-3</v>
      </c>
      <c r="BO920" s="114">
        <f t="shared" si="3982"/>
        <v>1.6766427761346293E-3</v>
      </c>
      <c r="BP920" s="121">
        <f t="shared" si="3982"/>
        <v>1.7780245003441277E-3</v>
      </c>
      <c r="BQ920" s="121">
        <f t="shared" si="3982"/>
        <v>1.8921424575524509E-3</v>
      </c>
      <c r="BR920" s="114">
        <f t="shared" si="3982"/>
        <v>1.9019086998217796E-3</v>
      </c>
      <c r="BS920" s="4">
        <f t="shared" si="3982"/>
        <v>2.0176822902324724E-3</v>
      </c>
      <c r="BT920" s="4">
        <f t="shared" si="3982"/>
        <v>2.15291759166098E-3</v>
      </c>
      <c r="BU920" s="185">
        <f t="shared" si="3982"/>
        <v>2.1640298177526972E-3</v>
      </c>
      <c r="BV920" s="4">
        <f t="shared" si="3982"/>
        <v>2.2782565649423227E-3</v>
      </c>
      <c r="BW920" s="4">
        <f t="shared" si="3982"/>
        <v>2.4264759987090408E-3</v>
      </c>
      <c r="BX920" s="185">
        <f t="shared" si="3982"/>
        <v>2.4390001891416977E-3</v>
      </c>
      <c r="BY920" s="4">
        <f t="shared" si="3982"/>
        <v>2.5375668371541279E-3</v>
      </c>
      <c r="BZ920" s="4">
        <f t="shared" si="3982"/>
        <v>2.6842336352846351E-3</v>
      </c>
      <c r="CA920" s="185">
        <f t="shared" si="3982"/>
        <v>2.6980882348075367E-3</v>
      </c>
      <c r="CB920" s="4">
        <f t="shared" si="3982"/>
        <v>2.7982201633046161E-3</v>
      </c>
      <c r="CC920" s="4">
        <f t="shared" si="3982"/>
        <v>2.9650043135475198E-3</v>
      </c>
      <c r="CD920" s="185">
        <f t="shared" ref="CD920:DI920" si="3983">CD878/(CD717*1000000)</f>
        <v>2.980308103354745E-3</v>
      </c>
      <c r="CE920" s="4">
        <f t="shared" si="3983"/>
        <v>3.1003848908844086E-3</v>
      </c>
      <c r="CF920" s="4">
        <f t="shared" si="3983"/>
        <v>3.2818404348653476E-3</v>
      </c>
      <c r="CG920" s="185">
        <f t="shared" si="3983"/>
        <v>3.298779565768648E-3</v>
      </c>
      <c r="CH920" s="4">
        <f t="shared" si="3983"/>
        <v>3.4214271396561108E-3</v>
      </c>
      <c r="CI920" s="4">
        <f t="shared" si="3983"/>
        <v>3.5840684991525289E-3</v>
      </c>
      <c r="CJ920" s="185">
        <f t="shared" si="3983"/>
        <v>3.6025675720594767E-3</v>
      </c>
      <c r="CK920" s="4">
        <f t="shared" si="3983"/>
        <v>3.8656718558729274E-3</v>
      </c>
      <c r="CL920" s="4">
        <f t="shared" si="3983"/>
        <v>4.0988351507181961E-3</v>
      </c>
      <c r="CM920" s="185">
        <f t="shared" si="3983"/>
        <v>4.1199911778155062E-3</v>
      </c>
      <c r="CN920" s="4">
        <f t="shared" si="3983"/>
        <v>4.2372516972816717E-3</v>
      </c>
      <c r="CO920" s="4">
        <f t="shared" si="3983"/>
        <v>4.4445418031808679E-3</v>
      </c>
      <c r="CP920" s="185">
        <f t="shared" si="3983"/>
        <v>4.467482185842208E-3</v>
      </c>
      <c r="CQ920" s="4">
        <f t="shared" si="3983"/>
        <v>4.4996500630612958E-3</v>
      </c>
      <c r="CR920" s="4">
        <f t="shared" si="3983"/>
        <v>4.6669127341462339E-3</v>
      </c>
      <c r="CS920" s="185">
        <f t="shared" si="3983"/>
        <v>4.6910008783710832E-3</v>
      </c>
      <c r="CT920" s="4">
        <f t="shared" si="3983"/>
        <v>4.844664084527839E-3</v>
      </c>
      <c r="CU920" s="4">
        <f t="shared" si="3983"/>
        <v>4.9845268901866236E-3</v>
      </c>
      <c r="CV920" s="185">
        <f t="shared" si="3983"/>
        <v>5.0102543913127873E-3</v>
      </c>
      <c r="CW920" s="4">
        <f t="shared" si="3983"/>
        <v>5.1306272406283051E-3</v>
      </c>
      <c r="CX920" s="4">
        <f t="shared" si="3983"/>
        <v>5.2232435545147083E-3</v>
      </c>
      <c r="CY920" s="185">
        <f t="shared" si="3983"/>
        <v>5.2502031852663406E-3</v>
      </c>
      <c r="CZ920" s="4">
        <f t="shared" si="3983"/>
        <v>5.2988736910108778E-3</v>
      </c>
      <c r="DA920" s="4">
        <f t="shared" si="3983"/>
        <v>5.4220220369135116E-3</v>
      </c>
      <c r="DB920" s="185">
        <f t="shared" si="3983"/>
        <v>5.4500076574415914E-3</v>
      </c>
      <c r="DC920" s="4">
        <f t="shared" si="3983"/>
        <v>5.5121388050402252E-3</v>
      </c>
      <c r="DD920" s="4">
        <f t="shared" si="3983"/>
        <v>5.609215675482321E-3</v>
      </c>
      <c r="DE920" s="185">
        <f t="shared" si="3983"/>
        <v>5.6381674909278326E-3</v>
      </c>
      <c r="DF920" s="4">
        <f t="shared" si="3983"/>
        <v>5.7172086235504826E-3</v>
      </c>
      <c r="DG920" s="4">
        <f t="shared" si="3983"/>
        <v>5.7681477614655047E-3</v>
      </c>
      <c r="DH920" s="185">
        <f t="shared" si="3983"/>
        <v>5.797919900586904E-3</v>
      </c>
      <c r="DI920" s="4">
        <f t="shared" si="3983"/>
        <v>5.896217511123388E-3</v>
      </c>
      <c r="DJ920" s="4">
        <f t="shared" ref="DJ920:ER920" si="3984">DJ878/(DJ717*1000000)</f>
        <v>6.0260208378815029E-3</v>
      </c>
      <c r="DK920" s="185">
        <f t="shared" si="3984"/>
        <v>6.0571239819327705E-3</v>
      </c>
      <c r="DL920" s="4">
        <f t="shared" si="3984"/>
        <v>6.1529874918525738E-3</v>
      </c>
      <c r="DM920" s="4">
        <f t="shared" si="3984"/>
        <v>6.2877770635026593E-3</v>
      </c>
      <c r="DN920" s="185">
        <f t="shared" si="3984"/>
        <v>6.3202312552537018E-3</v>
      </c>
      <c r="DO920" s="4">
        <f t="shared" si="3984"/>
        <v>6.4337563664765111E-3</v>
      </c>
      <c r="DP920" s="4">
        <f t="shared" si="3984"/>
        <v>6.5776299276932128E-3</v>
      </c>
      <c r="DQ920" s="185">
        <f t="shared" si="3984"/>
        <v>6.6115801871863217E-3</v>
      </c>
      <c r="DR920" s="4">
        <f t="shared" si="3984"/>
        <v>6.7128007770729369E-3</v>
      </c>
      <c r="DS920" s="4">
        <f t="shared" si="3984"/>
        <v>6.8583782943499438E-3</v>
      </c>
      <c r="DT920" s="185">
        <f t="shared" si="3984"/>
        <v>6.8937776289666212E-3</v>
      </c>
      <c r="DU920" s="4">
        <f t="shared" si="3984"/>
        <v>7.0290476408231863E-3</v>
      </c>
      <c r="DV920" s="4">
        <f t="shared" si="3984"/>
        <v>7.1925682757115854E-3</v>
      </c>
      <c r="DW920" s="185">
        <f t="shared" si="3984"/>
        <v>7.2296925229049748E-3</v>
      </c>
      <c r="DX920" s="4">
        <f t="shared" si="3984"/>
        <v>7.3446092562656504E-3</v>
      </c>
      <c r="DY920" s="4">
        <f t="shared" si="3984"/>
        <v>7.5147001757438154E-3</v>
      </c>
      <c r="DZ920" s="185">
        <f t="shared" si="3984"/>
        <v>7.5534870980523026E-3</v>
      </c>
      <c r="EA920" s="4">
        <f t="shared" si="3984"/>
        <v>7.6893997869619856E-3</v>
      </c>
      <c r="EB920" s="4">
        <f t="shared" si="3984"/>
        <v>7.8607836582164897E-3</v>
      </c>
      <c r="EC920" s="185">
        <f t="shared" si="3984"/>
        <v>7.9013568810869395E-3</v>
      </c>
      <c r="ED920" s="4">
        <f t="shared" si="3984"/>
        <v>8.0405951615417463E-3</v>
      </c>
      <c r="EE920" s="4">
        <f t="shared" si="3984"/>
        <v>8.2169883137692655E-3</v>
      </c>
      <c r="EF920" s="185">
        <f t="shared" si="3984"/>
        <v>8.2594000773635965E-3</v>
      </c>
      <c r="EG920" s="4">
        <f t="shared" si="3984"/>
        <v>8.4020739005793727E-3</v>
      </c>
      <c r="EH920" s="4">
        <f t="shared" si="3984"/>
        <v>8.5836353075507896E-3</v>
      </c>
      <c r="EI920" s="185">
        <f t="shared" si="3984"/>
        <v>8.6279395097161697E-3</v>
      </c>
      <c r="EJ920" s="4">
        <f t="shared" si="3984"/>
        <v>8.7741622293774878E-3</v>
      </c>
      <c r="EK920" s="4">
        <f t="shared" si="3984"/>
        <v>8.9610558243935698E-3</v>
      </c>
      <c r="EL920" s="185">
        <f t="shared" si="3984"/>
        <v>9.0073080723787474E-3</v>
      </c>
      <c r="EM920" s="4">
        <f t="shared" si="3984"/>
        <v>9.1571965513321009E-3</v>
      </c>
      <c r="EN920" s="4">
        <f t="shared" si="3984"/>
        <v>9.3495913824844651E-3</v>
      </c>
      <c r="EO920" s="185">
        <f t="shared" si="3984"/>
        <v>9.3978490462751085E-3</v>
      </c>
      <c r="EP920" s="4">
        <f t="shared" si="3984"/>
        <v>9.5515237665587151E-3</v>
      </c>
      <c r="EQ920" s="4">
        <f t="shared" si="3984"/>
        <v>9.7495941568479343E-3</v>
      </c>
      <c r="ER920" s="185">
        <f t="shared" si="3984"/>
        <v>9.7999164241715977E-3</v>
      </c>
      <c r="ES920" s="4">
        <f t="shared" ref="ES920:EX920" si="3985">ES878/(ES717*1000000)</f>
        <v>9.9575016004862221E-3</v>
      </c>
      <c r="ET920" s="4">
        <f t="shared" si="3985"/>
        <v>1.0161427312948964E-2</v>
      </c>
      <c r="EU920" s="185">
        <f t="shared" si="3985"/>
        <v>1.021387524600195E-2</v>
      </c>
      <c r="EV920" s="4">
        <f t="shared" si="3985"/>
        <v>1.0375498942730382E-2</v>
      </c>
      <c r="EW920" s="4">
        <f t="shared" si="3985"/>
        <v>1.0585465350732364E-2</v>
      </c>
      <c r="EX920" s="185">
        <f t="shared" si="3985"/>
        <v>1.0640101944682357E-2</v>
      </c>
      <c r="EY920" s="4">
        <f t="shared" ref="EY920:FA920" si="3986">EY878/(EY717*1000000)</f>
        <v>1.0805896196568613E-2</v>
      </c>
      <c r="EZ920" s="4">
        <f t="shared" si="3986"/>
        <v>1.1022094459424982E-2</v>
      </c>
      <c r="FA920" s="185">
        <f t="shared" si="3986"/>
        <v>1.1078984702744933E-2</v>
      </c>
      <c r="FH920" s="35"/>
      <c r="FI920" s="35"/>
      <c r="FJ920" s="35"/>
      <c r="FK920" s="35"/>
      <c r="FL920" s="35"/>
      <c r="FM920" s="35"/>
      <c r="FN920" s="35"/>
      <c r="FO920" s="35"/>
      <c r="FP920" s="35"/>
      <c r="FQ920" s="35"/>
    </row>
    <row r="921" spans="1:173" s="321" customFormat="1" hidden="1" outlineLevel="1">
      <c r="A921" s="1168"/>
      <c r="B921" s="186"/>
      <c r="C921" s="186" t="s">
        <v>327</v>
      </c>
      <c r="D921" s="910"/>
      <c r="E921" s="1"/>
      <c r="F921" s="1"/>
      <c r="G921" s="5"/>
      <c r="H921" s="1"/>
      <c r="I921" s="1"/>
      <c r="J921" s="5"/>
      <c r="K921" s="1"/>
      <c r="L921" s="1"/>
      <c r="M921" s="5"/>
      <c r="N921" s="1"/>
      <c r="O921" s="1"/>
      <c r="P921" s="5"/>
      <c r="Q921" s="1"/>
      <c r="R921" s="1"/>
      <c r="S921" s="5"/>
      <c r="T921" s="1"/>
      <c r="U921" s="1"/>
      <c r="V921" s="5"/>
      <c r="W921" s="1"/>
      <c r="X921" s="1"/>
      <c r="Y921" s="5"/>
      <c r="Z921" s="1"/>
      <c r="AA921" s="1"/>
      <c r="AB921" s="5"/>
      <c r="AC921" s="1"/>
      <c r="AD921" s="1"/>
      <c r="AE921" s="5"/>
      <c r="AF921" s="1"/>
      <c r="AG921" s="1"/>
      <c r="AH921" s="5"/>
      <c r="AI921" s="1"/>
      <c r="AJ921" s="1"/>
      <c r="AK921" s="5"/>
      <c r="AL921" s="1"/>
      <c r="AM921" s="1"/>
      <c r="AN921" s="5"/>
      <c r="AO921" s="1"/>
      <c r="AP921" s="1"/>
      <c r="AQ921" s="5"/>
      <c r="AR921" s="1"/>
      <c r="AS921" s="1"/>
      <c r="AT921" s="5"/>
      <c r="AU921" s="1"/>
      <c r="AV921" s="1"/>
      <c r="AW921" s="5"/>
      <c r="AX921" s="185">
        <f t="shared" ref="AX921:CC921" si="3987">AX879/(AX718*1000000)</f>
        <v>1.6324652271946577E-3</v>
      </c>
      <c r="AY921" s="185">
        <f t="shared" si="3987"/>
        <v>1.8055775994199207E-3</v>
      </c>
      <c r="AZ921" s="185">
        <f t="shared" si="3987"/>
        <v>9.0371403473879909E-4</v>
      </c>
      <c r="BA921" s="4">
        <f t="shared" si="3987"/>
        <v>1.9770905199860979E-3</v>
      </c>
      <c r="BB921" s="4">
        <f t="shared" si="3987"/>
        <v>2.1737974699563172E-3</v>
      </c>
      <c r="BC921" s="971">
        <f t="shared" si="3987"/>
        <v>2.1813364883212444E-3</v>
      </c>
      <c r="BD921" s="4">
        <f t="shared" si="3987"/>
        <v>2.3658051040101333E-3</v>
      </c>
      <c r="BE921" s="4">
        <f t="shared" si="3987"/>
        <v>2.5947097134384764E-3</v>
      </c>
      <c r="BF921" s="971">
        <f t="shared" si="3987"/>
        <v>2.6037270648637408E-3</v>
      </c>
      <c r="BG921" s="4">
        <f t="shared" si="3987"/>
        <v>2.7967307289444286E-3</v>
      </c>
      <c r="BH921" s="4">
        <f t="shared" si="3987"/>
        <v>3.0281633183138128E-3</v>
      </c>
      <c r="BI921" s="971">
        <f t="shared" si="3987"/>
        <v>3.0387087506950784E-3</v>
      </c>
      <c r="BJ921" s="121">
        <f t="shared" si="3987"/>
        <v>3.2241413134253931E-3</v>
      </c>
      <c r="BK921" s="121">
        <f t="shared" si="3987"/>
        <v>3.4630682188544122E-3</v>
      </c>
      <c r="BL921" s="114">
        <f t="shared" si="3987"/>
        <v>3.4751530711520551E-3</v>
      </c>
      <c r="BM921" s="121">
        <f t="shared" si="3987"/>
        <v>3.6936849737395699E-3</v>
      </c>
      <c r="BN921" s="121">
        <f t="shared" si="3987"/>
        <v>3.9573650610604423E-3</v>
      </c>
      <c r="BO921" s="114">
        <f t="shared" si="3987"/>
        <v>3.971211082751642E-3</v>
      </c>
      <c r="BP921" s="121">
        <f t="shared" si="3987"/>
        <v>4.2433356526920098E-3</v>
      </c>
      <c r="BQ921" s="121">
        <f t="shared" si="3987"/>
        <v>4.5201058020128528E-3</v>
      </c>
      <c r="BR921" s="114">
        <f t="shared" si="3987"/>
        <v>4.5359371553853845E-3</v>
      </c>
      <c r="BS921" s="4">
        <f t="shared" si="3987"/>
        <v>4.8511916028918071E-3</v>
      </c>
      <c r="BT921" s="4">
        <f t="shared" si="3987"/>
        <v>5.1818221112375964E-3</v>
      </c>
      <c r="BU921" s="185">
        <f t="shared" si="3987"/>
        <v>5.1999899196853118E-3</v>
      </c>
      <c r="BV921" s="4">
        <f t="shared" si="3987"/>
        <v>5.5362147983531954E-3</v>
      </c>
      <c r="BW921" s="4">
        <f t="shared" si="3987"/>
        <v>5.89807215404027E-3</v>
      </c>
      <c r="BX921" s="185">
        <f t="shared" si="3987"/>
        <v>5.9187726507232575E-3</v>
      </c>
      <c r="BY921" s="4">
        <f t="shared" si="3987"/>
        <v>6.2426001593328864E-3</v>
      </c>
      <c r="BZ921" s="4">
        <f t="shared" si="3987"/>
        <v>6.5895737362635107E-3</v>
      </c>
      <c r="CA921" s="185">
        <f t="shared" si="3987"/>
        <v>6.6127252122474686E-3</v>
      </c>
      <c r="CB921" s="4">
        <f t="shared" si="3987"/>
        <v>6.9391817430179336E-3</v>
      </c>
      <c r="CC921" s="4">
        <f t="shared" si="3987"/>
        <v>7.3344304080887801E-3</v>
      </c>
      <c r="CD921" s="185">
        <f t="shared" ref="CD921:DI921" si="3988">CD879/(CD718*1000000)</f>
        <v>7.3602255818979063E-3</v>
      </c>
      <c r="CE921" s="4">
        <f t="shared" si="3988"/>
        <v>7.7310873803042223E-3</v>
      </c>
      <c r="CF921" s="4">
        <f t="shared" si="3988"/>
        <v>8.1627926595939093E-3</v>
      </c>
      <c r="CG921" s="185">
        <f t="shared" si="3988"/>
        <v>8.1915309914622082E-3</v>
      </c>
      <c r="CH921" s="4">
        <f t="shared" si="3988"/>
        <v>8.5009275319530408E-3</v>
      </c>
      <c r="CI921" s="4">
        <f t="shared" si="3988"/>
        <v>8.8924860621942374E-3</v>
      </c>
      <c r="CJ921" s="185">
        <f t="shared" si="3988"/>
        <v>8.9238258982095951E-3</v>
      </c>
      <c r="CK921" s="4">
        <f t="shared" si="3988"/>
        <v>9.2889327152847288E-3</v>
      </c>
      <c r="CL921" s="4">
        <f t="shared" si="3988"/>
        <v>9.6681229918170013E-3</v>
      </c>
      <c r="CM921" s="185">
        <f t="shared" si="3988"/>
        <v>9.7022317912862331E-3</v>
      </c>
      <c r="CN921" s="4">
        <f t="shared" si="3988"/>
        <v>9.9987408229521551E-3</v>
      </c>
      <c r="CO921" s="4">
        <f t="shared" si="3988"/>
        <v>1.0398429214536669E-2</v>
      </c>
      <c r="CP921" s="185">
        <f t="shared" si="3988"/>
        <v>1.0435152602814472E-2</v>
      </c>
      <c r="CQ921" s="4">
        <f t="shared" si="3988"/>
        <v>1.0721087273227483E-2</v>
      </c>
      <c r="CR921" s="4">
        <f t="shared" si="3988"/>
        <v>1.112897061764726E-2</v>
      </c>
      <c r="CS921" s="185">
        <f t="shared" si="3988"/>
        <v>1.1168314818399408E-2</v>
      </c>
      <c r="CT921" s="4">
        <f t="shared" si="3988"/>
        <v>1.1503177358872439E-2</v>
      </c>
      <c r="CU921" s="4">
        <f t="shared" si="3988"/>
        <v>1.1898486012469862E-2</v>
      </c>
      <c r="CV921" s="185">
        <f t="shared" si="3988"/>
        <v>1.1940594354759106E-2</v>
      </c>
      <c r="CW921" s="4">
        <f t="shared" si="3988"/>
        <v>1.2295498274244587E-2</v>
      </c>
      <c r="CX921" s="4">
        <f t="shared" si="3988"/>
        <v>1.2698274200034032E-2</v>
      </c>
      <c r="CY921" s="185">
        <f t="shared" si="3988"/>
        <v>1.2743259624605553E-2</v>
      </c>
      <c r="CZ921" s="4">
        <f t="shared" si="3988"/>
        <v>1.3076744824309941E-2</v>
      </c>
      <c r="DA921" s="4">
        <f t="shared" si="3988"/>
        <v>1.3525252854340534E-2</v>
      </c>
      <c r="DB921" s="185">
        <f t="shared" si="3988"/>
        <v>1.3573217712580896E-2</v>
      </c>
      <c r="DC921" s="4">
        <f t="shared" si="3988"/>
        <v>1.3897361059404489E-2</v>
      </c>
      <c r="DD921" s="4">
        <f t="shared" si="3988"/>
        <v>1.4277429796681791E-2</v>
      </c>
      <c r="DE921" s="185">
        <f t="shared" si="3988"/>
        <v>1.4328114675679161E-2</v>
      </c>
      <c r="DF921" s="4">
        <f t="shared" si="3988"/>
        <v>1.467472634002903E-2</v>
      </c>
      <c r="DG921" s="4">
        <f t="shared" si="3988"/>
        <v>1.4936165059236889E-2</v>
      </c>
      <c r="DH921" s="185">
        <f t="shared" si="3988"/>
        <v>1.4989243486347049E-2</v>
      </c>
      <c r="DI921" s="4">
        <f t="shared" si="3988"/>
        <v>1.5276305645294048E-2</v>
      </c>
      <c r="DJ921" s="4">
        <f t="shared" ref="DJ921:ER921" si="3989">DJ879/(DJ718*1000000)</f>
        <v>1.5649082255413203E-2</v>
      </c>
      <c r="DK921" s="185">
        <f t="shared" si="3989"/>
        <v>1.5704751883185139E-2</v>
      </c>
      <c r="DL921" s="4">
        <f t="shared" si="3989"/>
        <v>1.5992804554541579E-2</v>
      </c>
      <c r="DM921" s="4">
        <f t="shared" si="3989"/>
        <v>1.6354586804475234E-2</v>
      </c>
      <c r="DN921" s="185">
        <f t="shared" si="3989"/>
        <v>1.6412826548888891E-2</v>
      </c>
      <c r="DO921" s="4">
        <f t="shared" si="3989"/>
        <v>1.672895154306641E-2</v>
      </c>
      <c r="DP921" s="4">
        <f t="shared" si="3989"/>
        <v>1.7134576893013509E-2</v>
      </c>
      <c r="DQ921" s="185">
        <f t="shared" si="3989"/>
        <v>1.7195657541286758E-2</v>
      </c>
      <c r="DR921" s="4">
        <f t="shared" si="3989"/>
        <v>1.7544004716216238E-2</v>
      </c>
      <c r="DS921" s="4">
        <f t="shared" si="3989"/>
        <v>1.7942309540325104E-2</v>
      </c>
      <c r="DT921" s="185">
        <f t="shared" si="3989"/>
        <v>1.8006335911473163E-2</v>
      </c>
      <c r="DU921" s="4">
        <f t="shared" si="3989"/>
        <v>1.8343973106752783E-2</v>
      </c>
      <c r="DV921" s="4">
        <f t="shared" si="3989"/>
        <v>1.8798341283227722E-2</v>
      </c>
      <c r="DW921" s="185">
        <f t="shared" si="3989"/>
        <v>1.8865491941844423E-2</v>
      </c>
      <c r="DX921" s="4">
        <f t="shared" si="3989"/>
        <v>1.920596079235181E-2</v>
      </c>
      <c r="DY921" s="4">
        <f t="shared" si="3989"/>
        <v>1.9680617692960024E-2</v>
      </c>
      <c r="DZ921" s="185">
        <f t="shared" si="3989"/>
        <v>1.9750992883145919E-2</v>
      </c>
      <c r="EA921" s="4">
        <f t="shared" si="3989"/>
        <v>2.0147237288791808E-2</v>
      </c>
      <c r="EB921" s="4">
        <f t="shared" si="3989"/>
        <v>2.0628866494022222E-2</v>
      </c>
      <c r="EC921" s="185">
        <f t="shared" si="3989"/>
        <v>2.0702708966564086E-2</v>
      </c>
      <c r="ED921" s="4">
        <f t="shared" si="3989"/>
        <v>2.1111626605456499E-2</v>
      </c>
      <c r="EE921" s="4">
        <f t="shared" si="3989"/>
        <v>2.1609923104673367E-2</v>
      </c>
      <c r="EF921" s="185">
        <f t="shared" si="3989"/>
        <v>2.1687357513319579E-2</v>
      </c>
      <c r="EG921" s="4">
        <f t="shared" si="3989"/>
        <v>2.2109385264193294E-2</v>
      </c>
      <c r="EH921" s="4">
        <f t="shared" si="3989"/>
        <v>2.2624928929156133E-2</v>
      </c>
      <c r="EI921" s="185">
        <f t="shared" si="3989"/>
        <v>2.2706084394317004E-2</v>
      </c>
      <c r="EJ921" s="4">
        <f t="shared" si="3989"/>
        <v>2.3141674054326707E-2</v>
      </c>
      <c r="EK921" s="4">
        <f t="shared" si="3989"/>
        <v>2.3675064774480111E-2</v>
      </c>
      <c r="EL921" s="185">
        <f t="shared" si="3989"/>
        <v>2.3760075041997359E-2</v>
      </c>
      <c r="EM921" s="4">
        <f t="shared" si="3989"/>
        <v>2.4209693830766724E-2</v>
      </c>
      <c r="EN921" s="4">
        <f t="shared" si="3989"/>
        <v>2.4761552197679306E-2</v>
      </c>
      <c r="EO921" s="185">
        <f t="shared" si="3989"/>
        <v>2.4850555803181514E-2</v>
      </c>
      <c r="EP921" s="4">
        <f t="shared" si="3989"/>
        <v>2.5314686883717012E-2</v>
      </c>
      <c r="EQ921" s="4">
        <f t="shared" si="3989"/>
        <v>2.5885654898703103E-2</v>
      </c>
      <c r="ER921" s="185">
        <f t="shared" si="3989"/>
        <v>2.5978795337741473E-2</v>
      </c>
      <c r="ES921" s="4">
        <f t="shared" ref="ES921:EX921" si="3990">ES879/(ES718*1000000)</f>
        <v>2.6457938354770047E-2</v>
      </c>
      <c r="ET921" s="4">
        <f t="shared" si="3990"/>
        <v>2.7048680160472377E-2</v>
      </c>
      <c r="EU921" s="185">
        <f t="shared" si="3990"/>
        <v>2.7146106064637882E-2</v>
      </c>
      <c r="EV921" s="4">
        <f t="shared" si="3990"/>
        <v>2.764077770094598E-2</v>
      </c>
      <c r="EW921" s="4">
        <f t="shared" si="3990"/>
        <v>2.8251980337683162E-2</v>
      </c>
      <c r="EX921" s="185">
        <f t="shared" si="3990"/>
        <v>2.8353845656913228E-2</v>
      </c>
      <c r="EY921" s="4">
        <f t="shared" ref="EY921:FA921" si="3991">EY879/(EY718*1000000)</f>
        <v>2.8864580208283579E-2</v>
      </c>
      <c r="EZ921" s="4">
        <f t="shared" si="3991"/>
        <v>2.9496954395993327E-2</v>
      </c>
      <c r="FA921" s="185">
        <f t="shared" si="3991"/>
        <v>2.9603418587283065E-2</v>
      </c>
      <c r="FH921" s="35"/>
      <c r="FI921" s="35"/>
      <c r="FJ921" s="35"/>
      <c r="FK921" s="35"/>
      <c r="FL921" s="35"/>
      <c r="FM921" s="35"/>
      <c r="FN921" s="35"/>
      <c r="FO921" s="35"/>
      <c r="FP921" s="35"/>
      <c r="FQ921" s="35"/>
    </row>
    <row r="922" spans="1:173" s="321" customFormat="1" hidden="1" outlineLevel="1">
      <c r="A922" s="1168"/>
      <c r="B922" s="186"/>
      <c r="C922" s="186"/>
      <c r="D922" s="910"/>
      <c r="E922" s="1"/>
      <c r="F922" s="1"/>
      <c r="G922" s="5"/>
      <c r="H922" s="1"/>
      <c r="I922" s="1"/>
      <c r="J922" s="5"/>
      <c r="K922" s="1"/>
      <c r="L922" s="1"/>
      <c r="M922" s="5"/>
      <c r="N922" s="1"/>
      <c r="O922" s="1"/>
      <c r="P922" s="5"/>
      <c r="Q922" s="1"/>
      <c r="R922" s="1"/>
      <c r="S922" s="5"/>
      <c r="T922" s="1"/>
      <c r="U922" s="1"/>
      <c r="V922" s="5"/>
      <c r="W922" s="1"/>
      <c r="X922" s="1"/>
      <c r="Y922" s="5"/>
      <c r="Z922" s="1"/>
      <c r="AA922" s="1"/>
      <c r="AB922" s="5"/>
      <c r="AC922" s="1"/>
      <c r="AD922" s="1"/>
      <c r="AE922" s="5"/>
      <c r="AF922" s="1"/>
      <c r="AG922" s="1"/>
      <c r="AH922" s="5"/>
      <c r="AI922" s="1"/>
      <c r="AJ922" s="1"/>
      <c r="AK922" s="5"/>
      <c r="AL922" s="1"/>
      <c r="AM922" s="1"/>
      <c r="AN922" s="5"/>
      <c r="AO922" s="1"/>
      <c r="AP922" s="1"/>
      <c r="AQ922" s="5"/>
      <c r="AR922" s="1"/>
      <c r="AS922" s="1"/>
      <c r="AT922" s="5"/>
      <c r="AU922" s="1"/>
      <c r="AV922" s="1"/>
      <c r="AW922" s="5"/>
      <c r="AX922" s="1"/>
      <c r="AY922" s="1"/>
      <c r="AZ922" s="5"/>
      <c r="BA922" s="1"/>
      <c r="BB922" s="1"/>
      <c r="BC922" s="46"/>
      <c r="BD922" s="1"/>
      <c r="BE922" s="1"/>
      <c r="BF922" s="46"/>
      <c r="BG922" s="1"/>
      <c r="BH922" s="1"/>
      <c r="BI922" s="51"/>
      <c r="BJ922" s="115"/>
      <c r="BK922" s="115"/>
      <c r="BL922" s="116"/>
      <c r="BM922" s="115"/>
      <c r="BN922" s="115"/>
      <c r="BO922" s="116"/>
      <c r="BP922" s="115"/>
      <c r="BQ922" s="115"/>
      <c r="BR922" s="116"/>
      <c r="BS922" s="8"/>
      <c r="BT922" s="8"/>
      <c r="BU922" s="9"/>
      <c r="BV922" s="8"/>
      <c r="BW922" s="8"/>
      <c r="BX922" s="187"/>
      <c r="BY922" s="8"/>
      <c r="BZ922" s="8"/>
      <c r="CA922" s="187"/>
      <c r="CB922" s="8"/>
      <c r="CC922" s="8"/>
      <c r="CD922" s="187"/>
      <c r="CE922" s="8"/>
      <c r="CF922" s="8"/>
      <c r="CG922" s="187"/>
      <c r="CH922" s="8"/>
      <c r="CI922" s="8"/>
      <c r="CJ922" s="187"/>
      <c r="CK922" s="8"/>
      <c r="CL922" s="8"/>
      <c r="CM922" s="187"/>
      <c r="CN922" s="8"/>
      <c r="CO922" s="8"/>
      <c r="CP922" s="187"/>
      <c r="CQ922" s="8"/>
      <c r="CR922" s="8"/>
      <c r="CS922" s="187"/>
      <c r="CT922" s="8"/>
      <c r="CU922" s="8"/>
      <c r="CV922" s="187"/>
      <c r="CW922" s="8"/>
      <c r="CX922" s="8"/>
      <c r="CY922" s="9"/>
      <c r="CZ922" s="8"/>
      <c r="DA922" s="8"/>
      <c r="DB922" s="9"/>
      <c r="DC922" s="8"/>
      <c r="DD922" s="8"/>
      <c r="DE922" s="9"/>
      <c r="DF922" s="8"/>
      <c r="DG922" s="8"/>
      <c r="DH922" s="9"/>
      <c r="DI922" s="8"/>
      <c r="DJ922" s="8"/>
      <c r="DK922" s="9"/>
      <c r="DL922" s="8"/>
      <c r="DM922" s="8"/>
      <c r="DN922" s="9"/>
      <c r="DO922" s="8"/>
      <c r="DP922" s="8"/>
      <c r="DQ922" s="9"/>
      <c r="DR922" s="8"/>
      <c r="DS922" s="8"/>
      <c r="DT922" s="9"/>
      <c r="DU922" s="8"/>
      <c r="DV922" s="8"/>
      <c r="DW922" s="9"/>
      <c r="DX922" s="8"/>
      <c r="DY922" s="8"/>
      <c r="DZ922" s="9"/>
      <c r="EA922" s="8"/>
      <c r="EB922" s="8"/>
      <c r="EC922" s="9"/>
      <c r="ED922" s="8"/>
      <c r="EE922" s="8"/>
      <c r="EF922" s="9"/>
      <c r="EG922" s="8"/>
      <c r="EH922" s="8"/>
      <c r="EI922" s="9"/>
      <c r="EJ922" s="8"/>
      <c r="EK922" s="8"/>
      <c r="EL922" s="9"/>
      <c r="EM922" s="8"/>
      <c r="EN922" s="8"/>
      <c r="EO922" s="9"/>
      <c r="EP922" s="8"/>
      <c r="EQ922" s="8"/>
      <c r="ER922" s="9"/>
      <c r="ES922" s="8"/>
      <c r="ET922" s="8"/>
      <c r="EU922" s="9"/>
      <c r="EV922" s="8"/>
      <c r="EW922" s="8"/>
      <c r="EX922" s="9"/>
      <c r="EY922" s="8"/>
      <c r="EZ922" s="8"/>
      <c r="FA922" s="9"/>
      <c r="FH922" s="35"/>
      <c r="FI922" s="35"/>
      <c r="FJ922" s="35"/>
      <c r="FK922" s="35"/>
      <c r="FL922" s="35"/>
      <c r="FM922" s="35"/>
      <c r="FN922" s="35"/>
      <c r="FO922" s="35"/>
      <c r="FP922" s="35"/>
      <c r="FQ922" s="35"/>
    </row>
    <row r="923" spans="1:173" s="321" customFormat="1" hidden="1" outlineLevel="1">
      <c r="A923" s="1168"/>
      <c r="B923" s="186"/>
      <c r="C923" s="331" t="s">
        <v>233</v>
      </c>
      <c r="D923" s="910"/>
      <c r="E923" s="1"/>
      <c r="F923" s="1"/>
      <c r="G923" s="5"/>
      <c r="H923" s="1"/>
      <c r="I923" s="1"/>
      <c r="J923" s="5"/>
      <c r="K923" s="1"/>
      <c r="L923" s="1"/>
      <c r="M923" s="5"/>
      <c r="N923" s="1"/>
      <c r="O923" s="1"/>
      <c r="P923" s="5"/>
      <c r="Q923" s="1"/>
      <c r="R923" s="1"/>
      <c r="S923" s="5"/>
      <c r="T923" s="1"/>
      <c r="U923" s="1"/>
      <c r="V923" s="5"/>
      <c r="W923" s="1"/>
      <c r="X923" s="1"/>
      <c r="Y923" s="5"/>
      <c r="Z923" s="1"/>
      <c r="AA923" s="1"/>
      <c r="AB923" s="5"/>
      <c r="AC923" s="1"/>
      <c r="AD923" s="1"/>
      <c r="AE923" s="5"/>
      <c r="AF923" s="1"/>
      <c r="AG923" s="1"/>
      <c r="AH923" s="5"/>
      <c r="AI923" s="1"/>
      <c r="AJ923" s="1"/>
      <c r="AK923" s="5"/>
      <c r="AL923" s="1"/>
      <c r="AM923" s="1"/>
      <c r="AN923" s="5"/>
      <c r="AO923" s="1"/>
      <c r="AP923" s="1"/>
      <c r="AQ923" s="5"/>
      <c r="AR923" s="1"/>
      <c r="AS923" s="1"/>
      <c r="AT923" s="5"/>
      <c r="AU923" s="1"/>
      <c r="AV923" s="1"/>
      <c r="AW923" s="5"/>
      <c r="AX923" s="1"/>
      <c r="AY923" s="1"/>
      <c r="AZ923" s="5"/>
      <c r="BA923" s="1"/>
      <c r="BB923" s="1"/>
      <c r="BC923" s="46"/>
      <c r="BD923" s="1"/>
      <c r="BE923" s="1"/>
      <c r="BF923" s="46"/>
      <c r="BG923" s="1"/>
      <c r="BH923" s="1"/>
      <c r="BI923" s="51"/>
      <c r="BJ923" s="115"/>
      <c r="BK923" s="115"/>
      <c r="BL923" s="116"/>
      <c r="BM923" s="115"/>
      <c r="BN923" s="115"/>
      <c r="BO923" s="116"/>
      <c r="BP923" s="115"/>
      <c r="BQ923" s="115"/>
      <c r="BR923" s="116"/>
      <c r="BS923" s="8"/>
      <c r="BT923" s="8"/>
      <c r="BU923" s="9"/>
      <c r="BV923" s="8"/>
      <c r="BW923" s="8"/>
      <c r="BX923" s="187"/>
      <c r="BY923" s="8"/>
      <c r="BZ923" s="8"/>
      <c r="CA923" s="187"/>
      <c r="CB923" s="8"/>
      <c r="CC923" s="8"/>
      <c r="CD923" s="187"/>
      <c r="CE923" s="8"/>
      <c r="CF923" s="8"/>
      <c r="CG923" s="187"/>
      <c r="CH923" s="8"/>
      <c r="CI923" s="8"/>
      <c r="CJ923" s="187"/>
      <c r="CK923" s="8"/>
      <c r="CL923" s="8"/>
      <c r="CM923" s="187"/>
      <c r="CN923" s="8"/>
      <c r="CO923" s="8"/>
      <c r="CP923" s="187"/>
      <c r="CQ923" s="8"/>
      <c r="CR923" s="8"/>
      <c r="CS923" s="187"/>
      <c r="CT923" s="8"/>
      <c r="CU923" s="8"/>
      <c r="CV923" s="187"/>
      <c r="CW923" s="8"/>
      <c r="CX923" s="8"/>
      <c r="CY923" s="9"/>
      <c r="CZ923" s="8"/>
      <c r="DA923" s="8"/>
      <c r="DB923" s="9"/>
      <c r="DC923" s="8"/>
      <c r="DD923" s="8"/>
      <c r="DE923" s="9"/>
      <c r="DF923" s="8"/>
      <c r="DG923" s="8"/>
      <c r="DH923" s="9"/>
      <c r="DI923" s="8"/>
      <c r="DJ923" s="8"/>
      <c r="DK923" s="9"/>
      <c r="DL923" s="8"/>
      <c r="DM923" s="8"/>
      <c r="DN923" s="9"/>
      <c r="DO923" s="8"/>
      <c r="DP923" s="8"/>
      <c r="DQ923" s="9"/>
      <c r="DR923" s="8"/>
      <c r="DS923" s="8"/>
      <c r="DT923" s="9"/>
      <c r="DU923" s="8"/>
      <c r="DV923" s="8"/>
      <c r="DW923" s="9"/>
      <c r="DX923" s="8"/>
      <c r="DY923" s="8"/>
      <c r="DZ923" s="9"/>
      <c r="EA923" s="8"/>
      <c r="EB923" s="8"/>
      <c r="EC923" s="9"/>
      <c r="ED923" s="8"/>
      <c r="EE923" s="8"/>
      <c r="EF923" s="9"/>
      <c r="EG923" s="8"/>
      <c r="EH923" s="8"/>
      <c r="EI923" s="9"/>
      <c r="EJ923" s="8"/>
      <c r="EK923" s="8"/>
      <c r="EL923" s="9"/>
      <c r="EM923" s="8"/>
      <c r="EN923" s="8"/>
      <c r="EO923" s="9"/>
      <c r="EP923" s="8"/>
      <c r="EQ923" s="8"/>
      <c r="ER923" s="9"/>
      <c r="ES923" s="8"/>
      <c r="ET923" s="8"/>
      <c r="EU923" s="9"/>
      <c r="EV923" s="8"/>
      <c r="EW923" s="8"/>
      <c r="EX923" s="9"/>
      <c r="EY923" s="8"/>
      <c r="EZ923" s="8"/>
      <c r="FA923" s="9"/>
      <c r="FH923" s="35"/>
      <c r="FI923" s="35"/>
      <c r="FJ923" s="35"/>
      <c r="FK923" s="35"/>
      <c r="FL923" s="35"/>
      <c r="FM923" s="35"/>
      <c r="FN923" s="35"/>
      <c r="FO923" s="35"/>
      <c r="FP923" s="35"/>
      <c r="FQ923" s="35"/>
    </row>
    <row r="924" spans="1:173" s="321" customFormat="1" hidden="1" outlineLevel="1">
      <c r="A924" s="1168"/>
      <c r="B924" s="186"/>
      <c r="C924" s="186" t="s">
        <v>316</v>
      </c>
      <c r="D924" s="910"/>
      <c r="E924" s="1"/>
      <c r="F924" s="1"/>
      <c r="G924" s="5"/>
      <c r="H924" s="1"/>
      <c r="I924" s="1"/>
      <c r="J924" s="5"/>
      <c r="K924" s="1"/>
      <c r="L924" s="1"/>
      <c r="M924" s="5"/>
      <c r="N924" s="1"/>
      <c r="O924" s="1"/>
      <c r="P924" s="5"/>
      <c r="Q924" s="1"/>
      <c r="R924" s="1"/>
      <c r="S924" s="5"/>
      <c r="T924" s="1"/>
      <c r="U924" s="1"/>
      <c r="V924" s="5"/>
      <c r="W924" s="1"/>
      <c r="X924" s="1"/>
      <c r="Y924" s="5"/>
      <c r="Z924" s="1"/>
      <c r="AA924" s="1"/>
      <c r="AB924" s="5"/>
      <c r="AC924" s="1"/>
      <c r="AD924" s="1"/>
      <c r="AE924" s="5"/>
      <c r="AF924" s="1"/>
      <c r="AG924" s="1"/>
      <c r="AH924" s="5"/>
      <c r="AI924" s="1"/>
      <c r="AJ924" s="1"/>
      <c r="AK924" s="5"/>
      <c r="AL924" s="1"/>
      <c r="AM924" s="1"/>
      <c r="AN924" s="5"/>
      <c r="AO924" s="1"/>
      <c r="AP924" s="1"/>
      <c r="AQ924" s="5"/>
      <c r="AR924" s="1"/>
      <c r="AS924" s="1"/>
      <c r="AT924" s="5"/>
      <c r="AU924" s="1"/>
      <c r="AV924" s="1"/>
      <c r="AW924" s="5"/>
      <c r="AX924" s="185">
        <f t="shared" ref="AX924:CC924" si="3992">AX882/(AX721*1000000)</f>
        <v>0.10923470123570174</v>
      </c>
      <c r="AY924" s="185">
        <f t="shared" si="3992"/>
        <v>0.12068787769589985</v>
      </c>
      <c r="AZ924" s="185">
        <f t="shared" si="3992"/>
        <v>0.12111505834759463</v>
      </c>
      <c r="BA924" s="4">
        <f t="shared" si="3992"/>
        <v>0.13150856419883844</v>
      </c>
      <c r="BB924" s="4">
        <f t="shared" si="3992"/>
        <v>0.14544820868408512</v>
      </c>
      <c r="BC924" s="971">
        <f t="shared" si="3992"/>
        <v>0.14596302973951927</v>
      </c>
      <c r="BD924" s="4">
        <f t="shared" si="3992"/>
        <v>0.15803364950719739</v>
      </c>
      <c r="BE924" s="4">
        <f t="shared" si="3992"/>
        <v>0.1735541814936617</v>
      </c>
      <c r="BF924" s="971">
        <f t="shared" si="3992"/>
        <v>0.17416848501585655</v>
      </c>
      <c r="BG924" s="4">
        <f t="shared" si="3992"/>
        <v>0.18894816307133139</v>
      </c>
      <c r="BH924" s="4">
        <f t="shared" si="3992"/>
        <v>0.20555247203283564</v>
      </c>
      <c r="BI924" s="971">
        <f t="shared" si="3992"/>
        <v>0.2062800350709538</v>
      </c>
      <c r="BJ924" s="121">
        <f t="shared" si="3992"/>
        <v>0.22015297759089617</v>
      </c>
      <c r="BK924" s="121">
        <f t="shared" si="3992"/>
        <v>0.23923173929460592</v>
      </c>
      <c r="BL924" s="114">
        <f t="shared" si="3992"/>
        <v>0.24007851174805361</v>
      </c>
      <c r="BM924" s="121">
        <f t="shared" si="3992"/>
        <v>0.2598737018685342</v>
      </c>
      <c r="BN924" s="121">
        <f t="shared" si="3992"/>
        <v>0.28181495239519638</v>
      </c>
      <c r="BO924" s="114">
        <f t="shared" si="3992"/>
        <v>0.28281392456627408</v>
      </c>
      <c r="BP924" s="121">
        <f t="shared" si="3992"/>
        <v>0.30962717610006307</v>
      </c>
      <c r="BQ924" s="121">
        <f t="shared" si="3992"/>
        <v>0.33455984800649835</v>
      </c>
      <c r="BR924" s="114">
        <f t="shared" si="3992"/>
        <v>0.33574578925935922</v>
      </c>
      <c r="BS924" s="4">
        <f t="shared" si="3992"/>
        <v>0.36884763120164865</v>
      </c>
      <c r="BT924" s="4">
        <f t="shared" si="3992"/>
        <v>0.40100428189199611</v>
      </c>
      <c r="BU924" s="185">
        <f t="shared" si="3992"/>
        <v>0.40242575408390219</v>
      </c>
      <c r="BV924" s="4">
        <f t="shared" si="3992"/>
        <v>0.43831774200946211</v>
      </c>
      <c r="BW924" s="4">
        <f t="shared" si="3992"/>
        <v>0.47433165968382851</v>
      </c>
      <c r="BX924" s="185">
        <f t="shared" si="3992"/>
        <v>0.47601306134068866</v>
      </c>
      <c r="BY924" s="4">
        <f t="shared" si="3992"/>
        <v>0.51285309986580807</v>
      </c>
      <c r="BZ924" s="4">
        <f t="shared" si="3992"/>
        <v>0.55016861559069885</v>
      </c>
      <c r="CA924" s="185">
        <f t="shared" si="3992"/>
        <v>0.55211884261628541</v>
      </c>
      <c r="CB924" s="4">
        <f t="shared" si="3992"/>
        <v>0.5925107231701815</v>
      </c>
      <c r="CC924" s="4">
        <f t="shared" si="3992"/>
        <v>0.63881527489219203</v>
      </c>
      <c r="CD924" s="185">
        <f t="shared" ref="CD924:DI924" si="3993">CD882/(CD721*1000000)</f>
        <v>0.64107973487436432</v>
      </c>
      <c r="CE924" s="4">
        <f t="shared" si="3993"/>
        <v>0.68783445952769484</v>
      </c>
      <c r="CF924" s="4">
        <f t="shared" si="3993"/>
        <v>0.74144119960996591</v>
      </c>
      <c r="CG924" s="185">
        <f t="shared" si="3993"/>
        <v>0.74406944597732771</v>
      </c>
      <c r="CH924" s="4">
        <f t="shared" si="3993"/>
        <v>0.78418137768003815</v>
      </c>
      <c r="CI924" s="4">
        <f t="shared" si="3993"/>
        <v>0.8357057333901593</v>
      </c>
      <c r="CJ924" s="185">
        <f t="shared" si="3993"/>
        <v>0.83866812684647318</v>
      </c>
      <c r="CK924" s="4">
        <f t="shared" si="3993"/>
        <v>0.88277413594027443</v>
      </c>
      <c r="CL924" s="4">
        <f t="shared" si="3993"/>
        <v>0.92862834153832696</v>
      </c>
      <c r="CM924" s="185">
        <f t="shared" si="3993"/>
        <v>0.93192012525166945</v>
      </c>
      <c r="CN924" s="4">
        <f t="shared" si="3993"/>
        <v>0.97482586182537212</v>
      </c>
      <c r="CO924" s="4">
        <f t="shared" si="3993"/>
        <v>1.0278037016690771</v>
      </c>
      <c r="CP924" s="185">
        <f t="shared" si="3993"/>
        <v>1.0314470402732627</v>
      </c>
      <c r="CQ924" s="4">
        <f t="shared" si="3993"/>
        <v>1.0821756763032824</v>
      </c>
      <c r="CR924" s="4">
        <f t="shared" si="3993"/>
        <v>1.1434210493634052</v>
      </c>
      <c r="CS924" s="185">
        <f t="shared" si="3993"/>
        <v>1.1474742260966848</v>
      </c>
      <c r="CT924" s="4">
        <f t="shared" si="3993"/>
        <v>1.2034361473820525</v>
      </c>
      <c r="CU924" s="4">
        <f t="shared" si="3993"/>
        <v>1.2666117793961198</v>
      </c>
      <c r="CV924" s="185">
        <f t="shared" si="3993"/>
        <v>1.27110164023715</v>
      </c>
      <c r="CW924" s="4">
        <f t="shared" si="3993"/>
        <v>1.3386901990106477</v>
      </c>
      <c r="CX924" s="4">
        <f t="shared" si="3993"/>
        <v>1.4104524092315609</v>
      </c>
      <c r="CY924" s="185">
        <f t="shared" si="3993"/>
        <v>1.4154521535441906</v>
      </c>
      <c r="CZ924" s="4">
        <f t="shared" si="3993"/>
        <v>1.490785113605533</v>
      </c>
      <c r="DA924" s="4">
        <f t="shared" si="3993"/>
        <v>1.5691699243620933</v>
      </c>
      <c r="DB924" s="185">
        <f t="shared" si="3993"/>
        <v>1.574732287440443</v>
      </c>
      <c r="DC924" s="4">
        <f t="shared" si="3993"/>
        <v>1.6477929003684706</v>
      </c>
      <c r="DD924" s="4">
        <f t="shared" si="3993"/>
        <v>1.7172355589668713</v>
      </c>
      <c r="DE924" s="185">
        <f t="shared" si="3993"/>
        <v>1.7233227822316874</v>
      </c>
      <c r="DF924" s="4">
        <f t="shared" si="3993"/>
        <v>1.8038819475192205</v>
      </c>
      <c r="DG924" s="4">
        <f t="shared" si="3993"/>
        <v>1.8552169753842873</v>
      </c>
      <c r="DH924" s="185">
        <f t="shared" si="3993"/>
        <v>1.8617933124947506</v>
      </c>
      <c r="DI924" s="4">
        <f t="shared" si="3993"/>
        <v>1.9324722446847797</v>
      </c>
      <c r="DJ924" s="4">
        <f t="shared" ref="DJ924:ER924" si="3994">DJ882/(DJ721*1000000)</f>
        <v>2.0102740587749786</v>
      </c>
      <c r="DK924" s="185">
        <f t="shared" si="3994"/>
        <v>2.0174000392238076</v>
      </c>
      <c r="DL924" s="4">
        <f t="shared" si="3994"/>
        <v>2.0880072844928934</v>
      </c>
      <c r="DM924" s="4">
        <f t="shared" si="3994"/>
        <v>2.1693256165557919</v>
      </c>
      <c r="DN924" s="185">
        <f t="shared" si="3994"/>
        <v>2.1770153998782407</v>
      </c>
      <c r="DO924" s="4">
        <f t="shared" si="3994"/>
        <v>2.2625714682906288</v>
      </c>
      <c r="DP924" s="4">
        <f t="shared" si="3994"/>
        <v>2.3638487714910221</v>
      </c>
      <c r="DQ924" s="185">
        <f t="shared" si="3994"/>
        <v>2.3722280967159115</v>
      </c>
      <c r="DR924" s="4">
        <f t="shared" si="3994"/>
        <v>2.4762503753324765</v>
      </c>
      <c r="DS924" s="4">
        <f t="shared" si="3994"/>
        <v>2.5778287230929533</v>
      </c>
      <c r="DT924" s="185">
        <f t="shared" si="3994"/>
        <v>2.5869665602953011</v>
      </c>
      <c r="DU924" s="4">
        <f t="shared" si="3994"/>
        <v>2.6887903544930936</v>
      </c>
      <c r="DV924" s="4">
        <f t="shared" si="3994"/>
        <v>2.8067868222407975</v>
      </c>
      <c r="DW924" s="185">
        <f t="shared" si="3994"/>
        <v>2.8167362656671862</v>
      </c>
      <c r="DX924" s="4">
        <f t="shared" si="3994"/>
        <v>2.9273214930364624</v>
      </c>
      <c r="DY924" s="4">
        <f t="shared" si="3994"/>
        <v>3.0570432542928425</v>
      </c>
      <c r="DZ924" s="185">
        <f t="shared" si="3994"/>
        <v>3.0678798018601867</v>
      </c>
      <c r="EA924" s="4">
        <f t="shared" si="3994"/>
        <v>3.2019508332529827</v>
      </c>
      <c r="EB924" s="4">
        <f t="shared" si="3994"/>
        <v>3.3404661622801801</v>
      </c>
      <c r="EC924" s="185">
        <f t="shared" si="3994"/>
        <v>3.3523073818683629</v>
      </c>
      <c r="ED924" s="4">
        <f t="shared" si="3994"/>
        <v>3.4981298005656489</v>
      </c>
      <c r="EE924" s="4">
        <f t="shared" si="3994"/>
        <v>3.6488376141029759</v>
      </c>
      <c r="EF924" s="185">
        <f t="shared" si="3994"/>
        <v>3.6617719428257431</v>
      </c>
      <c r="EG924" s="4">
        <f t="shared" si="3994"/>
        <v>3.8203126007718806</v>
      </c>
      <c r="EH924" s="4">
        <f t="shared" si="3994"/>
        <v>3.9842214727563205</v>
      </c>
      <c r="EI924" s="185">
        <f t="shared" si="3994"/>
        <v>3.9983446636688891</v>
      </c>
      <c r="EJ924" s="4">
        <f t="shared" si="3994"/>
        <v>4.1706442216368629</v>
      </c>
      <c r="EK924" s="4">
        <f t="shared" si="3994"/>
        <v>4.348840250686024</v>
      </c>
      <c r="EL924" s="185">
        <f t="shared" si="3994"/>
        <v>4.3642559351625732</v>
      </c>
      <c r="EM924" s="4">
        <f t="shared" si="3994"/>
        <v>4.5514336695353252</v>
      </c>
      <c r="EN924" s="4">
        <f t="shared" si="3994"/>
        <v>4.745085608494751</v>
      </c>
      <c r="EO924" s="185">
        <f t="shared" si="3994"/>
        <v>4.7619058958215241</v>
      </c>
      <c r="EP924" s="4">
        <f t="shared" si="3994"/>
        <v>4.9651646786424974</v>
      </c>
      <c r="EQ924" s="4">
        <f t="shared" si="3994"/>
        <v>5.1755292649637648</v>
      </c>
      <c r="ER924" s="185">
        <f t="shared" si="3994"/>
        <v>5.1938753806058022</v>
      </c>
      <c r="ES924" s="4">
        <f t="shared" ref="ES924:EX924" si="3995">ES882/(ES721*1000000)</f>
        <v>5.4145068110367678</v>
      </c>
      <c r="ET924" s="4">
        <f t="shared" si="3995"/>
        <v>5.6429342784312686</v>
      </c>
      <c r="EU924" s="185">
        <f t="shared" si="3995"/>
        <v>5.6629372422891571</v>
      </c>
      <c r="EV924" s="4">
        <f t="shared" si="3995"/>
        <v>5.9023269001440744</v>
      </c>
      <c r="EW924" s="4">
        <f t="shared" si="3995"/>
        <v>6.1502666446748133</v>
      </c>
      <c r="EX924" s="185">
        <f t="shared" si="3995"/>
        <v>6.1720679904533791</v>
      </c>
      <c r="EY924" s="4">
        <f t="shared" ref="EY924:FA924" si="3996">EY882/(EY721*1000000)</f>
        <v>6.4317007735185978</v>
      </c>
      <c r="EZ924" s="4">
        <f t="shared" si="3996"/>
        <v>6.7007071385347672</v>
      </c>
      <c r="FA924" s="185">
        <f t="shared" si="3996"/>
        <v>6.7244596750877275</v>
      </c>
      <c r="FH924" s="35"/>
      <c r="FI924" s="35"/>
      <c r="FJ924" s="35"/>
      <c r="FK924" s="35"/>
      <c r="FL924" s="35"/>
      <c r="FM924" s="35"/>
      <c r="FN924" s="35"/>
      <c r="FO924" s="35"/>
      <c r="FP924" s="35"/>
      <c r="FQ924" s="35"/>
    </row>
    <row r="925" spans="1:173" s="321" customFormat="1" hidden="1" outlineLevel="1">
      <c r="A925" s="1168"/>
      <c r="B925" s="186"/>
      <c r="C925" s="186" t="s">
        <v>317</v>
      </c>
      <c r="D925" s="910"/>
      <c r="E925" s="1"/>
      <c r="F925" s="1"/>
      <c r="G925" s="5"/>
      <c r="H925" s="1"/>
      <c r="I925" s="1"/>
      <c r="J925" s="5"/>
      <c r="K925" s="1"/>
      <c r="L925" s="1"/>
      <c r="M925" s="5"/>
      <c r="N925" s="1"/>
      <c r="O925" s="1"/>
      <c r="P925" s="5"/>
      <c r="Q925" s="1"/>
      <c r="R925" s="1"/>
      <c r="S925" s="5"/>
      <c r="T925" s="1"/>
      <c r="U925" s="1"/>
      <c r="V925" s="5"/>
      <c r="W925" s="1"/>
      <c r="X925" s="1"/>
      <c r="Y925" s="5"/>
      <c r="Z925" s="1"/>
      <c r="AA925" s="1"/>
      <c r="AB925" s="5"/>
      <c r="AC925" s="1"/>
      <c r="AD925" s="1"/>
      <c r="AE925" s="5"/>
      <c r="AF925" s="1"/>
      <c r="AG925" s="1"/>
      <c r="AH925" s="5"/>
      <c r="AI925" s="1"/>
      <c r="AJ925" s="1"/>
      <c r="AK925" s="5"/>
      <c r="AL925" s="1"/>
      <c r="AM925" s="1"/>
      <c r="AN925" s="5"/>
      <c r="AO925" s="1"/>
      <c r="AP925" s="1"/>
      <c r="AQ925" s="5"/>
      <c r="AR925" s="1"/>
      <c r="AS925" s="1"/>
      <c r="AT925" s="5"/>
      <c r="AU925" s="1"/>
      <c r="AV925" s="1"/>
      <c r="AW925" s="5"/>
      <c r="AX925" s="185">
        <f t="shared" ref="AX925:CC925" si="3997">AX883/(AX722*1000000)</f>
        <v>2.5679973405586996E-2</v>
      </c>
      <c r="AY925" s="185">
        <f t="shared" si="3997"/>
        <v>2.9220770341137233E-2</v>
      </c>
      <c r="AZ925" s="185">
        <f t="shared" si="3997"/>
        <v>2.9292040356254611E-2</v>
      </c>
      <c r="BA925" s="4">
        <f t="shared" si="3997"/>
        <v>3.2790753391872762E-2</v>
      </c>
      <c r="BB925" s="4">
        <f t="shared" si="3997"/>
        <v>3.7133419324732089E-2</v>
      </c>
      <c r="BC925" s="971">
        <f t="shared" si="3997"/>
        <v>3.722398844134802E-2</v>
      </c>
      <c r="BD925" s="4">
        <f t="shared" si="3997"/>
        <v>4.1559031643676983E-2</v>
      </c>
      <c r="BE925" s="4">
        <f t="shared" si="3997"/>
        <v>4.7186102413150591E-2</v>
      </c>
      <c r="BF925" s="971">
        <f t="shared" si="3997"/>
        <v>4.7301190215185057E-2</v>
      </c>
      <c r="BG925" s="4">
        <f t="shared" si="3997"/>
        <v>5.1917409881762341E-2</v>
      </c>
      <c r="BH925" s="4">
        <f t="shared" si="3997"/>
        <v>5.7460235800251787E-2</v>
      </c>
      <c r="BI925" s="971">
        <f t="shared" si="3997"/>
        <v>5.7600382409198875E-2</v>
      </c>
      <c r="BJ925" s="121">
        <f t="shared" si="3997"/>
        <v>6.2759096173159251E-2</v>
      </c>
      <c r="BK925" s="121">
        <f t="shared" si="3997"/>
        <v>6.8966106662262938E-2</v>
      </c>
      <c r="BL925" s="114">
        <f t="shared" si="3997"/>
        <v>6.9134316309271679E-2</v>
      </c>
      <c r="BM925" s="121">
        <f t="shared" si="3997"/>
        <v>7.4816383054580035E-2</v>
      </c>
      <c r="BN925" s="121">
        <f t="shared" si="3997"/>
        <v>8.204766146123478E-2</v>
      </c>
      <c r="BO925" s="114">
        <f t="shared" si="3997"/>
        <v>8.2247686957128668E-2</v>
      </c>
      <c r="BP925" s="121">
        <f t="shared" si="3997"/>
        <v>8.958451157782589E-2</v>
      </c>
      <c r="BQ925" s="121">
        <f t="shared" si="3997"/>
        <v>9.7659497960400216E-2</v>
      </c>
      <c r="BR925" s="114">
        <f t="shared" si="3997"/>
        <v>9.7897583838295832E-2</v>
      </c>
      <c r="BS925" s="4">
        <f t="shared" si="3997"/>
        <v>0.10698018366050936</v>
      </c>
      <c r="BT925" s="4">
        <f t="shared" si="3997"/>
        <v>0.1170479551578872</v>
      </c>
      <c r="BU925" s="185">
        <f t="shared" si="3997"/>
        <v>0.11733330851052216</v>
      </c>
      <c r="BV925" s="4">
        <f t="shared" si="3997"/>
        <v>0.12875299027254797</v>
      </c>
      <c r="BW925" s="4">
        <f t="shared" si="3997"/>
        <v>0.14115963731248857</v>
      </c>
      <c r="BX925" s="185">
        <f t="shared" si="3997"/>
        <v>0.14150377297645231</v>
      </c>
      <c r="BY925" s="4">
        <f t="shared" si="3997"/>
        <v>0.15360666842593895</v>
      </c>
      <c r="BZ925" s="4">
        <f t="shared" si="3997"/>
        <v>0.16582444864548271</v>
      </c>
      <c r="CA925" s="185">
        <f t="shared" si="3997"/>
        <v>0.16622871510452517</v>
      </c>
      <c r="CB925" s="4">
        <f t="shared" si="3997"/>
        <v>0.17879898298045693</v>
      </c>
      <c r="CC925" s="4">
        <f t="shared" si="3997"/>
        <v>0.19299927692408608</v>
      </c>
      <c r="CD925" s="185">
        <f t="shared" ref="CD925:DI925" si="3998">CD883/(CD722*1000000)</f>
        <v>0.19346979339446893</v>
      </c>
      <c r="CE925" s="4">
        <f t="shared" si="3998"/>
        <v>0.20937156955186007</v>
      </c>
      <c r="CF925" s="4">
        <f t="shared" si="3998"/>
        <v>0.22587616465718577</v>
      </c>
      <c r="CG925" s="185">
        <f t="shared" si="3998"/>
        <v>0.2264268322940387</v>
      </c>
      <c r="CH925" s="4">
        <f t="shared" si="3998"/>
        <v>0.24062406825098814</v>
      </c>
      <c r="CI925" s="4">
        <f t="shared" si="3998"/>
        <v>0.25662074337168317</v>
      </c>
      <c r="CJ925" s="185">
        <f t="shared" si="3998"/>
        <v>0.25724636377981425</v>
      </c>
      <c r="CK925" s="4">
        <f t="shared" si="3998"/>
        <v>0.27329236611731672</v>
      </c>
      <c r="CL925" s="4">
        <f t="shared" si="3998"/>
        <v>0.29025308904873515</v>
      </c>
      <c r="CM925" s="185">
        <f t="shared" si="3998"/>
        <v>0.29096070236808796</v>
      </c>
      <c r="CN925" s="4">
        <f t="shared" si="3998"/>
        <v>0.30675110453379156</v>
      </c>
      <c r="CO925" s="4">
        <f t="shared" si="3998"/>
        <v>0.32639388918312567</v>
      </c>
      <c r="CP925" s="185">
        <f t="shared" si="3998"/>
        <v>0.32718961082074288</v>
      </c>
      <c r="CQ925" s="4">
        <f t="shared" si="3998"/>
        <v>0.34370047903724577</v>
      </c>
      <c r="CR925" s="4">
        <f t="shared" si="3998"/>
        <v>0.36489394418541027</v>
      </c>
      <c r="CS925" s="185">
        <f t="shared" si="3998"/>
        <v>0.36578352581192453</v>
      </c>
      <c r="CT925" s="4">
        <f t="shared" si="3998"/>
        <v>0.38407590604479303</v>
      </c>
      <c r="CU925" s="4">
        <f t="shared" si="3998"/>
        <v>0.40671772957730828</v>
      </c>
      <c r="CV925" s="185">
        <f t="shared" si="3998"/>
        <v>0.40770927417588265</v>
      </c>
      <c r="CW925" s="4">
        <f t="shared" si="3998"/>
        <v>0.42796661727639329</v>
      </c>
      <c r="CX925" s="4">
        <f t="shared" si="3998"/>
        <v>0.45304797459964674</v>
      </c>
      <c r="CY925" s="185">
        <f t="shared" si="3998"/>
        <v>0.45415246855071251</v>
      </c>
      <c r="CZ925" s="4">
        <f t="shared" si="3998"/>
        <v>0.47403029333449287</v>
      </c>
      <c r="DA925" s="4">
        <f t="shared" si="3998"/>
        <v>0.50555632800714922</v>
      </c>
      <c r="DB925" s="185">
        <f t="shared" si="3998"/>
        <v>0.50678883303423894</v>
      </c>
      <c r="DC925" s="4">
        <f t="shared" si="3998"/>
        <v>0.52898620394370399</v>
      </c>
      <c r="DD925" s="4">
        <f t="shared" si="3998"/>
        <v>0.55820470926716381</v>
      </c>
      <c r="DE925" s="185">
        <f t="shared" si="3998"/>
        <v>0.55956556674674252</v>
      </c>
      <c r="DF925" s="4">
        <f t="shared" si="3998"/>
        <v>0.58493609685193038</v>
      </c>
      <c r="DG925" s="4">
        <f t="shared" si="3998"/>
        <v>0.60705479283291419</v>
      </c>
      <c r="DH925" s="185">
        <f t="shared" si="3998"/>
        <v>0.60853474282549924</v>
      </c>
      <c r="DI925" s="4">
        <f t="shared" si="3998"/>
        <v>0.62967456564540258</v>
      </c>
      <c r="DJ925" s="4">
        <f t="shared" ref="DJ925:ER925" si="3999">DJ883/(DJ722*1000000)</f>
        <v>0.65859805798079873</v>
      </c>
      <c r="DK925" s="185">
        <f t="shared" si="3999"/>
        <v>0.66020366624307214</v>
      </c>
      <c r="DL925" s="4">
        <f t="shared" si="3999"/>
        <v>0.68531822719691327</v>
      </c>
      <c r="DM925" s="4">
        <f t="shared" si="3999"/>
        <v>0.71357944624110314</v>
      </c>
      <c r="DN925" s="185">
        <f t="shared" si="3999"/>
        <v>0.71531909463634114</v>
      </c>
      <c r="DO925" s="4">
        <f t="shared" si="3999"/>
        <v>0.74159179964573096</v>
      </c>
      <c r="DP925" s="4">
        <f t="shared" si="3999"/>
        <v>0.77275451994972855</v>
      </c>
      <c r="DQ925" s="185">
        <f t="shared" si="3999"/>
        <v>0.77463843234045848</v>
      </c>
      <c r="DR925" s="4">
        <f t="shared" si="3999"/>
        <v>0.80428563019756749</v>
      </c>
      <c r="DS925" s="4">
        <f t="shared" si="3999"/>
        <v>0.8380000301426257</v>
      </c>
      <c r="DT925" s="185">
        <f t="shared" si="3999"/>
        <v>0.84004300575708091</v>
      </c>
      <c r="DU925" s="4">
        <f t="shared" si="3999"/>
        <v>0.87031042880813836</v>
      </c>
      <c r="DV925" s="4">
        <f t="shared" si="3999"/>
        <v>0.91300086620440346</v>
      </c>
      <c r="DW925" s="185">
        <f t="shared" si="3999"/>
        <v>0.91522668773010762</v>
      </c>
      <c r="DX925" s="4">
        <f t="shared" si="3999"/>
        <v>0.94839640337870568</v>
      </c>
      <c r="DY925" s="4">
        <f t="shared" si="3999"/>
        <v>0.9954897954221863</v>
      </c>
      <c r="DZ925" s="185">
        <f t="shared" si="3999"/>
        <v>0.99791671821852634</v>
      </c>
      <c r="EA925" s="4">
        <f t="shared" si="3999"/>
        <v>1.0380270766787341</v>
      </c>
      <c r="EB925" s="4">
        <f t="shared" si="3999"/>
        <v>1.0885555778867395</v>
      </c>
      <c r="EC925" s="185">
        <f t="shared" si="3999"/>
        <v>1.0912093874578723</v>
      </c>
      <c r="ED925" s="4">
        <f t="shared" si="3999"/>
        <v>1.1350223357007485</v>
      </c>
      <c r="EE925" s="4">
        <f t="shared" si="3999"/>
        <v>1.1902184260522053</v>
      </c>
      <c r="EF925" s="185">
        <f t="shared" si="3999"/>
        <v>1.1931200813419862</v>
      </c>
      <c r="EG925" s="4">
        <f t="shared" si="3999"/>
        <v>1.2409578866281088</v>
      </c>
      <c r="EH925" s="4">
        <f t="shared" si="3999"/>
        <v>1.3012292239969856</v>
      </c>
      <c r="EI925" s="185">
        <f t="shared" si="3999"/>
        <v>1.3044015145433117</v>
      </c>
      <c r="EJ925" s="4">
        <f t="shared" si="3999"/>
        <v>1.356612690328266</v>
      </c>
      <c r="EK925" s="4">
        <f t="shared" si="3999"/>
        <v>1.4224002759935361</v>
      </c>
      <c r="EL925" s="185">
        <f t="shared" si="3999"/>
        <v>1.4258679716657603</v>
      </c>
      <c r="EM925" s="4">
        <f t="shared" si="3999"/>
        <v>1.4828291567181502</v>
      </c>
      <c r="EN925" s="4">
        <f t="shared" si="3999"/>
        <v>1.5546097441792892</v>
      </c>
      <c r="EO925" s="185">
        <f t="shared" si="3999"/>
        <v>1.558399755734315</v>
      </c>
      <c r="EP925" s="4">
        <f t="shared" si="3999"/>
        <v>1.6205176839639654</v>
      </c>
      <c r="EQ925" s="4">
        <f t="shared" si="3999"/>
        <v>1.6988063081831186</v>
      </c>
      <c r="ER925" s="185">
        <f t="shared" si="3999"/>
        <v>1.7029478591812857</v>
      </c>
      <c r="ES925" s="4">
        <f t="shared" ref="ES925:EX925" si="4000">ES883/(ES722*1000000)</f>
        <v>1.7706614159159157</v>
      </c>
      <c r="ET925" s="4">
        <f t="shared" si="4000"/>
        <v>1.8560140385408286</v>
      </c>
      <c r="EU925" s="185">
        <f t="shared" si="4000"/>
        <v>1.860538849142781</v>
      </c>
      <c r="EV925" s="4">
        <f t="shared" si="4000"/>
        <v>1.9343212072577167</v>
      </c>
      <c r="EW925" s="4">
        <f t="shared" si="4000"/>
        <v>2.0273374705796945</v>
      </c>
      <c r="EX925" s="185">
        <f t="shared" si="4000"/>
        <v>2.0322799537129721</v>
      </c>
      <c r="EY925" s="4">
        <f t="shared" ref="EY925:FA925" si="4001">EY883/(EY722*1000000)</f>
        <v>2.1126407801700426</v>
      </c>
      <c r="EZ925" s="4">
        <f t="shared" si="4001"/>
        <v>2.213966859144513</v>
      </c>
      <c r="FA925" s="185">
        <f t="shared" si="4001"/>
        <v>2.2193643294807308</v>
      </c>
      <c r="FH925" s="35"/>
      <c r="FI925" s="35"/>
      <c r="FJ925" s="35"/>
      <c r="FK925" s="35"/>
      <c r="FL925" s="35"/>
      <c r="FM925" s="35"/>
      <c r="FN925" s="35"/>
      <c r="FO925" s="35"/>
      <c r="FP925" s="35"/>
      <c r="FQ925" s="35"/>
    </row>
    <row r="926" spans="1:173" s="321" customFormat="1" hidden="1" outlineLevel="1">
      <c r="A926" s="1168"/>
      <c r="B926" s="186"/>
      <c r="C926" s="186" t="s">
        <v>431</v>
      </c>
      <c r="D926" s="910"/>
      <c r="E926" s="1"/>
      <c r="F926" s="1"/>
      <c r="G926" s="5"/>
      <c r="H926" s="1"/>
      <c r="I926" s="1"/>
      <c r="J926" s="5"/>
      <c r="K926" s="1"/>
      <c r="L926" s="1"/>
      <c r="M926" s="5"/>
      <c r="N926" s="1"/>
      <c r="O926" s="1"/>
      <c r="P926" s="5"/>
      <c r="Q926" s="1"/>
      <c r="R926" s="1"/>
      <c r="S926" s="5"/>
      <c r="T926" s="1"/>
      <c r="U926" s="1"/>
      <c r="V926" s="5"/>
      <c r="W926" s="1"/>
      <c r="X926" s="1"/>
      <c r="Y926" s="5"/>
      <c r="Z926" s="1"/>
      <c r="AA926" s="1"/>
      <c r="AB926" s="5"/>
      <c r="AC926" s="1"/>
      <c r="AD926" s="1"/>
      <c r="AE926" s="5"/>
      <c r="AF926" s="1"/>
      <c r="AG926" s="1"/>
      <c r="AH926" s="5"/>
      <c r="AI926" s="1"/>
      <c r="AJ926" s="1"/>
      <c r="AK926" s="5"/>
      <c r="AL926" s="1"/>
      <c r="AM926" s="1"/>
      <c r="AN926" s="5"/>
      <c r="AO926" s="1"/>
      <c r="AP926" s="1"/>
      <c r="AQ926" s="5"/>
      <c r="AR926" s="1"/>
      <c r="AS926" s="1"/>
      <c r="AT926" s="5"/>
      <c r="AU926" s="1"/>
      <c r="AV926" s="1"/>
      <c r="AW926" s="5"/>
      <c r="AX926" s="185">
        <f t="shared" ref="AX926:CC926" si="4002">AX884/(AX723*1000000)</f>
        <v>2.0340943582883263E-2</v>
      </c>
      <c r="AY926" s="185">
        <f t="shared" si="4002"/>
        <v>2.116120497257119E-2</v>
      </c>
      <c r="AZ926" s="185">
        <f t="shared" si="4002"/>
        <v>2.1270078883677664E-2</v>
      </c>
      <c r="BA926" s="4">
        <f t="shared" si="4002"/>
        <v>2.3452118664999983E-2</v>
      </c>
      <c r="BB926" s="4">
        <f t="shared" si="4002"/>
        <v>2.4450505311882705E-2</v>
      </c>
      <c r="BC926" s="971">
        <f t="shared" si="4002"/>
        <v>2.4576302597305942E-2</v>
      </c>
      <c r="BD926" s="4">
        <f t="shared" si="4002"/>
        <v>2.7279933899181468E-2</v>
      </c>
      <c r="BE926" s="4">
        <f t="shared" si="4002"/>
        <v>2.9661641043652008E-2</v>
      </c>
      <c r="BF926" s="971">
        <f t="shared" si="4002"/>
        <v>2.9814249502123278E-2</v>
      </c>
      <c r="BG926" s="4">
        <f t="shared" si="4002"/>
        <v>3.2308897064089112E-2</v>
      </c>
      <c r="BH926" s="4">
        <f t="shared" si="4002"/>
        <v>3.5941846860189169E-2</v>
      </c>
      <c r="BI926" s="971">
        <f t="shared" si="4002"/>
        <v>3.6126766832616591E-2</v>
      </c>
      <c r="BJ926" s="121">
        <f t="shared" si="4002"/>
        <v>3.9127070925224182E-2</v>
      </c>
      <c r="BK926" s="121">
        <f t="shared" si="4002"/>
        <v>4.2401469929121811E-2</v>
      </c>
      <c r="BL926" s="114">
        <f t="shared" si="4002"/>
        <v>4.2619624513127334E-2</v>
      </c>
      <c r="BM926" s="121">
        <f t="shared" si="4002"/>
        <v>4.5800905540740205E-2</v>
      </c>
      <c r="BN926" s="121">
        <f t="shared" si="4002"/>
        <v>5.0096108751822986E-2</v>
      </c>
      <c r="BO926" s="114">
        <f t="shared" si="4002"/>
        <v>5.0354678466205796E-2</v>
      </c>
      <c r="BP926" s="121">
        <f t="shared" si="4002"/>
        <v>5.4458784134705562E-2</v>
      </c>
      <c r="BQ926" s="121">
        <f t="shared" si="4002"/>
        <v>5.8983151526276388E-2</v>
      </c>
      <c r="BR926" s="114">
        <f t="shared" si="4002"/>
        <v>5.9287591472283026E-2</v>
      </c>
      <c r="BS926" s="4">
        <f t="shared" si="4002"/>
        <v>6.4284542544027615E-2</v>
      </c>
      <c r="BT926" s="4">
        <f t="shared" si="4002"/>
        <v>6.9990240933036851E-2</v>
      </c>
      <c r="BU926" s="185">
        <f t="shared" si="4002"/>
        <v>7.0351493674188748E-2</v>
      </c>
      <c r="BV926" s="4">
        <f t="shared" si="4002"/>
        <v>7.562959822626325E-2</v>
      </c>
      <c r="BW926" s="4">
        <f t="shared" si="4002"/>
        <v>8.2283316751001548E-2</v>
      </c>
      <c r="BX926" s="185">
        <f t="shared" si="4002"/>
        <v>8.2708019871480992E-2</v>
      </c>
      <c r="BY926" s="4">
        <f t="shared" si="4002"/>
        <v>8.7616995847198509E-2</v>
      </c>
      <c r="BZ926" s="4">
        <f t="shared" si="4002"/>
        <v>9.4625742289576181E-2</v>
      </c>
      <c r="CA926" s="185">
        <f t="shared" si="4002"/>
        <v>9.5114150506635284E-2</v>
      </c>
      <c r="CB926" s="4">
        <f t="shared" si="4002"/>
        <v>0.10044818843945252</v>
      </c>
      <c r="CC926" s="4">
        <f t="shared" si="4002"/>
        <v>0.10890875599788728</v>
      </c>
      <c r="CD926" s="185">
        <f t="shared" ref="CD926:DI926" si="4003">CD884/(CD723*1000000)</f>
        <v>0.1094708856050324</v>
      </c>
      <c r="CE926" s="4">
        <f t="shared" si="4003"/>
        <v>0.11623677872805213</v>
      </c>
      <c r="CF926" s="4">
        <f t="shared" si="4003"/>
        <v>0.12600596210693363</v>
      </c>
      <c r="CG926" s="185">
        <f t="shared" si="4003"/>
        <v>0.12665633848235094</v>
      </c>
      <c r="CH926" s="4">
        <f t="shared" si="4003"/>
        <v>0.13403048289483219</v>
      </c>
      <c r="CI926" s="4">
        <f t="shared" si="4003"/>
        <v>0.1433490616186569</v>
      </c>
      <c r="CJ926" s="185">
        <f t="shared" si="4003"/>
        <v>0.14408895393451332</v>
      </c>
      <c r="CK926" s="4">
        <f t="shared" si="4003"/>
        <v>0.16031830343105613</v>
      </c>
      <c r="CL926" s="4">
        <f t="shared" si="4003"/>
        <v>0.17440616134561185</v>
      </c>
      <c r="CM926" s="185">
        <f t="shared" si="4003"/>
        <v>0.17530635404419331</v>
      </c>
      <c r="CN926" s="4">
        <f t="shared" si="4003"/>
        <v>0.1833845195086341</v>
      </c>
      <c r="CO926" s="4">
        <f t="shared" si="4003"/>
        <v>0.19669685432048792</v>
      </c>
      <c r="CP926" s="185">
        <f t="shared" si="4003"/>
        <v>0.19771209982974708</v>
      </c>
      <c r="CQ926" s="4">
        <f t="shared" si="4003"/>
        <v>0.20068195808693268</v>
      </c>
      <c r="CR926" s="4">
        <f t="shared" si="4003"/>
        <v>0.21213248758575828</v>
      </c>
      <c r="CS926" s="185">
        <f t="shared" si="4003"/>
        <v>0.21322740369986404</v>
      </c>
      <c r="CT926" s="4">
        <f t="shared" si="4003"/>
        <v>0.22501321697896981</v>
      </c>
      <c r="CU926" s="4">
        <f t="shared" si="4003"/>
        <v>0.23522625814201276</v>
      </c>
      <c r="CV926" s="185">
        <f t="shared" si="4003"/>
        <v>0.23644037213007579</v>
      </c>
      <c r="CW926" s="4">
        <f t="shared" si="4003"/>
        <v>0.24652233995234876</v>
      </c>
      <c r="CX926" s="4">
        <f t="shared" si="4003"/>
        <v>0.25383994184157649</v>
      </c>
      <c r="CY926" s="185">
        <f t="shared" si="4003"/>
        <v>0.25515012985610036</v>
      </c>
      <c r="CZ926" s="4">
        <f t="shared" si="4003"/>
        <v>0.26027779502437948</v>
      </c>
      <c r="DA926" s="4">
        <f t="shared" si="4003"/>
        <v>0.27044562233518682</v>
      </c>
      <c r="DB926" s="185">
        <f t="shared" si="4003"/>
        <v>0.27184152012177371</v>
      </c>
      <c r="DC926" s="4">
        <f t="shared" si="4003"/>
        <v>0.27848645262512961</v>
      </c>
      <c r="DD926" s="4">
        <f t="shared" si="4003"/>
        <v>0.28710239261640924</v>
      </c>
      <c r="DE926" s="185">
        <f t="shared" si="4003"/>
        <v>0.28858426387362035</v>
      </c>
      <c r="DF926" s="4">
        <f t="shared" si="4003"/>
        <v>0.29719581678501761</v>
      </c>
      <c r="DG926" s="4">
        <f t="shared" si="4003"/>
        <v>0.30229756049535206</v>
      </c>
      <c r="DH926" s="185">
        <f t="shared" si="4003"/>
        <v>0.30385786120180286</v>
      </c>
      <c r="DI926" s="4">
        <f t="shared" si="4003"/>
        <v>0.31484171683050316</v>
      </c>
      <c r="DJ926" s="4">
        <f t="shared" ref="DJ926:ER926" si="4004">DJ884/(DJ723*1000000)</f>
        <v>0.32754341918373014</v>
      </c>
      <c r="DK926" s="185">
        <f t="shared" si="4004"/>
        <v>0.3292340257089969</v>
      </c>
      <c r="DL926" s="4">
        <f t="shared" si="4004"/>
        <v>0.34071072692395044</v>
      </c>
      <c r="DM926" s="4">
        <f t="shared" si="4004"/>
        <v>0.35463593277929523</v>
      </c>
      <c r="DN926" s="185">
        <f t="shared" si="4004"/>
        <v>0.35646637658288277</v>
      </c>
      <c r="DO926" s="4">
        <f t="shared" si="4004"/>
        <v>0.37051252439939675</v>
      </c>
      <c r="DP926" s="4">
        <f t="shared" si="4004"/>
        <v>0.38617047044708325</v>
      </c>
      <c r="DQ926" s="185">
        <f t="shared" si="4004"/>
        <v>0.38816367891645243</v>
      </c>
      <c r="DR926" s="4">
        <f t="shared" si="4004"/>
        <v>0.40178530158125136</v>
      </c>
      <c r="DS926" s="4">
        <f t="shared" si="4004"/>
        <v>0.41851957576080201</v>
      </c>
      <c r="DT926" s="185">
        <f t="shared" si="4004"/>
        <v>0.42067975326489099</v>
      </c>
      <c r="DU926" s="4">
        <f t="shared" si="4004"/>
        <v>0.4390542200437848</v>
      </c>
      <c r="DV926" s="4">
        <f t="shared" si="4004"/>
        <v>0.45877323700167194</v>
      </c>
      <c r="DW926" s="185">
        <f t="shared" si="4004"/>
        <v>0.46114118269273691</v>
      </c>
      <c r="DX926" s="4">
        <f t="shared" si="4004"/>
        <v>0.47822547606598059</v>
      </c>
      <c r="DY926" s="4">
        <f t="shared" si="4004"/>
        <v>0.49983112612302039</v>
      </c>
      <c r="DZ926" s="185">
        <f t="shared" si="4004"/>
        <v>0.50241099100157871</v>
      </c>
      <c r="EA926" s="4">
        <f t="shared" si="4004"/>
        <v>0.52321714626483296</v>
      </c>
      <c r="EB926" s="4">
        <f t="shared" si="4004"/>
        <v>0.5461817233137396</v>
      </c>
      <c r="EC926" s="185">
        <f t="shared" si="4004"/>
        <v>0.54900082554976315</v>
      </c>
      <c r="ED926" s="4">
        <f t="shared" si="4004"/>
        <v>0.5715290140783672</v>
      </c>
      <c r="EE926" s="4">
        <f t="shared" si="4004"/>
        <v>0.59641932108762086</v>
      </c>
      <c r="EF926" s="185">
        <f t="shared" si="4004"/>
        <v>0.59949772332979889</v>
      </c>
      <c r="EG926" s="4">
        <f t="shared" si="4004"/>
        <v>0.62388202310077734</v>
      </c>
      <c r="EH926" s="4">
        <f t="shared" si="4004"/>
        <v>0.65084939666061326</v>
      </c>
      <c r="EI926" s="185">
        <f t="shared" si="4004"/>
        <v>0.65420873827004788</v>
      </c>
      <c r="EJ926" s="4">
        <f t="shared" si="4004"/>
        <v>0.6805928109061411</v>
      </c>
      <c r="EK926" s="4">
        <f t="shared" si="4004"/>
        <v>0.70979954387737243</v>
      </c>
      <c r="EL926" s="185">
        <f t="shared" si="4004"/>
        <v>0.71346315508196001</v>
      </c>
      <c r="EM926" s="4">
        <f t="shared" si="4004"/>
        <v>0.74200080617075326</v>
      </c>
      <c r="EN926" s="4">
        <f t="shared" si="4004"/>
        <v>0.77362080966241287</v>
      </c>
      <c r="EO926" s="185">
        <f t="shared" si="4004"/>
        <v>0.77761383260928452</v>
      </c>
      <c r="EP926" s="4">
        <f t="shared" si="4004"/>
        <v>0.80846958369233124</v>
      </c>
      <c r="EQ926" s="4">
        <f t="shared" si="4004"/>
        <v>0.84268906723113779</v>
      </c>
      <c r="ER926" s="185">
        <f t="shared" si="4004"/>
        <v>0.84703858412688982</v>
      </c>
      <c r="ES926" s="4">
        <f t="shared" ref="ES926:EX926" si="4005">ES884/(ES723*1000000)</f>
        <v>0.88038825219655903</v>
      </c>
      <c r="ET926" s="4">
        <f t="shared" si="4005"/>
        <v>0.91740641818186208</v>
      </c>
      <c r="EU926" s="185">
        <f t="shared" si="4005"/>
        <v>0.92214158666964618</v>
      </c>
      <c r="EV926" s="4">
        <f t="shared" si="4005"/>
        <v>0.9581728659113482</v>
      </c>
      <c r="EW926" s="4">
        <f t="shared" si="4005"/>
        <v>0.99820261332831273</v>
      </c>
      <c r="EX926" s="185">
        <f t="shared" si="4005"/>
        <v>1.0033548091985176</v>
      </c>
      <c r="EY926" s="4">
        <f t="shared" ref="EY926:FA926" si="4006">EY884/(EY723*1000000)</f>
        <v>1.0422678484136778</v>
      </c>
      <c r="EZ926" s="4">
        <f t="shared" si="4006"/>
        <v>1.0855364794464089</v>
      </c>
      <c r="FA926" s="185">
        <f t="shared" si="4006"/>
        <v>1.0911394467114535</v>
      </c>
      <c r="FH926" s="35"/>
      <c r="FI926" s="35"/>
      <c r="FJ926" s="35"/>
      <c r="FK926" s="35"/>
      <c r="FL926" s="35"/>
      <c r="FM926" s="35"/>
      <c r="FN926" s="35"/>
      <c r="FO926" s="35"/>
      <c r="FP926" s="35"/>
      <c r="FQ926" s="35"/>
    </row>
    <row r="927" spans="1:173" s="321" customFormat="1" hidden="1" outlineLevel="1">
      <c r="A927" s="1168"/>
      <c r="B927" s="186"/>
      <c r="C927" s="186" t="s">
        <v>327</v>
      </c>
      <c r="D927" s="910"/>
      <c r="E927" s="1"/>
      <c r="F927" s="1"/>
      <c r="G927" s="5"/>
      <c r="H927" s="1"/>
      <c r="I927" s="1"/>
      <c r="J927" s="5"/>
      <c r="K927" s="1"/>
      <c r="L927" s="1"/>
      <c r="M927" s="5"/>
      <c r="N927" s="1"/>
      <c r="O927" s="1"/>
      <c r="P927" s="5"/>
      <c r="Q927" s="1"/>
      <c r="R927" s="1"/>
      <c r="S927" s="5"/>
      <c r="T927" s="1"/>
      <c r="U927" s="1"/>
      <c r="V927" s="5"/>
      <c r="W927" s="1"/>
      <c r="X927" s="1"/>
      <c r="Y927" s="5"/>
      <c r="Z927" s="1"/>
      <c r="AA927" s="1"/>
      <c r="AB927" s="5"/>
      <c r="AC927" s="1"/>
      <c r="AD927" s="1"/>
      <c r="AE927" s="5"/>
      <c r="AF927" s="1"/>
      <c r="AG927" s="1"/>
      <c r="AH927" s="5"/>
      <c r="AI927" s="1"/>
      <c r="AJ927" s="1"/>
      <c r="AK927" s="5"/>
      <c r="AL927" s="1"/>
      <c r="AM927" s="1"/>
      <c r="AN927" s="5"/>
      <c r="AO927" s="1"/>
      <c r="AP927" s="1"/>
      <c r="AQ927" s="5"/>
      <c r="AR927" s="1"/>
      <c r="AS927" s="1"/>
      <c r="AT927" s="5"/>
      <c r="AU927" s="1"/>
      <c r="AV927" s="1"/>
      <c r="AW927" s="5"/>
      <c r="AX927" s="185">
        <f t="shared" ref="AX927:CC927" si="4007">AX885/(AX724*1000000)</f>
        <v>4.320999417615326E-2</v>
      </c>
      <c r="AY927" s="185">
        <f t="shared" si="4007"/>
        <v>4.7790238766710132E-2</v>
      </c>
      <c r="AZ927" s="185">
        <f t="shared" si="4007"/>
        <v>4.7955640810189874E-2</v>
      </c>
      <c r="BA927" s="4">
        <f t="shared" si="4007"/>
        <v>5.2657989248991011E-2</v>
      </c>
      <c r="BB927" s="4">
        <f t="shared" si="4007"/>
        <v>5.8239774495286639E-2</v>
      </c>
      <c r="BC927" s="971">
        <f t="shared" si="4007"/>
        <v>5.8441757769054102E-2</v>
      </c>
      <c r="BD927" s="4">
        <f t="shared" si="4007"/>
        <v>6.407636077283077E-2</v>
      </c>
      <c r="BE927" s="4">
        <f t="shared" si="4007"/>
        <v>7.1031514562374817E-2</v>
      </c>
      <c r="BF927" s="971">
        <f t="shared" si="4007"/>
        <v>7.1278369201165592E-2</v>
      </c>
      <c r="BG927" s="4">
        <f t="shared" si="4007"/>
        <v>7.7601254733284969E-2</v>
      </c>
      <c r="BH927" s="4">
        <f t="shared" si="4007"/>
        <v>8.5123564269056221E-2</v>
      </c>
      <c r="BI927" s="971">
        <f t="shared" si="4007"/>
        <v>8.5420002966937122E-2</v>
      </c>
      <c r="BJ927" s="121">
        <f t="shared" si="4007"/>
        <v>9.1937131207285749E-2</v>
      </c>
      <c r="BK927" s="121">
        <f t="shared" si="4007"/>
        <v>0.10023495524101773</v>
      </c>
      <c r="BL927" s="114">
        <f t="shared" si="4007"/>
        <v>0.10058473888736735</v>
      </c>
      <c r="BM927" s="121">
        <f t="shared" si="4007"/>
        <v>0.10875840003709507</v>
      </c>
      <c r="BN927" s="121">
        <f t="shared" si="4007"/>
        <v>0.11849969314124782</v>
      </c>
      <c r="BO927" s="114">
        <f t="shared" si="4007"/>
        <v>0.11891429965247893</v>
      </c>
      <c r="BP927" s="121">
        <f t="shared" si="4007"/>
        <v>0.12975472674397681</v>
      </c>
      <c r="BQ927" s="121">
        <f t="shared" si="4007"/>
        <v>0.14064897212347408</v>
      </c>
      <c r="BR927" s="114">
        <f t="shared" si="4007"/>
        <v>0.14114158527827644</v>
      </c>
      <c r="BS927" s="4">
        <f t="shared" si="4007"/>
        <v>0.15451411925574451</v>
      </c>
      <c r="BT927" s="4">
        <f t="shared" si="4007"/>
        <v>0.16836033340930737</v>
      </c>
      <c r="BU927" s="185">
        <f t="shared" si="4007"/>
        <v>0.16895061578911746</v>
      </c>
      <c r="BV927" s="4">
        <f t="shared" si="4007"/>
        <v>0.18414224042574412</v>
      </c>
      <c r="BW927" s="4">
        <f t="shared" si="4007"/>
        <v>0.20025524338733827</v>
      </c>
      <c r="BX927" s="185">
        <f t="shared" si="4007"/>
        <v>0.20095808033019441</v>
      </c>
      <c r="BY927" s="4">
        <f t="shared" si="4007"/>
        <v>0.21656462264031007</v>
      </c>
      <c r="BZ927" s="4">
        <f t="shared" si="4007"/>
        <v>0.23298927199015518</v>
      </c>
      <c r="CA927" s="185">
        <f t="shared" si="4007"/>
        <v>0.23380784474628286</v>
      </c>
      <c r="CB927" s="4">
        <f t="shared" si="4007"/>
        <v>0.25056602970151326</v>
      </c>
      <c r="CC927" s="4">
        <f t="shared" si="4007"/>
        <v>0.27042376995273348</v>
      </c>
      <c r="CD927" s="185">
        <f t="shared" ref="CD927:DI927" si="4008">CD885/(CD724*1000000)</f>
        <v>0.27137484969034437</v>
      </c>
      <c r="CE927" s="4">
        <f t="shared" si="4008"/>
        <v>0.29157373582957263</v>
      </c>
      <c r="CF927" s="4">
        <f t="shared" si="4008"/>
        <v>0.31458116728074242</v>
      </c>
      <c r="CG927" s="185">
        <f t="shared" si="4008"/>
        <v>0.31568869730898658</v>
      </c>
      <c r="CH927" s="4">
        <f t="shared" si="4008"/>
        <v>0.33372808893350098</v>
      </c>
      <c r="CI927" s="4">
        <f t="shared" si="4008"/>
        <v>0.35587523662266318</v>
      </c>
      <c r="CJ927" s="185">
        <f t="shared" si="4008"/>
        <v>0.35712944961548382</v>
      </c>
      <c r="CK927" s="4">
        <f t="shared" si="4008"/>
        <v>0.37964318896268401</v>
      </c>
      <c r="CL927" s="4">
        <f t="shared" si="4008"/>
        <v>0.40238514144319742</v>
      </c>
      <c r="CM927" s="185">
        <f t="shared" si="4008"/>
        <v>0.40380474213616557</v>
      </c>
      <c r="CN927" s="4">
        <f t="shared" si="4008"/>
        <v>0.42342339405972329</v>
      </c>
      <c r="CO927" s="4">
        <f t="shared" si="4008"/>
        <v>0.44880912900878728</v>
      </c>
      <c r="CP927" s="185">
        <f t="shared" si="4008"/>
        <v>0.45039415609000943</v>
      </c>
      <c r="CQ927" s="4">
        <f t="shared" si="4008"/>
        <v>0.47056168818494737</v>
      </c>
      <c r="CR927" s="4">
        <f t="shared" si="4008"/>
        <v>0.49798823514654167</v>
      </c>
      <c r="CS927" s="185">
        <f t="shared" si="4008"/>
        <v>0.49974877075841095</v>
      </c>
      <c r="CT927" s="4">
        <f t="shared" si="4008"/>
        <v>0.52464448386386053</v>
      </c>
      <c r="CU927" s="4">
        <f t="shared" si="4008"/>
        <v>0.55278618398862445</v>
      </c>
      <c r="CV927" s="185">
        <f t="shared" si="4008"/>
        <v>0.55474247572387236</v>
      </c>
      <c r="CW927" s="4">
        <f t="shared" si="4008"/>
        <v>0.58268288693477932</v>
      </c>
      <c r="CX927" s="4">
        <f t="shared" si="4008"/>
        <v>0.61300858275092895</v>
      </c>
      <c r="CY927" s="185">
        <f t="shared" si="4008"/>
        <v>0.6151802519814582</v>
      </c>
      <c r="CZ927" s="4">
        <f t="shared" si="4008"/>
        <v>0.64316502257860353</v>
      </c>
      <c r="DA927" s="4">
        <f t="shared" si="4008"/>
        <v>0.67882190419612631</v>
      </c>
      <c r="DB927" s="185">
        <f t="shared" si="4008"/>
        <v>0.68122922306519806</v>
      </c>
      <c r="DC927" s="4">
        <f t="shared" si="4008"/>
        <v>0.71016993586653221</v>
      </c>
      <c r="DD927" s="4">
        <f t="shared" si="4008"/>
        <v>0.7421783546530879</v>
      </c>
      <c r="DE927" s="185">
        <f t="shared" si="4008"/>
        <v>0.74481308797944623</v>
      </c>
      <c r="DF927" s="4">
        <f t="shared" si="4008"/>
        <v>0.77750282095587331</v>
      </c>
      <c r="DG927" s="4">
        <f t="shared" si="4008"/>
        <v>0.80094651532274908</v>
      </c>
      <c r="DH927" s="185">
        <f t="shared" si="4008"/>
        <v>0.80379282701414312</v>
      </c>
      <c r="DI927" s="4">
        <f t="shared" si="4008"/>
        <v>0.8329789143294698</v>
      </c>
      <c r="DJ927" s="4">
        <f t="shared" ref="DJ927:ER927" si="4009">DJ885/(DJ724*1000000)</f>
        <v>0.86802192191528249</v>
      </c>
      <c r="DK927" s="185">
        <f t="shared" si="4009"/>
        <v>0.87110979994558579</v>
      </c>
      <c r="DL927" s="4">
        <f t="shared" si="4009"/>
        <v>0.90219143545055536</v>
      </c>
      <c r="DM927" s="4">
        <f t="shared" si="4009"/>
        <v>0.93811745909775979</v>
      </c>
      <c r="DN927" s="185">
        <f t="shared" si="4009"/>
        <v>0.9414581562184533</v>
      </c>
      <c r="DO927" s="4">
        <f t="shared" si="4009"/>
        <v>0.97731928110632693</v>
      </c>
      <c r="DP927" s="4">
        <f t="shared" si="4009"/>
        <v>1.0197241200618923</v>
      </c>
      <c r="DQ927" s="185">
        <f t="shared" si="4009"/>
        <v>1.0233591914559601</v>
      </c>
      <c r="DR927" s="4">
        <f t="shared" si="4009"/>
        <v>1.0648600288269798</v>
      </c>
      <c r="DS927" s="4">
        <f t="shared" si="4009"/>
        <v>1.1087968725958757</v>
      </c>
      <c r="DT927" s="185">
        <f t="shared" si="4009"/>
        <v>1.1127535672417392</v>
      </c>
      <c r="DU927" s="4">
        <f t="shared" si="4009"/>
        <v>1.1555039888720637</v>
      </c>
      <c r="DV927" s="4">
        <f t="shared" si="4009"/>
        <v>1.2081984183203966</v>
      </c>
      <c r="DW927" s="185">
        <f t="shared" si="4009"/>
        <v>1.2125142948281955</v>
      </c>
      <c r="DX927" s="4">
        <f t="shared" si="4009"/>
        <v>1.2581397321745755</v>
      </c>
      <c r="DY927" s="4">
        <f t="shared" si="4009"/>
        <v>1.3160951272500061</v>
      </c>
      <c r="DZ927" s="185">
        <f t="shared" si="4009"/>
        <v>1.3208013029568835</v>
      </c>
      <c r="EA927" s="4">
        <f t="shared" si="4009"/>
        <v>1.3761323047665812</v>
      </c>
      <c r="EB927" s="4">
        <f t="shared" si="4009"/>
        <v>1.4380580559376337</v>
      </c>
      <c r="EC927" s="185">
        <f t="shared" si="4009"/>
        <v>1.4432056854760744</v>
      </c>
      <c r="ED927" s="4">
        <f t="shared" si="4009"/>
        <v>1.503413523216107</v>
      </c>
      <c r="EE927" s="4">
        <f t="shared" si="4009"/>
        <v>1.5708246007860682</v>
      </c>
      <c r="EF927" s="185">
        <f t="shared" si="4009"/>
        <v>1.5764533054075343</v>
      </c>
      <c r="EG927" s="4">
        <f t="shared" si="4009"/>
        <v>1.6419405710391564</v>
      </c>
      <c r="EH927" s="4">
        <f t="shared" si="4009"/>
        <v>1.7152930602853409</v>
      </c>
      <c r="EI927" s="185">
        <f t="shared" si="4009"/>
        <v>1.7214458047483421</v>
      </c>
      <c r="EJ927" s="4">
        <f t="shared" si="4009"/>
        <v>1.7926458632040809</v>
      </c>
      <c r="EK927" s="4">
        <f t="shared" si="4009"/>
        <v>1.8724310350467475</v>
      </c>
      <c r="EL927" s="185">
        <f t="shared" si="4009"/>
        <v>1.8791543899652314</v>
      </c>
      <c r="EM927" s="4">
        <f t="shared" si="4009"/>
        <v>1.9565333801781475</v>
      </c>
      <c r="EN927" s="4">
        <f t="shared" si="4009"/>
        <v>2.0432800255424004</v>
      </c>
      <c r="EO927" s="185">
        <f t="shared" si="4009"/>
        <v>2.0506244475670004</v>
      </c>
      <c r="EP927" s="4">
        <f t="shared" si="4009"/>
        <v>2.1346833545621422</v>
      </c>
      <c r="EQ927" s="4">
        <f t="shared" si="4009"/>
        <v>2.2289602104595252</v>
      </c>
      <c r="ER927" s="185">
        <f t="shared" si="4009"/>
        <v>2.2369803410458933</v>
      </c>
      <c r="ES927" s="4">
        <f t="shared" ref="ES927:EX927" si="4010">ES885/(ES724*1000000)</f>
        <v>2.3282571297394075</v>
      </c>
      <c r="ET927" s="4">
        <f t="shared" si="4010"/>
        <v>2.4306753882107053</v>
      </c>
      <c r="EU927" s="185">
        <f t="shared" si="4010"/>
        <v>2.4394303716710568</v>
      </c>
      <c r="EV927" s="4">
        <f t="shared" si="4010"/>
        <v>2.5385021698712498</v>
      </c>
      <c r="EW927" s="4">
        <f t="shared" si="4010"/>
        <v>2.6497180576246575</v>
      </c>
      <c r="EX927" s="185">
        <f t="shared" si="4010"/>
        <v>2.6592718790765866</v>
      </c>
      <c r="EY927" s="4">
        <f t="shared" ref="EY927:FA927" si="4011">EY885/(EY724*1000000)</f>
        <v>2.7667571934044517</v>
      </c>
      <c r="EZ927" s="4">
        <f t="shared" si="4011"/>
        <v>2.8874746060064829</v>
      </c>
      <c r="FA927" s="185">
        <f t="shared" si="4011"/>
        <v>2.8978964497219781</v>
      </c>
      <c r="FH927" s="35"/>
      <c r="FI927" s="35"/>
      <c r="FJ927" s="35"/>
      <c r="FK927" s="35"/>
      <c r="FL927" s="35"/>
      <c r="FM927" s="35"/>
      <c r="FN927" s="35"/>
      <c r="FO927" s="35"/>
      <c r="FP927" s="35"/>
      <c r="FQ927" s="35"/>
    </row>
    <row r="928" spans="1:173" s="321" customFormat="1" hidden="1" outlineLevel="1">
      <c r="A928" s="1168"/>
      <c r="B928" s="186"/>
      <c r="C928" s="186"/>
      <c r="D928" s="910"/>
      <c r="E928" s="1"/>
      <c r="F928" s="1"/>
      <c r="G928" s="5"/>
      <c r="H928" s="1"/>
      <c r="I928" s="1"/>
      <c r="J928" s="5"/>
      <c r="K928" s="1"/>
      <c r="L928" s="1"/>
      <c r="M928" s="5"/>
      <c r="N928" s="1"/>
      <c r="O928" s="1"/>
      <c r="P928" s="5"/>
      <c r="Q928" s="1"/>
      <c r="R928" s="1"/>
      <c r="S928" s="5"/>
      <c r="T928" s="1"/>
      <c r="U928" s="1"/>
      <c r="V928" s="5"/>
      <c r="W928" s="1"/>
      <c r="X928" s="1"/>
      <c r="Y928" s="5"/>
      <c r="Z928" s="1"/>
      <c r="AA928" s="1"/>
      <c r="AB928" s="5"/>
      <c r="AC928" s="1"/>
      <c r="AD928" s="1"/>
      <c r="AE928" s="5"/>
      <c r="AF928" s="1"/>
      <c r="AG928" s="1"/>
      <c r="AH928" s="5"/>
      <c r="AI928" s="1"/>
      <c r="AJ928" s="1"/>
      <c r="AK928" s="5"/>
      <c r="AL928" s="1"/>
      <c r="AM928" s="1"/>
      <c r="AN928" s="5"/>
      <c r="AO928" s="1"/>
      <c r="AP928" s="1"/>
      <c r="AQ928" s="5"/>
      <c r="AR928" s="1"/>
      <c r="AS928" s="1"/>
      <c r="AT928" s="5"/>
      <c r="AU928" s="1"/>
      <c r="AV928" s="1"/>
      <c r="AW928" s="5"/>
      <c r="AX928" s="1"/>
      <c r="AY928" s="1"/>
      <c r="AZ928" s="5"/>
      <c r="BA928" s="1"/>
      <c r="BB928" s="1"/>
      <c r="BC928" s="46"/>
      <c r="BD928" s="1"/>
      <c r="BE928" s="1"/>
      <c r="BF928" s="46"/>
      <c r="BG928" s="1"/>
      <c r="BH928" s="1"/>
      <c r="BI928" s="51"/>
      <c r="BJ928" s="115"/>
      <c r="BK928" s="115"/>
      <c r="BL928" s="116"/>
      <c r="BM928" s="115"/>
      <c r="BN928" s="115"/>
      <c r="BO928" s="116"/>
      <c r="BP928" s="115"/>
      <c r="BQ928" s="115"/>
      <c r="BR928" s="116"/>
      <c r="BS928" s="8"/>
      <c r="BT928" s="8"/>
      <c r="BU928" s="9"/>
      <c r="BV928" s="8"/>
      <c r="BW928" s="8"/>
      <c r="BX928" s="187"/>
      <c r="BY928" s="8"/>
      <c r="BZ928" s="8"/>
      <c r="CA928" s="187"/>
      <c r="CB928" s="8"/>
      <c r="CC928" s="8"/>
      <c r="CD928" s="187"/>
      <c r="CE928" s="8"/>
      <c r="CF928" s="8"/>
      <c r="CG928" s="187"/>
      <c r="CH928" s="8"/>
      <c r="CI928" s="8"/>
      <c r="CJ928" s="187"/>
      <c r="CK928" s="8"/>
      <c r="CL928" s="8"/>
      <c r="CM928" s="187"/>
      <c r="CN928" s="8"/>
      <c r="CO928" s="8"/>
      <c r="CP928" s="187"/>
      <c r="CQ928" s="8"/>
      <c r="CR928" s="8"/>
      <c r="CS928" s="187"/>
      <c r="CT928" s="8"/>
      <c r="CU928" s="8"/>
      <c r="CV928" s="187"/>
      <c r="CW928" s="8"/>
      <c r="CX928" s="8"/>
      <c r="CY928" s="9"/>
      <c r="CZ928" s="8"/>
      <c r="DA928" s="8"/>
      <c r="DB928" s="9"/>
      <c r="DC928" s="8"/>
      <c r="DD928" s="8"/>
      <c r="DE928" s="9"/>
      <c r="DF928" s="8"/>
      <c r="DG928" s="8"/>
      <c r="DH928" s="9"/>
      <c r="DI928" s="8"/>
      <c r="DJ928" s="8"/>
      <c r="DK928" s="9"/>
      <c r="DL928" s="8"/>
      <c r="DM928" s="8"/>
      <c r="DN928" s="9"/>
      <c r="DO928" s="8"/>
      <c r="DP928" s="8"/>
      <c r="DQ928" s="9"/>
      <c r="DR928" s="8"/>
      <c r="DS928" s="8"/>
      <c r="DT928" s="9"/>
      <c r="DU928" s="8"/>
      <c r="DV928" s="8"/>
      <c r="DW928" s="9"/>
      <c r="DX928" s="8"/>
      <c r="DY928" s="8"/>
      <c r="DZ928" s="9"/>
      <c r="EA928" s="8"/>
      <c r="EB928" s="8"/>
      <c r="EC928" s="9"/>
      <c r="ED928" s="8"/>
      <c r="EE928" s="8"/>
      <c r="EF928" s="9"/>
      <c r="EG928" s="8"/>
      <c r="EH928" s="8"/>
      <c r="EI928" s="9"/>
      <c r="EJ928" s="8"/>
      <c r="EK928" s="8"/>
      <c r="EL928" s="9"/>
      <c r="EM928" s="8"/>
      <c r="EN928" s="8"/>
      <c r="EO928" s="9"/>
      <c r="EP928" s="8"/>
      <c r="EQ928" s="8"/>
      <c r="ER928" s="9"/>
      <c r="ES928" s="8"/>
      <c r="ET928" s="8"/>
      <c r="EU928" s="9"/>
      <c r="EV928" s="8"/>
      <c r="EW928" s="8"/>
      <c r="EX928" s="9"/>
      <c r="EY928" s="8"/>
      <c r="EZ928" s="8"/>
      <c r="FA928" s="9"/>
      <c r="FH928" s="35"/>
      <c r="FI928" s="35"/>
      <c r="FJ928" s="35"/>
      <c r="FK928" s="35"/>
      <c r="FL928" s="35"/>
      <c r="FM928" s="35"/>
      <c r="FN928" s="35"/>
      <c r="FO928" s="35"/>
      <c r="FP928" s="35"/>
      <c r="FQ928" s="35"/>
    </row>
    <row r="929" spans="1:173" s="321" customFormat="1" hidden="1" outlineLevel="1">
      <c r="A929" s="1168"/>
      <c r="B929" s="186"/>
      <c r="C929" s="331" t="s">
        <v>234</v>
      </c>
      <c r="D929" s="910"/>
      <c r="E929" s="1"/>
      <c r="F929" s="1"/>
      <c r="G929" s="5"/>
      <c r="H929" s="1"/>
      <c r="I929" s="1"/>
      <c r="J929" s="5"/>
      <c r="K929" s="1"/>
      <c r="L929" s="1"/>
      <c r="M929" s="5"/>
      <c r="N929" s="1"/>
      <c r="O929" s="1"/>
      <c r="P929" s="5"/>
      <c r="Q929" s="1"/>
      <c r="R929" s="1"/>
      <c r="S929" s="5"/>
      <c r="T929" s="1"/>
      <c r="U929" s="1"/>
      <c r="V929" s="5"/>
      <c r="W929" s="1"/>
      <c r="X929" s="1"/>
      <c r="Y929" s="5"/>
      <c r="Z929" s="1"/>
      <c r="AA929" s="1"/>
      <c r="AB929" s="5"/>
      <c r="AC929" s="1"/>
      <c r="AD929" s="1"/>
      <c r="AE929" s="5"/>
      <c r="AF929" s="1"/>
      <c r="AG929" s="1"/>
      <c r="AH929" s="5"/>
      <c r="AI929" s="1"/>
      <c r="AJ929" s="1"/>
      <c r="AK929" s="5"/>
      <c r="AL929" s="1"/>
      <c r="AM929" s="1"/>
      <c r="AN929" s="5"/>
      <c r="AO929" s="1"/>
      <c r="AP929" s="1"/>
      <c r="AQ929" s="5"/>
      <c r="AR929" s="1"/>
      <c r="AS929" s="1"/>
      <c r="AT929" s="5"/>
      <c r="AU929" s="1"/>
      <c r="AV929" s="1"/>
      <c r="AW929" s="5"/>
      <c r="AX929" s="1"/>
      <c r="AY929" s="1"/>
      <c r="AZ929" s="5"/>
      <c r="BA929" s="1"/>
      <c r="BB929" s="1"/>
      <c r="BC929" s="46"/>
      <c r="BD929" s="1"/>
      <c r="BE929" s="1"/>
      <c r="BF929" s="46"/>
      <c r="BG929" s="1"/>
      <c r="BH929" s="1"/>
      <c r="BI929" s="51"/>
      <c r="BJ929" s="115"/>
      <c r="BK929" s="115"/>
      <c r="BL929" s="116"/>
      <c r="BM929" s="115"/>
      <c r="BN929" s="115"/>
      <c r="BO929" s="116"/>
      <c r="BP929" s="115"/>
      <c r="BQ929" s="115"/>
      <c r="BR929" s="116"/>
      <c r="BS929" s="8"/>
      <c r="BT929" s="8"/>
      <c r="BU929" s="9"/>
      <c r="BV929" s="8"/>
      <c r="BW929" s="8"/>
      <c r="BX929" s="187"/>
      <c r="BY929" s="8"/>
      <c r="BZ929" s="8"/>
      <c r="CA929" s="187"/>
      <c r="CB929" s="8"/>
      <c r="CC929" s="8"/>
      <c r="CD929" s="187"/>
      <c r="CE929" s="8"/>
      <c r="CF929" s="8"/>
      <c r="CG929" s="187"/>
      <c r="CH929" s="8"/>
      <c r="CI929" s="8"/>
      <c r="CJ929" s="187"/>
      <c r="CK929" s="8"/>
      <c r="CL929" s="8"/>
      <c r="CM929" s="187"/>
      <c r="CN929" s="8"/>
      <c r="CO929" s="8"/>
      <c r="CP929" s="187"/>
      <c r="CQ929" s="8"/>
      <c r="CR929" s="8"/>
      <c r="CS929" s="187"/>
      <c r="CT929" s="8"/>
      <c r="CU929" s="8"/>
      <c r="CV929" s="187"/>
      <c r="CW929" s="8"/>
      <c r="CX929" s="8"/>
      <c r="CY929" s="9"/>
      <c r="CZ929" s="8"/>
      <c r="DA929" s="8"/>
      <c r="DB929" s="9"/>
      <c r="DC929" s="8"/>
      <c r="DD929" s="8"/>
      <c r="DE929" s="9"/>
      <c r="DF929" s="8"/>
      <c r="DG929" s="8"/>
      <c r="DH929" s="9"/>
      <c r="DI929" s="8"/>
      <c r="DJ929" s="8"/>
      <c r="DK929" s="9"/>
      <c r="DL929" s="8"/>
      <c r="DM929" s="8"/>
      <c r="DN929" s="9"/>
      <c r="DO929" s="8"/>
      <c r="DP929" s="8"/>
      <c r="DQ929" s="9"/>
      <c r="DR929" s="8"/>
      <c r="DS929" s="8"/>
      <c r="DT929" s="9"/>
      <c r="DU929" s="8"/>
      <c r="DV929" s="8"/>
      <c r="DW929" s="9"/>
      <c r="DX929" s="8"/>
      <c r="DY929" s="8"/>
      <c r="DZ929" s="9"/>
      <c r="EA929" s="8"/>
      <c r="EB929" s="8"/>
      <c r="EC929" s="9"/>
      <c r="ED929" s="8"/>
      <c r="EE929" s="8"/>
      <c r="EF929" s="9"/>
      <c r="EG929" s="8"/>
      <c r="EH929" s="8"/>
      <c r="EI929" s="9"/>
      <c r="EJ929" s="8"/>
      <c r="EK929" s="8"/>
      <c r="EL929" s="9"/>
      <c r="EM929" s="8"/>
      <c r="EN929" s="8"/>
      <c r="EO929" s="9"/>
      <c r="EP929" s="8"/>
      <c r="EQ929" s="8"/>
      <c r="ER929" s="9"/>
      <c r="ES929" s="8"/>
      <c r="ET929" s="8"/>
      <c r="EU929" s="9"/>
      <c r="EV929" s="8"/>
      <c r="EW929" s="8"/>
      <c r="EX929" s="9"/>
      <c r="EY929" s="8"/>
      <c r="EZ929" s="8"/>
      <c r="FA929" s="9"/>
      <c r="FH929" s="35"/>
      <c r="FI929" s="35"/>
      <c r="FJ929" s="35"/>
      <c r="FK929" s="35"/>
      <c r="FL929" s="35"/>
      <c r="FM929" s="35"/>
      <c r="FN929" s="35"/>
      <c r="FO929" s="35"/>
      <c r="FP929" s="35"/>
      <c r="FQ929" s="35"/>
    </row>
    <row r="930" spans="1:173" s="321" customFormat="1" hidden="1" outlineLevel="1">
      <c r="A930" s="1168"/>
      <c r="B930" s="186"/>
      <c r="C930" s="186" t="s">
        <v>316</v>
      </c>
      <c r="D930" s="910"/>
      <c r="E930" s="1"/>
      <c r="F930" s="1"/>
      <c r="G930" s="5"/>
      <c r="H930" s="1"/>
      <c r="I930" s="1"/>
      <c r="J930" s="5"/>
      <c r="K930" s="1"/>
      <c r="L930" s="1"/>
      <c r="M930" s="5"/>
      <c r="N930" s="1"/>
      <c r="O930" s="1"/>
      <c r="P930" s="5"/>
      <c r="Q930" s="1"/>
      <c r="R930" s="1"/>
      <c r="S930" s="5"/>
      <c r="T930" s="1"/>
      <c r="U930" s="1"/>
      <c r="V930" s="5"/>
      <c r="W930" s="1"/>
      <c r="X930" s="1"/>
      <c r="Y930" s="5"/>
      <c r="Z930" s="1"/>
      <c r="AA930" s="1"/>
      <c r="AB930" s="5"/>
      <c r="AC930" s="1"/>
      <c r="AD930" s="1"/>
      <c r="AE930" s="5"/>
      <c r="AF930" s="1"/>
      <c r="AG930" s="1"/>
      <c r="AH930" s="5"/>
      <c r="AI930" s="1"/>
      <c r="AJ930" s="1"/>
      <c r="AK930" s="5"/>
      <c r="AL930" s="1"/>
      <c r="AM930" s="1"/>
      <c r="AN930" s="5"/>
      <c r="AO930" s="1"/>
      <c r="AP930" s="1"/>
      <c r="AQ930" s="5"/>
      <c r="AR930" s="1"/>
      <c r="AS930" s="1"/>
      <c r="AT930" s="5"/>
      <c r="AU930" s="1"/>
      <c r="AV930" s="1"/>
      <c r="AW930" s="5"/>
      <c r="AX930" s="185">
        <f t="shared" ref="AX930:CC930" si="4012">AX888/(AX727*1000000)</f>
        <v>3.3987390440485772E-2</v>
      </c>
      <c r="AY930" s="185">
        <f t="shared" si="4012"/>
        <v>3.7660548054783562E-2</v>
      </c>
      <c r="AZ930" s="185">
        <f t="shared" si="4012"/>
        <v>1.8858007774305487E-2</v>
      </c>
      <c r="BA930" s="4">
        <f t="shared" si="4012"/>
        <v>4.1268164225196455E-2</v>
      </c>
      <c r="BB930" s="4">
        <f t="shared" si="4012"/>
        <v>4.5913503973079153E-2</v>
      </c>
      <c r="BC930" s="971">
        <f t="shared" si="4012"/>
        <v>2.2990563323996974E-2</v>
      </c>
      <c r="BD930" s="4">
        <f t="shared" si="4012"/>
        <v>5.0280296335421186E-2</v>
      </c>
      <c r="BE930" s="4">
        <f t="shared" si="4012"/>
        <v>5.5662423881060893E-2</v>
      </c>
      <c r="BF930" s="971">
        <f t="shared" si="4012"/>
        <v>2.7872202517042373E-2</v>
      </c>
      <c r="BG930" s="4">
        <f t="shared" si="4012"/>
        <v>6.1226658517612421E-2</v>
      </c>
      <c r="BH930" s="4">
        <f t="shared" si="4012"/>
        <v>6.7226730650250269E-2</v>
      </c>
      <c r="BI930" s="971">
        <f t="shared" si="4012"/>
        <v>3.3662872016609752E-2</v>
      </c>
      <c r="BJ930" s="121">
        <f t="shared" si="4012"/>
        <v>7.2736649556571983E-2</v>
      </c>
      <c r="BK930" s="121">
        <f t="shared" si="4012"/>
        <v>7.9927519520381018E-2</v>
      </c>
      <c r="BL930" s="114">
        <f t="shared" si="4012"/>
        <v>4.0022619487738657E-2</v>
      </c>
      <c r="BM930" s="121">
        <f t="shared" si="4012"/>
        <v>8.8032806503951871E-2</v>
      </c>
      <c r="BN930" s="121">
        <f t="shared" si="4012"/>
        <v>9.6646965942372307E-2</v>
      </c>
      <c r="BO930" s="114">
        <f t="shared" si="4012"/>
        <v>4.8359095275802746E-2</v>
      </c>
      <c r="BP930" s="121">
        <f t="shared" si="4012"/>
        <v>0.10805238846834757</v>
      </c>
      <c r="BQ930" s="121">
        <f t="shared" si="4012"/>
        <v>0.11827974763587133</v>
      </c>
      <c r="BR930" s="114">
        <f t="shared" si="4012"/>
        <v>5.9183457332034728E-2</v>
      </c>
      <c r="BS930" s="4">
        <f t="shared" si="4012"/>
        <v>0.13298111047635536</v>
      </c>
      <c r="BT930" s="4">
        <f t="shared" si="4012"/>
        <v>0.14677093811273273</v>
      </c>
      <c r="BU930" s="185">
        <f t="shared" si="4012"/>
        <v>7.3439550954395638E-2</v>
      </c>
      <c r="BV930" s="4">
        <f t="shared" si="4012"/>
        <v>0.1635181760945735</v>
      </c>
      <c r="BW930" s="4">
        <f t="shared" si="4012"/>
        <v>0.17968375215144974</v>
      </c>
      <c r="BX930" s="185">
        <f t="shared" si="4012"/>
        <v>8.9908085629784598E-2</v>
      </c>
      <c r="BY930" s="4">
        <f t="shared" si="4012"/>
        <v>0.19780065214907247</v>
      </c>
      <c r="BZ930" s="4">
        <f t="shared" si="4012"/>
        <v>0.21535227037203647</v>
      </c>
      <c r="CA930" s="185">
        <f t="shared" si="4012"/>
        <v>0.1077554878131554</v>
      </c>
      <c r="CB930" s="4">
        <f t="shared" si="4012"/>
        <v>0.23623139622688938</v>
      </c>
      <c r="CC930" s="4">
        <f t="shared" si="4012"/>
        <v>0.25905674073041168</v>
      </c>
      <c r="CD930" s="185">
        <f t="shared" ref="CD930:DI930" si="4013">CD888/(CD727*1000000)</f>
        <v>0.12962382713897955</v>
      </c>
      <c r="CE930" s="4">
        <f t="shared" si="4013"/>
        <v>0.28441312905919192</v>
      </c>
      <c r="CF930" s="4">
        <f t="shared" si="4013"/>
        <v>0.31213273782322093</v>
      </c>
      <c r="CG930" s="185">
        <f t="shared" si="4013"/>
        <v>0.15618138303576623</v>
      </c>
      <c r="CH930" s="4">
        <f t="shared" si="4013"/>
        <v>0.33537236388758412</v>
      </c>
      <c r="CI930" s="4">
        <f t="shared" si="4013"/>
        <v>0.36336125737607028</v>
      </c>
      <c r="CJ930" s="185">
        <f t="shared" si="4013"/>
        <v>0.18181451940728713</v>
      </c>
      <c r="CK930" s="4">
        <f t="shared" si="4013"/>
        <v>0.39025168121993292</v>
      </c>
      <c r="CL930" s="4">
        <f t="shared" si="4013"/>
        <v>0.41645241078301165</v>
      </c>
      <c r="CM930" s="185">
        <f t="shared" si="4013"/>
        <v>0.20837965904591194</v>
      </c>
      <c r="CN930" s="4">
        <f t="shared" si="4013"/>
        <v>0.44422105744144869</v>
      </c>
      <c r="CO930" s="4">
        <f t="shared" si="4013"/>
        <v>0.4760351988902517</v>
      </c>
      <c r="CP930" s="185">
        <f t="shared" si="4013"/>
        <v>0.23819300806086252</v>
      </c>
      <c r="CQ930" s="4">
        <f t="shared" si="4013"/>
        <v>0.51039673094705196</v>
      </c>
      <c r="CR930" s="4">
        <f t="shared" si="4013"/>
        <v>0.54907025824476996</v>
      </c>
      <c r="CS930" s="185">
        <f t="shared" si="4013"/>
        <v>0.27473744956878349</v>
      </c>
      <c r="CT930" s="4">
        <f t="shared" si="4013"/>
        <v>0.58898582805346644</v>
      </c>
      <c r="CU930" s="4">
        <f t="shared" si="4013"/>
        <v>0.63098704816205076</v>
      </c>
      <c r="CV930" s="185">
        <f t="shared" si="4013"/>
        <v>0.31572602908259645</v>
      </c>
      <c r="CW930" s="4">
        <f t="shared" si="4013"/>
        <v>0.6814308453314798</v>
      </c>
      <c r="CX930" s="4">
        <f t="shared" si="4013"/>
        <v>0.73165441334655767</v>
      </c>
      <c r="CY930" s="185">
        <f t="shared" si="4013"/>
        <v>0.36609680540913264</v>
      </c>
      <c r="CZ930" s="4">
        <f t="shared" si="4013"/>
        <v>0.79087346516184875</v>
      </c>
      <c r="DA930" s="4">
        <f t="shared" si="4013"/>
        <v>0.84866665760778515</v>
      </c>
      <c r="DB930" s="185">
        <f t="shared" si="4013"/>
        <v>0.42464604400642364</v>
      </c>
      <c r="DC930" s="4">
        <f t="shared" si="4013"/>
        <v>0.90980959523297189</v>
      </c>
      <c r="DD930" s="4">
        <f t="shared" si="4013"/>
        <v>0.96387455396937316</v>
      </c>
      <c r="DE930" s="185">
        <f t="shared" si="4013"/>
        <v>0.48229244379094321</v>
      </c>
      <c r="DF930" s="4">
        <f t="shared" si="4013"/>
        <v>1.0349224588280803</v>
      </c>
      <c r="DG930" s="4">
        <f t="shared" si="4013"/>
        <v>1.0772740499128555</v>
      </c>
      <c r="DH930" s="185">
        <f t="shared" si="4013"/>
        <v>0.53903397701019351</v>
      </c>
      <c r="DI930" s="4">
        <f t="shared" si="4013"/>
        <v>1.1442380149729403</v>
      </c>
      <c r="DJ930" s="4">
        <f t="shared" ref="DJ930:ER930" si="4014">DJ888/(DJ727*1000000)</f>
        <v>1.2116692647328267</v>
      </c>
      <c r="DK930" s="185">
        <f t="shared" si="4014"/>
        <v>0.60628110613338038</v>
      </c>
      <c r="DL930" s="4">
        <f t="shared" si="4014"/>
        <v>1.2828490724942117</v>
      </c>
      <c r="DM930" s="4">
        <f t="shared" si="4014"/>
        <v>1.3572692570399976</v>
      </c>
      <c r="DN930" s="185">
        <f t="shared" si="4014"/>
        <v>0.67913475271693713</v>
      </c>
      <c r="DO930" s="4">
        <f t="shared" si="4014"/>
        <v>1.4473147718311248</v>
      </c>
      <c r="DP930" s="4">
        <f t="shared" si="4014"/>
        <v>1.5450240692164261</v>
      </c>
      <c r="DQ930" s="185">
        <f t="shared" si="4014"/>
        <v>0.77308134236926285</v>
      </c>
      <c r="DR930" s="4">
        <f t="shared" si="4014"/>
        <v>1.659538504032207</v>
      </c>
      <c r="DS930" s="4">
        <f t="shared" si="4014"/>
        <v>1.7631431690551282</v>
      </c>
      <c r="DT930" s="185">
        <f t="shared" si="4014"/>
        <v>0.88222126443222337</v>
      </c>
      <c r="DU930" s="4">
        <f t="shared" si="4014"/>
        <v>1.8827251790477</v>
      </c>
      <c r="DV930" s="4">
        <f t="shared" si="4014"/>
        <v>2.0097947821923103</v>
      </c>
      <c r="DW930" s="185">
        <f t="shared" si="4014"/>
        <v>1.005637956754915</v>
      </c>
      <c r="DX930" s="4">
        <f t="shared" si="4014"/>
        <v>2.1471063928227205</v>
      </c>
      <c r="DY930" s="4">
        <f t="shared" si="4014"/>
        <v>2.2947524289229571</v>
      </c>
      <c r="DZ930" s="185">
        <f t="shared" si="4014"/>
        <v>1.1482217808144586</v>
      </c>
      <c r="EA930" s="4">
        <f t="shared" si="4014"/>
        <v>2.4691052224600485</v>
      </c>
      <c r="EB930" s="4">
        <f t="shared" si="4014"/>
        <v>2.635851126942685</v>
      </c>
      <c r="EC930" s="185">
        <f t="shared" si="4014"/>
        <v>1.3188968172747224</v>
      </c>
      <c r="ED930" s="4">
        <f t="shared" si="4014"/>
        <v>2.8365235724061213</v>
      </c>
      <c r="EE930" s="4">
        <f t="shared" si="4014"/>
        <v>3.0284411443593284</v>
      </c>
      <c r="EF930" s="185">
        <f t="shared" si="4014"/>
        <v>1.5153364868645667</v>
      </c>
      <c r="EG930" s="4">
        <f t="shared" si="4014"/>
        <v>3.2594051785048834</v>
      </c>
      <c r="EH930" s="4">
        <f t="shared" si="4014"/>
        <v>3.4802931097376524</v>
      </c>
      <c r="EI930" s="185">
        <f t="shared" si="4014"/>
        <v>1.7414289671739667</v>
      </c>
      <c r="EJ930" s="4">
        <f t="shared" si="4014"/>
        <v>3.7461200835176811</v>
      </c>
      <c r="EK930" s="4">
        <f t="shared" si="4014"/>
        <v>4.0003503352412766</v>
      </c>
      <c r="EL930" s="185">
        <f t="shared" si="4014"/>
        <v>2.0016492097007244</v>
      </c>
      <c r="EM930" s="4">
        <f t="shared" si="4014"/>
        <v>4.3063014727824198</v>
      </c>
      <c r="EN930" s="4">
        <f t="shared" si="4014"/>
        <v>4.5989057890169303</v>
      </c>
      <c r="EO930" s="185">
        <f t="shared" si="4014"/>
        <v>2.3011474912530656</v>
      </c>
      <c r="EP930" s="4">
        <f t="shared" si="4014"/>
        <v>4.9510362979706333</v>
      </c>
      <c r="EQ930" s="4">
        <f t="shared" si="4014"/>
        <v>5.2878057748890788</v>
      </c>
      <c r="ER930" s="185">
        <f t="shared" si="4014"/>
        <v>2.6458513288484942</v>
      </c>
      <c r="ES930" s="4">
        <f t="shared" ref="ES930:EX930" si="4015">ES888/(ES727*1000000)</f>
        <v>5.6930846683150644</v>
      </c>
      <c r="ET930" s="4">
        <f t="shared" si="4015"/>
        <v>6.0806843498267238</v>
      </c>
      <c r="EU930" s="185">
        <f t="shared" si="4015"/>
        <v>3.0425827748249259</v>
      </c>
      <c r="EV930" s="4">
        <f t="shared" si="4015"/>
        <v>6.5471323506730439</v>
      </c>
      <c r="EW930" s="4">
        <f t="shared" si="4015"/>
        <v>6.9932331178903668</v>
      </c>
      <c r="EX930" s="185">
        <f t="shared" si="4015"/>
        <v>3.4991934132273723</v>
      </c>
      <c r="EY930" s="4">
        <f t="shared" ref="EY930:FA930" si="4016">EY888/(EY727*1000000)</f>
        <v>7.5300813749563851</v>
      </c>
      <c r="EZ930" s="4">
        <f t="shared" si="4016"/>
        <v>8.0435117394053268</v>
      </c>
      <c r="FA930" s="185">
        <f t="shared" si="4016"/>
        <v>4.024719728810477</v>
      </c>
      <c r="FH930" s="35"/>
      <c r="FI930" s="35"/>
      <c r="FJ930" s="35"/>
      <c r="FK930" s="35"/>
      <c r="FL930" s="35"/>
      <c r="FM930" s="35"/>
      <c r="FN930" s="35"/>
      <c r="FO930" s="35"/>
      <c r="FP930" s="35"/>
      <c r="FQ930" s="35"/>
    </row>
    <row r="931" spans="1:173" s="321" customFormat="1" hidden="1" outlineLevel="1">
      <c r="A931" s="1168"/>
      <c r="B931" s="186"/>
      <c r="C931" s="186" t="s">
        <v>317</v>
      </c>
      <c r="D931" s="910"/>
      <c r="E931" s="1"/>
      <c r="F931" s="1"/>
      <c r="G931" s="5"/>
      <c r="H931" s="1"/>
      <c r="I931" s="1"/>
      <c r="J931" s="5"/>
      <c r="K931" s="1"/>
      <c r="L931" s="1"/>
      <c r="M931" s="5"/>
      <c r="N931" s="1"/>
      <c r="O931" s="1"/>
      <c r="P931" s="5"/>
      <c r="Q931" s="1"/>
      <c r="R931" s="1"/>
      <c r="S931" s="5"/>
      <c r="T931" s="1"/>
      <c r="U931" s="1"/>
      <c r="V931" s="5"/>
      <c r="W931" s="1"/>
      <c r="X931" s="1"/>
      <c r="Y931" s="5"/>
      <c r="Z931" s="1"/>
      <c r="AA931" s="1"/>
      <c r="AB931" s="5"/>
      <c r="AC931" s="1"/>
      <c r="AD931" s="1"/>
      <c r="AE931" s="5"/>
      <c r="AF931" s="1"/>
      <c r="AG931" s="1"/>
      <c r="AH931" s="5"/>
      <c r="AI931" s="1"/>
      <c r="AJ931" s="1"/>
      <c r="AK931" s="5"/>
      <c r="AL931" s="1"/>
      <c r="AM931" s="1"/>
      <c r="AN931" s="5"/>
      <c r="AO931" s="1"/>
      <c r="AP931" s="1"/>
      <c r="AQ931" s="5"/>
      <c r="AR931" s="1"/>
      <c r="AS931" s="1"/>
      <c r="AT931" s="5"/>
      <c r="AU931" s="1"/>
      <c r="AV931" s="1"/>
      <c r="AW931" s="5"/>
      <c r="AX931" s="185">
        <f t="shared" ref="AX931:CC931" si="4017">AX889/(AX728*1000000)</f>
        <v>1.162728433587472E-2</v>
      </c>
      <c r="AY931" s="185">
        <f t="shared" si="4017"/>
        <v>1.3278124271146531E-2</v>
      </c>
      <c r="AZ931" s="185">
        <f t="shared" si="4017"/>
        <v>6.6360732125969176E-3</v>
      </c>
      <c r="BA931" s="4">
        <f t="shared" si="4017"/>
        <v>1.5005858426855449E-2</v>
      </c>
      <c r="BB931" s="4">
        <f t="shared" si="4017"/>
        <v>1.7107710228236362E-2</v>
      </c>
      <c r="BC931" s="971">
        <f t="shared" si="4017"/>
        <v>8.5500041463813445E-3</v>
      </c>
      <c r="BD931" s="4">
        <f t="shared" si="4017"/>
        <v>1.9334224303223888E-2</v>
      </c>
      <c r="BE931" s="4">
        <f t="shared" si="4017"/>
        <v>2.2165575578861001E-2</v>
      </c>
      <c r="BF931" s="971">
        <f t="shared" si="4017"/>
        <v>1.1077798289650352E-2</v>
      </c>
      <c r="BG931" s="4">
        <f t="shared" si="4017"/>
        <v>2.4642904422242044E-2</v>
      </c>
      <c r="BH931" s="4">
        <f t="shared" si="4017"/>
        <v>2.7545541232456443E-2</v>
      </c>
      <c r="BI931" s="971">
        <f t="shared" si="4017"/>
        <v>1.3766570079209263E-2</v>
      </c>
      <c r="BJ931" s="121">
        <f t="shared" si="4017"/>
        <v>3.0436605251146762E-2</v>
      </c>
      <c r="BK931" s="121">
        <f t="shared" si="4017"/>
        <v>3.3823747056842025E-2</v>
      </c>
      <c r="BL931" s="114">
        <f t="shared" si="4017"/>
        <v>1.6904259759137043E-2</v>
      </c>
      <c r="BM931" s="121">
        <f t="shared" si="4017"/>
        <v>3.7155786993249867E-2</v>
      </c>
      <c r="BN931" s="121">
        <f t="shared" si="4017"/>
        <v>4.1274961991376466E-2</v>
      </c>
      <c r="BO931" s="114">
        <f t="shared" si="4017"/>
        <v>2.0632836517456603E-2</v>
      </c>
      <c r="BP931" s="121">
        <f t="shared" si="4017"/>
        <v>4.5758442088502299E-2</v>
      </c>
      <c r="BQ931" s="121">
        <f t="shared" si="4017"/>
        <v>5.0562287546780126E-2</v>
      </c>
      <c r="BR931" s="114">
        <f t="shared" si="4017"/>
        <v>2.5275454235895112E-2</v>
      </c>
      <c r="BS931" s="4">
        <f t="shared" si="4017"/>
        <v>5.6358804950176047E-2</v>
      </c>
      <c r="BT931" s="4">
        <f t="shared" si="4017"/>
        <v>6.2620300372844537E-2</v>
      </c>
      <c r="BU931" s="185">
        <f t="shared" si="4017"/>
        <v>3.1303103817197246E-2</v>
      </c>
      <c r="BV931" s="4">
        <f t="shared" si="4017"/>
        <v>7.023718345379848E-2</v>
      </c>
      <c r="BW931" s="4">
        <f t="shared" si="4017"/>
        <v>7.8310994862227215E-2</v>
      </c>
      <c r="BX931" s="185">
        <f t="shared" si="4017"/>
        <v>3.9146685461498437E-2</v>
      </c>
      <c r="BY931" s="4">
        <f t="shared" si="4017"/>
        <v>8.679209547102755E-2</v>
      </c>
      <c r="BZ931" s="4">
        <f t="shared" si="4017"/>
        <v>9.5116837572384941E-2</v>
      </c>
      <c r="CA931" s="185">
        <f t="shared" si="4017"/>
        <v>4.7547715733778785E-2</v>
      </c>
      <c r="CB931" s="4">
        <f t="shared" si="4017"/>
        <v>0.10438043037390592</v>
      </c>
      <c r="CC931" s="4">
        <f t="shared" si="4017"/>
        <v>0.11452018540401107</v>
      </c>
      <c r="CD931" s="185">
        <f t="shared" ref="CD931:DI931" si="4018">CD889/(CD728*1000000)</f>
        <v>5.724720628170301E-2</v>
      </c>
      <c r="CE931" s="4">
        <f t="shared" si="4018"/>
        <v>0.12678062447338795</v>
      </c>
      <c r="CF931" s="4">
        <f t="shared" si="4018"/>
        <v>0.13914024227639959</v>
      </c>
      <c r="CG931" s="185">
        <f t="shared" si="4018"/>
        <v>6.9554464338163702E-2</v>
      </c>
      <c r="CH931" s="4">
        <f t="shared" si="4018"/>
        <v>0.15072666493781525</v>
      </c>
      <c r="CI931" s="4">
        <f t="shared" si="4018"/>
        <v>0.16329562519923285</v>
      </c>
      <c r="CJ931" s="185">
        <f t="shared" si="4018"/>
        <v>8.162943770743078E-2</v>
      </c>
      <c r="CK931" s="4">
        <f t="shared" si="4018"/>
        <v>0.17704957753512002</v>
      </c>
      <c r="CL931" s="4">
        <f t="shared" si="4018"/>
        <v>0.19104240588094948</v>
      </c>
      <c r="CM931" s="185">
        <f t="shared" si="4018"/>
        <v>9.5499705832963924E-2</v>
      </c>
      <c r="CN931" s="4">
        <f t="shared" si="4018"/>
        <v>0.20534051334693357</v>
      </c>
      <c r="CO931" s="4">
        <f t="shared" si="4018"/>
        <v>0.22236927606175547</v>
      </c>
      <c r="CP931" s="185">
        <f t="shared" si="4018"/>
        <v>0.11115961585733174</v>
      </c>
      <c r="CQ931" s="4">
        <f t="shared" si="4018"/>
        <v>0.23813612227839531</v>
      </c>
      <c r="CR931" s="4">
        <f t="shared" si="4018"/>
        <v>0.2574516652716432</v>
      </c>
      <c r="CS931" s="185">
        <f t="shared" si="4018"/>
        <v>0.12869686280526671</v>
      </c>
      <c r="CT931" s="4">
        <f t="shared" si="4018"/>
        <v>0.27583418652632341</v>
      </c>
      <c r="CU931" s="4">
        <f t="shared" si="4018"/>
        <v>0.29753990948939169</v>
      </c>
      <c r="CV931" s="185">
        <f t="shared" si="4018"/>
        <v>0.14873647397170442</v>
      </c>
      <c r="CW931" s="4">
        <f t="shared" si="4018"/>
        <v>0.3189718073661495</v>
      </c>
      <c r="CX931" s="4">
        <f t="shared" si="4018"/>
        <v>0.34427838880987982</v>
      </c>
      <c r="CY931" s="185">
        <f t="shared" si="4018"/>
        <v>0.17210045436969088</v>
      </c>
      <c r="CZ931" s="4">
        <f t="shared" si="4018"/>
        <v>0.36655672326287503</v>
      </c>
      <c r="DA931" s="4">
        <f t="shared" si="4018"/>
        <v>0.4000612409676369</v>
      </c>
      <c r="DB931" s="185">
        <f t="shared" si="4018"/>
        <v>0.19998560346538041</v>
      </c>
      <c r="DC931" s="4">
        <f t="shared" si="4018"/>
        <v>0.42627053483766064</v>
      </c>
      <c r="DD931" s="4">
        <f t="shared" si="4018"/>
        <v>0.45897369764297369</v>
      </c>
      <c r="DE931" s="185">
        <f t="shared" si="4018"/>
        <v>0.22943520266011569</v>
      </c>
      <c r="DF931" s="4">
        <f t="shared" si="4018"/>
        <v>0.49049467502568506</v>
      </c>
      <c r="DG931" s="4">
        <f t="shared" si="4018"/>
        <v>0.51656081660353492</v>
      </c>
      <c r="DH931" s="185">
        <f t="shared" si="4018"/>
        <v>0.25822228213151122</v>
      </c>
      <c r="DI931" s="4">
        <f t="shared" si="4018"/>
        <v>0.54466252345214072</v>
      </c>
      <c r="DJ931" s="4">
        <f t="shared" ref="DJ931:ER931" si="4019">DJ889/(DJ728*1000000)</f>
        <v>0.58062579294756744</v>
      </c>
      <c r="DK931" s="185">
        <f t="shared" si="4019"/>
        <v>0.29024756137167901</v>
      </c>
      <c r="DL931" s="4">
        <f t="shared" si="4019"/>
        <v>0.61565595514941907</v>
      </c>
      <c r="DM931" s="4">
        <f t="shared" si="4019"/>
        <v>0.65271380205253615</v>
      </c>
      <c r="DN931" s="185">
        <f t="shared" si="4019"/>
        <v>0.32628345419800087</v>
      </c>
      <c r="DO931" s="4">
        <f t="shared" si="4019"/>
        <v>0.69146714371653917</v>
      </c>
      <c r="DP931" s="4">
        <f t="shared" si="4019"/>
        <v>0.73459588426225364</v>
      </c>
      <c r="DQ931" s="185">
        <f t="shared" si="4019"/>
        <v>0.36721528149550425</v>
      </c>
      <c r="DR931" s="4">
        <f t="shared" si="4019"/>
        <v>0.78065992304100906</v>
      </c>
      <c r="DS931" s="4">
        <f t="shared" si="4019"/>
        <v>0.82992589506960912</v>
      </c>
      <c r="DT931" s="185">
        <f t="shared" si="4019"/>
        <v>0.41486955985938229</v>
      </c>
      <c r="DU931" s="4">
        <f t="shared" si="4019"/>
        <v>0.87977383449616586</v>
      </c>
      <c r="DV931" s="4">
        <f t="shared" si="4019"/>
        <v>0.9457035731304666</v>
      </c>
      <c r="DW931" s="185">
        <f t="shared" si="4019"/>
        <v>0.47274537096974706</v>
      </c>
      <c r="DX931" s="4">
        <f t="shared" si="4019"/>
        <v>1.0034109432473823</v>
      </c>
      <c r="DY931" s="4">
        <f t="shared" si="4019"/>
        <v>1.0802715970722121</v>
      </c>
      <c r="DZ931" s="185">
        <f t="shared" si="4019"/>
        <v>0.54001424063090675</v>
      </c>
      <c r="EA931" s="4">
        <f t="shared" si="4019"/>
        <v>1.1536169689433045</v>
      </c>
      <c r="EB931" s="4">
        <f t="shared" si="4019"/>
        <v>1.2407955405871347</v>
      </c>
      <c r="EC931" s="185">
        <f t="shared" si="4019"/>
        <v>0.6202581493805458</v>
      </c>
      <c r="ED931" s="4">
        <f t="shared" si="4019"/>
        <v>1.3255318006357633</v>
      </c>
      <c r="EE931" s="4">
        <f t="shared" si="4019"/>
        <v>1.4262502407623401</v>
      </c>
      <c r="EF931" s="185">
        <f t="shared" si="4019"/>
        <v>0.71296463111900032</v>
      </c>
      <c r="EG931" s="4">
        <f t="shared" si="4019"/>
        <v>1.5241469557321545</v>
      </c>
      <c r="EH931" s="4">
        <f t="shared" si="4019"/>
        <v>1.6405086742730668</v>
      </c>
      <c r="EI931" s="185">
        <f t="shared" si="4019"/>
        <v>0.82006973837595665</v>
      </c>
      <c r="EJ931" s="4">
        <f t="shared" si="4019"/>
        <v>1.7536103123566364</v>
      </c>
      <c r="EK931" s="4">
        <f t="shared" si="4019"/>
        <v>1.8880454830916453</v>
      </c>
      <c r="EL931" s="185">
        <f t="shared" si="4019"/>
        <v>0.94381028862706817</v>
      </c>
      <c r="EM931" s="4">
        <f t="shared" si="4019"/>
        <v>2.0187141197552694</v>
      </c>
      <c r="EN931" s="4">
        <f t="shared" si="4019"/>
        <v>2.1740304429390949</v>
      </c>
      <c r="EO931" s="185">
        <f t="shared" si="4019"/>
        <v>1.0867705880021867</v>
      </c>
      <c r="EP931" s="4">
        <f t="shared" si="4019"/>
        <v>2.3249951010795935</v>
      </c>
      <c r="EQ931" s="4">
        <f t="shared" si="4019"/>
        <v>2.504436452021487</v>
      </c>
      <c r="ER931" s="185">
        <f t="shared" si="4019"/>
        <v>1.2519364135020767</v>
      </c>
      <c r="ES931" s="4">
        <f t="shared" ref="ES931:EX931" si="4020">ES889/(ES728*1000000)</f>
        <v>2.6788501070956499</v>
      </c>
      <c r="ET931" s="4">
        <f t="shared" si="4020"/>
        <v>2.8861642957712115</v>
      </c>
      <c r="EU931" s="185">
        <f t="shared" si="4020"/>
        <v>1.4427573813298564</v>
      </c>
      <c r="EV931" s="4">
        <f t="shared" si="4020"/>
        <v>3.0876697366482131</v>
      </c>
      <c r="EW931" s="4">
        <f t="shared" si="4020"/>
        <v>3.3271867937384854</v>
      </c>
      <c r="EX931" s="185">
        <f t="shared" si="4020"/>
        <v>1.663219004116578</v>
      </c>
      <c r="EY931" s="4">
        <f t="shared" ref="EY931:FA931" si="4021">EY889/(EY728*1000000)</f>
        <v>3.5599927150081006</v>
      </c>
      <c r="EZ931" s="4">
        <f t="shared" si="4021"/>
        <v>3.8367153396420117</v>
      </c>
      <c r="FA931" s="185">
        <f t="shared" si="4021"/>
        <v>1.9179259422065829</v>
      </c>
      <c r="FH931" s="35"/>
      <c r="FI931" s="35"/>
      <c r="FJ931" s="35"/>
      <c r="FK931" s="35"/>
      <c r="FL931" s="35"/>
      <c r="FM931" s="35"/>
      <c r="FN931" s="35"/>
      <c r="FO931" s="35"/>
      <c r="FP931" s="35"/>
      <c r="FQ931" s="35"/>
    </row>
    <row r="932" spans="1:173" s="321" customFormat="1" hidden="1" outlineLevel="1">
      <c r="A932" s="1168"/>
      <c r="B932" s="186"/>
      <c r="C932" s="186" t="s">
        <v>431</v>
      </c>
      <c r="D932" s="910"/>
      <c r="E932" s="1"/>
      <c r="F932" s="1"/>
      <c r="G932" s="5"/>
      <c r="H932" s="1"/>
      <c r="I932" s="1"/>
      <c r="J932" s="5"/>
      <c r="K932" s="1"/>
      <c r="L932" s="1"/>
      <c r="M932" s="5"/>
      <c r="N932" s="1"/>
      <c r="O932" s="1"/>
      <c r="P932" s="5"/>
      <c r="Q932" s="1"/>
      <c r="R932" s="1"/>
      <c r="S932" s="5"/>
      <c r="T932" s="1"/>
      <c r="U932" s="1"/>
      <c r="V932" s="5"/>
      <c r="W932" s="1"/>
      <c r="X932" s="1"/>
      <c r="Y932" s="5"/>
      <c r="Z932" s="1"/>
      <c r="AA932" s="1"/>
      <c r="AB932" s="5"/>
      <c r="AC932" s="1"/>
      <c r="AD932" s="1"/>
      <c r="AE932" s="5"/>
      <c r="AF932" s="1"/>
      <c r="AG932" s="1"/>
      <c r="AH932" s="5"/>
      <c r="AI932" s="1"/>
      <c r="AJ932" s="1"/>
      <c r="AK932" s="5"/>
      <c r="AL932" s="1"/>
      <c r="AM932" s="1"/>
      <c r="AN932" s="5"/>
      <c r="AO932" s="1"/>
      <c r="AP932" s="1"/>
      <c r="AQ932" s="5"/>
      <c r="AR932" s="1"/>
      <c r="AS932" s="1"/>
      <c r="AT932" s="5"/>
      <c r="AU932" s="1"/>
      <c r="AV932" s="1"/>
      <c r="AW932" s="5"/>
      <c r="AX932" s="185">
        <f t="shared" ref="AX932:CC932" si="4022">AX890/(AX729*1000000)</f>
        <v>4.3460593483650098E-3</v>
      </c>
      <c r="AY932" s="185">
        <f t="shared" si="4022"/>
        <v>4.5273871636366259E-3</v>
      </c>
      <c r="AZ932" s="185">
        <f t="shared" si="4022"/>
        <v>2.2709142949979564E-3</v>
      </c>
      <c r="BA932" s="4">
        <f t="shared" si="4022"/>
        <v>5.0527712335185319E-3</v>
      </c>
      <c r="BB932" s="4">
        <f t="shared" si="4022"/>
        <v>5.2828260390776569E-3</v>
      </c>
      <c r="BC932" s="971">
        <f t="shared" si="4022"/>
        <v>2.6498385794097661E-3</v>
      </c>
      <c r="BD932" s="4">
        <f t="shared" si="4022"/>
        <v>5.9583247997161588E-3</v>
      </c>
      <c r="BE932" s="4">
        <f t="shared" si="4022"/>
        <v>6.5274420440521574E-3</v>
      </c>
      <c r="BF932" s="971">
        <f t="shared" si="4022"/>
        <v>3.2741316153977722E-3</v>
      </c>
      <c r="BG932" s="4">
        <f t="shared" si="4022"/>
        <v>7.1872847174274156E-3</v>
      </c>
      <c r="BH932" s="4">
        <f t="shared" si="4022"/>
        <v>8.090870223941676E-3</v>
      </c>
      <c r="BI932" s="971">
        <f t="shared" si="4022"/>
        <v>4.0583392112115736E-3</v>
      </c>
      <c r="BJ932" s="121">
        <f t="shared" si="4022"/>
        <v>8.9193971051570523E-3</v>
      </c>
      <c r="BK932" s="121">
        <f t="shared" si="4022"/>
        <v>9.7708633120471844E-3</v>
      </c>
      <c r="BL932" s="114">
        <f t="shared" si="4022"/>
        <v>4.9010151700778935E-3</v>
      </c>
      <c r="BM932" s="121">
        <f t="shared" si="4022"/>
        <v>1.069040487503971E-2</v>
      </c>
      <c r="BN932" s="121">
        <f t="shared" si="4022"/>
        <v>1.1850860294211455E-2</v>
      </c>
      <c r="BO932" s="114">
        <f t="shared" si="4022"/>
        <v>5.9348956904717119E-3</v>
      </c>
      <c r="BP932" s="121">
        <f t="shared" si="4022"/>
        <v>1.308355085157179E-2</v>
      </c>
      <c r="BQ932" s="121">
        <f t="shared" si="4022"/>
        <v>1.4361642730583275E-2</v>
      </c>
      <c r="BR932" s="114">
        <f t="shared" si="4022"/>
        <v>7.1922923259390686E-3</v>
      </c>
      <c r="BS932" s="4">
        <f t="shared" si="4022"/>
        <v>1.59281113506698E-2</v>
      </c>
      <c r="BT932" s="4">
        <f t="shared" si="4022"/>
        <v>1.7613295119893006E-2</v>
      </c>
      <c r="BU932" s="185">
        <f t="shared" si="4022"/>
        <v>8.8207156870390713E-3</v>
      </c>
      <c r="BV932" s="4">
        <f t="shared" si="4022"/>
        <v>1.935882573870075E-2</v>
      </c>
      <c r="BW932" s="4">
        <f t="shared" si="4022"/>
        <v>2.1416052900539707E-2</v>
      </c>
      <c r="BX932" s="185">
        <f t="shared" si="4022"/>
        <v>1.0725131923832586E-2</v>
      </c>
      <c r="BY932" s="4">
        <f t="shared" si="4022"/>
        <v>2.3148808595311338E-2</v>
      </c>
      <c r="BZ932" s="4">
        <f t="shared" si="4022"/>
        <v>2.5420617883325797E-2</v>
      </c>
      <c r="CA932" s="185">
        <f t="shared" si="4022"/>
        <v>1.2730612949556928E-2</v>
      </c>
      <c r="CB932" s="4">
        <f t="shared" si="4022"/>
        <v>2.7405280771291014E-2</v>
      </c>
      <c r="CC932" s="4">
        <f t="shared" si="4022"/>
        <v>3.0279728331923803E-2</v>
      </c>
      <c r="CD932" s="185">
        <f t="shared" ref="CD932:DI932" si="4023">CD890/(CD729*1000000)</f>
        <v>1.5164049252488997E-2</v>
      </c>
      <c r="CE932" s="4">
        <f t="shared" si="4023"/>
        <v>3.2898457704932958E-2</v>
      </c>
      <c r="CF932" s="4">
        <f t="shared" si="4023"/>
        <v>3.638070696092463E-2</v>
      </c>
      <c r="CG932" s="185">
        <f t="shared" si="4023"/>
        <v>1.8219411553114816E-2</v>
      </c>
      <c r="CH932" s="4">
        <f t="shared" si="4023"/>
        <v>3.9393298075372243E-2</v>
      </c>
      <c r="CI932" s="4">
        <f t="shared" si="4023"/>
        <v>4.2886251039638265E-2</v>
      </c>
      <c r="CJ932" s="185">
        <f t="shared" si="4023"/>
        <v>2.1477379713940249E-2</v>
      </c>
      <c r="CK932" s="4">
        <f t="shared" si="4023"/>
        <v>4.9544508550188229E-2</v>
      </c>
      <c r="CL932" s="4">
        <f t="shared" si="4023"/>
        <v>5.5079105205222106E-2</v>
      </c>
      <c r="CM932" s="185">
        <f t="shared" si="4023"/>
        <v>2.7583545498142382E-2</v>
      </c>
      <c r="CN932" s="4">
        <f t="shared" si="4023"/>
        <v>5.8810265887418667E-2</v>
      </c>
      <c r="CO932" s="4">
        <f t="shared" si="4023"/>
        <v>6.431711472291872E-2</v>
      </c>
      <c r="CP932" s="185">
        <f t="shared" si="4023"/>
        <v>3.2209928858841885E-2</v>
      </c>
      <c r="CQ932" s="4">
        <f t="shared" si="4023"/>
        <v>6.6099194161505101E-2</v>
      </c>
      <c r="CR932" s="4">
        <f t="shared" si="4023"/>
        <v>7.1097432590150555E-2</v>
      </c>
      <c r="CS932" s="185">
        <f t="shared" si="4023"/>
        <v>3.5605503381808623E-2</v>
      </c>
      <c r="CT932" s="4">
        <f t="shared" si="4023"/>
        <v>7.7015581497227523E-2</v>
      </c>
      <c r="CU932" s="4">
        <f t="shared" si="4023"/>
        <v>8.1724336200503581E-2</v>
      </c>
      <c r="CV932" s="185">
        <f t="shared" si="4023"/>
        <v>4.0927443129165936E-2</v>
      </c>
      <c r="CW932" s="4">
        <f t="shared" si="4023"/>
        <v>8.7210880010802308E-2</v>
      </c>
      <c r="CX932" s="4">
        <f t="shared" si="4023"/>
        <v>9.079901778726604E-2</v>
      </c>
      <c r="CY932" s="185">
        <f t="shared" si="4023"/>
        <v>4.5472032070779399E-2</v>
      </c>
      <c r="CZ932" s="4">
        <f t="shared" si="4023"/>
        <v>9.4150814388513054E-2</v>
      </c>
      <c r="DA932" s="4">
        <f t="shared" si="4023"/>
        <v>9.9376308721657106E-2</v>
      </c>
      <c r="DB932" s="185">
        <f t="shared" si="4023"/>
        <v>4.9767528409328278E-2</v>
      </c>
      <c r="DC932" s="4">
        <f t="shared" si="4023"/>
        <v>0.10377268776781486</v>
      </c>
      <c r="DD932" s="4">
        <f t="shared" si="4023"/>
        <v>0.1084730751444382</v>
      </c>
      <c r="DE932" s="185">
        <f t="shared" si="4023"/>
        <v>5.4323177408596442E-2</v>
      </c>
      <c r="DF932" s="4">
        <f t="shared" si="4023"/>
        <v>0.11427064759380352</v>
      </c>
      <c r="DG932" s="4">
        <f t="shared" si="4023"/>
        <v>0.11728213929348413</v>
      </c>
      <c r="DH932" s="185">
        <f t="shared" si="4023"/>
        <v>5.8734745476848683E-2</v>
      </c>
      <c r="DI932" s="4">
        <f t="shared" si="4023"/>
        <v>0.12485790625623361</v>
      </c>
      <c r="DJ932" s="4">
        <f t="shared" ref="DJ932:ER932" si="4024">DJ890/(DJ729*1000000)</f>
        <v>0.13252577415190792</v>
      </c>
      <c r="DK932" s="185">
        <f t="shared" si="4024"/>
        <v>6.6368738333263774E-2</v>
      </c>
      <c r="DL932" s="4">
        <f t="shared" si="4024"/>
        <v>0.14092765089019807</v>
      </c>
      <c r="DM932" s="4">
        <f t="shared" si="4024"/>
        <v>0.1497994022661053</v>
      </c>
      <c r="DN932" s="185">
        <f t="shared" si="4024"/>
        <v>7.5019349217929743E-2</v>
      </c>
      <c r="DO932" s="4">
        <f t="shared" si="4024"/>
        <v>0.16046843122851906</v>
      </c>
      <c r="DP932" s="4">
        <f t="shared" si="4024"/>
        <v>0.17099331991602024</v>
      </c>
      <c r="DQ932" s="185">
        <f t="shared" si="4024"/>
        <v>8.5633236092128348E-2</v>
      </c>
      <c r="DR932" s="4">
        <f t="shared" si="4024"/>
        <v>0.18210700922259454</v>
      </c>
      <c r="DS932" s="4">
        <f t="shared" si="4024"/>
        <v>0.19399445678041249</v>
      </c>
      <c r="DT932" s="185">
        <f t="shared" si="4024"/>
        <v>9.7152176039391872E-2</v>
      </c>
      <c r="DU932" s="4">
        <f t="shared" si="4024"/>
        <v>0.20936462856791732</v>
      </c>
      <c r="DV932" s="4">
        <f t="shared" si="4024"/>
        <v>0.22413735265314255</v>
      </c>
      <c r="DW932" s="185">
        <f t="shared" si="4024"/>
        <v>0.11224769977118243</v>
      </c>
      <c r="DX932" s="4">
        <f t="shared" si="4024"/>
        <v>0.23958277220409949</v>
      </c>
      <c r="DY932" s="4">
        <f t="shared" si="4024"/>
        <v>0.2566906893207147</v>
      </c>
      <c r="DZ932" s="185">
        <f t="shared" si="4024"/>
        <v>0.12855036917259438</v>
      </c>
      <c r="EA932" s="4">
        <f t="shared" si="4024"/>
        <v>0.27627769297218785</v>
      </c>
      <c r="EB932" s="4">
        <f t="shared" si="4024"/>
        <v>0.2955188886052329</v>
      </c>
      <c r="EC932" s="185">
        <f t="shared" si="4024"/>
        <v>0.14799548175357913</v>
      </c>
      <c r="ED932" s="4">
        <f t="shared" si="4024"/>
        <v>0.31798082738918731</v>
      </c>
      <c r="EE932" s="4">
        <f t="shared" si="4024"/>
        <v>0.34004615024320722</v>
      </c>
      <c r="EF932" s="185">
        <f t="shared" si="4024"/>
        <v>0.17029467747802793</v>
      </c>
      <c r="EG932" s="4">
        <f t="shared" si="4024"/>
        <v>0.36580554054921816</v>
      </c>
      <c r="EH932" s="4">
        <f t="shared" si="4024"/>
        <v>0.39111004032701924</v>
      </c>
      <c r="EI932" s="185">
        <f t="shared" si="4024"/>
        <v>0.19586740837463346</v>
      </c>
      <c r="EJ932" s="4">
        <f t="shared" si="4024"/>
        <v>0.42065149044928518</v>
      </c>
      <c r="EK932" s="4">
        <f t="shared" si="4024"/>
        <v>0.44967121147144745</v>
      </c>
      <c r="EL932" s="185">
        <f t="shared" si="4024"/>
        <v>0.22519476804520569</v>
      </c>
      <c r="EM932" s="4">
        <f t="shared" si="4024"/>
        <v>0.48355054649478996</v>
      </c>
      <c r="EN932" s="4">
        <f t="shared" si="4024"/>
        <v>0.51683149133088391</v>
      </c>
      <c r="EO932" s="185">
        <f t="shared" si="4024"/>
        <v>0.25882855037097779</v>
      </c>
      <c r="EP932" s="4">
        <f t="shared" si="4024"/>
        <v>0.5556862189892352</v>
      </c>
      <c r="EQ932" s="4">
        <f t="shared" si="4024"/>
        <v>0.59385462936389055</v>
      </c>
      <c r="ER932" s="185">
        <f t="shared" si="4024"/>
        <v>0.29740163946578224</v>
      </c>
      <c r="ES932" s="4">
        <f t="shared" ref="ES932:EX932" si="4025">ES890/(ES729*1000000)</f>
        <v>0.63841594393753665</v>
      </c>
      <c r="ET932" s="4">
        <f t="shared" si="4025"/>
        <v>0.68219009249507934</v>
      </c>
      <c r="EU932" s="185">
        <f t="shared" si="4025"/>
        <v>0.34163992651311081</v>
      </c>
      <c r="EV932" s="4">
        <f t="shared" si="4025"/>
        <v>0.73329664277333506</v>
      </c>
      <c r="EW932" s="4">
        <f t="shared" si="4025"/>
        <v>0.78350035773333182</v>
      </c>
      <c r="EX932" s="185">
        <f t="shared" si="4025"/>
        <v>0.39237597787444012</v>
      </c>
      <c r="EY932" s="4">
        <f t="shared" ref="EY932:FA932" si="4026">EY890/(EY729*1000000)</f>
        <v>0.84211403828569298</v>
      </c>
      <c r="EZ932" s="4">
        <f t="shared" si="4026"/>
        <v>0.89969221565110979</v>
      </c>
      <c r="FA932" s="185">
        <f t="shared" si="4026"/>
        <v>0.45056471183166602</v>
      </c>
      <c r="FH932" s="35"/>
      <c r="FI932" s="35"/>
      <c r="FJ932" s="35"/>
      <c r="FK932" s="35"/>
      <c r="FL932" s="35"/>
      <c r="FM932" s="35"/>
      <c r="FN932" s="35"/>
      <c r="FO932" s="35"/>
      <c r="FP932" s="35"/>
      <c r="FQ932" s="35"/>
    </row>
    <row r="933" spans="1:173" s="321" customFormat="1" hidden="1" outlineLevel="1">
      <c r="A933" s="1168"/>
      <c r="B933" s="186"/>
      <c r="C933" s="186" t="s">
        <v>327</v>
      </c>
      <c r="D933" s="910"/>
      <c r="E933" s="1"/>
      <c r="F933" s="1"/>
      <c r="G933" s="5"/>
      <c r="H933" s="1"/>
      <c r="I933" s="1"/>
      <c r="J933" s="5"/>
      <c r="K933" s="1"/>
      <c r="L933" s="1"/>
      <c r="M933" s="5"/>
      <c r="N933" s="1"/>
      <c r="O933" s="1"/>
      <c r="P933" s="5"/>
      <c r="Q933" s="1"/>
      <c r="R933" s="1"/>
      <c r="S933" s="5"/>
      <c r="T933" s="1"/>
      <c r="U933" s="1"/>
      <c r="V933" s="5"/>
      <c r="W933" s="1"/>
      <c r="X933" s="1"/>
      <c r="Y933" s="5"/>
      <c r="Z933" s="1"/>
      <c r="AA933" s="1"/>
      <c r="AB933" s="5"/>
      <c r="AC933" s="1"/>
      <c r="AD933" s="1"/>
      <c r="AE933" s="5"/>
      <c r="AF933" s="1"/>
      <c r="AG933" s="1"/>
      <c r="AH933" s="5"/>
      <c r="AI933" s="1"/>
      <c r="AJ933" s="1"/>
      <c r="AK933" s="5"/>
      <c r="AL933" s="1"/>
      <c r="AM933" s="1"/>
      <c r="AN933" s="5"/>
      <c r="AO933" s="1"/>
      <c r="AP933" s="1"/>
      <c r="AQ933" s="5"/>
      <c r="AR933" s="1"/>
      <c r="AS933" s="1"/>
      <c r="AT933" s="5"/>
      <c r="AU933" s="1"/>
      <c r="AV933" s="1"/>
      <c r="AW933" s="5"/>
      <c r="AX933" s="185">
        <f t="shared" ref="AX933:CC933" si="4027">AX891/(AX730*1000000)</f>
        <v>1.3760770753459982E-2</v>
      </c>
      <c r="AY933" s="185">
        <f t="shared" si="4027"/>
        <v>1.5248094285755822E-2</v>
      </c>
      <c r="AZ933" s="185">
        <f t="shared" si="4027"/>
        <v>7.6358076896461775E-3</v>
      </c>
      <c r="BA933" s="4">
        <f t="shared" si="4027"/>
        <v>1.6888675495032906E-2</v>
      </c>
      <c r="BB933" s="4">
        <f t="shared" si="4027"/>
        <v>1.8768255749414087E-2</v>
      </c>
      <c r="BC933" s="971">
        <f t="shared" si="4027"/>
        <v>9.3986976888121194E-3</v>
      </c>
      <c r="BD933" s="4">
        <f t="shared" si="4027"/>
        <v>2.0810624550700072E-2</v>
      </c>
      <c r="BE933" s="4">
        <f t="shared" si="4027"/>
        <v>2.3242767405174197E-2</v>
      </c>
      <c r="BF933" s="971">
        <f t="shared" si="4027"/>
        <v>1.1639543630172416E-2</v>
      </c>
      <c r="BG933" s="4">
        <f t="shared" si="4027"/>
        <v>2.5631310180233645E-2</v>
      </c>
      <c r="BH933" s="4">
        <f t="shared" si="4027"/>
        <v>2.8363489360573244E-2</v>
      </c>
      <c r="BI933" s="971">
        <f t="shared" si="4027"/>
        <v>1.4204047525016826E-2</v>
      </c>
      <c r="BJ933" s="121">
        <f t="shared" si="4027"/>
        <v>3.0939005430993829E-2</v>
      </c>
      <c r="BK933" s="121">
        <f t="shared" si="4027"/>
        <v>3.4074142347206848E-2</v>
      </c>
      <c r="BL933" s="114">
        <f t="shared" si="4027"/>
        <v>1.7064034789621992E-2</v>
      </c>
      <c r="BM933" s="121">
        <f t="shared" si="4027"/>
        <v>3.744610454199121E-2</v>
      </c>
      <c r="BN933" s="121">
        <f t="shared" si="4027"/>
        <v>4.1297756631817485E-2</v>
      </c>
      <c r="BO933" s="114">
        <f t="shared" si="4027"/>
        <v>2.0665308646585105E-2</v>
      </c>
      <c r="BP933" s="121">
        <f t="shared" si="4027"/>
        <v>4.5946451785354558E-2</v>
      </c>
      <c r="BQ933" s="121">
        <f t="shared" si="4027"/>
        <v>5.0440958471793175E-2</v>
      </c>
      <c r="BR933" s="114">
        <f t="shared" si="4027"/>
        <v>2.5240610277921252E-2</v>
      </c>
      <c r="BS933" s="4">
        <f t="shared" si="4027"/>
        <v>5.6423710968827263E-2</v>
      </c>
      <c r="BT933" s="4">
        <f t="shared" si="4027"/>
        <v>6.2392062433279376E-2</v>
      </c>
      <c r="BU933" s="185">
        <f t="shared" si="4027"/>
        <v>3.1221009924635865E-2</v>
      </c>
      <c r="BV933" s="4">
        <f t="shared" si="4027"/>
        <v>6.9510636184843017E-2</v>
      </c>
      <c r="BW933" s="4">
        <f t="shared" si="4027"/>
        <v>7.6771448080225818E-2</v>
      </c>
      <c r="BX933" s="185">
        <f t="shared" si="4027"/>
        <v>3.8416555401606434E-2</v>
      </c>
      <c r="BY933" s="4">
        <f t="shared" si="4027"/>
        <v>8.4466090002831659E-2</v>
      </c>
      <c r="BZ933" s="4">
        <f t="shared" si="4027"/>
        <v>9.2207238344025319E-2</v>
      </c>
      <c r="CA933" s="185">
        <f t="shared" si="4027"/>
        <v>4.6140764566945831E-2</v>
      </c>
      <c r="CB933" s="4">
        <f t="shared" si="4027"/>
        <v>0.1008896302460715</v>
      </c>
      <c r="CC933" s="4">
        <f t="shared" si="4027"/>
        <v>0.1106920747716648</v>
      </c>
      <c r="CD933" s="185">
        <f t="shared" ref="CD933:DI933" si="4028">CD891/(CD730*1000000)</f>
        <v>5.5390767309318481E-2</v>
      </c>
      <c r="CE933" s="4">
        <f t="shared" si="4028"/>
        <v>0.12164152436200305</v>
      </c>
      <c r="CF933" s="4">
        <f t="shared" si="4028"/>
        <v>0.13354291023805545</v>
      </c>
      <c r="CG933" s="185">
        <f t="shared" si="4028"/>
        <v>6.682558521646921E-2</v>
      </c>
      <c r="CH933" s="4">
        <f t="shared" si="4028"/>
        <v>0.14393128715419978</v>
      </c>
      <c r="CI933" s="4">
        <f t="shared" si="4028"/>
        <v>0.15594019758587066</v>
      </c>
      <c r="CJ933" s="185">
        <f t="shared" si="4028"/>
        <v>7.803350139698953E-2</v>
      </c>
      <c r="CK933" s="4">
        <f t="shared" si="4028"/>
        <v>0.16947665748204427</v>
      </c>
      <c r="CL933" s="4">
        <f t="shared" si="4028"/>
        <v>0.18241380664761142</v>
      </c>
      <c r="CM933" s="185">
        <f t="shared" si="4028"/>
        <v>9.1281296393125586E-2</v>
      </c>
      <c r="CN933" s="4">
        <f t="shared" si="4028"/>
        <v>0.19498902424066913</v>
      </c>
      <c r="CO933" s="4">
        <f t="shared" si="4028"/>
        <v>0.21015453408282297</v>
      </c>
      <c r="CP933" s="185">
        <f t="shared" si="4028"/>
        <v>0.10516323448622136</v>
      </c>
      <c r="CQ933" s="4">
        <f t="shared" si="4028"/>
        <v>0.22381517675921705</v>
      </c>
      <c r="CR933" s="4">
        <f t="shared" si="4028"/>
        <v>0.2410304353529211</v>
      </c>
      <c r="CS933" s="185">
        <f t="shared" si="4028"/>
        <v>0.12061411450512081</v>
      </c>
      <c r="CT933" s="4">
        <f t="shared" si="4028"/>
        <v>0.25863386921380005</v>
      </c>
      <c r="CU933" s="4">
        <f t="shared" si="4028"/>
        <v>0.27720096482085649</v>
      </c>
      <c r="CV933" s="185">
        <f t="shared" si="4028"/>
        <v>0.13871456390467216</v>
      </c>
      <c r="CW933" s="4">
        <f t="shared" si="4028"/>
        <v>0.2979687353544711</v>
      </c>
      <c r="CX933" s="4">
        <f t="shared" si="4028"/>
        <v>0.31901316739935925</v>
      </c>
      <c r="CY933" s="185">
        <f t="shared" si="4028"/>
        <v>0.15963826794775163</v>
      </c>
      <c r="CZ933" s="4">
        <f t="shared" si="4028"/>
        <v>0.3410567714699031</v>
      </c>
      <c r="DA933" s="4">
        <f t="shared" si="4028"/>
        <v>0.36709957280376149</v>
      </c>
      <c r="DB933" s="185">
        <f t="shared" si="4028"/>
        <v>0.18370177417122444</v>
      </c>
      <c r="DC933" s="4">
        <f t="shared" si="4028"/>
        <v>0.39122543827314343</v>
      </c>
      <c r="DD933" s="4">
        <f t="shared" si="4028"/>
        <v>0.41583460351057833</v>
      </c>
      <c r="DE933" s="185">
        <f t="shared" si="4028"/>
        <v>0.20808998083799099</v>
      </c>
      <c r="DF933" s="4">
        <f t="shared" si="4028"/>
        <v>0.44447532087240721</v>
      </c>
      <c r="DG933" s="4">
        <f t="shared" si="4028"/>
        <v>0.46345760082282422</v>
      </c>
      <c r="DH933" s="185">
        <f t="shared" si="4028"/>
        <v>0.23192182750762211</v>
      </c>
      <c r="DI933" s="4">
        <f t="shared" si="4028"/>
        <v>0.49083501658984063</v>
      </c>
      <c r="DJ933" s="4">
        <f t="shared" ref="DJ933:ER933" si="4029">DJ891/(DJ730*1000000)</f>
        <v>0.52075468683742443</v>
      </c>
      <c r="DK933" s="185">
        <f t="shared" si="4029"/>
        <v>0.26059487656869645</v>
      </c>
      <c r="DL933" s="4">
        <f t="shared" si="4029"/>
        <v>0.55155090351854086</v>
      </c>
      <c r="DM933" s="4">
        <f t="shared" si="4029"/>
        <v>0.58389603465265549</v>
      </c>
      <c r="DN933" s="185">
        <f t="shared" si="4029"/>
        <v>0.29219264558642449</v>
      </c>
      <c r="DO933" s="4">
        <f t="shared" si="4029"/>
        <v>0.62116611198625005</v>
      </c>
      <c r="DP933" s="4">
        <f t="shared" si="4029"/>
        <v>0.66143703244279073</v>
      </c>
      <c r="DQ933" s="185">
        <f t="shared" si="4029"/>
        <v>0.33099644486447305</v>
      </c>
      <c r="DR933" s="4">
        <f t="shared" si="4029"/>
        <v>0.70671504983408484</v>
      </c>
      <c r="DS933" s="4">
        <f t="shared" si="4029"/>
        <v>0.75074614386550531</v>
      </c>
      <c r="DT933" s="185">
        <f t="shared" si="4029"/>
        <v>0.3756894500857853</v>
      </c>
      <c r="DU933" s="4">
        <f t="shared" si="4029"/>
        <v>0.80021155513160802</v>
      </c>
      <c r="DV933" s="4">
        <f t="shared" si="4029"/>
        <v>0.85595037238052452</v>
      </c>
      <c r="DW933" s="185">
        <f t="shared" si="4029"/>
        <v>0.42833695025708196</v>
      </c>
      <c r="DX933" s="4">
        <f t="shared" si="4029"/>
        <v>0.91180602529757526</v>
      </c>
      <c r="DY933" s="4">
        <f t="shared" si="4029"/>
        <v>0.97654112829047268</v>
      </c>
      <c r="DZ933" s="185">
        <f t="shared" si="4029"/>
        <v>0.48868449304725786</v>
      </c>
      <c r="EA933" s="4">
        <f t="shared" si="4029"/>
        <v>1.0474591243817741</v>
      </c>
      <c r="EB933" s="4">
        <f t="shared" si="4029"/>
        <v>1.1205283296341377</v>
      </c>
      <c r="EC933" s="185">
        <f t="shared" si="4029"/>
        <v>0.5607404985557144</v>
      </c>
      <c r="ED933" s="4">
        <f t="shared" si="4029"/>
        <v>1.20211095868174</v>
      </c>
      <c r="EE933" s="4">
        <f t="shared" si="4029"/>
        <v>1.2861675048354937</v>
      </c>
      <c r="EF933" s="185">
        <f t="shared" si="4029"/>
        <v>0.64363207263539313</v>
      </c>
      <c r="EG933" s="4">
        <f t="shared" si="4029"/>
        <v>1.3800168781262525</v>
      </c>
      <c r="EH933" s="4">
        <f t="shared" si="4029"/>
        <v>1.4767112598031713</v>
      </c>
      <c r="EI933" s="185">
        <f t="shared" si="4029"/>
        <v>0.73898698760739023</v>
      </c>
      <c r="EJ933" s="4">
        <f t="shared" si="4029"/>
        <v>1.584670032748132</v>
      </c>
      <c r="EK933" s="4">
        <f t="shared" si="4029"/>
        <v>1.6959005387897008</v>
      </c>
      <c r="EL933" s="185">
        <f t="shared" si="4029"/>
        <v>0.84867741002605224</v>
      </c>
      <c r="EM933" s="4">
        <f t="shared" si="4029"/>
        <v>1.8200880065303893</v>
      </c>
      <c r="EN933" s="4">
        <f t="shared" si="4029"/>
        <v>1.94803790141973</v>
      </c>
      <c r="EO933" s="185">
        <f t="shared" si="4029"/>
        <v>0.97485657362546119</v>
      </c>
      <c r="EP933" s="4">
        <f t="shared" si="4029"/>
        <v>2.0908915078802117</v>
      </c>
      <c r="EQ933" s="4">
        <f t="shared" si="4029"/>
        <v>2.2380717891407818</v>
      </c>
      <c r="ER933" s="185">
        <f t="shared" si="4029"/>
        <v>1.1200009522390115</v>
      </c>
      <c r="ES933" s="4">
        <f t="shared" ref="ES933:EX933" si="4030">ES891/(ES730*1000000)</f>
        <v>2.4023948609644403</v>
      </c>
      <c r="ET933" s="4">
        <f t="shared" si="4030"/>
        <v>2.5716934282901991</v>
      </c>
      <c r="EU933" s="185">
        <f t="shared" si="4030"/>
        <v>1.2869587570920804</v>
      </c>
      <c r="EV933" s="4">
        <f t="shared" si="4030"/>
        <v>2.760710066663751</v>
      </c>
      <c r="EW933" s="4">
        <f t="shared" si="4030"/>
        <v>2.9554482637349833</v>
      </c>
      <c r="EX933" s="185">
        <f t="shared" si="4030"/>
        <v>1.4790057063718032</v>
      </c>
      <c r="EY933" s="4">
        <f t="shared" ref="EY933:FA933" si="4031">EY891/(EY730*1000000)</f>
        <v>3.1728664668678697</v>
      </c>
      <c r="EZ933" s="4">
        <f t="shared" si="4031"/>
        <v>3.3968641007517717</v>
      </c>
      <c r="FA933" s="185">
        <f t="shared" si="4031"/>
        <v>1.6999091569743374</v>
      </c>
      <c r="FH933" s="35"/>
      <c r="FI933" s="35"/>
      <c r="FJ933" s="35"/>
      <c r="FK933" s="35"/>
      <c r="FL933" s="35"/>
      <c r="FM933" s="35"/>
      <c r="FN933" s="35"/>
      <c r="FO933" s="35"/>
      <c r="FP933" s="35"/>
      <c r="FQ933" s="35"/>
    </row>
    <row r="934" spans="1:173" s="321" customFormat="1" hidden="1" outlineLevel="1">
      <c r="A934" s="1168"/>
      <c r="B934" s="186"/>
      <c r="C934" s="186"/>
      <c r="D934" s="910"/>
      <c r="E934" s="1"/>
      <c r="F934" s="1"/>
      <c r="G934" s="5"/>
      <c r="H934" s="1"/>
      <c r="I934" s="1"/>
      <c r="J934" s="5"/>
      <c r="K934" s="1"/>
      <c r="L934" s="1"/>
      <c r="M934" s="5"/>
      <c r="N934" s="1"/>
      <c r="O934" s="1"/>
      <c r="P934" s="5"/>
      <c r="Q934" s="1"/>
      <c r="R934" s="1"/>
      <c r="S934" s="5"/>
      <c r="T934" s="1"/>
      <c r="U934" s="1"/>
      <c r="V934" s="5"/>
      <c r="W934" s="1"/>
      <c r="X934" s="1"/>
      <c r="Y934" s="5"/>
      <c r="Z934" s="1"/>
      <c r="AA934" s="1"/>
      <c r="AB934" s="5"/>
      <c r="AC934" s="1"/>
      <c r="AD934" s="1"/>
      <c r="AE934" s="5"/>
      <c r="AF934" s="1"/>
      <c r="AG934" s="1"/>
      <c r="AH934" s="5"/>
      <c r="AI934" s="1"/>
      <c r="AJ934" s="1"/>
      <c r="AK934" s="5"/>
      <c r="AL934" s="1"/>
      <c r="AM934" s="1"/>
      <c r="AN934" s="5"/>
      <c r="AO934" s="1"/>
      <c r="AP934" s="1"/>
      <c r="AQ934" s="5"/>
      <c r="AR934" s="1"/>
      <c r="AS934" s="1"/>
      <c r="AT934" s="5"/>
      <c r="AU934" s="1"/>
      <c r="AV934" s="1"/>
      <c r="AW934" s="5"/>
      <c r="AX934" s="1"/>
      <c r="AY934" s="1"/>
      <c r="AZ934" s="5"/>
      <c r="BA934" s="1"/>
      <c r="BB934" s="1"/>
      <c r="BC934" s="46"/>
      <c r="BD934" s="1"/>
      <c r="BE934" s="1"/>
      <c r="BF934" s="46"/>
      <c r="BG934" s="1"/>
      <c r="BH934" s="1"/>
      <c r="BI934" s="51"/>
      <c r="BJ934" s="115"/>
      <c r="BK934" s="115"/>
      <c r="BL934" s="116"/>
      <c r="BM934" s="115"/>
      <c r="BN934" s="115"/>
      <c r="BO934" s="116"/>
      <c r="BP934" s="115"/>
      <c r="BQ934" s="115"/>
      <c r="BR934" s="116"/>
      <c r="BS934" s="8"/>
      <c r="BT934" s="8"/>
      <c r="BU934" s="9"/>
      <c r="BV934" s="8"/>
      <c r="BW934" s="8"/>
      <c r="BX934" s="187"/>
      <c r="BY934" s="8"/>
      <c r="BZ934" s="8"/>
      <c r="CA934" s="187"/>
      <c r="CB934" s="8"/>
      <c r="CC934" s="8"/>
      <c r="CD934" s="187"/>
      <c r="CE934" s="8"/>
      <c r="CF934" s="8"/>
      <c r="CG934" s="187"/>
      <c r="CH934" s="8"/>
      <c r="CI934" s="8"/>
      <c r="CJ934" s="187"/>
      <c r="CK934" s="8"/>
      <c r="CL934" s="8"/>
      <c r="CM934" s="187"/>
      <c r="CN934" s="8"/>
      <c r="CO934" s="8"/>
      <c r="CP934" s="187"/>
      <c r="CQ934" s="8"/>
      <c r="CR934" s="8"/>
      <c r="CS934" s="187"/>
      <c r="CT934" s="8"/>
      <c r="CU934" s="8"/>
      <c r="CV934" s="187"/>
      <c r="CW934" s="8"/>
      <c r="CX934" s="8"/>
      <c r="CY934" s="9"/>
      <c r="CZ934" s="8"/>
      <c r="DA934" s="8"/>
      <c r="DB934" s="9"/>
      <c r="DC934" s="8"/>
      <c r="DD934" s="8"/>
      <c r="DE934" s="9"/>
      <c r="DF934" s="8"/>
      <c r="DG934" s="8"/>
      <c r="DH934" s="9"/>
      <c r="DI934" s="8"/>
      <c r="DJ934" s="8"/>
      <c r="DK934" s="9"/>
      <c r="DL934" s="8"/>
      <c r="DM934" s="8"/>
      <c r="DN934" s="9"/>
      <c r="DO934" s="8"/>
      <c r="DP934" s="8"/>
      <c r="DQ934" s="9"/>
      <c r="DR934" s="8"/>
      <c r="DS934" s="8"/>
      <c r="DT934" s="9"/>
      <c r="DU934" s="8"/>
      <c r="DV934" s="8"/>
      <c r="DW934" s="9"/>
      <c r="DX934" s="8"/>
      <c r="DY934" s="8"/>
      <c r="DZ934" s="9"/>
      <c r="EA934" s="8"/>
      <c r="EB934" s="8"/>
      <c r="EC934" s="9"/>
      <c r="ED934" s="8"/>
      <c r="EE934" s="8"/>
      <c r="EF934" s="9"/>
      <c r="EG934" s="8"/>
      <c r="EH934" s="8"/>
      <c r="EI934" s="9"/>
      <c r="EJ934" s="8"/>
      <c r="EK934" s="8"/>
      <c r="EL934" s="9"/>
      <c r="EM934" s="8"/>
      <c r="EN934" s="8"/>
      <c r="EO934" s="9"/>
      <c r="EP934" s="8"/>
      <c r="EQ934" s="8"/>
      <c r="ER934" s="9"/>
      <c r="ES934" s="8"/>
      <c r="ET934" s="8"/>
      <c r="EU934" s="9"/>
      <c r="EV934" s="8"/>
      <c r="EW934" s="8"/>
      <c r="EX934" s="9"/>
      <c r="EY934" s="8"/>
      <c r="EZ934" s="8"/>
      <c r="FA934" s="9"/>
      <c r="FH934" s="35"/>
      <c r="FI934" s="35"/>
      <c r="FJ934" s="35"/>
      <c r="FK934" s="35"/>
      <c r="FL934" s="35"/>
      <c r="FM934" s="35"/>
      <c r="FN934" s="35"/>
      <c r="FO934" s="35"/>
      <c r="FP934" s="35"/>
      <c r="FQ934" s="35"/>
    </row>
    <row r="935" spans="1:173" s="321" customFormat="1" hidden="1" outlineLevel="1">
      <c r="A935" s="1168"/>
      <c r="B935" s="186"/>
      <c r="C935" s="331" t="s">
        <v>235</v>
      </c>
      <c r="D935" s="910"/>
      <c r="E935" s="1"/>
      <c r="F935" s="1"/>
      <c r="G935" s="5"/>
      <c r="H935" s="1"/>
      <c r="I935" s="1"/>
      <c r="J935" s="5"/>
      <c r="K935" s="1"/>
      <c r="L935" s="1"/>
      <c r="M935" s="5"/>
      <c r="N935" s="1"/>
      <c r="O935" s="1"/>
      <c r="P935" s="5"/>
      <c r="Q935" s="1"/>
      <c r="R935" s="1"/>
      <c r="S935" s="5"/>
      <c r="T935" s="1"/>
      <c r="U935" s="1"/>
      <c r="V935" s="5"/>
      <c r="W935" s="1"/>
      <c r="X935" s="1"/>
      <c r="Y935" s="5"/>
      <c r="Z935" s="1"/>
      <c r="AA935" s="1"/>
      <c r="AB935" s="5"/>
      <c r="AC935" s="1"/>
      <c r="AD935" s="1"/>
      <c r="AE935" s="5"/>
      <c r="AF935" s="1"/>
      <c r="AG935" s="1"/>
      <c r="AH935" s="5"/>
      <c r="AI935" s="1"/>
      <c r="AJ935" s="1"/>
      <c r="AK935" s="5"/>
      <c r="AL935" s="1"/>
      <c r="AM935" s="1"/>
      <c r="AN935" s="5"/>
      <c r="AO935" s="1"/>
      <c r="AP935" s="1"/>
      <c r="AQ935" s="5"/>
      <c r="AR935" s="1"/>
      <c r="AS935" s="1"/>
      <c r="AT935" s="5"/>
      <c r="AU935" s="1"/>
      <c r="AV935" s="1"/>
      <c r="AW935" s="5"/>
      <c r="AX935" s="185"/>
      <c r="AY935" s="185"/>
      <c r="AZ935" s="185"/>
      <c r="BA935" s="4"/>
      <c r="BB935" s="4"/>
      <c r="BC935" s="971"/>
      <c r="BD935" s="4"/>
      <c r="BE935" s="4"/>
      <c r="BF935" s="971"/>
      <c r="BG935" s="4"/>
      <c r="BH935" s="4"/>
      <c r="BI935" s="971"/>
      <c r="BJ935" s="121"/>
      <c r="BK935" s="121"/>
      <c r="BL935" s="114"/>
      <c r="BM935" s="121"/>
      <c r="BN935" s="121"/>
      <c r="BO935" s="114"/>
      <c r="BP935" s="121"/>
      <c r="BQ935" s="121"/>
      <c r="BR935" s="114"/>
      <c r="BS935" s="4"/>
      <c r="BT935" s="4"/>
      <c r="BU935" s="185"/>
      <c r="BV935" s="4"/>
      <c r="BW935" s="4"/>
      <c r="BX935" s="185"/>
      <c r="BY935" s="4"/>
      <c r="BZ935" s="4"/>
      <c r="CA935" s="185"/>
      <c r="CB935" s="4"/>
      <c r="CC935" s="4"/>
      <c r="CD935" s="185"/>
      <c r="CE935" s="4"/>
      <c r="CF935" s="4"/>
      <c r="CG935" s="185"/>
      <c r="CH935" s="4"/>
      <c r="CI935" s="4"/>
      <c r="CJ935" s="185"/>
      <c r="CK935" s="4"/>
      <c r="CL935" s="4"/>
      <c r="CM935" s="185"/>
      <c r="CN935" s="4"/>
      <c r="CO935" s="4"/>
      <c r="CP935" s="185"/>
      <c r="CQ935" s="4"/>
      <c r="CR935" s="4"/>
      <c r="CS935" s="185"/>
      <c r="CT935" s="4"/>
      <c r="CU935" s="4"/>
      <c r="CV935" s="185"/>
      <c r="CW935" s="4"/>
      <c r="CX935" s="4"/>
      <c r="CY935" s="185"/>
      <c r="CZ935" s="4"/>
      <c r="DA935" s="4"/>
      <c r="DB935" s="185"/>
      <c r="DC935" s="4"/>
      <c r="DD935" s="4"/>
      <c r="DE935" s="185"/>
      <c r="DF935" s="4"/>
      <c r="DG935" s="4"/>
      <c r="DH935" s="185"/>
      <c r="DI935" s="4"/>
      <c r="DJ935" s="4"/>
      <c r="DK935" s="185"/>
      <c r="DL935" s="4"/>
      <c r="DM935" s="4"/>
      <c r="DN935" s="185"/>
      <c r="DO935" s="4"/>
      <c r="DP935" s="4"/>
      <c r="DQ935" s="185"/>
      <c r="DR935" s="4"/>
      <c r="DS935" s="4"/>
      <c r="DT935" s="185"/>
      <c r="DU935" s="4"/>
      <c r="DV935" s="4"/>
      <c r="DW935" s="185"/>
      <c r="DX935" s="4"/>
      <c r="DY935" s="4"/>
      <c r="DZ935" s="185"/>
      <c r="EA935" s="4"/>
      <c r="EB935" s="4"/>
      <c r="EC935" s="185"/>
      <c r="ED935" s="4"/>
      <c r="EE935" s="4"/>
      <c r="EF935" s="185"/>
      <c r="EG935" s="4"/>
      <c r="EH935" s="4"/>
      <c r="EI935" s="185"/>
      <c r="EJ935" s="4"/>
      <c r="EK935" s="4"/>
      <c r="EL935" s="185"/>
      <c r="EM935" s="4"/>
      <c r="EN935" s="4"/>
      <c r="EO935" s="185"/>
      <c r="EP935" s="4"/>
      <c r="EQ935" s="4"/>
      <c r="ER935" s="185"/>
      <c r="ES935" s="4"/>
      <c r="ET935" s="4"/>
      <c r="EU935" s="185"/>
      <c r="EV935" s="4"/>
      <c r="EW935" s="4"/>
      <c r="EX935" s="185"/>
      <c r="EY935" s="4"/>
      <c r="EZ935" s="4"/>
      <c r="FA935" s="185"/>
      <c r="FH935" s="35"/>
      <c r="FI935" s="35"/>
      <c r="FJ935" s="35"/>
      <c r="FK935" s="35"/>
      <c r="FL935" s="35"/>
      <c r="FM935" s="35"/>
      <c r="FN935" s="35"/>
      <c r="FO935" s="35"/>
      <c r="FP935" s="35"/>
      <c r="FQ935" s="35"/>
    </row>
    <row r="936" spans="1:173" s="321" customFormat="1" hidden="1" outlineLevel="1">
      <c r="A936" s="1168"/>
      <c r="B936" s="186"/>
      <c r="C936" s="186" t="s">
        <v>316</v>
      </c>
      <c r="D936" s="910"/>
      <c r="E936" s="1"/>
      <c r="F936" s="1"/>
      <c r="G936" s="5"/>
      <c r="H936" s="1"/>
      <c r="I936" s="1"/>
      <c r="J936" s="5"/>
      <c r="K936" s="1"/>
      <c r="L936" s="1"/>
      <c r="M936" s="5"/>
      <c r="N936" s="1"/>
      <c r="O936" s="1"/>
      <c r="P936" s="5"/>
      <c r="Q936" s="1"/>
      <c r="R936" s="1"/>
      <c r="S936" s="5"/>
      <c r="T936" s="1"/>
      <c r="U936" s="1"/>
      <c r="V936" s="5"/>
      <c r="W936" s="1"/>
      <c r="X936" s="1"/>
      <c r="Y936" s="5"/>
      <c r="Z936" s="1"/>
      <c r="AA936" s="1"/>
      <c r="AB936" s="5"/>
      <c r="AC936" s="1"/>
      <c r="AD936" s="1"/>
      <c r="AE936" s="5"/>
      <c r="AF936" s="1"/>
      <c r="AG936" s="1"/>
      <c r="AH936" s="5"/>
      <c r="AI936" s="1"/>
      <c r="AJ936" s="1"/>
      <c r="AK936" s="5"/>
      <c r="AL936" s="1"/>
      <c r="AM936" s="1"/>
      <c r="AN936" s="5"/>
      <c r="AO936" s="1"/>
      <c r="AP936" s="1"/>
      <c r="AQ936" s="5"/>
      <c r="AR936" s="1"/>
      <c r="AS936" s="1"/>
      <c r="AT936" s="5"/>
      <c r="AU936" s="1"/>
      <c r="AV936" s="1"/>
      <c r="AW936" s="5"/>
      <c r="AX936" s="185">
        <f t="shared" ref="AX936:CC936" si="4032">AX751/((AX697+AX703+AX709+AX715+AX721+AX727)*1000000)</f>
        <v>1.513333279613209E-2</v>
      </c>
      <c r="AY936" s="185">
        <f t="shared" si="4032"/>
        <v>1.6720713713236895E-2</v>
      </c>
      <c r="AZ936" s="185">
        <f t="shared" si="4032"/>
        <v>1.6720713713236895E-2</v>
      </c>
      <c r="BA936" s="4">
        <f t="shared" si="4032"/>
        <v>1.8190152838195455E-2</v>
      </c>
      <c r="BB936" s="4">
        <f t="shared" si="4032"/>
        <v>2.0083418370800753E-2</v>
      </c>
      <c r="BC936" s="971">
        <f t="shared" si="4032"/>
        <v>2.0083418370800757E-2</v>
      </c>
      <c r="BD936" s="4">
        <f t="shared" si="4032"/>
        <v>2.1760501294951145E-2</v>
      </c>
      <c r="BE936" s="4">
        <f t="shared" si="4032"/>
        <v>2.3829173442000796E-2</v>
      </c>
      <c r="BF936" s="971">
        <f t="shared" si="4032"/>
        <v>2.3829173442000792E-2</v>
      </c>
      <c r="BG936" s="4">
        <f t="shared" si="4032"/>
        <v>2.5845025956334328E-2</v>
      </c>
      <c r="BH936" s="4">
        <f t="shared" si="4032"/>
        <v>2.8019627601332149E-2</v>
      </c>
      <c r="BI936" s="971">
        <f t="shared" si="4032"/>
        <v>2.8019627601332153E-2</v>
      </c>
      <c r="BJ936" s="121">
        <f t="shared" si="4032"/>
        <v>2.989995946311234E-2</v>
      </c>
      <c r="BK936" s="121">
        <f t="shared" si="4032"/>
        <v>3.2358378718832688E-2</v>
      </c>
      <c r="BL936" s="114">
        <f t="shared" si="4032"/>
        <v>3.2358378718832688E-2</v>
      </c>
      <c r="BM936" s="121">
        <f t="shared" si="4032"/>
        <v>3.4980904723904707E-2</v>
      </c>
      <c r="BN936" s="121">
        <f t="shared" si="4032"/>
        <v>3.776868628291264E-2</v>
      </c>
      <c r="BO936" s="114">
        <f t="shared" si="4032"/>
        <v>3.776868628291264E-2</v>
      </c>
      <c r="BP936" s="121">
        <f t="shared" si="4032"/>
        <v>4.1253951328136786E-2</v>
      </c>
      <c r="BQ936" s="121">
        <f t="shared" si="4032"/>
        <v>4.4378004443605477E-2</v>
      </c>
      <c r="BR936" s="114">
        <f t="shared" si="4032"/>
        <v>4.4378004443605477E-2</v>
      </c>
      <c r="BS936" s="4">
        <f t="shared" si="4032"/>
        <v>4.8619815770928783E-2</v>
      </c>
      <c r="BT936" s="4">
        <f t="shared" si="4032"/>
        <v>5.2597717020216497E-2</v>
      </c>
      <c r="BU936" s="185">
        <f t="shared" si="4032"/>
        <v>5.2597717020216497E-2</v>
      </c>
      <c r="BV936" s="4">
        <f t="shared" si="4032"/>
        <v>5.7158303576514087E-2</v>
      </c>
      <c r="BW936" s="4">
        <f t="shared" si="4032"/>
        <v>6.1559881940093715E-2</v>
      </c>
      <c r="BX936" s="185">
        <f t="shared" si="4032"/>
        <v>6.1559881940093708E-2</v>
      </c>
      <c r="BY936" s="4">
        <f t="shared" si="4032"/>
        <v>6.6215007275520654E-2</v>
      </c>
      <c r="BZ936" s="4">
        <f t="shared" si="4032"/>
        <v>7.0724219664021287E-2</v>
      </c>
      <c r="CA936" s="185">
        <f t="shared" si="4032"/>
        <v>7.0724219664021287E-2</v>
      </c>
      <c r="CB936" s="4">
        <f t="shared" si="4032"/>
        <v>7.5787679258528334E-2</v>
      </c>
      <c r="CC936" s="4">
        <f t="shared" si="4032"/>
        <v>8.1325663327650358E-2</v>
      </c>
      <c r="CD936" s="185">
        <f t="shared" ref="CD936:DI936" si="4033">CD751/((CD697+CD703+CD709+CD715+CD721+CD727)*1000000)</f>
        <v>8.1325663327650358E-2</v>
      </c>
      <c r="CE936" s="4">
        <f t="shared" si="4033"/>
        <v>8.7131159996456389E-2</v>
      </c>
      <c r="CF936" s="4">
        <f t="shared" si="4033"/>
        <v>9.3480754045254827E-2</v>
      </c>
      <c r="CG936" s="185">
        <f t="shared" si="4033"/>
        <v>9.3480754045254855E-2</v>
      </c>
      <c r="CH936" s="4">
        <f t="shared" si="4033"/>
        <v>9.8495065374316446E-2</v>
      </c>
      <c r="CI936" s="4">
        <f t="shared" si="4033"/>
        <v>0.1045418739386647</v>
      </c>
      <c r="CJ936" s="185">
        <f t="shared" si="4033"/>
        <v>0.10454187393866471</v>
      </c>
      <c r="CK936" s="4">
        <f t="shared" si="4033"/>
        <v>0.11001777929118783</v>
      </c>
      <c r="CL936" s="4">
        <f t="shared" si="4033"/>
        <v>0.11535217038286601</v>
      </c>
      <c r="CM936" s="185">
        <f t="shared" si="4033"/>
        <v>0.11535217038286599</v>
      </c>
      <c r="CN936" s="4">
        <f t="shared" si="4033"/>
        <v>0.12068389040419698</v>
      </c>
      <c r="CO936" s="4">
        <f t="shared" si="4033"/>
        <v>0.1267998706913907</v>
      </c>
      <c r="CP936" s="185">
        <f t="shared" si="4033"/>
        <v>0.1267998706913907</v>
      </c>
      <c r="CQ936" s="4">
        <f t="shared" si="4033"/>
        <v>0.13303105769344017</v>
      </c>
      <c r="CR936" s="4">
        <f t="shared" si="4033"/>
        <v>0.14005160743858058</v>
      </c>
      <c r="CS936" s="185">
        <f t="shared" si="4033"/>
        <v>0.14005160743858053</v>
      </c>
      <c r="CT936" s="4">
        <f t="shared" si="4033"/>
        <v>0.146884290820022</v>
      </c>
      <c r="CU936" s="4">
        <f t="shared" si="4033"/>
        <v>0.15407756489293631</v>
      </c>
      <c r="CV936" s="185">
        <f t="shared" si="4033"/>
        <v>0.15407756489293628</v>
      </c>
      <c r="CW936" s="4">
        <f t="shared" si="4033"/>
        <v>0.16223548207203398</v>
      </c>
      <c r="CX936" s="4">
        <f t="shared" si="4033"/>
        <v>0.17035756545902705</v>
      </c>
      <c r="CY936" s="185">
        <f t="shared" si="4033"/>
        <v>0.17035756545902705</v>
      </c>
      <c r="CZ936" s="4">
        <f t="shared" si="4033"/>
        <v>0.17939966658772577</v>
      </c>
      <c r="DA936" s="4">
        <f t="shared" si="4033"/>
        <v>0.18822213711513897</v>
      </c>
      <c r="DB936" s="185">
        <f t="shared" si="4033"/>
        <v>0.18822213711513899</v>
      </c>
      <c r="DC936" s="4">
        <f t="shared" si="4033"/>
        <v>0.19702525987812591</v>
      </c>
      <c r="DD936" s="4">
        <f t="shared" si="4033"/>
        <v>0.2047984300239265</v>
      </c>
      <c r="DE936" s="185">
        <f t="shared" si="4033"/>
        <v>0.2047984300239265</v>
      </c>
      <c r="DF936" s="4">
        <f t="shared" si="4033"/>
        <v>0.2144557722739896</v>
      </c>
      <c r="DG936" s="4">
        <f t="shared" si="4033"/>
        <v>0.22016963090714337</v>
      </c>
      <c r="DH936" s="185">
        <f t="shared" si="4033"/>
        <v>0.22016963090714339</v>
      </c>
      <c r="DI936" s="4">
        <f t="shared" si="4033"/>
        <v>0.22874119022380798</v>
      </c>
      <c r="DJ936" s="4">
        <f t="shared" ref="DJ936:ER936" si="4034">DJ751/((DJ697+DJ703+DJ709+DJ715+DJ721+DJ727)*1000000)</f>
        <v>0.23737356355130257</v>
      </c>
      <c r="DK936" s="185">
        <f t="shared" si="4034"/>
        <v>0.23737356355130257</v>
      </c>
      <c r="DL936" s="4">
        <f t="shared" si="4034"/>
        <v>0.24596503837110939</v>
      </c>
      <c r="DM936" s="4">
        <f t="shared" si="4034"/>
        <v>0.25495378308696415</v>
      </c>
      <c r="DN936" s="185">
        <f t="shared" si="4034"/>
        <v>0.25495378308696415</v>
      </c>
      <c r="DO936" s="4">
        <f t="shared" si="4034"/>
        <v>0.26522905861778517</v>
      </c>
      <c r="DP936" s="4">
        <f t="shared" si="4034"/>
        <v>0.27639134818985173</v>
      </c>
      <c r="DQ936" s="185">
        <f t="shared" si="4034"/>
        <v>0.27639134818985173</v>
      </c>
      <c r="DR936" s="4">
        <f t="shared" si="4034"/>
        <v>0.28874551459599923</v>
      </c>
      <c r="DS936" s="4">
        <f t="shared" si="4034"/>
        <v>0.29990784106461182</v>
      </c>
      <c r="DT936" s="185">
        <f t="shared" si="4034"/>
        <v>0.29990784106461188</v>
      </c>
      <c r="DU936" s="4">
        <f t="shared" si="4034"/>
        <v>0.31207241929777019</v>
      </c>
      <c r="DV936" s="4">
        <f t="shared" si="4034"/>
        <v>0.32500981601505924</v>
      </c>
      <c r="DW936" s="185">
        <f t="shared" si="4034"/>
        <v>0.32500981601505918</v>
      </c>
      <c r="DX936" s="4">
        <f t="shared" si="4034"/>
        <v>0.33819788993452748</v>
      </c>
      <c r="DY936" s="4">
        <f t="shared" si="4034"/>
        <v>0.35239313354440732</v>
      </c>
      <c r="DZ936" s="185">
        <f t="shared" si="4034"/>
        <v>0.35239313354440732</v>
      </c>
      <c r="EA936" s="4">
        <f t="shared" si="4034"/>
        <v>0.36822595453696316</v>
      </c>
      <c r="EB936" s="4">
        <f t="shared" si="4034"/>
        <v>0.38335922939197981</v>
      </c>
      <c r="EC936" s="185">
        <f t="shared" si="4034"/>
        <v>0.38335922939197986</v>
      </c>
      <c r="ED936" s="4">
        <f t="shared" si="4034"/>
        <v>0.4005656446201325</v>
      </c>
      <c r="EE936" s="4">
        <f t="shared" si="4034"/>
        <v>0.41701179980915887</v>
      </c>
      <c r="EF936" s="185">
        <f t="shared" si="4034"/>
        <v>0.41701179980915881</v>
      </c>
      <c r="EG936" s="4">
        <f t="shared" si="4034"/>
        <v>0.43571102736798495</v>
      </c>
      <c r="EH936" s="4">
        <f t="shared" si="4034"/>
        <v>0.45358401152698186</v>
      </c>
      <c r="EI936" s="185">
        <f t="shared" si="4034"/>
        <v>0.45358401152698186</v>
      </c>
      <c r="EJ936" s="4">
        <f t="shared" si="4034"/>
        <v>0.47390561663595188</v>
      </c>
      <c r="EK936" s="4">
        <f t="shared" si="4034"/>
        <v>0.49332926818049155</v>
      </c>
      <c r="EL936" s="185">
        <f t="shared" si="4034"/>
        <v>0.49332926818049161</v>
      </c>
      <c r="EM936" s="4">
        <f t="shared" si="4034"/>
        <v>0.51541406122696876</v>
      </c>
      <c r="EN936" s="4">
        <f t="shared" si="4034"/>
        <v>0.53652296670204846</v>
      </c>
      <c r="EO936" s="185">
        <f t="shared" si="4034"/>
        <v>0.53652296670204858</v>
      </c>
      <c r="EP936" s="4">
        <f t="shared" si="4034"/>
        <v>0.56052397922742092</v>
      </c>
      <c r="EQ936" s="4">
        <f t="shared" si="4034"/>
        <v>0.58346440615483053</v>
      </c>
      <c r="ER936" s="185">
        <f t="shared" si="4034"/>
        <v>0.58346440615483053</v>
      </c>
      <c r="ES936" s="4">
        <f t="shared" ref="ES936:EX936" si="4035">ES751/((ES697+ES703+ES709+ES715+ES721+ES727)*1000000)</f>
        <v>0.60954795154804053</v>
      </c>
      <c r="ET936" s="4">
        <f t="shared" si="4035"/>
        <v>0.63447886223704597</v>
      </c>
      <c r="EU936" s="185">
        <f t="shared" si="4035"/>
        <v>0.63447886223704586</v>
      </c>
      <c r="EV936" s="4">
        <f t="shared" si="4035"/>
        <v>0.66282568848740897</v>
      </c>
      <c r="EW936" s="4">
        <f t="shared" si="4035"/>
        <v>0.68991984183568722</v>
      </c>
      <c r="EX936" s="185">
        <f t="shared" si="4035"/>
        <v>0.68991984183568733</v>
      </c>
      <c r="EY936" s="4">
        <f t="shared" ref="EY936:FA936" si="4036">EY751/((EY697+EY703+EY709+EY715+EY721+EY727)*1000000)</f>
        <v>0.72072638433497305</v>
      </c>
      <c r="EZ936" s="4">
        <f t="shared" si="4036"/>
        <v>0.75017153325661345</v>
      </c>
      <c r="FA936" s="185">
        <f t="shared" si="4036"/>
        <v>0.75017153325661323</v>
      </c>
      <c r="FH936" s="35"/>
      <c r="FI936" s="35"/>
      <c r="FJ936" s="35"/>
      <c r="FK936" s="35"/>
      <c r="FL936" s="35"/>
      <c r="FM936" s="35"/>
      <c r="FN936" s="35"/>
      <c r="FO936" s="35"/>
      <c r="FP936" s="35"/>
      <c r="FQ936" s="35"/>
    </row>
    <row r="937" spans="1:173" s="321" customFormat="1" hidden="1" outlineLevel="1">
      <c r="A937" s="1168"/>
      <c r="B937" s="186"/>
      <c r="C937" s="186" t="s">
        <v>317</v>
      </c>
      <c r="D937" s="910"/>
      <c r="E937" s="1"/>
      <c r="F937" s="1"/>
      <c r="G937" s="5"/>
      <c r="H937" s="1"/>
      <c r="I937" s="1"/>
      <c r="J937" s="5"/>
      <c r="K937" s="1"/>
      <c r="L937" s="1"/>
      <c r="M937" s="5"/>
      <c r="N937" s="1"/>
      <c r="O937" s="1"/>
      <c r="P937" s="5"/>
      <c r="Q937" s="1"/>
      <c r="R937" s="1"/>
      <c r="S937" s="5"/>
      <c r="T937" s="1"/>
      <c r="U937" s="1"/>
      <c r="V937" s="5"/>
      <c r="W937" s="1"/>
      <c r="X937" s="1"/>
      <c r="Y937" s="5"/>
      <c r="Z937" s="1"/>
      <c r="AA937" s="1"/>
      <c r="AB937" s="5"/>
      <c r="AC937" s="1"/>
      <c r="AD937" s="1"/>
      <c r="AE937" s="5"/>
      <c r="AF937" s="1"/>
      <c r="AG937" s="1"/>
      <c r="AH937" s="5"/>
      <c r="AI937" s="1"/>
      <c r="AJ937" s="1"/>
      <c r="AK937" s="5"/>
      <c r="AL937" s="1"/>
      <c r="AM937" s="1"/>
      <c r="AN937" s="5"/>
      <c r="AO937" s="1"/>
      <c r="AP937" s="1"/>
      <c r="AQ937" s="5"/>
      <c r="AR937" s="1"/>
      <c r="AS937" s="1"/>
      <c r="AT937" s="5"/>
      <c r="AU937" s="1"/>
      <c r="AV937" s="1"/>
      <c r="AW937" s="5"/>
      <c r="AX937" s="185">
        <f t="shared" ref="AX937:CC937" si="4037">AX752/((AX698+AX704+AX710+AX716+AX722+AX728)*1000000)</f>
        <v>3.5616207807784672E-3</v>
      </c>
      <c r="AY937" s="185">
        <f t="shared" si="4037"/>
        <v>4.0529009986325628E-3</v>
      </c>
      <c r="AZ937" s="185">
        <f t="shared" si="4037"/>
        <v>4.0529009986325646E-3</v>
      </c>
      <c r="BA937" s="4">
        <f t="shared" si="4037"/>
        <v>4.5386183616085603E-3</v>
      </c>
      <c r="BB937" s="4">
        <f t="shared" si="4037"/>
        <v>5.1294487038643817E-3</v>
      </c>
      <c r="BC937" s="971">
        <f t="shared" si="4037"/>
        <v>5.1294487038643817E-3</v>
      </c>
      <c r="BD937" s="4">
        <f t="shared" si="4037"/>
        <v>5.7206937873496627E-3</v>
      </c>
      <c r="BE937" s="4">
        <f t="shared" si="4037"/>
        <v>6.4724077814595181E-3</v>
      </c>
      <c r="BF937" s="971">
        <f t="shared" si="4037"/>
        <v>6.472407781459519E-3</v>
      </c>
      <c r="BG937" s="4">
        <f t="shared" si="4037"/>
        <v>7.0938745604676168E-3</v>
      </c>
      <c r="BH937" s="4">
        <f t="shared" si="4037"/>
        <v>7.8218933652550067E-3</v>
      </c>
      <c r="BI937" s="971">
        <f t="shared" si="4037"/>
        <v>7.821893365255005E-3</v>
      </c>
      <c r="BJ937" s="121">
        <f t="shared" si="4037"/>
        <v>8.5070075931043855E-3</v>
      </c>
      <c r="BK937" s="121">
        <f t="shared" si="4037"/>
        <v>9.3094798732983233E-3</v>
      </c>
      <c r="BL937" s="114">
        <f t="shared" si="4037"/>
        <v>9.309479873298325E-3</v>
      </c>
      <c r="BM937" s="121">
        <f t="shared" si="4037"/>
        <v>1.0054612900731992E-2</v>
      </c>
      <c r="BN937" s="121">
        <f t="shared" si="4037"/>
        <v>1.097558418423795E-2</v>
      </c>
      <c r="BO937" s="114">
        <f t="shared" si="4037"/>
        <v>1.097558418423795E-2</v>
      </c>
      <c r="BP937" s="121">
        <f t="shared" si="4037"/>
        <v>1.1922369071089114E-2</v>
      </c>
      <c r="BQ937" s="121">
        <f t="shared" si="4037"/>
        <v>1.2936733583340942E-2</v>
      </c>
      <c r="BR937" s="114">
        <f t="shared" si="4037"/>
        <v>1.2936733583340942E-2</v>
      </c>
      <c r="BS937" s="4">
        <f t="shared" si="4037"/>
        <v>1.4092641830618494E-2</v>
      </c>
      <c r="BT937" s="4">
        <f t="shared" si="4037"/>
        <v>1.5341170436488463E-2</v>
      </c>
      <c r="BU937" s="185">
        <f t="shared" si="4037"/>
        <v>1.5341170436488463E-2</v>
      </c>
      <c r="BV937" s="4">
        <f t="shared" si="4037"/>
        <v>1.6775465711308824E-2</v>
      </c>
      <c r="BW937" s="4">
        <f t="shared" si="4037"/>
        <v>1.8295707266112821E-2</v>
      </c>
      <c r="BX937" s="185">
        <f t="shared" si="4037"/>
        <v>1.8295707266112821E-2</v>
      </c>
      <c r="BY937" s="4">
        <f t="shared" si="4037"/>
        <v>1.9804051906383551E-2</v>
      </c>
      <c r="BZ937" s="4">
        <f t="shared" si="4037"/>
        <v>2.1284625835306638E-2</v>
      </c>
      <c r="CA937" s="185">
        <f t="shared" si="4037"/>
        <v>2.1284625835306634E-2</v>
      </c>
      <c r="CB937" s="4">
        <f t="shared" si="4037"/>
        <v>2.2840710869635347E-2</v>
      </c>
      <c r="CC937" s="4">
        <f t="shared" si="4037"/>
        <v>2.4543746432404905E-2</v>
      </c>
      <c r="CD937" s="185">
        <f t="shared" ref="CD937:DI937" si="4038">CD752/((CD698+CD704+CD710+CD716+CD722+CD728)*1000000)</f>
        <v>2.4543746432404898E-2</v>
      </c>
      <c r="CE937" s="4">
        <f t="shared" si="4038"/>
        <v>2.6488381499589715E-2</v>
      </c>
      <c r="CF937" s="4">
        <f t="shared" si="4038"/>
        <v>2.8448725327727735E-2</v>
      </c>
      <c r="CG937" s="185">
        <f t="shared" si="4038"/>
        <v>2.8448725327727742E-2</v>
      </c>
      <c r="CH937" s="4">
        <f t="shared" si="4038"/>
        <v>3.0184934735178932E-2</v>
      </c>
      <c r="CI937" s="4">
        <f t="shared" si="4038"/>
        <v>3.2068085912750455E-2</v>
      </c>
      <c r="CJ937" s="185">
        <f t="shared" si="4038"/>
        <v>3.2068085912750448E-2</v>
      </c>
      <c r="CK937" s="4">
        <f t="shared" si="4038"/>
        <v>3.4014471334064399E-2</v>
      </c>
      <c r="CL937" s="4">
        <f t="shared" si="4038"/>
        <v>3.5994592600225805E-2</v>
      </c>
      <c r="CM937" s="185">
        <f t="shared" si="4038"/>
        <v>3.5994592600225805E-2</v>
      </c>
      <c r="CN937" s="4">
        <f t="shared" si="4038"/>
        <v>3.7906009627201219E-2</v>
      </c>
      <c r="CO937" s="4">
        <f t="shared" si="4038"/>
        <v>4.0181567173219204E-2</v>
      </c>
      <c r="CP937" s="185">
        <f t="shared" si="4038"/>
        <v>4.0181567173219204E-2</v>
      </c>
      <c r="CQ937" s="4">
        <f t="shared" si="4038"/>
        <v>4.2172452790424544E-2</v>
      </c>
      <c r="CR937" s="4">
        <f t="shared" si="4038"/>
        <v>4.4610201948478069E-2</v>
      </c>
      <c r="CS937" s="185">
        <f t="shared" si="4038"/>
        <v>4.4610201948478048E-2</v>
      </c>
      <c r="CT937" s="4">
        <f t="shared" si="4038"/>
        <v>4.6802315312615257E-2</v>
      </c>
      <c r="CU937" s="4">
        <f t="shared" si="4038"/>
        <v>4.9389583685814455E-2</v>
      </c>
      <c r="CV937" s="185">
        <f t="shared" si="4038"/>
        <v>4.9389583685814448E-2</v>
      </c>
      <c r="CW937" s="4">
        <f t="shared" si="4038"/>
        <v>5.180320347532523E-2</v>
      </c>
      <c r="CX937" s="4">
        <f t="shared" si="4038"/>
        <v>5.4651885298052989E-2</v>
      </c>
      <c r="CY937" s="185">
        <f t="shared" si="4038"/>
        <v>5.4651885298052996E-2</v>
      </c>
      <c r="CZ937" s="4">
        <f t="shared" si="4038"/>
        <v>5.7022157125634756E-2</v>
      </c>
      <c r="DA937" s="4">
        <f t="shared" si="4038"/>
        <v>6.0582709183059941E-2</v>
      </c>
      <c r="DB937" s="185">
        <f t="shared" si="4038"/>
        <v>6.0582709183059934E-2</v>
      </c>
      <c r="DC937" s="4">
        <f t="shared" si="4038"/>
        <v>6.3216019402146981E-2</v>
      </c>
      <c r="DD937" s="4">
        <f t="shared" si="4038"/>
        <v>6.649949836756909E-2</v>
      </c>
      <c r="DE937" s="185">
        <f t="shared" si="4038"/>
        <v>6.649949836756909E-2</v>
      </c>
      <c r="DF937" s="4">
        <f t="shared" si="4038"/>
        <v>6.9489951027014316E-2</v>
      </c>
      <c r="DG937" s="4">
        <f t="shared" si="4038"/>
        <v>7.1964698417039119E-2</v>
      </c>
      <c r="DH937" s="185">
        <f t="shared" si="4038"/>
        <v>7.1964698417039105E-2</v>
      </c>
      <c r="DI937" s="4">
        <f t="shared" si="4038"/>
        <v>7.4485104070708116E-2</v>
      </c>
      <c r="DJ937" s="4">
        <f t="shared" ref="DJ937:ER937" si="4039">DJ752/((DJ698+DJ704+DJ710+DJ716+DJ722+DJ728)*1000000)</f>
        <v>7.7707352755487263E-2</v>
      </c>
      <c r="DK937" s="185">
        <f t="shared" si="4039"/>
        <v>7.770735275548725E-2</v>
      </c>
      <c r="DL937" s="4">
        <f t="shared" si="4039"/>
        <v>8.0673372786711509E-2</v>
      </c>
      <c r="DM937" s="4">
        <f t="shared" si="4039"/>
        <v>8.3810334173936046E-2</v>
      </c>
      <c r="DN937" s="185">
        <f t="shared" si="4039"/>
        <v>8.3810334173936032E-2</v>
      </c>
      <c r="DO937" s="4">
        <f t="shared" si="4039"/>
        <v>8.6909602370771166E-2</v>
      </c>
      <c r="DP937" s="4">
        <f t="shared" si="4039"/>
        <v>9.0357177125437504E-2</v>
      </c>
      <c r="DQ937" s="185">
        <f t="shared" si="4039"/>
        <v>9.0357177125437518E-2</v>
      </c>
      <c r="DR937" s="4">
        <f t="shared" si="4039"/>
        <v>9.3835593864670774E-2</v>
      </c>
      <c r="DS937" s="4">
        <f t="shared" si="4039"/>
        <v>9.7554704520965985E-2</v>
      </c>
      <c r="DT937" s="185">
        <f t="shared" si="4039"/>
        <v>9.7554704520965999E-2</v>
      </c>
      <c r="DU937" s="4">
        <f t="shared" si="4039"/>
        <v>0.10111037501655266</v>
      </c>
      <c r="DV937" s="4">
        <f t="shared" si="4039"/>
        <v>0.10580756057191744</v>
      </c>
      <c r="DW937" s="185">
        <f t="shared" si="4039"/>
        <v>0.10580756057191745</v>
      </c>
      <c r="DX937" s="4">
        <f t="shared" si="4039"/>
        <v>0.10969459487954879</v>
      </c>
      <c r="DY937" s="4">
        <f t="shared" si="4039"/>
        <v>0.11486541987228298</v>
      </c>
      <c r="DZ937" s="185">
        <f t="shared" si="4039"/>
        <v>0.11486541987228294</v>
      </c>
      <c r="EA937" s="4">
        <f t="shared" si="4039"/>
        <v>0.1195285612976109</v>
      </c>
      <c r="EB937" s="4">
        <f t="shared" si="4039"/>
        <v>0.1250672496596168</v>
      </c>
      <c r="EC937" s="185">
        <f t="shared" si="4039"/>
        <v>0.12506724965961685</v>
      </c>
      <c r="ED937" s="4">
        <f t="shared" si="4039"/>
        <v>0.13015453942653571</v>
      </c>
      <c r="EE937" s="4">
        <f t="shared" si="4039"/>
        <v>0.13619703479566092</v>
      </c>
      <c r="EF937" s="185">
        <f t="shared" si="4039"/>
        <v>0.13619703479566092</v>
      </c>
      <c r="EG937" s="4">
        <f t="shared" si="4039"/>
        <v>0.14174706252458161</v>
      </c>
      <c r="EH937" s="4">
        <f t="shared" si="4039"/>
        <v>0.14833920199901973</v>
      </c>
      <c r="EI937" s="185">
        <f t="shared" si="4039"/>
        <v>0.1483392019990197</v>
      </c>
      <c r="EJ937" s="4">
        <f t="shared" si="4039"/>
        <v>0.15439406825808541</v>
      </c>
      <c r="EK937" s="4">
        <f t="shared" si="4039"/>
        <v>0.16158585927134031</v>
      </c>
      <c r="EL937" s="185">
        <f t="shared" si="4039"/>
        <v>0.16158585927134031</v>
      </c>
      <c r="EM937" s="4">
        <f t="shared" si="4039"/>
        <v>0.16819149500828792</v>
      </c>
      <c r="EN937" s="4">
        <f t="shared" si="4039"/>
        <v>0.17603749475321365</v>
      </c>
      <c r="EO937" s="185">
        <f t="shared" si="4039"/>
        <v>0.17603749475321362</v>
      </c>
      <c r="EP937" s="4">
        <f t="shared" si="4039"/>
        <v>0.183244009789678</v>
      </c>
      <c r="EQ937" s="4">
        <f t="shared" si="4039"/>
        <v>0.19180373916314866</v>
      </c>
      <c r="ER937" s="185">
        <f t="shared" si="4039"/>
        <v>0.19180373916314869</v>
      </c>
      <c r="ES937" s="4">
        <f t="shared" ref="ES937:EX937" si="4040">ES752/((ES698+ES704+ES710+ES716+ES722+ES728)*1000000)</f>
        <v>0.19966580239555701</v>
      </c>
      <c r="ET937" s="4">
        <f t="shared" si="4040"/>
        <v>0.20900419760451105</v>
      </c>
      <c r="EU937" s="185">
        <f t="shared" si="4040"/>
        <v>0.20900419760451105</v>
      </c>
      <c r="EV937" s="4">
        <f t="shared" si="4040"/>
        <v>0.21758145179628721</v>
      </c>
      <c r="EW937" s="4">
        <f t="shared" si="4040"/>
        <v>0.2277693570516402</v>
      </c>
      <c r="EX937" s="185">
        <f t="shared" si="4040"/>
        <v>0.22776935705164023</v>
      </c>
      <c r="EY937" s="4">
        <f t="shared" ref="EY937:FA937" si="4041">EY752/((EY698+EY704+EY710+EY716+EY722+EY728)*1000000)</f>
        <v>0.23712687136389349</v>
      </c>
      <c r="EZ937" s="4">
        <f t="shared" si="4041"/>
        <v>0.24824157640056249</v>
      </c>
      <c r="FA937" s="185">
        <f t="shared" si="4041"/>
        <v>0.24824157640056255</v>
      </c>
      <c r="FH937" s="35"/>
      <c r="FI937" s="35"/>
      <c r="FJ937" s="35"/>
      <c r="FK937" s="35"/>
      <c r="FL937" s="35"/>
      <c r="FM937" s="35"/>
      <c r="FN937" s="35"/>
      <c r="FO937" s="35"/>
      <c r="FP937" s="35"/>
      <c r="FQ937" s="35"/>
    </row>
    <row r="938" spans="1:173" s="321" customFormat="1" hidden="1" outlineLevel="1">
      <c r="A938" s="1168"/>
      <c r="B938" s="186"/>
      <c r="C938" s="186" t="s">
        <v>431</v>
      </c>
      <c r="D938" s="910"/>
      <c r="E938" s="1"/>
      <c r="F938" s="1"/>
      <c r="G938" s="5"/>
      <c r="H938" s="1"/>
      <c r="I938" s="1"/>
      <c r="J938" s="5"/>
      <c r="K938" s="1"/>
      <c r="L938" s="1"/>
      <c r="M938" s="5"/>
      <c r="N938" s="1"/>
      <c r="O938" s="1"/>
      <c r="P938" s="5"/>
      <c r="Q938" s="1"/>
      <c r="R938" s="1"/>
      <c r="S938" s="5"/>
      <c r="T938" s="1"/>
      <c r="U938" s="1"/>
      <c r="V938" s="5"/>
      <c r="W938" s="1"/>
      <c r="X938" s="1"/>
      <c r="Y938" s="5"/>
      <c r="Z938" s="1"/>
      <c r="AA938" s="1"/>
      <c r="AB938" s="5"/>
      <c r="AC938" s="1"/>
      <c r="AD938" s="1"/>
      <c r="AE938" s="5"/>
      <c r="AF938" s="1"/>
      <c r="AG938" s="1"/>
      <c r="AH938" s="5"/>
      <c r="AI938" s="1"/>
      <c r="AJ938" s="1"/>
      <c r="AK938" s="5"/>
      <c r="AL938" s="1"/>
      <c r="AM938" s="1"/>
      <c r="AN938" s="5"/>
      <c r="AO938" s="1"/>
      <c r="AP938" s="1"/>
      <c r="AQ938" s="5"/>
      <c r="AR938" s="1"/>
      <c r="AS938" s="1"/>
      <c r="AT938" s="5"/>
      <c r="AU938" s="1"/>
      <c r="AV938" s="1"/>
      <c r="AW938" s="5"/>
      <c r="AX938" s="185">
        <f t="shared" ref="AX938:CC938" si="4042">AX753/((AX699+AX705+AX711+AX717+AX723+AX729)*1000000)</f>
        <v>2.8135015781520852E-3</v>
      </c>
      <c r="AY938" s="185">
        <f t="shared" si="4042"/>
        <v>2.9270111365381352E-3</v>
      </c>
      <c r="AZ938" s="185">
        <f t="shared" si="4042"/>
        <v>2.9270111365381352E-3</v>
      </c>
      <c r="BA938" s="4">
        <f t="shared" si="4042"/>
        <v>3.2374582288010666E-3</v>
      </c>
      <c r="BB938" s="4">
        <f t="shared" si="4042"/>
        <v>3.3725528969938733E-3</v>
      </c>
      <c r="BC938" s="971">
        <f t="shared" si="4042"/>
        <v>3.3725528969938733E-3</v>
      </c>
      <c r="BD938" s="4">
        <f t="shared" si="4042"/>
        <v>3.7486971916033322E-3</v>
      </c>
      <c r="BE938" s="4">
        <f t="shared" si="4042"/>
        <v>4.0652096005440721E-3</v>
      </c>
      <c r="BF938" s="971">
        <f t="shared" si="4042"/>
        <v>4.065209600544073E-3</v>
      </c>
      <c r="BG938" s="4">
        <f t="shared" si="4042"/>
        <v>4.4106994053732798E-3</v>
      </c>
      <c r="BH938" s="4">
        <f t="shared" si="4042"/>
        <v>4.8852671508225181E-3</v>
      </c>
      <c r="BI938" s="971">
        <f t="shared" si="4042"/>
        <v>4.8852671508225181E-3</v>
      </c>
      <c r="BJ938" s="121">
        <f t="shared" si="4042"/>
        <v>5.2941607867090885E-3</v>
      </c>
      <c r="BK938" s="121">
        <f t="shared" si="4042"/>
        <v>5.7145573020877857E-3</v>
      </c>
      <c r="BL938" s="114">
        <f t="shared" si="4042"/>
        <v>5.7145573020877857E-3</v>
      </c>
      <c r="BM938" s="121">
        <f t="shared" si="4042"/>
        <v>6.1451703138571652E-3</v>
      </c>
      <c r="BN938" s="121">
        <f t="shared" si="4042"/>
        <v>6.6895329404685145E-3</v>
      </c>
      <c r="BO938" s="114">
        <f t="shared" si="4042"/>
        <v>6.6895329404685145E-3</v>
      </c>
      <c r="BP938" s="121">
        <f t="shared" si="4042"/>
        <v>7.2345923786315955E-3</v>
      </c>
      <c r="BQ938" s="121">
        <f t="shared" si="4042"/>
        <v>7.7999064698777648E-3</v>
      </c>
      <c r="BR938" s="114">
        <f t="shared" si="4042"/>
        <v>7.7999064698777666E-3</v>
      </c>
      <c r="BS938" s="4">
        <f t="shared" si="4042"/>
        <v>8.4537511761201244E-3</v>
      </c>
      <c r="BT938" s="4">
        <f t="shared" si="4042"/>
        <v>9.1575895094799312E-3</v>
      </c>
      <c r="BU938" s="185">
        <f t="shared" si="4042"/>
        <v>9.1575895094799312E-3</v>
      </c>
      <c r="BV938" s="4">
        <f t="shared" si="4042"/>
        <v>9.8445933177388392E-3</v>
      </c>
      <c r="BW938" s="4">
        <f t="shared" si="4042"/>
        <v>1.0655524242967061E-2</v>
      </c>
      <c r="BX938" s="185">
        <f t="shared" si="4042"/>
        <v>1.0655524242967061E-2</v>
      </c>
      <c r="BY938" s="4">
        <f t="shared" si="4042"/>
        <v>1.1297605447288939E-2</v>
      </c>
      <c r="BZ938" s="4">
        <f t="shared" si="4042"/>
        <v>1.2142058734021093E-2</v>
      </c>
      <c r="CA938" s="185">
        <f t="shared" si="4042"/>
        <v>1.2142058734021093E-2</v>
      </c>
      <c r="CB938" s="4">
        <f t="shared" si="4042"/>
        <v>1.2835550788822991E-2</v>
      </c>
      <c r="CC938" s="4">
        <f t="shared" si="4042"/>
        <v>1.3844466564837964E-2</v>
      </c>
      <c r="CD938" s="185">
        <f t="shared" ref="CD938:DI938" si="4043">CD753/((CD699+CD705+CD711+CD717+CD723+CD729)*1000000)</f>
        <v>1.3844466564837964E-2</v>
      </c>
      <c r="CE938" s="4">
        <f t="shared" si="4043"/>
        <v>1.4709150719467901E-2</v>
      </c>
      <c r="CF938" s="4">
        <f t="shared" si="4043"/>
        <v>1.5862901963629578E-2</v>
      </c>
      <c r="CG938" s="185">
        <f t="shared" si="4043"/>
        <v>1.5862901963629581E-2</v>
      </c>
      <c r="CH938" s="4">
        <f t="shared" si="4043"/>
        <v>1.680114927090734E-2</v>
      </c>
      <c r="CI938" s="4">
        <f t="shared" si="4043"/>
        <v>1.789126558446464E-2</v>
      </c>
      <c r="CJ938" s="185">
        <f t="shared" si="4043"/>
        <v>1.7891265584464643E-2</v>
      </c>
      <c r="CK938" s="4">
        <f t="shared" si="4043"/>
        <v>1.9862209009200143E-2</v>
      </c>
      <c r="CL938" s="4">
        <f t="shared" si="4043"/>
        <v>2.1497842951918939E-2</v>
      </c>
      <c r="CM938" s="185">
        <f t="shared" si="4043"/>
        <v>2.1497842951918932E-2</v>
      </c>
      <c r="CN938" s="4">
        <f t="shared" si="4043"/>
        <v>2.253032332813399E-2</v>
      </c>
      <c r="CO938" s="4">
        <f t="shared" si="4043"/>
        <v>2.4063300351176393E-2</v>
      </c>
      <c r="CP938" s="185">
        <f t="shared" si="4043"/>
        <v>2.4063300351176393E-2</v>
      </c>
      <c r="CQ938" s="4">
        <f t="shared" si="4043"/>
        <v>2.4515397146622896E-2</v>
      </c>
      <c r="CR938" s="4">
        <f t="shared" si="4043"/>
        <v>2.582346510101767E-2</v>
      </c>
      <c r="CS938" s="185">
        <f t="shared" si="4043"/>
        <v>2.582346510101767E-2</v>
      </c>
      <c r="CT938" s="4">
        <f t="shared" si="4043"/>
        <v>2.7285306193363872E-2</v>
      </c>
      <c r="CU938" s="4">
        <f t="shared" si="4043"/>
        <v>2.8443309363881807E-2</v>
      </c>
      <c r="CV938" s="185">
        <f t="shared" si="4043"/>
        <v>2.84433093638818E-2</v>
      </c>
      <c r="CW938" s="4">
        <f t="shared" si="4043"/>
        <v>2.9716385940961525E-2</v>
      </c>
      <c r="CX938" s="4">
        <f t="shared" si="4043"/>
        <v>3.0539066896949768E-2</v>
      </c>
      <c r="CY938" s="185">
        <f t="shared" si="4043"/>
        <v>3.0539066896949768E-2</v>
      </c>
      <c r="CZ938" s="4">
        <f t="shared" si="4043"/>
        <v>3.1257614683210061E-2</v>
      </c>
      <c r="DA938" s="4">
        <f t="shared" si="4043"/>
        <v>3.2396119324694876E-2</v>
      </c>
      <c r="DB938" s="185">
        <f t="shared" si="4043"/>
        <v>3.2396119324694869E-2</v>
      </c>
      <c r="DC938" s="4">
        <f t="shared" si="4043"/>
        <v>3.3290099706498426E-2</v>
      </c>
      <c r="DD938" s="4">
        <f t="shared" si="4043"/>
        <v>3.4248521889586922E-2</v>
      </c>
      <c r="DE938" s="185">
        <f t="shared" si="4043"/>
        <v>3.4248521889586922E-2</v>
      </c>
      <c r="DF938" s="4">
        <f t="shared" si="4043"/>
        <v>3.536679290621305E-2</v>
      </c>
      <c r="DG938" s="4">
        <f t="shared" si="4043"/>
        <v>3.5928519513068573E-2</v>
      </c>
      <c r="DH938" s="185">
        <f t="shared" si="4043"/>
        <v>3.5928519513068573E-2</v>
      </c>
      <c r="DI938" s="4">
        <f t="shared" si="4043"/>
        <v>3.7313842148125824E-2</v>
      </c>
      <c r="DJ938" s="4">
        <f t="shared" ref="DJ938:ER938" si="4044">DJ753/((DJ699+DJ705+DJ711+DJ717+DJ723+DJ729)*1000000)</f>
        <v>3.871668216955438E-2</v>
      </c>
      <c r="DK938" s="185">
        <f t="shared" si="4044"/>
        <v>3.8716682169554401E-2</v>
      </c>
      <c r="DL938" s="4">
        <f t="shared" si="4044"/>
        <v>4.0165389747803731E-2</v>
      </c>
      <c r="DM938" s="4">
        <f t="shared" si="4044"/>
        <v>4.1697964627303123E-2</v>
      </c>
      <c r="DN938" s="185">
        <f t="shared" si="4044"/>
        <v>4.169796462730313E-2</v>
      </c>
      <c r="DO938" s="4">
        <f t="shared" si="4044"/>
        <v>4.344025586746153E-2</v>
      </c>
      <c r="DP938" s="4">
        <f t="shared" si="4044"/>
        <v>4.515846541898598E-2</v>
      </c>
      <c r="DQ938" s="185">
        <f t="shared" si="4044"/>
        <v>4.515846541898598E-2</v>
      </c>
      <c r="DR938" s="4">
        <f t="shared" si="4044"/>
        <v>4.6866619721232974E-2</v>
      </c>
      <c r="DS938" s="4">
        <f t="shared" si="4044"/>
        <v>4.8697878483535136E-2</v>
      </c>
      <c r="DT938" s="185">
        <f t="shared" si="4044"/>
        <v>4.8697878483535129E-2</v>
      </c>
      <c r="DU938" s="4">
        <f t="shared" si="4044"/>
        <v>5.094108115755152E-2</v>
      </c>
      <c r="DV938" s="4">
        <f t="shared" si="4044"/>
        <v>5.309485886345415E-2</v>
      </c>
      <c r="DW938" s="185">
        <f t="shared" si="4044"/>
        <v>5.3094858863454136E-2</v>
      </c>
      <c r="DX938" s="4">
        <f t="shared" si="4044"/>
        <v>5.5214685636910232E-2</v>
      </c>
      <c r="DY938" s="4">
        <f t="shared" si="4044"/>
        <v>5.7570229753506653E-2</v>
      </c>
      <c r="DZ938" s="185">
        <f t="shared" si="4044"/>
        <v>5.7570229753506647E-2</v>
      </c>
      <c r="EA938" s="4">
        <f t="shared" si="4044"/>
        <v>6.0116121758052019E-2</v>
      </c>
      <c r="EB938" s="4">
        <f t="shared" si="4044"/>
        <v>6.261599403990363E-2</v>
      </c>
      <c r="EC938" s="185">
        <f t="shared" si="4044"/>
        <v>6.261599403990363E-2</v>
      </c>
      <c r="ED938" s="4">
        <f t="shared" si="4044"/>
        <v>6.5372498535958279E-2</v>
      </c>
      <c r="EE938" s="4">
        <f t="shared" si="4044"/>
        <v>6.8079163720954183E-2</v>
      </c>
      <c r="EF938" s="185">
        <f t="shared" si="4044"/>
        <v>6.8079163720954197E-2</v>
      </c>
      <c r="EG938" s="4">
        <f t="shared" si="4044"/>
        <v>7.10637789887969E-2</v>
      </c>
      <c r="EH938" s="4">
        <f t="shared" si="4044"/>
        <v>7.3994418095238962E-2</v>
      </c>
      <c r="EI938" s="185">
        <f t="shared" si="4044"/>
        <v>7.3994418095238976E-2</v>
      </c>
      <c r="EJ938" s="4">
        <f t="shared" si="4044"/>
        <v>7.7226095741625742E-2</v>
      </c>
      <c r="EK938" s="4">
        <f t="shared" si="4044"/>
        <v>8.0399316763465595E-2</v>
      </c>
      <c r="EL938" s="185">
        <f t="shared" si="4044"/>
        <v>8.0399316763465581E-2</v>
      </c>
      <c r="EM938" s="4">
        <f t="shared" si="4044"/>
        <v>8.3898582431282467E-2</v>
      </c>
      <c r="EN938" s="4">
        <f t="shared" si="4044"/>
        <v>8.7334538859143412E-2</v>
      </c>
      <c r="EO938" s="185">
        <f t="shared" si="4044"/>
        <v>8.7334538859143412E-2</v>
      </c>
      <c r="EP938" s="4">
        <f t="shared" si="4044"/>
        <v>9.1123622962880596E-2</v>
      </c>
      <c r="EQ938" s="4">
        <f t="shared" si="4044"/>
        <v>9.4844142149120111E-2</v>
      </c>
      <c r="ER938" s="185">
        <f t="shared" si="4044"/>
        <v>9.4844142149120125E-2</v>
      </c>
      <c r="ES938" s="4">
        <f t="shared" ref="ES938:EX938" si="4045">ES753/((ES699+ES705+ES711+ES717+ES723+ES729)*1000000)</f>
        <v>9.8947121468886068E-2</v>
      </c>
      <c r="ET938" s="4">
        <f t="shared" si="4045"/>
        <v>0.102975843654317</v>
      </c>
      <c r="EU938" s="185">
        <f t="shared" si="4045"/>
        <v>0.10297584365431703</v>
      </c>
      <c r="EV938" s="4">
        <f t="shared" si="4045"/>
        <v>0.10741879469027342</v>
      </c>
      <c r="EW938" s="4">
        <f t="shared" si="4045"/>
        <v>0.11178132357807456</v>
      </c>
      <c r="EX938" s="185">
        <f t="shared" si="4045"/>
        <v>0.11178132357807459</v>
      </c>
      <c r="EY938" s="4">
        <f t="shared" ref="EY938:FA938" si="4046">EY753/((EY699+EY705+EY711+EY717+EY723+EY729)*1000000)</f>
        <v>0.11659248864208208</v>
      </c>
      <c r="EZ938" s="4">
        <f t="shared" si="4046"/>
        <v>0.12131655447797567</v>
      </c>
      <c r="FA938" s="185">
        <f t="shared" si="4046"/>
        <v>0.12131655447797568</v>
      </c>
      <c r="FH938" s="35"/>
      <c r="FI938" s="35"/>
      <c r="FJ938" s="35"/>
      <c r="FK938" s="35"/>
      <c r="FL938" s="35"/>
      <c r="FM938" s="35"/>
      <c r="FN938" s="35"/>
      <c r="FO938" s="35"/>
      <c r="FP938" s="35"/>
      <c r="FQ938" s="35"/>
    </row>
    <row r="939" spans="1:173" s="321" customFormat="1" ht="13.5" hidden="1" outlineLevel="1" thickBot="1">
      <c r="A939" s="1437"/>
      <c r="B939" s="967"/>
      <c r="C939" s="967" t="s">
        <v>327</v>
      </c>
      <c r="D939" s="327"/>
      <c r="E939" s="18"/>
      <c r="F939" s="18"/>
      <c r="G939" s="19"/>
      <c r="H939" s="18"/>
      <c r="I939" s="18"/>
      <c r="J939" s="19"/>
      <c r="K939" s="18"/>
      <c r="L939" s="18"/>
      <c r="M939" s="19"/>
      <c r="N939" s="18"/>
      <c r="O939" s="18"/>
      <c r="P939" s="19"/>
      <c r="Q939" s="18"/>
      <c r="R939" s="18"/>
      <c r="S939" s="19"/>
      <c r="T939" s="18"/>
      <c r="U939" s="18"/>
      <c r="V939" s="19"/>
      <c r="W939" s="18"/>
      <c r="X939" s="18"/>
      <c r="Y939" s="19"/>
      <c r="Z939" s="18"/>
      <c r="AA939" s="18"/>
      <c r="AB939" s="19"/>
      <c r="AC939" s="18"/>
      <c r="AD939" s="18"/>
      <c r="AE939" s="19"/>
      <c r="AF939" s="18"/>
      <c r="AG939" s="18"/>
      <c r="AH939" s="19"/>
      <c r="AI939" s="18"/>
      <c r="AJ939" s="18"/>
      <c r="AK939" s="19"/>
      <c r="AL939" s="18"/>
      <c r="AM939" s="18"/>
      <c r="AN939" s="19"/>
      <c r="AO939" s="18"/>
      <c r="AP939" s="18"/>
      <c r="AQ939" s="19"/>
      <c r="AR939" s="18"/>
      <c r="AS939" s="18"/>
      <c r="AT939" s="19"/>
      <c r="AU939" s="18"/>
      <c r="AV939" s="18"/>
      <c r="AW939" s="19"/>
      <c r="AX939" s="220">
        <f t="shared" ref="AX939:CC939" si="4047">AX754/((AX700+AX706+AX712+AX718+AX724+AX730)*1000000)</f>
        <v>5.9867808817261857E-3</v>
      </c>
      <c r="AY939" s="220">
        <f t="shared" si="4047"/>
        <v>6.6216166226448266E-3</v>
      </c>
      <c r="AZ939" s="220">
        <f t="shared" si="4047"/>
        <v>4.2696204422445119E-3</v>
      </c>
      <c r="BA939" s="11">
        <f t="shared" si="4047"/>
        <v>7.282840970871971E-3</v>
      </c>
      <c r="BB939" s="11">
        <f t="shared" si="4047"/>
        <v>8.0410942180546719E-3</v>
      </c>
      <c r="BC939" s="985">
        <f t="shared" si="4047"/>
        <v>8.0410942180546719E-3</v>
      </c>
      <c r="BD939" s="11">
        <f t="shared" si="4047"/>
        <v>8.8192400515930483E-3</v>
      </c>
      <c r="BE939" s="11">
        <f t="shared" si="4047"/>
        <v>9.7466212061289772E-3</v>
      </c>
      <c r="BF939" s="985">
        <f t="shared" si="4047"/>
        <v>9.7466212061289772E-3</v>
      </c>
      <c r="BG939" s="11">
        <f t="shared" si="4047"/>
        <v>1.0607387300238883E-2</v>
      </c>
      <c r="BH939" s="11">
        <f t="shared" si="4047"/>
        <v>1.1593085615485879E-2</v>
      </c>
      <c r="BI939" s="985">
        <f t="shared" si="4047"/>
        <v>1.1593085615485877E-2</v>
      </c>
      <c r="BJ939" s="151">
        <f t="shared" si="4047"/>
        <v>1.2471338709270051E-2</v>
      </c>
      <c r="BK939" s="151">
        <f t="shared" si="4047"/>
        <v>1.3541186497981242E-2</v>
      </c>
      <c r="BL939" s="152">
        <f t="shared" si="4047"/>
        <v>1.3541186497981243E-2</v>
      </c>
      <c r="BM939" s="151">
        <f t="shared" si="4047"/>
        <v>1.4624429917158554E-2</v>
      </c>
      <c r="BN939" s="151">
        <f t="shared" si="4047"/>
        <v>1.5862568729260718E-2</v>
      </c>
      <c r="BO939" s="152">
        <f t="shared" si="4047"/>
        <v>1.5862568729260718E-2</v>
      </c>
      <c r="BP939" s="151">
        <f t="shared" si="4047"/>
        <v>1.7273386133161074E-2</v>
      </c>
      <c r="BQ939" s="151">
        <f t="shared" si="4047"/>
        <v>1.8638937175756858E-2</v>
      </c>
      <c r="BR939" s="152">
        <f t="shared" si="4047"/>
        <v>1.8638937175756862E-2</v>
      </c>
      <c r="BS939" s="11">
        <f t="shared" si="4047"/>
        <v>2.0354695396217138E-2</v>
      </c>
      <c r="BT939" s="11">
        <f t="shared" si="4047"/>
        <v>2.206810106784908E-2</v>
      </c>
      <c r="BU939" s="220">
        <f t="shared" si="4047"/>
        <v>2.206810106784908E-2</v>
      </c>
      <c r="BV939" s="11">
        <f t="shared" si="4047"/>
        <v>2.3997662388950809E-2</v>
      </c>
      <c r="BW939" s="11">
        <f t="shared" si="4047"/>
        <v>2.5967730056589321E-2</v>
      </c>
      <c r="BX939" s="220">
        <f t="shared" si="4047"/>
        <v>2.5967730056589321E-2</v>
      </c>
      <c r="BY939" s="11">
        <f t="shared" si="4047"/>
        <v>2.7939361996009947E-2</v>
      </c>
      <c r="BZ939" s="11">
        <f t="shared" si="4047"/>
        <v>2.992493311636979E-2</v>
      </c>
      <c r="CA939" s="220">
        <f t="shared" si="4047"/>
        <v>2.9924933116369786E-2</v>
      </c>
      <c r="CB939" s="11">
        <f t="shared" si="4047"/>
        <v>3.2027593777034735E-2</v>
      </c>
      <c r="CC939" s="11">
        <f t="shared" si="4047"/>
        <v>3.4403405721564959E-2</v>
      </c>
      <c r="CD939" s="220">
        <f t="shared" ref="CD939:DI939" si="4048">CD754/((CD700+CD706+CD712+CD718+CD724+CD730)*1000000)</f>
        <v>3.4403405721564966E-2</v>
      </c>
      <c r="CE939" s="11">
        <f t="shared" si="4048"/>
        <v>3.6909237949124971E-2</v>
      </c>
      <c r="CF939" s="11">
        <f t="shared" si="4048"/>
        <v>3.9635359139593568E-2</v>
      </c>
      <c r="CG939" s="220">
        <f t="shared" si="4048"/>
        <v>3.9635359139593575E-2</v>
      </c>
      <c r="CH939" s="11">
        <f t="shared" si="4048"/>
        <v>4.1882911180066325E-2</v>
      </c>
      <c r="CI939" s="11">
        <f t="shared" si="4048"/>
        <v>4.448310219247982E-2</v>
      </c>
      <c r="CJ939" s="220">
        <f t="shared" si="4048"/>
        <v>4.4483102192479813E-2</v>
      </c>
      <c r="CK939" s="11">
        <f t="shared" si="4048"/>
        <v>4.7250194246880983E-2</v>
      </c>
      <c r="CL939" s="11">
        <f t="shared" si="4048"/>
        <v>4.989767746623773E-2</v>
      </c>
      <c r="CM939" s="220">
        <f t="shared" si="4048"/>
        <v>4.9897677466237723E-2</v>
      </c>
      <c r="CN939" s="11">
        <f t="shared" si="4048"/>
        <v>5.2327266309806914E-2</v>
      </c>
      <c r="CO939" s="11">
        <f t="shared" si="4048"/>
        <v>5.5259698195828488E-2</v>
      </c>
      <c r="CP939" s="220">
        <f t="shared" si="4048"/>
        <v>5.5259698195828481E-2</v>
      </c>
      <c r="CQ939" s="11">
        <f t="shared" si="4048"/>
        <v>5.7753537817502441E-2</v>
      </c>
      <c r="CR939" s="11">
        <f t="shared" si="4048"/>
        <v>6.0898972376589075E-2</v>
      </c>
      <c r="CS939" s="220">
        <f t="shared" si="4048"/>
        <v>6.0898972376589061E-2</v>
      </c>
      <c r="CT939" s="11">
        <f t="shared" si="4048"/>
        <v>6.393537322050255E-2</v>
      </c>
      <c r="CU939" s="11">
        <f t="shared" si="4048"/>
        <v>6.7141226657142075E-2</v>
      </c>
      <c r="CV939" s="220">
        <f t="shared" si="4048"/>
        <v>6.7141226657142075E-2</v>
      </c>
      <c r="CW939" s="11">
        <f t="shared" si="4048"/>
        <v>7.0526211291944127E-2</v>
      </c>
      <c r="CX939" s="11">
        <f t="shared" si="4048"/>
        <v>7.3959823637967589E-2</v>
      </c>
      <c r="CY939" s="220">
        <f t="shared" si="4048"/>
        <v>7.3959823637967589E-2</v>
      </c>
      <c r="CZ939" s="11">
        <f t="shared" si="4048"/>
        <v>7.7354813280859525E-2</v>
      </c>
      <c r="DA939" s="11">
        <f t="shared" si="4048"/>
        <v>8.1370043121629848E-2</v>
      </c>
      <c r="DB939" s="220">
        <f t="shared" si="4048"/>
        <v>8.1370043121629848E-2</v>
      </c>
      <c r="DC939" s="11">
        <f t="shared" si="4048"/>
        <v>8.4881017683165402E-2</v>
      </c>
      <c r="DD939" s="11">
        <f t="shared" si="4048"/>
        <v>8.8466064283106938E-2</v>
      </c>
      <c r="DE939" s="220">
        <f t="shared" si="4048"/>
        <v>8.8466064283106924E-2</v>
      </c>
      <c r="DF939" s="11">
        <f t="shared" si="4048"/>
        <v>9.2404465107941286E-2</v>
      </c>
      <c r="DG939" s="11">
        <f t="shared" si="4048"/>
        <v>9.5016033264960179E-2</v>
      </c>
      <c r="DH939" s="220">
        <f t="shared" si="4048"/>
        <v>9.5016033264960179E-2</v>
      </c>
      <c r="DI939" s="11">
        <f t="shared" si="4048"/>
        <v>9.8571480599675979E-2</v>
      </c>
      <c r="DJ939" s="11">
        <f t="shared" ref="DJ939:ER939" si="4049">DJ754/((DJ700+DJ706+DJ712+DJ718+DJ724+DJ730)*1000000)</f>
        <v>0.1024617282578482</v>
      </c>
      <c r="DK939" s="220">
        <f t="shared" si="4049"/>
        <v>0.1024617282578482</v>
      </c>
      <c r="DL939" s="11">
        <f t="shared" si="4049"/>
        <v>0.10624029650210695</v>
      </c>
      <c r="DM939" s="11">
        <f t="shared" si="4049"/>
        <v>0.11021346557680615</v>
      </c>
      <c r="DN939" s="220">
        <f t="shared" si="4049"/>
        <v>0.11021346557680615</v>
      </c>
      <c r="DO939" s="11">
        <f t="shared" si="4049"/>
        <v>0.11453490994333985</v>
      </c>
      <c r="DP939" s="11">
        <f t="shared" si="4049"/>
        <v>0.11921005948404748</v>
      </c>
      <c r="DQ939" s="220">
        <f t="shared" si="4049"/>
        <v>0.11921005948404748</v>
      </c>
      <c r="DR939" s="11">
        <f t="shared" si="4049"/>
        <v>0.12417211988267292</v>
      </c>
      <c r="DS939" s="11">
        <f t="shared" si="4049"/>
        <v>0.12900211415252757</v>
      </c>
      <c r="DT939" s="220">
        <f t="shared" si="4049"/>
        <v>0.1290021141525276</v>
      </c>
      <c r="DU939" s="11">
        <f t="shared" si="4049"/>
        <v>0.13412413901847428</v>
      </c>
      <c r="DV939" s="11">
        <f t="shared" si="4049"/>
        <v>0.13990382932502798</v>
      </c>
      <c r="DW939" s="220">
        <f t="shared" si="4049"/>
        <v>0.13990382932502796</v>
      </c>
      <c r="DX939" s="11">
        <f t="shared" si="4049"/>
        <v>0.14536945728578279</v>
      </c>
      <c r="DY939" s="11">
        <f t="shared" si="4049"/>
        <v>0.15171357014843589</v>
      </c>
      <c r="DZ939" s="220">
        <f t="shared" si="4049"/>
        <v>0.15171357014843589</v>
      </c>
      <c r="EA939" s="11">
        <f t="shared" si="4049"/>
        <v>0.15827464617041201</v>
      </c>
      <c r="EB939" s="11">
        <f t="shared" si="4049"/>
        <v>0.16504237249796519</v>
      </c>
      <c r="EC939" s="220">
        <f t="shared" si="4049"/>
        <v>0.16504237249796522</v>
      </c>
      <c r="ED939" s="11">
        <f t="shared" si="4049"/>
        <v>0.1721761122152958</v>
      </c>
      <c r="EE939" s="11">
        <f t="shared" si="4049"/>
        <v>0.17953449446103728</v>
      </c>
      <c r="EF939" s="220">
        <f t="shared" si="4049"/>
        <v>0.17953449446103725</v>
      </c>
      <c r="EG939" s="11">
        <f t="shared" si="4049"/>
        <v>0.18729080870188933</v>
      </c>
      <c r="EH939" s="11">
        <f t="shared" si="4049"/>
        <v>0.19529132170434521</v>
      </c>
      <c r="EI939" s="220">
        <f t="shared" si="4049"/>
        <v>0.19529132170434521</v>
      </c>
      <c r="EJ939" s="11">
        <f t="shared" si="4049"/>
        <v>0.20372446441695022</v>
      </c>
      <c r="EK939" s="11">
        <f t="shared" si="4049"/>
        <v>0.2124230618706528</v>
      </c>
      <c r="EL939" s="220">
        <f t="shared" si="4049"/>
        <v>0.21242306187065277</v>
      </c>
      <c r="EM939" s="11">
        <f t="shared" si="4049"/>
        <v>0.2215920074476492</v>
      </c>
      <c r="EN939" s="11">
        <f t="shared" si="4049"/>
        <v>0.2310495109886174</v>
      </c>
      <c r="EO939" s="220">
        <f t="shared" si="4049"/>
        <v>0.23104951098861731</v>
      </c>
      <c r="EP939" s="11">
        <f t="shared" si="4049"/>
        <v>0.24101836432029253</v>
      </c>
      <c r="EQ939" s="11">
        <f t="shared" si="4049"/>
        <v>0.25130088635784109</v>
      </c>
      <c r="ER939" s="220">
        <f t="shared" si="4049"/>
        <v>0.25130088635784109</v>
      </c>
      <c r="ES939" s="11">
        <f t="shared" ref="ES939:EX939" si="4050">ES754/((ES700+ES706+ES712+ES718+ES724+ES730)*1000000)</f>
        <v>0.26213932844860599</v>
      </c>
      <c r="ET939" s="11">
        <f t="shared" si="4050"/>
        <v>0.27331873166568982</v>
      </c>
      <c r="EU939" s="220">
        <f t="shared" si="4050"/>
        <v>0.27331873166568976</v>
      </c>
      <c r="EV939" s="11">
        <f t="shared" si="4050"/>
        <v>0.28510250389318303</v>
      </c>
      <c r="EW939" s="11">
        <f t="shared" si="4050"/>
        <v>0.29725690059012372</v>
      </c>
      <c r="EX939" s="220">
        <f t="shared" si="4050"/>
        <v>0.29725690059012372</v>
      </c>
      <c r="EY939" s="11">
        <f t="shared" ref="EY939:FA939" si="4051">EY754/((EY700+EY706+EY712+EY718+EY724+EY730)*1000000)</f>
        <v>0.31006833095255437</v>
      </c>
      <c r="EZ939" s="11">
        <f t="shared" si="4051"/>
        <v>0.3232826256834429</v>
      </c>
      <c r="FA939" s="220">
        <f t="shared" si="4051"/>
        <v>0.3232826256834429</v>
      </c>
      <c r="FH939" s="35"/>
      <c r="FI939" s="35"/>
      <c r="FJ939" s="35"/>
      <c r="FK939" s="35"/>
      <c r="FL939" s="35"/>
      <c r="FM939" s="35"/>
      <c r="FN939" s="35"/>
      <c r="FO939" s="35"/>
      <c r="FP939" s="35"/>
      <c r="FQ939" s="35"/>
    </row>
    <row r="940" spans="1:173" s="322" customFormat="1" hidden="1" outlineLevel="1">
      <c r="A940" s="1438"/>
      <c r="B940" s="322" t="s">
        <v>996</v>
      </c>
      <c r="D940" s="307"/>
      <c r="E940" s="323"/>
      <c r="F940" s="323"/>
      <c r="G940" s="324"/>
      <c r="H940" s="323"/>
      <c r="I940" s="323"/>
      <c r="J940" s="324"/>
      <c r="K940" s="323"/>
      <c r="L940" s="323"/>
      <c r="M940" s="324"/>
      <c r="N940" s="323"/>
      <c r="O940" s="323"/>
      <c r="P940" s="324"/>
      <c r="Q940" s="323"/>
      <c r="R940" s="323"/>
      <c r="S940" s="324"/>
      <c r="T940" s="323"/>
      <c r="U940" s="323"/>
      <c r="V940" s="324"/>
      <c r="W940" s="323"/>
      <c r="X940" s="323"/>
      <c r="Y940" s="324"/>
      <c r="Z940" s="323"/>
      <c r="AA940" s="323"/>
      <c r="AB940" s="324"/>
      <c r="AC940" s="323"/>
      <c r="AD940" s="323"/>
      <c r="AE940" s="324"/>
      <c r="AF940" s="323"/>
      <c r="AG940" s="323"/>
      <c r="AH940" s="324"/>
      <c r="AI940" s="323"/>
      <c r="AJ940" s="323"/>
      <c r="AK940" s="324"/>
      <c r="AL940" s="323"/>
      <c r="AM940" s="323"/>
      <c r="AN940" s="324"/>
      <c r="AO940" s="323"/>
      <c r="AP940" s="323"/>
      <c r="AQ940" s="324"/>
      <c r="AR940" s="323"/>
      <c r="AS940" s="323"/>
      <c r="AT940" s="324"/>
      <c r="AU940" s="323"/>
      <c r="AV940" s="323"/>
      <c r="AW940" s="324"/>
      <c r="AX940" s="325"/>
      <c r="AY940" s="325"/>
      <c r="AZ940" s="325"/>
      <c r="BA940" s="326"/>
      <c r="BB940" s="326"/>
      <c r="BC940" s="325"/>
      <c r="BD940" s="326"/>
      <c r="BE940" s="326"/>
      <c r="BF940" s="325"/>
      <c r="BG940" s="326"/>
      <c r="BH940" s="326"/>
      <c r="BI940" s="325"/>
      <c r="BJ940" s="320"/>
      <c r="BK940" s="320"/>
      <c r="BL940" s="320"/>
      <c r="BM940" s="320"/>
      <c r="BN940" s="320"/>
      <c r="BO940" s="320"/>
      <c r="BP940" s="320"/>
      <c r="BQ940" s="320"/>
      <c r="BR940" s="320"/>
      <c r="BS940" s="326"/>
      <c r="BT940" s="326"/>
      <c r="BU940" s="325"/>
      <c r="BV940" s="326"/>
      <c r="BW940" s="326"/>
      <c r="BX940" s="325"/>
      <c r="BY940" s="326"/>
      <c r="BZ940" s="326"/>
      <c r="CA940" s="325"/>
      <c r="CB940" s="326"/>
      <c r="CC940" s="326"/>
      <c r="CD940" s="325"/>
      <c r="CE940" s="326"/>
      <c r="CF940" s="326"/>
      <c r="CG940" s="325"/>
      <c r="CH940" s="326"/>
      <c r="CI940" s="326"/>
      <c r="CJ940" s="325"/>
      <c r="CK940" s="326"/>
      <c r="CL940" s="326"/>
      <c r="CM940" s="325"/>
      <c r="CN940" s="326"/>
      <c r="CO940" s="326"/>
      <c r="CP940" s="325"/>
      <c r="CQ940" s="326"/>
      <c r="CR940" s="326"/>
      <c r="CS940" s="325"/>
      <c r="CT940" s="326"/>
      <c r="CU940" s="326"/>
      <c r="CV940" s="325"/>
      <c r="CW940" s="326"/>
      <c r="CX940" s="326"/>
      <c r="CY940" s="325"/>
      <c r="CZ940" s="326"/>
      <c r="DA940" s="326"/>
      <c r="DB940" s="325"/>
      <c r="DC940" s="326"/>
      <c r="DD940" s="326"/>
      <c r="DE940" s="325"/>
      <c r="DF940" s="326"/>
      <c r="DG940" s="326"/>
      <c r="DH940" s="325"/>
      <c r="DI940" s="326"/>
      <c r="DJ940" s="326"/>
      <c r="DK940" s="325"/>
      <c r="DL940" s="326"/>
      <c r="DM940" s="326"/>
      <c r="DN940" s="325"/>
      <c r="DO940" s="326"/>
      <c r="DP940" s="326"/>
      <c r="DQ940" s="325"/>
      <c r="DR940" s="326"/>
      <c r="DS940" s="326"/>
      <c r="DT940" s="325"/>
      <c r="DU940" s="326"/>
      <c r="DV940" s="326"/>
      <c r="DW940" s="325"/>
      <c r="DX940" s="326"/>
      <c r="DY940" s="326"/>
      <c r="DZ940" s="325"/>
      <c r="EA940" s="326"/>
      <c r="EB940" s="326"/>
      <c r="EC940" s="325"/>
      <c r="ED940" s="326"/>
      <c r="EE940" s="326"/>
      <c r="EF940" s="325"/>
      <c r="EG940" s="326"/>
      <c r="EH940" s="326"/>
      <c r="EI940" s="325"/>
      <c r="EJ940" s="326"/>
      <c r="EK940" s="326"/>
      <c r="EL940" s="325"/>
      <c r="EM940" s="326"/>
      <c r="EN940" s="326"/>
      <c r="EO940" s="325"/>
      <c r="EP940" s="326"/>
      <c r="EQ940" s="326"/>
      <c r="ER940" s="325"/>
      <c r="ES940" s="326"/>
      <c r="ET940" s="326"/>
      <c r="EU940" s="325"/>
      <c r="EV940" s="326"/>
      <c r="EW940" s="326"/>
      <c r="EX940" s="325"/>
      <c r="EY940" s="326"/>
      <c r="EZ940" s="326"/>
      <c r="FA940" s="325"/>
      <c r="FH940" s="31"/>
      <c r="FI940" s="31"/>
      <c r="FJ940" s="31"/>
      <c r="FK940" s="31"/>
      <c r="FL940" s="31"/>
      <c r="FM940" s="31"/>
      <c r="FN940" s="31"/>
      <c r="FO940" s="31"/>
      <c r="FP940" s="31"/>
      <c r="FQ940" s="31"/>
    </row>
    <row r="941" spans="1:173" hidden="1" outlineLevel="1">
      <c r="B941" s="35" t="s">
        <v>994</v>
      </c>
    </row>
    <row r="942" spans="1:173" hidden="1" outlineLevel="1">
      <c r="C942" s="186" t="s">
        <v>316</v>
      </c>
      <c r="D942" s="162" t="s">
        <v>985</v>
      </c>
      <c r="AX942" s="74">
        <f t="shared" ref="AX942:AZ944" si="4052">AX697+AX703+AX715+AX721</f>
        <v>1.5220729584854058</v>
      </c>
      <c r="AY942" s="74">
        <f t="shared" si="4052"/>
        <v>1.5265630737129381</v>
      </c>
      <c r="AZ942" s="74">
        <f t="shared" si="4052"/>
        <v>1.5211787869233437</v>
      </c>
      <c r="BA942" s="74">
        <f t="shared" ref="BA942:CF942" si="4053">BA619+BA631</f>
        <v>1.6287940795536073</v>
      </c>
      <c r="BB942" s="74">
        <f t="shared" si="4053"/>
        <v>1.6335990220882906</v>
      </c>
      <c r="BC942" s="74">
        <f t="shared" si="4053"/>
        <v>1.627837212579345</v>
      </c>
      <c r="BD942" s="74">
        <f t="shared" si="4053"/>
        <v>1.6384181392034511</v>
      </c>
      <c r="BE942" s="74">
        <f t="shared" si="4053"/>
        <v>1.6432514727141012</v>
      </c>
      <c r="BF942" s="74">
        <f t="shared" si="4053"/>
        <v>1.6374556183869058</v>
      </c>
      <c r="BG942" s="74">
        <f t="shared" si="4053"/>
        <v>1.6480990645586082</v>
      </c>
      <c r="BH942" s="74">
        <f t="shared" si="4053"/>
        <v>1.652960956799056</v>
      </c>
      <c r="BI942" s="74">
        <f t="shared" si="4053"/>
        <v>1.6471308564929079</v>
      </c>
      <c r="BJ942" s="74">
        <f t="shared" si="4053"/>
        <v>1.657837191621613</v>
      </c>
      <c r="BK942" s="74">
        <f t="shared" si="4053"/>
        <v>1.6627278113368971</v>
      </c>
      <c r="BL942" s="74">
        <f t="shared" si="4053"/>
        <v>1.6568632627024944</v>
      </c>
      <c r="BM942" s="74">
        <f t="shared" si="4053"/>
        <v>1.6651803348586189</v>
      </c>
      <c r="BN942" s="74">
        <f t="shared" si="4053"/>
        <v>1.667636475852535</v>
      </c>
      <c r="BO942" s="74">
        <f t="shared" si="4053"/>
        <v>1.661745951072308</v>
      </c>
      <c r="BP942" s="74">
        <f t="shared" si="4053"/>
        <v>1.6700962396544172</v>
      </c>
      <c r="BQ942" s="74">
        <f t="shared" si="4053"/>
        <v>1.6725596316079072</v>
      </c>
      <c r="BR942" s="74">
        <f t="shared" si="4053"/>
        <v>1.6666517169640058</v>
      </c>
      <c r="BS942" s="74">
        <f t="shared" si="4053"/>
        <v>1.6750266570645289</v>
      </c>
      <c r="BT942" s="74">
        <f t="shared" si="4053"/>
        <v>1.677497321383699</v>
      </c>
      <c r="BU942" s="74">
        <f t="shared" si="4053"/>
        <v>1.6715719655381909</v>
      </c>
      <c r="BV942" s="74">
        <f t="shared" si="4053"/>
        <v>1.6799716299327399</v>
      </c>
      <c r="BW942" s="74">
        <f t="shared" si="4053"/>
        <v>1.6824495880868904</v>
      </c>
      <c r="BX942" s="74">
        <f t="shared" si="4053"/>
        <v>1.676506739550286</v>
      </c>
      <c r="BY942" s="74">
        <f t="shared" si="4053"/>
        <v>1.6849312012293183</v>
      </c>
      <c r="BZ942" s="74">
        <f t="shared" si="4053"/>
        <v>1.6874164747511315</v>
      </c>
      <c r="CA942" s="74">
        <f t="shared" si="4053"/>
        <v>1.6814560818819344</v>
      </c>
      <c r="CB942" s="74">
        <f t="shared" si="4053"/>
        <v>1.6899054140513892</v>
      </c>
      <c r="CC942" s="74">
        <f t="shared" si="4053"/>
        <v>1.6923980245371151</v>
      </c>
      <c r="CD942" s="74">
        <f t="shared" si="4053"/>
        <v>1.6864200355413739</v>
      </c>
      <c r="CE942" s="74">
        <f t="shared" si="4053"/>
        <v>1.6948943116233068</v>
      </c>
      <c r="CF942" s="74">
        <f t="shared" si="4053"/>
        <v>1.6973942807329512</v>
      </c>
      <c r="CG942" s="74">
        <f t="shared" ref="CG942:DL942" si="4054">CG619+CG631</f>
        <v>1.69139864366381</v>
      </c>
      <c r="CH942" s="74">
        <f t="shared" si="4054"/>
        <v>1.699897937297032</v>
      </c>
      <c r="CI942" s="74">
        <f t="shared" si="4054"/>
        <v>1.7024052867545452</v>
      </c>
      <c r="CJ942" s="74">
        <f t="shared" si="4054"/>
        <v>1.6963919495117921</v>
      </c>
      <c r="CK942" s="74">
        <f t="shared" si="4054"/>
        <v>1.7049163345525076</v>
      </c>
      <c r="CL942" s="74">
        <f t="shared" si="4054"/>
        <v>1.7074310861459725</v>
      </c>
      <c r="CM942" s="74">
        <f t="shared" si="4054"/>
        <v>1.7013999964755868</v>
      </c>
      <c r="CN942" s="74">
        <f t="shared" si="4054"/>
        <v>1.7099495469980375</v>
      </c>
      <c r="CO942" s="74">
        <f t="shared" si="4054"/>
        <v>1.7124717225798594</v>
      </c>
      <c r="CP942" s="74">
        <f t="shared" si="4054"/>
        <v>1.7064228280735565</v>
      </c>
      <c r="CQ942" s="74">
        <f t="shared" si="4054"/>
        <v>1.7149976183706646</v>
      </c>
      <c r="CR942" s="74">
        <f t="shared" si="4054"/>
        <v>1.7175272398577612</v>
      </c>
      <c r="CS942" s="74">
        <f t="shared" si="4054"/>
        <v>1.711460487952539</v>
      </c>
      <c r="CT942" s="74">
        <f t="shared" si="4054"/>
        <v>1.7200605925365511</v>
      </c>
      <c r="CU942" s="74">
        <f t="shared" si="4054"/>
        <v>1.7225976819105422</v>
      </c>
      <c r="CV942" s="74">
        <f t="shared" si="4054"/>
        <v>1.7165130198882226</v>
      </c>
      <c r="CW942" s="74">
        <f t="shared" si="4054"/>
        <v>1.7251385134913604</v>
      </c>
      <c r="CX942" s="74">
        <f t="shared" si="4054"/>
        <v>1.7276830927987596</v>
      </c>
      <c r="CY942" s="74">
        <f t="shared" si="4054"/>
        <v>1.7215804677855311</v>
      </c>
      <c r="CZ942" s="74">
        <f t="shared" si="4054"/>
        <v>1.7302314253606377</v>
      </c>
      <c r="DA942" s="74">
        <f t="shared" si="4054"/>
        <v>1.7327835167130445</v>
      </c>
      <c r="DB942" s="74">
        <f t="shared" si="4054"/>
        <v>1.7266628756790032</v>
      </c>
      <c r="DC942" s="74">
        <f t="shared" si="4054"/>
        <v>1.7353393724001962</v>
      </c>
      <c r="DD942" s="74">
        <f t="shared" si="4054"/>
        <v>1.7378989979744863</v>
      </c>
      <c r="DE942" s="74">
        <f t="shared" si="4054"/>
        <v>1.731760287733175</v>
      </c>
      <c r="DF942" s="74">
        <f t="shared" si="4054"/>
        <v>1.7404623989964989</v>
      </c>
      <c r="DG942" s="74">
        <f t="shared" si="4054"/>
        <v>1.7430295810350183</v>
      </c>
      <c r="DH942" s="74">
        <f t="shared" si="4054"/>
        <v>1.7368727482429636</v>
      </c>
      <c r="DI942" s="74">
        <f t="shared" si="4054"/>
        <v>1.7456005496670446</v>
      </c>
      <c r="DJ942" s="74">
        <f t="shared" si="4054"/>
        <v>1.7481753104778033</v>
      </c>
      <c r="DK942" s="74">
        <f t="shared" si="4054"/>
        <v>1.7420003016340528</v>
      </c>
      <c r="DL942" s="74">
        <f t="shared" si="4054"/>
        <v>1.7507538690607578</v>
      </c>
      <c r="DM942" s="74">
        <f t="shared" ref="DM942:ER942" si="4055">DM619+DM631</f>
        <v>1.7533362310176221</v>
      </c>
      <c r="DN942" s="74">
        <f t="shared" si="4055"/>
        <v>1.7471429924632789</v>
      </c>
      <c r="DO942" s="74">
        <f t="shared" si="4055"/>
        <v>1.7559224019583732</v>
      </c>
      <c r="DP942" s="74">
        <f t="shared" si="4055"/>
        <v>1.7585123875012616</v>
      </c>
      <c r="DQ942" s="74">
        <f t="shared" si="4055"/>
        <v>1.7523008654190182</v>
      </c>
      <c r="DR942" s="74">
        <f t="shared" si="4055"/>
        <v>1.761106193272826</v>
      </c>
      <c r="DS942" s="74">
        <f t="shared" si="4055"/>
        <v>1.7637038249079029</v>
      </c>
      <c r="DT942" s="74">
        <f t="shared" si="4055"/>
        <v>1.7574739653215743</v>
      </c>
      <c r="DU942" s="74">
        <f t="shared" si="4055"/>
        <v>1.7663052880496422</v>
      </c>
      <c r="DV942" s="74">
        <f t="shared" si="4055"/>
        <v>1.7689105883495149</v>
      </c>
      <c r="DW942" s="74">
        <f t="shared" si="4055"/>
        <v>1.7626623371235683</v>
      </c>
      <c r="DX942" s="74">
        <f t="shared" si="4055"/>
        <v>1.7715197314673303</v>
      </c>
      <c r="DY942" s="74">
        <f t="shared" si="4055"/>
        <v>1.7741327230712445</v>
      </c>
      <c r="DZ942" s="74">
        <f t="shared" si="4055"/>
        <v>1.76786602591033</v>
      </c>
      <c r="EA942" s="74">
        <f t="shared" si="4055"/>
        <v>1.7767495688377739</v>
      </c>
      <c r="EB942" s="74">
        <f t="shared" si="4055"/>
        <v>1.7793702744518098</v>
      </c>
      <c r="EC942" s="74">
        <f t="shared" si="4055"/>
        <v>1.7730850769002877</v>
      </c>
      <c r="ED942" s="74">
        <f t="shared" si="4055"/>
        <v>1.7819948456066259</v>
      </c>
      <c r="EE942" s="74">
        <f t="shared" si="4055"/>
        <v>1.7846232880038955</v>
      </c>
      <c r="EF942" s="74">
        <f t="shared" si="4055"/>
        <v>1.7783195354453634</v>
      </c>
      <c r="EG942" s="74">
        <f t="shared" si="4055"/>
        <v>1.7872556073537009</v>
      </c>
      <c r="EH942" s="74">
        <f t="shared" si="4055"/>
        <v>1.7898918093745477</v>
      </c>
      <c r="EI942" s="74">
        <f t="shared" si="4055"/>
        <v>1.7835694470313661</v>
      </c>
      <c r="EJ942" s="74">
        <f t="shared" si="4055"/>
        <v>1.7925318997933748</v>
      </c>
      <c r="EK942" s="74">
        <f t="shared" si="4055"/>
        <v>1.7951758843455696</v>
      </c>
      <c r="EL942" s="74">
        <f t="shared" si="4055"/>
        <v>1.7888348572783863</v>
      </c>
      <c r="EM942" s="74">
        <f t="shared" si="4055"/>
        <v>1.7978237687749794</v>
      </c>
      <c r="EN942" s="74">
        <f t="shared" si="4055"/>
        <v>1.8004755588339223</v>
      </c>
      <c r="EO942" s="74">
        <f t="shared" si="4055"/>
        <v>1.7941158119411935</v>
      </c>
      <c r="EP942" s="74">
        <f t="shared" si="4055"/>
        <v>1.8031312602832021</v>
      </c>
      <c r="EQ942" s="74">
        <f t="shared" si="4055"/>
        <v>1.8057908788921195</v>
      </c>
      <c r="ER942" s="74">
        <f t="shared" si="4055"/>
        <v>1.7994123569096332</v>
      </c>
      <c r="ES942" s="74">
        <f t="shared" ref="ES942:EX942" si="4056">ES619+ES631</f>
        <v>1.8084544204384851</v>
      </c>
      <c r="ET942" s="74">
        <f t="shared" si="4056"/>
        <v>1.8111218907086317</v>
      </c>
      <c r="EU942" s="74">
        <f t="shared" si="4056"/>
        <v>1.8047245382090251</v>
      </c>
      <c r="EV942" s="74">
        <f t="shared" si="4056"/>
        <v>1.8137932954974267</v>
      </c>
      <c r="EW942" s="74">
        <f t="shared" si="4056"/>
        <v>1.8164686406082851</v>
      </c>
      <c r="EX942" s="74">
        <f t="shared" si="4056"/>
        <v>1.8100524020005646</v>
      </c>
      <c r="EY942" s="74">
        <f t="shared" ref="EY942:FA942" si="4057">EY619+EY631</f>
        <v>1.8191479318531822</v>
      </c>
      <c r="EZ942" s="74">
        <f t="shared" si="4057"/>
        <v>1.8218311750526655</v>
      </c>
      <c r="FA942" s="74">
        <f t="shared" si="4057"/>
        <v>1.8153959945817233</v>
      </c>
    </row>
    <row r="943" spans="1:173" hidden="1" outlineLevel="1">
      <c r="C943" s="186" t="s">
        <v>317</v>
      </c>
      <c r="D943" s="162" t="s">
        <v>985</v>
      </c>
      <c r="AX943" s="74">
        <f t="shared" si="4052"/>
        <v>3.2577320619792225</v>
      </c>
      <c r="AY943" s="74">
        <f t="shared" si="4052"/>
        <v>3.2548001031234417</v>
      </c>
      <c r="AZ943" s="74">
        <f t="shared" si="4052"/>
        <v>3.2468808988026638</v>
      </c>
      <c r="BA943" s="74">
        <f t="shared" ref="BA943:CF943" si="4058">BA620+BA632</f>
        <v>3.6131897589229229</v>
      </c>
      <c r="BB943" s="74">
        <f t="shared" si="4058"/>
        <v>3.6099378881398918</v>
      </c>
      <c r="BC943" s="74">
        <f t="shared" si="4058"/>
        <v>3.6011546035092743</v>
      </c>
      <c r="BD943" s="74">
        <f t="shared" si="4058"/>
        <v>3.6066889440405658</v>
      </c>
      <c r="BE943" s="74">
        <f t="shared" si="4058"/>
        <v>3.6034429239909294</v>
      </c>
      <c r="BF943" s="74">
        <f t="shared" si="4058"/>
        <v>3.5946754421581861</v>
      </c>
      <c r="BG943" s="74">
        <f t="shared" si="4058"/>
        <v>3.6001998253593372</v>
      </c>
      <c r="BH943" s="74">
        <f t="shared" si="4058"/>
        <v>3.596959645516514</v>
      </c>
      <c r="BI943" s="74">
        <f t="shared" si="4058"/>
        <v>3.5882079380494103</v>
      </c>
      <c r="BJ943" s="74">
        <f t="shared" si="4058"/>
        <v>3.593722381835549</v>
      </c>
      <c r="BK943" s="74">
        <f t="shared" si="4058"/>
        <v>3.5904880316918968</v>
      </c>
      <c r="BL943" s="74">
        <f t="shared" si="4058"/>
        <v>3.5817520702093502</v>
      </c>
      <c r="BM943" s="74">
        <f t="shared" si="4058"/>
        <v>3.588872312077636</v>
      </c>
      <c r="BN943" s="74">
        <f t="shared" si="4058"/>
        <v>3.5872573195372013</v>
      </c>
      <c r="BO943" s="74">
        <f t="shared" si="4058"/>
        <v>3.5785331480645919</v>
      </c>
      <c r="BP943" s="74">
        <f t="shared" si="4058"/>
        <v>3.585643053743409</v>
      </c>
      <c r="BQ943" s="74">
        <f t="shared" si="4058"/>
        <v>3.5840295143692247</v>
      </c>
      <c r="BR943" s="74">
        <f t="shared" si="4058"/>
        <v>3.5753131928842956</v>
      </c>
      <c r="BS943" s="74">
        <f t="shared" si="4058"/>
        <v>3.5824167010877583</v>
      </c>
      <c r="BT943" s="74">
        <f t="shared" si="4058"/>
        <v>3.5808046135722691</v>
      </c>
      <c r="BU943" s="74">
        <f t="shared" si="4058"/>
        <v>3.572096135011622</v>
      </c>
      <c r="BV943" s="74">
        <f t="shared" si="4058"/>
        <v>3.5791932514961622</v>
      </c>
      <c r="BW943" s="74">
        <f t="shared" si="4058"/>
        <v>3.5775826145329885</v>
      </c>
      <c r="BX943" s="74">
        <f t="shared" si="4058"/>
        <v>3.5688819718395792</v>
      </c>
      <c r="BY943" s="74">
        <f t="shared" si="4058"/>
        <v>3.5759727023564496</v>
      </c>
      <c r="BZ943" s="74">
        <f t="shared" si="4058"/>
        <v>3.5743635146403885</v>
      </c>
      <c r="CA943" s="74">
        <f t="shared" si="4058"/>
        <v>3.5656707007635227</v>
      </c>
      <c r="CB943" s="74">
        <f t="shared" si="4058"/>
        <v>3.5727550510588006</v>
      </c>
      <c r="CC943" s="74">
        <f t="shared" si="4058"/>
        <v>3.5711473112858245</v>
      </c>
      <c r="CD943" s="74">
        <f t="shared" si="4058"/>
        <v>3.5624623191811531</v>
      </c>
      <c r="CE943" s="74">
        <f t="shared" si="4058"/>
        <v>3.5695402949957464</v>
      </c>
      <c r="CF943" s="74">
        <f t="shared" si="4058"/>
        <v>3.5679340018629988</v>
      </c>
      <c r="CG943" s="74">
        <f t="shared" ref="CG943:DL943" si="4059">CG620+CG632</f>
        <v>3.5592568244925102</v>
      </c>
      <c r="CH943" s="74">
        <f t="shared" si="4059"/>
        <v>3.5663284315621602</v>
      </c>
      <c r="CI943" s="74">
        <f t="shared" si="4059"/>
        <v>3.5647235837679569</v>
      </c>
      <c r="CJ943" s="74">
        <f t="shared" si="4059"/>
        <v>3.5560542140999742</v>
      </c>
      <c r="CK943" s="74">
        <f t="shared" si="4059"/>
        <v>3.5631194581552625</v>
      </c>
      <c r="CL943" s="74">
        <f t="shared" si="4059"/>
        <v>3.561516054399092</v>
      </c>
      <c r="CM943" s="74">
        <f t="shared" si="4059"/>
        <v>3.5528544854082629</v>
      </c>
      <c r="CN943" s="74">
        <f t="shared" si="4059"/>
        <v>3.5599133721746123</v>
      </c>
      <c r="CO943" s="74">
        <f t="shared" si="4059"/>
        <v>3.5583114111571343</v>
      </c>
      <c r="CP943" s="74">
        <f t="shared" si="4059"/>
        <v>3.5496576358244289</v>
      </c>
      <c r="CQ943" s="74">
        <f t="shared" si="4059"/>
        <v>3.5567101710221136</v>
      </c>
      <c r="CR943" s="74">
        <f t="shared" si="4059"/>
        <v>3.5551096514451541</v>
      </c>
      <c r="CS943" s="74">
        <f t="shared" si="4059"/>
        <v>3.5464636627578594</v>
      </c>
      <c r="CT943" s="74">
        <f t="shared" si="4059"/>
        <v>3.5535098521020037</v>
      </c>
      <c r="CU943" s="74">
        <f t="shared" si="4059"/>
        <v>3.5519107726685579</v>
      </c>
      <c r="CV943" s="74">
        <f t="shared" si="4059"/>
        <v>3.5432725636202687</v>
      </c>
      <c r="CW943" s="74">
        <f t="shared" si="4059"/>
        <v>3.5503124128208574</v>
      </c>
      <c r="CX943" s="74">
        <f t="shared" si="4059"/>
        <v>3.5487147722350878</v>
      </c>
      <c r="CY943" s="74">
        <f t="shared" si="4059"/>
        <v>3.5400843358257044</v>
      </c>
      <c r="CZ943" s="74">
        <f t="shared" si="4059"/>
        <v>3.5471178505875822</v>
      </c>
      <c r="DA943" s="74">
        <f t="shared" si="4059"/>
        <v>3.5455216475548177</v>
      </c>
      <c r="DB943" s="74">
        <f t="shared" si="4059"/>
        <v>3.5368989767905399</v>
      </c>
      <c r="DC943" s="74">
        <f t="shared" si="4059"/>
        <v>3.5439261628134187</v>
      </c>
      <c r="DD943" s="74">
        <f t="shared" si="4059"/>
        <v>3.5423313960401517</v>
      </c>
      <c r="DE943" s="74">
        <f t="shared" si="4059"/>
        <v>3.5337164839334712</v>
      </c>
      <c r="DF943" s="74">
        <f t="shared" si="4059"/>
        <v>3.5407373469119348</v>
      </c>
      <c r="DG943" s="74">
        <f t="shared" si="4059"/>
        <v>3.5391440151058244</v>
      </c>
      <c r="DH943" s="74">
        <f t="shared" si="4059"/>
        <v>3.5305368546755194</v>
      </c>
      <c r="DI943" s="74">
        <f t="shared" si="4059"/>
        <v>3.5375514002990269</v>
      </c>
      <c r="DJ943" s="74">
        <f t="shared" si="4059"/>
        <v>3.5359595021688928</v>
      </c>
      <c r="DK943" s="74">
        <f t="shared" si="4059"/>
        <v>3.5273600864400256</v>
      </c>
      <c r="DL943" s="74">
        <f t="shared" si="4059"/>
        <v>3.5343683203929173</v>
      </c>
      <c r="DM943" s="74">
        <f t="shared" ref="DM943:ER943" si="4060">DM620+DM632</f>
        <v>3.5327778546487401</v>
      </c>
      <c r="DN943" s="74">
        <f t="shared" si="4060"/>
        <v>3.5241861766526466</v>
      </c>
      <c r="DO943" s="74">
        <f t="shared" si="4060"/>
        <v>3.5311881046141487</v>
      </c>
      <c r="DP943" s="74">
        <f t="shared" si="4060"/>
        <v>3.5295990699670732</v>
      </c>
      <c r="DQ943" s="74">
        <f t="shared" si="4060"/>
        <v>3.5210151227413609</v>
      </c>
      <c r="DR943" s="74">
        <f t="shared" si="4060"/>
        <v>3.5280107503855875</v>
      </c>
      <c r="DS943" s="74">
        <f t="shared" si="4060"/>
        <v>3.5264231455479145</v>
      </c>
      <c r="DT943" s="74">
        <f t="shared" si="4060"/>
        <v>3.5178469221364566</v>
      </c>
      <c r="DU943" s="74">
        <f t="shared" si="4060"/>
        <v>3.5248362551324179</v>
      </c>
      <c r="DV943" s="74">
        <f t="shared" si="4060"/>
        <v>3.5232500788176084</v>
      </c>
      <c r="DW943" s="74">
        <f t="shared" si="4060"/>
        <v>3.5146815722705353</v>
      </c>
      <c r="DX943" s="74">
        <f t="shared" si="4060"/>
        <v>3.5216646162821408</v>
      </c>
      <c r="DY943" s="74">
        <f t="shared" si="4060"/>
        <v>3.5200798672048137</v>
      </c>
      <c r="DZ943" s="74">
        <f t="shared" si="4060"/>
        <v>3.5115190705785109</v>
      </c>
      <c r="EA943" s="74">
        <f t="shared" si="4060"/>
        <v>3.5184958312645715</v>
      </c>
      <c r="EB943" s="74">
        <f t="shared" si="4060"/>
        <v>3.5169125081405026</v>
      </c>
      <c r="EC943" s="74">
        <f t="shared" si="4060"/>
        <v>3.508359414497602</v>
      </c>
      <c r="ED943" s="74">
        <f t="shared" si="4060"/>
        <v>3.5153298975118394</v>
      </c>
      <c r="EE943" s="74">
        <f t="shared" si="4060"/>
        <v>3.513747999057959</v>
      </c>
      <c r="EF943" s="74">
        <f t="shared" si="4060"/>
        <v>3.5052026014673356</v>
      </c>
      <c r="EG943" s="74">
        <f t="shared" si="4060"/>
        <v>3.5121668124583838</v>
      </c>
      <c r="EH943" s="74">
        <f t="shared" si="4060"/>
        <v>3.5105863373927768</v>
      </c>
      <c r="EI943" s="74">
        <f t="shared" si="4060"/>
        <v>3.5020486289295425</v>
      </c>
      <c r="EJ943" s="74">
        <f t="shared" si="4060"/>
        <v>3.5090065735409501</v>
      </c>
      <c r="EK943" s="74">
        <f t="shared" si="4060"/>
        <v>3.5074275205828567</v>
      </c>
      <c r="EL943" s="74">
        <f t="shared" si="4060"/>
        <v>3.4988974943283528</v>
      </c>
      <c r="EM943" s="74">
        <f t="shared" si="4060"/>
        <v>3.505849178198595</v>
      </c>
      <c r="EN943" s="74">
        <f t="shared" si="4060"/>
        <v>3.5042715460684057</v>
      </c>
      <c r="EO943" s="74">
        <f t="shared" si="4060"/>
        <v>3.4957491951102009</v>
      </c>
      <c r="EP943" s="74">
        <f t="shared" si="4060"/>
        <v>3.5026946238726762</v>
      </c>
      <c r="EQ943" s="74">
        <f t="shared" si="4060"/>
        <v>3.5011184112919338</v>
      </c>
      <c r="ER943" s="74">
        <f t="shared" si="4060"/>
        <v>3.4926037287238145</v>
      </c>
      <c r="ES943" s="74">
        <f t="shared" ref="ES943:EX943" si="4061">ES620+ES632</f>
        <v>3.4995429080068519</v>
      </c>
      <c r="ET943" s="74">
        <f t="shared" si="4061"/>
        <v>3.4979681136982492</v>
      </c>
      <c r="EU943" s="74">
        <f t="shared" si="4061"/>
        <v>3.4894610926202185</v>
      </c>
      <c r="EV943" s="74">
        <f t="shared" si="4061"/>
        <v>3.4963940280470851</v>
      </c>
      <c r="EW943" s="74">
        <f t="shared" si="4061"/>
        <v>3.4948206507344644</v>
      </c>
      <c r="EX943" s="74">
        <f t="shared" si="4061"/>
        <v>3.4863212842527314</v>
      </c>
      <c r="EY943" s="74">
        <f t="shared" ref="EY943:FA943" si="4062">EY620+EY632</f>
        <v>3.493247981441634</v>
      </c>
      <c r="EZ943" s="74">
        <f t="shared" si="4062"/>
        <v>3.4916760198499852</v>
      </c>
      <c r="FA943" s="74">
        <f t="shared" si="4062"/>
        <v>3.4831843010769648</v>
      </c>
    </row>
    <row r="944" spans="1:173" hidden="1" outlineLevel="1">
      <c r="C944" s="186" t="s">
        <v>431</v>
      </c>
      <c r="D944" s="162" t="s">
        <v>985</v>
      </c>
      <c r="AX944" s="74">
        <f t="shared" si="4052"/>
        <v>1.8971627317398001</v>
      </c>
      <c r="AY944" s="74">
        <f t="shared" si="4052"/>
        <v>1.9093045732229346</v>
      </c>
      <c r="AZ944" s="74">
        <f t="shared" si="4052"/>
        <v>1.8995315273627347</v>
      </c>
      <c r="BA944" s="74">
        <f t="shared" ref="BA944:CF944" si="4063">BA621+BA633</f>
        <v>19.215241224915612</v>
      </c>
      <c r="BB944" s="74">
        <f t="shared" si="4063"/>
        <v>19.33821876875507</v>
      </c>
      <c r="BC944" s="74">
        <f t="shared" si="4063"/>
        <v>19.239233357243382</v>
      </c>
      <c r="BD944" s="74">
        <f t="shared" si="4063"/>
        <v>19.461983368875103</v>
      </c>
      <c r="BE944" s="74">
        <f t="shared" si="4063"/>
        <v>19.586540062435905</v>
      </c>
      <c r="BF944" s="74">
        <f t="shared" si="4063"/>
        <v>19.486283583214409</v>
      </c>
      <c r="BG944" s="74">
        <f t="shared" si="4063"/>
        <v>19.711893918835493</v>
      </c>
      <c r="BH944" s="74">
        <f t="shared" si="4063"/>
        <v>19.838050039916041</v>
      </c>
      <c r="BI944" s="74">
        <f t="shared" si="4063"/>
        <v>19.736506171255122</v>
      </c>
      <c r="BJ944" s="74">
        <f t="shared" si="4063"/>
        <v>19.965013560171503</v>
      </c>
      <c r="BK944" s="74">
        <f t="shared" si="4063"/>
        <v>20.092789646956597</v>
      </c>
      <c r="BL944" s="74">
        <f t="shared" si="4063"/>
        <v>19.989941857539961</v>
      </c>
      <c r="BM944" s="74">
        <f t="shared" si="4063"/>
        <v>20.157086573826859</v>
      </c>
      <c r="BN944" s="74">
        <f t="shared" si="4063"/>
        <v>20.221589250863111</v>
      </c>
      <c r="BO944" s="74">
        <f t="shared" si="4063"/>
        <v>20.117752016345342</v>
      </c>
      <c r="BP944" s="74">
        <f t="shared" si="4063"/>
        <v>20.286298336465872</v>
      </c>
      <c r="BQ944" s="74">
        <f t="shared" si="4063"/>
        <v>20.351214491142567</v>
      </c>
      <c r="BR944" s="74">
        <f t="shared" si="4063"/>
        <v>20.246711635030607</v>
      </c>
      <c r="BS944" s="74">
        <f t="shared" si="4063"/>
        <v>20.416338377514226</v>
      </c>
      <c r="BT944" s="74">
        <f t="shared" si="4063"/>
        <v>20.481670660322273</v>
      </c>
      <c r="BU944" s="74">
        <f t="shared" si="4063"/>
        <v>20.37649791582195</v>
      </c>
      <c r="BV944" s="74">
        <f t="shared" si="4063"/>
        <v>20.547212006435309</v>
      </c>
      <c r="BW944" s="74">
        <f t="shared" si="4063"/>
        <v>20.612963084855906</v>
      </c>
      <c r="BX944" s="74">
        <f t="shared" si="4063"/>
        <v>20.507116157821876</v>
      </c>
      <c r="BY944" s="74">
        <f t="shared" si="4063"/>
        <v>20.678924566727446</v>
      </c>
      <c r="BZ944" s="74">
        <f t="shared" si="4063"/>
        <v>20.745097125340969</v>
      </c>
      <c r="CA944" s="74">
        <f t="shared" si="4063"/>
        <v>20.638571694101394</v>
      </c>
      <c r="CB944" s="74">
        <f t="shared" si="4063"/>
        <v>20.811481436142067</v>
      </c>
      <c r="CC944" s="74">
        <f t="shared" si="4063"/>
        <v>20.878078176737723</v>
      </c>
      <c r="CD944" s="74">
        <f t="shared" si="4063"/>
        <v>20.770869891917791</v>
      </c>
      <c r="CE944" s="74">
        <f t="shared" si="4063"/>
        <v>20.944888026903286</v>
      </c>
      <c r="CF944" s="74">
        <f t="shared" si="4063"/>
        <v>21.011911668589377</v>
      </c>
      <c r="CG944" s="74">
        <f t="shared" ref="CG944:DL944" si="4064">CG621+CG633</f>
        <v>20.904016152933764</v>
      </c>
      <c r="CH944" s="74">
        <f t="shared" si="4064"/>
        <v>21.07914978592887</v>
      </c>
      <c r="CI944" s="74">
        <f t="shared" si="4064"/>
        <v>21.146603065243838</v>
      </c>
      <c r="CJ944" s="74">
        <f t="shared" si="4064"/>
        <v>21.038015913437949</v>
      </c>
      <c r="CK944" s="74">
        <f t="shared" si="4064"/>
        <v>21.214272195052622</v>
      </c>
      <c r="CL944" s="74">
        <f t="shared" si="4064"/>
        <v>21.28215786607679</v>
      </c>
      <c r="CM944" s="74">
        <f t="shared" si="4064"/>
        <v>21.17287464456691</v>
      </c>
      <c r="CN944" s="74">
        <f t="shared" si="4064"/>
        <v>21.350260771248241</v>
      </c>
      <c r="CO944" s="74">
        <f t="shared" si="4064"/>
        <v>21.418581605716234</v>
      </c>
      <c r="CP944" s="74">
        <f t="shared" si="4064"/>
        <v>21.3085978525285</v>
      </c>
      <c r="CQ944" s="74">
        <f t="shared" si="4064"/>
        <v>21.487121066854534</v>
      </c>
      <c r="CR944" s="74">
        <f t="shared" si="4064"/>
        <v>21.555879854268468</v>
      </c>
      <c r="CS944" s="74">
        <f t="shared" si="4064"/>
        <v>21.445191078826703</v>
      </c>
      <c r="CT944" s="74">
        <f t="shared" si="4064"/>
        <v>21.62485866980213</v>
      </c>
      <c r="CU944" s="74">
        <f t="shared" si="4064"/>
        <v>21.694058217545496</v>
      </c>
      <c r="CV944" s="74">
        <f t="shared" si="4064"/>
        <v>21.58265990048784</v>
      </c>
      <c r="CW944" s="74">
        <f t="shared" si="4064"/>
        <v>21.763479203841644</v>
      </c>
      <c r="CX944" s="74">
        <f t="shared" si="4064"/>
        <v>21.83312233729394</v>
      </c>
      <c r="CY944" s="74">
        <f t="shared" si="4064"/>
        <v>21.721009930288346</v>
      </c>
      <c r="CZ944" s="74">
        <f t="shared" si="4064"/>
        <v>21.902988328773286</v>
      </c>
      <c r="DA944" s="74">
        <f t="shared" si="4064"/>
        <v>21.973077891425362</v>
      </c>
      <c r="DB944" s="74">
        <f t="shared" si="4064"/>
        <v>21.860246816983889</v>
      </c>
      <c r="DC944" s="74">
        <f t="shared" si="4064"/>
        <v>22.043391740677922</v>
      </c>
      <c r="DD944" s="74">
        <f t="shared" si="4064"/>
        <v>22.113930594248092</v>
      </c>
      <c r="DE944" s="74">
        <f t="shared" si="4064"/>
        <v>22.000376245539989</v>
      </c>
      <c r="DF944" s="74">
        <f t="shared" si="4064"/>
        <v>22.184695172149688</v>
      </c>
      <c r="DG944" s="74">
        <f t="shared" si="4064"/>
        <v>22.255686196700566</v>
      </c>
      <c r="DH944" s="74">
        <f t="shared" si="4064"/>
        <v>22.141403937364199</v>
      </c>
      <c r="DI944" s="74">
        <f t="shared" si="4064"/>
        <v>22.326904392530011</v>
      </c>
      <c r="DJ944" s="74">
        <f t="shared" si="4064"/>
        <v>22.398350486586104</v>
      </c>
      <c r="DK944" s="74">
        <f t="shared" si="4064"/>
        <v>22.283335650539648</v>
      </c>
      <c r="DL944" s="74">
        <f t="shared" si="4064"/>
        <v>22.470025208143181</v>
      </c>
      <c r="DM944" s="74">
        <f t="shared" ref="DM944:ER944" si="4065">DM621+DM633</f>
        <v>22.541929288809243</v>
      </c>
      <c r="DN944" s="74">
        <f t="shared" si="4065"/>
        <v>22.426177180060169</v>
      </c>
      <c r="DO944" s="74">
        <f t="shared" si="4065"/>
        <v>22.61406346253343</v>
      </c>
      <c r="DP944" s="74">
        <f t="shared" si="4065"/>
        <v>22.686428465613538</v>
      </c>
      <c r="DQ944" s="74">
        <f t="shared" si="4065"/>
        <v>22.569934358066881</v>
      </c>
      <c r="DR944" s="74">
        <f t="shared" si="4065"/>
        <v>22.759025036703505</v>
      </c>
      <c r="DS944" s="74">
        <f t="shared" si="4065"/>
        <v>22.831853916820961</v>
      </c>
      <c r="DT944" s="74">
        <f t="shared" si="4065"/>
        <v>22.714613054086339</v>
      </c>
      <c r="DU944" s="74">
        <f t="shared" si="4065"/>
        <v>22.904915849354786</v>
      </c>
      <c r="DV944" s="74">
        <f t="shared" si="4065"/>
        <v>22.978211580072724</v>
      </c>
      <c r="DW944" s="74">
        <f t="shared" si="4065"/>
        <v>22.860219175270167</v>
      </c>
      <c r="DX944" s="74">
        <f t="shared" si="4065"/>
        <v>23.05174185712896</v>
      </c>
      <c r="DY944" s="74">
        <f t="shared" si="4065"/>
        <v>23.125507431071775</v>
      </c>
      <c r="DZ944" s="74">
        <f t="shared" si="4065"/>
        <v>23.006758666636259</v>
      </c>
      <c r="EA944" s="74">
        <f t="shared" si="4065"/>
        <v>23.199509054851205</v>
      </c>
      <c r="EB944" s="74">
        <f t="shared" si="4065"/>
        <v>23.273747483826732</v>
      </c>
      <c r="EC944" s="74">
        <f t="shared" si="4065"/>
        <v>23.154237511311479</v>
      </c>
      <c r="ED944" s="74">
        <f t="shared" si="4065"/>
        <v>23.348223475774979</v>
      </c>
      <c r="EE944" s="74">
        <f t="shared" si="4065"/>
        <v>23.422937790897464</v>
      </c>
      <c r="EF944" s="74">
        <f t="shared" si="4065"/>
        <v>23.302661730775995</v>
      </c>
      <c r="EG944" s="74">
        <f t="shared" si="4065"/>
        <v>23.497891191828337</v>
      </c>
      <c r="EH944" s="74">
        <f t="shared" si="4065"/>
        <v>23.573084443642195</v>
      </c>
      <c r="EI944" s="74">
        <f t="shared" si="4065"/>
        <v>23.452037385109087</v>
      </c>
      <c r="EJ944" s="74">
        <f t="shared" si="4065"/>
        <v>23.648518313861846</v>
      </c>
      <c r="EK944" s="74">
        <f t="shared" si="4065"/>
        <v>23.724193572466206</v>
      </c>
      <c r="EL944" s="74">
        <f t="shared" si="4065"/>
        <v>23.602370573236612</v>
      </c>
      <c r="EM944" s="74">
        <f t="shared" si="4065"/>
        <v>23.800110991898094</v>
      </c>
      <c r="EN944" s="74">
        <f t="shared" si="4065"/>
        <v>23.876271347072176</v>
      </c>
      <c r="EO944" s="74">
        <f t="shared" si="4065"/>
        <v>23.753667433179999</v>
      </c>
      <c r="EP944" s="74">
        <f t="shared" si="4065"/>
        <v>23.95267541538281</v>
      </c>
      <c r="EQ944" s="74">
        <f t="shared" si="4065"/>
        <v>24.029323976712035</v>
      </c>
      <c r="ER944" s="74">
        <f t="shared" si="4065"/>
        <v>23.905934142306869</v>
      </c>
      <c r="ES944" s="74">
        <f t="shared" ref="ES944:EX944" si="4066">ES621+ES633</f>
        <v>24.106217813437517</v>
      </c>
      <c r="ET944" s="74">
        <f t="shared" si="4066"/>
        <v>24.183357710440514</v>
      </c>
      <c r="EU944" s="74">
        <f t="shared" si="4066"/>
        <v>24.059176917583255</v>
      </c>
      <c r="EV944" s="74">
        <f t="shared" si="4066"/>
        <v>24.26074445511393</v>
      </c>
      <c r="EW944" s="74">
        <f t="shared" si="4066"/>
        <v>24.338378837370293</v>
      </c>
      <c r="EX944" s="74">
        <f t="shared" si="4066"/>
        <v>24.213402015827423</v>
      </c>
      <c r="EY944" s="74">
        <f t="shared" ref="EY944:FA944" si="4067">EY621+EY633</f>
        <v>24.416261649649876</v>
      </c>
      <c r="EZ944" s="74">
        <f t="shared" si="4067"/>
        <v>24.49439368692876</v>
      </c>
      <c r="FA944" s="74">
        <f t="shared" si="4067"/>
        <v>24.368615733965367</v>
      </c>
    </row>
    <row r="945" spans="2:157" hidden="1" outlineLevel="1">
      <c r="C945" s="186" t="s">
        <v>327</v>
      </c>
      <c r="D945" s="162" t="s">
        <v>985</v>
      </c>
      <c r="AX945" s="74">
        <f>SUM(AX942:AX944)</f>
        <v>6.6769677522044288</v>
      </c>
      <c r="AY945" s="74">
        <f t="shared" ref="AY945:DJ945" si="4068">SUM(AY942:AY944)</f>
        <v>6.6906677500593146</v>
      </c>
      <c r="AZ945" s="74">
        <f t="shared" si="4068"/>
        <v>6.667591213088742</v>
      </c>
      <c r="BA945" s="74">
        <f t="shared" si="4068"/>
        <v>24.457225063392144</v>
      </c>
      <c r="BB945" s="74">
        <f t="shared" si="4068"/>
        <v>24.581755678983253</v>
      </c>
      <c r="BC945" s="74">
        <f t="shared" si="4068"/>
        <v>24.468225173332002</v>
      </c>
      <c r="BD945" s="74">
        <f t="shared" si="4068"/>
        <v>24.707090452119118</v>
      </c>
      <c r="BE945" s="74">
        <f t="shared" si="4068"/>
        <v>24.833234459140936</v>
      </c>
      <c r="BF945" s="74">
        <f t="shared" si="4068"/>
        <v>24.718414643759502</v>
      </c>
      <c r="BG945" s="74">
        <f t="shared" si="4068"/>
        <v>24.96019280875344</v>
      </c>
      <c r="BH945" s="74">
        <f t="shared" si="4068"/>
        <v>25.08797064223161</v>
      </c>
      <c r="BI945" s="74">
        <f t="shared" si="4068"/>
        <v>24.971844965797441</v>
      </c>
      <c r="BJ945" s="74">
        <f t="shared" si="4068"/>
        <v>25.216573133628664</v>
      </c>
      <c r="BK945" s="74">
        <f t="shared" si="4068"/>
        <v>25.346005489985391</v>
      </c>
      <c r="BL945" s="74">
        <f t="shared" si="4068"/>
        <v>25.228557190451806</v>
      </c>
      <c r="BM945" s="74">
        <f t="shared" si="4068"/>
        <v>25.411139220763115</v>
      </c>
      <c r="BN945" s="74">
        <f t="shared" si="4068"/>
        <v>25.476483046252849</v>
      </c>
      <c r="BO945" s="74">
        <f t="shared" si="4068"/>
        <v>25.358031115482241</v>
      </c>
      <c r="BP945" s="74">
        <f t="shared" si="4068"/>
        <v>25.5420376298637</v>
      </c>
      <c r="BQ945" s="74">
        <f t="shared" si="4068"/>
        <v>25.607803637119698</v>
      </c>
      <c r="BR945" s="74">
        <f t="shared" si="4068"/>
        <v>25.488676544878906</v>
      </c>
      <c r="BS945" s="74">
        <f t="shared" si="4068"/>
        <v>25.673781735666513</v>
      </c>
      <c r="BT945" s="74">
        <f t="shared" si="4068"/>
        <v>25.739972595278239</v>
      </c>
      <c r="BU945" s="74">
        <f t="shared" si="4068"/>
        <v>25.620166016371762</v>
      </c>
      <c r="BV945" s="74">
        <f t="shared" si="4068"/>
        <v>25.806376887864211</v>
      </c>
      <c r="BW945" s="74">
        <f t="shared" si="4068"/>
        <v>25.872995287475785</v>
      </c>
      <c r="BX945" s="74">
        <f t="shared" si="4068"/>
        <v>25.752504869211741</v>
      </c>
      <c r="BY945" s="74">
        <f t="shared" si="4068"/>
        <v>25.939828470313213</v>
      </c>
      <c r="BZ945" s="74">
        <f t="shared" si="4068"/>
        <v>26.00687711473249</v>
      </c>
      <c r="CA945" s="74">
        <f t="shared" si="4068"/>
        <v>25.885698476746853</v>
      </c>
      <c r="CB945" s="74">
        <f t="shared" si="4068"/>
        <v>26.074141901252258</v>
      </c>
      <c r="CC945" s="74">
        <f t="shared" si="4068"/>
        <v>26.141623512560663</v>
      </c>
      <c r="CD945" s="74">
        <f t="shared" si="4068"/>
        <v>26.019752246640316</v>
      </c>
      <c r="CE945" s="74">
        <f t="shared" si="4068"/>
        <v>26.209322633522341</v>
      </c>
      <c r="CF945" s="74">
        <f t="shared" si="4068"/>
        <v>26.277239951185329</v>
      </c>
      <c r="CG945" s="74">
        <f t="shared" si="4068"/>
        <v>26.154671621090085</v>
      </c>
      <c r="CH945" s="74">
        <f t="shared" si="4068"/>
        <v>26.345376154788063</v>
      </c>
      <c r="CI945" s="74">
        <f t="shared" si="4068"/>
        <v>26.413731935766339</v>
      </c>
      <c r="CJ945" s="74">
        <f t="shared" si="4068"/>
        <v>26.290462077049717</v>
      </c>
      <c r="CK945" s="74">
        <f t="shared" si="4068"/>
        <v>26.482307987760393</v>
      </c>
      <c r="CL945" s="74">
        <f t="shared" si="4068"/>
        <v>26.551105006621853</v>
      </c>
      <c r="CM945" s="74">
        <f t="shared" si="4068"/>
        <v>26.427129126450758</v>
      </c>
      <c r="CN945" s="74">
        <f t="shared" si="4068"/>
        <v>26.62012369042089</v>
      </c>
      <c r="CO945" s="74">
        <f t="shared" si="4068"/>
        <v>26.689364739453229</v>
      </c>
      <c r="CP945" s="74">
        <f t="shared" si="4068"/>
        <v>26.564678316426487</v>
      </c>
      <c r="CQ945" s="74">
        <f t="shared" si="4068"/>
        <v>26.758828856247312</v>
      </c>
      <c r="CR945" s="74">
        <f t="shared" si="4068"/>
        <v>26.828516745571385</v>
      </c>
      <c r="CS945" s="74">
        <f t="shared" si="4068"/>
        <v>26.703115229537101</v>
      </c>
      <c r="CT945" s="74">
        <f t="shared" si="4068"/>
        <v>26.898429114440685</v>
      </c>
      <c r="CU945" s="74">
        <f t="shared" si="4068"/>
        <v>26.968566672124595</v>
      </c>
      <c r="CV945" s="74">
        <f t="shared" si="4068"/>
        <v>26.842445483996332</v>
      </c>
      <c r="CW945" s="74">
        <f t="shared" si="4068"/>
        <v>27.038930130153862</v>
      </c>
      <c r="CX945" s="74">
        <f t="shared" si="4068"/>
        <v>27.109520202327786</v>
      </c>
      <c r="CY945" s="74">
        <f t="shared" si="4068"/>
        <v>26.982674733899582</v>
      </c>
      <c r="CZ945" s="74">
        <f t="shared" si="4068"/>
        <v>27.180337604721508</v>
      </c>
      <c r="DA945" s="74">
        <f t="shared" si="4068"/>
        <v>27.251383055693225</v>
      </c>
      <c r="DB945" s="74">
        <f t="shared" si="4068"/>
        <v>27.123808669453432</v>
      </c>
      <c r="DC945" s="74">
        <f t="shared" si="4068"/>
        <v>27.322657275891537</v>
      </c>
      <c r="DD945" s="74">
        <f t="shared" si="4068"/>
        <v>27.39416098826273</v>
      </c>
      <c r="DE945" s="74">
        <f t="shared" si="4068"/>
        <v>27.265853017206638</v>
      </c>
      <c r="DF945" s="74">
        <f t="shared" si="4068"/>
        <v>27.465894918058122</v>
      </c>
      <c r="DG945" s="74">
        <f t="shared" si="4068"/>
        <v>27.53785979284141</v>
      </c>
      <c r="DH945" s="74">
        <f t="shared" si="4068"/>
        <v>27.408813540282683</v>
      </c>
      <c r="DI945" s="74">
        <f t="shared" si="4068"/>
        <v>27.610056342496083</v>
      </c>
      <c r="DJ945" s="74">
        <f t="shared" si="4068"/>
        <v>27.682485299232802</v>
      </c>
      <c r="DK945" s="74">
        <f t="shared" ref="DK945:ER945" si="4069">SUM(DK942:DK944)</f>
        <v>27.552696038613725</v>
      </c>
      <c r="DL945" s="74">
        <f t="shared" si="4069"/>
        <v>27.755147397596858</v>
      </c>
      <c r="DM945" s="74">
        <f t="shared" si="4069"/>
        <v>27.828043374475605</v>
      </c>
      <c r="DN945" s="74">
        <f t="shared" si="4069"/>
        <v>27.697506349176095</v>
      </c>
      <c r="DO945" s="74">
        <f t="shared" si="4069"/>
        <v>27.901173969105951</v>
      </c>
      <c r="DP945" s="74">
        <f t="shared" si="4069"/>
        <v>27.974539923081874</v>
      </c>
      <c r="DQ945" s="74">
        <f t="shared" si="4069"/>
        <v>27.843250346227258</v>
      </c>
      <c r="DR945" s="74">
        <f t="shared" si="4069"/>
        <v>28.048141980361919</v>
      </c>
      <c r="DS945" s="74">
        <f t="shared" si="4069"/>
        <v>28.121980887276777</v>
      </c>
      <c r="DT945" s="74">
        <f t="shared" si="4069"/>
        <v>27.989933941544372</v>
      </c>
      <c r="DU945" s="74">
        <f t="shared" si="4069"/>
        <v>28.196057392536847</v>
      </c>
      <c r="DV945" s="74">
        <f t="shared" si="4069"/>
        <v>28.270372247239848</v>
      </c>
      <c r="DW945" s="74">
        <f t="shared" si="4069"/>
        <v>28.137563084664272</v>
      </c>
      <c r="DX945" s="74">
        <f t="shared" si="4069"/>
        <v>28.34492620487843</v>
      </c>
      <c r="DY945" s="74">
        <f t="shared" si="4069"/>
        <v>28.419720021347832</v>
      </c>
      <c r="DZ945" s="74">
        <f t="shared" si="4069"/>
        <v>28.2861437631251</v>
      </c>
      <c r="EA945" s="74">
        <f t="shared" si="4069"/>
        <v>28.494754454953551</v>
      </c>
      <c r="EB945" s="74">
        <f t="shared" si="4069"/>
        <v>28.570030266419046</v>
      </c>
      <c r="EC945" s="74">
        <f t="shared" si="4069"/>
        <v>28.43568200270937</v>
      </c>
      <c r="ED945" s="74">
        <f t="shared" si="4069"/>
        <v>28.645548218893445</v>
      </c>
      <c r="EE945" s="74">
        <f t="shared" si="4069"/>
        <v>28.721309077959319</v>
      </c>
      <c r="EF945" s="74">
        <f t="shared" si="4069"/>
        <v>28.586183867688696</v>
      </c>
      <c r="EG945" s="74">
        <f t="shared" si="4069"/>
        <v>28.797313611640423</v>
      </c>
      <c r="EH945" s="74">
        <f t="shared" si="4069"/>
        <v>28.87356259040952</v>
      </c>
      <c r="EI945" s="74">
        <f t="shared" si="4069"/>
        <v>28.737655461069995</v>
      </c>
      <c r="EJ945" s="74">
        <f t="shared" si="4069"/>
        <v>28.950056787196171</v>
      </c>
      <c r="EK945" s="74">
        <f t="shared" si="4069"/>
        <v>29.026796977394632</v>
      </c>
      <c r="EL945" s="74">
        <f t="shared" si="4069"/>
        <v>28.890102924843351</v>
      </c>
      <c r="EM945" s="74">
        <f t="shared" si="4069"/>
        <v>29.103783938871668</v>
      </c>
      <c r="EN945" s="74">
        <f t="shared" si="4069"/>
        <v>29.181018451974502</v>
      </c>
      <c r="EO945" s="74">
        <f t="shared" si="4069"/>
        <v>29.043532440231395</v>
      </c>
      <c r="EP945" s="74">
        <f t="shared" si="4069"/>
        <v>29.258501299538686</v>
      </c>
      <c r="EQ945" s="74">
        <f t="shared" si="4069"/>
        <v>29.336233266896087</v>
      </c>
      <c r="ER945" s="74">
        <f t="shared" si="4069"/>
        <v>29.197950227940318</v>
      </c>
      <c r="ES945" s="74">
        <f t="shared" ref="ES945:EX945" si="4070">SUM(ES942:ES944)</f>
        <v>29.414215141882856</v>
      </c>
      <c r="ET945" s="74">
        <f t="shared" si="4070"/>
        <v>29.492447714847394</v>
      </c>
      <c r="EU945" s="74">
        <f t="shared" si="4070"/>
        <v>29.353362548412498</v>
      </c>
      <c r="EV945" s="74">
        <f t="shared" si="4070"/>
        <v>29.570931778658441</v>
      </c>
      <c r="EW945" s="74">
        <f t="shared" si="4070"/>
        <v>29.649668128713042</v>
      </c>
      <c r="EX945" s="74">
        <f t="shared" si="4070"/>
        <v>29.50977570208072</v>
      </c>
      <c r="EY945" s="74">
        <f t="shared" ref="EY945:FA945" si="4071">SUM(EY942:EY944)</f>
        <v>29.72865756294469</v>
      </c>
      <c r="EZ945" s="74">
        <f t="shared" si="4071"/>
        <v>29.807900881831412</v>
      </c>
      <c r="FA945" s="74">
        <f t="shared" si="4071"/>
        <v>29.667196029624055</v>
      </c>
    </row>
    <row r="946" spans="2:157" hidden="1" outlineLevel="1"/>
    <row r="947" spans="2:157" hidden="1" outlineLevel="1">
      <c r="B947" s="35" t="s">
        <v>995</v>
      </c>
    </row>
    <row r="948" spans="2:157" hidden="1" outlineLevel="1">
      <c r="C948" s="186" t="s">
        <v>316</v>
      </c>
      <c r="D948" s="162" t="s">
        <v>985</v>
      </c>
      <c r="AX948" s="74">
        <f t="shared" ref="AX948:CC948" si="4072">AX709+AX727</f>
        <v>5.3842867895943745E-3</v>
      </c>
      <c r="AY948" s="74">
        <f t="shared" si="4072"/>
        <v>5.4001704356236788E-3</v>
      </c>
      <c r="AZ948" s="74">
        <f t="shared" si="4072"/>
        <v>1.0784457225218053E-2</v>
      </c>
      <c r="BA948" s="74">
        <f t="shared" si="4072"/>
        <v>5.4161009384087692E-3</v>
      </c>
      <c r="BB948" s="74">
        <f t="shared" si="4072"/>
        <v>5.4320784361770744E-3</v>
      </c>
      <c r="BC948" s="74">
        <f t="shared" si="4072"/>
        <v>1.0848179374585844E-2</v>
      </c>
      <c r="BD948" s="74">
        <f t="shared" si="4072"/>
        <v>5.4481030675637976E-3</v>
      </c>
      <c r="BE948" s="74">
        <f t="shared" si="4072"/>
        <v>5.4641749716131116E-3</v>
      </c>
      <c r="BF948" s="74">
        <f t="shared" si="4072"/>
        <v>1.0912278039176907E-2</v>
      </c>
      <c r="BG948" s="74">
        <f t="shared" si="4072"/>
        <v>5.4802942877793699E-3</v>
      </c>
      <c r="BH948" s="74">
        <f t="shared" si="4072"/>
        <v>5.4964611559283182E-3</v>
      </c>
      <c r="BI948" s="74">
        <f t="shared" si="4072"/>
        <v>1.0976755443707688E-2</v>
      </c>
      <c r="BJ948" s="74">
        <f t="shared" si="4072"/>
        <v>5.5126757163383062E-3</v>
      </c>
      <c r="BK948" s="74">
        <f t="shared" si="4072"/>
        <v>5.5289381097015054E-3</v>
      </c>
      <c r="BL948" s="74">
        <f t="shared" si="4072"/>
        <v>1.1041613826039812E-2</v>
      </c>
      <c r="BM948" s="74">
        <f t="shared" si="4072"/>
        <v>5.5370932934133152E-3</v>
      </c>
      <c r="BN948" s="74">
        <f t="shared" si="4072"/>
        <v>5.5452605060210989E-3</v>
      </c>
      <c r="BO948" s="74">
        <f t="shared" si="4072"/>
        <v>1.1082353799434414E-2</v>
      </c>
      <c r="BP948" s="74">
        <f t="shared" si="4072"/>
        <v>5.5534397652674799E-3</v>
      </c>
      <c r="BQ948" s="74">
        <f t="shared" si="4072"/>
        <v>5.561631088921248E-3</v>
      </c>
      <c r="BR948" s="74">
        <f t="shared" si="4072"/>
        <v>1.1115070854188728E-2</v>
      </c>
      <c r="BS948" s="74">
        <f t="shared" si="4072"/>
        <v>5.5698344947774057E-3</v>
      </c>
      <c r="BT948" s="74">
        <f t="shared" si="4072"/>
        <v>5.5780500006572019E-3</v>
      </c>
      <c r="BU948" s="74">
        <f t="shared" si="4072"/>
        <v>1.1147884495434607E-2</v>
      </c>
      <c r="BV948" s="74">
        <f t="shared" si="4072"/>
        <v>5.5862776244081716E-3</v>
      </c>
      <c r="BW948" s="74">
        <f t="shared" si="4072"/>
        <v>5.5945173839041726E-3</v>
      </c>
      <c r="BX948" s="74">
        <f t="shared" si="4072"/>
        <v>1.1180795008312344E-2</v>
      </c>
      <c r="BY948" s="74">
        <f t="shared" si="4072"/>
        <v>5.6027692970454304E-3</v>
      </c>
      <c r="BZ948" s="74">
        <f t="shared" si="4072"/>
        <v>5.6110333817585732E-3</v>
      </c>
      <c r="CA948" s="74">
        <f t="shared" si="4072"/>
        <v>1.1213802678804004E-2</v>
      </c>
      <c r="CB948" s="74">
        <f t="shared" si="4072"/>
        <v>5.6193096559966661E-3</v>
      </c>
      <c r="CC948" s="74">
        <f t="shared" si="4072"/>
        <v>5.6275981377392603E-3</v>
      </c>
      <c r="CD948" s="74">
        <f t="shared" ref="CD948:DI948" si="4073">CD709+CD727</f>
        <v>1.1246907793735925E-2</v>
      </c>
      <c r="CE948" s="74">
        <f t="shared" si="4073"/>
        <v>5.6358988449924253E-3</v>
      </c>
      <c r="CF948" s="74">
        <f t="shared" si="4073"/>
        <v>5.6442117957887887E-3</v>
      </c>
      <c r="CG948" s="74">
        <f t="shared" si="4073"/>
        <v>1.1280110640781212E-2</v>
      </c>
      <c r="CH948" s="74">
        <f t="shared" si="4073"/>
        <v>5.6525370081875765E-3</v>
      </c>
      <c r="CI948" s="74">
        <f t="shared" si="4073"/>
        <v>5.6608745002746522E-3</v>
      </c>
      <c r="CJ948" s="74">
        <f t="shared" si="4073"/>
        <v>1.1313411508462228E-2</v>
      </c>
      <c r="CK948" s="74">
        <f t="shared" si="4073"/>
        <v>5.6692242901625559E-3</v>
      </c>
      <c r="CL948" s="74">
        <f t="shared" si="4073"/>
        <v>5.677586395990546E-3</v>
      </c>
      <c r="CM948" s="74">
        <f t="shared" si="4073"/>
        <v>1.1346810686153102E-2</v>
      </c>
      <c r="CN948" s="74">
        <f t="shared" si="4073"/>
        <v>5.6859608359246302E-3</v>
      </c>
      <c r="CO948" s="74">
        <f t="shared" si="4073"/>
        <v>5.6943476281576203E-3</v>
      </c>
      <c r="CP948" s="74">
        <f t="shared" si="4073"/>
        <v>1.138030846408225E-2</v>
      </c>
      <c r="CQ948" s="74">
        <f t="shared" si="4073"/>
        <v>5.7027467909091523E-3</v>
      </c>
      <c r="CR948" s="74">
        <f t="shared" si="4073"/>
        <v>5.7111583424257414E-3</v>
      </c>
      <c r="CS948" s="74">
        <f t="shared" si="4073"/>
        <v>1.1413905133334894E-2</v>
      </c>
      <c r="CT948" s="74">
        <f t="shared" si="4073"/>
        <v>5.7195823009808184E-3</v>
      </c>
      <c r="CU948" s="74">
        <f t="shared" si="4073"/>
        <v>5.7280186848747659E-3</v>
      </c>
      <c r="CV948" s="74">
        <f t="shared" si="4073"/>
        <v>1.1447600985855583E-2</v>
      </c>
      <c r="CW948" s="74">
        <f t="shared" si="4073"/>
        <v>5.7364675124349541E-3</v>
      </c>
      <c r="CX948" s="74">
        <f t="shared" si="4073"/>
        <v>5.7449288020157956E-3</v>
      </c>
      <c r="CY948" s="74">
        <f t="shared" si="4073"/>
        <v>1.1481396314450752E-2</v>
      </c>
      <c r="CZ948" s="74">
        <f t="shared" si="4073"/>
        <v>5.7534025719987673E-3</v>
      </c>
      <c r="DA948" s="74">
        <f t="shared" si="4073"/>
        <v>5.7618888407924666E-3</v>
      </c>
      <c r="DB948" s="74">
        <f t="shared" si="4073"/>
        <v>1.1515291412791234E-2</v>
      </c>
      <c r="DC948" s="74">
        <f t="shared" si="4073"/>
        <v>5.7703876268326345E-3</v>
      </c>
      <c r="DD948" s="74">
        <f t="shared" si="4073"/>
        <v>5.778898948582213E-3</v>
      </c>
      <c r="DE948" s="74">
        <f t="shared" si="4073"/>
        <v>1.1549286575414847E-2</v>
      </c>
      <c r="DF948" s="74">
        <f t="shared" si="4073"/>
        <v>5.7874228245313707E-3</v>
      </c>
      <c r="DG948" s="74">
        <f t="shared" si="4073"/>
        <v>5.7959592731975538E-3</v>
      </c>
      <c r="DH948" s="74">
        <f t="shared" si="4073"/>
        <v>1.1583382097728925E-2</v>
      </c>
      <c r="DI948" s="74">
        <f t="shared" si="4073"/>
        <v>5.8045083131255185E-3</v>
      </c>
      <c r="DJ948" s="74">
        <f t="shared" ref="DJ948:ER948" si="4074">DJ709+DJ727</f>
        <v>5.8130699628873789E-3</v>
      </c>
      <c r="DK948" s="74">
        <f t="shared" si="4074"/>
        <v>1.1617578276012898E-2</v>
      </c>
      <c r="DL948" s="74">
        <f t="shared" si="4074"/>
        <v>5.8216442410826373E-3</v>
      </c>
      <c r="DM948" s="74">
        <f t="shared" si="4074"/>
        <v>5.8302311663382339E-3</v>
      </c>
      <c r="DN948" s="74">
        <f t="shared" si="4074"/>
        <v>1.165187540742087E-2</v>
      </c>
      <c r="DO948" s="74">
        <f t="shared" si="4074"/>
        <v>5.8388307573085819E-3</v>
      </c>
      <c r="DP948" s="74">
        <f t="shared" si="4074"/>
        <v>5.8474430326756121E-3</v>
      </c>
      <c r="DQ948" s="74">
        <f t="shared" si="4074"/>
        <v>1.1686273789984193E-2</v>
      </c>
      <c r="DR948" s="74">
        <f t="shared" si="4074"/>
        <v>5.8560680111488074E-3</v>
      </c>
      <c r="DS948" s="74">
        <f t="shared" si="4074"/>
        <v>5.8647057114652509E-3</v>
      </c>
      <c r="DT948" s="74">
        <f t="shared" si="4074"/>
        <v>1.1720773722614059E-2</v>
      </c>
      <c r="DU948" s="74">
        <f t="shared" si="4074"/>
        <v>5.8733561523896622E-3</v>
      </c>
      <c r="DV948" s="74">
        <f t="shared" si="4074"/>
        <v>5.8820193527144354E-3</v>
      </c>
      <c r="DW948" s="74">
        <f t="shared" si="4074"/>
        <v>1.1755375505104098E-2</v>
      </c>
      <c r="DX948" s="74">
        <f t="shared" si="4074"/>
        <v>5.8906953312596886E-3</v>
      </c>
      <c r="DY948" s="74">
        <f t="shared" si="4074"/>
        <v>5.8993841068732972E-3</v>
      </c>
      <c r="DZ948" s="74">
        <f t="shared" si="4074"/>
        <v>1.1790079438132985E-2</v>
      </c>
      <c r="EA948" s="74">
        <f t="shared" si="4074"/>
        <v>5.9080856984309333E-3</v>
      </c>
      <c r="EB948" s="74">
        <f t="shared" si="4074"/>
        <v>5.9168001248361187E-3</v>
      </c>
      <c r="EC948" s="74">
        <f t="shared" si="4074"/>
        <v>1.1824885823267052E-2</v>
      </c>
      <c r="ED948" s="74">
        <f t="shared" si="4074"/>
        <v>5.9255274050202507E-3</v>
      </c>
      <c r="EE948" s="74">
        <f t="shared" si="4074"/>
        <v>5.9342675579426556E-3</v>
      </c>
      <c r="EF948" s="74">
        <f t="shared" si="4074"/>
        <v>1.1859794962962904E-2</v>
      </c>
      <c r="EG948" s="74">
        <f t="shared" si="4074"/>
        <v>5.94302060259062E-3</v>
      </c>
      <c r="EH948" s="74">
        <f t="shared" si="4074"/>
        <v>5.951786557979441E-3</v>
      </c>
      <c r="EI948" s="74">
        <f t="shared" si="4074"/>
        <v>1.1894807160570061E-2</v>
      </c>
      <c r="EJ948" s="74">
        <f t="shared" si="4074"/>
        <v>5.9605654431524593E-3</v>
      </c>
      <c r="EK948" s="74">
        <f t="shared" si="4074"/>
        <v>5.9693572771811095E-3</v>
      </c>
      <c r="EL948" s="74">
        <f t="shared" si="4074"/>
        <v>1.192992272033357E-2</v>
      </c>
      <c r="EM948" s="74">
        <f t="shared" si="4074"/>
        <v>5.9781620791649502E-3</v>
      </c>
      <c r="EN948" s="74">
        <f t="shared" si="4074"/>
        <v>5.9869798682317173E-3</v>
      </c>
      <c r="EO948" s="74">
        <f t="shared" si="4074"/>
        <v>1.1965141947396667E-2</v>
      </c>
      <c r="EP948" s="74">
        <f t="shared" si="4074"/>
        <v>5.9958106635373577E-3</v>
      </c>
      <c r="EQ948" s="74">
        <f t="shared" si="4074"/>
        <v>6.0046544842660759E-3</v>
      </c>
      <c r="ER948" s="74">
        <f t="shared" si="4074"/>
        <v>1.2000465147803435E-2</v>
      </c>
      <c r="ES948" s="74">
        <f t="shared" ref="ES948:EX948" si="4075">ES709+ES727</f>
        <v>6.0135113496303672E-3</v>
      </c>
      <c r="ET948" s="74">
        <f t="shared" si="4075"/>
        <v>6.0223812788710715E-3</v>
      </c>
      <c r="EU948" s="74">
        <f t="shared" si="4075"/>
        <v>1.2035892628501438E-2</v>
      </c>
      <c r="EV948" s="74">
        <f t="shared" si="4075"/>
        <v>6.0312642912574051E-3</v>
      </c>
      <c r="EW948" s="74">
        <f t="shared" si="4075"/>
        <v>6.0401604060870088E-3</v>
      </c>
      <c r="EX948" s="74">
        <f t="shared" si="4075"/>
        <v>1.2071424697344414E-2</v>
      </c>
      <c r="EY948" s="74">
        <f t="shared" ref="EY948:FA948" si="4076">EY709+EY727</f>
        <v>6.0490696426859867E-3</v>
      </c>
      <c r="EZ948" s="74">
        <f t="shared" si="4076"/>
        <v>6.0579920204089487E-3</v>
      </c>
      <c r="FA948" s="74">
        <f t="shared" si="4076"/>
        <v>1.2107061663094935E-2</v>
      </c>
    </row>
    <row r="949" spans="2:157" hidden="1" outlineLevel="1">
      <c r="C949" s="186" t="s">
        <v>317</v>
      </c>
      <c r="D949" s="162" t="s">
        <v>985</v>
      </c>
      <c r="AX949" s="74">
        <f t="shared" ref="AX949:CC949" si="4077">AX710+AX728</f>
        <v>7.9192043207775009E-3</v>
      </c>
      <c r="AY949" s="74">
        <f t="shared" si="4077"/>
        <v>7.912077036888801E-3</v>
      </c>
      <c r="AZ949" s="74">
        <f t="shared" si="4077"/>
        <v>1.5831281357666302E-2</v>
      </c>
      <c r="BA949" s="74">
        <f t="shared" si="4077"/>
        <v>7.9049561675556025E-3</v>
      </c>
      <c r="BB949" s="74">
        <f t="shared" si="4077"/>
        <v>7.8978417070048011E-3</v>
      </c>
      <c r="BC949" s="74">
        <f t="shared" si="4077"/>
        <v>1.5802797874560404E-2</v>
      </c>
      <c r="BD949" s="74">
        <f t="shared" si="4077"/>
        <v>7.8907336494684968E-3</v>
      </c>
      <c r="BE949" s="74">
        <f t="shared" si="4077"/>
        <v>7.8836319891839729E-3</v>
      </c>
      <c r="BF949" s="74">
        <f t="shared" si="4077"/>
        <v>1.577436563865247E-2</v>
      </c>
      <c r="BG949" s="74">
        <f t="shared" si="4077"/>
        <v>7.8765367203937099E-3</v>
      </c>
      <c r="BH949" s="74">
        <f t="shared" si="4077"/>
        <v>7.8694478373453544E-3</v>
      </c>
      <c r="BI949" s="74">
        <f t="shared" si="4077"/>
        <v>1.5745984557739064E-2</v>
      </c>
      <c r="BJ949" s="74">
        <f t="shared" si="4077"/>
        <v>7.8623653342917432E-3</v>
      </c>
      <c r="BK949" s="74">
        <f t="shared" si="4077"/>
        <v>7.8552892054908809E-3</v>
      </c>
      <c r="BL949" s="74">
        <f t="shared" si="4077"/>
        <v>1.5717654539782626E-2</v>
      </c>
      <c r="BM949" s="74">
        <f t="shared" si="4077"/>
        <v>7.8517543253484104E-3</v>
      </c>
      <c r="BN949" s="74">
        <f t="shared" si="4077"/>
        <v>7.8482210359020043E-3</v>
      </c>
      <c r="BO949" s="74">
        <f t="shared" si="4077"/>
        <v>1.5699975361250416E-2</v>
      </c>
      <c r="BP949" s="74">
        <f t="shared" si="4077"/>
        <v>7.8446893364358481E-3</v>
      </c>
      <c r="BQ949" s="74">
        <f t="shared" si="4077"/>
        <v>7.8411592262344516E-3</v>
      </c>
      <c r="BR949" s="74">
        <f t="shared" si="4077"/>
        <v>1.5685848562670301E-2</v>
      </c>
      <c r="BS949" s="74">
        <f t="shared" si="4077"/>
        <v>7.8376307045826474E-3</v>
      </c>
      <c r="BT949" s="74">
        <f t="shared" si="4077"/>
        <v>7.8341037707655853E-3</v>
      </c>
      <c r="BU949" s="74">
        <f t="shared" si="4077"/>
        <v>1.5671734475348233E-2</v>
      </c>
      <c r="BV949" s="74">
        <f t="shared" si="4077"/>
        <v>7.8305784240687397E-3</v>
      </c>
      <c r="BW949" s="74">
        <f t="shared" si="4077"/>
        <v>7.8270546637779093E-3</v>
      </c>
      <c r="BX949" s="74">
        <f t="shared" si="4077"/>
        <v>1.5657633087846651E-2</v>
      </c>
      <c r="BY949" s="74">
        <f t="shared" si="4077"/>
        <v>7.8235324891792104E-3</v>
      </c>
      <c r="BZ949" s="74">
        <f t="shared" si="4077"/>
        <v>7.82001189955908E-3</v>
      </c>
      <c r="CA949" s="74">
        <f t="shared" si="4077"/>
        <v>1.564354438873829E-2</v>
      </c>
      <c r="CB949" s="74">
        <f t="shared" si="4077"/>
        <v>7.8164928942042779E-3</v>
      </c>
      <c r="CC949" s="74">
        <f t="shared" si="4077"/>
        <v>7.8129754724018882E-3</v>
      </c>
      <c r="CD949" s="74">
        <f t="shared" ref="CD949:DI949" si="4078">CD710+CD728</f>
        <v>1.5629468366606166E-2</v>
      </c>
      <c r="CE949" s="74">
        <f t="shared" si="4078"/>
        <v>7.8094596334393057E-3</v>
      </c>
      <c r="CF949" s="74">
        <f t="shared" si="4078"/>
        <v>7.8059453766042598E-3</v>
      </c>
      <c r="CG949" s="74">
        <f t="shared" si="4078"/>
        <v>1.5615405010043566E-2</v>
      </c>
      <c r="CH949" s="74">
        <f t="shared" si="4078"/>
        <v>7.8024327011847888E-3</v>
      </c>
      <c r="CI949" s="74">
        <f t="shared" si="4078"/>
        <v>7.7989216064692553E-3</v>
      </c>
      <c r="CJ949" s="74">
        <f t="shared" si="4078"/>
        <v>1.5601354307654042E-2</v>
      </c>
      <c r="CK949" s="74">
        <f t="shared" si="4078"/>
        <v>7.7954120917463447E-3</v>
      </c>
      <c r="CL949" s="74">
        <f t="shared" si="4078"/>
        <v>7.7919041563050597E-3</v>
      </c>
      <c r="CM949" s="74">
        <f t="shared" si="4078"/>
        <v>1.5587316248051406E-2</v>
      </c>
      <c r="CN949" s="74">
        <f t="shared" si="4078"/>
        <v>7.7883977994347214E-3</v>
      </c>
      <c r="CO949" s="74">
        <f t="shared" si="4078"/>
        <v>7.7848930204249761E-3</v>
      </c>
      <c r="CP949" s="74">
        <f t="shared" si="4078"/>
        <v>1.5573290819859698E-2</v>
      </c>
      <c r="CQ949" s="74">
        <f t="shared" si="4078"/>
        <v>7.781389818565786E-3</v>
      </c>
      <c r="CR949" s="74">
        <f t="shared" si="4078"/>
        <v>7.7778881931474322E-3</v>
      </c>
      <c r="CS949" s="74">
        <f t="shared" si="4078"/>
        <v>1.5559278011713218E-2</v>
      </c>
      <c r="CT949" s="74">
        <f t="shared" si="4078"/>
        <v>7.7743881434605153E-3</v>
      </c>
      <c r="CU949" s="74">
        <f t="shared" si="4078"/>
        <v>7.7708896687959592E-3</v>
      </c>
      <c r="CV949" s="74">
        <f t="shared" si="4078"/>
        <v>1.5545277812256474E-2</v>
      </c>
      <c r="CW949" s="74">
        <f t="shared" si="4078"/>
        <v>7.767392768445E-3</v>
      </c>
      <c r="CX949" s="74">
        <f t="shared" si="4078"/>
        <v>7.7638974416992003E-3</v>
      </c>
      <c r="CY949" s="74">
        <f t="shared" si="4078"/>
        <v>1.55312902101442E-2</v>
      </c>
      <c r="CZ949" s="74">
        <f t="shared" si="4078"/>
        <v>7.7604036878504354E-3</v>
      </c>
      <c r="DA949" s="74">
        <f t="shared" si="4078"/>
        <v>7.7569115061909034E-3</v>
      </c>
      <c r="DB949" s="74">
        <f t="shared" si="4078"/>
        <v>1.5517315194041339E-2</v>
      </c>
      <c r="DC949" s="74">
        <f t="shared" si="4078"/>
        <v>7.7534208960131183E-3</v>
      </c>
      <c r="DD949" s="74">
        <f t="shared" si="4078"/>
        <v>7.7499318566099122E-3</v>
      </c>
      <c r="DE949" s="74">
        <f t="shared" si="4078"/>
        <v>1.550335275262303E-2</v>
      </c>
      <c r="DF949" s="74">
        <f t="shared" si="4078"/>
        <v>7.7464443872744381E-3</v>
      </c>
      <c r="DG949" s="74">
        <f t="shared" si="4078"/>
        <v>7.7429584873001649E-3</v>
      </c>
      <c r="DH949" s="74">
        <f t="shared" si="4078"/>
        <v>1.5489402874574603E-2</v>
      </c>
      <c r="DI949" s="74">
        <f t="shared" si="4078"/>
        <v>7.7394741559808806E-3</v>
      </c>
      <c r="DJ949" s="74">
        <f t="shared" ref="DJ949:ER949" si="4079">DJ710+DJ728</f>
        <v>7.7359913926106898E-3</v>
      </c>
      <c r="DK949" s="74">
        <f t="shared" si="4079"/>
        <v>1.5475465548591572E-2</v>
      </c>
      <c r="DL949" s="74">
        <f t="shared" si="4079"/>
        <v>7.7325101964840146E-3</v>
      </c>
      <c r="DM949" s="74">
        <f t="shared" si="4079"/>
        <v>7.7290305668955978E-3</v>
      </c>
      <c r="DN949" s="74">
        <f t="shared" si="4079"/>
        <v>1.5461540763379612E-2</v>
      </c>
      <c r="DO949" s="74">
        <f t="shared" si="4079"/>
        <v>7.7255525031404955E-3</v>
      </c>
      <c r="DP949" s="74">
        <f t="shared" si="4079"/>
        <v>7.7220760045140831E-3</v>
      </c>
      <c r="DQ949" s="74">
        <f t="shared" si="4079"/>
        <v>1.544762850765458E-2</v>
      </c>
      <c r="DR949" s="74">
        <f t="shared" si="4079"/>
        <v>7.7186010703120533E-3</v>
      </c>
      <c r="DS949" s="74">
        <f t="shared" si="4079"/>
        <v>7.7151276998304128E-3</v>
      </c>
      <c r="DT949" s="74">
        <f t="shared" si="4079"/>
        <v>1.5433728770142464E-2</v>
      </c>
      <c r="DU949" s="74">
        <f t="shared" si="4079"/>
        <v>7.7116558923654883E-3</v>
      </c>
      <c r="DV949" s="74">
        <f t="shared" si="4079"/>
        <v>7.708185647213925E-3</v>
      </c>
      <c r="DW949" s="74">
        <f t="shared" si="4079"/>
        <v>1.5419841539579416E-2</v>
      </c>
      <c r="DX949" s="74">
        <f t="shared" si="4079"/>
        <v>7.7047169636726785E-3</v>
      </c>
      <c r="DY949" s="74">
        <f t="shared" si="4079"/>
        <v>7.701249841039026E-3</v>
      </c>
      <c r="DZ949" s="74">
        <f t="shared" si="4079"/>
        <v>1.5405966804711704E-2</v>
      </c>
      <c r="EA949" s="74">
        <f t="shared" si="4079"/>
        <v>7.6977842786105592E-3</v>
      </c>
      <c r="EB949" s="74">
        <f t="shared" si="4079"/>
        <v>7.694320275685184E-3</v>
      </c>
      <c r="EC949" s="74">
        <f t="shared" si="4079"/>
        <v>1.5392104554295743E-2</v>
      </c>
      <c r="ED949" s="74">
        <f t="shared" si="4079"/>
        <v>7.6908578315611252E-3</v>
      </c>
      <c r="EE949" s="74">
        <f t="shared" si="4079"/>
        <v>7.6873969455369239E-3</v>
      </c>
      <c r="EF949" s="74">
        <f t="shared" si="4079"/>
        <v>1.537825477709805E-2</v>
      </c>
      <c r="EG949" s="74">
        <f t="shared" si="4079"/>
        <v>7.6839376169114317E-3</v>
      </c>
      <c r="EH949" s="74">
        <f t="shared" si="4079"/>
        <v>7.6804798449838221E-3</v>
      </c>
      <c r="EI949" s="74">
        <f t="shared" si="4079"/>
        <v>1.5364417461895253E-2</v>
      </c>
      <c r="EJ949" s="74">
        <f t="shared" si="4079"/>
        <v>7.6770236290535799E-3</v>
      </c>
      <c r="EK949" s="74">
        <f t="shared" si="4079"/>
        <v>7.6735689684205056E-3</v>
      </c>
      <c r="EL949" s="74">
        <f t="shared" si="4079"/>
        <v>1.5350592597474086E-2</v>
      </c>
      <c r="EM949" s="74">
        <f t="shared" si="4079"/>
        <v>7.6701158623847182E-3</v>
      </c>
      <c r="EN949" s="74">
        <f t="shared" si="4079"/>
        <v>7.6666643102466453E-3</v>
      </c>
      <c r="EO949" s="74">
        <f t="shared" si="4079"/>
        <v>1.5336780172631364E-2</v>
      </c>
      <c r="EP949" s="74">
        <f t="shared" si="4079"/>
        <v>7.6632143113070355E-3</v>
      </c>
      <c r="EQ949" s="74">
        <f t="shared" si="4079"/>
        <v>7.6597658648669478E-3</v>
      </c>
      <c r="ER949" s="74">
        <f t="shared" si="4079"/>
        <v>1.5322980176173985E-2</v>
      </c>
      <c r="ES949" s="74">
        <f t="shared" ref="ES949:EX949" si="4080">ES710+ES728</f>
        <v>7.656318970227758E-3</v>
      </c>
      <c r="ET949" s="74">
        <f t="shared" si="4080"/>
        <v>7.6528736266911566E-3</v>
      </c>
      <c r="EU949" s="74">
        <f t="shared" si="4080"/>
        <v>1.5309192596918915E-2</v>
      </c>
      <c r="EV949" s="74">
        <f t="shared" si="4080"/>
        <v>7.6494298335591454E-3</v>
      </c>
      <c r="EW949" s="74">
        <f t="shared" si="4080"/>
        <v>7.645987590134044E-3</v>
      </c>
      <c r="EX949" s="74">
        <f t="shared" si="4080"/>
        <v>1.5295417423693189E-2</v>
      </c>
      <c r="EY949" s="74">
        <f t="shared" ref="EY949:FA949" si="4081">EY710+EY728</f>
        <v>7.6425468957184838E-3</v>
      </c>
      <c r="EZ949" s="74">
        <f t="shared" si="4081"/>
        <v>7.6391077496154114E-3</v>
      </c>
      <c r="FA949" s="74">
        <f t="shared" si="4081"/>
        <v>1.5281654645333896E-2</v>
      </c>
    </row>
    <row r="950" spans="2:157" hidden="1" outlineLevel="1">
      <c r="C950" s="186" t="s">
        <v>431</v>
      </c>
      <c r="D950" s="162" t="s">
        <v>985</v>
      </c>
      <c r="AX950" s="74">
        <f t="shared" ref="AX950:CC950" si="4082">AX711+AX729</f>
        <v>9.7730458602000008E-3</v>
      </c>
      <c r="AY950" s="74">
        <f t="shared" si="4082"/>
        <v>9.8355933537052805E-3</v>
      </c>
      <c r="AZ950" s="74">
        <f t="shared" si="4082"/>
        <v>1.960863921390528E-2</v>
      </c>
      <c r="BA950" s="74">
        <f t="shared" si="4082"/>
        <v>9.8985411511689943E-3</v>
      </c>
      <c r="BB950" s="74">
        <f t="shared" si="4082"/>
        <v>9.9618918145364735E-3</v>
      </c>
      <c r="BC950" s="74">
        <f t="shared" si="4082"/>
        <v>1.9860432965705468E-2</v>
      </c>
      <c r="BD950" s="74">
        <f t="shared" si="4082"/>
        <v>1.0025647922149508E-2</v>
      </c>
      <c r="BE950" s="74">
        <f t="shared" si="4082"/>
        <v>1.0089812068851263E-2</v>
      </c>
      <c r="BF950" s="74">
        <f t="shared" si="4082"/>
        <v>2.011545999100077E-2</v>
      </c>
      <c r="BG950" s="74">
        <f t="shared" si="4082"/>
        <v>1.0154386866091911E-2</v>
      </c>
      <c r="BH950" s="74">
        <f t="shared" si="4082"/>
        <v>1.0219374942034901E-2</v>
      </c>
      <c r="BI950" s="74">
        <f t="shared" si="4082"/>
        <v>2.0373761808126813E-2</v>
      </c>
      <c r="BJ950" s="74">
        <f t="shared" si="4082"/>
        <v>1.0284778941663925E-2</v>
      </c>
      <c r="BK950" s="74">
        <f t="shared" si="4082"/>
        <v>1.0350601526890574E-2</v>
      </c>
      <c r="BL950" s="74">
        <f t="shared" si="4082"/>
        <v>2.0635380468554496E-2</v>
      </c>
      <c r="BM950" s="74">
        <f t="shared" si="4082"/>
        <v>1.0383723451776624E-2</v>
      </c>
      <c r="BN950" s="74">
        <f t="shared" si="4082"/>
        <v>1.0416951366822309E-2</v>
      </c>
      <c r="BO950" s="74">
        <f t="shared" si="4082"/>
        <v>2.080067481859893E-2</v>
      </c>
      <c r="BP950" s="74">
        <f t="shared" si="4082"/>
        <v>1.0450285611196142E-2</v>
      </c>
      <c r="BQ950" s="74">
        <f t="shared" si="4082"/>
        <v>1.0483726525151969E-2</v>
      </c>
      <c r="BR950" s="74">
        <f t="shared" si="4082"/>
        <v>2.0934012136348112E-2</v>
      </c>
      <c r="BS950" s="74">
        <f t="shared" si="4082"/>
        <v>1.0517274450032456E-2</v>
      </c>
      <c r="BT950" s="74">
        <f t="shared" si="4082"/>
        <v>1.0550929728272564E-2</v>
      </c>
      <c r="BU950" s="74">
        <f t="shared" si="4082"/>
        <v>2.1068204178305017E-2</v>
      </c>
      <c r="BV950" s="74">
        <f t="shared" si="4082"/>
        <v>1.0584692703403037E-2</v>
      </c>
      <c r="BW950" s="74">
        <f t="shared" si="4082"/>
        <v>1.0618563720053927E-2</v>
      </c>
      <c r="BX950" s="74">
        <f t="shared" si="4082"/>
        <v>2.1203256423456968E-2</v>
      </c>
      <c r="BY950" s="74">
        <f t="shared" si="4082"/>
        <v>1.0652543123958101E-2</v>
      </c>
      <c r="BZ950" s="74">
        <f t="shared" si="4082"/>
        <v>1.0686631261954769E-2</v>
      </c>
      <c r="CA950" s="74">
        <f t="shared" si="4082"/>
        <v>2.133917438591287E-2</v>
      </c>
      <c r="CB950" s="74">
        <f t="shared" si="4082"/>
        <v>1.0720828481993024E-2</v>
      </c>
      <c r="CC950" s="74">
        <f t="shared" si="4082"/>
        <v>1.0755135133135403E-2</v>
      </c>
      <c r="CD950" s="74">
        <f t="shared" ref="CD950:DI950" si="4083">CD711+CD729</f>
        <v>2.1475963615128428E-2</v>
      </c>
      <c r="CE950" s="74">
        <f t="shared" si="4083"/>
        <v>1.0789551565561438E-2</v>
      </c>
      <c r="CF950" s="74">
        <f t="shared" si="4083"/>
        <v>1.0824078130571235E-2</v>
      </c>
      <c r="CG950" s="74">
        <f t="shared" si="4083"/>
        <v>2.1613629696132675E-2</v>
      </c>
      <c r="CH950" s="74">
        <f t="shared" si="4083"/>
        <v>1.0858715180589066E-2</v>
      </c>
      <c r="CI950" s="74">
        <f t="shared" si="4083"/>
        <v>1.0893463069166949E-2</v>
      </c>
      <c r="CJ950" s="74">
        <f t="shared" si="4083"/>
        <v>2.1752178249756011E-2</v>
      </c>
      <c r="CK950" s="74">
        <f t="shared" si="4083"/>
        <v>1.0928322150988285E-2</v>
      </c>
      <c r="CL950" s="74">
        <f t="shared" si="4083"/>
        <v>1.0963292781871449E-2</v>
      </c>
      <c r="CM950" s="74">
        <f t="shared" si="4083"/>
        <v>2.1891614932859731E-2</v>
      </c>
      <c r="CN950" s="74">
        <f t="shared" si="4083"/>
        <v>1.0998375318773439E-2</v>
      </c>
      <c r="CO950" s="74">
        <f t="shared" si="4083"/>
        <v>1.1033570119793515E-2</v>
      </c>
      <c r="CP950" s="74">
        <f t="shared" si="4083"/>
        <v>2.2031945438566954E-2</v>
      </c>
      <c r="CQ950" s="74">
        <f t="shared" si="4083"/>
        <v>1.1068877544176858E-2</v>
      </c>
      <c r="CR950" s="74">
        <f t="shared" si="4083"/>
        <v>1.1104297952318222E-2</v>
      </c>
      <c r="CS950" s="74">
        <f t="shared" si="4083"/>
        <v>2.2173175496495078E-2</v>
      </c>
      <c r="CT950" s="74">
        <f t="shared" si="4083"/>
        <v>1.1139831705765641E-2</v>
      </c>
      <c r="CU950" s="74">
        <f t="shared" si="4083"/>
        <v>1.1175479167224091E-2</v>
      </c>
      <c r="CV950" s="74">
        <f t="shared" si="4083"/>
        <v>2.2315310872989734E-2</v>
      </c>
      <c r="CW950" s="74">
        <f t="shared" si="4083"/>
        <v>1.121124070055921E-2</v>
      </c>
      <c r="CX950" s="74">
        <f t="shared" si="4083"/>
        <v>1.1247116670801E-2</v>
      </c>
      <c r="CY950" s="74">
        <f t="shared" si="4083"/>
        <v>2.2458357371360212E-2</v>
      </c>
      <c r="CZ950" s="74">
        <f t="shared" si="4083"/>
        <v>1.1283107444147567E-2</v>
      </c>
      <c r="DA950" s="74">
        <f t="shared" si="4083"/>
        <v>1.1319213387968837E-2</v>
      </c>
      <c r="DB950" s="74">
        <f t="shared" si="4083"/>
        <v>2.2602320832116406E-2</v>
      </c>
      <c r="DC950" s="74">
        <f t="shared" si="4083"/>
        <v>1.1355434870810338E-2</v>
      </c>
      <c r="DD950" s="74">
        <f t="shared" si="4083"/>
        <v>1.139177226239693E-2</v>
      </c>
      <c r="DE950" s="74">
        <f t="shared" si="4083"/>
        <v>2.274720713320727E-2</v>
      </c>
      <c r="DF950" s="74">
        <f t="shared" si="4083"/>
        <v>1.1428225933636602E-2</v>
      </c>
      <c r="DG950" s="74">
        <f t="shared" si="4083"/>
        <v>1.1464796256624242E-2</v>
      </c>
      <c r="DH950" s="74">
        <f t="shared" si="4083"/>
        <v>2.2893022190260841E-2</v>
      </c>
      <c r="DI950" s="74">
        <f t="shared" si="4083"/>
        <v>1.1501483604645438E-2</v>
      </c>
      <c r="DJ950" s="74">
        <f t="shared" ref="DJ950:ER950" si="4084">DJ711+DJ729</f>
        <v>1.1538288352180303E-2</v>
      </c>
      <c r="DK950" s="74">
        <f t="shared" si="4084"/>
        <v>2.3039771956825744E-2</v>
      </c>
      <c r="DL950" s="74">
        <f t="shared" si="4084"/>
        <v>1.1575210874907281E-2</v>
      </c>
      <c r="DM950" s="74">
        <f t="shared" si="4084"/>
        <v>1.1612251549706985E-2</v>
      </c>
      <c r="DN950" s="74">
        <f t="shared" si="4084"/>
        <v>2.3187462424614266E-2</v>
      </c>
      <c r="DO950" s="74">
        <f t="shared" si="4084"/>
        <v>1.1649410754666047E-2</v>
      </c>
      <c r="DP950" s="74">
        <f t="shared" si="4084"/>
        <v>1.168668886908098E-2</v>
      </c>
      <c r="DQ950" s="74">
        <f t="shared" si="4084"/>
        <v>2.3336099623747025E-2</v>
      </c>
      <c r="DR950" s="74">
        <f t="shared" si="4084"/>
        <v>1.1724086273462043E-2</v>
      </c>
      <c r="DS950" s="74">
        <f t="shared" si="4084"/>
        <v>1.176160334953712E-2</v>
      </c>
      <c r="DT950" s="74">
        <f t="shared" si="4084"/>
        <v>2.3485689622999163E-2</v>
      </c>
      <c r="DU950" s="74">
        <f t="shared" si="4084"/>
        <v>1.1799240480255638E-2</v>
      </c>
      <c r="DV950" s="74">
        <f t="shared" si="4084"/>
        <v>1.183699804979246E-2</v>
      </c>
      <c r="DW950" s="74">
        <f t="shared" si="4084"/>
        <v>2.3636238530048096E-2</v>
      </c>
      <c r="DX950" s="74">
        <f t="shared" si="4084"/>
        <v>1.1874876443551795E-2</v>
      </c>
      <c r="DY950" s="74">
        <f t="shared" si="4084"/>
        <v>1.1912876048171164E-2</v>
      </c>
      <c r="DZ950" s="74">
        <f t="shared" si="4084"/>
        <v>2.3787752491722956E-2</v>
      </c>
      <c r="EA950" s="74">
        <f t="shared" si="4084"/>
        <v>1.1950997251525311E-2</v>
      </c>
      <c r="EB950" s="74">
        <f t="shared" si="4084"/>
        <v>1.1989240442730194E-2</v>
      </c>
      <c r="EC950" s="74">
        <f t="shared" si="4084"/>
        <v>2.3940237694255503E-2</v>
      </c>
      <c r="ED950" s="74">
        <f t="shared" si="4084"/>
        <v>1.2027606012146932E-2</v>
      </c>
      <c r="EE950" s="74">
        <f t="shared" si="4084"/>
        <v>1.2066094351385802E-2</v>
      </c>
      <c r="EF950" s="74">
        <f t="shared" si="4084"/>
        <v>2.4093700363532734E-2</v>
      </c>
      <c r="EG950" s="74">
        <f t="shared" si="4084"/>
        <v>1.2104705853310239E-2</v>
      </c>
      <c r="EH950" s="74">
        <f t="shared" si="4084"/>
        <v>1.2143440912040834E-2</v>
      </c>
      <c r="EI950" s="74">
        <f t="shared" si="4084"/>
        <v>2.4248146765351072E-2</v>
      </c>
      <c r="EJ950" s="74">
        <f t="shared" si="4084"/>
        <v>1.2182299922959362E-2</v>
      </c>
      <c r="EK950" s="74">
        <f t="shared" si="4084"/>
        <v>1.2221283282712835E-2</v>
      </c>
      <c r="EL950" s="74">
        <f t="shared" si="4084"/>
        <v>2.4403583205672201E-2</v>
      </c>
      <c r="EM950" s="74">
        <f t="shared" si="4084"/>
        <v>1.2260391389217515E-2</v>
      </c>
      <c r="EN950" s="74">
        <f t="shared" si="4084"/>
        <v>1.2299624641663013E-2</v>
      </c>
      <c r="EO950" s="74">
        <f t="shared" si="4084"/>
        <v>2.4560016030880528E-2</v>
      </c>
      <c r="EP950" s="74">
        <f t="shared" si="4084"/>
        <v>1.2338983440516336E-2</v>
      </c>
      <c r="EQ950" s="74">
        <f t="shared" si="4084"/>
        <v>1.237846818752599E-2</v>
      </c>
      <c r="ER950" s="74">
        <f t="shared" si="4084"/>
        <v>2.4717451628042328E-2</v>
      </c>
      <c r="ES950" s="74">
        <f t="shared" ref="ES950:EX950" si="4085">ES711+ES729</f>
        <v>1.2418079285726073E-2</v>
      </c>
      <c r="ET950" s="74">
        <f t="shared" si="4085"/>
        <v>1.2457817139440398E-2</v>
      </c>
      <c r="EU950" s="74">
        <f t="shared" si="4085"/>
        <v>2.4875896425166473E-2</v>
      </c>
      <c r="EV950" s="74">
        <f t="shared" si="4085"/>
        <v>1.2497682154286606E-2</v>
      </c>
      <c r="EW950" s="74">
        <f t="shared" si="4085"/>
        <v>1.2537674737180324E-2</v>
      </c>
      <c r="EX950" s="74">
        <f t="shared" si="4085"/>
        <v>2.503535689146693E-2</v>
      </c>
      <c r="EY950" s="74">
        <f t="shared" ref="EY950:FA950" si="4086">EY711+EY729</f>
        <v>1.2577795296339301E-2</v>
      </c>
      <c r="EZ950" s="74">
        <f t="shared" si="4086"/>
        <v>1.2618044241287589E-2</v>
      </c>
      <c r="FA950" s="74">
        <f t="shared" si="4086"/>
        <v>2.5195839537626892E-2</v>
      </c>
    </row>
    <row r="951" spans="2:157" hidden="1" outlineLevel="1">
      <c r="C951" s="186" t="s">
        <v>327</v>
      </c>
      <c r="D951" s="162" t="s">
        <v>985</v>
      </c>
      <c r="AX951" s="74">
        <f t="shared" ref="AX951:CC951" si="4087">SUM(AX948:AX950)</f>
        <v>2.3076536970571875E-2</v>
      </c>
      <c r="AY951" s="74">
        <f t="shared" si="4087"/>
        <v>2.314784082621776E-2</v>
      </c>
      <c r="AZ951" s="74">
        <f t="shared" si="4087"/>
        <v>4.6224377796789631E-2</v>
      </c>
      <c r="BA951" s="74">
        <f t="shared" si="4087"/>
        <v>2.3219598257133364E-2</v>
      </c>
      <c r="BB951" s="74">
        <f t="shared" si="4087"/>
        <v>2.3291811957718348E-2</v>
      </c>
      <c r="BC951" s="74">
        <f t="shared" si="4087"/>
        <v>4.6511410214851716E-2</v>
      </c>
      <c r="BD951" s="74">
        <f t="shared" si="4087"/>
        <v>2.3364484639181803E-2</v>
      </c>
      <c r="BE951" s="74">
        <f t="shared" si="4087"/>
        <v>2.3437619029648346E-2</v>
      </c>
      <c r="BF951" s="74">
        <f t="shared" si="4087"/>
        <v>4.6802103668830149E-2</v>
      </c>
      <c r="BG951" s="74">
        <f t="shared" si="4087"/>
        <v>2.3511217874264991E-2</v>
      </c>
      <c r="BH951" s="74">
        <f t="shared" si="4087"/>
        <v>2.3585283935308572E-2</v>
      </c>
      <c r="BI951" s="74">
        <f t="shared" si="4087"/>
        <v>4.7096501809573567E-2</v>
      </c>
      <c r="BJ951" s="74">
        <f t="shared" si="4087"/>
        <v>2.3659819992293975E-2</v>
      </c>
      <c r="BK951" s="74">
        <f t="shared" si="4087"/>
        <v>2.3734828842082958E-2</v>
      </c>
      <c r="BL951" s="74">
        <f t="shared" si="4087"/>
        <v>4.7394648834376933E-2</v>
      </c>
      <c r="BM951" s="74">
        <f t="shared" si="4087"/>
        <v>2.3772571070538349E-2</v>
      </c>
      <c r="BN951" s="74">
        <f t="shared" si="4087"/>
        <v>2.3810432908745412E-2</v>
      </c>
      <c r="BO951" s="74">
        <f t="shared" si="4087"/>
        <v>4.7583003979283764E-2</v>
      </c>
      <c r="BP951" s="74">
        <f t="shared" si="4087"/>
        <v>2.384841471289947E-2</v>
      </c>
      <c r="BQ951" s="74">
        <f t="shared" si="4087"/>
        <v>2.3886516840307667E-2</v>
      </c>
      <c r="BR951" s="74">
        <f t="shared" si="4087"/>
        <v>4.7734931553207141E-2</v>
      </c>
      <c r="BS951" s="74">
        <f t="shared" si="4087"/>
        <v>2.3924739649392509E-2</v>
      </c>
      <c r="BT951" s="74">
        <f t="shared" si="4087"/>
        <v>2.3963083499695351E-2</v>
      </c>
      <c r="BU951" s="74">
        <f t="shared" si="4087"/>
        <v>4.7887823149087856E-2</v>
      </c>
      <c r="BV951" s="74">
        <f t="shared" si="4087"/>
        <v>2.4001548751879948E-2</v>
      </c>
      <c r="BW951" s="74">
        <f t="shared" si="4087"/>
        <v>2.4040135767736011E-2</v>
      </c>
      <c r="BX951" s="74">
        <f t="shared" si="4087"/>
        <v>4.8041684519615963E-2</v>
      </c>
      <c r="BY951" s="74">
        <f t="shared" si="4087"/>
        <v>2.4078844910182744E-2</v>
      </c>
      <c r="BZ951" s="74">
        <f t="shared" si="4087"/>
        <v>2.4117676543272421E-2</v>
      </c>
      <c r="CA951" s="74">
        <f t="shared" si="4087"/>
        <v>4.8196521453455168E-2</v>
      </c>
      <c r="CB951" s="74">
        <f t="shared" si="4087"/>
        <v>2.4156631032193968E-2</v>
      </c>
      <c r="CC951" s="74">
        <f t="shared" si="4087"/>
        <v>2.4195708743276551E-2</v>
      </c>
      <c r="CD951" s="74">
        <f t="shared" ref="CD951:DI951" si="4088">SUM(CD948:CD950)</f>
        <v>4.8352339775470515E-2</v>
      </c>
      <c r="CE951" s="74">
        <f t="shared" si="4088"/>
        <v>2.4234910043993169E-2</v>
      </c>
      <c r="CF951" s="74">
        <f t="shared" si="4088"/>
        <v>2.4274235302964284E-2</v>
      </c>
      <c r="CG951" s="74">
        <f t="shared" si="4088"/>
        <v>4.8509145346957452E-2</v>
      </c>
      <c r="CH951" s="74">
        <f t="shared" si="4088"/>
        <v>2.4313684889961433E-2</v>
      </c>
      <c r="CI951" s="74">
        <f t="shared" si="4088"/>
        <v>2.4353259175910857E-2</v>
      </c>
      <c r="CJ951" s="74">
        <f t="shared" si="4088"/>
        <v>4.8666944065872283E-2</v>
      </c>
      <c r="CK951" s="74">
        <f t="shared" si="4088"/>
        <v>2.4392958532897184E-2</v>
      </c>
      <c r="CL951" s="74">
        <f t="shared" si="4088"/>
        <v>2.4432783334167055E-2</v>
      </c>
      <c r="CM951" s="74">
        <f t="shared" si="4088"/>
        <v>4.8825741867064239E-2</v>
      </c>
      <c r="CN951" s="74">
        <f t="shared" si="4088"/>
        <v>2.447273395413279E-2</v>
      </c>
      <c r="CO951" s="74">
        <f t="shared" si="4088"/>
        <v>2.4512810768376112E-2</v>
      </c>
      <c r="CP951" s="74">
        <f t="shared" si="4088"/>
        <v>4.8985544722508906E-2</v>
      </c>
      <c r="CQ951" s="74">
        <f t="shared" si="4088"/>
        <v>2.4553014153651798E-2</v>
      </c>
      <c r="CR951" s="74">
        <f t="shared" si="4088"/>
        <v>2.4593344487891397E-2</v>
      </c>
      <c r="CS951" s="74">
        <f t="shared" si="4088"/>
        <v>4.9146358641543188E-2</v>
      </c>
      <c r="CT951" s="74">
        <f t="shared" si="4088"/>
        <v>2.4633802150206975E-2</v>
      </c>
      <c r="CU951" s="74">
        <f t="shared" si="4088"/>
        <v>2.4674387520894816E-2</v>
      </c>
      <c r="CV951" s="74">
        <f t="shared" si="4088"/>
        <v>4.9308189671101788E-2</v>
      </c>
      <c r="CW951" s="74">
        <f t="shared" si="4088"/>
        <v>2.4715100981439163E-2</v>
      </c>
      <c r="CX951" s="74">
        <f t="shared" si="4088"/>
        <v>2.4755942914515994E-2</v>
      </c>
      <c r="CY951" s="74">
        <f t="shared" si="4088"/>
        <v>4.9471043895955163E-2</v>
      </c>
      <c r="CZ951" s="74">
        <f t="shared" si="4088"/>
        <v>2.4796913703996767E-2</v>
      </c>
      <c r="DA951" s="74">
        <f t="shared" si="4088"/>
        <v>2.4838013734952209E-2</v>
      </c>
      <c r="DB951" s="74">
        <f t="shared" si="4088"/>
        <v>4.9634927438948977E-2</v>
      </c>
      <c r="DC951" s="74">
        <f t="shared" si="4088"/>
        <v>2.4879243393656089E-2</v>
      </c>
      <c r="DD951" s="74">
        <f t="shared" si="4088"/>
        <v>2.4920603067589055E-2</v>
      </c>
      <c r="DE951" s="74">
        <f t="shared" si="4088"/>
        <v>4.9799846461245148E-2</v>
      </c>
      <c r="DF951" s="74">
        <f t="shared" si="4088"/>
        <v>2.4962093145442413E-2</v>
      </c>
      <c r="DG951" s="74">
        <f t="shared" si="4088"/>
        <v>2.500371401712196E-2</v>
      </c>
      <c r="DH951" s="74">
        <f t="shared" si="4088"/>
        <v>4.9965807162564366E-2</v>
      </c>
      <c r="DI951" s="74">
        <f t="shared" si="4088"/>
        <v>2.5045466073751837E-2</v>
      </c>
      <c r="DJ951" s="74">
        <f t="shared" ref="DJ951:EO951" si="4089">SUM(DJ948:DJ950)</f>
        <v>2.5087349707678373E-2</v>
      </c>
      <c r="DK951" s="74">
        <f t="shared" si="4089"/>
        <v>5.0132815781430216E-2</v>
      </c>
      <c r="DL951" s="74">
        <f t="shared" si="4089"/>
        <v>2.5129365312473933E-2</v>
      </c>
      <c r="DM951" s="74">
        <f t="shared" si="4089"/>
        <v>2.5171513282940816E-2</v>
      </c>
      <c r="DN951" s="74">
        <f t="shared" si="4089"/>
        <v>5.0300878595414752E-2</v>
      </c>
      <c r="DO951" s="74">
        <f t="shared" si="4089"/>
        <v>2.5213794015115126E-2</v>
      </c>
      <c r="DP951" s="74">
        <f t="shared" si="4089"/>
        <v>2.5256207906270672E-2</v>
      </c>
      <c r="DQ951" s="74">
        <f t="shared" si="4089"/>
        <v>5.0470001921385801E-2</v>
      </c>
      <c r="DR951" s="74">
        <f t="shared" si="4089"/>
        <v>2.5298755354922903E-2</v>
      </c>
      <c r="DS951" s="74">
        <f t="shared" si="4089"/>
        <v>2.5341436760832784E-2</v>
      </c>
      <c r="DT951" s="74">
        <f t="shared" si="4089"/>
        <v>5.0640192115755683E-2</v>
      </c>
      <c r="DU951" s="74">
        <f t="shared" si="4089"/>
        <v>2.5384252525010788E-2</v>
      </c>
      <c r="DV951" s="74">
        <f t="shared" si="4089"/>
        <v>2.542720304972082E-2</v>
      </c>
      <c r="DW951" s="74">
        <f t="shared" si="4089"/>
        <v>5.0811455574731615E-2</v>
      </c>
      <c r="DX951" s="74">
        <f t="shared" si="4089"/>
        <v>2.5470288738484163E-2</v>
      </c>
      <c r="DY951" s="74">
        <f t="shared" si="4089"/>
        <v>2.5513509996083487E-2</v>
      </c>
      <c r="DZ951" s="74">
        <f t="shared" si="4089"/>
        <v>5.0983798734567647E-2</v>
      </c>
      <c r="EA951" s="74">
        <f t="shared" si="4089"/>
        <v>2.5556867228566801E-2</v>
      </c>
      <c r="EB951" s="74">
        <f t="shared" si="4089"/>
        <v>2.5600360843251499E-2</v>
      </c>
      <c r="EC951" s="74">
        <f t="shared" si="4089"/>
        <v>5.11572280718183E-2</v>
      </c>
      <c r="ED951" s="74">
        <f t="shared" si="4089"/>
        <v>2.5643991248728307E-2</v>
      </c>
      <c r="EE951" s="74">
        <f t="shared" si="4089"/>
        <v>2.5687758854865381E-2</v>
      </c>
      <c r="EF951" s="74">
        <f t="shared" si="4089"/>
        <v>5.1331750103593685E-2</v>
      </c>
      <c r="EG951" s="74">
        <f t="shared" si="4089"/>
        <v>2.5731664072812292E-2</v>
      </c>
      <c r="EH951" s="74">
        <f t="shared" si="4089"/>
        <v>2.5775707315004098E-2</v>
      </c>
      <c r="EI951" s="74">
        <f t="shared" si="4089"/>
        <v>5.1507371387816386E-2</v>
      </c>
      <c r="EJ951" s="74">
        <f t="shared" si="4089"/>
        <v>2.5819888995165401E-2</v>
      </c>
      <c r="EK951" s="74">
        <f t="shared" si="4089"/>
        <v>2.586420952831445E-2</v>
      </c>
      <c r="EL951" s="74">
        <f t="shared" si="4089"/>
        <v>5.1684098523479854E-2</v>
      </c>
      <c r="EM951" s="74">
        <f t="shared" si="4089"/>
        <v>2.5908669330767183E-2</v>
      </c>
      <c r="EN951" s="74">
        <f t="shared" si="4089"/>
        <v>2.5953268820141377E-2</v>
      </c>
      <c r="EO951" s="74">
        <f t="shared" si="4089"/>
        <v>5.186193815090856E-2</v>
      </c>
      <c r="EP951" s="74">
        <f t="shared" ref="EP951:ER951" si="4090">SUM(EP948:EP950)</f>
        <v>2.5998008415360728E-2</v>
      </c>
      <c r="EQ951" s="74">
        <f t="shared" si="4090"/>
        <v>2.6042888536659016E-2</v>
      </c>
      <c r="ER951" s="74">
        <f t="shared" si="4090"/>
        <v>5.2040896952019744E-2</v>
      </c>
      <c r="ES951" s="74">
        <f t="shared" ref="ES951:EX951" si="4091">SUM(ES948:ES950)</f>
        <v>2.60879096055842E-2</v>
      </c>
      <c r="ET951" s="74">
        <f t="shared" si="4091"/>
        <v>2.6133072045002627E-2</v>
      </c>
      <c r="EU951" s="74">
        <f t="shared" si="4091"/>
        <v>5.2220981650586827E-2</v>
      </c>
      <c r="EV951" s="74">
        <f t="shared" si="4091"/>
        <v>2.6178376279103154E-2</v>
      </c>
      <c r="EW951" s="74">
        <f t="shared" si="4091"/>
        <v>2.6223822733401375E-2</v>
      </c>
      <c r="EX951" s="74">
        <f t="shared" si="4091"/>
        <v>5.2402199012504536E-2</v>
      </c>
      <c r="EY951" s="74">
        <f t="shared" ref="EY951:FA951" si="4092">SUM(EY948:EY950)</f>
        <v>2.6269411834743774E-2</v>
      </c>
      <c r="EZ951" s="74">
        <f t="shared" si="4092"/>
        <v>2.631514401131195E-2</v>
      </c>
      <c r="FA951" s="74">
        <f t="shared" si="4092"/>
        <v>5.2584555846055724E-2</v>
      </c>
    </row>
    <row r="952" spans="2:157" hidden="1" outlineLevel="1">
      <c r="B952" s="322" t="s">
        <v>997</v>
      </c>
    </row>
    <row r="953" spans="2:157" hidden="1" outlineLevel="1">
      <c r="B953" s="35" t="s">
        <v>994</v>
      </c>
    </row>
    <row r="954" spans="2:157" hidden="1" outlineLevel="1">
      <c r="C954" s="186" t="s">
        <v>316</v>
      </c>
      <c r="D954" s="162" t="s">
        <v>985</v>
      </c>
      <c r="AX954" s="163">
        <f>AX858+AX864+AX876+AX882</f>
        <v>22895.921395775942</v>
      </c>
      <c r="AY954" s="163">
        <f>AY858+AY864+AY876+AY882</f>
        <v>25371.470770775944</v>
      </c>
      <c r="AZ954" s="163">
        <f>AZ858+AZ864+AZ876+AZ882</f>
        <v>25371.470770775944</v>
      </c>
      <c r="BA954" s="163">
        <f t="shared" ref="BA954:DL954" si="4093">BA858+BA864</f>
        <v>13840.318553179637</v>
      </c>
      <c r="BB954" s="163">
        <f t="shared" si="4093"/>
        <v>15324.782626054639</v>
      </c>
      <c r="BC954" s="163">
        <f t="shared" si="4093"/>
        <v>15324.782626054639</v>
      </c>
      <c r="BD954" s="163">
        <f t="shared" si="4093"/>
        <v>16651.733403616388</v>
      </c>
      <c r="BE954" s="163">
        <f t="shared" si="4093"/>
        <v>18286.556297999825</v>
      </c>
      <c r="BF954" s="163">
        <f t="shared" si="4093"/>
        <v>18286.556297999825</v>
      </c>
      <c r="BG954" s="163">
        <f t="shared" si="4093"/>
        <v>19889.221767897619</v>
      </c>
      <c r="BH954" s="163">
        <f t="shared" si="4093"/>
        <v>21623.513640215737</v>
      </c>
      <c r="BI954" s="163">
        <f t="shared" si="4093"/>
        <v>21623.513640215737</v>
      </c>
      <c r="BJ954" s="163">
        <f t="shared" si="4093"/>
        <v>23139.384721392234</v>
      </c>
      <c r="BK954" s="163">
        <f t="shared" si="4093"/>
        <v>25111.797977439564</v>
      </c>
      <c r="BL954" s="163">
        <f t="shared" si="4093"/>
        <v>25111.797977439564</v>
      </c>
      <c r="BM954" s="163">
        <f t="shared" si="4093"/>
        <v>27181.650630626373</v>
      </c>
      <c r="BN954" s="163">
        <f t="shared" si="4093"/>
        <v>29385.845318739975</v>
      </c>
      <c r="BO954" s="163">
        <f t="shared" si="4093"/>
        <v>29385.845318739975</v>
      </c>
      <c r="BP954" s="163">
        <f t="shared" si="4093"/>
        <v>32136.605630862265</v>
      </c>
      <c r="BQ954" s="163">
        <f t="shared" si="4093"/>
        <v>34614.39367053876</v>
      </c>
      <c r="BR954" s="163">
        <f t="shared" si="4093"/>
        <v>34614.39367053876</v>
      </c>
      <c r="BS954" s="163">
        <f t="shared" si="4093"/>
        <v>37967.551612334202</v>
      </c>
      <c r="BT954" s="163">
        <f t="shared" si="4093"/>
        <v>41124.76779265402</v>
      </c>
      <c r="BU954" s="163">
        <f t="shared" si="4093"/>
        <v>41124.76779265402</v>
      </c>
      <c r="BV954" s="163">
        <f t="shared" si="4093"/>
        <v>44743.010678283164</v>
      </c>
      <c r="BW954" s="163">
        <f t="shared" si="4093"/>
        <v>48247.609655833105</v>
      </c>
      <c r="BX954" s="163">
        <f t="shared" si="4093"/>
        <v>48247.609655833105</v>
      </c>
      <c r="BY954" s="163">
        <f t="shared" si="4093"/>
        <v>51957.388774036634</v>
      </c>
      <c r="BZ954" s="163">
        <f t="shared" si="4093"/>
        <v>55563.779021723931</v>
      </c>
      <c r="CA954" s="163">
        <f t="shared" si="4093"/>
        <v>55563.779021723931</v>
      </c>
      <c r="CB954" s="163">
        <f t="shared" si="4093"/>
        <v>59611.247263178389</v>
      </c>
      <c r="CC954" s="163">
        <f t="shared" si="4093"/>
        <v>64042.747957870983</v>
      </c>
      <c r="CD954" s="163">
        <f t="shared" si="4093"/>
        <v>64042.747957870983</v>
      </c>
      <c r="CE954" s="163">
        <f t="shared" si="4093"/>
        <v>68692.487524927245</v>
      </c>
      <c r="CF954" s="163">
        <f t="shared" si="4093"/>
        <v>73783.404338185559</v>
      </c>
      <c r="CG954" s="163">
        <f t="shared" si="4093"/>
        <v>73783.404338185559</v>
      </c>
      <c r="CH954" s="163">
        <f t="shared" si="4093"/>
        <v>77833.783159993633</v>
      </c>
      <c r="CI954" s="163">
        <f t="shared" si="4093"/>
        <v>82708.874002227065</v>
      </c>
      <c r="CJ954" s="163">
        <f t="shared" si="4093"/>
        <v>82708.874002227065</v>
      </c>
      <c r="CK954" s="163">
        <f t="shared" si="4093"/>
        <v>87142.824379311583</v>
      </c>
      <c r="CL954" s="163">
        <f t="shared" si="4093"/>
        <v>91478.058567506145</v>
      </c>
      <c r="CM954" s="163">
        <f t="shared" si="4093"/>
        <v>91478.058567506145</v>
      </c>
      <c r="CN954" s="163">
        <f t="shared" si="4093"/>
        <v>95818.388767629775</v>
      </c>
      <c r="CO954" s="163">
        <f t="shared" si="4093"/>
        <v>100790.9560313499</v>
      </c>
      <c r="CP954" s="163">
        <f t="shared" si="4093"/>
        <v>100790.9560313499</v>
      </c>
      <c r="CQ954" s="163">
        <f t="shared" si="4093"/>
        <v>105862.45837035973</v>
      </c>
      <c r="CR954" s="163">
        <f t="shared" si="4093"/>
        <v>111573.38399949014</v>
      </c>
      <c r="CS954" s="163">
        <f t="shared" si="4093"/>
        <v>111573.38399949014</v>
      </c>
      <c r="CT954" s="163">
        <f t="shared" si="4093"/>
        <v>117144.2503864684</v>
      </c>
      <c r="CU954" s="163">
        <f t="shared" si="4093"/>
        <v>123017.11460016844</v>
      </c>
      <c r="CV954" s="163">
        <f t="shared" si="4093"/>
        <v>123017.11460016844</v>
      </c>
      <c r="CW954" s="163">
        <f t="shared" si="4093"/>
        <v>129662.9045797385</v>
      </c>
      <c r="CX954" s="163">
        <f t="shared" si="4093"/>
        <v>136299.59075455135</v>
      </c>
      <c r="CY954" s="163">
        <f t="shared" si="4093"/>
        <v>136299.59075455135</v>
      </c>
      <c r="CZ954" s="163">
        <f t="shared" si="4093"/>
        <v>143675.3333842009</v>
      </c>
      <c r="DA954" s="163">
        <f t="shared" si="4093"/>
        <v>150897.96558590233</v>
      </c>
      <c r="DB954" s="163">
        <f t="shared" si="4093"/>
        <v>150897.96558590233</v>
      </c>
      <c r="DC954" s="163">
        <f t="shared" si="4093"/>
        <v>158114.158329453</v>
      </c>
      <c r="DD954" s="163">
        <f t="shared" si="4093"/>
        <v>164531.59810097399</v>
      </c>
      <c r="DE954" s="163">
        <f t="shared" si="4093"/>
        <v>164531.59810097399</v>
      </c>
      <c r="DF954" s="163">
        <f t="shared" si="4093"/>
        <v>172455.3905083487</v>
      </c>
      <c r="DG954" s="163">
        <f t="shared" si="4093"/>
        <v>177259.96956820079</v>
      </c>
      <c r="DH954" s="163">
        <f t="shared" si="4093"/>
        <v>177259.96956820079</v>
      </c>
      <c r="DI954" s="163">
        <f t="shared" si="4093"/>
        <v>184345.47289954271</v>
      </c>
      <c r="DJ954" s="163">
        <f t="shared" si="4093"/>
        <v>191500.00712691332</v>
      </c>
      <c r="DK954" s="163">
        <f t="shared" si="4093"/>
        <v>191500.00712691332</v>
      </c>
      <c r="DL954" s="163">
        <f t="shared" si="4093"/>
        <v>198628.37993902375</v>
      </c>
      <c r="DM954" s="163">
        <f t="shared" ref="DM954:ER954" si="4094">DM858+DM864</f>
        <v>206094.5650390099</v>
      </c>
      <c r="DN954" s="163">
        <f t="shared" si="4094"/>
        <v>206094.5650390099</v>
      </c>
      <c r="DO954" s="163">
        <f t="shared" si="4094"/>
        <v>214593.11165776078</v>
      </c>
      <c r="DP954" s="163">
        <f t="shared" si="4094"/>
        <v>223825.10370163232</v>
      </c>
      <c r="DQ954" s="163">
        <f t="shared" si="4094"/>
        <v>223825.10370163232</v>
      </c>
      <c r="DR954" s="163">
        <f t="shared" si="4094"/>
        <v>234014.84607399337</v>
      </c>
      <c r="DS954" s="163">
        <f t="shared" si="4094"/>
        <v>243281.09113658717</v>
      </c>
      <c r="DT954" s="163">
        <f t="shared" si="4094"/>
        <v>243281.09113658717</v>
      </c>
      <c r="DU954" s="163">
        <f t="shared" si="4094"/>
        <v>253352.83422001114</v>
      </c>
      <c r="DV954" s="163">
        <f t="shared" si="4094"/>
        <v>264072.1192187937</v>
      </c>
      <c r="DW954" s="163">
        <f t="shared" si="4094"/>
        <v>264072.1192187937</v>
      </c>
      <c r="DX954" s="163">
        <f t="shared" si="4094"/>
        <v>274995.73112831544</v>
      </c>
      <c r="DY954" s="163">
        <f t="shared" si="4094"/>
        <v>286757.20473583502</v>
      </c>
      <c r="DZ954" s="163">
        <f t="shared" si="4094"/>
        <v>286757.20473583502</v>
      </c>
      <c r="EA954" s="163">
        <f t="shared" si="4094"/>
        <v>299830.43789671385</v>
      </c>
      <c r="EB954" s="163">
        <f t="shared" si="4094"/>
        <v>312381.51549391093</v>
      </c>
      <c r="EC954" s="163">
        <f t="shared" si="4094"/>
        <v>312381.51549391093</v>
      </c>
      <c r="ED954" s="163">
        <f t="shared" si="4094"/>
        <v>326590.82205326669</v>
      </c>
      <c r="EE954" s="163">
        <f t="shared" si="4094"/>
        <v>340232.5973535435</v>
      </c>
      <c r="EF954" s="163">
        <f t="shared" si="4094"/>
        <v>340232.5973535435</v>
      </c>
      <c r="EG954" s="163">
        <f t="shared" si="4094"/>
        <v>355673.9716485432</v>
      </c>
      <c r="EH954" s="163">
        <f t="shared" si="4094"/>
        <v>370498.60489717708</v>
      </c>
      <c r="EI954" s="163">
        <f t="shared" si="4094"/>
        <v>370498.60489717708</v>
      </c>
      <c r="EJ954" s="163">
        <f t="shared" si="4094"/>
        <v>387275.71596775018</v>
      </c>
      <c r="EK954" s="163">
        <f t="shared" si="4094"/>
        <v>403382.73557891138</v>
      </c>
      <c r="EL954" s="163">
        <f t="shared" si="4094"/>
        <v>403382.73557891138</v>
      </c>
      <c r="EM954" s="163">
        <f t="shared" si="4094"/>
        <v>421607.46901462669</v>
      </c>
      <c r="EN954" s="163">
        <f t="shared" si="4094"/>
        <v>439104.29177645064</v>
      </c>
      <c r="EO954" s="163">
        <f t="shared" si="4094"/>
        <v>439104.29177645064</v>
      </c>
      <c r="EP954" s="163">
        <f t="shared" si="4094"/>
        <v>458897.31735649903</v>
      </c>
      <c r="EQ954" s="163">
        <f t="shared" si="4094"/>
        <v>477899.79339906637</v>
      </c>
      <c r="ER954" s="163">
        <f t="shared" si="4094"/>
        <v>477899.79339906637</v>
      </c>
      <c r="ES954" s="163">
        <f t="shared" ref="ES954:EX954" si="4095">ES858+ES864</f>
        <v>499391.157301748</v>
      </c>
      <c r="ET954" s="163">
        <f t="shared" si="4095"/>
        <v>520024.13865324308</v>
      </c>
      <c r="EU954" s="163">
        <f t="shared" si="4095"/>
        <v>520024.13865324308</v>
      </c>
      <c r="EV954" s="163">
        <f t="shared" si="4095"/>
        <v>543353.87835420726</v>
      </c>
      <c r="EW954" s="163">
        <f t="shared" si="4095"/>
        <v>565751.80927962274</v>
      </c>
      <c r="EX954" s="163">
        <f t="shared" si="4095"/>
        <v>565751.80927962274</v>
      </c>
      <c r="EY954" s="163">
        <f t="shared" ref="EY954:FA954" si="4096">EY858+EY864</f>
        <v>591070.58845740394</v>
      </c>
      <c r="EZ954" s="163">
        <f t="shared" si="4096"/>
        <v>615378.11500543274</v>
      </c>
      <c r="FA954" s="163">
        <f t="shared" si="4096"/>
        <v>615378.11500543274</v>
      </c>
    </row>
    <row r="955" spans="2:157" hidden="1" outlineLevel="1">
      <c r="C955" s="186" t="s">
        <v>317</v>
      </c>
      <c r="D955" s="162" t="s">
        <v>985</v>
      </c>
      <c r="AX955" s="163">
        <f t="shared" ref="AX955:BB956" si="4097">AX859+AX865</f>
        <v>5760.2584022038573</v>
      </c>
      <c r="AY955" s="163">
        <f t="shared" si="4097"/>
        <v>6548.6902013279987</v>
      </c>
      <c r="AZ955" s="163">
        <f t="shared" si="4097"/>
        <v>6548.6902013279987</v>
      </c>
      <c r="BA955" s="163">
        <f t="shared" si="4097"/>
        <v>7326.2666204529996</v>
      </c>
      <c r="BB955" s="163">
        <f t="shared" si="4097"/>
        <v>8271.8334441500519</v>
      </c>
      <c r="BC955" s="163">
        <f t="shared" ref="BC955:DN955" si="4098">BC859+BC865</f>
        <v>8271.8334441500519</v>
      </c>
      <c r="BD955" s="163">
        <f t="shared" si="4098"/>
        <v>9215.776872689592</v>
      </c>
      <c r="BE955" s="163">
        <f t="shared" si="4098"/>
        <v>10415.994305679029</v>
      </c>
      <c r="BF955" s="163">
        <f t="shared" si="4098"/>
        <v>10415.994305679029</v>
      </c>
      <c r="BG955" s="163">
        <f t="shared" si="4098"/>
        <v>11404.191815957784</v>
      </c>
      <c r="BH955" s="163">
        <f t="shared" si="4098"/>
        <v>12561.481724845449</v>
      </c>
      <c r="BI955" s="163">
        <f t="shared" si="4098"/>
        <v>12561.481724845449</v>
      </c>
      <c r="BJ955" s="163">
        <f t="shared" si="4098"/>
        <v>13647.180990190096</v>
      </c>
      <c r="BK955" s="163">
        <f t="shared" si="4098"/>
        <v>14918.656369151209</v>
      </c>
      <c r="BL955" s="163">
        <f t="shared" si="4098"/>
        <v>14918.656369151209</v>
      </c>
      <c r="BM955" s="163">
        <f t="shared" si="4098"/>
        <v>16102.555140067972</v>
      </c>
      <c r="BN955" s="163">
        <f t="shared" si="4098"/>
        <v>17566.218505860907</v>
      </c>
      <c r="BO955" s="163">
        <f t="shared" si="4098"/>
        <v>17566.218505860907</v>
      </c>
      <c r="BP955" s="163">
        <f t="shared" si="4098"/>
        <v>19068.599112898533</v>
      </c>
      <c r="BQ955" s="163">
        <f t="shared" si="4098"/>
        <v>20677.37506745047</v>
      </c>
      <c r="BR955" s="163">
        <f t="shared" si="4098"/>
        <v>20677.37506745047</v>
      </c>
      <c r="BS955" s="163">
        <f t="shared" si="4098"/>
        <v>22508.766716474565</v>
      </c>
      <c r="BT955" s="163">
        <f t="shared" si="4098"/>
        <v>24485.928046275178</v>
      </c>
      <c r="BU955" s="163">
        <f t="shared" si="4098"/>
        <v>24485.928046275178</v>
      </c>
      <c r="BV955" s="163">
        <f t="shared" si="4098"/>
        <v>26754.867285013748</v>
      </c>
      <c r="BW955" s="163">
        <f t="shared" si="4098"/>
        <v>29158.315994028824</v>
      </c>
      <c r="BX955" s="163">
        <f t="shared" si="4098"/>
        <v>29158.315994028824</v>
      </c>
      <c r="BY955" s="163">
        <f t="shared" si="4098"/>
        <v>31538.493410495576</v>
      </c>
      <c r="BZ955" s="163">
        <f t="shared" si="4098"/>
        <v>33872.479636477699</v>
      </c>
      <c r="CA955" s="163">
        <f t="shared" si="4098"/>
        <v>33872.479636477699</v>
      </c>
      <c r="CB955" s="163">
        <f t="shared" si="4098"/>
        <v>36321.653099887073</v>
      </c>
      <c r="CC955" s="163">
        <f t="shared" si="4098"/>
        <v>39001.23414107845</v>
      </c>
      <c r="CD955" s="163">
        <f t="shared" si="4098"/>
        <v>39001.23414107845</v>
      </c>
      <c r="CE955" s="163">
        <f t="shared" si="4098"/>
        <v>42057.482371964201</v>
      </c>
      <c r="CF955" s="163">
        <f t="shared" si="4098"/>
        <v>45135.790402340281</v>
      </c>
      <c r="CG955" s="163">
        <f t="shared" si="4098"/>
        <v>45135.790402340281</v>
      </c>
      <c r="CH955" s="163">
        <f t="shared" si="4098"/>
        <v>47854.363093172215</v>
      </c>
      <c r="CI955" s="163">
        <f t="shared" si="4098"/>
        <v>50802.168339051932</v>
      </c>
      <c r="CJ955" s="163">
        <f t="shared" si="4098"/>
        <v>50802.168339051932</v>
      </c>
      <c r="CK955" s="163">
        <f t="shared" si="4098"/>
        <v>53843.404861203584</v>
      </c>
      <c r="CL955" s="163">
        <f t="shared" si="4098"/>
        <v>56934.976475761054</v>
      </c>
      <c r="CM955" s="163">
        <f t="shared" si="4098"/>
        <v>56934.976475761054</v>
      </c>
      <c r="CN955" s="163">
        <f t="shared" si="4098"/>
        <v>59911.999130555218</v>
      </c>
      <c r="CO955" s="163">
        <f t="shared" si="4098"/>
        <v>63458.070031605457</v>
      </c>
      <c r="CP955" s="163">
        <f t="shared" si="4098"/>
        <v>63458.070031605457</v>
      </c>
      <c r="CQ955" s="163">
        <f t="shared" si="4098"/>
        <v>66550.098448479548</v>
      </c>
      <c r="CR955" s="163">
        <f t="shared" si="4098"/>
        <v>70339.400195919297</v>
      </c>
      <c r="CS955" s="163">
        <f t="shared" si="4098"/>
        <v>70339.400195919297</v>
      </c>
      <c r="CT955" s="163">
        <f t="shared" si="4098"/>
        <v>73735.884319104895</v>
      </c>
      <c r="CU955" s="163">
        <f t="shared" si="4098"/>
        <v>77746.938075648563</v>
      </c>
      <c r="CV955" s="163">
        <f t="shared" si="4098"/>
        <v>77746.938075648563</v>
      </c>
      <c r="CW955" s="163">
        <f t="shared" si="4098"/>
        <v>81477.540673153329</v>
      </c>
      <c r="CX955" s="163">
        <f t="shared" si="4098"/>
        <v>85883.169264420983</v>
      </c>
      <c r="CY955" s="163">
        <f t="shared" si="4098"/>
        <v>85883.169264420983</v>
      </c>
      <c r="CZ955" s="163">
        <f t="shared" si="4098"/>
        <v>89533.42072972114</v>
      </c>
      <c r="DA955" s="163">
        <f t="shared" si="4098"/>
        <v>95031.811665249101</v>
      </c>
      <c r="DB955" s="163">
        <f t="shared" si="4098"/>
        <v>95031.811665249101</v>
      </c>
      <c r="DC955" s="163">
        <f t="shared" si="4098"/>
        <v>99076.844560283876</v>
      </c>
      <c r="DD955" s="163">
        <f t="shared" si="4098"/>
        <v>104126.94176176048</v>
      </c>
      <c r="DE955" s="163">
        <f t="shared" si="4098"/>
        <v>104126.94176176048</v>
      </c>
      <c r="DF955" s="163">
        <f t="shared" si="4098"/>
        <v>108709.94536354208</v>
      </c>
      <c r="DG955" s="163">
        <f t="shared" si="4098"/>
        <v>112490.82872642268</v>
      </c>
      <c r="DH955" s="163">
        <f t="shared" si="4098"/>
        <v>112490.82872642268</v>
      </c>
      <c r="DI955" s="163">
        <f t="shared" si="4098"/>
        <v>116331.69474762541</v>
      </c>
      <c r="DJ955" s="163">
        <f t="shared" si="4098"/>
        <v>121252.06558795729</v>
      </c>
      <c r="DK955" s="163">
        <f t="shared" si="4098"/>
        <v>121252.06558795729</v>
      </c>
      <c r="DL955" s="163">
        <f t="shared" si="4098"/>
        <v>125763.80015286813</v>
      </c>
      <c r="DM955" s="163">
        <f t="shared" si="4098"/>
        <v>130534.46101300312</v>
      </c>
      <c r="DN955" s="163">
        <f t="shared" si="4098"/>
        <v>130534.46101300312</v>
      </c>
      <c r="DO955" s="163">
        <f t="shared" ref="DO955:ER955" si="4099">DO859+DO865</f>
        <v>135232.90224506974</v>
      </c>
      <c r="DP955" s="163">
        <f t="shared" si="4099"/>
        <v>140461.38310018962</v>
      </c>
      <c r="DQ955" s="163">
        <f t="shared" si="4099"/>
        <v>140461.38310018962</v>
      </c>
      <c r="DR955" s="163">
        <f t="shared" si="4099"/>
        <v>145720.62101261667</v>
      </c>
      <c r="DS955" s="163">
        <f t="shared" si="4099"/>
        <v>151343.15853535436</v>
      </c>
      <c r="DT955" s="163">
        <f t="shared" si="4099"/>
        <v>151343.15853535436</v>
      </c>
      <c r="DU955" s="163">
        <f t="shared" si="4099"/>
        <v>156698.03839756397</v>
      </c>
      <c r="DV955" s="163">
        <f t="shared" si="4099"/>
        <v>163787.92019055781</v>
      </c>
      <c r="DW955" s="163">
        <f t="shared" si="4099"/>
        <v>163787.92019055781</v>
      </c>
      <c r="DX955" s="163">
        <f t="shared" si="4099"/>
        <v>169622.39253653208</v>
      </c>
      <c r="DY955" s="163">
        <f t="shared" si="4099"/>
        <v>177401.59213783024</v>
      </c>
      <c r="DZ955" s="163">
        <f t="shared" si="4099"/>
        <v>177401.59213783024</v>
      </c>
      <c r="EA955" s="163">
        <f t="shared" si="4099"/>
        <v>184384.21088897187</v>
      </c>
      <c r="EB955" s="163">
        <f t="shared" si="4099"/>
        <v>192685.6653748753</v>
      </c>
      <c r="EC955" s="163">
        <f t="shared" si="4099"/>
        <v>192685.6653748753</v>
      </c>
      <c r="ED955" s="163">
        <f t="shared" si="4099"/>
        <v>200275.07873583212</v>
      </c>
      <c r="EE955" s="163">
        <f t="shared" si="4099"/>
        <v>209297.93560889136</v>
      </c>
      <c r="EF955" s="163">
        <f t="shared" si="4099"/>
        <v>209297.93560889136</v>
      </c>
      <c r="EG955" s="163">
        <f t="shared" si="4099"/>
        <v>217545.41565983335</v>
      </c>
      <c r="EH955" s="163">
        <f t="shared" si="4099"/>
        <v>227350.63096749966</v>
      </c>
      <c r="EI955" s="163">
        <f t="shared" si="4099"/>
        <v>227350.63096749966</v>
      </c>
      <c r="EJ955" s="163">
        <f t="shared" si="4099"/>
        <v>236311.54896764146</v>
      </c>
      <c r="EK955" s="163">
        <f t="shared" si="4099"/>
        <v>246964.95216510628</v>
      </c>
      <c r="EL955" s="163">
        <f t="shared" si="4099"/>
        <v>246964.95216510628</v>
      </c>
      <c r="EM955" s="163">
        <f t="shared" si="4099"/>
        <v>256699.0679616174</v>
      </c>
      <c r="EN955" s="163">
        <f t="shared" si="4099"/>
        <v>268271.70598256611</v>
      </c>
      <c r="EO955" s="163">
        <f t="shared" si="4099"/>
        <v>268271.70598256611</v>
      </c>
      <c r="EP955" s="163">
        <f t="shared" si="4099"/>
        <v>278843.47119598341</v>
      </c>
      <c r="EQ955" s="163">
        <f t="shared" si="4099"/>
        <v>291411.96890187531</v>
      </c>
      <c r="ER955" s="163">
        <f t="shared" si="4099"/>
        <v>291411.96890187531</v>
      </c>
      <c r="ES955" s="163">
        <f t="shared" ref="ES955:EX955" si="4100">ES859+ES865</f>
        <v>302890.84323447273</v>
      </c>
      <c r="ET955" s="163">
        <f t="shared" si="4100"/>
        <v>316537.77946536505</v>
      </c>
      <c r="EU955" s="163">
        <f t="shared" si="4100"/>
        <v>316537.77946536505</v>
      </c>
      <c r="EV955" s="163">
        <f t="shared" si="4100"/>
        <v>328998.55912794208</v>
      </c>
      <c r="EW955" s="163">
        <f t="shared" si="4100"/>
        <v>343812.85716058809</v>
      </c>
      <c r="EX955" s="163">
        <f t="shared" si="4100"/>
        <v>343812.85716058809</v>
      </c>
      <c r="EY955" s="163">
        <f t="shared" ref="EY955:FA955" si="4101">EY859+EY865</f>
        <v>357336.01398546842</v>
      </c>
      <c r="EZ955" s="163">
        <f t="shared" si="4101"/>
        <v>373413.34469597362</v>
      </c>
      <c r="FA955" s="163">
        <f t="shared" si="4101"/>
        <v>373413.34469597362</v>
      </c>
    </row>
    <row r="956" spans="2:157" hidden="1" outlineLevel="1">
      <c r="C956" s="186" t="s">
        <v>431</v>
      </c>
      <c r="D956" s="162" t="s">
        <v>985</v>
      </c>
      <c r="AX956" s="163">
        <f t="shared" si="4097"/>
        <v>2657.0988674625037</v>
      </c>
      <c r="AY956" s="163">
        <f t="shared" si="4097"/>
        <v>2781.9545966159494</v>
      </c>
      <c r="AZ956" s="163">
        <f t="shared" si="4097"/>
        <v>2781.9545966159494</v>
      </c>
      <c r="BA956" s="163">
        <f t="shared" si="4097"/>
        <v>3096.4410594620604</v>
      </c>
      <c r="BB956" s="163">
        <f t="shared" si="4097"/>
        <v>3246.180625226853</v>
      </c>
      <c r="BC956" s="163">
        <f t="shared" ref="BC956:DN956" si="4102">BC860+BC866</f>
        <v>3246.180625226853</v>
      </c>
      <c r="BD956" s="163">
        <f t="shared" si="4102"/>
        <v>3630.8040390128667</v>
      </c>
      <c r="BE956" s="163">
        <f t="shared" si="4102"/>
        <v>3962.1617374988837</v>
      </c>
      <c r="BF956" s="163">
        <f t="shared" si="4102"/>
        <v>3962.1617374988837</v>
      </c>
      <c r="BG956" s="163">
        <f t="shared" si="4102"/>
        <v>4325.7664316630398</v>
      </c>
      <c r="BH956" s="163">
        <f t="shared" si="4102"/>
        <v>4821.0607163164077</v>
      </c>
      <c r="BI956" s="163">
        <f t="shared" si="4102"/>
        <v>4821.0607163164077</v>
      </c>
      <c r="BJ956" s="163">
        <f t="shared" si="4102"/>
        <v>5257.0838149935498</v>
      </c>
      <c r="BK956" s="163">
        <f t="shared" si="4102"/>
        <v>5709.9638549547026</v>
      </c>
      <c r="BL956" s="163">
        <f t="shared" si="4102"/>
        <v>5709.9638549547026</v>
      </c>
      <c r="BM956" s="163">
        <f t="shared" si="4102"/>
        <v>6158.7376512321025</v>
      </c>
      <c r="BN956" s="163">
        <f t="shared" si="4102"/>
        <v>6724.4217385635657</v>
      </c>
      <c r="BO956" s="163">
        <f t="shared" si="4102"/>
        <v>6724.4217385635657</v>
      </c>
      <c r="BP956" s="163">
        <f t="shared" si="4102"/>
        <v>7293.9206391762627</v>
      </c>
      <c r="BQ956" s="163">
        <f t="shared" si="4102"/>
        <v>7887.4264012390122</v>
      </c>
      <c r="BR956" s="163">
        <f t="shared" si="4102"/>
        <v>7887.4264012390122</v>
      </c>
      <c r="BS956" s="163">
        <f t="shared" si="4102"/>
        <v>8573.6752480472314</v>
      </c>
      <c r="BT956" s="163">
        <f t="shared" si="4102"/>
        <v>9314.9451770209616</v>
      </c>
      <c r="BU956" s="163">
        <f t="shared" si="4102"/>
        <v>9314.9451770209616</v>
      </c>
      <c r="BV956" s="163">
        <f t="shared" si="4102"/>
        <v>10043.10396543921</v>
      </c>
      <c r="BW956" s="163">
        <f t="shared" si="4102"/>
        <v>10902.224941661767</v>
      </c>
      <c r="BX956" s="163">
        <f t="shared" si="4102"/>
        <v>10902.224941661767</v>
      </c>
      <c r="BY956" s="163">
        <f t="shared" si="4102"/>
        <v>11593.334446971325</v>
      </c>
      <c r="BZ956" s="163">
        <f t="shared" si="4102"/>
        <v>12496.291777306757</v>
      </c>
      <c r="CA956" s="163">
        <f t="shared" si="4102"/>
        <v>12496.291777306757</v>
      </c>
      <c r="CB956" s="163">
        <f t="shared" si="4102"/>
        <v>13248.860828661935</v>
      </c>
      <c r="CC956" s="163">
        <f t="shared" si="4102"/>
        <v>14331.344775168749</v>
      </c>
      <c r="CD956" s="163">
        <f t="shared" si="4102"/>
        <v>14331.344775168749</v>
      </c>
      <c r="CE956" s="163">
        <f t="shared" si="4102"/>
        <v>15270.452546090724</v>
      </c>
      <c r="CF956" s="163">
        <f t="shared" si="4102"/>
        <v>16515.07281972557</v>
      </c>
      <c r="CG956" s="163">
        <f t="shared" si="4102"/>
        <v>16515.07281972557</v>
      </c>
      <c r="CH956" s="163">
        <f t="shared" si="4102"/>
        <v>17542.26018788524</v>
      </c>
      <c r="CI956" s="163">
        <f t="shared" si="4102"/>
        <v>18734.115627803905</v>
      </c>
      <c r="CJ956" s="163">
        <f t="shared" si="4102"/>
        <v>18734.115627803905</v>
      </c>
      <c r="CK956" s="163">
        <f t="shared" si="4102"/>
        <v>20851.782715002013</v>
      </c>
      <c r="CL956" s="163">
        <f t="shared" si="4102"/>
        <v>22631.558933456534</v>
      </c>
      <c r="CM956" s="163">
        <f t="shared" si="4102"/>
        <v>22631.558933456534</v>
      </c>
      <c r="CN956" s="163">
        <f t="shared" si="4102"/>
        <v>23787.221965721976</v>
      </c>
      <c r="CO956" s="163">
        <f t="shared" si="4102"/>
        <v>25477.051732476892</v>
      </c>
      <c r="CP956" s="163">
        <f t="shared" si="4102"/>
        <v>25477.051732476892</v>
      </c>
      <c r="CQ956" s="163">
        <f t="shared" si="4102"/>
        <v>26034.95795749125</v>
      </c>
      <c r="CR956" s="163">
        <f t="shared" si="4102"/>
        <v>27502.05903716755</v>
      </c>
      <c r="CS956" s="163">
        <f t="shared" si="4102"/>
        <v>27502.05903716755</v>
      </c>
      <c r="CT956" s="163">
        <f t="shared" si="4102"/>
        <v>29139.256999245226</v>
      </c>
      <c r="CU956" s="163">
        <f t="shared" si="4102"/>
        <v>30463.489097608559</v>
      </c>
      <c r="CV956" s="163">
        <f t="shared" si="4102"/>
        <v>30463.489097608559</v>
      </c>
      <c r="CW956" s="163">
        <f t="shared" si="4102"/>
        <v>31916.530849234627</v>
      </c>
      <c r="CX956" s="163">
        <f t="shared" si="4102"/>
        <v>32897.16111761058</v>
      </c>
      <c r="CY956" s="163">
        <f t="shared" si="4102"/>
        <v>32897.16111761058</v>
      </c>
      <c r="CZ956" s="163">
        <f t="shared" si="4102"/>
        <v>33770.711739221581</v>
      </c>
      <c r="DA956" s="163">
        <f t="shared" si="4102"/>
        <v>35100.554972383237</v>
      </c>
      <c r="DB956" s="163">
        <f t="shared" si="4102"/>
        <v>35100.554972383237</v>
      </c>
      <c r="DC956" s="163">
        <f t="shared" si="4102"/>
        <v>36173.316826968752</v>
      </c>
      <c r="DD956" s="163">
        <f t="shared" si="4102"/>
        <v>37322.127140752142</v>
      </c>
      <c r="DE956" s="163">
        <f t="shared" si="4102"/>
        <v>37322.127140752142</v>
      </c>
      <c r="DF956" s="163">
        <f t="shared" si="4102"/>
        <v>38648.61937501331</v>
      </c>
      <c r="DG956" s="163">
        <f t="shared" si="4102"/>
        <v>39379.879868829594</v>
      </c>
      <c r="DH956" s="163">
        <f t="shared" si="4102"/>
        <v>39379.879868829594</v>
      </c>
      <c r="DI956" s="163">
        <f t="shared" si="4102"/>
        <v>41008.080882774724</v>
      </c>
      <c r="DJ956" s="163">
        <f t="shared" si="4102"/>
        <v>42665.380609271539</v>
      </c>
      <c r="DK956" s="163">
        <f t="shared" si="4102"/>
        <v>42665.380609271539</v>
      </c>
      <c r="DL956" s="163">
        <f t="shared" si="4102"/>
        <v>44379.567068208489</v>
      </c>
      <c r="DM956" s="163">
        <f t="shared" si="4102"/>
        <v>46196.027128312453</v>
      </c>
      <c r="DN956" s="163">
        <f t="shared" si="4102"/>
        <v>46196.027128312453</v>
      </c>
      <c r="DO956" s="163">
        <f t="shared" ref="DO956:ER956" si="4103">DO860+DO866</f>
        <v>48249.44424159445</v>
      </c>
      <c r="DP956" s="163">
        <f t="shared" si="4103"/>
        <v>50289.083797683961</v>
      </c>
      <c r="DQ956" s="163">
        <f t="shared" si="4103"/>
        <v>50289.083797683961</v>
      </c>
      <c r="DR956" s="163">
        <f t="shared" si="4103"/>
        <v>52325.639755262091</v>
      </c>
      <c r="DS956" s="163">
        <f t="shared" si="4103"/>
        <v>54510.513433506196</v>
      </c>
      <c r="DT956" s="163">
        <f t="shared" si="4103"/>
        <v>54510.513433506196</v>
      </c>
      <c r="DU956" s="163">
        <f t="shared" si="4103"/>
        <v>57158.385732575232</v>
      </c>
      <c r="DV956" s="163">
        <f t="shared" si="4103"/>
        <v>59723.618865593264</v>
      </c>
      <c r="DW956" s="163">
        <f t="shared" si="4103"/>
        <v>59723.618865593264</v>
      </c>
      <c r="DX956" s="163">
        <f t="shared" si="4103"/>
        <v>62260.558295376584</v>
      </c>
      <c r="DY956" s="163">
        <f t="shared" si="4103"/>
        <v>65075.197685462117</v>
      </c>
      <c r="DZ956" s="163">
        <f t="shared" si="4103"/>
        <v>65075.197685462117</v>
      </c>
      <c r="EA956" s="163">
        <f t="shared" si="4103"/>
        <v>68111.37298675366</v>
      </c>
      <c r="EB956" s="163">
        <f t="shared" si="4103"/>
        <v>71114.972584214425</v>
      </c>
      <c r="EC956" s="163">
        <f t="shared" si="4103"/>
        <v>71114.972584214425</v>
      </c>
      <c r="ED956" s="163">
        <f t="shared" si="4103"/>
        <v>74414.99371082423</v>
      </c>
      <c r="EE956" s="163">
        <f t="shared" si="4103"/>
        <v>77679.60828142587</v>
      </c>
      <c r="EF956" s="163">
        <f t="shared" si="4103"/>
        <v>77679.60828142587</v>
      </c>
      <c r="EG956" s="163">
        <f t="shared" si="4103"/>
        <v>81265.769307970651</v>
      </c>
      <c r="EH956" s="163">
        <f t="shared" si="4103"/>
        <v>84813.453728951659</v>
      </c>
      <c r="EI956" s="163">
        <f t="shared" si="4103"/>
        <v>84813.453728951659</v>
      </c>
      <c r="EJ956" s="163">
        <f t="shared" si="4103"/>
        <v>88709.831130980238</v>
      </c>
      <c r="EK956" s="163">
        <f t="shared" si="4103"/>
        <v>92564.403556791731</v>
      </c>
      <c r="EL956" s="163">
        <f t="shared" si="4103"/>
        <v>92564.403556791731</v>
      </c>
      <c r="EM956" s="163">
        <f t="shared" si="4103"/>
        <v>96796.982051278057</v>
      </c>
      <c r="EN956" s="163">
        <f t="shared" si="4103"/>
        <v>100984.14840391</v>
      </c>
      <c r="EO956" s="163">
        <f t="shared" si="4103"/>
        <v>100984.14840391</v>
      </c>
      <c r="EP956" s="163">
        <f t="shared" si="4103"/>
        <v>105580.95278003078</v>
      </c>
      <c r="EQ956" s="163">
        <f t="shared" si="4103"/>
        <v>110128.4371653523</v>
      </c>
      <c r="ER956" s="163">
        <f t="shared" si="4103"/>
        <v>110128.4371653523</v>
      </c>
      <c r="ES956" s="163">
        <f t="shared" ref="ES956:EX956" si="4104">ES860+ES866</f>
        <v>115119.66982137604</v>
      </c>
      <c r="ET956" s="163">
        <f t="shared" si="4104"/>
        <v>120057.35059036479</v>
      </c>
      <c r="EU956" s="163">
        <f t="shared" si="4104"/>
        <v>120057.35059036479</v>
      </c>
      <c r="EV956" s="163">
        <f t="shared" si="4104"/>
        <v>125475.53433985949</v>
      </c>
      <c r="EW956" s="163">
        <f t="shared" si="4104"/>
        <v>130835.58536261429</v>
      </c>
      <c r="EX956" s="163">
        <f t="shared" si="4104"/>
        <v>130835.58536261429</v>
      </c>
      <c r="EY956" s="163">
        <f t="shared" ref="EY956:FA956" si="4105">EY860+EY866</f>
        <v>136715.71088722223</v>
      </c>
      <c r="EZ956" s="163">
        <f t="shared" si="4105"/>
        <v>142532.74742368906</v>
      </c>
      <c r="FA956" s="163">
        <f t="shared" si="4105"/>
        <v>142532.74742368906</v>
      </c>
    </row>
    <row r="957" spans="2:157" hidden="1" outlineLevel="1">
      <c r="C957" s="186" t="s">
        <v>327</v>
      </c>
      <c r="D957" s="162" t="s">
        <v>985</v>
      </c>
      <c r="AX957" s="163">
        <f t="shared" ref="AX957:CC957" si="4106">SUM(AX954:AX956)</f>
        <v>31313.278665442303</v>
      </c>
      <c r="AY957" s="163">
        <f t="shared" si="4106"/>
        <v>34702.115568719892</v>
      </c>
      <c r="AZ957" s="163">
        <f t="shared" si="4106"/>
        <v>34702.115568719892</v>
      </c>
      <c r="BA957" s="163">
        <f t="shared" si="4106"/>
        <v>24263.026233094697</v>
      </c>
      <c r="BB957" s="163">
        <f t="shared" si="4106"/>
        <v>26842.796695431545</v>
      </c>
      <c r="BC957" s="163">
        <f t="shared" si="4106"/>
        <v>26842.796695431545</v>
      </c>
      <c r="BD957" s="163">
        <f t="shared" si="4106"/>
        <v>29498.314315318847</v>
      </c>
      <c r="BE957" s="163">
        <f t="shared" si="4106"/>
        <v>32664.712341177736</v>
      </c>
      <c r="BF957" s="163">
        <f t="shared" si="4106"/>
        <v>32664.712341177736</v>
      </c>
      <c r="BG957" s="163">
        <f t="shared" si="4106"/>
        <v>35619.180015518446</v>
      </c>
      <c r="BH957" s="163">
        <f t="shared" si="4106"/>
        <v>39006.056081377596</v>
      </c>
      <c r="BI957" s="163">
        <f t="shared" si="4106"/>
        <v>39006.056081377596</v>
      </c>
      <c r="BJ957" s="163">
        <f t="shared" si="4106"/>
        <v>42043.649526575879</v>
      </c>
      <c r="BK957" s="163">
        <f t="shared" si="4106"/>
        <v>45740.418201545479</v>
      </c>
      <c r="BL957" s="163">
        <f t="shared" si="4106"/>
        <v>45740.418201545479</v>
      </c>
      <c r="BM957" s="163">
        <f t="shared" si="4106"/>
        <v>49442.943421926451</v>
      </c>
      <c r="BN957" s="163">
        <f t="shared" si="4106"/>
        <v>53676.485563164446</v>
      </c>
      <c r="BO957" s="163">
        <f t="shared" si="4106"/>
        <v>53676.485563164446</v>
      </c>
      <c r="BP957" s="163">
        <f t="shared" si="4106"/>
        <v>58499.125382937062</v>
      </c>
      <c r="BQ957" s="163">
        <f t="shared" si="4106"/>
        <v>63179.195139228243</v>
      </c>
      <c r="BR957" s="163">
        <f t="shared" si="4106"/>
        <v>63179.195139228243</v>
      </c>
      <c r="BS957" s="163">
        <f t="shared" si="4106"/>
        <v>69049.993576855995</v>
      </c>
      <c r="BT957" s="163">
        <f t="shared" si="4106"/>
        <v>74925.641015950154</v>
      </c>
      <c r="BU957" s="163">
        <f t="shared" si="4106"/>
        <v>74925.641015950154</v>
      </c>
      <c r="BV957" s="163">
        <f t="shared" si="4106"/>
        <v>81540.981928736117</v>
      </c>
      <c r="BW957" s="163">
        <f t="shared" si="4106"/>
        <v>88308.150591523692</v>
      </c>
      <c r="BX957" s="163">
        <f t="shared" si="4106"/>
        <v>88308.150591523692</v>
      </c>
      <c r="BY957" s="163">
        <f t="shared" si="4106"/>
        <v>95089.216631503528</v>
      </c>
      <c r="BZ957" s="163">
        <f t="shared" si="4106"/>
        <v>101932.5504355084</v>
      </c>
      <c r="CA957" s="163">
        <f t="shared" si="4106"/>
        <v>101932.5504355084</v>
      </c>
      <c r="CB957" s="163">
        <f t="shared" si="4106"/>
        <v>109181.76119172739</v>
      </c>
      <c r="CC957" s="163">
        <f t="shared" si="4106"/>
        <v>117375.32687411818</v>
      </c>
      <c r="CD957" s="163">
        <f t="shared" ref="CD957:DI957" si="4107">SUM(CD954:CD956)</f>
        <v>117375.32687411818</v>
      </c>
      <c r="CE957" s="163">
        <f t="shared" si="4107"/>
        <v>126020.42244298218</v>
      </c>
      <c r="CF957" s="163">
        <f t="shared" si="4107"/>
        <v>135434.26756025141</v>
      </c>
      <c r="CG957" s="163">
        <f t="shared" si="4107"/>
        <v>135434.26756025141</v>
      </c>
      <c r="CH957" s="163">
        <f t="shared" si="4107"/>
        <v>143230.40644105108</v>
      </c>
      <c r="CI957" s="163">
        <f t="shared" si="4107"/>
        <v>152245.15796908288</v>
      </c>
      <c r="CJ957" s="163">
        <f t="shared" si="4107"/>
        <v>152245.15796908288</v>
      </c>
      <c r="CK957" s="163">
        <f t="shared" si="4107"/>
        <v>161838.01195551717</v>
      </c>
      <c r="CL957" s="163">
        <f t="shared" si="4107"/>
        <v>171044.59397672373</v>
      </c>
      <c r="CM957" s="163">
        <f t="shared" si="4107"/>
        <v>171044.59397672373</v>
      </c>
      <c r="CN957" s="163">
        <f t="shared" si="4107"/>
        <v>179517.60986390698</v>
      </c>
      <c r="CO957" s="163">
        <f t="shared" si="4107"/>
        <v>189726.07779543224</v>
      </c>
      <c r="CP957" s="163">
        <f t="shared" si="4107"/>
        <v>189726.07779543224</v>
      </c>
      <c r="CQ957" s="163">
        <f t="shared" si="4107"/>
        <v>198447.51477633053</v>
      </c>
      <c r="CR957" s="163">
        <f t="shared" si="4107"/>
        <v>209414.843232577</v>
      </c>
      <c r="CS957" s="163">
        <f t="shared" si="4107"/>
        <v>209414.843232577</v>
      </c>
      <c r="CT957" s="163">
        <f t="shared" si="4107"/>
        <v>220019.39170481852</v>
      </c>
      <c r="CU957" s="163">
        <f t="shared" si="4107"/>
        <v>231227.54177342553</v>
      </c>
      <c r="CV957" s="163">
        <f t="shared" si="4107"/>
        <v>231227.54177342553</v>
      </c>
      <c r="CW957" s="163">
        <f t="shared" si="4107"/>
        <v>243056.97610212647</v>
      </c>
      <c r="CX957" s="163">
        <f t="shared" si="4107"/>
        <v>255079.92113658291</v>
      </c>
      <c r="CY957" s="163">
        <f t="shared" si="4107"/>
        <v>255079.92113658291</v>
      </c>
      <c r="CZ957" s="163">
        <f t="shared" si="4107"/>
        <v>266979.4658531436</v>
      </c>
      <c r="DA957" s="163">
        <f t="shared" si="4107"/>
        <v>281030.3322235347</v>
      </c>
      <c r="DB957" s="163">
        <f t="shared" si="4107"/>
        <v>281030.3322235347</v>
      </c>
      <c r="DC957" s="163">
        <f t="shared" si="4107"/>
        <v>293364.31971670565</v>
      </c>
      <c r="DD957" s="163">
        <f t="shared" si="4107"/>
        <v>305980.66700348665</v>
      </c>
      <c r="DE957" s="163">
        <f t="shared" si="4107"/>
        <v>305980.66700348665</v>
      </c>
      <c r="DF957" s="163">
        <f t="shared" si="4107"/>
        <v>319813.95524690405</v>
      </c>
      <c r="DG957" s="163">
        <f t="shared" si="4107"/>
        <v>329130.67816345312</v>
      </c>
      <c r="DH957" s="163">
        <f t="shared" si="4107"/>
        <v>329130.67816345312</v>
      </c>
      <c r="DI957" s="163">
        <f t="shared" si="4107"/>
        <v>341685.24852994288</v>
      </c>
      <c r="DJ957" s="163">
        <f t="shared" ref="DJ957:EO957" si="4108">SUM(DJ954:DJ956)</f>
        <v>355417.45332414214</v>
      </c>
      <c r="DK957" s="163">
        <f t="shared" si="4108"/>
        <v>355417.45332414214</v>
      </c>
      <c r="DL957" s="163">
        <f t="shared" si="4108"/>
        <v>368771.74716010038</v>
      </c>
      <c r="DM957" s="163">
        <f t="shared" si="4108"/>
        <v>382825.05318032549</v>
      </c>
      <c r="DN957" s="163">
        <f t="shared" si="4108"/>
        <v>382825.05318032549</v>
      </c>
      <c r="DO957" s="163">
        <f t="shared" si="4108"/>
        <v>398075.45814442501</v>
      </c>
      <c r="DP957" s="163">
        <f t="shared" si="4108"/>
        <v>414575.57059950591</v>
      </c>
      <c r="DQ957" s="163">
        <f t="shared" si="4108"/>
        <v>414575.57059950591</v>
      </c>
      <c r="DR957" s="163">
        <f t="shared" si="4108"/>
        <v>432061.1068418721</v>
      </c>
      <c r="DS957" s="163">
        <f t="shared" si="4108"/>
        <v>449134.7631054477</v>
      </c>
      <c r="DT957" s="163">
        <f t="shared" si="4108"/>
        <v>449134.7631054477</v>
      </c>
      <c r="DU957" s="163">
        <f t="shared" si="4108"/>
        <v>467209.25835015031</v>
      </c>
      <c r="DV957" s="163">
        <f t="shared" si="4108"/>
        <v>487583.65827494481</v>
      </c>
      <c r="DW957" s="163">
        <f t="shared" si="4108"/>
        <v>487583.65827494481</v>
      </c>
      <c r="DX957" s="163">
        <f t="shared" si="4108"/>
        <v>506878.68196022412</v>
      </c>
      <c r="DY957" s="163">
        <f t="shared" si="4108"/>
        <v>529233.99455912737</v>
      </c>
      <c r="DZ957" s="163">
        <f t="shared" si="4108"/>
        <v>529233.99455912737</v>
      </c>
      <c r="EA957" s="163">
        <f t="shared" si="4108"/>
        <v>552326.02177243936</v>
      </c>
      <c r="EB957" s="163">
        <f t="shared" si="4108"/>
        <v>576182.1534530007</v>
      </c>
      <c r="EC957" s="163">
        <f t="shared" si="4108"/>
        <v>576182.1534530007</v>
      </c>
      <c r="ED957" s="163">
        <f t="shared" si="4108"/>
        <v>601280.8944999231</v>
      </c>
      <c r="EE957" s="163">
        <f t="shared" si="4108"/>
        <v>627210.14124386082</v>
      </c>
      <c r="EF957" s="163">
        <f t="shared" si="4108"/>
        <v>627210.14124386082</v>
      </c>
      <c r="EG957" s="163">
        <f t="shared" si="4108"/>
        <v>654485.15661634726</v>
      </c>
      <c r="EH957" s="163">
        <f t="shared" si="4108"/>
        <v>682662.6895936284</v>
      </c>
      <c r="EI957" s="163">
        <f t="shared" si="4108"/>
        <v>682662.6895936284</v>
      </c>
      <c r="EJ957" s="163">
        <f t="shared" si="4108"/>
        <v>712297.09606637189</v>
      </c>
      <c r="EK957" s="163">
        <f t="shared" si="4108"/>
        <v>742912.09130080941</v>
      </c>
      <c r="EL957" s="163">
        <f t="shared" si="4108"/>
        <v>742912.09130080941</v>
      </c>
      <c r="EM957" s="163">
        <f t="shared" si="4108"/>
        <v>775103.51902752207</v>
      </c>
      <c r="EN957" s="163">
        <f t="shared" si="4108"/>
        <v>808360.14616292669</v>
      </c>
      <c r="EO957" s="163">
        <f t="shared" si="4108"/>
        <v>808360.14616292669</v>
      </c>
      <c r="EP957" s="163">
        <f t="shared" ref="EP957:ER957" si="4109">SUM(EP954:EP956)</f>
        <v>843321.74133251316</v>
      </c>
      <c r="EQ957" s="163">
        <f t="shared" si="4109"/>
        <v>879440.19946629391</v>
      </c>
      <c r="ER957" s="163">
        <f t="shared" si="4109"/>
        <v>879440.19946629391</v>
      </c>
      <c r="ES957" s="163">
        <f t="shared" ref="ES957:EX957" si="4110">SUM(ES954:ES956)</f>
        <v>917401.67035759683</v>
      </c>
      <c r="ET957" s="163">
        <f t="shared" si="4110"/>
        <v>956619.26870897296</v>
      </c>
      <c r="EU957" s="163">
        <f t="shared" si="4110"/>
        <v>956619.26870897296</v>
      </c>
      <c r="EV957" s="163">
        <f t="shared" si="4110"/>
        <v>997827.97182200884</v>
      </c>
      <c r="EW957" s="163">
        <f t="shared" si="4110"/>
        <v>1040400.251802825</v>
      </c>
      <c r="EX957" s="163">
        <f t="shared" si="4110"/>
        <v>1040400.251802825</v>
      </c>
      <c r="EY957" s="163">
        <f t="shared" ref="EY957:FA957" si="4111">SUM(EY954:EY956)</f>
        <v>1085122.3133300946</v>
      </c>
      <c r="EZ957" s="163">
        <f t="shared" si="4111"/>
        <v>1131324.2071250954</v>
      </c>
      <c r="FA957" s="163">
        <f t="shared" si="4111"/>
        <v>1131324.2071250954</v>
      </c>
    </row>
    <row r="958" spans="2:157" hidden="1" outlineLevel="1"/>
    <row r="959" spans="2:157" hidden="1" outlineLevel="1">
      <c r="B959" s="35" t="s">
        <v>995</v>
      </c>
    </row>
    <row r="960" spans="2:157" hidden="1" outlineLevel="1">
      <c r="C960" s="186" t="s">
        <v>316</v>
      </c>
      <c r="D960" s="162" t="s">
        <v>985</v>
      </c>
    </row>
    <row r="961" spans="3:129" hidden="1" outlineLevel="1">
      <c r="C961" s="186" t="s">
        <v>317</v>
      </c>
      <c r="D961" s="162" t="s">
        <v>985</v>
      </c>
    </row>
    <row r="962" spans="3:129" hidden="1" outlineLevel="1">
      <c r="C962" s="186" t="s">
        <v>431</v>
      </c>
      <c r="D962" s="162" t="s">
        <v>985</v>
      </c>
    </row>
    <row r="963" spans="3:129" hidden="1" outlineLevel="1">
      <c r="C963" s="186" t="s">
        <v>327</v>
      </c>
      <c r="D963" s="162" t="s">
        <v>985</v>
      </c>
    </row>
    <row r="964" spans="3:129" collapsed="1"/>
    <row r="965" spans="3:129">
      <c r="DY965" s="232">
        <v>412.0649529747526</v>
      </c>
    </row>
  </sheetData>
  <scenarios current="0">
    <scenario name="System Sales" locked="1" count="3" user="Chen, Patrick (Research)" comment="Created by Chen, Patrick (Research) on 2/10/2015">
      <inputCells r="CQ100" val="0.1" numFmtId="9"/>
      <inputCells r="CQ103" val="0.1"/>
      <inputCells r="CQ106" val="0.05" numFmtId="9"/>
    </scenario>
  </scenarios>
  <phoneticPr fontId="8" type="noConversion"/>
  <conditionalFormatting sqref="DK11:DW11 DI12:DW12 DX11:FA12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DH11:DH12">
    <cfRule type="cellIs" dxfId="1" priority="1" operator="lessThan">
      <formula>0</formula>
    </cfRule>
    <cfRule type="cellIs" dxfId="0" priority="2" operator="greaterThan">
      <formula>0</formula>
    </cfRule>
  </conditionalFormatting>
  <hyperlinks>
    <hyperlink ref="D1" location="Segment!DE458" display="Segment!DE458" xr:uid="{00000000-0004-0000-0600-000000000000}"/>
  </hyperlinks>
  <printOptions gridLinesSet="0"/>
  <pageMargins left="0.75" right="0.75" top="1" bottom="1" header="0.5" footer="0.5"/>
  <pageSetup paperSize="9" scale="10" orientation="landscape" r:id="rId1"/>
  <headerFooter alignWithMargins="0">
    <oddHeader>&amp;A</oddHeader>
    <oddFooter>Page &amp;P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92D050"/>
  </sheetPr>
  <dimension ref="A1:FA372"/>
  <sheetViews>
    <sheetView showGridLines="0" zoomScale="70" zoomScaleNormal="70" workbookViewId="0">
      <pane xSplit="4" ySplit="2" topLeftCell="DQ161" activePane="bottomRight" state="frozen"/>
      <selection activeCell="CT174" sqref="CT174"/>
      <selection pane="topRight" activeCell="E1" sqref="E1"/>
      <selection pane="bottomLeft" activeCell="A3" sqref="A3"/>
      <selection pane="bottomRight" activeCell="EM176" sqref="EM176"/>
    </sheetView>
  </sheetViews>
  <sheetFormatPr defaultColWidth="9.28515625" defaultRowHeight="12.75" outlineLevelRow="1" outlineLevelCol="1"/>
  <cols>
    <col min="1" max="1" width="1.5703125" style="35" customWidth="1"/>
    <col min="2" max="2" width="2.28515625" style="35" customWidth="1"/>
    <col min="3" max="3" width="22.5703125" style="35" customWidth="1"/>
    <col min="4" max="4" width="18.28515625" style="35" customWidth="1"/>
    <col min="5" max="112" width="9.28515625" style="35" hidden="1" customWidth="1" outlineLevel="1"/>
    <col min="113" max="113" width="9.28515625" style="35" customWidth="1" collapsed="1"/>
    <col min="114" max="115" width="9.28515625" style="35" customWidth="1"/>
    <col min="116" max="117" width="9.28515625" style="35" customWidth="1" outlineLevel="1"/>
    <col min="118" max="118" width="9.28515625" style="35" customWidth="1"/>
    <col min="119" max="120" width="9.28515625" style="35" customWidth="1" outlineLevel="1"/>
    <col min="121" max="121" width="9.28515625" style="35" customWidth="1"/>
    <col min="122" max="123" width="9.28515625" style="35" customWidth="1" outlineLevel="1"/>
    <col min="124" max="124" width="9.28515625" style="35" customWidth="1"/>
    <col min="125" max="126" width="9.28515625" style="35" customWidth="1" outlineLevel="1"/>
    <col min="127" max="127" width="9.28515625" style="35" customWidth="1"/>
    <col min="128" max="129" width="9.28515625" style="35" customWidth="1" outlineLevel="1"/>
    <col min="130" max="130" width="9.28515625" style="35" customWidth="1"/>
    <col min="131" max="132" width="9.28515625" style="35" customWidth="1" outlineLevel="1"/>
    <col min="133" max="133" width="9.28515625" style="35" customWidth="1"/>
    <col min="134" max="135" width="9.28515625" style="35" customWidth="1" outlineLevel="1"/>
    <col min="136" max="136" width="9.28515625" style="35" customWidth="1"/>
    <col min="137" max="138" width="9.28515625" style="35" customWidth="1" outlineLevel="1"/>
    <col min="139" max="139" width="9.28515625" style="35" customWidth="1"/>
    <col min="140" max="141" width="9.28515625" style="35" customWidth="1" outlineLevel="1"/>
    <col min="142" max="142" width="9.28515625" style="35" customWidth="1"/>
    <col min="143" max="144" width="9.28515625" style="35" customWidth="1" outlineLevel="1"/>
    <col min="145" max="145" width="9.28515625" style="35" customWidth="1"/>
    <col min="146" max="147" width="9.28515625" style="35" customWidth="1" outlineLevel="1"/>
    <col min="148" max="148" width="9.28515625" style="35" customWidth="1"/>
    <col min="149" max="150" width="9.28515625" style="35" customWidth="1" outlineLevel="1"/>
    <col min="151" max="151" width="9.28515625" style="35" customWidth="1"/>
    <col min="152" max="153" width="9.28515625" style="35" customWidth="1" outlineLevel="1"/>
    <col min="154" max="154" width="9.28515625" style="35" customWidth="1"/>
    <col min="155" max="156" width="9.28515625" style="35" outlineLevel="1"/>
    <col min="157" max="16384" width="9.28515625" style="35"/>
  </cols>
  <sheetData>
    <row r="1" spans="1:157" ht="18.75" customHeight="1">
      <c r="A1" s="290"/>
      <c r="B1" s="340" t="str">
        <f>Model!B3</f>
        <v>Cochlear</v>
      </c>
      <c r="C1" s="290"/>
      <c r="D1" s="290"/>
      <c r="E1" s="341"/>
      <c r="F1" s="341"/>
      <c r="G1" s="342"/>
      <c r="H1" s="341"/>
      <c r="I1" s="341"/>
      <c r="J1" s="342"/>
      <c r="K1" s="341"/>
      <c r="L1" s="341"/>
      <c r="M1" s="342"/>
      <c r="N1" s="341"/>
      <c r="O1" s="341"/>
      <c r="P1" s="342"/>
      <c r="Q1" s="343"/>
      <c r="R1" s="344"/>
      <c r="S1" s="342"/>
      <c r="T1" s="345"/>
      <c r="U1" s="286"/>
      <c r="V1" s="287"/>
      <c r="W1" s="346"/>
      <c r="X1" s="347"/>
      <c r="Y1" s="348"/>
      <c r="Z1" s="347"/>
      <c r="AA1" s="347"/>
      <c r="AB1" s="348"/>
      <c r="AC1" s="347"/>
      <c r="AD1" s="347"/>
      <c r="AE1" s="348"/>
      <c r="AF1" s="347"/>
      <c r="AG1" s="347"/>
      <c r="AH1" s="348"/>
      <c r="AI1" s="347"/>
      <c r="AJ1" s="347"/>
      <c r="AK1" s="348"/>
      <c r="AL1" s="347"/>
      <c r="AM1" s="341"/>
      <c r="AN1" s="342"/>
      <c r="AO1" s="341"/>
      <c r="AP1" s="341"/>
      <c r="AQ1" s="342"/>
      <c r="AR1" s="341"/>
      <c r="AS1" s="341"/>
      <c r="AT1" s="342"/>
      <c r="AU1" s="341"/>
      <c r="AV1" s="341"/>
      <c r="AW1" s="342"/>
      <c r="AX1" s="341"/>
      <c r="AY1" s="341"/>
      <c r="AZ1" s="342"/>
      <c r="BA1" s="341"/>
      <c r="BB1" s="341"/>
      <c r="BC1" s="342"/>
      <c r="BD1" s="341"/>
      <c r="BE1" s="341"/>
      <c r="BF1" s="342"/>
      <c r="BG1" s="341"/>
      <c r="BH1" s="341"/>
      <c r="BI1" s="342"/>
      <c r="BJ1" s="341"/>
      <c r="BK1" s="349"/>
      <c r="BL1" s="342"/>
      <c r="BM1" s="341"/>
      <c r="BN1" s="341"/>
      <c r="BO1" s="342"/>
      <c r="BP1" s="341"/>
      <c r="BQ1" s="341"/>
      <c r="BR1" s="342"/>
      <c r="BS1" s="341"/>
      <c r="BT1" s="341"/>
      <c r="BU1" s="342"/>
      <c r="BV1" s="341"/>
      <c r="BW1" s="341"/>
      <c r="BX1" s="342"/>
      <c r="BY1" s="341"/>
      <c r="BZ1" s="341"/>
      <c r="CA1" s="342"/>
      <c r="CB1" s="341"/>
      <c r="CC1" s="341"/>
      <c r="CD1" s="342"/>
      <c r="CE1" s="341"/>
      <c r="CF1" s="341"/>
      <c r="CG1" s="342"/>
      <c r="CH1" s="341"/>
      <c r="CI1" s="341"/>
      <c r="CJ1" s="342"/>
      <c r="CK1" s="341"/>
      <c r="CL1" s="341"/>
      <c r="CM1" s="342"/>
      <c r="CN1" s="341"/>
      <c r="CO1" s="341"/>
      <c r="CP1" s="342"/>
      <c r="CQ1" s="341"/>
      <c r="CR1" s="341"/>
      <c r="CS1" s="342"/>
      <c r="CT1" s="341"/>
      <c r="CU1" s="341"/>
      <c r="CV1" s="342"/>
      <c r="CW1" s="341"/>
      <c r="CX1" s="341"/>
      <c r="CY1" s="342"/>
      <c r="CZ1" s="341"/>
      <c r="DA1" s="341"/>
      <c r="DB1" s="342"/>
      <c r="DC1" s="341"/>
      <c r="DD1" s="341"/>
      <c r="DE1" s="342"/>
      <c r="DF1" s="341"/>
      <c r="DG1" s="341"/>
      <c r="DH1" s="342"/>
      <c r="DI1" s="341"/>
      <c r="DJ1" s="341"/>
      <c r="DK1" s="342"/>
      <c r="DL1" s="341"/>
      <c r="DM1" s="341"/>
      <c r="DN1" s="342"/>
      <c r="DO1" s="341"/>
      <c r="DP1" s="341"/>
      <c r="DQ1" s="342"/>
      <c r="DR1" s="341"/>
      <c r="DS1" s="341"/>
      <c r="DT1" s="342"/>
      <c r="DU1" s="341"/>
      <c r="DV1" s="341"/>
      <c r="DW1" s="342"/>
      <c r="DX1" s="341"/>
      <c r="DY1" s="341"/>
      <c r="DZ1" s="342"/>
      <c r="EA1" s="341"/>
      <c r="EB1" s="341"/>
      <c r="EC1" s="342"/>
      <c r="ED1" s="341"/>
      <c r="EE1" s="341"/>
      <c r="EF1" s="342"/>
      <c r="EG1" s="341"/>
      <c r="EH1" s="341"/>
      <c r="EI1" s="342"/>
      <c r="EJ1" s="341"/>
      <c r="EK1" s="341"/>
      <c r="EL1" s="342"/>
      <c r="EM1" s="341"/>
      <c r="EN1" s="341"/>
      <c r="EO1" s="342"/>
      <c r="EP1" s="341"/>
      <c r="EQ1" s="341"/>
      <c r="ER1" s="342"/>
      <c r="ES1" s="341"/>
      <c r="ET1" s="341"/>
      <c r="EU1" s="342"/>
      <c r="EV1" s="341"/>
      <c r="EW1" s="341"/>
      <c r="EX1" s="342"/>
      <c r="EY1" s="341"/>
      <c r="EZ1" s="341"/>
      <c r="FA1" s="342"/>
    </row>
    <row r="2" spans="1:157" ht="16.5" customHeight="1">
      <c r="A2" s="350"/>
      <c r="B2" s="350" t="s">
        <v>759</v>
      </c>
      <c r="C2" s="351"/>
      <c r="D2" s="352">
        <f>+Model!D4</f>
        <v>0</v>
      </c>
      <c r="E2" s="353" t="str">
        <f>+Model!E4</f>
        <v>1h85</v>
      </c>
      <c r="F2" s="353" t="str">
        <f>+Model!F4</f>
        <v>2h85</v>
      </c>
      <c r="G2" s="353" t="str">
        <f>+Model!G4</f>
        <v>1985</v>
      </c>
      <c r="H2" s="353" t="str">
        <f>+Model!H4</f>
        <v>1h86</v>
      </c>
      <c r="I2" s="353" t="str">
        <f>+Model!I4</f>
        <v>2h86</v>
      </c>
      <c r="J2" s="353" t="str">
        <f>+Model!J4</f>
        <v>1986</v>
      </c>
      <c r="K2" s="353" t="str">
        <f>+Model!K4</f>
        <v>1h87</v>
      </c>
      <c r="L2" s="353" t="str">
        <f>+Model!L4</f>
        <v>2h87</v>
      </c>
      <c r="M2" s="353" t="str">
        <f>+Model!M4</f>
        <v>1987</v>
      </c>
      <c r="N2" s="353" t="str">
        <f>+Model!N4</f>
        <v>1h88</v>
      </c>
      <c r="O2" s="353" t="str">
        <f>+Model!O4</f>
        <v>2h88</v>
      </c>
      <c r="P2" s="353" t="str">
        <f>+Model!P4</f>
        <v>1988</v>
      </c>
      <c r="Q2" s="353" t="str">
        <f>+Model!Q4</f>
        <v>1h89</v>
      </c>
      <c r="R2" s="353" t="str">
        <f>+Model!R4</f>
        <v>2h89</v>
      </c>
      <c r="S2" s="353" t="str">
        <f>+Model!S4</f>
        <v>1989</v>
      </c>
      <c r="T2" s="353" t="str">
        <f>+Model!T4</f>
        <v>1h90</v>
      </c>
      <c r="U2" s="353" t="str">
        <f>+Model!U4</f>
        <v>2h90</v>
      </c>
      <c r="V2" s="353" t="str">
        <f>+Model!V4</f>
        <v>1990</v>
      </c>
      <c r="W2" s="353" t="str">
        <f>+Model!W4</f>
        <v>1h91</v>
      </c>
      <c r="X2" s="353" t="str">
        <f>+Model!X4</f>
        <v>2h91</v>
      </c>
      <c r="Y2" s="353" t="str">
        <f>+Model!Y4</f>
        <v>1991</v>
      </c>
      <c r="Z2" s="353" t="str">
        <f>+Model!Z4</f>
        <v>1h92</v>
      </c>
      <c r="AA2" s="353" t="str">
        <f>+Model!AA4</f>
        <v>2h92</v>
      </c>
      <c r="AB2" s="353" t="str">
        <f>+Model!AB4</f>
        <v>1992</v>
      </c>
      <c r="AC2" s="353" t="str">
        <f>+Model!AC4</f>
        <v>1h93</v>
      </c>
      <c r="AD2" s="353" t="str">
        <f>+Model!AD4</f>
        <v>2h93</v>
      </c>
      <c r="AE2" s="353" t="str">
        <f>+Model!AE4</f>
        <v>1993</v>
      </c>
      <c r="AF2" s="353" t="str">
        <f>+Model!AF4</f>
        <v>1h94</v>
      </c>
      <c r="AG2" s="353" t="str">
        <f>+Model!AG4</f>
        <v>2h94</v>
      </c>
      <c r="AH2" s="353" t="str">
        <f>+Model!AH4</f>
        <v>1994</v>
      </c>
      <c r="AI2" s="353" t="str">
        <f>+Model!AI4</f>
        <v>1h95</v>
      </c>
      <c r="AJ2" s="353" t="str">
        <f>+Model!AJ4</f>
        <v>2h95</v>
      </c>
      <c r="AK2" s="353" t="str">
        <f>+Model!AK4</f>
        <v>1995</v>
      </c>
      <c r="AL2" s="353" t="str">
        <f>+Model!AL4</f>
        <v>1h96</v>
      </c>
      <c r="AM2" s="353" t="str">
        <f>+Model!AM4</f>
        <v>2h96</v>
      </c>
      <c r="AN2" s="353" t="str">
        <f>+Model!AN4</f>
        <v>1996</v>
      </c>
      <c r="AO2" s="353" t="str">
        <f>+Model!AO4</f>
        <v>1h97</v>
      </c>
      <c r="AP2" s="353" t="str">
        <f>+Model!AP4</f>
        <v>2h97</v>
      </c>
      <c r="AQ2" s="353" t="str">
        <f>+Model!AQ4</f>
        <v>FY97</v>
      </c>
      <c r="AR2" s="353" t="str">
        <f>+Model!AR4</f>
        <v>1H98</v>
      </c>
      <c r="AS2" s="353" t="str">
        <f>+Model!AS4</f>
        <v>2H98</v>
      </c>
      <c r="AT2" s="353" t="str">
        <f>+Model!AT4</f>
        <v>FY98</v>
      </c>
      <c r="AU2" s="353" t="str">
        <f>+Model!AU4</f>
        <v>1H99</v>
      </c>
      <c r="AV2" s="353" t="str">
        <f>+Model!AV4</f>
        <v>2H99</v>
      </c>
      <c r="AW2" s="353" t="str">
        <f>+Model!AW4</f>
        <v>FY99</v>
      </c>
      <c r="AX2" s="353" t="str">
        <f>+Model!AX4</f>
        <v>1H00</v>
      </c>
      <c r="AY2" s="353" t="str">
        <f>Model!AY4</f>
        <v>2H00</v>
      </c>
      <c r="AZ2" s="353" t="str">
        <f>Model!AZ4</f>
        <v>FY00</v>
      </c>
      <c r="BA2" s="353" t="str">
        <f>Model!BA4</f>
        <v>1H01</v>
      </c>
      <c r="BB2" s="353" t="str">
        <f>Model!BB4</f>
        <v>2H01</v>
      </c>
      <c r="BC2" s="353" t="str">
        <f>Model!BC4</f>
        <v>FY01</v>
      </c>
      <c r="BD2" s="353" t="str">
        <f>Model!BD4</f>
        <v>1H02</v>
      </c>
      <c r="BE2" s="353" t="str">
        <f>Model!BE4</f>
        <v>2H02</v>
      </c>
      <c r="BF2" s="353" t="str">
        <f>Model!BF4</f>
        <v>FY02</v>
      </c>
      <c r="BG2" s="353" t="str">
        <f>Model!BG4</f>
        <v>1H03</v>
      </c>
      <c r="BH2" s="353" t="str">
        <f>Model!BH4</f>
        <v>2H03</v>
      </c>
      <c r="BI2" s="353" t="str">
        <f>Model!BI4</f>
        <v>FY03</v>
      </c>
      <c r="BJ2" s="353" t="str">
        <f>Model!BJ4</f>
        <v>1H04</v>
      </c>
      <c r="BK2" s="353" t="str">
        <f>Model!BK4</f>
        <v>2H04</v>
      </c>
      <c r="BL2" s="353" t="str">
        <f>Model!BL4</f>
        <v>FY04</v>
      </c>
      <c r="BM2" s="353" t="str">
        <f>Model!BM4</f>
        <v>1H05</v>
      </c>
      <c r="BN2" s="353" t="str">
        <f>Model!BN4</f>
        <v>2H05</v>
      </c>
      <c r="BO2" s="353" t="str">
        <f>Model!BO4</f>
        <v>FY05</v>
      </c>
      <c r="BP2" s="353" t="str">
        <f>Model!BP4</f>
        <v>1H06</v>
      </c>
      <c r="BQ2" s="353" t="str">
        <f>Model!BQ4</f>
        <v>2H06</v>
      </c>
      <c r="BR2" s="353" t="str">
        <f>Model!BR4</f>
        <v>FY06</v>
      </c>
      <c r="BS2" s="353" t="str">
        <f>Model!BS4</f>
        <v>1H07</v>
      </c>
      <c r="BT2" s="353" t="str">
        <f>Model!BT4</f>
        <v>2H07</v>
      </c>
      <c r="BU2" s="353" t="str">
        <f>Model!BU4</f>
        <v>FY07</v>
      </c>
      <c r="BV2" s="353" t="str">
        <f>Model!BV4</f>
        <v>1H08</v>
      </c>
      <c r="BW2" s="353" t="str">
        <f>Model!BW4</f>
        <v>2H08</v>
      </c>
      <c r="BX2" s="353" t="str">
        <f>Model!BX4</f>
        <v>FY08</v>
      </c>
      <c r="BY2" s="353" t="str">
        <f>Model!BY4</f>
        <v>1H09</v>
      </c>
      <c r="BZ2" s="353" t="str">
        <f>Model!BZ4</f>
        <v>2H09</v>
      </c>
      <c r="CA2" s="353" t="str">
        <f>Model!CA4</f>
        <v>FY09</v>
      </c>
      <c r="CB2" s="353" t="str">
        <f>Model!CB4</f>
        <v>1H10</v>
      </c>
      <c r="CC2" s="353" t="str">
        <f>Model!CC4</f>
        <v>2H10</v>
      </c>
      <c r="CD2" s="353" t="str">
        <f>Model!CD4</f>
        <v>FY10</v>
      </c>
      <c r="CE2" s="353" t="str">
        <f>Model!CE4</f>
        <v>1H11</v>
      </c>
      <c r="CF2" s="353" t="str">
        <f>Model!CF4</f>
        <v>2H11</v>
      </c>
      <c r="CG2" s="353" t="str">
        <f>Model!CG4</f>
        <v>FY11</v>
      </c>
      <c r="CH2" s="353" t="str">
        <f>Model!CH4</f>
        <v>1H12</v>
      </c>
      <c r="CI2" s="353" t="str">
        <f>Model!CI4</f>
        <v>2H12</v>
      </c>
      <c r="CJ2" s="353" t="str">
        <f>Model!CJ4</f>
        <v>FY12</v>
      </c>
      <c r="CK2" s="353" t="str">
        <f>Model!CK4</f>
        <v>1H13</v>
      </c>
      <c r="CL2" s="353" t="str">
        <f>Model!CL4</f>
        <v>2H13</v>
      </c>
      <c r="CM2" s="353" t="str">
        <f>Model!CM4</f>
        <v>FY13</v>
      </c>
      <c r="CN2" s="353" t="str">
        <f>Model!CN4</f>
        <v>1H14</v>
      </c>
      <c r="CO2" s="353" t="str">
        <f>Model!CO4</f>
        <v>2H14</v>
      </c>
      <c r="CP2" s="353" t="str">
        <f>Model!CP4</f>
        <v>FY14</v>
      </c>
      <c r="CQ2" s="353" t="str">
        <f>Model!CQ4</f>
        <v>1H15</v>
      </c>
      <c r="CR2" s="353" t="str">
        <f>Model!CR4</f>
        <v>2H15</v>
      </c>
      <c r="CS2" s="353" t="str">
        <f>Model!CS4</f>
        <v>FY15</v>
      </c>
      <c r="CT2" s="353" t="str">
        <f>Model!CT4</f>
        <v>1H16</v>
      </c>
      <c r="CU2" s="353" t="str">
        <f>Model!CU4</f>
        <v>2H16</v>
      </c>
      <c r="CV2" s="353" t="str">
        <f>Model!CV4</f>
        <v>FY16</v>
      </c>
      <c r="CW2" s="353" t="str">
        <f>Model!CW4</f>
        <v>1H17</v>
      </c>
      <c r="CX2" s="353" t="str">
        <f>Model!CX4</f>
        <v>2H17</v>
      </c>
      <c r="CY2" s="353" t="str">
        <f>Model!CY4</f>
        <v>FY17</v>
      </c>
      <c r="CZ2" s="353" t="str">
        <f>Model!CZ4</f>
        <v>1H18</v>
      </c>
      <c r="DA2" s="353" t="str">
        <f>Model!DA4</f>
        <v>2H18</v>
      </c>
      <c r="DB2" s="353" t="str">
        <f>Model!DB4</f>
        <v>FY18</v>
      </c>
      <c r="DC2" s="353" t="str">
        <f>Model!DC4</f>
        <v>1H19</v>
      </c>
      <c r="DD2" s="353" t="str">
        <f>Model!DD4</f>
        <v>2H19</v>
      </c>
      <c r="DE2" s="353" t="str">
        <f>Model!DE4</f>
        <v>FY19</v>
      </c>
      <c r="DF2" s="353" t="str">
        <f>Model!DF4</f>
        <v>1H20</v>
      </c>
      <c r="DG2" s="353" t="str">
        <f>Model!DG4</f>
        <v>2H20</v>
      </c>
      <c r="DH2" s="353" t="str">
        <f>Model!DH4</f>
        <v>FY20</v>
      </c>
      <c r="DI2" s="353" t="str">
        <f>Model!DI4</f>
        <v>1H21</v>
      </c>
      <c r="DJ2" s="353" t="str">
        <f>Model!DJ4</f>
        <v>2H21</v>
      </c>
      <c r="DK2" s="353" t="str">
        <f>Model!DK4</f>
        <v>FY21</v>
      </c>
      <c r="DL2" s="353" t="str">
        <f>Model!DL4</f>
        <v>1H22</v>
      </c>
      <c r="DM2" s="353" t="str">
        <f>Model!DM4</f>
        <v>2H22</v>
      </c>
      <c r="DN2" s="353" t="str">
        <f>Model!DN4</f>
        <v>FY22</v>
      </c>
      <c r="DO2" s="353" t="str">
        <f>Model!DO4</f>
        <v>1H23</v>
      </c>
      <c r="DP2" s="353" t="str">
        <f>Model!DP4</f>
        <v>2H23</v>
      </c>
      <c r="DQ2" s="353" t="str">
        <f>Model!DQ4</f>
        <v>FY23</v>
      </c>
      <c r="DR2" s="353" t="str">
        <f>Model!DR4</f>
        <v>1H24</v>
      </c>
      <c r="DS2" s="353" t="str">
        <f>Model!DS4</f>
        <v>2H24</v>
      </c>
      <c r="DT2" s="353" t="str">
        <f>Model!DT4</f>
        <v>FY24</v>
      </c>
      <c r="DU2" s="353" t="str">
        <f>Model!DU4</f>
        <v>1H25</v>
      </c>
      <c r="DV2" s="353" t="str">
        <f>Model!DV4</f>
        <v>2H25</v>
      </c>
      <c r="DW2" s="353" t="str">
        <f>Model!DW4</f>
        <v>FY25</v>
      </c>
      <c r="DX2" s="353" t="str">
        <f>Model!DX4</f>
        <v>1H26</v>
      </c>
      <c r="DY2" s="353" t="str">
        <f>Model!DY4</f>
        <v>2H26E</v>
      </c>
      <c r="DZ2" s="353" t="str">
        <f>Model!DZ4</f>
        <v>FY26E</v>
      </c>
      <c r="EA2" s="353" t="str">
        <f>Model!EA4</f>
        <v>1H27E</v>
      </c>
      <c r="EB2" s="353" t="str">
        <f>Model!EB4</f>
        <v>2H27E</v>
      </c>
      <c r="EC2" s="353" t="str">
        <f>Model!EC4</f>
        <v>FY27E</v>
      </c>
      <c r="ED2" s="353" t="str">
        <f>Model!ED4</f>
        <v>1H28E</v>
      </c>
      <c r="EE2" s="353" t="str">
        <f>Model!EE4</f>
        <v>2H28E</v>
      </c>
      <c r="EF2" s="353" t="str">
        <f>Model!EF4</f>
        <v>FY28E</v>
      </c>
      <c r="EG2" s="353" t="str">
        <f>Model!EG4</f>
        <v>1H29E</v>
      </c>
      <c r="EH2" s="353" t="str">
        <f>Model!EH4</f>
        <v>2H29E</v>
      </c>
      <c r="EI2" s="353" t="str">
        <f>Model!EI4</f>
        <v>FY29E</v>
      </c>
      <c r="EJ2" s="353" t="str">
        <f>Model!EJ4</f>
        <v>1H30E</v>
      </c>
      <c r="EK2" s="353" t="str">
        <f>Model!EK4</f>
        <v>2H30E</v>
      </c>
      <c r="EL2" s="353" t="str">
        <f>Model!EL4</f>
        <v>FY30E</v>
      </c>
      <c r="EM2" s="353" t="str">
        <f>Model!EM4</f>
        <v>1H31E</v>
      </c>
      <c r="EN2" s="353" t="str">
        <f>Model!EN4</f>
        <v>2H31E</v>
      </c>
      <c r="EO2" s="353" t="str">
        <f>Model!EO4</f>
        <v>FY31E</v>
      </c>
      <c r="EP2" s="353" t="str">
        <f>Model!EP4</f>
        <v>1H32E</v>
      </c>
      <c r="EQ2" s="353" t="str">
        <f>Model!EQ4</f>
        <v>2H32E</v>
      </c>
      <c r="ER2" s="353" t="str">
        <f>Model!ER4</f>
        <v>FY32E</v>
      </c>
      <c r="ES2" s="353" t="str">
        <f>Model!ES4</f>
        <v>1H33E</v>
      </c>
      <c r="ET2" s="353" t="str">
        <f>Model!ET4</f>
        <v>2H33E</v>
      </c>
      <c r="EU2" s="353" t="str">
        <f>Model!EU4</f>
        <v>FY33E</v>
      </c>
      <c r="EV2" s="353" t="str">
        <f>Model!EV4</f>
        <v>1H34E</v>
      </c>
      <c r="EW2" s="353" t="str">
        <f>Model!EW4</f>
        <v>2H34E</v>
      </c>
      <c r="EX2" s="353" t="str">
        <f>Model!EX4</f>
        <v>FY34E</v>
      </c>
      <c r="EY2" s="353" t="str">
        <f>Model!EY4</f>
        <v>1H35E</v>
      </c>
      <c r="EZ2" s="353" t="str">
        <f>Model!EZ4</f>
        <v>2H35E</v>
      </c>
      <c r="FA2" s="353" t="str">
        <f>Model!FA4</f>
        <v>FY35E</v>
      </c>
    </row>
    <row r="3" spans="1:157" ht="13.35" customHeight="1">
      <c r="A3" s="5"/>
      <c r="B3" s="5" t="s">
        <v>760</v>
      </c>
      <c r="C3" s="5"/>
      <c r="D3" s="5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1075"/>
      <c r="DL3" s="23"/>
      <c r="DM3" s="23"/>
      <c r="DN3" s="1075"/>
      <c r="DO3" s="23"/>
      <c r="DP3" s="23"/>
      <c r="DQ3" s="1075"/>
      <c r="DR3" s="23"/>
      <c r="DS3" s="23"/>
      <c r="DT3" s="1075"/>
      <c r="DU3" s="23"/>
      <c r="DV3" s="23"/>
      <c r="DW3" s="1075"/>
      <c r="DX3" s="23"/>
      <c r="DY3" s="23"/>
      <c r="DZ3" s="1075"/>
      <c r="EA3" s="23"/>
      <c r="EB3" s="23"/>
      <c r="EC3" s="1075"/>
      <c r="ED3" s="23"/>
      <c r="EE3" s="23"/>
      <c r="EF3" s="1075"/>
      <c r="EG3" s="23"/>
      <c r="EH3" s="23"/>
      <c r="EI3" s="1075"/>
      <c r="EJ3" s="23"/>
      <c r="EK3" s="23"/>
      <c r="EL3" s="1075"/>
      <c r="EM3" s="23"/>
      <c r="EN3" s="23"/>
      <c r="EO3" s="1075"/>
      <c r="EP3" s="23"/>
      <c r="EQ3" s="23"/>
      <c r="ER3" s="1075"/>
      <c r="ES3" s="23"/>
      <c r="ET3" s="23"/>
      <c r="EU3" s="1075"/>
      <c r="EV3" s="23"/>
      <c r="EW3" s="23"/>
      <c r="EX3" s="1075"/>
      <c r="EY3" s="23"/>
      <c r="EZ3" s="23"/>
      <c r="FA3" s="23"/>
    </row>
    <row r="4" spans="1:157" ht="13.35" customHeight="1">
      <c r="A4" s="5"/>
      <c r="B4" s="5" t="s">
        <v>693</v>
      </c>
      <c r="C4" s="5"/>
      <c r="D4" s="5"/>
      <c r="E4" s="30" t="str">
        <f>IF(Model!E72&lt;&gt;0,Model!E72,"")</f>
        <v/>
      </c>
      <c r="F4" s="30" t="str">
        <f>IF(Model!F72&lt;&gt;0,Model!F72,"")</f>
        <v/>
      </c>
      <c r="G4" s="30" t="str">
        <f>IF(Model!G72&lt;&gt;0,Model!G72,"")</f>
        <v/>
      </c>
      <c r="H4" s="30" t="str">
        <f>IF(Model!H72&lt;&gt;0,Model!H72,"")</f>
        <v/>
      </c>
      <c r="I4" s="30" t="str">
        <f>IF(Model!I72&lt;&gt;0,Model!I72,"")</f>
        <v/>
      </c>
      <c r="J4" s="30" t="str">
        <f>IF(Model!J72&lt;&gt;0,Model!J72,"")</f>
        <v/>
      </c>
      <c r="K4" s="30" t="str">
        <f>IF(Model!K72&lt;&gt;0,Model!K72,"")</f>
        <v/>
      </c>
      <c r="L4" s="30" t="str">
        <f>IF(Model!L72&lt;&gt;0,Model!L72,"")</f>
        <v/>
      </c>
      <c r="M4" s="30" t="str">
        <f>IF(Model!M72&lt;&gt;0,Model!M72,"")</f>
        <v/>
      </c>
      <c r="N4" s="30" t="str">
        <f>IF(Model!N72&lt;&gt;0,Model!N72,"")</f>
        <v/>
      </c>
      <c r="O4" s="30" t="str">
        <f>IF(Model!O72&lt;&gt;0,Model!O72,"")</f>
        <v/>
      </c>
      <c r="P4" s="30" t="str">
        <f>IF(Model!P72&lt;&gt;0,Model!P72,"")</f>
        <v/>
      </c>
      <c r="Q4" s="30" t="str">
        <f>IF(Model!Q72&lt;&gt;0,Model!Q72,"")</f>
        <v/>
      </c>
      <c r="R4" s="30" t="str">
        <f>IF(Model!R72&lt;&gt;0,Model!R72,"")</f>
        <v/>
      </c>
      <c r="S4" s="30" t="str">
        <f>IF(Model!S72&lt;&gt;0,Model!S72,"")</f>
        <v/>
      </c>
      <c r="T4" s="30" t="str">
        <f>IF(Model!T72&lt;&gt;0,Model!T72,"")</f>
        <v/>
      </c>
      <c r="U4" s="30" t="str">
        <f>IF(Model!U72&lt;&gt;0,Model!U72,"")</f>
        <v/>
      </c>
      <c r="V4" s="30" t="str">
        <f>IF(Model!V72&lt;&gt;0,Model!V72,"")</f>
        <v/>
      </c>
      <c r="W4" s="30" t="str">
        <f>IF(Model!W72&lt;&gt;0,Model!W72,"")</f>
        <v/>
      </c>
      <c r="X4" s="30" t="str">
        <f>IF(Model!X72&lt;&gt;0,Model!X72,"")</f>
        <v/>
      </c>
      <c r="Y4" s="30" t="str">
        <f>IF(Model!Y72&lt;&gt;0,Model!Y72,"")</f>
        <v/>
      </c>
      <c r="Z4" s="30" t="str">
        <f>IF(Model!Z72&lt;&gt;0,Model!Z72,"")</f>
        <v/>
      </c>
      <c r="AA4" s="30" t="str">
        <f>IF(Model!AA72&lt;&gt;0,Model!AA72,"")</f>
        <v/>
      </c>
      <c r="AB4" s="30" t="str">
        <f>IF(Model!AB72&lt;&gt;0,Model!AB72,"")</f>
        <v/>
      </c>
      <c r="AC4" s="30" t="str">
        <f>IF(Model!AC72&lt;&gt;0,Model!AC72,"")</f>
        <v/>
      </c>
      <c r="AD4" s="30" t="str">
        <f>IF(Model!AD72&lt;&gt;0,Model!AD72,"")</f>
        <v/>
      </c>
      <c r="AE4" s="30" t="str">
        <f>IF(Model!AE72&lt;&gt;0,Model!AE72,"")</f>
        <v/>
      </c>
      <c r="AF4" s="30" t="str">
        <f>IF(Model!AF72&lt;&gt;0,Model!AF72,"")</f>
        <v/>
      </c>
      <c r="AG4" s="30" t="str">
        <f>IF(Model!AG72&lt;&gt;0,Model!AG72,"")</f>
        <v/>
      </c>
      <c r="AH4" s="30" t="str">
        <f>IF(Model!AH72&lt;&gt;0,Model!AH72,"")</f>
        <v/>
      </c>
      <c r="AI4" s="30">
        <f>IF(Model!AI72&lt;&gt;0,Model!AI72,"")</f>
        <v>5.1360000000000001</v>
      </c>
      <c r="AJ4" s="30">
        <f>IF(Model!AJ72&lt;&gt;0,Model!AJ72,"")</f>
        <v>7.1889999999999992</v>
      </c>
      <c r="AK4" s="30">
        <f>IF(Model!AK72&lt;&gt;0,Model!AK72,"")</f>
        <v>12.324999999999999</v>
      </c>
      <c r="AL4" s="30">
        <f>IF(Model!AL72&lt;&gt;0,Model!AL72,"")</f>
        <v>6.2679999999999998</v>
      </c>
      <c r="AM4" s="30">
        <f>IF(Model!AM72&lt;&gt;0,Model!AM72,"")</f>
        <v>7.03</v>
      </c>
      <c r="AN4" s="30">
        <f>IF(Model!AN72&lt;&gt;0,Model!AN72,"")</f>
        <v>13.298</v>
      </c>
      <c r="AO4" s="30">
        <f>IF(Model!AO72&lt;&gt;0,Model!AO72,"")</f>
        <v>5.74</v>
      </c>
      <c r="AP4" s="30">
        <f>IF(Model!AP72&lt;&gt;0,Model!AP72,"")</f>
        <v>8.5440000000000005</v>
      </c>
      <c r="AQ4" s="30">
        <f>IF(Model!AQ72&lt;&gt;0,Model!AQ72,"")</f>
        <v>14.284000000000001</v>
      </c>
      <c r="AR4" s="30">
        <f>IF(Model!AR72&lt;&gt;0,Model!AR72,"")</f>
        <v>7.3869999999999996</v>
      </c>
      <c r="AS4" s="30">
        <f>IF(Model!AS72&lt;&gt;0,Model!AS72,"")</f>
        <v>10.089000000000002</v>
      </c>
      <c r="AT4" s="30">
        <f>IF(Model!AT72&lt;&gt;0,Model!AT72,"")</f>
        <v>17.476000000000003</v>
      </c>
      <c r="AU4" s="30">
        <f>IF(Model!AU72&lt;&gt;0,Model!AU72,"")</f>
        <v>9.1419999999999995</v>
      </c>
      <c r="AV4" s="30">
        <f>IF(Model!AV72&lt;&gt;0,Model!AV72,"")</f>
        <v>13.940999999999999</v>
      </c>
      <c r="AW4" s="30">
        <f>IF(Model!AW72&lt;&gt;0,Model!AW72,"")</f>
        <v>23.082999999999998</v>
      </c>
      <c r="AX4" s="30">
        <f>IF(Model!AX72&lt;&gt;0,Model!AX72,"")</f>
        <v>15.675000000000001</v>
      </c>
      <c r="AY4" s="30">
        <f>IF(Model!AY72&lt;&gt;0,Model!AY72,"")</f>
        <v>19.093999999999998</v>
      </c>
      <c r="AZ4" s="30">
        <f>IF(Model!AZ72&lt;&gt;0,Model!AZ72,"")</f>
        <v>34.768999999999998</v>
      </c>
      <c r="BA4" s="30">
        <f>IF(Model!BA72&lt;&gt;0,Model!BA72,"")</f>
        <v>23.153000000000002</v>
      </c>
      <c r="BB4" s="30">
        <f>IF(Model!BB72&lt;&gt;0,Model!BB72,"")</f>
        <v>22.359999999999996</v>
      </c>
      <c r="BC4" s="30">
        <f>IF(Model!BC72&lt;&gt;0,Model!BC72,"")</f>
        <v>45.512999999999998</v>
      </c>
      <c r="BD4" s="30">
        <f>IF(Model!BD72&lt;&gt;0,Model!BD72,"")</f>
        <v>25.95</v>
      </c>
      <c r="BE4" s="30">
        <f>IF(Model!BE72&lt;&gt;0,Model!BE72,"")</f>
        <v>29.040000000000003</v>
      </c>
      <c r="BF4" s="30">
        <f>IF(Model!BF72&lt;&gt;0,Model!BF72,"")</f>
        <v>54.99</v>
      </c>
      <c r="BG4" s="30">
        <f>IF(Model!BG72&lt;&gt;0,Model!BG72,"")</f>
        <v>36.327999999999996</v>
      </c>
      <c r="BH4" s="30">
        <f>IF(Model!BH72&lt;&gt;0,Model!BH72,"")</f>
        <v>43.821000000000005</v>
      </c>
      <c r="BI4" s="30">
        <f>IF(Model!BI72&lt;&gt;0,Model!BI72,"")</f>
        <v>80.149000000000001</v>
      </c>
      <c r="BJ4" s="30">
        <f>IF(Model!BJ72&lt;&gt;0,Model!BJ72,"")</f>
        <v>35.577999999999996</v>
      </c>
      <c r="BK4" s="30">
        <f>IF(Model!BK72&lt;&gt;0,Model!BK72,"")</f>
        <v>9.8830000000000098</v>
      </c>
      <c r="BL4" s="30">
        <f>IF(Model!BL72&lt;&gt;0,Model!BL72,"")</f>
        <v>45.461000000000006</v>
      </c>
      <c r="BM4" s="30">
        <f>IF(Model!BM72&lt;&gt;0,Model!BM72,"")</f>
        <v>40.463000000000001</v>
      </c>
      <c r="BN4" s="30">
        <f>IF(Model!BN72&lt;&gt;0,Model!BN72,"")</f>
        <v>42.071999999999996</v>
      </c>
      <c r="BO4" s="30">
        <f>IF(Model!BO72&lt;&gt;0,Model!BO72,"")</f>
        <v>82.534999999999997</v>
      </c>
      <c r="BP4" s="30">
        <f>IF(Model!BP72&lt;&gt;0,Model!BP72,"")</f>
        <v>62.129999999999995</v>
      </c>
      <c r="BQ4" s="30">
        <f>IF(Model!BQ72&lt;&gt;0,Model!BQ72,"")</f>
        <v>46.367000000000004</v>
      </c>
      <c r="BR4" s="30">
        <f>IF(Model!BR72&lt;&gt;0,Model!BR72,"")</f>
        <v>108.497</v>
      </c>
      <c r="BS4" s="30">
        <f>IF(Model!BS72&lt;&gt;0,Model!BS72,"")</f>
        <v>75.983000000000004</v>
      </c>
      <c r="BT4" s="30">
        <f>IF(Model!BT72&lt;&gt;0,Model!BT72,"")</f>
        <v>77.597999999999985</v>
      </c>
      <c r="BU4" s="30">
        <f>IF(Model!BU72&lt;&gt;0,Model!BU72,"")</f>
        <v>153.58099999999999</v>
      </c>
      <c r="BV4" s="30">
        <f>IF(Model!BV72&lt;&gt;0,Model!BV72,"")</f>
        <v>84.701000000000008</v>
      </c>
      <c r="BW4" s="30">
        <f>IF(Model!BW72&lt;&gt;0,Model!BW72,"")</f>
        <v>82.628</v>
      </c>
      <c r="BX4" s="30">
        <f>IF(Model!BX72&lt;&gt;0,Model!BX72,"")</f>
        <v>167.32900000000001</v>
      </c>
      <c r="BY4" s="30">
        <f>IF(Model!BY72&lt;&gt;0,Model!BY72,"")</f>
        <v>89.436999999999998</v>
      </c>
      <c r="BZ4" s="30">
        <f>IF(Model!BZ72&lt;&gt;0,Model!BZ72,"")</f>
        <v>85.208000000000013</v>
      </c>
      <c r="CA4" s="30">
        <f>IF(Model!CA72&lt;&gt;0,Model!CA72,"")</f>
        <v>174.64500000000001</v>
      </c>
      <c r="CB4" s="30">
        <f>IF(Model!CB72&lt;&gt;0,Model!CB72,"")</f>
        <v>103.13800000000001</v>
      </c>
      <c r="CC4" s="30">
        <f>IF(Model!CC72&lt;&gt;0,Model!CC72,"")</f>
        <v>116.214</v>
      </c>
      <c r="CD4" s="30">
        <f>IF(Model!CD72&lt;&gt;0,Model!CD72,"")</f>
        <v>219.352</v>
      </c>
      <c r="CE4" s="30">
        <f>IF(Model!CE72&lt;&gt;0,Model!CE72,"")</f>
        <v>112.30900000000001</v>
      </c>
      <c r="CF4" s="30">
        <f>IF(Model!CF72&lt;&gt;0,Model!CF72,"")</f>
        <v>127.88599999999998</v>
      </c>
      <c r="CG4" s="30">
        <f>IF(Model!CG72&lt;&gt;0,Model!CG72,"")</f>
        <v>240.19499999999999</v>
      </c>
      <c r="CH4" s="30">
        <f>IF(Model!CH72&lt;&gt;0,Model!CH72,"")</f>
        <v>108.67399999999999</v>
      </c>
      <c r="CI4" s="30">
        <f>IF(Model!CI72&lt;&gt;0,Model!CI72,"")</f>
        <v>106.61300000000001</v>
      </c>
      <c r="CJ4" s="30">
        <f>IF(Model!CJ72&lt;&gt;0,Model!CJ72,"")</f>
        <v>215.28700000000001</v>
      </c>
      <c r="CK4" s="30">
        <f>IF(Model!CK72&lt;&gt;0,Model!CK72,"")</f>
        <v>108.301</v>
      </c>
      <c r="CL4" s="30">
        <f>IF(Model!CL72&lt;&gt;0,Model!CL72,"")</f>
        <v>70.559000000000012</v>
      </c>
      <c r="CM4" s="30">
        <f>IF(Model!CM72&lt;&gt;0,Model!CM72,"")</f>
        <v>178.86</v>
      </c>
      <c r="CN4" s="30">
        <f>IF(Model!CN72&lt;&gt;0,Model!CN72,"")</f>
        <v>49.424999999999997</v>
      </c>
      <c r="CO4" s="30">
        <f>IF(Model!CO72&lt;&gt;0,Model!CO72,"")</f>
        <v>100.211</v>
      </c>
      <c r="CP4" s="30">
        <f>IF(Model!CP72&lt;&gt;0,Model!CP72,"")</f>
        <v>149.636</v>
      </c>
      <c r="CQ4" s="30">
        <f>IF(Model!CQ72&lt;&gt;0,Model!CQ72,"")</f>
        <v>100.45802269032488</v>
      </c>
      <c r="CR4" s="30">
        <f>IF(Model!CR72&lt;&gt;0,Model!CR72,"")</f>
        <v>105.92413980967511</v>
      </c>
      <c r="CS4" s="30">
        <f>IF(Model!CS72&lt;&gt;0,Model!CS72,"")</f>
        <v>206.38216249999999</v>
      </c>
      <c r="CT4" s="30">
        <f>IF(Model!CT72&lt;&gt;0,Model!CT72,"")</f>
        <v>130.96700000000001</v>
      </c>
      <c r="CU4" s="30">
        <f>IF(Model!CU72&lt;&gt;0,Model!CU72,"")</f>
        <v>131.63699999999997</v>
      </c>
      <c r="CV4" s="30">
        <f>IF(Model!CV72&lt;&gt;0,Model!CV72,"")</f>
        <v>262.60399999999998</v>
      </c>
      <c r="CW4" s="30">
        <f>IF(Model!CW72&lt;&gt;0,Model!CW72,"")</f>
        <v>156.39699999999999</v>
      </c>
      <c r="CX4" s="30">
        <f>IF(Model!CX72&lt;&gt;0,Model!CX72,"")</f>
        <v>159.29908879999999</v>
      </c>
      <c r="CY4" s="30">
        <f>IF(Model!CY72&lt;&gt;0,Model!CY72,"")</f>
        <v>315.69608879999998</v>
      </c>
      <c r="CZ4" s="30">
        <f>IF(Model!CZ72&lt;&gt;0,Model!CZ72,"")</f>
        <v>160.33557919999998</v>
      </c>
      <c r="DA4" s="30">
        <f>IF(Model!DA72&lt;&gt;0,Model!DA72,"")</f>
        <v>188.06442079999999</v>
      </c>
      <c r="DB4" s="30">
        <f>IF(Model!DB72&lt;&gt;0,Model!DB72,"")</f>
        <v>348.4</v>
      </c>
      <c r="DC4" s="30">
        <f>IF(Model!DC72&lt;&gt;0,Model!DC72,"")</f>
        <v>177</v>
      </c>
      <c r="DD4" s="30">
        <f>IF(Model!DD72&lt;&gt;0,Model!DD72,"")</f>
        <v>182.29950000000002</v>
      </c>
      <c r="DE4" s="30">
        <f>IF(Model!DE72&lt;&gt;0,Model!DE72,"")</f>
        <v>359.29950000000002</v>
      </c>
      <c r="DF4" s="30">
        <f>IF(Model!DF72&lt;&gt;0,Model!DF72,"")</f>
        <v>183.70314803978934</v>
      </c>
      <c r="DG4" s="30">
        <f>IF(Model!DG72&lt;&gt;0,Model!DG72,"")</f>
        <v>23.215136960210657</v>
      </c>
      <c r="DH4" s="30">
        <f>IF(Model!DH72&lt;&gt;0,Model!DH72,"")</f>
        <v>206.918285</v>
      </c>
      <c r="DI4" s="30">
        <f>IF(Model!DI72&lt;&gt;0,Model!DI72,"")</f>
        <v>176</v>
      </c>
      <c r="DJ4" s="30">
        <f>IF(Model!DJ72&lt;&gt;0,Model!DJ72,"")</f>
        <v>158.09999999999997</v>
      </c>
      <c r="DK4" s="1096">
        <f>IF(Model!DK72&lt;&gt;0,Model!DK72,"")</f>
        <v>334.09999999999997</v>
      </c>
      <c r="DL4" s="30">
        <f>IF(Model!DL72&lt;&gt;0,Model!DL72,"")</f>
        <v>223</v>
      </c>
      <c r="DM4" s="30">
        <f>IF(Model!DM72&lt;&gt;0,Model!DM72,"")</f>
        <v>181.3</v>
      </c>
      <c r="DN4" s="1096">
        <f>IF(Model!DN72&lt;&gt;0,Model!DN72,"")</f>
        <v>404.3</v>
      </c>
      <c r="DO4" s="30">
        <f>IF(Model!DO72&lt;&gt;0,Model!DO72,"")</f>
        <v>203</v>
      </c>
      <c r="DP4" s="30">
        <f>IF(Model!DP72&lt;&gt;0,Model!DP72,"")</f>
        <v>231.60000000000002</v>
      </c>
      <c r="DQ4" s="1096">
        <f>IF(Model!DQ72&lt;&gt;0,Model!DQ72,"")</f>
        <v>434.6</v>
      </c>
      <c r="DR4" s="30">
        <f>IF(Model!DR72&lt;&gt;0,Model!DR72,"")</f>
        <v>272.19999999999993</v>
      </c>
      <c r="DS4" s="30">
        <f>IF(Model!DS72&lt;&gt;0,Model!DS72,"")</f>
        <v>262.90000000000009</v>
      </c>
      <c r="DT4" s="1096">
        <f>IF(Model!DT72&lt;&gt;0,Model!DT72,"")</f>
        <v>535.1</v>
      </c>
      <c r="DU4" s="30">
        <f>IF(Model!DU72&lt;&gt;0,Model!DU72,"")</f>
        <v>286.7</v>
      </c>
      <c r="DV4" s="30">
        <f>IF(Model!DV72&lt;&gt;0,Model!DV72,"")</f>
        <v>267.3</v>
      </c>
      <c r="DW4" s="1096">
        <f>IF(Model!DW72&lt;&gt;0,Model!DW72,"")</f>
        <v>554</v>
      </c>
      <c r="DX4" s="30">
        <f>IF(Model!DX72&lt;&gt;0,Model!DX72,"")</f>
        <v>254.80000000000004</v>
      </c>
      <c r="DY4" s="30">
        <f>IF(Model!DY72&lt;&gt;0,Model!DY72,"")</f>
        <v>295.38043729966989</v>
      </c>
      <c r="DZ4" s="1096">
        <f>IF(Model!DZ72&lt;&gt;0,Model!DZ72,"")</f>
        <v>550.18043729966996</v>
      </c>
      <c r="EA4" s="30">
        <f>IF(Model!EA72&lt;&gt;0,Model!EA72,"")</f>
        <v>315.19096870193118</v>
      </c>
      <c r="EB4" s="30">
        <f>IF(Model!EB72&lt;&gt;0,Model!EB72,"")</f>
        <v>324.77792655630287</v>
      </c>
      <c r="EC4" s="1096">
        <f>IF(Model!EC72&lt;&gt;0,Model!EC72,"")</f>
        <v>639.96889525823406</v>
      </c>
      <c r="ED4" s="30">
        <f>IF(Model!ED72&lt;&gt;0,Model!ED72,"")</f>
        <v>352.34984349834582</v>
      </c>
      <c r="EE4" s="30">
        <f>IF(Model!EE72&lt;&gt;0,Model!EE72,"")</f>
        <v>363.24901879550833</v>
      </c>
      <c r="EF4" s="1096">
        <f>IF(Model!EF72&lt;&gt;0,Model!EF72,"")</f>
        <v>715.59886229385415</v>
      </c>
      <c r="EG4" s="30">
        <f>IF(Model!EG72&lt;&gt;0,Model!EG72,"")</f>
        <v>390.6396417521421</v>
      </c>
      <c r="EH4" s="30">
        <f>IF(Model!EH72&lt;&gt;0,Model!EH72,"")</f>
        <v>402.72322859641281</v>
      </c>
      <c r="EI4" s="1096">
        <f>IF(Model!EI72&lt;&gt;0,Model!EI72,"")</f>
        <v>793.36287034855491</v>
      </c>
      <c r="EJ4" s="30">
        <f>IF(Model!EJ72&lt;&gt;0,Model!EJ72,"")</f>
        <v>430.27868479074164</v>
      </c>
      <c r="EK4" s="30">
        <f>IF(Model!EK72&lt;&gt;0,Model!EK72,"")</f>
        <v>443.58841913205663</v>
      </c>
      <c r="EL4" s="1096">
        <f>IF(Model!EL72&lt;&gt;0,Model!EL72,"")</f>
        <v>873.86710392279826</v>
      </c>
      <c r="EM4" s="30">
        <f>IF(Model!EM72&lt;&gt;0,Model!EM72,"")</f>
        <v>470.95768964438366</v>
      </c>
      <c r="EN4" s="30">
        <f>IF(Model!EN72&lt;&gt;0,Model!EN72,"")</f>
        <v>485.52574043735899</v>
      </c>
      <c r="EO4" s="1096">
        <f>IF(Model!EO72&lt;&gt;0,Model!EO72,"")</f>
        <v>956.48343008174265</v>
      </c>
      <c r="EP4" s="30">
        <f>IF(Model!EP72&lt;&gt;0,Model!EP72,"")</f>
        <v>513.34388171237811</v>
      </c>
      <c r="EQ4" s="30">
        <f>IF(Model!EQ72&lt;&gt;0,Model!EQ72,"")</f>
        <v>529.22305707672149</v>
      </c>
      <c r="ER4" s="1096">
        <f>IF(Model!ER72&lt;&gt;0,Model!ER72,"")</f>
        <v>1042.5669387890996</v>
      </c>
      <c r="ES4" s="30">
        <f>IF(Model!ES72&lt;&gt;0,Model!ES72,"")</f>
        <v>559.54483106649229</v>
      </c>
      <c r="ET4" s="30">
        <f>IF(Model!ET72&lt;&gt;0,Model!ET72,"")</f>
        <v>576.85313221362651</v>
      </c>
      <c r="EU4" s="1096">
        <f>IF(Model!EU72&lt;&gt;0,Model!EU72,"")</f>
        <v>1136.3979632801188</v>
      </c>
      <c r="EV4" s="30">
        <f>IF(Model!EV72&lt;&gt;0,Model!EV72,"")</f>
        <v>609.90386586247655</v>
      </c>
      <c r="EW4" s="30">
        <f>IF(Model!EW72&lt;&gt;0,Model!EW72,"")</f>
        <v>628.76991411285303</v>
      </c>
      <c r="EX4" s="1096">
        <f>IF(Model!EX72&lt;&gt;0,Model!EX72,"")</f>
        <v>1238.6737799753296</v>
      </c>
      <c r="EY4" s="30">
        <f>IF(Model!EY72&lt;&gt;0,Model!EY72,"")</f>
        <v>664.79521379009941</v>
      </c>
      <c r="EZ4" s="30">
        <f>IF(Model!EZ72&lt;&gt;0,Model!EZ72,"")</f>
        <v>685.35920638300956</v>
      </c>
      <c r="FA4" s="30">
        <f>IF(Model!FA72&lt;&gt;0,Model!FA72,"")</f>
        <v>1350.154420173109</v>
      </c>
    </row>
    <row r="5" spans="1:157" ht="13.35" customHeight="1">
      <c r="A5" s="5"/>
      <c r="B5" s="5" t="s">
        <v>168</v>
      </c>
      <c r="C5" s="5"/>
      <c r="D5" s="5"/>
      <c r="E5" s="30" t="str">
        <f>IF(Model!E90&lt;&gt;0,Model!E90,"")</f>
        <v/>
      </c>
      <c r="F5" s="30" t="str">
        <f>IF(Model!F90&lt;&gt;0,Model!F90,"")</f>
        <v/>
      </c>
      <c r="G5" s="30" t="str">
        <f>IF(Model!G90&lt;&gt;0,Model!G90,"")</f>
        <v/>
      </c>
      <c r="H5" s="30" t="str">
        <f>IF(Model!H90&lt;&gt;0,Model!H90,"")</f>
        <v/>
      </c>
      <c r="I5" s="30" t="str">
        <f>IF(Model!I90&lt;&gt;0,Model!I90,"")</f>
        <v/>
      </c>
      <c r="J5" s="30" t="str">
        <f>IF(Model!J90&lt;&gt;0,Model!J90,"")</f>
        <v/>
      </c>
      <c r="K5" s="30" t="str">
        <f>IF(Model!K90&lt;&gt;0,Model!K90,"")</f>
        <v/>
      </c>
      <c r="L5" s="30" t="str">
        <f>IF(Model!L90&lt;&gt;0,Model!L90,"")</f>
        <v/>
      </c>
      <c r="M5" s="30" t="str">
        <f>IF(Model!M90&lt;&gt;0,Model!M90,"")</f>
        <v/>
      </c>
      <c r="N5" s="30" t="str">
        <f>IF(Model!N90&lt;&gt;0,Model!N90,"")</f>
        <v/>
      </c>
      <c r="O5" s="30" t="str">
        <f>IF(Model!O90&lt;&gt;0,Model!O90,"")</f>
        <v/>
      </c>
      <c r="P5" s="30" t="str">
        <f>IF(Model!P90&lt;&gt;0,Model!P90,"")</f>
        <v/>
      </c>
      <c r="Q5" s="30" t="str">
        <f>IF(Model!Q90&lt;&gt;0,Model!Q90,"")</f>
        <v/>
      </c>
      <c r="R5" s="30" t="str">
        <f>IF(Model!R90&lt;&gt;0,Model!R90,"")</f>
        <v/>
      </c>
      <c r="S5" s="30" t="str">
        <f>IF(Model!S90&lt;&gt;0,Model!S90,"")</f>
        <v/>
      </c>
      <c r="T5" s="30" t="str">
        <f>IF(Model!T90&lt;&gt;0,Model!T90,"")</f>
        <v/>
      </c>
      <c r="U5" s="30" t="str">
        <f>IF(Model!U90&lt;&gt;0,Model!U90,"")</f>
        <v/>
      </c>
      <c r="V5" s="30" t="str">
        <f>IF(Model!V90&lt;&gt;0,Model!V90,"")</f>
        <v/>
      </c>
      <c r="W5" s="30" t="str">
        <f>IF(Model!W90&lt;&gt;0,Model!W90,"")</f>
        <v/>
      </c>
      <c r="X5" s="30" t="str">
        <f>IF(Model!X90&lt;&gt;0,Model!X90,"")</f>
        <v/>
      </c>
      <c r="Y5" s="30" t="str">
        <f>IF(Model!Y90&lt;&gt;0,Model!Y90,"")</f>
        <v/>
      </c>
      <c r="Z5" s="30" t="str">
        <f>IF(Model!Z90&lt;&gt;0,Model!Z90,"")</f>
        <v/>
      </c>
      <c r="AA5" s="30" t="str">
        <f>IF(Model!AA90&lt;&gt;0,Model!AA90,"")</f>
        <v/>
      </c>
      <c r="AB5" s="30" t="str">
        <f>IF(Model!AB90&lt;&gt;0,Model!AB90,"")</f>
        <v/>
      </c>
      <c r="AC5" s="30" t="str">
        <f>IF(Model!AC90&lt;&gt;0,Model!AC90,"")</f>
        <v/>
      </c>
      <c r="AD5" s="30" t="str">
        <f>IF(Model!AD90&lt;&gt;0,Model!AD90,"")</f>
        <v/>
      </c>
      <c r="AE5" s="30" t="str">
        <f>IF(Model!AE90&lt;&gt;0,Model!AE90,"")</f>
        <v/>
      </c>
      <c r="AF5" s="30" t="str">
        <f>IF(Model!AF90&lt;&gt;0,Model!AF90,"")</f>
        <v/>
      </c>
      <c r="AG5" s="30" t="str">
        <f>IF(Model!AG90&lt;&gt;0,Model!AG90,"")</f>
        <v/>
      </c>
      <c r="AH5" s="30" t="str">
        <f>IF(Model!AH90&lt;&gt;0,Model!AH90,"")</f>
        <v/>
      </c>
      <c r="AI5" s="30">
        <f>IF(Model!AI90&lt;&gt;0,Model!AI90,"")</f>
        <v>4.5949999999999998</v>
      </c>
      <c r="AJ5" s="30">
        <f>IF(Model!AJ90&lt;&gt;0,Model!AJ90,"")</f>
        <v>5.7809999999999997</v>
      </c>
      <c r="AK5" s="30">
        <f>IF(Model!AK90&lt;&gt;0,Model!AK90,"")</f>
        <v>10.375999999999999</v>
      </c>
      <c r="AL5" s="30">
        <f>IF(Model!AL90&lt;&gt;0,Model!AL90,"")</f>
        <v>5.1269999999999998</v>
      </c>
      <c r="AM5" s="30">
        <f>IF(Model!AM90&lt;&gt;0,Model!AM90,"")</f>
        <v>5.7359999999999998</v>
      </c>
      <c r="AN5" s="30">
        <f>IF(Model!AN90&lt;&gt;0,Model!AN90,"")</f>
        <v>10.863</v>
      </c>
      <c r="AO5" s="30">
        <f>IF(Model!AO90&lt;&gt;0,Model!AO90,"")</f>
        <v>4.5220000000000002</v>
      </c>
      <c r="AP5" s="30">
        <f>IF(Model!AP90&lt;&gt;0,Model!AP90,"")</f>
        <v>6.2870000000000008</v>
      </c>
      <c r="AQ5" s="30">
        <f>IF(Model!AQ90&lt;&gt;0,Model!AQ90,"")</f>
        <v>10.809000000000001</v>
      </c>
      <c r="AR5" s="30">
        <f>IF(Model!AR90&lt;&gt;0,Model!AR90,"")</f>
        <v>5.4249999999999998</v>
      </c>
      <c r="AS5" s="30">
        <f>IF(Model!AS90&lt;&gt;0,Model!AS90,"")</f>
        <v>7.86</v>
      </c>
      <c r="AT5" s="30">
        <f>IF(Model!AT90&lt;&gt;0,Model!AT90,"")</f>
        <v>13.285</v>
      </c>
      <c r="AU5" s="30">
        <f>IF(Model!AU90&lt;&gt;0,Model!AU90,"")</f>
        <v>6.6429999999999998</v>
      </c>
      <c r="AV5" s="30">
        <f>IF(Model!AV90&lt;&gt;0,Model!AV90,"")</f>
        <v>9.6839999999999975</v>
      </c>
      <c r="AW5" s="30">
        <f>IF(Model!AW90&lt;&gt;0,Model!AW90,"")</f>
        <v>16.326999999999998</v>
      </c>
      <c r="AX5" s="30">
        <f>IF(Model!AX90&lt;&gt;0,Model!AX90,"")</f>
        <v>10.324000000000002</v>
      </c>
      <c r="AY5" s="30">
        <f>IF(Model!AY90&lt;&gt;0,Model!AY90,"")</f>
        <v>13.791999999999998</v>
      </c>
      <c r="AZ5" s="30">
        <f>IF(Model!AZ90&lt;&gt;0,Model!AZ90,"")</f>
        <v>24.116</v>
      </c>
      <c r="BA5" s="30">
        <f>IF(Model!BA90&lt;&gt;0,Model!BA90,"")</f>
        <v>15.873000000000001</v>
      </c>
      <c r="BB5" s="30">
        <f>IF(Model!BB90&lt;&gt;0,Model!BB90,"")</f>
        <v>15.305</v>
      </c>
      <c r="BC5" s="30">
        <f>IF(Model!BC90&lt;&gt;0,Model!BC90,"")</f>
        <v>31.178000000000001</v>
      </c>
      <c r="BD5" s="30">
        <f>IF(Model!BD90&lt;&gt;0,Model!BD90,"")</f>
        <v>20.799999999999997</v>
      </c>
      <c r="BE5" s="30">
        <f>IF(Model!BE90&lt;&gt;0,Model!BE90,"")</f>
        <v>22.810000000000002</v>
      </c>
      <c r="BF5" s="30">
        <f>IF(Model!BF90&lt;&gt;0,Model!BF90,"")</f>
        <v>43.61</v>
      </c>
      <c r="BG5" s="30">
        <f>IF(Model!BG90&lt;&gt;0,Model!BG90,"")</f>
        <v>27.015000000000001</v>
      </c>
      <c r="BH5" s="30">
        <f>IF(Model!BH90&lt;&gt;0,Model!BH90,"")</f>
        <v>31.169000000000004</v>
      </c>
      <c r="BI5" s="30">
        <f>IF(Model!BI90&lt;&gt;0,Model!BI90,"")</f>
        <v>58.184000000000005</v>
      </c>
      <c r="BJ5" s="30">
        <f>IF(Model!BJ90&lt;&gt;0,Model!BJ90,"")</f>
        <v>26.880000000000003</v>
      </c>
      <c r="BK5" s="30">
        <f>IF(Model!BK90&lt;&gt;0,Model!BK90,"")</f>
        <v>12.777999999999999</v>
      </c>
      <c r="BL5" s="30">
        <f>IF(Model!BL90&lt;&gt;0,Model!BL90,"")</f>
        <v>39.658000000000001</v>
      </c>
      <c r="BM5" s="30">
        <f>IF(Model!BM90&lt;&gt;0,Model!BM90,"")</f>
        <v>29.465</v>
      </c>
      <c r="BN5" s="30">
        <f>IF(Model!BN90&lt;&gt;0,Model!BN90,"")</f>
        <v>29.009000000000004</v>
      </c>
      <c r="BO5" s="30">
        <f>IF(Model!BO90&lt;&gt;0,Model!BO90,"")</f>
        <v>58.474000000000004</v>
      </c>
      <c r="BP5" s="30">
        <f>IF(Model!BP90&lt;&gt;0,Model!BP90,"")</f>
        <v>43.009</v>
      </c>
      <c r="BQ5" s="30">
        <f>IF(Model!BQ90&lt;&gt;0,Model!BQ90,"")</f>
        <v>37.022999999999996</v>
      </c>
      <c r="BR5" s="30">
        <f>IF(Model!BR90&lt;&gt;0,Model!BR90,"")</f>
        <v>80.031999999999996</v>
      </c>
      <c r="BS5" s="30">
        <f>IF(Model!BS90&lt;&gt;0,Model!BS90,"")</f>
        <v>48.798000000000009</v>
      </c>
      <c r="BT5" s="30">
        <f>IF(Model!BT90&lt;&gt;0,Model!BT90,"")</f>
        <v>51.332999999999977</v>
      </c>
      <c r="BU5" s="30">
        <f>IF(Model!BU90&lt;&gt;0,Model!BU90,"")</f>
        <v>100.13099999999999</v>
      </c>
      <c r="BV5" s="30">
        <f>IF(Model!BV90&lt;&gt;0,Model!BV90,"")</f>
        <v>57.113000000000007</v>
      </c>
      <c r="BW5" s="30">
        <f>IF(Model!BW90&lt;&gt;0,Model!BW90,"")</f>
        <v>58.121000000000002</v>
      </c>
      <c r="BX5" s="30">
        <f>IF(Model!BX90&lt;&gt;0,Model!BX90,"")</f>
        <v>115.23400000000001</v>
      </c>
      <c r="BY5" s="30">
        <f>IF(Model!BY90&lt;&gt;0,Model!BY90,"")</f>
        <v>69.935999999999993</v>
      </c>
      <c r="BZ5" s="30">
        <f>IF(Model!BZ90&lt;&gt;0,Model!BZ90,"")</f>
        <v>60.603999999999999</v>
      </c>
      <c r="CA5" s="30">
        <f>IF(Model!CA90&lt;&gt;0,Model!CA90,"")</f>
        <v>130.54</v>
      </c>
      <c r="CB5" s="30">
        <f>IF(Model!CB90&lt;&gt;0,Model!CB90,"")</f>
        <v>75.247000000000014</v>
      </c>
      <c r="CC5" s="30">
        <f>IF(Model!CC90&lt;&gt;0,Model!CC90,"")</f>
        <v>79.904999999999973</v>
      </c>
      <c r="CD5" s="30">
        <f>IF(Model!CD90&lt;&gt;0,Model!CD90,"")</f>
        <v>155.15199999999999</v>
      </c>
      <c r="CE5" s="30">
        <f>IF(Model!CE90&lt;&gt;0,Model!CE90,"")</f>
        <v>82.935000000000002</v>
      </c>
      <c r="CF5" s="30">
        <f>IF(Model!CF90&lt;&gt;0,Model!CF90,"")</f>
        <v>97.179000000000002</v>
      </c>
      <c r="CG5" s="30">
        <f>IF(Model!CG90&lt;&gt;0,Model!CG90,"")</f>
        <v>180.114</v>
      </c>
      <c r="CH5" s="30">
        <f>IF(Model!CH90&lt;&gt;0,Model!CH90,"")</f>
        <v>80.146999999999991</v>
      </c>
      <c r="CI5" s="30">
        <f>IF(Model!CI90&lt;&gt;0,Model!CI90,"")</f>
        <v>77.953000000000003</v>
      </c>
      <c r="CJ5" s="30">
        <f>IF(Model!CJ90&lt;&gt;0,Model!CJ90,"")</f>
        <v>158.1</v>
      </c>
      <c r="CK5" s="30">
        <f>IF(Model!CK90&lt;&gt;0,Model!CK90,"")</f>
        <v>77.665000000000006</v>
      </c>
      <c r="CL5" s="30">
        <f>IF(Model!CL90&lt;&gt;0,Model!CL90,"")</f>
        <v>54.897999999999982</v>
      </c>
      <c r="CM5" s="30">
        <f>IF(Model!CM90&lt;&gt;0,Model!CM90,"")</f>
        <v>132.56299999999999</v>
      </c>
      <c r="CN5" s="30">
        <f>IF(Model!CN90&lt;&gt;0,Model!CN90,"")</f>
        <v>36.79</v>
      </c>
      <c r="CO5" s="30">
        <f>IF(Model!CO90&lt;&gt;0,Model!CO90,"")</f>
        <v>72.699999999999989</v>
      </c>
      <c r="CP5" s="30">
        <f>IF(Model!CP90&lt;&gt;0,Model!CP90,"")</f>
        <v>109.49</v>
      </c>
      <c r="CQ5" s="30">
        <f>IF(Model!CQ90&lt;&gt;0,Model!CQ90,"")</f>
        <v>71.375</v>
      </c>
      <c r="CR5" s="30">
        <f>IF(Model!CR90&lt;&gt;0,Model!CR90,"")</f>
        <v>74.465000000000003</v>
      </c>
      <c r="CS5" s="30">
        <f>IF(Model!CS90&lt;&gt;0,Model!CS90,"")</f>
        <v>145.84</v>
      </c>
      <c r="CT5" s="30">
        <f>IF(Model!CT90&lt;&gt;0,Model!CT90,"")</f>
        <v>94.033000000000001</v>
      </c>
      <c r="CU5" s="30">
        <f>IF(Model!CU90&lt;&gt;0,Model!CU90,"")</f>
        <v>94.887999999999991</v>
      </c>
      <c r="CV5" s="30">
        <f>IF(Model!CV90&lt;&gt;0,Model!CV90,"")</f>
        <v>188.92099999999999</v>
      </c>
      <c r="CW5" s="30">
        <f>IF(Model!CW90&lt;&gt;0,Model!CW90,"")</f>
        <v>111.36944</v>
      </c>
      <c r="CX5" s="30">
        <f>IF(Model!CX90&lt;&gt;0,Model!CX90,"")</f>
        <v>112.24655999999999</v>
      </c>
      <c r="CY5" s="30">
        <f>IF(Model!CY90&lt;&gt;0,Model!CY90,"")</f>
        <v>223.61599999999999</v>
      </c>
      <c r="CZ5" s="30">
        <f>IF(Model!CZ90&lt;&gt;0,Model!CZ90,"")</f>
        <v>110.79999999999998</v>
      </c>
      <c r="DA5" s="30">
        <f>IF(Model!DA90&lt;&gt;0,Model!DA90,"")</f>
        <v>135.00000000000003</v>
      </c>
      <c r="DB5" s="30">
        <f>IF(Model!DB90&lt;&gt;0,Model!DB90,"")</f>
        <v>245.8</v>
      </c>
      <c r="DC5" s="30">
        <f>IF(Model!DC90&lt;&gt;0,Model!DC90,"")</f>
        <v>128.60000000000002</v>
      </c>
      <c r="DD5" s="30">
        <f>IF(Model!DD90&lt;&gt;0,Model!DD90,"")</f>
        <v>137.29999999999995</v>
      </c>
      <c r="DE5" s="30">
        <f>IF(Model!DE90&lt;&gt;0,Model!DE90,"")</f>
        <v>265.89999999999998</v>
      </c>
      <c r="DF5" s="30">
        <f>IF(Model!DF90&lt;&gt;0,Model!DF90,"")</f>
        <v>132.69999999999996</v>
      </c>
      <c r="DG5" s="30">
        <f>IF(Model!DG90&lt;&gt;0,Model!DG90,"")</f>
        <v>-371</v>
      </c>
      <c r="DH5" s="30">
        <f>IF(Model!DH90&lt;&gt;0,Model!DH90,"")</f>
        <v>-238.3</v>
      </c>
      <c r="DI5" s="30">
        <f>IF(Model!DI90&lt;&gt;0,Model!DI90,"")</f>
        <v>125.19</v>
      </c>
      <c r="DJ5" s="30">
        <f>IF(Model!DJ90&lt;&gt;0,Model!DJ90,"")</f>
        <v>112.74000000000001</v>
      </c>
      <c r="DK5" s="1096">
        <f>IF(Model!DK90&lt;&gt;0,Model!DK90,"")</f>
        <v>237.93</v>
      </c>
      <c r="DL5" s="30">
        <f>IF(Model!DL90&lt;&gt;0,Model!DL90,"")</f>
        <v>161.34</v>
      </c>
      <c r="DM5" s="30">
        <f>IF(Model!DM90&lt;&gt;0,Model!DM90,"")</f>
        <v>130.78</v>
      </c>
      <c r="DN5" s="1096">
        <f>IF(Model!DN90&lt;&gt;0,Model!DN90,"")</f>
        <v>292.12</v>
      </c>
      <c r="DO5" s="30">
        <f>IF(Model!DO90&lt;&gt;0,Model!DO90,"")</f>
        <v>153.74</v>
      </c>
      <c r="DP5" s="30">
        <f>IF(Model!DP90&lt;&gt;0,Model!DP90,"")</f>
        <v>178.41000000000003</v>
      </c>
      <c r="DQ5" s="1096">
        <f>IF(Model!DQ90&lt;&gt;0,Model!DQ90,"")</f>
        <v>332.15000000000003</v>
      </c>
      <c r="DR5" s="30">
        <f>IF(Model!DR90&lt;&gt;0,Model!DR90,"")</f>
        <v>203.62999999999997</v>
      </c>
      <c r="DS5" s="30">
        <f>IF(Model!DS90&lt;&gt;0,Model!DS90,"")</f>
        <v>204.17999999999998</v>
      </c>
      <c r="DT5" s="1096">
        <f>IF(Model!DT90&lt;&gt;0,Model!DT90,"")</f>
        <v>407.80999999999995</v>
      </c>
      <c r="DU5" s="30">
        <f>IF(Model!DU90&lt;&gt;0,Model!DU90,"")</f>
        <v>213.68999999999997</v>
      </c>
      <c r="DV5" s="30">
        <f>IF(Model!DV90&lt;&gt;0,Model!DV90,"")</f>
        <v>201.60000000000011</v>
      </c>
      <c r="DW5" s="1096">
        <f>IF(Model!DW90&lt;&gt;0,Model!DW90,"")</f>
        <v>415.29000000000008</v>
      </c>
      <c r="DX5" s="30">
        <f>IF(Model!DX90&lt;&gt;0,Model!DX90,"")</f>
        <v>194.80000000000004</v>
      </c>
      <c r="DY5" s="30">
        <f>IF(Model!DY90&lt;&gt;0,Model!DY90,"")</f>
        <v>217.26495297475245</v>
      </c>
      <c r="DZ5" s="1096">
        <f>IF(Model!DZ90&lt;&gt;0,Model!DZ90,"")</f>
        <v>412.06495297475249</v>
      </c>
      <c r="EA5" s="30">
        <f>IF(Model!EA90&lt;&gt;0,Model!EA90,"")</f>
        <v>233.78288198280904</v>
      </c>
      <c r="EB5" s="30">
        <f>IF(Model!EB90&lt;&gt;0,Model!EB90,"")</f>
        <v>240.97310037358784</v>
      </c>
      <c r="EC5" s="1096">
        <f>IF(Model!EC90&lt;&gt;0,Model!EC90,"")</f>
        <v>474.75598235639688</v>
      </c>
      <c r="ED5" s="30">
        <f>IF(Model!ED90&lt;&gt;0,Model!ED90,"")</f>
        <v>260.8416567151105</v>
      </c>
      <c r="EE5" s="30">
        <f>IF(Model!EE90&lt;&gt;0,Model!EE90,"")</f>
        <v>269.01603818798242</v>
      </c>
      <c r="EF5" s="1096">
        <f>IF(Model!EF90&lt;&gt;0,Model!EF90,"")</f>
        <v>529.85769490309292</v>
      </c>
      <c r="EG5" s="30">
        <f>IF(Model!EG90&lt;&gt;0,Model!EG90,"")</f>
        <v>289.72905851376896</v>
      </c>
      <c r="EH5" s="30">
        <f>IF(Model!EH90&lt;&gt;0,Model!EH90,"")</f>
        <v>298.79174864697194</v>
      </c>
      <c r="EI5" s="1096">
        <f>IF(Model!EI90&lt;&gt;0,Model!EI90,"")</f>
        <v>588.5208071607409</v>
      </c>
      <c r="EJ5" s="30">
        <f>IF(Model!EJ90&lt;&gt;0,Model!EJ90,"")</f>
        <v>319.50187721472264</v>
      </c>
      <c r="EK5" s="30">
        <f>IF(Model!EK90&lt;&gt;0,Model!EK90,"")</f>
        <v>329.48417797070886</v>
      </c>
      <c r="EL5" s="1096">
        <f>IF(Model!EL90&lt;&gt;0,Model!EL90,"")</f>
        <v>648.9860551854315</v>
      </c>
      <c r="EM5" s="30">
        <f>IF(Model!EM90&lt;&gt;0,Model!EM90,"")</f>
        <v>350.75124275068288</v>
      </c>
      <c r="EN5" s="30">
        <f>IF(Model!EN90&lt;&gt;0,Model!EN90,"")</f>
        <v>361.67728084541432</v>
      </c>
      <c r="EO5" s="1096">
        <f>IF(Model!EO90&lt;&gt;0,Model!EO90,"")</f>
        <v>712.42852359609719</v>
      </c>
      <c r="EP5" s="30">
        <f>IF(Model!EP90&lt;&gt;0,Model!EP90,"")</f>
        <v>384.01284734902202</v>
      </c>
      <c r="EQ5" s="30">
        <f>IF(Model!EQ90&lt;&gt;0,Model!EQ90,"")</f>
        <v>395.92222887227962</v>
      </c>
      <c r="ER5" s="1096">
        <f>IF(Model!ER90&lt;&gt;0,Model!ER90,"")</f>
        <v>779.93507622130164</v>
      </c>
      <c r="ES5" s="30">
        <f>IF(Model!ES90&lt;&gt;0,Model!ES90,"")</f>
        <v>420.32850032569968</v>
      </c>
      <c r="ET5" s="30">
        <f>IF(Model!ET90&lt;&gt;0,Model!ET90,"")</f>
        <v>433.30972618605028</v>
      </c>
      <c r="EU5" s="1096">
        <f>IF(Model!EU90&lt;&gt;0,Model!EU90,"")</f>
        <v>853.63822651174996</v>
      </c>
      <c r="EV5" s="30">
        <f>IF(Model!EV90&lt;&gt;0,Model!EV90,"")</f>
        <v>459.97999412878312</v>
      </c>
      <c r="EW5" s="30">
        <f>IF(Model!EW90&lt;&gt;0,Model!EW90,"")</f>
        <v>474.12953031656548</v>
      </c>
      <c r="EX5" s="1096">
        <f>IF(Model!EX90&lt;&gt;0,Model!EX90,"")</f>
        <v>934.1095244453486</v>
      </c>
      <c r="EY5" s="30">
        <f>IF(Model!EY90&lt;&gt;0,Model!EY90,"")</f>
        <v>503.27613060908709</v>
      </c>
      <c r="EZ5" s="30">
        <f>IF(Model!EZ90&lt;&gt;0,Model!EZ90,"")</f>
        <v>518.69912505376976</v>
      </c>
      <c r="FA5" s="30">
        <f>IF(Model!FA90&lt;&gt;0,Model!FA90,"")</f>
        <v>1021.9752556628569</v>
      </c>
    </row>
    <row r="6" spans="1:157" ht="13.35" customHeight="1">
      <c r="A6" s="5"/>
      <c r="B6" s="5" t="s">
        <v>761</v>
      </c>
      <c r="C6" s="5"/>
      <c r="D6" s="5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3"/>
      <c r="BH6" s="23"/>
      <c r="BI6" s="23"/>
      <c r="BJ6" s="23"/>
      <c r="BK6" s="23"/>
      <c r="BL6" s="23"/>
      <c r="BM6" s="23"/>
      <c r="BN6" s="23"/>
      <c r="BO6" s="23"/>
      <c r="BP6" s="23"/>
      <c r="BQ6" s="23"/>
      <c r="BR6" s="23"/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3"/>
      <c r="CI6" s="23"/>
      <c r="CJ6" s="23"/>
      <c r="CK6" s="23"/>
      <c r="CL6" s="23"/>
      <c r="CM6" s="23"/>
      <c r="CN6" s="23"/>
      <c r="CO6" s="23"/>
      <c r="CP6" s="23"/>
      <c r="CQ6" s="23"/>
      <c r="CR6" s="23"/>
      <c r="CS6" s="23"/>
      <c r="CT6" s="23"/>
      <c r="CU6" s="23"/>
      <c r="CV6" s="23"/>
      <c r="CW6" s="23"/>
      <c r="CX6" s="23"/>
      <c r="CY6" s="23"/>
      <c r="CZ6" s="23"/>
      <c r="DA6" s="23"/>
      <c r="DB6" s="23"/>
      <c r="DC6" s="23"/>
      <c r="DD6" s="23"/>
      <c r="DE6" s="23"/>
      <c r="DF6" s="23"/>
      <c r="DG6" s="23"/>
      <c r="DH6" s="23"/>
      <c r="DI6" s="23"/>
      <c r="DJ6" s="23"/>
      <c r="DK6" s="1075"/>
      <c r="DL6" s="23"/>
      <c r="DM6" s="23"/>
      <c r="DN6" s="1075"/>
      <c r="DO6" s="23"/>
      <c r="DP6" s="23"/>
      <c r="DQ6" s="1075"/>
      <c r="DR6" s="23"/>
      <c r="DS6" s="23"/>
      <c r="DT6" s="1075"/>
      <c r="DU6" s="23"/>
      <c r="DV6" s="23"/>
      <c r="DW6" s="1075"/>
      <c r="DX6" s="23"/>
      <c r="DY6" s="23"/>
      <c r="DZ6" s="1075"/>
      <c r="EA6" s="23"/>
      <c r="EB6" s="23"/>
      <c r="EC6" s="1075"/>
      <c r="ED6" s="23"/>
      <c r="EE6" s="23"/>
      <c r="EF6" s="1075"/>
      <c r="EG6" s="23"/>
      <c r="EH6" s="23"/>
      <c r="EI6" s="1075"/>
      <c r="EJ6" s="23"/>
      <c r="EK6" s="23"/>
      <c r="EL6" s="1075"/>
      <c r="EM6" s="23"/>
      <c r="EN6" s="23"/>
      <c r="EO6" s="1075"/>
      <c r="EP6" s="23"/>
      <c r="EQ6" s="23"/>
      <c r="ER6" s="1075"/>
      <c r="ES6" s="23"/>
      <c r="ET6" s="23"/>
      <c r="EU6" s="1075"/>
      <c r="EV6" s="23"/>
      <c r="EW6" s="23"/>
      <c r="EX6" s="1075"/>
      <c r="EY6" s="23"/>
      <c r="EZ6" s="23"/>
      <c r="FA6" s="23"/>
    </row>
    <row r="7" spans="1:157" ht="13.35" customHeight="1">
      <c r="A7" s="5"/>
      <c r="B7" s="5" t="s">
        <v>693</v>
      </c>
      <c r="C7" s="5"/>
      <c r="D7" s="5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  <c r="CD7" s="30"/>
      <c r="CE7" s="30"/>
      <c r="CF7" s="30"/>
      <c r="CG7" s="30"/>
      <c r="CH7" s="30"/>
      <c r="CI7" s="30"/>
      <c r="CJ7" s="30"/>
      <c r="CK7" s="30"/>
      <c r="CL7" s="30"/>
      <c r="CM7" s="30"/>
      <c r="CN7" s="30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  <c r="DB7" s="30"/>
      <c r="DC7" s="30"/>
      <c r="DD7" s="30"/>
      <c r="DE7" s="30"/>
      <c r="DF7" s="30"/>
      <c r="DG7" s="30"/>
      <c r="DH7" s="30"/>
      <c r="DI7" s="30"/>
      <c r="DJ7" s="30"/>
      <c r="DK7" s="1096"/>
      <c r="DL7" s="30"/>
      <c r="DM7" s="30"/>
      <c r="DN7" s="1096"/>
      <c r="DO7" s="30"/>
      <c r="DP7" s="30"/>
      <c r="DQ7" s="1096"/>
      <c r="DR7" s="30"/>
      <c r="DS7" s="30"/>
      <c r="DT7" s="1096"/>
      <c r="DU7" s="30"/>
      <c r="DV7" s="30"/>
      <c r="DW7" s="1096"/>
      <c r="DX7" s="30"/>
      <c r="DY7" s="30"/>
      <c r="DZ7" s="1096"/>
      <c r="EA7" s="30"/>
      <c r="EB7" s="30"/>
      <c r="EC7" s="1096"/>
      <c r="ED7" s="30"/>
      <c r="EE7" s="30"/>
      <c r="EF7" s="1096"/>
      <c r="EG7" s="30"/>
      <c r="EH7" s="30"/>
      <c r="EI7" s="1096"/>
      <c r="EJ7" s="30"/>
      <c r="EK7" s="30"/>
      <c r="EL7" s="1096"/>
      <c r="EM7" s="30"/>
      <c r="EN7" s="30"/>
      <c r="EO7" s="1096"/>
      <c r="EP7" s="30"/>
      <c r="EQ7" s="30"/>
      <c r="ER7" s="1096"/>
      <c r="ES7" s="30"/>
      <c r="ET7" s="30"/>
      <c r="EU7" s="1096"/>
      <c r="EV7" s="30"/>
      <c r="EW7" s="30"/>
      <c r="EX7" s="1096"/>
      <c r="EY7" s="30"/>
      <c r="EZ7" s="30"/>
      <c r="FA7" s="30"/>
    </row>
    <row r="8" spans="1:157" ht="13.35" customHeight="1">
      <c r="A8" s="5"/>
      <c r="B8" s="5" t="s">
        <v>168</v>
      </c>
      <c r="C8" s="5"/>
      <c r="D8" s="5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1096"/>
      <c r="DL8" s="30"/>
      <c r="DM8" s="30"/>
      <c r="DN8" s="1096"/>
      <c r="DO8" s="30"/>
      <c r="DP8" s="30"/>
      <c r="DQ8" s="1096"/>
      <c r="DR8" s="30"/>
      <c r="DS8" s="30"/>
      <c r="DT8" s="1096"/>
      <c r="DU8" s="30"/>
      <c r="DV8" s="30"/>
      <c r="DW8" s="1096"/>
      <c r="DX8" s="30"/>
      <c r="DY8" s="30"/>
      <c r="DZ8" s="1096"/>
      <c r="EA8" s="30"/>
      <c r="EB8" s="30"/>
      <c r="EC8" s="1096"/>
      <c r="ED8" s="30"/>
      <c r="EE8" s="30"/>
      <c r="EF8" s="1096"/>
      <c r="EG8" s="30"/>
      <c r="EH8" s="30"/>
      <c r="EI8" s="1096"/>
      <c r="EJ8" s="30"/>
      <c r="EK8" s="30"/>
      <c r="EL8" s="1096"/>
      <c r="EM8" s="30"/>
      <c r="EN8" s="30"/>
      <c r="EO8" s="1096"/>
      <c r="EP8" s="30"/>
      <c r="EQ8" s="30"/>
      <c r="ER8" s="1096"/>
      <c r="ES8" s="30"/>
      <c r="ET8" s="30"/>
      <c r="EU8" s="1096"/>
      <c r="EV8" s="30"/>
      <c r="EW8" s="30"/>
      <c r="EX8" s="1096"/>
      <c r="EY8" s="30"/>
      <c r="EZ8" s="30"/>
      <c r="FA8" s="30"/>
    </row>
    <row r="9" spans="1:157" ht="13.35" customHeight="1">
      <c r="A9" s="5"/>
      <c r="B9" s="5" t="s">
        <v>762</v>
      </c>
      <c r="C9" s="5"/>
      <c r="D9" s="5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3"/>
      <c r="DH9" s="23"/>
      <c r="DI9" s="23"/>
      <c r="DJ9" s="23"/>
      <c r="DK9" s="1075"/>
      <c r="DL9" s="23"/>
      <c r="DM9" s="23"/>
      <c r="DN9" s="1075"/>
      <c r="DO9" s="23"/>
      <c r="DP9" s="23"/>
      <c r="DQ9" s="1075"/>
      <c r="DR9" s="23"/>
      <c r="DS9" s="23"/>
      <c r="DT9" s="1075"/>
      <c r="DU9" s="23"/>
      <c r="DV9" s="23"/>
      <c r="DW9" s="1075"/>
      <c r="DX9" s="23"/>
      <c r="DY9" s="23"/>
      <c r="DZ9" s="1075"/>
      <c r="EA9" s="23"/>
      <c r="EB9" s="23"/>
      <c r="EC9" s="1075"/>
      <c r="ED9" s="23"/>
      <c r="EE9" s="23"/>
      <c r="EF9" s="1075"/>
      <c r="EG9" s="23"/>
      <c r="EH9" s="23"/>
      <c r="EI9" s="1075"/>
      <c r="EJ9" s="23"/>
      <c r="EK9" s="23"/>
      <c r="EL9" s="1075"/>
      <c r="EM9" s="23"/>
      <c r="EN9" s="23"/>
      <c r="EO9" s="1075"/>
      <c r="EP9" s="23"/>
      <c r="EQ9" s="23"/>
      <c r="ER9" s="1075"/>
      <c r="ES9" s="23"/>
      <c r="ET9" s="23"/>
      <c r="EU9" s="1075"/>
      <c r="EV9" s="23"/>
      <c r="EW9" s="23"/>
      <c r="EX9" s="1075"/>
      <c r="EY9" s="23"/>
      <c r="EZ9" s="23"/>
      <c r="FA9" s="23"/>
    </row>
    <row r="10" spans="1:157" ht="13.35" customHeight="1">
      <c r="A10" s="5"/>
      <c r="B10" s="5" t="s">
        <v>693</v>
      </c>
      <c r="C10" s="5"/>
      <c r="D10" s="5"/>
      <c r="E10" s="354" t="str">
        <f t="shared" ref="E10:N11" si="0">IF(AND(E4&lt;&gt;0,E7&lt;&gt;0,E4&lt;&gt;""),((E7-E4)/E4),"")</f>
        <v/>
      </c>
      <c r="F10" s="354" t="str">
        <f t="shared" si="0"/>
        <v/>
      </c>
      <c r="G10" s="354" t="str">
        <f t="shared" si="0"/>
        <v/>
      </c>
      <c r="H10" s="354" t="str">
        <f t="shared" si="0"/>
        <v/>
      </c>
      <c r="I10" s="354" t="str">
        <f t="shared" si="0"/>
        <v/>
      </c>
      <c r="J10" s="354" t="str">
        <f t="shared" si="0"/>
        <v/>
      </c>
      <c r="K10" s="354" t="str">
        <f t="shared" si="0"/>
        <v/>
      </c>
      <c r="L10" s="354" t="str">
        <f t="shared" si="0"/>
        <v/>
      </c>
      <c r="M10" s="354" t="str">
        <f t="shared" si="0"/>
        <v/>
      </c>
      <c r="N10" s="354" t="str">
        <f t="shared" si="0"/>
        <v/>
      </c>
      <c r="O10" s="354" t="str">
        <f t="shared" ref="O10:X11" si="1">IF(AND(O4&lt;&gt;0,O7&lt;&gt;0,O4&lt;&gt;""),((O7-O4)/O4),"")</f>
        <v/>
      </c>
      <c r="P10" s="354" t="str">
        <f t="shared" si="1"/>
        <v/>
      </c>
      <c r="Q10" s="354" t="str">
        <f t="shared" si="1"/>
        <v/>
      </c>
      <c r="R10" s="354" t="str">
        <f t="shared" si="1"/>
        <v/>
      </c>
      <c r="S10" s="354" t="str">
        <f t="shared" si="1"/>
        <v/>
      </c>
      <c r="T10" s="354" t="str">
        <f t="shared" si="1"/>
        <v/>
      </c>
      <c r="U10" s="354" t="str">
        <f t="shared" si="1"/>
        <v/>
      </c>
      <c r="V10" s="354" t="str">
        <f t="shared" si="1"/>
        <v/>
      </c>
      <c r="W10" s="354" t="str">
        <f t="shared" si="1"/>
        <v/>
      </c>
      <c r="X10" s="354" t="str">
        <f t="shared" si="1"/>
        <v/>
      </c>
      <c r="Y10" s="354" t="str">
        <f t="shared" ref="Y10:AH11" si="2">IF(AND(Y4&lt;&gt;0,Y7&lt;&gt;0,Y4&lt;&gt;""),((Y7-Y4)/Y4),"")</f>
        <v/>
      </c>
      <c r="Z10" s="354" t="str">
        <f t="shared" si="2"/>
        <v/>
      </c>
      <c r="AA10" s="354" t="str">
        <f t="shared" si="2"/>
        <v/>
      </c>
      <c r="AB10" s="354" t="str">
        <f t="shared" si="2"/>
        <v/>
      </c>
      <c r="AC10" s="354" t="str">
        <f t="shared" si="2"/>
        <v/>
      </c>
      <c r="AD10" s="354" t="str">
        <f t="shared" si="2"/>
        <v/>
      </c>
      <c r="AE10" s="354" t="str">
        <f t="shared" si="2"/>
        <v/>
      </c>
      <c r="AF10" s="354" t="str">
        <f t="shared" si="2"/>
        <v/>
      </c>
      <c r="AG10" s="354" t="str">
        <f t="shared" si="2"/>
        <v/>
      </c>
      <c r="AH10" s="354" t="str">
        <f t="shared" si="2"/>
        <v/>
      </c>
      <c r="AI10" s="354" t="str">
        <f t="shared" ref="AI10:AR11" si="3">IF(AND(AI4&lt;&gt;0,AI7&lt;&gt;0,AI4&lt;&gt;""),((AI7-AI4)/AI4),"")</f>
        <v/>
      </c>
      <c r="AJ10" s="354" t="str">
        <f t="shared" si="3"/>
        <v/>
      </c>
      <c r="AK10" s="354" t="str">
        <f t="shared" si="3"/>
        <v/>
      </c>
      <c r="AL10" s="354" t="str">
        <f t="shared" si="3"/>
        <v/>
      </c>
      <c r="AM10" s="354" t="str">
        <f t="shared" si="3"/>
        <v/>
      </c>
      <c r="AN10" s="354" t="str">
        <f t="shared" si="3"/>
        <v/>
      </c>
      <c r="AO10" s="354" t="str">
        <f t="shared" si="3"/>
        <v/>
      </c>
      <c r="AP10" s="354" t="str">
        <f t="shared" si="3"/>
        <v/>
      </c>
      <c r="AQ10" s="354" t="str">
        <f t="shared" si="3"/>
        <v/>
      </c>
      <c r="AR10" s="354" t="str">
        <f t="shared" si="3"/>
        <v/>
      </c>
      <c r="AS10" s="354" t="str">
        <f t="shared" ref="AS10:BB11" si="4">IF(AND(AS4&lt;&gt;0,AS7&lt;&gt;0,AS4&lt;&gt;""),((AS7-AS4)/AS4),"")</f>
        <v/>
      </c>
      <c r="AT10" s="354" t="str">
        <f t="shared" si="4"/>
        <v/>
      </c>
      <c r="AU10" s="354" t="str">
        <f t="shared" si="4"/>
        <v/>
      </c>
      <c r="AV10" s="354" t="str">
        <f t="shared" si="4"/>
        <v/>
      </c>
      <c r="AW10" s="354" t="str">
        <f t="shared" si="4"/>
        <v/>
      </c>
      <c r="AX10" s="354" t="str">
        <f t="shared" si="4"/>
        <v/>
      </c>
      <c r="AY10" s="354" t="str">
        <f t="shared" si="4"/>
        <v/>
      </c>
      <c r="AZ10" s="354" t="str">
        <f t="shared" si="4"/>
        <v/>
      </c>
      <c r="BA10" s="354" t="str">
        <f t="shared" si="4"/>
        <v/>
      </c>
      <c r="BB10" s="354" t="str">
        <f t="shared" si="4"/>
        <v/>
      </c>
      <c r="BC10" s="354" t="str">
        <f t="shared" ref="BC10:BO11" si="5">IF(AND(BC4&lt;&gt;0,BC7&lt;&gt;0,BC4&lt;&gt;""),((BC7-BC4)/BC4),"")</f>
        <v/>
      </c>
      <c r="BD10" s="354" t="str">
        <f t="shared" si="5"/>
        <v/>
      </c>
      <c r="BE10" s="354" t="str">
        <f t="shared" si="5"/>
        <v/>
      </c>
      <c r="BF10" s="354" t="str">
        <f t="shared" si="5"/>
        <v/>
      </c>
      <c r="BG10" s="354" t="str">
        <f t="shared" si="5"/>
        <v/>
      </c>
      <c r="BH10" s="354" t="str">
        <f t="shared" si="5"/>
        <v/>
      </c>
      <c r="BI10" s="354" t="str">
        <f t="shared" si="5"/>
        <v/>
      </c>
      <c r="BJ10" s="354" t="str">
        <f t="shared" si="5"/>
        <v/>
      </c>
      <c r="BK10" s="354" t="str">
        <f t="shared" si="5"/>
        <v/>
      </c>
      <c r="BL10" s="354" t="str">
        <f t="shared" si="5"/>
        <v/>
      </c>
      <c r="BM10" s="354" t="str">
        <f t="shared" si="5"/>
        <v/>
      </c>
      <c r="BN10" s="354" t="str">
        <f t="shared" si="5"/>
        <v/>
      </c>
      <c r="BO10" s="354" t="str">
        <f t="shared" si="5"/>
        <v/>
      </c>
      <c r="BP10" s="354" t="str">
        <f t="shared" ref="BP10:DK10" si="6">IF(AND(BP4&lt;&gt;0,BP7&lt;&gt;0,BP4&lt;&gt;""),((BP7-BP4)/BP4),"")</f>
        <v/>
      </c>
      <c r="BQ10" s="354" t="str">
        <f t="shared" si="6"/>
        <v/>
      </c>
      <c r="BR10" s="354" t="str">
        <f t="shared" si="6"/>
        <v/>
      </c>
      <c r="BS10" s="354" t="str">
        <f t="shared" si="6"/>
        <v/>
      </c>
      <c r="BT10" s="354" t="str">
        <f t="shared" si="6"/>
        <v/>
      </c>
      <c r="BU10" s="354" t="str">
        <f t="shared" si="6"/>
        <v/>
      </c>
      <c r="BV10" s="354" t="str">
        <f t="shared" si="6"/>
        <v/>
      </c>
      <c r="BW10" s="354" t="str">
        <f t="shared" si="6"/>
        <v/>
      </c>
      <c r="BX10" s="354" t="str">
        <f t="shared" si="6"/>
        <v/>
      </c>
      <c r="BY10" s="354" t="str">
        <f t="shared" si="6"/>
        <v/>
      </c>
      <c r="BZ10" s="354" t="str">
        <f t="shared" si="6"/>
        <v/>
      </c>
      <c r="CA10" s="354" t="str">
        <f t="shared" si="6"/>
        <v/>
      </c>
      <c r="CB10" s="354" t="str">
        <f t="shared" si="6"/>
        <v/>
      </c>
      <c r="CC10" s="354" t="str">
        <f t="shared" si="6"/>
        <v/>
      </c>
      <c r="CD10" s="354" t="str">
        <f t="shared" si="6"/>
        <v/>
      </c>
      <c r="CE10" s="354" t="str">
        <f t="shared" si="6"/>
        <v/>
      </c>
      <c r="CF10" s="354" t="str">
        <f t="shared" si="6"/>
        <v/>
      </c>
      <c r="CG10" s="354" t="str">
        <f t="shared" si="6"/>
        <v/>
      </c>
      <c r="CH10" s="354" t="str">
        <f t="shared" si="6"/>
        <v/>
      </c>
      <c r="CI10" s="354" t="str">
        <f t="shared" si="6"/>
        <v/>
      </c>
      <c r="CJ10" s="354" t="str">
        <f t="shared" si="6"/>
        <v/>
      </c>
      <c r="CK10" s="354" t="str">
        <f t="shared" si="6"/>
        <v/>
      </c>
      <c r="CL10" s="354" t="str">
        <f t="shared" si="6"/>
        <v/>
      </c>
      <c r="CM10" s="354" t="str">
        <f t="shared" si="6"/>
        <v/>
      </c>
      <c r="CN10" s="354" t="str">
        <f t="shared" si="6"/>
        <v/>
      </c>
      <c r="CO10" s="354" t="str">
        <f t="shared" si="6"/>
        <v/>
      </c>
      <c r="CP10" s="354" t="str">
        <f t="shared" si="6"/>
        <v/>
      </c>
      <c r="CQ10" s="354" t="str">
        <f t="shared" si="6"/>
        <v/>
      </c>
      <c r="CR10" s="354" t="str">
        <f t="shared" si="6"/>
        <v/>
      </c>
      <c r="CS10" s="354" t="str">
        <f t="shared" si="6"/>
        <v/>
      </c>
      <c r="CT10" s="354" t="str">
        <f t="shared" si="6"/>
        <v/>
      </c>
      <c r="CU10" s="354" t="str">
        <f t="shared" si="6"/>
        <v/>
      </c>
      <c r="CV10" s="354" t="str">
        <f t="shared" si="6"/>
        <v/>
      </c>
      <c r="CW10" s="354" t="str">
        <f t="shared" si="6"/>
        <v/>
      </c>
      <c r="CX10" s="354" t="str">
        <f t="shared" si="6"/>
        <v/>
      </c>
      <c r="CY10" s="354" t="str">
        <f t="shared" si="6"/>
        <v/>
      </c>
      <c r="CZ10" s="354" t="str">
        <f t="shared" si="6"/>
        <v/>
      </c>
      <c r="DA10" s="354" t="str">
        <f t="shared" si="6"/>
        <v/>
      </c>
      <c r="DB10" s="354" t="str">
        <f t="shared" si="6"/>
        <v/>
      </c>
      <c r="DC10" s="354" t="str">
        <f t="shared" si="6"/>
        <v/>
      </c>
      <c r="DD10" s="354" t="str">
        <f t="shared" si="6"/>
        <v/>
      </c>
      <c r="DE10" s="354" t="str">
        <f t="shared" si="6"/>
        <v/>
      </c>
      <c r="DF10" s="354" t="str">
        <f t="shared" si="6"/>
        <v/>
      </c>
      <c r="DG10" s="354" t="str">
        <f t="shared" si="6"/>
        <v/>
      </c>
      <c r="DH10" s="354" t="str">
        <f t="shared" si="6"/>
        <v/>
      </c>
      <c r="DI10" s="354" t="str">
        <f t="shared" si="6"/>
        <v/>
      </c>
      <c r="DJ10" s="354" t="str">
        <f t="shared" si="6"/>
        <v/>
      </c>
      <c r="DK10" s="1203" t="str">
        <f t="shared" si="6"/>
        <v/>
      </c>
      <c r="DL10" s="354" t="str">
        <f t="shared" ref="DL10:DQ11" si="7">IF(AND(DL4&lt;&gt;0,DL7&lt;&gt;0,DL4&lt;&gt;""),((DL7-DL4)/DL4),"")</f>
        <v/>
      </c>
      <c r="DM10" s="354" t="str">
        <f t="shared" si="7"/>
        <v/>
      </c>
      <c r="DN10" s="1203" t="str">
        <f t="shared" si="7"/>
        <v/>
      </c>
      <c r="DO10" s="354" t="str">
        <f t="shared" si="7"/>
        <v/>
      </c>
      <c r="DP10" s="354" t="str">
        <f t="shared" si="7"/>
        <v/>
      </c>
      <c r="DQ10" s="1203" t="str">
        <f t="shared" si="7"/>
        <v/>
      </c>
      <c r="DR10" s="354" t="str">
        <f t="shared" ref="DR10:DW10" si="8">IF(AND(DR4&lt;&gt;0,DR7&lt;&gt;0,DR4&lt;&gt;""),((DR7-DR4)/DR4),"")</f>
        <v/>
      </c>
      <c r="DS10" s="354" t="str">
        <f t="shared" si="8"/>
        <v/>
      </c>
      <c r="DT10" s="1203" t="str">
        <f t="shared" si="8"/>
        <v/>
      </c>
      <c r="DU10" s="354" t="str">
        <f t="shared" si="8"/>
        <v/>
      </c>
      <c r="DV10" s="354" t="str">
        <f t="shared" si="8"/>
        <v/>
      </c>
      <c r="DW10" s="1203" t="str">
        <f t="shared" si="8"/>
        <v/>
      </c>
      <c r="DX10" s="354" t="str">
        <f t="shared" ref="DX10:EF10" si="9">IF(AND(DX4&lt;&gt;0,DX7&lt;&gt;0,DX4&lt;&gt;""),((DX7-DX4)/DX4),"")</f>
        <v/>
      </c>
      <c r="DY10" s="354" t="str">
        <f t="shared" si="9"/>
        <v/>
      </c>
      <c r="DZ10" s="1203" t="str">
        <f t="shared" si="9"/>
        <v/>
      </c>
      <c r="EA10" s="354" t="str">
        <f t="shared" si="9"/>
        <v/>
      </c>
      <c r="EB10" s="354" t="str">
        <f t="shared" si="9"/>
        <v/>
      </c>
      <c r="EC10" s="1203" t="str">
        <f t="shared" si="9"/>
        <v/>
      </c>
      <c r="ED10" s="354" t="str">
        <f t="shared" si="9"/>
        <v/>
      </c>
      <c r="EE10" s="354" t="str">
        <f t="shared" si="9"/>
        <v/>
      </c>
      <c r="EF10" s="1203" t="str">
        <f t="shared" si="9"/>
        <v/>
      </c>
      <c r="EG10" s="354" t="str">
        <f t="shared" ref="EG10:EL10" si="10">IF(AND(EG4&lt;&gt;0,EG7&lt;&gt;0,EG4&lt;&gt;""),((EG7-EG4)/EG4),"")</f>
        <v/>
      </c>
      <c r="EH10" s="354" t="str">
        <f t="shared" si="10"/>
        <v/>
      </c>
      <c r="EI10" s="1203" t="str">
        <f t="shared" si="10"/>
        <v/>
      </c>
      <c r="EJ10" s="354" t="str">
        <f t="shared" si="10"/>
        <v/>
      </c>
      <c r="EK10" s="354" t="str">
        <f t="shared" si="10"/>
        <v/>
      </c>
      <c r="EL10" s="1203" t="str">
        <f t="shared" si="10"/>
        <v/>
      </c>
      <c r="EM10" s="354" t="str">
        <f t="shared" ref="EM10:ER10" si="11">IF(AND(EM4&lt;&gt;0,EM7&lt;&gt;0,EM4&lt;&gt;""),((EM7-EM4)/EM4),"")</f>
        <v/>
      </c>
      <c r="EN10" s="354" t="str">
        <f t="shared" si="11"/>
        <v/>
      </c>
      <c r="EO10" s="1203" t="str">
        <f t="shared" si="11"/>
        <v/>
      </c>
      <c r="EP10" s="354" t="str">
        <f t="shared" si="11"/>
        <v/>
      </c>
      <c r="EQ10" s="354" t="str">
        <f t="shared" si="11"/>
        <v/>
      </c>
      <c r="ER10" s="1203" t="str">
        <f t="shared" si="11"/>
        <v/>
      </c>
      <c r="ES10" s="354" t="str">
        <f t="shared" ref="ES10:EX10" si="12">IF(AND(ES4&lt;&gt;0,ES7&lt;&gt;0,ES4&lt;&gt;""),((ES7-ES4)/ES4),"")</f>
        <v/>
      </c>
      <c r="ET10" s="354" t="str">
        <f t="shared" si="12"/>
        <v/>
      </c>
      <c r="EU10" s="1203" t="str">
        <f t="shared" si="12"/>
        <v/>
      </c>
      <c r="EV10" s="354" t="str">
        <f t="shared" si="12"/>
        <v/>
      </c>
      <c r="EW10" s="354" t="str">
        <f t="shared" si="12"/>
        <v/>
      </c>
      <c r="EX10" s="1203" t="str">
        <f t="shared" si="12"/>
        <v/>
      </c>
      <c r="EY10" s="354" t="str">
        <f t="shared" ref="EY10:FA10" si="13">IF(AND(EY4&lt;&gt;0,EY7&lt;&gt;0,EY4&lt;&gt;""),((EY7-EY4)/EY4),"")</f>
        <v/>
      </c>
      <c r="EZ10" s="354" t="str">
        <f t="shared" si="13"/>
        <v/>
      </c>
      <c r="FA10" s="354" t="str">
        <f t="shared" si="13"/>
        <v/>
      </c>
    </row>
    <row r="11" spans="1:157" ht="13.35" customHeight="1">
      <c r="A11" s="5"/>
      <c r="B11" s="5" t="s">
        <v>168</v>
      </c>
      <c r="C11" s="5"/>
      <c r="D11" s="5"/>
      <c r="E11" s="355" t="str">
        <f t="shared" si="0"/>
        <v/>
      </c>
      <c r="F11" s="355" t="str">
        <f t="shared" si="0"/>
        <v/>
      </c>
      <c r="G11" s="355" t="str">
        <f t="shared" si="0"/>
        <v/>
      </c>
      <c r="H11" s="355" t="str">
        <f t="shared" si="0"/>
        <v/>
      </c>
      <c r="I11" s="355" t="str">
        <f t="shared" si="0"/>
        <v/>
      </c>
      <c r="J11" s="355" t="str">
        <f t="shared" si="0"/>
        <v/>
      </c>
      <c r="K11" s="355" t="str">
        <f t="shared" si="0"/>
        <v/>
      </c>
      <c r="L11" s="355" t="str">
        <f t="shared" si="0"/>
        <v/>
      </c>
      <c r="M11" s="355" t="str">
        <f t="shared" si="0"/>
        <v/>
      </c>
      <c r="N11" s="355" t="str">
        <f t="shared" si="0"/>
        <v/>
      </c>
      <c r="O11" s="355" t="str">
        <f t="shared" si="1"/>
        <v/>
      </c>
      <c r="P11" s="355" t="str">
        <f t="shared" si="1"/>
        <v/>
      </c>
      <c r="Q11" s="355" t="str">
        <f t="shared" si="1"/>
        <v/>
      </c>
      <c r="R11" s="355" t="str">
        <f t="shared" si="1"/>
        <v/>
      </c>
      <c r="S11" s="355" t="str">
        <f t="shared" si="1"/>
        <v/>
      </c>
      <c r="T11" s="355" t="str">
        <f t="shared" si="1"/>
        <v/>
      </c>
      <c r="U11" s="355" t="str">
        <f t="shared" si="1"/>
        <v/>
      </c>
      <c r="V11" s="355" t="str">
        <f t="shared" si="1"/>
        <v/>
      </c>
      <c r="W11" s="355" t="str">
        <f t="shared" si="1"/>
        <v/>
      </c>
      <c r="X11" s="355" t="str">
        <f t="shared" si="1"/>
        <v/>
      </c>
      <c r="Y11" s="355" t="str">
        <f t="shared" si="2"/>
        <v/>
      </c>
      <c r="Z11" s="355" t="str">
        <f t="shared" si="2"/>
        <v/>
      </c>
      <c r="AA11" s="355" t="str">
        <f t="shared" si="2"/>
        <v/>
      </c>
      <c r="AB11" s="355" t="str">
        <f t="shared" si="2"/>
        <v/>
      </c>
      <c r="AC11" s="355" t="str">
        <f t="shared" si="2"/>
        <v/>
      </c>
      <c r="AD11" s="355" t="str">
        <f t="shared" si="2"/>
        <v/>
      </c>
      <c r="AE11" s="355" t="str">
        <f t="shared" si="2"/>
        <v/>
      </c>
      <c r="AF11" s="355" t="str">
        <f t="shared" si="2"/>
        <v/>
      </c>
      <c r="AG11" s="355" t="str">
        <f t="shared" si="2"/>
        <v/>
      </c>
      <c r="AH11" s="355" t="str">
        <f t="shared" si="2"/>
        <v/>
      </c>
      <c r="AI11" s="355" t="str">
        <f t="shared" si="3"/>
        <v/>
      </c>
      <c r="AJ11" s="355" t="str">
        <f t="shared" si="3"/>
        <v/>
      </c>
      <c r="AK11" s="355" t="str">
        <f t="shared" si="3"/>
        <v/>
      </c>
      <c r="AL11" s="355" t="str">
        <f t="shared" si="3"/>
        <v/>
      </c>
      <c r="AM11" s="355" t="str">
        <f t="shared" si="3"/>
        <v/>
      </c>
      <c r="AN11" s="355" t="str">
        <f t="shared" si="3"/>
        <v/>
      </c>
      <c r="AO11" s="355" t="str">
        <f t="shared" si="3"/>
        <v/>
      </c>
      <c r="AP11" s="355" t="str">
        <f t="shared" si="3"/>
        <v/>
      </c>
      <c r="AQ11" s="355" t="str">
        <f t="shared" si="3"/>
        <v/>
      </c>
      <c r="AR11" s="355" t="str">
        <f t="shared" si="3"/>
        <v/>
      </c>
      <c r="AS11" s="355" t="str">
        <f t="shared" si="4"/>
        <v/>
      </c>
      <c r="AT11" s="355" t="str">
        <f t="shared" si="4"/>
        <v/>
      </c>
      <c r="AU11" s="355" t="str">
        <f t="shared" si="4"/>
        <v/>
      </c>
      <c r="AV11" s="355" t="str">
        <f t="shared" si="4"/>
        <v/>
      </c>
      <c r="AW11" s="355" t="str">
        <f t="shared" si="4"/>
        <v/>
      </c>
      <c r="AX11" s="355" t="str">
        <f t="shared" si="4"/>
        <v/>
      </c>
      <c r="AY11" s="355" t="str">
        <f t="shared" si="4"/>
        <v/>
      </c>
      <c r="AZ11" s="355" t="str">
        <f t="shared" si="4"/>
        <v/>
      </c>
      <c r="BA11" s="355" t="str">
        <f t="shared" si="4"/>
        <v/>
      </c>
      <c r="BB11" s="355" t="str">
        <f t="shared" si="4"/>
        <v/>
      </c>
      <c r="BC11" s="355" t="str">
        <f t="shared" si="5"/>
        <v/>
      </c>
      <c r="BD11" s="355" t="str">
        <f t="shared" si="5"/>
        <v/>
      </c>
      <c r="BE11" s="355" t="str">
        <f t="shared" si="5"/>
        <v/>
      </c>
      <c r="BF11" s="355" t="str">
        <f t="shared" si="5"/>
        <v/>
      </c>
      <c r="BG11" s="355" t="str">
        <f t="shared" si="5"/>
        <v/>
      </c>
      <c r="BH11" s="355" t="str">
        <f t="shared" si="5"/>
        <v/>
      </c>
      <c r="BI11" s="355" t="str">
        <f t="shared" si="5"/>
        <v/>
      </c>
      <c r="BJ11" s="355" t="str">
        <f t="shared" si="5"/>
        <v/>
      </c>
      <c r="BK11" s="355" t="str">
        <f t="shared" si="5"/>
        <v/>
      </c>
      <c r="BL11" s="355" t="str">
        <f t="shared" si="5"/>
        <v/>
      </c>
      <c r="BM11" s="355" t="str">
        <f t="shared" si="5"/>
        <v/>
      </c>
      <c r="BN11" s="355" t="str">
        <f t="shared" si="5"/>
        <v/>
      </c>
      <c r="BO11" s="355" t="str">
        <f t="shared" si="5"/>
        <v/>
      </c>
      <c r="BP11" s="355" t="str">
        <f t="shared" ref="BP11:DK11" si="14">IF(AND(BP5&lt;&gt;0,BP8&lt;&gt;0,BP5&lt;&gt;""),((BP8-BP5)/BP5),"")</f>
        <v/>
      </c>
      <c r="BQ11" s="355" t="str">
        <f t="shared" si="14"/>
        <v/>
      </c>
      <c r="BR11" s="355" t="str">
        <f t="shared" si="14"/>
        <v/>
      </c>
      <c r="BS11" s="355" t="str">
        <f t="shared" si="14"/>
        <v/>
      </c>
      <c r="BT11" s="355" t="str">
        <f t="shared" si="14"/>
        <v/>
      </c>
      <c r="BU11" s="355" t="str">
        <f t="shared" si="14"/>
        <v/>
      </c>
      <c r="BV11" s="355" t="str">
        <f t="shared" si="14"/>
        <v/>
      </c>
      <c r="BW11" s="355" t="str">
        <f t="shared" si="14"/>
        <v/>
      </c>
      <c r="BX11" s="355" t="str">
        <f t="shared" si="14"/>
        <v/>
      </c>
      <c r="BY11" s="355" t="str">
        <f t="shared" si="14"/>
        <v/>
      </c>
      <c r="BZ11" s="355" t="str">
        <f t="shared" si="14"/>
        <v/>
      </c>
      <c r="CA11" s="355" t="str">
        <f t="shared" si="14"/>
        <v/>
      </c>
      <c r="CB11" s="355" t="str">
        <f t="shared" si="14"/>
        <v/>
      </c>
      <c r="CC11" s="355" t="str">
        <f t="shared" si="14"/>
        <v/>
      </c>
      <c r="CD11" s="355" t="str">
        <f t="shared" si="14"/>
        <v/>
      </c>
      <c r="CE11" s="355" t="str">
        <f t="shared" si="14"/>
        <v/>
      </c>
      <c r="CF11" s="355" t="str">
        <f t="shared" si="14"/>
        <v/>
      </c>
      <c r="CG11" s="355" t="str">
        <f t="shared" si="14"/>
        <v/>
      </c>
      <c r="CH11" s="355" t="str">
        <f t="shared" si="14"/>
        <v/>
      </c>
      <c r="CI11" s="355" t="str">
        <f t="shared" si="14"/>
        <v/>
      </c>
      <c r="CJ11" s="355" t="str">
        <f t="shared" si="14"/>
        <v/>
      </c>
      <c r="CK11" s="355" t="str">
        <f t="shared" si="14"/>
        <v/>
      </c>
      <c r="CL11" s="355" t="str">
        <f t="shared" si="14"/>
        <v/>
      </c>
      <c r="CM11" s="355" t="str">
        <f t="shared" si="14"/>
        <v/>
      </c>
      <c r="CN11" s="355" t="str">
        <f t="shared" si="14"/>
        <v/>
      </c>
      <c r="CO11" s="355" t="str">
        <f t="shared" si="14"/>
        <v/>
      </c>
      <c r="CP11" s="355" t="str">
        <f t="shared" si="14"/>
        <v/>
      </c>
      <c r="CQ11" s="355" t="str">
        <f t="shared" si="14"/>
        <v/>
      </c>
      <c r="CR11" s="355" t="str">
        <f t="shared" si="14"/>
        <v/>
      </c>
      <c r="CS11" s="355" t="str">
        <f t="shared" si="14"/>
        <v/>
      </c>
      <c r="CT11" s="355" t="str">
        <f t="shared" si="14"/>
        <v/>
      </c>
      <c r="CU11" s="355" t="str">
        <f t="shared" si="14"/>
        <v/>
      </c>
      <c r="CV11" s="355" t="str">
        <f t="shared" si="14"/>
        <v/>
      </c>
      <c r="CW11" s="355" t="str">
        <f t="shared" si="14"/>
        <v/>
      </c>
      <c r="CX11" s="355" t="str">
        <f t="shared" si="14"/>
        <v/>
      </c>
      <c r="CY11" s="355" t="str">
        <f t="shared" si="14"/>
        <v/>
      </c>
      <c r="CZ11" s="355" t="str">
        <f t="shared" si="14"/>
        <v/>
      </c>
      <c r="DA11" s="355" t="str">
        <f t="shared" si="14"/>
        <v/>
      </c>
      <c r="DB11" s="355" t="str">
        <f t="shared" si="14"/>
        <v/>
      </c>
      <c r="DC11" s="355" t="str">
        <f t="shared" si="14"/>
        <v/>
      </c>
      <c r="DD11" s="355" t="str">
        <f t="shared" si="14"/>
        <v/>
      </c>
      <c r="DE11" s="355" t="str">
        <f t="shared" si="14"/>
        <v/>
      </c>
      <c r="DF11" s="355" t="str">
        <f t="shared" si="14"/>
        <v/>
      </c>
      <c r="DG11" s="355" t="str">
        <f t="shared" si="14"/>
        <v/>
      </c>
      <c r="DH11" s="355" t="str">
        <f t="shared" si="14"/>
        <v/>
      </c>
      <c r="DI11" s="355" t="str">
        <f t="shared" si="14"/>
        <v/>
      </c>
      <c r="DJ11" s="355" t="str">
        <f t="shared" si="14"/>
        <v/>
      </c>
      <c r="DK11" s="1204" t="str">
        <f t="shared" si="14"/>
        <v/>
      </c>
      <c r="DL11" s="355" t="str">
        <f t="shared" si="7"/>
        <v/>
      </c>
      <c r="DM11" s="355" t="str">
        <f t="shared" si="7"/>
        <v/>
      </c>
      <c r="DN11" s="1204" t="str">
        <f t="shared" si="7"/>
        <v/>
      </c>
      <c r="DO11" s="355" t="str">
        <f t="shared" si="7"/>
        <v/>
      </c>
      <c r="DP11" s="355" t="str">
        <f t="shared" si="7"/>
        <v/>
      </c>
      <c r="DQ11" s="1204" t="str">
        <f t="shared" si="7"/>
        <v/>
      </c>
      <c r="DR11" s="355" t="str">
        <f t="shared" ref="DR11:DW11" si="15">IF(AND(DR5&lt;&gt;0,DR8&lt;&gt;0,DR5&lt;&gt;""),((DR8-DR5)/DR5),"")</f>
        <v/>
      </c>
      <c r="DS11" s="355" t="str">
        <f t="shared" si="15"/>
        <v/>
      </c>
      <c r="DT11" s="1204" t="str">
        <f t="shared" si="15"/>
        <v/>
      </c>
      <c r="DU11" s="355" t="str">
        <f t="shared" si="15"/>
        <v/>
      </c>
      <c r="DV11" s="355" t="str">
        <f t="shared" si="15"/>
        <v/>
      </c>
      <c r="DW11" s="1204" t="str">
        <f t="shared" si="15"/>
        <v/>
      </c>
      <c r="DX11" s="355" t="str">
        <f t="shared" ref="DX11:EF11" si="16">IF(AND(DX5&lt;&gt;0,DX8&lt;&gt;0,DX5&lt;&gt;""),((DX8-DX5)/DX5),"")</f>
        <v/>
      </c>
      <c r="DY11" s="355" t="str">
        <f t="shared" si="16"/>
        <v/>
      </c>
      <c r="DZ11" s="1204" t="str">
        <f t="shared" si="16"/>
        <v/>
      </c>
      <c r="EA11" s="355" t="str">
        <f t="shared" si="16"/>
        <v/>
      </c>
      <c r="EB11" s="355" t="str">
        <f t="shared" si="16"/>
        <v/>
      </c>
      <c r="EC11" s="1204" t="str">
        <f t="shared" si="16"/>
        <v/>
      </c>
      <c r="ED11" s="355" t="str">
        <f t="shared" si="16"/>
        <v/>
      </c>
      <c r="EE11" s="355" t="str">
        <f t="shared" si="16"/>
        <v/>
      </c>
      <c r="EF11" s="1204" t="str">
        <f t="shared" si="16"/>
        <v/>
      </c>
      <c r="EG11" s="355" t="str">
        <f t="shared" ref="EG11:EL11" si="17">IF(AND(EG5&lt;&gt;0,EG8&lt;&gt;0,EG5&lt;&gt;""),((EG8-EG5)/EG5),"")</f>
        <v/>
      </c>
      <c r="EH11" s="355" t="str">
        <f t="shared" si="17"/>
        <v/>
      </c>
      <c r="EI11" s="1204" t="str">
        <f t="shared" si="17"/>
        <v/>
      </c>
      <c r="EJ11" s="355" t="str">
        <f t="shared" si="17"/>
        <v/>
      </c>
      <c r="EK11" s="355" t="str">
        <f t="shared" si="17"/>
        <v/>
      </c>
      <c r="EL11" s="1204" t="str">
        <f t="shared" si="17"/>
        <v/>
      </c>
      <c r="EM11" s="355" t="str">
        <f t="shared" ref="EM11:ER11" si="18">IF(AND(EM5&lt;&gt;0,EM8&lt;&gt;0,EM5&lt;&gt;""),((EM8-EM5)/EM5),"")</f>
        <v/>
      </c>
      <c r="EN11" s="355" t="str">
        <f t="shared" si="18"/>
        <v/>
      </c>
      <c r="EO11" s="1204" t="str">
        <f t="shared" si="18"/>
        <v/>
      </c>
      <c r="EP11" s="355" t="str">
        <f t="shared" si="18"/>
        <v/>
      </c>
      <c r="EQ11" s="355" t="str">
        <f t="shared" si="18"/>
        <v/>
      </c>
      <c r="ER11" s="1204" t="str">
        <f t="shared" si="18"/>
        <v/>
      </c>
      <c r="ES11" s="355" t="str">
        <f t="shared" ref="ES11:EX11" si="19">IF(AND(ES5&lt;&gt;0,ES8&lt;&gt;0,ES5&lt;&gt;""),((ES8-ES5)/ES5),"")</f>
        <v/>
      </c>
      <c r="ET11" s="355" t="str">
        <f t="shared" si="19"/>
        <v/>
      </c>
      <c r="EU11" s="1204" t="str">
        <f t="shared" si="19"/>
        <v/>
      </c>
      <c r="EV11" s="355" t="str">
        <f t="shared" si="19"/>
        <v/>
      </c>
      <c r="EW11" s="355" t="str">
        <f t="shared" si="19"/>
        <v/>
      </c>
      <c r="EX11" s="1204" t="str">
        <f t="shared" si="19"/>
        <v/>
      </c>
      <c r="EY11" s="355" t="str">
        <f t="shared" ref="EY11:FA11" si="20">IF(AND(EY5&lt;&gt;0,EY8&lt;&gt;0,EY5&lt;&gt;""),((EY8-EY5)/EY5),"")</f>
        <v/>
      </c>
      <c r="EZ11" s="355" t="str">
        <f t="shared" si="20"/>
        <v/>
      </c>
      <c r="FA11" s="355" t="str">
        <f t="shared" si="20"/>
        <v/>
      </c>
    </row>
    <row r="12" spans="1:157" ht="13.35" customHeight="1">
      <c r="A12" s="186"/>
      <c r="B12" s="46"/>
      <c r="C12" s="46"/>
      <c r="D12" s="186"/>
      <c r="E12" s="13"/>
      <c r="F12" s="13"/>
      <c r="G12" s="356"/>
      <c r="H12" s="13"/>
      <c r="I12" s="13"/>
      <c r="J12" s="356"/>
      <c r="K12" s="13"/>
      <c r="L12" s="13"/>
      <c r="M12" s="356"/>
      <c r="N12" s="13"/>
      <c r="O12" s="13"/>
      <c r="P12" s="356"/>
      <c r="Q12" s="13"/>
      <c r="R12" s="13"/>
      <c r="S12" s="356"/>
      <c r="T12" s="13"/>
      <c r="U12" s="13"/>
      <c r="V12" s="356"/>
      <c r="W12" s="13"/>
      <c r="X12" s="13"/>
      <c r="Y12" s="356"/>
      <c r="Z12" s="13"/>
      <c r="AA12" s="13"/>
      <c r="AB12" s="356"/>
      <c r="AC12" s="13"/>
      <c r="AD12" s="13"/>
      <c r="AE12" s="356"/>
      <c r="AF12" s="13"/>
      <c r="AG12" s="13"/>
      <c r="AH12" s="356"/>
      <c r="AI12" s="13"/>
      <c r="AJ12" s="13"/>
      <c r="AK12" s="356"/>
      <c r="AL12" s="13"/>
      <c r="AM12" s="13"/>
      <c r="AN12" s="356"/>
      <c r="AO12" s="13"/>
      <c r="AP12" s="13"/>
      <c r="AQ12" s="356"/>
      <c r="AR12" s="326"/>
      <c r="AS12" s="326"/>
      <c r="AT12" s="357"/>
      <c r="AU12" s="326"/>
      <c r="AV12" s="326"/>
      <c r="AW12" s="357"/>
      <c r="AX12" s="326"/>
      <c r="AY12" s="326"/>
      <c r="AZ12" s="357"/>
      <c r="BA12" s="326"/>
      <c r="BB12" s="326"/>
      <c r="BC12" s="357"/>
      <c r="BD12" s="326"/>
      <c r="BE12" s="326"/>
      <c r="BF12" s="357"/>
      <c r="BG12" s="326"/>
      <c r="BH12" s="326"/>
      <c r="BI12" s="357"/>
      <c r="BJ12" s="326"/>
      <c r="BK12" s="326"/>
      <c r="BL12" s="357"/>
      <c r="BM12" s="326"/>
      <c r="BN12" s="326"/>
      <c r="BO12" s="357"/>
      <c r="BP12" s="326"/>
      <c r="BQ12" s="326"/>
      <c r="BR12" s="357"/>
      <c r="BS12" s="326"/>
      <c r="BT12" s="326"/>
      <c r="BU12" s="357"/>
      <c r="BV12" s="326"/>
      <c r="BW12" s="326"/>
      <c r="BX12" s="357"/>
      <c r="BY12" s="326"/>
      <c r="BZ12" s="326"/>
      <c r="CA12" s="357"/>
      <c r="CB12" s="326"/>
      <c r="CC12" s="326"/>
      <c r="CD12" s="357"/>
      <c r="CE12" s="326"/>
      <c r="CF12" s="326"/>
      <c r="CG12" s="357"/>
      <c r="CH12" s="326"/>
      <c r="CI12" s="326"/>
      <c r="CJ12" s="357"/>
      <c r="CK12" s="326"/>
      <c r="CL12" s="326"/>
      <c r="CM12" s="357"/>
      <c r="CN12" s="326"/>
      <c r="CO12" s="326"/>
      <c r="CP12" s="357"/>
      <c r="CQ12" s="326"/>
      <c r="CR12" s="326"/>
      <c r="CS12" s="357"/>
      <c r="CT12" s="326"/>
      <c r="CU12" s="326"/>
      <c r="CV12" s="357"/>
      <c r="CW12" s="326"/>
      <c r="CX12" s="326"/>
      <c r="CY12" s="357"/>
      <c r="CZ12" s="326"/>
      <c r="DA12" s="326"/>
      <c r="DB12" s="357"/>
      <c r="DC12" s="326"/>
      <c r="DD12" s="326"/>
      <c r="DE12" s="357"/>
      <c r="DF12" s="326"/>
      <c r="DG12" s="326"/>
      <c r="DH12" s="357"/>
      <c r="DI12" s="326"/>
      <c r="DJ12" s="326"/>
      <c r="DK12" s="1205"/>
      <c r="DL12" s="326"/>
      <c r="DM12" s="326"/>
      <c r="DN12" s="1205"/>
      <c r="DO12" s="326"/>
      <c r="DP12" s="326"/>
      <c r="DQ12" s="1205"/>
      <c r="DR12" s="326"/>
      <c r="DS12" s="326"/>
      <c r="DT12" s="1205"/>
      <c r="DU12" s="326"/>
      <c r="DV12" s="326"/>
      <c r="DW12" s="1205"/>
      <c r="DX12" s="326"/>
      <c r="DY12" s="326"/>
      <c r="DZ12" s="1205"/>
      <c r="EA12" s="326"/>
      <c r="EB12" s="326"/>
      <c r="EC12" s="1205"/>
      <c r="ED12" s="326"/>
      <c r="EE12" s="326"/>
      <c r="EF12" s="1205"/>
      <c r="EG12" s="326"/>
      <c r="EH12" s="326"/>
      <c r="EI12" s="1205"/>
      <c r="EJ12" s="326"/>
      <c r="EK12" s="326"/>
      <c r="EL12" s="1205"/>
      <c r="EM12" s="326"/>
      <c r="EN12" s="326"/>
      <c r="EO12" s="1205"/>
      <c r="EP12" s="326"/>
      <c r="EQ12" s="326"/>
      <c r="ER12" s="1205"/>
      <c r="ES12" s="326"/>
      <c r="ET12" s="326"/>
      <c r="EU12" s="1205"/>
      <c r="EV12" s="326"/>
      <c r="EW12" s="326"/>
      <c r="EX12" s="1205"/>
      <c r="EY12" s="326"/>
      <c r="EZ12" s="326"/>
      <c r="FA12" s="357"/>
    </row>
    <row r="13" spans="1:157" ht="16.5" customHeight="1">
      <c r="A13" s="350"/>
      <c r="B13" s="350" t="s">
        <v>764</v>
      </c>
      <c r="C13" s="351"/>
      <c r="D13" s="352">
        <f>+$D$2</f>
        <v>0</v>
      </c>
      <c r="E13" s="352" t="str">
        <f>+$E$2</f>
        <v>1h85</v>
      </c>
      <c r="F13" s="352" t="str">
        <f>+$F$2</f>
        <v>2h85</v>
      </c>
      <c r="G13" s="352" t="str">
        <f>+$G$2</f>
        <v>1985</v>
      </c>
      <c r="H13" s="352" t="str">
        <f>+$H$2</f>
        <v>1h86</v>
      </c>
      <c r="I13" s="352" t="str">
        <f>+$I$2</f>
        <v>2h86</v>
      </c>
      <c r="J13" s="352" t="str">
        <f>+$J$2</f>
        <v>1986</v>
      </c>
      <c r="K13" s="352" t="str">
        <f>+$K$2</f>
        <v>1h87</v>
      </c>
      <c r="L13" s="352" t="str">
        <f>+$L$2</f>
        <v>2h87</v>
      </c>
      <c r="M13" s="352" t="str">
        <f>+$M$2</f>
        <v>1987</v>
      </c>
      <c r="N13" s="352" t="str">
        <f>+$N$2</f>
        <v>1h88</v>
      </c>
      <c r="O13" s="352" t="str">
        <f>+$O$2</f>
        <v>2h88</v>
      </c>
      <c r="P13" s="352" t="str">
        <f>+$P$2</f>
        <v>1988</v>
      </c>
      <c r="Q13" s="352" t="str">
        <f>+$Q$2</f>
        <v>1h89</v>
      </c>
      <c r="R13" s="352" t="str">
        <f>+$R$2</f>
        <v>2h89</v>
      </c>
      <c r="S13" s="352" t="str">
        <f>+$S$2</f>
        <v>1989</v>
      </c>
      <c r="T13" s="352" t="str">
        <f>+$T$2</f>
        <v>1h90</v>
      </c>
      <c r="U13" s="352" t="str">
        <f>+$U$2</f>
        <v>2h90</v>
      </c>
      <c r="V13" s="352" t="str">
        <f>+$V$2</f>
        <v>1990</v>
      </c>
      <c r="W13" s="352" t="str">
        <f>+$W$2</f>
        <v>1h91</v>
      </c>
      <c r="X13" s="352" t="str">
        <f>+$X$2</f>
        <v>2h91</v>
      </c>
      <c r="Y13" s="352" t="str">
        <f>+$Y$2</f>
        <v>1991</v>
      </c>
      <c r="Z13" s="352" t="str">
        <f>+$Z$2</f>
        <v>1h92</v>
      </c>
      <c r="AA13" s="352" t="str">
        <f>+$AA$2</f>
        <v>2h92</v>
      </c>
      <c r="AB13" s="352" t="str">
        <f>+$AB$2</f>
        <v>1992</v>
      </c>
      <c r="AC13" s="352" t="str">
        <f>+$AC$2</f>
        <v>1h93</v>
      </c>
      <c r="AD13" s="352" t="str">
        <f>+$AD$2</f>
        <v>2h93</v>
      </c>
      <c r="AE13" s="352" t="str">
        <f>+$AE$2</f>
        <v>1993</v>
      </c>
      <c r="AF13" s="352" t="str">
        <f>+$AF$2</f>
        <v>1h94</v>
      </c>
      <c r="AG13" s="352" t="str">
        <f>+$AG$2</f>
        <v>2h94</v>
      </c>
      <c r="AH13" s="352" t="str">
        <f>+$AH$2</f>
        <v>1994</v>
      </c>
      <c r="AI13" s="352" t="str">
        <f>+$AI$2</f>
        <v>1h95</v>
      </c>
      <c r="AJ13" s="352" t="str">
        <f>+$AJ$2</f>
        <v>2h95</v>
      </c>
      <c r="AK13" s="352" t="str">
        <f>+$AK$2</f>
        <v>1995</v>
      </c>
      <c r="AL13" s="352" t="str">
        <f>+$AL$2</f>
        <v>1h96</v>
      </c>
      <c r="AM13" s="352" t="str">
        <f>+$AM$2</f>
        <v>2h96</v>
      </c>
      <c r="AN13" s="352" t="str">
        <f>+$AN$2</f>
        <v>1996</v>
      </c>
      <c r="AO13" s="352" t="str">
        <f>+$AO$2</f>
        <v>1h97</v>
      </c>
      <c r="AP13" s="352" t="str">
        <f>+$AP$2</f>
        <v>2h97</v>
      </c>
      <c r="AQ13" s="352" t="str">
        <f>+$AQ$2</f>
        <v>FY97</v>
      </c>
      <c r="AR13" s="352" t="str">
        <f>+$AR$2</f>
        <v>1H98</v>
      </c>
      <c r="AS13" s="352" t="str">
        <f>+$AS$2</f>
        <v>2H98</v>
      </c>
      <c r="AT13" s="352" t="str">
        <f>+$AT$2</f>
        <v>FY98</v>
      </c>
      <c r="AU13" s="352" t="str">
        <f>+$AU$2</f>
        <v>1H99</v>
      </c>
      <c r="AV13" s="352" t="str">
        <f>+$AV$2</f>
        <v>2H99</v>
      </c>
      <c r="AW13" s="352" t="str">
        <f>+$AW$2</f>
        <v>FY99</v>
      </c>
      <c r="AX13" s="352" t="str">
        <f>+$AX$2</f>
        <v>1H00</v>
      </c>
      <c r="AY13" s="352" t="str">
        <f>+$AY$2</f>
        <v>2H00</v>
      </c>
      <c r="AZ13" s="352" t="str">
        <f>+$AZ$2</f>
        <v>FY00</v>
      </c>
      <c r="BA13" s="352" t="str">
        <f>+$BA$2</f>
        <v>1H01</v>
      </c>
      <c r="BB13" s="352" t="str">
        <f>+$BB$2</f>
        <v>2H01</v>
      </c>
      <c r="BC13" s="352" t="str">
        <f>+$BC$2</f>
        <v>FY01</v>
      </c>
      <c r="BD13" s="352" t="str">
        <f>+$BD$2</f>
        <v>1H02</v>
      </c>
      <c r="BE13" s="352" t="str">
        <f>+$BE$2</f>
        <v>2H02</v>
      </c>
      <c r="BF13" s="352" t="str">
        <f>+$BF$2</f>
        <v>FY02</v>
      </c>
      <c r="BG13" s="352" t="str">
        <f>+$BG$2</f>
        <v>1H03</v>
      </c>
      <c r="BH13" s="352" t="str">
        <f>+$BH$2</f>
        <v>2H03</v>
      </c>
      <c r="BI13" s="352" t="str">
        <f>+$BI$2</f>
        <v>FY03</v>
      </c>
      <c r="BJ13" s="352" t="str">
        <f>+$BJ$2</f>
        <v>1H04</v>
      </c>
      <c r="BK13" s="352" t="str">
        <f>+$BK$2</f>
        <v>2H04</v>
      </c>
      <c r="BL13" s="352" t="str">
        <f>+$BL$2</f>
        <v>FY04</v>
      </c>
      <c r="BM13" s="352" t="str">
        <f>+$BM$2</f>
        <v>1H05</v>
      </c>
      <c r="BN13" s="352" t="str">
        <f>+$BN$2</f>
        <v>2H05</v>
      </c>
      <c r="BO13" s="352" t="str">
        <f>+$BO$2</f>
        <v>FY05</v>
      </c>
      <c r="BP13" s="353" t="str">
        <f>BP2</f>
        <v>1H06</v>
      </c>
      <c r="BQ13" s="353" t="str">
        <f t="shared" ref="BQ13:DQ13" si="21">BQ2</f>
        <v>2H06</v>
      </c>
      <c r="BR13" s="353" t="str">
        <f t="shared" si="21"/>
        <v>FY06</v>
      </c>
      <c r="BS13" s="353" t="str">
        <f t="shared" si="21"/>
        <v>1H07</v>
      </c>
      <c r="BT13" s="353" t="str">
        <f t="shared" si="21"/>
        <v>2H07</v>
      </c>
      <c r="BU13" s="353" t="str">
        <f t="shared" si="21"/>
        <v>FY07</v>
      </c>
      <c r="BV13" s="353" t="str">
        <f t="shared" si="21"/>
        <v>1H08</v>
      </c>
      <c r="BW13" s="353" t="str">
        <f t="shared" si="21"/>
        <v>2H08</v>
      </c>
      <c r="BX13" s="353" t="str">
        <f t="shared" si="21"/>
        <v>FY08</v>
      </c>
      <c r="BY13" s="353" t="str">
        <f t="shared" si="21"/>
        <v>1H09</v>
      </c>
      <c r="BZ13" s="353" t="str">
        <f t="shared" si="21"/>
        <v>2H09</v>
      </c>
      <c r="CA13" s="353" t="str">
        <f t="shared" si="21"/>
        <v>FY09</v>
      </c>
      <c r="CB13" s="353" t="str">
        <f t="shared" si="21"/>
        <v>1H10</v>
      </c>
      <c r="CC13" s="353" t="str">
        <f t="shared" si="21"/>
        <v>2H10</v>
      </c>
      <c r="CD13" s="353" t="str">
        <f t="shared" si="21"/>
        <v>FY10</v>
      </c>
      <c r="CE13" s="353" t="str">
        <f t="shared" si="21"/>
        <v>1H11</v>
      </c>
      <c r="CF13" s="353" t="str">
        <f t="shared" si="21"/>
        <v>2H11</v>
      </c>
      <c r="CG13" s="353" t="str">
        <f t="shared" si="21"/>
        <v>FY11</v>
      </c>
      <c r="CH13" s="353" t="str">
        <f t="shared" si="21"/>
        <v>1H12</v>
      </c>
      <c r="CI13" s="353" t="str">
        <f t="shared" si="21"/>
        <v>2H12</v>
      </c>
      <c r="CJ13" s="353" t="str">
        <f t="shared" si="21"/>
        <v>FY12</v>
      </c>
      <c r="CK13" s="353" t="str">
        <f t="shared" si="21"/>
        <v>1H13</v>
      </c>
      <c r="CL13" s="353" t="str">
        <f t="shared" si="21"/>
        <v>2H13</v>
      </c>
      <c r="CM13" s="353" t="str">
        <f t="shared" si="21"/>
        <v>FY13</v>
      </c>
      <c r="CN13" s="353" t="str">
        <f t="shared" si="21"/>
        <v>1H14</v>
      </c>
      <c r="CO13" s="353" t="str">
        <f t="shared" si="21"/>
        <v>2H14</v>
      </c>
      <c r="CP13" s="353" t="str">
        <f t="shared" si="21"/>
        <v>FY14</v>
      </c>
      <c r="CQ13" s="353" t="str">
        <f t="shared" si="21"/>
        <v>1H15</v>
      </c>
      <c r="CR13" s="353" t="str">
        <f t="shared" si="21"/>
        <v>2H15</v>
      </c>
      <c r="CS13" s="353" t="str">
        <f t="shared" si="21"/>
        <v>FY15</v>
      </c>
      <c r="CT13" s="353" t="str">
        <f t="shared" si="21"/>
        <v>1H16</v>
      </c>
      <c r="CU13" s="353" t="str">
        <f t="shared" si="21"/>
        <v>2H16</v>
      </c>
      <c r="CV13" s="353" t="str">
        <f t="shared" si="21"/>
        <v>FY16</v>
      </c>
      <c r="CW13" s="353" t="str">
        <f t="shared" si="21"/>
        <v>1H17</v>
      </c>
      <c r="CX13" s="353" t="str">
        <f t="shared" si="21"/>
        <v>2H17</v>
      </c>
      <c r="CY13" s="353" t="str">
        <f t="shared" si="21"/>
        <v>FY17</v>
      </c>
      <c r="CZ13" s="353" t="str">
        <f t="shared" si="21"/>
        <v>1H18</v>
      </c>
      <c r="DA13" s="353" t="str">
        <f t="shared" si="21"/>
        <v>2H18</v>
      </c>
      <c r="DB13" s="353" t="str">
        <f t="shared" si="21"/>
        <v>FY18</v>
      </c>
      <c r="DC13" s="353" t="str">
        <f t="shared" si="21"/>
        <v>1H19</v>
      </c>
      <c r="DD13" s="353" t="str">
        <f t="shared" si="21"/>
        <v>2H19</v>
      </c>
      <c r="DE13" s="353" t="str">
        <f t="shared" si="21"/>
        <v>FY19</v>
      </c>
      <c r="DF13" s="353" t="str">
        <f t="shared" si="21"/>
        <v>1H20</v>
      </c>
      <c r="DG13" s="353" t="str">
        <f t="shared" si="21"/>
        <v>2H20</v>
      </c>
      <c r="DH13" s="353" t="str">
        <f t="shared" si="21"/>
        <v>FY20</v>
      </c>
      <c r="DI13" s="353" t="str">
        <f t="shared" si="21"/>
        <v>1H21</v>
      </c>
      <c r="DJ13" s="353" t="str">
        <f t="shared" si="21"/>
        <v>2H21</v>
      </c>
      <c r="DK13" s="1206" t="str">
        <f t="shared" si="21"/>
        <v>FY21</v>
      </c>
      <c r="DL13" s="353" t="str">
        <f t="shared" si="21"/>
        <v>1H22</v>
      </c>
      <c r="DM13" s="353" t="str">
        <f t="shared" si="21"/>
        <v>2H22</v>
      </c>
      <c r="DN13" s="1206" t="str">
        <f t="shared" si="21"/>
        <v>FY22</v>
      </c>
      <c r="DO13" s="353" t="str">
        <f t="shared" si="21"/>
        <v>1H23</v>
      </c>
      <c r="DP13" s="353" t="str">
        <f t="shared" si="21"/>
        <v>2H23</v>
      </c>
      <c r="DQ13" s="1206" t="str">
        <f t="shared" si="21"/>
        <v>FY23</v>
      </c>
      <c r="DR13" s="353" t="str">
        <f t="shared" ref="DR13:DW13" si="22">DR2</f>
        <v>1H24</v>
      </c>
      <c r="DS13" s="353" t="str">
        <f t="shared" si="22"/>
        <v>2H24</v>
      </c>
      <c r="DT13" s="1206" t="str">
        <f t="shared" si="22"/>
        <v>FY24</v>
      </c>
      <c r="DU13" s="353" t="str">
        <f t="shared" si="22"/>
        <v>1H25</v>
      </c>
      <c r="DV13" s="353" t="str">
        <f t="shared" si="22"/>
        <v>2H25</v>
      </c>
      <c r="DW13" s="1206" t="str">
        <f t="shared" si="22"/>
        <v>FY25</v>
      </c>
      <c r="DX13" s="353" t="str">
        <f t="shared" ref="DX13:EF13" si="23">DX2</f>
        <v>1H26</v>
      </c>
      <c r="DY13" s="353" t="str">
        <f t="shared" si="23"/>
        <v>2H26E</v>
      </c>
      <c r="DZ13" s="1206" t="str">
        <f t="shared" si="23"/>
        <v>FY26E</v>
      </c>
      <c r="EA13" s="353" t="str">
        <f t="shared" si="23"/>
        <v>1H27E</v>
      </c>
      <c r="EB13" s="353" t="str">
        <f t="shared" si="23"/>
        <v>2H27E</v>
      </c>
      <c r="EC13" s="1206" t="str">
        <f t="shared" si="23"/>
        <v>FY27E</v>
      </c>
      <c r="ED13" s="353" t="str">
        <f t="shared" si="23"/>
        <v>1H28E</v>
      </c>
      <c r="EE13" s="353" t="str">
        <f t="shared" si="23"/>
        <v>2H28E</v>
      </c>
      <c r="EF13" s="1206" t="str">
        <f t="shared" si="23"/>
        <v>FY28E</v>
      </c>
      <c r="EG13" s="353" t="str">
        <f t="shared" ref="EG13:EL13" si="24">EG2</f>
        <v>1H29E</v>
      </c>
      <c r="EH13" s="353" t="str">
        <f t="shared" si="24"/>
        <v>2H29E</v>
      </c>
      <c r="EI13" s="1206" t="str">
        <f t="shared" si="24"/>
        <v>FY29E</v>
      </c>
      <c r="EJ13" s="353" t="str">
        <f t="shared" si="24"/>
        <v>1H30E</v>
      </c>
      <c r="EK13" s="353" t="str">
        <f t="shared" si="24"/>
        <v>2H30E</v>
      </c>
      <c r="EL13" s="1206" t="str">
        <f t="shared" si="24"/>
        <v>FY30E</v>
      </c>
      <c r="EM13" s="353" t="str">
        <f t="shared" ref="EM13:ER13" si="25">EM2</f>
        <v>1H31E</v>
      </c>
      <c r="EN13" s="353" t="str">
        <f t="shared" si="25"/>
        <v>2H31E</v>
      </c>
      <c r="EO13" s="1206" t="str">
        <f t="shared" si="25"/>
        <v>FY31E</v>
      </c>
      <c r="EP13" s="353" t="str">
        <f t="shared" si="25"/>
        <v>1H32E</v>
      </c>
      <c r="EQ13" s="353" t="str">
        <f t="shared" si="25"/>
        <v>2H32E</v>
      </c>
      <c r="ER13" s="1206" t="str">
        <f t="shared" si="25"/>
        <v>FY32E</v>
      </c>
      <c r="ES13" s="353" t="str">
        <f t="shared" ref="ES13:EX13" si="26">ES2</f>
        <v>1H33E</v>
      </c>
      <c r="ET13" s="353" t="str">
        <f t="shared" si="26"/>
        <v>2H33E</v>
      </c>
      <c r="EU13" s="1206" t="str">
        <f t="shared" si="26"/>
        <v>FY33E</v>
      </c>
      <c r="EV13" s="353" t="str">
        <f t="shared" si="26"/>
        <v>1H34E</v>
      </c>
      <c r="EW13" s="353" t="str">
        <f t="shared" si="26"/>
        <v>2H34E</v>
      </c>
      <c r="EX13" s="1206" t="str">
        <f t="shared" si="26"/>
        <v>FY34E</v>
      </c>
      <c r="EY13" s="353" t="str">
        <f t="shared" ref="EY13:FA13" si="27">EY2</f>
        <v>1H35E</v>
      </c>
      <c r="EZ13" s="353" t="str">
        <f t="shared" si="27"/>
        <v>2H35E</v>
      </c>
      <c r="FA13" s="353" t="str">
        <f t="shared" si="27"/>
        <v>FY35E</v>
      </c>
    </row>
    <row r="14" spans="1:157" ht="13.35" customHeight="1">
      <c r="A14" s="5"/>
      <c r="B14" s="5" t="s">
        <v>771</v>
      </c>
      <c r="C14" s="5"/>
      <c r="D14" s="5"/>
      <c r="E14" s="356"/>
      <c r="F14" s="356"/>
      <c r="G14" s="356"/>
      <c r="H14" s="356"/>
      <c r="I14" s="356"/>
      <c r="J14" s="356"/>
      <c r="K14" s="356"/>
      <c r="L14" s="356"/>
      <c r="M14" s="356"/>
      <c r="N14" s="356"/>
      <c r="O14" s="356"/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B14" s="356"/>
      <c r="AC14" s="356"/>
      <c r="AD14" s="356"/>
      <c r="AE14" s="356"/>
      <c r="AF14" s="356"/>
      <c r="AG14" s="356"/>
      <c r="AH14" s="356"/>
      <c r="AI14" s="356"/>
      <c r="AJ14" s="356"/>
      <c r="AK14" s="356"/>
      <c r="AL14" s="356"/>
      <c r="AM14" s="356"/>
      <c r="AN14" s="356"/>
      <c r="AO14" s="356"/>
      <c r="AP14" s="356"/>
      <c r="AQ14" s="356"/>
      <c r="AR14" s="356"/>
      <c r="AS14" s="356"/>
      <c r="AT14" s="356"/>
      <c r="AU14" s="356"/>
      <c r="AV14" s="356"/>
      <c r="AW14" s="356"/>
      <c r="AX14" s="356"/>
      <c r="AY14" s="356"/>
      <c r="AZ14" s="356"/>
      <c r="BA14" s="356"/>
      <c r="BB14" s="356"/>
      <c r="BC14" s="356"/>
      <c r="BD14" s="356"/>
      <c r="BE14" s="356"/>
      <c r="BF14" s="356"/>
      <c r="BG14" s="356"/>
      <c r="BH14" s="356"/>
      <c r="BI14" s="356"/>
      <c r="BJ14" s="356"/>
      <c r="BK14" s="356"/>
      <c r="BL14" s="356"/>
      <c r="BM14" s="356"/>
      <c r="BN14" s="356"/>
      <c r="BO14" s="356"/>
      <c r="BP14" s="356"/>
      <c r="BQ14" s="356"/>
      <c r="BR14" s="356"/>
      <c r="BS14" s="356"/>
      <c r="BT14" s="356"/>
      <c r="BU14" s="356"/>
      <c r="BV14" s="356"/>
      <c r="BW14" s="356"/>
      <c r="BX14" s="356"/>
      <c r="BY14" s="356"/>
      <c r="BZ14" s="356"/>
      <c r="CA14" s="356"/>
      <c r="CB14" s="356"/>
      <c r="CC14" s="356"/>
      <c r="CD14" s="356"/>
      <c r="CE14" s="356"/>
      <c r="CF14" s="356"/>
      <c r="CG14" s="356"/>
      <c r="CH14" s="356"/>
      <c r="CI14" s="356"/>
      <c r="CJ14" s="356"/>
      <c r="CK14" s="356"/>
      <c r="CL14" s="356"/>
      <c r="CM14" s="356"/>
      <c r="CN14" s="356"/>
      <c r="CO14" s="356"/>
      <c r="CP14" s="356"/>
      <c r="CQ14" s="356"/>
      <c r="CR14" s="356"/>
      <c r="CS14" s="356"/>
      <c r="CT14" s="356"/>
      <c r="CU14" s="356"/>
      <c r="CV14" s="356"/>
      <c r="CW14" s="356"/>
      <c r="CX14" s="356"/>
      <c r="CY14" s="356"/>
      <c r="CZ14" s="356"/>
      <c r="DA14" s="356"/>
      <c r="DB14" s="356"/>
      <c r="DC14" s="356"/>
      <c r="DD14" s="356"/>
      <c r="DE14" s="356"/>
      <c r="DF14" s="356"/>
      <c r="DG14" s="356"/>
      <c r="DH14" s="356"/>
      <c r="DI14" s="356"/>
      <c r="DJ14" s="356"/>
      <c r="DK14" s="1087"/>
      <c r="DL14" s="356"/>
      <c r="DM14" s="356"/>
      <c r="DN14" s="1087"/>
      <c r="DO14" s="356"/>
      <c r="DP14" s="356"/>
      <c r="DQ14" s="1087"/>
      <c r="DR14" s="356"/>
      <c r="DS14" s="356"/>
      <c r="DT14" s="1087"/>
      <c r="DU14" s="356"/>
      <c r="DV14" s="356"/>
      <c r="DW14" s="1087"/>
      <c r="DX14" s="356"/>
      <c r="DY14" s="356"/>
      <c r="DZ14" s="1087"/>
      <c r="EA14" s="356"/>
      <c r="EB14" s="356"/>
      <c r="EC14" s="1087"/>
      <c r="ED14" s="356"/>
      <c r="EE14" s="356"/>
      <c r="EF14" s="1087"/>
      <c r="EG14" s="356"/>
      <c r="EH14" s="356"/>
      <c r="EI14" s="1087"/>
      <c r="EJ14" s="356"/>
      <c r="EK14" s="356"/>
      <c r="EL14" s="1087"/>
      <c r="EM14" s="356"/>
      <c r="EN14" s="356"/>
      <c r="EO14" s="1087"/>
      <c r="EP14" s="356"/>
      <c r="EQ14" s="356"/>
      <c r="ER14" s="1087"/>
      <c r="ES14" s="356"/>
      <c r="ET14" s="356"/>
      <c r="EU14" s="1087"/>
      <c r="EV14" s="356"/>
      <c r="EW14" s="356"/>
      <c r="EX14" s="1087"/>
      <c r="EY14" s="356"/>
      <c r="EZ14" s="356"/>
      <c r="FA14" s="356"/>
    </row>
    <row r="15" spans="1:157" ht="13.35" customHeight="1">
      <c r="A15" s="5"/>
      <c r="B15" s="5"/>
      <c r="C15" s="5" t="s">
        <v>772</v>
      </c>
      <c r="D15" s="5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3"/>
      <c r="BR15" s="23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1075"/>
      <c r="DL15" s="23"/>
      <c r="DM15" s="23"/>
      <c r="DN15" s="1075"/>
      <c r="DO15" s="23"/>
      <c r="DP15" s="23"/>
      <c r="DQ15" s="1075"/>
      <c r="DR15" s="23"/>
      <c r="DS15" s="23"/>
      <c r="DT15" s="1075"/>
      <c r="DU15" s="23"/>
      <c r="DV15" s="23"/>
      <c r="DW15" s="1075"/>
      <c r="DX15" s="23"/>
      <c r="DY15" s="23"/>
      <c r="DZ15" s="1075"/>
      <c r="EA15" s="23"/>
      <c r="EB15" s="23"/>
      <c r="EC15" s="1075"/>
      <c r="ED15" s="23"/>
      <c r="EE15" s="23"/>
      <c r="EF15" s="1075"/>
      <c r="EG15" s="23"/>
      <c r="EH15" s="23"/>
      <c r="EI15" s="1075"/>
      <c r="EJ15" s="23"/>
      <c r="EK15" s="23"/>
      <c r="EL15" s="1075"/>
      <c r="EM15" s="23"/>
      <c r="EN15" s="23"/>
      <c r="EO15" s="1075"/>
      <c r="EP15" s="23"/>
      <c r="EQ15" s="23"/>
      <c r="ER15" s="1075"/>
      <c r="ES15" s="23"/>
      <c r="ET15" s="23"/>
      <c r="EU15" s="1075"/>
      <c r="EV15" s="23"/>
      <c r="EW15" s="23"/>
      <c r="EX15" s="1075"/>
      <c r="EY15" s="23"/>
      <c r="EZ15" s="23"/>
      <c r="FA15" s="23"/>
    </row>
    <row r="16" spans="1:157" ht="13.35" customHeight="1">
      <c r="A16" s="5"/>
      <c r="B16" s="5"/>
      <c r="C16" s="5" t="s">
        <v>80</v>
      </c>
      <c r="D16" s="5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23"/>
      <c r="BQ16" s="23"/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/>
      <c r="CZ16" s="23"/>
      <c r="DA16" s="23"/>
      <c r="DB16" s="23"/>
      <c r="DC16" s="23"/>
      <c r="DD16" s="23"/>
      <c r="DE16" s="23"/>
      <c r="DF16" s="23"/>
      <c r="DG16" s="23"/>
      <c r="DH16" s="23"/>
      <c r="DI16" s="23"/>
      <c r="DJ16" s="23"/>
      <c r="DK16" s="1075"/>
      <c r="DL16" s="23"/>
      <c r="DM16" s="23"/>
      <c r="DN16" s="1075"/>
      <c r="DO16" s="23"/>
      <c r="DP16" s="23"/>
      <c r="DQ16" s="1075"/>
      <c r="DR16" s="23"/>
      <c r="DS16" s="23"/>
      <c r="DT16" s="1075"/>
      <c r="DU16" s="23"/>
      <c r="DV16" s="23"/>
      <c r="DW16" s="1075"/>
      <c r="DX16" s="23"/>
      <c r="DY16" s="23"/>
      <c r="DZ16" s="1075"/>
      <c r="EA16" s="23"/>
      <c r="EB16" s="23"/>
      <c r="EC16" s="1075"/>
      <c r="ED16" s="23"/>
      <c r="EE16" s="23"/>
      <c r="EF16" s="1075"/>
      <c r="EG16" s="23"/>
      <c r="EH16" s="23"/>
      <c r="EI16" s="1075"/>
      <c r="EJ16" s="23"/>
      <c r="EK16" s="23"/>
      <c r="EL16" s="1075"/>
      <c r="EM16" s="23"/>
      <c r="EN16" s="23"/>
      <c r="EO16" s="1075"/>
      <c r="EP16" s="23"/>
      <c r="EQ16" s="23"/>
      <c r="ER16" s="1075"/>
      <c r="ES16" s="23"/>
      <c r="ET16" s="23"/>
      <c r="EU16" s="1075"/>
      <c r="EV16" s="23"/>
      <c r="EW16" s="23"/>
      <c r="EX16" s="1075"/>
      <c r="EY16" s="23"/>
      <c r="EZ16" s="23"/>
      <c r="FA16" s="23"/>
    </row>
    <row r="17" spans="1:157" ht="13.35" customHeight="1">
      <c r="A17" s="5"/>
      <c r="B17" s="5"/>
      <c r="C17" s="5" t="s">
        <v>433</v>
      </c>
      <c r="D17" s="5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358" t="str">
        <f t="shared" ref="BD17:BO17" si="28">IF(BD110=BD109,"Yes","No")</f>
        <v>No</v>
      </c>
      <c r="BE17" s="358" t="str">
        <f t="shared" si="28"/>
        <v>No</v>
      </c>
      <c r="BF17" s="358" t="str">
        <f t="shared" si="28"/>
        <v>No</v>
      </c>
      <c r="BG17" s="358" t="str">
        <f t="shared" si="28"/>
        <v>No</v>
      </c>
      <c r="BH17" s="358" t="str">
        <f t="shared" si="28"/>
        <v>No</v>
      </c>
      <c r="BI17" s="358" t="str">
        <f t="shared" si="28"/>
        <v>No</v>
      </c>
      <c r="BJ17" s="358" t="str">
        <f t="shared" si="28"/>
        <v>Yes</v>
      </c>
      <c r="BK17" s="358" t="str">
        <f t="shared" si="28"/>
        <v>Yes</v>
      </c>
      <c r="BL17" s="358" t="str">
        <f t="shared" si="28"/>
        <v>Yes</v>
      </c>
      <c r="BM17" s="358" t="str">
        <f t="shared" si="28"/>
        <v>No</v>
      </c>
      <c r="BN17" s="358" t="str">
        <f t="shared" si="28"/>
        <v>Yes</v>
      </c>
      <c r="BO17" s="358" t="str">
        <f t="shared" si="28"/>
        <v>Yes</v>
      </c>
      <c r="BP17" s="358" t="str">
        <f t="shared" ref="BP17:DK17" si="29">IF(BP110=BP109,"Yes","No")</f>
        <v>Yes</v>
      </c>
      <c r="BQ17" s="358" t="str">
        <f t="shared" si="29"/>
        <v>Yes</v>
      </c>
      <c r="BR17" s="358" t="str">
        <f t="shared" si="29"/>
        <v>Yes</v>
      </c>
      <c r="BS17" s="358" t="str">
        <f t="shared" si="29"/>
        <v>Yes</v>
      </c>
      <c r="BT17" s="358" t="str">
        <f t="shared" si="29"/>
        <v>Yes</v>
      </c>
      <c r="BU17" s="358" t="str">
        <f t="shared" si="29"/>
        <v>Yes</v>
      </c>
      <c r="BV17" s="358" t="str">
        <f t="shared" si="29"/>
        <v>Yes</v>
      </c>
      <c r="BW17" s="358" t="str">
        <f t="shared" si="29"/>
        <v>Yes</v>
      </c>
      <c r="BX17" s="358" t="str">
        <f t="shared" si="29"/>
        <v>Yes</v>
      </c>
      <c r="BY17" s="358" t="str">
        <f t="shared" si="29"/>
        <v>Yes</v>
      </c>
      <c r="BZ17" s="358" t="str">
        <f t="shared" si="29"/>
        <v>Yes</v>
      </c>
      <c r="CA17" s="358" t="str">
        <f t="shared" si="29"/>
        <v>Yes</v>
      </c>
      <c r="CB17" s="358" t="str">
        <f t="shared" si="29"/>
        <v>Yes</v>
      </c>
      <c r="CC17" s="358" t="str">
        <f t="shared" si="29"/>
        <v>Yes</v>
      </c>
      <c r="CD17" s="358" t="str">
        <f t="shared" si="29"/>
        <v>Yes</v>
      </c>
      <c r="CE17" s="358" t="str">
        <f t="shared" si="29"/>
        <v>Yes</v>
      </c>
      <c r="CF17" s="358" t="str">
        <f t="shared" si="29"/>
        <v>Yes</v>
      </c>
      <c r="CG17" s="358" t="str">
        <f t="shared" si="29"/>
        <v>Yes</v>
      </c>
      <c r="CH17" s="358" t="str">
        <f t="shared" si="29"/>
        <v>Yes</v>
      </c>
      <c r="CI17" s="358" t="str">
        <f t="shared" si="29"/>
        <v>Yes</v>
      </c>
      <c r="CJ17" s="358" t="str">
        <f t="shared" si="29"/>
        <v>Yes</v>
      </c>
      <c r="CK17" s="358" t="str">
        <f t="shared" si="29"/>
        <v>Yes</v>
      </c>
      <c r="CL17" s="358" t="str">
        <f t="shared" si="29"/>
        <v>Yes</v>
      </c>
      <c r="CM17" s="358" t="str">
        <f t="shared" si="29"/>
        <v>Yes</v>
      </c>
      <c r="CN17" s="358" t="str">
        <f t="shared" si="29"/>
        <v>Yes</v>
      </c>
      <c r="CO17" s="358" t="str">
        <f t="shared" si="29"/>
        <v>Yes</v>
      </c>
      <c r="CP17" s="358" t="str">
        <f t="shared" si="29"/>
        <v>Yes</v>
      </c>
      <c r="CQ17" s="358" t="str">
        <f t="shared" si="29"/>
        <v>Yes</v>
      </c>
      <c r="CR17" s="358" t="str">
        <f t="shared" si="29"/>
        <v>Yes</v>
      </c>
      <c r="CS17" s="358" t="str">
        <f t="shared" si="29"/>
        <v>Yes</v>
      </c>
      <c r="CT17" s="358" t="str">
        <f t="shared" si="29"/>
        <v>Yes</v>
      </c>
      <c r="CU17" s="358" t="str">
        <f t="shared" si="29"/>
        <v>Yes</v>
      </c>
      <c r="CV17" s="358" t="str">
        <f t="shared" si="29"/>
        <v>Yes</v>
      </c>
      <c r="CW17" s="358" t="str">
        <f t="shared" si="29"/>
        <v>Yes</v>
      </c>
      <c r="CX17" s="358" t="str">
        <f t="shared" si="29"/>
        <v>Yes</v>
      </c>
      <c r="CY17" s="358" t="str">
        <f t="shared" si="29"/>
        <v>Yes</v>
      </c>
      <c r="CZ17" s="358" t="str">
        <f t="shared" si="29"/>
        <v>Yes</v>
      </c>
      <c r="DA17" s="358" t="str">
        <f t="shared" si="29"/>
        <v>Yes</v>
      </c>
      <c r="DB17" s="358" t="str">
        <f t="shared" si="29"/>
        <v>Yes</v>
      </c>
      <c r="DC17" s="358" t="str">
        <f t="shared" si="29"/>
        <v>Yes</v>
      </c>
      <c r="DD17" s="358" t="str">
        <f t="shared" si="29"/>
        <v>Yes</v>
      </c>
      <c r="DE17" s="358" t="str">
        <f t="shared" si="29"/>
        <v>Yes</v>
      </c>
      <c r="DF17" s="358" t="str">
        <f t="shared" si="29"/>
        <v>Yes</v>
      </c>
      <c r="DG17" s="358" t="str">
        <f t="shared" si="29"/>
        <v>Yes</v>
      </c>
      <c r="DH17" s="358" t="str">
        <f t="shared" si="29"/>
        <v>Yes</v>
      </c>
      <c r="DI17" s="358" t="str">
        <f t="shared" si="29"/>
        <v>Yes</v>
      </c>
      <c r="DJ17" s="358" t="str">
        <f t="shared" si="29"/>
        <v>Yes</v>
      </c>
      <c r="DK17" s="1207" t="str">
        <f t="shared" si="29"/>
        <v>Yes</v>
      </c>
      <c r="DL17" s="358" t="str">
        <f t="shared" ref="DL17:DQ17" si="30">IF(DL110=DL109,"Yes","No")</f>
        <v>Yes</v>
      </c>
      <c r="DM17" s="358" t="str">
        <f t="shared" si="30"/>
        <v>Yes</v>
      </c>
      <c r="DN17" s="1207" t="str">
        <f t="shared" si="30"/>
        <v>Yes</v>
      </c>
      <c r="DO17" s="358" t="str">
        <f t="shared" si="30"/>
        <v>Yes</v>
      </c>
      <c r="DP17" s="358" t="str">
        <f t="shared" si="30"/>
        <v>Yes</v>
      </c>
      <c r="DQ17" s="1207" t="str">
        <f t="shared" si="30"/>
        <v>Yes</v>
      </c>
      <c r="DR17" s="358" t="str">
        <f t="shared" ref="DR17:DW17" si="31">IF(DR110=DR109,"Yes","No")</f>
        <v>Yes</v>
      </c>
      <c r="DS17" s="358" t="str">
        <f t="shared" si="31"/>
        <v>Yes</v>
      </c>
      <c r="DT17" s="1207" t="str">
        <f t="shared" si="31"/>
        <v>Yes</v>
      </c>
      <c r="DU17" s="358" t="str">
        <f t="shared" si="31"/>
        <v>Yes</v>
      </c>
      <c r="DV17" s="358" t="str">
        <f t="shared" si="31"/>
        <v>Yes</v>
      </c>
      <c r="DW17" s="1207" t="str">
        <f t="shared" si="31"/>
        <v>Yes</v>
      </c>
      <c r="DX17" s="358" t="str">
        <f t="shared" ref="DX17:EF17" si="32">IF(DX110=DX109,"Yes","No")</f>
        <v>Yes</v>
      </c>
      <c r="DY17" s="358" t="str">
        <f t="shared" si="32"/>
        <v>Yes</v>
      </c>
      <c r="DZ17" s="1207" t="str">
        <f t="shared" si="32"/>
        <v>Yes</v>
      </c>
      <c r="EA17" s="358" t="str">
        <f t="shared" si="32"/>
        <v>Yes</v>
      </c>
      <c r="EB17" s="358" t="str">
        <f t="shared" si="32"/>
        <v>Yes</v>
      </c>
      <c r="EC17" s="1207" t="str">
        <f t="shared" si="32"/>
        <v>Yes</v>
      </c>
      <c r="ED17" s="358" t="str">
        <f t="shared" si="32"/>
        <v>Yes</v>
      </c>
      <c r="EE17" s="358" t="str">
        <f t="shared" si="32"/>
        <v>Yes</v>
      </c>
      <c r="EF17" s="1207" t="str">
        <f t="shared" si="32"/>
        <v>Yes</v>
      </c>
      <c r="EG17" s="358" t="str">
        <f t="shared" ref="EG17:EL17" si="33">IF(EG110=EG109,"Yes","No")</f>
        <v>Yes</v>
      </c>
      <c r="EH17" s="358" t="str">
        <f t="shared" si="33"/>
        <v>Yes</v>
      </c>
      <c r="EI17" s="1207" t="str">
        <f t="shared" si="33"/>
        <v>Yes</v>
      </c>
      <c r="EJ17" s="358" t="str">
        <f t="shared" si="33"/>
        <v>Yes</v>
      </c>
      <c r="EK17" s="358" t="str">
        <f t="shared" si="33"/>
        <v>Yes</v>
      </c>
      <c r="EL17" s="1207" t="str">
        <f t="shared" si="33"/>
        <v>Yes</v>
      </c>
      <c r="EM17" s="358" t="str">
        <f t="shared" ref="EM17:ER17" si="34">IF(EM110=EM109,"Yes","No")</f>
        <v>Yes</v>
      </c>
      <c r="EN17" s="358" t="str">
        <f t="shared" si="34"/>
        <v>Yes</v>
      </c>
      <c r="EO17" s="1207" t="str">
        <f t="shared" si="34"/>
        <v>Yes</v>
      </c>
      <c r="EP17" s="358" t="str">
        <f t="shared" si="34"/>
        <v>Yes</v>
      </c>
      <c r="EQ17" s="358" t="str">
        <f t="shared" si="34"/>
        <v>Yes</v>
      </c>
      <c r="ER17" s="1207" t="str">
        <f t="shared" si="34"/>
        <v>Yes</v>
      </c>
      <c r="ES17" s="358" t="str">
        <f t="shared" ref="ES17:EX17" si="35">IF(ES110=ES109,"Yes","No")</f>
        <v>Yes</v>
      </c>
      <c r="ET17" s="358" t="str">
        <f t="shared" si="35"/>
        <v>Yes</v>
      </c>
      <c r="EU17" s="1207" t="str">
        <f t="shared" si="35"/>
        <v>Yes</v>
      </c>
      <c r="EV17" s="358" t="str">
        <f t="shared" si="35"/>
        <v>Yes</v>
      </c>
      <c r="EW17" s="358" t="str">
        <f t="shared" si="35"/>
        <v>Yes</v>
      </c>
      <c r="EX17" s="1207" t="str">
        <f t="shared" si="35"/>
        <v>Yes</v>
      </c>
      <c r="EY17" s="358" t="str">
        <f t="shared" ref="EY17:FA17" si="36">IF(EY110=EY109,"Yes","No")</f>
        <v>Yes</v>
      </c>
      <c r="EZ17" s="358" t="str">
        <f t="shared" si="36"/>
        <v>Yes</v>
      </c>
      <c r="FA17" s="358" t="str">
        <f t="shared" si="36"/>
        <v>Yes</v>
      </c>
    </row>
    <row r="18" spans="1:157" ht="13.35" customHeight="1">
      <c r="A18" s="5"/>
      <c r="B18" s="5"/>
      <c r="C18" s="5" t="s">
        <v>580</v>
      </c>
      <c r="D18" s="5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358" t="str">
        <f t="shared" ref="BD18:BO18" si="37">IF(BD127=BD121,"Yes","No")</f>
        <v>No</v>
      </c>
      <c r="BE18" s="358" t="str">
        <f t="shared" si="37"/>
        <v>No</v>
      </c>
      <c r="BF18" s="358" t="str">
        <f t="shared" si="37"/>
        <v>No</v>
      </c>
      <c r="BG18" s="358" t="str">
        <f t="shared" si="37"/>
        <v>No</v>
      </c>
      <c r="BH18" s="358" t="str">
        <f t="shared" si="37"/>
        <v>No</v>
      </c>
      <c r="BI18" s="358" t="str">
        <f t="shared" si="37"/>
        <v>No</v>
      </c>
      <c r="BJ18" s="358" t="str">
        <f t="shared" si="37"/>
        <v>Yes</v>
      </c>
      <c r="BK18" s="358" t="str">
        <f t="shared" si="37"/>
        <v>Yes</v>
      </c>
      <c r="BL18" s="358" t="str">
        <f t="shared" si="37"/>
        <v>Yes</v>
      </c>
      <c r="BM18" s="358" t="str">
        <f t="shared" si="37"/>
        <v>No</v>
      </c>
      <c r="BN18" s="358" t="str">
        <f t="shared" si="37"/>
        <v>Yes</v>
      </c>
      <c r="BO18" s="358" t="str">
        <f t="shared" si="37"/>
        <v>Yes</v>
      </c>
      <c r="BP18" s="358" t="str">
        <f t="shared" ref="BP18:DK18" si="38">IF(BP127=BP121,"Yes","No")</f>
        <v>Yes</v>
      </c>
      <c r="BQ18" s="358" t="str">
        <f t="shared" si="38"/>
        <v>Yes</v>
      </c>
      <c r="BR18" s="358" t="str">
        <f t="shared" si="38"/>
        <v>Yes</v>
      </c>
      <c r="BS18" s="358" t="str">
        <f t="shared" si="38"/>
        <v>Yes</v>
      </c>
      <c r="BT18" s="358" t="str">
        <f t="shared" si="38"/>
        <v>Yes</v>
      </c>
      <c r="BU18" s="358" t="str">
        <f t="shared" si="38"/>
        <v>Yes</v>
      </c>
      <c r="BV18" s="358" t="str">
        <f t="shared" si="38"/>
        <v>Yes</v>
      </c>
      <c r="BW18" s="358" t="str">
        <f t="shared" si="38"/>
        <v>Yes</v>
      </c>
      <c r="BX18" s="358" t="str">
        <f t="shared" si="38"/>
        <v>Yes</v>
      </c>
      <c r="BY18" s="358" t="str">
        <f t="shared" si="38"/>
        <v>Yes</v>
      </c>
      <c r="BZ18" s="358" t="str">
        <f t="shared" si="38"/>
        <v>Yes</v>
      </c>
      <c r="CA18" s="358" t="str">
        <f t="shared" si="38"/>
        <v>Yes</v>
      </c>
      <c r="CB18" s="358" t="str">
        <f t="shared" si="38"/>
        <v>Yes</v>
      </c>
      <c r="CC18" s="358" t="str">
        <f t="shared" si="38"/>
        <v>Yes</v>
      </c>
      <c r="CD18" s="358" t="str">
        <f t="shared" si="38"/>
        <v>Yes</v>
      </c>
      <c r="CE18" s="358" t="str">
        <f t="shared" si="38"/>
        <v>Yes</v>
      </c>
      <c r="CF18" s="358" t="str">
        <f t="shared" si="38"/>
        <v>Yes</v>
      </c>
      <c r="CG18" s="358" t="str">
        <f t="shared" si="38"/>
        <v>Yes</v>
      </c>
      <c r="CH18" s="358" t="str">
        <f t="shared" si="38"/>
        <v>Yes</v>
      </c>
      <c r="CI18" s="358" t="str">
        <f t="shared" si="38"/>
        <v>Yes</v>
      </c>
      <c r="CJ18" s="358" t="str">
        <f t="shared" si="38"/>
        <v>Yes</v>
      </c>
      <c r="CK18" s="358" t="str">
        <f t="shared" si="38"/>
        <v>Yes</v>
      </c>
      <c r="CL18" s="358" t="str">
        <f t="shared" si="38"/>
        <v>Yes</v>
      </c>
      <c r="CM18" s="358" t="str">
        <f t="shared" si="38"/>
        <v>Yes</v>
      </c>
      <c r="CN18" s="358" t="str">
        <f t="shared" si="38"/>
        <v>Yes</v>
      </c>
      <c r="CO18" s="358" t="str">
        <f t="shared" si="38"/>
        <v>Yes</v>
      </c>
      <c r="CP18" s="358" t="str">
        <f t="shared" si="38"/>
        <v>Yes</v>
      </c>
      <c r="CQ18" s="358" t="str">
        <f t="shared" si="38"/>
        <v>Yes</v>
      </c>
      <c r="CR18" s="358" t="str">
        <f t="shared" si="38"/>
        <v>Yes</v>
      </c>
      <c r="CS18" s="358" t="str">
        <f t="shared" si="38"/>
        <v>Yes</v>
      </c>
      <c r="CT18" s="358" t="str">
        <f t="shared" si="38"/>
        <v>Yes</v>
      </c>
      <c r="CU18" s="358" t="str">
        <f t="shared" si="38"/>
        <v>Yes</v>
      </c>
      <c r="CV18" s="358" t="str">
        <f t="shared" si="38"/>
        <v>Yes</v>
      </c>
      <c r="CW18" s="358" t="str">
        <f t="shared" si="38"/>
        <v>Yes</v>
      </c>
      <c r="CX18" s="358" t="str">
        <f t="shared" si="38"/>
        <v>Yes</v>
      </c>
      <c r="CY18" s="358" t="str">
        <f t="shared" si="38"/>
        <v>Yes</v>
      </c>
      <c r="CZ18" s="358" t="str">
        <f t="shared" si="38"/>
        <v>Yes</v>
      </c>
      <c r="DA18" s="358" t="str">
        <f t="shared" si="38"/>
        <v>Yes</v>
      </c>
      <c r="DB18" s="358" t="str">
        <f t="shared" si="38"/>
        <v>Yes</v>
      </c>
      <c r="DC18" s="358" t="str">
        <f t="shared" si="38"/>
        <v>Yes</v>
      </c>
      <c r="DD18" s="358" t="str">
        <f t="shared" si="38"/>
        <v>Yes</v>
      </c>
      <c r="DE18" s="358" t="str">
        <f t="shared" si="38"/>
        <v>Yes</v>
      </c>
      <c r="DF18" s="358" t="str">
        <f t="shared" si="38"/>
        <v>No</v>
      </c>
      <c r="DG18" s="358" t="str">
        <f t="shared" si="38"/>
        <v>No</v>
      </c>
      <c r="DH18" s="358" t="str">
        <f t="shared" si="38"/>
        <v>No</v>
      </c>
      <c r="DI18" s="358" t="str">
        <f t="shared" si="38"/>
        <v>No</v>
      </c>
      <c r="DJ18" s="358" t="str">
        <f t="shared" si="38"/>
        <v>No</v>
      </c>
      <c r="DK18" s="1207" t="str">
        <f t="shared" si="38"/>
        <v>No</v>
      </c>
      <c r="DL18" s="358" t="str">
        <f t="shared" ref="DL18:DQ18" si="39">IF(DL127=DL121,"Yes","No")</f>
        <v>No</v>
      </c>
      <c r="DM18" s="358" t="str">
        <f t="shared" si="39"/>
        <v>No</v>
      </c>
      <c r="DN18" s="1207" t="str">
        <f t="shared" si="39"/>
        <v>No</v>
      </c>
      <c r="DO18" s="358" t="str">
        <f t="shared" si="39"/>
        <v>No</v>
      </c>
      <c r="DP18" s="358" t="str">
        <f t="shared" si="39"/>
        <v>No</v>
      </c>
      <c r="DQ18" s="1207" t="str">
        <f t="shared" si="39"/>
        <v>No</v>
      </c>
      <c r="DR18" s="358" t="str">
        <f t="shared" ref="DR18:DW18" si="40">IF(DR127=DR121,"Yes","No")</f>
        <v>No</v>
      </c>
      <c r="DS18" s="358" t="str">
        <f t="shared" si="40"/>
        <v>No</v>
      </c>
      <c r="DT18" s="1207" t="str">
        <f t="shared" si="40"/>
        <v>No</v>
      </c>
      <c r="DU18" s="358" t="str">
        <f t="shared" si="40"/>
        <v>No</v>
      </c>
      <c r="DV18" s="358" t="str">
        <f t="shared" si="40"/>
        <v>No</v>
      </c>
      <c r="DW18" s="1207" t="str">
        <f t="shared" si="40"/>
        <v>No</v>
      </c>
      <c r="DX18" s="358" t="str">
        <f t="shared" ref="DX18:EF18" si="41">IF(DX127=DX121,"Yes","No")</f>
        <v>No</v>
      </c>
      <c r="DY18" s="358" t="str">
        <f t="shared" si="41"/>
        <v>No</v>
      </c>
      <c r="DZ18" s="1207" t="str">
        <f t="shared" si="41"/>
        <v>No</v>
      </c>
      <c r="EA18" s="358" t="str">
        <f t="shared" si="41"/>
        <v>No</v>
      </c>
      <c r="EB18" s="358" t="str">
        <f t="shared" si="41"/>
        <v>No</v>
      </c>
      <c r="EC18" s="1207" t="str">
        <f t="shared" si="41"/>
        <v>No</v>
      </c>
      <c r="ED18" s="358" t="str">
        <f t="shared" si="41"/>
        <v>No</v>
      </c>
      <c r="EE18" s="358" t="str">
        <f t="shared" si="41"/>
        <v>No</v>
      </c>
      <c r="EF18" s="1207" t="str">
        <f t="shared" si="41"/>
        <v>No</v>
      </c>
      <c r="EG18" s="358" t="str">
        <f t="shared" ref="EG18:EL18" si="42">IF(EG127=EG121,"Yes","No")</f>
        <v>No</v>
      </c>
      <c r="EH18" s="358" t="str">
        <f t="shared" si="42"/>
        <v>No</v>
      </c>
      <c r="EI18" s="1207" t="str">
        <f t="shared" si="42"/>
        <v>No</v>
      </c>
      <c r="EJ18" s="358" t="str">
        <f t="shared" si="42"/>
        <v>No</v>
      </c>
      <c r="EK18" s="358" t="str">
        <f t="shared" si="42"/>
        <v>No</v>
      </c>
      <c r="EL18" s="1207" t="str">
        <f t="shared" si="42"/>
        <v>No</v>
      </c>
      <c r="EM18" s="358" t="str">
        <f t="shared" ref="EM18:ER18" si="43">IF(EM127=EM121,"Yes","No")</f>
        <v>No</v>
      </c>
      <c r="EN18" s="358" t="str">
        <f t="shared" si="43"/>
        <v>No</v>
      </c>
      <c r="EO18" s="1207" t="str">
        <f t="shared" si="43"/>
        <v>No</v>
      </c>
      <c r="EP18" s="358" t="str">
        <f t="shared" si="43"/>
        <v>No</v>
      </c>
      <c r="EQ18" s="358" t="str">
        <f t="shared" si="43"/>
        <v>No</v>
      </c>
      <c r="ER18" s="1207" t="str">
        <f t="shared" si="43"/>
        <v>No</v>
      </c>
      <c r="ES18" s="358" t="str">
        <f t="shared" ref="ES18:EX18" si="44">IF(ES127=ES121,"Yes","No")</f>
        <v>No</v>
      </c>
      <c r="ET18" s="358" t="str">
        <f t="shared" si="44"/>
        <v>No</v>
      </c>
      <c r="EU18" s="1207" t="str">
        <f t="shared" si="44"/>
        <v>No</v>
      </c>
      <c r="EV18" s="358" t="str">
        <f t="shared" si="44"/>
        <v>No</v>
      </c>
      <c r="EW18" s="358" t="str">
        <f t="shared" si="44"/>
        <v>No</v>
      </c>
      <c r="EX18" s="1207" t="str">
        <f t="shared" si="44"/>
        <v>No</v>
      </c>
      <c r="EY18" s="358" t="str">
        <f t="shared" ref="EY18:FA18" si="45">IF(EY127=EY121,"Yes","No")</f>
        <v>No</v>
      </c>
      <c r="EZ18" s="358" t="str">
        <f t="shared" si="45"/>
        <v>No</v>
      </c>
      <c r="FA18" s="358" t="str">
        <f t="shared" si="45"/>
        <v>No</v>
      </c>
    </row>
    <row r="19" spans="1:157" ht="13.35" customHeight="1">
      <c r="A19" s="5"/>
      <c r="B19" s="5"/>
      <c r="C19" s="5"/>
      <c r="D19" s="5"/>
      <c r="E19" s="359"/>
      <c r="F19" s="359"/>
      <c r="G19" s="359"/>
      <c r="H19" s="359"/>
      <c r="I19" s="359"/>
      <c r="J19" s="359"/>
      <c r="K19" s="359"/>
      <c r="L19" s="359"/>
      <c r="M19" s="359"/>
      <c r="N19" s="359"/>
      <c r="O19" s="359"/>
      <c r="P19" s="359"/>
      <c r="Q19" s="359"/>
      <c r="R19" s="359"/>
      <c r="S19" s="359"/>
      <c r="T19" s="359"/>
      <c r="U19" s="359"/>
      <c r="V19" s="359"/>
      <c r="W19" s="359"/>
      <c r="X19" s="359"/>
      <c r="Y19" s="359"/>
      <c r="Z19" s="359"/>
      <c r="AA19" s="359"/>
      <c r="AB19" s="359"/>
      <c r="AC19" s="359"/>
      <c r="AD19" s="359"/>
      <c r="AE19" s="359"/>
      <c r="AF19" s="359"/>
      <c r="AG19" s="359"/>
      <c r="AH19" s="359"/>
      <c r="AI19" s="359"/>
      <c r="AJ19" s="359"/>
      <c r="AK19" s="359"/>
      <c r="AL19" s="359"/>
      <c r="AM19" s="359"/>
      <c r="AN19" s="359"/>
      <c r="AO19" s="359"/>
      <c r="AP19" s="359"/>
      <c r="AQ19" s="359"/>
      <c r="AR19" s="359"/>
      <c r="AS19" s="359"/>
      <c r="AT19" s="359"/>
      <c r="AU19" s="359"/>
      <c r="AV19" s="359"/>
      <c r="AW19" s="359"/>
      <c r="AX19" s="359"/>
      <c r="AY19" s="359"/>
      <c r="AZ19" s="359"/>
      <c r="BA19" s="359"/>
      <c r="BB19" s="359"/>
      <c r="BC19" s="359"/>
      <c r="BD19" s="359"/>
      <c r="BE19" s="359"/>
      <c r="BF19" s="359"/>
      <c r="BG19" s="359"/>
      <c r="BH19" s="359"/>
      <c r="BI19" s="359"/>
      <c r="BJ19" s="359"/>
      <c r="BK19" s="359"/>
      <c r="BL19" s="359"/>
      <c r="BM19" s="359"/>
      <c r="BN19" s="359"/>
      <c r="BO19" s="359"/>
      <c r="BP19" s="359"/>
      <c r="BQ19" s="359"/>
      <c r="BR19" s="359"/>
      <c r="BS19" s="359"/>
      <c r="BT19" s="359"/>
      <c r="BU19" s="359"/>
      <c r="BV19" s="359"/>
      <c r="BW19" s="359"/>
      <c r="BX19" s="359"/>
      <c r="BY19" s="359"/>
      <c r="BZ19" s="359"/>
      <c r="CA19" s="359"/>
      <c r="CB19" s="359"/>
      <c r="CC19" s="359"/>
      <c r="CD19" s="359"/>
      <c r="CE19" s="359"/>
      <c r="CF19" s="359"/>
      <c r="CG19" s="359"/>
      <c r="CH19" s="359"/>
      <c r="CI19" s="359"/>
      <c r="CJ19" s="359"/>
      <c r="CK19" s="359"/>
      <c r="CL19" s="359"/>
      <c r="CM19" s="359"/>
      <c r="CN19" s="359"/>
      <c r="CO19" s="359"/>
      <c r="CP19" s="359"/>
      <c r="CQ19" s="359"/>
      <c r="CR19" s="359"/>
      <c r="CS19" s="359"/>
      <c r="CT19" s="359"/>
      <c r="CU19" s="359"/>
      <c r="CV19" s="359"/>
      <c r="CW19" s="359"/>
      <c r="CX19" s="359"/>
      <c r="CY19" s="359"/>
      <c r="CZ19" s="359"/>
      <c r="DA19" s="359"/>
      <c r="DB19" s="359"/>
      <c r="DC19" s="359"/>
      <c r="DD19" s="359"/>
      <c r="DE19" s="359"/>
      <c r="DF19" s="359"/>
      <c r="DG19" s="359"/>
      <c r="DH19" s="359"/>
      <c r="DI19" s="359"/>
      <c r="DJ19" s="359"/>
      <c r="DK19" s="1208"/>
      <c r="DL19" s="359"/>
      <c r="DM19" s="359"/>
      <c r="DN19" s="1208"/>
      <c r="DO19" s="359"/>
      <c r="DP19" s="359"/>
      <c r="DQ19" s="1208"/>
      <c r="DR19" s="359"/>
      <c r="DS19" s="359"/>
      <c r="DT19" s="1208"/>
      <c r="DU19" s="359"/>
      <c r="DV19" s="359"/>
      <c r="DW19" s="1208"/>
      <c r="DX19" s="359"/>
      <c r="DY19" s="359"/>
      <c r="DZ19" s="1208"/>
      <c r="EA19" s="359"/>
      <c r="EB19" s="359"/>
      <c r="EC19" s="1208"/>
      <c r="ED19" s="359"/>
      <c r="EE19" s="359"/>
      <c r="EF19" s="1208"/>
      <c r="EG19" s="359"/>
      <c r="EH19" s="359"/>
      <c r="EI19" s="1208"/>
      <c r="EJ19" s="359"/>
      <c r="EK19" s="359"/>
      <c r="EL19" s="1208"/>
      <c r="EM19" s="359"/>
      <c r="EN19" s="359"/>
      <c r="EO19" s="1208"/>
      <c r="EP19" s="359"/>
      <c r="EQ19" s="359"/>
      <c r="ER19" s="1208"/>
      <c r="ES19" s="359"/>
      <c r="ET19" s="359"/>
      <c r="EU19" s="1208"/>
      <c r="EV19" s="359"/>
      <c r="EW19" s="359"/>
      <c r="EX19" s="1208"/>
      <c r="EY19" s="359"/>
      <c r="EZ19" s="359"/>
      <c r="FA19" s="359"/>
    </row>
    <row r="20" spans="1:157" ht="16.5" customHeight="1">
      <c r="A20" s="350"/>
      <c r="B20" s="350" t="s">
        <v>581</v>
      </c>
      <c r="C20" s="351"/>
      <c r="D20" s="352">
        <f>+$D$2</f>
        <v>0</v>
      </c>
      <c r="E20" s="352" t="str">
        <f>+$E$2</f>
        <v>1h85</v>
      </c>
      <c r="F20" s="352" t="str">
        <f>+$F$2</f>
        <v>2h85</v>
      </c>
      <c r="G20" s="352" t="str">
        <f>+$G$2</f>
        <v>1985</v>
      </c>
      <c r="H20" s="352" t="str">
        <f>+$H$2</f>
        <v>1h86</v>
      </c>
      <c r="I20" s="352" t="str">
        <f>+$I$2</f>
        <v>2h86</v>
      </c>
      <c r="J20" s="352" t="str">
        <f>+$J$2</f>
        <v>1986</v>
      </c>
      <c r="K20" s="352" t="str">
        <f>+$K$2</f>
        <v>1h87</v>
      </c>
      <c r="L20" s="352" t="str">
        <f>+$L$2</f>
        <v>2h87</v>
      </c>
      <c r="M20" s="352" t="str">
        <f>+$M$2</f>
        <v>1987</v>
      </c>
      <c r="N20" s="352" t="str">
        <f>+$N$2</f>
        <v>1h88</v>
      </c>
      <c r="O20" s="352" t="str">
        <f>+$O$2</f>
        <v>2h88</v>
      </c>
      <c r="P20" s="352" t="str">
        <f>+$P$2</f>
        <v>1988</v>
      </c>
      <c r="Q20" s="352" t="str">
        <f>+$Q$2</f>
        <v>1h89</v>
      </c>
      <c r="R20" s="352" t="str">
        <f>+$R$2</f>
        <v>2h89</v>
      </c>
      <c r="S20" s="352" t="str">
        <f>+$S$2</f>
        <v>1989</v>
      </c>
      <c r="T20" s="352" t="str">
        <f>+$T$2</f>
        <v>1h90</v>
      </c>
      <c r="U20" s="352" t="str">
        <f>+$U$2</f>
        <v>2h90</v>
      </c>
      <c r="V20" s="352" t="str">
        <f>+$V$2</f>
        <v>1990</v>
      </c>
      <c r="W20" s="352" t="str">
        <f>+$W$2</f>
        <v>1h91</v>
      </c>
      <c r="X20" s="352" t="str">
        <f>+$X$2</f>
        <v>2h91</v>
      </c>
      <c r="Y20" s="352" t="str">
        <f>+$Y$2</f>
        <v>1991</v>
      </c>
      <c r="Z20" s="352" t="str">
        <f>+$Z$2</f>
        <v>1h92</v>
      </c>
      <c r="AA20" s="352" t="str">
        <f>+$AA$2</f>
        <v>2h92</v>
      </c>
      <c r="AB20" s="352" t="str">
        <f>+$AB$2</f>
        <v>1992</v>
      </c>
      <c r="AC20" s="352" t="str">
        <f>+$AC$2</f>
        <v>1h93</v>
      </c>
      <c r="AD20" s="352" t="str">
        <f>+$AD$2</f>
        <v>2h93</v>
      </c>
      <c r="AE20" s="352" t="str">
        <f>+$AE$2</f>
        <v>1993</v>
      </c>
      <c r="AF20" s="352" t="str">
        <f>+$AF$2</f>
        <v>1h94</v>
      </c>
      <c r="AG20" s="352" t="str">
        <f>+$AG$2</f>
        <v>2h94</v>
      </c>
      <c r="AH20" s="352" t="str">
        <f>+$AH$2</f>
        <v>1994</v>
      </c>
      <c r="AI20" s="352" t="str">
        <f>+$AI$2</f>
        <v>1h95</v>
      </c>
      <c r="AJ20" s="352" t="str">
        <f>+$AJ$2</f>
        <v>2h95</v>
      </c>
      <c r="AK20" s="352" t="str">
        <f>+$AK$2</f>
        <v>1995</v>
      </c>
      <c r="AL20" s="352" t="str">
        <f>+$AL$2</f>
        <v>1h96</v>
      </c>
      <c r="AM20" s="352" t="str">
        <f>+$AM$2</f>
        <v>2h96</v>
      </c>
      <c r="AN20" s="352" t="str">
        <f>+$AN$2</f>
        <v>1996</v>
      </c>
      <c r="AO20" s="352" t="str">
        <f>+$AO$2</f>
        <v>1h97</v>
      </c>
      <c r="AP20" s="352" t="str">
        <f>+$AP$2</f>
        <v>2h97</v>
      </c>
      <c r="AQ20" s="352" t="str">
        <f>+$AQ$2</f>
        <v>FY97</v>
      </c>
      <c r="AR20" s="352" t="str">
        <f>+$AR$2</f>
        <v>1H98</v>
      </c>
      <c r="AS20" s="352" t="str">
        <f>+$AS$2</f>
        <v>2H98</v>
      </c>
      <c r="AT20" s="352" t="str">
        <f>+$AT$2</f>
        <v>FY98</v>
      </c>
      <c r="AU20" s="352" t="str">
        <f>+$AU$2</f>
        <v>1H99</v>
      </c>
      <c r="AV20" s="352" t="str">
        <f>+$AV$2</f>
        <v>2H99</v>
      </c>
      <c r="AW20" s="352" t="str">
        <f>+$AW$2</f>
        <v>FY99</v>
      </c>
      <c r="AX20" s="352" t="str">
        <f>+$AX$2</f>
        <v>1H00</v>
      </c>
      <c r="AY20" s="352" t="str">
        <f>+$AY$2</f>
        <v>2H00</v>
      </c>
      <c r="AZ20" s="352" t="str">
        <f>+$AZ$2</f>
        <v>FY00</v>
      </c>
      <c r="BA20" s="352" t="str">
        <f>+$BA$2</f>
        <v>1H01</v>
      </c>
      <c r="BB20" s="352" t="str">
        <f>+$BB$2</f>
        <v>2H01</v>
      </c>
      <c r="BC20" s="352" t="str">
        <f>+$BC$2</f>
        <v>FY01</v>
      </c>
      <c r="BD20" s="352" t="str">
        <f>+$BD$2</f>
        <v>1H02</v>
      </c>
      <c r="BE20" s="352" t="str">
        <f>+$BE$2</f>
        <v>2H02</v>
      </c>
      <c r="BF20" s="352" t="str">
        <f>+$BF$2</f>
        <v>FY02</v>
      </c>
      <c r="BG20" s="352" t="str">
        <f>+$BG$2</f>
        <v>1H03</v>
      </c>
      <c r="BH20" s="352" t="str">
        <f>+$BH$2</f>
        <v>2H03</v>
      </c>
      <c r="BI20" s="352" t="str">
        <f>+$BI$2</f>
        <v>FY03</v>
      </c>
      <c r="BJ20" s="352" t="str">
        <f>+$BJ$2</f>
        <v>1H04</v>
      </c>
      <c r="BK20" s="352" t="str">
        <f>+$BK$2</f>
        <v>2H04</v>
      </c>
      <c r="BL20" s="352" t="str">
        <f>+$BL$2</f>
        <v>FY04</v>
      </c>
      <c r="BM20" s="352" t="str">
        <f>+$BM$2</f>
        <v>1H05</v>
      </c>
      <c r="BN20" s="352" t="str">
        <f>+$BN$2</f>
        <v>2H05</v>
      </c>
      <c r="BO20" s="352" t="str">
        <f>+$BO$2</f>
        <v>FY05</v>
      </c>
      <c r="BP20" s="353" t="str">
        <f>BP13</f>
        <v>1H06</v>
      </c>
      <c r="BQ20" s="353" t="str">
        <f t="shared" ref="BQ20:DQ20" si="46">BQ13</f>
        <v>2H06</v>
      </c>
      <c r="BR20" s="353" t="str">
        <f t="shared" si="46"/>
        <v>FY06</v>
      </c>
      <c r="BS20" s="353" t="str">
        <f t="shared" si="46"/>
        <v>1H07</v>
      </c>
      <c r="BT20" s="353" t="str">
        <f t="shared" si="46"/>
        <v>2H07</v>
      </c>
      <c r="BU20" s="353" t="str">
        <f t="shared" si="46"/>
        <v>FY07</v>
      </c>
      <c r="BV20" s="353" t="str">
        <f t="shared" si="46"/>
        <v>1H08</v>
      </c>
      <c r="BW20" s="353" t="str">
        <f t="shared" si="46"/>
        <v>2H08</v>
      </c>
      <c r="BX20" s="353" t="str">
        <f t="shared" si="46"/>
        <v>FY08</v>
      </c>
      <c r="BY20" s="353" t="str">
        <f t="shared" si="46"/>
        <v>1H09</v>
      </c>
      <c r="BZ20" s="353" t="str">
        <f t="shared" si="46"/>
        <v>2H09</v>
      </c>
      <c r="CA20" s="353" t="str">
        <f t="shared" si="46"/>
        <v>FY09</v>
      </c>
      <c r="CB20" s="353" t="str">
        <f t="shared" si="46"/>
        <v>1H10</v>
      </c>
      <c r="CC20" s="353" t="str">
        <f t="shared" si="46"/>
        <v>2H10</v>
      </c>
      <c r="CD20" s="353" t="str">
        <f t="shared" si="46"/>
        <v>FY10</v>
      </c>
      <c r="CE20" s="353" t="str">
        <f t="shared" si="46"/>
        <v>1H11</v>
      </c>
      <c r="CF20" s="353" t="str">
        <f t="shared" si="46"/>
        <v>2H11</v>
      </c>
      <c r="CG20" s="353" t="str">
        <f t="shared" si="46"/>
        <v>FY11</v>
      </c>
      <c r="CH20" s="353" t="str">
        <f t="shared" si="46"/>
        <v>1H12</v>
      </c>
      <c r="CI20" s="353" t="str">
        <f t="shared" si="46"/>
        <v>2H12</v>
      </c>
      <c r="CJ20" s="353" t="str">
        <f t="shared" si="46"/>
        <v>FY12</v>
      </c>
      <c r="CK20" s="353" t="str">
        <f t="shared" si="46"/>
        <v>1H13</v>
      </c>
      <c r="CL20" s="353" t="str">
        <f t="shared" si="46"/>
        <v>2H13</v>
      </c>
      <c r="CM20" s="353" t="str">
        <f t="shared" si="46"/>
        <v>FY13</v>
      </c>
      <c r="CN20" s="353" t="str">
        <f t="shared" si="46"/>
        <v>1H14</v>
      </c>
      <c r="CO20" s="353" t="str">
        <f t="shared" si="46"/>
        <v>2H14</v>
      </c>
      <c r="CP20" s="353" t="str">
        <f t="shared" si="46"/>
        <v>FY14</v>
      </c>
      <c r="CQ20" s="353" t="str">
        <f t="shared" si="46"/>
        <v>1H15</v>
      </c>
      <c r="CR20" s="353" t="str">
        <f t="shared" si="46"/>
        <v>2H15</v>
      </c>
      <c r="CS20" s="353" t="str">
        <f t="shared" si="46"/>
        <v>FY15</v>
      </c>
      <c r="CT20" s="353" t="str">
        <f t="shared" si="46"/>
        <v>1H16</v>
      </c>
      <c r="CU20" s="353" t="str">
        <f t="shared" si="46"/>
        <v>2H16</v>
      </c>
      <c r="CV20" s="353" t="str">
        <f t="shared" si="46"/>
        <v>FY16</v>
      </c>
      <c r="CW20" s="353" t="str">
        <f t="shared" si="46"/>
        <v>1H17</v>
      </c>
      <c r="CX20" s="353" t="str">
        <f t="shared" si="46"/>
        <v>2H17</v>
      </c>
      <c r="CY20" s="353" t="str">
        <f t="shared" si="46"/>
        <v>FY17</v>
      </c>
      <c r="CZ20" s="353" t="str">
        <f t="shared" si="46"/>
        <v>1H18</v>
      </c>
      <c r="DA20" s="353" t="str">
        <f t="shared" si="46"/>
        <v>2H18</v>
      </c>
      <c r="DB20" s="353" t="str">
        <f t="shared" si="46"/>
        <v>FY18</v>
      </c>
      <c r="DC20" s="353" t="str">
        <f t="shared" si="46"/>
        <v>1H19</v>
      </c>
      <c r="DD20" s="353" t="str">
        <f t="shared" si="46"/>
        <v>2H19</v>
      </c>
      <c r="DE20" s="353" t="str">
        <f t="shared" si="46"/>
        <v>FY19</v>
      </c>
      <c r="DF20" s="353" t="str">
        <f t="shared" si="46"/>
        <v>1H20</v>
      </c>
      <c r="DG20" s="353" t="str">
        <f t="shared" si="46"/>
        <v>2H20</v>
      </c>
      <c r="DH20" s="353" t="str">
        <f t="shared" si="46"/>
        <v>FY20</v>
      </c>
      <c r="DI20" s="353" t="str">
        <f t="shared" si="46"/>
        <v>1H21</v>
      </c>
      <c r="DJ20" s="353" t="str">
        <f t="shared" si="46"/>
        <v>2H21</v>
      </c>
      <c r="DK20" s="1206" t="str">
        <f t="shared" si="46"/>
        <v>FY21</v>
      </c>
      <c r="DL20" s="353" t="str">
        <f t="shared" si="46"/>
        <v>1H22</v>
      </c>
      <c r="DM20" s="353" t="str">
        <f t="shared" si="46"/>
        <v>2H22</v>
      </c>
      <c r="DN20" s="1206" t="str">
        <f t="shared" si="46"/>
        <v>FY22</v>
      </c>
      <c r="DO20" s="353" t="str">
        <f t="shared" si="46"/>
        <v>1H23</v>
      </c>
      <c r="DP20" s="353" t="str">
        <f t="shared" si="46"/>
        <v>2H23</v>
      </c>
      <c r="DQ20" s="1206" t="str">
        <f t="shared" si="46"/>
        <v>FY23</v>
      </c>
      <c r="DR20" s="353" t="str">
        <f t="shared" ref="DR20:DW20" si="47">DR13</f>
        <v>1H24</v>
      </c>
      <c r="DS20" s="353" t="str">
        <f t="shared" si="47"/>
        <v>2H24</v>
      </c>
      <c r="DT20" s="1206" t="str">
        <f t="shared" si="47"/>
        <v>FY24</v>
      </c>
      <c r="DU20" s="353" t="str">
        <f t="shared" si="47"/>
        <v>1H25</v>
      </c>
      <c r="DV20" s="353" t="str">
        <f t="shared" si="47"/>
        <v>2H25</v>
      </c>
      <c r="DW20" s="1206" t="str">
        <f t="shared" si="47"/>
        <v>FY25</v>
      </c>
      <c r="DX20" s="353" t="str">
        <f t="shared" ref="DX20:EF20" si="48">DX13</f>
        <v>1H26</v>
      </c>
      <c r="DY20" s="353" t="str">
        <f t="shared" si="48"/>
        <v>2H26E</v>
      </c>
      <c r="DZ20" s="1206" t="str">
        <f t="shared" si="48"/>
        <v>FY26E</v>
      </c>
      <c r="EA20" s="353" t="str">
        <f t="shared" si="48"/>
        <v>1H27E</v>
      </c>
      <c r="EB20" s="353" t="str">
        <f t="shared" si="48"/>
        <v>2H27E</v>
      </c>
      <c r="EC20" s="1206" t="str">
        <f t="shared" si="48"/>
        <v>FY27E</v>
      </c>
      <c r="ED20" s="353" t="str">
        <f t="shared" si="48"/>
        <v>1H28E</v>
      </c>
      <c r="EE20" s="353" t="str">
        <f t="shared" si="48"/>
        <v>2H28E</v>
      </c>
      <c r="EF20" s="1206" t="str">
        <f t="shared" si="48"/>
        <v>FY28E</v>
      </c>
      <c r="EG20" s="353" t="str">
        <f t="shared" ref="EG20:EL20" si="49">EG13</f>
        <v>1H29E</v>
      </c>
      <c r="EH20" s="353" t="str">
        <f t="shared" si="49"/>
        <v>2H29E</v>
      </c>
      <c r="EI20" s="1206" t="str">
        <f t="shared" si="49"/>
        <v>FY29E</v>
      </c>
      <c r="EJ20" s="353" t="str">
        <f t="shared" si="49"/>
        <v>1H30E</v>
      </c>
      <c r="EK20" s="353" t="str">
        <f t="shared" si="49"/>
        <v>2H30E</v>
      </c>
      <c r="EL20" s="1206" t="str">
        <f t="shared" si="49"/>
        <v>FY30E</v>
      </c>
      <c r="EM20" s="353" t="str">
        <f t="shared" ref="EM20:ER20" si="50">EM13</f>
        <v>1H31E</v>
      </c>
      <c r="EN20" s="353" t="str">
        <f t="shared" si="50"/>
        <v>2H31E</v>
      </c>
      <c r="EO20" s="1206" t="str">
        <f t="shared" si="50"/>
        <v>FY31E</v>
      </c>
      <c r="EP20" s="353" t="str">
        <f t="shared" si="50"/>
        <v>1H32E</v>
      </c>
      <c r="EQ20" s="353" t="str">
        <f t="shared" si="50"/>
        <v>2H32E</v>
      </c>
      <c r="ER20" s="1206" t="str">
        <f t="shared" si="50"/>
        <v>FY32E</v>
      </c>
      <c r="ES20" s="353" t="str">
        <f t="shared" ref="ES20:EX20" si="51">ES13</f>
        <v>1H33E</v>
      </c>
      <c r="ET20" s="353" t="str">
        <f t="shared" si="51"/>
        <v>2H33E</v>
      </c>
      <c r="EU20" s="1206" t="str">
        <f t="shared" si="51"/>
        <v>FY33E</v>
      </c>
      <c r="EV20" s="353" t="str">
        <f t="shared" si="51"/>
        <v>1H34E</v>
      </c>
      <c r="EW20" s="353" t="str">
        <f t="shared" si="51"/>
        <v>2H34E</v>
      </c>
      <c r="EX20" s="1206" t="str">
        <f t="shared" si="51"/>
        <v>FY34E</v>
      </c>
      <c r="EY20" s="353" t="str">
        <f t="shared" ref="EY20:FA20" si="52">EY13</f>
        <v>1H35E</v>
      </c>
      <c r="EZ20" s="353" t="str">
        <f t="shared" si="52"/>
        <v>2H35E</v>
      </c>
      <c r="FA20" s="353" t="str">
        <f t="shared" si="52"/>
        <v>FY35E</v>
      </c>
    </row>
    <row r="21" spans="1:157" ht="13.35" customHeight="1">
      <c r="A21" s="5"/>
      <c r="B21" s="360" t="s">
        <v>582</v>
      </c>
      <c r="C21" s="5"/>
      <c r="D21" s="5"/>
      <c r="E21" s="359"/>
      <c r="F21" s="359"/>
      <c r="G21" s="359"/>
      <c r="H21" s="359"/>
      <c r="I21" s="359"/>
      <c r="J21" s="359"/>
      <c r="K21" s="359"/>
      <c r="L21" s="359"/>
      <c r="M21" s="359"/>
      <c r="N21" s="359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B21" s="359"/>
      <c r="AC21" s="359"/>
      <c r="AD21" s="359"/>
      <c r="AE21" s="359"/>
      <c r="AF21" s="359"/>
      <c r="AG21" s="359"/>
      <c r="AH21" s="359"/>
      <c r="AI21" s="359"/>
      <c r="AJ21" s="359"/>
      <c r="AK21" s="359"/>
      <c r="AL21" s="359"/>
      <c r="AM21" s="359"/>
      <c r="AN21" s="359"/>
      <c r="AO21" s="359"/>
      <c r="AP21" s="359"/>
      <c r="AQ21" s="359"/>
      <c r="AR21" s="359"/>
      <c r="AS21" s="359"/>
      <c r="AT21" s="359"/>
      <c r="AU21" s="359"/>
      <c r="AV21" s="359"/>
      <c r="AW21" s="359"/>
      <c r="AX21" s="359"/>
      <c r="AY21" s="359"/>
      <c r="AZ21" s="359"/>
      <c r="BA21" s="359"/>
      <c r="BB21" s="359"/>
      <c r="BC21" s="359"/>
      <c r="BD21" s="359"/>
      <c r="BE21" s="359"/>
      <c r="BF21" s="359"/>
      <c r="BG21" s="359"/>
      <c r="BH21" s="359"/>
      <c r="BI21" s="359"/>
      <c r="BJ21" s="359"/>
      <c r="BK21" s="359"/>
      <c r="BL21" s="359"/>
      <c r="BM21" s="359"/>
      <c r="BN21" s="359"/>
      <c r="BO21" s="359"/>
      <c r="BP21" s="359"/>
      <c r="BQ21" s="359"/>
      <c r="BR21" s="359"/>
      <c r="BS21" s="359"/>
      <c r="BT21" s="359"/>
      <c r="BU21" s="359"/>
      <c r="BV21" s="359"/>
      <c r="BW21" s="359"/>
      <c r="BX21" s="359"/>
      <c r="BY21" s="359"/>
      <c r="BZ21" s="359"/>
      <c r="CA21" s="359"/>
      <c r="CB21" s="359"/>
      <c r="CC21" s="359"/>
      <c r="CD21" s="359"/>
      <c r="CE21" s="359"/>
      <c r="CF21" s="359"/>
      <c r="CG21" s="359"/>
      <c r="CH21" s="359"/>
      <c r="CI21" s="359"/>
      <c r="CJ21" s="359"/>
      <c r="CK21" s="359"/>
      <c r="CL21" s="359"/>
      <c r="CM21" s="359"/>
      <c r="CN21" s="359"/>
      <c r="CO21" s="359"/>
      <c r="CP21" s="359"/>
      <c r="CQ21" s="359"/>
      <c r="CR21" s="359"/>
      <c r="CS21" s="359"/>
      <c r="CT21" s="359"/>
      <c r="CU21" s="359"/>
      <c r="CV21" s="359"/>
      <c r="CW21" s="359"/>
      <c r="CX21" s="359"/>
      <c r="CY21" s="359"/>
      <c r="CZ21" s="359"/>
      <c r="DA21" s="359"/>
      <c r="DB21" s="359"/>
      <c r="DC21" s="359"/>
      <c r="DD21" s="359"/>
      <c r="DE21" s="359"/>
      <c r="DF21" s="359"/>
      <c r="DG21" s="359"/>
      <c r="DH21" s="359"/>
      <c r="DI21" s="359"/>
      <c r="DJ21" s="359"/>
      <c r="DK21" s="1208"/>
      <c r="DL21" s="359"/>
      <c r="DM21" s="359"/>
      <c r="DN21" s="1208"/>
      <c r="DO21" s="359"/>
      <c r="DP21" s="359"/>
      <c r="DQ21" s="1208"/>
      <c r="DR21" s="359"/>
      <c r="DS21" s="359"/>
      <c r="DT21" s="1208"/>
      <c r="DU21" s="359"/>
      <c r="DV21" s="359"/>
      <c r="DW21" s="1208"/>
      <c r="DX21" s="359"/>
      <c r="DY21" s="359"/>
      <c r="DZ21" s="1208"/>
      <c r="EA21" s="359"/>
      <c r="EB21" s="359"/>
      <c r="EC21" s="1208"/>
      <c r="ED21" s="359"/>
      <c r="EE21" s="359"/>
      <c r="EF21" s="1208"/>
      <c r="EG21" s="359"/>
      <c r="EH21" s="359"/>
      <c r="EI21" s="1208"/>
      <c r="EJ21" s="359"/>
      <c r="EK21" s="359"/>
      <c r="EL21" s="1208"/>
      <c r="EM21" s="359"/>
      <c r="EN21" s="359"/>
      <c r="EO21" s="1208"/>
      <c r="EP21" s="359"/>
      <c r="EQ21" s="359"/>
      <c r="ER21" s="1208"/>
      <c r="ES21" s="359"/>
      <c r="ET21" s="359"/>
      <c r="EU21" s="1208"/>
      <c r="EV21" s="359"/>
      <c r="EW21" s="359"/>
      <c r="EX21" s="1208"/>
      <c r="EY21" s="359"/>
      <c r="EZ21" s="359"/>
      <c r="FA21" s="359"/>
    </row>
    <row r="22" spans="1:157" ht="13.35" customHeight="1">
      <c r="A22" s="5"/>
      <c r="B22" s="5"/>
      <c r="C22" s="5" t="s">
        <v>583</v>
      </c>
      <c r="D22" s="5"/>
      <c r="E22" s="359" t="str">
        <f>IF(Model!E37&lt;&gt;"",Model!E37,"")</f>
        <v/>
      </c>
      <c r="F22" s="359" t="str">
        <f>IF(AND(G22&lt;&gt;"",E22&lt;&gt;""),G22-E22,"")</f>
        <v/>
      </c>
      <c r="G22" s="359" t="str">
        <f>IF(Model!G37&lt;&gt;"",Model!G37,"")</f>
        <v/>
      </c>
      <c r="H22" s="359" t="str">
        <f>IF(Model!H37&lt;&gt;"",Model!H37,"")</f>
        <v/>
      </c>
      <c r="I22" s="359" t="str">
        <f>IF(AND(J22&lt;&gt;"",H22&lt;&gt;""),J22-H22,"")</f>
        <v/>
      </c>
      <c r="J22" s="359" t="str">
        <f>IF(Model!J37&lt;&gt;"",Model!J37,"")</f>
        <v/>
      </c>
      <c r="K22" s="359" t="str">
        <f>IF(Model!K37&lt;&gt;"",Model!K37,"")</f>
        <v/>
      </c>
      <c r="L22" s="359" t="str">
        <f>IF(AND(M22&lt;&gt;"",K22&lt;&gt;""),M22-K22,"")</f>
        <v/>
      </c>
      <c r="M22" s="359" t="str">
        <f>IF(Model!M37&lt;&gt;"",Model!M37,"")</f>
        <v/>
      </c>
      <c r="N22" s="359" t="str">
        <f>IF(Model!N37&lt;&gt;"",Model!N37,"")</f>
        <v/>
      </c>
      <c r="O22" s="359" t="str">
        <f>IF(AND(P22&lt;&gt;"",N22&lt;&gt;""),P22-N22,"")</f>
        <v/>
      </c>
      <c r="P22" s="359" t="str">
        <f>IF(Model!P37&lt;&gt;"",Model!P37,"")</f>
        <v/>
      </c>
      <c r="Q22" s="359" t="str">
        <f>IF(Model!Q37&lt;&gt;"",Model!Q37,"")</f>
        <v/>
      </c>
      <c r="R22" s="359" t="str">
        <f>IF(AND(S22&lt;&gt;"",Q22&lt;&gt;""),S22-Q22,"")</f>
        <v/>
      </c>
      <c r="S22" s="359" t="str">
        <f>IF(Model!S37&lt;&gt;"",Model!S37,"")</f>
        <v/>
      </c>
      <c r="T22" s="359" t="str">
        <f>IF(Model!T37&lt;&gt;"",Model!T37,"")</f>
        <v/>
      </c>
      <c r="U22" s="359" t="str">
        <f>IF(AND(V22&lt;&gt;"",T22&lt;&gt;""),V22-T22,"")</f>
        <v/>
      </c>
      <c r="V22" s="359" t="str">
        <f>IF(Model!V37&lt;&gt;"",Model!V37,"")</f>
        <v/>
      </c>
      <c r="W22" s="359" t="str">
        <f>IF(Model!W37&lt;&gt;"",Model!W37,"")</f>
        <v/>
      </c>
      <c r="X22" s="359" t="str">
        <f>IF(AND(Y22&lt;&gt;"",W22&lt;&gt;""),Y22-W22,"")</f>
        <v/>
      </c>
      <c r="Y22" s="359" t="str">
        <f>IF(Model!Y37&lt;&gt;"",Model!Y37,"")</f>
        <v/>
      </c>
      <c r="Z22" s="359" t="str">
        <f>IF(Model!Z37&lt;&gt;"",Model!Z37,"")</f>
        <v/>
      </c>
      <c r="AA22" s="359" t="str">
        <f>IF(AND(AB22&lt;&gt;"",Z22&lt;&gt;""),AB22-Z22,"")</f>
        <v/>
      </c>
      <c r="AB22" s="359" t="str">
        <f>IF(Model!AB37&lt;&gt;"",Model!AB37,"")</f>
        <v/>
      </c>
      <c r="AC22" s="359" t="str">
        <f>IF(Model!AC37&lt;&gt;"",Model!AC37,"")</f>
        <v/>
      </c>
      <c r="AD22" s="359" t="str">
        <f>IF(AND(AE22&lt;&gt;"",AC22&lt;&gt;""),AE22-AC22,"")</f>
        <v/>
      </c>
      <c r="AE22" s="359" t="str">
        <f>IF(Model!AE37&lt;&gt;"",Model!AE37,"")</f>
        <v/>
      </c>
      <c r="AF22" s="359" t="str">
        <f>IF(Model!AF37&lt;&gt;"",Model!AF37,"")</f>
        <v/>
      </c>
      <c r="AG22" s="359" t="str">
        <f>IF(AND(AH22&lt;&gt;"",AF22&lt;&gt;""),AH22-AF22,"")</f>
        <v/>
      </c>
      <c r="AH22" s="359" t="str">
        <f>IF(Model!AH37&lt;&gt;"",Model!AH37,"")</f>
        <v/>
      </c>
      <c r="AI22" s="359" t="str">
        <f>IF(Model!AI37&lt;&gt;"",Model!AI37,"")</f>
        <v/>
      </c>
      <c r="AJ22" s="359" t="str">
        <f>IF(AND(AK22&lt;&gt;"",AI22&lt;&gt;""),AK22-AI22,"")</f>
        <v/>
      </c>
      <c r="AK22" s="359" t="str">
        <f>IF(Model!AK37&lt;&gt;"",Model!AK37,"")</f>
        <v/>
      </c>
      <c r="AL22" s="359" t="str">
        <f>IF(Model!AL37&lt;&gt;"",Model!AL37,"")</f>
        <v/>
      </c>
      <c r="AM22" s="359" t="str">
        <f>IF(AND(AN22&lt;&gt;"",AL22&lt;&gt;""),AN22-AL22,"")</f>
        <v/>
      </c>
      <c r="AN22" s="359" t="str">
        <f>IF(Model!AN37&lt;&gt;"",Model!AN37,"")</f>
        <v/>
      </c>
      <c r="AO22" s="359" t="str">
        <f>IF(Model!AO37&lt;&gt;"",Model!AO37,"")</f>
        <v/>
      </c>
      <c r="AP22" s="359" t="str">
        <f>IF(AND(AQ22&lt;&gt;"",AO22&lt;&gt;""),AQ22-AO22,"")</f>
        <v/>
      </c>
      <c r="AQ22" s="359" t="str">
        <f>IF(Model!AQ37&lt;&gt;"",Model!AQ37,"")</f>
        <v/>
      </c>
      <c r="AR22" s="359" t="str">
        <f>IF(Model!AR37&lt;&gt;"",Model!AR37,"")</f>
        <v/>
      </c>
      <c r="AS22" s="359" t="str">
        <f>IF(AND(AT22&lt;&gt;"",AR22&lt;&gt;""),AT22-AR22,"")</f>
        <v/>
      </c>
      <c r="AT22" s="359" t="str">
        <f>IF(Model!AT37&lt;&gt;"",Model!AT37,"")</f>
        <v/>
      </c>
      <c r="AU22" s="359" t="str">
        <f>IF(Model!AU37&lt;&gt;"",Model!AU37,"")</f>
        <v/>
      </c>
      <c r="AV22" s="359" t="str">
        <f>IF(AND(AW22&lt;&gt;"",AU22&lt;&gt;""),AW22-AU22,"")</f>
        <v/>
      </c>
      <c r="AW22" s="359" t="str">
        <f>IF(Model!AW37&lt;&gt;"",Model!AW37,"")</f>
        <v/>
      </c>
      <c r="AX22" s="359">
        <f>IF(Model!AX37&lt;&gt;"",Model!AX37,"")</f>
        <v>0</v>
      </c>
      <c r="AY22" s="359">
        <f>IF(AND(AZ22&lt;&gt;"",AX22&lt;&gt;""),AZ22-AX22,"")</f>
        <v>0</v>
      </c>
      <c r="AZ22" s="359">
        <f>IF(Model!AZ37&lt;&gt;"",Model!AZ37,"")</f>
        <v>0</v>
      </c>
      <c r="BA22" s="359">
        <f>IF(Model!BA37&lt;&gt;"",Model!BA37,"")</f>
        <v>0</v>
      </c>
      <c r="BB22" s="359">
        <f>IF(AND(BC22&lt;&gt;"",BA22&lt;&gt;""),BC22-BA22,"")</f>
        <v>0</v>
      </c>
      <c r="BC22" s="359">
        <f>IF(Model!BC37&lt;&gt;"",Model!BC37,"")</f>
        <v>0</v>
      </c>
      <c r="BD22" s="30"/>
      <c r="BE22" s="359" t="str">
        <f>IF(AND(BF22&lt;&gt;"",BD22&lt;&gt;""),BF22-BD22,"")</f>
        <v/>
      </c>
      <c r="BF22" s="30"/>
      <c r="BG22" s="30"/>
      <c r="BH22" s="359" t="str">
        <f>IF(AND(BI22&lt;&gt;"",BG22&lt;&gt;""),BI22-BG22,"")</f>
        <v/>
      </c>
      <c r="BI22" s="30"/>
      <c r="BJ22" s="30"/>
      <c r="BK22" s="359" t="str">
        <f>IF(AND(BL22&lt;&gt;"",BJ22&lt;&gt;""),BL22-BJ22,"")</f>
        <v/>
      </c>
      <c r="BL22" s="30"/>
      <c r="BM22" s="30"/>
      <c r="BN22" s="359" t="str">
        <f>IF(AND(BO22&lt;&gt;"",BM22&lt;&gt;""),BO22-BM22,"")</f>
        <v/>
      </c>
      <c r="BO22" s="30"/>
      <c r="BP22" s="30"/>
      <c r="BQ22" s="359" t="str">
        <f>IF(AND(BR22&lt;&gt;"",BP22&lt;&gt;""),BR22-BP22,"")</f>
        <v/>
      </c>
      <c r="BR22" s="30"/>
      <c r="BS22" s="30"/>
      <c r="BT22" s="359" t="str">
        <f>IF(AND(BU22&lt;&gt;"",BS22&lt;&gt;""),BU22-BS22,"")</f>
        <v/>
      </c>
      <c r="BU22" s="30"/>
      <c r="BV22" s="30"/>
      <c r="BW22" s="359" t="str">
        <f>IF(AND(BX22&lt;&gt;"",BV22&lt;&gt;""),BX22-BV22,"")</f>
        <v/>
      </c>
      <c r="BX22" s="30"/>
      <c r="BY22" s="30"/>
      <c r="BZ22" s="359" t="str">
        <f>IF(AND(CA22&lt;&gt;"",BY22&lt;&gt;""),CA22-BY22,"")</f>
        <v/>
      </c>
      <c r="CA22" s="30"/>
      <c r="CB22" s="30"/>
      <c r="CC22" s="359" t="str">
        <f>IF(AND(CD22&lt;&gt;"",CB22&lt;&gt;""),CD22-CB22,"")</f>
        <v/>
      </c>
      <c r="CD22" s="30"/>
      <c r="CE22" s="30"/>
      <c r="CF22" s="359" t="str">
        <f>IF(AND(CG22&lt;&gt;"",CE22&lt;&gt;""),CG22-CE22,"")</f>
        <v/>
      </c>
      <c r="CG22" s="30"/>
      <c r="CH22" s="30"/>
      <c r="CI22" s="359" t="str">
        <f>IF(AND(CJ22&lt;&gt;"",CH22&lt;&gt;""),CJ22-CH22,"")</f>
        <v/>
      </c>
      <c r="CJ22" s="30"/>
      <c r="CK22" s="30"/>
      <c r="CL22" s="359" t="str">
        <f>IF(AND(CM22&lt;&gt;"",CK22&lt;&gt;""),CM22-CK22,"")</f>
        <v/>
      </c>
      <c r="CM22" s="30"/>
      <c r="CN22" s="30"/>
      <c r="CO22" s="359" t="str">
        <f>IF(AND(CP22&lt;&gt;"",CN22&lt;&gt;""),CP22-CN22,"")</f>
        <v/>
      </c>
      <c r="CP22" s="30"/>
      <c r="CQ22" s="30"/>
      <c r="CR22" s="359" t="str">
        <f>IF(AND(CS22&lt;&gt;"",CQ22&lt;&gt;""),CS22-CQ22,"")</f>
        <v/>
      </c>
      <c r="CS22" s="30"/>
      <c r="CT22" s="30"/>
      <c r="CU22" s="359" t="str">
        <f>IF(AND(CV22&lt;&gt;"",CT22&lt;&gt;""),CV22-CT22,"")</f>
        <v/>
      </c>
      <c r="CV22" s="30"/>
      <c r="CW22" s="30"/>
      <c r="CX22" s="359" t="str">
        <f>IF(AND(CY22&lt;&gt;"",CW22&lt;&gt;""),CY22-CW22,"")</f>
        <v/>
      </c>
      <c r="CY22" s="30"/>
      <c r="CZ22" s="30"/>
      <c r="DA22" s="359" t="str">
        <f>IF(AND(DB22&lt;&gt;"",CZ22&lt;&gt;""),DB22-CZ22,"")</f>
        <v/>
      </c>
      <c r="DB22" s="30"/>
      <c r="DC22" s="30"/>
      <c r="DD22" s="359" t="str">
        <f>IF(AND(DE22&lt;&gt;"",DC22&lt;&gt;""),DE22-DC22,"")</f>
        <v/>
      </c>
      <c r="DE22" s="30"/>
      <c r="DF22" s="30"/>
      <c r="DG22" s="359" t="str">
        <f>IF(AND(DH22&lt;&gt;"",DF22&lt;&gt;""),DH22-DF22,"")</f>
        <v/>
      </c>
      <c r="DH22" s="30"/>
      <c r="DI22" s="30"/>
      <c r="DJ22" s="359" t="str">
        <f>IF(AND(DK22&lt;&gt;"",DI22&lt;&gt;""),DK22-DI22,"")</f>
        <v/>
      </c>
      <c r="DK22" s="1096"/>
      <c r="DL22" s="30"/>
      <c r="DM22" s="359" t="str">
        <f>IF(AND(DN22&lt;&gt;"",DL22&lt;&gt;""),DN22-DL22,"")</f>
        <v/>
      </c>
      <c r="DN22" s="1096"/>
      <c r="DO22" s="30"/>
      <c r="DP22" s="359" t="str">
        <f>IF(AND(DQ22&lt;&gt;"",DO22&lt;&gt;""),DQ22-DO22,"")</f>
        <v/>
      </c>
      <c r="DQ22" s="1096"/>
      <c r="DR22" s="30"/>
      <c r="DS22" s="359" t="str">
        <f>IF(AND(DT22&lt;&gt;"",DR22&lt;&gt;""),DT22-DR22,"")</f>
        <v/>
      </c>
      <c r="DT22" s="1096"/>
      <c r="DU22" s="30"/>
      <c r="DV22" s="359" t="str">
        <f>IF(AND(DW22&lt;&gt;"",DU22&lt;&gt;""),DW22-DU22,"")</f>
        <v/>
      </c>
      <c r="DW22" s="1096"/>
      <c r="DX22" s="30"/>
      <c r="DY22" s="359" t="str">
        <f>IF(AND(DZ22&lt;&gt;"",DX22&lt;&gt;""),DZ22-DX22,"")</f>
        <v/>
      </c>
      <c r="DZ22" s="1096"/>
      <c r="EA22" s="30"/>
      <c r="EB22" s="359" t="str">
        <f>IF(AND(EC22&lt;&gt;"",EA22&lt;&gt;""),EC22-EA22,"")</f>
        <v/>
      </c>
      <c r="EC22" s="1096"/>
      <c r="ED22" s="30"/>
      <c r="EE22" s="359" t="str">
        <f>IF(AND(EF22&lt;&gt;"",ED22&lt;&gt;""),EF22-ED22,"")</f>
        <v/>
      </c>
      <c r="EF22" s="1096"/>
      <c r="EG22" s="30"/>
      <c r="EH22" s="359" t="str">
        <f>IF(AND(EI22&lt;&gt;"",EG22&lt;&gt;""),EI22-EG22,"")</f>
        <v/>
      </c>
      <c r="EI22" s="1096"/>
      <c r="EJ22" s="30"/>
      <c r="EK22" s="359" t="str">
        <f>IF(AND(EL22&lt;&gt;"",EJ22&lt;&gt;""),EL22-EJ22,"")</f>
        <v/>
      </c>
      <c r="EL22" s="1096"/>
      <c r="EM22" s="30"/>
      <c r="EN22" s="359" t="str">
        <f>IF(AND(EO22&lt;&gt;"",EM22&lt;&gt;""),EO22-EM22,"")</f>
        <v/>
      </c>
      <c r="EO22" s="1096"/>
      <c r="EP22" s="30"/>
      <c r="EQ22" s="359" t="str">
        <f>IF(AND(ER22&lt;&gt;"",EP22&lt;&gt;""),ER22-EP22,"")</f>
        <v/>
      </c>
      <c r="ER22" s="1096"/>
      <c r="ES22" s="30"/>
      <c r="ET22" s="359" t="str">
        <f>IF(AND(EU22&lt;&gt;"",ES22&lt;&gt;""),EU22-ES22,"")</f>
        <v/>
      </c>
      <c r="EU22" s="1096"/>
      <c r="EV22" s="30"/>
      <c r="EW22" s="359" t="str">
        <f>IF(AND(EX22&lt;&gt;"",EV22&lt;&gt;""),EX22-EV22,"")</f>
        <v/>
      </c>
      <c r="EX22" s="1096"/>
      <c r="EY22" s="30"/>
      <c r="EZ22" s="359" t="str">
        <f>IF(AND(FA22&lt;&gt;"",EY22&lt;&gt;""),FA22-EY22,"")</f>
        <v/>
      </c>
      <c r="FA22" s="30"/>
    </row>
    <row r="23" spans="1:157" ht="13.35" customHeight="1">
      <c r="A23" s="5"/>
      <c r="B23" s="5"/>
      <c r="C23" s="5" t="s">
        <v>584</v>
      </c>
      <c r="D23" s="5"/>
      <c r="E23" s="359" t="str">
        <f>IF(Model!E38&lt;&gt;"",Model!E38,"")</f>
        <v/>
      </c>
      <c r="F23" s="359" t="str">
        <f>IF(AND(G23&lt;&gt;"",E23&lt;&gt;""),G23-E23,"")</f>
        <v/>
      </c>
      <c r="G23" s="359" t="str">
        <f>IF(Model!G38&lt;&gt;"",Model!G38,"")</f>
        <v/>
      </c>
      <c r="H23" s="359" t="str">
        <f>IF(Model!H38&lt;&gt;"",Model!H38,"")</f>
        <v/>
      </c>
      <c r="I23" s="359" t="str">
        <f>IF(AND(J23&lt;&gt;"",H23&lt;&gt;""),J23-H23,"")</f>
        <v/>
      </c>
      <c r="J23" s="359" t="str">
        <f>IF(Model!J38&lt;&gt;"",Model!J38,"")</f>
        <v/>
      </c>
      <c r="K23" s="359" t="str">
        <f>IF(Model!K38&lt;&gt;"",Model!K38,"")</f>
        <v/>
      </c>
      <c r="L23" s="359" t="str">
        <f>IF(AND(M23&lt;&gt;"",K23&lt;&gt;""),M23-K23,"")</f>
        <v/>
      </c>
      <c r="M23" s="359" t="str">
        <f>IF(Model!M38&lt;&gt;"",Model!M38,"")</f>
        <v/>
      </c>
      <c r="N23" s="359" t="str">
        <f>IF(Model!N38&lt;&gt;"",Model!N38,"")</f>
        <v/>
      </c>
      <c r="O23" s="359" t="str">
        <f>IF(AND(P23&lt;&gt;"",N23&lt;&gt;""),P23-N23,"")</f>
        <v/>
      </c>
      <c r="P23" s="359" t="str">
        <f>IF(Model!P38&lt;&gt;"",Model!P38,"")</f>
        <v/>
      </c>
      <c r="Q23" s="359" t="str">
        <f>IF(Model!Q38&lt;&gt;"",Model!Q38,"")</f>
        <v/>
      </c>
      <c r="R23" s="359" t="str">
        <f>IF(AND(S23&lt;&gt;"",Q23&lt;&gt;""),S23-Q23,"")</f>
        <v/>
      </c>
      <c r="S23" s="359" t="str">
        <f>IF(Model!S38&lt;&gt;"",Model!S38,"")</f>
        <v/>
      </c>
      <c r="T23" s="359" t="str">
        <f>IF(Model!T38&lt;&gt;"",Model!T38,"")</f>
        <v/>
      </c>
      <c r="U23" s="359" t="str">
        <f>IF(AND(V23&lt;&gt;"",T23&lt;&gt;""),V23-T23,"")</f>
        <v/>
      </c>
      <c r="V23" s="359" t="str">
        <f>IF(Model!V38&lt;&gt;"",Model!V38,"")</f>
        <v/>
      </c>
      <c r="W23" s="359" t="str">
        <f>IF(Model!W38&lt;&gt;"",Model!W38,"")</f>
        <v/>
      </c>
      <c r="X23" s="359" t="str">
        <f>IF(AND(Y23&lt;&gt;"",W23&lt;&gt;""),Y23-W23,"")</f>
        <v/>
      </c>
      <c r="Y23" s="359" t="str">
        <f>IF(Model!Y38&lt;&gt;"",Model!Y38,"")</f>
        <v/>
      </c>
      <c r="Z23" s="359" t="str">
        <f>IF(Model!Z38&lt;&gt;"",Model!Z38,"")</f>
        <v/>
      </c>
      <c r="AA23" s="359" t="str">
        <f>IF(AND(AB23&lt;&gt;"",Z23&lt;&gt;""),AB23-Z23,"")</f>
        <v/>
      </c>
      <c r="AB23" s="359" t="str">
        <f>IF(Model!AB38&lt;&gt;"",Model!AB38,"")</f>
        <v/>
      </c>
      <c r="AC23" s="359" t="str">
        <f>IF(Model!AC38&lt;&gt;"",Model!AC38,"")</f>
        <v/>
      </c>
      <c r="AD23" s="359" t="str">
        <f>IF(AND(AE23&lt;&gt;"",AC23&lt;&gt;""),AE23-AC23,"")</f>
        <v/>
      </c>
      <c r="AE23" s="359" t="str">
        <f>IF(Model!AE38&lt;&gt;"",Model!AE38,"")</f>
        <v/>
      </c>
      <c r="AF23" s="359" t="str">
        <f>IF(Model!AF38&lt;&gt;"",Model!AF38,"")</f>
        <v/>
      </c>
      <c r="AG23" s="359" t="str">
        <f>IF(AND(AH23&lt;&gt;"",AF23&lt;&gt;""),AH23-AF23,"")</f>
        <v/>
      </c>
      <c r="AH23" s="359" t="str">
        <f>IF(Model!AH38&lt;&gt;"",Model!AH38,"")</f>
        <v/>
      </c>
      <c r="AI23" s="359" t="str">
        <f>IF(Model!AI38&lt;&gt;"",Model!AI38,"")</f>
        <v/>
      </c>
      <c r="AJ23" s="359" t="str">
        <f>IF(AND(AK23&lt;&gt;"",AI23&lt;&gt;""),AK23-AI23,"")</f>
        <v/>
      </c>
      <c r="AK23" s="359" t="str">
        <f>IF(Model!AK38&lt;&gt;"",Model!AK38,"")</f>
        <v/>
      </c>
      <c r="AL23" s="359" t="str">
        <f>IF(Model!AL38&lt;&gt;"",Model!AL38,"")</f>
        <v/>
      </c>
      <c r="AM23" s="359" t="str">
        <f>IF(AND(AN23&lt;&gt;"",AL23&lt;&gt;""),AN23-AL23,"")</f>
        <v/>
      </c>
      <c r="AN23" s="359" t="str">
        <f>IF(Model!AN38&lt;&gt;"",Model!AN38,"")</f>
        <v/>
      </c>
      <c r="AO23" s="359" t="str">
        <f>IF(Model!AO38&lt;&gt;"",Model!AO38,"")</f>
        <v/>
      </c>
      <c r="AP23" s="359" t="str">
        <f>IF(AND(AQ23&lt;&gt;"",AO23&lt;&gt;""),AQ23-AO23,"")</f>
        <v/>
      </c>
      <c r="AQ23" s="359" t="str">
        <f>IF(Model!AQ38&lt;&gt;"",Model!AQ38,"")</f>
        <v/>
      </c>
      <c r="AR23" s="359" t="str">
        <f>IF(Model!AR38&lt;&gt;"",Model!AR38,"")</f>
        <v/>
      </c>
      <c r="AS23" s="359" t="str">
        <f>IF(AND(AT23&lt;&gt;"",AR23&lt;&gt;""),AT23-AR23,"")</f>
        <v/>
      </c>
      <c r="AT23" s="359" t="str">
        <f>IF(Model!AT38&lt;&gt;"",Model!AT38,"")</f>
        <v/>
      </c>
      <c r="AU23" s="359" t="str">
        <f>IF(Model!AU38&lt;&gt;"",Model!AU38,"")</f>
        <v/>
      </c>
      <c r="AV23" s="359" t="str">
        <f>IF(AND(AW23&lt;&gt;"",AU23&lt;&gt;""),AW23-AU23,"")</f>
        <v/>
      </c>
      <c r="AW23" s="359" t="str">
        <f>IF(Model!AW38&lt;&gt;"",Model!AW38,"")</f>
        <v/>
      </c>
      <c r="AX23" s="359">
        <f>IF(Model!AX38&lt;&gt;"",Model!AX38,"")</f>
        <v>0</v>
      </c>
      <c r="AY23" s="359">
        <f>IF(AND(AZ23&lt;&gt;"",AX23&lt;&gt;""),AZ23-AX23,"")</f>
        <v>0</v>
      </c>
      <c r="AZ23" s="359">
        <f>IF(Model!AZ38&lt;&gt;"",Model!AZ38,"")</f>
        <v>0</v>
      </c>
      <c r="BA23" s="359">
        <f>IF(Model!BA38&lt;&gt;"",Model!BA38,"")</f>
        <v>0</v>
      </c>
      <c r="BB23" s="359">
        <f>IF(AND(BC23&lt;&gt;"",BA23&lt;&gt;""),BC23-BA23,"")</f>
        <v>0</v>
      </c>
      <c r="BC23" s="359">
        <f>IF(Model!BC38&lt;&gt;"",Model!BC38,"")</f>
        <v>0</v>
      </c>
      <c r="BD23" s="30"/>
      <c r="BE23" s="359" t="str">
        <f>IF(AND(BF23&lt;&gt;"",BD23&lt;&gt;""),BF23-BD23,"")</f>
        <v/>
      </c>
      <c r="BF23" s="30"/>
      <c r="BG23" s="30"/>
      <c r="BH23" s="359" t="str">
        <f>IF(AND(BI23&lt;&gt;"",BG23&lt;&gt;""),BI23-BG23,"")</f>
        <v/>
      </c>
      <c r="BI23" s="30"/>
      <c r="BJ23" s="30"/>
      <c r="BK23" s="359" t="str">
        <f>IF(AND(BL23&lt;&gt;"",BJ23&lt;&gt;""),BL23-BJ23,"")</f>
        <v/>
      </c>
      <c r="BL23" s="30"/>
      <c r="BM23" s="30"/>
      <c r="BN23" s="359" t="str">
        <f>IF(AND(BO23&lt;&gt;"",BM23&lt;&gt;""),BO23-BM23,"")</f>
        <v/>
      </c>
      <c r="BO23" s="30"/>
      <c r="BP23" s="30"/>
      <c r="BQ23" s="359" t="str">
        <f>IF(AND(BR23&lt;&gt;"",BP23&lt;&gt;""),BR23-BP23,"")</f>
        <v/>
      </c>
      <c r="BR23" s="30"/>
      <c r="BS23" s="30"/>
      <c r="BT23" s="359" t="str">
        <f>IF(AND(BU23&lt;&gt;"",BS23&lt;&gt;""),BU23-BS23,"")</f>
        <v/>
      </c>
      <c r="BU23" s="30"/>
      <c r="BV23" s="30"/>
      <c r="BW23" s="359" t="str">
        <f>IF(AND(BX23&lt;&gt;"",BV23&lt;&gt;""),BX23-BV23,"")</f>
        <v/>
      </c>
      <c r="BX23" s="30"/>
      <c r="BY23" s="30"/>
      <c r="BZ23" s="359" t="str">
        <f>IF(AND(CA23&lt;&gt;"",BY23&lt;&gt;""),CA23-BY23,"")</f>
        <v/>
      </c>
      <c r="CA23" s="30"/>
      <c r="CB23" s="30"/>
      <c r="CC23" s="359" t="str">
        <f>IF(AND(CD23&lt;&gt;"",CB23&lt;&gt;""),CD23-CB23,"")</f>
        <v/>
      </c>
      <c r="CD23" s="30"/>
      <c r="CE23" s="30"/>
      <c r="CF23" s="359" t="str">
        <f>IF(AND(CG23&lt;&gt;"",CE23&lt;&gt;""),CG23-CE23,"")</f>
        <v/>
      </c>
      <c r="CG23" s="30"/>
      <c r="CH23" s="30"/>
      <c r="CI23" s="359" t="str">
        <f>IF(AND(CJ23&lt;&gt;"",CH23&lt;&gt;""),CJ23-CH23,"")</f>
        <v/>
      </c>
      <c r="CJ23" s="30"/>
      <c r="CK23" s="30"/>
      <c r="CL23" s="359" t="str">
        <f>IF(AND(CM23&lt;&gt;"",CK23&lt;&gt;""),CM23-CK23,"")</f>
        <v/>
      </c>
      <c r="CM23" s="30"/>
      <c r="CN23" s="30"/>
      <c r="CO23" s="359" t="str">
        <f>IF(AND(CP23&lt;&gt;"",CN23&lt;&gt;""),CP23-CN23,"")</f>
        <v/>
      </c>
      <c r="CP23" s="30"/>
      <c r="CQ23" s="30"/>
      <c r="CR23" s="359" t="str">
        <f>IF(AND(CS23&lt;&gt;"",CQ23&lt;&gt;""),CS23-CQ23,"")</f>
        <v/>
      </c>
      <c r="CS23" s="30"/>
      <c r="CT23" s="30"/>
      <c r="CU23" s="359" t="str">
        <f>IF(AND(CV23&lt;&gt;"",CT23&lt;&gt;""),CV23-CT23,"")</f>
        <v/>
      </c>
      <c r="CV23" s="30"/>
      <c r="CW23" s="30"/>
      <c r="CX23" s="359" t="str">
        <f>IF(AND(CY23&lt;&gt;"",CW23&lt;&gt;""),CY23-CW23,"")</f>
        <v/>
      </c>
      <c r="CY23" s="30"/>
      <c r="CZ23" s="30"/>
      <c r="DA23" s="359" t="str">
        <f>IF(AND(DB23&lt;&gt;"",CZ23&lt;&gt;""),DB23-CZ23,"")</f>
        <v/>
      </c>
      <c r="DB23" s="30"/>
      <c r="DC23" s="30"/>
      <c r="DD23" s="359" t="str">
        <f>IF(AND(DE23&lt;&gt;"",DC23&lt;&gt;""),DE23-DC23,"")</f>
        <v/>
      </c>
      <c r="DE23" s="30"/>
      <c r="DF23" s="30"/>
      <c r="DG23" s="359" t="str">
        <f>IF(AND(DH23&lt;&gt;"",DF23&lt;&gt;""),DH23-DF23,"")</f>
        <v/>
      </c>
      <c r="DH23" s="30"/>
      <c r="DI23" s="30"/>
      <c r="DJ23" s="359" t="str">
        <f>IF(AND(DK23&lt;&gt;"",DI23&lt;&gt;""),DK23-DI23,"")</f>
        <v/>
      </c>
      <c r="DK23" s="1096"/>
      <c r="DL23" s="30"/>
      <c r="DM23" s="359" t="str">
        <f>IF(AND(DN23&lt;&gt;"",DL23&lt;&gt;""),DN23-DL23,"")</f>
        <v/>
      </c>
      <c r="DN23" s="1096"/>
      <c r="DO23" s="30"/>
      <c r="DP23" s="359" t="str">
        <f>IF(AND(DQ23&lt;&gt;"",DO23&lt;&gt;""),DQ23-DO23,"")</f>
        <v/>
      </c>
      <c r="DQ23" s="1096"/>
      <c r="DR23" s="30"/>
      <c r="DS23" s="359" t="str">
        <f>IF(AND(DT23&lt;&gt;"",DR23&lt;&gt;""),DT23-DR23,"")</f>
        <v/>
      </c>
      <c r="DT23" s="1096"/>
      <c r="DU23" s="30"/>
      <c r="DV23" s="359" t="str">
        <f>IF(AND(DW23&lt;&gt;"",DU23&lt;&gt;""),DW23-DU23,"")</f>
        <v/>
      </c>
      <c r="DW23" s="1096"/>
      <c r="DX23" s="30"/>
      <c r="DY23" s="359" t="str">
        <f>IF(AND(DZ23&lt;&gt;"",DX23&lt;&gt;""),DZ23-DX23,"")</f>
        <v/>
      </c>
      <c r="DZ23" s="1096"/>
      <c r="EA23" s="30"/>
      <c r="EB23" s="359" t="str">
        <f>IF(AND(EC23&lt;&gt;"",EA23&lt;&gt;""),EC23-EA23,"")</f>
        <v/>
      </c>
      <c r="EC23" s="1096"/>
      <c r="ED23" s="30"/>
      <c r="EE23" s="359" t="str">
        <f>IF(AND(EF23&lt;&gt;"",ED23&lt;&gt;""),EF23-ED23,"")</f>
        <v/>
      </c>
      <c r="EF23" s="1096"/>
      <c r="EG23" s="30"/>
      <c r="EH23" s="359" t="str">
        <f>IF(AND(EI23&lt;&gt;"",EG23&lt;&gt;""),EI23-EG23,"")</f>
        <v/>
      </c>
      <c r="EI23" s="1096"/>
      <c r="EJ23" s="30"/>
      <c r="EK23" s="359" t="str">
        <f>IF(AND(EL23&lt;&gt;"",EJ23&lt;&gt;""),EL23-EJ23,"")</f>
        <v/>
      </c>
      <c r="EL23" s="1096"/>
      <c r="EM23" s="30"/>
      <c r="EN23" s="359" t="str">
        <f>IF(AND(EO23&lt;&gt;"",EM23&lt;&gt;""),EO23-EM23,"")</f>
        <v/>
      </c>
      <c r="EO23" s="1096"/>
      <c r="EP23" s="30"/>
      <c r="EQ23" s="359" t="str">
        <f>IF(AND(ER23&lt;&gt;"",EP23&lt;&gt;""),ER23-EP23,"")</f>
        <v/>
      </c>
      <c r="ER23" s="1096"/>
      <c r="ES23" s="30"/>
      <c r="ET23" s="359" t="str">
        <f>IF(AND(EU23&lt;&gt;"",ES23&lt;&gt;""),EU23-ES23,"")</f>
        <v/>
      </c>
      <c r="EU23" s="1096"/>
      <c r="EV23" s="30"/>
      <c r="EW23" s="359" t="str">
        <f>IF(AND(EX23&lt;&gt;"",EV23&lt;&gt;""),EX23-EV23,"")</f>
        <v/>
      </c>
      <c r="EX23" s="1096"/>
      <c r="EY23" s="30"/>
      <c r="EZ23" s="359" t="str">
        <f>IF(AND(FA23&lt;&gt;"",EY23&lt;&gt;""),FA23-EY23,"")</f>
        <v/>
      </c>
      <c r="FA23" s="30"/>
    </row>
    <row r="24" spans="1:157" ht="13.35" customHeight="1">
      <c r="A24" s="5"/>
      <c r="B24" s="5"/>
      <c r="C24" s="5" t="s">
        <v>585</v>
      </c>
      <c r="D24" s="5"/>
      <c r="E24" s="359" t="str">
        <f>IF(Model!E41&lt;&gt;"",Model!E41,"")</f>
        <v/>
      </c>
      <c r="F24" s="359" t="str">
        <f>IF(AND(G24&lt;&gt;"",E24&lt;&gt;""),G24-E24,"")</f>
        <v/>
      </c>
      <c r="G24" s="359" t="str">
        <f>IF(Model!G41&lt;&gt;"",Model!G41,"")</f>
        <v/>
      </c>
      <c r="H24" s="359" t="str">
        <f>IF(Model!H41&lt;&gt;"",Model!H41,"")</f>
        <v/>
      </c>
      <c r="I24" s="359" t="str">
        <f>IF(AND(J24&lt;&gt;"",H24&lt;&gt;""),J24-H24,"")</f>
        <v/>
      </c>
      <c r="J24" s="359" t="str">
        <f>IF(Model!J41&lt;&gt;"",Model!J41,"")</f>
        <v/>
      </c>
      <c r="K24" s="359" t="str">
        <f>IF(Model!K41&lt;&gt;"",Model!K41,"")</f>
        <v/>
      </c>
      <c r="L24" s="359" t="str">
        <f>IF(AND(M24&lt;&gt;"",K24&lt;&gt;""),M24-K24,"")</f>
        <v/>
      </c>
      <c r="M24" s="359" t="str">
        <f>IF(Model!M41&lt;&gt;"",Model!M41,"")</f>
        <v/>
      </c>
      <c r="N24" s="359" t="str">
        <f>IF(Model!N41&lt;&gt;"",Model!N41,"")</f>
        <v/>
      </c>
      <c r="O24" s="359" t="str">
        <f>IF(AND(P24&lt;&gt;"",N24&lt;&gt;""),P24-N24,"")</f>
        <v/>
      </c>
      <c r="P24" s="359" t="str">
        <f>IF(Model!P41&lt;&gt;"",Model!P41,"")</f>
        <v/>
      </c>
      <c r="Q24" s="359" t="str">
        <f>IF(Model!Q41&lt;&gt;"",Model!Q41,"")</f>
        <v/>
      </c>
      <c r="R24" s="359" t="str">
        <f>IF(AND(S24&lt;&gt;"",Q24&lt;&gt;""),S24-Q24,"")</f>
        <v/>
      </c>
      <c r="S24" s="359" t="str">
        <f>IF(Model!S41&lt;&gt;"",Model!S41,"")</f>
        <v/>
      </c>
      <c r="T24" s="359" t="str">
        <f>IF(Model!T41&lt;&gt;"",Model!T41,"")</f>
        <v/>
      </c>
      <c r="U24" s="359" t="str">
        <f>IF(AND(V24&lt;&gt;"",T24&lt;&gt;""),V24-T24,"")</f>
        <v/>
      </c>
      <c r="V24" s="359" t="str">
        <f>IF(Model!V41&lt;&gt;"",Model!V41,"")</f>
        <v/>
      </c>
      <c r="W24" s="359" t="str">
        <f>IF(Model!W41&lt;&gt;"",Model!W41,"")</f>
        <v/>
      </c>
      <c r="X24" s="359" t="str">
        <f>IF(AND(Y24&lt;&gt;"",W24&lt;&gt;""),Y24-W24,"")</f>
        <v/>
      </c>
      <c r="Y24" s="359" t="str">
        <f>IF(Model!Y41&lt;&gt;"",Model!Y41,"")</f>
        <v/>
      </c>
      <c r="Z24" s="359" t="str">
        <f>IF(Model!Z41&lt;&gt;"",Model!Z41,"")</f>
        <v/>
      </c>
      <c r="AA24" s="359" t="str">
        <f>IF(AND(AB24&lt;&gt;"",Z24&lt;&gt;""),AB24-Z24,"")</f>
        <v/>
      </c>
      <c r="AB24" s="359" t="str">
        <f>IF(Model!AB41&lt;&gt;"",Model!AB41,"")</f>
        <v/>
      </c>
      <c r="AC24" s="359" t="str">
        <f>IF(Model!AC41&lt;&gt;"",Model!AC41,"")</f>
        <v/>
      </c>
      <c r="AD24" s="359" t="str">
        <f>IF(AND(AE24&lt;&gt;"",AC24&lt;&gt;""),AE24-AC24,"")</f>
        <v/>
      </c>
      <c r="AE24" s="359" t="str">
        <f>IF(Model!AE41&lt;&gt;"",Model!AE41,"")</f>
        <v/>
      </c>
      <c r="AF24" s="359" t="str">
        <f>IF(Model!AF41&lt;&gt;"",Model!AF41,"")</f>
        <v/>
      </c>
      <c r="AG24" s="359" t="str">
        <f>IF(AND(AH24&lt;&gt;"",AF24&lt;&gt;""),AH24-AF24,"")</f>
        <v/>
      </c>
      <c r="AH24" s="359" t="str">
        <f>IF(Model!AH41&lt;&gt;"",Model!AH41,"")</f>
        <v/>
      </c>
      <c r="AI24" s="359">
        <f>IF(Model!AI41&lt;&gt;"",Model!AI41,"")</f>
        <v>0.31900000000000001</v>
      </c>
      <c r="AJ24" s="359">
        <f>IF(AND(AK24&lt;&gt;"",AI24&lt;&gt;""),AK24-AI24,"")</f>
        <v>4.2999999999999983E-2</v>
      </c>
      <c r="AK24" s="359">
        <f>IF(Model!AK41&lt;&gt;"",Model!AK41,"")</f>
        <v>0.36199999999999999</v>
      </c>
      <c r="AL24" s="359">
        <f>IF(Model!AL41&lt;&gt;"",Model!AL41,"")</f>
        <v>0.53</v>
      </c>
      <c r="AM24" s="359">
        <f>IF(AND(AN24&lt;&gt;"",AL24&lt;&gt;""),AN24-AL24,"")</f>
        <v>0.625</v>
      </c>
      <c r="AN24" s="359">
        <f>IF(Model!AN41&lt;&gt;"",Model!AN41,"")</f>
        <v>1.155</v>
      </c>
      <c r="AO24" s="359">
        <f>IF(Model!AO41&lt;&gt;"",Model!AO41,"")</f>
        <v>0.21199999999999997</v>
      </c>
      <c r="AP24" s="359">
        <f>IF(AND(AQ24&lt;&gt;"",AO24&lt;&gt;""),AQ24-AO24,"")</f>
        <v>0.11799999999999999</v>
      </c>
      <c r="AQ24" s="359">
        <f>IF(Model!AQ41&lt;&gt;"",Model!AQ41,"")</f>
        <v>0.32999999999999996</v>
      </c>
      <c r="AR24" s="359" t="str">
        <f>IF(Model!AR41&lt;&gt;"",Model!AR41,"")</f>
        <v/>
      </c>
      <c r="AS24" s="359" t="str">
        <f>IF(AND(AT24&lt;&gt;"",AR24&lt;&gt;""),AT24-AR24,"")</f>
        <v/>
      </c>
      <c r="AT24" s="359">
        <f>IF(Model!AT41&lt;&gt;"",Model!AT41,"")</f>
        <v>0.57100000000000006</v>
      </c>
      <c r="AU24" s="359">
        <f>IF(Model!AU41&lt;&gt;"",Model!AU41,"")</f>
        <v>5.9999999999999498E-3</v>
      </c>
      <c r="AV24" s="359">
        <f>IF(AND(AW24&lt;&gt;"",AU24&lt;&gt;""),AW24-AU24,"")</f>
        <v>6.3000000000000111E-2</v>
      </c>
      <c r="AW24" s="359">
        <f>IF(Model!AW41&lt;&gt;"",Model!AW41,"")</f>
        <v>6.9000000000000061E-2</v>
      </c>
      <c r="AX24" s="359">
        <f>IF(Model!AX41&lt;&gt;"",Model!AX41,"")</f>
        <v>0.30599999999999994</v>
      </c>
      <c r="AY24" s="359">
        <f>IF(AND(AZ24&lt;&gt;"",AX24&lt;&gt;""),AZ24-AX24,"")</f>
        <v>0.49900000000000022</v>
      </c>
      <c r="AZ24" s="359">
        <f>IF(Model!AZ41&lt;&gt;"",Model!AZ41,"")</f>
        <v>0.80500000000000016</v>
      </c>
      <c r="BA24" s="359">
        <f>IF(Model!BA41&lt;&gt;"",Model!BA41,"")</f>
        <v>0</v>
      </c>
      <c r="BB24" s="359">
        <f>IF(AND(BC24&lt;&gt;"",BA24&lt;&gt;""),BC24-BA24,"")</f>
        <v>0.9630000000000003</v>
      </c>
      <c r="BC24" s="359">
        <f>IF(Model!BC41&lt;&gt;"",Model!BC41,"")</f>
        <v>0.9630000000000003</v>
      </c>
      <c r="BD24" s="30"/>
      <c r="BE24" s="359" t="str">
        <f>IF(AND(BF24&lt;&gt;"",BD24&lt;&gt;""),BF24-BD24,"")</f>
        <v/>
      </c>
      <c r="BF24" s="30"/>
      <c r="BG24" s="30"/>
      <c r="BH24" s="359" t="str">
        <f>IF(AND(BI24&lt;&gt;"",BG24&lt;&gt;""),BI24-BG24,"")</f>
        <v/>
      </c>
      <c r="BI24" s="30"/>
      <c r="BJ24" s="30"/>
      <c r="BK24" s="359" t="str">
        <f>IF(AND(BL24&lt;&gt;"",BJ24&lt;&gt;""),BL24-BJ24,"")</f>
        <v/>
      </c>
      <c r="BL24" s="30"/>
      <c r="BM24" s="30"/>
      <c r="BN24" s="359" t="str">
        <f>IF(AND(BO24&lt;&gt;"",BM24&lt;&gt;""),BO24-BM24,"")</f>
        <v/>
      </c>
      <c r="BO24" s="30"/>
      <c r="BP24" s="30"/>
      <c r="BQ24" s="359" t="str">
        <f>IF(AND(BR24&lt;&gt;"",BP24&lt;&gt;""),BR24-BP24,"")</f>
        <v/>
      </c>
      <c r="BR24" s="30"/>
      <c r="BS24" s="30"/>
      <c r="BT24" s="359" t="str">
        <f>IF(AND(BU24&lt;&gt;"",BS24&lt;&gt;""),BU24-BS24,"")</f>
        <v/>
      </c>
      <c r="BU24" s="30"/>
      <c r="BV24" s="30"/>
      <c r="BW24" s="359" t="str">
        <f>IF(AND(BX24&lt;&gt;"",BV24&lt;&gt;""),BX24-BV24,"")</f>
        <v/>
      </c>
      <c r="BX24" s="30"/>
      <c r="BY24" s="30"/>
      <c r="BZ24" s="359" t="str">
        <f>IF(AND(CA24&lt;&gt;"",BY24&lt;&gt;""),CA24-BY24,"")</f>
        <v/>
      </c>
      <c r="CA24" s="30"/>
      <c r="CB24" s="30"/>
      <c r="CC24" s="359" t="str">
        <f>IF(AND(CD24&lt;&gt;"",CB24&lt;&gt;""),CD24-CB24,"")</f>
        <v/>
      </c>
      <c r="CD24" s="30"/>
      <c r="CE24" s="30"/>
      <c r="CF24" s="359" t="str">
        <f>IF(AND(CG24&lt;&gt;"",CE24&lt;&gt;""),CG24-CE24,"")</f>
        <v/>
      </c>
      <c r="CG24" s="30"/>
      <c r="CH24" s="30"/>
      <c r="CI24" s="359" t="str">
        <f>IF(AND(CJ24&lt;&gt;"",CH24&lt;&gt;""),CJ24-CH24,"")</f>
        <v/>
      </c>
      <c r="CJ24" s="30"/>
      <c r="CK24" s="30"/>
      <c r="CL24" s="359" t="str">
        <f>IF(AND(CM24&lt;&gt;"",CK24&lt;&gt;""),CM24-CK24,"")</f>
        <v/>
      </c>
      <c r="CM24" s="30"/>
      <c r="CN24" s="30"/>
      <c r="CO24" s="359" t="str">
        <f>IF(AND(CP24&lt;&gt;"",CN24&lt;&gt;""),CP24-CN24,"")</f>
        <v/>
      </c>
      <c r="CP24" s="30"/>
      <c r="CQ24" s="30"/>
      <c r="CR24" s="359" t="str">
        <f>IF(AND(CS24&lt;&gt;"",CQ24&lt;&gt;""),CS24-CQ24,"")</f>
        <v/>
      </c>
      <c r="CS24" s="30"/>
      <c r="CT24" s="30"/>
      <c r="CU24" s="359" t="str">
        <f>IF(AND(CV24&lt;&gt;"",CT24&lt;&gt;""),CV24-CT24,"")</f>
        <v/>
      </c>
      <c r="CV24" s="30"/>
      <c r="CW24" s="30"/>
      <c r="CX24" s="359" t="str">
        <f>IF(AND(CY24&lt;&gt;"",CW24&lt;&gt;""),CY24-CW24,"")</f>
        <v/>
      </c>
      <c r="CY24" s="30"/>
      <c r="CZ24" s="30"/>
      <c r="DA24" s="359" t="str">
        <f>IF(AND(DB24&lt;&gt;"",CZ24&lt;&gt;""),DB24-CZ24,"")</f>
        <v/>
      </c>
      <c r="DB24" s="30"/>
      <c r="DC24" s="30"/>
      <c r="DD24" s="359" t="str">
        <f>IF(AND(DE24&lt;&gt;"",DC24&lt;&gt;""),DE24-DC24,"")</f>
        <v/>
      </c>
      <c r="DE24" s="30"/>
      <c r="DF24" s="30"/>
      <c r="DG24" s="359" t="str">
        <f>IF(AND(DH24&lt;&gt;"",DF24&lt;&gt;""),DH24-DF24,"")</f>
        <v/>
      </c>
      <c r="DH24" s="30"/>
      <c r="DI24" s="30"/>
      <c r="DJ24" s="359" t="str">
        <f>IF(AND(DK24&lt;&gt;"",DI24&lt;&gt;""),DK24-DI24,"")</f>
        <v/>
      </c>
      <c r="DK24" s="1096"/>
      <c r="DL24" s="30"/>
      <c r="DM24" s="359" t="str">
        <f>IF(AND(DN24&lt;&gt;"",DL24&lt;&gt;""),DN24-DL24,"")</f>
        <v/>
      </c>
      <c r="DN24" s="1096"/>
      <c r="DO24" s="30"/>
      <c r="DP24" s="359" t="str">
        <f>IF(AND(DQ24&lt;&gt;"",DO24&lt;&gt;""),DQ24-DO24,"")</f>
        <v/>
      </c>
      <c r="DQ24" s="1096"/>
      <c r="DR24" s="30"/>
      <c r="DS24" s="359" t="str">
        <f>IF(AND(DT24&lt;&gt;"",DR24&lt;&gt;""),DT24-DR24,"")</f>
        <v/>
      </c>
      <c r="DT24" s="1096"/>
      <c r="DU24" s="30"/>
      <c r="DV24" s="359" t="str">
        <f>IF(AND(DW24&lt;&gt;"",DU24&lt;&gt;""),DW24-DU24,"")</f>
        <v/>
      </c>
      <c r="DW24" s="1096"/>
      <c r="DX24" s="30"/>
      <c r="DY24" s="359" t="str">
        <f>IF(AND(DZ24&lt;&gt;"",DX24&lt;&gt;""),DZ24-DX24,"")</f>
        <v/>
      </c>
      <c r="DZ24" s="1096"/>
      <c r="EA24" s="30"/>
      <c r="EB24" s="359" t="str">
        <f>IF(AND(EC24&lt;&gt;"",EA24&lt;&gt;""),EC24-EA24,"")</f>
        <v/>
      </c>
      <c r="EC24" s="1096"/>
      <c r="ED24" s="30"/>
      <c r="EE24" s="359" t="str">
        <f>IF(AND(EF24&lt;&gt;"",ED24&lt;&gt;""),EF24-ED24,"")</f>
        <v/>
      </c>
      <c r="EF24" s="1096"/>
      <c r="EG24" s="30"/>
      <c r="EH24" s="359" t="str">
        <f>IF(AND(EI24&lt;&gt;"",EG24&lt;&gt;""),EI24-EG24,"")</f>
        <v/>
      </c>
      <c r="EI24" s="1096"/>
      <c r="EJ24" s="30"/>
      <c r="EK24" s="359" t="str">
        <f>IF(AND(EL24&lt;&gt;"",EJ24&lt;&gt;""),EL24-EJ24,"")</f>
        <v/>
      </c>
      <c r="EL24" s="1096"/>
      <c r="EM24" s="30"/>
      <c r="EN24" s="359" t="str">
        <f>IF(AND(EO24&lt;&gt;"",EM24&lt;&gt;""),EO24-EM24,"")</f>
        <v/>
      </c>
      <c r="EO24" s="1096"/>
      <c r="EP24" s="30"/>
      <c r="EQ24" s="359" t="str">
        <f>IF(AND(ER24&lt;&gt;"",EP24&lt;&gt;""),ER24-EP24,"")</f>
        <v/>
      </c>
      <c r="ER24" s="1096"/>
      <c r="ES24" s="30"/>
      <c r="ET24" s="359" t="str">
        <f>IF(AND(EU24&lt;&gt;"",ES24&lt;&gt;""),EU24-ES24,"")</f>
        <v/>
      </c>
      <c r="EU24" s="1096"/>
      <c r="EV24" s="30"/>
      <c r="EW24" s="359" t="str">
        <f>IF(AND(EX24&lt;&gt;"",EV24&lt;&gt;""),EX24-EV24,"")</f>
        <v/>
      </c>
      <c r="EX24" s="1096"/>
      <c r="EY24" s="30"/>
      <c r="EZ24" s="359" t="str">
        <f>IF(AND(FA24&lt;&gt;"",EY24&lt;&gt;""),FA24-EY24,"")</f>
        <v/>
      </c>
      <c r="FA24" s="30"/>
    </row>
    <row r="25" spans="1:157" ht="13.35" customHeight="1">
      <c r="A25" s="5"/>
      <c r="B25" s="5" t="s">
        <v>586</v>
      </c>
      <c r="C25" s="5"/>
      <c r="D25" s="5"/>
      <c r="E25" s="359"/>
      <c r="F25" s="359"/>
      <c r="G25" s="359"/>
      <c r="H25" s="359"/>
      <c r="I25" s="359"/>
      <c r="J25" s="359"/>
      <c r="K25" s="359"/>
      <c r="L25" s="359"/>
      <c r="M25" s="359"/>
      <c r="N25" s="359"/>
      <c r="O25" s="359"/>
      <c r="P25" s="359"/>
      <c r="Q25" s="359"/>
      <c r="R25" s="359"/>
      <c r="S25" s="359"/>
      <c r="T25" s="359"/>
      <c r="U25" s="359"/>
      <c r="V25" s="359"/>
      <c r="W25" s="359"/>
      <c r="X25" s="359"/>
      <c r="Y25" s="359"/>
      <c r="Z25" s="359"/>
      <c r="AA25" s="359"/>
      <c r="AB25" s="359"/>
      <c r="AC25" s="359"/>
      <c r="AD25" s="359"/>
      <c r="AE25" s="359"/>
      <c r="AF25" s="359"/>
      <c r="AG25" s="359"/>
      <c r="AH25" s="359"/>
      <c r="AI25" s="359"/>
      <c r="AJ25" s="359"/>
      <c r="AK25" s="359"/>
      <c r="AL25" s="359"/>
      <c r="AM25" s="359"/>
      <c r="AN25" s="359"/>
      <c r="AO25" s="359"/>
      <c r="AP25" s="359"/>
      <c r="AQ25" s="359"/>
      <c r="AR25" s="359"/>
      <c r="AS25" s="359"/>
      <c r="AT25" s="359"/>
      <c r="AU25" s="359"/>
      <c r="AV25" s="359"/>
      <c r="AW25" s="359"/>
      <c r="AX25" s="359"/>
      <c r="AY25" s="359"/>
      <c r="AZ25" s="359"/>
      <c r="BA25" s="359"/>
      <c r="BB25" s="359"/>
      <c r="BC25" s="359"/>
      <c r="BD25" s="30"/>
      <c r="BE25" s="359"/>
      <c r="BF25" s="30"/>
      <c r="BG25" s="30"/>
      <c r="BH25" s="359"/>
      <c r="BI25" s="30"/>
      <c r="BJ25" s="30"/>
      <c r="BK25" s="359"/>
      <c r="BL25" s="30"/>
      <c r="BM25" s="30"/>
      <c r="BN25" s="359"/>
      <c r="BO25" s="30"/>
      <c r="BP25" s="30"/>
      <c r="BQ25" s="359"/>
      <c r="BR25" s="30"/>
      <c r="BS25" s="30"/>
      <c r="BT25" s="359"/>
      <c r="BU25" s="30"/>
      <c r="BV25" s="30"/>
      <c r="BW25" s="359"/>
      <c r="BX25" s="30"/>
      <c r="BY25" s="30"/>
      <c r="BZ25" s="359"/>
      <c r="CA25" s="30"/>
      <c r="CB25" s="30"/>
      <c r="CC25" s="359"/>
      <c r="CD25" s="30"/>
      <c r="CE25" s="30"/>
      <c r="CF25" s="359"/>
      <c r="CG25" s="30"/>
      <c r="CH25" s="30"/>
      <c r="CI25" s="359"/>
      <c r="CJ25" s="30"/>
      <c r="CK25" s="30"/>
      <c r="CL25" s="359"/>
      <c r="CM25" s="30"/>
      <c r="CN25" s="30"/>
      <c r="CO25" s="359"/>
      <c r="CP25" s="30"/>
      <c r="CQ25" s="30"/>
      <c r="CR25" s="359"/>
      <c r="CS25" s="30"/>
      <c r="CT25" s="30"/>
      <c r="CU25" s="359"/>
      <c r="CV25" s="30"/>
      <c r="CW25" s="30"/>
      <c r="CX25" s="359"/>
      <c r="CY25" s="30"/>
      <c r="CZ25" s="30"/>
      <c r="DA25" s="359"/>
      <c r="DB25" s="30"/>
      <c r="DC25" s="30"/>
      <c r="DD25" s="359"/>
      <c r="DE25" s="30"/>
      <c r="DF25" s="30"/>
      <c r="DG25" s="359"/>
      <c r="DH25" s="30"/>
      <c r="DI25" s="30"/>
      <c r="DJ25" s="359"/>
      <c r="DK25" s="1096"/>
      <c r="DL25" s="30"/>
      <c r="DM25" s="359"/>
      <c r="DN25" s="1096"/>
      <c r="DO25" s="30"/>
      <c r="DP25" s="359"/>
      <c r="DQ25" s="1096"/>
      <c r="DR25" s="30"/>
      <c r="DS25" s="359"/>
      <c r="DT25" s="1096"/>
      <c r="DU25" s="30"/>
      <c r="DV25" s="359"/>
      <c r="DW25" s="1096"/>
      <c r="DX25" s="30"/>
      <c r="DY25" s="359"/>
      <c r="DZ25" s="1096"/>
      <c r="EA25" s="30"/>
      <c r="EB25" s="359"/>
      <c r="EC25" s="1096"/>
      <c r="ED25" s="30"/>
      <c r="EE25" s="359"/>
      <c r="EF25" s="1096"/>
      <c r="EG25" s="30"/>
      <c r="EH25" s="359"/>
      <c r="EI25" s="1096"/>
      <c r="EJ25" s="30"/>
      <c r="EK25" s="359"/>
      <c r="EL25" s="1096"/>
      <c r="EM25" s="30"/>
      <c r="EN25" s="359"/>
      <c r="EO25" s="1096"/>
      <c r="EP25" s="30"/>
      <c r="EQ25" s="359"/>
      <c r="ER25" s="1096"/>
      <c r="ES25" s="30"/>
      <c r="ET25" s="359"/>
      <c r="EU25" s="1096"/>
      <c r="EV25" s="30"/>
      <c r="EW25" s="359"/>
      <c r="EX25" s="1096"/>
      <c r="EY25" s="30"/>
      <c r="EZ25" s="359"/>
      <c r="FA25" s="30"/>
    </row>
    <row r="26" spans="1:157" ht="13.35" customHeight="1">
      <c r="A26" s="5"/>
      <c r="B26" s="5" t="s">
        <v>587</v>
      </c>
      <c r="C26" s="5"/>
      <c r="D26" s="5"/>
      <c r="E26" s="359">
        <f>IF(Model!E57&lt;&gt;"",Model!E57,"")</f>
        <v>0</v>
      </c>
      <c r="F26" s="359">
        <f>IF(Model!F57&lt;&gt;"",Model!F57,"")</f>
        <v>0</v>
      </c>
      <c r="G26" s="359">
        <f>IF(Model!G57&lt;&gt;"",Model!G57,"")</f>
        <v>0</v>
      </c>
      <c r="H26" s="359">
        <f>IF(Model!H57&lt;&gt;"",Model!H57,"")</f>
        <v>0</v>
      </c>
      <c r="I26" s="359">
        <f>IF(Model!I57&lt;&gt;"",Model!I57,"")</f>
        <v>0</v>
      </c>
      <c r="J26" s="359">
        <f>IF(Model!J57&lt;&gt;"",Model!J57,"")</f>
        <v>0</v>
      </c>
      <c r="K26" s="359">
        <f>IF(Model!K57&lt;&gt;"",Model!K57,"")</f>
        <v>0</v>
      </c>
      <c r="L26" s="359">
        <f>IF(Model!L57&lt;&gt;"",Model!L57,"")</f>
        <v>0</v>
      </c>
      <c r="M26" s="359">
        <f>IF(Model!M57&lt;&gt;"",Model!M57,"")</f>
        <v>0</v>
      </c>
      <c r="N26" s="359">
        <f>IF(Model!N57&lt;&gt;"",Model!N57,"")</f>
        <v>0</v>
      </c>
      <c r="O26" s="359">
        <f>IF(Model!O57&lt;&gt;"",Model!O57,"")</f>
        <v>0</v>
      </c>
      <c r="P26" s="359">
        <f>IF(Model!P57&lt;&gt;"",Model!P57,"")</f>
        <v>0</v>
      </c>
      <c r="Q26" s="359">
        <f>IF(Model!Q57&lt;&gt;"",Model!Q57,"")</f>
        <v>0</v>
      </c>
      <c r="R26" s="359">
        <f>IF(Model!R57&lt;&gt;"",Model!R57,"")</f>
        <v>0</v>
      </c>
      <c r="S26" s="359">
        <f>IF(Model!S57&lt;&gt;"",Model!S57,"")</f>
        <v>0</v>
      </c>
      <c r="T26" s="359">
        <f>IF(Model!T57&lt;&gt;"",Model!T57,"")</f>
        <v>0</v>
      </c>
      <c r="U26" s="359">
        <f>IF(Model!U57&lt;&gt;"",Model!U57,"")</f>
        <v>0</v>
      </c>
      <c r="V26" s="359">
        <f>IF(Model!V57&lt;&gt;"",Model!V57,"")</f>
        <v>0</v>
      </c>
      <c r="W26" s="359">
        <f>IF(Model!W57&lt;&gt;"",Model!W57,"")</f>
        <v>0</v>
      </c>
      <c r="X26" s="359">
        <f>IF(Model!X57&lt;&gt;"",Model!X57,"")</f>
        <v>0</v>
      </c>
      <c r="Y26" s="359">
        <f>IF(Model!Y57&lt;&gt;"",Model!Y57,"")</f>
        <v>0</v>
      </c>
      <c r="Z26" s="359">
        <f>IF(Model!Z57&lt;&gt;"",Model!Z57,"")</f>
        <v>0</v>
      </c>
      <c r="AA26" s="359">
        <f>IF(Model!AA57&lt;&gt;"",Model!AA57,"")</f>
        <v>0</v>
      </c>
      <c r="AB26" s="359">
        <f>IF(Model!AB57&lt;&gt;"",Model!AB57,"")</f>
        <v>0</v>
      </c>
      <c r="AC26" s="359">
        <f>IF(Model!AC57&lt;&gt;"",Model!AC57,"")</f>
        <v>0</v>
      </c>
      <c r="AD26" s="359">
        <f>IF(Model!AD57&lt;&gt;"",Model!AD57,"")</f>
        <v>0</v>
      </c>
      <c r="AE26" s="359">
        <f>IF(Model!AE57&lt;&gt;"",Model!AE57,"")</f>
        <v>0</v>
      </c>
      <c r="AF26" s="359">
        <f>IF(Model!AF57&lt;&gt;"",Model!AF57,"")</f>
        <v>0</v>
      </c>
      <c r="AG26" s="359">
        <f>IF(Model!AG57&lt;&gt;"",Model!AG57,"")</f>
        <v>0</v>
      </c>
      <c r="AH26" s="359">
        <f>IF(Model!AH57&lt;&gt;"",Model!AH57,"")</f>
        <v>0</v>
      </c>
      <c r="AI26" s="359">
        <f>IF(Model!AI57&lt;&gt;"",Model!AI57,"")</f>
        <v>0.94799999999999995</v>
      </c>
      <c r="AJ26" s="359">
        <f>IF(Model!AJ57&lt;&gt;"",Model!AJ57,"")</f>
        <v>0.93300000000000005</v>
      </c>
      <c r="AK26" s="359">
        <f>IF(Model!AK57&lt;&gt;"",Model!AK57,"")</f>
        <v>1.881</v>
      </c>
      <c r="AL26" s="359">
        <f>IF(Model!AL57&lt;&gt;"",Model!AL57,"")</f>
        <v>0.79100000000000004</v>
      </c>
      <c r="AM26" s="359">
        <f>IF(Model!AM57&lt;&gt;"",Model!AM57,"")</f>
        <v>0.75900000000000001</v>
      </c>
      <c r="AN26" s="359">
        <f>IF(Model!AN57&lt;&gt;"",Model!AN57,"")</f>
        <v>1.55</v>
      </c>
      <c r="AO26" s="359">
        <f>IF(Model!AO57&lt;&gt;"",Model!AO57,"")</f>
        <v>0.76500000000000001</v>
      </c>
      <c r="AP26" s="359">
        <f>IF(Model!AP57&lt;&gt;"",Model!AP57,"")</f>
        <v>0.83199999999999996</v>
      </c>
      <c r="AQ26" s="359">
        <f>IF(Model!AQ57&lt;&gt;"",Model!AQ57,"")</f>
        <v>1.597</v>
      </c>
      <c r="AR26" s="359">
        <f>IF(Model!AR57&lt;&gt;"",Model!AR57,"")</f>
        <v>0.80400000000000005</v>
      </c>
      <c r="AS26" s="359">
        <f>IF(Model!AS57&lt;&gt;"",Model!AS57,"")</f>
        <v>0.96399999999999997</v>
      </c>
      <c r="AT26" s="359">
        <f>IF(Model!AT57&lt;&gt;"",Model!AT57,"")</f>
        <v>1.768</v>
      </c>
      <c r="AU26" s="359">
        <f>IF(Model!AU57&lt;&gt;"",Model!AU57,"")</f>
        <v>0.91500000000000004</v>
      </c>
      <c r="AV26" s="359">
        <f>IF(Model!AV57&lt;&gt;"",Model!AV57,"")</f>
        <v>1.8119999999999998</v>
      </c>
      <c r="AW26" s="359">
        <f>IF(Model!AW57&lt;&gt;"",Model!AW57,"")</f>
        <v>2.7269999999999999</v>
      </c>
      <c r="AX26" s="359">
        <f>IF(Model!AX57&lt;&gt;"",Model!AX57,"")</f>
        <v>1.1399999999999999</v>
      </c>
      <c r="AY26" s="359">
        <f>IF(Model!AY57&lt;&gt;"",Model!AY57,"")</f>
        <v>1.5029999999999999</v>
      </c>
      <c r="AZ26" s="359">
        <f>IF(Model!AZ57&lt;&gt;"",Model!AZ57,"")</f>
        <v>2.6429999999999998</v>
      </c>
      <c r="BA26" s="359">
        <f>IF(Model!BA57&lt;&gt;"",Model!BA57,"")</f>
        <v>1.5920000000000001</v>
      </c>
      <c r="BB26" s="359">
        <f>IF(Model!BB57&lt;&gt;"",Model!BB57,"")</f>
        <v>1.9209999999999998</v>
      </c>
      <c r="BC26" s="359">
        <f>IF(Model!BC57&lt;&gt;"",Model!BC57,"")</f>
        <v>3.5129999999999999</v>
      </c>
      <c r="BD26" s="359">
        <f>IF(Model!BD57&lt;&gt;"",Model!BD57,"")</f>
        <v>2.3734999999999999</v>
      </c>
      <c r="BE26" s="359">
        <f>IF(Model!BE57&lt;&gt;"",Model!BE57,"")</f>
        <v>2.3734999999999999</v>
      </c>
      <c r="BF26" s="359">
        <f>IF(Model!BF57&lt;&gt;"",Model!BF57,"")</f>
        <v>4.7469999999999999</v>
      </c>
      <c r="BG26" s="359">
        <f>IF(Model!BG57&lt;&gt;"",Model!BG57,"")</f>
        <v>3.6579999999999999</v>
      </c>
      <c r="BH26" s="359">
        <f>IF(Model!BH57&lt;&gt;"",Model!BH57,"")</f>
        <v>4.0820000000000007</v>
      </c>
      <c r="BI26" s="359">
        <f>IF(Model!BI57&lt;&gt;"",Model!BI57,"")</f>
        <v>7.74</v>
      </c>
      <c r="BJ26" s="359">
        <f>IF(Model!BJ57&lt;&gt;"",Model!BJ57,"")</f>
        <v>3.6579999999999999</v>
      </c>
      <c r="BK26" s="359">
        <f>IF(Model!BK57&lt;&gt;"",Model!BK57,"")</f>
        <v>2.8970000000000007</v>
      </c>
      <c r="BL26" s="359">
        <f>IF(Model!BL57&lt;&gt;"",Model!BL57,"")</f>
        <v>6.5550000000000006</v>
      </c>
      <c r="BM26" s="359">
        <f>IF(Model!BM57&lt;&gt;"",Model!BM57,"")</f>
        <v>4.9307999999999996</v>
      </c>
      <c r="BN26" s="359">
        <f>IF(Model!BN57&lt;&gt;"",Model!BN57,"")</f>
        <v>1.8992000000000004</v>
      </c>
      <c r="BO26" s="359">
        <f>IF(Model!BO57&lt;&gt;"",Model!BO57,"")</f>
        <v>6.83</v>
      </c>
      <c r="BP26" s="359">
        <f>IF(Model!BP57&lt;&gt;"",Model!BP57,"")</f>
        <v>4.9307999999999996</v>
      </c>
      <c r="BQ26" s="359">
        <f>IF(Model!BQ57&lt;&gt;"",Model!BQ57,"")</f>
        <v>7.2441999999999993</v>
      </c>
      <c r="BR26" s="359">
        <f>IF(Model!BR57&lt;&gt;"",Model!BR57,"")</f>
        <v>12.174999999999999</v>
      </c>
      <c r="BS26" s="359">
        <f>IF(Model!BS57&lt;&gt;"",Model!BS57,"")</f>
        <v>5.2052799999999992</v>
      </c>
      <c r="BT26" s="359">
        <f>IF(Model!BT57&lt;&gt;"",Model!BT57,"")</f>
        <v>9.5427200000000205</v>
      </c>
      <c r="BU26" s="359">
        <f>IF(Model!BU57&lt;&gt;"",Model!BU57,"")</f>
        <v>14.748000000000019</v>
      </c>
      <c r="BV26" s="359">
        <f>IF(Model!BV57&lt;&gt;"",Model!BV57,"")</f>
        <v>5.7614399999999995</v>
      </c>
      <c r="BW26" s="359">
        <f>IF(Model!BW57&lt;&gt;"",Model!BW57,"")</f>
        <v>13.92756</v>
      </c>
      <c r="BX26" s="359">
        <f>IF(Model!BX57&lt;&gt;"",Model!BX57,"")</f>
        <v>19.689</v>
      </c>
      <c r="BY26" s="359">
        <f>IF(Model!BY57&lt;&gt;"",Model!BY57,"")</f>
        <v>5.9</v>
      </c>
      <c r="BZ26" s="359">
        <f>IF(Model!BZ57&lt;&gt;"",Model!BZ57,"")</f>
        <v>5.8140000000000001</v>
      </c>
      <c r="CA26" s="359">
        <f>IF(Model!CA57&lt;&gt;"",Model!CA57,"")</f>
        <v>11.714</v>
      </c>
      <c r="CB26" s="359">
        <f>IF(Model!CB57&lt;&gt;"",Model!CB57,"")</f>
        <v>8.4163999999999994</v>
      </c>
      <c r="CC26" s="359">
        <f>IF(Model!CC57&lt;&gt;"",Model!CC57,"")</f>
        <v>4.1816000000000013</v>
      </c>
      <c r="CD26" s="359">
        <f>IF(Model!CD57&lt;&gt;"",Model!CD57,"")</f>
        <v>12.598000000000001</v>
      </c>
      <c r="CE26" s="359">
        <f>IF(Model!CE57&lt;&gt;"",Model!CE57,"")</f>
        <v>13.21968</v>
      </c>
      <c r="CF26" s="359">
        <f>IF(Model!CF57&lt;&gt;"",Model!CF57,"")</f>
        <v>14.180320000000034</v>
      </c>
      <c r="CG26" s="359">
        <f>IF(Model!CG57&lt;&gt;"",Model!CG57,"")</f>
        <v>27.400000000000034</v>
      </c>
      <c r="CH26" s="359">
        <f>IF(Model!CH57&lt;&gt;"",Model!CH57,"")</f>
        <v>13.21968</v>
      </c>
      <c r="CI26" s="359">
        <f>IF(Model!CI57&lt;&gt;"",Model!CI57,"")</f>
        <v>10.881319999999999</v>
      </c>
      <c r="CJ26" s="359">
        <f>IF(Model!CJ57&lt;&gt;"",Model!CJ57,"")</f>
        <v>24.100999999999999</v>
      </c>
      <c r="CK26" s="359">
        <f>IF(Model!CK57&lt;&gt;"",Model!CK57,"")</f>
        <v>13.21968</v>
      </c>
      <c r="CL26" s="359">
        <f>IF(Model!CL57&lt;&gt;"",Model!CL57,"")</f>
        <v>10.881319999999999</v>
      </c>
      <c r="CM26" s="359">
        <f>IF(Model!CM57&lt;&gt;"",Model!CM57,"")</f>
        <v>24.100999999999999</v>
      </c>
      <c r="CN26" s="359">
        <f>IF(Model!CN57&lt;&gt;"",Model!CN57,"")</f>
        <v>14.332319999999999</v>
      </c>
      <c r="CO26" s="359">
        <f>IF(Model!CO57&lt;&gt;"",Model!CO57,"")</f>
        <v>9.7686799999999998</v>
      </c>
      <c r="CP26" s="359">
        <f>IF(Model!CP57&lt;&gt;"",Model!CP57,"")</f>
        <v>24.100999999999999</v>
      </c>
      <c r="CQ26" s="359">
        <f>IF(Model!CQ57&lt;&gt;"",Model!CQ57,"")</f>
        <v>15.1684</v>
      </c>
      <c r="CR26" s="359">
        <f>IF(Model!CR57&lt;&gt;"",Model!CR57,"")</f>
        <v>8.932599999999999</v>
      </c>
      <c r="CS26" s="359">
        <f>IF(Model!CS57&lt;&gt;"",Model!CS57,"")</f>
        <v>24.100999999999999</v>
      </c>
      <c r="CT26" s="359">
        <f>IF(Model!CT57&lt;&gt;"",Model!CT57,"")</f>
        <v>15.1684</v>
      </c>
      <c r="CU26" s="359">
        <f>IF(Model!CU57&lt;&gt;"",Model!CU57,"")</f>
        <v>8.932599999999999</v>
      </c>
      <c r="CV26" s="359">
        <f>IF(Model!CV57&lt;&gt;"",Model!CV57,"")</f>
        <v>24.100999999999999</v>
      </c>
      <c r="CW26" s="359">
        <f>IF(Model!CW57&lt;&gt;"",Model!CW57,"")</f>
        <v>15.1684</v>
      </c>
      <c r="CX26" s="359">
        <f>IF(Model!CX57&lt;&gt;"",Model!CX57,"")</f>
        <v>11.137320000000001</v>
      </c>
      <c r="CY26" s="359">
        <f>IF(Model!CY57&lt;&gt;"",Model!CY57,"")</f>
        <v>26.305720000000001</v>
      </c>
      <c r="CZ26" s="359">
        <f>IF(Model!CZ57&lt;&gt;"",Model!CZ57,"")</f>
        <v>15.5764</v>
      </c>
      <c r="DA26" s="359">
        <f>IF(Model!DA57&lt;&gt;"",Model!DA57,"")</f>
        <v>18.623600000000003</v>
      </c>
      <c r="DB26" s="359">
        <f>IF(Model!DB57&lt;&gt;"",Model!DB57,"")</f>
        <v>34.200000000000003</v>
      </c>
      <c r="DC26" s="359">
        <f>IF(Model!DC57&lt;&gt;"",Model!DC57,"")</f>
        <v>17.507649999999998</v>
      </c>
      <c r="DD26" s="359">
        <f>IF(Model!DD57&lt;&gt;"",Model!DD57,"")</f>
        <v>20.992350000000002</v>
      </c>
      <c r="DE26" s="359">
        <f>IF(Model!DE57&lt;&gt;"",Model!DE57,"")</f>
        <v>38.5</v>
      </c>
      <c r="DF26" s="359">
        <f>IF(Model!DF57&lt;&gt;"",Model!DF57,"")</f>
        <v>21.224067910447758</v>
      </c>
      <c r="DG26" s="359">
        <f>IF(Model!DG57&lt;&gt;"",Model!DG57,"")</f>
        <v>27.885455899076049</v>
      </c>
      <c r="DH26" s="359">
        <f>IF(Model!DH57&lt;&gt;"",Model!DH57,"")</f>
        <v>49.109523809523807</v>
      </c>
      <c r="DI26" s="359">
        <f>IF(Model!DI57&lt;&gt;"",Model!DI57,"")</f>
        <v>26.880999999999997</v>
      </c>
      <c r="DJ26" s="359">
        <f>IF(Model!DJ57&lt;&gt;"",Model!DJ57,"")</f>
        <v>22.019000000000009</v>
      </c>
      <c r="DK26" s="1208">
        <f>IF(Model!DK57&lt;&gt;"",Model!DK57,"")</f>
        <v>48.900000000000006</v>
      </c>
      <c r="DL26" s="359">
        <f>IF(Model!DL57&lt;&gt;"",Model!DL57,"")</f>
        <v>26.929000000000002</v>
      </c>
      <c r="DM26" s="359">
        <f>IF(Model!DM57&lt;&gt;"",Model!DM57,"")</f>
        <v>18.170999999999999</v>
      </c>
      <c r="DN26" s="1208">
        <f>IF(Model!DN57&lt;&gt;"",Model!DN57,"")</f>
        <v>45.1</v>
      </c>
      <c r="DO26" s="359">
        <f>IF(Model!DO57&lt;&gt;"",Model!DO57,"")</f>
        <v>22.452999999999996</v>
      </c>
      <c r="DP26" s="359">
        <f>IF(Model!DP57&lt;&gt;"",Model!DP57,"")</f>
        <v>28.147000000000006</v>
      </c>
      <c r="DQ26" s="1208">
        <f>IF(Model!DQ57&lt;&gt;"",Model!DQ57,"")</f>
        <v>50.6</v>
      </c>
      <c r="DR26" s="359">
        <f>IF(Model!DR57&lt;&gt;"",Model!DR57,"")</f>
        <v>26.881</v>
      </c>
      <c r="DS26" s="359">
        <f>IF(Model!DS57&lt;&gt;"",Model!DS57,"")</f>
        <v>24.919000000000004</v>
      </c>
      <c r="DT26" s="1208">
        <f>IF(Model!DT57&lt;&gt;"",Model!DT57,"")</f>
        <v>51.800000000000004</v>
      </c>
      <c r="DU26" s="359">
        <f>IF(Model!DU57&lt;&gt;"",Model!DU57,"")</f>
        <v>24.297999999999998</v>
      </c>
      <c r="DV26" s="359">
        <f>IF(Model!DV57&lt;&gt;"",Model!DV57,"")</f>
        <v>26.30200000000001</v>
      </c>
      <c r="DW26" s="1208">
        <f>IF(Model!DW57&lt;&gt;"",Model!DW57,"")</f>
        <v>50.600000000000009</v>
      </c>
      <c r="DX26" s="359">
        <f>IF(Model!DX57&lt;&gt;"",Model!DX57,"")</f>
        <v>30.1</v>
      </c>
      <c r="DY26" s="359">
        <f>IF(Model!DY57&lt;&gt;"",Model!DY57,"")</f>
        <v>34.617318639572964</v>
      </c>
      <c r="DZ26" s="1208">
        <f>IF(Model!DZ57&lt;&gt;"",Model!DZ57,"")</f>
        <v>64.717318639572966</v>
      </c>
      <c r="EA26" s="359">
        <f>IF(Model!EA57&lt;&gt;"",Model!EA57,"")</f>
        <v>35.898747706503933</v>
      </c>
      <c r="EB26" s="359">
        <f>IF(Model!EB57&lt;&gt;"",Model!EB57,"")</f>
        <v>37.004766894849588</v>
      </c>
      <c r="EC26" s="1208">
        <f>IF(Model!EC57&lt;&gt;"",Model!EC57,"")</f>
        <v>72.903514601353521</v>
      </c>
      <c r="ED26" s="359">
        <f>IF(Model!ED57&lt;&gt;"",Model!ED57,"")</f>
        <v>30.175744674061345</v>
      </c>
      <c r="EE26" s="359">
        <f>IF(Model!EE57&lt;&gt;"",Model!EE57,"")</f>
        <v>31.109165639030667</v>
      </c>
      <c r="EF26" s="1208">
        <f>IF(Model!EF57&lt;&gt;"",Model!EF57,"")</f>
        <v>61.284910313092013</v>
      </c>
      <c r="EG26" s="359">
        <f>IF(Model!EG57&lt;&gt;"",Model!EG57,"")</f>
        <v>32.89156169472686</v>
      </c>
      <c r="EH26" s="359">
        <f>IF(Model!EH57&lt;&gt;"",Model!EH57,"")</f>
        <v>33.908990546543421</v>
      </c>
      <c r="EI26" s="1208">
        <f>IF(Model!EI57&lt;&gt;"",Model!EI57,"")</f>
        <v>66.800552241270282</v>
      </c>
      <c r="EJ26" s="359">
        <f>IF(Model!EJ57&lt;&gt;"",Model!EJ57,"")</f>
        <v>35.85180224725228</v>
      </c>
      <c r="EK26" s="359">
        <f>IF(Model!EK57&lt;&gt;"",Model!EK57,"")</f>
        <v>36.960799695732348</v>
      </c>
      <c r="EL26" s="1208">
        <f>IF(Model!EL57&lt;&gt;"",Model!EL57,"")</f>
        <v>72.812601942984628</v>
      </c>
      <c r="EM26" s="359">
        <f>IF(Model!EM57&lt;&gt;"",Model!EM57,"")</f>
        <v>39.078464449504992</v>
      </c>
      <c r="EN26" s="359">
        <f>IF(Model!EN57&lt;&gt;"",Model!EN57,"")</f>
        <v>40.287271668348268</v>
      </c>
      <c r="EO26" s="1208">
        <f>IF(Model!EO57&lt;&gt;"",Model!EO57,"")</f>
        <v>79.36573611785326</v>
      </c>
      <c r="EP26" s="359">
        <f>IF(Model!EP57&lt;&gt;"",Model!EP57,"")</f>
        <v>42.595526249960443</v>
      </c>
      <c r="EQ26" s="359">
        <f>IF(Model!EQ57&lt;&gt;"",Model!EQ57,"")</f>
        <v>43.913126118499605</v>
      </c>
      <c r="ER26" s="1208">
        <f>IF(Model!ER57&lt;&gt;"",Model!ER57,"")</f>
        <v>86.508652368460048</v>
      </c>
      <c r="ES26" s="359">
        <f>IF(Model!ES57&lt;&gt;"",Model!ES57,"")</f>
        <v>46.429123612456891</v>
      </c>
      <c r="ET26" s="359">
        <f>IF(Model!ET57&lt;&gt;"",Model!ET57,"")</f>
        <v>47.865307469164577</v>
      </c>
      <c r="EU26" s="1208">
        <f>IF(Model!EU57&lt;&gt;"",Model!EU57,"")</f>
        <v>94.294431081621468</v>
      </c>
      <c r="EV26" s="359">
        <f>IF(Model!EV57&lt;&gt;"",Model!EV57,"")</f>
        <v>50.607744737578017</v>
      </c>
      <c r="EW26" s="359">
        <f>IF(Model!EW57&lt;&gt;"",Model!EW57,"")</f>
        <v>52.173185141389396</v>
      </c>
      <c r="EX26" s="1208">
        <f>IF(Model!EX57&lt;&gt;"",Model!EX57,"")</f>
        <v>102.78092987896741</v>
      </c>
      <c r="EY26" s="359">
        <f>IF(Model!EY57&lt;&gt;"",Model!EY57,"")</f>
        <v>55.162441763960032</v>
      </c>
      <c r="EZ26" s="359">
        <f>IF(Model!EZ57&lt;&gt;"",Model!EZ57,"")</f>
        <v>56.868771804114431</v>
      </c>
      <c r="FA26" s="359">
        <f>IF(Model!FA57&lt;&gt;"",Model!FA57,"")</f>
        <v>112.03121356807446</v>
      </c>
    </row>
    <row r="27" spans="1:157" ht="13.35" customHeight="1">
      <c r="A27" s="5"/>
      <c r="B27" s="5" t="s">
        <v>588</v>
      </c>
      <c r="C27" s="5"/>
      <c r="D27" s="5"/>
      <c r="E27" s="359">
        <f>IF(Model!E62&lt;&gt;"",Model!E62,"")</f>
        <v>0</v>
      </c>
      <c r="F27" s="359">
        <f>IF(Model!F62&lt;&gt;"",Model!F62,"")</f>
        <v>0</v>
      </c>
      <c r="G27" s="359">
        <f>IF(Model!G62&lt;&gt;"",Model!G62,"")</f>
        <v>0</v>
      </c>
      <c r="H27" s="359">
        <f>IF(Model!H62&lt;&gt;"",Model!H62,"")</f>
        <v>0</v>
      </c>
      <c r="I27" s="359">
        <f>IF(Model!I62&lt;&gt;"",Model!I62,"")</f>
        <v>0</v>
      </c>
      <c r="J27" s="359">
        <f>IF(Model!J62&lt;&gt;"",Model!J62,"")</f>
        <v>0</v>
      </c>
      <c r="K27" s="359">
        <f>IF(Model!K62&lt;&gt;"",Model!K62,"")</f>
        <v>0</v>
      </c>
      <c r="L27" s="359">
        <f>IF(Model!L62&lt;&gt;"",Model!L62,"")</f>
        <v>0</v>
      </c>
      <c r="M27" s="359">
        <f>IF(Model!M62&lt;&gt;"",Model!M62,"")</f>
        <v>0</v>
      </c>
      <c r="N27" s="359">
        <f>IF(Model!N62&lt;&gt;"",Model!N62,"")</f>
        <v>0</v>
      </c>
      <c r="O27" s="359">
        <f>IF(Model!O62&lt;&gt;"",Model!O62,"")</f>
        <v>0</v>
      </c>
      <c r="P27" s="359">
        <f>IF(Model!P62&lt;&gt;"",Model!P62,"")</f>
        <v>0</v>
      </c>
      <c r="Q27" s="359">
        <f>IF(Model!Q62&lt;&gt;"",Model!Q62,"")</f>
        <v>0</v>
      </c>
      <c r="R27" s="359">
        <f>IF(Model!R62&lt;&gt;"",Model!R62,"")</f>
        <v>0</v>
      </c>
      <c r="S27" s="359">
        <f>IF(Model!S62&lt;&gt;"",Model!S62,"")</f>
        <v>0</v>
      </c>
      <c r="T27" s="359">
        <f>IF(Model!T62&lt;&gt;"",Model!T62,"")</f>
        <v>0</v>
      </c>
      <c r="U27" s="359">
        <f>IF(Model!U62&lt;&gt;"",Model!U62,"")</f>
        <v>0</v>
      </c>
      <c r="V27" s="359">
        <f>IF(Model!V62&lt;&gt;"",Model!V62,"")</f>
        <v>0</v>
      </c>
      <c r="W27" s="359">
        <f>IF(Model!W62&lt;&gt;"",Model!W62,"")</f>
        <v>0</v>
      </c>
      <c r="X27" s="359">
        <f>IF(Model!X62&lt;&gt;"",Model!X62,"")</f>
        <v>0</v>
      </c>
      <c r="Y27" s="359">
        <f>IF(Model!Y62&lt;&gt;"",Model!Y62,"")</f>
        <v>0</v>
      </c>
      <c r="Z27" s="359">
        <f>IF(Model!Z62&lt;&gt;"",Model!Z62,"")</f>
        <v>0</v>
      </c>
      <c r="AA27" s="359">
        <f>IF(Model!AA62&lt;&gt;"",Model!AA62,"")</f>
        <v>0</v>
      </c>
      <c r="AB27" s="359">
        <f>IF(Model!AB62&lt;&gt;"",Model!AB62,"")</f>
        <v>0</v>
      </c>
      <c r="AC27" s="359">
        <f>IF(Model!AC62&lt;&gt;"",Model!AC62,"")</f>
        <v>0</v>
      </c>
      <c r="AD27" s="359">
        <f>IF(Model!AD62&lt;&gt;"",Model!AD62,"")</f>
        <v>0</v>
      </c>
      <c r="AE27" s="359">
        <f>IF(Model!AE62&lt;&gt;"",Model!AE62,"")</f>
        <v>0</v>
      </c>
      <c r="AF27" s="359">
        <f>IF(Model!AF62&lt;&gt;"",Model!AF62,"")</f>
        <v>0</v>
      </c>
      <c r="AG27" s="359">
        <f>IF(Model!AG62&lt;&gt;"",Model!AG62,"")</f>
        <v>0</v>
      </c>
      <c r="AH27" s="359">
        <f>IF(Model!AH62&lt;&gt;"",Model!AH62,"")</f>
        <v>0</v>
      </c>
      <c r="AI27" s="359">
        <f>IF(Model!AI62&lt;&gt;"",Model!AI62,"")</f>
        <v>0</v>
      </c>
      <c r="AJ27" s="359">
        <f>IF(Model!AJ62&lt;&gt;"",Model!AJ62,"")</f>
        <v>0</v>
      </c>
      <c r="AK27" s="359">
        <f>IF(Model!AK62&lt;&gt;"",Model!AK62,"")</f>
        <v>0</v>
      </c>
      <c r="AL27" s="359">
        <f>IF(Model!AL62&lt;&gt;"",Model!AL62,"")</f>
        <v>0</v>
      </c>
      <c r="AM27" s="359">
        <f>IF(Model!AM62&lt;&gt;"",Model!AM62,"")</f>
        <v>0</v>
      </c>
      <c r="AN27" s="359">
        <f>IF(Model!AN62&lt;&gt;"",Model!AN62,"")</f>
        <v>0</v>
      </c>
      <c r="AO27" s="359">
        <f>IF(Model!AO62&lt;&gt;"",Model!AO62,"")</f>
        <v>0</v>
      </c>
      <c r="AP27" s="359">
        <f>IF(Model!AP62&lt;&gt;"",Model!AP62,"")</f>
        <v>0</v>
      </c>
      <c r="AQ27" s="359">
        <f>IF(Model!AQ62&lt;&gt;"",Model!AQ62,"")</f>
        <v>0</v>
      </c>
      <c r="AR27" s="359">
        <f>IF(Model!AR62&lt;&gt;"",Model!AR62,"")</f>
        <v>0</v>
      </c>
      <c r="AS27" s="359">
        <f>IF(Model!AS62&lt;&gt;"",Model!AS62,"")</f>
        <v>0</v>
      </c>
      <c r="AT27" s="359">
        <f>IF(Model!AT62&lt;&gt;"",Model!AT62,"")</f>
        <v>0</v>
      </c>
      <c r="AU27" s="359">
        <f>IF(Model!AU62&lt;&gt;"",Model!AU62,"")</f>
        <v>0</v>
      </c>
      <c r="AV27" s="359">
        <f>IF(Model!AV62&lt;&gt;"",Model!AV62,"")</f>
        <v>0</v>
      </c>
      <c r="AW27" s="359">
        <f>IF(Model!AW62&lt;&gt;"",Model!AW62,"")</f>
        <v>0</v>
      </c>
      <c r="AX27" s="359">
        <f>IF(Model!AX62&lt;&gt;"",Model!AX62,"")</f>
        <v>0</v>
      </c>
      <c r="AY27" s="359">
        <f>IF(Model!AY62&lt;&gt;"",Model!AY62,"")</f>
        <v>0</v>
      </c>
      <c r="AZ27" s="359">
        <f>IF(Model!AZ62&lt;&gt;"",Model!AZ62,"")</f>
        <v>0</v>
      </c>
      <c r="BA27" s="359">
        <f>IF(Model!BA62&lt;&gt;"",Model!BA62,"")</f>
        <v>0</v>
      </c>
      <c r="BB27" s="359">
        <f>IF(Model!BB62&lt;&gt;"",Model!BB62,"")</f>
        <v>0</v>
      </c>
      <c r="BC27" s="359">
        <f>IF(Model!BC62&lt;&gt;"",Model!BC62,"")</f>
        <v>0</v>
      </c>
      <c r="BD27" s="359">
        <f>IF(Model!BD62&lt;&gt;"",Model!BD62,"")</f>
        <v>0</v>
      </c>
      <c r="BE27" s="359">
        <f>IF(Model!BE62&lt;&gt;"",Model!BE62,"")</f>
        <v>0</v>
      </c>
      <c r="BF27" s="359">
        <f>IF(Model!BF62&lt;&gt;"",Model!BF62,"")</f>
        <v>0</v>
      </c>
      <c r="BG27" s="359">
        <f>IF(Model!BG62&lt;&gt;"",Model!BG62,"")</f>
        <v>0</v>
      </c>
      <c r="BH27" s="359">
        <f>IF(Model!BH62&lt;&gt;"",Model!BH62,"")</f>
        <v>0</v>
      </c>
      <c r="BI27" s="359">
        <f>IF(Model!BI62&lt;&gt;"",Model!BI62,"")</f>
        <v>0</v>
      </c>
      <c r="BJ27" s="359">
        <f>IF(Model!BJ62&lt;&gt;"",Model!BJ62,"")</f>
        <v>0</v>
      </c>
      <c r="BK27" s="359">
        <f>IF(Model!BK62&lt;&gt;"",Model!BK62,"")</f>
        <v>2.8969999999999998</v>
      </c>
      <c r="BL27" s="359">
        <f>IF(Model!BL62&lt;&gt;"",Model!BL62,"")</f>
        <v>2.8969999999999998</v>
      </c>
      <c r="BM27" s="359">
        <f>IF(Model!BM62&lt;&gt;"",Model!BM62,"")</f>
        <v>0</v>
      </c>
      <c r="BN27" s="359">
        <f>IF(Model!BN62&lt;&gt;"",Model!BN62,"")</f>
        <v>3.48</v>
      </c>
      <c r="BO27" s="359">
        <f>IF(Model!BO62&lt;&gt;"",Model!BO62,"")</f>
        <v>3.48</v>
      </c>
      <c r="BP27" s="359">
        <f>IF(Model!BP62&lt;&gt;"",Model!BP62,"")</f>
        <v>0</v>
      </c>
      <c r="BQ27" s="359">
        <f>IF(Model!BQ62&lt;&gt;"",Model!BQ62,"")</f>
        <v>3.9</v>
      </c>
      <c r="BR27" s="359">
        <f>IF(Model!BR62&lt;&gt;"",Model!BR62,"")</f>
        <v>3.9</v>
      </c>
      <c r="BS27" s="359">
        <f>IF(Model!BS62&lt;&gt;"",Model!BS62,"")</f>
        <v>0</v>
      </c>
      <c r="BT27" s="359">
        <f>IF(Model!BT62&lt;&gt;"",Model!BT62,"")</f>
        <v>2.5710000000000002</v>
      </c>
      <c r="BU27" s="359">
        <f>IF(Model!BU62&lt;&gt;"",Model!BU62,"")</f>
        <v>2.5710000000000002</v>
      </c>
      <c r="BV27" s="359">
        <f>IF(Model!BV62&lt;&gt;"",Model!BV62,"")</f>
        <v>0</v>
      </c>
      <c r="BW27" s="359">
        <f>IF(Model!BW62&lt;&gt;"",Model!BW62,"")</f>
        <v>1.643</v>
      </c>
      <c r="BX27" s="359">
        <f>IF(Model!BX62&lt;&gt;"",Model!BX62,"")</f>
        <v>1.643</v>
      </c>
      <c r="BY27" s="359">
        <f>IF(Model!BY62&lt;&gt;"",Model!BY62,"")</f>
        <v>9.1999999999999998E-2</v>
      </c>
      <c r="BZ27" s="359">
        <f>IF(Model!BZ62&lt;&gt;"",Model!BZ62,"")</f>
        <v>10.437999999999999</v>
      </c>
      <c r="CA27" s="359">
        <f>IF(Model!CA62&lt;&gt;"",Model!CA62,"")</f>
        <v>10.53</v>
      </c>
      <c r="CB27" s="359">
        <f>IF(Model!CB62&lt;&gt;"",Model!CB62,"")</f>
        <v>0</v>
      </c>
      <c r="CC27" s="359">
        <f>IF(Model!CC62&lt;&gt;"",Model!CC62,"")</f>
        <v>10.49</v>
      </c>
      <c r="CD27" s="359">
        <f>IF(Model!CD62&lt;&gt;"",Model!CD62,"")</f>
        <v>10.49</v>
      </c>
      <c r="CE27" s="359">
        <f>IF(Model!CE62&lt;&gt;"",Model!CE62,"")</f>
        <v>0</v>
      </c>
      <c r="CF27" s="359">
        <f>IF(Model!CF62&lt;&gt;"",Model!CF62,"")</f>
        <v>0</v>
      </c>
      <c r="CG27" s="359">
        <f>IF(Model!CG62&lt;&gt;"",Model!CG62,"")</f>
        <v>0</v>
      </c>
      <c r="CH27" s="359">
        <f>IF(Model!CH62&lt;&gt;"",Model!CH62,"")</f>
        <v>0</v>
      </c>
      <c r="CI27" s="359">
        <f>IF(Model!CI62&lt;&gt;"",Model!CI62,"")</f>
        <v>0</v>
      </c>
      <c r="CJ27" s="359">
        <f>IF(Model!CJ62&lt;&gt;"",Model!CJ62,"")</f>
        <v>0</v>
      </c>
      <c r="CK27" s="359">
        <f>IF(Model!CK62&lt;&gt;"",Model!CK62,"")</f>
        <v>0</v>
      </c>
      <c r="CL27" s="359">
        <f>IF(Model!CL62&lt;&gt;"",Model!CL62,"")</f>
        <v>0</v>
      </c>
      <c r="CM27" s="359">
        <f>IF(Model!CM62&lt;&gt;"",Model!CM62,"")</f>
        <v>0</v>
      </c>
      <c r="CN27" s="359">
        <f>IF(Model!CN62&lt;&gt;"",Model!CN62,"")</f>
        <v>0</v>
      </c>
      <c r="CO27" s="359">
        <f>IF(Model!CO62&lt;&gt;"",Model!CO62,"")</f>
        <v>0</v>
      </c>
      <c r="CP27" s="359">
        <f>IF(Model!CP62&lt;&gt;"",Model!CP62,"")</f>
        <v>0</v>
      </c>
      <c r="CQ27" s="359">
        <f>IF(Model!CQ62&lt;&gt;"",Model!CQ62,"")</f>
        <v>0</v>
      </c>
      <c r="CR27" s="359">
        <f>IF(Model!CR62&lt;&gt;"",Model!CR62,"")</f>
        <v>0</v>
      </c>
      <c r="CS27" s="359">
        <f>IF(Model!CS62&lt;&gt;"",Model!CS62,"")</f>
        <v>0</v>
      </c>
      <c r="CT27" s="359">
        <f>IF(Model!CT62&lt;&gt;"",Model!CT62,"")</f>
        <v>0</v>
      </c>
      <c r="CU27" s="359">
        <f>IF(Model!CU62&lt;&gt;"",Model!CU62,"")</f>
        <v>0</v>
      </c>
      <c r="CV27" s="359">
        <f>IF(Model!CV62&lt;&gt;"",Model!CV62,"")</f>
        <v>0</v>
      </c>
      <c r="CW27" s="359">
        <f>IF(Model!CW62&lt;&gt;"",Model!CW62,"")</f>
        <v>0</v>
      </c>
      <c r="CX27" s="359">
        <f>IF(Model!CX62&lt;&gt;"",Model!CX62,"")</f>
        <v>0</v>
      </c>
      <c r="CY27" s="359">
        <f>IF(Model!CY62&lt;&gt;"",Model!CY62,"")</f>
        <v>0</v>
      </c>
      <c r="CZ27" s="359">
        <f>IF(Model!CZ62&lt;&gt;"",Model!CZ62,"")</f>
        <v>0</v>
      </c>
      <c r="DA27" s="359">
        <f>IF(Model!DA62&lt;&gt;"",Model!DA62,"")</f>
        <v>0</v>
      </c>
      <c r="DB27" s="359">
        <f>IF(Model!DB62&lt;&gt;"",Model!DB62,"")</f>
        <v>0</v>
      </c>
      <c r="DC27" s="359">
        <f>IF(Model!DC62&lt;&gt;"",Model!DC62,"")</f>
        <v>0</v>
      </c>
      <c r="DD27" s="359">
        <f>IF(Model!DD62&lt;&gt;"",Model!DD62,"")</f>
        <v>0</v>
      </c>
      <c r="DE27" s="359">
        <f>IF(Model!DE62&lt;&gt;"",Model!DE62,"")</f>
        <v>0</v>
      </c>
      <c r="DF27" s="359">
        <f>IF(Model!DF62&lt;&gt;"",Model!DF62,"")</f>
        <v>12.9</v>
      </c>
      <c r="DG27" s="359">
        <f>IF(Model!DG62&lt;&gt;"",Model!DG62,"")</f>
        <v>15.499999999999998</v>
      </c>
      <c r="DH27" s="359">
        <f>IF(Model!DH62&lt;&gt;"",Model!DH62,"")</f>
        <v>28.4</v>
      </c>
      <c r="DI27" s="359">
        <f>IF(Model!DI62&lt;&gt;"",Model!DI62,"")</f>
        <v>11.8</v>
      </c>
      <c r="DJ27" s="359">
        <f>IF(Model!DJ62&lt;&gt;"",Model!DJ62,"")</f>
        <v>15.7</v>
      </c>
      <c r="DK27" s="1208">
        <f>IF(Model!DK62&lt;&gt;"",Model!DK62,"")</f>
        <v>27.5</v>
      </c>
      <c r="DL27" s="359">
        <f>IF(Model!DL62&lt;&gt;"",Model!DL62,"")</f>
        <v>13.670999999999999</v>
      </c>
      <c r="DM27" s="359">
        <f>IF(Model!DM62&lt;&gt;"",Model!DM62,"")</f>
        <v>14.228999999999999</v>
      </c>
      <c r="DN27" s="1208">
        <f>IF(Model!DN62&lt;&gt;"",Model!DN62,"")</f>
        <v>27.9</v>
      </c>
      <c r="DO27" s="359">
        <f>IF(Model!DO62&lt;&gt;"",Model!DO62,"")</f>
        <v>14.847</v>
      </c>
      <c r="DP27" s="359">
        <f>IF(Model!DP62&lt;&gt;"",Model!DP62,"")</f>
        <v>15.453000000000001</v>
      </c>
      <c r="DQ27" s="1208">
        <f>IF(Model!DQ62&lt;&gt;"",Model!DQ62,"")</f>
        <v>30.3</v>
      </c>
      <c r="DR27" s="359">
        <f>IF(Model!DR62&lt;&gt;"",Model!DR62,"")</f>
        <v>16.219000000000001</v>
      </c>
      <c r="DS27" s="359">
        <f>IF(Model!DS62&lt;&gt;"",Model!DS62,"")</f>
        <v>16.881</v>
      </c>
      <c r="DT27" s="1208">
        <f>IF(Model!DT62&lt;&gt;"",Model!DT62,"")</f>
        <v>33.1</v>
      </c>
      <c r="DU27" s="359">
        <f>IF(Model!DU62&lt;&gt;"",Model!DU62,"")</f>
        <v>19.501999999999999</v>
      </c>
      <c r="DV27" s="359">
        <f>IF(Model!DV62&lt;&gt;"",Model!DV62,"")</f>
        <v>20.297999999999998</v>
      </c>
      <c r="DW27" s="1208">
        <f>IF(Model!DW62&lt;&gt;"",Model!DW62,"")</f>
        <v>39.799999999999997</v>
      </c>
      <c r="DX27" s="359">
        <f>IF(Model!DX62&lt;&gt;"",Model!DX62,"")</f>
        <v>21.5</v>
      </c>
      <c r="DY27" s="359">
        <f>IF(Model!DY62&lt;&gt;"",Model!DY62,"")</f>
        <v>20.135548662513067</v>
      </c>
      <c r="DZ27" s="1208">
        <f>IF(Model!DZ62&lt;&gt;"",Model!DZ62,"")</f>
        <v>41.635548662513067</v>
      </c>
      <c r="EA27" s="359">
        <f>IF(Model!EA62&lt;&gt;"",Model!EA62,"")</f>
        <v>20.880906141045543</v>
      </c>
      <c r="EB27" s="359">
        <f>IF(Model!EB62&lt;&gt;"",Model!EB62,"")</f>
        <v>21.524234511462673</v>
      </c>
      <c r="EC27" s="1208">
        <f>IF(Model!EC62&lt;&gt;"",Model!EC62,"")</f>
        <v>42.405140652508216</v>
      </c>
      <c r="ED27" s="359">
        <f>IF(Model!ED62&lt;&gt;"",Model!ED62,"")</f>
        <v>22.631808505546008</v>
      </c>
      <c r="EE27" s="359">
        <f>IF(Model!EE62&lt;&gt;"",Model!EE62,"")</f>
        <v>23.331874229273001</v>
      </c>
      <c r="EF27" s="1208">
        <f>IF(Model!EF62&lt;&gt;"",Model!EF62,"")</f>
        <v>45.96368273481901</v>
      </c>
      <c r="EG27" s="359">
        <f>IF(Model!EG62&lt;&gt;"",Model!EG62,"")</f>
        <v>24.668671271045145</v>
      </c>
      <c r="EH27" s="359">
        <f>IF(Model!EH62&lt;&gt;"",Model!EH62,"")</f>
        <v>25.431742909907566</v>
      </c>
      <c r="EI27" s="1208">
        <f>IF(Model!EI62&lt;&gt;"",Model!EI62,"")</f>
        <v>50.100414180952711</v>
      </c>
      <c r="EJ27" s="359">
        <f>IF(Model!EJ62&lt;&gt;"",Model!EJ62,"")</f>
        <v>26.88885168543921</v>
      </c>
      <c r="EK27" s="359">
        <f>IF(Model!EK62&lt;&gt;"",Model!EK62,"")</f>
        <v>27.720599771799254</v>
      </c>
      <c r="EL27" s="1208">
        <f>IF(Model!EL62&lt;&gt;"",Model!EL62,"")</f>
        <v>54.609451457238464</v>
      </c>
      <c r="EM27" s="359">
        <f>IF(Model!EM62&lt;&gt;"",Model!EM62,"")</f>
        <v>29.30884833712874</v>
      </c>
      <c r="EN27" s="359">
        <f>IF(Model!EN62&lt;&gt;"",Model!EN62,"")</f>
        <v>30.21545375126119</v>
      </c>
      <c r="EO27" s="1208">
        <f>IF(Model!EO62&lt;&gt;"",Model!EO62,"")</f>
        <v>59.524302088389931</v>
      </c>
      <c r="EP27" s="359">
        <f>IF(Model!EP62&lt;&gt;"",Model!EP62,"")</f>
        <v>31.946644687470329</v>
      </c>
      <c r="EQ27" s="359">
        <f>IF(Model!EQ62&lt;&gt;"",Model!EQ62,"")</f>
        <v>32.934844588874711</v>
      </c>
      <c r="ER27" s="1208">
        <f>IF(Model!ER62&lt;&gt;"",Model!ER62,"")</f>
        <v>64.881489276345036</v>
      </c>
      <c r="ES27" s="359">
        <f>IF(Model!ES62&lt;&gt;"",Model!ES62,"")</f>
        <v>34.821842709342661</v>
      </c>
      <c r="ET27" s="359">
        <f>IF(Model!ET62&lt;&gt;"",Model!ET62,"")</f>
        <v>35.898980601873433</v>
      </c>
      <c r="EU27" s="1208">
        <f>IF(Model!EU62&lt;&gt;"",Model!EU62,"")</f>
        <v>70.720823311216094</v>
      </c>
      <c r="EV27" s="359">
        <f>IF(Model!EV62&lt;&gt;"",Model!EV62,"")</f>
        <v>37.955808553183509</v>
      </c>
      <c r="EW27" s="359">
        <f>IF(Model!EW62&lt;&gt;"",Model!EW62,"")</f>
        <v>39.129888856042037</v>
      </c>
      <c r="EX27" s="1208">
        <f>IF(Model!EX62&lt;&gt;"",Model!EX62,"")</f>
        <v>77.085697409225546</v>
      </c>
      <c r="EY27" s="359">
        <f>IF(Model!EY62&lt;&gt;"",Model!EY62,"")</f>
        <v>41.371831322970024</v>
      </c>
      <c r="EZ27" s="359">
        <f>IF(Model!EZ62&lt;&gt;"",Model!EZ62,"")</f>
        <v>42.651578853085823</v>
      </c>
      <c r="FA27" s="359">
        <f>IF(Model!FA62&lt;&gt;"",Model!FA62,"")</f>
        <v>84.023410176055847</v>
      </c>
    </row>
    <row r="28" spans="1:157" ht="13.35" customHeight="1">
      <c r="A28" s="5"/>
      <c r="B28" s="5" t="s">
        <v>820</v>
      </c>
      <c r="C28" s="5"/>
      <c r="D28" s="5"/>
      <c r="E28" s="361">
        <f t="shared" ref="E28:N28" si="53">IF(OR(E26&lt;&gt;"",E27&lt;&gt;""),SUM(E26:E27),"")</f>
        <v>0</v>
      </c>
      <c r="F28" s="361">
        <f t="shared" si="53"/>
        <v>0</v>
      </c>
      <c r="G28" s="361">
        <f t="shared" si="53"/>
        <v>0</v>
      </c>
      <c r="H28" s="361">
        <f t="shared" si="53"/>
        <v>0</v>
      </c>
      <c r="I28" s="361">
        <f t="shared" si="53"/>
        <v>0</v>
      </c>
      <c r="J28" s="361">
        <f t="shared" si="53"/>
        <v>0</v>
      </c>
      <c r="K28" s="361">
        <f t="shared" si="53"/>
        <v>0</v>
      </c>
      <c r="L28" s="361">
        <f t="shared" si="53"/>
        <v>0</v>
      </c>
      <c r="M28" s="361">
        <f t="shared" si="53"/>
        <v>0</v>
      </c>
      <c r="N28" s="361">
        <f t="shared" si="53"/>
        <v>0</v>
      </c>
      <c r="O28" s="361">
        <f t="shared" ref="O28:X28" si="54">IF(OR(O26&lt;&gt;"",O27&lt;&gt;""),SUM(O26:O27),"")</f>
        <v>0</v>
      </c>
      <c r="P28" s="361">
        <f t="shared" si="54"/>
        <v>0</v>
      </c>
      <c r="Q28" s="361">
        <f t="shared" si="54"/>
        <v>0</v>
      </c>
      <c r="R28" s="361">
        <f t="shared" si="54"/>
        <v>0</v>
      </c>
      <c r="S28" s="361">
        <f t="shared" si="54"/>
        <v>0</v>
      </c>
      <c r="T28" s="361">
        <f t="shared" si="54"/>
        <v>0</v>
      </c>
      <c r="U28" s="361">
        <f t="shared" si="54"/>
        <v>0</v>
      </c>
      <c r="V28" s="361">
        <f t="shared" si="54"/>
        <v>0</v>
      </c>
      <c r="W28" s="361">
        <f t="shared" si="54"/>
        <v>0</v>
      </c>
      <c r="X28" s="361">
        <f t="shared" si="54"/>
        <v>0</v>
      </c>
      <c r="Y28" s="361">
        <f t="shared" ref="Y28:AH28" si="55">IF(OR(Y26&lt;&gt;"",Y27&lt;&gt;""),SUM(Y26:Y27),"")</f>
        <v>0</v>
      </c>
      <c r="Z28" s="361">
        <f t="shared" si="55"/>
        <v>0</v>
      </c>
      <c r="AA28" s="361">
        <f t="shared" si="55"/>
        <v>0</v>
      </c>
      <c r="AB28" s="361">
        <f t="shared" si="55"/>
        <v>0</v>
      </c>
      <c r="AC28" s="361">
        <f t="shared" si="55"/>
        <v>0</v>
      </c>
      <c r="AD28" s="361">
        <f t="shared" si="55"/>
        <v>0</v>
      </c>
      <c r="AE28" s="361">
        <f t="shared" si="55"/>
        <v>0</v>
      </c>
      <c r="AF28" s="361">
        <f t="shared" si="55"/>
        <v>0</v>
      </c>
      <c r="AG28" s="361">
        <f t="shared" si="55"/>
        <v>0</v>
      </c>
      <c r="AH28" s="361">
        <f t="shared" si="55"/>
        <v>0</v>
      </c>
      <c r="AI28" s="361">
        <f t="shared" ref="AI28:AU28" si="56">IF(OR(AI26&lt;&gt;"",AI27&lt;&gt;""),SUM(AI26:AI27),"")</f>
        <v>0.94799999999999995</v>
      </c>
      <c r="AJ28" s="361">
        <f t="shared" si="56"/>
        <v>0.93300000000000005</v>
      </c>
      <c r="AK28" s="361">
        <f t="shared" si="56"/>
        <v>1.881</v>
      </c>
      <c r="AL28" s="361">
        <f t="shared" si="56"/>
        <v>0.79100000000000004</v>
      </c>
      <c r="AM28" s="361">
        <f t="shared" si="56"/>
        <v>0.75900000000000001</v>
      </c>
      <c r="AN28" s="361">
        <f t="shared" si="56"/>
        <v>1.55</v>
      </c>
      <c r="AO28" s="361">
        <f t="shared" si="56"/>
        <v>0.76500000000000001</v>
      </c>
      <c r="AP28" s="361">
        <f t="shared" si="56"/>
        <v>0.83199999999999996</v>
      </c>
      <c r="AQ28" s="361">
        <f t="shared" si="56"/>
        <v>1.597</v>
      </c>
      <c r="AR28" s="361">
        <f t="shared" si="56"/>
        <v>0.80400000000000005</v>
      </c>
      <c r="AS28" s="361">
        <f t="shared" si="56"/>
        <v>0.96399999999999997</v>
      </c>
      <c r="AT28" s="361">
        <f t="shared" si="56"/>
        <v>1.768</v>
      </c>
      <c r="AU28" s="361">
        <f t="shared" si="56"/>
        <v>0.91500000000000004</v>
      </c>
      <c r="AV28" s="361">
        <f t="shared" ref="AV28:BA28" si="57">IF(OR(AV26&lt;&gt;"",AV27&lt;&gt;""),SUM(AV26:AV27),"")</f>
        <v>1.8119999999999998</v>
      </c>
      <c r="AW28" s="361">
        <f t="shared" si="57"/>
        <v>2.7269999999999999</v>
      </c>
      <c r="AX28" s="361">
        <f t="shared" si="57"/>
        <v>1.1399999999999999</v>
      </c>
      <c r="AY28" s="361">
        <f>IF(OR(AY26&lt;&gt;"",AY27&lt;&gt;""),SUM(AY26:AY27),"")</f>
        <v>1.5029999999999999</v>
      </c>
      <c r="AZ28" s="361">
        <f>IF(OR(AZ26&lt;&gt;"",AZ27&lt;&gt;""),SUM(AZ26:AZ27),"")</f>
        <v>2.6429999999999998</v>
      </c>
      <c r="BA28" s="361">
        <f t="shared" si="57"/>
        <v>1.5920000000000001</v>
      </c>
      <c r="BB28" s="361">
        <f>IF(OR(BB26&lt;&gt;"",BB27&lt;&gt;""),SUM(BB26:BB27),"")</f>
        <v>1.9209999999999998</v>
      </c>
      <c r="BC28" s="361">
        <f>IF(OR(BC26&lt;&gt;"",BC27&lt;&gt;""),SUM(BC26:BC27),"")</f>
        <v>3.5129999999999999</v>
      </c>
      <c r="BD28" s="361">
        <f t="shared" ref="BD28:BO28" si="58">IF(OR(BD26&lt;&gt;"",BD27&lt;&gt;""),SUM(BD26:BD27),"")</f>
        <v>2.3734999999999999</v>
      </c>
      <c r="BE28" s="361">
        <f t="shared" si="58"/>
        <v>2.3734999999999999</v>
      </c>
      <c r="BF28" s="361">
        <f t="shared" si="58"/>
        <v>4.7469999999999999</v>
      </c>
      <c r="BG28" s="361">
        <f t="shared" si="58"/>
        <v>3.6579999999999999</v>
      </c>
      <c r="BH28" s="361">
        <f t="shared" si="58"/>
        <v>4.0820000000000007</v>
      </c>
      <c r="BI28" s="361">
        <f t="shared" si="58"/>
        <v>7.74</v>
      </c>
      <c r="BJ28" s="361">
        <f t="shared" si="58"/>
        <v>3.6579999999999999</v>
      </c>
      <c r="BK28" s="361">
        <f t="shared" si="58"/>
        <v>5.7940000000000005</v>
      </c>
      <c r="BL28" s="361">
        <f t="shared" si="58"/>
        <v>9.452</v>
      </c>
      <c r="BM28" s="361">
        <f t="shared" si="58"/>
        <v>4.9307999999999996</v>
      </c>
      <c r="BN28" s="361">
        <f t="shared" si="58"/>
        <v>5.3792000000000009</v>
      </c>
      <c r="BO28" s="361">
        <f t="shared" si="58"/>
        <v>10.31</v>
      </c>
      <c r="BP28" s="361">
        <f t="shared" ref="BP28:DK28" si="59">IF(OR(BP26&lt;&gt;"",BP27&lt;&gt;""),SUM(BP26:BP27),"")</f>
        <v>4.9307999999999996</v>
      </c>
      <c r="BQ28" s="361">
        <f t="shared" si="59"/>
        <v>11.1442</v>
      </c>
      <c r="BR28" s="361">
        <f t="shared" si="59"/>
        <v>16.074999999999999</v>
      </c>
      <c r="BS28" s="361">
        <f t="shared" si="59"/>
        <v>5.2052799999999992</v>
      </c>
      <c r="BT28" s="361">
        <f t="shared" si="59"/>
        <v>12.11372000000002</v>
      </c>
      <c r="BU28" s="361">
        <f t="shared" si="59"/>
        <v>17.31900000000002</v>
      </c>
      <c r="BV28" s="361">
        <f t="shared" si="59"/>
        <v>5.7614399999999995</v>
      </c>
      <c r="BW28" s="361">
        <f t="shared" si="59"/>
        <v>15.57056</v>
      </c>
      <c r="BX28" s="361">
        <f t="shared" si="59"/>
        <v>21.332000000000001</v>
      </c>
      <c r="BY28" s="361">
        <f t="shared" si="59"/>
        <v>5.992</v>
      </c>
      <c r="BZ28" s="361">
        <f t="shared" si="59"/>
        <v>16.251999999999999</v>
      </c>
      <c r="CA28" s="361">
        <f t="shared" si="59"/>
        <v>22.244</v>
      </c>
      <c r="CB28" s="361">
        <f t="shared" si="59"/>
        <v>8.4163999999999994</v>
      </c>
      <c r="CC28" s="361">
        <f t="shared" si="59"/>
        <v>14.671600000000002</v>
      </c>
      <c r="CD28" s="361">
        <f t="shared" si="59"/>
        <v>23.088000000000001</v>
      </c>
      <c r="CE28" s="361">
        <f t="shared" si="59"/>
        <v>13.21968</v>
      </c>
      <c r="CF28" s="361">
        <f t="shared" si="59"/>
        <v>14.180320000000034</v>
      </c>
      <c r="CG28" s="361">
        <f t="shared" si="59"/>
        <v>27.400000000000034</v>
      </c>
      <c r="CH28" s="361">
        <f t="shared" si="59"/>
        <v>13.21968</v>
      </c>
      <c r="CI28" s="361">
        <f t="shared" si="59"/>
        <v>10.881319999999999</v>
      </c>
      <c r="CJ28" s="361">
        <f t="shared" si="59"/>
        <v>24.100999999999999</v>
      </c>
      <c r="CK28" s="361">
        <f t="shared" si="59"/>
        <v>13.21968</v>
      </c>
      <c r="CL28" s="361">
        <f t="shared" si="59"/>
        <v>10.881319999999999</v>
      </c>
      <c r="CM28" s="361">
        <f t="shared" si="59"/>
        <v>24.100999999999999</v>
      </c>
      <c r="CN28" s="361">
        <f t="shared" si="59"/>
        <v>14.332319999999999</v>
      </c>
      <c r="CO28" s="361">
        <f t="shared" si="59"/>
        <v>9.7686799999999998</v>
      </c>
      <c r="CP28" s="361">
        <f t="shared" si="59"/>
        <v>24.100999999999999</v>
      </c>
      <c r="CQ28" s="361">
        <f>IF(OR(CQ26&lt;&gt;"",CQ27&lt;&gt;""),SUM(CQ26:CQ27),"")</f>
        <v>15.1684</v>
      </c>
      <c r="CR28" s="361">
        <f t="shared" si="59"/>
        <v>8.932599999999999</v>
      </c>
      <c r="CS28" s="361">
        <f t="shared" si="59"/>
        <v>24.100999999999999</v>
      </c>
      <c r="CT28" s="361">
        <f t="shared" si="59"/>
        <v>15.1684</v>
      </c>
      <c r="CU28" s="361">
        <f t="shared" si="59"/>
        <v>8.932599999999999</v>
      </c>
      <c r="CV28" s="361">
        <f t="shared" si="59"/>
        <v>24.100999999999999</v>
      </c>
      <c r="CW28" s="361">
        <f t="shared" si="59"/>
        <v>15.1684</v>
      </c>
      <c r="CX28" s="361">
        <f t="shared" si="59"/>
        <v>11.137320000000001</v>
      </c>
      <c r="CY28" s="361">
        <f t="shared" si="59"/>
        <v>26.305720000000001</v>
      </c>
      <c r="CZ28" s="361">
        <f t="shared" si="59"/>
        <v>15.5764</v>
      </c>
      <c r="DA28" s="361">
        <f t="shared" si="59"/>
        <v>18.623600000000003</v>
      </c>
      <c r="DB28" s="361">
        <f t="shared" si="59"/>
        <v>34.200000000000003</v>
      </c>
      <c r="DC28" s="361">
        <f t="shared" si="59"/>
        <v>17.507649999999998</v>
      </c>
      <c r="DD28" s="361">
        <f t="shared" si="59"/>
        <v>20.992350000000002</v>
      </c>
      <c r="DE28" s="361">
        <f t="shared" si="59"/>
        <v>38.5</v>
      </c>
      <c r="DF28" s="361">
        <f t="shared" si="59"/>
        <v>34.124067910447756</v>
      </c>
      <c r="DG28" s="361">
        <f t="shared" si="59"/>
        <v>43.385455899076049</v>
      </c>
      <c r="DH28" s="361">
        <f t="shared" si="59"/>
        <v>77.509523809523813</v>
      </c>
      <c r="DI28" s="361">
        <f t="shared" si="59"/>
        <v>38.680999999999997</v>
      </c>
      <c r="DJ28" s="361">
        <f t="shared" si="59"/>
        <v>37.719000000000008</v>
      </c>
      <c r="DK28" s="1209">
        <f t="shared" si="59"/>
        <v>76.400000000000006</v>
      </c>
      <c r="DL28" s="361">
        <f t="shared" ref="DL28:DQ28" si="60">IF(OR(DL26&lt;&gt;"",DL27&lt;&gt;""),SUM(DL26:DL27),"")</f>
        <v>40.6</v>
      </c>
      <c r="DM28" s="361">
        <f t="shared" si="60"/>
        <v>32.4</v>
      </c>
      <c r="DN28" s="1209">
        <f t="shared" si="60"/>
        <v>73</v>
      </c>
      <c r="DO28" s="361">
        <f t="shared" si="60"/>
        <v>37.299999999999997</v>
      </c>
      <c r="DP28" s="361">
        <f t="shared" si="60"/>
        <v>43.600000000000009</v>
      </c>
      <c r="DQ28" s="1209">
        <f t="shared" si="60"/>
        <v>80.900000000000006</v>
      </c>
      <c r="DR28" s="361">
        <f t="shared" ref="DR28:DU28" si="61">IF(OR(DR26&lt;&gt;"",DR27&lt;&gt;""),SUM(DR26:DR27),"")</f>
        <v>43.1</v>
      </c>
      <c r="DS28" s="361">
        <f t="shared" si="61"/>
        <v>41.800000000000004</v>
      </c>
      <c r="DT28" s="1209">
        <f t="shared" si="61"/>
        <v>84.9</v>
      </c>
      <c r="DU28" s="361">
        <f t="shared" si="61"/>
        <v>43.8</v>
      </c>
      <c r="DV28" s="361">
        <f t="shared" ref="DV28:DW28" si="62">IF(OR(DV26&lt;&gt;"",DV27&lt;&gt;""),SUM(DV26:DV27),"")</f>
        <v>46.600000000000009</v>
      </c>
      <c r="DW28" s="1209">
        <f t="shared" si="62"/>
        <v>90.4</v>
      </c>
      <c r="DX28" s="361">
        <f t="shared" ref="DX28:EF28" si="63">IF(OR(DX26&lt;&gt;"",DX27&lt;&gt;""),SUM(DX26:DX27),"")</f>
        <v>51.6</v>
      </c>
      <c r="DY28" s="361">
        <f t="shared" si="63"/>
        <v>54.752867302086031</v>
      </c>
      <c r="DZ28" s="1209">
        <f t="shared" si="63"/>
        <v>106.35286730208603</v>
      </c>
      <c r="EA28" s="361">
        <f t="shared" si="63"/>
        <v>56.779653847549476</v>
      </c>
      <c r="EB28" s="361">
        <f t="shared" si="63"/>
        <v>58.529001406312261</v>
      </c>
      <c r="EC28" s="1209">
        <f t="shared" si="63"/>
        <v>115.30865525386173</v>
      </c>
      <c r="ED28" s="361">
        <f t="shared" si="63"/>
        <v>52.807553179607353</v>
      </c>
      <c r="EE28" s="361">
        <f t="shared" si="63"/>
        <v>54.441039868303669</v>
      </c>
      <c r="EF28" s="1209">
        <f t="shared" si="63"/>
        <v>107.24859304791102</v>
      </c>
      <c r="EG28" s="361">
        <f t="shared" ref="EG28:EL28" si="64">IF(OR(EG26&lt;&gt;"",EG27&lt;&gt;""),SUM(EG26:EG27),"")</f>
        <v>57.560232965772002</v>
      </c>
      <c r="EH28" s="361">
        <f t="shared" si="64"/>
        <v>59.340733456450991</v>
      </c>
      <c r="EI28" s="1209">
        <f t="shared" si="64"/>
        <v>116.90096642222299</v>
      </c>
      <c r="EJ28" s="361">
        <f t="shared" si="64"/>
        <v>62.740653932691487</v>
      </c>
      <c r="EK28" s="361">
        <f t="shared" si="64"/>
        <v>64.681399467531605</v>
      </c>
      <c r="EL28" s="1209">
        <f t="shared" si="64"/>
        <v>127.42205340022309</v>
      </c>
      <c r="EM28" s="361">
        <f t="shared" ref="EM28:ER28" si="65">IF(OR(EM26&lt;&gt;"",EM27&lt;&gt;""),SUM(EM26:EM27),"")</f>
        <v>68.387312786633728</v>
      </c>
      <c r="EN28" s="361">
        <f t="shared" si="65"/>
        <v>70.502725419609462</v>
      </c>
      <c r="EO28" s="1209">
        <f t="shared" si="65"/>
        <v>138.89003820624319</v>
      </c>
      <c r="EP28" s="361">
        <f t="shared" si="65"/>
        <v>74.542170937430768</v>
      </c>
      <c r="EQ28" s="361">
        <f t="shared" si="65"/>
        <v>76.847970707374316</v>
      </c>
      <c r="ER28" s="1209">
        <f t="shared" si="65"/>
        <v>151.39014164480508</v>
      </c>
      <c r="ES28" s="361">
        <f t="shared" ref="ES28:EX28" si="66">IF(OR(ES26&lt;&gt;"",ES27&lt;&gt;""),SUM(ES26:ES27),"")</f>
        <v>81.250966321799552</v>
      </c>
      <c r="ET28" s="361">
        <f t="shared" si="66"/>
        <v>83.76428807103801</v>
      </c>
      <c r="EU28" s="1209">
        <f t="shared" si="66"/>
        <v>165.01525439283756</v>
      </c>
      <c r="EV28" s="361">
        <f t="shared" si="66"/>
        <v>88.563553290761519</v>
      </c>
      <c r="EW28" s="361">
        <f t="shared" si="66"/>
        <v>91.303073997431426</v>
      </c>
      <c r="EX28" s="1209">
        <f t="shared" si="66"/>
        <v>179.86662728819294</v>
      </c>
      <c r="EY28" s="361">
        <f t="shared" ref="EY28:FA28" si="67">IF(OR(EY26&lt;&gt;"",EY27&lt;&gt;""),SUM(EY26:EY27),"")</f>
        <v>96.534273086930057</v>
      </c>
      <c r="EZ28" s="361">
        <f t="shared" si="67"/>
        <v>99.520350657200254</v>
      </c>
      <c r="FA28" s="361">
        <f t="shared" si="67"/>
        <v>196.05462374413031</v>
      </c>
    </row>
    <row r="29" spans="1:157" ht="13.35" customHeight="1">
      <c r="A29" s="5"/>
      <c r="B29" s="5" t="s">
        <v>821</v>
      </c>
      <c r="C29" s="5"/>
      <c r="D29" s="5"/>
      <c r="E29" s="359"/>
      <c r="F29" s="359"/>
      <c r="G29" s="359"/>
      <c r="H29" s="359"/>
      <c r="I29" s="359"/>
      <c r="J29" s="359"/>
      <c r="K29" s="359"/>
      <c r="L29" s="359"/>
      <c r="M29" s="359"/>
      <c r="N29" s="359"/>
      <c r="O29" s="359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B29" s="359"/>
      <c r="AC29" s="359"/>
      <c r="AD29" s="359"/>
      <c r="AE29" s="359"/>
      <c r="AF29" s="359"/>
      <c r="AG29" s="359"/>
      <c r="AH29" s="359"/>
      <c r="AI29" s="359"/>
      <c r="AJ29" s="359"/>
      <c r="AK29" s="359"/>
      <c r="AL29" s="359"/>
      <c r="AM29" s="359"/>
      <c r="AN29" s="359"/>
      <c r="AO29" s="359"/>
      <c r="AP29" s="359"/>
      <c r="AQ29" s="359"/>
      <c r="AR29" s="359"/>
      <c r="AS29" s="359"/>
      <c r="AT29" s="359"/>
      <c r="AU29" s="359"/>
      <c r="AV29" s="359"/>
      <c r="AW29" s="359"/>
      <c r="AX29" s="359"/>
      <c r="AY29" s="359"/>
      <c r="AZ29" s="359"/>
      <c r="BA29" s="359"/>
      <c r="BB29" s="359"/>
      <c r="BC29" s="359"/>
      <c r="BD29" s="30"/>
      <c r="BE29" s="359"/>
      <c r="BF29" s="30"/>
      <c r="BG29" s="30"/>
      <c r="BH29" s="359"/>
      <c r="BI29" s="30"/>
      <c r="BJ29" s="30"/>
      <c r="BK29" s="359"/>
      <c r="BL29" s="30"/>
      <c r="BM29" s="30"/>
      <c r="BN29" s="359"/>
      <c r="BO29" s="30"/>
      <c r="BP29" s="30"/>
      <c r="BQ29" s="359"/>
      <c r="BR29" s="30"/>
      <c r="BS29" s="30"/>
      <c r="BT29" s="359"/>
      <c r="BU29" s="30"/>
      <c r="BV29" s="30"/>
      <c r="BW29" s="359"/>
      <c r="BX29" s="30"/>
      <c r="BY29" s="30"/>
      <c r="BZ29" s="359"/>
      <c r="CA29" s="30"/>
      <c r="CB29" s="30"/>
      <c r="CC29" s="359"/>
      <c r="CD29" s="30"/>
      <c r="CE29" s="30"/>
      <c r="CF29" s="359"/>
      <c r="CG29" s="30"/>
      <c r="CH29" s="30"/>
      <c r="CI29" s="359"/>
      <c r="CJ29" s="30"/>
      <c r="CK29" s="30"/>
      <c r="CL29" s="359"/>
      <c r="CM29" s="30"/>
      <c r="CN29" s="30"/>
      <c r="CO29" s="359"/>
      <c r="CP29" s="30"/>
      <c r="CQ29" s="30"/>
      <c r="CR29" s="359"/>
      <c r="CS29" s="30"/>
      <c r="CT29" s="30"/>
      <c r="CU29" s="359"/>
      <c r="CV29" s="30"/>
      <c r="CW29" s="30"/>
      <c r="CX29" s="359"/>
      <c r="CY29" s="30"/>
      <c r="CZ29" s="30"/>
      <c r="DA29" s="359"/>
      <c r="DB29" s="30"/>
      <c r="DC29" s="30"/>
      <c r="DD29" s="359"/>
      <c r="DE29" s="30"/>
      <c r="DF29" s="30"/>
      <c r="DG29" s="359"/>
      <c r="DH29" s="30"/>
      <c r="DI29" s="30"/>
      <c r="DJ29" s="359"/>
      <c r="DK29" s="1096"/>
      <c r="DL29" s="30"/>
      <c r="DM29" s="359"/>
      <c r="DN29" s="1096"/>
      <c r="DO29" s="30"/>
      <c r="DP29" s="359"/>
      <c r="DQ29" s="1096"/>
      <c r="DR29" s="30"/>
      <c r="DS29" s="359"/>
      <c r="DT29" s="1096"/>
      <c r="DU29" s="30"/>
      <c r="DV29" s="359"/>
      <c r="DW29" s="1096"/>
      <c r="DX29" s="30"/>
      <c r="DY29" s="359"/>
      <c r="DZ29" s="1096"/>
      <c r="EA29" s="30"/>
      <c r="EB29" s="359"/>
      <c r="EC29" s="1096"/>
      <c r="ED29" s="30"/>
      <c r="EE29" s="359"/>
      <c r="EF29" s="1096"/>
      <c r="EG29" s="30"/>
      <c r="EH29" s="359"/>
      <c r="EI29" s="1096"/>
      <c r="EJ29" s="30"/>
      <c r="EK29" s="359"/>
      <c r="EL29" s="1096"/>
      <c r="EM29" s="30"/>
      <c r="EN29" s="359"/>
      <c r="EO29" s="1096"/>
      <c r="EP29" s="30"/>
      <c r="EQ29" s="359"/>
      <c r="ER29" s="1096"/>
      <c r="ES29" s="30"/>
      <c r="ET29" s="359"/>
      <c r="EU29" s="1096"/>
      <c r="EV29" s="30"/>
      <c r="EW29" s="359"/>
      <c r="EX29" s="1096"/>
      <c r="EY29" s="30"/>
      <c r="EZ29" s="359"/>
      <c r="FA29" s="30"/>
    </row>
    <row r="30" spans="1:157" ht="13.35" customHeight="1">
      <c r="A30" s="5"/>
      <c r="B30" s="5" t="s">
        <v>822</v>
      </c>
      <c r="C30" s="5"/>
      <c r="D30" s="362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1096"/>
      <c r="DL30" s="30"/>
      <c r="DM30" s="30"/>
      <c r="DN30" s="1096"/>
      <c r="DO30" s="30"/>
      <c r="DP30" s="30"/>
      <c r="DQ30" s="1096"/>
      <c r="DR30" s="30"/>
      <c r="DS30" s="30"/>
      <c r="DT30" s="1096"/>
      <c r="DU30" s="30"/>
      <c r="DV30" s="30"/>
      <c r="DW30" s="1096"/>
      <c r="DX30" s="30"/>
      <c r="DY30" s="30"/>
      <c r="DZ30" s="1096"/>
      <c r="EA30" s="30"/>
      <c r="EB30" s="30"/>
      <c r="EC30" s="1096"/>
      <c r="ED30" s="30"/>
      <c r="EE30" s="30"/>
      <c r="EF30" s="1096"/>
      <c r="EG30" s="30"/>
      <c r="EH30" s="30"/>
      <c r="EI30" s="1096"/>
      <c r="EJ30" s="30"/>
      <c r="EK30" s="30"/>
      <c r="EL30" s="1096"/>
      <c r="EM30" s="30"/>
      <c r="EN30" s="30"/>
      <c r="EO30" s="1096"/>
      <c r="EP30" s="30"/>
      <c r="EQ30" s="30"/>
      <c r="ER30" s="1096"/>
      <c r="ES30" s="30"/>
      <c r="ET30" s="30"/>
      <c r="EU30" s="1096"/>
      <c r="EV30" s="30"/>
      <c r="EW30" s="30"/>
      <c r="EX30" s="1096"/>
      <c r="EY30" s="30"/>
      <c r="EZ30" s="30"/>
      <c r="FA30" s="30"/>
    </row>
    <row r="31" spans="1:157" ht="13.35" customHeight="1" outlineLevel="1">
      <c r="A31" s="5"/>
      <c r="B31" s="5" t="s">
        <v>823</v>
      </c>
      <c r="C31" s="5"/>
      <c r="D31" s="362"/>
      <c r="E31" s="363"/>
      <c r="F31" s="363" t="str">
        <f>IF(G31&lt;&gt;"",G31,"")</f>
        <v/>
      </c>
      <c r="G31" s="363"/>
      <c r="H31" s="363"/>
      <c r="I31" s="363" t="str">
        <f>IF(J31&lt;&gt;"",J31,"")</f>
        <v/>
      </c>
      <c r="J31" s="363"/>
      <c r="K31" s="363"/>
      <c r="L31" s="363" t="str">
        <f>IF(M31&lt;&gt;"",M31,"")</f>
        <v/>
      </c>
      <c r="M31" s="363"/>
      <c r="N31" s="363"/>
      <c r="O31" s="363" t="str">
        <f>IF(P31&lt;&gt;"",P31,"")</f>
        <v/>
      </c>
      <c r="P31" s="363"/>
      <c r="Q31" s="363"/>
      <c r="R31" s="363" t="str">
        <f>IF(S31&lt;&gt;"",S31,"")</f>
        <v/>
      </c>
      <c r="S31" s="363"/>
      <c r="T31" s="363"/>
      <c r="U31" s="363" t="str">
        <f>IF(V31&lt;&gt;"",V31,"")</f>
        <v/>
      </c>
      <c r="V31" s="363"/>
      <c r="W31" s="363"/>
      <c r="X31" s="363" t="str">
        <f>IF(Y31&lt;&gt;"",Y31,"")</f>
        <v/>
      </c>
      <c r="Y31" s="363"/>
      <c r="Z31" s="363"/>
      <c r="AA31" s="363" t="str">
        <f>IF(AB31&lt;&gt;"",AB31,"")</f>
        <v/>
      </c>
      <c r="AB31" s="363"/>
      <c r="AC31" s="363"/>
      <c r="AD31" s="363" t="str">
        <f>IF(AE31&lt;&gt;"",AE31,"")</f>
        <v/>
      </c>
      <c r="AE31" s="363"/>
      <c r="AF31" s="363"/>
      <c r="AG31" s="363" t="str">
        <f>IF(AH31&lt;&gt;"",AH31,"")</f>
        <v/>
      </c>
      <c r="AH31" s="363"/>
      <c r="AI31" s="363"/>
      <c r="AJ31" s="363" t="str">
        <f>IF(AK31&lt;&gt;"",AK31,"")</f>
        <v/>
      </c>
      <c r="AK31" s="363"/>
      <c r="AL31" s="363"/>
      <c r="AM31" s="363" t="str">
        <f>IF(AN31&lt;&gt;"",AN31,"")</f>
        <v/>
      </c>
      <c r="AN31" s="363"/>
      <c r="AO31" s="363"/>
      <c r="AP31" s="363"/>
      <c r="AQ31" s="363"/>
      <c r="AR31" s="363"/>
      <c r="AS31" s="363"/>
      <c r="AT31" s="363"/>
      <c r="AU31" s="363"/>
      <c r="AV31" s="363"/>
      <c r="AW31" s="363"/>
      <c r="AX31" s="363"/>
      <c r="AY31" s="363"/>
      <c r="AZ31" s="363"/>
      <c r="BA31" s="363"/>
      <c r="BB31" s="363"/>
      <c r="BC31" s="363"/>
      <c r="BD31" s="363"/>
      <c r="BE31" s="363" t="str">
        <f>IF(BF31&lt;&gt;"",BF31,"")</f>
        <v/>
      </c>
      <c r="BF31" s="363"/>
      <c r="BG31" s="363"/>
      <c r="BH31" s="363" t="str">
        <f>IF(BI31&lt;&gt;"",BI31,"")</f>
        <v/>
      </c>
      <c r="BI31" s="363"/>
      <c r="BJ31" s="363"/>
      <c r="BK31" s="363" t="str">
        <f>IF(BL31&lt;&gt;"",BL31,"")</f>
        <v/>
      </c>
      <c r="BL31" s="363"/>
      <c r="BM31" s="363"/>
      <c r="BN31" s="363" t="str">
        <f>IF(BO31&lt;&gt;"",BO31,"")</f>
        <v/>
      </c>
      <c r="BO31" s="363"/>
      <c r="BP31" s="363"/>
      <c r="BQ31" s="363" t="str">
        <f>IF(BR31&lt;&gt;"",BR31,"")</f>
        <v/>
      </c>
      <c r="BR31" s="363"/>
      <c r="BS31" s="363"/>
      <c r="BT31" s="363" t="str">
        <f>IF(BU31&lt;&gt;"",BU31,"")</f>
        <v/>
      </c>
      <c r="BU31" s="363"/>
      <c r="BV31" s="363"/>
      <c r="BW31" s="363" t="str">
        <f>IF(BX31&lt;&gt;"",BX31,"")</f>
        <v/>
      </c>
      <c r="BX31" s="363"/>
      <c r="BY31" s="363"/>
      <c r="BZ31" s="363" t="str">
        <f>IF(CA31&lt;&gt;"",CA31,"")</f>
        <v/>
      </c>
      <c r="CA31" s="363"/>
      <c r="CB31" s="363"/>
      <c r="CC31" s="363" t="str">
        <f>IF(CD31&lt;&gt;"",CD31,"")</f>
        <v/>
      </c>
      <c r="CD31" s="363"/>
      <c r="CE31" s="363"/>
      <c r="CF31" s="363" t="str">
        <f>IF(CG31&lt;&gt;"",CG31,"")</f>
        <v/>
      </c>
      <c r="CG31" s="363"/>
      <c r="CH31" s="363"/>
      <c r="CI31" s="363" t="str">
        <f>IF(CJ31&lt;&gt;"",CJ31,"")</f>
        <v/>
      </c>
      <c r="CJ31" s="363"/>
      <c r="CK31" s="363"/>
      <c r="CL31" s="363" t="str">
        <f>IF(CM31&lt;&gt;"",CM31,"")</f>
        <v/>
      </c>
      <c r="CM31" s="363"/>
      <c r="CN31" s="363"/>
      <c r="CO31" s="363" t="str">
        <f>IF(CP31&lt;&gt;"",CP31,"")</f>
        <v/>
      </c>
      <c r="CP31" s="363"/>
      <c r="CQ31" s="363"/>
      <c r="CR31" s="363" t="str">
        <f>IF(CS31&lt;&gt;"",CS31,"")</f>
        <v/>
      </c>
      <c r="CS31" s="363"/>
      <c r="CT31" s="363"/>
      <c r="CU31" s="363" t="str">
        <f>IF(CV31&lt;&gt;"",CV31,"")</f>
        <v/>
      </c>
      <c r="CV31" s="363"/>
      <c r="CW31" s="363"/>
      <c r="CX31" s="363" t="str">
        <f>IF(CY31&lt;&gt;"",CY31,"")</f>
        <v/>
      </c>
      <c r="CY31" s="363"/>
      <c r="CZ31" s="363"/>
      <c r="DA31" s="363" t="str">
        <f>IF(DB31&lt;&gt;"",DB31,"")</f>
        <v/>
      </c>
      <c r="DB31" s="363"/>
      <c r="DC31" s="363"/>
      <c r="DD31" s="363" t="str">
        <f>IF(DE31&lt;&gt;"",DE31,"")</f>
        <v/>
      </c>
      <c r="DE31" s="363"/>
      <c r="DF31" s="363"/>
      <c r="DG31" s="363" t="str">
        <f>IF(DH31&lt;&gt;"",DH31,"")</f>
        <v/>
      </c>
      <c r="DH31" s="363"/>
      <c r="DI31" s="363"/>
      <c r="DJ31" s="363" t="str">
        <f>IF(DK31&lt;&gt;"",DK31,"")</f>
        <v/>
      </c>
      <c r="DK31" s="1210"/>
      <c r="DL31" s="363"/>
      <c r="DM31" s="363" t="str">
        <f>IF(DN31&lt;&gt;"",DN31,"")</f>
        <v/>
      </c>
      <c r="DN31" s="1210"/>
      <c r="DO31" s="363"/>
      <c r="DP31" s="363" t="str">
        <f>IF(DQ31&lt;&gt;"",DQ31,"")</f>
        <v/>
      </c>
      <c r="DQ31" s="1210"/>
      <c r="DR31" s="363"/>
      <c r="DS31" s="363" t="str">
        <f>IF(DT31&lt;&gt;"",DT31,"")</f>
        <v/>
      </c>
      <c r="DT31" s="1210"/>
      <c r="DU31" s="363"/>
      <c r="DV31" s="363" t="str">
        <f>IF(DW31&lt;&gt;"",DW31,"")</f>
        <v/>
      </c>
      <c r="DW31" s="1210"/>
      <c r="DX31" s="363"/>
      <c r="DY31" s="363" t="str">
        <f>IF(DZ31&lt;&gt;"",DZ31,"")</f>
        <v/>
      </c>
      <c r="DZ31" s="1210"/>
      <c r="EA31" s="363"/>
      <c r="EB31" s="363" t="str">
        <f>IF(EC31&lt;&gt;"",EC31,"")</f>
        <v/>
      </c>
      <c r="EC31" s="1210"/>
      <c r="ED31" s="363"/>
      <c r="EE31" s="363" t="str">
        <f>IF(EF31&lt;&gt;"",EF31,"")</f>
        <v/>
      </c>
      <c r="EF31" s="1210"/>
      <c r="EG31" s="363"/>
      <c r="EH31" s="363" t="str">
        <f>IF(EI31&lt;&gt;"",EI31,"")</f>
        <v/>
      </c>
      <c r="EI31" s="1210"/>
      <c r="EJ31" s="363"/>
      <c r="EK31" s="363" t="str">
        <f>IF(EL31&lt;&gt;"",EL31,"")</f>
        <v/>
      </c>
      <c r="EL31" s="1210"/>
      <c r="EM31" s="363"/>
      <c r="EN31" s="363" t="str">
        <f>IF(EO31&lt;&gt;"",EO31,"")</f>
        <v/>
      </c>
      <c r="EO31" s="1210"/>
      <c r="EP31" s="363"/>
      <c r="EQ31" s="363" t="str">
        <f>IF(ER31&lt;&gt;"",ER31,"")</f>
        <v/>
      </c>
      <c r="ER31" s="1210"/>
      <c r="ES31" s="363"/>
      <c r="ET31" s="363" t="str">
        <f>IF(EU31&lt;&gt;"",EU31,"")</f>
        <v/>
      </c>
      <c r="EU31" s="1210"/>
      <c r="EV31" s="363"/>
      <c r="EW31" s="363" t="str">
        <f>IF(EX31&lt;&gt;"",EX31,"")</f>
        <v/>
      </c>
      <c r="EX31" s="1210"/>
      <c r="EY31" s="363"/>
      <c r="EZ31" s="363" t="str">
        <f>IF(FA31&lt;&gt;"",FA31,"")</f>
        <v/>
      </c>
      <c r="FA31" s="363"/>
    </row>
    <row r="32" spans="1:157" ht="13.35" customHeight="1" outlineLevel="1">
      <c r="A32" s="5"/>
      <c r="B32" s="5" t="s">
        <v>752</v>
      </c>
      <c r="C32" s="5"/>
      <c r="D32" s="362"/>
      <c r="E32" s="363"/>
      <c r="F32" s="363" t="str">
        <f>IF(G32&lt;&gt;"",G32,"")</f>
        <v/>
      </c>
      <c r="G32" s="363"/>
      <c r="H32" s="363"/>
      <c r="I32" s="363" t="str">
        <f>IF(J32&lt;&gt;"",J32,"")</f>
        <v/>
      </c>
      <c r="J32" s="363"/>
      <c r="K32" s="363"/>
      <c r="L32" s="363" t="str">
        <f>IF(M32&lt;&gt;"",M32,"")</f>
        <v/>
      </c>
      <c r="M32" s="363"/>
      <c r="N32" s="363"/>
      <c r="O32" s="363" t="str">
        <f>IF(P32&lt;&gt;"",P32,"")</f>
        <v/>
      </c>
      <c r="P32" s="363"/>
      <c r="Q32" s="363"/>
      <c r="R32" s="363" t="str">
        <f>IF(S32&lt;&gt;"",S32,"")</f>
        <v/>
      </c>
      <c r="S32" s="363"/>
      <c r="T32" s="363"/>
      <c r="U32" s="363" t="str">
        <f>IF(V32&lt;&gt;"",V32,"")</f>
        <v/>
      </c>
      <c r="V32" s="363"/>
      <c r="W32" s="363"/>
      <c r="X32" s="363" t="str">
        <f>IF(Y32&lt;&gt;"",Y32,"")</f>
        <v/>
      </c>
      <c r="Y32" s="363"/>
      <c r="Z32" s="363"/>
      <c r="AA32" s="363" t="str">
        <f>IF(AB32&lt;&gt;"",AB32,"")</f>
        <v/>
      </c>
      <c r="AB32" s="363"/>
      <c r="AC32" s="363"/>
      <c r="AD32" s="363" t="str">
        <f>IF(AE32&lt;&gt;"",AE32,"")</f>
        <v/>
      </c>
      <c r="AE32" s="363"/>
      <c r="AF32" s="363"/>
      <c r="AG32" s="363" t="str">
        <f>IF(AH32&lt;&gt;"",AH32,"")</f>
        <v/>
      </c>
      <c r="AH32" s="363"/>
      <c r="AI32" s="363"/>
      <c r="AJ32" s="363" t="str">
        <f>IF(AK32&lt;&gt;"",AK32,"")</f>
        <v/>
      </c>
      <c r="AK32" s="363"/>
      <c r="AL32" s="363"/>
      <c r="AM32" s="363" t="str">
        <f>IF(AN32&lt;&gt;"",AN32,"")</f>
        <v/>
      </c>
      <c r="AN32" s="363"/>
      <c r="AO32" s="363"/>
      <c r="AP32" s="363" t="str">
        <f>IF(AQ32&lt;&gt;"",AQ32,"")</f>
        <v/>
      </c>
      <c r="AQ32" s="363"/>
      <c r="AR32" s="363"/>
      <c r="AS32" s="363" t="str">
        <f>IF(AT32&lt;&gt;"",AT32,"")</f>
        <v/>
      </c>
      <c r="AT32" s="363"/>
      <c r="AU32" s="363"/>
      <c r="AV32" s="363" t="str">
        <f>IF(AW32&lt;&gt;"",AW32,"")</f>
        <v/>
      </c>
      <c r="AW32" s="363"/>
      <c r="AX32" s="363"/>
      <c r="AY32" s="363" t="str">
        <f>IF(AZ32&lt;&gt;"",AZ32,"")</f>
        <v/>
      </c>
      <c r="AZ32" s="363"/>
      <c r="BA32" s="363"/>
      <c r="BB32" s="363" t="str">
        <f>IF(BC32&lt;&gt;"",BC32,"")</f>
        <v/>
      </c>
      <c r="BC32" s="363"/>
      <c r="BD32" s="363"/>
      <c r="BE32" s="363" t="str">
        <f>IF(BF32&lt;&gt;"",BF32,"")</f>
        <v/>
      </c>
      <c r="BF32" s="363"/>
      <c r="BG32" s="363"/>
      <c r="BH32" s="363" t="str">
        <f>IF(BI32&lt;&gt;"",BI32,"")</f>
        <v/>
      </c>
      <c r="BI32" s="363"/>
      <c r="BJ32" s="363"/>
      <c r="BK32" s="363" t="str">
        <f>IF(BL32&lt;&gt;"",BL32,"")</f>
        <v/>
      </c>
      <c r="BL32" s="363"/>
      <c r="BM32" s="363"/>
      <c r="BN32" s="363" t="str">
        <f>IF(BO32&lt;&gt;"",BO32,"")</f>
        <v/>
      </c>
      <c r="BO32" s="363"/>
      <c r="BP32" s="363"/>
      <c r="BQ32" s="363" t="str">
        <f>IF(BR32&lt;&gt;"",BR32,"")</f>
        <v/>
      </c>
      <c r="BR32" s="363"/>
      <c r="BS32" s="363"/>
      <c r="BT32" s="363" t="str">
        <f>IF(BU32&lt;&gt;"",BU32,"")</f>
        <v/>
      </c>
      <c r="BU32" s="363"/>
      <c r="BV32" s="363"/>
      <c r="BW32" s="363" t="str">
        <f>IF(BX32&lt;&gt;"",BX32,"")</f>
        <v/>
      </c>
      <c r="BX32" s="363"/>
      <c r="BY32" s="363"/>
      <c r="BZ32" s="363" t="str">
        <f>IF(CA32&lt;&gt;"",CA32,"")</f>
        <v/>
      </c>
      <c r="CA32" s="363"/>
      <c r="CB32" s="363"/>
      <c r="CC32" s="363" t="str">
        <f>IF(CD32&lt;&gt;"",CD32,"")</f>
        <v/>
      </c>
      <c r="CD32" s="363"/>
      <c r="CE32" s="363"/>
      <c r="CF32" s="363" t="str">
        <f>IF(CG32&lt;&gt;"",CG32,"")</f>
        <v/>
      </c>
      <c r="CG32" s="363"/>
      <c r="CH32" s="363"/>
      <c r="CI32" s="363" t="str">
        <f>IF(CJ32&lt;&gt;"",CJ32,"")</f>
        <v/>
      </c>
      <c r="CJ32" s="363"/>
      <c r="CK32" s="363"/>
      <c r="CL32" s="363" t="str">
        <f>IF(CM32&lt;&gt;"",CM32,"")</f>
        <v/>
      </c>
      <c r="CM32" s="363"/>
      <c r="CN32" s="363"/>
      <c r="CO32" s="363" t="str">
        <f>IF(CP32&lt;&gt;"",CP32,"")</f>
        <v/>
      </c>
      <c r="CP32" s="363"/>
      <c r="CQ32" s="363"/>
      <c r="CR32" s="363" t="str">
        <f>IF(CS32&lt;&gt;"",CS32,"")</f>
        <v/>
      </c>
      <c r="CS32" s="363"/>
      <c r="CT32" s="363"/>
      <c r="CU32" s="363" t="str">
        <f>IF(CV32&lt;&gt;"",CV32,"")</f>
        <v/>
      </c>
      <c r="CV32" s="363"/>
      <c r="CW32" s="363"/>
      <c r="CX32" s="363" t="str">
        <f>IF(CY32&lt;&gt;"",CY32,"")</f>
        <v/>
      </c>
      <c r="CY32" s="363"/>
      <c r="CZ32" s="363"/>
      <c r="DA32" s="363" t="str">
        <f>IF(DB32&lt;&gt;"",DB32,"")</f>
        <v/>
      </c>
      <c r="DB32" s="363"/>
      <c r="DC32" s="363"/>
      <c r="DD32" s="363" t="str">
        <f>IF(DE32&lt;&gt;"",DE32,"")</f>
        <v/>
      </c>
      <c r="DE32" s="363"/>
      <c r="DF32" s="363"/>
      <c r="DG32" s="363" t="str">
        <f>IF(DH32&lt;&gt;"",DH32,"")</f>
        <v/>
      </c>
      <c r="DH32" s="363"/>
      <c r="DI32" s="363"/>
      <c r="DJ32" s="363" t="str">
        <f>IF(DK32&lt;&gt;"",DK32,"")</f>
        <v/>
      </c>
      <c r="DK32" s="1210"/>
      <c r="DL32" s="363"/>
      <c r="DM32" s="363" t="str">
        <f>IF(DN32&lt;&gt;"",DN32,"")</f>
        <v/>
      </c>
      <c r="DN32" s="1210"/>
      <c r="DO32" s="363"/>
      <c r="DP32" s="363" t="str">
        <f>IF(DQ32&lt;&gt;"",DQ32,"")</f>
        <v/>
      </c>
      <c r="DQ32" s="1210"/>
      <c r="DR32" s="363"/>
      <c r="DS32" s="363" t="str">
        <f>IF(DT32&lt;&gt;"",DT32,"")</f>
        <v/>
      </c>
      <c r="DT32" s="1210"/>
      <c r="DU32" s="363"/>
      <c r="DV32" s="363" t="str">
        <f>IF(DW32&lt;&gt;"",DW32,"")</f>
        <v/>
      </c>
      <c r="DW32" s="1210"/>
      <c r="DX32" s="363"/>
      <c r="DY32" s="363" t="str">
        <f>IF(DZ32&lt;&gt;"",DZ32,"")</f>
        <v/>
      </c>
      <c r="DZ32" s="1210"/>
      <c r="EA32" s="363"/>
      <c r="EB32" s="363" t="str">
        <f>IF(EC32&lt;&gt;"",EC32,"")</f>
        <v/>
      </c>
      <c r="EC32" s="1210"/>
      <c r="ED32" s="363"/>
      <c r="EE32" s="363" t="str">
        <f>IF(EF32&lt;&gt;"",EF32,"")</f>
        <v/>
      </c>
      <c r="EF32" s="1210"/>
      <c r="EG32" s="363"/>
      <c r="EH32" s="363" t="str">
        <f>IF(EI32&lt;&gt;"",EI32,"")</f>
        <v/>
      </c>
      <c r="EI32" s="1210"/>
      <c r="EJ32" s="363"/>
      <c r="EK32" s="363" t="str">
        <f>IF(EL32&lt;&gt;"",EL32,"")</f>
        <v/>
      </c>
      <c r="EL32" s="1210"/>
      <c r="EM32" s="363"/>
      <c r="EN32" s="363" t="str">
        <f>IF(EO32&lt;&gt;"",EO32,"")</f>
        <v/>
      </c>
      <c r="EO32" s="1210"/>
      <c r="EP32" s="363"/>
      <c r="EQ32" s="363" t="str">
        <f>IF(ER32&lt;&gt;"",ER32,"")</f>
        <v/>
      </c>
      <c r="ER32" s="1210"/>
      <c r="ES32" s="363"/>
      <c r="ET32" s="363" t="str">
        <f>IF(EU32&lt;&gt;"",EU32,"")</f>
        <v/>
      </c>
      <c r="EU32" s="1210"/>
      <c r="EV32" s="363"/>
      <c r="EW32" s="363" t="str">
        <f>IF(EX32&lt;&gt;"",EX32,"")</f>
        <v/>
      </c>
      <c r="EX32" s="1210"/>
      <c r="EY32" s="363"/>
      <c r="EZ32" s="363" t="str">
        <f>IF(FA32&lt;&gt;"",FA32,"")</f>
        <v/>
      </c>
      <c r="FA32" s="363"/>
    </row>
    <row r="33" spans="1:157" ht="13.35" customHeight="1" outlineLevel="1">
      <c r="A33" s="5"/>
      <c r="B33" s="5" t="s">
        <v>658</v>
      </c>
      <c r="C33" s="5"/>
      <c r="D33" s="362"/>
      <c r="E33" s="364" t="str">
        <f>IF(Model!E248&lt;&gt;"",Model!E248,"")</f>
        <v/>
      </c>
      <c r="F33" s="364" t="str">
        <f>IF(Model!G248&lt;&gt;"",Model!F248,"")</f>
        <v/>
      </c>
      <c r="G33" s="364" t="str">
        <f>IF(Model!G248&lt;&gt;"",Model!G248,"")</f>
        <v/>
      </c>
      <c r="H33" s="364" t="str">
        <f>IF(Model!H248&lt;&gt;"",Model!H248,"")</f>
        <v/>
      </c>
      <c r="I33" s="364" t="str">
        <f>IF(Model!J248&lt;&gt;"",Model!I248,"")</f>
        <v/>
      </c>
      <c r="J33" s="364" t="str">
        <f>IF(Model!J248&lt;&gt;"",Model!J248,"")</f>
        <v/>
      </c>
      <c r="K33" s="364" t="str">
        <f>IF(Model!K248&lt;&gt;"",Model!K248,"")</f>
        <v/>
      </c>
      <c r="L33" s="364" t="str">
        <f>IF(Model!M248&lt;&gt;"",Model!L248,"")</f>
        <v/>
      </c>
      <c r="M33" s="364" t="str">
        <f>IF(Model!M248&lt;&gt;"",Model!M248,"")</f>
        <v/>
      </c>
      <c r="N33" s="364" t="str">
        <f>IF(Model!N248&lt;&gt;"",Model!N248,"")</f>
        <v/>
      </c>
      <c r="O33" s="364" t="str">
        <f>IF(Model!P248&lt;&gt;"",Model!O248,"")</f>
        <v/>
      </c>
      <c r="P33" s="364" t="str">
        <f>IF(Model!P248&lt;&gt;"",Model!P248,"")</f>
        <v/>
      </c>
      <c r="Q33" s="364" t="str">
        <f>IF(Model!Q248&lt;&gt;"",Model!Q248,"")</f>
        <v/>
      </c>
      <c r="R33" s="364" t="str">
        <f>IF(Model!S248&lt;&gt;"",Model!R248,"")</f>
        <v/>
      </c>
      <c r="S33" s="364" t="str">
        <f>IF(Model!S248&lt;&gt;"",Model!S248,"")</f>
        <v/>
      </c>
      <c r="T33" s="364" t="str">
        <f>IF(Model!T248&lt;&gt;"",Model!T248,"")</f>
        <v/>
      </c>
      <c r="U33" s="364" t="str">
        <f>IF(Model!V248&lt;&gt;"",Model!U248,"")</f>
        <v/>
      </c>
      <c r="V33" s="364" t="str">
        <f>IF(Model!V248&lt;&gt;"",Model!V248,"")</f>
        <v/>
      </c>
      <c r="W33" s="364" t="str">
        <f>IF(Model!W248&lt;&gt;"",Model!W248,"")</f>
        <v/>
      </c>
      <c r="X33" s="364" t="str">
        <f>IF(Model!Y248&lt;&gt;"",Model!X248,"")</f>
        <v/>
      </c>
      <c r="Y33" s="364" t="str">
        <f>IF(Model!Y248&lt;&gt;"",Model!Y248,"")</f>
        <v/>
      </c>
      <c r="Z33" s="364" t="str">
        <f>IF(Model!Z248&lt;&gt;"",Model!Z248,"")</f>
        <v/>
      </c>
      <c r="AA33" s="364" t="str">
        <f>IF(Model!AB248&lt;&gt;"",Model!AA248,"")</f>
        <v/>
      </c>
      <c r="AB33" s="364" t="str">
        <f>IF(Model!AB248&lt;&gt;"",Model!AB248,"")</f>
        <v/>
      </c>
      <c r="AC33" s="364" t="str">
        <f>IF(Model!AC248&lt;&gt;"",Model!AC248,"")</f>
        <v/>
      </c>
      <c r="AD33" s="364" t="str">
        <f>IF(Model!AE248&lt;&gt;"",Model!AD248,"")</f>
        <v/>
      </c>
      <c r="AE33" s="364" t="str">
        <f>IF(Model!AE248&lt;&gt;"",Model!AE248,"")</f>
        <v/>
      </c>
      <c r="AF33" s="364" t="str">
        <f>IF(Model!AF248&lt;&gt;"",Model!AF248,"")</f>
        <v/>
      </c>
      <c r="AG33" s="364" t="str">
        <f>IF(Model!AH248&lt;&gt;"",Model!AG248,"")</f>
        <v/>
      </c>
      <c r="AH33" s="364" t="str">
        <f>IF(Model!AH248&lt;&gt;"",Model!AH248,"")</f>
        <v/>
      </c>
      <c r="AI33" s="364" t="str">
        <f>IF(Model!AI248&lt;&gt;"",Model!AI248,"")</f>
        <v/>
      </c>
      <c r="AJ33" s="364" t="str">
        <f>IF(Model!AK248&lt;&gt;"",Model!AJ248,"")</f>
        <v/>
      </c>
      <c r="AK33" s="364" t="str">
        <f>IF(Model!AK248&lt;&gt;"",Model!AK248,"")</f>
        <v/>
      </c>
      <c r="AL33" s="364" t="str">
        <f>IF(Model!AL248&lt;&gt;"",Model!AL248,"")</f>
        <v/>
      </c>
      <c r="AM33" s="364" t="str">
        <f>IF(Model!AN248&lt;&gt;"",Model!AM248,"")</f>
        <v/>
      </c>
      <c r="AN33" s="364" t="str">
        <f>IF(Model!AN248&lt;&gt;"",Model!AN248,"")</f>
        <v/>
      </c>
      <c r="AO33" s="364" t="str">
        <f>IF(Model!AO248&lt;&gt;"",Model!AO248,"")</f>
        <v/>
      </c>
      <c r="AP33" s="364" t="str">
        <f>IF(Model!AQ248&lt;&gt;"",Model!AP248,"")</f>
        <v/>
      </c>
      <c r="AQ33" s="364" t="str">
        <f>IF(Model!AQ248&lt;&gt;"",Model!AQ248,"")</f>
        <v/>
      </c>
      <c r="AR33" s="364" t="str">
        <f>IF(Model!AR248&lt;&gt;"",Model!AR248,"")</f>
        <v/>
      </c>
      <c r="AS33" s="364" t="str">
        <f>IF(Model!AT248&lt;&gt;"",Model!AS248,"")</f>
        <v/>
      </c>
      <c r="AT33" s="364" t="str">
        <f>IF(Model!AT248&lt;&gt;"",Model!AT248,"")</f>
        <v/>
      </c>
      <c r="AU33" s="364" t="str">
        <f>IF(Model!AU248&lt;&gt;"",Model!AU248,"")</f>
        <v/>
      </c>
      <c r="AV33" s="364" t="str">
        <f>IF(Model!AW248&lt;&gt;"",Model!AV248,"")</f>
        <v/>
      </c>
      <c r="AW33" s="364" t="str">
        <f>IF(Model!AW248&lt;&gt;"",Model!AW248,"")</f>
        <v/>
      </c>
      <c r="AX33" s="364">
        <f>IF(Model!AX248&lt;&gt;"",Model!AX248,"")</f>
        <v>0</v>
      </c>
      <c r="AY33" s="364">
        <f>IF(Model!AZ248&lt;&gt;"",Model!AY248,"")</f>
        <v>0</v>
      </c>
      <c r="AZ33" s="364">
        <f>IF(Model!AZ248&lt;&gt;"",Model!AZ248,"")</f>
        <v>0</v>
      </c>
      <c r="BA33" s="364">
        <f>IF(Model!BA248&lt;&gt;"",Model!BA248,"")</f>
        <v>0</v>
      </c>
      <c r="BB33" s="364">
        <f>IF(Model!BC248&lt;&gt;"",Model!BB248,"")</f>
        <v>0</v>
      </c>
      <c r="BC33" s="364">
        <f>IF(Model!BC248&lt;&gt;"",Model!BC248,"")</f>
        <v>0</v>
      </c>
      <c r="BD33" s="364">
        <f>IF(Model!BD248&lt;&gt;"",Model!BD248,"")</f>
        <v>0</v>
      </c>
      <c r="BE33" s="364">
        <f>IF(Model!BF248&lt;&gt;"",Model!BE248,"")</f>
        <v>0</v>
      </c>
      <c r="BF33" s="364">
        <f>IF(Model!BF248&lt;&gt;"",Model!BF248,"")</f>
        <v>0</v>
      </c>
      <c r="BG33" s="364">
        <f>IF(Model!BG248&lt;&gt;"",Model!BG248,"")</f>
        <v>0</v>
      </c>
      <c r="BH33" s="364">
        <f>IF(Model!BI248&lt;&gt;"",Model!BH248,"")</f>
        <v>0</v>
      </c>
      <c r="BI33" s="364">
        <f>IF(Model!BI248&lt;&gt;"",Model!BI248,"")</f>
        <v>0</v>
      </c>
      <c r="BJ33" s="364">
        <f>IF(Model!BJ248&lt;&gt;"",Model!BJ248,"")</f>
        <v>0</v>
      </c>
      <c r="BK33" s="364">
        <f>IF(Model!BL248&lt;&gt;"",Model!BK248,"")</f>
        <v>0</v>
      </c>
      <c r="BL33" s="364">
        <f>IF(Model!BL248&lt;&gt;"",Model!BL248,"")</f>
        <v>0</v>
      </c>
      <c r="BM33" s="364" t="str">
        <f>IF(Model!BM248&lt;&gt;"",Model!BM248,"")</f>
        <v/>
      </c>
      <c r="BN33" s="364" t="str">
        <f>IF(Model!BO248&lt;&gt;"",Model!BN248,"")</f>
        <v/>
      </c>
      <c r="BO33" s="364" t="str">
        <f>IF(Model!BO248&lt;&gt;"",Model!BO248,"")</f>
        <v/>
      </c>
      <c r="BP33" s="364" t="str">
        <f>IF(Model!BP248&lt;&gt;"",Model!BP248,"")</f>
        <v/>
      </c>
      <c r="BQ33" s="364" t="str">
        <f>IF(Model!BR248&lt;&gt;"",Model!BQ248,"")</f>
        <v/>
      </c>
      <c r="BR33" s="364" t="str">
        <f>IF(Model!BR248&lt;&gt;"",Model!BR248,"")</f>
        <v/>
      </c>
      <c r="BS33" s="364" t="str">
        <f>IF(Model!BS248&lt;&gt;"",Model!BS248,"")</f>
        <v/>
      </c>
      <c r="BT33" s="364" t="str">
        <f>IF(Model!BU248&lt;&gt;"",Model!BT248,"")</f>
        <v/>
      </c>
      <c r="BU33" s="364" t="str">
        <f>IF(Model!BU248&lt;&gt;"",Model!BU248,"")</f>
        <v/>
      </c>
      <c r="BV33" s="364" t="str">
        <f>IF(Model!BV248&lt;&gt;"",Model!BV248,"")</f>
        <v/>
      </c>
      <c r="BW33" s="364" t="str">
        <f>IF(Model!BX248&lt;&gt;"",Model!BW248,"")</f>
        <v/>
      </c>
      <c r="BX33" s="364" t="str">
        <f>IF(Model!BX248&lt;&gt;"",Model!BX248,"")</f>
        <v/>
      </c>
      <c r="BY33" s="364" t="str">
        <f>IF(Model!BY248&lt;&gt;"",Model!BY248,"")</f>
        <v/>
      </c>
      <c r="BZ33" s="364" t="str">
        <f>IF(Model!CA248&lt;&gt;"",Model!BZ248,"")</f>
        <v/>
      </c>
      <c r="CA33" s="364" t="str">
        <f>IF(Model!CA248&lt;&gt;"",Model!CA248,"")</f>
        <v/>
      </c>
      <c r="CB33" s="364" t="str">
        <f>IF(Model!CB248&lt;&gt;"",Model!CB248,"")</f>
        <v/>
      </c>
      <c r="CC33" s="364" t="str">
        <f>IF(Model!CD248&lt;&gt;"",Model!CC248,"")</f>
        <v/>
      </c>
      <c r="CD33" s="364" t="str">
        <f>IF(Model!CD248&lt;&gt;"",Model!CD248,"")</f>
        <v/>
      </c>
      <c r="CE33" s="364" t="str">
        <f>IF(Model!CE248&lt;&gt;"",Model!CE248,"")</f>
        <v/>
      </c>
      <c r="CF33" s="364" t="str">
        <f>IF(Model!CG248&lt;&gt;"",Model!CF248,"")</f>
        <v/>
      </c>
      <c r="CG33" s="364" t="str">
        <f>IF(Model!CG248&lt;&gt;"",Model!CG248,"")</f>
        <v/>
      </c>
      <c r="CH33" s="364" t="str">
        <f>IF(Model!CH248&lt;&gt;"",Model!CH248,"")</f>
        <v/>
      </c>
      <c r="CI33" s="364" t="str">
        <f>IF(Model!CJ248&lt;&gt;"",Model!CI248,"")</f>
        <v/>
      </c>
      <c r="CJ33" s="364" t="str">
        <f>IF(Model!CJ248&lt;&gt;"",Model!CJ248,"")</f>
        <v/>
      </c>
      <c r="CK33" s="364" t="str">
        <f>IF(Model!CK248&lt;&gt;"",Model!CK248,"")</f>
        <v/>
      </c>
      <c r="CL33" s="364" t="str">
        <f>IF(Model!CM248&lt;&gt;"",Model!CL248,"")</f>
        <v/>
      </c>
      <c r="CM33" s="364" t="str">
        <f>IF(Model!CM248&lt;&gt;"",Model!CM248,"")</f>
        <v/>
      </c>
      <c r="CN33" s="364" t="str">
        <f>IF(Model!CN248&lt;&gt;"",Model!CN248,"")</f>
        <v/>
      </c>
      <c r="CO33" s="364" t="str">
        <f>IF(Model!CP248&lt;&gt;"",Model!CO248,"")</f>
        <v/>
      </c>
      <c r="CP33" s="364" t="str">
        <f>IF(Model!CP248&lt;&gt;"",Model!CP248,"")</f>
        <v/>
      </c>
      <c r="CQ33" s="364" t="str">
        <f>IF(Model!CQ248&lt;&gt;"",Model!CQ248,"")</f>
        <v/>
      </c>
      <c r="CR33" s="364" t="str">
        <f>IF(Model!CS248&lt;&gt;"",Model!CR248,"")</f>
        <v/>
      </c>
      <c r="CS33" s="364" t="str">
        <f>IF(Model!CS248&lt;&gt;"",Model!CS248,"")</f>
        <v/>
      </c>
      <c r="CT33" s="364" t="str">
        <f>IF(Model!CT248&lt;&gt;"",Model!CT248,"")</f>
        <v/>
      </c>
      <c r="CU33" s="364" t="str">
        <f>IF(Model!CV248&lt;&gt;"",Model!CU248,"")</f>
        <v/>
      </c>
      <c r="CV33" s="364" t="str">
        <f>IF(Model!CV248&lt;&gt;"",Model!CV248,"")</f>
        <v/>
      </c>
      <c r="CW33" s="364" t="str">
        <f>IF(Model!CW248&lt;&gt;"",Model!CW248,"")</f>
        <v/>
      </c>
      <c r="CX33" s="364" t="str">
        <f>IF(Model!CY248&lt;&gt;"",Model!CX248,"")</f>
        <v/>
      </c>
      <c r="CY33" s="364" t="str">
        <f>IF(Model!CY248&lt;&gt;"",Model!CY248,"")</f>
        <v/>
      </c>
      <c r="CZ33" s="364" t="str">
        <f>IF(Model!CZ248&lt;&gt;"",Model!CZ248,"")</f>
        <v/>
      </c>
      <c r="DA33" s="364" t="str">
        <f>IF(Model!DB248&lt;&gt;"",Model!DA248,"")</f>
        <v/>
      </c>
      <c r="DB33" s="364" t="str">
        <f>IF(Model!DB248&lt;&gt;"",Model!DB248,"")</f>
        <v/>
      </c>
      <c r="DC33" s="364" t="str">
        <f>IF(Model!DC248&lt;&gt;"",Model!DC248,"")</f>
        <v/>
      </c>
      <c r="DD33" s="364" t="str">
        <f>IF(Model!DE248&lt;&gt;"",Model!DD248,"")</f>
        <v/>
      </c>
      <c r="DE33" s="364" t="str">
        <f>IF(Model!DE248&lt;&gt;"",Model!DE248,"")</f>
        <v/>
      </c>
      <c r="DF33" s="364" t="str">
        <f>IF(Model!DF248&lt;&gt;"",Model!DF248,"")</f>
        <v/>
      </c>
      <c r="DG33" s="364" t="str">
        <f>IF(Model!DH248&lt;&gt;"",Model!DG248,"")</f>
        <v/>
      </c>
      <c r="DH33" s="364" t="str">
        <f>IF(Model!DH248&lt;&gt;"",Model!DH248,"")</f>
        <v/>
      </c>
      <c r="DI33" s="364" t="str">
        <f>IF(Model!DI248&lt;&gt;"",Model!DI248,"")</f>
        <v/>
      </c>
      <c r="DJ33" s="364" t="str">
        <f>IF(Model!DK248&lt;&gt;"",Model!DJ248,"")</f>
        <v/>
      </c>
      <c r="DK33" s="1211" t="str">
        <f>IF(Model!DK248&lt;&gt;"",Model!DK248,"")</f>
        <v/>
      </c>
      <c r="DL33" s="364" t="str">
        <f>IF(Model!DL248&lt;&gt;"",Model!DL248,"")</f>
        <v/>
      </c>
      <c r="DM33" s="364" t="str">
        <f>IF(Model!DN248&lt;&gt;"",Model!DM248,"")</f>
        <v/>
      </c>
      <c r="DN33" s="1211" t="str">
        <f>IF(Model!DN248&lt;&gt;"",Model!DN248,"")</f>
        <v/>
      </c>
      <c r="DO33" s="364" t="str">
        <f>IF(Model!DO248&lt;&gt;"",Model!DO248,"")</f>
        <v/>
      </c>
      <c r="DP33" s="364" t="str">
        <f>IF(Model!DQ248&lt;&gt;"",Model!DP248,"")</f>
        <v/>
      </c>
      <c r="DQ33" s="1211" t="str">
        <f>IF(Model!DQ248&lt;&gt;"",Model!DQ248,"")</f>
        <v/>
      </c>
      <c r="DR33" s="364" t="str">
        <f>IF(Model!DR248&lt;&gt;"",Model!DR248,"")</f>
        <v/>
      </c>
      <c r="DS33" s="364" t="str">
        <f>IF(Model!DT248&lt;&gt;"",Model!DS248,"")</f>
        <v/>
      </c>
      <c r="DT33" s="1211" t="str">
        <f>IF(Model!DT248&lt;&gt;"",Model!DT248,"")</f>
        <v/>
      </c>
      <c r="DU33" s="364" t="str">
        <f>IF(Model!DU248&lt;&gt;"",Model!DU248,"")</f>
        <v/>
      </c>
      <c r="DV33" s="364" t="str">
        <f>IF(Model!DW248&lt;&gt;"",Model!DV248,"")</f>
        <v/>
      </c>
      <c r="DW33" s="1211" t="str">
        <f>IF(Model!DW248&lt;&gt;"",Model!DW248,"")</f>
        <v/>
      </c>
      <c r="DX33" s="364" t="str">
        <f>IF(Model!DX248&lt;&gt;"",Model!DX248,"")</f>
        <v/>
      </c>
      <c r="DY33" s="364">
        <f>IF(Model!DZ248&lt;&gt;"",Model!DY248,"")</f>
        <v>0</v>
      </c>
      <c r="DZ33" s="1211">
        <f>IF(Model!DZ248&lt;&gt;"",Model!DZ248,"")</f>
        <v>0</v>
      </c>
      <c r="EA33" s="364">
        <f>IF(Model!EA248&lt;&gt;"",Model!EA248,"")</f>
        <v>0</v>
      </c>
      <c r="EB33" s="364">
        <f>IF(Model!EC248&lt;&gt;"",Model!EB248,"")</f>
        <v>0</v>
      </c>
      <c r="EC33" s="1211">
        <f>IF(Model!EC248&lt;&gt;"",Model!EC248,"")</f>
        <v>0</v>
      </c>
      <c r="ED33" s="364">
        <f>IF(Model!ED248&lt;&gt;"",Model!ED248,"")</f>
        <v>0</v>
      </c>
      <c r="EE33" s="364">
        <f>IF(Model!EF248&lt;&gt;"",Model!EE248,"")</f>
        <v>0</v>
      </c>
      <c r="EF33" s="1211">
        <f>IF(Model!EF248&lt;&gt;"",Model!EF248,"")</f>
        <v>0</v>
      </c>
      <c r="EG33" s="364">
        <f>IF(Model!EG248&lt;&gt;"",Model!EG248,"")</f>
        <v>0</v>
      </c>
      <c r="EH33" s="364">
        <f>IF(Model!EI248&lt;&gt;"",Model!EH248,"")</f>
        <v>0</v>
      </c>
      <c r="EI33" s="1211">
        <f>IF(Model!EI248&lt;&gt;"",Model!EI248,"")</f>
        <v>0</v>
      </c>
      <c r="EJ33" s="364">
        <f>IF(Model!EJ248&lt;&gt;"",Model!EJ248,"")</f>
        <v>0</v>
      </c>
      <c r="EK33" s="364">
        <f>IF(Model!EL248&lt;&gt;"",Model!EK248,"")</f>
        <v>0</v>
      </c>
      <c r="EL33" s="1211">
        <f>IF(Model!EL248&lt;&gt;"",Model!EL248,"")</f>
        <v>0</v>
      </c>
      <c r="EM33" s="364">
        <f>IF(Model!EM248&lt;&gt;"",Model!EM248,"")</f>
        <v>0</v>
      </c>
      <c r="EN33" s="364">
        <f>IF(Model!EO248&lt;&gt;"",Model!EN248,"")</f>
        <v>0</v>
      </c>
      <c r="EO33" s="1211">
        <f>IF(Model!EO248&lt;&gt;"",Model!EO248,"")</f>
        <v>0</v>
      </c>
      <c r="EP33" s="364">
        <f>IF(Model!EP248&lt;&gt;"",Model!EP248,"")</f>
        <v>0</v>
      </c>
      <c r="EQ33" s="364">
        <f>IF(Model!ER248&lt;&gt;"",Model!EQ248,"")</f>
        <v>0</v>
      </c>
      <c r="ER33" s="1211">
        <f>IF(Model!ER248&lt;&gt;"",Model!ER248,"")</f>
        <v>0</v>
      </c>
      <c r="ES33" s="364">
        <f>IF(Model!ES248&lt;&gt;"",Model!ES248,"")</f>
        <v>0</v>
      </c>
      <c r="ET33" s="364">
        <f>IF(Model!EU248&lt;&gt;"",Model!ET248,"")</f>
        <v>0</v>
      </c>
      <c r="EU33" s="1211">
        <f>IF(Model!EU248&lt;&gt;"",Model!EU248,"")</f>
        <v>0</v>
      </c>
      <c r="EV33" s="364">
        <f>IF(Model!EV248&lt;&gt;"",Model!EV248,"")</f>
        <v>0</v>
      </c>
      <c r="EW33" s="364">
        <f>IF(Model!EX248&lt;&gt;"",Model!EW248,"")</f>
        <v>0</v>
      </c>
      <c r="EX33" s="1211">
        <f>IF(Model!EX248&lt;&gt;"",Model!EX248,"")</f>
        <v>0</v>
      </c>
      <c r="EY33" s="364">
        <f>IF(Model!EY248&lt;&gt;"",Model!EY248,"")</f>
        <v>0</v>
      </c>
      <c r="EZ33" s="364">
        <f>IF(Model!FA248&lt;&gt;"",Model!EZ248,"")</f>
        <v>0</v>
      </c>
      <c r="FA33" s="364">
        <f>IF(Model!FA248&lt;&gt;"",Model!FA248,"")</f>
        <v>0</v>
      </c>
    </row>
    <row r="34" spans="1:157" ht="13.35" customHeight="1" outlineLevel="1">
      <c r="A34" s="5"/>
      <c r="B34" s="5" t="s">
        <v>659</v>
      </c>
      <c r="C34" s="5"/>
      <c r="D34" s="362"/>
      <c r="E34" s="363"/>
      <c r="F34" s="363"/>
      <c r="G34" s="363"/>
      <c r="H34" s="363" t="str">
        <f>IF(AND(G31&lt;&gt;"",H31&lt;&gt;""),(G31+H31)/2,"")</f>
        <v/>
      </c>
      <c r="I34" s="363" t="str">
        <f>IF(AND(H31&lt;&gt;"",I31&lt;&gt;""),(H31+I31)/2,"")</f>
        <v/>
      </c>
      <c r="J34" s="363" t="str">
        <f>IF(AND(G31&lt;&gt;"",J31&lt;&gt;""),(G31+J31)/2,"")</f>
        <v/>
      </c>
      <c r="K34" s="363" t="str">
        <f>IF(AND(J31&lt;&gt;"",K31&lt;&gt;""),(J31+K31)/2,"")</f>
        <v/>
      </c>
      <c r="L34" s="363" t="str">
        <f>IF(AND(K31&lt;&gt;"",L31&lt;&gt;""),(K31+L31)/2,"")</f>
        <v/>
      </c>
      <c r="M34" s="363" t="str">
        <f>IF(AND(J31&lt;&gt;"",M31&lt;&gt;""),(J31+M31)/2,"")</f>
        <v/>
      </c>
      <c r="N34" s="363" t="str">
        <f>IF(AND(M31&lt;&gt;"",N31&lt;&gt;""),(M31+N31)/2,"")</f>
        <v/>
      </c>
      <c r="O34" s="363" t="str">
        <f>IF(AND(N31&lt;&gt;"",O31&lt;&gt;""),(N31+O31)/2,"")</f>
        <v/>
      </c>
      <c r="P34" s="363" t="str">
        <f>IF(AND(M31&lt;&gt;"",P31&lt;&gt;""),(M31+P31)/2,"")</f>
        <v/>
      </c>
      <c r="Q34" s="363" t="str">
        <f>IF(AND(P31&lt;&gt;"",Q31&lt;&gt;""),(P31+Q31)/2,"")</f>
        <v/>
      </c>
      <c r="R34" s="363" t="str">
        <f>IF(AND(Q31&lt;&gt;"",R31&lt;&gt;""),(Q31+R31)/2,"")</f>
        <v/>
      </c>
      <c r="S34" s="363" t="str">
        <f>IF(AND(P31&lt;&gt;"",S31&lt;&gt;""),(P31+S31)/2,"")</f>
        <v/>
      </c>
      <c r="T34" s="363" t="str">
        <f>IF(AND(S31&lt;&gt;"",T31&lt;&gt;""),(S31+T31)/2,"")</f>
        <v/>
      </c>
      <c r="U34" s="363" t="str">
        <f>IF(AND(T31&lt;&gt;"",U31&lt;&gt;""),(T31+U31)/2,"")</f>
        <v/>
      </c>
      <c r="V34" s="363" t="str">
        <f>IF(AND(S31&lt;&gt;"",V31&lt;&gt;""),(S31+V31)/2,"")</f>
        <v/>
      </c>
      <c r="W34" s="363" t="str">
        <f>IF(AND(V31&lt;&gt;"",W31&lt;&gt;""),(V31+W31)/2,"")</f>
        <v/>
      </c>
      <c r="X34" s="363" t="str">
        <f>IF(AND(W31&lt;&gt;"",X31&lt;&gt;""),(W31+X31)/2,"")</f>
        <v/>
      </c>
      <c r="Y34" s="363" t="str">
        <f>IF(AND(V31&lt;&gt;"",Y31&lt;&gt;""),(V31+Y31)/2,"")</f>
        <v/>
      </c>
      <c r="Z34" s="363" t="str">
        <f>IF(AND(Y31&lt;&gt;"",Z31&lt;&gt;""),(Y31+Z31)/2,"")</f>
        <v/>
      </c>
      <c r="AA34" s="363" t="str">
        <f>IF(AND(Z31&lt;&gt;"",AA31&lt;&gt;""),(Z31+AA31)/2,"")</f>
        <v/>
      </c>
      <c r="AB34" s="363" t="str">
        <f>IF(AND(Y31&lt;&gt;"",AB31&lt;&gt;""),(Y31+AB31)/2,"")</f>
        <v/>
      </c>
      <c r="AC34" s="363" t="str">
        <f>IF(AND(AB31&lt;&gt;"",AC31&lt;&gt;""),(AB31+AC31)/2,"")</f>
        <v/>
      </c>
      <c r="AD34" s="363" t="str">
        <f>IF(AND(AC31&lt;&gt;"",AD31&lt;&gt;""),(AC31+AD31)/2,"")</f>
        <v/>
      </c>
      <c r="AE34" s="363" t="str">
        <f>IF(AND(AB31&lt;&gt;"",AE31&lt;&gt;""),(AB31+AE31)/2,"")</f>
        <v/>
      </c>
      <c r="AF34" s="363" t="str">
        <f>IF(AND(AE31&lt;&gt;"",AF31&lt;&gt;""),(AE31+AF31)/2,"")</f>
        <v/>
      </c>
      <c r="AG34" s="363" t="str">
        <f>IF(AND(AF31&lt;&gt;"",AG31&lt;&gt;""),(AF31+AG31)/2,"")</f>
        <v/>
      </c>
      <c r="AH34" s="363" t="str">
        <f>IF(AND(AE31&lt;&gt;"",AH31&lt;&gt;""),(AE31+AH31)/2,"")</f>
        <v/>
      </c>
      <c r="AI34" s="363" t="str">
        <f>IF(AND(AH31&lt;&gt;"",AI31&lt;&gt;""),(AH31+AI31)/2,"")</f>
        <v/>
      </c>
      <c r="AJ34" s="363" t="str">
        <f>IF(AND(AI31&lt;&gt;"",AJ31&lt;&gt;""),(AI31+AJ31)/2,"")</f>
        <v/>
      </c>
      <c r="AK34" s="363" t="str">
        <f>IF(AND(AH31&lt;&gt;"",AK31&lt;&gt;""),(AH31+AK31)/2,"")</f>
        <v/>
      </c>
      <c r="AL34" s="363" t="str">
        <f>IF(AND(AK31&lt;&gt;"",AL31&lt;&gt;""),(AK31+AL31)/2,"")</f>
        <v/>
      </c>
      <c r="AM34" s="363" t="str">
        <f>IF(AND(AL31&lt;&gt;"",AM31&lt;&gt;""),(AL31+AM31)/2,"")</f>
        <v/>
      </c>
      <c r="AN34" s="363" t="str">
        <f>IF(AND(AK31&lt;&gt;"",AN31&lt;&gt;""),(AK31+AN31)/2,"")</f>
        <v/>
      </c>
      <c r="AO34" s="363" t="str">
        <f>IF(AND(AN31&lt;&gt;"",AO31&lt;&gt;""),(AN31+AO31)/2,"")</f>
        <v/>
      </c>
      <c r="AP34" s="363" t="str">
        <f>IF(AND(AO31&lt;&gt;"",AP31&lt;&gt;""),(AO31+AP31)/2,"")</f>
        <v/>
      </c>
      <c r="AQ34" s="363" t="str">
        <f>IF(AND(AN31&lt;&gt;"",AQ31&lt;&gt;""),(AN31+AQ31)/2,"")</f>
        <v/>
      </c>
      <c r="AR34" s="363" t="str">
        <f>IF(AND(AQ31&lt;&gt;"",AR31&lt;&gt;""),(AQ31+AR31)/2,"")</f>
        <v/>
      </c>
      <c r="AS34" s="363" t="str">
        <f>IF(AND(AR31&lt;&gt;"",AS31&lt;&gt;""),(AR31+AS31)/2,"")</f>
        <v/>
      </c>
      <c r="AT34" s="363" t="str">
        <f>IF(AND(AQ31&lt;&gt;"",AT31&lt;&gt;""),(AQ31+AT31)/2,"")</f>
        <v/>
      </c>
      <c r="AU34" s="363" t="str">
        <f>IF(AND(AT31&lt;&gt;"",AU31&lt;&gt;""),(AT31+AU31)/2,"")</f>
        <v/>
      </c>
      <c r="AV34" s="363" t="str">
        <f>IF(AND(AU31&lt;&gt;"",AV31&lt;&gt;""),(AU31+AV31)/2,"")</f>
        <v/>
      </c>
      <c r="AW34" s="363" t="str">
        <f>IF(AND(AT31&lt;&gt;"",AW31&lt;&gt;""),(AT31+AW31)/2,"")</f>
        <v/>
      </c>
      <c r="AX34" s="363" t="str">
        <f>IF(AND(AW31&lt;&gt;"",AX31&lt;&gt;""),(AW31+AX31)/2,"")</f>
        <v/>
      </c>
      <c r="AY34" s="363" t="str">
        <f>IF(AND(AX31&lt;&gt;"",AY31&lt;&gt;""),(AX31+AY31)/2,"")</f>
        <v/>
      </c>
      <c r="AZ34" s="363" t="str">
        <f>IF(AND(AW31&lt;&gt;"",AZ31&lt;&gt;""),(AW31+AZ31)/2,"")</f>
        <v/>
      </c>
      <c r="BA34" s="363" t="str">
        <f>IF(AND(AZ31&lt;&gt;"",BA31&lt;&gt;""),(AZ31+BA31)/2,"")</f>
        <v/>
      </c>
      <c r="BB34" s="363" t="str">
        <f>IF(AND(BA31&lt;&gt;"",BB31&lt;&gt;""),(BA31+BB31)/2,"")</f>
        <v/>
      </c>
      <c r="BC34" s="363" t="str">
        <f>IF(AND(AZ31&lt;&gt;"",BC31&lt;&gt;""),(AZ31+BC31)/2,"")</f>
        <v/>
      </c>
      <c r="BD34" s="363" t="str">
        <f>IF(AND(BC31&lt;&gt;"",BD31&lt;&gt;""),(BC31+BD31)/2,"")</f>
        <v/>
      </c>
      <c r="BE34" s="363" t="str">
        <f>IF(AND(BD31&lt;&gt;"",BE31&lt;&gt;""),(BD31+BE31)/2,"")</f>
        <v/>
      </c>
      <c r="BF34" s="363" t="str">
        <f>IF(AND(BC31&lt;&gt;"",BF31&lt;&gt;""),(BC31+BF31)/2,"")</f>
        <v/>
      </c>
      <c r="BG34" s="363" t="str">
        <f>IF(AND(BF31&lt;&gt;"",BG31&lt;&gt;""),(BF31+BG31)/2,"")</f>
        <v/>
      </c>
      <c r="BH34" s="363" t="str">
        <f>IF(AND(BG31&lt;&gt;"",BH31&lt;&gt;""),(BG31+BH31)/2,"")</f>
        <v/>
      </c>
      <c r="BI34" s="363" t="str">
        <f>IF(AND(BF31&lt;&gt;"",BI31&lt;&gt;""),(BF31+BI31)/2,"")</f>
        <v/>
      </c>
      <c r="BJ34" s="363" t="str">
        <f>IF(AND(BI31&lt;&gt;"",BJ31&lt;&gt;""),(BI31+BJ31)/2,"")</f>
        <v/>
      </c>
      <c r="BK34" s="363" t="str">
        <f>IF(AND(BJ31&lt;&gt;"",BK31&lt;&gt;""),(BJ31+BK31)/2,"")</f>
        <v/>
      </c>
      <c r="BL34" s="363" t="str">
        <f>IF(AND(BI31&lt;&gt;"",BL31&lt;&gt;""),(BI31+BL31)/2,"")</f>
        <v/>
      </c>
      <c r="BM34" s="363" t="str">
        <f>IF(AND(BL31&lt;&gt;"",BM31&lt;&gt;""),(BL31+BM31)/2,"")</f>
        <v/>
      </c>
      <c r="BN34" s="363" t="str">
        <f>IF(AND(BM31&lt;&gt;"",BN31&lt;&gt;""),(BM31+BN31)/2,"")</f>
        <v/>
      </c>
      <c r="BO34" s="363" t="str">
        <f>IF(AND(BL31&lt;&gt;"",BO31&lt;&gt;""),(BL31+BO31)/2,"")</f>
        <v/>
      </c>
      <c r="BP34" s="363" t="str">
        <f>IF(AND(BO31&lt;&gt;"",BP31&lt;&gt;""),(BO31+BP31)/2,"")</f>
        <v/>
      </c>
      <c r="BQ34" s="363" t="str">
        <f>IF(AND(BP31&lt;&gt;"",BQ31&lt;&gt;""),(BP31+BQ31)/2,"")</f>
        <v/>
      </c>
      <c r="BR34" s="363" t="str">
        <f>IF(AND(BO31&lt;&gt;"",BR31&lt;&gt;""),(BO31+BR31)/2,"")</f>
        <v/>
      </c>
      <c r="BS34" s="363" t="str">
        <f>IF(AND(BR31&lt;&gt;"",BS31&lt;&gt;""),(BR31+BS31)/2,"")</f>
        <v/>
      </c>
      <c r="BT34" s="363" t="str">
        <f>IF(AND(BS31&lt;&gt;"",BT31&lt;&gt;""),(BS31+BT31)/2,"")</f>
        <v/>
      </c>
      <c r="BU34" s="363" t="str">
        <f>IF(AND(BR31&lt;&gt;"",BU31&lt;&gt;""),(BR31+BU31)/2,"")</f>
        <v/>
      </c>
      <c r="BV34" s="363" t="str">
        <f>IF(AND(BU31&lt;&gt;"",BV31&lt;&gt;""),(BU31+BV31)/2,"")</f>
        <v/>
      </c>
      <c r="BW34" s="363" t="str">
        <f>IF(AND(BV31&lt;&gt;"",BW31&lt;&gt;""),(BV31+BW31)/2,"")</f>
        <v/>
      </c>
      <c r="BX34" s="363" t="str">
        <f>IF(AND(BU31&lt;&gt;"",BX31&lt;&gt;""),(BU31+BX31)/2,"")</f>
        <v/>
      </c>
      <c r="BY34" s="363" t="str">
        <f>IF(AND(BX31&lt;&gt;"",BY31&lt;&gt;""),(BX31+BY31)/2,"")</f>
        <v/>
      </c>
      <c r="BZ34" s="363" t="str">
        <f>IF(AND(BY31&lt;&gt;"",BZ31&lt;&gt;""),(BY31+BZ31)/2,"")</f>
        <v/>
      </c>
      <c r="CA34" s="363" t="str">
        <f>IF(AND(BX31&lt;&gt;"",CA31&lt;&gt;""),(BX31+CA31)/2,"")</f>
        <v/>
      </c>
      <c r="CB34" s="363" t="str">
        <f>IF(AND(CA31&lt;&gt;"",CB31&lt;&gt;""),(CA31+CB31)/2,"")</f>
        <v/>
      </c>
      <c r="CC34" s="363" t="str">
        <f>IF(AND(CB31&lt;&gt;"",CC31&lt;&gt;""),(CB31+CC31)/2,"")</f>
        <v/>
      </c>
      <c r="CD34" s="363" t="str">
        <f>IF(AND(CA31&lt;&gt;"",CD31&lt;&gt;""),(CA31+CD31)/2,"")</f>
        <v/>
      </c>
      <c r="CE34" s="363" t="str">
        <f>IF(AND(CD31&lt;&gt;"",CE31&lt;&gt;""),(CD31+CE31)/2,"")</f>
        <v/>
      </c>
      <c r="CF34" s="363" t="str">
        <f>IF(AND(CE31&lt;&gt;"",CF31&lt;&gt;""),(CE31+CF31)/2,"")</f>
        <v/>
      </c>
      <c r="CG34" s="363" t="str">
        <f>IF(AND(CD31&lt;&gt;"",CG31&lt;&gt;""),(CD31+CG31)/2,"")</f>
        <v/>
      </c>
      <c r="CH34" s="363" t="str">
        <f>IF(AND(CG31&lt;&gt;"",CH31&lt;&gt;""),(CG31+CH31)/2,"")</f>
        <v/>
      </c>
      <c r="CI34" s="363" t="str">
        <f>IF(AND(CH31&lt;&gt;"",CI31&lt;&gt;""),(CH31+CI31)/2,"")</f>
        <v/>
      </c>
      <c r="CJ34" s="363" t="str">
        <f>IF(AND(CG31&lt;&gt;"",CJ31&lt;&gt;""),(CG31+CJ31)/2,"")</f>
        <v/>
      </c>
      <c r="CK34" s="363" t="str">
        <f>IF(AND(CJ31&lt;&gt;"",CK31&lt;&gt;""),(CJ31+CK31)/2,"")</f>
        <v/>
      </c>
      <c r="CL34" s="363" t="str">
        <f>IF(AND(CK31&lt;&gt;"",CL31&lt;&gt;""),(CK31+CL31)/2,"")</f>
        <v/>
      </c>
      <c r="CM34" s="363" t="str">
        <f>IF(AND(CJ31&lt;&gt;"",CM31&lt;&gt;""),(CJ31+CM31)/2,"")</f>
        <v/>
      </c>
      <c r="CN34" s="363" t="str">
        <f>IF(AND(CM31&lt;&gt;"",CN31&lt;&gt;""),(CM31+CN31)/2,"")</f>
        <v/>
      </c>
      <c r="CO34" s="363" t="str">
        <f>IF(AND(CN31&lt;&gt;"",CO31&lt;&gt;""),(CN31+CO31)/2,"")</f>
        <v/>
      </c>
      <c r="CP34" s="363" t="str">
        <f>IF(AND(CM31&lt;&gt;"",CP31&lt;&gt;""),(CM31+CP31)/2,"")</f>
        <v/>
      </c>
      <c r="CQ34" s="363" t="str">
        <f>IF(AND(CP31&lt;&gt;"",CQ31&lt;&gt;""),(CP31+CQ31)/2,"")</f>
        <v/>
      </c>
      <c r="CR34" s="363" t="str">
        <f>IF(AND(CQ31&lt;&gt;"",CR31&lt;&gt;""),(CQ31+CR31)/2,"")</f>
        <v/>
      </c>
      <c r="CS34" s="363" t="str">
        <f>IF(AND(CP31&lt;&gt;"",CS31&lt;&gt;""),(CP31+CS31)/2,"")</f>
        <v/>
      </c>
      <c r="CT34" s="363" t="str">
        <f>IF(AND(CS31&lt;&gt;"",CT31&lt;&gt;""),(CS31+CT31)/2,"")</f>
        <v/>
      </c>
      <c r="CU34" s="363" t="str">
        <f>IF(AND(CT31&lt;&gt;"",CU31&lt;&gt;""),(CT31+CU31)/2,"")</f>
        <v/>
      </c>
      <c r="CV34" s="363" t="str">
        <f>IF(AND(CS31&lt;&gt;"",CV31&lt;&gt;""),(CS31+CV31)/2,"")</f>
        <v/>
      </c>
      <c r="CW34" s="363" t="str">
        <f>IF(AND(CV31&lt;&gt;"",CW31&lt;&gt;""),(CV31+CW31)/2,"")</f>
        <v/>
      </c>
      <c r="CX34" s="363" t="str">
        <f>IF(AND(CW31&lt;&gt;"",CX31&lt;&gt;""),(CW31+CX31)/2,"")</f>
        <v/>
      </c>
      <c r="CY34" s="363" t="str">
        <f>IF(AND(CV31&lt;&gt;"",CY31&lt;&gt;""),(CV31+CY31)/2,"")</f>
        <v/>
      </c>
      <c r="CZ34" s="363" t="str">
        <f>IF(AND(CY31&lt;&gt;"",CZ31&lt;&gt;""),(CY31+CZ31)/2,"")</f>
        <v/>
      </c>
      <c r="DA34" s="363" t="str">
        <f>IF(AND(CZ31&lt;&gt;"",DA31&lt;&gt;""),(CZ31+DA31)/2,"")</f>
        <v/>
      </c>
      <c r="DB34" s="363" t="str">
        <f>IF(AND(CY31&lt;&gt;"",DB31&lt;&gt;""),(CY31+DB31)/2,"")</f>
        <v/>
      </c>
      <c r="DC34" s="363" t="str">
        <f>IF(AND(DB31&lt;&gt;"",DC31&lt;&gt;""),(DB31+DC31)/2,"")</f>
        <v/>
      </c>
      <c r="DD34" s="363" t="str">
        <f>IF(AND(DC31&lt;&gt;"",DD31&lt;&gt;""),(DC31+DD31)/2,"")</f>
        <v/>
      </c>
      <c r="DE34" s="363" t="str">
        <f>IF(AND(DB31&lt;&gt;"",DE31&lt;&gt;""),(DB31+DE31)/2,"")</f>
        <v/>
      </c>
      <c r="DF34" s="363" t="str">
        <f>IF(AND(DE31&lt;&gt;"",DF31&lt;&gt;""),(DE31+DF31)/2,"")</f>
        <v/>
      </c>
      <c r="DG34" s="363" t="str">
        <f>IF(AND(DF31&lt;&gt;"",DG31&lt;&gt;""),(DF31+DG31)/2,"")</f>
        <v/>
      </c>
      <c r="DH34" s="363" t="str">
        <f>IF(AND(DE31&lt;&gt;"",DH31&lt;&gt;""),(DE31+DH31)/2,"")</f>
        <v/>
      </c>
      <c r="DI34" s="363" t="str">
        <f>IF(AND(DH31&lt;&gt;"",DI31&lt;&gt;""),(DH31+DI31)/2,"")</f>
        <v/>
      </c>
      <c r="DJ34" s="363" t="str">
        <f>IF(AND(DI31&lt;&gt;"",DJ31&lt;&gt;""),(DI31+DJ31)/2,"")</f>
        <v/>
      </c>
      <c r="DK34" s="1210" t="str">
        <f>IF(AND(DH31&lt;&gt;"",DK31&lt;&gt;""),(DH31+DK31)/2,"")</f>
        <v/>
      </c>
      <c r="DL34" s="363" t="str">
        <f>IF(AND(DK31&lt;&gt;"",DL31&lt;&gt;""),(DK31+DL31)/2,"")</f>
        <v/>
      </c>
      <c r="DM34" s="363" t="str">
        <f>IF(AND(DL31&lt;&gt;"",DM31&lt;&gt;""),(DL31+DM31)/2,"")</f>
        <v/>
      </c>
      <c r="DN34" s="1210" t="str">
        <f>IF(AND(DK31&lt;&gt;"",DN31&lt;&gt;""),(DK31+DN31)/2,"")</f>
        <v/>
      </c>
      <c r="DO34" s="363" t="str">
        <f>IF(AND(DN31&lt;&gt;"",DO31&lt;&gt;""),(DN31+DO31)/2,"")</f>
        <v/>
      </c>
      <c r="DP34" s="363" t="str">
        <f>IF(AND(DO31&lt;&gt;"",DP31&lt;&gt;""),(DO31+DP31)/2,"")</f>
        <v/>
      </c>
      <c r="DQ34" s="1210" t="str">
        <f>IF(AND(DN31&lt;&gt;"",DQ31&lt;&gt;""),(DN31+DQ31)/2,"")</f>
        <v/>
      </c>
      <c r="DR34" s="363" t="str">
        <f>IF(AND(DQ31&lt;&gt;"",DR31&lt;&gt;""),(DQ31+DR31)/2,"")</f>
        <v/>
      </c>
      <c r="DS34" s="363" t="str">
        <f>IF(AND(DR31&lt;&gt;"",DS31&lt;&gt;""),(DR31+DS31)/2,"")</f>
        <v/>
      </c>
      <c r="DT34" s="1210" t="str">
        <f>IF(AND(DQ31&lt;&gt;"",DT31&lt;&gt;""),(DQ31+DT31)/2,"")</f>
        <v/>
      </c>
      <c r="DU34" s="363" t="str">
        <f>IF(AND(DT31&lt;&gt;"",DU31&lt;&gt;""),(DT31+DU31)/2,"")</f>
        <v/>
      </c>
      <c r="DV34" s="363" t="str">
        <f>IF(AND(DU31&lt;&gt;"",DV31&lt;&gt;""),(DU31+DV31)/2,"")</f>
        <v/>
      </c>
      <c r="DW34" s="1210" t="str">
        <f>IF(AND(DT31&lt;&gt;"",DW31&lt;&gt;""),(DT31+DW31)/2,"")</f>
        <v/>
      </c>
      <c r="DX34" s="363" t="str">
        <f>IF(AND(DW31&lt;&gt;"",DX31&lt;&gt;""),(DW31+DX31)/2,"")</f>
        <v/>
      </c>
      <c r="DY34" s="363" t="str">
        <f>IF(AND(DX31&lt;&gt;"",DY31&lt;&gt;""),(DX31+DY31)/2,"")</f>
        <v/>
      </c>
      <c r="DZ34" s="1210" t="str">
        <f>IF(AND(DW31&lt;&gt;"",DZ31&lt;&gt;""),(DW31+DZ31)/2,"")</f>
        <v/>
      </c>
      <c r="EA34" s="363" t="str">
        <f>IF(AND(DZ31&lt;&gt;"",EA31&lt;&gt;""),(DZ31+EA31)/2,"")</f>
        <v/>
      </c>
      <c r="EB34" s="363" t="str">
        <f>IF(AND(EA31&lt;&gt;"",EB31&lt;&gt;""),(EA31+EB31)/2,"")</f>
        <v/>
      </c>
      <c r="EC34" s="1210" t="str">
        <f>IF(AND(DZ31&lt;&gt;"",EC31&lt;&gt;""),(DZ31+EC31)/2,"")</f>
        <v/>
      </c>
      <c r="ED34" s="363" t="str">
        <f>IF(AND(EC31&lt;&gt;"",ED31&lt;&gt;""),(EC31+ED31)/2,"")</f>
        <v/>
      </c>
      <c r="EE34" s="363" t="str">
        <f>IF(AND(ED31&lt;&gt;"",EE31&lt;&gt;""),(ED31+EE31)/2,"")</f>
        <v/>
      </c>
      <c r="EF34" s="1210" t="str">
        <f>IF(AND(EC31&lt;&gt;"",EF31&lt;&gt;""),(EC31+EF31)/2,"")</f>
        <v/>
      </c>
      <c r="EG34" s="363" t="str">
        <f>IF(AND(EF31&lt;&gt;"",EG31&lt;&gt;""),(EF31+EG31)/2,"")</f>
        <v/>
      </c>
      <c r="EH34" s="363" t="str">
        <f>IF(AND(EG31&lt;&gt;"",EH31&lt;&gt;""),(EG31+EH31)/2,"")</f>
        <v/>
      </c>
      <c r="EI34" s="1210" t="str">
        <f>IF(AND(EF31&lt;&gt;"",EI31&lt;&gt;""),(EF31+EI31)/2,"")</f>
        <v/>
      </c>
      <c r="EJ34" s="363" t="str">
        <f>IF(AND(EI31&lt;&gt;"",EJ31&lt;&gt;""),(EI31+EJ31)/2,"")</f>
        <v/>
      </c>
      <c r="EK34" s="363" t="str">
        <f>IF(AND(EJ31&lt;&gt;"",EK31&lt;&gt;""),(EJ31+EK31)/2,"")</f>
        <v/>
      </c>
      <c r="EL34" s="1210" t="str">
        <f>IF(AND(EI31&lt;&gt;"",EL31&lt;&gt;""),(EI31+EL31)/2,"")</f>
        <v/>
      </c>
      <c r="EM34" s="363" t="str">
        <f>IF(AND(EL31&lt;&gt;"",EM31&lt;&gt;""),(EL31+EM31)/2,"")</f>
        <v/>
      </c>
      <c r="EN34" s="363" t="str">
        <f>IF(AND(EM31&lt;&gt;"",EN31&lt;&gt;""),(EM31+EN31)/2,"")</f>
        <v/>
      </c>
      <c r="EO34" s="1210" t="str">
        <f>IF(AND(EL31&lt;&gt;"",EO31&lt;&gt;""),(EL31+EO31)/2,"")</f>
        <v/>
      </c>
      <c r="EP34" s="363" t="str">
        <f>IF(AND(EO31&lt;&gt;"",EP31&lt;&gt;""),(EO31+EP31)/2,"")</f>
        <v/>
      </c>
      <c r="EQ34" s="363" t="str">
        <f>IF(AND(EP31&lt;&gt;"",EQ31&lt;&gt;""),(EP31+EQ31)/2,"")</f>
        <v/>
      </c>
      <c r="ER34" s="1210" t="str">
        <f>IF(AND(EO31&lt;&gt;"",ER31&lt;&gt;""),(EO31+ER31)/2,"")</f>
        <v/>
      </c>
      <c r="ES34" s="363" t="str">
        <f>IF(AND(ER31&lt;&gt;"",ES31&lt;&gt;""),(ER31+ES31)/2,"")</f>
        <v/>
      </c>
      <c r="ET34" s="363" t="str">
        <f>IF(AND(ES31&lt;&gt;"",ET31&lt;&gt;""),(ES31+ET31)/2,"")</f>
        <v/>
      </c>
      <c r="EU34" s="1210" t="str">
        <f>IF(AND(ER31&lt;&gt;"",EU31&lt;&gt;""),(ER31+EU31)/2,"")</f>
        <v/>
      </c>
      <c r="EV34" s="363" t="str">
        <f>IF(AND(EU31&lt;&gt;"",EV31&lt;&gt;""),(EU31+EV31)/2,"")</f>
        <v/>
      </c>
      <c r="EW34" s="363" t="str">
        <f>IF(AND(EV31&lt;&gt;"",EW31&lt;&gt;""),(EV31+EW31)/2,"")</f>
        <v/>
      </c>
      <c r="EX34" s="1210" t="str">
        <f>IF(AND(EU31&lt;&gt;"",EX31&lt;&gt;""),(EU31+EX31)/2,"")</f>
        <v/>
      </c>
      <c r="EY34" s="363" t="str">
        <f>IF(AND(EX31&lt;&gt;"",EY31&lt;&gt;""),(EX31+EY31)/2,"")</f>
        <v/>
      </c>
      <c r="EZ34" s="363" t="str">
        <f>IF(AND(EY31&lt;&gt;"",EZ31&lt;&gt;""),(EY31+EZ31)/2,"")</f>
        <v/>
      </c>
      <c r="FA34" s="363" t="str">
        <f>IF(AND(EX31&lt;&gt;"",FA31&lt;&gt;""),(EX31+FA31)/2,"")</f>
        <v/>
      </c>
    </row>
    <row r="35" spans="1:157" ht="13.35" customHeight="1" outlineLevel="1">
      <c r="A35" s="5"/>
      <c r="B35" s="5" t="s">
        <v>660</v>
      </c>
      <c r="C35" s="5"/>
      <c r="D35" s="362"/>
      <c r="E35" s="363"/>
      <c r="F35" s="363"/>
      <c r="G35" s="363"/>
      <c r="H35" s="363" t="str">
        <f>IF(AND(G33&lt;&gt;"",H33&lt;&gt;""),(G33+H33)/2,"")</f>
        <v/>
      </c>
      <c r="I35" s="363" t="str">
        <f>IF(AND(H33&lt;&gt;"",I33&lt;&gt;""),(H33+I33)/2,"")</f>
        <v/>
      </c>
      <c r="J35" s="363" t="str">
        <f>IF(AND(G33&lt;&gt;"",J33&lt;&gt;""),(G33+J33)/2,"")</f>
        <v/>
      </c>
      <c r="K35" s="363" t="str">
        <f>IF(AND(J33&lt;&gt;"",K33&lt;&gt;""),(J33+K33)/2,"")</f>
        <v/>
      </c>
      <c r="L35" s="363" t="str">
        <f>IF(AND(K33&lt;&gt;"",L33&lt;&gt;""),(K33+L33)/2,"")</f>
        <v/>
      </c>
      <c r="M35" s="363" t="str">
        <f>IF(AND(J33&lt;&gt;"",M33&lt;&gt;""),(J33+M33)/2,"")</f>
        <v/>
      </c>
      <c r="N35" s="363" t="str">
        <f>IF(AND(M33&lt;&gt;"",N33&lt;&gt;""),(M33+N33)/2,"")</f>
        <v/>
      </c>
      <c r="O35" s="363" t="str">
        <f>IF(AND(N33&lt;&gt;"",O33&lt;&gt;""),(N33+O33)/2,"")</f>
        <v/>
      </c>
      <c r="P35" s="363" t="str">
        <f>IF(AND(M33&lt;&gt;"",P33&lt;&gt;""),(M33+P33)/2,"")</f>
        <v/>
      </c>
      <c r="Q35" s="363" t="str">
        <f>IF(AND(P33&lt;&gt;"",Q33&lt;&gt;""),(P33+Q33)/2,"")</f>
        <v/>
      </c>
      <c r="R35" s="363" t="str">
        <f>IF(AND(Q33&lt;&gt;"",R33&lt;&gt;""),(Q33+R33)/2,"")</f>
        <v/>
      </c>
      <c r="S35" s="363" t="str">
        <f>IF(AND(P33&lt;&gt;"",S33&lt;&gt;""),(P33+S33)/2,"")</f>
        <v/>
      </c>
      <c r="T35" s="363" t="str">
        <f>IF(AND(S33&lt;&gt;"",T33&lt;&gt;""),(S33+T33)/2,"")</f>
        <v/>
      </c>
      <c r="U35" s="363" t="str">
        <f>IF(AND(T33&lt;&gt;"",U33&lt;&gt;""),(T33+U33)/2,"")</f>
        <v/>
      </c>
      <c r="V35" s="363" t="str">
        <f>IF(AND(S33&lt;&gt;"",V33&lt;&gt;""),(S33+V33)/2,"")</f>
        <v/>
      </c>
      <c r="W35" s="363" t="str">
        <f>IF(AND(V33&lt;&gt;"",W33&lt;&gt;""),(V33+W33)/2,"")</f>
        <v/>
      </c>
      <c r="X35" s="363" t="str">
        <f>IF(AND(W33&lt;&gt;"",X33&lt;&gt;""),(W33+X33)/2,"")</f>
        <v/>
      </c>
      <c r="Y35" s="363" t="str">
        <f>IF(AND(V33&lt;&gt;"",Y33&lt;&gt;""),(V33+Y33)/2,"")</f>
        <v/>
      </c>
      <c r="Z35" s="363" t="str">
        <f>IF(AND(Y33&lt;&gt;"",Z33&lt;&gt;""),(Y33+Z33)/2,"")</f>
        <v/>
      </c>
      <c r="AA35" s="363" t="str">
        <f>IF(AND(Z33&lt;&gt;"",AA33&lt;&gt;""),(Z33+AA33)/2,"")</f>
        <v/>
      </c>
      <c r="AB35" s="363" t="str">
        <f>IF(AND(Y33&lt;&gt;"",AB33&lt;&gt;""),(Y33+AB33)/2,"")</f>
        <v/>
      </c>
      <c r="AC35" s="363" t="str">
        <f>IF(AND(AB33&lt;&gt;"",AC33&lt;&gt;""),(AB33+AC33)/2,"")</f>
        <v/>
      </c>
      <c r="AD35" s="363" t="str">
        <f>IF(AND(AC33&lt;&gt;"",AD33&lt;&gt;""),(AC33+AD33)/2,"")</f>
        <v/>
      </c>
      <c r="AE35" s="363" t="str">
        <f>IF(AND(AB33&lt;&gt;"",AE33&lt;&gt;""),(AB33+AE33)/2,"")</f>
        <v/>
      </c>
      <c r="AF35" s="363" t="str">
        <f>IF(AND(AE33&lt;&gt;"",AF33&lt;&gt;""),(AE33+AF33)/2,"")</f>
        <v/>
      </c>
      <c r="AG35" s="363" t="str">
        <f>IF(AND(AF33&lt;&gt;"",AG33&lt;&gt;""),(AF33+AG33)/2,"")</f>
        <v/>
      </c>
      <c r="AH35" s="363" t="str">
        <f>IF(AND(AE33&lt;&gt;"",AH33&lt;&gt;""),(AE33+AH33)/2,"")</f>
        <v/>
      </c>
      <c r="AI35" s="363" t="str">
        <f>IF(AND(AH33&lt;&gt;"",AI33&lt;&gt;""),(AH33+AI33)/2,"")</f>
        <v/>
      </c>
      <c r="AJ35" s="363" t="str">
        <f>IF(AND(AI33&lt;&gt;"",AJ33&lt;&gt;""),(AI33+AJ33)/2,"")</f>
        <v/>
      </c>
      <c r="AK35" s="363" t="str">
        <f>IF(AND(AH33&lt;&gt;"",AK33&lt;&gt;""),(AH33+AK33)/2,"")</f>
        <v/>
      </c>
      <c r="AL35" s="363" t="str">
        <f>IF(AND(AK33&lt;&gt;"",AL33&lt;&gt;""),(AK33+AL33)/2,"")</f>
        <v/>
      </c>
      <c r="AM35" s="363" t="str">
        <f>IF(AND(AL33&lt;&gt;"",AM33&lt;&gt;""),(AL33+AM33)/2,"")</f>
        <v/>
      </c>
      <c r="AN35" s="363" t="str">
        <f>IF(AND(AK33&lt;&gt;"",AN33&lt;&gt;""),(AK33+AN33)/2,"")</f>
        <v/>
      </c>
      <c r="AO35" s="363" t="str">
        <f>IF(AND(AN33&lt;&gt;"",AO33&lt;&gt;""),(AN33+AO33)/2,"")</f>
        <v/>
      </c>
      <c r="AP35" s="363" t="str">
        <f>IF(AND(AO33&lt;&gt;"",AP33&lt;&gt;""),(AO33+AP33)/2,"")</f>
        <v/>
      </c>
      <c r="AQ35" s="363" t="str">
        <f>IF(AND(AN33&lt;&gt;"",AQ33&lt;&gt;""),(AN33+AQ33)/2,"")</f>
        <v/>
      </c>
      <c r="AR35" s="363" t="str">
        <f>IF(AND(AQ33&lt;&gt;"",AR33&lt;&gt;""),(AQ33+AR33)/2,"")</f>
        <v/>
      </c>
      <c r="AS35" s="363" t="str">
        <f>IF(AND(AR33&lt;&gt;"",AS33&lt;&gt;""),(AR33+AS33)/2,"")</f>
        <v/>
      </c>
      <c r="AT35" s="363" t="str">
        <f>IF(AND(AQ33&lt;&gt;"",AT33&lt;&gt;""),(AQ33+AT33)/2,"")</f>
        <v/>
      </c>
      <c r="AU35" s="363" t="str">
        <f>IF(AND(AT33&lt;&gt;"",AU33&lt;&gt;""),(AT33+AU33)/2,"")</f>
        <v/>
      </c>
      <c r="AV35" s="363" t="str">
        <f>IF(AND(AU33&lt;&gt;"",AV33&lt;&gt;""),(AU33+AV33)/2,"")</f>
        <v/>
      </c>
      <c r="AW35" s="363" t="str">
        <f>IF(AND(AT33&lt;&gt;"",AW33&lt;&gt;""),(AT33+AW33)/2,"")</f>
        <v/>
      </c>
      <c r="AX35" s="363" t="str">
        <f>IF(AND(AW33&lt;&gt;"",AX33&lt;&gt;""),(AW33+AX33)/2,"")</f>
        <v/>
      </c>
      <c r="AY35" s="363">
        <f>IF(AND(AX33&lt;&gt;"",AY33&lt;&gt;""),(AX33+AY33)/2,"")</f>
        <v>0</v>
      </c>
      <c r="AZ35" s="363" t="str">
        <f>IF(AND(AW33&lt;&gt;"",AZ33&lt;&gt;""),(AW33+AZ33)/2,"")</f>
        <v/>
      </c>
      <c r="BA35" s="363">
        <f>IF(AND(AZ33&lt;&gt;"",BA33&lt;&gt;""),(AZ33+BA33)/2,"")</f>
        <v>0</v>
      </c>
      <c r="BB35" s="363">
        <f>IF(AND(BA33&lt;&gt;"",BB33&lt;&gt;""),(BA33+BB33)/2,"")</f>
        <v>0</v>
      </c>
      <c r="BC35" s="363">
        <f>IF(AND(AZ33&lt;&gt;"",BC33&lt;&gt;""),(AZ33+BC33)/2,"")</f>
        <v>0</v>
      </c>
      <c r="BD35" s="363">
        <f>IF(AND(BC33&lt;&gt;"",BD33&lt;&gt;""),(BC33+BD33)/2,"")</f>
        <v>0</v>
      </c>
      <c r="BE35" s="363">
        <f>IF(AND(BD33&lt;&gt;"",BE33&lt;&gt;""),(BD33+BE33)/2,"")</f>
        <v>0</v>
      </c>
      <c r="BF35" s="363">
        <f>IF(AND(BC33&lt;&gt;"",BF33&lt;&gt;""),(BC33+BF33)/2,"")</f>
        <v>0</v>
      </c>
      <c r="BG35" s="363">
        <f>IF(AND(BF33&lt;&gt;"",BG33&lt;&gt;""),(BF33+BG33)/2,"")</f>
        <v>0</v>
      </c>
      <c r="BH35" s="363">
        <f>IF(AND(BG33&lt;&gt;"",BH33&lt;&gt;""),(BG33+BH33)/2,"")</f>
        <v>0</v>
      </c>
      <c r="BI35" s="363">
        <f>IF(AND(BF33&lt;&gt;"",BI33&lt;&gt;""),(BF33+BI33)/2,"")</f>
        <v>0</v>
      </c>
      <c r="BJ35" s="363">
        <f>IF(AND(BI33&lt;&gt;"",BJ33&lt;&gt;""),(BI33+BJ33)/2,"")</f>
        <v>0</v>
      </c>
      <c r="BK35" s="363">
        <f>IF(AND(BJ33&lt;&gt;"",BK33&lt;&gt;""),(BJ33+BK33)/2,"")</f>
        <v>0</v>
      </c>
      <c r="BL35" s="363">
        <f>IF(AND(BI33&lt;&gt;"",BL33&lt;&gt;""),(BI33+BL33)/2,"")</f>
        <v>0</v>
      </c>
      <c r="BM35" s="363" t="str">
        <f>IF(AND(BL33&lt;&gt;"",BM33&lt;&gt;""),(BL33+BM33)/2,"")</f>
        <v/>
      </c>
      <c r="BN35" s="363" t="str">
        <f>IF(AND(BM33&lt;&gt;"",BN33&lt;&gt;""),(BM33+BN33)/2,"")</f>
        <v/>
      </c>
      <c r="BO35" s="363" t="str">
        <f>IF(AND(BL33&lt;&gt;"",BO33&lt;&gt;""),(BL33+BO33)/2,"")</f>
        <v/>
      </c>
      <c r="BP35" s="363" t="str">
        <f>IF(AND(BO33&lt;&gt;"",BP33&lt;&gt;""),(BO33+BP33)/2,"")</f>
        <v/>
      </c>
      <c r="BQ35" s="363" t="str">
        <f>IF(AND(BP33&lt;&gt;"",BQ33&lt;&gt;""),(BP33+BQ33)/2,"")</f>
        <v/>
      </c>
      <c r="BR35" s="363" t="str">
        <f>IF(AND(BO33&lt;&gt;"",BR33&lt;&gt;""),(BO33+BR33)/2,"")</f>
        <v/>
      </c>
      <c r="BS35" s="363" t="str">
        <f>IF(AND(BR33&lt;&gt;"",BS33&lt;&gt;""),(BR33+BS33)/2,"")</f>
        <v/>
      </c>
      <c r="BT35" s="363" t="str">
        <f>IF(AND(BS33&lt;&gt;"",BT33&lt;&gt;""),(BS33+BT33)/2,"")</f>
        <v/>
      </c>
      <c r="BU35" s="363" t="str">
        <f>IF(AND(BR33&lt;&gt;"",BU33&lt;&gt;""),(BR33+BU33)/2,"")</f>
        <v/>
      </c>
      <c r="BV35" s="363" t="str">
        <f>IF(AND(BU33&lt;&gt;"",BV33&lt;&gt;""),(BU33+BV33)/2,"")</f>
        <v/>
      </c>
      <c r="BW35" s="363" t="str">
        <f>IF(AND(BV33&lt;&gt;"",BW33&lt;&gt;""),(BV33+BW33)/2,"")</f>
        <v/>
      </c>
      <c r="BX35" s="363" t="str">
        <f>IF(AND(BU33&lt;&gt;"",BX33&lt;&gt;""),(BU33+BX33)/2,"")</f>
        <v/>
      </c>
      <c r="BY35" s="363" t="str">
        <f>IF(AND(BX33&lt;&gt;"",BY33&lt;&gt;""),(BX33+BY33)/2,"")</f>
        <v/>
      </c>
      <c r="BZ35" s="363" t="str">
        <f>IF(AND(BY33&lt;&gt;"",BZ33&lt;&gt;""),(BY33+BZ33)/2,"")</f>
        <v/>
      </c>
      <c r="CA35" s="363" t="str">
        <f>IF(AND(BX33&lt;&gt;"",CA33&lt;&gt;""),(BX33+CA33)/2,"")</f>
        <v/>
      </c>
      <c r="CB35" s="363" t="str">
        <f>IF(AND(CA33&lt;&gt;"",CB33&lt;&gt;""),(CA33+CB33)/2,"")</f>
        <v/>
      </c>
      <c r="CC35" s="363" t="str">
        <f>IF(AND(CB33&lt;&gt;"",CC33&lt;&gt;""),(CB33+CC33)/2,"")</f>
        <v/>
      </c>
      <c r="CD35" s="363" t="str">
        <f>IF(AND(CA33&lt;&gt;"",CD33&lt;&gt;""),(CA33+CD33)/2,"")</f>
        <v/>
      </c>
      <c r="CE35" s="363" t="str">
        <f>IF(AND(CD33&lt;&gt;"",CE33&lt;&gt;""),(CD33+CE33)/2,"")</f>
        <v/>
      </c>
      <c r="CF35" s="363" t="str">
        <f>IF(AND(CE33&lt;&gt;"",CF33&lt;&gt;""),(CE33+CF33)/2,"")</f>
        <v/>
      </c>
      <c r="CG35" s="363" t="str">
        <f>IF(AND(CD33&lt;&gt;"",CG33&lt;&gt;""),(CD33+CG33)/2,"")</f>
        <v/>
      </c>
      <c r="CH35" s="363" t="str">
        <f>IF(AND(CG33&lt;&gt;"",CH33&lt;&gt;""),(CG33+CH33)/2,"")</f>
        <v/>
      </c>
      <c r="CI35" s="363" t="str">
        <f>IF(AND(CH33&lt;&gt;"",CI33&lt;&gt;""),(CH33+CI33)/2,"")</f>
        <v/>
      </c>
      <c r="CJ35" s="363" t="str">
        <f>IF(AND(CG33&lt;&gt;"",CJ33&lt;&gt;""),(CG33+CJ33)/2,"")</f>
        <v/>
      </c>
      <c r="CK35" s="363" t="str">
        <f>IF(AND(CJ33&lt;&gt;"",CK33&lt;&gt;""),(CJ33+CK33)/2,"")</f>
        <v/>
      </c>
      <c r="CL35" s="363" t="str">
        <f>IF(AND(CK33&lt;&gt;"",CL33&lt;&gt;""),(CK33+CL33)/2,"")</f>
        <v/>
      </c>
      <c r="CM35" s="363" t="str">
        <f>IF(AND(CJ33&lt;&gt;"",CM33&lt;&gt;""),(CJ33+CM33)/2,"")</f>
        <v/>
      </c>
      <c r="CN35" s="363" t="str">
        <f>IF(AND(CM33&lt;&gt;"",CN33&lt;&gt;""),(CM33+CN33)/2,"")</f>
        <v/>
      </c>
      <c r="CO35" s="363" t="str">
        <f>IF(AND(CN33&lt;&gt;"",CO33&lt;&gt;""),(CN33+CO33)/2,"")</f>
        <v/>
      </c>
      <c r="CP35" s="363" t="str">
        <f>IF(AND(CM33&lt;&gt;"",CP33&lt;&gt;""),(CM33+CP33)/2,"")</f>
        <v/>
      </c>
      <c r="CQ35" s="363" t="str">
        <f>IF(AND(CP33&lt;&gt;"",CQ33&lt;&gt;""),(CP33+CQ33)/2,"")</f>
        <v/>
      </c>
      <c r="CR35" s="363" t="str">
        <f>IF(AND(CQ33&lt;&gt;"",CR33&lt;&gt;""),(CQ33+CR33)/2,"")</f>
        <v/>
      </c>
      <c r="CS35" s="363" t="str">
        <f>IF(AND(CP33&lt;&gt;"",CS33&lt;&gt;""),(CP33+CS33)/2,"")</f>
        <v/>
      </c>
      <c r="CT35" s="363" t="str">
        <f>IF(AND(CS33&lt;&gt;"",CT33&lt;&gt;""),(CS33+CT33)/2,"")</f>
        <v/>
      </c>
      <c r="CU35" s="363" t="str">
        <f>IF(AND(CT33&lt;&gt;"",CU33&lt;&gt;""),(CT33+CU33)/2,"")</f>
        <v/>
      </c>
      <c r="CV35" s="363" t="str">
        <f>IF(AND(CS33&lt;&gt;"",CV33&lt;&gt;""),(CS33+CV33)/2,"")</f>
        <v/>
      </c>
      <c r="CW35" s="363" t="str">
        <f>IF(AND(CV33&lt;&gt;"",CW33&lt;&gt;""),(CV33+CW33)/2,"")</f>
        <v/>
      </c>
      <c r="CX35" s="363" t="str">
        <f>IF(AND(CW33&lt;&gt;"",CX33&lt;&gt;""),(CW33+CX33)/2,"")</f>
        <v/>
      </c>
      <c r="CY35" s="363" t="str">
        <f>IF(AND(CV33&lt;&gt;"",CY33&lt;&gt;""),(CV33+CY33)/2,"")</f>
        <v/>
      </c>
      <c r="CZ35" s="363" t="str">
        <f>IF(AND(CY33&lt;&gt;"",CZ33&lt;&gt;""),(CY33+CZ33)/2,"")</f>
        <v/>
      </c>
      <c r="DA35" s="363" t="str">
        <f>IF(AND(CZ33&lt;&gt;"",DA33&lt;&gt;""),(CZ33+DA33)/2,"")</f>
        <v/>
      </c>
      <c r="DB35" s="363" t="str">
        <f>IF(AND(CY33&lt;&gt;"",DB33&lt;&gt;""),(CY33+DB33)/2,"")</f>
        <v/>
      </c>
      <c r="DC35" s="363" t="str">
        <f>IF(AND(DB33&lt;&gt;"",DC33&lt;&gt;""),(DB33+DC33)/2,"")</f>
        <v/>
      </c>
      <c r="DD35" s="363" t="str">
        <f>IF(AND(DC33&lt;&gt;"",DD33&lt;&gt;""),(DC33+DD33)/2,"")</f>
        <v/>
      </c>
      <c r="DE35" s="363" t="str">
        <f>IF(AND(DB33&lt;&gt;"",DE33&lt;&gt;""),(DB33+DE33)/2,"")</f>
        <v/>
      </c>
      <c r="DF35" s="363" t="str">
        <f>IF(AND(DE33&lt;&gt;"",DF33&lt;&gt;""),(DE33+DF33)/2,"")</f>
        <v/>
      </c>
      <c r="DG35" s="363" t="str">
        <f>IF(AND(DF33&lt;&gt;"",DG33&lt;&gt;""),(DF33+DG33)/2,"")</f>
        <v/>
      </c>
      <c r="DH35" s="363" t="str">
        <f>IF(AND(DE33&lt;&gt;"",DH33&lt;&gt;""),(DE33+DH33)/2,"")</f>
        <v/>
      </c>
      <c r="DI35" s="363" t="str">
        <f>IF(AND(DH33&lt;&gt;"",DI33&lt;&gt;""),(DH33+DI33)/2,"")</f>
        <v/>
      </c>
      <c r="DJ35" s="363" t="str">
        <f>IF(AND(DI33&lt;&gt;"",DJ33&lt;&gt;""),(DI33+DJ33)/2,"")</f>
        <v/>
      </c>
      <c r="DK35" s="1210" t="str">
        <f>IF(AND(DH33&lt;&gt;"",DK33&lt;&gt;""),(DH33+DK33)/2,"")</f>
        <v/>
      </c>
      <c r="DL35" s="363" t="str">
        <f>IF(AND(DK33&lt;&gt;"",DL33&lt;&gt;""),(DK33+DL33)/2,"")</f>
        <v/>
      </c>
      <c r="DM35" s="363" t="str">
        <f>IF(AND(DL33&lt;&gt;"",DM33&lt;&gt;""),(DL33+DM33)/2,"")</f>
        <v/>
      </c>
      <c r="DN35" s="1210" t="str">
        <f>IF(AND(DK33&lt;&gt;"",DN33&lt;&gt;""),(DK33+DN33)/2,"")</f>
        <v/>
      </c>
      <c r="DO35" s="363" t="str">
        <f>IF(AND(DN33&lt;&gt;"",DO33&lt;&gt;""),(DN33+DO33)/2,"")</f>
        <v/>
      </c>
      <c r="DP35" s="363" t="str">
        <f>IF(AND(DO33&lt;&gt;"",DP33&lt;&gt;""),(DO33+DP33)/2,"")</f>
        <v/>
      </c>
      <c r="DQ35" s="1210" t="str">
        <f>IF(AND(DN33&lt;&gt;"",DQ33&lt;&gt;""),(DN33+DQ33)/2,"")</f>
        <v/>
      </c>
      <c r="DR35" s="363" t="str">
        <f>IF(AND(DQ33&lt;&gt;"",DR33&lt;&gt;""),(DQ33+DR33)/2,"")</f>
        <v/>
      </c>
      <c r="DS35" s="363" t="str">
        <f>IF(AND(DR33&lt;&gt;"",DS33&lt;&gt;""),(DR33+DS33)/2,"")</f>
        <v/>
      </c>
      <c r="DT35" s="1210" t="str">
        <f>IF(AND(DQ33&lt;&gt;"",DT33&lt;&gt;""),(DQ33+DT33)/2,"")</f>
        <v/>
      </c>
      <c r="DU35" s="363" t="str">
        <f>IF(AND(DT33&lt;&gt;"",DU33&lt;&gt;""),(DT33+DU33)/2,"")</f>
        <v/>
      </c>
      <c r="DV35" s="363" t="str">
        <f>IF(AND(DU33&lt;&gt;"",DV33&lt;&gt;""),(DU33+DV33)/2,"")</f>
        <v/>
      </c>
      <c r="DW35" s="1210" t="str">
        <f>IF(AND(DT33&lt;&gt;"",DW33&lt;&gt;""),(DT33+DW33)/2,"")</f>
        <v/>
      </c>
      <c r="DX35" s="363" t="str">
        <f>IF(AND(DW33&lt;&gt;"",DX33&lt;&gt;""),(DW33+DX33)/2,"")</f>
        <v/>
      </c>
      <c r="DY35" s="363" t="str">
        <f>IF(AND(DX33&lt;&gt;"",DY33&lt;&gt;""),(DX33+DY33)/2,"")</f>
        <v/>
      </c>
      <c r="DZ35" s="1210" t="str">
        <f>IF(AND(DW33&lt;&gt;"",DZ33&lt;&gt;""),(DW33+DZ33)/2,"")</f>
        <v/>
      </c>
      <c r="EA35" s="363">
        <f>IF(AND(DZ33&lt;&gt;"",EA33&lt;&gt;""),(DZ33+EA33)/2,"")</f>
        <v>0</v>
      </c>
      <c r="EB35" s="363">
        <f>IF(AND(EA33&lt;&gt;"",EB33&lt;&gt;""),(EA33+EB33)/2,"")</f>
        <v>0</v>
      </c>
      <c r="EC35" s="1210">
        <f>IF(AND(DZ33&lt;&gt;"",EC33&lt;&gt;""),(DZ33+EC33)/2,"")</f>
        <v>0</v>
      </c>
      <c r="ED35" s="363">
        <f>IF(AND(EC33&lt;&gt;"",ED33&lt;&gt;""),(EC33+ED33)/2,"")</f>
        <v>0</v>
      </c>
      <c r="EE35" s="363">
        <f>IF(AND(ED33&lt;&gt;"",EE33&lt;&gt;""),(ED33+EE33)/2,"")</f>
        <v>0</v>
      </c>
      <c r="EF35" s="1210">
        <f>IF(AND(EC33&lt;&gt;"",EF33&lt;&gt;""),(EC33+EF33)/2,"")</f>
        <v>0</v>
      </c>
      <c r="EG35" s="363">
        <f>IF(AND(EF33&lt;&gt;"",EG33&lt;&gt;""),(EF33+EG33)/2,"")</f>
        <v>0</v>
      </c>
      <c r="EH35" s="363">
        <f>IF(AND(EG33&lt;&gt;"",EH33&lt;&gt;""),(EG33+EH33)/2,"")</f>
        <v>0</v>
      </c>
      <c r="EI35" s="1210">
        <f>IF(AND(EF33&lt;&gt;"",EI33&lt;&gt;""),(EF33+EI33)/2,"")</f>
        <v>0</v>
      </c>
      <c r="EJ35" s="363">
        <f>IF(AND(EI33&lt;&gt;"",EJ33&lt;&gt;""),(EI33+EJ33)/2,"")</f>
        <v>0</v>
      </c>
      <c r="EK35" s="363">
        <f>IF(AND(EJ33&lt;&gt;"",EK33&lt;&gt;""),(EJ33+EK33)/2,"")</f>
        <v>0</v>
      </c>
      <c r="EL35" s="1210">
        <f>IF(AND(EI33&lt;&gt;"",EL33&lt;&gt;""),(EI33+EL33)/2,"")</f>
        <v>0</v>
      </c>
      <c r="EM35" s="363">
        <f>IF(AND(EL33&lt;&gt;"",EM33&lt;&gt;""),(EL33+EM33)/2,"")</f>
        <v>0</v>
      </c>
      <c r="EN35" s="363">
        <f>IF(AND(EM33&lt;&gt;"",EN33&lt;&gt;""),(EM33+EN33)/2,"")</f>
        <v>0</v>
      </c>
      <c r="EO35" s="1210">
        <f>IF(AND(EL33&lt;&gt;"",EO33&lt;&gt;""),(EL33+EO33)/2,"")</f>
        <v>0</v>
      </c>
      <c r="EP35" s="363">
        <f>IF(AND(EO33&lt;&gt;"",EP33&lt;&gt;""),(EO33+EP33)/2,"")</f>
        <v>0</v>
      </c>
      <c r="EQ35" s="363">
        <f>IF(AND(EP33&lt;&gt;"",EQ33&lt;&gt;""),(EP33+EQ33)/2,"")</f>
        <v>0</v>
      </c>
      <c r="ER35" s="1210">
        <f>IF(AND(EO33&lt;&gt;"",ER33&lt;&gt;""),(EO33+ER33)/2,"")</f>
        <v>0</v>
      </c>
      <c r="ES35" s="363">
        <f>IF(AND(ER33&lt;&gt;"",ES33&lt;&gt;""),(ER33+ES33)/2,"")</f>
        <v>0</v>
      </c>
      <c r="ET35" s="363">
        <f>IF(AND(ES33&lt;&gt;"",ET33&lt;&gt;""),(ES33+ET33)/2,"")</f>
        <v>0</v>
      </c>
      <c r="EU35" s="1210">
        <f>IF(AND(ER33&lt;&gt;"",EU33&lt;&gt;""),(ER33+EU33)/2,"")</f>
        <v>0</v>
      </c>
      <c r="EV35" s="363">
        <f>IF(AND(EU33&lt;&gt;"",EV33&lt;&gt;""),(EU33+EV33)/2,"")</f>
        <v>0</v>
      </c>
      <c r="EW35" s="363">
        <f>IF(AND(EV33&lt;&gt;"",EW33&lt;&gt;""),(EV33+EW33)/2,"")</f>
        <v>0</v>
      </c>
      <c r="EX35" s="1210">
        <f>IF(AND(EU33&lt;&gt;"",EX33&lt;&gt;""),(EU33+EX33)/2,"")</f>
        <v>0</v>
      </c>
      <c r="EY35" s="363">
        <f>IF(AND(EX33&lt;&gt;"",EY33&lt;&gt;""),(EX33+EY33)/2,"")</f>
        <v>0</v>
      </c>
      <c r="EZ35" s="363">
        <f>IF(AND(EY33&lt;&gt;"",EZ33&lt;&gt;""),(EY33+EZ33)/2,"")</f>
        <v>0</v>
      </c>
      <c r="FA35" s="363">
        <f>IF(AND(EX33&lt;&gt;"",FA33&lt;&gt;""),(EX33+FA33)/2,"")</f>
        <v>0</v>
      </c>
    </row>
    <row r="36" spans="1:157" ht="13.35" customHeight="1">
      <c r="A36" s="5"/>
      <c r="B36" s="5" t="s">
        <v>758</v>
      </c>
      <c r="C36" s="5"/>
      <c r="D36" s="362"/>
      <c r="E36" s="356"/>
      <c r="F36" s="356"/>
      <c r="G36" s="356"/>
      <c r="H36" s="356"/>
      <c r="I36" s="356"/>
      <c r="J36" s="356"/>
      <c r="K36" s="356"/>
      <c r="L36" s="356"/>
      <c r="M36" s="356"/>
      <c r="N36" s="356"/>
      <c r="O36" s="356"/>
      <c r="P36" s="356"/>
      <c r="Q36" s="356"/>
      <c r="R36" s="356"/>
      <c r="S36" s="356"/>
      <c r="T36" s="356"/>
      <c r="U36" s="356"/>
      <c r="V36" s="356"/>
      <c r="W36" s="356"/>
      <c r="X36" s="356"/>
      <c r="Y36" s="356"/>
      <c r="Z36" s="356"/>
      <c r="AA36" s="356"/>
      <c r="AB36" s="356"/>
      <c r="AC36" s="356"/>
      <c r="AD36" s="356"/>
      <c r="AE36" s="356"/>
      <c r="AF36" s="356"/>
      <c r="AG36" s="356"/>
      <c r="AH36" s="356"/>
      <c r="AI36" s="356"/>
      <c r="AJ36" s="356"/>
      <c r="AK36" s="356"/>
      <c r="AL36" s="356"/>
      <c r="AM36" s="356"/>
      <c r="AN36" s="356"/>
      <c r="AO36" s="356"/>
      <c r="AP36" s="356"/>
      <c r="AQ36" s="356"/>
      <c r="AR36" s="356"/>
      <c r="AS36" s="356"/>
      <c r="AT36" s="356"/>
      <c r="AU36" s="356"/>
      <c r="AV36" s="356"/>
      <c r="AW36" s="356"/>
      <c r="AX36" s="356"/>
      <c r="AY36" s="356"/>
      <c r="AZ36" s="356"/>
      <c r="BA36" s="356"/>
      <c r="BB36" s="356"/>
      <c r="BC36" s="356"/>
      <c r="BD36" s="356"/>
      <c r="BE36" s="356"/>
      <c r="BF36" s="356"/>
      <c r="BG36" s="356"/>
      <c r="BH36" s="356"/>
      <c r="BI36" s="356"/>
      <c r="BJ36" s="356"/>
      <c r="BK36" s="356"/>
      <c r="BL36" s="356"/>
      <c r="BM36" s="356"/>
      <c r="BN36" s="356"/>
      <c r="BO36" s="356"/>
      <c r="BP36" s="356"/>
      <c r="BQ36" s="356"/>
      <c r="BR36" s="356"/>
      <c r="BS36" s="356"/>
      <c r="BT36" s="356"/>
      <c r="BU36" s="356"/>
      <c r="BV36" s="356"/>
      <c r="BW36" s="356"/>
      <c r="BX36" s="356"/>
      <c r="BY36" s="356"/>
      <c r="BZ36" s="356"/>
      <c r="CA36" s="356"/>
      <c r="CB36" s="356"/>
      <c r="CC36" s="356"/>
      <c r="CD36" s="356"/>
      <c r="CE36" s="356"/>
      <c r="CF36" s="356"/>
      <c r="CG36" s="356"/>
      <c r="CH36" s="356"/>
      <c r="CI36" s="356"/>
      <c r="CJ36" s="356"/>
      <c r="CK36" s="356"/>
      <c r="CL36" s="356"/>
      <c r="CM36" s="356"/>
      <c r="CN36" s="356"/>
      <c r="CO36" s="356"/>
      <c r="CP36" s="356"/>
      <c r="CQ36" s="356"/>
      <c r="CR36" s="356"/>
      <c r="CS36" s="356"/>
      <c r="CT36" s="356"/>
      <c r="CU36" s="356"/>
      <c r="CV36" s="356"/>
      <c r="CW36" s="356"/>
      <c r="CX36" s="356"/>
      <c r="CY36" s="356"/>
      <c r="CZ36" s="356"/>
      <c r="DA36" s="356"/>
      <c r="DB36" s="356"/>
      <c r="DC36" s="356"/>
      <c r="DD36" s="356"/>
      <c r="DE36" s="356"/>
      <c r="DF36" s="356"/>
      <c r="DG36" s="356"/>
      <c r="DH36" s="356"/>
      <c r="DI36" s="356"/>
      <c r="DJ36" s="356"/>
      <c r="DK36" s="1087"/>
      <c r="DL36" s="356"/>
      <c r="DM36" s="356"/>
      <c r="DN36" s="1087"/>
      <c r="DO36" s="356"/>
      <c r="DP36" s="356"/>
      <c r="DQ36" s="1087"/>
      <c r="DR36" s="365"/>
      <c r="DS36" s="356"/>
      <c r="DT36" s="1087"/>
      <c r="DU36" s="356"/>
      <c r="DV36" s="356"/>
      <c r="DW36" s="1087"/>
      <c r="DX36" s="356"/>
      <c r="DY36" s="356"/>
      <c r="DZ36" s="1087"/>
      <c r="EA36" s="356"/>
      <c r="EB36" s="356"/>
      <c r="EC36" s="1087"/>
      <c r="ED36" s="356"/>
      <c r="EE36" s="356"/>
      <c r="EF36" s="1087"/>
      <c r="EG36" s="356"/>
      <c r="EH36" s="356"/>
      <c r="EI36" s="1087"/>
      <c r="EJ36" s="356"/>
      <c r="EK36" s="356"/>
      <c r="EL36" s="1087"/>
      <c r="EM36" s="356"/>
      <c r="EN36" s="356"/>
      <c r="EO36" s="1087"/>
      <c r="EP36" s="356"/>
      <c r="EQ36" s="356"/>
      <c r="ER36" s="1087"/>
      <c r="ES36" s="356"/>
      <c r="ET36" s="356"/>
      <c r="EU36" s="1087"/>
      <c r="EV36" s="356"/>
      <c r="EW36" s="356"/>
      <c r="EX36" s="1087"/>
      <c r="EY36" s="356"/>
      <c r="EZ36" s="356"/>
      <c r="FA36" s="356"/>
    </row>
    <row r="37" spans="1:157" ht="13.35" customHeight="1">
      <c r="A37" s="5"/>
      <c r="B37" s="5" t="s">
        <v>749</v>
      </c>
      <c r="C37" s="5"/>
      <c r="D37" s="362"/>
      <c r="E37" s="363"/>
      <c r="F37" s="363"/>
      <c r="G37" s="363"/>
      <c r="H37" s="363"/>
      <c r="I37" s="363"/>
      <c r="J37" s="363"/>
      <c r="K37" s="363"/>
      <c r="L37" s="363"/>
      <c r="M37" s="363"/>
      <c r="N37" s="363"/>
      <c r="O37" s="363"/>
      <c r="P37" s="363"/>
      <c r="Q37" s="363"/>
      <c r="R37" s="363"/>
      <c r="S37" s="363"/>
      <c r="T37" s="363"/>
      <c r="U37" s="363"/>
      <c r="V37" s="363"/>
      <c r="W37" s="363"/>
      <c r="X37" s="363"/>
      <c r="Y37" s="363"/>
      <c r="Z37" s="363"/>
      <c r="AA37" s="363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3"/>
      <c r="AV37" s="363"/>
      <c r="AW37" s="363"/>
      <c r="AX37" s="363"/>
      <c r="AY37" s="363"/>
      <c r="AZ37" s="363"/>
      <c r="BA37" s="363"/>
      <c r="BB37" s="363"/>
      <c r="BC37" s="363"/>
      <c r="BD37" s="363" t="str">
        <f>IF(AND(BD36&lt;&gt;"",BD34&lt;&gt;""),IF(((BD36/2)*BD34)&lt;BD33,(BD36/2)*BD34,BD33),"")</f>
        <v/>
      </c>
      <c r="BE37" s="363" t="str">
        <f>IF(BF37&lt;&gt;"",BF37-BD37,"")</f>
        <v/>
      </c>
      <c r="BF37" s="363" t="str">
        <f>IF(AND(BF36&lt;&gt;"",BF34&lt;&gt;""),IF((BF36*BF34)&lt;BF33,BF36*BF34,BF33),"")</f>
        <v/>
      </c>
      <c r="BG37" s="363" t="str">
        <f>IF(AND(BG36&lt;&gt;"",BG34&lt;&gt;""),IF(((BG36/2)*BG34)&lt;BG33,(BG36/2)*BG34,BG33),"")</f>
        <v/>
      </c>
      <c r="BH37" s="363" t="str">
        <f>IF(BI37&lt;&gt;"",BI37-BG37,"")</f>
        <v/>
      </c>
      <c r="BI37" s="363" t="str">
        <f>IF(AND(BI36&lt;&gt;"",BI34&lt;&gt;""),IF((BI36*BI34)&lt;BI33,BI36*BI34,BI33),"")</f>
        <v/>
      </c>
      <c r="BJ37" s="363" t="str">
        <f>IF(AND(BJ36&lt;&gt;"",BJ34&lt;&gt;""),IF(((BJ36/2)*BJ34)&lt;BJ33,(BJ36/2)*BJ34,BJ33),"")</f>
        <v/>
      </c>
      <c r="BK37" s="363" t="str">
        <f>IF(BL37&lt;&gt;"",BL37-BJ37,"")</f>
        <v/>
      </c>
      <c r="BL37" s="363" t="str">
        <f>IF(AND(BL36&lt;&gt;"",BL34&lt;&gt;""),IF((BL36*BL34)&lt;BL33,BL36*BL34,BL33),"")</f>
        <v/>
      </c>
      <c r="BM37" s="363" t="str">
        <f>IF(AND(BM36&lt;&gt;"",BM34&lt;&gt;""),IF(((BM36/2)*BM34)&lt;BM33,(BM36/2)*BM34,BM33),"")</f>
        <v/>
      </c>
      <c r="BN37" s="363" t="str">
        <f>IF(BO37&lt;&gt;"",BO37-BM37,"")</f>
        <v/>
      </c>
      <c r="BO37" s="363" t="str">
        <f>IF(AND(BO36&lt;&gt;"",BO34&lt;&gt;""),IF((BO36*BO34)&lt;BO33,BO36*BO34,BO33),"")</f>
        <v/>
      </c>
      <c r="BP37" s="363" t="str">
        <f>IF(AND(BP36&lt;&gt;"",BP34&lt;&gt;""),IF(((BP36/2)*BP34)&lt;BP33,(BP36/2)*BP34,BP33),"")</f>
        <v/>
      </c>
      <c r="BQ37" s="363" t="str">
        <f>IF(BR37&lt;&gt;"",BR37-BP37,"")</f>
        <v/>
      </c>
      <c r="BR37" s="363" t="str">
        <f>IF(AND(BR36&lt;&gt;"",BR34&lt;&gt;""),IF((BR36*BR34)&lt;BR33,BR36*BR34,BR33),"")</f>
        <v/>
      </c>
      <c r="BS37" s="363" t="str">
        <f>IF(AND(BS36&lt;&gt;"",BS34&lt;&gt;""),IF(((BS36/2)*BS34)&lt;BS33,(BS36/2)*BS34,BS33),"")</f>
        <v/>
      </c>
      <c r="BT37" s="363" t="str">
        <f>IF(BU37&lt;&gt;"",BU37-BS37,"")</f>
        <v/>
      </c>
      <c r="BU37" s="363" t="str">
        <f>IF(AND(BU36&lt;&gt;"",BU34&lt;&gt;""),IF((BU36*BU34)&lt;BU33,BU36*BU34,BU33),"")</f>
        <v/>
      </c>
      <c r="BV37" s="363" t="str">
        <f>IF(AND(BV36&lt;&gt;"",BV34&lt;&gt;""),IF(((BV36/2)*BV34)&lt;BV33,(BV36/2)*BV34,BV33),"")</f>
        <v/>
      </c>
      <c r="BW37" s="363" t="str">
        <f>IF(BX37&lt;&gt;"",BX37-BV37,"")</f>
        <v/>
      </c>
      <c r="BX37" s="363" t="str">
        <f>IF(AND(BX36&lt;&gt;"",BX34&lt;&gt;""),IF((BX36*BX34)&lt;BX33,BX36*BX34,BX33),"")</f>
        <v/>
      </c>
      <c r="BY37" s="363" t="str">
        <f>IF(AND(BY36&lt;&gt;"",BY34&lt;&gt;""),IF(((BY36/2)*BY34)&lt;BY33,(BY36/2)*BY34,BY33),"")</f>
        <v/>
      </c>
      <c r="BZ37" s="363" t="str">
        <f>IF(CA37&lt;&gt;"",CA37-BY37,"")</f>
        <v/>
      </c>
      <c r="CA37" s="363" t="str">
        <f>IF(AND(CA36&lt;&gt;"",CA34&lt;&gt;""),IF((CA36*CA34)&lt;CA33,CA36*CA34,CA33),"")</f>
        <v/>
      </c>
      <c r="CB37" s="363" t="str">
        <f>IF(AND(CB36&lt;&gt;"",CB34&lt;&gt;""),IF(((CB36/2)*CB34)&lt;CB33,(CB36/2)*CB34,CB33),"")</f>
        <v/>
      </c>
      <c r="CC37" s="363" t="str">
        <f>IF(CD37&lt;&gt;"",CD37-CB37,"")</f>
        <v/>
      </c>
      <c r="CD37" s="363" t="str">
        <f>IF(AND(CD36&lt;&gt;"",CD34&lt;&gt;""),IF((CD36*CD34)&lt;CD33,CD36*CD34,CD33),"")</f>
        <v/>
      </c>
      <c r="CE37" s="363" t="str">
        <f>IF(AND(CE36&lt;&gt;"",CE34&lt;&gt;""),IF(((CE36/2)*CE34)&lt;CE33,(CE36/2)*CE34,CE33),"")</f>
        <v/>
      </c>
      <c r="CF37" s="363" t="str">
        <f>IF(CG37&lt;&gt;"",CG37-CE37,"")</f>
        <v/>
      </c>
      <c r="CG37" s="363" t="str">
        <f>IF(AND(CG36&lt;&gt;"",CG34&lt;&gt;""),IF((CG36*CG34)&lt;CG33,CG36*CG34,CG33),"")</f>
        <v/>
      </c>
      <c r="CH37" s="363" t="str">
        <f>IF(AND(CH36&lt;&gt;"",CH34&lt;&gt;""),IF(((CH36/2)*CH34)&lt;CH33,(CH36/2)*CH34,CH33),"")</f>
        <v/>
      </c>
      <c r="CI37" s="363" t="str">
        <f>IF(CJ37&lt;&gt;"",CJ37-CH37,"")</f>
        <v/>
      </c>
      <c r="CJ37" s="363" t="str">
        <f>IF(AND(CJ36&lt;&gt;"",CJ34&lt;&gt;""),IF((CJ36*CJ34)&lt;CJ33,CJ36*CJ34,CJ33),"")</f>
        <v/>
      </c>
      <c r="CK37" s="363" t="str">
        <f>IF(AND(CK36&lt;&gt;"",CK34&lt;&gt;""),IF(((CK36/2)*CK34)&lt;CK33,(CK36/2)*CK34,CK33),"")</f>
        <v/>
      </c>
      <c r="CL37" s="363" t="str">
        <f>IF(CM37&lt;&gt;"",CM37-CK37,"")</f>
        <v/>
      </c>
      <c r="CM37" s="363" t="str">
        <f>IF(AND(CM36&lt;&gt;"",CM34&lt;&gt;""),IF((CM36*CM34)&lt;CM33,CM36*CM34,CM33),"")</f>
        <v/>
      </c>
      <c r="CN37" s="363" t="str">
        <f>IF(AND(CN36&lt;&gt;"",CN34&lt;&gt;""),IF(((CN36/2)*CN34)&lt;CN33,(CN36/2)*CN34,CN33),"")</f>
        <v/>
      </c>
      <c r="CO37" s="363" t="str">
        <f>IF(CP37&lt;&gt;"",CP37-CN37,"")</f>
        <v/>
      </c>
      <c r="CP37" s="363" t="str">
        <f>IF(AND(CP36&lt;&gt;"",CP34&lt;&gt;""),IF((CP36*CP34)&lt;CP33,CP36*CP34,CP33),"")</f>
        <v/>
      </c>
      <c r="CQ37" s="363" t="str">
        <f>IF(AND(CQ36&lt;&gt;"",CQ34&lt;&gt;""),IF(((CQ36/2)*CQ34)&lt;CQ33,(CQ36/2)*CQ34,CQ33),"")</f>
        <v/>
      </c>
      <c r="CR37" s="363" t="str">
        <f>IF(CS37&lt;&gt;"",CS37-CQ37,"")</f>
        <v/>
      </c>
      <c r="CS37" s="363" t="str">
        <f>IF(AND(CS36&lt;&gt;"",CS34&lt;&gt;""),IF((CS36*CS34)&lt;CS33,CS36*CS34,CS33),"")</f>
        <v/>
      </c>
      <c r="CT37" s="363" t="str">
        <f>IF(AND(CT36&lt;&gt;"",CT34&lt;&gt;""),IF(((CT36/2)*CT34)&lt;CT33,(CT36/2)*CT34,CT33),"")</f>
        <v/>
      </c>
      <c r="CU37" s="363" t="str">
        <f>IF(CV37&lt;&gt;"",CV37-CT37,"")</f>
        <v/>
      </c>
      <c r="CV37" s="363" t="str">
        <f>IF(AND(CV36&lt;&gt;"",CV34&lt;&gt;""),IF((CV36*CV34)&lt;CV33,CV36*CV34,CV33),"")</f>
        <v/>
      </c>
      <c r="CW37" s="363" t="str">
        <f>IF(AND(CW36&lt;&gt;"",CW34&lt;&gt;""),IF(((CW36/2)*CW34)&lt;CW33,(CW36/2)*CW34,CW33),"")</f>
        <v/>
      </c>
      <c r="CX37" s="363" t="str">
        <f>IF(CY37&lt;&gt;"",CY37-CW37,"")</f>
        <v/>
      </c>
      <c r="CY37" s="363" t="str">
        <f>IF(AND(CY36&lt;&gt;"",CY34&lt;&gt;""),IF((CY36*CY34)&lt;CY33,CY36*CY34,CY33),"")</f>
        <v/>
      </c>
      <c r="CZ37" s="363" t="str">
        <f>IF(AND(CZ36&lt;&gt;"",CZ34&lt;&gt;""),IF(((CZ36/2)*CZ34)&lt;CZ33,(CZ36/2)*CZ34,CZ33),"")</f>
        <v/>
      </c>
      <c r="DA37" s="363" t="str">
        <f>IF(DB37&lt;&gt;"",DB37-CZ37,"")</f>
        <v/>
      </c>
      <c r="DB37" s="363" t="str">
        <f>IF(AND(DB36&lt;&gt;"",DB34&lt;&gt;""),IF((DB36*DB34)&lt;DB33,DB36*DB34,DB33),"")</f>
        <v/>
      </c>
      <c r="DC37" s="363" t="str">
        <f>IF(AND(DC36&lt;&gt;"",DC34&lt;&gt;""),IF(((DC36/2)*DC34)&lt;DC33,(DC36/2)*DC34,DC33),"")</f>
        <v/>
      </c>
      <c r="DD37" s="363" t="str">
        <f>IF(DE37&lt;&gt;"",DE37-DC37,"")</f>
        <v/>
      </c>
      <c r="DE37" s="363" t="str">
        <f>IF(AND(DE36&lt;&gt;"",DE34&lt;&gt;""),IF((DE36*DE34)&lt;DE33,DE36*DE34,DE33),"")</f>
        <v/>
      </c>
      <c r="DF37" s="363" t="str">
        <f>IF(AND(DF36&lt;&gt;"",DF34&lt;&gt;""),IF(((DF36/2)*DF34)&lt;DF33,(DF36/2)*DF34,DF33),"")</f>
        <v/>
      </c>
      <c r="DG37" s="363" t="str">
        <f>IF(DH37&lt;&gt;"",DH37-DF37,"")</f>
        <v/>
      </c>
      <c r="DH37" s="363" t="str">
        <f>IF(AND(DH36&lt;&gt;"",DH34&lt;&gt;""),IF((DH36*DH34)&lt;DH33,DH36*DH34,DH33),"")</f>
        <v/>
      </c>
      <c r="DI37" s="363" t="str">
        <f>IF(AND(DI36&lt;&gt;"",DI34&lt;&gt;""),IF(((DI36/2)*DI34)&lt;DI33,(DI36/2)*DI34,DI33),"")</f>
        <v/>
      </c>
      <c r="DJ37" s="363" t="str">
        <f>IF(DK37&lt;&gt;"",DK37-DI37,"")</f>
        <v/>
      </c>
      <c r="DK37" s="1210" t="str">
        <f>IF(AND(DK36&lt;&gt;"",DK34&lt;&gt;""),IF((DK36*DK34)&lt;DK33,DK36*DK34,DK33),"")</f>
        <v/>
      </c>
      <c r="DL37" s="363" t="str">
        <f>IF(AND(DL36&lt;&gt;"",DL34&lt;&gt;""),IF(((DL36/2)*DL34)&lt;DL33,(DL36/2)*DL34,DL33),"")</f>
        <v/>
      </c>
      <c r="DM37" s="363" t="str">
        <f>IF(DN37&lt;&gt;"",DN37-DL37,"")</f>
        <v/>
      </c>
      <c r="DN37" s="1210" t="str">
        <f>IF(AND(DN36&lt;&gt;"",DN34&lt;&gt;""),IF((DN36*DN34)&lt;DN33,DN36*DN34,DN33),"")</f>
        <v/>
      </c>
      <c r="DO37" s="363" t="str">
        <f>IF(AND(DO36&lt;&gt;"",DO34&lt;&gt;""),IF(((DO36/2)*DO34)&lt;DO33,(DO36/2)*DO34,DO33),"")</f>
        <v/>
      </c>
      <c r="DP37" s="363" t="str">
        <f>IF(DQ37&lt;&gt;"",DQ37-DO37,"")</f>
        <v/>
      </c>
      <c r="DQ37" s="1210" t="str">
        <f>IF(AND(DQ36&lt;&gt;"",DQ34&lt;&gt;""),IF((DQ36*DQ34)&lt;DQ33,DQ36*DQ34,DQ33),"")</f>
        <v/>
      </c>
      <c r="DR37" s="363" t="str">
        <f>IF(AND(DR36&lt;&gt;"",DR34&lt;&gt;""),IF(((DR36/2)*DR34)&lt;DR33,(DR36/2)*DR34,DR33),"")</f>
        <v/>
      </c>
      <c r="DS37" s="363" t="str">
        <f>IF(DT37&lt;&gt;"",DT37-DR37,"")</f>
        <v/>
      </c>
      <c r="DT37" s="1210" t="str">
        <f>IF(AND(DT36&lt;&gt;"",DT34&lt;&gt;""),IF((DT36*DT34)&lt;DT33,DT36*DT34,DT33),"")</f>
        <v/>
      </c>
      <c r="DU37" s="363" t="str">
        <f>IF(AND(DU36&lt;&gt;"",DU34&lt;&gt;""),IF(((DU36/2)*DU34)&lt;DU33,(DU36/2)*DU34,DU33),"")</f>
        <v/>
      </c>
      <c r="DV37" s="363" t="str">
        <f>IF(DW37&lt;&gt;"",DW37-DU37,"")</f>
        <v/>
      </c>
      <c r="DW37" s="1210" t="str">
        <f>IF(AND(DW36&lt;&gt;"",DW34&lt;&gt;""),IF((DW36*DW34)&lt;DW33,DW36*DW34,DW33),"")</f>
        <v/>
      </c>
      <c r="DX37" s="363" t="str">
        <f>IF(AND(DX36&lt;&gt;"",DX34&lt;&gt;""),IF(((DX36/2)*DX34)&lt;DX33,(DX36/2)*DX34,DX33),"")</f>
        <v/>
      </c>
      <c r="DY37" s="363" t="str">
        <f>IF(DZ37&lt;&gt;"",DZ37-DX37,"")</f>
        <v/>
      </c>
      <c r="DZ37" s="1210" t="str">
        <f>IF(AND(DZ36&lt;&gt;"",DZ34&lt;&gt;""),IF((DZ36*DZ34)&lt;DZ33,DZ36*DZ34,DZ33),"")</f>
        <v/>
      </c>
      <c r="EA37" s="363" t="str">
        <f>IF(AND(EA36&lt;&gt;"",EA34&lt;&gt;""),IF(((EA36/2)*EA34)&lt;EA33,(EA36/2)*EA34,EA33),"")</f>
        <v/>
      </c>
      <c r="EB37" s="363" t="str">
        <f>IF(EC37&lt;&gt;"",EC37-EA37,"")</f>
        <v/>
      </c>
      <c r="EC37" s="1210" t="str">
        <f>IF(AND(EC36&lt;&gt;"",EC34&lt;&gt;""),IF((EC36*EC34)&lt;EC33,EC36*EC34,EC33),"")</f>
        <v/>
      </c>
      <c r="ED37" s="363" t="str">
        <f>IF(AND(ED36&lt;&gt;"",ED34&lt;&gt;""),IF(((ED36/2)*ED34)&lt;ED33,(ED36/2)*ED34,ED33),"")</f>
        <v/>
      </c>
      <c r="EE37" s="363" t="str">
        <f>IF(EF37&lt;&gt;"",EF37-ED37,"")</f>
        <v/>
      </c>
      <c r="EF37" s="1210" t="str">
        <f>IF(AND(EF36&lt;&gt;"",EF34&lt;&gt;""),IF((EF36*EF34)&lt;EF33,EF36*EF34,EF33),"")</f>
        <v/>
      </c>
      <c r="EG37" s="363" t="str">
        <f>IF(AND(EG36&lt;&gt;"",EG34&lt;&gt;""),IF(((EG36/2)*EG34)&lt;EG33,(EG36/2)*EG34,EG33),"")</f>
        <v/>
      </c>
      <c r="EH37" s="363" t="str">
        <f>IF(EI37&lt;&gt;"",EI37-EG37,"")</f>
        <v/>
      </c>
      <c r="EI37" s="1210" t="str">
        <f>IF(AND(EI36&lt;&gt;"",EI34&lt;&gt;""),IF((EI36*EI34)&lt;EI33,EI36*EI34,EI33),"")</f>
        <v/>
      </c>
      <c r="EJ37" s="363" t="str">
        <f>IF(AND(EJ36&lt;&gt;"",EJ34&lt;&gt;""),IF(((EJ36/2)*EJ34)&lt;EJ33,(EJ36/2)*EJ34,EJ33),"")</f>
        <v/>
      </c>
      <c r="EK37" s="363" t="str">
        <f>IF(EL37&lt;&gt;"",EL37-EJ37,"")</f>
        <v/>
      </c>
      <c r="EL37" s="1210" t="str">
        <f>IF(AND(EL36&lt;&gt;"",EL34&lt;&gt;""),IF((EL36*EL34)&lt;EL33,EL36*EL34,EL33),"")</f>
        <v/>
      </c>
      <c r="EM37" s="363" t="str">
        <f>IF(AND(EM36&lt;&gt;"",EM34&lt;&gt;""),IF(((EM36/2)*EM34)&lt;EM33,(EM36/2)*EM34,EM33),"")</f>
        <v/>
      </c>
      <c r="EN37" s="363" t="str">
        <f>IF(EO37&lt;&gt;"",EO37-EM37,"")</f>
        <v/>
      </c>
      <c r="EO37" s="1210" t="str">
        <f>IF(AND(EO36&lt;&gt;"",EO34&lt;&gt;""),IF((EO36*EO34)&lt;EO33,EO36*EO34,EO33),"")</f>
        <v/>
      </c>
      <c r="EP37" s="363" t="str">
        <f>IF(AND(EP36&lt;&gt;"",EP34&lt;&gt;""),IF(((EP36/2)*EP34)&lt;EP33,(EP36/2)*EP34,EP33),"")</f>
        <v/>
      </c>
      <c r="EQ37" s="363" t="str">
        <f>IF(ER37&lt;&gt;"",ER37-EP37,"")</f>
        <v/>
      </c>
      <c r="ER37" s="1210" t="str">
        <f>IF(AND(ER36&lt;&gt;"",ER34&lt;&gt;""),IF((ER36*ER34)&lt;ER33,ER36*ER34,ER33),"")</f>
        <v/>
      </c>
      <c r="ES37" s="363" t="str">
        <f>IF(AND(ES36&lt;&gt;"",ES34&lt;&gt;""),IF(((ES36/2)*ES34)&lt;ES33,(ES36/2)*ES34,ES33),"")</f>
        <v/>
      </c>
      <c r="ET37" s="363" t="str">
        <f>IF(EU37&lt;&gt;"",EU37-ES37,"")</f>
        <v/>
      </c>
      <c r="EU37" s="1210" t="str">
        <f>IF(AND(EU36&lt;&gt;"",EU34&lt;&gt;""),IF((EU36*EU34)&lt;EU33,EU36*EU34,EU33),"")</f>
        <v/>
      </c>
      <c r="EV37" s="363" t="str">
        <f>IF(AND(EV36&lt;&gt;"",EV34&lt;&gt;""),IF(((EV36/2)*EV34)&lt;EV33,(EV36/2)*EV34,EV33),"")</f>
        <v/>
      </c>
      <c r="EW37" s="363" t="str">
        <f>IF(EX37&lt;&gt;"",EX37-EV37,"")</f>
        <v/>
      </c>
      <c r="EX37" s="1210" t="str">
        <f>IF(AND(EX36&lt;&gt;"",EX34&lt;&gt;""),IF((EX36*EX34)&lt;EX33,EX36*EX34,EX33),"")</f>
        <v/>
      </c>
      <c r="EY37" s="363" t="str">
        <f>IF(AND(EY36&lt;&gt;"",EY34&lt;&gt;""),IF(((EY36/2)*EY34)&lt;EY33,(EY36/2)*EY34,EY33),"")</f>
        <v/>
      </c>
      <c r="EZ37" s="363" t="str">
        <f>IF(FA37&lt;&gt;"",FA37-EY37,"")</f>
        <v/>
      </c>
      <c r="FA37" s="363" t="str">
        <f>IF(AND(FA36&lt;&gt;"",FA34&lt;&gt;""),IF((FA36*FA34)&lt;FA33,FA36*FA34,FA33),"")</f>
        <v/>
      </c>
    </row>
    <row r="38" spans="1:157" ht="13.35" customHeight="1">
      <c r="A38" s="5"/>
      <c r="B38" s="5" t="s">
        <v>750</v>
      </c>
      <c r="C38" s="5"/>
      <c r="D38" s="362"/>
      <c r="E38" s="363" t="str">
        <f>IF(Model!E58&lt;&gt;"",Model!E58,"")</f>
        <v/>
      </c>
      <c r="F38" s="363" t="str">
        <f>IF(AND(G38&lt;&gt;"",E38&lt;&gt;""),G38-E38,"")</f>
        <v/>
      </c>
      <c r="G38" s="363" t="str">
        <f>IF(Model!G58&lt;&gt;"",Model!G58,"")</f>
        <v/>
      </c>
      <c r="H38" s="363" t="str">
        <f>IF(Model!H58&lt;&gt;"",Model!H58,"")</f>
        <v/>
      </c>
      <c r="I38" s="363" t="str">
        <f>IF(AND(J38&lt;&gt;"",H38&lt;&gt;""),J38-H38,"")</f>
        <v/>
      </c>
      <c r="J38" s="363" t="str">
        <f>IF(Model!J58&lt;&gt;"",Model!J58,"")</f>
        <v/>
      </c>
      <c r="K38" s="363" t="str">
        <f>IF(Model!K58&lt;&gt;"",Model!K58,"")</f>
        <v/>
      </c>
      <c r="L38" s="363" t="str">
        <f>IF(AND(M38&lt;&gt;"",K38&lt;&gt;""),M38-K38,"")</f>
        <v/>
      </c>
      <c r="M38" s="363" t="str">
        <f>IF(Model!M58&lt;&gt;"",Model!M58,"")</f>
        <v/>
      </c>
      <c r="N38" s="363" t="str">
        <f>IF(Model!N58&lt;&gt;"",Model!N58,"")</f>
        <v/>
      </c>
      <c r="O38" s="363" t="str">
        <f>IF(AND(P38&lt;&gt;"",N38&lt;&gt;""),P38-N38,"")</f>
        <v/>
      </c>
      <c r="P38" s="363" t="str">
        <f>IF(Model!P58&lt;&gt;"",Model!P58,"")</f>
        <v/>
      </c>
      <c r="Q38" s="363" t="str">
        <f>IF(Model!Q58&lt;&gt;"",Model!Q58,"")</f>
        <v/>
      </c>
      <c r="R38" s="363" t="str">
        <f>IF(AND(S38&lt;&gt;"",Q38&lt;&gt;""),S38-Q38,"")</f>
        <v/>
      </c>
      <c r="S38" s="363" t="str">
        <f>IF(Model!S58&lt;&gt;"",Model!S58,"")</f>
        <v/>
      </c>
      <c r="T38" s="363" t="str">
        <f>IF(Model!T58&lt;&gt;"",Model!T58,"")</f>
        <v/>
      </c>
      <c r="U38" s="363" t="str">
        <f>IF(AND(V38&lt;&gt;"",T38&lt;&gt;""),V38-T38,"")</f>
        <v/>
      </c>
      <c r="V38" s="363" t="str">
        <f>IF(Model!V58&lt;&gt;"",Model!V58,"")</f>
        <v/>
      </c>
      <c r="W38" s="363" t="str">
        <f>IF(Model!W58&lt;&gt;"",Model!W58,"")</f>
        <v/>
      </c>
      <c r="X38" s="363" t="str">
        <f>IF(AND(Y38&lt;&gt;"",W38&lt;&gt;""),Y38-W38,"")</f>
        <v/>
      </c>
      <c r="Y38" s="363" t="str">
        <f>IF(Model!Y58&lt;&gt;"",Model!Y58,"")</f>
        <v/>
      </c>
      <c r="Z38" s="363" t="str">
        <f>IF(Model!Z58&lt;&gt;"",Model!Z58,"")</f>
        <v/>
      </c>
      <c r="AA38" s="363" t="str">
        <f>IF(AND(AB38&lt;&gt;"",Z38&lt;&gt;""),AB38-Z38,"")</f>
        <v/>
      </c>
      <c r="AB38" s="363" t="str">
        <f>IF(Model!AB58&lt;&gt;"",Model!AB58,"")</f>
        <v/>
      </c>
      <c r="AC38" s="363" t="str">
        <f>IF(Model!AC58&lt;&gt;"",Model!AC58,"")</f>
        <v/>
      </c>
      <c r="AD38" s="363" t="str">
        <f>IF(AND(AE38&lt;&gt;"",AC38&lt;&gt;""),AE38-AC38,"")</f>
        <v/>
      </c>
      <c r="AE38" s="363" t="str">
        <f>IF(Model!AE58&lt;&gt;"",Model!AE58,"")</f>
        <v/>
      </c>
      <c r="AF38" s="363" t="str">
        <f>IF(Model!AF58&lt;&gt;"",Model!AF58,"")</f>
        <v/>
      </c>
      <c r="AG38" s="363" t="str">
        <f>IF(AND(AH38&lt;&gt;"",AF38&lt;&gt;""),AH38-AF38,"")</f>
        <v/>
      </c>
      <c r="AH38" s="363" t="str">
        <f>IF(Model!AH58&lt;&gt;"",Model!AH58,"")</f>
        <v/>
      </c>
      <c r="AI38" s="363" t="str">
        <f>IF(Model!AI58&lt;&gt;"",Model!AI58,"")</f>
        <v/>
      </c>
      <c r="AJ38" s="363" t="str">
        <f>IF(AND(AK38&lt;&gt;"",AI38&lt;&gt;""),AK38-AI38,"")</f>
        <v/>
      </c>
      <c r="AK38" s="363" t="str">
        <f>IF(Model!AK58&lt;&gt;"",Model!AK58,"")</f>
        <v/>
      </c>
      <c r="AL38" s="363" t="str">
        <f>IF(Model!AL58&lt;&gt;"",Model!AL58,"")</f>
        <v/>
      </c>
      <c r="AM38" s="363" t="str">
        <f>IF(AND(AN38&lt;&gt;"",AL38&lt;&gt;""),AN38-AL38,"")</f>
        <v/>
      </c>
      <c r="AN38" s="363" t="str">
        <f>IF(Model!AN58&lt;&gt;"",Model!AN58,"")</f>
        <v/>
      </c>
      <c r="AO38" s="363" t="str">
        <f>IF(Model!AO58&lt;&gt;"",Model!AO58,"")</f>
        <v/>
      </c>
      <c r="AP38" s="363" t="str">
        <f>IF(AND(AQ38&lt;&gt;"",AO38&lt;&gt;""),AQ38-AO38,"")</f>
        <v/>
      </c>
      <c r="AQ38" s="363" t="str">
        <f>IF(Model!AQ58&lt;&gt;"",Model!AQ58,"")</f>
        <v/>
      </c>
      <c r="AR38" s="363" t="str">
        <f>IF(Model!AR58&lt;&gt;"",Model!AR58,"")</f>
        <v/>
      </c>
      <c r="AS38" s="363" t="str">
        <f>IF(AND(AT38&lt;&gt;"",AR38&lt;&gt;""),AT38-AR38,"")</f>
        <v/>
      </c>
      <c r="AT38" s="363" t="str">
        <f>IF(Model!AT58&lt;&gt;"",Model!AT58,"")</f>
        <v/>
      </c>
      <c r="AU38" s="363" t="str">
        <f>IF(Model!AU58&lt;&gt;"",Model!AU58,"")</f>
        <v/>
      </c>
      <c r="AV38" s="363" t="str">
        <f>IF(AND(AW38&lt;&gt;"",AU38&lt;&gt;""),AW38-AU38,"")</f>
        <v/>
      </c>
      <c r="AW38" s="363" t="str">
        <f>IF(Model!AW58&lt;&gt;"",Model!AW58,"")</f>
        <v/>
      </c>
      <c r="AX38" s="363">
        <f>IF(Model!AX58&lt;&gt;"",Model!AX58,"")</f>
        <v>0</v>
      </c>
      <c r="AY38" s="363">
        <f>IF(AND(AZ38&lt;&gt;"",AX38&lt;&gt;""),AZ38-AX38,"")</f>
        <v>0</v>
      </c>
      <c r="AZ38" s="363">
        <f>IF(Model!AZ58&lt;&gt;"",Model!AZ58,"")</f>
        <v>0</v>
      </c>
      <c r="BA38" s="363">
        <f>IF(Model!BA58&lt;&gt;"",Model!BA58,"")</f>
        <v>0</v>
      </c>
      <c r="BB38" s="363">
        <f>IF(AND(BC38&lt;&gt;"",BA38&lt;&gt;""),BC38-BA38,"")</f>
        <v>0</v>
      </c>
      <c r="BC38" s="363">
        <f>IF(Model!BC58&lt;&gt;"",Model!BC58,"")</f>
        <v>0</v>
      </c>
      <c r="BD38" s="359"/>
      <c r="BE38" s="363" t="str">
        <f>IF(AND(BF38&lt;&gt;"",BD38&lt;&gt;""),BF38-BD38,"")</f>
        <v/>
      </c>
      <c r="BF38" s="359"/>
      <c r="BG38" s="359"/>
      <c r="BH38" s="363" t="str">
        <f>IF(AND(BI38&lt;&gt;"",BG38&lt;&gt;""),BI38-BG38,"")</f>
        <v/>
      </c>
      <c r="BI38" s="359"/>
      <c r="BJ38" s="359"/>
      <c r="BK38" s="363" t="str">
        <f>IF(AND(BL38&lt;&gt;"",BJ38&lt;&gt;""),BL38-BJ38,"")</f>
        <v/>
      </c>
      <c r="BL38" s="359"/>
      <c r="BM38" s="359"/>
      <c r="BN38" s="363" t="str">
        <f>IF(AND(BO38&lt;&gt;"",BM38&lt;&gt;""),BO38-BM38,"")</f>
        <v/>
      </c>
      <c r="BO38" s="359"/>
      <c r="BP38" s="359"/>
      <c r="BQ38" s="363" t="str">
        <f>IF(AND(BR38&lt;&gt;"",BP38&lt;&gt;""),BR38-BP38,"")</f>
        <v/>
      </c>
      <c r="BR38" s="359"/>
      <c r="BS38" s="359"/>
      <c r="BT38" s="363" t="str">
        <f>IF(AND(BU38&lt;&gt;"",BS38&lt;&gt;""),BU38-BS38,"")</f>
        <v/>
      </c>
      <c r="BU38" s="359"/>
      <c r="BV38" s="359"/>
      <c r="BW38" s="363" t="str">
        <f>IF(AND(BX38&lt;&gt;"",BV38&lt;&gt;""),BX38-BV38,"")</f>
        <v/>
      </c>
      <c r="BX38" s="359"/>
      <c r="BY38" s="359"/>
      <c r="BZ38" s="363" t="str">
        <f>IF(AND(CA38&lt;&gt;"",BY38&lt;&gt;""),CA38-BY38,"")</f>
        <v/>
      </c>
      <c r="CA38" s="359"/>
      <c r="CB38" s="359"/>
      <c r="CC38" s="363" t="str">
        <f>IF(AND(CD38&lt;&gt;"",CB38&lt;&gt;""),CD38-CB38,"")</f>
        <v/>
      </c>
      <c r="CD38" s="359"/>
      <c r="CE38" s="359"/>
      <c r="CF38" s="363" t="str">
        <f>IF(AND(CG38&lt;&gt;"",CE38&lt;&gt;""),CG38-CE38,"")</f>
        <v/>
      </c>
      <c r="CG38" s="359"/>
      <c r="CH38" s="359"/>
      <c r="CI38" s="363" t="str">
        <f>IF(AND(CJ38&lt;&gt;"",CH38&lt;&gt;""),CJ38-CH38,"")</f>
        <v/>
      </c>
      <c r="CJ38" s="359"/>
      <c r="CK38" s="359"/>
      <c r="CL38" s="363" t="str">
        <f>IF(AND(CM38&lt;&gt;"",CK38&lt;&gt;""),CM38-CK38,"")</f>
        <v/>
      </c>
      <c r="CM38" s="359"/>
      <c r="CN38" s="359"/>
      <c r="CO38" s="363" t="str">
        <f>IF(AND(CP38&lt;&gt;"",CN38&lt;&gt;""),CP38-CN38,"")</f>
        <v/>
      </c>
      <c r="CP38" s="359"/>
      <c r="CQ38" s="359"/>
      <c r="CR38" s="363" t="str">
        <f>IF(AND(CS38&lt;&gt;"",CQ38&lt;&gt;""),CS38-CQ38,"")</f>
        <v/>
      </c>
      <c r="CS38" s="359"/>
      <c r="CT38" s="359"/>
      <c r="CU38" s="363" t="str">
        <f>IF(AND(CV38&lt;&gt;"",CT38&lt;&gt;""),CV38-CT38,"")</f>
        <v/>
      </c>
      <c r="CV38" s="359"/>
      <c r="CW38" s="359"/>
      <c r="CX38" s="363" t="str">
        <f>IF(AND(CY38&lt;&gt;"",CW38&lt;&gt;""),CY38-CW38,"")</f>
        <v/>
      </c>
      <c r="CY38" s="359"/>
      <c r="CZ38" s="359"/>
      <c r="DA38" s="363" t="str">
        <f>IF(AND(DB38&lt;&gt;"",CZ38&lt;&gt;""),DB38-CZ38,"")</f>
        <v/>
      </c>
      <c r="DB38" s="359"/>
      <c r="DC38" s="359"/>
      <c r="DD38" s="363" t="str">
        <f>IF(AND(DE38&lt;&gt;"",DC38&lt;&gt;""),DE38-DC38,"")</f>
        <v/>
      </c>
      <c r="DE38" s="359"/>
      <c r="DF38" s="359"/>
      <c r="DG38" s="363" t="str">
        <f>IF(AND(DH38&lt;&gt;"",DF38&lt;&gt;""),DH38-DF38,"")</f>
        <v/>
      </c>
      <c r="DH38" s="359"/>
      <c r="DI38" s="359"/>
      <c r="DJ38" s="363" t="str">
        <f>IF(AND(DK38&lt;&gt;"",DI38&lt;&gt;""),DK38-DI38,"")</f>
        <v/>
      </c>
      <c r="DK38" s="1208"/>
      <c r="DL38" s="359"/>
      <c r="DM38" s="363" t="str">
        <f>IF(AND(DN38&lt;&gt;"",DL38&lt;&gt;""),DN38-DL38,"")</f>
        <v/>
      </c>
      <c r="DN38" s="1208"/>
      <c r="DO38" s="359"/>
      <c r="DP38" s="363" t="str">
        <f>IF(AND(DQ38&lt;&gt;"",DO38&lt;&gt;""),DQ38-DO38,"")</f>
        <v/>
      </c>
      <c r="DQ38" s="1208"/>
      <c r="DR38" s="359"/>
      <c r="DS38" s="363" t="str">
        <f>IF(AND(DT38&lt;&gt;"",DR38&lt;&gt;""),DT38-DR38,"")</f>
        <v/>
      </c>
      <c r="DT38" s="1208"/>
      <c r="DU38" s="359"/>
      <c r="DV38" s="363" t="str">
        <f>IF(AND(DW38&lt;&gt;"",DU38&lt;&gt;""),DW38-DU38,"")</f>
        <v/>
      </c>
      <c r="DW38" s="1208"/>
      <c r="DX38" s="359"/>
      <c r="DY38" s="363" t="str">
        <f>IF(AND(DZ38&lt;&gt;"",DX38&lt;&gt;""),DZ38-DX38,"")</f>
        <v/>
      </c>
      <c r="DZ38" s="1208"/>
      <c r="EA38" s="359"/>
      <c r="EB38" s="363" t="str">
        <f>IF(AND(EC38&lt;&gt;"",EA38&lt;&gt;""),EC38-EA38,"")</f>
        <v/>
      </c>
      <c r="EC38" s="1208"/>
      <c r="ED38" s="359"/>
      <c r="EE38" s="363" t="str">
        <f>IF(AND(EF38&lt;&gt;"",ED38&lt;&gt;""),EF38-ED38,"")</f>
        <v/>
      </c>
      <c r="EF38" s="1208"/>
      <c r="EG38" s="359"/>
      <c r="EH38" s="363" t="str">
        <f>IF(AND(EI38&lt;&gt;"",EG38&lt;&gt;""),EI38-EG38,"")</f>
        <v/>
      </c>
      <c r="EI38" s="1208"/>
      <c r="EJ38" s="359"/>
      <c r="EK38" s="363" t="str">
        <f>IF(AND(EL38&lt;&gt;"",EJ38&lt;&gt;""),EL38-EJ38,"")</f>
        <v/>
      </c>
      <c r="EL38" s="1208"/>
      <c r="EM38" s="359"/>
      <c r="EN38" s="363" t="str">
        <f>IF(AND(EO38&lt;&gt;"",EM38&lt;&gt;""),EO38-EM38,"")</f>
        <v/>
      </c>
      <c r="EO38" s="1208"/>
      <c r="EP38" s="359"/>
      <c r="EQ38" s="363" t="str">
        <f>IF(AND(ER38&lt;&gt;"",EP38&lt;&gt;""),ER38-EP38,"")</f>
        <v/>
      </c>
      <c r="ER38" s="1208"/>
      <c r="ES38" s="359"/>
      <c r="ET38" s="363" t="str">
        <f>IF(AND(EU38&lt;&gt;"",ES38&lt;&gt;""),EU38-ES38,"")</f>
        <v/>
      </c>
      <c r="EU38" s="1208"/>
      <c r="EV38" s="359"/>
      <c r="EW38" s="363" t="str">
        <f>IF(AND(EX38&lt;&gt;"",EV38&lt;&gt;""),EX38-EV38,"")</f>
        <v/>
      </c>
      <c r="EX38" s="1208"/>
      <c r="EY38" s="359"/>
      <c r="EZ38" s="363" t="str">
        <f>IF(AND(FA38&lt;&gt;"",EY38&lt;&gt;""),FA38-EY38,"")</f>
        <v/>
      </c>
      <c r="FA38" s="359"/>
    </row>
    <row r="39" spans="1:157" ht="13.35" customHeight="1">
      <c r="A39" s="5"/>
      <c r="B39" s="5" t="s">
        <v>751</v>
      </c>
      <c r="C39" s="5"/>
      <c r="D39" s="362"/>
      <c r="E39" s="363"/>
      <c r="F39" s="363"/>
      <c r="G39" s="363"/>
      <c r="H39" s="363"/>
      <c r="I39" s="363"/>
      <c r="J39" s="363"/>
      <c r="K39" s="363"/>
      <c r="L39" s="363"/>
      <c r="M39" s="363"/>
      <c r="N39" s="363"/>
      <c r="O39" s="363"/>
      <c r="P39" s="363"/>
      <c r="Q39" s="363"/>
      <c r="R39" s="363"/>
      <c r="S39" s="363"/>
      <c r="T39" s="363"/>
      <c r="U39" s="363"/>
      <c r="V39" s="363"/>
      <c r="W39" s="363"/>
      <c r="X39" s="363"/>
      <c r="Y39" s="363"/>
      <c r="Z39" s="363"/>
      <c r="AA39" s="363"/>
      <c r="AB39" s="363"/>
      <c r="AC39" s="363"/>
      <c r="AD39" s="363"/>
      <c r="AE39" s="363"/>
      <c r="AF39" s="363"/>
      <c r="AG39" s="363"/>
      <c r="AH39" s="363"/>
      <c r="AI39" s="363"/>
      <c r="AJ39" s="363"/>
      <c r="AK39" s="363"/>
      <c r="AL39" s="363"/>
      <c r="AM39" s="363"/>
      <c r="AN39" s="363"/>
      <c r="AO39" s="363"/>
      <c r="AP39" s="363"/>
      <c r="AQ39" s="363"/>
      <c r="AR39" s="363"/>
      <c r="AS39" s="363"/>
      <c r="AT39" s="363"/>
      <c r="AU39" s="363"/>
      <c r="AV39" s="363"/>
      <c r="AW39" s="363"/>
      <c r="AX39" s="363"/>
      <c r="AY39" s="363"/>
      <c r="AZ39" s="363"/>
      <c r="BA39" s="363"/>
      <c r="BB39" s="363"/>
      <c r="BC39" s="363"/>
      <c r="BD39" s="359"/>
      <c r="BE39" s="363"/>
      <c r="BF39" s="359"/>
      <c r="BG39" s="359"/>
      <c r="BH39" s="363"/>
      <c r="BI39" s="359"/>
      <c r="BJ39" s="359"/>
      <c r="BK39" s="363"/>
      <c r="BL39" s="359"/>
      <c r="BM39" s="359"/>
      <c r="BN39" s="363"/>
      <c r="BO39" s="359"/>
      <c r="BP39" s="359"/>
      <c r="BQ39" s="363"/>
      <c r="BR39" s="359"/>
      <c r="BS39" s="359"/>
      <c r="BT39" s="363"/>
      <c r="BU39" s="359"/>
      <c r="BV39" s="359"/>
      <c r="BW39" s="363"/>
      <c r="BX39" s="359"/>
      <c r="BY39" s="359"/>
      <c r="BZ39" s="363"/>
      <c r="CA39" s="359"/>
      <c r="CB39" s="359"/>
      <c r="CC39" s="363"/>
      <c r="CD39" s="359"/>
      <c r="CE39" s="359"/>
      <c r="CF39" s="363"/>
      <c r="CG39" s="359"/>
      <c r="CH39" s="359"/>
      <c r="CI39" s="363"/>
      <c r="CJ39" s="359"/>
      <c r="CK39" s="359"/>
      <c r="CL39" s="363"/>
      <c r="CM39" s="359"/>
      <c r="CN39" s="359"/>
      <c r="CO39" s="363"/>
      <c r="CP39" s="359"/>
      <c r="CQ39" s="359"/>
      <c r="CR39" s="363"/>
      <c r="CS39" s="359"/>
      <c r="CT39" s="359"/>
      <c r="CU39" s="363"/>
      <c r="CV39" s="359"/>
      <c r="CW39" s="359"/>
      <c r="CX39" s="363"/>
      <c r="CY39" s="359"/>
      <c r="CZ39" s="359"/>
      <c r="DA39" s="363"/>
      <c r="DB39" s="359"/>
      <c r="DC39" s="359"/>
      <c r="DD39" s="363"/>
      <c r="DE39" s="359"/>
      <c r="DF39" s="359"/>
      <c r="DG39" s="363"/>
      <c r="DH39" s="359"/>
      <c r="DI39" s="359"/>
      <c r="DJ39" s="363"/>
      <c r="DK39" s="1208"/>
      <c r="DL39" s="359"/>
      <c r="DM39" s="363"/>
      <c r="DN39" s="1208"/>
      <c r="DO39" s="359"/>
      <c r="DP39" s="363"/>
      <c r="DQ39" s="1208"/>
      <c r="DR39" s="359"/>
      <c r="DS39" s="363"/>
      <c r="DT39" s="1208"/>
      <c r="DU39" s="359"/>
      <c r="DV39" s="363"/>
      <c r="DW39" s="1208"/>
      <c r="DX39" s="359"/>
      <c r="DY39" s="363"/>
      <c r="DZ39" s="1208"/>
      <c r="EA39" s="359"/>
      <c r="EB39" s="363"/>
      <c r="EC39" s="1208"/>
      <c r="ED39" s="359"/>
      <c r="EE39" s="363"/>
      <c r="EF39" s="1208"/>
      <c r="EG39" s="359"/>
      <c r="EH39" s="363"/>
      <c r="EI39" s="1208"/>
      <c r="EJ39" s="359"/>
      <c r="EK39" s="363"/>
      <c r="EL39" s="1208"/>
      <c r="EM39" s="359"/>
      <c r="EN39" s="363"/>
      <c r="EO39" s="1208"/>
      <c r="EP39" s="359"/>
      <c r="EQ39" s="363"/>
      <c r="ER39" s="1208"/>
      <c r="ES39" s="359"/>
      <c r="ET39" s="363"/>
      <c r="EU39" s="1208"/>
      <c r="EV39" s="359"/>
      <c r="EW39" s="363"/>
      <c r="EX39" s="1208"/>
      <c r="EY39" s="359"/>
      <c r="EZ39" s="363"/>
      <c r="FA39" s="359"/>
    </row>
    <row r="40" spans="1:157" ht="13.35" customHeight="1" outlineLevel="1">
      <c r="A40" s="5"/>
      <c r="B40" s="5" t="s">
        <v>106</v>
      </c>
      <c r="C40" s="5"/>
      <c r="D40" s="362"/>
      <c r="E40" s="363"/>
      <c r="F40" s="363" t="str">
        <f>IF(G40&lt;&gt;"",G40,"")</f>
        <v/>
      </c>
      <c r="G40" s="363"/>
      <c r="H40" s="363"/>
      <c r="I40" s="363" t="str">
        <f>IF(J40&lt;&gt;"",J40,"")</f>
        <v/>
      </c>
      <c r="J40" s="363"/>
      <c r="K40" s="363"/>
      <c r="L40" s="363" t="str">
        <f>IF(M40&lt;&gt;"",M40,"")</f>
        <v/>
      </c>
      <c r="M40" s="363"/>
      <c r="N40" s="363"/>
      <c r="O40" s="363" t="str">
        <f>IF(P40&lt;&gt;"",P40,"")</f>
        <v/>
      </c>
      <c r="P40" s="363"/>
      <c r="Q40" s="363"/>
      <c r="R40" s="363" t="str">
        <f>IF(S40&lt;&gt;"",S40,"")</f>
        <v/>
      </c>
      <c r="S40" s="363"/>
      <c r="T40" s="363"/>
      <c r="U40" s="363" t="str">
        <f>IF(V40&lt;&gt;"",V40,"")</f>
        <v/>
      </c>
      <c r="V40" s="363"/>
      <c r="W40" s="363"/>
      <c r="X40" s="363" t="str">
        <f>IF(Y40&lt;&gt;"",Y40,"")</f>
        <v/>
      </c>
      <c r="Y40" s="363"/>
      <c r="Z40" s="363"/>
      <c r="AA40" s="363" t="str">
        <f>IF(AB40&lt;&gt;"",AB40,"")</f>
        <v/>
      </c>
      <c r="AB40" s="363"/>
      <c r="AC40" s="363"/>
      <c r="AD40" s="363" t="str">
        <f>IF(AE40&lt;&gt;"",AE40,"")</f>
        <v/>
      </c>
      <c r="AE40" s="363"/>
      <c r="AF40" s="363"/>
      <c r="AG40" s="363" t="str">
        <f>IF(AH40&lt;&gt;"",AH40,"")</f>
        <v/>
      </c>
      <c r="AH40" s="363"/>
      <c r="AI40" s="363"/>
      <c r="AJ40" s="363" t="str">
        <f>IF(AK40&lt;&gt;"",AK40,"")</f>
        <v/>
      </c>
      <c r="AK40" s="363"/>
      <c r="AL40" s="363"/>
      <c r="AM40" s="363" t="str">
        <f>IF(AN40&lt;&gt;"",AN40,"")</f>
        <v/>
      </c>
      <c r="AN40" s="363"/>
      <c r="AO40" s="363"/>
      <c r="AP40" s="363" t="str">
        <f>IF(AQ40&lt;&gt;"",AQ40,"")</f>
        <v/>
      </c>
      <c r="AQ40" s="363"/>
      <c r="AR40" s="363"/>
      <c r="AS40" s="363" t="str">
        <f>IF(AT40&lt;&gt;"",AT40,"")</f>
        <v/>
      </c>
      <c r="AT40" s="363"/>
      <c r="AU40" s="363"/>
      <c r="AV40" s="363" t="str">
        <f>IF(AW40&lt;&gt;"",AW40,"")</f>
        <v/>
      </c>
      <c r="AW40" s="363"/>
      <c r="AX40" s="363"/>
      <c r="AY40" s="363" t="str">
        <f>IF(AZ40&lt;&gt;"",AZ40,"")</f>
        <v/>
      </c>
      <c r="AZ40" s="363"/>
      <c r="BA40" s="363"/>
      <c r="BB40" s="363" t="str">
        <f>IF(BC40&lt;&gt;"",BC40,"")</f>
        <v/>
      </c>
      <c r="BC40" s="363"/>
      <c r="BD40" s="359"/>
      <c r="BE40" s="363" t="str">
        <f>IF(BF40&lt;&gt;"",BF40,"")</f>
        <v/>
      </c>
      <c r="BF40" s="359"/>
      <c r="BG40" s="359"/>
      <c r="BH40" s="363" t="str">
        <f>IF(BI40&lt;&gt;"",BI40,"")</f>
        <v/>
      </c>
      <c r="BI40" s="359"/>
      <c r="BJ40" s="359"/>
      <c r="BK40" s="363" t="str">
        <f>IF(BL40&lt;&gt;"",BL40,"")</f>
        <v/>
      </c>
      <c r="BL40" s="359"/>
      <c r="BM40" s="359"/>
      <c r="BN40" s="363" t="str">
        <f>IF(BO40&lt;&gt;"",BO40,"")</f>
        <v/>
      </c>
      <c r="BO40" s="359"/>
      <c r="BP40" s="359"/>
      <c r="BQ40" s="363" t="str">
        <f>IF(BR40&lt;&gt;"",BR40,"")</f>
        <v/>
      </c>
      <c r="BR40" s="359"/>
      <c r="BS40" s="359"/>
      <c r="BT40" s="363" t="str">
        <f>IF(BU40&lt;&gt;"",BU40,"")</f>
        <v/>
      </c>
      <c r="BU40" s="359"/>
      <c r="BV40" s="359"/>
      <c r="BW40" s="363" t="str">
        <f>IF(BX40&lt;&gt;"",BX40,"")</f>
        <v/>
      </c>
      <c r="BX40" s="359"/>
      <c r="BY40" s="359"/>
      <c r="BZ40" s="363" t="str">
        <f>IF(CA40&lt;&gt;"",CA40,"")</f>
        <v/>
      </c>
      <c r="CA40" s="359"/>
      <c r="CB40" s="359"/>
      <c r="CC40" s="363" t="str">
        <f>IF(CD40&lt;&gt;"",CD40,"")</f>
        <v/>
      </c>
      <c r="CD40" s="359"/>
      <c r="CE40" s="359"/>
      <c r="CF40" s="363" t="str">
        <f>IF(CG40&lt;&gt;"",CG40,"")</f>
        <v/>
      </c>
      <c r="CG40" s="359"/>
      <c r="CH40" s="359"/>
      <c r="CI40" s="363" t="str">
        <f>IF(CJ40&lt;&gt;"",CJ40,"")</f>
        <v/>
      </c>
      <c r="CJ40" s="359"/>
      <c r="CK40" s="359"/>
      <c r="CL40" s="363" t="str">
        <f>IF(CM40&lt;&gt;"",CM40,"")</f>
        <v/>
      </c>
      <c r="CM40" s="359"/>
      <c r="CN40" s="359"/>
      <c r="CO40" s="363" t="str">
        <f>IF(CP40&lt;&gt;"",CP40,"")</f>
        <v/>
      </c>
      <c r="CP40" s="359"/>
      <c r="CQ40" s="359"/>
      <c r="CR40" s="363" t="str">
        <f>IF(CS40&lt;&gt;"",CS40,"")</f>
        <v/>
      </c>
      <c r="CS40" s="359"/>
      <c r="CT40" s="359"/>
      <c r="CU40" s="363" t="str">
        <f>IF(CV40&lt;&gt;"",CV40,"")</f>
        <v/>
      </c>
      <c r="CV40" s="359"/>
      <c r="CW40" s="359"/>
      <c r="CX40" s="363" t="str">
        <f>IF(CY40&lt;&gt;"",CY40,"")</f>
        <v/>
      </c>
      <c r="CY40" s="359"/>
      <c r="CZ40" s="359"/>
      <c r="DA40" s="363" t="str">
        <f>IF(DB40&lt;&gt;"",DB40,"")</f>
        <v/>
      </c>
      <c r="DB40" s="359"/>
      <c r="DC40" s="359"/>
      <c r="DD40" s="363" t="str">
        <f>IF(DE40&lt;&gt;"",DE40,"")</f>
        <v/>
      </c>
      <c r="DE40" s="359"/>
      <c r="DF40" s="359"/>
      <c r="DG40" s="363" t="str">
        <f>IF(DH40&lt;&gt;"",DH40,"")</f>
        <v/>
      </c>
      <c r="DH40" s="359"/>
      <c r="DI40" s="359"/>
      <c r="DJ40" s="363" t="str">
        <f>IF(DK40&lt;&gt;"",DK40,"")</f>
        <v/>
      </c>
      <c r="DK40" s="1208"/>
      <c r="DL40" s="359"/>
      <c r="DM40" s="363" t="str">
        <f>IF(DN40&lt;&gt;"",DN40,"")</f>
        <v/>
      </c>
      <c r="DN40" s="1208"/>
      <c r="DO40" s="359"/>
      <c r="DP40" s="363" t="str">
        <f>IF(DQ40&lt;&gt;"",DQ40,"")</f>
        <v/>
      </c>
      <c r="DQ40" s="1208"/>
      <c r="DR40" s="359"/>
      <c r="DS40" s="363" t="str">
        <f>IF(DT40&lt;&gt;"",DT40,"")</f>
        <v/>
      </c>
      <c r="DT40" s="1208"/>
      <c r="DU40" s="359"/>
      <c r="DV40" s="363" t="str">
        <f>IF(DW40&lt;&gt;"",DW40,"")</f>
        <v/>
      </c>
      <c r="DW40" s="1208"/>
      <c r="DX40" s="359"/>
      <c r="DY40" s="363" t="str">
        <f>IF(DZ40&lt;&gt;"",DZ40,"")</f>
        <v/>
      </c>
      <c r="DZ40" s="1208"/>
      <c r="EA40" s="359"/>
      <c r="EB40" s="363" t="str">
        <f>IF(EC40&lt;&gt;"",EC40,"")</f>
        <v/>
      </c>
      <c r="EC40" s="1208"/>
      <c r="ED40" s="359"/>
      <c r="EE40" s="363" t="str">
        <f>IF(EF40&lt;&gt;"",EF40,"")</f>
        <v/>
      </c>
      <c r="EF40" s="1208"/>
      <c r="EG40" s="359"/>
      <c r="EH40" s="363" t="str">
        <f>IF(EI40&lt;&gt;"",EI40,"")</f>
        <v/>
      </c>
      <c r="EI40" s="1208"/>
      <c r="EJ40" s="359"/>
      <c r="EK40" s="363" t="str">
        <f>IF(EL40&lt;&gt;"",EL40,"")</f>
        <v/>
      </c>
      <c r="EL40" s="1208"/>
      <c r="EM40" s="359"/>
      <c r="EN40" s="363" t="str">
        <f>IF(EO40&lt;&gt;"",EO40,"")</f>
        <v/>
      </c>
      <c r="EO40" s="1208"/>
      <c r="EP40" s="359"/>
      <c r="EQ40" s="363" t="str">
        <f>IF(ER40&lt;&gt;"",ER40,"")</f>
        <v/>
      </c>
      <c r="ER40" s="1208"/>
      <c r="ES40" s="359"/>
      <c r="ET40" s="363" t="str">
        <f>IF(EU40&lt;&gt;"",EU40,"")</f>
        <v/>
      </c>
      <c r="EU40" s="1208"/>
      <c r="EV40" s="359"/>
      <c r="EW40" s="363" t="str">
        <f>IF(EX40&lt;&gt;"",EX40,"")</f>
        <v/>
      </c>
      <c r="EX40" s="1208"/>
      <c r="EY40" s="359"/>
      <c r="EZ40" s="363" t="str">
        <f>IF(FA40&lt;&gt;"",FA40,"")</f>
        <v/>
      </c>
      <c r="FA40" s="359"/>
    </row>
    <row r="41" spans="1:157" ht="13.35" customHeight="1" outlineLevel="1">
      <c r="A41" s="5"/>
      <c r="B41" s="5" t="s">
        <v>107</v>
      </c>
      <c r="C41" s="5"/>
      <c r="D41" s="362"/>
      <c r="E41" s="363"/>
      <c r="F41" s="363" t="str">
        <f>IF(G41&lt;&gt;"",G41,"")</f>
        <v/>
      </c>
      <c r="G41" s="363"/>
      <c r="H41" s="363"/>
      <c r="I41" s="363" t="str">
        <f>IF(J41&lt;&gt;"",J41,"")</f>
        <v/>
      </c>
      <c r="J41" s="363"/>
      <c r="K41" s="363"/>
      <c r="L41" s="363" t="str">
        <f>IF(M41&lt;&gt;"",M41,"")</f>
        <v/>
      </c>
      <c r="M41" s="363"/>
      <c r="N41" s="363"/>
      <c r="O41" s="363" t="str">
        <f>IF(P41&lt;&gt;"",P41,"")</f>
        <v/>
      </c>
      <c r="P41" s="363"/>
      <c r="Q41" s="363"/>
      <c r="R41" s="363" t="str">
        <f>IF(S41&lt;&gt;"",S41,"")</f>
        <v/>
      </c>
      <c r="S41" s="363"/>
      <c r="T41" s="363"/>
      <c r="U41" s="363" t="str">
        <f>IF(V41&lt;&gt;"",V41,"")</f>
        <v/>
      </c>
      <c r="V41" s="363"/>
      <c r="W41" s="363"/>
      <c r="X41" s="363" t="str">
        <f>IF(Y41&lt;&gt;"",Y41,"")</f>
        <v/>
      </c>
      <c r="Y41" s="363"/>
      <c r="Z41" s="363"/>
      <c r="AA41" s="363" t="str">
        <f>IF(AB41&lt;&gt;"",AB41,"")</f>
        <v/>
      </c>
      <c r="AB41" s="363"/>
      <c r="AC41" s="363"/>
      <c r="AD41" s="363" t="str">
        <f>IF(AE41&lt;&gt;"",AE41,"")</f>
        <v/>
      </c>
      <c r="AE41" s="363"/>
      <c r="AF41" s="363"/>
      <c r="AG41" s="363" t="str">
        <f>IF(AH41&lt;&gt;"",AH41,"")</f>
        <v/>
      </c>
      <c r="AH41" s="363"/>
      <c r="AI41" s="363"/>
      <c r="AJ41" s="363" t="str">
        <f>IF(AK41&lt;&gt;"",AK41,"")</f>
        <v/>
      </c>
      <c r="AK41" s="363"/>
      <c r="AL41" s="363"/>
      <c r="AM41" s="363" t="str">
        <f>IF(AN41&lt;&gt;"",AN41,"")</f>
        <v/>
      </c>
      <c r="AN41" s="363"/>
      <c r="AO41" s="363"/>
      <c r="AP41" s="363" t="str">
        <f>IF(AQ41&lt;&gt;"",AQ41,"")</f>
        <v/>
      </c>
      <c r="AQ41" s="363"/>
      <c r="AR41" s="363"/>
      <c r="AS41" s="363" t="str">
        <f>IF(AT41&lt;&gt;"",AT41,"")</f>
        <v/>
      </c>
      <c r="AT41" s="363"/>
      <c r="AU41" s="363"/>
      <c r="AV41" s="363" t="str">
        <f>IF(AW41&lt;&gt;"",AW41,"")</f>
        <v/>
      </c>
      <c r="AW41" s="363"/>
      <c r="AX41" s="363"/>
      <c r="AY41" s="363" t="str">
        <f>IF(AZ41&lt;&gt;"",AZ41,"")</f>
        <v/>
      </c>
      <c r="AZ41" s="363"/>
      <c r="BA41" s="363"/>
      <c r="BB41" s="363" t="str">
        <f>IF(BC41&lt;&gt;"",BC41,"")</f>
        <v/>
      </c>
      <c r="BC41" s="363"/>
      <c r="BD41" s="359"/>
      <c r="BE41" s="363" t="str">
        <f>IF(BF41&lt;&gt;"",BF41,"")</f>
        <v/>
      </c>
      <c r="BF41" s="359"/>
      <c r="BG41" s="359"/>
      <c r="BH41" s="363" t="str">
        <f>IF(BI41&lt;&gt;"",BI41,"")</f>
        <v/>
      </c>
      <c r="BI41" s="359"/>
      <c r="BJ41" s="359"/>
      <c r="BK41" s="363" t="str">
        <f>IF(BL41&lt;&gt;"",BL41,"")</f>
        <v/>
      </c>
      <c r="BL41" s="359"/>
      <c r="BM41" s="359"/>
      <c r="BN41" s="363" t="str">
        <f>IF(BO41&lt;&gt;"",BO41,"")</f>
        <v/>
      </c>
      <c r="BO41" s="359"/>
      <c r="BP41" s="359"/>
      <c r="BQ41" s="363" t="str">
        <f>IF(BR41&lt;&gt;"",BR41,"")</f>
        <v/>
      </c>
      <c r="BR41" s="359"/>
      <c r="BS41" s="359"/>
      <c r="BT41" s="363" t="str">
        <f>IF(BU41&lt;&gt;"",BU41,"")</f>
        <v/>
      </c>
      <c r="BU41" s="359"/>
      <c r="BV41" s="359"/>
      <c r="BW41" s="363" t="str">
        <f>IF(BX41&lt;&gt;"",BX41,"")</f>
        <v/>
      </c>
      <c r="BX41" s="359"/>
      <c r="BY41" s="359"/>
      <c r="BZ41" s="363" t="str">
        <f>IF(CA41&lt;&gt;"",CA41,"")</f>
        <v/>
      </c>
      <c r="CA41" s="359"/>
      <c r="CB41" s="359"/>
      <c r="CC41" s="363" t="str">
        <f>IF(CD41&lt;&gt;"",CD41,"")</f>
        <v/>
      </c>
      <c r="CD41" s="359"/>
      <c r="CE41" s="359"/>
      <c r="CF41" s="363" t="str">
        <f>IF(CG41&lt;&gt;"",CG41,"")</f>
        <v/>
      </c>
      <c r="CG41" s="359"/>
      <c r="CH41" s="359"/>
      <c r="CI41" s="363" t="str">
        <f>IF(CJ41&lt;&gt;"",CJ41,"")</f>
        <v/>
      </c>
      <c r="CJ41" s="359"/>
      <c r="CK41" s="359"/>
      <c r="CL41" s="363" t="str">
        <f>IF(CM41&lt;&gt;"",CM41,"")</f>
        <v/>
      </c>
      <c r="CM41" s="359"/>
      <c r="CN41" s="359"/>
      <c r="CO41" s="363" t="str">
        <f>IF(CP41&lt;&gt;"",CP41,"")</f>
        <v/>
      </c>
      <c r="CP41" s="359"/>
      <c r="CQ41" s="359"/>
      <c r="CR41" s="363" t="str">
        <f>IF(CS41&lt;&gt;"",CS41,"")</f>
        <v/>
      </c>
      <c r="CS41" s="359"/>
      <c r="CT41" s="359"/>
      <c r="CU41" s="363" t="str">
        <f>IF(CV41&lt;&gt;"",CV41,"")</f>
        <v/>
      </c>
      <c r="CV41" s="359"/>
      <c r="CW41" s="359"/>
      <c r="CX41" s="363" t="str">
        <f>IF(CY41&lt;&gt;"",CY41,"")</f>
        <v/>
      </c>
      <c r="CY41" s="359"/>
      <c r="CZ41" s="359"/>
      <c r="DA41" s="363" t="str">
        <f>IF(DB41&lt;&gt;"",DB41,"")</f>
        <v/>
      </c>
      <c r="DB41" s="359"/>
      <c r="DC41" s="359"/>
      <c r="DD41" s="363" t="str">
        <f>IF(DE41&lt;&gt;"",DE41,"")</f>
        <v/>
      </c>
      <c r="DE41" s="359"/>
      <c r="DF41" s="359"/>
      <c r="DG41" s="363" t="str">
        <f>IF(DH41&lt;&gt;"",DH41,"")</f>
        <v/>
      </c>
      <c r="DH41" s="359"/>
      <c r="DI41" s="359"/>
      <c r="DJ41" s="363" t="str">
        <f>IF(DK41&lt;&gt;"",DK41,"")</f>
        <v/>
      </c>
      <c r="DK41" s="1208"/>
      <c r="DL41" s="359"/>
      <c r="DM41" s="363" t="str">
        <f>IF(DN41&lt;&gt;"",DN41,"")</f>
        <v/>
      </c>
      <c r="DN41" s="1208"/>
      <c r="DO41" s="359"/>
      <c r="DP41" s="363" t="str">
        <f>IF(DQ41&lt;&gt;"",DQ41,"")</f>
        <v/>
      </c>
      <c r="DQ41" s="1208"/>
      <c r="DR41" s="359"/>
      <c r="DS41" s="363" t="str">
        <f>IF(DT41&lt;&gt;"",DT41,"")</f>
        <v/>
      </c>
      <c r="DT41" s="1208"/>
      <c r="DU41" s="359"/>
      <c r="DV41" s="363" t="str">
        <f>IF(DW41&lt;&gt;"",DW41,"")</f>
        <v/>
      </c>
      <c r="DW41" s="1208"/>
      <c r="DX41" s="359"/>
      <c r="DY41" s="363" t="str">
        <f>IF(DZ41&lt;&gt;"",DZ41,"")</f>
        <v/>
      </c>
      <c r="DZ41" s="1208"/>
      <c r="EA41" s="359"/>
      <c r="EB41" s="363" t="str">
        <f>IF(EC41&lt;&gt;"",EC41,"")</f>
        <v/>
      </c>
      <c r="EC41" s="1208"/>
      <c r="ED41" s="359"/>
      <c r="EE41" s="363" t="str">
        <f>IF(EF41&lt;&gt;"",EF41,"")</f>
        <v/>
      </c>
      <c r="EF41" s="1208"/>
      <c r="EG41" s="359"/>
      <c r="EH41" s="363" t="str">
        <f>IF(EI41&lt;&gt;"",EI41,"")</f>
        <v/>
      </c>
      <c r="EI41" s="1208"/>
      <c r="EJ41" s="359"/>
      <c r="EK41" s="363" t="str">
        <f>IF(EL41&lt;&gt;"",EL41,"")</f>
        <v/>
      </c>
      <c r="EL41" s="1208"/>
      <c r="EM41" s="359"/>
      <c r="EN41" s="363" t="str">
        <f>IF(EO41&lt;&gt;"",EO41,"")</f>
        <v/>
      </c>
      <c r="EO41" s="1208"/>
      <c r="EP41" s="359"/>
      <c r="EQ41" s="363" t="str">
        <f>IF(ER41&lt;&gt;"",ER41,"")</f>
        <v/>
      </c>
      <c r="ER41" s="1208"/>
      <c r="ES41" s="359"/>
      <c r="ET41" s="363" t="str">
        <f>IF(EU41&lt;&gt;"",EU41,"")</f>
        <v/>
      </c>
      <c r="EU41" s="1208"/>
      <c r="EV41" s="359"/>
      <c r="EW41" s="363" t="str">
        <f>IF(EX41&lt;&gt;"",EX41,"")</f>
        <v/>
      </c>
      <c r="EX41" s="1208"/>
      <c r="EY41" s="359"/>
      <c r="EZ41" s="363" t="str">
        <f>IF(FA41&lt;&gt;"",FA41,"")</f>
        <v/>
      </c>
      <c r="FA41" s="359"/>
    </row>
    <row r="42" spans="1:157" ht="13.35" customHeight="1" outlineLevel="1">
      <c r="A42" s="5"/>
      <c r="B42" s="5" t="s">
        <v>138</v>
      </c>
      <c r="C42" s="5"/>
      <c r="D42" s="362"/>
      <c r="E42" s="364" t="str">
        <f>IF(Model!E249&lt;&gt;"",Model!E249,"")</f>
        <v/>
      </c>
      <c r="F42" s="364" t="str">
        <f>IF(Model!G249&lt;&gt;"",Model!F249,"")</f>
        <v/>
      </c>
      <c r="G42" s="364" t="str">
        <f>IF(Model!G249&lt;&gt;"",Model!G249,"")</f>
        <v/>
      </c>
      <c r="H42" s="364" t="str">
        <f>IF(Model!H249&lt;&gt;"",Model!H249,"")</f>
        <v/>
      </c>
      <c r="I42" s="364" t="str">
        <f>IF(Model!J249&lt;&gt;"",Model!I249,"")</f>
        <v/>
      </c>
      <c r="J42" s="364" t="str">
        <f>IF(Model!J249&lt;&gt;"",Model!J249,"")</f>
        <v/>
      </c>
      <c r="K42" s="364" t="str">
        <f>IF(Model!K249&lt;&gt;"",Model!K249,"")</f>
        <v/>
      </c>
      <c r="L42" s="364" t="str">
        <f>IF(Model!M249&lt;&gt;"",Model!L249,"")</f>
        <v/>
      </c>
      <c r="M42" s="364" t="str">
        <f>IF(Model!M249&lt;&gt;"",Model!M249,"")</f>
        <v/>
      </c>
      <c r="N42" s="364" t="str">
        <f>IF(Model!N249&lt;&gt;"",Model!N249,"")</f>
        <v/>
      </c>
      <c r="O42" s="364" t="str">
        <f>IF(Model!P249&lt;&gt;"",Model!O249,"")</f>
        <v/>
      </c>
      <c r="P42" s="364" t="str">
        <f>IF(Model!P249&lt;&gt;"",Model!P249,"")</f>
        <v/>
      </c>
      <c r="Q42" s="364" t="str">
        <f>IF(Model!Q249&lt;&gt;"",Model!Q249,"")</f>
        <v/>
      </c>
      <c r="R42" s="364" t="str">
        <f>IF(Model!S249&lt;&gt;"",Model!R249,"")</f>
        <v/>
      </c>
      <c r="S42" s="364" t="str">
        <f>IF(Model!S249&lt;&gt;"",Model!S249,"")</f>
        <v/>
      </c>
      <c r="T42" s="364" t="str">
        <f>IF(Model!T249&lt;&gt;"",Model!T249,"")</f>
        <v/>
      </c>
      <c r="U42" s="364" t="str">
        <f>IF(Model!V249&lt;&gt;"",Model!U249,"")</f>
        <v/>
      </c>
      <c r="V42" s="364" t="str">
        <f>IF(Model!V249&lt;&gt;"",Model!V249,"")</f>
        <v/>
      </c>
      <c r="W42" s="364" t="str">
        <f>IF(Model!W249&lt;&gt;"",Model!W249,"")</f>
        <v/>
      </c>
      <c r="X42" s="364" t="str">
        <f>IF(Model!Y249&lt;&gt;"",Model!X249,"")</f>
        <v/>
      </c>
      <c r="Y42" s="364" t="str">
        <f>IF(Model!Y249&lt;&gt;"",Model!Y249,"")</f>
        <v/>
      </c>
      <c r="Z42" s="364" t="str">
        <f>IF(Model!Z249&lt;&gt;"",Model!Z249,"")</f>
        <v/>
      </c>
      <c r="AA42" s="364" t="str">
        <f>IF(Model!AB249&lt;&gt;"",Model!AA249,"")</f>
        <v/>
      </c>
      <c r="AB42" s="364" t="str">
        <f>IF(Model!AB249&lt;&gt;"",Model!AB249,"")</f>
        <v/>
      </c>
      <c r="AC42" s="364" t="str">
        <f>IF(Model!AC249&lt;&gt;"",Model!AC249,"")</f>
        <v/>
      </c>
      <c r="AD42" s="364" t="str">
        <f>IF(Model!AE249&lt;&gt;"",Model!AD249,"")</f>
        <v/>
      </c>
      <c r="AE42" s="364" t="str">
        <f>IF(Model!AE249&lt;&gt;"",Model!AE249,"")</f>
        <v/>
      </c>
      <c r="AF42" s="364" t="str">
        <f>IF(Model!AF249&lt;&gt;"",Model!AF249,"")</f>
        <v/>
      </c>
      <c r="AG42" s="364" t="str">
        <f>IF(Model!AH249&lt;&gt;"",Model!AG249,"")</f>
        <v/>
      </c>
      <c r="AH42" s="364" t="str">
        <f>IF(Model!AH249&lt;&gt;"",Model!AH249,"")</f>
        <v/>
      </c>
      <c r="AI42" s="364">
        <f>IF(Model!AI249&lt;&gt;"",Model!AI249,"")</f>
        <v>7.0410000000000004</v>
      </c>
      <c r="AJ42" s="364">
        <f>IF(Model!AK249&lt;&gt;"",Model!AJ249,"")</f>
        <v>6.3949999999999996</v>
      </c>
      <c r="AK42" s="364">
        <f>IF(Model!AK249&lt;&gt;"",Model!AK249,"")</f>
        <v>6.3949999999999996</v>
      </c>
      <c r="AL42" s="364">
        <f>IF(Model!AL249&lt;&gt;"",Model!AL249,"")</f>
        <v>6.12</v>
      </c>
      <c r="AM42" s="364">
        <f>IF(Model!AN249&lt;&gt;"",Model!AM249,"")</f>
        <v>6.2039999999999997</v>
      </c>
      <c r="AN42" s="364">
        <f>IF(Model!AN249&lt;&gt;"",Model!AN249,"")</f>
        <v>6.2039999999999997</v>
      </c>
      <c r="AO42" s="364">
        <f>IF(Model!AO249&lt;&gt;"",Model!AO249,"")</f>
        <v>6.3339999999999996</v>
      </c>
      <c r="AP42" s="364">
        <f>IF(Model!AQ249&lt;&gt;"",Model!AP249,"")</f>
        <v>6.2910000000000004</v>
      </c>
      <c r="AQ42" s="364">
        <f>IF(Model!AQ249&lt;&gt;"",Model!AQ249,"")</f>
        <v>6.2910000000000004</v>
      </c>
      <c r="AR42" s="364">
        <f>IF(Model!AR249&lt;&gt;"",Model!AR249,"")</f>
        <v>6.5220000000000002</v>
      </c>
      <c r="AS42" s="364">
        <f>IF(Model!AT249&lt;&gt;"",Model!AS249,"")</f>
        <v>6.7439999999999998</v>
      </c>
      <c r="AT42" s="364">
        <f>IF(Model!AT249&lt;&gt;"",Model!AT249,"")</f>
        <v>6.7439999999999998</v>
      </c>
      <c r="AU42" s="364">
        <f>IF(Model!AU249&lt;&gt;"",Model!AU249,"")</f>
        <v>6.4210000000000003</v>
      </c>
      <c r="AV42" s="364">
        <f>IF(Model!AW249&lt;&gt;"",Model!AV249,"")</f>
        <v>7.2220000000000004</v>
      </c>
      <c r="AW42" s="364">
        <f>IF(Model!AW249&lt;&gt;"",Model!AW249,"")</f>
        <v>7.2220000000000004</v>
      </c>
      <c r="AX42" s="364">
        <f>IF(Model!AX249&lt;&gt;"",Model!AX249,"")</f>
        <v>9.5969999999999995</v>
      </c>
      <c r="AY42" s="364">
        <f>IF(Model!AZ249&lt;&gt;"",Model!AY249,"")</f>
        <v>10.311</v>
      </c>
      <c r="AZ42" s="364">
        <f>IF(Model!AZ249&lt;&gt;"",Model!AZ249,"")</f>
        <v>10.311</v>
      </c>
      <c r="BA42" s="364">
        <f>IF(Model!BA249&lt;&gt;"",Model!BA249,"")</f>
        <v>12.006</v>
      </c>
      <c r="BB42" s="364">
        <f>IF(Model!BC249&lt;&gt;"",Model!BB249,"")</f>
        <v>12.541</v>
      </c>
      <c r="BC42" s="364">
        <f>IF(Model!BC249&lt;&gt;"",Model!BC249,"")</f>
        <v>12.541</v>
      </c>
      <c r="BD42" s="364">
        <f>IF(Model!BD249&lt;&gt;"",Model!BD249,"")</f>
        <v>16.093</v>
      </c>
      <c r="BE42" s="364">
        <f>IF(Model!BF249&lt;&gt;"",Model!BE249,"")</f>
        <v>24.925000000000001</v>
      </c>
      <c r="BF42" s="364">
        <f>IF(Model!BF249&lt;&gt;"",Model!BF249,"")</f>
        <v>24.925000000000001</v>
      </c>
      <c r="BG42" s="364">
        <f>IF(Model!BG249&lt;&gt;"",Model!BG249,"")</f>
        <v>28.425999999999998</v>
      </c>
      <c r="BH42" s="364">
        <f>IF(Model!BI249&lt;&gt;"",Model!BH249,"")</f>
        <v>27.335999999999999</v>
      </c>
      <c r="BI42" s="364">
        <f>IF(Model!BI249&lt;&gt;"",Model!BI249,"")</f>
        <v>27.335999999999999</v>
      </c>
      <c r="BJ42" s="364">
        <f>IF(Model!BJ249&lt;&gt;"",Model!BJ249,"")</f>
        <v>30.905000000000001</v>
      </c>
      <c r="BK42" s="364">
        <f>IF(Model!BL249&lt;&gt;"",Model!BK249,"")</f>
        <v>29.523</v>
      </c>
      <c r="BL42" s="364">
        <f>IF(Model!BL249&lt;&gt;"",Model!BL249,"")</f>
        <v>29.523</v>
      </c>
      <c r="BM42" s="364">
        <f>IF(Model!BM249&lt;&gt;"",Model!BM249,"")</f>
        <v>27.792999999999999</v>
      </c>
      <c r="BN42" s="364">
        <f>IF(Model!BO249&lt;&gt;"",Model!BN249,"")</f>
        <v>24.623999999999999</v>
      </c>
      <c r="BO42" s="364">
        <f>IF(Model!BO249&lt;&gt;"",Model!BO249,"")</f>
        <v>24.623999999999999</v>
      </c>
      <c r="BP42" s="364">
        <f>IF(Model!BP249&lt;&gt;"",Model!BP249,"")</f>
        <v>25.187999999999999</v>
      </c>
      <c r="BQ42" s="364">
        <f>IF(Model!BR249&lt;&gt;"",Model!BQ249,"")</f>
        <v>30.832999999999998</v>
      </c>
      <c r="BR42" s="364">
        <f>IF(Model!BR249&lt;&gt;"",Model!BR249,"")</f>
        <v>30.832999999999998</v>
      </c>
      <c r="BS42" s="364">
        <f>IF(Model!BS249&lt;&gt;"",Model!BS249,"")</f>
        <v>35.052</v>
      </c>
      <c r="BT42" s="364">
        <f>IF(Model!BU249&lt;&gt;"",Model!BT249,"")</f>
        <v>40.564999999999998</v>
      </c>
      <c r="BU42" s="364">
        <f>IF(Model!BU249&lt;&gt;"",Model!BU249,"")</f>
        <v>40.564999999999998</v>
      </c>
      <c r="BV42" s="364">
        <f>IF(Model!BV249&lt;&gt;"",Model!BV249,"")</f>
        <v>41.218000000000004</v>
      </c>
      <c r="BW42" s="364">
        <f>IF(Model!BX249&lt;&gt;"",Model!BW249,"")</f>
        <v>43.219000000000001</v>
      </c>
      <c r="BX42" s="364">
        <f>IF(Model!BX249&lt;&gt;"",Model!BX249,"")</f>
        <v>43.219000000000001</v>
      </c>
      <c r="BY42" s="364">
        <f>IF(Model!BY249&lt;&gt;"",Model!BY249,"")</f>
        <v>46.058999999999997</v>
      </c>
      <c r="BZ42" s="364">
        <f>IF(Model!CA249&lt;&gt;"",Model!BZ249,"")</f>
        <v>46.793999999999997</v>
      </c>
      <c r="CA42" s="364">
        <f>IF(Model!CA249&lt;&gt;"",Model!CA249,"")</f>
        <v>46.793999999999997</v>
      </c>
      <c r="CB42" s="364">
        <f>IF(Model!CB249&lt;&gt;"",Model!CB249,"")</f>
        <v>44.802999999999997</v>
      </c>
      <c r="CC42" s="364">
        <f>IF(Model!CD249&lt;&gt;"",Model!CC249,"")</f>
        <v>49.597000000000001</v>
      </c>
      <c r="CD42" s="364">
        <f>IF(Model!CD249&lt;&gt;"",Model!CD249,"")</f>
        <v>49.597000000000001</v>
      </c>
      <c r="CE42" s="364">
        <f>IF(Model!CE249&lt;&gt;"",Model!CE249,"")</f>
        <v>60.308</v>
      </c>
      <c r="CF42" s="364">
        <f>IF(Model!CG249&lt;&gt;"",Model!CF249,"")</f>
        <v>69.356999999999999</v>
      </c>
      <c r="CG42" s="364">
        <f>IF(Model!CG249&lt;&gt;"",Model!CG249,"")</f>
        <v>69.356999999999999</v>
      </c>
      <c r="CH42" s="364">
        <f>IF(Model!CH249&lt;&gt;"",Model!CH249,"")</f>
        <v>56.448</v>
      </c>
      <c r="CI42" s="364">
        <f>IF(Model!CJ249&lt;&gt;"",Model!CI249,"")</f>
        <v>59.610999999999997</v>
      </c>
      <c r="CJ42" s="364">
        <f>IF(Model!CJ249&lt;&gt;"",Model!CJ249,"")</f>
        <v>59.610999999999997</v>
      </c>
      <c r="CK42" s="364">
        <f>IF(Model!CK249&lt;&gt;"",Model!CK249,"")</f>
        <v>62.262</v>
      </c>
      <c r="CL42" s="364">
        <f>IF(Model!CM249&lt;&gt;"",Model!CL249,"")</f>
        <v>65.897999999999996</v>
      </c>
      <c r="CM42" s="364">
        <f>IF(Model!CM249&lt;&gt;"",Model!CM249,"")</f>
        <v>65.897999999999996</v>
      </c>
      <c r="CN42" s="364">
        <f>IF(Model!CN249&lt;&gt;"",Model!CN249,"")</f>
        <v>67.864000000000004</v>
      </c>
      <c r="CO42" s="364">
        <f>IF(Model!CP249&lt;&gt;"",Model!CO249,"")</f>
        <v>75.775999999999996</v>
      </c>
      <c r="CP42" s="364">
        <f>IF(Model!CP249&lt;&gt;"",Model!CP249,"")</f>
        <v>75.775999999999996</v>
      </c>
      <c r="CQ42" s="364">
        <f>IF(Model!CQ249&lt;&gt;"",Model!CQ249,"")</f>
        <v>75.122</v>
      </c>
      <c r="CR42" s="364">
        <f>IF(Model!CS249&lt;&gt;"",Model!CR249,"")</f>
        <v>80.808999999999997</v>
      </c>
      <c r="CS42" s="364">
        <f>IF(Model!CS249&lt;&gt;"",Model!CS249,"")</f>
        <v>80.808999999999997</v>
      </c>
      <c r="CT42" s="364">
        <f>IF(Model!CT249&lt;&gt;"",Model!CT249,"")</f>
        <v>80.533000000000001</v>
      </c>
      <c r="CU42" s="364">
        <f>IF(Model!CV249&lt;&gt;"",Model!CU249,"")</f>
        <v>86.878</v>
      </c>
      <c r="CV42" s="364">
        <f>IF(Model!CV249&lt;&gt;"",Model!CV249,"")</f>
        <v>86.878</v>
      </c>
      <c r="CW42" s="364">
        <f>IF(Model!CW249&lt;&gt;"",Model!CW249,"")</f>
        <v>91.82</v>
      </c>
      <c r="CX42" s="364">
        <f>IF(Model!CY249&lt;&gt;"",Model!CX249,"")</f>
        <v>120.107</v>
      </c>
      <c r="CY42" s="364">
        <f>IF(Model!CY249&lt;&gt;"",Model!CY249,"")</f>
        <v>120.107</v>
      </c>
      <c r="CZ42" s="364">
        <f>IF(Model!CZ249&lt;&gt;"",Model!CZ249,"")</f>
        <v>121</v>
      </c>
      <c r="DA42" s="364">
        <f>IF(Model!DB249&lt;&gt;"",Model!DA249,"")</f>
        <v>128.4</v>
      </c>
      <c r="DB42" s="364">
        <f>IF(Model!DB249&lt;&gt;"",Model!DB249,"")</f>
        <v>128.4</v>
      </c>
      <c r="DC42" s="364">
        <f>IF(Model!DC249&lt;&gt;"",Model!DC249,"")</f>
        <v>140.9</v>
      </c>
      <c r="DD42" s="364">
        <f>IF(Model!DE249&lt;&gt;"",Model!DD249,"")</f>
        <v>166.5</v>
      </c>
      <c r="DE42" s="364">
        <f>IF(Model!DE249&lt;&gt;"",Model!DE249,"")</f>
        <v>166.5</v>
      </c>
      <c r="DF42" s="364">
        <f>IF(Model!DF249&lt;&gt;"",Model!DF249,"")</f>
        <v>190.9</v>
      </c>
      <c r="DG42" s="364">
        <f>IF(Model!DH249&lt;&gt;"",Model!DG249,"")</f>
        <v>230.5</v>
      </c>
      <c r="DH42" s="364">
        <f>IF(Model!DH249&lt;&gt;"",Model!DH249,"")</f>
        <v>230.5</v>
      </c>
      <c r="DI42" s="364">
        <f>IF(Model!DI249&lt;&gt;"",Model!DI249,"")</f>
        <v>228.6</v>
      </c>
      <c r="DJ42" s="364">
        <f>IF(Model!DK249&lt;&gt;"",Model!DJ249,"")</f>
        <v>239.5</v>
      </c>
      <c r="DK42" s="1211">
        <f>IF(Model!DK249&lt;&gt;"",Model!DK249,"")</f>
        <v>239.5</v>
      </c>
      <c r="DL42" s="364">
        <f>IF(Model!DL249&lt;&gt;"",Model!DL249,"")</f>
        <v>248</v>
      </c>
      <c r="DM42" s="364">
        <f>IF(Model!DN249&lt;&gt;"",Model!DM249,"")</f>
        <v>260.2</v>
      </c>
      <c r="DN42" s="1211">
        <f>IF(Model!DN249&lt;&gt;"",Model!DN249,"")</f>
        <v>260.2</v>
      </c>
      <c r="DO42" s="364">
        <f>IF(Model!DO249&lt;&gt;"",Model!DO249,"")</f>
        <v>263</v>
      </c>
      <c r="DP42" s="364">
        <f>IF(Model!DQ249&lt;&gt;"",Model!DP249,"")</f>
        <v>276.7</v>
      </c>
      <c r="DQ42" s="1211">
        <f>IF(Model!DQ249&lt;&gt;"",Model!DQ249,"")</f>
        <v>276.7</v>
      </c>
      <c r="DR42" s="364">
        <f>IF(Model!DR249&lt;&gt;"",Model!DR249,"")</f>
        <v>279.7</v>
      </c>
      <c r="DS42" s="364">
        <f>IF(Model!DT249&lt;&gt;"",Model!DS249,"")</f>
        <v>304.8</v>
      </c>
      <c r="DT42" s="1211">
        <f>IF(Model!DT249&lt;&gt;"",Model!DT249,"")</f>
        <v>304.8</v>
      </c>
      <c r="DU42" s="364">
        <f>IF(Model!DU249&lt;&gt;"",Model!DU249,"")</f>
        <v>323.39999999999998</v>
      </c>
      <c r="DV42" s="364">
        <f>IF(Model!DW249&lt;&gt;"",Model!DV249,"")</f>
        <v>332.7</v>
      </c>
      <c r="DW42" s="1211">
        <f>IF(Model!DW249&lt;&gt;"",Model!DW249,"")</f>
        <v>332.7</v>
      </c>
      <c r="DX42" s="364">
        <f>IF(Model!DX249&lt;&gt;"",Model!DX249,"")</f>
        <v>337.3</v>
      </c>
      <c r="DY42" s="364">
        <f>IF(Model!DZ249&lt;&gt;"",Model!DY249,"")</f>
        <v>364.43169725880045</v>
      </c>
      <c r="DZ42" s="1211">
        <f>IF(Model!DZ249&lt;&gt;"",Model!DZ249,"")</f>
        <v>364.43169725880045</v>
      </c>
      <c r="EA42" s="364">
        <f>IF(Model!EA249&lt;&gt;"",Model!EA249,"")</f>
        <v>382.82330551901498</v>
      </c>
      <c r="EB42" s="364">
        <f>IF(Model!EC249&lt;&gt;"",Model!EB249,"")</f>
        <v>401.78154835396828</v>
      </c>
      <c r="EC42" s="1211">
        <f>IF(Model!EC249&lt;&gt;"",Model!EC249,"")</f>
        <v>401.78154835396828</v>
      </c>
      <c r="ED42" s="364">
        <f>IF(Model!ED249&lt;&gt;"",Model!ED249,"")</f>
        <v>428.185324943772</v>
      </c>
      <c r="EE42" s="364">
        <f>IF(Model!EF249&lt;&gt;"",Model!EE249,"")</f>
        <v>455.40584487792381</v>
      </c>
      <c r="EF42" s="1211">
        <f>IF(Model!EF249&lt;&gt;"",Model!EF249,"")</f>
        <v>455.40584487792381</v>
      </c>
      <c r="EG42" s="364">
        <f>IF(Model!EG249&lt;&gt;"",Model!EG249,"")</f>
        <v>484.18596136080981</v>
      </c>
      <c r="EH42" s="364">
        <f>IF(Model!EI249&lt;&gt;"",Model!EH249,"")</f>
        <v>513.85632808903529</v>
      </c>
      <c r="EI42" s="1211">
        <f>IF(Model!EI249&lt;&gt;"",Model!EI249,"")</f>
        <v>513.85632808903529</v>
      </c>
      <c r="EJ42" s="364">
        <f>IF(Model!EJ249&lt;&gt;"",Model!EJ249,"")</f>
        <v>545.226655055381</v>
      </c>
      <c r="EK42" s="364">
        <f>IF(Model!EL249&lt;&gt;"",Model!EK249,"")</f>
        <v>577.56735478914675</v>
      </c>
      <c r="EL42" s="1211">
        <f>IF(Model!EL249&lt;&gt;"",Model!EL249,"")</f>
        <v>577.56735478914675</v>
      </c>
      <c r="EM42" s="364">
        <f>IF(Model!EM249&lt;&gt;"",Model!EM249,"")</f>
        <v>611.76101118246368</v>
      </c>
      <c r="EN42" s="364">
        <f>IF(Model!EO249&lt;&gt;"",Model!EN249,"")</f>
        <v>647.01237389226833</v>
      </c>
      <c r="EO42" s="1211">
        <f>IF(Model!EO249&lt;&gt;"",Model!EO249,"")</f>
        <v>647.01237389226833</v>
      </c>
      <c r="EP42" s="364">
        <f>IF(Model!EP249&lt;&gt;"",Model!EP249,"")</f>
        <v>684.28345936098367</v>
      </c>
      <c r="EQ42" s="364">
        <f>IF(Model!ER249&lt;&gt;"",Model!EQ249,"")</f>
        <v>722.70744471467083</v>
      </c>
      <c r="ER42" s="1211">
        <f>IF(Model!ER249&lt;&gt;"",Model!ER249,"")</f>
        <v>722.70744471467083</v>
      </c>
      <c r="ES42" s="364">
        <f>IF(Model!ES249&lt;&gt;"",Model!ES249,"")</f>
        <v>763.33292787557059</v>
      </c>
      <c r="ET42" s="364">
        <f>IF(Model!EU249&lt;&gt;"",Model!ET249,"")</f>
        <v>805.21507191108958</v>
      </c>
      <c r="EU42" s="1211">
        <f>IF(Model!EU249&lt;&gt;"",Model!EU249,"")</f>
        <v>805.21507191108958</v>
      </c>
      <c r="EV42" s="364">
        <f>IF(Model!EV249&lt;&gt;"",Model!EV249,"")</f>
        <v>849.49684855647024</v>
      </c>
      <c r="EW42" s="364">
        <f>IF(Model!EX249&lt;&gt;"",Model!EW249,"")</f>
        <v>895.148385555186</v>
      </c>
      <c r="EX42" s="1211">
        <f>IF(Model!EX249&lt;&gt;"",Model!EX249,"")</f>
        <v>895.148385555186</v>
      </c>
      <c r="EY42" s="364">
        <f>IF(Model!EY249&lt;&gt;"",Model!EY249,"")</f>
        <v>943.41552209865108</v>
      </c>
      <c r="EZ42" s="364">
        <f>IF(Model!FA249&lt;&gt;"",Model!EZ249,"")</f>
        <v>993.17569742725118</v>
      </c>
      <c r="FA42" s="364">
        <f>IF(Model!FA249&lt;&gt;"",Model!FA249,"")</f>
        <v>993.17569742725118</v>
      </c>
    </row>
    <row r="43" spans="1:157" ht="13.35" customHeight="1" outlineLevel="1">
      <c r="A43" s="5"/>
      <c r="B43" s="5" t="s">
        <v>139</v>
      </c>
      <c r="C43" s="5"/>
      <c r="D43" s="362"/>
      <c r="E43" s="363"/>
      <c r="F43" s="363"/>
      <c r="G43" s="363"/>
      <c r="H43" s="363" t="str">
        <f>IF(AND(G40&lt;&gt;"",H40&lt;&gt;""),(G40+H40)/2,"")</f>
        <v/>
      </c>
      <c r="I43" s="363" t="str">
        <f>IF(AND(H40&lt;&gt;"",I40&lt;&gt;""),(H40+I40)/2,"")</f>
        <v/>
      </c>
      <c r="J43" s="363" t="str">
        <f>IF(AND(G40&lt;&gt;"",J40&lt;&gt;""),(G40+J40)/2,"")</f>
        <v/>
      </c>
      <c r="K43" s="363" t="str">
        <f>IF(AND(J40&lt;&gt;"",K40&lt;&gt;""),(J40+K40)/2,"")</f>
        <v/>
      </c>
      <c r="L43" s="363" t="str">
        <f>IF(AND(K40&lt;&gt;"",L40&lt;&gt;""),(K40+L40)/2,"")</f>
        <v/>
      </c>
      <c r="M43" s="363" t="str">
        <f>IF(AND(J40&lt;&gt;"",M40&lt;&gt;""),(J40+M40)/2,"")</f>
        <v/>
      </c>
      <c r="N43" s="363" t="str">
        <f>IF(AND(M40&lt;&gt;"",N40&lt;&gt;""),(M40+N40)/2,"")</f>
        <v/>
      </c>
      <c r="O43" s="363" t="str">
        <f>IF(AND(N40&lt;&gt;"",O40&lt;&gt;""),(N40+O40)/2,"")</f>
        <v/>
      </c>
      <c r="P43" s="363" t="str">
        <f>IF(AND(M40&lt;&gt;"",P40&lt;&gt;""),(M40+P40)/2,"")</f>
        <v/>
      </c>
      <c r="Q43" s="363" t="str">
        <f>IF(AND(P40&lt;&gt;"",Q40&lt;&gt;""),(P40+Q40)/2,"")</f>
        <v/>
      </c>
      <c r="R43" s="363" t="str">
        <f>IF(AND(Q40&lt;&gt;"",R40&lt;&gt;""),(Q40+R40)/2,"")</f>
        <v/>
      </c>
      <c r="S43" s="363" t="str">
        <f>IF(AND(P40&lt;&gt;"",S40&lt;&gt;""),(P40+S40)/2,"")</f>
        <v/>
      </c>
      <c r="T43" s="363" t="str">
        <f>IF(AND(S40&lt;&gt;"",T40&lt;&gt;""),(S40+T40)/2,"")</f>
        <v/>
      </c>
      <c r="U43" s="363" t="str">
        <f>IF(AND(T40&lt;&gt;"",U40&lt;&gt;""),(T40+U40)/2,"")</f>
        <v/>
      </c>
      <c r="V43" s="363" t="str">
        <f>IF(AND(S40&lt;&gt;"",V40&lt;&gt;""),(S40+V40)/2,"")</f>
        <v/>
      </c>
      <c r="W43" s="363" t="str">
        <f>IF(AND(V40&lt;&gt;"",W40&lt;&gt;""),(V40+W40)/2,"")</f>
        <v/>
      </c>
      <c r="X43" s="363" t="str">
        <f>IF(AND(W40&lt;&gt;"",X40&lt;&gt;""),(W40+X40)/2,"")</f>
        <v/>
      </c>
      <c r="Y43" s="363" t="str">
        <f>IF(AND(V40&lt;&gt;"",Y40&lt;&gt;""),(V40+Y40)/2,"")</f>
        <v/>
      </c>
      <c r="Z43" s="363" t="str">
        <f>IF(AND(Y40&lt;&gt;"",Z40&lt;&gt;""),(Y40+Z40)/2,"")</f>
        <v/>
      </c>
      <c r="AA43" s="363" t="str">
        <f>IF(AND(Z40&lt;&gt;"",AA40&lt;&gt;""),(Z40+AA40)/2,"")</f>
        <v/>
      </c>
      <c r="AB43" s="363" t="str">
        <f>IF(AND(Y40&lt;&gt;"",AB40&lt;&gt;""),(Y40+AB40)/2,"")</f>
        <v/>
      </c>
      <c r="AC43" s="363" t="str">
        <f>IF(AND(AB40&lt;&gt;"",AC40&lt;&gt;""),(AB40+AC40)/2,"")</f>
        <v/>
      </c>
      <c r="AD43" s="363" t="str">
        <f>IF(AND(AC40&lt;&gt;"",AD40&lt;&gt;""),(AC40+AD40)/2,"")</f>
        <v/>
      </c>
      <c r="AE43" s="363" t="str">
        <f>IF(AND(AB40&lt;&gt;"",AE40&lt;&gt;""),(AB40+AE40)/2,"")</f>
        <v/>
      </c>
      <c r="AF43" s="363" t="str">
        <f>IF(AND(AE40&lt;&gt;"",AF40&lt;&gt;""),(AE40+AF40)/2,"")</f>
        <v/>
      </c>
      <c r="AG43" s="363" t="str">
        <f>IF(AND(AF40&lt;&gt;"",AG40&lt;&gt;""),(AF40+AG40)/2,"")</f>
        <v/>
      </c>
      <c r="AH43" s="363" t="str">
        <f>IF(AND(AE40&lt;&gt;"",AH40&lt;&gt;""),(AE40+AH40)/2,"")</f>
        <v/>
      </c>
      <c r="AI43" s="363" t="str">
        <f>IF(AND(AH40&lt;&gt;"",AI40&lt;&gt;""),(AH40+AI40)/2,"")</f>
        <v/>
      </c>
      <c r="AJ43" s="363" t="str">
        <f>IF(AND(AI40&lt;&gt;"",AJ40&lt;&gt;""),(AI40+AJ40)/2,"")</f>
        <v/>
      </c>
      <c r="AK43" s="363" t="str">
        <f>IF(AND(AH40&lt;&gt;"",AK40&lt;&gt;""),(AH40+AK40)/2,"")</f>
        <v/>
      </c>
      <c r="AL43" s="363" t="str">
        <f>IF(AND(AK40&lt;&gt;"",AL40&lt;&gt;""),(AK40+AL40)/2,"")</f>
        <v/>
      </c>
      <c r="AM43" s="363" t="str">
        <f>IF(AND(AL40&lt;&gt;"",AM40&lt;&gt;""),(AL40+AM40)/2,"")</f>
        <v/>
      </c>
      <c r="AN43" s="363" t="str">
        <f>IF(AND(AK40&lt;&gt;"",AN40&lt;&gt;""),(AK40+AN40)/2,"")</f>
        <v/>
      </c>
      <c r="AO43" s="363" t="str">
        <f>IF(AND(AN40&lt;&gt;"",AO40&lt;&gt;""),(AN40+AO40)/2,"")</f>
        <v/>
      </c>
      <c r="AP43" s="363" t="str">
        <f>IF(AND(AO40&lt;&gt;"",AP40&lt;&gt;""),(AO40+AP40)/2,"")</f>
        <v/>
      </c>
      <c r="AQ43" s="363" t="str">
        <f>IF(AND(AN40&lt;&gt;"",AQ40&lt;&gt;""),(AN40+AQ40)/2,"")</f>
        <v/>
      </c>
      <c r="AR43" s="363" t="str">
        <f>IF(AND(AQ40&lt;&gt;"",AR40&lt;&gt;""),(AQ40+AR40)/2,"")</f>
        <v/>
      </c>
      <c r="AS43" s="363" t="str">
        <f>IF(AND(AR40&lt;&gt;"",AS40&lt;&gt;""),(AR40+AS40)/2,"")</f>
        <v/>
      </c>
      <c r="AT43" s="363" t="str">
        <f>IF(AND(AQ40&lt;&gt;"",AT40&lt;&gt;""),(AQ40+AT40)/2,"")</f>
        <v/>
      </c>
      <c r="AU43" s="363" t="str">
        <f>IF(AND(AT40&lt;&gt;"",AU40&lt;&gt;""),(AT40+AU40)/2,"")</f>
        <v/>
      </c>
      <c r="AV43" s="363" t="str">
        <f>IF(AND(AU40&lt;&gt;"",AV40&lt;&gt;""),(AU40+AV40)/2,"")</f>
        <v/>
      </c>
      <c r="AW43" s="363" t="str">
        <f>IF(AND(AT40&lt;&gt;"",AW40&lt;&gt;""),(AT40+AW40)/2,"")</f>
        <v/>
      </c>
      <c r="AX43" s="363" t="str">
        <f>IF(AND(AW40&lt;&gt;"",AX40&lt;&gt;""),(AW40+AX40)/2,"")</f>
        <v/>
      </c>
      <c r="AY43" s="363" t="str">
        <f>IF(AND(AX40&lt;&gt;"",AY40&lt;&gt;""),(AX40+AY40)/2,"")</f>
        <v/>
      </c>
      <c r="AZ43" s="363" t="str">
        <f>IF(AND(AW40&lt;&gt;"",AZ40&lt;&gt;""),(AW40+AZ40)/2,"")</f>
        <v/>
      </c>
      <c r="BA43" s="363" t="str">
        <f>IF(AND(AZ40&lt;&gt;"",BA40&lt;&gt;""),(AZ40+BA40)/2,"")</f>
        <v/>
      </c>
      <c r="BB43" s="363" t="str">
        <f>IF(AND(BA40&lt;&gt;"",BB40&lt;&gt;""),(BA40+BB40)/2,"")</f>
        <v/>
      </c>
      <c r="BC43" s="363" t="str">
        <f>IF(AND(AZ40&lt;&gt;"",BC40&lt;&gt;""),(AZ40+BC40)/2,"")</f>
        <v/>
      </c>
      <c r="BD43" s="363" t="str">
        <f>IF(AND(BC40&lt;&gt;"",BD40&lt;&gt;""),(BC40+BD40)/2,"")</f>
        <v/>
      </c>
      <c r="BE43" s="363" t="str">
        <f>IF(AND(BD40&lt;&gt;"",BE40&lt;&gt;""),(BD40+BE40)/2,"")</f>
        <v/>
      </c>
      <c r="BF43" s="363" t="str">
        <f>IF(AND(BC40&lt;&gt;"",BF40&lt;&gt;""),(BC40+BF40)/2,"")</f>
        <v/>
      </c>
      <c r="BG43" s="363" t="str">
        <f>IF(AND(BF40&lt;&gt;"",BG40&lt;&gt;""),(BF40+BG40)/2,"")</f>
        <v/>
      </c>
      <c r="BH43" s="363" t="str">
        <f>IF(AND(BG40&lt;&gt;"",BH40&lt;&gt;""),(BG40+BH40)/2,"")</f>
        <v/>
      </c>
      <c r="BI43" s="363" t="str">
        <f>IF(AND(BF40&lt;&gt;"",BI40&lt;&gt;""),(BF40+BI40)/2,"")</f>
        <v/>
      </c>
      <c r="BJ43" s="363" t="str">
        <f>IF(AND(BI40&lt;&gt;"",BJ40&lt;&gt;""),(BI40+BJ40)/2,"")</f>
        <v/>
      </c>
      <c r="BK43" s="363" t="str">
        <f>IF(AND(BJ40&lt;&gt;"",BK40&lt;&gt;""),(BJ40+BK40)/2,"")</f>
        <v/>
      </c>
      <c r="BL43" s="363" t="str">
        <f>IF(AND(BI40&lt;&gt;"",BL40&lt;&gt;""),(BI40+BL40)/2,"")</f>
        <v/>
      </c>
      <c r="BM43" s="363" t="str">
        <f>IF(AND(BL40&lt;&gt;"",BM40&lt;&gt;""),(BL40+BM40)/2,"")</f>
        <v/>
      </c>
      <c r="BN43" s="363" t="str">
        <f>IF(AND(BM40&lt;&gt;"",BN40&lt;&gt;""),(BM40+BN40)/2,"")</f>
        <v/>
      </c>
      <c r="BO43" s="363" t="str">
        <f>IF(AND(BL40&lt;&gt;"",BO40&lt;&gt;""),(BL40+BO40)/2,"")</f>
        <v/>
      </c>
      <c r="BP43" s="363" t="str">
        <f>IF(AND(BO40&lt;&gt;"",BP40&lt;&gt;""),(BO40+BP40)/2,"")</f>
        <v/>
      </c>
      <c r="BQ43" s="363" t="str">
        <f>IF(AND(BP40&lt;&gt;"",BQ40&lt;&gt;""),(BP40+BQ40)/2,"")</f>
        <v/>
      </c>
      <c r="BR43" s="363" t="str">
        <f>IF(AND(BO40&lt;&gt;"",BR40&lt;&gt;""),(BO40+BR40)/2,"")</f>
        <v/>
      </c>
      <c r="BS43" s="363" t="str">
        <f>IF(AND(BR40&lt;&gt;"",BS40&lt;&gt;""),(BR40+BS40)/2,"")</f>
        <v/>
      </c>
      <c r="BT43" s="363" t="str">
        <f>IF(AND(BS40&lt;&gt;"",BT40&lt;&gt;""),(BS40+BT40)/2,"")</f>
        <v/>
      </c>
      <c r="BU43" s="363" t="str">
        <f>IF(AND(BR40&lt;&gt;"",BU40&lt;&gt;""),(BR40+BU40)/2,"")</f>
        <v/>
      </c>
      <c r="BV43" s="363" t="str">
        <f>IF(AND(BU40&lt;&gt;"",BV40&lt;&gt;""),(BU40+BV40)/2,"")</f>
        <v/>
      </c>
      <c r="BW43" s="363" t="str">
        <f>IF(AND(BV40&lt;&gt;"",BW40&lt;&gt;""),(BV40+BW40)/2,"")</f>
        <v/>
      </c>
      <c r="BX43" s="363" t="str">
        <f>IF(AND(BU40&lt;&gt;"",BX40&lt;&gt;""),(BU40+BX40)/2,"")</f>
        <v/>
      </c>
      <c r="BY43" s="363" t="str">
        <f>IF(AND(BX40&lt;&gt;"",BY40&lt;&gt;""),(BX40+BY40)/2,"")</f>
        <v/>
      </c>
      <c r="BZ43" s="363" t="str">
        <f>IF(AND(BY40&lt;&gt;"",BZ40&lt;&gt;""),(BY40+BZ40)/2,"")</f>
        <v/>
      </c>
      <c r="CA43" s="363" t="str">
        <f>IF(AND(BX40&lt;&gt;"",CA40&lt;&gt;""),(BX40+CA40)/2,"")</f>
        <v/>
      </c>
      <c r="CB43" s="363" t="str">
        <f>IF(AND(CA40&lt;&gt;"",CB40&lt;&gt;""),(CA40+CB40)/2,"")</f>
        <v/>
      </c>
      <c r="CC43" s="363" t="str">
        <f>IF(AND(CB40&lt;&gt;"",CC40&lt;&gt;""),(CB40+CC40)/2,"")</f>
        <v/>
      </c>
      <c r="CD43" s="363" t="str">
        <f>IF(AND(CA40&lt;&gt;"",CD40&lt;&gt;""),(CA40+CD40)/2,"")</f>
        <v/>
      </c>
      <c r="CE43" s="363" t="str">
        <f>IF(AND(CD40&lt;&gt;"",CE40&lt;&gt;""),(CD40+CE40)/2,"")</f>
        <v/>
      </c>
      <c r="CF43" s="363" t="str">
        <f>IF(AND(CE40&lt;&gt;"",CF40&lt;&gt;""),(CE40+CF40)/2,"")</f>
        <v/>
      </c>
      <c r="CG43" s="363" t="str">
        <f>IF(AND(CD40&lt;&gt;"",CG40&lt;&gt;""),(CD40+CG40)/2,"")</f>
        <v/>
      </c>
      <c r="CH43" s="363" t="str">
        <f>IF(AND(CG40&lt;&gt;"",CH40&lt;&gt;""),(CG40+CH40)/2,"")</f>
        <v/>
      </c>
      <c r="CI43" s="363" t="str">
        <f>IF(AND(CH40&lt;&gt;"",CI40&lt;&gt;""),(CH40+CI40)/2,"")</f>
        <v/>
      </c>
      <c r="CJ43" s="363" t="str">
        <f>IF(AND(CG40&lt;&gt;"",CJ40&lt;&gt;""),(CG40+CJ40)/2,"")</f>
        <v/>
      </c>
      <c r="CK43" s="363" t="str">
        <f>IF(AND(CJ40&lt;&gt;"",CK40&lt;&gt;""),(CJ40+CK40)/2,"")</f>
        <v/>
      </c>
      <c r="CL43" s="363" t="str">
        <f>IF(AND(CK40&lt;&gt;"",CL40&lt;&gt;""),(CK40+CL40)/2,"")</f>
        <v/>
      </c>
      <c r="CM43" s="363" t="str">
        <f>IF(AND(CJ40&lt;&gt;"",CM40&lt;&gt;""),(CJ40+CM40)/2,"")</f>
        <v/>
      </c>
      <c r="CN43" s="363" t="str">
        <f>IF(AND(CM40&lt;&gt;"",CN40&lt;&gt;""),(CM40+CN40)/2,"")</f>
        <v/>
      </c>
      <c r="CO43" s="363" t="str">
        <f>IF(AND(CN40&lt;&gt;"",CO40&lt;&gt;""),(CN40+CO40)/2,"")</f>
        <v/>
      </c>
      <c r="CP43" s="363" t="str">
        <f>IF(AND(CM40&lt;&gt;"",CP40&lt;&gt;""),(CM40+CP40)/2,"")</f>
        <v/>
      </c>
      <c r="CQ43" s="363" t="str">
        <f>IF(AND(CP40&lt;&gt;"",CQ40&lt;&gt;""),(CP40+CQ40)/2,"")</f>
        <v/>
      </c>
      <c r="CR43" s="363" t="str">
        <f>IF(AND(CQ40&lt;&gt;"",CR40&lt;&gt;""),(CQ40+CR40)/2,"")</f>
        <v/>
      </c>
      <c r="CS43" s="363" t="str">
        <f>IF(AND(CP40&lt;&gt;"",CS40&lt;&gt;""),(CP40+CS40)/2,"")</f>
        <v/>
      </c>
      <c r="CT43" s="363" t="str">
        <f>IF(AND(CS40&lt;&gt;"",CT40&lt;&gt;""),(CS40+CT40)/2,"")</f>
        <v/>
      </c>
      <c r="CU43" s="363" t="str">
        <f>IF(AND(CT40&lt;&gt;"",CU40&lt;&gt;""),(CT40+CU40)/2,"")</f>
        <v/>
      </c>
      <c r="CV43" s="363" t="str">
        <f>IF(AND(CS40&lt;&gt;"",CV40&lt;&gt;""),(CS40+CV40)/2,"")</f>
        <v/>
      </c>
      <c r="CW43" s="363" t="str">
        <f>IF(AND(CV40&lt;&gt;"",CW40&lt;&gt;""),(CV40+CW40)/2,"")</f>
        <v/>
      </c>
      <c r="CX43" s="363" t="str">
        <f>IF(AND(CW40&lt;&gt;"",CX40&lt;&gt;""),(CW40+CX40)/2,"")</f>
        <v/>
      </c>
      <c r="CY43" s="363" t="str">
        <f>IF(AND(CV40&lt;&gt;"",CY40&lt;&gt;""),(CV40+CY40)/2,"")</f>
        <v/>
      </c>
      <c r="CZ43" s="363" t="str">
        <f>IF(AND(CY40&lt;&gt;"",CZ40&lt;&gt;""),(CY40+CZ40)/2,"")</f>
        <v/>
      </c>
      <c r="DA43" s="363" t="str">
        <f>IF(AND(CZ40&lt;&gt;"",DA40&lt;&gt;""),(CZ40+DA40)/2,"")</f>
        <v/>
      </c>
      <c r="DB43" s="363" t="str">
        <f>IF(AND(CY40&lt;&gt;"",DB40&lt;&gt;""),(CY40+DB40)/2,"")</f>
        <v/>
      </c>
      <c r="DC43" s="363" t="str">
        <f>IF(AND(DB40&lt;&gt;"",DC40&lt;&gt;""),(DB40+DC40)/2,"")</f>
        <v/>
      </c>
      <c r="DD43" s="363" t="str">
        <f>IF(AND(DC40&lt;&gt;"",DD40&lt;&gt;""),(DC40+DD40)/2,"")</f>
        <v/>
      </c>
      <c r="DE43" s="363" t="str">
        <f>IF(AND(DB40&lt;&gt;"",DE40&lt;&gt;""),(DB40+DE40)/2,"")</f>
        <v/>
      </c>
      <c r="DF43" s="363" t="str">
        <f>IF(AND(DE40&lt;&gt;"",DF40&lt;&gt;""),(DE40+DF40)/2,"")</f>
        <v/>
      </c>
      <c r="DG43" s="363" t="str">
        <f>IF(AND(DF40&lt;&gt;"",DG40&lt;&gt;""),(DF40+DG40)/2,"")</f>
        <v/>
      </c>
      <c r="DH43" s="363" t="str">
        <f>IF(AND(DE40&lt;&gt;"",DH40&lt;&gt;""),(DE40+DH40)/2,"")</f>
        <v/>
      </c>
      <c r="DI43" s="363" t="str">
        <f>IF(AND(DH40&lt;&gt;"",DI40&lt;&gt;""),(DH40+DI40)/2,"")</f>
        <v/>
      </c>
      <c r="DJ43" s="363" t="str">
        <f>IF(AND(DI40&lt;&gt;"",DJ40&lt;&gt;""),(DI40+DJ40)/2,"")</f>
        <v/>
      </c>
      <c r="DK43" s="1210" t="str">
        <f>IF(AND(DH40&lt;&gt;"",DK40&lt;&gt;""),(DH40+DK40)/2,"")</f>
        <v/>
      </c>
      <c r="DL43" s="363" t="str">
        <f>IF(AND(DK40&lt;&gt;"",DL40&lt;&gt;""),(DK40+DL40)/2,"")</f>
        <v/>
      </c>
      <c r="DM43" s="363" t="str">
        <f>IF(AND(DL40&lt;&gt;"",DM40&lt;&gt;""),(DL40+DM40)/2,"")</f>
        <v/>
      </c>
      <c r="DN43" s="1210" t="str">
        <f>IF(AND(DK40&lt;&gt;"",DN40&lt;&gt;""),(DK40+DN40)/2,"")</f>
        <v/>
      </c>
      <c r="DO43" s="363" t="str">
        <f>IF(AND(DN40&lt;&gt;"",DO40&lt;&gt;""),(DN40+DO40)/2,"")</f>
        <v/>
      </c>
      <c r="DP43" s="363" t="str">
        <f>IF(AND(DO40&lt;&gt;"",DP40&lt;&gt;""),(DO40+DP40)/2,"")</f>
        <v/>
      </c>
      <c r="DQ43" s="1210" t="str">
        <f>IF(AND(DN40&lt;&gt;"",DQ40&lt;&gt;""),(DN40+DQ40)/2,"")</f>
        <v/>
      </c>
      <c r="DR43" s="363" t="str">
        <f>IF(AND(DQ40&lt;&gt;"",DR40&lt;&gt;""),(DQ40+DR40)/2,"")</f>
        <v/>
      </c>
      <c r="DS43" s="363" t="str">
        <f>IF(AND(DR40&lt;&gt;"",DS40&lt;&gt;""),(DR40+DS40)/2,"")</f>
        <v/>
      </c>
      <c r="DT43" s="1210" t="str">
        <f>IF(AND(DQ40&lt;&gt;"",DT40&lt;&gt;""),(DQ40+DT40)/2,"")</f>
        <v/>
      </c>
      <c r="DU43" s="363" t="str">
        <f>IF(AND(DT40&lt;&gt;"",DU40&lt;&gt;""),(DT40+DU40)/2,"")</f>
        <v/>
      </c>
      <c r="DV43" s="363" t="str">
        <f>IF(AND(DU40&lt;&gt;"",DV40&lt;&gt;""),(DU40+DV40)/2,"")</f>
        <v/>
      </c>
      <c r="DW43" s="1210" t="str">
        <f>IF(AND(DT40&lt;&gt;"",DW40&lt;&gt;""),(DT40+DW40)/2,"")</f>
        <v/>
      </c>
      <c r="DX43" s="363" t="str">
        <f>IF(AND(DW40&lt;&gt;"",DX40&lt;&gt;""),(DW40+DX40)/2,"")</f>
        <v/>
      </c>
      <c r="DY43" s="363" t="str">
        <f>IF(AND(DX40&lt;&gt;"",DY40&lt;&gt;""),(DX40+DY40)/2,"")</f>
        <v/>
      </c>
      <c r="DZ43" s="1210" t="str">
        <f>IF(AND(DW40&lt;&gt;"",DZ40&lt;&gt;""),(DW40+DZ40)/2,"")</f>
        <v/>
      </c>
      <c r="EA43" s="363" t="str">
        <f>IF(AND(DZ40&lt;&gt;"",EA40&lt;&gt;""),(DZ40+EA40)/2,"")</f>
        <v/>
      </c>
      <c r="EB43" s="363" t="str">
        <f>IF(AND(EA40&lt;&gt;"",EB40&lt;&gt;""),(EA40+EB40)/2,"")</f>
        <v/>
      </c>
      <c r="EC43" s="1210" t="str">
        <f>IF(AND(DZ40&lt;&gt;"",EC40&lt;&gt;""),(DZ40+EC40)/2,"")</f>
        <v/>
      </c>
      <c r="ED43" s="363" t="str">
        <f>IF(AND(EC40&lt;&gt;"",ED40&lt;&gt;""),(EC40+ED40)/2,"")</f>
        <v/>
      </c>
      <c r="EE43" s="363" t="str">
        <f>IF(AND(ED40&lt;&gt;"",EE40&lt;&gt;""),(ED40+EE40)/2,"")</f>
        <v/>
      </c>
      <c r="EF43" s="1210" t="str">
        <f>IF(AND(EC40&lt;&gt;"",EF40&lt;&gt;""),(EC40+EF40)/2,"")</f>
        <v/>
      </c>
      <c r="EG43" s="363" t="str">
        <f>IF(AND(EF40&lt;&gt;"",EG40&lt;&gt;""),(EF40+EG40)/2,"")</f>
        <v/>
      </c>
      <c r="EH43" s="363" t="str">
        <f>IF(AND(EG40&lt;&gt;"",EH40&lt;&gt;""),(EG40+EH40)/2,"")</f>
        <v/>
      </c>
      <c r="EI43" s="1210" t="str">
        <f>IF(AND(EF40&lt;&gt;"",EI40&lt;&gt;""),(EF40+EI40)/2,"")</f>
        <v/>
      </c>
      <c r="EJ43" s="363" t="str">
        <f>IF(AND(EI40&lt;&gt;"",EJ40&lt;&gt;""),(EI40+EJ40)/2,"")</f>
        <v/>
      </c>
      <c r="EK43" s="363" t="str">
        <f>IF(AND(EJ40&lt;&gt;"",EK40&lt;&gt;""),(EJ40+EK40)/2,"")</f>
        <v/>
      </c>
      <c r="EL43" s="1210" t="str">
        <f>IF(AND(EI40&lt;&gt;"",EL40&lt;&gt;""),(EI40+EL40)/2,"")</f>
        <v/>
      </c>
      <c r="EM43" s="363" t="str">
        <f>IF(AND(EL40&lt;&gt;"",EM40&lt;&gt;""),(EL40+EM40)/2,"")</f>
        <v/>
      </c>
      <c r="EN43" s="363" t="str">
        <f>IF(AND(EM40&lt;&gt;"",EN40&lt;&gt;""),(EM40+EN40)/2,"")</f>
        <v/>
      </c>
      <c r="EO43" s="1210" t="str">
        <f>IF(AND(EL40&lt;&gt;"",EO40&lt;&gt;""),(EL40+EO40)/2,"")</f>
        <v/>
      </c>
      <c r="EP43" s="363" t="str">
        <f>IF(AND(EO40&lt;&gt;"",EP40&lt;&gt;""),(EO40+EP40)/2,"")</f>
        <v/>
      </c>
      <c r="EQ43" s="363" t="str">
        <f>IF(AND(EP40&lt;&gt;"",EQ40&lt;&gt;""),(EP40+EQ40)/2,"")</f>
        <v/>
      </c>
      <c r="ER43" s="1210" t="str">
        <f>IF(AND(EO40&lt;&gt;"",ER40&lt;&gt;""),(EO40+ER40)/2,"")</f>
        <v/>
      </c>
      <c r="ES43" s="363" t="str">
        <f>IF(AND(ER40&lt;&gt;"",ES40&lt;&gt;""),(ER40+ES40)/2,"")</f>
        <v/>
      </c>
      <c r="ET43" s="363" t="str">
        <f>IF(AND(ES40&lt;&gt;"",ET40&lt;&gt;""),(ES40+ET40)/2,"")</f>
        <v/>
      </c>
      <c r="EU43" s="1210" t="str">
        <f>IF(AND(ER40&lt;&gt;"",EU40&lt;&gt;""),(ER40+EU40)/2,"")</f>
        <v/>
      </c>
      <c r="EV43" s="363" t="str">
        <f>IF(AND(EU40&lt;&gt;"",EV40&lt;&gt;""),(EU40+EV40)/2,"")</f>
        <v/>
      </c>
      <c r="EW43" s="363" t="str">
        <f>IF(AND(EV40&lt;&gt;"",EW40&lt;&gt;""),(EV40+EW40)/2,"")</f>
        <v/>
      </c>
      <c r="EX43" s="1210" t="str">
        <f>IF(AND(EU40&lt;&gt;"",EX40&lt;&gt;""),(EU40+EX40)/2,"")</f>
        <v/>
      </c>
      <c r="EY43" s="363" t="str">
        <f>IF(AND(EX40&lt;&gt;"",EY40&lt;&gt;""),(EX40+EY40)/2,"")</f>
        <v/>
      </c>
      <c r="EZ43" s="363" t="str">
        <f>IF(AND(EY40&lt;&gt;"",EZ40&lt;&gt;""),(EY40+EZ40)/2,"")</f>
        <v/>
      </c>
      <c r="FA43" s="363" t="str">
        <f>IF(AND(EX40&lt;&gt;"",FA40&lt;&gt;""),(EX40+FA40)/2,"")</f>
        <v/>
      </c>
    </row>
    <row r="44" spans="1:157" ht="13.35" customHeight="1" outlineLevel="1">
      <c r="A44" s="5"/>
      <c r="B44" s="5" t="s">
        <v>871</v>
      </c>
      <c r="C44" s="5"/>
      <c r="D44" s="362"/>
      <c r="E44" s="363"/>
      <c r="F44" s="363"/>
      <c r="G44" s="363"/>
      <c r="H44" s="363" t="str">
        <f>IF(AND(G42&lt;&gt;"",H42&lt;&gt;""),(G42+H42)/2,"")</f>
        <v/>
      </c>
      <c r="I44" s="363" t="str">
        <f>IF(AND(H42&lt;&gt;"",I42&lt;&gt;""),(H42+I42)/2,"")</f>
        <v/>
      </c>
      <c r="J44" s="363" t="str">
        <f>IF(AND(G42&lt;&gt;"",J42&lt;&gt;""),(G42+J42)/2,"")</f>
        <v/>
      </c>
      <c r="K44" s="363" t="str">
        <f>IF(AND(J42&lt;&gt;"",K42&lt;&gt;""),(J42+K42)/2,"")</f>
        <v/>
      </c>
      <c r="L44" s="363" t="str">
        <f>IF(AND(K42&lt;&gt;"",L42&lt;&gt;""),(K42+L42)/2,"")</f>
        <v/>
      </c>
      <c r="M44" s="363" t="str">
        <f>IF(AND(J42&lt;&gt;"",M42&lt;&gt;""),(J42+M42)/2,"")</f>
        <v/>
      </c>
      <c r="N44" s="363" t="str">
        <f>IF(AND(M42&lt;&gt;"",N42&lt;&gt;""),(M42+N42)/2,"")</f>
        <v/>
      </c>
      <c r="O44" s="363" t="str">
        <f>IF(AND(N42&lt;&gt;"",O42&lt;&gt;""),(N42+O42)/2,"")</f>
        <v/>
      </c>
      <c r="P44" s="363" t="str">
        <f>IF(AND(M42&lt;&gt;"",P42&lt;&gt;""),(M42+P42)/2,"")</f>
        <v/>
      </c>
      <c r="Q44" s="363" t="str">
        <f>IF(AND(P42&lt;&gt;"",Q42&lt;&gt;""),(P42+Q42)/2,"")</f>
        <v/>
      </c>
      <c r="R44" s="363" t="str">
        <f>IF(AND(Q42&lt;&gt;"",R42&lt;&gt;""),(Q42+R42)/2,"")</f>
        <v/>
      </c>
      <c r="S44" s="363" t="str">
        <f>IF(AND(P42&lt;&gt;"",S42&lt;&gt;""),(P42+S42)/2,"")</f>
        <v/>
      </c>
      <c r="T44" s="363" t="str">
        <f>IF(AND(S42&lt;&gt;"",T42&lt;&gt;""),(S42+T42)/2,"")</f>
        <v/>
      </c>
      <c r="U44" s="363" t="str">
        <f>IF(AND(T42&lt;&gt;"",U42&lt;&gt;""),(T42+U42)/2,"")</f>
        <v/>
      </c>
      <c r="V44" s="363" t="str">
        <f>IF(AND(S42&lt;&gt;"",V42&lt;&gt;""),(S42+V42)/2,"")</f>
        <v/>
      </c>
      <c r="W44" s="363" t="str">
        <f>IF(AND(V42&lt;&gt;"",W42&lt;&gt;""),(V42+W42)/2,"")</f>
        <v/>
      </c>
      <c r="X44" s="363" t="str">
        <f>IF(AND(W42&lt;&gt;"",X42&lt;&gt;""),(W42+X42)/2,"")</f>
        <v/>
      </c>
      <c r="Y44" s="363" t="str">
        <f>IF(AND(V42&lt;&gt;"",Y42&lt;&gt;""),(V42+Y42)/2,"")</f>
        <v/>
      </c>
      <c r="Z44" s="363" t="str">
        <f>IF(AND(Y42&lt;&gt;"",Z42&lt;&gt;""),(Y42+Z42)/2,"")</f>
        <v/>
      </c>
      <c r="AA44" s="363" t="str">
        <f>IF(AND(Z42&lt;&gt;"",AA42&lt;&gt;""),(Z42+AA42)/2,"")</f>
        <v/>
      </c>
      <c r="AB44" s="363" t="str">
        <f>IF(AND(Y42&lt;&gt;"",AB42&lt;&gt;""),(Y42+AB42)/2,"")</f>
        <v/>
      </c>
      <c r="AC44" s="363" t="str">
        <f>IF(AND(AB42&lt;&gt;"",AC42&lt;&gt;""),(AB42+AC42)/2,"")</f>
        <v/>
      </c>
      <c r="AD44" s="363" t="str">
        <f>IF(AND(AC42&lt;&gt;"",AD42&lt;&gt;""),(AC42+AD42)/2,"")</f>
        <v/>
      </c>
      <c r="AE44" s="363" t="str">
        <f>IF(AND(AB42&lt;&gt;"",AE42&lt;&gt;""),(AB42+AE42)/2,"")</f>
        <v/>
      </c>
      <c r="AF44" s="363" t="str">
        <f>IF(AND(AE42&lt;&gt;"",AF42&lt;&gt;""),(AE42+AF42)/2,"")</f>
        <v/>
      </c>
      <c r="AG44" s="363" t="str">
        <f>IF(AND(AF42&lt;&gt;"",AG42&lt;&gt;""),(AF42+AG42)/2,"")</f>
        <v/>
      </c>
      <c r="AH44" s="363" t="str">
        <f>IF(AND(AE42&lt;&gt;"",AH42&lt;&gt;""),(AE42+AH42)/2,"")</f>
        <v/>
      </c>
      <c r="AI44" s="363" t="str">
        <f>IF(AND(AH42&lt;&gt;"",AI42&lt;&gt;""),(AH42+AI42)/2,"")</f>
        <v/>
      </c>
      <c r="AJ44" s="363">
        <f>IF(AND(AI42&lt;&gt;"",AJ42&lt;&gt;""),(AI42+AJ42)/2,"")</f>
        <v>6.718</v>
      </c>
      <c r="AK44" s="363" t="str">
        <f>IF(AND(AH42&lt;&gt;"",AK42&lt;&gt;""),(AH42+AK42)/2,"")</f>
        <v/>
      </c>
      <c r="AL44" s="363">
        <f>IF(AND(AK42&lt;&gt;"",AL42&lt;&gt;""),(AK42+AL42)/2,"")</f>
        <v>6.2575000000000003</v>
      </c>
      <c r="AM44" s="363">
        <f>IF(AND(AL42&lt;&gt;"",AM42&lt;&gt;""),(AL42+AM42)/2,"")</f>
        <v>6.1619999999999999</v>
      </c>
      <c r="AN44" s="363">
        <f>IF(AND(AK42&lt;&gt;"",AN42&lt;&gt;""),(AK42+AN42)/2,"")</f>
        <v>6.2995000000000001</v>
      </c>
      <c r="AO44" s="363">
        <f>IF(AND(AN42&lt;&gt;"",AO42&lt;&gt;""),(AN42+AO42)/2,"")</f>
        <v>6.2690000000000001</v>
      </c>
      <c r="AP44" s="363">
        <f>IF(AND(AO42&lt;&gt;"",AP42&lt;&gt;""),(AO42+AP42)/2,"")</f>
        <v>6.3125</v>
      </c>
      <c r="AQ44" s="363">
        <f>IF(AND(AN42&lt;&gt;"",AQ42&lt;&gt;""),(AN42+AQ42)/2,"")</f>
        <v>6.2475000000000005</v>
      </c>
      <c r="AR44" s="363">
        <f>IF(AND(AQ42&lt;&gt;"",AR42&lt;&gt;""),(AQ42+AR42)/2,"")</f>
        <v>6.4065000000000003</v>
      </c>
      <c r="AS44" s="363">
        <f>IF(AND(AR42&lt;&gt;"",AS42&lt;&gt;""),(AR42+AS42)/2,"")</f>
        <v>6.633</v>
      </c>
      <c r="AT44" s="363">
        <f>IF(AND(AQ42&lt;&gt;"",AT42&lt;&gt;""),(AQ42+AT42)/2,"")</f>
        <v>6.5175000000000001</v>
      </c>
      <c r="AU44" s="363">
        <f>IF(AND(AT42&lt;&gt;"",AU42&lt;&gt;""),(AT42+AU42)/2,"")</f>
        <v>6.5824999999999996</v>
      </c>
      <c r="AV44" s="363">
        <f>IF(AND(AU42&lt;&gt;"",AV42&lt;&gt;""),(AU42+AV42)/2,"")</f>
        <v>6.8215000000000003</v>
      </c>
      <c r="AW44" s="363">
        <f>IF(AND(AT42&lt;&gt;"",AW42&lt;&gt;""),(AT42+AW42)/2,"")</f>
        <v>6.9830000000000005</v>
      </c>
      <c r="AX44" s="363">
        <f>IF(AND(AW42&lt;&gt;"",AX42&lt;&gt;""),(AW42+AX42)/2,"")</f>
        <v>8.4094999999999995</v>
      </c>
      <c r="AY44" s="363">
        <f>IF(AND(AX42&lt;&gt;"",AY42&lt;&gt;""),(AX42+AY42)/2,"")</f>
        <v>9.9540000000000006</v>
      </c>
      <c r="AZ44" s="363">
        <f>IF(AND(AW42&lt;&gt;"",AZ42&lt;&gt;""),(AW42+AZ42)/2,"")</f>
        <v>8.7665000000000006</v>
      </c>
      <c r="BA44" s="363">
        <f>IF(AND(AZ42&lt;&gt;"",BA42&lt;&gt;""),(AZ42+BA42)/2,"")</f>
        <v>11.1585</v>
      </c>
      <c r="BB44" s="363">
        <f>IF(AND(BA42&lt;&gt;"",BB42&lt;&gt;""),(BA42+BB42)/2,"")</f>
        <v>12.2735</v>
      </c>
      <c r="BC44" s="363">
        <f>IF(AND(AZ42&lt;&gt;"",BC42&lt;&gt;""),(AZ42+BC42)/2,"")</f>
        <v>11.426</v>
      </c>
      <c r="BD44" s="363">
        <f>IF(AND(BC42&lt;&gt;"",BD42&lt;&gt;""),(BC42+BD42)/2,"")</f>
        <v>14.317</v>
      </c>
      <c r="BE44" s="363">
        <f>IF(AND(BD42&lt;&gt;"",BE42&lt;&gt;""),(BD42+BE42)/2,"")</f>
        <v>20.509</v>
      </c>
      <c r="BF44" s="363">
        <f>IF(AND(BC42&lt;&gt;"",BF42&lt;&gt;""),(BC42+BF42)/2,"")</f>
        <v>18.733000000000001</v>
      </c>
      <c r="BG44" s="363">
        <f>IF(AND(BF42&lt;&gt;"",BG42&lt;&gt;""),(BF42+BG42)/2,"")</f>
        <v>26.6755</v>
      </c>
      <c r="BH44" s="363">
        <f>IF(AND(BG42&lt;&gt;"",BH42&lt;&gt;""),(BG42+BH42)/2,"")</f>
        <v>27.881</v>
      </c>
      <c r="BI44" s="363">
        <f>IF(AND(BF42&lt;&gt;"",BI42&lt;&gt;""),(BF42+BI42)/2,"")</f>
        <v>26.130499999999998</v>
      </c>
      <c r="BJ44" s="363">
        <f>IF(AND(BI42&lt;&gt;"",BJ42&lt;&gt;""),(BI42+BJ42)/2,"")</f>
        <v>29.1205</v>
      </c>
      <c r="BK44" s="363">
        <f>IF(AND(BJ42&lt;&gt;"",BK42&lt;&gt;""),(BJ42+BK42)/2,"")</f>
        <v>30.213999999999999</v>
      </c>
      <c r="BL44" s="363">
        <f>IF(AND(BI42&lt;&gt;"",BL42&lt;&gt;""),(BI42+BL42)/2,"")</f>
        <v>28.429499999999997</v>
      </c>
      <c r="BM44" s="363">
        <f>IF(AND(BL42&lt;&gt;"",BM42&lt;&gt;""),(BL42+BM42)/2,"")</f>
        <v>28.658000000000001</v>
      </c>
      <c r="BN44" s="363">
        <f>IF(AND(BM42&lt;&gt;"",BN42&lt;&gt;""),(BM42+BN42)/2,"")</f>
        <v>26.208500000000001</v>
      </c>
      <c r="BO44" s="363">
        <f>IF(AND(BL42&lt;&gt;"",BO42&lt;&gt;""),(BL42+BO42)/2,"")</f>
        <v>27.073499999999999</v>
      </c>
      <c r="BP44" s="363">
        <f>IF(AND(BO42&lt;&gt;"",BP42&lt;&gt;""),(BO42+BP42)/2,"")</f>
        <v>24.905999999999999</v>
      </c>
      <c r="BQ44" s="363">
        <f>IF(AND(BP42&lt;&gt;"",BQ42&lt;&gt;""),(BP42+BQ42)/2,"")</f>
        <v>28.0105</v>
      </c>
      <c r="BR44" s="363">
        <f>IF(AND(BO42&lt;&gt;"",BR42&lt;&gt;""),(BO42+BR42)/2,"")</f>
        <v>27.728499999999997</v>
      </c>
      <c r="BS44" s="363">
        <f>IF(AND(BR42&lt;&gt;"",BS42&lt;&gt;""),(BR42+BS42)/2,"")</f>
        <v>32.942499999999995</v>
      </c>
      <c r="BT44" s="363">
        <f>IF(AND(BS42&lt;&gt;"",BT42&lt;&gt;""),(BS42+BT42)/2,"")</f>
        <v>37.808499999999995</v>
      </c>
      <c r="BU44" s="363">
        <f>IF(AND(BR42&lt;&gt;"",BU42&lt;&gt;""),(BR42+BU42)/2,"")</f>
        <v>35.698999999999998</v>
      </c>
      <c r="BV44" s="363">
        <f>IF(AND(BU42&lt;&gt;"",BV42&lt;&gt;""),(BU42+BV42)/2,"")</f>
        <v>40.891500000000001</v>
      </c>
      <c r="BW44" s="363">
        <f>IF(AND(BV42&lt;&gt;"",BW42&lt;&gt;""),(BV42+BW42)/2,"")</f>
        <v>42.218500000000006</v>
      </c>
      <c r="BX44" s="363">
        <f>IF(AND(BU42&lt;&gt;"",BX42&lt;&gt;""),(BU42+BX42)/2,"")</f>
        <v>41.891999999999996</v>
      </c>
      <c r="BY44" s="363">
        <f>IF(AND(BX42&lt;&gt;"",BY42&lt;&gt;""),(BX42+BY42)/2,"")</f>
        <v>44.638999999999996</v>
      </c>
      <c r="BZ44" s="363">
        <f>IF(AND(BY42&lt;&gt;"",BZ42&lt;&gt;""),(BY42+BZ42)/2,"")</f>
        <v>46.426499999999997</v>
      </c>
      <c r="CA44" s="363">
        <f>IF(AND(BX42&lt;&gt;"",CA42&lt;&gt;""),(BX42+CA42)/2,"")</f>
        <v>45.006500000000003</v>
      </c>
      <c r="CB44" s="363">
        <f>IF(AND(CA42&lt;&gt;"",CB42&lt;&gt;""),(CA42+CB42)/2,"")</f>
        <v>45.798499999999997</v>
      </c>
      <c r="CC44" s="363">
        <f>IF(AND(CB42&lt;&gt;"",CC42&lt;&gt;""),(CB42+CC42)/2,"")</f>
        <v>47.2</v>
      </c>
      <c r="CD44" s="363">
        <f>IF(AND(CA42&lt;&gt;"",CD42&lt;&gt;""),(CA42+CD42)/2,"")</f>
        <v>48.195499999999996</v>
      </c>
      <c r="CE44" s="363">
        <f>IF(AND(CD42&lt;&gt;"",CE42&lt;&gt;""),(CD42+CE42)/2,"")</f>
        <v>54.952500000000001</v>
      </c>
      <c r="CF44" s="363">
        <f>IF(AND(CE42&lt;&gt;"",CF42&lt;&gt;""),(CE42+CF42)/2,"")</f>
        <v>64.832499999999996</v>
      </c>
      <c r="CG44" s="363">
        <f>IF(AND(CD42&lt;&gt;"",CG42&lt;&gt;""),(CD42+CG42)/2,"")</f>
        <v>59.477000000000004</v>
      </c>
      <c r="CH44" s="363">
        <f>IF(AND(CG42&lt;&gt;"",CH42&lt;&gt;""),(CG42+CH42)/2,"")</f>
        <v>62.902500000000003</v>
      </c>
      <c r="CI44" s="363">
        <f>IF(AND(CH42&lt;&gt;"",CI42&lt;&gt;""),(CH42+CI42)/2,"")</f>
        <v>58.029499999999999</v>
      </c>
      <c r="CJ44" s="363">
        <f>IF(AND(CG42&lt;&gt;"",CJ42&lt;&gt;""),(CG42+CJ42)/2,"")</f>
        <v>64.483999999999995</v>
      </c>
      <c r="CK44" s="363">
        <f>IF(AND(CJ42&lt;&gt;"",CK42&lt;&gt;""),(CJ42+CK42)/2,"")</f>
        <v>60.936499999999995</v>
      </c>
      <c r="CL44" s="363">
        <f>IF(AND(CK42&lt;&gt;"",CL42&lt;&gt;""),(CK42+CL42)/2,"")</f>
        <v>64.08</v>
      </c>
      <c r="CM44" s="363">
        <f>IF(AND(CJ42&lt;&gt;"",CM42&lt;&gt;""),(CJ42+CM42)/2,"")</f>
        <v>62.754499999999993</v>
      </c>
      <c r="CN44" s="363">
        <f>IF(AND(CM42&lt;&gt;"",CN42&lt;&gt;""),(CM42+CN42)/2,"")</f>
        <v>66.881</v>
      </c>
      <c r="CO44" s="363">
        <f>IF(AND(CN42&lt;&gt;"",CO42&lt;&gt;""),(CN42+CO42)/2,"")</f>
        <v>71.819999999999993</v>
      </c>
      <c r="CP44" s="363">
        <f>IF(AND(CM42&lt;&gt;"",CP42&lt;&gt;""),(CM42+CP42)/2,"")</f>
        <v>70.836999999999989</v>
      </c>
      <c r="CQ44" s="363">
        <f>IF(AND(CP42&lt;&gt;"",CQ42&lt;&gt;""),(CP42+CQ42)/2,"")</f>
        <v>75.448999999999998</v>
      </c>
      <c r="CR44" s="363">
        <f>IF(AND(CQ42&lt;&gt;"",CR42&lt;&gt;""),(CQ42+CR42)/2,"")</f>
        <v>77.965499999999992</v>
      </c>
      <c r="CS44" s="363">
        <f>IF(AND(CP42&lt;&gt;"",CS42&lt;&gt;""),(CP42+CS42)/2,"")</f>
        <v>78.29249999999999</v>
      </c>
      <c r="CT44" s="363">
        <f>IF(AND(CS42&lt;&gt;"",CT42&lt;&gt;""),(CS42+CT42)/2,"")</f>
        <v>80.670999999999992</v>
      </c>
      <c r="CU44" s="363">
        <f>IF(AND(CT42&lt;&gt;"",CU42&lt;&gt;""),(CT42+CU42)/2,"")</f>
        <v>83.705500000000001</v>
      </c>
      <c r="CV44" s="363">
        <f>IF(AND(CS42&lt;&gt;"",CV42&lt;&gt;""),(CS42+CV42)/2,"")</f>
        <v>83.843500000000006</v>
      </c>
      <c r="CW44" s="363">
        <f>IF(AND(CV42&lt;&gt;"",CW42&lt;&gt;""),(CV42+CW42)/2,"")</f>
        <v>89.34899999999999</v>
      </c>
      <c r="CX44" s="363">
        <f>IF(AND(CW42&lt;&gt;"",CX42&lt;&gt;""),(CW42+CX42)/2,"")</f>
        <v>105.9635</v>
      </c>
      <c r="CY44" s="363">
        <f>IF(AND(CV42&lt;&gt;"",CY42&lt;&gt;""),(CV42+CY42)/2,"")</f>
        <v>103.49250000000001</v>
      </c>
      <c r="CZ44" s="363">
        <f>IF(AND(CY42&lt;&gt;"",CZ42&lt;&gt;""),(CY42+CZ42)/2,"")</f>
        <v>120.5535</v>
      </c>
      <c r="DA44" s="363">
        <f>IF(AND(CZ42&lt;&gt;"",DA42&lt;&gt;""),(CZ42+DA42)/2,"")</f>
        <v>124.7</v>
      </c>
      <c r="DB44" s="363">
        <f>IF(AND(CY42&lt;&gt;"",DB42&lt;&gt;""),(CY42+DB42)/2,"")</f>
        <v>124.2535</v>
      </c>
      <c r="DC44" s="363">
        <f>IF(AND(DB42&lt;&gt;"",DC42&lt;&gt;""),(DB42+DC42)/2,"")</f>
        <v>134.65</v>
      </c>
      <c r="DD44" s="363">
        <f>IF(AND(DC42&lt;&gt;"",DD42&lt;&gt;""),(DC42+DD42)/2,"")</f>
        <v>153.69999999999999</v>
      </c>
      <c r="DE44" s="363">
        <f>IF(AND(DB42&lt;&gt;"",DE42&lt;&gt;""),(DB42+DE42)/2,"")</f>
        <v>147.44999999999999</v>
      </c>
      <c r="DF44" s="363">
        <f>IF(AND(DE42&lt;&gt;"",DF42&lt;&gt;""),(DE42+DF42)/2,"")</f>
        <v>178.7</v>
      </c>
      <c r="DG44" s="363">
        <f>IF(AND(DF42&lt;&gt;"",DG42&lt;&gt;""),(DF42+DG42)/2,"")</f>
        <v>210.7</v>
      </c>
      <c r="DH44" s="363">
        <f>IF(AND(DE42&lt;&gt;"",DH42&lt;&gt;""),(DE42+DH42)/2,"")</f>
        <v>198.5</v>
      </c>
      <c r="DI44" s="363">
        <f>IF(AND(DH42&lt;&gt;"",DI42&lt;&gt;""),(DH42+DI42)/2,"")</f>
        <v>229.55</v>
      </c>
      <c r="DJ44" s="363">
        <f>IF(AND(DI42&lt;&gt;"",DJ42&lt;&gt;""),(DI42+DJ42)/2,"")</f>
        <v>234.05</v>
      </c>
      <c r="DK44" s="1210">
        <f>IF(AND(DH42&lt;&gt;"",DK42&lt;&gt;""),(DH42+DK42)/2,"")</f>
        <v>235</v>
      </c>
      <c r="DL44" s="363">
        <f>IF(AND(DK42&lt;&gt;"",DL42&lt;&gt;""),(DK42+DL42)/2,"")</f>
        <v>243.75</v>
      </c>
      <c r="DM44" s="363">
        <f>IF(AND(DL42&lt;&gt;"",DM42&lt;&gt;""),(DL42+DM42)/2,"")</f>
        <v>254.1</v>
      </c>
      <c r="DN44" s="1210">
        <f>IF(AND(DK42&lt;&gt;"",DN42&lt;&gt;""),(DK42+DN42)/2,"")</f>
        <v>249.85</v>
      </c>
      <c r="DO44" s="363">
        <f>IF(AND(DN42&lt;&gt;"",DO42&lt;&gt;""),(DN42+DO42)/2,"")</f>
        <v>261.60000000000002</v>
      </c>
      <c r="DP44" s="363">
        <f>IF(AND(DO42&lt;&gt;"",DP42&lt;&gt;""),(DO42+DP42)/2,"")</f>
        <v>269.85000000000002</v>
      </c>
      <c r="DQ44" s="1210">
        <f>IF(AND(DN42&lt;&gt;"",DQ42&lt;&gt;""),(DN42+DQ42)/2,"")</f>
        <v>268.45</v>
      </c>
      <c r="DR44" s="363">
        <f>IF(AND(DQ42&lt;&gt;"",DR42&lt;&gt;""),(DQ42+DR42)/2,"")</f>
        <v>278.2</v>
      </c>
      <c r="DS44" s="363">
        <f>IF(AND(DR42&lt;&gt;"",DS42&lt;&gt;""),(DR42+DS42)/2,"")</f>
        <v>292.25</v>
      </c>
      <c r="DT44" s="1210">
        <f>IF(AND(DQ42&lt;&gt;"",DT42&lt;&gt;""),(DQ42+DT42)/2,"")</f>
        <v>290.75</v>
      </c>
      <c r="DU44" s="363">
        <f>IF(AND(DT42&lt;&gt;"",DU42&lt;&gt;""),(DT42+DU42)/2,"")</f>
        <v>314.10000000000002</v>
      </c>
      <c r="DV44" s="363">
        <f>IF(AND(DU42&lt;&gt;"",DV42&lt;&gt;""),(DU42+DV42)/2,"")</f>
        <v>328.04999999999995</v>
      </c>
      <c r="DW44" s="1210">
        <f>IF(AND(DT42&lt;&gt;"",DW42&lt;&gt;""),(DT42+DW42)/2,"")</f>
        <v>318.75</v>
      </c>
      <c r="DX44" s="363">
        <f>IF(AND(DW42&lt;&gt;"",DX42&lt;&gt;""),(DW42+DX42)/2,"")</f>
        <v>335</v>
      </c>
      <c r="DY44" s="363">
        <f>IF(AND(DX42&lt;&gt;"",DY42&lt;&gt;""),(DX42+DY42)/2,"")</f>
        <v>350.86584862940026</v>
      </c>
      <c r="DZ44" s="1210">
        <f>IF(AND(DW42&lt;&gt;"",DZ42&lt;&gt;""),(DW42+DZ42)/2,"")</f>
        <v>348.56584862940019</v>
      </c>
      <c r="EA44" s="363">
        <f>IF(AND(DZ42&lt;&gt;"",EA42&lt;&gt;""),(DZ42+EA42)/2,"")</f>
        <v>373.62750138890772</v>
      </c>
      <c r="EB44" s="363">
        <f>IF(AND(EA42&lt;&gt;"",EB42&lt;&gt;""),(EA42+EB42)/2,"")</f>
        <v>392.30242693649166</v>
      </c>
      <c r="EC44" s="1210">
        <f>IF(AND(DZ42&lt;&gt;"",EC42&lt;&gt;""),(DZ42+EC42)/2,"")</f>
        <v>383.10662280638439</v>
      </c>
      <c r="ED44" s="363">
        <f>IF(AND(EC42&lt;&gt;"",ED42&lt;&gt;""),(EC42+ED42)/2,"")</f>
        <v>414.98343664887011</v>
      </c>
      <c r="EE44" s="363">
        <f>IF(AND(ED42&lt;&gt;"",EE42&lt;&gt;""),(ED42+EE42)/2,"")</f>
        <v>441.79558491084788</v>
      </c>
      <c r="EF44" s="1210">
        <f>IF(AND(EC42&lt;&gt;"",EF42&lt;&gt;""),(EC42+EF42)/2,"")</f>
        <v>428.59369661594604</v>
      </c>
      <c r="EG44" s="363">
        <f>IF(AND(EF42&lt;&gt;"",EG42&lt;&gt;""),(EF42+EG42)/2,"")</f>
        <v>469.79590311936681</v>
      </c>
      <c r="EH44" s="363">
        <f>IF(AND(EG42&lt;&gt;"",EH42&lt;&gt;""),(EG42+EH42)/2,"")</f>
        <v>499.02114472492258</v>
      </c>
      <c r="EI44" s="1210">
        <f>IF(AND(EF42&lt;&gt;"",EI42&lt;&gt;""),(EF42+EI42)/2,"")</f>
        <v>484.63108648347952</v>
      </c>
      <c r="EJ44" s="363">
        <f>IF(AND(EI42&lt;&gt;"",EJ42&lt;&gt;""),(EI42+EJ42)/2,"")</f>
        <v>529.54149157220809</v>
      </c>
      <c r="EK44" s="363">
        <f>IF(AND(EJ42&lt;&gt;"",EK42&lt;&gt;""),(EJ42+EK42)/2,"")</f>
        <v>561.39700492226393</v>
      </c>
      <c r="EL44" s="1210">
        <f>IF(AND(EI42&lt;&gt;"",EL42&lt;&gt;""),(EI42+EL42)/2,"")</f>
        <v>545.71184143909102</v>
      </c>
      <c r="EM44" s="363">
        <f>IF(AND(EL42&lt;&gt;"",EM42&lt;&gt;""),(EL42+EM42)/2,"")</f>
        <v>594.66418298580516</v>
      </c>
      <c r="EN44" s="363">
        <f>IF(AND(EM42&lt;&gt;"",EN42&lt;&gt;""),(EM42+EN42)/2,"")</f>
        <v>629.386692537366</v>
      </c>
      <c r="EO44" s="1210">
        <f>IF(AND(EL42&lt;&gt;"",EO42&lt;&gt;""),(EL42+EO42)/2,"")</f>
        <v>612.28986434070748</v>
      </c>
      <c r="EP44" s="363">
        <f>IF(AND(EO42&lt;&gt;"",EP42&lt;&gt;""),(EO42+EP42)/2,"")</f>
        <v>665.64791662662606</v>
      </c>
      <c r="EQ44" s="363">
        <f>IF(AND(EP42&lt;&gt;"",EQ42&lt;&gt;""),(EP42+EQ42)/2,"")</f>
        <v>703.49545203782725</v>
      </c>
      <c r="ER44" s="1210">
        <f>IF(AND(EO42&lt;&gt;"",ER42&lt;&gt;""),(EO42+ER42)/2,"")</f>
        <v>684.85990930346952</v>
      </c>
      <c r="ES44" s="363">
        <f>IF(AND(ER42&lt;&gt;"",ES42&lt;&gt;""),(ER42+ES42)/2,"")</f>
        <v>743.02018629512077</v>
      </c>
      <c r="ET44" s="363">
        <f>IF(AND(ES42&lt;&gt;"",ET42&lt;&gt;""),(ES42+ET42)/2,"")</f>
        <v>784.27399989333003</v>
      </c>
      <c r="EU44" s="1210">
        <f>IF(AND(ER42&lt;&gt;"",EU42&lt;&gt;""),(ER42+EU42)/2,"")</f>
        <v>763.9612583128802</v>
      </c>
      <c r="EV44" s="363">
        <f>IF(AND(EU42&lt;&gt;"",EV42&lt;&gt;""),(EU42+EV42)/2,"")</f>
        <v>827.35596023377991</v>
      </c>
      <c r="EW44" s="363">
        <f>IF(AND(EV42&lt;&gt;"",EW42&lt;&gt;""),(EV42+EW42)/2,"")</f>
        <v>872.32261705582812</v>
      </c>
      <c r="EX44" s="1210">
        <f>IF(AND(EU42&lt;&gt;"",EX42&lt;&gt;""),(EU42+EX42)/2,"")</f>
        <v>850.18172873313779</v>
      </c>
      <c r="EY44" s="363">
        <f>IF(AND(EX42&lt;&gt;"",EY42&lt;&gt;""),(EX42+EY42)/2,"")</f>
        <v>919.28195382691854</v>
      </c>
      <c r="EZ44" s="363">
        <f>IF(AND(EY42&lt;&gt;"",EZ42&lt;&gt;""),(EY42+EZ42)/2,"")</f>
        <v>968.29560976295113</v>
      </c>
      <c r="FA44" s="363">
        <f>IF(AND(EX42&lt;&gt;"",FA42&lt;&gt;""),(EX42+FA42)/2,"")</f>
        <v>944.16204149121859</v>
      </c>
    </row>
    <row r="45" spans="1:157" ht="13.35" customHeight="1">
      <c r="A45" s="5"/>
      <c r="B45" s="5" t="s">
        <v>634</v>
      </c>
      <c r="C45" s="5"/>
      <c r="D45" s="362"/>
      <c r="E45" s="356"/>
      <c r="F45" s="356"/>
      <c r="G45" s="356"/>
      <c r="H45" s="356"/>
      <c r="I45" s="356"/>
      <c r="J45" s="356"/>
      <c r="K45" s="356"/>
      <c r="L45" s="356"/>
      <c r="M45" s="356"/>
      <c r="N45" s="356"/>
      <c r="O45" s="356"/>
      <c r="P45" s="356"/>
      <c r="Q45" s="356"/>
      <c r="R45" s="356"/>
      <c r="S45" s="356"/>
      <c r="T45" s="356"/>
      <c r="U45" s="356"/>
      <c r="V45" s="356"/>
      <c r="W45" s="356"/>
      <c r="X45" s="356"/>
      <c r="Y45" s="356"/>
      <c r="Z45" s="356"/>
      <c r="AA45" s="356"/>
      <c r="AB45" s="356"/>
      <c r="AC45" s="356"/>
      <c r="AD45" s="356"/>
      <c r="AE45" s="356"/>
      <c r="AF45" s="356"/>
      <c r="AG45" s="356"/>
      <c r="AH45" s="356"/>
      <c r="AI45" s="356"/>
      <c r="AJ45" s="356"/>
      <c r="AK45" s="356"/>
      <c r="AL45" s="356"/>
      <c r="AM45" s="356"/>
      <c r="AN45" s="356"/>
      <c r="AO45" s="356"/>
      <c r="AP45" s="356"/>
      <c r="AQ45" s="356"/>
      <c r="AR45" s="356"/>
      <c r="AS45" s="356"/>
      <c r="AT45" s="356"/>
      <c r="AU45" s="356"/>
      <c r="AV45" s="356"/>
      <c r="AW45" s="356">
        <f>AW48/AW44</f>
        <v>0.39051983388228551</v>
      </c>
      <c r="AX45" s="356"/>
      <c r="AY45" s="356"/>
      <c r="AZ45" s="356">
        <f>AZ48/AZ44</f>
        <v>0.30148862145668165</v>
      </c>
      <c r="BA45" s="356">
        <f>BA48/BA44</f>
        <v>0.14267150602679574</v>
      </c>
      <c r="BB45" s="356"/>
      <c r="BC45" s="356">
        <f>BC48/BC44</f>
        <v>0.3074566777524943</v>
      </c>
      <c r="BD45" s="356"/>
      <c r="BE45" s="356"/>
      <c r="BF45" s="356">
        <v>0.3</v>
      </c>
      <c r="BG45" s="356"/>
      <c r="BH45" s="356"/>
      <c r="BI45" s="356">
        <v>0.3</v>
      </c>
      <c r="BJ45" s="356"/>
      <c r="BK45" s="356"/>
      <c r="BL45" s="356"/>
      <c r="BM45" s="356"/>
      <c r="BN45" s="356"/>
      <c r="BO45" s="356"/>
      <c r="BP45" s="356"/>
      <c r="BQ45" s="356"/>
      <c r="BR45" s="356"/>
      <c r="BS45" s="356"/>
      <c r="BT45" s="356"/>
      <c r="BU45" s="356"/>
      <c r="BV45" s="356"/>
      <c r="BW45" s="356"/>
      <c r="BX45" s="356"/>
      <c r="BY45" s="356"/>
      <c r="BZ45" s="356"/>
      <c r="CA45" s="356"/>
      <c r="CB45" s="356"/>
      <c r="CC45" s="356"/>
      <c r="CD45" s="356"/>
      <c r="CE45" s="356"/>
      <c r="CF45" s="356"/>
      <c r="CG45" s="356"/>
      <c r="CH45" s="356"/>
      <c r="CI45" s="356"/>
      <c r="CJ45" s="356"/>
      <c r="CK45" s="356"/>
      <c r="CL45" s="356"/>
      <c r="CM45" s="356"/>
      <c r="CN45" s="356"/>
      <c r="CO45" s="356"/>
      <c r="CP45" s="356"/>
      <c r="CQ45" s="356"/>
      <c r="CR45" s="356"/>
      <c r="CS45" s="356"/>
      <c r="CT45" s="356"/>
      <c r="CU45" s="356"/>
      <c r="CV45" s="356"/>
      <c r="CW45" s="356"/>
      <c r="CX45" s="356"/>
      <c r="CY45" s="356"/>
      <c r="CZ45" s="356"/>
      <c r="DA45" s="356"/>
      <c r="DB45" s="356"/>
      <c r="DC45" s="356"/>
      <c r="DD45" s="356"/>
      <c r="DE45" s="356"/>
      <c r="DF45" s="356"/>
      <c r="DG45" s="356"/>
      <c r="DH45" s="356"/>
      <c r="DI45" s="356"/>
      <c r="DJ45" s="356"/>
      <c r="DK45" s="1087"/>
      <c r="DL45" s="356"/>
      <c r="DM45" s="356"/>
      <c r="DN45" s="1087"/>
      <c r="DO45" s="356"/>
      <c r="DP45" s="356"/>
      <c r="DQ45" s="1087"/>
      <c r="DR45" s="356"/>
      <c r="DS45" s="356"/>
      <c r="DT45" s="1087"/>
      <c r="DU45" s="356"/>
      <c r="DV45" s="356"/>
      <c r="DW45" s="1087"/>
      <c r="DX45" s="356"/>
      <c r="DY45" s="356"/>
      <c r="DZ45" s="1087"/>
      <c r="EA45" s="356"/>
      <c r="EB45" s="356"/>
      <c r="EC45" s="1087"/>
      <c r="ED45" s="356"/>
      <c r="EE45" s="356"/>
      <c r="EF45" s="1087"/>
      <c r="EG45" s="356"/>
      <c r="EH45" s="356"/>
      <c r="EI45" s="1087"/>
      <c r="EJ45" s="356"/>
      <c r="EK45" s="356"/>
      <c r="EL45" s="1087"/>
      <c r="EM45" s="356"/>
      <c r="EN45" s="356"/>
      <c r="EO45" s="1087"/>
      <c r="EP45" s="356"/>
      <c r="EQ45" s="356"/>
      <c r="ER45" s="1087"/>
      <c r="ES45" s="356"/>
      <c r="ET45" s="356"/>
      <c r="EU45" s="1087"/>
      <c r="EV45" s="356"/>
      <c r="EW45" s="356"/>
      <c r="EX45" s="1087"/>
      <c r="EY45" s="356"/>
      <c r="EZ45" s="356"/>
      <c r="FA45" s="356"/>
    </row>
    <row r="46" spans="1:157" ht="13.35" customHeight="1">
      <c r="A46" s="5"/>
      <c r="B46" s="5" t="s">
        <v>635</v>
      </c>
      <c r="C46" s="5"/>
      <c r="D46" s="362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317"/>
      <c r="S46" s="317"/>
      <c r="T46" s="317"/>
      <c r="U46" s="317"/>
      <c r="V46" s="317"/>
      <c r="W46" s="317"/>
      <c r="X46" s="317"/>
      <c r="Y46" s="317"/>
      <c r="Z46" s="317"/>
      <c r="AA46" s="317"/>
      <c r="AB46" s="317"/>
      <c r="AC46" s="317"/>
      <c r="AD46" s="317"/>
      <c r="AE46" s="317"/>
      <c r="AF46" s="317"/>
      <c r="AG46" s="317"/>
      <c r="AH46" s="317"/>
      <c r="AI46" s="317"/>
      <c r="AJ46" s="317"/>
      <c r="AK46" s="317"/>
      <c r="AL46" s="317"/>
      <c r="AM46" s="317"/>
      <c r="AN46" s="317"/>
      <c r="AO46" s="317"/>
      <c r="AP46" s="317"/>
      <c r="AQ46" s="317"/>
      <c r="AR46" s="317"/>
      <c r="AS46" s="317"/>
      <c r="AT46" s="317"/>
      <c r="AU46" s="317"/>
      <c r="AV46" s="317"/>
      <c r="AW46" s="317"/>
      <c r="AX46" s="317"/>
      <c r="AY46" s="317"/>
      <c r="AZ46" s="317"/>
      <c r="BA46" s="317"/>
      <c r="BB46" s="317"/>
      <c r="BC46" s="317"/>
      <c r="BD46" s="317"/>
      <c r="BE46" s="317"/>
      <c r="BF46" s="317"/>
      <c r="BG46" s="317"/>
      <c r="BH46" s="317"/>
      <c r="BI46" s="317"/>
      <c r="BJ46" s="317"/>
      <c r="BK46" s="317"/>
      <c r="BL46" s="317"/>
      <c r="BM46" s="317"/>
      <c r="BN46" s="317"/>
      <c r="BO46" s="317"/>
      <c r="BP46" s="317"/>
      <c r="BQ46" s="317"/>
      <c r="BR46" s="317"/>
      <c r="BS46" s="317"/>
      <c r="BT46" s="317"/>
      <c r="BU46" s="317"/>
      <c r="BV46" s="317"/>
      <c r="BW46" s="317"/>
      <c r="BX46" s="317"/>
      <c r="BY46" s="317"/>
      <c r="BZ46" s="317"/>
      <c r="CA46" s="317"/>
      <c r="CB46" s="317"/>
      <c r="CC46" s="317"/>
      <c r="CD46" s="317"/>
      <c r="CE46" s="317"/>
      <c r="CF46" s="317"/>
      <c r="CG46" s="317"/>
      <c r="CH46" s="317"/>
      <c r="CI46" s="317"/>
      <c r="CJ46" s="317"/>
      <c r="CK46" s="317"/>
      <c r="CL46" s="317"/>
      <c r="CM46" s="317"/>
      <c r="CN46" s="317"/>
      <c r="CO46" s="317"/>
      <c r="CP46" s="317"/>
      <c r="CQ46" s="317"/>
      <c r="CR46" s="317"/>
      <c r="CS46" s="317"/>
      <c r="CT46" s="317"/>
      <c r="CU46" s="317"/>
      <c r="CV46" s="317"/>
      <c r="CW46" s="317"/>
      <c r="CX46" s="317"/>
      <c r="CY46" s="317"/>
      <c r="CZ46" s="317"/>
      <c r="DA46" s="317"/>
      <c r="DB46" s="317"/>
      <c r="DC46" s="317"/>
      <c r="DD46" s="317"/>
      <c r="DE46" s="317"/>
      <c r="DF46" s="317"/>
      <c r="DG46" s="317"/>
      <c r="DH46" s="317"/>
      <c r="DI46" s="317"/>
      <c r="DJ46" s="317"/>
      <c r="DK46" s="1212"/>
      <c r="DL46" s="317"/>
      <c r="DM46" s="317"/>
      <c r="DN46" s="1212"/>
      <c r="DO46" s="317"/>
      <c r="DP46" s="317"/>
      <c r="DQ46" s="1212"/>
      <c r="DR46" s="317"/>
      <c r="DS46" s="317"/>
      <c r="DT46" s="1212"/>
      <c r="DU46" s="317"/>
      <c r="DV46" s="317"/>
      <c r="DW46" s="1212"/>
      <c r="DX46" s="317"/>
      <c r="DY46" s="317"/>
      <c r="DZ46" s="1212"/>
      <c r="EA46" s="317"/>
      <c r="EB46" s="317"/>
      <c r="EC46" s="1212"/>
      <c r="ED46" s="317"/>
      <c r="EE46" s="317"/>
      <c r="EF46" s="1212"/>
      <c r="EG46" s="317"/>
      <c r="EH46" s="317"/>
      <c r="EI46" s="1212"/>
      <c r="EJ46" s="317"/>
      <c r="EK46" s="317"/>
      <c r="EL46" s="1212"/>
      <c r="EM46" s="317"/>
      <c r="EN46" s="317"/>
      <c r="EO46" s="1212"/>
      <c r="EP46" s="317"/>
      <c r="EQ46" s="317"/>
      <c r="ER46" s="1212"/>
      <c r="ES46" s="317"/>
      <c r="ET46" s="317"/>
      <c r="EU46" s="1212"/>
      <c r="EV46" s="317"/>
      <c r="EW46" s="317"/>
      <c r="EX46" s="1212"/>
      <c r="EY46" s="317"/>
      <c r="EZ46" s="317"/>
      <c r="FA46" s="317"/>
    </row>
    <row r="47" spans="1:157" ht="13.35" customHeight="1">
      <c r="A47" s="5"/>
      <c r="B47" s="5" t="s">
        <v>681</v>
      </c>
      <c r="C47" s="5"/>
      <c r="D47" s="362"/>
      <c r="E47" s="363"/>
      <c r="F47" s="363"/>
      <c r="G47" s="363"/>
      <c r="H47" s="363"/>
      <c r="I47" s="363"/>
      <c r="J47" s="363"/>
      <c r="K47" s="363"/>
      <c r="L47" s="363"/>
      <c r="M47" s="363"/>
      <c r="N47" s="363"/>
      <c r="O47" s="363"/>
      <c r="P47" s="363"/>
      <c r="Q47" s="363"/>
      <c r="R47" s="363"/>
      <c r="S47" s="363"/>
      <c r="T47" s="363"/>
      <c r="U47" s="363"/>
      <c r="V47" s="363"/>
      <c r="W47" s="363"/>
      <c r="X47" s="363"/>
      <c r="Y47" s="363"/>
      <c r="Z47" s="363"/>
      <c r="AA47" s="363"/>
      <c r="AB47" s="363"/>
      <c r="AC47" s="363"/>
      <c r="AD47" s="363"/>
      <c r="AE47" s="363"/>
      <c r="AF47" s="363"/>
      <c r="AG47" s="363"/>
      <c r="AH47" s="363"/>
      <c r="AI47" s="363"/>
      <c r="AJ47" s="363"/>
      <c r="AK47" s="363"/>
      <c r="AL47" s="363"/>
      <c r="AM47" s="363"/>
      <c r="AN47" s="363"/>
      <c r="AO47" s="363"/>
      <c r="AP47" s="363"/>
      <c r="AQ47" s="363"/>
      <c r="AR47" s="363"/>
      <c r="AS47" s="363"/>
      <c r="AT47" s="363"/>
      <c r="AU47" s="363"/>
      <c r="AV47" s="363"/>
      <c r="AW47" s="363"/>
      <c r="AX47" s="363"/>
      <c r="AY47" s="363"/>
      <c r="AZ47" s="363"/>
      <c r="BA47" s="363"/>
      <c r="BB47" s="363"/>
      <c r="BC47" s="363"/>
      <c r="BD47" s="359"/>
      <c r="BE47" s="363"/>
      <c r="BF47" s="359">
        <f>BF44*BF45</f>
        <v>5.6199000000000003</v>
      </c>
      <c r="BG47" s="359"/>
      <c r="BH47" s="363"/>
      <c r="BI47" s="359">
        <f>BI44*BI45</f>
        <v>7.8391499999999992</v>
      </c>
      <c r="BJ47" s="359"/>
      <c r="BK47" s="363"/>
      <c r="BL47" s="359"/>
      <c r="BM47" s="359"/>
      <c r="BN47" s="363"/>
      <c r="BO47" s="359"/>
      <c r="BP47" s="359"/>
      <c r="BQ47" s="363"/>
      <c r="BR47" s="359"/>
      <c r="BS47" s="359"/>
      <c r="BT47" s="363"/>
      <c r="BU47" s="359"/>
      <c r="BV47" s="359"/>
      <c r="BW47" s="363"/>
      <c r="BX47" s="359"/>
      <c r="BY47" s="359"/>
      <c r="BZ47" s="363"/>
      <c r="CA47" s="359"/>
      <c r="CB47" s="359"/>
      <c r="CC47" s="363"/>
      <c r="CD47" s="359"/>
      <c r="CE47" s="359"/>
      <c r="CF47" s="363"/>
      <c r="CG47" s="359"/>
      <c r="CH47" s="359"/>
      <c r="CI47" s="363"/>
      <c r="CJ47" s="359"/>
      <c r="CK47" s="359"/>
      <c r="CL47" s="363"/>
      <c r="CM47" s="359"/>
      <c r="CN47" s="359"/>
      <c r="CO47" s="363"/>
      <c r="CP47" s="359"/>
      <c r="CQ47" s="359"/>
      <c r="CR47" s="363"/>
      <c r="CS47" s="359"/>
      <c r="CT47" s="359"/>
      <c r="CU47" s="363"/>
      <c r="CV47" s="359"/>
      <c r="CW47" s="359"/>
      <c r="CX47" s="363"/>
      <c r="CY47" s="359"/>
      <c r="CZ47" s="359"/>
      <c r="DA47" s="363"/>
      <c r="DB47" s="359"/>
      <c r="DC47" s="359"/>
      <c r="DD47" s="363"/>
      <c r="DE47" s="359"/>
      <c r="DF47" s="366"/>
      <c r="DG47" s="363"/>
      <c r="DH47" s="359"/>
      <c r="DI47" s="359"/>
      <c r="DJ47" s="363"/>
      <c r="DK47" s="1208"/>
      <c r="DL47" s="359"/>
      <c r="DM47" s="363"/>
      <c r="DN47" s="1208"/>
      <c r="DO47" s="359"/>
      <c r="DP47" s="363"/>
      <c r="DQ47" s="1208"/>
      <c r="DR47" s="359"/>
      <c r="DS47" s="363"/>
      <c r="DT47" s="1208"/>
      <c r="DU47" s="359"/>
      <c r="DV47" s="363"/>
      <c r="DW47" s="1208"/>
      <c r="DX47" s="359"/>
      <c r="DY47" s="363"/>
      <c r="DZ47" s="1208"/>
      <c r="EA47" s="359"/>
      <c r="EB47" s="363"/>
      <c r="EC47" s="1208"/>
      <c r="ED47" s="359"/>
      <c r="EE47" s="363"/>
      <c r="EF47" s="1208"/>
      <c r="EG47" s="359"/>
      <c r="EH47" s="363"/>
      <c r="EI47" s="1208"/>
      <c r="EJ47" s="359"/>
      <c r="EK47" s="363"/>
      <c r="EL47" s="1208"/>
      <c r="EM47" s="359"/>
      <c r="EN47" s="363"/>
      <c r="EO47" s="1208"/>
      <c r="EP47" s="359"/>
      <c r="EQ47" s="363"/>
      <c r="ER47" s="1208"/>
      <c r="ES47" s="359"/>
      <c r="ET47" s="363"/>
      <c r="EU47" s="1208"/>
      <c r="EV47" s="359"/>
      <c r="EW47" s="363"/>
      <c r="EX47" s="1208"/>
      <c r="EY47" s="359"/>
      <c r="EZ47" s="363"/>
      <c r="FA47" s="359"/>
    </row>
    <row r="48" spans="1:157" ht="13.35" customHeight="1">
      <c r="A48" s="5"/>
      <c r="B48" s="5" t="s">
        <v>532</v>
      </c>
      <c r="C48" s="5"/>
      <c r="D48" s="362"/>
      <c r="E48" s="363" t="str">
        <f>IF(Model!E59&lt;&gt;"",Model!E59,"")</f>
        <v/>
      </c>
      <c r="F48" s="363" t="str">
        <f>IF(AND(G48&lt;&gt;"",E48&lt;&gt;""),G48-E48,"")</f>
        <v/>
      </c>
      <c r="G48" s="363" t="str">
        <f>IF(Model!G59&lt;&gt;"",Model!G59,"")</f>
        <v/>
      </c>
      <c r="H48" s="363" t="str">
        <f>IF(Model!H59&lt;&gt;"",Model!H59,"")</f>
        <v/>
      </c>
      <c r="I48" s="363" t="str">
        <f>IF(AND(J48&lt;&gt;"",H48&lt;&gt;""),J48-H48,"")</f>
        <v/>
      </c>
      <c r="J48" s="363" t="str">
        <f>IF(Model!J59&lt;&gt;"",Model!J59,"")</f>
        <v/>
      </c>
      <c r="K48" s="363" t="str">
        <f>IF(Model!K59&lt;&gt;"",Model!K59,"")</f>
        <v/>
      </c>
      <c r="L48" s="363" t="str">
        <f>IF(AND(M48&lt;&gt;"",K48&lt;&gt;""),M48-K48,"")</f>
        <v/>
      </c>
      <c r="M48" s="363" t="str">
        <f>IF(Model!M59&lt;&gt;"",Model!M59,"")</f>
        <v/>
      </c>
      <c r="N48" s="363" t="str">
        <f>IF(Model!N59&lt;&gt;"",Model!N59,"")</f>
        <v/>
      </c>
      <c r="O48" s="363" t="str">
        <f>IF(AND(P48&lt;&gt;"",N48&lt;&gt;""),P48-N48,"")</f>
        <v/>
      </c>
      <c r="P48" s="363" t="str">
        <f>IF(Model!P59&lt;&gt;"",Model!P59,"")</f>
        <v/>
      </c>
      <c r="Q48" s="363" t="str">
        <f>IF(Model!Q59&lt;&gt;"",Model!Q59,"")</f>
        <v/>
      </c>
      <c r="R48" s="363" t="str">
        <f>IF(AND(S48&lt;&gt;"",Q48&lt;&gt;""),S48-Q48,"")</f>
        <v/>
      </c>
      <c r="S48" s="363" t="str">
        <f>IF(Model!S59&lt;&gt;"",Model!S59,"")</f>
        <v/>
      </c>
      <c r="T48" s="363" t="str">
        <f>IF(Model!T59&lt;&gt;"",Model!T59,"")</f>
        <v/>
      </c>
      <c r="U48" s="363" t="str">
        <f>IF(AND(V48&lt;&gt;"",T48&lt;&gt;""),V48-T48,"")</f>
        <v/>
      </c>
      <c r="V48" s="363" t="str">
        <f>IF(Model!V59&lt;&gt;"",Model!V59,"")</f>
        <v/>
      </c>
      <c r="W48" s="363" t="str">
        <f>IF(Model!W59&lt;&gt;"",Model!W59,"")</f>
        <v/>
      </c>
      <c r="X48" s="363" t="str">
        <f>IF(AND(Y48&lt;&gt;"",W48&lt;&gt;""),Y48-W48,"")</f>
        <v/>
      </c>
      <c r="Y48" s="363" t="str">
        <f>IF(Model!Y59&lt;&gt;"",Model!Y59,"")</f>
        <v/>
      </c>
      <c r="Z48" s="363" t="str">
        <f>IF(Model!Z59&lt;&gt;"",Model!Z59,"")</f>
        <v/>
      </c>
      <c r="AA48" s="363" t="str">
        <f>IF(AND(AB48&lt;&gt;"",Z48&lt;&gt;""),AB48-Z48,"")</f>
        <v/>
      </c>
      <c r="AB48" s="363" t="str">
        <f>IF(Model!AB59&lt;&gt;"",Model!AB59,"")</f>
        <v/>
      </c>
      <c r="AC48" s="363" t="str">
        <f>IF(Model!AC59&lt;&gt;"",Model!AC59,"")</f>
        <v/>
      </c>
      <c r="AD48" s="363" t="str">
        <f>IF(AND(AE48&lt;&gt;"",AC48&lt;&gt;""),AE48-AC48,"")</f>
        <v/>
      </c>
      <c r="AE48" s="363" t="str">
        <f>IF(Model!AE59&lt;&gt;"",Model!AE59,"")</f>
        <v/>
      </c>
      <c r="AF48" s="363" t="str">
        <f>IF(Model!AF59&lt;&gt;"",Model!AF59,"")</f>
        <v/>
      </c>
      <c r="AG48" s="363" t="str">
        <f>IF(AND(AH48&lt;&gt;"",AF48&lt;&gt;""),AH48-AF48,"")</f>
        <v/>
      </c>
      <c r="AH48" s="363" t="str">
        <f>IF(Model!AH59&lt;&gt;"",Model!AH59,"")</f>
        <v/>
      </c>
      <c r="AI48" s="363">
        <f>IF(Model!AI59&lt;&gt;"",Model!AI59,"")</f>
        <v>0.94799999999999995</v>
      </c>
      <c r="AJ48" s="363">
        <f>IF(AND(AK48&lt;&gt;"",AI48&lt;&gt;""),AK48-AI48,"")</f>
        <v>0.93300000000000005</v>
      </c>
      <c r="AK48" s="363">
        <f>IF(Model!AK59&lt;&gt;"",Model!AK59,"")</f>
        <v>1.881</v>
      </c>
      <c r="AL48" s="363">
        <f>IF(Model!AL59&lt;&gt;"",Model!AL59,"")</f>
        <v>0.79100000000000004</v>
      </c>
      <c r="AM48" s="363">
        <f>IF(AND(AN48&lt;&gt;"",AL48&lt;&gt;""),AN48-AL48,"")</f>
        <v>0.75900000000000001</v>
      </c>
      <c r="AN48" s="363">
        <f>IF(Model!AN59&lt;&gt;"",Model!AN59,"")</f>
        <v>1.55</v>
      </c>
      <c r="AO48" s="363">
        <f>IF(Model!AO59&lt;&gt;"",Model!AO59,"")</f>
        <v>0.76500000000000001</v>
      </c>
      <c r="AP48" s="363">
        <f>IF(AND(AQ48&lt;&gt;"",AO48&lt;&gt;""),AQ48-AO48,"")</f>
        <v>0.83199999999999996</v>
      </c>
      <c r="AQ48" s="363">
        <f>IF(Model!AQ59&lt;&gt;"",Model!AQ59,"")</f>
        <v>1.597</v>
      </c>
      <c r="AR48" s="363">
        <f>IF(Model!AR59&lt;&gt;"",Model!AR59,"")</f>
        <v>0.80400000000000005</v>
      </c>
      <c r="AS48" s="363">
        <f>IF(AND(AT48&lt;&gt;"",AR48&lt;&gt;""),AT48-AR48,"")</f>
        <v>0.96399999999999997</v>
      </c>
      <c r="AT48" s="363">
        <f>IF(Model!AT59&lt;&gt;"",Model!AT59,"")</f>
        <v>1.768</v>
      </c>
      <c r="AU48" s="363">
        <f>IF(Model!AU59&lt;&gt;"",Model!AU59,"")</f>
        <v>0.91500000000000004</v>
      </c>
      <c r="AV48" s="363">
        <f>IF(AND(AW48&lt;&gt;"",AU48&lt;&gt;""),AW48-AU48,"")</f>
        <v>1.8119999999999998</v>
      </c>
      <c r="AW48" s="363">
        <f>IF(Model!AW59&lt;&gt;"",Model!AW59,"")</f>
        <v>2.7269999999999999</v>
      </c>
      <c r="AX48" s="363">
        <f>IF(Model!AX59&lt;&gt;"",Model!AX59,"")</f>
        <v>1.1399999999999999</v>
      </c>
      <c r="AY48" s="363">
        <f>IF(AND(AZ48&lt;&gt;"",AX48&lt;&gt;""),AZ48-AX48,"")</f>
        <v>1.5029999999999999</v>
      </c>
      <c r="AZ48" s="363">
        <f>IF(Model!AZ59&lt;&gt;"",Model!AZ59,"")</f>
        <v>2.6429999999999998</v>
      </c>
      <c r="BA48" s="363">
        <f>IF(Model!BA59&lt;&gt;"",Model!BA59,"")</f>
        <v>1.5920000000000001</v>
      </c>
      <c r="BB48" s="363">
        <f>IF(AND(BC48&lt;&gt;"",BA48&lt;&gt;""),BC48-BA48,"")</f>
        <v>1.9209999999999998</v>
      </c>
      <c r="BC48" s="363">
        <f>IF(Model!BC59&lt;&gt;"",Model!BC59,"")</f>
        <v>3.5129999999999999</v>
      </c>
      <c r="BD48" s="359"/>
      <c r="BE48" s="363" t="str">
        <f>IF(AND(BF48&lt;&gt;"",BD48&lt;&gt;""),BF48-BD48,"")</f>
        <v/>
      </c>
      <c r="BF48" s="359">
        <v>4.0999999999999996</v>
      </c>
      <c r="BG48" s="359">
        <v>3.6579999999999999</v>
      </c>
      <c r="BH48" s="363">
        <f>IF(AND(BI48&lt;&gt;"",BG48&lt;&gt;""),BI48-BG48,"")</f>
        <v>4.0820000000000007</v>
      </c>
      <c r="BI48" s="359">
        <v>7.74</v>
      </c>
      <c r="BJ48" s="359">
        <f>(-Model!BJ191/12.5)+BG48</f>
        <v>3.6579999999999999</v>
      </c>
      <c r="BK48" s="363">
        <f>IF(AND(BL48&lt;&gt;"",BJ48&lt;&gt;""),BL48-BJ48,"")</f>
        <v>4.0820000000000007</v>
      </c>
      <c r="BL48" s="359">
        <f>(-Model!BL191/12.5)+BI48</f>
        <v>7.74</v>
      </c>
      <c r="BM48" s="359">
        <f>(-Model!BM191/12.5)+BJ48</f>
        <v>4.9307999999999996</v>
      </c>
      <c r="BN48" s="363">
        <f>IF(AND(BO48&lt;&gt;"",BM48&lt;&gt;""),BO48-BM48,"")</f>
        <v>3.0526400000000002</v>
      </c>
      <c r="BO48" s="359">
        <f>(-Model!BO191/12.5)+BL48</f>
        <v>7.9834399999999999</v>
      </c>
      <c r="BP48" s="359">
        <f>(-Model!BP191/12.5)+BM48</f>
        <v>4.9307999999999996</v>
      </c>
      <c r="BQ48" s="363">
        <f>IF(AND(BR48&lt;&gt;"",BP48&lt;&gt;""),BR48-BP48,"")</f>
        <v>3.1091200000000008</v>
      </c>
      <c r="BR48" s="359">
        <f>(-Model!BR191/12.5)+BO48</f>
        <v>8.0399200000000004</v>
      </c>
      <c r="BS48" s="359">
        <f>(-Model!BS191/12.5)+BP48</f>
        <v>5.2052799999999992</v>
      </c>
      <c r="BT48" s="363">
        <f>IF(AND(BU48&lt;&gt;"",BS48&lt;&gt;""),BU48-BS48,"")</f>
        <v>3.4590400000000008</v>
      </c>
      <c r="BU48" s="359">
        <f>(-Model!BU191/12.5)+BR48</f>
        <v>8.66432</v>
      </c>
      <c r="BV48" s="359">
        <f>(-Model!BV191/12.5)+BS48</f>
        <v>5.7614399999999995</v>
      </c>
      <c r="BW48" s="363">
        <f>IF(AND(BX48&lt;&gt;"",BV48&lt;&gt;""),BX48-BV48,"")</f>
        <v>13.92756</v>
      </c>
      <c r="BX48" s="359">
        <f>Model!BX59</f>
        <v>19.689</v>
      </c>
      <c r="BY48" s="359">
        <f>Model!BY59</f>
        <v>5.9</v>
      </c>
      <c r="BZ48" s="359">
        <f>Model!BZ59</f>
        <v>5.8140000000000001</v>
      </c>
      <c r="CA48" s="359">
        <f>Model!CA59</f>
        <v>11.714</v>
      </c>
      <c r="CB48" s="359">
        <f>(-Model!CB191/12.5)+BY48</f>
        <v>8.4163999999999994</v>
      </c>
      <c r="CC48" s="363">
        <f>IF(AND(CD48&lt;&gt;"",CB48&lt;&gt;""),CD48-CB48,"")</f>
        <v>8.3932800000000007</v>
      </c>
      <c r="CD48" s="359">
        <f>(-Model!CD191/12.5)+CA48</f>
        <v>16.80968</v>
      </c>
      <c r="CE48" s="359">
        <f>(-Model!CE191/12.5)+CB48</f>
        <v>13.21968</v>
      </c>
      <c r="CF48" s="363">
        <f>IF(AND(CG48&lt;&gt;"",CE48&lt;&gt;""),CG48-CE48,"")</f>
        <v>6.8665599999999998</v>
      </c>
      <c r="CG48" s="359">
        <f>(-Model!CG191/12.5)+CD48</f>
        <v>20.08624</v>
      </c>
      <c r="CH48" s="359">
        <f>(-Model!CH191/12.5)+CE48</f>
        <v>13.21968</v>
      </c>
      <c r="CI48" s="363">
        <f>IF(AND(CJ48&lt;&gt;"",CH48&lt;&gt;""),CJ48-CH48,"")</f>
        <v>10.881319999999999</v>
      </c>
      <c r="CJ48" s="359">
        <v>24.100999999999999</v>
      </c>
      <c r="CK48" s="359">
        <f>(-Model!CK191/12.5)+CH48</f>
        <v>13.21968</v>
      </c>
      <c r="CL48" s="363">
        <f>IF(AND(CM48&lt;&gt;"",CK48&lt;&gt;""),CM48-CK48,"")</f>
        <v>10.881319999999999</v>
      </c>
      <c r="CM48" s="359">
        <v>24.100999999999999</v>
      </c>
      <c r="CN48" s="359">
        <f>(-Model!CN191/12.5)+CK48</f>
        <v>14.332319999999999</v>
      </c>
      <c r="CO48" s="363">
        <f>IF(AND(CP48&lt;&gt;"",CN48&lt;&gt;""),CP48-CN48,"")</f>
        <v>9.7686799999999998</v>
      </c>
      <c r="CP48" s="359">
        <f>(-Model!CP191/12.5)+CM48</f>
        <v>24.100999999999999</v>
      </c>
      <c r="CQ48" s="359">
        <f>(-Model!CQ191/12.5)+CN48</f>
        <v>15.1684</v>
      </c>
      <c r="CR48" s="363">
        <f>IF(AND(CS48&lt;&gt;"",CQ48&lt;&gt;""),CS48-CQ48,"")</f>
        <v>8.932599999999999</v>
      </c>
      <c r="CS48" s="359">
        <f>(-Model!CS191/12.5)+CP48</f>
        <v>24.100999999999999</v>
      </c>
      <c r="CT48" s="359">
        <f>(-Model!CT191/12.5)+CQ48</f>
        <v>15.1684</v>
      </c>
      <c r="CU48" s="363">
        <f>IF(AND(CV48&lt;&gt;"",CT48&lt;&gt;""),CV48-CT48,"")</f>
        <v>8.932599999999999</v>
      </c>
      <c r="CV48" s="359">
        <f>(-Model!CV191/12.5)+CS48</f>
        <v>24.100999999999999</v>
      </c>
      <c r="CW48" s="359">
        <f>(-Model!CW191/12.5)+CT48</f>
        <v>15.1684</v>
      </c>
      <c r="CX48" s="363">
        <f>IF(AND(CY48&lt;&gt;"",CW48&lt;&gt;""),CY48-CW48,"")</f>
        <v>11.137320000000001</v>
      </c>
      <c r="CY48" s="359">
        <f>(-Model!CY191/12.5)+CV48</f>
        <v>26.305720000000001</v>
      </c>
      <c r="CZ48" s="359">
        <f>(-Model!CZ191/12.5)+CW48</f>
        <v>15.5764</v>
      </c>
      <c r="DA48" s="363">
        <f>IF(AND(DB48&lt;&gt;"",CZ48&lt;&gt;""),DB48-CZ48,"")</f>
        <v>18.623600000000003</v>
      </c>
      <c r="DB48" s="359">
        <v>34.200000000000003</v>
      </c>
      <c r="DC48" s="359">
        <f>(-Model!DC191/16)+CZ48</f>
        <v>17.507649999999998</v>
      </c>
      <c r="DD48" s="363">
        <f>IF(AND(DE48&lt;&gt;"",DC48&lt;&gt;""),DE48-DC48,"")</f>
        <v>20.992350000000002</v>
      </c>
      <c r="DE48" s="359">
        <v>38.5</v>
      </c>
      <c r="DF48" s="359">
        <f>DF50+DF49</f>
        <v>34.124067910447756</v>
      </c>
      <c r="DG48" s="366">
        <f>DH48-DF48</f>
        <v>43.385455899076057</v>
      </c>
      <c r="DH48" s="359">
        <f>DH49+DH50</f>
        <v>77.509523809523813</v>
      </c>
      <c r="DI48" s="359">
        <v>38.680999999999997</v>
      </c>
      <c r="DJ48" s="363">
        <f>DK48-DI48</f>
        <v>37.719000000000008</v>
      </c>
      <c r="DK48" s="1361">
        <v>76.400000000000006</v>
      </c>
      <c r="DL48" s="359">
        <v>40.6</v>
      </c>
      <c r="DM48" s="363">
        <f>DN48-DL48</f>
        <v>32.4</v>
      </c>
      <c r="DN48" s="1361">
        <v>73</v>
      </c>
      <c r="DO48" s="1232">
        <v>37.299999999999997</v>
      </c>
      <c r="DP48" s="363">
        <f>DQ48-DO48</f>
        <v>43.600000000000009</v>
      </c>
      <c r="DQ48" s="1361">
        <v>80.900000000000006</v>
      </c>
      <c r="DR48" s="1232">
        <v>43.1</v>
      </c>
      <c r="DS48" s="363">
        <f>DT48-DR48</f>
        <v>41.800000000000004</v>
      </c>
      <c r="DT48" s="1361">
        <v>84.9</v>
      </c>
      <c r="DU48" s="1232">
        <v>43.8</v>
      </c>
      <c r="DV48" s="363">
        <f>DW48-DU48</f>
        <v>46.600000000000009</v>
      </c>
      <c r="DW48" s="1361">
        <v>90.4</v>
      </c>
      <c r="DX48" s="1232">
        <v>51.6</v>
      </c>
      <c r="DY48" s="363">
        <f>DZ48-DX48</f>
        <v>54.752867302086024</v>
      </c>
      <c r="DZ48" s="1208">
        <f>DZ49+DZ50</f>
        <v>106.35286730208603</v>
      </c>
      <c r="EA48" s="359">
        <f t="shared" ref="EA48" si="68">EA50+EA49</f>
        <v>56.779653847549476</v>
      </c>
      <c r="EB48" s="363">
        <f t="shared" ref="EB48" si="69">EC48-EA48</f>
        <v>58.529001406312254</v>
      </c>
      <c r="EC48" s="1208">
        <f t="shared" ref="EC48" si="70">EC49+EC50</f>
        <v>115.30865525386173</v>
      </c>
      <c r="ED48" s="359">
        <f t="shared" ref="ED48" si="71">ED50+ED49</f>
        <v>52.807553179607353</v>
      </c>
      <c r="EE48" s="363">
        <f t="shared" ref="EE48" si="72">EF48-ED48</f>
        <v>54.441039868303662</v>
      </c>
      <c r="EF48" s="1208">
        <f t="shared" ref="EF48" si="73">EF49+EF50</f>
        <v>107.24859304791102</v>
      </c>
      <c r="EG48" s="359">
        <f t="shared" ref="EG48" si="74">EG50+EG49</f>
        <v>57.560232965772002</v>
      </c>
      <c r="EH48" s="363">
        <f t="shared" ref="EH48" si="75">EI48-EG48</f>
        <v>59.340733456450991</v>
      </c>
      <c r="EI48" s="1208">
        <f t="shared" ref="EI48" si="76">EI49+EI50</f>
        <v>116.90096642222299</v>
      </c>
      <c r="EJ48" s="359">
        <f t="shared" ref="EJ48" si="77">EJ50+EJ49</f>
        <v>62.740653932691487</v>
      </c>
      <c r="EK48" s="363">
        <f t="shared" ref="EK48" si="78">EL48-EJ48</f>
        <v>64.681399467531605</v>
      </c>
      <c r="EL48" s="1208">
        <f t="shared" ref="EL48" si="79">EL49+EL50</f>
        <v>127.42205340022309</v>
      </c>
      <c r="EM48" s="359">
        <f t="shared" ref="EM48" si="80">EM50+EM49</f>
        <v>68.387312786633728</v>
      </c>
      <c r="EN48" s="363">
        <f t="shared" ref="EN48" si="81">EO48-EM48</f>
        <v>70.502725419609462</v>
      </c>
      <c r="EO48" s="1208">
        <f t="shared" ref="EO48" si="82">EO49+EO50</f>
        <v>138.89003820624319</v>
      </c>
      <c r="EP48" s="359">
        <f t="shared" ref="EP48" si="83">EP50+EP49</f>
        <v>74.542170937430768</v>
      </c>
      <c r="EQ48" s="363">
        <f t="shared" ref="EQ48" si="84">ER48-EP48</f>
        <v>76.847970707374316</v>
      </c>
      <c r="ER48" s="1208">
        <f t="shared" ref="ER48" si="85">ER49+ER50</f>
        <v>151.39014164480508</v>
      </c>
      <c r="ES48" s="359">
        <f t="shared" ref="ES48" si="86">ES50+ES49</f>
        <v>81.250966321799552</v>
      </c>
      <c r="ET48" s="363">
        <f t="shared" ref="ET48" si="87">EU48-ES48</f>
        <v>83.76428807103801</v>
      </c>
      <c r="EU48" s="1208">
        <f t="shared" ref="EU48" si="88">EU49+EU50</f>
        <v>165.01525439283756</v>
      </c>
      <c r="EV48" s="359">
        <f t="shared" ref="EV48" si="89">EV50+EV49</f>
        <v>88.563553290761519</v>
      </c>
      <c r="EW48" s="363">
        <f t="shared" ref="EW48" si="90">EX48-EV48</f>
        <v>91.303073997431426</v>
      </c>
      <c r="EX48" s="1208">
        <f t="shared" ref="EX48" si="91">EX49+EX50</f>
        <v>179.86662728819294</v>
      </c>
      <c r="EY48" s="359">
        <f t="shared" ref="EY48" si="92">EY50+EY49</f>
        <v>96.534273086930057</v>
      </c>
      <c r="EZ48" s="363">
        <f t="shared" ref="EZ48" si="93">FA48-EY48</f>
        <v>99.520350657200254</v>
      </c>
      <c r="FA48" s="359">
        <f t="shared" ref="FA48" si="94">FA49+FA50</f>
        <v>196.05462374413031</v>
      </c>
    </row>
    <row r="49" spans="1:157" ht="13.35" customHeight="1">
      <c r="A49" s="5"/>
      <c r="B49" s="5"/>
      <c r="C49" s="5" t="s">
        <v>955</v>
      </c>
      <c r="D49" s="362"/>
      <c r="E49" s="363"/>
      <c r="F49" s="363"/>
      <c r="G49" s="363"/>
      <c r="H49" s="363"/>
      <c r="I49" s="363"/>
      <c r="J49" s="363"/>
      <c r="K49" s="363"/>
      <c r="L49" s="363"/>
      <c r="M49" s="363"/>
      <c r="N49" s="363"/>
      <c r="O49" s="363"/>
      <c r="P49" s="363"/>
      <c r="Q49" s="363"/>
      <c r="R49" s="363"/>
      <c r="S49" s="363"/>
      <c r="T49" s="363"/>
      <c r="U49" s="363"/>
      <c r="V49" s="363"/>
      <c r="W49" s="363"/>
      <c r="X49" s="363"/>
      <c r="Y49" s="363"/>
      <c r="Z49" s="363"/>
      <c r="AA49" s="363"/>
      <c r="AB49" s="363"/>
      <c r="AC49" s="363"/>
      <c r="AD49" s="363"/>
      <c r="AE49" s="363"/>
      <c r="AF49" s="363"/>
      <c r="AG49" s="363"/>
      <c r="AH49" s="363"/>
      <c r="AI49" s="363"/>
      <c r="AJ49" s="363"/>
      <c r="AK49" s="363"/>
      <c r="AL49" s="363"/>
      <c r="AM49" s="363"/>
      <c r="AN49" s="363"/>
      <c r="AO49" s="363"/>
      <c r="AP49" s="363"/>
      <c r="AQ49" s="363"/>
      <c r="AR49" s="363"/>
      <c r="AS49" s="363"/>
      <c r="AT49" s="363"/>
      <c r="AU49" s="363"/>
      <c r="AV49" s="363"/>
      <c r="AW49" s="363"/>
      <c r="AX49" s="363"/>
      <c r="AY49" s="363"/>
      <c r="AZ49" s="363"/>
      <c r="BA49" s="363"/>
      <c r="BB49" s="363"/>
      <c r="BC49" s="363"/>
      <c r="BD49" s="359"/>
      <c r="BE49" s="363"/>
      <c r="BF49" s="359"/>
      <c r="BG49" s="359"/>
      <c r="BH49" s="363"/>
      <c r="BI49" s="359"/>
      <c r="BJ49" s="359"/>
      <c r="BK49" s="363"/>
      <c r="BL49" s="359"/>
      <c r="BM49" s="359"/>
      <c r="BN49" s="363"/>
      <c r="BO49" s="359"/>
      <c r="BP49" s="359"/>
      <c r="BQ49" s="363"/>
      <c r="BR49" s="359"/>
      <c r="BS49" s="359"/>
      <c r="BT49" s="363"/>
      <c r="BU49" s="359"/>
      <c r="BV49" s="359"/>
      <c r="BW49" s="363"/>
      <c r="BX49" s="359"/>
      <c r="BY49" s="359"/>
      <c r="BZ49" s="359"/>
      <c r="CA49" s="359"/>
      <c r="CB49" s="359"/>
      <c r="CC49" s="363"/>
      <c r="CD49" s="359"/>
      <c r="CE49" s="359"/>
      <c r="CF49" s="363"/>
      <c r="CG49" s="359"/>
      <c r="CH49" s="359"/>
      <c r="CI49" s="363"/>
      <c r="CJ49" s="359"/>
      <c r="CK49" s="359"/>
      <c r="CL49" s="363"/>
      <c r="CM49" s="359"/>
      <c r="CN49" s="359"/>
      <c r="CO49" s="363"/>
      <c r="CP49" s="359"/>
      <c r="CQ49" s="359"/>
      <c r="CR49" s="363"/>
      <c r="CS49" s="359"/>
      <c r="CT49" s="359"/>
      <c r="CU49" s="363"/>
      <c r="CV49" s="359"/>
      <c r="CW49" s="359"/>
      <c r="CX49" s="363"/>
      <c r="CY49" s="359"/>
      <c r="CZ49" s="359"/>
      <c r="DA49" s="363"/>
      <c r="DB49" s="359"/>
      <c r="DC49" s="359"/>
      <c r="DD49" s="363"/>
      <c r="DE49" s="359"/>
      <c r="DF49" s="359">
        <f>(-Model!DF191/13.4)+DC48</f>
        <v>21.224067910447758</v>
      </c>
      <c r="DG49" s="363">
        <f>IF(AND(DH49&lt;&gt;"",DF49&lt;&gt;""),DH49-DF49,"")</f>
        <v>27.885455899076049</v>
      </c>
      <c r="DH49" s="359">
        <f>(-Model!DH191/10.5)+DE48</f>
        <v>49.109523809523807</v>
      </c>
      <c r="DI49" s="359">
        <f>+DI48-DI50</f>
        <v>26.880999999999997</v>
      </c>
      <c r="DJ49" s="359">
        <f>+DJ48-DJ50</f>
        <v>22.019000000000009</v>
      </c>
      <c r="DK49" s="1208">
        <f>+SUM(DI49:DJ49)</f>
        <v>48.900000000000006</v>
      </c>
      <c r="DL49" s="359">
        <f>+DL48-DL50</f>
        <v>26.929000000000002</v>
      </c>
      <c r="DM49" s="359">
        <f>+DM48-DM50</f>
        <v>18.170999999999999</v>
      </c>
      <c r="DN49" s="1208">
        <f>+SUM(DL49:DM49)</f>
        <v>45.1</v>
      </c>
      <c r="DO49" s="359">
        <f>+DO48-DO50</f>
        <v>22.452999999999996</v>
      </c>
      <c r="DP49" s="359">
        <f>+DP48-DP50</f>
        <v>28.147000000000006</v>
      </c>
      <c r="DQ49" s="1208">
        <f>+SUM(DO49:DP49)</f>
        <v>50.6</v>
      </c>
      <c r="DR49" s="359">
        <f>+DR48-DR50</f>
        <v>26.881</v>
      </c>
      <c r="DS49" s="359">
        <f>+DS48-DS50</f>
        <v>24.919000000000004</v>
      </c>
      <c r="DT49" s="1208">
        <f>+SUM(DR49:DS49)</f>
        <v>51.800000000000004</v>
      </c>
      <c r="DU49" s="359">
        <f>+DU48-DU50</f>
        <v>24.297999999999998</v>
      </c>
      <c r="DV49" s="359">
        <f>+DV48-DV50</f>
        <v>26.30200000000001</v>
      </c>
      <c r="DW49" s="1208">
        <f>+SUM(DU49:DV49)</f>
        <v>50.600000000000009</v>
      </c>
      <c r="DX49" s="359">
        <f>DX48-DX50</f>
        <v>30.1</v>
      </c>
      <c r="DY49" s="359">
        <f t="shared" ref="DY49:DY50" si="95">+DY$52*DY53</f>
        <v>34.617318639572957</v>
      </c>
      <c r="DZ49" s="1208">
        <f>+SUM(DX49:DY49)</f>
        <v>64.717318639572966</v>
      </c>
      <c r="EA49" s="359">
        <f t="shared" ref="EA49:EW50" si="96">+EA$52*EA53</f>
        <v>35.898747706503933</v>
      </c>
      <c r="EB49" s="359">
        <f t="shared" si="96"/>
        <v>37.004766894849581</v>
      </c>
      <c r="EC49" s="1208">
        <f t="shared" ref="EC49:EC50" si="97">+SUM(EA49:EB49)</f>
        <v>72.903514601353521</v>
      </c>
      <c r="ED49" s="359">
        <f t="shared" ref="ED49" si="98">+ED$52*ED53</f>
        <v>30.175744674061345</v>
      </c>
      <c r="EE49" s="359">
        <f t="shared" si="96"/>
        <v>31.109165639030671</v>
      </c>
      <c r="EF49" s="1208">
        <f t="shared" ref="EF49:EF50" si="99">+SUM(ED49:EE49)</f>
        <v>61.284910313092013</v>
      </c>
      <c r="EG49" s="359">
        <f t="shared" ref="EG49" si="100">+EG$52*EG53</f>
        <v>32.89156169472686</v>
      </c>
      <c r="EH49" s="359">
        <f t="shared" si="96"/>
        <v>33.908990546543428</v>
      </c>
      <c r="EI49" s="1208">
        <f t="shared" ref="EI49:EI50" si="101">+SUM(EG49:EH49)</f>
        <v>66.800552241270282</v>
      </c>
      <c r="EJ49" s="359">
        <f t="shared" ref="EJ49" si="102">+EJ$52*EJ53</f>
        <v>35.85180224725228</v>
      </c>
      <c r="EK49" s="359">
        <f t="shared" si="96"/>
        <v>36.960799695732341</v>
      </c>
      <c r="EL49" s="1208">
        <f t="shared" ref="EL49:EL50" si="103">+SUM(EJ49:EK49)</f>
        <v>72.812601942984628</v>
      </c>
      <c r="EM49" s="359">
        <f t="shared" ref="EM49" si="104">+EM$52*EM53</f>
        <v>39.078464449504992</v>
      </c>
      <c r="EN49" s="359">
        <f t="shared" si="96"/>
        <v>40.287271668348261</v>
      </c>
      <c r="EO49" s="1208">
        <f t="shared" ref="EO49:EO50" si="105">+SUM(EM49:EN49)</f>
        <v>79.36573611785326</v>
      </c>
      <c r="EP49" s="359">
        <f t="shared" ref="EP49" si="106">+EP$52*EP53</f>
        <v>42.595526249960443</v>
      </c>
      <c r="EQ49" s="359">
        <f t="shared" si="96"/>
        <v>43.913126118499605</v>
      </c>
      <c r="ER49" s="1208">
        <f t="shared" ref="ER49:ER50" si="107">+SUM(EP49:EQ49)</f>
        <v>86.508652368460048</v>
      </c>
      <c r="ES49" s="359">
        <f t="shared" ref="ES49" si="108">+ES$52*ES53</f>
        <v>46.429123612456891</v>
      </c>
      <c r="ET49" s="359">
        <f t="shared" si="96"/>
        <v>47.865307469164577</v>
      </c>
      <c r="EU49" s="1208">
        <f t="shared" ref="EU49:EU50" si="109">+SUM(ES49:ET49)</f>
        <v>94.294431081621468</v>
      </c>
      <c r="EV49" s="359">
        <f t="shared" ref="EV49" si="110">+EV$52*EV53</f>
        <v>50.607744737578017</v>
      </c>
      <c r="EW49" s="359">
        <f t="shared" si="96"/>
        <v>52.173185141389389</v>
      </c>
      <c r="EX49" s="1208">
        <f t="shared" ref="EX49:EX50" si="111">+SUM(EV49:EW49)</f>
        <v>102.78092987896741</v>
      </c>
      <c r="EY49" s="359">
        <f t="shared" ref="EY49:EZ49" si="112">+EY$52*EY53</f>
        <v>55.162441763960032</v>
      </c>
      <c r="EZ49" s="359">
        <f t="shared" si="112"/>
        <v>56.868771804114438</v>
      </c>
      <c r="FA49" s="359">
        <f t="shared" ref="FA49:FA50" si="113">+SUM(EY49:EZ49)</f>
        <v>112.03121356807446</v>
      </c>
    </row>
    <row r="50" spans="1:157" ht="13.35" customHeight="1">
      <c r="A50" s="5"/>
      <c r="B50" s="5"/>
      <c r="C50" s="5" t="s">
        <v>954</v>
      </c>
      <c r="D50" s="362"/>
      <c r="E50" s="363"/>
      <c r="F50" s="363"/>
      <c r="G50" s="363"/>
      <c r="H50" s="363"/>
      <c r="I50" s="363"/>
      <c r="J50" s="363"/>
      <c r="K50" s="363"/>
      <c r="L50" s="363"/>
      <c r="M50" s="363"/>
      <c r="N50" s="363"/>
      <c r="O50" s="363"/>
      <c r="P50" s="363"/>
      <c r="Q50" s="363"/>
      <c r="R50" s="363"/>
      <c r="S50" s="363"/>
      <c r="T50" s="363"/>
      <c r="U50" s="363"/>
      <c r="V50" s="363"/>
      <c r="W50" s="363"/>
      <c r="X50" s="363"/>
      <c r="Y50" s="363"/>
      <c r="Z50" s="363"/>
      <c r="AA50" s="363"/>
      <c r="AB50" s="363"/>
      <c r="AC50" s="363"/>
      <c r="AD50" s="363"/>
      <c r="AE50" s="363"/>
      <c r="AF50" s="363"/>
      <c r="AG50" s="363"/>
      <c r="AH50" s="363"/>
      <c r="AI50" s="363"/>
      <c r="AJ50" s="363"/>
      <c r="AK50" s="363"/>
      <c r="AL50" s="363"/>
      <c r="AM50" s="363"/>
      <c r="AN50" s="363"/>
      <c r="AO50" s="363"/>
      <c r="AP50" s="363"/>
      <c r="AQ50" s="363"/>
      <c r="AR50" s="363"/>
      <c r="AS50" s="363"/>
      <c r="AT50" s="363"/>
      <c r="AU50" s="363"/>
      <c r="AV50" s="363"/>
      <c r="AW50" s="363"/>
      <c r="AX50" s="363"/>
      <c r="AY50" s="363"/>
      <c r="AZ50" s="363"/>
      <c r="BA50" s="363"/>
      <c r="BB50" s="363"/>
      <c r="BC50" s="363"/>
      <c r="BD50" s="359"/>
      <c r="BE50" s="363"/>
      <c r="BF50" s="359"/>
      <c r="BG50" s="359"/>
      <c r="BH50" s="363"/>
      <c r="BI50" s="359"/>
      <c r="BJ50" s="359"/>
      <c r="BK50" s="363"/>
      <c r="BL50" s="359"/>
      <c r="BM50" s="359"/>
      <c r="BN50" s="363"/>
      <c r="BO50" s="359"/>
      <c r="BP50" s="359"/>
      <c r="BQ50" s="363"/>
      <c r="BR50" s="359"/>
      <c r="BS50" s="359"/>
      <c r="BT50" s="363"/>
      <c r="BU50" s="359"/>
      <c r="BV50" s="359"/>
      <c r="BW50" s="363"/>
      <c r="BX50" s="359"/>
      <c r="BY50" s="359"/>
      <c r="BZ50" s="359"/>
      <c r="CA50" s="359"/>
      <c r="CB50" s="359"/>
      <c r="CC50" s="363"/>
      <c r="CD50" s="359"/>
      <c r="CE50" s="359"/>
      <c r="CF50" s="363"/>
      <c r="CG50" s="359"/>
      <c r="CH50" s="359"/>
      <c r="CI50" s="363"/>
      <c r="CJ50" s="359"/>
      <c r="CK50" s="359"/>
      <c r="CL50" s="363"/>
      <c r="CM50" s="359"/>
      <c r="CN50" s="359"/>
      <c r="CO50" s="363"/>
      <c r="CP50" s="359"/>
      <c r="CQ50" s="359"/>
      <c r="CR50" s="363"/>
      <c r="CS50" s="359"/>
      <c r="CT50" s="359"/>
      <c r="CU50" s="363"/>
      <c r="CV50" s="359"/>
      <c r="CW50" s="359"/>
      <c r="CX50" s="363"/>
      <c r="CY50" s="359"/>
      <c r="CZ50" s="359"/>
      <c r="DA50" s="363"/>
      <c r="DB50" s="359"/>
      <c r="DC50" s="359"/>
      <c r="DD50" s="363"/>
      <c r="DE50" s="359"/>
      <c r="DF50" s="367">
        <v>12.9</v>
      </c>
      <c r="DG50" s="368">
        <f>28.4-DF50</f>
        <v>15.499999999999998</v>
      </c>
      <c r="DH50" s="369">
        <f>SUM(DF50:DG50)</f>
        <v>28.4</v>
      </c>
      <c r="DI50" s="370">
        <v>11.8</v>
      </c>
      <c r="DJ50" s="371">
        <f>27.5-DI50</f>
        <v>15.7</v>
      </c>
      <c r="DK50" s="1208">
        <f>SUM(DI50:DJ50)</f>
        <v>27.5</v>
      </c>
      <c r="DL50" s="172">
        <f>+DN50*0.49</f>
        <v>13.670999999999999</v>
      </c>
      <c r="DM50" s="271">
        <f>+DN50-DL50</f>
        <v>14.228999999999999</v>
      </c>
      <c r="DN50" s="1361">
        <v>27.9</v>
      </c>
      <c r="DO50" s="172">
        <f>+DQ50*0.49</f>
        <v>14.847</v>
      </c>
      <c r="DP50" s="271">
        <f>+DQ50-DO50</f>
        <v>15.453000000000001</v>
      </c>
      <c r="DQ50" s="1361">
        <v>30.3</v>
      </c>
      <c r="DR50" s="172">
        <f>+DT50*0.49</f>
        <v>16.219000000000001</v>
      </c>
      <c r="DS50" s="271">
        <f>+DT50-DR50</f>
        <v>16.881</v>
      </c>
      <c r="DT50" s="1361">
        <v>33.1</v>
      </c>
      <c r="DU50" s="172">
        <f>+DW50*0.49</f>
        <v>19.501999999999999</v>
      </c>
      <c r="DV50" s="271">
        <f>+DW50-DU50</f>
        <v>20.297999999999998</v>
      </c>
      <c r="DW50" s="1628">
        <v>39.799999999999997</v>
      </c>
      <c r="DX50" s="1232">
        <v>21.5</v>
      </c>
      <c r="DY50" s="359">
        <f t="shared" si="95"/>
        <v>20.135548662513067</v>
      </c>
      <c r="DZ50" s="1208">
        <f>+SUM(DX50:DY50)</f>
        <v>41.635548662513067</v>
      </c>
      <c r="EA50" s="359">
        <f t="shared" ref="EA50" si="114">+EA$52*EA54</f>
        <v>20.880906141045543</v>
      </c>
      <c r="EB50" s="359">
        <f t="shared" si="96"/>
        <v>21.524234511462673</v>
      </c>
      <c r="EC50" s="1208">
        <f t="shared" si="97"/>
        <v>42.405140652508216</v>
      </c>
      <c r="ED50" s="359">
        <f t="shared" ref="ED50" si="115">+ED$52*ED54</f>
        <v>22.631808505546008</v>
      </c>
      <c r="EE50" s="359">
        <f t="shared" si="96"/>
        <v>23.331874229273001</v>
      </c>
      <c r="EF50" s="1208">
        <f t="shared" si="99"/>
        <v>45.96368273481901</v>
      </c>
      <c r="EG50" s="359">
        <f t="shared" ref="EG50" si="116">+EG$52*EG54</f>
        <v>24.668671271045145</v>
      </c>
      <c r="EH50" s="359">
        <f t="shared" si="96"/>
        <v>25.43174290990757</v>
      </c>
      <c r="EI50" s="1208">
        <f t="shared" si="101"/>
        <v>50.100414180952711</v>
      </c>
      <c r="EJ50" s="359">
        <f t="shared" ref="EJ50" si="117">+EJ$52*EJ54</f>
        <v>26.88885168543921</v>
      </c>
      <c r="EK50" s="359">
        <f t="shared" si="96"/>
        <v>27.720599771799254</v>
      </c>
      <c r="EL50" s="1208">
        <f t="shared" si="103"/>
        <v>54.609451457238464</v>
      </c>
      <c r="EM50" s="359">
        <f t="shared" ref="EM50" si="118">+EM$52*EM54</f>
        <v>29.30884833712874</v>
      </c>
      <c r="EN50" s="359">
        <f t="shared" si="96"/>
        <v>30.215453751261194</v>
      </c>
      <c r="EO50" s="1208">
        <f t="shared" si="105"/>
        <v>59.524302088389931</v>
      </c>
      <c r="EP50" s="359">
        <f t="shared" ref="EP50" si="119">+EP$52*EP54</f>
        <v>31.946644687470329</v>
      </c>
      <c r="EQ50" s="359">
        <f t="shared" si="96"/>
        <v>32.934844588874704</v>
      </c>
      <c r="ER50" s="1208">
        <f t="shared" si="107"/>
        <v>64.881489276345036</v>
      </c>
      <c r="ES50" s="359">
        <f t="shared" ref="ES50" si="120">+ES$52*ES54</f>
        <v>34.821842709342661</v>
      </c>
      <c r="ET50" s="359">
        <f t="shared" si="96"/>
        <v>35.898980601873426</v>
      </c>
      <c r="EU50" s="1208">
        <f t="shared" si="109"/>
        <v>70.720823311216094</v>
      </c>
      <c r="EV50" s="359">
        <f t="shared" ref="EV50" si="121">+EV$52*EV54</f>
        <v>37.955808553183509</v>
      </c>
      <c r="EW50" s="359">
        <f t="shared" si="96"/>
        <v>39.129888856042037</v>
      </c>
      <c r="EX50" s="1208">
        <f t="shared" si="111"/>
        <v>77.085697409225546</v>
      </c>
      <c r="EY50" s="359">
        <f t="shared" ref="EY50:EZ50" si="122">+EY$52*EY54</f>
        <v>41.371831322970024</v>
      </c>
      <c r="EZ50" s="359">
        <f t="shared" si="122"/>
        <v>42.65157885308583</v>
      </c>
      <c r="FA50" s="359">
        <f t="shared" si="113"/>
        <v>84.023410176055847</v>
      </c>
    </row>
    <row r="51" spans="1:157" ht="13.35" customHeight="1">
      <c r="A51" s="5"/>
      <c r="B51" s="5"/>
      <c r="C51" s="5"/>
      <c r="D51" s="362"/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3"/>
      <c r="X51" s="363"/>
      <c r="Y51" s="363"/>
      <c r="Z51" s="363"/>
      <c r="AA51" s="363"/>
      <c r="AB51" s="363"/>
      <c r="AC51" s="363"/>
      <c r="AD51" s="363"/>
      <c r="AE51" s="363"/>
      <c r="AF51" s="363"/>
      <c r="AG51" s="363"/>
      <c r="AH51" s="363"/>
      <c r="AI51" s="363"/>
      <c r="AJ51" s="363"/>
      <c r="AK51" s="363"/>
      <c r="AL51" s="363"/>
      <c r="AM51" s="363"/>
      <c r="AN51" s="363"/>
      <c r="AO51" s="363"/>
      <c r="AP51" s="363"/>
      <c r="AQ51" s="363"/>
      <c r="AR51" s="363"/>
      <c r="AS51" s="363"/>
      <c r="AT51" s="363"/>
      <c r="AU51" s="363"/>
      <c r="AV51" s="363"/>
      <c r="AW51" s="363"/>
      <c r="AX51" s="363"/>
      <c r="AY51" s="363"/>
      <c r="AZ51" s="363"/>
      <c r="BA51" s="363"/>
      <c r="BB51" s="363"/>
      <c r="BC51" s="363"/>
      <c r="BD51" s="359"/>
      <c r="BE51" s="363"/>
      <c r="BF51" s="359"/>
      <c r="BG51" s="359"/>
      <c r="BH51" s="363"/>
      <c r="BI51" s="359"/>
      <c r="BJ51" s="359"/>
      <c r="BK51" s="363"/>
      <c r="BL51" s="359"/>
      <c r="BM51" s="359"/>
      <c r="BN51" s="363"/>
      <c r="BO51" s="359"/>
      <c r="BP51" s="359"/>
      <c r="BQ51" s="363"/>
      <c r="BR51" s="359"/>
      <c r="BS51" s="359"/>
      <c r="BT51" s="363"/>
      <c r="BU51" s="359"/>
      <c r="BV51" s="359"/>
      <c r="BW51" s="363"/>
      <c r="BX51" s="359"/>
      <c r="BY51" s="359"/>
      <c r="BZ51" s="359"/>
      <c r="CA51" s="359"/>
      <c r="CB51" s="359"/>
      <c r="CC51" s="363"/>
      <c r="CD51" s="359"/>
      <c r="CE51" s="359"/>
      <c r="CF51" s="363"/>
      <c r="CG51" s="359"/>
      <c r="CH51" s="359"/>
      <c r="CI51" s="363"/>
      <c r="CJ51" s="359"/>
      <c r="CK51" s="359"/>
      <c r="CL51" s="363"/>
      <c r="CM51" s="359"/>
      <c r="CN51" s="359"/>
      <c r="CO51" s="363"/>
      <c r="CP51" s="359"/>
      <c r="CQ51" s="359"/>
      <c r="CR51" s="363"/>
      <c r="CS51" s="359"/>
      <c r="CT51" s="359"/>
      <c r="CU51" s="363"/>
      <c r="CV51" s="359"/>
      <c r="CW51" s="359"/>
      <c r="CX51" s="363"/>
      <c r="CY51" s="359"/>
      <c r="CZ51" s="359"/>
      <c r="DA51" s="363"/>
      <c r="DB51" s="359"/>
      <c r="DC51" s="359"/>
      <c r="DD51" s="363"/>
      <c r="DE51" s="359"/>
      <c r="DF51" s="367"/>
      <c r="DG51" s="368"/>
      <c r="DH51" s="369"/>
      <c r="DI51" s="370"/>
      <c r="DJ51" s="371"/>
      <c r="DK51" s="1208"/>
      <c r="DL51" s="172"/>
      <c r="DM51" s="271"/>
      <c r="DN51" s="1361"/>
      <c r="DO51" s="172"/>
      <c r="DP51" s="271"/>
      <c r="DQ51" s="1361"/>
      <c r="DR51" s="172"/>
      <c r="DS51" s="271"/>
      <c r="DT51" s="1361"/>
      <c r="DU51" s="172"/>
      <c r="DV51" s="271"/>
      <c r="DW51" s="1628"/>
      <c r="DX51" s="172"/>
      <c r="DY51" s="271"/>
      <c r="DZ51" s="1208"/>
      <c r="EA51" s="172"/>
      <c r="EB51" s="271"/>
      <c r="EC51" s="1208"/>
      <c r="ED51" s="172"/>
      <c r="EE51" s="271"/>
      <c r="EF51" s="1208"/>
      <c r="EG51" s="172"/>
      <c r="EH51" s="271"/>
      <c r="EI51" s="1208"/>
      <c r="EJ51" s="172"/>
      <c r="EK51" s="271"/>
      <c r="EL51" s="1208"/>
      <c r="EM51" s="172"/>
      <c r="EN51" s="271"/>
      <c r="EO51" s="1208"/>
      <c r="EP51" s="172"/>
      <c r="EQ51" s="271"/>
      <c r="ER51" s="1208"/>
      <c r="ES51" s="172"/>
      <c r="ET51" s="271"/>
      <c r="EU51" s="1208"/>
      <c r="EV51" s="172"/>
      <c r="EW51" s="271"/>
      <c r="EX51" s="1208"/>
      <c r="EY51" s="172"/>
      <c r="EZ51" s="271"/>
      <c r="FA51" s="359"/>
    </row>
    <row r="52" spans="1:157" ht="13.35" customHeight="1">
      <c r="A52" s="5"/>
      <c r="B52" s="5"/>
      <c r="C52" s="5" t="s">
        <v>625</v>
      </c>
      <c r="D52" s="362"/>
      <c r="E52" s="363"/>
      <c r="F52" s="363"/>
      <c r="G52" s="363"/>
      <c r="H52" s="363"/>
      <c r="I52" s="363"/>
      <c r="J52" s="363"/>
      <c r="K52" s="363"/>
      <c r="L52" s="363"/>
      <c r="M52" s="363"/>
      <c r="N52" s="363"/>
      <c r="O52" s="363"/>
      <c r="P52" s="363"/>
      <c r="Q52" s="363"/>
      <c r="R52" s="363"/>
      <c r="S52" s="363"/>
      <c r="T52" s="363"/>
      <c r="U52" s="363"/>
      <c r="V52" s="363"/>
      <c r="W52" s="363"/>
      <c r="X52" s="363"/>
      <c r="Y52" s="363"/>
      <c r="Z52" s="363"/>
      <c r="AA52" s="363"/>
      <c r="AB52" s="363"/>
      <c r="AC52" s="363"/>
      <c r="AD52" s="363"/>
      <c r="AE52" s="363"/>
      <c r="AF52" s="363"/>
      <c r="AG52" s="363"/>
      <c r="AH52" s="363"/>
      <c r="AI52" s="363"/>
      <c r="AJ52" s="363"/>
      <c r="AK52" s="363"/>
      <c r="AL52" s="363"/>
      <c r="AM52" s="363"/>
      <c r="AN52" s="363"/>
      <c r="AO52" s="363"/>
      <c r="AP52" s="363"/>
      <c r="AQ52" s="363"/>
      <c r="AR52" s="363"/>
      <c r="AS52" s="363"/>
      <c r="AT52" s="363"/>
      <c r="AU52" s="363"/>
      <c r="AV52" s="363"/>
      <c r="AW52" s="363"/>
      <c r="AX52" s="363"/>
      <c r="AY52" s="363"/>
      <c r="AZ52" s="363"/>
      <c r="BA52" s="363"/>
      <c r="BB52" s="363"/>
      <c r="BC52" s="363"/>
      <c r="BD52" s="359"/>
      <c r="BE52" s="363"/>
      <c r="BF52" s="359"/>
      <c r="BG52" s="359"/>
      <c r="BH52" s="363"/>
      <c r="BI52" s="359"/>
      <c r="BJ52" s="359"/>
      <c r="BK52" s="363"/>
      <c r="BL52" s="359"/>
      <c r="BM52" s="359"/>
      <c r="BN52" s="363"/>
      <c r="BO52" s="359"/>
      <c r="BP52" s="359"/>
      <c r="BQ52" s="363"/>
      <c r="BR52" s="359"/>
      <c r="BS52" s="359"/>
      <c r="BT52" s="363"/>
      <c r="BU52" s="359"/>
      <c r="BV52" s="359"/>
      <c r="BW52" s="363"/>
      <c r="BX52" s="359"/>
      <c r="BY52" s="359"/>
      <c r="BZ52" s="359"/>
      <c r="CA52" s="359"/>
      <c r="CB52" s="359"/>
      <c r="CC52" s="363"/>
      <c r="CD52" s="359"/>
      <c r="CE52" s="359"/>
      <c r="CF52" s="363"/>
      <c r="CG52" s="359"/>
      <c r="CH52" s="359"/>
      <c r="CI52" s="363"/>
      <c r="CJ52" s="359"/>
      <c r="CK52" s="359"/>
      <c r="CL52" s="363"/>
      <c r="CM52" s="359"/>
      <c r="CN52" s="359"/>
      <c r="CO52" s="363"/>
      <c r="CP52" s="359"/>
      <c r="CQ52" s="359"/>
      <c r="CR52" s="363"/>
      <c r="CS52" s="359"/>
      <c r="CT52" s="359"/>
      <c r="CU52" s="363"/>
      <c r="CV52" s="359"/>
      <c r="CW52" s="359"/>
      <c r="CX52" s="363"/>
      <c r="CY52" s="359"/>
      <c r="CZ52" s="359"/>
      <c r="DA52" s="363"/>
      <c r="DB52" s="359"/>
      <c r="DC52" s="359"/>
      <c r="DD52" s="363"/>
      <c r="DE52" s="359"/>
      <c r="DF52" s="367"/>
      <c r="DG52" s="368"/>
      <c r="DH52" s="369"/>
      <c r="DI52" s="370"/>
      <c r="DJ52" s="371"/>
      <c r="DK52" s="1208"/>
      <c r="DL52" s="172">
        <f>+Model!DL30</f>
        <v>820.7</v>
      </c>
      <c r="DM52" s="271">
        <f>+Model!DM30</f>
        <v>827.59999999999991</v>
      </c>
      <c r="DN52" s="1062">
        <f>+Model!DN30</f>
        <v>1648.3</v>
      </c>
      <c r="DO52" s="172">
        <f>+Model!DO30</f>
        <v>884.90000000000009</v>
      </c>
      <c r="DP52" s="271">
        <f>+Model!DP30</f>
        <v>1051.2</v>
      </c>
      <c r="DQ52" s="1062">
        <f>+Model!DQ30</f>
        <v>1936.1000000000001</v>
      </c>
      <c r="DR52" s="172">
        <f>+Model!DR30</f>
        <v>1098.5</v>
      </c>
      <c r="DS52" s="271">
        <f>+Model!DS30</f>
        <v>1137.1000000000004</v>
      </c>
      <c r="DT52" s="1062">
        <f>+Model!DT30</f>
        <v>2235.6000000000004</v>
      </c>
      <c r="DU52" s="172">
        <f>+Model!DU30</f>
        <v>1171.8900000000001</v>
      </c>
      <c r="DV52" s="271">
        <f>+Model!DV30</f>
        <v>1171.2099999999998</v>
      </c>
      <c r="DW52" s="1062">
        <f>+Model!DW30</f>
        <v>2343.1</v>
      </c>
      <c r="DX52" s="172">
        <f>+Model!DX30</f>
        <v>1167.2</v>
      </c>
      <c r="DY52" s="271">
        <f>+Model!DY30</f>
        <v>1342.3699108342046</v>
      </c>
      <c r="DZ52" s="1062">
        <f>+Model!DZ30</f>
        <v>2509.5699108342046</v>
      </c>
      <c r="EA52" s="172">
        <f>+Model!EA30</f>
        <v>1392.0604094030361</v>
      </c>
      <c r="EB52" s="271">
        <f>+Model!EB30</f>
        <v>1434.948967430845</v>
      </c>
      <c r="EC52" s="1062">
        <f>+Model!EC30</f>
        <v>2827.0093768338811</v>
      </c>
      <c r="ED52" s="172">
        <f>+Model!ED30</f>
        <v>1508.7872337030672</v>
      </c>
      <c r="EE52" s="271">
        <f>+Model!EE30</f>
        <v>1555.4582819515335</v>
      </c>
      <c r="EF52" s="1062">
        <f>+Model!EF30</f>
        <v>3064.2455156546007</v>
      </c>
      <c r="EG52" s="172">
        <f>+Model!EG30</f>
        <v>1644.578084736343</v>
      </c>
      <c r="EH52" s="271">
        <f>+Model!EH30</f>
        <v>1695.4495273271714</v>
      </c>
      <c r="EI52" s="1062">
        <f>+Model!EI30</f>
        <v>3340.0276120635144</v>
      </c>
      <c r="EJ52" s="172">
        <f>+Model!EJ30</f>
        <v>1792.590112362614</v>
      </c>
      <c r="EK52" s="271">
        <f>+Model!EK30</f>
        <v>1848.039984786617</v>
      </c>
      <c r="EL52" s="1062">
        <f>+Model!EL30</f>
        <v>3640.630097149231</v>
      </c>
      <c r="EM52" s="172">
        <f>+Model!EM30</f>
        <v>1953.9232224752495</v>
      </c>
      <c r="EN52" s="271">
        <f>+Model!EN30</f>
        <v>2014.3635834174129</v>
      </c>
      <c r="EO52" s="1062">
        <f>+Model!EO30</f>
        <v>3968.2868058926624</v>
      </c>
      <c r="EP52" s="172">
        <f>+Model!EP30</f>
        <v>2129.776312498022</v>
      </c>
      <c r="EQ52" s="271">
        <f>+Model!EQ30</f>
        <v>2195.6563059249802</v>
      </c>
      <c r="ER52" s="1062">
        <f>+Model!ER30</f>
        <v>4325.4326184230022</v>
      </c>
      <c r="ES52" s="172">
        <f>+Model!ES30</f>
        <v>2321.4561806228444</v>
      </c>
      <c r="ET52" s="271">
        <f>+Model!ET30</f>
        <v>2393.2653734582286</v>
      </c>
      <c r="EU52" s="1062">
        <f>+Model!EU30</f>
        <v>4714.721554081073</v>
      </c>
      <c r="EV52" s="172">
        <f>+Model!EV30</f>
        <v>2530.3872368789007</v>
      </c>
      <c r="EW52" s="271">
        <f>+Model!EW30</f>
        <v>2608.6592570694693</v>
      </c>
      <c r="EX52" s="1062">
        <f>+Model!EX30</f>
        <v>5139.04649394837</v>
      </c>
      <c r="EY52" s="172">
        <f>+Model!EY30</f>
        <v>2758.1220881980016</v>
      </c>
      <c r="EZ52" s="271">
        <f>+Model!EZ30</f>
        <v>2843.438590205722</v>
      </c>
      <c r="FA52" s="172">
        <f>+Model!FA30</f>
        <v>5601.5606784037236</v>
      </c>
    </row>
    <row r="53" spans="1:157" ht="13.35" customHeight="1">
      <c r="A53" s="5"/>
      <c r="B53" s="5"/>
      <c r="C53" s="5"/>
      <c r="D53" s="362"/>
      <c r="E53" s="363"/>
      <c r="F53" s="363"/>
      <c r="G53" s="363"/>
      <c r="H53" s="363"/>
      <c r="I53" s="363"/>
      <c r="J53" s="363"/>
      <c r="K53" s="363"/>
      <c r="L53" s="363"/>
      <c r="M53" s="363"/>
      <c r="N53" s="363"/>
      <c r="O53" s="363"/>
      <c r="P53" s="363"/>
      <c r="Q53" s="363"/>
      <c r="R53" s="363"/>
      <c r="S53" s="363"/>
      <c r="T53" s="363"/>
      <c r="U53" s="363"/>
      <c r="V53" s="363"/>
      <c r="W53" s="363"/>
      <c r="X53" s="363"/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3"/>
      <c r="BC53" s="363"/>
      <c r="BD53" s="359"/>
      <c r="BE53" s="363"/>
      <c r="BF53" s="359"/>
      <c r="BG53" s="359"/>
      <c r="BH53" s="363"/>
      <c r="BI53" s="359"/>
      <c r="BJ53" s="359"/>
      <c r="BK53" s="363"/>
      <c r="BL53" s="359"/>
      <c r="BM53" s="359"/>
      <c r="BN53" s="363"/>
      <c r="BO53" s="359"/>
      <c r="BP53" s="359"/>
      <c r="BQ53" s="363"/>
      <c r="BR53" s="359"/>
      <c r="BS53" s="359"/>
      <c r="BT53" s="363"/>
      <c r="BU53" s="359"/>
      <c r="BV53" s="359"/>
      <c r="BW53" s="363"/>
      <c r="BX53" s="359"/>
      <c r="BY53" s="359"/>
      <c r="BZ53" s="359"/>
      <c r="CA53" s="359"/>
      <c r="CB53" s="359"/>
      <c r="CC53" s="363"/>
      <c r="CD53" s="359"/>
      <c r="CE53" s="359"/>
      <c r="CF53" s="363"/>
      <c r="CG53" s="359"/>
      <c r="CH53" s="359"/>
      <c r="CI53" s="363"/>
      <c r="CJ53" s="359"/>
      <c r="CK53" s="359"/>
      <c r="CL53" s="363"/>
      <c r="CM53" s="359"/>
      <c r="CN53" s="359"/>
      <c r="CO53" s="363"/>
      <c r="CP53" s="359"/>
      <c r="CQ53" s="359"/>
      <c r="CR53" s="363"/>
      <c r="CS53" s="359"/>
      <c r="CT53" s="359"/>
      <c r="CU53" s="363"/>
      <c r="CV53" s="359"/>
      <c r="CW53" s="359"/>
      <c r="CX53" s="363"/>
      <c r="CY53" s="359"/>
      <c r="CZ53" s="359"/>
      <c r="DA53" s="363"/>
      <c r="DB53" s="359"/>
      <c r="DC53" s="359"/>
      <c r="DD53" s="363"/>
      <c r="DE53" s="359"/>
      <c r="DF53" s="367"/>
      <c r="DG53" s="368"/>
      <c r="DH53" s="369"/>
      <c r="DI53" s="370"/>
      <c r="DJ53" s="371"/>
      <c r="DK53" s="1208"/>
      <c r="DL53" s="173">
        <f>+DL49/DL$52</f>
        <v>3.2812233459242113E-2</v>
      </c>
      <c r="DM53" s="173">
        <f t="shared" ref="DM53:DW53" si="123">+DM49/DM$52</f>
        <v>2.1956259062348962E-2</v>
      </c>
      <c r="DN53" s="1079">
        <f t="shared" si="123"/>
        <v>2.7361523994418494E-2</v>
      </c>
      <c r="DO53" s="173">
        <f t="shared" si="123"/>
        <v>2.5373488529777367E-2</v>
      </c>
      <c r="DP53" s="173">
        <f t="shared" si="123"/>
        <v>2.677606544901066E-2</v>
      </c>
      <c r="DQ53" s="1079">
        <f t="shared" si="123"/>
        <v>2.6135013687309538E-2</v>
      </c>
      <c r="DR53" s="173">
        <f t="shared" si="123"/>
        <v>2.4470641784251252E-2</v>
      </c>
      <c r="DS53" s="173">
        <f t="shared" si="123"/>
        <v>2.1914519391434347E-2</v>
      </c>
      <c r="DT53" s="1079">
        <f t="shared" si="123"/>
        <v>2.3170513508677756E-2</v>
      </c>
      <c r="DU53" s="173">
        <f t="shared" si="123"/>
        <v>2.0734027937775727E-2</v>
      </c>
      <c r="DV53" s="173">
        <f t="shared" si="123"/>
        <v>2.2457116998659519E-2</v>
      </c>
      <c r="DW53" s="1079">
        <f t="shared" si="123"/>
        <v>2.1595322436088946E-2</v>
      </c>
      <c r="DX53" s="173">
        <f>DX49/DX52</f>
        <v>2.5788211103495544E-2</v>
      </c>
      <c r="DY53" s="173">
        <f>DX53</f>
        <v>2.5788211103495544E-2</v>
      </c>
      <c r="DZ53" s="1630">
        <f>DY53</f>
        <v>2.5788211103495544E-2</v>
      </c>
      <c r="EA53" s="173">
        <f>+DY53</f>
        <v>2.5788211103495544E-2</v>
      </c>
      <c r="EB53" s="173">
        <f>+EA53</f>
        <v>2.5788211103495544E-2</v>
      </c>
      <c r="EC53" s="1630">
        <f>+EC49/EC$52</f>
        <v>2.5788211103495547E-2</v>
      </c>
      <c r="ED53" s="173">
        <v>0.02</v>
      </c>
      <c r="EE53" s="173">
        <f t="shared" ref="EE53" si="124">+ED53</f>
        <v>0.02</v>
      </c>
      <c r="EF53" s="1630">
        <f t="shared" ref="EF53" si="125">+EF49/EF$52</f>
        <v>0.02</v>
      </c>
      <c r="EG53" s="173">
        <f t="shared" ref="EG53:EG54" si="126">+EE53</f>
        <v>0.02</v>
      </c>
      <c r="EH53" s="173">
        <f t="shared" ref="EH53" si="127">+EG53</f>
        <v>0.02</v>
      </c>
      <c r="EI53" s="1630">
        <f t="shared" ref="EI53" si="128">+EI49/EI$52</f>
        <v>1.9999999999999997E-2</v>
      </c>
      <c r="EJ53" s="173">
        <f t="shared" ref="EJ53:EJ54" si="129">+EH53</f>
        <v>0.02</v>
      </c>
      <c r="EK53" s="173">
        <f t="shared" ref="EK53" si="130">+EJ53</f>
        <v>0.02</v>
      </c>
      <c r="EL53" s="1630">
        <f t="shared" ref="EL53" si="131">+EL49/EL$52</f>
        <v>2.0000000000000004E-2</v>
      </c>
      <c r="EM53" s="173">
        <f t="shared" ref="EM53:EM54" si="132">+EK53</f>
        <v>0.02</v>
      </c>
      <c r="EN53" s="173">
        <f t="shared" ref="EN53" si="133">+EM53</f>
        <v>0.02</v>
      </c>
      <c r="EO53" s="1630">
        <f t="shared" ref="EO53" si="134">+EO49/EO$52</f>
        <v>2.0000000000000004E-2</v>
      </c>
      <c r="EP53" s="173">
        <f t="shared" ref="EP53:EP54" si="135">+EN53</f>
        <v>0.02</v>
      </c>
      <c r="EQ53" s="173">
        <f t="shared" ref="EQ53" si="136">+EP53</f>
        <v>0.02</v>
      </c>
      <c r="ER53" s="1630">
        <f t="shared" ref="ER53" si="137">+ER49/ER$52</f>
        <v>0.02</v>
      </c>
      <c r="ES53" s="173">
        <f t="shared" ref="ES53:ES54" si="138">+EQ53</f>
        <v>0.02</v>
      </c>
      <c r="ET53" s="173">
        <f t="shared" ref="ET53" si="139">+ES53</f>
        <v>0.02</v>
      </c>
      <c r="EU53" s="1630">
        <f t="shared" ref="EU53" si="140">+EU49/EU$52</f>
        <v>0.02</v>
      </c>
      <c r="EV53" s="173">
        <f t="shared" ref="EV53:EV54" si="141">+ET53</f>
        <v>0.02</v>
      </c>
      <c r="EW53" s="173">
        <f t="shared" ref="EW53" si="142">+EV53</f>
        <v>0.02</v>
      </c>
      <c r="EX53" s="1630">
        <f t="shared" ref="EX53:EX54" si="143">+EX49/EX$52</f>
        <v>2.0000000000000004E-2</v>
      </c>
      <c r="EY53" s="173">
        <f t="shared" ref="EY53:EY54" si="144">+EW53</f>
        <v>0.02</v>
      </c>
      <c r="EZ53" s="173">
        <f t="shared" ref="EZ53" si="145">+EY53</f>
        <v>0.02</v>
      </c>
      <c r="FA53" s="1631">
        <f t="shared" ref="FA53:FA54" si="146">+FA49/FA$52</f>
        <v>1.9999999999999997E-2</v>
      </c>
    </row>
    <row r="54" spans="1:157" ht="13.35" customHeight="1">
      <c r="A54" s="5"/>
      <c r="B54" s="5"/>
      <c r="C54" s="5"/>
      <c r="D54" s="362"/>
      <c r="E54" s="363"/>
      <c r="F54" s="363"/>
      <c r="G54" s="363"/>
      <c r="H54" s="363"/>
      <c r="I54" s="363"/>
      <c r="J54" s="363"/>
      <c r="K54" s="363"/>
      <c r="L54" s="363"/>
      <c r="M54" s="363"/>
      <c r="N54" s="363"/>
      <c r="O54" s="363"/>
      <c r="P54" s="363"/>
      <c r="Q54" s="363"/>
      <c r="R54" s="363"/>
      <c r="S54" s="363"/>
      <c r="T54" s="363"/>
      <c r="U54" s="363"/>
      <c r="V54" s="363"/>
      <c r="W54" s="363"/>
      <c r="X54" s="363"/>
      <c r="Y54" s="363"/>
      <c r="Z54" s="363"/>
      <c r="AA54" s="363"/>
      <c r="AB54" s="363"/>
      <c r="AC54" s="363"/>
      <c r="AD54" s="363"/>
      <c r="AE54" s="363"/>
      <c r="AF54" s="363"/>
      <c r="AG54" s="363"/>
      <c r="AH54" s="363"/>
      <c r="AI54" s="363"/>
      <c r="AJ54" s="363"/>
      <c r="AK54" s="363"/>
      <c r="AL54" s="363"/>
      <c r="AM54" s="363"/>
      <c r="AN54" s="363"/>
      <c r="AO54" s="363"/>
      <c r="AP54" s="363"/>
      <c r="AQ54" s="363"/>
      <c r="AR54" s="363"/>
      <c r="AS54" s="363"/>
      <c r="AT54" s="363"/>
      <c r="AU54" s="363"/>
      <c r="AV54" s="363"/>
      <c r="AW54" s="363"/>
      <c r="AX54" s="363"/>
      <c r="AY54" s="363"/>
      <c r="AZ54" s="363"/>
      <c r="BA54" s="363"/>
      <c r="BB54" s="363"/>
      <c r="BC54" s="363"/>
      <c r="BD54" s="359"/>
      <c r="BE54" s="363"/>
      <c r="BF54" s="359"/>
      <c r="BG54" s="359"/>
      <c r="BH54" s="363"/>
      <c r="BI54" s="359"/>
      <c r="BJ54" s="359"/>
      <c r="BK54" s="363"/>
      <c r="BL54" s="359"/>
      <c r="BM54" s="359"/>
      <c r="BN54" s="363"/>
      <c r="BO54" s="359"/>
      <c r="BP54" s="359"/>
      <c r="BQ54" s="363"/>
      <c r="BR54" s="359"/>
      <c r="BS54" s="359"/>
      <c r="BT54" s="363"/>
      <c r="BU54" s="359"/>
      <c r="BV54" s="359"/>
      <c r="BW54" s="363"/>
      <c r="BX54" s="359"/>
      <c r="BY54" s="359"/>
      <c r="BZ54" s="359"/>
      <c r="CA54" s="359"/>
      <c r="CB54" s="359"/>
      <c r="CC54" s="363"/>
      <c r="CD54" s="359"/>
      <c r="CE54" s="359"/>
      <c r="CF54" s="363"/>
      <c r="CG54" s="359"/>
      <c r="CH54" s="359"/>
      <c r="CI54" s="363"/>
      <c r="CJ54" s="359"/>
      <c r="CK54" s="359"/>
      <c r="CL54" s="363"/>
      <c r="CM54" s="359"/>
      <c r="CN54" s="359"/>
      <c r="CO54" s="363"/>
      <c r="CP54" s="359"/>
      <c r="CQ54" s="359"/>
      <c r="CR54" s="363"/>
      <c r="CS54" s="359"/>
      <c r="CT54" s="359"/>
      <c r="CU54" s="363"/>
      <c r="CV54" s="359"/>
      <c r="CW54" s="359"/>
      <c r="CX54" s="363"/>
      <c r="CY54" s="359"/>
      <c r="CZ54" s="359"/>
      <c r="DA54" s="363"/>
      <c r="DB54" s="359"/>
      <c r="DC54" s="359"/>
      <c r="DD54" s="363"/>
      <c r="DE54" s="359"/>
      <c r="DF54" s="367"/>
      <c r="DG54" s="368"/>
      <c r="DH54" s="369"/>
      <c r="DI54" s="370"/>
      <c r="DJ54" s="371"/>
      <c r="DK54" s="1208"/>
      <c r="DL54" s="173">
        <f t="shared" ref="DL54:DW54" si="147">+DL50/DL$52</f>
        <v>1.6657731205068842E-2</v>
      </c>
      <c r="DM54" s="173">
        <f t="shared" si="147"/>
        <v>1.7193088448525858E-2</v>
      </c>
      <c r="DN54" s="1079">
        <f t="shared" si="147"/>
        <v>1.6926530364618091E-2</v>
      </c>
      <c r="DO54" s="173">
        <f t="shared" si="147"/>
        <v>1.6778167024522544E-2</v>
      </c>
      <c r="DP54" s="173">
        <f t="shared" si="147"/>
        <v>1.4700342465753425E-2</v>
      </c>
      <c r="DQ54" s="1079">
        <f t="shared" si="147"/>
        <v>1.5650018077578636E-2</v>
      </c>
      <c r="DR54" s="173">
        <f t="shared" si="147"/>
        <v>1.4764679107874375E-2</v>
      </c>
      <c r="DS54" s="173">
        <f t="shared" si="147"/>
        <v>1.4845660012312018E-2</v>
      </c>
      <c r="DT54" s="1079">
        <f t="shared" si="147"/>
        <v>1.4805868670602969E-2</v>
      </c>
      <c r="DU54" s="173">
        <f t="shared" si="147"/>
        <v>1.6641493655547873E-2</v>
      </c>
      <c r="DV54" s="173">
        <f t="shared" si="147"/>
        <v>1.733079464826974E-2</v>
      </c>
      <c r="DW54" s="1079">
        <f t="shared" si="147"/>
        <v>1.6986044129571935E-2</v>
      </c>
      <c r="DX54" s="173">
        <f>DX50/DX52</f>
        <v>1.8420150788211104E-2</v>
      </c>
      <c r="DY54" s="173">
        <v>1.4999999999999999E-2</v>
      </c>
      <c r="DZ54" s="1630">
        <f>DY54</f>
        <v>1.4999999999999999E-2</v>
      </c>
      <c r="EA54" s="173">
        <f t="shared" ref="EA54" si="148">+DY54</f>
        <v>1.4999999999999999E-2</v>
      </c>
      <c r="EB54" s="173">
        <f>+EA54</f>
        <v>1.4999999999999999E-2</v>
      </c>
      <c r="EC54" s="1630">
        <f>+EC50/EC$52</f>
        <v>1.4999999999999999E-2</v>
      </c>
      <c r="ED54" s="173">
        <f t="shared" ref="ED54" si="149">+EB54</f>
        <v>1.4999999999999999E-2</v>
      </c>
      <c r="EE54" s="173">
        <f t="shared" ref="EE54" si="150">+ED54</f>
        <v>1.4999999999999999E-2</v>
      </c>
      <c r="EF54" s="1630">
        <f t="shared" ref="EF54" si="151">+EF50/EF$52</f>
        <v>1.4999999999999999E-2</v>
      </c>
      <c r="EG54" s="173">
        <f t="shared" si="126"/>
        <v>1.4999999999999999E-2</v>
      </c>
      <c r="EH54" s="173">
        <f t="shared" ref="EH54" si="152">+EG54</f>
        <v>1.4999999999999999E-2</v>
      </c>
      <c r="EI54" s="1630">
        <f t="shared" ref="EI54" si="153">+EI50/EI$52</f>
        <v>1.4999999999999998E-2</v>
      </c>
      <c r="EJ54" s="173">
        <f t="shared" si="129"/>
        <v>1.4999999999999999E-2</v>
      </c>
      <c r="EK54" s="173">
        <f t="shared" ref="EK54" si="154">+EJ54</f>
        <v>1.4999999999999999E-2</v>
      </c>
      <c r="EL54" s="1630">
        <f t="shared" ref="EL54" si="155">+EL50/EL$52</f>
        <v>1.4999999999999999E-2</v>
      </c>
      <c r="EM54" s="173">
        <f t="shared" si="132"/>
        <v>1.4999999999999999E-2</v>
      </c>
      <c r="EN54" s="173">
        <f t="shared" ref="EN54" si="156">+EM54</f>
        <v>1.4999999999999999E-2</v>
      </c>
      <c r="EO54" s="1630">
        <f t="shared" ref="EO54" si="157">+EO50/EO$52</f>
        <v>1.4999999999999998E-2</v>
      </c>
      <c r="EP54" s="173">
        <f t="shared" si="135"/>
        <v>1.4999999999999999E-2</v>
      </c>
      <c r="EQ54" s="173">
        <f t="shared" ref="EQ54" si="158">+EP54</f>
        <v>1.4999999999999999E-2</v>
      </c>
      <c r="ER54" s="1630">
        <f t="shared" ref="ER54" si="159">+ER50/ER$52</f>
        <v>1.5000000000000001E-2</v>
      </c>
      <c r="ES54" s="173">
        <f t="shared" si="138"/>
        <v>1.4999999999999999E-2</v>
      </c>
      <c r="ET54" s="173">
        <f t="shared" ref="ET54" si="160">+ES54</f>
        <v>1.4999999999999999E-2</v>
      </c>
      <c r="EU54" s="1630">
        <f t="shared" ref="EU54" si="161">+EU50/EU$52</f>
        <v>1.4999999999999999E-2</v>
      </c>
      <c r="EV54" s="173">
        <f t="shared" si="141"/>
        <v>1.4999999999999999E-2</v>
      </c>
      <c r="EW54" s="173">
        <f t="shared" ref="EW54" si="162">+EV54</f>
        <v>1.4999999999999999E-2</v>
      </c>
      <c r="EX54" s="1630">
        <f t="shared" si="143"/>
        <v>1.4999999999999999E-2</v>
      </c>
      <c r="EY54" s="173">
        <f t="shared" si="144"/>
        <v>1.4999999999999999E-2</v>
      </c>
      <c r="EZ54" s="173">
        <f t="shared" ref="EZ54" si="163">+EY54</f>
        <v>1.4999999999999999E-2</v>
      </c>
      <c r="FA54" s="1631">
        <f t="shared" si="146"/>
        <v>1.4999999999999999E-2</v>
      </c>
    </row>
    <row r="55" spans="1:157" ht="13.35" customHeight="1">
      <c r="A55" s="5"/>
      <c r="B55" s="5"/>
      <c r="C55" s="5"/>
      <c r="D55" s="362"/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3"/>
      <c r="X55" s="363"/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3"/>
      <c r="BC55" s="363"/>
      <c r="BD55" s="359"/>
      <c r="BE55" s="363"/>
      <c r="BF55" s="359"/>
      <c r="BG55" s="359"/>
      <c r="BH55" s="363"/>
      <c r="BI55" s="359"/>
      <c r="BJ55" s="359"/>
      <c r="BK55" s="363"/>
      <c r="BL55" s="359"/>
      <c r="BM55" s="359"/>
      <c r="BN55" s="363"/>
      <c r="BO55" s="359"/>
      <c r="BP55" s="359"/>
      <c r="BQ55" s="363"/>
      <c r="BR55" s="359"/>
      <c r="BS55" s="359"/>
      <c r="BT55" s="363"/>
      <c r="BU55" s="359"/>
      <c r="BV55" s="359"/>
      <c r="BW55" s="363"/>
      <c r="BX55" s="359"/>
      <c r="BY55" s="359"/>
      <c r="BZ55" s="359"/>
      <c r="CA55" s="359"/>
      <c r="CB55" s="359"/>
      <c r="CC55" s="363"/>
      <c r="CD55" s="359"/>
      <c r="CE55" s="359"/>
      <c r="CF55" s="363"/>
      <c r="CG55" s="359"/>
      <c r="CH55" s="359"/>
      <c r="CI55" s="363"/>
      <c r="CJ55" s="359"/>
      <c r="CK55" s="359"/>
      <c r="CL55" s="363"/>
      <c r="CM55" s="359"/>
      <c r="CN55" s="359"/>
      <c r="CO55" s="363"/>
      <c r="CP55" s="359"/>
      <c r="CQ55" s="359"/>
      <c r="CR55" s="363"/>
      <c r="CS55" s="359"/>
      <c r="CT55" s="359"/>
      <c r="CU55" s="363"/>
      <c r="CV55" s="359"/>
      <c r="CW55" s="359"/>
      <c r="CX55" s="363"/>
      <c r="CY55" s="359"/>
      <c r="CZ55" s="359"/>
      <c r="DA55" s="363"/>
      <c r="DB55" s="359"/>
      <c r="DC55" s="359"/>
      <c r="DD55" s="363"/>
      <c r="DE55" s="359"/>
      <c r="DF55" s="367"/>
      <c r="DG55" s="368"/>
      <c r="DH55" s="369"/>
      <c r="DI55" s="370"/>
      <c r="DJ55" s="371"/>
      <c r="DK55" s="1208"/>
      <c r="DL55" s="172"/>
      <c r="DM55" s="271"/>
      <c r="DN55" s="1361"/>
      <c r="DO55" s="172"/>
      <c r="DP55" s="271"/>
      <c r="DQ55" s="1361"/>
      <c r="DR55" s="172"/>
      <c r="DS55" s="271"/>
      <c r="DT55" s="1361"/>
      <c r="DU55" s="172"/>
      <c r="DV55" s="271"/>
      <c r="DW55" s="1628"/>
      <c r="DX55" s="172"/>
      <c r="DY55" s="271"/>
      <c r="DZ55" s="1208"/>
      <c r="EA55" s="172"/>
      <c r="EB55" s="271"/>
      <c r="EC55" s="1208"/>
      <c r="ED55" s="172"/>
      <c r="EE55" s="271"/>
      <c r="EF55" s="1208"/>
      <c r="EG55" s="172"/>
      <c r="EH55" s="271"/>
      <c r="EI55" s="1208"/>
      <c r="EJ55" s="172"/>
      <c r="EK55" s="271"/>
      <c r="EL55" s="1208"/>
      <c r="EM55" s="172"/>
      <c r="EN55" s="271"/>
      <c r="EO55" s="1208"/>
      <c r="EP55" s="172"/>
      <c r="EQ55" s="271"/>
      <c r="ER55" s="1208"/>
      <c r="ES55" s="172"/>
      <c r="ET55" s="271"/>
      <c r="EU55" s="1208"/>
      <c r="EV55" s="172"/>
      <c r="EW55" s="271"/>
      <c r="EX55" s="1208"/>
      <c r="EY55" s="172"/>
      <c r="EZ55" s="271"/>
      <c r="FA55" s="359"/>
    </row>
    <row r="56" spans="1:157" ht="13.35" customHeight="1">
      <c r="A56" s="5"/>
      <c r="B56" s="5" t="s">
        <v>533</v>
      </c>
      <c r="C56" s="5"/>
      <c r="D56" s="362"/>
      <c r="E56" s="363"/>
      <c r="F56" s="363"/>
      <c r="G56" s="363"/>
      <c r="H56" s="363"/>
      <c r="I56" s="363"/>
      <c r="J56" s="363"/>
      <c r="K56" s="363"/>
      <c r="L56" s="363"/>
      <c r="M56" s="363"/>
      <c r="N56" s="363"/>
      <c r="O56" s="363"/>
      <c r="P56" s="363"/>
      <c r="Q56" s="363"/>
      <c r="R56" s="363"/>
      <c r="S56" s="363"/>
      <c r="T56" s="363"/>
      <c r="U56" s="363"/>
      <c r="V56" s="363"/>
      <c r="W56" s="363"/>
      <c r="X56" s="363"/>
      <c r="Y56" s="363"/>
      <c r="Z56" s="363"/>
      <c r="AA56" s="363"/>
      <c r="AB56" s="363"/>
      <c r="AC56" s="363"/>
      <c r="AD56" s="363"/>
      <c r="AE56" s="363"/>
      <c r="AF56" s="363"/>
      <c r="AG56" s="363"/>
      <c r="AH56" s="363"/>
      <c r="AI56" s="363"/>
      <c r="AJ56" s="363"/>
      <c r="AK56" s="363"/>
      <c r="AL56" s="363"/>
      <c r="AM56" s="363"/>
      <c r="AN56" s="363"/>
      <c r="AO56" s="363"/>
      <c r="AP56" s="363"/>
      <c r="AQ56" s="363"/>
      <c r="AR56" s="363"/>
      <c r="AS56" s="363"/>
      <c r="AT56" s="363"/>
      <c r="AU56" s="363"/>
      <c r="AV56" s="363"/>
      <c r="AW56" s="363"/>
      <c r="AX56" s="363"/>
      <c r="AY56" s="363"/>
      <c r="AZ56" s="363"/>
      <c r="BA56" s="363"/>
      <c r="BB56" s="363"/>
      <c r="BC56" s="363"/>
      <c r="BD56" s="363"/>
      <c r="BE56" s="363"/>
      <c r="BF56" s="363"/>
      <c r="BG56" s="363"/>
      <c r="BH56" s="363"/>
      <c r="BI56" s="363"/>
      <c r="BJ56" s="363"/>
      <c r="BK56" s="363"/>
      <c r="BL56" s="363"/>
      <c r="BM56" s="363"/>
      <c r="BN56" s="363"/>
      <c r="BO56" s="363"/>
      <c r="BP56" s="363"/>
      <c r="BQ56" s="363"/>
      <c r="BR56" s="363"/>
      <c r="BS56" s="363"/>
      <c r="BT56" s="363"/>
      <c r="BU56" s="363"/>
      <c r="BV56" s="363"/>
      <c r="BW56" s="363"/>
      <c r="BX56" s="363"/>
      <c r="BY56" s="363"/>
      <c r="BZ56" s="363"/>
      <c r="CA56" s="363"/>
      <c r="CB56" s="363"/>
      <c r="CC56" s="363"/>
      <c r="CD56" s="363"/>
      <c r="CE56" s="363"/>
      <c r="CF56" s="363"/>
      <c r="CG56" s="363"/>
      <c r="CH56" s="363"/>
      <c r="CI56" s="363"/>
      <c r="CJ56" s="363"/>
      <c r="CK56" s="363"/>
      <c r="CL56" s="363"/>
      <c r="CM56" s="363"/>
      <c r="CN56" s="363"/>
      <c r="CO56" s="363"/>
      <c r="CP56" s="363"/>
      <c r="CQ56" s="363"/>
      <c r="CR56" s="363"/>
      <c r="CS56" s="363"/>
      <c r="CT56" s="363"/>
      <c r="CU56" s="363"/>
      <c r="CV56" s="363"/>
      <c r="CW56" s="363"/>
      <c r="CX56" s="363"/>
      <c r="CY56" s="363"/>
      <c r="CZ56" s="363"/>
      <c r="DA56" s="363"/>
      <c r="DB56" s="363"/>
      <c r="DC56" s="363"/>
      <c r="DD56" s="363"/>
      <c r="DE56" s="363"/>
      <c r="DF56" s="363"/>
      <c r="DG56" s="363"/>
      <c r="DH56" s="363"/>
      <c r="DI56" s="363"/>
      <c r="DJ56" s="363"/>
      <c r="DK56" s="1210"/>
      <c r="DL56" s="366"/>
      <c r="DM56" s="363"/>
      <c r="DN56" s="1210"/>
      <c r="DO56" s="363"/>
      <c r="DP56" s="363"/>
      <c r="DQ56" s="1210"/>
      <c r="DR56" s="363"/>
      <c r="DS56" s="363"/>
      <c r="DT56" s="1210"/>
      <c r="DU56" s="363"/>
      <c r="DV56" s="363"/>
      <c r="DW56" s="1210"/>
      <c r="DX56" s="363"/>
      <c r="DY56" s="363"/>
      <c r="DZ56" s="1210"/>
      <c r="EA56" s="363"/>
      <c r="EB56" s="363"/>
      <c r="EC56" s="1210"/>
      <c r="ED56" s="363"/>
      <c r="EE56" s="363"/>
      <c r="EF56" s="1210"/>
      <c r="EG56" s="363"/>
      <c r="EH56" s="363"/>
      <c r="EI56" s="1210"/>
      <c r="EJ56" s="363"/>
      <c r="EK56" s="363"/>
      <c r="EL56" s="1210"/>
      <c r="EM56" s="363"/>
      <c r="EN56" s="363"/>
      <c r="EO56" s="1210"/>
      <c r="EP56" s="363"/>
      <c r="EQ56" s="363"/>
      <c r="ER56" s="1210"/>
      <c r="ES56" s="363"/>
      <c r="ET56" s="363"/>
      <c r="EU56" s="1210"/>
      <c r="EV56" s="363"/>
      <c r="EW56" s="363"/>
      <c r="EX56" s="1210"/>
      <c r="EY56" s="363"/>
      <c r="EZ56" s="363"/>
      <c r="FA56" s="363"/>
    </row>
    <row r="57" spans="1:157" ht="13.35" customHeight="1">
      <c r="A57" s="5"/>
      <c r="B57" s="5" t="s">
        <v>534</v>
      </c>
      <c r="C57" s="5"/>
      <c r="D57" s="362"/>
      <c r="E57" s="363"/>
      <c r="F57" s="363"/>
      <c r="G57" s="363"/>
      <c r="H57" s="363"/>
      <c r="I57" s="363"/>
      <c r="J57" s="363"/>
      <c r="K57" s="363"/>
      <c r="L57" s="363"/>
      <c r="M57" s="363"/>
      <c r="N57" s="363"/>
      <c r="O57" s="363"/>
      <c r="P57" s="363"/>
      <c r="Q57" s="363"/>
      <c r="R57" s="363"/>
      <c r="S57" s="363"/>
      <c r="T57" s="363"/>
      <c r="U57" s="363"/>
      <c r="V57" s="363"/>
      <c r="W57" s="363"/>
      <c r="X57" s="363"/>
      <c r="Y57" s="363"/>
      <c r="Z57" s="363"/>
      <c r="AA57" s="363"/>
      <c r="AB57" s="363"/>
      <c r="AC57" s="363"/>
      <c r="AD57" s="363"/>
      <c r="AE57" s="363"/>
      <c r="AF57" s="363"/>
      <c r="AG57" s="363"/>
      <c r="AH57" s="363"/>
      <c r="AI57" s="363"/>
      <c r="AJ57" s="363"/>
      <c r="AK57" s="363"/>
      <c r="AL57" s="363"/>
      <c r="AM57" s="363"/>
      <c r="AN57" s="363"/>
      <c r="AO57" s="363"/>
      <c r="AP57" s="363"/>
      <c r="AQ57" s="363"/>
      <c r="AR57" s="363"/>
      <c r="AS57" s="363"/>
      <c r="AT57" s="363"/>
      <c r="AU57" s="363"/>
      <c r="AV57" s="363"/>
      <c r="AW57" s="363"/>
      <c r="AX57" s="363"/>
      <c r="AY57" s="363"/>
      <c r="AZ57" s="363"/>
      <c r="BA57" s="363"/>
      <c r="BB57" s="363"/>
      <c r="BC57" s="363"/>
      <c r="BD57" s="363"/>
      <c r="BE57" s="363"/>
      <c r="BF57" s="363"/>
      <c r="BG57" s="363"/>
      <c r="BH57" s="363"/>
      <c r="BI57" s="363"/>
      <c r="BJ57" s="363"/>
      <c r="BK57" s="363"/>
      <c r="BL57" s="363"/>
      <c r="BM57" s="363"/>
      <c r="BN57" s="363"/>
      <c r="BO57" s="363"/>
      <c r="BP57" s="363"/>
      <c r="BQ57" s="363"/>
      <c r="BR57" s="363"/>
      <c r="BS57" s="363"/>
      <c r="BT57" s="363"/>
      <c r="BU57" s="363"/>
      <c r="BV57" s="363"/>
      <c r="BW57" s="363"/>
      <c r="BX57" s="363"/>
      <c r="BY57" s="363"/>
      <c r="BZ57" s="363"/>
      <c r="CA57" s="363"/>
      <c r="CB57" s="363"/>
      <c r="CC57" s="363"/>
      <c r="CD57" s="363"/>
      <c r="CE57" s="363"/>
      <c r="CF57" s="363"/>
      <c r="CG57" s="363"/>
      <c r="CH57" s="363"/>
      <c r="CI57" s="363"/>
      <c r="CJ57" s="363"/>
      <c r="CK57" s="363"/>
      <c r="CL57" s="363"/>
      <c r="CM57" s="363"/>
      <c r="CN57" s="363"/>
      <c r="CO57" s="363"/>
      <c r="CP57" s="363"/>
      <c r="CQ57" s="363"/>
      <c r="CR57" s="363"/>
      <c r="CS57" s="363"/>
      <c r="CT57" s="363"/>
      <c r="CU57" s="363"/>
      <c r="CV57" s="363"/>
      <c r="CW57" s="363"/>
      <c r="CX57" s="363"/>
      <c r="CY57" s="363"/>
      <c r="CZ57" s="363"/>
      <c r="DA57" s="363"/>
      <c r="DB57" s="363"/>
      <c r="DC57" s="363"/>
      <c r="DD57" s="363"/>
      <c r="DE57" s="363"/>
      <c r="DF57" s="363"/>
      <c r="DG57" s="363"/>
      <c r="DH57" s="363"/>
      <c r="DI57" s="363"/>
      <c r="DJ57" s="363"/>
      <c r="DK57" s="1210"/>
      <c r="DL57" s="363"/>
      <c r="DM57" s="363"/>
      <c r="DN57" s="1210"/>
      <c r="DO57" s="363"/>
      <c r="DP57" s="363"/>
      <c r="DQ57" s="1210"/>
      <c r="DR57" s="363"/>
      <c r="DS57" s="363"/>
      <c r="DT57" s="1210"/>
      <c r="DU57" s="363"/>
      <c r="DV57" s="363"/>
      <c r="DW57" s="1210"/>
      <c r="DX57" s="363"/>
      <c r="DY57" s="363"/>
      <c r="DZ57" s="1210"/>
      <c r="EA57" s="363"/>
      <c r="EB57" s="363"/>
      <c r="EC57" s="1210"/>
      <c r="ED57" s="363"/>
      <c r="EE57" s="363"/>
      <c r="EF57" s="1210"/>
      <c r="EG57" s="363"/>
      <c r="EH57" s="363"/>
      <c r="EI57" s="1210"/>
      <c r="EJ57" s="363"/>
      <c r="EK57" s="363"/>
      <c r="EL57" s="1210"/>
      <c r="EM57" s="363"/>
      <c r="EN57" s="363"/>
      <c r="EO57" s="1210"/>
      <c r="EP57" s="363"/>
      <c r="EQ57" s="363"/>
      <c r="ER57" s="1210"/>
      <c r="ES57" s="363"/>
      <c r="ET57" s="363"/>
      <c r="EU57" s="1210"/>
      <c r="EV57" s="363"/>
      <c r="EW57" s="363"/>
      <c r="EX57" s="1210"/>
      <c r="EY57" s="363"/>
      <c r="EZ57" s="363"/>
      <c r="FA57" s="363"/>
    </row>
    <row r="58" spans="1:157" ht="13.35" customHeight="1">
      <c r="A58" s="5"/>
      <c r="B58" s="5" t="s">
        <v>535</v>
      </c>
      <c r="C58" s="5"/>
      <c r="D58" s="362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317"/>
      <c r="S58" s="317"/>
      <c r="T58" s="317"/>
      <c r="U58" s="317"/>
      <c r="V58" s="317"/>
      <c r="W58" s="317"/>
      <c r="X58" s="317"/>
      <c r="Y58" s="317"/>
      <c r="Z58" s="317"/>
      <c r="AA58" s="317"/>
      <c r="AB58" s="317"/>
      <c r="AC58" s="317"/>
      <c r="AD58" s="317"/>
      <c r="AE58" s="317"/>
      <c r="AF58" s="317"/>
      <c r="AG58" s="317"/>
      <c r="AH58" s="317"/>
      <c r="AI58" s="317"/>
      <c r="AJ58" s="317"/>
      <c r="AK58" s="317"/>
      <c r="AL58" s="317"/>
      <c r="AM58" s="317"/>
      <c r="AN58" s="317"/>
      <c r="AO58" s="317"/>
      <c r="AP58" s="317"/>
      <c r="AQ58" s="317"/>
      <c r="AR58" s="317"/>
      <c r="AS58" s="317"/>
      <c r="AT58" s="317"/>
      <c r="AU58" s="317"/>
      <c r="AV58" s="317"/>
      <c r="AW58" s="317"/>
      <c r="AX58" s="317"/>
      <c r="AY58" s="317"/>
      <c r="AZ58" s="317"/>
      <c r="BA58" s="317"/>
      <c r="BB58" s="317"/>
      <c r="BC58" s="317"/>
      <c r="BD58" s="317" t="str">
        <f>IF(BD46&lt;&gt;"",100-BD46,"")</f>
        <v/>
      </c>
      <c r="BE58" s="317"/>
      <c r="BF58" s="317" t="str">
        <f>IF(BF46&lt;&gt;"",100-BF46,"")</f>
        <v/>
      </c>
      <c r="BG58" s="317" t="str">
        <f>IF(BG46&lt;&gt;"",100-BG46,"")</f>
        <v/>
      </c>
      <c r="BH58" s="317"/>
      <c r="BI58" s="317" t="str">
        <f>IF(BI46&lt;&gt;"",100-BI46,"")</f>
        <v/>
      </c>
      <c r="BJ58" s="317" t="str">
        <f>IF(BJ46&lt;&gt;"",100-BJ46,"")</f>
        <v/>
      </c>
      <c r="BK58" s="317"/>
      <c r="BL58" s="317" t="str">
        <f>IF(BL46&lt;&gt;"",100-BL46,"")</f>
        <v/>
      </c>
      <c r="BM58" s="317" t="str">
        <f>IF(BM46&lt;&gt;"",100-BM46,"")</f>
        <v/>
      </c>
      <c r="BN58" s="317"/>
      <c r="BO58" s="317" t="str">
        <f>IF(BO46&lt;&gt;"",100-BO46,"")</f>
        <v/>
      </c>
      <c r="BP58" s="317" t="str">
        <f>IF(BP46&lt;&gt;"",100-BP46,"")</f>
        <v/>
      </c>
      <c r="BQ58" s="317"/>
      <c r="BR58" s="317" t="str">
        <f>IF(BR46&lt;&gt;"",100-BR46,"")</f>
        <v/>
      </c>
      <c r="BS58" s="317" t="str">
        <f>IF(BS46&lt;&gt;"",100-BS46,"")</f>
        <v/>
      </c>
      <c r="BT58" s="317"/>
      <c r="BU58" s="317" t="str">
        <f>IF(BU46&lt;&gt;"",100-BU46,"")</f>
        <v/>
      </c>
      <c r="BV58" s="317" t="str">
        <f>IF(BV46&lt;&gt;"",100-BV46,"")</f>
        <v/>
      </c>
      <c r="BW58" s="317"/>
      <c r="BX58" s="317" t="str">
        <f>IF(BX46&lt;&gt;"",100-BX46,"")</f>
        <v/>
      </c>
      <c r="BY58" s="317" t="str">
        <f>IF(BY46&lt;&gt;"",100-BY46,"")</f>
        <v/>
      </c>
      <c r="BZ58" s="317"/>
      <c r="CA58" s="317" t="str">
        <f>IF(CA46&lt;&gt;"",100-CA46,"")</f>
        <v/>
      </c>
      <c r="CB58" s="317" t="str">
        <f>IF(CB46&lt;&gt;"",100-CB46,"")</f>
        <v/>
      </c>
      <c r="CC58" s="317"/>
      <c r="CD58" s="317" t="str">
        <f>IF(CD46&lt;&gt;"",100-CD46,"")</f>
        <v/>
      </c>
      <c r="CE58" s="317" t="str">
        <f>IF(CE46&lt;&gt;"",100-CE46,"")</f>
        <v/>
      </c>
      <c r="CF58" s="317"/>
      <c r="CG58" s="317" t="str">
        <f>IF(CG46&lt;&gt;"",100-CG46,"")</f>
        <v/>
      </c>
      <c r="CH58" s="317" t="str">
        <f>IF(CH46&lt;&gt;"",100-CH46,"")</f>
        <v/>
      </c>
      <c r="CI58" s="317"/>
      <c r="CJ58" s="317" t="str">
        <f>IF(CJ46&lt;&gt;"",100-CJ46,"")</f>
        <v/>
      </c>
      <c r="CK58" s="317" t="str">
        <f>IF(CK46&lt;&gt;"",100-CK46,"")</f>
        <v/>
      </c>
      <c r="CL58" s="317"/>
      <c r="CM58" s="317" t="str">
        <f>IF(CM46&lt;&gt;"",100-CM46,"")</f>
        <v/>
      </c>
      <c r="CN58" s="317" t="str">
        <f>IF(CN46&lt;&gt;"",100-CN46,"")</f>
        <v/>
      </c>
      <c r="CO58" s="317"/>
      <c r="CP58" s="317" t="str">
        <f>IF(CP46&lt;&gt;"",100-CP46,"")</f>
        <v/>
      </c>
      <c r="CQ58" s="317" t="str">
        <f>IF(CQ46&lt;&gt;"",100-CQ46,"")</f>
        <v/>
      </c>
      <c r="CR58" s="317"/>
      <c r="CS58" s="317" t="str">
        <f>IF(CS46&lt;&gt;"",100-CS46,"")</f>
        <v/>
      </c>
      <c r="CT58" s="317" t="str">
        <f>IF(CT46&lt;&gt;"",100-CT46,"")</f>
        <v/>
      </c>
      <c r="CU58" s="317"/>
      <c r="CV58" s="317" t="str">
        <f>IF(CV46&lt;&gt;"",100-CV46,"")</f>
        <v/>
      </c>
      <c r="CW58" s="317" t="str">
        <f>IF(CW46&lt;&gt;"",100-CW46,"")</f>
        <v/>
      </c>
      <c r="CX58" s="317"/>
      <c r="CY58" s="317" t="str">
        <f>IF(CY46&lt;&gt;"",100-CY46,"")</f>
        <v/>
      </c>
      <c r="CZ58" s="317" t="str">
        <f>IF(CZ46&lt;&gt;"",100-CZ46,"")</f>
        <v/>
      </c>
      <c r="DA58" s="317"/>
      <c r="DB58" s="317" t="str">
        <f>IF(DB46&lt;&gt;"",100-DB46,"")</f>
        <v/>
      </c>
      <c r="DC58" s="317" t="str">
        <f>IF(DC46&lt;&gt;"",100-DC46,"")</f>
        <v/>
      </c>
      <c r="DD58" s="317"/>
      <c r="DE58" s="317" t="str">
        <f>IF(DE46&lt;&gt;"",100-DE46,"")</f>
        <v/>
      </c>
      <c r="DF58" s="317" t="str">
        <f>IF(DF46&lt;&gt;"",100-DF46,"")</f>
        <v/>
      </c>
      <c r="DG58" s="317"/>
      <c r="DH58" s="317" t="str">
        <f>IF(DH46&lt;&gt;"",100-DH46,"")</f>
        <v/>
      </c>
      <c r="DI58" s="317" t="str">
        <f>IF(DI46&lt;&gt;"",100-DI46,"")</f>
        <v/>
      </c>
      <c r="DJ58" s="317"/>
      <c r="DK58" s="1212" t="str">
        <f>IF(DK46&lt;&gt;"",100-DK46,"")</f>
        <v/>
      </c>
      <c r="DL58" s="317" t="str">
        <f>IF(DL46&lt;&gt;"",100-DL46,"")</f>
        <v/>
      </c>
      <c r="DM58" s="317"/>
      <c r="DN58" s="1212" t="str">
        <f>IF(DN46&lt;&gt;"",100-DN46,"")</f>
        <v/>
      </c>
      <c r="DO58" s="317" t="str">
        <f>IF(DO46&lt;&gt;"",100-DO46,"")</f>
        <v/>
      </c>
      <c r="DP58" s="317"/>
      <c r="DQ58" s="1212" t="str">
        <f>IF(DQ46&lt;&gt;"",100-DQ46,"")</f>
        <v/>
      </c>
      <c r="DR58" s="317" t="str">
        <f>IF(DR46&lt;&gt;"",100-DR46,"")</f>
        <v/>
      </c>
      <c r="DS58" s="317"/>
      <c r="DT58" s="1212" t="str">
        <f>IF(DT46&lt;&gt;"",100-DT46,"")</f>
        <v/>
      </c>
      <c r="DU58" s="317" t="str">
        <f>IF(DU46&lt;&gt;"",100-DU46,"")</f>
        <v/>
      </c>
      <c r="DV58" s="317"/>
      <c r="DW58" s="1212" t="str">
        <f>IF(DW46&lt;&gt;"",100-DW46,"")</f>
        <v/>
      </c>
      <c r="DX58" s="317" t="str">
        <f>IF(DX46&lt;&gt;"",100-DX46,"")</f>
        <v/>
      </c>
      <c r="DY58" s="317"/>
      <c r="DZ58" s="1212" t="str">
        <f>IF(DZ46&lt;&gt;"",100-DZ46,"")</f>
        <v/>
      </c>
      <c r="EA58" s="317" t="str">
        <f>IF(EA46&lt;&gt;"",100-EA46,"")</f>
        <v/>
      </c>
      <c r="EB58" s="317"/>
      <c r="EC58" s="1212" t="str">
        <f>IF(EC46&lt;&gt;"",100-EC46,"")</f>
        <v/>
      </c>
      <c r="ED58" s="317" t="str">
        <f>IF(ED46&lt;&gt;"",100-ED46,"")</f>
        <v/>
      </c>
      <c r="EE58" s="317"/>
      <c r="EF58" s="1212" t="str">
        <f>IF(EF46&lt;&gt;"",100-EF46,"")</f>
        <v/>
      </c>
      <c r="EG58" s="317" t="str">
        <f>IF(EG46&lt;&gt;"",100-EG46,"")</f>
        <v/>
      </c>
      <c r="EH58" s="317"/>
      <c r="EI58" s="1212" t="str">
        <f>IF(EI46&lt;&gt;"",100-EI46,"")</f>
        <v/>
      </c>
      <c r="EJ58" s="317" t="str">
        <f>IF(EJ46&lt;&gt;"",100-EJ46,"")</f>
        <v/>
      </c>
      <c r="EK58" s="317"/>
      <c r="EL58" s="1212" t="str">
        <f>IF(EL46&lt;&gt;"",100-EL46,"")</f>
        <v/>
      </c>
      <c r="EM58" s="317" t="str">
        <f>IF(EM46&lt;&gt;"",100-EM46,"")</f>
        <v/>
      </c>
      <c r="EN58" s="317"/>
      <c r="EO58" s="1212" t="str">
        <f>IF(EO46&lt;&gt;"",100-EO46,"")</f>
        <v/>
      </c>
      <c r="EP58" s="317" t="str">
        <f>IF(EP46&lt;&gt;"",100-EP46,"")</f>
        <v/>
      </c>
      <c r="EQ58" s="317"/>
      <c r="ER58" s="1212" t="str">
        <f>IF(ER46&lt;&gt;"",100-ER46,"")</f>
        <v/>
      </c>
      <c r="ES58" s="317" t="str">
        <f>IF(ES46&lt;&gt;"",100-ES46,"")</f>
        <v/>
      </c>
      <c r="ET58" s="317"/>
      <c r="EU58" s="1212" t="str">
        <f>IF(EU46&lt;&gt;"",100-EU46,"")</f>
        <v/>
      </c>
      <c r="EV58" s="317" t="str">
        <f>IF(EV46&lt;&gt;"",100-EV46,"")</f>
        <v/>
      </c>
      <c r="EW58" s="317"/>
      <c r="EX58" s="1212" t="str">
        <f>IF(EX46&lt;&gt;"",100-EX46,"")</f>
        <v/>
      </c>
      <c r="EY58" s="317" t="str">
        <f>IF(EY46&lt;&gt;"",100-EY46,"")</f>
        <v/>
      </c>
      <c r="EZ58" s="317"/>
      <c r="FA58" s="317" t="str">
        <f>IF(FA46&lt;&gt;"",100-FA46,"")</f>
        <v/>
      </c>
    </row>
    <row r="59" spans="1:157" ht="13.35" customHeight="1">
      <c r="A59" s="5"/>
      <c r="B59" s="5" t="s">
        <v>536</v>
      </c>
      <c r="C59" s="5"/>
      <c r="D59" s="362"/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63"/>
      <c r="P59" s="363"/>
      <c r="Q59" s="363"/>
      <c r="R59" s="363"/>
      <c r="S59" s="363"/>
      <c r="T59" s="363"/>
      <c r="U59" s="363"/>
      <c r="V59" s="363"/>
      <c r="W59" s="363"/>
      <c r="X59" s="363"/>
      <c r="Y59" s="363"/>
      <c r="Z59" s="363"/>
      <c r="AA59" s="363"/>
      <c r="AB59" s="363"/>
      <c r="AC59" s="363"/>
      <c r="AD59" s="363"/>
      <c r="AE59" s="363"/>
      <c r="AF59" s="363"/>
      <c r="AG59" s="363"/>
      <c r="AH59" s="363"/>
      <c r="AI59" s="363"/>
      <c r="AJ59" s="363"/>
      <c r="AK59" s="363"/>
      <c r="AL59" s="363"/>
      <c r="AM59" s="363"/>
      <c r="AN59" s="363"/>
      <c r="AO59" s="363"/>
      <c r="AP59" s="363"/>
      <c r="AQ59" s="363"/>
      <c r="AR59" s="363"/>
      <c r="AS59" s="363"/>
      <c r="AT59" s="363"/>
      <c r="AU59" s="363"/>
      <c r="AV59" s="363"/>
      <c r="AW59" s="363"/>
      <c r="AX59" s="363"/>
      <c r="AY59" s="363"/>
      <c r="AZ59" s="363"/>
      <c r="BA59" s="363"/>
      <c r="BB59" s="363"/>
      <c r="BC59" s="363"/>
      <c r="BD59" s="363"/>
      <c r="BE59" s="363"/>
      <c r="BF59" s="363"/>
      <c r="BG59" s="363"/>
      <c r="BH59" s="363"/>
      <c r="BI59" s="363"/>
      <c r="BJ59" s="363"/>
      <c r="BK59" s="363"/>
      <c r="BL59" s="363"/>
      <c r="BM59" s="363"/>
      <c r="BN59" s="363"/>
      <c r="BO59" s="363"/>
      <c r="BP59" s="363"/>
      <c r="BQ59" s="363"/>
      <c r="BR59" s="363"/>
      <c r="BS59" s="363"/>
      <c r="BT59" s="363"/>
      <c r="BU59" s="363"/>
      <c r="BV59" s="363"/>
      <c r="BW59" s="363"/>
      <c r="BX59" s="363"/>
      <c r="BY59" s="363"/>
      <c r="BZ59" s="363"/>
      <c r="CA59" s="363"/>
      <c r="CB59" s="363"/>
      <c r="CC59" s="363"/>
      <c r="CD59" s="363"/>
      <c r="CE59" s="363"/>
      <c r="CF59" s="363"/>
      <c r="CG59" s="363"/>
      <c r="CH59" s="363"/>
      <c r="CI59" s="363"/>
      <c r="CJ59" s="363"/>
      <c r="CK59" s="363"/>
      <c r="CL59" s="363"/>
      <c r="CM59" s="363"/>
      <c r="CN59" s="363"/>
      <c r="CO59" s="363"/>
      <c r="CP59" s="363"/>
      <c r="CQ59" s="363"/>
      <c r="CR59" s="363"/>
      <c r="CS59" s="363"/>
      <c r="CT59" s="363"/>
      <c r="CU59" s="363"/>
      <c r="CV59" s="363"/>
      <c r="CW59" s="363"/>
      <c r="CX59" s="363"/>
      <c r="CY59" s="363"/>
      <c r="CZ59" s="363"/>
      <c r="DA59" s="363"/>
      <c r="DB59" s="363"/>
      <c r="DC59" s="363"/>
      <c r="DD59" s="363"/>
      <c r="DE59" s="363"/>
      <c r="DF59" s="363"/>
      <c r="DG59" s="363"/>
      <c r="DH59" s="363"/>
      <c r="DI59" s="363"/>
      <c r="DJ59" s="363"/>
      <c r="DK59" s="1210"/>
      <c r="DL59" s="363"/>
      <c r="DM59" s="363"/>
      <c r="DN59" s="1210"/>
      <c r="DO59" s="363"/>
      <c r="DP59" s="363"/>
      <c r="DQ59" s="1210"/>
      <c r="DR59" s="363"/>
      <c r="DS59" s="363"/>
      <c r="DT59" s="1210"/>
      <c r="DU59" s="363"/>
      <c r="DV59" s="363"/>
      <c r="DW59" s="1210"/>
      <c r="DX59" s="363"/>
      <c r="DY59" s="363"/>
      <c r="DZ59" s="1210"/>
      <c r="EA59" s="363"/>
      <c r="EB59" s="363"/>
      <c r="EC59" s="1210"/>
      <c r="ED59" s="363"/>
      <c r="EE59" s="363"/>
      <c r="EF59" s="1210"/>
      <c r="EG59" s="363"/>
      <c r="EH59" s="363"/>
      <c r="EI59" s="1210"/>
      <c r="EJ59" s="363"/>
      <c r="EK59" s="363"/>
      <c r="EL59" s="1210"/>
      <c r="EM59" s="363"/>
      <c r="EN59" s="363"/>
      <c r="EO59" s="1210"/>
      <c r="EP59" s="363"/>
      <c r="EQ59" s="363"/>
      <c r="ER59" s="1210"/>
      <c r="ES59" s="363"/>
      <c r="ET59" s="363"/>
      <c r="EU59" s="1210"/>
      <c r="EV59" s="363"/>
      <c r="EW59" s="363"/>
      <c r="EX59" s="1210"/>
      <c r="EY59" s="363"/>
      <c r="EZ59" s="363"/>
      <c r="FA59" s="363"/>
    </row>
    <row r="60" spans="1:157" ht="13.35" customHeight="1">
      <c r="A60" s="5"/>
      <c r="B60" s="5" t="s">
        <v>326</v>
      </c>
      <c r="C60" s="5"/>
      <c r="D60" s="362"/>
      <c r="E60" s="363" t="str">
        <f>IF(Model!E65&lt;&gt;"",Model!E65,"")</f>
        <v/>
      </c>
      <c r="F60" s="363" t="str">
        <f>IF(AND(G60&lt;&gt;"",E60&lt;&gt;""),G60-E60,"")</f>
        <v/>
      </c>
      <c r="G60" s="363" t="str">
        <f>IF(Model!G65&lt;&gt;"",Model!G65,"")</f>
        <v/>
      </c>
      <c r="H60" s="363" t="str">
        <f>IF(Model!H65&lt;&gt;"",Model!H65,"")</f>
        <v/>
      </c>
      <c r="I60" s="363" t="str">
        <f>IF(AND(J60&lt;&gt;"",H60&lt;&gt;""),J60-H60,"")</f>
        <v/>
      </c>
      <c r="J60" s="363" t="str">
        <f>IF(Model!J65&lt;&gt;"",Model!J65,"")</f>
        <v/>
      </c>
      <c r="K60" s="363" t="str">
        <f>IF(Model!K65&lt;&gt;"",Model!K65,"")</f>
        <v/>
      </c>
      <c r="L60" s="363" t="str">
        <f>IF(AND(M60&lt;&gt;"",K60&lt;&gt;""),M60-K60,"")</f>
        <v/>
      </c>
      <c r="M60" s="363" t="str">
        <f>IF(Model!M65&lt;&gt;"",Model!M65,"")</f>
        <v/>
      </c>
      <c r="N60" s="363" t="str">
        <f>IF(Model!N65&lt;&gt;"",Model!N65,"")</f>
        <v/>
      </c>
      <c r="O60" s="363" t="str">
        <f>IF(AND(P60&lt;&gt;"",N60&lt;&gt;""),P60-N60,"")</f>
        <v/>
      </c>
      <c r="P60" s="363" t="str">
        <f>IF(Model!P65&lt;&gt;"",Model!P65,"")</f>
        <v/>
      </c>
      <c r="Q60" s="363" t="str">
        <f>IF(Model!Q65&lt;&gt;"",Model!Q65,"")</f>
        <v/>
      </c>
      <c r="R60" s="363" t="str">
        <f>IF(AND(S60&lt;&gt;"",Q60&lt;&gt;""),S60-Q60,"")</f>
        <v/>
      </c>
      <c r="S60" s="363" t="str">
        <f>IF(Model!S65&lt;&gt;"",Model!S65,"")</f>
        <v/>
      </c>
      <c r="T60" s="363" t="str">
        <f>IF(Model!T65&lt;&gt;"",Model!T65,"")</f>
        <v/>
      </c>
      <c r="U60" s="363" t="str">
        <f>IF(AND(V60&lt;&gt;"",T60&lt;&gt;""),V60-T60,"")</f>
        <v/>
      </c>
      <c r="V60" s="363" t="str">
        <f>IF(Model!V65&lt;&gt;"",Model!V65,"")</f>
        <v/>
      </c>
      <c r="W60" s="363" t="str">
        <f>IF(Model!W65&lt;&gt;"",Model!W65,"")</f>
        <v/>
      </c>
      <c r="X60" s="363" t="str">
        <f>IF(AND(Y60&lt;&gt;"",W60&lt;&gt;""),Y60-W60,"")</f>
        <v/>
      </c>
      <c r="Y60" s="363" t="str">
        <f>IF(Model!Y65&lt;&gt;"",Model!Y65,"")</f>
        <v/>
      </c>
      <c r="Z60" s="363" t="str">
        <f>IF(Model!Z65&lt;&gt;"",Model!Z65,"")</f>
        <v/>
      </c>
      <c r="AA60" s="363" t="str">
        <f>IF(AND(AB60&lt;&gt;"",Z60&lt;&gt;""),AB60-Z60,"")</f>
        <v/>
      </c>
      <c r="AB60" s="363" t="str">
        <f>IF(Model!AB65&lt;&gt;"",Model!AB65,"")</f>
        <v/>
      </c>
      <c r="AC60" s="363" t="str">
        <f>IF(Model!AC65&lt;&gt;"",Model!AC65,"")</f>
        <v/>
      </c>
      <c r="AD60" s="363" t="str">
        <f>IF(AND(AE60&lt;&gt;"",AC60&lt;&gt;""),AE60-AC60,"")</f>
        <v/>
      </c>
      <c r="AE60" s="363" t="str">
        <f>IF(Model!AE65&lt;&gt;"",Model!AE65,"")</f>
        <v/>
      </c>
      <c r="AF60" s="363" t="str">
        <f>IF(Model!AF65&lt;&gt;"",Model!AF65,"")</f>
        <v/>
      </c>
      <c r="AG60" s="363" t="str">
        <f>IF(AND(AH60&lt;&gt;"",AF60&lt;&gt;""),AH60-AF60,"")</f>
        <v/>
      </c>
      <c r="AH60" s="363" t="str">
        <f>IF(Model!AH65&lt;&gt;"",Model!AH65,"")</f>
        <v/>
      </c>
      <c r="AI60" s="363" t="str">
        <f>IF(Model!AI65&lt;&gt;"",Model!AI65,"")</f>
        <v/>
      </c>
      <c r="AJ60" s="363" t="str">
        <f>IF(AND(AK60&lt;&gt;"",AI60&lt;&gt;""),AK60-AI60,"")</f>
        <v/>
      </c>
      <c r="AK60" s="363" t="str">
        <f>IF(Model!AK65&lt;&gt;"",Model!AK65,"")</f>
        <v/>
      </c>
      <c r="AL60" s="363" t="str">
        <f>IF(Model!AL65&lt;&gt;"",Model!AL65,"")</f>
        <v/>
      </c>
      <c r="AM60" s="363" t="str">
        <f>IF(AND(AN60&lt;&gt;"",AL60&lt;&gt;""),AN60-AL60,"")</f>
        <v/>
      </c>
      <c r="AN60" s="363" t="str">
        <f>IF(Model!AN65&lt;&gt;"",Model!AN65,"")</f>
        <v/>
      </c>
      <c r="AO60" s="363" t="str">
        <f>IF(Model!AO65&lt;&gt;"",Model!AO65,"")</f>
        <v/>
      </c>
      <c r="AP60" s="363" t="str">
        <f>IF(AND(AQ60&lt;&gt;"",AO60&lt;&gt;""),AQ60-AO60,"")</f>
        <v/>
      </c>
      <c r="AQ60" s="363" t="str">
        <f>IF(Model!AQ65&lt;&gt;"",Model!AQ65,"")</f>
        <v/>
      </c>
      <c r="AR60" s="363" t="str">
        <f>IF(Model!AR65&lt;&gt;"",Model!AR65,"")</f>
        <v/>
      </c>
      <c r="AS60" s="363" t="str">
        <f>IF(AND(AT60&lt;&gt;"",AR60&lt;&gt;""),AT60-AR60,"")</f>
        <v/>
      </c>
      <c r="AT60" s="363" t="str">
        <f>IF(Model!AT65&lt;&gt;"",Model!AT65,"")</f>
        <v/>
      </c>
      <c r="AU60" s="363" t="str">
        <f>IF(Model!AU65&lt;&gt;"",Model!AU65,"")</f>
        <v/>
      </c>
      <c r="AV60" s="363" t="str">
        <f>IF(AND(AW60&lt;&gt;"",AU60&lt;&gt;""),AW60-AU60,"")</f>
        <v/>
      </c>
      <c r="AW60" s="363" t="str">
        <f>IF(Model!AW65&lt;&gt;"",Model!AW65,"")</f>
        <v/>
      </c>
      <c r="AX60" s="363">
        <f>IF(Model!AX65&lt;&gt;"",Model!AX65,"")</f>
        <v>0</v>
      </c>
      <c r="AY60" s="363">
        <f>IF(AND(AZ60&lt;&gt;"",AX60&lt;&gt;""),AZ60-AX60,"")</f>
        <v>0</v>
      </c>
      <c r="AZ60" s="363">
        <f>IF(Model!AZ65&lt;&gt;"",Model!AZ65,"")</f>
        <v>0</v>
      </c>
      <c r="BA60" s="363">
        <f>IF(Model!BA65&lt;&gt;"",Model!BA65,"")</f>
        <v>0</v>
      </c>
      <c r="BB60" s="363">
        <f>IF(AND(BC60&lt;&gt;"",BA60&lt;&gt;""),BC60-BA60,"")</f>
        <v>0</v>
      </c>
      <c r="BC60" s="363">
        <f>IF(Model!BC65&lt;&gt;"",Model!BC65,"")</f>
        <v>0</v>
      </c>
      <c r="BD60" s="359"/>
      <c r="BE60" s="363" t="str">
        <f>IF(AND(BF60&lt;&gt;"",BD60&lt;&gt;""),BF60-BD60,"")</f>
        <v/>
      </c>
      <c r="BF60" s="359"/>
      <c r="BG60" s="359"/>
      <c r="BH60" s="363" t="str">
        <f>IF(AND(BI60&lt;&gt;"",BG60&lt;&gt;""),BI60-BG60,"")</f>
        <v/>
      </c>
      <c r="BI60" s="359"/>
      <c r="BJ60" s="359"/>
      <c r="BK60" s="363" t="str">
        <f>IF(AND(BL60&lt;&gt;"",BJ60&lt;&gt;""),BL60-BJ60,"")</f>
        <v/>
      </c>
      <c r="BL60" s="359"/>
      <c r="BM60" s="359"/>
      <c r="BN60" s="363" t="str">
        <f>IF(AND(BO60&lt;&gt;"",BM60&lt;&gt;""),BO60-BM60,"")</f>
        <v/>
      </c>
      <c r="BO60" s="359"/>
      <c r="BP60" s="359"/>
      <c r="BQ60" s="363" t="str">
        <f>IF(AND(BR60&lt;&gt;"",BP60&lt;&gt;""),BR60-BP60,"")</f>
        <v/>
      </c>
      <c r="BR60" s="359"/>
      <c r="BS60" s="359"/>
      <c r="BT60" s="363" t="str">
        <f>IF(AND(BU60&lt;&gt;"",BS60&lt;&gt;""),BU60-BS60,"")</f>
        <v/>
      </c>
      <c r="BU60" s="359"/>
      <c r="BV60" s="359"/>
      <c r="BW60" s="363" t="str">
        <f>IF(AND(BX60&lt;&gt;"",BV60&lt;&gt;""),BX60-BV60,"")</f>
        <v/>
      </c>
      <c r="BX60" s="359"/>
      <c r="BY60" s="359"/>
      <c r="BZ60" s="363" t="str">
        <f>IF(AND(CA60&lt;&gt;"",BY60&lt;&gt;""),CA60-BY60,"")</f>
        <v/>
      </c>
      <c r="CA60" s="359"/>
      <c r="CB60" s="359"/>
      <c r="CC60" s="363" t="str">
        <f>IF(AND(CD60&lt;&gt;"",CB60&lt;&gt;""),CD60-CB60,"")</f>
        <v/>
      </c>
      <c r="CD60" s="359"/>
      <c r="CE60" s="359"/>
      <c r="CF60" s="363" t="str">
        <f>IF(AND(CG60&lt;&gt;"",CE60&lt;&gt;""),CG60-CE60,"")</f>
        <v/>
      </c>
      <c r="CG60" s="359"/>
      <c r="CH60" s="359"/>
      <c r="CI60" s="363" t="str">
        <f>IF(AND(CJ60&lt;&gt;"",CH60&lt;&gt;""),CJ60-CH60,"")</f>
        <v/>
      </c>
      <c r="CJ60" s="359"/>
      <c r="CK60" s="359"/>
      <c r="CL60" s="363" t="str">
        <f>IF(AND(CM60&lt;&gt;"",CK60&lt;&gt;""),CM60-CK60,"")</f>
        <v/>
      </c>
      <c r="CM60" s="359"/>
      <c r="CN60" s="359"/>
      <c r="CO60" s="363" t="str">
        <f>IF(AND(CP60&lt;&gt;"",CN60&lt;&gt;""),CP60-CN60,"")</f>
        <v/>
      </c>
      <c r="CP60" s="359"/>
      <c r="CQ60" s="359"/>
      <c r="CR60" s="363" t="str">
        <f>IF(AND(CS60&lt;&gt;"",CQ60&lt;&gt;""),CS60-CQ60,"")</f>
        <v/>
      </c>
      <c r="CS60" s="359"/>
      <c r="CT60" s="359"/>
      <c r="CU60" s="363" t="str">
        <f>IF(AND(CV60&lt;&gt;"",CT60&lt;&gt;""),CV60-CT60,"")</f>
        <v/>
      </c>
      <c r="CV60" s="359"/>
      <c r="CW60" s="359"/>
      <c r="CX60" s="363" t="str">
        <f>IF(AND(CY60&lt;&gt;"",CW60&lt;&gt;""),CY60-CW60,"")</f>
        <v/>
      </c>
      <c r="CY60" s="359"/>
      <c r="CZ60" s="359"/>
      <c r="DA60" s="363" t="str">
        <f>IF(AND(DB60&lt;&gt;"",CZ60&lt;&gt;""),DB60-CZ60,"")</f>
        <v/>
      </c>
      <c r="DB60" s="359"/>
      <c r="DC60" s="359"/>
      <c r="DD60" s="363" t="str">
        <f>IF(AND(DE60&lt;&gt;"",DC60&lt;&gt;""),DE60-DC60,"")</f>
        <v/>
      </c>
      <c r="DE60" s="359"/>
      <c r="DF60" s="359"/>
      <c r="DG60" s="363" t="str">
        <f>IF(AND(DH60&lt;&gt;"",DF60&lt;&gt;""),DH60-DF60,"")</f>
        <v/>
      </c>
      <c r="DH60" s="359"/>
      <c r="DI60" s="359"/>
      <c r="DJ60" s="363" t="str">
        <f>IF(AND(DK60&lt;&gt;"",DI60&lt;&gt;""),DK60-DI60,"")</f>
        <v/>
      </c>
      <c r="DK60" s="1208"/>
      <c r="DL60" s="359"/>
      <c r="DM60" s="363" t="str">
        <f>IF(AND(DN60&lt;&gt;"",DL60&lt;&gt;""),DN60-DL60,"")</f>
        <v/>
      </c>
      <c r="DN60" s="1208"/>
      <c r="DO60" s="359"/>
      <c r="DP60" s="363" t="str">
        <f>IF(AND(DQ60&lt;&gt;"",DO60&lt;&gt;""),DQ60-DO60,"")</f>
        <v/>
      </c>
      <c r="DQ60" s="1208"/>
      <c r="DR60" s="359"/>
      <c r="DS60" s="363" t="str">
        <f>IF(AND(DT60&lt;&gt;"",DR60&lt;&gt;""),DT60-DR60,"")</f>
        <v/>
      </c>
      <c r="DT60" s="1208"/>
      <c r="DU60" s="359"/>
      <c r="DV60" s="363" t="str">
        <f>IF(AND(DW60&lt;&gt;"",DU60&lt;&gt;""),DW60-DU60,"")</f>
        <v/>
      </c>
      <c r="DW60" s="1208"/>
      <c r="DX60" s="359"/>
      <c r="DY60" s="363" t="str">
        <f>IF(AND(DZ60&lt;&gt;"",DX60&lt;&gt;""),DZ60-DX60,"")</f>
        <v/>
      </c>
      <c r="DZ60" s="1208"/>
      <c r="EA60" s="359"/>
      <c r="EB60" s="363" t="str">
        <f>IF(AND(EC60&lt;&gt;"",EA60&lt;&gt;""),EC60-EA60,"")</f>
        <v/>
      </c>
      <c r="EC60" s="1208"/>
      <c r="ED60" s="359"/>
      <c r="EE60" s="363" t="str">
        <f>IF(AND(EF60&lt;&gt;"",ED60&lt;&gt;""),EF60-ED60,"")</f>
        <v/>
      </c>
      <c r="EF60" s="1208"/>
      <c r="EG60" s="359"/>
      <c r="EH60" s="363" t="str">
        <f>IF(AND(EI60&lt;&gt;"",EG60&lt;&gt;""),EI60-EG60,"")</f>
        <v/>
      </c>
      <c r="EI60" s="1208"/>
      <c r="EJ60" s="359"/>
      <c r="EK60" s="363" t="str">
        <f>IF(AND(EL60&lt;&gt;"",EJ60&lt;&gt;""),EL60-EJ60,"")</f>
        <v/>
      </c>
      <c r="EL60" s="1208"/>
      <c r="EM60" s="359"/>
      <c r="EN60" s="363" t="str">
        <f>IF(AND(EO60&lt;&gt;"",EM60&lt;&gt;""),EO60-EM60,"")</f>
        <v/>
      </c>
      <c r="EO60" s="1208"/>
      <c r="EP60" s="359"/>
      <c r="EQ60" s="363" t="str">
        <f>IF(AND(ER60&lt;&gt;"",EP60&lt;&gt;""),ER60-EP60,"")</f>
        <v/>
      </c>
      <c r="ER60" s="1208"/>
      <c r="ES60" s="359"/>
      <c r="ET60" s="363" t="str">
        <f>IF(AND(EU60&lt;&gt;"",ES60&lt;&gt;""),EU60-ES60,"")</f>
        <v/>
      </c>
      <c r="EU60" s="1208"/>
      <c r="EV60" s="359"/>
      <c r="EW60" s="363" t="str">
        <f>IF(AND(EX60&lt;&gt;"",EV60&lt;&gt;""),EX60-EV60,"")</f>
        <v/>
      </c>
      <c r="EX60" s="1208"/>
      <c r="EY60" s="359"/>
      <c r="EZ60" s="363" t="str">
        <f>IF(AND(FA60&lt;&gt;"",EY60&lt;&gt;""),FA60-EY60,"")</f>
        <v/>
      </c>
      <c r="FA60" s="359"/>
    </row>
    <row r="61" spans="1:157" ht="13.35" customHeight="1">
      <c r="A61" s="5"/>
      <c r="B61" s="5" t="s">
        <v>11</v>
      </c>
      <c r="C61" s="5"/>
      <c r="D61" s="362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0"/>
      <c r="BI61" s="30"/>
      <c r="BJ61" s="30"/>
      <c r="BK61" s="30"/>
      <c r="BL61" s="30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  <c r="BX61" s="30"/>
      <c r="BY61" s="30"/>
      <c r="BZ61" s="30"/>
      <c r="CA61" s="30"/>
      <c r="CB61" s="30"/>
      <c r="CC61" s="30"/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30"/>
      <c r="CX61" s="30"/>
      <c r="CY61" s="30"/>
      <c r="CZ61" s="30"/>
      <c r="DA61" s="30"/>
      <c r="DB61" s="30"/>
      <c r="DC61" s="30"/>
      <c r="DD61" s="30"/>
      <c r="DE61" s="30"/>
      <c r="DF61" s="30"/>
      <c r="DG61" s="30"/>
      <c r="DH61" s="30"/>
      <c r="DI61" s="30"/>
      <c r="DJ61" s="30"/>
      <c r="DK61" s="1096"/>
      <c r="DL61" s="30"/>
      <c r="DM61" s="30"/>
      <c r="DN61" s="1096"/>
      <c r="DO61" s="30"/>
      <c r="DP61" s="30"/>
      <c r="DQ61" s="1096"/>
      <c r="DR61" s="30"/>
      <c r="DS61" s="30"/>
      <c r="DT61" s="1096"/>
      <c r="DU61" s="30"/>
      <c r="DV61" s="30"/>
      <c r="DW61" s="1096"/>
      <c r="DX61" s="30"/>
      <c r="DY61" s="30"/>
      <c r="DZ61" s="1096"/>
      <c r="EA61" s="30"/>
      <c r="EB61" s="30"/>
      <c r="EC61" s="1096"/>
      <c r="ED61" s="30"/>
      <c r="EE61" s="30"/>
      <c r="EF61" s="1096"/>
      <c r="EG61" s="30"/>
      <c r="EH61" s="30"/>
      <c r="EI61" s="1096"/>
      <c r="EJ61" s="30"/>
      <c r="EK61" s="30"/>
      <c r="EL61" s="1096"/>
      <c r="EM61" s="30"/>
      <c r="EN61" s="30"/>
      <c r="EO61" s="1096"/>
      <c r="EP61" s="30"/>
      <c r="EQ61" s="30"/>
      <c r="ER61" s="1096"/>
      <c r="ES61" s="30"/>
      <c r="ET61" s="30"/>
      <c r="EU61" s="1096"/>
      <c r="EV61" s="30"/>
      <c r="EW61" s="30"/>
      <c r="EX61" s="1096"/>
      <c r="EY61" s="30"/>
      <c r="EZ61" s="30"/>
      <c r="FA61" s="30"/>
    </row>
    <row r="62" spans="1:157" ht="13.35" customHeight="1" outlineLevel="1">
      <c r="A62" s="5"/>
      <c r="B62" s="5" t="s">
        <v>247</v>
      </c>
      <c r="C62" s="5"/>
      <c r="D62" s="362"/>
      <c r="E62" s="363"/>
      <c r="F62" s="363" t="str">
        <f>IF(G62&lt;&gt;"",G62,"")</f>
        <v/>
      </c>
      <c r="G62" s="363"/>
      <c r="H62" s="363"/>
      <c r="I62" s="363" t="str">
        <f>IF(J62&lt;&gt;"",J62,"")</f>
        <v/>
      </c>
      <c r="J62" s="363"/>
      <c r="K62" s="363"/>
      <c r="L62" s="363" t="str">
        <f>IF(M62&lt;&gt;"",M62,"")</f>
        <v/>
      </c>
      <c r="M62" s="363"/>
      <c r="N62" s="363"/>
      <c r="O62" s="363" t="str">
        <f>IF(P62&lt;&gt;"",P62,"")</f>
        <v/>
      </c>
      <c r="P62" s="363"/>
      <c r="Q62" s="363"/>
      <c r="R62" s="363" t="str">
        <f>IF(S62&lt;&gt;"",S62,"")</f>
        <v/>
      </c>
      <c r="S62" s="363"/>
      <c r="T62" s="363"/>
      <c r="U62" s="363" t="str">
        <f>IF(V62&lt;&gt;"",V62,"")</f>
        <v/>
      </c>
      <c r="V62" s="363"/>
      <c r="W62" s="363"/>
      <c r="X62" s="363" t="str">
        <f>IF(Y62&lt;&gt;"",Y62,"")</f>
        <v/>
      </c>
      <c r="Y62" s="363"/>
      <c r="Z62" s="363"/>
      <c r="AA62" s="363" t="str">
        <f>IF(AB62&lt;&gt;"",AB62,"")</f>
        <v/>
      </c>
      <c r="AB62" s="363"/>
      <c r="AC62" s="363"/>
      <c r="AD62" s="363" t="str">
        <f>IF(AE62&lt;&gt;"",AE62,"")</f>
        <v/>
      </c>
      <c r="AE62" s="363"/>
      <c r="AF62" s="363"/>
      <c r="AG62" s="363" t="str">
        <f>IF(AH62&lt;&gt;"",AH62,"")</f>
        <v/>
      </c>
      <c r="AH62" s="363"/>
      <c r="AI62" s="363"/>
      <c r="AJ62" s="363" t="str">
        <f>IF(AK62&lt;&gt;"",AK62,"")</f>
        <v/>
      </c>
      <c r="AK62" s="363"/>
      <c r="AL62" s="363"/>
      <c r="AM62" s="363" t="str">
        <f>IF(AN62&lt;&gt;"",AN62,"")</f>
        <v/>
      </c>
      <c r="AN62" s="363"/>
      <c r="AO62" s="363"/>
      <c r="AP62" s="363"/>
      <c r="AQ62" s="363"/>
      <c r="AR62" s="363"/>
      <c r="AS62" s="363"/>
      <c r="AT62" s="363"/>
      <c r="AU62" s="363"/>
      <c r="AV62" s="363"/>
      <c r="AW62" s="363"/>
      <c r="AX62" s="363"/>
      <c r="AY62" s="363"/>
      <c r="AZ62" s="363"/>
      <c r="BA62" s="363"/>
      <c r="BB62" s="363"/>
      <c r="BC62" s="363"/>
      <c r="BD62" s="363"/>
      <c r="BE62" s="363" t="str">
        <f>IF(BF62&lt;&gt;"",BF62,"")</f>
        <v/>
      </c>
      <c r="BF62" s="363"/>
      <c r="BG62" s="363"/>
      <c r="BH62" s="363" t="str">
        <f>IF(BI62&lt;&gt;"",BI62,"")</f>
        <v/>
      </c>
      <c r="BI62" s="363"/>
      <c r="BJ62" s="363"/>
      <c r="BK62" s="363" t="str">
        <f>IF(BL62&lt;&gt;"",BL62,"")</f>
        <v/>
      </c>
      <c r="BL62" s="363"/>
      <c r="BM62" s="363"/>
      <c r="BN62" s="363" t="str">
        <f>IF(BO62&lt;&gt;"",BO62,"")</f>
        <v/>
      </c>
      <c r="BO62" s="363"/>
      <c r="BP62" s="363"/>
      <c r="BQ62" s="363" t="str">
        <f>IF(BR62&lt;&gt;"",BR62,"")</f>
        <v/>
      </c>
      <c r="BR62" s="363"/>
      <c r="BS62" s="363"/>
      <c r="BT62" s="363" t="str">
        <f>IF(BU62&lt;&gt;"",BU62,"")</f>
        <v/>
      </c>
      <c r="BU62" s="363"/>
      <c r="BV62" s="363"/>
      <c r="BW62" s="363" t="str">
        <f>IF(BX62&lt;&gt;"",BX62,"")</f>
        <v/>
      </c>
      <c r="BX62" s="363"/>
      <c r="BY62" s="363"/>
      <c r="BZ62" s="363" t="str">
        <f>IF(CA62&lt;&gt;"",CA62,"")</f>
        <v/>
      </c>
      <c r="CA62" s="363"/>
      <c r="CB62" s="363"/>
      <c r="CC62" s="363" t="str">
        <f>IF(CD62&lt;&gt;"",CD62,"")</f>
        <v/>
      </c>
      <c r="CD62" s="363"/>
      <c r="CE62" s="363"/>
      <c r="CF62" s="363" t="str">
        <f>IF(CG62&lt;&gt;"",CG62,"")</f>
        <v/>
      </c>
      <c r="CG62" s="363"/>
      <c r="CH62" s="363"/>
      <c r="CI62" s="363" t="str">
        <f>IF(CJ62&lt;&gt;"",CJ62,"")</f>
        <v/>
      </c>
      <c r="CJ62" s="363"/>
      <c r="CK62" s="363"/>
      <c r="CL62" s="363" t="str">
        <f>IF(CM62&lt;&gt;"",CM62,"")</f>
        <v/>
      </c>
      <c r="CM62" s="363"/>
      <c r="CN62" s="363"/>
      <c r="CO62" s="363" t="str">
        <f>IF(CP62&lt;&gt;"",CP62,"")</f>
        <v/>
      </c>
      <c r="CP62" s="363"/>
      <c r="CQ62" s="363"/>
      <c r="CR62" s="363" t="str">
        <f>IF(CS62&lt;&gt;"",CS62,"")</f>
        <v/>
      </c>
      <c r="CS62" s="363"/>
      <c r="CT62" s="363"/>
      <c r="CU62" s="363" t="str">
        <f>IF(CV62&lt;&gt;"",CV62,"")</f>
        <v/>
      </c>
      <c r="CV62" s="363"/>
      <c r="CW62" s="363"/>
      <c r="CX62" s="363" t="str">
        <f>IF(CY62&lt;&gt;"",CY62,"")</f>
        <v/>
      </c>
      <c r="CY62" s="363"/>
      <c r="CZ62" s="363"/>
      <c r="DA62" s="363" t="str">
        <f>IF(DB62&lt;&gt;"",DB62,"")</f>
        <v/>
      </c>
      <c r="DB62" s="363"/>
      <c r="DC62" s="363"/>
      <c r="DD62" s="363" t="str">
        <f>IF(DE62&lt;&gt;"",DE62,"")</f>
        <v/>
      </c>
      <c r="DE62" s="363"/>
      <c r="DF62" s="363"/>
      <c r="DG62" s="363" t="str">
        <f>IF(DH62&lt;&gt;"",DH62,"")</f>
        <v/>
      </c>
      <c r="DH62" s="363"/>
      <c r="DI62" s="363"/>
      <c r="DJ62" s="363" t="str">
        <f>IF(DK62&lt;&gt;"",DK62,"")</f>
        <v/>
      </c>
      <c r="DK62" s="1210"/>
      <c r="DL62" s="363"/>
      <c r="DM62" s="363" t="str">
        <f>IF(DN62&lt;&gt;"",DN62,"")</f>
        <v/>
      </c>
      <c r="DN62" s="1210"/>
      <c r="DO62" s="363"/>
      <c r="DP62" s="363" t="str">
        <f>IF(DQ62&lt;&gt;"",DQ62,"")</f>
        <v/>
      </c>
      <c r="DQ62" s="1210"/>
      <c r="DR62" s="363"/>
      <c r="DS62" s="363" t="str">
        <f>IF(DT62&lt;&gt;"",DT62,"")</f>
        <v/>
      </c>
      <c r="DT62" s="1210"/>
      <c r="DU62" s="363"/>
      <c r="DV62" s="363" t="str">
        <f>IF(DW62&lt;&gt;"",DW62,"")</f>
        <v/>
      </c>
      <c r="DW62" s="1210"/>
      <c r="DX62" s="363"/>
      <c r="DY62" s="363" t="str">
        <f>IF(DZ62&lt;&gt;"",DZ62,"")</f>
        <v/>
      </c>
      <c r="DZ62" s="1210"/>
      <c r="EA62" s="363"/>
      <c r="EB62" s="363" t="str">
        <f>IF(EC62&lt;&gt;"",EC62,"")</f>
        <v/>
      </c>
      <c r="EC62" s="1210"/>
      <c r="ED62" s="363"/>
      <c r="EE62" s="363" t="str">
        <f>IF(EF62&lt;&gt;"",EF62,"")</f>
        <v/>
      </c>
      <c r="EF62" s="1210"/>
      <c r="EG62" s="363"/>
      <c r="EH62" s="363" t="str">
        <f>IF(EI62&lt;&gt;"",EI62,"")</f>
        <v/>
      </c>
      <c r="EI62" s="1210"/>
      <c r="EJ62" s="363"/>
      <c r="EK62" s="363" t="str">
        <f>IF(EL62&lt;&gt;"",EL62,"")</f>
        <v/>
      </c>
      <c r="EL62" s="1210"/>
      <c r="EM62" s="363"/>
      <c r="EN62" s="363" t="str">
        <f>IF(EO62&lt;&gt;"",EO62,"")</f>
        <v/>
      </c>
      <c r="EO62" s="1210"/>
      <c r="EP62" s="363"/>
      <c r="EQ62" s="363" t="str">
        <f>IF(ER62&lt;&gt;"",ER62,"")</f>
        <v/>
      </c>
      <c r="ER62" s="1210"/>
      <c r="ES62" s="363"/>
      <c r="ET62" s="363" t="str">
        <f>IF(EU62&lt;&gt;"",EU62,"")</f>
        <v/>
      </c>
      <c r="EU62" s="1210"/>
      <c r="EV62" s="363"/>
      <c r="EW62" s="363" t="str">
        <f>IF(EX62&lt;&gt;"",EX62,"")</f>
        <v/>
      </c>
      <c r="EX62" s="1210"/>
      <c r="EY62" s="363"/>
      <c r="EZ62" s="363" t="str">
        <f>IF(FA62&lt;&gt;"",FA62,"")</f>
        <v/>
      </c>
      <c r="FA62" s="363"/>
    </row>
    <row r="63" spans="1:157" ht="13.35" customHeight="1" outlineLevel="1">
      <c r="A63" s="5"/>
      <c r="B63" s="5" t="s">
        <v>110</v>
      </c>
      <c r="C63" s="5"/>
      <c r="D63" s="362"/>
      <c r="E63" s="363"/>
      <c r="F63" s="363" t="str">
        <f>IF(G63&lt;&gt;"",G63,"")</f>
        <v/>
      </c>
      <c r="G63" s="363"/>
      <c r="H63" s="363"/>
      <c r="I63" s="363" t="str">
        <f>IF(J63&lt;&gt;"",J63,"")</f>
        <v/>
      </c>
      <c r="J63" s="363"/>
      <c r="K63" s="363"/>
      <c r="L63" s="363" t="str">
        <f>IF(M63&lt;&gt;"",M63,"")</f>
        <v/>
      </c>
      <c r="M63" s="363"/>
      <c r="N63" s="363"/>
      <c r="O63" s="363" t="str">
        <f>IF(P63&lt;&gt;"",P63,"")</f>
        <v/>
      </c>
      <c r="P63" s="363"/>
      <c r="Q63" s="363"/>
      <c r="R63" s="363" t="str">
        <f>IF(S63&lt;&gt;"",S63,"")</f>
        <v/>
      </c>
      <c r="S63" s="363"/>
      <c r="T63" s="363"/>
      <c r="U63" s="363" t="str">
        <f>IF(V63&lt;&gt;"",V63,"")</f>
        <v/>
      </c>
      <c r="V63" s="363"/>
      <c r="W63" s="363"/>
      <c r="X63" s="363" t="str">
        <f>IF(Y63&lt;&gt;"",Y63,"")</f>
        <v/>
      </c>
      <c r="Y63" s="363"/>
      <c r="Z63" s="363"/>
      <c r="AA63" s="363" t="str">
        <f>IF(AB63&lt;&gt;"",AB63,"")</f>
        <v/>
      </c>
      <c r="AB63" s="363"/>
      <c r="AC63" s="363"/>
      <c r="AD63" s="363" t="str">
        <f>IF(AE63&lt;&gt;"",AE63,"")</f>
        <v/>
      </c>
      <c r="AE63" s="363"/>
      <c r="AF63" s="363"/>
      <c r="AG63" s="363" t="str">
        <f>IF(AH63&lt;&gt;"",AH63,"")</f>
        <v/>
      </c>
      <c r="AH63" s="363"/>
      <c r="AI63" s="363"/>
      <c r="AJ63" s="363" t="str">
        <f>IF(AK63&lt;&gt;"",AK63,"")</f>
        <v/>
      </c>
      <c r="AK63" s="363"/>
      <c r="AL63" s="363"/>
      <c r="AM63" s="363" t="str">
        <f>IF(AN63&lt;&gt;"",AN63,"")</f>
        <v/>
      </c>
      <c r="AN63" s="363"/>
      <c r="AO63" s="363"/>
      <c r="AP63" s="363" t="str">
        <f>IF(AQ63&lt;&gt;"",AQ63,"")</f>
        <v/>
      </c>
      <c r="AQ63" s="363"/>
      <c r="AR63" s="363"/>
      <c r="AS63" s="363" t="str">
        <f>IF(AT63&lt;&gt;"",AT63,"")</f>
        <v/>
      </c>
      <c r="AT63" s="363"/>
      <c r="AU63" s="363"/>
      <c r="AV63" s="363" t="str">
        <f>IF(AW63&lt;&gt;"",AW63,"")</f>
        <v/>
      </c>
      <c r="AW63" s="363"/>
      <c r="AX63" s="363"/>
      <c r="AY63" s="363" t="str">
        <f>IF(AZ63&lt;&gt;"",AZ63,"")</f>
        <v/>
      </c>
      <c r="AZ63" s="363"/>
      <c r="BA63" s="363"/>
      <c r="BB63" s="363" t="str">
        <f>IF(BC63&lt;&gt;"",BC63,"")</f>
        <v/>
      </c>
      <c r="BC63" s="363"/>
      <c r="BD63" s="363"/>
      <c r="BE63" s="363" t="str">
        <f>IF(BF63&lt;&gt;"",BF63,"")</f>
        <v/>
      </c>
      <c r="BF63" s="363"/>
      <c r="BG63" s="363"/>
      <c r="BH63" s="363" t="str">
        <f>IF(BI63&lt;&gt;"",BI63,"")</f>
        <v/>
      </c>
      <c r="BI63" s="363"/>
      <c r="BJ63" s="363"/>
      <c r="BK63" s="363" t="str">
        <f>IF(BL63&lt;&gt;"",BL63,"")</f>
        <v/>
      </c>
      <c r="BL63" s="363"/>
      <c r="BM63" s="363"/>
      <c r="BN63" s="363" t="str">
        <f>IF(BO63&lt;&gt;"",BO63,"")</f>
        <v/>
      </c>
      <c r="BO63" s="363"/>
      <c r="BP63" s="363"/>
      <c r="BQ63" s="363" t="str">
        <f>IF(BR63&lt;&gt;"",BR63,"")</f>
        <v/>
      </c>
      <c r="BR63" s="363"/>
      <c r="BS63" s="363"/>
      <c r="BT63" s="363" t="str">
        <f>IF(BU63&lt;&gt;"",BU63,"")</f>
        <v/>
      </c>
      <c r="BU63" s="363"/>
      <c r="BV63" s="363"/>
      <c r="BW63" s="363" t="str">
        <f>IF(BX63&lt;&gt;"",BX63,"")</f>
        <v/>
      </c>
      <c r="BX63" s="363"/>
      <c r="BY63" s="363"/>
      <c r="BZ63" s="363" t="str">
        <f>IF(CA63&lt;&gt;"",CA63,"")</f>
        <v/>
      </c>
      <c r="CA63" s="363"/>
      <c r="CB63" s="363"/>
      <c r="CC63" s="363" t="str">
        <f>IF(CD63&lt;&gt;"",CD63,"")</f>
        <v/>
      </c>
      <c r="CD63" s="363"/>
      <c r="CE63" s="363"/>
      <c r="CF63" s="363" t="str">
        <f>IF(CG63&lt;&gt;"",CG63,"")</f>
        <v/>
      </c>
      <c r="CG63" s="363"/>
      <c r="CH63" s="363"/>
      <c r="CI63" s="363" t="str">
        <f>IF(CJ63&lt;&gt;"",CJ63,"")</f>
        <v/>
      </c>
      <c r="CJ63" s="363"/>
      <c r="CK63" s="363"/>
      <c r="CL63" s="363" t="str">
        <f>IF(CM63&lt;&gt;"",CM63,"")</f>
        <v/>
      </c>
      <c r="CM63" s="363"/>
      <c r="CN63" s="363"/>
      <c r="CO63" s="363" t="str">
        <f>IF(CP63&lt;&gt;"",CP63,"")</f>
        <v/>
      </c>
      <c r="CP63" s="363"/>
      <c r="CQ63" s="363"/>
      <c r="CR63" s="363" t="str">
        <f>IF(CS63&lt;&gt;"",CS63,"")</f>
        <v/>
      </c>
      <c r="CS63" s="363"/>
      <c r="CT63" s="363"/>
      <c r="CU63" s="363" t="str">
        <f>IF(CV63&lt;&gt;"",CV63,"")</f>
        <v/>
      </c>
      <c r="CV63" s="363"/>
      <c r="CW63" s="363"/>
      <c r="CX63" s="363" t="str">
        <f>IF(CY63&lt;&gt;"",CY63,"")</f>
        <v/>
      </c>
      <c r="CY63" s="363"/>
      <c r="CZ63" s="363"/>
      <c r="DA63" s="363" t="str">
        <f>IF(DB63&lt;&gt;"",DB63,"")</f>
        <v/>
      </c>
      <c r="DB63" s="363"/>
      <c r="DC63" s="363"/>
      <c r="DD63" s="363" t="str">
        <f>IF(DE63&lt;&gt;"",DE63,"")</f>
        <v/>
      </c>
      <c r="DE63" s="363"/>
      <c r="DF63" s="363"/>
      <c r="DG63" s="363" t="str">
        <f>IF(DH63&lt;&gt;"",DH63,"")</f>
        <v/>
      </c>
      <c r="DH63" s="363"/>
      <c r="DI63" s="363"/>
      <c r="DJ63" s="363" t="str">
        <f>IF(DK63&lt;&gt;"",DK63,"")</f>
        <v/>
      </c>
      <c r="DK63" s="1210"/>
      <c r="DL63" s="363"/>
      <c r="DM63" s="363" t="str">
        <f>IF(DN63&lt;&gt;"",DN63,"")</f>
        <v/>
      </c>
      <c r="DN63" s="1210"/>
      <c r="DO63" s="363"/>
      <c r="DP63" s="363" t="str">
        <f>IF(DQ63&lt;&gt;"",DQ63,"")</f>
        <v/>
      </c>
      <c r="DQ63" s="1210"/>
      <c r="DR63" s="363"/>
      <c r="DS63" s="363" t="str">
        <f>IF(DT63&lt;&gt;"",DT63,"")</f>
        <v/>
      </c>
      <c r="DT63" s="1210"/>
      <c r="DU63" s="363"/>
      <c r="DV63" s="363" t="str">
        <f>IF(DW63&lt;&gt;"",DW63,"")</f>
        <v/>
      </c>
      <c r="DW63" s="1210"/>
      <c r="DX63" s="363"/>
      <c r="DY63" s="363" t="str">
        <f>IF(DZ63&lt;&gt;"",DZ63,"")</f>
        <v/>
      </c>
      <c r="DZ63" s="1210"/>
      <c r="EA63" s="363"/>
      <c r="EB63" s="363" t="str">
        <f>IF(EC63&lt;&gt;"",EC63,"")</f>
        <v/>
      </c>
      <c r="EC63" s="1210"/>
      <c r="ED63" s="363"/>
      <c r="EE63" s="363" t="str">
        <f>IF(EF63&lt;&gt;"",EF63,"")</f>
        <v/>
      </c>
      <c r="EF63" s="1210"/>
      <c r="EG63" s="363"/>
      <c r="EH63" s="363" t="str">
        <f>IF(EI63&lt;&gt;"",EI63,"")</f>
        <v/>
      </c>
      <c r="EI63" s="1210"/>
      <c r="EJ63" s="363"/>
      <c r="EK63" s="363" t="str">
        <f>IF(EL63&lt;&gt;"",EL63,"")</f>
        <v/>
      </c>
      <c r="EL63" s="1210"/>
      <c r="EM63" s="363"/>
      <c r="EN63" s="363" t="str">
        <f>IF(EO63&lt;&gt;"",EO63,"")</f>
        <v/>
      </c>
      <c r="EO63" s="1210"/>
      <c r="EP63" s="363"/>
      <c r="EQ63" s="363" t="str">
        <f>IF(ER63&lt;&gt;"",ER63,"")</f>
        <v/>
      </c>
      <c r="ER63" s="1210"/>
      <c r="ES63" s="363"/>
      <c r="ET63" s="363" t="str">
        <f>IF(EU63&lt;&gt;"",EU63,"")</f>
        <v/>
      </c>
      <c r="EU63" s="1210"/>
      <c r="EV63" s="363"/>
      <c r="EW63" s="363" t="str">
        <f>IF(EX63&lt;&gt;"",EX63,"")</f>
        <v/>
      </c>
      <c r="EX63" s="1210"/>
      <c r="EY63" s="363"/>
      <c r="EZ63" s="363" t="str">
        <f>IF(FA63&lt;&gt;"",FA63,"")</f>
        <v/>
      </c>
      <c r="FA63" s="363"/>
    </row>
    <row r="64" spans="1:157" ht="13.35" customHeight="1" outlineLevel="1">
      <c r="A64" s="5"/>
      <c r="B64" s="5" t="s">
        <v>111</v>
      </c>
      <c r="C64" s="5"/>
      <c r="D64" s="362"/>
      <c r="E64" s="364">
        <f>IF(Model!E269&lt;&gt;"",Model!E269,"")</f>
        <v>0</v>
      </c>
      <c r="F64" s="364">
        <f>IF(Model!G269&lt;&gt;"",Model!F269,"")</f>
        <v>0</v>
      </c>
      <c r="G64" s="364">
        <f>IF(Model!G269&lt;&gt;"",Model!G269,"")</f>
        <v>0</v>
      </c>
      <c r="H64" s="364">
        <f>IF(Model!H269&lt;&gt;"",Model!H269,"")</f>
        <v>0</v>
      </c>
      <c r="I64" s="364">
        <f>IF(Model!J269&lt;&gt;"",Model!I269,"")</f>
        <v>0</v>
      </c>
      <c r="J64" s="364">
        <f>IF(Model!J269&lt;&gt;"",Model!J269,"")</f>
        <v>0</v>
      </c>
      <c r="K64" s="364">
        <f>IF(Model!K269&lt;&gt;"",Model!K269,"")</f>
        <v>0</v>
      </c>
      <c r="L64" s="364">
        <f>IF(Model!M269&lt;&gt;"",Model!L269,"")</f>
        <v>0</v>
      </c>
      <c r="M64" s="364">
        <f>IF(Model!M269&lt;&gt;"",Model!M269,"")</f>
        <v>0</v>
      </c>
      <c r="N64" s="364">
        <f>IF(Model!N269&lt;&gt;"",Model!N269,"")</f>
        <v>0</v>
      </c>
      <c r="O64" s="364">
        <f>IF(Model!P269&lt;&gt;"",Model!O269,"")</f>
        <v>0</v>
      </c>
      <c r="P64" s="364">
        <f>IF(Model!P269&lt;&gt;"",Model!P269,"")</f>
        <v>0</v>
      </c>
      <c r="Q64" s="364">
        <f>IF(Model!Q269&lt;&gt;"",Model!Q269,"")</f>
        <v>0</v>
      </c>
      <c r="R64" s="364">
        <f>IF(Model!S269&lt;&gt;"",Model!R269,"")</f>
        <v>0</v>
      </c>
      <c r="S64" s="364">
        <f>IF(Model!S269&lt;&gt;"",Model!S269,"")</f>
        <v>0</v>
      </c>
      <c r="T64" s="364">
        <f>IF(Model!T269&lt;&gt;"",Model!T269,"")</f>
        <v>0</v>
      </c>
      <c r="U64" s="364">
        <f>IF(Model!V269&lt;&gt;"",Model!U269,"")</f>
        <v>0</v>
      </c>
      <c r="V64" s="364">
        <f>IF(Model!V269&lt;&gt;"",Model!V269,"")</f>
        <v>0</v>
      </c>
      <c r="W64" s="364">
        <f>IF(Model!W269&lt;&gt;"",Model!W269,"")</f>
        <v>0</v>
      </c>
      <c r="X64" s="364">
        <f>IF(Model!Y269&lt;&gt;"",Model!X269,"")</f>
        <v>0</v>
      </c>
      <c r="Y64" s="364">
        <f>IF(Model!Y269&lt;&gt;"",Model!Y269,"")</f>
        <v>0</v>
      </c>
      <c r="Z64" s="364">
        <f>IF(Model!Z269&lt;&gt;"",Model!Z269,"")</f>
        <v>0</v>
      </c>
      <c r="AA64" s="364">
        <f>IF(Model!AB269&lt;&gt;"",Model!AA269,"")</f>
        <v>0</v>
      </c>
      <c r="AB64" s="364">
        <f>IF(Model!AB269&lt;&gt;"",Model!AB269,"")</f>
        <v>0</v>
      </c>
      <c r="AC64" s="364">
        <f>IF(Model!AC269&lt;&gt;"",Model!AC269,"")</f>
        <v>0</v>
      </c>
      <c r="AD64" s="364">
        <f>IF(Model!AE269&lt;&gt;"",Model!AD269,"")</f>
        <v>0</v>
      </c>
      <c r="AE64" s="364">
        <f>IF(Model!AE269&lt;&gt;"",Model!AE269,"")</f>
        <v>0</v>
      </c>
      <c r="AF64" s="364">
        <f>IF(Model!AF269&lt;&gt;"",Model!AF269,"")</f>
        <v>0</v>
      </c>
      <c r="AG64" s="364">
        <f>IF(Model!AH269&lt;&gt;"",Model!AG269,"")</f>
        <v>0</v>
      </c>
      <c r="AH64" s="364">
        <f>IF(Model!AH269&lt;&gt;"",Model!AH269,"")</f>
        <v>0</v>
      </c>
      <c r="AI64" s="364">
        <f>IF(Model!AI269&lt;&gt;"",Model!AI269,"")</f>
        <v>5.3570000000000002</v>
      </c>
      <c r="AJ64" s="364">
        <f>IF(Model!AK269&lt;&gt;"",Model!AJ269,"")</f>
        <v>1.325</v>
      </c>
      <c r="AK64" s="364">
        <f>IF(Model!AK269&lt;&gt;"",Model!AK269,"")</f>
        <v>1.325</v>
      </c>
      <c r="AL64" s="364">
        <f>IF(Model!AL269&lt;&gt;"",Model!AL269,"")</f>
        <v>0.13</v>
      </c>
      <c r="AM64" s="364">
        <f>IF(Model!AN269&lt;&gt;"",Model!AM269,"")</f>
        <v>3.839</v>
      </c>
      <c r="AN64" s="364">
        <f>IF(Model!AN269&lt;&gt;"",Model!AN269,"")</f>
        <v>3.839</v>
      </c>
      <c r="AO64" s="364">
        <f>IF(Model!AO269&lt;&gt;"",Model!AO269,"")</f>
        <v>2.4750000000000001</v>
      </c>
      <c r="AP64" s="364">
        <f>IF(Model!AQ269&lt;&gt;"",Model!AP269,"")</f>
        <v>2.3159999999999998</v>
      </c>
      <c r="AQ64" s="364">
        <f>IF(Model!AQ269&lt;&gt;"",Model!AQ269,"")</f>
        <v>2.3159999999999998</v>
      </c>
      <c r="AR64" s="364">
        <f>IF(Model!AR269&lt;&gt;"",Model!AR269,"")</f>
        <v>2.3159999999999998</v>
      </c>
      <c r="AS64" s="364">
        <f>IF(Model!AT269&lt;&gt;"",Model!AS269,"")</f>
        <v>2.7170000000000001</v>
      </c>
      <c r="AT64" s="364">
        <f>IF(Model!AT269&lt;&gt;"",Model!AT269,"")</f>
        <v>2.7170000000000001</v>
      </c>
      <c r="AU64" s="364">
        <f>IF(Model!AU269&lt;&gt;"",Model!AU269,"")</f>
        <v>2.7170000000000001</v>
      </c>
      <c r="AV64" s="364">
        <f>IF(Model!AW269&lt;&gt;"",Model!AV269,"")</f>
        <v>3.4620000000000002</v>
      </c>
      <c r="AW64" s="364">
        <f>IF(Model!AW269&lt;&gt;"",Model!AW269,"")</f>
        <v>3.4620000000000002</v>
      </c>
      <c r="AX64" s="364">
        <f>IF(Model!AX269&lt;&gt;"",Model!AX269,"")</f>
        <v>3.4620000000000002</v>
      </c>
      <c r="AY64" s="364">
        <f>IF(Model!AZ269&lt;&gt;"",Model!AY269,"")</f>
        <v>2.4060000000000001</v>
      </c>
      <c r="AZ64" s="364">
        <f>IF(Model!AZ269&lt;&gt;"",Model!AZ269,"")</f>
        <v>2.4060000000000001</v>
      </c>
      <c r="BA64" s="364">
        <f>IF(Model!BA269&lt;&gt;"",Model!BA269,"")</f>
        <v>2.4060000000000001</v>
      </c>
      <c r="BB64" s="364">
        <f>IF(Model!BC269&lt;&gt;"",Model!BB269,"")</f>
        <v>9.6890000000000001</v>
      </c>
      <c r="BC64" s="364">
        <f>IF(Model!BC269&lt;&gt;"",Model!BC269,"")</f>
        <v>9.6890000000000001</v>
      </c>
      <c r="BD64" s="364">
        <f>IF(Model!BD269&lt;&gt;"",Model!BD269,"")</f>
        <v>15.058</v>
      </c>
      <c r="BE64" s="364">
        <f>IF(Model!BF269&lt;&gt;"",Model!BE269,"")</f>
        <v>24.251999999999999</v>
      </c>
      <c r="BF64" s="364">
        <f>IF(Model!BF269&lt;&gt;"",Model!BF269,"")</f>
        <v>24.251999999999999</v>
      </c>
      <c r="BG64" s="364">
        <f>IF(Model!BG269&lt;&gt;"",Model!BG269,"")</f>
        <v>14.676</v>
      </c>
      <c r="BH64" s="364">
        <f>IF(Model!BI269&lt;&gt;"",Model!BH269,"")</f>
        <v>15.005000000000001</v>
      </c>
      <c r="BI64" s="364">
        <f>IF(Model!BI269&lt;&gt;"",Model!BI269,"")</f>
        <v>15.005000000000001</v>
      </c>
      <c r="BJ64" s="364">
        <f>IF(Model!BJ269&lt;&gt;"",Model!BJ269,"")</f>
        <v>26.59</v>
      </c>
      <c r="BK64" s="364">
        <f>IF(Model!BL269&lt;&gt;"",Model!BK269,"")</f>
        <v>25.867000000000001</v>
      </c>
      <c r="BL64" s="364">
        <f>IF(Model!BL269&lt;&gt;"",Model!BL269,"")</f>
        <v>25.867000000000001</v>
      </c>
      <c r="BM64" s="364">
        <f>IF(Model!BM269&lt;&gt;"",Model!BM269,"")</f>
        <v>28.440999999999999</v>
      </c>
      <c r="BN64" s="364">
        <f>IF(Model!BO269&lt;&gt;"",Model!BN269,"")</f>
        <v>64.106999999999999</v>
      </c>
      <c r="BO64" s="364">
        <f>IF(Model!BO269&lt;&gt;"",Model!BO269,"")</f>
        <v>64.106999999999999</v>
      </c>
      <c r="BP64" s="364">
        <f>IF(Model!BP269&lt;&gt;"",Model!BP269,"")</f>
        <v>61.817999999999998</v>
      </c>
      <c r="BQ64" s="364">
        <f>IF(Model!BR269&lt;&gt;"",Model!BQ269,"")</f>
        <v>70.546999999999997</v>
      </c>
      <c r="BR64" s="364">
        <f>IF(Model!BR269&lt;&gt;"",Model!BR269,"")</f>
        <v>70.546999999999997</v>
      </c>
      <c r="BS64" s="364">
        <f>IF(Model!BS269&lt;&gt;"",Model!BS269,"")</f>
        <v>96.69</v>
      </c>
      <c r="BT64" s="364">
        <f>IF(Model!BU269&lt;&gt;"",Model!BT269,"")</f>
        <v>161.33699999999999</v>
      </c>
      <c r="BU64" s="364">
        <f>IF(Model!BU269&lt;&gt;"",Model!BU269,"")</f>
        <v>161.33699999999999</v>
      </c>
      <c r="BV64" s="364">
        <f>IF(Model!BV269&lt;&gt;"",Model!BV269,"")</f>
        <v>161.43299999999999</v>
      </c>
      <c r="BW64" s="364">
        <f>IF(Model!BX269&lt;&gt;"",Model!BW269,"")</f>
        <v>15.438000000000001</v>
      </c>
      <c r="BX64" s="364">
        <f>IF(Model!BX269&lt;&gt;"",Model!BX269,"")</f>
        <v>15.438000000000001</v>
      </c>
      <c r="BY64" s="364">
        <f>IF(Model!BY269&lt;&gt;"",Model!BY269,"")</f>
        <v>16.783000000000001</v>
      </c>
      <c r="BZ64" s="364">
        <f>IF(Model!CA269&lt;&gt;"",Model!BZ269,"")</f>
        <v>0</v>
      </c>
      <c r="CA64" s="364">
        <f>IF(Model!CA269&lt;&gt;"",Model!CA269,"")</f>
        <v>0</v>
      </c>
      <c r="CB64" s="364">
        <f>IF(Model!CB269&lt;&gt;"",Model!CB269,"")</f>
        <v>0</v>
      </c>
      <c r="CC64" s="364">
        <f>IF(Model!CD269&lt;&gt;"",Model!CC269,"")</f>
        <v>73.811000000000007</v>
      </c>
      <c r="CD64" s="364">
        <f>IF(Model!CD269&lt;&gt;"",Model!CD269,"")</f>
        <v>73.811000000000007</v>
      </c>
      <c r="CE64" s="364">
        <f>IF(Model!CE269&lt;&gt;"",Model!CE269,"")</f>
        <v>0</v>
      </c>
      <c r="CF64" s="364">
        <f>IF(Model!CG269&lt;&gt;"",Model!CF269,"")</f>
        <v>60</v>
      </c>
      <c r="CG64" s="364">
        <f>IF(Model!CG269&lt;&gt;"",Model!CG269,"")</f>
        <v>60</v>
      </c>
      <c r="CH64" s="364">
        <f>IF(Model!CH269&lt;&gt;"",Model!CH269,"")</f>
        <v>40</v>
      </c>
      <c r="CI64" s="364">
        <f>IF(Model!CJ269&lt;&gt;"",Model!CI269,"")</f>
        <v>45.744</v>
      </c>
      <c r="CJ64" s="364">
        <f>IF(Model!CJ269&lt;&gt;"",Model!CJ269,"")</f>
        <v>45.744</v>
      </c>
      <c r="CK64" s="364">
        <f>IF(Model!CK269&lt;&gt;"",Model!CK269,"")</f>
        <v>78.372</v>
      </c>
      <c r="CL64" s="364">
        <f>IF(Model!CM269&lt;&gt;"",Model!CL269,"")</f>
        <v>3.3090000000000002</v>
      </c>
      <c r="CM64" s="364">
        <f>IF(Model!CM269&lt;&gt;"",Model!CM269,"")</f>
        <v>3.3090000000000002</v>
      </c>
      <c r="CN64" s="364">
        <f>IF(Model!CN269&lt;&gt;"",Model!CN269,"")</f>
        <v>3.2160000000000002</v>
      </c>
      <c r="CO64" s="364">
        <f>IF(Model!CP269&lt;&gt;"",Model!CO269,"")</f>
        <v>3.141</v>
      </c>
      <c r="CP64" s="364">
        <f>IF(Model!CP269&lt;&gt;"",Model!CP269,"")</f>
        <v>3.141</v>
      </c>
      <c r="CQ64" s="364">
        <f>IF(Model!CQ269&lt;&gt;"",Model!CQ269,"")</f>
        <v>3.0609999999999999</v>
      </c>
      <c r="CR64" s="364">
        <f>IF(Model!CS269&lt;&gt;"",Model!CR269,"")</f>
        <v>168.15899999999999</v>
      </c>
      <c r="CS64" s="364">
        <f>IF(Model!CS269&lt;&gt;"",Model!CS269,"")</f>
        <v>168.15899999999999</v>
      </c>
      <c r="CT64" s="364">
        <f>IF(Model!CT269&lt;&gt;"",Model!CT269,"")</f>
        <v>168.42599999999999</v>
      </c>
      <c r="CU64" s="364">
        <f>IF(Model!CV269&lt;&gt;"",Model!CU269,"")</f>
        <v>3.9780000000000002</v>
      </c>
      <c r="CV64" s="364">
        <f>IF(Model!CV269&lt;&gt;"",Model!CV269,"")</f>
        <v>3.9780000000000002</v>
      </c>
      <c r="CW64" s="364">
        <f>IF(Model!CW269&lt;&gt;"",Model!CW269,"")</f>
        <v>3.5390000000000001</v>
      </c>
      <c r="CX64" s="364">
        <f>IF(Model!CY269&lt;&gt;"",Model!CX269,"")</f>
        <v>84.686999999999998</v>
      </c>
      <c r="CY64" s="364">
        <f>IF(Model!CY269&lt;&gt;"",Model!CY269,"")</f>
        <v>84.686999999999998</v>
      </c>
      <c r="CZ64" s="364">
        <f>IF(Model!CZ269&lt;&gt;"",Model!CZ269,"")</f>
        <v>59.6</v>
      </c>
      <c r="DA64" s="364">
        <f>IF(Model!DB269&lt;&gt;"",Model!DA269,"")</f>
        <v>3.7</v>
      </c>
      <c r="DB64" s="364">
        <f>IF(Model!DB269&lt;&gt;"",Model!DB269,"")</f>
        <v>3.7</v>
      </c>
      <c r="DC64" s="364">
        <f>IF(Model!DC269&lt;&gt;"",Model!DC269,"")</f>
        <v>3.5</v>
      </c>
      <c r="DD64" s="364">
        <f>IF(Model!DE269&lt;&gt;"",Model!DD269,"")</f>
        <v>3.3</v>
      </c>
      <c r="DE64" s="364">
        <f>IF(Model!DE269&lt;&gt;"",Model!DE269,"")</f>
        <v>3.3</v>
      </c>
      <c r="DF64" s="364">
        <f>IF(Model!DF269&lt;&gt;"",Model!DF269,"")</f>
        <v>3.3</v>
      </c>
      <c r="DG64" s="364">
        <f>IF(Model!DH269&lt;&gt;"",Model!DG269,"")</f>
        <v>0</v>
      </c>
      <c r="DH64" s="364">
        <f>IF(Model!DH269&lt;&gt;"",Model!DH269,"")</f>
        <v>0</v>
      </c>
      <c r="DI64" s="364">
        <f>IF(Model!DI269&lt;&gt;"",Model!DI269,"")</f>
        <v>0</v>
      </c>
      <c r="DJ64" s="364">
        <f>IF(Model!DK269&lt;&gt;"",Model!DJ269,"")</f>
        <v>0</v>
      </c>
      <c r="DK64" s="1211">
        <f>IF(Model!DK269&lt;&gt;"",Model!DK269,"")</f>
        <v>0</v>
      </c>
      <c r="DL64" s="364">
        <f>IF(Model!DL269&lt;&gt;"",Model!DL269,"")</f>
        <v>2.4</v>
      </c>
      <c r="DM64" s="364">
        <f>IF(Model!DN269&lt;&gt;"",Model!DM269,"")</f>
        <v>42.6</v>
      </c>
      <c r="DN64" s="1211">
        <f>IF(Model!DN269&lt;&gt;"",Model!DN269,"")</f>
        <v>42.6</v>
      </c>
      <c r="DO64" s="364">
        <f>IF(Model!DO269&lt;&gt;"",Model!DO269,"")</f>
        <v>0</v>
      </c>
      <c r="DP64" s="364">
        <f>IF(Model!DQ269&lt;&gt;"",Model!DP269,"")</f>
        <v>0</v>
      </c>
      <c r="DQ64" s="1211">
        <f>IF(Model!DQ269&lt;&gt;"",Model!DQ269,"")</f>
        <v>0</v>
      </c>
      <c r="DR64" s="364">
        <f>IF(Model!DR269&lt;&gt;"",Model!DR269,"")</f>
        <v>0</v>
      </c>
      <c r="DS64" s="364">
        <f>IF(Model!DT269&lt;&gt;"",Model!DS269,"")</f>
        <v>0</v>
      </c>
      <c r="DT64" s="1211">
        <f>IF(Model!DT269&lt;&gt;"",Model!DT269,"")</f>
        <v>0</v>
      </c>
      <c r="DU64" s="364">
        <f>IF(Model!DU269&lt;&gt;"",Model!DU269,"")</f>
        <v>0</v>
      </c>
      <c r="DV64" s="364">
        <f>IF(Model!DW269&lt;&gt;"",Model!DV269,"")</f>
        <v>0</v>
      </c>
      <c r="DW64" s="1211">
        <f>IF(Model!DW269&lt;&gt;"",Model!DW269,"")</f>
        <v>0</v>
      </c>
      <c r="DX64" s="364">
        <f>IF(Model!DX269&lt;&gt;"",Model!DX269,"")</f>
        <v>0</v>
      </c>
      <c r="DY64" s="364">
        <f>IF(Model!DZ269&lt;&gt;"",Model!DY269,"")</f>
        <v>0</v>
      </c>
      <c r="DZ64" s="1211">
        <f>IF(Model!DZ269&lt;&gt;"",Model!DZ269,"")</f>
        <v>0</v>
      </c>
      <c r="EA64" s="364">
        <f>IF(Model!EA269&lt;&gt;"",Model!EA269,"")</f>
        <v>0</v>
      </c>
      <c r="EB64" s="364">
        <f>IF(Model!EC269&lt;&gt;"",Model!EB269,"")</f>
        <v>0</v>
      </c>
      <c r="EC64" s="1211">
        <f>IF(Model!EC269&lt;&gt;"",Model!EC269,"")</f>
        <v>0</v>
      </c>
      <c r="ED64" s="364">
        <f>IF(Model!ED269&lt;&gt;"",Model!ED269,"")</f>
        <v>0</v>
      </c>
      <c r="EE64" s="364">
        <f>IF(Model!EF269&lt;&gt;"",Model!EE269,"")</f>
        <v>0</v>
      </c>
      <c r="EF64" s="1211">
        <f>IF(Model!EF269&lt;&gt;"",Model!EF269,"")</f>
        <v>0</v>
      </c>
      <c r="EG64" s="364">
        <f>IF(Model!EG269&lt;&gt;"",Model!EG269,"")</f>
        <v>0</v>
      </c>
      <c r="EH64" s="364">
        <f>IF(Model!EI269&lt;&gt;"",Model!EH269,"")</f>
        <v>0</v>
      </c>
      <c r="EI64" s="1211">
        <f>IF(Model!EI269&lt;&gt;"",Model!EI269,"")</f>
        <v>0</v>
      </c>
      <c r="EJ64" s="364">
        <f>IF(Model!EJ269&lt;&gt;"",Model!EJ269,"")</f>
        <v>0</v>
      </c>
      <c r="EK64" s="364">
        <f>IF(Model!EL269&lt;&gt;"",Model!EK269,"")</f>
        <v>0</v>
      </c>
      <c r="EL64" s="1211">
        <f>IF(Model!EL269&lt;&gt;"",Model!EL269,"")</f>
        <v>0</v>
      </c>
      <c r="EM64" s="364">
        <f>IF(Model!EM269&lt;&gt;"",Model!EM269,"")</f>
        <v>0</v>
      </c>
      <c r="EN64" s="364">
        <f>IF(Model!EO269&lt;&gt;"",Model!EN269,"")</f>
        <v>0</v>
      </c>
      <c r="EO64" s="1211">
        <f>IF(Model!EO269&lt;&gt;"",Model!EO269,"")</f>
        <v>0</v>
      </c>
      <c r="EP64" s="364">
        <f>IF(Model!EP269&lt;&gt;"",Model!EP269,"")</f>
        <v>0</v>
      </c>
      <c r="EQ64" s="364">
        <f>IF(Model!ER269&lt;&gt;"",Model!EQ269,"")</f>
        <v>0</v>
      </c>
      <c r="ER64" s="1211">
        <f>IF(Model!ER269&lt;&gt;"",Model!ER269,"")</f>
        <v>0</v>
      </c>
      <c r="ES64" s="364">
        <f>IF(Model!ES269&lt;&gt;"",Model!ES269,"")</f>
        <v>0</v>
      </c>
      <c r="ET64" s="364">
        <f>IF(Model!EU269&lt;&gt;"",Model!ET269,"")</f>
        <v>0</v>
      </c>
      <c r="EU64" s="1211">
        <f>IF(Model!EU269&lt;&gt;"",Model!EU269,"")</f>
        <v>0</v>
      </c>
      <c r="EV64" s="364">
        <f>IF(Model!EV269&lt;&gt;"",Model!EV269,"")</f>
        <v>0</v>
      </c>
      <c r="EW64" s="364">
        <f>IF(Model!EX269&lt;&gt;"",Model!EW269,"")</f>
        <v>0</v>
      </c>
      <c r="EX64" s="1211">
        <f>IF(Model!EX269&lt;&gt;"",Model!EX269,"")</f>
        <v>0</v>
      </c>
      <c r="EY64" s="364">
        <f>IF(Model!EY269&lt;&gt;"",Model!EY269,"")</f>
        <v>0</v>
      </c>
      <c r="EZ64" s="364">
        <f>IF(Model!FA269&lt;&gt;"",Model!EZ269,"")</f>
        <v>0</v>
      </c>
      <c r="FA64" s="364">
        <f>IF(Model!FA269&lt;&gt;"",Model!FA269,"")</f>
        <v>0</v>
      </c>
    </row>
    <row r="65" spans="1:157" ht="13.35" customHeight="1" outlineLevel="1">
      <c r="A65" s="5"/>
      <c r="B65" s="5" t="s">
        <v>86</v>
      </c>
      <c r="C65" s="5"/>
      <c r="D65" s="362"/>
      <c r="E65" s="363"/>
      <c r="F65" s="363"/>
      <c r="G65" s="363"/>
      <c r="H65" s="363" t="str">
        <f>IF(AND(G62&lt;&gt;"",H62&lt;&gt;""),(G62+H62)/2,"")</f>
        <v/>
      </c>
      <c r="I65" s="363" t="str">
        <f>IF(AND(H62&lt;&gt;"",I62&lt;&gt;""),(H62+I62)/2,"")</f>
        <v/>
      </c>
      <c r="J65" s="363" t="str">
        <f>IF(AND(G62&lt;&gt;"",J62&lt;&gt;""),(G62+J62)/2,"")</f>
        <v/>
      </c>
      <c r="K65" s="363" t="str">
        <f>IF(AND(J62&lt;&gt;"",K62&lt;&gt;""),(J62+K62)/2,"")</f>
        <v/>
      </c>
      <c r="L65" s="363" t="str">
        <f>IF(AND(K62&lt;&gt;"",L62&lt;&gt;""),(K62+L62)/2,"")</f>
        <v/>
      </c>
      <c r="M65" s="363" t="str">
        <f>IF(AND(J62&lt;&gt;"",M62&lt;&gt;""),(J62+M62)/2,"")</f>
        <v/>
      </c>
      <c r="N65" s="363" t="str">
        <f>IF(AND(M62&lt;&gt;"",N62&lt;&gt;""),(M62+N62)/2,"")</f>
        <v/>
      </c>
      <c r="O65" s="363" t="str">
        <f>IF(AND(N62&lt;&gt;"",O62&lt;&gt;""),(N62+O62)/2,"")</f>
        <v/>
      </c>
      <c r="P65" s="363" t="str">
        <f>IF(AND(M62&lt;&gt;"",P62&lt;&gt;""),(M62+P62)/2,"")</f>
        <v/>
      </c>
      <c r="Q65" s="363" t="str">
        <f>IF(AND(P62&lt;&gt;"",Q62&lt;&gt;""),(P62+Q62)/2,"")</f>
        <v/>
      </c>
      <c r="R65" s="363" t="str">
        <f>IF(AND(Q62&lt;&gt;"",R62&lt;&gt;""),(Q62+R62)/2,"")</f>
        <v/>
      </c>
      <c r="S65" s="363" t="str">
        <f>IF(AND(P62&lt;&gt;"",S62&lt;&gt;""),(P62+S62)/2,"")</f>
        <v/>
      </c>
      <c r="T65" s="363" t="str">
        <f>IF(AND(S62&lt;&gt;"",T62&lt;&gt;""),(S62+T62)/2,"")</f>
        <v/>
      </c>
      <c r="U65" s="363" t="str">
        <f>IF(AND(T62&lt;&gt;"",U62&lt;&gt;""),(T62+U62)/2,"")</f>
        <v/>
      </c>
      <c r="V65" s="363" t="str">
        <f>IF(AND(S62&lt;&gt;"",V62&lt;&gt;""),(S62+V62)/2,"")</f>
        <v/>
      </c>
      <c r="W65" s="363" t="str">
        <f>IF(AND(V62&lt;&gt;"",W62&lt;&gt;""),(V62+W62)/2,"")</f>
        <v/>
      </c>
      <c r="X65" s="363" t="str">
        <f>IF(AND(W62&lt;&gt;"",X62&lt;&gt;""),(W62+X62)/2,"")</f>
        <v/>
      </c>
      <c r="Y65" s="363" t="str">
        <f>IF(AND(V62&lt;&gt;"",Y62&lt;&gt;""),(V62+Y62)/2,"")</f>
        <v/>
      </c>
      <c r="Z65" s="363" t="str">
        <f>IF(AND(Y62&lt;&gt;"",Z62&lt;&gt;""),(Y62+Z62)/2,"")</f>
        <v/>
      </c>
      <c r="AA65" s="363" t="str">
        <f>IF(AND(Z62&lt;&gt;"",AA62&lt;&gt;""),(Z62+AA62)/2,"")</f>
        <v/>
      </c>
      <c r="AB65" s="363" t="str">
        <f>IF(AND(Y62&lt;&gt;"",AB62&lt;&gt;""),(Y62+AB62)/2,"")</f>
        <v/>
      </c>
      <c r="AC65" s="363" t="str">
        <f>IF(AND(AB62&lt;&gt;"",AC62&lt;&gt;""),(AB62+AC62)/2,"")</f>
        <v/>
      </c>
      <c r="AD65" s="363" t="str">
        <f>IF(AND(AC62&lt;&gt;"",AD62&lt;&gt;""),(AC62+AD62)/2,"")</f>
        <v/>
      </c>
      <c r="AE65" s="363" t="str">
        <f>IF(AND(AB62&lt;&gt;"",AE62&lt;&gt;""),(AB62+AE62)/2,"")</f>
        <v/>
      </c>
      <c r="AF65" s="363" t="str">
        <f>IF(AND(AE62&lt;&gt;"",AF62&lt;&gt;""),(AE62+AF62)/2,"")</f>
        <v/>
      </c>
      <c r="AG65" s="363" t="str">
        <f>IF(AND(AF62&lt;&gt;"",AG62&lt;&gt;""),(AF62+AG62)/2,"")</f>
        <v/>
      </c>
      <c r="AH65" s="363" t="str">
        <f>IF(AND(AE62&lt;&gt;"",AH62&lt;&gt;""),(AE62+AH62)/2,"")</f>
        <v/>
      </c>
      <c r="AI65" s="363" t="str">
        <f>IF(AND(AH62&lt;&gt;"",AI62&lt;&gt;""),(AH62+AI62)/2,"")</f>
        <v/>
      </c>
      <c r="AJ65" s="363" t="str">
        <f>IF(AND(AI62&lt;&gt;"",AJ62&lt;&gt;""),(AI62+AJ62)/2,"")</f>
        <v/>
      </c>
      <c r="AK65" s="363" t="str">
        <f>IF(AND(AH62&lt;&gt;"",AK62&lt;&gt;""),(AH62+AK62)/2,"")</f>
        <v/>
      </c>
      <c r="AL65" s="363" t="str">
        <f>IF(AND(AK62&lt;&gt;"",AL62&lt;&gt;""),(AK62+AL62)/2,"")</f>
        <v/>
      </c>
      <c r="AM65" s="363" t="str">
        <f>IF(AND(AL62&lt;&gt;"",AM62&lt;&gt;""),(AL62+AM62)/2,"")</f>
        <v/>
      </c>
      <c r="AN65" s="363" t="str">
        <f>IF(AND(AK62&lt;&gt;"",AN62&lt;&gt;""),(AK62+AN62)/2,"")</f>
        <v/>
      </c>
      <c r="AO65" s="363" t="str">
        <f>IF(AND(AN62&lt;&gt;"",AO62&lt;&gt;""),(AN62+AO62)/2,"")</f>
        <v/>
      </c>
      <c r="AP65" s="363" t="str">
        <f>IF(AND(AO62&lt;&gt;"",AP62&lt;&gt;""),(AO62+AP62)/2,"")</f>
        <v/>
      </c>
      <c r="AQ65" s="363" t="str">
        <f>IF(AND(AN62&lt;&gt;"",AQ62&lt;&gt;""),(AN62+AQ62)/2,"")</f>
        <v/>
      </c>
      <c r="AR65" s="363" t="str">
        <f>IF(AND(AQ62&lt;&gt;"",AR62&lt;&gt;""),(AQ62+AR62)/2,"")</f>
        <v/>
      </c>
      <c r="AS65" s="363" t="str">
        <f>IF(AND(AR62&lt;&gt;"",AS62&lt;&gt;""),(AR62+AS62)/2,"")</f>
        <v/>
      </c>
      <c r="AT65" s="363" t="str">
        <f>IF(AND(AQ62&lt;&gt;"",AT62&lt;&gt;""),(AQ62+AT62)/2,"")</f>
        <v/>
      </c>
      <c r="AU65" s="363" t="str">
        <f>IF(AND(AT62&lt;&gt;"",AU62&lt;&gt;""),(AT62+AU62)/2,"")</f>
        <v/>
      </c>
      <c r="AV65" s="363" t="str">
        <f>IF(AND(AU62&lt;&gt;"",AV62&lt;&gt;""),(AU62+AV62)/2,"")</f>
        <v/>
      </c>
      <c r="AW65" s="363" t="str">
        <f>IF(AND(AT62&lt;&gt;"",AW62&lt;&gt;""),(AT62+AW62)/2,"")</f>
        <v/>
      </c>
      <c r="AX65" s="363" t="str">
        <f>IF(AND(AW62&lt;&gt;"",AX62&lt;&gt;""),(AW62+AX62)/2,"")</f>
        <v/>
      </c>
      <c r="AY65" s="363" t="str">
        <f>IF(AND(AX62&lt;&gt;"",AY62&lt;&gt;""),(AX62+AY62)/2,"")</f>
        <v/>
      </c>
      <c r="AZ65" s="363" t="str">
        <f>IF(AND(AW62&lt;&gt;"",AZ62&lt;&gt;""),(AW62+AZ62)/2,"")</f>
        <v/>
      </c>
      <c r="BA65" s="363" t="str">
        <f>IF(AND(AZ62&lt;&gt;"",BA62&lt;&gt;""),(AZ62+BA62)/2,"")</f>
        <v/>
      </c>
      <c r="BB65" s="363" t="str">
        <f>IF(AND(BA62&lt;&gt;"",BB62&lt;&gt;""),(BA62+BB62)/2,"")</f>
        <v/>
      </c>
      <c r="BC65" s="363" t="str">
        <f>IF(AND(AZ62&lt;&gt;"",BC62&lt;&gt;""),(AZ62+BC62)/2,"")</f>
        <v/>
      </c>
      <c r="BD65" s="363" t="str">
        <f>IF(AND(BC62&lt;&gt;"",BD62&lt;&gt;""),(BC62+BD62)/2,"")</f>
        <v/>
      </c>
      <c r="BE65" s="363" t="str">
        <f>IF(AND(BD62&lt;&gt;"",BE62&lt;&gt;""),(BD62+BE62)/2,"")</f>
        <v/>
      </c>
      <c r="BF65" s="363" t="str">
        <f>IF(AND(BC62&lt;&gt;"",BF62&lt;&gt;""),(BC62+BF62)/2,"")</f>
        <v/>
      </c>
      <c r="BG65" s="363" t="str">
        <f>IF(AND(BF62&lt;&gt;"",BG62&lt;&gt;""),(BF62+BG62)/2,"")</f>
        <v/>
      </c>
      <c r="BH65" s="363" t="str">
        <f>IF(AND(BG62&lt;&gt;"",BH62&lt;&gt;""),(BG62+BH62)/2,"")</f>
        <v/>
      </c>
      <c r="BI65" s="363" t="str">
        <f>IF(AND(BF62&lt;&gt;"",BI62&lt;&gt;""),(BF62+BI62)/2,"")</f>
        <v/>
      </c>
      <c r="BJ65" s="363" t="str">
        <f>IF(AND(BI62&lt;&gt;"",BJ62&lt;&gt;""),(BI62+BJ62)/2,"")</f>
        <v/>
      </c>
      <c r="BK65" s="363" t="str">
        <f>IF(AND(BJ62&lt;&gt;"",BK62&lt;&gt;""),(BJ62+BK62)/2,"")</f>
        <v/>
      </c>
      <c r="BL65" s="363" t="str">
        <f>IF(AND(BI62&lt;&gt;"",BL62&lt;&gt;""),(BI62+BL62)/2,"")</f>
        <v/>
      </c>
      <c r="BM65" s="363" t="str">
        <f>IF(AND(BL62&lt;&gt;"",BM62&lt;&gt;""),(BL62+BM62)/2,"")</f>
        <v/>
      </c>
      <c r="BN65" s="363" t="str">
        <f>IF(AND(BM62&lt;&gt;"",BN62&lt;&gt;""),(BM62+BN62)/2,"")</f>
        <v/>
      </c>
      <c r="BO65" s="363" t="str">
        <f>IF(AND(BL62&lt;&gt;"",BO62&lt;&gt;""),(BL62+BO62)/2,"")</f>
        <v/>
      </c>
      <c r="BP65" s="363" t="str">
        <f>IF(AND(BO62&lt;&gt;"",BP62&lt;&gt;""),(BO62+BP62)/2,"")</f>
        <v/>
      </c>
      <c r="BQ65" s="363" t="str">
        <f>IF(AND(BP62&lt;&gt;"",BQ62&lt;&gt;""),(BP62+BQ62)/2,"")</f>
        <v/>
      </c>
      <c r="BR65" s="363" t="str">
        <f>IF(AND(BO62&lt;&gt;"",BR62&lt;&gt;""),(BO62+BR62)/2,"")</f>
        <v/>
      </c>
      <c r="BS65" s="363" t="str">
        <f>IF(AND(BR62&lt;&gt;"",BS62&lt;&gt;""),(BR62+BS62)/2,"")</f>
        <v/>
      </c>
      <c r="BT65" s="363" t="str">
        <f>IF(AND(BS62&lt;&gt;"",BT62&lt;&gt;""),(BS62+BT62)/2,"")</f>
        <v/>
      </c>
      <c r="BU65" s="363" t="str">
        <f>IF(AND(BR62&lt;&gt;"",BU62&lt;&gt;""),(BR62+BU62)/2,"")</f>
        <v/>
      </c>
      <c r="BV65" s="363" t="str">
        <f>IF(AND(BU62&lt;&gt;"",BV62&lt;&gt;""),(BU62+BV62)/2,"")</f>
        <v/>
      </c>
      <c r="BW65" s="363" t="str">
        <f>IF(AND(BV62&lt;&gt;"",BW62&lt;&gt;""),(BV62+BW62)/2,"")</f>
        <v/>
      </c>
      <c r="BX65" s="363" t="str">
        <f>IF(AND(BU62&lt;&gt;"",BX62&lt;&gt;""),(BU62+BX62)/2,"")</f>
        <v/>
      </c>
      <c r="BY65" s="363" t="str">
        <f>IF(AND(BX62&lt;&gt;"",BY62&lt;&gt;""),(BX62+BY62)/2,"")</f>
        <v/>
      </c>
      <c r="BZ65" s="363" t="str">
        <f>IF(AND(BY62&lt;&gt;"",BZ62&lt;&gt;""),(BY62+BZ62)/2,"")</f>
        <v/>
      </c>
      <c r="CA65" s="363" t="str">
        <f>IF(AND(BX62&lt;&gt;"",CA62&lt;&gt;""),(BX62+CA62)/2,"")</f>
        <v/>
      </c>
      <c r="CB65" s="363" t="str">
        <f>IF(AND(CA62&lt;&gt;"",CB62&lt;&gt;""),(CA62+CB62)/2,"")</f>
        <v/>
      </c>
      <c r="CC65" s="363" t="str">
        <f>IF(AND(CB62&lt;&gt;"",CC62&lt;&gt;""),(CB62+CC62)/2,"")</f>
        <v/>
      </c>
      <c r="CD65" s="363" t="str">
        <f>IF(AND(CA62&lt;&gt;"",CD62&lt;&gt;""),(CA62+CD62)/2,"")</f>
        <v/>
      </c>
      <c r="CE65" s="363" t="str">
        <f>IF(AND(CD62&lt;&gt;"",CE62&lt;&gt;""),(CD62+CE62)/2,"")</f>
        <v/>
      </c>
      <c r="CF65" s="363" t="str">
        <f>IF(AND(CE62&lt;&gt;"",CF62&lt;&gt;""),(CE62+CF62)/2,"")</f>
        <v/>
      </c>
      <c r="CG65" s="363" t="str">
        <f>IF(AND(CD62&lt;&gt;"",CG62&lt;&gt;""),(CD62+CG62)/2,"")</f>
        <v/>
      </c>
      <c r="CH65" s="363" t="str">
        <f>IF(AND(CG62&lt;&gt;"",CH62&lt;&gt;""),(CG62+CH62)/2,"")</f>
        <v/>
      </c>
      <c r="CI65" s="363" t="str">
        <f>IF(AND(CH62&lt;&gt;"",CI62&lt;&gt;""),(CH62+CI62)/2,"")</f>
        <v/>
      </c>
      <c r="CJ65" s="363" t="str">
        <f>IF(AND(CG62&lt;&gt;"",CJ62&lt;&gt;""),(CG62+CJ62)/2,"")</f>
        <v/>
      </c>
      <c r="CK65" s="363" t="str">
        <f>IF(AND(CJ62&lt;&gt;"",CK62&lt;&gt;""),(CJ62+CK62)/2,"")</f>
        <v/>
      </c>
      <c r="CL65" s="363" t="str">
        <f>IF(AND(CK62&lt;&gt;"",CL62&lt;&gt;""),(CK62+CL62)/2,"")</f>
        <v/>
      </c>
      <c r="CM65" s="363" t="str">
        <f>IF(AND(CJ62&lt;&gt;"",CM62&lt;&gt;""),(CJ62+CM62)/2,"")</f>
        <v/>
      </c>
      <c r="CN65" s="363" t="str">
        <f>IF(AND(CM62&lt;&gt;"",CN62&lt;&gt;""),(CM62+CN62)/2,"")</f>
        <v/>
      </c>
      <c r="CO65" s="363" t="str">
        <f>IF(AND(CN62&lt;&gt;"",CO62&lt;&gt;""),(CN62+CO62)/2,"")</f>
        <v/>
      </c>
      <c r="CP65" s="363" t="str">
        <f>IF(AND(CM62&lt;&gt;"",CP62&lt;&gt;""),(CM62+CP62)/2,"")</f>
        <v/>
      </c>
      <c r="CQ65" s="363" t="str">
        <f>IF(AND(CP62&lt;&gt;"",CQ62&lt;&gt;""),(CP62+CQ62)/2,"")</f>
        <v/>
      </c>
      <c r="CR65" s="363" t="str">
        <f>IF(AND(CQ62&lt;&gt;"",CR62&lt;&gt;""),(CQ62+CR62)/2,"")</f>
        <v/>
      </c>
      <c r="CS65" s="363" t="str">
        <f>IF(AND(CP62&lt;&gt;"",CS62&lt;&gt;""),(CP62+CS62)/2,"")</f>
        <v/>
      </c>
      <c r="CT65" s="363" t="str">
        <f>IF(AND(CS62&lt;&gt;"",CT62&lt;&gt;""),(CS62+CT62)/2,"")</f>
        <v/>
      </c>
      <c r="CU65" s="363" t="str">
        <f>IF(AND(CT62&lt;&gt;"",CU62&lt;&gt;""),(CT62+CU62)/2,"")</f>
        <v/>
      </c>
      <c r="CV65" s="363" t="str">
        <f>IF(AND(CS62&lt;&gt;"",CV62&lt;&gt;""),(CS62+CV62)/2,"")</f>
        <v/>
      </c>
      <c r="CW65" s="363" t="str">
        <f>IF(AND(CV62&lt;&gt;"",CW62&lt;&gt;""),(CV62+CW62)/2,"")</f>
        <v/>
      </c>
      <c r="CX65" s="363" t="str">
        <f>IF(AND(CW62&lt;&gt;"",CX62&lt;&gt;""),(CW62+CX62)/2,"")</f>
        <v/>
      </c>
      <c r="CY65" s="363" t="str">
        <f>IF(AND(CV62&lt;&gt;"",CY62&lt;&gt;""),(CV62+CY62)/2,"")</f>
        <v/>
      </c>
      <c r="CZ65" s="363" t="str">
        <f>IF(AND(CY62&lt;&gt;"",CZ62&lt;&gt;""),(CY62+CZ62)/2,"")</f>
        <v/>
      </c>
      <c r="DA65" s="363" t="str">
        <f>IF(AND(CZ62&lt;&gt;"",DA62&lt;&gt;""),(CZ62+DA62)/2,"")</f>
        <v/>
      </c>
      <c r="DB65" s="363" t="str">
        <f>IF(AND(CY62&lt;&gt;"",DB62&lt;&gt;""),(CY62+DB62)/2,"")</f>
        <v/>
      </c>
      <c r="DC65" s="363" t="str">
        <f>IF(AND(DB62&lt;&gt;"",DC62&lt;&gt;""),(DB62+DC62)/2,"")</f>
        <v/>
      </c>
      <c r="DD65" s="363" t="str">
        <f>IF(AND(DC62&lt;&gt;"",DD62&lt;&gt;""),(DC62+DD62)/2,"")</f>
        <v/>
      </c>
      <c r="DE65" s="363" t="str">
        <f>IF(AND(DB62&lt;&gt;"",DE62&lt;&gt;""),(DB62+DE62)/2,"")</f>
        <v/>
      </c>
      <c r="DF65" s="363" t="str">
        <f>IF(AND(DE62&lt;&gt;"",DF62&lt;&gt;""),(DE62+DF62)/2,"")</f>
        <v/>
      </c>
      <c r="DG65" s="363" t="str">
        <f>IF(AND(DF62&lt;&gt;"",DG62&lt;&gt;""),(DF62+DG62)/2,"")</f>
        <v/>
      </c>
      <c r="DH65" s="363" t="str">
        <f>IF(AND(DE62&lt;&gt;"",DH62&lt;&gt;""),(DE62+DH62)/2,"")</f>
        <v/>
      </c>
      <c r="DI65" s="363" t="str">
        <f>IF(AND(DH62&lt;&gt;"",DI62&lt;&gt;""),(DH62+DI62)/2,"")</f>
        <v/>
      </c>
      <c r="DJ65" s="363" t="str">
        <f>IF(AND(DI62&lt;&gt;"",DJ62&lt;&gt;""),(DI62+DJ62)/2,"")</f>
        <v/>
      </c>
      <c r="DK65" s="1210" t="str">
        <f>IF(AND(DH62&lt;&gt;"",DK62&lt;&gt;""),(DH62+DK62)/2,"")</f>
        <v/>
      </c>
      <c r="DL65" s="363" t="str">
        <f>IF(AND(DK62&lt;&gt;"",DL62&lt;&gt;""),(DK62+DL62)/2,"")</f>
        <v/>
      </c>
      <c r="DM65" s="363" t="str">
        <f>IF(AND(DL62&lt;&gt;"",DM62&lt;&gt;""),(DL62+DM62)/2,"")</f>
        <v/>
      </c>
      <c r="DN65" s="1210" t="str">
        <f>IF(AND(DK62&lt;&gt;"",DN62&lt;&gt;""),(DK62+DN62)/2,"")</f>
        <v/>
      </c>
      <c r="DO65" s="363" t="str">
        <f>IF(AND(DN62&lt;&gt;"",DO62&lt;&gt;""),(DN62+DO62)/2,"")</f>
        <v/>
      </c>
      <c r="DP65" s="363" t="str">
        <f>IF(AND(DO62&lt;&gt;"",DP62&lt;&gt;""),(DO62+DP62)/2,"")</f>
        <v/>
      </c>
      <c r="DQ65" s="1210" t="str">
        <f>IF(AND(DN62&lt;&gt;"",DQ62&lt;&gt;""),(DN62+DQ62)/2,"")</f>
        <v/>
      </c>
      <c r="DR65" s="363" t="str">
        <f>IF(AND(DQ62&lt;&gt;"",DR62&lt;&gt;""),(DQ62+DR62)/2,"")</f>
        <v/>
      </c>
      <c r="DS65" s="363" t="str">
        <f>IF(AND(DR62&lt;&gt;"",DS62&lt;&gt;""),(DR62+DS62)/2,"")</f>
        <v/>
      </c>
      <c r="DT65" s="1210" t="str">
        <f>IF(AND(DQ62&lt;&gt;"",DT62&lt;&gt;""),(DQ62+DT62)/2,"")</f>
        <v/>
      </c>
      <c r="DU65" s="363" t="str">
        <f>IF(AND(DT62&lt;&gt;"",DU62&lt;&gt;""),(DT62+DU62)/2,"")</f>
        <v/>
      </c>
      <c r="DV65" s="363" t="str">
        <f>IF(AND(DU62&lt;&gt;"",DV62&lt;&gt;""),(DU62+DV62)/2,"")</f>
        <v/>
      </c>
      <c r="DW65" s="1210" t="str">
        <f>IF(AND(DT62&lt;&gt;"",DW62&lt;&gt;""),(DT62+DW62)/2,"")</f>
        <v/>
      </c>
      <c r="DX65" s="363" t="str">
        <f>IF(AND(DW62&lt;&gt;"",DX62&lt;&gt;""),(DW62+DX62)/2,"")</f>
        <v/>
      </c>
      <c r="DY65" s="363" t="str">
        <f>IF(AND(DX62&lt;&gt;"",DY62&lt;&gt;""),(DX62+DY62)/2,"")</f>
        <v/>
      </c>
      <c r="DZ65" s="1210" t="str">
        <f>IF(AND(DW62&lt;&gt;"",DZ62&lt;&gt;""),(DW62+DZ62)/2,"")</f>
        <v/>
      </c>
      <c r="EA65" s="363" t="str">
        <f>IF(AND(DZ62&lt;&gt;"",EA62&lt;&gt;""),(DZ62+EA62)/2,"")</f>
        <v/>
      </c>
      <c r="EB65" s="363" t="str">
        <f>IF(AND(EA62&lt;&gt;"",EB62&lt;&gt;""),(EA62+EB62)/2,"")</f>
        <v/>
      </c>
      <c r="EC65" s="1210" t="str">
        <f>IF(AND(DZ62&lt;&gt;"",EC62&lt;&gt;""),(DZ62+EC62)/2,"")</f>
        <v/>
      </c>
      <c r="ED65" s="363" t="str">
        <f>IF(AND(EC62&lt;&gt;"",ED62&lt;&gt;""),(EC62+ED62)/2,"")</f>
        <v/>
      </c>
      <c r="EE65" s="363" t="str">
        <f>IF(AND(ED62&lt;&gt;"",EE62&lt;&gt;""),(ED62+EE62)/2,"")</f>
        <v/>
      </c>
      <c r="EF65" s="1210" t="str">
        <f>IF(AND(EC62&lt;&gt;"",EF62&lt;&gt;""),(EC62+EF62)/2,"")</f>
        <v/>
      </c>
      <c r="EG65" s="363" t="str">
        <f>IF(AND(EF62&lt;&gt;"",EG62&lt;&gt;""),(EF62+EG62)/2,"")</f>
        <v/>
      </c>
      <c r="EH65" s="363" t="str">
        <f>IF(AND(EG62&lt;&gt;"",EH62&lt;&gt;""),(EG62+EH62)/2,"")</f>
        <v/>
      </c>
      <c r="EI65" s="1210" t="str">
        <f>IF(AND(EF62&lt;&gt;"",EI62&lt;&gt;""),(EF62+EI62)/2,"")</f>
        <v/>
      </c>
      <c r="EJ65" s="363" t="str">
        <f>IF(AND(EI62&lt;&gt;"",EJ62&lt;&gt;""),(EI62+EJ62)/2,"")</f>
        <v/>
      </c>
      <c r="EK65" s="363" t="str">
        <f>IF(AND(EJ62&lt;&gt;"",EK62&lt;&gt;""),(EJ62+EK62)/2,"")</f>
        <v/>
      </c>
      <c r="EL65" s="1210" t="str">
        <f>IF(AND(EI62&lt;&gt;"",EL62&lt;&gt;""),(EI62+EL62)/2,"")</f>
        <v/>
      </c>
      <c r="EM65" s="363" t="str">
        <f>IF(AND(EL62&lt;&gt;"",EM62&lt;&gt;""),(EL62+EM62)/2,"")</f>
        <v/>
      </c>
      <c r="EN65" s="363" t="str">
        <f>IF(AND(EM62&lt;&gt;"",EN62&lt;&gt;""),(EM62+EN62)/2,"")</f>
        <v/>
      </c>
      <c r="EO65" s="1210" t="str">
        <f>IF(AND(EL62&lt;&gt;"",EO62&lt;&gt;""),(EL62+EO62)/2,"")</f>
        <v/>
      </c>
      <c r="EP65" s="363" t="str">
        <f>IF(AND(EO62&lt;&gt;"",EP62&lt;&gt;""),(EO62+EP62)/2,"")</f>
        <v/>
      </c>
      <c r="EQ65" s="363" t="str">
        <f>IF(AND(EP62&lt;&gt;"",EQ62&lt;&gt;""),(EP62+EQ62)/2,"")</f>
        <v/>
      </c>
      <c r="ER65" s="1210" t="str">
        <f>IF(AND(EO62&lt;&gt;"",ER62&lt;&gt;""),(EO62+ER62)/2,"")</f>
        <v/>
      </c>
      <c r="ES65" s="363" t="str">
        <f>IF(AND(ER62&lt;&gt;"",ES62&lt;&gt;""),(ER62+ES62)/2,"")</f>
        <v/>
      </c>
      <c r="ET65" s="363" t="str">
        <f>IF(AND(ES62&lt;&gt;"",ET62&lt;&gt;""),(ES62+ET62)/2,"")</f>
        <v/>
      </c>
      <c r="EU65" s="1210" t="str">
        <f>IF(AND(ER62&lt;&gt;"",EU62&lt;&gt;""),(ER62+EU62)/2,"")</f>
        <v/>
      </c>
      <c r="EV65" s="363" t="str">
        <f>IF(AND(EU62&lt;&gt;"",EV62&lt;&gt;""),(EU62+EV62)/2,"")</f>
        <v/>
      </c>
      <c r="EW65" s="363" t="str">
        <f>IF(AND(EV62&lt;&gt;"",EW62&lt;&gt;""),(EV62+EW62)/2,"")</f>
        <v/>
      </c>
      <c r="EX65" s="1210" t="str">
        <f>IF(AND(EU62&lt;&gt;"",EX62&lt;&gt;""),(EU62+EX62)/2,"")</f>
        <v/>
      </c>
      <c r="EY65" s="363" t="str">
        <f>IF(AND(EX62&lt;&gt;"",EY62&lt;&gt;""),(EX62+EY62)/2,"")</f>
        <v/>
      </c>
      <c r="EZ65" s="363" t="str">
        <f>IF(AND(EY62&lt;&gt;"",EZ62&lt;&gt;""),(EY62+EZ62)/2,"")</f>
        <v/>
      </c>
      <c r="FA65" s="363" t="str">
        <f>IF(AND(EX62&lt;&gt;"",FA62&lt;&gt;""),(EX62+FA62)/2,"")</f>
        <v/>
      </c>
    </row>
    <row r="66" spans="1:157" ht="13.35" customHeight="1" outlineLevel="1">
      <c r="A66" s="5"/>
      <c r="B66" s="5" t="s">
        <v>872</v>
      </c>
      <c r="C66" s="5"/>
      <c r="D66" s="362"/>
      <c r="E66" s="363"/>
      <c r="F66" s="363"/>
      <c r="G66" s="363"/>
      <c r="H66" s="363">
        <f>IF(AND(G64&lt;&gt;"",H64&lt;&gt;""),(G64+H64)/2,"")</f>
        <v>0</v>
      </c>
      <c r="I66" s="363">
        <f>IF(AND(H64&lt;&gt;"",I64&lt;&gt;""),(H64+I64)/2,"")</f>
        <v>0</v>
      </c>
      <c r="J66" s="363">
        <f>IF(AND(G64&lt;&gt;"",J64&lt;&gt;""),(G64+J64)/2,"")</f>
        <v>0</v>
      </c>
      <c r="K66" s="363">
        <f>IF(AND(J64&lt;&gt;"",K64&lt;&gt;""),(J64+K64)/2,"")</f>
        <v>0</v>
      </c>
      <c r="L66" s="363">
        <f>IF(AND(K64&lt;&gt;"",L64&lt;&gt;""),(K64+L64)/2,"")</f>
        <v>0</v>
      </c>
      <c r="M66" s="363">
        <f>IF(AND(J64&lt;&gt;"",M64&lt;&gt;""),(J64+M64)/2,"")</f>
        <v>0</v>
      </c>
      <c r="N66" s="363">
        <f>IF(AND(M64&lt;&gt;"",N64&lt;&gt;""),(M64+N64)/2,"")</f>
        <v>0</v>
      </c>
      <c r="O66" s="363">
        <f>IF(AND(N64&lt;&gt;"",O64&lt;&gt;""),(N64+O64)/2,"")</f>
        <v>0</v>
      </c>
      <c r="P66" s="363">
        <f>IF(AND(M64&lt;&gt;"",P64&lt;&gt;""),(M64+P64)/2,"")</f>
        <v>0</v>
      </c>
      <c r="Q66" s="363">
        <f>IF(AND(P64&lt;&gt;"",Q64&lt;&gt;""),(P64+Q64)/2,"")</f>
        <v>0</v>
      </c>
      <c r="R66" s="363">
        <f>IF(AND(Q64&lt;&gt;"",R64&lt;&gt;""),(Q64+R64)/2,"")</f>
        <v>0</v>
      </c>
      <c r="S66" s="363">
        <f>IF(AND(P64&lt;&gt;"",S64&lt;&gt;""),(P64+S64)/2,"")</f>
        <v>0</v>
      </c>
      <c r="T66" s="363">
        <f>IF(AND(S64&lt;&gt;"",T64&lt;&gt;""),(S64+T64)/2,"")</f>
        <v>0</v>
      </c>
      <c r="U66" s="363">
        <f>IF(AND(T64&lt;&gt;"",U64&lt;&gt;""),(T64+U64)/2,"")</f>
        <v>0</v>
      </c>
      <c r="V66" s="363">
        <f>IF(AND(S64&lt;&gt;"",V64&lt;&gt;""),(S64+V64)/2,"")</f>
        <v>0</v>
      </c>
      <c r="W66" s="363">
        <f>IF(AND(V64&lt;&gt;"",W64&lt;&gt;""),(V64+W64)/2,"")</f>
        <v>0</v>
      </c>
      <c r="X66" s="363">
        <f>IF(AND(W64&lt;&gt;"",X64&lt;&gt;""),(W64+X64)/2,"")</f>
        <v>0</v>
      </c>
      <c r="Y66" s="363">
        <f>IF(AND(V64&lt;&gt;"",Y64&lt;&gt;""),(V64+Y64)/2,"")</f>
        <v>0</v>
      </c>
      <c r="Z66" s="363">
        <f>IF(AND(Y64&lt;&gt;"",Z64&lt;&gt;""),(Y64+Z64)/2,"")</f>
        <v>0</v>
      </c>
      <c r="AA66" s="363">
        <f>IF(AND(Z64&lt;&gt;"",AA64&lt;&gt;""),(Z64+AA64)/2,"")</f>
        <v>0</v>
      </c>
      <c r="AB66" s="363">
        <f>IF(AND(Y64&lt;&gt;"",AB64&lt;&gt;""),(Y64+AB64)/2,"")</f>
        <v>0</v>
      </c>
      <c r="AC66" s="363">
        <f>IF(AND(AB64&lt;&gt;"",AC64&lt;&gt;""),(AB64+AC64)/2,"")</f>
        <v>0</v>
      </c>
      <c r="AD66" s="363">
        <f>IF(AND(AC64&lt;&gt;"",AD64&lt;&gt;""),(AC64+AD64)/2,"")</f>
        <v>0</v>
      </c>
      <c r="AE66" s="363">
        <f>IF(AND(AB64&lt;&gt;"",AE64&lt;&gt;""),(AB64+AE64)/2,"")</f>
        <v>0</v>
      </c>
      <c r="AF66" s="363">
        <f>IF(AND(AE64&lt;&gt;"",AF64&lt;&gt;""),(AE64+AF64)/2,"")</f>
        <v>0</v>
      </c>
      <c r="AG66" s="363">
        <f>IF(AND(AF64&lt;&gt;"",AG64&lt;&gt;""),(AF64+AG64)/2,"")</f>
        <v>0</v>
      </c>
      <c r="AH66" s="363">
        <f>IF(AND(AE64&lt;&gt;"",AH64&lt;&gt;""),(AE64+AH64)/2,"")</f>
        <v>0</v>
      </c>
      <c r="AI66" s="363">
        <f>IF(AND(AH64&lt;&gt;"",AI64&lt;&gt;""),(AH64+AI64)/2,"")</f>
        <v>2.6785000000000001</v>
      </c>
      <c r="AJ66" s="363">
        <f>IF(AND(AI64&lt;&gt;"",AJ64&lt;&gt;""),(AI64+AJ64)/2,"")</f>
        <v>3.3410000000000002</v>
      </c>
      <c r="AK66" s="363">
        <f>IF(AND(AH64&lt;&gt;"",AK64&lt;&gt;""),(AH64+AK64)/2,"")</f>
        <v>0.66249999999999998</v>
      </c>
      <c r="AL66" s="363">
        <f>IF(AND(AK64&lt;&gt;"",AL64&lt;&gt;""),(AK64+AL64)/2,"")</f>
        <v>0.72750000000000004</v>
      </c>
      <c r="AM66" s="363">
        <f>IF(AND(AL64&lt;&gt;"",AM64&lt;&gt;""),(AL64+AM64)/2,"")</f>
        <v>1.9844999999999999</v>
      </c>
      <c r="AN66" s="363">
        <f>IF(AND(AK64&lt;&gt;"",AN64&lt;&gt;""),(AK64+AN64)/2,"")</f>
        <v>2.5819999999999999</v>
      </c>
      <c r="AO66" s="363">
        <f>IF(AND(AN64&lt;&gt;"",AO64&lt;&gt;""),(AN64+AO64)/2,"")</f>
        <v>3.157</v>
      </c>
      <c r="AP66" s="363">
        <f>IF(AND(AO64&lt;&gt;"",AP64&lt;&gt;""),(AO64+AP64)/2,"")</f>
        <v>2.3955000000000002</v>
      </c>
      <c r="AQ66" s="363">
        <f>IF(AND(AN64&lt;&gt;"",AQ64&lt;&gt;""),(AN64+AQ64)/2,"")</f>
        <v>3.0774999999999997</v>
      </c>
      <c r="AR66" s="363">
        <f>IF(AND(AQ64&lt;&gt;"",AR64&lt;&gt;""),(AQ64+AR64)/2,"")</f>
        <v>2.3159999999999998</v>
      </c>
      <c r="AS66" s="363">
        <f>IF(AND(AR64&lt;&gt;"",AS64&lt;&gt;""),(AR64+AS64)/2,"")</f>
        <v>2.5164999999999997</v>
      </c>
      <c r="AT66" s="363">
        <f>IF(AND(AQ64&lt;&gt;"",AT64&lt;&gt;""),(AQ64+AT64)/2,"")</f>
        <v>2.5164999999999997</v>
      </c>
      <c r="AU66" s="363">
        <f>IF(AND(AT64&lt;&gt;"",AU64&lt;&gt;""),(AT64+AU64)/2,"")</f>
        <v>2.7170000000000001</v>
      </c>
      <c r="AV66" s="363">
        <f>IF(AND(AU64&lt;&gt;"",AV64&lt;&gt;""),(AU64+AV64)/2,"")</f>
        <v>3.0895000000000001</v>
      </c>
      <c r="AW66" s="363">
        <f>IF(AND(AT64&lt;&gt;"",AW64&lt;&gt;""),(AT64+AW64)/2,"")</f>
        <v>3.0895000000000001</v>
      </c>
      <c r="AX66" s="363">
        <f>IF(AND(AW64&lt;&gt;"",AX64&lt;&gt;""),(AW64+AX64)/2,"")</f>
        <v>3.4620000000000002</v>
      </c>
      <c r="AY66" s="363">
        <f>IF(AND(AX64&lt;&gt;"",AY64&lt;&gt;""),(AX64+AY64)/2,"")</f>
        <v>2.9340000000000002</v>
      </c>
      <c r="AZ66" s="363">
        <f>IF(AND(AW64&lt;&gt;"",AZ64&lt;&gt;""),(AW64+AZ64)/2,"")</f>
        <v>2.9340000000000002</v>
      </c>
      <c r="BA66" s="363">
        <f>IF(AND(AZ64&lt;&gt;"",BA64&lt;&gt;""),(AZ64+BA64)/2,"")</f>
        <v>2.4060000000000001</v>
      </c>
      <c r="BB66" s="363">
        <f>IF(AND(BA64&lt;&gt;"",BB64&lt;&gt;""),(BA64+BB64)/2,"")</f>
        <v>6.0475000000000003</v>
      </c>
      <c r="BC66" s="363">
        <f>IF(AND(AZ64&lt;&gt;"",BC64&lt;&gt;""),(AZ64+BC64)/2,"")</f>
        <v>6.0475000000000003</v>
      </c>
      <c r="BD66" s="363">
        <f>IF(AND(BC64&lt;&gt;"",BD64&lt;&gt;""),(BC64+BD64)/2,"")</f>
        <v>12.3735</v>
      </c>
      <c r="BE66" s="363">
        <f>IF(AND(BD64&lt;&gt;"",BE64&lt;&gt;""),(BD64+BE64)/2,"")</f>
        <v>19.655000000000001</v>
      </c>
      <c r="BF66" s="363">
        <f>IF(AND(BC64&lt;&gt;"",BF64&lt;&gt;""),(BC64+BF64)/2,"")</f>
        <v>16.970500000000001</v>
      </c>
      <c r="BG66" s="363">
        <f>IF(AND(BF64&lt;&gt;"",BG64&lt;&gt;""),(BF64+BG64)/2,"")</f>
        <v>19.463999999999999</v>
      </c>
      <c r="BH66" s="363">
        <f>IF(AND(BG64&lt;&gt;"",BH64&lt;&gt;""),(BG64+BH64)/2,"")</f>
        <v>14.8405</v>
      </c>
      <c r="BI66" s="363">
        <f>IF(AND(BF64&lt;&gt;"",BI64&lt;&gt;""),(BF64+BI64)/2,"")</f>
        <v>19.628499999999999</v>
      </c>
      <c r="BJ66" s="363">
        <f>IF(AND(BI64&lt;&gt;"",BJ64&lt;&gt;""),(BI64+BJ64)/2,"")</f>
        <v>20.797499999999999</v>
      </c>
      <c r="BK66" s="363">
        <f>IF(AND(BJ64&lt;&gt;"",BK64&lt;&gt;""),(BJ64+BK64)/2,"")</f>
        <v>26.2285</v>
      </c>
      <c r="BL66" s="363">
        <f>IF(AND(BI64&lt;&gt;"",BL64&lt;&gt;""),(BI64+BL64)/2,"")</f>
        <v>20.436</v>
      </c>
      <c r="BM66" s="363">
        <f>IF(AND(BL64&lt;&gt;"",BM64&lt;&gt;""),(BL64+BM64)/2,"")</f>
        <v>27.154</v>
      </c>
      <c r="BN66" s="363">
        <f>IF(AND(BM64&lt;&gt;"",BN64&lt;&gt;""),(BM64+BN64)/2,"")</f>
        <v>46.274000000000001</v>
      </c>
      <c r="BO66" s="363">
        <f>IF(AND(BL64&lt;&gt;"",BO64&lt;&gt;""),(BL64+BO64)/2,"")</f>
        <v>44.987000000000002</v>
      </c>
      <c r="BP66" s="363">
        <f>IF(AND(BO64&lt;&gt;"",BP64&lt;&gt;""),(BO64+BP64)/2,"")</f>
        <v>62.962499999999999</v>
      </c>
      <c r="BQ66" s="363">
        <f>IF(AND(BP64&lt;&gt;"",BQ64&lt;&gt;""),(BP64+BQ64)/2,"")</f>
        <v>66.182500000000005</v>
      </c>
      <c r="BR66" s="363">
        <f>IF(AND(BO64&lt;&gt;"",BR64&lt;&gt;""),(BO64+BR64)/2,"")</f>
        <v>67.326999999999998</v>
      </c>
      <c r="BS66" s="363">
        <f>IF(AND(BR64&lt;&gt;"",BS64&lt;&gt;""),(BR64+BS64)/2,"")</f>
        <v>83.618499999999997</v>
      </c>
      <c r="BT66" s="363">
        <f>IF(AND(BS64&lt;&gt;"",BT64&lt;&gt;""),(BS64+BT64)/2,"")</f>
        <v>129.01349999999999</v>
      </c>
      <c r="BU66" s="363">
        <f>IF(AND(BR64&lt;&gt;"",BU64&lt;&gt;""),(BR64+BU64)/2,"")</f>
        <v>115.94199999999999</v>
      </c>
      <c r="BV66" s="363">
        <f>IF(AND(BU64&lt;&gt;"",BV64&lt;&gt;""),(BU64+BV64)/2,"")</f>
        <v>161.38499999999999</v>
      </c>
      <c r="BW66" s="363">
        <f>IF(AND(BV64&lt;&gt;"",BW64&lt;&gt;""),(BV64+BW64)/2,"")</f>
        <v>88.43549999999999</v>
      </c>
      <c r="BX66" s="363">
        <f>IF(AND(BU64&lt;&gt;"",BX64&lt;&gt;""),(BU64+BX64)/2,"")</f>
        <v>88.387499999999989</v>
      </c>
      <c r="BY66" s="363">
        <f>IF(AND(BX64&lt;&gt;"",BY64&lt;&gt;""),(BX64+BY64)/2,"")</f>
        <v>16.110500000000002</v>
      </c>
      <c r="BZ66" s="363">
        <f>IF(AND(BY64&lt;&gt;"",BZ64&lt;&gt;""),(BY64+BZ64)/2,"")</f>
        <v>8.3915000000000006</v>
      </c>
      <c r="CA66" s="363">
        <f>IF(AND(BX64&lt;&gt;"",CA64&lt;&gt;""),(BX64+CA64)/2,"")</f>
        <v>7.7190000000000003</v>
      </c>
      <c r="CB66" s="363">
        <f>IF(AND(CA64&lt;&gt;"",CB64&lt;&gt;""),(CA64+CB64)/2,"")</f>
        <v>0</v>
      </c>
      <c r="CC66" s="363">
        <f>IF(AND(CB64&lt;&gt;"",CC64&lt;&gt;""),(CB64+CC64)/2,"")</f>
        <v>36.905500000000004</v>
      </c>
      <c r="CD66" s="363">
        <f>IF(AND(CA64&lt;&gt;"",CD64&lt;&gt;""),(CA64+CD64)/2,"")</f>
        <v>36.905500000000004</v>
      </c>
      <c r="CE66" s="363">
        <f>IF(AND(CD64&lt;&gt;"",CE64&lt;&gt;""),(CD64+CE64)/2,"")</f>
        <v>36.905500000000004</v>
      </c>
      <c r="CF66" s="363">
        <f>IF(AND(CE64&lt;&gt;"",CF64&lt;&gt;""),(CE64+CF64)/2,"")</f>
        <v>30</v>
      </c>
      <c r="CG66" s="363">
        <f>IF(AND(CD64&lt;&gt;"",CG64&lt;&gt;""),(CD64+CG64)/2,"")</f>
        <v>66.905500000000004</v>
      </c>
      <c r="CH66" s="363">
        <f>IF(AND(CG64&lt;&gt;"",CH64&lt;&gt;""),(CG64+CH64)/2,"")</f>
        <v>50</v>
      </c>
      <c r="CI66" s="363">
        <f>IF(AND(CH64&lt;&gt;"",CI64&lt;&gt;""),(CH64+CI64)/2,"")</f>
        <v>42.872</v>
      </c>
      <c r="CJ66" s="363">
        <f>IF(AND(CG64&lt;&gt;"",CJ64&lt;&gt;""),(CG64+CJ64)/2,"")</f>
        <v>52.872</v>
      </c>
      <c r="CK66" s="363">
        <f>IF(AND(CJ64&lt;&gt;"",CK64&lt;&gt;""),(CJ64+CK64)/2,"")</f>
        <v>62.058</v>
      </c>
      <c r="CL66" s="363">
        <f>IF(AND(CK64&lt;&gt;"",CL64&lt;&gt;""),(CK64+CL64)/2,"")</f>
        <v>40.840499999999999</v>
      </c>
      <c r="CM66" s="363">
        <f>IF(AND(CJ64&lt;&gt;"",CM64&lt;&gt;""),(CJ64+CM64)/2,"")</f>
        <v>24.526499999999999</v>
      </c>
      <c r="CN66" s="363">
        <f>IF(AND(CM64&lt;&gt;"",CN64&lt;&gt;""),(CM64+CN64)/2,"")</f>
        <v>3.2625000000000002</v>
      </c>
      <c r="CO66" s="363">
        <f>IF(AND(CN64&lt;&gt;"",CO64&lt;&gt;""),(CN64+CO64)/2,"")</f>
        <v>3.1785000000000001</v>
      </c>
      <c r="CP66" s="363">
        <f>IF(AND(CM64&lt;&gt;"",CP64&lt;&gt;""),(CM64+CP64)/2,"")</f>
        <v>3.2250000000000001</v>
      </c>
      <c r="CQ66" s="363">
        <f>IF(AND(CP64&lt;&gt;"",CQ64&lt;&gt;""),(CP64+CQ64)/2,"")</f>
        <v>3.101</v>
      </c>
      <c r="CR66" s="363">
        <f>IF(AND(CQ64&lt;&gt;"",CR64&lt;&gt;""),(CQ64+CR64)/2,"")</f>
        <v>85.61</v>
      </c>
      <c r="CS66" s="363">
        <f>IF(AND(CP64&lt;&gt;"",CS64&lt;&gt;""),(CP64+CS64)/2,"")</f>
        <v>85.649999999999991</v>
      </c>
      <c r="CT66" s="363">
        <f>IF(AND(CS64&lt;&gt;"",CT64&lt;&gt;""),(CS64+CT64)/2,"")</f>
        <v>168.29249999999999</v>
      </c>
      <c r="CU66" s="363">
        <f>IF(AND(CT64&lt;&gt;"",CU64&lt;&gt;""),(CT64+CU64)/2,"")</f>
        <v>86.201999999999998</v>
      </c>
      <c r="CV66" s="363">
        <f>IF(AND(CS64&lt;&gt;"",CV64&lt;&gt;""),(CS64+CV64)/2,"")</f>
        <v>86.0685</v>
      </c>
      <c r="CW66" s="363">
        <f>IF(AND(CV64&lt;&gt;"",CW64&lt;&gt;""),(CV64+CW64)/2,"")</f>
        <v>3.7585000000000002</v>
      </c>
      <c r="CX66" s="363">
        <f>IF(AND(CW64&lt;&gt;"",CX64&lt;&gt;""),(CW64+CX64)/2,"")</f>
        <v>44.113</v>
      </c>
      <c r="CY66" s="363">
        <f>IF(AND(CV64&lt;&gt;"",CY64&lt;&gt;""),(CV64+CY64)/2,"")</f>
        <v>44.332499999999996</v>
      </c>
      <c r="CZ66" s="363">
        <f>IF(AND(CY64&lt;&gt;"",CZ64&lt;&gt;""),(CY64+CZ64)/2,"")</f>
        <v>72.143500000000003</v>
      </c>
      <c r="DA66" s="363">
        <f>IF(AND(CZ64&lt;&gt;"",DA64&lt;&gt;""),(CZ64+DA64)/2,"")</f>
        <v>31.650000000000002</v>
      </c>
      <c r="DB66" s="363">
        <f>IF(AND(CY64&lt;&gt;"",DB64&lt;&gt;""),(CY64+DB64)/2,"")</f>
        <v>44.1935</v>
      </c>
      <c r="DC66" s="363">
        <f>IF(AND(DB64&lt;&gt;"",DC64&lt;&gt;""),(DB64+DC64)/2,"")</f>
        <v>3.6</v>
      </c>
      <c r="DD66" s="363">
        <f>IF(AND(DC64&lt;&gt;"",DD64&lt;&gt;""),(DC64+DD64)/2,"")</f>
        <v>3.4</v>
      </c>
      <c r="DE66" s="363">
        <f>IF(AND(DB64&lt;&gt;"",DE64&lt;&gt;""),(DB64+DE64)/2,"")</f>
        <v>3.5</v>
      </c>
      <c r="DF66" s="363">
        <f>IF(AND(DE64&lt;&gt;"",DF64&lt;&gt;""),(DE64+DF64)/2,"")</f>
        <v>3.3</v>
      </c>
      <c r="DG66" s="363">
        <f>IF(AND(DF64&lt;&gt;"",DG64&lt;&gt;""),(DF64+DG64)/2,"")</f>
        <v>1.65</v>
      </c>
      <c r="DH66" s="363">
        <f>IF(AND(DE64&lt;&gt;"",DH64&lt;&gt;""),(DE64+DH64)/2,"")</f>
        <v>1.65</v>
      </c>
      <c r="DI66" s="363">
        <f>IF(AND(DH64&lt;&gt;"",DI64&lt;&gt;""),(DH64+DI64)/2,"")</f>
        <v>0</v>
      </c>
      <c r="DJ66" s="363">
        <f>IF(AND(DI64&lt;&gt;"",DJ64&lt;&gt;""),(DI64+DJ64)/2,"")</f>
        <v>0</v>
      </c>
      <c r="DK66" s="1210">
        <f>IF(AND(DH64&lt;&gt;"",DK64&lt;&gt;""),(DH64+DK64)/2,"")</f>
        <v>0</v>
      </c>
      <c r="DL66" s="363">
        <f>IF(AND(DK64&lt;&gt;"",DL64&lt;&gt;""),(DK64+DL64)/2,"")</f>
        <v>1.2</v>
      </c>
      <c r="DM66" s="363">
        <f>IF(AND(DL64&lt;&gt;"",DM64&lt;&gt;""),(DL64+DM64)/2,"")</f>
        <v>22.5</v>
      </c>
      <c r="DN66" s="1210">
        <f>IF(AND(DK64&lt;&gt;"",DN64&lt;&gt;""),(DK64+DN64)/2,"")</f>
        <v>21.3</v>
      </c>
      <c r="DO66" s="363">
        <f>IF(AND(DN64&lt;&gt;"",DO64&lt;&gt;""),(DN64+DO64)/2,"")</f>
        <v>21.3</v>
      </c>
      <c r="DP66" s="363">
        <f>IF(AND(DO64&lt;&gt;"",DP64&lt;&gt;""),(DO64+DP64)/2,"")</f>
        <v>0</v>
      </c>
      <c r="DQ66" s="1210">
        <f>IF(AND(DN64&lt;&gt;"",DQ64&lt;&gt;""),(DN64+DQ64)/2,"")</f>
        <v>21.3</v>
      </c>
      <c r="DR66" s="363">
        <f>IF(AND(DQ64&lt;&gt;"",DR64&lt;&gt;""),(DQ64+DR64)/2,"")</f>
        <v>0</v>
      </c>
      <c r="DS66" s="363">
        <f>IF(AND(DR64&lt;&gt;"",DS64&lt;&gt;""),(DR64+DS64)/2,"")</f>
        <v>0</v>
      </c>
      <c r="DT66" s="1210">
        <f>IF(AND(DQ64&lt;&gt;"",DT64&lt;&gt;""),(DQ64+DT64)/2,"")</f>
        <v>0</v>
      </c>
      <c r="DU66" s="363">
        <f>IF(AND(DT64&lt;&gt;"",DU64&lt;&gt;""),(DT64+DU64)/2,"")</f>
        <v>0</v>
      </c>
      <c r="DV66" s="363">
        <f>IF(AND(DU64&lt;&gt;"",DV64&lt;&gt;""),(DU64+DV64)/2,"")</f>
        <v>0</v>
      </c>
      <c r="DW66" s="1210">
        <f>IF(AND(DT64&lt;&gt;"",DW64&lt;&gt;""),(DT64+DW64)/2,"")</f>
        <v>0</v>
      </c>
      <c r="DX66" s="363">
        <f>IF(AND(DW64&lt;&gt;"",DX64&lt;&gt;""),(DW64+DX64)/2,"")</f>
        <v>0</v>
      </c>
      <c r="DY66" s="363">
        <f>IF(AND(DX64&lt;&gt;"",DY64&lt;&gt;""),(DX64+DY64)/2,"")</f>
        <v>0</v>
      </c>
      <c r="DZ66" s="1210">
        <f>IF(AND(DW64&lt;&gt;"",DZ64&lt;&gt;""),(DW64+DZ64)/2,"")</f>
        <v>0</v>
      </c>
      <c r="EA66" s="363">
        <f>IF(AND(DZ64&lt;&gt;"",EA64&lt;&gt;""),(DZ64+EA64)/2,"")</f>
        <v>0</v>
      </c>
      <c r="EB66" s="363">
        <f>IF(AND(EA64&lt;&gt;"",EB64&lt;&gt;""),(EA64+EB64)/2,"")</f>
        <v>0</v>
      </c>
      <c r="EC66" s="1210">
        <f>IF(AND(DZ64&lt;&gt;"",EC64&lt;&gt;""),(DZ64+EC64)/2,"")</f>
        <v>0</v>
      </c>
      <c r="ED66" s="363">
        <f>IF(AND(EC64&lt;&gt;"",ED64&lt;&gt;""),(EC64+ED64)/2,"")</f>
        <v>0</v>
      </c>
      <c r="EE66" s="363">
        <f>IF(AND(ED64&lt;&gt;"",EE64&lt;&gt;""),(ED64+EE64)/2,"")</f>
        <v>0</v>
      </c>
      <c r="EF66" s="1210">
        <f>IF(AND(EC64&lt;&gt;"",EF64&lt;&gt;""),(EC64+EF64)/2,"")</f>
        <v>0</v>
      </c>
      <c r="EG66" s="363">
        <f>IF(AND(EF64&lt;&gt;"",EG64&lt;&gt;""),(EF64+EG64)/2,"")</f>
        <v>0</v>
      </c>
      <c r="EH66" s="363">
        <f>IF(AND(EG64&lt;&gt;"",EH64&lt;&gt;""),(EG64+EH64)/2,"")</f>
        <v>0</v>
      </c>
      <c r="EI66" s="1210">
        <f>IF(AND(EF64&lt;&gt;"",EI64&lt;&gt;""),(EF64+EI64)/2,"")</f>
        <v>0</v>
      </c>
      <c r="EJ66" s="363">
        <f>IF(AND(EI64&lt;&gt;"",EJ64&lt;&gt;""),(EI64+EJ64)/2,"")</f>
        <v>0</v>
      </c>
      <c r="EK66" s="363">
        <f>IF(AND(EJ64&lt;&gt;"",EK64&lt;&gt;""),(EJ64+EK64)/2,"")</f>
        <v>0</v>
      </c>
      <c r="EL66" s="1210">
        <f>IF(AND(EI64&lt;&gt;"",EL64&lt;&gt;""),(EI64+EL64)/2,"")</f>
        <v>0</v>
      </c>
      <c r="EM66" s="363">
        <f>IF(AND(EL64&lt;&gt;"",EM64&lt;&gt;""),(EL64+EM64)/2,"")</f>
        <v>0</v>
      </c>
      <c r="EN66" s="363">
        <f>IF(AND(EM64&lt;&gt;"",EN64&lt;&gt;""),(EM64+EN64)/2,"")</f>
        <v>0</v>
      </c>
      <c r="EO66" s="1210">
        <f>IF(AND(EL64&lt;&gt;"",EO64&lt;&gt;""),(EL64+EO64)/2,"")</f>
        <v>0</v>
      </c>
      <c r="EP66" s="363">
        <f>IF(AND(EO64&lt;&gt;"",EP64&lt;&gt;""),(EO64+EP64)/2,"")</f>
        <v>0</v>
      </c>
      <c r="EQ66" s="363">
        <f>IF(AND(EP64&lt;&gt;"",EQ64&lt;&gt;""),(EP64+EQ64)/2,"")</f>
        <v>0</v>
      </c>
      <c r="ER66" s="1210">
        <f>IF(AND(EO64&lt;&gt;"",ER64&lt;&gt;""),(EO64+ER64)/2,"")</f>
        <v>0</v>
      </c>
      <c r="ES66" s="363">
        <f>IF(AND(ER64&lt;&gt;"",ES64&lt;&gt;""),(ER64+ES64)/2,"")</f>
        <v>0</v>
      </c>
      <c r="ET66" s="363">
        <f>IF(AND(ES64&lt;&gt;"",ET64&lt;&gt;""),(ES64+ET64)/2,"")</f>
        <v>0</v>
      </c>
      <c r="EU66" s="1210">
        <f>IF(AND(ER64&lt;&gt;"",EU64&lt;&gt;""),(ER64+EU64)/2,"")</f>
        <v>0</v>
      </c>
      <c r="EV66" s="363">
        <f>IF(AND(EU64&lt;&gt;"",EV64&lt;&gt;""),(EU64+EV64)/2,"")</f>
        <v>0</v>
      </c>
      <c r="EW66" s="363">
        <f>IF(AND(EV64&lt;&gt;"",EW64&lt;&gt;""),(EV64+EW64)/2,"")</f>
        <v>0</v>
      </c>
      <c r="EX66" s="1210">
        <f>IF(AND(EU64&lt;&gt;"",EX64&lt;&gt;""),(EU64+EX64)/2,"")</f>
        <v>0</v>
      </c>
      <c r="EY66" s="363">
        <f>IF(AND(EX64&lt;&gt;"",EY64&lt;&gt;""),(EX64+EY64)/2,"")</f>
        <v>0</v>
      </c>
      <c r="EZ66" s="363">
        <f>IF(AND(EY64&lt;&gt;"",EZ64&lt;&gt;""),(EY64+EZ64)/2,"")</f>
        <v>0</v>
      </c>
      <c r="FA66" s="363">
        <f>IF(AND(EX64&lt;&gt;"",FA64&lt;&gt;""),(EX64+FA64)/2,"")</f>
        <v>0</v>
      </c>
    </row>
    <row r="67" spans="1:157" ht="13.35" customHeight="1">
      <c r="A67" s="5"/>
      <c r="B67" s="5" t="s">
        <v>795</v>
      </c>
      <c r="C67" s="5"/>
      <c r="D67" s="362"/>
      <c r="E67" s="356"/>
      <c r="F67" s="356"/>
      <c r="G67" s="356"/>
      <c r="H67" s="356"/>
      <c r="I67" s="356"/>
      <c r="J67" s="356"/>
      <c r="K67" s="356"/>
      <c r="L67" s="356"/>
      <c r="M67" s="356"/>
      <c r="N67" s="356"/>
      <c r="O67" s="356"/>
      <c r="P67" s="356"/>
      <c r="Q67" s="356"/>
      <c r="R67" s="356"/>
      <c r="S67" s="356"/>
      <c r="T67" s="356"/>
      <c r="U67" s="356"/>
      <c r="V67" s="356"/>
      <c r="W67" s="356"/>
      <c r="X67" s="356"/>
      <c r="Y67" s="356"/>
      <c r="Z67" s="356"/>
      <c r="AA67" s="356"/>
      <c r="AB67" s="356"/>
      <c r="AC67" s="356"/>
      <c r="AD67" s="356"/>
      <c r="AE67" s="356"/>
      <c r="AF67" s="356"/>
      <c r="AG67" s="356"/>
      <c r="AH67" s="356"/>
      <c r="AI67" s="356"/>
      <c r="AJ67" s="356"/>
      <c r="AK67" s="356"/>
      <c r="AL67" s="356"/>
      <c r="AM67" s="356"/>
      <c r="AN67" s="356"/>
      <c r="AO67" s="356"/>
      <c r="AP67" s="356"/>
      <c r="AQ67" s="356"/>
      <c r="AR67" s="356"/>
      <c r="AS67" s="356"/>
      <c r="AT67" s="356"/>
      <c r="AU67" s="356"/>
      <c r="AV67" s="356"/>
      <c r="AW67" s="356"/>
      <c r="AX67" s="356"/>
      <c r="AY67" s="356"/>
      <c r="AZ67" s="356"/>
      <c r="BA67" s="356"/>
      <c r="BB67" s="356"/>
      <c r="BC67" s="356"/>
      <c r="BD67" s="356"/>
      <c r="BE67" s="356"/>
      <c r="BF67" s="356"/>
      <c r="BG67" s="356"/>
      <c r="BH67" s="356"/>
      <c r="BI67" s="356"/>
      <c r="BJ67" s="356"/>
      <c r="BK67" s="356"/>
      <c r="BL67" s="356"/>
      <c r="BM67" s="356"/>
      <c r="BN67" s="356"/>
      <c r="BO67" s="356"/>
      <c r="BP67" s="356"/>
      <c r="BQ67" s="356"/>
      <c r="BR67" s="356"/>
      <c r="BS67" s="356"/>
      <c r="BT67" s="356"/>
      <c r="BU67" s="356"/>
      <c r="BV67" s="356"/>
      <c r="BW67" s="356"/>
      <c r="BX67" s="356"/>
      <c r="BY67" s="356"/>
      <c r="BZ67" s="356"/>
      <c r="CA67" s="356"/>
      <c r="CB67" s="356"/>
      <c r="CC67" s="356"/>
      <c r="CD67" s="356"/>
      <c r="CE67" s="356"/>
      <c r="CF67" s="356"/>
      <c r="CG67" s="356"/>
      <c r="CH67" s="356"/>
      <c r="CI67" s="356"/>
      <c r="CJ67" s="356"/>
      <c r="CK67" s="356"/>
      <c r="CL67" s="356"/>
      <c r="CM67" s="356"/>
      <c r="CN67" s="356"/>
      <c r="CO67" s="356"/>
      <c r="CP67" s="356"/>
      <c r="CQ67" s="356"/>
      <c r="CR67" s="356"/>
      <c r="CS67" s="356"/>
      <c r="CT67" s="356"/>
      <c r="CU67" s="356"/>
      <c r="CV67" s="356"/>
      <c r="CW67" s="356"/>
      <c r="CX67" s="356"/>
      <c r="CY67" s="356"/>
      <c r="CZ67" s="356"/>
      <c r="DA67" s="356"/>
      <c r="DB67" s="356"/>
      <c r="DC67" s="356"/>
      <c r="DD67" s="356"/>
      <c r="DE67" s="356"/>
      <c r="DF67" s="356"/>
      <c r="DG67" s="356"/>
      <c r="DH67" s="356"/>
      <c r="DI67" s="356"/>
      <c r="DJ67" s="356"/>
      <c r="DK67" s="1087"/>
      <c r="DL67" s="356"/>
      <c r="DM67" s="356"/>
      <c r="DN67" s="1087"/>
      <c r="DO67" s="356"/>
      <c r="DP67" s="356"/>
      <c r="DQ67" s="1087"/>
      <c r="DR67" s="356"/>
      <c r="DS67" s="356"/>
      <c r="DT67" s="1087"/>
      <c r="DU67" s="356"/>
      <c r="DV67" s="356"/>
      <c r="DW67" s="1087"/>
      <c r="DX67" s="356"/>
      <c r="DY67" s="356"/>
      <c r="DZ67" s="1087"/>
      <c r="EA67" s="356"/>
      <c r="EB67" s="356"/>
      <c r="EC67" s="1087"/>
      <c r="ED67" s="356"/>
      <c r="EE67" s="356"/>
      <c r="EF67" s="1087"/>
      <c r="EG67" s="356"/>
      <c r="EH67" s="356"/>
      <c r="EI67" s="1087"/>
      <c r="EJ67" s="356"/>
      <c r="EK67" s="356"/>
      <c r="EL67" s="1087"/>
      <c r="EM67" s="356"/>
      <c r="EN67" s="356"/>
      <c r="EO67" s="1087"/>
      <c r="EP67" s="356"/>
      <c r="EQ67" s="356"/>
      <c r="ER67" s="1087"/>
      <c r="ES67" s="356"/>
      <c r="ET67" s="356"/>
      <c r="EU67" s="1087"/>
      <c r="EV67" s="356"/>
      <c r="EW67" s="356"/>
      <c r="EX67" s="1087"/>
      <c r="EY67" s="356"/>
      <c r="EZ67" s="356"/>
      <c r="FA67" s="356"/>
    </row>
    <row r="68" spans="1:157" ht="13.35" customHeight="1">
      <c r="A68" s="5"/>
      <c r="B68" s="5" t="s">
        <v>321</v>
      </c>
      <c r="C68" s="5"/>
      <c r="D68" s="362"/>
      <c r="E68" s="363"/>
      <c r="F68" s="363"/>
      <c r="G68" s="363"/>
      <c r="H68" s="363"/>
      <c r="I68" s="363"/>
      <c r="J68" s="363"/>
      <c r="K68" s="363"/>
      <c r="L68" s="363"/>
      <c r="M68" s="363"/>
      <c r="N68" s="363"/>
      <c r="O68" s="363"/>
      <c r="P68" s="363"/>
      <c r="Q68" s="363"/>
      <c r="R68" s="363"/>
      <c r="S68" s="363"/>
      <c r="T68" s="363"/>
      <c r="U68" s="363"/>
      <c r="V68" s="363"/>
      <c r="W68" s="363"/>
      <c r="X68" s="363"/>
      <c r="Y68" s="363"/>
      <c r="Z68" s="363"/>
      <c r="AA68" s="363"/>
      <c r="AB68" s="363"/>
      <c r="AC68" s="363"/>
      <c r="AD68" s="363"/>
      <c r="AE68" s="363"/>
      <c r="AF68" s="363"/>
      <c r="AG68" s="363"/>
      <c r="AH68" s="363"/>
      <c r="AI68" s="363"/>
      <c r="AJ68" s="363"/>
      <c r="AK68" s="363"/>
      <c r="AL68" s="363"/>
      <c r="AM68" s="363"/>
      <c r="AN68" s="363"/>
      <c r="AO68" s="363"/>
      <c r="AP68" s="363"/>
      <c r="AQ68" s="363"/>
      <c r="AR68" s="363"/>
      <c r="AS68" s="363"/>
      <c r="AT68" s="363"/>
      <c r="AU68" s="363"/>
      <c r="AV68" s="363"/>
      <c r="AW68" s="363"/>
      <c r="AX68" s="363"/>
      <c r="AY68" s="363"/>
      <c r="AZ68" s="363"/>
      <c r="BA68" s="363"/>
      <c r="BB68" s="363"/>
      <c r="BC68" s="363"/>
      <c r="BD68" s="363" t="str">
        <f>IF(AND(BD67&lt;&gt;"",BD65&lt;&gt;""),IF(((BD67/2)*BD65)&lt;BD64,(BD67/2)*BD65,BD64),"")</f>
        <v/>
      </c>
      <c r="BE68" s="363" t="str">
        <f>IF(BF68&lt;&gt;"",BF68-BD68,"")</f>
        <v/>
      </c>
      <c r="BF68" s="363" t="str">
        <f>IF(AND(BF67&lt;&gt;"",BF65&lt;&gt;""),IF((BF67*BF65)&lt;BF64,BF67*BF65,BF64),"")</f>
        <v/>
      </c>
      <c r="BG68" s="363" t="str">
        <f>IF(AND(BG67&lt;&gt;"",BG65&lt;&gt;""),IF(((BG67/2)*BG65)&lt;BG64,(BG67/2)*BG65,BG64),"")</f>
        <v/>
      </c>
      <c r="BH68" s="363" t="str">
        <f>IF(BI68&lt;&gt;"",BI68-BG68,"")</f>
        <v/>
      </c>
      <c r="BI68" s="363" t="str">
        <f>IF(AND(BI67&lt;&gt;"",BI65&lt;&gt;""),IF((BI67*BI65)&lt;BI64,BI67*BI65,BI64),"")</f>
        <v/>
      </c>
      <c r="BJ68" s="363" t="str">
        <f>IF(AND(BJ67&lt;&gt;"",BJ65&lt;&gt;""),IF(((BJ67/2)*BJ65)&lt;BJ64,(BJ67/2)*BJ65,BJ64),"")</f>
        <v/>
      </c>
      <c r="BK68" s="363" t="str">
        <f>IF(BL68&lt;&gt;"",BL68-BJ68,"")</f>
        <v/>
      </c>
      <c r="BL68" s="363" t="str">
        <f>IF(AND(BL67&lt;&gt;"",BL65&lt;&gt;""),IF((BL67*BL65)&lt;BL64,BL67*BL65,BL64),"")</f>
        <v/>
      </c>
      <c r="BM68" s="363" t="str">
        <f>IF(AND(BM67&lt;&gt;"",BM65&lt;&gt;""),IF(((BM67/2)*BM65)&lt;BM64,(BM67/2)*BM65,BM64),"")</f>
        <v/>
      </c>
      <c r="BN68" s="363" t="str">
        <f>IF(BO68&lt;&gt;"",BO68-BM68,"")</f>
        <v/>
      </c>
      <c r="BO68" s="363" t="str">
        <f>IF(AND(BO67&lt;&gt;"",BO65&lt;&gt;""),IF((BO67*BO65)&lt;BO64,BO67*BO65,BO64),"")</f>
        <v/>
      </c>
      <c r="BP68" s="363" t="str">
        <f>IF(AND(BP67&lt;&gt;"",BP65&lt;&gt;""),IF(((BP67/2)*BP65)&lt;BP64,(BP67/2)*BP65,BP64),"")</f>
        <v/>
      </c>
      <c r="BQ68" s="363" t="str">
        <f>IF(BR68&lt;&gt;"",BR68-BP68,"")</f>
        <v/>
      </c>
      <c r="BR68" s="363" t="str">
        <f>IF(AND(BR67&lt;&gt;"",BR65&lt;&gt;""),IF((BR67*BR65)&lt;BR64,BR67*BR65,BR64),"")</f>
        <v/>
      </c>
      <c r="BS68" s="363" t="str">
        <f>IF(AND(BS67&lt;&gt;"",BS65&lt;&gt;""),IF(((BS67/2)*BS65)&lt;BS64,(BS67/2)*BS65,BS64),"")</f>
        <v/>
      </c>
      <c r="BT68" s="363" t="str">
        <f>IF(BU68&lt;&gt;"",BU68-BS68,"")</f>
        <v/>
      </c>
      <c r="BU68" s="363" t="str">
        <f>IF(AND(BU67&lt;&gt;"",BU65&lt;&gt;""),IF((BU67*BU65)&lt;BU64,BU67*BU65,BU64),"")</f>
        <v/>
      </c>
      <c r="BV68" s="363" t="str">
        <f>IF(AND(BV67&lt;&gt;"",BV65&lt;&gt;""),IF(((BV67/2)*BV65)&lt;BV64,(BV67/2)*BV65,BV64),"")</f>
        <v/>
      </c>
      <c r="BW68" s="363" t="str">
        <f>IF(BX68&lt;&gt;"",BX68-BV68,"")</f>
        <v/>
      </c>
      <c r="BX68" s="363" t="str">
        <f>IF(AND(BX67&lt;&gt;"",BX65&lt;&gt;""),IF((BX67*BX65)&lt;BX64,BX67*BX65,BX64),"")</f>
        <v/>
      </c>
      <c r="BY68" s="363" t="str">
        <f>IF(AND(BY67&lt;&gt;"",BY65&lt;&gt;""),IF(((BY67/2)*BY65)&lt;BY64,(BY67/2)*BY65,BY64),"")</f>
        <v/>
      </c>
      <c r="BZ68" s="363" t="str">
        <f>IF(CA68&lt;&gt;"",CA68-BY68,"")</f>
        <v/>
      </c>
      <c r="CA68" s="363" t="str">
        <f>IF(AND(CA67&lt;&gt;"",CA65&lt;&gt;""),IF((CA67*CA65)&lt;CA64,CA67*CA65,CA64),"")</f>
        <v/>
      </c>
      <c r="CB68" s="363" t="str">
        <f>IF(AND(CB67&lt;&gt;"",CB65&lt;&gt;""),IF(((CB67/2)*CB65)&lt;CB64,(CB67/2)*CB65,CB64),"")</f>
        <v/>
      </c>
      <c r="CC68" s="363" t="str">
        <f>IF(CD68&lt;&gt;"",CD68-CB68,"")</f>
        <v/>
      </c>
      <c r="CD68" s="363" t="str">
        <f>IF(AND(CD67&lt;&gt;"",CD65&lt;&gt;""),IF((CD67*CD65)&lt;CD64,CD67*CD65,CD64),"")</f>
        <v/>
      </c>
      <c r="CE68" s="363" t="str">
        <f>IF(AND(CE67&lt;&gt;"",CE65&lt;&gt;""),IF(((CE67/2)*CE65)&lt;CE64,(CE67/2)*CE65,CE64),"")</f>
        <v/>
      </c>
      <c r="CF68" s="363" t="str">
        <f>IF(CG68&lt;&gt;"",CG68-CE68,"")</f>
        <v/>
      </c>
      <c r="CG68" s="363" t="str">
        <f>IF(AND(CG67&lt;&gt;"",CG65&lt;&gt;""),IF((CG67*CG65)&lt;CG64,CG67*CG65,CG64),"")</f>
        <v/>
      </c>
      <c r="CH68" s="363" t="str">
        <f>IF(AND(CH67&lt;&gt;"",CH65&lt;&gt;""),IF(((CH67/2)*CH65)&lt;CH64,(CH67/2)*CH65,CH64),"")</f>
        <v/>
      </c>
      <c r="CI68" s="363" t="str">
        <f>IF(CJ68&lt;&gt;"",CJ68-CH68,"")</f>
        <v/>
      </c>
      <c r="CJ68" s="363" t="str">
        <f>IF(AND(CJ67&lt;&gt;"",CJ65&lt;&gt;""),IF((CJ67*CJ65)&lt;CJ64,CJ67*CJ65,CJ64),"")</f>
        <v/>
      </c>
      <c r="CK68" s="363" t="str">
        <f>IF(AND(CK67&lt;&gt;"",CK65&lt;&gt;""),IF(((CK67/2)*CK65)&lt;CK64,(CK67/2)*CK65,CK64),"")</f>
        <v/>
      </c>
      <c r="CL68" s="363" t="str">
        <f>IF(CM68&lt;&gt;"",CM68-CK68,"")</f>
        <v/>
      </c>
      <c r="CM68" s="363" t="str">
        <f>IF(AND(CM67&lt;&gt;"",CM65&lt;&gt;""),IF((CM67*CM65)&lt;CM64,CM67*CM65,CM64),"")</f>
        <v/>
      </c>
      <c r="CN68" s="363" t="str">
        <f>IF(AND(CN67&lt;&gt;"",CN65&lt;&gt;""),IF(((CN67/2)*CN65)&lt;CN64,(CN67/2)*CN65,CN64),"")</f>
        <v/>
      </c>
      <c r="CO68" s="363" t="str">
        <f>IF(CP68&lt;&gt;"",CP68-CN68,"")</f>
        <v/>
      </c>
      <c r="CP68" s="363" t="str">
        <f>IF(AND(CP67&lt;&gt;"",CP65&lt;&gt;""),IF((CP67*CP65)&lt;CP64,CP67*CP65,CP64),"")</f>
        <v/>
      </c>
      <c r="CQ68" s="363" t="str">
        <f>IF(AND(CQ67&lt;&gt;"",CQ65&lt;&gt;""),IF(((CQ67/2)*CQ65)&lt;CQ64,(CQ67/2)*CQ65,CQ64),"")</f>
        <v/>
      </c>
      <c r="CR68" s="363" t="str">
        <f>IF(CS68&lt;&gt;"",CS68-CQ68,"")</f>
        <v/>
      </c>
      <c r="CS68" s="363" t="str">
        <f>IF(AND(CS67&lt;&gt;"",CS65&lt;&gt;""),IF((CS67*CS65)&lt;CS64,CS67*CS65,CS64),"")</f>
        <v/>
      </c>
      <c r="CT68" s="363" t="str">
        <f>IF(AND(CT67&lt;&gt;"",CT65&lt;&gt;""),IF(((CT67/2)*CT65)&lt;CT64,(CT67/2)*CT65,CT64),"")</f>
        <v/>
      </c>
      <c r="CU68" s="363" t="str">
        <f>IF(CV68&lt;&gt;"",CV68-CT68,"")</f>
        <v/>
      </c>
      <c r="CV68" s="363" t="str">
        <f>IF(AND(CV67&lt;&gt;"",CV65&lt;&gt;""),IF((CV67*CV65)&lt;CV64,CV67*CV65,CV64),"")</f>
        <v/>
      </c>
      <c r="CW68" s="363" t="str">
        <f>IF(AND(CW67&lt;&gt;"",CW65&lt;&gt;""),IF(((CW67/2)*CW65)&lt;CW64,(CW67/2)*CW65,CW64),"")</f>
        <v/>
      </c>
      <c r="CX68" s="363" t="str">
        <f>IF(CY68&lt;&gt;"",CY68-CW68,"")</f>
        <v/>
      </c>
      <c r="CY68" s="363" t="str">
        <f>IF(AND(CY67&lt;&gt;"",CY65&lt;&gt;""),IF((CY67*CY65)&lt;CY64,CY67*CY65,CY64),"")</f>
        <v/>
      </c>
      <c r="CZ68" s="363" t="str">
        <f>IF(AND(CZ67&lt;&gt;"",CZ65&lt;&gt;""),IF(((CZ67/2)*CZ65)&lt;CZ64,(CZ67/2)*CZ65,CZ64),"")</f>
        <v/>
      </c>
      <c r="DA68" s="363" t="str">
        <f>IF(DB68&lt;&gt;"",DB68-CZ68,"")</f>
        <v/>
      </c>
      <c r="DB68" s="363" t="str">
        <f>IF(AND(DB67&lt;&gt;"",DB65&lt;&gt;""),IF((DB67*DB65)&lt;DB64,DB67*DB65,DB64),"")</f>
        <v/>
      </c>
      <c r="DC68" s="363" t="str">
        <f>IF(AND(DC67&lt;&gt;"",DC65&lt;&gt;""),IF(((DC67/2)*DC65)&lt;DC64,(DC67/2)*DC65,DC64),"")</f>
        <v/>
      </c>
      <c r="DD68" s="363" t="str">
        <f>IF(DE68&lt;&gt;"",DE68-DC68,"")</f>
        <v/>
      </c>
      <c r="DE68" s="363" t="str">
        <f>IF(AND(DE67&lt;&gt;"",DE65&lt;&gt;""),IF((DE67*DE65)&lt;DE64,DE67*DE65,DE64),"")</f>
        <v/>
      </c>
      <c r="DF68" s="363" t="str">
        <f>IF(AND(DF67&lt;&gt;"",DF65&lt;&gt;""),IF(((DF67/2)*DF65)&lt;DF64,(DF67/2)*DF65,DF64),"")</f>
        <v/>
      </c>
      <c r="DG68" s="363" t="str">
        <f>IF(DH68&lt;&gt;"",DH68-DF68,"")</f>
        <v/>
      </c>
      <c r="DH68" s="363" t="str">
        <f>IF(AND(DH67&lt;&gt;"",DH65&lt;&gt;""),IF((DH67*DH65)&lt;DH64,DH67*DH65,DH64),"")</f>
        <v/>
      </c>
      <c r="DI68" s="363" t="str">
        <f>IF(AND(DI67&lt;&gt;"",DI65&lt;&gt;""),IF(((DI67/2)*DI65)&lt;DI64,(DI67/2)*DI65,DI64),"")</f>
        <v/>
      </c>
      <c r="DJ68" s="363" t="str">
        <f>IF(DK68&lt;&gt;"",DK68-DI68,"")</f>
        <v/>
      </c>
      <c r="DK68" s="1210" t="str">
        <f>IF(AND(DK67&lt;&gt;"",DK65&lt;&gt;""),IF((DK67*DK65)&lt;DK64,DK67*DK65,DK64),"")</f>
        <v/>
      </c>
      <c r="DL68" s="363" t="str">
        <f>IF(AND(DL67&lt;&gt;"",DL65&lt;&gt;""),IF(((DL67/2)*DL65)&lt;DL64,(DL67/2)*DL65,DL64),"")</f>
        <v/>
      </c>
      <c r="DM68" s="363" t="str">
        <f>IF(DN68&lt;&gt;"",DN68-DL68,"")</f>
        <v/>
      </c>
      <c r="DN68" s="1210" t="str">
        <f>IF(AND(DN67&lt;&gt;"",DN65&lt;&gt;""),IF((DN67*DN65)&lt;DN64,DN67*DN65,DN64),"")</f>
        <v/>
      </c>
      <c r="DO68" s="363" t="str">
        <f>IF(AND(DO67&lt;&gt;"",DO65&lt;&gt;""),IF(((DO67/2)*DO65)&lt;DO64,(DO67/2)*DO65,DO64),"")</f>
        <v/>
      </c>
      <c r="DP68" s="363" t="str">
        <f>IF(DQ68&lt;&gt;"",DQ68-DO68,"")</f>
        <v/>
      </c>
      <c r="DQ68" s="1210" t="str">
        <f>IF(AND(DQ67&lt;&gt;"",DQ65&lt;&gt;""),IF((DQ67*DQ65)&lt;DQ64,DQ67*DQ65,DQ64),"")</f>
        <v/>
      </c>
      <c r="DR68" s="363" t="str">
        <f>IF(AND(DR67&lt;&gt;"",DR65&lt;&gt;""),IF(((DR67/2)*DR65)&lt;DR64,(DR67/2)*DR65,DR64),"")</f>
        <v/>
      </c>
      <c r="DS68" s="363" t="str">
        <f>IF(DT68&lt;&gt;"",DT68-DR68,"")</f>
        <v/>
      </c>
      <c r="DT68" s="1210" t="str">
        <f>IF(AND(DT67&lt;&gt;"",DT65&lt;&gt;""),IF((DT67*DT65)&lt;DT64,DT67*DT65,DT64),"")</f>
        <v/>
      </c>
      <c r="DU68" s="363" t="str">
        <f>IF(AND(DU67&lt;&gt;"",DU65&lt;&gt;""),IF(((DU67/2)*DU65)&lt;DU64,(DU67/2)*DU65,DU64),"")</f>
        <v/>
      </c>
      <c r="DV68" s="363" t="str">
        <f>IF(DW68&lt;&gt;"",DW68-DU68,"")</f>
        <v/>
      </c>
      <c r="DW68" s="1210" t="str">
        <f>IF(AND(DW67&lt;&gt;"",DW65&lt;&gt;""),IF((DW67*DW65)&lt;DW64,DW67*DW65,DW64),"")</f>
        <v/>
      </c>
      <c r="DX68" s="363" t="str">
        <f>IF(AND(DX67&lt;&gt;"",DX65&lt;&gt;""),IF(((DX67/2)*DX65)&lt;DX64,(DX67/2)*DX65,DX64),"")</f>
        <v/>
      </c>
      <c r="DY68" s="363" t="str">
        <f>IF(DZ68&lt;&gt;"",DZ68-DX68,"")</f>
        <v/>
      </c>
      <c r="DZ68" s="1210" t="str">
        <f>IF(AND(DZ67&lt;&gt;"",DZ65&lt;&gt;""),IF((DZ67*DZ65)&lt;DZ64,DZ67*DZ65,DZ64),"")</f>
        <v/>
      </c>
      <c r="EA68" s="363" t="str">
        <f>IF(AND(EA67&lt;&gt;"",EA65&lt;&gt;""),IF(((EA67/2)*EA65)&lt;EA64,(EA67/2)*EA65,EA64),"")</f>
        <v/>
      </c>
      <c r="EB68" s="363" t="str">
        <f>IF(EC68&lt;&gt;"",EC68-EA68,"")</f>
        <v/>
      </c>
      <c r="EC68" s="1210" t="str">
        <f>IF(AND(EC67&lt;&gt;"",EC65&lt;&gt;""),IF((EC67*EC65)&lt;EC64,EC67*EC65,EC64),"")</f>
        <v/>
      </c>
      <c r="ED68" s="363" t="str">
        <f>IF(AND(ED67&lt;&gt;"",ED65&lt;&gt;""),IF(((ED67/2)*ED65)&lt;ED64,(ED67/2)*ED65,ED64),"")</f>
        <v/>
      </c>
      <c r="EE68" s="363" t="str">
        <f>IF(EF68&lt;&gt;"",EF68-ED68,"")</f>
        <v/>
      </c>
      <c r="EF68" s="1210" t="str">
        <f>IF(AND(EF67&lt;&gt;"",EF65&lt;&gt;""),IF((EF67*EF65)&lt;EF64,EF67*EF65,EF64),"")</f>
        <v/>
      </c>
      <c r="EG68" s="363" t="str">
        <f>IF(AND(EG67&lt;&gt;"",EG65&lt;&gt;""),IF(((EG67/2)*EG65)&lt;EG64,(EG67/2)*EG65,EG64),"")</f>
        <v/>
      </c>
      <c r="EH68" s="363" t="str">
        <f>IF(EI68&lt;&gt;"",EI68-EG68,"")</f>
        <v/>
      </c>
      <c r="EI68" s="1210" t="str">
        <f>IF(AND(EI67&lt;&gt;"",EI65&lt;&gt;""),IF((EI67*EI65)&lt;EI64,EI67*EI65,EI64),"")</f>
        <v/>
      </c>
      <c r="EJ68" s="363" t="str">
        <f>IF(AND(EJ67&lt;&gt;"",EJ65&lt;&gt;""),IF(((EJ67/2)*EJ65)&lt;EJ64,(EJ67/2)*EJ65,EJ64),"")</f>
        <v/>
      </c>
      <c r="EK68" s="363" t="str">
        <f>IF(EL68&lt;&gt;"",EL68-EJ68,"")</f>
        <v/>
      </c>
      <c r="EL68" s="1210" t="str">
        <f>IF(AND(EL67&lt;&gt;"",EL65&lt;&gt;""),IF((EL67*EL65)&lt;EL64,EL67*EL65,EL64),"")</f>
        <v/>
      </c>
      <c r="EM68" s="363" t="str">
        <f>IF(AND(EM67&lt;&gt;"",EM65&lt;&gt;""),IF(((EM67/2)*EM65)&lt;EM64,(EM67/2)*EM65,EM64),"")</f>
        <v/>
      </c>
      <c r="EN68" s="363" t="str">
        <f>IF(EO68&lt;&gt;"",EO68-EM68,"")</f>
        <v/>
      </c>
      <c r="EO68" s="1210" t="str">
        <f>IF(AND(EO67&lt;&gt;"",EO65&lt;&gt;""),IF((EO67*EO65)&lt;EO64,EO67*EO65,EO64),"")</f>
        <v/>
      </c>
      <c r="EP68" s="363" t="str">
        <f>IF(AND(EP67&lt;&gt;"",EP65&lt;&gt;""),IF(((EP67/2)*EP65)&lt;EP64,(EP67/2)*EP65,EP64),"")</f>
        <v/>
      </c>
      <c r="EQ68" s="363" t="str">
        <f>IF(ER68&lt;&gt;"",ER68-EP68,"")</f>
        <v/>
      </c>
      <c r="ER68" s="1210" t="str">
        <f>IF(AND(ER67&lt;&gt;"",ER65&lt;&gt;""),IF((ER67*ER65)&lt;ER64,ER67*ER65,ER64),"")</f>
        <v/>
      </c>
      <c r="ES68" s="363" t="str">
        <f>IF(AND(ES67&lt;&gt;"",ES65&lt;&gt;""),IF(((ES67/2)*ES65)&lt;ES64,(ES67/2)*ES65,ES64),"")</f>
        <v/>
      </c>
      <c r="ET68" s="363" t="str">
        <f>IF(EU68&lt;&gt;"",EU68-ES68,"")</f>
        <v/>
      </c>
      <c r="EU68" s="1210" t="str">
        <f>IF(AND(EU67&lt;&gt;"",EU65&lt;&gt;""),IF((EU67*EU65)&lt;EU64,EU67*EU65,EU64),"")</f>
        <v/>
      </c>
      <c r="EV68" s="363" t="str">
        <f>IF(AND(EV67&lt;&gt;"",EV65&lt;&gt;""),IF(((EV67/2)*EV65)&lt;EV64,(EV67/2)*EV65,EV64),"")</f>
        <v/>
      </c>
      <c r="EW68" s="363" t="str">
        <f>IF(EX68&lt;&gt;"",EX68-EV68,"")</f>
        <v/>
      </c>
      <c r="EX68" s="1210" t="str">
        <f>IF(AND(EX67&lt;&gt;"",EX65&lt;&gt;""),IF((EX67*EX65)&lt;EX64,EX67*EX65,EX64),"")</f>
        <v/>
      </c>
      <c r="EY68" s="363" t="str">
        <f>IF(AND(EY67&lt;&gt;"",EY65&lt;&gt;""),IF(((EY67/2)*EY65)&lt;EY64,(EY67/2)*EY65,EY64),"")</f>
        <v/>
      </c>
      <c r="EZ68" s="363" t="str">
        <f>IF(FA68&lt;&gt;"",FA68-EY68,"")</f>
        <v/>
      </c>
      <c r="FA68" s="363" t="str">
        <f>IF(AND(FA67&lt;&gt;"",FA65&lt;&gt;""),IF((FA67*FA65)&lt;FA64,FA67*FA65,FA64),"")</f>
        <v/>
      </c>
    </row>
    <row r="69" spans="1:157" ht="13.35" customHeight="1">
      <c r="A69" s="5"/>
      <c r="B69" s="5" t="s">
        <v>322</v>
      </c>
      <c r="C69" s="5"/>
      <c r="D69" s="362"/>
      <c r="E69" s="363" t="str">
        <f>IF(Model!E70&lt;&gt;"",Model!E70,"")</f>
        <v/>
      </c>
      <c r="F69" s="363" t="str">
        <f>IF(AND(G69&lt;&gt;"",E69&lt;&gt;""),G69-E69,"")</f>
        <v/>
      </c>
      <c r="G69" s="363" t="str">
        <f>IF(Model!G70&lt;&gt;"",Model!G70,"")</f>
        <v/>
      </c>
      <c r="H69" s="363" t="str">
        <f>IF(Model!H70&lt;&gt;"",Model!H70,"")</f>
        <v/>
      </c>
      <c r="I69" s="363" t="str">
        <f>IF(AND(J69&lt;&gt;"",H69&lt;&gt;""),J69-H69,"")</f>
        <v/>
      </c>
      <c r="J69" s="363" t="str">
        <f>IF(Model!J70&lt;&gt;"",Model!J70,"")</f>
        <v/>
      </c>
      <c r="K69" s="363" t="str">
        <f>IF(Model!K70&lt;&gt;"",Model!K70,"")</f>
        <v/>
      </c>
      <c r="L69" s="363" t="str">
        <f>IF(AND(M69&lt;&gt;"",K69&lt;&gt;""),M69-K69,"")</f>
        <v/>
      </c>
      <c r="M69" s="363" t="str">
        <f>IF(Model!M70&lt;&gt;"",Model!M70,"")</f>
        <v/>
      </c>
      <c r="N69" s="363" t="str">
        <f>IF(Model!N70&lt;&gt;"",Model!N70,"")</f>
        <v/>
      </c>
      <c r="O69" s="363" t="str">
        <f>IF(AND(P69&lt;&gt;"",N69&lt;&gt;""),P69-N69,"")</f>
        <v/>
      </c>
      <c r="P69" s="363" t="str">
        <f>IF(Model!P70&lt;&gt;"",Model!P70,"")</f>
        <v/>
      </c>
      <c r="Q69" s="363" t="str">
        <f>IF(Model!Q70&lt;&gt;"",Model!Q70,"")</f>
        <v/>
      </c>
      <c r="R69" s="363" t="str">
        <f>IF(AND(S69&lt;&gt;"",Q69&lt;&gt;""),S69-Q69,"")</f>
        <v/>
      </c>
      <c r="S69" s="363" t="str">
        <f>IF(Model!S70&lt;&gt;"",Model!S70,"")</f>
        <v/>
      </c>
      <c r="T69" s="363" t="str">
        <f>IF(Model!T70&lt;&gt;"",Model!T70,"")</f>
        <v/>
      </c>
      <c r="U69" s="363" t="str">
        <f>IF(AND(V69&lt;&gt;"",T69&lt;&gt;""),V69-T69,"")</f>
        <v/>
      </c>
      <c r="V69" s="363" t="str">
        <f>IF(Model!V70&lt;&gt;"",Model!V70,"")</f>
        <v/>
      </c>
      <c r="W69" s="363" t="str">
        <f>IF(Model!W70&lt;&gt;"",Model!W70,"")</f>
        <v/>
      </c>
      <c r="X69" s="363" t="str">
        <f>IF(AND(Y69&lt;&gt;"",W69&lt;&gt;""),Y69-W69,"")</f>
        <v/>
      </c>
      <c r="Y69" s="363" t="str">
        <f>IF(Model!Y70&lt;&gt;"",Model!Y70,"")</f>
        <v/>
      </c>
      <c r="Z69" s="363" t="str">
        <f>IF(Model!Z70&lt;&gt;"",Model!Z70,"")</f>
        <v/>
      </c>
      <c r="AA69" s="363" t="str">
        <f>IF(AND(AB69&lt;&gt;"",Z69&lt;&gt;""),AB69-Z69,"")</f>
        <v/>
      </c>
      <c r="AB69" s="363" t="str">
        <f>IF(Model!AB70&lt;&gt;"",Model!AB70,"")</f>
        <v/>
      </c>
      <c r="AC69" s="363" t="str">
        <f>IF(Model!AC70&lt;&gt;"",Model!AC70,"")</f>
        <v/>
      </c>
      <c r="AD69" s="363" t="str">
        <f>IF(AND(AE69&lt;&gt;"",AC69&lt;&gt;""),AE69-AC69,"")</f>
        <v/>
      </c>
      <c r="AE69" s="363" t="str">
        <f>IF(Model!AE70&lt;&gt;"",Model!AE70,"")</f>
        <v/>
      </c>
      <c r="AF69" s="363" t="str">
        <f>IF(Model!AF70&lt;&gt;"",Model!AF70,"")</f>
        <v/>
      </c>
      <c r="AG69" s="363" t="str">
        <f>IF(AND(AH69&lt;&gt;"",AF69&lt;&gt;""),AH69-AF69,"")</f>
        <v/>
      </c>
      <c r="AH69" s="363" t="str">
        <f>IF(Model!AH70&lt;&gt;"",Model!AH70,"")</f>
        <v/>
      </c>
      <c r="AI69" s="363" t="str">
        <f>IF(Model!AI70&lt;&gt;"",Model!AI70,"")</f>
        <v/>
      </c>
      <c r="AJ69" s="363" t="str">
        <f>IF(AND(AK69&lt;&gt;"",AI69&lt;&gt;""),AK69-AI69,"")</f>
        <v/>
      </c>
      <c r="AK69" s="363">
        <f>IF(Model!AK70&lt;&gt;"",Model!AK70,"")</f>
        <v>0</v>
      </c>
      <c r="AL69" s="363" t="str">
        <f>IF(Model!AL70&lt;&gt;"",Model!AL70,"")</f>
        <v/>
      </c>
      <c r="AM69" s="363" t="str">
        <f>IF(AND(AN69&lt;&gt;"",AL69&lt;&gt;""),AN69-AL69,"")</f>
        <v/>
      </c>
      <c r="AN69" s="363">
        <f>IF(Model!AN70&lt;&gt;"",Model!AN70,"")</f>
        <v>0</v>
      </c>
      <c r="AO69" s="363" t="str">
        <f>IF(Model!AO70&lt;&gt;"",Model!AO70,"")</f>
        <v/>
      </c>
      <c r="AP69" s="363" t="str">
        <f>IF(AND(AQ69&lt;&gt;"",AO69&lt;&gt;""),AQ69-AO69,"")</f>
        <v/>
      </c>
      <c r="AQ69" s="363">
        <f>IF(Model!AQ70&lt;&gt;"",Model!AQ70,"")</f>
        <v>0</v>
      </c>
      <c r="AR69" s="363" t="str">
        <f>IF(Model!AR70&lt;&gt;"",Model!AR70,"")</f>
        <v/>
      </c>
      <c r="AS69" s="363" t="str">
        <f>IF(AND(AT69&lt;&gt;"",AR69&lt;&gt;""),AT69-AR69,"")</f>
        <v/>
      </c>
      <c r="AT69" s="363">
        <f>IF(Model!AT70&lt;&gt;"",Model!AT70,"")</f>
        <v>0</v>
      </c>
      <c r="AU69" s="363" t="str">
        <f>IF(Model!AU70&lt;&gt;"",Model!AU70,"")</f>
        <v/>
      </c>
      <c r="AV69" s="363" t="str">
        <f>IF(AND(AW69&lt;&gt;"",AU69&lt;&gt;""),AW69-AU69,"")</f>
        <v/>
      </c>
      <c r="AW69" s="363">
        <f>IF(Model!AW70&lt;&gt;"",Model!AW70,"")</f>
        <v>0</v>
      </c>
      <c r="AX69" s="363">
        <f>IF(Model!AX70&lt;&gt;"",Model!AX70,"")</f>
        <v>0</v>
      </c>
      <c r="AY69" s="363">
        <f>IF(AND(AZ69&lt;&gt;"",AX69&lt;&gt;""),AZ69-AX69,"")</f>
        <v>0</v>
      </c>
      <c r="AZ69" s="363">
        <f>IF(Model!AZ70&lt;&gt;"",Model!AZ70,"")</f>
        <v>0</v>
      </c>
      <c r="BA69" s="363">
        <f>IF(Model!BA70&lt;&gt;"",Model!BA70,"")</f>
        <v>0</v>
      </c>
      <c r="BB69" s="363">
        <f>IF(AND(BC69&lt;&gt;"",BA69&lt;&gt;""),BC69-BA69,"")</f>
        <v>0</v>
      </c>
      <c r="BC69" s="363">
        <f>IF(Model!BC70&lt;&gt;"",Model!BC70,"")</f>
        <v>0</v>
      </c>
      <c r="BD69" s="359"/>
      <c r="BE69" s="363" t="str">
        <f>IF(AND(BF69&lt;&gt;"",BD69&lt;&gt;""),BF69-BD69,"")</f>
        <v/>
      </c>
      <c r="BF69" s="359"/>
      <c r="BG69" s="359"/>
      <c r="BH69" s="363" t="str">
        <f>IF(AND(BI69&lt;&gt;"",BG69&lt;&gt;""),BI69-BG69,"")</f>
        <v/>
      </c>
      <c r="BI69" s="359"/>
      <c r="BJ69" s="359"/>
      <c r="BK69" s="363" t="str">
        <f>IF(AND(BL69&lt;&gt;"",BJ69&lt;&gt;""),BL69-BJ69,"")</f>
        <v/>
      </c>
      <c r="BL69" s="359"/>
      <c r="BM69" s="359">
        <v>0</v>
      </c>
      <c r="BN69" s="363">
        <v>0</v>
      </c>
      <c r="BO69" s="359">
        <f>SUM(BM69:BN69)</f>
        <v>0</v>
      </c>
      <c r="BP69" s="359">
        <f>BN69</f>
        <v>0</v>
      </c>
      <c r="BQ69" s="363">
        <f>IF(AND(BR69&lt;&gt;"",BP69&lt;&gt;""),BR69-BP69,"")</f>
        <v>0</v>
      </c>
      <c r="BR69" s="359">
        <f>2*BP69</f>
        <v>0</v>
      </c>
      <c r="BS69" s="359">
        <f>BP69</f>
        <v>0</v>
      </c>
      <c r="BT69" s="363">
        <f>IF(AND(BU69&lt;&gt;"",BS69&lt;&gt;""),BU69-BS69,"")</f>
        <v>0</v>
      </c>
      <c r="BU69" s="359">
        <f>BR69</f>
        <v>0</v>
      </c>
      <c r="BV69" s="359">
        <f>BS69</f>
        <v>0</v>
      </c>
      <c r="BW69" s="363">
        <f>IF(AND(BX69&lt;&gt;"",BV69&lt;&gt;""),BX69-BV69,"")</f>
        <v>0</v>
      </c>
      <c r="BX69" s="359">
        <f>BU69</f>
        <v>0</v>
      </c>
      <c r="BY69" s="359">
        <f>BV69</f>
        <v>0</v>
      </c>
      <c r="BZ69" s="363">
        <f>IF(AND(CA69&lt;&gt;"",BY69&lt;&gt;""),CA69-BY69,"")</f>
        <v>0</v>
      </c>
      <c r="CA69" s="359">
        <f>BX69</f>
        <v>0</v>
      </c>
      <c r="CB69" s="359">
        <f>BY69</f>
        <v>0</v>
      </c>
      <c r="CC69" s="363">
        <f>IF(AND(CD69&lt;&gt;"",CB69&lt;&gt;""),CD69-CB69,"")</f>
        <v>0</v>
      </c>
      <c r="CD69" s="359">
        <f>CA69</f>
        <v>0</v>
      </c>
      <c r="CE69" s="359">
        <f>CB69</f>
        <v>0</v>
      </c>
      <c r="CF69" s="363">
        <f>IF(AND(CG69&lt;&gt;"",CE69&lt;&gt;""),CG69-CE69,"")</f>
        <v>0</v>
      </c>
      <c r="CG69" s="359">
        <f>CD69</f>
        <v>0</v>
      </c>
      <c r="CH69" s="359">
        <f>CE69</f>
        <v>0</v>
      </c>
      <c r="CI69" s="363">
        <f>IF(AND(CJ69&lt;&gt;"",CH69&lt;&gt;""),CJ69-CH69,"")</f>
        <v>0</v>
      </c>
      <c r="CJ69" s="359">
        <f>CG69</f>
        <v>0</v>
      </c>
      <c r="CK69" s="359">
        <f>CH69</f>
        <v>0</v>
      </c>
      <c r="CL69" s="363">
        <f>IF(AND(CM69&lt;&gt;"",CK69&lt;&gt;""),CM69-CK69,"")</f>
        <v>0</v>
      </c>
      <c r="CM69" s="359">
        <f>CJ69</f>
        <v>0</v>
      </c>
      <c r="CN69" s="359">
        <f>CK69</f>
        <v>0</v>
      </c>
      <c r="CO69" s="363">
        <f>IF(AND(CP69&lt;&gt;"",CN69&lt;&gt;""),CP69-CN69,"")</f>
        <v>0</v>
      </c>
      <c r="CP69" s="359">
        <f>CM69</f>
        <v>0</v>
      </c>
      <c r="CQ69" s="359">
        <f>CN69</f>
        <v>0</v>
      </c>
      <c r="CR69" s="363">
        <f>IF(AND(CS69&lt;&gt;"",CQ69&lt;&gt;""),CS69-CQ69,"")</f>
        <v>0</v>
      </c>
      <c r="CS69" s="359">
        <f>CP69</f>
        <v>0</v>
      </c>
      <c r="CT69" s="359">
        <f>CQ69</f>
        <v>0</v>
      </c>
      <c r="CU69" s="363">
        <f>IF(AND(CV69&lt;&gt;"",CT69&lt;&gt;""),CV69-CT69,"")</f>
        <v>0</v>
      </c>
      <c r="CV69" s="359">
        <f>CS69</f>
        <v>0</v>
      </c>
      <c r="CW69" s="359">
        <f>CT69</f>
        <v>0</v>
      </c>
      <c r="CX69" s="363">
        <f>IF(AND(CY69&lt;&gt;"",CW69&lt;&gt;""),CY69-CW69,"")</f>
        <v>0</v>
      </c>
      <c r="CY69" s="359">
        <f>CV69</f>
        <v>0</v>
      </c>
      <c r="CZ69" s="359">
        <f>CW69</f>
        <v>0</v>
      </c>
      <c r="DA69" s="363">
        <f>IF(AND(DB69&lt;&gt;"",CZ69&lt;&gt;""),DB69-CZ69,"")</f>
        <v>0</v>
      </c>
      <c r="DB69" s="359">
        <f>CY69</f>
        <v>0</v>
      </c>
      <c r="DC69" s="359">
        <f>CZ69</f>
        <v>0</v>
      </c>
      <c r="DD69" s="363">
        <f>IF(AND(DE69&lt;&gt;"",DC69&lt;&gt;""),DE69-DC69,"")</f>
        <v>0</v>
      </c>
      <c r="DE69" s="359">
        <f>DB69</f>
        <v>0</v>
      </c>
      <c r="DF69" s="359">
        <f>DC69</f>
        <v>0</v>
      </c>
      <c r="DG69" s="363">
        <f>IF(AND(DH69&lt;&gt;"",DF69&lt;&gt;""),DH69-DF69,"")</f>
        <v>0</v>
      </c>
      <c r="DH69" s="359">
        <f>DE69</f>
        <v>0</v>
      </c>
      <c r="DI69" s="359">
        <f>DF69</f>
        <v>0</v>
      </c>
      <c r="DJ69" s="363">
        <f>IF(AND(DK69&lt;&gt;"",DI69&lt;&gt;""),DK69-DI69,"")</f>
        <v>0</v>
      </c>
      <c r="DK69" s="1208">
        <f>DH69</f>
        <v>0</v>
      </c>
      <c r="DL69" s="359">
        <f>DI69</f>
        <v>0</v>
      </c>
      <c r="DM69" s="363">
        <f>IF(AND(DN69&lt;&gt;"",DL69&lt;&gt;""),DN69-DL69,"")</f>
        <v>0</v>
      </c>
      <c r="DN69" s="1208">
        <f>DK69</f>
        <v>0</v>
      </c>
      <c r="DO69" s="359">
        <f>DL69</f>
        <v>0</v>
      </c>
      <c r="DP69" s="363">
        <f>IF(AND(DQ69&lt;&gt;"",DO69&lt;&gt;""),DQ69-DO69,"")</f>
        <v>0</v>
      </c>
      <c r="DQ69" s="1208">
        <f>DN69</f>
        <v>0</v>
      </c>
      <c r="DR69" s="359">
        <f>DO69</f>
        <v>0</v>
      </c>
      <c r="DS69" s="363">
        <f>IF(AND(DT69&lt;&gt;"",DR69&lt;&gt;""),DT69-DR69,"")</f>
        <v>0</v>
      </c>
      <c r="DT69" s="1208">
        <f>DQ69</f>
        <v>0</v>
      </c>
      <c r="DU69" s="359">
        <f>DR69</f>
        <v>0</v>
      </c>
      <c r="DV69" s="363">
        <f>IF(AND(DW69&lt;&gt;"",DU69&lt;&gt;""),DW69-DU69,"")</f>
        <v>0</v>
      </c>
      <c r="DW69" s="1208">
        <f>DT69</f>
        <v>0</v>
      </c>
      <c r="DX69" s="359">
        <f>DU69</f>
        <v>0</v>
      </c>
      <c r="DY69" s="363">
        <f>IF(AND(DZ69&lt;&gt;"",DX69&lt;&gt;""),DZ69-DX69,"")</f>
        <v>0</v>
      </c>
      <c r="DZ69" s="1208">
        <f>DW69</f>
        <v>0</v>
      </c>
      <c r="EA69" s="359">
        <f>DX69</f>
        <v>0</v>
      </c>
      <c r="EB69" s="363">
        <f>IF(AND(EC69&lt;&gt;"",EA69&lt;&gt;""),EC69-EA69,"")</f>
        <v>0</v>
      </c>
      <c r="EC69" s="1208">
        <f>DZ69</f>
        <v>0</v>
      </c>
      <c r="ED69" s="359">
        <f>EA69</f>
        <v>0</v>
      </c>
      <c r="EE69" s="363">
        <f>IF(AND(EF69&lt;&gt;"",ED69&lt;&gt;""),EF69-ED69,"")</f>
        <v>0</v>
      </c>
      <c r="EF69" s="1208">
        <f>EC69</f>
        <v>0</v>
      </c>
      <c r="EG69" s="359">
        <f>ED69</f>
        <v>0</v>
      </c>
      <c r="EH69" s="363">
        <f>IF(AND(EI69&lt;&gt;"",EG69&lt;&gt;""),EI69-EG69,"")</f>
        <v>0</v>
      </c>
      <c r="EI69" s="1208">
        <f>EF69</f>
        <v>0</v>
      </c>
      <c r="EJ69" s="359">
        <f>EG69</f>
        <v>0</v>
      </c>
      <c r="EK69" s="363">
        <f>IF(AND(EL69&lt;&gt;"",EJ69&lt;&gt;""),EL69-EJ69,"")</f>
        <v>0</v>
      </c>
      <c r="EL69" s="1208">
        <f>EI69</f>
        <v>0</v>
      </c>
      <c r="EM69" s="359">
        <f>EJ69</f>
        <v>0</v>
      </c>
      <c r="EN69" s="363">
        <f>IF(AND(EO69&lt;&gt;"",EM69&lt;&gt;""),EO69-EM69,"")</f>
        <v>0</v>
      </c>
      <c r="EO69" s="1208">
        <f>EL69</f>
        <v>0</v>
      </c>
      <c r="EP69" s="359">
        <f>EM69</f>
        <v>0</v>
      </c>
      <c r="EQ69" s="363">
        <f>IF(AND(ER69&lt;&gt;"",EP69&lt;&gt;""),ER69-EP69,"")</f>
        <v>0</v>
      </c>
      <c r="ER69" s="1208">
        <f>EO69</f>
        <v>0</v>
      </c>
      <c r="ES69" s="359">
        <f>EP69</f>
        <v>0</v>
      </c>
      <c r="ET69" s="363">
        <f>IF(AND(EU69&lt;&gt;"",ES69&lt;&gt;""),EU69-ES69,"")</f>
        <v>0</v>
      </c>
      <c r="EU69" s="1208">
        <f>ER69</f>
        <v>0</v>
      </c>
      <c r="EV69" s="359">
        <f>ES69</f>
        <v>0</v>
      </c>
      <c r="EW69" s="363">
        <f>IF(AND(EX69&lt;&gt;"",EV69&lt;&gt;""),EX69-EV69,"")</f>
        <v>0</v>
      </c>
      <c r="EX69" s="1208">
        <f>EU69</f>
        <v>0</v>
      </c>
      <c r="EY69" s="359">
        <f>EV69</f>
        <v>0</v>
      </c>
      <c r="EZ69" s="363">
        <f>IF(AND(FA69&lt;&gt;"",EY69&lt;&gt;""),FA69-EY69,"")</f>
        <v>0</v>
      </c>
      <c r="FA69" s="359">
        <f>EX69</f>
        <v>0</v>
      </c>
    </row>
    <row r="70" spans="1:157" ht="13.35" customHeight="1">
      <c r="A70" s="5"/>
      <c r="B70" s="5" t="s">
        <v>133</v>
      </c>
      <c r="C70" s="5"/>
      <c r="D70" s="362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1096"/>
      <c r="DL70" s="30"/>
      <c r="DM70" s="30"/>
      <c r="DN70" s="1096"/>
      <c r="DO70" s="30"/>
      <c r="DP70" s="30"/>
      <c r="DQ70" s="1096"/>
      <c r="DR70" s="30"/>
      <c r="DS70" s="30"/>
      <c r="DT70" s="1096"/>
      <c r="DU70" s="30"/>
      <c r="DV70" s="30"/>
      <c r="DW70" s="1096"/>
      <c r="DX70" s="30"/>
      <c r="DY70" s="30"/>
      <c r="DZ70" s="1096"/>
      <c r="EA70" s="30"/>
      <c r="EB70" s="30"/>
      <c r="EC70" s="1096"/>
      <c r="ED70" s="30"/>
      <c r="EE70" s="30"/>
      <c r="EF70" s="1096"/>
      <c r="EG70" s="30"/>
      <c r="EH70" s="30"/>
      <c r="EI70" s="1096"/>
      <c r="EJ70" s="30"/>
      <c r="EK70" s="30"/>
      <c r="EL70" s="1096"/>
      <c r="EM70" s="30"/>
      <c r="EN70" s="30"/>
      <c r="EO70" s="1096"/>
      <c r="EP70" s="30"/>
      <c r="EQ70" s="30"/>
      <c r="ER70" s="1096"/>
      <c r="ES70" s="30"/>
      <c r="ET70" s="30"/>
      <c r="EU70" s="1096"/>
      <c r="EV70" s="30"/>
      <c r="EW70" s="30"/>
      <c r="EX70" s="1096"/>
      <c r="EY70" s="30"/>
      <c r="EZ70" s="30"/>
      <c r="FA70" s="30"/>
    </row>
    <row r="71" spans="1:157" ht="13.35" customHeight="1" outlineLevel="1">
      <c r="A71" s="5"/>
      <c r="B71" s="5" t="s">
        <v>549</v>
      </c>
      <c r="C71" s="5"/>
      <c r="D71" s="362"/>
      <c r="E71" s="363"/>
      <c r="F71" s="363" t="str">
        <f>IF(G71&lt;&gt;"",G71,"")</f>
        <v/>
      </c>
      <c r="G71" s="363"/>
      <c r="H71" s="363"/>
      <c r="I71" s="363" t="str">
        <f>IF(J71&lt;&gt;"",J71,"")</f>
        <v/>
      </c>
      <c r="J71" s="363"/>
      <c r="K71" s="363"/>
      <c r="L71" s="363" t="str">
        <f>IF(M71&lt;&gt;"",M71,"")</f>
        <v/>
      </c>
      <c r="M71" s="363"/>
      <c r="N71" s="363"/>
      <c r="O71" s="363" t="str">
        <f>IF(P71&lt;&gt;"",P71,"")</f>
        <v/>
      </c>
      <c r="P71" s="363"/>
      <c r="Q71" s="363"/>
      <c r="R71" s="363" t="str">
        <f>IF(S71&lt;&gt;"",S71,"")</f>
        <v/>
      </c>
      <c r="S71" s="363"/>
      <c r="T71" s="363"/>
      <c r="U71" s="363" t="str">
        <f>IF(V71&lt;&gt;"",V71,"")</f>
        <v/>
      </c>
      <c r="V71" s="363"/>
      <c r="W71" s="363"/>
      <c r="X71" s="363" t="str">
        <f>IF(Y71&lt;&gt;"",Y71,"")</f>
        <v/>
      </c>
      <c r="Y71" s="363"/>
      <c r="Z71" s="363"/>
      <c r="AA71" s="363" t="str">
        <f>IF(AB71&lt;&gt;"",AB71,"")</f>
        <v/>
      </c>
      <c r="AB71" s="363"/>
      <c r="AC71" s="363"/>
      <c r="AD71" s="363" t="str">
        <f>IF(AE71&lt;&gt;"",AE71,"")</f>
        <v/>
      </c>
      <c r="AE71" s="363"/>
      <c r="AF71" s="363"/>
      <c r="AG71" s="363" t="str">
        <f>IF(AH71&lt;&gt;"",AH71,"")</f>
        <v/>
      </c>
      <c r="AH71" s="363"/>
      <c r="AI71" s="363"/>
      <c r="AJ71" s="363" t="str">
        <f>IF(AK71&lt;&gt;"",AK71,"")</f>
        <v/>
      </c>
      <c r="AK71" s="363"/>
      <c r="AL71" s="363"/>
      <c r="AM71" s="363" t="str">
        <f>IF(AN71&lt;&gt;"",AN71,"")</f>
        <v/>
      </c>
      <c r="AN71" s="363"/>
      <c r="AO71" s="363"/>
      <c r="AP71" s="363"/>
      <c r="AQ71" s="363"/>
      <c r="AR71" s="363"/>
      <c r="AS71" s="363"/>
      <c r="AT71" s="363"/>
      <c r="AU71" s="363"/>
      <c r="AV71" s="363"/>
      <c r="AW71" s="363"/>
      <c r="AX71" s="363"/>
      <c r="AY71" s="363"/>
      <c r="AZ71" s="363"/>
      <c r="BA71" s="363"/>
      <c r="BB71" s="363"/>
      <c r="BC71" s="363"/>
      <c r="BD71" s="363"/>
      <c r="BE71" s="363" t="str">
        <f>IF(BF71&lt;&gt;"",BF71,"")</f>
        <v/>
      </c>
      <c r="BF71" s="363"/>
      <c r="BG71" s="363"/>
      <c r="BH71" s="363" t="str">
        <f>IF(BI71&lt;&gt;"",BI71,"")</f>
        <v/>
      </c>
      <c r="BI71" s="363"/>
      <c r="BJ71" s="363"/>
      <c r="BK71" s="363" t="str">
        <f>IF(BL71&lt;&gt;"",BL71,"")</f>
        <v/>
      </c>
      <c r="BL71" s="363"/>
      <c r="BM71" s="363"/>
      <c r="BN71" s="363" t="str">
        <f>IF(BO71&lt;&gt;"",BO71,"")</f>
        <v/>
      </c>
      <c r="BO71" s="363"/>
      <c r="BP71" s="363"/>
      <c r="BQ71" s="363" t="str">
        <f>IF(BR71&lt;&gt;"",BR71,"")</f>
        <v/>
      </c>
      <c r="BR71" s="363"/>
      <c r="BS71" s="363"/>
      <c r="BT71" s="363" t="str">
        <f>IF(BU71&lt;&gt;"",BU71,"")</f>
        <v/>
      </c>
      <c r="BU71" s="363"/>
      <c r="BV71" s="363"/>
      <c r="BW71" s="363" t="str">
        <f>IF(BX71&lt;&gt;"",BX71,"")</f>
        <v/>
      </c>
      <c r="BX71" s="363"/>
      <c r="BY71" s="363"/>
      <c r="BZ71" s="363" t="str">
        <f>IF(CA71&lt;&gt;"",CA71,"")</f>
        <v/>
      </c>
      <c r="CA71" s="363"/>
      <c r="CB71" s="363"/>
      <c r="CC71" s="363" t="str">
        <f>IF(CD71&lt;&gt;"",CD71,"")</f>
        <v/>
      </c>
      <c r="CD71" s="363"/>
      <c r="CE71" s="363"/>
      <c r="CF71" s="363" t="str">
        <f>IF(CG71&lt;&gt;"",CG71,"")</f>
        <v/>
      </c>
      <c r="CG71" s="363"/>
      <c r="CH71" s="363"/>
      <c r="CI71" s="363" t="str">
        <f>IF(CJ71&lt;&gt;"",CJ71,"")</f>
        <v/>
      </c>
      <c r="CJ71" s="363"/>
      <c r="CK71" s="363"/>
      <c r="CL71" s="363" t="str">
        <f>IF(CM71&lt;&gt;"",CM71,"")</f>
        <v/>
      </c>
      <c r="CM71" s="363"/>
      <c r="CN71" s="363"/>
      <c r="CO71" s="363" t="str">
        <f>IF(CP71&lt;&gt;"",CP71,"")</f>
        <v/>
      </c>
      <c r="CP71" s="363"/>
      <c r="CQ71" s="363"/>
      <c r="CR71" s="363" t="str">
        <f>IF(CS71&lt;&gt;"",CS71,"")</f>
        <v/>
      </c>
      <c r="CS71" s="363"/>
      <c r="CT71" s="363"/>
      <c r="CU71" s="363" t="str">
        <f>IF(CV71&lt;&gt;"",CV71,"")</f>
        <v/>
      </c>
      <c r="CV71" s="363"/>
      <c r="CW71" s="363"/>
      <c r="CX71" s="363" t="str">
        <f>IF(CY71&lt;&gt;"",CY71,"")</f>
        <v/>
      </c>
      <c r="CY71" s="363"/>
      <c r="CZ71" s="363"/>
      <c r="DA71" s="363" t="str">
        <f>IF(DB71&lt;&gt;"",DB71,"")</f>
        <v/>
      </c>
      <c r="DB71" s="363"/>
      <c r="DC71" s="363"/>
      <c r="DD71" s="363" t="str">
        <f>IF(DE71&lt;&gt;"",DE71,"")</f>
        <v/>
      </c>
      <c r="DE71" s="363"/>
      <c r="DF71" s="363"/>
      <c r="DG71" s="363" t="str">
        <f>IF(DH71&lt;&gt;"",DH71,"")</f>
        <v/>
      </c>
      <c r="DH71" s="363"/>
      <c r="DI71" s="363"/>
      <c r="DJ71" s="363" t="str">
        <f>IF(DK71&lt;&gt;"",DK71,"")</f>
        <v/>
      </c>
      <c r="DK71" s="1210"/>
      <c r="DL71" s="363"/>
      <c r="DM71" s="363" t="str">
        <f>IF(DN71&lt;&gt;"",DN71,"")</f>
        <v/>
      </c>
      <c r="DN71" s="1210"/>
      <c r="DO71" s="363"/>
      <c r="DP71" s="363" t="str">
        <f>IF(DQ71&lt;&gt;"",DQ71,"")</f>
        <v/>
      </c>
      <c r="DQ71" s="1210"/>
      <c r="DR71" s="363"/>
      <c r="DS71" s="363" t="str">
        <f>IF(DT71&lt;&gt;"",DT71,"")</f>
        <v/>
      </c>
      <c r="DT71" s="1210"/>
      <c r="DU71" s="363"/>
      <c r="DV71" s="363" t="str">
        <f>IF(DW71&lt;&gt;"",DW71,"")</f>
        <v/>
      </c>
      <c r="DW71" s="1210"/>
      <c r="DX71" s="363"/>
      <c r="DY71" s="363" t="str">
        <f>IF(DZ71&lt;&gt;"",DZ71,"")</f>
        <v/>
      </c>
      <c r="DZ71" s="1210"/>
      <c r="EA71" s="363"/>
      <c r="EB71" s="363" t="str">
        <f>IF(EC71&lt;&gt;"",EC71,"")</f>
        <v/>
      </c>
      <c r="EC71" s="1210"/>
      <c r="ED71" s="363"/>
      <c r="EE71" s="363" t="str">
        <f>IF(EF71&lt;&gt;"",EF71,"")</f>
        <v/>
      </c>
      <c r="EF71" s="1210"/>
      <c r="EG71" s="363"/>
      <c r="EH71" s="363" t="str">
        <f>IF(EI71&lt;&gt;"",EI71,"")</f>
        <v/>
      </c>
      <c r="EI71" s="1210"/>
      <c r="EJ71" s="363"/>
      <c r="EK71" s="363" t="str">
        <f>IF(EL71&lt;&gt;"",EL71,"")</f>
        <v/>
      </c>
      <c r="EL71" s="1210"/>
      <c r="EM71" s="363"/>
      <c r="EN71" s="363" t="str">
        <f>IF(EO71&lt;&gt;"",EO71,"")</f>
        <v/>
      </c>
      <c r="EO71" s="1210"/>
      <c r="EP71" s="363"/>
      <c r="EQ71" s="363" t="str">
        <f>IF(ER71&lt;&gt;"",ER71,"")</f>
        <v/>
      </c>
      <c r="ER71" s="1210"/>
      <c r="ES71" s="363"/>
      <c r="ET71" s="363" t="str">
        <f>IF(EU71&lt;&gt;"",EU71,"")</f>
        <v/>
      </c>
      <c r="EU71" s="1210"/>
      <c r="EV71" s="363"/>
      <c r="EW71" s="363" t="str">
        <f>IF(EX71&lt;&gt;"",EX71,"")</f>
        <v/>
      </c>
      <c r="EX71" s="1210"/>
      <c r="EY71" s="363"/>
      <c r="EZ71" s="363" t="str">
        <f>IF(FA71&lt;&gt;"",FA71,"")</f>
        <v/>
      </c>
      <c r="FA71" s="363"/>
    </row>
    <row r="72" spans="1:157" ht="13.35" customHeight="1" outlineLevel="1">
      <c r="A72" s="5"/>
      <c r="B72" s="5" t="s">
        <v>550</v>
      </c>
      <c r="C72" s="5"/>
      <c r="D72" s="362"/>
      <c r="E72" s="363"/>
      <c r="F72" s="363" t="str">
        <f>IF(G72&lt;&gt;"",G72,"")</f>
        <v/>
      </c>
      <c r="G72" s="363"/>
      <c r="H72" s="363"/>
      <c r="I72" s="363" t="str">
        <f>IF(J72&lt;&gt;"",J72,"")</f>
        <v/>
      </c>
      <c r="J72" s="363"/>
      <c r="K72" s="363"/>
      <c r="L72" s="363" t="str">
        <f>IF(M72&lt;&gt;"",M72,"")</f>
        <v/>
      </c>
      <c r="M72" s="363"/>
      <c r="N72" s="363"/>
      <c r="O72" s="363" t="str">
        <f>IF(P72&lt;&gt;"",P72,"")</f>
        <v/>
      </c>
      <c r="P72" s="363"/>
      <c r="Q72" s="363"/>
      <c r="R72" s="363" t="str">
        <f>IF(S72&lt;&gt;"",S72,"")</f>
        <v/>
      </c>
      <c r="S72" s="363"/>
      <c r="T72" s="363"/>
      <c r="U72" s="363" t="str">
        <f>IF(V72&lt;&gt;"",V72,"")</f>
        <v/>
      </c>
      <c r="V72" s="363"/>
      <c r="W72" s="363"/>
      <c r="X72" s="363" t="str">
        <f>IF(Y72&lt;&gt;"",Y72,"")</f>
        <v/>
      </c>
      <c r="Y72" s="363"/>
      <c r="Z72" s="363"/>
      <c r="AA72" s="363" t="str">
        <f>IF(AB72&lt;&gt;"",AB72,"")</f>
        <v/>
      </c>
      <c r="AB72" s="363"/>
      <c r="AC72" s="363"/>
      <c r="AD72" s="363" t="str">
        <f>IF(AE72&lt;&gt;"",AE72,"")</f>
        <v/>
      </c>
      <c r="AE72" s="363"/>
      <c r="AF72" s="363"/>
      <c r="AG72" s="363" t="str">
        <f>IF(AH72&lt;&gt;"",AH72,"")</f>
        <v/>
      </c>
      <c r="AH72" s="363"/>
      <c r="AI72" s="363"/>
      <c r="AJ72" s="363" t="str">
        <f>IF(AK72&lt;&gt;"",AK72,"")</f>
        <v/>
      </c>
      <c r="AK72" s="363"/>
      <c r="AL72" s="363"/>
      <c r="AM72" s="363" t="str">
        <f>IF(AN72&lt;&gt;"",AN72,"")</f>
        <v/>
      </c>
      <c r="AN72" s="363"/>
      <c r="AO72" s="363"/>
      <c r="AP72" s="363" t="str">
        <f>IF(AQ72&lt;&gt;"",AQ72,"")</f>
        <v/>
      </c>
      <c r="AQ72" s="363"/>
      <c r="AR72" s="363"/>
      <c r="AS72" s="363" t="str">
        <f>IF(AT72&lt;&gt;"",AT72,"")</f>
        <v/>
      </c>
      <c r="AT72" s="363"/>
      <c r="AU72" s="363"/>
      <c r="AV72" s="363" t="str">
        <f>IF(AW72&lt;&gt;"",AW72,"")</f>
        <v/>
      </c>
      <c r="AW72" s="363"/>
      <c r="AX72" s="363"/>
      <c r="AY72" s="363" t="str">
        <f>IF(AZ72&lt;&gt;"",AZ72,"")</f>
        <v/>
      </c>
      <c r="AZ72" s="363"/>
      <c r="BA72" s="363"/>
      <c r="BB72" s="363" t="str">
        <f>IF(BC72&lt;&gt;"",BC72,"")</f>
        <v/>
      </c>
      <c r="BC72" s="363"/>
      <c r="BD72" s="363"/>
      <c r="BE72" s="363" t="str">
        <f>IF(BF72&lt;&gt;"",BF72,"")</f>
        <v/>
      </c>
      <c r="BF72" s="363"/>
      <c r="BG72" s="363"/>
      <c r="BH72" s="363" t="str">
        <f>IF(BI72&lt;&gt;"",BI72,"")</f>
        <v/>
      </c>
      <c r="BI72" s="363"/>
      <c r="BJ72" s="363"/>
      <c r="BK72" s="363" t="str">
        <f>IF(BL72&lt;&gt;"",BL72,"")</f>
        <v/>
      </c>
      <c r="BL72" s="363"/>
      <c r="BM72" s="363"/>
      <c r="BN72" s="363" t="str">
        <f>IF(BO72&lt;&gt;"",BO72,"")</f>
        <v/>
      </c>
      <c r="BO72" s="363"/>
      <c r="BP72" s="363"/>
      <c r="BQ72" s="363" t="str">
        <f>IF(BR72&lt;&gt;"",BR72,"")</f>
        <v/>
      </c>
      <c r="BR72" s="363"/>
      <c r="BS72" s="363"/>
      <c r="BT72" s="363" t="str">
        <f>IF(BU72&lt;&gt;"",BU72,"")</f>
        <v/>
      </c>
      <c r="BU72" s="363"/>
      <c r="BV72" s="363"/>
      <c r="BW72" s="363" t="str">
        <f>IF(BX72&lt;&gt;"",BX72,"")</f>
        <v/>
      </c>
      <c r="BX72" s="363"/>
      <c r="BY72" s="363"/>
      <c r="BZ72" s="363" t="str">
        <f>IF(CA72&lt;&gt;"",CA72,"")</f>
        <v/>
      </c>
      <c r="CA72" s="363"/>
      <c r="CB72" s="363"/>
      <c r="CC72" s="363" t="str">
        <f>IF(CD72&lt;&gt;"",CD72,"")</f>
        <v/>
      </c>
      <c r="CD72" s="363"/>
      <c r="CE72" s="363"/>
      <c r="CF72" s="363" t="str">
        <f>IF(CG72&lt;&gt;"",CG72,"")</f>
        <v/>
      </c>
      <c r="CG72" s="363"/>
      <c r="CH72" s="363"/>
      <c r="CI72" s="363" t="str">
        <f>IF(CJ72&lt;&gt;"",CJ72,"")</f>
        <v/>
      </c>
      <c r="CJ72" s="363"/>
      <c r="CK72" s="363"/>
      <c r="CL72" s="363" t="str">
        <f>IF(CM72&lt;&gt;"",CM72,"")</f>
        <v/>
      </c>
      <c r="CM72" s="363"/>
      <c r="CN72" s="363"/>
      <c r="CO72" s="363" t="str">
        <f>IF(CP72&lt;&gt;"",CP72,"")</f>
        <v/>
      </c>
      <c r="CP72" s="363"/>
      <c r="CQ72" s="363"/>
      <c r="CR72" s="363" t="str">
        <f>IF(CS72&lt;&gt;"",CS72,"")</f>
        <v/>
      </c>
      <c r="CS72" s="363"/>
      <c r="CT72" s="363"/>
      <c r="CU72" s="363" t="str">
        <f>IF(CV72&lt;&gt;"",CV72,"")</f>
        <v/>
      </c>
      <c r="CV72" s="363"/>
      <c r="CW72" s="363"/>
      <c r="CX72" s="363" t="str">
        <f>IF(CY72&lt;&gt;"",CY72,"")</f>
        <v/>
      </c>
      <c r="CY72" s="363"/>
      <c r="CZ72" s="363"/>
      <c r="DA72" s="363" t="str">
        <f>IF(DB72&lt;&gt;"",DB72,"")</f>
        <v/>
      </c>
      <c r="DB72" s="363"/>
      <c r="DC72" s="363"/>
      <c r="DD72" s="363" t="str">
        <f>IF(DE72&lt;&gt;"",DE72,"")</f>
        <v/>
      </c>
      <c r="DE72" s="363"/>
      <c r="DF72" s="363"/>
      <c r="DG72" s="363" t="str">
        <f>IF(DH72&lt;&gt;"",DH72,"")</f>
        <v/>
      </c>
      <c r="DH72" s="363"/>
      <c r="DI72" s="363"/>
      <c r="DJ72" s="363" t="str">
        <f>IF(DK72&lt;&gt;"",DK72,"")</f>
        <v/>
      </c>
      <c r="DK72" s="1210"/>
      <c r="DL72" s="363"/>
      <c r="DM72" s="363" t="str">
        <f>IF(DN72&lt;&gt;"",DN72,"")</f>
        <v/>
      </c>
      <c r="DN72" s="1210"/>
      <c r="DO72" s="363"/>
      <c r="DP72" s="363" t="str">
        <f>IF(DQ72&lt;&gt;"",DQ72,"")</f>
        <v/>
      </c>
      <c r="DQ72" s="1210"/>
      <c r="DR72" s="363"/>
      <c r="DS72" s="363" t="str">
        <f>IF(DT72&lt;&gt;"",DT72,"")</f>
        <v/>
      </c>
      <c r="DT72" s="1210"/>
      <c r="DU72" s="363"/>
      <c r="DV72" s="363" t="str">
        <f>IF(DW72&lt;&gt;"",DW72,"")</f>
        <v/>
      </c>
      <c r="DW72" s="1210"/>
      <c r="DX72" s="363"/>
      <c r="DY72" s="363" t="str">
        <f>IF(DZ72&lt;&gt;"",DZ72,"")</f>
        <v/>
      </c>
      <c r="DZ72" s="1210"/>
      <c r="EA72" s="363"/>
      <c r="EB72" s="363" t="str">
        <f>IF(EC72&lt;&gt;"",EC72,"")</f>
        <v/>
      </c>
      <c r="EC72" s="1210"/>
      <c r="ED72" s="363"/>
      <c r="EE72" s="363" t="str">
        <f>IF(EF72&lt;&gt;"",EF72,"")</f>
        <v/>
      </c>
      <c r="EF72" s="1210"/>
      <c r="EG72" s="363"/>
      <c r="EH72" s="363" t="str">
        <f>IF(EI72&lt;&gt;"",EI72,"")</f>
        <v/>
      </c>
      <c r="EI72" s="1210"/>
      <c r="EJ72" s="363"/>
      <c r="EK72" s="363" t="str">
        <f>IF(EL72&lt;&gt;"",EL72,"")</f>
        <v/>
      </c>
      <c r="EL72" s="1210"/>
      <c r="EM72" s="363"/>
      <c r="EN72" s="363" t="str">
        <f>IF(EO72&lt;&gt;"",EO72,"")</f>
        <v/>
      </c>
      <c r="EO72" s="1210"/>
      <c r="EP72" s="363"/>
      <c r="EQ72" s="363" t="str">
        <f>IF(ER72&lt;&gt;"",ER72,"")</f>
        <v/>
      </c>
      <c r="ER72" s="1210"/>
      <c r="ES72" s="363"/>
      <c r="ET72" s="363" t="str">
        <f>IF(EU72&lt;&gt;"",EU72,"")</f>
        <v/>
      </c>
      <c r="EU72" s="1210"/>
      <c r="EV72" s="363"/>
      <c r="EW72" s="363" t="str">
        <f>IF(EX72&lt;&gt;"",EX72,"")</f>
        <v/>
      </c>
      <c r="EX72" s="1210"/>
      <c r="EY72" s="363"/>
      <c r="EZ72" s="363" t="str">
        <f>IF(FA72&lt;&gt;"",FA72,"")</f>
        <v/>
      </c>
      <c r="FA72" s="363"/>
    </row>
    <row r="73" spans="1:157" ht="13.35" customHeight="1" outlineLevel="1">
      <c r="A73" s="5"/>
      <c r="B73" s="5" t="s">
        <v>551</v>
      </c>
      <c r="C73" s="5"/>
      <c r="D73" s="362"/>
      <c r="E73" s="364" t="str">
        <f>IF(Model!E278&lt;&gt;"",Model!E278,"")</f>
        <v/>
      </c>
      <c r="F73" s="364" t="str">
        <f>IF(Model!G278&lt;&gt;"",Model!F278,"")</f>
        <v/>
      </c>
      <c r="G73" s="364" t="str">
        <f>IF(Model!G278&lt;&gt;"",Model!G278,"")</f>
        <v/>
      </c>
      <c r="H73" s="364" t="str">
        <f>IF(Model!H278&lt;&gt;"",Model!H278,"")</f>
        <v/>
      </c>
      <c r="I73" s="364" t="str">
        <f>IF(Model!J278&lt;&gt;"",Model!I278,"")</f>
        <v/>
      </c>
      <c r="J73" s="364" t="str">
        <f>IF(Model!J278&lt;&gt;"",Model!J278,"")</f>
        <v/>
      </c>
      <c r="K73" s="364" t="str">
        <f>IF(Model!K278&lt;&gt;"",Model!K278,"")</f>
        <v/>
      </c>
      <c r="L73" s="364" t="str">
        <f>IF(Model!M278&lt;&gt;"",Model!L278,"")</f>
        <v/>
      </c>
      <c r="M73" s="364" t="str">
        <f>IF(Model!M278&lt;&gt;"",Model!M278,"")</f>
        <v/>
      </c>
      <c r="N73" s="364" t="str">
        <f>IF(Model!N278&lt;&gt;"",Model!N278,"")</f>
        <v/>
      </c>
      <c r="O73" s="364" t="str">
        <f>IF(Model!P278&lt;&gt;"",Model!O278,"")</f>
        <v/>
      </c>
      <c r="P73" s="364" t="str">
        <f>IF(Model!P278&lt;&gt;"",Model!P278,"")</f>
        <v/>
      </c>
      <c r="Q73" s="364" t="str">
        <f>IF(Model!Q278&lt;&gt;"",Model!Q278,"")</f>
        <v/>
      </c>
      <c r="R73" s="364" t="str">
        <f>IF(Model!S278&lt;&gt;"",Model!R278,"")</f>
        <v/>
      </c>
      <c r="S73" s="364" t="str">
        <f>IF(Model!S278&lt;&gt;"",Model!S278,"")</f>
        <v/>
      </c>
      <c r="T73" s="364" t="str">
        <f>IF(Model!T278&lt;&gt;"",Model!T278,"")</f>
        <v/>
      </c>
      <c r="U73" s="364" t="str">
        <f>IF(Model!V278&lt;&gt;"",Model!U278,"")</f>
        <v/>
      </c>
      <c r="V73" s="364" t="str">
        <f>IF(Model!V278&lt;&gt;"",Model!V278,"")</f>
        <v/>
      </c>
      <c r="W73" s="364" t="str">
        <f>IF(Model!W278&lt;&gt;"",Model!W278,"")</f>
        <v/>
      </c>
      <c r="X73" s="364" t="str">
        <f>IF(Model!Y278&lt;&gt;"",Model!X278,"")</f>
        <v/>
      </c>
      <c r="Y73" s="364" t="str">
        <f>IF(Model!Y278&lt;&gt;"",Model!Y278,"")</f>
        <v/>
      </c>
      <c r="Z73" s="364" t="str">
        <f>IF(Model!Z278&lt;&gt;"",Model!Z278,"")</f>
        <v/>
      </c>
      <c r="AA73" s="364" t="str">
        <f>IF(Model!AB278&lt;&gt;"",Model!AA278,"")</f>
        <v/>
      </c>
      <c r="AB73" s="364" t="str">
        <f>IF(Model!AB278&lt;&gt;"",Model!AB278,"")</f>
        <v/>
      </c>
      <c r="AC73" s="364" t="str">
        <f>IF(Model!AC278&lt;&gt;"",Model!AC278,"")</f>
        <v/>
      </c>
      <c r="AD73" s="364" t="str">
        <f>IF(Model!AE278&lt;&gt;"",Model!AD278,"")</f>
        <v/>
      </c>
      <c r="AE73" s="364" t="str">
        <f>IF(Model!AE278&lt;&gt;"",Model!AE278,"")</f>
        <v/>
      </c>
      <c r="AF73" s="364" t="str">
        <f>IF(Model!AF278&lt;&gt;"",Model!AF278,"")</f>
        <v/>
      </c>
      <c r="AG73" s="364" t="str">
        <f>IF(Model!AH278&lt;&gt;"",Model!AG278,"")</f>
        <v/>
      </c>
      <c r="AH73" s="364" t="str">
        <f>IF(Model!AH278&lt;&gt;"",Model!AH278,"")</f>
        <v/>
      </c>
      <c r="AI73" s="364" t="str">
        <f>IF(Model!AI278&lt;&gt;"",Model!AI278,"")</f>
        <v/>
      </c>
      <c r="AJ73" s="364" t="str">
        <f>IF(Model!AK278&lt;&gt;"",Model!AJ278,"")</f>
        <v/>
      </c>
      <c r="AK73" s="364" t="str">
        <f>IF(Model!AK278&lt;&gt;"",Model!AK278,"")</f>
        <v/>
      </c>
      <c r="AL73" s="364" t="str">
        <f>IF(Model!AL278&lt;&gt;"",Model!AL278,"")</f>
        <v/>
      </c>
      <c r="AM73" s="364" t="str">
        <f>IF(Model!AN278&lt;&gt;"",Model!AM278,"")</f>
        <v/>
      </c>
      <c r="AN73" s="364" t="str">
        <f>IF(Model!AN278&lt;&gt;"",Model!AN278,"")</f>
        <v/>
      </c>
      <c r="AO73" s="364" t="str">
        <f>IF(Model!AO278&lt;&gt;"",Model!AO278,"")</f>
        <v/>
      </c>
      <c r="AP73" s="364" t="str">
        <f>IF(Model!AQ278&lt;&gt;"",Model!AP278,"")</f>
        <v/>
      </c>
      <c r="AQ73" s="364" t="str">
        <f>IF(Model!AQ278&lt;&gt;"",Model!AQ278,"")</f>
        <v/>
      </c>
      <c r="AR73" s="364" t="str">
        <f>IF(Model!AR278&lt;&gt;"",Model!AR278,"")</f>
        <v/>
      </c>
      <c r="AS73" s="364" t="str">
        <f>IF(Model!AT278&lt;&gt;"",Model!AS278,"")</f>
        <v/>
      </c>
      <c r="AT73" s="364" t="str">
        <f>IF(Model!AT278&lt;&gt;"",Model!AT278,"")</f>
        <v/>
      </c>
      <c r="AU73" s="364" t="str">
        <f>IF(Model!AU278&lt;&gt;"",Model!AU278,"")</f>
        <v/>
      </c>
      <c r="AV73" s="364" t="str">
        <f>IF(Model!AW278&lt;&gt;"",Model!AV278,"")</f>
        <v/>
      </c>
      <c r="AW73" s="364" t="str">
        <f>IF(Model!AW278&lt;&gt;"",Model!AW278,"")</f>
        <v/>
      </c>
      <c r="AX73" s="364">
        <f>IF(Model!AX278&lt;&gt;"",Model!AX278,"")</f>
        <v>0</v>
      </c>
      <c r="AY73" s="364">
        <f>IF(Model!AZ278&lt;&gt;"",Model!AY278,"")</f>
        <v>0</v>
      </c>
      <c r="AZ73" s="364">
        <f>IF(Model!AZ278&lt;&gt;"",Model!AZ278,"")</f>
        <v>0</v>
      </c>
      <c r="BA73" s="364">
        <f>IF(Model!BA278&lt;&gt;"",Model!BA278,"")</f>
        <v>0</v>
      </c>
      <c r="BB73" s="364">
        <f>IF(Model!BC278&lt;&gt;"",Model!BB278,"")</f>
        <v>0</v>
      </c>
      <c r="BC73" s="364">
        <f>IF(Model!BC278&lt;&gt;"",Model!BC278,"")</f>
        <v>0</v>
      </c>
      <c r="BD73" s="364">
        <f>IF(Model!BD278&lt;&gt;"",Model!BD278,"")</f>
        <v>0</v>
      </c>
      <c r="BE73" s="364">
        <f>IF(Model!BF278&lt;&gt;"",Model!BE278,"")</f>
        <v>3.835</v>
      </c>
      <c r="BF73" s="364">
        <f>IF(Model!BF278&lt;&gt;"",Model!BF278,"")</f>
        <v>3.835</v>
      </c>
      <c r="BG73" s="364">
        <f>IF(Model!BG278&lt;&gt;"",Model!BG278,"")</f>
        <v>7.0369999999999999</v>
      </c>
      <c r="BH73" s="364">
        <f>IF(Model!BI278&lt;&gt;"",Model!BH278,"")</f>
        <v>10.707000000000001</v>
      </c>
      <c r="BI73" s="364">
        <f>IF(Model!BI278&lt;&gt;"",Model!BI278,"")</f>
        <v>10.707000000000001</v>
      </c>
      <c r="BJ73" s="364">
        <f>IF(Model!BJ278&lt;&gt;"",Model!BJ278,"")</f>
        <v>4.78</v>
      </c>
      <c r="BK73" s="364">
        <f>IF(Model!BL278&lt;&gt;"",Model!BK278,"")</f>
        <v>4.7809999999999997</v>
      </c>
      <c r="BL73" s="364">
        <f>IF(Model!BL278&lt;&gt;"",Model!BL278,"")</f>
        <v>4.7809999999999997</v>
      </c>
      <c r="BM73" s="364">
        <f>IF(Model!BM278&lt;&gt;"",Model!BM278,"")</f>
        <v>5.407</v>
      </c>
      <c r="BN73" s="364">
        <f>IF(Model!BO278&lt;&gt;"",Model!BN278,"")</f>
        <v>12.455</v>
      </c>
      <c r="BO73" s="364">
        <f>IF(Model!BO278&lt;&gt;"",Model!BO278,"")</f>
        <v>12.455</v>
      </c>
      <c r="BP73" s="364">
        <f>IF(Model!BP278&lt;&gt;"",Model!BP278,"")</f>
        <v>21.736000000000001</v>
      </c>
      <c r="BQ73" s="364">
        <f>IF(Model!BR278&lt;&gt;"",Model!BQ278,"")</f>
        <v>24.981000000000002</v>
      </c>
      <c r="BR73" s="364">
        <f>IF(Model!BR278&lt;&gt;"",Model!BR278,"")</f>
        <v>24.981000000000002</v>
      </c>
      <c r="BS73" s="364">
        <f>IF(Model!BS278&lt;&gt;"",Model!BS278,"")</f>
        <v>16.978999999999999</v>
      </c>
      <c r="BT73" s="364">
        <f>IF(Model!BU278&lt;&gt;"",Model!BT278,"")</f>
        <v>7.9969999999999999</v>
      </c>
      <c r="BU73" s="364">
        <f>IF(Model!BU278&lt;&gt;"",Model!BU278,"")</f>
        <v>7.9969999999999999</v>
      </c>
      <c r="BV73" s="364">
        <f>IF(Model!BV278&lt;&gt;"",Model!BV278,"")</f>
        <v>8.5239999999999991</v>
      </c>
      <c r="BW73" s="364">
        <f>IF(Model!BX278&lt;&gt;"",Model!BW278,"")</f>
        <v>2.8029999999999999</v>
      </c>
      <c r="BX73" s="364">
        <f>IF(Model!BX278&lt;&gt;"",Model!BX278,"")</f>
        <v>2.8029999999999999</v>
      </c>
      <c r="BY73" s="364">
        <f>IF(Model!BY278&lt;&gt;"",Model!BY278,"")</f>
        <v>18.297000000000001</v>
      </c>
      <c r="BZ73" s="364">
        <f>IF(Model!CA278&lt;&gt;"",Model!BZ278,"")</f>
        <v>5.3620000000000001</v>
      </c>
      <c r="CA73" s="364">
        <f>IF(Model!CA278&lt;&gt;"",Model!CA278,"")</f>
        <v>5.3620000000000001</v>
      </c>
      <c r="CB73" s="364">
        <f>IF(Model!CB278&lt;&gt;"",Model!CB278,"")</f>
        <v>25.873999999999999</v>
      </c>
      <c r="CC73" s="364">
        <f>IF(Model!CD278&lt;&gt;"",Model!CC278,"")</f>
        <v>12.63</v>
      </c>
      <c r="CD73" s="364">
        <f>IF(Model!CD278&lt;&gt;"",Model!CD278,"")</f>
        <v>12.63</v>
      </c>
      <c r="CE73" s="364">
        <f>IF(Model!CE278&lt;&gt;"",Model!CE278,"")</f>
        <v>33.377000000000002</v>
      </c>
      <c r="CF73" s="364">
        <f>IF(Model!CG278&lt;&gt;"",Model!CF278,"")</f>
        <v>17.288</v>
      </c>
      <c r="CG73" s="364">
        <f>IF(Model!CG278&lt;&gt;"",Model!CG278,"")</f>
        <v>17.288</v>
      </c>
      <c r="CH73" s="364">
        <f>IF(Model!CH278&lt;&gt;"",Model!CH278,"")</f>
        <v>6.6180000000000003</v>
      </c>
      <c r="CI73" s="364">
        <f>IF(Model!CJ278&lt;&gt;"",Model!CI278,"")</f>
        <v>19.526</v>
      </c>
      <c r="CJ73" s="364">
        <f>IF(Model!CJ278&lt;&gt;"",Model!CJ278,"")</f>
        <v>19.526</v>
      </c>
      <c r="CK73" s="364">
        <f>IF(Model!CK278&lt;&gt;"",Model!CK278,"")</f>
        <v>6.2460000000000004</v>
      </c>
      <c r="CL73" s="364">
        <f>IF(Model!CM278&lt;&gt;"",Model!CL278,"")</f>
        <v>6.0019999999999998</v>
      </c>
      <c r="CM73" s="364">
        <f>IF(Model!CM278&lt;&gt;"",Model!CM278,"")</f>
        <v>6.0019999999999998</v>
      </c>
      <c r="CN73" s="364">
        <f>IF(Model!CN278&lt;&gt;"",Model!CN278,"")</f>
        <v>2.984</v>
      </c>
      <c r="CO73" s="364">
        <f>IF(Model!CP278&lt;&gt;"",Model!CO278,"")</f>
        <v>8.4420000000000002</v>
      </c>
      <c r="CP73" s="364">
        <f>IF(Model!CP278&lt;&gt;"",Model!CP278,"")</f>
        <v>8.4420000000000002</v>
      </c>
      <c r="CQ73" s="364">
        <f>IF(Model!CQ278&lt;&gt;"",Model!CQ278,"")</f>
        <v>16.297000000000001</v>
      </c>
      <c r="CR73" s="364">
        <f>IF(Model!CS278&lt;&gt;"",Model!CR278,"")</f>
        <v>20.645</v>
      </c>
      <c r="CS73" s="364">
        <f>IF(Model!CS278&lt;&gt;"",Model!CS278,"")</f>
        <v>20.645</v>
      </c>
      <c r="CT73" s="364">
        <f>IF(Model!CT278&lt;&gt;"",Model!CT278,"")</f>
        <v>14.459</v>
      </c>
      <c r="CU73" s="364">
        <f>IF(Model!CV278&lt;&gt;"",Model!CU278,"")</f>
        <v>13.701000000000001</v>
      </c>
      <c r="CV73" s="364">
        <f>IF(Model!CV278&lt;&gt;"",Model!CV278,"")</f>
        <v>13.701000000000001</v>
      </c>
      <c r="CW73" s="364">
        <f>IF(Model!CW278&lt;&gt;"",Model!CW278,"")</f>
        <v>25.440999999999999</v>
      </c>
      <c r="CX73" s="364">
        <f>IF(Model!CY278&lt;&gt;"",Model!CX278,"")</f>
        <v>26.326000000000001</v>
      </c>
      <c r="CY73" s="364">
        <f>IF(Model!CY278&lt;&gt;"",Model!CY278,"")</f>
        <v>26.326000000000001</v>
      </c>
      <c r="CZ73" s="364">
        <f>IF(Model!CZ278&lt;&gt;"",Model!CZ278,"")</f>
        <v>26.6</v>
      </c>
      <c r="DA73" s="364">
        <f>IF(Model!DB278&lt;&gt;"",Model!DA278,"")</f>
        <v>22.1</v>
      </c>
      <c r="DB73" s="364">
        <f>IF(Model!DB278&lt;&gt;"",Model!DB278,"")</f>
        <v>22.1</v>
      </c>
      <c r="DC73" s="364">
        <f>IF(Model!DC278&lt;&gt;"",Model!DC278,"")</f>
        <v>32.799999999999997</v>
      </c>
      <c r="DD73" s="364">
        <f>IF(Model!DE278&lt;&gt;"",Model!DD278,"")</f>
        <v>34.799999999999997</v>
      </c>
      <c r="DE73" s="364">
        <f>IF(Model!DE278&lt;&gt;"",Model!DE278,"")</f>
        <v>34.799999999999997</v>
      </c>
      <c r="DF73" s="364">
        <f>IF(Model!DF278&lt;&gt;"",Model!DF278,"")</f>
        <v>22.7</v>
      </c>
      <c r="DG73" s="364">
        <f>IF(Model!DH278&lt;&gt;"",Model!DG278,"")</f>
        <v>7.2</v>
      </c>
      <c r="DH73" s="364">
        <f>IF(Model!DH278&lt;&gt;"",Model!DH278,"")</f>
        <v>7.2</v>
      </c>
      <c r="DI73" s="364">
        <f>IF(Model!DI278&lt;&gt;"",Model!DI278,"")</f>
        <v>10.199999999999999</v>
      </c>
      <c r="DJ73" s="364">
        <f>IF(Model!DK278&lt;&gt;"",Model!DJ278,"")</f>
        <v>12.9</v>
      </c>
      <c r="DK73" s="1211">
        <f>IF(Model!DK278&lt;&gt;"",Model!DK278,"")</f>
        <v>12.9</v>
      </c>
      <c r="DL73" s="364">
        <f>IF(Model!DL278&lt;&gt;"",Model!DL278,"")</f>
        <v>16.100000000000001</v>
      </c>
      <c r="DM73" s="364">
        <f>IF(Model!DN278&lt;&gt;"",Model!DM278,"")</f>
        <v>15.2</v>
      </c>
      <c r="DN73" s="1211">
        <f>IF(Model!DN278&lt;&gt;"",Model!DN278,"")</f>
        <v>15.2</v>
      </c>
      <c r="DO73" s="364">
        <f>IF(Model!DO278&lt;&gt;"",Model!DO278,"")</f>
        <v>18.5</v>
      </c>
      <c r="DP73" s="364">
        <f>IF(Model!DQ278&lt;&gt;"",Model!DP278,"")</f>
        <v>17.5</v>
      </c>
      <c r="DQ73" s="1211">
        <f>IF(Model!DQ278&lt;&gt;"",Model!DQ278,"")</f>
        <v>17.5</v>
      </c>
      <c r="DR73" s="364">
        <f>IF(Model!DR278&lt;&gt;"",Model!DR278,"")</f>
        <v>21.3</v>
      </c>
      <c r="DS73" s="364">
        <f>IF(Model!DT278&lt;&gt;"",Model!DS278,"")</f>
        <v>17.600000000000001</v>
      </c>
      <c r="DT73" s="1211">
        <f>IF(Model!DT278&lt;&gt;"",Model!DT278,"")</f>
        <v>17.600000000000001</v>
      </c>
      <c r="DU73" s="364">
        <f>IF(Model!DU278&lt;&gt;"",Model!DU278,"")</f>
        <v>35</v>
      </c>
      <c r="DV73" s="364">
        <f>IF(Model!DW278&lt;&gt;"",Model!DV278,"")</f>
        <v>26.4</v>
      </c>
      <c r="DW73" s="1211">
        <f>IF(Model!DW278&lt;&gt;"",Model!DW278,"")</f>
        <v>26.4</v>
      </c>
      <c r="DX73" s="364">
        <f>IF(Model!DX278&lt;&gt;"",Model!DX278,"")</f>
        <v>19.3</v>
      </c>
      <c r="DY73" s="364">
        <f>IF(Model!DZ278&lt;&gt;"",Model!DY278,"")</f>
        <v>19.3</v>
      </c>
      <c r="DZ73" s="1211">
        <f>IF(Model!DZ278&lt;&gt;"",Model!DZ278,"")</f>
        <v>19.3</v>
      </c>
      <c r="EA73" s="364">
        <f>IF(Model!EA278&lt;&gt;"",Model!EA278,"")</f>
        <v>19.3</v>
      </c>
      <c r="EB73" s="364">
        <f>IF(Model!EC278&lt;&gt;"",Model!EB278,"")</f>
        <v>19.3</v>
      </c>
      <c r="EC73" s="1211">
        <f>IF(Model!EC278&lt;&gt;"",Model!EC278,"")</f>
        <v>19.3</v>
      </c>
      <c r="ED73" s="364">
        <f>IF(Model!ED278&lt;&gt;"",Model!ED278,"")</f>
        <v>19.3</v>
      </c>
      <c r="EE73" s="364">
        <f>IF(Model!EF278&lt;&gt;"",Model!EE278,"")</f>
        <v>19.3</v>
      </c>
      <c r="EF73" s="1211">
        <f>IF(Model!EF278&lt;&gt;"",Model!EF278,"")</f>
        <v>19.3</v>
      </c>
      <c r="EG73" s="364">
        <f>IF(Model!EG278&lt;&gt;"",Model!EG278,"")</f>
        <v>19.3</v>
      </c>
      <c r="EH73" s="364">
        <f>IF(Model!EI278&lt;&gt;"",Model!EH278,"")</f>
        <v>19.3</v>
      </c>
      <c r="EI73" s="1211">
        <f>IF(Model!EI278&lt;&gt;"",Model!EI278,"")</f>
        <v>19.3</v>
      </c>
      <c r="EJ73" s="364">
        <f>IF(Model!EJ278&lt;&gt;"",Model!EJ278,"")</f>
        <v>19.3</v>
      </c>
      <c r="EK73" s="364">
        <f>IF(Model!EL278&lt;&gt;"",Model!EK278,"")</f>
        <v>19.3</v>
      </c>
      <c r="EL73" s="1211">
        <f>IF(Model!EL278&lt;&gt;"",Model!EL278,"")</f>
        <v>19.3</v>
      </c>
      <c r="EM73" s="364">
        <f>IF(Model!EM278&lt;&gt;"",Model!EM278,"")</f>
        <v>19.3</v>
      </c>
      <c r="EN73" s="364">
        <f>IF(Model!EO278&lt;&gt;"",Model!EN278,"")</f>
        <v>19.3</v>
      </c>
      <c r="EO73" s="1211">
        <f>IF(Model!EO278&lt;&gt;"",Model!EO278,"")</f>
        <v>19.3</v>
      </c>
      <c r="EP73" s="364">
        <f>IF(Model!EP278&lt;&gt;"",Model!EP278,"")</f>
        <v>19.3</v>
      </c>
      <c r="EQ73" s="364">
        <f>IF(Model!ER278&lt;&gt;"",Model!EQ278,"")</f>
        <v>19.3</v>
      </c>
      <c r="ER73" s="1211">
        <f>IF(Model!ER278&lt;&gt;"",Model!ER278,"")</f>
        <v>19.3</v>
      </c>
      <c r="ES73" s="364">
        <f>IF(Model!ES278&lt;&gt;"",Model!ES278,"")</f>
        <v>19.3</v>
      </c>
      <c r="ET73" s="364">
        <f>IF(Model!EU278&lt;&gt;"",Model!ET278,"")</f>
        <v>19.3</v>
      </c>
      <c r="EU73" s="1211">
        <f>IF(Model!EU278&lt;&gt;"",Model!EU278,"")</f>
        <v>19.3</v>
      </c>
      <c r="EV73" s="364">
        <f>IF(Model!EV278&lt;&gt;"",Model!EV278,"")</f>
        <v>19.3</v>
      </c>
      <c r="EW73" s="364">
        <f>IF(Model!EX278&lt;&gt;"",Model!EW278,"")</f>
        <v>19.3</v>
      </c>
      <c r="EX73" s="1211">
        <f>IF(Model!EX278&lt;&gt;"",Model!EX278,"")</f>
        <v>19.3</v>
      </c>
      <c r="EY73" s="364">
        <f>IF(Model!EY278&lt;&gt;"",Model!EY278,"")</f>
        <v>19.3</v>
      </c>
      <c r="EZ73" s="364">
        <f>IF(Model!FA278&lt;&gt;"",Model!EZ278,"")</f>
        <v>19.3</v>
      </c>
      <c r="FA73" s="364">
        <f>IF(Model!FA278&lt;&gt;"",Model!FA278,"")</f>
        <v>19.3</v>
      </c>
    </row>
    <row r="74" spans="1:157" ht="13.35" customHeight="1" outlineLevel="1">
      <c r="A74" s="5"/>
      <c r="B74" s="5" t="s">
        <v>552</v>
      </c>
      <c r="C74" s="5"/>
      <c r="D74" s="362"/>
      <c r="E74" s="363"/>
      <c r="F74" s="363"/>
      <c r="G74" s="363"/>
      <c r="H74" s="363" t="str">
        <f>IF(AND(G71&lt;&gt;"",H71&lt;&gt;""),(G71+H71)/2,"")</f>
        <v/>
      </c>
      <c r="I74" s="363" t="str">
        <f>IF(AND(H71&lt;&gt;"",I71&lt;&gt;""),(H71+I71)/2,"")</f>
        <v/>
      </c>
      <c r="J74" s="363" t="str">
        <f>IF(AND(G71&lt;&gt;"",J71&lt;&gt;""),(G71+J71)/2,"")</f>
        <v/>
      </c>
      <c r="K74" s="363" t="str">
        <f>IF(AND(J71&lt;&gt;"",K71&lt;&gt;""),(J71+K71)/2,"")</f>
        <v/>
      </c>
      <c r="L74" s="363" t="str">
        <f>IF(AND(K71&lt;&gt;"",L71&lt;&gt;""),(K71+L71)/2,"")</f>
        <v/>
      </c>
      <c r="M74" s="363" t="str">
        <f>IF(AND(J71&lt;&gt;"",M71&lt;&gt;""),(J71+M71)/2,"")</f>
        <v/>
      </c>
      <c r="N74" s="363" t="str">
        <f>IF(AND(M71&lt;&gt;"",N71&lt;&gt;""),(M71+N71)/2,"")</f>
        <v/>
      </c>
      <c r="O74" s="363" t="str">
        <f>IF(AND(N71&lt;&gt;"",O71&lt;&gt;""),(N71+O71)/2,"")</f>
        <v/>
      </c>
      <c r="P74" s="363" t="str">
        <f>IF(AND(M71&lt;&gt;"",P71&lt;&gt;""),(M71+P71)/2,"")</f>
        <v/>
      </c>
      <c r="Q74" s="363" t="str">
        <f>IF(AND(P71&lt;&gt;"",Q71&lt;&gt;""),(P71+Q71)/2,"")</f>
        <v/>
      </c>
      <c r="R74" s="363" t="str">
        <f>IF(AND(Q71&lt;&gt;"",R71&lt;&gt;""),(Q71+R71)/2,"")</f>
        <v/>
      </c>
      <c r="S74" s="363" t="str">
        <f>IF(AND(P71&lt;&gt;"",S71&lt;&gt;""),(P71+S71)/2,"")</f>
        <v/>
      </c>
      <c r="T74" s="363" t="str">
        <f>IF(AND(S71&lt;&gt;"",T71&lt;&gt;""),(S71+T71)/2,"")</f>
        <v/>
      </c>
      <c r="U74" s="363" t="str">
        <f>IF(AND(T71&lt;&gt;"",U71&lt;&gt;""),(T71+U71)/2,"")</f>
        <v/>
      </c>
      <c r="V74" s="363" t="str">
        <f>IF(AND(S71&lt;&gt;"",V71&lt;&gt;""),(S71+V71)/2,"")</f>
        <v/>
      </c>
      <c r="W74" s="363" t="str">
        <f>IF(AND(V71&lt;&gt;"",W71&lt;&gt;""),(V71+W71)/2,"")</f>
        <v/>
      </c>
      <c r="X74" s="363" t="str">
        <f>IF(AND(W71&lt;&gt;"",X71&lt;&gt;""),(W71+X71)/2,"")</f>
        <v/>
      </c>
      <c r="Y74" s="363" t="str">
        <f>IF(AND(V71&lt;&gt;"",Y71&lt;&gt;""),(V71+Y71)/2,"")</f>
        <v/>
      </c>
      <c r="Z74" s="363" t="str">
        <f>IF(AND(Y71&lt;&gt;"",Z71&lt;&gt;""),(Y71+Z71)/2,"")</f>
        <v/>
      </c>
      <c r="AA74" s="363" t="str">
        <f>IF(AND(Z71&lt;&gt;"",AA71&lt;&gt;""),(Z71+AA71)/2,"")</f>
        <v/>
      </c>
      <c r="AB74" s="363" t="str">
        <f>IF(AND(Y71&lt;&gt;"",AB71&lt;&gt;""),(Y71+AB71)/2,"")</f>
        <v/>
      </c>
      <c r="AC74" s="363" t="str">
        <f>IF(AND(AB71&lt;&gt;"",AC71&lt;&gt;""),(AB71+AC71)/2,"")</f>
        <v/>
      </c>
      <c r="AD74" s="363" t="str">
        <f>IF(AND(AC71&lt;&gt;"",AD71&lt;&gt;""),(AC71+AD71)/2,"")</f>
        <v/>
      </c>
      <c r="AE74" s="363" t="str">
        <f>IF(AND(AB71&lt;&gt;"",AE71&lt;&gt;""),(AB71+AE71)/2,"")</f>
        <v/>
      </c>
      <c r="AF74" s="363" t="str">
        <f>IF(AND(AE71&lt;&gt;"",AF71&lt;&gt;""),(AE71+AF71)/2,"")</f>
        <v/>
      </c>
      <c r="AG74" s="363" t="str">
        <f>IF(AND(AF71&lt;&gt;"",AG71&lt;&gt;""),(AF71+AG71)/2,"")</f>
        <v/>
      </c>
      <c r="AH74" s="363" t="str">
        <f>IF(AND(AE71&lt;&gt;"",AH71&lt;&gt;""),(AE71+AH71)/2,"")</f>
        <v/>
      </c>
      <c r="AI74" s="363" t="str">
        <f>IF(AND(AH71&lt;&gt;"",AI71&lt;&gt;""),(AH71+AI71)/2,"")</f>
        <v/>
      </c>
      <c r="AJ74" s="363" t="str">
        <f>IF(AND(AI71&lt;&gt;"",AJ71&lt;&gt;""),(AI71+AJ71)/2,"")</f>
        <v/>
      </c>
      <c r="AK74" s="363" t="str">
        <f>IF(AND(AH71&lt;&gt;"",AK71&lt;&gt;""),(AH71+AK71)/2,"")</f>
        <v/>
      </c>
      <c r="AL74" s="363" t="str">
        <f>IF(AND(AK71&lt;&gt;"",AL71&lt;&gt;""),(AK71+AL71)/2,"")</f>
        <v/>
      </c>
      <c r="AM74" s="363" t="str">
        <f>IF(AND(AL71&lt;&gt;"",AM71&lt;&gt;""),(AL71+AM71)/2,"")</f>
        <v/>
      </c>
      <c r="AN74" s="363" t="str">
        <f>IF(AND(AK71&lt;&gt;"",AN71&lt;&gt;""),(AK71+AN71)/2,"")</f>
        <v/>
      </c>
      <c r="AO74" s="363" t="str">
        <f>IF(AND(AN71&lt;&gt;"",AO71&lt;&gt;""),(AN71+AO71)/2,"")</f>
        <v/>
      </c>
      <c r="AP74" s="363" t="str">
        <f>IF(AND(AO71&lt;&gt;"",AP71&lt;&gt;""),(AO71+AP71)/2,"")</f>
        <v/>
      </c>
      <c r="AQ74" s="363" t="str">
        <f>IF(AND(AN71&lt;&gt;"",AQ71&lt;&gt;""),(AN71+AQ71)/2,"")</f>
        <v/>
      </c>
      <c r="AR74" s="363" t="str">
        <f>IF(AND(AQ71&lt;&gt;"",AR71&lt;&gt;""),(AQ71+AR71)/2,"")</f>
        <v/>
      </c>
      <c r="AS74" s="363" t="str">
        <f>IF(AND(AR71&lt;&gt;"",AS71&lt;&gt;""),(AR71+AS71)/2,"")</f>
        <v/>
      </c>
      <c r="AT74" s="363" t="str">
        <f>IF(AND(AQ71&lt;&gt;"",AT71&lt;&gt;""),(AQ71+AT71)/2,"")</f>
        <v/>
      </c>
      <c r="AU74" s="363" t="str">
        <f>IF(AND(AT71&lt;&gt;"",AU71&lt;&gt;""),(AT71+AU71)/2,"")</f>
        <v/>
      </c>
      <c r="AV74" s="363" t="str">
        <f>IF(AND(AU71&lt;&gt;"",AV71&lt;&gt;""),(AU71+AV71)/2,"")</f>
        <v/>
      </c>
      <c r="AW74" s="363" t="str">
        <f>IF(AND(AT71&lt;&gt;"",AW71&lt;&gt;""),(AT71+AW71)/2,"")</f>
        <v/>
      </c>
      <c r="AX74" s="363" t="str">
        <f>IF(AND(AW71&lt;&gt;"",AX71&lt;&gt;""),(AW71+AX71)/2,"")</f>
        <v/>
      </c>
      <c r="AY74" s="363" t="str">
        <f>IF(AND(AX71&lt;&gt;"",AY71&lt;&gt;""),(AX71+AY71)/2,"")</f>
        <v/>
      </c>
      <c r="AZ74" s="363" t="str">
        <f>IF(AND(AW71&lt;&gt;"",AZ71&lt;&gt;""),(AW71+AZ71)/2,"")</f>
        <v/>
      </c>
      <c r="BA74" s="363" t="str">
        <f>IF(AND(AZ71&lt;&gt;"",BA71&lt;&gt;""),(AZ71+BA71)/2,"")</f>
        <v/>
      </c>
      <c r="BB74" s="363" t="str">
        <f>IF(AND(BA71&lt;&gt;"",BB71&lt;&gt;""),(BA71+BB71)/2,"")</f>
        <v/>
      </c>
      <c r="BC74" s="363" t="str">
        <f>IF(AND(AZ71&lt;&gt;"",BC71&lt;&gt;""),(AZ71+BC71)/2,"")</f>
        <v/>
      </c>
      <c r="BD74" s="363" t="str">
        <f>IF(AND(BC71&lt;&gt;"",BD71&lt;&gt;""),(BC71+BD71)/2,"")</f>
        <v/>
      </c>
      <c r="BE74" s="363" t="str">
        <f>IF(AND(BD71&lt;&gt;"",BE71&lt;&gt;""),(BD71+BE71)/2,"")</f>
        <v/>
      </c>
      <c r="BF74" s="363" t="str">
        <f>IF(AND(BC71&lt;&gt;"",BF71&lt;&gt;""),(BC71+BF71)/2,"")</f>
        <v/>
      </c>
      <c r="BG74" s="363" t="str">
        <f>IF(AND(BF71&lt;&gt;"",BG71&lt;&gt;""),(BF71+BG71)/2,"")</f>
        <v/>
      </c>
      <c r="BH74" s="363" t="str">
        <f>IF(AND(BG71&lt;&gt;"",BH71&lt;&gt;""),(BG71+BH71)/2,"")</f>
        <v/>
      </c>
      <c r="BI74" s="363" t="str">
        <f>IF(AND(BF71&lt;&gt;"",BI71&lt;&gt;""),(BF71+BI71)/2,"")</f>
        <v/>
      </c>
      <c r="BJ74" s="363" t="str">
        <f>IF(AND(BI71&lt;&gt;"",BJ71&lt;&gt;""),(BI71+BJ71)/2,"")</f>
        <v/>
      </c>
      <c r="BK74" s="363" t="str">
        <f>IF(AND(BJ71&lt;&gt;"",BK71&lt;&gt;""),(BJ71+BK71)/2,"")</f>
        <v/>
      </c>
      <c r="BL74" s="363" t="str">
        <f>IF(AND(BI71&lt;&gt;"",BL71&lt;&gt;""),(BI71+BL71)/2,"")</f>
        <v/>
      </c>
      <c r="BM74" s="363" t="str">
        <f>IF(AND(BL71&lt;&gt;"",BM71&lt;&gt;""),(BL71+BM71)/2,"")</f>
        <v/>
      </c>
      <c r="BN74" s="363" t="str">
        <f>IF(AND(BM71&lt;&gt;"",BN71&lt;&gt;""),(BM71+BN71)/2,"")</f>
        <v/>
      </c>
      <c r="BO74" s="363" t="str">
        <f>IF(AND(BL71&lt;&gt;"",BO71&lt;&gt;""),(BL71+BO71)/2,"")</f>
        <v/>
      </c>
      <c r="BP74" s="363" t="str">
        <f>IF(AND(BO71&lt;&gt;"",BP71&lt;&gt;""),(BO71+BP71)/2,"")</f>
        <v/>
      </c>
      <c r="BQ74" s="363" t="str">
        <f>IF(AND(BP71&lt;&gt;"",BQ71&lt;&gt;""),(BP71+BQ71)/2,"")</f>
        <v/>
      </c>
      <c r="BR74" s="363" t="str">
        <f>IF(AND(BO71&lt;&gt;"",BR71&lt;&gt;""),(BO71+BR71)/2,"")</f>
        <v/>
      </c>
      <c r="BS74" s="363" t="str">
        <f>IF(AND(BR71&lt;&gt;"",BS71&lt;&gt;""),(BR71+BS71)/2,"")</f>
        <v/>
      </c>
      <c r="BT74" s="363" t="str">
        <f>IF(AND(BS71&lt;&gt;"",BT71&lt;&gt;""),(BS71+BT71)/2,"")</f>
        <v/>
      </c>
      <c r="BU74" s="363" t="str">
        <f>IF(AND(BR71&lt;&gt;"",BU71&lt;&gt;""),(BR71+BU71)/2,"")</f>
        <v/>
      </c>
      <c r="BV74" s="363" t="str">
        <f>IF(AND(BU71&lt;&gt;"",BV71&lt;&gt;""),(BU71+BV71)/2,"")</f>
        <v/>
      </c>
      <c r="BW74" s="363" t="str">
        <f>IF(AND(BV71&lt;&gt;"",BW71&lt;&gt;""),(BV71+BW71)/2,"")</f>
        <v/>
      </c>
      <c r="BX74" s="363" t="str">
        <f>IF(AND(BU71&lt;&gt;"",BX71&lt;&gt;""),(BU71+BX71)/2,"")</f>
        <v/>
      </c>
      <c r="BY74" s="363" t="str">
        <f>IF(AND(BX71&lt;&gt;"",BY71&lt;&gt;""),(BX71+BY71)/2,"")</f>
        <v/>
      </c>
      <c r="BZ74" s="363" t="str">
        <f>IF(AND(BY71&lt;&gt;"",BZ71&lt;&gt;""),(BY71+BZ71)/2,"")</f>
        <v/>
      </c>
      <c r="CA74" s="363" t="str">
        <f>IF(AND(BX71&lt;&gt;"",CA71&lt;&gt;""),(BX71+CA71)/2,"")</f>
        <v/>
      </c>
      <c r="CB74" s="363" t="str">
        <f>IF(AND(CA71&lt;&gt;"",CB71&lt;&gt;""),(CA71+CB71)/2,"")</f>
        <v/>
      </c>
      <c r="CC74" s="363" t="str">
        <f>IF(AND(CB71&lt;&gt;"",CC71&lt;&gt;""),(CB71+CC71)/2,"")</f>
        <v/>
      </c>
      <c r="CD74" s="363" t="str">
        <f>IF(AND(CA71&lt;&gt;"",CD71&lt;&gt;""),(CA71+CD71)/2,"")</f>
        <v/>
      </c>
      <c r="CE74" s="363" t="str">
        <f>IF(AND(CD71&lt;&gt;"",CE71&lt;&gt;""),(CD71+CE71)/2,"")</f>
        <v/>
      </c>
      <c r="CF74" s="363" t="str">
        <f>IF(AND(CE71&lt;&gt;"",CF71&lt;&gt;""),(CE71+CF71)/2,"")</f>
        <v/>
      </c>
      <c r="CG74" s="363" t="str">
        <f>IF(AND(CD71&lt;&gt;"",CG71&lt;&gt;""),(CD71+CG71)/2,"")</f>
        <v/>
      </c>
      <c r="CH74" s="363" t="str">
        <f>IF(AND(CG71&lt;&gt;"",CH71&lt;&gt;""),(CG71+CH71)/2,"")</f>
        <v/>
      </c>
      <c r="CI74" s="363" t="str">
        <f>IF(AND(CH71&lt;&gt;"",CI71&lt;&gt;""),(CH71+CI71)/2,"")</f>
        <v/>
      </c>
      <c r="CJ74" s="363" t="str">
        <f>IF(AND(CG71&lt;&gt;"",CJ71&lt;&gt;""),(CG71+CJ71)/2,"")</f>
        <v/>
      </c>
      <c r="CK74" s="363" t="str">
        <f>IF(AND(CJ71&lt;&gt;"",CK71&lt;&gt;""),(CJ71+CK71)/2,"")</f>
        <v/>
      </c>
      <c r="CL74" s="363" t="str">
        <f>IF(AND(CK71&lt;&gt;"",CL71&lt;&gt;""),(CK71+CL71)/2,"")</f>
        <v/>
      </c>
      <c r="CM74" s="363" t="str">
        <f>IF(AND(CJ71&lt;&gt;"",CM71&lt;&gt;""),(CJ71+CM71)/2,"")</f>
        <v/>
      </c>
      <c r="CN74" s="363" t="str">
        <f>IF(AND(CM71&lt;&gt;"",CN71&lt;&gt;""),(CM71+CN71)/2,"")</f>
        <v/>
      </c>
      <c r="CO74" s="363" t="str">
        <f>IF(AND(CN71&lt;&gt;"",CO71&lt;&gt;""),(CN71+CO71)/2,"")</f>
        <v/>
      </c>
      <c r="CP74" s="363" t="str">
        <f>IF(AND(CM71&lt;&gt;"",CP71&lt;&gt;""),(CM71+CP71)/2,"")</f>
        <v/>
      </c>
      <c r="CQ74" s="363" t="str">
        <f>IF(AND(CP71&lt;&gt;"",CQ71&lt;&gt;""),(CP71+CQ71)/2,"")</f>
        <v/>
      </c>
      <c r="CR74" s="363" t="str">
        <f>IF(AND(CQ71&lt;&gt;"",CR71&lt;&gt;""),(CQ71+CR71)/2,"")</f>
        <v/>
      </c>
      <c r="CS74" s="363" t="str">
        <f>IF(AND(CP71&lt;&gt;"",CS71&lt;&gt;""),(CP71+CS71)/2,"")</f>
        <v/>
      </c>
      <c r="CT74" s="363" t="str">
        <f>IF(AND(CS71&lt;&gt;"",CT71&lt;&gt;""),(CS71+CT71)/2,"")</f>
        <v/>
      </c>
      <c r="CU74" s="363" t="str">
        <f>IF(AND(CT71&lt;&gt;"",CU71&lt;&gt;""),(CT71+CU71)/2,"")</f>
        <v/>
      </c>
      <c r="CV74" s="363" t="str">
        <f>IF(AND(CS71&lt;&gt;"",CV71&lt;&gt;""),(CS71+CV71)/2,"")</f>
        <v/>
      </c>
      <c r="CW74" s="363" t="str">
        <f>IF(AND(CV71&lt;&gt;"",CW71&lt;&gt;""),(CV71+CW71)/2,"")</f>
        <v/>
      </c>
      <c r="CX74" s="363" t="str">
        <f>IF(AND(CW71&lt;&gt;"",CX71&lt;&gt;""),(CW71+CX71)/2,"")</f>
        <v/>
      </c>
      <c r="CY74" s="363" t="str">
        <f>IF(AND(CV71&lt;&gt;"",CY71&lt;&gt;""),(CV71+CY71)/2,"")</f>
        <v/>
      </c>
      <c r="CZ74" s="363" t="str">
        <f>IF(AND(CY71&lt;&gt;"",CZ71&lt;&gt;""),(CY71+CZ71)/2,"")</f>
        <v/>
      </c>
      <c r="DA74" s="363" t="str">
        <f>IF(AND(CZ71&lt;&gt;"",DA71&lt;&gt;""),(CZ71+DA71)/2,"")</f>
        <v/>
      </c>
      <c r="DB74" s="363" t="str">
        <f>IF(AND(CY71&lt;&gt;"",DB71&lt;&gt;""),(CY71+DB71)/2,"")</f>
        <v/>
      </c>
      <c r="DC74" s="363" t="str">
        <f>IF(AND(DB71&lt;&gt;"",DC71&lt;&gt;""),(DB71+DC71)/2,"")</f>
        <v/>
      </c>
      <c r="DD74" s="363" t="str">
        <f>IF(AND(DC71&lt;&gt;"",DD71&lt;&gt;""),(DC71+DD71)/2,"")</f>
        <v/>
      </c>
      <c r="DE74" s="363" t="str">
        <f>IF(AND(DB71&lt;&gt;"",DE71&lt;&gt;""),(DB71+DE71)/2,"")</f>
        <v/>
      </c>
      <c r="DF74" s="363" t="str">
        <f>IF(AND(DE71&lt;&gt;"",DF71&lt;&gt;""),(DE71+DF71)/2,"")</f>
        <v/>
      </c>
      <c r="DG74" s="363" t="str">
        <f>IF(AND(DF71&lt;&gt;"",DG71&lt;&gt;""),(DF71+DG71)/2,"")</f>
        <v/>
      </c>
      <c r="DH74" s="363" t="str">
        <f>IF(AND(DE71&lt;&gt;"",DH71&lt;&gt;""),(DE71+DH71)/2,"")</f>
        <v/>
      </c>
      <c r="DI74" s="363" t="str">
        <f>IF(AND(DH71&lt;&gt;"",DI71&lt;&gt;""),(DH71+DI71)/2,"")</f>
        <v/>
      </c>
      <c r="DJ74" s="363" t="str">
        <f>IF(AND(DI71&lt;&gt;"",DJ71&lt;&gt;""),(DI71+DJ71)/2,"")</f>
        <v/>
      </c>
      <c r="DK74" s="1210" t="str">
        <f>IF(AND(DH71&lt;&gt;"",DK71&lt;&gt;""),(DH71+DK71)/2,"")</f>
        <v/>
      </c>
      <c r="DL74" s="363" t="str">
        <f>IF(AND(DK71&lt;&gt;"",DL71&lt;&gt;""),(DK71+DL71)/2,"")</f>
        <v/>
      </c>
      <c r="DM74" s="363" t="str">
        <f>IF(AND(DL71&lt;&gt;"",DM71&lt;&gt;""),(DL71+DM71)/2,"")</f>
        <v/>
      </c>
      <c r="DN74" s="1210" t="str">
        <f>IF(AND(DK71&lt;&gt;"",DN71&lt;&gt;""),(DK71+DN71)/2,"")</f>
        <v/>
      </c>
      <c r="DO74" s="363" t="str">
        <f>IF(AND(DN71&lt;&gt;"",DO71&lt;&gt;""),(DN71+DO71)/2,"")</f>
        <v/>
      </c>
      <c r="DP74" s="363" t="str">
        <f>IF(AND(DO71&lt;&gt;"",DP71&lt;&gt;""),(DO71+DP71)/2,"")</f>
        <v/>
      </c>
      <c r="DQ74" s="1210" t="str">
        <f>IF(AND(DN71&lt;&gt;"",DQ71&lt;&gt;""),(DN71+DQ71)/2,"")</f>
        <v/>
      </c>
      <c r="DR74" s="363" t="str">
        <f>IF(AND(DQ71&lt;&gt;"",DR71&lt;&gt;""),(DQ71+DR71)/2,"")</f>
        <v/>
      </c>
      <c r="DS74" s="363" t="str">
        <f>IF(AND(DR71&lt;&gt;"",DS71&lt;&gt;""),(DR71+DS71)/2,"")</f>
        <v/>
      </c>
      <c r="DT74" s="1210" t="str">
        <f>IF(AND(DQ71&lt;&gt;"",DT71&lt;&gt;""),(DQ71+DT71)/2,"")</f>
        <v/>
      </c>
      <c r="DU74" s="363" t="str">
        <f>IF(AND(DT71&lt;&gt;"",DU71&lt;&gt;""),(DT71+DU71)/2,"")</f>
        <v/>
      </c>
      <c r="DV74" s="363" t="str">
        <f>IF(AND(DU71&lt;&gt;"",DV71&lt;&gt;""),(DU71+DV71)/2,"")</f>
        <v/>
      </c>
      <c r="DW74" s="1210" t="str">
        <f>IF(AND(DT71&lt;&gt;"",DW71&lt;&gt;""),(DT71+DW71)/2,"")</f>
        <v/>
      </c>
      <c r="DX74" s="363" t="str">
        <f>IF(AND(DW71&lt;&gt;"",DX71&lt;&gt;""),(DW71+DX71)/2,"")</f>
        <v/>
      </c>
      <c r="DY74" s="363" t="str">
        <f>IF(AND(DX71&lt;&gt;"",DY71&lt;&gt;""),(DX71+DY71)/2,"")</f>
        <v/>
      </c>
      <c r="DZ74" s="1210" t="str">
        <f>IF(AND(DW71&lt;&gt;"",DZ71&lt;&gt;""),(DW71+DZ71)/2,"")</f>
        <v/>
      </c>
      <c r="EA74" s="363" t="str">
        <f>IF(AND(DZ71&lt;&gt;"",EA71&lt;&gt;""),(DZ71+EA71)/2,"")</f>
        <v/>
      </c>
      <c r="EB74" s="363" t="str">
        <f>IF(AND(EA71&lt;&gt;"",EB71&lt;&gt;""),(EA71+EB71)/2,"")</f>
        <v/>
      </c>
      <c r="EC74" s="1210" t="str">
        <f>IF(AND(DZ71&lt;&gt;"",EC71&lt;&gt;""),(DZ71+EC71)/2,"")</f>
        <v/>
      </c>
      <c r="ED74" s="363" t="str">
        <f>IF(AND(EC71&lt;&gt;"",ED71&lt;&gt;""),(EC71+ED71)/2,"")</f>
        <v/>
      </c>
      <c r="EE74" s="363" t="str">
        <f>IF(AND(ED71&lt;&gt;"",EE71&lt;&gt;""),(ED71+EE71)/2,"")</f>
        <v/>
      </c>
      <c r="EF74" s="1210" t="str">
        <f>IF(AND(EC71&lt;&gt;"",EF71&lt;&gt;""),(EC71+EF71)/2,"")</f>
        <v/>
      </c>
      <c r="EG74" s="363" t="str">
        <f>IF(AND(EF71&lt;&gt;"",EG71&lt;&gt;""),(EF71+EG71)/2,"")</f>
        <v/>
      </c>
      <c r="EH74" s="363" t="str">
        <f>IF(AND(EG71&lt;&gt;"",EH71&lt;&gt;""),(EG71+EH71)/2,"")</f>
        <v/>
      </c>
      <c r="EI74" s="1210" t="str">
        <f>IF(AND(EF71&lt;&gt;"",EI71&lt;&gt;""),(EF71+EI71)/2,"")</f>
        <v/>
      </c>
      <c r="EJ74" s="363" t="str">
        <f>IF(AND(EI71&lt;&gt;"",EJ71&lt;&gt;""),(EI71+EJ71)/2,"")</f>
        <v/>
      </c>
      <c r="EK74" s="363" t="str">
        <f>IF(AND(EJ71&lt;&gt;"",EK71&lt;&gt;""),(EJ71+EK71)/2,"")</f>
        <v/>
      </c>
      <c r="EL74" s="1210" t="str">
        <f>IF(AND(EI71&lt;&gt;"",EL71&lt;&gt;""),(EI71+EL71)/2,"")</f>
        <v/>
      </c>
      <c r="EM74" s="363" t="str">
        <f>IF(AND(EL71&lt;&gt;"",EM71&lt;&gt;""),(EL71+EM71)/2,"")</f>
        <v/>
      </c>
      <c r="EN74" s="363" t="str">
        <f>IF(AND(EM71&lt;&gt;"",EN71&lt;&gt;""),(EM71+EN71)/2,"")</f>
        <v/>
      </c>
      <c r="EO74" s="1210" t="str">
        <f>IF(AND(EL71&lt;&gt;"",EO71&lt;&gt;""),(EL71+EO71)/2,"")</f>
        <v/>
      </c>
      <c r="EP74" s="363" t="str">
        <f>IF(AND(EO71&lt;&gt;"",EP71&lt;&gt;""),(EO71+EP71)/2,"")</f>
        <v/>
      </c>
      <c r="EQ74" s="363" t="str">
        <f>IF(AND(EP71&lt;&gt;"",EQ71&lt;&gt;""),(EP71+EQ71)/2,"")</f>
        <v/>
      </c>
      <c r="ER74" s="1210" t="str">
        <f>IF(AND(EO71&lt;&gt;"",ER71&lt;&gt;""),(EO71+ER71)/2,"")</f>
        <v/>
      </c>
      <c r="ES74" s="363" t="str">
        <f>IF(AND(ER71&lt;&gt;"",ES71&lt;&gt;""),(ER71+ES71)/2,"")</f>
        <v/>
      </c>
      <c r="ET74" s="363" t="str">
        <f>IF(AND(ES71&lt;&gt;"",ET71&lt;&gt;""),(ES71+ET71)/2,"")</f>
        <v/>
      </c>
      <c r="EU74" s="1210" t="str">
        <f>IF(AND(ER71&lt;&gt;"",EU71&lt;&gt;""),(ER71+EU71)/2,"")</f>
        <v/>
      </c>
      <c r="EV74" s="363" t="str">
        <f>IF(AND(EU71&lt;&gt;"",EV71&lt;&gt;""),(EU71+EV71)/2,"")</f>
        <v/>
      </c>
      <c r="EW74" s="363" t="str">
        <f>IF(AND(EV71&lt;&gt;"",EW71&lt;&gt;""),(EV71+EW71)/2,"")</f>
        <v/>
      </c>
      <c r="EX74" s="1210" t="str">
        <f>IF(AND(EU71&lt;&gt;"",EX71&lt;&gt;""),(EU71+EX71)/2,"")</f>
        <v/>
      </c>
      <c r="EY74" s="363" t="str">
        <f>IF(AND(EX71&lt;&gt;"",EY71&lt;&gt;""),(EX71+EY71)/2,"")</f>
        <v/>
      </c>
      <c r="EZ74" s="363" t="str">
        <f>IF(AND(EY71&lt;&gt;"",EZ71&lt;&gt;""),(EY71+EZ71)/2,"")</f>
        <v/>
      </c>
      <c r="FA74" s="363" t="str">
        <f>IF(AND(EX71&lt;&gt;"",FA71&lt;&gt;""),(EX71+FA71)/2,"")</f>
        <v/>
      </c>
    </row>
    <row r="75" spans="1:157" ht="13.35" customHeight="1" outlineLevel="1">
      <c r="A75" s="5"/>
      <c r="B75" s="5" t="s">
        <v>553</v>
      </c>
      <c r="C75" s="5"/>
      <c r="D75" s="362"/>
      <c r="E75" s="363"/>
      <c r="F75" s="363"/>
      <c r="G75" s="363"/>
      <c r="H75" s="363" t="str">
        <f>IF(AND(G73&lt;&gt;"",H73&lt;&gt;""),(G73+H73)/2,"")</f>
        <v/>
      </c>
      <c r="I75" s="363" t="str">
        <f>IF(AND(H73&lt;&gt;"",I73&lt;&gt;""),(H73+I73)/2,"")</f>
        <v/>
      </c>
      <c r="J75" s="363" t="str">
        <f>IF(AND(G73&lt;&gt;"",J73&lt;&gt;""),(G73+J73)/2,"")</f>
        <v/>
      </c>
      <c r="K75" s="363" t="str">
        <f>IF(AND(J73&lt;&gt;"",K73&lt;&gt;""),(J73+K73)/2,"")</f>
        <v/>
      </c>
      <c r="L75" s="363" t="str">
        <f>IF(AND(K73&lt;&gt;"",L73&lt;&gt;""),(K73+L73)/2,"")</f>
        <v/>
      </c>
      <c r="M75" s="363" t="str">
        <f>IF(AND(J73&lt;&gt;"",M73&lt;&gt;""),(J73+M73)/2,"")</f>
        <v/>
      </c>
      <c r="N75" s="363" t="str">
        <f>IF(AND(M73&lt;&gt;"",N73&lt;&gt;""),(M73+N73)/2,"")</f>
        <v/>
      </c>
      <c r="O75" s="363" t="str">
        <f>IF(AND(N73&lt;&gt;"",O73&lt;&gt;""),(N73+O73)/2,"")</f>
        <v/>
      </c>
      <c r="P75" s="363" t="str">
        <f>IF(AND(M73&lt;&gt;"",P73&lt;&gt;""),(M73+P73)/2,"")</f>
        <v/>
      </c>
      <c r="Q75" s="363" t="str">
        <f>IF(AND(P73&lt;&gt;"",Q73&lt;&gt;""),(P73+Q73)/2,"")</f>
        <v/>
      </c>
      <c r="R75" s="363" t="str">
        <f>IF(AND(Q73&lt;&gt;"",R73&lt;&gt;""),(Q73+R73)/2,"")</f>
        <v/>
      </c>
      <c r="S75" s="363" t="str">
        <f>IF(AND(P73&lt;&gt;"",S73&lt;&gt;""),(P73+S73)/2,"")</f>
        <v/>
      </c>
      <c r="T75" s="363" t="str">
        <f>IF(AND(S73&lt;&gt;"",T73&lt;&gt;""),(S73+T73)/2,"")</f>
        <v/>
      </c>
      <c r="U75" s="363" t="str">
        <f>IF(AND(T73&lt;&gt;"",U73&lt;&gt;""),(T73+U73)/2,"")</f>
        <v/>
      </c>
      <c r="V75" s="363" t="str">
        <f>IF(AND(S73&lt;&gt;"",V73&lt;&gt;""),(S73+V73)/2,"")</f>
        <v/>
      </c>
      <c r="W75" s="363" t="str">
        <f>IF(AND(V73&lt;&gt;"",W73&lt;&gt;""),(V73+W73)/2,"")</f>
        <v/>
      </c>
      <c r="X75" s="363" t="str">
        <f>IF(AND(W73&lt;&gt;"",X73&lt;&gt;""),(W73+X73)/2,"")</f>
        <v/>
      </c>
      <c r="Y75" s="363" t="str">
        <f>IF(AND(V73&lt;&gt;"",Y73&lt;&gt;""),(V73+Y73)/2,"")</f>
        <v/>
      </c>
      <c r="Z75" s="363" t="str">
        <f>IF(AND(Y73&lt;&gt;"",Z73&lt;&gt;""),(Y73+Z73)/2,"")</f>
        <v/>
      </c>
      <c r="AA75" s="363" t="str">
        <f>IF(AND(Z73&lt;&gt;"",AA73&lt;&gt;""),(Z73+AA73)/2,"")</f>
        <v/>
      </c>
      <c r="AB75" s="363" t="str">
        <f>IF(AND(Y73&lt;&gt;"",AB73&lt;&gt;""),(Y73+AB73)/2,"")</f>
        <v/>
      </c>
      <c r="AC75" s="363" t="str">
        <f>IF(AND(AB73&lt;&gt;"",AC73&lt;&gt;""),(AB73+AC73)/2,"")</f>
        <v/>
      </c>
      <c r="AD75" s="363" t="str">
        <f>IF(AND(AC73&lt;&gt;"",AD73&lt;&gt;""),(AC73+AD73)/2,"")</f>
        <v/>
      </c>
      <c r="AE75" s="363" t="str">
        <f>IF(AND(AB73&lt;&gt;"",AE73&lt;&gt;""),(AB73+AE73)/2,"")</f>
        <v/>
      </c>
      <c r="AF75" s="363" t="str">
        <f>IF(AND(AE73&lt;&gt;"",AF73&lt;&gt;""),(AE73+AF73)/2,"")</f>
        <v/>
      </c>
      <c r="AG75" s="363" t="str">
        <f>IF(AND(AF73&lt;&gt;"",AG73&lt;&gt;""),(AF73+AG73)/2,"")</f>
        <v/>
      </c>
      <c r="AH75" s="363" t="str">
        <f>IF(AND(AE73&lt;&gt;"",AH73&lt;&gt;""),(AE73+AH73)/2,"")</f>
        <v/>
      </c>
      <c r="AI75" s="363" t="str">
        <f>IF(AND(AH73&lt;&gt;"",AI73&lt;&gt;""),(AH73+AI73)/2,"")</f>
        <v/>
      </c>
      <c r="AJ75" s="363" t="str">
        <f>IF(AND(AI73&lt;&gt;"",AJ73&lt;&gt;""),(AI73+AJ73)/2,"")</f>
        <v/>
      </c>
      <c r="AK75" s="363" t="str">
        <f>IF(AND(AH73&lt;&gt;"",AK73&lt;&gt;""),(AH73+AK73)/2,"")</f>
        <v/>
      </c>
      <c r="AL75" s="363" t="str">
        <f>IF(AND(AK73&lt;&gt;"",AL73&lt;&gt;""),(AK73+AL73)/2,"")</f>
        <v/>
      </c>
      <c r="AM75" s="363" t="str">
        <f>IF(AND(AL73&lt;&gt;"",AM73&lt;&gt;""),(AL73+AM73)/2,"")</f>
        <v/>
      </c>
      <c r="AN75" s="363" t="str">
        <f>IF(AND(AK73&lt;&gt;"",AN73&lt;&gt;""),(AK73+AN73)/2,"")</f>
        <v/>
      </c>
      <c r="AO75" s="363" t="str">
        <f>IF(AND(AN73&lt;&gt;"",AO73&lt;&gt;""),(AN73+AO73)/2,"")</f>
        <v/>
      </c>
      <c r="AP75" s="363" t="str">
        <f>IF(AND(AO73&lt;&gt;"",AP73&lt;&gt;""),(AO73+AP73)/2,"")</f>
        <v/>
      </c>
      <c r="AQ75" s="363" t="str">
        <f>IF(AND(AN73&lt;&gt;"",AQ73&lt;&gt;""),(AN73+AQ73)/2,"")</f>
        <v/>
      </c>
      <c r="AR75" s="363" t="str">
        <f>IF(AND(AQ73&lt;&gt;"",AR73&lt;&gt;""),(AQ73+AR73)/2,"")</f>
        <v/>
      </c>
      <c r="AS75" s="363" t="str">
        <f>IF(AND(AR73&lt;&gt;"",AS73&lt;&gt;""),(AR73+AS73)/2,"")</f>
        <v/>
      </c>
      <c r="AT75" s="363" t="str">
        <f>IF(AND(AQ73&lt;&gt;"",AT73&lt;&gt;""),(AQ73+AT73)/2,"")</f>
        <v/>
      </c>
      <c r="AU75" s="363" t="str">
        <f>IF(AND(AT73&lt;&gt;"",AU73&lt;&gt;""),(AT73+AU73)/2,"")</f>
        <v/>
      </c>
      <c r="AV75" s="363" t="str">
        <f>IF(AND(AU73&lt;&gt;"",AV73&lt;&gt;""),(AU73+AV73)/2,"")</f>
        <v/>
      </c>
      <c r="AW75" s="363" t="str">
        <f>IF(AND(AT73&lt;&gt;"",AW73&lt;&gt;""),(AT73+AW73)/2,"")</f>
        <v/>
      </c>
      <c r="AX75" s="363" t="str">
        <f>IF(AND(AW73&lt;&gt;"",AX73&lt;&gt;""),(AW73+AX73)/2,"")</f>
        <v/>
      </c>
      <c r="AY75" s="363">
        <f>IF(AND(AX73&lt;&gt;"",AY73&lt;&gt;""),(AX73+AY73)/2,"")</f>
        <v>0</v>
      </c>
      <c r="AZ75" s="363" t="str">
        <f>IF(AND(AW73&lt;&gt;"",AZ73&lt;&gt;""),(AW73+AZ73)/2,"")</f>
        <v/>
      </c>
      <c r="BA75" s="363">
        <f>IF(AND(AZ73&lt;&gt;"",BA73&lt;&gt;""),(AZ73+BA73)/2,"")</f>
        <v>0</v>
      </c>
      <c r="BB75" s="363">
        <f>IF(AND(BA73&lt;&gt;"",BB73&lt;&gt;""),(BA73+BB73)/2,"")</f>
        <v>0</v>
      </c>
      <c r="BC75" s="363">
        <f>IF(AND(AZ73&lt;&gt;"",BC73&lt;&gt;""),(AZ73+BC73)/2,"")</f>
        <v>0</v>
      </c>
      <c r="BD75" s="363">
        <f>IF(AND(BC73&lt;&gt;"",BD73&lt;&gt;""),(BC73+BD73)/2,"")</f>
        <v>0</v>
      </c>
      <c r="BE75" s="363">
        <f>IF(AND(BD73&lt;&gt;"",BE73&lt;&gt;""),(BD73+BE73)/2,"")</f>
        <v>1.9175</v>
      </c>
      <c r="BF75" s="363">
        <f>IF(AND(BC73&lt;&gt;"",BF73&lt;&gt;""),(BC73+BF73)/2,"")</f>
        <v>1.9175</v>
      </c>
      <c r="BG75" s="363">
        <f>IF(AND(BF73&lt;&gt;"",BG73&lt;&gt;""),(BF73+BG73)/2,"")</f>
        <v>5.4359999999999999</v>
      </c>
      <c r="BH75" s="363">
        <f>IF(AND(BG73&lt;&gt;"",BH73&lt;&gt;""),(BG73+BH73)/2,"")</f>
        <v>8.8719999999999999</v>
      </c>
      <c r="BI75" s="363">
        <f>IF(AND(BF73&lt;&gt;"",BI73&lt;&gt;""),(BF73+BI73)/2,"")</f>
        <v>7.2710000000000008</v>
      </c>
      <c r="BJ75" s="363">
        <f>IF(AND(BI73&lt;&gt;"",BJ73&lt;&gt;""),(BI73+BJ73)/2,"")</f>
        <v>7.7435000000000009</v>
      </c>
      <c r="BK75" s="363">
        <f>IF(AND(BJ73&lt;&gt;"",BK73&lt;&gt;""),(BJ73+BK73)/2,"")</f>
        <v>4.7805</v>
      </c>
      <c r="BL75" s="363">
        <f>IF(AND(BI73&lt;&gt;"",BL73&lt;&gt;""),(BI73+BL73)/2,"")</f>
        <v>7.7439999999999998</v>
      </c>
      <c r="BM75" s="363">
        <f>IF(AND(BL73&lt;&gt;"",BM73&lt;&gt;""),(BL73+BM73)/2,"")</f>
        <v>5.0939999999999994</v>
      </c>
      <c r="BN75" s="363">
        <f>IF(AND(BM73&lt;&gt;"",BN73&lt;&gt;""),(BM73+BN73)/2,"")</f>
        <v>8.9310000000000009</v>
      </c>
      <c r="BO75" s="363">
        <f>IF(AND(BL73&lt;&gt;"",BO73&lt;&gt;""),(BL73+BO73)/2,"")</f>
        <v>8.6180000000000003</v>
      </c>
      <c r="BP75" s="363">
        <f>IF(AND(BO73&lt;&gt;"",BP73&lt;&gt;""),(BO73+BP73)/2,"")</f>
        <v>17.095500000000001</v>
      </c>
      <c r="BQ75" s="363">
        <f>IF(AND(BP73&lt;&gt;"",BQ73&lt;&gt;""),(BP73+BQ73)/2,"")</f>
        <v>23.358499999999999</v>
      </c>
      <c r="BR75" s="363">
        <f>IF(AND(BO73&lt;&gt;"",BR73&lt;&gt;""),(BO73+BR73)/2,"")</f>
        <v>18.718</v>
      </c>
      <c r="BS75" s="363">
        <f>IF(AND(BR73&lt;&gt;"",BS73&lt;&gt;""),(BR73+BS73)/2,"")</f>
        <v>20.98</v>
      </c>
      <c r="BT75" s="363">
        <f>IF(AND(BS73&lt;&gt;"",BT73&lt;&gt;""),(BS73+BT73)/2,"")</f>
        <v>12.488</v>
      </c>
      <c r="BU75" s="363">
        <f>IF(AND(BR73&lt;&gt;"",BU73&lt;&gt;""),(BR73+BU73)/2,"")</f>
        <v>16.489000000000001</v>
      </c>
      <c r="BV75" s="363">
        <f>IF(AND(BU73&lt;&gt;"",BV73&lt;&gt;""),(BU73+BV73)/2,"")</f>
        <v>8.2605000000000004</v>
      </c>
      <c r="BW75" s="363">
        <f>IF(AND(BV73&lt;&gt;"",BW73&lt;&gt;""),(BV73+BW73)/2,"")</f>
        <v>5.6634999999999991</v>
      </c>
      <c r="BX75" s="363">
        <f>IF(AND(BU73&lt;&gt;"",BX73&lt;&gt;""),(BU73+BX73)/2,"")</f>
        <v>5.4</v>
      </c>
      <c r="BY75" s="363">
        <f>IF(AND(BX73&lt;&gt;"",BY73&lt;&gt;""),(BX73+BY73)/2,"")</f>
        <v>10.55</v>
      </c>
      <c r="BZ75" s="363">
        <f>IF(AND(BY73&lt;&gt;"",BZ73&lt;&gt;""),(BY73+BZ73)/2,"")</f>
        <v>11.829499999999999</v>
      </c>
      <c r="CA75" s="363">
        <f>IF(AND(BX73&lt;&gt;"",CA73&lt;&gt;""),(BX73+CA73)/2,"")</f>
        <v>4.0824999999999996</v>
      </c>
      <c r="CB75" s="363">
        <f>IF(AND(CA73&lt;&gt;"",CB73&lt;&gt;""),(CA73+CB73)/2,"")</f>
        <v>15.617999999999999</v>
      </c>
      <c r="CC75" s="363">
        <f>IF(AND(CB73&lt;&gt;"",CC73&lt;&gt;""),(CB73+CC73)/2,"")</f>
        <v>19.251999999999999</v>
      </c>
      <c r="CD75" s="363">
        <f>IF(AND(CA73&lt;&gt;"",CD73&lt;&gt;""),(CA73+CD73)/2,"")</f>
        <v>8.9960000000000004</v>
      </c>
      <c r="CE75" s="363">
        <f>IF(AND(CD73&lt;&gt;"",CE73&lt;&gt;""),(CD73+CE73)/2,"")</f>
        <v>23.003500000000003</v>
      </c>
      <c r="CF75" s="363">
        <f>IF(AND(CE73&lt;&gt;"",CF73&lt;&gt;""),(CE73+CF73)/2,"")</f>
        <v>25.332500000000003</v>
      </c>
      <c r="CG75" s="363">
        <f>IF(AND(CD73&lt;&gt;"",CG73&lt;&gt;""),(CD73+CG73)/2,"")</f>
        <v>14.959</v>
      </c>
      <c r="CH75" s="363">
        <f>IF(AND(CG73&lt;&gt;"",CH73&lt;&gt;""),(CG73+CH73)/2,"")</f>
        <v>11.952999999999999</v>
      </c>
      <c r="CI75" s="363">
        <f>IF(AND(CH73&lt;&gt;"",CI73&lt;&gt;""),(CH73+CI73)/2,"")</f>
        <v>13.071999999999999</v>
      </c>
      <c r="CJ75" s="363">
        <f>IF(AND(CG73&lt;&gt;"",CJ73&lt;&gt;""),(CG73+CJ73)/2,"")</f>
        <v>18.407</v>
      </c>
      <c r="CK75" s="363">
        <f>IF(AND(CJ73&lt;&gt;"",CK73&lt;&gt;""),(CJ73+CK73)/2,"")</f>
        <v>12.885999999999999</v>
      </c>
      <c r="CL75" s="363">
        <f>IF(AND(CK73&lt;&gt;"",CL73&lt;&gt;""),(CK73+CL73)/2,"")</f>
        <v>6.1240000000000006</v>
      </c>
      <c r="CM75" s="363">
        <f>IF(AND(CJ73&lt;&gt;"",CM73&lt;&gt;""),(CJ73+CM73)/2,"")</f>
        <v>12.763999999999999</v>
      </c>
      <c r="CN75" s="363">
        <f>IF(AND(CM73&lt;&gt;"",CN73&lt;&gt;""),(CM73+CN73)/2,"")</f>
        <v>4.4930000000000003</v>
      </c>
      <c r="CO75" s="363">
        <f>IF(AND(CN73&lt;&gt;"",CO73&lt;&gt;""),(CN73+CO73)/2,"")</f>
        <v>5.7130000000000001</v>
      </c>
      <c r="CP75" s="363">
        <f>IF(AND(CM73&lt;&gt;"",CP73&lt;&gt;""),(CM73+CP73)/2,"")</f>
        <v>7.2219999999999995</v>
      </c>
      <c r="CQ75" s="363">
        <f>IF(AND(CP73&lt;&gt;"",CQ73&lt;&gt;""),(CP73+CQ73)/2,"")</f>
        <v>12.3695</v>
      </c>
      <c r="CR75" s="363">
        <f>IF(AND(CQ73&lt;&gt;"",CR73&lt;&gt;""),(CQ73+CR73)/2,"")</f>
        <v>18.471</v>
      </c>
      <c r="CS75" s="363">
        <f>IF(AND(CP73&lt;&gt;"",CS73&lt;&gt;""),(CP73+CS73)/2,"")</f>
        <v>14.5435</v>
      </c>
      <c r="CT75" s="363">
        <f>IF(AND(CS73&lt;&gt;"",CT73&lt;&gt;""),(CS73+CT73)/2,"")</f>
        <v>17.552</v>
      </c>
      <c r="CU75" s="363">
        <f>IF(AND(CT73&lt;&gt;"",CU73&lt;&gt;""),(CT73+CU73)/2,"")</f>
        <v>14.08</v>
      </c>
      <c r="CV75" s="363">
        <f>IF(AND(CS73&lt;&gt;"",CV73&lt;&gt;""),(CS73+CV73)/2,"")</f>
        <v>17.173000000000002</v>
      </c>
      <c r="CW75" s="363">
        <f>IF(AND(CV73&lt;&gt;"",CW73&lt;&gt;""),(CV73+CW73)/2,"")</f>
        <v>19.570999999999998</v>
      </c>
      <c r="CX75" s="363">
        <f>IF(AND(CW73&lt;&gt;"",CX73&lt;&gt;""),(CW73+CX73)/2,"")</f>
        <v>25.883499999999998</v>
      </c>
      <c r="CY75" s="363">
        <f>IF(AND(CV73&lt;&gt;"",CY73&lt;&gt;""),(CV73+CY73)/2,"")</f>
        <v>20.013500000000001</v>
      </c>
      <c r="CZ75" s="363">
        <f>IF(AND(CY73&lt;&gt;"",CZ73&lt;&gt;""),(CY73+CZ73)/2,"")</f>
        <v>26.463000000000001</v>
      </c>
      <c r="DA75" s="363">
        <f>IF(AND(CZ73&lt;&gt;"",DA73&lt;&gt;""),(CZ73+DA73)/2,"")</f>
        <v>24.35</v>
      </c>
      <c r="DB75" s="363">
        <f>IF(AND(CY73&lt;&gt;"",DB73&lt;&gt;""),(CY73+DB73)/2,"")</f>
        <v>24.213000000000001</v>
      </c>
      <c r="DC75" s="363">
        <f>IF(AND(DB73&lt;&gt;"",DC73&lt;&gt;""),(DB73+DC73)/2,"")</f>
        <v>27.45</v>
      </c>
      <c r="DD75" s="363">
        <f>IF(AND(DC73&lt;&gt;"",DD73&lt;&gt;""),(DC73+DD73)/2,"")</f>
        <v>33.799999999999997</v>
      </c>
      <c r="DE75" s="363">
        <f>IF(AND(DB73&lt;&gt;"",DE73&lt;&gt;""),(DB73+DE73)/2,"")</f>
        <v>28.45</v>
      </c>
      <c r="DF75" s="363">
        <f>IF(AND(DE73&lt;&gt;"",DF73&lt;&gt;""),(DE73+DF73)/2,"")</f>
        <v>28.75</v>
      </c>
      <c r="DG75" s="363">
        <f>IF(AND(DF73&lt;&gt;"",DG73&lt;&gt;""),(DF73+DG73)/2,"")</f>
        <v>14.95</v>
      </c>
      <c r="DH75" s="363">
        <f>IF(AND(DE73&lt;&gt;"",DH73&lt;&gt;""),(DE73+DH73)/2,"")</f>
        <v>21</v>
      </c>
      <c r="DI75" s="363">
        <f>IF(AND(DH73&lt;&gt;"",DI73&lt;&gt;""),(DH73+DI73)/2,"")</f>
        <v>8.6999999999999993</v>
      </c>
      <c r="DJ75" s="363">
        <f>IF(AND(DI73&lt;&gt;"",DJ73&lt;&gt;""),(DI73+DJ73)/2,"")</f>
        <v>11.55</v>
      </c>
      <c r="DK75" s="1210">
        <f>IF(AND(DH73&lt;&gt;"",DK73&lt;&gt;""),(DH73+DK73)/2,"")</f>
        <v>10.050000000000001</v>
      </c>
      <c r="DL75" s="363">
        <f>IF(AND(DK73&lt;&gt;"",DL73&lt;&gt;""),(DK73+DL73)/2,"")</f>
        <v>14.5</v>
      </c>
      <c r="DM75" s="363">
        <f>IF(AND(DL73&lt;&gt;"",DM73&lt;&gt;""),(DL73+DM73)/2,"")</f>
        <v>15.65</v>
      </c>
      <c r="DN75" s="1210">
        <f>IF(AND(DK73&lt;&gt;"",DN73&lt;&gt;""),(DK73+DN73)/2,"")</f>
        <v>14.05</v>
      </c>
      <c r="DO75" s="363">
        <f>IF(AND(DN73&lt;&gt;"",DO73&lt;&gt;""),(DN73+DO73)/2,"")</f>
        <v>16.850000000000001</v>
      </c>
      <c r="DP75" s="363">
        <f>IF(AND(DO73&lt;&gt;"",DP73&lt;&gt;""),(DO73+DP73)/2,"")</f>
        <v>18</v>
      </c>
      <c r="DQ75" s="1210">
        <f>IF(AND(DN73&lt;&gt;"",DQ73&lt;&gt;""),(DN73+DQ73)/2,"")</f>
        <v>16.350000000000001</v>
      </c>
      <c r="DR75" s="363">
        <f>IF(AND(DQ73&lt;&gt;"",DR73&lt;&gt;""),(DQ73+DR73)/2,"")</f>
        <v>19.399999999999999</v>
      </c>
      <c r="DS75" s="363">
        <f>IF(AND(DR73&lt;&gt;"",DS73&lt;&gt;""),(DR73+DS73)/2,"")</f>
        <v>19.450000000000003</v>
      </c>
      <c r="DT75" s="1210">
        <f>IF(AND(DQ73&lt;&gt;"",DT73&lt;&gt;""),(DQ73+DT73)/2,"")</f>
        <v>17.55</v>
      </c>
      <c r="DU75" s="363">
        <f>IF(AND(DT73&lt;&gt;"",DU73&lt;&gt;""),(DT73+DU73)/2,"")</f>
        <v>26.3</v>
      </c>
      <c r="DV75" s="363">
        <f>IF(AND(DU73&lt;&gt;"",DV73&lt;&gt;""),(DU73+DV73)/2,"")</f>
        <v>30.7</v>
      </c>
      <c r="DW75" s="1210">
        <f>IF(AND(DT73&lt;&gt;"",DW73&lt;&gt;""),(DT73+DW73)/2,"")</f>
        <v>22</v>
      </c>
      <c r="DX75" s="363">
        <f>IF(AND(DW73&lt;&gt;"",DX73&lt;&gt;""),(DW73+DX73)/2,"")</f>
        <v>22.85</v>
      </c>
      <c r="DY75" s="363">
        <f>IF(AND(DX73&lt;&gt;"",DY73&lt;&gt;""),(DX73+DY73)/2,"")</f>
        <v>19.3</v>
      </c>
      <c r="DZ75" s="1210">
        <f>IF(AND(DW73&lt;&gt;"",DZ73&lt;&gt;""),(DW73+DZ73)/2,"")</f>
        <v>22.85</v>
      </c>
      <c r="EA75" s="363">
        <f>IF(AND(DZ73&lt;&gt;"",EA73&lt;&gt;""),(DZ73+EA73)/2,"")</f>
        <v>19.3</v>
      </c>
      <c r="EB75" s="363">
        <f>IF(AND(EA73&lt;&gt;"",EB73&lt;&gt;""),(EA73+EB73)/2,"")</f>
        <v>19.3</v>
      </c>
      <c r="EC75" s="1210">
        <f>IF(AND(DZ73&lt;&gt;"",EC73&lt;&gt;""),(DZ73+EC73)/2,"")</f>
        <v>19.3</v>
      </c>
      <c r="ED75" s="363">
        <f>IF(AND(EC73&lt;&gt;"",ED73&lt;&gt;""),(EC73+ED73)/2,"")</f>
        <v>19.3</v>
      </c>
      <c r="EE75" s="363">
        <f>IF(AND(ED73&lt;&gt;"",EE73&lt;&gt;""),(ED73+EE73)/2,"")</f>
        <v>19.3</v>
      </c>
      <c r="EF75" s="1210">
        <f>IF(AND(EC73&lt;&gt;"",EF73&lt;&gt;""),(EC73+EF73)/2,"")</f>
        <v>19.3</v>
      </c>
      <c r="EG75" s="363">
        <f>IF(AND(EF73&lt;&gt;"",EG73&lt;&gt;""),(EF73+EG73)/2,"")</f>
        <v>19.3</v>
      </c>
      <c r="EH75" s="363">
        <f>IF(AND(EG73&lt;&gt;"",EH73&lt;&gt;""),(EG73+EH73)/2,"")</f>
        <v>19.3</v>
      </c>
      <c r="EI75" s="1210">
        <f>IF(AND(EF73&lt;&gt;"",EI73&lt;&gt;""),(EF73+EI73)/2,"")</f>
        <v>19.3</v>
      </c>
      <c r="EJ75" s="363">
        <f>IF(AND(EI73&lt;&gt;"",EJ73&lt;&gt;""),(EI73+EJ73)/2,"")</f>
        <v>19.3</v>
      </c>
      <c r="EK75" s="363">
        <f>IF(AND(EJ73&lt;&gt;"",EK73&lt;&gt;""),(EJ73+EK73)/2,"")</f>
        <v>19.3</v>
      </c>
      <c r="EL75" s="1210">
        <f>IF(AND(EI73&lt;&gt;"",EL73&lt;&gt;""),(EI73+EL73)/2,"")</f>
        <v>19.3</v>
      </c>
      <c r="EM75" s="363">
        <f>IF(AND(EL73&lt;&gt;"",EM73&lt;&gt;""),(EL73+EM73)/2,"")</f>
        <v>19.3</v>
      </c>
      <c r="EN75" s="363">
        <f>IF(AND(EM73&lt;&gt;"",EN73&lt;&gt;""),(EM73+EN73)/2,"")</f>
        <v>19.3</v>
      </c>
      <c r="EO75" s="1210">
        <f>IF(AND(EL73&lt;&gt;"",EO73&lt;&gt;""),(EL73+EO73)/2,"")</f>
        <v>19.3</v>
      </c>
      <c r="EP75" s="363">
        <f>IF(AND(EO73&lt;&gt;"",EP73&lt;&gt;""),(EO73+EP73)/2,"")</f>
        <v>19.3</v>
      </c>
      <c r="EQ75" s="363">
        <f>IF(AND(EP73&lt;&gt;"",EQ73&lt;&gt;""),(EP73+EQ73)/2,"")</f>
        <v>19.3</v>
      </c>
      <c r="ER75" s="1210">
        <f>IF(AND(EO73&lt;&gt;"",ER73&lt;&gt;""),(EO73+ER73)/2,"")</f>
        <v>19.3</v>
      </c>
      <c r="ES75" s="363">
        <f>IF(AND(ER73&lt;&gt;"",ES73&lt;&gt;""),(ER73+ES73)/2,"")</f>
        <v>19.3</v>
      </c>
      <c r="ET75" s="363">
        <f>IF(AND(ES73&lt;&gt;"",ET73&lt;&gt;""),(ES73+ET73)/2,"")</f>
        <v>19.3</v>
      </c>
      <c r="EU75" s="1210">
        <f>IF(AND(ER73&lt;&gt;"",EU73&lt;&gt;""),(ER73+EU73)/2,"")</f>
        <v>19.3</v>
      </c>
      <c r="EV75" s="363">
        <f>IF(AND(EU73&lt;&gt;"",EV73&lt;&gt;""),(EU73+EV73)/2,"")</f>
        <v>19.3</v>
      </c>
      <c r="EW75" s="363">
        <f>IF(AND(EV73&lt;&gt;"",EW73&lt;&gt;""),(EV73+EW73)/2,"")</f>
        <v>19.3</v>
      </c>
      <c r="EX75" s="1210">
        <f>IF(AND(EU73&lt;&gt;"",EX73&lt;&gt;""),(EU73+EX73)/2,"")</f>
        <v>19.3</v>
      </c>
      <c r="EY75" s="363">
        <f>IF(AND(EX73&lt;&gt;"",EY73&lt;&gt;""),(EX73+EY73)/2,"")</f>
        <v>19.3</v>
      </c>
      <c r="EZ75" s="363">
        <f>IF(AND(EY73&lt;&gt;"",EZ73&lt;&gt;""),(EY73+EZ73)/2,"")</f>
        <v>19.3</v>
      </c>
      <c r="FA75" s="363">
        <f>IF(AND(EX73&lt;&gt;"",FA73&lt;&gt;""),(EX73+FA73)/2,"")</f>
        <v>19.3</v>
      </c>
    </row>
    <row r="76" spans="1:157" ht="13.35" customHeight="1">
      <c r="A76" s="5"/>
      <c r="B76" s="5" t="s">
        <v>590</v>
      </c>
      <c r="C76" s="5"/>
      <c r="D76" s="362"/>
      <c r="E76" s="356"/>
      <c r="F76" s="356"/>
      <c r="G76" s="356"/>
      <c r="H76" s="356"/>
      <c r="I76" s="356"/>
      <c r="J76" s="356"/>
      <c r="K76" s="356"/>
      <c r="L76" s="356"/>
      <c r="M76" s="356"/>
      <c r="N76" s="356"/>
      <c r="O76" s="356"/>
      <c r="P76" s="356"/>
      <c r="Q76" s="356"/>
      <c r="R76" s="356"/>
      <c r="S76" s="356"/>
      <c r="T76" s="356"/>
      <c r="U76" s="356"/>
      <c r="V76" s="356"/>
      <c r="W76" s="356"/>
      <c r="X76" s="356"/>
      <c r="Y76" s="356"/>
      <c r="Z76" s="356"/>
      <c r="AA76" s="356"/>
      <c r="AB76" s="356"/>
      <c r="AC76" s="356"/>
      <c r="AD76" s="356"/>
      <c r="AE76" s="356"/>
      <c r="AF76" s="356"/>
      <c r="AG76" s="356"/>
      <c r="AH76" s="356"/>
      <c r="AI76" s="356"/>
      <c r="AJ76" s="356"/>
      <c r="AK76" s="356"/>
      <c r="AL76" s="356"/>
      <c r="AM76" s="356"/>
      <c r="AN76" s="356"/>
      <c r="AO76" s="356"/>
      <c r="AP76" s="356"/>
      <c r="AQ76" s="356"/>
      <c r="AR76" s="356"/>
      <c r="AS76" s="356"/>
      <c r="AT76" s="356"/>
      <c r="AU76" s="356"/>
      <c r="AV76" s="356"/>
      <c r="AW76" s="356"/>
      <c r="AX76" s="356"/>
      <c r="AY76" s="356"/>
      <c r="AZ76" s="356"/>
      <c r="BA76" s="356"/>
      <c r="BB76" s="356"/>
      <c r="BC76" s="356"/>
      <c r="BD76" s="356"/>
      <c r="BE76" s="356"/>
      <c r="BF76" s="356"/>
      <c r="BG76" s="356"/>
      <c r="BH76" s="356"/>
      <c r="BI76" s="356"/>
      <c r="BJ76" s="356"/>
      <c r="BK76" s="356"/>
      <c r="BL76" s="356"/>
      <c r="BM76" s="356"/>
      <c r="BN76" s="356"/>
      <c r="BO76" s="356"/>
      <c r="BP76" s="356"/>
      <c r="BQ76" s="356"/>
      <c r="BR76" s="356"/>
      <c r="BS76" s="356"/>
      <c r="BT76" s="356"/>
      <c r="BU76" s="356"/>
      <c r="BV76" s="356"/>
      <c r="BW76" s="356"/>
      <c r="BX76" s="356"/>
      <c r="BY76" s="356"/>
      <c r="BZ76" s="356"/>
      <c r="CA76" s="356"/>
      <c r="CB76" s="356"/>
      <c r="CC76" s="356"/>
      <c r="CD76" s="356"/>
      <c r="CE76" s="356"/>
      <c r="CF76" s="356"/>
      <c r="CG76" s="356"/>
      <c r="CH76" s="356"/>
      <c r="CI76" s="356"/>
      <c r="CJ76" s="356"/>
      <c r="CK76" s="356"/>
      <c r="CL76" s="356"/>
      <c r="CM76" s="356"/>
      <c r="CN76" s="356"/>
      <c r="CO76" s="356"/>
      <c r="CP76" s="356"/>
      <c r="CQ76" s="356"/>
      <c r="CR76" s="356"/>
      <c r="CS76" s="356"/>
      <c r="CT76" s="356"/>
      <c r="CU76" s="356"/>
      <c r="CV76" s="356"/>
      <c r="CW76" s="356"/>
      <c r="CX76" s="356"/>
      <c r="CY76" s="356"/>
      <c r="CZ76" s="356"/>
      <c r="DA76" s="356"/>
      <c r="DB76" s="356"/>
      <c r="DC76" s="356"/>
      <c r="DD76" s="356"/>
      <c r="DE76" s="356"/>
      <c r="DF76" s="356"/>
      <c r="DG76" s="356"/>
      <c r="DH76" s="356"/>
      <c r="DI76" s="356"/>
      <c r="DJ76" s="356"/>
      <c r="DK76" s="1087"/>
      <c r="DL76" s="356"/>
      <c r="DM76" s="356"/>
      <c r="DN76" s="1087"/>
      <c r="DO76" s="356"/>
      <c r="DP76" s="356"/>
      <c r="DQ76" s="1087"/>
      <c r="DR76" s="356"/>
      <c r="DS76" s="356"/>
      <c r="DT76" s="1087"/>
      <c r="DU76" s="356"/>
      <c r="DV76" s="356"/>
      <c r="DW76" s="1087"/>
      <c r="DX76" s="356"/>
      <c r="DY76" s="356"/>
      <c r="DZ76" s="1087"/>
      <c r="EA76" s="356"/>
      <c r="EB76" s="356"/>
      <c r="EC76" s="1087"/>
      <c r="ED76" s="356"/>
      <c r="EE76" s="356"/>
      <c r="EF76" s="1087"/>
      <c r="EG76" s="356"/>
      <c r="EH76" s="356"/>
      <c r="EI76" s="1087"/>
      <c r="EJ76" s="356"/>
      <c r="EK76" s="356"/>
      <c r="EL76" s="1087"/>
      <c r="EM76" s="356"/>
      <c r="EN76" s="356"/>
      <c r="EO76" s="1087"/>
      <c r="EP76" s="356"/>
      <c r="EQ76" s="356"/>
      <c r="ER76" s="1087"/>
      <c r="ES76" s="356"/>
      <c r="ET76" s="356"/>
      <c r="EU76" s="1087"/>
      <c r="EV76" s="356"/>
      <c r="EW76" s="356"/>
      <c r="EX76" s="1087"/>
      <c r="EY76" s="356"/>
      <c r="EZ76" s="356"/>
      <c r="FA76" s="356"/>
    </row>
    <row r="77" spans="1:157" ht="13.35" customHeight="1">
      <c r="A77" s="5"/>
      <c r="B77" s="5" t="s">
        <v>591</v>
      </c>
      <c r="C77" s="5"/>
      <c r="D77" s="362"/>
      <c r="E77" s="363"/>
      <c r="F77" s="363"/>
      <c r="G77" s="363"/>
      <c r="H77" s="363"/>
      <c r="I77" s="363"/>
      <c r="J77" s="363"/>
      <c r="K77" s="363"/>
      <c r="L77" s="363"/>
      <c r="M77" s="363"/>
      <c r="N77" s="363"/>
      <c r="O77" s="363"/>
      <c r="P77" s="363"/>
      <c r="Q77" s="363"/>
      <c r="R77" s="363"/>
      <c r="S77" s="363"/>
      <c r="T77" s="363"/>
      <c r="U77" s="363"/>
      <c r="V77" s="363"/>
      <c r="W77" s="363"/>
      <c r="X77" s="363"/>
      <c r="Y77" s="363"/>
      <c r="Z77" s="363"/>
      <c r="AA77" s="363"/>
      <c r="AB77" s="363"/>
      <c r="AC77" s="363"/>
      <c r="AD77" s="363"/>
      <c r="AE77" s="363"/>
      <c r="AF77" s="363"/>
      <c r="AG77" s="363"/>
      <c r="AH77" s="363"/>
      <c r="AI77" s="363"/>
      <c r="AJ77" s="363"/>
      <c r="AK77" s="363"/>
      <c r="AL77" s="363"/>
      <c r="AM77" s="363"/>
      <c r="AN77" s="363"/>
      <c r="AO77" s="363"/>
      <c r="AP77" s="363"/>
      <c r="AQ77" s="363"/>
      <c r="AR77" s="363"/>
      <c r="AS77" s="363"/>
      <c r="AT77" s="363"/>
      <c r="AU77" s="363"/>
      <c r="AV77" s="363"/>
      <c r="AW77" s="363"/>
      <c r="AX77" s="363"/>
      <c r="AY77" s="363"/>
      <c r="AZ77" s="363"/>
      <c r="BA77" s="363"/>
      <c r="BB77" s="363"/>
      <c r="BC77" s="363"/>
      <c r="BD77" s="363" t="str">
        <f>IF(AND(BD76&lt;&gt;"",BD74&lt;&gt;""),IF(((BD76/2)*BD74)&lt;BD73,(BD76/2)*BD74,BD73),"")</f>
        <v/>
      </c>
      <c r="BE77" s="363" t="str">
        <f>IF(BF77&lt;&gt;"",BF77-BD77,"")</f>
        <v/>
      </c>
      <c r="BF77" s="363" t="str">
        <f>IF(AND(BF76&lt;&gt;"",BF74&lt;&gt;""),IF((BF76*BF74)&lt;BF73,BF76*BF74,BF73),"")</f>
        <v/>
      </c>
      <c r="BG77" s="363" t="str">
        <f>IF(AND(BG76&lt;&gt;"",BG74&lt;&gt;""),IF(((BG76/2)*BG74)&lt;BG73,(BG76/2)*BG74,BG73),"")</f>
        <v/>
      </c>
      <c r="BH77" s="363" t="str">
        <f>IF(BI77&lt;&gt;"",BI77-BG77,"")</f>
        <v/>
      </c>
      <c r="BI77" s="363" t="str">
        <f>IF(AND(BI76&lt;&gt;"",BI74&lt;&gt;""),IF((BI76*BI74)&lt;BI73,BI76*BI74,BI73),"")</f>
        <v/>
      </c>
      <c r="BJ77" s="363" t="str">
        <f>IF(AND(BJ76&lt;&gt;"",BJ74&lt;&gt;""),IF(((BJ76/2)*BJ74)&lt;BJ73,(BJ76/2)*BJ74,BJ73),"")</f>
        <v/>
      </c>
      <c r="BK77" s="363" t="str">
        <f>IF(BL77&lt;&gt;"",BL77-BJ77,"")</f>
        <v/>
      </c>
      <c r="BL77" s="363" t="str">
        <f>IF(AND(BL76&lt;&gt;"",BL74&lt;&gt;""),IF((BL76*BL74)&lt;BL73,BL76*BL74,BL73),"")</f>
        <v/>
      </c>
      <c r="BM77" s="363" t="str">
        <f>IF(AND(BM76&lt;&gt;"",BM74&lt;&gt;""),IF(((BM76/2)*BM74)&lt;BM73,(BM76/2)*BM74,BM73),"")</f>
        <v/>
      </c>
      <c r="BN77" s="363" t="str">
        <f>IF(BO77&lt;&gt;"",BO77-BM77,"")</f>
        <v/>
      </c>
      <c r="BO77" s="363" t="str">
        <f>IF(AND(BO76&lt;&gt;"",BO74&lt;&gt;""),IF((BO76*BO74)&lt;BO73,BO76*BO74,BO73),"")</f>
        <v/>
      </c>
      <c r="BP77" s="363" t="str">
        <f>IF(AND(BP76&lt;&gt;"",BP74&lt;&gt;""),IF(((BP76/2)*BP74)&lt;BP73,(BP76/2)*BP74,BP73),"")</f>
        <v/>
      </c>
      <c r="BQ77" s="363" t="str">
        <f>IF(BR77&lt;&gt;"",BR77-BP77,"")</f>
        <v/>
      </c>
      <c r="BR77" s="363" t="str">
        <f>IF(AND(BR76&lt;&gt;"",BR74&lt;&gt;""),IF((BR76*BR74)&lt;BR73,BR76*BR74,BR73),"")</f>
        <v/>
      </c>
      <c r="BS77" s="363" t="str">
        <f>IF(AND(BS76&lt;&gt;"",BS74&lt;&gt;""),IF(((BS76/2)*BS74)&lt;BS73,(BS76/2)*BS74,BS73),"")</f>
        <v/>
      </c>
      <c r="BT77" s="363" t="str">
        <f>IF(BU77&lt;&gt;"",BU77-BS77,"")</f>
        <v/>
      </c>
      <c r="BU77" s="363" t="str">
        <f>IF(AND(BU76&lt;&gt;"",BU74&lt;&gt;""),IF((BU76*BU74)&lt;BU73,BU76*BU74,BU73),"")</f>
        <v/>
      </c>
      <c r="BV77" s="363" t="str">
        <f>IF(AND(BV76&lt;&gt;"",BV74&lt;&gt;""),IF(((BV76/2)*BV74)&lt;BV73,(BV76/2)*BV74,BV73),"")</f>
        <v/>
      </c>
      <c r="BW77" s="363" t="str">
        <f>IF(BX77&lt;&gt;"",BX77-BV77,"")</f>
        <v/>
      </c>
      <c r="BX77" s="363" t="str">
        <f>IF(AND(BX76&lt;&gt;"",BX74&lt;&gt;""),IF((BX76*BX74)&lt;BX73,BX76*BX74,BX73),"")</f>
        <v/>
      </c>
      <c r="BY77" s="363" t="str">
        <f>IF(AND(BY76&lt;&gt;"",BY74&lt;&gt;""),IF(((BY76/2)*BY74)&lt;BY73,(BY76/2)*BY74,BY73),"")</f>
        <v/>
      </c>
      <c r="BZ77" s="363" t="str">
        <f>IF(CA77&lt;&gt;"",CA77-BY77,"")</f>
        <v/>
      </c>
      <c r="CA77" s="363" t="str">
        <f>IF(AND(CA76&lt;&gt;"",CA74&lt;&gt;""),IF((CA76*CA74)&lt;CA73,CA76*CA74,CA73),"")</f>
        <v/>
      </c>
      <c r="CB77" s="363" t="str">
        <f>IF(AND(CB76&lt;&gt;"",CB74&lt;&gt;""),IF(((CB76/2)*CB74)&lt;CB73,(CB76/2)*CB74,CB73),"")</f>
        <v/>
      </c>
      <c r="CC77" s="363" t="str">
        <f>IF(CD77&lt;&gt;"",CD77-CB77,"")</f>
        <v/>
      </c>
      <c r="CD77" s="363" t="str">
        <f>IF(AND(CD76&lt;&gt;"",CD74&lt;&gt;""),IF((CD76*CD74)&lt;CD73,CD76*CD74,CD73),"")</f>
        <v/>
      </c>
      <c r="CE77" s="363" t="str">
        <f>IF(AND(CE76&lt;&gt;"",CE74&lt;&gt;""),IF(((CE76/2)*CE74)&lt;CE73,(CE76/2)*CE74,CE73),"")</f>
        <v/>
      </c>
      <c r="CF77" s="363" t="str">
        <f>IF(CG77&lt;&gt;"",CG77-CE77,"")</f>
        <v/>
      </c>
      <c r="CG77" s="363" t="str">
        <f>IF(AND(CG76&lt;&gt;"",CG74&lt;&gt;""),IF((CG76*CG74)&lt;CG73,CG76*CG74,CG73),"")</f>
        <v/>
      </c>
      <c r="CH77" s="363" t="str">
        <f>IF(AND(CH76&lt;&gt;"",CH74&lt;&gt;""),IF(((CH76/2)*CH74)&lt;CH73,(CH76/2)*CH74,CH73),"")</f>
        <v/>
      </c>
      <c r="CI77" s="363" t="str">
        <f>IF(CJ77&lt;&gt;"",CJ77-CH77,"")</f>
        <v/>
      </c>
      <c r="CJ77" s="363" t="str">
        <f>IF(AND(CJ76&lt;&gt;"",CJ74&lt;&gt;""),IF((CJ76*CJ74)&lt;CJ73,CJ76*CJ74,CJ73),"")</f>
        <v/>
      </c>
      <c r="CK77" s="363" t="str">
        <f>IF(AND(CK76&lt;&gt;"",CK74&lt;&gt;""),IF(((CK76/2)*CK74)&lt;CK73,(CK76/2)*CK74,CK73),"")</f>
        <v/>
      </c>
      <c r="CL77" s="363" t="str">
        <f>IF(CM77&lt;&gt;"",CM77-CK77,"")</f>
        <v/>
      </c>
      <c r="CM77" s="363" t="str">
        <f>IF(AND(CM76&lt;&gt;"",CM74&lt;&gt;""),IF((CM76*CM74)&lt;CM73,CM76*CM74,CM73),"")</f>
        <v/>
      </c>
      <c r="CN77" s="363" t="str">
        <f>IF(AND(CN76&lt;&gt;"",CN74&lt;&gt;""),IF(((CN76/2)*CN74)&lt;CN73,(CN76/2)*CN74,CN73),"")</f>
        <v/>
      </c>
      <c r="CO77" s="363" t="str">
        <f>IF(CP77&lt;&gt;"",CP77-CN77,"")</f>
        <v/>
      </c>
      <c r="CP77" s="363" t="str">
        <f>IF(AND(CP76&lt;&gt;"",CP74&lt;&gt;""),IF((CP76*CP74)&lt;CP73,CP76*CP74,CP73),"")</f>
        <v/>
      </c>
      <c r="CQ77" s="363" t="str">
        <f>IF(AND(CQ76&lt;&gt;"",CQ74&lt;&gt;""),IF(((CQ76/2)*CQ74)&lt;CQ73,(CQ76/2)*CQ74,CQ73),"")</f>
        <v/>
      </c>
      <c r="CR77" s="363" t="str">
        <f>IF(CS77&lt;&gt;"",CS77-CQ77,"")</f>
        <v/>
      </c>
      <c r="CS77" s="363" t="str">
        <f>IF(AND(CS76&lt;&gt;"",CS74&lt;&gt;""),IF((CS76*CS74)&lt;CS73,CS76*CS74,CS73),"")</f>
        <v/>
      </c>
      <c r="CT77" s="363" t="str">
        <f>IF(AND(CT76&lt;&gt;"",CT74&lt;&gt;""),IF(((CT76/2)*CT74)&lt;CT73,(CT76/2)*CT74,CT73),"")</f>
        <v/>
      </c>
      <c r="CU77" s="363" t="str">
        <f>IF(CV77&lt;&gt;"",CV77-CT77,"")</f>
        <v/>
      </c>
      <c r="CV77" s="363" t="str">
        <f>IF(AND(CV76&lt;&gt;"",CV74&lt;&gt;""),IF((CV76*CV74)&lt;CV73,CV76*CV74,CV73),"")</f>
        <v/>
      </c>
      <c r="CW77" s="363" t="str">
        <f>IF(AND(CW76&lt;&gt;"",CW74&lt;&gt;""),IF(((CW76/2)*CW74)&lt;CW73,(CW76/2)*CW74,CW73),"")</f>
        <v/>
      </c>
      <c r="CX77" s="363" t="str">
        <f>IF(CY77&lt;&gt;"",CY77-CW77,"")</f>
        <v/>
      </c>
      <c r="CY77" s="363" t="str">
        <f>IF(AND(CY76&lt;&gt;"",CY74&lt;&gt;""),IF((CY76*CY74)&lt;CY73,CY76*CY74,CY73),"")</f>
        <v/>
      </c>
      <c r="CZ77" s="363" t="str">
        <f>IF(AND(CZ76&lt;&gt;"",CZ74&lt;&gt;""),IF(((CZ76/2)*CZ74)&lt;CZ73,(CZ76/2)*CZ74,CZ73),"")</f>
        <v/>
      </c>
      <c r="DA77" s="363" t="str">
        <f>IF(DB77&lt;&gt;"",DB77-CZ77,"")</f>
        <v/>
      </c>
      <c r="DB77" s="363" t="str">
        <f>IF(AND(DB76&lt;&gt;"",DB74&lt;&gt;""),IF((DB76*DB74)&lt;DB73,DB76*DB74,DB73),"")</f>
        <v/>
      </c>
      <c r="DC77" s="363" t="str">
        <f>IF(AND(DC76&lt;&gt;"",DC74&lt;&gt;""),IF(((DC76/2)*DC74)&lt;DC73,(DC76/2)*DC74,DC73),"")</f>
        <v/>
      </c>
      <c r="DD77" s="363" t="str">
        <f>IF(DE77&lt;&gt;"",DE77-DC77,"")</f>
        <v/>
      </c>
      <c r="DE77" s="363" t="str">
        <f>IF(AND(DE76&lt;&gt;"",DE74&lt;&gt;""),IF((DE76*DE74)&lt;DE73,DE76*DE74,DE73),"")</f>
        <v/>
      </c>
      <c r="DF77" s="363" t="str">
        <f>IF(AND(DF76&lt;&gt;"",DF74&lt;&gt;""),IF(((DF76/2)*DF74)&lt;DF73,(DF76/2)*DF74,DF73),"")</f>
        <v/>
      </c>
      <c r="DG77" s="363" t="str">
        <f>IF(DH77&lt;&gt;"",DH77-DF77,"")</f>
        <v/>
      </c>
      <c r="DH77" s="363" t="str">
        <f>IF(AND(DH76&lt;&gt;"",DH74&lt;&gt;""),IF((DH76*DH74)&lt;DH73,DH76*DH74,DH73),"")</f>
        <v/>
      </c>
      <c r="DI77" s="363" t="str">
        <f>IF(AND(DI76&lt;&gt;"",DI74&lt;&gt;""),IF(((DI76/2)*DI74)&lt;DI73,(DI76/2)*DI74,DI73),"")</f>
        <v/>
      </c>
      <c r="DJ77" s="363" t="str">
        <f>IF(DK77&lt;&gt;"",DK77-DI77,"")</f>
        <v/>
      </c>
      <c r="DK77" s="1210" t="str">
        <f>IF(AND(DK76&lt;&gt;"",DK74&lt;&gt;""),IF((DK76*DK74)&lt;DK73,DK76*DK74,DK73),"")</f>
        <v/>
      </c>
      <c r="DL77" s="363" t="str">
        <f>IF(AND(DL76&lt;&gt;"",DL74&lt;&gt;""),IF(((DL76/2)*DL74)&lt;DL73,(DL76/2)*DL74,DL73),"")</f>
        <v/>
      </c>
      <c r="DM77" s="363" t="str">
        <f>IF(DN77&lt;&gt;"",DN77-DL77,"")</f>
        <v/>
      </c>
      <c r="DN77" s="1210" t="str">
        <f>IF(AND(DN76&lt;&gt;"",DN74&lt;&gt;""),IF((DN76*DN74)&lt;DN73,DN76*DN74,DN73),"")</f>
        <v/>
      </c>
      <c r="DO77" s="363" t="str">
        <f>IF(AND(DO76&lt;&gt;"",DO74&lt;&gt;""),IF(((DO76/2)*DO74)&lt;DO73,(DO76/2)*DO74,DO73),"")</f>
        <v/>
      </c>
      <c r="DP77" s="363" t="str">
        <f>IF(DQ77&lt;&gt;"",DQ77-DO77,"")</f>
        <v/>
      </c>
      <c r="DQ77" s="1210" t="str">
        <f>IF(AND(DQ76&lt;&gt;"",DQ74&lt;&gt;""),IF((DQ76*DQ74)&lt;DQ73,DQ76*DQ74,DQ73),"")</f>
        <v/>
      </c>
      <c r="DR77" s="363" t="str">
        <f>IF(AND(DR76&lt;&gt;"",DR74&lt;&gt;""),IF(((DR76/2)*DR74)&lt;DR73,(DR76/2)*DR74,DR73),"")</f>
        <v/>
      </c>
      <c r="DS77" s="363" t="str">
        <f>IF(DT77&lt;&gt;"",DT77-DR77,"")</f>
        <v/>
      </c>
      <c r="DT77" s="1210" t="str">
        <f>IF(AND(DT76&lt;&gt;"",DT74&lt;&gt;""),IF((DT76*DT74)&lt;DT73,DT76*DT74,DT73),"")</f>
        <v/>
      </c>
      <c r="DU77" s="363" t="str">
        <f>IF(AND(DU76&lt;&gt;"",DU74&lt;&gt;""),IF(((DU76/2)*DU74)&lt;DU73,(DU76/2)*DU74,DU73),"")</f>
        <v/>
      </c>
      <c r="DV77" s="363" t="str">
        <f>IF(DW77&lt;&gt;"",DW77-DU77,"")</f>
        <v/>
      </c>
      <c r="DW77" s="1210" t="str">
        <f>IF(AND(DW76&lt;&gt;"",DW74&lt;&gt;""),IF((DW76*DW74)&lt;DW73,DW76*DW74,DW73),"")</f>
        <v/>
      </c>
      <c r="DX77" s="363" t="str">
        <f>IF(AND(DX76&lt;&gt;"",DX74&lt;&gt;""),IF(((DX76/2)*DX74)&lt;DX73,(DX76/2)*DX74,DX73),"")</f>
        <v/>
      </c>
      <c r="DY77" s="363" t="str">
        <f>IF(DZ77&lt;&gt;"",DZ77-DX77,"")</f>
        <v/>
      </c>
      <c r="DZ77" s="1210" t="str">
        <f>IF(AND(DZ76&lt;&gt;"",DZ74&lt;&gt;""),IF((DZ76*DZ74)&lt;DZ73,DZ76*DZ74,DZ73),"")</f>
        <v/>
      </c>
      <c r="EA77" s="363" t="str">
        <f>IF(AND(EA76&lt;&gt;"",EA74&lt;&gt;""),IF(((EA76/2)*EA74)&lt;EA73,(EA76/2)*EA74,EA73),"")</f>
        <v/>
      </c>
      <c r="EB77" s="363" t="str">
        <f>IF(EC77&lt;&gt;"",EC77-EA77,"")</f>
        <v/>
      </c>
      <c r="EC77" s="1210" t="str">
        <f>IF(AND(EC76&lt;&gt;"",EC74&lt;&gt;""),IF((EC76*EC74)&lt;EC73,EC76*EC74,EC73),"")</f>
        <v/>
      </c>
      <c r="ED77" s="363" t="str">
        <f>IF(AND(ED76&lt;&gt;"",ED74&lt;&gt;""),IF(((ED76/2)*ED74)&lt;ED73,(ED76/2)*ED74,ED73),"")</f>
        <v/>
      </c>
      <c r="EE77" s="363" t="str">
        <f>IF(EF77&lt;&gt;"",EF77-ED77,"")</f>
        <v/>
      </c>
      <c r="EF77" s="1210" t="str">
        <f>IF(AND(EF76&lt;&gt;"",EF74&lt;&gt;""),IF((EF76*EF74)&lt;EF73,EF76*EF74,EF73),"")</f>
        <v/>
      </c>
      <c r="EG77" s="363" t="str">
        <f>IF(AND(EG76&lt;&gt;"",EG74&lt;&gt;""),IF(((EG76/2)*EG74)&lt;EG73,(EG76/2)*EG74,EG73),"")</f>
        <v/>
      </c>
      <c r="EH77" s="363" t="str">
        <f>IF(EI77&lt;&gt;"",EI77-EG77,"")</f>
        <v/>
      </c>
      <c r="EI77" s="1210" t="str">
        <f>IF(AND(EI76&lt;&gt;"",EI74&lt;&gt;""),IF((EI76*EI74)&lt;EI73,EI76*EI74,EI73),"")</f>
        <v/>
      </c>
      <c r="EJ77" s="363" t="str">
        <f>IF(AND(EJ76&lt;&gt;"",EJ74&lt;&gt;""),IF(((EJ76/2)*EJ74)&lt;EJ73,(EJ76/2)*EJ74,EJ73),"")</f>
        <v/>
      </c>
      <c r="EK77" s="363" t="str">
        <f>IF(EL77&lt;&gt;"",EL77-EJ77,"")</f>
        <v/>
      </c>
      <c r="EL77" s="1210" t="str">
        <f>IF(AND(EL76&lt;&gt;"",EL74&lt;&gt;""),IF((EL76*EL74)&lt;EL73,EL76*EL74,EL73),"")</f>
        <v/>
      </c>
      <c r="EM77" s="363" t="str">
        <f>IF(AND(EM76&lt;&gt;"",EM74&lt;&gt;""),IF(((EM76/2)*EM74)&lt;EM73,(EM76/2)*EM74,EM73),"")</f>
        <v/>
      </c>
      <c r="EN77" s="363" t="str">
        <f>IF(EO77&lt;&gt;"",EO77-EM77,"")</f>
        <v/>
      </c>
      <c r="EO77" s="1210" t="str">
        <f>IF(AND(EO76&lt;&gt;"",EO74&lt;&gt;""),IF((EO76*EO74)&lt;EO73,EO76*EO74,EO73),"")</f>
        <v/>
      </c>
      <c r="EP77" s="363" t="str">
        <f>IF(AND(EP76&lt;&gt;"",EP74&lt;&gt;""),IF(((EP76/2)*EP74)&lt;EP73,(EP76/2)*EP74,EP73),"")</f>
        <v/>
      </c>
      <c r="EQ77" s="363" t="str">
        <f>IF(ER77&lt;&gt;"",ER77-EP77,"")</f>
        <v/>
      </c>
      <c r="ER77" s="1210" t="str">
        <f>IF(AND(ER76&lt;&gt;"",ER74&lt;&gt;""),IF((ER76*ER74)&lt;ER73,ER76*ER74,ER73),"")</f>
        <v/>
      </c>
      <c r="ES77" s="363" t="str">
        <f>IF(AND(ES76&lt;&gt;"",ES74&lt;&gt;""),IF(((ES76/2)*ES74)&lt;ES73,(ES76/2)*ES74,ES73),"")</f>
        <v/>
      </c>
      <c r="ET77" s="363" t="str">
        <f>IF(EU77&lt;&gt;"",EU77-ES77,"")</f>
        <v/>
      </c>
      <c r="EU77" s="1210" t="str">
        <f>IF(AND(EU76&lt;&gt;"",EU74&lt;&gt;""),IF((EU76*EU74)&lt;EU73,EU76*EU74,EU73),"")</f>
        <v/>
      </c>
      <c r="EV77" s="363" t="str">
        <f>IF(AND(EV76&lt;&gt;"",EV74&lt;&gt;""),IF(((EV76/2)*EV74)&lt;EV73,(EV76/2)*EV74,EV73),"")</f>
        <v/>
      </c>
      <c r="EW77" s="363" t="str">
        <f>IF(EX77&lt;&gt;"",EX77-EV77,"")</f>
        <v/>
      </c>
      <c r="EX77" s="1210" t="str">
        <f>IF(AND(EX76&lt;&gt;"",EX74&lt;&gt;""),IF((EX76*EX74)&lt;EX73,EX76*EX74,EX73),"")</f>
        <v/>
      </c>
      <c r="EY77" s="363" t="str">
        <f>IF(AND(EY76&lt;&gt;"",EY74&lt;&gt;""),IF(((EY76/2)*EY74)&lt;EY73,(EY76/2)*EY74,EY73),"")</f>
        <v/>
      </c>
      <c r="EZ77" s="363" t="str">
        <f>IF(FA77&lt;&gt;"",FA77-EY77,"")</f>
        <v/>
      </c>
      <c r="FA77" s="363" t="str">
        <f>IF(AND(FA76&lt;&gt;"",FA74&lt;&gt;""),IF((FA76*FA74)&lt;FA73,FA76*FA74,FA73),"")</f>
        <v/>
      </c>
    </row>
    <row r="78" spans="1:157" ht="13.35" customHeight="1">
      <c r="A78" s="5"/>
      <c r="B78" s="5" t="s">
        <v>548</v>
      </c>
      <c r="C78" s="5"/>
      <c r="D78" s="362"/>
      <c r="E78" s="363" t="str">
        <f>IF(Model!E63&lt;&gt;"",Model!E63,"")</f>
        <v/>
      </c>
      <c r="F78" s="363" t="str">
        <f>IF(AND(G78&lt;&gt;"",E78&lt;&gt;""),G78-E78,"")</f>
        <v/>
      </c>
      <c r="G78" s="363" t="str">
        <f>IF(Model!G63&lt;&gt;"",Model!G63,"")</f>
        <v/>
      </c>
      <c r="H78" s="363" t="str">
        <f>IF(Model!H63&lt;&gt;"",Model!H63,"")</f>
        <v/>
      </c>
      <c r="I78" s="363" t="str">
        <f>IF(AND(J78&lt;&gt;"",H78&lt;&gt;""),J78-H78,"")</f>
        <v/>
      </c>
      <c r="J78" s="363" t="str">
        <f>IF(Model!J63&lt;&gt;"",Model!J63,"")</f>
        <v/>
      </c>
      <c r="K78" s="363" t="str">
        <f>IF(Model!K63&lt;&gt;"",Model!K63,"")</f>
        <v/>
      </c>
      <c r="L78" s="363" t="str">
        <f>IF(AND(M78&lt;&gt;"",K78&lt;&gt;""),M78-K78,"")</f>
        <v/>
      </c>
      <c r="M78" s="363" t="str">
        <f>IF(Model!M63&lt;&gt;"",Model!M63,"")</f>
        <v/>
      </c>
      <c r="N78" s="363" t="str">
        <f>IF(Model!N63&lt;&gt;"",Model!N63,"")</f>
        <v/>
      </c>
      <c r="O78" s="363" t="str">
        <f>IF(AND(P78&lt;&gt;"",N78&lt;&gt;""),P78-N78,"")</f>
        <v/>
      </c>
      <c r="P78" s="363" t="str">
        <f>IF(Model!P63&lt;&gt;"",Model!P63,"")</f>
        <v/>
      </c>
      <c r="Q78" s="363" t="str">
        <f>IF(Model!Q63&lt;&gt;"",Model!Q63,"")</f>
        <v/>
      </c>
      <c r="R78" s="363" t="str">
        <f>IF(AND(S78&lt;&gt;"",Q78&lt;&gt;""),S78-Q78,"")</f>
        <v/>
      </c>
      <c r="S78" s="363" t="str">
        <f>IF(Model!S63&lt;&gt;"",Model!S63,"")</f>
        <v/>
      </c>
      <c r="T78" s="363" t="str">
        <f>IF(Model!T63&lt;&gt;"",Model!T63,"")</f>
        <v/>
      </c>
      <c r="U78" s="363" t="str">
        <f>IF(AND(V78&lt;&gt;"",T78&lt;&gt;""),V78-T78,"")</f>
        <v/>
      </c>
      <c r="V78" s="363" t="str">
        <f>IF(Model!V63&lt;&gt;"",Model!V63,"")</f>
        <v/>
      </c>
      <c r="W78" s="363" t="str">
        <f>IF(Model!W63&lt;&gt;"",Model!W63,"")</f>
        <v/>
      </c>
      <c r="X78" s="363" t="str">
        <f>IF(AND(Y78&lt;&gt;"",W78&lt;&gt;""),Y78-W78,"")</f>
        <v/>
      </c>
      <c r="Y78" s="363" t="str">
        <f>IF(Model!Y63&lt;&gt;"",Model!Y63,"")</f>
        <v/>
      </c>
      <c r="Z78" s="363" t="str">
        <f>IF(Model!Z63&lt;&gt;"",Model!Z63,"")</f>
        <v/>
      </c>
      <c r="AA78" s="363" t="str">
        <f>IF(AND(AB78&lt;&gt;"",Z78&lt;&gt;""),AB78-Z78,"")</f>
        <v/>
      </c>
      <c r="AB78" s="363" t="str">
        <f>IF(Model!AB63&lt;&gt;"",Model!AB63,"")</f>
        <v/>
      </c>
      <c r="AC78" s="363" t="str">
        <f>IF(Model!AC63&lt;&gt;"",Model!AC63,"")</f>
        <v/>
      </c>
      <c r="AD78" s="363" t="str">
        <f>IF(AND(AE78&lt;&gt;"",AC78&lt;&gt;""),AE78-AC78,"")</f>
        <v/>
      </c>
      <c r="AE78" s="363" t="str">
        <f>IF(Model!AE63&lt;&gt;"",Model!AE63,"")</f>
        <v/>
      </c>
      <c r="AF78" s="363" t="str">
        <f>IF(Model!AF63&lt;&gt;"",Model!AF63,"")</f>
        <v/>
      </c>
      <c r="AG78" s="363" t="str">
        <f>IF(AND(AH78&lt;&gt;"",AF78&lt;&gt;""),AH78-AF78,"")</f>
        <v/>
      </c>
      <c r="AH78" s="363" t="str">
        <f>IF(Model!AH63&lt;&gt;"",Model!AH63,"")</f>
        <v/>
      </c>
      <c r="AI78" s="363" t="str">
        <f>IF(Model!AI63&lt;&gt;"",Model!AI63,"")</f>
        <v/>
      </c>
      <c r="AJ78" s="363" t="str">
        <f>IF(AND(AK78&lt;&gt;"",AI78&lt;&gt;""),AK78-AI78,"")</f>
        <v/>
      </c>
      <c r="AK78" s="363" t="str">
        <f>IF(Model!AK63&lt;&gt;"",Model!AK63,"")</f>
        <v/>
      </c>
      <c r="AL78" s="363" t="str">
        <f>IF(Model!AL63&lt;&gt;"",Model!AL63,"")</f>
        <v/>
      </c>
      <c r="AM78" s="363" t="str">
        <f>IF(AND(AN78&lt;&gt;"",AL78&lt;&gt;""),AN78-AL78,"")</f>
        <v/>
      </c>
      <c r="AN78" s="363" t="str">
        <f>IF(Model!AN63&lt;&gt;"",Model!AN63,"")</f>
        <v/>
      </c>
      <c r="AO78" s="363" t="str">
        <f>IF(Model!AO63&lt;&gt;"",Model!AO63,"")</f>
        <v/>
      </c>
      <c r="AP78" s="363" t="str">
        <f>IF(AND(AQ78&lt;&gt;"",AO78&lt;&gt;""),AQ78-AO78,"")</f>
        <v/>
      </c>
      <c r="AQ78" s="363" t="str">
        <f>IF(Model!AQ63&lt;&gt;"",Model!AQ63,"")</f>
        <v/>
      </c>
      <c r="AR78" s="363" t="str">
        <f>IF(Model!AR63&lt;&gt;"",Model!AR63,"")</f>
        <v/>
      </c>
      <c r="AS78" s="363" t="str">
        <f>IF(AND(AT78&lt;&gt;"",AR78&lt;&gt;""),AT78-AR78,"")</f>
        <v/>
      </c>
      <c r="AT78" s="363" t="str">
        <f>IF(Model!AT63&lt;&gt;"",Model!AT63,"")</f>
        <v/>
      </c>
      <c r="AU78" s="363" t="str">
        <f>IF(Model!AU63&lt;&gt;"",Model!AU63,"")</f>
        <v/>
      </c>
      <c r="AV78" s="363" t="str">
        <f>IF(AND(AW78&lt;&gt;"",AU78&lt;&gt;""),AW78-AU78,"")</f>
        <v/>
      </c>
      <c r="AW78" s="363" t="str">
        <f>IF(Model!AW63&lt;&gt;"",Model!AW63,"")</f>
        <v/>
      </c>
      <c r="AX78" s="363">
        <f>IF(Model!AX63&lt;&gt;"",Model!AX63,"")</f>
        <v>0</v>
      </c>
      <c r="AY78" s="363">
        <f>IF(AND(AZ78&lt;&gt;"",AX78&lt;&gt;""),AZ78-AX78,"")</f>
        <v>0</v>
      </c>
      <c r="AZ78" s="363">
        <f>IF(Model!AZ63&lt;&gt;"",Model!AZ63,"")</f>
        <v>0</v>
      </c>
      <c r="BA78" s="363">
        <f>IF(Model!BA63&lt;&gt;"",Model!BA63,"")</f>
        <v>0</v>
      </c>
      <c r="BB78" s="363">
        <f>IF(AND(BC78&lt;&gt;"",BA78&lt;&gt;""),BC78-BA78,"")</f>
        <v>0</v>
      </c>
      <c r="BC78" s="363">
        <f>IF(Model!BC63&lt;&gt;"",Model!BC63,"")</f>
        <v>0</v>
      </c>
      <c r="BD78" s="359"/>
      <c r="BE78" s="363" t="str">
        <f>IF(AND(BF78&lt;&gt;"",BD78&lt;&gt;""),BF78-BD78,"")</f>
        <v/>
      </c>
      <c r="BF78" s="359"/>
      <c r="BG78" s="359"/>
      <c r="BH78" s="363" t="str">
        <f>IF(AND(BI78&lt;&gt;"",BG78&lt;&gt;""),BI78-BG78,"")</f>
        <v/>
      </c>
      <c r="BI78" s="359"/>
      <c r="BJ78" s="359"/>
      <c r="BK78" s="363" t="str">
        <f>IF(AND(BL78&lt;&gt;"",BJ78&lt;&gt;""),BL78-BJ78,"")</f>
        <v/>
      </c>
      <c r="BL78" s="359"/>
      <c r="BM78" s="359"/>
      <c r="BN78" s="363" t="str">
        <f>IF(AND(BO78&lt;&gt;"",BM78&lt;&gt;""),BO78-BM78,"")</f>
        <v/>
      </c>
      <c r="BO78" s="359"/>
      <c r="BP78" s="359"/>
      <c r="BQ78" s="363" t="str">
        <f>IF(AND(BR78&lt;&gt;"",BP78&lt;&gt;""),BR78-BP78,"")</f>
        <v/>
      </c>
      <c r="BR78" s="359"/>
      <c r="BS78" s="359"/>
      <c r="BT78" s="363" t="str">
        <f>IF(AND(BU78&lt;&gt;"",BS78&lt;&gt;""),BU78-BS78,"")</f>
        <v/>
      </c>
      <c r="BU78" s="359"/>
      <c r="BV78" s="359"/>
      <c r="BW78" s="363" t="str">
        <f>IF(AND(BX78&lt;&gt;"",BV78&lt;&gt;""),BX78-BV78,"")</f>
        <v/>
      </c>
      <c r="BX78" s="359"/>
      <c r="BY78" s="359"/>
      <c r="BZ78" s="363" t="str">
        <f>IF(AND(CA78&lt;&gt;"",BY78&lt;&gt;""),CA78-BY78,"")</f>
        <v/>
      </c>
      <c r="CA78" s="359"/>
      <c r="CB78" s="359"/>
      <c r="CC78" s="363" t="str">
        <f>IF(AND(CD78&lt;&gt;"",CB78&lt;&gt;""),CD78-CB78,"")</f>
        <v/>
      </c>
      <c r="CD78" s="359"/>
      <c r="CE78" s="359"/>
      <c r="CF78" s="363" t="str">
        <f>IF(AND(CG78&lt;&gt;"",CE78&lt;&gt;""),CG78-CE78,"")</f>
        <v/>
      </c>
      <c r="CG78" s="359"/>
      <c r="CH78" s="359"/>
      <c r="CI78" s="363" t="str">
        <f>IF(AND(CJ78&lt;&gt;"",CH78&lt;&gt;""),CJ78-CH78,"")</f>
        <v/>
      </c>
      <c r="CJ78" s="359"/>
      <c r="CK78" s="359"/>
      <c r="CL78" s="363" t="str">
        <f>IF(AND(CM78&lt;&gt;"",CK78&lt;&gt;""),CM78-CK78,"")</f>
        <v/>
      </c>
      <c r="CM78" s="359"/>
      <c r="CN78" s="359"/>
      <c r="CO78" s="363" t="str">
        <f>IF(AND(CP78&lt;&gt;"",CN78&lt;&gt;""),CP78-CN78,"")</f>
        <v/>
      </c>
      <c r="CP78" s="359"/>
      <c r="CQ78" s="359"/>
      <c r="CR78" s="363" t="str">
        <f>IF(AND(CS78&lt;&gt;"",CQ78&lt;&gt;""),CS78-CQ78,"")</f>
        <v/>
      </c>
      <c r="CS78" s="359"/>
      <c r="CT78" s="359"/>
      <c r="CU78" s="363" t="str">
        <f>IF(AND(CV78&lt;&gt;"",CT78&lt;&gt;""),CV78-CT78,"")</f>
        <v/>
      </c>
      <c r="CV78" s="359"/>
      <c r="CW78" s="359"/>
      <c r="CX78" s="363" t="str">
        <f>IF(AND(CY78&lt;&gt;"",CW78&lt;&gt;""),CY78-CW78,"")</f>
        <v/>
      </c>
      <c r="CY78" s="359"/>
      <c r="CZ78" s="359"/>
      <c r="DA78" s="363" t="str">
        <f>IF(AND(DB78&lt;&gt;"",CZ78&lt;&gt;""),DB78-CZ78,"")</f>
        <v/>
      </c>
      <c r="DB78" s="359"/>
      <c r="DC78" s="359"/>
      <c r="DD78" s="363" t="str">
        <f>IF(AND(DE78&lt;&gt;"",DC78&lt;&gt;""),DE78-DC78,"")</f>
        <v/>
      </c>
      <c r="DE78" s="359"/>
      <c r="DF78" s="359"/>
      <c r="DG78" s="363" t="str">
        <f>IF(AND(DH78&lt;&gt;"",DF78&lt;&gt;""),DH78-DF78,"")</f>
        <v/>
      </c>
      <c r="DH78" s="359"/>
      <c r="DI78" s="359"/>
      <c r="DJ78" s="363" t="str">
        <f>IF(AND(DK78&lt;&gt;"",DI78&lt;&gt;""),DK78-DI78,"")</f>
        <v/>
      </c>
      <c r="DK78" s="1208"/>
      <c r="DL78" s="359"/>
      <c r="DM78" s="363" t="str">
        <f>IF(AND(DN78&lt;&gt;"",DL78&lt;&gt;""),DN78-DL78,"")</f>
        <v/>
      </c>
      <c r="DN78" s="1208"/>
      <c r="DO78" s="359"/>
      <c r="DP78" s="363" t="str">
        <f>IF(AND(DQ78&lt;&gt;"",DO78&lt;&gt;""),DQ78-DO78,"")</f>
        <v/>
      </c>
      <c r="DQ78" s="1208"/>
      <c r="DR78" s="359"/>
      <c r="DS78" s="363" t="str">
        <f>IF(AND(DT78&lt;&gt;"",DR78&lt;&gt;""),DT78-DR78,"")</f>
        <v/>
      </c>
      <c r="DT78" s="1208"/>
      <c r="DU78" s="359"/>
      <c r="DV78" s="363" t="str">
        <f>IF(AND(DW78&lt;&gt;"",DU78&lt;&gt;""),DW78-DU78,"")</f>
        <v/>
      </c>
      <c r="DW78" s="1208"/>
      <c r="DX78" s="359"/>
      <c r="DY78" s="363" t="str">
        <f>IF(AND(DZ78&lt;&gt;"",DX78&lt;&gt;""),DZ78-DX78,"")</f>
        <v/>
      </c>
      <c r="DZ78" s="1208"/>
      <c r="EA78" s="359"/>
      <c r="EB78" s="363" t="str">
        <f>IF(AND(EC78&lt;&gt;"",EA78&lt;&gt;""),EC78-EA78,"")</f>
        <v/>
      </c>
      <c r="EC78" s="1208"/>
      <c r="ED78" s="359"/>
      <c r="EE78" s="363" t="str">
        <f>IF(AND(EF78&lt;&gt;"",ED78&lt;&gt;""),EF78-ED78,"")</f>
        <v/>
      </c>
      <c r="EF78" s="1208"/>
      <c r="EG78" s="359"/>
      <c r="EH78" s="363" t="str">
        <f>IF(AND(EI78&lt;&gt;"",EG78&lt;&gt;""),EI78-EG78,"")</f>
        <v/>
      </c>
      <c r="EI78" s="1208"/>
      <c r="EJ78" s="359"/>
      <c r="EK78" s="363" t="str">
        <f>IF(AND(EL78&lt;&gt;"",EJ78&lt;&gt;""),EL78-EJ78,"")</f>
        <v/>
      </c>
      <c r="EL78" s="1208"/>
      <c r="EM78" s="359"/>
      <c r="EN78" s="363" t="str">
        <f>IF(AND(EO78&lt;&gt;"",EM78&lt;&gt;""),EO78-EM78,"")</f>
        <v/>
      </c>
      <c r="EO78" s="1208"/>
      <c r="EP78" s="359"/>
      <c r="EQ78" s="363" t="str">
        <f>IF(AND(ER78&lt;&gt;"",EP78&lt;&gt;""),ER78-EP78,"")</f>
        <v/>
      </c>
      <c r="ER78" s="1208"/>
      <c r="ES78" s="359"/>
      <c r="ET78" s="363" t="str">
        <f>IF(AND(EU78&lt;&gt;"",ES78&lt;&gt;""),EU78-ES78,"")</f>
        <v/>
      </c>
      <c r="EU78" s="1208"/>
      <c r="EV78" s="359"/>
      <c r="EW78" s="363" t="str">
        <f>IF(AND(EX78&lt;&gt;"",EV78&lt;&gt;""),EX78-EV78,"")</f>
        <v/>
      </c>
      <c r="EX78" s="1208"/>
      <c r="EY78" s="359"/>
      <c r="EZ78" s="363" t="str">
        <f>IF(AND(FA78&lt;&gt;"",EY78&lt;&gt;""),FA78-EY78,"")</f>
        <v/>
      </c>
      <c r="FA78" s="359"/>
    </row>
    <row r="79" spans="1:157" ht="13.35" customHeight="1">
      <c r="A79" s="5"/>
      <c r="B79" s="5" t="s">
        <v>300</v>
      </c>
      <c r="C79" s="5"/>
      <c r="D79" s="362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F79" s="30"/>
      <c r="BG79" s="30"/>
      <c r="BH79" s="30"/>
      <c r="BI79" s="30"/>
      <c r="BJ79" s="30"/>
      <c r="BK79" s="30"/>
      <c r="BL79" s="30"/>
      <c r="BM79" s="30"/>
      <c r="BN79" s="30"/>
      <c r="BO79" s="30"/>
      <c r="BP79" s="30"/>
      <c r="BQ79" s="30"/>
      <c r="BR79" s="30"/>
      <c r="BS79" s="30"/>
      <c r="BT79" s="30"/>
      <c r="BU79" s="30"/>
      <c r="BV79" s="30"/>
      <c r="BW79" s="30"/>
      <c r="BX79" s="30"/>
      <c r="BY79" s="30"/>
      <c r="BZ79" s="30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  <c r="CT79" s="30"/>
      <c r="CU79" s="30"/>
      <c r="CV79" s="30"/>
      <c r="CW79" s="30"/>
      <c r="CX79" s="30"/>
      <c r="CY79" s="30"/>
      <c r="CZ79" s="30"/>
      <c r="DA79" s="30"/>
      <c r="DB79" s="30"/>
      <c r="DC79" s="30"/>
      <c r="DD79" s="30"/>
      <c r="DE79" s="30"/>
      <c r="DF79" s="30"/>
      <c r="DG79" s="30"/>
      <c r="DH79" s="30"/>
      <c r="DI79" s="30"/>
      <c r="DJ79" s="30"/>
      <c r="DK79" s="1096"/>
      <c r="DL79" s="30"/>
      <c r="DM79" s="30"/>
      <c r="DN79" s="1096"/>
      <c r="DO79" s="30"/>
      <c r="DP79" s="30"/>
      <c r="DQ79" s="1096"/>
      <c r="DR79" s="30"/>
      <c r="DS79" s="30"/>
      <c r="DT79" s="1096"/>
      <c r="DU79" s="30"/>
      <c r="DV79" s="30"/>
      <c r="DW79" s="1096"/>
      <c r="DX79" s="30"/>
      <c r="DY79" s="30"/>
      <c r="DZ79" s="1096"/>
      <c r="EA79" s="30"/>
      <c r="EB79" s="30"/>
      <c r="EC79" s="1096"/>
      <c r="ED79" s="30"/>
      <c r="EE79" s="30"/>
      <c r="EF79" s="1096"/>
      <c r="EG79" s="30"/>
      <c r="EH79" s="30"/>
      <c r="EI79" s="1096"/>
      <c r="EJ79" s="30"/>
      <c r="EK79" s="30"/>
      <c r="EL79" s="1096"/>
      <c r="EM79" s="30"/>
      <c r="EN79" s="30"/>
      <c r="EO79" s="1096"/>
      <c r="EP79" s="30"/>
      <c r="EQ79" s="30"/>
      <c r="ER79" s="1096"/>
      <c r="ES79" s="30"/>
      <c r="ET79" s="30"/>
      <c r="EU79" s="1096"/>
      <c r="EV79" s="30"/>
      <c r="EW79" s="30"/>
      <c r="EX79" s="1096"/>
      <c r="EY79" s="30"/>
      <c r="EZ79" s="30"/>
      <c r="FA79" s="30"/>
    </row>
    <row r="80" spans="1:157" ht="13.35" customHeight="1" outlineLevel="1">
      <c r="A80" s="5"/>
      <c r="B80" s="5" t="s">
        <v>301</v>
      </c>
      <c r="C80" s="5"/>
      <c r="D80" s="362"/>
      <c r="E80" s="363"/>
      <c r="F80" s="363" t="str">
        <f>IF(G80&lt;&gt;"",G80,"")</f>
        <v/>
      </c>
      <c r="G80" s="363"/>
      <c r="H80" s="363"/>
      <c r="I80" s="363" t="str">
        <f>IF(J80&lt;&gt;"",J80,"")</f>
        <v/>
      </c>
      <c r="J80" s="363"/>
      <c r="K80" s="363"/>
      <c r="L80" s="363" t="str">
        <f>IF(M80&lt;&gt;"",M80,"")</f>
        <v/>
      </c>
      <c r="M80" s="363"/>
      <c r="N80" s="363"/>
      <c r="O80" s="363" t="str">
        <f>IF(P80&lt;&gt;"",P80,"")</f>
        <v/>
      </c>
      <c r="P80" s="363"/>
      <c r="Q80" s="363"/>
      <c r="R80" s="363" t="str">
        <f>IF(S80&lt;&gt;"",S80,"")</f>
        <v/>
      </c>
      <c r="S80" s="363"/>
      <c r="T80" s="363"/>
      <c r="U80" s="363" t="str">
        <f>IF(V80&lt;&gt;"",V80,"")</f>
        <v/>
      </c>
      <c r="V80" s="363"/>
      <c r="W80" s="363"/>
      <c r="X80" s="363" t="str">
        <f>IF(Y80&lt;&gt;"",Y80,"")</f>
        <v/>
      </c>
      <c r="Y80" s="363"/>
      <c r="Z80" s="363"/>
      <c r="AA80" s="363" t="str">
        <f>IF(AB80&lt;&gt;"",AB80,"")</f>
        <v/>
      </c>
      <c r="AB80" s="363"/>
      <c r="AC80" s="363"/>
      <c r="AD80" s="363" t="str">
        <f>IF(AE80&lt;&gt;"",AE80,"")</f>
        <v/>
      </c>
      <c r="AE80" s="363"/>
      <c r="AF80" s="363"/>
      <c r="AG80" s="363" t="str">
        <f>IF(AH80&lt;&gt;"",AH80,"")</f>
        <v/>
      </c>
      <c r="AH80" s="363"/>
      <c r="AI80" s="363"/>
      <c r="AJ80" s="363" t="str">
        <f>IF(AK80&lt;&gt;"",AK80,"")</f>
        <v/>
      </c>
      <c r="AK80" s="363"/>
      <c r="AL80" s="363"/>
      <c r="AM80" s="363" t="str">
        <f>IF(AN80&lt;&gt;"",AN80,"")</f>
        <v/>
      </c>
      <c r="AN80" s="363"/>
      <c r="AO80" s="363"/>
      <c r="AP80" s="363"/>
      <c r="AQ80" s="363"/>
      <c r="AR80" s="363"/>
      <c r="AS80" s="363"/>
      <c r="AT80" s="363"/>
      <c r="AU80" s="363"/>
      <c r="AV80" s="363"/>
      <c r="AW80" s="363"/>
      <c r="AX80" s="363"/>
      <c r="AY80" s="363"/>
      <c r="AZ80" s="363"/>
      <c r="BA80" s="363"/>
      <c r="BB80" s="363"/>
      <c r="BC80" s="363"/>
      <c r="BD80" s="363"/>
      <c r="BE80" s="363" t="str">
        <f>IF(BF80&lt;&gt;"",BF80,"")</f>
        <v/>
      </c>
      <c r="BF80" s="363"/>
      <c r="BG80" s="363"/>
      <c r="BH80" s="363" t="str">
        <f>IF(BI80&lt;&gt;"",BI80,"")</f>
        <v/>
      </c>
      <c r="BI80" s="363"/>
      <c r="BJ80" s="363"/>
      <c r="BK80" s="363" t="str">
        <f>IF(BL80&lt;&gt;"",BL80,"")</f>
        <v/>
      </c>
      <c r="BL80" s="363"/>
      <c r="BM80" s="363"/>
      <c r="BN80" s="363" t="str">
        <f>IF(BO80&lt;&gt;"",BO80,"")</f>
        <v/>
      </c>
      <c r="BO80" s="363"/>
      <c r="BP80" s="363"/>
      <c r="BQ80" s="363" t="str">
        <f>IF(BR80&lt;&gt;"",BR80,"")</f>
        <v/>
      </c>
      <c r="BR80" s="363"/>
      <c r="BS80" s="363"/>
      <c r="BT80" s="363" t="str">
        <f>IF(BU80&lt;&gt;"",BU80,"")</f>
        <v/>
      </c>
      <c r="BU80" s="363"/>
      <c r="BV80" s="363"/>
      <c r="BW80" s="363" t="str">
        <f>IF(BX80&lt;&gt;"",BX80,"")</f>
        <v/>
      </c>
      <c r="BX80" s="363"/>
      <c r="BY80" s="363"/>
      <c r="BZ80" s="363" t="str">
        <f>IF(CA80&lt;&gt;"",CA80,"")</f>
        <v/>
      </c>
      <c r="CA80" s="363"/>
      <c r="CB80" s="363"/>
      <c r="CC80" s="363" t="str">
        <f>IF(CD80&lt;&gt;"",CD80,"")</f>
        <v/>
      </c>
      <c r="CD80" s="363"/>
      <c r="CE80" s="363"/>
      <c r="CF80" s="363" t="str">
        <f>IF(CG80&lt;&gt;"",CG80,"")</f>
        <v/>
      </c>
      <c r="CG80" s="363"/>
      <c r="CH80" s="363"/>
      <c r="CI80" s="363" t="str">
        <f>IF(CJ80&lt;&gt;"",CJ80,"")</f>
        <v/>
      </c>
      <c r="CJ80" s="363"/>
      <c r="CK80" s="363"/>
      <c r="CL80" s="363" t="str">
        <f>IF(CM80&lt;&gt;"",CM80,"")</f>
        <v/>
      </c>
      <c r="CM80" s="363"/>
      <c r="CN80" s="363"/>
      <c r="CO80" s="363" t="str">
        <f>IF(CP80&lt;&gt;"",CP80,"")</f>
        <v/>
      </c>
      <c r="CP80" s="363"/>
      <c r="CQ80" s="363"/>
      <c r="CR80" s="363" t="str">
        <f>IF(CS80&lt;&gt;"",CS80,"")</f>
        <v/>
      </c>
      <c r="CS80" s="363"/>
      <c r="CT80" s="363"/>
      <c r="CU80" s="363" t="str">
        <f>IF(CV80&lt;&gt;"",CV80,"")</f>
        <v/>
      </c>
      <c r="CV80" s="363"/>
      <c r="CW80" s="363"/>
      <c r="CX80" s="363" t="str">
        <f>IF(CY80&lt;&gt;"",CY80,"")</f>
        <v/>
      </c>
      <c r="CY80" s="363"/>
      <c r="CZ80" s="363"/>
      <c r="DA80" s="363" t="str">
        <f>IF(DB80&lt;&gt;"",DB80,"")</f>
        <v/>
      </c>
      <c r="DB80" s="363"/>
      <c r="DC80" s="363"/>
      <c r="DD80" s="363" t="str">
        <f>IF(DE80&lt;&gt;"",DE80,"")</f>
        <v/>
      </c>
      <c r="DE80" s="363"/>
      <c r="DF80" s="363"/>
      <c r="DG80" s="363" t="str">
        <f>IF(DH80&lt;&gt;"",DH80,"")</f>
        <v/>
      </c>
      <c r="DH80" s="363"/>
      <c r="DI80" s="363"/>
      <c r="DJ80" s="363" t="str">
        <f>IF(DK80&lt;&gt;"",DK80,"")</f>
        <v/>
      </c>
      <c r="DK80" s="1210"/>
      <c r="DL80" s="363"/>
      <c r="DM80" s="363" t="str">
        <f>IF(DN80&lt;&gt;"",DN80,"")</f>
        <v/>
      </c>
      <c r="DN80" s="1210"/>
      <c r="DO80" s="363"/>
      <c r="DP80" s="363" t="str">
        <f>IF(DQ80&lt;&gt;"",DQ80,"")</f>
        <v/>
      </c>
      <c r="DQ80" s="1210"/>
      <c r="DR80" s="363"/>
      <c r="DS80" s="363" t="str">
        <f>IF(DT80&lt;&gt;"",DT80,"")</f>
        <v/>
      </c>
      <c r="DT80" s="1210"/>
      <c r="DU80" s="363"/>
      <c r="DV80" s="363" t="str">
        <f>IF(DW80&lt;&gt;"",DW80,"")</f>
        <v/>
      </c>
      <c r="DW80" s="1210"/>
      <c r="DX80" s="363"/>
      <c r="DY80" s="363" t="str">
        <f>IF(DZ80&lt;&gt;"",DZ80,"")</f>
        <v/>
      </c>
      <c r="DZ80" s="1210"/>
      <c r="EA80" s="363"/>
      <c r="EB80" s="363" t="str">
        <f>IF(EC80&lt;&gt;"",EC80,"")</f>
        <v/>
      </c>
      <c r="EC80" s="1210"/>
      <c r="ED80" s="363"/>
      <c r="EE80" s="363" t="str">
        <f>IF(EF80&lt;&gt;"",EF80,"")</f>
        <v/>
      </c>
      <c r="EF80" s="1210"/>
      <c r="EG80" s="363"/>
      <c r="EH80" s="363" t="str">
        <f>IF(EI80&lt;&gt;"",EI80,"")</f>
        <v/>
      </c>
      <c r="EI80" s="1210"/>
      <c r="EJ80" s="363"/>
      <c r="EK80" s="363" t="str">
        <f>IF(EL80&lt;&gt;"",EL80,"")</f>
        <v/>
      </c>
      <c r="EL80" s="1210"/>
      <c r="EM80" s="363"/>
      <c r="EN80" s="363" t="str">
        <f>IF(EO80&lt;&gt;"",EO80,"")</f>
        <v/>
      </c>
      <c r="EO80" s="1210"/>
      <c r="EP80" s="363"/>
      <c r="EQ80" s="363" t="str">
        <f>IF(ER80&lt;&gt;"",ER80,"")</f>
        <v/>
      </c>
      <c r="ER80" s="1210"/>
      <c r="ES80" s="363"/>
      <c r="ET80" s="363" t="str">
        <f>IF(EU80&lt;&gt;"",EU80,"")</f>
        <v/>
      </c>
      <c r="EU80" s="1210"/>
      <c r="EV80" s="363"/>
      <c r="EW80" s="363" t="str">
        <f>IF(EX80&lt;&gt;"",EX80,"")</f>
        <v/>
      </c>
      <c r="EX80" s="1210"/>
      <c r="EY80" s="363"/>
      <c r="EZ80" s="363" t="str">
        <f>IF(FA80&lt;&gt;"",FA80,"")</f>
        <v/>
      </c>
      <c r="FA80" s="363"/>
    </row>
    <row r="81" spans="1:157" ht="13.35" customHeight="1" outlineLevel="1">
      <c r="A81" s="5"/>
      <c r="B81" s="5" t="s">
        <v>38</v>
      </c>
      <c r="C81" s="5"/>
      <c r="D81" s="362"/>
      <c r="E81" s="363"/>
      <c r="F81" s="363" t="str">
        <f>IF(G81&lt;&gt;"",G81,"")</f>
        <v/>
      </c>
      <c r="G81" s="363"/>
      <c r="H81" s="363"/>
      <c r="I81" s="363" t="str">
        <f>IF(J81&lt;&gt;"",J81,"")</f>
        <v/>
      </c>
      <c r="J81" s="363"/>
      <c r="K81" s="363"/>
      <c r="L81" s="363" t="str">
        <f>IF(M81&lt;&gt;"",M81,"")</f>
        <v/>
      </c>
      <c r="M81" s="363"/>
      <c r="N81" s="363"/>
      <c r="O81" s="363" t="str">
        <f>IF(P81&lt;&gt;"",P81,"")</f>
        <v/>
      </c>
      <c r="P81" s="363"/>
      <c r="Q81" s="363"/>
      <c r="R81" s="363" t="str">
        <f>IF(S81&lt;&gt;"",S81,"")</f>
        <v/>
      </c>
      <c r="S81" s="363"/>
      <c r="T81" s="363"/>
      <c r="U81" s="363" t="str">
        <f>IF(V81&lt;&gt;"",V81,"")</f>
        <v/>
      </c>
      <c r="V81" s="363"/>
      <c r="W81" s="363"/>
      <c r="X81" s="363" t="str">
        <f>IF(Y81&lt;&gt;"",Y81,"")</f>
        <v/>
      </c>
      <c r="Y81" s="363"/>
      <c r="Z81" s="363"/>
      <c r="AA81" s="363" t="str">
        <f>IF(AB81&lt;&gt;"",AB81,"")</f>
        <v/>
      </c>
      <c r="AB81" s="363"/>
      <c r="AC81" s="363"/>
      <c r="AD81" s="363" t="str">
        <f>IF(AE81&lt;&gt;"",AE81,"")</f>
        <v/>
      </c>
      <c r="AE81" s="363"/>
      <c r="AF81" s="363"/>
      <c r="AG81" s="363" t="str">
        <f>IF(AH81&lt;&gt;"",AH81,"")</f>
        <v/>
      </c>
      <c r="AH81" s="363"/>
      <c r="AI81" s="363"/>
      <c r="AJ81" s="363" t="str">
        <f>IF(AK81&lt;&gt;"",AK81,"")</f>
        <v/>
      </c>
      <c r="AK81" s="363"/>
      <c r="AL81" s="363"/>
      <c r="AM81" s="363" t="str">
        <f>IF(AN81&lt;&gt;"",AN81,"")</f>
        <v/>
      </c>
      <c r="AN81" s="363"/>
      <c r="AO81" s="363"/>
      <c r="AP81" s="363" t="str">
        <f>IF(AQ81&lt;&gt;"",AQ81,"")</f>
        <v/>
      </c>
      <c r="AQ81" s="363"/>
      <c r="AR81" s="363"/>
      <c r="AS81" s="363" t="str">
        <f>IF(AT81&lt;&gt;"",AT81,"")</f>
        <v/>
      </c>
      <c r="AT81" s="363"/>
      <c r="AU81" s="363"/>
      <c r="AV81" s="363" t="str">
        <f>IF(AW81&lt;&gt;"",AW81,"")</f>
        <v/>
      </c>
      <c r="AW81" s="363"/>
      <c r="AX81" s="363"/>
      <c r="AY81" s="363" t="str">
        <f>IF(AZ81&lt;&gt;"",AZ81,"")</f>
        <v/>
      </c>
      <c r="AZ81" s="363"/>
      <c r="BA81" s="363"/>
      <c r="BB81" s="363" t="str">
        <f>IF(BC81&lt;&gt;"",BC81,"")</f>
        <v/>
      </c>
      <c r="BC81" s="363"/>
      <c r="BD81" s="363"/>
      <c r="BE81" s="363" t="str">
        <f>IF(BF81&lt;&gt;"",BF81,"")</f>
        <v/>
      </c>
      <c r="BF81" s="363"/>
      <c r="BG81" s="363"/>
      <c r="BH81" s="363" t="str">
        <f>IF(BI81&lt;&gt;"",BI81,"")</f>
        <v/>
      </c>
      <c r="BI81" s="363"/>
      <c r="BJ81" s="363"/>
      <c r="BK81" s="363" t="str">
        <f>IF(BL81&lt;&gt;"",BL81,"")</f>
        <v/>
      </c>
      <c r="BL81" s="363"/>
      <c r="BM81" s="363"/>
      <c r="BN81" s="363" t="str">
        <f>IF(BO81&lt;&gt;"",BO81,"")</f>
        <v/>
      </c>
      <c r="BO81" s="363"/>
      <c r="BP81" s="363"/>
      <c r="BQ81" s="363" t="str">
        <f>IF(BR81&lt;&gt;"",BR81,"")</f>
        <v/>
      </c>
      <c r="BR81" s="363"/>
      <c r="BS81" s="363"/>
      <c r="BT81" s="363" t="str">
        <f>IF(BU81&lt;&gt;"",BU81,"")</f>
        <v/>
      </c>
      <c r="BU81" s="363"/>
      <c r="BV81" s="363"/>
      <c r="BW81" s="363" t="str">
        <f>IF(BX81&lt;&gt;"",BX81,"")</f>
        <v/>
      </c>
      <c r="BX81" s="363"/>
      <c r="BY81" s="363"/>
      <c r="BZ81" s="363" t="str">
        <f>IF(CA81&lt;&gt;"",CA81,"")</f>
        <v/>
      </c>
      <c r="CA81" s="363"/>
      <c r="CB81" s="363"/>
      <c r="CC81" s="363" t="str">
        <f>IF(CD81&lt;&gt;"",CD81,"")</f>
        <v/>
      </c>
      <c r="CD81" s="363"/>
      <c r="CE81" s="363"/>
      <c r="CF81" s="363" t="str">
        <f>IF(CG81&lt;&gt;"",CG81,"")</f>
        <v/>
      </c>
      <c r="CG81" s="363"/>
      <c r="CH81" s="363"/>
      <c r="CI81" s="363" t="str">
        <f>IF(CJ81&lt;&gt;"",CJ81,"")</f>
        <v/>
      </c>
      <c r="CJ81" s="363"/>
      <c r="CK81" s="363"/>
      <c r="CL81" s="363" t="str">
        <f>IF(CM81&lt;&gt;"",CM81,"")</f>
        <v/>
      </c>
      <c r="CM81" s="363"/>
      <c r="CN81" s="363"/>
      <c r="CO81" s="363" t="str">
        <f>IF(CP81&lt;&gt;"",CP81,"")</f>
        <v/>
      </c>
      <c r="CP81" s="363"/>
      <c r="CQ81" s="363"/>
      <c r="CR81" s="363" t="str">
        <f>IF(CS81&lt;&gt;"",CS81,"")</f>
        <v/>
      </c>
      <c r="CS81" s="363"/>
      <c r="CT81" s="363"/>
      <c r="CU81" s="363" t="str">
        <f>IF(CV81&lt;&gt;"",CV81,"")</f>
        <v/>
      </c>
      <c r="CV81" s="363"/>
      <c r="CW81" s="363"/>
      <c r="CX81" s="363" t="str">
        <f>IF(CY81&lt;&gt;"",CY81,"")</f>
        <v/>
      </c>
      <c r="CY81" s="363"/>
      <c r="CZ81" s="363"/>
      <c r="DA81" s="363" t="str">
        <f>IF(DB81&lt;&gt;"",DB81,"")</f>
        <v/>
      </c>
      <c r="DB81" s="363"/>
      <c r="DC81" s="363"/>
      <c r="DD81" s="363" t="str">
        <f>IF(DE81&lt;&gt;"",DE81,"")</f>
        <v/>
      </c>
      <c r="DE81" s="363"/>
      <c r="DF81" s="363"/>
      <c r="DG81" s="363" t="str">
        <f>IF(DH81&lt;&gt;"",DH81,"")</f>
        <v/>
      </c>
      <c r="DH81" s="363"/>
      <c r="DI81" s="363"/>
      <c r="DJ81" s="363" t="str">
        <f>IF(DK81&lt;&gt;"",DK81,"")</f>
        <v/>
      </c>
      <c r="DK81" s="1210"/>
      <c r="DL81" s="363"/>
      <c r="DM81" s="363" t="str">
        <f>IF(DN81&lt;&gt;"",DN81,"")</f>
        <v/>
      </c>
      <c r="DN81" s="1210"/>
      <c r="DO81" s="363"/>
      <c r="DP81" s="363" t="str">
        <f>IF(DQ81&lt;&gt;"",DQ81,"")</f>
        <v/>
      </c>
      <c r="DQ81" s="1210"/>
      <c r="DR81" s="363"/>
      <c r="DS81" s="363" t="str">
        <f>IF(DT81&lt;&gt;"",DT81,"")</f>
        <v/>
      </c>
      <c r="DT81" s="1210"/>
      <c r="DU81" s="363"/>
      <c r="DV81" s="363" t="str">
        <f>IF(DW81&lt;&gt;"",DW81,"")</f>
        <v/>
      </c>
      <c r="DW81" s="1210"/>
      <c r="DX81" s="363"/>
      <c r="DY81" s="363" t="str">
        <f>IF(DZ81&lt;&gt;"",DZ81,"")</f>
        <v/>
      </c>
      <c r="DZ81" s="1210"/>
      <c r="EA81" s="363"/>
      <c r="EB81" s="363" t="str">
        <f>IF(EC81&lt;&gt;"",EC81,"")</f>
        <v/>
      </c>
      <c r="EC81" s="1210"/>
      <c r="ED81" s="363"/>
      <c r="EE81" s="363" t="str">
        <f>IF(EF81&lt;&gt;"",EF81,"")</f>
        <v/>
      </c>
      <c r="EF81" s="1210"/>
      <c r="EG81" s="363"/>
      <c r="EH81" s="363" t="str">
        <f>IF(EI81&lt;&gt;"",EI81,"")</f>
        <v/>
      </c>
      <c r="EI81" s="1210"/>
      <c r="EJ81" s="363"/>
      <c r="EK81" s="363" t="str">
        <f>IF(EL81&lt;&gt;"",EL81,"")</f>
        <v/>
      </c>
      <c r="EL81" s="1210"/>
      <c r="EM81" s="363"/>
      <c r="EN81" s="363" t="str">
        <f>IF(EO81&lt;&gt;"",EO81,"")</f>
        <v/>
      </c>
      <c r="EO81" s="1210"/>
      <c r="EP81" s="363"/>
      <c r="EQ81" s="363" t="str">
        <f>IF(ER81&lt;&gt;"",ER81,"")</f>
        <v/>
      </c>
      <c r="ER81" s="1210"/>
      <c r="ES81" s="363"/>
      <c r="ET81" s="363" t="str">
        <f>IF(EU81&lt;&gt;"",EU81,"")</f>
        <v/>
      </c>
      <c r="EU81" s="1210"/>
      <c r="EV81" s="363"/>
      <c r="EW81" s="363" t="str">
        <f>IF(EX81&lt;&gt;"",EX81,"")</f>
        <v/>
      </c>
      <c r="EX81" s="1210"/>
      <c r="EY81" s="363"/>
      <c r="EZ81" s="363" t="str">
        <f>IF(FA81&lt;&gt;"",FA81,"")</f>
        <v/>
      </c>
      <c r="FA81" s="363"/>
    </row>
    <row r="82" spans="1:157" ht="13.35" customHeight="1" outlineLevel="1">
      <c r="A82" s="5"/>
      <c r="B82" s="5" t="s">
        <v>887</v>
      </c>
      <c r="C82" s="5"/>
      <c r="D82" s="362"/>
      <c r="E82" s="364" t="str">
        <f>IF(Model!E288&lt;&gt;"",Model!E288,"")</f>
        <v/>
      </c>
      <c r="F82" s="364" t="str">
        <f>IF(Model!G288&lt;&gt;"",Model!F288,"")</f>
        <v/>
      </c>
      <c r="G82" s="364" t="str">
        <f>IF(Model!G288&lt;&gt;"",Model!G288,"")</f>
        <v/>
      </c>
      <c r="H82" s="364" t="str">
        <f>IF(Model!H288&lt;&gt;"",Model!H288,"")</f>
        <v/>
      </c>
      <c r="I82" s="364" t="str">
        <f>IF(Model!J288&lt;&gt;"",Model!I288,"")</f>
        <v/>
      </c>
      <c r="J82" s="364" t="str">
        <f>IF(Model!J288&lt;&gt;"",Model!J288,"")</f>
        <v/>
      </c>
      <c r="K82" s="364" t="str">
        <f>IF(Model!K288&lt;&gt;"",Model!K288,"")</f>
        <v/>
      </c>
      <c r="L82" s="364" t="str">
        <f>IF(Model!M288&lt;&gt;"",Model!L288,"")</f>
        <v/>
      </c>
      <c r="M82" s="364" t="str">
        <f>IF(Model!M288&lt;&gt;"",Model!M288,"")</f>
        <v/>
      </c>
      <c r="N82" s="364" t="str">
        <f>IF(Model!N288&lt;&gt;"",Model!N288,"")</f>
        <v/>
      </c>
      <c r="O82" s="364" t="str">
        <f>IF(Model!P288&lt;&gt;"",Model!O288,"")</f>
        <v/>
      </c>
      <c r="P82" s="364" t="str">
        <f>IF(Model!P288&lt;&gt;"",Model!P288,"")</f>
        <v/>
      </c>
      <c r="Q82" s="364" t="str">
        <f>IF(Model!Q288&lt;&gt;"",Model!Q288,"")</f>
        <v/>
      </c>
      <c r="R82" s="364" t="str">
        <f>IF(Model!S288&lt;&gt;"",Model!R288,"")</f>
        <v/>
      </c>
      <c r="S82" s="364" t="str">
        <f>IF(Model!S288&lt;&gt;"",Model!S288,"")</f>
        <v/>
      </c>
      <c r="T82" s="364" t="str">
        <f>IF(Model!T288&lt;&gt;"",Model!T288,"")</f>
        <v/>
      </c>
      <c r="U82" s="364" t="str">
        <f>IF(Model!V288&lt;&gt;"",Model!U288,"")</f>
        <v/>
      </c>
      <c r="V82" s="364" t="str">
        <f>IF(Model!V288&lt;&gt;"",Model!V288,"")</f>
        <v/>
      </c>
      <c r="W82" s="364" t="str">
        <f>IF(Model!W288&lt;&gt;"",Model!W288,"")</f>
        <v/>
      </c>
      <c r="X82" s="364" t="str">
        <f>IF(Model!Y288&lt;&gt;"",Model!X288,"")</f>
        <v/>
      </c>
      <c r="Y82" s="364" t="str">
        <f>IF(Model!Y288&lt;&gt;"",Model!Y288,"")</f>
        <v/>
      </c>
      <c r="Z82" s="364" t="str">
        <f>IF(Model!Z288&lt;&gt;"",Model!Z288,"")</f>
        <v/>
      </c>
      <c r="AA82" s="364" t="str">
        <f>IF(Model!AB288&lt;&gt;"",Model!AA288,"")</f>
        <v/>
      </c>
      <c r="AB82" s="364" t="str">
        <f>IF(Model!AB288&lt;&gt;"",Model!AB288,"")</f>
        <v/>
      </c>
      <c r="AC82" s="364" t="str">
        <f>IF(Model!AC288&lt;&gt;"",Model!AC288,"")</f>
        <v/>
      </c>
      <c r="AD82" s="364" t="str">
        <f>IF(Model!AE288&lt;&gt;"",Model!AD288,"")</f>
        <v/>
      </c>
      <c r="AE82" s="364" t="str">
        <f>IF(Model!AE288&lt;&gt;"",Model!AE288,"")</f>
        <v/>
      </c>
      <c r="AF82" s="364" t="str">
        <f>IF(Model!AF288&lt;&gt;"",Model!AF288,"")</f>
        <v/>
      </c>
      <c r="AG82" s="364" t="str">
        <f>IF(Model!AH288&lt;&gt;"",Model!AG288,"")</f>
        <v/>
      </c>
      <c r="AH82" s="364" t="str">
        <f>IF(Model!AH288&lt;&gt;"",Model!AH288,"")</f>
        <v/>
      </c>
      <c r="AI82" s="364" t="str">
        <f>IF(Model!AI288&lt;&gt;"",Model!AI288,"")</f>
        <v/>
      </c>
      <c r="AJ82" s="364" t="str">
        <f>IF(Model!AK288&lt;&gt;"",Model!AJ288,"")</f>
        <v/>
      </c>
      <c r="AK82" s="364" t="str">
        <f>IF(Model!AK288&lt;&gt;"",Model!AK288,"")</f>
        <v/>
      </c>
      <c r="AL82" s="364" t="str">
        <f>IF(Model!AL288&lt;&gt;"",Model!AL288,"")</f>
        <v/>
      </c>
      <c r="AM82" s="364" t="str">
        <f>IF(Model!AN288&lt;&gt;"",Model!AM288,"")</f>
        <v/>
      </c>
      <c r="AN82" s="364" t="str">
        <f>IF(Model!AN288&lt;&gt;"",Model!AN288,"")</f>
        <v/>
      </c>
      <c r="AO82" s="364" t="str">
        <f>IF(Model!AO288&lt;&gt;"",Model!AO288,"")</f>
        <v/>
      </c>
      <c r="AP82" s="364" t="str">
        <f>IF(Model!AQ288&lt;&gt;"",Model!AP288,"")</f>
        <v/>
      </c>
      <c r="AQ82" s="364" t="str">
        <f>IF(Model!AQ288&lt;&gt;"",Model!AQ288,"")</f>
        <v/>
      </c>
      <c r="AR82" s="364" t="str">
        <f>IF(Model!AR288&lt;&gt;"",Model!AR288,"")</f>
        <v/>
      </c>
      <c r="AS82" s="364" t="str">
        <f>IF(Model!AT288&lt;&gt;"",Model!AS288,"")</f>
        <v/>
      </c>
      <c r="AT82" s="364" t="str">
        <f>IF(Model!AT288&lt;&gt;"",Model!AT288,"")</f>
        <v/>
      </c>
      <c r="AU82" s="364" t="str">
        <f>IF(Model!AU288&lt;&gt;"",Model!AU288,"")</f>
        <v/>
      </c>
      <c r="AV82" s="364" t="str">
        <f>IF(Model!AW288&lt;&gt;"",Model!AV288,"")</f>
        <v/>
      </c>
      <c r="AW82" s="364" t="str">
        <f>IF(Model!AW288&lt;&gt;"",Model!AW288,"")</f>
        <v/>
      </c>
      <c r="AX82" s="364" t="str">
        <f>IF(Model!AX288&lt;&gt;"",Model!AX288,"")</f>
        <v/>
      </c>
      <c r="AY82" s="364" t="str">
        <f>IF(Model!AZ288&lt;&gt;"",Model!AY288,"")</f>
        <v/>
      </c>
      <c r="AZ82" s="364" t="str">
        <f>IF(Model!AZ288&lt;&gt;"",Model!AZ288,"")</f>
        <v/>
      </c>
      <c r="BA82" s="364" t="str">
        <f>IF(Model!BA288&lt;&gt;"",Model!BA288,"")</f>
        <v/>
      </c>
      <c r="BB82" s="364" t="str">
        <f>IF(Model!BC288&lt;&gt;"",Model!BB288,"")</f>
        <v/>
      </c>
      <c r="BC82" s="364" t="str">
        <f>IF(Model!BC288&lt;&gt;"",Model!BC288,"")</f>
        <v/>
      </c>
      <c r="BD82" s="364" t="str">
        <f>IF(Model!BD288&lt;&gt;"",Model!BD288,"")</f>
        <v/>
      </c>
      <c r="BE82" s="364" t="str">
        <f>IF(Model!BF288&lt;&gt;"",Model!BE288,"")</f>
        <v/>
      </c>
      <c r="BF82" s="364" t="str">
        <f>IF(Model!BF288&lt;&gt;"",Model!BF288,"")</f>
        <v/>
      </c>
      <c r="BG82" s="364" t="str">
        <f>IF(Model!BG288&lt;&gt;"",Model!BG288,"")</f>
        <v/>
      </c>
      <c r="BH82" s="364" t="str">
        <f>IF(Model!BI288&lt;&gt;"",Model!BH288,"")</f>
        <v/>
      </c>
      <c r="BI82" s="364" t="str">
        <f>IF(Model!BI288&lt;&gt;"",Model!BI288,"")</f>
        <v/>
      </c>
      <c r="BJ82" s="364" t="str">
        <f>IF(Model!BJ288&lt;&gt;"",Model!BJ288,"")</f>
        <v/>
      </c>
      <c r="BK82" s="364" t="str">
        <f>IF(Model!BL288&lt;&gt;"",Model!BK288,"")</f>
        <v/>
      </c>
      <c r="BL82" s="364" t="str">
        <f>IF(Model!BL288&lt;&gt;"",Model!BL288,"")</f>
        <v/>
      </c>
      <c r="BM82" s="364" t="str">
        <f>IF(Model!BM288&lt;&gt;"",Model!BM288,"")</f>
        <v/>
      </c>
      <c r="BN82" s="364" t="str">
        <f>IF(Model!BO288&lt;&gt;"",Model!BN288,"")</f>
        <v/>
      </c>
      <c r="BO82" s="364" t="str">
        <f>IF(Model!BO288&lt;&gt;"",Model!BO288,"")</f>
        <v/>
      </c>
      <c r="BP82" s="364" t="str">
        <f>IF(Model!BP288&lt;&gt;"",Model!BP288,"")</f>
        <v/>
      </c>
      <c r="BQ82" s="364" t="str">
        <f>IF(Model!BR288&lt;&gt;"",Model!BQ288,"")</f>
        <v/>
      </c>
      <c r="BR82" s="364" t="str">
        <f>IF(Model!BR288&lt;&gt;"",Model!BR288,"")</f>
        <v/>
      </c>
      <c r="BS82" s="364" t="str">
        <f>IF(Model!BS288&lt;&gt;"",Model!BS288,"")</f>
        <v/>
      </c>
      <c r="BT82" s="364" t="str">
        <f>IF(Model!BU288&lt;&gt;"",Model!BT288,"")</f>
        <v/>
      </c>
      <c r="BU82" s="364" t="str">
        <f>IF(Model!BU288&lt;&gt;"",Model!BU288,"")</f>
        <v/>
      </c>
      <c r="BV82" s="364" t="str">
        <f>IF(Model!BV288&lt;&gt;"",Model!BV288,"")</f>
        <v/>
      </c>
      <c r="BW82" s="364" t="str">
        <f>IF(Model!BX288&lt;&gt;"",Model!BW288,"")</f>
        <v/>
      </c>
      <c r="BX82" s="364" t="str">
        <f>IF(Model!BX288&lt;&gt;"",Model!BX288,"")</f>
        <v/>
      </c>
      <c r="BY82" s="364" t="str">
        <f>IF(Model!BY288&lt;&gt;"",Model!BY288,"")</f>
        <v/>
      </c>
      <c r="BZ82" s="364" t="str">
        <f>IF(Model!CA288&lt;&gt;"",Model!BZ288,"")</f>
        <v/>
      </c>
      <c r="CA82" s="364" t="str">
        <f>IF(Model!CA288&lt;&gt;"",Model!CA288,"")</f>
        <v/>
      </c>
      <c r="CB82" s="364" t="str">
        <f>IF(Model!CB288&lt;&gt;"",Model!CB288,"")</f>
        <v/>
      </c>
      <c r="CC82" s="364" t="str">
        <f>IF(Model!CD288&lt;&gt;"",Model!CC288,"")</f>
        <v/>
      </c>
      <c r="CD82" s="364" t="str">
        <f>IF(Model!CD288&lt;&gt;"",Model!CD288,"")</f>
        <v/>
      </c>
      <c r="CE82" s="364" t="str">
        <f>IF(Model!CE288&lt;&gt;"",Model!CE288,"")</f>
        <v/>
      </c>
      <c r="CF82" s="364" t="str">
        <f>IF(Model!CG288&lt;&gt;"",Model!CF288,"")</f>
        <v/>
      </c>
      <c r="CG82" s="364" t="str">
        <f>IF(Model!CG288&lt;&gt;"",Model!CG288,"")</f>
        <v/>
      </c>
      <c r="CH82" s="364" t="str">
        <f>IF(Model!CH288&lt;&gt;"",Model!CH288,"")</f>
        <v/>
      </c>
      <c r="CI82" s="364" t="str">
        <f>IF(Model!CJ288&lt;&gt;"",Model!CI288,"")</f>
        <v/>
      </c>
      <c r="CJ82" s="364" t="str">
        <f>IF(Model!CJ288&lt;&gt;"",Model!CJ288,"")</f>
        <v/>
      </c>
      <c r="CK82" s="364" t="str">
        <f>IF(Model!CK288&lt;&gt;"",Model!CK288,"")</f>
        <v/>
      </c>
      <c r="CL82" s="364" t="str">
        <f>IF(Model!CM288&lt;&gt;"",Model!CL288,"")</f>
        <v/>
      </c>
      <c r="CM82" s="364" t="str">
        <f>IF(Model!CM288&lt;&gt;"",Model!CM288,"")</f>
        <v/>
      </c>
      <c r="CN82" s="364" t="str">
        <f>IF(Model!CN288&lt;&gt;"",Model!CN288,"")</f>
        <v/>
      </c>
      <c r="CO82" s="364" t="str">
        <f>IF(Model!CP288&lt;&gt;"",Model!CO288,"")</f>
        <v/>
      </c>
      <c r="CP82" s="364" t="str">
        <f>IF(Model!CP288&lt;&gt;"",Model!CP288,"")</f>
        <v/>
      </c>
      <c r="CQ82" s="364" t="str">
        <f>IF(Model!CQ288&lt;&gt;"",Model!CQ288,"")</f>
        <v/>
      </c>
      <c r="CR82" s="364" t="str">
        <f>IF(Model!CS288&lt;&gt;"",Model!CR288,"")</f>
        <v/>
      </c>
      <c r="CS82" s="364" t="str">
        <f>IF(Model!CS288&lt;&gt;"",Model!CS288,"")</f>
        <v/>
      </c>
      <c r="CT82" s="364" t="str">
        <f>IF(Model!CT288&lt;&gt;"",Model!CT288,"")</f>
        <v/>
      </c>
      <c r="CU82" s="364" t="str">
        <f>IF(Model!CV288&lt;&gt;"",Model!CU288,"")</f>
        <v/>
      </c>
      <c r="CV82" s="364" t="str">
        <f>IF(Model!CV288&lt;&gt;"",Model!CV288,"")</f>
        <v/>
      </c>
      <c r="CW82" s="364" t="str">
        <f>IF(Model!CW288&lt;&gt;"",Model!CW288,"")</f>
        <v/>
      </c>
      <c r="CX82" s="364" t="str">
        <f>IF(Model!CY288&lt;&gt;"",Model!CX288,"")</f>
        <v/>
      </c>
      <c r="CY82" s="364" t="str">
        <f>IF(Model!CY288&lt;&gt;"",Model!CY288,"")</f>
        <v/>
      </c>
      <c r="CZ82" s="364" t="str">
        <f>IF(Model!CZ288&lt;&gt;"",Model!CZ288,"")</f>
        <v/>
      </c>
      <c r="DA82" s="364" t="str">
        <f>IF(Model!DB288&lt;&gt;"",Model!DA288,"")</f>
        <v/>
      </c>
      <c r="DB82" s="364" t="str">
        <f>IF(Model!DB288&lt;&gt;"",Model!DB288,"")</f>
        <v/>
      </c>
      <c r="DC82" s="364" t="str">
        <f>IF(Model!DC288&lt;&gt;"",Model!DC288,"")</f>
        <v/>
      </c>
      <c r="DD82" s="364" t="str">
        <f>IF(Model!DE288&lt;&gt;"",Model!DD288,"")</f>
        <v/>
      </c>
      <c r="DE82" s="364" t="str">
        <f>IF(Model!DE288&lt;&gt;"",Model!DE288,"")</f>
        <v/>
      </c>
      <c r="DF82" s="364" t="str">
        <f>IF(Model!DF288&lt;&gt;"",Model!DF288,"")</f>
        <v/>
      </c>
      <c r="DG82" s="364" t="str">
        <f>IF(Model!DH288&lt;&gt;"",Model!DG288,"")</f>
        <v/>
      </c>
      <c r="DH82" s="364" t="str">
        <f>IF(Model!DH288&lt;&gt;"",Model!DH288,"")</f>
        <v/>
      </c>
      <c r="DI82" s="364" t="str">
        <f>IF(Model!DI288&lt;&gt;"",Model!DI288,"")</f>
        <v/>
      </c>
      <c r="DJ82" s="364" t="str">
        <f>IF(Model!DK288&lt;&gt;"",Model!DJ288,"")</f>
        <v/>
      </c>
      <c r="DK82" s="1211" t="str">
        <f>IF(Model!DK288&lt;&gt;"",Model!DK288,"")</f>
        <v/>
      </c>
      <c r="DL82" s="364" t="str">
        <f>IF(Model!DL288&lt;&gt;"",Model!DL288,"")</f>
        <v/>
      </c>
      <c r="DM82" s="364" t="str">
        <f>IF(Model!DN288&lt;&gt;"",Model!DM288,"")</f>
        <v/>
      </c>
      <c r="DN82" s="1211" t="str">
        <f>IF(Model!DN288&lt;&gt;"",Model!DN288,"")</f>
        <v/>
      </c>
      <c r="DO82" s="364" t="str">
        <f>IF(Model!DO288&lt;&gt;"",Model!DO288,"")</f>
        <v/>
      </c>
      <c r="DP82" s="364" t="str">
        <f>IF(Model!DQ288&lt;&gt;"",Model!DP288,"")</f>
        <v/>
      </c>
      <c r="DQ82" s="1211" t="str">
        <f>IF(Model!DQ288&lt;&gt;"",Model!DQ288,"")</f>
        <v/>
      </c>
      <c r="DR82" s="364" t="str">
        <f>IF(Model!DR288&lt;&gt;"",Model!DR288,"")</f>
        <v/>
      </c>
      <c r="DS82" s="364" t="str">
        <f>IF(Model!DT288&lt;&gt;"",Model!DS288,"")</f>
        <v/>
      </c>
      <c r="DT82" s="1211" t="str">
        <f>IF(Model!DT288&lt;&gt;"",Model!DT288,"")</f>
        <v/>
      </c>
      <c r="DU82" s="364" t="str">
        <f>IF(Model!DU288&lt;&gt;"",Model!DU288,"")</f>
        <v/>
      </c>
      <c r="DV82" s="364" t="str">
        <f>IF(Model!DW288&lt;&gt;"",Model!DV288,"")</f>
        <v/>
      </c>
      <c r="DW82" s="1211" t="str">
        <f>IF(Model!DW288&lt;&gt;"",Model!DW288,"")</f>
        <v/>
      </c>
      <c r="DX82" s="364" t="str">
        <f>IF(Model!DX288&lt;&gt;"",Model!DX288,"")</f>
        <v/>
      </c>
      <c r="DY82" s="364" t="str">
        <f>IF(Model!DZ288&lt;&gt;"",Model!DY288,"")</f>
        <v/>
      </c>
      <c r="DZ82" s="1211" t="str">
        <f>IF(Model!DZ288&lt;&gt;"",Model!DZ288,"")</f>
        <v/>
      </c>
      <c r="EA82" s="364" t="str">
        <f>IF(Model!EA288&lt;&gt;"",Model!EA288,"")</f>
        <v/>
      </c>
      <c r="EB82" s="364" t="str">
        <f>IF(Model!EC288&lt;&gt;"",Model!EB288,"")</f>
        <v/>
      </c>
      <c r="EC82" s="1211" t="str">
        <f>IF(Model!EC288&lt;&gt;"",Model!EC288,"")</f>
        <v/>
      </c>
      <c r="ED82" s="364" t="str">
        <f>IF(Model!ED288&lt;&gt;"",Model!ED288,"")</f>
        <v/>
      </c>
      <c r="EE82" s="364" t="str">
        <f>IF(Model!EF288&lt;&gt;"",Model!EE288,"")</f>
        <v/>
      </c>
      <c r="EF82" s="1211" t="str">
        <f>IF(Model!EF288&lt;&gt;"",Model!EF288,"")</f>
        <v/>
      </c>
      <c r="EG82" s="364" t="str">
        <f>IF(Model!EG288&lt;&gt;"",Model!EG288,"")</f>
        <v/>
      </c>
      <c r="EH82" s="364" t="str">
        <f>IF(Model!EI288&lt;&gt;"",Model!EH288,"")</f>
        <v/>
      </c>
      <c r="EI82" s="1211" t="str">
        <f>IF(Model!EI288&lt;&gt;"",Model!EI288,"")</f>
        <v/>
      </c>
      <c r="EJ82" s="364" t="str">
        <f>IF(Model!EJ288&lt;&gt;"",Model!EJ288,"")</f>
        <v/>
      </c>
      <c r="EK82" s="364" t="str">
        <f>IF(Model!EL288&lt;&gt;"",Model!EK288,"")</f>
        <v/>
      </c>
      <c r="EL82" s="1211" t="str">
        <f>IF(Model!EL288&lt;&gt;"",Model!EL288,"")</f>
        <v/>
      </c>
      <c r="EM82" s="364" t="str">
        <f>IF(Model!EM288&lt;&gt;"",Model!EM288,"")</f>
        <v/>
      </c>
      <c r="EN82" s="364" t="str">
        <f>IF(Model!EO288&lt;&gt;"",Model!EN288,"")</f>
        <v/>
      </c>
      <c r="EO82" s="1211" t="str">
        <f>IF(Model!EO288&lt;&gt;"",Model!EO288,"")</f>
        <v/>
      </c>
      <c r="EP82" s="364" t="str">
        <f>IF(Model!EP288&lt;&gt;"",Model!EP288,"")</f>
        <v/>
      </c>
      <c r="EQ82" s="364" t="str">
        <f>IF(Model!ER288&lt;&gt;"",Model!EQ288,"")</f>
        <v/>
      </c>
      <c r="ER82" s="1211" t="str">
        <f>IF(Model!ER288&lt;&gt;"",Model!ER288,"")</f>
        <v/>
      </c>
      <c r="ES82" s="364" t="str">
        <f>IF(Model!ES288&lt;&gt;"",Model!ES288,"")</f>
        <v/>
      </c>
      <c r="ET82" s="364" t="str">
        <f>IF(Model!EU288&lt;&gt;"",Model!ET288,"")</f>
        <v/>
      </c>
      <c r="EU82" s="1211" t="str">
        <f>IF(Model!EU288&lt;&gt;"",Model!EU288,"")</f>
        <v/>
      </c>
      <c r="EV82" s="364" t="str">
        <f>IF(Model!EV288&lt;&gt;"",Model!EV288,"")</f>
        <v/>
      </c>
      <c r="EW82" s="364" t="str">
        <f>IF(Model!EX288&lt;&gt;"",Model!EW288,"")</f>
        <v/>
      </c>
      <c r="EX82" s="1211" t="str">
        <f>IF(Model!EX288&lt;&gt;"",Model!EX288,"")</f>
        <v/>
      </c>
      <c r="EY82" s="364" t="str">
        <f>IF(Model!EY288&lt;&gt;"",Model!EY288,"")</f>
        <v/>
      </c>
      <c r="EZ82" s="364" t="str">
        <f>IF(Model!FA288&lt;&gt;"",Model!EZ288,"")</f>
        <v/>
      </c>
      <c r="FA82" s="364" t="str">
        <f>IF(Model!FA288&lt;&gt;"",Model!FA288,"")</f>
        <v/>
      </c>
    </row>
    <row r="83" spans="1:157" ht="13.35" customHeight="1" outlineLevel="1">
      <c r="A83" s="5"/>
      <c r="B83" s="5" t="s">
        <v>888</v>
      </c>
      <c r="C83" s="5"/>
      <c r="D83" s="362"/>
      <c r="E83" s="363"/>
      <c r="F83" s="363"/>
      <c r="G83" s="363"/>
      <c r="H83" s="363" t="str">
        <f>IF(AND(G80&lt;&gt;"",H80&lt;&gt;""),(G80+H80)/2,"")</f>
        <v/>
      </c>
      <c r="I83" s="363" t="str">
        <f>IF(AND(H80&lt;&gt;"",I80&lt;&gt;""),(H80+I80)/2,"")</f>
        <v/>
      </c>
      <c r="J83" s="363" t="str">
        <f>IF(AND(G80&lt;&gt;"",J80&lt;&gt;""),(G80+J80)/2,"")</f>
        <v/>
      </c>
      <c r="K83" s="363" t="str">
        <f>IF(AND(J80&lt;&gt;"",K80&lt;&gt;""),(J80+K80)/2,"")</f>
        <v/>
      </c>
      <c r="L83" s="363" t="str">
        <f>IF(AND(K80&lt;&gt;"",L80&lt;&gt;""),(K80+L80)/2,"")</f>
        <v/>
      </c>
      <c r="M83" s="363" t="str">
        <f>IF(AND(J80&lt;&gt;"",M80&lt;&gt;""),(J80+M80)/2,"")</f>
        <v/>
      </c>
      <c r="N83" s="363" t="str">
        <f>IF(AND(M80&lt;&gt;"",N80&lt;&gt;""),(M80+N80)/2,"")</f>
        <v/>
      </c>
      <c r="O83" s="363" t="str">
        <f>IF(AND(N80&lt;&gt;"",O80&lt;&gt;""),(N80+O80)/2,"")</f>
        <v/>
      </c>
      <c r="P83" s="363" t="str">
        <f>IF(AND(M80&lt;&gt;"",P80&lt;&gt;""),(M80+P80)/2,"")</f>
        <v/>
      </c>
      <c r="Q83" s="363" t="str">
        <f>IF(AND(P80&lt;&gt;"",Q80&lt;&gt;""),(P80+Q80)/2,"")</f>
        <v/>
      </c>
      <c r="R83" s="363" t="str">
        <f>IF(AND(Q80&lt;&gt;"",R80&lt;&gt;""),(Q80+R80)/2,"")</f>
        <v/>
      </c>
      <c r="S83" s="363" t="str">
        <f>IF(AND(P80&lt;&gt;"",S80&lt;&gt;""),(P80+S80)/2,"")</f>
        <v/>
      </c>
      <c r="T83" s="363" t="str">
        <f>IF(AND(S80&lt;&gt;"",T80&lt;&gt;""),(S80+T80)/2,"")</f>
        <v/>
      </c>
      <c r="U83" s="363" t="str">
        <f>IF(AND(T80&lt;&gt;"",U80&lt;&gt;""),(T80+U80)/2,"")</f>
        <v/>
      </c>
      <c r="V83" s="363" t="str">
        <f>IF(AND(S80&lt;&gt;"",V80&lt;&gt;""),(S80+V80)/2,"")</f>
        <v/>
      </c>
      <c r="W83" s="363" t="str">
        <f>IF(AND(V80&lt;&gt;"",W80&lt;&gt;""),(V80+W80)/2,"")</f>
        <v/>
      </c>
      <c r="X83" s="363" t="str">
        <f>IF(AND(W80&lt;&gt;"",X80&lt;&gt;""),(W80+X80)/2,"")</f>
        <v/>
      </c>
      <c r="Y83" s="363" t="str">
        <f>IF(AND(V80&lt;&gt;"",Y80&lt;&gt;""),(V80+Y80)/2,"")</f>
        <v/>
      </c>
      <c r="Z83" s="363" t="str">
        <f>IF(AND(Y80&lt;&gt;"",Z80&lt;&gt;""),(Y80+Z80)/2,"")</f>
        <v/>
      </c>
      <c r="AA83" s="363" t="str">
        <f>IF(AND(Z80&lt;&gt;"",AA80&lt;&gt;""),(Z80+AA80)/2,"")</f>
        <v/>
      </c>
      <c r="AB83" s="363" t="str">
        <f>IF(AND(Y80&lt;&gt;"",AB80&lt;&gt;""),(Y80+AB80)/2,"")</f>
        <v/>
      </c>
      <c r="AC83" s="363" t="str">
        <f>IF(AND(AB80&lt;&gt;"",AC80&lt;&gt;""),(AB80+AC80)/2,"")</f>
        <v/>
      </c>
      <c r="AD83" s="363" t="str">
        <f>IF(AND(AC80&lt;&gt;"",AD80&lt;&gt;""),(AC80+AD80)/2,"")</f>
        <v/>
      </c>
      <c r="AE83" s="363" t="str">
        <f>IF(AND(AB80&lt;&gt;"",AE80&lt;&gt;""),(AB80+AE80)/2,"")</f>
        <v/>
      </c>
      <c r="AF83" s="363" t="str">
        <f>IF(AND(AE80&lt;&gt;"",AF80&lt;&gt;""),(AE80+AF80)/2,"")</f>
        <v/>
      </c>
      <c r="AG83" s="363" t="str">
        <f>IF(AND(AF80&lt;&gt;"",AG80&lt;&gt;""),(AF80+AG80)/2,"")</f>
        <v/>
      </c>
      <c r="AH83" s="363" t="str">
        <f>IF(AND(AE80&lt;&gt;"",AH80&lt;&gt;""),(AE80+AH80)/2,"")</f>
        <v/>
      </c>
      <c r="AI83" s="363" t="str">
        <f>IF(AND(AH80&lt;&gt;"",AI80&lt;&gt;""),(AH80+AI80)/2,"")</f>
        <v/>
      </c>
      <c r="AJ83" s="363" t="str">
        <f>IF(AND(AI80&lt;&gt;"",AJ80&lt;&gt;""),(AI80+AJ80)/2,"")</f>
        <v/>
      </c>
      <c r="AK83" s="363" t="str">
        <f>IF(AND(AH80&lt;&gt;"",AK80&lt;&gt;""),(AH80+AK80)/2,"")</f>
        <v/>
      </c>
      <c r="AL83" s="363" t="str">
        <f>IF(AND(AK80&lt;&gt;"",AL80&lt;&gt;""),(AK80+AL80)/2,"")</f>
        <v/>
      </c>
      <c r="AM83" s="363" t="str">
        <f>IF(AND(AL80&lt;&gt;"",AM80&lt;&gt;""),(AL80+AM80)/2,"")</f>
        <v/>
      </c>
      <c r="AN83" s="363" t="str">
        <f>IF(AND(AK80&lt;&gt;"",AN80&lt;&gt;""),(AK80+AN80)/2,"")</f>
        <v/>
      </c>
      <c r="AO83" s="363" t="str">
        <f>IF(AND(AN80&lt;&gt;"",AO80&lt;&gt;""),(AN80+AO80)/2,"")</f>
        <v/>
      </c>
      <c r="AP83" s="363" t="str">
        <f>IF(AND(AO80&lt;&gt;"",AP80&lt;&gt;""),(AO80+AP80)/2,"")</f>
        <v/>
      </c>
      <c r="AQ83" s="363" t="str">
        <f>IF(AND(AN80&lt;&gt;"",AQ80&lt;&gt;""),(AN80+AQ80)/2,"")</f>
        <v/>
      </c>
      <c r="AR83" s="363" t="str">
        <f>IF(AND(AQ80&lt;&gt;"",AR80&lt;&gt;""),(AQ80+AR80)/2,"")</f>
        <v/>
      </c>
      <c r="AS83" s="363" t="str">
        <f>IF(AND(AR80&lt;&gt;"",AS80&lt;&gt;""),(AR80+AS80)/2,"")</f>
        <v/>
      </c>
      <c r="AT83" s="363" t="str">
        <f>IF(AND(AQ80&lt;&gt;"",AT80&lt;&gt;""),(AQ80+AT80)/2,"")</f>
        <v/>
      </c>
      <c r="AU83" s="363" t="str">
        <f>IF(AND(AT80&lt;&gt;"",AU80&lt;&gt;""),(AT80+AU80)/2,"")</f>
        <v/>
      </c>
      <c r="AV83" s="363" t="str">
        <f>IF(AND(AU80&lt;&gt;"",AV80&lt;&gt;""),(AU80+AV80)/2,"")</f>
        <v/>
      </c>
      <c r="AW83" s="363" t="str">
        <f>IF(AND(AT80&lt;&gt;"",AW80&lt;&gt;""),(AT80+AW80)/2,"")</f>
        <v/>
      </c>
      <c r="AX83" s="363" t="str">
        <f>IF(AND(AW80&lt;&gt;"",AX80&lt;&gt;""),(AW80+AX80)/2,"")</f>
        <v/>
      </c>
      <c r="AY83" s="363" t="str">
        <f>IF(AND(AX80&lt;&gt;"",AY80&lt;&gt;""),(AX80+AY80)/2,"")</f>
        <v/>
      </c>
      <c r="AZ83" s="363" t="str">
        <f>IF(AND(AW80&lt;&gt;"",AZ80&lt;&gt;""),(AW80+AZ80)/2,"")</f>
        <v/>
      </c>
      <c r="BA83" s="363" t="str">
        <f>IF(AND(AZ80&lt;&gt;"",BA80&lt;&gt;""),(AZ80+BA80)/2,"")</f>
        <v/>
      </c>
      <c r="BB83" s="363" t="str">
        <f>IF(AND(BA80&lt;&gt;"",BB80&lt;&gt;""),(BA80+BB80)/2,"")</f>
        <v/>
      </c>
      <c r="BC83" s="363" t="str">
        <f>IF(AND(AZ80&lt;&gt;"",BC80&lt;&gt;""),(AZ80+BC80)/2,"")</f>
        <v/>
      </c>
      <c r="BD83" s="363" t="str">
        <f>IF(AND(BC80&lt;&gt;"",BD80&lt;&gt;""),(BC80+BD80)/2,"")</f>
        <v/>
      </c>
      <c r="BE83" s="363" t="str">
        <f>IF(AND(BD80&lt;&gt;"",BE80&lt;&gt;""),(BD80+BE80)/2,"")</f>
        <v/>
      </c>
      <c r="BF83" s="363" t="str">
        <f>IF(AND(BC80&lt;&gt;"",BF80&lt;&gt;""),(BC80+BF80)/2,"")</f>
        <v/>
      </c>
      <c r="BG83" s="363" t="str">
        <f>IF(AND(BF80&lt;&gt;"",BG80&lt;&gt;""),(BF80+BG80)/2,"")</f>
        <v/>
      </c>
      <c r="BH83" s="363" t="str">
        <f>IF(AND(BG80&lt;&gt;"",BH80&lt;&gt;""),(BG80+BH80)/2,"")</f>
        <v/>
      </c>
      <c r="BI83" s="363" t="str">
        <f>IF(AND(BF80&lt;&gt;"",BI80&lt;&gt;""),(BF80+BI80)/2,"")</f>
        <v/>
      </c>
      <c r="BJ83" s="363" t="str">
        <f>IF(AND(BI80&lt;&gt;"",BJ80&lt;&gt;""),(BI80+BJ80)/2,"")</f>
        <v/>
      </c>
      <c r="BK83" s="363" t="str">
        <f>IF(AND(BJ80&lt;&gt;"",BK80&lt;&gt;""),(BJ80+BK80)/2,"")</f>
        <v/>
      </c>
      <c r="BL83" s="363" t="str">
        <f>IF(AND(BI80&lt;&gt;"",BL80&lt;&gt;""),(BI80+BL80)/2,"")</f>
        <v/>
      </c>
      <c r="BM83" s="363" t="str">
        <f>IF(AND(BL80&lt;&gt;"",BM80&lt;&gt;""),(BL80+BM80)/2,"")</f>
        <v/>
      </c>
      <c r="BN83" s="363" t="str">
        <f>IF(AND(BM80&lt;&gt;"",BN80&lt;&gt;""),(BM80+BN80)/2,"")</f>
        <v/>
      </c>
      <c r="BO83" s="363" t="str">
        <f>IF(AND(BL80&lt;&gt;"",BO80&lt;&gt;""),(BL80+BO80)/2,"")</f>
        <v/>
      </c>
      <c r="BP83" s="363" t="str">
        <f>IF(AND(BO80&lt;&gt;"",BP80&lt;&gt;""),(BO80+BP80)/2,"")</f>
        <v/>
      </c>
      <c r="BQ83" s="363" t="str">
        <f>IF(AND(BP80&lt;&gt;"",BQ80&lt;&gt;""),(BP80+BQ80)/2,"")</f>
        <v/>
      </c>
      <c r="BR83" s="363" t="str">
        <f>IF(AND(BO80&lt;&gt;"",BR80&lt;&gt;""),(BO80+BR80)/2,"")</f>
        <v/>
      </c>
      <c r="BS83" s="363" t="str">
        <f>IF(AND(BR80&lt;&gt;"",BS80&lt;&gt;""),(BR80+BS80)/2,"")</f>
        <v/>
      </c>
      <c r="BT83" s="363" t="str">
        <f>IF(AND(BS80&lt;&gt;"",BT80&lt;&gt;""),(BS80+BT80)/2,"")</f>
        <v/>
      </c>
      <c r="BU83" s="363" t="str">
        <f>IF(AND(BR80&lt;&gt;"",BU80&lt;&gt;""),(BR80+BU80)/2,"")</f>
        <v/>
      </c>
      <c r="BV83" s="363" t="str">
        <f>IF(AND(BU80&lt;&gt;"",BV80&lt;&gt;""),(BU80+BV80)/2,"")</f>
        <v/>
      </c>
      <c r="BW83" s="363" t="str">
        <f>IF(AND(BV80&lt;&gt;"",BW80&lt;&gt;""),(BV80+BW80)/2,"")</f>
        <v/>
      </c>
      <c r="BX83" s="363" t="str">
        <f>IF(AND(BU80&lt;&gt;"",BX80&lt;&gt;""),(BU80+BX80)/2,"")</f>
        <v/>
      </c>
      <c r="BY83" s="363" t="str">
        <f>IF(AND(BX80&lt;&gt;"",BY80&lt;&gt;""),(BX80+BY80)/2,"")</f>
        <v/>
      </c>
      <c r="BZ83" s="363" t="str">
        <f>IF(AND(BY80&lt;&gt;"",BZ80&lt;&gt;""),(BY80+BZ80)/2,"")</f>
        <v/>
      </c>
      <c r="CA83" s="363" t="str">
        <f>IF(AND(BX80&lt;&gt;"",CA80&lt;&gt;""),(BX80+CA80)/2,"")</f>
        <v/>
      </c>
      <c r="CB83" s="363" t="str">
        <f>IF(AND(CA80&lt;&gt;"",CB80&lt;&gt;""),(CA80+CB80)/2,"")</f>
        <v/>
      </c>
      <c r="CC83" s="363" t="str">
        <f>IF(AND(CB80&lt;&gt;"",CC80&lt;&gt;""),(CB80+CC80)/2,"")</f>
        <v/>
      </c>
      <c r="CD83" s="363" t="str">
        <f>IF(AND(CA80&lt;&gt;"",CD80&lt;&gt;""),(CA80+CD80)/2,"")</f>
        <v/>
      </c>
      <c r="CE83" s="363" t="str">
        <f>IF(AND(CD80&lt;&gt;"",CE80&lt;&gt;""),(CD80+CE80)/2,"")</f>
        <v/>
      </c>
      <c r="CF83" s="363" t="str">
        <f>IF(AND(CE80&lt;&gt;"",CF80&lt;&gt;""),(CE80+CF80)/2,"")</f>
        <v/>
      </c>
      <c r="CG83" s="363" t="str">
        <f>IF(AND(CD80&lt;&gt;"",CG80&lt;&gt;""),(CD80+CG80)/2,"")</f>
        <v/>
      </c>
      <c r="CH83" s="363" t="str">
        <f>IF(AND(CG80&lt;&gt;"",CH80&lt;&gt;""),(CG80+CH80)/2,"")</f>
        <v/>
      </c>
      <c r="CI83" s="363" t="str">
        <f>IF(AND(CH80&lt;&gt;"",CI80&lt;&gt;""),(CH80+CI80)/2,"")</f>
        <v/>
      </c>
      <c r="CJ83" s="363" t="str">
        <f>IF(AND(CG80&lt;&gt;"",CJ80&lt;&gt;""),(CG80+CJ80)/2,"")</f>
        <v/>
      </c>
      <c r="CK83" s="363" t="str">
        <f>IF(AND(CJ80&lt;&gt;"",CK80&lt;&gt;""),(CJ80+CK80)/2,"")</f>
        <v/>
      </c>
      <c r="CL83" s="363" t="str">
        <f>IF(AND(CK80&lt;&gt;"",CL80&lt;&gt;""),(CK80+CL80)/2,"")</f>
        <v/>
      </c>
      <c r="CM83" s="363" t="str">
        <f>IF(AND(CJ80&lt;&gt;"",CM80&lt;&gt;""),(CJ80+CM80)/2,"")</f>
        <v/>
      </c>
      <c r="CN83" s="363" t="str">
        <f>IF(AND(CM80&lt;&gt;"",CN80&lt;&gt;""),(CM80+CN80)/2,"")</f>
        <v/>
      </c>
      <c r="CO83" s="363" t="str">
        <f>IF(AND(CN80&lt;&gt;"",CO80&lt;&gt;""),(CN80+CO80)/2,"")</f>
        <v/>
      </c>
      <c r="CP83" s="363" t="str">
        <f>IF(AND(CM80&lt;&gt;"",CP80&lt;&gt;""),(CM80+CP80)/2,"")</f>
        <v/>
      </c>
      <c r="CQ83" s="363" t="str">
        <f>IF(AND(CP80&lt;&gt;"",CQ80&lt;&gt;""),(CP80+CQ80)/2,"")</f>
        <v/>
      </c>
      <c r="CR83" s="363" t="str">
        <f>IF(AND(CQ80&lt;&gt;"",CR80&lt;&gt;""),(CQ80+CR80)/2,"")</f>
        <v/>
      </c>
      <c r="CS83" s="363" t="str">
        <f>IF(AND(CP80&lt;&gt;"",CS80&lt;&gt;""),(CP80+CS80)/2,"")</f>
        <v/>
      </c>
      <c r="CT83" s="363" t="str">
        <f>IF(AND(CS80&lt;&gt;"",CT80&lt;&gt;""),(CS80+CT80)/2,"")</f>
        <v/>
      </c>
      <c r="CU83" s="363" t="str">
        <f>IF(AND(CT80&lt;&gt;"",CU80&lt;&gt;""),(CT80+CU80)/2,"")</f>
        <v/>
      </c>
      <c r="CV83" s="363" t="str">
        <f>IF(AND(CS80&lt;&gt;"",CV80&lt;&gt;""),(CS80+CV80)/2,"")</f>
        <v/>
      </c>
      <c r="CW83" s="363" t="str">
        <f>IF(AND(CV80&lt;&gt;"",CW80&lt;&gt;""),(CV80+CW80)/2,"")</f>
        <v/>
      </c>
      <c r="CX83" s="363" t="str">
        <f>IF(AND(CW80&lt;&gt;"",CX80&lt;&gt;""),(CW80+CX80)/2,"")</f>
        <v/>
      </c>
      <c r="CY83" s="363" t="str">
        <f>IF(AND(CV80&lt;&gt;"",CY80&lt;&gt;""),(CV80+CY80)/2,"")</f>
        <v/>
      </c>
      <c r="CZ83" s="363" t="str">
        <f>IF(AND(CY80&lt;&gt;"",CZ80&lt;&gt;""),(CY80+CZ80)/2,"")</f>
        <v/>
      </c>
      <c r="DA83" s="363" t="str">
        <f>IF(AND(CZ80&lt;&gt;"",DA80&lt;&gt;""),(CZ80+DA80)/2,"")</f>
        <v/>
      </c>
      <c r="DB83" s="363" t="str">
        <f>IF(AND(CY80&lt;&gt;"",DB80&lt;&gt;""),(CY80+DB80)/2,"")</f>
        <v/>
      </c>
      <c r="DC83" s="363" t="str">
        <f>IF(AND(DB80&lt;&gt;"",DC80&lt;&gt;""),(DB80+DC80)/2,"")</f>
        <v/>
      </c>
      <c r="DD83" s="363" t="str">
        <f>IF(AND(DC80&lt;&gt;"",DD80&lt;&gt;""),(DC80+DD80)/2,"")</f>
        <v/>
      </c>
      <c r="DE83" s="363" t="str">
        <f>IF(AND(DB80&lt;&gt;"",DE80&lt;&gt;""),(DB80+DE80)/2,"")</f>
        <v/>
      </c>
      <c r="DF83" s="363" t="str">
        <f>IF(AND(DE80&lt;&gt;"",DF80&lt;&gt;""),(DE80+DF80)/2,"")</f>
        <v/>
      </c>
      <c r="DG83" s="363" t="str">
        <f>IF(AND(DF80&lt;&gt;"",DG80&lt;&gt;""),(DF80+DG80)/2,"")</f>
        <v/>
      </c>
      <c r="DH83" s="363" t="str">
        <f>IF(AND(DE80&lt;&gt;"",DH80&lt;&gt;""),(DE80+DH80)/2,"")</f>
        <v/>
      </c>
      <c r="DI83" s="363" t="str">
        <f>IF(AND(DH80&lt;&gt;"",DI80&lt;&gt;""),(DH80+DI80)/2,"")</f>
        <v/>
      </c>
      <c r="DJ83" s="363" t="str">
        <f>IF(AND(DI80&lt;&gt;"",DJ80&lt;&gt;""),(DI80+DJ80)/2,"")</f>
        <v/>
      </c>
      <c r="DK83" s="1210" t="str">
        <f>IF(AND(DH80&lt;&gt;"",DK80&lt;&gt;""),(DH80+DK80)/2,"")</f>
        <v/>
      </c>
      <c r="DL83" s="363" t="str">
        <f>IF(AND(DK80&lt;&gt;"",DL80&lt;&gt;""),(DK80+DL80)/2,"")</f>
        <v/>
      </c>
      <c r="DM83" s="363" t="str">
        <f>IF(AND(DL80&lt;&gt;"",DM80&lt;&gt;""),(DL80+DM80)/2,"")</f>
        <v/>
      </c>
      <c r="DN83" s="1210" t="str">
        <f>IF(AND(DK80&lt;&gt;"",DN80&lt;&gt;""),(DK80+DN80)/2,"")</f>
        <v/>
      </c>
      <c r="DO83" s="363" t="str">
        <f>IF(AND(DN80&lt;&gt;"",DO80&lt;&gt;""),(DN80+DO80)/2,"")</f>
        <v/>
      </c>
      <c r="DP83" s="363" t="str">
        <f>IF(AND(DO80&lt;&gt;"",DP80&lt;&gt;""),(DO80+DP80)/2,"")</f>
        <v/>
      </c>
      <c r="DQ83" s="1210" t="str">
        <f>IF(AND(DN80&lt;&gt;"",DQ80&lt;&gt;""),(DN80+DQ80)/2,"")</f>
        <v/>
      </c>
      <c r="DR83" s="363" t="str">
        <f>IF(AND(DQ80&lt;&gt;"",DR80&lt;&gt;""),(DQ80+DR80)/2,"")</f>
        <v/>
      </c>
      <c r="DS83" s="363" t="str">
        <f>IF(AND(DR80&lt;&gt;"",DS80&lt;&gt;""),(DR80+DS80)/2,"")</f>
        <v/>
      </c>
      <c r="DT83" s="1210" t="str">
        <f>IF(AND(DQ80&lt;&gt;"",DT80&lt;&gt;""),(DQ80+DT80)/2,"")</f>
        <v/>
      </c>
      <c r="DU83" s="363" t="str">
        <f>IF(AND(DT80&lt;&gt;"",DU80&lt;&gt;""),(DT80+DU80)/2,"")</f>
        <v/>
      </c>
      <c r="DV83" s="363" t="str">
        <f>IF(AND(DU80&lt;&gt;"",DV80&lt;&gt;""),(DU80+DV80)/2,"")</f>
        <v/>
      </c>
      <c r="DW83" s="1210" t="str">
        <f>IF(AND(DT80&lt;&gt;"",DW80&lt;&gt;""),(DT80+DW80)/2,"")</f>
        <v/>
      </c>
      <c r="DX83" s="363" t="str">
        <f>IF(AND(DW80&lt;&gt;"",DX80&lt;&gt;""),(DW80+DX80)/2,"")</f>
        <v/>
      </c>
      <c r="DY83" s="363" t="str">
        <f>IF(AND(DX80&lt;&gt;"",DY80&lt;&gt;""),(DX80+DY80)/2,"")</f>
        <v/>
      </c>
      <c r="DZ83" s="1210" t="str">
        <f>IF(AND(DW80&lt;&gt;"",DZ80&lt;&gt;""),(DW80+DZ80)/2,"")</f>
        <v/>
      </c>
      <c r="EA83" s="363" t="str">
        <f>IF(AND(DZ80&lt;&gt;"",EA80&lt;&gt;""),(DZ80+EA80)/2,"")</f>
        <v/>
      </c>
      <c r="EB83" s="363" t="str">
        <f>IF(AND(EA80&lt;&gt;"",EB80&lt;&gt;""),(EA80+EB80)/2,"")</f>
        <v/>
      </c>
      <c r="EC83" s="1210" t="str">
        <f>IF(AND(DZ80&lt;&gt;"",EC80&lt;&gt;""),(DZ80+EC80)/2,"")</f>
        <v/>
      </c>
      <c r="ED83" s="363" t="str">
        <f>IF(AND(EC80&lt;&gt;"",ED80&lt;&gt;""),(EC80+ED80)/2,"")</f>
        <v/>
      </c>
      <c r="EE83" s="363" t="str">
        <f>IF(AND(ED80&lt;&gt;"",EE80&lt;&gt;""),(ED80+EE80)/2,"")</f>
        <v/>
      </c>
      <c r="EF83" s="1210" t="str">
        <f>IF(AND(EC80&lt;&gt;"",EF80&lt;&gt;""),(EC80+EF80)/2,"")</f>
        <v/>
      </c>
      <c r="EG83" s="363" t="str">
        <f>IF(AND(EF80&lt;&gt;"",EG80&lt;&gt;""),(EF80+EG80)/2,"")</f>
        <v/>
      </c>
      <c r="EH83" s="363" t="str">
        <f>IF(AND(EG80&lt;&gt;"",EH80&lt;&gt;""),(EG80+EH80)/2,"")</f>
        <v/>
      </c>
      <c r="EI83" s="1210" t="str">
        <f>IF(AND(EF80&lt;&gt;"",EI80&lt;&gt;""),(EF80+EI80)/2,"")</f>
        <v/>
      </c>
      <c r="EJ83" s="363" t="str">
        <f>IF(AND(EI80&lt;&gt;"",EJ80&lt;&gt;""),(EI80+EJ80)/2,"")</f>
        <v/>
      </c>
      <c r="EK83" s="363" t="str">
        <f>IF(AND(EJ80&lt;&gt;"",EK80&lt;&gt;""),(EJ80+EK80)/2,"")</f>
        <v/>
      </c>
      <c r="EL83" s="1210" t="str">
        <f>IF(AND(EI80&lt;&gt;"",EL80&lt;&gt;""),(EI80+EL80)/2,"")</f>
        <v/>
      </c>
      <c r="EM83" s="363" t="str">
        <f>IF(AND(EL80&lt;&gt;"",EM80&lt;&gt;""),(EL80+EM80)/2,"")</f>
        <v/>
      </c>
      <c r="EN83" s="363" t="str">
        <f>IF(AND(EM80&lt;&gt;"",EN80&lt;&gt;""),(EM80+EN80)/2,"")</f>
        <v/>
      </c>
      <c r="EO83" s="1210" t="str">
        <f>IF(AND(EL80&lt;&gt;"",EO80&lt;&gt;""),(EL80+EO80)/2,"")</f>
        <v/>
      </c>
      <c r="EP83" s="363" t="str">
        <f>IF(AND(EO80&lt;&gt;"",EP80&lt;&gt;""),(EO80+EP80)/2,"")</f>
        <v/>
      </c>
      <c r="EQ83" s="363" t="str">
        <f>IF(AND(EP80&lt;&gt;"",EQ80&lt;&gt;""),(EP80+EQ80)/2,"")</f>
        <v/>
      </c>
      <c r="ER83" s="1210" t="str">
        <f>IF(AND(EO80&lt;&gt;"",ER80&lt;&gt;""),(EO80+ER80)/2,"")</f>
        <v/>
      </c>
      <c r="ES83" s="363" t="str">
        <f>IF(AND(ER80&lt;&gt;"",ES80&lt;&gt;""),(ER80+ES80)/2,"")</f>
        <v/>
      </c>
      <c r="ET83" s="363" t="str">
        <f>IF(AND(ES80&lt;&gt;"",ET80&lt;&gt;""),(ES80+ET80)/2,"")</f>
        <v/>
      </c>
      <c r="EU83" s="1210" t="str">
        <f>IF(AND(ER80&lt;&gt;"",EU80&lt;&gt;""),(ER80+EU80)/2,"")</f>
        <v/>
      </c>
      <c r="EV83" s="363" t="str">
        <f>IF(AND(EU80&lt;&gt;"",EV80&lt;&gt;""),(EU80+EV80)/2,"")</f>
        <v/>
      </c>
      <c r="EW83" s="363" t="str">
        <f>IF(AND(EV80&lt;&gt;"",EW80&lt;&gt;""),(EV80+EW80)/2,"")</f>
        <v/>
      </c>
      <c r="EX83" s="1210" t="str">
        <f>IF(AND(EU80&lt;&gt;"",EX80&lt;&gt;""),(EU80+EX80)/2,"")</f>
        <v/>
      </c>
      <c r="EY83" s="363" t="str">
        <f>IF(AND(EX80&lt;&gt;"",EY80&lt;&gt;""),(EX80+EY80)/2,"")</f>
        <v/>
      </c>
      <c r="EZ83" s="363" t="str">
        <f>IF(AND(EY80&lt;&gt;"",EZ80&lt;&gt;""),(EY80+EZ80)/2,"")</f>
        <v/>
      </c>
      <c r="FA83" s="363" t="str">
        <f>IF(AND(EX80&lt;&gt;"",FA80&lt;&gt;""),(EX80+FA80)/2,"")</f>
        <v/>
      </c>
    </row>
    <row r="84" spans="1:157" ht="13.35" customHeight="1" outlineLevel="1">
      <c r="A84" s="5"/>
      <c r="B84" s="5" t="s">
        <v>889</v>
      </c>
      <c r="C84" s="5"/>
      <c r="D84" s="362"/>
      <c r="E84" s="363"/>
      <c r="F84" s="363"/>
      <c r="G84" s="363"/>
      <c r="H84" s="363" t="str">
        <f>IF(AND(G82&lt;&gt;"",H82&lt;&gt;""),(G82+H82)/2,"")</f>
        <v/>
      </c>
      <c r="I84" s="363" t="str">
        <f>IF(AND(H82&lt;&gt;"",I82&lt;&gt;""),(H82+I82)/2,"")</f>
        <v/>
      </c>
      <c r="J84" s="363" t="str">
        <f>IF(AND(G82&lt;&gt;"",J82&lt;&gt;""),(G82+J82)/2,"")</f>
        <v/>
      </c>
      <c r="K84" s="363" t="str">
        <f>IF(AND(J82&lt;&gt;"",K82&lt;&gt;""),(J82+K82)/2,"")</f>
        <v/>
      </c>
      <c r="L84" s="363" t="str">
        <f>IF(AND(K82&lt;&gt;"",L82&lt;&gt;""),(K82+L82)/2,"")</f>
        <v/>
      </c>
      <c r="M84" s="363" t="str">
        <f>IF(AND(J82&lt;&gt;"",M82&lt;&gt;""),(J82+M82)/2,"")</f>
        <v/>
      </c>
      <c r="N84" s="363" t="str">
        <f>IF(AND(M82&lt;&gt;"",N82&lt;&gt;""),(M82+N82)/2,"")</f>
        <v/>
      </c>
      <c r="O84" s="363" t="str">
        <f>IF(AND(N82&lt;&gt;"",O82&lt;&gt;""),(N82+O82)/2,"")</f>
        <v/>
      </c>
      <c r="P84" s="363" t="str">
        <f>IF(AND(M82&lt;&gt;"",P82&lt;&gt;""),(M82+P82)/2,"")</f>
        <v/>
      </c>
      <c r="Q84" s="363" t="str">
        <f>IF(AND(P82&lt;&gt;"",Q82&lt;&gt;""),(P82+Q82)/2,"")</f>
        <v/>
      </c>
      <c r="R84" s="363" t="str">
        <f>IF(AND(Q82&lt;&gt;"",R82&lt;&gt;""),(Q82+R82)/2,"")</f>
        <v/>
      </c>
      <c r="S84" s="363" t="str">
        <f>IF(AND(P82&lt;&gt;"",S82&lt;&gt;""),(P82+S82)/2,"")</f>
        <v/>
      </c>
      <c r="T84" s="363" t="str">
        <f>IF(AND(S82&lt;&gt;"",T82&lt;&gt;""),(S82+T82)/2,"")</f>
        <v/>
      </c>
      <c r="U84" s="363" t="str">
        <f>IF(AND(T82&lt;&gt;"",U82&lt;&gt;""),(T82+U82)/2,"")</f>
        <v/>
      </c>
      <c r="V84" s="363" t="str">
        <f>IF(AND(S82&lt;&gt;"",V82&lt;&gt;""),(S82+V82)/2,"")</f>
        <v/>
      </c>
      <c r="W84" s="363" t="str">
        <f>IF(AND(V82&lt;&gt;"",W82&lt;&gt;""),(V82+W82)/2,"")</f>
        <v/>
      </c>
      <c r="X84" s="363" t="str">
        <f>IF(AND(W82&lt;&gt;"",X82&lt;&gt;""),(W82+X82)/2,"")</f>
        <v/>
      </c>
      <c r="Y84" s="363" t="str">
        <f>IF(AND(V82&lt;&gt;"",Y82&lt;&gt;""),(V82+Y82)/2,"")</f>
        <v/>
      </c>
      <c r="Z84" s="363" t="str">
        <f>IF(AND(Y82&lt;&gt;"",Z82&lt;&gt;""),(Y82+Z82)/2,"")</f>
        <v/>
      </c>
      <c r="AA84" s="363" t="str">
        <f>IF(AND(Z82&lt;&gt;"",AA82&lt;&gt;""),(Z82+AA82)/2,"")</f>
        <v/>
      </c>
      <c r="AB84" s="363" t="str">
        <f>IF(AND(Y82&lt;&gt;"",AB82&lt;&gt;""),(Y82+AB82)/2,"")</f>
        <v/>
      </c>
      <c r="AC84" s="363" t="str">
        <f>IF(AND(AB82&lt;&gt;"",AC82&lt;&gt;""),(AB82+AC82)/2,"")</f>
        <v/>
      </c>
      <c r="AD84" s="363" t="str">
        <f>IF(AND(AC82&lt;&gt;"",AD82&lt;&gt;""),(AC82+AD82)/2,"")</f>
        <v/>
      </c>
      <c r="AE84" s="363" t="str">
        <f>IF(AND(AB82&lt;&gt;"",AE82&lt;&gt;""),(AB82+AE82)/2,"")</f>
        <v/>
      </c>
      <c r="AF84" s="363" t="str">
        <f>IF(AND(AE82&lt;&gt;"",AF82&lt;&gt;""),(AE82+AF82)/2,"")</f>
        <v/>
      </c>
      <c r="AG84" s="363" t="str">
        <f>IF(AND(AF82&lt;&gt;"",AG82&lt;&gt;""),(AF82+AG82)/2,"")</f>
        <v/>
      </c>
      <c r="AH84" s="363" t="str">
        <f>IF(AND(AE82&lt;&gt;"",AH82&lt;&gt;""),(AE82+AH82)/2,"")</f>
        <v/>
      </c>
      <c r="AI84" s="363" t="str">
        <f>IF(AND(AH82&lt;&gt;"",AI82&lt;&gt;""),(AH82+AI82)/2,"")</f>
        <v/>
      </c>
      <c r="AJ84" s="363" t="str">
        <f>IF(AND(AI82&lt;&gt;"",AJ82&lt;&gt;""),(AI82+AJ82)/2,"")</f>
        <v/>
      </c>
      <c r="AK84" s="363" t="str">
        <f>IF(AND(AH82&lt;&gt;"",AK82&lt;&gt;""),(AH82+AK82)/2,"")</f>
        <v/>
      </c>
      <c r="AL84" s="363" t="str">
        <f>IF(AND(AK82&lt;&gt;"",AL82&lt;&gt;""),(AK82+AL82)/2,"")</f>
        <v/>
      </c>
      <c r="AM84" s="363" t="str">
        <f>IF(AND(AL82&lt;&gt;"",AM82&lt;&gt;""),(AL82+AM82)/2,"")</f>
        <v/>
      </c>
      <c r="AN84" s="363" t="str">
        <f>IF(AND(AK82&lt;&gt;"",AN82&lt;&gt;""),(AK82+AN82)/2,"")</f>
        <v/>
      </c>
      <c r="AO84" s="363" t="str">
        <f>IF(AND(AN82&lt;&gt;"",AO82&lt;&gt;""),(AN82+AO82)/2,"")</f>
        <v/>
      </c>
      <c r="AP84" s="363" t="str">
        <f>IF(AND(AO82&lt;&gt;"",AP82&lt;&gt;""),(AO82+AP82)/2,"")</f>
        <v/>
      </c>
      <c r="AQ84" s="363" t="str">
        <f>IF(AND(AN82&lt;&gt;"",AQ82&lt;&gt;""),(AN82+AQ82)/2,"")</f>
        <v/>
      </c>
      <c r="AR84" s="363" t="str">
        <f>IF(AND(AQ82&lt;&gt;"",AR82&lt;&gt;""),(AQ82+AR82)/2,"")</f>
        <v/>
      </c>
      <c r="AS84" s="363" t="str">
        <f>IF(AND(AR82&lt;&gt;"",AS82&lt;&gt;""),(AR82+AS82)/2,"")</f>
        <v/>
      </c>
      <c r="AT84" s="363" t="str">
        <f>IF(AND(AQ82&lt;&gt;"",AT82&lt;&gt;""),(AQ82+AT82)/2,"")</f>
        <v/>
      </c>
      <c r="AU84" s="363" t="str">
        <f>IF(AND(AT82&lt;&gt;"",AU82&lt;&gt;""),(AT82+AU82)/2,"")</f>
        <v/>
      </c>
      <c r="AV84" s="363" t="str">
        <f>IF(AND(AU82&lt;&gt;"",AV82&lt;&gt;""),(AU82+AV82)/2,"")</f>
        <v/>
      </c>
      <c r="AW84" s="363" t="str">
        <f>IF(AND(AT82&lt;&gt;"",AW82&lt;&gt;""),(AT82+AW82)/2,"")</f>
        <v/>
      </c>
      <c r="AX84" s="363" t="str">
        <f>IF(AND(AW82&lt;&gt;"",AX82&lt;&gt;""),(AW82+AX82)/2,"")</f>
        <v/>
      </c>
      <c r="AY84" s="363" t="str">
        <f>IF(AND(AX82&lt;&gt;"",AY82&lt;&gt;""),(AX82+AY82)/2,"")</f>
        <v/>
      </c>
      <c r="AZ84" s="363" t="str">
        <f>IF(AND(AW82&lt;&gt;"",AZ82&lt;&gt;""),(AW82+AZ82)/2,"")</f>
        <v/>
      </c>
      <c r="BA84" s="363" t="str">
        <f>IF(AND(AZ82&lt;&gt;"",BA82&lt;&gt;""),(AZ82+BA82)/2,"")</f>
        <v/>
      </c>
      <c r="BB84" s="363" t="str">
        <f>IF(AND(BA82&lt;&gt;"",BB82&lt;&gt;""),(BA82+BB82)/2,"")</f>
        <v/>
      </c>
      <c r="BC84" s="363" t="str">
        <f>IF(AND(AZ82&lt;&gt;"",BC82&lt;&gt;""),(AZ82+BC82)/2,"")</f>
        <v/>
      </c>
      <c r="BD84" s="363" t="str">
        <f>IF(AND(BC82&lt;&gt;"",BD82&lt;&gt;""),(BC82+BD82)/2,"")</f>
        <v/>
      </c>
      <c r="BE84" s="363" t="str">
        <f>IF(AND(BD82&lt;&gt;"",BE82&lt;&gt;""),(BD82+BE82)/2,"")</f>
        <v/>
      </c>
      <c r="BF84" s="363" t="str">
        <f>IF(AND(BC82&lt;&gt;"",BF82&lt;&gt;""),(BC82+BF82)/2,"")</f>
        <v/>
      </c>
      <c r="BG84" s="363" t="str">
        <f>IF(AND(BF82&lt;&gt;"",BG82&lt;&gt;""),(BF82+BG82)/2,"")</f>
        <v/>
      </c>
      <c r="BH84" s="363" t="str">
        <f>IF(AND(BG82&lt;&gt;"",BH82&lt;&gt;""),(BG82+BH82)/2,"")</f>
        <v/>
      </c>
      <c r="BI84" s="363" t="str">
        <f>IF(AND(BF82&lt;&gt;"",BI82&lt;&gt;""),(BF82+BI82)/2,"")</f>
        <v/>
      </c>
      <c r="BJ84" s="363" t="str">
        <f>IF(AND(BI82&lt;&gt;"",BJ82&lt;&gt;""),(BI82+BJ82)/2,"")</f>
        <v/>
      </c>
      <c r="BK84" s="363" t="str">
        <f>IF(AND(BJ82&lt;&gt;"",BK82&lt;&gt;""),(BJ82+BK82)/2,"")</f>
        <v/>
      </c>
      <c r="BL84" s="363" t="str">
        <f>IF(AND(BI82&lt;&gt;"",BL82&lt;&gt;""),(BI82+BL82)/2,"")</f>
        <v/>
      </c>
      <c r="BM84" s="363" t="str">
        <f>IF(AND(BL82&lt;&gt;"",BM82&lt;&gt;""),(BL82+BM82)/2,"")</f>
        <v/>
      </c>
      <c r="BN84" s="363" t="str">
        <f>IF(AND(BM82&lt;&gt;"",BN82&lt;&gt;""),(BM82+BN82)/2,"")</f>
        <v/>
      </c>
      <c r="BO84" s="363" t="str">
        <f>IF(AND(BL82&lt;&gt;"",BO82&lt;&gt;""),(BL82+BO82)/2,"")</f>
        <v/>
      </c>
      <c r="BP84" s="363" t="str">
        <f>IF(AND(BO82&lt;&gt;"",BP82&lt;&gt;""),(BO82+BP82)/2,"")</f>
        <v/>
      </c>
      <c r="BQ84" s="363" t="str">
        <f>IF(AND(BP82&lt;&gt;"",BQ82&lt;&gt;""),(BP82+BQ82)/2,"")</f>
        <v/>
      </c>
      <c r="BR84" s="363" t="str">
        <f>IF(AND(BO82&lt;&gt;"",BR82&lt;&gt;""),(BO82+BR82)/2,"")</f>
        <v/>
      </c>
      <c r="BS84" s="363" t="str">
        <f>IF(AND(BR82&lt;&gt;"",BS82&lt;&gt;""),(BR82+BS82)/2,"")</f>
        <v/>
      </c>
      <c r="BT84" s="363" t="str">
        <f>IF(AND(BS82&lt;&gt;"",BT82&lt;&gt;""),(BS82+BT82)/2,"")</f>
        <v/>
      </c>
      <c r="BU84" s="363" t="str">
        <f>IF(AND(BR82&lt;&gt;"",BU82&lt;&gt;""),(BR82+BU82)/2,"")</f>
        <v/>
      </c>
      <c r="BV84" s="363" t="str">
        <f>IF(AND(BU82&lt;&gt;"",BV82&lt;&gt;""),(BU82+BV82)/2,"")</f>
        <v/>
      </c>
      <c r="BW84" s="363" t="str">
        <f>IF(AND(BV82&lt;&gt;"",BW82&lt;&gt;""),(BV82+BW82)/2,"")</f>
        <v/>
      </c>
      <c r="BX84" s="363" t="str">
        <f>IF(AND(BU82&lt;&gt;"",BX82&lt;&gt;""),(BU82+BX82)/2,"")</f>
        <v/>
      </c>
      <c r="BY84" s="363" t="str">
        <f>IF(AND(BX82&lt;&gt;"",BY82&lt;&gt;""),(BX82+BY82)/2,"")</f>
        <v/>
      </c>
      <c r="BZ84" s="363" t="str">
        <f>IF(AND(BY82&lt;&gt;"",BZ82&lt;&gt;""),(BY82+BZ82)/2,"")</f>
        <v/>
      </c>
      <c r="CA84" s="363" t="str">
        <f>IF(AND(BX82&lt;&gt;"",CA82&lt;&gt;""),(BX82+CA82)/2,"")</f>
        <v/>
      </c>
      <c r="CB84" s="363" t="str">
        <f>IF(AND(CA82&lt;&gt;"",CB82&lt;&gt;""),(CA82+CB82)/2,"")</f>
        <v/>
      </c>
      <c r="CC84" s="363" t="str">
        <f>IF(AND(CB82&lt;&gt;"",CC82&lt;&gt;""),(CB82+CC82)/2,"")</f>
        <v/>
      </c>
      <c r="CD84" s="363" t="str">
        <f>IF(AND(CA82&lt;&gt;"",CD82&lt;&gt;""),(CA82+CD82)/2,"")</f>
        <v/>
      </c>
      <c r="CE84" s="363" t="str">
        <f>IF(AND(CD82&lt;&gt;"",CE82&lt;&gt;""),(CD82+CE82)/2,"")</f>
        <v/>
      </c>
      <c r="CF84" s="363" t="str">
        <f>IF(AND(CE82&lt;&gt;"",CF82&lt;&gt;""),(CE82+CF82)/2,"")</f>
        <v/>
      </c>
      <c r="CG84" s="363" t="str">
        <f>IF(AND(CD82&lt;&gt;"",CG82&lt;&gt;""),(CD82+CG82)/2,"")</f>
        <v/>
      </c>
      <c r="CH84" s="363" t="str">
        <f>IF(AND(CG82&lt;&gt;"",CH82&lt;&gt;""),(CG82+CH82)/2,"")</f>
        <v/>
      </c>
      <c r="CI84" s="363" t="str">
        <f>IF(AND(CH82&lt;&gt;"",CI82&lt;&gt;""),(CH82+CI82)/2,"")</f>
        <v/>
      </c>
      <c r="CJ84" s="363" t="str">
        <f>IF(AND(CG82&lt;&gt;"",CJ82&lt;&gt;""),(CG82+CJ82)/2,"")</f>
        <v/>
      </c>
      <c r="CK84" s="363" t="str">
        <f>IF(AND(CJ82&lt;&gt;"",CK82&lt;&gt;""),(CJ82+CK82)/2,"")</f>
        <v/>
      </c>
      <c r="CL84" s="363" t="str">
        <f>IF(AND(CK82&lt;&gt;"",CL82&lt;&gt;""),(CK82+CL82)/2,"")</f>
        <v/>
      </c>
      <c r="CM84" s="363" t="str">
        <f>IF(AND(CJ82&lt;&gt;"",CM82&lt;&gt;""),(CJ82+CM82)/2,"")</f>
        <v/>
      </c>
      <c r="CN84" s="363" t="str">
        <f>IF(AND(CM82&lt;&gt;"",CN82&lt;&gt;""),(CM82+CN82)/2,"")</f>
        <v/>
      </c>
      <c r="CO84" s="363" t="str">
        <f>IF(AND(CN82&lt;&gt;"",CO82&lt;&gt;""),(CN82+CO82)/2,"")</f>
        <v/>
      </c>
      <c r="CP84" s="363" t="str">
        <f>IF(AND(CM82&lt;&gt;"",CP82&lt;&gt;""),(CM82+CP82)/2,"")</f>
        <v/>
      </c>
      <c r="CQ84" s="363" t="str">
        <f>IF(AND(CP82&lt;&gt;"",CQ82&lt;&gt;""),(CP82+CQ82)/2,"")</f>
        <v/>
      </c>
      <c r="CR84" s="363" t="str">
        <f>IF(AND(CQ82&lt;&gt;"",CR82&lt;&gt;""),(CQ82+CR82)/2,"")</f>
        <v/>
      </c>
      <c r="CS84" s="363" t="str">
        <f>IF(AND(CP82&lt;&gt;"",CS82&lt;&gt;""),(CP82+CS82)/2,"")</f>
        <v/>
      </c>
      <c r="CT84" s="363" t="str">
        <f>IF(AND(CS82&lt;&gt;"",CT82&lt;&gt;""),(CS82+CT82)/2,"")</f>
        <v/>
      </c>
      <c r="CU84" s="363" t="str">
        <f>IF(AND(CT82&lt;&gt;"",CU82&lt;&gt;""),(CT82+CU82)/2,"")</f>
        <v/>
      </c>
      <c r="CV84" s="363" t="str">
        <f>IF(AND(CS82&lt;&gt;"",CV82&lt;&gt;""),(CS82+CV82)/2,"")</f>
        <v/>
      </c>
      <c r="CW84" s="363" t="str">
        <f>IF(AND(CV82&lt;&gt;"",CW82&lt;&gt;""),(CV82+CW82)/2,"")</f>
        <v/>
      </c>
      <c r="CX84" s="363" t="str">
        <f>IF(AND(CW82&lt;&gt;"",CX82&lt;&gt;""),(CW82+CX82)/2,"")</f>
        <v/>
      </c>
      <c r="CY84" s="363" t="str">
        <f>IF(AND(CV82&lt;&gt;"",CY82&lt;&gt;""),(CV82+CY82)/2,"")</f>
        <v/>
      </c>
      <c r="CZ84" s="363" t="str">
        <f>IF(AND(CY82&lt;&gt;"",CZ82&lt;&gt;""),(CY82+CZ82)/2,"")</f>
        <v/>
      </c>
      <c r="DA84" s="363" t="str">
        <f>IF(AND(CZ82&lt;&gt;"",DA82&lt;&gt;""),(CZ82+DA82)/2,"")</f>
        <v/>
      </c>
      <c r="DB84" s="363" t="str">
        <f>IF(AND(CY82&lt;&gt;"",DB82&lt;&gt;""),(CY82+DB82)/2,"")</f>
        <v/>
      </c>
      <c r="DC84" s="363" t="str">
        <f>IF(AND(DB82&lt;&gt;"",DC82&lt;&gt;""),(DB82+DC82)/2,"")</f>
        <v/>
      </c>
      <c r="DD84" s="363" t="str">
        <f>IF(AND(DC82&lt;&gt;"",DD82&lt;&gt;""),(DC82+DD82)/2,"")</f>
        <v/>
      </c>
      <c r="DE84" s="363" t="str">
        <f>IF(AND(DB82&lt;&gt;"",DE82&lt;&gt;""),(DB82+DE82)/2,"")</f>
        <v/>
      </c>
      <c r="DF84" s="363" t="str">
        <f>IF(AND(DE82&lt;&gt;"",DF82&lt;&gt;""),(DE82+DF82)/2,"")</f>
        <v/>
      </c>
      <c r="DG84" s="363" t="str">
        <f>IF(AND(DF82&lt;&gt;"",DG82&lt;&gt;""),(DF82+DG82)/2,"")</f>
        <v/>
      </c>
      <c r="DH84" s="363" t="str">
        <f>IF(AND(DE82&lt;&gt;"",DH82&lt;&gt;""),(DE82+DH82)/2,"")</f>
        <v/>
      </c>
      <c r="DI84" s="363" t="str">
        <f>IF(AND(DH82&lt;&gt;"",DI82&lt;&gt;""),(DH82+DI82)/2,"")</f>
        <v/>
      </c>
      <c r="DJ84" s="363" t="str">
        <f>IF(AND(DI82&lt;&gt;"",DJ82&lt;&gt;""),(DI82+DJ82)/2,"")</f>
        <v/>
      </c>
      <c r="DK84" s="1210" t="str">
        <f>IF(AND(DH82&lt;&gt;"",DK82&lt;&gt;""),(DH82+DK82)/2,"")</f>
        <v/>
      </c>
      <c r="DL84" s="363" t="str">
        <f>IF(AND(DK82&lt;&gt;"",DL82&lt;&gt;""),(DK82+DL82)/2,"")</f>
        <v/>
      </c>
      <c r="DM84" s="363" t="str">
        <f>IF(AND(DL82&lt;&gt;"",DM82&lt;&gt;""),(DL82+DM82)/2,"")</f>
        <v/>
      </c>
      <c r="DN84" s="1210" t="str">
        <f>IF(AND(DK82&lt;&gt;"",DN82&lt;&gt;""),(DK82+DN82)/2,"")</f>
        <v/>
      </c>
      <c r="DO84" s="363" t="str">
        <f>IF(AND(DN82&lt;&gt;"",DO82&lt;&gt;""),(DN82+DO82)/2,"")</f>
        <v/>
      </c>
      <c r="DP84" s="363" t="str">
        <f>IF(AND(DO82&lt;&gt;"",DP82&lt;&gt;""),(DO82+DP82)/2,"")</f>
        <v/>
      </c>
      <c r="DQ84" s="1210" t="str">
        <f>IF(AND(DN82&lt;&gt;"",DQ82&lt;&gt;""),(DN82+DQ82)/2,"")</f>
        <v/>
      </c>
      <c r="DR84" s="363" t="str">
        <f>IF(AND(DQ82&lt;&gt;"",DR82&lt;&gt;""),(DQ82+DR82)/2,"")</f>
        <v/>
      </c>
      <c r="DS84" s="363" t="str">
        <f>IF(AND(DR82&lt;&gt;"",DS82&lt;&gt;""),(DR82+DS82)/2,"")</f>
        <v/>
      </c>
      <c r="DT84" s="1210" t="str">
        <f>IF(AND(DQ82&lt;&gt;"",DT82&lt;&gt;""),(DQ82+DT82)/2,"")</f>
        <v/>
      </c>
      <c r="DU84" s="363" t="str">
        <f>IF(AND(DT82&lt;&gt;"",DU82&lt;&gt;""),(DT82+DU82)/2,"")</f>
        <v/>
      </c>
      <c r="DV84" s="363" t="str">
        <f>IF(AND(DU82&lt;&gt;"",DV82&lt;&gt;""),(DU82+DV82)/2,"")</f>
        <v/>
      </c>
      <c r="DW84" s="1210" t="str">
        <f>IF(AND(DT82&lt;&gt;"",DW82&lt;&gt;""),(DT82+DW82)/2,"")</f>
        <v/>
      </c>
      <c r="DX84" s="363" t="str">
        <f>IF(AND(DW82&lt;&gt;"",DX82&lt;&gt;""),(DW82+DX82)/2,"")</f>
        <v/>
      </c>
      <c r="DY84" s="363" t="str">
        <f>IF(AND(DX82&lt;&gt;"",DY82&lt;&gt;""),(DX82+DY82)/2,"")</f>
        <v/>
      </c>
      <c r="DZ84" s="1210" t="str">
        <f>IF(AND(DW82&lt;&gt;"",DZ82&lt;&gt;""),(DW82+DZ82)/2,"")</f>
        <v/>
      </c>
      <c r="EA84" s="363" t="str">
        <f>IF(AND(DZ82&lt;&gt;"",EA82&lt;&gt;""),(DZ82+EA82)/2,"")</f>
        <v/>
      </c>
      <c r="EB84" s="363" t="str">
        <f>IF(AND(EA82&lt;&gt;"",EB82&lt;&gt;""),(EA82+EB82)/2,"")</f>
        <v/>
      </c>
      <c r="EC84" s="1210" t="str">
        <f>IF(AND(DZ82&lt;&gt;"",EC82&lt;&gt;""),(DZ82+EC82)/2,"")</f>
        <v/>
      </c>
      <c r="ED84" s="363" t="str">
        <f>IF(AND(EC82&lt;&gt;"",ED82&lt;&gt;""),(EC82+ED82)/2,"")</f>
        <v/>
      </c>
      <c r="EE84" s="363" t="str">
        <f>IF(AND(ED82&lt;&gt;"",EE82&lt;&gt;""),(ED82+EE82)/2,"")</f>
        <v/>
      </c>
      <c r="EF84" s="1210" t="str">
        <f>IF(AND(EC82&lt;&gt;"",EF82&lt;&gt;""),(EC82+EF82)/2,"")</f>
        <v/>
      </c>
      <c r="EG84" s="363" t="str">
        <f>IF(AND(EF82&lt;&gt;"",EG82&lt;&gt;""),(EF82+EG82)/2,"")</f>
        <v/>
      </c>
      <c r="EH84" s="363" t="str">
        <f>IF(AND(EG82&lt;&gt;"",EH82&lt;&gt;""),(EG82+EH82)/2,"")</f>
        <v/>
      </c>
      <c r="EI84" s="1210" t="str">
        <f>IF(AND(EF82&lt;&gt;"",EI82&lt;&gt;""),(EF82+EI82)/2,"")</f>
        <v/>
      </c>
      <c r="EJ84" s="363" t="str">
        <f>IF(AND(EI82&lt;&gt;"",EJ82&lt;&gt;""),(EI82+EJ82)/2,"")</f>
        <v/>
      </c>
      <c r="EK84" s="363" t="str">
        <f>IF(AND(EJ82&lt;&gt;"",EK82&lt;&gt;""),(EJ82+EK82)/2,"")</f>
        <v/>
      </c>
      <c r="EL84" s="1210" t="str">
        <f>IF(AND(EI82&lt;&gt;"",EL82&lt;&gt;""),(EI82+EL82)/2,"")</f>
        <v/>
      </c>
      <c r="EM84" s="363" t="str">
        <f>IF(AND(EL82&lt;&gt;"",EM82&lt;&gt;""),(EL82+EM82)/2,"")</f>
        <v/>
      </c>
      <c r="EN84" s="363" t="str">
        <f>IF(AND(EM82&lt;&gt;"",EN82&lt;&gt;""),(EM82+EN82)/2,"")</f>
        <v/>
      </c>
      <c r="EO84" s="1210" t="str">
        <f>IF(AND(EL82&lt;&gt;"",EO82&lt;&gt;""),(EL82+EO82)/2,"")</f>
        <v/>
      </c>
      <c r="EP84" s="363" t="str">
        <f>IF(AND(EO82&lt;&gt;"",EP82&lt;&gt;""),(EO82+EP82)/2,"")</f>
        <v/>
      </c>
      <c r="EQ84" s="363" t="str">
        <f>IF(AND(EP82&lt;&gt;"",EQ82&lt;&gt;""),(EP82+EQ82)/2,"")</f>
        <v/>
      </c>
      <c r="ER84" s="1210" t="str">
        <f>IF(AND(EO82&lt;&gt;"",ER82&lt;&gt;""),(EO82+ER82)/2,"")</f>
        <v/>
      </c>
      <c r="ES84" s="363" t="str">
        <f>IF(AND(ER82&lt;&gt;"",ES82&lt;&gt;""),(ER82+ES82)/2,"")</f>
        <v/>
      </c>
      <c r="ET84" s="363" t="str">
        <f>IF(AND(ES82&lt;&gt;"",ET82&lt;&gt;""),(ES82+ET82)/2,"")</f>
        <v/>
      </c>
      <c r="EU84" s="1210" t="str">
        <f>IF(AND(ER82&lt;&gt;"",EU82&lt;&gt;""),(ER82+EU82)/2,"")</f>
        <v/>
      </c>
      <c r="EV84" s="363" t="str">
        <f>IF(AND(EU82&lt;&gt;"",EV82&lt;&gt;""),(EU82+EV82)/2,"")</f>
        <v/>
      </c>
      <c r="EW84" s="363" t="str">
        <f>IF(AND(EV82&lt;&gt;"",EW82&lt;&gt;""),(EV82+EW82)/2,"")</f>
        <v/>
      </c>
      <c r="EX84" s="1210" t="str">
        <f>IF(AND(EU82&lt;&gt;"",EX82&lt;&gt;""),(EU82+EX82)/2,"")</f>
        <v/>
      </c>
      <c r="EY84" s="363" t="str">
        <f>IF(AND(EX82&lt;&gt;"",EY82&lt;&gt;""),(EX82+EY82)/2,"")</f>
        <v/>
      </c>
      <c r="EZ84" s="363" t="str">
        <f>IF(AND(EY82&lt;&gt;"",EZ82&lt;&gt;""),(EY82+EZ82)/2,"")</f>
        <v/>
      </c>
      <c r="FA84" s="363" t="str">
        <f>IF(AND(EX82&lt;&gt;"",FA82&lt;&gt;""),(EX82+FA82)/2,"")</f>
        <v/>
      </c>
    </row>
    <row r="85" spans="1:157" ht="13.35" customHeight="1">
      <c r="A85" s="5"/>
      <c r="B85" s="5" t="s">
        <v>929</v>
      </c>
      <c r="C85" s="5"/>
      <c r="D85" s="362"/>
      <c r="E85" s="356"/>
      <c r="F85" s="356"/>
      <c r="G85" s="356"/>
      <c r="H85" s="356"/>
      <c r="I85" s="356"/>
      <c r="J85" s="356"/>
      <c r="K85" s="356"/>
      <c r="L85" s="356"/>
      <c r="M85" s="356"/>
      <c r="N85" s="356"/>
      <c r="O85" s="356"/>
      <c r="P85" s="356"/>
      <c r="Q85" s="356"/>
      <c r="R85" s="356"/>
      <c r="S85" s="356"/>
      <c r="T85" s="356"/>
      <c r="U85" s="356"/>
      <c r="V85" s="356"/>
      <c r="W85" s="356"/>
      <c r="X85" s="356"/>
      <c r="Y85" s="356"/>
      <c r="Z85" s="356"/>
      <c r="AA85" s="356"/>
      <c r="AB85" s="356"/>
      <c r="AC85" s="356"/>
      <c r="AD85" s="356"/>
      <c r="AE85" s="356"/>
      <c r="AF85" s="356"/>
      <c r="AG85" s="356"/>
      <c r="AH85" s="356"/>
      <c r="AI85" s="356"/>
      <c r="AJ85" s="356"/>
      <c r="AK85" s="356"/>
      <c r="AL85" s="356"/>
      <c r="AM85" s="356"/>
      <c r="AN85" s="356"/>
      <c r="AO85" s="356"/>
      <c r="AP85" s="356"/>
      <c r="AQ85" s="356"/>
      <c r="AR85" s="356"/>
      <c r="AS85" s="356"/>
      <c r="AT85" s="356"/>
      <c r="AU85" s="356"/>
      <c r="AV85" s="356"/>
      <c r="AW85" s="356"/>
      <c r="AX85" s="356"/>
      <c r="AY85" s="356"/>
      <c r="AZ85" s="356"/>
      <c r="BA85" s="356"/>
      <c r="BB85" s="356"/>
      <c r="BC85" s="356"/>
      <c r="BD85" s="356"/>
      <c r="BE85" s="356"/>
      <c r="BF85" s="356"/>
      <c r="BG85" s="356"/>
      <c r="BH85" s="356"/>
      <c r="BI85" s="356"/>
      <c r="BJ85" s="356"/>
      <c r="BK85" s="356"/>
      <c r="BL85" s="356"/>
      <c r="BM85" s="356"/>
      <c r="BN85" s="356"/>
      <c r="BO85" s="356"/>
      <c r="BP85" s="356"/>
      <c r="BQ85" s="356"/>
      <c r="BR85" s="356"/>
      <c r="BS85" s="356"/>
      <c r="BT85" s="356"/>
      <c r="BU85" s="356"/>
      <c r="BV85" s="356"/>
      <c r="BW85" s="356"/>
      <c r="BX85" s="356"/>
      <c r="BY85" s="356"/>
      <c r="BZ85" s="356"/>
      <c r="CA85" s="356"/>
      <c r="CB85" s="356"/>
      <c r="CC85" s="356"/>
      <c r="CD85" s="356"/>
      <c r="CE85" s="356"/>
      <c r="CF85" s="356"/>
      <c r="CG85" s="356"/>
      <c r="CH85" s="356"/>
      <c r="CI85" s="356"/>
      <c r="CJ85" s="356"/>
      <c r="CK85" s="356"/>
      <c r="CL85" s="356"/>
      <c r="CM85" s="356"/>
      <c r="CN85" s="356"/>
      <c r="CO85" s="356"/>
      <c r="CP85" s="356"/>
      <c r="CQ85" s="356"/>
      <c r="CR85" s="356"/>
      <c r="CS85" s="356"/>
      <c r="CT85" s="356"/>
      <c r="CU85" s="356"/>
      <c r="CV85" s="356"/>
      <c r="CW85" s="356"/>
      <c r="CX85" s="356"/>
      <c r="CY85" s="356"/>
      <c r="CZ85" s="356"/>
      <c r="DA85" s="356"/>
      <c r="DB85" s="356"/>
      <c r="DC85" s="356"/>
      <c r="DD85" s="356"/>
      <c r="DE85" s="356"/>
      <c r="DF85" s="356"/>
      <c r="DG85" s="356"/>
      <c r="DH85" s="356"/>
      <c r="DI85" s="356"/>
      <c r="DJ85" s="356"/>
      <c r="DK85" s="1087"/>
      <c r="DL85" s="356"/>
      <c r="DM85" s="356"/>
      <c r="DN85" s="1087"/>
      <c r="DO85" s="356"/>
      <c r="DP85" s="356"/>
      <c r="DQ85" s="1087"/>
      <c r="DR85" s="356"/>
      <c r="DS85" s="356"/>
      <c r="DT85" s="1087"/>
      <c r="DU85" s="356"/>
      <c r="DV85" s="356"/>
      <c r="DW85" s="1087"/>
      <c r="DX85" s="356"/>
      <c r="DY85" s="356"/>
      <c r="DZ85" s="1087"/>
      <c r="EA85" s="356"/>
      <c r="EB85" s="356"/>
      <c r="EC85" s="1087"/>
      <c r="ED85" s="356"/>
      <c r="EE85" s="356"/>
      <c r="EF85" s="1087"/>
      <c r="EG85" s="356"/>
      <c r="EH85" s="356"/>
      <c r="EI85" s="1087"/>
      <c r="EJ85" s="356"/>
      <c r="EK85" s="356"/>
      <c r="EL85" s="1087"/>
      <c r="EM85" s="356"/>
      <c r="EN85" s="356"/>
      <c r="EO85" s="1087"/>
      <c r="EP85" s="356"/>
      <c r="EQ85" s="356"/>
      <c r="ER85" s="1087"/>
      <c r="ES85" s="356"/>
      <c r="ET85" s="356"/>
      <c r="EU85" s="1087"/>
      <c r="EV85" s="356"/>
      <c r="EW85" s="356"/>
      <c r="EX85" s="1087"/>
      <c r="EY85" s="356"/>
      <c r="EZ85" s="356"/>
      <c r="FA85" s="356"/>
    </row>
    <row r="86" spans="1:157" ht="13.35" customHeight="1">
      <c r="A86" s="5"/>
      <c r="B86" s="5" t="s">
        <v>826</v>
      </c>
      <c r="C86" s="5"/>
      <c r="D86" s="362"/>
      <c r="E86" s="363" t="str">
        <f>IF(Model!E100&lt;&gt;"",Model!E100,"")</f>
        <v/>
      </c>
      <c r="F86" s="363" t="str">
        <f>IF(Model!G100&lt;&gt;"",Model!F100,"")</f>
        <v/>
      </c>
      <c r="G86" s="363" t="str">
        <f>IF(Model!G100&lt;&gt;"",Model!G100,"")</f>
        <v/>
      </c>
      <c r="H86" s="363" t="str">
        <f>IF(Model!H100&lt;&gt;"",Model!H100,"")</f>
        <v/>
      </c>
      <c r="I86" s="363" t="str">
        <f>IF(Model!J100&lt;&gt;"",Model!I100,"")</f>
        <v/>
      </c>
      <c r="J86" s="363" t="str">
        <f>IF(Model!J100&lt;&gt;"",Model!J100,"")</f>
        <v/>
      </c>
      <c r="K86" s="363" t="str">
        <f>IF(Model!K100&lt;&gt;"",Model!K100,"")</f>
        <v/>
      </c>
      <c r="L86" s="363" t="str">
        <f>IF(Model!M100&lt;&gt;"",Model!L100,"")</f>
        <v/>
      </c>
      <c r="M86" s="363" t="str">
        <f>IF(Model!M100&lt;&gt;"",Model!M100,"")</f>
        <v/>
      </c>
      <c r="N86" s="363" t="str">
        <f>IF(Model!N100&lt;&gt;"",Model!N100,"")</f>
        <v/>
      </c>
      <c r="O86" s="363" t="str">
        <f>IF(Model!P100&lt;&gt;"",Model!O100,"")</f>
        <v/>
      </c>
      <c r="P86" s="363" t="str">
        <f>IF(Model!P100&lt;&gt;"",Model!P100,"")</f>
        <v/>
      </c>
      <c r="Q86" s="363" t="str">
        <f>IF(Model!Q100&lt;&gt;"",Model!Q100,"")</f>
        <v/>
      </c>
      <c r="R86" s="363" t="str">
        <f>IF(Model!S100&lt;&gt;"",Model!R100,"")</f>
        <v/>
      </c>
      <c r="S86" s="363" t="str">
        <f>IF(Model!S100&lt;&gt;"",Model!S100,"")</f>
        <v/>
      </c>
      <c r="T86" s="363" t="str">
        <f>IF(Model!T100&lt;&gt;"",Model!T100,"")</f>
        <v/>
      </c>
      <c r="U86" s="363" t="str">
        <f>IF(Model!V100&lt;&gt;"",Model!U100,"")</f>
        <v/>
      </c>
      <c r="V86" s="363" t="str">
        <f>IF(Model!V100&lt;&gt;"",Model!V100,"")</f>
        <v/>
      </c>
      <c r="W86" s="363" t="str">
        <f>IF(Model!W100&lt;&gt;"",Model!W100,"")</f>
        <v/>
      </c>
      <c r="X86" s="363" t="str">
        <f>IF(Model!Y100&lt;&gt;"",Model!X100,"")</f>
        <v/>
      </c>
      <c r="Y86" s="363" t="str">
        <f>IF(Model!Y100&lt;&gt;"",Model!Y100,"")</f>
        <v/>
      </c>
      <c r="Z86" s="363" t="str">
        <f>IF(Model!Z100&lt;&gt;"",Model!Z100,"")</f>
        <v/>
      </c>
      <c r="AA86" s="363" t="str">
        <f>IF(Model!AB100&lt;&gt;"",Model!AA100,"")</f>
        <v/>
      </c>
      <c r="AB86" s="363" t="str">
        <f>IF(Model!AB100&lt;&gt;"",Model!AB100,"")</f>
        <v/>
      </c>
      <c r="AC86" s="363" t="str">
        <f>IF(Model!AC100&lt;&gt;"",Model!AC100,"")</f>
        <v/>
      </c>
      <c r="AD86" s="363" t="str">
        <f>IF(Model!AE100&lt;&gt;"",Model!AD100,"")</f>
        <v/>
      </c>
      <c r="AE86" s="363" t="str">
        <f>IF(Model!AE100&lt;&gt;"",Model!AE100,"")</f>
        <v/>
      </c>
      <c r="AF86" s="363" t="str">
        <f>IF(Model!AF100&lt;&gt;"",Model!AF100,"")</f>
        <v/>
      </c>
      <c r="AG86" s="363" t="str">
        <f>IF(Model!AH100&lt;&gt;"",Model!AG100,"")</f>
        <v/>
      </c>
      <c r="AH86" s="363" t="str">
        <f>IF(Model!AH100&lt;&gt;"",Model!AH100,"")</f>
        <v/>
      </c>
      <c r="AI86" s="363" t="str">
        <f>IF(Model!AI100&lt;&gt;"",Model!AI100,"")</f>
        <v/>
      </c>
      <c r="AJ86" s="363" t="str">
        <f>IF(Model!AK100&lt;&gt;"",Model!AJ100,"")</f>
        <v/>
      </c>
      <c r="AK86" s="363" t="str">
        <f>IF(Model!AK100&lt;&gt;"",Model!AK100,"")</f>
        <v/>
      </c>
      <c r="AL86" s="363" t="str">
        <f>IF(Model!AL100&lt;&gt;"",Model!AL100,"")</f>
        <v/>
      </c>
      <c r="AM86" s="363" t="str">
        <f>IF(Model!AN100&lt;&gt;"",Model!AM100,"")</f>
        <v/>
      </c>
      <c r="AN86" s="363" t="str">
        <f>IF(Model!AN100&lt;&gt;"",Model!AN100,"")</f>
        <v/>
      </c>
      <c r="AO86" s="363" t="str">
        <f>IF(Model!AO100&lt;&gt;"",Model!AO100,"")</f>
        <v/>
      </c>
      <c r="AP86" s="363" t="str">
        <f>IF(Model!AQ100&lt;&gt;"",Model!AP100,"")</f>
        <v/>
      </c>
      <c r="AQ86" s="363" t="str">
        <f>IF(Model!AQ100&lt;&gt;"",Model!AQ100,"")</f>
        <v/>
      </c>
      <c r="AR86" s="363" t="str">
        <f>IF(Model!AR100&lt;&gt;"",Model!AR100,"")</f>
        <v/>
      </c>
      <c r="AS86" s="363" t="str">
        <f>IF(Model!AT100&lt;&gt;"",Model!AS100,"")</f>
        <v/>
      </c>
      <c r="AT86" s="363" t="str">
        <f>IF(Model!AT100&lt;&gt;"",Model!AT100,"")</f>
        <v/>
      </c>
      <c r="AU86" s="363" t="str">
        <f>IF(Model!AU100&lt;&gt;"",Model!AU100,"")</f>
        <v/>
      </c>
      <c r="AV86" s="363" t="str">
        <f>IF(Model!AW100&lt;&gt;"",Model!AV100,"")</f>
        <v/>
      </c>
      <c r="AW86" s="363" t="str">
        <f>IF(Model!AW100&lt;&gt;"",Model!AW100,"")</f>
        <v/>
      </c>
      <c r="AX86" s="363" t="str">
        <f>IF(Model!AX100&lt;&gt;"",Model!AX100,"")</f>
        <v/>
      </c>
      <c r="AY86" s="363" t="str">
        <f>IF(Model!AZ100&lt;&gt;"",Model!AY100,"")</f>
        <v/>
      </c>
      <c r="AZ86" s="363" t="str">
        <f>IF(Model!AZ100&lt;&gt;"",Model!AZ100,"")</f>
        <v/>
      </c>
      <c r="BA86" s="363" t="str">
        <f>IF(Model!BA100&lt;&gt;"",Model!BA100,"")</f>
        <v/>
      </c>
      <c r="BB86" s="363" t="str">
        <f>IF(Model!BC100&lt;&gt;"",Model!BB100,"")</f>
        <v/>
      </c>
      <c r="BC86" s="363" t="str">
        <f>IF(Model!BC100&lt;&gt;"",Model!BC100,"")</f>
        <v/>
      </c>
      <c r="BD86" s="363" t="str">
        <f>IF(AND(BD85&lt;&gt;"",BD83&lt;&gt;""),IF(((BD85/2)*BD83)&lt;BD82,(BD85/2)*BD83,BD82),"")</f>
        <v/>
      </c>
      <c r="BE86" s="363" t="str">
        <f>IF(BF86&lt;&gt;"",BF86-BD86,"")</f>
        <v/>
      </c>
      <c r="BF86" s="363" t="str">
        <f>IF(AND(BF85&lt;&gt;"",BF83&lt;&gt;""),IF((BF85*BF83)&lt;BF82,BF85*BF83,BF82),"")</f>
        <v/>
      </c>
      <c r="BG86" s="363" t="str">
        <f>IF(AND(BG85&lt;&gt;"",BG83&lt;&gt;""),IF(((BG85/2)*BG83)&lt;BG82,(BG85/2)*BG83,BG82),"")</f>
        <v/>
      </c>
      <c r="BH86" s="363" t="str">
        <f>IF(BI86&lt;&gt;"",BI86-BG86,"")</f>
        <v/>
      </c>
      <c r="BI86" s="363" t="str">
        <f>IF(AND(BI85&lt;&gt;"",BI83&lt;&gt;""),IF((BI85*BI83)&lt;BI82,BI85*BI83,BI82),"")</f>
        <v/>
      </c>
      <c r="BJ86" s="363" t="str">
        <f>IF(AND(BJ85&lt;&gt;"",BJ83&lt;&gt;""),IF(((BJ85/2)*BJ83)&lt;BJ82,(BJ85/2)*BJ83,BJ82),"")</f>
        <v/>
      </c>
      <c r="BK86" s="363" t="str">
        <f>IF(BL86&lt;&gt;"",BL86-BJ86,"")</f>
        <v/>
      </c>
      <c r="BL86" s="363" t="str">
        <f>IF(AND(BL85&lt;&gt;"",BL83&lt;&gt;""),IF((BL85*BL83)&lt;BL82,BL85*BL83,BL82),"")</f>
        <v/>
      </c>
      <c r="BM86" s="363" t="str">
        <f>IF(AND(BM85&lt;&gt;"",BM83&lt;&gt;""),IF(((BM85/2)*BM83)&lt;BM82,(BM85/2)*BM83,BM82),"")</f>
        <v/>
      </c>
      <c r="BN86" s="363" t="str">
        <f>IF(BO86&lt;&gt;"",BO86-BM86,"")</f>
        <v/>
      </c>
      <c r="BO86" s="363" t="str">
        <f>IF(AND(BO85&lt;&gt;"",BO83&lt;&gt;""),IF((BO85*BO83)&lt;BO82,BO85*BO83,BO82),"")</f>
        <v/>
      </c>
      <c r="BP86" s="363" t="str">
        <f>IF(AND(BP85&lt;&gt;"",BP83&lt;&gt;""),IF(((BP85/2)*BP83)&lt;BP82,(BP85/2)*BP83,BP82),"")</f>
        <v/>
      </c>
      <c r="BQ86" s="363" t="str">
        <f>IF(BR86&lt;&gt;"",BR86-BP86,"")</f>
        <v/>
      </c>
      <c r="BR86" s="363" t="str">
        <f>IF(AND(BR85&lt;&gt;"",BR83&lt;&gt;""),IF((BR85*BR83)&lt;BR82,BR85*BR83,BR82),"")</f>
        <v/>
      </c>
      <c r="BS86" s="363" t="str">
        <f>IF(AND(BS85&lt;&gt;"",BS83&lt;&gt;""),IF(((BS85/2)*BS83)&lt;BS82,(BS85/2)*BS83,BS82),"")</f>
        <v/>
      </c>
      <c r="BT86" s="363" t="str">
        <f>IF(BU86&lt;&gt;"",BU86-BS86,"")</f>
        <v/>
      </c>
      <c r="BU86" s="363" t="str">
        <f>IF(AND(BU85&lt;&gt;"",BU83&lt;&gt;""),IF((BU85*BU83)&lt;BU82,BU85*BU83,BU82),"")</f>
        <v/>
      </c>
      <c r="BV86" s="363" t="str">
        <f>IF(AND(BV85&lt;&gt;"",BV83&lt;&gt;""),IF(((BV85/2)*BV83)&lt;BV82,(BV85/2)*BV83,BV82),"")</f>
        <v/>
      </c>
      <c r="BW86" s="363" t="str">
        <f>IF(BX86&lt;&gt;"",BX86-BV86,"")</f>
        <v/>
      </c>
      <c r="BX86" s="363" t="str">
        <f>IF(AND(BX85&lt;&gt;"",BX83&lt;&gt;""),IF((BX85*BX83)&lt;BX82,BX85*BX83,BX82),"")</f>
        <v/>
      </c>
      <c r="BY86" s="363" t="str">
        <f>IF(AND(BY85&lt;&gt;"",BY83&lt;&gt;""),IF(((BY85/2)*BY83)&lt;BY82,(BY85/2)*BY83,BY82),"")</f>
        <v/>
      </c>
      <c r="BZ86" s="363" t="str">
        <f>IF(CA86&lt;&gt;"",CA86-BY86,"")</f>
        <v/>
      </c>
      <c r="CA86" s="363" t="str">
        <f>IF(AND(CA85&lt;&gt;"",CA83&lt;&gt;""),IF((CA85*CA83)&lt;CA82,CA85*CA83,CA82),"")</f>
        <v/>
      </c>
      <c r="CB86" s="363" t="str">
        <f>IF(AND(CB85&lt;&gt;"",CB83&lt;&gt;""),IF(((CB85/2)*CB83)&lt;CB82,(CB85/2)*CB83,CB82),"")</f>
        <v/>
      </c>
      <c r="CC86" s="363" t="str">
        <f>IF(CD86&lt;&gt;"",CD86-CB86,"")</f>
        <v/>
      </c>
      <c r="CD86" s="363" t="str">
        <f>IF(AND(CD85&lt;&gt;"",CD83&lt;&gt;""),IF((CD85*CD83)&lt;CD82,CD85*CD83,CD82),"")</f>
        <v/>
      </c>
      <c r="CE86" s="363" t="str">
        <f>IF(AND(CE85&lt;&gt;"",CE83&lt;&gt;""),IF(((CE85/2)*CE83)&lt;CE82,(CE85/2)*CE83,CE82),"")</f>
        <v/>
      </c>
      <c r="CF86" s="363" t="str">
        <f>IF(CG86&lt;&gt;"",CG86-CE86,"")</f>
        <v/>
      </c>
      <c r="CG86" s="363" t="str">
        <f>IF(AND(CG85&lt;&gt;"",CG83&lt;&gt;""),IF((CG85*CG83)&lt;CG82,CG85*CG83,CG82),"")</f>
        <v/>
      </c>
      <c r="CH86" s="363" t="str">
        <f>IF(AND(CH85&lt;&gt;"",CH83&lt;&gt;""),IF(((CH85/2)*CH83)&lt;CH82,(CH85/2)*CH83,CH82),"")</f>
        <v/>
      </c>
      <c r="CI86" s="363" t="str">
        <f>IF(CJ86&lt;&gt;"",CJ86-CH86,"")</f>
        <v/>
      </c>
      <c r="CJ86" s="363" t="str">
        <f>IF(AND(CJ85&lt;&gt;"",CJ83&lt;&gt;""),IF((CJ85*CJ83)&lt;CJ82,CJ85*CJ83,CJ82),"")</f>
        <v/>
      </c>
      <c r="CK86" s="363" t="str">
        <f>IF(AND(CK85&lt;&gt;"",CK83&lt;&gt;""),IF(((CK85/2)*CK83)&lt;CK82,(CK85/2)*CK83,CK82),"")</f>
        <v/>
      </c>
      <c r="CL86" s="363" t="str">
        <f>IF(CM86&lt;&gt;"",CM86-CK86,"")</f>
        <v/>
      </c>
      <c r="CM86" s="363" t="str">
        <f>IF(AND(CM85&lt;&gt;"",CM83&lt;&gt;""),IF((CM85*CM83)&lt;CM82,CM85*CM83,CM82),"")</f>
        <v/>
      </c>
      <c r="CN86" s="363" t="str">
        <f>IF(AND(CN85&lt;&gt;"",CN83&lt;&gt;""),IF(((CN85/2)*CN83)&lt;CN82,(CN85/2)*CN83,CN82),"")</f>
        <v/>
      </c>
      <c r="CO86" s="363" t="str">
        <f>IF(CP86&lt;&gt;"",CP86-CN86,"")</f>
        <v/>
      </c>
      <c r="CP86" s="363" t="str">
        <f>IF(AND(CP85&lt;&gt;"",CP83&lt;&gt;""),IF((CP85*CP83)&lt;CP82,CP85*CP83,CP82),"")</f>
        <v/>
      </c>
      <c r="CQ86" s="363" t="str">
        <f>IF(AND(CQ85&lt;&gt;"",CQ83&lt;&gt;""),IF(((CQ85/2)*CQ83)&lt;CQ82,(CQ85/2)*CQ83,CQ82),"")</f>
        <v/>
      </c>
      <c r="CR86" s="363" t="str">
        <f>IF(CS86&lt;&gt;"",CS86-CQ86,"")</f>
        <v/>
      </c>
      <c r="CS86" s="363" t="str">
        <f>IF(AND(CS85&lt;&gt;"",CS83&lt;&gt;""),IF((CS85*CS83)&lt;CS82,CS85*CS83,CS82),"")</f>
        <v/>
      </c>
      <c r="CT86" s="363" t="str">
        <f>IF(AND(CT85&lt;&gt;"",CT83&lt;&gt;""),IF(((CT85/2)*CT83)&lt;CT82,(CT85/2)*CT83,CT82),"")</f>
        <v/>
      </c>
      <c r="CU86" s="363" t="str">
        <f>IF(CV86&lt;&gt;"",CV86-CT86,"")</f>
        <v/>
      </c>
      <c r="CV86" s="363" t="str">
        <f>IF(AND(CV85&lt;&gt;"",CV83&lt;&gt;""),IF((CV85*CV83)&lt;CV82,CV85*CV83,CV82),"")</f>
        <v/>
      </c>
      <c r="CW86" s="363" t="str">
        <f>IF(AND(CW85&lt;&gt;"",CW83&lt;&gt;""),IF(((CW85/2)*CW83)&lt;CW82,(CW85/2)*CW83,CW82),"")</f>
        <v/>
      </c>
      <c r="CX86" s="363" t="str">
        <f>IF(CY86&lt;&gt;"",CY86-CW86,"")</f>
        <v/>
      </c>
      <c r="CY86" s="363" t="str">
        <f>IF(AND(CY85&lt;&gt;"",CY83&lt;&gt;""),IF((CY85*CY83)&lt;CY82,CY85*CY83,CY82),"")</f>
        <v/>
      </c>
      <c r="CZ86" s="363" t="str">
        <f>IF(AND(CZ85&lt;&gt;"",CZ83&lt;&gt;""),IF(((CZ85/2)*CZ83)&lt;CZ82,(CZ85/2)*CZ83,CZ82),"")</f>
        <v/>
      </c>
      <c r="DA86" s="363" t="str">
        <f>IF(DB86&lt;&gt;"",DB86-CZ86,"")</f>
        <v/>
      </c>
      <c r="DB86" s="363" t="str">
        <f>IF(AND(DB85&lt;&gt;"",DB83&lt;&gt;""),IF((DB85*DB83)&lt;DB82,DB85*DB83,DB82),"")</f>
        <v/>
      </c>
      <c r="DC86" s="363" t="str">
        <f>IF(AND(DC85&lt;&gt;"",DC83&lt;&gt;""),IF(((DC85/2)*DC83)&lt;DC82,(DC85/2)*DC83,DC82),"")</f>
        <v/>
      </c>
      <c r="DD86" s="363" t="str">
        <f>IF(DE86&lt;&gt;"",DE86-DC86,"")</f>
        <v/>
      </c>
      <c r="DE86" s="363" t="str">
        <f>IF(AND(DE85&lt;&gt;"",DE83&lt;&gt;""),IF((DE85*DE83)&lt;DE82,DE85*DE83,DE82),"")</f>
        <v/>
      </c>
      <c r="DF86" s="363" t="str">
        <f>IF(AND(DF85&lt;&gt;"",DF83&lt;&gt;""),IF(((DF85/2)*DF83)&lt;DF82,(DF85/2)*DF83,DF82),"")</f>
        <v/>
      </c>
      <c r="DG86" s="363" t="str">
        <f>IF(DH86&lt;&gt;"",DH86-DF86,"")</f>
        <v/>
      </c>
      <c r="DH86" s="363" t="str">
        <f>IF(AND(DH85&lt;&gt;"",DH83&lt;&gt;""),IF((DH85*DH83)&lt;DH82,DH85*DH83,DH82),"")</f>
        <v/>
      </c>
      <c r="DI86" s="363" t="str">
        <f>IF(AND(DI85&lt;&gt;"",DI83&lt;&gt;""),IF(((DI85/2)*DI83)&lt;DI82,(DI85/2)*DI83,DI82),"")</f>
        <v/>
      </c>
      <c r="DJ86" s="363" t="str">
        <f>IF(DK86&lt;&gt;"",DK86-DI86,"")</f>
        <v/>
      </c>
      <c r="DK86" s="1210" t="str">
        <f>IF(AND(DK85&lt;&gt;"",DK83&lt;&gt;""),IF((DK85*DK83)&lt;DK82,DK85*DK83,DK82),"")</f>
        <v/>
      </c>
      <c r="DL86" s="363" t="str">
        <f>IF(AND(DL85&lt;&gt;"",DL83&lt;&gt;""),IF(((DL85/2)*DL83)&lt;DL82,(DL85/2)*DL83,DL82),"")</f>
        <v/>
      </c>
      <c r="DM86" s="363" t="str">
        <f>IF(DN86&lt;&gt;"",DN86-DL86,"")</f>
        <v/>
      </c>
      <c r="DN86" s="1210" t="str">
        <f>IF(AND(DN85&lt;&gt;"",DN83&lt;&gt;""),IF((DN85*DN83)&lt;DN82,DN85*DN83,DN82),"")</f>
        <v/>
      </c>
      <c r="DO86" s="363" t="str">
        <f>IF(AND(DO85&lt;&gt;"",DO83&lt;&gt;""),IF(((DO85/2)*DO83)&lt;DO82,(DO85/2)*DO83,DO82),"")</f>
        <v/>
      </c>
      <c r="DP86" s="363" t="str">
        <f>IF(DQ86&lt;&gt;"",DQ86-DO86,"")</f>
        <v/>
      </c>
      <c r="DQ86" s="1210" t="str">
        <f>IF(AND(DQ85&lt;&gt;"",DQ83&lt;&gt;""),IF((DQ85*DQ83)&lt;DQ82,DQ85*DQ83,DQ82),"")</f>
        <v/>
      </c>
      <c r="DR86" s="363" t="str">
        <f>IF(AND(DR85&lt;&gt;"",DR83&lt;&gt;""),IF(((DR85/2)*DR83)&lt;DR82,(DR85/2)*DR83,DR82),"")</f>
        <v/>
      </c>
      <c r="DS86" s="363" t="str">
        <f>IF(DT86&lt;&gt;"",DT86-DR86,"")</f>
        <v/>
      </c>
      <c r="DT86" s="1210" t="str">
        <f>IF(AND(DT85&lt;&gt;"",DT83&lt;&gt;""),IF((DT85*DT83)&lt;DT82,DT85*DT83,DT82),"")</f>
        <v/>
      </c>
      <c r="DU86" s="363" t="str">
        <f>IF(AND(DU85&lt;&gt;"",DU83&lt;&gt;""),IF(((DU85/2)*DU83)&lt;DU82,(DU85/2)*DU83,DU82),"")</f>
        <v/>
      </c>
      <c r="DV86" s="363" t="str">
        <f>IF(DW86&lt;&gt;"",DW86-DU86,"")</f>
        <v/>
      </c>
      <c r="DW86" s="1210" t="str">
        <f>IF(AND(DW85&lt;&gt;"",DW83&lt;&gt;""),IF((DW85*DW83)&lt;DW82,DW85*DW83,DW82),"")</f>
        <v/>
      </c>
      <c r="DX86" s="363" t="str">
        <f>IF(AND(DX85&lt;&gt;"",DX83&lt;&gt;""),IF(((DX85/2)*DX83)&lt;DX82,(DX85/2)*DX83,DX82),"")</f>
        <v/>
      </c>
      <c r="DY86" s="363" t="str">
        <f>IF(DZ86&lt;&gt;"",DZ86-DX86,"")</f>
        <v/>
      </c>
      <c r="DZ86" s="1210" t="str">
        <f>IF(AND(DZ85&lt;&gt;"",DZ83&lt;&gt;""),IF((DZ85*DZ83)&lt;DZ82,DZ85*DZ83,DZ82),"")</f>
        <v/>
      </c>
      <c r="EA86" s="363" t="str">
        <f>IF(AND(EA85&lt;&gt;"",EA83&lt;&gt;""),IF(((EA85/2)*EA83)&lt;EA82,(EA85/2)*EA83,EA82),"")</f>
        <v/>
      </c>
      <c r="EB86" s="363" t="str">
        <f>IF(EC86&lt;&gt;"",EC86-EA86,"")</f>
        <v/>
      </c>
      <c r="EC86" s="1210" t="str">
        <f>IF(AND(EC85&lt;&gt;"",EC83&lt;&gt;""),IF((EC85*EC83)&lt;EC82,EC85*EC83,EC82),"")</f>
        <v/>
      </c>
      <c r="ED86" s="363" t="str">
        <f>IF(AND(ED85&lt;&gt;"",ED83&lt;&gt;""),IF(((ED85/2)*ED83)&lt;ED82,(ED85/2)*ED83,ED82),"")</f>
        <v/>
      </c>
      <c r="EE86" s="363" t="str">
        <f>IF(EF86&lt;&gt;"",EF86-ED86,"")</f>
        <v/>
      </c>
      <c r="EF86" s="1210" t="str">
        <f>IF(AND(EF85&lt;&gt;"",EF83&lt;&gt;""),IF((EF85*EF83)&lt;EF82,EF85*EF83,EF82),"")</f>
        <v/>
      </c>
      <c r="EG86" s="363" t="str">
        <f>IF(AND(EG85&lt;&gt;"",EG83&lt;&gt;""),IF(((EG85/2)*EG83)&lt;EG82,(EG85/2)*EG83,EG82),"")</f>
        <v/>
      </c>
      <c r="EH86" s="363" t="str">
        <f>IF(EI86&lt;&gt;"",EI86-EG86,"")</f>
        <v/>
      </c>
      <c r="EI86" s="1210" t="str">
        <f>IF(AND(EI85&lt;&gt;"",EI83&lt;&gt;""),IF((EI85*EI83)&lt;EI82,EI85*EI83,EI82),"")</f>
        <v/>
      </c>
      <c r="EJ86" s="363" t="str">
        <f>IF(AND(EJ85&lt;&gt;"",EJ83&lt;&gt;""),IF(((EJ85/2)*EJ83)&lt;EJ82,(EJ85/2)*EJ83,EJ82),"")</f>
        <v/>
      </c>
      <c r="EK86" s="363" t="str">
        <f>IF(EL86&lt;&gt;"",EL86-EJ86,"")</f>
        <v/>
      </c>
      <c r="EL86" s="1210" t="str">
        <f>IF(AND(EL85&lt;&gt;"",EL83&lt;&gt;""),IF((EL85*EL83)&lt;EL82,EL85*EL83,EL82),"")</f>
        <v/>
      </c>
      <c r="EM86" s="363" t="str">
        <f>IF(AND(EM85&lt;&gt;"",EM83&lt;&gt;""),IF(((EM85/2)*EM83)&lt;EM82,(EM85/2)*EM83,EM82),"")</f>
        <v/>
      </c>
      <c r="EN86" s="363" t="str">
        <f>IF(EO86&lt;&gt;"",EO86-EM86,"")</f>
        <v/>
      </c>
      <c r="EO86" s="1210" t="str">
        <f>IF(AND(EO85&lt;&gt;"",EO83&lt;&gt;""),IF((EO85*EO83)&lt;EO82,EO85*EO83,EO82),"")</f>
        <v/>
      </c>
      <c r="EP86" s="363" t="str">
        <f>IF(AND(EP85&lt;&gt;"",EP83&lt;&gt;""),IF(((EP85/2)*EP83)&lt;EP82,(EP85/2)*EP83,EP82),"")</f>
        <v/>
      </c>
      <c r="EQ86" s="363" t="str">
        <f>IF(ER86&lt;&gt;"",ER86-EP86,"")</f>
        <v/>
      </c>
      <c r="ER86" s="1210" t="str">
        <f>IF(AND(ER85&lt;&gt;"",ER83&lt;&gt;""),IF((ER85*ER83)&lt;ER82,ER85*ER83,ER82),"")</f>
        <v/>
      </c>
      <c r="ES86" s="363" t="str">
        <f>IF(AND(ES85&lt;&gt;"",ES83&lt;&gt;""),IF(((ES85/2)*ES83)&lt;ES82,(ES85/2)*ES83,ES82),"")</f>
        <v/>
      </c>
      <c r="ET86" s="363" t="str">
        <f>IF(EU86&lt;&gt;"",EU86-ES86,"")</f>
        <v/>
      </c>
      <c r="EU86" s="1210" t="str">
        <f>IF(AND(EU85&lt;&gt;"",EU83&lt;&gt;""),IF((EU85*EU83)&lt;EU82,EU85*EU83,EU82),"")</f>
        <v/>
      </c>
      <c r="EV86" s="363" t="str">
        <f>IF(AND(EV85&lt;&gt;"",EV83&lt;&gt;""),IF(((EV85/2)*EV83)&lt;EV82,(EV85/2)*EV83,EV82),"")</f>
        <v/>
      </c>
      <c r="EW86" s="363" t="str">
        <f>IF(EX86&lt;&gt;"",EX86-EV86,"")</f>
        <v/>
      </c>
      <c r="EX86" s="1210" t="str">
        <f>IF(AND(EX85&lt;&gt;"",EX83&lt;&gt;""),IF((EX85*EX83)&lt;EX82,EX85*EX83,EX82),"")</f>
        <v/>
      </c>
      <c r="EY86" s="363" t="str">
        <f>IF(AND(EY85&lt;&gt;"",EY83&lt;&gt;""),IF(((EY85/2)*EY83)&lt;EY82,(EY85/2)*EY83,EY82),"")</f>
        <v/>
      </c>
      <c r="EZ86" s="363" t="str">
        <f>IF(FA86&lt;&gt;"",FA86-EY86,"")</f>
        <v/>
      </c>
      <c r="FA86" s="363" t="str">
        <f>IF(AND(FA85&lt;&gt;"",FA83&lt;&gt;""),IF((FA85*FA83)&lt;FA82,FA85*FA83,FA82),"")</f>
        <v/>
      </c>
    </row>
    <row r="87" spans="1:157" ht="13.35" customHeight="1">
      <c r="A87" s="5"/>
      <c r="B87" s="5" t="s">
        <v>413</v>
      </c>
      <c r="C87" s="5"/>
      <c r="D87" s="362"/>
      <c r="E87" s="363" t="str">
        <f>IF(Model!E66&lt;&gt;"",Model!E66,"")</f>
        <v/>
      </c>
      <c r="F87" s="363" t="str">
        <f>IF(AND(G87&lt;&gt;"",E87&lt;&gt;""),G87-E87,"")</f>
        <v/>
      </c>
      <c r="G87" s="363" t="str">
        <f>IF(Model!G66&lt;&gt;"",Model!G66,"")</f>
        <v/>
      </c>
      <c r="H87" s="363" t="str">
        <f>IF(Model!H66&lt;&gt;"",Model!H66,"")</f>
        <v/>
      </c>
      <c r="I87" s="363" t="str">
        <f>IF(AND(J87&lt;&gt;"",H87&lt;&gt;""),J87-H87,"")</f>
        <v/>
      </c>
      <c r="J87" s="363" t="str">
        <f>IF(Model!J66&lt;&gt;"",Model!J66,"")</f>
        <v/>
      </c>
      <c r="K87" s="363" t="str">
        <f>IF(Model!K66&lt;&gt;"",Model!K66,"")</f>
        <v/>
      </c>
      <c r="L87" s="363" t="str">
        <f>IF(AND(M87&lt;&gt;"",K87&lt;&gt;""),M87-K87,"")</f>
        <v/>
      </c>
      <c r="M87" s="363" t="str">
        <f>IF(Model!M66&lt;&gt;"",Model!M66,"")</f>
        <v/>
      </c>
      <c r="N87" s="363" t="str">
        <f>IF(Model!N66&lt;&gt;"",Model!N66,"")</f>
        <v/>
      </c>
      <c r="O87" s="363" t="str">
        <f>IF(AND(P87&lt;&gt;"",N87&lt;&gt;""),P87-N87,"")</f>
        <v/>
      </c>
      <c r="P87" s="363" t="str">
        <f>IF(Model!P66&lt;&gt;"",Model!P66,"")</f>
        <v/>
      </c>
      <c r="Q87" s="363" t="str">
        <f>IF(Model!Q66&lt;&gt;"",Model!Q66,"")</f>
        <v/>
      </c>
      <c r="R87" s="363" t="str">
        <f>IF(AND(S87&lt;&gt;"",Q87&lt;&gt;""),S87-Q87,"")</f>
        <v/>
      </c>
      <c r="S87" s="363" t="str">
        <f>IF(Model!S66&lt;&gt;"",Model!S66,"")</f>
        <v/>
      </c>
      <c r="T87" s="363" t="str">
        <f>IF(Model!T66&lt;&gt;"",Model!T66,"")</f>
        <v/>
      </c>
      <c r="U87" s="363" t="str">
        <f>IF(AND(V87&lt;&gt;"",T87&lt;&gt;""),V87-T87,"")</f>
        <v/>
      </c>
      <c r="V87" s="363" t="str">
        <f>IF(Model!V66&lt;&gt;"",Model!V66,"")</f>
        <v/>
      </c>
      <c r="W87" s="363" t="str">
        <f>IF(Model!W66&lt;&gt;"",Model!W66,"")</f>
        <v/>
      </c>
      <c r="X87" s="363" t="str">
        <f>IF(AND(Y87&lt;&gt;"",W87&lt;&gt;""),Y87-W87,"")</f>
        <v/>
      </c>
      <c r="Y87" s="363" t="str">
        <f>IF(Model!Y66&lt;&gt;"",Model!Y66,"")</f>
        <v/>
      </c>
      <c r="Z87" s="363" t="str">
        <f>IF(Model!Z66&lt;&gt;"",Model!Z66,"")</f>
        <v/>
      </c>
      <c r="AA87" s="363" t="str">
        <f>IF(AND(AB87&lt;&gt;"",Z87&lt;&gt;""),AB87-Z87,"")</f>
        <v/>
      </c>
      <c r="AB87" s="363" t="str">
        <f>IF(Model!AB66&lt;&gt;"",Model!AB66,"")</f>
        <v/>
      </c>
      <c r="AC87" s="363" t="str">
        <f>IF(Model!AC66&lt;&gt;"",Model!AC66,"")</f>
        <v/>
      </c>
      <c r="AD87" s="363" t="str">
        <f>IF(AND(AE87&lt;&gt;"",AC87&lt;&gt;""),AE87-AC87,"")</f>
        <v/>
      </c>
      <c r="AE87" s="363" t="str">
        <f>IF(Model!AE66&lt;&gt;"",Model!AE66,"")</f>
        <v/>
      </c>
      <c r="AF87" s="363" t="str">
        <f>IF(Model!AF66&lt;&gt;"",Model!AF66,"")</f>
        <v/>
      </c>
      <c r="AG87" s="363" t="str">
        <f>IF(AND(AH87&lt;&gt;"",AF87&lt;&gt;""),AH87-AF87,"")</f>
        <v/>
      </c>
      <c r="AH87" s="363" t="str">
        <f>IF(Model!AH66&lt;&gt;"",Model!AH66,"")</f>
        <v/>
      </c>
      <c r="AI87" s="363" t="str">
        <f>IF(Model!AI66&lt;&gt;"",Model!AI66,"")</f>
        <v/>
      </c>
      <c r="AJ87" s="363" t="str">
        <f>IF(AND(AK87&lt;&gt;"",AI87&lt;&gt;""),AK87-AI87,"")</f>
        <v/>
      </c>
      <c r="AK87" s="363" t="str">
        <f>IF(Model!AK66&lt;&gt;"",Model!AK66,"")</f>
        <v/>
      </c>
      <c r="AL87" s="363" t="str">
        <f>IF(Model!AL66&lt;&gt;"",Model!AL66,"")</f>
        <v/>
      </c>
      <c r="AM87" s="363" t="str">
        <f>IF(AND(AN87&lt;&gt;"",AL87&lt;&gt;""),AN87-AL87,"")</f>
        <v/>
      </c>
      <c r="AN87" s="363" t="str">
        <f>IF(Model!AN66&lt;&gt;"",Model!AN66,"")</f>
        <v/>
      </c>
      <c r="AO87" s="363" t="str">
        <f>IF(Model!AO66&lt;&gt;"",Model!AO66,"")</f>
        <v/>
      </c>
      <c r="AP87" s="363" t="str">
        <f>IF(AND(AQ87&lt;&gt;"",AO87&lt;&gt;""),AQ87-AO87,"")</f>
        <v/>
      </c>
      <c r="AQ87" s="363" t="str">
        <f>IF(Model!AQ66&lt;&gt;"",Model!AQ66,"")</f>
        <v/>
      </c>
      <c r="AR87" s="363" t="str">
        <f>IF(Model!AR66&lt;&gt;"",Model!AR66,"")</f>
        <v/>
      </c>
      <c r="AS87" s="363" t="str">
        <f>IF(AND(AT87&lt;&gt;"",AR87&lt;&gt;""),AT87-AR87,"")</f>
        <v/>
      </c>
      <c r="AT87" s="363" t="str">
        <f>IF(Model!AT66&lt;&gt;"",Model!AT66,"")</f>
        <v/>
      </c>
      <c r="AU87" s="363" t="str">
        <f>IF(Model!AU66&lt;&gt;"",Model!AU66,"")</f>
        <v/>
      </c>
      <c r="AV87" s="363" t="str">
        <f>IF(AND(AW87&lt;&gt;"",AU87&lt;&gt;""),AW87-AU87,"")</f>
        <v/>
      </c>
      <c r="AW87" s="363" t="str">
        <f>IF(Model!AW66&lt;&gt;"",Model!AW66,"")</f>
        <v/>
      </c>
      <c r="AX87" s="363">
        <f>IF(Model!AX66&lt;&gt;"",Model!AX66,"")</f>
        <v>0</v>
      </c>
      <c r="AY87" s="363">
        <f>IF(AND(AZ87&lt;&gt;"",AX87&lt;&gt;""),AZ87-AX87,"")</f>
        <v>0</v>
      </c>
      <c r="AZ87" s="363">
        <f>IF(Model!AZ66&lt;&gt;"",Model!AZ66,"")</f>
        <v>0</v>
      </c>
      <c r="BA87" s="363">
        <f>IF(Model!BA66&lt;&gt;"",Model!BA66,"")</f>
        <v>0</v>
      </c>
      <c r="BB87" s="363">
        <f>IF(AND(BC87&lt;&gt;"",BA87&lt;&gt;""),BC87-BA87,"")</f>
        <v>0</v>
      </c>
      <c r="BC87" s="363">
        <f>IF(Model!BC66&lt;&gt;"",Model!BC66,"")</f>
        <v>0</v>
      </c>
      <c r="BD87" s="359"/>
      <c r="BE87" s="363" t="str">
        <f>IF(AND(BF87&lt;&gt;"",BD87&lt;&gt;""),BF87-BD87,"")</f>
        <v/>
      </c>
      <c r="BF87" s="359"/>
      <c r="BG87" s="359"/>
      <c r="BH87" s="363" t="str">
        <f>IF(AND(BI87&lt;&gt;"",BG87&lt;&gt;""),BI87-BG87,"")</f>
        <v/>
      </c>
      <c r="BI87" s="359"/>
      <c r="BJ87" s="359"/>
      <c r="BK87" s="363" t="str">
        <f>IF(AND(BL87&lt;&gt;"",BJ87&lt;&gt;""),BL87-BJ87,"")</f>
        <v/>
      </c>
      <c r="BL87" s="359"/>
      <c r="BM87" s="359"/>
      <c r="BN87" s="363" t="str">
        <f>IF(AND(BO87&lt;&gt;"",BM87&lt;&gt;""),BO87-BM87,"")</f>
        <v/>
      </c>
      <c r="BO87" s="359"/>
      <c r="BP87" s="359"/>
      <c r="BQ87" s="363" t="str">
        <f>IF(AND(BR87&lt;&gt;"",BP87&lt;&gt;""),BR87-BP87,"")</f>
        <v/>
      </c>
      <c r="BR87" s="359"/>
      <c r="BS87" s="359"/>
      <c r="BT87" s="363" t="str">
        <f>IF(AND(BU87&lt;&gt;"",BS87&lt;&gt;""),BU87-BS87,"")</f>
        <v/>
      </c>
      <c r="BU87" s="359"/>
      <c r="BV87" s="359"/>
      <c r="BW87" s="363" t="str">
        <f>IF(AND(BX87&lt;&gt;"",BV87&lt;&gt;""),BX87-BV87,"")</f>
        <v/>
      </c>
      <c r="BX87" s="359"/>
      <c r="BY87" s="359"/>
      <c r="BZ87" s="363" t="str">
        <f>IF(AND(CA87&lt;&gt;"",BY87&lt;&gt;""),CA87-BY87,"")</f>
        <v/>
      </c>
      <c r="CA87" s="359"/>
      <c r="CB87" s="359"/>
      <c r="CC87" s="363" t="str">
        <f>IF(AND(CD87&lt;&gt;"",CB87&lt;&gt;""),CD87-CB87,"")</f>
        <v/>
      </c>
      <c r="CD87" s="359"/>
      <c r="CE87" s="359"/>
      <c r="CF87" s="363" t="str">
        <f>IF(AND(CG87&lt;&gt;"",CE87&lt;&gt;""),CG87-CE87,"")</f>
        <v/>
      </c>
      <c r="CG87" s="359"/>
      <c r="CH87" s="359"/>
      <c r="CI87" s="363" t="str">
        <f>IF(AND(CJ87&lt;&gt;"",CH87&lt;&gt;""),CJ87-CH87,"")</f>
        <v/>
      </c>
      <c r="CJ87" s="359"/>
      <c r="CK87" s="359"/>
      <c r="CL87" s="363" t="str">
        <f>IF(AND(CM87&lt;&gt;"",CK87&lt;&gt;""),CM87-CK87,"")</f>
        <v/>
      </c>
      <c r="CM87" s="359"/>
      <c r="CN87" s="359"/>
      <c r="CO87" s="363" t="str">
        <f>IF(AND(CP87&lt;&gt;"",CN87&lt;&gt;""),CP87-CN87,"")</f>
        <v/>
      </c>
      <c r="CP87" s="359"/>
      <c r="CQ87" s="359"/>
      <c r="CR87" s="363" t="str">
        <f>IF(AND(CS87&lt;&gt;"",CQ87&lt;&gt;""),CS87-CQ87,"")</f>
        <v/>
      </c>
      <c r="CS87" s="359"/>
      <c r="CT87" s="359"/>
      <c r="CU87" s="363" t="str">
        <f>IF(AND(CV87&lt;&gt;"",CT87&lt;&gt;""),CV87-CT87,"")</f>
        <v/>
      </c>
      <c r="CV87" s="359"/>
      <c r="CW87" s="359"/>
      <c r="CX87" s="363" t="str">
        <f>IF(AND(CY87&lt;&gt;"",CW87&lt;&gt;""),CY87-CW87,"")</f>
        <v/>
      </c>
      <c r="CY87" s="359"/>
      <c r="CZ87" s="359"/>
      <c r="DA87" s="363" t="str">
        <f>IF(AND(DB87&lt;&gt;"",CZ87&lt;&gt;""),DB87-CZ87,"")</f>
        <v/>
      </c>
      <c r="DB87" s="359"/>
      <c r="DC87" s="359"/>
      <c r="DD87" s="363" t="str">
        <f>IF(AND(DE87&lt;&gt;"",DC87&lt;&gt;""),DE87-DC87,"")</f>
        <v/>
      </c>
      <c r="DE87" s="359"/>
      <c r="DF87" s="359"/>
      <c r="DG87" s="363" t="str">
        <f>IF(AND(DH87&lt;&gt;"",DF87&lt;&gt;""),DH87-DF87,"")</f>
        <v/>
      </c>
      <c r="DH87" s="359"/>
      <c r="DI87" s="359"/>
      <c r="DJ87" s="363" t="str">
        <f>IF(AND(DK87&lt;&gt;"",DI87&lt;&gt;""),DK87-DI87,"")</f>
        <v/>
      </c>
      <c r="DK87" s="1208"/>
      <c r="DL87" s="359"/>
      <c r="DM87" s="363" t="str">
        <f>IF(AND(DN87&lt;&gt;"",DL87&lt;&gt;""),DN87-DL87,"")</f>
        <v/>
      </c>
      <c r="DN87" s="1208"/>
      <c r="DO87" s="359"/>
      <c r="DP87" s="363" t="str">
        <f>IF(AND(DQ87&lt;&gt;"",DO87&lt;&gt;""),DQ87-DO87,"")</f>
        <v/>
      </c>
      <c r="DQ87" s="1208"/>
      <c r="DR87" s="359"/>
      <c r="DS87" s="363" t="str">
        <f>IF(AND(DT87&lt;&gt;"",DR87&lt;&gt;""),DT87-DR87,"")</f>
        <v/>
      </c>
      <c r="DT87" s="1208"/>
      <c r="DU87" s="359"/>
      <c r="DV87" s="363" t="str">
        <f>IF(AND(DW87&lt;&gt;"",DU87&lt;&gt;""),DW87-DU87,"")</f>
        <v/>
      </c>
      <c r="DW87" s="1208"/>
      <c r="DX87" s="359"/>
      <c r="DY87" s="363" t="str">
        <f>IF(AND(DZ87&lt;&gt;"",DX87&lt;&gt;""),DZ87-DX87,"")</f>
        <v/>
      </c>
      <c r="DZ87" s="1208"/>
      <c r="EA87" s="359"/>
      <c r="EB87" s="363" t="str">
        <f>IF(AND(EC87&lt;&gt;"",EA87&lt;&gt;""),EC87-EA87,"")</f>
        <v/>
      </c>
      <c r="EC87" s="1208"/>
      <c r="ED87" s="359"/>
      <c r="EE87" s="363" t="str">
        <f>IF(AND(EF87&lt;&gt;"",ED87&lt;&gt;""),EF87-ED87,"")</f>
        <v/>
      </c>
      <c r="EF87" s="1208"/>
      <c r="EG87" s="359"/>
      <c r="EH87" s="363" t="str">
        <f>IF(AND(EI87&lt;&gt;"",EG87&lt;&gt;""),EI87-EG87,"")</f>
        <v/>
      </c>
      <c r="EI87" s="1208"/>
      <c r="EJ87" s="359"/>
      <c r="EK87" s="363" t="str">
        <f>IF(AND(EL87&lt;&gt;"",EJ87&lt;&gt;""),EL87-EJ87,"")</f>
        <v/>
      </c>
      <c r="EL87" s="1208"/>
      <c r="EM87" s="359"/>
      <c r="EN87" s="363" t="str">
        <f>IF(AND(EO87&lt;&gt;"",EM87&lt;&gt;""),EO87-EM87,"")</f>
        <v/>
      </c>
      <c r="EO87" s="1208"/>
      <c r="EP87" s="359"/>
      <c r="EQ87" s="363" t="str">
        <f>IF(AND(ER87&lt;&gt;"",EP87&lt;&gt;""),ER87-EP87,"")</f>
        <v/>
      </c>
      <c r="ER87" s="1208"/>
      <c r="ES87" s="359"/>
      <c r="ET87" s="363" t="str">
        <f>IF(AND(EU87&lt;&gt;"",ES87&lt;&gt;""),EU87-ES87,"")</f>
        <v/>
      </c>
      <c r="EU87" s="1208"/>
      <c r="EV87" s="359"/>
      <c r="EW87" s="363" t="str">
        <f>IF(AND(EX87&lt;&gt;"",EV87&lt;&gt;""),EX87-EV87,"")</f>
        <v/>
      </c>
      <c r="EX87" s="1208"/>
      <c r="EY87" s="359"/>
      <c r="EZ87" s="363" t="str">
        <f>IF(AND(FA87&lt;&gt;"",EY87&lt;&gt;""),FA87-EY87,"")</f>
        <v/>
      </c>
      <c r="FA87" s="359"/>
    </row>
    <row r="88" spans="1:157" ht="13.35" customHeight="1">
      <c r="A88" s="5"/>
      <c r="B88" s="5" t="s">
        <v>134</v>
      </c>
      <c r="C88" s="5"/>
      <c r="D88" s="362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0"/>
      <c r="BH88" s="30"/>
      <c r="BI88" s="30"/>
      <c r="BJ88" s="30"/>
      <c r="BK88" s="30"/>
      <c r="BL88" s="30"/>
      <c r="BM88" s="30"/>
      <c r="BN88" s="30"/>
      <c r="BO88" s="30"/>
      <c r="BP88" s="30"/>
      <c r="BQ88" s="30"/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  <c r="CT88" s="30"/>
      <c r="CU88" s="30"/>
      <c r="CV88" s="30"/>
      <c r="CW88" s="30"/>
      <c r="CX88" s="30"/>
      <c r="CY88" s="30"/>
      <c r="CZ88" s="30"/>
      <c r="DA88" s="30"/>
      <c r="DB88" s="30"/>
      <c r="DC88" s="30"/>
      <c r="DD88" s="30"/>
      <c r="DE88" s="30"/>
      <c r="DF88" s="30"/>
      <c r="DG88" s="30"/>
      <c r="DH88" s="30"/>
      <c r="DI88" s="30"/>
      <c r="DJ88" s="30"/>
      <c r="DK88" s="1096"/>
      <c r="DL88" s="30"/>
      <c r="DM88" s="30"/>
      <c r="DN88" s="1096"/>
      <c r="DO88" s="30"/>
      <c r="DP88" s="30"/>
      <c r="DQ88" s="1096"/>
      <c r="DR88" s="30"/>
      <c r="DS88" s="30"/>
      <c r="DT88" s="1096"/>
      <c r="DU88" s="30"/>
      <c r="DV88" s="30"/>
      <c r="DW88" s="1096"/>
      <c r="DX88" s="30"/>
      <c r="DY88" s="30"/>
      <c r="DZ88" s="1096"/>
      <c r="EA88" s="30"/>
      <c r="EB88" s="30"/>
      <c r="EC88" s="1096"/>
      <c r="ED88" s="30"/>
      <c r="EE88" s="30"/>
      <c r="EF88" s="1096"/>
      <c r="EG88" s="30"/>
      <c r="EH88" s="30"/>
      <c r="EI88" s="1096"/>
      <c r="EJ88" s="30"/>
      <c r="EK88" s="30"/>
      <c r="EL88" s="1096"/>
      <c r="EM88" s="30"/>
      <c r="EN88" s="30"/>
      <c r="EO88" s="1096"/>
      <c r="EP88" s="30"/>
      <c r="EQ88" s="30"/>
      <c r="ER88" s="1096"/>
      <c r="ES88" s="30"/>
      <c r="ET88" s="30"/>
      <c r="EU88" s="1096"/>
      <c r="EV88" s="30"/>
      <c r="EW88" s="30"/>
      <c r="EX88" s="1096"/>
      <c r="EY88" s="30"/>
      <c r="EZ88" s="30"/>
      <c r="FA88" s="30"/>
    </row>
    <row r="89" spans="1:157" ht="13.35" customHeight="1" outlineLevel="1">
      <c r="A89" s="5"/>
      <c r="B89" s="5" t="s">
        <v>414</v>
      </c>
      <c r="C89" s="5"/>
      <c r="D89" s="362"/>
      <c r="E89" s="363"/>
      <c r="F89" s="363" t="str">
        <f>IF(G89&lt;&gt;"",G89,"")</f>
        <v/>
      </c>
      <c r="G89" s="363"/>
      <c r="H89" s="363"/>
      <c r="I89" s="363" t="str">
        <f>IF(J89&lt;&gt;"",J89,"")</f>
        <v/>
      </c>
      <c r="J89" s="363"/>
      <c r="K89" s="363"/>
      <c r="L89" s="363" t="str">
        <f>IF(M89&lt;&gt;"",M89,"")</f>
        <v/>
      </c>
      <c r="M89" s="363"/>
      <c r="N89" s="363"/>
      <c r="O89" s="363" t="str">
        <f>IF(P89&lt;&gt;"",P89,"")</f>
        <v/>
      </c>
      <c r="P89" s="363"/>
      <c r="Q89" s="363"/>
      <c r="R89" s="363" t="str">
        <f>IF(S89&lt;&gt;"",S89,"")</f>
        <v/>
      </c>
      <c r="S89" s="363"/>
      <c r="T89" s="363"/>
      <c r="U89" s="363" t="str">
        <f>IF(V89&lt;&gt;"",V89,"")</f>
        <v/>
      </c>
      <c r="V89" s="363"/>
      <c r="W89" s="363"/>
      <c r="X89" s="363" t="str">
        <f>IF(Y89&lt;&gt;"",Y89,"")</f>
        <v/>
      </c>
      <c r="Y89" s="363"/>
      <c r="Z89" s="363"/>
      <c r="AA89" s="363" t="str">
        <f>IF(AB89&lt;&gt;"",AB89,"")</f>
        <v/>
      </c>
      <c r="AB89" s="363"/>
      <c r="AC89" s="363"/>
      <c r="AD89" s="363" t="str">
        <f>IF(AE89&lt;&gt;"",AE89,"")</f>
        <v/>
      </c>
      <c r="AE89" s="363"/>
      <c r="AF89" s="363"/>
      <c r="AG89" s="363" t="str">
        <f>IF(AH89&lt;&gt;"",AH89,"")</f>
        <v/>
      </c>
      <c r="AH89" s="363"/>
      <c r="AI89" s="363"/>
      <c r="AJ89" s="363" t="str">
        <f>IF(AK89&lt;&gt;"",AK89,"")</f>
        <v/>
      </c>
      <c r="AK89" s="363"/>
      <c r="AL89" s="363"/>
      <c r="AM89" s="363" t="str">
        <f>IF(AN89&lt;&gt;"",AN89,"")</f>
        <v/>
      </c>
      <c r="AN89" s="363"/>
      <c r="AO89" s="363"/>
      <c r="AP89" s="363"/>
      <c r="AQ89" s="363"/>
      <c r="AR89" s="363"/>
      <c r="AS89" s="363"/>
      <c r="AT89" s="363"/>
      <c r="AU89" s="363"/>
      <c r="AV89" s="363"/>
      <c r="AW89" s="363"/>
      <c r="AX89" s="363"/>
      <c r="AY89" s="363"/>
      <c r="AZ89" s="363"/>
      <c r="BA89" s="363"/>
      <c r="BB89" s="363"/>
      <c r="BC89" s="363"/>
      <c r="BD89" s="363"/>
      <c r="BE89" s="363" t="str">
        <f>IF(BF89&lt;&gt;"",BF89,"")</f>
        <v/>
      </c>
      <c r="BF89" s="363"/>
      <c r="BG89" s="363"/>
      <c r="BH89" s="363" t="str">
        <f>IF(BI89&lt;&gt;"",BI89,"")</f>
        <v/>
      </c>
      <c r="BI89" s="363"/>
      <c r="BJ89" s="363"/>
      <c r="BK89" s="363" t="str">
        <f>IF(BL89&lt;&gt;"",BL89,"")</f>
        <v/>
      </c>
      <c r="BL89" s="363"/>
      <c r="BM89" s="363"/>
      <c r="BN89" s="363" t="str">
        <f>IF(BO89&lt;&gt;"",BO89,"")</f>
        <v/>
      </c>
      <c r="BO89" s="363"/>
      <c r="BP89" s="363"/>
      <c r="BQ89" s="363" t="str">
        <f>IF(BR89&lt;&gt;"",BR89,"")</f>
        <v/>
      </c>
      <c r="BR89" s="363"/>
      <c r="BS89" s="363"/>
      <c r="BT89" s="363" t="str">
        <f>IF(BU89&lt;&gt;"",BU89,"")</f>
        <v/>
      </c>
      <c r="BU89" s="363"/>
      <c r="BV89" s="363"/>
      <c r="BW89" s="363" t="str">
        <f>IF(BX89&lt;&gt;"",BX89,"")</f>
        <v/>
      </c>
      <c r="BX89" s="363"/>
      <c r="BY89" s="363"/>
      <c r="BZ89" s="363" t="str">
        <f>IF(CA89&lt;&gt;"",CA89,"")</f>
        <v/>
      </c>
      <c r="CA89" s="363"/>
      <c r="CB89" s="363"/>
      <c r="CC89" s="363" t="str">
        <f>IF(CD89&lt;&gt;"",CD89,"")</f>
        <v/>
      </c>
      <c r="CD89" s="363"/>
      <c r="CE89" s="363"/>
      <c r="CF89" s="363" t="str">
        <f>IF(CG89&lt;&gt;"",CG89,"")</f>
        <v/>
      </c>
      <c r="CG89" s="363"/>
      <c r="CH89" s="363"/>
      <c r="CI89" s="363" t="str">
        <f>IF(CJ89&lt;&gt;"",CJ89,"")</f>
        <v/>
      </c>
      <c r="CJ89" s="363"/>
      <c r="CK89" s="363"/>
      <c r="CL89" s="363" t="str">
        <f>IF(CM89&lt;&gt;"",CM89,"")</f>
        <v/>
      </c>
      <c r="CM89" s="363"/>
      <c r="CN89" s="363"/>
      <c r="CO89" s="363" t="str">
        <f>IF(CP89&lt;&gt;"",CP89,"")</f>
        <v/>
      </c>
      <c r="CP89" s="363"/>
      <c r="CQ89" s="363"/>
      <c r="CR89" s="363" t="str">
        <f>IF(CS89&lt;&gt;"",CS89,"")</f>
        <v/>
      </c>
      <c r="CS89" s="363"/>
      <c r="CT89" s="363"/>
      <c r="CU89" s="363" t="str">
        <f>IF(CV89&lt;&gt;"",CV89,"")</f>
        <v/>
      </c>
      <c r="CV89" s="363"/>
      <c r="CW89" s="363"/>
      <c r="CX89" s="363" t="str">
        <f>IF(CY89&lt;&gt;"",CY89,"")</f>
        <v/>
      </c>
      <c r="CY89" s="363"/>
      <c r="CZ89" s="363"/>
      <c r="DA89" s="363" t="str">
        <f>IF(DB89&lt;&gt;"",DB89,"")</f>
        <v/>
      </c>
      <c r="DB89" s="363"/>
      <c r="DC89" s="363"/>
      <c r="DD89" s="363" t="str">
        <f>IF(DE89&lt;&gt;"",DE89,"")</f>
        <v/>
      </c>
      <c r="DE89" s="363"/>
      <c r="DF89" s="363"/>
      <c r="DG89" s="363" t="str">
        <f>IF(DH89&lt;&gt;"",DH89,"")</f>
        <v/>
      </c>
      <c r="DH89" s="363"/>
      <c r="DI89" s="363"/>
      <c r="DJ89" s="363" t="str">
        <f>IF(DK89&lt;&gt;"",DK89,"")</f>
        <v/>
      </c>
      <c r="DK89" s="1210"/>
      <c r="DL89" s="363"/>
      <c r="DM89" s="363" t="str">
        <f>IF(DN89&lt;&gt;"",DN89,"")</f>
        <v/>
      </c>
      <c r="DN89" s="1210"/>
      <c r="DO89" s="363"/>
      <c r="DP89" s="363" t="str">
        <f>IF(DQ89&lt;&gt;"",DQ89,"")</f>
        <v/>
      </c>
      <c r="DQ89" s="1210"/>
      <c r="DR89" s="363"/>
      <c r="DS89" s="363" t="str">
        <f>IF(DT89&lt;&gt;"",DT89,"")</f>
        <v/>
      </c>
      <c r="DT89" s="1210"/>
      <c r="DU89" s="363"/>
      <c r="DV89" s="363" t="str">
        <f>IF(DW89&lt;&gt;"",DW89,"")</f>
        <v/>
      </c>
      <c r="DW89" s="1210"/>
      <c r="DX89" s="363"/>
      <c r="DY89" s="363" t="str">
        <f>IF(DZ89&lt;&gt;"",DZ89,"")</f>
        <v/>
      </c>
      <c r="DZ89" s="1210"/>
      <c r="EA89" s="363"/>
      <c r="EB89" s="363" t="str">
        <f>IF(EC89&lt;&gt;"",EC89,"")</f>
        <v/>
      </c>
      <c r="EC89" s="1210"/>
      <c r="ED89" s="363"/>
      <c r="EE89" s="363" t="str">
        <f>IF(EF89&lt;&gt;"",EF89,"")</f>
        <v/>
      </c>
      <c r="EF89" s="1210"/>
      <c r="EG89" s="363"/>
      <c r="EH89" s="363" t="str">
        <f>IF(EI89&lt;&gt;"",EI89,"")</f>
        <v/>
      </c>
      <c r="EI89" s="1210"/>
      <c r="EJ89" s="363"/>
      <c r="EK89" s="363" t="str">
        <f>IF(EL89&lt;&gt;"",EL89,"")</f>
        <v/>
      </c>
      <c r="EL89" s="1210"/>
      <c r="EM89" s="363"/>
      <c r="EN89" s="363" t="str">
        <f>IF(EO89&lt;&gt;"",EO89,"")</f>
        <v/>
      </c>
      <c r="EO89" s="1210"/>
      <c r="EP89" s="363"/>
      <c r="EQ89" s="363" t="str">
        <f>IF(ER89&lt;&gt;"",ER89,"")</f>
        <v/>
      </c>
      <c r="ER89" s="1210"/>
      <c r="ES89" s="363"/>
      <c r="ET89" s="363" t="str">
        <f>IF(EU89&lt;&gt;"",EU89,"")</f>
        <v/>
      </c>
      <c r="EU89" s="1210"/>
      <c r="EV89" s="363"/>
      <c r="EW89" s="363" t="str">
        <f>IF(EX89&lt;&gt;"",EX89,"")</f>
        <v/>
      </c>
      <c r="EX89" s="1210"/>
      <c r="EY89" s="363"/>
      <c r="EZ89" s="363" t="str">
        <f>IF(FA89&lt;&gt;"",FA89,"")</f>
        <v/>
      </c>
      <c r="FA89" s="363"/>
    </row>
    <row r="90" spans="1:157" ht="13.35" customHeight="1" outlineLevel="1">
      <c r="A90" s="5"/>
      <c r="B90" s="5" t="s">
        <v>785</v>
      </c>
      <c r="C90" s="5"/>
      <c r="D90" s="362"/>
      <c r="E90" s="363"/>
      <c r="F90" s="363" t="str">
        <f>IF(G90&lt;&gt;"",G90,"")</f>
        <v/>
      </c>
      <c r="G90" s="363"/>
      <c r="H90" s="363"/>
      <c r="I90" s="363" t="str">
        <f>IF(J90&lt;&gt;"",J90,"")</f>
        <v/>
      </c>
      <c r="J90" s="363"/>
      <c r="K90" s="363"/>
      <c r="L90" s="363" t="str">
        <f>IF(M90&lt;&gt;"",M90,"")</f>
        <v/>
      </c>
      <c r="M90" s="363"/>
      <c r="N90" s="363"/>
      <c r="O90" s="363" t="str">
        <f>IF(P90&lt;&gt;"",P90,"")</f>
        <v/>
      </c>
      <c r="P90" s="363"/>
      <c r="Q90" s="363"/>
      <c r="R90" s="363" t="str">
        <f>IF(S90&lt;&gt;"",S90,"")</f>
        <v/>
      </c>
      <c r="S90" s="363"/>
      <c r="T90" s="363"/>
      <c r="U90" s="363" t="str">
        <f>IF(V90&lt;&gt;"",V90,"")</f>
        <v/>
      </c>
      <c r="V90" s="363"/>
      <c r="W90" s="363"/>
      <c r="X90" s="363" t="str">
        <f>IF(Y90&lt;&gt;"",Y90,"")</f>
        <v/>
      </c>
      <c r="Y90" s="363"/>
      <c r="Z90" s="363"/>
      <c r="AA90" s="363" t="str">
        <f>IF(AB90&lt;&gt;"",AB90,"")</f>
        <v/>
      </c>
      <c r="AB90" s="363"/>
      <c r="AC90" s="363"/>
      <c r="AD90" s="363" t="str">
        <f>IF(AE90&lt;&gt;"",AE90,"")</f>
        <v/>
      </c>
      <c r="AE90" s="363"/>
      <c r="AF90" s="363"/>
      <c r="AG90" s="363" t="str">
        <f>IF(AH90&lt;&gt;"",AH90,"")</f>
        <v/>
      </c>
      <c r="AH90" s="363"/>
      <c r="AI90" s="363"/>
      <c r="AJ90" s="363" t="str">
        <f>IF(AK90&lt;&gt;"",AK90,"")</f>
        <v/>
      </c>
      <c r="AK90" s="363"/>
      <c r="AL90" s="363"/>
      <c r="AM90" s="363" t="str">
        <f>IF(AN90&lt;&gt;"",AN90,"")</f>
        <v/>
      </c>
      <c r="AN90" s="363"/>
      <c r="AO90" s="363"/>
      <c r="AP90" s="363" t="str">
        <f>IF(AQ90&lt;&gt;"",AQ90,"")</f>
        <v/>
      </c>
      <c r="AQ90" s="363"/>
      <c r="AR90" s="363"/>
      <c r="AS90" s="363" t="str">
        <f>IF(AT90&lt;&gt;"",AT90,"")</f>
        <v/>
      </c>
      <c r="AT90" s="363"/>
      <c r="AU90" s="363"/>
      <c r="AV90" s="363" t="str">
        <f>IF(AW90&lt;&gt;"",AW90,"")</f>
        <v/>
      </c>
      <c r="AW90" s="363"/>
      <c r="AX90" s="363"/>
      <c r="AY90" s="363" t="str">
        <f>IF(AZ90&lt;&gt;"",AZ90,"")</f>
        <v/>
      </c>
      <c r="AZ90" s="363"/>
      <c r="BA90" s="363"/>
      <c r="BB90" s="363" t="str">
        <f>IF(BC90&lt;&gt;"",BC90,"")</f>
        <v/>
      </c>
      <c r="BC90" s="363"/>
      <c r="BD90" s="363"/>
      <c r="BE90" s="363" t="str">
        <f>IF(BF90&lt;&gt;"",BF90,"")</f>
        <v/>
      </c>
      <c r="BF90" s="363"/>
      <c r="BG90" s="363"/>
      <c r="BH90" s="363" t="str">
        <f>IF(BI90&lt;&gt;"",BI90,"")</f>
        <v/>
      </c>
      <c r="BI90" s="363"/>
      <c r="BJ90" s="363"/>
      <c r="BK90" s="363" t="str">
        <f>IF(BL90&lt;&gt;"",BL90,"")</f>
        <v/>
      </c>
      <c r="BL90" s="363"/>
      <c r="BM90" s="363"/>
      <c r="BN90" s="363" t="str">
        <f>IF(BO90&lt;&gt;"",BO90,"")</f>
        <v/>
      </c>
      <c r="BO90" s="363"/>
      <c r="BP90" s="363"/>
      <c r="BQ90" s="363" t="str">
        <f>IF(BR90&lt;&gt;"",BR90,"")</f>
        <v/>
      </c>
      <c r="BR90" s="363"/>
      <c r="BS90" s="363"/>
      <c r="BT90" s="363" t="str">
        <f>IF(BU90&lt;&gt;"",BU90,"")</f>
        <v/>
      </c>
      <c r="BU90" s="363"/>
      <c r="BV90" s="363"/>
      <c r="BW90" s="363" t="str">
        <f>IF(BX90&lt;&gt;"",BX90,"")</f>
        <v/>
      </c>
      <c r="BX90" s="363"/>
      <c r="BY90" s="363"/>
      <c r="BZ90" s="363" t="str">
        <f>IF(CA90&lt;&gt;"",CA90,"")</f>
        <v/>
      </c>
      <c r="CA90" s="363"/>
      <c r="CB90" s="363"/>
      <c r="CC90" s="363" t="str">
        <f>IF(CD90&lt;&gt;"",CD90,"")</f>
        <v/>
      </c>
      <c r="CD90" s="363"/>
      <c r="CE90" s="363"/>
      <c r="CF90" s="363" t="str">
        <f>IF(CG90&lt;&gt;"",CG90,"")</f>
        <v/>
      </c>
      <c r="CG90" s="363"/>
      <c r="CH90" s="363"/>
      <c r="CI90" s="363" t="str">
        <f>IF(CJ90&lt;&gt;"",CJ90,"")</f>
        <v/>
      </c>
      <c r="CJ90" s="363"/>
      <c r="CK90" s="363"/>
      <c r="CL90" s="363" t="str">
        <f>IF(CM90&lt;&gt;"",CM90,"")</f>
        <v/>
      </c>
      <c r="CM90" s="363"/>
      <c r="CN90" s="363"/>
      <c r="CO90" s="363" t="str">
        <f>IF(CP90&lt;&gt;"",CP90,"")</f>
        <v/>
      </c>
      <c r="CP90" s="363"/>
      <c r="CQ90" s="363"/>
      <c r="CR90" s="363" t="str">
        <f>IF(CS90&lt;&gt;"",CS90,"")</f>
        <v/>
      </c>
      <c r="CS90" s="363"/>
      <c r="CT90" s="363"/>
      <c r="CU90" s="363" t="str">
        <f>IF(CV90&lt;&gt;"",CV90,"")</f>
        <v/>
      </c>
      <c r="CV90" s="363"/>
      <c r="CW90" s="363"/>
      <c r="CX90" s="363" t="str">
        <f>IF(CY90&lt;&gt;"",CY90,"")</f>
        <v/>
      </c>
      <c r="CY90" s="363"/>
      <c r="CZ90" s="363"/>
      <c r="DA90" s="363" t="str">
        <f>IF(DB90&lt;&gt;"",DB90,"")</f>
        <v/>
      </c>
      <c r="DB90" s="363"/>
      <c r="DC90" s="363"/>
      <c r="DD90" s="363" t="str">
        <f>IF(DE90&lt;&gt;"",DE90,"")</f>
        <v/>
      </c>
      <c r="DE90" s="363"/>
      <c r="DF90" s="363"/>
      <c r="DG90" s="363" t="str">
        <f>IF(DH90&lt;&gt;"",DH90,"")</f>
        <v/>
      </c>
      <c r="DH90" s="363"/>
      <c r="DI90" s="363"/>
      <c r="DJ90" s="363" t="str">
        <f>IF(DK90&lt;&gt;"",DK90,"")</f>
        <v/>
      </c>
      <c r="DK90" s="1210"/>
      <c r="DL90" s="363"/>
      <c r="DM90" s="363" t="str">
        <f>IF(DN90&lt;&gt;"",DN90,"")</f>
        <v/>
      </c>
      <c r="DN90" s="1210"/>
      <c r="DO90" s="363"/>
      <c r="DP90" s="363" t="str">
        <f>IF(DQ90&lt;&gt;"",DQ90,"")</f>
        <v/>
      </c>
      <c r="DQ90" s="1210"/>
      <c r="DR90" s="363"/>
      <c r="DS90" s="363" t="str">
        <f>IF(DT90&lt;&gt;"",DT90,"")</f>
        <v/>
      </c>
      <c r="DT90" s="1210"/>
      <c r="DU90" s="363"/>
      <c r="DV90" s="363" t="str">
        <f>IF(DW90&lt;&gt;"",DW90,"")</f>
        <v/>
      </c>
      <c r="DW90" s="1210"/>
      <c r="DX90" s="363"/>
      <c r="DY90" s="363" t="str">
        <f>IF(DZ90&lt;&gt;"",DZ90,"")</f>
        <v/>
      </c>
      <c r="DZ90" s="1210"/>
      <c r="EA90" s="363"/>
      <c r="EB90" s="363" t="str">
        <f>IF(EC90&lt;&gt;"",EC90,"")</f>
        <v/>
      </c>
      <c r="EC90" s="1210"/>
      <c r="ED90" s="363"/>
      <c r="EE90" s="363" t="str">
        <f>IF(EF90&lt;&gt;"",EF90,"")</f>
        <v/>
      </c>
      <c r="EF90" s="1210"/>
      <c r="EG90" s="363"/>
      <c r="EH90" s="363" t="str">
        <f>IF(EI90&lt;&gt;"",EI90,"")</f>
        <v/>
      </c>
      <c r="EI90" s="1210"/>
      <c r="EJ90" s="363"/>
      <c r="EK90" s="363" t="str">
        <f>IF(EL90&lt;&gt;"",EL90,"")</f>
        <v/>
      </c>
      <c r="EL90" s="1210"/>
      <c r="EM90" s="363"/>
      <c r="EN90" s="363" t="str">
        <f>IF(EO90&lt;&gt;"",EO90,"")</f>
        <v/>
      </c>
      <c r="EO90" s="1210"/>
      <c r="EP90" s="363"/>
      <c r="EQ90" s="363" t="str">
        <f>IF(ER90&lt;&gt;"",ER90,"")</f>
        <v/>
      </c>
      <c r="ER90" s="1210"/>
      <c r="ES90" s="363"/>
      <c r="ET90" s="363" t="str">
        <f>IF(EU90&lt;&gt;"",EU90,"")</f>
        <v/>
      </c>
      <c r="EU90" s="1210"/>
      <c r="EV90" s="363"/>
      <c r="EW90" s="363" t="str">
        <f>IF(EX90&lt;&gt;"",EX90,"")</f>
        <v/>
      </c>
      <c r="EX90" s="1210"/>
      <c r="EY90" s="363"/>
      <c r="EZ90" s="363" t="str">
        <f>IF(FA90&lt;&gt;"",FA90,"")</f>
        <v/>
      </c>
      <c r="FA90" s="363"/>
    </row>
    <row r="91" spans="1:157" ht="13.35" customHeight="1" outlineLevel="1">
      <c r="A91" s="5"/>
      <c r="B91" s="5" t="s">
        <v>540</v>
      </c>
      <c r="C91" s="5"/>
      <c r="D91" s="362"/>
      <c r="E91" s="364">
        <f>IF(Model!E297&lt;&gt;"",Model!E297,"")</f>
        <v>0</v>
      </c>
      <c r="F91" s="364">
        <f>IF(Model!G297&lt;&gt;"",Model!F297,"")</f>
        <v>0</v>
      </c>
      <c r="G91" s="364">
        <f>IF(Model!G297&lt;&gt;"",Model!G297,"")</f>
        <v>0</v>
      </c>
      <c r="H91" s="364">
        <f>IF(Model!H297&lt;&gt;"",Model!H297,"")</f>
        <v>0</v>
      </c>
      <c r="I91" s="364">
        <f>IF(Model!J297&lt;&gt;"",Model!I297,"")</f>
        <v>0</v>
      </c>
      <c r="J91" s="364">
        <f>IF(Model!J297&lt;&gt;"",Model!J297,"")</f>
        <v>0</v>
      </c>
      <c r="K91" s="364">
        <f>IF(Model!K297&lt;&gt;"",Model!K297,"")</f>
        <v>0</v>
      </c>
      <c r="L91" s="364">
        <f>IF(Model!M297&lt;&gt;"",Model!L297,"")</f>
        <v>0</v>
      </c>
      <c r="M91" s="364">
        <f>IF(Model!M297&lt;&gt;"",Model!M297,"")</f>
        <v>0</v>
      </c>
      <c r="N91" s="364">
        <f>IF(Model!N297&lt;&gt;"",Model!N297,"")</f>
        <v>0</v>
      </c>
      <c r="O91" s="364">
        <f>IF(Model!P297&lt;&gt;"",Model!O297,"")</f>
        <v>0</v>
      </c>
      <c r="P91" s="364">
        <f>IF(Model!P297&lt;&gt;"",Model!P297,"")</f>
        <v>0</v>
      </c>
      <c r="Q91" s="364">
        <f>IF(Model!Q297&lt;&gt;"",Model!Q297,"")</f>
        <v>0</v>
      </c>
      <c r="R91" s="364">
        <f>IF(Model!S297&lt;&gt;"",Model!R297,"")</f>
        <v>0</v>
      </c>
      <c r="S91" s="364">
        <f>IF(Model!S297&lt;&gt;"",Model!S297,"")</f>
        <v>0</v>
      </c>
      <c r="T91" s="364">
        <f>IF(Model!T297&lt;&gt;"",Model!T297,"")</f>
        <v>0</v>
      </c>
      <c r="U91" s="364">
        <f>IF(Model!V297&lt;&gt;"",Model!U297,"")</f>
        <v>0</v>
      </c>
      <c r="V91" s="364">
        <f>IF(Model!V297&lt;&gt;"",Model!V297,"")</f>
        <v>0</v>
      </c>
      <c r="W91" s="364">
        <f>IF(Model!W297&lt;&gt;"",Model!W297,"")</f>
        <v>0</v>
      </c>
      <c r="X91" s="364">
        <f>IF(Model!Y297&lt;&gt;"",Model!X297,"")</f>
        <v>0</v>
      </c>
      <c r="Y91" s="364">
        <f>IF(Model!Y297&lt;&gt;"",Model!Y297,"")</f>
        <v>0</v>
      </c>
      <c r="Z91" s="364">
        <f>IF(Model!Z297&lt;&gt;"",Model!Z297,"")</f>
        <v>0</v>
      </c>
      <c r="AA91" s="364">
        <f>IF(Model!AB297&lt;&gt;"",Model!AA297,"")</f>
        <v>0</v>
      </c>
      <c r="AB91" s="364">
        <f>IF(Model!AB297&lt;&gt;"",Model!AB297,"")</f>
        <v>0</v>
      </c>
      <c r="AC91" s="364">
        <f>IF(Model!AC297&lt;&gt;"",Model!AC297,"")</f>
        <v>0</v>
      </c>
      <c r="AD91" s="364">
        <f>IF(Model!AE297&lt;&gt;"",Model!AD297,"")</f>
        <v>0</v>
      </c>
      <c r="AE91" s="364">
        <f>IF(Model!AE297&lt;&gt;"",Model!AE297,"")</f>
        <v>0</v>
      </c>
      <c r="AF91" s="364">
        <f>IF(Model!AF297&lt;&gt;"",Model!AF297,"")</f>
        <v>0</v>
      </c>
      <c r="AG91" s="364">
        <f>IF(Model!AH297&lt;&gt;"",Model!AG297,"")</f>
        <v>0</v>
      </c>
      <c r="AH91" s="364">
        <f>IF(Model!AH297&lt;&gt;"",Model!AH297,"")</f>
        <v>0</v>
      </c>
      <c r="AI91" s="364">
        <f>IF(Model!AI297&lt;&gt;"",Model!AI297,"")</f>
        <v>0.42</v>
      </c>
      <c r="AJ91" s="364">
        <f>IF(Model!AK297&lt;&gt;"",Model!AJ297,"")</f>
        <v>0.56799999999999995</v>
      </c>
      <c r="AK91" s="364">
        <f>IF(Model!AK297&lt;&gt;"",Model!AK297,"")</f>
        <v>0.56799999999999995</v>
      </c>
      <c r="AL91" s="364">
        <f>IF(Model!AL297&lt;&gt;"",Model!AL297,"")</f>
        <v>0.371</v>
      </c>
      <c r="AM91" s="364">
        <f>IF(Model!AN297&lt;&gt;"",Model!AM297,"")</f>
        <v>0.28199999999999997</v>
      </c>
      <c r="AN91" s="364">
        <f>IF(Model!AN297&lt;&gt;"",Model!AN297,"")</f>
        <v>0.28199999999999997</v>
      </c>
      <c r="AO91" s="364">
        <f>IF(Model!AO297&lt;&gt;"",Model!AO297,"")</f>
        <v>0.36499999999999999</v>
      </c>
      <c r="AP91" s="364">
        <f>IF(Model!AQ297&lt;&gt;"",Model!AP297,"")</f>
        <v>0.36499999999999999</v>
      </c>
      <c r="AQ91" s="364">
        <f>IF(Model!AQ297&lt;&gt;"",Model!AQ297,"")</f>
        <v>0.36499999999999999</v>
      </c>
      <c r="AR91" s="364">
        <f>IF(Model!AR297&lt;&gt;"",Model!AR297,"")</f>
        <v>0.36399999999999999</v>
      </c>
      <c r="AS91" s="364">
        <f>IF(Model!AT297&lt;&gt;"",Model!AS297,"")</f>
        <v>0.40899999999999997</v>
      </c>
      <c r="AT91" s="364">
        <f>IF(Model!AT297&lt;&gt;"",Model!AT297,"")</f>
        <v>0.40899999999999997</v>
      </c>
      <c r="AU91" s="364">
        <f>IF(Model!AU297&lt;&gt;"",Model!AU297,"")</f>
        <v>0.44700000000000001</v>
      </c>
      <c r="AV91" s="364">
        <f>IF(Model!AW297&lt;&gt;"",Model!AV297,"")</f>
        <v>0.49099999999999999</v>
      </c>
      <c r="AW91" s="364">
        <f>IF(Model!AW297&lt;&gt;"",Model!AW297,"")</f>
        <v>0.49099999999999999</v>
      </c>
      <c r="AX91" s="364">
        <f>IF(Model!AX297&lt;&gt;"",Model!AX297,"")</f>
        <v>0.52400000000000002</v>
      </c>
      <c r="AY91" s="364">
        <f>IF(Model!AZ297&lt;&gt;"",Model!AY297,"")</f>
        <v>0.54900000000000004</v>
      </c>
      <c r="AZ91" s="364">
        <f>IF(Model!AZ297&lt;&gt;"",Model!AZ297,"")</f>
        <v>0.54900000000000004</v>
      </c>
      <c r="BA91" s="364">
        <f>IF(Model!BA297&lt;&gt;"",Model!BA297,"")</f>
        <v>0.55500000000000005</v>
      </c>
      <c r="BB91" s="364">
        <f>IF(Model!BC297&lt;&gt;"",Model!BB297,"")</f>
        <v>0.61499999999999999</v>
      </c>
      <c r="BC91" s="364">
        <f>IF(Model!BC297&lt;&gt;"",Model!BC297,"")</f>
        <v>0.61499999999999999</v>
      </c>
      <c r="BD91" s="364">
        <f>IF(Model!BD297&lt;&gt;"",Model!BD297,"")</f>
        <v>0.70199999999999996</v>
      </c>
      <c r="BE91" s="364">
        <f>IF(Model!BF297&lt;&gt;"",Model!BE297,"")</f>
        <v>1.64</v>
      </c>
      <c r="BF91" s="364">
        <f>IF(Model!BF297&lt;&gt;"",Model!BF297,"")</f>
        <v>1.64</v>
      </c>
      <c r="BG91" s="364">
        <f>IF(Model!BG297&lt;&gt;"",Model!BG297,"")</f>
        <v>1.6830000000000001</v>
      </c>
      <c r="BH91" s="364">
        <f>IF(Model!BI297&lt;&gt;"",Model!BH297,"")</f>
        <v>1.82</v>
      </c>
      <c r="BI91" s="364">
        <f>IF(Model!BI297&lt;&gt;"",Model!BI297,"")</f>
        <v>1.82</v>
      </c>
      <c r="BJ91" s="364">
        <f>IF(Model!BJ297&lt;&gt;"",Model!BJ297,"")</f>
        <v>13.196</v>
      </c>
      <c r="BK91" s="364">
        <f>IF(Model!BL297&lt;&gt;"",Model!BK297,"")</f>
        <v>3.2559999999999998</v>
      </c>
      <c r="BL91" s="364">
        <f>IF(Model!BL297&lt;&gt;"",Model!BL297,"")</f>
        <v>3.2559999999999998</v>
      </c>
      <c r="BM91" s="364">
        <f>IF(Model!BM297&lt;&gt;"",Model!BM297,"")</f>
        <v>12.779</v>
      </c>
      <c r="BN91" s="364">
        <f>IF(Model!BO297&lt;&gt;"",Model!BN297,"")</f>
        <v>6.1079999999999997</v>
      </c>
      <c r="BO91" s="364">
        <f>IF(Model!BO297&lt;&gt;"",Model!BO297,"")</f>
        <v>6.1079999999999997</v>
      </c>
      <c r="BP91" s="364">
        <f>IF(Model!BP297&lt;&gt;"",Model!BP297,"")</f>
        <v>4.33</v>
      </c>
      <c r="BQ91" s="364">
        <f>IF(Model!BR297&lt;&gt;"",Model!BQ297,"")</f>
        <v>6.4329999999999998</v>
      </c>
      <c r="BR91" s="364">
        <f>IF(Model!BR297&lt;&gt;"",Model!BR297,"")</f>
        <v>6.4329999999999998</v>
      </c>
      <c r="BS91" s="364">
        <f>IF(Model!BS297&lt;&gt;"",Model!BS297,"")</f>
        <v>6.9050000000000002</v>
      </c>
      <c r="BT91" s="364">
        <f>IF(Model!BU297&lt;&gt;"",Model!BT297,"")</f>
        <v>7.8280000000000003</v>
      </c>
      <c r="BU91" s="364">
        <f>IF(Model!BU297&lt;&gt;"",Model!BU297,"")</f>
        <v>7.8280000000000003</v>
      </c>
      <c r="BV91" s="364">
        <f>IF(Model!BV297&lt;&gt;"",Model!BV297,"")</f>
        <v>10.226000000000001</v>
      </c>
      <c r="BW91" s="364">
        <f>IF(Model!BX297&lt;&gt;"",Model!BW297,"")</f>
        <v>8.6329999999999991</v>
      </c>
      <c r="BX91" s="364">
        <f>IF(Model!BX297&lt;&gt;"",Model!BX297,"")</f>
        <v>8.6329999999999991</v>
      </c>
      <c r="BY91" s="364">
        <f>IF(Model!BY297&lt;&gt;"",Model!BY297,"")</f>
        <v>11.684999999999999</v>
      </c>
      <c r="BZ91" s="364">
        <f>IF(Model!CA297&lt;&gt;"",Model!BZ297,"")</f>
        <v>9.3570000000000011</v>
      </c>
      <c r="CA91" s="364">
        <f>IF(Model!CA297&lt;&gt;"",Model!CA297,"")</f>
        <v>9.3570000000000011</v>
      </c>
      <c r="CB91" s="364">
        <f>IF(Model!CB297&lt;&gt;"",Model!CB297,"")</f>
        <v>20.734999999999999</v>
      </c>
      <c r="CC91" s="364">
        <f>IF(Model!CD297&lt;&gt;"",Model!CC297,"")</f>
        <v>11.605</v>
      </c>
      <c r="CD91" s="364">
        <f>IF(Model!CD297&lt;&gt;"",Model!CD297,"")</f>
        <v>11.605</v>
      </c>
      <c r="CE91" s="364">
        <f>IF(Model!CE297&lt;&gt;"",Model!CE297,"")</f>
        <v>11.212999999999999</v>
      </c>
      <c r="CF91" s="364">
        <f>IF(Model!CG297&lt;&gt;"",Model!CF297,"")</f>
        <v>11.263999999999999</v>
      </c>
      <c r="CG91" s="364">
        <f>IF(Model!CG297&lt;&gt;"",Model!CG297,"")</f>
        <v>11.263999999999999</v>
      </c>
      <c r="CH91" s="364">
        <f>IF(Model!CH297&lt;&gt;"",Model!CH297,"")</f>
        <v>39.595999999999997</v>
      </c>
      <c r="CI91" s="364">
        <f>IF(Model!CJ297&lt;&gt;"",Model!CI297,"")</f>
        <v>35.055999999999997</v>
      </c>
      <c r="CJ91" s="364">
        <f>IF(Model!CJ297&lt;&gt;"",Model!CJ297,"")</f>
        <v>35.055999999999997</v>
      </c>
      <c r="CK91" s="364">
        <f>IF(Model!CK297&lt;&gt;"",Model!CK297,"")</f>
        <v>36.276000000000003</v>
      </c>
      <c r="CL91" s="364">
        <f>IF(Model!CM297&lt;&gt;"",Model!CL297,"")</f>
        <v>35.356000000000002</v>
      </c>
      <c r="CM91" s="364">
        <f>IF(Model!CM297&lt;&gt;"",Model!CM297,"")</f>
        <v>35.356000000000002</v>
      </c>
      <c r="CN91" s="364">
        <f>IF(Model!CN297&lt;&gt;"",Model!CN297,"")</f>
        <v>53.463999999999999</v>
      </c>
      <c r="CO91" s="364">
        <f>IF(Model!CP297&lt;&gt;"",Model!CO297,"")</f>
        <v>53.354999999999997</v>
      </c>
      <c r="CP91" s="364">
        <f>IF(Model!CP297&lt;&gt;"",Model!CP297,"")</f>
        <v>53.354999999999997</v>
      </c>
      <c r="CQ91" s="364">
        <f>IF(Model!CQ297&lt;&gt;"",Model!CQ297,"")</f>
        <v>58.150999999999996</v>
      </c>
      <c r="CR91" s="364">
        <f>IF(Model!CS297&lt;&gt;"",Model!CR297,"")</f>
        <v>65.834000000000003</v>
      </c>
      <c r="CS91" s="364">
        <f>IF(Model!CS297&lt;&gt;"",Model!CS297,"")</f>
        <v>65.834000000000003</v>
      </c>
      <c r="CT91" s="364">
        <f>IF(Model!CT297&lt;&gt;"",Model!CT297,"")</f>
        <v>64.146000000000001</v>
      </c>
      <c r="CU91" s="364">
        <f>IF(Model!CV297&lt;&gt;"",Model!CU297,"")</f>
        <v>68.445999999999998</v>
      </c>
      <c r="CV91" s="364">
        <f>IF(Model!CV297&lt;&gt;"",Model!CV297,"")</f>
        <v>68.445999999999998</v>
      </c>
      <c r="CW91" s="364">
        <f>IF(Model!CW297&lt;&gt;"",Model!CW297,"")</f>
        <v>76.14500000000001</v>
      </c>
      <c r="CX91" s="364">
        <f>IF(Model!CY297&lt;&gt;"",Model!CX297,"")</f>
        <v>74.697000000000003</v>
      </c>
      <c r="CY91" s="364">
        <f>IF(Model!CY297&lt;&gt;"",Model!CY297,"")</f>
        <v>74.697000000000003</v>
      </c>
      <c r="CZ91" s="364">
        <f>IF(Model!CZ297&lt;&gt;"",Model!CZ297,"")</f>
        <v>74</v>
      </c>
      <c r="DA91" s="364">
        <f>IF(Model!DB297&lt;&gt;"",Model!DA297,"")</f>
        <v>74.5</v>
      </c>
      <c r="DB91" s="364">
        <f>IF(Model!DB297&lt;&gt;"",Model!DB297,"")</f>
        <v>74.5</v>
      </c>
      <c r="DC91" s="364">
        <f>IF(Model!DC297&lt;&gt;"",Model!DC297,"")</f>
        <v>73.8</v>
      </c>
      <c r="DD91" s="364">
        <f>IF(Model!DE297&lt;&gt;"",Model!DD297,"")</f>
        <v>62.800000000000004</v>
      </c>
      <c r="DE91" s="364">
        <f>IF(Model!DE297&lt;&gt;"",Model!DE297,"")</f>
        <v>62.800000000000004</v>
      </c>
      <c r="DF91" s="364">
        <f>IF(Model!DF297&lt;&gt;"",Model!DF297,"")</f>
        <v>68.7</v>
      </c>
      <c r="DG91" s="364">
        <f>IF(Model!DH297&lt;&gt;"",Model!DG297,"")</f>
        <v>53.7</v>
      </c>
      <c r="DH91" s="364">
        <f>IF(Model!DH297&lt;&gt;"",Model!DH297,"")</f>
        <v>53.7</v>
      </c>
      <c r="DI91" s="364">
        <f>IF(Model!DI297&lt;&gt;"",Model!DI297,"")</f>
        <v>66.900000000000006</v>
      </c>
      <c r="DJ91" s="364">
        <f>IF(Model!DK297&lt;&gt;"",Model!DJ297,"")</f>
        <v>93.7</v>
      </c>
      <c r="DK91" s="1211">
        <f>IF(Model!DK297&lt;&gt;"",Model!DK297,"")</f>
        <v>93.7</v>
      </c>
      <c r="DL91" s="364">
        <f>IF(Model!DL297&lt;&gt;"",Model!DL297,"")</f>
        <v>86</v>
      </c>
      <c r="DM91" s="364">
        <f>IF(Model!DN297&lt;&gt;"",Model!DM297,"")</f>
        <v>62</v>
      </c>
      <c r="DN91" s="1211">
        <f>IF(Model!DN297&lt;&gt;"",Model!DN297,"")</f>
        <v>62</v>
      </c>
      <c r="DO91" s="364">
        <f>IF(Model!DO297&lt;&gt;"",Model!DO297,"")</f>
        <v>62</v>
      </c>
      <c r="DP91" s="364">
        <f>IF(Model!DQ297&lt;&gt;"",Model!DP297,"")</f>
        <v>63.1</v>
      </c>
      <c r="DQ91" s="1211">
        <f>IF(Model!DQ297&lt;&gt;"",Model!DQ297,"")</f>
        <v>63.1</v>
      </c>
      <c r="DR91" s="364">
        <f>IF(Model!DR297&lt;&gt;"",Model!DR297,"")</f>
        <v>54.9</v>
      </c>
      <c r="DS91" s="364">
        <f>IF(Model!DT297&lt;&gt;"",Model!DS297,"")</f>
        <v>62</v>
      </c>
      <c r="DT91" s="1211">
        <f>IF(Model!DT297&lt;&gt;"",Model!DT297,"")</f>
        <v>62</v>
      </c>
      <c r="DU91" s="364">
        <f>IF(Model!DU297&lt;&gt;"",Model!DU297,"")</f>
        <v>68</v>
      </c>
      <c r="DV91" s="364">
        <f>IF(Model!DW297&lt;&gt;"",Model!DV297,"")</f>
        <v>69.3</v>
      </c>
      <c r="DW91" s="1211">
        <f>IF(Model!DW297&lt;&gt;"",Model!DW297,"")</f>
        <v>69.3</v>
      </c>
      <c r="DX91" s="364">
        <f>IF(Model!DX297&lt;&gt;"",Model!DX297,"")</f>
        <v>68.7</v>
      </c>
      <c r="DY91" s="364">
        <f>IF(Model!DZ297&lt;&gt;"",Model!DY297,"")</f>
        <v>68.7</v>
      </c>
      <c r="DZ91" s="1211">
        <f>IF(Model!DZ297&lt;&gt;"",Model!DZ297,"")</f>
        <v>68.7</v>
      </c>
      <c r="EA91" s="364">
        <f>IF(Model!EA297&lt;&gt;"",Model!EA297,"")</f>
        <v>68.7</v>
      </c>
      <c r="EB91" s="364">
        <f>IF(Model!EC297&lt;&gt;"",Model!EB297,"")</f>
        <v>68.7</v>
      </c>
      <c r="EC91" s="1211">
        <f>IF(Model!EC297&lt;&gt;"",Model!EC297,"")</f>
        <v>68.7</v>
      </c>
      <c r="ED91" s="364">
        <f>IF(Model!ED297&lt;&gt;"",Model!ED297,"")</f>
        <v>68.7</v>
      </c>
      <c r="EE91" s="364">
        <f>IF(Model!EF297&lt;&gt;"",Model!EE297,"")</f>
        <v>68.7</v>
      </c>
      <c r="EF91" s="1211">
        <f>IF(Model!EF297&lt;&gt;"",Model!EF297,"")</f>
        <v>68.7</v>
      </c>
      <c r="EG91" s="364">
        <f>IF(Model!EG297&lt;&gt;"",Model!EG297,"")</f>
        <v>68.7</v>
      </c>
      <c r="EH91" s="364">
        <f>IF(Model!EI297&lt;&gt;"",Model!EH297,"")</f>
        <v>68.7</v>
      </c>
      <c r="EI91" s="1211">
        <f>IF(Model!EI297&lt;&gt;"",Model!EI297,"")</f>
        <v>68.7</v>
      </c>
      <c r="EJ91" s="364">
        <f>IF(Model!EJ297&lt;&gt;"",Model!EJ297,"")</f>
        <v>68.7</v>
      </c>
      <c r="EK91" s="364">
        <f>IF(Model!EL297&lt;&gt;"",Model!EK297,"")</f>
        <v>68.7</v>
      </c>
      <c r="EL91" s="1211">
        <f>IF(Model!EL297&lt;&gt;"",Model!EL297,"")</f>
        <v>68.7</v>
      </c>
      <c r="EM91" s="364">
        <f>IF(Model!EM297&lt;&gt;"",Model!EM297,"")</f>
        <v>68.7</v>
      </c>
      <c r="EN91" s="364">
        <f>IF(Model!EO297&lt;&gt;"",Model!EN297,"")</f>
        <v>68.7</v>
      </c>
      <c r="EO91" s="1211">
        <f>IF(Model!EO297&lt;&gt;"",Model!EO297,"")</f>
        <v>68.7</v>
      </c>
      <c r="EP91" s="364">
        <f>IF(Model!EP297&lt;&gt;"",Model!EP297,"")</f>
        <v>68.7</v>
      </c>
      <c r="EQ91" s="364">
        <f>IF(Model!ER297&lt;&gt;"",Model!EQ297,"")</f>
        <v>68.7</v>
      </c>
      <c r="ER91" s="1211">
        <f>IF(Model!ER297&lt;&gt;"",Model!ER297,"")</f>
        <v>68.7</v>
      </c>
      <c r="ES91" s="364">
        <f>IF(Model!ES297&lt;&gt;"",Model!ES297,"")</f>
        <v>68.7</v>
      </c>
      <c r="ET91" s="364">
        <f>IF(Model!EU297&lt;&gt;"",Model!ET297,"")</f>
        <v>68.7</v>
      </c>
      <c r="EU91" s="1211">
        <f>IF(Model!EU297&lt;&gt;"",Model!EU297,"")</f>
        <v>68.7</v>
      </c>
      <c r="EV91" s="364">
        <f>IF(Model!EV297&lt;&gt;"",Model!EV297,"")</f>
        <v>68.7</v>
      </c>
      <c r="EW91" s="364">
        <f>IF(Model!EX297&lt;&gt;"",Model!EW297,"")</f>
        <v>68.7</v>
      </c>
      <c r="EX91" s="1211">
        <f>IF(Model!EX297&lt;&gt;"",Model!EX297,"")</f>
        <v>68.7</v>
      </c>
      <c r="EY91" s="364">
        <f>IF(Model!EY297&lt;&gt;"",Model!EY297,"")</f>
        <v>68.7</v>
      </c>
      <c r="EZ91" s="364">
        <f>IF(Model!FA297&lt;&gt;"",Model!EZ297,"")</f>
        <v>68.7</v>
      </c>
      <c r="FA91" s="364">
        <f>IF(Model!FA297&lt;&gt;"",Model!FA297,"")</f>
        <v>68.7</v>
      </c>
    </row>
    <row r="92" spans="1:157" ht="13.35" customHeight="1" outlineLevel="1">
      <c r="A92" s="5"/>
      <c r="B92" s="5" t="s">
        <v>541</v>
      </c>
      <c r="C92" s="5"/>
      <c r="D92" s="362"/>
      <c r="E92" s="363"/>
      <c r="F92" s="363"/>
      <c r="G92" s="363"/>
      <c r="H92" s="363" t="str">
        <f>IF(AND(G89&lt;&gt;"",H89&lt;&gt;""),(G89+H89)/2,"")</f>
        <v/>
      </c>
      <c r="I92" s="363" t="str">
        <f>IF(AND(H89&lt;&gt;"",I89&lt;&gt;""),(H89+I89)/2,"")</f>
        <v/>
      </c>
      <c r="J92" s="363" t="str">
        <f>IF(AND(G89&lt;&gt;"",J89&lt;&gt;""),(G89+J89)/2,"")</f>
        <v/>
      </c>
      <c r="K92" s="363" t="str">
        <f>IF(AND(J89&lt;&gt;"",K89&lt;&gt;""),(J89+K89)/2,"")</f>
        <v/>
      </c>
      <c r="L92" s="363" t="str">
        <f>IF(AND(K89&lt;&gt;"",L89&lt;&gt;""),(K89+L89)/2,"")</f>
        <v/>
      </c>
      <c r="M92" s="363" t="str">
        <f>IF(AND(J89&lt;&gt;"",M89&lt;&gt;""),(J89+M89)/2,"")</f>
        <v/>
      </c>
      <c r="N92" s="363" t="str">
        <f>IF(AND(M89&lt;&gt;"",N89&lt;&gt;""),(M89+N89)/2,"")</f>
        <v/>
      </c>
      <c r="O92" s="363" t="str">
        <f>IF(AND(N89&lt;&gt;"",O89&lt;&gt;""),(N89+O89)/2,"")</f>
        <v/>
      </c>
      <c r="P92" s="363" t="str">
        <f>IF(AND(M89&lt;&gt;"",P89&lt;&gt;""),(M89+P89)/2,"")</f>
        <v/>
      </c>
      <c r="Q92" s="363" t="str">
        <f>IF(AND(P89&lt;&gt;"",Q89&lt;&gt;""),(P89+Q89)/2,"")</f>
        <v/>
      </c>
      <c r="R92" s="363" t="str">
        <f>IF(AND(Q89&lt;&gt;"",R89&lt;&gt;""),(Q89+R89)/2,"")</f>
        <v/>
      </c>
      <c r="S92" s="363" t="str">
        <f>IF(AND(P89&lt;&gt;"",S89&lt;&gt;""),(P89+S89)/2,"")</f>
        <v/>
      </c>
      <c r="T92" s="363" t="str">
        <f>IF(AND(S89&lt;&gt;"",T89&lt;&gt;""),(S89+T89)/2,"")</f>
        <v/>
      </c>
      <c r="U92" s="363" t="str">
        <f>IF(AND(T89&lt;&gt;"",U89&lt;&gt;""),(T89+U89)/2,"")</f>
        <v/>
      </c>
      <c r="V92" s="363" t="str">
        <f>IF(AND(S89&lt;&gt;"",V89&lt;&gt;""),(S89+V89)/2,"")</f>
        <v/>
      </c>
      <c r="W92" s="363" t="str">
        <f>IF(AND(V89&lt;&gt;"",W89&lt;&gt;""),(V89+W89)/2,"")</f>
        <v/>
      </c>
      <c r="X92" s="363" t="str">
        <f>IF(AND(W89&lt;&gt;"",X89&lt;&gt;""),(W89+X89)/2,"")</f>
        <v/>
      </c>
      <c r="Y92" s="363" t="str">
        <f>IF(AND(V89&lt;&gt;"",Y89&lt;&gt;""),(V89+Y89)/2,"")</f>
        <v/>
      </c>
      <c r="Z92" s="363" t="str">
        <f>IF(AND(Y89&lt;&gt;"",Z89&lt;&gt;""),(Y89+Z89)/2,"")</f>
        <v/>
      </c>
      <c r="AA92" s="363" t="str">
        <f>IF(AND(Z89&lt;&gt;"",AA89&lt;&gt;""),(Z89+AA89)/2,"")</f>
        <v/>
      </c>
      <c r="AB92" s="363" t="str">
        <f>IF(AND(Y89&lt;&gt;"",AB89&lt;&gt;""),(Y89+AB89)/2,"")</f>
        <v/>
      </c>
      <c r="AC92" s="363" t="str">
        <f>IF(AND(AB89&lt;&gt;"",AC89&lt;&gt;""),(AB89+AC89)/2,"")</f>
        <v/>
      </c>
      <c r="AD92" s="363" t="str">
        <f>IF(AND(AC89&lt;&gt;"",AD89&lt;&gt;""),(AC89+AD89)/2,"")</f>
        <v/>
      </c>
      <c r="AE92" s="363" t="str">
        <f>IF(AND(AB89&lt;&gt;"",AE89&lt;&gt;""),(AB89+AE89)/2,"")</f>
        <v/>
      </c>
      <c r="AF92" s="363" t="str">
        <f>IF(AND(AE89&lt;&gt;"",AF89&lt;&gt;""),(AE89+AF89)/2,"")</f>
        <v/>
      </c>
      <c r="AG92" s="363" t="str">
        <f>IF(AND(AF89&lt;&gt;"",AG89&lt;&gt;""),(AF89+AG89)/2,"")</f>
        <v/>
      </c>
      <c r="AH92" s="363" t="str">
        <f>IF(AND(AE89&lt;&gt;"",AH89&lt;&gt;""),(AE89+AH89)/2,"")</f>
        <v/>
      </c>
      <c r="AI92" s="363" t="str">
        <f>IF(AND(AH89&lt;&gt;"",AI89&lt;&gt;""),(AH89+AI89)/2,"")</f>
        <v/>
      </c>
      <c r="AJ92" s="363" t="str">
        <f>IF(AND(AI89&lt;&gt;"",AJ89&lt;&gt;""),(AI89+AJ89)/2,"")</f>
        <v/>
      </c>
      <c r="AK92" s="363" t="str">
        <f>IF(AND(AH89&lt;&gt;"",AK89&lt;&gt;""),(AH89+AK89)/2,"")</f>
        <v/>
      </c>
      <c r="AL92" s="363" t="str">
        <f>IF(AND(AK89&lt;&gt;"",AL89&lt;&gt;""),(AK89+AL89)/2,"")</f>
        <v/>
      </c>
      <c r="AM92" s="363" t="str">
        <f>IF(AND(AL89&lt;&gt;"",AM89&lt;&gt;""),(AL89+AM89)/2,"")</f>
        <v/>
      </c>
      <c r="AN92" s="363" t="str">
        <f>IF(AND(AK89&lt;&gt;"",AN89&lt;&gt;""),(AK89+AN89)/2,"")</f>
        <v/>
      </c>
      <c r="AO92" s="363" t="str">
        <f>IF(AND(AN89&lt;&gt;"",AO89&lt;&gt;""),(AN89+AO89)/2,"")</f>
        <v/>
      </c>
      <c r="AP92" s="363" t="str">
        <f>IF(AND(AO89&lt;&gt;"",AP89&lt;&gt;""),(AO89+AP89)/2,"")</f>
        <v/>
      </c>
      <c r="AQ92" s="363" t="str">
        <f>IF(AND(AN89&lt;&gt;"",AQ89&lt;&gt;""),(AN89+AQ89)/2,"")</f>
        <v/>
      </c>
      <c r="AR92" s="363" t="str">
        <f>IF(AND(AQ89&lt;&gt;"",AR89&lt;&gt;""),(AQ89+AR89)/2,"")</f>
        <v/>
      </c>
      <c r="AS92" s="363" t="str">
        <f>IF(AND(AR89&lt;&gt;"",AS89&lt;&gt;""),(AR89+AS89)/2,"")</f>
        <v/>
      </c>
      <c r="AT92" s="363" t="str">
        <f>IF(AND(AQ89&lt;&gt;"",AT89&lt;&gt;""),(AQ89+AT89)/2,"")</f>
        <v/>
      </c>
      <c r="AU92" s="363" t="str">
        <f>IF(AND(AT89&lt;&gt;"",AU89&lt;&gt;""),(AT89+AU89)/2,"")</f>
        <v/>
      </c>
      <c r="AV92" s="363" t="str">
        <f>IF(AND(AU89&lt;&gt;"",AV89&lt;&gt;""),(AU89+AV89)/2,"")</f>
        <v/>
      </c>
      <c r="AW92" s="363" t="str">
        <f>IF(AND(AT89&lt;&gt;"",AW89&lt;&gt;""),(AT89+AW89)/2,"")</f>
        <v/>
      </c>
      <c r="AX92" s="363" t="str">
        <f>IF(AND(AW89&lt;&gt;"",AX89&lt;&gt;""),(AW89+AX89)/2,"")</f>
        <v/>
      </c>
      <c r="AY92" s="363" t="str">
        <f>IF(AND(AX89&lt;&gt;"",AY89&lt;&gt;""),(AX89+AY89)/2,"")</f>
        <v/>
      </c>
      <c r="AZ92" s="363" t="str">
        <f>IF(AND(AW89&lt;&gt;"",AZ89&lt;&gt;""),(AW89+AZ89)/2,"")</f>
        <v/>
      </c>
      <c r="BA92" s="363" t="str">
        <f>IF(AND(AZ89&lt;&gt;"",BA89&lt;&gt;""),(AZ89+BA89)/2,"")</f>
        <v/>
      </c>
      <c r="BB92" s="363" t="str">
        <f>IF(AND(BA89&lt;&gt;"",BB89&lt;&gt;""),(BA89+BB89)/2,"")</f>
        <v/>
      </c>
      <c r="BC92" s="363" t="str">
        <f>IF(AND(AZ89&lt;&gt;"",BC89&lt;&gt;""),(AZ89+BC89)/2,"")</f>
        <v/>
      </c>
      <c r="BD92" s="363" t="str">
        <f>IF(AND(BC89&lt;&gt;"",BD89&lt;&gt;""),(BC89+BD89)/2,"")</f>
        <v/>
      </c>
      <c r="BE92" s="363" t="str">
        <f>IF(AND(BD89&lt;&gt;"",BE89&lt;&gt;""),(BD89+BE89)/2,"")</f>
        <v/>
      </c>
      <c r="BF92" s="363" t="str">
        <f>IF(AND(BC89&lt;&gt;"",BF89&lt;&gt;""),(BC89+BF89)/2,"")</f>
        <v/>
      </c>
      <c r="BG92" s="363" t="str">
        <f>IF(AND(BF89&lt;&gt;"",BG89&lt;&gt;""),(BF89+BG89)/2,"")</f>
        <v/>
      </c>
      <c r="BH92" s="363" t="str">
        <f>IF(AND(BG89&lt;&gt;"",BH89&lt;&gt;""),(BG89+BH89)/2,"")</f>
        <v/>
      </c>
      <c r="BI92" s="363" t="str">
        <f>IF(AND(BF89&lt;&gt;"",BI89&lt;&gt;""),(BF89+BI89)/2,"")</f>
        <v/>
      </c>
      <c r="BJ92" s="363" t="str">
        <f>IF(AND(BI89&lt;&gt;"",BJ89&lt;&gt;""),(BI89+BJ89)/2,"")</f>
        <v/>
      </c>
      <c r="BK92" s="363" t="str">
        <f>IF(AND(BJ89&lt;&gt;"",BK89&lt;&gt;""),(BJ89+BK89)/2,"")</f>
        <v/>
      </c>
      <c r="BL92" s="363" t="str">
        <f>IF(AND(BI89&lt;&gt;"",BL89&lt;&gt;""),(BI89+BL89)/2,"")</f>
        <v/>
      </c>
      <c r="BM92" s="363" t="str">
        <f>IF(AND(BL89&lt;&gt;"",BM89&lt;&gt;""),(BL89+BM89)/2,"")</f>
        <v/>
      </c>
      <c r="BN92" s="363" t="str">
        <f>IF(AND(BM89&lt;&gt;"",BN89&lt;&gt;""),(BM89+BN89)/2,"")</f>
        <v/>
      </c>
      <c r="BO92" s="363" t="str">
        <f>IF(AND(BL89&lt;&gt;"",BO89&lt;&gt;""),(BL89+BO89)/2,"")</f>
        <v/>
      </c>
      <c r="BP92" s="363" t="str">
        <f>IF(AND(BO89&lt;&gt;"",BP89&lt;&gt;""),(BO89+BP89)/2,"")</f>
        <v/>
      </c>
      <c r="BQ92" s="363" t="str">
        <f>IF(AND(BP89&lt;&gt;"",BQ89&lt;&gt;""),(BP89+BQ89)/2,"")</f>
        <v/>
      </c>
      <c r="BR92" s="363" t="str">
        <f>IF(AND(BO89&lt;&gt;"",BR89&lt;&gt;""),(BO89+BR89)/2,"")</f>
        <v/>
      </c>
      <c r="BS92" s="363" t="str">
        <f>IF(AND(BR89&lt;&gt;"",BS89&lt;&gt;""),(BR89+BS89)/2,"")</f>
        <v/>
      </c>
      <c r="BT92" s="363" t="str">
        <f>IF(AND(BS89&lt;&gt;"",BT89&lt;&gt;""),(BS89+BT89)/2,"")</f>
        <v/>
      </c>
      <c r="BU92" s="363" t="str">
        <f>IF(AND(BR89&lt;&gt;"",BU89&lt;&gt;""),(BR89+BU89)/2,"")</f>
        <v/>
      </c>
      <c r="BV92" s="363" t="str">
        <f>IF(AND(BU89&lt;&gt;"",BV89&lt;&gt;""),(BU89+BV89)/2,"")</f>
        <v/>
      </c>
      <c r="BW92" s="363" t="str">
        <f>IF(AND(BV89&lt;&gt;"",BW89&lt;&gt;""),(BV89+BW89)/2,"")</f>
        <v/>
      </c>
      <c r="BX92" s="363" t="str">
        <f>IF(AND(BU89&lt;&gt;"",BX89&lt;&gt;""),(BU89+BX89)/2,"")</f>
        <v/>
      </c>
      <c r="BY92" s="363" t="str">
        <f>IF(AND(BX89&lt;&gt;"",BY89&lt;&gt;""),(BX89+BY89)/2,"")</f>
        <v/>
      </c>
      <c r="BZ92" s="363" t="str">
        <f>IF(AND(BY89&lt;&gt;"",BZ89&lt;&gt;""),(BY89+BZ89)/2,"")</f>
        <v/>
      </c>
      <c r="CA92" s="363" t="str">
        <f>IF(AND(BX89&lt;&gt;"",CA89&lt;&gt;""),(BX89+CA89)/2,"")</f>
        <v/>
      </c>
      <c r="CB92" s="363" t="str">
        <f>IF(AND(CA89&lt;&gt;"",CB89&lt;&gt;""),(CA89+CB89)/2,"")</f>
        <v/>
      </c>
      <c r="CC92" s="363" t="str">
        <f>IF(AND(CB89&lt;&gt;"",CC89&lt;&gt;""),(CB89+CC89)/2,"")</f>
        <v/>
      </c>
      <c r="CD92" s="363" t="str">
        <f>IF(AND(CA89&lt;&gt;"",CD89&lt;&gt;""),(CA89+CD89)/2,"")</f>
        <v/>
      </c>
      <c r="CE92" s="363" t="str">
        <f>IF(AND(CD89&lt;&gt;"",CE89&lt;&gt;""),(CD89+CE89)/2,"")</f>
        <v/>
      </c>
      <c r="CF92" s="363" t="str">
        <f>IF(AND(CE89&lt;&gt;"",CF89&lt;&gt;""),(CE89+CF89)/2,"")</f>
        <v/>
      </c>
      <c r="CG92" s="363" t="str">
        <f>IF(AND(CD89&lt;&gt;"",CG89&lt;&gt;""),(CD89+CG89)/2,"")</f>
        <v/>
      </c>
      <c r="CH92" s="363" t="str">
        <f>IF(AND(CG89&lt;&gt;"",CH89&lt;&gt;""),(CG89+CH89)/2,"")</f>
        <v/>
      </c>
      <c r="CI92" s="363" t="str">
        <f>IF(AND(CH89&lt;&gt;"",CI89&lt;&gt;""),(CH89+CI89)/2,"")</f>
        <v/>
      </c>
      <c r="CJ92" s="363" t="str">
        <f>IF(AND(CG89&lt;&gt;"",CJ89&lt;&gt;""),(CG89+CJ89)/2,"")</f>
        <v/>
      </c>
      <c r="CK92" s="363" t="str">
        <f>IF(AND(CJ89&lt;&gt;"",CK89&lt;&gt;""),(CJ89+CK89)/2,"")</f>
        <v/>
      </c>
      <c r="CL92" s="363" t="str">
        <f>IF(AND(CK89&lt;&gt;"",CL89&lt;&gt;""),(CK89+CL89)/2,"")</f>
        <v/>
      </c>
      <c r="CM92" s="363" t="str">
        <f>IF(AND(CJ89&lt;&gt;"",CM89&lt;&gt;""),(CJ89+CM89)/2,"")</f>
        <v/>
      </c>
      <c r="CN92" s="363" t="str">
        <f>IF(AND(CM89&lt;&gt;"",CN89&lt;&gt;""),(CM89+CN89)/2,"")</f>
        <v/>
      </c>
      <c r="CO92" s="363" t="str">
        <f>IF(AND(CN89&lt;&gt;"",CO89&lt;&gt;""),(CN89+CO89)/2,"")</f>
        <v/>
      </c>
      <c r="CP92" s="363" t="str">
        <f>IF(AND(CM89&lt;&gt;"",CP89&lt;&gt;""),(CM89+CP89)/2,"")</f>
        <v/>
      </c>
      <c r="CQ92" s="363" t="str">
        <f>IF(AND(CP89&lt;&gt;"",CQ89&lt;&gt;""),(CP89+CQ89)/2,"")</f>
        <v/>
      </c>
      <c r="CR92" s="363" t="str">
        <f>IF(AND(CQ89&lt;&gt;"",CR89&lt;&gt;""),(CQ89+CR89)/2,"")</f>
        <v/>
      </c>
      <c r="CS92" s="363" t="str">
        <f>IF(AND(CP89&lt;&gt;"",CS89&lt;&gt;""),(CP89+CS89)/2,"")</f>
        <v/>
      </c>
      <c r="CT92" s="363" t="str">
        <f>IF(AND(CS89&lt;&gt;"",CT89&lt;&gt;""),(CS89+CT89)/2,"")</f>
        <v/>
      </c>
      <c r="CU92" s="363" t="str">
        <f>IF(AND(CT89&lt;&gt;"",CU89&lt;&gt;""),(CT89+CU89)/2,"")</f>
        <v/>
      </c>
      <c r="CV92" s="363" t="str">
        <f>IF(AND(CS89&lt;&gt;"",CV89&lt;&gt;""),(CS89+CV89)/2,"")</f>
        <v/>
      </c>
      <c r="CW92" s="363" t="str">
        <f>IF(AND(CV89&lt;&gt;"",CW89&lt;&gt;""),(CV89+CW89)/2,"")</f>
        <v/>
      </c>
      <c r="CX92" s="363" t="str">
        <f>IF(AND(CW89&lt;&gt;"",CX89&lt;&gt;""),(CW89+CX89)/2,"")</f>
        <v/>
      </c>
      <c r="CY92" s="363" t="str">
        <f>IF(AND(CV89&lt;&gt;"",CY89&lt;&gt;""),(CV89+CY89)/2,"")</f>
        <v/>
      </c>
      <c r="CZ92" s="363" t="str">
        <f>IF(AND(CY89&lt;&gt;"",CZ89&lt;&gt;""),(CY89+CZ89)/2,"")</f>
        <v/>
      </c>
      <c r="DA92" s="363" t="str">
        <f>IF(AND(CZ89&lt;&gt;"",DA89&lt;&gt;""),(CZ89+DA89)/2,"")</f>
        <v/>
      </c>
      <c r="DB92" s="363" t="str">
        <f>IF(AND(CY89&lt;&gt;"",DB89&lt;&gt;""),(CY89+DB89)/2,"")</f>
        <v/>
      </c>
      <c r="DC92" s="363" t="str">
        <f>IF(AND(DB89&lt;&gt;"",DC89&lt;&gt;""),(DB89+DC89)/2,"")</f>
        <v/>
      </c>
      <c r="DD92" s="363" t="str">
        <f>IF(AND(DC89&lt;&gt;"",DD89&lt;&gt;""),(DC89+DD89)/2,"")</f>
        <v/>
      </c>
      <c r="DE92" s="363" t="str">
        <f>IF(AND(DB89&lt;&gt;"",DE89&lt;&gt;""),(DB89+DE89)/2,"")</f>
        <v/>
      </c>
      <c r="DF92" s="363" t="str">
        <f>IF(AND(DE89&lt;&gt;"",DF89&lt;&gt;""),(DE89+DF89)/2,"")</f>
        <v/>
      </c>
      <c r="DG92" s="363" t="str">
        <f>IF(AND(DF89&lt;&gt;"",DG89&lt;&gt;""),(DF89+DG89)/2,"")</f>
        <v/>
      </c>
      <c r="DH92" s="363" t="str">
        <f>IF(AND(DE89&lt;&gt;"",DH89&lt;&gt;""),(DE89+DH89)/2,"")</f>
        <v/>
      </c>
      <c r="DI92" s="363" t="str">
        <f>IF(AND(DH89&lt;&gt;"",DI89&lt;&gt;""),(DH89+DI89)/2,"")</f>
        <v/>
      </c>
      <c r="DJ92" s="363" t="str">
        <f>IF(AND(DI89&lt;&gt;"",DJ89&lt;&gt;""),(DI89+DJ89)/2,"")</f>
        <v/>
      </c>
      <c r="DK92" s="1210" t="str">
        <f>IF(AND(DH89&lt;&gt;"",DK89&lt;&gt;""),(DH89+DK89)/2,"")</f>
        <v/>
      </c>
      <c r="DL92" s="363" t="str">
        <f>IF(AND(DK89&lt;&gt;"",DL89&lt;&gt;""),(DK89+DL89)/2,"")</f>
        <v/>
      </c>
      <c r="DM92" s="363" t="str">
        <f>IF(AND(DL89&lt;&gt;"",DM89&lt;&gt;""),(DL89+DM89)/2,"")</f>
        <v/>
      </c>
      <c r="DN92" s="1210" t="str">
        <f>IF(AND(DK89&lt;&gt;"",DN89&lt;&gt;""),(DK89+DN89)/2,"")</f>
        <v/>
      </c>
      <c r="DO92" s="363" t="str">
        <f>IF(AND(DN89&lt;&gt;"",DO89&lt;&gt;""),(DN89+DO89)/2,"")</f>
        <v/>
      </c>
      <c r="DP92" s="363" t="str">
        <f>IF(AND(DO89&lt;&gt;"",DP89&lt;&gt;""),(DO89+DP89)/2,"")</f>
        <v/>
      </c>
      <c r="DQ92" s="1210" t="str">
        <f>IF(AND(DN89&lt;&gt;"",DQ89&lt;&gt;""),(DN89+DQ89)/2,"")</f>
        <v/>
      </c>
      <c r="DR92" s="363" t="str">
        <f>IF(AND(DQ89&lt;&gt;"",DR89&lt;&gt;""),(DQ89+DR89)/2,"")</f>
        <v/>
      </c>
      <c r="DS92" s="363" t="str">
        <f>IF(AND(DR89&lt;&gt;"",DS89&lt;&gt;""),(DR89+DS89)/2,"")</f>
        <v/>
      </c>
      <c r="DT92" s="1210" t="str">
        <f>IF(AND(DQ89&lt;&gt;"",DT89&lt;&gt;""),(DQ89+DT89)/2,"")</f>
        <v/>
      </c>
      <c r="DU92" s="363" t="str">
        <f>IF(AND(DT89&lt;&gt;"",DU89&lt;&gt;""),(DT89+DU89)/2,"")</f>
        <v/>
      </c>
      <c r="DV92" s="363" t="str">
        <f>IF(AND(DU89&lt;&gt;"",DV89&lt;&gt;""),(DU89+DV89)/2,"")</f>
        <v/>
      </c>
      <c r="DW92" s="1210" t="str">
        <f>IF(AND(DT89&lt;&gt;"",DW89&lt;&gt;""),(DT89+DW89)/2,"")</f>
        <v/>
      </c>
      <c r="DX92" s="363" t="str">
        <f>IF(AND(DW89&lt;&gt;"",DX89&lt;&gt;""),(DW89+DX89)/2,"")</f>
        <v/>
      </c>
      <c r="DY92" s="363" t="str">
        <f>IF(AND(DX89&lt;&gt;"",DY89&lt;&gt;""),(DX89+DY89)/2,"")</f>
        <v/>
      </c>
      <c r="DZ92" s="1210" t="str">
        <f>IF(AND(DW89&lt;&gt;"",DZ89&lt;&gt;""),(DW89+DZ89)/2,"")</f>
        <v/>
      </c>
      <c r="EA92" s="363" t="str">
        <f>IF(AND(DZ89&lt;&gt;"",EA89&lt;&gt;""),(DZ89+EA89)/2,"")</f>
        <v/>
      </c>
      <c r="EB92" s="363" t="str">
        <f>IF(AND(EA89&lt;&gt;"",EB89&lt;&gt;""),(EA89+EB89)/2,"")</f>
        <v/>
      </c>
      <c r="EC92" s="1210" t="str">
        <f>IF(AND(DZ89&lt;&gt;"",EC89&lt;&gt;""),(DZ89+EC89)/2,"")</f>
        <v/>
      </c>
      <c r="ED92" s="363" t="str">
        <f>IF(AND(EC89&lt;&gt;"",ED89&lt;&gt;""),(EC89+ED89)/2,"")</f>
        <v/>
      </c>
      <c r="EE92" s="363" t="str">
        <f>IF(AND(ED89&lt;&gt;"",EE89&lt;&gt;""),(ED89+EE89)/2,"")</f>
        <v/>
      </c>
      <c r="EF92" s="1210" t="str">
        <f>IF(AND(EC89&lt;&gt;"",EF89&lt;&gt;""),(EC89+EF89)/2,"")</f>
        <v/>
      </c>
      <c r="EG92" s="363" t="str">
        <f>IF(AND(EF89&lt;&gt;"",EG89&lt;&gt;""),(EF89+EG89)/2,"")</f>
        <v/>
      </c>
      <c r="EH92" s="363" t="str">
        <f>IF(AND(EG89&lt;&gt;"",EH89&lt;&gt;""),(EG89+EH89)/2,"")</f>
        <v/>
      </c>
      <c r="EI92" s="1210" t="str">
        <f>IF(AND(EF89&lt;&gt;"",EI89&lt;&gt;""),(EF89+EI89)/2,"")</f>
        <v/>
      </c>
      <c r="EJ92" s="363" t="str">
        <f>IF(AND(EI89&lt;&gt;"",EJ89&lt;&gt;""),(EI89+EJ89)/2,"")</f>
        <v/>
      </c>
      <c r="EK92" s="363" t="str">
        <f>IF(AND(EJ89&lt;&gt;"",EK89&lt;&gt;""),(EJ89+EK89)/2,"")</f>
        <v/>
      </c>
      <c r="EL92" s="1210" t="str">
        <f>IF(AND(EI89&lt;&gt;"",EL89&lt;&gt;""),(EI89+EL89)/2,"")</f>
        <v/>
      </c>
      <c r="EM92" s="363" t="str">
        <f>IF(AND(EL89&lt;&gt;"",EM89&lt;&gt;""),(EL89+EM89)/2,"")</f>
        <v/>
      </c>
      <c r="EN92" s="363" t="str">
        <f>IF(AND(EM89&lt;&gt;"",EN89&lt;&gt;""),(EM89+EN89)/2,"")</f>
        <v/>
      </c>
      <c r="EO92" s="1210" t="str">
        <f>IF(AND(EL89&lt;&gt;"",EO89&lt;&gt;""),(EL89+EO89)/2,"")</f>
        <v/>
      </c>
      <c r="EP92" s="363" t="str">
        <f>IF(AND(EO89&lt;&gt;"",EP89&lt;&gt;""),(EO89+EP89)/2,"")</f>
        <v/>
      </c>
      <c r="EQ92" s="363" t="str">
        <f>IF(AND(EP89&lt;&gt;"",EQ89&lt;&gt;""),(EP89+EQ89)/2,"")</f>
        <v/>
      </c>
      <c r="ER92" s="1210" t="str">
        <f>IF(AND(EO89&lt;&gt;"",ER89&lt;&gt;""),(EO89+ER89)/2,"")</f>
        <v/>
      </c>
      <c r="ES92" s="363" t="str">
        <f>IF(AND(ER89&lt;&gt;"",ES89&lt;&gt;""),(ER89+ES89)/2,"")</f>
        <v/>
      </c>
      <c r="ET92" s="363" t="str">
        <f>IF(AND(ES89&lt;&gt;"",ET89&lt;&gt;""),(ES89+ET89)/2,"")</f>
        <v/>
      </c>
      <c r="EU92" s="1210" t="str">
        <f>IF(AND(ER89&lt;&gt;"",EU89&lt;&gt;""),(ER89+EU89)/2,"")</f>
        <v/>
      </c>
      <c r="EV92" s="363" t="str">
        <f>IF(AND(EU89&lt;&gt;"",EV89&lt;&gt;""),(EU89+EV89)/2,"")</f>
        <v/>
      </c>
      <c r="EW92" s="363" t="str">
        <f>IF(AND(EV89&lt;&gt;"",EW89&lt;&gt;""),(EV89+EW89)/2,"")</f>
        <v/>
      </c>
      <c r="EX92" s="1210" t="str">
        <f>IF(AND(EU89&lt;&gt;"",EX89&lt;&gt;""),(EU89+EX89)/2,"")</f>
        <v/>
      </c>
      <c r="EY92" s="363" t="str">
        <f>IF(AND(EX89&lt;&gt;"",EY89&lt;&gt;""),(EX89+EY89)/2,"")</f>
        <v/>
      </c>
      <c r="EZ92" s="363" t="str">
        <f>IF(AND(EY89&lt;&gt;"",EZ89&lt;&gt;""),(EY89+EZ89)/2,"")</f>
        <v/>
      </c>
      <c r="FA92" s="363" t="str">
        <f>IF(AND(EX89&lt;&gt;"",FA89&lt;&gt;""),(EX89+FA89)/2,"")</f>
        <v/>
      </c>
    </row>
    <row r="93" spans="1:157" ht="13.35" customHeight="1" outlineLevel="1">
      <c r="A93" s="5"/>
      <c r="B93" s="5" t="s">
        <v>542</v>
      </c>
      <c r="C93" s="5"/>
      <c r="D93" s="362"/>
      <c r="E93" s="363"/>
      <c r="F93" s="363"/>
      <c r="G93" s="363"/>
      <c r="H93" s="363">
        <f>IF(AND(G91&lt;&gt;"",H91&lt;&gt;""),(G91+H91)/2,"")</f>
        <v>0</v>
      </c>
      <c r="I93" s="363">
        <f>IF(AND(H91&lt;&gt;"",I91&lt;&gt;""),(H91+I91)/2,"")</f>
        <v>0</v>
      </c>
      <c r="J93" s="363">
        <f>IF(AND(G91&lt;&gt;"",J91&lt;&gt;""),(G91+J91)/2,"")</f>
        <v>0</v>
      </c>
      <c r="K93" s="363">
        <f>IF(AND(J91&lt;&gt;"",K91&lt;&gt;""),(J91+K91)/2,"")</f>
        <v>0</v>
      </c>
      <c r="L93" s="363">
        <f>IF(AND(K91&lt;&gt;"",L91&lt;&gt;""),(K91+L91)/2,"")</f>
        <v>0</v>
      </c>
      <c r="M93" s="363">
        <f>IF(AND(J91&lt;&gt;"",M91&lt;&gt;""),(J91+M91)/2,"")</f>
        <v>0</v>
      </c>
      <c r="N93" s="363">
        <f>IF(AND(M91&lt;&gt;"",N91&lt;&gt;""),(M91+N91)/2,"")</f>
        <v>0</v>
      </c>
      <c r="O93" s="363">
        <f>IF(AND(N91&lt;&gt;"",O91&lt;&gt;""),(N91+O91)/2,"")</f>
        <v>0</v>
      </c>
      <c r="P93" s="363">
        <f>IF(AND(M91&lt;&gt;"",P91&lt;&gt;""),(M91+P91)/2,"")</f>
        <v>0</v>
      </c>
      <c r="Q93" s="363">
        <f>IF(AND(P91&lt;&gt;"",Q91&lt;&gt;""),(P91+Q91)/2,"")</f>
        <v>0</v>
      </c>
      <c r="R93" s="363">
        <f>IF(AND(Q91&lt;&gt;"",R91&lt;&gt;""),(Q91+R91)/2,"")</f>
        <v>0</v>
      </c>
      <c r="S93" s="363">
        <f>IF(AND(P91&lt;&gt;"",S91&lt;&gt;""),(P91+S91)/2,"")</f>
        <v>0</v>
      </c>
      <c r="T93" s="363">
        <f>IF(AND(S91&lt;&gt;"",T91&lt;&gt;""),(S91+T91)/2,"")</f>
        <v>0</v>
      </c>
      <c r="U93" s="363">
        <f>IF(AND(T91&lt;&gt;"",U91&lt;&gt;""),(T91+U91)/2,"")</f>
        <v>0</v>
      </c>
      <c r="V93" s="363">
        <f>IF(AND(S91&lt;&gt;"",V91&lt;&gt;""),(S91+V91)/2,"")</f>
        <v>0</v>
      </c>
      <c r="W93" s="363">
        <f>IF(AND(V91&lt;&gt;"",W91&lt;&gt;""),(V91+W91)/2,"")</f>
        <v>0</v>
      </c>
      <c r="X93" s="363">
        <f>IF(AND(W91&lt;&gt;"",X91&lt;&gt;""),(W91+X91)/2,"")</f>
        <v>0</v>
      </c>
      <c r="Y93" s="363">
        <f>IF(AND(V91&lt;&gt;"",Y91&lt;&gt;""),(V91+Y91)/2,"")</f>
        <v>0</v>
      </c>
      <c r="Z93" s="363">
        <f>IF(AND(Y91&lt;&gt;"",Z91&lt;&gt;""),(Y91+Z91)/2,"")</f>
        <v>0</v>
      </c>
      <c r="AA93" s="363">
        <f>IF(AND(Z91&lt;&gt;"",AA91&lt;&gt;""),(Z91+AA91)/2,"")</f>
        <v>0</v>
      </c>
      <c r="AB93" s="363">
        <f>IF(AND(Y91&lt;&gt;"",AB91&lt;&gt;""),(Y91+AB91)/2,"")</f>
        <v>0</v>
      </c>
      <c r="AC93" s="363">
        <f>IF(AND(AB91&lt;&gt;"",AC91&lt;&gt;""),(AB91+AC91)/2,"")</f>
        <v>0</v>
      </c>
      <c r="AD93" s="363">
        <f>IF(AND(AC91&lt;&gt;"",AD91&lt;&gt;""),(AC91+AD91)/2,"")</f>
        <v>0</v>
      </c>
      <c r="AE93" s="363">
        <f>IF(AND(AB91&lt;&gt;"",AE91&lt;&gt;""),(AB91+AE91)/2,"")</f>
        <v>0</v>
      </c>
      <c r="AF93" s="363">
        <f>IF(AND(AE91&lt;&gt;"",AF91&lt;&gt;""),(AE91+AF91)/2,"")</f>
        <v>0</v>
      </c>
      <c r="AG93" s="363">
        <f>IF(AND(AF91&lt;&gt;"",AG91&lt;&gt;""),(AF91+AG91)/2,"")</f>
        <v>0</v>
      </c>
      <c r="AH93" s="363">
        <f>IF(AND(AE91&lt;&gt;"",AH91&lt;&gt;""),(AE91+AH91)/2,"")</f>
        <v>0</v>
      </c>
      <c r="AI93" s="363">
        <f>IF(AND(AH91&lt;&gt;"",AI91&lt;&gt;""),(AH91+AI91)/2,"")</f>
        <v>0.21</v>
      </c>
      <c r="AJ93" s="363">
        <f>IF(AND(AI91&lt;&gt;"",AJ91&lt;&gt;""),(AI91+AJ91)/2,"")</f>
        <v>0.49399999999999999</v>
      </c>
      <c r="AK93" s="363">
        <f>IF(AND(AH91&lt;&gt;"",AK91&lt;&gt;""),(AH91+AK91)/2,"")</f>
        <v>0.28399999999999997</v>
      </c>
      <c r="AL93" s="363">
        <f>IF(AND(AK91&lt;&gt;"",AL91&lt;&gt;""),(AK91+AL91)/2,"")</f>
        <v>0.46949999999999997</v>
      </c>
      <c r="AM93" s="363">
        <f>IF(AND(AL91&lt;&gt;"",AM91&lt;&gt;""),(AL91+AM91)/2,"")</f>
        <v>0.32650000000000001</v>
      </c>
      <c r="AN93" s="363">
        <f>IF(AND(AK91&lt;&gt;"",AN91&lt;&gt;""),(AK91+AN91)/2,"")</f>
        <v>0.42499999999999993</v>
      </c>
      <c r="AO93" s="363">
        <f>IF(AND(AN91&lt;&gt;"",AO91&lt;&gt;""),(AN91+AO91)/2,"")</f>
        <v>0.32350000000000001</v>
      </c>
      <c r="AP93" s="363">
        <f>IF(AND(AO91&lt;&gt;"",AP91&lt;&gt;""),(AO91+AP91)/2,"")</f>
        <v>0.36499999999999999</v>
      </c>
      <c r="AQ93" s="363">
        <f>IF(AND(AN91&lt;&gt;"",AQ91&lt;&gt;""),(AN91+AQ91)/2,"")</f>
        <v>0.32350000000000001</v>
      </c>
      <c r="AR93" s="363">
        <f>IF(AND(AQ91&lt;&gt;"",AR91&lt;&gt;""),(AQ91+AR91)/2,"")</f>
        <v>0.36449999999999999</v>
      </c>
      <c r="AS93" s="363">
        <f>IF(AND(AR91&lt;&gt;"",AS91&lt;&gt;""),(AR91+AS91)/2,"")</f>
        <v>0.38649999999999995</v>
      </c>
      <c r="AT93" s="363">
        <f>IF(AND(AQ91&lt;&gt;"",AT91&lt;&gt;""),(AQ91+AT91)/2,"")</f>
        <v>0.38700000000000001</v>
      </c>
      <c r="AU93" s="363">
        <f>IF(AND(AT91&lt;&gt;"",AU91&lt;&gt;""),(AT91+AU91)/2,"")</f>
        <v>0.42799999999999999</v>
      </c>
      <c r="AV93" s="363">
        <f>IF(AND(AU91&lt;&gt;"",AV91&lt;&gt;""),(AU91+AV91)/2,"")</f>
        <v>0.46899999999999997</v>
      </c>
      <c r="AW93" s="363">
        <f>IF(AND(AT91&lt;&gt;"",AW91&lt;&gt;""),(AT91+AW91)/2,"")</f>
        <v>0.44999999999999996</v>
      </c>
      <c r="AX93" s="363">
        <f>IF(AND(AW91&lt;&gt;"",AX91&lt;&gt;""),(AW91+AX91)/2,"")</f>
        <v>0.50750000000000006</v>
      </c>
      <c r="AY93" s="363">
        <f>IF(AND(AX91&lt;&gt;"",AY91&lt;&gt;""),(AX91+AY91)/2,"")</f>
        <v>0.53649999999999998</v>
      </c>
      <c r="AZ93" s="363">
        <f>IF(AND(AW91&lt;&gt;"",AZ91&lt;&gt;""),(AW91+AZ91)/2,"")</f>
        <v>0.52</v>
      </c>
      <c r="BA93" s="363">
        <f>IF(AND(AZ91&lt;&gt;"",BA91&lt;&gt;""),(AZ91+BA91)/2,"")</f>
        <v>0.55200000000000005</v>
      </c>
      <c r="BB93" s="363">
        <f>IF(AND(BA91&lt;&gt;"",BB91&lt;&gt;""),(BA91+BB91)/2,"")</f>
        <v>0.58499999999999996</v>
      </c>
      <c r="BC93" s="363">
        <f>IF(AND(AZ91&lt;&gt;"",BC91&lt;&gt;""),(AZ91+BC91)/2,"")</f>
        <v>0.58200000000000007</v>
      </c>
      <c r="BD93" s="363">
        <f>IF(AND(BC91&lt;&gt;"",BD91&lt;&gt;""),(BC91+BD91)/2,"")</f>
        <v>0.65849999999999997</v>
      </c>
      <c r="BE93" s="363">
        <f>IF(AND(BD91&lt;&gt;"",BE91&lt;&gt;""),(BD91+BE91)/2,"")</f>
        <v>1.1709999999999998</v>
      </c>
      <c r="BF93" s="363">
        <f>IF(AND(BC91&lt;&gt;"",BF91&lt;&gt;""),(BC91+BF91)/2,"")</f>
        <v>1.1274999999999999</v>
      </c>
      <c r="BG93" s="363">
        <f>IF(AND(BF91&lt;&gt;"",BG91&lt;&gt;""),(BF91+BG91)/2,"")</f>
        <v>1.6615</v>
      </c>
      <c r="BH93" s="363">
        <f>IF(AND(BG91&lt;&gt;"",BH91&lt;&gt;""),(BG91+BH91)/2,"")</f>
        <v>1.7515000000000001</v>
      </c>
      <c r="BI93" s="363">
        <f>IF(AND(BF91&lt;&gt;"",BI91&lt;&gt;""),(BF91+BI91)/2,"")</f>
        <v>1.73</v>
      </c>
      <c r="BJ93" s="363">
        <f>IF(AND(BI91&lt;&gt;"",BJ91&lt;&gt;""),(BI91+BJ91)/2,"")</f>
        <v>7.508</v>
      </c>
      <c r="BK93" s="363">
        <f>IF(AND(BJ91&lt;&gt;"",BK91&lt;&gt;""),(BJ91+BK91)/2,"")</f>
        <v>8.2259999999999991</v>
      </c>
      <c r="BL93" s="363">
        <f>IF(AND(BI91&lt;&gt;"",BL91&lt;&gt;""),(BI91+BL91)/2,"")</f>
        <v>2.5379999999999998</v>
      </c>
      <c r="BM93" s="363">
        <f>IF(AND(BL91&lt;&gt;"",BM91&lt;&gt;""),(BL91+BM91)/2,"")</f>
        <v>8.0175000000000001</v>
      </c>
      <c r="BN93" s="363">
        <f>IF(AND(BM91&lt;&gt;"",BN91&lt;&gt;""),(BM91+BN91)/2,"")</f>
        <v>9.4435000000000002</v>
      </c>
      <c r="BO93" s="363">
        <f>IF(AND(BL91&lt;&gt;"",BO91&lt;&gt;""),(BL91+BO91)/2,"")</f>
        <v>4.6819999999999995</v>
      </c>
      <c r="BP93" s="363">
        <f>IF(AND(BO91&lt;&gt;"",BP91&lt;&gt;""),(BO91+BP91)/2,"")</f>
        <v>5.2189999999999994</v>
      </c>
      <c r="BQ93" s="363">
        <f>IF(AND(BP91&lt;&gt;"",BQ91&lt;&gt;""),(BP91+BQ91)/2,"")</f>
        <v>5.3815</v>
      </c>
      <c r="BR93" s="363">
        <f>IF(AND(BO91&lt;&gt;"",BR91&lt;&gt;""),(BO91+BR91)/2,"")</f>
        <v>6.2705000000000002</v>
      </c>
      <c r="BS93" s="363">
        <f>IF(AND(BR91&lt;&gt;"",BS91&lt;&gt;""),(BR91+BS91)/2,"")</f>
        <v>6.6690000000000005</v>
      </c>
      <c r="BT93" s="363">
        <f>IF(AND(BS91&lt;&gt;"",BT91&lt;&gt;""),(BS91+BT91)/2,"")</f>
        <v>7.3665000000000003</v>
      </c>
      <c r="BU93" s="363">
        <f>IF(AND(BR91&lt;&gt;"",BU91&lt;&gt;""),(BR91+BU91)/2,"")</f>
        <v>7.1304999999999996</v>
      </c>
      <c r="BV93" s="363">
        <f>IF(AND(BU91&lt;&gt;"",BV91&lt;&gt;""),(BU91+BV91)/2,"")</f>
        <v>9.027000000000001</v>
      </c>
      <c r="BW93" s="363">
        <f>IF(AND(BV91&lt;&gt;"",BW91&lt;&gt;""),(BV91+BW91)/2,"")</f>
        <v>9.4295000000000009</v>
      </c>
      <c r="BX93" s="363">
        <f>IF(AND(BU91&lt;&gt;"",BX91&lt;&gt;""),(BU91+BX91)/2,"")</f>
        <v>8.2304999999999993</v>
      </c>
      <c r="BY93" s="363">
        <f>IF(AND(BX91&lt;&gt;"",BY91&lt;&gt;""),(BX91+BY91)/2,"")</f>
        <v>10.158999999999999</v>
      </c>
      <c r="BZ93" s="363">
        <f>IF(AND(BY91&lt;&gt;"",BZ91&lt;&gt;""),(BY91+BZ91)/2,"")</f>
        <v>10.521000000000001</v>
      </c>
      <c r="CA93" s="363">
        <f>IF(AND(BX91&lt;&gt;"",CA91&lt;&gt;""),(BX91+CA91)/2,"")</f>
        <v>8.995000000000001</v>
      </c>
      <c r="CB93" s="363">
        <f>IF(AND(CA91&lt;&gt;"",CB91&lt;&gt;""),(CA91+CB91)/2,"")</f>
        <v>15.045999999999999</v>
      </c>
      <c r="CC93" s="363">
        <f>IF(AND(CB91&lt;&gt;"",CC91&lt;&gt;""),(CB91+CC91)/2,"")</f>
        <v>16.170000000000002</v>
      </c>
      <c r="CD93" s="363">
        <f>IF(AND(CA91&lt;&gt;"",CD91&lt;&gt;""),(CA91+CD91)/2,"")</f>
        <v>10.481000000000002</v>
      </c>
      <c r="CE93" s="363">
        <f>IF(AND(CD91&lt;&gt;"",CE91&lt;&gt;""),(CD91+CE91)/2,"")</f>
        <v>11.408999999999999</v>
      </c>
      <c r="CF93" s="363">
        <f>IF(AND(CE91&lt;&gt;"",CF91&lt;&gt;""),(CE91+CF91)/2,"")</f>
        <v>11.238499999999998</v>
      </c>
      <c r="CG93" s="363">
        <f>IF(AND(CD91&lt;&gt;"",CG91&lt;&gt;""),(CD91+CG91)/2,"")</f>
        <v>11.4345</v>
      </c>
      <c r="CH93" s="363">
        <f>IF(AND(CG91&lt;&gt;"",CH91&lt;&gt;""),(CG91+CH91)/2,"")</f>
        <v>25.43</v>
      </c>
      <c r="CI93" s="363">
        <f>IF(AND(CH91&lt;&gt;"",CI91&lt;&gt;""),(CH91+CI91)/2,"")</f>
        <v>37.325999999999993</v>
      </c>
      <c r="CJ93" s="363">
        <f>IF(AND(CG91&lt;&gt;"",CJ91&lt;&gt;""),(CG91+CJ91)/2,"")</f>
        <v>23.159999999999997</v>
      </c>
      <c r="CK93" s="363">
        <f>IF(AND(CJ91&lt;&gt;"",CK91&lt;&gt;""),(CJ91+CK91)/2,"")</f>
        <v>35.665999999999997</v>
      </c>
      <c r="CL93" s="363">
        <f>IF(AND(CK91&lt;&gt;"",CL91&lt;&gt;""),(CK91+CL91)/2,"")</f>
        <v>35.816000000000003</v>
      </c>
      <c r="CM93" s="363">
        <f>IF(AND(CJ91&lt;&gt;"",CM91&lt;&gt;""),(CJ91+CM91)/2,"")</f>
        <v>35.206000000000003</v>
      </c>
      <c r="CN93" s="363">
        <f>IF(AND(CM91&lt;&gt;"",CN91&lt;&gt;""),(CM91+CN91)/2,"")</f>
        <v>44.41</v>
      </c>
      <c r="CO93" s="363">
        <f>IF(AND(CN91&lt;&gt;"",CO91&lt;&gt;""),(CN91+CO91)/2,"")</f>
        <v>53.409499999999994</v>
      </c>
      <c r="CP93" s="363">
        <f>IF(AND(CM91&lt;&gt;"",CP91&lt;&gt;""),(CM91+CP91)/2,"")</f>
        <v>44.355499999999999</v>
      </c>
      <c r="CQ93" s="363">
        <f>IF(AND(CP91&lt;&gt;"",CQ91&lt;&gt;""),(CP91+CQ91)/2,"")</f>
        <v>55.753</v>
      </c>
      <c r="CR93" s="363">
        <f>IF(AND(CQ91&lt;&gt;"",CR91&lt;&gt;""),(CQ91+CR91)/2,"")</f>
        <v>61.9925</v>
      </c>
      <c r="CS93" s="363">
        <f>IF(AND(CP91&lt;&gt;"",CS91&lt;&gt;""),(CP91+CS91)/2,"")</f>
        <v>59.594499999999996</v>
      </c>
      <c r="CT93" s="363">
        <f>IF(AND(CS91&lt;&gt;"",CT91&lt;&gt;""),(CS91+CT91)/2,"")</f>
        <v>64.990000000000009</v>
      </c>
      <c r="CU93" s="363">
        <f>IF(AND(CT91&lt;&gt;"",CU91&lt;&gt;""),(CT91+CU91)/2,"")</f>
        <v>66.295999999999992</v>
      </c>
      <c r="CV93" s="363">
        <f>IF(AND(CS91&lt;&gt;"",CV91&lt;&gt;""),(CS91+CV91)/2,"")</f>
        <v>67.14</v>
      </c>
      <c r="CW93" s="363">
        <f>IF(AND(CV91&lt;&gt;"",CW91&lt;&gt;""),(CV91+CW91)/2,"")</f>
        <v>72.295500000000004</v>
      </c>
      <c r="CX93" s="363">
        <f>IF(AND(CW91&lt;&gt;"",CX91&lt;&gt;""),(CW91+CX91)/2,"")</f>
        <v>75.421000000000006</v>
      </c>
      <c r="CY93" s="363">
        <f>IF(AND(CV91&lt;&gt;"",CY91&lt;&gt;""),(CV91+CY91)/2,"")</f>
        <v>71.5715</v>
      </c>
      <c r="CZ93" s="363">
        <f>IF(AND(CY91&lt;&gt;"",CZ91&lt;&gt;""),(CY91+CZ91)/2,"")</f>
        <v>74.348500000000001</v>
      </c>
      <c r="DA93" s="363">
        <f>IF(AND(CZ91&lt;&gt;"",DA91&lt;&gt;""),(CZ91+DA91)/2,"")</f>
        <v>74.25</v>
      </c>
      <c r="DB93" s="363">
        <f>IF(AND(CY91&lt;&gt;"",DB91&lt;&gt;""),(CY91+DB91)/2,"")</f>
        <v>74.598500000000001</v>
      </c>
      <c r="DC93" s="363">
        <f>IF(AND(DB91&lt;&gt;"",DC91&lt;&gt;""),(DB91+DC91)/2,"")</f>
        <v>74.150000000000006</v>
      </c>
      <c r="DD93" s="363">
        <f>IF(AND(DC91&lt;&gt;"",DD91&lt;&gt;""),(DC91+DD91)/2,"")</f>
        <v>68.3</v>
      </c>
      <c r="DE93" s="363">
        <f>IF(AND(DB91&lt;&gt;"",DE91&lt;&gt;""),(DB91+DE91)/2,"")</f>
        <v>68.650000000000006</v>
      </c>
      <c r="DF93" s="363">
        <f>IF(AND(DE91&lt;&gt;"",DF91&lt;&gt;""),(DE91+DF91)/2,"")</f>
        <v>65.75</v>
      </c>
      <c r="DG93" s="363">
        <f>IF(AND(DF91&lt;&gt;"",DG91&lt;&gt;""),(DF91+DG91)/2,"")</f>
        <v>61.2</v>
      </c>
      <c r="DH93" s="363">
        <f>IF(AND(DE91&lt;&gt;"",DH91&lt;&gt;""),(DE91+DH91)/2,"")</f>
        <v>58.25</v>
      </c>
      <c r="DI93" s="363">
        <f>IF(AND(DH91&lt;&gt;"",DI91&lt;&gt;""),(DH91+DI91)/2,"")</f>
        <v>60.300000000000004</v>
      </c>
      <c r="DJ93" s="363">
        <f>IF(AND(DI91&lt;&gt;"",DJ91&lt;&gt;""),(DI91+DJ91)/2,"")</f>
        <v>80.300000000000011</v>
      </c>
      <c r="DK93" s="1210">
        <f>IF(AND(DH91&lt;&gt;"",DK91&lt;&gt;""),(DH91+DK91)/2,"")</f>
        <v>73.7</v>
      </c>
      <c r="DL93" s="363">
        <f>IF(AND(DK91&lt;&gt;"",DL91&lt;&gt;""),(DK91+DL91)/2,"")</f>
        <v>89.85</v>
      </c>
      <c r="DM93" s="363">
        <f>IF(AND(DL91&lt;&gt;"",DM91&lt;&gt;""),(DL91+DM91)/2,"")</f>
        <v>74</v>
      </c>
      <c r="DN93" s="1210">
        <f>IF(AND(DK91&lt;&gt;"",DN91&lt;&gt;""),(DK91+DN91)/2,"")</f>
        <v>77.849999999999994</v>
      </c>
      <c r="DO93" s="363">
        <f>IF(AND(DN91&lt;&gt;"",DO91&lt;&gt;""),(DN91+DO91)/2,"")</f>
        <v>62</v>
      </c>
      <c r="DP93" s="363">
        <f>IF(AND(DO91&lt;&gt;"",DP91&lt;&gt;""),(DO91+DP91)/2,"")</f>
        <v>62.55</v>
      </c>
      <c r="DQ93" s="1210">
        <f>IF(AND(DN91&lt;&gt;"",DQ91&lt;&gt;""),(DN91+DQ91)/2,"")</f>
        <v>62.55</v>
      </c>
      <c r="DR93" s="363">
        <f>IF(AND(DQ91&lt;&gt;"",DR91&lt;&gt;""),(DQ91+DR91)/2,"")</f>
        <v>59</v>
      </c>
      <c r="DS93" s="363">
        <f>IF(AND(DR91&lt;&gt;"",DS91&lt;&gt;""),(DR91+DS91)/2,"")</f>
        <v>58.45</v>
      </c>
      <c r="DT93" s="1210">
        <f>IF(AND(DQ91&lt;&gt;"",DT91&lt;&gt;""),(DQ91+DT91)/2,"")</f>
        <v>62.55</v>
      </c>
      <c r="DU93" s="363">
        <f>IF(AND(DT91&lt;&gt;"",DU91&lt;&gt;""),(DT91+DU91)/2,"")</f>
        <v>65</v>
      </c>
      <c r="DV93" s="363">
        <f>IF(AND(DU91&lt;&gt;"",DV91&lt;&gt;""),(DU91+DV91)/2,"")</f>
        <v>68.650000000000006</v>
      </c>
      <c r="DW93" s="1210">
        <f>IF(AND(DT91&lt;&gt;"",DW91&lt;&gt;""),(DT91+DW91)/2,"")</f>
        <v>65.650000000000006</v>
      </c>
      <c r="DX93" s="363">
        <f>IF(AND(DW91&lt;&gt;"",DX91&lt;&gt;""),(DW91+DX91)/2,"")</f>
        <v>69</v>
      </c>
      <c r="DY93" s="363">
        <f>IF(AND(DX91&lt;&gt;"",DY91&lt;&gt;""),(DX91+DY91)/2,"")</f>
        <v>68.7</v>
      </c>
      <c r="DZ93" s="1210">
        <f>IF(AND(DW91&lt;&gt;"",DZ91&lt;&gt;""),(DW91+DZ91)/2,"")</f>
        <v>69</v>
      </c>
      <c r="EA93" s="363">
        <f>IF(AND(DZ91&lt;&gt;"",EA91&lt;&gt;""),(DZ91+EA91)/2,"")</f>
        <v>68.7</v>
      </c>
      <c r="EB93" s="363">
        <f>IF(AND(EA91&lt;&gt;"",EB91&lt;&gt;""),(EA91+EB91)/2,"")</f>
        <v>68.7</v>
      </c>
      <c r="EC93" s="1210">
        <f>IF(AND(DZ91&lt;&gt;"",EC91&lt;&gt;""),(DZ91+EC91)/2,"")</f>
        <v>68.7</v>
      </c>
      <c r="ED93" s="363">
        <f>IF(AND(EC91&lt;&gt;"",ED91&lt;&gt;""),(EC91+ED91)/2,"")</f>
        <v>68.7</v>
      </c>
      <c r="EE93" s="363">
        <f>IF(AND(ED91&lt;&gt;"",EE91&lt;&gt;""),(ED91+EE91)/2,"")</f>
        <v>68.7</v>
      </c>
      <c r="EF93" s="1210">
        <f>IF(AND(EC91&lt;&gt;"",EF91&lt;&gt;""),(EC91+EF91)/2,"")</f>
        <v>68.7</v>
      </c>
      <c r="EG93" s="363">
        <f>IF(AND(EF91&lt;&gt;"",EG91&lt;&gt;""),(EF91+EG91)/2,"")</f>
        <v>68.7</v>
      </c>
      <c r="EH93" s="363">
        <f>IF(AND(EG91&lt;&gt;"",EH91&lt;&gt;""),(EG91+EH91)/2,"")</f>
        <v>68.7</v>
      </c>
      <c r="EI93" s="1210">
        <f>IF(AND(EF91&lt;&gt;"",EI91&lt;&gt;""),(EF91+EI91)/2,"")</f>
        <v>68.7</v>
      </c>
      <c r="EJ93" s="363">
        <f>IF(AND(EI91&lt;&gt;"",EJ91&lt;&gt;""),(EI91+EJ91)/2,"")</f>
        <v>68.7</v>
      </c>
      <c r="EK93" s="363">
        <f>IF(AND(EJ91&lt;&gt;"",EK91&lt;&gt;""),(EJ91+EK91)/2,"")</f>
        <v>68.7</v>
      </c>
      <c r="EL93" s="1210">
        <f>IF(AND(EI91&lt;&gt;"",EL91&lt;&gt;""),(EI91+EL91)/2,"")</f>
        <v>68.7</v>
      </c>
      <c r="EM93" s="363">
        <f>IF(AND(EL91&lt;&gt;"",EM91&lt;&gt;""),(EL91+EM91)/2,"")</f>
        <v>68.7</v>
      </c>
      <c r="EN93" s="363">
        <f>IF(AND(EM91&lt;&gt;"",EN91&lt;&gt;""),(EM91+EN91)/2,"")</f>
        <v>68.7</v>
      </c>
      <c r="EO93" s="1210">
        <f>IF(AND(EL91&lt;&gt;"",EO91&lt;&gt;""),(EL91+EO91)/2,"")</f>
        <v>68.7</v>
      </c>
      <c r="EP93" s="363">
        <f>IF(AND(EO91&lt;&gt;"",EP91&lt;&gt;""),(EO91+EP91)/2,"")</f>
        <v>68.7</v>
      </c>
      <c r="EQ93" s="363">
        <f>IF(AND(EP91&lt;&gt;"",EQ91&lt;&gt;""),(EP91+EQ91)/2,"")</f>
        <v>68.7</v>
      </c>
      <c r="ER93" s="1210">
        <f>IF(AND(EO91&lt;&gt;"",ER91&lt;&gt;""),(EO91+ER91)/2,"")</f>
        <v>68.7</v>
      </c>
      <c r="ES93" s="363">
        <f>IF(AND(ER91&lt;&gt;"",ES91&lt;&gt;""),(ER91+ES91)/2,"")</f>
        <v>68.7</v>
      </c>
      <c r="ET93" s="363">
        <f>IF(AND(ES91&lt;&gt;"",ET91&lt;&gt;""),(ES91+ET91)/2,"")</f>
        <v>68.7</v>
      </c>
      <c r="EU93" s="1210">
        <f>IF(AND(ER91&lt;&gt;"",EU91&lt;&gt;""),(ER91+EU91)/2,"")</f>
        <v>68.7</v>
      </c>
      <c r="EV93" s="363">
        <f>IF(AND(EU91&lt;&gt;"",EV91&lt;&gt;""),(EU91+EV91)/2,"")</f>
        <v>68.7</v>
      </c>
      <c r="EW93" s="363">
        <f>IF(AND(EV91&lt;&gt;"",EW91&lt;&gt;""),(EV91+EW91)/2,"")</f>
        <v>68.7</v>
      </c>
      <c r="EX93" s="1210">
        <f>IF(AND(EU91&lt;&gt;"",EX91&lt;&gt;""),(EU91+EX91)/2,"")</f>
        <v>68.7</v>
      </c>
      <c r="EY93" s="363">
        <f>IF(AND(EX91&lt;&gt;"",EY91&lt;&gt;""),(EX91+EY91)/2,"")</f>
        <v>68.7</v>
      </c>
      <c r="EZ93" s="363">
        <f>IF(AND(EY91&lt;&gt;"",EZ91&lt;&gt;""),(EY91+EZ91)/2,"")</f>
        <v>68.7</v>
      </c>
      <c r="FA93" s="363">
        <f>IF(AND(EX91&lt;&gt;"",FA91&lt;&gt;""),(EX91+FA91)/2,"")</f>
        <v>68.7</v>
      </c>
    </row>
    <row r="94" spans="1:157" ht="13.35" customHeight="1">
      <c r="A94" s="5"/>
      <c r="B94" s="5" t="s">
        <v>420</v>
      </c>
      <c r="C94" s="5"/>
      <c r="D94" s="362"/>
      <c r="E94" s="356"/>
      <c r="F94" s="356"/>
      <c r="G94" s="356"/>
      <c r="H94" s="356"/>
      <c r="I94" s="356"/>
      <c r="J94" s="356"/>
      <c r="K94" s="356"/>
      <c r="L94" s="356"/>
      <c r="M94" s="356"/>
      <c r="N94" s="356"/>
      <c r="O94" s="356"/>
      <c r="P94" s="356"/>
      <c r="Q94" s="356"/>
      <c r="R94" s="356"/>
      <c r="S94" s="356"/>
      <c r="T94" s="356"/>
      <c r="U94" s="356"/>
      <c r="V94" s="356"/>
      <c r="W94" s="356"/>
      <c r="X94" s="356"/>
      <c r="Y94" s="356"/>
      <c r="Z94" s="356"/>
      <c r="AA94" s="356"/>
      <c r="AB94" s="356"/>
      <c r="AC94" s="356"/>
      <c r="AD94" s="356"/>
      <c r="AE94" s="356"/>
      <c r="AF94" s="356"/>
      <c r="AG94" s="356"/>
      <c r="AH94" s="356"/>
      <c r="AI94" s="356"/>
      <c r="AJ94" s="356"/>
      <c r="AK94" s="356"/>
      <c r="AL94" s="356"/>
      <c r="AM94" s="356"/>
      <c r="AN94" s="356"/>
      <c r="AO94" s="356"/>
      <c r="AP94" s="356"/>
      <c r="AQ94" s="356"/>
      <c r="AR94" s="356"/>
      <c r="AS94" s="356"/>
      <c r="AT94" s="356"/>
      <c r="AU94" s="356"/>
      <c r="AV94" s="356"/>
      <c r="AW94" s="356"/>
      <c r="AX94" s="356"/>
      <c r="AY94" s="356"/>
      <c r="AZ94" s="356"/>
      <c r="BA94" s="356"/>
      <c r="BB94" s="356"/>
      <c r="BC94" s="356"/>
      <c r="BD94" s="356"/>
      <c r="BE94" s="356"/>
      <c r="BF94" s="356"/>
      <c r="BG94" s="356"/>
      <c r="BH94" s="356"/>
      <c r="BI94" s="356"/>
      <c r="BJ94" s="356"/>
      <c r="BK94" s="356"/>
      <c r="BL94" s="356"/>
      <c r="BM94" s="356"/>
      <c r="BN94" s="356"/>
      <c r="BO94" s="356"/>
      <c r="BP94" s="356"/>
      <c r="BQ94" s="356"/>
      <c r="BR94" s="356"/>
      <c r="BS94" s="356"/>
      <c r="BT94" s="356"/>
      <c r="BU94" s="356"/>
      <c r="BV94" s="356"/>
      <c r="BW94" s="356"/>
      <c r="BX94" s="356"/>
      <c r="BY94" s="356"/>
      <c r="BZ94" s="356"/>
      <c r="CA94" s="356"/>
      <c r="CB94" s="356"/>
      <c r="CC94" s="356"/>
      <c r="CD94" s="356"/>
      <c r="CE94" s="356"/>
      <c r="CF94" s="356"/>
      <c r="CG94" s="356"/>
      <c r="CH94" s="356"/>
      <c r="CI94" s="356"/>
      <c r="CJ94" s="356"/>
      <c r="CK94" s="356"/>
      <c r="CL94" s="356"/>
      <c r="CM94" s="356"/>
      <c r="CN94" s="356"/>
      <c r="CO94" s="356"/>
      <c r="CP94" s="356"/>
      <c r="CQ94" s="356"/>
      <c r="CR94" s="356"/>
      <c r="CS94" s="356"/>
      <c r="CT94" s="356"/>
      <c r="CU94" s="356"/>
      <c r="CV94" s="356"/>
      <c r="CW94" s="356"/>
      <c r="CX94" s="356"/>
      <c r="CY94" s="356"/>
      <c r="CZ94" s="356"/>
      <c r="DA94" s="356"/>
      <c r="DB94" s="356"/>
      <c r="DC94" s="356"/>
      <c r="DD94" s="356"/>
      <c r="DE94" s="356"/>
      <c r="DF94" s="356"/>
      <c r="DG94" s="356"/>
      <c r="DH94" s="356"/>
      <c r="DI94" s="356"/>
      <c r="DJ94" s="356"/>
      <c r="DK94" s="1087"/>
      <c r="DL94" s="356"/>
      <c r="DM94" s="356"/>
      <c r="DN94" s="1087"/>
      <c r="DO94" s="356"/>
      <c r="DP94" s="356"/>
      <c r="DQ94" s="1087"/>
      <c r="DR94" s="356"/>
      <c r="DS94" s="356"/>
      <c r="DT94" s="1087"/>
      <c r="DU94" s="356"/>
      <c r="DV94" s="356"/>
      <c r="DW94" s="1087"/>
      <c r="DX94" s="356"/>
      <c r="DY94" s="356"/>
      <c r="DZ94" s="1087"/>
      <c r="EA94" s="356"/>
      <c r="EB94" s="356"/>
      <c r="EC94" s="1087"/>
      <c r="ED94" s="356"/>
      <c r="EE94" s="356"/>
      <c r="EF94" s="1087"/>
      <c r="EG94" s="356"/>
      <c r="EH94" s="356"/>
      <c r="EI94" s="1087"/>
      <c r="EJ94" s="356"/>
      <c r="EK94" s="356"/>
      <c r="EL94" s="1087"/>
      <c r="EM94" s="356"/>
      <c r="EN94" s="356"/>
      <c r="EO94" s="1087"/>
      <c r="EP94" s="356"/>
      <c r="EQ94" s="356"/>
      <c r="ER94" s="1087"/>
      <c r="ES94" s="356"/>
      <c r="ET94" s="356"/>
      <c r="EU94" s="1087"/>
      <c r="EV94" s="356"/>
      <c r="EW94" s="356"/>
      <c r="EX94" s="1087"/>
      <c r="EY94" s="356"/>
      <c r="EZ94" s="356"/>
      <c r="FA94" s="356"/>
    </row>
    <row r="95" spans="1:157" ht="13.35" customHeight="1">
      <c r="A95" s="5"/>
      <c r="B95" s="5" t="s">
        <v>824</v>
      </c>
      <c r="C95" s="5"/>
      <c r="D95" s="362"/>
      <c r="E95" s="363"/>
      <c r="F95" s="363"/>
      <c r="G95" s="363"/>
      <c r="H95" s="363"/>
      <c r="I95" s="363"/>
      <c r="J95" s="363"/>
      <c r="K95" s="363"/>
      <c r="L95" s="363"/>
      <c r="M95" s="363"/>
      <c r="N95" s="363"/>
      <c r="O95" s="363"/>
      <c r="P95" s="363"/>
      <c r="Q95" s="363"/>
      <c r="R95" s="363"/>
      <c r="S95" s="363"/>
      <c r="T95" s="363"/>
      <c r="U95" s="363"/>
      <c r="V95" s="363"/>
      <c r="W95" s="363"/>
      <c r="X95" s="363"/>
      <c r="Y95" s="363"/>
      <c r="Z95" s="363"/>
      <c r="AA95" s="363"/>
      <c r="AB95" s="363"/>
      <c r="AC95" s="363"/>
      <c r="AD95" s="363"/>
      <c r="AE95" s="363"/>
      <c r="AF95" s="363"/>
      <c r="AG95" s="363"/>
      <c r="AH95" s="363"/>
      <c r="AI95" s="363"/>
      <c r="AJ95" s="363"/>
      <c r="AK95" s="363"/>
      <c r="AL95" s="363"/>
      <c r="AM95" s="363"/>
      <c r="AN95" s="363"/>
      <c r="AO95" s="363"/>
      <c r="AP95" s="363"/>
      <c r="AQ95" s="363"/>
      <c r="AR95" s="363"/>
      <c r="AS95" s="363"/>
      <c r="AT95" s="363"/>
      <c r="AU95" s="363"/>
      <c r="AV95" s="363"/>
      <c r="AW95" s="363"/>
      <c r="AX95" s="363"/>
      <c r="AY95" s="363"/>
      <c r="AZ95" s="363"/>
      <c r="BA95" s="363"/>
      <c r="BB95" s="363"/>
      <c r="BC95" s="363"/>
      <c r="BD95" s="363" t="str">
        <f>IF(AND(BD94&lt;&gt;"",BD92&lt;&gt;""),IF(((BD94/2)*BD92)&lt;BD91,(BD94/2)*BD92,BD91),"")</f>
        <v/>
      </c>
      <c r="BE95" s="363" t="str">
        <f>IF(BF95&lt;&gt;"",BF95-BD95,"")</f>
        <v/>
      </c>
      <c r="BF95" s="363" t="str">
        <f>IF(AND(BF94&lt;&gt;"",BF92&lt;&gt;""),IF((BF94*BF92)&lt;BF91,BF94*BF92,BF91),"")</f>
        <v/>
      </c>
      <c r="BG95" s="363" t="str">
        <f>IF(AND(BG94&lt;&gt;"",BG92&lt;&gt;""),IF(((BG94/2)*BG92)&lt;BG91,(BG94/2)*BG92,BG91),"")</f>
        <v/>
      </c>
      <c r="BH95" s="363" t="str">
        <f>IF(BI95&lt;&gt;"",BI95-BG95,"")</f>
        <v/>
      </c>
      <c r="BI95" s="363" t="str">
        <f>IF(AND(BI94&lt;&gt;"",BI92&lt;&gt;""),IF((BI94*BI92)&lt;BI91,BI94*BI92,BI91),"")</f>
        <v/>
      </c>
      <c r="BJ95" s="363" t="str">
        <f>IF(AND(BJ94&lt;&gt;"",BJ92&lt;&gt;""),IF(((BJ94/2)*BJ92)&lt;BJ91,(BJ94/2)*BJ92,BJ91),"")</f>
        <v/>
      </c>
      <c r="BK95" s="363" t="str">
        <f>IF(BL95&lt;&gt;"",BL95-BJ95,"")</f>
        <v/>
      </c>
      <c r="BL95" s="363" t="str">
        <f>IF(AND(BL94&lt;&gt;"",BL92&lt;&gt;""),IF((BL94*BL92)&lt;BL91,BL94*BL92,BL91),"")</f>
        <v/>
      </c>
      <c r="BM95" s="363" t="str">
        <f>IF(AND(BM94&lt;&gt;"",BM92&lt;&gt;""),IF(((BM94/2)*BM92)&lt;BM91,(BM94/2)*BM92,BM91),"")</f>
        <v/>
      </c>
      <c r="BN95" s="363" t="str">
        <f>IF(BO95&lt;&gt;"",BO95-BM95,"")</f>
        <v/>
      </c>
      <c r="BO95" s="363" t="str">
        <f>IF(AND(BO94&lt;&gt;"",BO92&lt;&gt;""),IF((BO94*BO92)&lt;BO91,BO94*BO92,BO91),"")</f>
        <v/>
      </c>
      <c r="BP95" s="363" t="str">
        <f>IF(AND(BP94&lt;&gt;"",BP92&lt;&gt;""),IF(((BP94/2)*BP92)&lt;BP91,(BP94/2)*BP92,BP91),"")</f>
        <v/>
      </c>
      <c r="BQ95" s="363" t="str">
        <f>IF(BR95&lt;&gt;"",BR95-BP95,"")</f>
        <v/>
      </c>
      <c r="BR95" s="363" t="str">
        <f>IF(AND(BR94&lt;&gt;"",BR92&lt;&gt;""),IF((BR94*BR92)&lt;BR91,BR94*BR92,BR91),"")</f>
        <v/>
      </c>
      <c r="BS95" s="363" t="str">
        <f>IF(AND(BS94&lt;&gt;"",BS92&lt;&gt;""),IF(((BS94/2)*BS92)&lt;BS91,(BS94/2)*BS92,BS91),"")</f>
        <v/>
      </c>
      <c r="BT95" s="363" t="str">
        <f>IF(BU95&lt;&gt;"",BU95-BS95,"")</f>
        <v/>
      </c>
      <c r="BU95" s="363" t="str">
        <f>IF(AND(BU94&lt;&gt;"",BU92&lt;&gt;""),IF((BU94*BU92)&lt;BU91,BU94*BU92,BU91),"")</f>
        <v/>
      </c>
      <c r="BV95" s="363" t="str">
        <f>IF(AND(BV94&lt;&gt;"",BV92&lt;&gt;""),IF(((BV94/2)*BV92)&lt;BV91,(BV94/2)*BV92,BV91),"")</f>
        <v/>
      </c>
      <c r="BW95" s="363" t="str">
        <f>IF(BX95&lt;&gt;"",BX95-BV95,"")</f>
        <v/>
      </c>
      <c r="BX95" s="363" t="str">
        <f>IF(AND(BX94&lt;&gt;"",BX92&lt;&gt;""),IF((BX94*BX92)&lt;BX91,BX94*BX92,BX91),"")</f>
        <v/>
      </c>
      <c r="BY95" s="363" t="str">
        <f>IF(AND(BY94&lt;&gt;"",BY92&lt;&gt;""),IF(((BY94/2)*BY92)&lt;BY91,(BY94/2)*BY92,BY91),"")</f>
        <v/>
      </c>
      <c r="BZ95" s="363" t="str">
        <f>IF(CA95&lt;&gt;"",CA95-BY95,"")</f>
        <v/>
      </c>
      <c r="CA95" s="363" t="str">
        <f>IF(AND(CA94&lt;&gt;"",CA92&lt;&gt;""),IF((CA94*CA92)&lt;CA91,CA94*CA92,CA91),"")</f>
        <v/>
      </c>
      <c r="CB95" s="363" t="str">
        <f>IF(AND(CB94&lt;&gt;"",CB92&lt;&gt;""),IF(((CB94/2)*CB92)&lt;CB91,(CB94/2)*CB92,CB91),"")</f>
        <v/>
      </c>
      <c r="CC95" s="363" t="str">
        <f>IF(CD95&lt;&gt;"",CD95-CB95,"")</f>
        <v/>
      </c>
      <c r="CD95" s="363" t="str">
        <f>IF(AND(CD94&lt;&gt;"",CD92&lt;&gt;""),IF((CD94*CD92)&lt;CD91,CD94*CD92,CD91),"")</f>
        <v/>
      </c>
      <c r="CE95" s="363" t="str">
        <f>IF(AND(CE94&lt;&gt;"",CE92&lt;&gt;""),IF(((CE94/2)*CE92)&lt;CE91,(CE94/2)*CE92,CE91),"")</f>
        <v/>
      </c>
      <c r="CF95" s="363" t="str">
        <f>IF(CG95&lt;&gt;"",CG95-CE95,"")</f>
        <v/>
      </c>
      <c r="CG95" s="363" t="str">
        <f>IF(AND(CG94&lt;&gt;"",CG92&lt;&gt;""),IF((CG94*CG92)&lt;CG91,CG94*CG92,CG91),"")</f>
        <v/>
      </c>
      <c r="CH95" s="363" t="str">
        <f>IF(AND(CH94&lt;&gt;"",CH92&lt;&gt;""),IF(((CH94/2)*CH92)&lt;CH91,(CH94/2)*CH92,CH91),"")</f>
        <v/>
      </c>
      <c r="CI95" s="363" t="str">
        <f>IF(CJ95&lt;&gt;"",CJ95-CH95,"")</f>
        <v/>
      </c>
      <c r="CJ95" s="363" t="str">
        <f>IF(AND(CJ94&lt;&gt;"",CJ92&lt;&gt;""),IF((CJ94*CJ92)&lt;CJ91,CJ94*CJ92,CJ91),"")</f>
        <v/>
      </c>
      <c r="CK95" s="363" t="str">
        <f>IF(AND(CK94&lt;&gt;"",CK92&lt;&gt;""),IF(((CK94/2)*CK92)&lt;CK91,(CK94/2)*CK92,CK91),"")</f>
        <v/>
      </c>
      <c r="CL95" s="363" t="str">
        <f>IF(CM95&lt;&gt;"",CM95-CK95,"")</f>
        <v/>
      </c>
      <c r="CM95" s="363" t="str">
        <f>IF(AND(CM94&lt;&gt;"",CM92&lt;&gt;""),IF((CM94*CM92)&lt;CM91,CM94*CM92,CM91),"")</f>
        <v/>
      </c>
      <c r="CN95" s="363" t="str">
        <f>IF(AND(CN94&lt;&gt;"",CN92&lt;&gt;""),IF(((CN94/2)*CN92)&lt;CN91,(CN94/2)*CN92,CN91),"")</f>
        <v/>
      </c>
      <c r="CO95" s="363" t="str">
        <f>IF(CP95&lt;&gt;"",CP95-CN95,"")</f>
        <v/>
      </c>
      <c r="CP95" s="363" t="str">
        <f>IF(AND(CP94&lt;&gt;"",CP92&lt;&gt;""),IF((CP94*CP92)&lt;CP91,CP94*CP92,CP91),"")</f>
        <v/>
      </c>
      <c r="CQ95" s="363" t="str">
        <f>IF(AND(CQ94&lt;&gt;"",CQ92&lt;&gt;""),IF(((CQ94/2)*CQ92)&lt;CQ91,(CQ94/2)*CQ92,CQ91),"")</f>
        <v/>
      </c>
      <c r="CR95" s="363" t="str">
        <f>IF(CS95&lt;&gt;"",CS95-CQ95,"")</f>
        <v/>
      </c>
      <c r="CS95" s="363" t="str">
        <f>IF(AND(CS94&lt;&gt;"",CS92&lt;&gt;""),IF((CS94*CS92)&lt;CS91,CS94*CS92,CS91),"")</f>
        <v/>
      </c>
      <c r="CT95" s="363" t="str">
        <f>IF(AND(CT94&lt;&gt;"",CT92&lt;&gt;""),IF(((CT94/2)*CT92)&lt;CT91,(CT94/2)*CT92,CT91),"")</f>
        <v/>
      </c>
      <c r="CU95" s="363" t="str">
        <f>IF(CV95&lt;&gt;"",CV95-CT95,"")</f>
        <v/>
      </c>
      <c r="CV95" s="363" t="str">
        <f>IF(AND(CV94&lt;&gt;"",CV92&lt;&gt;""),IF((CV94*CV92)&lt;CV91,CV94*CV92,CV91),"")</f>
        <v/>
      </c>
      <c r="CW95" s="363" t="str">
        <f>IF(AND(CW94&lt;&gt;"",CW92&lt;&gt;""),IF(((CW94/2)*CW92)&lt;CW91,(CW94/2)*CW92,CW91),"")</f>
        <v/>
      </c>
      <c r="CX95" s="363" t="str">
        <f>IF(CY95&lt;&gt;"",CY95-CW95,"")</f>
        <v/>
      </c>
      <c r="CY95" s="363" t="str">
        <f>IF(AND(CY94&lt;&gt;"",CY92&lt;&gt;""),IF((CY94*CY92)&lt;CY91,CY94*CY92,CY91),"")</f>
        <v/>
      </c>
      <c r="CZ95" s="363" t="str">
        <f>IF(AND(CZ94&lt;&gt;"",CZ92&lt;&gt;""),IF(((CZ94/2)*CZ92)&lt;CZ91,(CZ94/2)*CZ92,CZ91),"")</f>
        <v/>
      </c>
      <c r="DA95" s="363" t="str">
        <f>IF(DB95&lt;&gt;"",DB95-CZ95,"")</f>
        <v/>
      </c>
      <c r="DB95" s="363" t="str">
        <f>IF(AND(DB94&lt;&gt;"",DB92&lt;&gt;""),IF((DB94*DB92)&lt;DB91,DB94*DB92,DB91),"")</f>
        <v/>
      </c>
      <c r="DC95" s="363" t="str">
        <f>IF(AND(DC94&lt;&gt;"",DC92&lt;&gt;""),IF(((DC94/2)*DC92)&lt;DC91,(DC94/2)*DC92,DC91),"")</f>
        <v/>
      </c>
      <c r="DD95" s="363" t="str">
        <f>IF(DE95&lt;&gt;"",DE95-DC95,"")</f>
        <v/>
      </c>
      <c r="DE95" s="363" t="str">
        <f>IF(AND(DE94&lt;&gt;"",DE92&lt;&gt;""),IF((DE94*DE92)&lt;DE91,DE94*DE92,DE91),"")</f>
        <v/>
      </c>
      <c r="DF95" s="363" t="str">
        <f>IF(AND(DF94&lt;&gt;"",DF92&lt;&gt;""),IF(((DF94/2)*DF92)&lt;DF91,(DF94/2)*DF92,DF91),"")</f>
        <v/>
      </c>
      <c r="DG95" s="363" t="str">
        <f>IF(DH95&lt;&gt;"",DH95-DF95,"")</f>
        <v/>
      </c>
      <c r="DH95" s="363" t="str">
        <f>IF(AND(DH94&lt;&gt;"",DH92&lt;&gt;""),IF((DH94*DH92)&lt;DH91,DH94*DH92,DH91),"")</f>
        <v/>
      </c>
      <c r="DI95" s="363" t="str">
        <f>IF(AND(DI94&lt;&gt;"",DI92&lt;&gt;""),IF(((DI94/2)*DI92)&lt;DI91,(DI94/2)*DI92,DI91),"")</f>
        <v/>
      </c>
      <c r="DJ95" s="363" t="str">
        <f>IF(DK95&lt;&gt;"",DK95-DI95,"")</f>
        <v/>
      </c>
      <c r="DK95" s="1210" t="str">
        <f>IF(AND(DK94&lt;&gt;"",DK92&lt;&gt;""),IF((DK94*DK92)&lt;DK91,DK94*DK92,DK91),"")</f>
        <v/>
      </c>
      <c r="DL95" s="363" t="str">
        <f>IF(AND(DL94&lt;&gt;"",DL92&lt;&gt;""),IF(((DL94/2)*DL92)&lt;DL91,(DL94/2)*DL92,DL91),"")</f>
        <v/>
      </c>
      <c r="DM95" s="363" t="str">
        <f>IF(DN95&lt;&gt;"",DN95-DL95,"")</f>
        <v/>
      </c>
      <c r="DN95" s="1210" t="str">
        <f>IF(AND(DN94&lt;&gt;"",DN92&lt;&gt;""),IF((DN94*DN92)&lt;DN91,DN94*DN92,DN91),"")</f>
        <v/>
      </c>
      <c r="DO95" s="363" t="str">
        <f>IF(AND(DO94&lt;&gt;"",DO92&lt;&gt;""),IF(((DO94/2)*DO92)&lt;DO91,(DO94/2)*DO92,DO91),"")</f>
        <v/>
      </c>
      <c r="DP95" s="363" t="str">
        <f>IF(DQ95&lt;&gt;"",DQ95-DO95,"")</f>
        <v/>
      </c>
      <c r="DQ95" s="1210" t="str">
        <f>IF(AND(DQ94&lt;&gt;"",DQ92&lt;&gt;""),IF((DQ94*DQ92)&lt;DQ91,DQ94*DQ92,DQ91),"")</f>
        <v/>
      </c>
      <c r="DR95" s="363" t="str">
        <f>IF(AND(DR94&lt;&gt;"",DR92&lt;&gt;""),IF(((DR94/2)*DR92)&lt;DR91,(DR94/2)*DR92,DR91),"")</f>
        <v/>
      </c>
      <c r="DS95" s="363" t="str">
        <f>IF(DT95&lt;&gt;"",DT95-DR95,"")</f>
        <v/>
      </c>
      <c r="DT95" s="1210" t="str">
        <f>IF(AND(DT94&lt;&gt;"",DT92&lt;&gt;""),IF((DT94*DT92)&lt;DT91,DT94*DT92,DT91),"")</f>
        <v/>
      </c>
      <c r="DU95" s="363" t="str">
        <f>IF(AND(DU94&lt;&gt;"",DU92&lt;&gt;""),IF(((DU94/2)*DU92)&lt;DU91,(DU94/2)*DU92,DU91),"")</f>
        <v/>
      </c>
      <c r="DV95" s="363" t="str">
        <f>IF(DW95&lt;&gt;"",DW95-DU95,"")</f>
        <v/>
      </c>
      <c r="DW95" s="1210" t="str">
        <f>IF(AND(DW94&lt;&gt;"",DW92&lt;&gt;""),IF((DW94*DW92)&lt;DW91,DW94*DW92,DW91),"")</f>
        <v/>
      </c>
      <c r="DX95" s="363" t="str">
        <f>IF(AND(DX94&lt;&gt;"",DX92&lt;&gt;""),IF(((DX94/2)*DX92)&lt;DX91,(DX94/2)*DX92,DX91),"")</f>
        <v/>
      </c>
      <c r="DY95" s="363" t="str">
        <f>IF(DZ95&lt;&gt;"",DZ95-DX95,"")</f>
        <v/>
      </c>
      <c r="DZ95" s="1210" t="str">
        <f>IF(AND(DZ94&lt;&gt;"",DZ92&lt;&gt;""),IF((DZ94*DZ92)&lt;DZ91,DZ94*DZ92,DZ91),"")</f>
        <v/>
      </c>
      <c r="EA95" s="363" t="str">
        <f>IF(AND(EA94&lt;&gt;"",EA92&lt;&gt;""),IF(((EA94/2)*EA92)&lt;EA91,(EA94/2)*EA92,EA91),"")</f>
        <v/>
      </c>
      <c r="EB95" s="363" t="str">
        <f>IF(EC95&lt;&gt;"",EC95-EA95,"")</f>
        <v/>
      </c>
      <c r="EC95" s="1210" t="str">
        <f>IF(AND(EC94&lt;&gt;"",EC92&lt;&gt;""),IF((EC94*EC92)&lt;EC91,EC94*EC92,EC91),"")</f>
        <v/>
      </c>
      <c r="ED95" s="363" t="str">
        <f>IF(AND(ED94&lt;&gt;"",ED92&lt;&gt;""),IF(((ED94/2)*ED92)&lt;ED91,(ED94/2)*ED92,ED91),"")</f>
        <v/>
      </c>
      <c r="EE95" s="363" t="str">
        <f>IF(EF95&lt;&gt;"",EF95-ED95,"")</f>
        <v/>
      </c>
      <c r="EF95" s="1210" t="str">
        <f>IF(AND(EF94&lt;&gt;"",EF92&lt;&gt;""),IF((EF94*EF92)&lt;EF91,EF94*EF92,EF91),"")</f>
        <v/>
      </c>
      <c r="EG95" s="363" t="str">
        <f>IF(AND(EG94&lt;&gt;"",EG92&lt;&gt;""),IF(((EG94/2)*EG92)&lt;EG91,(EG94/2)*EG92,EG91),"")</f>
        <v/>
      </c>
      <c r="EH95" s="363" t="str">
        <f>IF(EI95&lt;&gt;"",EI95-EG95,"")</f>
        <v/>
      </c>
      <c r="EI95" s="1210" t="str">
        <f>IF(AND(EI94&lt;&gt;"",EI92&lt;&gt;""),IF((EI94*EI92)&lt;EI91,EI94*EI92,EI91),"")</f>
        <v/>
      </c>
      <c r="EJ95" s="363" t="str">
        <f>IF(AND(EJ94&lt;&gt;"",EJ92&lt;&gt;""),IF(((EJ94/2)*EJ92)&lt;EJ91,(EJ94/2)*EJ92,EJ91),"")</f>
        <v/>
      </c>
      <c r="EK95" s="363" t="str">
        <f>IF(EL95&lt;&gt;"",EL95-EJ95,"")</f>
        <v/>
      </c>
      <c r="EL95" s="1210" t="str">
        <f>IF(AND(EL94&lt;&gt;"",EL92&lt;&gt;""),IF((EL94*EL92)&lt;EL91,EL94*EL92,EL91),"")</f>
        <v/>
      </c>
      <c r="EM95" s="363" t="str">
        <f>IF(AND(EM94&lt;&gt;"",EM92&lt;&gt;""),IF(((EM94/2)*EM92)&lt;EM91,(EM94/2)*EM92,EM91),"")</f>
        <v/>
      </c>
      <c r="EN95" s="363" t="str">
        <f>IF(EO95&lt;&gt;"",EO95-EM95,"")</f>
        <v/>
      </c>
      <c r="EO95" s="1210" t="str">
        <f>IF(AND(EO94&lt;&gt;"",EO92&lt;&gt;""),IF((EO94*EO92)&lt;EO91,EO94*EO92,EO91),"")</f>
        <v/>
      </c>
      <c r="EP95" s="363" t="str">
        <f>IF(AND(EP94&lt;&gt;"",EP92&lt;&gt;""),IF(((EP94/2)*EP92)&lt;EP91,(EP94/2)*EP92,EP91),"")</f>
        <v/>
      </c>
      <c r="EQ95" s="363" t="str">
        <f>IF(ER95&lt;&gt;"",ER95-EP95,"")</f>
        <v/>
      </c>
      <c r="ER95" s="1210" t="str">
        <f>IF(AND(ER94&lt;&gt;"",ER92&lt;&gt;""),IF((ER94*ER92)&lt;ER91,ER94*ER92,ER91),"")</f>
        <v/>
      </c>
      <c r="ES95" s="363" t="str">
        <f>IF(AND(ES94&lt;&gt;"",ES92&lt;&gt;""),IF(((ES94/2)*ES92)&lt;ES91,(ES94/2)*ES92,ES91),"")</f>
        <v/>
      </c>
      <c r="ET95" s="363" t="str">
        <f>IF(EU95&lt;&gt;"",EU95-ES95,"")</f>
        <v/>
      </c>
      <c r="EU95" s="1210" t="str">
        <f>IF(AND(EU94&lt;&gt;"",EU92&lt;&gt;""),IF((EU94*EU92)&lt;EU91,EU94*EU92,EU91),"")</f>
        <v/>
      </c>
      <c r="EV95" s="363" t="str">
        <f>IF(AND(EV94&lt;&gt;"",EV92&lt;&gt;""),IF(((EV94/2)*EV92)&lt;EV91,(EV94/2)*EV92,EV91),"")</f>
        <v/>
      </c>
      <c r="EW95" s="363" t="str">
        <f>IF(EX95&lt;&gt;"",EX95-EV95,"")</f>
        <v/>
      </c>
      <c r="EX95" s="1210" t="str">
        <f>IF(AND(EX94&lt;&gt;"",EX92&lt;&gt;""),IF((EX94*EX92)&lt;EX91,EX94*EX92,EX91),"")</f>
        <v/>
      </c>
      <c r="EY95" s="363" t="str">
        <f>IF(AND(EY94&lt;&gt;"",EY92&lt;&gt;""),IF(((EY94/2)*EY92)&lt;EY91,(EY94/2)*EY92,EY91),"")</f>
        <v/>
      </c>
      <c r="EZ95" s="363" t="str">
        <f>IF(FA95&lt;&gt;"",FA95-EY95,"")</f>
        <v/>
      </c>
      <c r="FA95" s="363" t="str">
        <f>IF(AND(FA94&lt;&gt;"",FA92&lt;&gt;""),IF((FA94*FA92)&lt;FA91,FA94*FA92,FA91),"")</f>
        <v/>
      </c>
    </row>
    <row r="96" spans="1:157" ht="13.35" customHeight="1">
      <c r="A96" s="5"/>
      <c r="B96" s="5" t="s">
        <v>870</v>
      </c>
      <c r="C96" s="5"/>
      <c r="D96" s="362"/>
      <c r="E96" s="363" t="str">
        <f>IF(Model!E67&lt;&gt;"",Model!E67,"")</f>
        <v/>
      </c>
      <c r="F96" s="363" t="str">
        <f>IF(AND(G96&lt;&gt;"",E96&lt;&gt;""),G96-E96,"")</f>
        <v/>
      </c>
      <c r="G96" s="363" t="str">
        <f>IF(Model!G67&lt;&gt;"",Model!G67,"")</f>
        <v/>
      </c>
      <c r="H96" s="363" t="str">
        <f>IF(Model!H67&lt;&gt;"",Model!H67,"")</f>
        <v/>
      </c>
      <c r="I96" s="363" t="str">
        <f>IF(AND(J96&lt;&gt;"",H96&lt;&gt;""),J96-H96,"")</f>
        <v/>
      </c>
      <c r="J96" s="363" t="str">
        <f>IF(Model!J67&lt;&gt;"",Model!J67,"")</f>
        <v/>
      </c>
      <c r="K96" s="363" t="str">
        <f>IF(Model!K67&lt;&gt;"",Model!K67,"")</f>
        <v/>
      </c>
      <c r="L96" s="363" t="str">
        <f>IF(AND(M96&lt;&gt;"",K96&lt;&gt;""),M96-K96,"")</f>
        <v/>
      </c>
      <c r="M96" s="363" t="str">
        <f>IF(Model!M67&lt;&gt;"",Model!M67,"")</f>
        <v/>
      </c>
      <c r="N96" s="363" t="str">
        <f>IF(Model!N67&lt;&gt;"",Model!N67,"")</f>
        <v/>
      </c>
      <c r="O96" s="363" t="str">
        <f>IF(AND(P96&lt;&gt;"",N96&lt;&gt;""),P96-N96,"")</f>
        <v/>
      </c>
      <c r="P96" s="363" t="str">
        <f>IF(Model!P67&lt;&gt;"",Model!P67,"")</f>
        <v/>
      </c>
      <c r="Q96" s="363" t="str">
        <f>IF(Model!Q67&lt;&gt;"",Model!Q67,"")</f>
        <v/>
      </c>
      <c r="R96" s="363" t="str">
        <f>IF(AND(S96&lt;&gt;"",Q96&lt;&gt;""),S96-Q96,"")</f>
        <v/>
      </c>
      <c r="S96" s="363" t="str">
        <f>IF(Model!S67&lt;&gt;"",Model!S67,"")</f>
        <v/>
      </c>
      <c r="T96" s="363" t="str">
        <f>IF(Model!T67&lt;&gt;"",Model!T67,"")</f>
        <v/>
      </c>
      <c r="U96" s="363" t="str">
        <f>IF(AND(V96&lt;&gt;"",T96&lt;&gt;""),V96-T96,"")</f>
        <v/>
      </c>
      <c r="V96" s="363" t="str">
        <f>IF(Model!V67&lt;&gt;"",Model!V67,"")</f>
        <v/>
      </c>
      <c r="W96" s="363" t="str">
        <f>IF(Model!W67&lt;&gt;"",Model!W67,"")</f>
        <v/>
      </c>
      <c r="X96" s="363" t="str">
        <f>IF(AND(Y96&lt;&gt;"",W96&lt;&gt;""),Y96-W96,"")</f>
        <v/>
      </c>
      <c r="Y96" s="363" t="str">
        <f>IF(Model!Y67&lt;&gt;"",Model!Y67,"")</f>
        <v/>
      </c>
      <c r="Z96" s="363" t="str">
        <f>IF(Model!Z67&lt;&gt;"",Model!Z67,"")</f>
        <v/>
      </c>
      <c r="AA96" s="363" t="str">
        <f>IF(AND(AB96&lt;&gt;"",Z96&lt;&gt;""),AB96-Z96,"")</f>
        <v/>
      </c>
      <c r="AB96" s="363" t="str">
        <f>IF(Model!AB67&lt;&gt;"",Model!AB67,"")</f>
        <v/>
      </c>
      <c r="AC96" s="363" t="str">
        <f>IF(Model!AC67&lt;&gt;"",Model!AC67,"")</f>
        <v/>
      </c>
      <c r="AD96" s="363" t="str">
        <f>IF(AND(AE96&lt;&gt;"",AC96&lt;&gt;""),AE96-AC96,"")</f>
        <v/>
      </c>
      <c r="AE96" s="363" t="str">
        <f>IF(Model!AE67&lt;&gt;"",Model!AE67,"")</f>
        <v/>
      </c>
      <c r="AF96" s="363" t="str">
        <f>IF(Model!AF67&lt;&gt;"",Model!AF67,"")</f>
        <v/>
      </c>
      <c r="AG96" s="363" t="str">
        <f>IF(AND(AH96&lt;&gt;"",AF96&lt;&gt;""),AH96-AF96,"")</f>
        <v/>
      </c>
      <c r="AH96" s="363" t="str">
        <f>IF(Model!AH67&lt;&gt;"",Model!AH67,"")</f>
        <v/>
      </c>
      <c r="AI96" s="363" t="str">
        <f>IF(Model!AI67&lt;&gt;"",Model!AI67,"")</f>
        <v/>
      </c>
      <c r="AJ96" s="363" t="str">
        <f>IF(AND(AK96&lt;&gt;"",AI96&lt;&gt;""),AK96-AI96,"")</f>
        <v/>
      </c>
      <c r="AK96" s="363" t="str">
        <f>IF(Model!AK67&lt;&gt;"",Model!AK67,"")</f>
        <v/>
      </c>
      <c r="AL96" s="363" t="str">
        <f>IF(Model!AL67&lt;&gt;"",Model!AL67,"")</f>
        <v/>
      </c>
      <c r="AM96" s="363" t="str">
        <f>IF(AND(AN96&lt;&gt;"",AL96&lt;&gt;""),AN96-AL96,"")</f>
        <v/>
      </c>
      <c r="AN96" s="363" t="str">
        <f>IF(Model!AN67&lt;&gt;"",Model!AN67,"")</f>
        <v/>
      </c>
      <c r="AO96" s="363" t="str">
        <f>IF(Model!AO67&lt;&gt;"",Model!AO67,"")</f>
        <v/>
      </c>
      <c r="AP96" s="363" t="str">
        <f>IF(AND(AQ96&lt;&gt;"",AO96&lt;&gt;""),AQ96-AO96,"")</f>
        <v/>
      </c>
      <c r="AQ96" s="363" t="str">
        <f>IF(Model!AQ67&lt;&gt;"",Model!AQ67,"")</f>
        <v/>
      </c>
      <c r="AR96" s="363" t="str">
        <f>IF(Model!AR67&lt;&gt;"",Model!AR67,"")</f>
        <v/>
      </c>
      <c r="AS96" s="363" t="str">
        <f>IF(AND(AT96&lt;&gt;"",AR96&lt;&gt;""),AT96-AR96,"")</f>
        <v/>
      </c>
      <c r="AT96" s="363" t="str">
        <f>IF(Model!AT67&lt;&gt;"",Model!AT67,"")</f>
        <v/>
      </c>
      <c r="AU96" s="363" t="str">
        <f>IF(Model!AU67&lt;&gt;"",Model!AU67,"")</f>
        <v/>
      </c>
      <c r="AV96" s="363" t="str">
        <f>IF(AND(AW96&lt;&gt;"",AU96&lt;&gt;""),AW96-AU96,"")</f>
        <v/>
      </c>
      <c r="AW96" s="363" t="str">
        <f>IF(Model!AW67&lt;&gt;"",Model!AW67,"")</f>
        <v/>
      </c>
      <c r="AX96" s="363">
        <f>IF(Model!AX67&lt;&gt;"",Model!AX67,"")</f>
        <v>0</v>
      </c>
      <c r="AY96" s="363">
        <f>IF(AND(AZ96&lt;&gt;"",AX96&lt;&gt;""),AZ96-AX96,"")</f>
        <v>0</v>
      </c>
      <c r="AZ96" s="363">
        <f>IF(Model!AZ67&lt;&gt;"",Model!AZ67,"")</f>
        <v>0</v>
      </c>
      <c r="BA96" s="363">
        <f>IF(Model!BA67&lt;&gt;"",Model!BA67,"")</f>
        <v>0</v>
      </c>
      <c r="BB96" s="363">
        <f>IF(AND(BC96&lt;&gt;"",BA96&lt;&gt;""),BC96-BA96,"")</f>
        <v>0</v>
      </c>
      <c r="BC96" s="363">
        <f>IF(Model!BC67&lt;&gt;"",Model!BC67,"")</f>
        <v>0</v>
      </c>
      <c r="BD96" s="359"/>
      <c r="BE96" s="363" t="str">
        <f>IF(AND(BF96&lt;&gt;"",BD96&lt;&gt;""),BF96-BD96,"")</f>
        <v/>
      </c>
      <c r="BF96" s="359"/>
      <c r="BG96" s="359"/>
      <c r="BH96" s="363" t="str">
        <f>IF(AND(BI96&lt;&gt;"",BG96&lt;&gt;""),BI96-BG96,"")</f>
        <v/>
      </c>
      <c r="BI96" s="359"/>
      <c r="BJ96" s="359"/>
      <c r="BK96" s="363" t="str">
        <f>IF(AND(BL96&lt;&gt;"",BJ96&lt;&gt;""),BL96-BJ96,"")</f>
        <v/>
      </c>
      <c r="BL96" s="359"/>
      <c r="BM96" s="359"/>
      <c r="BN96" s="363" t="str">
        <f>IF(AND(BO96&lt;&gt;"",BM96&lt;&gt;""),BO96-BM96,"")</f>
        <v/>
      </c>
      <c r="BO96" s="359"/>
      <c r="BP96" s="359"/>
      <c r="BQ96" s="363" t="str">
        <f>IF(AND(BR96&lt;&gt;"",BP96&lt;&gt;""),BR96-BP96,"")</f>
        <v/>
      </c>
      <c r="BR96" s="359"/>
      <c r="BS96" s="359"/>
      <c r="BT96" s="363" t="str">
        <f>IF(AND(BU96&lt;&gt;"",BS96&lt;&gt;""),BU96-BS96,"")</f>
        <v/>
      </c>
      <c r="BU96" s="359"/>
      <c r="BV96" s="359"/>
      <c r="BW96" s="363" t="str">
        <f>IF(AND(BX96&lt;&gt;"",BV96&lt;&gt;""),BX96-BV96,"")</f>
        <v/>
      </c>
      <c r="BX96" s="359"/>
      <c r="BY96" s="359"/>
      <c r="BZ96" s="363" t="str">
        <f>IF(AND(CA96&lt;&gt;"",BY96&lt;&gt;""),CA96-BY96,"")</f>
        <v/>
      </c>
      <c r="CA96" s="359"/>
      <c r="CB96" s="359"/>
      <c r="CC96" s="363" t="str">
        <f>IF(AND(CD96&lt;&gt;"",CB96&lt;&gt;""),CD96-CB96,"")</f>
        <v/>
      </c>
      <c r="CD96" s="359"/>
      <c r="CE96" s="359"/>
      <c r="CF96" s="363" t="str">
        <f>IF(AND(CG96&lt;&gt;"",CE96&lt;&gt;""),CG96-CE96,"")</f>
        <v/>
      </c>
      <c r="CG96" s="359"/>
      <c r="CH96" s="359"/>
      <c r="CI96" s="363" t="str">
        <f>IF(AND(CJ96&lt;&gt;"",CH96&lt;&gt;""),CJ96-CH96,"")</f>
        <v/>
      </c>
      <c r="CJ96" s="359"/>
      <c r="CK96" s="359"/>
      <c r="CL96" s="363" t="str">
        <f>IF(AND(CM96&lt;&gt;"",CK96&lt;&gt;""),CM96-CK96,"")</f>
        <v/>
      </c>
      <c r="CM96" s="359"/>
      <c r="CN96" s="359"/>
      <c r="CO96" s="363" t="str">
        <f>IF(AND(CP96&lt;&gt;"",CN96&lt;&gt;""),CP96-CN96,"")</f>
        <v/>
      </c>
      <c r="CP96" s="359"/>
      <c r="CQ96" s="359"/>
      <c r="CR96" s="363" t="str">
        <f>IF(AND(CS96&lt;&gt;"",CQ96&lt;&gt;""),CS96-CQ96,"")</f>
        <v/>
      </c>
      <c r="CS96" s="359"/>
      <c r="CT96" s="359"/>
      <c r="CU96" s="363" t="str">
        <f>IF(AND(CV96&lt;&gt;"",CT96&lt;&gt;""),CV96-CT96,"")</f>
        <v/>
      </c>
      <c r="CV96" s="359"/>
      <c r="CW96" s="359"/>
      <c r="CX96" s="363" t="str">
        <f>IF(AND(CY96&lt;&gt;"",CW96&lt;&gt;""),CY96-CW96,"")</f>
        <v/>
      </c>
      <c r="CY96" s="359"/>
      <c r="CZ96" s="359"/>
      <c r="DA96" s="363" t="str">
        <f>IF(AND(DB96&lt;&gt;"",CZ96&lt;&gt;""),DB96-CZ96,"")</f>
        <v/>
      </c>
      <c r="DB96" s="359"/>
      <c r="DC96" s="359"/>
      <c r="DD96" s="363" t="str">
        <f>IF(AND(DE96&lt;&gt;"",DC96&lt;&gt;""),DE96-DC96,"")</f>
        <v/>
      </c>
      <c r="DE96" s="359"/>
      <c r="DF96" s="359"/>
      <c r="DG96" s="363" t="str">
        <f>IF(AND(DH96&lt;&gt;"",DF96&lt;&gt;""),DH96-DF96,"")</f>
        <v/>
      </c>
      <c r="DH96" s="359"/>
      <c r="DI96" s="359"/>
      <c r="DJ96" s="363" t="str">
        <f>IF(AND(DK96&lt;&gt;"",DI96&lt;&gt;""),DK96-DI96,"")</f>
        <v/>
      </c>
      <c r="DK96" s="1208"/>
      <c r="DL96" s="359"/>
      <c r="DM96" s="363" t="str">
        <f>IF(AND(DN96&lt;&gt;"",DL96&lt;&gt;""),DN96-DL96,"")</f>
        <v/>
      </c>
      <c r="DN96" s="1208"/>
      <c r="DO96" s="359"/>
      <c r="DP96" s="363" t="str">
        <f>IF(AND(DQ96&lt;&gt;"",DO96&lt;&gt;""),DQ96-DO96,"")</f>
        <v/>
      </c>
      <c r="DQ96" s="1208"/>
      <c r="DR96" s="359"/>
      <c r="DS96" s="363" t="str">
        <f>IF(AND(DT96&lt;&gt;"",DR96&lt;&gt;""),DT96-DR96,"")</f>
        <v/>
      </c>
      <c r="DT96" s="1208"/>
      <c r="DU96" s="359"/>
      <c r="DV96" s="363" t="str">
        <f>IF(AND(DW96&lt;&gt;"",DU96&lt;&gt;""),DW96-DU96,"")</f>
        <v/>
      </c>
      <c r="DW96" s="1208"/>
      <c r="DX96" s="359"/>
      <c r="DY96" s="363" t="str">
        <f>IF(AND(DZ96&lt;&gt;"",DX96&lt;&gt;""),DZ96-DX96,"")</f>
        <v/>
      </c>
      <c r="DZ96" s="1208"/>
      <c r="EA96" s="359"/>
      <c r="EB96" s="363" t="str">
        <f>IF(AND(EC96&lt;&gt;"",EA96&lt;&gt;""),EC96-EA96,"")</f>
        <v/>
      </c>
      <c r="EC96" s="1208"/>
      <c r="ED96" s="359"/>
      <c r="EE96" s="363" t="str">
        <f>IF(AND(EF96&lt;&gt;"",ED96&lt;&gt;""),EF96-ED96,"")</f>
        <v/>
      </c>
      <c r="EF96" s="1208"/>
      <c r="EG96" s="359"/>
      <c r="EH96" s="363" t="str">
        <f>IF(AND(EI96&lt;&gt;"",EG96&lt;&gt;""),EI96-EG96,"")</f>
        <v/>
      </c>
      <c r="EI96" s="1208"/>
      <c r="EJ96" s="359"/>
      <c r="EK96" s="363" t="str">
        <f>IF(AND(EL96&lt;&gt;"",EJ96&lt;&gt;""),EL96-EJ96,"")</f>
        <v/>
      </c>
      <c r="EL96" s="1208"/>
      <c r="EM96" s="359"/>
      <c r="EN96" s="363" t="str">
        <f>IF(AND(EO96&lt;&gt;"",EM96&lt;&gt;""),EO96-EM96,"")</f>
        <v/>
      </c>
      <c r="EO96" s="1208"/>
      <c r="EP96" s="359"/>
      <c r="EQ96" s="363" t="str">
        <f>IF(AND(ER96&lt;&gt;"",EP96&lt;&gt;""),ER96-EP96,"")</f>
        <v/>
      </c>
      <c r="ER96" s="1208"/>
      <c r="ES96" s="359"/>
      <c r="ET96" s="363" t="str">
        <f>IF(AND(EU96&lt;&gt;"",ES96&lt;&gt;""),EU96-ES96,"")</f>
        <v/>
      </c>
      <c r="EU96" s="1208"/>
      <c r="EV96" s="359"/>
      <c r="EW96" s="363" t="str">
        <f>IF(AND(EX96&lt;&gt;"",EV96&lt;&gt;""),EX96-EV96,"")</f>
        <v/>
      </c>
      <c r="EX96" s="1208"/>
      <c r="EY96" s="359"/>
      <c r="EZ96" s="363" t="str">
        <f>IF(AND(FA96&lt;&gt;"",EY96&lt;&gt;""),FA96-EY96,"")</f>
        <v/>
      </c>
      <c r="FA96" s="359"/>
    </row>
    <row r="97" spans="1:157" ht="13.35" customHeight="1">
      <c r="A97" s="5"/>
      <c r="B97" s="5"/>
      <c r="C97" s="5"/>
      <c r="D97" s="362"/>
      <c r="E97" s="363"/>
      <c r="F97" s="363"/>
      <c r="G97" s="363"/>
      <c r="H97" s="363"/>
      <c r="I97" s="363"/>
      <c r="J97" s="363"/>
      <c r="K97" s="363"/>
      <c r="L97" s="363"/>
      <c r="M97" s="363"/>
      <c r="N97" s="363"/>
      <c r="O97" s="363"/>
      <c r="P97" s="363"/>
      <c r="Q97" s="363"/>
      <c r="R97" s="363"/>
      <c r="S97" s="363"/>
      <c r="T97" s="363"/>
      <c r="U97" s="363"/>
      <c r="V97" s="363"/>
      <c r="W97" s="363"/>
      <c r="X97" s="363"/>
      <c r="Y97" s="363"/>
      <c r="Z97" s="363"/>
      <c r="AA97" s="363"/>
      <c r="AB97" s="363"/>
      <c r="AC97" s="363"/>
      <c r="AD97" s="363"/>
      <c r="AE97" s="363"/>
      <c r="AF97" s="363"/>
      <c r="AG97" s="363"/>
      <c r="AH97" s="363"/>
      <c r="AI97" s="363"/>
      <c r="AJ97" s="363"/>
      <c r="AK97" s="363"/>
      <c r="AL97" s="363"/>
      <c r="AM97" s="363"/>
      <c r="AN97" s="363"/>
      <c r="AO97" s="363"/>
      <c r="AP97" s="363"/>
      <c r="AQ97" s="363"/>
      <c r="AR97" s="363"/>
      <c r="AS97" s="363"/>
      <c r="AT97" s="363"/>
      <c r="AU97" s="363"/>
      <c r="AV97" s="363"/>
      <c r="AW97" s="363"/>
      <c r="AX97" s="363"/>
      <c r="AY97" s="363"/>
      <c r="AZ97" s="363"/>
      <c r="BA97" s="363"/>
      <c r="BB97" s="363"/>
      <c r="BC97" s="363"/>
      <c r="BD97" s="359"/>
      <c r="BE97" s="363"/>
      <c r="BF97" s="359"/>
      <c r="BG97" s="359"/>
      <c r="BH97" s="363"/>
      <c r="BI97" s="359"/>
      <c r="BJ97" s="359"/>
      <c r="BK97" s="363"/>
      <c r="BL97" s="359"/>
      <c r="BM97" s="359"/>
      <c r="BN97" s="363"/>
      <c r="BO97" s="359"/>
      <c r="BP97" s="359"/>
      <c r="BQ97" s="363"/>
      <c r="BR97" s="359"/>
      <c r="BS97" s="359"/>
      <c r="BT97" s="363"/>
      <c r="BU97" s="359"/>
      <c r="BV97" s="359"/>
      <c r="BW97" s="363"/>
      <c r="BX97" s="359"/>
      <c r="BY97" s="359"/>
      <c r="BZ97" s="363"/>
      <c r="CA97" s="359"/>
      <c r="CB97" s="359"/>
      <c r="CC97" s="363"/>
      <c r="CD97" s="359"/>
      <c r="CE97" s="359"/>
      <c r="CF97" s="363"/>
      <c r="CG97" s="359"/>
      <c r="CH97" s="359"/>
      <c r="CI97" s="363"/>
      <c r="CJ97" s="359"/>
      <c r="CK97" s="359"/>
      <c r="CL97" s="363"/>
      <c r="CM97" s="359"/>
      <c r="CN97" s="359"/>
      <c r="CO97" s="363"/>
      <c r="CP97" s="359"/>
      <c r="CQ97" s="359"/>
      <c r="CR97" s="363"/>
      <c r="CS97" s="359"/>
      <c r="CT97" s="359"/>
      <c r="CU97" s="363"/>
      <c r="CV97" s="359"/>
      <c r="CW97" s="359"/>
      <c r="CX97" s="363"/>
      <c r="CY97" s="359"/>
      <c r="CZ97" s="359"/>
      <c r="DA97" s="363"/>
      <c r="DB97" s="359"/>
      <c r="DC97" s="359"/>
      <c r="DD97" s="363"/>
      <c r="DE97" s="359"/>
      <c r="DF97" s="359"/>
      <c r="DG97" s="363"/>
      <c r="DH97" s="359"/>
      <c r="DI97" s="359"/>
      <c r="DJ97" s="363"/>
      <c r="DK97" s="1208"/>
      <c r="DL97" s="359"/>
      <c r="DM97" s="363"/>
      <c r="DN97" s="1208"/>
      <c r="DO97" s="359"/>
      <c r="DP97" s="363"/>
      <c r="DQ97" s="1208"/>
      <c r="DR97" s="359"/>
      <c r="DS97" s="363"/>
      <c r="DT97" s="1208"/>
      <c r="DU97" s="359"/>
      <c r="DV97" s="363"/>
      <c r="DW97" s="1208"/>
      <c r="DX97" s="359"/>
      <c r="DY97" s="363"/>
      <c r="DZ97" s="1208"/>
      <c r="EA97" s="359"/>
      <c r="EB97" s="363"/>
      <c r="EC97" s="1208"/>
      <c r="ED97" s="359"/>
      <c r="EE97" s="363"/>
      <c r="EF97" s="1208"/>
      <c r="EG97" s="359"/>
      <c r="EH97" s="363"/>
      <c r="EI97" s="1208"/>
      <c r="EJ97" s="359"/>
      <c r="EK97" s="363"/>
      <c r="EL97" s="1208"/>
      <c r="EM97" s="359"/>
      <c r="EN97" s="363"/>
      <c r="EO97" s="1208"/>
      <c r="EP97" s="359"/>
      <c r="EQ97" s="363"/>
      <c r="ER97" s="1208"/>
      <c r="ES97" s="359"/>
      <c r="ET97" s="363"/>
      <c r="EU97" s="1208"/>
      <c r="EV97" s="359"/>
      <c r="EW97" s="363"/>
      <c r="EX97" s="1208"/>
      <c r="EY97" s="359"/>
      <c r="EZ97" s="363"/>
      <c r="FA97" s="359"/>
    </row>
    <row r="98" spans="1:157" ht="13.35" customHeight="1" outlineLevel="1">
      <c r="A98" s="5"/>
      <c r="B98" s="5" t="s">
        <v>9</v>
      </c>
      <c r="C98" s="5"/>
      <c r="D98" s="5"/>
      <c r="E98" s="359"/>
      <c r="F98" s="359"/>
      <c r="G98" s="359"/>
      <c r="H98" s="359"/>
      <c r="I98" s="359"/>
      <c r="J98" s="359"/>
      <c r="K98" s="359"/>
      <c r="L98" s="359"/>
      <c r="M98" s="359"/>
      <c r="N98" s="359"/>
      <c r="O98" s="359"/>
      <c r="P98" s="359"/>
      <c r="Q98" s="359"/>
      <c r="R98" s="359"/>
      <c r="S98" s="359"/>
      <c r="T98" s="359"/>
      <c r="U98" s="359"/>
      <c r="V98" s="359"/>
      <c r="W98" s="359"/>
      <c r="X98" s="359"/>
      <c r="Y98" s="359"/>
      <c r="Z98" s="359"/>
      <c r="AA98" s="359"/>
      <c r="AB98" s="359"/>
      <c r="AC98" s="359"/>
      <c r="AD98" s="359"/>
      <c r="AE98" s="359"/>
      <c r="AF98" s="359"/>
      <c r="AG98" s="359"/>
      <c r="AH98" s="359"/>
      <c r="AI98" s="359"/>
      <c r="AJ98" s="359"/>
      <c r="AK98" s="359"/>
      <c r="AL98" s="359"/>
      <c r="AM98" s="359"/>
      <c r="AN98" s="359"/>
      <c r="AO98" s="359"/>
      <c r="AP98" s="359"/>
      <c r="AQ98" s="359"/>
      <c r="AR98" s="359"/>
      <c r="AS98" s="359"/>
      <c r="AT98" s="359"/>
      <c r="AU98" s="359"/>
      <c r="AV98" s="359"/>
      <c r="AW98" s="359"/>
      <c r="AX98" s="359"/>
      <c r="AY98" s="359"/>
      <c r="AZ98" s="359"/>
      <c r="BA98" s="359"/>
      <c r="BB98" s="359"/>
      <c r="BC98" s="359"/>
      <c r="BD98" s="359"/>
      <c r="BE98" s="359"/>
      <c r="BF98" s="359"/>
      <c r="BG98" s="359"/>
      <c r="BH98" s="359"/>
      <c r="BI98" s="359"/>
      <c r="BJ98" s="359"/>
      <c r="BK98" s="359"/>
      <c r="BL98" s="359"/>
      <c r="BM98" s="359"/>
      <c r="BN98" s="359"/>
      <c r="BO98" s="359"/>
      <c r="BP98" s="359"/>
      <c r="BQ98" s="359"/>
      <c r="BR98" s="359"/>
      <c r="BS98" s="359"/>
      <c r="BT98" s="359"/>
      <c r="BU98" s="359"/>
      <c r="BV98" s="359"/>
      <c r="BW98" s="359"/>
      <c r="BX98" s="359"/>
      <c r="BY98" s="359"/>
      <c r="BZ98" s="359"/>
      <c r="CA98" s="359"/>
      <c r="CB98" s="359"/>
      <c r="CC98" s="359"/>
      <c r="CD98" s="359"/>
      <c r="CE98" s="359"/>
      <c r="CF98" s="359"/>
      <c r="CG98" s="359"/>
      <c r="CH98" s="359"/>
      <c r="CI98" s="359"/>
      <c r="CJ98" s="359"/>
      <c r="CK98" s="359"/>
      <c r="CL98" s="359"/>
      <c r="CM98" s="359"/>
      <c r="CN98" s="359"/>
      <c r="CO98" s="359"/>
      <c r="CP98" s="359"/>
      <c r="CQ98" s="359"/>
      <c r="CR98" s="359"/>
      <c r="CS98" s="359"/>
      <c r="CT98" s="359"/>
      <c r="CU98" s="359"/>
      <c r="CV98" s="359"/>
      <c r="CW98" s="359"/>
      <c r="CX98" s="359"/>
      <c r="CY98" s="359"/>
      <c r="CZ98" s="359"/>
      <c r="DA98" s="359"/>
      <c r="DB98" s="359"/>
      <c r="DC98" s="359"/>
      <c r="DD98" s="359"/>
      <c r="DE98" s="359"/>
      <c r="DF98" s="359"/>
      <c r="DG98" s="359"/>
      <c r="DH98" s="359"/>
      <c r="DI98" s="359"/>
      <c r="DJ98" s="359"/>
      <c r="DK98" s="1208"/>
      <c r="DL98" s="359"/>
      <c r="DM98" s="359"/>
      <c r="DN98" s="1208"/>
      <c r="DO98" s="359"/>
      <c r="DP98" s="359"/>
      <c r="DQ98" s="1208"/>
      <c r="DR98" s="359"/>
      <c r="DS98" s="359"/>
      <c r="DT98" s="1208"/>
      <c r="DU98" s="359"/>
      <c r="DV98" s="359"/>
      <c r="DW98" s="1208"/>
      <c r="DX98" s="359"/>
      <c r="DY98" s="359"/>
      <c r="DZ98" s="1208"/>
      <c r="EA98" s="359"/>
      <c r="EB98" s="359"/>
      <c r="EC98" s="1208"/>
      <c r="ED98" s="359"/>
      <c r="EE98" s="359"/>
      <c r="EF98" s="1208"/>
      <c r="EG98" s="359"/>
      <c r="EH98" s="359"/>
      <c r="EI98" s="1208"/>
      <c r="EJ98" s="359"/>
      <c r="EK98" s="359"/>
      <c r="EL98" s="1208"/>
      <c r="EM98" s="359"/>
      <c r="EN98" s="359"/>
      <c r="EO98" s="1208"/>
      <c r="EP98" s="359"/>
      <c r="EQ98" s="359"/>
      <c r="ER98" s="1208"/>
      <c r="ES98" s="359"/>
      <c r="ET98" s="359"/>
      <c r="EU98" s="1208"/>
      <c r="EV98" s="359"/>
      <c r="EW98" s="359"/>
      <c r="EX98" s="1208"/>
      <c r="EY98" s="359"/>
      <c r="EZ98" s="359"/>
      <c r="FA98" s="359"/>
    </row>
    <row r="99" spans="1:157" ht="13.35" customHeight="1" outlineLevel="1">
      <c r="A99" s="5"/>
      <c r="B99" s="5" t="s">
        <v>706</v>
      </c>
      <c r="C99" s="5"/>
      <c r="D99" s="5"/>
      <c r="E99" s="30" t="str">
        <f>IF(Model!E37&lt;&gt;"",Model!E37,"")</f>
        <v/>
      </c>
      <c r="F99" s="30" t="str">
        <f>IF(G99&lt;&gt;"",G99,"")</f>
        <v/>
      </c>
      <c r="G99" s="30" t="str">
        <f>IF(Model!G37&lt;&gt;"",Model!G37,"")</f>
        <v/>
      </c>
      <c r="H99" s="30" t="str">
        <f>IF(Model!H37&lt;&gt;"",Model!H37,"")</f>
        <v/>
      </c>
      <c r="I99" s="30" t="str">
        <f>IF(J99&lt;&gt;"",J99,"")</f>
        <v/>
      </c>
      <c r="J99" s="30" t="str">
        <f>IF(Model!J37&lt;&gt;"",Model!J37,"")</f>
        <v/>
      </c>
      <c r="K99" s="30" t="str">
        <f>IF(Model!K37&lt;&gt;"",Model!K37,"")</f>
        <v/>
      </c>
      <c r="L99" s="30" t="str">
        <f>IF(M99&lt;&gt;"",M99,"")</f>
        <v/>
      </c>
      <c r="M99" s="30" t="str">
        <f>IF(Model!M37&lt;&gt;"",Model!M37,"")</f>
        <v/>
      </c>
      <c r="N99" s="30" t="str">
        <f>IF(Model!N37&lt;&gt;"",Model!N37,"")</f>
        <v/>
      </c>
      <c r="O99" s="30" t="str">
        <f>IF(P99&lt;&gt;"",P99,"")</f>
        <v/>
      </c>
      <c r="P99" s="30" t="str">
        <f>IF(Model!P37&lt;&gt;"",Model!P37,"")</f>
        <v/>
      </c>
      <c r="Q99" s="30" t="str">
        <f>IF(Model!Q37&lt;&gt;"",Model!Q37,"")</f>
        <v/>
      </c>
      <c r="R99" s="30" t="str">
        <f>IF(S99&lt;&gt;"",S99,"")</f>
        <v/>
      </c>
      <c r="S99" s="30" t="str">
        <f>IF(Model!S37&lt;&gt;"",Model!S37,"")</f>
        <v/>
      </c>
      <c r="T99" s="30" t="str">
        <f>IF(Model!T37&lt;&gt;"",Model!T37,"")</f>
        <v/>
      </c>
      <c r="U99" s="30" t="str">
        <f>IF(V99&lt;&gt;"",V99,"")</f>
        <v/>
      </c>
      <c r="V99" s="30" t="str">
        <f>IF(Model!V37&lt;&gt;"",Model!V37,"")</f>
        <v/>
      </c>
      <c r="W99" s="30" t="str">
        <f>IF(Model!W37&lt;&gt;"",Model!W37,"")</f>
        <v/>
      </c>
      <c r="X99" s="30" t="str">
        <f>IF(Y99&lt;&gt;"",Y99,"")</f>
        <v/>
      </c>
      <c r="Y99" s="30" t="str">
        <f>IF(Model!Y37&lt;&gt;"",Model!Y37,"")</f>
        <v/>
      </c>
      <c r="Z99" s="30" t="str">
        <f>IF(Model!Z37&lt;&gt;"",Model!Z37,"")</f>
        <v/>
      </c>
      <c r="AA99" s="30" t="str">
        <f>IF(AB99&lt;&gt;"",AB99,"")</f>
        <v/>
      </c>
      <c r="AB99" s="30" t="str">
        <f>IF(Model!AB37&lt;&gt;"",Model!AB37,"")</f>
        <v/>
      </c>
      <c r="AC99" s="30" t="str">
        <f>IF(Model!AC37&lt;&gt;"",Model!AC37,"")</f>
        <v/>
      </c>
      <c r="AD99" s="30" t="str">
        <f>IF(AE99&lt;&gt;"",AE99,"")</f>
        <v/>
      </c>
      <c r="AE99" s="30" t="str">
        <f>IF(Model!AE37&lt;&gt;"",Model!AE37,"")</f>
        <v/>
      </c>
      <c r="AF99" s="30" t="str">
        <f>IF(Model!AF37&lt;&gt;"",Model!AF37,"")</f>
        <v/>
      </c>
      <c r="AG99" s="30" t="str">
        <f>IF(AH99&lt;&gt;"",AH99,"")</f>
        <v/>
      </c>
      <c r="AH99" s="30" t="str">
        <f>IF(Model!AH37&lt;&gt;"",Model!AH37,"")</f>
        <v/>
      </c>
      <c r="AI99" s="30" t="str">
        <f>IF(Model!AI37&lt;&gt;"",Model!AI37,"")</f>
        <v/>
      </c>
      <c r="AJ99" s="30" t="str">
        <f>IF(AK99&lt;&gt;"",AK99,"")</f>
        <v/>
      </c>
      <c r="AK99" s="30" t="str">
        <f>IF(Model!AK37&lt;&gt;"",Model!AK37,"")</f>
        <v/>
      </c>
      <c r="AL99" s="30" t="str">
        <f>IF(Model!AL37&lt;&gt;"",Model!AL37,"")</f>
        <v/>
      </c>
      <c r="AM99" s="30" t="str">
        <f>IF(AN99&lt;&gt;"",AN99,"")</f>
        <v/>
      </c>
      <c r="AN99" s="30" t="str">
        <f>IF(Model!AN37&lt;&gt;"",Model!AN37,"")</f>
        <v/>
      </c>
      <c r="AO99" s="30" t="str">
        <f>IF(Model!AO37&lt;&gt;"",Model!AO37,"")</f>
        <v/>
      </c>
      <c r="AP99" s="30" t="str">
        <f>IF(AQ99&lt;&gt;"",AQ99,"")</f>
        <v/>
      </c>
      <c r="AQ99" s="30" t="str">
        <f>IF(Model!AQ37&lt;&gt;"",Model!AQ37,"")</f>
        <v/>
      </c>
      <c r="AR99" s="30"/>
      <c r="AS99" s="30" t="str">
        <f>IF(AT99&lt;&gt;"",AT99,"")</f>
        <v/>
      </c>
      <c r="AT99" s="30" t="str">
        <f>IF(Model!AT37&lt;&gt;"",Model!AT37,"")</f>
        <v/>
      </c>
      <c r="AU99" s="30"/>
      <c r="AV99" s="30" t="str">
        <f>IF(AW99&lt;&gt;"",AW99,"")</f>
        <v/>
      </c>
      <c r="AW99" s="30" t="str">
        <f>IF(Model!AW37&lt;&gt;"",Model!AW37,"")</f>
        <v/>
      </c>
      <c r="AX99" s="30"/>
      <c r="AY99" s="30">
        <f>IF(AZ99&lt;&gt;"",AZ99,"")</f>
        <v>0</v>
      </c>
      <c r="AZ99" s="30">
        <f>IF(Model!AZ37&lt;&gt;"",Model!AZ37,"")</f>
        <v>0</v>
      </c>
      <c r="BA99" s="30"/>
      <c r="BB99" s="30">
        <f>IF(BC99&lt;&gt;"",BC99,"")</f>
        <v>0</v>
      </c>
      <c r="BC99" s="30">
        <f>IF(Model!BC37&lt;&gt;"",Model!BC37,"")</f>
        <v>0</v>
      </c>
      <c r="BD99" s="30"/>
      <c r="BE99" s="30" t="str">
        <f>IF(BF99&lt;&gt;"",BF99,"")</f>
        <v/>
      </c>
      <c r="BF99" s="30"/>
      <c r="BG99" s="30"/>
      <c r="BH99" s="30" t="str">
        <f>IF(BI99&lt;&gt;"",BI99,"")</f>
        <v/>
      </c>
      <c r="BI99" s="30"/>
      <c r="BJ99" s="30"/>
      <c r="BK99" s="30" t="str">
        <f>IF(BL99&lt;&gt;"",BL99,"")</f>
        <v/>
      </c>
      <c r="BL99" s="30"/>
      <c r="BM99" s="30"/>
      <c r="BN99" s="30" t="str">
        <f>IF(BO99&lt;&gt;"",BO99,"")</f>
        <v/>
      </c>
      <c r="BO99" s="30"/>
      <c r="BP99" s="30"/>
      <c r="BQ99" s="30" t="str">
        <f>IF(BR99&lt;&gt;"",BR99,"")</f>
        <v/>
      </c>
      <c r="BR99" s="30"/>
      <c r="BS99" s="30"/>
      <c r="BT99" s="30" t="str">
        <f>IF(BU99&lt;&gt;"",BU99,"")</f>
        <v/>
      </c>
      <c r="BU99" s="30"/>
      <c r="BV99" s="30"/>
      <c r="BW99" s="30" t="str">
        <f>IF(BX99&lt;&gt;"",BX99,"")</f>
        <v/>
      </c>
      <c r="BX99" s="30"/>
      <c r="BY99" s="30"/>
      <c r="BZ99" s="30" t="str">
        <f>IF(CA99&lt;&gt;"",CA99,"")</f>
        <v/>
      </c>
      <c r="CA99" s="30"/>
      <c r="CB99" s="30"/>
      <c r="CC99" s="30" t="str">
        <f>IF(CD99&lt;&gt;"",CD99,"")</f>
        <v/>
      </c>
      <c r="CD99" s="30"/>
      <c r="CE99" s="30"/>
      <c r="CF99" s="30" t="str">
        <f>IF(CG99&lt;&gt;"",CG99,"")</f>
        <v/>
      </c>
      <c r="CG99" s="30"/>
      <c r="CH99" s="30"/>
      <c r="CI99" s="30" t="str">
        <f>IF(CJ99&lt;&gt;"",CJ99,"")</f>
        <v/>
      </c>
      <c r="CJ99" s="30"/>
      <c r="CK99" s="30"/>
      <c r="CL99" s="30" t="str">
        <f>IF(CM99&lt;&gt;"",CM99,"")</f>
        <v/>
      </c>
      <c r="CM99" s="30"/>
      <c r="CN99" s="30"/>
      <c r="CO99" s="30" t="str">
        <f>IF(CP99&lt;&gt;"",CP99,"")</f>
        <v/>
      </c>
      <c r="CP99" s="30"/>
      <c r="CQ99" s="30"/>
      <c r="CR99" s="30" t="str">
        <f>IF(CS99&lt;&gt;"",CS99,"")</f>
        <v/>
      </c>
      <c r="CS99" s="30"/>
      <c r="CT99" s="30"/>
      <c r="CU99" s="30" t="str">
        <f>IF(CV99&lt;&gt;"",CV99,"")</f>
        <v/>
      </c>
      <c r="CV99" s="30"/>
      <c r="CW99" s="30"/>
      <c r="CX99" s="30" t="str">
        <f>IF(CY99&lt;&gt;"",CY99,"")</f>
        <v/>
      </c>
      <c r="CY99" s="30"/>
      <c r="CZ99" s="30"/>
      <c r="DA99" s="30" t="str">
        <f>IF(DB99&lt;&gt;"",DB99,"")</f>
        <v/>
      </c>
      <c r="DB99" s="30"/>
      <c r="DC99" s="30"/>
      <c r="DD99" s="30" t="str">
        <f>IF(DE99&lt;&gt;"",DE99,"")</f>
        <v/>
      </c>
      <c r="DE99" s="30"/>
      <c r="DF99" s="30"/>
      <c r="DG99" s="30" t="str">
        <f>IF(DH99&lt;&gt;"",DH99,"")</f>
        <v/>
      </c>
      <c r="DH99" s="30"/>
      <c r="DI99" s="30"/>
      <c r="DJ99" s="30" t="str">
        <f>IF(DK99&lt;&gt;"",DK99,"")</f>
        <v/>
      </c>
      <c r="DK99" s="1096"/>
      <c r="DL99" s="30"/>
      <c r="DM99" s="30" t="str">
        <f>IF(DN99&lt;&gt;"",DN99,"")</f>
        <v/>
      </c>
      <c r="DN99" s="1096"/>
      <c r="DO99" s="30"/>
      <c r="DP99" s="30" t="str">
        <f>IF(DQ99&lt;&gt;"",DQ99,"")</f>
        <v/>
      </c>
      <c r="DQ99" s="1096"/>
      <c r="DR99" s="30"/>
      <c r="DS99" s="30" t="str">
        <f>IF(DT99&lt;&gt;"",DT99,"")</f>
        <v/>
      </c>
      <c r="DT99" s="1096"/>
      <c r="DU99" s="30"/>
      <c r="DV99" s="30" t="str">
        <f>IF(DW99&lt;&gt;"",DW99,"")</f>
        <v/>
      </c>
      <c r="DW99" s="1096"/>
      <c r="DX99" s="30"/>
      <c r="DY99" s="30" t="str">
        <f>IF(DZ99&lt;&gt;"",DZ99,"")</f>
        <v/>
      </c>
      <c r="DZ99" s="1096"/>
      <c r="EA99" s="30"/>
      <c r="EB99" s="30" t="str">
        <f>IF(EC99&lt;&gt;"",EC99,"")</f>
        <v/>
      </c>
      <c r="EC99" s="1096"/>
      <c r="ED99" s="30"/>
      <c r="EE99" s="30" t="str">
        <f>IF(EF99&lt;&gt;"",EF99,"")</f>
        <v/>
      </c>
      <c r="EF99" s="1096"/>
      <c r="EG99" s="30"/>
      <c r="EH99" s="30" t="str">
        <f>IF(EI99&lt;&gt;"",EI99,"")</f>
        <v/>
      </c>
      <c r="EI99" s="1096"/>
      <c r="EJ99" s="30"/>
      <c r="EK99" s="30" t="str">
        <f>IF(EL99&lt;&gt;"",EL99,"")</f>
        <v/>
      </c>
      <c r="EL99" s="1096"/>
      <c r="EM99" s="30"/>
      <c r="EN99" s="30" t="str">
        <f>IF(EO99&lt;&gt;"",EO99,"")</f>
        <v/>
      </c>
      <c r="EO99" s="1096"/>
      <c r="EP99" s="30"/>
      <c r="EQ99" s="30" t="str">
        <f>IF(ER99&lt;&gt;"",ER99,"")</f>
        <v/>
      </c>
      <c r="ER99" s="1096"/>
      <c r="ES99" s="30"/>
      <c r="ET99" s="30" t="str">
        <f>IF(EU99&lt;&gt;"",EU99,"")</f>
        <v/>
      </c>
      <c r="EU99" s="1096"/>
      <c r="EV99" s="30"/>
      <c r="EW99" s="30" t="str">
        <f>IF(EX99&lt;&gt;"",EX99,"")</f>
        <v/>
      </c>
      <c r="EX99" s="1096"/>
      <c r="EY99" s="30"/>
      <c r="EZ99" s="30" t="str">
        <f>IF(FA99&lt;&gt;"",FA99,"")</f>
        <v/>
      </c>
      <c r="FA99" s="30"/>
    </row>
    <row r="100" spans="1:157" ht="13.35" customHeight="1" outlineLevel="1">
      <c r="A100" s="5"/>
      <c r="B100" s="5" t="s">
        <v>707</v>
      </c>
      <c r="C100" s="5"/>
      <c r="D100" s="5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30"/>
      <c r="AS100" s="30"/>
      <c r="AT100" s="30"/>
      <c r="AU100" s="30"/>
      <c r="AV100" s="30"/>
      <c r="AW100" s="30"/>
      <c r="AX100" s="30"/>
      <c r="AY100" s="30"/>
      <c r="AZ100" s="30"/>
      <c r="BA100" s="30"/>
      <c r="BB100" s="30"/>
      <c r="BC100" s="30"/>
      <c r="BD100" s="30"/>
      <c r="BE100" s="30" t="str">
        <f>IF(BF100&lt;&gt;"",BF100,"")</f>
        <v/>
      </c>
      <c r="BF100" s="30"/>
      <c r="BG100" s="30"/>
      <c r="BH100" s="30" t="str">
        <f>IF(BI100&lt;&gt;"",BI100,"")</f>
        <v/>
      </c>
      <c r="BI100" s="30"/>
      <c r="BJ100" s="30"/>
      <c r="BK100" s="30" t="str">
        <f>IF(BL100&lt;&gt;"",BL100,"")</f>
        <v/>
      </c>
      <c r="BL100" s="30"/>
      <c r="BM100" s="30"/>
      <c r="BN100" s="30" t="str">
        <f>IF(BO100&lt;&gt;"",BO100,"")</f>
        <v/>
      </c>
      <c r="BO100" s="30"/>
      <c r="BP100" s="30"/>
      <c r="BQ100" s="30" t="str">
        <f>IF(BR100&lt;&gt;"",BR100,"")</f>
        <v/>
      </c>
      <c r="BR100" s="30"/>
      <c r="BS100" s="30"/>
      <c r="BT100" s="30" t="str">
        <f>IF(BU100&lt;&gt;"",BU100,"")</f>
        <v/>
      </c>
      <c r="BU100" s="30"/>
      <c r="BV100" s="30"/>
      <c r="BW100" s="30" t="str">
        <f>IF(BX100&lt;&gt;"",BX100,"")</f>
        <v/>
      </c>
      <c r="BX100" s="30"/>
      <c r="BY100" s="30"/>
      <c r="BZ100" s="30" t="str">
        <f>IF(CA100&lt;&gt;"",CA100,"")</f>
        <v/>
      </c>
      <c r="CA100" s="30"/>
      <c r="CB100" s="30"/>
      <c r="CC100" s="30" t="str">
        <f>IF(CD100&lt;&gt;"",CD100,"")</f>
        <v/>
      </c>
      <c r="CD100" s="30"/>
      <c r="CE100" s="30"/>
      <c r="CF100" s="30" t="str">
        <f>IF(CG100&lt;&gt;"",CG100,"")</f>
        <v/>
      </c>
      <c r="CG100" s="30"/>
      <c r="CH100" s="30"/>
      <c r="CI100" s="30" t="str">
        <f>IF(CJ100&lt;&gt;"",CJ100,"")</f>
        <v/>
      </c>
      <c r="CJ100" s="30"/>
      <c r="CK100" s="30"/>
      <c r="CL100" s="30" t="str">
        <f>IF(CM100&lt;&gt;"",CM100,"")</f>
        <v/>
      </c>
      <c r="CM100" s="30"/>
      <c r="CN100" s="30"/>
      <c r="CO100" s="30">
        <f>IF(CP100&lt;&gt;"",CP100,"")</f>
        <v>15.781000000000002</v>
      </c>
      <c r="CP100" s="30">
        <f>-(P_AB_14+P_ABTAX_14)</f>
        <v>15.781000000000002</v>
      </c>
      <c r="CQ100" s="30"/>
      <c r="CR100" s="30" t="str">
        <f>IF(CS100&lt;&gt;"",CS100,"")</f>
        <v/>
      </c>
      <c r="CS100" s="30"/>
      <c r="CT100" s="30"/>
      <c r="CU100" s="30" t="str">
        <f>IF(CV100&lt;&gt;"",CV100,"")</f>
        <v/>
      </c>
      <c r="CV100" s="30"/>
      <c r="CW100" s="30"/>
      <c r="CX100" s="30" t="str">
        <f>IF(CY100&lt;&gt;"",CY100,"")</f>
        <v/>
      </c>
      <c r="CY100" s="30"/>
      <c r="CZ100" s="30"/>
      <c r="DA100" s="30" t="str">
        <f>IF(DB100&lt;&gt;"",DB100,"")</f>
        <v/>
      </c>
      <c r="DB100" s="30"/>
      <c r="DC100" s="30"/>
      <c r="DD100" s="30" t="str">
        <f>IF(DE100&lt;&gt;"",DE100,"")</f>
        <v/>
      </c>
      <c r="DE100" s="30"/>
      <c r="DF100" s="30"/>
      <c r="DG100" s="30" t="str">
        <f>IF(DH100&lt;&gt;"",DH100,"")</f>
        <v/>
      </c>
      <c r="DH100" s="30"/>
      <c r="DI100" s="30"/>
      <c r="DJ100" s="30" t="str">
        <f>IF(DK100&lt;&gt;"",DK100,"")</f>
        <v/>
      </c>
      <c r="DK100" s="1096"/>
      <c r="DL100" s="30"/>
      <c r="DM100" s="30" t="str">
        <f>IF(DN100&lt;&gt;"",DN100,"")</f>
        <v/>
      </c>
      <c r="DN100" s="1096"/>
      <c r="DO100" s="30"/>
      <c r="DP100" s="30" t="str">
        <f>IF(DQ100&lt;&gt;"",DQ100,"")</f>
        <v/>
      </c>
      <c r="DQ100" s="1096"/>
      <c r="DR100" s="30"/>
      <c r="DS100" s="30" t="str">
        <f>IF(DT100&lt;&gt;"",DT100,"")</f>
        <v/>
      </c>
      <c r="DT100" s="1096"/>
      <c r="DU100" s="30"/>
      <c r="DV100" s="30" t="str">
        <f>IF(DW100&lt;&gt;"",DW100,"")</f>
        <v/>
      </c>
      <c r="DW100" s="1096"/>
      <c r="DX100" s="30"/>
      <c r="DY100" s="30" t="str">
        <f>IF(DZ100&lt;&gt;"",DZ100,"")</f>
        <v/>
      </c>
      <c r="DZ100" s="1096"/>
      <c r="EA100" s="30"/>
      <c r="EB100" s="30" t="str">
        <f>IF(EC100&lt;&gt;"",EC100,"")</f>
        <v/>
      </c>
      <c r="EC100" s="1096"/>
      <c r="ED100" s="30"/>
      <c r="EE100" s="30" t="str">
        <f>IF(EF100&lt;&gt;"",EF100,"")</f>
        <v/>
      </c>
      <c r="EF100" s="1096"/>
      <c r="EG100" s="30"/>
      <c r="EH100" s="30" t="str">
        <f>IF(EI100&lt;&gt;"",EI100,"")</f>
        <v/>
      </c>
      <c r="EI100" s="1096"/>
      <c r="EJ100" s="30"/>
      <c r="EK100" s="30" t="str">
        <f>IF(EL100&lt;&gt;"",EL100,"")</f>
        <v/>
      </c>
      <c r="EL100" s="1096"/>
      <c r="EM100" s="30"/>
      <c r="EN100" s="30" t="str">
        <f>IF(EO100&lt;&gt;"",EO100,"")</f>
        <v/>
      </c>
      <c r="EO100" s="1096"/>
      <c r="EP100" s="30"/>
      <c r="EQ100" s="30" t="str">
        <f>IF(ER100&lt;&gt;"",ER100,"")</f>
        <v/>
      </c>
      <c r="ER100" s="1096"/>
      <c r="ES100" s="30"/>
      <c r="ET100" s="30" t="str">
        <f>IF(EU100&lt;&gt;"",EU100,"")</f>
        <v/>
      </c>
      <c r="EU100" s="1096"/>
      <c r="EV100" s="30"/>
      <c r="EW100" s="30" t="str">
        <f>IF(EX100&lt;&gt;"",EX100,"")</f>
        <v/>
      </c>
      <c r="EX100" s="1096"/>
      <c r="EY100" s="30"/>
      <c r="EZ100" s="30" t="str">
        <f>IF(FA100&lt;&gt;"",FA100,"")</f>
        <v/>
      </c>
      <c r="FA100" s="30"/>
    </row>
    <row r="101" spans="1:157" ht="13.35" customHeight="1" outlineLevel="1">
      <c r="A101" s="5"/>
      <c r="B101" s="5" t="s">
        <v>19</v>
      </c>
      <c r="C101" s="5"/>
      <c r="D101" s="5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30"/>
      <c r="AS101" s="30"/>
      <c r="AT101" s="30"/>
      <c r="AU101" s="30"/>
      <c r="AV101" s="30"/>
      <c r="AW101" s="30"/>
      <c r="AX101" s="30"/>
      <c r="AY101" s="30"/>
      <c r="AZ101" s="30"/>
      <c r="BA101" s="30"/>
      <c r="BB101" s="30"/>
      <c r="BC101" s="30"/>
      <c r="BD101" s="30"/>
      <c r="BE101" s="30" t="str">
        <f>IF(BF101&lt;&gt;"",BF101,"")</f>
        <v/>
      </c>
      <c r="BF101" s="30"/>
      <c r="BG101" s="30"/>
      <c r="BH101" s="30" t="str">
        <f>IF(BI101&lt;&gt;"",BI101,"")</f>
        <v/>
      </c>
      <c r="BI101" s="30"/>
      <c r="BJ101" s="30"/>
      <c r="BK101" s="30" t="str">
        <f>IF(BL101&lt;&gt;"",BL101,"")</f>
        <v/>
      </c>
      <c r="BL101" s="30"/>
      <c r="BM101" s="30"/>
      <c r="BN101" s="30" t="str">
        <f>IF(BO101&lt;&gt;"",BO101,"")</f>
        <v/>
      </c>
      <c r="BO101" s="30"/>
      <c r="BP101" s="30"/>
      <c r="BQ101" s="30" t="str">
        <f>IF(BR101&lt;&gt;"",BR101,"")</f>
        <v/>
      </c>
      <c r="BR101" s="30"/>
      <c r="BS101" s="30"/>
      <c r="BT101" s="30" t="str">
        <f>IF(BU101&lt;&gt;"",BU101,"")</f>
        <v/>
      </c>
      <c r="BU101" s="30"/>
      <c r="BV101" s="30"/>
      <c r="BW101" s="30" t="str">
        <f>IF(BX101&lt;&gt;"",BX101,"")</f>
        <v/>
      </c>
      <c r="BX101" s="30"/>
      <c r="BY101" s="30"/>
      <c r="BZ101" s="30" t="str">
        <f>IF(CA101&lt;&gt;"",CA101,"")</f>
        <v/>
      </c>
      <c r="CA101" s="30"/>
      <c r="CB101" s="30"/>
      <c r="CC101" s="30" t="str">
        <f>IF(CD101&lt;&gt;"",CD101,"")</f>
        <v/>
      </c>
      <c r="CD101" s="30"/>
      <c r="CE101" s="30"/>
      <c r="CF101" s="30" t="str">
        <f>IF(CG101&lt;&gt;"",CG101,"")</f>
        <v/>
      </c>
      <c r="CG101" s="30"/>
      <c r="CH101" s="30"/>
      <c r="CI101" s="30" t="str">
        <f>IF(CJ101&lt;&gt;"",CJ101,"")</f>
        <v/>
      </c>
      <c r="CJ101" s="30"/>
      <c r="CK101" s="30"/>
      <c r="CL101" s="30" t="str">
        <f>IF(CM101&lt;&gt;"",CM101,"")</f>
        <v/>
      </c>
      <c r="CM101" s="30"/>
      <c r="CN101" s="30"/>
      <c r="CO101" s="30" t="str">
        <f>IF(CP101&lt;&gt;"",CP101,"")</f>
        <v/>
      </c>
      <c r="CP101" s="30"/>
      <c r="CQ101" s="30"/>
      <c r="CR101" s="30" t="str">
        <f>IF(CS101&lt;&gt;"",CS101,"")</f>
        <v/>
      </c>
      <c r="CS101" s="30"/>
      <c r="CT101" s="30"/>
      <c r="CU101" s="30" t="str">
        <f>IF(CV101&lt;&gt;"",CV101,"")</f>
        <v/>
      </c>
      <c r="CV101" s="30"/>
      <c r="CW101" s="30"/>
      <c r="CX101" s="30" t="str">
        <f>IF(CY101&lt;&gt;"",CY101,"")</f>
        <v/>
      </c>
      <c r="CY101" s="30"/>
      <c r="CZ101" s="30"/>
      <c r="DA101" s="30" t="str">
        <f>IF(DB101&lt;&gt;"",DB101,"")</f>
        <v/>
      </c>
      <c r="DB101" s="30"/>
      <c r="DC101" s="30"/>
      <c r="DD101" s="30" t="str">
        <f>IF(DE101&lt;&gt;"",DE101,"")</f>
        <v/>
      </c>
      <c r="DE101" s="30"/>
      <c r="DF101" s="30"/>
      <c r="DG101" s="30" t="str">
        <f>IF(DH101&lt;&gt;"",DH101,"")</f>
        <v/>
      </c>
      <c r="DH101" s="30"/>
      <c r="DI101" s="30"/>
      <c r="DJ101" s="30" t="str">
        <f>IF(DK101&lt;&gt;"",DK101,"")</f>
        <v/>
      </c>
      <c r="DK101" s="1096"/>
      <c r="DL101" s="30"/>
      <c r="DM101" s="30" t="str">
        <f>IF(DN101&lt;&gt;"",DN101,"")</f>
        <v/>
      </c>
      <c r="DN101" s="1096"/>
      <c r="DO101" s="30"/>
      <c r="DP101" s="30" t="str">
        <f>IF(DQ101&lt;&gt;"",DQ101,"")</f>
        <v/>
      </c>
      <c r="DQ101" s="1096"/>
      <c r="DR101" s="30"/>
      <c r="DS101" s="30" t="str">
        <f>IF(DT101&lt;&gt;"",DT101,"")</f>
        <v/>
      </c>
      <c r="DT101" s="1096"/>
      <c r="DU101" s="30"/>
      <c r="DV101" s="30" t="str">
        <f>IF(DW101&lt;&gt;"",DW101,"")</f>
        <v/>
      </c>
      <c r="DW101" s="1096"/>
      <c r="DX101" s="30"/>
      <c r="DY101" s="30" t="str">
        <f>IF(DZ101&lt;&gt;"",DZ101,"")</f>
        <v/>
      </c>
      <c r="DZ101" s="1096"/>
      <c r="EA101" s="30"/>
      <c r="EB101" s="30" t="str">
        <f>IF(EC101&lt;&gt;"",EC101,"")</f>
        <v/>
      </c>
      <c r="EC101" s="1096"/>
      <c r="ED101" s="30"/>
      <c r="EE101" s="30" t="str">
        <f>IF(EF101&lt;&gt;"",EF101,"")</f>
        <v/>
      </c>
      <c r="EF101" s="1096"/>
      <c r="EG101" s="30"/>
      <c r="EH101" s="30" t="str">
        <f>IF(EI101&lt;&gt;"",EI101,"")</f>
        <v/>
      </c>
      <c r="EI101" s="1096"/>
      <c r="EJ101" s="30"/>
      <c r="EK101" s="30" t="str">
        <f>IF(EL101&lt;&gt;"",EL101,"")</f>
        <v/>
      </c>
      <c r="EL101" s="1096"/>
      <c r="EM101" s="30"/>
      <c r="EN101" s="30" t="str">
        <f>IF(EO101&lt;&gt;"",EO101,"")</f>
        <v/>
      </c>
      <c r="EO101" s="1096"/>
      <c r="EP101" s="30"/>
      <c r="EQ101" s="30" t="str">
        <f>IF(ER101&lt;&gt;"",ER101,"")</f>
        <v/>
      </c>
      <c r="ER101" s="1096"/>
      <c r="ES101" s="30"/>
      <c r="ET101" s="30" t="str">
        <f>IF(EU101&lt;&gt;"",EU101,"")</f>
        <v/>
      </c>
      <c r="EU101" s="1096"/>
      <c r="EV101" s="30"/>
      <c r="EW101" s="30" t="str">
        <f>IF(EX101&lt;&gt;"",EX101,"")</f>
        <v/>
      </c>
      <c r="EX101" s="1096"/>
      <c r="EY101" s="30"/>
      <c r="EZ101" s="30" t="str">
        <f>IF(FA101&lt;&gt;"",FA101,"")</f>
        <v/>
      </c>
      <c r="FA101" s="30"/>
    </row>
    <row r="102" spans="1:157" ht="13.35" customHeight="1" outlineLevel="1">
      <c r="A102" s="5"/>
      <c r="B102" s="5" t="s">
        <v>20</v>
      </c>
      <c r="C102" s="5"/>
      <c r="D102" s="5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  <c r="AS102" s="30"/>
      <c r="AT102" s="30"/>
      <c r="AU102" s="30"/>
      <c r="AV102" s="30"/>
      <c r="AW102" s="30"/>
      <c r="AX102" s="30"/>
      <c r="AY102" s="30"/>
      <c r="AZ102" s="30"/>
      <c r="BA102" s="30"/>
      <c r="BB102" s="30"/>
      <c r="BC102" s="30"/>
      <c r="BD102" s="30" t="str">
        <f>IF(BD100&lt;&gt;"",BD100-BD101,"")</f>
        <v/>
      </c>
      <c r="BE102" s="30" t="str">
        <f>IF(BF102&lt;&gt;"",BF102,"")</f>
        <v/>
      </c>
      <c r="BF102" s="30" t="str">
        <f>IF(BF100&lt;&gt;"",BF100-BF101,"")</f>
        <v/>
      </c>
      <c r="BG102" s="30" t="str">
        <f>IF(BG100&lt;&gt;"",BG100-BG101,"")</f>
        <v/>
      </c>
      <c r="BH102" s="30" t="str">
        <f>IF(BI102&lt;&gt;"",BI102,"")</f>
        <v/>
      </c>
      <c r="BI102" s="30" t="str">
        <f>IF(BI100&lt;&gt;"",BI100-BI101,"")</f>
        <v/>
      </c>
      <c r="BJ102" s="30" t="str">
        <f>IF(BJ100&lt;&gt;"",BJ100-BJ101,"")</f>
        <v/>
      </c>
      <c r="BK102" s="30" t="str">
        <f>IF(BL102&lt;&gt;"",BL102,"")</f>
        <v/>
      </c>
      <c r="BL102" s="30" t="str">
        <f>IF(BL100&lt;&gt;"",BL100-BL101,"")</f>
        <v/>
      </c>
      <c r="BM102" s="30" t="str">
        <f>IF(BM100&lt;&gt;"",BM100-BM101,"")</f>
        <v/>
      </c>
      <c r="BN102" s="30" t="str">
        <f>IF(BO102&lt;&gt;"",BO102,"")</f>
        <v/>
      </c>
      <c r="BO102" s="30" t="str">
        <f>IF(BO100&lt;&gt;"",BO100-BO101,"")</f>
        <v/>
      </c>
      <c r="BP102" s="30" t="str">
        <f>IF(BP100&lt;&gt;"",BP100-BP101,"")</f>
        <v/>
      </c>
      <c r="BQ102" s="30" t="str">
        <f>IF(BR102&lt;&gt;"",BR102,"")</f>
        <v/>
      </c>
      <c r="BR102" s="30" t="str">
        <f>IF(BR100&lt;&gt;"",BR100-BR101,"")</f>
        <v/>
      </c>
      <c r="BS102" s="30" t="str">
        <f>IF(BS100&lt;&gt;"",BS100-BS101,"")</f>
        <v/>
      </c>
      <c r="BT102" s="30" t="str">
        <f>IF(BU102&lt;&gt;"",BU102,"")</f>
        <v/>
      </c>
      <c r="BU102" s="30" t="str">
        <f>IF(BU100&lt;&gt;"",BU100-BU101,"")</f>
        <v/>
      </c>
      <c r="BV102" s="30" t="str">
        <f>IF(BV100&lt;&gt;"",BV100-BV101,"")</f>
        <v/>
      </c>
      <c r="BW102" s="30" t="str">
        <f>IF(BX102&lt;&gt;"",BX102,"")</f>
        <v/>
      </c>
      <c r="BX102" s="30" t="str">
        <f>IF(BX100&lt;&gt;"",BX100-BX101,"")</f>
        <v/>
      </c>
      <c r="BY102" s="30" t="str">
        <f>IF(BY100&lt;&gt;"",BY100-BY101,"")</f>
        <v/>
      </c>
      <c r="BZ102" s="30" t="str">
        <f>IF(CA102&lt;&gt;"",CA102,"")</f>
        <v/>
      </c>
      <c r="CA102" s="30" t="str">
        <f>IF(CA100&lt;&gt;"",CA100-CA101,"")</f>
        <v/>
      </c>
      <c r="CB102" s="30" t="str">
        <f>IF(CB100&lt;&gt;"",CB100-CB101,"")</f>
        <v/>
      </c>
      <c r="CC102" s="30" t="str">
        <f>IF(CD102&lt;&gt;"",CD102,"")</f>
        <v/>
      </c>
      <c r="CD102" s="30" t="str">
        <f>IF(CD100&lt;&gt;"",CD100-CD101,"")</f>
        <v/>
      </c>
      <c r="CE102" s="30" t="str">
        <f>IF(CE100&lt;&gt;"",CE100-CE101,"")</f>
        <v/>
      </c>
      <c r="CF102" s="30" t="str">
        <f>IF(CG102&lt;&gt;"",CG102,"")</f>
        <v/>
      </c>
      <c r="CG102" s="30" t="str">
        <f>IF(CG100&lt;&gt;"",CG100-CG101,"")</f>
        <v/>
      </c>
      <c r="CH102" s="30" t="str">
        <f>IF(CH100&lt;&gt;"",CH100-CH101,"")</f>
        <v/>
      </c>
      <c r="CI102" s="30" t="str">
        <f>IF(CJ102&lt;&gt;"",CJ102,"")</f>
        <v/>
      </c>
      <c r="CJ102" s="30" t="str">
        <f>IF(CJ100&lt;&gt;"",CJ100-CJ101,"")</f>
        <v/>
      </c>
      <c r="CK102" s="30" t="str">
        <f>IF(CK100&lt;&gt;"",CK100-CK101,"")</f>
        <v/>
      </c>
      <c r="CL102" s="30" t="str">
        <f>IF(CM102&lt;&gt;"",CM102,"")</f>
        <v/>
      </c>
      <c r="CM102" s="30" t="str">
        <f>IF(CM100&lt;&gt;"",CM100-CM101,"")</f>
        <v/>
      </c>
      <c r="CN102" s="30" t="str">
        <f>IF(CN100&lt;&gt;"",CN100-CN101,"")</f>
        <v/>
      </c>
      <c r="CO102" s="30">
        <f>IF(CP102&lt;&gt;"",CP102,"")</f>
        <v>15.781000000000002</v>
      </c>
      <c r="CP102" s="30">
        <f>IF(CP100&lt;&gt;"",CP100-CP101,"")</f>
        <v>15.781000000000002</v>
      </c>
      <c r="CQ102" s="30" t="str">
        <f>IF(CQ100&lt;&gt;"",CQ100-CQ101,"")</f>
        <v/>
      </c>
      <c r="CR102" s="30" t="str">
        <f>IF(CS102&lt;&gt;"",CS102,"")</f>
        <v/>
      </c>
      <c r="CS102" s="30" t="str">
        <f>IF(CS100&lt;&gt;"",CS100-CS101,"")</f>
        <v/>
      </c>
      <c r="CT102" s="30" t="str">
        <f>IF(CT100&lt;&gt;"",CT100-CT101,"")</f>
        <v/>
      </c>
      <c r="CU102" s="30" t="str">
        <f>IF(CV102&lt;&gt;"",CV102,"")</f>
        <v/>
      </c>
      <c r="CV102" s="30" t="str">
        <f>IF(CV100&lt;&gt;"",CV100-CV101,"")</f>
        <v/>
      </c>
      <c r="CW102" s="30" t="str">
        <f>IF(CW100&lt;&gt;"",CW100-CW101,"")</f>
        <v/>
      </c>
      <c r="CX102" s="30" t="str">
        <f>IF(CY102&lt;&gt;"",CY102,"")</f>
        <v/>
      </c>
      <c r="CY102" s="30" t="str">
        <f>IF(CY100&lt;&gt;"",CY100-CY101,"")</f>
        <v/>
      </c>
      <c r="CZ102" s="30" t="str">
        <f>IF(CZ100&lt;&gt;"",CZ100-CZ101,"")</f>
        <v/>
      </c>
      <c r="DA102" s="30" t="str">
        <f>IF(DB102&lt;&gt;"",DB102,"")</f>
        <v/>
      </c>
      <c r="DB102" s="30" t="str">
        <f>IF(DB100&lt;&gt;"",DB100-DB101,"")</f>
        <v/>
      </c>
      <c r="DC102" s="30" t="str">
        <f>IF(DC100&lt;&gt;"",DC100-DC101,"")</f>
        <v/>
      </c>
      <c r="DD102" s="30" t="str">
        <f>IF(DE102&lt;&gt;"",DE102,"")</f>
        <v/>
      </c>
      <c r="DE102" s="30" t="str">
        <f>IF(DE100&lt;&gt;"",DE100-DE101,"")</f>
        <v/>
      </c>
      <c r="DF102" s="30" t="str">
        <f>IF(DF100&lt;&gt;"",DF100-DF101,"")</f>
        <v/>
      </c>
      <c r="DG102" s="30" t="str">
        <f>IF(DH102&lt;&gt;"",DH102,"")</f>
        <v/>
      </c>
      <c r="DH102" s="30" t="str">
        <f>IF(DH100&lt;&gt;"",DH100-DH101,"")</f>
        <v/>
      </c>
      <c r="DI102" s="30" t="str">
        <f>IF(DI100&lt;&gt;"",DI100-DI101,"")</f>
        <v/>
      </c>
      <c r="DJ102" s="30" t="str">
        <f>IF(DK102&lt;&gt;"",DK102,"")</f>
        <v/>
      </c>
      <c r="DK102" s="1096" t="str">
        <f>IF(DK100&lt;&gt;"",DK100-DK101,"")</f>
        <v/>
      </c>
      <c r="DL102" s="30" t="str">
        <f>IF(DL100&lt;&gt;"",DL100-DL101,"")</f>
        <v/>
      </c>
      <c r="DM102" s="30" t="str">
        <f>IF(DN102&lt;&gt;"",DN102,"")</f>
        <v/>
      </c>
      <c r="DN102" s="1096" t="str">
        <f>IF(DN100&lt;&gt;"",DN100-DN101,"")</f>
        <v/>
      </c>
      <c r="DO102" s="30" t="str">
        <f>IF(DO100&lt;&gt;"",DO100-DO101,"")</f>
        <v/>
      </c>
      <c r="DP102" s="30" t="str">
        <f>IF(DQ102&lt;&gt;"",DQ102,"")</f>
        <v/>
      </c>
      <c r="DQ102" s="1096" t="str">
        <f>IF(DQ100&lt;&gt;"",DQ100-DQ101,"")</f>
        <v/>
      </c>
      <c r="DR102" s="30" t="str">
        <f>IF(DR100&lt;&gt;"",DR100-DR101,"")</f>
        <v/>
      </c>
      <c r="DS102" s="30" t="str">
        <f>IF(DT102&lt;&gt;"",DT102,"")</f>
        <v/>
      </c>
      <c r="DT102" s="1096" t="str">
        <f>IF(DT100&lt;&gt;"",DT100-DT101,"")</f>
        <v/>
      </c>
      <c r="DU102" s="30" t="str">
        <f>IF(DU100&lt;&gt;"",DU100-DU101,"")</f>
        <v/>
      </c>
      <c r="DV102" s="30" t="str">
        <f>IF(DW102&lt;&gt;"",DW102,"")</f>
        <v/>
      </c>
      <c r="DW102" s="1096" t="str">
        <f>IF(DW100&lt;&gt;"",DW100-DW101,"")</f>
        <v/>
      </c>
      <c r="DX102" s="30" t="str">
        <f>IF(DX100&lt;&gt;"",DX100-DX101,"")</f>
        <v/>
      </c>
      <c r="DY102" s="30" t="str">
        <f>IF(DZ102&lt;&gt;"",DZ102,"")</f>
        <v/>
      </c>
      <c r="DZ102" s="1096" t="str">
        <f>IF(DZ100&lt;&gt;"",DZ100-DZ101,"")</f>
        <v/>
      </c>
      <c r="EA102" s="30" t="str">
        <f>IF(EA100&lt;&gt;"",EA100-EA101,"")</f>
        <v/>
      </c>
      <c r="EB102" s="30" t="str">
        <f>IF(EC102&lt;&gt;"",EC102,"")</f>
        <v/>
      </c>
      <c r="EC102" s="1096" t="str">
        <f>IF(EC100&lt;&gt;"",EC100-EC101,"")</f>
        <v/>
      </c>
      <c r="ED102" s="30" t="str">
        <f>IF(ED100&lt;&gt;"",ED100-ED101,"")</f>
        <v/>
      </c>
      <c r="EE102" s="30" t="str">
        <f>IF(EF102&lt;&gt;"",EF102,"")</f>
        <v/>
      </c>
      <c r="EF102" s="1096" t="str">
        <f>IF(EF100&lt;&gt;"",EF100-EF101,"")</f>
        <v/>
      </c>
      <c r="EG102" s="30" t="str">
        <f>IF(EG100&lt;&gt;"",EG100-EG101,"")</f>
        <v/>
      </c>
      <c r="EH102" s="30" t="str">
        <f>IF(EI102&lt;&gt;"",EI102,"")</f>
        <v/>
      </c>
      <c r="EI102" s="1096" t="str">
        <f>IF(EI100&lt;&gt;"",EI100-EI101,"")</f>
        <v/>
      </c>
      <c r="EJ102" s="30" t="str">
        <f>IF(EJ100&lt;&gt;"",EJ100-EJ101,"")</f>
        <v/>
      </c>
      <c r="EK102" s="30" t="str">
        <f>IF(EL102&lt;&gt;"",EL102,"")</f>
        <v/>
      </c>
      <c r="EL102" s="1096" t="str">
        <f>IF(EL100&lt;&gt;"",EL100-EL101,"")</f>
        <v/>
      </c>
      <c r="EM102" s="30" t="str">
        <f>IF(EM100&lt;&gt;"",EM100-EM101,"")</f>
        <v/>
      </c>
      <c r="EN102" s="30" t="str">
        <f>IF(EO102&lt;&gt;"",EO102,"")</f>
        <v/>
      </c>
      <c r="EO102" s="1096" t="str">
        <f>IF(EO100&lt;&gt;"",EO100-EO101,"")</f>
        <v/>
      </c>
      <c r="EP102" s="30" t="str">
        <f>IF(EP100&lt;&gt;"",EP100-EP101,"")</f>
        <v/>
      </c>
      <c r="EQ102" s="30" t="str">
        <f>IF(ER102&lt;&gt;"",ER102,"")</f>
        <v/>
      </c>
      <c r="ER102" s="1096" t="str">
        <f>IF(ER100&lt;&gt;"",ER100-ER101,"")</f>
        <v/>
      </c>
      <c r="ES102" s="30" t="str">
        <f>IF(ES100&lt;&gt;"",ES100-ES101,"")</f>
        <v/>
      </c>
      <c r="ET102" s="30" t="str">
        <f>IF(EU102&lt;&gt;"",EU102,"")</f>
        <v/>
      </c>
      <c r="EU102" s="1096" t="str">
        <f>IF(EU100&lt;&gt;"",EU100-EU101,"")</f>
        <v/>
      </c>
      <c r="EV102" s="30" t="str">
        <f>IF(EV100&lt;&gt;"",EV100-EV101,"")</f>
        <v/>
      </c>
      <c r="EW102" s="30" t="str">
        <f>IF(EX102&lt;&gt;"",EX102,"")</f>
        <v/>
      </c>
      <c r="EX102" s="1096" t="str">
        <f>IF(EX100&lt;&gt;"",EX100-EX101,"")</f>
        <v/>
      </c>
      <c r="EY102" s="30" t="str">
        <f>IF(EY100&lt;&gt;"",EY100-EY101,"")</f>
        <v/>
      </c>
      <c r="EZ102" s="30" t="str">
        <f>IF(FA102&lt;&gt;"",FA102,"")</f>
        <v/>
      </c>
      <c r="FA102" s="30" t="str">
        <f>IF(FA100&lt;&gt;"",FA100-FA101,"")</f>
        <v/>
      </c>
    </row>
    <row r="103" spans="1:157" ht="13.35" customHeight="1" outlineLevel="1">
      <c r="A103" s="5"/>
      <c r="B103" s="5"/>
      <c r="C103" s="5"/>
      <c r="D103" s="5"/>
      <c r="E103" s="359"/>
      <c r="F103" s="359"/>
      <c r="G103" s="359"/>
      <c r="H103" s="359"/>
      <c r="I103" s="359"/>
      <c r="J103" s="359"/>
      <c r="K103" s="359"/>
      <c r="L103" s="359"/>
      <c r="M103" s="359"/>
      <c r="N103" s="359"/>
      <c r="O103" s="359"/>
      <c r="P103" s="359"/>
      <c r="Q103" s="359"/>
      <c r="R103" s="359"/>
      <c r="S103" s="359"/>
      <c r="T103" s="359"/>
      <c r="U103" s="359"/>
      <c r="V103" s="359"/>
      <c r="W103" s="359"/>
      <c r="X103" s="359"/>
      <c r="Y103" s="359"/>
      <c r="Z103" s="359"/>
      <c r="AA103" s="359"/>
      <c r="AB103" s="359"/>
      <c r="AC103" s="359"/>
      <c r="AD103" s="359"/>
      <c r="AE103" s="359"/>
      <c r="AF103" s="359"/>
      <c r="AG103" s="359"/>
      <c r="AH103" s="359"/>
      <c r="AI103" s="359"/>
      <c r="AJ103" s="359"/>
      <c r="AK103" s="359"/>
      <c r="AL103" s="359"/>
      <c r="AM103" s="359"/>
      <c r="AN103" s="359"/>
      <c r="AO103" s="359"/>
      <c r="AP103" s="359"/>
      <c r="AQ103" s="359"/>
      <c r="AR103" s="359"/>
      <c r="AS103" s="359"/>
      <c r="AT103" s="359"/>
      <c r="AU103" s="359"/>
      <c r="AV103" s="359"/>
      <c r="AW103" s="359"/>
      <c r="AX103" s="359"/>
      <c r="AY103" s="359"/>
      <c r="AZ103" s="359"/>
      <c r="BA103" s="359"/>
      <c r="BB103" s="359"/>
      <c r="BC103" s="359"/>
      <c r="BD103" s="359"/>
      <c r="BE103" s="359"/>
      <c r="BF103" s="359"/>
      <c r="BG103" s="359"/>
      <c r="BH103" s="359"/>
      <c r="BI103" s="359"/>
      <c r="BJ103" s="359"/>
      <c r="BK103" s="359"/>
      <c r="BL103" s="359"/>
      <c r="BM103" s="359"/>
      <c r="BN103" s="359"/>
      <c r="BO103" s="359"/>
      <c r="BP103" s="359"/>
      <c r="BQ103" s="359"/>
      <c r="BR103" s="359"/>
      <c r="BS103" s="359"/>
      <c r="BT103" s="359"/>
      <c r="BU103" s="359"/>
      <c r="BV103" s="359"/>
      <c r="BW103" s="359"/>
      <c r="BX103" s="359"/>
      <c r="BY103" s="359"/>
      <c r="BZ103" s="359"/>
      <c r="CA103" s="359"/>
      <c r="CB103" s="359"/>
      <c r="CC103" s="359"/>
      <c r="CD103" s="359"/>
      <c r="CE103" s="359"/>
      <c r="CF103" s="359"/>
      <c r="CG103" s="359"/>
      <c r="CH103" s="359"/>
      <c r="CI103" s="359"/>
      <c r="CJ103" s="359"/>
      <c r="CK103" s="359"/>
      <c r="CL103" s="359"/>
      <c r="CM103" s="359"/>
      <c r="CN103" s="359"/>
      <c r="CO103" s="359"/>
      <c r="CP103" s="359"/>
      <c r="CQ103" s="359"/>
      <c r="CR103" s="359"/>
      <c r="CS103" s="359"/>
      <c r="CT103" s="359"/>
      <c r="CU103" s="359"/>
      <c r="CV103" s="359"/>
      <c r="CW103" s="359"/>
      <c r="CX103" s="359"/>
      <c r="CY103" s="359"/>
      <c r="CZ103" s="359"/>
      <c r="DA103" s="359"/>
      <c r="DB103" s="359"/>
      <c r="DC103" s="359"/>
      <c r="DD103" s="359"/>
      <c r="DE103" s="359"/>
      <c r="DF103" s="359"/>
      <c r="DG103" s="359"/>
      <c r="DH103" s="359"/>
      <c r="DI103" s="359"/>
      <c r="DJ103" s="359"/>
      <c r="DK103" s="1208"/>
      <c r="DL103" s="359"/>
      <c r="DM103" s="359"/>
      <c r="DN103" s="1208"/>
      <c r="DO103" s="359"/>
      <c r="DP103" s="359"/>
      <c r="DQ103" s="1208"/>
      <c r="DR103" s="359"/>
      <c r="DS103" s="359"/>
      <c r="DT103" s="1208"/>
      <c r="DU103" s="359"/>
      <c r="DV103" s="359"/>
      <c r="DW103" s="1208"/>
      <c r="DX103" s="359"/>
      <c r="DY103" s="359"/>
      <c r="DZ103" s="1208"/>
      <c r="EA103" s="359"/>
      <c r="EB103" s="359"/>
      <c r="EC103" s="1208"/>
      <c r="ED103" s="359"/>
      <c r="EE103" s="359"/>
      <c r="EF103" s="1208"/>
      <c r="EG103" s="359"/>
      <c r="EH103" s="359"/>
      <c r="EI103" s="1208"/>
      <c r="EJ103" s="359"/>
      <c r="EK103" s="359"/>
      <c r="EL103" s="1208"/>
      <c r="EM103" s="359"/>
      <c r="EN103" s="359"/>
      <c r="EO103" s="1208"/>
      <c r="EP103" s="359"/>
      <c r="EQ103" s="359"/>
      <c r="ER103" s="1208"/>
      <c r="ES103" s="359"/>
      <c r="ET103" s="359"/>
      <c r="EU103" s="1208"/>
      <c r="EV103" s="359"/>
      <c r="EW103" s="359"/>
      <c r="EX103" s="1208"/>
      <c r="EY103" s="359"/>
      <c r="EZ103" s="359"/>
      <c r="FA103" s="359"/>
    </row>
    <row r="104" spans="1:157" ht="13.35" customHeight="1">
      <c r="A104" s="5"/>
      <c r="B104" s="5" t="s">
        <v>632</v>
      </c>
      <c r="C104" s="5"/>
      <c r="D104" s="5"/>
      <c r="E104" s="359"/>
      <c r="F104" s="359"/>
      <c r="G104" s="359"/>
      <c r="H104" s="359"/>
      <c r="I104" s="359"/>
      <c r="J104" s="359"/>
      <c r="K104" s="359"/>
      <c r="L104" s="359"/>
      <c r="M104" s="359"/>
      <c r="N104" s="359"/>
      <c r="O104" s="359"/>
      <c r="P104" s="359"/>
      <c r="Q104" s="359"/>
      <c r="R104" s="359"/>
      <c r="S104" s="359"/>
      <c r="T104" s="359"/>
      <c r="U104" s="359"/>
      <c r="V104" s="359"/>
      <c r="W104" s="359"/>
      <c r="X104" s="359"/>
      <c r="Y104" s="359"/>
      <c r="Z104" s="359"/>
      <c r="AA104" s="359"/>
      <c r="AB104" s="359"/>
      <c r="AC104" s="359"/>
      <c r="AD104" s="359"/>
      <c r="AE104" s="359"/>
      <c r="AF104" s="359"/>
      <c r="AG104" s="359"/>
      <c r="AH104" s="359"/>
      <c r="AI104" s="359"/>
      <c r="AJ104" s="359"/>
      <c r="AK104" s="359"/>
      <c r="AL104" s="359"/>
      <c r="AM104" s="359"/>
      <c r="AN104" s="359"/>
      <c r="AO104" s="359"/>
      <c r="AP104" s="359"/>
      <c r="AQ104" s="359"/>
      <c r="AR104" s="359"/>
      <c r="AS104" s="359"/>
      <c r="AT104" s="359"/>
      <c r="AU104" s="359"/>
      <c r="AV104" s="359"/>
      <c r="AW104" s="359"/>
      <c r="AX104" s="359"/>
      <c r="AY104" s="359"/>
      <c r="AZ104" s="359"/>
      <c r="BA104" s="359"/>
      <c r="BB104" s="359"/>
      <c r="BC104" s="359"/>
      <c r="BD104" s="359"/>
      <c r="BE104" s="359"/>
      <c r="BF104" s="359"/>
      <c r="BG104" s="359"/>
      <c r="BH104" s="359"/>
      <c r="BI104" s="359"/>
      <c r="BJ104" s="359"/>
      <c r="BK104" s="359"/>
      <c r="BL104" s="359"/>
      <c r="BM104" s="359"/>
      <c r="BN104" s="359"/>
      <c r="BO104" s="359"/>
      <c r="BP104" s="359"/>
      <c r="BQ104" s="359"/>
      <c r="BR104" s="359"/>
      <c r="BS104" s="359"/>
      <c r="BT104" s="359"/>
      <c r="BU104" s="359"/>
      <c r="BV104" s="359"/>
      <c r="BW104" s="359"/>
      <c r="BX104" s="359"/>
      <c r="BY104" s="359"/>
      <c r="BZ104" s="359"/>
      <c r="CA104" s="359"/>
      <c r="CB104" s="359"/>
      <c r="CC104" s="359"/>
      <c r="CD104" s="359"/>
      <c r="CE104" s="359"/>
      <c r="CF104" s="359"/>
      <c r="CG104" s="359"/>
      <c r="CH104" s="359"/>
      <c r="CI104" s="359"/>
      <c r="CJ104" s="359"/>
      <c r="CK104" s="359"/>
      <c r="CL104" s="359"/>
      <c r="CM104" s="359"/>
      <c r="CN104" s="359"/>
      <c r="CO104" s="359"/>
      <c r="CP104" s="359"/>
      <c r="CQ104" s="359"/>
      <c r="CR104" s="359"/>
      <c r="CS104" s="359"/>
      <c r="CT104" s="359"/>
      <c r="CU104" s="359"/>
      <c r="CV104" s="359"/>
      <c r="CW104" s="359"/>
      <c r="CX104" s="359"/>
      <c r="CY104" s="359"/>
      <c r="CZ104" s="359"/>
      <c r="DA104" s="359"/>
      <c r="DB104" s="359"/>
      <c r="DC104" s="359"/>
      <c r="DD104" s="359"/>
      <c r="DE104" s="359"/>
      <c r="DF104" s="359"/>
      <c r="DG104" s="359"/>
      <c r="DH104" s="359"/>
      <c r="DI104" s="359"/>
      <c r="DJ104" s="359"/>
      <c r="DK104" s="1208"/>
      <c r="DL104" s="359"/>
      <c r="DM104" s="359"/>
      <c r="DN104" s="1208"/>
      <c r="DO104" s="359"/>
      <c r="DP104" s="359"/>
      <c r="DQ104" s="1208"/>
      <c r="DR104" s="359"/>
      <c r="DS104" s="359"/>
      <c r="DT104" s="1208"/>
      <c r="DU104" s="359"/>
      <c r="DV104" s="359"/>
      <c r="DW104" s="1208"/>
      <c r="DX104" s="359"/>
      <c r="DY104" s="359"/>
      <c r="DZ104" s="1208"/>
      <c r="EA104" s="359"/>
      <c r="EB104" s="359"/>
      <c r="EC104" s="1208"/>
      <c r="ED104" s="359"/>
      <c r="EE104" s="359"/>
      <c r="EF104" s="1208"/>
      <c r="EG104" s="359"/>
      <c r="EH104" s="359"/>
      <c r="EI104" s="1208"/>
      <c r="EJ104" s="359"/>
      <c r="EK104" s="359"/>
      <c r="EL104" s="1208"/>
      <c r="EM104" s="359"/>
      <c r="EN104" s="359"/>
      <c r="EO104" s="1208"/>
      <c r="EP104" s="359"/>
      <c r="EQ104" s="359"/>
      <c r="ER104" s="1208"/>
      <c r="ES104" s="359"/>
      <c r="ET104" s="359"/>
      <c r="EU104" s="1208"/>
      <c r="EV104" s="359"/>
      <c r="EW104" s="359"/>
      <c r="EX104" s="1208"/>
      <c r="EY104" s="359"/>
      <c r="EZ104" s="359"/>
      <c r="FA104" s="359"/>
    </row>
    <row r="105" spans="1:157" ht="13.35" customHeight="1">
      <c r="A105" s="5"/>
      <c r="B105" s="5" t="s">
        <v>633</v>
      </c>
      <c r="C105" s="5"/>
      <c r="D105" s="5"/>
      <c r="E105" s="359"/>
      <c r="F105" s="359"/>
      <c r="G105" s="359"/>
      <c r="H105" s="359"/>
      <c r="I105" s="359"/>
      <c r="J105" s="359"/>
      <c r="K105" s="359"/>
      <c r="L105" s="359"/>
      <c r="M105" s="359"/>
      <c r="N105" s="359"/>
      <c r="O105" s="359"/>
      <c r="P105" s="359"/>
      <c r="Q105" s="359"/>
      <c r="R105" s="359"/>
      <c r="S105" s="359"/>
      <c r="T105" s="359"/>
      <c r="U105" s="359"/>
      <c r="V105" s="359"/>
      <c r="W105" s="359"/>
      <c r="X105" s="359"/>
      <c r="Y105" s="359"/>
      <c r="Z105" s="359"/>
      <c r="AA105" s="359"/>
      <c r="AB105" s="359"/>
      <c r="AC105" s="359"/>
      <c r="AD105" s="359"/>
      <c r="AE105" s="359"/>
      <c r="AF105" s="359"/>
      <c r="AG105" s="359"/>
      <c r="AH105" s="359"/>
      <c r="AI105" s="359"/>
      <c r="AJ105" s="359"/>
      <c r="AK105" s="359"/>
      <c r="AL105" s="359"/>
      <c r="AM105" s="359"/>
      <c r="AN105" s="359"/>
      <c r="AO105" s="359"/>
      <c r="AP105" s="359"/>
      <c r="AQ105" s="359"/>
      <c r="AR105" s="359"/>
      <c r="AS105" s="359"/>
      <c r="AT105" s="359"/>
      <c r="AU105" s="359"/>
      <c r="AV105" s="359"/>
      <c r="AW105" s="359"/>
      <c r="AX105" s="359"/>
      <c r="AY105" s="359"/>
      <c r="AZ105" s="359"/>
      <c r="BA105" s="359"/>
      <c r="BB105" s="359"/>
      <c r="BC105" s="359"/>
      <c r="BD105" s="359"/>
      <c r="BE105" s="359"/>
      <c r="BF105" s="359"/>
      <c r="BG105" s="359"/>
      <c r="BH105" s="359"/>
      <c r="BI105" s="359"/>
      <c r="BJ105" s="359"/>
      <c r="BK105" s="359"/>
      <c r="BL105" s="359"/>
      <c r="BM105" s="359"/>
      <c r="BN105" s="359"/>
      <c r="BO105" s="359"/>
      <c r="BP105" s="359"/>
      <c r="BQ105" s="359"/>
      <c r="BR105" s="359"/>
      <c r="BS105" s="359"/>
      <c r="BT105" s="359"/>
      <c r="BU105" s="359"/>
      <c r="BV105" s="359"/>
      <c r="BW105" s="359"/>
      <c r="BX105" s="359"/>
      <c r="BY105" s="359"/>
      <c r="BZ105" s="359"/>
      <c r="CA105" s="359"/>
      <c r="CB105" s="359"/>
      <c r="CC105" s="359"/>
      <c r="CD105" s="359"/>
      <c r="CE105" s="359"/>
      <c r="CF105" s="359"/>
      <c r="CG105" s="359"/>
      <c r="CH105" s="359"/>
      <c r="CI105" s="359"/>
      <c r="CJ105" s="359"/>
      <c r="CK105" s="359"/>
      <c r="CL105" s="359"/>
      <c r="CM105" s="359"/>
      <c r="CN105" s="359"/>
      <c r="CO105" s="359"/>
      <c r="CP105" s="359"/>
      <c r="CQ105" s="359"/>
      <c r="CR105" s="359"/>
      <c r="CS105" s="359"/>
      <c r="CT105" s="359"/>
      <c r="CU105" s="359"/>
      <c r="CV105" s="359"/>
      <c r="CW105" s="359"/>
      <c r="CX105" s="359"/>
      <c r="CY105" s="359"/>
      <c r="CZ105" s="359"/>
      <c r="DA105" s="359"/>
      <c r="DB105" s="359"/>
      <c r="DC105" s="359"/>
      <c r="DD105" s="359"/>
      <c r="DE105" s="359"/>
      <c r="DF105" s="359"/>
      <c r="DG105" s="359"/>
      <c r="DH105" s="359"/>
      <c r="DI105" s="359"/>
      <c r="DJ105" s="359"/>
      <c r="DK105" s="1208"/>
      <c r="DL105" s="359"/>
      <c r="DM105" s="359"/>
      <c r="DN105" s="1208"/>
      <c r="DO105" s="359"/>
      <c r="DP105" s="359"/>
      <c r="DQ105" s="1208"/>
      <c r="DR105" s="359"/>
      <c r="DS105" s="359"/>
      <c r="DT105" s="1208"/>
      <c r="DU105" s="359"/>
      <c r="DV105" s="359"/>
      <c r="DW105" s="1208"/>
      <c r="DX105" s="359"/>
      <c r="DY105" s="359"/>
      <c r="DZ105" s="1208"/>
      <c r="EA105" s="359"/>
      <c r="EB105" s="359"/>
      <c r="EC105" s="1208"/>
      <c r="ED105" s="359"/>
      <c r="EE105" s="359"/>
      <c r="EF105" s="1208"/>
      <c r="EG105" s="359"/>
      <c r="EH105" s="359"/>
      <c r="EI105" s="1208"/>
      <c r="EJ105" s="359"/>
      <c r="EK105" s="359"/>
      <c r="EL105" s="1208"/>
      <c r="EM105" s="359"/>
      <c r="EN105" s="359"/>
      <c r="EO105" s="1208"/>
      <c r="EP105" s="359"/>
      <c r="EQ105" s="359"/>
      <c r="ER105" s="1208"/>
      <c r="ES105" s="359"/>
      <c r="ET105" s="359"/>
      <c r="EU105" s="1208"/>
      <c r="EV105" s="359"/>
      <c r="EW105" s="359"/>
      <c r="EX105" s="1208"/>
      <c r="EY105" s="359"/>
      <c r="EZ105" s="359"/>
      <c r="FA105" s="359"/>
    </row>
    <row r="106" spans="1:157" ht="13.35" customHeight="1">
      <c r="A106" s="5"/>
      <c r="B106" s="5" t="s">
        <v>575</v>
      </c>
      <c r="C106" s="5"/>
      <c r="D106" s="5"/>
      <c r="E106" s="356" t="str">
        <f t="shared" ref="E106:N106" si="164">IF(E246&lt;&gt;"",E246,"")</f>
        <v/>
      </c>
      <c r="F106" s="356" t="str">
        <f t="shared" si="164"/>
        <v/>
      </c>
      <c r="G106" s="356" t="str">
        <f t="shared" si="164"/>
        <v/>
      </c>
      <c r="H106" s="356" t="str">
        <f t="shared" si="164"/>
        <v/>
      </c>
      <c r="I106" s="356" t="str">
        <f t="shared" si="164"/>
        <v/>
      </c>
      <c r="J106" s="356" t="str">
        <f t="shared" si="164"/>
        <v/>
      </c>
      <c r="K106" s="356" t="str">
        <f t="shared" si="164"/>
        <v/>
      </c>
      <c r="L106" s="356" t="str">
        <f t="shared" si="164"/>
        <v/>
      </c>
      <c r="M106" s="356" t="str">
        <f t="shared" si="164"/>
        <v/>
      </c>
      <c r="N106" s="356" t="str">
        <f t="shared" si="164"/>
        <v/>
      </c>
      <c r="O106" s="356" t="str">
        <f t="shared" ref="O106:X106" si="165">IF(O246&lt;&gt;"",O246,"")</f>
        <v/>
      </c>
      <c r="P106" s="356" t="str">
        <f t="shared" si="165"/>
        <v/>
      </c>
      <c r="Q106" s="356" t="str">
        <f t="shared" si="165"/>
        <v/>
      </c>
      <c r="R106" s="356" t="str">
        <f t="shared" si="165"/>
        <v/>
      </c>
      <c r="S106" s="356" t="str">
        <f t="shared" si="165"/>
        <v/>
      </c>
      <c r="T106" s="356" t="str">
        <f t="shared" si="165"/>
        <v/>
      </c>
      <c r="U106" s="356" t="str">
        <f t="shared" si="165"/>
        <v/>
      </c>
      <c r="V106" s="356" t="str">
        <f t="shared" si="165"/>
        <v/>
      </c>
      <c r="W106" s="356" t="str">
        <f t="shared" si="165"/>
        <v/>
      </c>
      <c r="X106" s="356" t="str">
        <f t="shared" si="165"/>
        <v/>
      </c>
      <c r="Y106" s="356" t="str">
        <f t="shared" ref="Y106:AH106" si="166">IF(Y246&lt;&gt;"",Y246,"")</f>
        <v/>
      </c>
      <c r="Z106" s="356" t="str">
        <f t="shared" si="166"/>
        <v/>
      </c>
      <c r="AA106" s="356" t="str">
        <f t="shared" si="166"/>
        <v/>
      </c>
      <c r="AB106" s="356" t="str">
        <f t="shared" si="166"/>
        <v/>
      </c>
      <c r="AC106" s="356" t="str">
        <f t="shared" si="166"/>
        <v/>
      </c>
      <c r="AD106" s="356" t="str">
        <f t="shared" si="166"/>
        <v/>
      </c>
      <c r="AE106" s="356" t="str">
        <f t="shared" si="166"/>
        <v/>
      </c>
      <c r="AF106" s="356" t="str">
        <f t="shared" si="166"/>
        <v/>
      </c>
      <c r="AG106" s="356" t="str">
        <f t="shared" si="166"/>
        <v/>
      </c>
      <c r="AH106" s="356" t="str">
        <f t="shared" si="166"/>
        <v/>
      </c>
      <c r="AI106" s="356" t="str">
        <f t="shared" ref="AI106:AU106" si="167">IF(AI246&lt;&gt;"",AI246,"")</f>
        <v/>
      </c>
      <c r="AJ106" s="356" t="str">
        <f t="shared" si="167"/>
        <v/>
      </c>
      <c r="AK106" s="356" t="str">
        <f t="shared" si="167"/>
        <v/>
      </c>
      <c r="AL106" s="356" t="str">
        <f t="shared" si="167"/>
        <v/>
      </c>
      <c r="AM106" s="356" t="str">
        <f t="shared" si="167"/>
        <v/>
      </c>
      <c r="AN106" s="356" t="str">
        <f t="shared" si="167"/>
        <v/>
      </c>
      <c r="AO106" s="356" t="str">
        <f t="shared" si="167"/>
        <v/>
      </c>
      <c r="AP106" s="356" t="str">
        <f t="shared" si="167"/>
        <v/>
      </c>
      <c r="AQ106" s="356" t="str">
        <f t="shared" si="167"/>
        <v/>
      </c>
      <c r="AR106" s="356" t="str">
        <f t="shared" si="167"/>
        <v/>
      </c>
      <c r="AS106" s="356" t="str">
        <f t="shared" si="167"/>
        <v/>
      </c>
      <c r="AT106" s="356" t="str">
        <f t="shared" si="167"/>
        <v/>
      </c>
      <c r="AU106" s="356" t="str">
        <f t="shared" si="167"/>
        <v/>
      </c>
      <c r="AV106" s="356" t="str">
        <f t="shared" ref="AV106:BC106" si="168">IF(AV246&lt;&gt;"",AV246,"")</f>
        <v/>
      </c>
      <c r="AW106" s="356" t="str">
        <f t="shared" si="168"/>
        <v/>
      </c>
      <c r="AX106" s="356" t="str">
        <f t="shared" si="168"/>
        <v/>
      </c>
      <c r="AY106" s="356" t="str">
        <f t="shared" si="168"/>
        <v/>
      </c>
      <c r="AZ106" s="356" t="str">
        <f t="shared" si="168"/>
        <v/>
      </c>
      <c r="BA106" s="356" t="str">
        <f t="shared" si="168"/>
        <v/>
      </c>
      <c r="BB106" s="356" t="str">
        <f t="shared" si="168"/>
        <v/>
      </c>
      <c r="BC106" s="356" t="str">
        <f t="shared" si="168"/>
        <v/>
      </c>
      <c r="BD106" s="356" t="str">
        <f t="shared" ref="BD106:BO106" si="169">IF(BD246&lt;&gt;"",BD246,"")</f>
        <v/>
      </c>
      <c r="BE106" s="356" t="str">
        <f t="shared" si="169"/>
        <v/>
      </c>
      <c r="BF106" s="356" t="str">
        <f t="shared" si="169"/>
        <v/>
      </c>
      <c r="BG106" s="356" t="str">
        <f t="shared" si="169"/>
        <v/>
      </c>
      <c r="BH106" s="356" t="str">
        <f t="shared" si="169"/>
        <v/>
      </c>
      <c r="BI106" s="356" t="str">
        <f t="shared" si="169"/>
        <v/>
      </c>
      <c r="BJ106" s="356" t="str">
        <f t="shared" si="169"/>
        <v/>
      </c>
      <c r="BK106" s="356" t="str">
        <f t="shared" si="169"/>
        <v/>
      </c>
      <c r="BL106" s="356" t="str">
        <f t="shared" si="169"/>
        <v/>
      </c>
      <c r="BM106" s="356" t="str">
        <f t="shared" si="169"/>
        <v/>
      </c>
      <c r="BN106" s="356" t="str">
        <f t="shared" si="169"/>
        <v/>
      </c>
      <c r="BO106" s="356" t="str">
        <f t="shared" si="169"/>
        <v/>
      </c>
      <c r="BP106" s="356" t="str">
        <f t="shared" ref="BP106:DK106" si="170">IF(BP246&lt;&gt;"",BP246,"")</f>
        <v/>
      </c>
      <c r="BQ106" s="356" t="str">
        <f t="shared" si="170"/>
        <v/>
      </c>
      <c r="BR106" s="356" t="str">
        <f t="shared" si="170"/>
        <v/>
      </c>
      <c r="BS106" s="356" t="str">
        <f t="shared" si="170"/>
        <v/>
      </c>
      <c r="BT106" s="356" t="str">
        <f t="shared" si="170"/>
        <v/>
      </c>
      <c r="BU106" s="356" t="str">
        <f t="shared" si="170"/>
        <v/>
      </c>
      <c r="BV106" s="356" t="str">
        <f t="shared" si="170"/>
        <v/>
      </c>
      <c r="BW106" s="356" t="str">
        <f t="shared" si="170"/>
        <v/>
      </c>
      <c r="BX106" s="356" t="str">
        <f t="shared" si="170"/>
        <v/>
      </c>
      <c r="BY106" s="356" t="str">
        <f t="shared" si="170"/>
        <v/>
      </c>
      <c r="BZ106" s="356" t="str">
        <f t="shared" si="170"/>
        <v/>
      </c>
      <c r="CA106" s="356" t="str">
        <f t="shared" si="170"/>
        <v/>
      </c>
      <c r="CB106" s="356" t="str">
        <f t="shared" si="170"/>
        <v/>
      </c>
      <c r="CC106" s="356" t="str">
        <f t="shared" si="170"/>
        <v/>
      </c>
      <c r="CD106" s="356" t="str">
        <f t="shared" si="170"/>
        <v/>
      </c>
      <c r="CE106" s="356" t="str">
        <f t="shared" si="170"/>
        <v/>
      </c>
      <c r="CF106" s="356" t="str">
        <f t="shared" si="170"/>
        <v/>
      </c>
      <c r="CG106" s="356" t="str">
        <f t="shared" si="170"/>
        <v/>
      </c>
      <c r="CH106" s="356" t="str">
        <f t="shared" si="170"/>
        <v/>
      </c>
      <c r="CI106" s="356" t="str">
        <f t="shared" si="170"/>
        <v/>
      </c>
      <c r="CJ106" s="356" t="str">
        <f t="shared" si="170"/>
        <v/>
      </c>
      <c r="CK106" s="356" t="str">
        <f t="shared" si="170"/>
        <v/>
      </c>
      <c r="CL106" s="356" t="str">
        <f t="shared" si="170"/>
        <v/>
      </c>
      <c r="CM106" s="356" t="str">
        <f t="shared" si="170"/>
        <v/>
      </c>
      <c r="CN106" s="356" t="str">
        <f t="shared" si="170"/>
        <v/>
      </c>
      <c r="CO106" s="356" t="str">
        <f t="shared" si="170"/>
        <v/>
      </c>
      <c r="CP106" s="356" t="str">
        <f t="shared" si="170"/>
        <v/>
      </c>
      <c r="CQ106" s="356" t="str">
        <f t="shared" si="170"/>
        <v/>
      </c>
      <c r="CR106" s="356" t="str">
        <f t="shared" si="170"/>
        <v/>
      </c>
      <c r="CS106" s="356" t="str">
        <f t="shared" si="170"/>
        <v/>
      </c>
      <c r="CT106" s="356" t="str">
        <f t="shared" si="170"/>
        <v/>
      </c>
      <c r="CU106" s="356" t="str">
        <f t="shared" si="170"/>
        <v/>
      </c>
      <c r="CV106" s="356" t="str">
        <f t="shared" si="170"/>
        <v/>
      </c>
      <c r="CW106" s="356" t="str">
        <f t="shared" si="170"/>
        <v/>
      </c>
      <c r="CX106" s="356" t="str">
        <f t="shared" si="170"/>
        <v/>
      </c>
      <c r="CY106" s="356" t="str">
        <f t="shared" si="170"/>
        <v/>
      </c>
      <c r="CZ106" s="356" t="str">
        <f t="shared" si="170"/>
        <v/>
      </c>
      <c r="DA106" s="356" t="str">
        <f t="shared" si="170"/>
        <v/>
      </c>
      <c r="DB106" s="356" t="str">
        <f t="shared" si="170"/>
        <v/>
      </c>
      <c r="DC106" s="356" t="str">
        <f t="shared" si="170"/>
        <v/>
      </c>
      <c r="DD106" s="356" t="str">
        <f t="shared" si="170"/>
        <v/>
      </c>
      <c r="DE106" s="356" t="str">
        <f t="shared" si="170"/>
        <v/>
      </c>
      <c r="DF106" s="356" t="str">
        <f t="shared" si="170"/>
        <v/>
      </c>
      <c r="DG106" s="356" t="str">
        <f t="shared" si="170"/>
        <v/>
      </c>
      <c r="DH106" s="356" t="str">
        <f t="shared" si="170"/>
        <v/>
      </c>
      <c r="DI106" s="356" t="str">
        <f t="shared" si="170"/>
        <v/>
      </c>
      <c r="DJ106" s="356" t="str">
        <f t="shared" si="170"/>
        <v/>
      </c>
      <c r="DK106" s="1087" t="str">
        <f t="shared" si="170"/>
        <v/>
      </c>
      <c r="DL106" s="356"/>
      <c r="DM106" s="356"/>
      <c r="DN106" s="1087"/>
      <c r="DO106" s="356"/>
      <c r="DP106" s="356"/>
      <c r="DQ106" s="1087"/>
      <c r="DR106" s="356"/>
      <c r="DS106" s="356"/>
      <c r="DT106" s="1087"/>
      <c r="DU106" s="356"/>
      <c r="DV106" s="356"/>
      <c r="DW106" s="1087"/>
      <c r="DX106" s="356"/>
      <c r="DY106" s="356"/>
      <c r="DZ106" s="1087"/>
      <c r="EA106" s="356"/>
      <c r="EB106" s="356"/>
      <c r="EC106" s="1087"/>
      <c r="ED106" s="356"/>
      <c r="EE106" s="356"/>
      <c r="EF106" s="1087"/>
      <c r="EG106" s="356"/>
      <c r="EH106" s="356"/>
      <c r="EI106" s="1087"/>
      <c r="EJ106" s="356"/>
      <c r="EK106" s="356"/>
      <c r="EL106" s="1087"/>
      <c r="EM106" s="356"/>
      <c r="EN106" s="356"/>
      <c r="EO106" s="1087"/>
      <c r="EP106" s="356"/>
      <c r="EQ106" s="356"/>
      <c r="ER106" s="1087"/>
      <c r="ES106" s="356"/>
      <c r="ET106" s="356"/>
      <c r="EU106" s="1087"/>
      <c r="EV106" s="356"/>
      <c r="EW106" s="356"/>
      <c r="EX106" s="1087"/>
      <c r="EY106" s="356"/>
      <c r="EZ106" s="356"/>
      <c r="FA106" s="356"/>
    </row>
    <row r="107" spans="1:157" ht="13.35" customHeight="1">
      <c r="A107" s="5"/>
      <c r="B107" s="5" t="s">
        <v>576</v>
      </c>
      <c r="C107" s="5"/>
      <c r="D107" s="5"/>
      <c r="E107" s="356"/>
      <c r="F107" s="356"/>
      <c r="G107" s="356"/>
      <c r="H107" s="356" t="str">
        <f>IF(AND(H108&lt;&gt;"",H109&lt;&gt;""),(H109*2)/H108,"")</f>
        <v/>
      </c>
      <c r="I107" s="356" t="str">
        <f>IF(AND(I108&lt;&gt;"",I109&lt;&gt;""),(I109*2)/I108,"")</f>
        <v/>
      </c>
      <c r="J107" s="356" t="str">
        <f>IF(AND(J108&lt;&gt;"",J109&lt;&gt;""),(J109)/J108,"")</f>
        <v/>
      </c>
      <c r="K107" s="356" t="str">
        <f>IF(AND(K108&lt;&gt;"",K109&lt;&gt;""),(K109*2)/K108,"")</f>
        <v/>
      </c>
      <c r="L107" s="356" t="str">
        <f>IF(AND(L108&lt;&gt;"",L109&lt;&gt;""),(L109*2)/L108,"")</f>
        <v/>
      </c>
      <c r="M107" s="356" t="str">
        <f>IF(AND(M108&lt;&gt;"",M109&lt;&gt;""),(M109)/M108,"")</f>
        <v/>
      </c>
      <c r="N107" s="356" t="str">
        <f>IF(AND(N108&lt;&gt;"",N109&lt;&gt;""),(N109*2)/N108,"")</f>
        <v/>
      </c>
      <c r="O107" s="356" t="str">
        <f>IF(AND(O108&lt;&gt;"",O109&lt;&gt;""),(O109*2)/O108,"")</f>
        <v/>
      </c>
      <c r="P107" s="356" t="str">
        <f>IF(AND(P108&lt;&gt;"",P109&lt;&gt;""),(P109)/P108,"")</f>
        <v/>
      </c>
      <c r="Q107" s="356" t="str">
        <f>IF(AND(Q108&lt;&gt;"",Q109&lt;&gt;""),(Q109*2)/Q108,"")</f>
        <v/>
      </c>
      <c r="R107" s="356" t="str">
        <f>IF(AND(R108&lt;&gt;"",R109&lt;&gt;""),(R109*2)/R108,"")</f>
        <v/>
      </c>
      <c r="S107" s="356" t="str">
        <f>IF(AND(S108&lt;&gt;"",S109&lt;&gt;""),(S109)/S108,"")</f>
        <v/>
      </c>
      <c r="T107" s="356" t="str">
        <f>IF(AND(T108&lt;&gt;"",T109&lt;&gt;""),(T109*2)/T108,"")</f>
        <v/>
      </c>
      <c r="U107" s="356" t="str">
        <f>IF(AND(U108&lt;&gt;"",U109&lt;&gt;""),(U109*2)/U108,"")</f>
        <v/>
      </c>
      <c r="V107" s="356" t="str">
        <f>IF(AND(V108&lt;&gt;"",V109&lt;&gt;""),(V109)/V108,"")</f>
        <v/>
      </c>
      <c r="W107" s="356" t="str">
        <f>IF(AND(W108&lt;&gt;"",W109&lt;&gt;""),(W109*2)/W108,"")</f>
        <v/>
      </c>
      <c r="X107" s="356" t="str">
        <f>IF(AND(X108&lt;&gt;"",X109&lt;&gt;""),(X109*2)/X108,"")</f>
        <v/>
      </c>
      <c r="Y107" s="356" t="str">
        <f>IF(AND(Y108&lt;&gt;"",Y109&lt;&gt;""),(Y109)/Y108,"")</f>
        <v/>
      </c>
      <c r="Z107" s="356" t="str">
        <f>IF(AND(Z108&lt;&gt;"",Z109&lt;&gt;""),(Z109*2)/Z108,"")</f>
        <v/>
      </c>
      <c r="AA107" s="356" t="str">
        <f>IF(AND(AA108&lt;&gt;"",AA109&lt;&gt;""),(AA109*2)/AA108,"")</f>
        <v/>
      </c>
      <c r="AB107" s="356" t="str">
        <f>IF(AND(AB108&lt;&gt;"",AB109&lt;&gt;""),(AB109)/AB108,"")</f>
        <v/>
      </c>
      <c r="AC107" s="356" t="str">
        <f>IF(AND(AC108&lt;&gt;"",AC109&lt;&gt;""),(AC109*2)/AC108,"")</f>
        <v/>
      </c>
      <c r="AD107" s="356" t="str">
        <f>IF(AND(AD108&lt;&gt;"",AD109&lt;&gt;""),(AD109*2)/AD108,"")</f>
        <v/>
      </c>
      <c r="AE107" s="356" t="str">
        <f>IF(AND(AE108&lt;&gt;"",AE109&lt;&gt;""),(AE109)/AE108,"")</f>
        <v/>
      </c>
      <c r="AF107" s="356" t="str">
        <f>IF(AND(AF108&lt;&gt;"",AF109&lt;&gt;""),(AF109*2)/AF108,"")</f>
        <v/>
      </c>
      <c r="AG107" s="356" t="str">
        <f>IF(AND(AG108&lt;&gt;"",AG109&lt;&gt;""),(AG109*2)/AG108,"")</f>
        <v/>
      </c>
      <c r="AH107" s="356" t="str">
        <f>IF(AND(AH108&lt;&gt;"",AH109&lt;&gt;""),(AH109)/AH108,"")</f>
        <v/>
      </c>
      <c r="AI107" s="356">
        <f>(AI109*2)/AI108</f>
        <v>4.8069547430324724E-2</v>
      </c>
      <c r="AJ107" s="356">
        <f>(AJ109*2)/AJ108</f>
        <v>0</v>
      </c>
      <c r="AK107" s="356">
        <f>AK109/AK108</f>
        <v>4.2805100182149357E-2</v>
      </c>
      <c r="AL107" s="356">
        <f>(AL109*2)/AL108</f>
        <v>2.3901700050496549E-2</v>
      </c>
      <c r="AM107" s="356">
        <f>(AM109*2)/AM108</f>
        <v>5.961575781098389E-2</v>
      </c>
      <c r="AN107" s="356">
        <f>AN109/AN108</f>
        <v>4.9794801641586867E-2</v>
      </c>
      <c r="AO107" s="356">
        <f>(AO109*2)/AO108</f>
        <v>5.1049873444796973E-2</v>
      </c>
      <c r="AP107" s="356">
        <f>(AP109*2)/AP108</f>
        <v>5.1664661050942653E-2</v>
      </c>
      <c r="AQ107" s="356">
        <f>AQ109/AQ108</f>
        <v>4.6836794434686781E-2</v>
      </c>
      <c r="AR107" s="356">
        <f>(AR109*2)/AR108</f>
        <v>5.0168912359725079E-2</v>
      </c>
      <c r="AS107" s="356">
        <f>(AS109*2)/AS108</f>
        <v>3.759915058397352E-2</v>
      </c>
      <c r="AT107" s="356">
        <f>AT109/AT108</f>
        <v>3.8775827248718343E-2</v>
      </c>
      <c r="AU107" s="356">
        <f>(AU109*2)/AU108</f>
        <v>3.8415138971023069E-2</v>
      </c>
      <c r="AV107" s="356">
        <f>(AV109*2)/AV108</f>
        <v>4.0155417640957113E-2</v>
      </c>
      <c r="AW107" s="356">
        <f>AW109/AW108</f>
        <v>3.6827622601681174E-2</v>
      </c>
      <c r="AX107" s="356">
        <f>(AX109*2)/AX108</f>
        <v>4.7526871567285141E-2</v>
      </c>
      <c r="AY107" s="356">
        <f>(AY109*2)/AY108</f>
        <v>4.7171772532269958E-2</v>
      </c>
      <c r="AZ107" s="356">
        <f>AZ109/AZ108</f>
        <v>4.8358816103240283E-2</v>
      </c>
      <c r="BA107" s="356">
        <f>(BA109*2)/BA108</f>
        <v>4.5601291364003219E-2</v>
      </c>
      <c r="BB107" s="356">
        <f>(BB109*2)/BB108</f>
        <v>4.1474975602955523E-2</v>
      </c>
      <c r="BC107" s="356">
        <f>BC109/BC108</f>
        <v>4.2783904400103268E-2</v>
      </c>
      <c r="BD107" s="356">
        <f>(BD109*2)/BD108</f>
        <v>0</v>
      </c>
      <c r="BE107" s="356">
        <f>(BE109*2)/BE108</f>
        <v>0.12200512775174607</v>
      </c>
      <c r="BF107" s="356">
        <f>BF109/BF108</f>
        <v>3.3201809258011736E-2</v>
      </c>
      <c r="BG107" s="356">
        <f>(BG109*2)/BG108</f>
        <v>2.0902749478629815E-2</v>
      </c>
      <c r="BH107" s="356">
        <f>(BH109*2)/BH108</f>
        <v>2.3391812865497078E-2</v>
      </c>
      <c r="BI107" s="356">
        <f>BI109/BI108</f>
        <v>2.4141098658827853E-2</v>
      </c>
      <c r="BJ107" s="356">
        <f>(BJ109*2)/BJ108</f>
        <v>4.2754127164244655E-2</v>
      </c>
      <c r="BK107" s="356">
        <f>(BK109*2)/BK108</f>
        <v>4.058557570525928E-2</v>
      </c>
      <c r="BL107" s="356">
        <f>BL109/BL108</f>
        <v>4.342565317890134E-2</v>
      </c>
      <c r="BM107" s="356">
        <f>(BM109*2)/BM108</f>
        <v>0</v>
      </c>
      <c r="BN107" s="356">
        <f>(BN109*2)/BN108</f>
        <v>6.0846441609951785E-2</v>
      </c>
      <c r="BO107" s="356">
        <f>BO109/BO108</f>
        <v>2.966658059695753E-2</v>
      </c>
      <c r="BP107" s="356">
        <f>(BP109*2)/BP108</f>
        <v>5.6966956125182891E-2</v>
      </c>
      <c r="BQ107" s="356">
        <f>(BQ109*2)/BQ108</f>
        <v>7.7930487091653455E-2</v>
      </c>
      <c r="BR107" s="356">
        <f>BR109/BR108</f>
        <v>6.9676417292259915E-2</v>
      </c>
      <c r="BS107" s="356">
        <f>(BS109*2)/BS108</f>
        <v>2.7864508508125017E-2</v>
      </c>
      <c r="BT107" s="356">
        <f>(BT109*2)/BT108</f>
        <v>2.8981716408150449E-2</v>
      </c>
      <c r="BU107" s="356">
        <f>BU109/BU108</f>
        <v>2.5801531195916813E-2</v>
      </c>
      <c r="BV107" s="356">
        <f>(BV109*2)/BV108</f>
        <v>1.842810974351922E-2</v>
      </c>
      <c r="BW107" s="356">
        <f>(BW109*2)/BW108</f>
        <v>2.9979237352509236E-2</v>
      </c>
      <c r="BX107" s="356">
        <f>BX109/BX108</f>
        <v>2.3486495265222496E-2</v>
      </c>
      <c r="BY107" s="356">
        <f>(BY109*2)/BY108</f>
        <v>0.63845218841351326</v>
      </c>
      <c r="BZ107" s="356">
        <f>(BZ109*2)/BZ108</f>
        <v>-0.15159998880147818</v>
      </c>
      <c r="CA107" s="356">
        <f>CA109/CA108</f>
        <v>0.17949838478873723</v>
      </c>
      <c r="CB107" s="372">
        <v>0.03</v>
      </c>
      <c r="CC107" s="356">
        <f>CB107</f>
        <v>0.03</v>
      </c>
      <c r="CD107" s="356">
        <f>CC107</f>
        <v>0.03</v>
      </c>
      <c r="CE107" s="356">
        <f>CC107</f>
        <v>0.03</v>
      </c>
      <c r="CF107" s="356">
        <f>CE107</f>
        <v>0.03</v>
      </c>
      <c r="CG107" s="356">
        <f>CF107</f>
        <v>0.03</v>
      </c>
      <c r="CH107" s="356">
        <f>CF107</f>
        <v>0.03</v>
      </c>
      <c r="CI107" s="356">
        <f>CH107</f>
        <v>0.03</v>
      </c>
      <c r="CJ107" s="356">
        <f>CI107</f>
        <v>0.03</v>
      </c>
      <c r="CK107" s="356">
        <f>CI107</f>
        <v>0.03</v>
      </c>
      <c r="CL107" s="356">
        <f>CK107</f>
        <v>0.03</v>
      </c>
      <c r="CM107" s="356">
        <f>CL107</f>
        <v>0.03</v>
      </c>
      <c r="CN107" s="356">
        <f>CL107</f>
        <v>0.03</v>
      </c>
      <c r="CO107" s="356">
        <v>5.9550066166740179E-3</v>
      </c>
      <c r="CP107" s="356">
        <f>CO107</f>
        <v>5.9550066166740179E-3</v>
      </c>
      <c r="CQ107" s="356">
        <v>3.1296999834821383E-3</v>
      </c>
      <c r="CR107" s="356">
        <f>CQ107</f>
        <v>3.1296999834821383E-3</v>
      </c>
      <c r="CS107" s="356">
        <v>5.0000000000000001E-3</v>
      </c>
      <c r="CT107" s="356">
        <v>3.4107530549196828E-3</v>
      </c>
      <c r="CU107" s="356">
        <f>CT107</f>
        <v>3.4107530549196828E-3</v>
      </c>
      <c r="CV107" s="356">
        <v>6.3403895004233695E-3</v>
      </c>
      <c r="CW107" s="356">
        <v>7.0272888745357663E-3</v>
      </c>
      <c r="CX107" s="356">
        <f>CW107</f>
        <v>7.0272888745357663E-3</v>
      </c>
      <c r="CY107" s="356">
        <v>8.0000000000000002E-3</v>
      </c>
      <c r="CZ107" s="356">
        <v>5.0000000000000001E-3</v>
      </c>
      <c r="DA107" s="356">
        <f>+CZ107</f>
        <v>5.0000000000000001E-3</v>
      </c>
      <c r="DB107" s="356">
        <v>7.944915254237286E-3</v>
      </c>
      <c r="DC107" s="356">
        <v>7.8023407022106642E-3</v>
      </c>
      <c r="DD107" s="356">
        <f>DD109/DD108</f>
        <v>4.6869514335868929E-3</v>
      </c>
      <c r="DE107" s="356">
        <v>0.01</v>
      </c>
      <c r="DF107" s="356">
        <f>DD107</f>
        <v>4.6869514335868929E-3</v>
      </c>
      <c r="DG107" s="356">
        <f>DF107</f>
        <v>4.6869514335868929E-3</v>
      </c>
      <c r="DH107" s="356">
        <v>5.1000000000000004E-3</v>
      </c>
      <c r="DI107" s="356">
        <f>+DI109/AVERAGE(DG108,DI108)</f>
        <v>5.5337280726025125E-3</v>
      </c>
      <c r="DJ107" s="356">
        <f>+DJ109/AVERAGE(DI108,DJ108)</f>
        <v>1.8723404255319149E-3</v>
      </c>
      <c r="DK107" s="1087">
        <f>+DK109/AVERAGE(DH108,DK108)</f>
        <v>7.9199208007919939E-3</v>
      </c>
      <c r="DL107" s="356">
        <f>+DL109/AVERAGE(DJ108,DL108)</f>
        <v>1.3559322033898306E-3</v>
      </c>
      <c r="DM107" s="356">
        <f>+DM109/AVERAGE(DL108,DM108)</f>
        <v>2.7290947081147917E-3</v>
      </c>
      <c r="DN107" s="1087">
        <f>+DN109/AVERAGE(DK108,DN108)</f>
        <v>3.9776258545680546E-3</v>
      </c>
      <c r="DO107" s="356">
        <f>+DO109/AVERAGE(DM108,DO108)</f>
        <v>1.1363636363636364E-2</v>
      </c>
      <c r="DP107" s="356">
        <f>+DP109/AVERAGE(DO108,DP108)</f>
        <v>1.7206566587656926E-2</v>
      </c>
      <c r="DQ107" s="1087">
        <f>+DQ109/AVERAGE(DN108,DQ108)</f>
        <v>2.7231092957049143E-2</v>
      </c>
      <c r="DR107" s="356">
        <f>+DR109/AVERAGE(DQ108,DR108)*2</f>
        <v>3.3790159514715798E-2</v>
      </c>
      <c r="DS107" s="356">
        <f>+DS109/AVERAGE(DR108,DS108)*2</f>
        <v>3.7656288305957339E-2</v>
      </c>
      <c r="DT107" s="1087">
        <f>+DT109/AVERAGE(DQ108,DT108)</f>
        <v>3.3719330937486143E-2</v>
      </c>
      <c r="DU107" s="356">
        <f>+DU109/AVERAGE(DS108,DU108)*2</f>
        <v>3.1231864943286732E-2</v>
      </c>
      <c r="DV107" s="356">
        <f>+DV109/AVERAGE(DU108,DV108)*2</f>
        <v>2.211507553841208E-2</v>
      </c>
      <c r="DW107" s="1087">
        <f>+DW109/AVERAGE(DT108,DW108)</f>
        <v>2.5182953077916487E-2</v>
      </c>
      <c r="DX107" s="1569">
        <v>0.03</v>
      </c>
      <c r="DY107" s="356">
        <f>DX107</f>
        <v>0.03</v>
      </c>
      <c r="DZ107" s="1087">
        <f>DY107</f>
        <v>0.03</v>
      </c>
      <c r="EA107" s="356">
        <f>DY107</f>
        <v>0.03</v>
      </c>
      <c r="EB107" s="356">
        <f>EA107</f>
        <v>0.03</v>
      </c>
      <c r="EC107" s="1087">
        <f>EB107</f>
        <v>0.03</v>
      </c>
      <c r="ED107" s="356">
        <f>EB107</f>
        <v>0.03</v>
      </c>
      <c r="EE107" s="356">
        <f>ED107</f>
        <v>0.03</v>
      </c>
      <c r="EF107" s="1087">
        <f>EE107</f>
        <v>0.03</v>
      </c>
      <c r="EG107" s="356">
        <f>EE107</f>
        <v>0.03</v>
      </c>
      <c r="EH107" s="356">
        <f>EG107</f>
        <v>0.03</v>
      </c>
      <c r="EI107" s="1087">
        <f>EH107</f>
        <v>0.03</v>
      </c>
      <c r="EJ107" s="356">
        <f>EH107</f>
        <v>0.03</v>
      </c>
      <c r="EK107" s="356">
        <f>EJ107</f>
        <v>0.03</v>
      </c>
      <c r="EL107" s="1087">
        <f>EK107</f>
        <v>0.03</v>
      </c>
      <c r="EM107" s="356">
        <f>EK107</f>
        <v>0.03</v>
      </c>
      <c r="EN107" s="356">
        <f>EM107</f>
        <v>0.03</v>
      </c>
      <c r="EO107" s="1087">
        <f>EN107</f>
        <v>0.03</v>
      </c>
      <c r="EP107" s="356">
        <f>EN107</f>
        <v>0.03</v>
      </c>
      <c r="EQ107" s="356">
        <f>EP107</f>
        <v>0.03</v>
      </c>
      <c r="ER107" s="1087">
        <f>EQ107</f>
        <v>0.03</v>
      </c>
      <c r="ES107" s="356">
        <f>EQ107</f>
        <v>0.03</v>
      </c>
      <c r="ET107" s="356">
        <f>ES107</f>
        <v>0.03</v>
      </c>
      <c r="EU107" s="1087">
        <f>ET107</f>
        <v>0.03</v>
      </c>
      <c r="EV107" s="356">
        <f>ET107</f>
        <v>0.03</v>
      </c>
      <c r="EW107" s="356">
        <f>EV107</f>
        <v>0.03</v>
      </c>
      <c r="EX107" s="1087">
        <f>EW107</f>
        <v>0.03</v>
      </c>
      <c r="EY107" s="356">
        <f>EW107</f>
        <v>0.03</v>
      </c>
      <c r="EZ107" s="356">
        <f>EY107</f>
        <v>0.03</v>
      </c>
      <c r="FA107" s="356">
        <f>EZ107</f>
        <v>0.03</v>
      </c>
    </row>
    <row r="108" spans="1:157" ht="13.35" customHeight="1">
      <c r="A108" s="5"/>
      <c r="B108" s="5" t="s">
        <v>577</v>
      </c>
      <c r="C108" s="5"/>
      <c r="D108" s="5"/>
      <c r="E108" s="359"/>
      <c r="F108" s="359"/>
      <c r="G108" s="359"/>
      <c r="H108" s="359" t="str">
        <f>IF(OR(Model!G230&lt;&gt;"",Model!H230&lt;&gt;""),(Model!G230+Model!H230)/2,"")</f>
        <v/>
      </c>
      <c r="I108" s="359" t="str">
        <f>IF(OR(Model!H230&lt;&gt;"",Model!J230&lt;&gt;""),(Model!H230+Model!J230)/2,"")</f>
        <v/>
      </c>
      <c r="J108" s="359" t="str">
        <f>IF(OR(Model!G230&lt;&gt;"",Model!J230&lt;&gt;""),(Model!G230+Model!J230)/2,"")</f>
        <v/>
      </c>
      <c r="K108" s="359" t="str">
        <f>IF(OR(Model!J230&lt;&gt;"",Model!K230&lt;&gt;""),(Model!J230+Model!K230)/2,"")</f>
        <v/>
      </c>
      <c r="L108" s="359" t="str">
        <f>IF(OR(Model!K230&lt;&gt;"",Model!M230&lt;&gt;""),(Model!K230+Model!M230)/2,"")</f>
        <v/>
      </c>
      <c r="M108" s="359" t="str">
        <f>IF(OR(Model!J230&lt;&gt;"",Model!M230&lt;&gt;""),(Model!J230+Model!M230)/2,"")</f>
        <v/>
      </c>
      <c r="N108" s="359" t="str">
        <f>IF(OR(Model!M230&lt;&gt;"",Model!N230&lt;&gt;""),(Model!M230+Model!N230)/2,"")</f>
        <v/>
      </c>
      <c r="O108" s="359" t="str">
        <f>IF(OR(Model!N230&lt;&gt;"",Model!P230&lt;&gt;""),(Model!N230+Model!P230)/2,"")</f>
        <v/>
      </c>
      <c r="P108" s="359" t="str">
        <f>IF(OR(Model!M230&lt;&gt;"",Model!P230&lt;&gt;""),(Model!M230+Model!P230)/2,"")</f>
        <v/>
      </c>
      <c r="Q108" s="359" t="str">
        <f>IF(OR(Model!P230&lt;&gt;"",Model!Q230&lt;&gt;""),(Model!P230+Model!Q230)/2,"")</f>
        <v/>
      </c>
      <c r="R108" s="359" t="str">
        <f>IF(OR(Model!Q230&lt;&gt;"",Model!S230&lt;&gt;""),(Model!Q230+Model!S230)/2,"")</f>
        <v/>
      </c>
      <c r="S108" s="359" t="str">
        <f>IF(OR(Model!P230&lt;&gt;"",Model!S230&lt;&gt;""),(Model!P230+Model!S230)/2,"")</f>
        <v/>
      </c>
      <c r="T108" s="359" t="str">
        <f>IF(OR(Model!S230&lt;&gt;"",Model!T230&lt;&gt;""),(Model!S230+Model!T230)/2,"")</f>
        <v/>
      </c>
      <c r="U108" s="359" t="str">
        <f>IF(OR(Model!T230&lt;&gt;"",Model!V230&lt;&gt;""),(Model!T230+Model!V230)/2,"")</f>
        <v/>
      </c>
      <c r="V108" s="359" t="str">
        <f>IF(OR(Model!S230&lt;&gt;"",Model!V230&lt;&gt;""),(Model!S230+Model!V230)/2,"")</f>
        <v/>
      </c>
      <c r="W108" s="359" t="str">
        <f>IF(OR(Model!V230&lt;&gt;"",Model!W230&lt;&gt;""),(Model!V230+Model!W230)/2,"")</f>
        <v/>
      </c>
      <c r="X108" s="359" t="str">
        <f>IF(OR(Model!W230&lt;&gt;"",Model!Y230&lt;&gt;""),(Model!W230+Model!Y230)/2,"")</f>
        <v/>
      </c>
      <c r="Y108" s="359" t="str">
        <f>IF(OR(Model!V230&lt;&gt;"",Model!Y230&lt;&gt;""),(Model!V230+Model!Y230)/2,"")</f>
        <v/>
      </c>
      <c r="Z108" s="359" t="str">
        <f>IF(OR(Model!Y230&lt;&gt;"",Model!Z230&lt;&gt;""),(Model!Y230+Model!Z230)/2,"")</f>
        <v/>
      </c>
      <c r="AA108" s="359" t="str">
        <f>IF(OR(Model!Z230&lt;&gt;"",Model!AB230&lt;&gt;""),(Model!Z230+Model!AB230)/2,"")</f>
        <v/>
      </c>
      <c r="AB108" s="359" t="str">
        <f>IF(OR(Model!Y230&lt;&gt;"",Model!AB230&lt;&gt;""),(Model!Y230+Model!AB230)/2,"")</f>
        <v/>
      </c>
      <c r="AC108" s="359" t="str">
        <f>IF(OR(Model!AB230&lt;&gt;"",Model!AC230&lt;&gt;""),(Model!AB230+Model!AC230)/2,"")</f>
        <v/>
      </c>
      <c r="AD108" s="359" t="str">
        <f>IF(OR(Model!AC230&lt;&gt;"",Model!AE230&lt;&gt;""),(Model!AC230+Model!AE230)/2,"")</f>
        <v/>
      </c>
      <c r="AE108" s="359" t="str">
        <f>IF(OR(Model!AB230&lt;&gt;"",Model!AE230&lt;&gt;""),(Model!AB230+Model!AE230)/2,"")</f>
        <v/>
      </c>
      <c r="AF108" s="359" t="str">
        <f>IF(OR(Model!AE230&lt;&gt;"",Model!AF230&lt;&gt;""),(Model!AE230+Model!AF230)/2,"")</f>
        <v/>
      </c>
      <c r="AG108" s="359" t="str">
        <f>IF(OR(Model!AF230&lt;&gt;"",Model!AH230&lt;&gt;""),(Model!AF230+Model!AH230)/2,"")</f>
        <v/>
      </c>
      <c r="AH108" s="359" t="str">
        <f>IF(OR(Model!AE230&lt;&gt;"",Model!AH230&lt;&gt;""),(Model!AE230+Model!AH230)/2,"")</f>
        <v/>
      </c>
      <c r="AI108" s="359">
        <f>IF(OR(Model!AH230&lt;&gt;"",Model!AI230&lt;&gt;""),(Model!AH230+Model!AI230)/2,"")</f>
        <v>1.9555</v>
      </c>
      <c r="AJ108" s="359">
        <f>IF(OR(Model!AI230&lt;&gt;"",Model!AK230&lt;&gt;""),(Model!AI230+Model!AK230)/2,"")</f>
        <v>3.0535000000000001</v>
      </c>
      <c r="AK108" s="359">
        <f>IF(OR(Model!AH230&lt;&gt;"",Model!AK230&lt;&gt;""),(Model!AH230+Model!AK230)/2,"")</f>
        <v>1.0980000000000001</v>
      </c>
      <c r="AL108" s="359">
        <f>IF(OR(Model!AK230&lt;&gt;"",Model!AL230&lt;&gt;""),(Model!AK230+Model!AL230)/2,"")</f>
        <v>5.9409999999999998</v>
      </c>
      <c r="AM108" s="359">
        <f>IF(OR(Model!AL230&lt;&gt;"",Model!AN230&lt;&gt;""),(Model!AL230+Model!AN230)/2,"")</f>
        <v>12.8825</v>
      </c>
      <c r="AN108" s="359">
        <f>IF(OR(Model!AK230&lt;&gt;"",Model!AN230&lt;&gt;""),(Model!AK230+Model!AN230)/2,"")</f>
        <v>9.1375000000000011</v>
      </c>
      <c r="AO108" s="359">
        <f>IF(OR(Model!AN230&lt;&gt;"",Model!AO230&lt;&gt;""),(Model!AN230+Model!AO230)/2,"")</f>
        <v>14.025500000000001</v>
      </c>
      <c r="AP108" s="359">
        <f>IF(OR(Model!AO230&lt;&gt;"",Model!AQ230&lt;&gt;""),(Model!AO230+Model!AQ230)/2,"")</f>
        <v>12.465</v>
      </c>
      <c r="AQ108" s="359">
        <f>IF(OR(Model!AN230&lt;&gt;"",Model!AQ230&lt;&gt;""),(Model!AN230+Model!AQ230)/2,"")</f>
        <v>14.5185</v>
      </c>
      <c r="AR108" s="359">
        <f>IF(OR(Model!AQ230&lt;&gt;"",Model!AR230&lt;&gt;""),(Model!AQ230+Model!AR230)/2,"")</f>
        <v>12.8765</v>
      </c>
      <c r="AS108" s="359">
        <f>IF(OR(Model!AR230&lt;&gt;"",Model!AT230&lt;&gt;""),(Model!AR230+Model!AT230)/2,"")</f>
        <v>16.010999999999999</v>
      </c>
      <c r="AT108" s="359">
        <f>IF(OR(Model!AQ230&lt;&gt;"",Model!AT230&lt;&gt;""),(Model!AQ230+Model!AT230)/2,"")</f>
        <v>16.092500000000001</v>
      </c>
      <c r="AU108" s="359">
        <f>IF(OR(Model!AT230&lt;&gt;"",Model!AU230&lt;&gt;""),(Model!AT230+Model!AU230)/2,"")</f>
        <v>21.137499999999999</v>
      </c>
      <c r="AV108" s="359">
        <f>IF(OR(Model!AU230&lt;&gt;"",Model!AW230&lt;&gt;""),(Model!AU230+Model!AW230)/2,"")</f>
        <v>28.439500000000002</v>
      </c>
      <c r="AW108" s="359">
        <f>IF(OR(Model!AT230&lt;&gt;"",Model!AW230&lt;&gt;""),(Model!AT230+Model!AW230)/2,"")</f>
        <v>26.529000000000003</v>
      </c>
      <c r="AX108" s="359">
        <f>IF(OR(Model!AW230&lt;&gt;"",Model!AX230&lt;&gt;""),(Model!AW230+Model!AX230)/2,"")</f>
        <v>31.771500000000003</v>
      </c>
      <c r="AY108" s="359">
        <f>IF(OR(Model!AX230&lt;&gt;"",Model!AZ230&lt;&gt;""),(Model!AX230+Model!AZ230)/2,"")</f>
        <v>26.456499999999998</v>
      </c>
      <c r="AZ108" s="359">
        <f>IF(OR(Model!AW230&lt;&gt;"",Model!AZ230&lt;&gt;""),(Model!AW230+Model!AZ230)/2,"")</f>
        <v>28.516000000000002</v>
      </c>
      <c r="BA108" s="359">
        <f>IF(OR(Model!AZ230&lt;&gt;"",Model!BA230&lt;&gt;""),(Model!AZ230+Model!BA230)/2,"")</f>
        <v>24.78</v>
      </c>
      <c r="BB108" s="359">
        <f>IF(OR(Model!BA230&lt;&gt;"",Model!BC230&lt;&gt;""),(Model!BA230+Model!BC230)/2,"")</f>
        <v>28.692</v>
      </c>
      <c r="BC108" s="359">
        <f>IF(OR(Model!AZ230&lt;&gt;"",Model!BC230&lt;&gt;""),(Model!AZ230+Model!BC230)/2,"")</f>
        <v>27.113</v>
      </c>
      <c r="BD108" s="359">
        <f>IF(OR(Model!BC230&lt;&gt;"",Model!BD230&lt;&gt;""),(Model!BC230+Model!BD230)/2,"")</f>
        <v>21.553999999999998</v>
      </c>
      <c r="BE108" s="359">
        <f>IF(OR(Model!BD230&lt;&gt;"",Model!BF230&lt;&gt;""),(Model!BD230+Model!BF230)/2,"")</f>
        <v>11.311</v>
      </c>
      <c r="BF108" s="359">
        <f>IF(OR(Model!BC230&lt;&gt;"",Model!BF230&lt;&gt;""),(Model!BC230+Model!BF230)/2,"")</f>
        <v>20.782</v>
      </c>
      <c r="BG108" s="359">
        <f>IF(OR(Model!BF230&lt;&gt;"",Model!BG230&lt;&gt;""),(Model!BF230+Model!BG230)/2,"")</f>
        <v>20.858499999999999</v>
      </c>
      <c r="BH108" s="359">
        <f>IF(OR(Model!BG230&lt;&gt;"",Model!BI230&lt;&gt;""),(Model!BG230+Model!BI230)/2,"")</f>
        <v>37.534500000000001</v>
      </c>
      <c r="BI108" s="359">
        <f>IF(OR(Model!BF230&lt;&gt;"",Model!BI230&lt;&gt;""),(Model!BF230+Model!BI230)/2,"")</f>
        <v>27.215</v>
      </c>
      <c r="BJ108" s="359">
        <f>IF(OR(Model!BI230&lt;&gt;"",Model!BJ230&lt;&gt;""),(Model!BI230+Model!BJ230)/2,"")</f>
        <v>54.638000000000005</v>
      </c>
      <c r="BK108" s="359">
        <f>IF(OR(Model!BJ230&lt;&gt;"",Model!BL230&lt;&gt;""),(Model!BJ230+Model!BL230)/2,"")</f>
        <v>70.665500000000009</v>
      </c>
      <c r="BL108" s="359">
        <f>IF(OR(Model!BI230&lt;&gt;"",Model!BL230&lt;&gt;""),(Model!BI230+Model!BL230)/2,"")</f>
        <v>59.918499999999995</v>
      </c>
      <c r="BM108" s="359">
        <f>IF(OR(Model!BL230&lt;&gt;"",Model!BM230&lt;&gt;""),(Model!BL230+Model!BM230)/2,"")</f>
        <v>73.682500000000005</v>
      </c>
      <c r="BN108" s="359">
        <f>IF(OR(Model!BM230&lt;&gt;"",Model!BO230&lt;&gt;""),(Model!BM230+Model!BO230)/2,"")</f>
        <v>88.74799999999999</v>
      </c>
      <c r="BO108" s="359">
        <f>IF(OR(Model!BL230&lt;&gt;"",Model!BO230&lt;&gt;""),(Model!BL230+Model!BO230)/2,"")</f>
        <v>91.011499999999998</v>
      </c>
      <c r="BP108" s="359">
        <f>IF(OR(Model!BO230&lt;&gt;"",Model!BP230&lt;&gt;""),(Model!BO230+Model!BP230)/2,"")</f>
        <v>105.25399999999999</v>
      </c>
      <c r="BQ108" s="359">
        <f>IF(OR(Model!BP230&lt;&gt;"",Model!BR230&lt;&gt;""),(Model!BP230+Model!BR230)/2,"")</f>
        <v>95.751999999999995</v>
      </c>
      <c r="BR108" s="359">
        <f>IF(OR(Model!BO230&lt;&gt;"",Model!BR230&lt;&gt;""),(Model!BO230+Model!BR230)/2,"")</f>
        <v>96.574999999999989</v>
      </c>
      <c r="BS108" s="359">
        <f>IF(OR(Model!BR230&lt;&gt;"",Model!BS230&lt;&gt;""),(Model!BR230+Model!BS230)/2,"")</f>
        <v>78.307500000000005</v>
      </c>
      <c r="BT108" s="359">
        <f>IF(OR(Model!BS230&lt;&gt;"",Model!BU230&lt;&gt;""),(Model!BS230+Model!BU230)/2,"")</f>
        <v>76.462000000000003</v>
      </c>
      <c r="BU108" s="359">
        <f>IF(OR(Model!BR230&lt;&gt;"",Model!BU230&lt;&gt;""),(Model!BR230+Model!BU230)/2,"")</f>
        <v>85.227499999999992</v>
      </c>
      <c r="BV108" s="359">
        <f>IF(OR(Model!BU230&lt;&gt;"",Model!BV230&lt;&gt;""),(Model!BU230+Model!BV230)/2,"")</f>
        <v>72.715000000000003</v>
      </c>
      <c r="BW108" s="359">
        <f>IF(OR(Model!BV230&lt;&gt;"",Model!BX230&lt;&gt;""),(Model!BV230+Model!BX230)/2,"")</f>
        <v>49.3675</v>
      </c>
      <c r="BX108" s="359">
        <f>IF(OR(Model!BU230&lt;&gt;"",Model!BX230&lt;&gt;""),(Model!BU230+Model!BX230)/2,"")</f>
        <v>60.034500000000001</v>
      </c>
      <c r="BY108" s="359">
        <f>IF(OR(Model!BX230&lt;&gt;"",Model!BY230&lt;&gt;""),(Model!BX230+Model!BY230)/2,"")</f>
        <v>49.773499999999999</v>
      </c>
      <c r="BZ108" s="359">
        <f>IF(OR(Model!BY230&lt;&gt;"",Model!CA230&lt;&gt;""),(Model!BY230+Model!CA230)/2,"")</f>
        <v>71.438000000000002</v>
      </c>
      <c r="CA108" s="359">
        <f>IF(OR(Model!BX230&lt;&gt;"",Model!CA230&lt;&gt;""),(Model!BX230+Model!CA230)/2,"")</f>
        <v>58.351500000000001</v>
      </c>
      <c r="CB108" s="359">
        <f>IF(OR(Model!CA230&lt;&gt;"",Model!CB230&lt;&gt;""),(Model!CA230+Model!CB230)/2,"")</f>
        <v>76.835499999999996</v>
      </c>
      <c r="CC108" s="359">
        <f>IF(OR(Model!CB230&lt;&gt;"",Model!CD230&lt;&gt;""),(Model!CB230+Model!CD230)/2,"")</f>
        <v>58.231499999999997</v>
      </c>
      <c r="CD108" s="359">
        <f>IF(OR(Model!CA230&lt;&gt;"",Model!CD230&lt;&gt;""),(Model!CA230+Model!CD230)/2,"")</f>
        <v>61.412000000000006</v>
      </c>
      <c r="CE108" s="359">
        <f>IF(OR(Model!CD230&lt;&gt;"",Model!CE230&lt;&gt;""),(Model!CD230+Model!CE230)/2,"")</f>
        <v>53.183</v>
      </c>
      <c r="CF108" s="359">
        <f>IF(OR(Model!CE230&lt;&gt;"",Model!CG230&lt;&gt;""),(Model!CE230+Model!CG230)/2,"")</f>
        <v>67.990499999999997</v>
      </c>
      <c r="CG108" s="359">
        <f>IF(OR(Model!CD230&lt;&gt;"",Model!CG230&lt;&gt;""),(Model!CD230+Model!CG230)/2,"")</f>
        <v>57.615499999999997</v>
      </c>
      <c r="CH108" s="359">
        <f>IF(OR(Model!CG230&lt;&gt;"",Model!CH230&lt;&gt;""),(Model!CG230+Model!CH230)/2,"")</f>
        <v>73.68549999999999</v>
      </c>
      <c r="CI108" s="359">
        <f>IF(OR(Model!CH230&lt;&gt;"",Model!CJ230&lt;&gt;""),(Model!CH230+Model!CJ230)/2,"")</f>
        <v>71.716999999999999</v>
      </c>
      <c r="CJ108" s="359">
        <f>IF(OR(Model!CG230&lt;&gt;"",Model!CJ230&lt;&gt;""),(Model!CG230+Model!CJ230)/2,"")</f>
        <v>70.454499999999996</v>
      </c>
      <c r="CK108" s="359">
        <f>IF(OR(Model!CJ230&lt;&gt;"",Model!CK230&lt;&gt;""),(Model!CJ230+Model!CK230)/2,"")</f>
        <v>69.141000000000005</v>
      </c>
      <c r="CL108" s="359">
        <f>IF(OR(Model!CK230&lt;&gt;"",Model!CM230&lt;&gt;""),(Model!CK230+Model!CM230)/2,"")</f>
        <v>61.242500000000007</v>
      </c>
      <c r="CM108" s="359">
        <f>IF(OR(Model!CJ230&lt;&gt;"",Model!CM230&lt;&gt;""),(Model!CJ230+Model!CM230)/2,"")</f>
        <v>60.587500000000006</v>
      </c>
      <c r="CN108" s="359">
        <f>IF(OR(Model!CM230&lt;&gt;"",Model!CN230&lt;&gt;""),(Model!CM230+Model!CN230)/2,"")</f>
        <v>56.340499999999999</v>
      </c>
      <c r="CO108" s="359">
        <f>IF(OR(Model!CN230&lt;&gt;"",Model!CP230&lt;&gt;""),(Model!CN230+Model!CP230)/2,"")</f>
        <v>58.0595</v>
      </c>
      <c r="CP108" s="359">
        <f>IF(OR(Model!CM230&lt;&gt;"",Model!CP230&lt;&gt;""),(Model!CM230+Model!CP230)/2,"")</f>
        <v>54.408000000000001</v>
      </c>
      <c r="CQ108" s="359">
        <f>IF(OR(Model!CP230&lt;&gt;"",Model!CQ230&lt;&gt;""),(Model!CP230+Model!CQ230)/2,"")</f>
        <v>57.499000000000002</v>
      </c>
      <c r="CR108" s="359">
        <f>IF(OR(Model!CQ230&lt;&gt;"",Model!CS230&lt;&gt;""),(Model!CQ230+Model!CS230)/2,"")</f>
        <v>65.539500000000004</v>
      </c>
      <c r="CS108" s="359">
        <f>IF(OR(Model!CP230&lt;&gt;"",Model!CS230&lt;&gt;""),(Model!CP230+Model!CS230)/2,"")</f>
        <v>64.167500000000004</v>
      </c>
      <c r="CT108" s="359">
        <f>IF(OR(Model!CS230&lt;&gt;"",Model!CT230&lt;&gt;""),(Model!CS230+Model!CT230)/2,"")</f>
        <v>76.229500000000002</v>
      </c>
      <c r="CU108" s="359">
        <f>IF(OR(Model!CT230&lt;&gt;"",Model!CV230&lt;&gt;""),(Model!CT230+Model!CV230)/2,"")</f>
        <v>77.834000000000003</v>
      </c>
      <c r="CV108" s="359">
        <f>IF(OR(Model!CS230&lt;&gt;"",Model!CV230&lt;&gt;""),(Model!CS230+Model!CV230)/2,"")</f>
        <v>73.8125</v>
      </c>
      <c r="CW108" s="359">
        <f>IF(OR(Model!CV230&lt;&gt;"",Model!CW230&lt;&gt;""),(Model!CV230+Model!CW230)/2,"")</f>
        <v>77.412499999999994</v>
      </c>
      <c r="CX108" s="359">
        <f>IF(OR(Model!CW230&lt;&gt;"",Model!CY230&lt;&gt;""),(Model!CW230+Model!CY230)/2,"")</f>
        <v>84.474000000000004</v>
      </c>
      <c r="CY108" s="359">
        <f>IF(OR(Model!CV230&lt;&gt;"",Model!CY230&lt;&gt;""),(Model!CV230+Model!CY230)/2,"")</f>
        <v>82.478499999999997</v>
      </c>
      <c r="CZ108" s="359">
        <f>IF(OR(Model!CY230&lt;&gt;"",Model!CZ230&lt;&gt;""),(Model!CY230+Model!CZ230)/2,"")</f>
        <v>98.22</v>
      </c>
      <c r="DA108" s="359">
        <f>IF(OR(Model!CZ230&lt;&gt;"",Model!DB230&lt;&gt;""),(Model!CZ230+Model!DB230)/2,"")</f>
        <v>84.2</v>
      </c>
      <c r="DB108" s="359">
        <f>IF(OR(Model!CY230&lt;&gt;"",Model!DB230&lt;&gt;""),(Model!CY230+Model!DB230)/2,"")</f>
        <v>75.52000000000001</v>
      </c>
      <c r="DC108" s="359">
        <f>IF(OR(Model!DB230&lt;&gt;"",Model!DC230&lt;&gt;""),(Model!DB230+Model!DC230)/2,"")</f>
        <v>76.900000000000006</v>
      </c>
      <c r="DD108" s="359">
        <f>IF(OR(Model!DC230&lt;&gt;"",Model!DE230&lt;&gt;""),(Model!DC230+Model!DE230)/2,"")</f>
        <v>85.449999999999989</v>
      </c>
      <c r="DE108" s="359">
        <f>IF(OR(Model!DB230&lt;&gt;"",Model!DE230&lt;&gt;""),(Model!DB230+Model!DE230)/2,"")</f>
        <v>70.05</v>
      </c>
      <c r="DF108" s="359">
        <f>IF(OR(Model!DE230&lt;&gt;"",Model!DF230&lt;&gt;""),(Model!DE230+Model!DF230)/2,"")</f>
        <v>84</v>
      </c>
      <c r="DG108" s="359">
        <f>IF(OR(Model!DF230&lt;&gt;"",Model!DH230&lt;&gt;""),(Model!DF230+Model!DH230)/2,"")</f>
        <v>327.2</v>
      </c>
      <c r="DH108" s="359">
        <f>IF(OR(Model!DE230&lt;&gt;"",Model!DH230&lt;&gt;""),(Model!DE230+Model!DH230)/2,"")</f>
        <v>321.8</v>
      </c>
      <c r="DI108" s="359">
        <f>IF(OR(Model!DH230&lt;&gt;"",Model!DI230&lt;&gt;""),(Model!DH230+Model!DI230)/2,"")</f>
        <v>576.35</v>
      </c>
      <c r="DJ108" s="359">
        <f>IF(OR(Model!DI230&lt;&gt;"",Model!DK230&lt;&gt;""),(Model!DI230+Model!DK230)/2,"")</f>
        <v>598.65000000000009</v>
      </c>
      <c r="DK108" s="1208">
        <f>IF(OR(Model!DH230&lt;&gt;"",Model!DK230&lt;&gt;""),(Model!DH230+Model!DK230)/2,"")</f>
        <v>587.29999999999995</v>
      </c>
      <c r="DL108" s="359">
        <f>IF(OR(Model!DK230&lt;&gt;"",Model!DL230&lt;&gt;""),(Model!DK230+Model!DL230)/2,"")</f>
        <v>581.35</v>
      </c>
      <c r="DM108" s="359">
        <f>IF(OR(Model!DL230&lt;&gt;"",Model!DN230&lt;&gt;""),(Model!DL230+Model!DN230)/2,"")</f>
        <v>591.20000000000005</v>
      </c>
      <c r="DN108" s="1208">
        <f>IF(OR(Model!DK230&lt;&gt;"",Model!DN230&lt;&gt;""),(Model!DK230+Model!DN230)/2,"")</f>
        <v>619.45000000000005</v>
      </c>
      <c r="DO108" s="359">
        <f>IF(OR(Model!DN230&lt;&gt;"",Model!DO230&lt;&gt;""),(Model!DN230+Model!DO230)/2,"")</f>
        <v>588</v>
      </c>
      <c r="DP108" s="359">
        <f>IF(OR(Model!DO230&lt;&gt;"",Model!DQ230&lt;&gt;""),(Model!DO230+Model!DQ230)/2,"")</f>
        <v>551.1</v>
      </c>
      <c r="DQ108" s="1208">
        <f>IF(OR(Model!DN230&lt;&gt;"",Model!DQ230&lt;&gt;""),(Model!DN230+Model!DQ230)/2,"")</f>
        <v>592.4</v>
      </c>
      <c r="DR108" s="359">
        <f>IF(OR(Model!DQ230&lt;&gt;"",Model!DR230&lt;&gt;""),(Model!DQ230+Model!DR230)/2,"")</f>
        <v>520.35</v>
      </c>
      <c r="DS108" s="359">
        <f>IF(OR(Model!DR230&lt;&gt;"",Model!DT230&lt;&gt;""),(Model!DR230+Model!DT230)/2,"")</f>
        <v>499.4</v>
      </c>
      <c r="DT108" s="1208">
        <f>IF(OR(Model!DQ230&lt;&gt;"",Model!DT230&lt;&gt;""),(Model!DQ230+Model!DT230)/2,"")</f>
        <v>534.54999999999995</v>
      </c>
      <c r="DU108" s="359">
        <f>IF(OR(Model!DT230&lt;&gt;"",Model!DU230&lt;&gt;""),(Model!DT230+Model!DU230)/2,"")</f>
        <v>448.35</v>
      </c>
      <c r="DV108" s="359">
        <f>IF(OR(Model!DU230&lt;&gt;"",Model!DW230&lt;&gt;""),(Model!DU230+Model!DW230)/2,"")</f>
        <v>329.4</v>
      </c>
      <c r="DW108" s="1208">
        <f>IF(OR(Model!DT230&lt;&gt;"",Model!DW230&lt;&gt;""),(Model!DT230+Model!DW230)/2,"")</f>
        <v>394.65</v>
      </c>
      <c r="DX108" s="359">
        <f>IF(OR(Model!DW230&lt;&gt;"",Model!DX230&lt;&gt;""),(Model!DW230+Model!DX230)/2,"")</f>
        <v>231.39999999999998</v>
      </c>
      <c r="DY108" s="359">
        <f>IF(OR(Model!DX230&lt;&gt;"",Model!DZ230&lt;&gt;""),(Model!DX230+Model!DZ230)/2,"")</f>
        <v>143.66937389872504</v>
      </c>
      <c r="DZ108" s="1208">
        <f>IF(OR(Model!DW230&lt;&gt;"",Model!DZ230&lt;&gt;""),(Model!DW230+Model!DZ230)/2,"")</f>
        <v>187.96937389872505</v>
      </c>
      <c r="EA108" s="359">
        <f>IF(OR(Model!DZ230&lt;&gt;"",Model!EA230&lt;&gt;""),(Model!DZ230+Model!EA230)/2,"")</f>
        <v>114.57635993961158</v>
      </c>
      <c r="EB108" s="359">
        <f>IF(OR(Model!EA230&lt;&gt;"",Model!EC230&lt;&gt;""),(Model!EA230+Model!EC230)/2,"")</f>
        <v>130.27308692892848</v>
      </c>
      <c r="EC108" s="1208">
        <f>IF(OR(Model!DZ230&lt;&gt;"",Model!EC230&lt;&gt;""),(Model!DZ230+Model!EC230)/2,"")</f>
        <v>115.935474786767</v>
      </c>
      <c r="ED108" s="359">
        <f>IF(OR(Model!EC230&lt;&gt;"",Model!ED230&lt;&gt;""),(Model!EC230+Model!ED230)/2,"")</f>
        <v>128.7373888934674</v>
      </c>
      <c r="EE108" s="359">
        <f>IF(OR(Model!ED230&lt;&gt;"",Model!EF230&lt;&gt;""),(Model!ED230+Model!EF230)/2,"")</f>
        <v>128.15649375404081</v>
      </c>
      <c r="EF108" s="1208">
        <f>IF(OR(Model!EC230&lt;&gt;"",Model!EF230&lt;&gt;""),(Model!EC230+Model!EF230)/2,"")</f>
        <v>131.0513066366573</v>
      </c>
      <c r="EG108" s="359">
        <f>IF(OR(Model!EF230&lt;&gt;"",Model!EG230&lt;&gt;""),(Model!EF230+Model!EG230)/2,"")</f>
        <v>129.03805734882349</v>
      </c>
      <c r="EH108" s="359">
        <f>IF(OR(Model!EG230&lt;&gt;"",Model!EI230&lt;&gt;""),(Model!EG230+Model!EI230)/2,"")</f>
        <v>133.48885666638813</v>
      </c>
      <c r="EI108" s="1208">
        <f>IF(OR(Model!EF230&lt;&gt;"",Model!EI230&lt;&gt;""),(Model!EF230+Model!EI230)/2,"")</f>
        <v>134.92121081479536</v>
      </c>
      <c r="EJ108" s="359">
        <f>IF(OR(Model!EI230&lt;&gt;"",Model!EJ230&lt;&gt;""),(Model!EI230+Model!EJ230)/2,"")</f>
        <v>165.83230105150636</v>
      </c>
      <c r="EK108" s="359">
        <f>IF(OR(Model!EJ230&lt;&gt;"",Model!EL230&lt;&gt;""),(Model!EJ230+Model!EL230)/2,"")</f>
        <v>227.16922579871238</v>
      </c>
      <c r="EL108" s="1208">
        <f>IF(OR(Model!EI230&lt;&gt;"",Model!EL230&lt;&gt;""),(Model!EI230+Model!EL230)/2,"")</f>
        <v>200.70893487956602</v>
      </c>
      <c r="EM108" s="359">
        <f>IF(OR(Model!EL230&lt;&gt;"",Model!EM230&lt;&gt;""),(Model!EL230+Model!EM230)/2,"")</f>
        <v>292.48583556289032</v>
      </c>
      <c r="EN108" s="359">
        <f>IF(OR(Model!EM230&lt;&gt;"",Model!EO230&lt;&gt;""),(Model!EM230+Model!EO230)/2,"")</f>
        <v>361.98984835731153</v>
      </c>
      <c r="EO108" s="1208">
        <f>IF(OR(Model!EL230&lt;&gt;"",Model!EO230&lt;&gt;""),(Model!EL230+Model!EO230)/2,"")</f>
        <v>331.54987242119324</v>
      </c>
      <c r="EP108" s="359">
        <f>IF(OR(Model!EO230&lt;&gt;"",Model!EP230&lt;&gt;""),(Model!EO230+Model!EP230)/2,"")</f>
        <v>436.01333722537493</v>
      </c>
      <c r="EQ108" s="359">
        <f>IF(OR(Model!EP230&lt;&gt;"",Model!ER230&lt;&gt;""),(Model!EP230+Model!ER230)/2,"")</f>
        <v>514.50407652802016</v>
      </c>
      <c r="ER108" s="1208">
        <f>IF(OR(Model!EO230&lt;&gt;"",Model!ER230&lt;&gt;""),(Model!EO230+Model!ER230)/2,"")</f>
        <v>479.54462451825964</v>
      </c>
      <c r="ES108" s="359">
        <f>IF(OR(Model!ER230&lt;&gt;"",Model!ES230&lt;&gt;""),(Model!ER230+Model!ES230)/2,"")</f>
        <v>598.39732184240643</v>
      </c>
      <c r="ET108" s="359">
        <f>IF(OR(Model!ES230&lt;&gt;"",Model!EU230&lt;&gt;""),(Model!ES230+Model!EU230)/2,"")</f>
        <v>687.21482308156419</v>
      </c>
      <c r="EU108" s="1208">
        <f>IF(OR(Model!ER230&lt;&gt;"",Model!EU230&lt;&gt;""),(Model!ER230+Model!EU230)/2,"")</f>
        <v>646.85286506006264</v>
      </c>
      <c r="EV108" s="359">
        <f>IF(OR(Model!EU230&lt;&gt;"",Model!EV230&lt;&gt;""),(Model!EU230+Model!EV230)/2,"")</f>
        <v>782.09310319594169</v>
      </c>
      <c r="EW108" s="359">
        <f>IF(OR(Model!EV230&lt;&gt;"",Model!EX230&lt;&gt;""),(Model!EV230+Model!EX230)/2,"")</f>
        <v>882.39787169783506</v>
      </c>
      <c r="EX108" s="1208">
        <f>IF(OR(Model!EU230&lt;&gt;"",Model!EX230&lt;&gt;""),(Model!EU230+Model!EX230)/2,"")</f>
        <v>835.97513480111388</v>
      </c>
      <c r="EY108" s="359">
        <f>IF(OR(Model!EX230&lt;&gt;"",Model!EY230&lt;&gt;""),(Model!EX230+Model!EY230)/2,"")</f>
        <v>989.49605706656598</v>
      </c>
      <c r="EZ108" s="359">
        <f>IF(OR(Model!EY230&lt;&gt;"",Model!FA230&lt;&gt;""),(Model!EY230+Model!FA230)/2,"")</f>
        <v>1102.572753221606</v>
      </c>
      <c r="FA108" s="359">
        <f>IF(OR(Model!EX230&lt;&gt;"",Model!FA230&lt;&gt;""),(Model!EX230+Model!FA230)/2,"")</f>
        <v>1049.3565994580474</v>
      </c>
    </row>
    <row r="109" spans="1:157" ht="13.35" customHeight="1">
      <c r="A109" s="5"/>
      <c r="B109" s="5" t="s">
        <v>578</v>
      </c>
      <c r="C109" s="5"/>
      <c r="D109" s="5"/>
      <c r="E109" s="361" t="str">
        <f>IF(Model!E75&lt;&gt;"",Model!E75,"")</f>
        <v/>
      </c>
      <c r="F109" s="361" t="str">
        <f>IF(G109&lt;&gt;"",G109-E109,"")</f>
        <v/>
      </c>
      <c r="G109" s="361" t="str">
        <f>IF(Model!G75&lt;&gt;"",Model!G75,"")</f>
        <v/>
      </c>
      <c r="H109" s="361" t="str">
        <f>IF(Model!H75&lt;&gt;"",Model!H75,"")</f>
        <v/>
      </c>
      <c r="I109" s="361" t="str">
        <f>IF(J109&lt;&gt;"",J109-H109,"")</f>
        <v/>
      </c>
      <c r="J109" s="361" t="str">
        <f>IF(Model!J75&lt;&gt;"",Model!J75,"")</f>
        <v/>
      </c>
      <c r="K109" s="361" t="str">
        <f>IF(Model!K75&lt;&gt;"",Model!K75,"")</f>
        <v/>
      </c>
      <c r="L109" s="361" t="str">
        <f>IF(M109&lt;&gt;"",M109-K109,"")</f>
        <v/>
      </c>
      <c r="M109" s="361" t="str">
        <f>IF(Model!M75&lt;&gt;"",Model!M75,"")</f>
        <v/>
      </c>
      <c r="N109" s="361" t="str">
        <f>IF(Model!N75&lt;&gt;"",Model!N75,"")</f>
        <v/>
      </c>
      <c r="O109" s="361" t="str">
        <f>IF(P109&lt;&gt;"",P109-N109,"")</f>
        <v/>
      </c>
      <c r="P109" s="361" t="str">
        <f>IF(Model!P75&lt;&gt;"",Model!P75,"")</f>
        <v/>
      </c>
      <c r="Q109" s="361" t="str">
        <f>IF(Model!Q75&lt;&gt;"",Model!Q75,"")</f>
        <v/>
      </c>
      <c r="R109" s="361" t="str">
        <f>IF(S109&lt;&gt;"",S109-Q109,"")</f>
        <v/>
      </c>
      <c r="S109" s="361" t="str">
        <f>IF(Model!S75&lt;&gt;"",Model!S75,"")</f>
        <v/>
      </c>
      <c r="T109" s="361" t="str">
        <f>IF(Model!T75&lt;&gt;"",Model!T75,"")</f>
        <v/>
      </c>
      <c r="U109" s="361" t="str">
        <f>IF(V109&lt;&gt;"",V109-T109,"")</f>
        <v/>
      </c>
      <c r="V109" s="361" t="str">
        <f>IF(Model!V75&lt;&gt;"",Model!V75,"")</f>
        <v/>
      </c>
      <c r="W109" s="361" t="str">
        <f>IF(Model!W75&lt;&gt;"",Model!W75,"")</f>
        <v/>
      </c>
      <c r="X109" s="361" t="str">
        <f>IF(Y109&lt;&gt;"",Y109-W109,"")</f>
        <v/>
      </c>
      <c r="Y109" s="361" t="str">
        <f>IF(Model!Y75&lt;&gt;"",Model!Y75,"")</f>
        <v/>
      </c>
      <c r="Z109" s="361" t="str">
        <f>IF(Model!Z75&lt;&gt;"",Model!Z75,"")</f>
        <v/>
      </c>
      <c r="AA109" s="361" t="str">
        <f>IF(AB109&lt;&gt;"",AB109-Z109,"")</f>
        <v/>
      </c>
      <c r="AB109" s="361" t="str">
        <f>IF(Model!AB75&lt;&gt;"",Model!AB75,"")</f>
        <v/>
      </c>
      <c r="AC109" s="361" t="str">
        <f>IF(Model!AC75&lt;&gt;"",Model!AC75,"")</f>
        <v/>
      </c>
      <c r="AD109" s="361" t="str">
        <f>IF(AE109&lt;&gt;"",AE109-AC109,"")</f>
        <v/>
      </c>
      <c r="AE109" s="361" t="str">
        <f>IF(Model!AE75&lt;&gt;"",Model!AE75,"")</f>
        <v/>
      </c>
      <c r="AF109" s="361" t="str">
        <f>IF(Model!AF75&lt;&gt;"",Model!AF75,"")</f>
        <v/>
      </c>
      <c r="AG109" s="361" t="str">
        <f>IF(AH109&lt;&gt;"",AH109-AF109,"")</f>
        <v/>
      </c>
      <c r="AH109" s="361" t="str">
        <f>IF(Model!AH75&lt;&gt;"",Model!AH75,"")</f>
        <v/>
      </c>
      <c r="AI109" s="361">
        <f>Model!AI75</f>
        <v>4.7E-2</v>
      </c>
      <c r="AJ109" s="361">
        <f>Model!AJ75</f>
        <v>0</v>
      </c>
      <c r="AK109" s="361">
        <f>Model!AK75</f>
        <v>4.7E-2</v>
      </c>
      <c r="AL109" s="361">
        <f>Model!AL75</f>
        <v>7.0999999999999994E-2</v>
      </c>
      <c r="AM109" s="361">
        <f>Model!AM75</f>
        <v>0.38400000000000001</v>
      </c>
      <c r="AN109" s="361">
        <f>Model!AN75</f>
        <v>0.45500000000000002</v>
      </c>
      <c r="AO109" s="361">
        <f>Model!AO75</f>
        <v>0.35799999999999998</v>
      </c>
      <c r="AP109" s="361">
        <f>Model!AP75</f>
        <v>0.32200000000000006</v>
      </c>
      <c r="AQ109" s="361">
        <f>Model!AQ75</f>
        <v>0.68</v>
      </c>
      <c r="AR109" s="361">
        <f>Model!AR75</f>
        <v>0.32300000000000001</v>
      </c>
      <c r="AS109" s="361">
        <f>Model!AS75</f>
        <v>0.30099999999999999</v>
      </c>
      <c r="AT109" s="361">
        <f>Model!AT75</f>
        <v>0.624</v>
      </c>
      <c r="AU109" s="361">
        <f>Model!AU75</f>
        <v>0.40600000000000003</v>
      </c>
      <c r="AV109" s="361">
        <f>Model!AV75</f>
        <v>0.57099999999999995</v>
      </c>
      <c r="AW109" s="361">
        <f>Model!AW75</f>
        <v>0.97699999999999998</v>
      </c>
      <c r="AX109" s="361">
        <f>Model!AX75</f>
        <v>0.755</v>
      </c>
      <c r="AY109" s="361">
        <f>Model!AY75</f>
        <v>0.624</v>
      </c>
      <c r="AZ109" s="361">
        <f>Model!AZ75</f>
        <v>1.379</v>
      </c>
      <c r="BA109" s="361">
        <f>Model!BA75</f>
        <v>0.56499999999999995</v>
      </c>
      <c r="BB109" s="361">
        <f>Model!BB75</f>
        <v>0.59499999999999997</v>
      </c>
      <c r="BC109" s="361">
        <f>Model!BC75</f>
        <v>1.1599999999999999</v>
      </c>
      <c r="BD109" s="361">
        <f>Model!BD75</f>
        <v>0</v>
      </c>
      <c r="BE109" s="361">
        <f>Model!BE75</f>
        <v>0.69</v>
      </c>
      <c r="BF109" s="361">
        <f>Model!BF75</f>
        <v>0.69</v>
      </c>
      <c r="BG109" s="361">
        <f>Model!BG75</f>
        <v>0.218</v>
      </c>
      <c r="BH109" s="361">
        <f>Model!BH75</f>
        <v>0.43900000000000006</v>
      </c>
      <c r="BI109" s="361">
        <f>Model!BI75</f>
        <v>0.65700000000000003</v>
      </c>
      <c r="BJ109" s="361">
        <f>Model!BJ75</f>
        <v>1.1679999999999999</v>
      </c>
      <c r="BK109" s="361">
        <f>Model!BK75</f>
        <v>1.4339999999999999</v>
      </c>
      <c r="BL109" s="361">
        <f>Model!BL75</f>
        <v>2.6019999999999999</v>
      </c>
      <c r="BM109" s="361">
        <f>Model!BM75</f>
        <v>0</v>
      </c>
      <c r="BN109" s="361">
        <f>Model!BN75</f>
        <v>2.7</v>
      </c>
      <c r="BO109" s="361">
        <f>Model!BO75</f>
        <v>2.7</v>
      </c>
      <c r="BP109" s="361">
        <f>Model!BP75</f>
        <v>2.9979999999999998</v>
      </c>
      <c r="BQ109" s="361">
        <f>Model!BQ75</f>
        <v>3.7310000000000003</v>
      </c>
      <c r="BR109" s="361">
        <f>Model!BR75</f>
        <v>6.7290000000000001</v>
      </c>
      <c r="BS109" s="361">
        <f>Model!BS75</f>
        <v>1.091</v>
      </c>
      <c r="BT109" s="361">
        <f>Model!BT75</f>
        <v>1.1079999999999999</v>
      </c>
      <c r="BU109" s="361">
        <f>Model!BU75</f>
        <v>2.1989999999999998</v>
      </c>
      <c r="BV109" s="361">
        <f>Model!BV75</f>
        <v>0.67</v>
      </c>
      <c r="BW109" s="361">
        <f>Model!BW75</f>
        <v>0.73999999999999988</v>
      </c>
      <c r="BX109" s="361">
        <f>Model!BX75</f>
        <v>1.41</v>
      </c>
      <c r="BY109" s="361">
        <f>Model!BY75</f>
        <v>15.888999999999999</v>
      </c>
      <c r="BZ109" s="361">
        <f>Model!BZ75</f>
        <v>-5.4149999999999991</v>
      </c>
      <c r="CA109" s="361">
        <f>Model!CA75</f>
        <v>10.474</v>
      </c>
      <c r="CB109" s="361">
        <f>IF(AND(CB107&lt;&gt;"",CB108&lt;&gt;""),(CB107/2)*CB108,"")</f>
        <v>1.1525325</v>
      </c>
      <c r="CC109" s="361">
        <f>IF(CD109&lt;&gt;"",CD109-CB109,"")</f>
        <v>0.68982750000000026</v>
      </c>
      <c r="CD109" s="361">
        <f>IF(AND(CD107&lt;&gt;"",CD108&lt;&gt;""),(CD107)*CD108,"")</f>
        <v>1.8423600000000002</v>
      </c>
      <c r="CE109" s="361">
        <f>IF(AND(CE107&lt;&gt;"",CE108&lt;&gt;""),(CE107/2)*CE108,"")</f>
        <v>0.79774499999999993</v>
      </c>
      <c r="CF109" s="361">
        <f>IF(CG109&lt;&gt;"",CG109-CE109,"")</f>
        <v>0.93071999999999999</v>
      </c>
      <c r="CG109" s="361">
        <f>IF(AND(CG107&lt;&gt;"",CG108&lt;&gt;""),(CG107)*CG108,"")</f>
        <v>1.7284649999999999</v>
      </c>
      <c r="CH109" s="361">
        <f>IF(AND(CH107&lt;&gt;"",CH108&lt;&gt;""),(CH107/2)*CH108,"")</f>
        <v>1.1052824999999997</v>
      </c>
      <c r="CI109" s="361">
        <f>IF(CJ109&lt;&gt;"",CJ109-CH109,"")</f>
        <v>1.0083525000000002</v>
      </c>
      <c r="CJ109" s="361">
        <f>IF(AND(CJ107&lt;&gt;"",CJ108&lt;&gt;""),(CJ107)*CJ108,"")</f>
        <v>2.1136349999999999</v>
      </c>
      <c r="CK109" s="361">
        <f>IF(AND(CK107&lt;&gt;"",CK108&lt;&gt;""),(CK107/2)*CK108,"")</f>
        <v>1.037115</v>
      </c>
      <c r="CL109" s="361">
        <f>IF(CM109&lt;&gt;"",CM109-CK109,"")</f>
        <v>0.78051000000000004</v>
      </c>
      <c r="CM109" s="361">
        <f>IF(AND(CM107&lt;&gt;"",CM108&lt;&gt;""),(CM107)*CM108,"")</f>
        <v>1.817625</v>
      </c>
      <c r="CN109" s="361">
        <f>IF(AND(CN107&lt;&gt;"",CN108&lt;&gt;""),(CN107/2)*CN108,"")</f>
        <v>0.8451074999999999</v>
      </c>
      <c r="CO109" s="361">
        <f>IF(CP109&lt;&gt;"",CP109-CN109,"")</f>
        <v>-0.52110749999999995</v>
      </c>
      <c r="CP109" s="361">
        <f>IF(AND(CP107&lt;&gt;"",CP108&lt;&gt;""),(CP107)*CP108,"")</f>
        <v>0.32399999999999995</v>
      </c>
      <c r="CQ109" s="361">
        <f>IF(AND(CQ107&lt;&gt;"",CQ108&lt;&gt;""),(CQ107/2)*CQ108,"")</f>
        <v>8.9977309675119743E-2</v>
      </c>
      <c r="CR109" s="361">
        <f>IF(CS109&lt;&gt;"",CS109-CQ109,"")</f>
        <v>0.23086019032488031</v>
      </c>
      <c r="CS109" s="361">
        <f>IF(AND(CS107&lt;&gt;"",CS108&lt;&gt;""),(CS107)*CS108,"")</f>
        <v>0.32083750000000005</v>
      </c>
      <c r="CT109" s="361">
        <f>IF(AND(CT107&lt;&gt;"",CT108&lt;&gt;""),(CT107/2)*CT108,"")</f>
        <v>0.12999999999999998</v>
      </c>
      <c r="CU109" s="361">
        <f>IF(CV109&lt;&gt;"",CV109-CT109,"")</f>
        <v>0.33799999999999997</v>
      </c>
      <c r="CV109" s="361">
        <f>IF(AND(CV107&lt;&gt;"",CV108&lt;&gt;""),(CV107)*CV108,"")</f>
        <v>0.46799999999999997</v>
      </c>
      <c r="CW109" s="361">
        <f>IF(AND(CW107&lt;&gt;"",CW108&lt;&gt;""),(CW107/2)*CW108,"")</f>
        <v>0.27199999999999996</v>
      </c>
      <c r="CX109" s="361">
        <f>IF(CY109&lt;&gt;"",CY109-CW109,"")</f>
        <v>0.38782800000000001</v>
      </c>
      <c r="CY109" s="361">
        <f>IF(AND(CY107&lt;&gt;"",CY108&lt;&gt;""),(CY107)*CY108,"")</f>
        <v>0.65982799999999997</v>
      </c>
      <c r="CZ109" s="361">
        <f>IF(AND(CZ107&lt;&gt;"",CZ108&lt;&gt;""),(CZ107/2)*CZ108,"")</f>
        <v>0.24554999999999999</v>
      </c>
      <c r="DA109" s="361">
        <f>IF(DB109&lt;&gt;"",DB109-CZ109,"")</f>
        <v>0.35444999999999999</v>
      </c>
      <c r="DB109" s="361">
        <f>IF(AND(DB107&lt;&gt;"",DB108&lt;&gt;""),(DB107)*DB108,"")</f>
        <v>0.6</v>
      </c>
      <c r="DC109" s="361">
        <f>IF(AND(DC107&lt;&gt;"",DC108&lt;&gt;""),(DC107/2)*DC108,"")</f>
        <v>0.30000000000000004</v>
      </c>
      <c r="DD109" s="361">
        <f>IF(DE109&lt;&gt;"",DE109-DC109,"")</f>
        <v>0.40049999999999997</v>
      </c>
      <c r="DE109" s="361">
        <f>IF(AND(DE107&lt;&gt;"",DE108&lt;&gt;""),(DE107)*DE108,"")</f>
        <v>0.70050000000000001</v>
      </c>
      <c r="DF109" s="361">
        <f>IF(AND(DF107&lt;&gt;"",DF108&lt;&gt;""),(DF107/2)*DF108,"")</f>
        <v>0.19685196021064949</v>
      </c>
      <c r="DG109" s="361">
        <f>IF(DH109&lt;&gt;"",DH109-DF109,"")</f>
        <v>1.4443280397893505</v>
      </c>
      <c r="DH109" s="361">
        <f>IF(AND(DH107&lt;&gt;"",DH108&lt;&gt;""),(DH107)*DH108,"")</f>
        <v>1.6411800000000001</v>
      </c>
      <c r="DI109" s="1354">
        <v>2.5</v>
      </c>
      <c r="DJ109" s="361">
        <f>IF(DK109&lt;&gt;"",DK109-DI109,"")</f>
        <v>1.1000000000000001</v>
      </c>
      <c r="DK109" s="1355">
        <v>3.6</v>
      </c>
      <c r="DL109" s="1354">
        <v>0.8</v>
      </c>
      <c r="DM109" s="361">
        <f>IF(DN109&lt;&gt;"",DN109-DL109,"")</f>
        <v>1.5999999999999999</v>
      </c>
      <c r="DN109" s="1355">
        <v>2.4</v>
      </c>
      <c r="DO109" s="1354">
        <v>6.7</v>
      </c>
      <c r="DP109" s="361">
        <f>IF(DQ109&lt;&gt;"",DQ109-DO109,"")</f>
        <v>9.8000000000000007</v>
      </c>
      <c r="DQ109" s="1355">
        <v>16.5</v>
      </c>
      <c r="DR109" s="1354">
        <v>9.4</v>
      </c>
      <c r="DS109" s="361">
        <f>IF(DT109&lt;&gt;"",DT109-DR109,"")</f>
        <v>9.6</v>
      </c>
      <c r="DT109" s="1355">
        <v>19</v>
      </c>
      <c r="DU109" s="1354">
        <v>7.4</v>
      </c>
      <c r="DV109" s="361">
        <f>IF(DW109&lt;&gt;"",DW109-DU109,"")</f>
        <v>4.2999999999999989</v>
      </c>
      <c r="DW109" s="1355">
        <v>11.7</v>
      </c>
      <c r="DX109" s="1354">
        <v>8.4</v>
      </c>
      <c r="DY109" s="361">
        <f>IF(DZ109&lt;&gt;"",DZ109-DX109,"")</f>
        <v>3.4394999999999989</v>
      </c>
      <c r="DZ109" s="1214">
        <f>IF(AND(DZ107&lt;&gt;"",DW108&lt;&gt;""),(DZ107)*DW108,"")</f>
        <v>11.839499999999999</v>
      </c>
      <c r="EA109" s="361">
        <f t="shared" ref="EA109" si="171">IF(AND(EA107&lt;&gt;"",DZ108&lt;&gt;""),(EA107/2)*DZ108,"")</f>
        <v>2.8195406084808758</v>
      </c>
      <c r="EB109" s="361">
        <f t="shared" ref="EB109" si="172">IF(EC109&lt;&gt;"",EC109-EA109,"")</f>
        <v>2.8195406084808758</v>
      </c>
      <c r="EC109" s="1214">
        <f t="shared" ref="EC109" si="173">IF(AND(EC107&lt;&gt;"",DZ108&lt;&gt;""),(EC107)*DZ108,"")</f>
        <v>5.6390812169617517</v>
      </c>
      <c r="ED109" s="361">
        <f t="shared" ref="ED109" si="174">IF(AND(ED107&lt;&gt;"",EC108&lt;&gt;""),(ED107/2)*EC108,"")</f>
        <v>1.739032121801505</v>
      </c>
      <c r="EE109" s="361">
        <f t="shared" ref="EE109" si="175">IF(EF109&lt;&gt;"",EF109-ED109,"")</f>
        <v>1.739032121801505</v>
      </c>
      <c r="EF109" s="1214">
        <f t="shared" ref="EF109" si="176">IF(AND(EF107&lt;&gt;"",EC108&lt;&gt;""),(EF107)*EC108,"")</f>
        <v>3.47806424360301</v>
      </c>
      <c r="EG109" s="361">
        <f t="shared" ref="EG109" si="177">IF(AND(EG107&lt;&gt;"",EF108&lt;&gt;""),(EG107/2)*EF108,"")</f>
        <v>1.9657695995498594</v>
      </c>
      <c r="EH109" s="361">
        <f t="shared" ref="EH109" si="178">IF(EI109&lt;&gt;"",EI109-EG109,"")</f>
        <v>1.9657695995498594</v>
      </c>
      <c r="EI109" s="1214">
        <f t="shared" ref="EI109" si="179">IF(AND(EI107&lt;&gt;"",EF108&lt;&gt;""),(EI107)*EF108,"")</f>
        <v>3.9315391990997188</v>
      </c>
      <c r="EJ109" s="361">
        <f t="shared" ref="EJ109" si="180">IF(AND(EJ107&lt;&gt;"",EI108&lt;&gt;""),(EJ107/2)*EI108,"")</f>
        <v>2.0238181622219305</v>
      </c>
      <c r="EK109" s="361">
        <f t="shared" ref="EK109" si="181">IF(EL109&lt;&gt;"",EL109-EJ109,"")</f>
        <v>2.0238181622219305</v>
      </c>
      <c r="EL109" s="1214">
        <f t="shared" ref="EL109" si="182">IF(AND(EL107&lt;&gt;"",EI108&lt;&gt;""),(EL107)*EI108,"")</f>
        <v>4.0476363244438609</v>
      </c>
      <c r="EM109" s="361">
        <f t="shared" ref="EM109" si="183">IF(AND(EM107&lt;&gt;"",EL108&lt;&gt;""),(EM107/2)*EL108,"")</f>
        <v>3.0106340231934903</v>
      </c>
      <c r="EN109" s="361">
        <f t="shared" ref="EN109" si="184">IF(EO109&lt;&gt;"",EO109-EM109,"")</f>
        <v>3.0106340231934903</v>
      </c>
      <c r="EO109" s="1214">
        <f t="shared" ref="EO109" si="185">IF(AND(EO107&lt;&gt;"",EL108&lt;&gt;""),(EO107)*EL108,"")</f>
        <v>6.0212680463869805</v>
      </c>
      <c r="EP109" s="361">
        <f t="shared" ref="EP109" si="186">IF(AND(EP107&lt;&gt;"",EO108&lt;&gt;""),(EP107/2)*EO108,"")</f>
        <v>4.9732480863178985</v>
      </c>
      <c r="EQ109" s="361">
        <f t="shared" ref="EQ109" si="187">IF(ER109&lt;&gt;"",ER109-EP109,"")</f>
        <v>4.9732480863178985</v>
      </c>
      <c r="ER109" s="1214">
        <f t="shared" ref="ER109" si="188">IF(AND(ER107&lt;&gt;"",EO108&lt;&gt;""),(ER107)*EO108,"")</f>
        <v>9.946496172635797</v>
      </c>
      <c r="ES109" s="361">
        <f t="shared" ref="ES109" si="189">IF(AND(ES107&lt;&gt;"",ER108&lt;&gt;""),(ES107/2)*ER108,"")</f>
        <v>7.1931693677738942</v>
      </c>
      <c r="ET109" s="361">
        <f t="shared" ref="ET109" si="190">IF(EU109&lt;&gt;"",EU109-ES109,"")</f>
        <v>7.1931693677738942</v>
      </c>
      <c r="EU109" s="1214">
        <f t="shared" ref="EU109" si="191">IF(AND(EU107&lt;&gt;"",ER108&lt;&gt;""),(EU107)*ER108,"")</f>
        <v>14.386338735547788</v>
      </c>
      <c r="EV109" s="361">
        <f t="shared" ref="EV109" si="192">IF(AND(EV107&lt;&gt;"",EU108&lt;&gt;""),(EV107/2)*EU108,"")</f>
        <v>9.7027929759009393</v>
      </c>
      <c r="EW109" s="361">
        <f t="shared" ref="EW109" si="193">IF(EX109&lt;&gt;"",EX109-EV109,"")</f>
        <v>9.7027929759009393</v>
      </c>
      <c r="EX109" s="1214">
        <f t="shared" ref="EX109" si="194">IF(AND(EX107&lt;&gt;"",EU108&lt;&gt;""),(EX107)*EU108,"")</f>
        <v>19.405585951801879</v>
      </c>
      <c r="EY109" s="361">
        <f t="shared" ref="EY109" si="195">IF(AND(EY107&lt;&gt;"",EX108&lt;&gt;""),(EY107/2)*EX108,"")</f>
        <v>12.539627022016708</v>
      </c>
      <c r="EZ109" s="361">
        <f t="shared" ref="EZ109" si="196">IF(FA109&lt;&gt;"",FA109-EY109,"")</f>
        <v>12.539627022016708</v>
      </c>
      <c r="FA109" s="1214">
        <f t="shared" ref="FA109" si="197">IF(AND(FA107&lt;&gt;"",EX108&lt;&gt;""),(FA107)*EX108,"")</f>
        <v>25.079254044033416</v>
      </c>
    </row>
    <row r="110" spans="1:157" ht="13.35" customHeight="1">
      <c r="A110" s="5"/>
      <c r="B110" s="5" t="s">
        <v>579</v>
      </c>
      <c r="C110" s="5"/>
      <c r="D110" s="5"/>
      <c r="E110" s="359" t="str">
        <f>IF(Model!E75&lt;&gt;"",Model!E75,"")</f>
        <v/>
      </c>
      <c r="F110" s="359" t="str">
        <f>IF(G110&lt;&gt;"",G110-E110,"")</f>
        <v/>
      </c>
      <c r="G110" s="359" t="str">
        <f>IF(Model!G75&lt;&gt;"",Model!G75,"")</f>
        <v/>
      </c>
      <c r="H110" s="359" t="str">
        <f>IF(Model!H75&lt;&gt;"",Model!H75,"")</f>
        <v/>
      </c>
      <c r="I110" s="359" t="str">
        <f>IF(J110&lt;&gt;"",J110-H110,"")</f>
        <v/>
      </c>
      <c r="J110" s="359" t="str">
        <f>IF(Model!J75&lt;&gt;"",Model!J75,"")</f>
        <v/>
      </c>
      <c r="K110" s="359" t="str">
        <f>IF(Model!K75&lt;&gt;"",Model!K75,"")</f>
        <v/>
      </c>
      <c r="L110" s="359" t="str">
        <f>IF(M110&lt;&gt;"",M110-K110,"")</f>
        <v/>
      </c>
      <c r="M110" s="359" t="str">
        <f>IF(Model!M75&lt;&gt;"",Model!M75,"")</f>
        <v/>
      </c>
      <c r="N110" s="359" t="str">
        <f>IF(Model!N75&lt;&gt;"",Model!N75,"")</f>
        <v/>
      </c>
      <c r="O110" s="359" t="str">
        <f>IF(P110&lt;&gt;"",P110-N110,"")</f>
        <v/>
      </c>
      <c r="P110" s="359" t="str">
        <f>IF(Model!P75&lt;&gt;"",Model!P75,"")</f>
        <v/>
      </c>
      <c r="Q110" s="359" t="str">
        <f>IF(Model!Q75&lt;&gt;"",Model!Q75,"")</f>
        <v/>
      </c>
      <c r="R110" s="359" t="str">
        <f>IF(S110&lt;&gt;"",S110-Q110,"")</f>
        <v/>
      </c>
      <c r="S110" s="359" t="str">
        <f>IF(Model!S75&lt;&gt;"",Model!S75,"")</f>
        <v/>
      </c>
      <c r="T110" s="359" t="str">
        <f>IF(Model!T75&lt;&gt;"",Model!T75,"")</f>
        <v/>
      </c>
      <c r="U110" s="359" t="str">
        <f>IF(V110&lt;&gt;"",V110-T110,"")</f>
        <v/>
      </c>
      <c r="V110" s="359" t="str">
        <f>IF(Model!V75&lt;&gt;"",Model!V75,"")</f>
        <v/>
      </c>
      <c r="W110" s="359" t="str">
        <f>IF(Model!W75&lt;&gt;"",Model!W75,"")</f>
        <v/>
      </c>
      <c r="X110" s="359" t="str">
        <f>IF(Y110&lt;&gt;"",Y110-W110,"")</f>
        <v/>
      </c>
      <c r="Y110" s="359" t="str">
        <f>IF(Model!Y75&lt;&gt;"",Model!Y75,"")</f>
        <v/>
      </c>
      <c r="Z110" s="359" t="str">
        <f>IF(Model!Z75&lt;&gt;"",Model!Z75,"")</f>
        <v/>
      </c>
      <c r="AA110" s="359" t="str">
        <f>IF(AB110&lt;&gt;"",AB110-Z110,"")</f>
        <v/>
      </c>
      <c r="AB110" s="359" t="str">
        <f>IF(Model!AB75&lt;&gt;"",Model!AB75,"")</f>
        <v/>
      </c>
      <c r="AC110" s="359" t="str">
        <f>IF(Model!AC75&lt;&gt;"",Model!AC75,"")</f>
        <v/>
      </c>
      <c r="AD110" s="359" t="str">
        <f>IF(AE110&lt;&gt;"",AE110-AC110,"")</f>
        <v/>
      </c>
      <c r="AE110" s="359" t="str">
        <f>IF(Model!AE75&lt;&gt;"",Model!AE75,"")</f>
        <v/>
      </c>
      <c r="AF110" s="359" t="str">
        <f>IF(Model!AF75&lt;&gt;"",Model!AF75,"")</f>
        <v/>
      </c>
      <c r="AG110" s="359" t="str">
        <f>IF(AH110&lt;&gt;"",AH110-AF110,"")</f>
        <v/>
      </c>
      <c r="AH110" s="359" t="str">
        <f>IF(Model!AH75&lt;&gt;"",Model!AH75,"")</f>
        <v/>
      </c>
      <c r="AI110" s="359">
        <f>IF(Model!AI75&lt;&gt;"",Model!AI75,"")</f>
        <v>4.7E-2</v>
      </c>
      <c r="AJ110" s="359">
        <f>IF(AK110&lt;&gt;"",AK110-AI110,"")</f>
        <v>0</v>
      </c>
      <c r="AK110" s="359">
        <f>IF(Model!AK75&lt;&gt;"",Model!AK75,"")</f>
        <v>4.7E-2</v>
      </c>
      <c r="AL110" s="359">
        <f>IF(Model!AL75&lt;&gt;"",Model!AL75,"")</f>
        <v>7.0999999999999994E-2</v>
      </c>
      <c r="AM110" s="359">
        <f>IF(AN110&lt;&gt;"",AN110-AL110,"")</f>
        <v>0.38400000000000001</v>
      </c>
      <c r="AN110" s="359">
        <f>IF(Model!AN75&lt;&gt;"",Model!AN75,"")</f>
        <v>0.45500000000000002</v>
      </c>
      <c r="AO110" s="359">
        <f>IF(Model!AO75&lt;&gt;"",Model!AO75,"")</f>
        <v>0.35799999999999998</v>
      </c>
      <c r="AP110" s="359">
        <f>IF(AQ110&lt;&gt;"",AQ110-AO110,"")</f>
        <v>0.32200000000000006</v>
      </c>
      <c r="AQ110" s="359">
        <f>IF(Model!AQ75&lt;&gt;"",Model!AQ75,"")</f>
        <v>0.68</v>
      </c>
      <c r="AR110" s="359">
        <f>IF(Model!AR75&lt;&gt;"",Model!AR75,"")</f>
        <v>0.32300000000000001</v>
      </c>
      <c r="AS110" s="359">
        <f>IF(AT110&lt;&gt;"",AT110-AR110,"")</f>
        <v>0.30099999999999999</v>
      </c>
      <c r="AT110" s="359">
        <f>IF(Model!AT75&lt;&gt;"",Model!AT75,"")</f>
        <v>0.624</v>
      </c>
      <c r="AU110" s="359">
        <f>IF(Model!AU75&lt;&gt;"",Model!AU75,"")</f>
        <v>0.40600000000000003</v>
      </c>
      <c r="AV110" s="359">
        <f>IF(AW110&lt;&gt;"",AW110-AU110,"")</f>
        <v>0.57099999999999995</v>
      </c>
      <c r="AW110" s="359">
        <f>IF(Model!AW75&lt;&gt;"",Model!AW75,"")</f>
        <v>0.97699999999999998</v>
      </c>
      <c r="AX110" s="359">
        <f>IF(Model!AX75&lt;&gt;"",Model!AX75,"")</f>
        <v>0.755</v>
      </c>
      <c r="AY110" s="359">
        <f>IF(AZ110&lt;&gt;"",AZ110-AX110,"")</f>
        <v>0.624</v>
      </c>
      <c r="AZ110" s="359">
        <f>IF(Model!AZ75&lt;&gt;"",Model!AZ75,"")</f>
        <v>1.379</v>
      </c>
      <c r="BA110" s="359">
        <f>IF(Model!BA75&lt;&gt;"",Model!BA75,"")</f>
        <v>0.56499999999999995</v>
      </c>
      <c r="BB110" s="359">
        <f>IF(BC110&lt;&gt;"",BC110-BA110,"")</f>
        <v>0.59499999999999997</v>
      </c>
      <c r="BC110" s="359">
        <f>IF(Model!BC75&lt;&gt;"",Model!BC75,"")</f>
        <v>1.1599999999999999</v>
      </c>
      <c r="BD110" s="359">
        <v>1</v>
      </c>
      <c r="BE110" s="359">
        <f>IF(BF110&lt;&gt;"",BF110-BD110,"")</f>
        <v>0.7</v>
      </c>
      <c r="BF110" s="359">
        <v>1.7</v>
      </c>
      <c r="BG110" s="359">
        <v>1.1000000000000001</v>
      </c>
      <c r="BH110" s="359">
        <f>IF(BI110&lt;&gt;"",BI110-BG110,"")</f>
        <v>0.7</v>
      </c>
      <c r="BI110" s="359">
        <v>1.8</v>
      </c>
      <c r="BJ110" s="359">
        <f>Model!BJ75</f>
        <v>1.1679999999999999</v>
      </c>
      <c r="BK110" s="359">
        <f>BK109</f>
        <v>1.4339999999999999</v>
      </c>
      <c r="BL110" s="359">
        <f>BL109</f>
        <v>2.6019999999999999</v>
      </c>
      <c r="BM110" s="359">
        <v>1.04</v>
      </c>
      <c r="BN110" s="359">
        <f t="shared" ref="BN110:CS110" si="198">BN109</f>
        <v>2.7</v>
      </c>
      <c r="BO110" s="359">
        <f t="shared" si="198"/>
        <v>2.7</v>
      </c>
      <c r="BP110" s="359">
        <f t="shared" si="198"/>
        <v>2.9979999999999998</v>
      </c>
      <c r="BQ110" s="359">
        <f t="shared" si="198"/>
        <v>3.7310000000000003</v>
      </c>
      <c r="BR110" s="359">
        <f t="shared" si="198"/>
        <v>6.7290000000000001</v>
      </c>
      <c r="BS110" s="359">
        <f t="shared" si="198"/>
        <v>1.091</v>
      </c>
      <c r="BT110" s="359">
        <f t="shared" si="198"/>
        <v>1.1079999999999999</v>
      </c>
      <c r="BU110" s="359">
        <f t="shared" si="198"/>
        <v>2.1989999999999998</v>
      </c>
      <c r="BV110" s="359">
        <f t="shared" si="198"/>
        <v>0.67</v>
      </c>
      <c r="BW110" s="359">
        <f t="shared" si="198"/>
        <v>0.73999999999999988</v>
      </c>
      <c r="BX110" s="359">
        <f t="shared" si="198"/>
        <v>1.41</v>
      </c>
      <c r="BY110" s="359">
        <f t="shared" si="198"/>
        <v>15.888999999999999</v>
      </c>
      <c r="BZ110" s="359">
        <f t="shared" si="198"/>
        <v>-5.4149999999999991</v>
      </c>
      <c r="CA110" s="359">
        <f t="shared" si="198"/>
        <v>10.474</v>
      </c>
      <c r="CB110" s="359">
        <f t="shared" si="198"/>
        <v>1.1525325</v>
      </c>
      <c r="CC110" s="359">
        <f t="shared" si="198"/>
        <v>0.68982750000000026</v>
      </c>
      <c r="CD110" s="359">
        <f t="shared" si="198"/>
        <v>1.8423600000000002</v>
      </c>
      <c r="CE110" s="359">
        <f t="shared" si="198"/>
        <v>0.79774499999999993</v>
      </c>
      <c r="CF110" s="359">
        <f t="shared" si="198"/>
        <v>0.93071999999999999</v>
      </c>
      <c r="CG110" s="359">
        <f t="shared" si="198"/>
        <v>1.7284649999999999</v>
      </c>
      <c r="CH110" s="359">
        <f t="shared" si="198"/>
        <v>1.1052824999999997</v>
      </c>
      <c r="CI110" s="359">
        <f t="shared" si="198"/>
        <v>1.0083525000000002</v>
      </c>
      <c r="CJ110" s="359">
        <f t="shared" si="198"/>
        <v>2.1136349999999999</v>
      </c>
      <c r="CK110" s="359">
        <f t="shared" si="198"/>
        <v>1.037115</v>
      </c>
      <c r="CL110" s="359">
        <f t="shared" si="198"/>
        <v>0.78051000000000004</v>
      </c>
      <c r="CM110" s="359">
        <f t="shared" si="198"/>
        <v>1.817625</v>
      </c>
      <c r="CN110" s="359">
        <f t="shared" si="198"/>
        <v>0.8451074999999999</v>
      </c>
      <c r="CO110" s="359">
        <f t="shared" si="198"/>
        <v>-0.52110749999999995</v>
      </c>
      <c r="CP110" s="359">
        <f t="shared" si="198"/>
        <v>0.32399999999999995</v>
      </c>
      <c r="CQ110" s="359">
        <f t="shared" si="198"/>
        <v>8.9977309675119743E-2</v>
      </c>
      <c r="CR110" s="359">
        <f t="shared" si="198"/>
        <v>0.23086019032488031</v>
      </c>
      <c r="CS110" s="359">
        <f t="shared" si="198"/>
        <v>0.32083750000000005</v>
      </c>
      <c r="CT110" s="359">
        <f>CT109</f>
        <v>0.12999999999999998</v>
      </c>
      <c r="CU110" s="359">
        <f>CU109</f>
        <v>0.33799999999999997</v>
      </c>
      <c r="CV110" s="359">
        <f>CV109</f>
        <v>0.46799999999999997</v>
      </c>
      <c r="CW110" s="359">
        <f t="shared" ref="CW110:DK110" si="199">CW109</f>
        <v>0.27199999999999996</v>
      </c>
      <c r="CX110" s="359">
        <f t="shared" si="199"/>
        <v>0.38782800000000001</v>
      </c>
      <c r="CY110" s="359">
        <f t="shared" si="199"/>
        <v>0.65982799999999997</v>
      </c>
      <c r="CZ110" s="359">
        <f t="shared" si="199"/>
        <v>0.24554999999999999</v>
      </c>
      <c r="DA110" s="359">
        <f t="shared" si="199"/>
        <v>0.35444999999999999</v>
      </c>
      <c r="DB110" s="359">
        <f t="shared" si="199"/>
        <v>0.6</v>
      </c>
      <c r="DC110" s="359">
        <f t="shared" si="199"/>
        <v>0.30000000000000004</v>
      </c>
      <c r="DD110" s="359">
        <f t="shared" si="199"/>
        <v>0.40049999999999997</v>
      </c>
      <c r="DE110" s="359">
        <f t="shared" si="199"/>
        <v>0.70050000000000001</v>
      </c>
      <c r="DF110" s="359">
        <f t="shared" si="199"/>
        <v>0.19685196021064949</v>
      </c>
      <c r="DG110" s="359">
        <f t="shared" si="199"/>
        <v>1.4443280397893505</v>
      </c>
      <c r="DH110" s="359">
        <f t="shared" si="199"/>
        <v>1.6411800000000001</v>
      </c>
      <c r="DI110" s="359">
        <f t="shared" si="199"/>
        <v>2.5</v>
      </c>
      <c r="DJ110" s="359">
        <f t="shared" si="199"/>
        <v>1.1000000000000001</v>
      </c>
      <c r="DK110" s="1210">
        <f t="shared" si="199"/>
        <v>3.6</v>
      </c>
      <c r="DL110" s="359">
        <f>DL109</f>
        <v>0.8</v>
      </c>
      <c r="DM110" s="359">
        <f>DM109</f>
        <v>1.5999999999999999</v>
      </c>
      <c r="DN110" s="1210">
        <f>DN109</f>
        <v>2.4</v>
      </c>
      <c r="DO110" s="359">
        <f t="shared" ref="DO110:ER110" si="200">DO109</f>
        <v>6.7</v>
      </c>
      <c r="DP110" s="359">
        <f t="shared" si="200"/>
        <v>9.8000000000000007</v>
      </c>
      <c r="DQ110" s="1210">
        <f t="shared" si="200"/>
        <v>16.5</v>
      </c>
      <c r="DR110" s="359">
        <f t="shared" si="200"/>
        <v>9.4</v>
      </c>
      <c r="DS110" s="359">
        <f t="shared" si="200"/>
        <v>9.6</v>
      </c>
      <c r="DT110" s="1210">
        <f t="shared" si="200"/>
        <v>19</v>
      </c>
      <c r="DU110" s="359">
        <f t="shared" si="200"/>
        <v>7.4</v>
      </c>
      <c r="DV110" s="359">
        <f t="shared" ref="DV110:DX110" si="201">DV109</f>
        <v>4.2999999999999989</v>
      </c>
      <c r="DW110" s="1210">
        <f t="shared" si="201"/>
        <v>11.7</v>
      </c>
      <c r="DX110" s="359">
        <f t="shared" si="201"/>
        <v>8.4</v>
      </c>
      <c r="DY110" s="359">
        <f t="shared" si="200"/>
        <v>3.4394999999999989</v>
      </c>
      <c r="DZ110" s="1103">
        <f t="shared" si="200"/>
        <v>11.839499999999999</v>
      </c>
      <c r="EA110" s="359">
        <f t="shared" si="200"/>
        <v>2.8195406084808758</v>
      </c>
      <c r="EB110" s="359">
        <f t="shared" si="200"/>
        <v>2.8195406084808758</v>
      </c>
      <c r="EC110" s="1103">
        <f t="shared" si="200"/>
        <v>5.6390812169617517</v>
      </c>
      <c r="ED110" s="359">
        <f t="shared" si="200"/>
        <v>1.739032121801505</v>
      </c>
      <c r="EE110" s="359">
        <f t="shared" si="200"/>
        <v>1.739032121801505</v>
      </c>
      <c r="EF110" s="1103">
        <f t="shared" si="200"/>
        <v>3.47806424360301</v>
      </c>
      <c r="EG110" s="359">
        <f t="shared" si="200"/>
        <v>1.9657695995498594</v>
      </c>
      <c r="EH110" s="359">
        <f t="shared" si="200"/>
        <v>1.9657695995498594</v>
      </c>
      <c r="EI110" s="1103">
        <f t="shared" si="200"/>
        <v>3.9315391990997188</v>
      </c>
      <c r="EJ110" s="359">
        <f t="shared" si="200"/>
        <v>2.0238181622219305</v>
      </c>
      <c r="EK110" s="359">
        <f t="shared" si="200"/>
        <v>2.0238181622219305</v>
      </c>
      <c r="EL110" s="1103">
        <f t="shared" si="200"/>
        <v>4.0476363244438609</v>
      </c>
      <c r="EM110" s="359">
        <f t="shared" si="200"/>
        <v>3.0106340231934903</v>
      </c>
      <c r="EN110" s="359">
        <f t="shared" si="200"/>
        <v>3.0106340231934903</v>
      </c>
      <c r="EO110" s="1103">
        <f t="shared" si="200"/>
        <v>6.0212680463869805</v>
      </c>
      <c r="EP110" s="359">
        <f t="shared" si="200"/>
        <v>4.9732480863178985</v>
      </c>
      <c r="EQ110" s="359">
        <f t="shared" si="200"/>
        <v>4.9732480863178985</v>
      </c>
      <c r="ER110" s="1103">
        <f t="shared" si="200"/>
        <v>9.946496172635797</v>
      </c>
      <c r="ES110" s="359">
        <f t="shared" ref="ES110:EX110" si="202">ES109</f>
        <v>7.1931693677738942</v>
      </c>
      <c r="ET110" s="359">
        <f t="shared" si="202"/>
        <v>7.1931693677738942</v>
      </c>
      <c r="EU110" s="1103">
        <f t="shared" si="202"/>
        <v>14.386338735547788</v>
      </c>
      <c r="EV110" s="359">
        <f t="shared" si="202"/>
        <v>9.7027929759009393</v>
      </c>
      <c r="EW110" s="359">
        <f t="shared" si="202"/>
        <v>9.7027929759009393</v>
      </c>
      <c r="EX110" s="1103">
        <f t="shared" si="202"/>
        <v>19.405585951801879</v>
      </c>
      <c r="EY110" s="359">
        <f t="shared" ref="EY110:FA110" si="203">EY109</f>
        <v>12.539627022016708</v>
      </c>
      <c r="EZ110" s="359">
        <f t="shared" si="203"/>
        <v>12.539627022016708</v>
      </c>
      <c r="FA110" s="366">
        <f t="shared" si="203"/>
        <v>25.079254044033416</v>
      </c>
    </row>
    <row r="111" spans="1:157" ht="13.35" customHeight="1">
      <c r="A111" s="5"/>
      <c r="B111" s="5" t="s">
        <v>844</v>
      </c>
      <c r="C111" s="5"/>
      <c r="D111" s="5"/>
      <c r="E111" s="359"/>
      <c r="F111" s="359"/>
      <c r="G111" s="359"/>
      <c r="H111" s="359"/>
      <c r="I111" s="359"/>
      <c r="J111" s="359"/>
      <c r="K111" s="359"/>
      <c r="L111" s="359"/>
      <c r="M111" s="359"/>
      <c r="N111" s="359"/>
      <c r="O111" s="359"/>
      <c r="P111" s="359"/>
      <c r="Q111" s="359"/>
      <c r="R111" s="359"/>
      <c r="S111" s="359"/>
      <c r="T111" s="359"/>
      <c r="U111" s="359"/>
      <c r="V111" s="359"/>
      <c r="W111" s="359"/>
      <c r="X111" s="359"/>
      <c r="Y111" s="359"/>
      <c r="Z111" s="359"/>
      <c r="AA111" s="359"/>
      <c r="AB111" s="359"/>
      <c r="AC111" s="359"/>
      <c r="AD111" s="359"/>
      <c r="AE111" s="359"/>
      <c r="AF111" s="359"/>
      <c r="AG111" s="359"/>
      <c r="AH111" s="359"/>
      <c r="AI111" s="359"/>
      <c r="AJ111" s="359"/>
      <c r="AK111" s="359"/>
      <c r="AL111" s="359"/>
      <c r="AM111" s="359"/>
      <c r="AN111" s="359"/>
      <c r="AO111" s="359"/>
      <c r="AP111" s="359"/>
      <c r="AQ111" s="359"/>
      <c r="AR111" s="359"/>
      <c r="AS111" s="359"/>
      <c r="AT111" s="359"/>
      <c r="AU111" s="359"/>
      <c r="AV111" s="359"/>
      <c r="AW111" s="359"/>
      <c r="AX111" s="359"/>
      <c r="AY111" s="359"/>
      <c r="AZ111" s="359"/>
      <c r="BA111" s="359"/>
      <c r="BB111" s="359"/>
      <c r="BC111" s="359"/>
      <c r="BD111" s="359"/>
      <c r="BE111" s="359"/>
      <c r="BF111" s="359"/>
      <c r="BG111" s="359"/>
      <c r="BH111" s="359"/>
      <c r="BI111" s="359"/>
      <c r="BJ111" s="359"/>
      <c r="BK111" s="359"/>
      <c r="BL111" s="359"/>
      <c r="BM111" s="359"/>
      <c r="BN111" s="359"/>
      <c r="BO111" s="359"/>
      <c r="BP111" s="359"/>
      <c r="BQ111" s="359"/>
      <c r="BR111" s="359"/>
      <c r="BS111" s="359"/>
      <c r="BT111" s="359"/>
      <c r="BU111" s="359"/>
      <c r="BV111" s="359"/>
      <c r="BW111" s="359"/>
      <c r="BX111" s="203"/>
      <c r="BY111" s="359"/>
      <c r="BZ111" s="359"/>
      <c r="CA111" s="359"/>
      <c r="CB111" s="359"/>
      <c r="CC111" s="359"/>
      <c r="CD111" s="359"/>
      <c r="CE111" s="359"/>
      <c r="CF111" s="359"/>
      <c r="CG111" s="359"/>
      <c r="CH111" s="359"/>
      <c r="CI111" s="359"/>
      <c r="CJ111" s="359"/>
      <c r="CK111" s="359"/>
      <c r="CL111" s="359"/>
      <c r="CM111" s="359"/>
      <c r="CN111" s="359"/>
      <c r="CO111" s="359"/>
      <c r="CP111" s="359"/>
      <c r="CQ111" s="359"/>
      <c r="CR111" s="359"/>
      <c r="CS111" s="359"/>
      <c r="CT111" s="359"/>
      <c r="CU111" s="359"/>
      <c r="CV111" s="359"/>
      <c r="CW111" s="359"/>
      <c r="CX111" s="359"/>
      <c r="CY111" s="359"/>
      <c r="CZ111" s="359"/>
      <c r="DA111" s="359"/>
      <c r="DB111" s="359"/>
      <c r="DC111" s="359"/>
      <c r="DD111" s="359"/>
      <c r="DE111" s="359"/>
      <c r="DF111" s="359"/>
      <c r="DG111" s="359"/>
      <c r="DH111" s="359"/>
      <c r="DI111" s="359"/>
      <c r="DJ111" s="359"/>
      <c r="DK111" s="1208"/>
      <c r="DL111" s="359"/>
      <c r="DM111" s="359"/>
      <c r="DN111" s="1208"/>
      <c r="DO111" s="359"/>
      <c r="DP111" s="359"/>
      <c r="DQ111" s="1208"/>
      <c r="DR111" s="359"/>
      <c r="DS111" s="359"/>
      <c r="DT111" s="1208"/>
      <c r="DU111" s="359"/>
      <c r="DV111" s="359"/>
      <c r="DW111" s="1208"/>
      <c r="DX111" s="359"/>
      <c r="DY111" s="359"/>
      <c r="DZ111" s="1208"/>
      <c r="EA111" s="359"/>
      <c r="EB111" s="359"/>
      <c r="EC111" s="1208"/>
      <c r="ED111" s="359"/>
      <c r="EE111" s="359"/>
      <c r="EF111" s="1208"/>
      <c r="EG111" s="359"/>
      <c r="EH111" s="359"/>
      <c r="EI111" s="1208"/>
      <c r="EJ111" s="359"/>
      <c r="EK111" s="359"/>
      <c r="EL111" s="1208"/>
      <c r="EM111" s="359"/>
      <c r="EN111" s="359"/>
      <c r="EO111" s="1208"/>
      <c r="EP111" s="359"/>
      <c r="EQ111" s="359"/>
      <c r="ER111" s="1208"/>
      <c r="ES111" s="359"/>
      <c r="ET111" s="359"/>
      <c r="EU111" s="1208"/>
      <c r="EV111" s="359"/>
      <c r="EW111" s="359"/>
      <c r="EX111" s="1208"/>
      <c r="EY111" s="359"/>
      <c r="EZ111" s="359"/>
      <c r="FA111" s="359"/>
    </row>
    <row r="112" spans="1:157" ht="13.35" customHeight="1">
      <c r="A112" s="5"/>
      <c r="B112" s="5" t="s">
        <v>845</v>
      </c>
      <c r="C112" s="5"/>
      <c r="D112" s="5"/>
      <c r="E112" s="356" t="str">
        <f t="shared" ref="E112:N112" si="204">IF(E247&lt;&gt;"",E247,"")</f>
        <v/>
      </c>
      <c r="F112" s="356" t="str">
        <f t="shared" si="204"/>
        <v/>
      </c>
      <c r="G112" s="356" t="str">
        <f t="shared" si="204"/>
        <v/>
      </c>
      <c r="H112" s="356" t="str">
        <f t="shared" si="204"/>
        <v/>
      </c>
      <c r="I112" s="356" t="str">
        <f t="shared" si="204"/>
        <v/>
      </c>
      <c r="J112" s="356" t="str">
        <f t="shared" si="204"/>
        <v/>
      </c>
      <c r="K112" s="356" t="str">
        <f t="shared" si="204"/>
        <v/>
      </c>
      <c r="L112" s="356" t="str">
        <f t="shared" si="204"/>
        <v/>
      </c>
      <c r="M112" s="356" t="str">
        <f t="shared" si="204"/>
        <v/>
      </c>
      <c r="N112" s="356" t="str">
        <f t="shared" si="204"/>
        <v/>
      </c>
      <c r="O112" s="356" t="str">
        <f t="shared" ref="O112:X112" si="205">IF(O247&lt;&gt;"",O247,"")</f>
        <v/>
      </c>
      <c r="P112" s="356" t="str">
        <f t="shared" si="205"/>
        <v/>
      </c>
      <c r="Q112" s="356" t="str">
        <f t="shared" si="205"/>
        <v/>
      </c>
      <c r="R112" s="356" t="str">
        <f t="shared" si="205"/>
        <v/>
      </c>
      <c r="S112" s="356" t="str">
        <f t="shared" si="205"/>
        <v/>
      </c>
      <c r="T112" s="356" t="str">
        <f t="shared" si="205"/>
        <v/>
      </c>
      <c r="U112" s="356" t="str">
        <f t="shared" si="205"/>
        <v/>
      </c>
      <c r="V112" s="356" t="str">
        <f t="shared" si="205"/>
        <v/>
      </c>
      <c r="W112" s="356" t="str">
        <f t="shared" si="205"/>
        <v/>
      </c>
      <c r="X112" s="356" t="str">
        <f t="shared" si="205"/>
        <v/>
      </c>
      <c r="Y112" s="356" t="str">
        <f t="shared" ref="Y112:AH112" si="206">IF(Y247&lt;&gt;"",Y247,"")</f>
        <v/>
      </c>
      <c r="Z112" s="356" t="str">
        <f t="shared" si="206"/>
        <v/>
      </c>
      <c r="AA112" s="356" t="str">
        <f t="shared" si="206"/>
        <v/>
      </c>
      <c r="AB112" s="356" t="str">
        <f t="shared" si="206"/>
        <v/>
      </c>
      <c r="AC112" s="356" t="str">
        <f t="shared" si="206"/>
        <v/>
      </c>
      <c r="AD112" s="356" t="str">
        <f t="shared" si="206"/>
        <v/>
      </c>
      <c r="AE112" s="356" t="str">
        <f t="shared" si="206"/>
        <v/>
      </c>
      <c r="AF112" s="356" t="str">
        <f t="shared" si="206"/>
        <v/>
      </c>
      <c r="AG112" s="356" t="str">
        <f t="shared" si="206"/>
        <v/>
      </c>
      <c r="AH112" s="356" t="str">
        <f t="shared" si="206"/>
        <v/>
      </c>
      <c r="AI112" s="356" t="str">
        <f t="shared" ref="AI112:AU112" si="207">IF(AI247&lt;&gt;"",AI247,"")</f>
        <v/>
      </c>
      <c r="AJ112" s="356" t="str">
        <f t="shared" si="207"/>
        <v/>
      </c>
      <c r="AK112" s="356" t="str">
        <f t="shared" si="207"/>
        <v/>
      </c>
      <c r="AL112" s="356" t="str">
        <f t="shared" si="207"/>
        <v/>
      </c>
      <c r="AM112" s="356" t="str">
        <f t="shared" si="207"/>
        <v/>
      </c>
      <c r="AN112" s="356" t="str">
        <f t="shared" si="207"/>
        <v/>
      </c>
      <c r="AO112" s="356" t="str">
        <f t="shared" si="207"/>
        <v/>
      </c>
      <c r="AP112" s="356" t="str">
        <f t="shared" si="207"/>
        <v/>
      </c>
      <c r="AQ112" s="356" t="str">
        <f t="shared" si="207"/>
        <v/>
      </c>
      <c r="AR112" s="356" t="str">
        <f t="shared" si="207"/>
        <v/>
      </c>
      <c r="AS112" s="356" t="str">
        <f t="shared" si="207"/>
        <v/>
      </c>
      <c r="AT112" s="356" t="str">
        <f t="shared" si="207"/>
        <v/>
      </c>
      <c r="AU112" s="356" t="str">
        <f t="shared" si="207"/>
        <v/>
      </c>
      <c r="AV112" s="356" t="str">
        <f t="shared" ref="AV112:BC112" si="208">IF(AV247&lt;&gt;"",AV247,"")</f>
        <v/>
      </c>
      <c r="AW112" s="356" t="str">
        <f t="shared" si="208"/>
        <v/>
      </c>
      <c r="AX112" s="356" t="str">
        <f t="shared" si="208"/>
        <v/>
      </c>
      <c r="AY112" s="356" t="str">
        <f t="shared" si="208"/>
        <v/>
      </c>
      <c r="AZ112" s="356" t="str">
        <f t="shared" si="208"/>
        <v/>
      </c>
      <c r="BA112" s="356" t="str">
        <f t="shared" si="208"/>
        <v/>
      </c>
      <c r="BB112" s="356" t="str">
        <f t="shared" si="208"/>
        <v/>
      </c>
      <c r="BC112" s="356" t="str">
        <f t="shared" si="208"/>
        <v/>
      </c>
      <c r="BD112" s="356" t="str">
        <f t="shared" ref="BD112:BO112" si="209">IF(BD247&lt;&gt;"",BD247,"")</f>
        <v/>
      </c>
      <c r="BE112" s="356" t="str">
        <f t="shared" si="209"/>
        <v/>
      </c>
      <c r="BF112" s="356" t="str">
        <f t="shared" si="209"/>
        <v/>
      </c>
      <c r="BG112" s="356" t="str">
        <f t="shared" si="209"/>
        <v/>
      </c>
      <c r="BH112" s="356" t="str">
        <f t="shared" si="209"/>
        <v/>
      </c>
      <c r="BI112" s="356" t="str">
        <f t="shared" si="209"/>
        <v/>
      </c>
      <c r="BJ112" s="356" t="str">
        <f t="shared" si="209"/>
        <v/>
      </c>
      <c r="BK112" s="356" t="str">
        <f t="shared" si="209"/>
        <v/>
      </c>
      <c r="BL112" s="356" t="str">
        <f t="shared" si="209"/>
        <v/>
      </c>
      <c r="BM112" s="356" t="str">
        <f t="shared" si="209"/>
        <v/>
      </c>
      <c r="BN112" s="356" t="str">
        <f t="shared" si="209"/>
        <v/>
      </c>
      <c r="BO112" s="356" t="str">
        <f t="shared" si="209"/>
        <v/>
      </c>
      <c r="BP112" s="356" t="str">
        <f t="shared" ref="BP112:CY112" si="210">IF(BP247&lt;&gt;"",BP247,"")</f>
        <v/>
      </c>
      <c r="BQ112" s="356" t="str">
        <f t="shared" si="210"/>
        <v/>
      </c>
      <c r="BR112" s="356" t="str">
        <f t="shared" si="210"/>
        <v/>
      </c>
      <c r="BS112" s="356" t="str">
        <f t="shared" si="210"/>
        <v/>
      </c>
      <c r="BT112" s="356" t="str">
        <f t="shared" si="210"/>
        <v/>
      </c>
      <c r="BU112" s="356" t="str">
        <f t="shared" si="210"/>
        <v/>
      </c>
      <c r="BV112" s="356" t="str">
        <f t="shared" si="210"/>
        <v/>
      </c>
      <c r="BW112" s="356" t="str">
        <f t="shared" si="210"/>
        <v/>
      </c>
      <c r="BX112" s="356" t="str">
        <f t="shared" si="210"/>
        <v/>
      </c>
      <c r="BY112" s="356" t="str">
        <f t="shared" si="210"/>
        <v/>
      </c>
      <c r="BZ112" s="356" t="str">
        <f t="shared" si="210"/>
        <v/>
      </c>
      <c r="CA112" s="356" t="str">
        <f t="shared" si="210"/>
        <v/>
      </c>
      <c r="CB112" s="356" t="str">
        <f t="shared" si="210"/>
        <v/>
      </c>
      <c r="CC112" s="356" t="str">
        <f t="shared" si="210"/>
        <v/>
      </c>
      <c r="CD112" s="356" t="str">
        <f t="shared" si="210"/>
        <v/>
      </c>
      <c r="CE112" s="356" t="str">
        <f t="shared" si="210"/>
        <v/>
      </c>
      <c r="CF112" s="356" t="str">
        <f t="shared" si="210"/>
        <v/>
      </c>
      <c r="CG112" s="356" t="str">
        <f t="shared" si="210"/>
        <v/>
      </c>
      <c r="CH112" s="356" t="str">
        <f t="shared" si="210"/>
        <v/>
      </c>
      <c r="CI112" s="356" t="str">
        <f t="shared" si="210"/>
        <v/>
      </c>
      <c r="CJ112" s="356" t="str">
        <f t="shared" si="210"/>
        <v/>
      </c>
      <c r="CK112" s="356" t="str">
        <f t="shared" si="210"/>
        <v/>
      </c>
      <c r="CL112" s="356" t="str">
        <f t="shared" si="210"/>
        <v/>
      </c>
      <c r="CM112" s="356" t="str">
        <f t="shared" si="210"/>
        <v/>
      </c>
      <c r="CN112" s="356" t="str">
        <f t="shared" si="210"/>
        <v/>
      </c>
      <c r="CO112" s="356" t="str">
        <f t="shared" si="210"/>
        <v/>
      </c>
      <c r="CP112" s="356" t="str">
        <f t="shared" si="210"/>
        <v/>
      </c>
      <c r="CQ112" s="356" t="str">
        <f t="shared" si="210"/>
        <v/>
      </c>
      <c r="CR112" s="356" t="str">
        <f t="shared" si="210"/>
        <v/>
      </c>
      <c r="CS112" s="356" t="str">
        <f t="shared" si="210"/>
        <v/>
      </c>
      <c r="CT112" s="356" t="str">
        <f t="shared" si="210"/>
        <v/>
      </c>
      <c r="CU112" s="356" t="str">
        <f t="shared" si="210"/>
        <v/>
      </c>
      <c r="CV112" s="356" t="str">
        <f t="shared" si="210"/>
        <v/>
      </c>
      <c r="CW112" s="356" t="str">
        <f t="shared" si="210"/>
        <v/>
      </c>
      <c r="CX112" s="356" t="str">
        <f t="shared" si="210"/>
        <v/>
      </c>
      <c r="CY112" s="356" t="str">
        <f t="shared" si="210"/>
        <v/>
      </c>
      <c r="CZ112" s="356" t="str">
        <f t="shared" ref="CZ112:DU112" si="211">IF(CZ247&lt;&gt;"",CZ247,"")</f>
        <v/>
      </c>
      <c r="DA112" s="356" t="str">
        <f t="shared" si="211"/>
        <v/>
      </c>
      <c r="DB112" s="356" t="str">
        <f t="shared" si="211"/>
        <v/>
      </c>
      <c r="DC112" s="356" t="str">
        <f t="shared" si="211"/>
        <v/>
      </c>
      <c r="DD112" s="356" t="str">
        <f t="shared" si="211"/>
        <v/>
      </c>
      <c r="DE112" s="356" t="str">
        <f t="shared" si="211"/>
        <v/>
      </c>
      <c r="DF112" s="356" t="str">
        <f t="shared" si="211"/>
        <v/>
      </c>
      <c r="DG112" s="356" t="str">
        <f t="shared" si="211"/>
        <v/>
      </c>
      <c r="DH112" s="356" t="str">
        <f t="shared" si="211"/>
        <v/>
      </c>
      <c r="DI112" s="356" t="str">
        <f t="shared" si="211"/>
        <v/>
      </c>
      <c r="DJ112" s="356" t="str">
        <f t="shared" si="211"/>
        <v/>
      </c>
      <c r="DK112" s="1087" t="str">
        <f t="shared" si="211"/>
        <v/>
      </c>
      <c r="DL112" s="356" t="str">
        <f t="shared" si="211"/>
        <v/>
      </c>
      <c r="DM112" s="356" t="str">
        <f t="shared" si="211"/>
        <v/>
      </c>
      <c r="DN112" s="1087" t="str">
        <f t="shared" si="211"/>
        <v/>
      </c>
      <c r="DO112" s="356" t="str">
        <f t="shared" si="211"/>
        <v/>
      </c>
      <c r="DP112" s="356" t="str">
        <f t="shared" si="211"/>
        <v/>
      </c>
      <c r="DQ112" s="1087" t="str">
        <f t="shared" si="211"/>
        <v/>
      </c>
      <c r="DR112" s="356" t="str">
        <f t="shared" si="211"/>
        <v/>
      </c>
      <c r="DS112" s="356" t="str">
        <f t="shared" si="211"/>
        <v/>
      </c>
      <c r="DT112" s="1087" t="str">
        <f>IF(DT247&lt;&gt;"",DT247,"")</f>
        <v/>
      </c>
      <c r="DU112" s="356" t="str">
        <f t="shared" si="211"/>
        <v/>
      </c>
      <c r="DV112" s="356" t="str">
        <f t="shared" ref="DV112" si="212">IF(DV247&lt;&gt;"",DV247,"")</f>
        <v/>
      </c>
      <c r="DW112" s="1087" t="str">
        <f>IF(DW247&lt;&gt;"",DW247,"")</f>
        <v/>
      </c>
      <c r="DX112" s="356" t="str">
        <f t="shared" ref="DX112" si="213">IF(DX247&lt;&gt;"",DX247,"")</f>
        <v/>
      </c>
      <c r="DY112" s="356" t="str">
        <f t="shared" ref="DY112:EF112" si="214">IF(DY247&lt;&gt;"",DY247,"")</f>
        <v/>
      </c>
      <c r="DZ112" s="1087" t="str">
        <f t="shared" si="214"/>
        <v/>
      </c>
      <c r="EA112" s="356" t="str">
        <f t="shared" si="214"/>
        <v/>
      </c>
      <c r="EB112" s="356" t="str">
        <f t="shared" si="214"/>
        <v/>
      </c>
      <c r="EC112" s="1087" t="str">
        <f t="shared" si="214"/>
        <v/>
      </c>
      <c r="ED112" s="356" t="str">
        <f t="shared" si="214"/>
        <v/>
      </c>
      <c r="EE112" s="356" t="str">
        <f t="shared" si="214"/>
        <v/>
      </c>
      <c r="EF112" s="1087" t="str">
        <f t="shared" si="214"/>
        <v/>
      </c>
      <c r="EG112" s="356" t="str">
        <f t="shared" ref="EG112:EL112" si="215">IF(EG247&lt;&gt;"",EG247,"")</f>
        <v/>
      </c>
      <c r="EH112" s="356" t="str">
        <f t="shared" si="215"/>
        <v/>
      </c>
      <c r="EI112" s="1087" t="str">
        <f t="shared" si="215"/>
        <v/>
      </c>
      <c r="EJ112" s="356" t="str">
        <f t="shared" si="215"/>
        <v/>
      </c>
      <c r="EK112" s="356" t="str">
        <f t="shared" si="215"/>
        <v/>
      </c>
      <c r="EL112" s="1087" t="str">
        <f t="shared" si="215"/>
        <v/>
      </c>
      <c r="EM112" s="356" t="str">
        <f t="shared" ref="EM112:ER112" si="216">IF(EM247&lt;&gt;"",EM247,"")</f>
        <v/>
      </c>
      <c r="EN112" s="356" t="str">
        <f t="shared" si="216"/>
        <v/>
      </c>
      <c r="EO112" s="1087" t="str">
        <f t="shared" si="216"/>
        <v/>
      </c>
      <c r="EP112" s="356" t="str">
        <f t="shared" si="216"/>
        <v/>
      </c>
      <c r="EQ112" s="356" t="str">
        <f t="shared" si="216"/>
        <v/>
      </c>
      <c r="ER112" s="1087" t="str">
        <f t="shared" si="216"/>
        <v/>
      </c>
      <c r="ES112" s="356" t="str">
        <f t="shared" ref="ES112:EX112" si="217">IF(ES247&lt;&gt;"",ES247,"")</f>
        <v/>
      </c>
      <c r="ET112" s="356" t="str">
        <f t="shared" si="217"/>
        <v/>
      </c>
      <c r="EU112" s="1087" t="str">
        <f t="shared" si="217"/>
        <v/>
      </c>
      <c r="EV112" s="356" t="str">
        <f t="shared" si="217"/>
        <v/>
      </c>
      <c r="EW112" s="356" t="str">
        <f t="shared" si="217"/>
        <v/>
      </c>
      <c r="EX112" s="1087" t="str">
        <f t="shared" si="217"/>
        <v/>
      </c>
      <c r="EY112" s="356" t="str">
        <f t="shared" ref="EY112:FA112" si="218">IF(EY247&lt;&gt;"",EY247,"")</f>
        <v/>
      </c>
      <c r="EZ112" s="356" t="str">
        <f t="shared" si="218"/>
        <v/>
      </c>
      <c r="FA112" s="356" t="str">
        <f t="shared" si="218"/>
        <v/>
      </c>
    </row>
    <row r="113" spans="1:157" ht="13.35" customHeight="1">
      <c r="A113" s="5"/>
      <c r="B113" s="5" t="s">
        <v>663</v>
      </c>
      <c r="C113" s="5"/>
      <c r="D113" s="5"/>
      <c r="E113" s="356"/>
      <c r="F113" s="356"/>
      <c r="G113" s="356"/>
      <c r="H113" s="356"/>
      <c r="I113" s="356"/>
      <c r="J113" s="356"/>
      <c r="K113" s="356"/>
      <c r="L113" s="356"/>
      <c r="M113" s="356"/>
      <c r="N113" s="356"/>
      <c r="O113" s="356"/>
      <c r="P113" s="356"/>
      <c r="Q113" s="356"/>
      <c r="R113" s="356"/>
      <c r="S113" s="356"/>
      <c r="T113" s="356"/>
      <c r="U113" s="356"/>
      <c r="V113" s="356"/>
      <c r="W113" s="356"/>
      <c r="X113" s="356"/>
      <c r="Y113" s="356"/>
      <c r="Z113" s="356"/>
      <c r="AA113" s="356"/>
      <c r="AB113" s="356"/>
      <c r="AC113" s="356"/>
      <c r="AD113" s="356"/>
      <c r="AE113" s="356"/>
      <c r="AF113" s="356"/>
      <c r="AG113" s="356"/>
      <c r="AH113" s="356"/>
      <c r="AI113" s="356"/>
      <c r="AJ113" s="356"/>
      <c r="AK113" s="356"/>
      <c r="AL113" s="356"/>
      <c r="AM113" s="356"/>
      <c r="AN113" s="356"/>
      <c r="AO113" s="356"/>
      <c r="AP113" s="356"/>
      <c r="AQ113" s="356"/>
      <c r="AR113" s="356"/>
      <c r="AS113" s="356"/>
      <c r="AT113" s="356"/>
      <c r="AU113" s="356"/>
      <c r="AV113" s="356"/>
      <c r="AW113" s="356"/>
      <c r="AX113" s="356"/>
      <c r="AY113" s="356"/>
      <c r="AZ113" s="356"/>
      <c r="BA113" s="356"/>
      <c r="BB113" s="356"/>
      <c r="BC113" s="356"/>
      <c r="BD113" s="356"/>
      <c r="BE113" s="356"/>
      <c r="BF113" s="356"/>
      <c r="BG113" s="356"/>
      <c r="BH113" s="356"/>
      <c r="BI113" s="356"/>
      <c r="BJ113" s="356"/>
      <c r="BK113" s="356"/>
      <c r="BL113" s="356"/>
      <c r="BM113" s="356"/>
      <c r="BN113" s="356"/>
      <c r="BO113" s="356"/>
      <c r="BP113" s="356"/>
      <c r="BQ113" s="356"/>
      <c r="BR113" s="356"/>
      <c r="BS113" s="356"/>
      <c r="BT113" s="356"/>
      <c r="BU113" s="356"/>
      <c r="BV113" s="356"/>
      <c r="BW113" s="356"/>
      <c r="BX113" s="356"/>
      <c r="BY113" s="356"/>
      <c r="BZ113" s="356"/>
      <c r="CA113" s="356"/>
      <c r="CB113" s="356"/>
      <c r="CC113" s="356"/>
      <c r="CD113" s="356"/>
      <c r="CE113" s="356"/>
      <c r="CF113" s="356"/>
      <c r="CG113" s="356"/>
      <c r="CH113" s="356"/>
      <c r="CI113" s="356"/>
      <c r="CJ113" s="356"/>
      <c r="CK113" s="356"/>
      <c r="CL113" s="356"/>
      <c r="CM113" s="356"/>
      <c r="CN113" s="356"/>
      <c r="CO113" s="356"/>
      <c r="CP113" s="356"/>
      <c r="CQ113" s="356"/>
      <c r="CR113" s="356"/>
      <c r="CS113" s="356"/>
      <c r="CT113" s="356"/>
      <c r="CU113" s="356"/>
      <c r="CV113" s="356"/>
      <c r="CW113" s="356"/>
      <c r="CX113" s="356"/>
      <c r="CY113" s="356"/>
      <c r="CZ113" s="356"/>
      <c r="DA113" s="356"/>
      <c r="DB113" s="356"/>
      <c r="DC113" s="356"/>
      <c r="DD113" s="356"/>
      <c r="DE113" s="356"/>
      <c r="DF113" s="356"/>
      <c r="DG113" s="356"/>
      <c r="DH113" s="356"/>
      <c r="DI113" s="356"/>
      <c r="DJ113" s="356"/>
      <c r="DK113" s="1087"/>
      <c r="DL113" s="356"/>
      <c r="DM113" s="356"/>
      <c r="DN113" s="1087"/>
      <c r="DO113" s="356"/>
      <c r="DP113" s="356"/>
      <c r="DQ113" s="1087"/>
      <c r="DR113" s="356"/>
      <c r="DS113" s="356"/>
      <c r="DT113" s="1087"/>
      <c r="DU113" s="356"/>
      <c r="DV113" s="356"/>
      <c r="DW113" s="1087"/>
      <c r="DX113" s="356"/>
      <c r="DY113" s="356"/>
      <c r="DZ113" s="1087"/>
      <c r="EA113" s="356"/>
      <c r="EB113" s="356"/>
      <c r="EC113" s="1087"/>
      <c r="ED113" s="356"/>
      <c r="EE113" s="356"/>
      <c r="EF113" s="1087"/>
      <c r="EG113" s="356"/>
      <c r="EH113" s="356"/>
      <c r="EI113" s="1087"/>
      <c r="EJ113" s="356"/>
      <c r="EK113" s="356"/>
      <c r="EL113" s="1087"/>
      <c r="EM113" s="356"/>
      <c r="EN113" s="356"/>
      <c r="EO113" s="1087"/>
      <c r="EP113" s="356"/>
      <c r="EQ113" s="356"/>
      <c r="ER113" s="1087"/>
      <c r="ES113" s="356"/>
      <c r="ET113" s="356"/>
      <c r="EU113" s="1087"/>
      <c r="EV113" s="356"/>
      <c r="EW113" s="356"/>
      <c r="EX113" s="1087"/>
      <c r="EY113" s="356"/>
      <c r="EZ113" s="356"/>
      <c r="FA113" s="356"/>
    </row>
    <row r="114" spans="1:157" ht="13.35" customHeight="1">
      <c r="A114" s="5"/>
      <c r="B114" s="5"/>
      <c r="C114" s="5" t="s">
        <v>664</v>
      </c>
      <c r="D114" s="10"/>
      <c r="E114" s="356"/>
      <c r="F114" s="356"/>
      <c r="G114" s="356"/>
      <c r="H114" s="356"/>
      <c r="I114" s="356"/>
      <c r="J114" s="356"/>
      <c r="K114" s="356"/>
      <c r="L114" s="356"/>
      <c r="M114" s="356"/>
      <c r="N114" s="356"/>
      <c r="O114" s="356"/>
      <c r="P114" s="356"/>
      <c r="Q114" s="356"/>
      <c r="R114" s="356"/>
      <c r="S114" s="356"/>
      <c r="T114" s="356"/>
      <c r="U114" s="356"/>
      <c r="V114" s="356"/>
      <c r="W114" s="356"/>
      <c r="X114" s="356"/>
      <c r="Y114" s="356"/>
      <c r="Z114" s="356"/>
      <c r="AA114" s="356"/>
      <c r="AB114" s="356"/>
      <c r="AC114" s="356"/>
      <c r="AD114" s="356"/>
      <c r="AE114" s="356"/>
      <c r="AF114" s="356"/>
      <c r="AG114" s="356"/>
      <c r="AH114" s="356"/>
      <c r="AI114" s="356"/>
      <c r="AJ114" s="356"/>
      <c r="AK114" s="356"/>
      <c r="AL114" s="356"/>
      <c r="AM114" s="356"/>
      <c r="AN114" s="356"/>
      <c r="AO114" s="356"/>
      <c r="AP114" s="356"/>
      <c r="AQ114" s="356"/>
      <c r="AR114" s="356"/>
      <c r="AS114" s="356"/>
      <c r="AT114" s="356"/>
      <c r="AU114" s="356"/>
      <c r="AV114" s="356"/>
      <c r="AW114" s="356"/>
      <c r="AX114" s="356"/>
      <c r="AY114" s="356"/>
      <c r="AZ114" s="356"/>
      <c r="BA114" s="356"/>
      <c r="BB114" s="356"/>
      <c r="BC114" s="356"/>
      <c r="BD114" s="356" t="str">
        <f t="shared" ref="BD114:BO114" si="219">IF(AND(BD112&lt;&gt;"",BD113&lt;&gt;""),BD112+BD113,"")</f>
        <v/>
      </c>
      <c r="BE114" s="356" t="str">
        <f t="shared" si="219"/>
        <v/>
      </c>
      <c r="BF114" s="356" t="str">
        <f t="shared" si="219"/>
        <v/>
      </c>
      <c r="BG114" s="356" t="str">
        <f t="shared" si="219"/>
        <v/>
      </c>
      <c r="BH114" s="356" t="str">
        <f t="shared" si="219"/>
        <v/>
      </c>
      <c r="BI114" s="356" t="str">
        <f t="shared" si="219"/>
        <v/>
      </c>
      <c r="BJ114" s="356" t="str">
        <f t="shared" si="219"/>
        <v/>
      </c>
      <c r="BK114" s="356" t="str">
        <f t="shared" si="219"/>
        <v/>
      </c>
      <c r="BL114" s="356" t="str">
        <f t="shared" si="219"/>
        <v/>
      </c>
      <c r="BM114" s="356" t="str">
        <f t="shared" si="219"/>
        <v/>
      </c>
      <c r="BN114" s="356" t="str">
        <f t="shared" si="219"/>
        <v/>
      </c>
      <c r="BO114" s="356" t="str">
        <f t="shared" si="219"/>
        <v/>
      </c>
      <c r="BP114" s="356" t="str">
        <f t="shared" ref="BP114:CY114" si="220">IF(AND(BP112&lt;&gt;"",BP113&lt;&gt;""),BP112+BP113,"")</f>
        <v/>
      </c>
      <c r="BQ114" s="356" t="str">
        <f t="shared" si="220"/>
        <v/>
      </c>
      <c r="BR114" s="356" t="str">
        <f t="shared" si="220"/>
        <v/>
      </c>
      <c r="BS114" s="356" t="str">
        <f t="shared" si="220"/>
        <v/>
      </c>
      <c r="BT114" s="356" t="str">
        <f t="shared" si="220"/>
        <v/>
      </c>
      <c r="BU114" s="356" t="str">
        <f t="shared" si="220"/>
        <v/>
      </c>
      <c r="BV114" s="356" t="str">
        <f t="shared" si="220"/>
        <v/>
      </c>
      <c r="BW114" s="356" t="str">
        <f t="shared" si="220"/>
        <v/>
      </c>
      <c r="BX114" s="356" t="str">
        <f t="shared" si="220"/>
        <v/>
      </c>
      <c r="BY114" s="356" t="str">
        <f t="shared" si="220"/>
        <v/>
      </c>
      <c r="BZ114" s="356" t="str">
        <f t="shared" si="220"/>
        <v/>
      </c>
      <c r="CA114" s="356" t="str">
        <f t="shared" si="220"/>
        <v/>
      </c>
      <c r="CB114" s="356" t="str">
        <f t="shared" si="220"/>
        <v/>
      </c>
      <c r="CC114" s="356" t="str">
        <f t="shared" si="220"/>
        <v/>
      </c>
      <c r="CD114" s="356" t="str">
        <f t="shared" si="220"/>
        <v/>
      </c>
      <c r="CE114" s="356" t="str">
        <f t="shared" si="220"/>
        <v/>
      </c>
      <c r="CF114" s="356" t="str">
        <f t="shared" si="220"/>
        <v/>
      </c>
      <c r="CG114" s="356" t="str">
        <f t="shared" si="220"/>
        <v/>
      </c>
      <c r="CH114" s="356" t="str">
        <f t="shared" si="220"/>
        <v/>
      </c>
      <c r="CI114" s="356" t="str">
        <f t="shared" si="220"/>
        <v/>
      </c>
      <c r="CJ114" s="356" t="str">
        <f t="shared" si="220"/>
        <v/>
      </c>
      <c r="CK114" s="356" t="str">
        <f t="shared" si="220"/>
        <v/>
      </c>
      <c r="CL114" s="356" t="str">
        <f t="shared" si="220"/>
        <v/>
      </c>
      <c r="CM114" s="356" t="str">
        <f t="shared" si="220"/>
        <v/>
      </c>
      <c r="CN114" s="356" t="str">
        <f t="shared" si="220"/>
        <v/>
      </c>
      <c r="CO114" s="356" t="str">
        <f t="shared" si="220"/>
        <v/>
      </c>
      <c r="CP114" s="356" t="str">
        <f t="shared" si="220"/>
        <v/>
      </c>
      <c r="CQ114" s="356" t="str">
        <f t="shared" si="220"/>
        <v/>
      </c>
      <c r="CR114" s="356" t="str">
        <f t="shared" si="220"/>
        <v/>
      </c>
      <c r="CS114" s="356" t="str">
        <f t="shared" si="220"/>
        <v/>
      </c>
      <c r="CT114" s="356" t="str">
        <f t="shared" si="220"/>
        <v/>
      </c>
      <c r="CU114" s="356" t="str">
        <f t="shared" si="220"/>
        <v/>
      </c>
      <c r="CV114" s="356" t="str">
        <f t="shared" si="220"/>
        <v/>
      </c>
      <c r="CW114" s="356" t="str">
        <f t="shared" si="220"/>
        <v/>
      </c>
      <c r="CX114" s="356" t="str">
        <f t="shared" si="220"/>
        <v/>
      </c>
      <c r="CY114" s="356" t="str">
        <f t="shared" si="220"/>
        <v/>
      </c>
      <c r="CZ114" s="356" t="str">
        <f t="shared" ref="CZ114:DU114" si="221">IF(AND(CZ112&lt;&gt;"",CZ113&lt;&gt;""),CZ112+CZ113,"")</f>
        <v/>
      </c>
      <c r="DA114" s="356" t="str">
        <f t="shared" si="221"/>
        <v/>
      </c>
      <c r="DB114" s="356" t="str">
        <f t="shared" si="221"/>
        <v/>
      </c>
      <c r="DC114" s="356" t="str">
        <f t="shared" si="221"/>
        <v/>
      </c>
      <c r="DD114" s="356" t="str">
        <f t="shared" si="221"/>
        <v/>
      </c>
      <c r="DE114" s="356" t="str">
        <f t="shared" si="221"/>
        <v/>
      </c>
      <c r="DF114" s="356" t="str">
        <f t="shared" si="221"/>
        <v/>
      </c>
      <c r="DG114" s="356" t="s">
        <v>972</v>
      </c>
      <c r="DH114" s="356" t="str">
        <f t="shared" si="221"/>
        <v/>
      </c>
      <c r="DI114" s="356" t="str">
        <f t="shared" si="221"/>
        <v/>
      </c>
      <c r="DJ114" s="356" t="str">
        <f t="shared" si="221"/>
        <v/>
      </c>
      <c r="DK114" s="1087" t="str">
        <f t="shared" si="221"/>
        <v/>
      </c>
      <c r="DL114" s="356" t="str">
        <f t="shared" si="221"/>
        <v/>
      </c>
      <c r="DM114" s="356" t="str">
        <f t="shared" si="221"/>
        <v/>
      </c>
      <c r="DN114" s="1087" t="str">
        <f t="shared" si="221"/>
        <v/>
      </c>
      <c r="DO114" s="356" t="str">
        <f t="shared" si="221"/>
        <v/>
      </c>
      <c r="DP114" s="356" t="str">
        <f t="shared" si="221"/>
        <v/>
      </c>
      <c r="DQ114" s="1087" t="str">
        <f t="shared" si="221"/>
        <v/>
      </c>
      <c r="DR114" s="356" t="str">
        <f t="shared" si="221"/>
        <v/>
      </c>
      <c r="DS114" s="356" t="str">
        <f t="shared" si="221"/>
        <v/>
      </c>
      <c r="DT114" s="1087" t="str">
        <f t="shared" si="221"/>
        <v/>
      </c>
      <c r="DU114" s="356" t="str">
        <f t="shared" si="221"/>
        <v/>
      </c>
      <c r="DV114" s="356" t="str">
        <f t="shared" ref="DV114:DX114" si="222">IF(AND(DV112&lt;&gt;"",DV113&lt;&gt;""),DV112+DV113,"")</f>
        <v/>
      </c>
      <c r="DW114" s="1087" t="str">
        <f t="shared" si="222"/>
        <v/>
      </c>
      <c r="DX114" s="356" t="str">
        <f t="shared" si="222"/>
        <v/>
      </c>
      <c r="DY114" s="356" t="str">
        <f t="shared" ref="DY114:EF114" si="223">IF(AND(DY112&lt;&gt;"",DY113&lt;&gt;""),DY112+DY113,"")</f>
        <v/>
      </c>
      <c r="DZ114" s="1087" t="str">
        <f t="shared" si="223"/>
        <v/>
      </c>
      <c r="EA114" s="356" t="str">
        <f t="shared" si="223"/>
        <v/>
      </c>
      <c r="EB114" s="356" t="str">
        <f t="shared" si="223"/>
        <v/>
      </c>
      <c r="EC114" s="1087" t="str">
        <f t="shared" si="223"/>
        <v/>
      </c>
      <c r="ED114" s="356" t="str">
        <f t="shared" si="223"/>
        <v/>
      </c>
      <c r="EE114" s="356" t="str">
        <f t="shared" si="223"/>
        <v/>
      </c>
      <c r="EF114" s="1087" t="str">
        <f t="shared" si="223"/>
        <v/>
      </c>
      <c r="EG114" s="356" t="str">
        <f t="shared" ref="EG114:EL114" si="224">IF(AND(EG112&lt;&gt;"",EG113&lt;&gt;""),EG112+EG113,"")</f>
        <v/>
      </c>
      <c r="EH114" s="356" t="str">
        <f t="shared" si="224"/>
        <v/>
      </c>
      <c r="EI114" s="1087" t="str">
        <f t="shared" si="224"/>
        <v/>
      </c>
      <c r="EJ114" s="356" t="str">
        <f t="shared" si="224"/>
        <v/>
      </c>
      <c r="EK114" s="356" t="str">
        <f t="shared" si="224"/>
        <v/>
      </c>
      <c r="EL114" s="1087" t="str">
        <f t="shared" si="224"/>
        <v/>
      </c>
      <c r="EM114" s="356" t="str">
        <f t="shared" ref="EM114:ER114" si="225">IF(AND(EM112&lt;&gt;"",EM113&lt;&gt;""),EM112+EM113,"")</f>
        <v/>
      </c>
      <c r="EN114" s="356" t="str">
        <f t="shared" si="225"/>
        <v/>
      </c>
      <c r="EO114" s="1087" t="str">
        <f t="shared" si="225"/>
        <v/>
      </c>
      <c r="EP114" s="356" t="str">
        <f t="shared" si="225"/>
        <v/>
      </c>
      <c r="EQ114" s="356" t="str">
        <f t="shared" si="225"/>
        <v/>
      </c>
      <c r="ER114" s="1087" t="str">
        <f t="shared" si="225"/>
        <v/>
      </c>
      <c r="ES114" s="356" t="str">
        <f t="shared" ref="ES114:EX114" si="226">IF(AND(ES112&lt;&gt;"",ES113&lt;&gt;""),ES112+ES113,"")</f>
        <v/>
      </c>
      <c r="ET114" s="356" t="str">
        <f t="shared" si="226"/>
        <v/>
      </c>
      <c r="EU114" s="1087" t="str">
        <f t="shared" si="226"/>
        <v/>
      </c>
      <c r="EV114" s="356" t="str">
        <f t="shared" si="226"/>
        <v/>
      </c>
      <c r="EW114" s="356" t="str">
        <f t="shared" si="226"/>
        <v/>
      </c>
      <c r="EX114" s="1087" t="str">
        <f t="shared" si="226"/>
        <v/>
      </c>
      <c r="EY114" s="356" t="str">
        <f t="shared" ref="EY114:FA114" si="227">IF(AND(EY112&lt;&gt;"",EY113&lt;&gt;""),EY112+EY113,"")</f>
        <v/>
      </c>
      <c r="EZ114" s="356" t="str">
        <f t="shared" si="227"/>
        <v/>
      </c>
      <c r="FA114" s="356" t="str">
        <f t="shared" si="227"/>
        <v/>
      </c>
    </row>
    <row r="115" spans="1:157" ht="13.35" customHeight="1">
      <c r="A115" s="5"/>
      <c r="B115" s="5" t="s">
        <v>665</v>
      </c>
      <c r="C115" s="5"/>
      <c r="D115" s="5"/>
      <c r="E115" s="356" t="str">
        <f t="shared" ref="E115:N115" si="228">IF(E249&lt;&gt;"",E249,"")</f>
        <v/>
      </c>
      <c r="F115" s="356" t="str">
        <f t="shared" si="228"/>
        <v/>
      </c>
      <c r="G115" s="356" t="str">
        <f t="shared" si="228"/>
        <v/>
      </c>
      <c r="H115" s="356" t="str">
        <f t="shared" si="228"/>
        <v/>
      </c>
      <c r="I115" s="356" t="str">
        <f t="shared" si="228"/>
        <v/>
      </c>
      <c r="J115" s="356" t="str">
        <f t="shared" si="228"/>
        <v/>
      </c>
      <c r="K115" s="356" t="str">
        <f t="shared" si="228"/>
        <v/>
      </c>
      <c r="L115" s="356" t="str">
        <f t="shared" si="228"/>
        <v/>
      </c>
      <c r="M115" s="356" t="str">
        <f t="shared" si="228"/>
        <v/>
      </c>
      <c r="N115" s="356" t="str">
        <f t="shared" si="228"/>
        <v/>
      </c>
      <c r="O115" s="356" t="str">
        <f t="shared" ref="O115:X115" si="229">IF(O249&lt;&gt;"",O249,"")</f>
        <v/>
      </c>
      <c r="P115" s="356" t="str">
        <f t="shared" si="229"/>
        <v/>
      </c>
      <c r="Q115" s="356" t="str">
        <f t="shared" si="229"/>
        <v/>
      </c>
      <c r="R115" s="356" t="str">
        <f t="shared" si="229"/>
        <v/>
      </c>
      <c r="S115" s="356" t="str">
        <f t="shared" si="229"/>
        <v/>
      </c>
      <c r="T115" s="356" t="str">
        <f t="shared" si="229"/>
        <v/>
      </c>
      <c r="U115" s="356" t="str">
        <f t="shared" si="229"/>
        <v/>
      </c>
      <c r="V115" s="356" t="str">
        <f t="shared" si="229"/>
        <v/>
      </c>
      <c r="W115" s="356" t="str">
        <f t="shared" si="229"/>
        <v/>
      </c>
      <c r="X115" s="356" t="str">
        <f t="shared" si="229"/>
        <v/>
      </c>
      <c r="Y115" s="356" t="str">
        <f t="shared" ref="Y115:AH115" si="230">IF(Y249&lt;&gt;"",Y249,"")</f>
        <v/>
      </c>
      <c r="Z115" s="356" t="str">
        <f t="shared" si="230"/>
        <v/>
      </c>
      <c r="AA115" s="356" t="str">
        <f t="shared" si="230"/>
        <v/>
      </c>
      <c r="AB115" s="356" t="str">
        <f t="shared" si="230"/>
        <v/>
      </c>
      <c r="AC115" s="356" t="str">
        <f t="shared" si="230"/>
        <v/>
      </c>
      <c r="AD115" s="356" t="str">
        <f t="shared" si="230"/>
        <v/>
      </c>
      <c r="AE115" s="356" t="str">
        <f t="shared" si="230"/>
        <v/>
      </c>
      <c r="AF115" s="356" t="str">
        <f t="shared" si="230"/>
        <v/>
      </c>
      <c r="AG115" s="356" t="str">
        <f t="shared" si="230"/>
        <v/>
      </c>
      <c r="AH115" s="356" t="str">
        <f t="shared" si="230"/>
        <v/>
      </c>
      <c r="AI115" s="356" t="str">
        <f t="shared" ref="AI115:AP115" si="231">IF(AI249&lt;&gt;"",AI249,"")</f>
        <v/>
      </c>
      <c r="AJ115" s="356" t="str">
        <f t="shared" si="231"/>
        <v/>
      </c>
      <c r="AK115" s="356" t="str">
        <f t="shared" si="231"/>
        <v/>
      </c>
      <c r="AL115" s="356" t="str">
        <f t="shared" si="231"/>
        <v/>
      </c>
      <c r="AM115" s="356" t="str">
        <f t="shared" si="231"/>
        <v/>
      </c>
      <c r="AN115" s="356" t="str">
        <f t="shared" si="231"/>
        <v/>
      </c>
      <c r="AO115" s="356" t="str">
        <f t="shared" si="231"/>
        <v/>
      </c>
      <c r="AP115" s="356" t="str">
        <f t="shared" si="231"/>
        <v/>
      </c>
      <c r="AQ115" s="356"/>
      <c r="AR115" s="356"/>
      <c r="AS115" s="356"/>
      <c r="AT115" s="356"/>
      <c r="AU115" s="356"/>
      <c r="AV115" s="356"/>
      <c r="AW115" s="356"/>
      <c r="AX115" s="356"/>
      <c r="AY115" s="356"/>
      <c r="AZ115" s="356"/>
      <c r="BA115" s="356"/>
      <c r="BB115" s="356"/>
      <c r="BC115" s="356"/>
      <c r="BD115" s="356"/>
      <c r="BE115" s="356"/>
      <c r="BF115" s="356"/>
      <c r="BG115" s="356"/>
      <c r="BH115" s="356"/>
      <c r="BI115" s="356"/>
      <c r="BJ115" s="356"/>
      <c r="BK115" s="356"/>
      <c r="BL115" s="356"/>
      <c r="BM115" s="356"/>
      <c r="BN115" s="356"/>
      <c r="BO115" s="356"/>
      <c r="BP115" s="356"/>
      <c r="BQ115" s="356"/>
      <c r="BR115" s="356"/>
      <c r="BS115" s="356"/>
      <c r="BT115" s="356"/>
      <c r="BU115" s="356"/>
      <c r="BV115" s="356"/>
      <c r="BW115" s="356"/>
      <c r="BX115" s="356"/>
      <c r="BY115" s="356"/>
      <c r="BZ115" s="356"/>
      <c r="CA115" s="356"/>
      <c r="CB115" s="356"/>
      <c r="CC115" s="356"/>
      <c r="CD115" s="356"/>
      <c r="CE115" s="356"/>
      <c r="CF115" s="356"/>
      <c r="CG115" s="356"/>
      <c r="CH115" s="356"/>
      <c r="CI115" s="356"/>
      <c r="CJ115" s="356"/>
      <c r="CK115" s="356"/>
      <c r="CL115" s="356"/>
      <c r="CM115" s="356"/>
      <c r="CN115" s="356"/>
      <c r="CO115" s="356"/>
      <c r="CP115" s="356"/>
      <c r="CQ115" s="356"/>
      <c r="CR115" s="356"/>
      <c r="CS115" s="356" t="str">
        <f t="shared" ref="CS115:CY115" si="232">IF(CS249&lt;&gt;"",CS249,"")</f>
        <v/>
      </c>
      <c r="CT115" s="356" t="str">
        <f t="shared" si="232"/>
        <v/>
      </c>
      <c r="CU115" s="356" t="str">
        <f t="shared" si="232"/>
        <v/>
      </c>
      <c r="CV115" s="356" t="str">
        <f t="shared" si="232"/>
        <v/>
      </c>
      <c r="CW115" s="356" t="str">
        <f t="shared" si="232"/>
        <v/>
      </c>
      <c r="CX115" s="356" t="str">
        <f t="shared" si="232"/>
        <v/>
      </c>
      <c r="CY115" s="356" t="str">
        <f t="shared" si="232"/>
        <v/>
      </c>
      <c r="CZ115" s="356" t="str">
        <f t="shared" ref="CZ115:DF115" si="233">IF(CZ249&lt;&gt;"",CZ249,"")</f>
        <v/>
      </c>
      <c r="DA115" s="356" t="str">
        <f t="shared" si="233"/>
        <v/>
      </c>
      <c r="DB115" s="356" t="str">
        <f t="shared" si="233"/>
        <v/>
      </c>
      <c r="DC115" s="356" t="str">
        <f t="shared" si="233"/>
        <v/>
      </c>
      <c r="DD115" s="356" t="str">
        <f t="shared" si="233"/>
        <v/>
      </c>
      <c r="DE115" s="356" t="str">
        <f t="shared" si="233"/>
        <v/>
      </c>
      <c r="DF115" s="356" t="str">
        <f t="shared" si="233"/>
        <v/>
      </c>
      <c r="DG115" s="374">
        <v>1.4999999999999999E-2</v>
      </c>
      <c r="DH115" s="374">
        <v>1.4999999999999999E-2</v>
      </c>
      <c r="DI115" s="374">
        <v>1.4999999999999999E-2</v>
      </c>
      <c r="DJ115" s="374">
        <v>1.4999999999999999E-2</v>
      </c>
      <c r="DK115" s="1215">
        <v>1.4999999999999999E-2</v>
      </c>
      <c r="DL115" s="374">
        <v>1.4999999999999999E-2</v>
      </c>
      <c r="DM115" s="374">
        <v>1.4999999999999999E-2</v>
      </c>
      <c r="DN115" s="1215">
        <v>1.4999999999999999E-2</v>
      </c>
      <c r="DO115" s="374">
        <v>1.4999999999999999E-2</v>
      </c>
      <c r="DP115" s="374">
        <v>1.4999999999999999E-2</v>
      </c>
      <c r="DQ115" s="1215">
        <v>1.4999999999999999E-2</v>
      </c>
      <c r="DR115" s="374">
        <v>1.4999999999999999E-2</v>
      </c>
      <c r="DS115" s="374">
        <v>1.4999999999999999E-2</v>
      </c>
      <c r="DT115" s="1215">
        <v>1.4999999999999999E-2</v>
      </c>
      <c r="DU115" s="374">
        <v>1.4999999999999999E-2</v>
      </c>
      <c r="DV115" s="374">
        <v>1.4999999999999999E-2</v>
      </c>
      <c r="DW115" s="1215">
        <v>1.4999999999999999E-2</v>
      </c>
      <c r="DX115" s="374">
        <v>1.4999999999999999E-2</v>
      </c>
      <c r="DY115" s="374">
        <v>1.4999999999999999E-2</v>
      </c>
      <c r="DZ115" s="1215">
        <v>1.4999999999999999E-2</v>
      </c>
      <c r="EA115" s="374">
        <v>1.4999999999999999E-2</v>
      </c>
      <c r="EB115" s="374">
        <v>1.4999999999999999E-2</v>
      </c>
      <c r="EC115" s="1215">
        <v>1.4999999999999999E-2</v>
      </c>
      <c r="ED115" s="374">
        <v>1.4999999999999999E-2</v>
      </c>
      <c r="EE115" s="374">
        <v>1.4999999999999999E-2</v>
      </c>
      <c r="EF115" s="1215">
        <v>1.4999999999999999E-2</v>
      </c>
      <c r="EG115" s="374">
        <v>1.4999999999999999E-2</v>
      </c>
      <c r="EH115" s="374">
        <v>1.4999999999999999E-2</v>
      </c>
      <c r="EI115" s="1215">
        <v>1.4999999999999999E-2</v>
      </c>
      <c r="EJ115" s="374">
        <v>1.4999999999999999E-2</v>
      </c>
      <c r="EK115" s="374">
        <v>1.4999999999999999E-2</v>
      </c>
      <c r="EL115" s="1215">
        <v>1.4999999999999999E-2</v>
      </c>
      <c r="EM115" s="374">
        <v>1.4999999999999999E-2</v>
      </c>
      <c r="EN115" s="374">
        <v>1.4999999999999999E-2</v>
      </c>
      <c r="EO115" s="1215">
        <v>1.4999999999999999E-2</v>
      </c>
      <c r="EP115" s="374">
        <v>1.4999999999999999E-2</v>
      </c>
      <c r="EQ115" s="374">
        <v>1.4999999999999999E-2</v>
      </c>
      <c r="ER115" s="1215">
        <v>1.4999999999999999E-2</v>
      </c>
      <c r="ES115" s="374">
        <v>1.4999999999999999E-2</v>
      </c>
      <c r="ET115" s="374">
        <v>1.4999999999999999E-2</v>
      </c>
      <c r="EU115" s="1215">
        <v>1.4999999999999999E-2</v>
      </c>
      <c r="EV115" s="374">
        <v>1.4999999999999999E-2</v>
      </c>
      <c r="EW115" s="374">
        <v>1.4999999999999999E-2</v>
      </c>
      <c r="EX115" s="1215">
        <v>1.4999999999999999E-2</v>
      </c>
      <c r="EY115" s="374">
        <v>1.4999999999999999E-2</v>
      </c>
      <c r="EZ115" s="374">
        <v>1.4999999999999999E-2</v>
      </c>
      <c r="FA115" s="374">
        <v>1.4999999999999999E-2</v>
      </c>
    </row>
    <row r="116" spans="1:157" ht="13.35" customHeight="1">
      <c r="A116" s="5"/>
      <c r="B116" s="5" t="s">
        <v>666</v>
      </c>
      <c r="C116" s="5"/>
      <c r="D116" s="10"/>
      <c r="E116" s="356"/>
      <c r="F116" s="356"/>
      <c r="G116" s="356"/>
      <c r="H116" s="356"/>
      <c r="I116" s="356"/>
      <c r="J116" s="356"/>
      <c r="K116" s="356"/>
      <c r="L116" s="356"/>
      <c r="M116" s="356"/>
      <c r="N116" s="356"/>
      <c r="O116" s="356"/>
      <c r="P116" s="356"/>
      <c r="Q116" s="356"/>
      <c r="R116" s="356"/>
      <c r="S116" s="356"/>
      <c r="T116" s="356"/>
      <c r="U116" s="356"/>
      <c r="V116" s="356"/>
      <c r="W116" s="356"/>
      <c r="X116" s="356"/>
      <c r="Y116" s="356"/>
      <c r="Z116" s="356"/>
      <c r="AA116" s="356"/>
      <c r="AB116" s="356"/>
      <c r="AC116" s="356"/>
      <c r="AD116" s="356"/>
      <c r="AE116" s="356"/>
      <c r="AF116" s="356"/>
      <c r="AG116" s="356"/>
      <c r="AH116" s="356"/>
      <c r="AI116" s="356"/>
      <c r="AJ116" s="356"/>
      <c r="AK116" s="356"/>
      <c r="AL116" s="356"/>
      <c r="AM116" s="356"/>
      <c r="AN116" s="356"/>
      <c r="AO116" s="356"/>
      <c r="AP116" s="356"/>
      <c r="AQ116" s="356"/>
      <c r="AR116" s="356"/>
      <c r="AS116" s="356"/>
      <c r="AT116" s="356"/>
      <c r="AU116" s="356"/>
      <c r="AV116" s="356"/>
      <c r="AW116" s="356"/>
      <c r="AX116" s="356"/>
      <c r="AY116" s="356"/>
      <c r="AZ116" s="356"/>
      <c r="BA116" s="356"/>
      <c r="BB116" s="356"/>
      <c r="BC116" s="356"/>
      <c r="BD116" s="356"/>
      <c r="BE116" s="356"/>
      <c r="BF116" s="356"/>
      <c r="BG116" s="356"/>
      <c r="BH116" s="356"/>
      <c r="BI116" s="356"/>
      <c r="BJ116" s="356"/>
      <c r="BK116" s="356"/>
      <c r="BL116" s="356"/>
      <c r="BM116" s="356"/>
      <c r="BN116" s="356"/>
      <c r="BO116" s="356"/>
      <c r="BP116" s="356"/>
      <c r="BQ116" s="356"/>
      <c r="BR116" s="356"/>
      <c r="BS116" s="356"/>
      <c r="BT116" s="356"/>
      <c r="BU116" s="356"/>
      <c r="BV116" s="356"/>
      <c r="BW116" s="356"/>
      <c r="BX116" s="356"/>
      <c r="BY116" s="356"/>
      <c r="BZ116" s="356"/>
      <c r="CA116" s="356"/>
      <c r="CB116" s="356"/>
      <c r="CC116" s="356"/>
      <c r="CD116" s="356"/>
      <c r="CE116" s="356"/>
      <c r="CF116" s="356"/>
      <c r="CG116" s="356"/>
      <c r="CH116" s="356"/>
      <c r="CI116" s="356"/>
      <c r="CJ116" s="356"/>
      <c r="CK116" s="356"/>
      <c r="CL116" s="356"/>
      <c r="CM116" s="356"/>
      <c r="CN116" s="356"/>
      <c r="CO116" s="356"/>
      <c r="CP116" s="356"/>
      <c r="CQ116" s="356"/>
      <c r="CR116" s="356"/>
      <c r="CS116" s="356"/>
      <c r="CT116" s="356"/>
      <c r="CU116" s="356"/>
      <c r="CV116" s="356"/>
      <c r="CW116" s="356"/>
      <c r="CX116" s="356"/>
      <c r="CY116" s="356"/>
      <c r="CZ116" s="356"/>
      <c r="DA116" s="356"/>
      <c r="DB116" s="356"/>
      <c r="DC116" s="356"/>
      <c r="DD116" s="356"/>
      <c r="DE116" s="356"/>
      <c r="DF116" s="356"/>
      <c r="DG116" s="369">
        <v>332.93243410880228</v>
      </c>
      <c r="DH116" s="369">
        <v>306.88243410880227</v>
      </c>
      <c r="DI116" s="369">
        <v>430.98790905425028</v>
      </c>
      <c r="DJ116" s="369">
        <v>707.43264879529875</v>
      </c>
      <c r="DK116" s="1213">
        <v>708.6096079586531</v>
      </c>
      <c r="DL116" s="369">
        <v>998.78413498581926</v>
      </c>
      <c r="DM116" s="369">
        <v>973.75805303107063</v>
      </c>
      <c r="DN116" s="1213">
        <v>960.02826574495293</v>
      </c>
      <c r="DO116" s="369">
        <v>954.43978724008116</v>
      </c>
      <c r="DP116" s="369">
        <v>920.79152790173657</v>
      </c>
      <c r="DQ116" s="1213">
        <v>901.35392445186221</v>
      </c>
      <c r="DR116" s="369">
        <v>847.57094652792966</v>
      </c>
      <c r="DS116" s="369">
        <v>772.42618830176275</v>
      </c>
      <c r="DT116" s="1213">
        <v>792.56090688865163</v>
      </c>
      <c r="DU116" s="369">
        <v>703.63501897681442</v>
      </c>
      <c r="DV116" s="369">
        <v>772.42618830176275</v>
      </c>
      <c r="DW116" s="1213">
        <v>792.56090688865163</v>
      </c>
      <c r="DX116" s="369">
        <v>703.63501897681442</v>
      </c>
      <c r="DY116" s="369">
        <v>455.90332799196011</v>
      </c>
      <c r="DZ116" s="1213">
        <v>483.0315959939104</v>
      </c>
      <c r="EA116" s="369">
        <v>378.79816552936404</v>
      </c>
      <c r="EB116" s="369">
        <v>297.57138284722373</v>
      </c>
      <c r="EC116" s="1213">
        <v>311.54713457414982</v>
      </c>
      <c r="ED116" s="369">
        <v>236.51574243440547</v>
      </c>
      <c r="EE116" s="369">
        <v>163.31094965545395</v>
      </c>
      <c r="EF116" s="1213">
        <v>157.11555715376664</v>
      </c>
      <c r="EG116" s="369">
        <v>236.51574243440547</v>
      </c>
      <c r="EH116" s="369">
        <v>163.31094965545395</v>
      </c>
      <c r="EI116" s="1213">
        <v>157.11555715376664</v>
      </c>
      <c r="EJ116" s="369">
        <v>236.51574243440547</v>
      </c>
      <c r="EK116" s="369">
        <v>163.31094965545395</v>
      </c>
      <c r="EL116" s="1213">
        <v>157.11555715376664</v>
      </c>
      <c r="EM116" s="369">
        <v>236.51574243440547</v>
      </c>
      <c r="EN116" s="369">
        <v>163.31094965545395</v>
      </c>
      <c r="EO116" s="1213">
        <v>157.11555715376664</v>
      </c>
      <c r="EP116" s="369">
        <v>236.51574243440547</v>
      </c>
      <c r="EQ116" s="369">
        <v>163.31094965545395</v>
      </c>
      <c r="ER116" s="1213">
        <v>157.11555715376664</v>
      </c>
      <c r="ES116" s="369">
        <v>236.51574243440547</v>
      </c>
      <c r="ET116" s="369">
        <v>163.31094965545395</v>
      </c>
      <c r="EU116" s="1213">
        <v>157.11555715376664</v>
      </c>
      <c r="EV116" s="369">
        <v>236.51574243440547</v>
      </c>
      <c r="EW116" s="369">
        <v>163.31094965545395</v>
      </c>
      <c r="EX116" s="1213">
        <v>157.11555715376664</v>
      </c>
      <c r="EY116" s="369">
        <v>236.51574243440547</v>
      </c>
      <c r="EZ116" s="369">
        <v>163.31094965545395</v>
      </c>
      <c r="FA116" s="369">
        <v>157.11555715376664</v>
      </c>
    </row>
    <row r="117" spans="1:157" ht="13.35" customHeight="1">
      <c r="A117" s="5"/>
      <c r="B117" s="5"/>
      <c r="C117" s="5" t="s">
        <v>667</v>
      </c>
      <c r="D117" s="5"/>
      <c r="E117" s="359"/>
      <c r="F117" s="359"/>
      <c r="G117" s="359"/>
      <c r="H117" s="359"/>
      <c r="I117" s="359"/>
      <c r="J117" s="359"/>
      <c r="K117" s="359"/>
      <c r="L117" s="359"/>
      <c r="M117" s="359"/>
      <c r="N117" s="359"/>
      <c r="O117" s="359"/>
      <c r="P117" s="359"/>
      <c r="Q117" s="359"/>
      <c r="R117" s="359"/>
      <c r="S117" s="359"/>
      <c r="T117" s="359"/>
      <c r="U117" s="359"/>
      <c r="V117" s="359"/>
      <c r="W117" s="359"/>
      <c r="X117" s="359"/>
      <c r="Y117" s="359"/>
      <c r="Z117" s="359"/>
      <c r="AA117" s="359"/>
      <c r="AB117" s="359"/>
      <c r="AC117" s="359"/>
      <c r="AD117" s="359"/>
      <c r="AE117" s="359"/>
      <c r="AF117" s="359"/>
      <c r="AG117" s="359"/>
      <c r="AH117" s="359"/>
      <c r="AI117" s="359"/>
      <c r="AJ117" s="359"/>
      <c r="AK117" s="359"/>
      <c r="AL117" s="359"/>
      <c r="AM117" s="359"/>
      <c r="AN117" s="359"/>
      <c r="AO117" s="359"/>
      <c r="AP117" s="359"/>
      <c r="AQ117" s="359"/>
      <c r="AR117" s="359"/>
      <c r="AS117" s="359"/>
      <c r="AT117" s="359"/>
      <c r="AU117" s="359"/>
      <c r="AV117" s="359"/>
      <c r="AW117" s="359"/>
      <c r="AX117" s="359"/>
      <c r="AY117" s="359"/>
      <c r="AZ117" s="359"/>
      <c r="BA117" s="359"/>
      <c r="BB117" s="359"/>
      <c r="BC117" s="359"/>
      <c r="BD117" s="356" t="str">
        <f t="shared" ref="BD117:BO117" si="234">IF(AND(BD115&lt;&gt;"",BD116&lt;&gt;""),BD115+BD116,"")</f>
        <v/>
      </c>
      <c r="BE117" s="356" t="str">
        <f t="shared" si="234"/>
        <v/>
      </c>
      <c r="BF117" s="356" t="str">
        <f t="shared" si="234"/>
        <v/>
      </c>
      <c r="BG117" s="356" t="str">
        <f t="shared" si="234"/>
        <v/>
      </c>
      <c r="BH117" s="356" t="str">
        <f t="shared" si="234"/>
        <v/>
      </c>
      <c r="BI117" s="356" t="str">
        <f t="shared" si="234"/>
        <v/>
      </c>
      <c r="BJ117" s="356" t="str">
        <f t="shared" si="234"/>
        <v/>
      </c>
      <c r="BK117" s="356" t="str">
        <f t="shared" si="234"/>
        <v/>
      </c>
      <c r="BL117" s="356" t="str">
        <f t="shared" si="234"/>
        <v/>
      </c>
      <c r="BM117" s="356" t="str">
        <f t="shared" si="234"/>
        <v/>
      </c>
      <c r="BN117" s="356" t="str">
        <f t="shared" si="234"/>
        <v/>
      </c>
      <c r="BO117" s="356" t="str">
        <f t="shared" si="234"/>
        <v/>
      </c>
      <c r="BP117" s="356" t="str">
        <f t="shared" ref="BP117:CY117" si="235">IF(AND(BP115&lt;&gt;"",BP116&lt;&gt;""),BP115+BP116,"")</f>
        <v/>
      </c>
      <c r="BQ117" s="356" t="str">
        <f t="shared" si="235"/>
        <v/>
      </c>
      <c r="BR117" s="356" t="str">
        <f t="shared" si="235"/>
        <v/>
      </c>
      <c r="BS117" s="356" t="str">
        <f t="shared" si="235"/>
        <v/>
      </c>
      <c r="BT117" s="356" t="str">
        <f t="shared" si="235"/>
        <v/>
      </c>
      <c r="BU117" s="356" t="str">
        <f t="shared" si="235"/>
        <v/>
      </c>
      <c r="BV117" s="356" t="str">
        <f t="shared" si="235"/>
        <v/>
      </c>
      <c r="BW117" s="356" t="str">
        <f t="shared" si="235"/>
        <v/>
      </c>
      <c r="BX117" s="356" t="str">
        <f t="shared" si="235"/>
        <v/>
      </c>
      <c r="BY117" s="356" t="str">
        <f t="shared" si="235"/>
        <v/>
      </c>
      <c r="BZ117" s="356" t="str">
        <f t="shared" si="235"/>
        <v/>
      </c>
      <c r="CA117" s="356" t="str">
        <f t="shared" si="235"/>
        <v/>
      </c>
      <c r="CB117" s="356" t="str">
        <f t="shared" si="235"/>
        <v/>
      </c>
      <c r="CC117" s="356" t="str">
        <f t="shared" si="235"/>
        <v/>
      </c>
      <c r="CD117" s="356"/>
      <c r="CE117" s="356" t="str">
        <f t="shared" si="235"/>
        <v/>
      </c>
      <c r="CF117" s="356" t="str">
        <f t="shared" si="235"/>
        <v/>
      </c>
      <c r="CG117" s="356" t="str">
        <f t="shared" si="235"/>
        <v/>
      </c>
      <c r="CH117" s="356" t="str">
        <f t="shared" si="235"/>
        <v/>
      </c>
      <c r="CI117" s="356" t="str">
        <f t="shared" si="235"/>
        <v/>
      </c>
      <c r="CJ117" s="356" t="str">
        <f t="shared" si="235"/>
        <v/>
      </c>
      <c r="CK117" s="356" t="str">
        <f t="shared" si="235"/>
        <v/>
      </c>
      <c r="CL117" s="356" t="str">
        <f t="shared" si="235"/>
        <v/>
      </c>
      <c r="CM117" s="356" t="str">
        <f t="shared" si="235"/>
        <v/>
      </c>
      <c r="CN117" s="356" t="str">
        <f t="shared" si="235"/>
        <v/>
      </c>
      <c r="CO117" s="356" t="str">
        <f t="shared" si="235"/>
        <v/>
      </c>
      <c r="CP117" s="356" t="str">
        <f t="shared" si="235"/>
        <v/>
      </c>
      <c r="CQ117" s="356" t="str">
        <f t="shared" si="235"/>
        <v/>
      </c>
      <c r="CR117" s="356" t="str">
        <f t="shared" si="235"/>
        <v/>
      </c>
      <c r="CS117" s="356" t="str">
        <f t="shared" si="235"/>
        <v/>
      </c>
      <c r="CT117" s="356" t="str">
        <f t="shared" si="235"/>
        <v/>
      </c>
      <c r="CU117" s="356" t="str">
        <f t="shared" si="235"/>
        <v/>
      </c>
      <c r="CV117" s="356" t="str">
        <f t="shared" si="235"/>
        <v/>
      </c>
      <c r="CW117" s="356" t="str">
        <f t="shared" si="235"/>
        <v/>
      </c>
      <c r="CX117" s="356" t="str">
        <f t="shared" si="235"/>
        <v/>
      </c>
      <c r="CY117" s="356" t="str">
        <f t="shared" si="235"/>
        <v/>
      </c>
      <c r="CZ117" s="356" t="str">
        <f t="shared" ref="CZ117:DF117" si="236">IF(AND(CZ115&lt;&gt;"",CZ116&lt;&gt;""),CZ115+CZ116,"")</f>
        <v/>
      </c>
      <c r="DA117" s="356" t="str">
        <f t="shared" si="236"/>
        <v/>
      </c>
      <c r="DB117" s="356" t="str">
        <f t="shared" si="236"/>
        <v/>
      </c>
      <c r="DC117" s="356" t="str">
        <f t="shared" si="236"/>
        <v/>
      </c>
      <c r="DD117" s="356" t="str">
        <f t="shared" si="236"/>
        <v/>
      </c>
      <c r="DE117" s="356" t="str">
        <f t="shared" si="236"/>
        <v/>
      </c>
      <c r="DF117" s="356" t="str">
        <f t="shared" si="236"/>
        <v/>
      </c>
      <c r="DG117" s="375">
        <v>2.4969932558160171</v>
      </c>
      <c r="DH117" s="375">
        <v>4.6969932558160172</v>
      </c>
      <c r="DI117" s="375">
        <v>3.2324093179068769</v>
      </c>
      <c r="DJ117" s="375">
        <v>5.3057448659647406</v>
      </c>
      <c r="DK117" s="1216">
        <v>8.5381541838716171</v>
      </c>
      <c r="DL117" s="375">
        <v>7.4908810123936442</v>
      </c>
      <c r="DM117" s="375">
        <v>7.3031853977330297</v>
      </c>
      <c r="DN117" s="1216">
        <v>14.794066410126675</v>
      </c>
      <c r="DO117" s="375">
        <v>7.1582984043006084</v>
      </c>
      <c r="DP117" s="375">
        <v>6.9059364592630237</v>
      </c>
      <c r="DQ117" s="1216">
        <v>14.064234863563632</v>
      </c>
      <c r="DR117" s="375">
        <v>6.3567820989594725</v>
      </c>
      <c r="DS117" s="375">
        <v>5.79319641226322</v>
      </c>
      <c r="DT117" s="1216">
        <v>12.149978511222692</v>
      </c>
      <c r="DU117" s="375">
        <v>5.2772626423261082</v>
      </c>
      <c r="DV117" s="375">
        <v>5.79319641226322</v>
      </c>
      <c r="DW117" s="1216">
        <v>12.149978511222692</v>
      </c>
      <c r="DX117" s="375">
        <v>5.2772626423261082</v>
      </c>
      <c r="DY117" s="375">
        <v>3.4192749599397008</v>
      </c>
      <c r="DZ117" s="1216">
        <v>7.5154825089456212</v>
      </c>
      <c r="EA117" s="375">
        <v>2.84098624147023</v>
      </c>
      <c r="EB117" s="375">
        <v>2.231785371354178</v>
      </c>
      <c r="EC117" s="1216">
        <v>5.0727716128244076</v>
      </c>
      <c r="ED117" s="375">
        <v>1.773868068258041</v>
      </c>
      <c r="EE117" s="375">
        <v>1.2248321224159047</v>
      </c>
      <c r="EF117" s="1216">
        <v>2.9987001906739454</v>
      </c>
      <c r="EG117" s="375">
        <v>1.773868068258041</v>
      </c>
      <c r="EH117" s="375">
        <v>1.2248321224159047</v>
      </c>
      <c r="EI117" s="1216">
        <v>2.9987001906739454</v>
      </c>
      <c r="EJ117" s="375">
        <v>1.773868068258041</v>
      </c>
      <c r="EK117" s="375">
        <v>1.2248321224159047</v>
      </c>
      <c r="EL117" s="1216">
        <v>2.9987001906739454</v>
      </c>
      <c r="EM117" s="375">
        <v>1.773868068258041</v>
      </c>
      <c r="EN117" s="375">
        <v>1.2248321224159047</v>
      </c>
      <c r="EO117" s="1216">
        <v>2.9987001906739454</v>
      </c>
      <c r="EP117" s="375">
        <v>1.773868068258041</v>
      </c>
      <c r="EQ117" s="375">
        <v>1.2248321224159047</v>
      </c>
      <c r="ER117" s="1216">
        <v>2.9987001906739454</v>
      </c>
      <c r="ES117" s="375">
        <v>1.773868068258041</v>
      </c>
      <c r="ET117" s="375">
        <v>1.2248321224159047</v>
      </c>
      <c r="EU117" s="1216">
        <v>2.9987001906739454</v>
      </c>
      <c r="EV117" s="375">
        <v>1.773868068258041</v>
      </c>
      <c r="EW117" s="375">
        <v>1.2248321224159047</v>
      </c>
      <c r="EX117" s="1216">
        <v>2.9987001906739454</v>
      </c>
      <c r="EY117" s="375">
        <v>1.773868068258041</v>
      </c>
      <c r="EZ117" s="375">
        <v>1.2248321224159047</v>
      </c>
      <c r="FA117" s="375">
        <v>2.9987001906739454</v>
      </c>
    </row>
    <row r="118" spans="1:157" ht="13.35" customHeight="1">
      <c r="A118" s="5"/>
      <c r="B118" s="5" t="s">
        <v>668</v>
      </c>
      <c r="C118" s="5"/>
      <c r="D118" s="376"/>
      <c r="E118" s="317"/>
      <c r="F118" s="317"/>
      <c r="G118" s="317"/>
      <c r="H118" s="317"/>
      <c r="I118" s="317"/>
      <c r="J118" s="317"/>
      <c r="K118" s="317"/>
      <c r="L118" s="317"/>
      <c r="M118" s="317"/>
      <c r="N118" s="317"/>
      <c r="O118" s="317"/>
      <c r="P118" s="317"/>
      <c r="Q118" s="317"/>
      <c r="R118" s="317"/>
      <c r="S118" s="317"/>
      <c r="T118" s="317"/>
      <c r="U118" s="317"/>
      <c r="V118" s="317"/>
      <c r="W118" s="317"/>
      <c r="X118" s="317"/>
      <c r="Y118" s="317"/>
      <c r="Z118" s="317"/>
      <c r="AA118" s="317"/>
      <c r="AB118" s="317"/>
      <c r="AC118" s="317"/>
      <c r="AD118" s="317"/>
      <c r="AE118" s="317"/>
      <c r="AF118" s="317"/>
      <c r="AG118" s="317"/>
      <c r="AH118" s="317"/>
      <c r="AI118" s="317"/>
      <c r="AJ118" s="317"/>
      <c r="AK118" s="317"/>
      <c r="AL118" s="317"/>
      <c r="AM118" s="317"/>
      <c r="AN118" s="317"/>
      <c r="AO118" s="317"/>
      <c r="AP118" s="317"/>
      <c r="AQ118" s="317"/>
      <c r="AR118" s="317"/>
      <c r="AS118" s="317"/>
      <c r="AT118" s="317"/>
      <c r="AU118" s="317"/>
      <c r="AV118" s="317"/>
      <c r="AW118" s="317"/>
      <c r="AX118" s="317"/>
      <c r="AY118" s="317"/>
      <c r="AZ118" s="317"/>
      <c r="BA118" s="317"/>
      <c r="BB118" s="317"/>
      <c r="BC118" s="317"/>
      <c r="BD118" s="356"/>
      <c r="BE118" s="317"/>
      <c r="BF118" s="356"/>
      <c r="BG118" s="356"/>
      <c r="BH118" s="317"/>
      <c r="BI118" s="356"/>
      <c r="BJ118" s="317"/>
      <c r="BK118" s="317"/>
      <c r="BL118" s="317"/>
      <c r="BM118" s="317"/>
      <c r="BN118" s="317"/>
      <c r="BO118" s="317"/>
      <c r="BP118" s="317"/>
      <c r="BQ118" s="317"/>
      <c r="BR118" s="317"/>
      <c r="BS118" s="317"/>
      <c r="BT118" s="317"/>
      <c r="BU118" s="317"/>
      <c r="BV118" s="317"/>
      <c r="BW118" s="317"/>
      <c r="BX118" s="317"/>
      <c r="BY118" s="317"/>
      <c r="BZ118" s="317"/>
      <c r="CA118" s="317"/>
      <c r="CB118" s="317"/>
      <c r="CC118" s="317"/>
      <c r="CD118" s="317"/>
      <c r="CE118" s="317"/>
      <c r="CF118" s="317"/>
      <c r="CG118" s="317"/>
      <c r="CH118" s="317"/>
      <c r="CI118" s="317"/>
      <c r="CJ118" s="317"/>
      <c r="CK118" s="317"/>
      <c r="CL118" s="317"/>
      <c r="CM118" s="317"/>
      <c r="CN118" s="317"/>
      <c r="CO118" s="317"/>
      <c r="CP118" s="317"/>
      <c r="CQ118" s="317"/>
      <c r="CR118" s="317"/>
      <c r="CS118" s="359"/>
      <c r="CT118" s="317"/>
      <c r="CU118" s="317"/>
      <c r="CV118" s="317"/>
      <c r="CW118" s="317"/>
      <c r="CX118" s="317"/>
      <c r="CY118" s="317"/>
      <c r="CZ118" s="317"/>
      <c r="DA118" s="317"/>
      <c r="DB118" s="317"/>
      <c r="DC118" s="317"/>
      <c r="DD118" s="317"/>
      <c r="DE118" s="317"/>
      <c r="DF118" s="366"/>
      <c r="DG118" s="317"/>
      <c r="DH118" s="366"/>
      <c r="DI118" s="317"/>
      <c r="DJ118" s="317"/>
      <c r="DK118" s="1212"/>
      <c r="DL118" s="317"/>
      <c r="DM118" s="317"/>
      <c r="DN118" s="1212"/>
      <c r="DO118" s="317"/>
      <c r="DP118" s="317"/>
      <c r="DQ118" s="1212"/>
      <c r="DR118" s="317"/>
      <c r="DS118" s="317"/>
      <c r="DT118" s="1212"/>
      <c r="DU118" s="317"/>
      <c r="DV118" s="317"/>
      <c r="DW118" s="1212"/>
      <c r="DX118" s="317"/>
      <c r="DY118" s="317"/>
      <c r="DZ118" s="1212"/>
      <c r="EA118" s="317"/>
      <c r="EB118" s="317"/>
      <c r="EC118" s="1212"/>
      <c r="ED118" s="317"/>
      <c r="EE118" s="317"/>
      <c r="EF118" s="1212"/>
      <c r="EG118" s="317"/>
      <c r="EH118" s="317"/>
      <c r="EI118" s="1212"/>
      <c r="EJ118" s="317"/>
      <c r="EK118" s="317"/>
      <c r="EL118" s="1212"/>
      <c r="EM118" s="317"/>
      <c r="EN118" s="317"/>
      <c r="EO118" s="1212"/>
      <c r="EP118" s="317"/>
      <c r="EQ118" s="317"/>
      <c r="ER118" s="1212"/>
      <c r="ES118" s="317"/>
      <c r="ET118" s="317"/>
      <c r="EU118" s="1212"/>
      <c r="EV118" s="317"/>
      <c r="EW118" s="317"/>
      <c r="EX118" s="1212"/>
      <c r="EY118" s="317"/>
      <c r="EZ118" s="317"/>
      <c r="FA118" s="317"/>
    </row>
    <row r="119" spans="1:157" ht="13.35" customHeight="1">
      <c r="A119" s="5"/>
      <c r="B119" s="5" t="s">
        <v>896</v>
      </c>
      <c r="C119" s="5"/>
      <c r="D119" s="5"/>
      <c r="E119" s="356"/>
      <c r="F119" s="356"/>
      <c r="G119" s="356"/>
      <c r="H119" s="356" t="str">
        <f>IF(ISERROR(Model!H166),"",IF(Model!H166&lt;&gt;"",Model!H166,""))</f>
        <v/>
      </c>
      <c r="I119" s="356" t="str">
        <f>IF(ISERROR(Model!I166),"",IF(Model!I166&lt;&gt;"",Model!I166,""))</f>
        <v/>
      </c>
      <c r="J119" s="356" t="str">
        <f>IF(ISERROR(Model!J166),"",IF(Model!J166&lt;&gt;"",Model!J166,""))</f>
        <v/>
      </c>
      <c r="K119" s="356" t="str">
        <f>IF(ISERROR(Model!K166),"",IF(Model!K166&lt;&gt;"",Model!K166,""))</f>
        <v/>
      </c>
      <c r="L119" s="356" t="str">
        <f>IF(ISERROR(Model!L166),"",IF(Model!L166&lt;&gt;"",Model!L166,""))</f>
        <v/>
      </c>
      <c r="M119" s="356" t="str">
        <f>IF(ISERROR(Model!M166),"",IF(Model!M166&lt;&gt;"",Model!M166,""))</f>
        <v/>
      </c>
      <c r="N119" s="356" t="str">
        <f>IF(ISERROR(Model!N166),"",IF(Model!N166&lt;&gt;"",Model!N166,""))</f>
        <v/>
      </c>
      <c r="O119" s="356" t="str">
        <f>IF(ISERROR(Model!O166),"",IF(Model!O166&lt;&gt;"",Model!O166,""))</f>
        <v/>
      </c>
      <c r="P119" s="356" t="str">
        <f>IF(ISERROR(Model!P166),"",IF(Model!P166&lt;&gt;"",Model!P166,""))</f>
        <v/>
      </c>
      <c r="Q119" s="356" t="str">
        <f>IF(ISERROR(Model!Q166),"",IF(Model!Q166&lt;&gt;"",Model!Q166,""))</f>
        <v/>
      </c>
      <c r="R119" s="356" t="str">
        <f>IF(ISERROR(Model!R166),"",IF(Model!R166&lt;&gt;"",Model!R166,""))</f>
        <v/>
      </c>
      <c r="S119" s="356" t="str">
        <f>IF(ISERROR(Model!S166),"",IF(Model!S166&lt;&gt;"",Model!S166,""))</f>
        <v/>
      </c>
      <c r="T119" s="356" t="str">
        <f>IF(ISERROR(Model!T166),"",IF(Model!T166&lt;&gt;"",Model!T166,""))</f>
        <v/>
      </c>
      <c r="U119" s="356" t="str">
        <f>IF(ISERROR(Model!U166),"",IF(Model!U166&lt;&gt;"",Model!U166,""))</f>
        <v/>
      </c>
      <c r="V119" s="356" t="str">
        <f>IF(ISERROR(Model!V166),"",IF(Model!V166&lt;&gt;"",Model!V166,""))</f>
        <v/>
      </c>
      <c r="W119" s="356" t="str">
        <f>IF(ISERROR(Model!W166),"",IF(Model!W166&lt;&gt;"",Model!W166,""))</f>
        <v/>
      </c>
      <c r="X119" s="356" t="str">
        <f>IF(ISERROR(Model!X166),"",IF(Model!X166&lt;&gt;"",Model!X166,""))</f>
        <v/>
      </c>
      <c r="Y119" s="356" t="str">
        <f>IF(ISERROR(Model!Y166),"",IF(Model!Y166&lt;&gt;"",Model!Y166,""))</f>
        <v/>
      </c>
      <c r="Z119" s="356" t="str">
        <f>IF(ISERROR(Model!Z166),"",IF(Model!Z166&lt;&gt;"",Model!Z166,""))</f>
        <v/>
      </c>
      <c r="AA119" s="356" t="str">
        <f>IF(ISERROR(Model!AA166),"",IF(Model!AA166&lt;&gt;"",Model!AA166,""))</f>
        <v/>
      </c>
      <c r="AB119" s="356" t="str">
        <f>IF(ISERROR(Model!AB166),"",IF(Model!AB166&lt;&gt;"",Model!AB166,""))</f>
        <v/>
      </c>
      <c r="AC119" s="356" t="str">
        <f>IF(ISERROR(Model!AC166),"",IF(Model!AC166&lt;&gt;"",Model!AC166,""))</f>
        <v/>
      </c>
      <c r="AD119" s="356" t="str">
        <f>IF(ISERROR(Model!AD166),"",IF(Model!AD166&lt;&gt;"",Model!AD166,""))</f>
        <v/>
      </c>
      <c r="AE119" s="356" t="str">
        <f>IF(ISERROR(Model!AE166),"",IF(Model!AE166&lt;&gt;"",Model!AE166,""))</f>
        <v/>
      </c>
      <c r="AF119" s="356" t="str">
        <f>IF(ISERROR(Model!AF166),"",IF(Model!AF166&lt;&gt;"",Model!AF166,""))</f>
        <v/>
      </c>
      <c r="AG119" s="356" t="str">
        <f>IF(ISERROR(Model!AG166),"",IF(Model!AG166&lt;&gt;"",Model!AG166,""))</f>
        <v/>
      </c>
      <c r="AH119" s="356" t="str">
        <f>IF(ISERROR(Model!AH166),"",IF(Model!AH166&lt;&gt;"",Model!AH166,""))</f>
        <v/>
      </c>
      <c r="AI119" s="356">
        <f>(AI121*2)/AI120</f>
        <v>1.1946985252940079E-2</v>
      </c>
      <c r="AJ119" s="356">
        <f>(AJ121*2)/AJ120</f>
        <v>0</v>
      </c>
      <c r="AK119" s="356">
        <f>AK121/AK120</f>
        <v>2.4150943396226417E-2</v>
      </c>
      <c r="AL119" s="356">
        <f>(AL121*2)/AL120</f>
        <v>0.11271477663230241</v>
      </c>
      <c r="AM119" s="356">
        <f>(AM121*2)/AM120</f>
        <v>3.5634743875278388E-2</v>
      </c>
      <c r="AN119" s="356">
        <f>AN121/AN120</f>
        <v>2.9411764705882353E-2</v>
      </c>
      <c r="AO119" s="356">
        <f>(AO121*2)/AO120</f>
        <v>3.7582211086752269E-2</v>
      </c>
      <c r="AP119" s="356">
        <f>(AP121*2)/AP120</f>
        <v>4.9259027342934664E-2</v>
      </c>
      <c r="AQ119" s="356">
        <f>AQ121/AQ120</f>
        <v>3.8220651999357633E-2</v>
      </c>
      <c r="AR119" s="356">
        <f>(AR121*2)/AR120</f>
        <v>3.7132987910189985E-2</v>
      </c>
      <c r="AS119" s="356">
        <f>(AS121*2)/AS120</f>
        <v>3.9737730975561304E-2</v>
      </c>
      <c r="AT119" s="356">
        <f>AT121/AT120</f>
        <v>3.6956089807272011E-2</v>
      </c>
      <c r="AU119" s="356">
        <f>(AU121*2)/AU120</f>
        <v>3.5333087964666915E-2</v>
      </c>
      <c r="AV119" s="356">
        <f>(AV121*2)/AV120</f>
        <v>4.4020067972163783E-2</v>
      </c>
      <c r="AW119" s="356">
        <f>AW121/AW120</f>
        <v>3.7546528564492636E-2</v>
      </c>
      <c r="AX119" s="356">
        <f>(AX121*2)/AX120</f>
        <v>2.4841132293471978E-2</v>
      </c>
      <c r="AY119" s="356">
        <f>(AY121*2)/AY120</f>
        <v>3.4083162917518749E-2</v>
      </c>
      <c r="AZ119" s="356">
        <f>AZ121/AZ120</f>
        <v>3.1697341513292433E-2</v>
      </c>
      <c r="BA119" s="356">
        <f>(BA121*2)/BA120</f>
        <v>2.0781379883624274E-2</v>
      </c>
      <c r="BB119" s="356">
        <f>(BB121*2)/BB120</f>
        <v>6.5150888797023562E-2</v>
      </c>
      <c r="BC119" s="356">
        <f>BC121/BC120</f>
        <v>3.6709384042992968E-2</v>
      </c>
      <c r="BD119" s="356">
        <f>(BD121*2)/BD120</f>
        <v>4.0408938457186731E-2</v>
      </c>
      <c r="BE119" s="356">
        <f>(BE121*2)/BE120</f>
        <v>9.157975069956753E-2</v>
      </c>
      <c r="BF119" s="356">
        <f>BF121/BF120</f>
        <v>6.7764650422792477E-2</v>
      </c>
      <c r="BG119" s="356">
        <f>(BG121*2)/BG120</f>
        <v>5.4767776407727092E-2</v>
      </c>
      <c r="BH119" s="356">
        <f>(BH121*2)/BH120</f>
        <v>3.5443549745628515E-2</v>
      </c>
      <c r="BI119" s="356">
        <f>BI121/BI120</f>
        <v>4.0553277122551398E-2</v>
      </c>
      <c r="BJ119" s="356">
        <f>(BJ121*2)/BJ120</f>
        <v>3.7985334775814401E-2</v>
      </c>
      <c r="BK119" s="356">
        <f>(BK121*2)/BK120</f>
        <v>3.1721219284366248E-2</v>
      </c>
      <c r="BL119" s="356">
        <f>BL121/BL120</f>
        <v>3.9684869837541596E-2</v>
      </c>
      <c r="BM119" s="356">
        <f>(BM121*2)/BM120</f>
        <v>3.3365250055240478E-2</v>
      </c>
      <c r="BN119" s="356">
        <f>(BN121*2)/BN120</f>
        <v>4.2764763562693577E-2</v>
      </c>
      <c r="BO119" s="356">
        <f>BO121/BO120</f>
        <v>2.5580430271923121E-2</v>
      </c>
      <c r="BP119" s="356">
        <f>(BP121*2)/BP120</f>
        <v>3.0454327303611046E-2</v>
      </c>
      <c r="BQ119" s="356">
        <f>(BQ121*2)/BQ120</f>
        <v>3.4387589364504867E-2</v>
      </c>
      <c r="BR119" s="356">
        <f>BR121/BR120</f>
        <v>3.202722138422142E-2</v>
      </c>
      <c r="BS119" s="356">
        <f>(BS121*2)/BS120</f>
        <v>6.1720315347516597E-2</v>
      </c>
      <c r="BT119" s="356">
        <f>(BT121*2)/BT120</f>
        <v>6.1670727897532016E-2</v>
      </c>
      <c r="BU119" s="356">
        <f>BU121/BU120</f>
        <v>6.228461318363554E-2</v>
      </c>
      <c r="BV119" s="356">
        <f>(BV121*2)/BV120</f>
        <v>5.7121108167527211E-2</v>
      </c>
      <c r="BW119" s="356">
        <f>(BW121*2)/BW120</f>
        <v>6.8229425356857498E-2</v>
      </c>
      <c r="BX119" s="356">
        <f>BX121/BX120</f>
        <v>6.5182502331432052E-2</v>
      </c>
      <c r="BY119" s="356">
        <f>(BY121*2)/BY120</f>
        <v>0.10212168002418243</v>
      </c>
      <c r="BZ119" s="356">
        <f>(BZ121*2)/BZ120</f>
        <v>-5.4327400345766863E-3</v>
      </c>
      <c r="CA119" s="356">
        <f>CA121/CA120</f>
        <v>4.9368874907269523E-2</v>
      </c>
      <c r="CB119" s="372">
        <v>6.2E-2</v>
      </c>
      <c r="CC119" s="356">
        <v>5.2499999999999998E-2</v>
      </c>
      <c r="CD119" s="356">
        <f t="shared" ref="CD119:CL119" si="237">CC119</f>
        <v>5.2499999999999998E-2</v>
      </c>
      <c r="CE119" s="356">
        <f t="shared" si="237"/>
        <v>5.2499999999999998E-2</v>
      </c>
      <c r="CF119" s="356">
        <f t="shared" si="237"/>
        <v>5.2499999999999998E-2</v>
      </c>
      <c r="CG119" s="356">
        <f t="shared" si="237"/>
        <v>5.2499999999999998E-2</v>
      </c>
      <c r="CH119" s="356">
        <f t="shared" si="237"/>
        <v>5.2499999999999998E-2</v>
      </c>
      <c r="CI119" s="356">
        <f t="shared" si="237"/>
        <v>5.2499999999999998E-2</v>
      </c>
      <c r="CJ119" s="356">
        <f t="shared" si="237"/>
        <v>5.2499999999999998E-2</v>
      </c>
      <c r="CK119" s="356">
        <f t="shared" si="237"/>
        <v>5.2499999999999998E-2</v>
      </c>
      <c r="CL119" s="356">
        <f t="shared" si="237"/>
        <v>5.2499999999999998E-2</v>
      </c>
      <c r="CM119" s="356">
        <v>0.04</v>
      </c>
      <c r="CN119" s="356">
        <f>CM119</f>
        <v>0.04</v>
      </c>
      <c r="CO119" s="356">
        <v>4.3388159973042975E-2</v>
      </c>
      <c r="CP119" s="356">
        <f>CO119</f>
        <v>4.3388159973042975E-2</v>
      </c>
      <c r="CQ119" s="356">
        <v>4.7378353597937982E-2</v>
      </c>
      <c r="CR119" s="356">
        <f>CQ119</f>
        <v>4.7378353597937982E-2</v>
      </c>
      <c r="CS119" s="356">
        <v>4.8892628966061946E-2</v>
      </c>
      <c r="CT119" s="356">
        <v>4.5220560607199208E-2</v>
      </c>
      <c r="CU119" s="356">
        <f>CT119</f>
        <v>4.5220560607199208E-2</v>
      </c>
      <c r="CV119" s="356">
        <v>4.5570746954532747E-2</v>
      </c>
      <c r="CW119" s="356">
        <v>4.0297781928809805E-2</v>
      </c>
      <c r="CX119" s="356">
        <f>CW119</f>
        <v>4.0297781928809805E-2</v>
      </c>
      <c r="CY119" s="356">
        <v>3.44E-2</v>
      </c>
      <c r="CZ119" s="356">
        <f>+CY119</f>
        <v>3.44E-2</v>
      </c>
      <c r="DA119" s="356">
        <f>CZ119</f>
        <v>3.44E-2</v>
      </c>
      <c r="DB119" s="356">
        <v>4.6369284985625515E-2</v>
      </c>
      <c r="DC119" s="356">
        <v>3.8375439718580116E-2</v>
      </c>
      <c r="DD119" s="356">
        <v>2.5389497980380833E-2</v>
      </c>
      <c r="DE119" s="356">
        <f>DE127/DE120</f>
        <v>3.15821439416945E-2</v>
      </c>
      <c r="DF119" s="357">
        <f>DF121/DF120</f>
        <v>1.0594750782566819E-2</v>
      </c>
      <c r="DG119" s="356">
        <v>1.35E-2</v>
      </c>
      <c r="DH119" s="377">
        <f>+DH121/DH120</f>
        <v>1.4010007639419406E-2</v>
      </c>
      <c r="DI119" s="1380">
        <f t="shared" ref="DI119:DJ119" si="238">+DI121/DI120</f>
        <v>1.3107109816686656E-2</v>
      </c>
      <c r="DJ119" s="1380">
        <f t="shared" si="238"/>
        <v>1.9001732991014125E-2</v>
      </c>
      <c r="DK119" s="1381">
        <f t="shared" ref="DK119" si="239">+DK121/DK120</f>
        <v>2.0488685074338677E-2</v>
      </c>
      <c r="DL119" s="1380">
        <f t="shared" ref="DL119" si="240">+DL121/DL120</f>
        <v>1.7112864864864873E-2</v>
      </c>
      <c r="DM119" s="1380">
        <f t="shared" ref="DM119" si="241">+DM121/DM120</f>
        <v>2.0169478357380696E-2</v>
      </c>
      <c r="DN119" s="1381">
        <f t="shared" ref="DN119" si="242">+DN121/DN120</f>
        <v>3.8815182648401843E-2</v>
      </c>
      <c r="DO119" s="1380">
        <f t="shared" ref="DO119" si="243">+DO121/DO120</f>
        <v>3.2036829558998822E-2</v>
      </c>
      <c r="DP119" s="1380">
        <f t="shared" ref="DP119" si="244">+DP121/DP120</f>
        <v>7.075593220338984E-2</v>
      </c>
      <c r="DQ119" s="1381">
        <f t="shared" ref="DQ119" si="245">+DQ121/DQ120</f>
        <v>0.13169272300469487</v>
      </c>
      <c r="DR119" s="1358">
        <v>5.0000000000000001E-3</v>
      </c>
      <c r="DS119" s="377">
        <f t="shared" ref="DS119" si="246">DR119</f>
        <v>5.0000000000000001E-3</v>
      </c>
      <c r="DT119" s="1217">
        <f t="shared" ref="DT119" si="247">DS119</f>
        <v>5.0000000000000001E-3</v>
      </c>
      <c r="DU119" s="1358">
        <v>5.0000000000000001E-3</v>
      </c>
      <c r="DV119" s="377">
        <f t="shared" ref="DV119" si="248">DU119</f>
        <v>5.0000000000000001E-3</v>
      </c>
      <c r="DW119" s="1217">
        <f t="shared" ref="DW119" si="249">DV119</f>
        <v>5.0000000000000001E-3</v>
      </c>
      <c r="DX119" s="1358">
        <v>5.0000000000000001E-3</v>
      </c>
      <c r="DY119" s="377">
        <f t="shared" ref="DY119:EF119" si="250">DX119</f>
        <v>5.0000000000000001E-3</v>
      </c>
      <c r="DZ119" s="1217">
        <f t="shared" si="250"/>
        <v>5.0000000000000001E-3</v>
      </c>
      <c r="EA119" s="377">
        <f t="shared" si="250"/>
        <v>5.0000000000000001E-3</v>
      </c>
      <c r="EB119" s="377">
        <f t="shared" si="250"/>
        <v>5.0000000000000001E-3</v>
      </c>
      <c r="EC119" s="1217">
        <f t="shared" si="250"/>
        <v>5.0000000000000001E-3</v>
      </c>
      <c r="ED119" s="377">
        <f t="shared" si="250"/>
        <v>5.0000000000000001E-3</v>
      </c>
      <c r="EE119" s="377">
        <f t="shared" si="250"/>
        <v>5.0000000000000001E-3</v>
      </c>
      <c r="EF119" s="1217">
        <f t="shared" si="250"/>
        <v>5.0000000000000001E-3</v>
      </c>
      <c r="EG119" s="377">
        <f t="shared" ref="EG119:EL119" si="251">EF119</f>
        <v>5.0000000000000001E-3</v>
      </c>
      <c r="EH119" s="377">
        <f t="shared" si="251"/>
        <v>5.0000000000000001E-3</v>
      </c>
      <c r="EI119" s="1217">
        <f t="shared" si="251"/>
        <v>5.0000000000000001E-3</v>
      </c>
      <c r="EJ119" s="377">
        <f t="shared" si="251"/>
        <v>5.0000000000000001E-3</v>
      </c>
      <c r="EK119" s="377">
        <f t="shared" si="251"/>
        <v>5.0000000000000001E-3</v>
      </c>
      <c r="EL119" s="1217">
        <f t="shared" si="251"/>
        <v>5.0000000000000001E-3</v>
      </c>
      <c r="EM119" s="377">
        <f t="shared" ref="EM119:ER119" si="252">EL119</f>
        <v>5.0000000000000001E-3</v>
      </c>
      <c r="EN119" s="377">
        <f t="shared" si="252"/>
        <v>5.0000000000000001E-3</v>
      </c>
      <c r="EO119" s="1217">
        <f t="shared" si="252"/>
        <v>5.0000000000000001E-3</v>
      </c>
      <c r="EP119" s="377">
        <f t="shared" si="252"/>
        <v>5.0000000000000001E-3</v>
      </c>
      <c r="EQ119" s="377">
        <f t="shared" si="252"/>
        <v>5.0000000000000001E-3</v>
      </c>
      <c r="ER119" s="1217">
        <f t="shared" si="252"/>
        <v>5.0000000000000001E-3</v>
      </c>
      <c r="ES119" s="377">
        <f t="shared" ref="ES119" si="253">ER119</f>
        <v>5.0000000000000001E-3</v>
      </c>
      <c r="ET119" s="377">
        <f t="shared" ref="ET119" si="254">ES119</f>
        <v>5.0000000000000001E-3</v>
      </c>
      <c r="EU119" s="1217">
        <f t="shared" ref="EU119" si="255">ET119</f>
        <v>5.0000000000000001E-3</v>
      </c>
      <c r="EV119" s="377">
        <f t="shared" ref="EV119" si="256">EU119</f>
        <v>5.0000000000000001E-3</v>
      </c>
      <c r="EW119" s="377">
        <f t="shared" ref="EW119" si="257">EV119</f>
        <v>5.0000000000000001E-3</v>
      </c>
      <c r="EX119" s="1217">
        <f t="shared" ref="EX119" si="258">EW119</f>
        <v>5.0000000000000001E-3</v>
      </c>
      <c r="EY119" s="377">
        <f t="shared" ref="EY119" si="259">EX119</f>
        <v>5.0000000000000001E-3</v>
      </c>
      <c r="EZ119" s="377">
        <f t="shared" ref="EZ119" si="260">EY119</f>
        <v>5.0000000000000001E-3</v>
      </c>
      <c r="FA119" s="377">
        <f t="shared" ref="FA119" si="261">EZ119</f>
        <v>5.0000000000000001E-3</v>
      </c>
    </row>
    <row r="120" spans="1:157" ht="13.35" customHeight="1">
      <c r="A120" s="5"/>
      <c r="B120" s="5" t="s">
        <v>669</v>
      </c>
      <c r="C120" s="5"/>
      <c r="D120" s="378"/>
      <c r="E120" s="359"/>
      <c r="F120" s="359"/>
      <c r="G120" s="359"/>
      <c r="H120" s="359"/>
      <c r="I120" s="359"/>
      <c r="J120" s="359"/>
      <c r="K120" s="359"/>
      <c r="L120" s="359"/>
      <c r="M120" s="359"/>
      <c r="N120" s="359"/>
      <c r="O120" s="359"/>
      <c r="P120" s="359"/>
      <c r="Q120" s="359"/>
      <c r="R120" s="359"/>
      <c r="S120" s="359"/>
      <c r="T120" s="359"/>
      <c r="U120" s="359"/>
      <c r="V120" s="359"/>
      <c r="W120" s="359"/>
      <c r="X120" s="359"/>
      <c r="Y120" s="359"/>
      <c r="Z120" s="359"/>
      <c r="AA120" s="359"/>
      <c r="AB120" s="359"/>
      <c r="AC120" s="359"/>
      <c r="AD120" s="359"/>
      <c r="AE120" s="359"/>
      <c r="AF120" s="359"/>
      <c r="AG120" s="359"/>
      <c r="AH120" s="359"/>
      <c r="AI120" s="359">
        <f>IF(OR(Model!AI269&lt;&gt;"",Model!AH269&lt;&gt;"",Model!AI290&lt;&gt;"",Model!AH290&lt;&gt;""),((Model!AH269+Model!AH290)+(Model!AI290+Model!AI269))/2,"")</f>
        <v>2.6785000000000001</v>
      </c>
      <c r="AJ120" s="359">
        <f>IF(OR(Model!AJ269&lt;&gt;"",Model!AI269&lt;&gt;"",Model!AJ290&lt;&gt;"",Model!AI290&lt;&gt;""),((Model!AI269+Model!AI290)+(Model!AJ290+Model!AJ269))/2,"")</f>
        <v>3.3410000000000002</v>
      </c>
      <c r="AK120" s="359">
        <f>IF(OR(Model!AK269&lt;&gt;"",Model!AH269&lt;&gt;"",Model!AK290&lt;&gt;"",Model!AH290&lt;&gt;""),((Model!AH269+Model!AH290)+(Model!AK290+Model!AK269))/2,"")</f>
        <v>0.66249999999999998</v>
      </c>
      <c r="AL120" s="359">
        <f>IF(OR(Model!AL269&lt;&gt;"",Model!AK269&lt;&gt;"",Model!AL290&lt;&gt;"",Model!AK290&lt;&gt;""),((Model!AK269+Model!AK290)+(Model!AL290+Model!AL269))/2,"")</f>
        <v>0.72750000000000004</v>
      </c>
      <c r="AM120" s="359">
        <f>IF(OR(Model!AM269&lt;&gt;"",Model!AL269&lt;&gt;"",Model!AM290&lt;&gt;"",Model!AL290&lt;&gt;""),((Model!AL269+Model!AL290)+(Model!AM290+Model!AM269))/2,"")</f>
        <v>2.0205000000000002</v>
      </c>
      <c r="AN120" s="359">
        <f>IF(OR(Model!AN269&lt;&gt;"",Model!AK269&lt;&gt;"",Model!AN290&lt;&gt;"",Model!AK290&lt;&gt;""),((Model!AK269+Model!AK290)+(Model!AN290+Model!AN269))/2,"")</f>
        <v>2.6179999999999999</v>
      </c>
      <c r="AO120" s="359">
        <f>IF(OR(Model!AO269&lt;&gt;"",Model!AN269&lt;&gt;"",Model!AO290&lt;&gt;"",Model!AN290&lt;&gt;""),((Model!AN269+Model!AN290)+(Model!AO290+Model!AO269))/2,"")</f>
        <v>3.1930000000000001</v>
      </c>
      <c r="AP120" s="359">
        <f>IF(OR(Model!AP269&lt;&gt;"",Model!AO269&lt;&gt;"",Model!AP290&lt;&gt;"",Model!AO290&lt;&gt;""),((Model!AO269+Model!AO290)+(Model!AP290+Model!AP269))/2,"")</f>
        <v>2.3955000000000002</v>
      </c>
      <c r="AQ120" s="359">
        <f>IF(OR(Model!AQ269&lt;&gt;"",Model!AN269&lt;&gt;"",Model!AQ290&lt;&gt;"",Model!AN290&lt;&gt;""),((Model!AN269+Model!AN290)+(Model!AQ290+Model!AQ269))/2,"")</f>
        <v>3.1135000000000002</v>
      </c>
      <c r="AR120" s="359">
        <f>IF(OR(Model!AR269&lt;&gt;"",Model!AQ269&lt;&gt;"",Model!AR290&lt;&gt;"",Model!AQ290&lt;&gt;""),((Model!AQ269+Model!AQ290)+(Model!AR290+Model!AR269))/2,"")</f>
        <v>2.3159999999999998</v>
      </c>
      <c r="AS120" s="359">
        <f>IF(OR(Model!AS269&lt;&gt;"",Model!AR269&lt;&gt;"",Model!AS290&lt;&gt;"",Model!AR290&lt;&gt;""),((Model!AR269+Model!AR290)+(Model!AS290+Model!AS269))/2,"")</f>
        <v>2.5164999999999997</v>
      </c>
      <c r="AT120" s="359">
        <f>IF(OR(Model!AT269&lt;&gt;"",Model!AQ269&lt;&gt;"",Model!AT290&lt;&gt;"",Model!AQ290&lt;&gt;""),((Model!AQ269+Model!AQ290)+(Model!AT290+Model!AT269))/2,"")</f>
        <v>2.5164999999999997</v>
      </c>
      <c r="AU120" s="359">
        <f>IF(OR(Model!AU269&lt;&gt;"",Model!AT269&lt;&gt;"",Model!AU290&lt;&gt;"",Model!AT290&lt;&gt;""),((Model!AT269+Model!AT290)+(Model!AU290+Model!AU269))/2,"")</f>
        <v>2.7170000000000001</v>
      </c>
      <c r="AV120" s="359">
        <f>IF(OR(Model!AV269&lt;&gt;"",Model!AU269&lt;&gt;"",Model!AV290&lt;&gt;"",Model!AU290&lt;&gt;""),((Model!AU269+Model!AU290)+(Model!AV290+Model!AV269))/2,"")</f>
        <v>3.0895000000000001</v>
      </c>
      <c r="AW120" s="359">
        <f>IF(OR(Model!AW269&lt;&gt;"",Model!AT269&lt;&gt;"",Model!AW290&lt;&gt;"",Model!AT290&lt;&gt;""),((Model!AT269+Model!AT290)+(Model!AW290+Model!AW269))/2,"")</f>
        <v>3.0895000000000001</v>
      </c>
      <c r="AX120" s="359">
        <f>IF(OR(Model!AX269&lt;&gt;"",Model!AW269&lt;&gt;"",Model!AX290&lt;&gt;"",Model!AW290&lt;&gt;""),((Model!AW269+Model!AW290)+(Model!AX290+Model!AX269))/2,"")</f>
        <v>3.4620000000000002</v>
      </c>
      <c r="AY120" s="359">
        <f>IF(OR(Model!AY269&lt;&gt;"",Model!AX269&lt;&gt;"",Model!AY290&lt;&gt;"",Model!AX290&lt;&gt;""),((Model!AX269+Model!AX290)+(Model!AY290+Model!AY269))/2,"")</f>
        <v>2.9340000000000002</v>
      </c>
      <c r="AZ120" s="359">
        <f>IF(OR(Model!AZ269&lt;&gt;"",Model!AW269&lt;&gt;"",Model!AZ290&lt;&gt;"",Model!AW290&lt;&gt;""),((Model!AW269+Model!AW290)+(Model!AZ290+Model!AZ269))/2,"")</f>
        <v>2.9340000000000002</v>
      </c>
      <c r="BA120" s="359">
        <f>IF(OR(Model!BA269&lt;&gt;"",Model!AZ269&lt;&gt;"",Model!BA290&lt;&gt;"",Model!AZ290&lt;&gt;""),((Model!AZ269+Model!AZ290)+(Model!BA290+Model!BA269))/2,"")</f>
        <v>2.4060000000000001</v>
      </c>
      <c r="BB120" s="359">
        <f>IF(OR(Model!BB269&lt;&gt;"",Model!BA269&lt;&gt;"",Model!BB290&lt;&gt;"",Model!BA290&lt;&gt;""),((Model!BA269+Model!BA290)+(Model!BB290+Model!BB269))/2,"")</f>
        <v>6.0475000000000003</v>
      </c>
      <c r="BC120" s="359">
        <f>IF(OR(Model!BC269&lt;&gt;"",Model!AZ269&lt;&gt;"",Model!BC290&lt;&gt;"",Model!AZ290&lt;&gt;""),((Model!AZ269+Model!AZ290)+(Model!BC290+Model!BC269))/2,"")</f>
        <v>6.0475000000000003</v>
      </c>
      <c r="BD120" s="359">
        <f>IF(OR(Model!BD269&lt;&gt;"",Model!BC269&lt;&gt;"",Model!BD290&lt;&gt;"",Model!BC290&lt;&gt;""),((Model!BC269+Model!BC290)+(Model!BD290+Model!BD269))/2,"")</f>
        <v>12.3735</v>
      </c>
      <c r="BE120" s="359">
        <f>IF(OR(Model!BE269&lt;&gt;"",Model!BD269&lt;&gt;"",Model!BE290&lt;&gt;"",Model!BD290&lt;&gt;""),((Model!BD269+Model!BD290)+(Model!BE290+Model!BE269))/2,"")</f>
        <v>19.655000000000001</v>
      </c>
      <c r="BF120" s="359">
        <f>IF(OR(Model!BF269&lt;&gt;"",Model!BC269&lt;&gt;"",Model!BF290&lt;&gt;"",Model!BC290&lt;&gt;""),((Model!BC269+Model!BC290)+(Model!BF290+Model!BF269))/2,"")</f>
        <v>16.970500000000001</v>
      </c>
      <c r="BG120" s="359">
        <f>IF(OR(Model!BG269&lt;&gt;"",Model!BF269&lt;&gt;"",Model!BG290&lt;&gt;"",Model!BF290&lt;&gt;""),((Model!BF269+Model!BF290)+(Model!BG290+Model!BG269))/2,"")</f>
        <v>19.463999999999999</v>
      </c>
      <c r="BH120" s="359">
        <f>IF(OR(Model!BH269&lt;&gt;"",Model!BG269&lt;&gt;"",Model!BH290&lt;&gt;"",Model!BG290&lt;&gt;""),((Model!BG269+Model!BG290)+(Model!BH290+Model!BH269))/2,"")</f>
        <v>14.8405</v>
      </c>
      <c r="BI120" s="359">
        <f>IF(OR(Model!BI269&lt;&gt;"",Model!BF269&lt;&gt;"",Model!BI290&lt;&gt;"",Model!BF290&lt;&gt;""),((Model!BF269+Model!BF290)+(Model!BI290+Model!BI269))/2,"")</f>
        <v>19.628499999999999</v>
      </c>
      <c r="BJ120" s="359">
        <f>IF(OR(Model!BJ269&lt;&gt;"",Model!BI269&lt;&gt;"",Model!BJ290&lt;&gt;"",Model!BI290&lt;&gt;""),((Model!BI269+Model!BI290)+(Model!BJ290+Model!BJ269))/2,"")</f>
        <v>20.797499999999999</v>
      </c>
      <c r="BK120" s="359">
        <f>IF(OR(Model!BK269&lt;&gt;"",Model!BJ269&lt;&gt;"",Model!BK290&lt;&gt;"",Model!BJ290&lt;&gt;""),((Model!BJ269+Model!BJ290)+(Model!BK290+Model!BK269))/2,"")</f>
        <v>26.2285</v>
      </c>
      <c r="BL120" s="359">
        <f>IF(OR(Model!BL269&lt;&gt;"",Model!BI269&lt;&gt;"",Model!BL290&lt;&gt;"",Model!BI290&lt;&gt;""),((Model!BI269+Model!BI290)+(Model!BL290+Model!BL269))/2,"")</f>
        <v>20.436</v>
      </c>
      <c r="BM120" s="359">
        <f>IF(OR(Model!BM269&lt;&gt;"",Model!BL269&lt;&gt;"",Model!BM290&lt;&gt;"",Model!BL290&lt;&gt;""),((Model!BL269+Model!BL290)+(Model!BM290+Model!BM269))/2,"")</f>
        <v>27.154</v>
      </c>
      <c r="BN120" s="359">
        <f>IF(OR(Model!BN269&lt;&gt;"",Model!BM269&lt;&gt;"",Model!BN290&lt;&gt;"",Model!BM290&lt;&gt;""),((Model!BM269+Model!BM290)+(Model!BN290+Model!BN269))/2,"")</f>
        <v>115.7495</v>
      </c>
      <c r="BO120" s="359">
        <f>IF(OR(Model!BO269&lt;&gt;"",Model!BL269&lt;&gt;"",Model!BO290&lt;&gt;"",Model!BL290&lt;&gt;""),((Model!BL269+Model!BL290)+(Model!BO290+Model!BO269))/2,"")</f>
        <v>114.46249999999999</v>
      </c>
      <c r="BP120" s="359">
        <f>IF(OR(Model!BP269&lt;&gt;"",Model!BO269&lt;&gt;"",Model!BP290&lt;&gt;"",Model!BO290&lt;&gt;""),((Model!BO269+Model!BO290)+(Model!BP290+Model!BP269))/2,"")</f>
        <v>198.98650000000001</v>
      </c>
      <c r="BQ120" s="359">
        <f>IF(OR(Model!BQ269&lt;&gt;"",Model!BP269&lt;&gt;"",Model!BQ290&lt;&gt;"",Model!BP290&lt;&gt;""),((Model!BP269+Model!BP290)+(Model!BQ290+Model!BQ269))/2,"")</f>
        <v>195.47750000000002</v>
      </c>
      <c r="BR120" s="359">
        <f>IF(OR(Model!BR269&lt;&gt;"",Model!BO269&lt;&gt;"",Model!BR290&lt;&gt;"",Model!BO290&lt;&gt;""),((Model!BO269+Model!BO290)+(Model!BR290+Model!BR269))/2,"")</f>
        <v>199.54899999999998</v>
      </c>
      <c r="BS120" s="359">
        <f>IF(OR(Model!BS269&lt;&gt;"",Model!BR269&lt;&gt;"",Model!BS290&lt;&gt;"",Model!BR290&lt;&gt;""),((Model!BR269+Model!BR290)+(Model!BS290+Model!BS269))/2,"")</f>
        <v>198.63799999999998</v>
      </c>
      <c r="BT120" s="359">
        <f>IF(OR(Model!BT269&lt;&gt;"",Model!BS269&lt;&gt;"",Model!BT290&lt;&gt;"",Model!BS290&lt;&gt;""),((Model!BS269+Model!BS290)+(Model!BT290+Model!BT269))/2,"")</f>
        <v>200.0625</v>
      </c>
      <c r="BU120" s="359">
        <f>IF(OR(Model!BU269&lt;&gt;"",Model!BR269&lt;&gt;"",Model!BU290&lt;&gt;"",Model!BR290&lt;&gt;""),((Model!BR269+Model!BR290)+(Model!BU290+Model!BU269))/2,"")</f>
        <v>197.46449999999999</v>
      </c>
      <c r="BV120" s="359">
        <f>IF(OR(Model!BV269&lt;&gt;"",Model!BU269&lt;&gt;"",Model!BV290&lt;&gt;"",Model!BU290&lt;&gt;""),((Model!BU269+Model!BU290)+(Model!BV290+Model!BV269))/2,"")</f>
        <v>199.68099999999998</v>
      </c>
      <c r="BW120" s="359">
        <f>IF(OR(Model!BW269&lt;&gt;"",Model!BV269&lt;&gt;"",Model!BW290&lt;&gt;"",Model!BV290&lt;&gt;""),((Model!BV269+Model!BV290)+(Model!BW290+Model!BW269))/2,"")</f>
        <v>185.22799999999998</v>
      </c>
      <c r="BX120" s="359">
        <f>IF(OR(Model!BX269&lt;&gt;"",Model!BU269&lt;&gt;"",Model!BX290&lt;&gt;"",Model!BU290&lt;&gt;""),((Model!BU269+Model!BU290)+(Model!BX290+Model!BX269))/2,"")</f>
        <v>184.43599999999998</v>
      </c>
      <c r="BY120" s="359">
        <f>IF(OR(Model!BY269&lt;&gt;"",Model!BX269&lt;&gt;"",Model!BY290&lt;&gt;"",Model!BX290&lt;&gt;""),((Model!BX269+Model!BX290)+(Model!BY290+Model!BY269))/2,"")</f>
        <v>183.60449999999997</v>
      </c>
      <c r="BZ120" s="359">
        <f>IF(OR(Model!BZ269&lt;&gt;"",Model!BY269&lt;&gt;"",Model!BZ290&lt;&gt;"",Model!BY290&lt;&gt;""),((Model!BY269+Model!BY290)+(Model!BZ290+Model!BZ269))/2,"")</f>
        <v>192.90449999999998</v>
      </c>
      <c r="CA120" s="359">
        <f>IF(OR(Model!CA269&lt;&gt;"",Model!BX269&lt;&gt;"",Model!CA290&lt;&gt;"",Model!BX290&lt;&gt;""),((Model!BX269+Model!BX290)+(Model!CA290+Model!CA269))/2,"")</f>
        <v>179.28299999999999</v>
      </c>
      <c r="CB120" s="359">
        <f>IF(OR(Model!CB269&lt;&gt;"",Model!CA269&lt;&gt;"",Model!CB290&lt;&gt;"",Model!CA290&lt;&gt;""),((Model!CA269+Model!CA290)+(Model!CB290+Model!CB269))/2,"")</f>
        <v>165.56450000000001</v>
      </c>
      <c r="CC120" s="359">
        <f>IF(OR(Model!CC269&lt;&gt;"",Model!CB269&lt;&gt;"",Model!CC290&lt;&gt;"",Model!CB290&lt;&gt;""),((Model!CB269+Model!CB290)+(Model!CC290+Model!CC269))/2,"")</f>
        <v>149.6455</v>
      </c>
      <c r="CD120" s="359">
        <f>IF(OR(Model!CD269&lt;&gt;"",Model!CA269&lt;&gt;"",Model!CD290&lt;&gt;"",Model!CA290&lt;&gt;""),((Model!CA269+Model!CA290)+(Model!CD290+Model!CD269))/2,"")</f>
        <v>172.66399999999999</v>
      </c>
      <c r="CE120" s="359">
        <f>IF(OR(Model!CE269&lt;&gt;"",Model!CD269&lt;&gt;"",Model!CE290&lt;&gt;"",Model!CD290&lt;&gt;""),((Model!CD269+Model!CD290)+(Model!CE290+Model!CE269))/2,"")</f>
        <v>118.84050000000001</v>
      </c>
      <c r="CF120" s="359">
        <f>IF(OR(Model!CF269&lt;&gt;"",Model!CE269&lt;&gt;"",Model!CF290&lt;&gt;"",Model!CE290&lt;&gt;""),((Model!CE269+Model!CE290)+(Model!CF290+Model!CF269))/2,"")</f>
        <v>71.988</v>
      </c>
      <c r="CG120" s="359">
        <f>IF(OR(Model!CG269&lt;&gt;"",Model!CD269&lt;&gt;"",Model!CG290&lt;&gt;"",Model!CD290&lt;&gt;""),((Model!CD269+Model!CD290)+(Model!CG290+Model!CG269))/2,"")</f>
        <v>109.8925</v>
      </c>
      <c r="CH120" s="359">
        <f>IF(OR(Model!CH269&lt;&gt;"",Model!CG269&lt;&gt;"",Model!CH290&lt;&gt;"",Model!CG290&lt;&gt;""),((Model!CG269+Model!CG290)+(Model!CH290+Model!CH269))/2,"")</f>
        <v>73.259</v>
      </c>
      <c r="CI120" s="359">
        <f>IF(OR(Model!CI269&lt;&gt;"",Model!CH269&lt;&gt;"",Model!CI290&lt;&gt;"",Model!CH290&lt;&gt;""),((Model!CH269+Model!CH290)+(Model!CI290+Model!CI269))/2,"")</f>
        <v>74.575000000000003</v>
      </c>
      <c r="CJ120" s="359">
        <f>IF(OR(Model!CJ269&lt;&gt;"",Model!CG269&lt;&gt;"",Model!CJ290&lt;&gt;"",Model!CG290&lt;&gt;""),((Model!CG269+Model!CG290)+(Model!CJ290+Model!CJ269))/2,"")</f>
        <v>64.355999999999995</v>
      </c>
      <c r="CK120" s="359">
        <f>IF(OR(Model!CK269&lt;&gt;"",Model!CJ269&lt;&gt;"",Model!CK290&lt;&gt;"",Model!CJ290&lt;&gt;""),((Model!CJ269+Model!CJ290)+(Model!CK290+Model!CK269))/2,"")</f>
        <v>103.99550000000001</v>
      </c>
      <c r="CL120" s="359">
        <f>IF(OR(Model!CL269&lt;&gt;"",Model!CK269&lt;&gt;"",Model!CL290&lt;&gt;"",Model!CK290&lt;&gt;""),((Model!CK269+Model!CK290)+(Model!CL290+Model!CL269))/2,"")</f>
        <v>156.39400000000001</v>
      </c>
      <c r="CM120" s="359">
        <f>IF(OR(Model!CM269&lt;&gt;"",Model!CJ269&lt;&gt;"",Model!CM290&lt;&gt;"",Model!CJ290&lt;&gt;""),((Model!CJ269+Model!CJ290)+(Model!CM290+Model!CM269))/2,"")</f>
        <v>118.0705</v>
      </c>
      <c r="CN120" s="359">
        <f>IF(OR(Model!CN269&lt;&gt;"",Model!CM269&lt;&gt;"",Model!CN290&lt;&gt;"",Model!CM290&lt;&gt;""),((Model!CM269+Model!CM290)+(Model!CN290+Model!CN269))/2,"")</f>
        <v>198.39499999999998</v>
      </c>
      <c r="CO120" s="359">
        <f>IF(OR(Model!CO269&lt;&gt;"",Model!CN269&lt;&gt;"",Model!CO290&lt;&gt;"",Model!CN290&lt;&gt;""),((Model!CN269+Model!CN290)+(Model!CO290+Model!CO269))/2,"")</f>
        <v>231.86799999999999</v>
      </c>
      <c r="CP120" s="359">
        <f>IF(OR(Model!CP269&lt;&gt;"",Model!CM269&lt;&gt;"",Model!CP290&lt;&gt;"",Model!CM290&lt;&gt;""),((Model!CM269+Model!CM290)+(Model!CP290+Model!CP269))/2,"")</f>
        <v>203.94200000000001</v>
      </c>
      <c r="CQ120" s="359">
        <f>IF(OR(Model!CQ269&lt;&gt;"",Model!CP269&lt;&gt;"",Model!CQ290&lt;&gt;"",Model!CP290&lt;&gt;""),((Model!CP269+Model!CP290)+(Model!CQ290+Model!CQ269))/2,"")</f>
        <v>233.94650000000001</v>
      </c>
      <c r="CR120" s="359">
        <f>IF(OR(Model!CR269&lt;&gt;"",Model!CQ269&lt;&gt;"",Model!CR290&lt;&gt;"",Model!CQ290&lt;&gt;""),((Model!CQ269+Model!CQ290)+(Model!CR290+Model!CR269))/2,"")</f>
        <v>221.59449999999998</v>
      </c>
      <c r="CS120" s="359">
        <f>IF(OR(Model!CS269&lt;&gt;"",Model!CP269&lt;&gt;"",Model!CS290&lt;&gt;"",Model!CP290&lt;&gt;""),((Model!CP269+Model!CP290)+(Model!CS290+Model!CS269))/2,"")</f>
        <v>225.06299999999999</v>
      </c>
      <c r="CT120" s="359">
        <f>IF(OR(Model!CT269&lt;&gt;"",Model!CS269&lt;&gt;"",Model!CT290&lt;&gt;"",Model!CS290&lt;&gt;""),((Model!CS269+Model!CS290)+(Model!CT290+Model!CT269))/2,"")</f>
        <v>212.91199999999998</v>
      </c>
      <c r="CU120" s="359">
        <f>IF(OR(Model!CU269&lt;&gt;"",Model!CT269&lt;&gt;"",Model!CU290&lt;&gt;"",Model!CT290&lt;&gt;""),((Model!CT269+Model!CT290)+(Model!CU290+Model!CU269))/2,"")</f>
        <v>203.1755</v>
      </c>
      <c r="CV120" s="359">
        <f>IF(OR(Model!CV269&lt;&gt;"",Model!CS269&lt;&gt;"",Model!CV290&lt;&gt;"",Model!CS290&lt;&gt;""),((Model!CS269+Model!CS290)+(Model!CV290+Model!CV269))/2,"")</f>
        <v>202.97449999999998</v>
      </c>
      <c r="CW120" s="359">
        <f>IF(OR(Model!CW269&lt;&gt;"",Model!CV269&lt;&gt;"",Model!CW290&lt;&gt;"",Model!CV290&lt;&gt;""),((Model!CV269+Model!CV290)+(Model!CW290+Model!CW269))/2,"")</f>
        <v>183.08699999999999</v>
      </c>
      <c r="CX120" s="359">
        <f>IF(OR(Model!CX269&lt;&gt;"",Model!CW269&lt;&gt;"",Model!CX290&lt;&gt;"",Model!CW290&lt;&gt;""),((Model!CW269+Model!CW290)+(Model!CX290+Model!CX269))/2,"")</f>
        <v>195.929</v>
      </c>
      <c r="CY120" s="359">
        <f>IF(OR(Model!CY269&lt;&gt;"",Model!CV269&lt;&gt;"",Model!CY290&lt;&gt;"",Model!CV290&lt;&gt;""),((Model!CV269+Model!CV290)+(Model!CY290+Model!CY269))/2,"")</f>
        <v>206.08</v>
      </c>
      <c r="CZ120" s="359">
        <f>IF(OR(Model!CZ269&lt;&gt;"",Model!CY269&lt;&gt;"",Model!CZ290&lt;&gt;"",Model!CY290&lt;&gt;""),((Model!CY269+Model!CY290)+(Model!CZ290+Model!CZ269))/2,"")</f>
        <v>231.46100000000001</v>
      </c>
      <c r="DA120" s="359">
        <f>IF(OR(Model!DA269&lt;&gt;"",Model!CZ269&lt;&gt;"",Model!DA290&lt;&gt;"",Model!CZ290&lt;&gt;""),((Model!CZ269+Model!CZ290)+(Model!DA290+Model!DA269))/2,"")</f>
        <v>195.85</v>
      </c>
      <c r="DB120" s="359">
        <f>IF(OR(Model!DB269&lt;&gt;"",Model!CY269&lt;&gt;"",Model!DB290&lt;&gt;"",Model!CY290&lt;&gt;""),((Model!CY269+Model!CY290)+(Model!DB290+Model!DB269))/2,"")</f>
        <v>183.31100000000001</v>
      </c>
      <c r="DC120" s="359">
        <f>IF(OR(Model!DC269&lt;&gt;"",Model!DB269&lt;&gt;"",Model!DC290&lt;&gt;"",Model!DB290&lt;&gt;""),((Model!DB269+Model!DB290)+(Model!DC290+Model!DC269))/2,"")</f>
        <v>156.35</v>
      </c>
      <c r="DD120" s="359">
        <f>IF(OR(Model!DD269&lt;&gt;"",Model!DC269&lt;&gt;"",Model!DD290&lt;&gt;"",Model!DC290&lt;&gt;""),((Model!DC269+Model!DC290)+(Model!DD290+Model!DD269))/2,"")</f>
        <v>173.3</v>
      </c>
      <c r="DE120" s="359">
        <f>IF(OR(Model!DE269&lt;&gt;"",Model!DB269&lt;&gt;"",Model!DE290&lt;&gt;"",Model!DB290&lt;&gt;""),((Model!DB269+Model!DB290)+(Model!DE290+Model!DE269))/2,"")</f>
        <v>164.65</v>
      </c>
      <c r="DF120" s="359">
        <f>IF(OR(Model!DF269&lt;&gt;"",Model!DE269&lt;&gt;"",Model!DF290&lt;&gt;"",Model!DE290&lt;&gt;""),((Model!DE269+Model!DE290)+(Model!DF290+Model!DF269))/2,"")</f>
        <v>207.65000000000003</v>
      </c>
      <c r="DG120" s="359">
        <f>IF(OR(Model!DG269&lt;&gt;"",Model!DF269&lt;&gt;"",Model!DG290&lt;&gt;"",Model!DF290&lt;&gt;""),((Model!DF269+Model!DF290)+(Model!DG290+Model!DG269))/2,"")</f>
        <v>353.3</v>
      </c>
      <c r="DH120" s="379">
        <f>IF(OR(Model!DH269&lt;&gt;"",Model!DE269&lt;&gt;"",Model!DH290&lt;&gt;"",Model!DE290&lt;&gt;""),((Model!DE269+Model!DE290)+(Model!DH290+Model!DH269))/2,"")</f>
        <v>327.25</v>
      </c>
      <c r="DI120" s="379">
        <f>IF(OR(Model!DI269&lt;&gt;"",Model!DH269&lt;&gt;"",Model!DI290&lt;&gt;"",Model!DH290&lt;&gt;""),((Model!DH269+Model!DH290)+(Model!DI290+Model!DI269))/2,"")</f>
        <v>291.84999999999997</v>
      </c>
      <c r="DJ120" s="379">
        <f>IF(OR(Model!DJ269&lt;&gt;"",Model!DI269&lt;&gt;"",Model!DJ290&lt;&gt;"",Model!DI290&lt;&gt;""),((Model!DI269+Model!DI290)+(Model!DJ290+Model!DJ269))/2,"")</f>
        <v>77.900000000000006</v>
      </c>
      <c r="DK120" s="1218">
        <f>IF(OR(Model!DK269&lt;&gt;"",Model!DH269&lt;&gt;"",Model!DK290&lt;&gt;"",Model!DH290&lt;&gt;""),((Model!DH269+Model!DH290)+(Model!DK290+Model!DK269))/2,"")</f>
        <v>258.95</v>
      </c>
      <c r="DL120" s="379">
        <f>IF(OR(Model!DL269&lt;&gt;"",Model!DK269&lt;&gt;"",Model!DL290&lt;&gt;"",Model!DK290&lt;&gt;""),((Model!DK269+Model!DK290)+(Model!DL290+Model!DL269))/2,"")</f>
        <v>46.25</v>
      </c>
      <c r="DM120" s="379">
        <f>IF(OR(Model!DM269&lt;&gt;"",Model!DL269&lt;&gt;"",Model!DM290&lt;&gt;"",Model!DL290&lt;&gt;""),((Model!DL269+Model!DL290)+(Model!DM290+Model!DM269))/2,"")</f>
        <v>45.05</v>
      </c>
      <c r="DN120" s="1218">
        <f>IF(OR(Model!DN269&lt;&gt;"",Model!DK269&lt;&gt;"",Model!DN290&lt;&gt;"",Model!DK290&lt;&gt;""),((Model!DK269+Model!DK290)+(Model!DN290+Model!DN269))/2,"")</f>
        <v>43.8</v>
      </c>
      <c r="DO120" s="379">
        <f>IF(OR(Model!DO269&lt;&gt;"",Model!DN269&lt;&gt;"",Model!DO290&lt;&gt;"",Model!DN290&lt;&gt;""),((Model!DN269+Model!DN290)+(Model!DO290+Model!DO269))/2,"")</f>
        <v>41.95</v>
      </c>
      <c r="DP120" s="379">
        <f>IF(OR(Model!DP269&lt;&gt;"",Model!DO269&lt;&gt;"",Model!DP290&lt;&gt;"",Model!DO290&lt;&gt;""),((Model!DO269+Model!DO290)+(Model!DP290+Model!DP269))/2,"")</f>
        <v>20.65</v>
      </c>
      <c r="DQ120" s="1218">
        <f>IF(OR(Model!DQ269&lt;&gt;"",Model!DN269&lt;&gt;"",Model!DQ290&lt;&gt;"",Model!DN290&lt;&gt;""),((Model!DN269+Model!DN290)+(Model!DQ290+Model!DQ269))/2,"")</f>
        <v>21.3</v>
      </c>
      <c r="DR120" s="379">
        <f>IF(OR(Model!DR269&lt;&gt;"",Model!DQ269&lt;&gt;"",Model!DR290&lt;&gt;"",Model!DQ290&lt;&gt;""),((Model!DQ269+Model!DQ290)+(Model!DR290+Model!DR269))/2,"")</f>
        <v>0</v>
      </c>
      <c r="DS120" s="379">
        <f>IF(OR(Model!DS269&lt;&gt;"",Model!DR269&lt;&gt;"",Model!DS290&lt;&gt;"",Model!DR290&lt;&gt;""),((Model!DR269+Model!DR290)+(Model!DS290+Model!DS269))/2,"")</f>
        <v>0</v>
      </c>
      <c r="DT120" s="1218">
        <f>IF(OR(Model!DT269&lt;&gt;"",Model!DQ269&lt;&gt;"",Model!DT290&lt;&gt;"",Model!DQ290&lt;&gt;""),((Model!DQ269+Model!DQ290)+(Model!DT290+Model!DT269))/2,"")</f>
        <v>0</v>
      </c>
      <c r="DU120" s="379">
        <f>IF(OR(Model!DU269&lt;&gt;"",Model!DT269&lt;&gt;"",Model!DU290&lt;&gt;"",Model!DT290&lt;&gt;""),((Model!DT269+Model!DT290)+(Model!DU290+Model!DU269))/2,"")</f>
        <v>0</v>
      </c>
      <c r="DV120" s="379">
        <f>IF(OR(Model!DV269&lt;&gt;"",Model!DU269&lt;&gt;"",Model!DV290&lt;&gt;"",Model!DU290&lt;&gt;""),((Model!DU269+Model!DU290)+(Model!DV290+Model!DV269))/2,"")</f>
        <v>0</v>
      </c>
      <c r="DW120" s="1218">
        <f>IF(OR(Model!DW269&lt;&gt;"",Model!DT269&lt;&gt;"",Model!DW290&lt;&gt;"",Model!DT290&lt;&gt;""),((Model!DT269+Model!DT290)+(Model!DW290+Model!DW269))/2,"")</f>
        <v>0</v>
      </c>
      <c r="DX120" s="379">
        <f>IF(OR(Model!DX269&lt;&gt;"",Model!DW269&lt;&gt;"",Model!DX290&lt;&gt;"",Model!DW290&lt;&gt;""),((Model!DW269+Model!DW290)+(Model!DX290+Model!DX269))/2,"")</f>
        <v>0</v>
      </c>
      <c r="DY120" s="379">
        <f>IF(OR(Model!DY269&lt;&gt;"",Model!DX269&lt;&gt;"",Model!DY290&lt;&gt;"",Model!DX290&lt;&gt;""),((Model!DX269+Model!DX290)+(Model!DY290+Model!DY269))/2,"")</f>
        <v>0</v>
      </c>
      <c r="DZ120" s="1218">
        <f>IF(OR(Model!DZ269&lt;&gt;"",Model!DW269&lt;&gt;"",Model!DZ290&lt;&gt;"",Model!DW290&lt;&gt;""),((Model!DW269+Model!DW290)+(Model!DZ290+Model!DZ269))/2,"")</f>
        <v>0</v>
      </c>
      <c r="EA120" s="379">
        <f>IF(OR(Model!EA269&lt;&gt;"",Model!DZ269&lt;&gt;"",Model!EA290&lt;&gt;"",Model!DZ290&lt;&gt;""),((Model!DZ269+Model!DZ290)+(Model!EA290+Model!EA269))/2,"")</f>
        <v>0</v>
      </c>
      <c r="EB120" s="379">
        <f>IF(OR(Model!EB269&lt;&gt;"",Model!EA269&lt;&gt;"",Model!EB290&lt;&gt;"",Model!EA290&lt;&gt;""),((Model!EA269+Model!EA290)+(Model!EB290+Model!EB269))/2,"")</f>
        <v>0</v>
      </c>
      <c r="EC120" s="1218">
        <f>IF(OR(Model!EC269&lt;&gt;"",Model!DZ269&lt;&gt;"",Model!EC290&lt;&gt;"",Model!DZ290&lt;&gt;""),((Model!DZ269+Model!DZ290)+(Model!EC290+Model!EC269))/2,"")</f>
        <v>0</v>
      </c>
      <c r="ED120" s="379">
        <f>IF(OR(Model!ED269&lt;&gt;"",Model!EC269&lt;&gt;"",Model!ED290&lt;&gt;"",Model!EC290&lt;&gt;""),((Model!EC269+Model!EC290)+(Model!ED290+Model!ED269))/2,"")</f>
        <v>0</v>
      </c>
      <c r="EE120" s="379">
        <f>IF(OR(Model!EE269&lt;&gt;"",Model!ED269&lt;&gt;"",Model!EE290&lt;&gt;"",Model!ED290&lt;&gt;""),((Model!ED269+Model!ED290)+(Model!EE290+Model!EE269))/2,"")</f>
        <v>0</v>
      </c>
      <c r="EF120" s="1218">
        <f>IF(OR(Model!EF269&lt;&gt;"",Model!EC269&lt;&gt;"",Model!EF290&lt;&gt;"",Model!EC290&lt;&gt;""),((Model!EC269+Model!EC290)+(Model!EF290+Model!EF269))/2,"")</f>
        <v>0</v>
      </c>
      <c r="EG120" s="379">
        <f>IF(OR(Model!EG269&lt;&gt;"",Model!EF269&lt;&gt;"",Model!EG290&lt;&gt;"",Model!EF290&lt;&gt;""),((Model!EF269+Model!EF290)+(Model!EG290+Model!EG269))/2,"")</f>
        <v>0</v>
      </c>
      <c r="EH120" s="379">
        <f>IF(OR(Model!EH269&lt;&gt;"",Model!EG269&lt;&gt;"",Model!EH290&lt;&gt;"",Model!EG290&lt;&gt;""),((Model!EG269+Model!EG290)+(Model!EH290+Model!EH269))/2,"")</f>
        <v>0</v>
      </c>
      <c r="EI120" s="1218">
        <f>IF(OR(Model!EI269&lt;&gt;"",Model!EF269&lt;&gt;"",Model!EI290&lt;&gt;"",Model!EF290&lt;&gt;""),((Model!EF269+Model!EF290)+(Model!EI290+Model!EI269))/2,"")</f>
        <v>0</v>
      </c>
      <c r="EJ120" s="379">
        <f>IF(OR(Model!EJ269&lt;&gt;"",Model!EI269&lt;&gt;"",Model!EJ290&lt;&gt;"",Model!EI290&lt;&gt;""),((Model!EI269+Model!EI290)+(Model!EJ290+Model!EJ269))/2,"")</f>
        <v>0</v>
      </c>
      <c r="EK120" s="379">
        <f>IF(OR(Model!EK269&lt;&gt;"",Model!EJ269&lt;&gt;"",Model!EK290&lt;&gt;"",Model!EJ290&lt;&gt;""),((Model!EJ269+Model!EJ290)+(Model!EK290+Model!EK269))/2,"")</f>
        <v>0</v>
      </c>
      <c r="EL120" s="1218">
        <f>IF(OR(Model!EL269&lt;&gt;"",Model!EI269&lt;&gt;"",Model!EL290&lt;&gt;"",Model!EI290&lt;&gt;""),((Model!EI269+Model!EI290)+(Model!EL290+Model!EL269))/2,"")</f>
        <v>0</v>
      </c>
      <c r="EM120" s="379">
        <f>IF(OR(Model!EM269&lt;&gt;"",Model!EL269&lt;&gt;"",Model!EM290&lt;&gt;"",Model!EL290&lt;&gt;""),((Model!EL269+Model!EL290)+(Model!EM290+Model!EM269))/2,"")</f>
        <v>0</v>
      </c>
      <c r="EN120" s="379">
        <f>IF(OR(Model!EN269&lt;&gt;"",Model!EM269&lt;&gt;"",Model!EN290&lt;&gt;"",Model!EM290&lt;&gt;""),((Model!EM269+Model!EM290)+(Model!EN290+Model!EN269))/2,"")</f>
        <v>0</v>
      </c>
      <c r="EO120" s="1218">
        <f>IF(OR(Model!EO269&lt;&gt;"",Model!EL269&lt;&gt;"",Model!EO290&lt;&gt;"",Model!EL290&lt;&gt;""),((Model!EL269+Model!EL290)+(Model!EO290+Model!EO269))/2,"")</f>
        <v>0</v>
      </c>
      <c r="EP120" s="379">
        <f>IF(OR(Model!EP269&lt;&gt;"",Model!EO269&lt;&gt;"",Model!EP290&lt;&gt;"",Model!EO290&lt;&gt;""),((Model!EO269+Model!EO290)+(Model!EP290+Model!EP269))/2,"")</f>
        <v>0</v>
      </c>
      <c r="EQ120" s="379">
        <f>IF(OR(Model!EQ269&lt;&gt;"",Model!EP269&lt;&gt;"",Model!EQ290&lt;&gt;"",Model!EP290&lt;&gt;""),((Model!EP269+Model!EP290)+(Model!EQ290+Model!EQ269))/2,"")</f>
        <v>0</v>
      </c>
      <c r="ER120" s="1218">
        <f>IF(OR(Model!ER269&lt;&gt;"",Model!EO269&lt;&gt;"",Model!ER290&lt;&gt;"",Model!EO290&lt;&gt;""),((Model!EO269+Model!EO290)+(Model!ER290+Model!ER269))/2,"")</f>
        <v>0</v>
      </c>
      <c r="ES120" s="379">
        <f>IF(OR(Model!ES269&lt;&gt;"",Model!ER269&lt;&gt;"",Model!ES290&lt;&gt;"",Model!ER290&lt;&gt;""),((Model!ER269+Model!ER290)+(Model!ES290+Model!ES269))/2,"")</f>
        <v>0</v>
      </c>
      <c r="ET120" s="379">
        <f>IF(OR(Model!ET269&lt;&gt;"",Model!ES269&lt;&gt;"",Model!ET290&lt;&gt;"",Model!ES290&lt;&gt;""),((Model!ES269+Model!ES290)+(Model!ET290+Model!ET269))/2,"")</f>
        <v>0</v>
      </c>
      <c r="EU120" s="1218">
        <f>IF(OR(Model!EU269&lt;&gt;"",Model!ER269&lt;&gt;"",Model!EU290&lt;&gt;"",Model!ER290&lt;&gt;""),((Model!ER269+Model!ER290)+(Model!EU290+Model!EU269))/2,"")</f>
        <v>0</v>
      </c>
      <c r="EV120" s="379">
        <f>IF(OR(Model!EV269&lt;&gt;"",Model!EU269&lt;&gt;"",Model!EV290&lt;&gt;"",Model!EU290&lt;&gt;""),((Model!EU269+Model!EU290)+(Model!EV290+Model!EV269))/2,"")</f>
        <v>0</v>
      </c>
      <c r="EW120" s="379">
        <f>IF(OR(Model!EW269&lt;&gt;"",Model!EV269&lt;&gt;"",Model!EW290&lt;&gt;"",Model!EV290&lt;&gt;""),((Model!EV269+Model!EV290)+(Model!EW290+Model!EW269))/2,"")</f>
        <v>0</v>
      </c>
      <c r="EX120" s="1218">
        <f>IF(OR(Model!EX269&lt;&gt;"",Model!EU269&lt;&gt;"",Model!EX290&lt;&gt;"",Model!EU290&lt;&gt;""),((Model!EU269+Model!EU290)+(Model!EX290+Model!EX269))/2,"")</f>
        <v>0</v>
      </c>
      <c r="EY120" s="379">
        <f>IF(OR(Model!EY269&lt;&gt;"",Model!EX269&lt;&gt;"",Model!EY290&lt;&gt;"",Model!EX290&lt;&gt;""),((Model!EX269+Model!EX290)+(Model!EY290+Model!EY269))/2,"")</f>
        <v>0</v>
      </c>
      <c r="EZ120" s="379">
        <f>IF(OR(Model!EZ269&lt;&gt;"",Model!EY269&lt;&gt;"",Model!EZ290&lt;&gt;"",Model!EY290&lt;&gt;""),((Model!EY269+Model!EY290)+(Model!EZ290+Model!EZ269))/2,"")</f>
        <v>0</v>
      </c>
      <c r="FA120" s="379">
        <f>IF(OR(Model!FA269&lt;&gt;"",Model!EX269&lt;&gt;"",Model!FA290&lt;&gt;"",Model!EX290&lt;&gt;""),((Model!EX269+Model!EX290)+(Model!FA290+Model!FA269))/2,"")</f>
        <v>0</v>
      </c>
    </row>
    <row r="121" spans="1:157" ht="13.35" customHeight="1">
      <c r="A121" s="5"/>
      <c r="B121" s="5" t="s">
        <v>346</v>
      </c>
      <c r="C121" s="5"/>
      <c r="D121" s="378"/>
      <c r="E121" s="361" t="str">
        <f>IF(Model!E76&lt;&gt;"",Model!E76,"")</f>
        <v/>
      </c>
      <c r="F121" s="361" t="s">
        <v>1016</v>
      </c>
      <c r="G121" s="361" t="s">
        <v>1016</v>
      </c>
      <c r="H121" s="361" t="s">
        <v>1016</v>
      </c>
      <c r="I121" s="361" t="s">
        <v>1016</v>
      </c>
      <c r="J121" s="361" t="s">
        <v>1016</v>
      </c>
      <c r="K121" s="361" t="s">
        <v>1016</v>
      </c>
      <c r="L121" s="361" t="s">
        <v>1016</v>
      </c>
      <c r="M121" s="361" t="s">
        <v>1016</v>
      </c>
      <c r="N121" s="361" t="s">
        <v>1016</v>
      </c>
      <c r="O121" s="361" t="s">
        <v>1016</v>
      </c>
      <c r="P121" s="361" t="s">
        <v>1016</v>
      </c>
      <c r="Q121" s="361" t="s">
        <v>1016</v>
      </c>
      <c r="R121" s="361" t="s">
        <v>1016</v>
      </c>
      <c r="S121" s="361" t="s">
        <v>1016</v>
      </c>
      <c r="T121" s="361" t="s">
        <v>1016</v>
      </c>
      <c r="U121" s="361" t="s">
        <v>1016</v>
      </c>
      <c r="V121" s="361" t="s">
        <v>1016</v>
      </c>
      <c r="W121" s="361" t="s">
        <v>1016</v>
      </c>
      <c r="X121" s="361" t="s">
        <v>1016</v>
      </c>
      <c r="Y121" s="361" t="s">
        <v>1016</v>
      </c>
      <c r="Z121" s="361" t="s">
        <v>1016</v>
      </c>
      <c r="AA121" s="361" t="s">
        <v>1016</v>
      </c>
      <c r="AB121" s="361" t="s">
        <v>1016</v>
      </c>
      <c r="AC121" s="361" t="s">
        <v>1016</v>
      </c>
      <c r="AD121" s="361" t="s">
        <v>1016</v>
      </c>
      <c r="AE121" s="361" t="s">
        <v>1016</v>
      </c>
      <c r="AF121" s="361" t="s">
        <v>1016</v>
      </c>
      <c r="AG121" s="361" t="s">
        <v>1016</v>
      </c>
      <c r="AH121" s="361" t="s">
        <v>1016</v>
      </c>
      <c r="AI121" s="361">
        <v>1.6E-2</v>
      </c>
      <c r="AJ121" s="361">
        <v>0</v>
      </c>
      <c r="AK121" s="361">
        <v>1.6E-2</v>
      </c>
      <c r="AL121" s="361">
        <v>4.1000000000000002E-2</v>
      </c>
      <c r="AM121" s="361">
        <v>3.5999999999999997E-2</v>
      </c>
      <c r="AN121" s="361">
        <v>7.6999999999999999E-2</v>
      </c>
      <c r="AO121" s="361">
        <v>0.06</v>
      </c>
      <c r="AP121" s="361">
        <v>5.8999999999999997E-2</v>
      </c>
      <c r="AQ121" s="361">
        <v>0.11899999999999999</v>
      </c>
      <c r="AR121" s="361">
        <v>4.2999999999999997E-2</v>
      </c>
      <c r="AS121" s="361">
        <v>0.05</v>
      </c>
      <c r="AT121" s="361">
        <v>9.2999999999999999E-2</v>
      </c>
      <c r="AU121" s="361">
        <v>4.8000000000000001E-2</v>
      </c>
      <c r="AV121" s="361">
        <v>6.8000000000000005E-2</v>
      </c>
      <c r="AW121" s="361">
        <v>0.11600000000000001</v>
      </c>
      <c r="AX121" s="361">
        <v>4.2999999999999997E-2</v>
      </c>
      <c r="AY121" s="361">
        <v>0.05</v>
      </c>
      <c r="AZ121" s="361">
        <v>9.2999999999999999E-2</v>
      </c>
      <c r="BA121" s="361">
        <v>2.5000000000000001E-2</v>
      </c>
      <c r="BB121" s="361">
        <v>0.19700000000000001</v>
      </c>
      <c r="BC121" s="361">
        <v>0.222</v>
      </c>
      <c r="BD121" s="361">
        <v>0.25</v>
      </c>
      <c r="BE121" s="361">
        <v>0.89999999999999991</v>
      </c>
      <c r="BF121" s="361">
        <v>1.1499999999999999</v>
      </c>
      <c r="BG121" s="361">
        <v>0.53300000000000003</v>
      </c>
      <c r="BH121" s="361">
        <v>0.26300000000000001</v>
      </c>
      <c r="BI121" s="361">
        <v>0.79600000000000004</v>
      </c>
      <c r="BJ121" s="361">
        <v>0.39500000000000002</v>
      </c>
      <c r="BK121" s="361">
        <v>0.41600000000000004</v>
      </c>
      <c r="BL121" s="361">
        <v>0.81100000000000005</v>
      </c>
      <c r="BM121" s="361">
        <v>0.45300000000000001</v>
      </c>
      <c r="BN121" s="361">
        <v>2.4750000000000001</v>
      </c>
      <c r="BO121" s="361">
        <v>2.9279999999999999</v>
      </c>
      <c r="BP121" s="361">
        <v>3.03</v>
      </c>
      <c r="BQ121" s="361">
        <v>3.3610000000000002</v>
      </c>
      <c r="BR121" s="361">
        <v>6.391</v>
      </c>
      <c r="BS121" s="361">
        <v>6.13</v>
      </c>
      <c r="BT121" s="361">
        <v>6.1689999999999996</v>
      </c>
      <c r="BU121" s="361">
        <v>12.298999999999999</v>
      </c>
      <c r="BV121" s="361">
        <v>5.7030000000000003</v>
      </c>
      <c r="BW121" s="361">
        <v>6.319</v>
      </c>
      <c r="BX121" s="361">
        <v>12.022</v>
      </c>
      <c r="BY121" s="361">
        <v>9.375</v>
      </c>
      <c r="BZ121" s="361">
        <v>-0.52399999999999913</v>
      </c>
      <c r="CA121" s="361">
        <v>8.8510000000000009</v>
      </c>
      <c r="CB121" s="361">
        <v>5.8840000000000003</v>
      </c>
      <c r="CC121" s="361">
        <v>6.5229999999999997</v>
      </c>
      <c r="CD121" s="361">
        <v>12.407</v>
      </c>
      <c r="CE121" s="361">
        <v>5.008</v>
      </c>
      <c r="CF121" s="361">
        <v>3.6580000000000004</v>
      </c>
      <c r="CG121" s="361">
        <v>8.6660000000000004</v>
      </c>
      <c r="CH121" s="361">
        <v>2.8279999999999998</v>
      </c>
      <c r="CI121" s="361">
        <v>3.3220000000000005</v>
      </c>
      <c r="CJ121" s="361">
        <v>6.15</v>
      </c>
      <c r="CK121" s="361">
        <v>3.1230000000000002</v>
      </c>
      <c r="CL121" s="361">
        <v>3.7589999999999995</v>
      </c>
      <c r="CM121" s="361">
        <v>6.8819999999999997</v>
      </c>
      <c r="CN121" s="361">
        <v>4.74</v>
      </c>
      <c r="CO121" s="361">
        <v>5.5609999999999982</v>
      </c>
      <c r="CP121" s="361">
        <v>10.300999999999998</v>
      </c>
      <c r="CQ121" s="361">
        <v>5.5419999999999998</v>
      </c>
      <c r="CR121" s="361">
        <v>4.8580000000000023</v>
      </c>
      <c r="CS121" s="361">
        <v>10.400000000000002</v>
      </c>
      <c r="CT121" s="361">
        <v>4.8139999999999983</v>
      </c>
      <c r="CU121" s="361">
        <v>3.9920000000000009</v>
      </c>
      <c r="CV121" s="361">
        <v>8.8059999999999992</v>
      </c>
      <c r="CW121" s="361">
        <v>3.6890000000000001</v>
      </c>
      <c r="CX121" s="361">
        <v>3.8419168000000008</v>
      </c>
      <c r="CY121" s="361">
        <v>7.5309168000000009</v>
      </c>
      <c r="CZ121" s="361">
        <v>3.9811292000000003</v>
      </c>
      <c r="DA121" s="361">
        <v>4.5188708000000002</v>
      </c>
      <c r="DB121" s="361">
        <v>8.5</v>
      </c>
      <c r="DC121" s="361">
        <f>+(DC120/2)*DC119</f>
        <v>3.0000000000000004</v>
      </c>
      <c r="DD121" s="361">
        <f>+(DD120/2)*DD119</f>
        <v>2.1999999999999993</v>
      </c>
      <c r="DE121" s="361">
        <f>SUM(DC121:DD121)</f>
        <v>5.1999999999999993</v>
      </c>
      <c r="DF121" s="361">
        <f>DF127-DF125</f>
        <v>2.2000000000000002</v>
      </c>
      <c r="DG121" s="361">
        <f>+(DG120/2)*DG119</f>
        <v>2.3847749999999999</v>
      </c>
      <c r="DH121" s="380">
        <f>SUM(DF121:DG121)</f>
        <v>4.5847750000000005</v>
      </c>
      <c r="DI121" s="380">
        <f>+DI127-DI125</f>
        <v>3.82531</v>
      </c>
      <c r="DJ121" s="380">
        <f t="shared" ref="DJ121" si="262">+DJ127-DJ125</f>
        <v>1.4802350000000004</v>
      </c>
      <c r="DK121" s="1219">
        <f>SUM(DI121:DJ121)</f>
        <v>5.3055450000000004</v>
      </c>
      <c r="DL121" s="380">
        <f>+DL127-DL125</f>
        <v>0.79147000000000034</v>
      </c>
      <c r="DM121" s="380">
        <f t="shared" ref="DM121" si="263">+DM127-DM125</f>
        <v>0.9086350000000003</v>
      </c>
      <c r="DN121" s="1219">
        <f>SUM(DL121:DM121)</f>
        <v>1.7001050000000006</v>
      </c>
      <c r="DO121" s="380">
        <f>+DO127-DO125</f>
        <v>1.3439450000000006</v>
      </c>
      <c r="DP121" s="380">
        <f t="shared" ref="DP121" si="264">+DP127-DP125</f>
        <v>1.4611100000000001</v>
      </c>
      <c r="DQ121" s="1219">
        <f>SUM(DO121:DP121)</f>
        <v>2.8050550000000007</v>
      </c>
      <c r="DR121" s="380">
        <f>+DR127-DR125</f>
        <v>0</v>
      </c>
      <c r="DS121" s="380">
        <f t="shared" ref="DS121" si="265">+DS127-DS125</f>
        <v>0</v>
      </c>
      <c r="DT121" s="1219">
        <f>SUM(DR121:DS121)</f>
        <v>0</v>
      </c>
      <c r="DU121" s="380">
        <f>+(DS120/2)*DU119</f>
        <v>0</v>
      </c>
      <c r="DV121" s="380">
        <v>0</v>
      </c>
      <c r="DW121" s="1219">
        <f>SUM(DU121:DV121)</f>
        <v>0</v>
      </c>
      <c r="DX121" s="380">
        <f>+(DV120/2)*DX119</f>
        <v>0</v>
      </c>
      <c r="DY121" s="380">
        <f>+(DX120/2)*DY119</f>
        <v>0</v>
      </c>
      <c r="DZ121" s="1219">
        <f>SUM(DX121:DY121)</f>
        <v>0</v>
      </c>
      <c r="EA121" s="380">
        <f t="shared" ref="EA121" si="266">+(DY120/2)*EA119</f>
        <v>0</v>
      </c>
      <c r="EB121" s="380">
        <f t="shared" ref="EB121" si="267">+(EA120/2)*EB119</f>
        <v>0</v>
      </c>
      <c r="EC121" s="1219">
        <f t="shared" ref="EC121" si="268">SUM(EA121:EB121)</f>
        <v>0</v>
      </c>
      <c r="ED121" s="380">
        <f t="shared" ref="ED121" si="269">+(EB120/2)*ED119</f>
        <v>0</v>
      </c>
      <c r="EE121" s="380">
        <f t="shared" ref="EE121" si="270">+(ED120/2)*EE119</f>
        <v>0</v>
      </c>
      <c r="EF121" s="1219">
        <f t="shared" ref="EF121" si="271">SUM(ED121:EE121)</f>
        <v>0</v>
      </c>
      <c r="EG121" s="380">
        <f t="shared" ref="EG121" si="272">+(EE120/2)*EG119</f>
        <v>0</v>
      </c>
      <c r="EH121" s="380">
        <f t="shared" ref="EH121" si="273">+(EG120/2)*EH119</f>
        <v>0</v>
      </c>
      <c r="EI121" s="1219">
        <f t="shared" ref="EI121" si="274">SUM(EG121:EH121)</f>
        <v>0</v>
      </c>
      <c r="EJ121" s="380">
        <f t="shared" ref="EJ121" si="275">+(EH120/2)*EJ119</f>
        <v>0</v>
      </c>
      <c r="EK121" s="380">
        <f t="shared" ref="EK121" si="276">+(EJ120/2)*EK119</f>
        <v>0</v>
      </c>
      <c r="EL121" s="1219">
        <f t="shared" ref="EL121" si="277">SUM(EJ121:EK121)</f>
        <v>0</v>
      </c>
      <c r="EM121" s="380">
        <f t="shared" ref="EM121" si="278">+(EK120/2)*EM119</f>
        <v>0</v>
      </c>
      <c r="EN121" s="380">
        <f t="shared" ref="EN121" si="279">+(EM120/2)*EN119</f>
        <v>0</v>
      </c>
      <c r="EO121" s="1219">
        <f t="shared" ref="EO121" si="280">SUM(EM121:EN121)</f>
        <v>0</v>
      </c>
      <c r="EP121" s="380">
        <f t="shared" ref="EP121" si="281">+(EN120/2)*EP119</f>
        <v>0</v>
      </c>
      <c r="EQ121" s="380">
        <f t="shared" ref="EQ121" si="282">+(EP120/2)*EQ119</f>
        <v>0</v>
      </c>
      <c r="ER121" s="1219">
        <f t="shared" ref="ER121" si="283">SUM(EP121:EQ121)</f>
        <v>0</v>
      </c>
      <c r="ES121" s="380">
        <f t="shared" ref="ES121" si="284">+(EQ120/2)*ES119</f>
        <v>0</v>
      </c>
      <c r="ET121" s="380">
        <f t="shared" ref="ET121" si="285">+(ES120/2)*ET119</f>
        <v>0</v>
      </c>
      <c r="EU121" s="1219">
        <f t="shared" ref="EU121" si="286">SUM(ES121:ET121)</f>
        <v>0</v>
      </c>
      <c r="EV121" s="380">
        <f t="shared" ref="EV121" si="287">+(ET120/2)*EV119</f>
        <v>0</v>
      </c>
      <c r="EW121" s="380">
        <f t="shared" ref="EW121" si="288">+(EV120/2)*EW119</f>
        <v>0</v>
      </c>
      <c r="EX121" s="1219">
        <f t="shared" ref="EX121" si="289">SUM(EV121:EW121)</f>
        <v>0</v>
      </c>
      <c r="EY121" s="380">
        <f t="shared" ref="EY121" si="290">+(EW120/2)*EY119</f>
        <v>0</v>
      </c>
      <c r="EZ121" s="380">
        <f t="shared" ref="EZ121" si="291">+(EY120/2)*EZ119</f>
        <v>0</v>
      </c>
      <c r="FA121" s="1219">
        <f t="shared" ref="FA121" si="292">SUM(EY121:EZ121)</f>
        <v>0</v>
      </c>
    </row>
    <row r="122" spans="1:157" ht="13.35" customHeight="1">
      <c r="A122" s="5"/>
      <c r="B122" s="381" t="s">
        <v>960</v>
      </c>
      <c r="C122" s="5"/>
      <c r="D122" s="378"/>
      <c r="E122" s="359"/>
      <c r="F122" s="359"/>
      <c r="G122" s="359"/>
      <c r="H122" s="359"/>
      <c r="I122" s="359"/>
      <c r="J122" s="359"/>
      <c r="K122" s="359"/>
      <c r="L122" s="359"/>
      <c r="M122" s="359"/>
      <c r="N122" s="359"/>
      <c r="O122" s="359"/>
      <c r="P122" s="359"/>
      <c r="Q122" s="359"/>
      <c r="R122" s="359"/>
      <c r="S122" s="359"/>
      <c r="T122" s="359"/>
      <c r="U122" s="359"/>
      <c r="V122" s="359"/>
      <c r="W122" s="359"/>
      <c r="X122" s="359"/>
      <c r="Y122" s="359"/>
      <c r="Z122" s="359"/>
      <c r="AA122" s="359"/>
      <c r="AB122" s="359"/>
      <c r="AC122" s="359"/>
      <c r="AD122" s="359"/>
      <c r="AE122" s="359"/>
      <c r="AF122" s="359"/>
      <c r="AG122" s="359"/>
      <c r="AH122" s="359"/>
      <c r="AI122" s="359"/>
      <c r="AJ122" s="359"/>
      <c r="AK122" s="359"/>
      <c r="AL122" s="359"/>
      <c r="AM122" s="359"/>
      <c r="AN122" s="359"/>
      <c r="AO122" s="359"/>
      <c r="AP122" s="359"/>
      <c r="AQ122" s="359"/>
      <c r="AR122" s="359"/>
      <c r="AS122" s="359"/>
      <c r="AT122" s="359"/>
      <c r="AU122" s="359"/>
      <c r="AV122" s="359"/>
      <c r="AW122" s="359"/>
      <c r="AX122" s="359"/>
      <c r="AY122" s="359"/>
      <c r="AZ122" s="359"/>
      <c r="BA122" s="359"/>
      <c r="BB122" s="359"/>
      <c r="BC122" s="359"/>
      <c r="BD122" s="359"/>
      <c r="BE122" s="359"/>
      <c r="BF122" s="359"/>
      <c r="BG122" s="359"/>
      <c r="BH122" s="359"/>
      <c r="BI122" s="359"/>
      <c r="BJ122" s="359"/>
      <c r="BK122" s="359"/>
      <c r="BL122" s="359"/>
      <c r="BM122" s="359"/>
      <c r="BN122" s="359"/>
      <c r="BO122" s="359"/>
      <c r="BP122" s="359"/>
      <c r="BQ122" s="359"/>
      <c r="BR122" s="359"/>
      <c r="BS122" s="359"/>
      <c r="BT122" s="359"/>
      <c r="BU122" s="359"/>
      <c r="BV122" s="359"/>
      <c r="BW122" s="359"/>
      <c r="BX122" s="359"/>
      <c r="BY122" s="359"/>
      <c r="BZ122" s="359"/>
      <c r="CA122" s="359"/>
      <c r="CB122" s="359"/>
      <c r="CC122" s="359"/>
      <c r="CD122" s="359"/>
      <c r="CE122" s="359"/>
      <c r="CF122" s="359"/>
      <c r="CG122" s="359"/>
      <c r="CH122" s="359"/>
      <c r="CI122" s="359"/>
      <c r="CJ122" s="359"/>
      <c r="CK122" s="359"/>
      <c r="CL122" s="359"/>
      <c r="CM122" s="359"/>
      <c r="CN122" s="359"/>
      <c r="CO122" s="359"/>
      <c r="CP122" s="359"/>
      <c r="CQ122" s="359"/>
      <c r="CR122" s="359"/>
      <c r="CS122" s="359"/>
      <c r="CT122" s="359"/>
      <c r="CU122" s="359"/>
      <c r="CV122" s="359"/>
      <c r="CW122" s="359"/>
      <c r="CX122" s="359"/>
      <c r="CY122" s="359"/>
      <c r="CZ122" s="359"/>
      <c r="DA122" s="359"/>
      <c r="DB122" s="359"/>
      <c r="DC122" s="359"/>
      <c r="DD122" s="359"/>
      <c r="DE122" s="359"/>
      <c r="DF122" s="359"/>
      <c r="DG122" s="359"/>
      <c r="DH122" s="379"/>
      <c r="DI122" s="379"/>
      <c r="DJ122" s="379"/>
      <c r="DK122" s="1218"/>
      <c r="DL122" s="379"/>
      <c r="DM122" s="379"/>
      <c r="DN122" s="1218"/>
      <c r="DO122" s="379"/>
      <c r="DP122" s="379"/>
      <c r="DQ122" s="1218"/>
      <c r="DR122" s="379"/>
      <c r="DS122" s="379"/>
      <c r="DT122" s="1218"/>
      <c r="DU122" s="379"/>
      <c r="DV122" s="379"/>
      <c r="DW122" s="1218"/>
      <c r="DX122" s="379"/>
      <c r="DY122" s="379"/>
      <c r="DZ122" s="1218"/>
      <c r="EA122" s="379"/>
      <c r="EB122" s="379"/>
      <c r="EC122" s="1218"/>
      <c r="ED122" s="379"/>
      <c r="EE122" s="379"/>
      <c r="EF122" s="1218"/>
      <c r="EG122" s="379"/>
      <c r="EH122" s="379"/>
      <c r="EI122" s="1218"/>
      <c r="EJ122" s="379"/>
      <c r="EK122" s="379"/>
      <c r="EL122" s="1218"/>
      <c r="EM122" s="379"/>
      <c r="EN122" s="379"/>
      <c r="EO122" s="1218"/>
      <c r="EP122" s="379"/>
      <c r="EQ122" s="379"/>
      <c r="ER122" s="1218"/>
      <c r="ES122" s="379"/>
      <c r="ET122" s="379"/>
      <c r="EU122" s="1218"/>
      <c r="EV122" s="379"/>
      <c r="EW122" s="379"/>
      <c r="EX122" s="1218"/>
      <c r="EY122" s="379"/>
      <c r="EZ122" s="379"/>
      <c r="FA122" s="379"/>
    </row>
    <row r="123" spans="1:157" ht="13.35" customHeight="1">
      <c r="A123" s="5"/>
      <c r="B123" s="5" t="s">
        <v>958</v>
      </c>
      <c r="C123" s="5"/>
      <c r="D123" s="378"/>
      <c r="E123" s="359"/>
      <c r="F123" s="359"/>
      <c r="G123" s="359"/>
      <c r="H123" s="359"/>
      <c r="I123" s="359"/>
      <c r="J123" s="359"/>
      <c r="K123" s="359"/>
      <c r="L123" s="359"/>
      <c r="M123" s="359"/>
      <c r="N123" s="359"/>
      <c r="O123" s="359"/>
      <c r="P123" s="359"/>
      <c r="Q123" s="359"/>
      <c r="R123" s="359"/>
      <c r="S123" s="359"/>
      <c r="T123" s="359"/>
      <c r="U123" s="359"/>
      <c r="V123" s="359"/>
      <c r="W123" s="359"/>
      <c r="X123" s="359"/>
      <c r="Y123" s="359"/>
      <c r="Z123" s="359"/>
      <c r="AA123" s="359"/>
      <c r="AB123" s="359"/>
      <c r="AC123" s="359"/>
      <c r="AD123" s="359"/>
      <c r="AE123" s="359"/>
      <c r="AF123" s="359"/>
      <c r="AG123" s="359"/>
      <c r="AH123" s="359"/>
      <c r="AI123" s="359"/>
      <c r="AJ123" s="359"/>
      <c r="AK123" s="359"/>
      <c r="AL123" s="359"/>
      <c r="AM123" s="359"/>
      <c r="AN123" s="359"/>
      <c r="AO123" s="359"/>
      <c r="AP123" s="359"/>
      <c r="AQ123" s="359"/>
      <c r="AR123" s="359"/>
      <c r="AS123" s="359"/>
      <c r="AT123" s="359"/>
      <c r="AU123" s="359"/>
      <c r="AV123" s="359"/>
      <c r="AW123" s="359"/>
      <c r="AX123" s="359"/>
      <c r="AY123" s="359"/>
      <c r="AZ123" s="359"/>
      <c r="BA123" s="359"/>
      <c r="BB123" s="359"/>
      <c r="BC123" s="359"/>
      <c r="BD123" s="359"/>
      <c r="BE123" s="359"/>
      <c r="BF123" s="359"/>
      <c r="BG123" s="359"/>
      <c r="BH123" s="359"/>
      <c r="BI123" s="359"/>
      <c r="BJ123" s="359"/>
      <c r="BK123" s="359"/>
      <c r="BL123" s="359"/>
      <c r="BM123" s="359"/>
      <c r="BN123" s="359"/>
      <c r="BO123" s="359"/>
      <c r="BP123" s="359"/>
      <c r="BQ123" s="359"/>
      <c r="BR123" s="359"/>
      <c r="BS123" s="359"/>
      <c r="BT123" s="359"/>
      <c r="BU123" s="359"/>
      <c r="BV123" s="359"/>
      <c r="BW123" s="359"/>
      <c r="BX123" s="359"/>
      <c r="BY123" s="359"/>
      <c r="BZ123" s="359"/>
      <c r="CA123" s="359"/>
      <c r="CB123" s="359"/>
      <c r="CC123" s="359"/>
      <c r="CD123" s="359"/>
      <c r="CE123" s="359"/>
      <c r="CF123" s="359"/>
      <c r="CG123" s="359"/>
      <c r="CH123" s="359"/>
      <c r="CI123" s="359"/>
      <c r="CJ123" s="359"/>
      <c r="CK123" s="359"/>
      <c r="CL123" s="359"/>
      <c r="CM123" s="359"/>
      <c r="CN123" s="359"/>
      <c r="CO123" s="359"/>
      <c r="CP123" s="359"/>
      <c r="CQ123" s="359"/>
      <c r="CR123" s="359"/>
      <c r="CS123" s="359"/>
      <c r="CT123" s="359"/>
      <c r="CU123" s="359"/>
      <c r="CV123" s="359"/>
      <c r="CW123" s="359"/>
      <c r="CX123" s="359"/>
      <c r="CY123" s="359"/>
      <c r="CZ123" s="359"/>
      <c r="DA123" s="359"/>
      <c r="DB123" s="359"/>
      <c r="DC123" s="359"/>
      <c r="DD123" s="359"/>
      <c r="DE123" s="359"/>
      <c r="DF123" s="382">
        <v>197.8</v>
      </c>
      <c r="DG123" s="383">
        <f>Model!DG286+Model!DG302</f>
        <v>231.5</v>
      </c>
      <c r="DH123" s="384">
        <f>DG123</f>
        <v>231.5</v>
      </c>
      <c r="DI123" s="385">
        <f>Model!DI286+Model!DI302</f>
        <v>222.3</v>
      </c>
      <c r="DJ123" s="385">
        <f>Model!DJ286+Model!DJ302</f>
        <v>219.3</v>
      </c>
      <c r="DK123" s="1220">
        <f>DJ123</f>
        <v>219.3</v>
      </c>
      <c r="DL123" s="385">
        <f>Model!DL286+Model!DL302</f>
        <v>218.6</v>
      </c>
      <c r="DM123" s="385">
        <f>Model!DM286+Model!DM302</f>
        <v>211.29999999999998</v>
      </c>
      <c r="DN123" s="1220">
        <f>DM123</f>
        <v>211.29999999999998</v>
      </c>
      <c r="DO123" s="385">
        <f>Model!DO286+Model!DO302</f>
        <v>209.1</v>
      </c>
      <c r="DP123" s="385">
        <f>Model!DP286+Model!DP302</f>
        <v>201.8</v>
      </c>
      <c r="DQ123" s="1220">
        <f>DP123</f>
        <v>201.8</v>
      </c>
      <c r="DR123" s="385">
        <f>Model!DR286+Model!DR302</f>
        <v>206.7</v>
      </c>
      <c r="DS123" s="385">
        <f>Model!DS286+Model!DS302</f>
        <v>243.7</v>
      </c>
      <c r="DT123" s="1220">
        <f>DS123</f>
        <v>243.7</v>
      </c>
      <c r="DU123" s="385">
        <f>Model!DU286+Model!DU302</f>
        <v>246.6</v>
      </c>
      <c r="DV123" s="385">
        <f>Model!DV286+Model!DV302</f>
        <v>235.7</v>
      </c>
      <c r="DW123" s="1220">
        <f>DV123</f>
        <v>235.7</v>
      </c>
      <c r="DX123" s="385">
        <f>Model!DX286+Model!DX302</f>
        <v>227.8</v>
      </c>
      <c r="DY123" s="385">
        <f>Model!DY286+Model!DY302</f>
        <v>216.2407213595215</v>
      </c>
      <c r="DZ123" s="1220">
        <f>DY123</f>
        <v>216.2407213595215</v>
      </c>
      <c r="EA123" s="385">
        <f>Model!EA286+Model!EA302</f>
        <v>204.23496075303103</v>
      </c>
      <c r="EB123" s="385">
        <f>Model!EB286+Model!EB302</f>
        <v>192.22920014654056</v>
      </c>
      <c r="EC123" s="1220">
        <f>EB123</f>
        <v>192.22920014654056</v>
      </c>
      <c r="ED123" s="385">
        <f>Model!ED286+Model!ED302</f>
        <v>179.76579552488784</v>
      </c>
      <c r="EE123" s="385">
        <f>Model!EE286+Model!EE302</f>
        <v>167.30239090323511</v>
      </c>
      <c r="EF123" s="1220">
        <f>EE123</f>
        <v>167.30239090323511</v>
      </c>
      <c r="EG123" s="385">
        <f>Model!EG286+Model!EG302</f>
        <v>154.36990116604107</v>
      </c>
      <c r="EH123" s="385">
        <f>Model!EH286+Model!EH302</f>
        <v>141.43741142884704</v>
      </c>
      <c r="EI123" s="1220">
        <f>EH123</f>
        <v>141.43741142884704</v>
      </c>
      <c r="EJ123" s="385">
        <f>Model!EJ286+Model!EJ302</f>
        <v>128.02410944822316</v>
      </c>
      <c r="EK123" s="385">
        <f>Model!EK286+Model!EK302</f>
        <v>114.61080746759927</v>
      </c>
      <c r="EL123" s="1220">
        <f>EK123</f>
        <v>114.61080746759927</v>
      </c>
      <c r="EM123" s="385">
        <f>Model!EM286+Model!EM302</f>
        <v>100.70467293745979</v>
      </c>
      <c r="EN123" s="385">
        <f>Model!EN286+Model!EN302</f>
        <v>86.798538407320308</v>
      </c>
      <c r="EO123" s="1220">
        <f>EN123</f>
        <v>86.798538407320308</v>
      </c>
      <c r="EP123" s="385">
        <f>Model!EP286+Model!EP302</f>
        <v>72.387250513927341</v>
      </c>
      <c r="EQ123" s="385">
        <f>Model!EQ286+Model!EQ302</f>
        <v>57.975962620534382</v>
      </c>
      <c r="ER123" s="1220">
        <f>EQ123</f>
        <v>57.975962620534382</v>
      </c>
      <c r="ES123" s="385">
        <f>Model!ES286+Model!ES302</f>
        <v>43.046892529806598</v>
      </c>
      <c r="ET123" s="385">
        <f>Model!ET286+Model!ET302</f>
        <v>28.117822439078815</v>
      </c>
      <c r="EU123" s="1220">
        <f>ET123</f>
        <v>28.117822439078815</v>
      </c>
      <c r="EV123" s="385">
        <f>Model!EV286+Model!EV302</f>
        <v>12.658025596082837</v>
      </c>
      <c r="EW123" s="385">
        <f>Model!EW286+Model!EW302</f>
        <v>-2.8017712469131411</v>
      </c>
      <c r="EX123" s="1220">
        <f>EW123</f>
        <v>-2.8017712469131411</v>
      </c>
      <c r="EY123" s="385">
        <f>Model!EY286+Model!EY302</f>
        <v>-18.805563010984017</v>
      </c>
      <c r="EZ123" s="385">
        <f>Model!EZ286+Model!EZ302</f>
        <v>-34.809354775054899</v>
      </c>
      <c r="FA123" s="384">
        <f>EZ123</f>
        <v>-34.809354775054899</v>
      </c>
    </row>
    <row r="124" spans="1:157" ht="13.35" customHeight="1">
      <c r="A124" s="5"/>
      <c r="B124" s="5" t="s">
        <v>959</v>
      </c>
      <c r="C124" s="5"/>
      <c r="D124" s="378"/>
      <c r="E124" s="359"/>
      <c r="F124" s="359"/>
      <c r="G124" s="359"/>
      <c r="H124" s="359"/>
      <c r="I124" s="359"/>
      <c r="J124" s="359"/>
      <c r="K124" s="359"/>
      <c r="L124" s="359"/>
      <c r="M124" s="359"/>
      <c r="N124" s="359"/>
      <c r="O124" s="359"/>
      <c r="P124" s="359"/>
      <c r="Q124" s="359"/>
      <c r="R124" s="359"/>
      <c r="S124" s="359"/>
      <c r="T124" s="359"/>
      <c r="U124" s="359"/>
      <c r="V124" s="359"/>
      <c r="W124" s="359"/>
      <c r="X124" s="359"/>
      <c r="Y124" s="359"/>
      <c r="Z124" s="359"/>
      <c r="AA124" s="359"/>
      <c r="AB124" s="359"/>
      <c r="AC124" s="359"/>
      <c r="AD124" s="359"/>
      <c r="AE124" s="359"/>
      <c r="AF124" s="359"/>
      <c r="AG124" s="359"/>
      <c r="AH124" s="359"/>
      <c r="AI124" s="359"/>
      <c r="AJ124" s="359"/>
      <c r="AK124" s="359"/>
      <c r="AL124" s="359"/>
      <c r="AM124" s="359"/>
      <c r="AN124" s="359"/>
      <c r="AO124" s="359"/>
      <c r="AP124" s="359"/>
      <c r="AQ124" s="359"/>
      <c r="AR124" s="359"/>
      <c r="AS124" s="359"/>
      <c r="AT124" s="359"/>
      <c r="AU124" s="359"/>
      <c r="AV124" s="359"/>
      <c r="AW124" s="359"/>
      <c r="AX124" s="359"/>
      <c r="AY124" s="359"/>
      <c r="AZ124" s="359"/>
      <c r="BA124" s="359"/>
      <c r="BB124" s="359"/>
      <c r="BC124" s="359"/>
      <c r="BD124" s="359"/>
      <c r="BE124" s="359"/>
      <c r="BF124" s="359"/>
      <c r="BG124" s="359"/>
      <c r="BH124" s="359"/>
      <c r="BI124" s="359"/>
      <c r="BJ124" s="359"/>
      <c r="BK124" s="359"/>
      <c r="BL124" s="359"/>
      <c r="BM124" s="359"/>
      <c r="BN124" s="359"/>
      <c r="BO124" s="359"/>
      <c r="BP124" s="359"/>
      <c r="BQ124" s="359"/>
      <c r="BR124" s="359"/>
      <c r="BS124" s="359"/>
      <c r="BT124" s="359"/>
      <c r="BU124" s="359"/>
      <c r="BV124" s="359"/>
      <c r="BW124" s="359"/>
      <c r="BX124" s="359"/>
      <c r="BY124" s="359"/>
      <c r="BZ124" s="359"/>
      <c r="CA124" s="359"/>
      <c r="CB124" s="359"/>
      <c r="CC124" s="359"/>
      <c r="CD124" s="359"/>
      <c r="CE124" s="359"/>
      <c r="CF124" s="359"/>
      <c r="CG124" s="359"/>
      <c r="CH124" s="359"/>
      <c r="CI124" s="359"/>
      <c r="CJ124" s="359"/>
      <c r="CK124" s="359"/>
      <c r="CL124" s="359"/>
      <c r="CM124" s="359"/>
      <c r="CN124" s="359"/>
      <c r="CO124" s="359"/>
      <c r="CP124" s="359"/>
      <c r="CQ124" s="359"/>
      <c r="CR124" s="359"/>
      <c r="CS124" s="359"/>
      <c r="CT124" s="359"/>
      <c r="CU124" s="359"/>
      <c r="CV124" s="359"/>
      <c r="CW124" s="359"/>
      <c r="CX124" s="359"/>
      <c r="CY124" s="359"/>
      <c r="CZ124" s="359"/>
      <c r="DA124" s="359"/>
      <c r="DB124" s="359"/>
      <c r="DC124" s="359"/>
      <c r="DD124" s="359"/>
      <c r="DE124" s="359"/>
      <c r="DF124" s="386">
        <f>DF125/DF123*2</f>
        <v>2.8311425682507579E-2</v>
      </c>
      <c r="DG124" s="387">
        <v>3.2099999999999997E-2</v>
      </c>
      <c r="DH124" s="388">
        <f>DG124</f>
        <v>3.2099999999999997E-2</v>
      </c>
      <c r="DI124" s="389">
        <f>DG124</f>
        <v>3.2099999999999997E-2</v>
      </c>
      <c r="DJ124" s="389">
        <f>+DI124</f>
        <v>3.2099999999999997E-2</v>
      </c>
      <c r="DK124" s="1221">
        <f>DJ124</f>
        <v>3.2099999999999997E-2</v>
      </c>
      <c r="DL124" s="389">
        <f>DJ124</f>
        <v>3.2099999999999997E-2</v>
      </c>
      <c r="DM124" s="389">
        <f>DL124</f>
        <v>3.2099999999999997E-2</v>
      </c>
      <c r="DN124" s="1221">
        <f>DM124</f>
        <v>3.2099999999999997E-2</v>
      </c>
      <c r="DO124" s="389">
        <f>DM124</f>
        <v>3.2099999999999997E-2</v>
      </c>
      <c r="DP124" s="389">
        <f>DO124</f>
        <v>3.2099999999999997E-2</v>
      </c>
      <c r="DQ124" s="1221">
        <f>DP124</f>
        <v>3.2099999999999997E-2</v>
      </c>
      <c r="DR124" s="389">
        <f>DP124</f>
        <v>3.2099999999999997E-2</v>
      </c>
      <c r="DS124" s="389">
        <f>DR124</f>
        <v>3.2099999999999997E-2</v>
      </c>
      <c r="DT124" s="1221">
        <f>DS124</f>
        <v>3.2099999999999997E-2</v>
      </c>
      <c r="DU124" s="389">
        <f>DS124</f>
        <v>3.2099999999999997E-2</v>
      </c>
      <c r="DV124" s="389">
        <f>DU124</f>
        <v>3.2099999999999997E-2</v>
      </c>
      <c r="DW124" s="1221">
        <f>DV124</f>
        <v>3.2099999999999997E-2</v>
      </c>
      <c r="DX124" s="389">
        <f>DV124</f>
        <v>3.2099999999999997E-2</v>
      </c>
      <c r="DY124" s="389">
        <f>DX124</f>
        <v>3.2099999999999997E-2</v>
      </c>
      <c r="DZ124" s="1221">
        <f>DY124</f>
        <v>3.2099999999999997E-2</v>
      </c>
      <c r="EA124" s="389">
        <f>DY124</f>
        <v>3.2099999999999997E-2</v>
      </c>
      <c r="EB124" s="389">
        <f>EA124</f>
        <v>3.2099999999999997E-2</v>
      </c>
      <c r="EC124" s="1221">
        <f>EB124</f>
        <v>3.2099999999999997E-2</v>
      </c>
      <c r="ED124" s="389">
        <f>EB124</f>
        <v>3.2099999999999997E-2</v>
      </c>
      <c r="EE124" s="389">
        <f>ED124</f>
        <v>3.2099999999999997E-2</v>
      </c>
      <c r="EF124" s="1221">
        <f>EE124</f>
        <v>3.2099999999999997E-2</v>
      </c>
      <c r="EG124" s="389">
        <f>EE124</f>
        <v>3.2099999999999997E-2</v>
      </c>
      <c r="EH124" s="389">
        <f>EG124</f>
        <v>3.2099999999999997E-2</v>
      </c>
      <c r="EI124" s="1221">
        <f>EH124</f>
        <v>3.2099999999999997E-2</v>
      </c>
      <c r="EJ124" s="389">
        <f>EH124</f>
        <v>3.2099999999999997E-2</v>
      </c>
      <c r="EK124" s="389">
        <f>EJ124</f>
        <v>3.2099999999999997E-2</v>
      </c>
      <c r="EL124" s="1221">
        <f>EK124</f>
        <v>3.2099999999999997E-2</v>
      </c>
      <c r="EM124" s="389">
        <f>EK124</f>
        <v>3.2099999999999997E-2</v>
      </c>
      <c r="EN124" s="389">
        <f>EM124</f>
        <v>3.2099999999999997E-2</v>
      </c>
      <c r="EO124" s="1221">
        <f>EN124</f>
        <v>3.2099999999999997E-2</v>
      </c>
      <c r="EP124" s="389">
        <f>EN124</f>
        <v>3.2099999999999997E-2</v>
      </c>
      <c r="EQ124" s="389">
        <f>EP124</f>
        <v>3.2099999999999997E-2</v>
      </c>
      <c r="ER124" s="1221">
        <f>EQ124</f>
        <v>3.2099999999999997E-2</v>
      </c>
      <c r="ES124" s="389">
        <f>EQ124</f>
        <v>3.2099999999999997E-2</v>
      </c>
      <c r="ET124" s="389">
        <f>ES124</f>
        <v>3.2099999999999997E-2</v>
      </c>
      <c r="EU124" s="1221">
        <f>ET124</f>
        <v>3.2099999999999997E-2</v>
      </c>
      <c r="EV124" s="389">
        <f>ET124</f>
        <v>3.2099999999999997E-2</v>
      </c>
      <c r="EW124" s="389">
        <f>EV124</f>
        <v>3.2099999999999997E-2</v>
      </c>
      <c r="EX124" s="1221">
        <f>EW124</f>
        <v>3.2099999999999997E-2</v>
      </c>
      <c r="EY124" s="389">
        <f>EW124</f>
        <v>3.2099999999999997E-2</v>
      </c>
      <c r="EZ124" s="389">
        <f>EY124</f>
        <v>3.2099999999999997E-2</v>
      </c>
      <c r="FA124" s="388">
        <f>EZ124</f>
        <v>3.2099999999999997E-2</v>
      </c>
    </row>
    <row r="125" spans="1:157" ht="13.35" customHeight="1">
      <c r="A125" s="5"/>
      <c r="B125" s="5" t="s">
        <v>956</v>
      </c>
      <c r="C125" s="5"/>
      <c r="D125" s="378"/>
      <c r="E125" s="359"/>
      <c r="F125" s="359"/>
      <c r="G125" s="359"/>
      <c r="H125" s="359"/>
      <c r="I125" s="359"/>
      <c r="J125" s="359"/>
      <c r="K125" s="359"/>
      <c r="L125" s="359"/>
      <c r="M125" s="359"/>
      <c r="N125" s="359"/>
      <c r="O125" s="359"/>
      <c r="P125" s="359"/>
      <c r="Q125" s="359"/>
      <c r="R125" s="359"/>
      <c r="S125" s="359"/>
      <c r="T125" s="359"/>
      <c r="U125" s="359"/>
      <c r="V125" s="359"/>
      <c r="W125" s="359"/>
      <c r="X125" s="359"/>
      <c r="Y125" s="359"/>
      <c r="Z125" s="359"/>
      <c r="AA125" s="359"/>
      <c r="AB125" s="359"/>
      <c r="AC125" s="359"/>
      <c r="AD125" s="359"/>
      <c r="AE125" s="359"/>
      <c r="AF125" s="359"/>
      <c r="AG125" s="359"/>
      <c r="AH125" s="359"/>
      <c r="AI125" s="359"/>
      <c r="AJ125" s="359"/>
      <c r="AK125" s="359"/>
      <c r="AL125" s="359"/>
      <c r="AM125" s="359"/>
      <c r="AN125" s="359"/>
      <c r="AO125" s="359"/>
      <c r="AP125" s="359"/>
      <c r="AQ125" s="359"/>
      <c r="AR125" s="359"/>
      <c r="AS125" s="359"/>
      <c r="AT125" s="359"/>
      <c r="AU125" s="359"/>
      <c r="AV125" s="359"/>
      <c r="AW125" s="359"/>
      <c r="AX125" s="359"/>
      <c r="AY125" s="359"/>
      <c r="AZ125" s="359"/>
      <c r="BA125" s="359"/>
      <c r="BB125" s="359"/>
      <c r="BC125" s="359"/>
      <c r="BD125" s="359"/>
      <c r="BE125" s="359"/>
      <c r="BF125" s="359"/>
      <c r="BG125" s="359"/>
      <c r="BH125" s="359"/>
      <c r="BI125" s="359"/>
      <c r="BJ125" s="359"/>
      <c r="BK125" s="359"/>
      <c r="BL125" s="359"/>
      <c r="BM125" s="359"/>
      <c r="BN125" s="359"/>
      <c r="BO125" s="359"/>
      <c r="BP125" s="359"/>
      <c r="BQ125" s="359"/>
      <c r="BR125" s="359"/>
      <c r="BS125" s="359"/>
      <c r="BT125" s="359"/>
      <c r="BU125" s="359"/>
      <c r="BV125" s="359"/>
      <c r="BW125" s="359"/>
      <c r="BX125" s="359"/>
      <c r="BY125" s="359"/>
      <c r="BZ125" s="359"/>
      <c r="CA125" s="359"/>
      <c r="CB125" s="359"/>
      <c r="CC125" s="359"/>
      <c r="CD125" s="359"/>
      <c r="CE125" s="359"/>
      <c r="CF125" s="359"/>
      <c r="CG125" s="359"/>
      <c r="CH125" s="359"/>
      <c r="CI125" s="359"/>
      <c r="CJ125" s="359"/>
      <c r="CK125" s="359"/>
      <c r="CL125" s="359"/>
      <c r="CM125" s="359"/>
      <c r="CN125" s="359"/>
      <c r="CO125" s="359"/>
      <c r="CP125" s="359"/>
      <c r="CQ125" s="359"/>
      <c r="CR125" s="359"/>
      <c r="CS125" s="359"/>
      <c r="CT125" s="359"/>
      <c r="CU125" s="359"/>
      <c r="CV125" s="359"/>
      <c r="CW125" s="359"/>
      <c r="CX125" s="359"/>
      <c r="CY125" s="359"/>
      <c r="CZ125" s="359"/>
      <c r="DA125" s="359"/>
      <c r="DB125" s="359"/>
      <c r="DC125" s="359"/>
      <c r="DD125" s="359"/>
      <c r="DE125" s="359"/>
      <c r="DF125" s="382">
        <v>2.8</v>
      </c>
      <c r="DG125" s="359">
        <f>DF123*DG124/2</f>
        <v>3.17469</v>
      </c>
      <c r="DH125" s="384">
        <f>SUM(DF125:DG125)</f>
        <v>5.9746899999999998</v>
      </c>
      <c r="DI125" s="379">
        <f>DG125</f>
        <v>3.17469</v>
      </c>
      <c r="DJ125" s="379">
        <f>DJ124*DJ123/2</f>
        <v>3.5197649999999996</v>
      </c>
      <c r="DK125" s="1220">
        <f>SUM(DI125:DJ125)</f>
        <v>6.6944549999999996</v>
      </c>
      <c r="DL125" s="379">
        <f>DL124*DL123/2</f>
        <v>3.5085299999999995</v>
      </c>
      <c r="DM125" s="379">
        <f>DM124*DM123/2</f>
        <v>3.3913649999999995</v>
      </c>
      <c r="DN125" s="1220">
        <f>SUM(DL125:DM125)</f>
        <v>6.899894999999999</v>
      </c>
      <c r="DO125" s="379">
        <f>DO124*DO123/2</f>
        <v>3.3560549999999996</v>
      </c>
      <c r="DP125" s="379">
        <f>DP124*DP123/2</f>
        <v>3.23889</v>
      </c>
      <c r="DQ125" s="1220">
        <f>SUM(DO125:DP125)</f>
        <v>6.5949449999999992</v>
      </c>
      <c r="DR125" s="379">
        <f>+DR127</f>
        <v>4.3</v>
      </c>
      <c r="DS125" s="379">
        <f t="shared" ref="DS125:DT125" si="293">+DS127</f>
        <v>4.8999999999999995</v>
      </c>
      <c r="DT125" s="1220">
        <f t="shared" si="293"/>
        <v>9.1999999999999993</v>
      </c>
      <c r="DU125" s="379">
        <f>+DU127</f>
        <v>5.7</v>
      </c>
      <c r="DV125" s="379">
        <f>DU125</f>
        <v>5.7</v>
      </c>
      <c r="DW125" s="1220">
        <f t="shared" ref="DW125" si="294">+DW127</f>
        <v>11</v>
      </c>
      <c r="DX125" s="379">
        <f>+DX127</f>
        <v>6.3</v>
      </c>
      <c r="DY125" s="379">
        <f>DX125</f>
        <v>6.3</v>
      </c>
      <c r="DZ125" s="1220">
        <f>SUM(DX125:DY125)</f>
        <v>12.6</v>
      </c>
      <c r="EA125" s="379">
        <f>DY125</f>
        <v>6.3</v>
      </c>
      <c r="EB125" s="379">
        <f>EA125</f>
        <v>6.3</v>
      </c>
      <c r="EC125" s="1220">
        <f>SUM(EA125:EB125)</f>
        <v>12.6</v>
      </c>
      <c r="ED125" s="379">
        <f>EB125</f>
        <v>6.3</v>
      </c>
      <c r="EE125" s="379">
        <f>ED125</f>
        <v>6.3</v>
      </c>
      <c r="EF125" s="1220">
        <f>SUM(ED125:EE125)</f>
        <v>12.6</v>
      </c>
      <c r="EG125" s="379">
        <f>EE125</f>
        <v>6.3</v>
      </c>
      <c r="EH125" s="379">
        <f>EG125</f>
        <v>6.3</v>
      </c>
      <c r="EI125" s="1220">
        <f>SUM(EG125:EH125)</f>
        <v>12.6</v>
      </c>
      <c r="EJ125" s="379">
        <f>EH125</f>
        <v>6.3</v>
      </c>
      <c r="EK125" s="379">
        <f>EJ125</f>
        <v>6.3</v>
      </c>
      <c r="EL125" s="1220">
        <f>SUM(EJ125:EK125)</f>
        <v>12.6</v>
      </c>
      <c r="EM125" s="379">
        <f>EK125</f>
        <v>6.3</v>
      </c>
      <c r="EN125" s="379">
        <f>EM125</f>
        <v>6.3</v>
      </c>
      <c r="EO125" s="1220">
        <f>SUM(EM125:EN125)</f>
        <v>12.6</v>
      </c>
      <c r="EP125" s="379">
        <f>EN125</f>
        <v>6.3</v>
      </c>
      <c r="EQ125" s="379">
        <f>EP125</f>
        <v>6.3</v>
      </c>
      <c r="ER125" s="1220">
        <f>SUM(EP125:EQ125)</f>
        <v>12.6</v>
      </c>
      <c r="ES125" s="379">
        <f>EQ125</f>
        <v>6.3</v>
      </c>
      <c r="ET125" s="379">
        <f>ES125</f>
        <v>6.3</v>
      </c>
      <c r="EU125" s="1220">
        <f>SUM(ES125:ET125)</f>
        <v>12.6</v>
      </c>
      <c r="EV125" s="379">
        <f>ET125</f>
        <v>6.3</v>
      </c>
      <c r="EW125" s="379">
        <f>EV125</f>
        <v>6.3</v>
      </c>
      <c r="EX125" s="1220">
        <f>SUM(EV125:EW125)</f>
        <v>12.6</v>
      </c>
      <c r="EY125" s="379">
        <f>EW125</f>
        <v>6.3</v>
      </c>
      <c r="EZ125" s="379">
        <f>EY125</f>
        <v>6.3</v>
      </c>
      <c r="FA125" s="384">
        <f>SUM(EY125:EZ125)</f>
        <v>12.6</v>
      </c>
    </row>
    <row r="126" spans="1:157" ht="13.35" customHeight="1">
      <c r="A126" s="5"/>
      <c r="B126" s="5"/>
      <c r="C126" s="5"/>
      <c r="D126" s="378"/>
      <c r="E126" s="359"/>
      <c r="F126" s="359"/>
      <c r="G126" s="359"/>
      <c r="H126" s="359"/>
      <c r="I126" s="359"/>
      <c r="J126" s="359"/>
      <c r="K126" s="359"/>
      <c r="L126" s="359"/>
      <c r="M126" s="359"/>
      <c r="N126" s="359"/>
      <c r="O126" s="359"/>
      <c r="P126" s="359"/>
      <c r="Q126" s="359"/>
      <c r="R126" s="359"/>
      <c r="S126" s="359"/>
      <c r="T126" s="359"/>
      <c r="U126" s="359"/>
      <c r="V126" s="359"/>
      <c r="W126" s="359"/>
      <c r="X126" s="359"/>
      <c r="Y126" s="359"/>
      <c r="Z126" s="359"/>
      <c r="AA126" s="359"/>
      <c r="AB126" s="359"/>
      <c r="AC126" s="359"/>
      <c r="AD126" s="359"/>
      <c r="AE126" s="359"/>
      <c r="AF126" s="359"/>
      <c r="AG126" s="359"/>
      <c r="AH126" s="359"/>
      <c r="AI126" s="359"/>
      <c r="AJ126" s="359"/>
      <c r="AK126" s="359"/>
      <c r="AL126" s="359"/>
      <c r="AM126" s="359"/>
      <c r="AN126" s="359"/>
      <c r="AO126" s="359"/>
      <c r="AP126" s="359"/>
      <c r="AQ126" s="359"/>
      <c r="AR126" s="359"/>
      <c r="AS126" s="359"/>
      <c r="AT126" s="359"/>
      <c r="AU126" s="359"/>
      <c r="AV126" s="359"/>
      <c r="AW126" s="359"/>
      <c r="AX126" s="359"/>
      <c r="AY126" s="359"/>
      <c r="AZ126" s="359"/>
      <c r="BA126" s="359"/>
      <c r="BB126" s="359"/>
      <c r="BC126" s="359"/>
      <c r="BD126" s="359"/>
      <c r="BE126" s="359"/>
      <c r="BF126" s="359"/>
      <c r="BG126" s="359"/>
      <c r="BH126" s="359"/>
      <c r="BI126" s="359"/>
      <c r="BJ126" s="359"/>
      <c r="BK126" s="359"/>
      <c r="BL126" s="359"/>
      <c r="BM126" s="359"/>
      <c r="BN126" s="359"/>
      <c r="BO126" s="359"/>
      <c r="BP126" s="359"/>
      <c r="BQ126" s="359"/>
      <c r="BR126" s="359"/>
      <c r="BS126" s="359"/>
      <c r="BT126" s="359"/>
      <c r="BU126" s="359"/>
      <c r="BV126" s="359"/>
      <c r="BW126" s="359"/>
      <c r="BX126" s="359"/>
      <c r="BY126" s="359"/>
      <c r="BZ126" s="359"/>
      <c r="CA126" s="359"/>
      <c r="CB126" s="359"/>
      <c r="CC126" s="359"/>
      <c r="CD126" s="359"/>
      <c r="CE126" s="359"/>
      <c r="CF126" s="359"/>
      <c r="CG126" s="359"/>
      <c r="CH126" s="359"/>
      <c r="CI126" s="359"/>
      <c r="CJ126" s="359"/>
      <c r="CK126" s="359"/>
      <c r="CL126" s="359"/>
      <c r="CM126" s="359"/>
      <c r="CN126" s="359"/>
      <c r="CO126" s="359"/>
      <c r="CP126" s="359"/>
      <c r="CQ126" s="359"/>
      <c r="CR126" s="359"/>
      <c r="CS126" s="359"/>
      <c r="CT126" s="359"/>
      <c r="CU126" s="359"/>
      <c r="CV126" s="359"/>
      <c r="CW126" s="359"/>
      <c r="CX126" s="359"/>
      <c r="CY126" s="359"/>
      <c r="CZ126" s="359"/>
      <c r="DA126" s="359"/>
      <c r="DB126" s="359"/>
      <c r="DC126" s="359"/>
      <c r="DD126" s="359"/>
      <c r="DE126" s="359"/>
      <c r="DF126" s="359"/>
      <c r="DG126" s="359"/>
      <c r="DH126" s="379"/>
      <c r="DI126" s="379"/>
      <c r="DJ126" s="379"/>
      <c r="DK126" s="1218"/>
      <c r="DL126" s="379"/>
      <c r="DM126" s="379"/>
      <c r="DN126" s="1218"/>
      <c r="DO126" s="379"/>
      <c r="DP126" s="379"/>
      <c r="DQ126" s="1218"/>
      <c r="DR126" s="379"/>
      <c r="DS126" s="379"/>
      <c r="DT126" s="1218"/>
      <c r="DU126" s="379"/>
      <c r="DV126" s="379"/>
      <c r="DW126" s="1218"/>
      <c r="DX126" s="379"/>
      <c r="DY126" s="379"/>
      <c r="DZ126" s="1218"/>
      <c r="EA126" s="379"/>
      <c r="EB126" s="379"/>
      <c r="EC126" s="1218"/>
      <c r="ED126" s="379"/>
      <c r="EE126" s="379"/>
      <c r="EF126" s="1218"/>
      <c r="EG126" s="379"/>
      <c r="EH126" s="379"/>
      <c r="EI126" s="1218"/>
      <c r="EJ126" s="379"/>
      <c r="EK126" s="379"/>
      <c r="EL126" s="1218"/>
      <c r="EM126" s="379"/>
      <c r="EN126" s="379"/>
      <c r="EO126" s="1218"/>
      <c r="EP126" s="379"/>
      <c r="EQ126" s="379"/>
      <c r="ER126" s="1218"/>
      <c r="ES126" s="379"/>
      <c r="ET126" s="379"/>
      <c r="EU126" s="1218"/>
      <c r="EV126" s="379"/>
      <c r="EW126" s="379"/>
      <c r="EX126" s="1218"/>
      <c r="EY126" s="379"/>
      <c r="EZ126" s="379"/>
      <c r="FA126" s="379"/>
    </row>
    <row r="127" spans="1:157" s="339" customFormat="1" ht="13.35" customHeight="1" thickBot="1">
      <c r="A127" s="390"/>
      <c r="B127" s="390" t="s">
        <v>957</v>
      </c>
      <c r="C127" s="390"/>
      <c r="D127" s="391"/>
      <c r="E127" s="392" t="str">
        <f>IF(Model!E76&lt;&gt;"",Model!E76,"")</f>
        <v/>
      </c>
      <c r="F127" s="392" t="str">
        <f>IF(G127&lt;&gt;"",G127-E127,"")</f>
        <v/>
      </c>
      <c r="G127" s="392" t="str">
        <f>IF(Model!G76&lt;&gt;"",Model!G76,"")</f>
        <v/>
      </c>
      <c r="H127" s="392" t="str">
        <f>IF(Model!H76&lt;&gt;"",Model!H76,"")</f>
        <v/>
      </c>
      <c r="I127" s="392" t="str">
        <f>IF(J127&lt;&gt;"",J127-H127,"")</f>
        <v/>
      </c>
      <c r="J127" s="392" t="str">
        <f>IF(Model!J76&lt;&gt;"",Model!J76,"")</f>
        <v/>
      </c>
      <c r="K127" s="392" t="str">
        <f>IF(Model!K76&lt;&gt;"",Model!K76,"")</f>
        <v/>
      </c>
      <c r="L127" s="392" t="str">
        <f>IF(M127&lt;&gt;"",M127-K127,"")</f>
        <v/>
      </c>
      <c r="M127" s="392" t="str">
        <f>IF(Model!M76&lt;&gt;"",Model!M76,"")</f>
        <v/>
      </c>
      <c r="N127" s="392" t="str">
        <f>IF(Model!N76&lt;&gt;"",Model!N76,"")</f>
        <v/>
      </c>
      <c r="O127" s="392" t="str">
        <f>IF(P127&lt;&gt;"",P127-N127,"")</f>
        <v/>
      </c>
      <c r="P127" s="392" t="str">
        <f>IF(Model!P76&lt;&gt;"",Model!P76,"")</f>
        <v/>
      </c>
      <c r="Q127" s="392" t="str">
        <f>IF(Model!Q76&lt;&gt;"",Model!Q76,"")</f>
        <v/>
      </c>
      <c r="R127" s="392" t="str">
        <f>IF(S127&lt;&gt;"",S127-Q127,"")</f>
        <v/>
      </c>
      <c r="S127" s="392" t="str">
        <f>IF(Model!S76&lt;&gt;"",Model!S76,"")</f>
        <v/>
      </c>
      <c r="T127" s="392" t="str">
        <f>IF(Model!T76&lt;&gt;"",Model!T76,"")</f>
        <v/>
      </c>
      <c r="U127" s="392" t="str">
        <f>IF(V127&lt;&gt;"",V127-T127,"")</f>
        <v/>
      </c>
      <c r="V127" s="392" t="str">
        <f>IF(Model!V76&lt;&gt;"",Model!V76,"")</f>
        <v/>
      </c>
      <c r="W127" s="392" t="str">
        <f>IF(Model!W76&lt;&gt;"",Model!W76,"")</f>
        <v/>
      </c>
      <c r="X127" s="392" t="str">
        <f>IF(Y127&lt;&gt;"",Y127-W127,"")</f>
        <v/>
      </c>
      <c r="Y127" s="392" t="str">
        <f>IF(Model!Y76&lt;&gt;"",Model!Y76,"")</f>
        <v/>
      </c>
      <c r="Z127" s="392" t="str">
        <f>IF(Model!Z76&lt;&gt;"",Model!Z76,"")</f>
        <v/>
      </c>
      <c r="AA127" s="392" t="str">
        <f>IF(AB127&lt;&gt;"",AB127-Z127,"")</f>
        <v/>
      </c>
      <c r="AB127" s="392" t="str">
        <f>IF(Model!AB76&lt;&gt;"",Model!AB76,"")</f>
        <v/>
      </c>
      <c r="AC127" s="392" t="str">
        <f>IF(Model!AC76&lt;&gt;"",Model!AC76,"")</f>
        <v/>
      </c>
      <c r="AD127" s="392" t="str">
        <f>IF(AE127&lt;&gt;"",AE127-AC127,"")</f>
        <v/>
      </c>
      <c r="AE127" s="392" t="str">
        <f>IF(Model!AE76&lt;&gt;"",Model!AE76,"")</f>
        <v/>
      </c>
      <c r="AF127" s="392" t="str">
        <f>IF(Model!AF76&lt;&gt;"",Model!AF76,"")</f>
        <v/>
      </c>
      <c r="AG127" s="392" t="str">
        <f>IF(AH127&lt;&gt;"",AH127-AF127,"")</f>
        <v/>
      </c>
      <c r="AH127" s="392" t="str">
        <f>IF(Model!AH76&lt;&gt;"",Model!AH76,"")</f>
        <v/>
      </c>
      <c r="AI127" s="392">
        <f>IF(Model!AI76&lt;&gt;"",Model!AI76,"")</f>
        <v>1.6E-2</v>
      </c>
      <c r="AJ127" s="392">
        <f>IF(AK127&lt;&gt;"",AK127-AI127,"")</f>
        <v>0</v>
      </c>
      <c r="AK127" s="392">
        <f>IF(Model!AK76&lt;&gt;"",Model!AK76,"")</f>
        <v>1.6E-2</v>
      </c>
      <c r="AL127" s="392">
        <f>IF(Model!AL76&lt;&gt;"",Model!AL76,"")</f>
        <v>4.1000000000000002E-2</v>
      </c>
      <c r="AM127" s="392">
        <f>IF(AN127&lt;&gt;"",AN127-AL127,"")</f>
        <v>3.5999999999999997E-2</v>
      </c>
      <c r="AN127" s="392">
        <f>IF(Model!AN76&lt;&gt;"",Model!AN76,"")</f>
        <v>7.6999999999999999E-2</v>
      </c>
      <c r="AO127" s="392">
        <f>IF(Model!AO76&lt;&gt;"",Model!AO76,"")</f>
        <v>0.06</v>
      </c>
      <c r="AP127" s="392">
        <f>IF(AQ127&lt;&gt;"",AQ127-AO127,"")</f>
        <v>5.8999999999999997E-2</v>
      </c>
      <c r="AQ127" s="392">
        <f>IF(Model!AQ76&lt;&gt;"",Model!AQ76,"")</f>
        <v>0.11899999999999999</v>
      </c>
      <c r="AR127" s="392">
        <f>IF(Model!AR76&lt;&gt;"",Model!AR76,"")</f>
        <v>4.2999999999999997E-2</v>
      </c>
      <c r="AS127" s="392">
        <f>IF(AT127&lt;&gt;"",AT127-AR127,"")</f>
        <v>0.05</v>
      </c>
      <c r="AT127" s="392">
        <f>IF(Model!AT76&lt;&gt;"",Model!AT76,"")</f>
        <v>9.2999999999999999E-2</v>
      </c>
      <c r="AU127" s="392">
        <f>IF(Model!AU76&lt;&gt;"",Model!AU76,"")</f>
        <v>4.8000000000000001E-2</v>
      </c>
      <c r="AV127" s="392">
        <f>IF(AW127&lt;&gt;"",AW127-AU127,"")</f>
        <v>6.8000000000000005E-2</v>
      </c>
      <c r="AW127" s="392">
        <f>IF(Model!AW76&lt;&gt;"",Model!AW76,"")</f>
        <v>0.11600000000000001</v>
      </c>
      <c r="AX127" s="392">
        <f>IF(Model!AX76&lt;&gt;"",Model!AX76,"")</f>
        <v>4.2999999999999997E-2</v>
      </c>
      <c r="AY127" s="392">
        <f>IF(AZ127&lt;&gt;"",AZ127-AX127,"")</f>
        <v>0.05</v>
      </c>
      <c r="AZ127" s="392">
        <f>IF(Model!AZ76&lt;&gt;"",Model!AZ76,"")</f>
        <v>9.2999999999999999E-2</v>
      </c>
      <c r="BA127" s="392">
        <f>IF(Model!BA76&lt;&gt;"",Model!BA76,"")</f>
        <v>2.5000000000000001E-2</v>
      </c>
      <c r="BB127" s="392">
        <f>IF(BC127&lt;&gt;"",BC127-BA127,"")</f>
        <v>0.19700000000000001</v>
      </c>
      <c r="BC127" s="392">
        <f>IF(Model!BC76&lt;&gt;"",Model!BC76,"")</f>
        <v>0.222</v>
      </c>
      <c r="BD127" s="392">
        <v>0</v>
      </c>
      <c r="BE127" s="392">
        <f>IF(AND(BF127&lt;&gt;"",BD127&lt;&gt;""),BF127-BD127,"")</f>
        <v>0.8</v>
      </c>
      <c r="BF127" s="392">
        <v>0.8</v>
      </c>
      <c r="BG127" s="392">
        <v>0</v>
      </c>
      <c r="BH127" s="392">
        <f>IF(AND(BI127&lt;&gt;"",BG127&lt;&gt;""),BI127-BG127,"")</f>
        <v>0.8</v>
      </c>
      <c r="BI127" s="392">
        <v>0.8</v>
      </c>
      <c r="BJ127" s="392">
        <f>BJ121</f>
        <v>0.39500000000000002</v>
      </c>
      <c r="BK127" s="392">
        <f>BK121</f>
        <v>0.41600000000000004</v>
      </c>
      <c r="BL127" s="392">
        <f>BL121</f>
        <v>0.81100000000000005</v>
      </c>
      <c r="BM127" s="393">
        <f>Model!BM76/Assumptions!BM120</f>
        <v>1.6682625027620239E-2</v>
      </c>
      <c r="BN127" s="392">
        <f t="shared" ref="BN127:BX127" si="295">BN121</f>
        <v>2.4750000000000001</v>
      </c>
      <c r="BO127" s="392">
        <f t="shared" si="295"/>
        <v>2.9279999999999999</v>
      </c>
      <c r="BP127" s="392">
        <f t="shared" si="295"/>
        <v>3.03</v>
      </c>
      <c r="BQ127" s="392">
        <f t="shared" si="295"/>
        <v>3.3610000000000002</v>
      </c>
      <c r="BR127" s="392">
        <f t="shared" si="295"/>
        <v>6.391</v>
      </c>
      <c r="BS127" s="392">
        <f t="shared" si="295"/>
        <v>6.13</v>
      </c>
      <c r="BT127" s="392">
        <f t="shared" si="295"/>
        <v>6.1689999999999996</v>
      </c>
      <c r="BU127" s="392">
        <f t="shared" si="295"/>
        <v>12.298999999999999</v>
      </c>
      <c r="BV127" s="392">
        <f t="shared" si="295"/>
        <v>5.7030000000000003</v>
      </c>
      <c r="BW127" s="392">
        <f t="shared" si="295"/>
        <v>6.319</v>
      </c>
      <c r="BX127" s="392">
        <f t="shared" si="295"/>
        <v>12.022</v>
      </c>
      <c r="BY127" s="392">
        <f t="shared" ref="BY127:CZ127" si="296">BY121</f>
        <v>9.375</v>
      </c>
      <c r="BZ127" s="392">
        <f t="shared" si="296"/>
        <v>-0.52399999999999913</v>
      </c>
      <c r="CA127" s="392">
        <f t="shared" si="296"/>
        <v>8.8510000000000009</v>
      </c>
      <c r="CB127" s="392">
        <f t="shared" si="296"/>
        <v>5.8840000000000003</v>
      </c>
      <c r="CC127" s="392">
        <f t="shared" si="296"/>
        <v>6.5229999999999997</v>
      </c>
      <c r="CD127" s="392">
        <f t="shared" si="296"/>
        <v>12.407</v>
      </c>
      <c r="CE127" s="392">
        <f t="shared" si="296"/>
        <v>5.008</v>
      </c>
      <c r="CF127" s="392">
        <f t="shared" si="296"/>
        <v>3.6580000000000004</v>
      </c>
      <c r="CG127" s="392">
        <f t="shared" si="296"/>
        <v>8.6660000000000004</v>
      </c>
      <c r="CH127" s="392">
        <f t="shared" si="296"/>
        <v>2.8279999999999998</v>
      </c>
      <c r="CI127" s="392">
        <f t="shared" si="296"/>
        <v>3.3220000000000005</v>
      </c>
      <c r="CJ127" s="392">
        <f t="shared" si="296"/>
        <v>6.15</v>
      </c>
      <c r="CK127" s="392">
        <f t="shared" si="296"/>
        <v>3.1230000000000002</v>
      </c>
      <c r="CL127" s="392">
        <f t="shared" si="296"/>
        <v>3.7589999999999995</v>
      </c>
      <c r="CM127" s="392">
        <f t="shared" si="296"/>
        <v>6.8819999999999997</v>
      </c>
      <c r="CN127" s="392">
        <f t="shared" si="296"/>
        <v>4.74</v>
      </c>
      <c r="CO127" s="392">
        <f t="shared" si="296"/>
        <v>5.5609999999999982</v>
      </c>
      <c r="CP127" s="392">
        <f t="shared" si="296"/>
        <v>10.300999999999998</v>
      </c>
      <c r="CQ127" s="392">
        <f t="shared" si="296"/>
        <v>5.5419999999999998</v>
      </c>
      <c r="CR127" s="392">
        <f t="shared" si="296"/>
        <v>4.8580000000000023</v>
      </c>
      <c r="CS127" s="392">
        <f t="shared" si="296"/>
        <v>10.400000000000002</v>
      </c>
      <c r="CT127" s="392">
        <f t="shared" si="296"/>
        <v>4.8139999999999983</v>
      </c>
      <c r="CU127" s="392">
        <f t="shared" si="296"/>
        <v>3.9920000000000009</v>
      </c>
      <c r="CV127" s="392">
        <f t="shared" si="296"/>
        <v>8.8059999999999992</v>
      </c>
      <c r="CW127" s="392">
        <f t="shared" si="296"/>
        <v>3.6890000000000001</v>
      </c>
      <c r="CX127" s="392">
        <f t="shared" si="296"/>
        <v>3.8419168000000008</v>
      </c>
      <c r="CY127" s="392">
        <f t="shared" si="296"/>
        <v>7.5309168000000009</v>
      </c>
      <c r="CZ127" s="392">
        <f t="shared" si="296"/>
        <v>3.9811292000000003</v>
      </c>
      <c r="DA127" s="392">
        <f>DA121</f>
        <v>4.5188708000000002</v>
      </c>
      <c r="DB127" s="392">
        <f>+DA127+CZ127</f>
        <v>8.5</v>
      </c>
      <c r="DC127" s="392">
        <f>DC121</f>
        <v>3.0000000000000004</v>
      </c>
      <c r="DD127" s="392">
        <f>DD121</f>
        <v>2.1999999999999993</v>
      </c>
      <c r="DE127" s="392">
        <f>+DD127+DC127</f>
        <v>5.1999999999999993</v>
      </c>
      <c r="DF127" s="394">
        <v>5</v>
      </c>
      <c r="DG127" s="392">
        <f>DG121+DG125</f>
        <v>5.5594649999999994</v>
      </c>
      <c r="DH127" s="395">
        <f>+DG127+DF127</f>
        <v>10.559464999999999</v>
      </c>
      <c r="DI127" s="1357">
        <v>7</v>
      </c>
      <c r="DJ127" s="395">
        <f>+DK127-DI127</f>
        <v>5</v>
      </c>
      <c r="DK127" s="1356">
        <v>12</v>
      </c>
      <c r="DL127" s="1357">
        <v>4.3</v>
      </c>
      <c r="DM127" s="395">
        <f>+DN127-DL127</f>
        <v>4.3</v>
      </c>
      <c r="DN127" s="1356">
        <v>8.6</v>
      </c>
      <c r="DO127" s="1357">
        <v>4.7</v>
      </c>
      <c r="DP127" s="395">
        <f>+DQ127-DO127</f>
        <v>4.7</v>
      </c>
      <c r="DQ127" s="1356">
        <v>9.4</v>
      </c>
      <c r="DR127" s="1357">
        <v>4.3</v>
      </c>
      <c r="DS127" s="395">
        <f>+DT127-DR127</f>
        <v>4.8999999999999995</v>
      </c>
      <c r="DT127" s="1356">
        <v>9.1999999999999993</v>
      </c>
      <c r="DU127" s="1357">
        <v>5.7</v>
      </c>
      <c r="DV127" s="395">
        <f>+DW127-DU127</f>
        <v>5.3</v>
      </c>
      <c r="DW127" s="1356">
        <v>11</v>
      </c>
      <c r="DX127" s="1357">
        <v>6.3</v>
      </c>
      <c r="DY127" s="395">
        <f>DY121+DY125</f>
        <v>6.3</v>
      </c>
      <c r="DZ127" s="1222">
        <f>+DY127+DX127</f>
        <v>12.6</v>
      </c>
      <c r="EA127" s="395">
        <f>EA121+EA125</f>
        <v>6.3</v>
      </c>
      <c r="EB127" s="395">
        <f>EB121+EB125</f>
        <v>6.3</v>
      </c>
      <c r="EC127" s="1222">
        <f>+EB127+EA127</f>
        <v>12.6</v>
      </c>
      <c r="ED127" s="395">
        <f>ED121+ED125</f>
        <v>6.3</v>
      </c>
      <c r="EE127" s="395">
        <f>EE121+EE125</f>
        <v>6.3</v>
      </c>
      <c r="EF127" s="1222">
        <f>+EE127+ED127</f>
        <v>12.6</v>
      </c>
      <c r="EG127" s="395">
        <f>EG121+EG125</f>
        <v>6.3</v>
      </c>
      <c r="EH127" s="395">
        <f>EH121+EH125</f>
        <v>6.3</v>
      </c>
      <c r="EI127" s="1222">
        <f>+EH127+EG127</f>
        <v>12.6</v>
      </c>
      <c r="EJ127" s="395">
        <f>EJ121+EJ125</f>
        <v>6.3</v>
      </c>
      <c r="EK127" s="395">
        <f>EK121+EK125</f>
        <v>6.3</v>
      </c>
      <c r="EL127" s="1222">
        <f>+EK127+EJ127</f>
        <v>12.6</v>
      </c>
      <c r="EM127" s="395">
        <f>EM121+EM125</f>
        <v>6.3</v>
      </c>
      <c r="EN127" s="395">
        <f>EN121+EN125</f>
        <v>6.3</v>
      </c>
      <c r="EO127" s="1222">
        <f>+EN127+EM127</f>
        <v>12.6</v>
      </c>
      <c r="EP127" s="395">
        <f>EP121+EP125</f>
        <v>6.3</v>
      </c>
      <c r="EQ127" s="395">
        <f>EQ121+EQ125</f>
        <v>6.3</v>
      </c>
      <c r="ER127" s="1222">
        <f>+EQ127+EP127</f>
        <v>12.6</v>
      </c>
      <c r="ES127" s="395">
        <f>ES121+ES125</f>
        <v>6.3</v>
      </c>
      <c r="ET127" s="395">
        <f>ET121+ET125</f>
        <v>6.3</v>
      </c>
      <c r="EU127" s="1222">
        <f>+ET127+ES127</f>
        <v>12.6</v>
      </c>
      <c r="EV127" s="395">
        <f>EV121+EV125</f>
        <v>6.3</v>
      </c>
      <c r="EW127" s="395">
        <f>EW121+EW125</f>
        <v>6.3</v>
      </c>
      <c r="EX127" s="1222">
        <f>+EW127+EV127</f>
        <v>12.6</v>
      </c>
      <c r="EY127" s="395">
        <f>EY121+EY125</f>
        <v>6.3</v>
      </c>
      <c r="EZ127" s="395">
        <f>EZ121+EZ125</f>
        <v>6.3</v>
      </c>
      <c r="FA127" s="395">
        <f>+EZ127+EY127</f>
        <v>12.6</v>
      </c>
    </row>
    <row r="128" spans="1:157" ht="13.35" customHeight="1">
      <c r="A128" s="5"/>
      <c r="B128" s="5"/>
      <c r="C128" s="5"/>
      <c r="D128" s="378"/>
      <c r="E128" s="359"/>
      <c r="F128" s="359"/>
      <c r="G128" s="359"/>
      <c r="H128" s="359"/>
      <c r="I128" s="359"/>
      <c r="J128" s="359"/>
      <c r="K128" s="359"/>
      <c r="L128" s="359"/>
      <c r="M128" s="359"/>
      <c r="N128" s="359"/>
      <c r="O128" s="359"/>
      <c r="P128" s="359"/>
      <c r="Q128" s="359"/>
      <c r="R128" s="359"/>
      <c r="S128" s="359"/>
      <c r="T128" s="359"/>
      <c r="U128" s="359"/>
      <c r="V128" s="359"/>
      <c r="W128" s="359"/>
      <c r="X128" s="359"/>
      <c r="Y128" s="359"/>
      <c r="Z128" s="359"/>
      <c r="AA128" s="359"/>
      <c r="AB128" s="359"/>
      <c r="AC128" s="359"/>
      <c r="AD128" s="359"/>
      <c r="AE128" s="359"/>
      <c r="AF128" s="359"/>
      <c r="AG128" s="359"/>
      <c r="AH128" s="359"/>
      <c r="AI128" s="359"/>
      <c r="AJ128" s="359"/>
      <c r="AK128" s="359"/>
      <c r="AL128" s="359"/>
      <c r="AM128" s="359"/>
      <c r="AN128" s="359"/>
      <c r="AO128" s="359"/>
      <c r="AP128" s="359"/>
      <c r="AQ128" s="359"/>
      <c r="AR128" s="359"/>
      <c r="AS128" s="359"/>
      <c r="AT128" s="359"/>
      <c r="AU128" s="359"/>
      <c r="AV128" s="359"/>
      <c r="AW128" s="359"/>
      <c r="AX128" s="359"/>
      <c r="AY128" s="359"/>
      <c r="AZ128" s="359"/>
      <c r="BA128" s="359"/>
      <c r="BB128" s="359"/>
      <c r="BC128" s="359"/>
      <c r="BD128" s="359"/>
      <c r="BE128" s="359"/>
      <c r="BF128" s="359"/>
      <c r="BG128" s="359"/>
      <c r="BH128" s="359"/>
      <c r="BI128" s="359"/>
      <c r="BJ128" s="359"/>
      <c r="BK128" s="359"/>
      <c r="BL128" s="359"/>
      <c r="BM128" s="373"/>
      <c r="BN128" s="359"/>
      <c r="BO128" s="359"/>
      <c r="BP128" s="359"/>
      <c r="BQ128" s="359"/>
      <c r="BR128" s="359"/>
      <c r="BS128" s="359"/>
      <c r="BT128" s="359"/>
      <c r="BU128" s="359"/>
      <c r="BV128" s="359"/>
      <c r="BW128" s="359"/>
      <c r="BX128" s="359"/>
      <c r="BY128" s="359"/>
      <c r="BZ128" s="359"/>
      <c r="CA128" s="359"/>
      <c r="CB128" s="359"/>
      <c r="CC128" s="359"/>
      <c r="CD128" s="359"/>
      <c r="CE128" s="359"/>
      <c r="CF128" s="359"/>
      <c r="CG128" s="359"/>
      <c r="CH128" s="359"/>
      <c r="CI128" s="359"/>
      <c r="CJ128" s="359"/>
      <c r="CK128" s="359"/>
      <c r="CL128" s="359"/>
      <c r="CM128" s="359"/>
      <c r="CN128" s="359"/>
      <c r="CO128" s="359"/>
      <c r="CP128" s="359"/>
      <c r="CQ128" s="359"/>
      <c r="CR128" s="359"/>
      <c r="CS128" s="359"/>
      <c r="CT128" s="359"/>
      <c r="CU128" s="359"/>
      <c r="CV128" s="359"/>
      <c r="CW128" s="359"/>
      <c r="CX128" s="359"/>
      <c r="CY128" s="359"/>
      <c r="CZ128" s="359"/>
      <c r="DA128" s="359"/>
      <c r="DB128" s="359"/>
      <c r="DC128" s="359"/>
      <c r="DD128" s="359"/>
      <c r="DE128" s="359"/>
      <c r="DF128" s="359"/>
      <c r="DG128" s="359"/>
      <c r="DH128" s="379"/>
      <c r="DI128" s="379"/>
      <c r="DJ128" s="379"/>
      <c r="DK128" s="1218"/>
      <c r="DL128" s="379"/>
      <c r="DM128" s="379"/>
      <c r="DN128" s="1218"/>
      <c r="DO128" s="379"/>
      <c r="DP128" s="379"/>
      <c r="DQ128" s="1218"/>
      <c r="DR128" s="379"/>
      <c r="DS128" s="379"/>
      <c r="DT128" s="1218"/>
      <c r="DU128" s="379"/>
      <c r="DV128" s="379"/>
      <c r="DW128" s="1218"/>
      <c r="DX128" s="379"/>
      <c r="DY128" s="379"/>
      <c r="DZ128" s="1218"/>
      <c r="EA128" s="379"/>
      <c r="EB128" s="379"/>
      <c r="EC128" s="1218"/>
      <c r="ED128" s="379"/>
      <c r="EE128" s="379"/>
      <c r="EF128" s="1218"/>
      <c r="EG128" s="379"/>
      <c r="EH128" s="379"/>
      <c r="EI128" s="1218"/>
      <c r="EJ128" s="379"/>
      <c r="EK128" s="379"/>
      <c r="EL128" s="1218"/>
      <c r="EM128" s="379"/>
      <c r="EN128" s="379"/>
      <c r="EO128" s="1218"/>
      <c r="EP128" s="379"/>
      <c r="EQ128" s="379"/>
      <c r="ER128" s="1218"/>
      <c r="ES128" s="379"/>
      <c r="ET128" s="379"/>
      <c r="EU128" s="1218"/>
      <c r="EV128" s="379"/>
      <c r="EW128" s="379"/>
      <c r="EX128" s="1218"/>
      <c r="EY128" s="379"/>
      <c r="EZ128" s="379"/>
      <c r="FA128" s="379"/>
    </row>
    <row r="129" spans="1:157" ht="13.35" customHeight="1">
      <c r="A129" s="5"/>
      <c r="B129" s="5" t="s">
        <v>966</v>
      </c>
      <c r="C129" s="5"/>
      <c r="D129" s="378"/>
      <c r="E129" s="359"/>
      <c r="F129" s="359"/>
      <c r="G129" s="359"/>
      <c r="H129" s="359"/>
      <c r="I129" s="359"/>
      <c r="J129" s="359"/>
      <c r="K129" s="359"/>
      <c r="L129" s="359"/>
      <c r="M129" s="359"/>
      <c r="N129" s="359"/>
      <c r="O129" s="359"/>
      <c r="P129" s="359"/>
      <c r="Q129" s="359"/>
      <c r="R129" s="359"/>
      <c r="S129" s="359"/>
      <c r="T129" s="359"/>
      <c r="U129" s="359"/>
      <c r="V129" s="359"/>
      <c r="W129" s="359"/>
      <c r="X129" s="359"/>
      <c r="Y129" s="359"/>
      <c r="Z129" s="359"/>
      <c r="AA129" s="359"/>
      <c r="AB129" s="359"/>
      <c r="AC129" s="359"/>
      <c r="AD129" s="359"/>
      <c r="AE129" s="359"/>
      <c r="AF129" s="359"/>
      <c r="AG129" s="359"/>
      <c r="AH129" s="359"/>
      <c r="AI129" s="359"/>
      <c r="AJ129" s="359"/>
      <c r="AK129" s="359"/>
      <c r="AL129" s="359"/>
      <c r="AM129" s="359"/>
      <c r="AN129" s="359"/>
      <c r="AO129" s="359"/>
      <c r="AP129" s="359"/>
      <c r="AQ129" s="359"/>
      <c r="AR129" s="359"/>
      <c r="AS129" s="359"/>
      <c r="AT129" s="359"/>
      <c r="AU129" s="359"/>
      <c r="AV129" s="359"/>
      <c r="AW129" s="359"/>
      <c r="AX129" s="359"/>
      <c r="AY129" s="359"/>
      <c r="AZ129" s="359"/>
      <c r="BA129" s="359"/>
      <c r="BB129" s="359"/>
      <c r="BC129" s="359"/>
      <c r="BD129" s="359"/>
      <c r="BE129" s="359"/>
      <c r="BF129" s="359"/>
      <c r="BG129" s="359"/>
      <c r="BH129" s="359"/>
      <c r="BI129" s="359"/>
      <c r="BJ129" s="359"/>
      <c r="BK129" s="359"/>
      <c r="BL129" s="359"/>
      <c r="BM129" s="373"/>
      <c r="BN129" s="359"/>
      <c r="BO129" s="359"/>
      <c r="BP129" s="359"/>
      <c r="BQ129" s="359"/>
      <c r="BR129" s="359"/>
      <c r="BS129" s="359"/>
      <c r="BT129" s="359"/>
      <c r="BU129" s="359"/>
      <c r="BV129" s="359"/>
      <c r="BW129" s="359"/>
      <c r="BX129" s="359"/>
      <c r="BY129" s="359"/>
      <c r="BZ129" s="359"/>
      <c r="CA129" s="359"/>
      <c r="CB129" s="359"/>
      <c r="CC129" s="359"/>
      <c r="CD129" s="359"/>
      <c r="CE129" s="359"/>
      <c r="CF129" s="359"/>
      <c r="CG129" s="359"/>
      <c r="CH129" s="359"/>
      <c r="CI129" s="359"/>
      <c r="CJ129" s="359"/>
      <c r="CK129" s="359"/>
      <c r="CL129" s="359"/>
      <c r="CM129" s="359"/>
      <c r="CN129" s="359"/>
      <c r="CO129" s="359"/>
      <c r="CP129" s="359"/>
      <c r="CQ129" s="359"/>
      <c r="CR129" s="359"/>
      <c r="CS129" s="359"/>
      <c r="CT129" s="359"/>
      <c r="CU129" s="359"/>
      <c r="CV129" s="359"/>
      <c r="CW129" s="359"/>
      <c r="CX129" s="359"/>
      <c r="CY129" s="359"/>
      <c r="CZ129" s="359"/>
      <c r="DA129" s="359"/>
      <c r="DB129" s="359"/>
      <c r="DC129" s="359"/>
      <c r="DD129" s="359"/>
      <c r="DE129" s="359"/>
      <c r="DF129" s="359"/>
      <c r="DG129" s="359"/>
      <c r="DH129" s="379"/>
      <c r="DI129" s="379"/>
      <c r="DJ129" s="379"/>
      <c r="DK129" s="1218"/>
      <c r="DL129" s="379"/>
      <c r="DM129" s="379"/>
      <c r="DN129" s="1218"/>
      <c r="DO129" s="379"/>
      <c r="DP129" s="379"/>
      <c r="DQ129" s="1218"/>
      <c r="DR129" s="379"/>
      <c r="DS129" s="379"/>
      <c r="DT129" s="1218"/>
      <c r="DU129" s="379"/>
      <c r="DV129" s="379"/>
      <c r="DW129" s="1218"/>
      <c r="DX129" s="379"/>
      <c r="DY129" s="379"/>
      <c r="DZ129" s="1218"/>
      <c r="EA129" s="379"/>
      <c r="EB129" s="379"/>
      <c r="EC129" s="1218"/>
      <c r="ED129" s="379"/>
      <c r="EE129" s="379"/>
      <c r="EF129" s="1218"/>
      <c r="EG129" s="379"/>
      <c r="EH129" s="379"/>
      <c r="EI129" s="1218"/>
      <c r="EJ129" s="379"/>
      <c r="EK129" s="379"/>
      <c r="EL129" s="1218"/>
      <c r="EM129" s="379"/>
      <c r="EN129" s="379"/>
      <c r="EO129" s="1218"/>
      <c r="EP129" s="379"/>
      <c r="EQ129" s="379"/>
      <c r="ER129" s="1218"/>
      <c r="ES129" s="379"/>
      <c r="ET129" s="379"/>
      <c r="EU129" s="1218"/>
      <c r="EV129" s="379"/>
      <c r="EW129" s="379"/>
      <c r="EX129" s="1218"/>
      <c r="EY129" s="379"/>
      <c r="EZ129" s="379"/>
      <c r="FA129" s="379"/>
    </row>
    <row r="130" spans="1:157" ht="13.35" customHeight="1">
      <c r="A130" s="5"/>
      <c r="E130" s="359"/>
      <c r="F130" s="359"/>
      <c r="G130" s="359"/>
      <c r="H130" s="359"/>
      <c r="I130" s="359"/>
      <c r="J130" s="359"/>
      <c r="K130" s="359"/>
      <c r="L130" s="359"/>
      <c r="M130" s="359"/>
      <c r="N130" s="359"/>
      <c r="O130" s="359"/>
      <c r="P130" s="359"/>
      <c r="Q130" s="359"/>
      <c r="R130" s="359"/>
      <c r="S130" s="359"/>
      <c r="T130" s="359"/>
      <c r="U130" s="359"/>
      <c r="V130" s="359"/>
      <c r="W130" s="359"/>
      <c r="X130" s="359"/>
      <c r="Y130" s="359"/>
      <c r="Z130" s="359"/>
      <c r="AA130" s="359"/>
      <c r="AB130" s="359"/>
      <c r="AC130" s="359"/>
      <c r="AD130" s="359"/>
      <c r="AE130" s="359"/>
      <c r="AF130" s="359"/>
      <c r="AG130" s="359"/>
      <c r="AH130" s="359"/>
      <c r="AI130" s="359"/>
      <c r="AJ130" s="359"/>
      <c r="AK130" s="359"/>
      <c r="AL130" s="359"/>
      <c r="AM130" s="359"/>
      <c r="AN130" s="359"/>
      <c r="AO130" s="359"/>
      <c r="AP130" s="359"/>
      <c r="AQ130" s="359"/>
      <c r="AR130" s="359"/>
      <c r="AS130" s="359"/>
      <c r="AT130" s="359"/>
      <c r="AU130" s="359"/>
      <c r="AV130" s="359"/>
      <c r="AW130" s="359"/>
      <c r="AX130" s="359"/>
      <c r="AY130" s="359"/>
      <c r="AZ130" s="359"/>
      <c r="BA130" s="359"/>
      <c r="BB130" s="359"/>
      <c r="BC130" s="359"/>
      <c r="BD130" s="359"/>
      <c r="BE130" s="359"/>
      <c r="BF130" s="359"/>
      <c r="BG130" s="359"/>
      <c r="BH130" s="359"/>
      <c r="BI130" s="359"/>
      <c r="BJ130" s="359"/>
      <c r="BK130" s="359"/>
      <c r="BL130" s="359"/>
      <c r="BM130" s="373"/>
      <c r="BN130" s="359"/>
      <c r="BO130" s="359"/>
      <c r="BP130" s="359"/>
      <c r="BQ130" s="359"/>
      <c r="BR130" s="359"/>
      <c r="BS130" s="359"/>
      <c r="BT130" s="359"/>
      <c r="BU130" s="359"/>
      <c r="BV130" s="359"/>
      <c r="BW130" s="359"/>
      <c r="BX130" s="359"/>
      <c r="BY130" s="359"/>
      <c r="BZ130" s="359"/>
      <c r="CA130" s="359"/>
      <c r="CB130" s="359"/>
      <c r="CC130" s="359"/>
      <c r="CD130" s="359"/>
      <c r="CE130" s="359"/>
      <c r="CF130" s="359"/>
      <c r="CG130" s="359"/>
      <c r="CH130" s="359"/>
      <c r="CI130" s="359"/>
      <c r="CJ130" s="359"/>
      <c r="CK130" s="359"/>
      <c r="CL130" s="359"/>
      <c r="CM130" s="359"/>
      <c r="CN130" s="359"/>
      <c r="CO130" s="359"/>
      <c r="CP130" s="359"/>
      <c r="CQ130" s="359"/>
      <c r="CR130" s="359"/>
      <c r="CS130" s="359"/>
      <c r="CT130" s="359"/>
      <c r="CU130" s="359"/>
      <c r="CV130" s="359"/>
      <c r="CW130" s="359"/>
      <c r="CX130" s="359"/>
      <c r="CY130" s="359"/>
      <c r="CZ130" s="359"/>
      <c r="DA130" s="359"/>
      <c r="DB130" s="359"/>
      <c r="DC130" s="359"/>
      <c r="DD130" s="359"/>
      <c r="DE130" s="359"/>
      <c r="DF130" s="359"/>
      <c r="DG130" s="359"/>
      <c r="DH130" s="379"/>
      <c r="DI130" s="379"/>
      <c r="DJ130" s="379"/>
      <c r="DK130" s="1218"/>
      <c r="DL130" s="379"/>
      <c r="DM130" s="379"/>
      <c r="DN130" s="1218"/>
      <c r="DO130" s="379"/>
      <c r="DP130" s="379"/>
      <c r="DQ130" s="1218"/>
      <c r="DR130" s="379"/>
      <c r="DS130" s="379"/>
      <c r="DT130" s="1218"/>
      <c r="DU130" s="379"/>
      <c r="DV130" s="379"/>
      <c r="DW130" s="1218"/>
      <c r="DX130" s="379"/>
      <c r="DY130" s="379"/>
      <c r="DZ130" s="1218"/>
      <c r="EA130" s="379"/>
      <c r="EB130" s="379"/>
      <c r="EC130" s="1218"/>
      <c r="ED130" s="379"/>
      <c r="EE130" s="379"/>
      <c r="EF130" s="1218"/>
      <c r="EG130" s="379"/>
      <c r="EH130" s="379"/>
      <c r="EI130" s="1218"/>
      <c r="EJ130" s="379"/>
      <c r="EK130" s="379"/>
      <c r="EL130" s="1218"/>
      <c r="EM130" s="379"/>
      <c r="EN130" s="379"/>
      <c r="EO130" s="1218"/>
      <c r="EP130" s="379"/>
      <c r="EQ130" s="379"/>
      <c r="ER130" s="1218"/>
      <c r="ES130" s="379"/>
      <c r="ET130" s="379"/>
      <c r="EU130" s="1218"/>
      <c r="EV130" s="379"/>
      <c r="EW130" s="379"/>
      <c r="EX130" s="1218"/>
      <c r="EY130" s="379"/>
      <c r="EZ130" s="379"/>
      <c r="FA130" s="379"/>
    </row>
    <row r="131" spans="1:157" ht="13.35" customHeight="1">
      <c r="A131" s="5"/>
      <c r="B131" s="5" t="s">
        <v>967</v>
      </c>
      <c r="C131" s="5"/>
      <c r="D131" s="378" t="s">
        <v>604</v>
      </c>
      <c r="E131" s="359"/>
      <c r="F131" s="359"/>
      <c r="G131" s="359"/>
      <c r="H131" s="359"/>
      <c r="I131" s="359"/>
      <c r="J131" s="359"/>
      <c r="K131" s="359"/>
      <c r="L131" s="359"/>
      <c r="M131" s="359"/>
      <c r="N131" s="359"/>
      <c r="O131" s="359"/>
      <c r="P131" s="359"/>
      <c r="Q131" s="359"/>
      <c r="R131" s="359"/>
      <c r="S131" s="359"/>
      <c r="T131" s="359"/>
      <c r="U131" s="359"/>
      <c r="V131" s="359"/>
      <c r="W131" s="359"/>
      <c r="X131" s="359"/>
      <c r="Y131" s="359"/>
      <c r="Z131" s="359"/>
      <c r="AA131" s="359"/>
      <c r="AB131" s="359"/>
      <c r="AC131" s="359"/>
      <c r="AD131" s="359"/>
      <c r="AE131" s="359"/>
      <c r="AF131" s="359"/>
      <c r="AG131" s="359"/>
      <c r="AH131" s="359"/>
      <c r="AI131" s="359"/>
      <c r="AJ131" s="359"/>
      <c r="AK131" s="359"/>
      <c r="AL131" s="359"/>
      <c r="AM131" s="359"/>
      <c r="AN131" s="359"/>
      <c r="AO131" s="359"/>
      <c r="AP131" s="359"/>
      <c r="AQ131" s="359"/>
      <c r="AR131" s="359"/>
      <c r="AS131" s="359"/>
      <c r="AT131" s="359"/>
      <c r="AU131" s="359"/>
      <c r="AV131" s="359"/>
      <c r="AW131" s="359"/>
      <c r="AX131" s="359"/>
      <c r="AY131" s="359"/>
      <c r="AZ131" s="359"/>
      <c r="BA131" s="359"/>
      <c r="BB131" s="359"/>
      <c r="BC131" s="359"/>
      <c r="BD131" s="359"/>
      <c r="BE131" s="359"/>
      <c r="BF131" s="359"/>
      <c r="BG131" s="359"/>
      <c r="BH131" s="359"/>
      <c r="BI131" s="359"/>
      <c r="BJ131" s="359"/>
      <c r="BK131" s="359"/>
      <c r="BL131" s="359"/>
      <c r="BM131" s="373"/>
      <c r="BN131" s="359"/>
      <c r="BO131" s="359"/>
      <c r="BP131" s="359"/>
      <c r="BQ131" s="359"/>
      <c r="BR131" s="359"/>
      <c r="BS131" s="359"/>
      <c r="BT131" s="359"/>
      <c r="BU131" s="359"/>
      <c r="BV131" s="359"/>
      <c r="BW131" s="359"/>
      <c r="BX131" s="359"/>
      <c r="BY131" s="359"/>
      <c r="BZ131" s="359"/>
      <c r="CA131" s="359"/>
      <c r="CB131" s="359"/>
      <c r="CC131" s="359"/>
      <c r="CD131" s="359"/>
      <c r="CE131" s="359"/>
      <c r="CF131" s="359"/>
      <c r="CG131" s="359"/>
      <c r="CH131" s="359"/>
      <c r="CI131" s="359"/>
      <c r="CJ131" s="359"/>
      <c r="CK131" s="359"/>
      <c r="CL131" s="359"/>
      <c r="CM131" s="359"/>
      <c r="CN131" s="359"/>
      <c r="CO131" s="359"/>
      <c r="CP131" s="359"/>
      <c r="CQ131" s="359"/>
      <c r="CR131" s="359"/>
      <c r="CS131" s="359"/>
      <c r="CT131" s="359"/>
      <c r="CU131" s="359"/>
      <c r="CV131" s="359"/>
      <c r="CW131" s="359"/>
      <c r="CX131" s="359"/>
      <c r="CY131" s="359"/>
      <c r="CZ131" s="359"/>
      <c r="DA131" s="359"/>
      <c r="DB131" s="359"/>
      <c r="DC131" s="359"/>
      <c r="DD131" s="359"/>
      <c r="DE131" s="359"/>
      <c r="DF131" s="359">
        <f>-2.8</f>
        <v>-2.8</v>
      </c>
      <c r="DG131" s="359">
        <f>-DG125</f>
        <v>-3.17469</v>
      </c>
      <c r="DH131" s="379">
        <f>SUM(DF131:DG131)</f>
        <v>-5.9746899999999998</v>
      </c>
      <c r="DI131" s="379">
        <f>-DI125</f>
        <v>-3.17469</v>
      </c>
      <c r="DJ131" s="379">
        <f>-DJ125</f>
        <v>-3.5197649999999996</v>
      </c>
      <c r="DK131" s="1218">
        <f>SUM(DI131:DJ131)</f>
        <v>-6.6944549999999996</v>
      </c>
      <c r="DL131" s="379">
        <f>-DL125</f>
        <v>-3.5085299999999995</v>
      </c>
      <c r="DM131" s="379">
        <f>-DM125</f>
        <v>-3.3913649999999995</v>
      </c>
      <c r="DN131" s="1218">
        <f>SUM(DL131:DM131)</f>
        <v>-6.899894999999999</v>
      </c>
      <c r="DO131" s="379">
        <f>-DO125</f>
        <v>-3.3560549999999996</v>
      </c>
      <c r="DP131" s="379">
        <f>-DP125</f>
        <v>-3.23889</v>
      </c>
      <c r="DQ131" s="1218">
        <f>SUM(DO131:DP131)</f>
        <v>-6.5949449999999992</v>
      </c>
      <c r="DR131" s="379">
        <f>-DR125</f>
        <v>-4.3</v>
      </c>
      <c r="DS131" s="379">
        <f>-DS125</f>
        <v>-4.8999999999999995</v>
      </c>
      <c r="DT131" s="1218">
        <f>SUM(DR131:DS131)</f>
        <v>-9.1999999999999993</v>
      </c>
      <c r="DU131" s="379">
        <f>-DU125</f>
        <v>-5.7</v>
      </c>
      <c r="DV131" s="379">
        <f>-DV125</f>
        <v>-5.7</v>
      </c>
      <c r="DW131" s="1218">
        <f>SUM(DU131:DV131)</f>
        <v>-11.4</v>
      </c>
      <c r="DX131" s="379">
        <f>-DX125</f>
        <v>-6.3</v>
      </c>
      <c r="DY131" s="379">
        <f>-DY125</f>
        <v>-6.3</v>
      </c>
      <c r="DZ131" s="1218">
        <f>SUM(DX131:DY131)</f>
        <v>-12.6</v>
      </c>
      <c r="EA131" s="379">
        <f>-EA125</f>
        <v>-6.3</v>
      </c>
      <c r="EB131" s="379">
        <f>-EB125</f>
        <v>-6.3</v>
      </c>
      <c r="EC131" s="1218">
        <f>SUM(EA131:EB131)</f>
        <v>-12.6</v>
      </c>
      <c r="ED131" s="379">
        <f>-ED125</f>
        <v>-6.3</v>
      </c>
      <c r="EE131" s="379">
        <f>-EE125</f>
        <v>-6.3</v>
      </c>
      <c r="EF131" s="1218">
        <f>SUM(ED131:EE131)</f>
        <v>-12.6</v>
      </c>
      <c r="EG131" s="379">
        <f>-EG125</f>
        <v>-6.3</v>
      </c>
      <c r="EH131" s="379">
        <f>-EH125</f>
        <v>-6.3</v>
      </c>
      <c r="EI131" s="1218">
        <f>SUM(EG131:EH131)</f>
        <v>-12.6</v>
      </c>
      <c r="EJ131" s="379">
        <f>-EJ125</f>
        <v>-6.3</v>
      </c>
      <c r="EK131" s="379">
        <f>-EK125</f>
        <v>-6.3</v>
      </c>
      <c r="EL131" s="1218">
        <f>SUM(EJ131:EK131)</f>
        <v>-12.6</v>
      </c>
      <c r="EM131" s="379">
        <f>-EM125</f>
        <v>-6.3</v>
      </c>
      <c r="EN131" s="379">
        <f>-EN125</f>
        <v>-6.3</v>
      </c>
      <c r="EO131" s="1218">
        <f>SUM(EM131:EN131)</f>
        <v>-12.6</v>
      </c>
      <c r="EP131" s="379">
        <f>-EP125</f>
        <v>-6.3</v>
      </c>
      <c r="EQ131" s="379">
        <f>-EQ125</f>
        <v>-6.3</v>
      </c>
      <c r="ER131" s="1218">
        <f>SUM(EP131:EQ131)</f>
        <v>-12.6</v>
      </c>
      <c r="ES131" s="379">
        <f>-ES125</f>
        <v>-6.3</v>
      </c>
      <c r="ET131" s="379">
        <f>-ET125</f>
        <v>-6.3</v>
      </c>
      <c r="EU131" s="1218">
        <f>SUM(ES131:ET131)</f>
        <v>-12.6</v>
      </c>
      <c r="EV131" s="379">
        <f>-EV125</f>
        <v>-6.3</v>
      </c>
      <c r="EW131" s="379">
        <f>-EW125</f>
        <v>-6.3</v>
      </c>
      <c r="EX131" s="1218">
        <f>SUM(EV131:EW131)</f>
        <v>-12.6</v>
      </c>
      <c r="EY131" s="379">
        <f>-EY125</f>
        <v>-6.3</v>
      </c>
      <c r="EZ131" s="379">
        <f>-EZ125</f>
        <v>-6.3</v>
      </c>
      <c r="FA131" s="379">
        <f>SUM(EY131:EZ131)</f>
        <v>-12.6</v>
      </c>
    </row>
    <row r="132" spans="1:157" ht="13.35" customHeight="1">
      <c r="A132" s="5"/>
      <c r="B132" s="5" t="s">
        <v>968</v>
      </c>
      <c r="C132" s="5"/>
      <c r="D132" s="378" t="s">
        <v>604</v>
      </c>
      <c r="E132" s="359"/>
      <c r="F132" s="359"/>
      <c r="G132" s="359"/>
      <c r="H132" s="359"/>
      <c r="I132" s="359"/>
      <c r="J132" s="359"/>
      <c r="K132" s="359"/>
      <c r="L132" s="359"/>
      <c r="M132" s="359"/>
      <c r="N132" s="359"/>
      <c r="O132" s="359"/>
      <c r="P132" s="359"/>
      <c r="Q132" s="359"/>
      <c r="R132" s="359"/>
      <c r="S132" s="359"/>
      <c r="T132" s="359"/>
      <c r="U132" s="359"/>
      <c r="V132" s="359"/>
      <c r="W132" s="359"/>
      <c r="X132" s="359"/>
      <c r="Y132" s="359"/>
      <c r="Z132" s="359"/>
      <c r="AA132" s="359"/>
      <c r="AB132" s="359"/>
      <c r="AC132" s="359"/>
      <c r="AD132" s="359"/>
      <c r="AE132" s="359"/>
      <c r="AF132" s="359"/>
      <c r="AG132" s="359"/>
      <c r="AH132" s="359"/>
      <c r="AI132" s="359"/>
      <c r="AJ132" s="359"/>
      <c r="AK132" s="359"/>
      <c r="AL132" s="359"/>
      <c r="AM132" s="359"/>
      <c r="AN132" s="359"/>
      <c r="AO132" s="359"/>
      <c r="AP132" s="359"/>
      <c r="AQ132" s="359"/>
      <c r="AR132" s="359"/>
      <c r="AS132" s="359"/>
      <c r="AT132" s="359"/>
      <c r="AU132" s="359"/>
      <c r="AV132" s="359"/>
      <c r="AW132" s="359"/>
      <c r="AX132" s="359"/>
      <c r="AY132" s="359"/>
      <c r="AZ132" s="359"/>
      <c r="BA132" s="359"/>
      <c r="BB132" s="359"/>
      <c r="BC132" s="359"/>
      <c r="BD132" s="359"/>
      <c r="BE132" s="359"/>
      <c r="BF132" s="359"/>
      <c r="BG132" s="359"/>
      <c r="BH132" s="359"/>
      <c r="BI132" s="359"/>
      <c r="BJ132" s="359"/>
      <c r="BK132" s="359"/>
      <c r="BL132" s="359"/>
      <c r="BM132" s="373"/>
      <c r="BN132" s="359"/>
      <c r="BO132" s="359"/>
      <c r="BP132" s="359"/>
      <c r="BQ132" s="359"/>
      <c r="BR132" s="359"/>
      <c r="BS132" s="359"/>
      <c r="BT132" s="359"/>
      <c r="BU132" s="359"/>
      <c r="BV132" s="359"/>
      <c r="BW132" s="359"/>
      <c r="BX132" s="359"/>
      <c r="BY132" s="359"/>
      <c r="BZ132" s="359"/>
      <c r="CA132" s="359"/>
      <c r="CB132" s="359"/>
      <c r="CC132" s="359"/>
      <c r="CD132" s="359"/>
      <c r="CE132" s="359"/>
      <c r="CF132" s="359"/>
      <c r="CG132" s="359"/>
      <c r="CH132" s="359"/>
      <c r="CI132" s="359"/>
      <c r="CJ132" s="359"/>
      <c r="CK132" s="359"/>
      <c r="CL132" s="359"/>
      <c r="CM132" s="359"/>
      <c r="CN132" s="359"/>
      <c r="CO132" s="359"/>
      <c r="CP132" s="359"/>
      <c r="CQ132" s="359"/>
      <c r="CR132" s="359"/>
      <c r="CS132" s="359"/>
      <c r="CT132" s="359"/>
      <c r="CU132" s="359"/>
      <c r="CV132" s="359"/>
      <c r="CW132" s="359"/>
      <c r="CX132" s="359"/>
      <c r="CY132" s="359"/>
      <c r="CZ132" s="359"/>
      <c r="DA132" s="359"/>
      <c r="DB132" s="359"/>
      <c r="DC132" s="359"/>
      <c r="DD132" s="359"/>
      <c r="DE132" s="359"/>
      <c r="DF132" s="359">
        <f>-12.6</f>
        <v>-12.6</v>
      </c>
      <c r="DG132" s="359">
        <f>DG133-DG131</f>
        <v>-12.225309999999999</v>
      </c>
      <c r="DH132" s="379">
        <f>SUM(DF132:DG132)</f>
        <v>-24.825309999999998</v>
      </c>
      <c r="DI132" s="379">
        <v>-10.5</v>
      </c>
      <c r="DJ132" s="379">
        <f>DJ133-DJ131</f>
        <v>-12.265234999999997</v>
      </c>
      <c r="DK132" s="1218">
        <f>SUM(DI132:DJ132)</f>
        <v>-22.765234999999997</v>
      </c>
      <c r="DL132" s="379">
        <f>DL133-DL131</f>
        <v>-12.671094999999994</v>
      </c>
      <c r="DM132" s="379">
        <f>DM133-DM131</f>
        <v>-12.788259999999994</v>
      </c>
      <c r="DN132" s="1218">
        <f>SUM(DL132:DM132)</f>
        <v>-25.459354999999988</v>
      </c>
      <c r="DO132" s="1368">
        <f>DO133-DO131</f>
        <v>-13.228060624999992</v>
      </c>
      <c r="DP132" s="379">
        <f>DP133-DP131</f>
        <v>-13.345225624999992</v>
      </c>
      <c r="DQ132" s="1218">
        <f>SUM(DO132:DP132)</f>
        <v>-26.573286249999985</v>
      </c>
      <c r="DR132" s="379">
        <v>-17.3</v>
      </c>
      <c r="DS132" s="379">
        <f>DS133-DS131</f>
        <v>-12.098718515624991</v>
      </c>
      <c r="DT132" s="1218">
        <f>SUM(DR132:DS132)</f>
        <v>-29.398718515624992</v>
      </c>
      <c r="DU132" s="379">
        <f>DU133-DU131</f>
        <v>-11.723686478515614</v>
      </c>
      <c r="DV132" s="379">
        <f>DV133-DV131</f>
        <v>-11.723686478515614</v>
      </c>
      <c r="DW132" s="1218">
        <f>SUM(DU132:DV132)</f>
        <v>-23.447372957031227</v>
      </c>
      <c r="DX132" s="379">
        <f>DX133-DX131</f>
        <v>-11.5592786404785</v>
      </c>
      <c r="DY132" s="379">
        <f>DY133-DY131</f>
        <v>-11.5592786404785</v>
      </c>
      <c r="DZ132" s="1218">
        <f>SUM(DX132:DY132)</f>
        <v>-23.118557280956999</v>
      </c>
      <c r="EA132" s="379">
        <f>EA133-EA131</f>
        <v>-12.005760606490462</v>
      </c>
      <c r="EB132" s="379">
        <f>EB133-EB131</f>
        <v>-12.005760606490462</v>
      </c>
      <c r="EC132" s="1218">
        <f>SUM(EA132:EB132)</f>
        <v>-24.011521212980924</v>
      </c>
      <c r="ED132" s="379">
        <f>ED133-ED131</f>
        <v>-12.463404621652721</v>
      </c>
      <c r="EE132" s="379">
        <f>EE133-EE131</f>
        <v>-12.463404621652721</v>
      </c>
      <c r="EF132" s="1218">
        <f>SUM(ED132:EE132)</f>
        <v>-24.926809243305442</v>
      </c>
      <c r="EG132" s="379">
        <f>EG133-EG131</f>
        <v>-12.932489737194036</v>
      </c>
      <c r="EH132" s="379">
        <f>EH133-EH131</f>
        <v>-12.932489737194036</v>
      </c>
      <c r="EI132" s="1218">
        <f>SUM(EG132:EH132)</f>
        <v>-25.864979474388072</v>
      </c>
      <c r="EJ132" s="379">
        <f>EJ133-EJ131</f>
        <v>-13.413301980623885</v>
      </c>
      <c r="EK132" s="379">
        <f>EK133-EK131</f>
        <v>-13.413301980623885</v>
      </c>
      <c r="EL132" s="1218">
        <f>SUM(EJ132:EK132)</f>
        <v>-26.82660396124777</v>
      </c>
      <c r="EM132" s="379">
        <f>EM133-EM131</f>
        <v>-13.906134530139479</v>
      </c>
      <c r="EN132" s="379">
        <f>EN133-EN131</f>
        <v>-13.906134530139479</v>
      </c>
      <c r="EO132" s="1218">
        <f>SUM(EM132:EN132)</f>
        <v>-27.812269060278958</v>
      </c>
      <c r="EP132" s="379">
        <f>EP133-EP131</f>
        <v>-14.411287893392963</v>
      </c>
      <c r="EQ132" s="379">
        <f>EQ133-EQ131</f>
        <v>-14.411287893392963</v>
      </c>
      <c r="ER132" s="1218">
        <f>SUM(EP132:EQ132)</f>
        <v>-28.822575786785926</v>
      </c>
      <c r="ES132" s="379">
        <f>ES133-ES131</f>
        <v>-14.929070090727784</v>
      </c>
      <c r="ET132" s="379">
        <f>ET133-ET131</f>
        <v>-14.929070090727784</v>
      </c>
      <c r="EU132" s="1218">
        <f>SUM(ES132:ET132)</f>
        <v>-29.858140181455568</v>
      </c>
      <c r="EV132" s="379">
        <f>EV133-EV131</f>
        <v>-15.459796842995978</v>
      </c>
      <c r="EW132" s="379">
        <f>EW133-EW131</f>
        <v>-15.459796842995978</v>
      </c>
      <c r="EX132" s="1218">
        <f>SUM(EV132:EW132)</f>
        <v>-30.919593685991956</v>
      </c>
      <c r="EY132" s="379">
        <f>EY133-EY131</f>
        <v>-16.003791764070876</v>
      </c>
      <c r="EZ132" s="379">
        <f>EZ133-EZ131</f>
        <v>-16.003791764070876</v>
      </c>
      <c r="FA132" s="379">
        <f>SUM(EY132:EZ132)</f>
        <v>-32.007583528141751</v>
      </c>
    </row>
    <row r="133" spans="1:157" ht="13.35" customHeight="1">
      <c r="A133" s="5"/>
      <c r="B133" s="5" t="s">
        <v>327</v>
      </c>
      <c r="C133" s="5"/>
      <c r="D133" s="378" t="s">
        <v>604</v>
      </c>
      <c r="E133" s="359"/>
      <c r="F133" s="359"/>
      <c r="G133" s="359"/>
      <c r="H133" s="359"/>
      <c r="I133" s="359"/>
      <c r="J133" s="359"/>
      <c r="K133" s="359"/>
      <c r="L133" s="359"/>
      <c r="M133" s="359"/>
      <c r="N133" s="359"/>
      <c r="O133" s="359"/>
      <c r="P133" s="359"/>
      <c r="Q133" s="359"/>
      <c r="R133" s="359"/>
      <c r="S133" s="359"/>
      <c r="T133" s="359"/>
      <c r="U133" s="359"/>
      <c r="V133" s="359"/>
      <c r="W133" s="359"/>
      <c r="X133" s="359"/>
      <c r="Y133" s="359"/>
      <c r="Z133" s="359"/>
      <c r="AA133" s="359"/>
      <c r="AB133" s="359"/>
      <c r="AC133" s="359"/>
      <c r="AD133" s="359"/>
      <c r="AE133" s="359"/>
      <c r="AF133" s="359"/>
      <c r="AG133" s="359"/>
      <c r="AH133" s="359"/>
      <c r="AI133" s="359"/>
      <c r="AJ133" s="359"/>
      <c r="AK133" s="359"/>
      <c r="AL133" s="359"/>
      <c r="AM133" s="359"/>
      <c r="AN133" s="359"/>
      <c r="AO133" s="359"/>
      <c r="AP133" s="359"/>
      <c r="AQ133" s="359"/>
      <c r="AR133" s="359"/>
      <c r="AS133" s="359"/>
      <c r="AT133" s="359"/>
      <c r="AU133" s="359"/>
      <c r="AV133" s="359"/>
      <c r="AW133" s="359"/>
      <c r="AX133" s="359"/>
      <c r="AY133" s="359"/>
      <c r="AZ133" s="359"/>
      <c r="BA133" s="359"/>
      <c r="BB133" s="359"/>
      <c r="BC133" s="359"/>
      <c r="BD133" s="359"/>
      <c r="BE133" s="359"/>
      <c r="BF133" s="359"/>
      <c r="BG133" s="359"/>
      <c r="BH133" s="359"/>
      <c r="BI133" s="359"/>
      <c r="BJ133" s="359"/>
      <c r="BK133" s="359"/>
      <c r="BL133" s="359"/>
      <c r="BM133" s="373"/>
      <c r="BN133" s="359"/>
      <c r="BO133" s="359"/>
      <c r="BP133" s="359"/>
      <c r="BQ133" s="359"/>
      <c r="BR133" s="359"/>
      <c r="BS133" s="359"/>
      <c r="BT133" s="359"/>
      <c r="BU133" s="359"/>
      <c r="BV133" s="359"/>
      <c r="BW133" s="359"/>
      <c r="BX133" s="359"/>
      <c r="BY133" s="359"/>
      <c r="BZ133" s="359"/>
      <c r="CA133" s="359"/>
      <c r="CB133" s="359"/>
      <c r="CC133" s="359"/>
      <c r="CD133" s="359"/>
      <c r="CE133" s="359"/>
      <c r="CF133" s="359"/>
      <c r="CG133" s="359"/>
      <c r="CH133" s="359"/>
      <c r="CI133" s="359"/>
      <c r="CJ133" s="359"/>
      <c r="CK133" s="359"/>
      <c r="CL133" s="359"/>
      <c r="CM133" s="359"/>
      <c r="CN133" s="359"/>
      <c r="CO133" s="359"/>
      <c r="CP133" s="359"/>
      <c r="CQ133" s="359"/>
      <c r="CR133" s="359"/>
      <c r="CS133" s="359"/>
      <c r="CT133" s="359"/>
      <c r="CU133" s="359"/>
      <c r="CV133" s="359"/>
      <c r="CW133" s="359"/>
      <c r="CX133" s="359"/>
      <c r="CY133" s="359"/>
      <c r="CZ133" s="359"/>
      <c r="DA133" s="359"/>
      <c r="DB133" s="359"/>
      <c r="DC133" s="359"/>
      <c r="DD133" s="359"/>
      <c r="DE133" s="359"/>
      <c r="DF133" s="359">
        <f>SUM(DF131:DF132)</f>
        <v>-15.399999999999999</v>
      </c>
      <c r="DG133" s="359">
        <f>DF133</f>
        <v>-15.399999999999999</v>
      </c>
      <c r="DH133" s="379">
        <f>SUM(DF133:DG133)</f>
        <v>-30.799999999999997</v>
      </c>
      <c r="DI133" s="379">
        <f>DF133*1.025</f>
        <v>-15.784999999999997</v>
      </c>
      <c r="DJ133" s="379">
        <f>DG133*1.025</f>
        <v>-15.784999999999997</v>
      </c>
      <c r="DK133" s="1218">
        <f>SUM(DI133:DJ133)</f>
        <v>-31.569999999999993</v>
      </c>
      <c r="DL133" s="379">
        <f>DI133*1.025</f>
        <v>-16.179624999999994</v>
      </c>
      <c r="DM133" s="379">
        <f>DJ133*1.025</f>
        <v>-16.179624999999994</v>
      </c>
      <c r="DN133" s="1218">
        <f>SUM(DL133:DM133)</f>
        <v>-32.359249999999989</v>
      </c>
      <c r="DO133" s="379">
        <f>DL133*1.025</f>
        <v>-16.584115624999992</v>
      </c>
      <c r="DP133" s="379">
        <f>DM133*1.025</f>
        <v>-16.584115624999992</v>
      </c>
      <c r="DQ133" s="1218">
        <f>SUM(DO133:DP133)</f>
        <v>-33.168231249999984</v>
      </c>
      <c r="DR133" s="379">
        <f>DO133*1.025</f>
        <v>-16.99871851562499</v>
      </c>
      <c r="DS133" s="379">
        <f>DP133*1.025</f>
        <v>-16.99871851562499</v>
      </c>
      <c r="DT133" s="1218">
        <f>SUM(DR133:DS133)</f>
        <v>-33.99743703124998</v>
      </c>
      <c r="DU133" s="379">
        <f>DR133*1.025</f>
        <v>-17.423686478515613</v>
      </c>
      <c r="DV133" s="379">
        <f>DS133*1.025</f>
        <v>-17.423686478515613</v>
      </c>
      <c r="DW133" s="1218">
        <f>SUM(DU133:DV133)</f>
        <v>-34.847372957031226</v>
      </c>
      <c r="DX133" s="379">
        <f>DU133*1.025</f>
        <v>-17.8592786404785</v>
      </c>
      <c r="DY133" s="379">
        <f>DV133*1.025</f>
        <v>-17.8592786404785</v>
      </c>
      <c r="DZ133" s="1218">
        <f>SUM(DX133:DY133)</f>
        <v>-35.718557280957</v>
      </c>
      <c r="EA133" s="379">
        <f>DX133*1.025</f>
        <v>-18.305760606490463</v>
      </c>
      <c r="EB133" s="379">
        <f>DY133*1.025</f>
        <v>-18.305760606490463</v>
      </c>
      <c r="EC133" s="1218">
        <f>SUM(EA133:EB133)</f>
        <v>-36.611521212980925</v>
      </c>
      <c r="ED133" s="379">
        <f>EA133*1.025</f>
        <v>-18.763404621652722</v>
      </c>
      <c r="EE133" s="379">
        <f>EB133*1.025</f>
        <v>-18.763404621652722</v>
      </c>
      <c r="EF133" s="1218">
        <f>SUM(ED133:EE133)</f>
        <v>-37.526809243305443</v>
      </c>
      <c r="EG133" s="379">
        <f>ED133*1.025</f>
        <v>-19.232489737194037</v>
      </c>
      <c r="EH133" s="379">
        <f>EE133*1.025</f>
        <v>-19.232489737194037</v>
      </c>
      <c r="EI133" s="1218">
        <f>SUM(EG133:EH133)</f>
        <v>-38.464979474388073</v>
      </c>
      <c r="EJ133" s="379">
        <f>EG133*1.025</f>
        <v>-19.713301980623886</v>
      </c>
      <c r="EK133" s="379">
        <f>EH133*1.025</f>
        <v>-19.713301980623886</v>
      </c>
      <c r="EL133" s="1218">
        <f>SUM(EJ133:EK133)</f>
        <v>-39.426603961247771</v>
      </c>
      <c r="EM133" s="379">
        <f>EJ133*1.025</f>
        <v>-20.206134530139479</v>
      </c>
      <c r="EN133" s="379">
        <f>EK133*1.025</f>
        <v>-20.206134530139479</v>
      </c>
      <c r="EO133" s="1218">
        <f>SUM(EM133:EN133)</f>
        <v>-40.412269060278959</v>
      </c>
      <c r="EP133" s="379">
        <f>EM133*1.025</f>
        <v>-20.711287893392964</v>
      </c>
      <c r="EQ133" s="379">
        <f>EN133*1.025</f>
        <v>-20.711287893392964</v>
      </c>
      <c r="ER133" s="1218">
        <f>SUM(EP133:EQ133)</f>
        <v>-41.422575786785927</v>
      </c>
      <c r="ES133" s="379">
        <f>EP133*1.025</f>
        <v>-21.229070090727785</v>
      </c>
      <c r="ET133" s="379">
        <f>EQ133*1.025</f>
        <v>-21.229070090727785</v>
      </c>
      <c r="EU133" s="1218">
        <f>SUM(ES133:ET133)</f>
        <v>-42.458140181455569</v>
      </c>
      <c r="EV133" s="379">
        <f>ES133*1.025</f>
        <v>-21.759796842995978</v>
      </c>
      <c r="EW133" s="379">
        <f>ET133*1.025</f>
        <v>-21.759796842995978</v>
      </c>
      <c r="EX133" s="1218">
        <f>SUM(EV133:EW133)</f>
        <v>-43.519593685991957</v>
      </c>
      <c r="EY133" s="379">
        <f>EV133*1.025</f>
        <v>-22.303791764070876</v>
      </c>
      <c r="EZ133" s="379">
        <f>EW133*1.025</f>
        <v>-22.303791764070876</v>
      </c>
      <c r="FA133" s="379">
        <f>SUM(EY133:EZ133)</f>
        <v>-44.607583528141753</v>
      </c>
    </row>
    <row r="134" spans="1:157" ht="13.35" customHeight="1">
      <c r="A134" s="5"/>
      <c r="B134" s="5"/>
      <c r="C134" s="5"/>
      <c r="D134" s="378"/>
      <c r="E134" s="359"/>
      <c r="F134" s="359"/>
      <c r="G134" s="359"/>
      <c r="H134" s="359"/>
      <c r="I134" s="359"/>
      <c r="J134" s="359"/>
      <c r="K134" s="359"/>
      <c r="L134" s="359"/>
      <c r="M134" s="359"/>
      <c r="N134" s="359"/>
      <c r="O134" s="359"/>
      <c r="P134" s="359"/>
      <c r="Q134" s="359"/>
      <c r="R134" s="359"/>
      <c r="S134" s="359"/>
      <c r="T134" s="359"/>
      <c r="U134" s="359"/>
      <c r="V134" s="359"/>
      <c r="W134" s="359"/>
      <c r="X134" s="359"/>
      <c r="Y134" s="359"/>
      <c r="Z134" s="359"/>
      <c r="AA134" s="359"/>
      <c r="AB134" s="359"/>
      <c r="AC134" s="359"/>
      <c r="AD134" s="359"/>
      <c r="AE134" s="359"/>
      <c r="AF134" s="359"/>
      <c r="AG134" s="359"/>
      <c r="AH134" s="359"/>
      <c r="AI134" s="359"/>
      <c r="AJ134" s="359"/>
      <c r="AK134" s="359"/>
      <c r="AL134" s="359"/>
      <c r="AM134" s="359"/>
      <c r="AN134" s="359"/>
      <c r="AO134" s="359"/>
      <c r="AP134" s="359"/>
      <c r="AQ134" s="359"/>
      <c r="AR134" s="359"/>
      <c r="AS134" s="359"/>
      <c r="AT134" s="359"/>
      <c r="AU134" s="359"/>
      <c r="AV134" s="359"/>
      <c r="AW134" s="359"/>
      <c r="AX134" s="359"/>
      <c r="AY134" s="359"/>
      <c r="AZ134" s="359"/>
      <c r="BA134" s="359"/>
      <c r="BB134" s="359"/>
      <c r="BC134" s="359"/>
      <c r="BD134" s="359"/>
      <c r="BE134" s="359"/>
      <c r="BF134" s="359"/>
      <c r="BG134" s="359"/>
      <c r="BH134" s="359"/>
      <c r="BI134" s="359"/>
      <c r="BJ134" s="359"/>
      <c r="BK134" s="359"/>
      <c r="BL134" s="359"/>
      <c r="BM134" s="373"/>
      <c r="BN134" s="359"/>
      <c r="BO134" s="359"/>
      <c r="BP134" s="359"/>
      <c r="BQ134" s="359"/>
      <c r="BR134" s="359"/>
      <c r="BS134" s="359"/>
      <c r="BT134" s="359"/>
      <c r="BU134" s="359"/>
      <c r="BV134" s="359"/>
      <c r="BW134" s="359"/>
      <c r="BX134" s="359"/>
      <c r="BY134" s="359"/>
      <c r="BZ134" s="359"/>
      <c r="CA134" s="359"/>
      <c r="CB134" s="359"/>
      <c r="CC134" s="359"/>
      <c r="CD134" s="359"/>
      <c r="CE134" s="359"/>
      <c r="CF134" s="359"/>
      <c r="CG134" s="359"/>
      <c r="CH134" s="359"/>
      <c r="CI134" s="359"/>
      <c r="CJ134" s="359"/>
      <c r="CK134" s="359"/>
      <c r="CL134" s="359"/>
      <c r="CM134" s="359"/>
      <c r="CN134" s="359"/>
      <c r="CO134" s="359"/>
      <c r="CP134" s="359"/>
      <c r="CQ134" s="359"/>
      <c r="CR134" s="359"/>
      <c r="CS134" s="359"/>
      <c r="CT134" s="359"/>
      <c r="CU134" s="359"/>
      <c r="CV134" s="359"/>
      <c r="CW134" s="359"/>
      <c r="CX134" s="359"/>
      <c r="CY134" s="359"/>
      <c r="CZ134" s="359"/>
      <c r="DA134" s="359"/>
      <c r="DB134" s="359"/>
      <c r="DC134" s="359"/>
      <c r="DD134" s="359"/>
      <c r="DE134" s="359"/>
      <c r="DF134" s="359"/>
      <c r="DG134" s="359"/>
      <c r="DH134" s="379"/>
      <c r="DI134" s="379"/>
      <c r="DJ134" s="379"/>
      <c r="DK134" s="1218"/>
      <c r="DL134" s="379"/>
      <c r="DM134" s="379"/>
      <c r="DN134" s="1218"/>
      <c r="DO134" s="379"/>
      <c r="DP134" s="379"/>
      <c r="DQ134" s="1218"/>
      <c r="DR134" s="379"/>
      <c r="DS134" s="379"/>
      <c r="DT134" s="1218"/>
      <c r="DU134" s="379"/>
      <c r="DV134" s="379"/>
      <c r="DW134" s="1218"/>
      <c r="DX134" s="379"/>
      <c r="DY134" s="379"/>
      <c r="DZ134" s="1218"/>
      <c r="EA134" s="379"/>
      <c r="EB134" s="379"/>
      <c r="EC134" s="1218"/>
      <c r="ED134" s="379"/>
      <c r="EE134" s="379"/>
      <c r="EF134" s="1218"/>
      <c r="EG134" s="379"/>
      <c r="EH134" s="379"/>
      <c r="EI134" s="1218"/>
      <c r="EJ134" s="379"/>
      <c r="EK134" s="379"/>
      <c r="EL134" s="1218"/>
      <c r="EM134" s="379"/>
      <c r="EN134" s="379"/>
      <c r="EO134" s="1218"/>
      <c r="EP134" s="379"/>
      <c r="EQ134" s="379"/>
      <c r="ER134" s="1218"/>
      <c r="ES134" s="379"/>
      <c r="ET134" s="379"/>
      <c r="EU134" s="1218"/>
      <c r="EV134" s="379"/>
      <c r="EW134" s="379"/>
      <c r="EX134" s="1218"/>
      <c r="EY134" s="379"/>
      <c r="EZ134" s="379"/>
      <c r="FA134" s="379"/>
    </row>
    <row r="135" spans="1:157" ht="13.35" customHeight="1">
      <c r="A135" s="5"/>
      <c r="B135" s="5"/>
      <c r="C135" s="5" t="s">
        <v>1099</v>
      </c>
      <c r="D135" s="378"/>
      <c r="E135" s="359"/>
      <c r="F135" s="359"/>
      <c r="G135" s="359"/>
      <c r="H135" s="359"/>
      <c r="I135" s="359"/>
      <c r="J135" s="359"/>
      <c r="K135" s="359"/>
      <c r="L135" s="359"/>
      <c r="M135" s="359"/>
      <c r="N135" s="359"/>
      <c r="O135" s="359"/>
      <c r="P135" s="359"/>
      <c r="Q135" s="359"/>
      <c r="R135" s="359"/>
      <c r="S135" s="359"/>
      <c r="T135" s="359"/>
      <c r="U135" s="359"/>
      <c r="V135" s="359"/>
      <c r="W135" s="359"/>
      <c r="X135" s="359"/>
      <c r="Y135" s="359"/>
      <c r="Z135" s="359"/>
      <c r="AA135" s="359"/>
      <c r="AB135" s="359"/>
      <c r="AC135" s="359"/>
      <c r="AD135" s="359"/>
      <c r="AE135" s="359"/>
      <c r="AF135" s="359"/>
      <c r="AG135" s="359"/>
      <c r="AH135" s="359"/>
      <c r="AI135" s="359"/>
      <c r="AJ135" s="359"/>
      <c r="AK135" s="359"/>
      <c r="AL135" s="359"/>
      <c r="AM135" s="359"/>
      <c r="AN135" s="359"/>
      <c r="AO135" s="359"/>
      <c r="AP135" s="359"/>
      <c r="AQ135" s="359"/>
      <c r="AR135" s="359"/>
      <c r="AS135" s="359"/>
      <c r="AT135" s="359"/>
      <c r="AU135" s="359"/>
      <c r="AV135" s="359"/>
      <c r="AW135" s="359"/>
      <c r="AX135" s="359"/>
      <c r="AY135" s="359"/>
      <c r="AZ135" s="359"/>
      <c r="BA135" s="359"/>
      <c r="BB135" s="359"/>
      <c r="BC135" s="359"/>
      <c r="BD135" s="359"/>
      <c r="BE135" s="359"/>
      <c r="BF135" s="359"/>
      <c r="BG135" s="359"/>
      <c r="BH135" s="359"/>
      <c r="BI135" s="359"/>
      <c r="BJ135" s="359"/>
      <c r="BK135" s="359"/>
      <c r="BL135" s="359"/>
      <c r="BM135" s="373"/>
      <c r="BN135" s="359"/>
      <c r="BO135" s="359"/>
      <c r="BP135" s="359"/>
      <c r="BQ135" s="359"/>
      <c r="BR135" s="359"/>
      <c r="BS135" s="359"/>
      <c r="BT135" s="359"/>
      <c r="BU135" s="359"/>
      <c r="BV135" s="359"/>
      <c r="BW135" s="359"/>
      <c r="BX135" s="359"/>
      <c r="BY135" s="359"/>
      <c r="BZ135" s="359"/>
      <c r="CA135" s="359"/>
      <c r="CB135" s="359"/>
      <c r="CC135" s="359"/>
      <c r="CD135" s="359"/>
      <c r="CE135" s="359"/>
      <c r="CF135" s="359"/>
      <c r="CG135" s="359"/>
      <c r="CH135" s="359"/>
      <c r="CI135" s="359"/>
      <c r="CJ135" s="359"/>
      <c r="CK135" s="359"/>
      <c r="CL135" s="359"/>
      <c r="CM135" s="359"/>
      <c r="CN135" s="359"/>
      <c r="CO135" s="359"/>
      <c r="CP135" s="359"/>
      <c r="CQ135" s="359"/>
      <c r="CR135" s="359"/>
      <c r="CS135" s="359"/>
      <c r="CT135" s="359"/>
      <c r="CU135" s="359"/>
      <c r="CV135" s="359"/>
      <c r="CW135" s="359"/>
      <c r="CX135" s="359"/>
      <c r="CY135" s="359"/>
      <c r="CZ135" s="359"/>
      <c r="DA135" s="359"/>
      <c r="DB135" s="359"/>
      <c r="DC135" s="359"/>
      <c r="DD135" s="359"/>
      <c r="DE135" s="359"/>
      <c r="DF135" s="359"/>
      <c r="DG135" s="359"/>
      <c r="DH135" s="379"/>
      <c r="DI135" s="379">
        <f>+Model!DI79</f>
        <v>171.5</v>
      </c>
      <c r="DJ135" s="379">
        <f>+Model!DJ79</f>
        <v>154.19999999999999</v>
      </c>
      <c r="DK135" s="1218">
        <f>+Model!DK79</f>
        <v>325.7</v>
      </c>
      <c r="DL135" s="379">
        <f>+Model!DL79</f>
        <v>219.5</v>
      </c>
      <c r="DM135" s="379">
        <f>+Model!DM79</f>
        <v>178.60000000000002</v>
      </c>
      <c r="DN135" s="1218">
        <f>+Model!DN79</f>
        <v>398.1</v>
      </c>
      <c r="DO135" s="379">
        <f>+Model!DO79</f>
        <v>205</v>
      </c>
      <c r="DP135" s="379">
        <f>+Model!DP79</f>
        <v>236.70000000000005</v>
      </c>
      <c r="DQ135" s="1218">
        <f>+Model!DQ79</f>
        <v>441.70000000000005</v>
      </c>
      <c r="DR135" s="379">
        <f>+Model!DR79</f>
        <v>277.29999999999995</v>
      </c>
      <c r="DS135" s="379">
        <f>+Model!DS79</f>
        <v>267.60000000000002</v>
      </c>
      <c r="DT135" s="1218">
        <f>+Model!DT79</f>
        <v>544.9</v>
      </c>
      <c r="DU135" s="379">
        <f>+Model!DU79</f>
        <v>288.39999999999998</v>
      </c>
      <c r="DV135" s="379">
        <f>+Model!DV79</f>
        <v>266.30000000000007</v>
      </c>
      <c r="DW135" s="1218">
        <f>+Model!DW79</f>
        <v>554.70000000000005</v>
      </c>
      <c r="DX135" s="379">
        <f>+Model!DX79</f>
        <v>256.90000000000003</v>
      </c>
      <c r="DY135" s="379">
        <f>+Model!DY79</f>
        <v>292.51993729966995</v>
      </c>
      <c r="DZ135" s="1218">
        <f>+Model!DZ79</f>
        <v>549.41993729966998</v>
      </c>
      <c r="EA135" s="379">
        <f>+Model!EA79</f>
        <v>311.71050931041208</v>
      </c>
      <c r="EB135" s="379">
        <f>+Model!EB79</f>
        <v>321.29746716478377</v>
      </c>
      <c r="EC135" s="1218">
        <f>+Model!EC79</f>
        <v>633.00797647519585</v>
      </c>
      <c r="ED135" s="379">
        <f>+Model!ED79</f>
        <v>347.78887562014734</v>
      </c>
      <c r="EE135" s="379">
        <f>+Model!EE79</f>
        <v>358.68805091730985</v>
      </c>
      <c r="EF135" s="1218">
        <f>+Model!EF79</f>
        <v>706.47692653745719</v>
      </c>
      <c r="EG135" s="379">
        <f>+Model!EG79</f>
        <v>386.30541135169193</v>
      </c>
      <c r="EH135" s="379">
        <f>+Model!EH79</f>
        <v>398.38899819596264</v>
      </c>
      <c r="EI135" s="1218">
        <f>+Model!EI79</f>
        <v>784.69440954765457</v>
      </c>
      <c r="EJ135" s="379">
        <f>+Model!EJ79</f>
        <v>426.00250295296354</v>
      </c>
      <c r="EK135" s="379">
        <f>+Model!EK79</f>
        <v>439.31223729427853</v>
      </c>
      <c r="EL135" s="1218">
        <f>+Model!EL79</f>
        <v>865.31474024724207</v>
      </c>
      <c r="EM135" s="379">
        <f>+Model!EM79</f>
        <v>467.66832366757717</v>
      </c>
      <c r="EN135" s="379">
        <f>+Model!EN79</f>
        <v>482.2363744605525</v>
      </c>
      <c r="EO135" s="1218">
        <f>+Model!EO79</f>
        <v>949.90469812812967</v>
      </c>
      <c r="EP135" s="379">
        <f>+Model!EP79</f>
        <v>512.01712979869603</v>
      </c>
      <c r="EQ135" s="379">
        <f>+Model!EQ79</f>
        <v>527.89630516303941</v>
      </c>
      <c r="ER135" s="1218">
        <f>+Model!ER79</f>
        <v>1039.9134349617354</v>
      </c>
      <c r="ES135" s="379">
        <f>+Model!ES79</f>
        <v>560.4380004342662</v>
      </c>
      <c r="ET135" s="379">
        <f>+Model!ET79</f>
        <v>577.74630158140042</v>
      </c>
      <c r="EU135" s="1218">
        <f>+Model!EU79</f>
        <v>1138.1843020156666</v>
      </c>
      <c r="EV135" s="379">
        <f>+Model!EV79</f>
        <v>613.30665883837753</v>
      </c>
      <c r="EW135" s="379">
        <f>+Model!EW79</f>
        <v>632.17270708875401</v>
      </c>
      <c r="EX135" s="1218">
        <f>+Model!EX79</f>
        <v>1245.4793659271315</v>
      </c>
      <c r="EY135" s="379">
        <f>+Model!EY79</f>
        <v>671.03484081211616</v>
      </c>
      <c r="EZ135" s="379">
        <f>+Model!EZ79</f>
        <v>691.59883340502631</v>
      </c>
      <c r="FA135" s="379">
        <f>+Model!FA79</f>
        <v>1362.6336742171425</v>
      </c>
    </row>
    <row r="136" spans="1:157" ht="13.35" customHeight="1">
      <c r="A136" s="5"/>
      <c r="B136" s="5"/>
      <c r="C136" s="5" t="s">
        <v>1064</v>
      </c>
      <c r="D136" s="378"/>
      <c r="E136" s="359"/>
      <c r="F136" s="359"/>
      <c r="G136" s="359"/>
      <c r="H136" s="359"/>
      <c r="I136" s="359"/>
      <c r="J136" s="359"/>
      <c r="K136" s="359"/>
      <c r="L136" s="359"/>
      <c r="M136" s="359"/>
      <c r="N136" s="359"/>
      <c r="O136" s="359"/>
      <c r="P136" s="359"/>
      <c r="Q136" s="359"/>
      <c r="R136" s="359"/>
      <c r="S136" s="359"/>
      <c r="T136" s="359"/>
      <c r="U136" s="359"/>
      <c r="V136" s="359"/>
      <c r="W136" s="359"/>
      <c r="X136" s="359"/>
      <c r="Y136" s="359"/>
      <c r="Z136" s="359"/>
      <c r="AA136" s="359"/>
      <c r="AB136" s="359"/>
      <c r="AC136" s="359"/>
      <c r="AD136" s="359"/>
      <c r="AE136" s="359"/>
      <c r="AF136" s="359"/>
      <c r="AG136" s="359"/>
      <c r="AH136" s="359"/>
      <c r="AI136" s="359"/>
      <c r="AJ136" s="359"/>
      <c r="AK136" s="359"/>
      <c r="AL136" s="359"/>
      <c r="AM136" s="359"/>
      <c r="AN136" s="359"/>
      <c r="AO136" s="359"/>
      <c r="AP136" s="359"/>
      <c r="AQ136" s="359"/>
      <c r="AR136" s="359"/>
      <c r="AS136" s="359"/>
      <c r="AT136" s="359"/>
      <c r="AU136" s="359"/>
      <c r="AV136" s="359"/>
      <c r="AW136" s="359"/>
      <c r="AX136" s="359"/>
      <c r="AY136" s="359"/>
      <c r="AZ136" s="359"/>
      <c r="BA136" s="359"/>
      <c r="BB136" s="359"/>
      <c r="BC136" s="359"/>
      <c r="BD136" s="359"/>
      <c r="BE136" s="359"/>
      <c r="BF136" s="359"/>
      <c r="BG136" s="359"/>
      <c r="BH136" s="359"/>
      <c r="BI136" s="359"/>
      <c r="BJ136" s="359"/>
      <c r="BK136" s="359"/>
      <c r="BL136" s="359"/>
      <c r="BM136" s="373"/>
      <c r="BN136" s="359"/>
      <c r="BO136" s="359"/>
      <c r="BP136" s="359"/>
      <c r="BQ136" s="359"/>
      <c r="BR136" s="359"/>
      <c r="BS136" s="359"/>
      <c r="BT136" s="359"/>
      <c r="BU136" s="359"/>
      <c r="BV136" s="359"/>
      <c r="BW136" s="359"/>
      <c r="BX136" s="359"/>
      <c r="BY136" s="359"/>
      <c r="BZ136" s="359"/>
      <c r="CA136" s="359"/>
      <c r="CB136" s="359"/>
      <c r="CC136" s="359"/>
      <c r="CD136" s="359"/>
      <c r="CE136" s="359"/>
      <c r="CF136" s="359"/>
      <c r="CG136" s="359"/>
      <c r="CH136" s="359"/>
      <c r="CI136" s="359"/>
      <c r="CJ136" s="359"/>
      <c r="CK136" s="359"/>
      <c r="CL136" s="359"/>
      <c r="CM136" s="359"/>
      <c r="CN136" s="359"/>
      <c r="CO136" s="359"/>
      <c r="CP136" s="359"/>
      <c r="CQ136" s="359"/>
      <c r="CR136" s="359"/>
      <c r="CS136" s="359"/>
      <c r="CT136" s="359"/>
      <c r="CU136" s="359"/>
      <c r="CV136" s="359"/>
      <c r="CW136" s="359"/>
      <c r="CX136" s="359"/>
      <c r="CY136" s="359"/>
      <c r="CZ136" s="359"/>
      <c r="DA136" s="359"/>
      <c r="DB136" s="359"/>
      <c r="DC136" s="359"/>
      <c r="DD136" s="359"/>
      <c r="DE136" s="359"/>
      <c r="DF136" s="359"/>
      <c r="DG136" s="359"/>
      <c r="DH136" s="379"/>
      <c r="DI136" s="379">
        <f>+Segment!DI144</f>
        <v>0.7</v>
      </c>
      <c r="DJ136" s="379">
        <f>+Segment!DJ144</f>
        <v>3.2</v>
      </c>
      <c r="DK136" s="1218">
        <f>+Segment!DK144</f>
        <v>3.9</v>
      </c>
      <c r="DL136" s="379">
        <f>+Segment!DL144</f>
        <v>5.2</v>
      </c>
      <c r="DM136" s="379">
        <f>+Segment!DM144</f>
        <v>16.400000000000002</v>
      </c>
      <c r="DN136" s="1218">
        <f>+Segment!DN144</f>
        <v>21.6</v>
      </c>
      <c r="DO136" s="379">
        <f>+Segment!DO144</f>
        <v>17.2</v>
      </c>
      <c r="DP136" s="379">
        <f>+Segment!DP144</f>
        <v>21.3</v>
      </c>
      <c r="DQ136" s="1218">
        <f>+Segment!DQ144</f>
        <v>38.5</v>
      </c>
      <c r="DR136" s="379">
        <f>+Segment!DR144</f>
        <v>16.899999999999999</v>
      </c>
      <c r="DS136" s="379">
        <f>+Segment!DS144</f>
        <v>13.400000000000002</v>
      </c>
      <c r="DT136" s="1218">
        <f>+Segment!DT144</f>
        <v>30.3</v>
      </c>
      <c r="DU136" s="379">
        <f>+Segment!DU144</f>
        <v>11.7</v>
      </c>
      <c r="DV136" s="379">
        <f>+Segment!DV144</f>
        <v>21.000000000000004</v>
      </c>
      <c r="DW136" s="1218">
        <f>+Segment!DW144</f>
        <v>32.700000000000003</v>
      </c>
      <c r="DX136" s="379">
        <f>+Segment!DX144</f>
        <v>33.799999999999997</v>
      </c>
      <c r="DY136" s="379">
        <f>+Segment!DY144</f>
        <v>72.866666666666674</v>
      </c>
      <c r="DZ136" s="1218">
        <f>+Segment!DZ144</f>
        <v>106.66666666666667</v>
      </c>
      <c r="EA136" s="379">
        <f>+Segment!EA144</f>
        <v>33.333333333333336</v>
      </c>
      <c r="EB136" s="379">
        <f>+Segment!EB144</f>
        <v>33.333333333333336</v>
      </c>
      <c r="EC136" s="1218">
        <f>+Segment!EC144</f>
        <v>66.666666666666671</v>
      </c>
      <c r="ED136" s="379">
        <f>+Segment!ED144</f>
        <v>0</v>
      </c>
      <c r="EE136" s="379">
        <f>+Segment!EE144</f>
        <v>0</v>
      </c>
      <c r="EF136" s="1218">
        <f>+Segment!EF144</f>
        <v>0</v>
      </c>
      <c r="EG136" s="379">
        <f>+Segment!EG144</f>
        <v>0</v>
      </c>
      <c r="EH136" s="379">
        <f>+Segment!EH144</f>
        <v>0</v>
      </c>
      <c r="EI136" s="1218">
        <f>+Segment!EI144</f>
        <v>0</v>
      </c>
      <c r="EJ136" s="379">
        <f>+Segment!EJ144</f>
        <v>0</v>
      </c>
      <c r="EK136" s="379">
        <f>+Segment!EK144</f>
        <v>0</v>
      </c>
      <c r="EL136" s="1218">
        <f>+Segment!EL144</f>
        <v>0</v>
      </c>
      <c r="EM136" s="379">
        <f>+Segment!EM144</f>
        <v>0</v>
      </c>
      <c r="EN136" s="379">
        <f>+Segment!EN144</f>
        <v>0</v>
      </c>
      <c r="EO136" s="1218">
        <f>+Segment!EO144</f>
        <v>0</v>
      </c>
      <c r="EP136" s="379">
        <f>+Segment!EP144</f>
        <v>0</v>
      </c>
      <c r="EQ136" s="379">
        <f>+Segment!EQ144</f>
        <v>0</v>
      </c>
      <c r="ER136" s="1218">
        <f>+Segment!ER144</f>
        <v>0</v>
      </c>
      <c r="ES136" s="379">
        <f>+Segment!ES144</f>
        <v>0</v>
      </c>
      <c r="ET136" s="379">
        <f>+Segment!ET144</f>
        <v>0</v>
      </c>
      <c r="EU136" s="1218">
        <f>+Segment!EU144</f>
        <v>0</v>
      </c>
      <c r="EV136" s="379">
        <f>+Segment!EV144</f>
        <v>0</v>
      </c>
      <c r="EW136" s="379">
        <f>+Segment!EW144</f>
        <v>0</v>
      </c>
      <c r="EX136" s="1218">
        <f>+Segment!EX144</f>
        <v>0</v>
      </c>
      <c r="EY136" s="379">
        <f>+Segment!EY144</f>
        <v>0</v>
      </c>
      <c r="EZ136" s="379">
        <f>+Segment!EZ144</f>
        <v>0</v>
      </c>
      <c r="FA136" s="379">
        <f>+Segment!FA144</f>
        <v>0</v>
      </c>
    </row>
    <row r="137" spans="1:157" ht="13.35" customHeight="1">
      <c r="A137" s="5"/>
      <c r="B137" s="5"/>
      <c r="C137" s="5" t="s">
        <v>1101</v>
      </c>
      <c r="D137" s="378"/>
      <c r="E137" s="359"/>
      <c r="F137" s="359"/>
      <c r="G137" s="359"/>
      <c r="H137" s="359"/>
      <c r="I137" s="359"/>
      <c r="J137" s="359"/>
      <c r="K137" s="359"/>
      <c r="L137" s="359"/>
      <c r="M137" s="359"/>
      <c r="N137" s="359"/>
      <c r="O137" s="359"/>
      <c r="P137" s="359"/>
      <c r="Q137" s="359"/>
      <c r="R137" s="359"/>
      <c r="S137" s="359"/>
      <c r="T137" s="359"/>
      <c r="U137" s="359"/>
      <c r="V137" s="359"/>
      <c r="W137" s="359"/>
      <c r="X137" s="359"/>
      <c r="Y137" s="359"/>
      <c r="Z137" s="359"/>
      <c r="AA137" s="359"/>
      <c r="AB137" s="359"/>
      <c r="AC137" s="359"/>
      <c r="AD137" s="359"/>
      <c r="AE137" s="359"/>
      <c r="AF137" s="359"/>
      <c r="AG137" s="359"/>
      <c r="AH137" s="359"/>
      <c r="AI137" s="359"/>
      <c r="AJ137" s="359"/>
      <c r="AK137" s="359"/>
      <c r="AL137" s="359"/>
      <c r="AM137" s="359"/>
      <c r="AN137" s="359"/>
      <c r="AO137" s="359"/>
      <c r="AP137" s="359"/>
      <c r="AQ137" s="359"/>
      <c r="AR137" s="359"/>
      <c r="AS137" s="359"/>
      <c r="AT137" s="359"/>
      <c r="AU137" s="359"/>
      <c r="AV137" s="359"/>
      <c r="AW137" s="359"/>
      <c r="AX137" s="359"/>
      <c r="AY137" s="359"/>
      <c r="AZ137" s="359"/>
      <c r="BA137" s="359"/>
      <c r="BB137" s="359"/>
      <c r="BC137" s="359"/>
      <c r="BD137" s="359"/>
      <c r="BE137" s="359"/>
      <c r="BF137" s="359"/>
      <c r="BG137" s="359"/>
      <c r="BH137" s="359"/>
      <c r="BI137" s="359"/>
      <c r="BJ137" s="359"/>
      <c r="BK137" s="359"/>
      <c r="BL137" s="359"/>
      <c r="BM137" s="373"/>
      <c r="BN137" s="359"/>
      <c r="BO137" s="359"/>
      <c r="BP137" s="359"/>
      <c r="BQ137" s="359"/>
      <c r="BR137" s="359"/>
      <c r="BS137" s="359"/>
      <c r="BT137" s="359"/>
      <c r="BU137" s="359"/>
      <c r="BV137" s="359"/>
      <c r="BW137" s="359"/>
      <c r="BX137" s="359"/>
      <c r="BY137" s="359"/>
      <c r="BZ137" s="359"/>
      <c r="CA137" s="359"/>
      <c r="CB137" s="359"/>
      <c r="CC137" s="359"/>
      <c r="CD137" s="359"/>
      <c r="CE137" s="359"/>
      <c r="CF137" s="359"/>
      <c r="CG137" s="359"/>
      <c r="CH137" s="359"/>
      <c r="CI137" s="359"/>
      <c r="CJ137" s="359"/>
      <c r="CK137" s="359"/>
      <c r="CL137" s="359"/>
      <c r="CM137" s="359"/>
      <c r="CN137" s="359"/>
      <c r="CO137" s="359"/>
      <c r="CP137" s="359"/>
      <c r="CQ137" s="359"/>
      <c r="CR137" s="359"/>
      <c r="CS137" s="359"/>
      <c r="CT137" s="359"/>
      <c r="CU137" s="359"/>
      <c r="CV137" s="359"/>
      <c r="CW137" s="359"/>
      <c r="CX137" s="359"/>
      <c r="CY137" s="359"/>
      <c r="CZ137" s="359"/>
      <c r="DA137" s="359"/>
      <c r="DB137" s="359"/>
      <c r="DC137" s="359"/>
      <c r="DD137" s="359"/>
      <c r="DE137" s="359"/>
      <c r="DF137" s="359"/>
      <c r="DG137" s="359"/>
      <c r="DH137" s="379"/>
      <c r="DI137" s="379">
        <f>+DI135-DI136</f>
        <v>170.8</v>
      </c>
      <c r="DJ137" s="379">
        <f t="shared" ref="DJ137:FA137" si="297">+DJ135-DJ136</f>
        <v>151</v>
      </c>
      <c r="DK137" s="1218">
        <f t="shared" si="297"/>
        <v>321.8</v>
      </c>
      <c r="DL137" s="379">
        <f t="shared" si="297"/>
        <v>214.3</v>
      </c>
      <c r="DM137" s="379">
        <f t="shared" si="297"/>
        <v>162.20000000000002</v>
      </c>
      <c r="DN137" s="1218">
        <f t="shared" si="297"/>
        <v>376.5</v>
      </c>
      <c r="DO137" s="379">
        <f t="shared" si="297"/>
        <v>187.8</v>
      </c>
      <c r="DP137" s="379">
        <f t="shared" si="297"/>
        <v>215.40000000000003</v>
      </c>
      <c r="DQ137" s="1218">
        <f t="shared" si="297"/>
        <v>403.20000000000005</v>
      </c>
      <c r="DR137" s="379">
        <f t="shared" si="297"/>
        <v>260.39999999999998</v>
      </c>
      <c r="DS137" s="379">
        <f t="shared" si="297"/>
        <v>254.20000000000002</v>
      </c>
      <c r="DT137" s="1218">
        <f t="shared" si="297"/>
        <v>514.6</v>
      </c>
      <c r="DU137" s="379">
        <f t="shared" si="297"/>
        <v>276.7</v>
      </c>
      <c r="DV137" s="379">
        <f t="shared" si="297"/>
        <v>245.30000000000007</v>
      </c>
      <c r="DW137" s="1218">
        <f t="shared" si="297"/>
        <v>522</v>
      </c>
      <c r="DX137" s="379">
        <f t="shared" ref="DX137" si="298">+DX135-DX136</f>
        <v>223.10000000000002</v>
      </c>
      <c r="DY137" s="379">
        <f t="shared" si="297"/>
        <v>219.65327063300327</v>
      </c>
      <c r="DZ137" s="1218">
        <f t="shared" si="297"/>
        <v>442.7532706330033</v>
      </c>
      <c r="EA137" s="379">
        <f t="shared" si="297"/>
        <v>278.37717597707876</v>
      </c>
      <c r="EB137" s="379">
        <f t="shared" si="297"/>
        <v>287.96413383145045</v>
      </c>
      <c r="EC137" s="1218">
        <f t="shared" si="297"/>
        <v>566.34130980852922</v>
      </c>
      <c r="ED137" s="379">
        <f t="shared" si="297"/>
        <v>347.78887562014734</v>
      </c>
      <c r="EE137" s="379">
        <f t="shared" si="297"/>
        <v>358.68805091730985</v>
      </c>
      <c r="EF137" s="1218">
        <f t="shared" si="297"/>
        <v>706.47692653745719</v>
      </c>
      <c r="EG137" s="379">
        <f t="shared" si="297"/>
        <v>386.30541135169193</v>
      </c>
      <c r="EH137" s="379">
        <f t="shared" si="297"/>
        <v>398.38899819596264</v>
      </c>
      <c r="EI137" s="1218">
        <f t="shared" si="297"/>
        <v>784.69440954765457</v>
      </c>
      <c r="EJ137" s="379">
        <f t="shared" si="297"/>
        <v>426.00250295296354</v>
      </c>
      <c r="EK137" s="379">
        <f t="shared" si="297"/>
        <v>439.31223729427853</v>
      </c>
      <c r="EL137" s="1218">
        <f t="shared" si="297"/>
        <v>865.31474024724207</v>
      </c>
      <c r="EM137" s="379">
        <f t="shared" si="297"/>
        <v>467.66832366757717</v>
      </c>
      <c r="EN137" s="379">
        <f t="shared" si="297"/>
        <v>482.2363744605525</v>
      </c>
      <c r="EO137" s="1218">
        <f t="shared" si="297"/>
        <v>949.90469812812967</v>
      </c>
      <c r="EP137" s="379">
        <f t="shared" si="297"/>
        <v>512.01712979869603</v>
      </c>
      <c r="EQ137" s="379">
        <f t="shared" si="297"/>
        <v>527.89630516303941</v>
      </c>
      <c r="ER137" s="1218">
        <f t="shared" si="297"/>
        <v>1039.9134349617354</v>
      </c>
      <c r="ES137" s="379">
        <f t="shared" si="297"/>
        <v>560.4380004342662</v>
      </c>
      <c r="ET137" s="379">
        <f t="shared" si="297"/>
        <v>577.74630158140042</v>
      </c>
      <c r="EU137" s="1218">
        <f t="shared" si="297"/>
        <v>1138.1843020156666</v>
      </c>
      <c r="EV137" s="379">
        <f t="shared" si="297"/>
        <v>613.30665883837753</v>
      </c>
      <c r="EW137" s="379">
        <f t="shared" si="297"/>
        <v>632.17270708875401</v>
      </c>
      <c r="EX137" s="1218">
        <f t="shared" si="297"/>
        <v>1245.4793659271315</v>
      </c>
      <c r="EY137" s="379">
        <f t="shared" si="297"/>
        <v>671.03484081211616</v>
      </c>
      <c r="EZ137" s="379">
        <f t="shared" si="297"/>
        <v>691.59883340502631</v>
      </c>
      <c r="FA137" s="379">
        <f t="shared" si="297"/>
        <v>1362.6336742171425</v>
      </c>
    </row>
    <row r="138" spans="1:157" ht="13.35" customHeight="1">
      <c r="A138" s="5"/>
      <c r="B138" s="5"/>
      <c r="C138" s="5"/>
      <c r="D138" s="378"/>
      <c r="E138" s="359"/>
      <c r="F138" s="359"/>
      <c r="G138" s="359"/>
      <c r="H138" s="359"/>
      <c r="I138" s="359"/>
      <c r="J138" s="359"/>
      <c r="K138" s="359"/>
      <c r="L138" s="359"/>
      <c r="M138" s="359"/>
      <c r="N138" s="359"/>
      <c r="O138" s="359"/>
      <c r="P138" s="359"/>
      <c r="Q138" s="359"/>
      <c r="R138" s="359"/>
      <c r="S138" s="359"/>
      <c r="T138" s="359"/>
      <c r="U138" s="359"/>
      <c r="V138" s="359"/>
      <c r="W138" s="359"/>
      <c r="X138" s="359"/>
      <c r="Y138" s="359"/>
      <c r="Z138" s="359"/>
      <c r="AA138" s="359"/>
      <c r="AB138" s="359"/>
      <c r="AC138" s="359"/>
      <c r="AD138" s="359"/>
      <c r="AE138" s="359"/>
      <c r="AF138" s="359"/>
      <c r="AG138" s="359"/>
      <c r="AH138" s="359"/>
      <c r="AI138" s="359"/>
      <c r="AJ138" s="359"/>
      <c r="AK138" s="359"/>
      <c r="AL138" s="359"/>
      <c r="AM138" s="359"/>
      <c r="AN138" s="359"/>
      <c r="AO138" s="359"/>
      <c r="AP138" s="359"/>
      <c r="AQ138" s="359"/>
      <c r="AR138" s="359"/>
      <c r="AS138" s="359"/>
      <c r="AT138" s="359"/>
      <c r="AU138" s="359"/>
      <c r="AV138" s="359"/>
      <c r="AW138" s="359"/>
      <c r="AX138" s="359"/>
      <c r="AY138" s="359"/>
      <c r="AZ138" s="359"/>
      <c r="BA138" s="359"/>
      <c r="BB138" s="359"/>
      <c r="BC138" s="359"/>
      <c r="BD138" s="359"/>
      <c r="BE138" s="359"/>
      <c r="BF138" s="359"/>
      <c r="BG138" s="359"/>
      <c r="BH138" s="359"/>
      <c r="BI138" s="359"/>
      <c r="BJ138" s="359"/>
      <c r="BK138" s="359"/>
      <c r="BL138" s="359"/>
      <c r="BM138" s="373"/>
      <c r="BN138" s="359"/>
      <c r="BO138" s="359"/>
      <c r="BP138" s="359"/>
      <c r="BQ138" s="359"/>
      <c r="BR138" s="359"/>
      <c r="BS138" s="359"/>
      <c r="BT138" s="359"/>
      <c r="BU138" s="359"/>
      <c r="BV138" s="359"/>
      <c r="BW138" s="359"/>
      <c r="BX138" s="359"/>
      <c r="BY138" s="359"/>
      <c r="BZ138" s="359"/>
      <c r="CA138" s="359"/>
      <c r="CB138" s="359"/>
      <c r="CC138" s="359"/>
      <c r="CD138" s="359"/>
      <c r="CE138" s="359"/>
      <c r="CF138" s="359"/>
      <c r="CG138" s="359"/>
      <c r="CH138" s="359"/>
      <c r="CI138" s="359"/>
      <c r="CJ138" s="359"/>
      <c r="CK138" s="359"/>
      <c r="CL138" s="359"/>
      <c r="CM138" s="359"/>
      <c r="CN138" s="359"/>
      <c r="CO138" s="359"/>
      <c r="CP138" s="359"/>
      <c r="CQ138" s="359"/>
      <c r="CR138" s="359"/>
      <c r="CS138" s="359"/>
      <c r="CT138" s="359"/>
      <c r="CU138" s="359"/>
      <c r="CV138" s="359"/>
      <c r="CW138" s="359"/>
      <c r="CX138" s="359"/>
      <c r="CY138" s="359"/>
      <c r="CZ138" s="359"/>
      <c r="DA138" s="359"/>
      <c r="DB138" s="359"/>
      <c r="DC138" s="359"/>
      <c r="DD138" s="359"/>
      <c r="DE138" s="359"/>
      <c r="DF138" s="359"/>
      <c r="DG138" s="359"/>
      <c r="DH138" s="379"/>
      <c r="DI138" s="379"/>
      <c r="DJ138" s="379"/>
      <c r="DK138" s="1218"/>
      <c r="DL138" s="379"/>
      <c r="DM138" s="379"/>
      <c r="DN138" s="1218"/>
      <c r="DO138" s="379"/>
      <c r="DP138" s="379"/>
      <c r="DQ138" s="1218"/>
      <c r="DR138" s="379"/>
      <c r="DS138" s="379"/>
      <c r="DT138" s="1218"/>
      <c r="DU138" s="379"/>
      <c r="DV138" s="379"/>
      <c r="DW138" s="1218"/>
      <c r="DX138" s="379"/>
      <c r="DY138" s="379"/>
      <c r="DZ138" s="1218"/>
      <c r="EA138" s="379"/>
      <c r="EB138" s="379"/>
      <c r="EC138" s="1218"/>
      <c r="ED138" s="379"/>
      <c r="EE138" s="379"/>
      <c r="EF138" s="1218"/>
      <c r="EG138" s="379"/>
      <c r="EH138" s="379"/>
      <c r="EI138" s="1218"/>
      <c r="EJ138" s="379"/>
      <c r="EK138" s="379"/>
      <c r="EL138" s="1218"/>
      <c r="EM138" s="379"/>
      <c r="EN138" s="379"/>
      <c r="EO138" s="1218"/>
      <c r="EP138" s="379"/>
      <c r="EQ138" s="379"/>
      <c r="ER138" s="1218"/>
      <c r="ES138" s="379"/>
      <c r="ET138" s="379"/>
      <c r="EU138" s="1218"/>
      <c r="EV138" s="379"/>
      <c r="EW138" s="379"/>
      <c r="EX138" s="1218"/>
      <c r="EY138" s="379"/>
      <c r="EZ138" s="379"/>
      <c r="FA138" s="379"/>
    </row>
    <row r="139" spans="1:157" ht="13.35" customHeight="1">
      <c r="A139" s="5"/>
      <c r="B139" s="5"/>
      <c r="C139" s="5" t="s">
        <v>1102</v>
      </c>
      <c r="D139" s="378"/>
      <c r="E139" s="359"/>
      <c r="F139" s="359"/>
      <c r="G139" s="359"/>
      <c r="H139" s="359"/>
      <c r="I139" s="359"/>
      <c r="J139" s="359"/>
      <c r="K139" s="359"/>
      <c r="L139" s="359"/>
      <c r="M139" s="359"/>
      <c r="N139" s="359"/>
      <c r="O139" s="359"/>
      <c r="P139" s="359"/>
      <c r="Q139" s="359"/>
      <c r="R139" s="359"/>
      <c r="S139" s="359"/>
      <c r="T139" s="359"/>
      <c r="U139" s="359"/>
      <c r="V139" s="359"/>
      <c r="W139" s="359"/>
      <c r="X139" s="359"/>
      <c r="Y139" s="359"/>
      <c r="Z139" s="359"/>
      <c r="AA139" s="359"/>
      <c r="AB139" s="359"/>
      <c r="AC139" s="359"/>
      <c r="AD139" s="359"/>
      <c r="AE139" s="359"/>
      <c r="AF139" s="359"/>
      <c r="AG139" s="359"/>
      <c r="AH139" s="359"/>
      <c r="AI139" s="359"/>
      <c r="AJ139" s="359"/>
      <c r="AK139" s="359"/>
      <c r="AL139" s="359"/>
      <c r="AM139" s="359"/>
      <c r="AN139" s="359"/>
      <c r="AO139" s="359"/>
      <c r="AP139" s="359"/>
      <c r="AQ139" s="359"/>
      <c r="AR139" s="359"/>
      <c r="AS139" s="359"/>
      <c r="AT139" s="359"/>
      <c r="AU139" s="359"/>
      <c r="AV139" s="359"/>
      <c r="AW139" s="359"/>
      <c r="AX139" s="359"/>
      <c r="AY139" s="359"/>
      <c r="AZ139" s="359"/>
      <c r="BA139" s="359"/>
      <c r="BB139" s="359"/>
      <c r="BC139" s="359"/>
      <c r="BD139" s="359"/>
      <c r="BE139" s="359"/>
      <c r="BF139" s="359"/>
      <c r="BG139" s="359"/>
      <c r="BH139" s="359"/>
      <c r="BI139" s="359"/>
      <c r="BJ139" s="359"/>
      <c r="BK139" s="359"/>
      <c r="BL139" s="359"/>
      <c r="BM139" s="373"/>
      <c r="BN139" s="359"/>
      <c r="BO139" s="359"/>
      <c r="BP139" s="359"/>
      <c r="BQ139" s="359"/>
      <c r="BR139" s="359"/>
      <c r="BS139" s="359"/>
      <c r="BT139" s="359"/>
      <c r="BU139" s="359"/>
      <c r="BV139" s="359"/>
      <c r="BW139" s="359"/>
      <c r="BX139" s="359"/>
      <c r="BY139" s="359"/>
      <c r="BZ139" s="359"/>
      <c r="CA139" s="359"/>
      <c r="CB139" s="359"/>
      <c r="CC139" s="359"/>
      <c r="CD139" s="359"/>
      <c r="CE139" s="359"/>
      <c r="CF139" s="359"/>
      <c r="CG139" s="359"/>
      <c r="CH139" s="359"/>
      <c r="CI139" s="359"/>
      <c r="CJ139" s="359"/>
      <c r="CK139" s="359"/>
      <c r="CL139" s="359"/>
      <c r="CM139" s="359"/>
      <c r="CN139" s="359"/>
      <c r="CO139" s="359"/>
      <c r="CP139" s="359"/>
      <c r="CQ139" s="359"/>
      <c r="CR139" s="359"/>
      <c r="CS139" s="359"/>
      <c r="CT139" s="359"/>
      <c r="CU139" s="359"/>
      <c r="CV139" s="359"/>
      <c r="CW139" s="359"/>
      <c r="CX139" s="359"/>
      <c r="CY139" s="359"/>
      <c r="CZ139" s="359"/>
      <c r="DA139" s="359"/>
      <c r="DB139" s="359"/>
      <c r="DC139" s="359"/>
      <c r="DD139" s="359"/>
      <c r="DE139" s="359"/>
      <c r="DF139" s="359"/>
      <c r="DG139" s="359"/>
      <c r="DH139" s="379"/>
      <c r="DI139" s="1636">
        <v>45.6</v>
      </c>
      <c r="DJ139" s="379">
        <f>+DK139-DI139</f>
        <v>38.300000000000004</v>
      </c>
      <c r="DK139" s="1635">
        <v>83.9</v>
      </c>
      <c r="DL139" s="1636">
        <v>56.6</v>
      </c>
      <c r="DM139" s="379">
        <f>+DN139-DL139</f>
        <v>42.9</v>
      </c>
      <c r="DN139" s="1635">
        <v>99.5</v>
      </c>
      <c r="DO139" s="1636">
        <v>46.1</v>
      </c>
      <c r="DP139" s="379">
        <f>+DQ139-DO139</f>
        <v>51.9</v>
      </c>
      <c r="DQ139" s="1635">
        <v>98</v>
      </c>
      <c r="DR139" s="1636">
        <v>68.599999999999994</v>
      </c>
      <c r="DS139" s="379">
        <f>+DT139-DR139</f>
        <v>59.400000000000006</v>
      </c>
      <c r="DT139" s="1635">
        <v>128</v>
      </c>
      <c r="DU139" s="1636">
        <v>71.2</v>
      </c>
      <c r="DV139" s="379">
        <f>+DW139-DU139</f>
        <v>58.399999999999991</v>
      </c>
      <c r="DW139" s="1635">
        <v>129.6</v>
      </c>
      <c r="DX139" s="1636">
        <v>51.6</v>
      </c>
      <c r="DY139" s="379"/>
      <c r="DZ139" s="1218"/>
      <c r="EA139" s="379"/>
      <c r="EB139" s="379"/>
      <c r="EC139" s="1218"/>
      <c r="ED139" s="379"/>
      <c r="EE139" s="379"/>
      <c r="EF139" s="1218"/>
      <c r="EG139" s="379"/>
      <c r="EH139" s="379"/>
      <c r="EI139" s="1218"/>
      <c r="EJ139" s="379"/>
      <c r="EK139" s="379"/>
      <c r="EL139" s="1218"/>
      <c r="EM139" s="379"/>
      <c r="EN139" s="379"/>
      <c r="EO139" s="1218"/>
      <c r="EP139" s="379"/>
      <c r="EQ139" s="379"/>
      <c r="ER139" s="1218"/>
      <c r="ES139" s="379"/>
      <c r="ET139" s="379"/>
      <c r="EU139" s="1218"/>
      <c r="EV139" s="379"/>
      <c r="EW139" s="379"/>
      <c r="EX139" s="1218"/>
      <c r="EY139" s="379"/>
      <c r="EZ139" s="379"/>
      <c r="FA139" s="379"/>
    </row>
    <row r="140" spans="1:157" ht="13.35" customHeight="1">
      <c r="A140" s="5"/>
      <c r="B140" s="5"/>
      <c r="C140" s="5" t="s">
        <v>1100</v>
      </c>
      <c r="D140" s="378"/>
      <c r="E140" s="359"/>
      <c r="F140" s="359"/>
      <c r="G140" s="359"/>
      <c r="H140" s="359"/>
      <c r="I140" s="359"/>
      <c r="J140" s="359"/>
      <c r="K140" s="359"/>
      <c r="L140" s="359"/>
      <c r="M140" s="359"/>
      <c r="N140" s="359"/>
      <c r="O140" s="359"/>
      <c r="P140" s="359"/>
      <c r="Q140" s="359"/>
      <c r="R140" s="359"/>
      <c r="S140" s="359"/>
      <c r="T140" s="359"/>
      <c r="U140" s="359"/>
      <c r="V140" s="359"/>
      <c r="W140" s="359"/>
      <c r="X140" s="359"/>
      <c r="Y140" s="359"/>
      <c r="Z140" s="359"/>
      <c r="AA140" s="359"/>
      <c r="AB140" s="359"/>
      <c r="AC140" s="359"/>
      <c r="AD140" s="359"/>
      <c r="AE140" s="359"/>
      <c r="AF140" s="359"/>
      <c r="AG140" s="359"/>
      <c r="AH140" s="359"/>
      <c r="AI140" s="359"/>
      <c r="AJ140" s="359"/>
      <c r="AK140" s="359"/>
      <c r="AL140" s="359"/>
      <c r="AM140" s="359"/>
      <c r="AN140" s="359"/>
      <c r="AO140" s="359"/>
      <c r="AP140" s="359"/>
      <c r="AQ140" s="359"/>
      <c r="AR140" s="359"/>
      <c r="AS140" s="359"/>
      <c r="AT140" s="359"/>
      <c r="AU140" s="359"/>
      <c r="AV140" s="359"/>
      <c r="AW140" s="359"/>
      <c r="AX140" s="359"/>
      <c r="AY140" s="359"/>
      <c r="AZ140" s="359"/>
      <c r="BA140" s="359"/>
      <c r="BB140" s="359"/>
      <c r="BC140" s="359"/>
      <c r="BD140" s="359"/>
      <c r="BE140" s="359"/>
      <c r="BF140" s="359"/>
      <c r="BG140" s="359"/>
      <c r="BH140" s="359"/>
      <c r="BI140" s="359"/>
      <c r="BJ140" s="359"/>
      <c r="BK140" s="359"/>
      <c r="BL140" s="359"/>
      <c r="BM140" s="373"/>
      <c r="BN140" s="359"/>
      <c r="BO140" s="359"/>
      <c r="BP140" s="359"/>
      <c r="BQ140" s="359"/>
      <c r="BR140" s="359"/>
      <c r="BS140" s="359"/>
      <c r="BT140" s="359"/>
      <c r="BU140" s="359"/>
      <c r="BV140" s="359"/>
      <c r="BW140" s="359"/>
      <c r="BX140" s="359"/>
      <c r="BY140" s="359"/>
      <c r="BZ140" s="359"/>
      <c r="CA140" s="359"/>
      <c r="CB140" s="359"/>
      <c r="CC140" s="359"/>
      <c r="CD140" s="359"/>
      <c r="CE140" s="359"/>
      <c r="CF140" s="359"/>
      <c r="CG140" s="359"/>
      <c r="CH140" s="359"/>
      <c r="CI140" s="359"/>
      <c r="CJ140" s="359"/>
      <c r="CK140" s="359"/>
      <c r="CL140" s="359"/>
      <c r="CM140" s="359"/>
      <c r="CN140" s="359"/>
      <c r="CO140" s="359"/>
      <c r="CP140" s="359"/>
      <c r="CQ140" s="359"/>
      <c r="CR140" s="359"/>
      <c r="CS140" s="359"/>
      <c r="CT140" s="359"/>
      <c r="CU140" s="359"/>
      <c r="CV140" s="359"/>
      <c r="CW140" s="359"/>
      <c r="CX140" s="359"/>
      <c r="CY140" s="359"/>
      <c r="CZ140" s="359"/>
      <c r="DA140" s="359"/>
      <c r="DB140" s="359"/>
      <c r="DC140" s="359"/>
      <c r="DD140" s="359"/>
      <c r="DE140" s="359"/>
      <c r="DF140" s="359"/>
      <c r="DG140" s="359"/>
      <c r="DH140" s="379"/>
      <c r="DI140" s="379">
        <f>+DI136*0.3</f>
        <v>0.21</v>
      </c>
      <c r="DJ140" s="379">
        <f t="shared" ref="DJ140:DW140" si="299">+DJ136*0.3</f>
        <v>0.96</v>
      </c>
      <c r="DK140" s="1218">
        <f t="shared" si="299"/>
        <v>1.17</v>
      </c>
      <c r="DL140" s="379">
        <f t="shared" si="299"/>
        <v>1.56</v>
      </c>
      <c r="DM140" s="379">
        <f t="shared" si="299"/>
        <v>4.9200000000000008</v>
      </c>
      <c r="DN140" s="1218">
        <f t="shared" si="299"/>
        <v>6.48</v>
      </c>
      <c r="DO140" s="379">
        <f t="shared" si="299"/>
        <v>5.1599999999999993</v>
      </c>
      <c r="DP140" s="379">
        <f t="shared" si="299"/>
        <v>6.39</v>
      </c>
      <c r="DQ140" s="1218">
        <f t="shared" si="299"/>
        <v>11.549999999999999</v>
      </c>
      <c r="DR140" s="379">
        <f t="shared" si="299"/>
        <v>5.0699999999999994</v>
      </c>
      <c r="DS140" s="379">
        <f t="shared" si="299"/>
        <v>4.0200000000000005</v>
      </c>
      <c r="DT140" s="1218">
        <f t="shared" si="299"/>
        <v>9.09</v>
      </c>
      <c r="DU140" s="379">
        <f t="shared" si="299"/>
        <v>3.51</v>
      </c>
      <c r="DV140" s="379">
        <f t="shared" si="299"/>
        <v>6.3000000000000007</v>
      </c>
      <c r="DW140" s="1218">
        <f t="shared" si="299"/>
        <v>9.81</v>
      </c>
      <c r="DX140" s="379">
        <f t="shared" ref="DX140" si="300">+DX136*0.3</f>
        <v>10.139999999999999</v>
      </c>
      <c r="DY140" s="379"/>
      <c r="DZ140" s="1218"/>
      <c r="EA140" s="379"/>
      <c r="EB140" s="379"/>
      <c r="EC140" s="1218"/>
      <c r="ED140" s="379"/>
      <c r="EE140" s="379"/>
      <c r="EF140" s="1218"/>
      <c r="EG140" s="379"/>
      <c r="EH140" s="379"/>
      <c r="EI140" s="1218"/>
      <c r="EJ140" s="379"/>
      <c r="EK140" s="379"/>
      <c r="EL140" s="1218"/>
      <c r="EM140" s="379"/>
      <c r="EN140" s="379"/>
      <c r="EO140" s="1218"/>
      <c r="EP140" s="379"/>
      <c r="EQ140" s="379"/>
      <c r="ER140" s="1218"/>
      <c r="ES140" s="379"/>
      <c r="ET140" s="379"/>
      <c r="EU140" s="1218"/>
      <c r="EV140" s="379"/>
      <c r="EW140" s="379"/>
      <c r="EX140" s="1218"/>
      <c r="EY140" s="379"/>
      <c r="EZ140" s="379"/>
      <c r="FA140" s="379"/>
    </row>
    <row r="141" spans="1:157" ht="13.35" customHeight="1">
      <c r="A141" s="5"/>
      <c r="B141" s="5"/>
      <c r="C141" s="5" t="s">
        <v>1103</v>
      </c>
      <c r="D141" s="378"/>
      <c r="E141" s="359"/>
      <c r="F141" s="359"/>
      <c r="G141" s="359"/>
      <c r="H141" s="359"/>
      <c r="I141" s="359"/>
      <c r="J141" s="359"/>
      <c r="K141" s="359"/>
      <c r="L141" s="359"/>
      <c r="M141" s="359"/>
      <c r="N141" s="359"/>
      <c r="O141" s="359"/>
      <c r="P141" s="359"/>
      <c r="Q141" s="359"/>
      <c r="R141" s="359"/>
      <c r="S141" s="359"/>
      <c r="T141" s="359"/>
      <c r="U141" s="359"/>
      <c r="V141" s="359"/>
      <c r="W141" s="359"/>
      <c r="X141" s="359"/>
      <c r="Y141" s="359"/>
      <c r="Z141" s="359"/>
      <c r="AA141" s="359"/>
      <c r="AB141" s="359"/>
      <c r="AC141" s="359"/>
      <c r="AD141" s="359"/>
      <c r="AE141" s="359"/>
      <c r="AF141" s="359"/>
      <c r="AG141" s="359"/>
      <c r="AH141" s="359"/>
      <c r="AI141" s="359"/>
      <c r="AJ141" s="359"/>
      <c r="AK141" s="359"/>
      <c r="AL141" s="359"/>
      <c r="AM141" s="359"/>
      <c r="AN141" s="359"/>
      <c r="AO141" s="359"/>
      <c r="AP141" s="359"/>
      <c r="AQ141" s="359"/>
      <c r="AR141" s="359"/>
      <c r="AS141" s="359"/>
      <c r="AT141" s="359"/>
      <c r="AU141" s="359"/>
      <c r="AV141" s="359"/>
      <c r="AW141" s="359"/>
      <c r="AX141" s="359"/>
      <c r="AY141" s="359"/>
      <c r="AZ141" s="359"/>
      <c r="BA141" s="359"/>
      <c r="BB141" s="359"/>
      <c r="BC141" s="359"/>
      <c r="BD141" s="359"/>
      <c r="BE141" s="359"/>
      <c r="BF141" s="359"/>
      <c r="BG141" s="359"/>
      <c r="BH141" s="359"/>
      <c r="BI141" s="359"/>
      <c r="BJ141" s="359"/>
      <c r="BK141" s="359"/>
      <c r="BL141" s="359"/>
      <c r="BM141" s="373"/>
      <c r="BN141" s="359"/>
      <c r="BO141" s="359"/>
      <c r="BP141" s="359"/>
      <c r="BQ141" s="359"/>
      <c r="BR141" s="359"/>
      <c r="BS141" s="359"/>
      <c r="BT141" s="359"/>
      <c r="BU141" s="359"/>
      <c r="BV141" s="359"/>
      <c r="BW141" s="359"/>
      <c r="BX141" s="359"/>
      <c r="BY141" s="359"/>
      <c r="BZ141" s="359"/>
      <c r="CA141" s="359"/>
      <c r="CB141" s="359"/>
      <c r="CC141" s="359"/>
      <c r="CD141" s="359"/>
      <c r="CE141" s="359"/>
      <c r="CF141" s="359"/>
      <c r="CG141" s="359"/>
      <c r="CH141" s="359"/>
      <c r="CI141" s="359"/>
      <c r="CJ141" s="359"/>
      <c r="CK141" s="359"/>
      <c r="CL141" s="359"/>
      <c r="CM141" s="359"/>
      <c r="CN141" s="359"/>
      <c r="CO141" s="359"/>
      <c r="CP141" s="359"/>
      <c r="CQ141" s="359"/>
      <c r="CR141" s="359"/>
      <c r="CS141" s="359"/>
      <c r="CT141" s="359"/>
      <c r="CU141" s="359"/>
      <c r="CV141" s="359"/>
      <c r="CW141" s="359"/>
      <c r="CX141" s="359"/>
      <c r="CY141" s="359"/>
      <c r="CZ141" s="359"/>
      <c r="DA141" s="359"/>
      <c r="DB141" s="359"/>
      <c r="DC141" s="359"/>
      <c r="DD141" s="359"/>
      <c r="DE141" s="359"/>
      <c r="DF141" s="359"/>
      <c r="DG141" s="359"/>
      <c r="DH141" s="379"/>
      <c r="DI141" s="379">
        <f t="shared" ref="DI141:DV141" si="301">+DI139+DI140</f>
        <v>45.81</v>
      </c>
      <c r="DJ141" s="379">
        <f t="shared" si="301"/>
        <v>39.260000000000005</v>
      </c>
      <c r="DK141" s="1218">
        <f t="shared" si="301"/>
        <v>85.070000000000007</v>
      </c>
      <c r="DL141" s="379">
        <f t="shared" si="301"/>
        <v>58.160000000000004</v>
      </c>
      <c r="DM141" s="379">
        <f t="shared" si="301"/>
        <v>47.82</v>
      </c>
      <c r="DN141" s="1218">
        <f t="shared" si="301"/>
        <v>105.98</v>
      </c>
      <c r="DO141" s="379">
        <f t="shared" si="301"/>
        <v>51.26</v>
      </c>
      <c r="DP141" s="379">
        <f t="shared" si="301"/>
        <v>58.29</v>
      </c>
      <c r="DQ141" s="1218">
        <f t="shared" si="301"/>
        <v>109.55</v>
      </c>
      <c r="DR141" s="379">
        <f t="shared" si="301"/>
        <v>73.669999999999987</v>
      </c>
      <c r="DS141" s="379">
        <f t="shared" si="301"/>
        <v>63.420000000000009</v>
      </c>
      <c r="DT141" s="1218">
        <f t="shared" si="301"/>
        <v>137.09</v>
      </c>
      <c r="DU141" s="379">
        <f t="shared" si="301"/>
        <v>74.710000000000008</v>
      </c>
      <c r="DV141" s="379">
        <f t="shared" si="301"/>
        <v>64.699999999999989</v>
      </c>
      <c r="DW141" s="1218">
        <f>+DW139+DW140</f>
        <v>139.41</v>
      </c>
      <c r="DX141" s="1636">
        <v>62.1</v>
      </c>
      <c r="DY141" s="379"/>
      <c r="DZ141" s="1218"/>
      <c r="EA141" s="379"/>
      <c r="EB141" s="379"/>
      <c r="EC141" s="1218"/>
      <c r="ED141" s="379"/>
      <c r="EE141" s="379"/>
      <c r="EF141" s="1218"/>
      <c r="EG141" s="379"/>
      <c r="EH141" s="379"/>
      <c r="EI141" s="1218"/>
      <c r="EJ141" s="379"/>
      <c r="EK141" s="379"/>
      <c r="EL141" s="1218"/>
      <c r="EM141" s="379"/>
      <c r="EN141" s="379"/>
      <c r="EO141" s="1218"/>
      <c r="EP141" s="379"/>
      <c r="EQ141" s="379"/>
      <c r="ER141" s="1218"/>
      <c r="ES141" s="379"/>
      <c r="ET141" s="379"/>
      <c r="EU141" s="1218"/>
      <c r="EV141" s="379"/>
      <c r="EW141" s="379"/>
      <c r="EX141" s="1218"/>
      <c r="EY141" s="379"/>
      <c r="EZ141" s="379"/>
      <c r="FA141" s="379"/>
    </row>
    <row r="142" spans="1:157" ht="13.15" customHeight="1">
      <c r="A142" s="5"/>
      <c r="B142" s="5"/>
      <c r="C142" s="5"/>
      <c r="D142" s="378"/>
      <c r="E142" s="359"/>
      <c r="F142" s="359"/>
      <c r="G142" s="359"/>
      <c r="H142" s="359"/>
      <c r="I142" s="359"/>
      <c r="J142" s="359"/>
      <c r="K142" s="359"/>
      <c r="L142" s="359"/>
      <c r="M142" s="359"/>
      <c r="N142" s="359"/>
      <c r="O142" s="359"/>
      <c r="P142" s="359"/>
      <c r="Q142" s="359"/>
      <c r="R142" s="359"/>
      <c r="S142" s="359"/>
      <c r="T142" s="359"/>
      <c r="U142" s="359"/>
      <c r="V142" s="359"/>
      <c r="W142" s="359"/>
      <c r="X142" s="359"/>
      <c r="Y142" s="359"/>
      <c r="Z142" s="359"/>
      <c r="AA142" s="359"/>
      <c r="AB142" s="359"/>
      <c r="AC142" s="359"/>
      <c r="AD142" s="359"/>
      <c r="AE142" s="359"/>
      <c r="AF142" s="359"/>
      <c r="AG142" s="359"/>
      <c r="AH142" s="359"/>
      <c r="AI142" s="359"/>
      <c r="AJ142" s="359"/>
      <c r="AK142" s="359"/>
      <c r="AL142" s="359"/>
      <c r="AM142" s="359"/>
      <c r="AN142" s="359"/>
      <c r="AO142" s="359"/>
      <c r="AP142" s="359"/>
      <c r="AQ142" s="359"/>
      <c r="AR142" s="359"/>
      <c r="AS142" s="359"/>
      <c r="AT142" s="359"/>
      <c r="AU142" s="359"/>
      <c r="AV142" s="359"/>
      <c r="AW142" s="359"/>
      <c r="AX142" s="359"/>
      <c r="AY142" s="359"/>
      <c r="AZ142" s="359"/>
      <c r="BA142" s="359"/>
      <c r="BB142" s="359"/>
      <c r="BC142" s="359"/>
      <c r="BD142" s="359"/>
      <c r="BE142" s="359"/>
      <c r="BF142" s="359"/>
      <c r="BG142" s="359"/>
      <c r="BH142" s="359"/>
      <c r="BI142" s="359"/>
      <c r="BJ142" s="359"/>
      <c r="BK142" s="359"/>
      <c r="BL142" s="359"/>
      <c r="BM142" s="373"/>
      <c r="BN142" s="359"/>
      <c r="BO142" s="359"/>
      <c r="BP142" s="359"/>
      <c r="BQ142" s="359"/>
      <c r="BR142" s="359"/>
      <c r="BS142" s="359"/>
      <c r="BT142" s="359"/>
      <c r="BU142" s="359"/>
      <c r="BV142" s="359"/>
      <c r="BW142" s="359"/>
      <c r="BX142" s="359"/>
      <c r="BY142" s="359"/>
      <c r="BZ142" s="359"/>
      <c r="CA142" s="359"/>
      <c r="CB142" s="359"/>
      <c r="CC142" s="359"/>
      <c r="CD142" s="359"/>
      <c r="CE142" s="359"/>
      <c r="CF142" s="359"/>
      <c r="CG142" s="359"/>
      <c r="CH142" s="359"/>
      <c r="CI142" s="359"/>
      <c r="CJ142" s="359"/>
      <c r="CK142" s="359"/>
      <c r="CL142" s="359"/>
      <c r="CM142" s="359"/>
      <c r="CN142" s="359"/>
      <c r="CO142" s="359"/>
      <c r="CP142" s="359"/>
      <c r="CQ142" s="359"/>
      <c r="CR142" s="359"/>
      <c r="CS142" s="359"/>
      <c r="CT142" s="359"/>
      <c r="CU142" s="359"/>
      <c r="CV142" s="359"/>
      <c r="CW142" s="359"/>
      <c r="CX142" s="359"/>
      <c r="CY142" s="359"/>
      <c r="CZ142" s="359"/>
      <c r="DA142" s="359"/>
      <c r="DB142" s="359"/>
      <c r="DC142" s="359"/>
      <c r="DD142" s="359"/>
      <c r="DE142" s="359"/>
      <c r="DF142" s="359"/>
      <c r="DG142" s="359"/>
      <c r="DH142" s="379"/>
      <c r="DI142" s="379"/>
      <c r="DJ142" s="379"/>
      <c r="DK142" s="1218"/>
      <c r="DL142" s="379"/>
      <c r="DM142" s="379"/>
      <c r="DN142" s="1218"/>
      <c r="DO142" s="379"/>
      <c r="DP142" s="379"/>
      <c r="DQ142" s="1218"/>
      <c r="DR142" s="379"/>
      <c r="DS142" s="379"/>
      <c r="DT142" s="1218"/>
      <c r="DU142" s="379"/>
      <c r="DV142" s="379"/>
      <c r="DW142" s="1218"/>
      <c r="DX142" s="379"/>
      <c r="DY142" s="379"/>
      <c r="DZ142" s="1218"/>
      <c r="EA142" s="379"/>
      <c r="EB142" s="379"/>
      <c r="EC142" s="1218"/>
      <c r="ED142" s="379"/>
      <c r="EE142" s="379"/>
      <c r="EF142" s="1218"/>
      <c r="EG142" s="379"/>
      <c r="EH142" s="379"/>
      <c r="EI142" s="1218"/>
      <c r="EJ142" s="379"/>
      <c r="EK142" s="379"/>
      <c r="EL142" s="1218"/>
      <c r="EM142" s="379"/>
      <c r="EN142" s="379"/>
      <c r="EO142" s="1218"/>
      <c r="EP142" s="379"/>
      <c r="EQ142" s="379"/>
      <c r="ER142" s="1218"/>
      <c r="ES142" s="379"/>
      <c r="ET142" s="379"/>
      <c r="EU142" s="1218"/>
      <c r="EV142" s="379"/>
      <c r="EW142" s="379"/>
      <c r="EX142" s="1218"/>
      <c r="EY142" s="379"/>
      <c r="EZ142" s="379"/>
      <c r="FA142" s="379"/>
    </row>
    <row r="143" spans="1:157" ht="13.15" customHeight="1">
      <c r="A143" s="5"/>
      <c r="B143" s="5"/>
      <c r="C143" s="5" t="s">
        <v>1105</v>
      </c>
      <c r="D143" s="378"/>
      <c r="E143" s="359"/>
      <c r="F143" s="359"/>
      <c r="G143" s="359"/>
      <c r="H143" s="359"/>
      <c r="I143" s="359"/>
      <c r="J143" s="359"/>
      <c r="K143" s="359"/>
      <c r="L143" s="359"/>
      <c r="M143" s="359"/>
      <c r="N143" s="359"/>
      <c r="O143" s="359"/>
      <c r="P143" s="359"/>
      <c r="Q143" s="359"/>
      <c r="R143" s="359"/>
      <c r="S143" s="359"/>
      <c r="T143" s="359"/>
      <c r="U143" s="359"/>
      <c r="V143" s="359"/>
      <c r="W143" s="359"/>
      <c r="X143" s="359"/>
      <c r="Y143" s="359"/>
      <c r="Z143" s="359"/>
      <c r="AA143" s="359"/>
      <c r="AB143" s="359"/>
      <c r="AC143" s="359"/>
      <c r="AD143" s="359"/>
      <c r="AE143" s="359"/>
      <c r="AF143" s="359"/>
      <c r="AG143" s="359"/>
      <c r="AH143" s="359"/>
      <c r="AI143" s="359"/>
      <c r="AJ143" s="359"/>
      <c r="AK143" s="359"/>
      <c r="AL143" s="359"/>
      <c r="AM143" s="359"/>
      <c r="AN143" s="359"/>
      <c r="AO143" s="359"/>
      <c r="AP143" s="359"/>
      <c r="AQ143" s="359"/>
      <c r="AR143" s="359"/>
      <c r="AS143" s="359"/>
      <c r="AT143" s="359"/>
      <c r="AU143" s="359"/>
      <c r="AV143" s="359"/>
      <c r="AW143" s="359"/>
      <c r="AX143" s="359"/>
      <c r="AY143" s="359"/>
      <c r="AZ143" s="359"/>
      <c r="BA143" s="359"/>
      <c r="BB143" s="359"/>
      <c r="BC143" s="359"/>
      <c r="BD143" s="359"/>
      <c r="BE143" s="359"/>
      <c r="BF143" s="359"/>
      <c r="BG143" s="359"/>
      <c r="BH143" s="359"/>
      <c r="BI143" s="359"/>
      <c r="BJ143" s="359"/>
      <c r="BK143" s="359"/>
      <c r="BL143" s="359"/>
      <c r="BM143" s="373"/>
      <c r="BN143" s="359"/>
      <c r="BO143" s="359"/>
      <c r="BP143" s="359"/>
      <c r="BQ143" s="359"/>
      <c r="BR143" s="359"/>
      <c r="BS143" s="359"/>
      <c r="BT143" s="359"/>
      <c r="BU143" s="359"/>
      <c r="BV143" s="359"/>
      <c r="BW143" s="359"/>
      <c r="BX143" s="359"/>
      <c r="BY143" s="359"/>
      <c r="BZ143" s="359"/>
      <c r="CA143" s="359"/>
      <c r="CB143" s="359"/>
      <c r="CC143" s="359"/>
      <c r="CD143" s="359"/>
      <c r="CE143" s="359"/>
      <c r="CF143" s="359"/>
      <c r="CG143" s="359"/>
      <c r="CH143" s="359"/>
      <c r="CI143" s="359"/>
      <c r="CJ143" s="359"/>
      <c r="CK143" s="359"/>
      <c r="CL143" s="359"/>
      <c r="CM143" s="359"/>
      <c r="CN143" s="359"/>
      <c r="CO143" s="359"/>
      <c r="CP143" s="359"/>
      <c r="CQ143" s="359"/>
      <c r="CR143" s="359"/>
      <c r="CS143" s="359"/>
      <c r="CT143" s="359"/>
      <c r="CU143" s="359"/>
      <c r="CV143" s="359"/>
      <c r="CW143" s="359"/>
      <c r="CX143" s="359"/>
      <c r="CY143" s="359"/>
      <c r="CZ143" s="359"/>
      <c r="DA143" s="359"/>
      <c r="DB143" s="359"/>
      <c r="DC143" s="359"/>
      <c r="DD143" s="359"/>
      <c r="DE143" s="359"/>
      <c r="DF143" s="359"/>
      <c r="DG143" s="359"/>
      <c r="DH143" s="379"/>
      <c r="DI143" s="379">
        <f>+DI137-DI139</f>
        <v>125.20000000000002</v>
      </c>
      <c r="DJ143" s="379">
        <f t="shared" ref="DJ143:DW143" si="302">+DJ137-DJ139</f>
        <v>112.69999999999999</v>
      </c>
      <c r="DK143" s="1218">
        <f t="shared" si="302"/>
        <v>237.9</v>
      </c>
      <c r="DL143" s="379">
        <f t="shared" si="302"/>
        <v>157.70000000000002</v>
      </c>
      <c r="DM143" s="379">
        <f t="shared" si="302"/>
        <v>119.30000000000001</v>
      </c>
      <c r="DN143" s="1218">
        <f t="shared" si="302"/>
        <v>277</v>
      </c>
      <c r="DO143" s="379">
        <f t="shared" si="302"/>
        <v>141.70000000000002</v>
      </c>
      <c r="DP143" s="379">
        <f t="shared" si="302"/>
        <v>163.50000000000003</v>
      </c>
      <c r="DQ143" s="1218">
        <f t="shared" si="302"/>
        <v>305.20000000000005</v>
      </c>
      <c r="DR143" s="379">
        <f t="shared" si="302"/>
        <v>191.79999999999998</v>
      </c>
      <c r="DS143" s="379">
        <f t="shared" si="302"/>
        <v>194.8</v>
      </c>
      <c r="DT143" s="1218">
        <f t="shared" si="302"/>
        <v>386.6</v>
      </c>
      <c r="DU143" s="379">
        <f t="shared" si="302"/>
        <v>205.5</v>
      </c>
      <c r="DV143" s="379">
        <f t="shared" si="302"/>
        <v>186.90000000000009</v>
      </c>
      <c r="DW143" s="1218">
        <f t="shared" si="302"/>
        <v>392.4</v>
      </c>
      <c r="DX143" s="379">
        <f t="shared" ref="DX143" si="303">+DX137-DX139</f>
        <v>171.50000000000003</v>
      </c>
      <c r="DY143" s="379"/>
      <c r="DZ143" s="1218"/>
      <c r="EA143" s="379"/>
      <c r="EB143" s="379"/>
      <c r="EC143" s="1218"/>
      <c r="ED143" s="379"/>
      <c r="EE143" s="379"/>
      <c r="EF143" s="1218"/>
      <c r="EG143" s="379"/>
      <c r="EH143" s="379"/>
      <c r="EI143" s="1218"/>
      <c r="EJ143" s="379"/>
      <c r="EK143" s="379"/>
      <c r="EL143" s="1218"/>
      <c r="EM143" s="379"/>
      <c r="EN143" s="379"/>
      <c r="EO143" s="1218"/>
      <c r="EP143" s="379"/>
      <c r="EQ143" s="379"/>
      <c r="ER143" s="1218"/>
      <c r="ES143" s="379"/>
      <c r="ET143" s="379"/>
      <c r="EU143" s="1218"/>
      <c r="EV143" s="379"/>
      <c r="EW143" s="379"/>
      <c r="EX143" s="1218"/>
      <c r="EY143" s="379"/>
      <c r="EZ143" s="379"/>
      <c r="FA143" s="379"/>
    </row>
    <row r="144" spans="1:157" ht="13.15" customHeight="1">
      <c r="A144" s="5"/>
      <c r="B144" s="5"/>
      <c r="C144" s="5" t="s">
        <v>1104</v>
      </c>
      <c r="D144" s="378"/>
      <c r="E144" s="359"/>
      <c r="F144" s="359"/>
      <c r="G144" s="359"/>
      <c r="H144" s="359"/>
      <c r="I144" s="359"/>
      <c r="J144" s="359"/>
      <c r="K144" s="359"/>
      <c r="L144" s="359"/>
      <c r="M144" s="359"/>
      <c r="N144" s="359"/>
      <c r="O144" s="359"/>
      <c r="P144" s="359"/>
      <c r="Q144" s="359"/>
      <c r="R144" s="359"/>
      <c r="S144" s="359"/>
      <c r="T144" s="359"/>
      <c r="U144" s="359"/>
      <c r="V144" s="359"/>
      <c r="W144" s="359"/>
      <c r="X144" s="359"/>
      <c r="Y144" s="359"/>
      <c r="Z144" s="359"/>
      <c r="AA144" s="359"/>
      <c r="AB144" s="359"/>
      <c r="AC144" s="359"/>
      <c r="AD144" s="359"/>
      <c r="AE144" s="359"/>
      <c r="AF144" s="359"/>
      <c r="AG144" s="359"/>
      <c r="AH144" s="359"/>
      <c r="AI144" s="359"/>
      <c r="AJ144" s="359"/>
      <c r="AK144" s="359"/>
      <c r="AL144" s="359"/>
      <c r="AM144" s="359"/>
      <c r="AN144" s="359"/>
      <c r="AO144" s="359"/>
      <c r="AP144" s="359"/>
      <c r="AQ144" s="359"/>
      <c r="AR144" s="359"/>
      <c r="AS144" s="359"/>
      <c r="AT144" s="359"/>
      <c r="AU144" s="359"/>
      <c r="AV144" s="359"/>
      <c r="AW144" s="359"/>
      <c r="AX144" s="359"/>
      <c r="AY144" s="359"/>
      <c r="AZ144" s="359"/>
      <c r="BA144" s="359"/>
      <c r="BB144" s="359"/>
      <c r="BC144" s="359"/>
      <c r="BD144" s="359"/>
      <c r="BE144" s="359"/>
      <c r="BF144" s="359"/>
      <c r="BG144" s="359"/>
      <c r="BH144" s="359"/>
      <c r="BI144" s="359"/>
      <c r="BJ144" s="359"/>
      <c r="BK144" s="359"/>
      <c r="BL144" s="359"/>
      <c r="BM144" s="373"/>
      <c r="BN144" s="359"/>
      <c r="BO144" s="359"/>
      <c r="BP144" s="359"/>
      <c r="BQ144" s="359"/>
      <c r="BR144" s="359"/>
      <c r="BS144" s="359"/>
      <c r="BT144" s="359"/>
      <c r="BU144" s="359"/>
      <c r="BV144" s="359"/>
      <c r="BW144" s="359"/>
      <c r="BX144" s="359"/>
      <c r="BY144" s="359"/>
      <c r="BZ144" s="359"/>
      <c r="CA144" s="359"/>
      <c r="CB144" s="359"/>
      <c r="CC144" s="359"/>
      <c r="CD144" s="359"/>
      <c r="CE144" s="359"/>
      <c r="CF144" s="359"/>
      <c r="CG144" s="359"/>
      <c r="CH144" s="359"/>
      <c r="CI144" s="359"/>
      <c r="CJ144" s="359"/>
      <c r="CK144" s="359"/>
      <c r="CL144" s="359"/>
      <c r="CM144" s="359"/>
      <c r="CN144" s="359"/>
      <c r="CO144" s="359"/>
      <c r="CP144" s="359"/>
      <c r="CQ144" s="359"/>
      <c r="CR144" s="359"/>
      <c r="CS144" s="359"/>
      <c r="CT144" s="359"/>
      <c r="CU144" s="359"/>
      <c r="CV144" s="359"/>
      <c r="CW144" s="359"/>
      <c r="CX144" s="359"/>
      <c r="CY144" s="359"/>
      <c r="CZ144" s="359"/>
      <c r="DA144" s="359"/>
      <c r="DB144" s="359"/>
      <c r="DC144" s="359"/>
      <c r="DD144" s="359"/>
      <c r="DE144" s="359"/>
      <c r="DF144" s="359"/>
      <c r="DG144" s="359"/>
      <c r="DH144" s="379"/>
      <c r="DI144" s="379">
        <f>+DI135-DI141</f>
        <v>125.69</v>
      </c>
      <c r="DJ144" s="379">
        <f t="shared" ref="DJ144:DW144" si="304">+DJ135-DJ141</f>
        <v>114.93999999999998</v>
      </c>
      <c r="DK144" s="1218">
        <f t="shared" si="304"/>
        <v>240.63</v>
      </c>
      <c r="DL144" s="379">
        <f t="shared" si="304"/>
        <v>161.34</v>
      </c>
      <c r="DM144" s="379">
        <f t="shared" si="304"/>
        <v>130.78000000000003</v>
      </c>
      <c r="DN144" s="1218">
        <f t="shared" si="304"/>
        <v>292.12</v>
      </c>
      <c r="DO144" s="379">
        <f t="shared" si="304"/>
        <v>153.74</v>
      </c>
      <c r="DP144" s="379">
        <f t="shared" si="304"/>
        <v>178.41000000000005</v>
      </c>
      <c r="DQ144" s="1218">
        <f t="shared" si="304"/>
        <v>332.15000000000003</v>
      </c>
      <c r="DR144" s="379">
        <f t="shared" si="304"/>
        <v>203.62999999999997</v>
      </c>
      <c r="DS144" s="379">
        <f t="shared" si="304"/>
        <v>204.18</v>
      </c>
      <c r="DT144" s="1218">
        <f t="shared" si="304"/>
        <v>407.80999999999995</v>
      </c>
      <c r="DU144" s="379">
        <f t="shared" si="304"/>
        <v>213.68999999999997</v>
      </c>
      <c r="DV144" s="379">
        <f t="shared" si="304"/>
        <v>201.60000000000008</v>
      </c>
      <c r="DW144" s="1218">
        <f t="shared" si="304"/>
        <v>415.29000000000008</v>
      </c>
      <c r="DX144" s="379">
        <f t="shared" ref="DX144" si="305">+DX135-DX141</f>
        <v>194.80000000000004</v>
      </c>
      <c r="DY144" s="379"/>
      <c r="DZ144" s="1218"/>
      <c r="EA144" s="379"/>
      <c r="EB144" s="379"/>
      <c r="EC144" s="1218"/>
      <c r="ED144" s="379"/>
      <c r="EE144" s="379"/>
      <c r="EF144" s="1218"/>
      <c r="EG144" s="379"/>
      <c r="EH144" s="379"/>
      <c r="EI144" s="1218"/>
      <c r="EJ144" s="379"/>
      <c r="EK144" s="379"/>
      <c r="EL144" s="1218"/>
      <c r="EM144" s="379"/>
      <c r="EN144" s="379"/>
      <c r="EO144" s="1218"/>
      <c r="EP144" s="379"/>
      <c r="EQ144" s="379"/>
      <c r="ER144" s="1218"/>
      <c r="ES144" s="379"/>
      <c r="ET144" s="379"/>
      <c r="EU144" s="1218"/>
      <c r="EV144" s="379"/>
      <c r="EW144" s="379"/>
      <c r="EX144" s="1218"/>
      <c r="EY144" s="379"/>
      <c r="EZ144" s="379"/>
      <c r="FA144" s="379"/>
    </row>
    <row r="145" spans="1:157" ht="13.35" customHeight="1">
      <c r="A145" s="5"/>
      <c r="B145" s="5"/>
      <c r="C145" s="5"/>
      <c r="D145" s="378"/>
      <c r="E145" s="359"/>
      <c r="F145" s="359"/>
      <c r="G145" s="359"/>
      <c r="H145" s="359"/>
      <c r="I145" s="359"/>
      <c r="J145" s="359"/>
      <c r="K145" s="359"/>
      <c r="L145" s="359"/>
      <c r="M145" s="359"/>
      <c r="N145" s="359"/>
      <c r="O145" s="359"/>
      <c r="P145" s="359"/>
      <c r="Q145" s="359"/>
      <c r="R145" s="359"/>
      <c r="S145" s="359"/>
      <c r="T145" s="359"/>
      <c r="U145" s="359"/>
      <c r="V145" s="359"/>
      <c r="W145" s="359"/>
      <c r="X145" s="359"/>
      <c r="Y145" s="359"/>
      <c r="Z145" s="359"/>
      <c r="AA145" s="359"/>
      <c r="AB145" s="359"/>
      <c r="AC145" s="359"/>
      <c r="AD145" s="359"/>
      <c r="AE145" s="359"/>
      <c r="AF145" s="359"/>
      <c r="AG145" s="359"/>
      <c r="AH145" s="359"/>
      <c r="AI145" s="359"/>
      <c r="AJ145" s="359"/>
      <c r="AK145" s="359"/>
      <c r="AL145" s="359"/>
      <c r="AM145" s="359"/>
      <c r="AN145" s="359"/>
      <c r="AO145" s="359"/>
      <c r="AP145" s="359"/>
      <c r="AQ145" s="359"/>
      <c r="AR145" s="359"/>
      <c r="AS145" s="359"/>
      <c r="AT145" s="359"/>
      <c r="AU145" s="359"/>
      <c r="AV145" s="359"/>
      <c r="AW145" s="359"/>
      <c r="AX145" s="359"/>
      <c r="AY145" s="359"/>
      <c r="AZ145" s="359"/>
      <c r="BA145" s="359"/>
      <c r="BB145" s="359"/>
      <c r="BC145" s="359"/>
      <c r="BD145" s="359"/>
      <c r="BE145" s="359"/>
      <c r="BF145" s="359"/>
      <c r="BG145" s="359"/>
      <c r="BH145" s="359"/>
      <c r="BI145" s="359"/>
      <c r="BJ145" s="359"/>
      <c r="BK145" s="359"/>
      <c r="BL145" s="359"/>
      <c r="BM145" s="373"/>
      <c r="BN145" s="359"/>
      <c r="BO145" s="359"/>
      <c r="BP145" s="359"/>
      <c r="BQ145" s="359"/>
      <c r="BR145" s="359"/>
      <c r="BS145" s="359"/>
      <c r="BT145" s="359"/>
      <c r="BU145" s="359"/>
      <c r="BV145" s="359"/>
      <c r="BW145" s="359"/>
      <c r="BX145" s="359"/>
      <c r="BY145" s="359"/>
      <c r="BZ145" s="359"/>
      <c r="CA145" s="359"/>
      <c r="CB145" s="359"/>
      <c r="CC145" s="359"/>
      <c r="CD145" s="359"/>
      <c r="CE145" s="359"/>
      <c r="CF145" s="359"/>
      <c r="CG145" s="359"/>
      <c r="CH145" s="359"/>
      <c r="CI145" s="359"/>
      <c r="CJ145" s="359"/>
      <c r="CK145" s="359"/>
      <c r="CL145" s="359"/>
      <c r="CM145" s="359"/>
      <c r="CN145" s="359"/>
      <c r="CO145" s="359"/>
      <c r="CP145" s="359"/>
      <c r="CQ145" s="359"/>
      <c r="CR145" s="359"/>
      <c r="CS145" s="359"/>
      <c r="CT145" s="359"/>
      <c r="CU145" s="359"/>
      <c r="CV145" s="359"/>
      <c r="CW145" s="359"/>
      <c r="CX145" s="359"/>
      <c r="CY145" s="359"/>
      <c r="CZ145" s="359"/>
      <c r="DA145" s="359"/>
      <c r="DB145" s="359"/>
      <c r="DC145" s="359"/>
      <c r="DD145" s="359"/>
      <c r="DE145" s="359"/>
      <c r="DF145" s="359"/>
      <c r="DG145" s="359"/>
      <c r="DH145" s="379"/>
      <c r="DI145" s="379"/>
      <c r="DJ145" s="379"/>
      <c r="DK145" s="1218"/>
      <c r="DL145" s="379"/>
      <c r="DM145" s="379"/>
      <c r="DN145" s="1218"/>
      <c r="DO145" s="379"/>
      <c r="DP145" s="379"/>
      <c r="DQ145" s="1218"/>
      <c r="DR145" s="379"/>
      <c r="DS145" s="379"/>
      <c r="DT145" s="1218"/>
      <c r="DU145" s="379"/>
      <c r="DV145" s="379"/>
      <c r="DW145" s="1218"/>
      <c r="DX145" s="379"/>
      <c r="DY145" s="379"/>
      <c r="DZ145" s="1218"/>
      <c r="EA145" s="379"/>
      <c r="EB145" s="379"/>
      <c r="EC145" s="1218"/>
      <c r="ED145" s="379"/>
      <c r="EE145" s="379"/>
      <c r="EF145" s="1218"/>
      <c r="EG145" s="379"/>
      <c r="EH145" s="379"/>
      <c r="EI145" s="1218"/>
      <c r="EJ145" s="379"/>
      <c r="EK145" s="379"/>
      <c r="EL145" s="1218"/>
      <c r="EM145" s="379"/>
      <c r="EN145" s="379"/>
      <c r="EO145" s="1218"/>
      <c r="EP145" s="379"/>
      <c r="EQ145" s="379"/>
      <c r="ER145" s="1218"/>
      <c r="ES145" s="379"/>
      <c r="ET145" s="379"/>
      <c r="EU145" s="1218"/>
      <c r="EV145" s="379"/>
      <c r="EW145" s="379"/>
      <c r="EX145" s="1218"/>
      <c r="EY145" s="379"/>
      <c r="EZ145" s="379"/>
      <c r="FA145" s="379"/>
    </row>
    <row r="146" spans="1:157" ht="13.35" customHeight="1">
      <c r="A146" s="5"/>
      <c r="B146" s="5" t="s">
        <v>347</v>
      </c>
      <c r="C146" s="378"/>
      <c r="D146" s="378"/>
      <c r="E146" s="359"/>
      <c r="F146" s="359"/>
      <c r="G146" s="359"/>
      <c r="H146" s="359"/>
      <c r="I146" s="359"/>
      <c r="J146" s="359"/>
      <c r="K146" s="359"/>
      <c r="L146" s="359"/>
      <c r="M146" s="359"/>
      <c r="N146" s="359"/>
      <c r="O146" s="359"/>
      <c r="P146" s="359"/>
      <c r="Q146" s="359"/>
      <c r="R146" s="359"/>
      <c r="S146" s="359"/>
      <c r="T146" s="359"/>
      <c r="U146" s="359"/>
      <c r="V146" s="359"/>
      <c r="W146" s="359"/>
      <c r="X146" s="359"/>
      <c r="Y146" s="359"/>
      <c r="Z146" s="359"/>
      <c r="AA146" s="359"/>
      <c r="AB146" s="359"/>
      <c r="AC146" s="359"/>
      <c r="AD146" s="359"/>
      <c r="AE146" s="359"/>
      <c r="AF146" s="359"/>
      <c r="AG146" s="359"/>
      <c r="AH146" s="359"/>
      <c r="AI146" s="359"/>
      <c r="AJ146" s="359"/>
      <c r="AK146" s="359"/>
      <c r="AL146" s="359"/>
      <c r="AM146" s="359"/>
      <c r="AN146" s="359"/>
      <c r="AO146" s="359"/>
      <c r="AP146" s="359"/>
      <c r="AQ146" s="359"/>
      <c r="AR146" s="359"/>
      <c r="AS146" s="359"/>
      <c r="AT146" s="359"/>
      <c r="AU146" s="359"/>
      <c r="AV146" s="359"/>
      <c r="AW146" s="359"/>
      <c r="AX146" s="359"/>
      <c r="AY146" s="359"/>
      <c r="AZ146" s="359"/>
      <c r="BA146" s="359"/>
      <c r="BB146" s="359"/>
      <c r="BC146" s="359"/>
      <c r="BD146" s="359"/>
      <c r="BE146" s="359"/>
      <c r="BF146" s="359"/>
      <c r="BG146" s="359"/>
      <c r="BH146" s="359"/>
      <c r="BI146" s="359"/>
      <c r="BJ146" s="359"/>
      <c r="BK146" s="359"/>
      <c r="BL146" s="359"/>
      <c r="BM146" s="359"/>
      <c r="BN146" s="359"/>
      <c r="BO146" s="359"/>
      <c r="BP146" s="359"/>
      <c r="BQ146" s="359"/>
      <c r="BR146" s="359"/>
      <c r="BS146" s="359"/>
      <c r="BT146" s="359"/>
      <c r="BU146" s="359"/>
      <c r="BV146" s="359"/>
      <c r="BW146" s="359"/>
      <c r="BX146" s="359"/>
      <c r="BY146" s="359"/>
      <c r="BZ146" s="359"/>
      <c r="CA146" s="359"/>
      <c r="CB146" s="359">
        <f>Model!CB74</f>
        <v>1.1220000000000008</v>
      </c>
      <c r="CC146" s="359">
        <f>Model!CC74</f>
        <v>8.8789999999999978</v>
      </c>
      <c r="CD146" s="359"/>
      <c r="CE146" s="359"/>
      <c r="CF146" s="359"/>
      <c r="CG146" s="359"/>
      <c r="CH146" s="359"/>
      <c r="CI146" s="359"/>
      <c r="CJ146" s="359"/>
      <c r="CK146" s="359"/>
      <c r="CL146" s="359"/>
      <c r="CM146" s="359"/>
      <c r="CN146" s="359"/>
      <c r="CO146" s="359"/>
      <c r="CP146" s="359"/>
      <c r="CQ146" s="359"/>
      <c r="CR146" s="359"/>
      <c r="CS146" s="359"/>
      <c r="CT146" s="359">
        <f>+Model!CT80</f>
        <v>32.25</v>
      </c>
      <c r="CU146" s="359">
        <f>+Model!CU80</f>
        <v>33.094999999999999</v>
      </c>
      <c r="CV146" s="359">
        <f>+Model!CV80</f>
        <v>65.344999999999999</v>
      </c>
      <c r="CW146" s="359">
        <f>+Model!CW80</f>
        <v>41.61056</v>
      </c>
      <c r="CX146" s="359">
        <f>+Model!CX80</f>
        <v>43.598440000000004</v>
      </c>
      <c r="CY146" s="359">
        <f>+Model!CY80</f>
        <v>85.209000000000003</v>
      </c>
      <c r="CZ146" s="366">
        <f>+Model!CZ80</f>
        <v>45.800000000000018</v>
      </c>
      <c r="DA146" s="359"/>
      <c r="DB146" s="359"/>
      <c r="DC146" s="359"/>
      <c r="DD146" s="359"/>
      <c r="DE146" s="359"/>
      <c r="DF146" s="359"/>
      <c r="DG146" s="359"/>
      <c r="DH146" s="359"/>
      <c r="DI146" s="359"/>
      <c r="DJ146" s="359"/>
      <c r="DK146" s="1208"/>
      <c r="DL146" s="359"/>
      <c r="DM146" s="359"/>
      <c r="DN146" s="1208"/>
      <c r="DO146" s="359"/>
      <c r="DP146" s="359"/>
      <c r="DQ146" s="1208"/>
      <c r="DR146" s="359"/>
      <c r="DS146" s="359"/>
      <c r="DT146" s="1208"/>
      <c r="DU146" s="359"/>
      <c r="DV146" s="359"/>
      <c r="DW146" s="1208"/>
      <c r="DX146" s="359"/>
      <c r="DY146" s="359"/>
      <c r="DZ146" s="1208"/>
      <c r="EA146" s="359"/>
      <c r="EB146" s="359"/>
      <c r="EC146" s="1208"/>
      <c r="ED146" s="359"/>
      <c r="EE146" s="359"/>
      <c r="EF146" s="1208"/>
      <c r="EG146" s="359"/>
      <c r="EH146" s="359"/>
      <c r="EI146" s="1208"/>
      <c r="EJ146" s="359"/>
      <c r="EK146" s="359"/>
      <c r="EL146" s="1208"/>
      <c r="EM146" s="359"/>
      <c r="EN146" s="359"/>
      <c r="EO146" s="1208"/>
      <c r="EP146" s="359"/>
      <c r="EQ146" s="359"/>
      <c r="ER146" s="1208"/>
      <c r="ES146" s="359"/>
      <c r="ET146" s="359"/>
      <c r="EU146" s="1208"/>
      <c r="EV146" s="359"/>
      <c r="EW146" s="359"/>
      <c r="EX146" s="1208"/>
      <c r="EY146" s="359"/>
      <c r="EZ146" s="359"/>
      <c r="FA146" s="359"/>
    </row>
    <row r="147" spans="1:157" ht="13.35" customHeight="1">
      <c r="A147" s="5"/>
      <c r="B147" s="5" t="s">
        <v>348</v>
      </c>
      <c r="C147" s="378"/>
      <c r="D147" s="378"/>
      <c r="E147" s="356">
        <f>IF(ISERROR(Model!E81),"",Model!E81)</f>
        <v>0</v>
      </c>
      <c r="F147" s="356">
        <f>IF(ISERROR(Model!F81),"",Model!F81)</f>
        <v>0</v>
      </c>
      <c r="G147" s="356">
        <f>IF(ISERROR(Model!G81),"",Model!G81)</f>
        <v>0</v>
      </c>
      <c r="H147" s="356">
        <f>IF(ISERROR(Model!H81),"",Model!H81)</f>
        <v>0</v>
      </c>
      <c r="I147" s="356">
        <f>IF(ISERROR(Model!I81),"",Model!I81)</f>
        <v>0</v>
      </c>
      <c r="J147" s="356">
        <f>IF(ISERROR(Model!J81),"",Model!J81)</f>
        <v>0</v>
      </c>
      <c r="K147" s="356">
        <f>IF(ISERROR(Model!K81),"",Model!K81)</f>
        <v>0</v>
      </c>
      <c r="L147" s="356">
        <f>IF(ISERROR(Model!L81),"",Model!L81)</f>
        <v>0</v>
      </c>
      <c r="M147" s="356">
        <f>IF(ISERROR(Model!M81),"",Model!M81)</f>
        <v>0</v>
      </c>
      <c r="N147" s="356">
        <f>IF(ISERROR(Model!N81),"",Model!N81)</f>
        <v>0</v>
      </c>
      <c r="O147" s="356">
        <f>IF(ISERROR(Model!O81),"",Model!O81)</f>
        <v>0</v>
      </c>
      <c r="P147" s="356">
        <f>IF(ISERROR(Model!P81),"",Model!P81)</f>
        <v>0</v>
      </c>
      <c r="Q147" s="356">
        <f>IF(ISERROR(Model!Q81),"",Model!Q81)</f>
        <v>0</v>
      </c>
      <c r="R147" s="356">
        <f>IF(ISERROR(Model!R81),"",Model!R81)</f>
        <v>0</v>
      </c>
      <c r="S147" s="356">
        <f>IF(ISERROR(Model!S81),"",Model!S81)</f>
        <v>0</v>
      </c>
      <c r="T147" s="356">
        <f>IF(ISERROR(Model!T81),"",Model!T81)</f>
        <v>0</v>
      </c>
      <c r="U147" s="356">
        <f>IF(ISERROR(Model!U81),"",Model!U81)</f>
        <v>0</v>
      </c>
      <c r="V147" s="356">
        <f>IF(ISERROR(Model!V81),"",Model!V81)</f>
        <v>0</v>
      </c>
      <c r="W147" s="356">
        <f>IF(ISERROR(Model!W81),"",Model!W81)</f>
        <v>0</v>
      </c>
      <c r="X147" s="356">
        <f>IF(ISERROR(Model!X81),"",Model!X81)</f>
        <v>0</v>
      </c>
      <c r="Y147" s="356">
        <f>IF(ISERROR(Model!Y81),"",Model!Y81)</f>
        <v>0</v>
      </c>
      <c r="Z147" s="356">
        <f>IF(ISERROR(Model!Z81),"",Model!Z81)</f>
        <v>0</v>
      </c>
      <c r="AA147" s="356">
        <f>IF(ISERROR(Model!AA81),"",Model!AA81)</f>
        <v>0</v>
      </c>
      <c r="AB147" s="356">
        <f>IF(ISERROR(Model!AB81),"",Model!AB81)</f>
        <v>0</v>
      </c>
      <c r="AC147" s="356">
        <f>IF(ISERROR(Model!AC81),"",Model!AC81)</f>
        <v>0</v>
      </c>
      <c r="AD147" s="356">
        <f>IF(ISERROR(Model!AD81),"",Model!AD81)</f>
        <v>0</v>
      </c>
      <c r="AE147" s="356">
        <f>IF(ISERROR(Model!AE81),"",Model!AE81)</f>
        <v>0</v>
      </c>
      <c r="AF147" s="356">
        <f>IF(ISERROR(Model!AF81),"",Model!AF81)</f>
        <v>0</v>
      </c>
      <c r="AG147" s="356">
        <f>IF(ISERROR(Model!AG81),"",Model!AG81)</f>
        <v>0</v>
      </c>
      <c r="AH147" s="356">
        <f>IF(ISERROR(Model!AH81),"",Model!AH81)</f>
        <v>0</v>
      </c>
      <c r="AI147" s="356">
        <f>Model!AI81</f>
        <v>0.11070253532030191</v>
      </c>
      <c r="AJ147" s="356">
        <f>Model!AJ81</f>
        <v>0.19585477813325913</v>
      </c>
      <c r="AK147" s="356">
        <f>Model!AK81</f>
        <v>0.1602460343153124</v>
      </c>
      <c r="AL147" s="356">
        <f>Model!AL81</f>
        <v>0.18593204191806922</v>
      </c>
      <c r="AM147" s="356">
        <f>Model!AM81</f>
        <v>0.22255353754404988</v>
      </c>
      <c r="AN147" s="356">
        <f>Model!AN81</f>
        <v>0.20568879789412109</v>
      </c>
      <c r="AO147" s="356">
        <f>Model!AO81</f>
        <v>0.25107651540245113</v>
      </c>
      <c r="AP147" s="356">
        <f>Model!AP81</f>
        <v>0.28613602815941858</v>
      </c>
      <c r="AQ147" s="356">
        <f>Model!AQ81</f>
        <v>0.27187605254294372</v>
      </c>
      <c r="AR147" s="356">
        <f>Model!AR81</f>
        <v>0.29242206860571279</v>
      </c>
      <c r="AS147" s="356">
        <f>Model!AS81</f>
        <v>0.23984526112185686</v>
      </c>
      <c r="AT147" s="356">
        <f>Model!AT81</f>
        <v>0.2622313544732604</v>
      </c>
      <c r="AU147" s="356">
        <f>Model!AU81</f>
        <v>0.30073684210526319</v>
      </c>
      <c r="AV147" s="356">
        <f>Model!AV81</f>
        <v>0.32954860149543064</v>
      </c>
      <c r="AW147" s="356">
        <f>Model!AW81</f>
        <v>0.31811727363848979</v>
      </c>
      <c r="AX147" s="356">
        <f>Model!AX81</f>
        <v>0.36998840544333922</v>
      </c>
      <c r="AY147" s="356">
        <f>Model!AY81</f>
        <v>0.29875940614195651</v>
      </c>
      <c r="AZ147" s="356">
        <f>Model!AZ81</f>
        <v>0.33113299126334766</v>
      </c>
      <c r="BA147" s="356">
        <f>Model!BA81</f>
        <v>0.33005529059215799</v>
      </c>
      <c r="BB147" s="356">
        <f>Model!BB81</f>
        <v>0.32748923455488177</v>
      </c>
      <c r="BC147" s="356">
        <f>Model!BC81</f>
        <v>0.32879808830810964</v>
      </c>
      <c r="BD147" s="356">
        <f>Model!BD81</f>
        <v>0.19066147859922181</v>
      </c>
      <c r="BE147" s="356">
        <f>Model!BE81</f>
        <v>0.20881026708289974</v>
      </c>
      <c r="BF147" s="356">
        <f>Model!BF81</f>
        <v>0.20025673940949934</v>
      </c>
      <c r="BG147" s="356">
        <f>Model!BG81</f>
        <v>0.2498542193096937</v>
      </c>
      <c r="BH147" s="356">
        <f>Model!BH81</f>
        <v>0.29156533400004542</v>
      </c>
      <c r="BI147" s="356">
        <f>Model!BI81</f>
        <v>0.27279090113735782</v>
      </c>
      <c r="BJ147" s="356">
        <f>Model!BJ81</f>
        <v>0.26698027564578691</v>
      </c>
      <c r="BK147" s="356">
        <f>Model!BK81</f>
        <v>0.12962113567562608</v>
      </c>
      <c r="BL147" s="356">
        <f>Model!BL81</f>
        <v>0.23529162786760349</v>
      </c>
      <c r="BM147" s="356">
        <f>Model!BM81</f>
        <v>0.27478130467383155</v>
      </c>
      <c r="BN147" s="356">
        <f>Model!BN81</f>
        <v>0.30354398657115156</v>
      </c>
      <c r="BO147" s="356">
        <f>Model!BO81</f>
        <v>0.28956224865442792</v>
      </c>
      <c r="BP147" s="356">
        <f>Model!BP81</f>
        <v>0.30740120454765046</v>
      </c>
      <c r="BQ147" s="356">
        <f>Model!BQ81</f>
        <v>0.24650705008879478</v>
      </c>
      <c r="BR147" s="356">
        <f>Model!BR81</f>
        <v>0.28125143565948457</v>
      </c>
      <c r="BS147" s="356">
        <f>Model!BS81</f>
        <v>0.33354476770410463</v>
      </c>
      <c r="BT147" s="356">
        <f>Model!BT81</f>
        <v>0.30525111322497489</v>
      </c>
      <c r="BU147" s="356">
        <f>Model!BU81</f>
        <v>0.31924087509844512</v>
      </c>
      <c r="BV147" s="356">
        <f>Model!BV81</f>
        <v>0.28311241652859365</v>
      </c>
      <c r="BW147" s="356">
        <f>Model!BW81</f>
        <v>0.24566185154901421</v>
      </c>
      <c r="BX147" s="356">
        <f>Model!BX81</f>
        <v>0.26470006444737965</v>
      </c>
      <c r="BY147" s="356">
        <f>Model!BY81</f>
        <v>0.27112797156882162</v>
      </c>
      <c r="BZ147" s="356">
        <f>Model!BZ81</f>
        <v>0.24543994422102419</v>
      </c>
      <c r="CA147" s="356">
        <f>Model!CA81</f>
        <v>0.25942315111080855</v>
      </c>
      <c r="CB147" s="372">
        <f>R_STxRt_H1_10</f>
        <v>0.27300000000000002</v>
      </c>
      <c r="CC147" s="356">
        <f>R_STxRt_H2_10</f>
        <v>0.27200000000000002</v>
      </c>
      <c r="CD147" s="356">
        <v>0.26500000000000001</v>
      </c>
      <c r="CE147" s="356">
        <f>R_STxRt_H1_11</f>
        <v>0.27</v>
      </c>
      <c r="CF147" s="356">
        <v>0.25</v>
      </c>
      <c r="CG147" s="356">
        <f>CF147</f>
        <v>0.25</v>
      </c>
      <c r="CH147" s="356">
        <f>CG147</f>
        <v>0.25</v>
      </c>
      <c r="CI147" s="356">
        <f>CH147</f>
        <v>0.25</v>
      </c>
      <c r="CJ147" s="356">
        <f>CI147</f>
        <v>0.25</v>
      </c>
      <c r="CK147" s="356">
        <f>Model!CK81</f>
        <v>0.26363644982981105</v>
      </c>
      <c r="CL147" s="356">
        <f>Model!CL81</f>
        <v>0.18265193699193041</v>
      </c>
      <c r="CM147" s="356">
        <f>Model!CM81</f>
        <v>0.2321286862028418</v>
      </c>
      <c r="CN147" s="356">
        <f>Model!CN81</f>
        <v>0.17943570870971343</v>
      </c>
      <c r="CO147" s="356">
        <v>0.22</v>
      </c>
      <c r="CP147" s="356">
        <f>Model!CP81</f>
        <v>0.21601901775037771</v>
      </c>
      <c r="CQ147" s="356">
        <v>0.24873165905311242</v>
      </c>
      <c r="CR147" s="356">
        <f>CQ147</f>
        <v>0.24873165905311242</v>
      </c>
      <c r="CS147" s="356">
        <f>CR147</f>
        <v>0.24873165905311242</v>
      </c>
      <c r="CT147" s="356">
        <v>0.25537879207811026</v>
      </c>
      <c r="CU147" s="356">
        <f>CT147</f>
        <v>0.25537879207811026</v>
      </c>
      <c r="CV147" s="356">
        <v>0.25699464340493816</v>
      </c>
      <c r="CW147" s="356">
        <v>0.27200000000000002</v>
      </c>
      <c r="CX147" s="356">
        <f>CW147</f>
        <v>0.27200000000000002</v>
      </c>
      <c r="CY147" s="356">
        <v>0.2759135432688416</v>
      </c>
      <c r="CZ147" s="356">
        <v>0.29246487867177534</v>
      </c>
      <c r="DA147" s="356">
        <v>0.27</v>
      </c>
      <c r="DB147" s="356">
        <f>R_STxRt_18</f>
        <v>0.27812041116005876</v>
      </c>
      <c r="DC147" s="356">
        <f>45.7/174.3</f>
        <v>0.26219162363740678</v>
      </c>
      <c r="DD147" s="356">
        <f>Model!DD81</f>
        <v>0.23933518005540183</v>
      </c>
      <c r="DE147" s="356">
        <f>(354.8-265.9)/354.8</f>
        <v>0.25056369785794824</v>
      </c>
      <c r="DF147" s="396">
        <f>(46.2)/(183.7-4.8)</f>
        <v>0.25824482951369487</v>
      </c>
      <c r="DG147" s="356">
        <v>0.22</v>
      </c>
      <c r="DH147" s="356">
        <f>((206.9-8.9)-153.8)/(206.9-8.9)</f>
        <v>0.22323232323232317</v>
      </c>
      <c r="DI147" s="357">
        <f>+DI141/DI135</f>
        <v>0.26711370262390671</v>
      </c>
      <c r="DJ147" s="356">
        <f t="shared" ref="DJ147:DQ147" si="306">DI147</f>
        <v>0.26711370262390671</v>
      </c>
      <c r="DK147" s="1205">
        <f>(330.2-8.4-236.7)/(330.2-8.4)</f>
        <v>0.26444996892479805</v>
      </c>
      <c r="DL147" s="356">
        <v>0.26440000000000002</v>
      </c>
      <c r="DM147" s="356">
        <f t="shared" si="306"/>
        <v>0.26440000000000002</v>
      </c>
      <c r="DN147" s="1087">
        <f t="shared" si="306"/>
        <v>0.26440000000000002</v>
      </c>
      <c r="DO147" s="356">
        <v>0.2455</v>
      </c>
      <c r="DP147" s="356">
        <v>0.24299999999999999</v>
      </c>
      <c r="DQ147" s="1087">
        <f t="shared" si="306"/>
        <v>0.24299999999999999</v>
      </c>
      <c r="DR147" s="356">
        <v>0.2636</v>
      </c>
      <c r="DS147" s="356">
        <f>DR147</f>
        <v>0.2636</v>
      </c>
      <c r="DT147" s="1087">
        <v>0.24873688301593469</v>
      </c>
      <c r="DU147" s="356">
        <v>0.25724999999999998</v>
      </c>
      <c r="DV147" s="356">
        <f>DU147</f>
        <v>0.25724999999999998</v>
      </c>
      <c r="DW147" s="1087">
        <v>0.24979999999999999</v>
      </c>
      <c r="DX147" s="1569">
        <v>0.25</v>
      </c>
      <c r="DY147" s="356">
        <f t="shared" ref="DY147:EF147" si="307">DX147</f>
        <v>0.25</v>
      </c>
      <c r="DZ147" s="1087">
        <f t="shared" si="307"/>
        <v>0.25</v>
      </c>
      <c r="EA147" s="1569">
        <v>0.25</v>
      </c>
      <c r="EB147" s="356">
        <f t="shared" si="307"/>
        <v>0.25</v>
      </c>
      <c r="EC147" s="1087">
        <f t="shared" si="307"/>
        <v>0.25</v>
      </c>
      <c r="ED147" s="1569">
        <v>0.25</v>
      </c>
      <c r="EE147" s="356">
        <f t="shared" si="307"/>
        <v>0.25</v>
      </c>
      <c r="EF147" s="1087">
        <f t="shared" si="307"/>
        <v>0.25</v>
      </c>
      <c r="EG147" s="356">
        <f t="shared" ref="EG147:EL147" si="308">EF147</f>
        <v>0.25</v>
      </c>
      <c r="EH147" s="356">
        <f t="shared" si="308"/>
        <v>0.25</v>
      </c>
      <c r="EI147" s="1087">
        <f t="shared" si="308"/>
        <v>0.25</v>
      </c>
      <c r="EJ147" s="356">
        <f t="shared" si="308"/>
        <v>0.25</v>
      </c>
      <c r="EK147" s="356">
        <f t="shared" si="308"/>
        <v>0.25</v>
      </c>
      <c r="EL147" s="1087">
        <f t="shared" si="308"/>
        <v>0.25</v>
      </c>
      <c r="EM147" s="356">
        <f t="shared" ref="EM147:ER147" si="309">EL147</f>
        <v>0.25</v>
      </c>
      <c r="EN147" s="356">
        <f t="shared" si="309"/>
        <v>0.25</v>
      </c>
      <c r="EO147" s="1087">
        <f t="shared" si="309"/>
        <v>0.25</v>
      </c>
      <c r="EP147" s="1569">
        <v>0.25</v>
      </c>
      <c r="EQ147" s="356">
        <f t="shared" si="309"/>
        <v>0.25</v>
      </c>
      <c r="ER147" s="1087">
        <f t="shared" si="309"/>
        <v>0.25</v>
      </c>
      <c r="ES147" s="356">
        <f t="shared" ref="ES147" si="310">ER147</f>
        <v>0.25</v>
      </c>
      <c r="ET147" s="356">
        <f t="shared" ref="ET147" si="311">ES147</f>
        <v>0.25</v>
      </c>
      <c r="EU147" s="1087">
        <f t="shared" ref="EU147" si="312">ET147</f>
        <v>0.25</v>
      </c>
      <c r="EV147" s="356">
        <f t="shared" ref="EV147" si="313">EU147</f>
        <v>0.25</v>
      </c>
      <c r="EW147" s="356">
        <f t="shared" ref="EW147" si="314">EV147</f>
        <v>0.25</v>
      </c>
      <c r="EX147" s="1087">
        <f t="shared" ref="EX147" si="315">EW147</f>
        <v>0.25</v>
      </c>
      <c r="EY147" s="356">
        <f t="shared" ref="EY147" si="316">EX147</f>
        <v>0.25</v>
      </c>
      <c r="EZ147" s="356">
        <f t="shared" ref="EZ147" si="317">EY147</f>
        <v>0.25</v>
      </c>
      <c r="FA147" s="356">
        <f t="shared" ref="FA147" si="318">EZ147</f>
        <v>0.25</v>
      </c>
    </row>
    <row r="148" spans="1:157" ht="13.35" customHeight="1">
      <c r="A148" s="5"/>
      <c r="B148" s="5" t="s">
        <v>349</v>
      </c>
      <c r="C148" s="378"/>
      <c r="D148" s="378"/>
      <c r="E148" s="356"/>
      <c r="F148" s="356"/>
      <c r="G148" s="356"/>
      <c r="H148" s="356"/>
      <c r="I148" s="356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6"/>
      <c r="X148" s="356"/>
      <c r="Y148" s="356"/>
      <c r="Z148" s="356"/>
      <c r="AA148" s="356"/>
      <c r="AB148" s="356"/>
      <c r="AC148" s="356"/>
      <c r="AD148" s="356"/>
      <c r="AE148" s="356"/>
      <c r="AF148" s="356"/>
      <c r="AG148" s="356"/>
      <c r="AH148" s="356"/>
      <c r="AI148" s="356"/>
      <c r="AJ148" s="356"/>
      <c r="AK148" s="356"/>
      <c r="AL148" s="356"/>
      <c r="AM148" s="356"/>
      <c r="AN148" s="356"/>
      <c r="AO148" s="356"/>
      <c r="AP148" s="356"/>
      <c r="AQ148" s="356"/>
      <c r="AR148" s="356"/>
      <c r="AS148" s="356"/>
      <c r="AT148" s="356"/>
      <c r="AU148" s="356"/>
      <c r="AV148" s="356"/>
      <c r="AW148" s="356"/>
      <c r="AX148" s="356"/>
      <c r="AY148" s="356"/>
      <c r="AZ148" s="356"/>
      <c r="BA148" s="356"/>
      <c r="BB148" s="356"/>
      <c r="BC148" s="356"/>
      <c r="BD148" s="356">
        <f>IF(Model!BD79&lt;&gt;0,((Model!BD79*Assumptions!BD149)-(Assumptions!BD152*Assumptions!BD149))/Model!BD79,"")</f>
        <v>0.3</v>
      </c>
      <c r="BE148" s="356">
        <f>IF(Model!BE79&lt;&gt;0,((Model!BE79*Assumptions!BE149)-(Assumptions!BE152*Assumptions!BE149))/Model!BE79,"")</f>
        <v>0.3</v>
      </c>
      <c r="BF148" s="30">
        <f>BF149*BF151</f>
        <v>13.527900000000001</v>
      </c>
      <c r="BG148" s="30">
        <f t="shared" ref="BG148:DQ148" si="319">BG149*BG151</f>
        <v>10.803899999999999</v>
      </c>
      <c r="BH148" s="30">
        <f t="shared" si="319"/>
        <v>10.421850000000001</v>
      </c>
      <c r="BI148" s="30">
        <f t="shared" si="319"/>
        <v>21.225749999999998</v>
      </c>
      <c r="BJ148" s="30">
        <f t="shared" si="319"/>
        <v>10.905299999999999</v>
      </c>
      <c r="BK148" s="30">
        <f t="shared" si="319"/>
        <v>3.2703000000000011</v>
      </c>
      <c r="BL148" s="30">
        <f t="shared" si="319"/>
        <v>14.175600000000001</v>
      </c>
      <c r="BM148" s="30">
        <f t="shared" si="319"/>
        <v>12.002999999999998</v>
      </c>
      <c r="BN148" s="30">
        <f t="shared" si="319"/>
        <v>12.689100000000002</v>
      </c>
      <c r="BO148" s="30">
        <f t="shared" si="319"/>
        <v>24.6921</v>
      </c>
      <c r="BP148" s="30">
        <f t="shared" si="319"/>
        <v>18.6294</v>
      </c>
      <c r="BQ148" s="30">
        <f t="shared" si="319"/>
        <v>14.021099999999999</v>
      </c>
      <c r="BR148" s="30">
        <f t="shared" si="319"/>
        <v>32.650499999999994</v>
      </c>
      <c r="BS148" s="30">
        <f t="shared" si="319"/>
        <v>21.283200000000001</v>
      </c>
      <c r="BT148" s="30">
        <f t="shared" si="319"/>
        <v>21.761099999999995</v>
      </c>
      <c r="BU148" s="30">
        <f t="shared" si="319"/>
        <v>43.0443</v>
      </c>
      <c r="BV148" s="30">
        <f t="shared" si="319"/>
        <v>23.900400000000001</v>
      </c>
      <c r="BW148" s="30">
        <f t="shared" si="319"/>
        <v>23.114700000000003</v>
      </c>
      <c r="BX148" s="30">
        <f t="shared" si="319"/>
        <v>47.015100000000004</v>
      </c>
      <c r="BY148" s="30">
        <f t="shared" si="319"/>
        <v>28.785299999999996</v>
      </c>
      <c r="BZ148" s="30">
        <f t="shared" si="319"/>
        <v>24.095100000000002</v>
      </c>
      <c r="CA148" s="30">
        <f t="shared" si="319"/>
        <v>52.880400000000002</v>
      </c>
      <c r="CB148" s="15">
        <f>CB149*CB151</f>
        <v>27.850368000000003</v>
      </c>
      <c r="CC148" s="15">
        <f>CC149*CC151</f>
        <v>29.195119999999999</v>
      </c>
      <c r="CD148" s="30">
        <f>CD149*CD151</f>
        <v>55.687366000000004</v>
      </c>
      <c r="CE148" s="30">
        <f t="shared" si="319"/>
        <v>29.843370000000004</v>
      </c>
      <c r="CF148" s="30">
        <f t="shared" si="319"/>
        <v>33.643619999999999</v>
      </c>
      <c r="CG148" s="30">
        <f t="shared" si="319"/>
        <v>63.486990000000006</v>
      </c>
      <c r="CH148" s="30">
        <f t="shared" si="319"/>
        <v>28.69857</v>
      </c>
      <c r="CI148" s="30">
        <f t="shared" si="319"/>
        <v>28.268460000000005</v>
      </c>
      <c r="CJ148" s="30">
        <f t="shared" si="319"/>
        <v>56.967030000000008</v>
      </c>
      <c r="CK148" s="30">
        <f t="shared" si="319"/>
        <v>28.477170000000005</v>
      </c>
      <c r="CL148" s="30">
        <f t="shared" si="319"/>
        <v>18.134820000000001</v>
      </c>
      <c r="CM148" s="30">
        <f t="shared" si="319"/>
        <v>46.611990000000006</v>
      </c>
      <c r="CN148" s="30">
        <f t="shared" si="319"/>
        <v>12.105450000000001</v>
      </c>
      <c r="CO148" s="30">
        <f t="shared" si="319"/>
        <v>25.602479999999996</v>
      </c>
      <c r="CP148" s="30">
        <f t="shared" si="319"/>
        <v>37.707929999999998</v>
      </c>
      <c r="CQ148" s="30">
        <f t="shared" si="319"/>
        <v>25.651620000000001</v>
      </c>
      <c r="CR148" s="30">
        <f t="shared" si="319"/>
        <v>27.350190000000001</v>
      </c>
      <c r="CS148" s="30">
        <f t="shared" si="319"/>
        <v>53.001810000000006</v>
      </c>
      <c r="CT148" s="30">
        <f t="shared" si="319"/>
        <v>34.096410000000006</v>
      </c>
      <c r="CU148" s="30">
        <f t="shared" si="319"/>
        <v>34.555410000000002</v>
      </c>
      <c r="CV148" s="30">
        <f t="shared" si="319"/>
        <v>68.651820000000001</v>
      </c>
      <c r="CW148" s="30">
        <f t="shared" si="319"/>
        <v>41.304600000000001</v>
      </c>
      <c r="CX148" s="30">
        <f t="shared" si="319"/>
        <v>42.078150000000001</v>
      </c>
      <c r="CY148" s="30">
        <f t="shared" si="319"/>
        <v>83.382750000000001</v>
      </c>
      <c r="CZ148" s="30">
        <f t="shared" si="319"/>
        <v>42.282000000000004</v>
      </c>
      <c r="DA148" s="30">
        <f t="shared" si="319"/>
        <v>49.653000000000006</v>
      </c>
      <c r="DB148" s="30">
        <f t="shared" si="319"/>
        <v>94.7</v>
      </c>
      <c r="DC148" s="30">
        <f t="shared" si="319"/>
        <v>48.476387665198246</v>
      </c>
      <c r="DD148" s="30">
        <f t="shared" si="319"/>
        <v>50.200734214390607</v>
      </c>
      <c r="DE148" s="30">
        <f t="shared" si="319"/>
        <v>98.677121879588853</v>
      </c>
      <c r="DF148" s="30">
        <f t="shared" si="319"/>
        <v>49.755741556534502</v>
      </c>
      <c r="DG148" s="30">
        <f t="shared" si="319"/>
        <v>5.3120998531571288</v>
      </c>
      <c r="DH148" s="30">
        <f t="shared" si="319"/>
        <v>55.067841409691631</v>
      </c>
      <c r="DI148" s="30">
        <f t="shared" si="319"/>
        <v>47.69765051395008</v>
      </c>
      <c r="DJ148" s="30">
        <f t="shared" si="319"/>
        <v>42.886167400881057</v>
      </c>
      <c r="DK148" s="1096">
        <f t="shared" si="319"/>
        <v>90.58381791483113</v>
      </c>
      <c r="DL148" s="30">
        <f t="shared" si="319"/>
        <v>61.047430249632896</v>
      </c>
      <c r="DM148" s="30">
        <f t="shared" si="319"/>
        <v>49.672305433186501</v>
      </c>
      <c r="DN148" s="1096">
        <f t="shared" si="319"/>
        <v>110.71973568281939</v>
      </c>
      <c r="DO148" s="30">
        <f t="shared" si="319"/>
        <v>57.014684287812045</v>
      </c>
      <c r="DP148" s="30">
        <f t="shared" si="319"/>
        <v>65.831101321585919</v>
      </c>
      <c r="DQ148" s="1096">
        <f t="shared" si="319"/>
        <v>122.84578560939796</v>
      </c>
      <c r="DR148" s="30">
        <f t="shared" ref="DR148:DU148" si="320">DR149*DR151</f>
        <v>77.122790014684284</v>
      </c>
      <c r="DS148" s="30">
        <f t="shared" si="320"/>
        <v>74.425022026431733</v>
      </c>
      <c r="DT148" s="1096">
        <f t="shared" si="320"/>
        <v>151.547812041116</v>
      </c>
      <c r="DU148" s="30">
        <f t="shared" si="320"/>
        <v>80.209926578560939</v>
      </c>
      <c r="DV148" s="30">
        <f t="shared" ref="DV148:DW148" si="321">DV149*DV151</f>
        <v>74.063465491923665</v>
      </c>
      <c r="DW148" s="1096">
        <f t="shared" si="321"/>
        <v>154.27339207048462</v>
      </c>
      <c r="DX148" s="30">
        <f t="shared" ref="DX148:EF148" si="322">DX149*DX151</f>
        <v>71.449133627019108</v>
      </c>
      <c r="DY148" s="30">
        <f t="shared" si="322"/>
        <v>81.355765234298815</v>
      </c>
      <c r="DZ148" s="1096">
        <f t="shared" si="322"/>
        <v>152.80489886131792</v>
      </c>
      <c r="EA148" s="30">
        <f t="shared" si="322"/>
        <v>86.693055012323128</v>
      </c>
      <c r="EB148" s="30">
        <f t="shared" si="322"/>
        <v>89.35938367255514</v>
      </c>
      <c r="EC148" s="1096">
        <f t="shared" si="322"/>
        <v>176.05243868487827</v>
      </c>
      <c r="ED148" s="30">
        <f t="shared" si="322"/>
        <v>96.727185084369907</v>
      </c>
      <c r="EE148" s="30">
        <f t="shared" si="322"/>
        <v>99.758468199322309</v>
      </c>
      <c r="EF148" s="1096">
        <f t="shared" si="322"/>
        <v>196.48565328369222</v>
      </c>
      <c r="EG148" s="30">
        <f t="shared" ref="EG148:EL148" si="323">EG149*EG151</f>
        <v>107.43941983848819</v>
      </c>
      <c r="EH148" s="30">
        <f t="shared" si="323"/>
        <v>110.80011197990504</v>
      </c>
      <c r="EI148" s="1096">
        <f t="shared" si="323"/>
        <v>218.23953181839323</v>
      </c>
      <c r="EJ148" s="30">
        <f t="shared" si="323"/>
        <v>118.47999127649237</v>
      </c>
      <c r="EK148" s="30">
        <f t="shared" si="323"/>
        <v>122.18170006393004</v>
      </c>
      <c r="EL148" s="1096">
        <f t="shared" si="323"/>
        <v>240.66169134042241</v>
      </c>
      <c r="EM148" s="30">
        <f t="shared" ref="EM148:ER148" si="324">EM149*EM151</f>
        <v>130.068106464962</v>
      </c>
      <c r="EN148" s="30">
        <f t="shared" si="324"/>
        <v>134.11977874130491</v>
      </c>
      <c r="EO148" s="1096">
        <f t="shared" si="324"/>
        <v>264.18788520626691</v>
      </c>
      <c r="EP148" s="30">
        <f t="shared" si="324"/>
        <v>142.40241466060652</v>
      </c>
      <c r="EQ148" s="30">
        <f t="shared" si="324"/>
        <v>146.81873744182036</v>
      </c>
      <c r="ER148" s="1096">
        <f t="shared" si="324"/>
        <v>289.22115210242686</v>
      </c>
      <c r="ES148" s="30">
        <f t="shared" ref="ES148:EX148" si="325">ES149*ES151</f>
        <v>155.86924711049932</v>
      </c>
      <c r="ET148" s="30">
        <f t="shared" si="325"/>
        <v>160.68303894202239</v>
      </c>
      <c r="EU148" s="1096">
        <f t="shared" si="325"/>
        <v>316.55228605252171</v>
      </c>
      <c r="EV148" s="30">
        <f t="shared" si="325"/>
        <v>170.57310012333144</v>
      </c>
      <c r="EW148" s="30">
        <f t="shared" si="325"/>
        <v>175.82013321969166</v>
      </c>
      <c r="EX148" s="1096">
        <f t="shared" si="325"/>
        <v>346.3932333430231</v>
      </c>
      <c r="EY148" s="30">
        <f t="shared" ref="EY148:FA148" si="326">EY149*EY151</f>
        <v>186.62848582939031</v>
      </c>
      <c r="EZ148" s="30">
        <f t="shared" si="326"/>
        <v>192.34775190442289</v>
      </c>
      <c r="FA148" s="30">
        <f t="shared" si="326"/>
        <v>378.97623773381321</v>
      </c>
    </row>
    <row r="149" spans="1:157" ht="13.35" customHeight="1">
      <c r="A149" s="5"/>
      <c r="B149" s="5" t="s">
        <v>350</v>
      </c>
      <c r="C149" s="378"/>
      <c r="D149" s="378"/>
      <c r="E149" s="356">
        <v>0.49</v>
      </c>
      <c r="F149" s="356">
        <f>IF(G149&lt;&gt;"",G149,"")</f>
        <v>0.49</v>
      </c>
      <c r="G149" s="356">
        <v>0.49</v>
      </c>
      <c r="H149" s="356">
        <v>0.49</v>
      </c>
      <c r="I149" s="356">
        <f>IF(J149&lt;&gt;"",J149,"")</f>
        <v>0.49</v>
      </c>
      <c r="J149" s="356">
        <v>0.49</v>
      </c>
      <c r="K149" s="356">
        <v>0.49</v>
      </c>
      <c r="L149" s="356">
        <f>IF(M149&lt;&gt;"",M149,"")</f>
        <v>0.49</v>
      </c>
      <c r="M149" s="356">
        <v>0.49</v>
      </c>
      <c r="N149" s="356">
        <v>0.49</v>
      </c>
      <c r="O149" s="356">
        <f>IF(P149&lt;&gt;"",P149,"")</f>
        <v>0.49</v>
      </c>
      <c r="P149" s="356">
        <v>0.49</v>
      </c>
      <c r="Q149" s="356">
        <v>0.39</v>
      </c>
      <c r="R149" s="356">
        <f>IF(S149&lt;&gt;"",S149,"")</f>
        <v>0.39</v>
      </c>
      <c r="S149" s="356">
        <v>0.39</v>
      </c>
      <c r="T149" s="356">
        <v>0.39</v>
      </c>
      <c r="U149" s="356">
        <f>IF(V149&lt;&gt;"",V149,"")</f>
        <v>0.39</v>
      </c>
      <c r="V149" s="356">
        <v>0.39</v>
      </c>
      <c r="W149" s="356">
        <v>0.39</v>
      </c>
      <c r="X149" s="356">
        <f>IF(Y149&lt;&gt;"",Y149,"")</f>
        <v>0.39</v>
      </c>
      <c r="Y149" s="356">
        <v>0.39</v>
      </c>
      <c r="Z149" s="356">
        <v>0.39</v>
      </c>
      <c r="AA149" s="356">
        <f>IF(AB149&lt;&gt;"",AB149,"")</f>
        <v>0.39</v>
      </c>
      <c r="AB149" s="356">
        <v>0.39</v>
      </c>
      <c r="AC149" s="356">
        <v>0.39</v>
      </c>
      <c r="AD149" s="356">
        <f>IF(AE149&lt;&gt;"",AE149,"")</f>
        <v>0.39</v>
      </c>
      <c r="AE149" s="356">
        <v>0.39</v>
      </c>
      <c r="AF149" s="356">
        <v>0.33</v>
      </c>
      <c r="AG149" s="356">
        <f>IF(AH149&lt;&gt;"",AH149,"")</f>
        <v>0.33</v>
      </c>
      <c r="AH149" s="356">
        <v>0.33</v>
      </c>
      <c r="AI149" s="356">
        <v>0.33</v>
      </c>
      <c r="AJ149" s="356">
        <f>IF(AK149&lt;&gt;"",AK149,"")</f>
        <v>0.33</v>
      </c>
      <c r="AK149" s="356">
        <v>0.33</v>
      </c>
      <c r="AL149" s="356">
        <v>0.36</v>
      </c>
      <c r="AM149" s="356">
        <f>IF(AN149&lt;&gt;"",AN149,"")</f>
        <v>0.36</v>
      </c>
      <c r="AN149" s="356">
        <v>0.36</v>
      </c>
      <c r="AO149" s="356">
        <v>0.36</v>
      </c>
      <c r="AP149" s="356">
        <f>IF(AQ149&lt;&gt;"",AQ149,"")</f>
        <v>0.36</v>
      </c>
      <c r="AQ149" s="356">
        <v>0.36</v>
      </c>
      <c r="AR149" s="356">
        <v>0.36</v>
      </c>
      <c r="AS149" s="356">
        <f>IF(AT149&lt;&gt;"",AT149,"")</f>
        <v>0.36</v>
      </c>
      <c r="AT149" s="356">
        <v>0.36</v>
      </c>
      <c r="AU149" s="356">
        <v>0.36</v>
      </c>
      <c r="AV149" s="356">
        <f>IF(AW149&lt;&gt;"",AW149,"")</f>
        <v>0.36</v>
      </c>
      <c r="AW149" s="356">
        <v>0.36</v>
      </c>
      <c r="AX149" s="356">
        <v>0.36</v>
      </c>
      <c r="AY149" s="356">
        <f>IF(AZ149&lt;&gt;"",AZ149,"")</f>
        <v>0.36</v>
      </c>
      <c r="AZ149" s="356">
        <v>0.36</v>
      </c>
      <c r="BA149" s="356">
        <v>0.36</v>
      </c>
      <c r="BB149" s="356">
        <f>IF(BC149&lt;&gt;"",BC149,"")</f>
        <v>0.36</v>
      </c>
      <c r="BC149" s="356">
        <v>0.36</v>
      </c>
      <c r="BD149" s="356">
        <v>0.3</v>
      </c>
      <c r="BE149" s="356">
        <v>0.3</v>
      </c>
      <c r="BF149" s="356">
        <v>0.3</v>
      </c>
      <c r="BG149" s="356">
        <v>0.3</v>
      </c>
      <c r="BH149" s="356">
        <f>BG149</f>
        <v>0.3</v>
      </c>
      <c r="BI149" s="356">
        <f t="shared" ref="BI149:DQ149" si="327">BH149</f>
        <v>0.3</v>
      </c>
      <c r="BJ149" s="356">
        <f t="shared" si="327"/>
        <v>0.3</v>
      </c>
      <c r="BK149" s="356">
        <f t="shared" si="327"/>
        <v>0.3</v>
      </c>
      <c r="BL149" s="356">
        <f t="shared" si="327"/>
        <v>0.3</v>
      </c>
      <c r="BM149" s="356">
        <f t="shared" si="327"/>
        <v>0.3</v>
      </c>
      <c r="BN149" s="356">
        <f t="shared" si="327"/>
        <v>0.3</v>
      </c>
      <c r="BO149" s="356">
        <f t="shared" si="327"/>
        <v>0.3</v>
      </c>
      <c r="BP149" s="356">
        <f t="shared" si="327"/>
        <v>0.3</v>
      </c>
      <c r="BQ149" s="356">
        <f t="shared" si="327"/>
        <v>0.3</v>
      </c>
      <c r="BR149" s="356">
        <f t="shared" si="327"/>
        <v>0.3</v>
      </c>
      <c r="BS149" s="356">
        <f t="shared" si="327"/>
        <v>0.3</v>
      </c>
      <c r="BT149" s="356">
        <f t="shared" si="327"/>
        <v>0.3</v>
      </c>
      <c r="BU149" s="356">
        <f t="shared" si="327"/>
        <v>0.3</v>
      </c>
      <c r="BV149" s="356">
        <f t="shared" si="327"/>
        <v>0.3</v>
      </c>
      <c r="BW149" s="356">
        <f t="shared" si="327"/>
        <v>0.3</v>
      </c>
      <c r="BX149" s="356">
        <f t="shared" si="327"/>
        <v>0.3</v>
      </c>
      <c r="BY149" s="356">
        <f t="shared" si="327"/>
        <v>0.3</v>
      </c>
      <c r="BZ149" s="356">
        <f t="shared" si="327"/>
        <v>0.3</v>
      </c>
      <c r="CA149" s="356">
        <f t="shared" si="327"/>
        <v>0.3</v>
      </c>
      <c r="CB149" s="397">
        <v>0.27300000000000002</v>
      </c>
      <c r="CC149" s="397">
        <v>0.27200000000000002</v>
      </c>
      <c r="CD149" s="356">
        <v>0.26600000000000001</v>
      </c>
      <c r="CE149" s="356">
        <v>0.27</v>
      </c>
      <c r="CF149" s="356">
        <f t="shared" si="327"/>
        <v>0.27</v>
      </c>
      <c r="CG149" s="356">
        <f t="shared" si="327"/>
        <v>0.27</v>
      </c>
      <c r="CH149" s="356">
        <f t="shared" si="327"/>
        <v>0.27</v>
      </c>
      <c r="CI149" s="356">
        <f t="shared" si="327"/>
        <v>0.27</v>
      </c>
      <c r="CJ149" s="356">
        <f t="shared" si="327"/>
        <v>0.27</v>
      </c>
      <c r="CK149" s="356">
        <f t="shared" si="327"/>
        <v>0.27</v>
      </c>
      <c r="CL149" s="356">
        <f t="shared" si="327"/>
        <v>0.27</v>
      </c>
      <c r="CM149" s="356">
        <f t="shared" si="327"/>
        <v>0.27</v>
      </c>
      <c r="CN149" s="356">
        <f t="shared" si="327"/>
        <v>0.27</v>
      </c>
      <c r="CO149" s="356">
        <f t="shared" si="327"/>
        <v>0.27</v>
      </c>
      <c r="CP149" s="356">
        <f t="shared" si="327"/>
        <v>0.27</v>
      </c>
      <c r="CQ149" s="356">
        <f t="shared" si="327"/>
        <v>0.27</v>
      </c>
      <c r="CR149" s="356">
        <f t="shared" si="327"/>
        <v>0.27</v>
      </c>
      <c r="CS149" s="356">
        <f t="shared" si="327"/>
        <v>0.27</v>
      </c>
      <c r="CT149" s="356">
        <f t="shared" si="327"/>
        <v>0.27</v>
      </c>
      <c r="CU149" s="356">
        <f t="shared" si="327"/>
        <v>0.27</v>
      </c>
      <c r="CV149" s="356">
        <f t="shared" si="327"/>
        <v>0.27</v>
      </c>
      <c r="CW149" s="356">
        <f t="shared" si="327"/>
        <v>0.27</v>
      </c>
      <c r="CX149" s="356">
        <f t="shared" si="327"/>
        <v>0.27</v>
      </c>
      <c r="CY149" s="356">
        <f t="shared" si="327"/>
        <v>0.27</v>
      </c>
      <c r="CZ149" s="356">
        <f t="shared" si="327"/>
        <v>0.27</v>
      </c>
      <c r="DA149" s="356">
        <f t="shared" si="327"/>
        <v>0.27</v>
      </c>
      <c r="DB149" s="356">
        <v>0.27812041116005876</v>
      </c>
      <c r="DC149" s="356">
        <f t="shared" si="327"/>
        <v>0.27812041116005876</v>
      </c>
      <c r="DD149" s="356">
        <f t="shared" si="327"/>
        <v>0.27812041116005876</v>
      </c>
      <c r="DE149" s="356">
        <f t="shared" si="327"/>
        <v>0.27812041116005876</v>
      </c>
      <c r="DF149" s="356">
        <f t="shared" si="327"/>
        <v>0.27812041116005876</v>
      </c>
      <c r="DG149" s="356">
        <f t="shared" si="327"/>
        <v>0.27812041116005876</v>
      </c>
      <c r="DH149" s="356">
        <f t="shared" si="327"/>
        <v>0.27812041116005876</v>
      </c>
      <c r="DI149" s="356">
        <f t="shared" si="327"/>
        <v>0.27812041116005876</v>
      </c>
      <c r="DJ149" s="356">
        <f t="shared" si="327"/>
        <v>0.27812041116005876</v>
      </c>
      <c r="DK149" s="1087">
        <f t="shared" si="327"/>
        <v>0.27812041116005876</v>
      </c>
      <c r="DL149" s="356">
        <f t="shared" si="327"/>
        <v>0.27812041116005876</v>
      </c>
      <c r="DM149" s="356">
        <f t="shared" si="327"/>
        <v>0.27812041116005876</v>
      </c>
      <c r="DN149" s="1087">
        <f t="shared" si="327"/>
        <v>0.27812041116005876</v>
      </c>
      <c r="DO149" s="356">
        <f t="shared" si="327"/>
        <v>0.27812041116005876</v>
      </c>
      <c r="DP149" s="356">
        <f t="shared" si="327"/>
        <v>0.27812041116005876</v>
      </c>
      <c r="DQ149" s="1087">
        <f t="shared" si="327"/>
        <v>0.27812041116005876</v>
      </c>
      <c r="DR149" s="356">
        <f t="shared" ref="DR149:DU149" si="328">DQ149</f>
        <v>0.27812041116005876</v>
      </c>
      <c r="DS149" s="356">
        <f t="shared" si="328"/>
        <v>0.27812041116005876</v>
      </c>
      <c r="DT149" s="1087">
        <f t="shared" si="328"/>
        <v>0.27812041116005876</v>
      </c>
      <c r="DU149" s="356">
        <f t="shared" si="328"/>
        <v>0.27812041116005876</v>
      </c>
      <c r="DV149" s="356">
        <f t="shared" ref="DV149" si="329">DU149</f>
        <v>0.27812041116005876</v>
      </c>
      <c r="DW149" s="1087">
        <f t="shared" ref="DW149" si="330">DV149</f>
        <v>0.27812041116005876</v>
      </c>
      <c r="DX149" s="356">
        <f t="shared" ref="DX149:EF149" si="331">DW149</f>
        <v>0.27812041116005876</v>
      </c>
      <c r="DY149" s="356">
        <f t="shared" si="331"/>
        <v>0.27812041116005876</v>
      </c>
      <c r="DZ149" s="1087">
        <f t="shared" si="331"/>
        <v>0.27812041116005876</v>
      </c>
      <c r="EA149" s="356">
        <f t="shared" si="331"/>
        <v>0.27812041116005876</v>
      </c>
      <c r="EB149" s="356">
        <f t="shared" si="331"/>
        <v>0.27812041116005876</v>
      </c>
      <c r="EC149" s="1087">
        <f t="shared" si="331"/>
        <v>0.27812041116005876</v>
      </c>
      <c r="ED149" s="356">
        <f t="shared" si="331"/>
        <v>0.27812041116005876</v>
      </c>
      <c r="EE149" s="356">
        <f t="shared" si="331"/>
        <v>0.27812041116005876</v>
      </c>
      <c r="EF149" s="1087">
        <f t="shared" si="331"/>
        <v>0.27812041116005876</v>
      </c>
      <c r="EG149" s="356">
        <f t="shared" ref="EG149:EL149" si="332">EF149</f>
        <v>0.27812041116005876</v>
      </c>
      <c r="EH149" s="356">
        <f t="shared" si="332"/>
        <v>0.27812041116005876</v>
      </c>
      <c r="EI149" s="1087">
        <f t="shared" si="332"/>
        <v>0.27812041116005876</v>
      </c>
      <c r="EJ149" s="356">
        <f t="shared" si="332"/>
        <v>0.27812041116005876</v>
      </c>
      <c r="EK149" s="356">
        <f t="shared" si="332"/>
        <v>0.27812041116005876</v>
      </c>
      <c r="EL149" s="1087">
        <f t="shared" si="332"/>
        <v>0.27812041116005876</v>
      </c>
      <c r="EM149" s="356">
        <f t="shared" ref="EM149:ER149" si="333">EL149</f>
        <v>0.27812041116005876</v>
      </c>
      <c r="EN149" s="356">
        <f t="shared" si="333"/>
        <v>0.27812041116005876</v>
      </c>
      <c r="EO149" s="1087">
        <f t="shared" si="333"/>
        <v>0.27812041116005876</v>
      </c>
      <c r="EP149" s="356">
        <f t="shared" si="333"/>
        <v>0.27812041116005876</v>
      </c>
      <c r="EQ149" s="356">
        <f t="shared" si="333"/>
        <v>0.27812041116005876</v>
      </c>
      <c r="ER149" s="1087">
        <f t="shared" si="333"/>
        <v>0.27812041116005876</v>
      </c>
      <c r="ES149" s="356">
        <f t="shared" ref="ES149" si="334">ER149</f>
        <v>0.27812041116005876</v>
      </c>
      <c r="ET149" s="356">
        <f t="shared" ref="ET149" si="335">ES149</f>
        <v>0.27812041116005876</v>
      </c>
      <c r="EU149" s="1087">
        <f t="shared" ref="EU149" si="336">ET149</f>
        <v>0.27812041116005876</v>
      </c>
      <c r="EV149" s="356">
        <f t="shared" ref="EV149" si="337">EU149</f>
        <v>0.27812041116005876</v>
      </c>
      <c r="EW149" s="356">
        <f t="shared" ref="EW149" si="338">EV149</f>
        <v>0.27812041116005876</v>
      </c>
      <c r="EX149" s="1087">
        <f t="shared" ref="EX149" si="339">EW149</f>
        <v>0.27812041116005876</v>
      </c>
      <c r="EY149" s="356">
        <f t="shared" ref="EY149" si="340">EX149</f>
        <v>0.27812041116005876</v>
      </c>
      <c r="EZ149" s="356">
        <f t="shared" ref="EZ149" si="341">EY149</f>
        <v>0.27812041116005876</v>
      </c>
      <c r="FA149" s="356">
        <f t="shared" ref="FA149" si="342">EZ149</f>
        <v>0.27812041116005876</v>
      </c>
    </row>
    <row r="150" spans="1:157" ht="13.35" customHeight="1">
      <c r="A150" s="5"/>
      <c r="B150" s="5" t="s">
        <v>351</v>
      </c>
      <c r="C150" s="378"/>
      <c r="D150" s="378"/>
      <c r="E150" s="359"/>
      <c r="F150" s="359"/>
      <c r="G150" s="359"/>
      <c r="H150" s="359"/>
      <c r="I150" s="359"/>
      <c r="J150" s="359"/>
      <c r="K150" s="359"/>
      <c r="L150" s="359"/>
      <c r="M150" s="359"/>
      <c r="N150" s="359"/>
      <c r="O150" s="359"/>
      <c r="P150" s="359"/>
      <c r="Q150" s="359"/>
      <c r="R150" s="359"/>
      <c r="S150" s="359"/>
      <c r="T150" s="359"/>
      <c r="U150" s="359"/>
      <c r="V150" s="359"/>
      <c r="W150" s="359"/>
      <c r="X150" s="359"/>
      <c r="Y150" s="359"/>
      <c r="Z150" s="359"/>
      <c r="AA150" s="359"/>
      <c r="AB150" s="359"/>
      <c r="AC150" s="359"/>
      <c r="AD150" s="359"/>
      <c r="AE150" s="359"/>
      <c r="AF150" s="359"/>
      <c r="AG150" s="359"/>
      <c r="AH150" s="359"/>
      <c r="AI150" s="359"/>
      <c r="AJ150" s="359"/>
      <c r="AK150" s="359"/>
      <c r="AL150" s="359"/>
      <c r="AM150" s="359"/>
      <c r="AN150" s="359"/>
      <c r="AO150" s="359"/>
      <c r="AP150" s="359"/>
      <c r="AQ150" s="359"/>
      <c r="AR150" s="359"/>
      <c r="AS150" s="359"/>
      <c r="AT150" s="359"/>
      <c r="AU150" s="359"/>
      <c r="AV150" s="359"/>
      <c r="AW150" s="359"/>
      <c r="AX150" s="359"/>
      <c r="AY150" s="359"/>
      <c r="AZ150" s="359"/>
      <c r="BA150" s="359"/>
      <c r="BB150" s="359"/>
      <c r="BC150" s="359"/>
      <c r="BD150" s="359">
        <f>IF(BD147&lt;&gt;"",IF((BC150-BC152)&gt;0,BC150-BC152,0),"")</f>
        <v>0</v>
      </c>
      <c r="BE150" s="359">
        <f>IF(BE147&lt;&gt;"",IF((BD150-BD152)&gt;0,BD150-BD152,0),"")</f>
        <v>0</v>
      </c>
      <c r="BF150" s="359">
        <f>IF(BF147&lt;&gt;"",IF((BC150-BC152)&gt;0,BC150-BC152,0),"")</f>
        <v>0</v>
      </c>
      <c r="BG150" s="359">
        <f>IF(BG147&lt;&gt;"",IF((BF150-BF152)&gt;0,BF150-BF152,0),"")</f>
        <v>0</v>
      </c>
      <c r="BH150" s="359">
        <f>IF(BH147&lt;&gt;"",IF((BG150-BG152)&gt;0,BG150-BG152,0),"")</f>
        <v>0</v>
      </c>
      <c r="BI150" s="359">
        <f>IF(BI147&lt;&gt;"",IF((BF150-BF152)&gt;0,BF150-BF152,0),"")</f>
        <v>0</v>
      </c>
      <c r="BJ150" s="359">
        <f>IF(BJ147&lt;&gt;"",IF((BI150-BI152)&gt;0,BI150-BI152,0),"")</f>
        <v>0</v>
      </c>
      <c r="BK150" s="359">
        <f>IF(BK147&lt;&gt;"",IF((BJ150-BJ152)&gt;0,BJ150-BJ152,0),"")</f>
        <v>0</v>
      </c>
      <c r="BL150" s="359">
        <f>IF(BL147&lt;&gt;"",IF((BI150-BI152)&gt;0,BI150-BI152,0),"")</f>
        <v>0</v>
      </c>
      <c r="BM150" s="359">
        <f>IF(BM147&lt;&gt;"",IF((BL150-BL152)&gt;0,BL150-BL152,0),"")</f>
        <v>0</v>
      </c>
      <c r="BN150" s="359">
        <f>IF(BN147&lt;&gt;"",IF((BM150-BM152)&gt;0,BM150-BM152,0),"")</f>
        <v>0</v>
      </c>
      <c r="BO150" s="359">
        <f>IF(BO147&lt;&gt;"",IF((BL150-BL152)&gt;0,BL150-BL152,0),"")</f>
        <v>0</v>
      </c>
      <c r="BP150" s="359">
        <f>IF(BP147&lt;&gt;"",IF((BO150-BO152)&gt;0,BO150-BO152,0),"")</f>
        <v>0</v>
      </c>
      <c r="BQ150" s="359">
        <f>IF(BQ147&lt;&gt;"",IF((BP150-BP152)&gt;0,BP150-BP152,0),"")</f>
        <v>0</v>
      </c>
      <c r="BR150" s="359">
        <f>IF(BR147&lt;&gt;"",IF((BO150-BO152)&gt;0,BO150-BO152,0),"")</f>
        <v>0</v>
      </c>
      <c r="BS150" s="359">
        <f>IF(BS147&lt;&gt;"",IF((BR150-BR152)&gt;0,BR150-BR152,0),"")</f>
        <v>0</v>
      </c>
      <c r="BT150" s="359">
        <f>IF(BT147&lt;&gt;"",IF((BS150-BS152)&gt;0,BS150-BS152,0),"")</f>
        <v>0</v>
      </c>
      <c r="BU150" s="359">
        <f>IF(BU147&lt;&gt;"",IF((BR150-BR152)&gt;0,BR150-BR152,0),"")</f>
        <v>0</v>
      </c>
      <c r="BV150" s="359">
        <f>IF(BV147&lt;&gt;"",IF((BU150-BU152)&gt;0,BU150-BU152,0),"")</f>
        <v>0</v>
      </c>
      <c r="BW150" s="359">
        <f>IF(BW147&lt;&gt;"",IF((BV150-BV152)&gt;0,BV150-BV152,0),"")</f>
        <v>0</v>
      </c>
      <c r="BX150" s="359">
        <f>IF(BX147&lt;&gt;"",IF((BU150-BU152)&gt;0,BU150-BU152,0),"")</f>
        <v>0</v>
      </c>
      <c r="BY150" s="359">
        <f>IF(BY147&lt;&gt;"",IF((BX150-BX152)&gt;0,BX150-BX152,0),"")</f>
        <v>0</v>
      </c>
      <c r="BZ150" s="359">
        <f>IF(BZ147&lt;&gt;"",IF((BY150-BY152)&gt;0,BY150-BY152,0),"")</f>
        <v>0</v>
      </c>
      <c r="CA150" s="359">
        <f>IF(CA147&lt;&gt;"",IF((BX150-BX152)&gt;0,BX150-BX152,0),"")</f>
        <v>0</v>
      </c>
      <c r="CB150" s="359">
        <f>IF(CB147&lt;&gt;"",IF((CA150-CA152)&gt;0,CA150-CA152,0),"")</f>
        <v>0</v>
      </c>
      <c r="CC150" s="359">
        <f>IF(CC147&lt;&gt;"",IF((CB150-CB152)&gt;0,CB150-CB152,0),"")</f>
        <v>0</v>
      </c>
      <c r="CD150" s="359">
        <f>IF(CD147&lt;&gt;"",IF((CA150-CA152)&gt;0,CA150-CA152,0),"")</f>
        <v>0</v>
      </c>
      <c r="CE150" s="359">
        <f>IF(CE147&lt;&gt;"",IF((CD150-CD152)&gt;0,CD150-CD152,0),"")</f>
        <v>0</v>
      </c>
      <c r="CF150" s="359">
        <f>IF(CF147&lt;&gt;"",IF((CE150-CE152)&gt;0,CE150-CE152,0),"")</f>
        <v>0</v>
      </c>
      <c r="CG150" s="359">
        <f>IF(CG147&lt;&gt;"",IF((CD150-CD152)&gt;0,CD150-CD152,0),"")</f>
        <v>0</v>
      </c>
      <c r="CH150" s="359">
        <f>IF(CH147&lt;&gt;"",IF((CG150-CG152)&gt;0,CG150-CG152,0),"")</f>
        <v>0</v>
      </c>
      <c r="CI150" s="359">
        <f>IF(CI147&lt;&gt;"",IF((CH150-CH152)&gt;0,CH150-CH152,0),"")</f>
        <v>0</v>
      </c>
      <c r="CJ150" s="359">
        <f>IF(CJ147&lt;&gt;"",IF((CG150-CG152)&gt;0,CG150-CG152,0),"")</f>
        <v>0</v>
      </c>
      <c r="CK150" s="359">
        <f>IF(CK147&lt;&gt;"",IF((CJ150-CJ152)&gt;0,CJ150-CJ152,0),"")</f>
        <v>0</v>
      </c>
      <c r="CL150" s="359">
        <f>IF(CL147&lt;&gt;"",IF((CK150-CK152)&gt;0,CK150-CK152,0),"")</f>
        <v>0</v>
      </c>
      <c r="CM150" s="359">
        <f>IF(CM147&lt;&gt;"",IF((CJ150-CJ152)&gt;0,CJ150-CJ152,0),"")</f>
        <v>0</v>
      </c>
      <c r="CN150" s="359">
        <f>IF(CN147&lt;&gt;"",IF((CM150-CM152)&gt;0,CM150-CM152,0),"")</f>
        <v>0</v>
      </c>
      <c r="CO150" s="359">
        <f>IF(CO147&lt;&gt;"",IF((CN150-CN152)&gt;0,CN150-CN152,0),"")</f>
        <v>0</v>
      </c>
      <c r="CP150" s="359">
        <f>IF(CP147&lt;&gt;"",IF((CM150-CM152)&gt;0,CM150-CM152,0),"")</f>
        <v>0</v>
      </c>
      <c r="CQ150" s="359">
        <f>IF(CQ147&lt;&gt;"",IF((CP150-CP152)&gt;0,CP150-CP152,0),"")</f>
        <v>0</v>
      </c>
      <c r="CR150" s="359">
        <f>IF(CR147&lt;&gt;"",IF((CQ150-CQ152)&gt;0,CQ150-CQ152,0),"")</f>
        <v>0</v>
      </c>
      <c r="CS150" s="359">
        <f>IF(CS147&lt;&gt;"",IF((CP150-CP152)&gt;0,CP150-CP152,0),"")</f>
        <v>0</v>
      </c>
      <c r="CT150" s="359">
        <f>IF(CT147&lt;&gt;"",IF((CS150-CS152)&gt;0,CS150-CS152,0),"")</f>
        <v>0</v>
      </c>
      <c r="CU150" s="359">
        <f>IF(CU147&lt;&gt;"",IF((CT150-CT152)&gt;0,CT150-CT152,0),"")</f>
        <v>0</v>
      </c>
      <c r="CV150" s="359">
        <f>IF(CV147&lt;&gt;"",IF((CS150-CS152)&gt;0,CS150-CS152,0),"")</f>
        <v>0</v>
      </c>
      <c r="CW150" s="359">
        <f>IF(CW147&lt;&gt;"",IF((CV150-CV152)&gt;0,CV150-CV152,0),"")</f>
        <v>0</v>
      </c>
      <c r="CX150" s="359">
        <f>IF(CX147&lt;&gt;"",IF((CW150-CW152)&gt;0,CW150-CW152,0),"")</f>
        <v>0</v>
      </c>
      <c r="CY150" s="359">
        <f>IF(CY147&lt;&gt;"",IF((CV150-CV152)&gt;0,CV150-CV152,0),"")</f>
        <v>0</v>
      </c>
      <c r="CZ150" s="359">
        <f>IF(CZ147&lt;&gt;"",IF((CY150-CY152)&gt;0,CY150-CY152,0),"")</f>
        <v>0</v>
      </c>
      <c r="DA150" s="359">
        <f>IF(DA147&lt;&gt;"",IF((CZ150-CZ152)&gt;0,CZ150-CZ152,0),"")</f>
        <v>0</v>
      </c>
      <c r="DB150" s="359">
        <f>IF(DB147&lt;&gt;"",IF((CY150-CY152)&gt;0,CY150-CY152,0),"")</f>
        <v>0</v>
      </c>
      <c r="DC150" s="359">
        <f>IF(DC147&lt;&gt;"",IF((DB150-DB152)&gt;0,DB150-DB152,0),"")</f>
        <v>0</v>
      </c>
      <c r="DD150" s="359">
        <f>IF(DD147&lt;&gt;"",IF((DC150-DC152)&gt;0,DC150-DC152,0),"")</f>
        <v>0</v>
      </c>
      <c r="DE150" s="359">
        <f>IF(DE147&lt;&gt;"",IF((DB150-DB152)&gt;0,DB150-DB152,0),"")</f>
        <v>0</v>
      </c>
      <c r="DF150" s="359">
        <f>IF(DF147&lt;&gt;"",IF((DE150-DE152)&gt;0,DE150-DE152,0),"")</f>
        <v>0</v>
      </c>
      <c r="DG150" s="359">
        <f>IF(DG147&lt;&gt;"",IF((DF150-DF152)&gt;0,DF150-DF152,0),"")</f>
        <v>0</v>
      </c>
      <c r="DH150" s="359">
        <f>IF(DH147&lt;&gt;"",IF((DE150-DE152)&gt;0,DE150-DE152,0),"")</f>
        <v>0</v>
      </c>
      <c r="DI150" s="359">
        <f>IF(DI147&lt;&gt;"",IF((DH150-DH152)&gt;0,DH150-DH152,0),"")</f>
        <v>0</v>
      </c>
      <c r="DJ150" s="359">
        <f>IF(DJ147&lt;&gt;"",IF((DI150-DI152)&gt;0,DI150-DI152,0),"")</f>
        <v>0</v>
      </c>
      <c r="DK150" s="1208">
        <f>IF(DK147&lt;&gt;"",IF((DH150-DH152)&gt;0,DH150-DH152,0),"")</f>
        <v>0</v>
      </c>
      <c r="DL150" s="359">
        <f>IF(DL147&lt;&gt;"",IF((DK150-DK152)&gt;0,DK150-DK152,0),"")</f>
        <v>0</v>
      </c>
      <c r="DM150" s="359">
        <f>IF(DM147&lt;&gt;"",IF((DL150-DL152)&gt;0,DL150-DL152,0),"")</f>
        <v>0</v>
      </c>
      <c r="DN150" s="1208">
        <f>IF(DN147&lt;&gt;"",IF((DK150-DK152)&gt;0,DK150-DK152,0),"")</f>
        <v>0</v>
      </c>
      <c r="DO150" s="359">
        <f>IF(DO147&lt;&gt;"",IF((DN150-DN152)&gt;0,DN150-DN152,0),"")</f>
        <v>0</v>
      </c>
      <c r="DP150" s="359">
        <f>IF(DP147&lt;&gt;"",IF((DO150-DO152)&gt;0,DO150-DO152,0),"")</f>
        <v>0</v>
      </c>
      <c r="DQ150" s="1208">
        <f>IF(DQ147&lt;&gt;"",IF((DN150-DN152)&gt;0,DN150-DN152,0),"")</f>
        <v>0</v>
      </c>
      <c r="DR150" s="359">
        <f>IF(DR147&lt;&gt;"",IF((DQ150-DQ152)&gt;0,DQ150-DQ152,0),"")</f>
        <v>0</v>
      </c>
      <c r="DS150" s="359">
        <f>IF(DS147&lt;&gt;"",IF((DR150-DR152)&gt;0,DR150-DR152,0),"")</f>
        <v>0</v>
      </c>
      <c r="DT150" s="1208">
        <f>IF(DT147&lt;&gt;"",IF((DQ150-DQ152)&gt;0,DQ150-DQ152,0),"")</f>
        <v>0</v>
      </c>
      <c r="DU150" s="359">
        <f>IF(DU147&lt;&gt;"",IF((DT150-DT152)&gt;0,DT150-DT152,0),"")</f>
        <v>0</v>
      </c>
      <c r="DV150" s="359">
        <f>IF(DV147&lt;&gt;"",IF((DU150-DU152)&gt;0,DU150-DU152,0),"")</f>
        <v>0</v>
      </c>
      <c r="DW150" s="1208">
        <f>IF(DW147&lt;&gt;"",IF((DT150-DT152)&gt;0,DT150-DT152,0),"")</f>
        <v>0</v>
      </c>
      <c r="DX150" s="359">
        <f>IF(DX147&lt;&gt;"",IF((DW150-DW152)&gt;0,DW150-DW152,0),"")</f>
        <v>0</v>
      </c>
      <c r="DY150" s="359">
        <f>IF(DY147&lt;&gt;"",IF((DX150-DX152)&gt;0,DX150-DX152,0),"")</f>
        <v>0</v>
      </c>
      <c r="DZ150" s="1208">
        <f>IF(DZ147&lt;&gt;"",IF((DW150-DW152)&gt;0,DW150-DW152,0),"")</f>
        <v>0</v>
      </c>
      <c r="EA150" s="359">
        <f>IF(EA147&lt;&gt;"",IF((DZ150-DZ152)&gt;0,DZ150-DZ152,0),"")</f>
        <v>0</v>
      </c>
      <c r="EB150" s="359">
        <f>IF(EB147&lt;&gt;"",IF((EA150-EA152)&gt;0,EA150-EA152,0),"")</f>
        <v>0</v>
      </c>
      <c r="EC150" s="1208">
        <f>IF(EC147&lt;&gt;"",IF((DZ150-DZ152)&gt;0,DZ150-DZ152,0),"")</f>
        <v>0</v>
      </c>
      <c r="ED150" s="359">
        <f>IF(ED147&lt;&gt;"",IF((EC150-EC152)&gt;0,EC150-EC152,0),"")</f>
        <v>0</v>
      </c>
      <c r="EE150" s="359">
        <f>IF(EE147&lt;&gt;"",IF((ED150-ED152)&gt;0,ED150-ED152,0),"")</f>
        <v>0</v>
      </c>
      <c r="EF150" s="1208">
        <f>IF(EF147&lt;&gt;"",IF((EC150-EC152)&gt;0,EC150-EC152,0),"")</f>
        <v>0</v>
      </c>
      <c r="EG150" s="359">
        <f>IF(EG147&lt;&gt;"",IF((EF150-EF152)&gt;0,EF150-EF152,0),"")</f>
        <v>0</v>
      </c>
      <c r="EH150" s="359">
        <f>IF(EH147&lt;&gt;"",IF((EG150-EG152)&gt;0,EG150-EG152,0),"")</f>
        <v>0</v>
      </c>
      <c r="EI150" s="1208">
        <f>IF(EI147&lt;&gt;"",IF((EF150-EF152)&gt;0,EF150-EF152,0),"")</f>
        <v>0</v>
      </c>
      <c r="EJ150" s="359">
        <f>IF(EJ147&lt;&gt;"",IF((EI150-EI152)&gt;0,EI150-EI152,0),"")</f>
        <v>0</v>
      </c>
      <c r="EK150" s="359">
        <f>IF(EK147&lt;&gt;"",IF((EJ150-EJ152)&gt;0,EJ150-EJ152,0),"")</f>
        <v>0</v>
      </c>
      <c r="EL150" s="1208">
        <f>IF(EL147&lt;&gt;"",IF((EI150-EI152)&gt;0,EI150-EI152,0),"")</f>
        <v>0</v>
      </c>
      <c r="EM150" s="359">
        <f>IF(EM147&lt;&gt;"",IF((EL150-EL152)&gt;0,EL150-EL152,0),"")</f>
        <v>0</v>
      </c>
      <c r="EN150" s="359">
        <f>IF(EN147&lt;&gt;"",IF((EM150-EM152)&gt;0,EM150-EM152,0),"")</f>
        <v>0</v>
      </c>
      <c r="EO150" s="1208">
        <f>IF(EO147&lt;&gt;"",IF((EL150-EL152)&gt;0,EL150-EL152,0),"")</f>
        <v>0</v>
      </c>
      <c r="EP150" s="359">
        <f>IF(EP147&lt;&gt;"",IF((EO150-EO152)&gt;0,EO150-EO152,0),"")</f>
        <v>0</v>
      </c>
      <c r="EQ150" s="359">
        <f>IF(EQ147&lt;&gt;"",IF((EP150-EP152)&gt;0,EP150-EP152,0),"")</f>
        <v>0</v>
      </c>
      <c r="ER150" s="1208">
        <f>IF(ER147&lt;&gt;"",IF((EO150-EO152)&gt;0,EO150-EO152,0),"")</f>
        <v>0</v>
      </c>
      <c r="ES150" s="359">
        <f>IF(ES147&lt;&gt;"",IF((ER150-ER152)&gt;0,ER150-ER152,0),"")</f>
        <v>0</v>
      </c>
      <c r="ET150" s="359">
        <f>IF(ET147&lt;&gt;"",IF((ES150-ES152)&gt;0,ES150-ES152,0),"")</f>
        <v>0</v>
      </c>
      <c r="EU150" s="1208">
        <f>IF(EU147&lt;&gt;"",IF((ER150-ER152)&gt;0,ER150-ER152,0),"")</f>
        <v>0</v>
      </c>
      <c r="EV150" s="359">
        <f>IF(EV147&lt;&gt;"",IF((EU150-EU152)&gt;0,EU150-EU152,0),"")</f>
        <v>0</v>
      </c>
      <c r="EW150" s="359">
        <f>IF(EW147&lt;&gt;"",IF((EV150-EV152)&gt;0,EV150-EV152,0),"")</f>
        <v>0</v>
      </c>
      <c r="EX150" s="1208">
        <f>IF(EX147&lt;&gt;"",IF((EU150-EU152)&gt;0,EU150-EU152,0),"")</f>
        <v>0</v>
      </c>
      <c r="EY150" s="359">
        <f>IF(EY147&lt;&gt;"",IF((EX150-EX152)&gt;0,EX150-EX152,0),"")</f>
        <v>0</v>
      </c>
      <c r="EZ150" s="359">
        <f>IF(EZ147&lt;&gt;"",IF((EY150-EY152)&gt;0,EY150-EY152,0),"")</f>
        <v>0</v>
      </c>
      <c r="FA150" s="359">
        <f>IF(FA147&lt;&gt;"",IF((EX150-EX152)&gt;0,EX150-EX152,0),"")</f>
        <v>0</v>
      </c>
    </row>
    <row r="151" spans="1:157" ht="13.35" customHeight="1">
      <c r="A151" s="5"/>
      <c r="B151" s="5" t="s">
        <v>352</v>
      </c>
      <c r="C151" s="378"/>
      <c r="D151" s="378"/>
      <c r="E151" s="317"/>
      <c r="F151" s="317"/>
      <c r="G151" s="317"/>
      <c r="H151" s="317"/>
      <c r="I151" s="317"/>
      <c r="J151" s="317"/>
      <c r="K151" s="317"/>
      <c r="L151" s="317"/>
      <c r="M151" s="317"/>
      <c r="N151" s="317"/>
      <c r="O151" s="317"/>
      <c r="P151" s="317"/>
      <c r="Q151" s="317"/>
      <c r="R151" s="317"/>
      <c r="S151" s="317"/>
      <c r="T151" s="317"/>
      <c r="U151" s="317"/>
      <c r="V151" s="317"/>
      <c r="W151" s="317"/>
      <c r="X151" s="317"/>
      <c r="Y151" s="317"/>
      <c r="Z151" s="317"/>
      <c r="AA151" s="317"/>
      <c r="AB151" s="317"/>
      <c r="AC151" s="317"/>
      <c r="AD151" s="317"/>
      <c r="AE151" s="317"/>
      <c r="AF151" s="317"/>
      <c r="AG151" s="317"/>
      <c r="AH151" s="317"/>
      <c r="AI151" s="317"/>
      <c r="AJ151" s="317"/>
      <c r="AK151" s="317"/>
      <c r="AL151" s="317"/>
      <c r="AM151" s="317"/>
      <c r="AN151" s="317"/>
      <c r="AO151" s="317"/>
      <c r="AP151" s="317"/>
      <c r="AQ151" s="317"/>
      <c r="AR151" s="317"/>
      <c r="AS151" s="317"/>
      <c r="AT151" s="317"/>
      <c r="AU151" s="317"/>
      <c r="AV151" s="317"/>
      <c r="AW151" s="317"/>
      <c r="AX151" s="317"/>
      <c r="AY151" s="317"/>
      <c r="AZ151" s="317"/>
      <c r="BA151" s="317"/>
      <c r="BB151" s="317"/>
      <c r="BC151" s="317"/>
      <c r="BD151" s="30">
        <f>(Model!BD79-(0.25*Model!BD45))</f>
        <v>21.544750000000001</v>
      </c>
      <c r="BE151" s="30">
        <f>(Model!BE79-(0.25*Model!BE45))</f>
        <v>23.548250000000003</v>
      </c>
      <c r="BF151" s="30">
        <f>(Model!BF79-(0.25*Model!BF45))</f>
        <v>45.093000000000004</v>
      </c>
      <c r="BG151" s="30">
        <f>(Model!BG79-(0.25*Model!BG45))</f>
        <v>36.012999999999998</v>
      </c>
      <c r="BH151" s="30">
        <f>(Model!BH79-(0.25*Model!BH45))</f>
        <v>34.739500000000007</v>
      </c>
      <c r="BI151" s="30">
        <f>(Model!BI79-(0.25*Model!BI45))</f>
        <v>70.752499999999998</v>
      </c>
      <c r="BJ151" s="30">
        <f>(Model!BJ79-(0.25*Model!BJ45))</f>
        <v>36.350999999999999</v>
      </c>
      <c r="BK151" s="30">
        <f>(Model!BK79-(0.25*Model!BK45))</f>
        <v>10.901000000000003</v>
      </c>
      <c r="BL151" s="30">
        <f>(Model!BL79-(0.25*Model!BL45))</f>
        <v>47.252000000000002</v>
      </c>
      <c r="BM151" s="30">
        <f>(Model!BM79-(0.25*Model!BM45))</f>
        <v>40.01</v>
      </c>
      <c r="BN151" s="30">
        <f>(Model!BN79-(0.25*Model!BN45))</f>
        <v>42.297000000000004</v>
      </c>
      <c r="BO151" s="30">
        <f>(Model!BO79-(0.25*Model!BO45))</f>
        <v>82.307000000000002</v>
      </c>
      <c r="BP151" s="30">
        <f>(Model!BP79-(0.25*Model!BP45))</f>
        <v>62.097999999999999</v>
      </c>
      <c r="BQ151" s="30">
        <f>(Model!BQ79-(0.25*Model!BQ45))</f>
        <v>46.736999999999995</v>
      </c>
      <c r="BR151" s="30">
        <f>(Model!BR79-(0.25*Model!BR45))</f>
        <v>108.83499999999999</v>
      </c>
      <c r="BS151" s="30">
        <f>(Model!BS79-(0.25*Model!BS45))</f>
        <v>70.944000000000003</v>
      </c>
      <c r="BT151" s="30">
        <f>(Model!BT79-(0.25*Model!BT45))</f>
        <v>72.536999999999992</v>
      </c>
      <c r="BU151" s="30">
        <f>(Model!BU79-(0.25*Model!BU45))</f>
        <v>143.48099999999999</v>
      </c>
      <c r="BV151" s="30">
        <f>(Model!BV79-(0.25*Model!BV45))</f>
        <v>79.668000000000006</v>
      </c>
      <c r="BW151" s="30">
        <f>(Model!BW79-(0.25*Model!BW45))</f>
        <v>77.049000000000007</v>
      </c>
      <c r="BX151" s="30">
        <f>(Model!BX79-(0.25*Model!BX45))</f>
        <v>156.71700000000001</v>
      </c>
      <c r="BY151" s="30">
        <f>(Model!BY79-(0.25*Model!BY45))</f>
        <v>95.950999999999993</v>
      </c>
      <c r="BZ151" s="30">
        <f>(Model!BZ79-(0.25*Model!BZ45))</f>
        <v>80.317000000000007</v>
      </c>
      <c r="CA151" s="30">
        <f>(Model!CA79-(0.25*Model!CA45))</f>
        <v>176.268</v>
      </c>
      <c r="CB151" s="30">
        <f>(Model!CB79-(0.25*Model!CB45))</f>
        <v>102.01600000000001</v>
      </c>
      <c r="CC151" s="30">
        <f>(Model!CC79-(0.25*Model!CC45))</f>
        <v>107.33499999999999</v>
      </c>
      <c r="CD151" s="30">
        <f>(Model!CD79-(0.25*Model!CD45))</f>
        <v>209.351</v>
      </c>
      <c r="CE151" s="30">
        <f>(Model!CE79-(0.25*Model!CE45))</f>
        <v>110.53100000000001</v>
      </c>
      <c r="CF151" s="30">
        <f>(Model!CF79-(0.25*Model!CF45))</f>
        <v>124.60599999999999</v>
      </c>
      <c r="CG151" s="30">
        <f>(Model!CG79-(0.25*Model!CG45))</f>
        <v>235.137</v>
      </c>
      <c r="CH151" s="30">
        <f>(Model!CH79-(0.25*Model!CH45))</f>
        <v>106.291</v>
      </c>
      <c r="CI151" s="30">
        <f>(Model!CI79-(0.25*Model!CI45))</f>
        <v>104.69800000000001</v>
      </c>
      <c r="CJ151" s="30">
        <f>(Model!CJ79-(0.25*Model!CJ45))</f>
        <v>210.989</v>
      </c>
      <c r="CK151" s="30">
        <f>(Model!CK79-(0.25*Model!CK45))</f>
        <v>105.471</v>
      </c>
      <c r="CL151" s="30">
        <f>(Model!CL79-(0.25*Model!CL45))</f>
        <v>67.165999999999997</v>
      </c>
      <c r="CM151" s="30">
        <f>(Model!CM79-(0.25*Model!CM45))</f>
        <v>172.637</v>
      </c>
      <c r="CN151" s="30">
        <f>(Model!CN79-(0.25*Model!CN45))</f>
        <v>44.835000000000001</v>
      </c>
      <c r="CO151" s="30">
        <f>(Model!CO79-(0.25*Model!CO45))</f>
        <v>94.823999999999984</v>
      </c>
      <c r="CP151" s="30">
        <f>(Model!CP79-(0.25*Model!CP45))</f>
        <v>139.65899999999999</v>
      </c>
      <c r="CQ151" s="30">
        <f>(Model!CQ79-(0.25*Model!CQ45))</f>
        <v>95.006</v>
      </c>
      <c r="CR151" s="30">
        <f>(Model!CR79-(0.25*Model!CR45))</f>
        <v>101.297</v>
      </c>
      <c r="CS151" s="30">
        <f>(Model!CS79-(0.25*Model!CS45))</f>
        <v>196.303</v>
      </c>
      <c r="CT151" s="30">
        <f>(Model!CT79-(0.25*Model!CT45))</f>
        <v>126.283</v>
      </c>
      <c r="CU151" s="30">
        <f>(Model!CU79-(0.25*Model!CU45))</f>
        <v>127.98299999999999</v>
      </c>
      <c r="CV151" s="30">
        <f>(Model!CV79-(0.25*Model!CV45))</f>
        <v>254.26599999999999</v>
      </c>
      <c r="CW151" s="30">
        <f>(Model!CW79-(0.25*Model!CW45))</f>
        <v>152.97999999999999</v>
      </c>
      <c r="CX151" s="30">
        <f>(Model!CX79-(0.25*Model!CX45))</f>
        <v>155.845</v>
      </c>
      <c r="CY151" s="30">
        <f>(Model!CY79-(0.25*Model!CY45))</f>
        <v>308.82499999999999</v>
      </c>
      <c r="CZ151" s="30">
        <f>(Model!CZ79-(0.25*Model!CZ45))</f>
        <v>156.6</v>
      </c>
      <c r="DA151" s="30">
        <f>(Model!DA79-(0.25*Model!DA45))</f>
        <v>183.9</v>
      </c>
      <c r="DB151" s="30">
        <f>(Model!DB79-(0.25*Model!DB45))</f>
        <v>340.5</v>
      </c>
      <c r="DC151" s="30">
        <f>(Model!DC79-(0.25*Model!DC45))</f>
        <v>174.3</v>
      </c>
      <c r="DD151" s="30">
        <f>(Model!DD79-(0.25*Model!DD45))</f>
        <v>180.5</v>
      </c>
      <c r="DE151" s="30">
        <f>(Model!DE79-(0.25*Model!DE45))</f>
        <v>354.8</v>
      </c>
      <c r="DF151" s="30">
        <f>(Model!DF79-(0.25*Model!DF45))</f>
        <v>178.89999999999998</v>
      </c>
      <c r="DG151" s="30">
        <f>(Model!DG79-(0.25*Model!DG45))</f>
        <v>19.100000000000023</v>
      </c>
      <c r="DH151" s="30">
        <f>(Model!DH79-(0.25*Model!DH45))</f>
        <v>198</v>
      </c>
      <c r="DI151" s="30">
        <f>(Model!DI79-(0.25*Model!DI45))</f>
        <v>171.5</v>
      </c>
      <c r="DJ151" s="30">
        <f>(Model!DJ79-(0.25*Model!DJ45))</f>
        <v>154.19999999999999</v>
      </c>
      <c r="DK151" s="1096">
        <f>(Model!DK79-(0.25*Model!DK45))</f>
        <v>325.7</v>
      </c>
      <c r="DL151" s="30">
        <f>(Model!DL79-(0.25*Model!DL45))</f>
        <v>219.5</v>
      </c>
      <c r="DM151" s="30">
        <f>(Model!DM79-(0.25*Model!DM45))</f>
        <v>178.60000000000002</v>
      </c>
      <c r="DN151" s="1096">
        <f>(Model!DN79-(0.25*Model!DN45))</f>
        <v>398.1</v>
      </c>
      <c r="DO151" s="30">
        <f>(Model!DO79-(0.25*Model!DO45))</f>
        <v>205</v>
      </c>
      <c r="DP151" s="30">
        <f>(Model!DP79-(0.25*Model!DP45))</f>
        <v>236.70000000000005</v>
      </c>
      <c r="DQ151" s="1096">
        <f>(Model!DQ79-(0.25*Model!DQ45))</f>
        <v>441.70000000000005</v>
      </c>
      <c r="DR151" s="30">
        <f>(Model!DR79-(0.25*Model!DR45))</f>
        <v>277.29999999999995</v>
      </c>
      <c r="DS151" s="30">
        <f>(Model!DS79-(0.25*Model!DS45))</f>
        <v>267.60000000000002</v>
      </c>
      <c r="DT151" s="1096">
        <f>(Model!DT79-(0.25*Model!DT45))</f>
        <v>544.9</v>
      </c>
      <c r="DU151" s="30">
        <f>(Model!DU79-(0.25*Model!DU45))</f>
        <v>288.39999999999998</v>
      </c>
      <c r="DV151" s="30">
        <f>(Model!DV79-(0.25*Model!DV45))</f>
        <v>266.30000000000007</v>
      </c>
      <c r="DW151" s="1096">
        <f>(Model!DW79-(0.25*Model!DW45))</f>
        <v>554.70000000000005</v>
      </c>
      <c r="DX151" s="30">
        <f>(Model!DX79-(0.25*Model!DX45))</f>
        <v>256.90000000000003</v>
      </c>
      <c r="DY151" s="30">
        <f>(Model!DY79-(0.25*Model!DY45))</f>
        <v>292.51993729966995</v>
      </c>
      <c r="DZ151" s="1096">
        <f>(Model!DZ79-(0.25*Model!DZ45))</f>
        <v>549.41993729966998</v>
      </c>
      <c r="EA151" s="30">
        <f>(Model!EA79-(0.25*Model!EA45))</f>
        <v>311.71050931041208</v>
      </c>
      <c r="EB151" s="30">
        <f>(Model!EB79-(0.25*Model!EB45))</f>
        <v>321.29746716478377</v>
      </c>
      <c r="EC151" s="1096">
        <f>(Model!EC79-(0.25*Model!EC45))</f>
        <v>633.00797647519585</v>
      </c>
      <c r="ED151" s="30">
        <f>(Model!ED79-(0.25*Model!ED45))</f>
        <v>347.78887562014734</v>
      </c>
      <c r="EE151" s="30">
        <f>(Model!EE79-(0.25*Model!EE45))</f>
        <v>358.68805091730985</v>
      </c>
      <c r="EF151" s="1096">
        <f>(Model!EF79-(0.25*Model!EF45))</f>
        <v>706.47692653745719</v>
      </c>
      <c r="EG151" s="30">
        <f>(Model!EG79-(0.25*Model!EG45))</f>
        <v>386.30541135169193</v>
      </c>
      <c r="EH151" s="30">
        <f>(Model!EH79-(0.25*Model!EH45))</f>
        <v>398.38899819596264</v>
      </c>
      <c r="EI151" s="1096">
        <f>(Model!EI79-(0.25*Model!EI45))</f>
        <v>784.69440954765457</v>
      </c>
      <c r="EJ151" s="30">
        <f>(Model!EJ79-(0.25*Model!EJ45))</f>
        <v>426.00250295296354</v>
      </c>
      <c r="EK151" s="30">
        <f>(Model!EK79-(0.25*Model!EK45))</f>
        <v>439.31223729427853</v>
      </c>
      <c r="EL151" s="1096">
        <f>(Model!EL79-(0.25*Model!EL45))</f>
        <v>865.31474024724207</v>
      </c>
      <c r="EM151" s="30">
        <f>(Model!EM79-(0.25*Model!EM45))</f>
        <v>467.66832366757717</v>
      </c>
      <c r="EN151" s="30">
        <f>(Model!EN79-(0.25*Model!EN45))</f>
        <v>482.2363744605525</v>
      </c>
      <c r="EO151" s="1096">
        <f>(Model!EO79-(0.25*Model!EO45))</f>
        <v>949.90469812812967</v>
      </c>
      <c r="EP151" s="30">
        <f>(Model!EP79-(0.25*Model!EP45))</f>
        <v>512.01712979869603</v>
      </c>
      <c r="EQ151" s="30">
        <f>(Model!EQ79-(0.25*Model!EQ45))</f>
        <v>527.89630516303941</v>
      </c>
      <c r="ER151" s="1096">
        <f>(Model!ER79-(0.25*Model!ER45))</f>
        <v>1039.9134349617354</v>
      </c>
      <c r="ES151" s="30">
        <f>(Model!ES79-(0.25*Model!ES45))</f>
        <v>560.4380004342662</v>
      </c>
      <c r="ET151" s="30">
        <f>(Model!ET79-(0.25*Model!ET45))</f>
        <v>577.74630158140042</v>
      </c>
      <c r="EU151" s="1096">
        <f>(Model!EU79-(0.25*Model!EU45))</f>
        <v>1138.1843020156666</v>
      </c>
      <c r="EV151" s="30">
        <f>(Model!EV79-(0.25*Model!EV45))</f>
        <v>613.30665883837753</v>
      </c>
      <c r="EW151" s="30">
        <f>(Model!EW79-(0.25*Model!EW45))</f>
        <v>632.17270708875401</v>
      </c>
      <c r="EX151" s="1096">
        <f>(Model!EX79-(0.25*Model!EX45))</f>
        <v>1245.4793659271315</v>
      </c>
      <c r="EY151" s="30">
        <f>(Model!EY79-(0.25*Model!EY45))</f>
        <v>671.03484081211616</v>
      </c>
      <c r="EZ151" s="30">
        <f>(Model!EZ79-(0.25*Model!EZ45))</f>
        <v>691.59883340502631</v>
      </c>
      <c r="FA151" s="30">
        <f>(Model!FA79-(0.25*Model!FA45))</f>
        <v>1362.6336742171425</v>
      </c>
    </row>
    <row r="152" spans="1:157" ht="13.35" customHeight="1">
      <c r="A152" s="5"/>
      <c r="B152" s="5" t="s">
        <v>353</v>
      </c>
      <c r="C152" s="378"/>
      <c r="D152" s="378"/>
      <c r="E152" s="359"/>
      <c r="F152" s="359" t="str">
        <f>IF(AND(G152&lt;&gt;"",E152&lt;&gt;""),G152-E152,"")</f>
        <v/>
      </c>
      <c r="G152" s="359"/>
      <c r="H152" s="359"/>
      <c r="I152" s="359" t="str">
        <f>IF(AND(J152&lt;&gt;"",H152&lt;&gt;""),J152-H152,"")</f>
        <v/>
      </c>
      <c r="J152" s="359"/>
      <c r="K152" s="359"/>
      <c r="L152" s="359" t="str">
        <f>IF(AND(M152&lt;&gt;"",K152&lt;&gt;""),M152-K152,"")</f>
        <v/>
      </c>
      <c r="M152" s="359"/>
      <c r="N152" s="359"/>
      <c r="O152" s="359" t="str">
        <f>IF(AND(P152&lt;&gt;"",N152&lt;&gt;""),P152-N152,"")</f>
        <v/>
      </c>
      <c r="P152" s="359"/>
      <c r="Q152" s="359"/>
      <c r="R152" s="359" t="str">
        <f>IF(AND(S152&lt;&gt;"",Q152&lt;&gt;""),S152-Q152,"")</f>
        <v/>
      </c>
      <c r="S152" s="359"/>
      <c r="T152" s="359"/>
      <c r="U152" s="359" t="str">
        <f>IF(AND(V152&lt;&gt;"",T152&lt;&gt;""),V152-T152,"")</f>
        <v/>
      </c>
      <c r="V152" s="359"/>
      <c r="W152" s="359"/>
      <c r="X152" s="359" t="str">
        <f>IF(AND(Y152&lt;&gt;"",W152&lt;&gt;""),Y152-W152,"")</f>
        <v/>
      </c>
      <c r="Y152" s="359"/>
      <c r="Z152" s="359"/>
      <c r="AA152" s="359" t="str">
        <f>IF(AND(AB152&lt;&gt;"",Z152&lt;&gt;""),AB152-Z152,"")</f>
        <v/>
      </c>
      <c r="AB152" s="359"/>
      <c r="AC152" s="359"/>
      <c r="AD152" s="359" t="str">
        <f>IF(AND(AE152&lt;&gt;"",AC152&lt;&gt;""),AE152-AC152,"")</f>
        <v/>
      </c>
      <c r="AE152" s="359"/>
      <c r="AF152" s="359"/>
      <c r="AG152" s="359" t="str">
        <f>IF(AND(AH152&lt;&gt;"",AF152&lt;&gt;""),AH152-AF152,"")</f>
        <v/>
      </c>
      <c r="AH152" s="359"/>
      <c r="AI152" s="359"/>
      <c r="AJ152" s="359" t="str">
        <f>IF(AND(AK152&lt;&gt;"",AI152&lt;&gt;""),AK152-AI152,"")</f>
        <v/>
      </c>
      <c r="AK152" s="359"/>
      <c r="AL152" s="359"/>
      <c r="AM152" s="359" t="str">
        <f>IF(AND(AN152&lt;&gt;"",AL152&lt;&gt;""),AN152-AL152,"")</f>
        <v/>
      </c>
      <c r="AN152" s="359"/>
      <c r="AO152" s="359"/>
      <c r="AP152" s="359" t="str">
        <f>IF(AND(AQ152&lt;&gt;"",AO152&lt;&gt;""),AQ152-AO152,"")</f>
        <v/>
      </c>
      <c r="AQ152" s="359"/>
      <c r="AR152" s="359"/>
      <c r="AS152" s="359" t="str">
        <f>IF(AND(AT152&lt;&gt;"",AR152&lt;&gt;""),AT152-AR152,"")</f>
        <v/>
      </c>
      <c r="AT152" s="359"/>
      <c r="AU152" s="359"/>
      <c r="AV152" s="359" t="str">
        <f>IF(AND(AW152&lt;&gt;"",AU152&lt;&gt;""),AW152-AU152,"")</f>
        <v/>
      </c>
      <c r="AW152" s="359"/>
      <c r="AX152" s="359"/>
      <c r="AY152" s="359" t="str">
        <f>IF(AND(AZ152&lt;&gt;"",AX152&lt;&gt;""),AZ152-AX152,"")</f>
        <v/>
      </c>
      <c r="AZ152" s="359"/>
      <c r="BA152" s="359"/>
      <c r="BB152" s="359" t="str">
        <f>IF(AND(BC152&lt;&gt;"",BA152&lt;&gt;""),BC152-BA152,"")</f>
        <v/>
      </c>
      <c r="BC152" s="359"/>
      <c r="BD152" s="359">
        <f>IF(AND(BD147&lt;&gt;"",BD151&lt;&gt;""),IF(BD150&gt;(BD151*Model!BD79),BD151*Model!BD79,BD150),0)</f>
        <v>0</v>
      </c>
      <c r="BE152" s="359">
        <f>IF(AND(BF152&lt;&gt;"",BD152&lt;&gt;""),BF152-BD152,0)</f>
        <v>0</v>
      </c>
      <c r="BF152" s="359">
        <f>IF(AND(BF147&lt;&gt;"",BF151&lt;&gt;""),IF(BF150&gt;(BF151*Model!BF79),BF151*Model!BF79,BF150),0)</f>
        <v>0</v>
      </c>
      <c r="BG152" s="359">
        <f>IF(AND(BG147&lt;&gt;"",BG151&lt;&gt;""),IF(BG150&gt;(BG151*Model!BG79),BG151*Model!BG79,BG150),0)</f>
        <v>0</v>
      </c>
      <c r="BH152" s="359">
        <f>IF(AND(BI152&lt;&gt;"",BG152&lt;&gt;""),BI152-BG152,0)</f>
        <v>0</v>
      </c>
      <c r="BI152" s="359">
        <f>IF(AND(BI147&lt;&gt;"",BI151&lt;&gt;""),IF(BI150&gt;(BI151*Model!BI79),BI151*Model!BI79,BI150),0)</f>
        <v>0</v>
      </c>
      <c r="BJ152" s="359">
        <f>IF(AND(BJ147&lt;&gt;"",BJ151&lt;&gt;""),IF(BJ150&gt;(BJ151*Model!BJ79),BJ151*Model!BJ79,BJ150),0)</f>
        <v>0</v>
      </c>
      <c r="BK152" s="359">
        <f>IF(AND(BL152&lt;&gt;"",BJ152&lt;&gt;""),BL152-BJ152,0)</f>
        <v>0</v>
      </c>
      <c r="BL152" s="359">
        <f>IF(AND(BL147&lt;&gt;"",BL151&lt;&gt;""),IF(BL150&gt;(BL151*Model!BL79),BL151*Model!BL79,BL150),0)</f>
        <v>0</v>
      </c>
      <c r="BM152" s="359">
        <f>IF(AND(BM147&lt;&gt;"",BM151&lt;&gt;""),IF(BM150&gt;(BM151*Model!BM79),BM151*Model!BM79,BM150),0)</f>
        <v>0</v>
      </c>
      <c r="BN152" s="359">
        <f>IF(AND(BO152&lt;&gt;"",BM152&lt;&gt;""),BO152-BM152,0)</f>
        <v>0</v>
      </c>
      <c r="BO152" s="359">
        <f>IF(AND(BO147&lt;&gt;"",BO151&lt;&gt;""),IF(BO150&gt;(BO151*Model!BO79),BO151*Model!BO79,BO150),0)</f>
        <v>0</v>
      </c>
      <c r="BP152" s="359">
        <f>IF(AND(BP147&lt;&gt;"",BP151&lt;&gt;""),IF(BP150&gt;(BP151*Model!BP79),BP151*Model!BP79,BP150),0)</f>
        <v>0</v>
      </c>
      <c r="BQ152" s="359">
        <f>IF(AND(BR152&lt;&gt;"",BP152&lt;&gt;""),BR152-BP152,0)</f>
        <v>0</v>
      </c>
      <c r="BR152" s="359">
        <f>IF(AND(BR147&lt;&gt;"",BR151&lt;&gt;""),IF(BR150&gt;(BR151*Model!BR79),BR151*Model!BR79,BR150),0)</f>
        <v>0</v>
      </c>
      <c r="BS152" s="359">
        <f>IF(AND(BS147&lt;&gt;"",BS151&lt;&gt;""),IF(BS150&gt;(BS151*Model!BS79),BS151*Model!BS79,BS150),0)</f>
        <v>0</v>
      </c>
      <c r="BT152" s="359">
        <f>IF(AND(BU152&lt;&gt;"",BS152&lt;&gt;""),BU152-BS152,0)</f>
        <v>0</v>
      </c>
      <c r="BU152" s="359">
        <f>IF(AND(BU147&lt;&gt;"",BU151&lt;&gt;""),IF(BU150&gt;(BU151*Model!BU79),BU151*Model!BU79,BU150),0)</f>
        <v>0</v>
      </c>
      <c r="BV152" s="359">
        <f>IF(AND(BV147&lt;&gt;"",BV151&lt;&gt;""),IF(BV150&gt;(BV151*Model!BV79),BV151*Model!BV79,BV150),0)</f>
        <v>0</v>
      </c>
      <c r="BW152" s="359">
        <f>IF(AND(BX152&lt;&gt;"",BV152&lt;&gt;""),BX152-BV152,0)</f>
        <v>0</v>
      </c>
      <c r="BX152" s="359">
        <f>IF(AND(BX147&lt;&gt;"",BX151&lt;&gt;""),IF(BX150&gt;(BX151*Model!BX79),BX151*Model!BX79,BX150),0)</f>
        <v>0</v>
      </c>
      <c r="BY152" s="359">
        <f>IF(AND(BY147&lt;&gt;"",BY151&lt;&gt;""),IF(BY150&gt;(BY151*Model!BY79),BY151*Model!BY79,BY150),0)</f>
        <v>0</v>
      </c>
      <c r="BZ152" s="359">
        <f>IF(AND(CA152&lt;&gt;"",BY152&lt;&gt;""),CA152-BY152,0)</f>
        <v>0</v>
      </c>
      <c r="CA152" s="359">
        <f>IF(AND(CA147&lt;&gt;"",CA151&lt;&gt;""),IF(CA150&gt;(CA151*Model!CA79),CA151*Model!CA79,CA150),0)</f>
        <v>0</v>
      </c>
      <c r="CB152" s="359">
        <f>IF(AND(CB147&lt;&gt;"",CB151&lt;&gt;""),IF(CB150&gt;(CB151*Model!CB79),CB151*Model!CB79,CB150),0)</f>
        <v>0</v>
      </c>
      <c r="CC152" s="359">
        <f>IF(AND(CD152&lt;&gt;"",CB152&lt;&gt;""),CD152-CB152,0)</f>
        <v>0</v>
      </c>
      <c r="CD152" s="359">
        <f>IF(AND(CD147&lt;&gt;"",CD151&lt;&gt;""),IF(CD150&gt;(CD151*Model!CD79),CD151*Model!CD79,CD150),0)</f>
        <v>0</v>
      </c>
      <c r="CE152" s="359">
        <f>IF(AND(CE147&lt;&gt;"",CE151&lt;&gt;""),IF(CE150&gt;(CE151*Model!CE79),CE151*Model!CE79,CE150),0)</f>
        <v>0</v>
      </c>
      <c r="CF152" s="359">
        <f>IF(AND(CG152&lt;&gt;"",CE152&lt;&gt;""),CG152-CE152,0)</f>
        <v>0</v>
      </c>
      <c r="CG152" s="359">
        <f>IF(AND(CG147&lt;&gt;"",CG151&lt;&gt;""),IF(CG150&gt;(CG151*Model!CG79),CG151*Model!CG79,CG150),0)</f>
        <v>0</v>
      </c>
      <c r="CH152" s="359">
        <f>IF(AND(CH147&lt;&gt;"",CH151&lt;&gt;""),IF(CH150&gt;(CH151*Model!CH79),CH151*Model!CH79,CH150),0)</f>
        <v>0</v>
      </c>
      <c r="CI152" s="359">
        <f>IF(AND(CJ152&lt;&gt;"",CH152&lt;&gt;""),CJ152-CH152,0)</f>
        <v>0</v>
      </c>
      <c r="CJ152" s="359">
        <f>IF(AND(CJ147&lt;&gt;"",CJ151&lt;&gt;""),IF(CJ150&gt;(CJ151*Model!CJ79),CJ151*Model!CJ79,CJ150),0)</f>
        <v>0</v>
      </c>
      <c r="CK152" s="359">
        <f>IF(AND(CK147&lt;&gt;"",CK151&lt;&gt;""),IF(CK150&gt;(CK151*Model!CK79),CK151*Model!CK79,CK150),0)</f>
        <v>0</v>
      </c>
      <c r="CL152" s="359">
        <f>IF(AND(CM152&lt;&gt;"",CK152&lt;&gt;""),CM152-CK152,0)</f>
        <v>0</v>
      </c>
      <c r="CM152" s="359">
        <f>IF(AND(CM147&lt;&gt;"",CM151&lt;&gt;""),IF(CM150&gt;(CM151*Model!CM79),CM151*Model!CM79,CM150),0)</f>
        <v>0</v>
      </c>
      <c r="CN152" s="359">
        <f>IF(AND(CN147&lt;&gt;"",CN151&lt;&gt;""),IF(CN150&gt;(CN151*Model!CN79),CN151*Model!CN79,CN150),0)</f>
        <v>0</v>
      </c>
      <c r="CO152" s="359">
        <f>IF(AND(CP152&lt;&gt;"",CN152&lt;&gt;""),CP152-CN152,0)</f>
        <v>0</v>
      </c>
      <c r="CP152" s="359">
        <f>IF(AND(CP147&lt;&gt;"",CP151&lt;&gt;""),IF(CP150&gt;(CP151*Model!CP79),CP151*Model!CP79,CP150),0)</f>
        <v>0</v>
      </c>
      <c r="CQ152" s="359">
        <f>IF(AND(CQ147&lt;&gt;"",CQ151&lt;&gt;""),IF(CQ150&gt;(CQ151*Model!CQ79),CQ151*Model!CQ79,CQ150),0)</f>
        <v>0</v>
      </c>
      <c r="CR152" s="359">
        <f>IF(AND(CS152&lt;&gt;"",CQ152&lt;&gt;""),CS152-CQ152,0)</f>
        <v>0</v>
      </c>
      <c r="CS152" s="359">
        <f>IF(AND(CS147&lt;&gt;"",CS151&lt;&gt;""),IF(CS150&gt;(CS151*Model!CS79),CS151*Model!CS79,CS150),0)</f>
        <v>0</v>
      </c>
      <c r="CT152" s="359">
        <f>IF(AND(CT147&lt;&gt;"",CT151&lt;&gt;""),IF(CT150&gt;(CT151*Model!CT79),CT151*Model!CT79,CT150),0)</f>
        <v>0</v>
      </c>
      <c r="CU152" s="359">
        <f>IF(AND(CV152&lt;&gt;"",CT152&lt;&gt;""),CV152-CT152,0)</f>
        <v>0</v>
      </c>
      <c r="CV152" s="359">
        <f>IF(AND(CV147&lt;&gt;"",CV151&lt;&gt;""),IF(CV150&gt;(CV151*Model!CV79),CV151*Model!CV79,CV150),0)</f>
        <v>0</v>
      </c>
      <c r="CW152" s="359">
        <f>IF(AND(CW147&lt;&gt;"",CW151&lt;&gt;""),IF(CW150&gt;(CW151*Model!CW79),CW151*Model!CW79,CW150),0)</f>
        <v>0</v>
      </c>
      <c r="CX152" s="359">
        <f>IF(AND(CY152&lt;&gt;"",CW152&lt;&gt;""),CY152-CW152,0)</f>
        <v>0</v>
      </c>
      <c r="CY152" s="359">
        <f>IF(AND(CY147&lt;&gt;"",CY151&lt;&gt;""),IF(CY150&gt;(CY151*Model!CY79),CY151*Model!CY79,CY150),0)</f>
        <v>0</v>
      </c>
      <c r="CZ152" s="359">
        <f>IF(AND(CZ147&lt;&gt;"",CZ151&lt;&gt;""),IF(CZ150&gt;(CZ151*Model!CZ79),CZ151*Model!CZ79,CZ150),0)</f>
        <v>0</v>
      </c>
      <c r="DA152" s="359">
        <f>IF(AND(DB152&lt;&gt;"",CZ152&lt;&gt;""),DB152-CZ152,0)</f>
        <v>0</v>
      </c>
      <c r="DB152" s="359">
        <f>IF(AND(DB147&lt;&gt;"",DB151&lt;&gt;""),IF(DB150&gt;(DB151*Model!DB79),DB151*Model!DB79,DB150),0)</f>
        <v>0</v>
      </c>
      <c r="DC152" s="359">
        <f>IF(AND(DC147&lt;&gt;"",DC151&lt;&gt;""),IF(DC150&gt;(DC151*Model!DC79),DC151*Model!DC79,DC150),0)</f>
        <v>0</v>
      </c>
      <c r="DD152" s="359">
        <f>IF(AND(DE152&lt;&gt;"",DC152&lt;&gt;""),DE152-DC152,0)</f>
        <v>0</v>
      </c>
      <c r="DE152" s="359">
        <f>IF(AND(DE147&lt;&gt;"",DE151&lt;&gt;""),IF(DE150&gt;(DE151*Model!DE79),DE151*Model!DE79,DE150),0)</f>
        <v>0</v>
      </c>
      <c r="DF152" s="359">
        <f>IF(AND(DF147&lt;&gt;"",DF151&lt;&gt;""),IF(DF150&gt;(DF151*Model!DF79),DF151*Model!DF79,DF150),0)</f>
        <v>0</v>
      </c>
      <c r="DG152" s="359">
        <f>IF(AND(DH152&lt;&gt;"",DF152&lt;&gt;""),DH152-DF152,0)</f>
        <v>0</v>
      </c>
      <c r="DH152" s="359">
        <f>IF(AND(DH147&lt;&gt;"",DH151&lt;&gt;""),IF(DH150&gt;(DH151*Model!DH79),DH151*Model!DH79,DH150),0)</f>
        <v>0</v>
      </c>
      <c r="DI152" s="359">
        <f>IF(AND(DI147&lt;&gt;"",DI151&lt;&gt;""),IF(DI150&gt;(DI151*Model!DI79),DI151*Model!DI79,DI150),0)</f>
        <v>0</v>
      </c>
      <c r="DJ152" s="359">
        <f>IF(AND(DK152&lt;&gt;"",DI152&lt;&gt;""),DK152-DI152,0)</f>
        <v>0</v>
      </c>
      <c r="DK152" s="1208">
        <f>IF(AND(DK147&lt;&gt;"",DK151&lt;&gt;""),IF(DK150&gt;(DK151*Model!DK79),DK151*Model!DK79,DK150),0)</f>
        <v>0</v>
      </c>
      <c r="DL152" s="359">
        <f>IF(AND(DL147&lt;&gt;"",DL151&lt;&gt;""),IF(DL150&gt;(DL151*Model!DL79),DL151*Model!DL79,DL150),0)</f>
        <v>0</v>
      </c>
      <c r="DM152" s="359">
        <f>IF(AND(DN152&lt;&gt;"",DL152&lt;&gt;""),DN152-DL152,0)</f>
        <v>0</v>
      </c>
      <c r="DN152" s="1208">
        <f>IF(AND(DN147&lt;&gt;"",DN151&lt;&gt;""),IF(DN150&gt;(DN151*Model!DN79),DN151*Model!DN79,DN150),0)</f>
        <v>0</v>
      </c>
      <c r="DO152" s="359">
        <f>IF(AND(DO147&lt;&gt;"",DO151&lt;&gt;""),IF(DO150&gt;(DO151*Model!DO79),DO151*Model!DO79,DO150),0)</f>
        <v>0</v>
      </c>
      <c r="DP152" s="359">
        <f>IF(AND(DQ152&lt;&gt;"",DO152&lt;&gt;""),DQ152-DO152,0)</f>
        <v>0</v>
      </c>
      <c r="DQ152" s="1208">
        <f>IF(AND(DQ147&lt;&gt;"",DQ151&lt;&gt;""),IF(DQ150&gt;(DQ151*Model!DQ79),DQ151*Model!DQ79,DQ150),0)</f>
        <v>0</v>
      </c>
      <c r="DR152" s="359">
        <f>IF(AND(DR147&lt;&gt;"",DR151&lt;&gt;""),IF(DR150&gt;(DR151*Model!DR79),DR151*Model!DR79,DR150),0)</f>
        <v>0</v>
      </c>
      <c r="DS152" s="359">
        <f>IF(AND(DT152&lt;&gt;"",DR152&lt;&gt;""),DT152-DR152,0)</f>
        <v>0</v>
      </c>
      <c r="DT152" s="1208">
        <f>IF(AND(DT147&lt;&gt;"",DT151&lt;&gt;""),IF(DT150&gt;(DT151*Model!DT79),DT151*Model!DT79,DT150),0)</f>
        <v>0</v>
      </c>
      <c r="DU152" s="359">
        <f>IF(AND(DU147&lt;&gt;"",DU151&lt;&gt;""),IF(DU150&gt;(DU151*Model!DU79),DU151*Model!DU79,DU150),0)</f>
        <v>0</v>
      </c>
      <c r="DV152" s="359">
        <f>IF(AND(DW152&lt;&gt;"",DU152&lt;&gt;""),DW152-DU152,0)</f>
        <v>0</v>
      </c>
      <c r="DW152" s="1208">
        <f>IF(AND(DW147&lt;&gt;"",DW151&lt;&gt;""),IF(DW150&gt;(DW151*Model!DW79),DW151*Model!DW79,DW150),0)</f>
        <v>0</v>
      </c>
      <c r="DX152" s="359">
        <f>IF(AND(DX147&lt;&gt;"",DX151&lt;&gt;""),IF(DX150&gt;(DX151*Model!DX79),DX151*Model!DX79,DX150),0)</f>
        <v>0</v>
      </c>
      <c r="DY152" s="359">
        <f>IF(AND(DZ152&lt;&gt;"",DX152&lt;&gt;""),DZ152-DX152,0)</f>
        <v>0</v>
      </c>
      <c r="DZ152" s="1208">
        <f>IF(AND(DZ147&lt;&gt;"",DZ151&lt;&gt;""),IF(DZ150&gt;(DZ151*Model!DZ79),DZ151*Model!DZ79,DZ150),0)</f>
        <v>0</v>
      </c>
      <c r="EA152" s="359">
        <f>IF(AND(EA147&lt;&gt;"",EA151&lt;&gt;""),IF(EA150&gt;(EA151*Model!EA79),EA151*Model!EA79,EA150),0)</f>
        <v>0</v>
      </c>
      <c r="EB152" s="359">
        <f>IF(AND(EC152&lt;&gt;"",EA152&lt;&gt;""),EC152-EA152,0)</f>
        <v>0</v>
      </c>
      <c r="EC152" s="1208">
        <f>IF(AND(EC147&lt;&gt;"",EC151&lt;&gt;""),IF(EC150&gt;(EC151*Model!EC79),EC151*Model!EC79,EC150),0)</f>
        <v>0</v>
      </c>
      <c r="ED152" s="359">
        <f>IF(AND(ED147&lt;&gt;"",ED151&lt;&gt;""),IF(ED150&gt;(ED151*Model!ED79),ED151*Model!ED79,ED150),0)</f>
        <v>0</v>
      </c>
      <c r="EE152" s="359">
        <f>IF(AND(EF152&lt;&gt;"",ED152&lt;&gt;""),EF152-ED152,0)</f>
        <v>0</v>
      </c>
      <c r="EF152" s="1208">
        <f>IF(AND(EF147&lt;&gt;"",EF151&lt;&gt;""),IF(EF150&gt;(EF151*Model!EF79),EF151*Model!EF79,EF150),0)</f>
        <v>0</v>
      </c>
      <c r="EG152" s="359">
        <f>IF(AND(EG147&lt;&gt;"",EG151&lt;&gt;""),IF(EG150&gt;(EG151*Model!EG79),EG151*Model!EG79,EG150),0)</f>
        <v>0</v>
      </c>
      <c r="EH152" s="359">
        <f>IF(AND(EI152&lt;&gt;"",EG152&lt;&gt;""),EI152-EG152,0)</f>
        <v>0</v>
      </c>
      <c r="EI152" s="1208">
        <f>IF(AND(EI147&lt;&gt;"",EI151&lt;&gt;""),IF(EI150&gt;(EI151*Model!EI79),EI151*Model!EI79,EI150),0)</f>
        <v>0</v>
      </c>
      <c r="EJ152" s="359">
        <f>IF(AND(EJ147&lt;&gt;"",EJ151&lt;&gt;""),IF(EJ150&gt;(EJ151*Model!EJ79),EJ151*Model!EJ79,EJ150),0)</f>
        <v>0</v>
      </c>
      <c r="EK152" s="359">
        <f>IF(AND(EL152&lt;&gt;"",EJ152&lt;&gt;""),EL152-EJ152,0)</f>
        <v>0</v>
      </c>
      <c r="EL152" s="1208">
        <f>IF(AND(EL147&lt;&gt;"",EL151&lt;&gt;""),IF(EL150&gt;(EL151*Model!EL79),EL151*Model!EL79,EL150),0)</f>
        <v>0</v>
      </c>
      <c r="EM152" s="359">
        <f>IF(AND(EM147&lt;&gt;"",EM151&lt;&gt;""),IF(EM150&gt;(EM151*Model!EM79),EM151*Model!EM79,EM150),0)</f>
        <v>0</v>
      </c>
      <c r="EN152" s="359">
        <f>IF(AND(EO152&lt;&gt;"",EM152&lt;&gt;""),EO152-EM152,0)</f>
        <v>0</v>
      </c>
      <c r="EO152" s="1208">
        <f>IF(AND(EO147&lt;&gt;"",EO151&lt;&gt;""),IF(EO150&gt;(EO151*Model!EO79),EO151*Model!EO79,EO150),0)</f>
        <v>0</v>
      </c>
      <c r="EP152" s="359">
        <f>IF(AND(EP147&lt;&gt;"",EP151&lt;&gt;""),IF(EP150&gt;(EP151*Model!EP79),EP151*Model!EP79,EP150),0)</f>
        <v>0</v>
      </c>
      <c r="EQ152" s="359">
        <f>IF(AND(ER152&lt;&gt;"",EP152&lt;&gt;""),ER152-EP152,0)</f>
        <v>0</v>
      </c>
      <c r="ER152" s="1208">
        <f>IF(AND(ER147&lt;&gt;"",ER151&lt;&gt;""),IF(ER150&gt;(ER151*Model!ER79),ER151*Model!ER79,ER150),0)</f>
        <v>0</v>
      </c>
      <c r="ES152" s="359">
        <f>IF(AND(ES147&lt;&gt;"",ES151&lt;&gt;""),IF(ES150&gt;(ES151*Model!ES79),ES151*Model!ES79,ES150),0)</f>
        <v>0</v>
      </c>
      <c r="ET152" s="359">
        <f>IF(AND(EU152&lt;&gt;"",ES152&lt;&gt;""),EU152-ES152,0)</f>
        <v>0</v>
      </c>
      <c r="EU152" s="1208">
        <f>IF(AND(EU147&lt;&gt;"",EU151&lt;&gt;""),IF(EU150&gt;(EU151*Model!EU79),EU151*Model!EU79,EU150),0)</f>
        <v>0</v>
      </c>
      <c r="EV152" s="359">
        <f>IF(AND(EV147&lt;&gt;"",EV151&lt;&gt;""),IF(EV150&gt;(EV151*Model!EV79),EV151*Model!EV79,EV150),0)</f>
        <v>0</v>
      </c>
      <c r="EW152" s="359">
        <f>IF(AND(EX152&lt;&gt;"",EV152&lt;&gt;""),EX152-EV152,0)</f>
        <v>0</v>
      </c>
      <c r="EX152" s="1208">
        <f>IF(AND(EX147&lt;&gt;"",EX151&lt;&gt;""),IF(EX150&gt;(EX151*Model!EX79),EX151*Model!EX79,EX150),0)</f>
        <v>0</v>
      </c>
      <c r="EY152" s="359">
        <f>IF(AND(EY147&lt;&gt;"",EY151&lt;&gt;""),IF(EY150&gt;(EY151*Model!EY79),EY151*Model!EY79,EY150),0)</f>
        <v>0</v>
      </c>
      <c r="EZ152" s="359">
        <f>IF(AND(FA152&lt;&gt;"",EY152&lt;&gt;""),FA152-EY152,0)</f>
        <v>0</v>
      </c>
      <c r="FA152" s="359">
        <f>IF(AND(FA147&lt;&gt;"",FA151&lt;&gt;""),IF(FA150&gt;(FA151*Model!FA79),FA151*Model!FA79,FA150),0)</f>
        <v>0</v>
      </c>
    </row>
    <row r="153" spans="1:157" ht="13.35" customHeight="1">
      <c r="A153" s="5"/>
      <c r="B153" s="5" t="s">
        <v>722</v>
      </c>
      <c r="C153" s="378"/>
      <c r="D153" s="378"/>
      <c r="E153" s="359"/>
      <c r="F153" s="359"/>
      <c r="G153" s="359"/>
      <c r="H153" s="359"/>
      <c r="I153" s="359"/>
      <c r="J153" s="359"/>
      <c r="K153" s="359"/>
      <c r="L153" s="359"/>
      <c r="M153" s="359"/>
      <c r="N153" s="359"/>
      <c r="O153" s="359"/>
      <c r="P153" s="359"/>
      <c r="Q153" s="359"/>
      <c r="R153" s="359"/>
      <c r="S153" s="359"/>
      <c r="T153" s="359"/>
      <c r="U153" s="359"/>
      <c r="V153" s="359"/>
      <c r="W153" s="359"/>
      <c r="X153" s="359"/>
      <c r="Y153" s="359"/>
      <c r="Z153" s="359"/>
      <c r="AA153" s="359"/>
      <c r="AB153" s="359"/>
      <c r="AC153" s="359"/>
      <c r="AD153" s="359"/>
      <c r="AE153" s="359"/>
      <c r="AF153" s="359"/>
      <c r="AG153" s="359"/>
      <c r="AH153" s="359"/>
      <c r="AI153" s="359"/>
      <c r="AJ153" s="359"/>
      <c r="AK153" s="359"/>
      <c r="AL153" s="359"/>
      <c r="AM153" s="359"/>
      <c r="AN153" s="359"/>
      <c r="AO153" s="359"/>
      <c r="AP153" s="359"/>
      <c r="AQ153" s="359"/>
      <c r="AR153" s="359"/>
      <c r="AS153" s="359"/>
      <c r="AT153" s="359"/>
      <c r="AU153" s="359"/>
      <c r="AV153" s="359"/>
      <c r="AW153" s="359"/>
      <c r="AX153" s="359"/>
      <c r="AY153" s="359"/>
      <c r="AZ153" s="359"/>
      <c r="BA153" s="359"/>
      <c r="BB153" s="359"/>
      <c r="BC153" s="359"/>
      <c r="BD153" s="359">
        <f>IF(BD147&lt;&gt;"",NPV(BD155,($BE$152+$BG$152),($BH$152+$BJ$152),($BK$152+$BM$152)),"")</f>
        <v>0</v>
      </c>
      <c r="BE153" s="359">
        <f>IF(BF147&lt;&gt;"",BF153,"")</f>
        <v>0</v>
      </c>
      <c r="BF153" s="359">
        <f>IF(BF147&lt;&gt;"",NPV(BF155,$BI$152,$BL$152,$BO$152),"")</f>
        <v>0</v>
      </c>
      <c r="BG153" s="359">
        <f>IF(BG147&lt;&gt;"",NPV(BG155,($BH$152+$BJ$152),($BK$152+$BM$152)),"")</f>
        <v>0</v>
      </c>
      <c r="BH153" s="359">
        <f>IF(BI147&lt;&gt;"",BI153,"")</f>
        <v>0</v>
      </c>
      <c r="BI153" s="359">
        <f>IF(BI147&lt;&gt;"",NPV(BI155,$BL$152,$BO$152),"")</f>
        <v>0</v>
      </c>
      <c r="BJ153" s="359">
        <f>IF(BJ147&lt;&gt;"",NPV(BJ155,($BK$152+$BM$152)),"")</f>
        <v>0</v>
      </c>
      <c r="BK153" s="359">
        <f>IF(BL147&lt;&gt;"",BL153,"")</f>
        <v>0</v>
      </c>
      <c r="BL153" s="359">
        <f>IF(BL147&lt;&gt;"",NPV(BL155,$BO$152),"")</f>
        <v>0</v>
      </c>
      <c r="BM153" s="359"/>
      <c r="BN153" s="359">
        <f>IF(BO147&lt;&gt;"",BO153,"")</f>
        <v>0</v>
      </c>
      <c r="BO153" s="359"/>
      <c r="BP153" s="359"/>
      <c r="BQ153" s="359">
        <f>IF(BR147&lt;&gt;"",BR153,"")</f>
        <v>0</v>
      </c>
      <c r="BR153" s="359"/>
      <c r="BS153" s="359"/>
      <c r="BT153" s="359">
        <f>IF(BU147&lt;&gt;"",BU153,"")</f>
        <v>0</v>
      </c>
      <c r="BU153" s="359"/>
      <c r="BV153" s="359"/>
      <c r="BW153" s="359">
        <f>IF(BX147&lt;&gt;"",BX153,"")</f>
        <v>0</v>
      </c>
      <c r="BX153" s="359"/>
      <c r="BY153" s="359"/>
      <c r="BZ153" s="359">
        <f>IF(CA147&lt;&gt;"",CA153,"")</f>
        <v>0</v>
      </c>
      <c r="CA153" s="359"/>
      <c r="CB153" s="359"/>
      <c r="CC153" s="359">
        <f>IF(CD147&lt;&gt;"",CD153,"")</f>
        <v>0</v>
      </c>
      <c r="CD153" s="359"/>
      <c r="CE153" s="359"/>
      <c r="CF153" s="359">
        <f>IF(CG147&lt;&gt;"",CG153,"")</f>
        <v>0</v>
      </c>
      <c r="CG153" s="359"/>
      <c r="CH153" s="359"/>
      <c r="CI153" s="359">
        <f>IF(CJ147&lt;&gt;"",CJ153,"")</f>
        <v>0</v>
      </c>
      <c r="CJ153" s="359"/>
      <c r="CK153" s="359"/>
      <c r="CL153" s="359">
        <f>IF(CM147&lt;&gt;"",CM153,"")</f>
        <v>0</v>
      </c>
      <c r="CM153" s="359"/>
      <c r="CN153" s="359"/>
      <c r="CO153" s="359">
        <f>IF(CP147&lt;&gt;"",CP153,"")</f>
        <v>0</v>
      </c>
      <c r="CP153" s="359"/>
      <c r="CQ153" s="359"/>
      <c r="CR153" s="359">
        <f>IF(CS147&lt;&gt;"",CS153,"")</f>
        <v>0</v>
      </c>
      <c r="CS153" s="359"/>
      <c r="CT153" s="359"/>
      <c r="CU153" s="359">
        <f>IF(CV147&lt;&gt;"",CV153,"")</f>
        <v>0</v>
      </c>
      <c r="CV153" s="359"/>
      <c r="CW153" s="359"/>
      <c r="CX153" s="359">
        <f>IF(CY147&lt;&gt;"",CY153,"")</f>
        <v>0</v>
      </c>
      <c r="CY153" s="359"/>
      <c r="CZ153" s="359"/>
      <c r="DA153" s="359">
        <f>IF(DB147&lt;&gt;"",DB153,"")</f>
        <v>0</v>
      </c>
      <c r="DB153" s="359"/>
      <c r="DC153" s="359"/>
      <c r="DD153" s="359">
        <f>IF(DE147&lt;&gt;"",DE153,"")</f>
        <v>0</v>
      </c>
      <c r="DE153" s="359"/>
      <c r="DF153" s="359"/>
      <c r="DG153" s="359">
        <f>IF(DH147&lt;&gt;"",DH153,"")</f>
        <v>0</v>
      </c>
      <c r="DH153" s="359"/>
      <c r="DI153" s="359"/>
      <c r="DJ153" s="359">
        <f>IF(DK147&lt;&gt;"",DK153,"")</f>
        <v>0</v>
      </c>
      <c r="DK153" s="1208"/>
      <c r="DL153" s="359"/>
      <c r="DM153" s="359">
        <f>IF(DN147&lt;&gt;"",DN153,"")</f>
        <v>0</v>
      </c>
      <c r="DN153" s="1208"/>
      <c r="DO153" s="359"/>
      <c r="DP153" s="359">
        <f>IF(DQ147&lt;&gt;"",DQ153,"")</f>
        <v>0</v>
      </c>
      <c r="DQ153" s="1208"/>
      <c r="DR153" s="359"/>
      <c r="DS153" s="359">
        <f>IF(DT147&lt;&gt;"",DT153,"")</f>
        <v>0</v>
      </c>
      <c r="DT153" s="1208"/>
      <c r="DU153" s="359"/>
      <c r="DV153" s="359">
        <f>IF(DW147&lt;&gt;"",DW153,"")</f>
        <v>0</v>
      </c>
      <c r="DW153" s="1208"/>
      <c r="DX153" s="359"/>
      <c r="DY153" s="359">
        <f>IF(DZ147&lt;&gt;"",DZ153,"")</f>
        <v>0</v>
      </c>
      <c r="DZ153" s="1208"/>
      <c r="EA153" s="359"/>
      <c r="EB153" s="359">
        <f>IF(EC147&lt;&gt;"",EC153,"")</f>
        <v>0</v>
      </c>
      <c r="EC153" s="1208"/>
      <c r="ED153" s="359"/>
      <c r="EE153" s="359">
        <f>IF(EF147&lt;&gt;"",EF153,"")</f>
        <v>0</v>
      </c>
      <c r="EF153" s="1208"/>
      <c r="EG153" s="359"/>
      <c r="EH153" s="359">
        <f>IF(EI147&lt;&gt;"",EI153,"")</f>
        <v>0</v>
      </c>
      <c r="EI153" s="1208"/>
      <c r="EJ153" s="359"/>
      <c r="EK153" s="359">
        <f>IF(EL147&lt;&gt;"",EL153,"")</f>
        <v>0</v>
      </c>
      <c r="EL153" s="1208"/>
      <c r="EM153" s="359"/>
      <c r="EN153" s="359">
        <f>IF(EO147&lt;&gt;"",EO153,"")</f>
        <v>0</v>
      </c>
      <c r="EO153" s="1208"/>
      <c r="EP153" s="359"/>
      <c r="EQ153" s="359">
        <f>IF(ER147&lt;&gt;"",ER153,"")</f>
        <v>0</v>
      </c>
      <c r="ER153" s="1208"/>
      <c r="ES153" s="359"/>
      <c r="ET153" s="359">
        <f>IF(EU147&lt;&gt;"",EU153,"")</f>
        <v>0</v>
      </c>
      <c r="EU153" s="1208"/>
      <c r="EV153" s="359"/>
      <c r="EW153" s="359">
        <f>IF(EX147&lt;&gt;"",EX153,"")</f>
        <v>0</v>
      </c>
      <c r="EX153" s="1208"/>
      <c r="EY153" s="359"/>
      <c r="EZ153" s="359">
        <f>IF(FA147&lt;&gt;"",FA153,"")</f>
        <v>0</v>
      </c>
      <c r="FA153" s="359"/>
    </row>
    <row r="154" spans="1:157" ht="13.35" customHeight="1">
      <c r="A154" s="5"/>
      <c r="B154" s="5" t="s">
        <v>723</v>
      </c>
      <c r="C154" s="378"/>
      <c r="D154" s="378"/>
      <c r="E154" s="398"/>
      <c r="F154" s="398"/>
      <c r="G154" s="398"/>
      <c r="H154" s="398"/>
      <c r="I154" s="398"/>
      <c r="J154" s="398"/>
      <c r="K154" s="398"/>
      <c r="L154" s="398"/>
      <c r="M154" s="398"/>
      <c r="N154" s="398"/>
      <c r="O154" s="398"/>
      <c r="P154" s="398"/>
      <c r="Q154" s="398"/>
      <c r="R154" s="398"/>
      <c r="S154" s="398"/>
      <c r="T154" s="398"/>
      <c r="U154" s="398"/>
      <c r="V154" s="398"/>
      <c r="W154" s="398"/>
      <c r="X154" s="398"/>
      <c r="Y154" s="398"/>
      <c r="Z154" s="398"/>
      <c r="AA154" s="398"/>
      <c r="AB154" s="398"/>
      <c r="AC154" s="398"/>
      <c r="AD154" s="398"/>
      <c r="AE154" s="398"/>
      <c r="AF154" s="398"/>
      <c r="AG154" s="398"/>
      <c r="AH154" s="398"/>
      <c r="AI154" s="398"/>
      <c r="AJ154" s="398"/>
      <c r="AK154" s="398"/>
      <c r="AL154" s="398"/>
      <c r="AM154" s="398"/>
      <c r="AN154" s="398"/>
      <c r="AO154" s="398"/>
      <c r="AP154" s="398"/>
      <c r="AQ154" s="398"/>
      <c r="AR154" s="398"/>
      <c r="AS154" s="398"/>
      <c r="AT154" s="398"/>
      <c r="AU154" s="398"/>
      <c r="AV154" s="398"/>
      <c r="AW154" s="398"/>
      <c r="AX154" s="398"/>
      <c r="AY154" s="398"/>
      <c r="AZ154" s="398"/>
      <c r="BA154" s="398"/>
      <c r="BB154" s="398"/>
      <c r="BC154" s="398"/>
      <c r="BD154" s="398">
        <f>IF(BD147&lt;&gt;"",BD153/(Model!BD385+Model!BD397),"")</f>
        <v>0</v>
      </c>
      <c r="BE154" s="398">
        <f>IF(BE147&lt;&gt;"",BE153/(Model!BE385+Model!BE397),"")</f>
        <v>0</v>
      </c>
      <c r="BF154" s="398">
        <f>IF(BF147&lt;&gt;"",BF153/(Model!BF385+Model!BF397),"")</f>
        <v>0</v>
      </c>
      <c r="BG154" s="398">
        <f>IF(BG147&lt;&gt;"",BG153/(Model!BG385+Model!BG397),"")</f>
        <v>0</v>
      </c>
      <c r="BH154" s="398">
        <f>IF(BH147&lt;&gt;"",BH153/(Model!BH385+Model!BH397),"")</f>
        <v>0</v>
      </c>
      <c r="BI154" s="398">
        <f>IF(BI147&lt;&gt;"",BI153/(Model!BI385+Model!BI397),"")</f>
        <v>0</v>
      </c>
      <c r="BJ154" s="398">
        <f>IF(BJ147&lt;&gt;"",BJ153/(Model!BJ385+Model!BJ397),"")</f>
        <v>0</v>
      </c>
      <c r="BK154" s="398">
        <f>IF(BK147&lt;&gt;"",BK153/(Model!BK385+Model!BK397),"")</f>
        <v>0</v>
      </c>
      <c r="BL154" s="398">
        <f>IF(BL147&lt;&gt;"",BL153/(Model!BL385+Model!BL397),"")</f>
        <v>0</v>
      </c>
      <c r="BM154" s="398"/>
      <c r="BN154" s="398">
        <f>IF(BN147&lt;&gt;"",BN153/(Model!BN385+Model!BN397),"")</f>
        <v>0</v>
      </c>
      <c r="BO154" s="398">
        <f>IF(BO147&lt;&gt;"",BO153/(Model!BO385+Model!BO397),"")</f>
        <v>0</v>
      </c>
      <c r="BP154" s="398"/>
      <c r="BQ154" s="398">
        <f>IF(BQ147&lt;&gt;"",BQ153/(Model!BQ385+Model!BQ397),"")</f>
        <v>0</v>
      </c>
      <c r="BR154" s="398">
        <f>IF(BR147&lt;&gt;"",BR153/(Model!BR385+Model!BR397),"")</f>
        <v>0</v>
      </c>
      <c r="BS154" s="398"/>
      <c r="BT154" s="398">
        <f>IF(BT147&lt;&gt;"",BT153/(Model!BT385+Model!BT397),"")</f>
        <v>0</v>
      </c>
      <c r="BU154" s="398">
        <f>IF(BU147&lt;&gt;"",BU153/(Model!BU385+Model!BU397),"")</f>
        <v>0</v>
      </c>
      <c r="BV154" s="398"/>
      <c r="BW154" s="398">
        <f>IF(BW147&lt;&gt;"",BW153/(Model!BW385+Model!BW397),"")</f>
        <v>0</v>
      </c>
      <c r="BX154" s="398">
        <f>IF(BX147&lt;&gt;"",BX153/(Model!BX385+Model!BX397),"")</f>
        <v>0</v>
      </c>
      <c r="BY154" s="398"/>
      <c r="BZ154" s="398">
        <f>IF(BZ147&lt;&gt;"",BZ153/(Model!BZ385+Model!BZ397),"")</f>
        <v>0</v>
      </c>
      <c r="CA154" s="398">
        <f>IF(CA147&lt;&gt;"",CA153/(Model!CA385+Model!CA397),"")</f>
        <v>0</v>
      </c>
      <c r="CB154" s="398"/>
      <c r="CC154" s="398">
        <f>IF(CC147&lt;&gt;"",CC153/(Model!CC385+Model!CC397),"")</f>
        <v>0</v>
      </c>
      <c r="CD154" s="398">
        <f>IF(CD147&lt;&gt;"",CD153/(Model!CD385+Model!CD397),"")</f>
        <v>0</v>
      </c>
      <c r="CE154" s="398"/>
      <c r="CF154" s="398">
        <f>IF(CF147&lt;&gt;"",CF153/(Model!CF385+Model!CF397),"")</f>
        <v>0</v>
      </c>
      <c r="CG154" s="398">
        <f>IF(CG147&lt;&gt;"",CG153/(Model!CG385+Model!CG397),"")</f>
        <v>0</v>
      </c>
      <c r="CH154" s="398"/>
      <c r="CI154" s="398">
        <f>IF(CI147&lt;&gt;"",CI153/(Model!CI385+Model!CI397),"")</f>
        <v>0</v>
      </c>
      <c r="CJ154" s="398">
        <f>IF(CJ147&lt;&gt;"",CJ153/(Model!CJ385+Model!CJ397),"")</f>
        <v>0</v>
      </c>
      <c r="CK154" s="398"/>
      <c r="CL154" s="398">
        <f>IF(CL147&lt;&gt;"",CL153/(Model!CL385+Model!CL397),"")</f>
        <v>0</v>
      </c>
      <c r="CM154" s="398">
        <f>IF(CM147&lt;&gt;"",CM153/(Model!CM385+Model!CM397),"")</f>
        <v>0</v>
      </c>
      <c r="CN154" s="398"/>
      <c r="CO154" s="398">
        <f>IF(CO147&lt;&gt;"",CO153/(Model!CO385+Model!CO397),"")</f>
        <v>0</v>
      </c>
      <c r="CP154" s="398">
        <f>IF(CP147&lt;&gt;"",CP153/(Model!CP385+Model!CP397),"")</f>
        <v>0</v>
      </c>
      <c r="CQ154" s="398"/>
      <c r="CR154" s="398">
        <f>IF(CR147&lt;&gt;"",CR153/(Model!CR385+Model!CR397),"")</f>
        <v>0</v>
      </c>
      <c r="CS154" s="398">
        <f>IF(CS147&lt;&gt;"",CS153/(Model!CS385+Model!CS397),"")</f>
        <v>0</v>
      </c>
      <c r="CT154" s="398"/>
      <c r="CU154" s="398">
        <f>IF(CU147&lt;&gt;"",CU153/(Model!CU385+Model!CU397),"")</f>
        <v>0</v>
      </c>
      <c r="CV154" s="398">
        <f>IF(CV147&lt;&gt;"",CV153/(Model!CV385+Model!CV397),"")</f>
        <v>0</v>
      </c>
      <c r="CW154" s="398"/>
      <c r="CX154" s="398">
        <f>IF(CX147&lt;&gt;"",CX153/(Model!CX385+Model!CX397),"")</f>
        <v>0</v>
      </c>
      <c r="CY154" s="398">
        <f>IF(CY147&lt;&gt;"",CY153/(Model!CY385+Model!CY397),"")</f>
        <v>0</v>
      </c>
      <c r="CZ154" s="398"/>
      <c r="DA154" s="398">
        <f>IF(DA147&lt;&gt;"",DA153/(Model!DA385+Model!DA397),"")</f>
        <v>0</v>
      </c>
      <c r="DB154" s="398">
        <f>IF(DB147&lt;&gt;"",DB153/(Model!DB385+Model!DB397),"")</f>
        <v>0</v>
      </c>
      <c r="DC154" s="398"/>
      <c r="DD154" s="398">
        <f>IF(DD147&lt;&gt;"",DD153/(Model!DD385+Model!DD397),"")</f>
        <v>0</v>
      </c>
      <c r="DE154" s="398">
        <f>IF(DE147&lt;&gt;"",DE153/(Model!DE385+Model!DE397),"")</f>
        <v>0</v>
      </c>
      <c r="DF154" s="398"/>
      <c r="DG154" s="398">
        <f>IF(DG147&lt;&gt;"",DG153/(Model!DG385+Model!DG397),"")</f>
        <v>0</v>
      </c>
      <c r="DH154" s="398">
        <f>IF(DH147&lt;&gt;"",DH153/(Model!DH385+Model!DH397),"")</f>
        <v>0</v>
      </c>
      <c r="DI154" s="398"/>
      <c r="DJ154" s="398">
        <f>IF(DJ147&lt;&gt;"",DJ153/(Model!DJ385+Model!DJ397),"")</f>
        <v>0</v>
      </c>
      <c r="DK154" s="1223">
        <f>IF(DK147&lt;&gt;"",DK153/(Model!DK385+Model!DK397),"")</f>
        <v>0</v>
      </c>
      <c r="DL154" s="398"/>
      <c r="DM154" s="398">
        <f>IF(DM147&lt;&gt;"",DM153/(Model!DM385+Model!DM397),"")</f>
        <v>0</v>
      </c>
      <c r="DN154" s="1223">
        <f>IF(DN147&lt;&gt;"",DN153/(Model!DN385+Model!DN397),"")</f>
        <v>0</v>
      </c>
      <c r="DO154" s="398"/>
      <c r="DP154" s="398">
        <f>IF(DP147&lt;&gt;"",DP153/(Model!DP385+Model!DP397),"")</f>
        <v>0</v>
      </c>
      <c r="DQ154" s="1223">
        <f>IF(DQ147&lt;&gt;"",DQ153/(Model!DQ385+Model!DQ397),"")</f>
        <v>0</v>
      </c>
      <c r="DR154" s="398"/>
      <c r="DS154" s="398">
        <f>IF(DS147&lt;&gt;"",DS153/(Model!DS385+Model!DS397),"")</f>
        <v>0</v>
      </c>
      <c r="DT154" s="1223">
        <f>IF(DT147&lt;&gt;"",DT153/(Model!DT385+Model!DT397),"")</f>
        <v>0</v>
      </c>
      <c r="DU154" s="398"/>
      <c r="DV154" s="398">
        <f>IF(DV147&lt;&gt;"",DV153/(Model!DV385+Model!DV397),"")</f>
        <v>0</v>
      </c>
      <c r="DW154" s="1223">
        <f>IF(DW147&lt;&gt;"",DW153/(Model!DW385+Model!DW397),"")</f>
        <v>0</v>
      </c>
      <c r="DX154" s="398"/>
      <c r="DY154" s="398">
        <f>IF(DY147&lt;&gt;"",DY153/(Model!DY385+Model!DY397),"")</f>
        <v>0</v>
      </c>
      <c r="DZ154" s="1223">
        <f>IF(DZ147&lt;&gt;"",DZ153/(Model!DZ385+Model!DZ397),"")</f>
        <v>0</v>
      </c>
      <c r="EA154" s="398"/>
      <c r="EB154" s="398">
        <f>IF(EB147&lt;&gt;"",EB153/(Model!EB385+Model!EB397),"")</f>
        <v>0</v>
      </c>
      <c r="EC154" s="1223">
        <f>IF(EC147&lt;&gt;"",EC153/(Model!EC385+Model!EC397),"")</f>
        <v>0</v>
      </c>
      <c r="ED154" s="398"/>
      <c r="EE154" s="398">
        <f>IF(EE147&lt;&gt;"",EE153/(Model!EE385+Model!EE397),"")</f>
        <v>0</v>
      </c>
      <c r="EF154" s="1223">
        <f>IF(EF147&lt;&gt;"",EF153/(Model!EF385+Model!EF397),"")</f>
        <v>0</v>
      </c>
      <c r="EG154" s="398"/>
      <c r="EH154" s="398">
        <f>IF(EH147&lt;&gt;"",EH153/(Model!EH385+Model!EH397),"")</f>
        <v>0</v>
      </c>
      <c r="EI154" s="1223">
        <f>IF(EI147&lt;&gt;"",EI153/(Model!EI385+Model!EI397),"")</f>
        <v>0</v>
      </c>
      <c r="EJ154" s="398"/>
      <c r="EK154" s="398">
        <f>IF(EK147&lt;&gt;"",EK153/(Model!EK385+Model!EK397),"")</f>
        <v>0</v>
      </c>
      <c r="EL154" s="1223">
        <f>IF(EL147&lt;&gt;"",EL153/(Model!EL385+Model!EL397),"")</f>
        <v>0</v>
      </c>
      <c r="EM154" s="398"/>
      <c r="EN154" s="398">
        <f>IF(EN147&lt;&gt;"",EN153/(Model!EN385+Model!EN397),"")</f>
        <v>0</v>
      </c>
      <c r="EO154" s="1223">
        <f>IF(EO147&lt;&gt;"",EO153/(Model!EO385+Model!EO397),"")</f>
        <v>0</v>
      </c>
      <c r="EP154" s="398"/>
      <c r="EQ154" s="398">
        <f>IF(EQ147&lt;&gt;"",EQ153/(Model!EQ385+Model!EQ397),"")</f>
        <v>0</v>
      </c>
      <c r="ER154" s="1223">
        <f>IF(ER147&lt;&gt;"",ER153/(Model!ER385+Model!ER397),"")</f>
        <v>0</v>
      </c>
      <c r="ES154" s="398"/>
      <c r="ET154" s="398">
        <f>IF(ET147&lt;&gt;"",ET153/(Model!ET385+Model!ET397),"")</f>
        <v>0</v>
      </c>
      <c r="EU154" s="1223">
        <f>IF(EU147&lt;&gt;"",EU153/(Model!EU385+Model!EU397),"")</f>
        <v>0</v>
      </c>
      <c r="EV154" s="398"/>
      <c r="EW154" s="398">
        <f>IF(EW147&lt;&gt;"",EW153/(Model!EW385+Model!EW397),"")</f>
        <v>0</v>
      </c>
      <c r="EX154" s="1223">
        <f>IF(EX147&lt;&gt;"",EX153/(Model!EX385+Model!EX397),"")</f>
        <v>0</v>
      </c>
      <c r="EY154" s="398"/>
      <c r="EZ154" s="398">
        <f>IF(EZ147&lt;&gt;"",EZ153/(Model!EZ385+Model!EZ397),"")</f>
        <v>0</v>
      </c>
      <c r="FA154" s="398">
        <f>IF(FA147&lt;&gt;"",FA153/(Model!FA385+Model!FA397),"")</f>
        <v>0</v>
      </c>
    </row>
    <row r="155" spans="1:157" ht="13.35" customHeight="1">
      <c r="A155" s="5"/>
      <c r="B155" s="5" t="s">
        <v>383</v>
      </c>
      <c r="C155" s="378"/>
      <c r="D155" s="378"/>
      <c r="E155" s="359"/>
      <c r="F155" s="359"/>
      <c r="G155" s="359"/>
      <c r="H155" s="359"/>
      <c r="I155" s="359"/>
      <c r="J155" s="359"/>
      <c r="K155" s="359"/>
      <c r="L155" s="359"/>
      <c r="M155" s="359"/>
      <c r="N155" s="359"/>
      <c r="O155" s="359"/>
      <c r="P155" s="359"/>
      <c r="Q155" s="359"/>
      <c r="R155" s="359"/>
      <c r="S155" s="359"/>
      <c r="T155" s="359"/>
      <c r="U155" s="359"/>
      <c r="V155" s="359"/>
      <c r="W155" s="359"/>
      <c r="X155" s="359"/>
      <c r="Y155" s="359"/>
      <c r="Z155" s="359"/>
      <c r="AA155" s="359"/>
      <c r="AB155" s="359"/>
      <c r="AC155" s="359"/>
      <c r="AD155" s="359"/>
      <c r="AE155" s="359"/>
      <c r="AF155" s="359"/>
      <c r="AG155" s="359"/>
      <c r="AH155" s="359"/>
      <c r="AI155" s="359"/>
      <c r="AJ155" s="359"/>
      <c r="AK155" s="359"/>
      <c r="AL155" s="359"/>
      <c r="AM155" s="359"/>
      <c r="AN155" s="359"/>
      <c r="AO155" s="359"/>
      <c r="AP155" s="359"/>
      <c r="AQ155" s="359"/>
      <c r="AR155" s="359"/>
      <c r="AS155" s="359"/>
      <c r="AT155" s="359"/>
      <c r="AU155" s="359"/>
      <c r="AV155" s="359"/>
      <c r="AW155" s="359"/>
      <c r="AX155" s="359"/>
      <c r="AY155" s="359"/>
      <c r="AZ155" s="359"/>
      <c r="BA155" s="359"/>
      <c r="BB155" s="359"/>
      <c r="BC155" s="359"/>
      <c r="BD155" s="356"/>
      <c r="BE155" s="356" t="str">
        <f>IF(BF155&lt;&gt;"",BF155,"")</f>
        <v/>
      </c>
      <c r="BF155" s="356"/>
      <c r="BG155" s="356"/>
      <c r="BH155" s="356" t="str">
        <f>IF(BI155&lt;&gt;"",BI155,"")</f>
        <v/>
      </c>
      <c r="BI155" s="356"/>
      <c r="BJ155" s="356"/>
      <c r="BK155" s="356" t="str">
        <f>IF(BL155&lt;&gt;"",BL155,"")</f>
        <v/>
      </c>
      <c r="BL155" s="356"/>
      <c r="BM155" s="356"/>
      <c r="BN155" s="356" t="str">
        <f>IF(BO155&lt;&gt;"",BO155,"")</f>
        <v/>
      </c>
      <c r="BO155" s="356"/>
      <c r="BP155" s="356"/>
      <c r="BQ155" s="356" t="str">
        <f>IF(BR155&lt;&gt;"",BR155,"")</f>
        <v/>
      </c>
      <c r="BR155" s="356"/>
      <c r="BS155" s="356"/>
      <c r="BT155" s="356" t="str">
        <f>IF(BU155&lt;&gt;"",BU155,"")</f>
        <v/>
      </c>
      <c r="BU155" s="356"/>
      <c r="BV155" s="356"/>
      <c r="BW155" s="356" t="str">
        <f>IF(BX155&lt;&gt;"",BX155,"")</f>
        <v/>
      </c>
      <c r="BX155" s="356"/>
      <c r="BY155" s="356"/>
      <c r="BZ155" s="356"/>
      <c r="CA155" s="356"/>
      <c r="CB155" s="356"/>
      <c r="CC155" s="356" t="str">
        <f>IF(CD155&lt;&gt;"",CD155,"")</f>
        <v/>
      </c>
      <c r="CD155" s="356"/>
      <c r="CE155" s="356"/>
      <c r="CF155" s="356" t="str">
        <f>IF(CG155&lt;&gt;"",CG155,"")</f>
        <v/>
      </c>
      <c r="CG155" s="356"/>
      <c r="CH155" s="356"/>
      <c r="CI155" s="356" t="str">
        <f>IF(CJ155&lt;&gt;"",CJ155,"")</f>
        <v/>
      </c>
      <c r="CJ155" s="356"/>
      <c r="CK155" s="356"/>
      <c r="CL155" s="356" t="str">
        <f>IF(CM155&lt;&gt;"",CM155,"")</f>
        <v/>
      </c>
      <c r="CM155" s="356"/>
      <c r="CN155" s="356"/>
      <c r="CO155" s="356" t="str">
        <f>IF(CP155&lt;&gt;"",CP155,"")</f>
        <v/>
      </c>
      <c r="CP155" s="356"/>
      <c r="CQ155" s="356"/>
      <c r="CR155" s="356" t="str">
        <f>IF(CS155&lt;&gt;"",CS155,"")</f>
        <v/>
      </c>
      <c r="CS155" s="356"/>
      <c r="CT155" s="356"/>
      <c r="CU155" s="356" t="str">
        <f>IF(CV155&lt;&gt;"",CV155,"")</f>
        <v/>
      </c>
      <c r="CV155" s="356"/>
      <c r="CW155" s="356"/>
      <c r="CX155" s="356" t="str">
        <f>IF(CY155&lt;&gt;"",CY155,"")</f>
        <v/>
      </c>
      <c r="CY155" s="356"/>
      <c r="CZ155" s="356"/>
      <c r="DA155" s="356" t="str">
        <f>IF(DB155&lt;&gt;"",DB155,"")</f>
        <v/>
      </c>
      <c r="DB155" s="356"/>
      <c r="DC155" s="356"/>
      <c r="DD155" s="356" t="str">
        <f>IF(DE155&lt;&gt;"",DE155,"")</f>
        <v/>
      </c>
      <c r="DE155" s="356"/>
      <c r="DF155" s="356"/>
      <c r="DG155" s="356" t="str">
        <f>IF(DH155&lt;&gt;"",DH155,"")</f>
        <v/>
      </c>
      <c r="DH155" s="356"/>
      <c r="DI155" s="356"/>
      <c r="DJ155" s="356" t="str">
        <f>IF(DK155&lt;&gt;"",DK155,"")</f>
        <v/>
      </c>
      <c r="DK155" s="1087"/>
      <c r="DL155" s="356"/>
      <c r="DM155" s="356" t="str">
        <f>IF(DN155&lt;&gt;"",DN155,"")</f>
        <v/>
      </c>
      <c r="DN155" s="1087"/>
      <c r="DO155" s="356"/>
      <c r="DP155" s="356" t="str">
        <f>IF(DQ155&lt;&gt;"",DQ155,"")</f>
        <v/>
      </c>
      <c r="DQ155" s="1087"/>
      <c r="DR155" s="356"/>
      <c r="DS155" s="356" t="str">
        <f>IF(DT155&lt;&gt;"",DT155,"")</f>
        <v/>
      </c>
      <c r="DT155" s="1087"/>
      <c r="DU155" s="356"/>
      <c r="DV155" s="356" t="str">
        <f>IF(DW155&lt;&gt;"",DW155,"")</f>
        <v/>
      </c>
      <c r="DW155" s="1087"/>
      <c r="DX155" s="356"/>
      <c r="DY155" s="356" t="str">
        <f>IF(DZ155&lt;&gt;"",DZ155,"")</f>
        <v/>
      </c>
      <c r="DZ155" s="1087"/>
      <c r="EA155" s="356"/>
      <c r="EB155" s="356" t="str">
        <f>IF(EC155&lt;&gt;"",EC155,"")</f>
        <v/>
      </c>
      <c r="EC155" s="1087"/>
      <c r="ED155" s="356"/>
      <c r="EE155" s="356" t="str">
        <f>IF(EF155&lt;&gt;"",EF155,"")</f>
        <v/>
      </c>
      <c r="EF155" s="1087"/>
      <c r="EG155" s="356"/>
      <c r="EH155" s="356" t="str">
        <f>IF(EI155&lt;&gt;"",EI155,"")</f>
        <v/>
      </c>
      <c r="EI155" s="1087"/>
      <c r="EJ155" s="356"/>
      <c r="EK155" s="356" t="str">
        <f>IF(EL155&lt;&gt;"",EL155,"")</f>
        <v/>
      </c>
      <c r="EL155" s="1087"/>
      <c r="EM155" s="356"/>
      <c r="EN155" s="356" t="str">
        <f>IF(EO155&lt;&gt;"",EO155,"")</f>
        <v/>
      </c>
      <c r="EO155" s="1087"/>
      <c r="EP155" s="356"/>
      <c r="EQ155" s="356" t="str">
        <f>IF(ER155&lt;&gt;"",ER155,"")</f>
        <v/>
      </c>
      <c r="ER155" s="1087"/>
      <c r="ES155" s="356"/>
      <c r="ET155" s="356" t="str">
        <f>IF(EU155&lt;&gt;"",EU155,"")</f>
        <v/>
      </c>
      <c r="EU155" s="1087"/>
      <c r="EV155" s="356"/>
      <c r="EW155" s="356" t="str">
        <f>IF(EX155&lt;&gt;"",EX155,"")</f>
        <v/>
      </c>
      <c r="EX155" s="1087"/>
      <c r="EY155" s="356"/>
      <c r="EZ155" s="356" t="str">
        <f>IF(FA155&lt;&gt;"",FA155,"")</f>
        <v/>
      </c>
      <c r="FA155" s="356"/>
    </row>
    <row r="156" spans="1:157" ht="13.35" customHeight="1">
      <c r="A156" s="5"/>
      <c r="B156" s="5" t="s">
        <v>131</v>
      </c>
      <c r="C156" s="378"/>
      <c r="D156" s="378"/>
      <c r="E156" s="317" t="str">
        <f>IF(AND(Model!E183&lt;&gt;"",Model!G183&lt;&gt;""),Model!E183/Model!G183,"")</f>
        <v/>
      </c>
      <c r="F156" s="317" t="str">
        <f>IF(AND(Model!G183&lt;&gt;"",E156&lt;&gt;""),1-Assumptions!E156,"")</f>
        <v/>
      </c>
      <c r="G156" s="317" t="str">
        <f>IF(AND(E156&lt;&gt;"",F156&lt;&gt;""),E156+F156,"")</f>
        <v/>
      </c>
      <c r="H156" s="317" t="str">
        <f>IF(AND(Model!H183&lt;&gt;"",Model!J183&lt;&gt;""),Model!H183/Model!J183,"")</f>
        <v/>
      </c>
      <c r="I156" s="317" t="str">
        <f>IF(AND(Model!J183&lt;&gt;"",H156&lt;&gt;""),1-Assumptions!H156,"")</f>
        <v/>
      </c>
      <c r="J156" s="317" t="str">
        <f>IF(AND(H156&lt;&gt;"",I156&lt;&gt;""),H156+I156,"")</f>
        <v/>
      </c>
      <c r="K156" s="317" t="str">
        <f>IF(AND(Model!K183&lt;&gt;"",Model!M183&lt;&gt;""),Model!K183/Model!M183,"")</f>
        <v/>
      </c>
      <c r="L156" s="317" t="str">
        <f>IF(AND(Model!M183&lt;&gt;"",K156&lt;&gt;""),1-Assumptions!K156,"")</f>
        <v/>
      </c>
      <c r="M156" s="317" t="str">
        <f>IF(AND(K156&lt;&gt;"",L156&lt;&gt;""),K156+L156,"")</f>
        <v/>
      </c>
      <c r="N156" s="317" t="str">
        <f>IF(AND(Model!N183&lt;&gt;"",Model!P183&lt;&gt;""),Model!N183/Model!P183,"")</f>
        <v/>
      </c>
      <c r="O156" s="317" t="str">
        <f>IF(AND(Model!P183&lt;&gt;"",N156&lt;&gt;""),1-Assumptions!N156,"")</f>
        <v/>
      </c>
      <c r="P156" s="317" t="str">
        <f>IF(AND(N156&lt;&gt;"",O156&lt;&gt;""),N156+O156,"")</f>
        <v/>
      </c>
      <c r="Q156" s="317" t="str">
        <f>IF(AND(Model!Q183&lt;&gt;"",Model!S183&lt;&gt;""),Model!Q183/Model!S183,"")</f>
        <v/>
      </c>
      <c r="R156" s="317" t="str">
        <f>IF(AND(Model!S183&lt;&gt;"",Q156&lt;&gt;""),1-Assumptions!Q156,"")</f>
        <v/>
      </c>
      <c r="S156" s="317" t="str">
        <f>IF(AND(Q156&lt;&gt;"",R156&lt;&gt;""),Q156+R156,"")</f>
        <v/>
      </c>
      <c r="T156" s="317" t="str">
        <f>IF(AND(Model!T183&lt;&gt;"",Model!V183&lt;&gt;""),Model!T183/Model!V183,"")</f>
        <v/>
      </c>
      <c r="U156" s="317" t="str">
        <f>IF(AND(Model!V183&lt;&gt;"",T156&lt;&gt;""),1-Assumptions!T156,"")</f>
        <v/>
      </c>
      <c r="V156" s="317" t="str">
        <f>IF(AND(T156&lt;&gt;"",U156&lt;&gt;""),T156+U156,"")</f>
        <v/>
      </c>
      <c r="W156" s="317" t="str">
        <f>IF(AND(Model!W183&lt;&gt;"",Model!Y183&lt;&gt;""),Model!W183/Model!Y183,"")</f>
        <v/>
      </c>
      <c r="X156" s="317" t="str">
        <f>IF(AND(Model!Y183&lt;&gt;"",W156&lt;&gt;""),1-Assumptions!W156,"")</f>
        <v/>
      </c>
      <c r="Y156" s="317" t="str">
        <f>IF(AND(W156&lt;&gt;"",X156&lt;&gt;""),W156+X156,"")</f>
        <v/>
      </c>
      <c r="Z156" s="317" t="str">
        <f>IF(AND(Model!Z183&lt;&gt;"",Model!AB183&lt;&gt;""),Model!Z183/Model!AB183,"")</f>
        <v/>
      </c>
      <c r="AA156" s="317" t="str">
        <f>IF(AND(Model!AB183&lt;&gt;"",Z156&lt;&gt;""),1-Assumptions!Z156,"")</f>
        <v/>
      </c>
      <c r="AB156" s="317" t="str">
        <f>IF(AND(Z156&lt;&gt;"",AA156&lt;&gt;""),Z156+AA156,"")</f>
        <v/>
      </c>
      <c r="AC156" s="317" t="str">
        <f>IF(AND(Model!AC183&lt;&gt;"",Model!AE183&lt;&gt;""),Model!AC183/Model!AE183,"")</f>
        <v/>
      </c>
      <c r="AD156" s="317" t="str">
        <f>IF(AND(Model!AE183&lt;&gt;"",AC156&lt;&gt;""),1-Assumptions!AC156,"")</f>
        <v/>
      </c>
      <c r="AE156" s="317" t="str">
        <f>IF(AND(AC156&lt;&gt;"",AD156&lt;&gt;""),AC156+AD156,"")</f>
        <v/>
      </c>
      <c r="AF156" s="317" t="str">
        <f>IF(AND(Model!AF183&lt;&gt;"",Model!AH183&lt;&gt;""),Model!AF183/Model!AH183,"")</f>
        <v/>
      </c>
      <c r="AG156" s="317" t="str">
        <f>IF(AND(Model!AH183&lt;&gt;"",AF156&lt;&gt;""),1-Assumptions!AF156,"")</f>
        <v/>
      </c>
      <c r="AH156" s="317" t="str">
        <f>IF(AND(AF156&lt;&gt;"",AG156&lt;&gt;""),AF156+AG156,"")</f>
        <v/>
      </c>
      <c r="AI156" s="317" t="str">
        <f>IF(AND(Model!AI183&lt;&gt;"",Model!AK183&lt;&gt;""),Model!AI183/Model!AK183,"")</f>
        <v/>
      </c>
      <c r="AJ156" s="317" t="str">
        <f>IF(AND(Model!AK183&lt;&gt;"",AI156&lt;&gt;""),1-Assumptions!AI156,"")</f>
        <v/>
      </c>
      <c r="AK156" s="317" t="str">
        <f>IF(AND(AI156&lt;&gt;"",AJ156&lt;&gt;""),AI156+AJ156,"")</f>
        <v/>
      </c>
      <c r="AL156" s="317">
        <f>IF(AND(Model!AL183&lt;&gt;"",Model!AN183&lt;&gt;""),Model!AL183/Model!AN183,"")</f>
        <v>0.6038105912020173</v>
      </c>
      <c r="AM156" s="317">
        <f>IF(AND(Model!AN183&lt;&gt;"",AL156&lt;&gt;""),1-Assumptions!AL156,"")</f>
        <v>0.3961894087979827</v>
      </c>
      <c r="AN156" s="317">
        <f>IF(AND(AL156&lt;&gt;"",AM156&lt;&gt;""),AL156+AM156,"")</f>
        <v>1</v>
      </c>
      <c r="AO156" s="317">
        <f>IF(AND(Model!AO183&lt;&gt;"",Model!AQ183&lt;&gt;""),Model!AO183/Model!AQ183,"")</f>
        <v>0.6766689927890206</v>
      </c>
      <c r="AP156" s="317">
        <f>IF(AND(Model!AQ183&lt;&gt;"",AO156&lt;&gt;""),1-Assumptions!AO156,"")</f>
        <v>0.3233310072109794</v>
      </c>
      <c r="AQ156" s="317">
        <f>IF(AND(AO156&lt;&gt;"",AP156&lt;&gt;""),AO156+AP156,"")</f>
        <v>1</v>
      </c>
      <c r="AR156" s="317">
        <f>IF(AND(Model!AR183&lt;&gt;"",Model!AT183&lt;&gt;""),Model!AR183/Model!AT183,"")</f>
        <v>0.72710718002081165</v>
      </c>
      <c r="AS156" s="317">
        <f>IF(AND(Model!AT183&lt;&gt;"",AR156&lt;&gt;""),1-Assumptions!AR156,"")</f>
        <v>0.27289281997918835</v>
      </c>
      <c r="AT156" s="317">
        <f>IF(AND(AR156&lt;&gt;"",AS156&lt;&gt;""),AR156+AS156,"")</f>
        <v>1</v>
      </c>
      <c r="AU156" s="317">
        <f>IF(AND(Model!AU183&lt;&gt;"",Model!AW183&lt;&gt;""),Model!AU183/Model!AW183,"")</f>
        <v>0.55721565902246928</v>
      </c>
      <c r="AV156" s="317">
        <f>IF(AND(Model!AW183&lt;&gt;"",AU156&lt;&gt;""),1-Assumptions!AU156,"")</f>
        <v>0.44278434097753072</v>
      </c>
      <c r="AW156" s="317">
        <f>IF(AND(AU156&lt;&gt;"",AV156&lt;&gt;""),AU156+AV156,"")</f>
        <v>1</v>
      </c>
      <c r="AX156" s="317">
        <f>IF(AND(Model!AX183&lt;&gt;"",Model!AZ183&lt;&gt;""),Model!AX183/Model!AZ183,"")</f>
        <v>0.48463356973995275</v>
      </c>
      <c r="AY156" s="317">
        <f>IF(AND(Model!AZ183&lt;&gt;"",AX156&lt;&gt;""),1-Assumptions!AX156,"")</f>
        <v>0.51536643026004725</v>
      </c>
      <c r="AZ156" s="317">
        <f>IF(AND(AX156&lt;&gt;"",AY156&lt;&gt;""),AX156+AY156,"")</f>
        <v>1</v>
      </c>
      <c r="BA156" s="317">
        <f>IF(AND(Model!BA183&lt;&gt;"",Model!BC183&lt;&gt;""),Model!BA183/Model!BC183,"")</f>
        <v>0.46214647400271708</v>
      </c>
      <c r="BB156" s="317">
        <f>IF(AND(Model!BC183&lt;&gt;"",BA156&lt;&gt;""),1-Assumptions!BA156,"")</f>
        <v>0.53785352599728298</v>
      </c>
      <c r="BC156" s="317">
        <f>IF(AND(BA156&lt;&gt;"",BB156&lt;&gt;""),BA156+BB156,"")</f>
        <v>1</v>
      </c>
      <c r="BD156" s="317">
        <v>0.5</v>
      </c>
      <c r="BE156" s="317">
        <f>IF(BD156&lt;&gt;"",1-BD156,"")</f>
        <v>0.5</v>
      </c>
      <c r="BF156" s="317">
        <f>IF(AND(BD156&lt;&gt;"",BE156&lt;&gt;""),BD156+BE156,"")</f>
        <v>1</v>
      </c>
      <c r="BG156" s="317">
        <v>0.5</v>
      </c>
      <c r="BH156" s="317">
        <f>IF(BG156&lt;&gt;"",1-BG156,"")</f>
        <v>0.5</v>
      </c>
      <c r="BI156" s="317">
        <f>IF(AND(BG156&lt;&gt;"",BH156&lt;&gt;""),BG156+BH156,"")</f>
        <v>1</v>
      </c>
      <c r="BJ156" s="317"/>
      <c r="BK156" s="317" t="str">
        <f>IF(BJ156&lt;&gt;"",1-BJ156,"")</f>
        <v/>
      </c>
      <c r="BL156" s="317" t="str">
        <f>IF(AND(BJ156&lt;&gt;"",BK156&lt;&gt;""),BJ156+BK156,"")</f>
        <v/>
      </c>
      <c r="BM156" s="317"/>
      <c r="BN156" s="317" t="str">
        <f>IF(BM156&lt;&gt;"",1-BM156,"")</f>
        <v/>
      </c>
      <c r="BO156" s="317" t="str">
        <f>IF(AND(BM156&lt;&gt;"",BN156&lt;&gt;""),BM156+BN156,"")</f>
        <v/>
      </c>
      <c r="BP156" s="317"/>
      <c r="BQ156" s="317" t="str">
        <f>IF(BP156&lt;&gt;"",1-BP156,"")</f>
        <v/>
      </c>
      <c r="BR156" s="317" t="str">
        <f>IF(AND(BP156&lt;&gt;"",BQ156&lt;&gt;""),BP156+BQ156,"")</f>
        <v/>
      </c>
      <c r="BS156" s="317"/>
      <c r="BT156" s="317" t="str">
        <f>IF(BS156&lt;&gt;"",1-BS156,"")</f>
        <v/>
      </c>
      <c r="BU156" s="317" t="str">
        <f>IF(AND(BS156&lt;&gt;"",BT156&lt;&gt;""),BS156+BT156,"")</f>
        <v/>
      </c>
      <c r="BV156" s="317"/>
      <c r="BW156" s="317" t="str">
        <f>IF(BV156&lt;&gt;"",1-BV156,"")</f>
        <v/>
      </c>
      <c r="BX156" s="317" t="str">
        <f>IF(AND(BV156&lt;&gt;"",BW156&lt;&gt;""),BV156+BW156,"")</f>
        <v/>
      </c>
      <c r="BY156" s="317"/>
      <c r="BZ156" s="317" t="str">
        <f>IF(BY156&lt;&gt;"",1-BY156,"")</f>
        <v/>
      </c>
      <c r="CA156" s="317" t="str">
        <f>IF(AND(BY156&lt;&gt;"",BZ156&lt;&gt;""),BY156+BZ156,"")</f>
        <v/>
      </c>
      <c r="CB156" s="317"/>
      <c r="CC156" s="317" t="str">
        <f>IF(CB156&lt;&gt;"",1-CB156,"")</f>
        <v/>
      </c>
      <c r="CD156" s="317" t="str">
        <f>IF(AND(CB156&lt;&gt;"",CC156&lt;&gt;""),CB156+CC156,"")</f>
        <v/>
      </c>
      <c r="CE156" s="317"/>
      <c r="CF156" s="317" t="str">
        <f>IF(CE156&lt;&gt;"",1-CE156,"")</f>
        <v/>
      </c>
      <c r="CG156" s="317" t="str">
        <f>IF(AND(CE156&lt;&gt;"",CF156&lt;&gt;""),CE156+CF156,"")</f>
        <v/>
      </c>
      <c r="CH156" s="317"/>
      <c r="CI156" s="317" t="str">
        <f>IF(CH156&lt;&gt;"",1-CH156,"")</f>
        <v/>
      </c>
      <c r="CJ156" s="317" t="str">
        <f>IF(AND(CH156&lt;&gt;"",CI156&lt;&gt;""),CH156+CI156,"")</f>
        <v/>
      </c>
      <c r="CK156" s="317"/>
      <c r="CL156" s="317" t="str">
        <f>IF(CK156&lt;&gt;"",1-CK156,"")</f>
        <v/>
      </c>
      <c r="CM156" s="317" t="str">
        <f>IF(AND(CK156&lt;&gt;"",CL156&lt;&gt;""),CK156+CL156,"")</f>
        <v/>
      </c>
      <c r="CN156" s="317"/>
      <c r="CO156" s="317" t="str">
        <f>IF(CN156&lt;&gt;"",1-CN156,"")</f>
        <v/>
      </c>
      <c r="CP156" s="317" t="str">
        <f>IF(AND(CN156&lt;&gt;"",CO156&lt;&gt;""),CN156+CO156,"")</f>
        <v/>
      </c>
      <c r="CQ156" s="317"/>
      <c r="CR156" s="317" t="str">
        <f>IF(CQ156&lt;&gt;"",1-CQ156,"")</f>
        <v/>
      </c>
      <c r="CS156" s="317" t="str">
        <f>IF(AND(CQ156&lt;&gt;"",CR156&lt;&gt;""),CQ156+CR156,"")</f>
        <v/>
      </c>
      <c r="CT156" s="317"/>
      <c r="CU156" s="317" t="str">
        <f>IF(CT156&lt;&gt;"",1-CT156,"")</f>
        <v/>
      </c>
      <c r="CV156" s="317" t="str">
        <f>IF(AND(CT156&lt;&gt;"",CU156&lt;&gt;""),CT156+CU156,"")</f>
        <v/>
      </c>
      <c r="CW156" s="317"/>
      <c r="CX156" s="317" t="str">
        <f>IF(CW156&lt;&gt;"",1-CW156,"")</f>
        <v/>
      </c>
      <c r="CY156" s="317" t="str">
        <f>IF(AND(CW156&lt;&gt;"",CX156&lt;&gt;""),CW156+CX156,"")</f>
        <v/>
      </c>
      <c r="CZ156" s="317"/>
      <c r="DA156" s="317" t="str">
        <f>IF(CZ156&lt;&gt;"",1-CZ156,"")</f>
        <v/>
      </c>
      <c r="DB156" s="317" t="str">
        <f>IF(AND(CZ156&lt;&gt;"",DA156&lt;&gt;""),CZ156+DA156,"")</f>
        <v/>
      </c>
      <c r="DC156" s="317"/>
      <c r="DD156" s="317" t="str">
        <f>IF(DC156&lt;&gt;"",1-DC156,"")</f>
        <v/>
      </c>
      <c r="DE156" s="317" t="str">
        <f>IF(AND(DC156&lt;&gt;"",DD156&lt;&gt;""),DC156+DD156,"")</f>
        <v/>
      </c>
      <c r="DF156" s="317"/>
      <c r="DG156" s="317" t="str">
        <f>IF(DF156&lt;&gt;"",1-DF156,"")</f>
        <v/>
      </c>
      <c r="DH156" s="317" t="str">
        <f>IF(AND(DF156&lt;&gt;"",DG156&lt;&gt;""),DF156+DG156,"")</f>
        <v/>
      </c>
      <c r="DI156" s="317"/>
      <c r="DJ156" s="317" t="str">
        <f>IF(DI156&lt;&gt;"",1-DI156,"")</f>
        <v/>
      </c>
      <c r="DK156" s="1212" t="str">
        <f>IF(AND(DI156&lt;&gt;"",DJ156&lt;&gt;""),DI156+DJ156,"")</f>
        <v/>
      </c>
      <c r="DL156" s="366">
        <f>Model!DL80</f>
        <v>58.160000000000004</v>
      </c>
      <c r="DM156" s="317"/>
      <c r="DN156" s="1212"/>
      <c r="DO156" s="317"/>
      <c r="DP156" s="317" t="str">
        <f>IF(DO156&lt;&gt;"",1-DO156,"")</f>
        <v/>
      </c>
      <c r="DQ156" s="1212" t="str">
        <f>IF(AND(DO156&lt;&gt;"",DP156&lt;&gt;""),DO156+DP156,"")</f>
        <v/>
      </c>
      <c r="DR156" s="317"/>
      <c r="DS156" s="317" t="str">
        <f>IF(DR156&lt;&gt;"",1-DR156,"")</f>
        <v/>
      </c>
      <c r="DT156" s="1212" t="str">
        <f>IF(AND(DR156&lt;&gt;"",DS156&lt;&gt;""),DR156+DS156,"")</f>
        <v/>
      </c>
      <c r="DU156" s="317"/>
      <c r="DV156" s="317" t="str">
        <f>IF(DU156&lt;&gt;"",1-DU156,"")</f>
        <v/>
      </c>
      <c r="DW156" s="1212" t="str">
        <f>IF(AND(DU156&lt;&gt;"",DV156&lt;&gt;""),DU156+DV156,"")</f>
        <v/>
      </c>
      <c r="DX156" s="317"/>
      <c r="DY156" s="317" t="str">
        <f>IF(DX156&lt;&gt;"",1-DX156,"")</f>
        <v/>
      </c>
      <c r="DZ156" s="1212" t="str">
        <f>IF(AND(DX156&lt;&gt;"",DY156&lt;&gt;""),DX156+DY156,"")</f>
        <v/>
      </c>
      <c r="EA156" s="317"/>
      <c r="EB156" s="317" t="str">
        <f>IF(EA156&lt;&gt;"",1-EA156,"")</f>
        <v/>
      </c>
      <c r="EC156" s="1212" t="str">
        <f>IF(AND(EA156&lt;&gt;"",EB156&lt;&gt;""),EA156+EB156,"")</f>
        <v/>
      </c>
      <c r="ED156" s="317"/>
      <c r="EE156" s="317" t="str">
        <f>IF(ED156&lt;&gt;"",1-ED156,"")</f>
        <v/>
      </c>
      <c r="EF156" s="1212" t="str">
        <f>IF(AND(ED156&lt;&gt;"",EE156&lt;&gt;""),ED156+EE156,"")</f>
        <v/>
      </c>
      <c r="EG156" s="317"/>
      <c r="EH156" s="317" t="str">
        <f>IF(EG156&lt;&gt;"",1-EG156,"")</f>
        <v/>
      </c>
      <c r="EI156" s="1212" t="str">
        <f>IF(AND(EG156&lt;&gt;"",EH156&lt;&gt;""),EG156+EH156,"")</f>
        <v/>
      </c>
      <c r="EJ156" s="317"/>
      <c r="EK156" s="317" t="str">
        <f>IF(EJ156&lt;&gt;"",1-EJ156,"")</f>
        <v/>
      </c>
      <c r="EL156" s="1212" t="str">
        <f>IF(AND(EJ156&lt;&gt;"",EK156&lt;&gt;""),EJ156+EK156,"")</f>
        <v/>
      </c>
      <c r="EM156" s="317"/>
      <c r="EN156" s="317" t="str">
        <f>IF(EM156&lt;&gt;"",1-EM156,"")</f>
        <v/>
      </c>
      <c r="EO156" s="1212" t="str">
        <f>IF(AND(EM156&lt;&gt;"",EN156&lt;&gt;""),EM156+EN156,"")</f>
        <v/>
      </c>
      <c r="EP156" s="317"/>
      <c r="EQ156" s="317" t="str">
        <f>IF(EP156&lt;&gt;"",1-EP156,"")</f>
        <v/>
      </c>
      <c r="ER156" s="1212" t="str">
        <f>IF(AND(EP156&lt;&gt;"",EQ156&lt;&gt;""),EP156+EQ156,"")</f>
        <v/>
      </c>
      <c r="ES156" s="317"/>
      <c r="ET156" s="317" t="str">
        <f>IF(ES156&lt;&gt;"",1-ES156,"")</f>
        <v/>
      </c>
      <c r="EU156" s="1212" t="str">
        <f>IF(AND(ES156&lt;&gt;"",ET156&lt;&gt;""),ES156+ET156,"")</f>
        <v/>
      </c>
      <c r="EV156" s="317"/>
      <c r="EW156" s="317" t="str">
        <f>IF(EV156&lt;&gt;"",1-EV156,"")</f>
        <v/>
      </c>
      <c r="EX156" s="1212" t="str">
        <f>IF(AND(EV156&lt;&gt;"",EW156&lt;&gt;""),EV156+EW156,"")</f>
        <v/>
      </c>
      <c r="EY156" s="317"/>
      <c r="EZ156" s="317" t="str">
        <f>IF(EY156&lt;&gt;"",1-EY156,"")</f>
        <v/>
      </c>
      <c r="FA156" s="317" t="str">
        <f>IF(AND(EY156&lt;&gt;"",EZ156&lt;&gt;""),EY156+EZ156,"")</f>
        <v/>
      </c>
    </row>
    <row r="157" spans="1:157" ht="13.35" customHeight="1">
      <c r="A157" s="5"/>
      <c r="B157" s="5"/>
      <c r="C157" s="378"/>
      <c r="D157" s="378"/>
      <c r="E157" s="317"/>
      <c r="F157" s="317"/>
      <c r="G157" s="317"/>
      <c r="H157" s="317"/>
      <c r="I157" s="317"/>
      <c r="J157" s="317"/>
      <c r="K157" s="317"/>
      <c r="L157" s="317"/>
      <c r="M157" s="317"/>
      <c r="N157" s="317"/>
      <c r="O157" s="317"/>
      <c r="P157" s="317"/>
      <c r="Q157" s="317"/>
      <c r="R157" s="317"/>
      <c r="S157" s="317"/>
      <c r="T157" s="317"/>
      <c r="U157" s="317"/>
      <c r="V157" s="317"/>
      <c r="W157" s="317"/>
      <c r="X157" s="317"/>
      <c r="Y157" s="317"/>
      <c r="Z157" s="317"/>
      <c r="AA157" s="317"/>
      <c r="AB157" s="317"/>
      <c r="AC157" s="317"/>
      <c r="AD157" s="317"/>
      <c r="AE157" s="317"/>
      <c r="AF157" s="317"/>
      <c r="AG157" s="317"/>
      <c r="AH157" s="317"/>
      <c r="AI157" s="317"/>
      <c r="AJ157" s="317"/>
      <c r="AK157" s="317"/>
      <c r="AL157" s="317"/>
      <c r="AM157" s="317"/>
      <c r="AN157" s="317"/>
      <c r="AO157" s="317"/>
      <c r="AP157" s="317"/>
      <c r="AQ157" s="317"/>
      <c r="AR157" s="317"/>
      <c r="AS157" s="317"/>
      <c r="AT157" s="317"/>
      <c r="AU157" s="317"/>
      <c r="AV157" s="317"/>
      <c r="AW157" s="317"/>
      <c r="AX157" s="317"/>
      <c r="AY157" s="317"/>
      <c r="AZ157" s="317"/>
      <c r="BA157" s="317"/>
      <c r="BB157" s="317"/>
      <c r="BC157" s="317"/>
      <c r="BD157" s="317"/>
      <c r="BE157" s="317"/>
      <c r="BF157" s="317"/>
      <c r="BG157" s="317"/>
      <c r="BH157" s="317"/>
      <c r="BI157" s="317"/>
      <c r="BJ157" s="317"/>
      <c r="BK157" s="317"/>
      <c r="BL157" s="317"/>
      <c r="BM157" s="317"/>
      <c r="BN157" s="317"/>
      <c r="BO157" s="317"/>
      <c r="BP157" s="317"/>
      <c r="BQ157" s="317"/>
      <c r="BR157" s="317"/>
      <c r="BS157" s="317"/>
      <c r="BT157" s="317"/>
      <c r="BU157" s="317"/>
      <c r="BV157" s="317"/>
      <c r="BW157" s="317"/>
      <c r="BX157" s="317"/>
      <c r="BY157" s="317"/>
      <c r="BZ157" s="317"/>
      <c r="CA157" s="317"/>
      <c r="CB157" s="15"/>
      <c r="CC157" s="15"/>
      <c r="CD157" s="317"/>
      <c r="CE157" s="317"/>
      <c r="CF157" s="317"/>
      <c r="CG157" s="317"/>
      <c r="CH157" s="317"/>
      <c r="CI157" s="317"/>
      <c r="CJ157" s="317"/>
      <c r="CK157" s="317"/>
      <c r="CL157" s="317"/>
      <c r="CM157" s="317"/>
      <c r="CN157" s="317"/>
      <c r="CO157" s="317"/>
      <c r="CP157" s="317"/>
      <c r="CQ157" s="317"/>
      <c r="CR157" s="317"/>
      <c r="CS157" s="317"/>
      <c r="CT157" s="317"/>
      <c r="CU157" s="317"/>
      <c r="CV157" s="317"/>
      <c r="CW157" s="317"/>
      <c r="CX157" s="317"/>
      <c r="CY157" s="317"/>
      <c r="DA157" s="317"/>
      <c r="DB157" s="317"/>
      <c r="DC157" s="317"/>
      <c r="DD157" s="317"/>
      <c r="DE157" s="317"/>
      <c r="DF157" s="317"/>
      <c r="DG157" s="317"/>
      <c r="DH157" s="317"/>
      <c r="DI157" s="317"/>
      <c r="DJ157" s="317"/>
      <c r="DK157" s="1212"/>
      <c r="DL157" s="317"/>
      <c r="DM157" s="317"/>
      <c r="DN157" s="1212"/>
      <c r="DO157" s="317"/>
      <c r="DP157" s="317"/>
      <c r="DQ157" s="1212"/>
      <c r="DR157" s="317"/>
      <c r="DS157" s="317"/>
      <c r="DT157" s="1212"/>
      <c r="DU157" s="317"/>
      <c r="DV157" s="317"/>
      <c r="DW157" s="1212"/>
      <c r="DX157" s="317"/>
      <c r="DY157" s="317"/>
      <c r="DZ157" s="1212"/>
      <c r="EA157" s="317"/>
      <c r="EB157" s="317"/>
      <c r="EC157" s="1212"/>
      <c r="ED157" s="317"/>
      <c r="EE157" s="317"/>
      <c r="EF157" s="1212"/>
      <c r="EG157" s="317"/>
      <c r="EH157" s="317"/>
      <c r="EI157" s="1212"/>
      <c r="EJ157" s="317"/>
      <c r="EK157" s="317"/>
      <c r="EL157" s="1212"/>
      <c r="EM157" s="317"/>
      <c r="EN157" s="317"/>
      <c r="EO157" s="1212"/>
      <c r="EP157" s="317"/>
      <c r="EQ157" s="317"/>
      <c r="ER157" s="1212"/>
      <c r="ES157" s="317"/>
      <c r="ET157" s="317"/>
      <c r="EU157" s="1212"/>
      <c r="EV157" s="317"/>
      <c r="EW157" s="317"/>
      <c r="EX157" s="1212"/>
      <c r="EY157" s="317"/>
      <c r="EZ157" s="317"/>
      <c r="FA157" s="317"/>
    </row>
    <row r="158" spans="1:157" ht="13.35" customHeight="1">
      <c r="A158" s="5"/>
      <c r="B158" s="5" t="s">
        <v>537</v>
      </c>
      <c r="C158" s="378"/>
      <c r="D158" s="378"/>
      <c r="E158" s="317"/>
      <c r="F158" s="317"/>
      <c r="G158" s="317"/>
      <c r="H158" s="317"/>
      <c r="I158" s="317"/>
      <c r="J158" s="317"/>
      <c r="K158" s="317"/>
      <c r="L158" s="317"/>
      <c r="M158" s="317"/>
      <c r="N158" s="317"/>
      <c r="O158" s="317"/>
      <c r="P158" s="317"/>
      <c r="Q158" s="317"/>
      <c r="R158" s="317"/>
      <c r="S158" s="317"/>
      <c r="T158" s="317"/>
      <c r="U158" s="317"/>
      <c r="V158" s="317"/>
      <c r="W158" s="317"/>
      <c r="X158" s="317"/>
      <c r="Y158" s="317"/>
      <c r="Z158" s="317"/>
      <c r="AA158" s="317"/>
      <c r="AB158" s="317"/>
      <c r="AC158" s="317"/>
      <c r="AD158" s="317"/>
      <c r="AE158" s="317"/>
      <c r="AF158" s="317"/>
      <c r="AG158" s="317"/>
      <c r="AH158" s="317"/>
      <c r="AI158" s="317"/>
      <c r="AJ158" s="317"/>
      <c r="AK158" s="317"/>
      <c r="AL158" s="317"/>
      <c r="AM158" s="317"/>
      <c r="AN158" s="317"/>
      <c r="AO158" s="317"/>
      <c r="AP158" s="317"/>
      <c r="AQ158" s="317"/>
      <c r="AR158" s="317"/>
      <c r="AS158" s="317"/>
      <c r="AT158" s="317"/>
      <c r="AU158" s="317"/>
      <c r="AV158" s="317"/>
      <c r="AW158" s="317"/>
      <c r="AX158" s="317"/>
      <c r="AY158" s="317"/>
      <c r="AZ158" s="317"/>
      <c r="BA158" s="317"/>
      <c r="BB158" s="317"/>
      <c r="BC158" s="317"/>
      <c r="BD158" s="317"/>
      <c r="BE158" s="317"/>
      <c r="BF158" s="317"/>
      <c r="BG158" s="317"/>
      <c r="BH158" s="317"/>
      <c r="BI158" s="317"/>
      <c r="BJ158" s="317"/>
      <c r="BK158" s="317"/>
      <c r="BL158" s="317"/>
      <c r="BM158" s="317"/>
      <c r="BN158" s="317"/>
      <c r="BO158" s="317"/>
      <c r="BP158" s="317"/>
      <c r="BQ158" s="317"/>
      <c r="BR158" s="317"/>
      <c r="BS158" s="317"/>
      <c r="BT158" s="317"/>
      <c r="BU158" s="317"/>
      <c r="BV158" s="317"/>
      <c r="BW158" s="317"/>
      <c r="BX158" s="317"/>
      <c r="BY158" s="317"/>
      <c r="BZ158" s="317"/>
      <c r="CA158" s="317"/>
      <c r="CB158" s="317"/>
      <c r="CC158" s="317"/>
      <c r="CD158" s="317"/>
      <c r="CE158" s="317"/>
      <c r="CF158" s="317"/>
      <c r="CG158" s="317"/>
      <c r="CH158" s="317"/>
      <c r="CI158" s="317"/>
      <c r="CJ158" s="317"/>
      <c r="CK158" s="317"/>
      <c r="CL158" s="317"/>
      <c r="CM158" s="317"/>
      <c r="CN158" s="317"/>
      <c r="CO158" s="317"/>
      <c r="CP158" s="317"/>
      <c r="CQ158" s="317"/>
      <c r="CR158" s="317"/>
      <c r="CS158" s="317"/>
      <c r="CT158" s="317"/>
      <c r="CU158" s="317"/>
      <c r="CV158" s="317"/>
      <c r="CW158" s="317"/>
      <c r="CX158" s="317"/>
      <c r="CY158" s="317"/>
      <c r="CZ158" s="317"/>
      <c r="DA158" s="317"/>
      <c r="DB158" s="317"/>
      <c r="DC158" s="317"/>
      <c r="DD158" s="317"/>
      <c r="DE158" s="317"/>
      <c r="DF158" s="317"/>
      <c r="DG158" s="317"/>
      <c r="DH158" s="317"/>
      <c r="DI158" s="317"/>
      <c r="DJ158" s="317"/>
      <c r="DK158" s="1212"/>
      <c r="DL158" s="317"/>
      <c r="DM158" s="317"/>
      <c r="DN158" s="1212"/>
      <c r="DO158" s="317"/>
      <c r="DP158" s="317"/>
      <c r="DQ158" s="1212"/>
      <c r="DR158" s="317"/>
      <c r="DS158" s="317"/>
      <c r="DT158" s="1212"/>
      <c r="DU158" s="317"/>
      <c r="DV158" s="317"/>
      <c r="DW158" s="1212"/>
      <c r="DX158" s="317"/>
      <c r="DY158" s="317"/>
      <c r="DZ158" s="1212"/>
      <c r="EA158" s="317"/>
      <c r="EB158" s="317"/>
      <c r="EC158" s="1212"/>
      <c r="ED158" s="317"/>
      <c r="EE158" s="317"/>
      <c r="EF158" s="1212"/>
      <c r="EG158" s="317"/>
      <c r="EH158" s="317"/>
      <c r="EI158" s="1212"/>
      <c r="EJ158" s="317"/>
      <c r="EK158" s="317"/>
      <c r="EL158" s="1212"/>
      <c r="EM158" s="317"/>
      <c r="EN158" s="317"/>
      <c r="EO158" s="1212"/>
      <c r="EP158" s="317"/>
      <c r="EQ158" s="317"/>
      <c r="ER158" s="1212"/>
      <c r="ES158" s="317"/>
      <c r="ET158" s="317"/>
      <c r="EU158" s="1212"/>
      <c r="EV158" s="317"/>
      <c r="EW158" s="317"/>
      <c r="EX158" s="1212"/>
      <c r="EY158" s="317"/>
      <c r="EZ158" s="317"/>
      <c r="FA158" s="317"/>
    </row>
    <row r="159" spans="1:157" ht="13.35" customHeight="1">
      <c r="A159" s="5"/>
      <c r="B159" s="5" t="s">
        <v>538</v>
      </c>
      <c r="C159" s="5"/>
      <c r="D159" s="5"/>
      <c r="E159" s="359" t="str">
        <f>IF(Model!E82&lt;&gt;"",Model!E82,"")</f>
        <v/>
      </c>
      <c r="F159" s="359" t="str">
        <f>IF(AND(G159&lt;&gt;"",E159&lt;&gt;""),G159-E159,"")</f>
        <v/>
      </c>
      <c r="G159" s="359" t="str">
        <f>IF(Model!G82&lt;&gt;"",Model!G82,"")</f>
        <v/>
      </c>
      <c r="H159" s="359" t="str">
        <f>IF(Model!H82&lt;&gt;"",Model!H82,"")</f>
        <v/>
      </c>
      <c r="I159" s="359" t="str">
        <f>IF(AND(J159&lt;&gt;"",H159&lt;&gt;""),J159-H159,"")</f>
        <v/>
      </c>
      <c r="J159" s="359" t="str">
        <f>IF(Model!J82&lt;&gt;"",Model!J82,"")</f>
        <v/>
      </c>
      <c r="K159" s="359" t="str">
        <f>IF(Model!K82&lt;&gt;"",Model!K82,"")</f>
        <v/>
      </c>
      <c r="L159" s="359" t="str">
        <f>IF(AND(M159&lt;&gt;"",K159&lt;&gt;""),M159-K159,"")</f>
        <v/>
      </c>
      <c r="M159" s="359" t="str">
        <f>IF(Model!M82&lt;&gt;"",Model!M82,"")</f>
        <v/>
      </c>
      <c r="N159" s="359" t="str">
        <f>IF(Model!N82&lt;&gt;"",Model!N82,"")</f>
        <v/>
      </c>
      <c r="O159" s="359" t="str">
        <f>IF(AND(P159&lt;&gt;"",N159&lt;&gt;""),P159-N159,"")</f>
        <v/>
      </c>
      <c r="P159" s="359" t="str">
        <f>IF(Model!P82&lt;&gt;"",Model!P82,"")</f>
        <v/>
      </c>
      <c r="Q159" s="359" t="str">
        <f>IF(Model!Q82&lt;&gt;"",Model!Q82,"")</f>
        <v/>
      </c>
      <c r="R159" s="359" t="str">
        <f>IF(AND(S159&lt;&gt;"",Q159&lt;&gt;""),S159-Q159,"")</f>
        <v/>
      </c>
      <c r="S159" s="359" t="str">
        <f>IF(Model!S82&lt;&gt;"",Model!S82,"")</f>
        <v/>
      </c>
      <c r="T159" s="359" t="str">
        <f>IF(Model!T82&lt;&gt;"",Model!T82,"")</f>
        <v/>
      </c>
      <c r="U159" s="359" t="str">
        <f>IF(AND(V159&lt;&gt;"",T159&lt;&gt;""),V159-T159,"")</f>
        <v/>
      </c>
      <c r="V159" s="359" t="str">
        <f>IF(Model!V82&lt;&gt;"",Model!V82,"")</f>
        <v/>
      </c>
      <c r="W159" s="359" t="str">
        <f>IF(Model!W82&lt;&gt;"",Model!W82,"")</f>
        <v/>
      </c>
      <c r="X159" s="359" t="str">
        <f>IF(AND(Y159&lt;&gt;"",W159&lt;&gt;""),Y159-W159,"")</f>
        <v/>
      </c>
      <c r="Y159" s="359" t="str">
        <f>IF(Model!Y82&lt;&gt;"",Model!Y82,"")</f>
        <v/>
      </c>
      <c r="Z159" s="359" t="str">
        <f>IF(Model!Z82&lt;&gt;"",Model!Z82,"")</f>
        <v/>
      </c>
      <c r="AA159" s="359" t="str">
        <f>IF(AND(AB159&lt;&gt;"",Z159&lt;&gt;""),AB159-Z159,"")</f>
        <v/>
      </c>
      <c r="AB159" s="359" t="str">
        <f>IF(Model!AB82&lt;&gt;"",Model!AB82,"")</f>
        <v/>
      </c>
      <c r="AC159" s="359" t="str">
        <f>IF(Model!AC82&lt;&gt;"",Model!AC82,"")</f>
        <v/>
      </c>
      <c r="AD159" s="359" t="str">
        <f>IF(AND(AE159&lt;&gt;"",AC159&lt;&gt;""),AE159-AC159,"")</f>
        <v/>
      </c>
      <c r="AE159" s="359" t="str">
        <f>IF(Model!AE82&lt;&gt;"",Model!AE82,"")</f>
        <v/>
      </c>
      <c r="AF159" s="359" t="str">
        <f>IF(Model!AF82&lt;&gt;"",Model!AF82,"")</f>
        <v/>
      </c>
      <c r="AG159" s="359" t="str">
        <f>IF(AND(AH159&lt;&gt;"",AF159&lt;&gt;""),AH159-AF159,"")</f>
        <v/>
      </c>
      <c r="AH159" s="359" t="str">
        <f>IF(Model!AH82&lt;&gt;"",Model!AH82,"")</f>
        <v/>
      </c>
      <c r="AI159" s="359" t="str">
        <f>IF(Model!AI82&lt;&gt;"",Model!AI82,"")</f>
        <v/>
      </c>
      <c r="AJ159" s="359" t="str">
        <f>IF(AND(AK159&lt;&gt;"",AI159&lt;&gt;""),AK159-AI159,"")</f>
        <v/>
      </c>
      <c r="AK159" s="359">
        <f>IF(Model!AK82&lt;&gt;"",Model!AK82,"")</f>
        <v>0</v>
      </c>
      <c r="AL159" s="359" t="str">
        <f>IF(Model!AL82&lt;&gt;"",Model!AL82,"")</f>
        <v/>
      </c>
      <c r="AM159" s="359" t="str">
        <f>IF(AND(AN159&lt;&gt;"",AL159&lt;&gt;""),AN159-AL159,"")</f>
        <v/>
      </c>
      <c r="AN159" s="359">
        <f>IF(Model!AN82&lt;&gt;"",Model!AN82,"")</f>
        <v>0</v>
      </c>
      <c r="AO159" s="359" t="str">
        <f>IF(Model!AO82&lt;&gt;"",Model!AO82,"")</f>
        <v/>
      </c>
      <c r="AP159" s="359" t="str">
        <f>IF(AND(AQ159&lt;&gt;"",AO159&lt;&gt;""),AQ159-AO159,"")</f>
        <v/>
      </c>
      <c r="AQ159" s="359">
        <f>IF(Model!AQ82&lt;&gt;"",Model!AQ82,"")</f>
        <v>0</v>
      </c>
      <c r="AR159" s="359">
        <f>IF(Model!AR82&lt;&gt;"",Model!AR82,"")</f>
        <v>0</v>
      </c>
      <c r="AS159" s="359">
        <f>IF(AND(AT159&lt;&gt;"",AR159&lt;&gt;""),AT159-AR159,"")</f>
        <v>0</v>
      </c>
      <c r="AT159" s="359">
        <f>IF(Model!AT82&lt;&gt;"",Model!AT82,"")</f>
        <v>0</v>
      </c>
      <c r="AU159" s="359" t="str">
        <f>IF(Model!AU82&lt;&gt;"",Model!AU82,"")</f>
        <v/>
      </c>
      <c r="AV159" s="359" t="str">
        <f>IF(AND(AW159&lt;&gt;"",AU159&lt;&gt;""),AW159-AU159,"")</f>
        <v/>
      </c>
      <c r="AW159" s="359">
        <f>IF(Model!AW82&lt;&gt;"",Model!AW82,"")</f>
        <v>0</v>
      </c>
      <c r="AX159" s="359">
        <f>IF(Model!AX82&lt;&gt;"",Model!AX82,"")</f>
        <v>0</v>
      </c>
      <c r="AY159" s="359">
        <f>IF(AND(AZ159&lt;&gt;"",AX159&lt;&gt;""),AZ159-AX159,"")</f>
        <v>0</v>
      </c>
      <c r="AZ159" s="359">
        <f>IF(Model!AZ82&lt;&gt;"",Model!AZ82,"")</f>
        <v>0</v>
      </c>
      <c r="BA159" s="359">
        <f>IF(Model!BA82&lt;&gt;"",Model!BA82,"")</f>
        <v>0</v>
      </c>
      <c r="BB159" s="359">
        <f>IF(AND(BC159&lt;&gt;"",BA159&lt;&gt;""),BC159-BA159,"")</f>
        <v>0</v>
      </c>
      <c r="BC159" s="359">
        <f>IF(Model!BC82&lt;&gt;"",Model!BC82,"")</f>
        <v>0</v>
      </c>
      <c r="BD159" s="359"/>
      <c r="BE159" s="359" t="str">
        <f>IF(AND(BF159&lt;&gt;"",BD159&lt;&gt;""),BF159-BD159,"")</f>
        <v/>
      </c>
      <c r="BF159" s="359"/>
      <c r="BG159" s="359"/>
      <c r="BH159" s="359" t="str">
        <f>IF(AND(BI159&lt;&gt;"",BG159&lt;&gt;""),BI159-BG159,"")</f>
        <v/>
      </c>
      <c r="BI159" s="359"/>
      <c r="BJ159" s="359"/>
      <c r="BK159" s="359" t="str">
        <f>IF(AND(BL159&lt;&gt;"",BJ159&lt;&gt;""),BL159-BJ159,"")</f>
        <v/>
      </c>
      <c r="BL159" s="359"/>
      <c r="BM159" s="359"/>
      <c r="BN159" s="359" t="str">
        <f>IF(AND(BO159&lt;&gt;"",BM159&lt;&gt;""),BO159-BM159,"")</f>
        <v/>
      </c>
      <c r="BO159" s="359"/>
      <c r="BP159" s="359"/>
      <c r="BQ159" s="359" t="str">
        <f>IF(AND(BR159&lt;&gt;"",BP159&lt;&gt;""),BR159-BP159,"")</f>
        <v/>
      </c>
      <c r="BR159" s="359"/>
      <c r="BS159" s="359"/>
      <c r="BT159" s="359" t="str">
        <f>IF(AND(BU159&lt;&gt;"",BS159&lt;&gt;""),BU159-BS159,"")</f>
        <v/>
      </c>
      <c r="BU159" s="359"/>
      <c r="BV159" s="359"/>
      <c r="BW159" s="359" t="str">
        <f>IF(AND(BX159&lt;&gt;"",BV159&lt;&gt;""),BX159-BV159,"")</f>
        <v/>
      </c>
      <c r="BX159" s="359"/>
      <c r="BY159" s="359"/>
      <c r="BZ159" s="359" t="str">
        <f>IF(AND(CA159&lt;&gt;"",BY159&lt;&gt;""),CA159-BY159,"")</f>
        <v/>
      </c>
      <c r="CA159" s="359"/>
      <c r="CB159" s="359"/>
      <c r="CC159" s="359" t="str">
        <f>IF(AND(CD159&lt;&gt;"",CB159&lt;&gt;""),CD159-CB159,"")</f>
        <v/>
      </c>
      <c r="CD159" s="359"/>
      <c r="CE159" s="359"/>
      <c r="CF159" s="359" t="str">
        <f>IF(AND(CG159&lt;&gt;"",CE159&lt;&gt;""),CG159-CE159,"")</f>
        <v/>
      </c>
      <c r="CG159" s="359"/>
      <c r="CH159" s="359"/>
      <c r="CI159" s="359" t="str">
        <f>IF(AND(CJ159&lt;&gt;"",CH159&lt;&gt;""),CJ159-CH159,"")</f>
        <v/>
      </c>
      <c r="CJ159" s="359"/>
      <c r="CK159" s="359"/>
      <c r="CL159" s="359" t="str">
        <f>IF(AND(CM159&lt;&gt;"",CK159&lt;&gt;""),CM159-CK159,"")</f>
        <v/>
      </c>
      <c r="CM159" s="359"/>
      <c r="CN159" s="359"/>
      <c r="CO159" s="359" t="str">
        <f>IF(AND(CP159&lt;&gt;"",CN159&lt;&gt;""),CP159-CN159,"")</f>
        <v/>
      </c>
      <c r="CP159" s="359"/>
      <c r="CQ159" s="359"/>
      <c r="CR159" s="359" t="str">
        <f>IF(AND(CS159&lt;&gt;"",CQ159&lt;&gt;""),CS159-CQ159,"")</f>
        <v/>
      </c>
      <c r="CS159" s="359"/>
      <c r="CT159" s="359"/>
      <c r="CU159" s="359" t="str">
        <f>IF(AND(CV159&lt;&gt;"",CT159&lt;&gt;""),CV159-CT159,"")</f>
        <v/>
      </c>
      <c r="CV159" s="359"/>
      <c r="CW159" s="359"/>
      <c r="CX159" s="359" t="str">
        <f>IF(AND(CY159&lt;&gt;"",CW159&lt;&gt;""),CY159-CW159,"")</f>
        <v/>
      </c>
      <c r="CY159" s="359"/>
      <c r="CZ159" s="359"/>
      <c r="DA159" s="359" t="str">
        <f>IF(AND(DB159&lt;&gt;"",CZ159&lt;&gt;""),DB159-CZ159,"")</f>
        <v/>
      </c>
      <c r="DB159" s="359"/>
      <c r="DC159" s="359"/>
      <c r="DD159" s="359" t="str">
        <f>IF(AND(DE159&lt;&gt;"",DC159&lt;&gt;""),DE159-DC159,"")</f>
        <v/>
      </c>
      <c r="DE159" s="359"/>
      <c r="DF159" s="359"/>
      <c r="DG159" s="359" t="str">
        <f>IF(AND(DH159&lt;&gt;"",DF159&lt;&gt;""),DH159-DF159,"")</f>
        <v/>
      </c>
      <c r="DH159" s="359"/>
      <c r="DI159" s="359"/>
      <c r="DJ159" s="359" t="str">
        <f>IF(AND(DK159&lt;&gt;"",DI159&lt;&gt;""),DK159-DI159,"")</f>
        <v/>
      </c>
      <c r="DK159" s="1208"/>
      <c r="DL159" s="359"/>
      <c r="DM159" s="359" t="str">
        <f>IF(AND(DN159&lt;&gt;"",DL159&lt;&gt;""),DN159-DL159,"")</f>
        <v/>
      </c>
      <c r="DN159" s="1208"/>
      <c r="DO159" s="359"/>
      <c r="DP159" s="359" t="str">
        <f>IF(AND(DQ159&lt;&gt;"",DO159&lt;&gt;""),DQ159-DO159,"")</f>
        <v/>
      </c>
      <c r="DQ159" s="1208"/>
      <c r="DR159" s="359"/>
      <c r="DS159" s="359" t="str">
        <f>IF(AND(DT159&lt;&gt;"",DR159&lt;&gt;""),DT159-DR159,"")</f>
        <v/>
      </c>
      <c r="DT159" s="1208"/>
      <c r="DU159" s="359"/>
      <c r="DV159" s="359" t="str">
        <f>IF(AND(DW159&lt;&gt;"",DU159&lt;&gt;""),DW159-DU159,"")</f>
        <v/>
      </c>
      <c r="DW159" s="1208"/>
      <c r="DX159" s="359"/>
      <c r="DY159" s="359" t="str">
        <f>IF(AND(DZ159&lt;&gt;"",DX159&lt;&gt;""),DZ159-DX159,"")</f>
        <v/>
      </c>
      <c r="DZ159" s="1208"/>
      <c r="EA159" s="359"/>
      <c r="EB159" s="359" t="str">
        <f>IF(AND(EC159&lt;&gt;"",EA159&lt;&gt;""),EC159-EA159,"")</f>
        <v/>
      </c>
      <c r="EC159" s="1208"/>
      <c r="ED159" s="359"/>
      <c r="EE159" s="359" t="str">
        <f>IF(AND(EF159&lt;&gt;"",ED159&lt;&gt;""),EF159-ED159,"")</f>
        <v/>
      </c>
      <c r="EF159" s="1208"/>
      <c r="EG159" s="359"/>
      <c r="EH159" s="359" t="str">
        <f>IF(AND(EI159&lt;&gt;"",EG159&lt;&gt;""),EI159-EG159,"")</f>
        <v/>
      </c>
      <c r="EI159" s="1208"/>
      <c r="EJ159" s="359"/>
      <c r="EK159" s="359" t="str">
        <f>IF(AND(EL159&lt;&gt;"",EJ159&lt;&gt;""),EL159-EJ159,"")</f>
        <v/>
      </c>
      <c r="EL159" s="1208"/>
      <c r="EM159" s="359"/>
      <c r="EN159" s="359" t="str">
        <f>IF(AND(EO159&lt;&gt;"",EM159&lt;&gt;""),EO159-EM159,"")</f>
        <v/>
      </c>
      <c r="EO159" s="1208"/>
      <c r="EP159" s="359"/>
      <c r="EQ159" s="359" t="str">
        <f>IF(AND(ER159&lt;&gt;"",EP159&lt;&gt;""),ER159-EP159,"")</f>
        <v/>
      </c>
      <c r="ER159" s="1208"/>
      <c r="ES159" s="359"/>
      <c r="ET159" s="359" t="str">
        <f>IF(AND(EU159&lt;&gt;"",ES159&lt;&gt;""),EU159-ES159,"")</f>
        <v/>
      </c>
      <c r="EU159" s="1208"/>
      <c r="EV159" s="359"/>
      <c r="EW159" s="359" t="str">
        <f>IF(AND(EX159&lt;&gt;"",EV159&lt;&gt;""),EX159-EV159,"")</f>
        <v/>
      </c>
      <c r="EX159" s="1208"/>
      <c r="EY159" s="359"/>
      <c r="EZ159" s="359" t="str">
        <f>IF(AND(FA159&lt;&gt;"",EY159&lt;&gt;""),FA159-EY159,"")</f>
        <v/>
      </c>
      <c r="FA159" s="359"/>
    </row>
    <row r="160" spans="1:157" ht="13.35" customHeight="1">
      <c r="A160" s="5"/>
      <c r="B160" s="5" t="s">
        <v>539</v>
      </c>
      <c r="C160" s="5"/>
      <c r="D160" s="5"/>
      <c r="E160" s="359" t="str">
        <f>IF(Model!E83&lt;&gt;"",Model!E83,"")</f>
        <v/>
      </c>
      <c r="F160" s="359" t="str">
        <f>IF(AND(G160&lt;&gt;"",E160&lt;&gt;""),G160-E160,"")</f>
        <v/>
      </c>
      <c r="G160" s="359" t="str">
        <f>IF(Model!G83&lt;&gt;"",Model!G83,"")</f>
        <v/>
      </c>
      <c r="H160" s="359" t="str">
        <f>IF(Model!H83&lt;&gt;"",Model!H83,"")</f>
        <v/>
      </c>
      <c r="I160" s="359" t="str">
        <f>IF(AND(J160&lt;&gt;"",H160&lt;&gt;""),J160-H160,"")</f>
        <v/>
      </c>
      <c r="J160" s="359" t="str">
        <f>IF(Model!J83&lt;&gt;"",Model!J83,"")</f>
        <v/>
      </c>
      <c r="K160" s="359" t="str">
        <f>IF(Model!K83&lt;&gt;"",Model!K83,"")</f>
        <v/>
      </c>
      <c r="L160" s="359" t="str">
        <f>IF(AND(M160&lt;&gt;"",K160&lt;&gt;""),M160-K160,"")</f>
        <v/>
      </c>
      <c r="M160" s="359" t="str">
        <f>IF(Model!M83&lt;&gt;"",Model!M83,"")</f>
        <v/>
      </c>
      <c r="N160" s="359" t="str">
        <f>IF(Model!N83&lt;&gt;"",Model!N83,"")</f>
        <v/>
      </c>
      <c r="O160" s="359" t="str">
        <f>IF(AND(P160&lt;&gt;"",N160&lt;&gt;""),P160-N160,"")</f>
        <v/>
      </c>
      <c r="P160" s="359" t="str">
        <f>IF(Model!P83&lt;&gt;"",Model!P83,"")</f>
        <v/>
      </c>
      <c r="Q160" s="359" t="str">
        <f>IF(Model!Q83&lt;&gt;"",Model!Q83,"")</f>
        <v/>
      </c>
      <c r="R160" s="359" t="str">
        <f>IF(AND(S160&lt;&gt;"",Q160&lt;&gt;""),S160-Q160,"")</f>
        <v/>
      </c>
      <c r="S160" s="359" t="str">
        <f>IF(Model!S83&lt;&gt;"",Model!S83,"")</f>
        <v/>
      </c>
      <c r="T160" s="359" t="str">
        <f>IF(Model!T83&lt;&gt;"",Model!T83,"")</f>
        <v/>
      </c>
      <c r="U160" s="359" t="str">
        <f>IF(AND(V160&lt;&gt;"",T160&lt;&gt;""),V160-T160,"")</f>
        <v/>
      </c>
      <c r="V160" s="359" t="str">
        <f>IF(Model!V83&lt;&gt;"",Model!V83,"")</f>
        <v/>
      </c>
      <c r="W160" s="359" t="str">
        <f>IF(Model!W83&lt;&gt;"",Model!W83,"")</f>
        <v/>
      </c>
      <c r="X160" s="359" t="str">
        <f>IF(AND(Y160&lt;&gt;"",W160&lt;&gt;""),Y160-W160,"")</f>
        <v/>
      </c>
      <c r="Y160" s="359" t="str">
        <f>IF(Model!Y83&lt;&gt;"",Model!Y83,"")</f>
        <v/>
      </c>
      <c r="Z160" s="359" t="str">
        <f>IF(Model!Z83&lt;&gt;"",Model!Z83,"")</f>
        <v/>
      </c>
      <c r="AA160" s="359" t="str">
        <f>IF(AND(AB160&lt;&gt;"",Z160&lt;&gt;""),AB160-Z160,"")</f>
        <v/>
      </c>
      <c r="AB160" s="359" t="str">
        <f>IF(Model!AB83&lt;&gt;"",Model!AB83,"")</f>
        <v/>
      </c>
      <c r="AC160" s="359" t="str">
        <f>IF(Model!AC83&lt;&gt;"",Model!AC83,"")</f>
        <v/>
      </c>
      <c r="AD160" s="359" t="str">
        <f>IF(AND(AE160&lt;&gt;"",AC160&lt;&gt;""),AE160-AC160,"")</f>
        <v/>
      </c>
      <c r="AE160" s="359" t="str">
        <f>IF(Model!AE83&lt;&gt;"",Model!AE83,"")</f>
        <v/>
      </c>
      <c r="AF160" s="359" t="str">
        <f>IF(Model!AF83&lt;&gt;"",Model!AF83,"")</f>
        <v/>
      </c>
      <c r="AG160" s="359" t="str">
        <f>IF(AND(AH160&lt;&gt;"",AF160&lt;&gt;""),AH160-AF160,"")</f>
        <v/>
      </c>
      <c r="AH160" s="359" t="str">
        <f>IF(Model!AH83&lt;&gt;"",Model!AH83,"")</f>
        <v/>
      </c>
      <c r="AI160" s="359" t="str">
        <f>IF(Model!AI83&lt;&gt;"",Model!AI83,"")</f>
        <v/>
      </c>
      <c r="AJ160" s="359" t="str">
        <f>IF(AND(AK160&lt;&gt;"",AI160&lt;&gt;""),AK160-AI160,"")</f>
        <v/>
      </c>
      <c r="AK160" s="359">
        <f>IF(Model!AK83&lt;&gt;"",Model!AK83,"")</f>
        <v>0</v>
      </c>
      <c r="AL160" s="359" t="str">
        <f>IF(Model!AL83&lt;&gt;"",Model!AL83,"")</f>
        <v/>
      </c>
      <c r="AM160" s="359" t="str">
        <f>IF(AND(AN160&lt;&gt;"",AL160&lt;&gt;""),AN160-AL160,"")</f>
        <v/>
      </c>
      <c r="AN160" s="359">
        <f>IF(Model!AN83&lt;&gt;"",Model!AN83,"")</f>
        <v>0</v>
      </c>
      <c r="AO160" s="359" t="str">
        <f>IF(Model!AO83&lt;&gt;"",Model!AO83,"")</f>
        <v/>
      </c>
      <c r="AP160" s="359" t="str">
        <f>IF(AND(AQ160&lt;&gt;"",AO160&lt;&gt;""),AQ160-AO160,"")</f>
        <v/>
      </c>
      <c r="AQ160" s="359">
        <f>IF(Model!AQ83&lt;&gt;"",Model!AQ83,"")</f>
        <v>0</v>
      </c>
      <c r="AR160" s="359">
        <f>IF(Model!AR83&lt;&gt;"",Model!AR83,"")</f>
        <v>0</v>
      </c>
      <c r="AS160" s="359">
        <f>IF(AND(AT160&lt;&gt;"",AR160&lt;&gt;""),AT160-AR160,"")</f>
        <v>0</v>
      </c>
      <c r="AT160" s="359">
        <f>IF(Model!AT83&lt;&gt;"",Model!AT83,"")</f>
        <v>0</v>
      </c>
      <c r="AU160" s="359" t="str">
        <f>IF(Model!AU83&lt;&gt;"",Model!AU83,"")</f>
        <v/>
      </c>
      <c r="AV160" s="359" t="str">
        <f>IF(AND(AW160&lt;&gt;"",AU160&lt;&gt;""),AW160-AU160,"")</f>
        <v/>
      </c>
      <c r="AW160" s="359">
        <f>IF(Model!AW83&lt;&gt;"",Model!AW83,"")</f>
        <v>0</v>
      </c>
      <c r="AX160" s="359">
        <f>IF(Model!AX83&lt;&gt;"",Model!AX83,"")</f>
        <v>0</v>
      </c>
      <c r="AY160" s="359">
        <f>IF(AND(AZ160&lt;&gt;"",AX160&lt;&gt;""),AZ160-AX160,"")</f>
        <v>0</v>
      </c>
      <c r="AZ160" s="359">
        <f>IF(Model!AZ83&lt;&gt;"",Model!AZ83,"")</f>
        <v>0</v>
      </c>
      <c r="BA160" s="359">
        <f>IF(Model!BA83&lt;&gt;"",Model!BA83,"")</f>
        <v>0</v>
      </c>
      <c r="BB160" s="359">
        <f>IF(AND(BC160&lt;&gt;"",BA160&lt;&gt;""),BC160-BA160,"")</f>
        <v>0</v>
      </c>
      <c r="BC160" s="359">
        <f>IF(Model!BC83&lt;&gt;"",Model!BC83,"")</f>
        <v>0</v>
      </c>
      <c r="BD160" s="359"/>
      <c r="BE160" s="359" t="str">
        <f>IF(AND(BF160&lt;&gt;"",BD160&lt;&gt;""),BF160-BD160,"")</f>
        <v/>
      </c>
      <c r="BF160" s="359"/>
      <c r="BG160" s="359"/>
      <c r="BH160" s="359" t="str">
        <f>IF(AND(BI160&lt;&gt;"",BG160&lt;&gt;""),BI160-BG160,"")</f>
        <v/>
      </c>
      <c r="BI160" s="359"/>
      <c r="BJ160" s="359"/>
      <c r="BK160" s="359" t="str">
        <f>IF(AND(BL160&lt;&gt;"",BJ160&lt;&gt;""),BL160-BJ160,"")</f>
        <v/>
      </c>
      <c r="BL160" s="359"/>
      <c r="BM160" s="359"/>
      <c r="BN160" s="359" t="str">
        <f>IF(AND(BO160&lt;&gt;"",BM160&lt;&gt;""),BO160-BM160,"")</f>
        <v/>
      </c>
      <c r="BO160" s="359"/>
      <c r="BP160" s="359"/>
      <c r="BQ160" s="359" t="str">
        <f>IF(AND(BR160&lt;&gt;"",BP160&lt;&gt;""),BR160-BP160,"")</f>
        <v/>
      </c>
      <c r="BR160" s="359"/>
      <c r="BS160" s="359"/>
      <c r="BT160" s="359" t="str">
        <f>IF(AND(BU160&lt;&gt;"",BS160&lt;&gt;""),BU160-BS160,"")</f>
        <v/>
      </c>
      <c r="BU160" s="359"/>
      <c r="BV160" s="359"/>
      <c r="BW160" s="359" t="str">
        <f>IF(AND(BX160&lt;&gt;"",BV160&lt;&gt;""),BX160-BV160,"")</f>
        <v/>
      </c>
      <c r="BX160" s="359"/>
      <c r="BY160" s="359"/>
      <c r="BZ160" s="359" t="str">
        <f>IF(AND(CA160&lt;&gt;"",BY160&lt;&gt;""),CA160-BY160,"")</f>
        <v/>
      </c>
      <c r="CA160" s="359"/>
      <c r="CB160" s="359"/>
      <c r="CC160" s="359" t="str">
        <f>IF(AND(CD160&lt;&gt;"",CB160&lt;&gt;""),CD160-CB160,"")</f>
        <v/>
      </c>
      <c r="CD160" s="359"/>
      <c r="CE160" s="359"/>
      <c r="CF160" s="359" t="str">
        <f>IF(AND(CG160&lt;&gt;"",CE160&lt;&gt;""),CG160-CE160,"")</f>
        <v/>
      </c>
      <c r="CG160" s="359"/>
      <c r="CH160" s="359"/>
      <c r="CI160" s="359" t="str">
        <f>IF(AND(CJ160&lt;&gt;"",CH160&lt;&gt;""),CJ160-CH160,"")</f>
        <v/>
      </c>
      <c r="CJ160" s="359"/>
      <c r="CK160" s="359"/>
      <c r="CL160" s="359" t="str">
        <f>IF(AND(CM160&lt;&gt;"",CK160&lt;&gt;""),CM160-CK160,"")</f>
        <v/>
      </c>
      <c r="CM160" s="359"/>
      <c r="CN160" s="359"/>
      <c r="CO160" s="359" t="str">
        <f>IF(AND(CP160&lt;&gt;"",CN160&lt;&gt;""),CP160-CN160,"")</f>
        <v/>
      </c>
      <c r="CP160" s="359"/>
      <c r="CQ160" s="359"/>
      <c r="CR160" s="359" t="str">
        <f>IF(AND(CS160&lt;&gt;"",CQ160&lt;&gt;""),CS160-CQ160,"")</f>
        <v/>
      </c>
      <c r="CS160" s="359"/>
      <c r="CT160" s="359"/>
      <c r="CU160" s="359" t="str">
        <f>IF(AND(CV160&lt;&gt;"",CT160&lt;&gt;""),CV160-CT160,"")</f>
        <v/>
      </c>
      <c r="CV160" s="359"/>
      <c r="CW160" s="359"/>
      <c r="CX160" s="359" t="str">
        <f>IF(AND(CY160&lt;&gt;"",CW160&lt;&gt;""),CY160-CW160,"")</f>
        <v/>
      </c>
      <c r="CY160" s="359"/>
      <c r="CZ160" s="359"/>
      <c r="DA160" s="359" t="str">
        <f>IF(AND(DB160&lt;&gt;"",CZ160&lt;&gt;""),DB160-CZ160,"")</f>
        <v/>
      </c>
      <c r="DB160" s="359"/>
      <c r="DC160" s="359"/>
      <c r="DD160" s="359" t="str">
        <f>IF(AND(DE160&lt;&gt;"",DC160&lt;&gt;""),DE160-DC160,"")</f>
        <v/>
      </c>
      <c r="DE160" s="359"/>
      <c r="DF160" s="359"/>
      <c r="DG160" s="359" t="str">
        <f>IF(AND(DH160&lt;&gt;"",DF160&lt;&gt;""),DH160-DF160,"")</f>
        <v/>
      </c>
      <c r="DH160" s="359"/>
      <c r="DI160" s="359"/>
      <c r="DJ160" s="359" t="str">
        <f>IF(AND(DK160&lt;&gt;"",DI160&lt;&gt;""),DK160-DI160,"")</f>
        <v/>
      </c>
      <c r="DK160" s="1208"/>
      <c r="DL160" s="359"/>
      <c r="DM160" s="359" t="str">
        <f>IF(AND(DN160&lt;&gt;"",DL160&lt;&gt;""),DN160-DL160,"")</f>
        <v/>
      </c>
      <c r="DN160" s="1208"/>
      <c r="DO160" s="359"/>
      <c r="DP160" s="359" t="str">
        <f>IF(AND(DQ160&lt;&gt;"",DO160&lt;&gt;""),DQ160-DO160,"")</f>
        <v/>
      </c>
      <c r="DQ160" s="1208"/>
      <c r="DR160" s="359"/>
      <c r="DS160" s="359" t="str">
        <f>IF(AND(DT160&lt;&gt;"",DR160&lt;&gt;""),DT160-DR160,"")</f>
        <v/>
      </c>
      <c r="DT160" s="1208"/>
      <c r="DU160" s="359"/>
      <c r="DV160" s="359" t="str">
        <f>IF(AND(DW160&lt;&gt;"",DU160&lt;&gt;""),DW160-DU160,"")</f>
        <v/>
      </c>
      <c r="DW160" s="1208"/>
      <c r="DX160" s="359"/>
      <c r="DY160" s="359" t="str">
        <f>IF(AND(DZ160&lt;&gt;"",DX160&lt;&gt;""),DZ160-DX160,"")</f>
        <v/>
      </c>
      <c r="DZ160" s="1208"/>
      <c r="EA160" s="359"/>
      <c r="EB160" s="359" t="str">
        <f>IF(AND(EC160&lt;&gt;"",EA160&lt;&gt;""),EC160-EA160,"")</f>
        <v/>
      </c>
      <c r="EC160" s="1208"/>
      <c r="ED160" s="359"/>
      <c r="EE160" s="359" t="str">
        <f>IF(AND(EF160&lt;&gt;"",ED160&lt;&gt;""),EF160-ED160,"")</f>
        <v/>
      </c>
      <c r="EF160" s="1208"/>
      <c r="EG160" s="359"/>
      <c r="EH160" s="359" t="str">
        <f>IF(AND(EI160&lt;&gt;"",EG160&lt;&gt;""),EI160-EG160,"")</f>
        <v/>
      </c>
      <c r="EI160" s="1208"/>
      <c r="EJ160" s="359"/>
      <c r="EK160" s="359" t="str">
        <f>IF(AND(EL160&lt;&gt;"",EJ160&lt;&gt;""),EL160-EJ160,"")</f>
        <v/>
      </c>
      <c r="EL160" s="1208"/>
      <c r="EM160" s="359"/>
      <c r="EN160" s="359" t="str">
        <f>IF(AND(EO160&lt;&gt;"",EM160&lt;&gt;""),EO160-EM160,"")</f>
        <v/>
      </c>
      <c r="EO160" s="1208"/>
      <c r="EP160" s="359"/>
      <c r="EQ160" s="359" t="str">
        <f>IF(AND(ER160&lt;&gt;"",EP160&lt;&gt;""),ER160-EP160,"")</f>
        <v/>
      </c>
      <c r="ER160" s="1208"/>
      <c r="ES160" s="359"/>
      <c r="ET160" s="359" t="str">
        <f>IF(AND(EU160&lt;&gt;"",ES160&lt;&gt;""),EU160-ES160,"")</f>
        <v/>
      </c>
      <c r="EU160" s="1208"/>
      <c r="EV160" s="359"/>
      <c r="EW160" s="359" t="str">
        <f>IF(AND(EX160&lt;&gt;"",EV160&lt;&gt;""),EX160-EV160,"")</f>
        <v/>
      </c>
      <c r="EX160" s="1208"/>
      <c r="EY160" s="359"/>
      <c r="EZ160" s="359" t="str">
        <f>IF(AND(FA160&lt;&gt;"",EY160&lt;&gt;""),FA160-EY160,"")</f>
        <v/>
      </c>
      <c r="FA160" s="359"/>
    </row>
    <row r="161" spans="1:157" ht="13.35" customHeight="1">
      <c r="A161" s="5"/>
      <c r="B161" s="5"/>
      <c r="C161" s="5"/>
      <c r="D161" s="5"/>
      <c r="E161" s="359"/>
      <c r="F161" s="359"/>
      <c r="G161" s="359"/>
      <c r="H161" s="359"/>
      <c r="I161" s="359"/>
      <c r="J161" s="359"/>
      <c r="K161" s="359"/>
      <c r="L161" s="359"/>
      <c r="M161" s="359"/>
      <c r="N161" s="359"/>
      <c r="O161" s="359"/>
      <c r="P161" s="359"/>
      <c r="Q161" s="359"/>
      <c r="R161" s="359"/>
      <c r="S161" s="359"/>
      <c r="T161" s="359"/>
      <c r="U161" s="359"/>
      <c r="V161" s="359"/>
      <c r="W161" s="359"/>
      <c r="X161" s="359"/>
      <c r="Y161" s="359"/>
      <c r="Z161" s="359"/>
      <c r="AA161" s="359"/>
      <c r="AB161" s="359"/>
      <c r="AC161" s="359"/>
      <c r="AD161" s="359"/>
      <c r="AE161" s="359"/>
      <c r="AF161" s="359"/>
      <c r="AG161" s="359"/>
      <c r="AH161" s="359"/>
      <c r="AI161" s="359"/>
      <c r="AJ161" s="359"/>
      <c r="AK161" s="359"/>
      <c r="AL161" s="359"/>
      <c r="AM161" s="359"/>
      <c r="AN161" s="359"/>
      <c r="AO161" s="359"/>
      <c r="AP161" s="359"/>
      <c r="AQ161" s="359"/>
      <c r="AR161" s="359"/>
      <c r="AS161" s="359"/>
      <c r="AT161" s="359"/>
      <c r="AU161" s="359"/>
      <c r="AV161" s="359"/>
      <c r="AW161" s="359"/>
      <c r="AX161" s="359"/>
      <c r="AY161" s="359"/>
      <c r="AZ161" s="359"/>
      <c r="BA161" s="359"/>
      <c r="BB161" s="359"/>
      <c r="BC161" s="359"/>
      <c r="BD161" s="359"/>
      <c r="BE161" s="359"/>
      <c r="BF161" s="359"/>
      <c r="BG161" s="359"/>
      <c r="BH161" s="359"/>
      <c r="BI161" s="359"/>
      <c r="BJ161" s="359"/>
      <c r="BK161" s="359"/>
      <c r="BL161" s="359"/>
      <c r="BM161" s="359"/>
      <c r="BN161" s="359"/>
      <c r="BO161" s="359"/>
      <c r="BP161" s="359"/>
      <c r="BQ161" s="359"/>
      <c r="BR161" s="359"/>
      <c r="BS161" s="359"/>
      <c r="BT161" s="359"/>
      <c r="BU161" s="359"/>
      <c r="BV161" s="359"/>
      <c r="BW161" s="359"/>
      <c r="BX161" s="359"/>
      <c r="BY161" s="359"/>
      <c r="BZ161" s="359"/>
      <c r="CA161" s="359"/>
      <c r="CB161" s="359"/>
      <c r="CC161" s="359"/>
      <c r="CD161" s="359"/>
      <c r="CE161" s="359"/>
      <c r="CF161" s="359"/>
      <c r="CG161" s="359"/>
      <c r="CH161" s="359"/>
      <c r="CI161" s="359"/>
      <c r="CJ161" s="359"/>
      <c r="CK161" s="359"/>
      <c r="CL161" s="359"/>
      <c r="CM161" s="359"/>
      <c r="CN161" s="359"/>
      <c r="CO161" s="359"/>
      <c r="CP161" s="359"/>
      <c r="CQ161" s="359"/>
      <c r="CR161" s="359"/>
      <c r="CS161" s="359"/>
      <c r="CT161" s="359"/>
      <c r="CU161" s="359"/>
      <c r="CV161" s="359"/>
      <c r="CW161" s="359"/>
      <c r="CX161" s="359"/>
      <c r="CY161" s="359"/>
      <c r="CZ161" s="359"/>
      <c r="DA161" s="359"/>
      <c r="DB161" s="359"/>
      <c r="DC161" s="359"/>
      <c r="DD161" s="359"/>
      <c r="DE161" s="359"/>
      <c r="DF161" s="359"/>
      <c r="DG161" s="359"/>
      <c r="DH161" s="359"/>
      <c r="DI161" s="359"/>
      <c r="DJ161" s="359"/>
      <c r="DK161" s="1208"/>
      <c r="DL161" s="359"/>
      <c r="DM161" s="359"/>
      <c r="DN161" s="1208"/>
      <c r="DO161" s="359"/>
      <c r="DP161" s="359"/>
      <c r="DQ161" s="1208"/>
      <c r="DR161" s="359"/>
      <c r="DS161" s="359"/>
      <c r="DT161" s="1208"/>
      <c r="DU161" s="359"/>
      <c r="DV161" s="359"/>
      <c r="DW161" s="1208"/>
      <c r="DX161" s="359"/>
      <c r="DY161" s="359"/>
      <c r="DZ161" s="1208"/>
      <c r="EA161" s="359"/>
      <c r="EB161" s="359"/>
      <c r="EC161" s="1208"/>
      <c r="ED161" s="359"/>
      <c r="EE161" s="359"/>
      <c r="EF161" s="1208"/>
      <c r="EG161" s="359"/>
      <c r="EH161" s="359"/>
      <c r="EI161" s="1208"/>
      <c r="EJ161" s="359"/>
      <c r="EK161" s="359"/>
      <c r="EL161" s="1208"/>
      <c r="EM161" s="359"/>
      <c r="EN161" s="359"/>
      <c r="EO161" s="1208"/>
      <c r="EP161" s="359"/>
      <c r="EQ161" s="359"/>
      <c r="ER161" s="1208"/>
      <c r="ES161" s="359"/>
      <c r="ET161" s="359"/>
      <c r="EU161" s="1208"/>
      <c r="EV161" s="359"/>
      <c r="EW161" s="359"/>
      <c r="EX161" s="1208"/>
      <c r="EY161" s="359"/>
      <c r="EZ161" s="359"/>
      <c r="FA161" s="359"/>
    </row>
    <row r="162" spans="1:157" ht="13.35" customHeight="1">
      <c r="A162" s="5"/>
      <c r="B162" s="5"/>
      <c r="C162" s="378"/>
      <c r="D162" s="378"/>
      <c r="E162" s="359"/>
      <c r="F162" s="359"/>
      <c r="G162" s="359"/>
      <c r="H162" s="359"/>
      <c r="I162" s="359"/>
      <c r="J162" s="359"/>
      <c r="K162" s="359"/>
      <c r="L162" s="359"/>
      <c r="M162" s="359"/>
      <c r="N162" s="359"/>
      <c r="O162" s="359"/>
      <c r="P162" s="359"/>
      <c r="Q162" s="359"/>
      <c r="R162" s="359"/>
      <c r="S162" s="359"/>
      <c r="T162" s="359"/>
      <c r="U162" s="359"/>
      <c r="V162" s="359"/>
      <c r="W162" s="359"/>
      <c r="X162" s="359"/>
      <c r="Y162" s="359"/>
      <c r="Z162" s="359"/>
      <c r="AA162" s="359"/>
      <c r="AB162" s="359"/>
      <c r="AC162" s="359"/>
      <c r="AD162" s="359"/>
      <c r="AE162" s="359"/>
      <c r="AF162" s="359"/>
      <c r="AG162" s="359"/>
      <c r="AH162" s="359"/>
      <c r="AI162" s="359"/>
      <c r="AJ162" s="359"/>
      <c r="AK162" s="359"/>
      <c r="AL162" s="359"/>
      <c r="AM162" s="359"/>
      <c r="AN162" s="359"/>
      <c r="AO162" s="359"/>
      <c r="AP162" s="359"/>
      <c r="AQ162" s="359"/>
      <c r="AR162" s="359"/>
      <c r="AS162" s="359"/>
      <c r="AT162" s="359"/>
      <c r="AU162" s="359"/>
      <c r="AV162" s="359"/>
      <c r="AW162" s="359"/>
      <c r="AX162" s="359"/>
      <c r="AY162" s="359"/>
      <c r="AZ162" s="359"/>
      <c r="BA162" s="359"/>
      <c r="BB162" s="359"/>
      <c r="BC162" s="359"/>
      <c r="BD162" s="359"/>
      <c r="BE162" s="359"/>
      <c r="BF162" s="359"/>
      <c r="BG162" s="359"/>
      <c r="BH162" s="359"/>
      <c r="BI162" s="359"/>
      <c r="BJ162" s="359"/>
      <c r="BK162" s="359"/>
      <c r="BL162" s="359"/>
      <c r="BM162" s="359"/>
      <c r="BN162" s="359"/>
      <c r="BO162" s="359"/>
      <c r="BP162" s="359"/>
      <c r="BQ162" s="359"/>
      <c r="BR162" s="359"/>
      <c r="BS162" s="359"/>
      <c r="BT162" s="359"/>
      <c r="BU162" s="359"/>
      <c r="BV162" s="359"/>
      <c r="BW162" s="359"/>
      <c r="BX162" s="359"/>
      <c r="BY162" s="359"/>
      <c r="BZ162" s="359"/>
      <c r="CA162" s="359"/>
      <c r="CB162" s="359"/>
      <c r="CC162" s="359"/>
      <c r="CD162" s="359"/>
      <c r="CE162" s="359"/>
      <c r="CF162" s="359"/>
      <c r="CG162" s="359"/>
      <c r="CH162" s="359"/>
      <c r="CI162" s="359"/>
      <c r="CJ162" s="359"/>
      <c r="CK162" s="359"/>
      <c r="CL162" s="359"/>
      <c r="CM162" s="359"/>
      <c r="CN162" s="359"/>
      <c r="CO162" s="359"/>
      <c r="CP162" s="359"/>
      <c r="CQ162" s="359"/>
      <c r="CR162" s="359"/>
      <c r="CS162" s="359"/>
      <c r="CT162" s="359"/>
      <c r="CU162" s="359"/>
      <c r="CV162" s="359"/>
      <c r="CW162" s="359"/>
      <c r="CX162" s="359"/>
      <c r="CY162" s="359"/>
      <c r="CZ162" s="359"/>
      <c r="DA162" s="359"/>
      <c r="DB162" s="359"/>
      <c r="DC162" s="359"/>
      <c r="DD162" s="359"/>
      <c r="DE162" s="359"/>
      <c r="DF162" s="359"/>
      <c r="DG162" s="359"/>
      <c r="DH162" s="359"/>
      <c r="DI162" s="359"/>
      <c r="DJ162" s="359"/>
      <c r="DK162" s="1208"/>
      <c r="DL162" s="359"/>
      <c r="DM162" s="359"/>
      <c r="DN162" s="1208"/>
      <c r="DO162" s="359"/>
      <c r="DP162" s="359"/>
      <c r="DQ162" s="1208"/>
      <c r="DR162" s="359"/>
      <c r="DS162" s="359"/>
      <c r="DT162" s="1208"/>
      <c r="DU162" s="359"/>
      <c r="DV162" s="359"/>
      <c r="DW162" s="1208"/>
      <c r="DX162" s="359"/>
      <c r="DY162" s="359"/>
      <c r="DZ162" s="1208"/>
      <c r="EA162" s="359"/>
      <c r="EB162" s="359"/>
      <c r="EC162" s="1208"/>
      <c r="ED162" s="359"/>
      <c r="EE162" s="359"/>
      <c r="EF162" s="1208"/>
      <c r="EG162" s="359"/>
      <c r="EH162" s="359"/>
      <c r="EI162" s="1208"/>
      <c r="EJ162" s="359"/>
      <c r="EK162" s="359"/>
      <c r="EL162" s="1208"/>
      <c r="EM162" s="359"/>
      <c r="EN162" s="359"/>
      <c r="EO162" s="1208"/>
      <c r="EP162" s="359"/>
      <c r="EQ162" s="359"/>
      <c r="ER162" s="1208"/>
      <c r="ES162" s="359"/>
      <c r="ET162" s="359"/>
      <c r="EU162" s="1208"/>
      <c r="EV162" s="359"/>
      <c r="EW162" s="359"/>
      <c r="EX162" s="1208"/>
      <c r="EY162" s="359"/>
      <c r="EZ162" s="359"/>
      <c r="FA162" s="359"/>
    </row>
    <row r="163" spans="1:157" ht="13.35" customHeight="1">
      <c r="A163" s="5"/>
      <c r="B163" s="360" t="s">
        <v>385</v>
      </c>
      <c r="C163" s="5"/>
      <c r="D163" s="5"/>
      <c r="E163" s="359"/>
      <c r="F163" s="359"/>
      <c r="G163" s="359"/>
      <c r="H163" s="359"/>
      <c r="I163" s="359"/>
      <c r="J163" s="359"/>
      <c r="K163" s="359"/>
      <c r="L163" s="359"/>
      <c r="M163" s="359"/>
      <c r="N163" s="359"/>
      <c r="O163" s="359"/>
      <c r="P163" s="359"/>
      <c r="Q163" s="359"/>
      <c r="R163" s="359"/>
      <c r="S163" s="359"/>
      <c r="T163" s="359"/>
      <c r="U163" s="359"/>
      <c r="V163" s="359"/>
      <c r="W163" s="359"/>
      <c r="X163" s="359"/>
      <c r="Y163" s="359"/>
      <c r="Z163" s="359"/>
      <c r="AA163" s="359"/>
      <c r="AB163" s="359"/>
      <c r="AC163" s="359"/>
      <c r="AD163" s="359"/>
      <c r="AE163" s="359"/>
      <c r="AF163" s="359"/>
      <c r="AG163" s="359"/>
      <c r="AH163" s="359"/>
      <c r="AI163" s="359"/>
      <c r="AJ163" s="359"/>
      <c r="AK163" s="359"/>
      <c r="AL163" s="359"/>
      <c r="AM163" s="359"/>
      <c r="AN163" s="359"/>
      <c r="AO163" s="359"/>
      <c r="AP163" s="359"/>
      <c r="AQ163" s="359"/>
      <c r="AR163" s="359"/>
      <c r="AS163" s="359"/>
      <c r="AT163" s="359"/>
      <c r="AU163" s="359"/>
      <c r="AV163" s="359"/>
      <c r="AW163" s="359"/>
      <c r="AX163" s="359"/>
      <c r="AY163" s="359"/>
      <c r="AZ163" s="359"/>
      <c r="BA163" s="359"/>
      <c r="BB163" s="359"/>
      <c r="BC163" s="359"/>
      <c r="BD163" s="359"/>
      <c r="BE163" s="359"/>
      <c r="BF163" s="359"/>
      <c r="BG163" s="359"/>
      <c r="BH163" s="359"/>
      <c r="BI163" s="359"/>
      <c r="BJ163" s="359"/>
      <c r="BK163" s="359"/>
      <c r="BL163" s="359"/>
      <c r="BM163" s="359"/>
      <c r="BN163" s="359"/>
      <c r="BO163" s="359"/>
      <c r="BP163" s="359"/>
      <c r="BQ163" s="359"/>
      <c r="BR163" s="359"/>
      <c r="BS163" s="359"/>
      <c r="BT163" s="359"/>
      <c r="BU163" s="359"/>
      <c r="BV163" s="359"/>
      <c r="BW163" s="359"/>
      <c r="BX163" s="359"/>
      <c r="BY163" s="359"/>
      <c r="BZ163" s="359"/>
      <c r="CA163" s="359"/>
      <c r="CB163" s="359"/>
      <c r="CC163" s="359"/>
      <c r="CD163" s="359"/>
      <c r="CE163" s="359"/>
      <c r="CF163" s="359"/>
      <c r="CG163" s="359"/>
      <c r="CH163" s="359"/>
      <c r="CI163" s="359"/>
      <c r="CJ163" s="359"/>
      <c r="CK163" s="359"/>
      <c r="CL163" s="359"/>
      <c r="CM163" s="359"/>
      <c r="CN163" s="359"/>
      <c r="CO163" s="359"/>
      <c r="CP163" s="359"/>
      <c r="CQ163" s="359"/>
      <c r="CR163" s="359"/>
      <c r="CS163" s="359"/>
      <c r="CT163" s="359"/>
      <c r="CU163" s="359"/>
      <c r="CV163" s="359"/>
      <c r="CW163" s="359"/>
      <c r="CX163" s="359"/>
      <c r="CY163" s="359"/>
      <c r="CZ163" s="359"/>
      <c r="DA163" s="359"/>
      <c r="DB163" s="359"/>
      <c r="DC163" s="359"/>
      <c r="DD163" s="359"/>
      <c r="DE163" s="359"/>
      <c r="DF163" s="359"/>
      <c r="DG163" s="359"/>
      <c r="DH163" s="359"/>
      <c r="DI163" s="359"/>
      <c r="DJ163" s="359"/>
      <c r="DK163" s="1208"/>
      <c r="DL163" s="359"/>
      <c r="DM163" s="359"/>
      <c r="DN163" s="1208"/>
      <c r="DO163" s="359"/>
      <c r="DP163" s="359"/>
      <c r="DQ163" s="1208"/>
      <c r="DR163" s="359"/>
      <c r="DS163" s="359"/>
      <c r="DT163" s="1208"/>
      <c r="DU163" s="359"/>
      <c r="DV163" s="359"/>
      <c r="DW163" s="1208"/>
      <c r="DX163" s="359"/>
      <c r="DY163" s="359"/>
      <c r="DZ163" s="1208"/>
      <c r="EA163" s="359"/>
      <c r="EB163" s="359"/>
      <c r="EC163" s="1208"/>
      <c r="ED163" s="359"/>
      <c r="EE163" s="359"/>
      <c r="EF163" s="1208"/>
      <c r="EG163" s="359"/>
      <c r="EH163" s="359"/>
      <c r="EI163" s="1208"/>
      <c r="EJ163" s="359"/>
      <c r="EK163" s="359"/>
      <c r="EL163" s="1208"/>
      <c r="EM163" s="359"/>
      <c r="EN163" s="359"/>
      <c r="EO163" s="1208"/>
      <c r="EP163" s="359"/>
      <c r="EQ163" s="359"/>
      <c r="ER163" s="1208"/>
      <c r="ES163" s="359"/>
      <c r="ET163" s="359"/>
      <c r="EU163" s="1208"/>
      <c r="EV163" s="359"/>
      <c r="EW163" s="359"/>
      <c r="EX163" s="1208"/>
      <c r="EY163" s="359"/>
      <c r="EZ163" s="359"/>
      <c r="FA163" s="359"/>
    </row>
    <row r="164" spans="1:157" ht="13.35" customHeight="1">
      <c r="A164" s="5"/>
      <c r="B164" s="5" t="s">
        <v>386</v>
      </c>
      <c r="C164" s="5"/>
      <c r="D164" s="5"/>
      <c r="E164" s="359"/>
      <c r="F164" s="359"/>
      <c r="G164" s="359"/>
      <c r="H164" s="359"/>
      <c r="I164" s="359"/>
      <c r="J164" s="359"/>
      <c r="K164" s="359"/>
      <c r="L164" s="359"/>
      <c r="M164" s="359"/>
      <c r="N164" s="359"/>
      <c r="O164" s="359"/>
      <c r="P164" s="359"/>
      <c r="Q164" s="359"/>
      <c r="R164" s="359"/>
      <c r="S164" s="359"/>
      <c r="T164" s="359"/>
      <c r="U164" s="359"/>
      <c r="V164" s="359"/>
      <c r="W164" s="359"/>
      <c r="X164" s="359"/>
      <c r="Y164" s="359"/>
      <c r="Z164" s="359"/>
      <c r="AA164" s="359"/>
      <c r="AB164" s="359"/>
      <c r="AC164" s="359"/>
      <c r="AD164" s="359"/>
      <c r="AE164" s="359"/>
      <c r="AF164" s="359"/>
      <c r="AG164" s="359"/>
      <c r="AH164" s="359"/>
      <c r="AI164" s="359"/>
      <c r="AJ164" s="359"/>
      <c r="AK164" s="359"/>
      <c r="AL164" s="359"/>
      <c r="AM164" s="359"/>
      <c r="AN164" s="359"/>
      <c r="AO164" s="359"/>
      <c r="AP164" s="359"/>
      <c r="AQ164" s="359"/>
      <c r="AR164" s="359"/>
      <c r="AS164" s="359"/>
      <c r="AT164" s="359"/>
      <c r="AU164" s="359"/>
      <c r="AV164" s="359"/>
      <c r="AW164" s="359"/>
      <c r="AX164" s="359"/>
      <c r="AY164" s="359"/>
      <c r="AZ164" s="359"/>
      <c r="BA164" s="359"/>
      <c r="BB164" s="359"/>
      <c r="BC164" s="359"/>
      <c r="BD164" s="359"/>
      <c r="BE164" s="359"/>
      <c r="BF164" s="359"/>
      <c r="BG164" s="359"/>
      <c r="BH164" s="359"/>
      <c r="BI164" s="359"/>
      <c r="BJ164" s="359"/>
      <c r="BK164" s="359"/>
      <c r="BL164" s="359"/>
      <c r="BM164" s="359"/>
      <c r="BN164" s="359"/>
      <c r="BO164" s="359"/>
      <c r="BP164" s="359"/>
      <c r="BQ164" s="359"/>
      <c r="BR164" s="359"/>
      <c r="BS164" s="359"/>
      <c r="BT164" s="359"/>
      <c r="BU164" s="359"/>
      <c r="BV164" s="359"/>
      <c r="BW164" s="359"/>
      <c r="BX164" s="359"/>
      <c r="BY164" s="359"/>
      <c r="BZ164" s="359"/>
      <c r="CA164" s="359"/>
      <c r="CB164" s="359"/>
      <c r="CC164" s="359"/>
      <c r="CD164" s="359"/>
      <c r="CE164" s="359"/>
      <c r="CF164" s="359"/>
      <c r="CG164" s="359"/>
      <c r="CH164" s="359"/>
      <c r="CI164" s="359"/>
      <c r="CJ164" s="359"/>
      <c r="CK164" s="359"/>
      <c r="CL164" s="359"/>
      <c r="CM164" s="359"/>
      <c r="CN164" s="359"/>
      <c r="CO164" s="359"/>
      <c r="CP164" s="359"/>
      <c r="CQ164" s="359"/>
      <c r="CR164" s="359"/>
      <c r="CS164" s="359"/>
      <c r="CT164" s="359"/>
      <c r="CU164" s="359"/>
      <c r="CV164" s="359"/>
      <c r="CW164" s="359"/>
      <c r="CX164" s="359"/>
      <c r="CY164" s="359"/>
      <c r="CZ164" s="359"/>
      <c r="DA164" s="359"/>
      <c r="DB164" s="359"/>
      <c r="DC164" s="359"/>
      <c r="DD164" s="359"/>
      <c r="DE164" s="359"/>
      <c r="DF164" s="359"/>
      <c r="DG164" s="359"/>
      <c r="DH164" s="359"/>
      <c r="DI164" s="359"/>
      <c r="DJ164" s="359"/>
      <c r="DK164" s="1208"/>
      <c r="DL164" s="359"/>
      <c r="DM164" s="359"/>
      <c r="DN164" s="1208"/>
      <c r="DO164" s="359"/>
      <c r="DP164" s="359"/>
      <c r="DQ164" s="1208"/>
      <c r="DR164" s="359"/>
      <c r="DS164" s="359"/>
      <c r="DT164" s="1208"/>
      <c r="DU164" s="359"/>
      <c r="DV164" s="359"/>
      <c r="DW164" s="1208"/>
      <c r="DX164" s="359"/>
      <c r="DY164" s="359"/>
      <c r="DZ164" s="1208"/>
      <c r="EA164" s="359"/>
      <c r="EB164" s="359"/>
      <c r="EC164" s="1208"/>
      <c r="ED164" s="359"/>
      <c r="EE164" s="359"/>
      <c r="EF164" s="1208"/>
      <c r="EG164" s="359"/>
      <c r="EH164" s="359"/>
      <c r="EI164" s="1208"/>
      <c r="EJ164" s="359"/>
      <c r="EK164" s="359"/>
      <c r="EL164" s="1208"/>
      <c r="EM164" s="359"/>
      <c r="EN164" s="359"/>
      <c r="EO164" s="1208"/>
      <c r="EP164" s="359"/>
      <c r="EQ164" s="359"/>
      <c r="ER164" s="1208"/>
      <c r="ES164" s="359"/>
      <c r="ET164" s="359"/>
      <c r="EU164" s="1208"/>
      <c r="EV164" s="359"/>
      <c r="EW164" s="359"/>
      <c r="EX164" s="1208"/>
      <c r="EY164" s="359"/>
      <c r="EZ164" s="359"/>
      <c r="FA164" s="359"/>
    </row>
    <row r="165" spans="1:157" ht="13.35" customHeight="1">
      <c r="A165" s="5"/>
      <c r="B165" s="5" t="s">
        <v>740</v>
      </c>
      <c r="C165" s="5"/>
      <c r="D165" s="5"/>
      <c r="E165" s="363"/>
      <c r="F165" s="363"/>
      <c r="G165" s="363"/>
      <c r="H165" s="363">
        <f>IF(OR(ISERROR(Model!G231),ISERROR(Model!H231),Model!G231="",Model!H231=""),"",IF(H169&lt;&gt;"",-(Model!H231-Model!G231),""))</f>
        <v>0</v>
      </c>
      <c r="I165" s="363">
        <f>IF(OR(ISERROR(Model!H231),ISERROR(Model!I231),Model!H231="",Model!I231=""),"",IF(I169&lt;&gt;"",-(Model!I231-Model!H231),""))</f>
        <v>0</v>
      </c>
      <c r="J165" s="363">
        <f>IF(OR(ISERROR(Model!G231),ISERROR(Model!J231),Model!G231="",Model!J231=""),"",IF(J169&lt;&gt;"",-(Model!J231-Model!G231),""))</f>
        <v>0</v>
      </c>
      <c r="K165" s="363">
        <f>IF(OR(ISERROR(Model!J231),ISERROR(Model!K231),Model!J231="",Model!K231=""),"",IF(K169&lt;&gt;"",-(Model!K231-Model!J231),""))</f>
        <v>0</v>
      </c>
      <c r="L165" s="363">
        <f>IF(OR(ISERROR(Model!K231),ISERROR(Model!L231),Model!K231="",Model!L231=""),"",IF(L169&lt;&gt;"",-(Model!L231-Model!K231),""))</f>
        <v>0</v>
      </c>
      <c r="M165" s="363">
        <f>IF(OR(ISERROR(Model!J231),ISERROR(Model!M231),Model!J231="",Model!M231=""),"",IF(M169&lt;&gt;"",-(Model!M231-Model!J231),""))</f>
        <v>0</v>
      </c>
      <c r="N165" s="363">
        <f>IF(OR(ISERROR(Model!M231),ISERROR(Model!N231),Model!M231="",Model!N231=""),"",IF(N169&lt;&gt;"",-(Model!N231-Model!M231),""))</f>
        <v>0</v>
      </c>
      <c r="O165" s="363">
        <f>IF(OR(ISERROR(Model!N231),ISERROR(Model!O231),Model!N231="",Model!O231=""),"",IF(O169&lt;&gt;"",-(Model!O231-Model!N231),""))</f>
        <v>0</v>
      </c>
      <c r="P165" s="363">
        <f>IF(OR(ISERROR(Model!M231),ISERROR(Model!P231),Model!M231="",Model!P231=""),"",IF(P169&lt;&gt;"",-(Model!P231-Model!M231),""))</f>
        <v>0</v>
      </c>
      <c r="Q165" s="363">
        <f>IF(OR(ISERROR(Model!P231),ISERROR(Model!Q231),Model!P231="",Model!Q231=""),"",IF(Q169&lt;&gt;"",-(Model!Q231-Model!P231),""))</f>
        <v>0</v>
      </c>
      <c r="R165" s="363">
        <f>IF(OR(ISERROR(Model!Q231),ISERROR(Model!R231),Model!Q231="",Model!R231=""),"",IF(R169&lt;&gt;"",-(Model!R231-Model!Q231),""))</f>
        <v>0</v>
      </c>
      <c r="S165" s="363">
        <f>IF(OR(ISERROR(Model!P231),ISERROR(Model!S231),Model!P231="",Model!S231=""),"",IF(S169&lt;&gt;"",-(Model!S231-Model!P231),""))</f>
        <v>0</v>
      </c>
      <c r="T165" s="363">
        <f>IF(OR(ISERROR(Model!S231),ISERROR(Model!T231),Model!S231="",Model!T231=""),"",IF(T169&lt;&gt;"",-(Model!T231-Model!S231),""))</f>
        <v>0</v>
      </c>
      <c r="U165" s="363">
        <f>IF(OR(ISERROR(Model!T231),ISERROR(Model!U231),Model!T231="",Model!U231=""),"",IF(U169&lt;&gt;"",-(Model!U231-Model!T231),""))</f>
        <v>0</v>
      </c>
      <c r="V165" s="363">
        <f>IF(OR(ISERROR(Model!S231),ISERROR(Model!V231),Model!S231="",Model!V231=""),"",IF(V169&lt;&gt;"",-(Model!V231-Model!S231),""))</f>
        <v>0</v>
      </c>
      <c r="W165" s="363">
        <f>IF(OR(ISERROR(Model!V231),ISERROR(Model!W231),Model!V231="",Model!W231=""),"",IF(W169&lt;&gt;"",-(Model!W231-Model!V231),""))</f>
        <v>0</v>
      </c>
      <c r="X165" s="363">
        <f>IF(OR(ISERROR(Model!W231),ISERROR(Model!X231),Model!W231="",Model!X231=""),"",IF(X169&lt;&gt;"",-(Model!X231-Model!W231),""))</f>
        <v>0</v>
      </c>
      <c r="Y165" s="363">
        <f>IF(OR(ISERROR(Model!V231),ISERROR(Model!Y231),Model!V231="",Model!Y231=""),"",IF(Y169&lt;&gt;"",-(Model!Y231-Model!V231),""))</f>
        <v>0</v>
      </c>
      <c r="Z165" s="363">
        <f>IF(OR(ISERROR(Model!Y231),ISERROR(Model!Z231),Model!Y231="",Model!Z231=""),"",IF(Z169&lt;&gt;"",-(Model!Z231-Model!Y231),""))</f>
        <v>0</v>
      </c>
      <c r="AA165" s="363">
        <f>IF(OR(ISERROR(Model!Z231),ISERROR(Model!AA231),Model!Z231="",Model!AA231=""),"",IF(AA169&lt;&gt;"",-(Model!AA231-Model!Z231),""))</f>
        <v>0</v>
      </c>
      <c r="AB165" s="363">
        <f>IF(OR(ISERROR(Model!Y231),ISERROR(Model!AB231),Model!Y231="",Model!AB231=""),"",IF(AB169&lt;&gt;"",-(Model!AB231-Model!Y231),""))</f>
        <v>0</v>
      </c>
      <c r="AC165" s="363">
        <f>IF(OR(ISERROR(Model!AB231),ISERROR(Model!AC231),Model!AB231="",Model!AC231=""),"",IF(AC169&lt;&gt;"",-(Model!AC231-Model!AB231),""))</f>
        <v>0</v>
      </c>
      <c r="AD165" s="363">
        <f>IF(OR(ISERROR(Model!AC231),ISERROR(Model!AD231),Model!AC231="",Model!AD231=""),"",IF(AD169&lt;&gt;"",-(Model!AD231-Model!AC231),""))</f>
        <v>0</v>
      </c>
      <c r="AE165" s="363">
        <f>IF(OR(ISERROR(Model!AB231),ISERROR(Model!AE231),Model!AB231="",Model!AE231=""),"",IF(AE169&lt;&gt;"",-(Model!AE231-Model!AB231),""))</f>
        <v>0</v>
      </c>
      <c r="AF165" s="363">
        <f>IF(OR(ISERROR(Model!AE231),ISERROR(Model!AF231),Model!AE231="",Model!AF231=""),"",IF(AF169&lt;&gt;"",-(Model!AF231-Model!AE231),""))</f>
        <v>0</v>
      </c>
      <c r="AG165" s="363">
        <f>IF(OR(ISERROR(Model!AF231),ISERROR(Model!AG231),Model!AF231="",Model!AG231=""),"",IF(AG169&lt;&gt;"",-(Model!AG231-Model!AF231),""))</f>
        <v>0</v>
      </c>
      <c r="AH165" s="363">
        <f>IF(OR(ISERROR(Model!AE231),ISERROR(Model!AH231),Model!AE231="",Model!AH231=""),"",IF(AH169&lt;&gt;"",-(Model!AH231-Model!AE231),""))</f>
        <v>0</v>
      </c>
      <c r="AI165" s="363">
        <f>IF(OR(ISERROR(Model!AH231),ISERROR(Model!AI231),Model!AH231="",Model!AI231=""),"",IF(AI169&lt;&gt;"",-(Model!AI231-Model!AH231),""))</f>
        <v>-14.250999999999999</v>
      </c>
      <c r="AJ165" s="363">
        <f>IF(OR(ISERROR(Model!AI231),ISERROR(Model!AJ231),Model!AI231="",Model!AJ231=""),"",IF(AJ169&lt;&gt;"",-(Model!AJ231-Model!AI231),""))</f>
        <v>0.19399999999999906</v>
      </c>
      <c r="AK165" s="363">
        <f>IF(OR(ISERROR(Model!AH231),ISERROR(Model!AK231),Model!AH231="",Model!AK231=""),"",IF(AK169&lt;&gt;"",-(Model!AK231-Model!AH231),""))</f>
        <v>-14.057</v>
      </c>
      <c r="AL165" s="363">
        <f>IF(OR(ISERROR(Model!AK231),ISERROR(Model!AL231),Model!AK231="",Model!AL231=""),"",IF(AL169&lt;&gt;"",-(Model!AL231-Model!AK231),""))</f>
        <v>1.261000000000001</v>
      </c>
      <c r="AM165" s="363">
        <f>IF(OR(ISERROR(Model!AL231),ISERROR(Model!AM231),Model!AL231="",Model!AM231=""),"",IF(AM169&lt;&gt;"",-(Model!AM231-Model!AL231),""))</f>
        <v>1.0099999999999998</v>
      </c>
      <c r="AN165" s="363">
        <f>IF(OR(ISERROR(Model!AK231),ISERROR(Model!AN231),Model!AK231="",Model!AN231=""),"",IF(AN169&lt;&gt;"",-(Model!AN231-Model!AK231),""))</f>
        <v>2.2710000000000008</v>
      </c>
      <c r="AO165" s="363">
        <f>IF(OR(ISERROR(Model!AN231),ISERROR(Model!AO231),Model!AN231="",Model!AO231=""),"",IF(AO169&lt;&gt;"",-(Model!AO231-Model!AN231),""))</f>
        <v>0.89899999999999913</v>
      </c>
      <c r="AP165" s="363">
        <f>IF(OR(ISERROR(Model!AO231),ISERROR(Model!AP231),Model!AO231="",Model!AP231=""),"",IF(AP169&lt;&gt;"",-(Model!AP231-Model!AO231),""))</f>
        <v>-4.5949999999999989</v>
      </c>
      <c r="AQ165" s="363">
        <f>IF(OR(ISERROR(Model!AN231),ISERROR(Model!AQ231),Model!AN231="",Model!AQ231=""),"",IF(AQ169&lt;&gt;"",-(Model!AQ231-Model!AN231),""))</f>
        <v>-3.6959999999999997</v>
      </c>
      <c r="AR165" s="363">
        <f>IF(OR(ISERROR(Model!AQ231),ISERROR(Model!AR231),Model!AQ231="",Model!AR231=""),"",IF(AR169&lt;&gt;"",-(Model!AR231-Model!AQ231),""))</f>
        <v>-3.6020000000000003</v>
      </c>
      <c r="AS165" s="363">
        <f>IF(OR(ISERROR(Model!AR231),ISERROR(Model!AS231),Model!AR231="",Model!AS231=""),"",IF(AS169&lt;&gt;"",-(Model!AS231-Model!AR231),""))</f>
        <v>0.83599999999999852</v>
      </c>
      <c r="AT165" s="363">
        <f>IF(OR(ISERROR(Model!AQ231),ISERROR(Model!AT231),Model!AQ231="",Model!AT231=""),"",IF(AT169&lt;&gt;"",-(Model!AT231-Model!AQ231),""))</f>
        <v>-2.7660000000000018</v>
      </c>
      <c r="AU165" s="363">
        <f>IF(OR(ISERROR(Model!AT231),ISERROR(Model!AU231),Model!AT231="",Model!AU231=""),"",IF(AU169&lt;&gt;"",-(Model!AU231-Model!AT231),""))</f>
        <v>-2.7590000000000003</v>
      </c>
      <c r="AV165" s="363">
        <f>IF(OR(ISERROR(Model!AU231),ISERROR(Model!AV231),Model!AU231="",Model!AV231=""),"",IF(AV169&lt;&gt;"",-(Model!AV231-Model!AU231),""))</f>
        <v>3.9939999999999998</v>
      </c>
      <c r="AW165" s="363">
        <f>IF(OR(ISERROR(Model!AT231),ISERROR(Model!AW231),Model!AT231="",Model!AW231=""),"",IF(AW169&lt;&gt;"",-(Model!AW231-Model!AT231),""))</f>
        <v>1.2349999999999994</v>
      </c>
      <c r="AX165" s="363">
        <f>IF(OR(ISERROR(Model!AW231),ISERROR(Model!AX231),Model!AW231="",Model!AX231=""),"",IF(AX169&lt;&gt;"",-(Model!AX231-Model!AW231),""))</f>
        <v>-4.8189999999999991</v>
      </c>
      <c r="AY165" s="363">
        <f>IF(OR(ISERROR(Model!AX231),ISERROR(Model!AY231),Model!AX231="",Model!AY231=""),"",IF(AY169&lt;&gt;"",-(Model!AY231-Model!AX231),""))</f>
        <v>-9.9570000000000007</v>
      </c>
      <c r="AZ165" s="363">
        <f>IF(OR(ISERROR(Model!AW231),ISERROR(Model!AZ231),Model!AW231="",Model!AZ231=""),"",IF(AZ169&lt;&gt;"",-(Model!AZ231-Model!AW231),""))</f>
        <v>-14.776</v>
      </c>
      <c r="BA165" s="363">
        <f>IF(OR(ISERROR(Model!AZ231),ISERROR(Model!BA231),Model!AZ231="",Model!BA231=""),"",IF(BA169&lt;&gt;"",-(Model!BA231-Model!AZ231),""))</f>
        <v>-9.7860000000000014</v>
      </c>
      <c r="BB165" s="363">
        <f>IF(OR(ISERROR(Model!BA231),ISERROR(Model!BB231),Model!BA231="",Model!BB231=""),"",IF(BB169&lt;&gt;"",-(Model!BB231-Model!BA231),""))</f>
        <v>-0.93599999999999994</v>
      </c>
      <c r="BC165" s="363">
        <f>IF(OR(ISERROR(Model!AZ231),ISERROR(Model!BC231),Model!AZ231="",Model!BC231=""),"",IF(BC169&lt;&gt;"",-(Model!BC231-Model!AZ231),""))</f>
        <v>-10.722000000000001</v>
      </c>
      <c r="BD165" s="363">
        <f>IF(OR(ISERROR(Model!BC231),ISERROR(Model!BD231),Model!BC231="",Model!BD231=""),"",IF(BD169&lt;&gt;"",-(Model!BD231-Model!BC231),""))</f>
        <v>-10.311999999999998</v>
      </c>
      <c r="BE165" s="363">
        <f>IF(OR(ISERROR(Model!BD231),ISERROR(Model!BE231),Model!BD231="",Model!BE231=""),"",IF(BE169&lt;&gt;"",-(Model!BE231-Model!BD231),""))</f>
        <v>-16.461000000000006</v>
      </c>
      <c r="BF165" s="363">
        <f>IF(OR(ISERROR(Model!BC231),ISERROR(Model!BF231),Model!BC231="",Model!BF231=""),"",IF(BF169&lt;&gt;"",-(Model!BF231-Model!BC231),""))</f>
        <v>-26.773000000000003</v>
      </c>
      <c r="BG165" s="363">
        <f>IF(OR(ISERROR(Model!BF231),ISERROR(Model!BG231),Model!BF231="",Model!BG231=""),"",IF(BG169&lt;&gt;"",-(Model!BG231-Model!BF231),""))</f>
        <v>7.7980000000000089</v>
      </c>
      <c r="BH165" s="363">
        <f>IF(OR(ISERROR(Model!BG231),ISERROR(Model!BH231),Model!BG231="",Model!BH231=""),"",IF(BH169&lt;&gt;"",-(Model!BH231-Model!BG231),""))</f>
        <v>-17.092000000000006</v>
      </c>
      <c r="BI165" s="363">
        <f>IF(OR(ISERROR(Model!BF231),ISERROR(Model!BI231),Model!BF231="",Model!BI231=""),"",IF(BI169&lt;&gt;"",-(Model!BI231-Model!BF231),""))</f>
        <v>-9.2939999999999969</v>
      </c>
      <c r="BJ165" s="363">
        <f>IF(OR(ISERROR(Model!BI231),ISERROR(Model!BJ231),Model!BI231="",Model!BJ231=""),"",IF(BJ169&lt;&gt;"",-(Model!BJ231-Model!BI231),""))</f>
        <v>24.664000000000001</v>
      </c>
      <c r="BK165" s="363">
        <f>IF(OR(ISERROR(Model!BJ231),ISERROR(Model!BK231),Model!BJ231="",Model!BK231=""),"",IF(BK169&lt;&gt;"",-(Model!BK231-Model!BJ231),""))</f>
        <v>-12.742000000000004</v>
      </c>
      <c r="BL165" s="363">
        <f>IF(OR(ISERROR(Model!BI231),ISERROR(Model!BL231),Model!BI231="",Model!BL231=""),"",IF(BL169&lt;&gt;"",-(Model!BL231-Model!BI231),""))</f>
        <v>11.921999999999997</v>
      </c>
      <c r="BM165" s="363">
        <f>IF(OR(ISERROR(Model!BL231),ISERROR(Model!BM231),Model!BL231="",Model!BM231=""),"",IF(BM169&lt;&gt;"",-(Model!BM231-Model!BL231),""))</f>
        <v>-8.2689999999999912</v>
      </c>
      <c r="BN165" s="363">
        <f>IF(OR(ISERROR(Model!BM231),ISERROR(Model!BN231),Model!BM231="",Model!BN231=""),"",IF(BN169&lt;&gt;"",-(Model!BN231-Model!BM231),""))</f>
        <v>-16.448000000000008</v>
      </c>
      <c r="BO165" s="363">
        <f>IF(OR(ISERROR(Model!BL231),ISERROR(Model!BO231),Model!BL231="",Model!BO231=""),"",IF(BO169&lt;&gt;"",-(Model!BO231-Model!BL231),""))</f>
        <v>-24.716999999999999</v>
      </c>
      <c r="BP165" s="363">
        <f>IF(OR(ISERROR(Model!BO231),ISERROR(Model!BP231),Model!BO231="",Model!BP231=""),"",IF(BP169&lt;&gt;"",-(Model!BP231-Model!BO231),""))</f>
        <v>-12.636999999999986</v>
      </c>
      <c r="BQ165" s="363">
        <f>IF(OR(ISERROR(Model!BP231),ISERROR(Model!BQ231),Model!BP231="",Model!BQ231=""),"",IF(BQ169&lt;&gt;"",-(Model!BQ231-Model!BP231),""))</f>
        <v>-5.3780000000000143</v>
      </c>
      <c r="BR165" s="363">
        <f>IF(OR(ISERROR(Model!BO231),ISERROR(Model!BR231),Model!BO231="",Model!BR231=""),"",IF(BR169&lt;&gt;"",-(Model!BR231-Model!BO231),""))</f>
        <v>-18.015000000000001</v>
      </c>
      <c r="BS165" s="363">
        <f>IF(OR(ISERROR(Model!BR231),ISERROR(Model!BS231),Model!BR231="",Model!BS231=""),"",IF(BS169&lt;&gt;"",-(Model!BS231-Model!BR231),""))</f>
        <v>-2.8469999999999942</v>
      </c>
      <c r="BT165" s="363">
        <f>IF(OR(ISERROR(Model!BS231),ISERROR(Model!BT231),Model!BS231="",Model!BT231=""),"",IF(BT169&lt;&gt;"",-(Model!BT231-Model!BS231),""))</f>
        <v>-30.840999999999994</v>
      </c>
      <c r="BU165" s="363">
        <f>IF(OR(ISERROR(Model!BR231),ISERROR(Model!BU231),Model!BR231="",Model!BU231=""),"",IF(BU169&lt;&gt;"",-(Model!BU231-Model!BR231),""))</f>
        <v>-33.687999999999988</v>
      </c>
      <c r="BV165" s="363">
        <f>IF(OR(ISERROR(Model!BU231),ISERROR(Model!BV231),Model!BU231="",Model!BV231=""),"",IF(BV169&lt;&gt;"",-(Model!BV231-Model!BU231),""))</f>
        <v>-14.994</v>
      </c>
      <c r="BW165" s="363">
        <f>IF(OR(ISERROR(Model!BV231),ISERROR(Model!BW231),Model!BV231="",Model!BW231=""),"",IF(BW169&lt;&gt;"",-(Model!BW231-Model!BV231),""))</f>
        <v>-15.195999999999998</v>
      </c>
      <c r="BX165" s="363">
        <f>IF(OR(ISERROR(Model!BU231),ISERROR(Model!BX231),Model!BU231="",Model!BX231=""),"",IF(BX169&lt;&gt;"",-(Model!BX231-Model!BU231),""))</f>
        <v>-30.189999999999998</v>
      </c>
      <c r="BY165" s="363">
        <f>IF(OR(ISERROR(Model!BX231),ISERROR(Model!BY231),Model!BX231="",Model!BY231=""),"",IF(BY169&lt;&gt;"",-(Model!BY231-Model!BX231),""))</f>
        <v>-36.307000000000016</v>
      </c>
      <c r="BZ165" s="363">
        <f>IF(OR(ISERROR(Model!BY231),ISERROR(Model!BZ231),Model!BY231="",Model!BZ231=""),"",IF(BZ169&lt;&gt;"",-(Model!BZ231-Model!BY231),""))</f>
        <v>36.317000000000007</v>
      </c>
      <c r="CA165" s="363">
        <f>IF(OR(ISERROR(Model!BX231),ISERROR(Model!CA231),Model!BX231="",Model!CA231=""),"",IF(CA169&lt;&gt;"",-(Model!CA231-Model!BX231),""))</f>
        <v>9.9999999999909051E-3</v>
      </c>
      <c r="CB165" s="363">
        <f>IF(OR(ISERROR(Model!CA231),ISERROR(Model!CB231),Model!CA231="",Model!CB231=""),"",IF(CB169&lt;&gt;"",-(Model!CB231-Model!CA231),""))</f>
        <v>-27.25800000000001</v>
      </c>
      <c r="CC165" s="363">
        <f>IF(OR(ISERROR(Model!CB231),ISERROR(Model!CC231),Model!CB231="",Model!CC231=""),"",IF(CC169&lt;&gt;"",-(Model!CC231-Model!CB231),""))</f>
        <v>-10.175999999999988</v>
      </c>
      <c r="CD165" s="363">
        <f>IF(OR(ISERROR(Model!CA231),ISERROR(Model!CD231),Model!CA231="",Model!CD231=""),"",IF(CD169&lt;&gt;"",-(Model!CD231-Model!CA231),""))</f>
        <v>-37.433999999999997</v>
      </c>
      <c r="CE165" s="363">
        <f>IF(OR(ISERROR(Model!CD231),ISERROR(Model!CE231),Model!CD231="",Model!CE231=""),"",IF(CE169&lt;&gt;"",-(Model!CE231-Model!CD231),""))</f>
        <v>-35.390999999999991</v>
      </c>
      <c r="CF165" s="363">
        <f>IF(OR(ISERROR(Model!CE231),ISERROR(Model!CF231),Model!CE231="",Model!CF231=""),"",IF(CF169&lt;&gt;"",-(Model!CF231-Model!CE231),""))</f>
        <v>7.8049999999999784</v>
      </c>
      <c r="CG165" s="363">
        <f>IF(OR(ISERROR(Model!CD231),ISERROR(Model!CG231),Model!CD231="",Model!CG231=""),"",IF(CG169&lt;&gt;"",-(Model!CG231-Model!CD231),""))</f>
        <v>-27.586000000000013</v>
      </c>
      <c r="CH165" s="363">
        <f>IF(OR(ISERROR(Model!CG231),ISERROR(Model!CH231),Model!CG231="",Model!CH231=""),"",IF(CH169&lt;&gt;"",-(Model!CH231-Model!CG231),""))</f>
        <v>48.193000000000012</v>
      </c>
      <c r="CI165" s="363">
        <f>IF(OR(ISERROR(Model!CH231),ISERROR(Model!CI231),Model!CH231="",Model!CI231=""),"",IF(CI169&lt;&gt;"",-(Model!CI231-Model!CH231),""))</f>
        <v>0.99799999999999045</v>
      </c>
      <c r="CJ165" s="363">
        <f>IF(OR(ISERROR(Model!CG231),ISERROR(Model!CJ231),Model!CG231="",Model!CJ231=""),"",IF(CJ169&lt;&gt;"",-(Model!CJ231-Model!CG231),""))</f>
        <v>49.191000000000003</v>
      </c>
      <c r="CK165" s="363">
        <f>IF(OR(ISERROR(Model!CJ231),ISERROR(Model!CK231),Model!CJ231="",Model!CK231=""),"",IF(CK169&lt;&gt;"",-(Model!CK231-Model!CJ231),""))</f>
        <v>-10.961999999999989</v>
      </c>
      <c r="CL165" s="363">
        <f>IF(OR(ISERROR(Model!CK231),ISERROR(Model!CL231),Model!CK231="",Model!CL231=""),"",IF(CL169&lt;&gt;"",-(Model!CL231-Model!CK231),""))</f>
        <v>-3.7009999999999934</v>
      </c>
      <c r="CM165" s="363">
        <f>IF(OR(ISERROR(Model!CJ231),ISERROR(Model!CM231),Model!CJ231="",Model!CM231=""),"",IF(CM169&lt;&gt;"",-(Model!CM231-Model!CJ231),""))</f>
        <v>-14.662999999999982</v>
      </c>
      <c r="CN165" s="363">
        <f>IF(OR(ISERROR(Model!CM231),ISERROR(Model!CN231),Model!CM231="",Model!CN231=""),"",IF(CN169&lt;&gt;"",-(Model!CN231-Model!CM231),""))</f>
        <v>3.0149999999999864</v>
      </c>
      <c r="CO165" s="363">
        <f>IF(OR(ISERROR(Model!CN231),ISERROR(Model!CO231),Model!CN231="",Model!CO231=""),"",IF(CO169&lt;&gt;"",-(Model!CO231-Model!CN231),""))</f>
        <v>-14.219999999999999</v>
      </c>
      <c r="CP165" s="363">
        <f>IF(OR(ISERROR(Model!CM231),ISERROR(Model!CP231),Model!CM231="",Model!CP231=""),"",IF(CP169&lt;&gt;"",-(Model!CP231-Model!CM231),""))</f>
        <v>-11.205000000000013</v>
      </c>
      <c r="CQ165" s="363">
        <f>IF(OR(ISERROR(Model!CP231),ISERROR(Model!CQ231),Model!CP231="",Model!CQ231=""),"",IF(CQ169&lt;&gt;"",-(Model!CQ231-Model!CP231),""))</f>
        <v>-12.376000000000005</v>
      </c>
      <c r="CR165" s="363">
        <f>IF(OR(ISERROR(Model!CQ231),ISERROR(Model!CR231),Model!CQ231="",Model!CR231=""),"",IF(CR169&lt;&gt;"",-(Model!CR231-Model!CQ231),""))</f>
        <v>-22.414999999999992</v>
      </c>
      <c r="CS165" s="363">
        <f>IF(OR(ISERROR(Model!CP231),ISERROR(Model!CS231),Model!CP231="",Model!CS231=""),"",IF(CS169&lt;&gt;"",-(Model!CS231-Model!CP231),""))</f>
        <v>-34.790999999999997</v>
      </c>
      <c r="CT165" s="363">
        <f>IF(OR(ISERROR(Model!CS231),ISERROR(Model!CT231),Model!CS231="",Model!CT231=""),"",IF(CT169&lt;&gt;"",-(Model!CT231-Model!CS231),""))</f>
        <v>-21.989000000000004</v>
      </c>
      <c r="CU165" s="363">
        <f>IF(OR(ISERROR(Model!CT231),ISERROR(Model!CU231),Model!CT231="",Model!CU231=""),"",IF(CU169&lt;&gt;"",-(Model!CU231-Model!CT231),""))</f>
        <v>-10.192000000000007</v>
      </c>
      <c r="CV165" s="363">
        <f>IF(OR(ISERROR(Model!CS231),ISERROR(Model!CV231),Model!CS231="",Model!CV231=""),"",IF(CV169&lt;&gt;"",-(Model!CV231-Model!CS231),""))</f>
        <v>-32.181000000000012</v>
      </c>
      <c r="CW165" s="363">
        <f>IF(OR(ISERROR(Model!CV231),ISERROR(Model!CW231),Model!CV231="",Model!CW231=""),"",IF(CW169&lt;&gt;"",-(Model!CW231-Model!CV231),""))</f>
        <v>-15.973000000000013</v>
      </c>
      <c r="CX165" s="363">
        <f>IF(OR(ISERROR(Model!CW231),ISERROR(Model!CX231),Model!CW231="",Model!CX231=""),"",IF(CX169&lt;&gt;"",-(Model!CX231-Model!CW231),""))</f>
        <v>5.7590000000000146</v>
      </c>
      <c r="CY165" s="363">
        <f>IF(OR(ISERROR(Model!CV231),ISERROR(Model!CY231),Model!CV231="",Model!CY231=""),"",IF(CY169&lt;&gt;"",-(Model!CY231-Model!CV231),""))</f>
        <v>-10.213999999999999</v>
      </c>
      <c r="CZ165" s="363">
        <f>IF(OR(ISERROR(Model!CY231),ISERROR(Model!CZ231),Model!CY231="",Model!CZ231=""),"",IF(CZ169&lt;&gt;"",-(Model!CZ231-Model!CY231),""))</f>
        <v>3.4390000000000214</v>
      </c>
      <c r="DA165" s="363">
        <f>IF(OR(ISERROR(Model!CZ231),ISERROR(Model!DA231),Model!CZ231="",Model!DA231=""),"",IF(DA169&lt;&gt;"",-(Model!DA231-Model!CZ231),""))</f>
        <v>-28</v>
      </c>
      <c r="DB165" s="363">
        <f>IF(OR(ISERROR(Model!CY231),ISERROR(Model!DB231),Model!CY231="",Model!DB231=""),"",IF(DB169&lt;&gt;"",-(Model!DB231-Model!CY231),""))</f>
        <v>-24.560999999999979</v>
      </c>
      <c r="DC165" s="363">
        <f>IF(OR(ISERROR(Model!DB231),ISERROR(Model!DC231),Model!DB231="",Model!DC231=""),"",IF(DC169&lt;&gt;"",-(Model!DC231-Model!DB231),""))</f>
        <v>22.899999999999977</v>
      </c>
      <c r="DD165" s="363">
        <f>IF(OR(ISERROR(Model!DC231),ISERROR(Model!DD231),Model!DC231="",Model!DD231=""),"",IF(DD169&lt;&gt;"",-(Model!DD231-Model!DC231),""))</f>
        <v>-25.899999999999977</v>
      </c>
      <c r="DE165" s="363">
        <f>IF(OR(ISERROR(Model!DB231),ISERROR(Model!DE231),Model!DB231="",Model!DE231=""),"",IF(DE169&lt;&gt;"",-(Model!DE231-Model!DB231),""))</f>
        <v>-3</v>
      </c>
      <c r="DF165" s="363">
        <f>IF(OR(ISERROR(Model!DE231),ISERROR(Model!DF231),Model!DE231="",Model!DF231=""),"",IF(DF169&lt;&gt;"",-(Model!DF231-Model!DE231),""))</f>
        <v>2.6999999999999886</v>
      </c>
      <c r="DG165" s="363">
        <f>IF(OR(ISERROR(Model!DF231),ISERROR(Model!DG231),Model!DF231="",Model!DG231=""),"",IF(DG169&lt;&gt;"",-(Model!DG231-Model!DF231),""))</f>
        <v>81.5</v>
      </c>
      <c r="DH165" s="363">
        <f>IF(OR(ISERROR(Model!DE231),ISERROR(Model!DH231),Model!DE231="",Model!DH231=""),"",IF(DH169&lt;&gt;"",-(Model!DH231-Model!DE231),""))</f>
        <v>84.199999999999989</v>
      </c>
      <c r="DI165" s="363">
        <f>IF(OR(ISERROR(Model!DH231),ISERROR(Model!DI231),Model!DH231="",Model!DI231=""),"",IF(DI169&lt;&gt;"",-(Model!DI231-Model!DH231),""))</f>
        <v>-7.0999999999999943</v>
      </c>
      <c r="DJ165" s="363">
        <f>IF(OR(ISERROR(Model!DI231),ISERROR(Model!DJ231),Model!DI231="",Model!DJ231=""),"",IF(DJ169&lt;&gt;"",-(Model!DJ231-Model!DI231),""))</f>
        <v>-53.700000000000017</v>
      </c>
      <c r="DK165" s="1210">
        <f>IF(OR(ISERROR(Model!DH231),ISERROR(Model!DK231),Model!DH231="",Model!DK231=""),"",IF(DK169&lt;&gt;"",-(Model!DK231-Model!DH231),""))</f>
        <v>-60.800000000000011</v>
      </c>
      <c r="DL165" s="363">
        <f>IF(OR(ISERROR(Model!DK231),ISERROR(Model!DL231),Model!DK231="",Model!DL231=""),"",IF(DL169&lt;&gt;"",-(Model!DL231-Model!DK231),""))</f>
        <v>-21.399999999999977</v>
      </c>
      <c r="DM165" s="363">
        <f>IF(OR(ISERROR(Model!DL231),ISERROR(Model!DM231),Model!DL231="",Model!DM231=""),"",IF(DM169&lt;&gt;"",-(Model!DM231-Model!DL231),""))</f>
        <v>-30.800000000000011</v>
      </c>
      <c r="DN165" s="1210">
        <f>IF(OR(ISERROR(Model!DK231),ISERROR(Model!DN231),Model!DK231="",Model!DN231=""),"",IF(DN169&lt;&gt;"",-(Model!DN231-Model!DK231),""))</f>
        <v>-52.199999999999989</v>
      </c>
      <c r="DO165" s="363">
        <f>IF(OR(ISERROR(Model!DN231),ISERROR(Model!DO231),Model!DN231="",Model!DO231=""),"",IF(DO169&lt;&gt;"",-(Model!DO231-Model!DN231),""))</f>
        <v>-42.399999999999977</v>
      </c>
      <c r="DP165" s="363">
        <f>IF(OR(ISERROR(Model!DO231),ISERROR(Model!DP231),Model!DO231="",Model!DP231=""),"",IF(DP169&lt;&gt;"",-(Model!DP231-Model!DO231),""))</f>
        <v>-46.600000000000023</v>
      </c>
      <c r="DQ165" s="1210">
        <f>IF(OR(ISERROR(Model!DN231),ISERROR(Model!DQ231),Model!DN231="",Model!DQ231=""),"",IF(DQ169&lt;&gt;"",-(Model!DQ231-Model!DN231),""))</f>
        <v>-89</v>
      </c>
      <c r="DR165" s="363">
        <f>IF(OR(ISERROR(Model!DQ231),ISERROR(Model!DR231),Model!DQ231="",Model!DR231=""),"",IF(DR169&lt;&gt;"",-(Model!DR231-Model!DQ231),""))</f>
        <v>-8.3000000000000114</v>
      </c>
      <c r="DS165" s="363">
        <f>IF(OR(ISERROR(Model!DR231),ISERROR(Model!DS231),Model!DR231="",Model!DS231=""),"",IF(DS169&lt;&gt;"",-(Model!DS231-Model!DR231),""))</f>
        <v>-44.899999999999977</v>
      </c>
      <c r="DT165" s="1210">
        <f>IF(OR(ISERROR(Model!DQ231),ISERROR(Model!DT231),Model!DQ231="",Model!DT231=""),"",IF(DT169&lt;&gt;"",-(Model!DT231-Model!DQ231),""))</f>
        <v>-53.199999999999989</v>
      </c>
      <c r="DU165" s="363">
        <f>IF(OR(ISERROR(Model!DT231),ISERROR(Model!DU231),Model!DT231="",Model!DU231=""),"",IF(DU169&lt;&gt;"",-(Model!DU231-Model!DT231),""))</f>
        <v>-10.900000000000034</v>
      </c>
      <c r="DV165" s="363">
        <f>IF(OR(ISERROR(Model!DU231),ISERROR(Model!DV231),Model!DU231="",Model!DV231=""),"",IF(DV169&lt;&gt;"",-(Model!DV231-Model!DU231),""))</f>
        <v>-84.299999999999955</v>
      </c>
      <c r="DW165" s="1210">
        <f>IF(OR(ISERROR(Model!DT231),ISERROR(Model!DW231),Model!DT231="",Model!DW231=""),"",IF(DW169&lt;&gt;"",-(Model!DW231-Model!DT231),""))</f>
        <v>-95.199999999999989</v>
      </c>
      <c r="DX165" s="363">
        <f>IF(OR(ISERROR(Model!DW231),ISERROR(Model!DX231),Model!DW231="",Model!DX231=""),"",IF(DX169&lt;&gt;"",-(Model!DX231-Model!DW231),""))</f>
        <v>36.199999999999932</v>
      </c>
      <c r="DY165" s="363">
        <f>IF(OR(ISERROR(Model!DX231),ISERROR(Model!DY231),Model!DX231="",Model!DY231=""),"",IF(DY169&lt;&gt;"",-(Model!DY231-Model!DX231),""))</f>
        <v>-41.248672029456088</v>
      </c>
      <c r="DZ165" s="1210">
        <f>IF(OR(ISERROR(Model!DW231),ISERROR(Model!DZ231),Model!DW231="",Model!DZ231=""),"",IF(DZ169&lt;&gt;"",-(Model!DZ231-Model!DW231),""))</f>
        <v>-5.0486720294561565</v>
      </c>
      <c r="EA165" s="363">
        <f>IF(OR(ISERROR(Model!DZ231),ISERROR(Model!EA231),Model!DZ231="",Model!EA231=""),"",IF(EA169&lt;&gt;"",-(Model!EA231-Model!DZ231),""))</f>
        <v>-21.557908107879825</v>
      </c>
      <c r="EB165" s="363">
        <f>IF(OR(ISERROR(Model!EA231),ISERROR(Model!EB231),Model!EA231="",Model!EB231=""),"",IF(EB169&lt;&gt;"",-(Model!EB231-Model!EA231),""))</f>
        <v>-9.4354827661178433</v>
      </c>
      <c r="EC165" s="1210">
        <f>IF(OR(ISERROR(Model!DZ231),ISERROR(Model!EC231),Model!DZ231="",Model!EC231=""),"",IF(EC169&lt;&gt;"",-(Model!EC231-Model!DZ231),""))</f>
        <v>-30.993390873997669</v>
      </c>
      <c r="ED165" s="363">
        <f>IF(OR(ISERROR(Model!EC231),ISERROR(Model!ED231),Model!EC231="",Model!ED231=""),"",IF(ED169&lt;&gt;"",-(Model!ED231-Model!EC231),""))</f>
        <v>-26.836447588865099</v>
      </c>
      <c r="EE165" s="363">
        <f>IF(OR(ISERROR(Model!ED231),ISERROR(Model!EE231),Model!ED231="",Model!EE231=""),"",IF(EE169&lt;&gt;"",-(Model!EE231-Model!ED231),""))</f>
        <v>-10.034275373420201</v>
      </c>
      <c r="EF165" s="1210">
        <f>IF(OR(ISERROR(Model!EC231),ISERROR(Model!EF231),Model!EC231="",Model!EF231=""),"",IF(EF169&lt;&gt;"",-(Model!EF231-Model!EC231),""))</f>
        <v>-36.870722962285299</v>
      </c>
      <c r="EG165" s="363">
        <f>IF(OR(ISERROR(Model!EF231),ISERROR(Model!EG231),Model!EF231="",Model!EG231=""),"",IF(EG169&lt;&gt;"",-(Model!EG231-Model!EF231),""))</f>
        <v>-31.910009723524922</v>
      </c>
      <c r="EH165" s="363">
        <f>IF(OR(ISERROR(Model!EG231),ISERROR(Model!EH231),Model!EG231="",Model!EH231=""),"",IF(EH169&lt;&gt;"",-(Model!EH231-Model!EG231),""))</f>
        <v>-10.683002944074019</v>
      </c>
      <c r="EI165" s="1210">
        <f>IF(OR(ISERROR(Model!EF231),ISERROR(Model!EI231),Model!EF231="",Model!EI231=""),"",IF(EI169&lt;&gt;"",-(Model!EI231-Model!EF231),""))</f>
        <v>-42.593012667598941</v>
      </c>
      <c r="EJ165" s="363">
        <f>IF(OR(ISERROR(Model!EI231),ISERROR(Model!EJ231),Model!EI231="",Model!EJ231=""),"",IF(EJ169&lt;&gt;"",-(Model!EJ231-Model!EI231),""))</f>
        <v>-33.556147535333707</v>
      </c>
      <c r="EK165" s="363">
        <f>IF(OR(ISERROR(Model!EJ231),ISERROR(Model!EK231),Model!EJ231="",Model!EK231=""),"",IF(EK169&lt;&gt;"",-(Model!EK231-Model!EJ231),""))</f>
        <v>-11.367223846920524</v>
      </c>
      <c r="EL165" s="1210">
        <f>IF(OR(ISERROR(Model!EI231),ISERROR(Model!EL231),Model!EI231="",Model!EL231=""),"",IF(EL169&lt;&gt;"",-(Model!EL231-Model!EI231),""))</f>
        <v>-44.923371382254231</v>
      </c>
      <c r="EM165" s="363">
        <f>IF(OR(ISERROR(Model!EL231),ISERROR(Model!EM231),Model!EL231="",Model!EM231=""),"",IF(EM169&lt;&gt;"",-(Model!EM231-Model!EL231),""))</f>
        <v>-35.240119074507447</v>
      </c>
      <c r="EN165" s="363">
        <f>IF(OR(ISERROR(Model!EM231),ISERROR(Model!EN231),Model!EM231="",Model!EN231=""),"",IF(EN169&lt;&gt;"",-(Model!EN231-Model!EM231),""))</f>
        <v>-12.088072188432648</v>
      </c>
      <c r="EO165" s="1210">
        <f>IF(OR(ISERROR(Model!EL231),ISERROR(Model!EO231),Model!EL231="",Model!EO231=""),"",IF(EO169&lt;&gt;"",-(Model!EO231-Model!EL231),""))</f>
        <v>-47.328191262940095</v>
      </c>
      <c r="EP165" s="363">
        <f>IF(OR(ISERROR(Model!EO231),ISERROR(Model!EP231),Model!EO231="",Model!EP231=""),"",IF(EP169&lt;&gt;"",-(Model!EP231-Model!EO231),""))</f>
        <v>-36.955400695696085</v>
      </c>
      <c r="EQ165" s="363">
        <f>IF(OR(ISERROR(Model!EP231),ISERROR(Model!EQ231),Model!EP231="",Model!EQ231=""),"",IF(EQ169&lt;&gt;"",-(Model!EQ231-Model!EP231),""))</f>
        <v>-12.846598718256928</v>
      </c>
      <c r="ER165" s="1210">
        <f>IF(OR(ISERROR(Model!EO231),ISERROR(Model!ER231),Model!EO231="",Model!ER231=""),"",IF(ER169&lt;&gt;"",-(Model!ER231-Model!EO231),""))</f>
        <v>-49.801999413953013</v>
      </c>
      <c r="ES165" s="363">
        <f>IF(OR(ISERROR(Model!ER231),ISERROR(Model!ES231),Model!ER231="",Model!ES231=""),"",IF(ES169&lt;&gt;"",-(Model!ES231-Model!ER231),""))</f>
        <v>-38.693988044195407</v>
      </c>
      <c r="ET165" s="363">
        <f>IF(OR(ISERROR(Model!ES231),ISERROR(Model!ET231),Model!ES231="",Model!ET231=""),"",IF(ET169&lt;&gt;"",-(Model!ET231-Model!ES231),""))</f>
        <v>-13.643746638722973</v>
      </c>
      <c r="EU165" s="1210">
        <f>IF(OR(ISERROR(Model!ER231),ISERROR(Model!EU231),Model!ER231="",Model!EU231=""),"",IF(EU169&lt;&gt;"",-(Model!EU231-Model!ER231),""))</f>
        <v>-52.337734682918381</v>
      </c>
      <c r="EV165" s="363">
        <f>IF(OR(ISERROR(Model!EU231),ISERROR(Model!EV231),Model!EU231="",Model!EV231=""),"",IF(EV169&lt;&gt;"",-(Model!EV231-Model!EU231),""))</f>
        <v>-40.446182369789312</v>
      </c>
      <c r="EW165" s="363">
        <f>IF(OR(ISERROR(Model!EV231),ISERROR(Model!EW231),Model!EV231="",Model!EW231=""),"",IF(EW169&lt;&gt;"",-(Model!EW231-Model!EV231),""))</f>
        <v>-14.480323735255183</v>
      </c>
      <c r="EX165" s="1210">
        <f>IF(OR(ISERROR(Model!EU231),ISERROR(Model!EX231),Model!EU231="",Model!EX231=""),"",IF(EX169&lt;&gt;"",-(Model!EX231-Model!EU231),""))</f>
        <v>-54.926506105044496</v>
      </c>
      <c r="EY165" s="363">
        <f>IF(OR(ISERROR(Model!EX231),ISERROR(Model!EY231),Model!EX231="",Model!EY231=""),"",IF(EY169&lt;&gt;"",-(Model!EY231-Model!EX231),""))</f>
        <v>-42.200350370832098</v>
      </c>
      <c r="EZ165" s="363">
        <f>IF(OR(ISERROR(Model!EY231),ISERROR(Model!EZ231),Model!EY231="",Model!EZ231=""),"",IF(EZ169&lt;&gt;"",-(Model!EZ231-Model!EY231),""))</f>
        <v>-15.356970361389699</v>
      </c>
      <c r="FA165" s="363">
        <f>IF(OR(ISERROR(Model!EX231),ISERROR(Model!FA231),Model!EX231="",Model!FA231=""),"",IF(FA169&lt;&gt;"",-(Model!FA231-Model!EX231),""))</f>
        <v>-57.557320732221797</v>
      </c>
    </row>
    <row r="166" spans="1:157" ht="13.35" customHeight="1">
      <c r="A166" s="5"/>
      <c r="B166" s="5" t="s">
        <v>741</v>
      </c>
      <c r="C166" s="5"/>
      <c r="D166" s="5"/>
      <c r="E166" s="363"/>
      <c r="F166" s="363"/>
      <c r="G166" s="363"/>
      <c r="H166" s="363">
        <f>IF(OR(ISERROR(Model!G236),ISERROR(Model!H236),Model!G236="",Model!H236=""),"",IF(H170&lt;&gt;"",-(Model!H236-Model!G236),""))</f>
        <v>0</v>
      </c>
      <c r="I166" s="363">
        <f>IF(OR(ISERROR(Model!H236),ISERROR(Model!I236),Model!H236="",Model!I236=""),"",IF(I170&lt;&gt;"",-(Model!I236-Model!H236),""))</f>
        <v>0</v>
      </c>
      <c r="J166" s="363">
        <f>IF(OR(ISERROR(Model!G236),ISERROR(Model!J236),Model!G236="",Model!J236=""),"",IF(J170&lt;&gt;"",-(Model!J236-Model!G236),""))</f>
        <v>0</v>
      </c>
      <c r="K166" s="363">
        <f>IF(OR(ISERROR(Model!J236),ISERROR(Model!K236),Model!J236="",Model!K236=""),"",IF(K170&lt;&gt;"",-(Model!K236-Model!J236),""))</f>
        <v>0</v>
      </c>
      <c r="L166" s="363">
        <f>IF(OR(ISERROR(Model!K236),ISERROR(Model!L236),Model!K236="",Model!L236=""),"",IF(L170&lt;&gt;"",-(Model!L236-Model!K236),""))</f>
        <v>0</v>
      </c>
      <c r="M166" s="363">
        <f>IF(OR(ISERROR(Model!J236),ISERROR(Model!M236),Model!J236="",Model!M236=""),"",IF(M170&lt;&gt;"",-(Model!M236-Model!J236),""))</f>
        <v>0</v>
      </c>
      <c r="N166" s="363">
        <f>IF(OR(ISERROR(Model!M236),ISERROR(Model!N236),Model!M236="",Model!N236=""),"",IF(N170&lt;&gt;"",-(Model!N236-Model!M236),""))</f>
        <v>0</v>
      </c>
      <c r="O166" s="363">
        <f>IF(OR(ISERROR(Model!N236),ISERROR(Model!O236),Model!N236="",Model!O236=""),"",IF(O170&lt;&gt;"",-(Model!O236-Model!N236),""))</f>
        <v>0</v>
      </c>
      <c r="P166" s="363">
        <f>IF(OR(ISERROR(Model!M236),ISERROR(Model!P236),Model!M236="",Model!P236=""),"",IF(P170&lt;&gt;"",-(Model!P236-Model!M236),""))</f>
        <v>0</v>
      </c>
      <c r="Q166" s="363">
        <f>IF(OR(ISERROR(Model!P236),ISERROR(Model!Q236),Model!P236="",Model!Q236=""),"",IF(Q170&lt;&gt;"",-(Model!Q236-Model!P236),""))</f>
        <v>0</v>
      </c>
      <c r="R166" s="363">
        <f>IF(OR(ISERROR(Model!Q236),ISERROR(Model!R236),Model!Q236="",Model!R236=""),"",IF(R170&lt;&gt;"",-(Model!R236-Model!Q236),""))</f>
        <v>0</v>
      </c>
      <c r="S166" s="363">
        <f>IF(OR(ISERROR(Model!P236),ISERROR(Model!S236),Model!P236="",Model!S236=""),"",IF(S170&lt;&gt;"",-(Model!S236-Model!P236),""))</f>
        <v>0</v>
      </c>
      <c r="T166" s="363">
        <f>IF(OR(ISERROR(Model!S236),ISERROR(Model!T236),Model!S236="",Model!T236=""),"",IF(T170&lt;&gt;"",-(Model!T236-Model!S236),""))</f>
        <v>0</v>
      </c>
      <c r="U166" s="363">
        <f>IF(OR(ISERROR(Model!T236),ISERROR(Model!U236),Model!T236="",Model!U236=""),"",IF(U170&lt;&gt;"",-(Model!U236-Model!T236),""))</f>
        <v>0</v>
      </c>
      <c r="V166" s="363">
        <f>IF(OR(ISERROR(Model!S236),ISERROR(Model!V236),Model!S236="",Model!V236=""),"",IF(V170&lt;&gt;"",-(Model!V236-Model!S236),""))</f>
        <v>0</v>
      </c>
      <c r="W166" s="363">
        <f>IF(OR(ISERROR(Model!V236),ISERROR(Model!W236),Model!V236="",Model!W236=""),"",IF(W170&lt;&gt;"",-(Model!W236-Model!V236),""))</f>
        <v>0</v>
      </c>
      <c r="X166" s="363">
        <f>IF(OR(ISERROR(Model!W236),ISERROR(Model!X236),Model!W236="",Model!X236=""),"",IF(X170&lt;&gt;"",-(Model!X236-Model!W236),""))</f>
        <v>0</v>
      </c>
      <c r="Y166" s="363">
        <f>IF(OR(ISERROR(Model!V236),ISERROR(Model!Y236),Model!V236="",Model!Y236=""),"",IF(Y170&lt;&gt;"",-(Model!Y236-Model!V236),""))</f>
        <v>0</v>
      </c>
      <c r="Z166" s="363">
        <f>IF(OR(ISERROR(Model!Y236),ISERROR(Model!Z236),Model!Y236="",Model!Z236=""),"",IF(Z170&lt;&gt;"",-(Model!Z236-Model!Y236),""))</f>
        <v>0</v>
      </c>
      <c r="AA166" s="363">
        <f>IF(OR(ISERROR(Model!Z236),ISERROR(Model!AA236),Model!Z236="",Model!AA236=""),"",IF(AA170&lt;&gt;"",-(Model!AA236-Model!Z236),""))</f>
        <v>0</v>
      </c>
      <c r="AB166" s="363">
        <f>IF(OR(ISERROR(Model!Y236),ISERROR(Model!AB236),Model!Y236="",Model!AB236=""),"",IF(AB170&lt;&gt;"",-(Model!AB236-Model!Y236),""))</f>
        <v>0</v>
      </c>
      <c r="AC166" s="363">
        <f>IF(OR(ISERROR(Model!AB236),ISERROR(Model!AC236),Model!AB236="",Model!AC236=""),"",IF(AC170&lt;&gt;"",-(Model!AC236-Model!AB236),""))</f>
        <v>0</v>
      </c>
      <c r="AD166" s="363">
        <f>IF(OR(ISERROR(Model!AC236),ISERROR(Model!AD236),Model!AC236="",Model!AD236=""),"",IF(AD170&lt;&gt;"",-(Model!AD236-Model!AC236),""))</f>
        <v>0</v>
      </c>
      <c r="AE166" s="363">
        <f>IF(OR(ISERROR(Model!AB236),ISERROR(Model!AE236),Model!AB236="",Model!AE236=""),"",IF(AE170&lt;&gt;"",-(Model!AE236-Model!AB236),""))</f>
        <v>0</v>
      </c>
      <c r="AF166" s="363">
        <f>IF(OR(ISERROR(Model!AE236),ISERROR(Model!AF236),Model!AE236="",Model!AF236=""),"",IF(AF170&lt;&gt;"",-(Model!AF236-Model!AE236),""))</f>
        <v>0</v>
      </c>
      <c r="AG166" s="363">
        <f>IF(OR(ISERROR(Model!AF236),ISERROR(Model!AG236),Model!AF236="",Model!AG236=""),"",IF(AG170&lt;&gt;"",-(Model!AG236-Model!AF236),""))</f>
        <v>0</v>
      </c>
      <c r="AH166" s="363">
        <f>IF(OR(ISERROR(Model!AE236),ISERROR(Model!AH236),Model!AE236="",Model!AH236=""),"",IF(AH170&lt;&gt;"",-(Model!AH236-Model!AE236),""))</f>
        <v>0</v>
      </c>
      <c r="AI166" s="363">
        <f>IF(OR(ISERROR(Model!AH236),ISERROR(Model!AI236),Model!AH236="",Model!AI236=""),"",IF(AI170&lt;&gt;"",-(Model!AI236-Model!AH236),""))</f>
        <v>-11.6</v>
      </c>
      <c r="AJ166" s="363">
        <f>IF(OR(ISERROR(Model!AI236),ISERROR(Model!AJ236),Model!AI236="",Model!AJ236=""),"",IF(AJ170&lt;&gt;"",-(Model!AJ236-Model!AI236),""))</f>
        <v>3.6579999999999995</v>
      </c>
      <c r="AK166" s="363">
        <f>IF(OR(ISERROR(Model!AH236),ISERROR(Model!AK236),Model!AH236="",Model!AK236=""),"",IF(AK170&lt;&gt;"",-(Model!AK236-Model!AH236),""))</f>
        <v>-7.9420000000000002</v>
      </c>
      <c r="AL166" s="363">
        <f>IF(OR(ISERROR(Model!AK236),ISERROR(Model!AL236),Model!AK236="",Model!AL236=""),"",IF(AL170&lt;&gt;"",-(Model!AL236-Model!AK236),""))</f>
        <v>2.0099999999999998</v>
      </c>
      <c r="AM166" s="363">
        <f>IF(OR(ISERROR(Model!AL236),ISERROR(Model!AM236),Model!AL236="",Model!AM236=""),"",IF(AM170&lt;&gt;"",-(Model!AM236-Model!AL236),""))</f>
        <v>0.13200000000000056</v>
      </c>
      <c r="AN166" s="363">
        <f>IF(OR(ISERROR(Model!AK236),ISERROR(Model!AN236),Model!AK236="",Model!AN236=""),"",IF(AN170&lt;&gt;"",-(Model!AN236-Model!AK236),""))</f>
        <v>2.1420000000000003</v>
      </c>
      <c r="AO166" s="363">
        <f>IF(OR(ISERROR(Model!AN236),ISERROR(Model!AO236),Model!AN236="",Model!AO236=""),"",IF(AO170&lt;&gt;"",-(Model!AO236-Model!AN236),""))</f>
        <v>-1.1070000000000002</v>
      </c>
      <c r="AP166" s="363">
        <f>IF(OR(ISERROR(Model!AO236),ISERROR(Model!AP236),Model!AO236="",Model!AP236=""),"",IF(AP170&lt;&gt;"",-(Model!AP236-Model!AO236),""))</f>
        <v>-1.1820000000000004</v>
      </c>
      <c r="AQ166" s="363">
        <f>IF(OR(ISERROR(Model!AN236),ISERROR(Model!AQ236),Model!AN236="",Model!AQ236=""),"",IF(AQ170&lt;&gt;"",-(Model!AQ236-Model!AN236),""))</f>
        <v>-2.2890000000000006</v>
      </c>
      <c r="AR166" s="363">
        <f>IF(OR(ISERROR(Model!AQ236),ISERROR(Model!AR236),Model!AQ236="",Model!AR236=""),"",IF(AR170&lt;&gt;"",-(Model!AR236-Model!AQ236),""))</f>
        <v>-4.516</v>
      </c>
      <c r="AS166" s="363">
        <f>IF(OR(ISERROR(Model!AR236),ISERROR(Model!AS236),Model!AR236="",Model!AS236=""),"",IF(AS170&lt;&gt;"",-(Model!AS236-Model!AR236),""))</f>
        <v>-1.0229999999999997</v>
      </c>
      <c r="AT166" s="363">
        <f>IF(OR(ISERROR(Model!AQ236),ISERROR(Model!AT236),Model!AQ236="",Model!AT236=""),"",IF(AT170&lt;&gt;"",-(Model!AT236-Model!AQ236),""))</f>
        <v>-5.5389999999999997</v>
      </c>
      <c r="AU166" s="363">
        <f>IF(OR(ISERROR(Model!AT236),ISERROR(Model!AU236),Model!AT236="",Model!AU236=""),"",IF(AU170&lt;&gt;"",-(Model!AU236-Model!AT236),""))</f>
        <v>-1.2080000000000002</v>
      </c>
      <c r="AV166" s="363">
        <f>IF(OR(ISERROR(Model!AU236),ISERROR(Model!AV236),Model!AU236="",Model!AV236=""),"",IF(AV170&lt;&gt;"",-(Model!AV236-Model!AU236),""))</f>
        <v>3.4749999999999996</v>
      </c>
      <c r="AW166" s="363">
        <f>IF(OR(ISERROR(Model!AT236),ISERROR(Model!AW236),Model!AT236="",Model!AW236=""),"",IF(AW170&lt;&gt;"",-(Model!AW236-Model!AT236),""))</f>
        <v>2.2669999999999995</v>
      </c>
      <c r="AX166" s="363">
        <f>IF(OR(ISERROR(Model!AW236),ISERROR(Model!AX236),Model!AW236="",Model!AX236=""),"",IF(AX170&lt;&gt;"",-(Model!AX236-Model!AW236),""))</f>
        <v>-2.6989999999999998</v>
      </c>
      <c r="AY166" s="363">
        <f>IF(OR(ISERROR(Model!AX236),ISERROR(Model!AY236),Model!AX236="",Model!AY236=""),"",IF(AY170&lt;&gt;"",-(Model!AY236-Model!AX236),""))</f>
        <v>-7.9999999999991189E-3</v>
      </c>
      <c r="AZ166" s="363">
        <f>IF(OR(ISERROR(Model!AW236),ISERROR(Model!AZ236),Model!AW236="",Model!AZ236=""),"",IF(AZ170&lt;&gt;"",-(Model!AZ236-Model!AW236),""))</f>
        <v>-2.706999999999999</v>
      </c>
      <c r="BA166" s="363">
        <f>IF(OR(ISERROR(Model!AZ236),ISERROR(Model!BA236),Model!AZ236="",Model!BA236=""),"",IF(BA170&lt;&gt;"",-(Model!BA236-Model!AZ236),""))</f>
        <v>-3.3819999999999997</v>
      </c>
      <c r="BB166" s="363">
        <f>IF(OR(ISERROR(Model!BA236),ISERROR(Model!BB236),Model!BA236="",Model!BB236=""),"",IF(BB170&lt;&gt;"",-(Model!BB236-Model!BA236),""))</f>
        <v>-9.6180000000000021</v>
      </c>
      <c r="BC166" s="363">
        <f>IF(OR(ISERROR(Model!AZ236),ISERROR(Model!BC236),Model!AZ236="",Model!BC236=""),"",IF(BC170&lt;&gt;"",-(Model!BC236-Model!AZ236),""))</f>
        <v>-13.000000000000002</v>
      </c>
      <c r="BD166" s="363">
        <f>IF(OR(ISERROR(Model!BC236),ISERROR(Model!BD236),Model!BC236="",Model!BD236=""),"",IF(BD170&lt;&gt;"",-(Model!BD236-Model!BC236),""))</f>
        <v>-9.7339999999999982</v>
      </c>
      <c r="BE166" s="363">
        <f>IF(OR(ISERROR(Model!BD236),ISERROR(Model!BE236),Model!BD236="",Model!BE236=""),"",IF(BE170&lt;&gt;"",-(Model!BE236-Model!BD236),""))</f>
        <v>0.42199999999999704</v>
      </c>
      <c r="BF166" s="363">
        <f>IF(OR(ISERROR(Model!BC236),ISERROR(Model!BF236),Model!BC236="",Model!BF236=""),"",IF(BF170&lt;&gt;"",-(Model!BF236-Model!BC236),""))</f>
        <v>-9.3120000000000012</v>
      </c>
      <c r="BG166" s="363">
        <f>IF(OR(ISERROR(Model!BF236),ISERROR(Model!BG236),Model!BF236="",Model!BG236=""),"",IF(BG170&lt;&gt;"",-(Model!BG236-Model!BF236),""))</f>
        <v>-4.2669999999999959</v>
      </c>
      <c r="BH166" s="363">
        <f>IF(OR(ISERROR(Model!BG236),ISERROR(Model!BH236),Model!BG236="",Model!BH236=""),"",IF(BH170&lt;&gt;"",-(Model!BH236-Model!BG236),""))</f>
        <v>-4.3760000000000048</v>
      </c>
      <c r="BI166" s="363">
        <f>IF(OR(ISERROR(Model!BF236),ISERROR(Model!BI236),Model!BF236="",Model!BI236=""),"",IF(BI170&lt;&gt;"",-(Model!BI236-Model!BF236),""))</f>
        <v>-8.6430000000000007</v>
      </c>
      <c r="BJ166" s="363">
        <f>IF(OR(ISERROR(Model!BI236),ISERROR(Model!BJ236),Model!BI236="",Model!BJ236=""),"",IF(BJ170&lt;&gt;"",-(Model!BJ236-Model!BI236),""))</f>
        <v>-3.9619999999999962</v>
      </c>
      <c r="BK166" s="363">
        <f>IF(OR(ISERROR(Model!BJ236),ISERROR(Model!BK236),Model!BJ236="",Model!BK236=""),"",IF(BK170&lt;&gt;"",-(Model!BK236-Model!BJ236),""))</f>
        <v>4.1479999999999961</v>
      </c>
      <c r="BL166" s="363">
        <f>IF(OR(ISERROR(Model!BI236),ISERROR(Model!BL236),Model!BI236="",Model!BL236=""),"",IF(BL170&lt;&gt;"",-(Model!BL236-Model!BI236),""))</f>
        <v>0.18599999999999994</v>
      </c>
      <c r="BM166" s="363">
        <f>IF(OR(ISERROR(Model!BL236),ISERROR(Model!BM236),Model!BL236="",Model!BM236=""),"",IF(BM170&lt;&gt;"",-(Model!BM236-Model!BL236),""))</f>
        <v>4.0890000000000057</v>
      </c>
      <c r="BN166" s="363">
        <f>IF(OR(ISERROR(Model!BM236),ISERROR(Model!BN236),Model!BM236="",Model!BN236=""),"",IF(BN170&lt;&gt;"",-(Model!BN236-Model!BM236),""))</f>
        <v>-8.7700000000000031</v>
      </c>
      <c r="BO166" s="363">
        <f>IF(OR(ISERROR(Model!BL236),ISERROR(Model!BO236),Model!BL236="",Model!BO236=""),"",IF(BO170&lt;&gt;"",-(Model!BO236-Model!BL236),""))</f>
        <v>-4.6809999999999974</v>
      </c>
      <c r="BP166" s="363">
        <f>IF(OR(ISERROR(Model!BO236),ISERROR(Model!BP236),Model!BO236="",Model!BP236=""),"",IF(BP170&lt;&gt;"",-(Model!BP236-Model!BO236),""))</f>
        <v>-7.2169999999999987</v>
      </c>
      <c r="BQ166" s="363">
        <f>IF(OR(ISERROR(Model!BP236),ISERROR(Model!BQ236),Model!BP236="",Model!BQ236=""),"",IF(BQ170&lt;&gt;"",-(Model!BQ236-Model!BP236),""))</f>
        <v>-20.087000000000003</v>
      </c>
      <c r="BR166" s="363">
        <f>IF(OR(ISERROR(Model!BO236),ISERROR(Model!BR236),Model!BO236="",Model!BR236=""),"",IF(BR170&lt;&gt;"",-(Model!BR236-Model!BO236),""))</f>
        <v>-27.304000000000002</v>
      </c>
      <c r="BS166" s="363">
        <f>IF(OR(ISERROR(Model!BR236),ISERROR(Model!BS236),Model!BR236="",Model!BS236=""),"",IF(BS170&lt;&gt;"",-(Model!BS236-Model!BR236),""))</f>
        <v>-9.078000000000003</v>
      </c>
      <c r="BT166" s="363">
        <f>IF(OR(ISERROR(Model!BS236),ISERROR(Model!BT236),Model!BS236="",Model!BT236=""),"",IF(BT170&lt;&gt;"",-(Model!BT236-Model!BS236),""))</f>
        <v>-5.9899999999999949</v>
      </c>
      <c r="BU166" s="363"/>
      <c r="BV166" s="363">
        <f>IF(OR(ISERROR(Model!BU236),ISERROR(Model!BV236),Model!BU236="",Model!BV236=""),"",IF(BV170&lt;&gt;"",-(Model!BV236-Model!BU236),""))</f>
        <v>-7.6170000000000044</v>
      </c>
      <c r="BW166" s="363">
        <f>IF(OR(ISERROR(Model!BV236),ISERROR(Model!BW236),Model!BV236="",Model!BW236=""),"",IF(BW170&lt;&gt;"",-(Model!BW236-Model!BV236),""))</f>
        <v>0.33800000000000807</v>
      </c>
      <c r="BX166" s="363">
        <f>IF(OR(ISERROR(Model!BU236),ISERROR(Model!BX236),Model!BU236="",Model!BX236=""),"",IF(BX170&lt;&gt;"",-(Model!BX236-Model!BU236),""))</f>
        <v>-7.2789999999999964</v>
      </c>
      <c r="BY166" s="363">
        <f>IF(OR(ISERROR(Model!BX236),ISERROR(Model!BY236),Model!BX236="",Model!BY236=""),"",IF(BY170&lt;&gt;"",-(Model!BY236-Model!BX236),""))</f>
        <v>2.9789999999999992</v>
      </c>
      <c r="BZ166" s="363">
        <f>IF(OR(ISERROR(Model!BY236),ISERROR(Model!BZ236),Model!BY236="",Model!BZ236=""),"",IF(BZ170&lt;&gt;"",-(Model!BZ236-Model!BY236),""))</f>
        <v>-9.7540000000000049</v>
      </c>
      <c r="CA166" s="363">
        <f>IF(OR(ISERROR(Model!BX236),ISERROR(Model!CA236),Model!BX236="",Model!CA236=""),"",IF(CA170&lt;&gt;"",-(Model!CA236-Model!BX236),""))</f>
        <v>-6.7750000000000057</v>
      </c>
      <c r="CB166" s="363">
        <f>IF(OR(ISERROR(Model!CA236),ISERROR(Model!CB236),Model!CA236="",Model!CB236=""),"",IF(CB170&lt;&gt;"",-(Model!CB236-Model!CA236),""))</f>
        <v>8.5769999999999982</v>
      </c>
      <c r="CC166" s="363">
        <f>IF(OR(ISERROR(Model!CB236),ISERROR(Model!CC236),Model!CB236="",Model!CC236=""),"",IF(CC170&lt;&gt;"",-(Model!CC236-Model!CB236),""))</f>
        <v>-7.039999999999992</v>
      </c>
      <c r="CD166" s="363">
        <f>IF(OR(ISERROR(Model!CA236),ISERROR(Model!CD236),Model!CA236="",Model!CD236=""),"",IF(CD170&lt;&gt;"",-(Model!CD236-Model!CA236),""))</f>
        <v>1.5370000000000061</v>
      </c>
      <c r="CE166" s="363">
        <f>IF(OR(ISERROR(Model!CD236),ISERROR(Model!CE236),Model!CD236="",Model!CE236=""),"",IF(CE170&lt;&gt;"",-(Model!CE236-Model!CD236),""))</f>
        <v>-2.7920000000000016</v>
      </c>
      <c r="CF166" s="363">
        <f>IF(OR(ISERROR(Model!CE236),ISERROR(Model!CF236),Model!CE236="",Model!CF236=""),"",IF(CF170&lt;&gt;"",-(Model!CF236-Model!CE236),""))</f>
        <v>1.0729999999999933</v>
      </c>
      <c r="CG166" s="363">
        <f>IF(OR(ISERROR(Model!CD236),ISERROR(Model!CG236),Model!CD236="",Model!CG236=""),"",IF(CG170&lt;&gt;"",-(Model!CG236-Model!CD236),""))</f>
        <v>-1.7190000000000083</v>
      </c>
      <c r="CH166" s="363">
        <f>IF(OR(ISERROR(Model!CG236),ISERROR(Model!CH236),Model!CG236="",Model!CH236=""),"",IF(CH170&lt;&gt;"",-(Model!CH236-Model!CG236),""))</f>
        <v>13.602000000000004</v>
      </c>
      <c r="CI166" s="363">
        <f>IF(OR(ISERROR(Model!CH236),ISERROR(Model!CI236),Model!CH236="",Model!CI236=""),"",IF(CI170&lt;&gt;"",-(Model!CI236-Model!CH236),""))</f>
        <v>-8.7740000000000009</v>
      </c>
      <c r="CJ166" s="363">
        <f>IF(OR(ISERROR(Model!CG236),ISERROR(Model!CJ236),Model!CG236="",Model!CJ236=""),"",IF(CJ170&lt;&gt;"",-(Model!CJ236-Model!CG236),""))</f>
        <v>4.828000000000003</v>
      </c>
      <c r="CK166" s="363">
        <f>IF(OR(ISERROR(Model!CJ236),ISERROR(Model!CK236),Model!CJ236="",Model!CK236=""),"",IF(CK170&lt;&gt;"",-(Model!CK236-Model!CJ236),""))</f>
        <v>-14.417000000000002</v>
      </c>
      <c r="CL166" s="363">
        <f>IF(OR(ISERROR(Model!CK236),ISERROR(Model!CL236),Model!CK236="",Model!CL236=""),"",IF(CL170&lt;&gt;"",-(Model!CL236-Model!CK236),""))</f>
        <v>-15.859000000000009</v>
      </c>
      <c r="CM166" s="363">
        <f>IF(OR(ISERROR(Model!CJ236),ISERROR(Model!CM236),Model!CJ236="",Model!CM236=""),"",IF(CM170&lt;&gt;"",-(Model!CM236-Model!CJ236),""))</f>
        <v>-30.27600000000001</v>
      </c>
      <c r="CN166" s="363">
        <f>IF(OR(ISERROR(Model!CM236),ISERROR(Model!CN236),Model!CM236="",Model!CN236=""),"",IF(CN170&lt;&gt;"",-(Model!CN236-Model!CM236),""))</f>
        <v>-9.1469999999999914</v>
      </c>
      <c r="CO166" s="363">
        <f>IF(OR(ISERROR(Model!CN236),ISERROR(Model!CO236),Model!CN236="",Model!CO236=""),"",IF(CO170&lt;&gt;"",-(Model!CO236-Model!CN236),""))</f>
        <v>12.108000000000004</v>
      </c>
      <c r="CP166" s="363">
        <f>IF(OR(ISERROR(Model!CM236),ISERROR(Model!CP236),Model!CM236="",Model!CP236=""),"",IF(CP170&lt;&gt;"",-(Model!CP236-Model!CM236),""))</f>
        <v>2.9610000000000127</v>
      </c>
      <c r="CQ166" s="363">
        <f>IF(OR(ISERROR(Model!CP236),ISERROR(Model!CQ236),Model!CP236="",Model!CQ236=""),"",IF(CQ170&lt;&gt;"",-(Model!CQ236-Model!CP236),""))</f>
        <v>-9.882000000000005</v>
      </c>
      <c r="CR166" s="363">
        <f>IF(OR(ISERROR(Model!CQ236),ISERROR(Model!CR236),Model!CQ236="",Model!CR236=""),"",IF(CR170&lt;&gt;"",-(Model!CR236-Model!CQ236),""))</f>
        <v>-11.218999999999994</v>
      </c>
      <c r="CS166" s="363">
        <f>IF(OR(ISERROR(Model!CP236),ISERROR(Model!CS236),Model!CP236="",Model!CS236=""),"",IF(CS170&lt;&gt;"",-(Model!CS236-Model!CP236),""))</f>
        <v>-21.100999999999999</v>
      </c>
      <c r="CT166" s="363">
        <f>IF(OR(ISERROR(Model!CS236),ISERROR(Model!CT236),Model!CS236="",Model!CT236=""),"",IF(CT170&lt;&gt;"",-(Model!CT236-Model!CS236),""))</f>
        <v>-3.3429999999999893</v>
      </c>
      <c r="CU166" s="363">
        <f>IF(OR(ISERROR(Model!CT236),ISERROR(Model!CU236),Model!CT236="",Model!CU236=""),"",IF(CU170&lt;&gt;"",-(Model!CU236-Model!CT236),""))</f>
        <v>-12.500000000000028</v>
      </c>
      <c r="CV166" s="363">
        <f>IF(OR(ISERROR(Model!CS236),ISERROR(Model!CV236),Model!CS236="",Model!CV236=""),"",IF(CV170&lt;&gt;"",-(Model!CV236-Model!CS236),""))</f>
        <v>-15.843000000000018</v>
      </c>
      <c r="CW166" s="363">
        <f>IF(OR(ISERROR(Model!CV236),ISERROR(Model!CW236),Model!CV236="",Model!CW236=""),"",IF(CW170&lt;&gt;"",-(Model!CW236-Model!CV236),""))</f>
        <v>-3.0349999999999682</v>
      </c>
      <c r="CX166" s="363">
        <f>IF(OR(ISERROR(Model!CW236),ISERROR(Model!CX236),Model!CW236="",Model!CX236=""),"",IF(CX170&lt;&gt;"",-(Model!CX236-Model!CW236),""))</f>
        <v>-9.849000000000018</v>
      </c>
      <c r="CY166" s="363">
        <f>IF(OR(ISERROR(Model!CV236),ISERROR(Model!CY236),Model!CV236="",Model!CY236=""),"",IF(CY170&lt;&gt;"",-(Model!CY236-Model!CV236),""))</f>
        <v>-12.883999999999986</v>
      </c>
      <c r="CZ166" s="363">
        <f>IF(OR(ISERROR(Model!CY236),ISERROR(Model!CZ236),Model!CY236="",Model!CZ236=""),"",IF(CZ170&lt;&gt;"",-(Model!CZ236-Model!CY236),""))</f>
        <v>-14.859000000000009</v>
      </c>
      <c r="DA166" s="363">
        <f>IF(OR(ISERROR(Model!CZ236),ISERROR(Model!DA236),Model!CZ236="",Model!DA236=""),"",IF(DA170&lt;&gt;"",-(Model!DA236-Model!CZ236),""))</f>
        <v>25.900000000000006</v>
      </c>
      <c r="DB166" s="363">
        <f>IF(OR(ISERROR(Model!CY236),ISERROR(Model!DB236),Model!CY236="",Model!DB236=""),"",IF(DB170&lt;&gt;"",-(Model!DB236-Model!CY236),""))</f>
        <v>11.040999999999997</v>
      </c>
      <c r="DC166" s="363">
        <f>IF(OR(ISERROR(Model!DB236),ISERROR(Model!DC236),Model!DB236="",Model!DC236=""),"",IF(DC170&lt;&gt;"",-(Model!DC236-Model!DB236),""))</f>
        <v>-9.0999999999999943</v>
      </c>
      <c r="DD166" s="363">
        <f>IF(OR(ISERROR(Model!DC236),ISERROR(Model!DD236),Model!DC236="",Model!DD236=""),"",IF(DD170&lt;&gt;"",-(Model!DD236-Model!DC236),""))</f>
        <v>-18.900000000000006</v>
      </c>
      <c r="DE166" s="363">
        <f>IF(OR(ISERROR(Model!DB236),ISERROR(Model!DE236),Model!DB236="",Model!DE236=""),"",IF(DE170&lt;&gt;"",-(Model!DE236-Model!DB236),""))</f>
        <v>-28</v>
      </c>
      <c r="DF166" s="363">
        <f>IF(OR(ISERROR(Model!DE236),ISERROR(Model!DF236),Model!DE236="",Model!DF236=""),"",IF(DF170&lt;&gt;"",-(Model!DF236-Model!DE236),""))</f>
        <v>-8.5999999999999943</v>
      </c>
      <c r="DG166" s="363">
        <f>IF(OR(ISERROR(Model!DF236),ISERROR(Model!DG236),Model!DF236="",Model!DG236=""),"",IF(DG170&lt;&gt;"",-(Model!DG236-Model!DF236),""))</f>
        <v>-19.800000000000011</v>
      </c>
      <c r="DH166" s="363">
        <f>IF(OR(ISERROR(Model!DE236),ISERROR(Model!DH236),Model!DE236="",Model!DH236=""),"",IF(DH170&lt;&gt;"",-(Model!DH236-Model!DE236),""))</f>
        <v>-28.400000000000006</v>
      </c>
      <c r="DI166" s="363">
        <f>IF(OR(ISERROR(Model!DH236),ISERROR(Model!DI236),Model!DH236="",Model!DI236=""),"",IF(DI170&lt;&gt;"",-(Model!DI236-Model!DH236),""))</f>
        <v>27</v>
      </c>
      <c r="DJ166" s="363">
        <f>IF(OR(ISERROR(Model!DI236),ISERROR(Model!DJ236),Model!DI236="",Model!DJ236=""),"",IF(DJ170&lt;&gt;"",-(Model!DJ236-Model!DI236),""))</f>
        <v>-19.299999999999983</v>
      </c>
      <c r="DK166" s="1210">
        <f>IF(OR(ISERROR(Model!DH236),ISERROR(Model!DK236),Model!DH236="",Model!DK236=""),"",IF(DK170&lt;&gt;"",-(Model!DK236-Model!DH236),""))</f>
        <v>7.7000000000000171</v>
      </c>
      <c r="DL166" s="363">
        <f>IF(OR(ISERROR(Model!DK236),ISERROR(Model!DL236),Model!DK236="",Model!DL236=""),"",IF(DL170&lt;&gt;"",-(Model!DL236-Model!DK236),""))</f>
        <v>-21.900000000000006</v>
      </c>
      <c r="DM166" s="363">
        <f>IF(OR(ISERROR(Model!DL236),ISERROR(Model!DM236),Model!DL236="",Model!DM236=""),"",IF(DM170&lt;&gt;"",-(Model!DM236-Model!DL236),""))</f>
        <v>-32.199999999999989</v>
      </c>
      <c r="DN166" s="1210">
        <f>IF(OR(ISERROR(Model!DK236),ISERROR(Model!DN236),Model!DK236="",Model!DN236=""),"",IF(DN170&lt;&gt;"",-(Model!DN236-Model!DK236),""))</f>
        <v>-54.099999999999994</v>
      </c>
      <c r="DO166" s="363">
        <f>IF(OR(ISERROR(Model!DN236),ISERROR(Model!DO236),Model!DN236="",Model!DO236=""),"",IF(DO170&lt;&gt;"",-(Model!DO236-Model!DN236),""))</f>
        <v>-15.5</v>
      </c>
      <c r="DP166" s="363">
        <f>IF(OR(ISERROR(Model!DO236),ISERROR(Model!DP236),Model!DO236="",Model!DP236=""),"",IF(DP170&lt;&gt;"",-(Model!DP236-Model!DO236),""))</f>
        <v>-25.800000000000011</v>
      </c>
      <c r="DQ166" s="1210">
        <f>IF(OR(ISERROR(Model!DN236),ISERROR(Model!DQ236),Model!DN236="",Model!DQ236=""),"",IF(DQ170&lt;&gt;"",-(Model!DQ236-Model!DN236),""))</f>
        <v>-41.300000000000011</v>
      </c>
      <c r="DR166" s="363">
        <f>IF(OR(ISERROR(Model!DQ236),ISERROR(Model!DR236),Model!DQ236="",Model!DR236=""),"",IF(DR170&lt;&gt;"",-(Model!DR236-Model!DQ236),""))</f>
        <v>-10</v>
      </c>
      <c r="DS166" s="363">
        <f>IF(OR(ISERROR(Model!DR236),ISERROR(Model!DS236),Model!DR236="",Model!DS236=""),"",IF(DS170&lt;&gt;"",-(Model!DS236-Model!DR236),""))</f>
        <v>-70.100000000000023</v>
      </c>
      <c r="DT166" s="1210">
        <f>IF(OR(ISERROR(Model!DQ236),ISERROR(Model!DT236),Model!DQ236="",Model!DT236=""),"",IF(DT170&lt;&gt;"",-(Model!DT236-Model!DQ236),""))</f>
        <v>-80.100000000000023</v>
      </c>
      <c r="DU166" s="363">
        <f>IF(OR(ISERROR(Model!DT236),ISERROR(Model!DU236),Model!DT236="",Model!DU236=""),"",IF(DU170&lt;&gt;"",-(Model!DU236-Model!DT236),""))</f>
        <v>-69.5</v>
      </c>
      <c r="DV166" s="363">
        <f>IF(OR(ISERROR(Model!DU236),ISERROR(Model!DV236),Model!DU236="",Model!DV236=""),"",IF(DV170&lt;&gt;"",-(Model!DV236-Model!DU236),""))</f>
        <v>-38.299999999999955</v>
      </c>
      <c r="DW166" s="1210">
        <f>IF(OR(ISERROR(Model!DT236),ISERROR(Model!DW236),Model!DT236="",Model!DW236=""),"",IF(DW170&lt;&gt;"",-(Model!DW236-Model!DT236),""))</f>
        <v>-107.79999999999995</v>
      </c>
      <c r="DX166" s="363">
        <f>IF(OR(ISERROR(Model!DW236),ISERROR(Model!DX236),Model!DW236="",Model!DX236=""),"",IF(DX170&lt;&gt;"",-(Model!DX236-Model!DW236),""))</f>
        <v>-66.700000000000045</v>
      </c>
      <c r="DY166" s="363">
        <f>IF(OR(ISERROR(Model!DX236),ISERROR(Model!DY236),Model!DX236="",Model!DY236=""),"",IF(DY170&lt;&gt;"",-(Model!DY236-Model!DX236),""))</f>
        <v>-42.479303685419382</v>
      </c>
      <c r="DZ166" s="1210">
        <f>IF(OR(ISERROR(Model!DW236),ISERROR(Model!DZ236),Model!DW236="",Model!DZ236=""),"",IF(DZ170&lt;&gt;"",-(Model!DZ236-Model!DW236),""))</f>
        <v>-109.17930368541943</v>
      </c>
      <c r="EA166" s="363">
        <f>IF(OR(ISERROR(Model!DZ236),ISERROR(Model!EA236),Model!DZ236="",Model!EA236=""),"",IF(EA170&lt;&gt;"",-(Model!EA236-Model!DZ236),""))</f>
        <v>-3.9272764519165548</v>
      </c>
      <c r="EB166" s="363">
        <f>IF(OR(ISERROR(Model!EA236),ISERROR(Model!EB236),Model!EA236="",Model!EB236=""),"",IF(EB170&lt;&gt;"",-(Model!EB236-Model!EA236),""))</f>
        <v>-9.4354827661178433</v>
      </c>
      <c r="EC166" s="1210">
        <f>IF(OR(ISERROR(Model!DZ236),ISERROR(Model!EC236),Model!DZ236="",Model!EC236=""),"",IF(EC170&lt;&gt;"",-(Model!EC236-Model!DZ236),""))</f>
        <v>-13.362759218034398</v>
      </c>
      <c r="ED166" s="363">
        <f>IF(OR(ISERROR(Model!EC236),ISERROR(Model!ED236),Model!EC236="",Model!ED236=""),"",IF(ED170&lt;&gt;"",-(Model!ED236-Model!EC236),""))</f>
        <v>-26.836447588865099</v>
      </c>
      <c r="EE166" s="363">
        <f>IF(OR(ISERROR(Model!ED236),ISERROR(Model!EE236),Model!ED236="",Model!EE236=""),"",IF(EE170&lt;&gt;"",-(Model!EE236-Model!ED236),""))</f>
        <v>-10.034275373420201</v>
      </c>
      <c r="EF166" s="1210">
        <f>IF(OR(ISERROR(Model!EC236),ISERROR(Model!EF236),Model!EC236="",Model!EF236=""),"",IF(EF170&lt;&gt;"",-(Model!EF236-Model!EC236),""))</f>
        <v>-36.870722962285299</v>
      </c>
      <c r="EG166" s="363">
        <f>IF(OR(ISERROR(Model!EF236),ISERROR(Model!EG236),Model!EF236="",Model!EG236=""),"",IF(EG170&lt;&gt;"",-(Model!EG236-Model!EF236),""))</f>
        <v>-31.910009723524922</v>
      </c>
      <c r="EH166" s="363">
        <f>IF(OR(ISERROR(Model!EG236),ISERROR(Model!EH236),Model!EG236="",Model!EH236=""),"",IF(EH170&lt;&gt;"",-(Model!EH236-Model!EG236),""))</f>
        <v>-10.683002944074019</v>
      </c>
      <c r="EI166" s="1210">
        <f>IF(OR(ISERROR(Model!EF236),ISERROR(Model!EI236),Model!EF236="",Model!EI236=""),"",IF(EI170&lt;&gt;"",-(Model!EI236-Model!EF236),""))</f>
        <v>-42.593012667598941</v>
      </c>
      <c r="EJ166" s="363">
        <f>IF(OR(ISERROR(Model!EI236),ISERROR(Model!EJ236),Model!EI236="",Model!EJ236=""),"",IF(EJ170&lt;&gt;"",-(Model!EJ236-Model!EI236),""))</f>
        <v>-33.556147535333707</v>
      </c>
      <c r="EK166" s="363">
        <f>IF(OR(ISERROR(Model!EJ236),ISERROR(Model!EK236),Model!EJ236="",Model!EK236=""),"",IF(EK170&lt;&gt;"",-(Model!EK236-Model!EJ236),""))</f>
        <v>-11.367223846920524</v>
      </c>
      <c r="EL166" s="1210">
        <f>IF(OR(ISERROR(Model!EI236),ISERROR(Model!EL236),Model!EI236="",Model!EL236=""),"",IF(EL170&lt;&gt;"",-(Model!EL236-Model!EI236),""))</f>
        <v>-44.923371382254231</v>
      </c>
      <c r="EM166" s="363">
        <f>IF(OR(ISERROR(Model!EL236),ISERROR(Model!EM236),Model!EL236="",Model!EM236=""),"",IF(EM170&lt;&gt;"",-(Model!EM236-Model!EL236),""))</f>
        <v>-35.240119074507447</v>
      </c>
      <c r="EN166" s="363">
        <f>IF(OR(ISERROR(Model!EM236),ISERROR(Model!EN236),Model!EM236="",Model!EN236=""),"",IF(EN170&lt;&gt;"",-(Model!EN236-Model!EM236),""))</f>
        <v>-12.088072188432648</v>
      </c>
      <c r="EO166" s="1210">
        <f>IF(OR(ISERROR(Model!EL236),ISERROR(Model!EO236),Model!EL236="",Model!EO236=""),"",IF(EO170&lt;&gt;"",-(Model!EO236-Model!EL236),""))</f>
        <v>-47.328191262940095</v>
      </c>
      <c r="EP166" s="363">
        <f>IF(OR(ISERROR(Model!EO236),ISERROR(Model!EP236),Model!EO236="",Model!EP236=""),"",IF(EP170&lt;&gt;"",-(Model!EP236-Model!EO236),""))</f>
        <v>-36.955400695696085</v>
      </c>
      <c r="EQ166" s="363">
        <f>IF(OR(ISERROR(Model!EP236),ISERROR(Model!EQ236),Model!EP236="",Model!EQ236=""),"",IF(EQ170&lt;&gt;"",-(Model!EQ236-Model!EP236),""))</f>
        <v>-12.846598718256928</v>
      </c>
      <c r="ER166" s="1210">
        <f>IF(OR(ISERROR(Model!EO236),ISERROR(Model!ER236),Model!EO236="",Model!ER236=""),"",IF(ER170&lt;&gt;"",-(Model!ER236-Model!EO236),""))</f>
        <v>-49.801999413953013</v>
      </c>
      <c r="ES166" s="363">
        <f>IF(OR(ISERROR(Model!ER236),ISERROR(Model!ES236),Model!ER236="",Model!ES236=""),"",IF(ES170&lt;&gt;"",-(Model!ES236-Model!ER236),""))</f>
        <v>-38.693988044195407</v>
      </c>
      <c r="ET166" s="363">
        <f>IF(OR(ISERROR(Model!ES236),ISERROR(Model!ET236),Model!ES236="",Model!ET236=""),"",IF(ET170&lt;&gt;"",-(Model!ET236-Model!ES236),""))</f>
        <v>-13.643746638722973</v>
      </c>
      <c r="EU166" s="1210">
        <f>IF(OR(ISERROR(Model!ER236),ISERROR(Model!EU236),Model!ER236="",Model!EU236=""),"",IF(EU170&lt;&gt;"",-(Model!EU236-Model!ER236),""))</f>
        <v>-52.337734682918381</v>
      </c>
      <c r="EV166" s="363">
        <f>IF(OR(ISERROR(Model!EU236),ISERROR(Model!EV236),Model!EU236="",Model!EV236=""),"",IF(EV170&lt;&gt;"",-(Model!EV236-Model!EU236),""))</f>
        <v>-40.446182369789312</v>
      </c>
      <c r="EW166" s="363">
        <f>IF(OR(ISERROR(Model!EV236),ISERROR(Model!EW236),Model!EV236="",Model!EW236=""),"",IF(EW170&lt;&gt;"",-(Model!EW236-Model!EV236),""))</f>
        <v>-14.480323735255183</v>
      </c>
      <c r="EX166" s="1210">
        <f>IF(OR(ISERROR(Model!EU236),ISERROR(Model!EX236),Model!EU236="",Model!EX236=""),"",IF(EX170&lt;&gt;"",-(Model!EX236-Model!EU236),""))</f>
        <v>-54.926506105044496</v>
      </c>
      <c r="EY166" s="363">
        <f>IF(OR(ISERROR(Model!EX236),ISERROR(Model!EY236),Model!EX236="",Model!EY236=""),"",IF(EY170&lt;&gt;"",-(Model!EY236-Model!EX236),""))</f>
        <v>-42.200350370832098</v>
      </c>
      <c r="EZ166" s="363">
        <f>IF(OR(ISERROR(Model!EY236),ISERROR(Model!EZ236),Model!EY236="",Model!EZ236=""),"",IF(EZ170&lt;&gt;"",-(Model!EZ236-Model!EY236),""))</f>
        <v>-15.356970361389699</v>
      </c>
      <c r="FA166" s="363">
        <f>IF(OR(ISERROR(Model!EX236),ISERROR(Model!FA236),Model!EX236="",Model!FA236=""),"",IF(FA170&lt;&gt;"",-(Model!FA236-Model!EX236),""))</f>
        <v>-57.557320732221797</v>
      </c>
    </row>
    <row r="167" spans="1:157" ht="13.35" customHeight="1">
      <c r="A167" s="5"/>
      <c r="B167" s="5" t="s">
        <v>404</v>
      </c>
      <c r="C167" s="5"/>
      <c r="D167" s="5"/>
      <c r="E167" s="363"/>
      <c r="F167" s="363"/>
      <c r="G167" s="363"/>
      <c r="H167" s="363">
        <f>IF(OR(ISERROR(Model!G266),ISERROR(Model!H266),Model!G266="",Model!H266=""),"",IF(H171&lt;&gt;"",(Model!H266-Model!G266),""))</f>
        <v>0</v>
      </c>
      <c r="I167" s="363">
        <f>IF(OR(ISERROR(Model!H266),ISERROR(Model!I266),Model!H266="",Model!I266=""),"",IF(I171&lt;&gt;"",(Model!I266-Model!H266),""))</f>
        <v>0</v>
      </c>
      <c r="J167" s="363">
        <f>IF(OR(ISERROR(Model!G266),ISERROR(Model!J266),Model!G266="",Model!J266=""),"",IF(J171&lt;&gt;"",(Model!J266-Model!G266),""))</f>
        <v>0</v>
      </c>
      <c r="K167" s="363">
        <f>IF(OR(ISERROR(Model!J266),ISERROR(Model!K266),Model!J266="",Model!K266=""),"",IF(K171&lt;&gt;"",(Model!K266-Model!J266),""))</f>
        <v>0</v>
      </c>
      <c r="L167" s="363">
        <f>IF(OR(ISERROR(Model!K266),ISERROR(Model!L266),Model!K266="",Model!L266=""),"",IF(L171&lt;&gt;"",(Model!L266-Model!K266),""))</f>
        <v>0</v>
      </c>
      <c r="M167" s="363">
        <f>IF(OR(ISERROR(Model!J266),ISERROR(Model!M266),Model!J266="",Model!M266=""),"",IF(M171&lt;&gt;"",(Model!M266-Model!J266),""))</f>
        <v>0</v>
      </c>
      <c r="N167" s="363">
        <f>IF(OR(ISERROR(Model!M266),ISERROR(Model!N266),Model!M266="",Model!N266=""),"",IF(N171&lt;&gt;"",(Model!N266-Model!M266),""))</f>
        <v>0</v>
      </c>
      <c r="O167" s="363">
        <f>IF(OR(ISERROR(Model!N266),ISERROR(Model!O266),Model!N266="",Model!O266=""),"",IF(O171&lt;&gt;"",(Model!O266-Model!N266),""))</f>
        <v>0</v>
      </c>
      <c r="P167" s="363">
        <f>IF(OR(ISERROR(Model!M266),ISERROR(Model!P266),Model!M266="",Model!P266=""),"",IF(P171&lt;&gt;"",(Model!P266-Model!M266),""))</f>
        <v>0</v>
      </c>
      <c r="Q167" s="363">
        <f>IF(OR(ISERROR(Model!P266),ISERROR(Model!Q266),Model!P266="",Model!Q266=""),"",IF(Q171&lt;&gt;"",(Model!Q266-Model!P266),""))</f>
        <v>0</v>
      </c>
      <c r="R167" s="363">
        <f>IF(OR(ISERROR(Model!Q266),ISERROR(Model!R266),Model!Q266="",Model!R266=""),"",IF(R171&lt;&gt;"",(Model!R266-Model!Q266),""))</f>
        <v>0</v>
      </c>
      <c r="S167" s="363">
        <f>IF(OR(ISERROR(Model!P266),ISERROR(Model!S266),Model!P266="",Model!S266=""),"",IF(S171&lt;&gt;"",(Model!S266-Model!P266),""))</f>
        <v>0</v>
      </c>
      <c r="T167" s="363">
        <f>IF(OR(ISERROR(Model!S266),ISERROR(Model!T266),Model!S266="",Model!T266=""),"",IF(T171&lt;&gt;"",(Model!T266-Model!S266),""))</f>
        <v>0</v>
      </c>
      <c r="U167" s="363">
        <f>IF(OR(ISERROR(Model!T266),ISERROR(Model!U266),Model!T266="",Model!U266=""),"",IF(U171&lt;&gt;"",(Model!U266-Model!T266),""))</f>
        <v>0</v>
      </c>
      <c r="V167" s="363">
        <f>IF(OR(ISERROR(Model!S266),ISERROR(Model!V266),Model!S266="",Model!V266=""),"",IF(V171&lt;&gt;"",(Model!V266-Model!S266),""))</f>
        <v>0</v>
      </c>
      <c r="W167" s="363">
        <f>IF(OR(ISERROR(Model!V266),ISERROR(Model!W266),Model!V266="",Model!W266=""),"",IF(W171&lt;&gt;"",(Model!W266-Model!V266),""))</f>
        <v>0</v>
      </c>
      <c r="X167" s="363">
        <f>IF(OR(ISERROR(Model!W266),ISERROR(Model!X266),Model!W266="",Model!X266=""),"",IF(X171&lt;&gt;"",(Model!X266-Model!W266),""))</f>
        <v>0</v>
      </c>
      <c r="Y167" s="363">
        <f>IF(OR(ISERROR(Model!V266),ISERROR(Model!Y266),Model!V266="",Model!Y266=""),"",IF(Y171&lt;&gt;"",(Model!Y266-Model!V266),""))</f>
        <v>0</v>
      </c>
      <c r="Z167" s="363">
        <f>IF(OR(ISERROR(Model!Y266),ISERROR(Model!Z266),Model!Y266="",Model!Z266=""),"",IF(Z171&lt;&gt;"",(Model!Z266-Model!Y266),""))</f>
        <v>0</v>
      </c>
      <c r="AA167" s="363">
        <f>IF(OR(ISERROR(Model!Z266),ISERROR(Model!AA266),Model!Z266="",Model!AA266=""),"",IF(AA171&lt;&gt;"",(Model!AA266-Model!Z266),""))</f>
        <v>0</v>
      </c>
      <c r="AB167" s="363">
        <f>IF(OR(ISERROR(Model!Y266),ISERROR(Model!AB266),Model!Y266="",Model!AB266=""),"",IF(AB171&lt;&gt;"",(Model!AB266-Model!Y266),""))</f>
        <v>0</v>
      </c>
      <c r="AC167" s="363">
        <f>IF(OR(ISERROR(Model!AB266),ISERROR(Model!AC266),Model!AB266="",Model!AC266=""),"",IF(AC171&lt;&gt;"",(Model!AC266-Model!AB266),""))</f>
        <v>0</v>
      </c>
      <c r="AD167" s="363">
        <f>IF(OR(ISERROR(Model!AC266),ISERROR(Model!AD266),Model!AC266="",Model!AD266=""),"",IF(AD171&lt;&gt;"",(Model!AD266-Model!AC266),""))</f>
        <v>0</v>
      </c>
      <c r="AE167" s="363">
        <f>IF(OR(ISERROR(Model!AB266),ISERROR(Model!AE266),Model!AB266="",Model!AE266=""),"",IF(AE171&lt;&gt;"",(Model!AE266-Model!AB266),""))</f>
        <v>0</v>
      </c>
      <c r="AF167" s="363">
        <f>IF(OR(ISERROR(Model!AE266),ISERROR(Model!AF266),Model!AE266="",Model!AF266=""),"",IF(AF171&lt;&gt;"",(Model!AF266-Model!AE266),""))</f>
        <v>0</v>
      </c>
      <c r="AG167" s="363">
        <f>IF(OR(ISERROR(Model!AF266),ISERROR(Model!AG266),Model!AF266="",Model!AG266=""),"",IF(AG171&lt;&gt;"",(Model!AG266-Model!AF266),""))</f>
        <v>0</v>
      </c>
      <c r="AH167" s="363">
        <f>IF(OR(ISERROR(Model!AE266),ISERROR(Model!AH266),Model!AE266="",Model!AH266=""),"",IF(AH171&lt;&gt;"",(Model!AH266-Model!AE266),""))</f>
        <v>0</v>
      </c>
      <c r="AI167" s="363">
        <f>IF(OR(ISERROR(Model!AH266),ISERROR(Model!AI266),Model!AH266="",Model!AI266=""),"",IF(AI171&lt;&gt;"",(Model!AI266-Model!AH266),""))</f>
        <v>9.0399999999999991</v>
      </c>
      <c r="AJ167" s="363">
        <f>IF(OR(ISERROR(Model!AI266),ISERROR(Model!AJ266),Model!AI266="",Model!AJ266=""),"",IF(AJ171&lt;&gt;"",(Model!AJ266-Model!AI266),""))</f>
        <v>1.9000000000000128E-2</v>
      </c>
      <c r="AK167" s="363">
        <f>IF(OR(ISERROR(Model!AH266),ISERROR(Model!AK266),Model!AH266="",Model!AK266=""),"",IF(AK171&lt;&gt;"",(Model!AK266-Model!AH266),""))</f>
        <v>9.0589999999999993</v>
      </c>
      <c r="AL167" s="363">
        <f>IF(OR(ISERROR(Model!AK266),ISERROR(Model!AL266),Model!AK266="",Model!AL266=""),"",IF(AL171&lt;&gt;"",(Model!AL266-Model!AK266),""))</f>
        <v>0.39100000000000001</v>
      </c>
      <c r="AM167" s="363">
        <f>IF(OR(ISERROR(Model!AL266),ISERROR(Model!AM266),Model!AL266="",Model!AM266=""),"",IF(AM171&lt;&gt;"",(Model!AM266-Model!AL266),""))</f>
        <v>2.4730000000000008</v>
      </c>
      <c r="AN167" s="363">
        <f>IF(OR(ISERROR(Model!AK266),ISERROR(Model!AN266),Model!AK266="",Model!AN266=""),"",IF(AN171&lt;&gt;"",(Model!AN266-Model!AK266),""))</f>
        <v>2.8640000000000008</v>
      </c>
      <c r="AO167" s="363">
        <f>IF(OR(ISERROR(Model!AN266),ISERROR(Model!AO266),Model!AN266="",Model!AO266=""),"",IF(AO171&lt;&gt;"",(Model!AO266-Model!AN266),""))</f>
        <v>-0.65399999999999991</v>
      </c>
      <c r="AP167" s="363">
        <f>IF(OR(ISERROR(Model!AO266),ISERROR(Model!AP266),Model!AO266="",Model!AP266=""),"",IF(AP171&lt;&gt;"",(Model!AP266-Model!AO266),""))</f>
        <v>0.85999999999999943</v>
      </c>
      <c r="AQ167" s="363">
        <f>IF(OR(ISERROR(Model!AN266),ISERROR(Model!AQ266),Model!AN266="",Model!AQ266=""),"",IF(AQ171&lt;&gt;"",(Model!AQ266-Model!AN266),""))</f>
        <v>0.20599999999999952</v>
      </c>
      <c r="AR167" s="363">
        <f>IF(OR(ISERROR(Model!AQ266),ISERROR(Model!AR266),Model!AQ266="",Model!AR266=""),"",IF(AR171&lt;&gt;"",(Model!AR266-Model!AQ266),""))</f>
        <v>4.3950000000000014</v>
      </c>
      <c r="AS167" s="363">
        <f>IF(OR(ISERROR(Model!AR266),ISERROR(Model!AS266),Model!AR266="",Model!AS266=""),"",IF(AS171&lt;&gt;"",(Model!AS266-Model!AR266),""))</f>
        <v>-1.6910000000000007</v>
      </c>
      <c r="AT167" s="363">
        <f>IF(OR(ISERROR(Model!AQ266),ISERROR(Model!AT266),Model!AQ266="",Model!AT266=""),"",IF(AT171&lt;&gt;"",(Model!AT266-Model!AQ266),""))</f>
        <v>2.7040000000000006</v>
      </c>
      <c r="AU167" s="363">
        <f>IF(OR(ISERROR(Model!AT266),ISERROR(Model!AU266),Model!AT266="",Model!AU266=""),"",IF(AU171&lt;&gt;"",(Model!AU266-Model!AT266),""))</f>
        <v>2.6259999999999994</v>
      </c>
      <c r="AV167" s="363">
        <f>IF(OR(ISERROR(Model!AU266),ISERROR(Model!AV266),Model!AU266="",Model!AV266=""),"",IF(AV171&lt;&gt;"",(Model!AV266-Model!AU266),""))</f>
        <v>0.37600000000000122</v>
      </c>
      <c r="AW167" s="363">
        <f>IF(OR(ISERROR(Model!AT266),ISERROR(Model!AW266),Model!AT266="",Model!AW266=""),"",IF(AW171&lt;&gt;"",(Model!AW266-Model!AT266),""))</f>
        <v>3.0020000000000007</v>
      </c>
      <c r="AX167" s="363">
        <f>IF(OR(ISERROR(Model!AW266),ISERROR(Model!AX266),Model!AW266="",Model!AX266=""),"",IF(AX171&lt;&gt;"",(Model!AX266-Model!AW266),""))</f>
        <v>4.1340000000000003</v>
      </c>
      <c r="AY167" s="363">
        <f>IF(OR(ISERROR(Model!AX266),ISERROR(Model!AY266),Model!AX266="",Model!AY266=""),"",IF(AY171&lt;&gt;"",(Model!AY266-Model!AX266),""))</f>
        <v>-8.9999999999999858E-2</v>
      </c>
      <c r="AZ167" s="363">
        <f>IF(OR(ISERROR(Model!AW266),ISERROR(Model!AZ266),Model!AW266="",Model!AZ266=""),"",IF(AZ171&lt;&gt;"",(Model!AZ266-Model!AW266),""))</f>
        <v>4.0440000000000005</v>
      </c>
      <c r="BA167" s="363">
        <f>IF(OR(ISERROR(Model!AZ266),ISERROR(Model!BA266),Model!AZ266="",Model!BA266=""),"",IF(BA171&lt;&gt;"",(Model!BA266-Model!AZ266),""))</f>
        <v>1.5999999999999979</v>
      </c>
      <c r="BB167" s="363">
        <f>IF(OR(ISERROR(Model!BA266),ISERROR(Model!BB266),Model!BA266="",Model!BB266=""),"",IF(BB171&lt;&gt;"",(Model!BB266-Model!BA266),""))</f>
        <v>7.032</v>
      </c>
      <c r="BC167" s="363">
        <f>IF(OR(ISERROR(Model!AZ266),ISERROR(Model!BC266),Model!AZ266="",Model!BC266=""),"",IF(BC171&lt;&gt;"",(Model!BC266-Model!AZ266),""))</f>
        <v>8.6319999999999979</v>
      </c>
      <c r="BD167" s="363">
        <f>IF(OR(ISERROR(Model!BC266),ISERROR(Model!BD266),Model!BC266="",Model!BD266=""),"",IF(BD171&lt;&gt;"",(Model!BD266-Model!BC266),""))</f>
        <v>-7.2469999999999999</v>
      </c>
      <c r="BE167" s="363">
        <f>IF(OR(ISERROR(Model!BD266),ISERROR(Model!BE266),Model!BD266="",Model!BE266=""),"",IF(BE171&lt;&gt;"",(Model!BE266-Model!BD266),""))</f>
        <v>-2.1280000000000001</v>
      </c>
      <c r="BF167" s="363">
        <f>IF(OR(ISERROR(Model!BC266),ISERROR(Model!BF266),Model!BC266="",Model!BF266=""),"",IF(BF171&lt;&gt;"",(Model!BF266-Model!BC266),""))</f>
        <v>-9.375</v>
      </c>
      <c r="BG167" s="363">
        <f>IF(OR(ISERROR(Model!BF266),ISERROR(Model!BG266),Model!BF266="",Model!BG266=""),"",IF(BG171&lt;&gt;"",(Model!BG266-Model!BF266),""))</f>
        <v>12.009000000000004</v>
      </c>
      <c r="BH167" s="363">
        <f>IF(OR(ISERROR(Model!BG266),ISERROR(Model!BH266),Model!BG266="",Model!BH266=""),"",IF(BH171&lt;&gt;"",(Model!BH266-Model!BG266),""))</f>
        <v>-3.8050000000000033</v>
      </c>
      <c r="BI167" s="363">
        <f>IF(OR(ISERROR(Model!BF266),ISERROR(Model!BI266),Model!BF266="",Model!BI266=""),"",IF(BI171&lt;&gt;"",(Model!BI266-Model!BF266),""))</f>
        <v>8.2040000000000006</v>
      </c>
      <c r="BJ167" s="363">
        <f>IF(OR(ISERROR(Model!BI266),ISERROR(Model!BJ266),Model!BI266="",Model!BJ266=""),"",IF(BJ171&lt;&gt;"",(Model!BJ266-Model!BI266),""))</f>
        <v>2.407</v>
      </c>
      <c r="BK167" s="363">
        <f>IF(OR(ISERROR(Model!BJ266),ISERROR(Model!BK266),Model!BJ266="",Model!BK266=""),"",IF(BK171&lt;&gt;"",(Model!BK266-Model!BJ266),""))</f>
        <v>-8.9999999999999858E-2</v>
      </c>
      <c r="BL167" s="363">
        <f>IF(OR(ISERROR(Model!BI266),ISERROR(Model!BL266),Model!BI266="",Model!BL266=""),"",IF(BL171&lt;&gt;"",(Model!BL266-Model!BI266),""))</f>
        <v>2.3170000000000002</v>
      </c>
      <c r="BM167" s="363">
        <f>IF(OR(ISERROR(Model!BL266),ISERROR(Model!BM266),Model!BL266="",Model!BM266=""),"",IF(BM171&lt;&gt;"",(Model!BM266-Model!BL266),""))</f>
        <v>5.799000000000003</v>
      </c>
      <c r="BN167" s="363">
        <f>IF(OR(ISERROR(Model!BM266),ISERROR(Model!BN266),Model!BM266="",Model!BN266=""),"",IF(BN171&lt;&gt;"",(Model!BN266-Model!BM266),""))</f>
        <v>9.0829999999999984</v>
      </c>
      <c r="BO167" s="363">
        <f>IF(OR(ISERROR(Model!BL266),ISERROR(Model!BO266),Model!BL266="",Model!BO266=""),"",IF(BO171&lt;&gt;"",(Model!BO266-Model!BL266),""))</f>
        <v>14.882000000000001</v>
      </c>
      <c r="BP167" s="363">
        <f>IF(OR(ISERROR(Model!BO266),ISERROR(Model!BP266),Model!BO266="",Model!BP266=""),"",IF(BP171&lt;&gt;"",(Model!BP266-Model!BO266),""))</f>
        <v>1.8799999999999955</v>
      </c>
      <c r="BQ167" s="363">
        <f>IF(OR(ISERROR(Model!BP266),ISERROR(Model!BQ266),Model!BP266="",Model!BQ266=""),"",IF(BQ171&lt;&gt;"",(Model!BQ266-Model!BP266),""))</f>
        <v>8.9260000000000019</v>
      </c>
      <c r="BR167" s="363">
        <f>IF(OR(ISERROR(Model!BO266),ISERROR(Model!BR266),Model!BO266="",Model!BR266=""),"",IF(BR171&lt;&gt;"",(Model!BR266-Model!BO266),""))</f>
        <v>10.805999999999997</v>
      </c>
      <c r="BS167" s="363">
        <f>IF(OR(ISERROR(Model!BR266),ISERROR(Model!BS266),Model!BR266="",Model!BS266=""),"",IF(BS171&lt;&gt;"",(Model!BS266-Model!BR266),""))</f>
        <v>4.088000000000001</v>
      </c>
      <c r="BT167" s="363">
        <f>IF(OR(ISERROR(Model!BS266),ISERROR(Model!BT266),Model!BS266="",Model!BT266=""),"",IF(BT171&lt;&gt;"",(Model!BT266-Model!BS266),""))</f>
        <v>0.49000000000000199</v>
      </c>
      <c r="BU167" s="363">
        <f>IF(OR(ISERROR(Model!BR266),ISERROR(Model!BU266),Model!BR266="",Model!BU266=""),"",IF(BU171&lt;&gt;"",(Model!BU266-Model!BR266),""))</f>
        <v>4.578000000000003</v>
      </c>
      <c r="BV167" s="363">
        <f>IF(OR(ISERROR(Model!BU266),ISERROR(Model!BV266),Model!BU266="",Model!BV266=""),"",IF(BV171&lt;&gt;"",(Model!BV266-Model!BU266),""))</f>
        <v>1.9999999999996021E-2</v>
      </c>
      <c r="BW167" s="363">
        <f>IF(OR(ISERROR(Model!BV266),ISERROR(Model!BW266),Model!BV266="",Model!BW266=""),"",IF(BW171&lt;&gt;"",(Model!BW266-Model!BV266),""))</f>
        <v>-1.1129999999999995</v>
      </c>
      <c r="BX167" s="363">
        <f>IF(OR(ISERROR(Model!BU266),ISERROR(Model!BX266),Model!BU266="",Model!BX266=""),"",IF(BX171&lt;&gt;"",(Model!BX266-Model!BU266),""))</f>
        <v>-1.0930000000000035</v>
      </c>
      <c r="BY167" s="363">
        <f>IF(OR(ISERROR(Model!BX266),ISERROR(Model!BY266),Model!BX266="",Model!BY266=""),"",IF(BY171&lt;&gt;"",(Model!BY266-Model!BX266),""))</f>
        <v>63.930000000000007</v>
      </c>
      <c r="BZ167" s="363">
        <f>IF(OR(ISERROR(Model!BY266),ISERROR(Model!BZ266),Model!BY266="",Model!BZ266=""),"",IF(BZ171&lt;&gt;"",(Model!BZ266-Model!BY266),""))</f>
        <v>-59.879000000000005</v>
      </c>
      <c r="CA167" s="363">
        <f>IF(OR(ISERROR(Model!BX266),ISERROR(Model!CA266),Model!BX266="",Model!CA266=""),"",IF(CA171&lt;&gt;"",(Model!CA266-Model!BX266),""))</f>
        <v>4.0510000000000019</v>
      </c>
      <c r="CB167" s="363">
        <f>IF(OR(ISERROR(Model!CA266),ISERROR(Model!CB266),Model!CA266="",Model!CB266=""),"",IF(CB171&lt;&gt;"",(Model!CB266-Model!CA266),""))</f>
        <v>-12.535000000000004</v>
      </c>
      <c r="CC167" s="363">
        <f>IF(OR(ISERROR(Model!CB266),ISERROR(Model!CC266),Model!CB266="",Model!CC266=""),"",IF(CC171&lt;&gt;"",(Model!CC266-Model!CB266),""))</f>
        <v>18.417000000000009</v>
      </c>
      <c r="CD167" s="363">
        <f>IF(OR(ISERROR(Model!CA266),ISERROR(Model!CD266),Model!CA266="",Model!CD266=""),"",IF(CD171&lt;&gt;"",(Model!CD266-Model!CA266),""))</f>
        <v>5.882000000000005</v>
      </c>
      <c r="CE167" s="363">
        <f>IF(OR(ISERROR(Model!CD266),ISERROR(Model!CE266),Model!CD266="",Model!CE266=""),"",IF(CE171&lt;&gt;"",(Model!CE266-Model!CD266),""))</f>
        <v>11.837999999999994</v>
      </c>
      <c r="CF167" s="363">
        <f>IF(OR(ISERROR(Model!CE266),ISERROR(Model!CF266),Model!CE266="",Model!CF266=""),"",IF(CF171&lt;&gt;"",(Model!CF266-Model!CE266),""))</f>
        <v>2.445999999999998</v>
      </c>
      <c r="CG167" s="363">
        <f>IF(OR(ISERROR(Model!CD266),ISERROR(Model!CG266),Model!CD266="",Model!CG266=""),"",IF(CG171&lt;&gt;"",(Model!CG266-Model!CD266),""))</f>
        <v>14.283999999999992</v>
      </c>
      <c r="CH167" s="363">
        <f>IF(OR(ISERROR(Model!CG266),ISERROR(Model!CH266),Model!CG266="",Model!CH266=""),"",IF(CH171&lt;&gt;"",(Model!CH266-Model!CG266),""))</f>
        <v>-8.1850000000000023</v>
      </c>
      <c r="CI167" s="363">
        <f>IF(OR(ISERROR(Model!CH266),ISERROR(Model!CI266),Model!CH266="",Model!CI266=""),"",IF(CI171&lt;&gt;"",(Model!CI266-Model!CH266),""))</f>
        <v>23.356000000000009</v>
      </c>
      <c r="CJ167" s="363">
        <f>IF(OR(ISERROR(Model!CG266),ISERROR(Model!CJ266),Model!CG266="",Model!CJ266=""),"",IF(CJ171&lt;&gt;"",(Model!CJ266-Model!CG266),""))</f>
        <v>15.171000000000006</v>
      </c>
      <c r="CK167" s="363">
        <f>IF(OR(ISERROR(Model!CJ266),ISERROR(Model!CK266),Model!CJ266="",Model!CK266=""),"",IF(CK171&lt;&gt;"",(Model!CK266-Model!CJ266),""))</f>
        <v>-19.287000000000006</v>
      </c>
      <c r="CL167" s="363">
        <f>IF(OR(ISERROR(Model!CK266),ISERROR(Model!CL266),Model!CK266="",Model!CL266=""),"",IF(CL171&lt;&gt;"",(Model!CL266-Model!CK266),""))</f>
        <v>15.858000000000004</v>
      </c>
      <c r="CM167" s="363">
        <f>IF(OR(ISERROR(Model!CJ266),ISERROR(Model!CM266),Model!CJ266="",Model!CM266=""),"",IF(CM171&lt;&gt;"",(Model!CM266-Model!CJ266),""))</f>
        <v>-3.429000000000002</v>
      </c>
      <c r="CN167" s="363">
        <f>IF(OR(ISERROR(Model!CM266),ISERROR(Model!CN266),Model!CM266="",Model!CN266=""),"",IF(CN171&lt;&gt;"",(Model!CN266-Model!CM266),""))</f>
        <v>8.0220000000000056</v>
      </c>
      <c r="CO167" s="363">
        <f>IF(OR(ISERROR(Model!CN266),ISERROR(Model!CO266),Model!CN266="",Model!CO266=""),"",IF(CO171&lt;&gt;"",(Model!CO266-Model!CN266),""))</f>
        <v>-26.167000000000002</v>
      </c>
      <c r="CP167" s="363">
        <f>IF(OR(ISERROR(Model!CM266),ISERROR(Model!CP266),Model!CM266="",Model!CP266=""),"",IF(CP171&lt;&gt;"",(Model!CP266-Model!CM266),""))</f>
        <v>-18.144999999999996</v>
      </c>
      <c r="CQ167" s="363">
        <f>IF(OR(ISERROR(Model!CP266),ISERROR(Model!CQ266),Model!CP266="",Model!CQ266=""),"",IF(CQ171&lt;&gt;"",(Model!CQ266-Model!CP266),""))</f>
        <v>6.3859999999999957</v>
      </c>
      <c r="CR167" s="363">
        <f>IF(OR(ISERROR(Model!CQ266),ISERROR(Model!CR266),Model!CQ266="",Model!CR266=""),"",IF(CR171&lt;&gt;"",(Model!CR266-Model!CQ266),""))</f>
        <v>14.828000000000003</v>
      </c>
      <c r="CS167" s="363">
        <f>IF(OR(ISERROR(Model!CP266),ISERROR(Model!CS266),Model!CP266="",Model!CS266=""),"",IF(CS171&lt;&gt;"",(Model!CS266-Model!CP266),""))</f>
        <v>21.213999999999999</v>
      </c>
      <c r="CT167" s="363">
        <f>IF(OR(ISERROR(Model!CS266),ISERROR(Model!CT266),Model!CS266="",Model!CT266=""),"",IF(CT171&lt;&gt;"",(Model!CT266-Model!CS266),""))</f>
        <v>7.4369999999999976</v>
      </c>
      <c r="CU167" s="363">
        <f>IF(OR(ISERROR(Model!CT266),ISERROR(Model!CU266),Model!CT266="",Model!CU266=""),"",IF(CU171&lt;&gt;"",(Model!CU266-Model!CT266),""))</f>
        <v>3.0589999999999975</v>
      </c>
      <c r="CV167" s="363">
        <f>IF(OR(ISERROR(Model!CS266),ISERROR(Model!CV266),Model!CS266="",Model!CV266=""),"",IF(CV171&lt;&gt;"",(Model!CV266-Model!CS266),""))</f>
        <v>10.495999999999995</v>
      </c>
      <c r="CW167" s="363">
        <f>IF(OR(ISERROR(Model!CV266),ISERROR(Model!CW266),Model!CV266="",Model!CW266=""),"",IF(CW171&lt;&gt;"",(Model!CW266-Model!CV266),""))</f>
        <v>-0.76500000000000057</v>
      </c>
      <c r="CX167" s="363">
        <f>IF(OR(ISERROR(Model!CW266),ISERROR(Model!CX266),Model!CW266="",Model!CX266=""),"",IF(CX171&lt;&gt;"",(Model!CX266-Model!CW266),""))</f>
        <v>21.322000000000003</v>
      </c>
      <c r="CY167" s="363">
        <f>IF(OR(ISERROR(Model!CV266),ISERROR(Model!CY266),Model!CV266="",Model!CY266=""),"",IF(CY171&lt;&gt;"",(Model!CY266-Model!CV266),""))</f>
        <v>20.557000000000002</v>
      </c>
      <c r="CZ167" s="363">
        <f>IF(OR(ISERROR(Model!CY266),ISERROR(Model!CZ266),Model!CY266="",Model!CZ266=""),"",IF(CZ171&lt;&gt;"",(Model!CZ266-Model!CY266),""))</f>
        <v>-14.210999999999999</v>
      </c>
      <c r="DA167" s="363">
        <f>IF(OR(ISERROR(Model!CZ266),ISERROR(Model!DA266),Model!CZ266="",Model!DA266=""),"",IF(DA171&lt;&gt;"",(Model!DA266-Model!CZ266),""))</f>
        <v>23.799999999999997</v>
      </c>
      <c r="DB167" s="363">
        <f>IF(OR(ISERROR(Model!CY266),ISERROR(Model!DB266),Model!CY266="",Model!DB266=""),"",IF(DB171&lt;&gt;"",(Model!DB266-Model!CY266),""))</f>
        <v>9.5889999999999986</v>
      </c>
      <c r="DC167" s="363">
        <f>IF(OR(ISERROR(Model!DB266),ISERROR(Model!DC266),Model!DB266="",Model!DC266=""),"",IF(DC171&lt;&gt;"",(Model!DC266-Model!DB266),""))</f>
        <v>3.5999999999999943</v>
      </c>
      <c r="DD167" s="363">
        <f>IF(OR(ISERROR(Model!DC266),ISERROR(Model!DD266),Model!DC266="",Model!DD266=""),"",IF(DD171&lt;&gt;"",(Model!DD266-Model!DC266),""))</f>
        <v>16.700000000000017</v>
      </c>
      <c r="DE167" s="363">
        <f>IF(OR(ISERROR(Model!DB266),ISERROR(Model!DE266),Model!DB266="",Model!DE266=""),"",IF(DE171&lt;&gt;"",(Model!DE266-Model!DB266),""))</f>
        <v>20.300000000000011</v>
      </c>
      <c r="DF167" s="363">
        <f>IF(OR(ISERROR(Model!DE266),ISERROR(Model!DF266),Model!DE266="",Model!DF266=""),"",IF(DF171&lt;&gt;"",(Model!DF266-Model!DE266),""))</f>
        <v>-2.2000000000000171</v>
      </c>
      <c r="DG167" s="363">
        <f>IF(OR(ISERROR(Model!DF266),ISERROR(Model!DG266),Model!DF266="",Model!DG266=""),"",IF(DG171&lt;&gt;"",(Model!DG266-Model!DF266),""))</f>
        <v>0.70000000000001705</v>
      </c>
      <c r="DH167" s="363">
        <f>IF(OR(ISERROR(Model!DE266),ISERROR(Model!DH266),Model!DE266="",Model!DH266=""),"",IF(DH171&lt;&gt;"",(Model!DH266-Model!DE266),""))</f>
        <v>-1.5</v>
      </c>
      <c r="DI167" s="363">
        <f>IF(OR(ISERROR(Model!DH266),ISERROR(Model!DI266),Model!DH266="",Model!DI266=""),"",IF(DI171&lt;&gt;"",(Model!DI266-Model!DH266),""))</f>
        <v>-13</v>
      </c>
      <c r="DJ167" s="363">
        <f>IF(OR(ISERROR(Model!DI266),ISERROR(Model!DJ266),Model!DI266="",Model!DJ266=""),"",IF(DJ171&lt;&gt;"",(Model!DJ266-Model!DI266),""))</f>
        <v>56.599999999999994</v>
      </c>
      <c r="DK167" s="1210">
        <f>IF(OR(ISERROR(Model!DH266),ISERROR(Model!DK266),Model!DH266="",Model!DK266=""),"",IF(DK171&lt;&gt;"",(Model!DK266-Model!DH266),""))</f>
        <v>43.599999999999994</v>
      </c>
      <c r="DL167" s="363">
        <f>IF(OR(ISERROR(Model!DK266),ISERROR(Model!DL266),Model!DK266="",Model!DL266=""),"",IF(DL171&lt;&gt;"",(Model!DL266-Model!DK266),""))</f>
        <v>-33.099999999999994</v>
      </c>
      <c r="DM167" s="363">
        <f>IF(OR(ISERROR(Model!DL266),ISERROR(Model!DM266),Model!DL266="",Model!DM266=""),"",IF(DM171&lt;&gt;"",(Model!DM266-Model!DL266),""))</f>
        <v>62.599999999999994</v>
      </c>
      <c r="DN167" s="1210">
        <f>IF(OR(ISERROR(Model!DK266),ISERROR(Model!DN266),Model!DK266="",Model!DN266=""),"",IF(DN171&lt;&gt;"",(Model!DN266-Model!DK266),""))</f>
        <v>29.5</v>
      </c>
      <c r="DO167" s="363">
        <f>IF(OR(ISERROR(Model!DN266),ISERROR(Model!DO266),Model!DN266="",Model!DO266=""),"",IF(DO171&lt;&gt;"",(Model!DO266-Model!DN266),""))</f>
        <v>-31.200000000000017</v>
      </c>
      <c r="DP167" s="363">
        <f>IF(OR(ISERROR(Model!DO266),ISERROR(Model!DP266),Model!DO266="",Model!DP266=""),"",IF(DP171&lt;&gt;"",(Model!DP266-Model!DO266),""))</f>
        <v>69.199999999999989</v>
      </c>
      <c r="DQ167" s="1210">
        <f>IF(OR(ISERROR(Model!DN266),ISERROR(Model!DQ266),Model!DN266="",Model!DQ266=""),"",IF(DQ171&lt;&gt;"",(Model!DQ266-Model!DN266),""))</f>
        <v>37.999999999999972</v>
      </c>
      <c r="DR167" s="363">
        <f>IF(OR(ISERROR(Model!DQ266),ISERROR(Model!DR266),Model!DQ266="",Model!DR266=""),"",IF(DR171&lt;&gt;"",(Model!DR266-Model!DQ266),""))</f>
        <v>-23.299999999999983</v>
      </c>
      <c r="DS167" s="363">
        <f>IF(OR(ISERROR(Model!DR266),ISERROR(Model!DS266),Model!DR266="",Model!DS266=""),"",IF(DS171&lt;&gt;"",(Model!DS266-Model!DR266),""))</f>
        <v>56.099999999999994</v>
      </c>
      <c r="DT167" s="1210">
        <f>IF(OR(ISERROR(Model!DQ266),ISERROR(Model!DT266),Model!DQ266="",Model!DT266=""),"",IF(DT171&lt;&gt;"",(Model!DT266-Model!DQ266),""))</f>
        <v>32.800000000000011</v>
      </c>
      <c r="DU167" s="363">
        <f>IF(OR(ISERROR(Model!DT266),ISERROR(Model!DU266),Model!DT266="",Model!DU266=""),"",IF(DU171&lt;&gt;"",(Model!DU266-Model!DT266),""))</f>
        <v>-17.699999999999989</v>
      </c>
      <c r="DV167" s="363">
        <f>IF(OR(ISERROR(Model!DU266),ISERROR(Model!DV266),Model!DU266="",Model!DV266=""),"",IF(DV171&lt;&gt;"",(Model!DV266-Model!DU266),""))</f>
        <v>12.899999999999977</v>
      </c>
      <c r="DW167" s="1210">
        <f>IF(OR(ISERROR(Model!DT266),ISERROR(Model!DW266),Model!DT266="",Model!DW266=""),"",IF(DW171&lt;&gt;"",(Model!DW266-Model!DT266),""))</f>
        <v>-4.8000000000000114</v>
      </c>
      <c r="DX167" s="363">
        <f>IF(OR(ISERROR(Model!DW266),ISERROR(Model!DX266),Model!DW266="",Model!DX266=""),"",IF(DX171&lt;&gt;"",(Model!DX266-Model!DW266),""))</f>
        <v>-17.099999999999966</v>
      </c>
      <c r="DY167" s="363">
        <f>IF(OR(ISERROR(Model!DX266),ISERROR(Model!DY266),Model!DX266="",Model!DY266=""),"",IF(DY171&lt;&gt;"",(Model!DY266-Model!DX266),""))</f>
        <v>19.848389300104543</v>
      </c>
      <c r="DZ167" s="1210">
        <f>IF(OR(ISERROR(Model!DW266),ISERROR(Model!DZ266),Model!DW266="",Model!DZ266=""),"",IF(DZ171&lt;&gt;"",(Model!DZ266-Model!DW266),""))</f>
        <v>2.7483893001045772</v>
      </c>
      <c r="EA167" s="363">
        <f>IF(OR(ISERROR(Model!DZ266),ISERROR(Model!EA266),Model!DZ266="",Model!EA266=""),"",IF(EA171&lt;&gt;"",(Model!EA266-Model!DZ266),""))</f>
        <v>32.94610895662413</v>
      </c>
      <c r="EB167" s="363">
        <f>IF(OR(ISERROR(Model!EA266),ISERROR(Model!EB266),Model!EA266="",Model!EB266=""),"",IF(EB171&lt;&gt;"",(Model!EB266-Model!EA266),""))</f>
        <v>5.1466269633370416</v>
      </c>
      <c r="EC167" s="1210">
        <f>IF(OR(ISERROR(Model!DZ266),ISERROR(Model!EC266),Model!DZ266="",Model!EC266=""),"",IF(EC171&lt;&gt;"",(Model!EC266-Model!DZ266),""))</f>
        <v>38.092735919961171</v>
      </c>
      <c r="ED167" s="363">
        <f>IF(OR(ISERROR(Model!EC266),ISERROR(Model!ED266),Model!EC266="",Model!ED266=""),"",IF(ED171&lt;&gt;"",(Model!ED266-Model!EC266),""))</f>
        <v>22.867810868670404</v>
      </c>
      <c r="EE167" s="363">
        <f>IF(OR(ISERROR(Model!ED266),ISERROR(Model!EE266),Model!ED266="",Model!EE266=""),"",IF(EE171&lt;&gt;"",(Model!EE266-Model!ED266),""))</f>
        <v>5.6005257898159471</v>
      </c>
      <c r="EF167" s="1210">
        <f>IF(OR(ISERROR(Model!EC266),ISERROR(Model!EF266),Model!EC266="",Model!EF266=""),"",IF(EF171&lt;&gt;"",(Model!EF266-Model!EC266),""))</f>
        <v>28.468336658486351</v>
      </c>
      <c r="EG167" s="363">
        <f>IF(OR(ISERROR(Model!EF266),ISERROR(Model!EG266),Model!EF266="",Model!EG266=""),"",IF(EG171&lt;&gt;"",(Model!EG266-Model!EF266),""))</f>
        <v>26.989278458170247</v>
      </c>
      <c r="EH167" s="363">
        <f>IF(OR(ISERROR(Model!EG266),ISERROR(Model!EH266),Model!EG266="",Model!EH266=""),"",IF(EH171&lt;&gt;"",(Model!EH266-Model!EG266),""))</f>
        <v>6.1045731108993664</v>
      </c>
      <c r="EI167" s="1210">
        <f>IF(OR(ISERROR(Model!EF266),ISERROR(Model!EI266),Model!EF266="",Model!EI266=""),"",IF(EI171&lt;&gt;"",(Model!EI266-Model!EF266),""))</f>
        <v>33.093851569069614</v>
      </c>
      <c r="EJ167" s="363">
        <f>IF(OR(ISERROR(Model!EI266),ISERROR(Model!EJ266),Model!EI266="",Model!EJ266=""),"",IF(EJ171&lt;&gt;"",(Model!EJ266-Model!EI266),""))</f>
        <v>29.418313519405672</v>
      </c>
      <c r="EK167" s="363">
        <f>IF(OR(ISERROR(Model!EJ266),ISERROR(Model!EK266),Model!EJ266="",Model!EK266=""),"",IF(EK171&lt;&gt;"",(Model!EK266-Model!EJ266),""))</f>
        <v>6.6539846908803497</v>
      </c>
      <c r="EL167" s="1210">
        <f>IF(OR(ISERROR(Model!EI266),ISERROR(Model!EL266),Model!EI266="",Model!EL266=""),"",IF(EL171&lt;&gt;"",(Model!EL266-Model!EI266),""))</f>
        <v>36.072298210286021</v>
      </c>
      <c r="EM167" s="363">
        <f>IF(OR(ISERROR(Model!EL266),ISERROR(Model!EM266),Model!EL266="",Model!EM266=""),"",IF(EM171&lt;&gt;"",(Model!EM266-Model!EL266),""))</f>
        <v>32.065961736152133</v>
      </c>
      <c r="EN167" s="363">
        <f>IF(OR(ISERROR(Model!EM266),ISERROR(Model!EN266),Model!EM266="",Model!EN266=""),"",IF(EN171&lt;&gt;"",(Model!EN266-Model!EM266),""))</f>
        <v>7.2528433130596</v>
      </c>
      <c r="EO167" s="1210">
        <f>IF(OR(ISERROR(Model!EL266),ISERROR(Model!EO266),Model!EL266="",Model!EO266=""),"",IF(EO171&lt;&gt;"",(Model!EO266-Model!EL266),""))</f>
        <v>39.318805049211733</v>
      </c>
      <c r="EP167" s="363">
        <f>IF(OR(ISERROR(Model!EO266),ISERROR(Model!EP266),Model!EO266="",Model!EP266=""),"",IF(EP171&lt;&gt;"",(Model!EP266-Model!EO266),""))</f>
        <v>34.951898292405815</v>
      </c>
      <c r="EQ167" s="363">
        <f>IF(OR(ISERROR(Model!EP266),ISERROR(Model!EQ266),Model!EP266="",Model!EQ266=""),"",IF(EQ171&lt;&gt;"",(Model!EQ266-Model!EP266),""))</f>
        <v>7.9055992112350282</v>
      </c>
      <c r="ER167" s="1210">
        <f>IF(OR(ISERROR(Model!EO266),ISERROR(Model!ER266),Model!EO266="",Model!ER266=""),"",IF(ER171&lt;&gt;"",(Model!ER266-Model!EO266),""))</f>
        <v>42.857497503640843</v>
      </c>
      <c r="ES167" s="363">
        <f>IF(OR(ISERROR(Model!ER266),ISERROR(Model!ES266),Model!ER266="",Model!ES266=""),"",IF(ES171&lt;&gt;"",(Model!ES266-Model!ER266),""))</f>
        <v>38.097569138722292</v>
      </c>
      <c r="ET167" s="363">
        <f>IF(OR(ISERROR(Model!ES266),ISERROR(Model!ET266),Model!ES266="",Model!ET266=""),"",IF(ET171&lt;&gt;"",(Model!ET266-Model!ES266),""))</f>
        <v>8.6171031402461722</v>
      </c>
      <c r="EU167" s="1210">
        <f>IF(OR(ISERROR(Model!ER266),ISERROR(Model!EU266),Model!ER266="",Model!EU266=""),"",IF(EU171&lt;&gt;"",(Model!EU266-Model!ER266),""))</f>
        <v>46.714672278968465</v>
      </c>
      <c r="EV167" s="363">
        <f>IF(OR(ISERROR(Model!EU266),ISERROR(Model!EV266),Model!EU266="",Model!EV266=""),"",IF(EV171&lt;&gt;"",(Model!EV266-Model!EU266),""))</f>
        <v>41.526350361207392</v>
      </c>
      <c r="EW167" s="363">
        <f>IF(OR(ISERROR(Model!EV266),ISERROR(Model!EW266),Model!EV266="",Model!EW266=""),"",IF(EW171&lt;&gt;"",(Model!EW266-Model!EV266),""))</f>
        <v>9.3926424228682208</v>
      </c>
      <c r="EX167" s="1210">
        <f>IF(OR(ISERROR(Model!EU266),ISERROR(Model!EX266),Model!EU266="",Model!EX266=""),"",IF(EX171&lt;&gt;"",(Model!EX266-Model!EU266),""))</f>
        <v>50.918992784075613</v>
      </c>
      <c r="EY167" s="363">
        <f>IF(OR(ISERROR(Model!EX266),ISERROR(Model!EY266),Model!EX266="",Model!EY266=""),"",IF(EY171&lt;&gt;"",(Model!EY266-Model!EX266),""))</f>
        <v>45.263721893716024</v>
      </c>
      <c r="EZ167" s="363">
        <f>IF(OR(ISERROR(Model!EY266),ISERROR(Model!EZ266),Model!EY266="",Model!EZ266=""),"",IF(EZ171&lt;&gt;"",(Model!EZ266-Model!EY266),""))</f>
        <v>10.23798024092639</v>
      </c>
      <c r="FA167" s="363">
        <f>IF(OR(ISERROR(Model!EX266),ISERROR(Model!FA266),Model!EX266="",Model!FA266=""),"",IF(FA171&lt;&gt;"",(Model!FA266-Model!EX266),""))</f>
        <v>55.501702134642414</v>
      </c>
    </row>
    <row r="168" spans="1:157" ht="13.35" customHeight="1">
      <c r="A168" s="5"/>
      <c r="B168" s="5" t="s">
        <v>405</v>
      </c>
      <c r="C168" s="5"/>
      <c r="D168" s="5"/>
      <c r="E168" s="359"/>
      <c r="F168" s="359"/>
      <c r="G168" s="359"/>
      <c r="H168" s="359"/>
      <c r="I168" s="359"/>
      <c r="J168" s="359"/>
      <c r="K168" s="359"/>
      <c r="L168" s="359"/>
      <c r="M168" s="359"/>
      <c r="N168" s="359"/>
      <c r="O168" s="359"/>
      <c r="P168" s="359"/>
      <c r="Q168" s="359"/>
      <c r="R168" s="359"/>
      <c r="S168" s="359"/>
      <c r="T168" s="359"/>
      <c r="U168" s="359"/>
      <c r="V168" s="359"/>
      <c r="W168" s="359"/>
      <c r="X168" s="359"/>
      <c r="Y168" s="359"/>
      <c r="Z168" s="359"/>
      <c r="AA168" s="359"/>
      <c r="AB168" s="359"/>
      <c r="AC168" s="359"/>
      <c r="AD168" s="359"/>
      <c r="AE168" s="359"/>
      <c r="AF168" s="359"/>
      <c r="AG168" s="359"/>
      <c r="AH168" s="359"/>
      <c r="AI168" s="359"/>
      <c r="AJ168" s="359"/>
      <c r="AK168" s="359"/>
      <c r="AL168" s="359"/>
      <c r="AM168" s="359"/>
      <c r="AN168" s="359"/>
      <c r="AO168" s="359"/>
      <c r="AP168" s="359"/>
      <c r="AQ168" s="359"/>
      <c r="AR168" s="359"/>
      <c r="AS168" s="359"/>
      <c r="AT168" s="359"/>
      <c r="AU168" s="359"/>
      <c r="AV168" s="359"/>
      <c r="AW168" s="359"/>
      <c r="AX168" s="359"/>
      <c r="AY168" s="359"/>
      <c r="AZ168" s="359"/>
      <c r="BA168" s="359"/>
      <c r="BB168" s="359"/>
      <c r="BC168" s="359"/>
      <c r="BD168" s="359"/>
      <c r="BE168" s="359"/>
      <c r="BF168" s="359"/>
      <c r="BG168" s="359"/>
      <c r="BH168" s="359"/>
      <c r="BI168" s="359"/>
      <c r="BJ168" s="359"/>
      <c r="BK168" s="359"/>
      <c r="BL168" s="359"/>
      <c r="BM168" s="359"/>
      <c r="BN168" s="359"/>
      <c r="BO168" s="359"/>
      <c r="BP168" s="359"/>
      <c r="BQ168" s="359"/>
      <c r="BR168" s="359"/>
      <c r="BS168" s="359"/>
      <c r="BT168" s="359"/>
      <c r="BU168" s="359"/>
      <c r="BV168" s="359"/>
      <c r="BW168" s="359"/>
      <c r="BX168" s="359"/>
      <c r="BY168" s="359"/>
      <c r="BZ168" s="359"/>
      <c r="CA168" s="359"/>
      <c r="CB168" s="359"/>
      <c r="CC168" s="359"/>
      <c r="CD168" s="359"/>
      <c r="CE168" s="359">
        <f>Model!CE266</f>
        <v>82.600999999999999</v>
      </c>
      <c r="CF168" s="359">
        <f>Model!CF266</f>
        <v>85.046999999999997</v>
      </c>
      <c r="CG168" s="359">
        <f>Model!CG266</f>
        <v>85.046999999999997</v>
      </c>
      <c r="CH168" s="359">
        <f>Model!CH266</f>
        <v>76.861999999999995</v>
      </c>
      <c r="CI168" s="359">
        <f>Model!CI266</f>
        <v>100.218</v>
      </c>
      <c r="CJ168" s="359">
        <f>Model!CJ266</f>
        <v>100.218</v>
      </c>
      <c r="CK168" s="359">
        <f>Model!CK266</f>
        <v>80.930999999999997</v>
      </c>
      <c r="CL168" s="359">
        <f>Model!CL266</f>
        <v>96.789000000000001</v>
      </c>
      <c r="CM168" s="359">
        <f>Model!CM266</f>
        <v>96.789000000000001</v>
      </c>
      <c r="CN168" s="359"/>
      <c r="CO168" s="359"/>
      <c r="CP168" s="359"/>
      <c r="CQ168" s="359"/>
      <c r="CR168" s="359"/>
      <c r="CS168" s="359"/>
      <c r="CT168" s="359"/>
      <c r="CU168" s="359"/>
      <c r="CV168" s="359"/>
      <c r="CW168" s="359"/>
      <c r="CX168" s="359"/>
      <c r="CY168" s="359"/>
      <c r="CZ168" s="359"/>
      <c r="DA168" s="359"/>
      <c r="DB168" s="359"/>
      <c r="DC168" s="359"/>
      <c r="DD168" s="359"/>
      <c r="DE168" s="359"/>
      <c r="DF168" s="359"/>
      <c r="DG168" s="359"/>
      <c r="DH168" s="359"/>
      <c r="DI168" s="359"/>
      <c r="DJ168" s="359"/>
      <c r="DK168" s="1208"/>
      <c r="DL168" s="359"/>
      <c r="DM168" s="359"/>
      <c r="DN168" s="1208"/>
      <c r="DO168" s="359"/>
      <c r="DP168" s="359"/>
      <c r="DQ168" s="1208"/>
      <c r="DR168" s="359"/>
      <c r="DS168" s="359"/>
      <c r="DT168" s="1208"/>
      <c r="DU168" s="359"/>
      <c r="DV168" s="359"/>
      <c r="DW168" s="1208"/>
      <c r="DX168" s="359"/>
      <c r="DY168" s="359"/>
      <c r="DZ168" s="1208"/>
      <c r="EA168" s="359"/>
      <c r="EB168" s="359"/>
      <c r="EC168" s="1208"/>
      <c r="ED168" s="359"/>
      <c r="EE168" s="359"/>
      <c r="EF168" s="1208"/>
      <c r="EG168" s="359"/>
      <c r="EH168" s="359"/>
      <c r="EI168" s="1208"/>
      <c r="EJ168" s="359"/>
      <c r="EK168" s="359"/>
      <c r="EL168" s="1208"/>
      <c r="EM168" s="359"/>
      <c r="EN168" s="359"/>
      <c r="EO168" s="1208"/>
      <c r="EP168" s="359"/>
      <c r="EQ168" s="359"/>
      <c r="ER168" s="1208"/>
      <c r="ES168" s="359"/>
      <c r="ET168" s="359"/>
      <c r="EU168" s="1208"/>
      <c r="EV168" s="359"/>
      <c r="EW168" s="359"/>
      <c r="EX168" s="1208"/>
      <c r="EY168" s="359"/>
      <c r="EZ168" s="359"/>
      <c r="FA168" s="359"/>
    </row>
    <row r="169" spans="1:157" ht="13.35" customHeight="1">
      <c r="A169" s="5"/>
      <c r="B169" s="5" t="s">
        <v>740</v>
      </c>
      <c r="C169" s="5"/>
      <c r="D169" s="5"/>
      <c r="E169" s="356">
        <f>IF(ISERROR(Model!E333),"",Model!E333)</f>
        <v>0</v>
      </c>
      <c r="F169" s="356">
        <f>IF(ISERROR(Model!F333),"",Model!F333)</f>
        <v>0</v>
      </c>
      <c r="G169" s="356">
        <f>IF(ISERROR(Model!G333),"",Model!G333)</f>
        <v>0</v>
      </c>
      <c r="H169" s="356">
        <f>IF(ISERROR(Model!H333),"",Model!H333)</f>
        <v>0</v>
      </c>
      <c r="I169" s="356">
        <f>IF(ISERROR(Model!I333),"",Model!I333)</f>
        <v>0</v>
      </c>
      <c r="J169" s="356">
        <f>IF(ISERROR(Model!J333),"",Model!J333)</f>
        <v>0</v>
      </c>
      <c r="K169" s="356">
        <f>IF(ISERROR(Model!K333),"",Model!K333)</f>
        <v>0</v>
      </c>
      <c r="L169" s="356">
        <f>IF(ISERROR(Model!L333),"",Model!L333)</f>
        <v>0</v>
      </c>
      <c r="M169" s="356">
        <f>IF(ISERROR(Model!M333),"",Model!M333)</f>
        <v>0</v>
      </c>
      <c r="N169" s="356">
        <f>IF(ISERROR(Model!N333),"",Model!N333)</f>
        <v>0</v>
      </c>
      <c r="O169" s="356">
        <f>IF(ISERROR(Model!O333),"",Model!O333)</f>
        <v>0</v>
      </c>
      <c r="P169" s="356">
        <f>IF(ISERROR(Model!P333),"",Model!P333)</f>
        <v>0</v>
      </c>
      <c r="Q169" s="356">
        <f>IF(ISERROR(Model!Q333),"",Model!Q333)</f>
        <v>0</v>
      </c>
      <c r="R169" s="356">
        <f>IF(ISERROR(Model!R333),"",Model!R333)</f>
        <v>0</v>
      </c>
      <c r="S169" s="356">
        <f>IF(ISERROR(Model!S333),"",Model!S333)</f>
        <v>0</v>
      </c>
      <c r="T169" s="356">
        <f>IF(ISERROR(Model!T333),"",Model!T333)</f>
        <v>0</v>
      </c>
      <c r="U169" s="356">
        <f>IF(ISERROR(Model!U333),"",Model!U333)</f>
        <v>0</v>
      </c>
      <c r="V169" s="356">
        <f>IF(ISERROR(Model!V333),"",Model!V333)</f>
        <v>0</v>
      </c>
      <c r="W169" s="356">
        <f>IF(ISERROR(Model!W333),"",Model!W333)</f>
        <v>0</v>
      </c>
      <c r="X169" s="356">
        <f>IF(ISERROR(Model!X333),"",Model!X333)</f>
        <v>0</v>
      </c>
      <c r="Y169" s="356">
        <f>IF(ISERROR(Model!Y333),"",Model!Y333)</f>
        <v>0</v>
      </c>
      <c r="Z169" s="356">
        <f>IF(ISERROR(Model!Z333),"",Model!Z333)</f>
        <v>0</v>
      </c>
      <c r="AA169" s="356">
        <f>IF(ISERROR(Model!AA333),"",Model!AA333)</f>
        <v>0</v>
      </c>
      <c r="AB169" s="356">
        <f>IF(ISERROR(Model!AB333),"",Model!AB333)</f>
        <v>0</v>
      </c>
      <c r="AC169" s="356">
        <f>IF(ISERROR(Model!AC333),"",Model!AC333)</f>
        <v>0</v>
      </c>
      <c r="AD169" s="356">
        <f>IF(ISERROR(Model!AD333),"",Model!AD333)</f>
        <v>0</v>
      </c>
      <c r="AE169" s="356">
        <f>IF(ISERROR(Model!AE333),"",Model!AE333)</f>
        <v>0</v>
      </c>
      <c r="AF169" s="356">
        <f>IF(ISERROR(Model!AF333),"",Model!AF333)</f>
        <v>0</v>
      </c>
      <c r="AG169" s="356">
        <f>IF(ISERROR(Model!AG333),"",Model!AG333)</f>
        <v>0</v>
      </c>
      <c r="AH169" s="356">
        <f>IF(ISERROR(Model!AH333),"",Model!AH333)</f>
        <v>0</v>
      </c>
      <c r="AI169" s="356">
        <f>IF(ISERROR(Model!AI333),"",Model!AI333)</f>
        <v>0.2105146537461593</v>
      </c>
      <c r="AJ169" s="356">
        <f>IF(ISERROR(Model!AJ333),"",Model!AJ333)</f>
        <v>0.20247457724771695</v>
      </c>
      <c r="AK169" s="356">
        <f>IF(ISERROR(Model!AK333),"",Model!AK333)</f>
        <v>0.20502909817534748</v>
      </c>
      <c r="AL169" s="356">
        <f>IF(ISERROR(Model!AL333),"",Model!AL333)</f>
        <v>0.17496171516079634</v>
      </c>
      <c r="AM169" s="356">
        <f>IF(ISERROR(Model!AM333),"",Model!AM333)</f>
        <v>0.16503766768420752</v>
      </c>
      <c r="AN169" s="356">
        <f>IF(ISERROR(Model!AN333),"",Model!AN333)</f>
        <v>0.1630716015219647</v>
      </c>
      <c r="AO169" s="356">
        <f>IF(ISERROR(Model!AO333),"",Model!AO333)</f>
        <v>0.163532309910776</v>
      </c>
      <c r="AP169" s="356">
        <f>IF(ISERROR(Model!AP333),"",Model!AP333)</f>
        <v>0.20040905089835861</v>
      </c>
      <c r="AQ169" s="356">
        <f>IF(ISERROR(Model!AQ333),"",Model!AQ333)</f>
        <v>0.21528791734456915</v>
      </c>
      <c r="AR169" s="356">
        <f>IF(ISERROR(Model!AR333),"",Model!AR333)</f>
        <v>0.2208898560118524</v>
      </c>
      <c r="AS169" s="356">
        <f>IF(ISERROR(Model!AS333),"",Model!AS333)</f>
        <v>0.18812371134020622</v>
      </c>
      <c r="AT169" s="356">
        <f>IF(ISERROR(Model!AT333),"",Model!AT333)</f>
        <v>0.19900106872559928</v>
      </c>
      <c r="AU169" s="356">
        <f>IF(ISERROR(Model!AU333),"",Model!AU333)</f>
        <v>0.16772055888223555</v>
      </c>
      <c r="AV169" s="356">
        <f>IF(ISERROR(Model!AV333),"",Model!AV333)</f>
        <v>0.13176931656236449</v>
      </c>
      <c r="AW169" s="356">
        <f>IF(ISERROR(Model!AW333),"",Model!AW333)</f>
        <v>0.13376998136514104</v>
      </c>
      <c r="AX169" s="356">
        <f>IF(ISERROR(Model!AX333),"",Model!AX333)</f>
        <v>0.16465051736100636</v>
      </c>
      <c r="AY169" s="356">
        <f>IF(ISERROR(Model!AY333),"",Model!AY333)</f>
        <v>0.20414204983303369</v>
      </c>
      <c r="AZ169" s="356">
        <f>IF(ISERROR(Model!AZ333),"",Model!AZ333)</f>
        <v>0.22051499049653855</v>
      </c>
      <c r="BA169" s="356">
        <f>IF(ISERROR(Model!BA333),"",Model!BA333)</f>
        <v>0.20141365010464307</v>
      </c>
      <c r="BB169" s="356">
        <f>IF(ISERROR(Model!BB333),"",Model!BB333)</f>
        <v>0.18182168122289422</v>
      </c>
      <c r="BC169" s="356">
        <f>(Model!BC231/Model!BC30)</f>
        <v>0.19313437311174819</v>
      </c>
      <c r="BD169" s="356">
        <f>(Model!BD231/Model!BD30)/2</f>
        <v>0.21994004246991716</v>
      </c>
      <c r="BE169" s="356">
        <v>0.2</v>
      </c>
      <c r="BF169" s="356">
        <v>0.2</v>
      </c>
      <c r="BG169" s="356">
        <v>0.18</v>
      </c>
      <c r="BH169" s="356">
        <f>BG169</f>
        <v>0.18</v>
      </c>
      <c r="BI169" s="356">
        <f>BH169</f>
        <v>0.18</v>
      </c>
      <c r="BJ169" s="356">
        <f>Model!BJ231/((Model!BJ30)*2)</f>
        <v>0.22125281110983439</v>
      </c>
      <c r="BK169" s="356">
        <v>0.21</v>
      </c>
      <c r="BL169" s="356">
        <v>0.21</v>
      </c>
      <c r="BM169" s="356">
        <v>0.2</v>
      </c>
      <c r="BN169" s="356">
        <f t="shared" ref="BN169:BO171" si="343">BM169</f>
        <v>0.2</v>
      </c>
      <c r="BO169" s="356">
        <f t="shared" si="343"/>
        <v>0.2</v>
      </c>
      <c r="BP169" s="356">
        <f>(Model!BP232/PL_Sales_H1_06)/2</f>
        <v>0.24527620483216761</v>
      </c>
      <c r="BQ169" s="356">
        <f>(Model!BQ232/PL_Sales_H1_06)/2</f>
        <v>0.25795859527142728</v>
      </c>
      <c r="BR169" s="356">
        <f>(Model!BR232/PL_Sales_H1_06)/2</f>
        <v>0.25795859527142728</v>
      </c>
      <c r="BS169" s="356">
        <f>Model!BS231/(Model!BS30*2)</f>
        <v>0.21268842604923524</v>
      </c>
      <c r="BT169" s="356">
        <f>Model!BT231/(Model!BT30*2)</f>
        <v>0.26373564035812669</v>
      </c>
      <c r="BU169" s="356">
        <f>Model!BU232/PL_Sales_07</f>
        <v>0.26738315352424508</v>
      </c>
      <c r="BV169" s="356">
        <f>Model!BV231/(Model!BV30*2)</f>
        <v>0.27702232955753492</v>
      </c>
      <c r="BW169" s="356">
        <f>Model!BW231/(Model!BW30*2)</f>
        <v>0.29657283022020625</v>
      </c>
      <c r="BX169" s="356">
        <f>Model!BX232/PL_Sales_08</f>
        <v>0.3000715313398688</v>
      </c>
      <c r="BY169" s="356">
        <f>Model!BY231/(Model!BY30*2)</f>
        <v>0.30861857085010075</v>
      </c>
      <c r="BZ169" s="356">
        <f>Model!BZ231/(Model!BZ30*2)</f>
        <v>0.26601676056706502</v>
      </c>
      <c r="CA169" s="356">
        <f>Model!CA232/PL_Sales_09</f>
        <v>0.26046379464445973</v>
      </c>
      <c r="CB169" s="356">
        <f>Model!CB231/(Model!CB30*2)</f>
        <v>0.30218774542969806</v>
      </c>
      <c r="CC169" s="356">
        <f>Model!CC231/(Model!CC30*2)</f>
        <v>0.28247917289019142</v>
      </c>
      <c r="CD169" s="356">
        <f>Model!CD232/PL_Sales_10</f>
        <v>0.2989779844112837</v>
      </c>
      <c r="CE169" s="356">
        <f>Model!CE231/(Model!CE30*2)</f>
        <v>0.33927843885666142</v>
      </c>
      <c r="CF169" s="356">
        <f>Model!CF231/(Model!CF30*2)</f>
        <v>0.28431119320524534</v>
      </c>
      <c r="CG169" s="356">
        <f>Model!CG231/(Model!CG30)</f>
        <v>0.30481992908219996</v>
      </c>
      <c r="CH169" s="356">
        <f>Model!CH231/(Model!CH30*2)</f>
        <v>0.25319896723843804</v>
      </c>
      <c r="CI169" s="356">
        <f>Model!CI231/(Model!CI30*2)</f>
        <v>0.24988832659090762</v>
      </c>
      <c r="CJ169" s="356">
        <f>Model!CJ231/(Model!CJ30)</f>
        <v>0.25087504519329074</v>
      </c>
      <c r="CK169" s="356">
        <f>Model!CK231/(Model!CK30*2)</f>
        <v>0.26427186807073494</v>
      </c>
      <c r="CL169" s="356">
        <f>Model!CL231/(Model!CL30*2)</f>
        <v>0.29410777744210453</v>
      </c>
      <c r="CM169" s="356">
        <f>Model!CM231/(Model!CM30)</f>
        <v>0.28108198930319883</v>
      </c>
      <c r="CN169" s="356">
        <f>Model!CN231/(Model!CN30*2)</f>
        <v>0.28227259236027924</v>
      </c>
      <c r="CO169" s="356">
        <f>Model!CO231/(Model!CO30*2)</f>
        <v>0.25753514272799372</v>
      </c>
      <c r="CP169" s="356">
        <f>CO169</f>
        <v>0.25753514272799372</v>
      </c>
      <c r="CQ169" s="356">
        <f>Model!CQ231/(Model!CQ30*2)</f>
        <v>0.25929842091095323</v>
      </c>
      <c r="CR169" s="356">
        <f>Model!CR231/(Model!CR30*2)</f>
        <v>0.25626596890872716</v>
      </c>
      <c r="CS169" s="356">
        <f>Model!CS231/(Model!CS30)</f>
        <v>0.26981004268448811</v>
      </c>
      <c r="CT169" s="356">
        <f>Model!CT231/(Model!CT30*2)</f>
        <v>0.24344973444099266</v>
      </c>
      <c r="CU169" s="356">
        <f>+CT169</f>
        <v>0.24344973444099266</v>
      </c>
      <c r="CV169" s="356">
        <f>CU169</f>
        <v>0.24344973444099266</v>
      </c>
      <c r="CW169" s="356">
        <f>Model!CW231/(Model!CW30*2)</f>
        <v>0.24453217821547829</v>
      </c>
      <c r="CX169" s="356">
        <f>Model!CX231/(Model!CX30*2)</f>
        <v>0.22656027079460159</v>
      </c>
      <c r="CY169" s="356">
        <f>Model!CY231/(Model!CY30)</f>
        <v>0.23299449135142772</v>
      </c>
      <c r="CZ169" s="356">
        <f>Model!CZ231/(Model!CZ30*2)</f>
        <v>0.22588762517468008</v>
      </c>
      <c r="DA169" s="356">
        <f>Model!DA231/(Model!DA30*2)</f>
        <v>0.22480939344913498</v>
      </c>
      <c r="DB169" s="356">
        <f>Model!DB231/(Model!DB30)</f>
        <v>0.23574353699249959</v>
      </c>
      <c r="DC169" s="356">
        <f>Model!DC231/(Model!DC30*2)</f>
        <v>0.20948679854602123</v>
      </c>
      <c r="DD169" s="356">
        <f>Model!DD231/(Model!DD30*2)</f>
        <v>0.22130081410333466</v>
      </c>
      <c r="DE169" s="356">
        <f>Model!DE231/(Model!DE30)</f>
        <v>0.22457821543480996</v>
      </c>
      <c r="DF169" s="356">
        <f>Model!DF231/(Model!DF30*2)</f>
        <v>0.2105295405746084</v>
      </c>
      <c r="DG169" s="356">
        <f>Model!DG231/(Model!DG30*2)</f>
        <v>0.20576152861289021</v>
      </c>
      <c r="DH169" s="356">
        <f>Model!DH231/(Model!DH30)</f>
        <v>0.17771869699628565</v>
      </c>
      <c r="DI169" s="356">
        <f>Model!DI231/(Model!DI30*2)</f>
        <v>0.16321313240043059</v>
      </c>
      <c r="DJ169" s="356">
        <f>Model!DJ231/(Model!DJ30*2)</f>
        <v>0.19638123011664901</v>
      </c>
      <c r="DK169" s="1087">
        <f>Model!DK231/(Model!DK30)</f>
        <v>0.19784989316239318</v>
      </c>
      <c r="DL169" s="356">
        <f>Model!DL231/(Model!DL30*2)</f>
        <v>0.19355428292920676</v>
      </c>
      <c r="DM169" s="356">
        <f>Model!DM231/(Model!DM30*2)</f>
        <v>0.21054857419043019</v>
      </c>
      <c r="DN169" s="1087">
        <f>Model!DN231/(Model!DN30)</f>
        <v>0.21142995813868834</v>
      </c>
      <c r="DO169" s="356">
        <f>Model!DO231/(Model!DO30*2)</f>
        <v>0.22087241496214258</v>
      </c>
      <c r="DP169" s="356">
        <f>Model!DP231/(Model!DP30*2)</f>
        <v>0.2080955098934551</v>
      </c>
      <c r="DQ169" s="1087">
        <f>Model!DQ231/(Model!DQ30)</f>
        <v>0.22596973296833839</v>
      </c>
      <c r="DR169" s="356">
        <f>Model!DR231/(Model!DR30*2)</f>
        <v>0.20291306326809286</v>
      </c>
      <c r="DS169" s="356">
        <f>Model!DS231/(Model!DS30*2)</f>
        <v>0.21576818221792271</v>
      </c>
      <c r="DT169" s="1087">
        <f>Model!DT231/(Model!DT30)</f>
        <v>0.21949364823760956</v>
      </c>
      <c r="DU169" s="356">
        <f>Model!DU231/(Model!DU30*2)</f>
        <v>0.21401326063026394</v>
      </c>
      <c r="DV169" s="356">
        <f>Model!DV231/(Model!DV30*2)</f>
        <v>0.25012593813235889</v>
      </c>
      <c r="DW169" s="1087">
        <f>Model!DW231/(Model!DW30)</f>
        <v>0.25005334812854763</v>
      </c>
      <c r="DX169" s="356">
        <f>Model!DX231/(Model!DX30*2)</f>
        <v>0.23547806716929404</v>
      </c>
      <c r="DY169" s="377">
        <f t="shared" ref="DY169:EF169" si="344">DX169</f>
        <v>0.23547806716929404</v>
      </c>
      <c r="DZ169" s="1217">
        <f t="shared" si="344"/>
        <v>0.23547806716929404</v>
      </c>
      <c r="EA169" s="377">
        <v>0.22</v>
      </c>
      <c r="EB169" s="377">
        <f t="shared" si="344"/>
        <v>0.22</v>
      </c>
      <c r="EC169" s="1217">
        <f t="shared" si="344"/>
        <v>0.22</v>
      </c>
      <c r="ED169" s="377">
        <f>+EA169-0.5%</f>
        <v>0.215</v>
      </c>
      <c r="EE169" s="377">
        <f t="shared" si="344"/>
        <v>0.215</v>
      </c>
      <c r="EF169" s="1217">
        <f t="shared" si="344"/>
        <v>0.215</v>
      </c>
      <c r="EG169" s="377">
        <f>+ED169-0.5%</f>
        <v>0.21</v>
      </c>
      <c r="EH169" s="377">
        <f t="shared" ref="EG169:EL171" si="345">EG169</f>
        <v>0.21</v>
      </c>
      <c r="EI169" s="1217">
        <f t="shared" si="345"/>
        <v>0.21</v>
      </c>
      <c r="EJ169" s="377">
        <f>+EG169-0.5%</f>
        <v>0.20499999999999999</v>
      </c>
      <c r="EK169" s="377">
        <f t="shared" si="345"/>
        <v>0.20499999999999999</v>
      </c>
      <c r="EL169" s="1217">
        <f t="shared" si="345"/>
        <v>0.20499999999999999</v>
      </c>
      <c r="EM169" s="377">
        <f>+EJ169-0.5%</f>
        <v>0.19999999999999998</v>
      </c>
      <c r="EN169" s="377">
        <f t="shared" ref="EM169:ER171" si="346">EM169</f>
        <v>0.19999999999999998</v>
      </c>
      <c r="EO169" s="1217">
        <f t="shared" si="346"/>
        <v>0.19999999999999998</v>
      </c>
      <c r="EP169" s="377">
        <f>+EM169-0.5%</f>
        <v>0.19499999999999998</v>
      </c>
      <c r="EQ169" s="377">
        <f t="shared" si="346"/>
        <v>0.19499999999999998</v>
      </c>
      <c r="ER169" s="1217">
        <f t="shared" si="346"/>
        <v>0.19499999999999998</v>
      </c>
      <c r="ES169" s="377">
        <f>+EP169-0.5%</f>
        <v>0.18999999999999997</v>
      </c>
      <c r="ET169" s="377">
        <f t="shared" ref="ET169:ET171" si="347">ES169</f>
        <v>0.18999999999999997</v>
      </c>
      <c r="EU169" s="1217">
        <f t="shared" ref="EU169:EU171" si="348">ET169</f>
        <v>0.18999999999999997</v>
      </c>
      <c r="EV169" s="377">
        <f>+ES169-0.5%</f>
        <v>0.18499999999999997</v>
      </c>
      <c r="EW169" s="377">
        <f t="shared" ref="EW169:EW171" si="349">EV169</f>
        <v>0.18499999999999997</v>
      </c>
      <c r="EX169" s="1217">
        <f t="shared" ref="EX169:EX171" si="350">EW169</f>
        <v>0.18499999999999997</v>
      </c>
      <c r="EY169" s="377">
        <f>+EV169-0.5%</f>
        <v>0.17999999999999997</v>
      </c>
      <c r="EZ169" s="377">
        <f t="shared" ref="EZ169:EZ171" si="351">EY169</f>
        <v>0.17999999999999997</v>
      </c>
      <c r="FA169" s="1217">
        <f t="shared" ref="FA169:FA171" si="352">EZ169</f>
        <v>0.17999999999999997</v>
      </c>
    </row>
    <row r="170" spans="1:157" ht="13.35" customHeight="1">
      <c r="A170" s="5"/>
      <c r="B170" s="5" t="s">
        <v>741</v>
      </c>
      <c r="C170" s="5"/>
      <c r="D170" s="5"/>
      <c r="E170" s="356">
        <f>IF(ISERROR(Model!E334),"",Model!E334)</f>
        <v>0</v>
      </c>
      <c r="F170" s="356">
        <f>IF(ISERROR(Model!F334),"",Model!F334)</f>
        <v>0</v>
      </c>
      <c r="G170" s="356">
        <f>IF(ISERROR(Model!G334),"",Model!G334)</f>
        <v>0</v>
      </c>
      <c r="H170" s="356">
        <f>IF(ISERROR(Model!H334),"",Model!H334)</f>
        <v>0</v>
      </c>
      <c r="I170" s="356">
        <f>IF(ISERROR(Model!I334),"",Model!I334)</f>
        <v>0</v>
      </c>
      <c r="J170" s="356">
        <f>IF(ISERROR(Model!J334),"",Model!J334)</f>
        <v>0</v>
      </c>
      <c r="K170" s="356">
        <f>IF(ISERROR(Model!K334),"",Model!K334)</f>
        <v>0</v>
      </c>
      <c r="L170" s="356">
        <f>IF(ISERROR(Model!L334),"",Model!L334)</f>
        <v>0</v>
      </c>
      <c r="M170" s="356">
        <f>IF(ISERROR(Model!M334),"",Model!M334)</f>
        <v>0</v>
      </c>
      <c r="N170" s="356">
        <f>IF(ISERROR(Model!N334),"",Model!N334)</f>
        <v>0</v>
      </c>
      <c r="O170" s="356">
        <f>IF(ISERROR(Model!O334),"",Model!O334)</f>
        <v>0</v>
      </c>
      <c r="P170" s="356">
        <f>IF(ISERROR(Model!P334),"",Model!P334)</f>
        <v>0</v>
      </c>
      <c r="Q170" s="356">
        <f>IF(ISERROR(Model!Q334),"",Model!Q334)</f>
        <v>0</v>
      </c>
      <c r="R170" s="356">
        <f>IF(ISERROR(Model!R334),"",Model!R334)</f>
        <v>0</v>
      </c>
      <c r="S170" s="356">
        <f>IF(ISERROR(Model!S334),"",Model!S334)</f>
        <v>0</v>
      </c>
      <c r="T170" s="356">
        <f>IF(ISERROR(Model!T334),"",Model!T334)</f>
        <v>0</v>
      </c>
      <c r="U170" s="356">
        <f>IF(ISERROR(Model!U334),"",Model!U334)</f>
        <v>0</v>
      </c>
      <c r="V170" s="356">
        <f>IF(ISERROR(Model!V334),"",Model!V334)</f>
        <v>0</v>
      </c>
      <c r="W170" s="356">
        <f>IF(ISERROR(Model!W334),"",Model!W334)</f>
        <v>0</v>
      </c>
      <c r="X170" s="356">
        <f>IF(ISERROR(Model!X334),"",Model!X334)</f>
        <v>0</v>
      </c>
      <c r="Y170" s="356">
        <f>IF(ISERROR(Model!Y334),"",Model!Y334)</f>
        <v>0</v>
      </c>
      <c r="Z170" s="356">
        <f>IF(ISERROR(Model!Z334),"",Model!Z334)</f>
        <v>0</v>
      </c>
      <c r="AA170" s="356">
        <f>IF(ISERROR(Model!AA334),"",Model!AA334)</f>
        <v>0</v>
      </c>
      <c r="AB170" s="356">
        <f>IF(ISERROR(Model!AB334),"",Model!AB334)</f>
        <v>0</v>
      </c>
      <c r="AC170" s="356">
        <f>IF(ISERROR(Model!AC334),"",Model!AC334)</f>
        <v>0</v>
      </c>
      <c r="AD170" s="356">
        <f>IF(ISERROR(Model!AD334),"",Model!AD334)</f>
        <v>0</v>
      </c>
      <c r="AE170" s="356">
        <f>IF(ISERROR(Model!AE334),"",Model!AE334)</f>
        <v>0</v>
      </c>
      <c r="AF170" s="356">
        <f>IF(ISERROR(Model!AF334),"",Model!AF334)</f>
        <v>0</v>
      </c>
      <c r="AG170" s="356">
        <f>IF(ISERROR(Model!AG334),"",Model!AG334)</f>
        <v>0</v>
      </c>
      <c r="AH170" s="356">
        <f>IF(ISERROR(Model!AH334),"",Model!AH334)</f>
        <v>0</v>
      </c>
      <c r="AI170" s="356">
        <f>IF(ISERROR(Model!AI334),"",Model!AI334)</f>
        <v>0.17135428976601277</v>
      </c>
      <c r="AJ170" s="356">
        <f>IF(ISERROR(Model!AJ334),"",Model!AJ334)</f>
        <v>0.11439518336070058</v>
      </c>
      <c r="AK170" s="356">
        <f>IF(ISERROR(Model!AK334),"",Model!AK334)</f>
        <v>0.11583845043100303</v>
      </c>
      <c r="AL170" s="356">
        <f>IF(ISERROR(Model!AL334),"",Model!AL334)</f>
        <v>8.1109166484357925E-2</v>
      </c>
      <c r="AM170" s="356">
        <f>IF(ISERROR(Model!AM334),"",Model!AM334)</f>
        <v>8.1216568179908674E-2</v>
      </c>
      <c r="AN170" s="356">
        <f>IF(ISERROR(Model!AN334),"",Model!AN334)</f>
        <v>8.024904877205119E-2</v>
      </c>
      <c r="AO170" s="356">
        <f>IF(ISERROR(Model!AO334),"",Model!AO334)</f>
        <v>0.10374921140385136</v>
      </c>
      <c r="AP170" s="356">
        <f>IF(ISERROR(Model!AP334),"",Model!AP334)</f>
        <v>0.10470926319059702</v>
      </c>
      <c r="AQ170" s="356">
        <f>IF(ISERROR(Model!AQ334),"",Model!AQ334)</f>
        <v>0.11248313934893553</v>
      </c>
      <c r="AR170" s="356">
        <f>IF(ISERROR(Model!AR334),"",Model!AR334)</f>
        <v>0.14589795823880736</v>
      </c>
      <c r="AS170" s="356">
        <f>IF(ISERROR(Model!AS334),"",Model!AS334)</f>
        <v>0.14049484536082477</v>
      </c>
      <c r="AT170" s="356">
        <f>IF(ISERROR(Model!AT334),"",Model!AT334)</f>
        <v>0.14861829047525574</v>
      </c>
      <c r="AU170" s="356">
        <f>IF(ISERROR(Model!AU334),"",Model!AU334)</f>
        <v>0.11845109780439123</v>
      </c>
      <c r="AV170" s="356">
        <f>IF(ISERROR(Model!AV334),"",Model!AV334)</f>
        <v>8.7993370097279894E-2</v>
      </c>
      <c r="AW170" s="356">
        <f>IF(ISERROR(Model!AW334),"",Model!AW334)</f>
        <v>8.9329380960992605E-2</v>
      </c>
      <c r="AX170" s="356">
        <f>IF(ISERROR(Model!AX334),"",Model!AX334)</f>
        <v>0.10603638118796947</v>
      </c>
      <c r="AY170" s="356">
        <f>IF(ISERROR(Model!AY334),"",Model!AY334)</f>
        <v>9.034163883894171E-2</v>
      </c>
      <c r="AZ170" s="356">
        <f>IF(ISERROR(Model!AZ334),"",Model!AZ334)</f>
        <v>9.7587369414115069E-2</v>
      </c>
      <c r="BA170" s="356">
        <f>IF(ISERROR(Model!BA334),"",Model!BA334)</f>
        <v>8.4538020308503214E-2</v>
      </c>
      <c r="BB170" s="356">
        <f>IF(ISERROR(Model!BB334),"",Model!BB334)</f>
        <v>0.11577119492228601</v>
      </c>
      <c r="BC170" s="356">
        <f>IF(ISERROR(Model!BC334),"",Model!BC334)</f>
        <v>0.12297431750344145</v>
      </c>
      <c r="BD170" s="356">
        <f>(Model!BD236/Model!BD30)/2</f>
        <v>0.15323312653537077</v>
      </c>
      <c r="BE170" s="356">
        <v>0.15</v>
      </c>
      <c r="BF170" s="356">
        <v>0.15</v>
      </c>
      <c r="BG170" s="356">
        <v>0.15</v>
      </c>
      <c r="BH170" s="356">
        <v>0.15</v>
      </c>
      <c r="BI170" s="356">
        <v>0.15</v>
      </c>
      <c r="BJ170" s="356">
        <f>Model!BJ236/((Model!BJ30)*2)</f>
        <v>0.20102513173230027</v>
      </c>
      <c r="BK170" s="356">
        <v>0.18</v>
      </c>
      <c r="BL170" s="356">
        <f>BK170</f>
        <v>0.18</v>
      </c>
      <c r="BM170" s="356">
        <v>0.65039999999999998</v>
      </c>
      <c r="BN170" s="356">
        <f t="shared" si="343"/>
        <v>0.65039999999999998</v>
      </c>
      <c r="BO170" s="356">
        <f t="shared" si="343"/>
        <v>0.65039999999999998</v>
      </c>
      <c r="BP170" s="356">
        <f>(Model!BP240/PL_Sales_H1_06)/2</f>
        <v>0.13379238035912921</v>
      </c>
      <c r="BQ170" s="356">
        <f>(Model!BQ240/PL_Sales_H1_06)/2</f>
        <v>0.18116150954347449</v>
      </c>
      <c r="BR170" s="356">
        <f>(Model!BR240/PL_Sales_H1_06)/2</f>
        <v>0.18116150954347449</v>
      </c>
      <c r="BS170" s="356">
        <f>Model!BS236/(Model!BS30*2)</f>
        <v>0.16278287341408035</v>
      </c>
      <c r="BT170" s="356">
        <f>Model!BT236/(Model!BT30*2)</f>
        <v>0.16938318091439697</v>
      </c>
      <c r="BU170" s="356"/>
      <c r="BV170" s="356">
        <f>Model!BV236/(Model!BV30*2)</f>
        <v>0.17438894760094661</v>
      </c>
      <c r="BW170" s="356">
        <f>Model!BW236/(Model!BW30*2)</f>
        <v>0.16974381009608139</v>
      </c>
      <c r="BX170" s="356">
        <f>Model!BX236/(Model!BX30)</f>
        <v>0.17174629581939591</v>
      </c>
      <c r="BY170" s="356">
        <f>Model!BY236/(Model!BY30*2)</f>
        <v>0.141650023285782</v>
      </c>
      <c r="BZ170" s="356">
        <f>Model!BZ236/(Model!BZ30*2)</f>
        <v>0.16266611073508069</v>
      </c>
      <c r="CA170" s="356">
        <f>Model!CA236/(Model!CA30)</f>
        <v>0.15927053758491852</v>
      </c>
      <c r="CB170" s="356">
        <f>CA170</f>
        <v>0.15927053758491852</v>
      </c>
      <c r="CC170" s="356">
        <f>CB170</f>
        <v>0.15927053758491852</v>
      </c>
      <c r="CD170" s="356">
        <f>CC170</f>
        <v>0.15927053758491852</v>
      </c>
      <c r="CE170" s="356">
        <f>Model!CE236/(Model!CE30*2)</f>
        <v>0.14779812080979535</v>
      </c>
      <c r="CF170" s="356">
        <f>Model!CF236/(Model!CF30*2)</f>
        <v>0.1266296634579222</v>
      </c>
      <c r="CG170" s="356">
        <f>Model!CG236/(Model!CG30)</f>
        <v>0.1357640710511237</v>
      </c>
      <c r="CH170" s="356">
        <f>Model!CH236/(Model!CH30*2)</f>
        <v>0.12324606221897405</v>
      </c>
      <c r="CI170" s="356">
        <f>Model!CI236/(Model!CI30*2)</f>
        <v>0.13387200310445441</v>
      </c>
      <c r="CJ170" s="356">
        <f>Model!CJ236/(Model!CJ30)</f>
        <v>0.13440061521532626</v>
      </c>
      <c r="CK170" s="356">
        <f>Model!CK236/(Model!CK30*2)</f>
        <v>0.1528651727534284</v>
      </c>
      <c r="CL170" s="356">
        <f>Model!CL236/(Model!CL30*2)</f>
        <v>0.18992548004970586</v>
      </c>
      <c r="CM170" s="356">
        <f>Model!CM236/(Model!CM30)</f>
        <v>0.18151383896077058</v>
      </c>
      <c r="CN170" s="356">
        <f>Model!CN236/(Model!CN30*2)</f>
        <v>0.19788316554592847</v>
      </c>
      <c r="CO170" s="356">
        <f>Model!CO236/(Model!CO30*2)</f>
        <v>0.15409120743453431</v>
      </c>
      <c r="CP170" s="356">
        <f>CO170</f>
        <v>0.15409120743453431</v>
      </c>
      <c r="CQ170" s="356">
        <f>Model!CQ236/(Model!CQ30*2)</f>
        <v>0.15797163935996933</v>
      </c>
      <c r="CR170" s="356">
        <f>Model!CR236/(Model!CR30*2)</f>
        <v>0.15362372376994515</v>
      </c>
      <c r="CS170" s="356">
        <f>Model!CS236/(Model!CS30)</f>
        <v>0.16174298774130891</v>
      </c>
      <c r="CT170" s="356">
        <f>Model!CT236/(Model!CT30*2)</f>
        <v>0.13712609806072509</v>
      </c>
      <c r="CU170" s="356">
        <f>+CT170</f>
        <v>0.13712609806072509</v>
      </c>
      <c r="CV170" s="356">
        <f>CU170</f>
        <v>0.13712609806072509</v>
      </c>
      <c r="CW170" s="356">
        <f>Model!CW236/(Model!CW30*2)</f>
        <v>0.13839021742241944</v>
      </c>
      <c r="CX170" s="356">
        <f>Model!CX236/(Model!CX30*2)</f>
        <v>0.1383849512761374</v>
      </c>
      <c r="CY170" s="356">
        <f>Model!CY236/(Model!CY30)</f>
        <v>0.14231502822711145</v>
      </c>
      <c r="CZ170" s="356">
        <f>Model!CZ236/(Model!CZ30*2)</f>
        <v>0.15124377535942385</v>
      </c>
      <c r="DA170" s="356">
        <f>Model!DA236/(Model!DA30*2)</f>
        <v>0.11882883632265613</v>
      </c>
      <c r="DB170" s="356">
        <f>Model!DB236/(Model!DB30)</f>
        <v>0.12460836151734901</v>
      </c>
      <c r="DC170" s="356">
        <f>Model!DC236/(Model!DC30*2)</f>
        <v>0.12584894466770846</v>
      </c>
      <c r="DD170" s="356">
        <f>Model!DD236/(Model!DD30*2)</f>
        <v>0.13525861456300153</v>
      </c>
      <c r="DE170" s="356">
        <f>Model!DE236/(Model!DE30)</f>
        <v>0.1372617556958457</v>
      </c>
      <c r="DF170" s="356">
        <f>Model!DF236/(Model!DF30*2)</f>
        <v>0.13548273273571013</v>
      </c>
      <c r="DG170" s="356">
        <f>Model!DG236/(Model!DG30*2)</f>
        <v>0.19553898133148548</v>
      </c>
      <c r="DH170" s="356">
        <f>Model!DH236/(Model!DH30)</f>
        <v>0.16888936045761671</v>
      </c>
      <c r="DI170" s="356">
        <f>Model!DI236/(Model!DI30*2)</f>
        <v>0.13240043057050593</v>
      </c>
      <c r="DJ170" s="356">
        <f>Model!DJ236/(Model!DJ30*2)</f>
        <v>0.14322640509013787</v>
      </c>
      <c r="DK170" s="1087">
        <f>Model!DK236/(Model!DK30)</f>
        <v>0.14429754273504275</v>
      </c>
      <c r="DL170" s="356">
        <f>Model!DL236/(Model!DL30*2)</f>
        <v>0.14499817229194589</v>
      </c>
      <c r="DM170" s="356">
        <f>Model!DM236/(Model!DM30*2)</f>
        <v>0.16324311261478977</v>
      </c>
      <c r="DN170" s="1087">
        <f>Model!DN236/(Model!DN30)</f>
        <v>0.16392646969605049</v>
      </c>
      <c r="DO170" s="356">
        <f>Model!DO236/(Model!DO30*2)</f>
        <v>0.16143067013221832</v>
      </c>
      <c r="DP170" s="356">
        <f>Model!DP236/(Model!DP30*2)</f>
        <v>0.14816400304414001</v>
      </c>
      <c r="DQ170" s="1087">
        <f>Model!DQ236/(Model!DQ30)</f>
        <v>0.16089044987345694</v>
      </c>
      <c r="DR170" s="356">
        <f>Model!DR236/(Model!DR30*2)</f>
        <v>0.14633591260810197</v>
      </c>
      <c r="DS170" s="356">
        <f>Model!DS236/(Model!DS30*2)</f>
        <v>0.1721924193122856</v>
      </c>
      <c r="DT170" s="1087">
        <f>Model!DT236/(Model!DT30)</f>
        <v>0.17516550366791911</v>
      </c>
      <c r="DU170" s="356">
        <f>Model!DU236/(Model!DU30*2)</f>
        <v>0.1967334818114328</v>
      </c>
      <c r="DV170" s="356">
        <f>Model!DV236/(Model!DV30*2)</f>
        <v>0.21319831627120672</v>
      </c>
      <c r="DW170" s="1087">
        <f>Model!DW236/(Model!DW30)</f>
        <v>0.21313644317357347</v>
      </c>
      <c r="DX170" s="356">
        <f>Model!DX236/(Model!DX30*2)</f>
        <v>0.24250342700479779</v>
      </c>
      <c r="DY170" s="377">
        <f>DX170</f>
        <v>0.24250342700479779</v>
      </c>
      <c r="DZ170" s="1217">
        <f t="shared" ref="DZ170:EC170" si="353">DY170</f>
        <v>0.24250342700479779</v>
      </c>
      <c r="EA170" s="377">
        <v>0.22</v>
      </c>
      <c r="EB170" s="377">
        <f t="shared" si="353"/>
        <v>0.22</v>
      </c>
      <c r="EC170" s="1217">
        <f t="shared" si="353"/>
        <v>0.22</v>
      </c>
      <c r="ED170" s="377">
        <f>+EA170-0.5%</f>
        <v>0.215</v>
      </c>
      <c r="EE170" s="377">
        <f t="shared" ref="EE170" si="354">ED170</f>
        <v>0.215</v>
      </c>
      <c r="EF170" s="1217">
        <f t="shared" ref="EF170" si="355">EE170</f>
        <v>0.215</v>
      </c>
      <c r="EG170" s="377">
        <f>+ED170-0.5%</f>
        <v>0.21</v>
      </c>
      <c r="EH170" s="377">
        <f t="shared" ref="EH170" si="356">EG170</f>
        <v>0.21</v>
      </c>
      <c r="EI170" s="1217">
        <f t="shared" ref="EI170" si="357">EH170</f>
        <v>0.21</v>
      </c>
      <c r="EJ170" s="377">
        <f>+EG170-0.5%</f>
        <v>0.20499999999999999</v>
      </c>
      <c r="EK170" s="377">
        <f t="shared" ref="EK170" si="358">EJ170</f>
        <v>0.20499999999999999</v>
      </c>
      <c r="EL170" s="1217">
        <f t="shared" ref="EL170" si="359">EK170</f>
        <v>0.20499999999999999</v>
      </c>
      <c r="EM170" s="377">
        <f>+EJ170-0.5%</f>
        <v>0.19999999999999998</v>
      </c>
      <c r="EN170" s="377">
        <f t="shared" ref="EN170" si="360">EM170</f>
        <v>0.19999999999999998</v>
      </c>
      <c r="EO170" s="1217">
        <f t="shared" ref="EO170" si="361">EN170</f>
        <v>0.19999999999999998</v>
      </c>
      <c r="EP170" s="377">
        <f>+EM170-0.5%</f>
        <v>0.19499999999999998</v>
      </c>
      <c r="EQ170" s="377">
        <f t="shared" ref="EQ170" si="362">EP170</f>
        <v>0.19499999999999998</v>
      </c>
      <c r="ER170" s="1217">
        <f t="shared" ref="ER170" si="363">EQ170</f>
        <v>0.19499999999999998</v>
      </c>
      <c r="ES170" s="377">
        <f>+EP170-0.5%</f>
        <v>0.18999999999999997</v>
      </c>
      <c r="ET170" s="377">
        <f t="shared" ref="ET170" si="364">ES170</f>
        <v>0.18999999999999997</v>
      </c>
      <c r="EU170" s="1217">
        <f t="shared" ref="EU170" si="365">ET170</f>
        <v>0.18999999999999997</v>
      </c>
      <c r="EV170" s="377">
        <f>+ES170-0.5%</f>
        <v>0.18499999999999997</v>
      </c>
      <c r="EW170" s="377">
        <f t="shared" ref="EW170" si="366">EV170</f>
        <v>0.18499999999999997</v>
      </c>
      <c r="EX170" s="1217">
        <f t="shared" ref="EX170" si="367">EW170</f>
        <v>0.18499999999999997</v>
      </c>
      <c r="EY170" s="377">
        <f>+EV170-0.5%</f>
        <v>0.17999999999999997</v>
      </c>
      <c r="EZ170" s="377">
        <f t="shared" si="351"/>
        <v>0.17999999999999997</v>
      </c>
      <c r="FA170" s="1217">
        <f t="shared" si="352"/>
        <v>0.17999999999999997</v>
      </c>
    </row>
    <row r="171" spans="1:157" ht="13.35" customHeight="1">
      <c r="A171" s="5"/>
      <c r="B171" s="5" t="s">
        <v>404</v>
      </c>
      <c r="C171" s="5"/>
      <c r="D171" s="5"/>
      <c r="E171" s="356">
        <f>IF(ISERROR(Model!E335),"",Model!E335)</f>
        <v>0</v>
      </c>
      <c r="F171" s="356">
        <f>IF(ISERROR(Model!F335),"",Model!F335)</f>
        <v>0</v>
      </c>
      <c r="G171" s="356">
        <f>IF(ISERROR(Model!G335),"",Model!G335)</f>
        <v>0</v>
      </c>
      <c r="H171" s="356">
        <f>IF(ISERROR(Model!H335),"",Model!H335)</f>
        <v>0</v>
      </c>
      <c r="I171" s="356">
        <f>IF(ISERROR(Model!I335),"",Model!I335)</f>
        <v>0</v>
      </c>
      <c r="J171" s="356">
        <f>IF(ISERROR(Model!J335),"",Model!J335)</f>
        <v>0</v>
      </c>
      <c r="K171" s="356">
        <f>IF(ISERROR(Model!K335),"",Model!K335)</f>
        <v>0</v>
      </c>
      <c r="L171" s="356">
        <f>IF(ISERROR(Model!L335),"",Model!L335)</f>
        <v>0</v>
      </c>
      <c r="M171" s="356">
        <f>IF(ISERROR(Model!M335),"",Model!M335)</f>
        <v>0</v>
      </c>
      <c r="N171" s="356">
        <f>IF(ISERROR(Model!N335),"",Model!N335)</f>
        <v>0</v>
      </c>
      <c r="O171" s="356">
        <f>IF(ISERROR(Model!O335),"",Model!O335)</f>
        <v>0</v>
      </c>
      <c r="P171" s="356">
        <f>IF(ISERROR(Model!P335),"",Model!P335)</f>
        <v>0</v>
      </c>
      <c r="Q171" s="356">
        <f>IF(ISERROR(Model!Q335),"",Model!Q335)</f>
        <v>0</v>
      </c>
      <c r="R171" s="356">
        <f>IF(ISERROR(Model!R335),"",Model!R335)</f>
        <v>0</v>
      </c>
      <c r="S171" s="356">
        <f>IF(ISERROR(Model!S335),"",Model!S335)</f>
        <v>0</v>
      </c>
      <c r="T171" s="356">
        <f>IF(ISERROR(Model!T335),"",Model!T335)</f>
        <v>0</v>
      </c>
      <c r="U171" s="356">
        <f>IF(ISERROR(Model!U335),"",Model!U335)</f>
        <v>0</v>
      </c>
      <c r="V171" s="356">
        <f>IF(ISERROR(Model!V335),"",Model!V335)</f>
        <v>0</v>
      </c>
      <c r="W171" s="356">
        <f>IF(ISERROR(Model!W335),"",Model!W335)</f>
        <v>0</v>
      </c>
      <c r="X171" s="356">
        <f>IF(ISERROR(Model!X335),"",Model!X335)</f>
        <v>0</v>
      </c>
      <c r="Y171" s="356">
        <f>IF(ISERROR(Model!Y335),"",Model!Y335)</f>
        <v>0</v>
      </c>
      <c r="Z171" s="356">
        <f>IF(ISERROR(Model!Z335),"",Model!Z335)</f>
        <v>0</v>
      </c>
      <c r="AA171" s="356">
        <f>IF(ISERROR(Model!AA335),"",Model!AA335)</f>
        <v>0</v>
      </c>
      <c r="AB171" s="356">
        <f>IF(ISERROR(Model!AB335),"",Model!AB335)</f>
        <v>0</v>
      </c>
      <c r="AC171" s="356">
        <f>IF(ISERROR(Model!AC335),"",Model!AC335)</f>
        <v>0</v>
      </c>
      <c r="AD171" s="356">
        <f>IF(ISERROR(Model!AD335),"",Model!AD335)</f>
        <v>0</v>
      </c>
      <c r="AE171" s="356">
        <f>IF(ISERROR(Model!AE335),"",Model!AE335)</f>
        <v>0</v>
      </c>
      <c r="AF171" s="356">
        <f>IF(ISERROR(Model!AF335),"",Model!AF335)</f>
        <v>0</v>
      </c>
      <c r="AG171" s="356">
        <f>IF(ISERROR(Model!AG335),"",Model!AG335)</f>
        <v>0</v>
      </c>
      <c r="AH171" s="356">
        <f>IF(ISERROR(Model!AH335),"",Model!AH335)</f>
        <v>0</v>
      </c>
      <c r="AI171" s="356">
        <f>IF(ISERROR(Model!AI335),"",Model!AI335)</f>
        <v>0.13353817064523751</v>
      </c>
      <c r="AJ171" s="356">
        <f>IF(ISERROR(Model!AJ335),"",Model!AJ335)</f>
        <v>0.13048425661855784</v>
      </c>
      <c r="AK171" s="356">
        <f>IF(ISERROR(Model!AK335),"",Model!AK335)</f>
        <v>0.13213051151529293</v>
      </c>
      <c r="AL171" s="356">
        <f>IF(ISERROR(Model!AL335),"",Model!AL335)</f>
        <v>0.12921133231240428</v>
      </c>
      <c r="AM171" s="356">
        <f>IF(ISERROR(Model!AM335),"",Model!AM335)</f>
        <v>0.16695605903604332</v>
      </c>
      <c r="AN171" s="356">
        <f>IF(ISERROR(Model!AN335),"",Model!AN335)</f>
        <v>0.16496713939813212</v>
      </c>
      <c r="AO171" s="356">
        <f>IF(ISERROR(Model!AO335),"",Model!AO335)</f>
        <v>0.16927028569711899</v>
      </c>
      <c r="AP171" s="356">
        <f>IF(ISERROR(Model!AP335),"",Model!AP335)</f>
        <v>0.15700564386682545</v>
      </c>
      <c r="AQ171" s="356">
        <f>IF(ISERROR(Model!AQ335),"",Model!AQ335)</f>
        <v>0.1686621334112052</v>
      </c>
      <c r="AR171" s="356">
        <f>IF(ISERROR(Model!AR335),"",Model!AR335)</f>
        <v>0.19125885457660077</v>
      </c>
      <c r="AS171" s="356">
        <f>IF(ISERROR(Model!AS335),"",Model!AS335)</f>
        <v>0.15291752577319589</v>
      </c>
      <c r="AT171" s="356">
        <f>IF(ISERROR(Model!AT335),"",Model!AT335)</f>
        <v>0.16175925320072412</v>
      </c>
      <c r="AU171" s="356">
        <f>IF(ISERROR(Model!AU335),"",Model!AU335)</f>
        <v>0.13939321357285428</v>
      </c>
      <c r="AV171" s="356">
        <f>IF(ISERROR(Model!AV335),"",Model!AV335)</f>
        <v>0.13813588202490862</v>
      </c>
      <c r="AW171" s="356">
        <f>IF(ISERROR(Model!AW335),"",Model!AW335)</f>
        <v>0.14023321093559574</v>
      </c>
      <c r="AX171" s="356">
        <f>IF(ISERROR(Model!AX335),"",Model!AX335)</f>
        <v>0.16568373103261033</v>
      </c>
      <c r="AY171" s="356">
        <f>IF(ISERROR(Model!AY335),"",Model!AY335)</f>
        <v>0.14050218340611356</v>
      </c>
      <c r="AZ171" s="356">
        <f>(Model!AZ266/Model!AZ30)</f>
        <v>0.15177097351517088</v>
      </c>
      <c r="BA171" s="356">
        <f>(Model!BA266/Model!BA30)/2</f>
        <v>0.11374602743973335</v>
      </c>
      <c r="BB171" s="356">
        <f>IF(ISERROR(Model!BB335),"",Model!BB335)</f>
        <v>0.13049707877471067</v>
      </c>
      <c r="BC171" s="356">
        <f>(Model!BC266/Model!BC30)</f>
        <v>0.13861642534902846</v>
      </c>
      <c r="BD171" s="356">
        <f>(Model!BD266/Model!BD30)/2</f>
        <v>9.686472082275055E-2</v>
      </c>
      <c r="BE171" s="356">
        <f>IF(ISERROR(Model!BE335),"",Model!BE335)</f>
        <v>7.7639660289752832E-2</v>
      </c>
      <c r="BF171" s="356">
        <v>0.12</v>
      </c>
      <c r="BG171" s="356">
        <v>0.12</v>
      </c>
      <c r="BH171" s="356">
        <f>BG171</f>
        <v>0.12</v>
      </c>
      <c r="BI171" s="356">
        <f>BH171</f>
        <v>0.12</v>
      </c>
      <c r="BJ171" s="356">
        <f>Model!BJ266/((Model!BJ30)*2)</f>
        <v>0.13028365534562289</v>
      </c>
      <c r="BK171" s="356">
        <f>BJ171</f>
        <v>0.13028365534562289</v>
      </c>
      <c r="BL171" s="356">
        <f>BK171</f>
        <v>0.13028365534562289</v>
      </c>
      <c r="BM171" s="356">
        <f>BL171</f>
        <v>0.13028365534562289</v>
      </c>
      <c r="BN171" s="356">
        <f t="shared" si="343"/>
        <v>0.13028365534562289</v>
      </c>
      <c r="BO171" s="356">
        <f t="shared" si="343"/>
        <v>0.13028365534562289</v>
      </c>
      <c r="BP171" s="356">
        <f>(Model!BP267/PL_Sales_H1_06)/2</f>
        <v>0.11418160332437961</v>
      </c>
      <c r="BQ171" s="356">
        <f>(Model!BQ267/PL_Sales_H1_06)/2</f>
        <v>0.13523088132007166</v>
      </c>
      <c r="BR171" s="356">
        <f>(Model!BR267/PL_Sales_H1_06)/2</f>
        <v>0.13523088132007166</v>
      </c>
      <c r="BS171" s="356">
        <f>Model!BS266/(Model!BS30*2)</f>
        <v>0.11641723239170194</v>
      </c>
      <c r="BT171" s="356">
        <f>Model!BT266/(Model!BT30*2)</f>
        <v>0.11414424542128855</v>
      </c>
      <c r="BU171" s="356">
        <f>Model!BU267/PL_Sales_07</f>
        <v>0.11572288165507721</v>
      </c>
      <c r="BV171" s="356">
        <f>Model!BV266/(Model!BV30*2)</f>
        <v>0.10855693148467378</v>
      </c>
      <c r="BW171" s="356">
        <f>Model!BW266/(Model!BW30*2)</f>
        <v>0.10412040020716787</v>
      </c>
      <c r="BX171" s="356">
        <f>Model!BX267/PL_Sales_08</f>
        <v>0.10534871960687163</v>
      </c>
      <c r="BY171" s="356">
        <f>Model!BY266/(Model!BY30*2)</f>
        <v>0.18372239219393036</v>
      </c>
      <c r="BZ171" s="356">
        <f>Model!BZ266/(Model!BZ30*2)</f>
        <v>9.9618099473332791E-2</v>
      </c>
      <c r="CA171" s="356">
        <f>Model!CA267/PL_Sales_09</f>
        <v>9.7538621810079829E-2</v>
      </c>
      <c r="CB171" s="356">
        <f>Model!CB266/(Model!CB30*2)</f>
        <v>7.8888854255877258E-2</v>
      </c>
      <c r="CC171" s="356">
        <f>Model!CC266/(Model!CC30*2)</f>
        <v>9.4874335332614829E-2</v>
      </c>
      <c r="CD171" s="356">
        <f>Model!CD267/PL_Sales_10</f>
        <v>0.1004156775874302</v>
      </c>
      <c r="CE171" s="356">
        <f>Model!CE266/(Model!CE30*2)</f>
        <v>0.11388420206354448</v>
      </c>
      <c r="CF171" s="356">
        <f>Model!CF266/(Model!CF30*2)</f>
        <v>0.10147817677200599</v>
      </c>
      <c r="CG171" s="356">
        <f>Model!CG266/(Model!CG30)</f>
        <v>0.10879828647725266</v>
      </c>
      <c r="CH171" s="356">
        <f>Model!CH266/(Model!CH30*2)</f>
        <v>0.10238358517006163</v>
      </c>
      <c r="CI171" s="356">
        <f>Model!CI266/(Model!CI30*2)</f>
        <v>0.13244471171318498</v>
      </c>
      <c r="CJ171" s="356">
        <f>Model!CJ266/(Model!CJ30)</f>
        <v>0.13296768796668804</v>
      </c>
      <c r="CK171" s="356">
        <f>Model!CK266/(Model!CK30*2)</f>
        <v>0.10691380802927636</v>
      </c>
      <c r="CL171" s="356">
        <f>Model!CL266/(Model!CL30*2)</f>
        <v>0.13971375262993432</v>
      </c>
      <c r="CM171" s="356">
        <f>Model!CM266/(Model!CM30)</f>
        <v>0.13352594706533222</v>
      </c>
      <c r="CN171" s="356">
        <f>Model!CN266/(Model!CN30*2)</f>
        <v>0.14738619299205027</v>
      </c>
      <c r="CO171" s="356">
        <f>Model!CO266/(Model!CO30*2)</f>
        <v>9.422335936088512E-2</v>
      </c>
      <c r="CP171" s="356">
        <f>CO171</f>
        <v>9.422335936088512E-2</v>
      </c>
      <c r="CQ171" s="356">
        <f>Model!CQ266/(Model!CQ30*2)</f>
        <v>9.6987822627374209E-2</v>
      </c>
      <c r="CR171" s="356">
        <f>Model!CR266/(Model!CR30*2)</f>
        <v>0.10246575342465757</v>
      </c>
      <c r="CS171" s="356">
        <f>Model!CS266/(Model!CS30)</f>
        <v>0.10788123535455352</v>
      </c>
      <c r="CT171" s="356">
        <f>Model!CT266/(Model!CT30*2)</f>
        <v>9.6127225095392566E-2</v>
      </c>
      <c r="CU171" s="356">
        <f>+CT171</f>
        <v>9.6127225095392566E-2</v>
      </c>
      <c r="CV171" s="356">
        <f>CU171</f>
        <v>9.6127225095392566E-2</v>
      </c>
      <c r="CW171" s="356">
        <f>Model!CW266/(Model!CW30*2)</f>
        <v>8.9957088931298793E-2</v>
      </c>
      <c r="CX171" s="356">
        <f>Model!CX266/(Model!CX30*2)</f>
        <v>0.10152438260551343</v>
      </c>
      <c r="CY171" s="356">
        <f>Model!CY266/(Model!CY30)</f>
        <v>0.10440763423338463</v>
      </c>
      <c r="CZ171" s="356">
        <f>Model!CZ266/(Model!CZ30*2)</f>
        <v>9.130961502558077E-2</v>
      </c>
      <c r="DA171" s="356">
        <f>Model!DA266/(Model!DA30*2)</f>
        <v>9.9733879948226925E-2</v>
      </c>
      <c r="DB171" s="356">
        <f>Model!DB266/(Model!DB30)</f>
        <v>0.10458467618391598</v>
      </c>
      <c r="DC171" s="356">
        <f>Model!DC266/(Model!DC30*2)</f>
        <v>0.10274692876270135</v>
      </c>
      <c r="DD171" s="356">
        <f>Model!DD266/(Model!DD30*2)</f>
        <v>0.11130801034662563</v>
      </c>
      <c r="DE171" s="356">
        <f>Model!DE266/(Model!DE30)</f>
        <v>0.11295644992779932</v>
      </c>
      <c r="DF171" s="356">
        <f>Model!DF266/(Model!DF30*2)</f>
        <v>0.1053311833915864</v>
      </c>
      <c r="DG171" s="356">
        <f>Model!DG266/(Model!DG30*2)</f>
        <v>0.13918391298527988</v>
      </c>
      <c r="DH171" s="356">
        <f>Model!DH266/(Model!DH30)</f>
        <v>0.12021481287264674</v>
      </c>
      <c r="DI171" s="356">
        <f>Model!DI266/(Model!DI30*2)</f>
        <v>9.842572658772876E-2</v>
      </c>
      <c r="DJ171" s="356">
        <f>Model!DJ266/(Model!DJ30*2)</f>
        <v>0.13447773064687168</v>
      </c>
      <c r="DK171" s="1087">
        <f>Model!DK266/(Model!DK30)</f>
        <v>0.13548344017094019</v>
      </c>
      <c r="DL171" s="356">
        <f>Model!DL266/(Model!DL30*2)</f>
        <v>0.10344827586206896</v>
      </c>
      <c r="DM171" s="356">
        <f>Model!DM266/(Model!DM30*2)</f>
        <v>0.14040599323344613</v>
      </c>
      <c r="DN171" s="1087">
        <f>Model!DN266/(Model!DN30)</f>
        <v>0.14099375113753565</v>
      </c>
      <c r="DO171" s="356">
        <f>Model!DO266/(Model!DO30*2)</f>
        <v>0.11368516216521639</v>
      </c>
      <c r="DP171" s="356">
        <f>Model!DP266/(Model!DP30*2)</f>
        <v>0.12861491628614916</v>
      </c>
      <c r="DQ171" s="1087">
        <f>Model!DQ266/(Model!DQ30)</f>
        <v>0.13966220753060274</v>
      </c>
      <c r="DR171" s="356">
        <f>Model!DR266/(Model!DR30*2)</f>
        <v>0.11247155211652253</v>
      </c>
      <c r="DS171" s="356">
        <f>Model!DS266/(Model!DS30*2)</f>
        <v>0.13332160759827627</v>
      </c>
      <c r="DT171" s="1087">
        <f>Model!DT266/(Model!DT30)</f>
        <v>0.13562354625156556</v>
      </c>
      <c r="DU171" s="356">
        <f>Model!DU266/(Model!DU30*2)</f>
        <v>0.1218117741426243</v>
      </c>
      <c r="DV171" s="356">
        <f>Model!DV266/(Model!DV30*2)</f>
        <v>0.12738962269789364</v>
      </c>
      <c r="DW171" s="1087">
        <f>Model!DW266/(Model!DW30)</f>
        <v>0.12735265246895139</v>
      </c>
      <c r="DX171" s="356">
        <f>Model!DX266/(Model!DX30*2)</f>
        <v>0.12050205620287868</v>
      </c>
      <c r="DY171" s="377">
        <v>0.12</v>
      </c>
      <c r="DZ171" s="1217">
        <f t="shared" ref="DZ171:EF171" si="368">DY171</f>
        <v>0.12</v>
      </c>
      <c r="EA171" s="377">
        <f t="shared" si="368"/>
        <v>0.12</v>
      </c>
      <c r="EB171" s="377">
        <f t="shared" si="368"/>
        <v>0.12</v>
      </c>
      <c r="EC171" s="1217">
        <f t="shared" si="368"/>
        <v>0.12</v>
      </c>
      <c r="ED171" s="377">
        <f t="shared" si="368"/>
        <v>0.12</v>
      </c>
      <c r="EE171" s="377">
        <f t="shared" si="368"/>
        <v>0.12</v>
      </c>
      <c r="EF171" s="1217">
        <f t="shared" si="368"/>
        <v>0.12</v>
      </c>
      <c r="EG171" s="377">
        <f t="shared" si="345"/>
        <v>0.12</v>
      </c>
      <c r="EH171" s="377">
        <f t="shared" si="345"/>
        <v>0.12</v>
      </c>
      <c r="EI171" s="1217">
        <f t="shared" si="345"/>
        <v>0.12</v>
      </c>
      <c r="EJ171" s="377">
        <f t="shared" si="345"/>
        <v>0.12</v>
      </c>
      <c r="EK171" s="377">
        <f t="shared" si="345"/>
        <v>0.12</v>
      </c>
      <c r="EL171" s="1217">
        <f t="shared" si="345"/>
        <v>0.12</v>
      </c>
      <c r="EM171" s="377">
        <f t="shared" si="346"/>
        <v>0.12</v>
      </c>
      <c r="EN171" s="377">
        <f t="shared" si="346"/>
        <v>0.12</v>
      </c>
      <c r="EO171" s="1217">
        <f t="shared" si="346"/>
        <v>0.12</v>
      </c>
      <c r="EP171" s="377">
        <f t="shared" si="346"/>
        <v>0.12</v>
      </c>
      <c r="EQ171" s="377">
        <f t="shared" si="346"/>
        <v>0.12</v>
      </c>
      <c r="ER171" s="1217">
        <f t="shared" si="346"/>
        <v>0.12</v>
      </c>
      <c r="ES171" s="377">
        <f t="shared" ref="ES171" si="369">ER171</f>
        <v>0.12</v>
      </c>
      <c r="ET171" s="377">
        <f t="shared" si="347"/>
        <v>0.12</v>
      </c>
      <c r="EU171" s="1217">
        <f t="shared" si="348"/>
        <v>0.12</v>
      </c>
      <c r="EV171" s="377">
        <f t="shared" ref="EV171" si="370">EU171</f>
        <v>0.12</v>
      </c>
      <c r="EW171" s="377">
        <f t="shared" si="349"/>
        <v>0.12</v>
      </c>
      <c r="EX171" s="1217">
        <f t="shared" si="350"/>
        <v>0.12</v>
      </c>
      <c r="EY171" s="377">
        <f t="shared" ref="EY171" si="371">EX171</f>
        <v>0.12</v>
      </c>
      <c r="EZ171" s="377">
        <f t="shared" si="351"/>
        <v>0.12</v>
      </c>
      <c r="FA171" s="1217">
        <f t="shared" si="352"/>
        <v>0.12</v>
      </c>
    </row>
    <row r="172" spans="1:157" ht="13.35" customHeight="1">
      <c r="A172" s="5"/>
      <c r="B172" s="5" t="s">
        <v>406</v>
      </c>
      <c r="C172" s="5"/>
      <c r="D172" s="5"/>
      <c r="E172" s="359"/>
      <c r="F172" s="359"/>
      <c r="G172" s="359"/>
      <c r="H172" s="359"/>
      <c r="I172" s="359"/>
      <c r="J172" s="359"/>
      <c r="K172" s="359"/>
      <c r="L172" s="359"/>
      <c r="M172" s="359"/>
      <c r="N172" s="359"/>
      <c r="O172" s="359"/>
      <c r="P172" s="359"/>
      <c r="Q172" s="359"/>
      <c r="R172" s="359"/>
      <c r="S172" s="359"/>
      <c r="T172" s="359"/>
      <c r="U172" s="359"/>
      <c r="V172" s="359"/>
      <c r="W172" s="359"/>
      <c r="X172" s="359"/>
      <c r="Y172" s="359"/>
      <c r="Z172" s="359"/>
      <c r="AA172" s="359"/>
      <c r="AB172" s="359"/>
      <c r="AC172" s="359"/>
      <c r="AD172" s="359"/>
      <c r="AE172" s="359"/>
      <c r="AF172" s="359"/>
      <c r="AG172" s="359"/>
      <c r="AH172" s="359"/>
      <c r="AI172" s="359"/>
      <c r="AJ172" s="359"/>
      <c r="AK172" s="359"/>
      <c r="AL172" s="359"/>
      <c r="AM172" s="359"/>
      <c r="AN172" s="359"/>
      <c r="AO172" s="359"/>
      <c r="AP172" s="359"/>
      <c r="AQ172" s="359"/>
      <c r="AR172" s="359"/>
      <c r="AS172" s="359"/>
      <c r="AT172" s="359"/>
      <c r="AU172" s="359"/>
      <c r="AV172" s="359"/>
      <c r="AW172" s="359"/>
      <c r="AX172" s="359"/>
      <c r="AY172" s="359"/>
      <c r="AZ172" s="359"/>
      <c r="BA172" s="359"/>
      <c r="BB172" s="359"/>
      <c r="BC172" s="359"/>
      <c r="BD172" s="359"/>
      <c r="BE172" s="359"/>
      <c r="BF172" s="359"/>
      <c r="BG172" s="359"/>
      <c r="BH172" s="359"/>
      <c r="BI172" s="359"/>
      <c r="BJ172" s="359"/>
      <c r="BK172" s="359"/>
      <c r="BL172" s="359"/>
      <c r="BM172" s="359"/>
      <c r="BN172" s="359"/>
      <c r="BO172" s="359"/>
      <c r="BP172" s="359"/>
      <c r="BQ172" s="359"/>
      <c r="BR172" s="359"/>
      <c r="BS172" s="359"/>
      <c r="BT172" s="359"/>
      <c r="BU172" s="359"/>
      <c r="BV172" s="359"/>
      <c r="BW172" s="359"/>
      <c r="BX172" s="359"/>
      <c r="BY172" s="359"/>
      <c r="BZ172" s="359"/>
      <c r="CA172" s="359"/>
      <c r="CB172" s="359"/>
      <c r="CC172" s="359"/>
      <c r="CD172" s="359"/>
      <c r="CE172" s="359"/>
      <c r="CF172" s="359"/>
      <c r="CG172" s="359"/>
      <c r="CH172" s="359"/>
      <c r="CI172" s="359"/>
      <c r="CJ172" s="359"/>
      <c r="CK172" s="359"/>
      <c r="CL172" s="359"/>
      <c r="CM172" s="359"/>
      <c r="CN172" s="359"/>
      <c r="CO172" s="359"/>
      <c r="CP172" s="359"/>
      <c r="CQ172" s="359"/>
      <c r="CR172" s="359"/>
      <c r="CS172" s="359"/>
      <c r="CT172" s="359"/>
      <c r="CU172" s="359"/>
      <c r="CV172" s="359"/>
      <c r="CW172" s="359"/>
      <c r="CX172" s="359"/>
      <c r="CY172" s="359"/>
      <c r="CZ172" s="359"/>
      <c r="DA172" s="359"/>
      <c r="DB172" s="359"/>
      <c r="DC172" s="359"/>
      <c r="DD172" s="359"/>
      <c r="DE172" s="359"/>
      <c r="DF172" s="359"/>
      <c r="DG172" s="359"/>
      <c r="DH172" s="359"/>
      <c r="DI172" s="359"/>
      <c r="DJ172" s="359"/>
      <c r="DK172" s="1208"/>
      <c r="DL172" s="359"/>
      <c r="DM172" s="359"/>
      <c r="DN172" s="1208"/>
      <c r="DO172" s="359"/>
      <c r="DP172" s="359"/>
      <c r="DQ172" s="1208"/>
      <c r="DR172" s="359"/>
      <c r="DS172" s="359"/>
      <c r="DT172" s="1208"/>
      <c r="DU172" s="359"/>
      <c r="DV172" s="359"/>
      <c r="DW172" s="1208"/>
      <c r="DX172" s="359"/>
      <c r="DY172" s="359"/>
      <c r="DZ172" s="1208"/>
      <c r="EA172" s="359"/>
      <c r="EB172" s="359"/>
      <c r="EC172" s="1208"/>
      <c r="ED172" s="359"/>
      <c r="EE172" s="359"/>
      <c r="EF172" s="1208"/>
      <c r="EG172" s="359"/>
      <c r="EH172" s="359"/>
      <c r="EI172" s="1208"/>
      <c r="EJ172" s="359"/>
      <c r="EK172" s="359"/>
      <c r="EL172" s="1208"/>
      <c r="EM172" s="359"/>
      <c r="EN172" s="359"/>
      <c r="EO172" s="1208"/>
      <c r="EP172" s="359"/>
      <c r="EQ172" s="359"/>
      <c r="ER172" s="1208"/>
      <c r="ES172" s="359"/>
      <c r="ET172" s="359"/>
      <c r="EU172" s="1208"/>
      <c r="EV172" s="359"/>
      <c r="EW172" s="359"/>
      <c r="EX172" s="1208"/>
      <c r="EY172" s="359"/>
      <c r="EZ172" s="359"/>
      <c r="FA172" s="359"/>
    </row>
    <row r="173" spans="1:157" ht="13.35" customHeight="1">
      <c r="A173" s="5"/>
      <c r="B173" s="5" t="s">
        <v>629</v>
      </c>
      <c r="C173" s="5"/>
      <c r="D173" s="10"/>
      <c r="E173" s="356"/>
      <c r="F173" s="356"/>
      <c r="G173" s="356"/>
      <c r="H173" s="363"/>
      <c r="I173" s="363"/>
      <c r="J173" s="363"/>
      <c r="K173" s="363"/>
      <c r="L173" s="363"/>
      <c r="M173" s="363"/>
      <c r="N173" s="363"/>
      <c r="O173" s="363"/>
      <c r="P173" s="363"/>
      <c r="Q173" s="363"/>
      <c r="R173" s="363"/>
      <c r="S173" s="363"/>
      <c r="T173" s="363"/>
      <c r="U173" s="363"/>
      <c r="V173" s="363"/>
      <c r="W173" s="363"/>
      <c r="X173" s="363"/>
      <c r="Y173" s="363"/>
      <c r="Z173" s="363"/>
      <c r="AA173" s="363"/>
      <c r="AB173" s="363"/>
      <c r="AC173" s="363"/>
      <c r="AD173" s="363"/>
      <c r="AE173" s="363"/>
      <c r="AF173" s="363"/>
      <c r="AG173" s="363"/>
      <c r="AH173" s="363"/>
      <c r="AI173" s="363"/>
      <c r="AJ173" s="363"/>
      <c r="AK173" s="363"/>
      <c r="AL173" s="363"/>
      <c r="AM173" s="363"/>
      <c r="AN173" s="363"/>
      <c r="AO173" s="363"/>
      <c r="AP173" s="363"/>
      <c r="AQ173" s="363"/>
      <c r="AR173" s="363"/>
      <c r="AS173" s="363"/>
      <c r="AT173" s="363"/>
      <c r="AU173" s="363"/>
      <c r="AV173" s="363"/>
      <c r="AW173" s="363"/>
      <c r="AX173" s="363"/>
      <c r="AY173" s="363"/>
      <c r="AZ173" s="363"/>
      <c r="BA173" s="363"/>
      <c r="BB173" s="363"/>
      <c r="BC173" s="363"/>
      <c r="BD173" s="363"/>
      <c r="BE173" s="363"/>
      <c r="BF173" s="363"/>
      <c r="BG173" s="363"/>
      <c r="BH173" s="363"/>
      <c r="BI173" s="363"/>
      <c r="BJ173" s="363"/>
      <c r="BK173" s="363"/>
      <c r="BL173" s="363"/>
      <c r="BM173" s="363"/>
      <c r="BN173" s="363"/>
      <c r="BO173" s="363"/>
      <c r="BP173" s="363"/>
      <c r="BQ173" s="363"/>
      <c r="BR173" s="363"/>
      <c r="BS173" s="363"/>
      <c r="BT173" s="363"/>
      <c r="BU173" s="363"/>
      <c r="BV173" s="363"/>
      <c r="BW173" s="363"/>
      <c r="BX173" s="363"/>
      <c r="BY173" s="363"/>
      <c r="BZ173" s="363"/>
      <c r="CA173" s="363"/>
      <c r="CB173" s="363"/>
      <c r="CC173" s="363"/>
      <c r="CD173" s="363"/>
      <c r="CE173" s="363"/>
      <c r="CF173" s="363"/>
      <c r="CG173" s="363"/>
      <c r="CH173" s="363"/>
      <c r="CI173" s="363"/>
      <c r="CJ173" s="363"/>
      <c r="CK173" s="363"/>
      <c r="CL173" s="363"/>
      <c r="CM173" s="363"/>
      <c r="CN173" s="363"/>
      <c r="CO173" s="363"/>
      <c r="CP173" s="363"/>
      <c r="CQ173" s="363"/>
      <c r="CR173" s="363"/>
      <c r="CS173" s="363"/>
      <c r="CT173" s="363"/>
      <c r="CU173" s="363"/>
      <c r="CV173" s="363"/>
      <c r="CW173" s="363"/>
      <c r="CX173" s="363"/>
      <c r="CY173" s="363"/>
      <c r="CZ173" s="363"/>
      <c r="DA173" s="363"/>
      <c r="DB173" s="363"/>
      <c r="DC173" s="363"/>
      <c r="DD173" s="363"/>
      <c r="DE173" s="363"/>
      <c r="DF173" s="363"/>
      <c r="DG173" s="363"/>
      <c r="DH173" s="363"/>
      <c r="DI173" s="363"/>
      <c r="DJ173" s="363"/>
      <c r="DK173" s="1210"/>
      <c r="DL173" s="363"/>
      <c r="DM173" s="363"/>
      <c r="DN173" s="1210"/>
      <c r="DO173" s="363"/>
      <c r="DP173" s="363"/>
      <c r="DQ173" s="1210"/>
      <c r="DR173" s="363"/>
      <c r="DS173" s="363"/>
      <c r="DT173" s="1210"/>
      <c r="DU173" s="363"/>
      <c r="DV173" s="363"/>
      <c r="DW173" s="1210"/>
      <c r="DX173" s="363"/>
      <c r="DY173" s="363"/>
      <c r="DZ173" s="1210"/>
      <c r="EA173" s="363"/>
      <c r="EB173" s="363"/>
      <c r="EC173" s="1210"/>
      <c r="ED173" s="363"/>
      <c r="EE173" s="363"/>
      <c r="EF173" s="1210"/>
      <c r="EG173" s="363"/>
      <c r="EH173" s="363"/>
      <c r="EI173" s="1210"/>
      <c r="EJ173" s="363"/>
      <c r="EK173" s="363"/>
      <c r="EL173" s="1210"/>
      <c r="EM173" s="363"/>
      <c r="EN173" s="363"/>
      <c r="EO173" s="1210"/>
      <c r="EP173" s="363"/>
      <c r="EQ173" s="363"/>
      <c r="ER173" s="1210"/>
      <c r="ES173" s="363"/>
      <c r="ET173" s="363"/>
      <c r="EU173" s="1210"/>
      <c r="EV173" s="363"/>
      <c r="EW173" s="363"/>
      <c r="EX173" s="1210"/>
      <c r="EY173" s="363"/>
      <c r="EZ173" s="363"/>
      <c r="FA173" s="363"/>
    </row>
    <row r="174" spans="1:157" ht="13.35" customHeight="1">
      <c r="A174" s="5"/>
      <c r="B174" s="5" t="s">
        <v>630</v>
      </c>
      <c r="C174" s="5"/>
      <c r="D174" s="5"/>
      <c r="E174" s="356"/>
      <c r="F174" s="356"/>
      <c r="G174" s="356"/>
      <c r="H174" s="356"/>
      <c r="I174" s="356"/>
      <c r="J174" s="356"/>
      <c r="K174" s="356"/>
      <c r="L174" s="356"/>
      <c r="M174" s="356"/>
      <c r="N174" s="356"/>
      <c r="O174" s="356"/>
      <c r="P174" s="356"/>
      <c r="Q174" s="356"/>
      <c r="R174" s="356"/>
      <c r="S174" s="356"/>
      <c r="T174" s="356"/>
      <c r="U174" s="356"/>
      <c r="V174" s="356"/>
      <c r="W174" s="356"/>
      <c r="X174" s="356"/>
      <c r="Y174" s="356"/>
      <c r="Z174" s="356"/>
      <c r="AA174" s="356"/>
      <c r="AB174" s="356"/>
      <c r="AC174" s="356"/>
      <c r="AD174" s="356"/>
      <c r="AE174" s="356"/>
      <c r="AF174" s="356"/>
      <c r="AG174" s="356"/>
      <c r="AH174" s="356"/>
      <c r="AI174" s="356"/>
      <c r="AJ174" s="356"/>
      <c r="AK174" s="356"/>
      <c r="AL174" s="356"/>
      <c r="AM174" s="356"/>
      <c r="AN174" s="356"/>
      <c r="AO174" s="356"/>
      <c r="AP174" s="356"/>
      <c r="AQ174" s="356"/>
      <c r="AR174" s="356"/>
      <c r="AS174" s="356"/>
      <c r="AT174" s="356"/>
      <c r="AU174" s="356"/>
      <c r="AV174" s="356"/>
      <c r="AW174" s="356"/>
      <c r="AX174" s="356"/>
      <c r="AY174" s="356"/>
      <c r="AZ174" s="356"/>
      <c r="BA174" s="356"/>
      <c r="BB174" s="356"/>
      <c r="BC174" s="356"/>
      <c r="BD174" s="356">
        <v>0.03</v>
      </c>
      <c r="BE174" s="359"/>
      <c r="BF174" s="356">
        <v>1.7000000000000001E-2</v>
      </c>
      <c r="BG174" s="356">
        <v>0.03</v>
      </c>
      <c r="BH174" s="359"/>
      <c r="BI174" s="356">
        <v>2E-3</v>
      </c>
      <c r="BJ174" s="356"/>
      <c r="BK174" s="359"/>
      <c r="BL174" s="359"/>
      <c r="BM174" s="356"/>
      <c r="BN174" s="359"/>
      <c r="BO174" s="359"/>
      <c r="BP174" s="356"/>
      <c r="BQ174" s="359"/>
      <c r="BR174" s="359"/>
      <c r="BS174" s="356"/>
      <c r="BT174" s="359"/>
      <c r="BU174" s="359"/>
      <c r="BV174" s="356"/>
      <c r="BW174" s="359"/>
      <c r="BX174" s="359"/>
      <c r="BY174" s="356"/>
      <c r="BZ174" s="359"/>
      <c r="CA174" s="359"/>
      <c r="CB174" s="356"/>
      <c r="CC174" s="359"/>
      <c r="CD174" s="359"/>
      <c r="CE174" s="356"/>
      <c r="CF174" s="359"/>
      <c r="CG174" s="359"/>
      <c r="CH174" s="356"/>
      <c r="CI174" s="359"/>
      <c r="CJ174" s="359"/>
      <c r="CK174" s="356"/>
      <c r="CL174" s="359"/>
      <c r="CM174" s="359"/>
      <c r="CN174" s="356"/>
      <c r="CO174" s="359"/>
      <c r="CP174" s="359"/>
      <c r="CQ174" s="356"/>
      <c r="CR174" s="359"/>
      <c r="CS174" s="359"/>
      <c r="CT174" s="356"/>
      <c r="CU174" s="359"/>
      <c r="CV174" s="359"/>
      <c r="CW174" s="356"/>
      <c r="CX174" s="359"/>
      <c r="CY174" s="359"/>
      <c r="CZ174" s="356"/>
      <c r="DA174" s="359"/>
      <c r="DB174" s="359"/>
      <c r="DC174" s="356"/>
      <c r="DD174" s="359"/>
      <c r="DE174" s="359"/>
      <c r="DF174" s="356"/>
      <c r="DG174" s="359"/>
      <c r="DH174" s="359"/>
      <c r="DI174" s="356"/>
      <c r="DJ174" s="359"/>
      <c r="DK174" s="1208"/>
      <c r="DL174" s="356"/>
      <c r="DM174" s="359"/>
      <c r="DN174" s="1208"/>
      <c r="DO174" s="356"/>
      <c r="DP174" s="359"/>
      <c r="DQ174" s="1208"/>
      <c r="DR174" s="356"/>
      <c r="DS174" s="359"/>
      <c r="DT174" s="1208"/>
      <c r="DU174" s="356"/>
      <c r="DV174" s="359"/>
      <c r="DW174" s="1208"/>
      <c r="DX174" s="356"/>
      <c r="DY174" s="359"/>
      <c r="DZ174" s="1208"/>
      <c r="EA174" s="356"/>
      <c r="EB174" s="359"/>
      <c r="EC174" s="1208"/>
      <c r="ED174" s="356"/>
      <c r="EE174" s="359"/>
      <c r="EF174" s="1208"/>
      <c r="EG174" s="356"/>
      <c r="EH174" s="359"/>
      <c r="EI174" s="1208"/>
      <c r="EJ174" s="356"/>
      <c r="EK174" s="359"/>
      <c r="EL174" s="1208"/>
      <c r="EM174" s="356"/>
      <c r="EN174" s="359"/>
      <c r="EO174" s="1208"/>
      <c r="EP174" s="356"/>
      <c r="EQ174" s="359"/>
      <c r="ER174" s="1208"/>
      <c r="ES174" s="356"/>
      <c r="ET174" s="359"/>
      <c r="EU174" s="1208"/>
      <c r="EV174" s="356"/>
      <c r="EW174" s="359"/>
      <c r="EX174" s="1208"/>
      <c r="EY174" s="356"/>
      <c r="EZ174" s="359"/>
      <c r="FA174" s="359"/>
    </row>
    <row r="175" spans="1:157" ht="13.35" customHeight="1">
      <c r="A175" s="5"/>
      <c r="B175" s="5" t="s">
        <v>631</v>
      </c>
      <c r="C175" s="5"/>
      <c r="D175" s="5"/>
      <c r="E175" s="356"/>
      <c r="F175" s="356"/>
      <c r="G175" s="356"/>
      <c r="H175" s="363"/>
      <c r="I175" s="363"/>
      <c r="J175" s="363"/>
      <c r="K175" s="363"/>
      <c r="L175" s="363"/>
      <c r="M175" s="363"/>
      <c r="N175" s="363"/>
      <c r="O175" s="363"/>
      <c r="P175" s="363"/>
      <c r="Q175" s="363"/>
      <c r="R175" s="363"/>
      <c r="S175" s="363"/>
      <c r="T175" s="363"/>
      <c r="U175" s="363"/>
      <c r="V175" s="363"/>
      <c r="W175" s="363"/>
      <c r="X175" s="363"/>
      <c r="Y175" s="363"/>
      <c r="Z175" s="363"/>
      <c r="AA175" s="363"/>
      <c r="AB175" s="363"/>
      <c r="AC175" s="363"/>
      <c r="AD175" s="363"/>
      <c r="AE175" s="363"/>
      <c r="AF175" s="363"/>
      <c r="AG175" s="363"/>
      <c r="AH175" s="363"/>
      <c r="AI175" s="363"/>
      <c r="AJ175" s="363"/>
      <c r="AK175" s="363"/>
      <c r="AL175" s="363"/>
      <c r="AM175" s="363"/>
      <c r="AN175" s="363"/>
      <c r="AO175" s="363"/>
      <c r="AP175" s="363"/>
      <c r="AQ175" s="363"/>
      <c r="AR175" s="363"/>
      <c r="AS175" s="363"/>
      <c r="AT175" s="363"/>
      <c r="AU175" s="363"/>
      <c r="AV175" s="363"/>
      <c r="AW175" s="363"/>
      <c r="AX175" s="363"/>
      <c r="AY175" s="363"/>
      <c r="AZ175" s="363"/>
      <c r="BA175" s="363"/>
      <c r="BB175" s="363"/>
      <c r="BC175" s="363"/>
      <c r="BD175" s="356">
        <v>5.0000000000000001E-3</v>
      </c>
      <c r="BE175" s="359"/>
      <c r="BF175" s="356">
        <v>5.0000000000000001E-3</v>
      </c>
      <c r="BG175" s="356">
        <v>5.0000000000000001E-3</v>
      </c>
      <c r="BH175" s="359"/>
      <c r="BI175" s="356">
        <v>0</v>
      </c>
      <c r="BJ175" s="356"/>
      <c r="BK175" s="359"/>
      <c r="BL175" s="359"/>
      <c r="BM175" s="356"/>
      <c r="BN175" s="359"/>
      <c r="BO175" s="359"/>
      <c r="BP175" s="356"/>
      <c r="BQ175" s="359"/>
      <c r="BR175" s="359"/>
      <c r="BS175" s="356"/>
      <c r="BT175" s="359"/>
      <c r="BU175" s="359"/>
      <c r="BV175" s="356"/>
      <c r="BW175" s="359"/>
      <c r="BX175" s="359"/>
      <c r="BY175" s="356"/>
      <c r="BZ175" s="359"/>
      <c r="CA175" s="359"/>
      <c r="CB175" s="356"/>
      <c r="CC175" s="359"/>
      <c r="CD175" s="359"/>
      <c r="CE175" s="356"/>
      <c r="CF175" s="359"/>
      <c r="CG175" s="359"/>
      <c r="CH175" s="356"/>
      <c r="CI175" s="359"/>
      <c r="CJ175" s="359"/>
      <c r="CK175" s="356"/>
      <c r="CL175" s="359"/>
      <c r="CM175" s="359"/>
      <c r="CN175" s="356"/>
      <c r="CO175" s="359"/>
      <c r="CP175" s="359"/>
      <c r="CQ175" s="356"/>
      <c r="CR175" s="359"/>
      <c r="CS175" s="359"/>
      <c r="CT175" s="356"/>
      <c r="CU175" s="359"/>
      <c r="CV175" s="359"/>
      <c r="CW175" s="356"/>
      <c r="CX175" s="359"/>
      <c r="CY175" s="359"/>
      <c r="CZ175" s="356"/>
      <c r="DA175" s="359"/>
      <c r="DB175" s="359"/>
      <c r="DC175" s="356"/>
      <c r="DD175" s="359"/>
      <c r="DE175" s="359"/>
      <c r="DF175" s="356"/>
      <c r="DG175" s="359"/>
      <c r="DH175" s="359"/>
      <c r="DI175" s="356"/>
      <c r="DJ175" s="359"/>
      <c r="DK175" s="1208"/>
      <c r="DL175" s="356"/>
      <c r="DM175" s="359"/>
      <c r="DN175" s="1208"/>
      <c r="DO175" s="356"/>
      <c r="DP175" s="359"/>
      <c r="DQ175" s="1208"/>
      <c r="DR175" s="356"/>
      <c r="DS175" s="359"/>
      <c r="DT175" s="1208"/>
      <c r="DU175" s="356"/>
      <c r="DV175" s="359"/>
      <c r="DW175" s="1208"/>
      <c r="DX175" s="356"/>
      <c r="DY175" s="359"/>
      <c r="DZ175" s="1208"/>
      <c r="EA175" s="356"/>
      <c r="EB175" s="359"/>
      <c r="EC175" s="1208"/>
      <c r="ED175" s="356"/>
      <c r="EE175" s="359"/>
      <c r="EF175" s="1208"/>
      <c r="EG175" s="356"/>
      <c r="EH175" s="359"/>
      <c r="EI175" s="1208"/>
      <c r="EJ175" s="356"/>
      <c r="EK175" s="359"/>
      <c r="EL175" s="1208"/>
      <c r="EM175" s="356"/>
      <c r="EN175" s="359"/>
      <c r="EO175" s="1208"/>
      <c r="EP175" s="356"/>
      <c r="EQ175" s="359"/>
      <c r="ER175" s="1208"/>
      <c r="ES175" s="356"/>
      <c r="ET175" s="359"/>
      <c r="EU175" s="1208"/>
      <c r="EV175" s="356"/>
      <c r="EW175" s="359"/>
      <c r="EX175" s="1208"/>
      <c r="EY175" s="356"/>
      <c r="EZ175" s="359"/>
      <c r="FA175" s="359"/>
    </row>
    <row r="176" spans="1:157" ht="13.35" customHeight="1">
      <c r="A176" s="5"/>
      <c r="B176" s="5"/>
      <c r="C176" s="5" t="s">
        <v>742</v>
      </c>
      <c r="D176" s="5"/>
      <c r="E176" s="359"/>
      <c r="F176" s="359"/>
      <c r="G176" s="359"/>
      <c r="H176" s="359"/>
      <c r="I176" s="359"/>
      <c r="J176" s="359"/>
      <c r="K176" s="359"/>
      <c r="L176" s="359"/>
      <c r="M176" s="359"/>
      <c r="N176" s="359"/>
      <c r="O176" s="359"/>
      <c r="P176" s="359"/>
      <c r="Q176" s="359"/>
      <c r="R176" s="359"/>
      <c r="S176" s="359"/>
      <c r="T176" s="359"/>
      <c r="U176" s="359"/>
      <c r="V176" s="359"/>
      <c r="W176" s="359"/>
      <c r="X176" s="359"/>
      <c r="Y176" s="359"/>
      <c r="Z176" s="359"/>
      <c r="AA176" s="359"/>
      <c r="AB176" s="359"/>
      <c r="AC176" s="359"/>
      <c r="AD176" s="359"/>
      <c r="AE176" s="359"/>
      <c r="AF176" s="359"/>
      <c r="AG176" s="359"/>
      <c r="AH176" s="359"/>
      <c r="AI176" s="359"/>
      <c r="AJ176" s="359"/>
      <c r="AK176" s="359"/>
      <c r="AL176" s="359"/>
      <c r="AM176" s="359"/>
      <c r="AN176" s="359"/>
      <c r="AO176" s="359"/>
      <c r="AP176" s="359"/>
      <c r="AQ176" s="359"/>
      <c r="AR176" s="359"/>
      <c r="AS176" s="359"/>
      <c r="AT176" s="359"/>
      <c r="AU176" s="359"/>
      <c r="AV176" s="359"/>
      <c r="AW176" s="359"/>
      <c r="AX176" s="356">
        <f>(Model!AX189/Model!AX30)*-1</f>
        <v>5.3153941295363355E-2</v>
      </c>
      <c r="AY176" s="356">
        <f>(Model!AY189/Model!AY30)*-1</f>
        <v>2.8962239917801186E-2</v>
      </c>
      <c r="AZ176" s="356">
        <f>(Model!AZ189/Model!AZ30)*-1</f>
        <v>4.0087959044936811E-2</v>
      </c>
      <c r="BA176" s="356">
        <f>(Model!BA189/Model!BA30)*-1</f>
        <v>2.8544298891558795E-2</v>
      </c>
      <c r="BB176" s="356">
        <f>(Model!BB189/Model!BB30)*-1</f>
        <v>2.2163674157207255E-2</v>
      </c>
      <c r="BC176" s="356">
        <f>(Model!BC189/Model!BC30)*-1</f>
        <v>2.5155489730181592E-2</v>
      </c>
      <c r="BD176" s="356">
        <f>(Model!BD189/Model!BD30)*-1</f>
        <v>4.6591997335220889E-2</v>
      </c>
      <c r="BE176" s="356">
        <f>(Model!BE189/Model!BE30)*-1</f>
        <v>8.4743894913162282E-2</v>
      </c>
      <c r="BF176" s="356">
        <f>(Model!BF189/Model!BF30)*-1</f>
        <v>6.6861565723787167E-2</v>
      </c>
      <c r="BG176" s="356">
        <f>(Model!BG189/Model!BG30)*-1</f>
        <v>5.3278772378516623E-2</v>
      </c>
      <c r="BH176" s="356">
        <f>(Model!BH189/Model!BH30)*-1</f>
        <v>1.9277540624887905E-2</v>
      </c>
      <c r="BI176" s="356">
        <f>(Model!BI189/Model!BI30)*-1</f>
        <v>3.6708506695570089E-2</v>
      </c>
      <c r="BJ176" s="356">
        <f>(Model!BJ189/Model!BJ30)*-1</f>
        <v>6.8993253336397525E-2</v>
      </c>
      <c r="BK176" s="356">
        <f>BJ176</f>
        <v>6.8993253336397525E-2</v>
      </c>
      <c r="BL176" s="356">
        <v>4.2000000000000003E-2</v>
      </c>
      <c r="BM176" s="356">
        <v>3.5000000000000003E-2</v>
      </c>
      <c r="BN176" s="356">
        <f>BM176</f>
        <v>3.5000000000000003E-2</v>
      </c>
      <c r="BO176" s="356">
        <f>BN176</f>
        <v>3.5000000000000003E-2</v>
      </c>
      <c r="BP176" s="356">
        <f>BO176</f>
        <v>3.5000000000000003E-2</v>
      </c>
      <c r="BQ176" s="356">
        <f>BP176</f>
        <v>3.5000000000000003E-2</v>
      </c>
      <c r="BR176" s="356">
        <v>2.5000000000000001E-2</v>
      </c>
      <c r="BS176" s="356">
        <f t="shared" ref="BS176:BZ176" si="372">BR176</f>
        <v>2.5000000000000001E-2</v>
      </c>
      <c r="BT176" s="356">
        <f t="shared" si="372"/>
        <v>2.5000000000000001E-2</v>
      </c>
      <c r="BU176" s="356">
        <f t="shared" si="372"/>
        <v>2.5000000000000001E-2</v>
      </c>
      <c r="BV176" s="356">
        <f t="shared" si="372"/>
        <v>2.5000000000000001E-2</v>
      </c>
      <c r="BW176" s="356">
        <f t="shared" si="372"/>
        <v>2.5000000000000001E-2</v>
      </c>
      <c r="BX176" s="356">
        <f t="shared" si="372"/>
        <v>2.5000000000000001E-2</v>
      </c>
      <c r="BY176" s="356">
        <f t="shared" si="372"/>
        <v>2.5000000000000001E-2</v>
      </c>
      <c r="BZ176" s="356">
        <f t="shared" si="372"/>
        <v>2.5000000000000001E-2</v>
      </c>
      <c r="CA176" s="356">
        <v>0.02</v>
      </c>
      <c r="CB176" s="372">
        <v>2.5000000000000001E-2</v>
      </c>
      <c r="CC176" s="356">
        <f>CB176</f>
        <v>2.5000000000000001E-2</v>
      </c>
      <c r="CD176" s="356">
        <f>CC176</f>
        <v>2.5000000000000001E-2</v>
      </c>
      <c r="CE176" s="356">
        <f>CD176</f>
        <v>2.5000000000000001E-2</v>
      </c>
      <c r="CF176" s="356">
        <f>CE176</f>
        <v>2.5000000000000001E-2</v>
      </c>
      <c r="CG176" s="372">
        <v>9.5000000000000001E-2</v>
      </c>
      <c r="CH176" s="356">
        <v>0.05</v>
      </c>
      <c r="CI176" s="356">
        <f>CH176</f>
        <v>0.05</v>
      </c>
      <c r="CJ176" s="356">
        <f>CI176</f>
        <v>0.05</v>
      </c>
      <c r="CK176" s="356"/>
      <c r="CL176" s="356"/>
      <c r="CM176" s="356"/>
      <c r="CN176" s="356">
        <f>-Model!CN189/Model!CN30</f>
        <v>3.9115115248083407E-2</v>
      </c>
      <c r="CO176" s="356">
        <f>-Model!CO189/Model!CO30</f>
        <v>4.3222647783725275E-2</v>
      </c>
      <c r="CP176" s="356">
        <f>-Model!CP189/Model!CP30</f>
        <v>4.133299726110206E-2</v>
      </c>
      <c r="CQ176" s="356">
        <f>-Model!CQ189/Model!CQ30</f>
        <v>2.3841461467215993E-2</v>
      </c>
      <c r="CR176" s="356">
        <f>-Model!CR189/Model!CR30</f>
        <v>3.6890872710481769E-2</v>
      </c>
      <c r="CS176" s="356">
        <f>CR176</f>
        <v>3.6890872710481769E-2</v>
      </c>
      <c r="CT176" s="356">
        <f>-Model!CT189/Model!CT30</f>
        <v>3.003287049394426E-2</v>
      </c>
      <c r="CU176" s="356">
        <f>-Model!CU189/Model!CU30</f>
        <v>3.4431138941503583E-2</v>
      </c>
      <c r="CV176" s="356">
        <f>CU176</f>
        <v>3.4431138941503583E-2</v>
      </c>
      <c r="CW176" s="356">
        <f>-Model!CW189/Model!CW30</f>
        <v>2.8216198477260163E-2</v>
      </c>
      <c r="CX176" s="356">
        <f>-Model!CX189/Model!CX30</f>
        <v>7.0812929209229408E-2</v>
      </c>
      <c r="CY176" s="356">
        <f>CX176</f>
        <v>7.0812929209229408E-2</v>
      </c>
      <c r="CZ176" s="356">
        <f>-Model!CZ189/Model!CZ30</f>
        <v>3.1610183779207053E-2</v>
      </c>
      <c r="DA176" s="356">
        <f>-Model!DA189/Model!DA30</f>
        <v>3.4640664352124373E-2</v>
      </c>
      <c r="DB176" s="356">
        <f>DA176</f>
        <v>3.4640664352124373E-2</v>
      </c>
      <c r="DC176" s="356">
        <f>-Model!DC189/Model!DC30</f>
        <v>9.5402769385492303E-2</v>
      </c>
      <c r="DD176" s="356">
        <f>-Model!DD189/Model!DD30</f>
        <v>2.7273231390902035E-2</v>
      </c>
      <c r="DE176" s="356">
        <f>DD176</f>
        <v>2.7273231390902035E-2</v>
      </c>
      <c r="DF176" s="356">
        <f>(38.8+11)/755.7</f>
        <v>6.5899166335847553E-2</v>
      </c>
      <c r="DG176" s="356"/>
      <c r="DH176" s="356">
        <v>0.125</v>
      </c>
      <c r="DI176" s="374">
        <v>2.6499999999999999E-2</v>
      </c>
      <c r="DJ176" s="356">
        <v>4.4999999999999998E-2</v>
      </c>
      <c r="DK176" s="1087">
        <f>DJ176</f>
        <v>4.4999999999999998E-2</v>
      </c>
      <c r="DL176" s="356">
        <f>DL179/Model!DL30</f>
        <v>4.642378457414402E-2</v>
      </c>
      <c r="DM176" s="356">
        <f>DM179/Model!DM30</f>
        <v>6.8028032866118915E-2</v>
      </c>
      <c r="DN176" s="1087">
        <f>DN179/Model!DN30</f>
        <v>4.6836134198871567E-2</v>
      </c>
      <c r="DO176" s="356">
        <f>DO179/Model!DO30</f>
        <v>4.8254040004520285E-2</v>
      </c>
      <c r="DP176" s="356">
        <f>DP179/Model!DP30</f>
        <v>5.0608828006088277E-2</v>
      </c>
      <c r="DQ176" s="1087">
        <f>DQ179/Model!DQ30</f>
        <v>4.9532565466659781E-2</v>
      </c>
      <c r="DR176" s="356">
        <f>DR179/Model!DR30</f>
        <v>3.8871187983614025E-2</v>
      </c>
      <c r="DS176" s="356">
        <f>DS179/Model!DS30</f>
        <v>4.1421159088910371E-2</v>
      </c>
      <c r="DT176" s="1087">
        <f>DT179/Model!DT30</f>
        <v>4.0168187511182674E-2</v>
      </c>
      <c r="DU176" s="357">
        <f>DR176</f>
        <v>3.8871187983614025E-2</v>
      </c>
      <c r="DV176" s="356">
        <f>DV179/Model!DV30</f>
        <v>5.0119107589586834E-2</v>
      </c>
      <c r="DW176" s="1087">
        <f>DW179/Model!DW30</f>
        <v>4.3788143911911569E-2</v>
      </c>
      <c r="DX176" s="356">
        <f>DX179/Model!DX30</f>
        <v>3.452707333790267E-2</v>
      </c>
      <c r="DY176" s="356">
        <v>4.5999999999999999E-2</v>
      </c>
      <c r="DZ176" s="1087">
        <f t="shared" ref="DZ176:EF176" si="373">DY176</f>
        <v>4.5999999999999999E-2</v>
      </c>
      <c r="EA176" s="1569">
        <v>3.9E-2</v>
      </c>
      <c r="EB176" s="356">
        <f t="shared" si="373"/>
        <v>3.9E-2</v>
      </c>
      <c r="EC176" s="1087">
        <f t="shared" si="373"/>
        <v>3.9E-2</v>
      </c>
      <c r="ED176" s="1569">
        <v>3.7499999999999999E-2</v>
      </c>
      <c r="EE176" s="356">
        <f t="shared" si="373"/>
        <v>3.7499999999999999E-2</v>
      </c>
      <c r="EF176" s="1087">
        <f t="shared" si="373"/>
        <v>3.7499999999999999E-2</v>
      </c>
      <c r="EG176" s="356">
        <f>+EE176</f>
        <v>3.7499999999999999E-2</v>
      </c>
      <c r="EH176" s="356">
        <f t="shared" ref="EH176:EL176" si="374">EG176</f>
        <v>3.7499999999999999E-2</v>
      </c>
      <c r="EI176" s="1087">
        <f t="shared" si="374"/>
        <v>3.7499999999999999E-2</v>
      </c>
      <c r="EJ176" s="356">
        <f>+EH176</f>
        <v>3.7499999999999999E-2</v>
      </c>
      <c r="EK176" s="356">
        <f t="shared" si="374"/>
        <v>3.7499999999999999E-2</v>
      </c>
      <c r="EL176" s="1087">
        <f t="shared" si="374"/>
        <v>3.7499999999999999E-2</v>
      </c>
      <c r="EM176" s="356">
        <f t="shared" ref="EM176" si="375">EL176</f>
        <v>3.7499999999999999E-2</v>
      </c>
      <c r="EN176" s="356">
        <f t="shared" ref="EN176" si="376">EM176</f>
        <v>3.7499999999999999E-2</v>
      </c>
      <c r="EO176" s="1087">
        <f t="shared" ref="EO176" si="377">EN176</f>
        <v>3.7499999999999999E-2</v>
      </c>
      <c r="EP176" s="356">
        <f t="shared" ref="EP176" si="378">EO176</f>
        <v>3.7499999999999999E-2</v>
      </c>
      <c r="EQ176" s="356">
        <f t="shared" ref="EQ176" si="379">EP176</f>
        <v>3.7499999999999999E-2</v>
      </c>
      <c r="ER176" s="1087">
        <f t="shared" ref="ER176" si="380">EQ176</f>
        <v>3.7499999999999999E-2</v>
      </c>
      <c r="ES176" s="356">
        <f t="shared" ref="ES176" si="381">ER176</f>
        <v>3.7499999999999999E-2</v>
      </c>
      <c r="ET176" s="356">
        <f t="shared" ref="ET176" si="382">ES176</f>
        <v>3.7499999999999999E-2</v>
      </c>
      <c r="EU176" s="1087">
        <f t="shared" ref="EU176" si="383">ET176</f>
        <v>3.7499999999999999E-2</v>
      </c>
      <c r="EV176" s="356">
        <f t="shared" ref="EV176" si="384">EU176</f>
        <v>3.7499999999999999E-2</v>
      </c>
      <c r="EW176" s="356">
        <f t="shared" ref="EW176" si="385">EV176</f>
        <v>3.7499999999999999E-2</v>
      </c>
      <c r="EX176" s="1087">
        <f t="shared" ref="EX176" si="386">EW176</f>
        <v>3.7499999999999999E-2</v>
      </c>
      <c r="EY176" s="356">
        <f t="shared" ref="EY176" si="387">EX176</f>
        <v>3.7499999999999999E-2</v>
      </c>
      <c r="EZ176" s="356">
        <f t="shared" ref="EZ176" si="388">EY176</f>
        <v>3.7499999999999999E-2</v>
      </c>
      <c r="FA176" s="1087">
        <f t="shared" ref="FA176" si="389">EZ176</f>
        <v>3.7499999999999999E-2</v>
      </c>
    </row>
    <row r="177" spans="1:157" ht="13.35" customHeight="1">
      <c r="A177" s="5"/>
      <c r="B177" s="5" t="s">
        <v>60</v>
      </c>
      <c r="C177" s="5"/>
      <c r="D177" s="5"/>
      <c r="E177" s="359"/>
      <c r="F177" s="359"/>
      <c r="G177" s="359"/>
      <c r="H177" s="359"/>
      <c r="I177" s="359"/>
      <c r="J177" s="359"/>
      <c r="K177" s="359"/>
      <c r="L177" s="359"/>
      <c r="M177" s="359"/>
      <c r="N177" s="359"/>
      <c r="O177" s="359"/>
      <c r="P177" s="359"/>
      <c r="Q177" s="359"/>
      <c r="R177" s="359"/>
      <c r="S177" s="359"/>
      <c r="T177" s="359"/>
      <c r="U177" s="359"/>
      <c r="V177" s="359"/>
      <c r="W177" s="359"/>
      <c r="X177" s="359"/>
      <c r="Y177" s="359"/>
      <c r="Z177" s="359"/>
      <c r="AA177" s="359"/>
      <c r="AB177" s="359"/>
      <c r="AC177" s="359"/>
      <c r="AD177" s="359"/>
      <c r="AE177" s="359"/>
      <c r="AF177" s="359"/>
      <c r="AG177" s="359"/>
      <c r="AH177" s="359"/>
      <c r="AI177" s="359"/>
      <c r="AJ177" s="359"/>
      <c r="AK177" s="359"/>
      <c r="AL177" s="359"/>
      <c r="AM177" s="359"/>
      <c r="AN177" s="359"/>
      <c r="AO177" s="359"/>
      <c r="AP177" s="359"/>
      <c r="AQ177" s="359"/>
      <c r="AR177" s="359"/>
      <c r="AS177" s="359"/>
      <c r="AT177" s="359"/>
      <c r="AU177" s="359"/>
      <c r="AV177" s="359"/>
      <c r="AW177" s="359"/>
      <c r="AX177" s="359"/>
      <c r="AY177" s="359"/>
      <c r="AZ177" s="359"/>
      <c r="BA177" s="359"/>
      <c r="BB177" s="359"/>
      <c r="BC177" s="359"/>
      <c r="BD177" s="359"/>
      <c r="BE177" s="359"/>
      <c r="BF177" s="359"/>
      <c r="BG177" s="359"/>
      <c r="BH177" s="359"/>
      <c r="BI177" s="359"/>
      <c r="BJ177" s="359"/>
      <c r="BK177" s="359"/>
      <c r="BL177" s="359"/>
      <c r="BM177" s="359"/>
      <c r="BN177" s="359"/>
      <c r="BO177" s="359"/>
      <c r="BP177" s="359"/>
      <c r="BQ177" s="359"/>
      <c r="BR177" s="359"/>
      <c r="BS177" s="359"/>
      <c r="BT177" s="359"/>
      <c r="BU177" s="359"/>
      <c r="BV177" s="359"/>
      <c r="BW177" s="359"/>
      <c r="BX177" s="359"/>
      <c r="BY177" s="359"/>
      <c r="BZ177" s="359"/>
      <c r="CA177" s="359"/>
      <c r="CB177" s="359"/>
      <c r="CC177" s="359"/>
      <c r="CD177" s="359"/>
      <c r="CE177" s="359"/>
      <c r="CF177" s="359"/>
      <c r="CG177" s="359"/>
      <c r="CH177" s="359"/>
      <c r="CI177" s="359"/>
      <c r="CJ177" s="359"/>
      <c r="CK177" s="359"/>
      <c r="CL177" s="359"/>
      <c r="CM177" s="359"/>
      <c r="CN177" s="359"/>
      <c r="CO177" s="359"/>
      <c r="CP177" s="359"/>
      <c r="CQ177" s="359"/>
      <c r="CR177" s="359"/>
      <c r="CS177" s="359"/>
      <c r="CT177" s="359"/>
      <c r="CU177" s="359"/>
      <c r="CV177" s="359"/>
      <c r="CW177" s="359"/>
      <c r="CX177" s="359"/>
      <c r="CY177" s="359"/>
      <c r="CZ177" s="359"/>
      <c r="DA177" s="359"/>
      <c r="DB177" s="359"/>
      <c r="DC177" s="359"/>
      <c r="DD177" s="359"/>
      <c r="DE177" s="359"/>
      <c r="DF177" s="359"/>
      <c r="DG177" s="359"/>
      <c r="DH177" s="359"/>
      <c r="DI177" s="359"/>
      <c r="DJ177" s="359"/>
      <c r="DK177" s="1208"/>
      <c r="DL177" s="359"/>
      <c r="DM177" s="359"/>
      <c r="DN177" s="1208"/>
      <c r="DO177" s="359"/>
      <c r="DP177" s="359"/>
      <c r="DQ177" s="1208"/>
      <c r="DR177" s="359"/>
      <c r="DS177" s="359"/>
      <c r="DT177" s="1208"/>
      <c r="DU177" s="359"/>
      <c r="DV177" s="359"/>
      <c r="DW177" s="1208"/>
      <c r="DX177" s="359"/>
      <c r="DY177" s="359"/>
      <c r="DZ177" s="1208"/>
      <c r="EA177" s="359"/>
      <c r="EB177" s="359"/>
      <c r="EC177" s="1208"/>
      <c r="ED177" s="359"/>
      <c r="EE177" s="359"/>
      <c r="EF177" s="1208"/>
      <c r="EG177" s="359"/>
      <c r="EH177" s="359"/>
      <c r="EI177" s="1208"/>
      <c r="EJ177" s="359"/>
      <c r="EK177" s="359"/>
      <c r="EL177" s="1208"/>
      <c r="EM177" s="359"/>
      <c r="EN177" s="359"/>
      <c r="EO177" s="1208"/>
      <c r="EP177" s="359"/>
      <c r="EQ177" s="359"/>
      <c r="ER177" s="1208"/>
      <c r="ES177" s="359"/>
      <c r="ET177" s="359"/>
      <c r="EU177" s="1208"/>
      <c r="EV177" s="359"/>
      <c r="EW177" s="359"/>
      <c r="EX177" s="1208"/>
      <c r="EY177" s="359"/>
      <c r="EZ177" s="359"/>
      <c r="FA177" s="359"/>
    </row>
    <row r="178" spans="1:157" ht="13.35" customHeight="1">
      <c r="A178" s="5"/>
      <c r="B178" s="5" t="s">
        <v>83</v>
      </c>
      <c r="C178" s="5"/>
      <c r="D178" s="5"/>
      <c r="E178" s="366"/>
      <c r="F178" s="366"/>
      <c r="G178" s="366"/>
      <c r="H178" s="366"/>
      <c r="I178" s="366"/>
      <c r="J178" s="366"/>
      <c r="K178" s="366"/>
      <c r="L178" s="366"/>
      <c r="M178" s="366"/>
      <c r="N178" s="366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66"/>
      <c r="AC178" s="366"/>
      <c r="AD178" s="366"/>
      <c r="AE178" s="366"/>
      <c r="AF178" s="366"/>
      <c r="AG178" s="366"/>
      <c r="AH178" s="366"/>
      <c r="AI178" s="366"/>
      <c r="AJ178" s="366"/>
      <c r="AK178" s="366"/>
      <c r="AL178" s="366"/>
      <c r="AM178" s="366"/>
      <c r="AN178" s="366"/>
      <c r="AO178" s="366"/>
      <c r="AP178" s="366"/>
      <c r="AQ178" s="366"/>
      <c r="AR178" s="366"/>
      <c r="AS178" s="366"/>
      <c r="AT178" s="366"/>
      <c r="AU178" s="366"/>
      <c r="AV178" s="366"/>
      <c r="AW178" s="366"/>
      <c r="AX178" s="366"/>
      <c r="AY178" s="366"/>
      <c r="AZ178" s="366"/>
      <c r="BA178" s="366"/>
      <c r="BB178" s="366"/>
      <c r="BC178" s="366"/>
      <c r="BD178" s="366"/>
      <c r="BE178" s="366"/>
      <c r="BF178" s="366">
        <v>0</v>
      </c>
      <c r="BG178" s="366"/>
      <c r="BH178" s="366"/>
      <c r="BI178" s="366">
        <v>0</v>
      </c>
      <c r="BJ178" s="366"/>
      <c r="BK178" s="366"/>
      <c r="BL178" s="366">
        <v>0.5</v>
      </c>
      <c r="BM178" s="366">
        <f>BL178</f>
        <v>0.5</v>
      </c>
      <c r="BN178" s="366">
        <f>BM178</f>
        <v>0.5</v>
      </c>
      <c r="BO178" s="366">
        <v>0.4</v>
      </c>
      <c r="BP178" s="366">
        <f>BO178</f>
        <v>0.4</v>
      </c>
      <c r="BQ178" s="366">
        <f>BP178</f>
        <v>0.4</v>
      </c>
      <c r="BR178" s="366">
        <v>0.3</v>
      </c>
      <c r="BS178" s="366">
        <f>BR178</f>
        <v>0.3</v>
      </c>
      <c r="BT178" s="366">
        <f>BS178</f>
        <v>0.3</v>
      </c>
      <c r="BU178" s="366">
        <v>0.2</v>
      </c>
      <c r="BV178" s="366">
        <v>0.1</v>
      </c>
      <c r="BW178" s="366">
        <f>BV178</f>
        <v>0.1</v>
      </c>
      <c r="BX178" s="366">
        <f>BW178</f>
        <v>0.1</v>
      </c>
      <c r="BY178" s="366">
        <v>0.05</v>
      </c>
      <c r="BZ178" s="366">
        <f t="shared" ref="BZ178:DQ178" si="390">BY178</f>
        <v>0.05</v>
      </c>
      <c r="CA178" s="366">
        <f t="shared" si="390"/>
        <v>0.05</v>
      </c>
      <c r="CB178" s="366">
        <f>CA178</f>
        <v>0.05</v>
      </c>
      <c r="CC178" s="366">
        <f t="shared" si="390"/>
        <v>0.05</v>
      </c>
      <c r="CD178" s="366">
        <f t="shared" si="390"/>
        <v>0.05</v>
      </c>
      <c r="CE178" s="366">
        <f t="shared" si="390"/>
        <v>0.05</v>
      </c>
      <c r="CF178" s="366">
        <f t="shared" si="390"/>
        <v>0.05</v>
      </c>
      <c r="CG178" s="366">
        <f t="shared" si="390"/>
        <v>0.05</v>
      </c>
      <c r="CH178" s="366">
        <f t="shared" si="390"/>
        <v>0.05</v>
      </c>
      <c r="CI178" s="366">
        <f t="shared" si="390"/>
        <v>0.05</v>
      </c>
      <c r="CJ178" s="366">
        <f t="shared" si="390"/>
        <v>0.05</v>
      </c>
      <c r="CK178" s="366">
        <f t="shared" si="390"/>
        <v>0.05</v>
      </c>
      <c r="CL178" s="366">
        <f t="shared" si="390"/>
        <v>0.05</v>
      </c>
      <c r="CM178" s="366">
        <f t="shared" si="390"/>
        <v>0.05</v>
      </c>
      <c r="CN178" s="366">
        <f t="shared" si="390"/>
        <v>0.05</v>
      </c>
      <c r="CO178" s="366">
        <f t="shared" si="390"/>
        <v>0.05</v>
      </c>
      <c r="CP178" s="366">
        <f t="shared" si="390"/>
        <v>0.05</v>
      </c>
      <c r="CQ178" s="366">
        <f t="shared" si="390"/>
        <v>0.05</v>
      </c>
      <c r="CR178" s="366">
        <f t="shared" si="390"/>
        <v>0.05</v>
      </c>
      <c r="CS178" s="366">
        <f t="shared" si="390"/>
        <v>0.05</v>
      </c>
      <c r="CT178" s="366">
        <f t="shared" si="390"/>
        <v>0.05</v>
      </c>
      <c r="CU178" s="366">
        <f t="shared" si="390"/>
        <v>0.05</v>
      </c>
      <c r="CV178" s="366">
        <f t="shared" si="390"/>
        <v>0.05</v>
      </c>
      <c r="CW178" s="366">
        <f t="shared" si="390"/>
        <v>0.05</v>
      </c>
      <c r="CX178" s="366">
        <f t="shared" si="390"/>
        <v>0.05</v>
      </c>
      <c r="CY178" s="366">
        <f t="shared" si="390"/>
        <v>0.05</v>
      </c>
      <c r="CZ178" s="366">
        <f t="shared" si="390"/>
        <v>0.05</v>
      </c>
      <c r="DA178" s="366">
        <f t="shared" si="390"/>
        <v>0.05</v>
      </c>
      <c r="DB178" s="366">
        <f t="shared" si="390"/>
        <v>0.05</v>
      </c>
      <c r="DC178" s="366">
        <f t="shared" si="390"/>
        <v>0.05</v>
      </c>
      <c r="DD178" s="366">
        <f t="shared" si="390"/>
        <v>0.05</v>
      </c>
      <c r="DE178" s="366">
        <f t="shared" si="390"/>
        <v>0.05</v>
      </c>
      <c r="DF178" s="366">
        <v>0</v>
      </c>
      <c r="DG178" s="366">
        <f t="shared" si="390"/>
        <v>0</v>
      </c>
      <c r="DH178" s="366">
        <f t="shared" si="390"/>
        <v>0</v>
      </c>
      <c r="DI178" s="366">
        <f t="shared" si="390"/>
        <v>0</v>
      </c>
      <c r="DJ178" s="366">
        <f t="shared" si="390"/>
        <v>0</v>
      </c>
      <c r="DK178" s="1103">
        <f t="shared" si="390"/>
        <v>0</v>
      </c>
      <c r="DL178" s="366">
        <f t="shared" si="390"/>
        <v>0</v>
      </c>
      <c r="DM178" s="366">
        <f t="shared" si="390"/>
        <v>0</v>
      </c>
      <c r="DN178" s="1103">
        <f t="shared" si="390"/>
        <v>0</v>
      </c>
      <c r="DO178" s="366">
        <f t="shared" si="390"/>
        <v>0</v>
      </c>
      <c r="DP178" s="366">
        <f t="shared" si="390"/>
        <v>0</v>
      </c>
      <c r="DQ178" s="1103">
        <f t="shared" si="390"/>
        <v>0</v>
      </c>
      <c r="DR178" s="366">
        <f t="shared" ref="DR178:DU178" si="391">DQ178</f>
        <v>0</v>
      </c>
      <c r="DS178" s="366">
        <f t="shared" si="391"/>
        <v>0</v>
      </c>
      <c r="DT178" s="1103">
        <f t="shared" si="391"/>
        <v>0</v>
      </c>
      <c r="DU178" s="366">
        <f t="shared" si="391"/>
        <v>0</v>
      </c>
      <c r="DV178" s="366">
        <f t="shared" ref="DV178" si="392">DU178</f>
        <v>0</v>
      </c>
      <c r="DW178" s="1103">
        <f t="shared" ref="DW178" si="393">DV178</f>
        <v>0</v>
      </c>
      <c r="DX178" s="366">
        <f t="shared" ref="DX178:EF178" si="394">DW178</f>
        <v>0</v>
      </c>
      <c r="DY178" s="366">
        <f t="shared" si="394"/>
        <v>0</v>
      </c>
      <c r="DZ178" s="1103">
        <f t="shared" si="394"/>
        <v>0</v>
      </c>
      <c r="EA178" s="366">
        <f t="shared" si="394"/>
        <v>0</v>
      </c>
      <c r="EB178" s="366">
        <f t="shared" si="394"/>
        <v>0</v>
      </c>
      <c r="EC178" s="1103">
        <f t="shared" si="394"/>
        <v>0</v>
      </c>
      <c r="ED178" s="366">
        <f t="shared" si="394"/>
        <v>0</v>
      </c>
      <c r="EE178" s="366">
        <f t="shared" si="394"/>
        <v>0</v>
      </c>
      <c r="EF178" s="1103">
        <f t="shared" si="394"/>
        <v>0</v>
      </c>
      <c r="EG178" s="366">
        <f t="shared" ref="EG178:EL178" si="395">EF178</f>
        <v>0</v>
      </c>
      <c r="EH178" s="366">
        <f t="shared" si="395"/>
        <v>0</v>
      </c>
      <c r="EI178" s="1103">
        <f t="shared" si="395"/>
        <v>0</v>
      </c>
      <c r="EJ178" s="366">
        <f t="shared" si="395"/>
        <v>0</v>
      </c>
      <c r="EK178" s="366">
        <f t="shared" si="395"/>
        <v>0</v>
      </c>
      <c r="EL178" s="1103">
        <f t="shared" si="395"/>
        <v>0</v>
      </c>
      <c r="EM178" s="366">
        <f t="shared" ref="EM178:ER178" si="396">EL178</f>
        <v>0</v>
      </c>
      <c r="EN178" s="366">
        <f t="shared" si="396"/>
        <v>0</v>
      </c>
      <c r="EO178" s="1103">
        <f t="shared" si="396"/>
        <v>0</v>
      </c>
      <c r="EP178" s="366">
        <f t="shared" si="396"/>
        <v>0</v>
      </c>
      <c r="EQ178" s="366">
        <f t="shared" si="396"/>
        <v>0</v>
      </c>
      <c r="ER178" s="1103">
        <f t="shared" si="396"/>
        <v>0</v>
      </c>
      <c r="ES178" s="366">
        <f t="shared" ref="ES178" si="397">ER178</f>
        <v>0</v>
      </c>
      <c r="ET178" s="366">
        <f t="shared" ref="ET178" si="398">ES178</f>
        <v>0</v>
      </c>
      <c r="EU178" s="1103">
        <f t="shared" ref="EU178" si="399">ET178</f>
        <v>0</v>
      </c>
      <c r="EV178" s="366">
        <f t="shared" ref="EV178" si="400">EU178</f>
        <v>0</v>
      </c>
      <c r="EW178" s="366">
        <f t="shared" ref="EW178" si="401">EV178</f>
        <v>0</v>
      </c>
      <c r="EX178" s="1103">
        <f t="shared" ref="EX178" si="402">EW178</f>
        <v>0</v>
      </c>
      <c r="EY178" s="366">
        <f t="shared" ref="EY178" si="403">EX178</f>
        <v>0</v>
      </c>
      <c r="EZ178" s="366">
        <f t="shared" ref="EZ178" si="404">EY178</f>
        <v>0</v>
      </c>
      <c r="FA178" s="366">
        <f t="shared" ref="FA178" si="405">EZ178</f>
        <v>0</v>
      </c>
    </row>
    <row r="179" spans="1:157" ht="13.35" customHeight="1">
      <c r="A179" s="5"/>
      <c r="B179" s="5" t="s">
        <v>84</v>
      </c>
      <c r="C179" s="5"/>
      <c r="D179" s="399"/>
      <c r="E179" s="363" t="str">
        <f>IF(Model!E191&lt;&gt;"",-Model!E191,"")</f>
        <v/>
      </c>
      <c r="F179" s="363" t="str">
        <f>IF(Model!G191&lt;&gt;"",-Model!F191,"")</f>
        <v/>
      </c>
      <c r="G179" s="363" t="str">
        <f>IF(Model!G191&lt;&gt;"",-Model!G191,"")</f>
        <v/>
      </c>
      <c r="H179" s="363" t="str">
        <f>IF(Model!H191&lt;&gt;"",-Model!H191,"")</f>
        <v/>
      </c>
      <c r="I179" s="363" t="str">
        <f>IF(Model!J191&lt;&gt;"",-Model!I191,"")</f>
        <v/>
      </c>
      <c r="J179" s="363" t="str">
        <f>IF(Model!J191&lt;&gt;"",-Model!J191,"")</f>
        <v/>
      </c>
      <c r="K179" s="363" t="str">
        <f>IF(Model!K191&lt;&gt;"",-Model!K191,"")</f>
        <v/>
      </c>
      <c r="L179" s="363" t="str">
        <f>IF(Model!M191&lt;&gt;"",-Model!L191,"")</f>
        <v/>
      </c>
      <c r="M179" s="363" t="str">
        <f>IF(Model!M191&lt;&gt;"",-Model!M191,"")</f>
        <v/>
      </c>
      <c r="N179" s="363" t="str">
        <f>IF(Model!N191&lt;&gt;"",-Model!N191,"")</f>
        <v/>
      </c>
      <c r="O179" s="363" t="str">
        <f>IF(Model!P191&lt;&gt;"",-Model!O191,"")</f>
        <v/>
      </c>
      <c r="P179" s="363" t="str">
        <f>IF(Model!P191&lt;&gt;"",-Model!P191,"")</f>
        <v/>
      </c>
      <c r="Q179" s="363" t="str">
        <f>IF(Model!Q191&lt;&gt;"",-Model!Q191,"")</f>
        <v/>
      </c>
      <c r="R179" s="363" t="str">
        <f>IF(Model!S191&lt;&gt;"",-Model!R191,"")</f>
        <v/>
      </c>
      <c r="S179" s="363" t="str">
        <f>IF(Model!S191&lt;&gt;"",-Model!S191,"")</f>
        <v/>
      </c>
      <c r="T179" s="363" t="str">
        <f>IF(Model!T191&lt;&gt;"",-Model!T191,"")</f>
        <v/>
      </c>
      <c r="U179" s="363" t="str">
        <f>IF(Model!V191&lt;&gt;"",-Model!U191,"")</f>
        <v/>
      </c>
      <c r="V179" s="363" t="str">
        <f>IF(Model!V191&lt;&gt;"",-Model!V191,"")</f>
        <v/>
      </c>
      <c r="W179" s="363" t="str">
        <f>IF(Model!W191&lt;&gt;"",-Model!W191,"")</f>
        <v/>
      </c>
      <c r="X179" s="363" t="str">
        <f>IF(Model!Y191&lt;&gt;"",-Model!X191,"")</f>
        <v/>
      </c>
      <c r="Y179" s="363" t="str">
        <f>IF(Model!Y191&lt;&gt;"",-Model!Y191,"")</f>
        <v/>
      </c>
      <c r="Z179" s="363" t="str">
        <f>IF(Model!Z191&lt;&gt;"",-Model!Z191,"")</f>
        <v/>
      </c>
      <c r="AA179" s="363" t="str">
        <f>IF(Model!AB191&lt;&gt;"",-Model!AA191,"")</f>
        <v/>
      </c>
      <c r="AB179" s="363" t="str">
        <f>IF(Model!AB191&lt;&gt;"",-Model!AB191,"")</f>
        <v/>
      </c>
      <c r="AC179" s="363" t="str">
        <f>IF(Model!AC191&lt;&gt;"",-Model!AC191,"")</f>
        <v/>
      </c>
      <c r="AD179" s="363" t="str">
        <f>IF(Model!AE191&lt;&gt;"",-Model!AD191,"")</f>
        <v/>
      </c>
      <c r="AE179" s="363" t="str">
        <f>IF(Model!AE191&lt;&gt;"",-Model!AE191,"")</f>
        <v/>
      </c>
      <c r="AF179" s="363" t="str">
        <f>IF(Model!AF191&lt;&gt;"",-Model!AF191,"")</f>
        <v/>
      </c>
      <c r="AG179" s="363" t="str">
        <f>IF(Model!AH191&lt;&gt;"",-Model!AG191,"")</f>
        <v/>
      </c>
      <c r="AH179" s="363" t="str">
        <f>IF(Model!AH191&lt;&gt;"",-Model!AH191,"")</f>
        <v/>
      </c>
      <c r="AI179" s="363" t="str">
        <f>IF(Model!AI191&lt;&gt;"",-Model!AI191,"")</f>
        <v/>
      </c>
      <c r="AJ179" s="363" t="str">
        <f>IF(Model!AK191&lt;&gt;"",-Model!AJ191,"")</f>
        <v/>
      </c>
      <c r="AK179" s="363" t="str">
        <f>IF(Model!AK191&lt;&gt;"",-Model!AK191,"")</f>
        <v/>
      </c>
      <c r="AL179" s="363" t="str">
        <f>IF(Model!AL191&lt;&gt;"",-Model!AL191,"")</f>
        <v/>
      </c>
      <c r="AM179" s="363" t="str">
        <f>IF(Model!AN191&lt;&gt;"",-Model!AM191,"")</f>
        <v/>
      </c>
      <c r="AN179" s="363" t="str">
        <f>IF(Model!AN191&lt;&gt;"",-Model!AN191,"")</f>
        <v/>
      </c>
      <c r="AO179" s="363" t="str">
        <f>IF(Model!AO191&lt;&gt;"",-Model!AO191,"")</f>
        <v/>
      </c>
      <c r="AP179" s="363" t="str">
        <f>IF(Model!AQ191&lt;&gt;"",-Model!AP191,"")</f>
        <v/>
      </c>
      <c r="AQ179" s="363" t="str">
        <f>IF(Model!AQ191&lt;&gt;"",-Model!AQ191,"")</f>
        <v/>
      </c>
      <c r="AR179" s="363" t="str">
        <f>IF(Model!AR191&lt;&gt;"",-Model!AR191,"")</f>
        <v/>
      </c>
      <c r="AS179" s="363" t="str">
        <f>IF(Model!AT191&lt;&gt;"",-Model!AS191,"")</f>
        <v/>
      </c>
      <c r="AT179" s="363" t="str">
        <f>IF(Model!AT191&lt;&gt;"",-Model!AT191,"")</f>
        <v/>
      </c>
      <c r="AU179" s="363">
        <f>IF(Model!AU191&lt;&gt;"",-Model!AU191,"")</f>
        <v>2.29</v>
      </c>
      <c r="AV179" s="363">
        <f>IF(Model!AW191&lt;&gt;"",-Model!AV191,"")</f>
        <v>2.0250000000000004</v>
      </c>
      <c r="AW179" s="363">
        <f>IF(Model!AW191&lt;&gt;"",-Model!AW191,"")</f>
        <v>4.3150000000000004</v>
      </c>
      <c r="AX179" s="363">
        <f>IF(Model!AX191&lt;&gt;"",-Model!AX191,"")</f>
        <v>0</v>
      </c>
      <c r="AY179" s="363">
        <f>IF(Model!AZ191&lt;&gt;"",-Model!AY191,"")</f>
        <v>0</v>
      </c>
      <c r="AZ179" s="356">
        <f>-Model!AZ189/Model!AZ30</f>
        <v>4.0087959044936811E-2</v>
      </c>
      <c r="BA179" s="356">
        <f>-Model!BA189/Model!BA30</f>
        <v>2.8544298891558795E-2</v>
      </c>
      <c r="BB179" s="356">
        <f>-Model!BB189/Model!BB30</f>
        <v>2.2163674157207255E-2</v>
      </c>
      <c r="BC179" s="356">
        <f>-Model!BC189/Model!BC30</f>
        <v>2.5155489730181592E-2</v>
      </c>
      <c r="BD179" s="356">
        <f>-Model!BD189/Model!BD30</f>
        <v>4.6591997335220889E-2</v>
      </c>
      <c r="BE179" s="363">
        <f>IF(Model!BF191&lt;&gt;"",-Model!BE191,"")</f>
        <v>0</v>
      </c>
      <c r="BF179" s="363">
        <f>BF176*Model!BF30</f>
        <v>17.13</v>
      </c>
      <c r="BG179" s="363">
        <f>BG176*Model!BG30</f>
        <v>7.8119999999999994</v>
      </c>
      <c r="BH179" s="363">
        <f>IF(Model!BI191&lt;&gt;"",-Model!BH191,"")</f>
        <v>0</v>
      </c>
      <c r="BI179" s="363">
        <f>BI176*Model!BI30</f>
        <v>10.499000000000001</v>
      </c>
      <c r="BJ179" s="363">
        <v>8.4</v>
      </c>
      <c r="BK179" s="363">
        <f>IF(Model!BL191&lt;&gt;"",-Model!BK191,"")</f>
        <v>0</v>
      </c>
      <c r="BL179" s="363">
        <f>BL176*Model!BL30</f>
        <v>10.499202</v>
      </c>
      <c r="BM179" s="363">
        <f>BM176*Model!BM30</f>
        <v>5.7810200000000016</v>
      </c>
      <c r="BN179" s="363">
        <f>IF(Model!BO191&lt;&gt;"",-Model!BN191,"")</f>
        <v>-12.867000000000001</v>
      </c>
      <c r="BO179" s="363">
        <f>BO176*Model!BO30</f>
        <v>12.213810000000002</v>
      </c>
      <c r="BP179" s="363">
        <f>BP176*Model!BP30</f>
        <v>7.4209196169089076</v>
      </c>
      <c r="BQ179" s="363">
        <f>IF(Model!BR191&lt;&gt;"",-Model!BQ191,"")</f>
        <v>0.70599999999999996</v>
      </c>
      <c r="BR179" s="363">
        <f>BR176*Model!BR30</f>
        <v>11.306500000000002</v>
      </c>
      <c r="BS179" s="363">
        <f>BS176*Model!BS30</f>
        <v>6.5962098928468924</v>
      </c>
      <c r="BT179" s="363">
        <f>IF(Model!BU191&lt;&gt;"",-Model!BT191,"")</f>
        <v>4.3739999999999997</v>
      </c>
      <c r="BU179" s="363">
        <f>BU176*Model!BU30</f>
        <v>13.37743217122938</v>
      </c>
      <c r="BV179" s="363">
        <f>BV176*Model!BV30</f>
        <v>7.132547773877663</v>
      </c>
      <c r="BW179" s="363">
        <f>IF(Model!BX191&lt;&gt;"",-Model!BW191,"")</f>
        <v>2.8670000000000009</v>
      </c>
      <c r="BX179" s="363">
        <f>BX176*Model!BX30</f>
        <v>14.435391390374386</v>
      </c>
      <c r="BY179" s="363">
        <f>BY176*Model!BY30</f>
        <v>8.4883501753768336</v>
      </c>
      <c r="BZ179" s="363">
        <f>IF(Model!CA191&lt;&gt;"",-Model!BZ191,"")</f>
        <v>4.5830000000000002</v>
      </c>
      <c r="CA179" s="363">
        <f>CA176*Model!CA30</f>
        <v>13.303653218789908</v>
      </c>
      <c r="CB179" s="363">
        <f>CB176*Model!CB30</f>
        <v>8.2942642046452644</v>
      </c>
      <c r="CC179" s="363">
        <f>IF(Model!CD191&lt;&gt;"",-Model!CC191,"")</f>
        <v>32.241</v>
      </c>
      <c r="CD179" s="363">
        <f>CD176*Model!CD30</f>
        <v>17.617517926517969</v>
      </c>
      <c r="CE179" s="363">
        <f>CE176*Model!CE30</f>
        <v>9.0663365180702087</v>
      </c>
      <c r="CF179" s="363">
        <f>IF(Model!CG191&lt;&gt;"",-Model!CF191,"")</f>
        <v>-19.084000000000003</v>
      </c>
      <c r="CG179" s="363">
        <f>CG176*Model!CG30</f>
        <v>74.26095816030373</v>
      </c>
      <c r="CH179" s="363">
        <f>CH176*Model!CH30</f>
        <v>18.768145272586992</v>
      </c>
      <c r="CI179" s="363">
        <f>IF(Model!CJ191&lt;&gt;"",-Model!CI191,"")</f>
        <v>0</v>
      </c>
      <c r="CJ179" s="363">
        <f>CJ176*Model!CJ30</f>
        <v>37.685095353807796</v>
      </c>
      <c r="CK179" s="363">
        <f>CK176*Model!CK30</f>
        <v>0</v>
      </c>
      <c r="CL179" s="363">
        <f>IF(Model!CM191&lt;&gt;"",-Model!CL191,"")</f>
        <v>0</v>
      </c>
      <c r="CM179" s="363">
        <f>CM176*Model!CM30</f>
        <v>0</v>
      </c>
      <c r="CN179" s="363">
        <f>CN176*Model!CN30</f>
        <v>13.907999999999998</v>
      </c>
      <c r="CO179" s="363">
        <f>IF(Model!CP191&lt;&gt;"",-Model!CO191,"")</f>
        <v>-13.907999999999999</v>
      </c>
      <c r="CP179" s="363">
        <f>CP176*Model!CP30</f>
        <v>31.945999999999998</v>
      </c>
      <c r="CQ179" s="363">
        <f>CQ176*Model!CQ30</f>
        <v>10.451000000000001</v>
      </c>
      <c r="CR179" s="363" t="str">
        <f>IF(Model!CS191&lt;&gt;"",-Model!CR191,"")</f>
        <v/>
      </c>
      <c r="CS179" s="363">
        <f>CS176*Model!CS30</f>
        <v>34.147261616130528</v>
      </c>
      <c r="CT179" s="363">
        <f>CT176*Model!CT30</f>
        <v>16.760999999999999</v>
      </c>
      <c r="CU179" s="363" t="str">
        <f>IF(Model!CV191&lt;&gt;"",-Model!CU191,"")</f>
        <v/>
      </c>
      <c r="CV179" s="363">
        <f>CV176*Model!CV30</f>
        <v>38.868623092534776</v>
      </c>
      <c r="CW179" s="363">
        <f>CW176*Model!CW30</f>
        <v>17.186999999999998</v>
      </c>
      <c r="CX179" s="363">
        <f>IF(Model!CY191&lt;&gt;"",-Model!CX191,"")</f>
        <v>27.559000000000001</v>
      </c>
      <c r="CY179" s="363">
        <f>CY176*Model!CY30</f>
        <v>88.788443908110906</v>
      </c>
      <c r="CZ179" s="363">
        <f>CZ176*Model!CZ30</f>
        <v>20.2</v>
      </c>
      <c r="DA179" s="363">
        <f>IF(Model!DB191&lt;&gt;"",-Model!DA191,"")</f>
        <v>-2.4999999999999996</v>
      </c>
      <c r="DB179" s="363">
        <f>DB176*Model!DB30</f>
        <v>46.536581830732572</v>
      </c>
      <c r="DC179" s="363">
        <f>DC176*Model!DC30</f>
        <v>66.900000000000006</v>
      </c>
      <c r="DD179" s="363">
        <f>IF(Model!DE191&lt;&gt;"",-Model!DD191,"")</f>
        <v>-30.9</v>
      </c>
      <c r="DE179" s="363">
        <f>DE176*Model!DE30</f>
        <v>38.825012741284269</v>
      </c>
      <c r="DF179" s="363">
        <f>38.8+11</f>
        <v>49.8</v>
      </c>
      <c r="DG179" s="363">
        <f>IF(Model!DH191&lt;&gt;"",-Model!DG191,"")</f>
        <v>61.600000000000009</v>
      </c>
      <c r="DH179" s="363">
        <f>DH176*Model!DH30</f>
        <v>165.64098486843648</v>
      </c>
      <c r="DI179" s="1233">
        <f>19.2+1+14.4</f>
        <v>34.6</v>
      </c>
      <c r="DJ179" s="363">
        <f>IF(Model!DK191&lt;&gt;"",-Model!DJ191,"")</f>
        <v>47.5</v>
      </c>
      <c r="DK179" s="1364">
        <f>41.2+25.5</f>
        <v>66.7</v>
      </c>
      <c r="DL179" s="1233">
        <f>20.9+1.6+15.6</f>
        <v>38.1</v>
      </c>
      <c r="DM179" s="363">
        <f>IF(Model!DN191&lt;&gt;"",-Model!DM191,"")</f>
        <v>56.300000000000004</v>
      </c>
      <c r="DN179" s="1364">
        <f>44.5+32.7</f>
        <v>77.2</v>
      </c>
      <c r="DO179" s="1233">
        <f>20.3+8.3+14.1</f>
        <v>42.7</v>
      </c>
      <c r="DP179" s="363">
        <f>IF(Model!DQ191&lt;&gt;"",-Model!DP191,"")</f>
        <v>53.2</v>
      </c>
      <c r="DQ179" s="1364">
        <f>50+22.5+23.4</f>
        <v>95.9</v>
      </c>
      <c r="DR179" s="1233">
        <f>22.6+8.5+11.6</f>
        <v>42.7</v>
      </c>
      <c r="DS179" s="363">
        <f>IF(Model!DT191&lt;&gt;"",-Model!DS191,"")</f>
        <v>47.099999999999994</v>
      </c>
      <c r="DT179" s="1364">
        <f>62.4+15.6+11.8</f>
        <v>89.8</v>
      </c>
      <c r="DU179" s="1233">
        <f>27.1+11.1+5.7</f>
        <v>43.900000000000006</v>
      </c>
      <c r="DV179" s="363">
        <f>IF(Model!DW191&lt;&gt;"",-Model!DV191,"")</f>
        <v>58.699999999999989</v>
      </c>
      <c r="DW179" s="1364">
        <v>102.6</v>
      </c>
      <c r="DX179" s="1233">
        <f>28+5+7.3</f>
        <v>40.299999999999997</v>
      </c>
      <c r="DY179" s="363">
        <f>DY176*Model!DY30</f>
        <v>61.749015898373408</v>
      </c>
      <c r="DZ179" s="1210">
        <f>DZ176*Model!DZ30</f>
        <v>115.44021589837341</v>
      </c>
      <c r="EA179" s="363">
        <f>EA176*Model!EA30</f>
        <v>54.290355966718408</v>
      </c>
      <c r="EB179" s="363">
        <f>IF(Model!EC191&lt;&gt;"",-Model!EB191,"")</f>
        <v>55.963009729802948</v>
      </c>
      <c r="EC179" s="1210">
        <f>EC176*Model!EC30</f>
        <v>110.25336569652136</v>
      </c>
      <c r="ED179" s="363">
        <f>ED176*Model!ED30</f>
        <v>56.579521263865018</v>
      </c>
      <c r="EE179" s="363">
        <f>IF(Model!EF191&lt;&gt;"",-Model!EE191,"")</f>
        <v>58.329685573182502</v>
      </c>
      <c r="EF179" s="1210">
        <f>EF176*Model!EF30</f>
        <v>114.90920683704752</v>
      </c>
      <c r="EG179" s="363">
        <f>EG176*Model!EG30</f>
        <v>61.671678177612861</v>
      </c>
      <c r="EH179" s="363">
        <f>IF(Model!EI191&lt;&gt;"",-Model!EH191,"")</f>
        <v>63.579357274768924</v>
      </c>
      <c r="EI179" s="1210">
        <f>EI176*Model!EI30</f>
        <v>125.25103545238179</v>
      </c>
      <c r="EJ179" s="363">
        <f>EJ176*Model!EJ30</f>
        <v>67.222129213598024</v>
      </c>
      <c r="EK179" s="363">
        <f>IF(Model!EL191&lt;&gt;"",-Model!EK191,"")</f>
        <v>69.301499429498122</v>
      </c>
      <c r="EL179" s="1210">
        <f>EL176*Model!EL30</f>
        <v>136.52362864309615</v>
      </c>
      <c r="EM179" s="363">
        <f>EM176*Model!EM30</f>
        <v>73.272120842821849</v>
      </c>
      <c r="EN179" s="363">
        <f>IF(Model!EO191&lt;&gt;"",-Model!EN191,"")</f>
        <v>75.538634378152992</v>
      </c>
      <c r="EO179" s="1210">
        <f>EO176*Model!EO30</f>
        <v>148.81075522097484</v>
      </c>
      <c r="EP179" s="363">
        <f>EP176*Model!EP30</f>
        <v>79.866611718675827</v>
      </c>
      <c r="EQ179" s="363">
        <f>IF(Model!ER191&lt;&gt;"",-Model!EQ191,"")</f>
        <v>82.337111472186749</v>
      </c>
      <c r="ER179" s="1210">
        <f>ER176*Model!ER30</f>
        <v>162.20372319086258</v>
      </c>
      <c r="ES179" s="363">
        <f>ES176*Model!ES30</f>
        <v>87.054606773356667</v>
      </c>
      <c r="ET179" s="363">
        <f>IF(Model!EU191&lt;&gt;"",-Model!ET191,"")</f>
        <v>89.747451504683553</v>
      </c>
      <c r="EU179" s="1210">
        <f>EU176*Model!EU30</f>
        <v>176.80205827804022</v>
      </c>
      <c r="EV179" s="363">
        <f>EV176*Model!EV30</f>
        <v>94.889521382958776</v>
      </c>
      <c r="EW179" s="363">
        <f>IF(Model!EX191&lt;&gt;"",-Model!EW191,"")</f>
        <v>97.824722140105081</v>
      </c>
      <c r="EX179" s="1210">
        <f>EX176*Model!EX30</f>
        <v>192.71424352306386</v>
      </c>
      <c r="EY179" s="363">
        <f>EY176*Model!EY30</f>
        <v>103.42957830742506</v>
      </c>
      <c r="EZ179" s="363">
        <f>IF(Model!FA191&lt;&gt;"",-Model!EZ191,"")</f>
        <v>106.62894713271456</v>
      </c>
      <c r="FA179" s="363">
        <f>FA176*Model!FA30</f>
        <v>210.05852544013962</v>
      </c>
    </row>
    <row r="180" spans="1:157" ht="13.35" customHeight="1">
      <c r="A180" s="5"/>
      <c r="B180" s="5" t="s">
        <v>14</v>
      </c>
      <c r="C180" s="5"/>
      <c r="D180" s="400"/>
      <c r="E180" s="366" t="str">
        <f>IF(AND(-Model!E189&lt;&gt;"",-Model!E189&lt;&gt;0,-Model!E57&lt;&gt;"",-Model!E57&lt;&gt;0),(--Model!E189)/(-Model!E57+-Model!E65),"")</f>
        <v/>
      </c>
      <c r="F180" s="366" t="str">
        <f>IF(AND(-Model!F189&lt;&gt;"",-Model!F189&lt;&gt;0,-Model!F57&lt;&gt;"",-Model!F57&lt;&gt;0),(--Model!F189)/(-Model!F57+-Model!F65),"")</f>
        <v/>
      </c>
      <c r="G180" s="366" t="str">
        <f>IF(AND(-Model!G189&lt;&gt;"",-Model!G189&lt;&gt;0,-Model!G57&lt;&gt;"",-Model!G57&lt;&gt;0),(--Model!G189)/(-Model!G57+-Model!G65),"")</f>
        <v/>
      </c>
      <c r="H180" s="366" t="str">
        <f>IF(AND(-Model!H189&lt;&gt;"",-Model!H189&lt;&gt;0,-Model!H57&lt;&gt;"",-Model!H57&lt;&gt;0),(--Model!H189)/(-Model!H57+-Model!H65),"")</f>
        <v/>
      </c>
      <c r="I180" s="366" t="str">
        <f>IF(AND(-Model!I189&lt;&gt;"",-Model!I189&lt;&gt;0,-Model!I57&lt;&gt;"",-Model!I57&lt;&gt;0),(--Model!I189)/(-Model!I57+-Model!I65),"")</f>
        <v/>
      </c>
      <c r="J180" s="366" t="str">
        <f>IF(AND(-Model!J189&lt;&gt;"",-Model!J189&lt;&gt;0,-Model!J57&lt;&gt;"",-Model!J57&lt;&gt;0),(--Model!J189)/(-Model!J57+-Model!J65),"")</f>
        <v/>
      </c>
      <c r="K180" s="366" t="str">
        <f>IF(AND(-Model!K189&lt;&gt;"",-Model!K189&lt;&gt;0,-Model!K57&lt;&gt;"",-Model!K57&lt;&gt;0),(--Model!K189)/(-Model!K57+-Model!K65),"")</f>
        <v/>
      </c>
      <c r="L180" s="366" t="str">
        <f>IF(AND(-Model!L189&lt;&gt;"",-Model!L189&lt;&gt;0,-Model!L57&lt;&gt;"",-Model!L57&lt;&gt;0),(--Model!L189)/(-Model!L57+-Model!L65),"")</f>
        <v/>
      </c>
      <c r="M180" s="366" t="str">
        <f>IF(AND(-Model!M189&lt;&gt;"",-Model!M189&lt;&gt;0,-Model!M57&lt;&gt;"",-Model!M57&lt;&gt;0),(--Model!M189)/(-Model!M57+-Model!M65),"")</f>
        <v/>
      </c>
      <c r="N180" s="366" t="str">
        <f>IF(AND(-Model!N189&lt;&gt;"",-Model!N189&lt;&gt;0,-Model!N57&lt;&gt;"",-Model!N57&lt;&gt;0),(--Model!N189)/(-Model!N57+-Model!N65),"")</f>
        <v/>
      </c>
      <c r="O180" s="366" t="str">
        <f>IF(AND(-Model!O189&lt;&gt;"",-Model!O189&lt;&gt;0,-Model!O57&lt;&gt;"",-Model!O57&lt;&gt;0),(--Model!O189)/(-Model!O57+-Model!O65),"")</f>
        <v/>
      </c>
      <c r="P180" s="366" t="str">
        <f>IF(AND(-Model!P189&lt;&gt;"",-Model!P189&lt;&gt;0,-Model!P57&lt;&gt;"",-Model!P57&lt;&gt;0),(--Model!P189)/(-Model!P57+-Model!P65),"")</f>
        <v/>
      </c>
      <c r="Q180" s="366" t="str">
        <f>IF(AND(-Model!Q189&lt;&gt;"",-Model!Q189&lt;&gt;0,-Model!Q57&lt;&gt;"",-Model!Q57&lt;&gt;0),(--Model!Q189)/(-Model!Q57+-Model!Q65),"")</f>
        <v/>
      </c>
      <c r="R180" s="366" t="str">
        <f>IF(AND(-Model!R189&lt;&gt;"",-Model!R189&lt;&gt;0,-Model!R57&lt;&gt;"",-Model!R57&lt;&gt;0),(--Model!R189)/(-Model!R57+-Model!R65),"")</f>
        <v/>
      </c>
      <c r="S180" s="366" t="str">
        <f>IF(AND(-Model!S189&lt;&gt;"",-Model!S189&lt;&gt;0,-Model!S57&lt;&gt;"",-Model!S57&lt;&gt;0),(--Model!S189)/(-Model!S57+-Model!S65),"")</f>
        <v/>
      </c>
      <c r="T180" s="366" t="str">
        <f>IF(AND(-Model!T189&lt;&gt;"",-Model!T189&lt;&gt;0,-Model!T57&lt;&gt;"",-Model!T57&lt;&gt;0),(--Model!T189)/(-Model!T57+-Model!T65),"")</f>
        <v/>
      </c>
      <c r="U180" s="366" t="str">
        <f>IF(AND(-Model!U189&lt;&gt;"",-Model!U189&lt;&gt;0,-Model!U57&lt;&gt;"",-Model!U57&lt;&gt;0),(--Model!U189)/(-Model!U57+-Model!U65),"")</f>
        <v/>
      </c>
      <c r="V180" s="366" t="str">
        <f>IF(AND(-Model!V189&lt;&gt;"",-Model!V189&lt;&gt;0,-Model!V57&lt;&gt;"",-Model!V57&lt;&gt;0),(--Model!V189)/(-Model!V57+-Model!V65),"")</f>
        <v/>
      </c>
      <c r="W180" s="366" t="str">
        <f>IF(AND(-Model!W189&lt;&gt;"",-Model!W189&lt;&gt;0,-Model!W57&lt;&gt;"",-Model!W57&lt;&gt;0),(--Model!W189)/(-Model!W57+-Model!W65),"")</f>
        <v/>
      </c>
      <c r="X180" s="366" t="str">
        <f>IF(AND(-Model!X189&lt;&gt;"",-Model!X189&lt;&gt;0,-Model!X57&lt;&gt;"",-Model!X57&lt;&gt;0),(--Model!X189)/(-Model!X57+-Model!X65),"")</f>
        <v/>
      </c>
      <c r="Y180" s="366" t="str">
        <f>IF(AND(-Model!Y189&lt;&gt;"",-Model!Y189&lt;&gt;0,-Model!Y57&lt;&gt;"",-Model!Y57&lt;&gt;0),(--Model!Y189)/(-Model!Y57+-Model!Y65),"")</f>
        <v/>
      </c>
      <c r="Z180" s="366" t="str">
        <f>IF(AND(-Model!Z189&lt;&gt;"",-Model!Z189&lt;&gt;0,-Model!Z57&lt;&gt;"",-Model!Z57&lt;&gt;0),(--Model!Z189)/(-Model!Z57+-Model!Z65),"")</f>
        <v/>
      </c>
      <c r="AA180" s="366" t="str">
        <f>IF(AND(-Model!AA189&lt;&gt;"",-Model!AA189&lt;&gt;0,-Model!AA57&lt;&gt;"",-Model!AA57&lt;&gt;0),(--Model!AA189)/(-Model!AA57+-Model!AA65),"")</f>
        <v/>
      </c>
      <c r="AB180" s="366" t="str">
        <f>IF(AND(-Model!AB189&lt;&gt;"",-Model!AB189&lt;&gt;0,-Model!AB57&lt;&gt;"",-Model!AB57&lt;&gt;0),(--Model!AB189)/(-Model!AB57+-Model!AB65),"")</f>
        <v/>
      </c>
      <c r="AC180" s="366" t="str">
        <f>IF(AND(-Model!AC189&lt;&gt;"",-Model!AC189&lt;&gt;0,-Model!AC57&lt;&gt;"",-Model!AC57&lt;&gt;0),(--Model!AC189)/(-Model!AC57+-Model!AC65),"")</f>
        <v/>
      </c>
      <c r="AD180" s="366" t="str">
        <f>IF(AND(-Model!AD189&lt;&gt;"",-Model!AD189&lt;&gt;0,-Model!AD57&lt;&gt;"",-Model!AD57&lt;&gt;0),(--Model!AD189)/(-Model!AD57+-Model!AD65),"")</f>
        <v/>
      </c>
      <c r="AE180" s="366" t="str">
        <f>IF(AND(-Model!AE189&lt;&gt;"",-Model!AE189&lt;&gt;0,-Model!AE57&lt;&gt;"",-Model!AE57&lt;&gt;0),(--Model!AE189)/(-Model!AE57+-Model!AE65),"")</f>
        <v/>
      </c>
      <c r="AF180" s="366" t="str">
        <f>IF(AND(-Model!AF189&lt;&gt;"",-Model!AF189&lt;&gt;0,-Model!AF57&lt;&gt;"",-Model!AF57&lt;&gt;0),(--Model!AF189)/(-Model!AF57+-Model!AF65),"")</f>
        <v/>
      </c>
      <c r="AG180" s="366" t="str">
        <f>IF(AND(-Model!AG189&lt;&gt;"",-Model!AG189&lt;&gt;0,-Model!AG57&lt;&gt;"",-Model!AG57&lt;&gt;0),(--Model!AG189)/(-Model!AG57+-Model!AG65),"")</f>
        <v/>
      </c>
      <c r="AH180" s="366" t="str">
        <f>IF(AND(-Model!AH189&lt;&gt;"",-Model!AH189&lt;&gt;0,-Model!AH57&lt;&gt;"",-Model!AH57&lt;&gt;0),(--Model!AH189)/(-Model!AH57+-Model!AH65),"")</f>
        <v/>
      </c>
      <c r="AI180" s="366" t="str">
        <f>IF(AND(-Model!AI189&lt;&gt;"",-Model!AI189&lt;&gt;0,-Model!AI57&lt;&gt;"",-Model!AI57&lt;&gt;0),(--Model!AI189)/(-Model!AI57+-Model!AI65),"")</f>
        <v/>
      </c>
      <c r="AJ180" s="366" t="str">
        <f>IF(AND(-Model!AJ189&lt;&gt;"",-Model!AJ189&lt;&gt;0,-Model!AJ57&lt;&gt;"",-Model!AJ57&lt;&gt;0),(--Model!AJ189)/(-Model!AJ57+-Model!AJ65),"")</f>
        <v/>
      </c>
      <c r="AK180" s="366" t="str">
        <f>IF(AND(-Model!AK189&lt;&gt;"",-Model!AK189&lt;&gt;0,-Model!AK57&lt;&gt;"",-Model!AK57&lt;&gt;0),(--Model!AK189)/(-Model!AK57+-Model!AK65),"")</f>
        <v/>
      </c>
      <c r="AL180" s="366">
        <f>IF(AND(-Model!AL189&lt;&gt;"",-Model!AL189&lt;&gt;0,-Model!AL57&lt;&gt;"",-Model!AL57&lt;&gt;0),(--Model!AL189)/(-Model!AL57+-Model!AL65),"")</f>
        <v>0.74083438685208591</v>
      </c>
      <c r="AM180" s="366">
        <f>IF(AND(-Model!AM189&lt;&gt;"",-Model!AM189&lt;&gt;0,-Model!AM57&lt;&gt;"",-Model!AM57&lt;&gt;0),(--Model!AM189)/(-Model!AM57+-Model!AM65),"")</f>
        <v>1.3017127799736496</v>
      </c>
      <c r="AN180" s="366">
        <f>IF(AND(-Model!AN189&lt;&gt;"",-Model!AN189&lt;&gt;0,-Model!AN57&lt;&gt;"",-Model!AN57&lt;&gt;0),(--Model!AN189)/(-Model!AN57+-Model!AN65),"")</f>
        <v>1.0154838709677418</v>
      </c>
      <c r="AO180" s="366">
        <f>IF(AND(-Model!AO189&lt;&gt;"",-Model!AO189&lt;&gt;0,-Model!AO57&lt;&gt;"",-Model!AO57&lt;&gt;0),(--Model!AO189)/(-Model!AO57+-Model!AO65),"")</f>
        <v>1.3581699346405227</v>
      </c>
      <c r="AP180" s="366">
        <f>IF(AND(-Model!AP189&lt;&gt;"",-Model!AP189&lt;&gt;0,-Model!AP57&lt;&gt;"",-Model!AP57&lt;&gt;0),(--Model!AP189)/(-Model!AP57+-Model!AP65),"")</f>
        <v>1.1899038461538463</v>
      </c>
      <c r="AQ180" s="366">
        <f>IF(AND(-Model!AQ189&lt;&gt;"",-Model!AQ189&lt;&gt;0,-Model!AQ57&lt;&gt;"",-Model!AQ57&lt;&gt;0),(--Model!AQ189)/(-Model!AQ57+-Model!AQ65),"")</f>
        <v>1.2705072010018785</v>
      </c>
      <c r="AR180" s="366">
        <f>IF(AND(-Model!AR189&lt;&gt;"",-Model!AR189&lt;&gt;0,-Model!AR57&lt;&gt;"",-Model!AR57&lt;&gt;0),(--Model!AR189)/(-Model!AR57+-Model!AR65),"")</f>
        <v>1.3345771144278606</v>
      </c>
      <c r="AS180" s="366">
        <f>IF(AND(-Model!AS189&lt;&gt;"",-Model!AS189&lt;&gt;0,-Model!AS57&lt;&gt;"",-Model!AS57&lt;&gt;0),(--Model!AS189)/(-Model!AS57+-Model!AS65),"")</f>
        <v>1.2676348547717842</v>
      </c>
      <c r="AT180" s="366">
        <f>IF(AND(-Model!AT189&lt;&gt;"",-Model!AT189&lt;&gt;0,-Model!AT57&lt;&gt;"",-Model!AT57&lt;&gt;0),(--Model!AT189)/(-Model!AT57+-Model!AT65),"")</f>
        <v>1.2980769230769231</v>
      </c>
      <c r="AU180" s="366">
        <f>IF(AND(-Model!AU189&lt;&gt;"",-Model!AU189&lt;&gt;0,-Model!AU57&lt;&gt;"",-Model!AU57&lt;&gt;0),(--Model!AU189)/(-Model!AU57+-Model!AU65),"")</f>
        <v>2.5027322404371586</v>
      </c>
      <c r="AV180" s="366">
        <f>IF(AND(-Model!AV189&lt;&gt;"",-Model!AV189&lt;&gt;0,-Model!AV57&lt;&gt;"",-Model!AV57&lt;&gt;0),(--Model!AV189)/(-Model!AV57+-Model!AV65),"")</f>
        <v>1.1175496688741724</v>
      </c>
      <c r="AW180" s="366">
        <f>IF(AND(-Model!AW189&lt;&gt;"",-Model!AW189&lt;&gt;0,-Model!AW57&lt;&gt;"",-Model!AW57&lt;&gt;0),(--Model!AW189)/(-Model!AW57+-Model!AW65),"")</f>
        <v>1.5823248991565826</v>
      </c>
      <c r="AX180" s="366">
        <f>IF(AND(-Model!AX189&lt;&gt;"",-Model!AX189&lt;&gt;0,-Model!AX57&lt;&gt;"",-Model!AX57&lt;&gt;0),(--Model!AX189)/(-Model!AX57+-Model!AX65),"")</f>
        <v>3.0912280701754389</v>
      </c>
      <c r="AY180" s="366">
        <f>IF(AND(-Model!AY189&lt;&gt;"",-Model!AY189&lt;&gt;0,-Model!AY57&lt;&gt;"",-Model!AY57&lt;&gt;0),(--Model!AY189)/(-Model!AY57+-Model!AY65),"")</f>
        <v>1.5003326679973388</v>
      </c>
      <c r="AZ180" s="366">
        <f>IF(AND(-Model!AZ189&lt;&gt;"",-Model!AZ189&lt;&gt;0,-Model!AZ57&lt;&gt;"",-Model!AZ57&lt;&gt;0),(--Model!AZ189)/(-Model!AZ57+-Model!AZ65),"")</f>
        <v>2.1865304578130913</v>
      </c>
      <c r="BA180" s="366">
        <f>IF(AND(-Model!BA189&lt;&gt;"",-Model!BA189&lt;&gt;0,-Model!BA57&lt;&gt;"",-Model!BA57&lt;&gt;0),(--Model!BA189)/(-Model!BA57+-Model!BA65),"")</f>
        <v>1.8505025125628141</v>
      </c>
      <c r="BB180" s="366">
        <f>IF(AND(-Model!BB189&lt;&gt;"",-Model!BB189&lt;&gt;0,-Model!BB57&lt;&gt;"",-Model!BB57&lt;&gt;0),(--Model!BB189)/(-Model!BB57+-Model!BB65),"")</f>
        <v>1.3487766788131181</v>
      </c>
      <c r="BC180" s="366">
        <f>IF(AND(-Model!BC189&lt;&gt;"",-Model!BC189&lt;&gt;0,-Model!BC57&lt;&gt;"",-Model!BC57&lt;&gt;0),(--Model!BC189)/(-Model!BC57+-Model!BC65),"")</f>
        <v>1.5761457443780245</v>
      </c>
      <c r="BD180" s="366">
        <f>IF(AND(Model!BD189&lt;&gt;"",Model!BD189&lt;&gt;0,Model!BD57&lt;&gt;"",Model!BD57&lt;&gt;0),(-Model!BD189)/(Model!BD57+Model!BD65),"")</f>
        <v>2.3572782810195911</v>
      </c>
      <c r="BE180" s="366">
        <f>IF(AND(Model!BE189&lt;&gt;"",Model!BE189&lt;&gt;0,Model!BE57&lt;&gt;"",Model!BE57&lt;&gt;0),(-Model!BE189)/(Model!BE57+Model!BE65),"")</f>
        <v>4.8599115230672005</v>
      </c>
      <c r="BF180" s="366">
        <f>IF(AND(Model!BF189&lt;&gt;"",Model!BF189&lt;&gt;0,Model!BF57&lt;&gt;"",Model!BF57&lt;&gt;0),(-Model!BF189)/(Model!BF57+Model!BF65),"")</f>
        <v>3.6085949020433956</v>
      </c>
      <c r="BG180" s="366">
        <f>IF(AND(Model!BG189&lt;&gt;"",Model!BG189&lt;&gt;0,Model!BG57&lt;&gt;"",Model!BG57&lt;&gt;0),(-Model!BG189)/(Model!BG57+Model!BG65),"")</f>
        <v>2.1355932203389831</v>
      </c>
      <c r="BH180" s="366">
        <f>IF(AND(Model!BH189&lt;&gt;"",Model!BH189&lt;&gt;0,Model!BH57&lt;&gt;"",Model!BH57&lt;&gt;0),(-Model!BH189)/(Model!BH57+Model!BH65),"")</f>
        <v>0.65825575698187155</v>
      </c>
      <c r="BI180" s="366">
        <f>IF(AND(Model!BI189&lt;&gt;"",Model!BI189&lt;&gt;0,Model!BI57&lt;&gt;"",Model!BI57&lt;&gt;0),(-Model!BI189)/(Model!BI57+Model!BI65),"")</f>
        <v>1.3564599483204134</v>
      </c>
      <c r="BJ180" s="366">
        <f>IF(AND(Model!BJ189&lt;&gt;"",Model!BJ189&lt;&gt;0,Model!BJ57&lt;&gt;"",Model!BJ57&lt;&gt;0),(-Model!BJ189)/(Model!BJ57+Model!BJ65),"")</f>
        <v>2.2979770366320396</v>
      </c>
      <c r="BK180" s="366">
        <f>IF(AND(Model!BK189&lt;&gt;"",Model!BK189&lt;&gt;0,Model!BK57&lt;&gt;"",Model!BK57&lt;&gt;0),(-Model!BK189)/(Model!BK57+Model!BK65),"")</f>
        <v>0.85018985157059024</v>
      </c>
      <c r="BL180" s="366">
        <f>IF(AND(Model!BL189&lt;&gt;"",Model!BL189&lt;&gt;0,Model!BL57&lt;&gt;"",Model!BL57&lt;&gt;0),(-Model!BL189)/(Model!BL57+Model!BL65),"")</f>
        <v>1.4104951333051208</v>
      </c>
      <c r="BM180" s="366">
        <f>IF(AND(Model!BM189&lt;&gt;"",Model!BM189&lt;&gt;0,Model!BM57&lt;&gt;"",Model!BM57&lt;&gt;0),(-Model!BM189)/(Model!BM57+Model!BM65),"")</f>
        <v>3.8821286606635841</v>
      </c>
      <c r="BN180" s="366">
        <f>IF(AND(Model!BN189&lt;&gt;"",Model!BN189&lt;&gt;0,Model!BN57&lt;&gt;"",Model!BN57&lt;&gt;0),(-Model!BN189)/(Model!BN57+Model!BN65),"")</f>
        <v>-2.3869595117338602</v>
      </c>
      <c r="BO180" s="366">
        <f>IF(AND(Model!BO189&lt;&gt;"",Model!BO189&lt;&gt;0,Model!BO57&lt;&gt;"",Model!BO57&lt;&gt;0),(-Model!BO189)/(Model!BO57+Model!BO65),"")</f>
        <v>0.83837646076794659</v>
      </c>
      <c r="BP180" s="366">
        <f>IF(AND(Model!BP189&lt;&gt;"",Model!BP189&lt;&gt;0,Model!BP57&lt;&gt;"",Model!BP57&lt;&gt;0),(-Model!BP189)/(Model!BP57+Model!BP65),"")</f>
        <v>0.8319136854060194</v>
      </c>
      <c r="BQ180" s="366">
        <f>IF(AND(Model!BQ189&lt;&gt;"",Model!BQ189&lt;&gt;0,Model!BQ57&lt;&gt;"",Model!BQ57&lt;&gt;0),(-Model!BQ189)/(Model!BQ57+Model!BQ65),"")</f>
        <v>0.98104843775237349</v>
      </c>
      <c r="BR180" s="366">
        <f>IF(AND(Model!BR189&lt;&gt;"",Model!BR189&lt;&gt;0,Model!BR57&lt;&gt;"",Model!BR57&lt;&gt;0),(-Model!BR189)/(Model!BR57+Model!BR65),"")</f>
        <v>0.93530326594090207</v>
      </c>
      <c r="BS180" s="366">
        <f>IF(AND(Model!BS189&lt;&gt;"",Model!BS189&lt;&gt;0,Model!BS57&lt;&gt;"",Model!BS57&lt;&gt;0),(-Model!BS189)/(Model!BS57+Model!BS65),"")</f>
        <v>2.4006393508130208</v>
      </c>
      <c r="BT180" s="366">
        <f>IF(AND(Model!BT189&lt;&gt;"",Model!BT189&lt;&gt;0,Model!BT57&lt;&gt;"",Model!BT57&lt;&gt;0),(-Model!BT189)/(Model!BT57+Model!BT65),"")</f>
        <v>1.1478719996830022</v>
      </c>
      <c r="BU180" s="366">
        <f>IF(AND(Model!BU189&lt;&gt;"",Model!BU189&lt;&gt;0,Model!BU57&lt;&gt;"",Model!BU57&lt;&gt;0),(-Model!BU189)/(Model!BU57+Model!BU65),"")</f>
        <v>1.5243951729314607</v>
      </c>
      <c r="BV180" s="366">
        <f>IF(AND(Model!BV189&lt;&gt;"",Model!BV189&lt;&gt;0,Model!BV57&lt;&gt;"",Model!BV57&lt;&gt;0),(-Model!BV189)/(Model!BV57+Model!BV65),"")</f>
        <v>2.5743564108972761</v>
      </c>
      <c r="BW180" s="366">
        <f>IF(AND(Model!BW189&lt;&gt;"",Model!BW189&lt;&gt;0,Model!BW57&lt;&gt;"",Model!BW57&lt;&gt;0),(-Model!BW189)/(Model!BW57+Model!BW65),"")</f>
        <v>0.82322023100004094</v>
      </c>
      <c r="BX180" s="366">
        <f>IF(AND(Model!BX189&lt;&gt;"",Model!BX189&lt;&gt;0,Model!BX57&lt;&gt;"",Model!BX57&lt;&gt;0),(-Model!BX189)/(Model!BX57+Model!BX65),"")</f>
        <v>1.2961747609225576</v>
      </c>
      <c r="BY180" s="366">
        <f>IF(AND(Model!BY189&lt;&gt;"",Model!BY189&lt;&gt;0,Model!BY57&lt;&gt;"",Model!BY57&lt;&gt;0),(-Model!BY189)/(Model!BY57+Model!BY65),"")</f>
        <v>1.6884178905206944</v>
      </c>
      <c r="BZ180" s="366">
        <f>IF(AND(Model!BZ189&lt;&gt;"",Model!BZ189&lt;&gt;0,Model!BZ57&lt;&gt;"",Model!BZ57&lt;&gt;0),(-Model!BZ189)/(Model!BZ57+Model!BZ65),"")</f>
        <v>1.1761014029042578</v>
      </c>
      <c r="CA180" s="366">
        <f>IF(AND(Model!CA189&lt;&gt;"",Model!CA189&lt;&gt;0,Model!CA57&lt;&gt;"",Model!CA57&lt;&gt;0),(-Model!CA189)/(Model!CA57+Model!CA65),"")</f>
        <v>1.3141071749685307</v>
      </c>
      <c r="CB180" s="366">
        <f>IF(AND(Model!CB189&lt;&gt;"",Model!CB189&lt;&gt;0,Model!CB57&lt;&gt;"",Model!CB57&lt;&gt;0),(-Model!CB189)/(Model!CB57+Model!CB65),"")</f>
        <v>3.7373461337388907</v>
      </c>
      <c r="CC180" s="366">
        <f>IF(AND(Model!CC189&lt;&gt;"",Model!CC189&lt;&gt;0,Model!CC57&lt;&gt;"",Model!CC57&lt;&gt;0),(-Model!CC189)/(Model!CC57+Model!CC65),"")</f>
        <v>3.6895771422339747</v>
      </c>
      <c r="CD180" s="366">
        <f>IF(AND(Model!CD189&lt;&gt;"",Model!CD189&lt;&gt;0,Model!CD57&lt;&gt;"",Model!CD57&lt;&gt;0),(-Model!CD189)/(Model!CD57+Model!CD65),"")</f>
        <v>3.7069906444906437</v>
      </c>
      <c r="CE180" s="366">
        <f>IF(AND(Model!CE189&lt;&gt;"",Model!CE189&lt;&gt;0,Model!CE57&lt;&gt;"",Model!CE57&lt;&gt;0),(-Model!CE189)/(Model!CE57+Model!CE65),"")</f>
        <v>4.5417892112365807</v>
      </c>
      <c r="CF180" s="366">
        <f>IF(AND(Model!CF189&lt;&gt;"",Model!CF189&lt;&gt;0,Model!CF57&lt;&gt;"",Model!CF57&lt;&gt;0),(-Model!CF189)/(Model!CF57+Model!CF65),"")</f>
        <v>1.8518622992993061</v>
      </c>
      <c r="CG180" s="366">
        <f>IF(AND(Model!CG189&lt;&gt;"",Model!CG189&lt;&gt;0,Model!CG57&lt;&gt;"",Model!CG57&lt;&gt;0),(-Model!CG189)/(Model!CG57+Model!CG65),"")</f>
        <v>3.1496715328467113</v>
      </c>
      <c r="CH180" s="366">
        <f>IF(AND(Model!CH189&lt;&gt;"",Model!CH189&lt;&gt;0,Model!CH57&lt;&gt;"",Model!CH57&lt;&gt;0),(-Model!CH189)/(Model!CH57+Model!CH65),"")</f>
        <v>0.73246856202268129</v>
      </c>
      <c r="CI180" s="366">
        <f>IF(AND(Model!CI189&lt;&gt;"",Model!CI189&lt;&gt;0,Model!CI57&lt;&gt;"",Model!CI57&lt;&gt;0),(-Model!CI189)/(Model!CI57+Model!CI65),"")</f>
        <v>1.942043796157084</v>
      </c>
      <c r="CJ180" s="366">
        <f>IF(AND(Model!CJ189&lt;&gt;"",Model!CJ189&lt;&gt;0,Model!CJ57&lt;&gt;"",Model!CJ57&lt;&gt;0),(-Model!CJ189)/(Model!CJ57+Model!CJ65),"")</f>
        <v>1.2785776523795693</v>
      </c>
      <c r="CK180" s="366">
        <f>IF(AND(Model!CK189&lt;&gt;"",Model!CK189&lt;&gt;0,Model!CK57&lt;&gt;"",Model!CK57&lt;&gt;0),(-Model!CK189)/(Model!CK57+Model!CK65),"")</f>
        <v>2.3072419302131366</v>
      </c>
      <c r="CL180" s="366">
        <f>IF(AND(Model!CL189&lt;&gt;"",Model!CL189&lt;&gt;0,Model!CL57&lt;&gt;"",Model!CL57&lt;&gt;0),(-Model!CL189)/(Model!CL57+Model!CL65),"")</f>
        <v>1.8304764495484009</v>
      </c>
      <c r="CM180" s="366">
        <f>IF(AND(Model!CM189&lt;&gt;"",Model!CM189&lt;&gt;0,Model!CM57&lt;&gt;"",Model!CM57&lt;&gt;0),(-Model!CM189)/(Model!CM57+Model!CM65),"")</f>
        <v>2.0919878843201531</v>
      </c>
      <c r="CN180" s="366">
        <f>IF(AND(Model!CN189&lt;&gt;"",Model!CN189&lt;&gt;0,Model!CN57&lt;&gt;"",Model!CN57&lt;&gt;0),(-Model!CN189)/(Model!CN57+Model!CN65),"")</f>
        <v>0.97039418600756888</v>
      </c>
      <c r="CO180" s="366">
        <f>IF(AND(Model!CO189&lt;&gt;"",Model!CO189&lt;&gt;0,Model!CO57&lt;&gt;"",Model!CO57&lt;&gt;0),(-Model!CO189)/(Model!CO57+Model!CO65),"")</f>
        <v>1.8465135514726654</v>
      </c>
      <c r="CP180" s="366">
        <f>IF(AND(Model!CP189&lt;&gt;"",Model!CP189&lt;&gt;0,Model!CP57&lt;&gt;"",Model!CP57&lt;&gt;0),(-Model!CP189)/(Model!CP57+Model!CP65),"")</f>
        <v>1.3255051657607568</v>
      </c>
      <c r="CQ180" s="366">
        <f>IF(AND(Model!CQ189&lt;&gt;"",Model!CQ189&lt;&gt;0,Model!CQ57&lt;&gt;"",Model!CQ57&lt;&gt;0),(-Model!CQ189)/(Model!CQ57+Model!CQ65),"")</f>
        <v>0.68899818042773131</v>
      </c>
      <c r="CR180" s="366">
        <f>IF(AND(Model!CR189&lt;&gt;"",Model!CR189&lt;&gt;0,Model!CR57&lt;&gt;"",Model!CR57&lt;&gt;0),(-Model!CR189)/(Model!CR57+Model!CR65),"")</f>
        <v>2.0124040033137049</v>
      </c>
      <c r="CS180" s="366">
        <f>IF(AND(Model!CS189&lt;&gt;"",Model!CS189&lt;&gt;0,Model!CS57&lt;&gt;"",Model!CS57&lt;&gt;0),(-Model!CS189)/(Model!CS57+Model!CS65),"")</f>
        <v>1.1794946267789719</v>
      </c>
      <c r="CT180" s="366">
        <f>IF(AND(Model!CT189&lt;&gt;"",Model!CT189&lt;&gt;0,Model!CT57&lt;&gt;"",Model!CT57&lt;&gt;0),(-Model!CT189)/(Model!CT57+Model!CT65),"")</f>
        <v>1.104994594024419</v>
      </c>
      <c r="CU180" s="366">
        <f>IF(AND(Model!CU189&lt;&gt;"",Model!CU189&lt;&gt;0,Model!CU57&lt;&gt;"",Model!CU57&lt;&gt;0),(-Model!CU189)/(Model!CU57+Model!CU65),"")</f>
        <v>2.200143295345141</v>
      </c>
      <c r="CV180" s="366">
        <f>IF(AND(Model!CV189&lt;&gt;"",Model!CV189&lt;&gt;0,Model!CV57&lt;&gt;"",Model!CV57&lt;&gt;0),(-Model!CV189)/(Model!CV57+Model!CV65),"")</f>
        <v>1.5108916642462971</v>
      </c>
      <c r="CW180" s="366">
        <f>IF(AND(Model!CW189&lt;&gt;"",Model!CW189&lt;&gt;0,Model!CW57&lt;&gt;"",Model!CW57&lt;&gt;0),(-Model!CW189)/(Model!CW57+Model!CW65),"")</f>
        <v>1.133079296432056</v>
      </c>
      <c r="CX180" s="366">
        <f>IF(AND(Model!CX189&lt;&gt;"",Model!CX189&lt;&gt;0,Model!CX57&lt;&gt;"",Model!CX57&lt;&gt;0),(-Model!CX189)/(Model!CX57+Model!CX65),"")</f>
        <v>4.0992806168809013</v>
      </c>
      <c r="CY180" s="366">
        <f>IF(AND(Model!CY189&lt;&gt;"",Model!CY189&lt;&gt;0,Model!CY57&lt;&gt;"",Model!CY57&lt;&gt;0),(-Model!CY189)/(Model!CY57+Model!CY65),"")</f>
        <v>2.3889100925578162</v>
      </c>
      <c r="CZ180" s="366">
        <f>IF(AND(Model!CZ189&lt;&gt;"",Model!CZ189&lt;&gt;0,Model!CZ57&lt;&gt;"",Model!CZ57&lt;&gt;0),(-Model!CZ189)/(Model!CZ57+Model!CZ65),"")</f>
        <v>1.2968336714516833</v>
      </c>
      <c r="DA180" s="366">
        <f>IF(AND(Model!DA189&lt;&gt;"",Model!DA189&lt;&gt;0,Model!DA57&lt;&gt;"",Model!DA57&lt;&gt;0),(-Model!DA189)/(Model!DA57+Model!DA65),"")</f>
        <v>1.3101655963401275</v>
      </c>
      <c r="DB180" s="366">
        <f>IF(AND(Model!DB189&lt;&gt;"",Model!DB189&lt;&gt;0,Model!DB57&lt;&gt;"",Model!DB57&lt;&gt;0),(-Model!DB189)/(Model!DB57+Model!DB65),"")</f>
        <v>1.304093567251462</v>
      </c>
      <c r="DC180" s="366">
        <f>IF(AND(Model!DC189&lt;&gt;"",Model!DC189&lt;&gt;0,Model!DC57&lt;&gt;"",Model!DC57&lt;&gt;0),(-Model!DC189)/(Model!DC57+Model!DC65),"")</f>
        <v>3.8211867383686569</v>
      </c>
      <c r="DD180" s="366">
        <f>IF(AND(Model!DD189&lt;&gt;"",Model!DD189&lt;&gt;0,Model!DD57&lt;&gt;"",Model!DD57&lt;&gt;0),(-Model!DD189)/(Model!DD57+Model!DD65),"")</f>
        <v>0.93843709732354819</v>
      </c>
      <c r="DE180" s="366">
        <f>IF(AND(Model!DE189&lt;&gt;"",Model!DE189&lt;&gt;0,Model!DE57&lt;&gt;"",Model!DE57&lt;&gt;0),(-Model!DE189)/(Model!DE57+Model!DE65),"")</f>
        <v>2.249350649350649</v>
      </c>
      <c r="DF180" s="366">
        <f>IF(AND(Model!DF189&lt;&gt;"",Model!DF189&lt;&gt;0,Model!DF57&lt;&gt;"",Model!DF57&lt;&gt;0),(-Model!DF189)/(Model!DF57),"")</f>
        <v>2.3463927937907441</v>
      </c>
      <c r="DG180" s="366">
        <f>IF(AND(Model!DG189&lt;&gt;"",Model!DG189&lt;&gt;0,Model!DG57&lt;&gt;"",Model!DG57&lt;&gt;0),(-Model!DG189)/(Model!DG57),"")</f>
        <v>2.2090368621888321</v>
      </c>
      <c r="DH180" s="366">
        <f>IF(AND(Model!DH189&lt;&gt;"",Model!DH189&lt;&gt;0,Model!DH57&lt;&gt;"",Model!DH57&lt;&gt;0),(-Model!DH189)/(Model!DH57),"")</f>
        <v>2.2683991079220402</v>
      </c>
      <c r="DI180" s="366">
        <f>IF(AND(Model!DI189&lt;&gt;"",Model!DI189&lt;&gt;0,Model!DI57&lt;&gt;"",Model!DI57&lt;&gt;0),(-Model!DI189)/(Model!DI57),"")</f>
        <v>0.71425914214500952</v>
      </c>
      <c r="DJ180" s="366">
        <f>IF(AND(Model!DJ189&lt;&gt;"",Model!DJ189&lt;&gt;0,Model!DJ57&lt;&gt;"",Model!DJ57&lt;&gt;0),(-Model!DJ189)/(Model!DJ57),"")</f>
        <v>2.1572278486761425</v>
      </c>
      <c r="DK180" s="1103">
        <f>IF(AND(Model!DK189&lt;&gt;"",Model!DK189&lt;&gt;0,Model!DK57&lt;&gt;"",Model!DK57&lt;&gt;0),(-Model!DK189)/(Model!DK57),"")</f>
        <v>1.3640081799591002</v>
      </c>
      <c r="DL180" s="366">
        <f>IF(AND(Model!DL189&lt;&gt;"",Model!DL189&lt;&gt;0,Model!DL57&lt;&gt;"",Model!DL57&lt;&gt;0),(-Model!DL189)/(Model!DL57),"")</f>
        <v>0.77611496899253585</v>
      </c>
      <c r="DM180" s="366">
        <f>IF(AND(Model!DM189&lt;&gt;"",Model!DM189&lt;&gt;0,Model!DM57&lt;&gt;"",Model!DM57&lt;&gt;0),(-Model!DM189)/(Model!DM57),"")</f>
        <v>3.0983435143910629</v>
      </c>
      <c r="DN180" s="1103">
        <f>IF(AND(Model!DN189&lt;&gt;"",Model!DN189&lt;&gt;0,Model!DN57&lt;&gt;"",Model!DN57&lt;&gt;0),(-Model!DN189)/(Model!DN57),"")</f>
        <v>1.7117516629711751</v>
      </c>
      <c r="DO180" s="366">
        <f>IF(AND(Model!DO189&lt;&gt;"",Model!DO189&lt;&gt;0,Model!DO57&lt;&gt;"",Model!DO57&lt;&gt;0),(-Model!DO189)/(Model!DO57),"")</f>
        <v>1.9017503228967181</v>
      </c>
      <c r="DP180" s="366">
        <f>IF(AND(Model!DP189&lt;&gt;"",Model!DP189&lt;&gt;0,Model!DP57&lt;&gt;"",Model!DP57&lt;&gt;0),(-Model!DP189)/(Model!DP57),"")</f>
        <v>1.8900770952499375</v>
      </c>
      <c r="DQ180" s="1103">
        <f>IF(AND(Model!DQ189&lt;&gt;"",Model!DQ189&lt;&gt;0,Model!DQ57&lt;&gt;"",Model!DQ57&lt;&gt;0),(-Model!DQ189)/(Model!DQ57),"")</f>
        <v>1.8952569169960476</v>
      </c>
      <c r="DR180" s="366">
        <f>IF(AND(Model!DR189&lt;&gt;"",Model!DR189&lt;&gt;0,Model!DR57&lt;&gt;"",Model!DR57&lt;&gt;0),(-Model!DR189)/(Model!DR57),"")</f>
        <v>1.5884825713329118</v>
      </c>
      <c r="DS180" s="366">
        <f>IF(AND(Model!DS189&lt;&gt;"",Model!DS189&lt;&gt;0,Model!DS57&lt;&gt;"",Model!DS57&lt;&gt;0),(-Model!DS189)/(Model!DS57),"")</f>
        <v>1.8901240017657204</v>
      </c>
      <c r="DT180" s="1103">
        <f>IF(AND(Model!DT189&lt;&gt;"",Model!DT189&lt;&gt;0,Model!DT57&lt;&gt;"",Model!DT57&lt;&gt;0),(-Model!DT189)/(Model!DT57),"")</f>
        <v>1.7335907335907335</v>
      </c>
      <c r="DU180" s="366">
        <f>IF(AND(Model!DU189&lt;&gt;"",Model!DU189&lt;&gt;0,Model!DU57&lt;&gt;"",Model!DU57&lt;&gt;0),(-Model!DU189)/(Model!DU57),"")</f>
        <v>1.8067330644497492</v>
      </c>
      <c r="DV180" s="366">
        <f>IF(AND(Model!DV189&lt;&gt;"",Model!DV189&lt;&gt;0,Model!DV57&lt;&gt;"",Model!DV57&lt;&gt;0),(-Model!DV189)/(Model!DV57),"")</f>
        <v>2.2317694471903264</v>
      </c>
      <c r="DW180" s="1103">
        <f>IF(AND(Model!DW189&lt;&gt;"",Model!DW189&lt;&gt;0,Model!DW57&lt;&gt;"",Model!DW57&lt;&gt;0),(-Model!DW189)/(Model!DW57),"")</f>
        <v>2.0276679841897227</v>
      </c>
      <c r="DX180" s="366">
        <f>IF(AND(Model!DX189&lt;&gt;"",Model!DX189&lt;&gt;0,Model!DX57&lt;&gt;"",Model!DX57&lt;&gt;0),(-Model!DX189)/(Model!DX57),"")</f>
        <v>1.3388704318936875</v>
      </c>
      <c r="DY180" s="366">
        <f>IF(AND(Model!DY189&lt;&gt;"",Model!DY189&lt;&gt;0,Model!DY57&lt;&gt;"",Model!DY57&lt;&gt;0),(-Model!DY189)/(Model!DY57),"")</f>
        <v>1.7837607973421923</v>
      </c>
      <c r="DZ180" s="1103">
        <f>IF(AND(Model!DZ189&lt;&gt;"",Model!DZ189&lt;&gt;0,Model!DZ57&lt;&gt;"",Model!DZ57&lt;&gt;0),(-Model!DZ189)/(Model!DZ57),"")</f>
        <v>1.576842459538691</v>
      </c>
      <c r="EA180" s="366">
        <f>IF(AND(Model!EA189&lt;&gt;"",Model!EA189&lt;&gt;0,Model!EA57&lt;&gt;"",Model!EA57&lt;&gt;0),(-Model!EA189)/(Model!EA57),"")</f>
        <v>1.5123189368770762</v>
      </c>
      <c r="EB180" s="366">
        <f>IF(AND(Model!EB189&lt;&gt;"",Model!EB189&lt;&gt;0,Model!EB57&lt;&gt;"",Model!EB57&lt;&gt;0),(-Model!EB189)/(Model!EB57),"")</f>
        <v>1.512318936877076</v>
      </c>
      <c r="EC180" s="1103">
        <f>IF(AND(Model!EC189&lt;&gt;"",Model!EC189&lt;&gt;0,Model!EC57&lt;&gt;"",Model!EC57&lt;&gt;0),(-Model!EC189)/(Model!EC57),"")</f>
        <v>1.5123189368770762</v>
      </c>
      <c r="ED180" s="366">
        <f>IF(AND(Model!ED189&lt;&gt;"",Model!ED189&lt;&gt;0,Model!ED57&lt;&gt;"",Model!ED57&lt;&gt;0),(-Model!ED189)/(Model!ED57),"")</f>
        <v>1.8749999999999998</v>
      </c>
      <c r="EE180" s="366">
        <f>IF(AND(Model!EE189&lt;&gt;"",Model!EE189&lt;&gt;0,Model!EE57&lt;&gt;"",Model!EE57&lt;&gt;0),(-Model!EE189)/(Model!EE57),"")</f>
        <v>1.875</v>
      </c>
      <c r="EF180" s="1103">
        <f>IF(AND(Model!EF189&lt;&gt;"",Model!EF189&lt;&gt;0,Model!EF57&lt;&gt;"",Model!EF57&lt;&gt;0),(-Model!EF189)/(Model!EF57),"")</f>
        <v>1.875</v>
      </c>
      <c r="EG180" s="366">
        <f>IF(AND(Model!EG189&lt;&gt;"",Model!EG189&lt;&gt;0,Model!EG57&lt;&gt;"",Model!EG57&lt;&gt;0),(-Model!EG189)/(Model!EG57),"")</f>
        <v>1.875</v>
      </c>
      <c r="EH180" s="366">
        <f>IF(AND(Model!EH189&lt;&gt;"",Model!EH189&lt;&gt;0,Model!EH57&lt;&gt;"",Model!EH57&lt;&gt;0),(-Model!EH189)/(Model!EH57),"")</f>
        <v>1.8750000000000002</v>
      </c>
      <c r="EI180" s="1103">
        <f>IF(AND(Model!EI189&lt;&gt;"",Model!EI189&lt;&gt;0,Model!EI57&lt;&gt;"",Model!EI57&lt;&gt;0),(-Model!EI189)/(Model!EI57),"")</f>
        <v>1.875</v>
      </c>
      <c r="EJ180" s="366">
        <f>IF(AND(Model!EJ189&lt;&gt;"",Model!EJ189&lt;&gt;0,Model!EJ57&lt;&gt;"",Model!EJ57&lt;&gt;0),(-Model!EJ189)/(Model!EJ57),"")</f>
        <v>1.875</v>
      </c>
      <c r="EK180" s="366">
        <f>IF(AND(Model!EK189&lt;&gt;"",Model!EK189&lt;&gt;0,Model!EK57&lt;&gt;"",Model!EK57&lt;&gt;0),(-Model!EK189)/(Model!EK57),"")</f>
        <v>1.8749999999999991</v>
      </c>
      <c r="EL180" s="1103">
        <f>IF(AND(Model!EL189&lt;&gt;"",Model!EL189&lt;&gt;0,Model!EL57&lt;&gt;"",Model!EL57&lt;&gt;0),(-Model!EL189)/(Model!EL57),"")</f>
        <v>1.8749999999999996</v>
      </c>
      <c r="EM180" s="366">
        <f>IF(AND(Model!EM189&lt;&gt;"",Model!EM189&lt;&gt;0,Model!EM57&lt;&gt;"",Model!EM57&lt;&gt;0),(-Model!EM189)/(Model!EM57),"")</f>
        <v>1.8749999999999998</v>
      </c>
      <c r="EN180" s="366">
        <f>IF(AND(Model!EN189&lt;&gt;"",Model!EN189&lt;&gt;0,Model!EN57&lt;&gt;"",Model!EN57&lt;&gt;0),(-Model!EN189)/(Model!EN57),"")</f>
        <v>1.8749999999999998</v>
      </c>
      <c r="EO180" s="1103">
        <f>IF(AND(Model!EO189&lt;&gt;"",Model!EO189&lt;&gt;0,Model!EO57&lt;&gt;"",Model!EO57&lt;&gt;0),(-Model!EO189)/(Model!EO57),"")</f>
        <v>1.8749999999999998</v>
      </c>
      <c r="EP180" s="366">
        <f>IF(AND(Model!EP189&lt;&gt;"",Model!EP189&lt;&gt;0,Model!EP57&lt;&gt;"",Model!EP57&lt;&gt;0),(-Model!EP189)/(Model!EP57),"")</f>
        <v>1.875</v>
      </c>
      <c r="EQ180" s="366">
        <f>IF(AND(Model!EQ189&lt;&gt;"",Model!EQ189&lt;&gt;0,Model!EQ57&lt;&gt;"",Model!EQ57&lt;&gt;0),(-Model!EQ189)/(Model!EQ57),"")</f>
        <v>1.8749999999999998</v>
      </c>
      <c r="ER180" s="1103">
        <f>IF(AND(Model!ER189&lt;&gt;"",Model!ER189&lt;&gt;0,Model!ER57&lt;&gt;"",Model!ER57&lt;&gt;0),(-Model!ER189)/(Model!ER57),"")</f>
        <v>1.8749999999999998</v>
      </c>
      <c r="ES180" s="366">
        <f>IF(AND(Model!ES189&lt;&gt;"",Model!ES189&lt;&gt;0,Model!ES57&lt;&gt;"",Model!ES57&lt;&gt;0),(-Model!ES189)/(Model!ES57),"")</f>
        <v>1.875</v>
      </c>
      <c r="ET180" s="366">
        <f>IF(AND(Model!ET189&lt;&gt;"",Model!ET189&lt;&gt;0,Model!ET57&lt;&gt;"",Model!ET57&lt;&gt;0),(-Model!ET189)/(Model!ET57),"")</f>
        <v>1.8749999999999993</v>
      </c>
      <c r="EU180" s="1103">
        <f>IF(AND(Model!EU189&lt;&gt;"",Model!EU189&lt;&gt;0,Model!EU57&lt;&gt;"",Model!EU57&lt;&gt;0),(-Model!EU189)/(Model!EU57),"")</f>
        <v>1.8749999999999996</v>
      </c>
      <c r="EV180" s="366">
        <f>IF(AND(Model!EV189&lt;&gt;"",Model!EV189&lt;&gt;0,Model!EV57&lt;&gt;"",Model!EV57&lt;&gt;0),(-Model!EV189)/(Model!EV57),"")</f>
        <v>1.875</v>
      </c>
      <c r="EW180" s="366">
        <f>IF(AND(Model!EW189&lt;&gt;"",Model!EW189&lt;&gt;0,Model!EW57&lt;&gt;"",Model!EW57&lt;&gt;0),(-Model!EW189)/(Model!EW57),"")</f>
        <v>1.8749999999999993</v>
      </c>
      <c r="EX180" s="1103">
        <f>IF(AND(Model!EX189&lt;&gt;"",Model!EX189&lt;&gt;0,Model!EX57&lt;&gt;"",Model!EX57&lt;&gt;0),(-Model!EX189)/(Model!EX57),"")</f>
        <v>1.8749999999999996</v>
      </c>
      <c r="EY180" s="366">
        <f>IF(AND(Model!EY189&lt;&gt;"",Model!EY189&lt;&gt;0,Model!EY57&lt;&gt;"",Model!EY57&lt;&gt;0),(-Model!EY189)/(Model!EY57),"")</f>
        <v>1.875</v>
      </c>
      <c r="EZ180" s="366">
        <f>IF(AND(Model!EZ189&lt;&gt;"",Model!EZ189&lt;&gt;0,Model!EZ57&lt;&gt;"",Model!EZ57&lt;&gt;0),(-Model!EZ189)/(Model!EZ57),"")</f>
        <v>1.875</v>
      </c>
      <c r="FA180" s="366">
        <f>IF(AND(Model!FA189&lt;&gt;"",Model!FA189&lt;&gt;0,Model!FA57&lt;&gt;"",Model!FA57&lt;&gt;0),(-Model!FA189)/(Model!FA57),"")</f>
        <v>1.875</v>
      </c>
    </row>
    <row r="181" spans="1:157" ht="13.35" customHeight="1">
      <c r="A181" s="5"/>
      <c r="B181" s="5" t="s">
        <v>15</v>
      </c>
      <c r="C181" s="5"/>
      <c r="D181" s="399"/>
      <c r="E181" s="363" t="str">
        <f>IF(Model!E192&lt;&gt;"",Model!E192,"")</f>
        <v/>
      </c>
      <c r="F181" s="363" t="str">
        <f>IF(Model!G192&lt;&gt;"",Model!F192,"")</f>
        <v/>
      </c>
      <c r="G181" s="363" t="str">
        <f>IF(Model!G192&lt;&gt;"",Model!G192,"")</f>
        <v/>
      </c>
      <c r="H181" s="363" t="str">
        <f>IF(Model!H192&lt;&gt;"",Model!H192,"")</f>
        <v/>
      </c>
      <c r="I181" s="363" t="str">
        <f>IF(Model!J192&lt;&gt;"",Model!I192,"")</f>
        <v/>
      </c>
      <c r="J181" s="363" t="str">
        <f>IF(Model!J192&lt;&gt;"",Model!J192,"")</f>
        <v/>
      </c>
      <c r="K181" s="363" t="str">
        <f>IF(Model!K192&lt;&gt;"",Model!K192,"")</f>
        <v/>
      </c>
      <c r="L181" s="363" t="str">
        <f>IF(Model!M192&lt;&gt;"",Model!L192,"")</f>
        <v/>
      </c>
      <c r="M181" s="363" t="str">
        <f>IF(Model!M192&lt;&gt;"",Model!M192,"")</f>
        <v/>
      </c>
      <c r="N181" s="363" t="str">
        <f>IF(Model!N192&lt;&gt;"",Model!N192,"")</f>
        <v/>
      </c>
      <c r="O181" s="363" t="str">
        <f>IF(Model!P192&lt;&gt;"",Model!O192,"")</f>
        <v/>
      </c>
      <c r="P181" s="363" t="str">
        <f>IF(Model!P192&lt;&gt;"",Model!P192,"")</f>
        <v/>
      </c>
      <c r="Q181" s="363" t="str">
        <f>IF(Model!Q192&lt;&gt;"",Model!Q192,"")</f>
        <v/>
      </c>
      <c r="R181" s="363" t="str">
        <f>IF(Model!S192&lt;&gt;"",Model!R192,"")</f>
        <v/>
      </c>
      <c r="S181" s="363" t="str">
        <f>IF(Model!S192&lt;&gt;"",Model!S192,"")</f>
        <v/>
      </c>
      <c r="T181" s="363" t="str">
        <f>IF(Model!T192&lt;&gt;"",Model!T192,"")</f>
        <v/>
      </c>
      <c r="U181" s="363" t="str">
        <f>IF(Model!V192&lt;&gt;"",Model!U192,"")</f>
        <v/>
      </c>
      <c r="V181" s="363" t="str">
        <f>IF(Model!V192&lt;&gt;"",Model!V192,"")</f>
        <v/>
      </c>
      <c r="W181" s="363" t="str">
        <f>IF(Model!W192&lt;&gt;"",Model!W192,"")</f>
        <v/>
      </c>
      <c r="X181" s="363" t="str">
        <f>IF(Model!Y192&lt;&gt;"",Model!X192,"")</f>
        <v/>
      </c>
      <c r="Y181" s="363" t="str">
        <f>IF(Model!Y192&lt;&gt;"",Model!Y192,"")</f>
        <v/>
      </c>
      <c r="Z181" s="363" t="str">
        <f>IF(Model!Z192&lt;&gt;"",Model!Z192,"")</f>
        <v/>
      </c>
      <c r="AA181" s="363" t="str">
        <f>IF(Model!AB192&lt;&gt;"",Model!AA192,"")</f>
        <v/>
      </c>
      <c r="AB181" s="363" t="str">
        <f>IF(Model!AB192&lt;&gt;"",Model!AB192,"")</f>
        <v/>
      </c>
      <c r="AC181" s="363" t="str">
        <f>IF(Model!AC192&lt;&gt;"",Model!AC192,"")</f>
        <v/>
      </c>
      <c r="AD181" s="363" t="str">
        <f>IF(Model!AE192&lt;&gt;"",Model!AD192,"")</f>
        <v/>
      </c>
      <c r="AE181" s="363" t="str">
        <f>IF(Model!AE192&lt;&gt;"",Model!AE192,"")</f>
        <v/>
      </c>
      <c r="AF181" s="363" t="str">
        <f>IF(Model!AF192&lt;&gt;"",Model!AF192,"")</f>
        <v/>
      </c>
      <c r="AG181" s="363" t="str">
        <f>IF(Model!AH192&lt;&gt;"",Model!AG192,"")</f>
        <v/>
      </c>
      <c r="AH181" s="363" t="str">
        <f>IF(Model!AH192&lt;&gt;"",Model!AH192,"")</f>
        <v/>
      </c>
      <c r="AI181" s="363" t="str">
        <f>IF(Model!AI192&lt;&gt;"",Model!AI192,"")</f>
        <v/>
      </c>
      <c r="AJ181" s="363" t="str">
        <f>IF(Model!AK192&lt;&gt;"",Model!AJ192,"")</f>
        <v/>
      </c>
      <c r="AK181" s="363" t="str">
        <f>IF(Model!AK192&lt;&gt;"",Model!AK192,"")</f>
        <v/>
      </c>
      <c r="AL181" s="363" t="str">
        <f>IF(Model!AL192&lt;&gt;"",Model!AL192,"")</f>
        <v/>
      </c>
      <c r="AM181" s="363" t="str">
        <f>IF(Model!AN192&lt;&gt;"",Model!AM192,"")</f>
        <v/>
      </c>
      <c r="AN181" s="363" t="str">
        <f>IF(Model!AN192&lt;&gt;"",Model!AN192,"")</f>
        <v/>
      </c>
      <c r="AO181" s="363" t="str">
        <f>IF(Model!AO192&lt;&gt;"",Model!AO192,"")</f>
        <v/>
      </c>
      <c r="AP181" s="363" t="str">
        <f>IF(Model!AQ192&lt;&gt;"",Model!AP192,"")</f>
        <v/>
      </c>
      <c r="AQ181" s="363" t="str">
        <f>IF(Model!AQ192&lt;&gt;"",Model!AQ192,"")</f>
        <v/>
      </c>
      <c r="AR181" s="363" t="str">
        <f>IF(Model!AR192&lt;&gt;"",Model!AR192,"")</f>
        <v/>
      </c>
      <c r="AS181" s="363" t="str">
        <f>IF(Model!AT192&lt;&gt;"",Model!AS192,"")</f>
        <v/>
      </c>
      <c r="AT181" s="363" t="str">
        <f>IF(Model!AT192&lt;&gt;"",Model!AT192,"")</f>
        <v/>
      </c>
      <c r="AU181" s="363" t="str">
        <f>IF(Model!AU192&lt;&gt;"",Model!AU192,"")</f>
        <v/>
      </c>
      <c r="AV181" s="363">
        <f>IF(Model!AW192&lt;&gt;"",Model!AV192,"")</f>
        <v>3.6999999999999998E-2</v>
      </c>
      <c r="AW181" s="363">
        <f>IF(Model!AW192&lt;&gt;"",Model!AW192,"")</f>
        <v>3.6999999999999998E-2</v>
      </c>
      <c r="AX181" s="363" t="str">
        <f>IF(Model!AX192&lt;&gt;"",Model!AX192,"")</f>
        <v/>
      </c>
      <c r="AY181" s="363">
        <f>IF(Model!AZ192&lt;&gt;"",Model!AY192,"")</f>
        <v>1.2999999999999999E-2</v>
      </c>
      <c r="AZ181" s="363">
        <f>IF(Model!AZ192&lt;&gt;"",Model!AZ192,"")</f>
        <v>1.2999999999999999E-2</v>
      </c>
      <c r="BA181" s="363" t="str">
        <f>IF(Model!BA192&lt;&gt;"",Model!BA192,"")</f>
        <v/>
      </c>
      <c r="BB181" s="363" t="str">
        <f>IF(Model!BC192&lt;&gt;"",Model!BB192,"")</f>
        <v/>
      </c>
      <c r="BC181" s="363" t="str">
        <f>IF(Model!BC192&lt;&gt;"",Model!BC192,"")</f>
        <v/>
      </c>
      <c r="BD181" s="363"/>
      <c r="BE181" s="363">
        <f>IF(Model!BF192&lt;&gt;"",Model!BE192,"")</f>
        <v>0</v>
      </c>
      <c r="BF181" s="363"/>
      <c r="BG181" s="363"/>
      <c r="BH181" s="363">
        <f>IF(Model!BI192&lt;&gt;"",Model!BH192,"")</f>
        <v>0</v>
      </c>
      <c r="BI181" s="363"/>
      <c r="BJ181" s="363"/>
      <c r="BK181" s="363">
        <f>IF(Model!BL192&lt;&gt;"",Model!BK192,"")</f>
        <v>7.1999999999999995E-2</v>
      </c>
      <c r="BL181" s="363"/>
      <c r="BM181" s="363"/>
      <c r="BN181" s="363">
        <f>IF(Model!BO192&lt;&gt;"",Model!BN192,"")</f>
        <v>2.7E-2</v>
      </c>
      <c r="BO181" s="363"/>
      <c r="BP181" s="363"/>
      <c r="BQ181" s="363">
        <f>IF(Model!BR192&lt;&gt;"",Model!BQ192,"")</f>
        <v>0.57199999999999995</v>
      </c>
      <c r="BR181" s="363"/>
      <c r="BS181" s="363"/>
      <c r="BT181" s="363">
        <f>IF(Model!BU192&lt;&gt;"",Model!BT192,"")</f>
        <v>0</v>
      </c>
      <c r="BU181" s="363"/>
      <c r="BV181" s="363"/>
      <c r="BW181" s="363">
        <f>IF(Model!BX192&lt;&gt;"",Model!BW192,"")</f>
        <v>4.0000000000000001E-3</v>
      </c>
      <c r="BX181" s="363"/>
      <c r="BY181" s="363"/>
      <c r="BZ181" s="363">
        <f>IF(Model!CA192&lt;&gt;"",Model!BZ192,"")</f>
        <v>0.156</v>
      </c>
      <c r="CA181" s="363"/>
      <c r="CB181" s="363"/>
      <c r="CC181" s="363">
        <f>IF(Model!CD192&lt;&gt;"",Model!CC192,"")</f>
        <v>0</v>
      </c>
      <c r="CD181" s="363"/>
      <c r="CE181" s="363">
        <v>130.30199999999999</v>
      </c>
      <c r="CF181" s="363">
        <f>IF(Model!CG192&lt;&gt;"",Model!CF192,"")</f>
        <v>0</v>
      </c>
      <c r="CG181" s="363">
        <v>0.53</v>
      </c>
      <c r="CH181" s="363"/>
      <c r="CI181" s="363">
        <f>IF(Model!CJ192&lt;&gt;"",Model!CI192,"")</f>
        <v>0</v>
      </c>
      <c r="CJ181" s="363"/>
      <c r="CK181" s="363"/>
      <c r="CL181" s="363">
        <f>IF(Model!CM192&lt;&gt;"",Model!CL192,"")</f>
        <v>0</v>
      </c>
      <c r="CM181" s="363"/>
      <c r="CN181" s="363"/>
      <c r="CO181" s="363">
        <f>IF(Model!CP192&lt;&gt;"",Model!CO192,"")</f>
        <v>0</v>
      </c>
      <c r="CP181" s="363"/>
      <c r="CQ181" s="363"/>
      <c r="CR181" s="363">
        <f>IF(Model!CS192&lt;&gt;"",Model!CR192,"")</f>
        <v>0</v>
      </c>
      <c r="CS181" s="363"/>
      <c r="CT181" s="363"/>
      <c r="CU181" s="363">
        <f>IF(Model!CV192&lt;&gt;"",Model!CU192,"")</f>
        <v>0</v>
      </c>
      <c r="CV181" s="363"/>
      <c r="CW181" s="363"/>
      <c r="CX181" s="363">
        <f>IF(Model!CY192&lt;&gt;"",Model!CX192,"")</f>
        <v>0</v>
      </c>
      <c r="CY181" s="363"/>
      <c r="CZ181" s="363"/>
      <c r="DA181" s="363">
        <f>IF(Model!DB192&lt;&gt;"",Model!DA192,"")</f>
        <v>0</v>
      </c>
      <c r="DB181" s="363"/>
      <c r="DC181" s="363"/>
      <c r="DD181" s="363">
        <f>IF(Model!DE192&lt;&gt;"",Model!DD192,"")</f>
        <v>0</v>
      </c>
      <c r="DE181" s="363"/>
      <c r="DF181" s="363"/>
      <c r="DG181" s="363">
        <f>IF(Model!DH192&lt;&gt;"",Model!DG192,"")</f>
        <v>0</v>
      </c>
      <c r="DH181" s="363"/>
      <c r="DI181" s="363"/>
      <c r="DJ181" s="363">
        <f>IF(Model!DK192&lt;&gt;"",Model!DJ192,"")</f>
        <v>0</v>
      </c>
      <c r="DK181" s="1210"/>
      <c r="DL181" s="363"/>
      <c r="DM181" s="363">
        <f>IF(Model!DN192&lt;&gt;"",Model!DM192,"")</f>
        <v>0</v>
      </c>
      <c r="DN181" s="1210"/>
      <c r="DO181" s="363"/>
      <c r="DP181" s="363">
        <f>IF(Model!DQ192&lt;&gt;"",Model!DP192,"")</f>
        <v>0</v>
      </c>
      <c r="DQ181" s="1210"/>
      <c r="DR181" s="363"/>
      <c r="DS181" s="363">
        <f>IF(Model!DT192&lt;&gt;"",Model!DS192,"")</f>
        <v>0</v>
      </c>
      <c r="DT181" s="1210"/>
      <c r="DU181" s="363"/>
      <c r="DV181" s="363">
        <f>IF(Model!DW192&lt;&gt;"",Model!DV192,"")</f>
        <v>0</v>
      </c>
      <c r="DW181" s="1210"/>
      <c r="DX181" s="363"/>
      <c r="DY181" s="363">
        <f>IF(Model!DZ192&lt;&gt;"",Model!DY192,"")</f>
        <v>0</v>
      </c>
      <c r="DZ181" s="1210"/>
      <c r="EA181" s="363"/>
      <c r="EB181" s="363">
        <f>IF(Model!EC192&lt;&gt;"",Model!EB192,"")</f>
        <v>0</v>
      </c>
      <c r="EC181" s="1210"/>
      <c r="ED181" s="363"/>
      <c r="EE181" s="363">
        <f>IF(Model!EF192&lt;&gt;"",Model!EE192,"")</f>
        <v>0</v>
      </c>
      <c r="EF181" s="1210"/>
      <c r="EG181" s="363"/>
      <c r="EH181" s="363">
        <f>IF(Model!EI192&lt;&gt;"",Model!EH192,"")</f>
        <v>0</v>
      </c>
      <c r="EI181" s="1210"/>
      <c r="EJ181" s="363"/>
      <c r="EK181" s="363">
        <f>IF(Model!EL192&lt;&gt;"",Model!EK192,"")</f>
        <v>0</v>
      </c>
      <c r="EL181" s="1210"/>
      <c r="EM181" s="363"/>
      <c r="EN181" s="363">
        <f>IF(Model!EO192&lt;&gt;"",Model!EN192,"")</f>
        <v>0</v>
      </c>
      <c r="EO181" s="1210"/>
      <c r="EP181" s="363"/>
      <c r="EQ181" s="363">
        <f>IF(Model!ER192&lt;&gt;"",Model!EQ192,"")</f>
        <v>0</v>
      </c>
      <c r="ER181" s="1210"/>
      <c r="ES181" s="363"/>
      <c r="ET181" s="363">
        <f>IF(Model!EU192&lt;&gt;"",Model!ET192,"")</f>
        <v>0</v>
      </c>
      <c r="EU181" s="1210"/>
      <c r="EV181" s="363"/>
      <c r="EW181" s="363">
        <f>IF(Model!EX192&lt;&gt;"",Model!EW192,"")</f>
        <v>0</v>
      </c>
      <c r="EX181" s="1210"/>
      <c r="EY181" s="363"/>
      <c r="EZ181" s="363">
        <f>IF(Model!FA192&lt;&gt;"",Model!EZ192,"")</f>
        <v>0</v>
      </c>
      <c r="FA181" s="363"/>
    </row>
    <row r="182" spans="1:157" ht="13.35" customHeight="1">
      <c r="A182" s="5"/>
      <c r="B182" s="5" t="s">
        <v>874</v>
      </c>
      <c r="C182" s="5"/>
      <c r="D182" s="399"/>
      <c r="E182" s="363"/>
      <c r="F182" s="363"/>
      <c r="G182" s="363"/>
      <c r="H182" s="363"/>
      <c r="I182" s="363"/>
      <c r="J182" s="363"/>
      <c r="K182" s="363"/>
      <c r="L182" s="363"/>
      <c r="M182" s="363"/>
      <c r="N182" s="363"/>
      <c r="O182" s="363"/>
      <c r="P182" s="363"/>
      <c r="Q182" s="363"/>
      <c r="R182" s="363"/>
      <c r="S182" s="363"/>
      <c r="T182" s="363"/>
      <c r="U182" s="363"/>
      <c r="V182" s="363"/>
      <c r="W182" s="363"/>
      <c r="X182" s="363"/>
      <c r="Y182" s="363"/>
      <c r="Z182" s="363"/>
      <c r="AA182" s="363"/>
      <c r="AB182" s="363"/>
      <c r="AC182" s="363"/>
      <c r="AD182" s="363"/>
      <c r="AE182" s="363"/>
      <c r="AF182" s="363"/>
      <c r="AG182" s="363"/>
      <c r="AH182" s="363"/>
      <c r="AI182" s="363"/>
      <c r="AJ182" s="363"/>
      <c r="AK182" s="363"/>
      <c r="AL182" s="363"/>
      <c r="AM182" s="363"/>
      <c r="AN182" s="363"/>
      <c r="AO182" s="363"/>
      <c r="AP182" s="363"/>
      <c r="AQ182" s="363"/>
      <c r="AR182" s="363"/>
      <c r="AS182" s="363"/>
      <c r="AT182" s="363"/>
      <c r="AU182" s="363"/>
      <c r="AV182" s="363"/>
      <c r="AW182" s="363"/>
      <c r="AX182" s="363"/>
      <c r="AY182" s="363"/>
      <c r="AZ182" s="363"/>
      <c r="BA182" s="363"/>
      <c r="BB182" s="363"/>
      <c r="BC182" s="363"/>
      <c r="BD182" s="363"/>
      <c r="BE182" s="363"/>
      <c r="BF182" s="363"/>
      <c r="BG182" s="363"/>
      <c r="BH182" s="363"/>
      <c r="BI182" s="363"/>
      <c r="BJ182" s="363"/>
      <c r="BK182" s="363"/>
      <c r="BL182" s="363"/>
      <c r="BM182" s="363"/>
      <c r="BN182" s="363"/>
      <c r="BO182" s="363"/>
      <c r="BP182" s="363"/>
      <c r="BQ182" s="363"/>
      <c r="BR182" s="363"/>
      <c r="BS182" s="363"/>
      <c r="BT182" s="363"/>
      <c r="BU182" s="363"/>
      <c r="BV182" s="363"/>
      <c r="BW182" s="363"/>
      <c r="BX182" s="363"/>
      <c r="BY182" s="363"/>
      <c r="BZ182" s="363"/>
      <c r="CA182" s="363"/>
      <c r="CB182" s="363"/>
      <c r="CC182" s="363"/>
      <c r="CD182" s="363"/>
      <c r="CE182" s="363"/>
      <c r="CF182" s="363"/>
      <c r="CG182" s="363"/>
      <c r="CH182" s="363"/>
      <c r="CI182" s="363"/>
      <c r="CJ182" s="363"/>
      <c r="CK182" s="363"/>
      <c r="CL182" s="363"/>
      <c r="CM182" s="363"/>
      <c r="CN182" s="363"/>
      <c r="CO182" s="363"/>
      <c r="CP182" s="363"/>
      <c r="CQ182" s="363"/>
      <c r="CR182" s="363"/>
      <c r="CS182" s="363"/>
      <c r="CT182" s="363"/>
      <c r="CU182" s="363"/>
      <c r="CV182" s="363"/>
      <c r="CW182" s="363"/>
      <c r="CX182" s="363"/>
      <c r="CY182" s="363"/>
      <c r="CZ182" s="363"/>
      <c r="DA182" s="363"/>
      <c r="DB182" s="363"/>
      <c r="DC182" s="363"/>
      <c r="DD182" s="363"/>
      <c r="DE182" s="363"/>
      <c r="DF182" s="363"/>
      <c r="DG182" s="363"/>
      <c r="DH182" s="363"/>
      <c r="DI182" s="363"/>
      <c r="DJ182" s="363"/>
      <c r="DK182" s="1210"/>
      <c r="DL182" s="363"/>
      <c r="DM182" s="363"/>
      <c r="DN182" s="1210"/>
      <c r="DO182" s="363"/>
      <c r="DP182" s="363"/>
      <c r="DQ182" s="1210"/>
      <c r="DR182" s="363"/>
      <c r="DS182" s="363"/>
      <c r="DT182" s="1210"/>
      <c r="DU182" s="363"/>
      <c r="DV182" s="363"/>
      <c r="DW182" s="1210"/>
      <c r="DX182" s="363"/>
      <c r="DY182" s="363"/>
      <c r="DZ182" s="1210"/>
      <c r="EA182" s="363"/>
      <c r="EB182" s="363"/>
      <c r="EC182" s="1210"/>
      <c r="ED182" s="363"/>
      <c r="EE182" s="363"/>
      <c r="EF182" s="1210"/>
      <c r="EG182" s="363"/>
      <c r="EH182" s="363"/>
      <c r="EI182" s="1210"/>
      <c r="EJ182" s="363"/>
      <c r="EK182" s="363"/>
      <c r="EL182" s="1210"/>
      <c r="EM182" s="363"/>
      <c r="EN182" s="363"/>
      <c r="EO182" s="1210"/>
      <c r="EP182" s="363"/>
      <c r="EQ182" s="363"/>
      <c r="ER182" s="1210"/>
      <c r="ES182" s="363"/>
      <c r="ET182" s="363"/>
      <c r="EU182" s="1210"/>
      <c r="EV182" s="363"/>
      <c r="EW182" s="363"/>
      <c r="EX182" s="1210"/>
      <c r="EY182" s="363"/>
      <c r="EZ182" s="363"/>
      <c r="FA182" s="363"/>
    </row>
    <row r="183" spans="1:157" ht="13.35" customHeight="1">
      <c r="A183" s="5"/>
      <c r="B183" s="5" t="s">
        <v>743</v>
      </c>
      <c r="C183" s="5"/>
      <c r="D183" s="399"/>
      <c r="E183" s="363" t="str">
        <f>IF(Model!E194&lt;&gt;"",-Model!E194,"")</f>
        <v/>
      </c>
      <c r="F183" s="363" t="str">
        <f>IF(Model!G194&lt;&gt;"",-Model!F194,"")</f>
        <v/>
      </c>
      <c r="G183" s="363" t="str">
        <f>IF(Model!G194&lt;&gt;"",-Model!G194,"")</f>
        <v/>
      </c>
      <c r="H183" s="363" t="str">
        <f>IF(Model!H194&lt;&gt;"",-Model!H194,"")</f>
        <v/>
      </c>
      <c r="I183" s="363" t="str">
        <f>IF(Model!J194&lt;&gt;"",-Model!I194,"")</f>
        <v/>
      </c>
      <c r="J183" s="363" t="str">
        <f>IF(Model!J194&lt;&gt;"",-Model!J194,"")</f>
        <v/>
      </c>
      <c r="K183" s="363" t="str">
        <f>IF(Model!K194&lt;&gt;"",-Model!K194,"")</f>
        <v/>
      </c>
      <c r="L183" s="363" t="str">
        <f>IF(Model!M194&lt;&gt;"",-Model!L194,"")</f>
        <v/>
      </c>
      <c r="M183" s="363" t="str">
        <f>IF(Model!M194&lt;&gt;"",-Model!M194,"")</f>
        <v/>
      </c>
      <c r="N183" s="363" t="str">
        <f>IF(Model!N194&lt;&gt;"",-Model!N194,"")</f>
        <v/>
      </c>
      <c r="O183" s="363" t="str">
        <f>IF(Model!P194&lt;&gt;"",-Model!O194,"")</f>
        <v/>
      </c>
      <c r="P183" s="363" t="str">
        <f>IF(Model!P194&lt;&gt;"",-Model!P194,"")</f>
        <v/>
      </c>
      <c r="Q183" s="363" t="str">
        <f>IF(Model!Q194&lt;&gt;"",-Model!Q194,"")</f>
        <v/>
      </c>
      <c r="R183" s="363" t="str">
        <f>IF(Model!S194&lt;&gt;"",-Model!R194,"")</f>
        <v/>
      </c>
      <c r="S183" s="363" t="str">
        <f>IF(Model!S194&lt;&gt;"",-Model!S194,"")</f>
        <v/>
      </c>
      <c r="T183" s="363" t="str">
        <f>IF(Model!T194&lt;&gt;"",-Model!T194,"")</f>
        <v/>
      </c>
      <c r="U183" s="363" t="str">
        <f>IF(Model!V194&lt;&gt;"",-Model!U194,"")</f>
        <v/>
      </c>
      <c r="V183" s="363" t="str">
        <f>IF(Model!V194&lt;&gt;"",-Model!V194,"")</f>
        <v/>
      </c>
      <c r="W183" s="363" t="str">
        <f>IF(Model!W194&lt;&gt;"",-Model!W194,"")</f>
        <v/>
      </c>
      <c r="X183" s="363" t="str">
        <f>IF(Model!Y194&lt;&gt;"",-Model!X194,"")</f>
        <v/>
      </c>
      <c r="Y183" s="363" t="str">
        <f>IF(Model!Y194&lt;&gt;"",-Model!Y194,"")</f>
        <v/>
      </c>
      <c r="Z183" s="363" t="str">
        <f>IF(Model!Z194&lt;&gt;"",-Model!Z194,"")</f>
        <v/>
      </c>
      <c r="AA183" s="363" t="str">
        <f>IF(Model!AB194&lt;&gt;"",-Model!AA194,"")</f>
        <v/>
      </c>
      <c r="AB183" s="363" t="str">
        <f>IF(Model!AB194&lt;&gt;"",-Model!AB194,"")</f>
        <v/>
      </c>
      <c r="AC183" s="363" t="str">
        <f>IF(Model!AC194&lt;&gt;"",-Model!AC194,"")</f>
        <v/>
      </c>
      <c r="AD183" s="363" t="str">
        <f>IF(Model!AE194&lt;&gt;"",-Model!AD194,"")</f>
        <v/>
      </c>
      <c r="AE183" s="363" t="str">
        <f>IF(Model!AE194&lt;&gt;"",-Model!AE194,"")</f>
        <v/>
      </c>
      <c r="AF183" s="363" t="str">
        <f>IF(Model!AF194&lt;&gt;"",-Model!AF194,"")</f>
        <v/>
      </c>
      <c r="AG183" s="363" t="str">
        <f>IF(Model!AH194&lt;&gt;"",-Model!AG194,"")</f>
        <v/>
      </c>
      <c r="AH183" s="363" t="str">
        <f>IF(Model!AH194&lt;&gt;"",-Model!AH194,"")</f>
        <v/>
      </c>
      <c r="AI183" s="363" t="str">
        <f>IF(Model!AI194&lt;&gt;"",-Model!AI194,"")</f>
        <v/>
      </c>
      <c r="AJ183" s="363" t="str">
        <f>IF(Model!AK194&lt;&gt;"",-Model!AJ194,"")</f>
        <v/>
      </c>
      <c r="AK183" s="363" t="str">
        <f>IF(Model!AK194&lt;&gt;"",-Model!AK194,"")</f>
        <v/>
      </c>
      <c r="AL183" s="363" t="str">
        <f>IF(Model!AL194&lt;&gt;"",-Model!AL194,"")</f>
        <v/>
      </c>
      <c r="AM183" s="363" t="str">
        <f>IF(Model!AN194&lt;&gt;"",-Model!AM194,"")</f>
        <v/>
      </c>
      <c r="AN183" s="363" t="str">
        <f>IF(Model!AN194&lt;&gt;"",-Model!AN194,"")</f>
        <v/>
      </c>
      <c r="AO183" s="363" t="str">
        <f>IF(Model!AO194&lt;&gt;"",-Model!AO194,"")</f>
        <v/>
      </c>
      <c r="AP183" s="363" t="str">
        <f>IF(Model!AQ194&lt;&gt;"",-Model!AP194,"")</f>
        <v/>
      </c>
      <c r="AQ183" s="363" t="str">
        <f>IF(Model!AQ194&lt;&gt;"",-Model!AQ194,"")</f>
        <v/>
      </c>
      <c r="AR183" s="363" t="str">
        <f>IF(Model!AR194&lt;&gt;"",-Model!AR194,"")</f>
        <v/>
      </c>
      <c r="AS183" s="363" t="str">
        <f>IF(Model!AT194&lt;&gt;"",-Model!AS194,"")</f>
        <v/>
      </c>
      <c r="AT183" s="363" t="str">
        <f>IF(Model!AT194&lt;&gt;"",-Model!AT194,"")</f>
        <v/>
      </c>
      <c r="AU183" s="363" t="str">
        <f>IF(Model!AU194&lt;&gt;"",-Model!AU194,"")</f>
        <v/>
      </c>
      <c r="AV183" s="363" t="str">
        <f>IF(Model!AW194&lt;&gt;"",-Model!AV194,"")</f>
        <v/>
      </c>
      <c r="AW183" s="363" t="str">
        <f>IF(Model!AW194&lt;&gt;"",-Model!AW194,"")</f>
        <v/>
      </c>
      <c r="AX183" s="363">
        <f>IF(Model!AX194&lt;&gt;"",-Model!AX194,"")</f>
        <v>0</v>
      </c>
      <c r="AY183" s="363">
        <f>IF(Model!AZ194&lt;&gt;"",-Model!AY194,"")</f>
        <v>0</v>
      </c>
      <c r="AZ183" s="363">
        <f>IF(Model!AZ194&lt;&gt;"",-Model!AZ194,"")</f>
        <v>0</v>
      </c>
      <c r="BA183" s="363">
        <f>IF(Model!BA194&lt;&gt;"",-Model!BA194,"")</f>
        <v>0</v>
      </c>
      <c r="BB183" s="363">
        <f>IF(Model!BC194&lt;&gt;"",-Model!BB194,"")</f>
        <v>0</v>
      </c>
      <c r="BC183" s="363">
        <f>IF(Model!BC194&lt;&gt;"",-Model!BC194,"")</f>
        <v>0</v>
      </c>
      <c r="BD183" s="363"/>
      <c r="BE183" s="363">
        <f>IF(Model!BF194&lt;&gt;"",Model!BE194,"")</f>
        <v>0</v>
      </c>
      <c r="BF183" s="363">
        <v>0</v>
      </c>
      <c r="BG183" s="363"/>
      <c r="BH183" s="363">
        <f>IF(Model!BI194&lt;&gt;"",Model!BH194,"")</f>
        <v>0</v>
      </c>
      <c r="BI183" s="363">
        <v>0</v>
      </c>
      <c r="BJ183" s="363"/>
      <c r="BK183" s="363">
        <f>IF(Model!BL194&lt;&gt;"",Model!BK194,"")</f>
        <v>0</v>
      </c>
      <c r="BL183" s="363"/>
      <c r="BM183" s="363"/>
      <c r="BN183" s="363">
        <f>IF(Model!BO194&lt;&gt;"",Model!BN194,"")</f>
        <v>0.83799999999999997</v>
      </c>
      <c r="BO183" s="363"/>
      <c r="BP183" s="363"/>
      <c r="BQ183" s="363">
        <f>IF(Model!BR194&lt;&gt;"",Model!BQ194,"")</f>
        <v>0</v>
      </c>
      <c r="BR183" s="363"/>
      <c r="BS183" s="363"/>
      <c r="BT183" s="363">
        <f>IF(Model!BU194&lt;&gt;"",Model!BT194,"")</f>
        <v>0</v>
      </c>
      <c r="BU183" s="363"/>
      <c r="BV183" s="363"/>
      <c r="BW183" s="363">
        <f>IF(Model!BX194&lt;&gt;"",Model!BW194,"")</f>
        <v>0</v>
      </c>
      <c r="BX183" s="363"/>
      <c r="BY183" s="363"/>
      <c r="BZ183" s="363">
        <f>IF(Model!CA194&lt;&gt;"",Model!BZ194,"")</f>
        <v>0</v>
      </c>
      <c r="CA183" s="363"/>
      <c r="CB183" s="363"/>
      <c r="CC183" s="363">
        <f>IF(Model!CD194&lt;&gt;"",Model!CC194,"")</f>
        <v>0</v>
      </c>
      <c r="CD183" s="363"/>
      <c r="CE183" s="363"/>
      <c r="CF183" s="363">
        <f>IF(Model!CG194&lt;&gt;"",Model!CF194,"")</f>
        <v>0</v>
      </c>
      <c r="CG183" s="363"/>
      <c r="CH183" s="363"/>
      <c r="CI183" s="363">
        <f>IF(Model!CJ194&lt;&gt;"",Model!CI194,"")</f>
        <v>-2.7959999999999994</v>
      </c>
      <c r="CJ183" s="363"/>
      <c r="CK183" s="363"/>
      <c r="CL183" s="363">
        <f>IF(Model!CM194&lt;&gt;"",Model!CL194,"")</f>
        <v>0</v>
      </c>
      <c r="CM183" s="363"/>
      <c r="CN183" s="363"/>
      <c r="CO183" s="363">
        <f>IF(Model!CP194&lt;&gt;"",Model!CO194,"")</f>
        <v>0</v>
      </c>
      <c r="CP183" s="363"/>
      <c r="CQ183" s="363"/>
      <c r="CR183" s="363">
        <f>IF(Model!CS194&lt;&gt;"",Model!CR194,"")</f>
        <v>0</v>
      </c>
      <c r="CS183" s="363"/>
      <c r="CT183" s="363"/>
      <c r="CU183" s="363">
        <f>IF(Model!CV194&lt;&gt;"",Model!CU194,"")</f>
        <v>0</v>
      </c>
      <c r="CV183" s="363"/>
      <c r="CW183" s="363"/>
      <c r="CX183" s="363">
        <f>IF(Model!CY194&lt;&gt;"",Model!CX194,"")</f>
        <v>0</v>
      </c>
      <c r="CY183" s="363"/>
      <c r="CZ183" s="363"/>
      <c r="DA183" s="363">
        <f>IF(Model!DB194&lt;&gt;"",Model!DA194,"")</f>
        <v>0</v>
      </c>
      <c r="DB183" s="363"/>
      <c r="DC183" s="363"/>
      <c r="DD183" s="363">
        <f>IF(Model!DE194&lt;&gt;"",Model!DD194,"")</f>
        <v>0</v>
      </c>
      <c r="DE183" s="363"/>
      <c r="DF183" s="363"/>
      <c r="DG183" s="363">
        <f>IF(Model!DH194&lt;&gt;"",Model!DG194,"")</f>
        <v>0</v>
      </c>
      <c r="DH183" s="363"/>
      <c r="DI183" s="363"/>
      <c r="DJ183" s="363">
        <f>IF(Model!DK194&lt;&gt;"",Model!DJ194,"")</f>
        <v>0</v>
      </c>
      <c r="DK183" s="1210"/>
      <c r="DL183" s="363"/>
      <c r="DM183" s="363">
        <f>IF(Model!DN194&lt;&gt;"",Model!DM194,"")</f>
        <v>0</v>
      </c>
      <c r="DN183" s="1210"/>
      <c r="DO183" s="363"/>
      <c r="DP183" s="363">
        <f>IF(Model!DQ194&lt;&gt;"",Model!DP194,"")</f>
        <v>0</v>
      </c>
      <c r="DQ183" s="1210"/>
      <c r="DR183" s="363"/>
      <c r="DS183" s="363">
        <f>IF(Model!DT194&lt;&gt;"",Model!DS194,"")</f>
        <v>0</v>
      </c>
      <c r="DT183" s="1210"/>
      <c r="DU183" s="363"/>
      <c r="DV183" s="363">
        <f>IF(Model!DW194&lt;&gt;"",Model!DV194,"")</f>
        <v>0</v>
      </c>
      <c r="DW183" s="1210"/>
      <c r="DX183" s="363"/>
      <c r="DY183" s="363">
        <f>IF(Model!DZ194&lt;&gt;"",Model!DY194,"")</f>
        <v>0</v>
      </c>
      <c r="DZ183" s="1210"/>
      <c r="EA183" s="363"/>
      <c r="EB183" s="363">
        <f>IF(Model!EC194&lt;&gt;"",Model!EB194,"")</f>
        <v>0</v>
      </c>
      <c r="EC183" s="1210"/>
      <c r="ED183" s="363"/>
      <c r="EE183" s="363">
        <f>IF(Model!EF194&lt;&gt;"",Model!EE194,"")</f>
        <v>0</v>
      </c>
      <c r="EF183" s="1210"/>
      <c r="EG183" s="363"/>
      <c r="EH183" s="363">
        <f>IF(Model!EI194&lt;&gt;"",Model!EH194,"")</f>
        <v>0</v>
      </c>
      <c r="EI183" s="1210"/>
      <c r="EJ183" s="363"/>
      <c r="EK183" s="363">
        <f>IF(Model!EL194&lt;&gt;"",Model!EK194,"")</f>
        <v>0</v>
      </c>
      <c r="EL183" s="1210"/>
      <c r="EM183" s="363"/>
      <c r="EN183" s="363">
        <f>IF(Model!EO194&lt;&gt;"",Model!EN194,"")</f>
        <v>0</v>
      </c>
      <c r="EO183" s="1210"/>
      <c r="EP183" s="363"/>
      <c r="EQ183" s="363">
        <f>IF(Model!ER194&lt;&gt;"",Model!EQ194,"")</f>
        <v>0</v>
      </c>
      <c r="ER183" s="1210"/>
      <c r="ES183" s="363"/>
      <c r="ET183" s="363">
        <f>IF(Model!EU194&lt;&gt;"",Model!ET194,"")</f>
        <v>0</v>
      </c>
      <c r="EU183" s="1210"/>
      <c r="EV183" s="363"/>
      <c r="EW183" s="363">
        <f>IF(Model!EX194&lt;&gt;"",Model!EW194,"")</f>
        <v>0</v>
      </c>
      <c r="EX183" s="1210"/>
      <c r="EY183" s="363"/>
      <c r="EZ183" s="363">
        <f>IF(Model!FA194&lt;&gt;"",Model!EZ194,"")</f>
        <v>0</v>
      </c>
      <c r="FA183" s="363"/>
    </row>
    <row r="184" spans="1:157" ht="13.35" customHeight="1">
      <c r="A184" s="5"/>
      <c r="B184" s="5" t="s">
        <v>744</v>
      </c>
      <c r="C184" s="5"/>
      <c r="D184" s="399"/>
      <c r="E184" s="363" t="str">
        <f>IF(Model!E195&lt;&gt;"",-Model!E195,"")</f>
        <v/>
      </c>
      <c r="F184" s="363" t="str">
        <f>IF(Model!G195&lt;&gt;"",-Model!F195,"")</f>
        <v/>
      </c>
      <c r="G184" s="363" t="str">
        <f>IF(Model!G195&lt;&gt;"",-Model!G195,"")</f>
        <v/>
      </c>
      <c r="H184" s="363" t="str">
        <f>IF(Model!H195&lt;&gt;"",-Model!H195,"")</f>
        <v/>
      </c>
      <c r="I184" s="363" t="str">
        <f>IF(Model!J195&lt;&gt;"",-Model!I195,"")</f>
        <v/>
      </c>
      <c r="J184" s="363" t="str">
        <f>IF(Model!J195&lt;&gt;"",-Model!J195,"")</f>
        <v/>
      </c>
      <c r="K184" s="363" t="str">
        <f>IF(Model!K195&lt;&gt;"",-Model!K195,"")</f>
        <v/>
      </c>
      <c r="L184" s="363" t="str">
        <f>IF(Model!M195&lt;&gt;"",-Model!L195,"")</f>
        <v/>
      </c>
      <c r="M184" s="363" t="str">
        <f>IF(Model!M195&lt;&gt;"",-Model!M195,"")</f>
        <v/>
      </c>
      <c r="N184" s="363" t="str">
        <f>IF(Model!N195&lt;&gt;"",-Model!N195,"")</f>
        <v/>
      </c>
      <c r="O184" s="363" t="str">
        <f>IF(Model!P195&lt;&gt;"",-Model!O195,"")</f>
        <v/>
      </c>
      <c r="P184" s="363" t="str">
        <f>IF(Model!P195&lt;&gt;"",-Model!P195,"")</f>
        <v/>
      </c>
      <c r="Q184" s="363" t="str">
        <f>IF(Model!Q195&lt;&gt;"",-Model!Q195,"")</f>
        <v/>
      </c>
      <c r="R184" s="363" t="str">
        <f>IF(Model!S195&lt;&gt;"",-Model!R195,"")</f>
        <v/>
      </c>
      <c r="S184" s="363" t="str">
        <f>IF(Model!S195&lt;&gt;"",-Model!S195,"")</f>
        <v/>
      </c>
      <c r="T184" s="363" t="str">
        <f>IF(Model!T195&lt;&gt;"",-Model!T195,"")</f>
        <v/>
      </c>
      <c r="U184" s="363" t="str">
        <f>IF(Model!V195&lt;&gt;"",-Model!U195,"")</f>
        <v/>
      </c>
      <c r="V184" s="363" t="str">
        <f>IF(Model!V195&lt;&gt;"",-Model!V195,"")</f>
        <v/>
      </c>
      <c r="W184" s="363" t="str">
        <f>IF(Model!W195&lt;&gt;"",-Model!W195,"")</f>
        <v/>
      </c>
      <c r="X184" s="363" t="str">
        <f>IF(Model!Y195&lt;&gt;"",-Model!X195,"")</f>
        <v/>
      </c>
      <c r="Y184" s="363" t="str">
        <f>IF(Model!Y195&lt;&gt;"",-Model!Y195,"")</f>
        <v/>
      </c>
      <c r="Z184" s="363" t="str">
        <f>IF(Model!Z195&lt;&gt;"",-Model!Z195,"")</f>
        <v/>
      </c>
      <c r="AA184" s="363" t="str">
        <f>IF(Model!AB195&lt;&gt;"",-Model!AA195,"")</f>
        <v/>
      </c>
      <c r="AB184" s="363" t="str">
        <f>IF(Model!AB195&lt;&gt;"",-Model!AB195,"")</f>
        <v/>
      </c>
      <c r="AC184" s="363" t="str">
        <f>IF(Model!AC195&lt;&gt;"",-Model!AC195,"")</f>
        <v/>
      </c>
      <c r="AD184" s="363" t="str">
        <f>IF(Model!AE195&lt;&gt;"",-Model!AD195,"")</f>
        <v/>
      </c>
      <c r="AE184" s="363" t="str">
        <f>IF(Model!AE195&lt;&gt;"",-Model!AE195,"")</f>
        <v/>
      </c>
      <c r="AF184" s="363" t="str">
        <f>IF(Model!AF195&lt;&gt;"",-Model!AF195,"")</f>
        <v/>
      </c>
      <c r="AG184" s="363" t="str">
        <f>IF(Model!AH195&lt;&gt;"",-Model!AG195,"")</f>
        <v/>
      </c>
      <c r="AH184" s="363" t="str">
        <f>IF(Model!AH195&lt;&gt;"",-Model!AH195,"")</f>
        <v/>
      </c>
      <c r="AI184" s="363" t="str">
        <f>IF(Model!AI195&lt;&gt;"",-Model!AI195,"")</f>
        <v/>
      </c>
      <c r="AJ184" s="363" t="str">
        <f>IF(Model!AK195&lt;&gt;"",-Model!AJ195,"")</f>
        <v/>
      </c>
      <c r="AK184" s="363" t="str">
        <f>IF(Model!AK195&lt;&gt;"",-Model!AK195,"")</f>
        <v/>
      </c>
      <c r="AL184" s="363" t="str">
        <f>IF(Model!AL195&lt;&gt;"",-Model!AL195,"")</f>
        <v/>
      </c>
      <c r="AM184" s="363" t="str">
        <f>IF(Model!AN195&lt;&gt;"",-Model!AM195,"")</f>
        <v/>
      </c>
      <c r="AN184" s="363" t="str">
        <f>IF(Model!AN195&lt;&gt;"",-Model!AN195,"")</f>
        <v/>
      </c>
      <c r="AO184" s="363" t="str">
        <f>IF(Model!AO195&lt;&gt;"",-Model!AO195,"")</f>
        <v/>
      </c>
      <c r="AP184" s="363" t="str">
        <f>IF(Model!AQ195&lt;&gt;"",-Model!AP195,"")</f>
        <v/>
      </c>
      <c r="AQ184" s="363" t="str">
        <f>IF(Model!AQ195&lt;&gt;"",-Model!AQ195,"")</f>
        <v/>
      </c>
      <c r="AR184" s="363" t="str">
        <f>IF(Model!AR195&lt;&gt;"",-Model!AR195,"")</f>
        <v/>
      </c>
      <c r="AS184" s="363" t="str">
        <f>IF(Model!AT195&lt;&gt;"",-Model!AS195,"")</f>
        <v/>
      </c>
      <c r="AT184" s="363" t="str">
        <f>IF(Model!AT195&lt;&gt;"",-Model!AT195,"")</f>
        <v/>
      </c>
      <c r="AU184" s="363" t="str">
        <f>IF(Model!AU195&lt;&gt;"",-Model!AU195,"")</f>
        <v/>
      </c>
      <c r="AV184" s="363" t="str">
        <f>IF(Model!AW195&lt;&gt;"",-Model!AV195,"")</f>
        <v/>
      </c>
      <c r="AW184" s="363" t="str">
        <f>IF(Model!AW195&lt;&gt;"",-Model!AW195,"")</f>
        <v/>
      </c>
      <c r="AX184" s="363">
        <f>IF(Model!AX195&lt;&gt;"",-Model!AX195,"")</f>
        <v>0</v>
      </c>
      <c r="AY184" s="363">
        <f>IF(Model!AZ195&lt;&gt;"",-Model!AY195,"")</f>
        <v>0</v>
      </c>
      <c r="AZ184" s="363">
        <f>IF(Model!AZ195&lt;&gt;"",-Model!AZ195,"")</f>
        <v>0</v>
      </c>
      <c r="BA184" s="363">
        <f>IF(Model!BA195&lt;&gt;"",-Model!BA195,"")</f>
        <v>0</v>
      </c>
      <c r="BB184" s="363">
        <f>IF(Model!BC195&lt;&gt;"",-Model!BB195,"")</f>
        <v>0</v>
      </c>
      <c r="BC184" s="363">
        <f>IF(Model!BC195&lt;&gt;"",-Model!BC195,"")</f>
        <v>0</v>
      </c>
      <c r="BD184" s="363"/>
      <c r="BE184" s="363">
        <f>IF(Model!BF195&lt;&gt;"",Model!BE195,"")</f>
        <v>0</v>
      </c>
      <c r="BF184" s="363">
        <v>0</v>
      </c>
      <c r="BG184" s="363"/>
      <c r="BH184" s="363">
        <f>IF(Model!BI195&lt;&gt;"",Model!BH195,"")</f>
        <v>0</v>
      </c>
      <c r="BI184" s="363">
        <v>0</v>
      </c>
      <c r="BJ184" s="363"/>
      <c r="BK184" s="363">
        <f>IF(Model!BL195&lt;&gt;"",Model!BK195,"")</f>
        <v>0</v>
      </c>
      <c r="BL184" s="363"/>
      <c r="BM184" s="363"/>
      <c r="BN184" s="363">
        <f>IF(Model!BO195&lt;&gt;"",Model!BN195,"")</f>
        <v>-195.613</v>
      </c>
      <c r="BO184" s="363"/>
      <c r="BP184" s="363"/>
      <c r="BQ184" s="363">
        <f>IF(Model!BR195&lt;&gt;"",Model!BQ195,"")</f>
        <v>0</v>
      </c>
      <c r="BR184" s="363"/>
      <c r="BS184" s="363"/>
      <c r="BT184" s="363">
        <f>IF(Model!BU195&lt;&gt;"",Model!BT195,"")</f>
        <v>-15.551</v>
      </c>
      <c r="BU184" s="363"/>
      <c r="BV184" s="363"/>
      <c r="BW184" s="363">
        <f>IF(Model!BX195&lt;&gt;"",Model!BW195,"")</f>
        <v>-1.0109999999999992</v>
      </c>
      <c r="BX184" s="363"/>
      <c r="BY184" s="363"/>
      <c r="BZ184" s="363">
        <f>IF(Model!CA195&lt;&gt;"",Model!BZ195,"")</f>
        <v>0</v>
      </c>
      <c r="CA184" s="363"/>
      <c r="CB184" s="363"/>
      <c r="CC184" s="363">
        <f>IF(Model!CD195&lt;&gt;"",Model!CC195,"")</f>
        <v>0</v>
      </c>
      <c r="CD184" s="363"/>
      <c r="CE184" s="363"/>
      <c r="CF184" s="363">
        <f>IF(Model!CG195&lt;&gt;"",Model!CF195,"")</f>
        <v>0</v>
      </c>
      <c r="CG184" s="363"/>
      <c r="CH184" s="363"/>
      <c r="CI184" s="363">
        <f>IF(Model!CJ195&lt;&gt;"",Model!CI195,"")</f>
        <v>0</v>
      </c>
      <c r="CJ184" s="363"/>
      <c r="CK184" s="363"/>
      <c r="CL184" s="363">
        <f>IF(Model!CM195&lt;&gt;"",Model!CL195,"")</f>
        <v>0</v>
      </c>
      <c r="CM184" s="363"/>
      <c r="CN184" s="363"/>
      <c r="CO184" s="363">
        <f>IF(Model!CP195&lt;&gt;"",Model!CO195,"")</f>
        <v>0</v>
      </c>
      <c r="CP184" s="363"/>
      <c r="CQ184" s="363"/>
      <c r="CR184" s="363">
        <f>IF(Model!CS195&lt;&gt;"",Model!CR195,"")</f>
        <v>0</v>
      </c>
      <c r="CS184" s="363"/>
      <c r="CT184" s="363"/>
      <c r="CU184" s="363">
        <f>IF(Model!CV195&lt;&gt;"",Model!CU195,"")</f>
        <v>0</v>
      </c>
      <c r="CV184" s="363"/>
      <c r="CW184" s="363"/>
      <c r="CX184" s="363">
        <f>IF(Model!CY195&lt;&gt;"",Model!CX195,"")</f>
        <v>-63.709000000000003</v>
      </c>
      <c r="CY184" s="363"/>
      <c r="CZ184" s="363"/>
      <c r="DA184" s="363">
        <f>IF(Model!DB195&lt;&gt;"",Model!DA195,"")</f>
        <v>-6</v>
      </c>
      <c r="DB184" s="363"/>
      <c r="DC184" s="363"/>
      <c r="DD184" s="363">
        <f>IF(Model!DE195&lt;&gt;"",Model!DD195,"")</f>
        <v>-23.2</v>
      </c>
      <c r="DE184" s="363"/>
      <c r="DF184" s="363"/>
      <c r="DG184" s="363">
        <f>IF(Model!DH195&lt;&gt;"",Model!DG195,"")</f>
        <v>-14.2</v>
      </c>
      <c r="DH184" s="363"/>
      <c r="DI184" s="363"/>
      <c r="DJ184" s="363">
        <f>IF(Model!DK195&lt;&gt;"",Model!DJ195,"")</f>
        <v>13.300000000000004</v>
      </c>
      <c r="DK184" s="1210"/>
      <c r="DL184" s="363"/>
      <c r="DM184" s="363">
        <f>IF(Model!DN195&lt;&gt;"",Model!DM195,"")</f>
        <v>-2.2000000000000028</v>
      </c>
      <c r="DN184" s="1210"/>
      <c r="DO184" s="363"/>
      <c r="DP184" s="363">
        <f>IF(Model!DQ195&lt;&gt;"",Model!DP195,"")</f>
        <v>35.5</v>
      </c>
      <c r="DQ184" s="1210"/>
      <c r="DR184" s="363"/>
      <c r="DS184" s="363">
        <f>IF(Model!DT195&lt;&gt;"",Model!DS195,"")</f>
        <v>-10.8</v>
      </c>
      <c r="DT184" s="1210"/>
      <c r="DU184" s="363"/>
      <c r="DV184" s="363">
        <f>IF(Model!DW195&lt;&gt;"",Model!DV195,"")</f>
        <v>-5.3</v>
      </c>
      <c r="DW184" s="1210"/>
      <c r="DX184" s="363"/>
      <c r="DY184" s="363">
        <f>IF(Model!DZ195&lt;&gt;"",Model!DY195,"")</f>
        <v>0</v>
      </c>
      <c r="DZ184" s="1210"/>
      <c r="EA184" s="363"/>
      <c r="EB184" s="363">
        <f>IF(Model!EC195&lt;&gt;"",Model!EB195,"")</f>
        <v>0</v>
      </c>
      <c r="EC184" s="1210"/>
      <c r="ED184" s="363"/>
      <c r="EE184" s="363">
        <f>IF(Model!EF195&lt;&gt;"",Model!EE195,"")</f>
        <v>0</v>
      </c>
      <c r="EF184" s="1210"/>
      <c r="EG184" s="363"/>
      <c r="EH184" s="363">
        <f>IF(Model!EI195&lt;&gt;"",Model!EH195,"")</f>
        <v>0</v>
      </c>
      <c r="EI184" s="1210"/>
      <c r="EJ184" s="363"/>
      <c r="EK184" s="363">
        <f>IF(Model!EL195&lt;&gt;"",Model!EK195,"")</f>
        <v>0</v>
      </c>
      <c r="EL184" s="1210"/>
      <c r="EM184" s="363"/>
      <c r="EN184" s="363">
        <f>IF(Model!EO195&lt;&gt;"",Model!EN195,"")</f>
        <v>0</v>
      </c>
      <c r="EO184" s="1210"/>
      <c r="EP184" s="363"/>
      <c r="EQ184" s="363">
        <f>IF(Model!ER195&lt;&gt;"",Model!EQ195,"")</f>
        <v>0</v>
      </c>
      <c r="ER184" s="1210"/>
      <c r="ES184" s="363"/>
      <c r="ET184" s="363">
        <f>IF(Model!EU195&lt;&gt;"",Model!ET195,"")</f>
        <v>0</v>
      </c>
      <c r="EU184" s="1210"/>
      <c r="EV184" s="363"/>
      <c r="EW184" s="363">
        <f>IF(Model!EX195&lt;&gt;"",Model!EW195,"")</f>
        <v>0</v>
      </c>
      <c r="EX184" s="1210"/>
      <c r="EY184" s="363"/>
      <c r="EZ184" s="363">
        <f>IF(Model!FA195&lt;&gt;"",Model!EZ195,"")</f>
        <v>0</v>
      </c>
      <c r="FA184" s="363"/>
    </row>
    <row r="185" spans="1:157" ht="13.35" customHeight="1">
      <c r="A185" s="5"/>
      <c r="B185" s="5" t="s">
        <v>59</v>
      </c>
      <c r="C185" s="5"/>
      <c r="D185" s="399"/>
      <c r="E185" s="363"/>
      <c r="F185" s="363"/>
      <c r="G185" s="363"/>
      <c r="H185" s="363"/>
      <c r="I185" s="363"/>
      <c r="J185" s="363"/>
      <c r="K185" s="363"/>
      <c r="L185" s="363"/>
      <c r="M185" s="363"/>
      <c r="N185" s="363"/>
      <c r="O185" s="363"/>
      <c r="P185" s="363"/>
      <c r="Q185" s="363"/>
      <c r="R185" s="363"/>
      <c r="S185" s="363"/>
      <c r="T185" s="363"/>
      <c r="U185" s="363"/>
      <c r="V185" s="363"/>
      <c r="W185" s="363"/>
      <c r="X185" s="363"/>
      <c r="Y185" s="363"/>
      <c r="Z185" s="363"/>
      <c r="AA185" s="363"/>
      <c r="AB185" s="363"/>
      <c r="AC185" s="363"/>
      <c r="AD185" s="363"/>
      <c r="AE185" s="363"/>
      <c r="AF185" s="363"/>
      <c r="AG185" s="363"/>
      <c r="AH185" s="363"/>
      <c r="AI185" s="363"/>
      <c r="AJ185" s="363"/>
      <c r="AK185" s="363"/>
      <c r="AL185" s="363"/>
      <c r="AM185" s="363"/>
      <c r="AN185" s="363"/>
      <c r="AO185" s="363"/>
      <c r="AP185" s="363"/>
      <c r="AQ185" s="363"/>
      <c r="AR185" s="363"/>
      <c r="AS185" s="363"/>
      <c r="AT185" s="363"/>
      <c r="AU185" s="363"/>
      <c r="AV185" s="363"/>
      <c r="AW185" s="363"/>
      <c r="AX185" s="363"/>
      <c r="AY185" s="363"/>
      <c r="AZ185" s="363"/>
      <c r="BA185" s="363"/>
      <c r="BB185" s="363"/>
      <c r="BC185" s="363"/>
      <c r="BD185" s="363"/>
      <c r="BE185" s="363"/>
      <c r="BF185" s="363"/>
      <c r="BG185" s="363"/>
      <c r="BH185" s="363"/>
      <c r="BI185" s="363"/>
      <c r="BJ185" s="363"/>
      <c r="BK185" s="363"/>
      <c r="BL185" s="363"/>
      <c r="BM185" s="363"/>
      <c r="BN185" s="363"/>
      <c r="BO185" s="363"/>
      <c r="BP185" s="363"/>
      <c r="BQ185" s="363"/>
      <c r="BR185" s="363"/>
      <c r="BS185" s="363"/>
      <c r="BT185" s="363"/>
      <c r="BU185" s="363"/>
      <c r="BV185" s="363"/>
      <c r="BW185" s="363"/>
      <c r="BX185" s="363"/>
      <c r="BY185" s="363"/>
      <c r="BZ185" s="363"/>
      <c r="CA185" s="363"/>
      <c r="CB185" s="363"/>
      <c r="CC185" s="363"/>
      <c r="CD185" s="363"/>
      <c r="CE185" s="363"/>
      <c r="CF185" s="363"/>
      <c r="CG185" s="363"/>
      <c r="CH185" s="363"/>
      <c r="CI185" s="363"/>
      <c r="CJ185" s="363"/>
      <c r="CK185" s="363"/>
      <c r="CL185" s="363"/>
      <c r="CM185" s="363"/>
      <c r="CN185" s="363"/>
      <c r="CO185" s="363"/>
      <c r="CP185" s="363"/>
      <c r="CQ185" s="363"/>
      <c r="CR185" s="363"/>
      <c r="CS185" s="363"/>
      <c r="CT185" s="363"/>
      <c r="CU185" s="363"/>
      <c r="CV185" s="363"/>
      <c r="CW185" s="363"/>
      <c r="CX185" s="363"/>
      <c r="CY185" s="363"/>
      <c r="CZ185" s="363"/>
      <c r="DA185" s="363"/>
      <c r="DB185" s="363"/>
      <c r="DC185" s="363"/>
      <c r="DD185" s="363"/>
      <c r="DE185" s="363"/>
      <c r="DF185" s="363"/>
      <c r="DG185" s="363"/>
      <c r="DH185" s="363"/>
      <c r="DI185" s="363"/>
      <c r="DJ185" s="363"/>
      <c r="DK185" s="1210"/>
      <c r="DL185" s="363"/>
      <c r="DM185" s="363"/>
      <c r="DN185" s="1210"/>
      <c r="DO185" s="363"/>
      <c r="DP185" s="363"/>
      <c r="DQ185" s="1210"/>
      <c r="DR185" s="363"/>
      <c r="DS185" s="363"/>
      <c r="DT185" s="1210"/>
      <c r="DU185" s="363"/>
      <c r="DV185" s="363"/>
      <c r="DW185" s="1210"/>
      <c r="DX185" s="363"/>
      <c r="DY185" s="363"/>
      <c r="DZ185" s="1210"/>
      <c r="EA185" s="363"/>
      <c r="EB185" s="363"/>
      <c r="EC185" s="1210"/>
      <c r="ED185" s="363"/>
      <c r="EE185" s="363"/>
      <c r="EF185" s="1210"/>
      <c r="EG185" s="363"/>
      <c r="EH185" s="363"/>
      <c r="EI185" s="1210"/>
      <c r="EJ185" s="363"/>
      <c r="EK185" s="363"/>
      <c r="EL185" s="1210"/>
      <c r="EM185" s="363"/>
      <c r="EN185" s="363"/>
      <c r="EO185" s="1210"/>
      <c r="EP185" s="363"/>
      <c r="EQ185" s="363"/>
      <c r="ER185" s="1210"/>
      <c r="ES185" s="363"/>
      <c r="ET185" s="363"/>
      <c r="EU185" s="1210"/>
      <c r="EV185" s="363"/>
      <c r="EW185" s="363"/>
      <c r="EX185" s="1210"/>
      <c r="EY185" s="363"/>
      <c r="EZ185" s="363"/>
      <c r="FA185" s="363"/>
    </row>
    <row r="186" spans="1:157" ht="13.35" customHeight="1">
      <c r="A186" s="5"/>
      <c r="B186" s="5" t="s">
        <v>743</v>
      </c>
      <c r="C186" s="5"/>
      <c r="D186" s="399"/>
      <c r="E186" s="363" t="str">
        <f>IF(Model!E197&lt;&gt;"",Model!E197,"")</f>
        <v/>
      </c>
      <c r="F186" s="363" t="str">
        <f>IF(Model!G197&lt;&gt;"",Model!F197,"")</f>
        <v/>
      </c>
      <c r="G186" s="363" t="str">
        <f>IF(Model!G197&lt;&gt;"",Model!G197,"")</f>
        <v/>
      </c>
      <c r="H186" s="363" t="str">
        <f>IF(Model!H197&lt;&gt;"",Model!H197,"")</f>
        <v/>
      </c>
      <c r="I186" s="363" t="str">
        <f>IF(Model!J197&lt;&gt;"",Model!I197,"")</f>
        <v/>
      </c>
      <c r="J186" s="363" t="str">
        <f>IF(Model!J197&lt;&gt;"",Model!J197,"")</f>
        <v/>
      </c>
      <c r="K186" s="363" t="str">
        <f>IF(Model!K197&lt;&gt;"",Model!K197,"")</f>
        <v/>
      </c>
      <c r="L186" s="363" t="str">
        <f>IF(Model!M197&lt;&gt;"",Model!L197,"")</f>
        <v/>
      </c>
      <c r="M186" s="363" t="str">
        <f>IF(Model!M197&lt;&gt;"",Model!M197,"")</f>
        <v/>
      </c>
      <c r="N186" s="363" t="str">
        <f>IF(Model!N197&lt;&gt;"",Model!N197,"")</f>
        <v/>
      </c>
      <c r="O186" s="363" t="str">
        <f>IF(Model!P197&lt;&gt;"",Model!O197,"")</f>
        <v/>
      </c>
      <c r="P186" s="363" t="str">
        <f>IF(Model!P197&lt;&gt;"",Model!P197,"")</f>
        <v/>
      </c>
      <c r="Q186" s="363" t="str">
        <f>IF(Model!Q197&lt;&gt;"",Model!Q197,"")</f>
        <v/>
      </c>
      <c r="R186" s="363" t="str">
        <f>IF(Model!S197&lt;&gt;"",Model!R197,"")</f>
        <v/>
      </c>
      <c r="S186" s="363" t="str">
        <f>IF(Model!S197&lt;&gt;"",Model!S197,"")</f>
        <v/>
      </c>
      <c r="T186" s="363" t="str">
        <f>IF(Model!T197&lt;&gt;"",Model!T197,"")</f>
        <v/>
      </c>
      <c r="U186" s="363" t="str">
        <f>IF(Model!V197&lt;&gt;"",Model!U197,"")</f>
        <v/>
      </c>
      <c r="V186" s="363" t="str">
        <f>IF(Model!V197&lt;&gt;"",Model!V197,"")</f>
        <v/>
      </c>
      <c r="W186" s="363" t="str">
        <f>IF(Model!W197&lt;&gt;"",Model!W197,"")</f>
        <v/>
      </c>
      <c r="X186" s="363" t="str">
        <f>IF(Model!Y197&lt;&gt;"",Model!X197,"")</f>
        <v/>
      </c>
      <c r="Y186" s="363" t="str">
        <f>IF(Model!Y197&lt;&gt;"",Model!Y197,"")</f>
        <v/>
      </c>
      <c r="Z186" s="363" t="str">
        <f>IF(Model!Z197&lt;&gt;"",Model!Z197,"")</f>
        <v/>
      </c>
      <c r="AA186" s="363" t="str">
        <f>IF(Model!AB197&lt;&gt;"",Model!AA197,"")</f>
        <v/>
      </c>
      <c r="AB186" s="363" t="str">
        <f>IF(Model!AB197&lt;&gt;"",Model!AB197,"")</f>
        <v/>
      </c>
      <c r="AC186" s="363" t="str">
        <f>IF(Model!AC197&lt;&gt;"",Model!AC197,"")</f>
        <v/>
      </c>
      <c r="AD186" s="363" t="str">
        <f>IF(Model!AE197&lt;&gt;"",Model!AD197,"")</f>
        <v/>
      </c>
      <c r="AE186" s="363" t="str">
        <f>IF(Model!AE197&lt;&gt;"",Model!AE197,"")</f>
        <v/>
      </c>
      <c r="AF186" s="363" t="str">
        <f>IF(Model!AF197&lt;&gt;"",Model!AF197,"")</f>
        <v/>
      </c>
      <c r="AG186" s="363" t="str">
        <f>IF(Model!AH197&lt;&gt;"",Model!AG197,"")</f>
        <v/>
      </c>
      <c r="AH186" s="363" t="str">
        <f>IF(Model!AH197&lt;&gt;"",Model!AH197,"")</f>
        <v/>
      </c>
      <c r="AI186" s="363" t="str">
        <f>IF(Model!AI197&lt;&gt;"",Model!AI197,"")</f>
        <v/>
      </c>
      <c r="AJ186" s="363" t="str">
        <f>IF(Model!AK197&lt;&gt;"",Model!AJ197,"")</f>
        <v/>
      </c>
      <c r="AK186" s="363" t="str">
        <f>IF(Model!AK197&lt;&gt;"",Model!AK197,"")</f>
        <v/>
      </c>
      <c r="AL186" s="363" t="str">
        <f>IF(Model!AL197&lt;&gt;"",Model!AL197,"")</f>
        <v/>
      </c>
      <c r="AM186" s="363" t="str">
        <f>IF(Model!AN197&lt;&gt;"",Model!AM197,"")</f>
        <v/>
      </c>
      <c r="AN186" s="363" t="str">
        <f>IF(Model!AN197&lt;&gt;"",Model!AN197,"")</f>
        <v/>
      </c>
      <c r="AO186" s="363" t="str">
        <f>IF(Model!AO197&lt;&gt;"",Model!AO197,"")</f>
        <v/>
      </c>
      <c r="AP186" s="363" t="str">
        <f>IF(Model!AQ197&lt;&gt;"",Model!AP197,"")</f>
        <v/>
      </c>
      <c r="AQ186" s="363" t="str">
        <f>IF(Model!AQ197&lt;&gt;"",Model!AQ197,"")</f>
        <v/>
      </c>
      <c r="AR186" s="363" t="str">
        <f>IF(Model!AR197&lt;&gt;"",Model!AR197,"")</f>
        <v/>
      </c>
      <c r="AS186" s="363" t="str">
        <f>IF(Model!AT197&lt;&gt;"",Model!AS197,"")</f>
        <v/>
      </c>
      <c r="AT186" s="363" t="str">
        <f>IF(Model!AT197&lt;&gt;"",Model!AT197,"")</f>
        <v/>
      </c>
      <c r="AU186" s="363" t="str">
        <f>IF(Model!AU197&lt;&gt;"",Model!AU197,"")</f>
        <v/>
      </c>
      <c r="AV186" s="363" t="str">
        <f>IF(Model!AW197&lt;&gt;"",Model!AV197,"")</f>
        <v/>
      </c>
      <c r="AW186" s="363" t="str">
        <f>IF(Model!AW197&lt;&gt;"",Model!AW197,"")</f>
        <v/>
      </c>
      <c r="AX186" s="363">
        <f>IF(Model!AX197&lt;&gt;"",Model!AX197,"")</f>
        <v>0</v>
      </c>
      <c r="AY186" s="363">
        <f>IF(Model!AZ197&lt;&gt;"",Model!AY197,"")</f>
        <v>0</v>
      </c>
      <c r="AZ186" s="363">
        <f>IF(Model!AZ197&lt;&gt;"",Model!AZ197,"")</f>
        <v>0</v>
      </c>
      <c r="BA186" s="363">
        <f>IF(Model!BA197&lt;&gt;"",Model!BA197,"")</f>
        <v>0</v>
      </c>
      <c r="BB186" s="363">
        <f>IF(Model!BC197&lt;&gt;"",Model!BB197,"")</f>
        <v>0</v>
      </c>
      <c r="BC186" s="363">
        <f>IF(Model!BC197&lt;&gt;"",Model!BC197,"")</f>
        <v>0</v>
      </c>
      <c r="BD186" s="363"/>
      <c r="BE186" s="363">
        <f>IF(Model!BF197&lt;&gt;"",Model!BE197,"")</f>
        <v>0</v>
      </c>
      <c r="BF186" s="363"/>
      <c r="BG186" s="363"/>
      <c r="BH186" s="363">
        <f>IF(Model!BI197&lt;&gt;"",Model!BH197,"")</f>
        <v>0</v>
      </c>
      <c r="BI186" s="363"/>
      <c r="BJ186" s="363"/>
      <c r="BK186" s="363">
        <f>IF(Model!BL197&lt;&gt;"",Model!BK197,"")</f>
        <v>0</v>
      </c>
      <c r="BL186" s="363"/>
      <c r="BM186" s="363"/>
      <c r="BN186" s="363">
        <f>IF(Model!BO197&lt;&gt;"",Model!BN197,"")</f>
        <v>0</v>
      </c>
      <c r="BO186" s="363"/>
      <c r="BP186" s="363"/>
      <c r="BQ186" s="363">
        <f>IF(Model!BR197&lt;&gt;"",Model!BQ197,"")</f>
        <v>0</v>
      </c>
      <c r="BR186" s="363"/>
      <c r="BS186" s="363"/>
      <c r="BT186" s="363">
        <f>IF(Model!BU197&lt;&gt;"",Model!BT197,"")</f>
        <v>7.5739999999999998</v>
      </c>
      <c r="BU186" s="363"/>
      <c r="BV186" s="363"/>
      <c r="BW186" s="363">
        <f>IF(Model!BX197&lt;&gt;"",Model!BW197,"")</f>
        <v>0</v>
      </c>
      <c r="BX186" s="363"/>
      <c r="BY186" s="363"/>
      <c r="BZ186" s="363">
        <f>IF(Model!CA197&lt;&gt;"",Model!BZ197,"")</f>
        <v>0</v>
      </c>
      <c r="CA186" s="363"/>
      <c r="CB186" s="363"/>
      <c r="CC186" s="363">
        <f>IF(Model!CD197&lt;&gt;"",Model!CC197,"")</f>
        <v>0</v>
      </c>
      <c r="CD186" s="363"/>
      <c r="CE186" s="363"/>
      <c r="CF186" s="363">
        <f>IF(Model!CG197&lt;&gt;"",Model!CF197,"")</f>
        <v>0</v>
      </c>
      <c r="CG186" s="363"/>
      <c r="CH186" s="363"/>
      <c r="CI186" s="363">
        <f>IF(Model!CJ197&lt;&gt;"",Model!CI197,"")</f>
        <v>0</v>
      </c>
      <c r="CJ186" s="363"/>
      <c r="CK186" s="363"/>
      <c r="CL186" s="363">
        <f>IF(Model!CM197&lt;&gt;"",Model!CL197,"")</f>
        <v>0</v>
      </c>
      <c r="CM186" s="363"/>
      <c r="CN186" s="363"/>
      <c r="CO186" s="363">
        <f>IF(Model!CP197&lt;&gt;"",Model!CO197,"")</f>
        <v>0</v>
      </c>
      <c r="CP186" s="363"/>
      <c r="CQ186" s="363"/>
      <c r="CR186" s="363">
        <f>IF(Model!CS197&lt;&gt;"",Model!CR197,"")</f>
        <v>0</v>
      </c>
      <c r="CS186" s="363"/>
      <c r="CT186" s="363"/>
      <c r="CU186" s="363">
        <f>IF(Model!CV197&lt;&gt;"",Model!CU197,"")</f>
        <v>0</v>
      </c>
      <c r="CV186" s="363"/>
      <c r="CW186" s="363"/>
      <c r="CX186" s="363">
        <f>IF(Model!CY197&lt;&gt;"",Model!CX197,"")</f>
        <v>0</v>
      </c>
      <c r="CY186" s="363"/>
      <c r="CZ186" s="363"/>
      <c r="DA186" s="363">
        <f>IF(Model!DB197&lt;&gt;"",Model!DA197,"")</f>
        <v>0</v>
      </c>
      <c r="DB186" s="363"/>
      <c r="DC186" s="363"/>
      <c r="DD186" s="363">
        <f>IF(Model!DE197&lt;&gt;"",Model!DD197,"")</f>
        <v>-1.3</v>
      </c>
      <c r="DE186" s="363"/>
      <c r="DF186" s="363"/>
      <c r="DG186" s="363">
        <f>IF(Model!DH197&lt;&gt;"",Model!DG197,"")</f>
        <v>0</v>
      </c>
      <c r="DH186" s="363"/>
      <c r="DI186" s="363"/>
      <c r="DJ186" s="363">
        <f>IF(Model!DK197&lt;&gt;"",Model!DJ197,"")</f>
        <v>0</v>
      </c>
      <c r="DK186" s="1210"/>
      <c r="DL186" s="363"/>
      <c r="DM186" s="363">
        <f>IF(Model!DN197&lt;&gt;"",Model!DM197,"")</f>
        <v>0</v>
      </c>
      <c r="DN186" s="1210"/>
      <c r="DO186" s="363"/>
      <c r="DP186" s="363">
        <f>IF(Model!DQ197&lt;&gt;"",Model!DP197,"")</f>
        <v>0</v>
      </c>
      <c r="DQ186" s="1210"/>
      <c r="DR186" s="363"/>
      <c r="DS186" s="363">
        <f>IF(Model!DT197&lt;&gt;"",Model!DS197,"")</f>
        <v>0</v>
      </c>
      <c r="DT186" s="1210"/>
      <c r="DU186" s="363"/>
      <c r="DV186" s="363">
        <f>IF(Model!DW197&lt;&gt;"",Model!DV197,"")</f>
        <v>0</v>
      </c>
      <c r="DW186" s="1210"/>
      <c r="DX186" s="363"/>
      <c r="DY186" s="363">
        <f>IF(Model!DZ197&lt;&gt;"",Model!DY197,"")</f>
        <v>0</v>
      </c>
      <c r="DZ186" s="1210"/>
      <c r="EA186" s="363"/>
      <c r="EB186" s="363">
        <f>IF(Model!EC197&lt;&gt;"",Model!EB197,"")</f>
        <v>0</v>
      </c>
      <c r="EC186" s="1210"/>
      <c r="ED186" s="363"/>
      <c r="EE186" s="363">
        <f>IF(Model!EF197&lt;&gt;"",Model!EE197,"")</f>
        <v>0</v>
      </c>
      <c r="EF186" s="1210"/>
      <c r="EG186" s="363"/>
      <c r="EH186" s="363">
        <f>IF(Model!EI197&lt;&gt;"",Model!EH197,"")</f>
        <v>0</v>
      </c>
      <c r="EI186" s="1210"/>
      <c r="EJ186" s="363"/>
      <c r="EK186" s="363">
        <f>IF(Model!EL197&lt;&gt;"",Model!EK197,"")</f>
        <v>0</v>
      </c>
      <c r="EL186" s="1210"/>
      <c r="EM186" s="363"/>
      <c r="EN186" s="363">
        <f>IF(Model!EO197&lt;&gt;"",Model!EN197,"")</f>
        <v>0</v>
      </c>
      <c r="EO186" s="1210"/>
      <c r="EP186" s="363"/>
      <c r="EQ186" s="363">
        <f>IF(Model!ER197&lt;&gt;"",Model!EQ197,"")</f>
        <v>0</v>
      </c>
      <c r="ER186" s="1210"/>
      <c r="ES186" s="363"/>
      <c r="ET186" s="363">
        <f>IF(Model!EU197&lt;&gt;"",Model!ET197,"")</f>
        <v>0</v>
      </c>
      <c r="EU186" s="1210"/>
      <c r="EV186" s="363"/>
      <c r="EW186" s="363">
        <f>IF(Model!EX197&lt;&gt;"",Model!EW197,"")</f>
        <v>0</v>
      </c>
      <c r="EX186" s="1210"/>
      <c r="EY186" s="363"/>
      <c r="EZ186" s="363">
        <f>IF(Model!FA197&lt;&gt;"",Model!EZ197,"")</f>
        <v>0</v>
      </c>
      <c r="FA186" s="363"/>
    </row>
    <row r="187" spans="1:157" ht="13.35" customHeight="1">
      <c r="A187" s="5"/>
      <c r="B187" s="5" t="s">
        <v>744</v>
      </c>
      <c r="C187" s="5"/>
      <c r="D187" s="399"/>
      <c r="E187" s="363" t="str">
        <f>IF(Model!E198&lt;&gt;"",Model!E198,"")</f>
        <v/>
      </c>
      <c r="F187" s="363" t="str">
        <f>IF(Model!G198&lt;&gt;"",Model!F198,"")</f>
        <v/>
      </c>
      <c r="G187" s="363" t="str">
        <f>IF(Model!G198&lt;&gt;"",Model!G198,"")</f>
        <v/>
      </c>
      <c r="H187" s="363" t="str">
        <f>IF(Model!H198&lt;&gt;"",Model!H198,"")</f>
        <v/>
      </c>
      <c r="I187" s="363" t="str">
        <f>IF(Model!J198&lt;&gt;"",Model!I198,"")</f>
        <v/>
      </c>
      <c r="J187" s="363" t="str">
        <f>IF(Model!J198&lt;&gt;"",Model!J198,"")</f>
        <v/>
      </c>
      <c r="K187" s="363" t="str">
        <f>IF(Model!K198&lt;&gt;"",Model!K198,"")</f>
        <v/>
      </c>
      <c r="L187" s="363" t="str">
        <f>IF(Model!M198&lt;&gt;"",Model!L198,"")</f>
        <v/>
      </c>
      <c r="M187" s="363" t="str">
        <f>IF(Model!M198&lt;&gt;"",Model!M198,"")</f>
        <v/>
      </c>
      <c r="N187" s="363" t="str">
        <f>IF(Model!N198&lt;&gt;"",Model!N198,"")</f>
        <v/>
      </c>
      <c r="O187" s="363" t="str">
        <f>IF(Model!P198&lt;&gt;"",Model!O198,"")</f>
        <v/>
      </c>
      <c r="P187" s="363" t="str">
        <f>IF(Model!P198&lt;&gt;"",Model!P198,"")</f>
        <v/>
      </c>
      <c r="Q187" s="363" t="str">
        <f>IF(Model!Q198&lt;&gt;"",Model!Q198,"")</f>
        <v/>
      </c>
      <c r="R187" s="363" t="str">
        <f>IF(Model!S198&lt;&gt;"",Model!R198,"")</f>
        <v/>
      </c>
      <c r="S187" s="363" t="str">
        <f>IF(Model!S198&lt;&gt;"",Model!S198,"")</f>
        <v/>
      </c>
      <c r="T187" s="363" t="str">
        <f>IF(Model!T198&lt;&gt;"",Model!T198,"")</f>
        <v/>
      </c>
      <c r="U187" s="363" t="str">
        <f>IF(Model!V198&lt;&gt;"",Model!U198,"")</f>
        <v/>
      </c>
      <c r="V187" s="363" t="str">
        <f>IF(Model!V198&lt;&gt;"",Model!V198,"")</f>
        <v/>
      </c>
      <c r="W187" s="363" t="str">
        <f>IF(Model!W198&lt;&gt;"",Model!W198,"")</f>
        <v/>
      </c>
      <c r="X187" s="363" t="str">
        <f>IF(Model!Y198&lt;&gt;"",Model!X198,"")</f>
        <v/>
      </c>
      <c r="Y187" s="363" t="str">
        <f>IF(Model!Y198&lt;&gt;"",Model!Y198,"")</f>
        <v/>
      </c>
      <c r="Z187" s="363" t="str">
        <f>IF(Model!Z198&lt;&gt;"",Model!Z198,"")</f>
        <v/>
      </c>
      <c r="AA187" s="363" t="str">
        <f>IF(Model!AB198&lt;&gt;"",Model!AA198,"")</f>
        <v/>
      </c>
      <c r="AB187" s="363" t="str">
        <f>IF(Model!AB198&lt;&gt;"",Model!AB198,"")</f>
        <v/>
      </c>
      <c r="AC187" s="363" t="str">
        <f>IF(Model!AC198&lt;&gt;"",Model!AC198,"")</f>
        <v/>
      </c>
      <c r="AD187" s="363" t="str">
        <f>IF(Model!AE198&lt;&gt;"",Model!AD198,"")</f>
        <v/>
      </c>
      <c r="AE187" s="363" t="str">
        <f>IF(Model!AE198&lt;&gt;"",Model!AE198,"")</f>
        <v/>
      </c>
      <c r="AF187" s="363" t="str">
        <f>IF(Model!AF198&lt;&gt;"",Model!AF198,"")</f>
        <v/>
      </c>
      <c r="AG187" s="363" t="str">
        <f>IF(Model!AH198&lt;&gt;"",Model!AG198,"")</f>
        <v/>
      </c>
      <c r="AH187" s="363" t="str">
        <f>IF(Model!AH198&lt;&gt;"",Model!AH198,"")</f>
        <v/>
      </c>
      <c r="AI187" s="363" t="str">
        <f>IF(Model!AI198&lt;&gt;"",Model!AI198,"")</f>
        <v/>
      </c>
      <c r="AJ187" s="363" t="str">
        <f>IF(Model!AK198&lt;&gt;"",Model!AJ198,"")</f>
        <v/>
      </c>
      <c r="AK187" s="363" t="str">
        <f>IF(Model!AK198&lt;&gt;"",Model!AK198,"")</f>
        <v/>
      </c>
      <c r="AL187" s="363">
        <f>IF(Model!AL198&lt;&gt;"",Model!AL198,"")</f>
        <v>9.2999999999999999E-2</v>
      </c>
      <c r="AM187" s="363">
        <f>IF(Model!AN198&lt;&gt;"",Model!AM198,"")</f>
        <v>4.6000000000000013E-2</v>
      </c>
      <c r="AN187" s="363">
        <f>IF(Model!AN198&lt;&gt;"",Model!AN198,"")</f>
        <v>0.13900000000000001</v>
      </c>
      <c r="AO187" s="363">
        <f>IF(Model!AO198&lt;&gt;"",Model!AO198,"")</f>
        <v>1.4E-2</v>
      </c>
      <c r="AP187" s="363">
        <f>IF(Model!AQ198&lt;&gt;"",Model!AP198,"")</f>
        <v>8.9999999999999993E-3</v>
      </c>
      <c r="AQ187" s="363">
        <f>IF(Model!AQ198&lt;&gt;"",Model!AQ198,"")</f>
        <v>2.3E-2</v>
      </c>
      <c r="AR187" s="363">
        <f>IF(Model!AR198&lt;&gt;"",Model!AR198,"")</f>
        <v>3.7999999999999999E-2</v>
      </c>
      <c r="AS187" s="363">
        <f>IF(Model!AT198&lt;&gt;"",Model!AS198,"")</f>
        <v>3.3999999999999996E-2</v>
      </c>
      <c r="AT187" s="363">
        <f>IF(Model!AT198&lt;&gt;"",Model!AT198,"")</f>
        <v>7.1999999999999995E-2</v>
      </c>
      <c r="AU187" s="363" t="str">
        <f>IF(Model!AU198&lt;&gt;"",Model!AU198,"")</f>
        <v/>
      </c>
      <c r="AV187" s="363" t="str">
        <f>IF(Model!AW198&lt;&gt;"",Model!AV198,"")</f>
        <v/>
      </c>
      <c r="AW187" s="363" t="str">
        <f>IF(Model!AW198&lt;&gt;"",Model!AW198,"")</f>
        <v/>
      </c>
      <c r="AX187" s="363">
        <f>IF(Model!AX198&lt;&gt;"",Model!AX198,"")</f>
        <v>0</v>
      </c>
      <c r="AY187" s="363">
        <f>IF(Model!AZ198&lt;&gt;"",Model!AY198,"")</f>
        <v>0</v>
      </c>
      <c r="AZ187" s="363">
        <f>IF(Model!AZ198&lt;&gt;"",Model!AZ198,"")</f>
        <v>0</v>
      </c>
      <c r="BA187" s="363">
        <f>IF(Model!BA198&lt;&gt;"",Model!BA198,"")</f>
        <v>0</v>
      </c>
      <c r="BB187" s="363">
        <f>IF(Model!BC198&lt;&gt;"",Model!BB198,"")</f>
        <v>0</v>
      </c>
      <c r="BC187" s="363">
        <f>IF(Model!BC198&lt;&gt;"",Model!BC198,"")</f>
        <v>0</v>
      </c>
      <c r="BD187" s="363"/>
      <c r="BE187" s="363">
        <f>IF(Model!BF198&lt;&gt;"",Model!BE198,"")</f>
        <v>0</v>
      </c>
      <c r="BF187" s="363"/>
      <c r="BG187" s="363"/>
      <c r="BH187" s="363">
        <f>IF(Model!BI198&lt;&gt;"",Model!BH198,"")</f>
        <v>0</v>
      </c>
      <c r="BI187" s="363"/>
      <c r="BJ187" s="363"/>
      <c r="BK187" s="363">
        <f>IF(Model!BL198&lt;&gt;"",Model!BK198,"")</f>
        <v>0</v>
      </c>
      <c r="BL187" s="363"/>
      <c r="BM187" s="363"/>
      <c r="BN187" s="363">
        <f>IF(Model!BO198&lt;&gt;"",Model!BN198,"")</f>
        <v>0</v>
      </c>
      <c r="BO187" s="363"/>
      <c r="BP187" s="363"/>
      <c r="BQ187" s="363">
        <f>IF(Model!BR198&lt;&gt;"",Model!BQ198,"")</f>
        <v>0</v>
      </c>
      <c r="BR187" s="363"/>
      <c r="BS187" s="363"/>
      <c r="BT187" s="363">
        <f>IF(Model!BU198&lt;&gt;"",Model!BT198,"")</f>
        <v>0</v>
      </c>
      <c r="BU187" s="363"/>
      <c r="BV187" s="363"/>
      <c r="BW187" s="363">
        <f>IF(Model!BX198&lt;&gt;"",Model!BW198,"")</f>
        <v>0</v>
      </c>
      <c r="BX187" s="363"/>
      <c r="BY187" s="363"/>
      <c r="BZ187" s="363">
        <f>IF(Model!CA198&lt;&gt;"",Model!BZ198,"")</f>
        <v>0</v>
      </c>
      <c r="CA187" s="363"/>
      <c r="CB187" s="363"/>
      <c r="CC187" s="363">
        <f>IF(Model!CD198&lt;&gt;"",Model!CC198,"")</f>
        <v>0</v>
      </c>
      <c r="CD187" s="363"/>
      <c r="CE187" s="363"/>
      <c r="CF187" s="363">
        <f>IF(Model!CG198&lt;&gt;"",Model!CF198,"")</f>
        <v>0</v>
      </c>
      <c r="CG187" s="363"/>
      <c r="CH187" s="363"/>
      <c r="CI187" s="363">
        <f>IF(Model!CJ198&lt;&gt;"",Model!CI198,"")</f>
        <v>0</v>
      </c>
      <c r="CJ187" s="363"/>
      <c r="CK187" s="363"/>
      <c r="CL187" s="363">
        <f>IF(Model!CM198&lt;&gt;"",Model!CL198,"")</f>
        <v>0</v>
      </c>
      <c r="CM187" s="363"/>
      <c r="CN187" s="363"/>
      <c r="CO187" s="363">
        <f>IF(Model!CP198&lt;&gt;"",Model!CO198,"")</f>
        <v>0</v>
      </c>
      <c r="CP187" s="363"/>
      <c r="CQ187" s="363"/>
      <c r="CR187" s="363">
        <f>IF(Model!CS198&lt;&gt;"",Model!CR198,"")</f>
        <v>0</v>
      </c>
      <c r="CS187" s="363"/>
      <c r="CT187" s="363"/>
      <c r="CU187" s="363">
        <f>IF(Model!CV198&lt;&gt;"",Model!CU198,"")</f>
        <v>-12.58</v>
      </c>
      <c r="CV187" s="363"/>
      <c r="CW187" s="363"/>
      <c r="CX187" s="363">
        <f>IF(Model!CY198&lt;&gt;"",Model!CX198,"")</f>
        <v>-0.82100000000000006</v>
      </c>
      <c r="CY187" s="363"/>
      <c r="CZ187" s="363"/>
      <c r="DA187" s="363">
        <f>IF(Model!DB198&lt;&gt;"",Model!DA198,"")</f>
        <v>0</v>
      </c>
      <c r="DB187" s="363"/>
      <c r="DC187" s="363"/>
      <c r="DD187" s="363">
        <f>IF(Model!DE198&lt;&gt;"",Model!DD198,"")</f>
        <v>0</v>
      </c>
      <c r="DE187" s="363"/>
      <c r="DF187" s="363"/>
      <c r="DG187" s="363">
        <f>IF(Model!DH198&lt;&gt;"",Model!DG198,"")</f>
        <v>0</v>
      </c>
      <c r="DH187" s="363"/>
      <c r="DI187" s="363"/>
      <c r="DJ187" s="363">
        <f>IF(Model!DK198&lt;&gt;"",Model!DJ198,"")</f>
        <v>0</v>
      </c>
      <c r="DK187" s="1210"/>
      <c r="DL187" s="363"/>
      <c r="DM187" s="363">
        <f>IF(Model!DN198&lt;&gt;"",Model!DM198,"")</f>
        <v>0</v>
      </c>
      <c r="DN187" s="1210"/>
      <c r="DO187" s="363"/>
      <c r="DP187" s="363">
        <f>IF(Model!DQ198&lt;&gt;"",Model!DP198,"")</f>
        <v>0</v>
      </c>
      <c r="DQ187" s="1210"/>
      <c r="DR187" s="363"/>
      <c r="DS187" s="363">
        <f>IF(Model!DT198&lt;&gt;"",Model!DS198,"")</f>
        <v>0</v>
      </c>
      <c r="DT187" s="1210"/>
      <c r="DU187" s="363"/>
      <c r="DV187" s="363">
        <f>IF(Model!DW198&lt;&gt;"",Model!DV198,"")</f>
        <v>0</v>
      </c>
      <c r="DW187" s="1210"/>
      <c r="DX187" s="363"/>
      <c r="DY187" s="363">
        <f>IF(Model!DZ198&lt;&gt;"",Model!DY198,"")</f>
        <v>0</v>
      </c>
      <c r="DZ187" s="1210"/>
      <c r="EA187" s="363"/>
      <c r="EB187" s="363">
        <f>IF(Model!EC198&lt;&gt;"",Model!EB198,"")</f>
        <v>0</v>
      </c>
      <c r="EC187" s="1210"/>
      <c r="ED187" s="363"/>
      <c r="EE187" s="363">
        <f>IF(Model!EF198&lt;&gt;"",Model!EE198,"")</f>
        <v>0</v>
      </c>
      <c r="EF187" s="1210"/>
      <c r="EG187" s="363"/>
      <c r="EH187" s="363">
        <f>IF(Model!EI198&lt;&gt;"",Model!EH198,"")</f>
        <v>0</v>
      </c>
      <c r="EI187" s="1210"/>
      <c r="EJ187" s="363"/>
      <c r="EK187" s="363">
        <f>IF(Model!EL198&lt;&gt;"",Model!EK198,"")</f>
        <v>0</v>
      </c>
      <c r="EL187" s="1210"/>
      <c r="EM187" s="363"/>
      <c r="EN187" s="363">
        <f>IF(Model!EO198&lt;&gt;"",Model!EN198,"")</f>
        <v>0</v>
      </c>
      <c r="EO187" s="1210"/>
      <c r="EP187" s="363"/>
      <c r="EQ187" s="363">
        <f>IF(Model!ER198&lt;&gt;"",Model!EQ198,"")</f>
        <v>0</v>
      </c>
      <c r="ER187" s="1210"/>
      <c r="ES187" s="363"/>
      <c r="ET187" s="363">
        <f>IF(Model!EU198&lt;&gt;"",Model!ET198,"")</f>
        <v>0</v>
      </c>
      <c r="EU187" s="1210"/>
      <c r="EV187" s="363"/>
      <c r="EW187" s="363">
        <f>IF(Model!EX198&lt;&gt;"",Model!EW198,"")</f>
        <v>0</v>
      </c>
      <c r="EX187" s="1210"/>
      <c r="EY187" s="363"/>
      <c r="EZ187" s="363">
        <f>IF(Model!FA198&lt;&gt;"",Model!EZ198,"")</f>
        <v>0</v>
      </c>
      <c r="FA187" s="363"/>
    </row>
    <row r="188" spans="1:157" ht="13.35" customHeight="1">
      <c r="A188" s="5"/>
      <c r="B188" s="5" t="s">
        <v>745</v>
      </c>
      <c r="C188" s="5"/>
      <c r="D188" s="399"/>
      <c r="E188" s="363"/>
      <c r="F188" s="363"/>
      <c r="G188" s="363"/>
      <c r="H188" s="363"/>
      <c r="I188" s="363"/>
      <c r="J188" s="363"/>
      <c r="K188" s="363"/>
      <c r="L188" s="363"/>
      <c r="M188" s="363"/>
      <c r="N188" s="363"/>
      <c r="O188" s="363"/>
      <c r="P188" s="363"/>
      <c r="Q188" s="363"/>
      <c r="R188" s="363"/>
      <c r="S188" s="363"/>
      <c r="T188" s="363"/>
      <c r="U188" s="363"/>
      <c r="V188" s="363"/>
      <c r="W188" s="363"/>
      <c r="X188" s="363"/>
      <c r="Y188" s="363"/>
      <c r="Z188" s="363"/>
      <c r="AA188" s="363"/>
      <c r="AB188" s="363"/>
      <c r="AC188" s="363"/>
      <c r="AD188" s="363"/>
      <c r="AE188" s="363"/>
      <c r="AF188" s="363"/>
      <c r="AG188" s="363"/>
      <c r="AH188" s="363"/>
      <c r="AI188" s="363"/>
      <c r="AJ188" s="363"/>
      <c r="AK188" s="363"/>
      <c r="AL188" s="363"/>
      <c r="AM188" s="363"/>
      <c r="AN188" s="363"/>
      <c r="AO188" s="363"/>
      <c r="AP188" s="363"/>
      <c r="AQ188" s="363"/>
      <c r="AR188" s="363"/>
      <c r="AS188" s="363"/>
      <c r="AT188" s="363"/>
      <c r="AU188" s="363"/>
      <c r="AV188" s="363"/>
      <c r="AW188" s="363"/>
      <c r="AX188" s="363"/>
      <c r="AY188" s="363"/>
      <c r="AZ188" s="363"/>
      <c r="BA188" s="363"/>
      <c r="BB188" s="363"/>
      <c r="BC188" s="363"/>
      <c r="BD188" s="363"/>
      <c r="BE188" s="363"/>
      <c r="BF188" s="363"/>
      <c r="BG188" s="363"/>
      <c r="BH188" s="363"/>
      <c r="BI188" s="363"/>
      <c r="BJ188" s="363"/>
      <c r="BK188" s="363"/>
      <c r="BL188" s="363"/>
      <c r="BM188" s="363"/>
      <c r="BN188" s="363"/>
      <c r="BO188" s="363"/>
      <c r="BP188" s="363"/>
      <c r="BQ188" s="363"/>
      <c r="BR188" s="363"/>
      <c r="BS188" s="363"/>
      <c r="BT188" s="363"/>
      <c r="BU188" s="363"/>
      <c r="BV188" s="363"/>
      <c r="BW188" s="363"/>
      <c r="BX188" s="363"/>
      <c r="BY188" s="363"/>
      <c r="BZ188" s="363"/>
      <c r="CA188" s="363"/>
      <c r="CB188" s="363"/>
      <c r="CC188" s="363"/>
      <c r="CD188" s="363"/>
      <c r="CE188" s="363"/>
      <c r="CF188" s="363"/>
      <c r="CG188" s="363"/>
      <c r="CH188" s="363"/>
      <c r="CI188" s="363"/>
      <c r="CJ188" s="363"/>
      <c r="CK188" s="363"/>
      <c r="CL188" s="363"/>
      <c r="CM188" s="363"/>
      <c r="CN188" s="363"/>
      <c r="CO188" s="363"/>
      <c r="CP188" s="363"/>
      <c r="CQ188" s="363"/>
      <c r="CR188" s="363"/>
      <c r="CS188" s="363"/>
      <c r="CT188" s="363"/>
      <c r="CU188" s="363"/>
      <c r="CV188" s="363"/>
      <c r="CW188" s="363"/>
      <c r="CX188" s="363"/>
      <c r="CY188" s="363"/>
      <c r="CZ188" s="363"/>
      <c r="DA188" s="363"/>
      <c r="DB188" s="363"/>
      <c r="DC188" s="363"/>
      <c r="DD188" s="363"/>
      <c r="DE188" s="363"/>
      <c r="DF188" s="363"/>
      <c r="DG188" s="363"/>
      <c r="DH188" s="363"/>
      <c r="DI188" s="363"/>
      <c r="DJ188" s="363"/>
      <c r="DK188" s="1210"/>
      <c r="DL188" s="363"/>
      <c r="DM188" s="363"/>
      <c r="DN188" s="1210"/>
      <c r="DO188" s="363"/>
      <c r="DP188" s="363"/>
      <c r="DQ188" s="1210"/>
      <c r="DR188" s="363"/>
      <c r="DS188" s="363"/>
      <c r="DT188" s="1210"/>
      <c r="DU188" s="363"/>
      <c r="DV188" s="363"/>
      <c r="DW188" s="1210"/>
      <c r="DX188" s="363"/>
      <c r="DY188" s="363"/>
      <c r="DZ188" s="1210"/>
      <c r="EA188" s="363"/>
      <c r="EB188" s="363"/>
      <c r="EC188" s="1210"/>
      <c r="ED188" s="363"/>
      <c r="EE188" s="363"/>
      <c r="EF188" s="1210"/>
      <c r="EG188" s="363"/>
      <c r="EH188" s="363"/>
      <c r="EI188" s="1210"/>
      <c r="EJ188" s="363"/>
      <c r="EK188" s="363"/>
      <c r="EL188" s="1210"/>
      <c r="EM188" s="363"/>
      <c r="EN188" s="363"/>
      <c r="EO188" s="1210"/>
      <c r="EP188" s="363"/>
      <c r="EQ188" s="363"/>
      <c r="ER188" s="1210"/>
      <c r="ES188" s="363"/>
      <c r="ET188" s="363"/>
      <c r="EU188" s="1210"/>
      <c r="EV188" s="363"/>
      <c r="EW188" s="363"/>
      <c r="EX188" s="1210"/>
      <c r="EY188" s="363"/>
      <c r="EZ188" s="363"/>
      <c r="FA188" s="363"/>
    </row>
    <row r="189" spans="1:157" ht="13.35" customHeight="1">
      <c r="A189" s="5"/>
      <c r="B189" s="401" t="s">
        <v>746</v>
      </c>
      <c r="C189" s="401"/>
      <c r="D189" s="5"/>
      <c r="E189" s="363" t="str">
        <f t="shared" ref="E189:N189" si="406">IF(OR(E190&lt;&gt;"",E191&lt;&gt;"",E192&lt;&gt;""),SUM(E190:E192),"")</f>
        <v/>
      </c>
      <c r="F189" s="363" t="str">
        <f t="shared" si="406"/>
        <v/>
      </c>
      <c r="G189" s="363" t="str">
        <f t="shared" si="406"/>
        <v/>
      </c>
      <c r="H189" s="363" t="str">
        <f t="shared" si="406"/>
        <v/>
      </c>
      <c r="I189" s="363" t="str">
        <f t="shared" si="406"/>
        <v/>
      </c>
      <c r="J189" s="363" t="str">
        <f t="shared" si="406"/>
        <v/>
      </c>
      <c r="K189" s="363" t="str">
        <f t="shared" si="406"/>
        <v/>
      </c>
      <c r="L189" s="363" t="str">
        <f t="shared" si="406"/>
        <v/>
      </c>
      <c r="M189" s="363" t="str">
        <f t="shared" si="406"/>
        <v/>
      </c>
      <c r="N189" s="363" t="str">
        <f t="shared" si="406"/>
        <v/>
      </c>
      <c r="O189" s="363" t="str">
        <f t="shared" ref="O189:X189" si="407">IF(OR(O190&lt;&gt;"",O191&lt;&gt;"",O192&lt;&gt;""),SUM(O190:O192),"")</f>
        <v/>
      </c>
      <c r="P189" s="363" t="str">
        <f t="shared" si="407"/>
        <v/>
      </c>
      <c r="Q189" s="363" t="str">
        <f t="shared" si="407"/>
        <v/>
      </c>
      <c r="R189" s="363" t="str">
        <f t="shared" si="407"/>
        <v/>
      </c>
      <c r="S189" s="363" t="str">
        <f t="shared" si="407"/>
        <v/>
      </c>
      <c r="T189" s="363" t="str">
        <f t="shared" si="407"/>
        <v/>
      </c>
      <c r="U189" s="363" t="str">
        <f t="shared" si="407"/>
        <v/>
      </c>
      <c r="V189" s="363" t="str">
        <f t="shared" si="407"/>
        <v/>
      </c>
      <c r="W189" s="363" t="str">
        <f t="shared" si="407"/>
        <v/>
      </c>
      <c r="X189" s="363" t="str">
        <f t="shared" si="407"/>
        <v/>
      </c>
      <c r="Y189" s="363" t="str">
        <f t="shared" ref="Y189:AH189" si="408">IF(OR(Y190&lt;&gt;"",Y191&lt;&gt;"",Y192&lt;&gt;""),SUM(Y190:Y192),"")</f>
        <v/>
      </c>
      <c r="Z189" s="363" t="str">
        <f t="shared" si="408"/>
        <v/>
      </c>
      <c r="AA189" s="363" t="str">
        <f t="shared" si="408"/>
        <v/>
      </c>
      <c r="AB189" s="363" t="str">
        <f t="shared" si="408"/>
        <v/>
      </c>
      <c r="AC189" s="363" t="str">
        <f t="shared" si="408"/>
        <v/>
      </c>
      <c r="AD189" s="363" t="str">
        <f t="shared" si="408"/>
        <v/>
      </c>
      <c r="AE189" s="363" t="str">
        <f t="shared" si="408"/>
        <v/>
      </c>
      <c r="AF189" s="363" t="str">
        <f t="shared" si="408"/>
        <v/>
      </c>
      <c r="AG189" s="363" t="str">
        <f t="shared" si="408"/>
        <v/>
      </c>
      <c r="AH189" s="363" t="str">
        <f t="shared" si="408"/>
        <v/>
      </c>
      <c r="AI189" s="363" t="str">
        <f t="shared" ref="AI189:AU189" si="409">IF(OR(AI190&lt;&gt;"",AI191&lt;&gt;"",AI192&lt;&gt;""),SUM(AI190:AI192),"")</f>
        <v/>
      </c>
      <c r="AJ189" s="363" t="str">
        <f t="shared" si="409"/>
        <v/>
      </c>
      <c r="AK189" s="363" t="str">
        <f t="shared" si="409"/>
        <v/>
      </c>
      <c r="AL189" s="363" t="str">
        <f t="shared" si="409"/>
        <v/>
      </c>
      <c r="AM189" s="363" t="str">
        <f t="shared" si="409"/>
        <v/>
      </c>
      <c r="AN189" s="363" t="str">
        <f t="shared" si="409"/>
        <v/>
      </c>
      <c r="AO189" s="363" t="str">
        <f t="shared" si="409"/>
        <v/>
      </c>
      <c r="AP189" s="363" t="str">
        <f t="shared" si="409"/>
        <v/>
      </c>
      <c r="AQ189" s="363" t="str">
        <f t="shared" si="409"/>
        <v/>
      </c>
      <c r="AR189" s="363" t="str">
        <f t="shared" si="409"/>
        <v/>
      </c>
      <c r="AS189" s="363" t="str">
        <f t="shared" si="409"/>
        <v/>
      </c>
      <c r="AT189" s="363" t="str">
        <f t="shared" si="409"/>
        <v/>
      </c>
      <c r="AU189" s="363" t="str">
        <f t="shared" si="409"/>
        <v/>
      </c>
      <c r="AV189" s="363" t="str">
        <f t="shared" ref="AV189:BC189" si="410">IF(OR(AV190&lt;&gt;"",AV191&lt;&gt;"",AV192&lt;&gt;""),SUM(AV190:AV192),"")</f>
        <v/>
      </c>
      <c r="AW189" s="363" t="str">
        <f t="shared" si="410"/>
        <v/>
      </c>
      <c r="AX189" s="363">
        <f t="shared" si="410"/>
        <v>0</v>
      </c>
      <c r="AY189" s="363">
        <f t="shared" si="410"/>
        <v>0</v>
      </c>
      <c r="AZ189" s="363">
        <f t="shared" si="410"/>
        <v>0</v>
      </c>
      <c r="BA189" s="363">
        <f t="shared" si="410"/>
        <v>0</v>
      </c>
      <c r="BB189" s="363">
        <f t="shared" si="410"/>
        <v>0</v>
      </c>
      <c r="BC189" s="363">
        <f t="shared" si="410"/>
        <v>0</v>
      </c>
      <c r="BD189" s="363">
        <f t="shared" ref="BD189:BO189" si="411">IF(OR(BD190&lt;&gt;"",BD191&lt;&gt;"",BD192&lt;&gt;""),SUM(BD190:BD192),"")</f>
        <v>-4.3</v>
      </c>
      <c r="BE189" s="363">
        <f t="shared" si="411"/>
        <v>0</v>
      </c>
      <c r="BF189" s="363">
        <f t="shared" si="411"/>
        <v>-4.3</v>
      </c>
      <c r="BG189" s="363" t="str">
        <f t="shared" si="411"/>
        <v/>
      </c>
      <c r="BH189" s="363">
        <f t="shared" si="411"/>
        <v>0</v>
      </c>
      <c r="BI189" s="363" t="str">
        <f t="shared" si="411"/>
        <v/>
      </c>
      <c r="BJ189" s="363" t="str">
        <f t="shared" si="411"/>
        <v/>
      </c>
      <c r="BK189" s="363">
        <f t="shared" si="411"/>
        <v>0</v>
      </c>
      <c r="BL189" s="363" t="str">
        <f t="shared" si="411"/>
        <v/>
      </c>
      <c r="BM189" s="363" t="str">
        <f t="shared" si="411"/>
        <v/>
      </c>
      <c r="BN189" s="363">
        <f t="shared" si="411"/>
        <v>-4.375</v>
      </c>
      <c r="BO189" s="363" t="str">
        <f t="shared" si="411"/>
        <v/>
      </c>
      <c r="BP189" s="363" t="str">
        <f t="shared" ref="BP189:DK189" si="412">IF(OR(BP190&lt;&gt;"",BP191&lt;&gt;"",BP192&lt;&gt;""),SUM(BP190:BP192),"")</f>
        <v/>
      </c>
      <c r="BQ189" s="363">
        <f t="shared" si="412"/>
        <v>-0.17899999999999999</v>
      </c>
      <c r="BR189" s="363" t="str">
        <f t="shared" si="412"/>
        <v/>
      </c>
      <c r="BS189" s="363" t="str">
        <f t="shared" si="412"/>
        <v/>
      </c>
      <c r="BT189" s="363">
        <f t="shared" si="412"/>
        <v>-0.375</v>
      </c>
      <c r="BU189" s="363" t="str">
        <f t="shared" si="412"/>
        <v/>
      </c>
      <c r="BV189" s="363" t="str">
        <f t="shared" si="412"/>
        <v/>
      </c>
      <c r="BW189" s="363">
        <f t="shared" si="412"/>
        <v>0</v>
      </c>
      <c r="BX189" s="363" t="str">
        <f t="shared" si="412"/>
        <v/>
      </c>
      <c r="BY189" s="363" t="str">
        <f t="shared" si="412"/>
        <v/>
      </c>
      <c r="BZ189" s="363">
        <f t="shared" si="412"/>
        <v>-17.437000000000001</v>
      </c>
      <c r="CA189" s="363" t="str">
        <f t="shared" si="412"/>
        <v/>
      </c>
      <c r="CB189" s="363" t="str">
        <f t="shared" si="412"/>
        <v/>
      </c>
      <c r="CC189" s="363">
        <f t="shared" si="412"/>
        <v>-1.5339999999999998</v>
      </c>
      <c r="CD189" s="363" t="str">
        <f t="shared" si="412"/>
        <v/>
      </c>
      <c r="CE189" s="363">
        <f t="shared" si="412"/>
        <v>-3.6920000000000002</v>
      </c>
      <c r="CF189" s="363">
        <f t="shared" si="412"/>
        <v>-0.52099999999999991</v>
      </c>
      <c r="CG189" s="363">
        <f t="shared" si="412"/>
        <v>-3.6920000000000002</v>
      </c>
      <c r="CH189" s="363" t="str">
        <f t="shared" si="412"/>
        <v/>
      </c>
      <c r="CI189" s="363">
        <f t="shared" si="412"/>
        <v>3.7519999999999998</v>
      </c>
      <c r="CJ189" s="363" t="str">
        <f t="shared" si="412"/>
        <v/>
      </c>
      <c r="CK189" s="363" t="str">
        <f t="shared" si="412"/>
        <v/>
      </c>
      <c r="CL189" s="363">
        <f t="shared" si="412"/>
        <v>0</v>
      </c>
      <c r="CM189" s="363" t="str">
        <f t="shared" si="412"/>
        <v/>
      </c>
      <c r="CN189" s="363" t="str">
        <f t="shared" si="412"/>
        <v/>
      </c>
      <c r="CO189" s="363">
        <f t="shared" si="412"/>
        <v>0</v>
      </c>
      <c r="CP189" s="363" t="str">
        <f t="shared" si="412"/>
        <v/>
      </c>
      <c r="CQ189" s="363" t="str">
        <f t="shared" si="412"/>
        <v/>
      </c>
      <c r="CR189" s="363">
        <f t="shared" si="412"/>
        <v>0</v>
      </c>
      <c r="CS189" s="363" t="str">
        <f t="shared" si="412"/>
        <v/>
      </c>
      <c r="CT189" s="363" t="str">
        <f t="shared" si="412"/>
        <v/>
      </c>
      <c r="CU189" s="363">
        <f t="shared" si="412"/>
        <v>-1.1399999999999999</v>
      </c>
      <c r="CV189" s="363" t="str">
        <f t="shared" si="412"/>
        <v/>
      </c>
      <c r="CW189" s="363" t="str">
        <f t="shared" si="412"/>
        <v/>
      </c>
      <c r="CX189" s="363">
        <f t="shared" si="412"/>
        <v>-8.2279999999999998</v>
      </c>
      <c r="CY189" s="363" t="str">
        <f t="shared" si="412"/>
        <v/>
      </c>
      <c r="CZ189" s="363" t="str">
        <f t="shared" si="412"/>
        <v/>
      </c>
      <c r="DA189" s="363">
        <f t="shared" si="412"/>
        <v>-5.0999999999999996</v>
      </c>
      <c r="DB189" s="363" t="str">
        <f t="shared" si="412"/>
        <v/>
      </c>
      <c r="DC189" s="363" t="str">
        <f t="shared" si="412"/>
        <v/>
      </c>
      <c r="DD189" s="363">
        <f t="shared" si="412"/>
        <v>-28</v>
      </c>
      <c r="DE189" s="363" t="str">
        <f t="shared" si="412"/>
        <v/>
      </c>
      <c r="DF189" s="363" t="str">
        <f t="shared" si="412"/>
        <v/>
      </c>
      <c r="DG189" s="363">
        <f t="shared" si="412"/>
        <v>-8.3000000000000007</v>
      </c>
      <c r="DH189" s="363" t="str">
        <f t="shared" si="412"/>
        <v/>
      </c>
      <c r="DI189" s="363" t="str">
        <f t="shared" si="412"/>
        <v/>
      </c>
      <c r="DJ189" s="363">
        <f t="shared" si="412"/>
        <v>0</v>
      </c>
      <c r="DK189" s="1210" t="str">
        <f t="shared" si="412"/>
        <v/>
      </c>
      <c r="DL189" s="363" t="str">
        <f t="shared" ref="DL189:DQ189" si="413">IF(OR(DL190&lt;&gt;"",DL191&lt;&gt;"",DL192&lt;&gt;""),SUM(DL190:DL192),"")</f>
        <v/>
      </c>
      <c r="DM189" s="363">
        <f t="shared" si="413"/>
        <v>0</v>
      </c>
      <c r="DN189" s="1210" t="str">
        <f t="shared" si="413"/>
        <v/>
      </c>
      <c r="DO189" s="363" t="str">
        <f t="shared" si="413"/>
        <v/>
      </c>
      <c r="DP189" s="363">
        <f t="shared" si="413"/>
        <v>0</v>
      </c>
      <c r="DQ189" s="1210" t="str">
        <f t="shared" si="413"/>
        <v/>
      </c>
      <c r="DR189" s="363" t="str">
        <f t="shared" ref="DR189:DU189" si="414">IF(OR(DR190&lt;&gt;"",DR191&lt;&gt;"",DR192&lt;&gt;""),SUM(DR190:DR192),"")</f>
        <v/>
      </c>
      <c r="DS189" s="363">
        <f t="shared" si="414"/>
        <v>0</v>
      </c>
      <c r="DT189" s="1210" t="str">
        <f t="shared" si="414"/>
        <v/>
      </c>
      <c r="DU189" s="363" t="str">
        <f t="shared" si="414"/>
        <v/>
      </c>
      <c r="DV189" s="363">
        <f t="shared" ref="DV189:DW189" si="415">IF(OR(DV190&lt;&gt;"",DV191&lt;&gt;"",DV192&lt;&gt;""),SUM(DV190:DV192),"")</f>
        <v>0</v>
      </c>
      <c r="DW189" s="1210" t="str">
        <f t="shared" si="415"/>
        <v/>
      </c>
      <c r="DX189" s="363" t="str">
        <f t="shared" ref="DX189:EF189" si="416">IF(OR(DX190&lt;&gt;"",DX191&lt;&gt;"",DX192&lt;&gt;""),SUM(DX190:DX192),"")</f>
        <v/>
      </c>
      <c r="DY189" s="363">
        <f t="shared" si="416"/>
        <v>0</v>
      </c>
      <c r="DZ189" s="1210" t="str">
        <f t="shared" si="416"/>
        <v/>
      </c>
      <c r="EA189" s="363" t="str">
        <f t="shared" si="416"/>
        <v/>
      </c>
      <c r="EB189" s="363">
        <f t="shared" si="416"/>
        <v>0</v>
      </c>
      <c r="EC189" s="1210" t="str">
        <f t="shared" si="416"/>
        <v/>
      </c>
      <c r="ED189" s="363" t="str">
        <f t="shared" si="416"/>
        <v/>
      </c>
      <c r="EE189" s="363">
        <f t="shared" si="416"/>
        <v>0</v>
      </c>
      <c r="EF189" s="1210" t="str">
        <f t="shared" si="416"/>
        <v/>
      </c>
      <c r="EG189" s="363" t="str">
        <f t="shared" ref="EG189:EL189" si="417">IF(OR(EG190&lt;&gt;"",EG191&lt;&gt;"",EG192&lt;&gt;""),SUM(EG190:EG192),"")</f>
        <v/>
      </c>
      <c r="EH189" s="363">
        <f t="shared" si="417"/>
        <v>0</v>
      </c>
      <c r="EI189" s="1210" t="str">
        <f t="shared" si="417"/>
        <v/>
      </c>
      <c r="EJ189" s="363" t="str">
        <f t="shared" si="417"/>
        <v/>
      </c>
      <c r="EK189" s="363">
        <f t="shared" si="417"/>
        <v>0</v>
      </c>
      <c r="EL189" s="1210" t="str">
        <f t="shared" si="417"/>
        <v/>
      </c>
      <c r="EM189" s="363" t="str">
        <f t="shared" ref="EM189:ER189" si="418">IF(OR(EM190&lt;&gt;"",EM191&lt;&gt;"",EM192&lt;&gt;""),SUM(EM190:EM192),"")</f>
        <v/>
      </c>
      <c r="EN189" s="363">
        <f t="shared" si="418"/>
        <v>0</v>
      </c>
      <c r="EO189" s="1210" t="str">
        <f t="shared" si="418"/>
        <v/>
      </c>
      <c r="EP189" s="363" t="str">
        <f t="shared" si="418"/>
        <v/>
      </c>
      <c r="EQ189" s="363">
        <f t="shared" si="418"/>
        <v>0</v>
      </c>
      <c r="ER189" s="1210" t="str">
        <f t="shared" si="418"/>
        <v/>
      </c>
      <c r="ES189" s="363" t="str">
        <f t="shared" ref="ES189:EX189" si="419">IF(OR(ES190&lt;&gt;"",ES191&lt;&gt;"",ES192&lt;&gt;""),SUM(ES190:ES192),"")</f>
        <v/>
      </c>
      <c r="ET189" s="363">
        <f t="shared" si="419"/>
        <v>0</v>
      </c>
      <c r="EU189" s="1210" t="str">
        <f t="shared" si="419"/>
        <v/>
      </c>
      <c r="EV189" s="363" t="str">
        <f t="shared" si="419"/>
        <v/>
      </c>
      <c r="EW189" s="363">
        <f t="shared" si="419"/>
        <v>0</v>
      </c>
      <c r="EX189" s="1210" t="str">
        <f t="shared" si="419"/>
        <v/>
      </c>
      <c r="EY189" s="363" t="str">
        <f t="shared" ref="EY189:FA189" si="420">IF(OR(EY190&lt;&gt;"",EY191&lt;&gt;"",EY192&lt;&gt;""),SUM(EY190:EY192),"")</f>
        <v/>
      </c>
      <c r="EZ189" s="363">
        <f t="shared" si="420"/>
        <v>0</v>
      </c>
      <c r="FA189" s="363" t="str">
        <f t="shared" si="420"/>
        <v/>
      </c>
    </row>
    <row r="190" spans="1:157" ht="13.35" customHeight="1">
      <c r="A190" s="5"/>
      <c r="B190" s="401" t="s">
        <v>103</v>
      </c>
      <c r="C190" s="401"/>
      <c r="D190" s="5"/>
      <c r="E190" s="363" t="str">
        <f>IF(Model!E200&lt;&gt;"",Model!E200,"")</f>
        <v/>
      </c>
      <c r="F190" s="363" t="str">
        <f>IF(Model!G200&lt;&gt;"",Model!F200,"")</f>
        <v/>
      </c>
      <c r="G190" s="363" t="str">
        <f>IF(Model!G200&lt;&gt;"",Model!G200,"")</f>
        <v/>
      </c>
      <c r="H190" s="363" t="str">
        <f>IF(Model!H200&lt;&gt;"",Model!H200,"")</f>
        <v/>
      </c>
      <c r="I190" s="363" t="str">
        <f>IF(Model!J200&lt;&gt;"",Model!I200,"")</f>
        <v/>
      </c>
      <c r="J190" s="363" t="str">
        <f>IF(Model!J200&lt;&gt;"",Model!J200,"")</f>
        <v/>
      </c>
      <c r="K190" s="363" t="str">
        <f>IF(Model!K200&lt;&gt;"",Model!K200,"")</f>
        <v/>
      </c>
      <c r="L190" s="363" t="str">
        <f>IF(Model!M200&lt;&gt;"",Model!L200,"")</f>
        <v/>
      </c>
      <c r="M190" s="363" t="str">
        <f>IF(Model!M200&lt;&gt;"",Model!M200,"")</f>
        <v/>
      </c>
      <c r="N190" s="363" t="str">
        <f>IF(Model!N200&lt;&gt;"",Model!N200,"")</f>
        <v/>
      </c>
      <c r="O190" s="363" t="str">
        <f>IF(Model!P200&lt;&gt;"",Model!O200,"")</f>
        <v/>
      </c>
      <c r="P190" s="363" t="str">
        <f>IF(Model!P200&lt;&gt;"",Model!P200,"")</f>
        <v/>
      </c>
      <c r="Q190" s="363" t="str">
        <f>IF(Model!Q200&lt;&gt;"",Model!Q200,"")</f>
        <v/>
      </c>
      <c r="R190" s="363" t="str">
        <f>IF(Model!S200&lt;&gt;"",Model!R200,"")</f>
        <v/>
      </c>
      <c r="S190" s="363" t="str">
        <f>IF(Model!S200&lt;&gt;"",Model!S200,"")</f>
        <v/>
      </c>
      <c r="T190" s="363" t="str">
        <f>IF(Model!T200&lt;&gt;"",Model!T200,"")</f>
        <v/>
      </c>
      <c r="U190" s="363" t="str">
        <f>IF(Model!V200&lt;&gt;"",Model!U200,"")</f>
        <v/>
      </c>
      <c r="V190" s="363" t="str">
        <f>IF(Model!V200&lt;&gt;"",Model!V200,"")</f>
        <v/>
      </c>
      <c r="W190" s="363" t="str">
        <f>IF(Model!W200&lt;&gt;"",Model!W200,"")</f>
        <v/>
      </c>
      <c r="X190" s="363" t="str">
        <f>IF(Model!Y200&lt;&gt;"",Model!X200,"")</f>
        <v/>
      </c>
      <c r="Y190" s="363" t="str">
        <f>IF(Model!Y200&lt;&gt;"",Model!Y200,"")</f>
        <v/>
      </c>
      <c r="Z190" s="363" t="str">
        <f>IF(Model!Z200&lt;&gt;"",Model!Z200,"")</f>
        <v/>
      </c>
      <c r="AA190" s="363" t="str">
        <f>IF(Model!AB200&lt;&gt;"",Model!AA200,"")</f>
        <v/>
      </c>
      <c r="AB190" s="363" t="str">
        <f>IF(Model!AB200&lt;&gt;"",Model!AB200,"")</f>
        <v/>
      </c>
      <c r="AC190" s="363" t="str">
        <f>IF(Model!AC200&lt;&gt;"",Model!AC200,"")</f>
        <v/>
      </c>
      <c r="AD190" s="363" t="str">
        <f>IF(Model!AE200&lt;&gt;"",Model!AD200,"")</f>
        <v/>
      </c>
      <c r="AE190" s="363" t="str">
        <f>IF(Model!AE200&lt;&gt;"",Model!AE200,"")</f>
        <v/>
      </c>
      <c r="AF190" s="363" t="str">
        <f>IF(Model!AF200&lt;&gt;"",Model!AF200,"")</f>
        <v/>
      </c>
      <c r="AG190" s="363" t="str">
        <f>IF(Model!AH200&lt;&gt;"",Model!AG200,"")</f>
        <v/>
      </c>
      <c r="AH190" s="363" t="str">
        <f>IF(Model!AH200&lt;&gt;"",Model!AH200,"")</f>
        <v/>
      </c>
      <c r="AI190" s="363" t="str">
        <f>IF(Model!AI200&lt;&gt;"",Model!AI200,"")</f>
        <v/>
      </c>
      <c r="AJ190" s="363" t="str">
        <f>IF(Model!AK200&lt;&gt;"",Model!AJ200,"")</f>
        <v/>
      </c>
      <c r="AK190" s="363" t="str">
        <f>IF(Model!AK200&lt;&gt;"",Model!AK200,"")</f>
        <v/>
      </c>
      <c r="AL190" s="363" t="str">
        <f>IF(Model!AL200&lt;&gt;"",Model!AL200,"")</f>
        <v/>
      </c>
      <c r="AM190" s="363" t="str">
        <f>IF(Model!AN200&lt;&gt;"",Model!AM200,"")</f>
        <v/>
      </c>
      <c r="AN190" s="363" t="str">
        <f>IF(Model!AN200&lt;&gt;"",Model!AN200,"")</f>
        <v/>
      </c>
      <c r="AO190" s="363" t="str">
        <f>IF(Model!AO200&lt;&gt;"",Model!AO200,"")</f>
        <v/>
      </c>
      <c r="AP190" s="363" t="str">
        <f>IF(Model!AQ200&lt;&gt;"",Model!AP200,"")</f>
        <v/>
      </c>
      <c r="AQ190" s="363" t="str">
        <f>IF(Model!AQ200&lt;&gt;"",Model!AQ200,"")</f>
        <v/>
      </c>
      <c r="AR190" s="363" t="str">
        <f>IF(Model!AR200&lt;&gt;"",Model!AR200,"")</f>
        <v/>
      </c>
      <c r="AS190" s="363" t="str">
        <f>IF(Model!AT200&lt;&gt;"",Model!AS200,"")</f>
        <v/>
      </c>
      <c r="AT190" s="363" t="str">
        <f>IF(Model!AT200&lt;&gt;"",Model!AT200,"")</f>
        <v/>
      </c>
      <c r="AU190" s="363" t="str">
        <f>IF(Model!AU200&lt;&gt;"",Model!AU200,"")</f>
        <v/>
      </c>
      <c r="AV190" s="363" t="str">
        <f>IF(Model!AW200&lt;&gt;"",Model!AV200,"")</f>
        <v/>
      </c>
      <c r="AW190" s="363" t="str">
        <f>IF(Model!AW200&lt;&gt;"",Model!AW200,"")</f>
        <v/>
      </c>
      <c r="AX190" s="363">
        <f>IF(Model!AX200&lt;&gt;"",Model!AX200,"")</f>
        <v>0</v>
      </c>
      <c r="AY190" s="363">
        <f>IF(Model!AZ200&lt;&gt;"",Model!AY200,"")</f>
        <v>0</v>
      </c>
      <c r="AZ190" s="363">
        <f>IF(Model!AZ200&lt;&gt;"",Model!AZ200,"")</f>
        <v>0</v>
      </c>
      <c r="BA190" s="363">
        <f>IF(Model!BA200&lt;&gt;"",Model!BA200,"")</f>
        <v>0</v>
      </c>
      <c r="BB190" s="363">
        <f>IF(Model!BC200&lt;&gt;"",Model!BB200,"")</f>
        <v>0</v>
      </c>
      <c r="BC190" s="363">
        <f>IF(Model!BC200&lt;&gt;"",Model!BC200,"")</f>
        <v>0</v>
      </c>
      <c r="BD190" s="363"/>
      <c r="BE190" s="363">
        <f>IF(Model!BF200&lt;&gt;"",Model!BE200,"")</f>
        <v>0</v>
      </c>
      <c r="BF190" s="363"/>
      <c r="BG190" s="363"/>
      <c r="BH190" s="363">
        <f>IF(Model!BI200&lt;&gt;"",Model!BH200,"")</f>
        <v>0</v>
      </c>
      <c r="BI190" s="363"/>
      <c r="BJ190" s="363"/>
      <c r="BK190" s="363">
        <f>IF(Model!BL200&lt;&gt;"",Model!BK200,"")</f>
        <v>0</v>
      </c>
      <c r="BL190" s="363"/>
      <c r="BM190" s="363"/>
      <c r="BN190" s="363">
        <f>IF(Model!BO200&lt;&gt;"",Model!BN200,"")</f>
        <v>0</v>
      </c>
      <c r="BO190" s="363"/>
      <c r="BP190" s="363"/>
      <c r="BQ190" s="363">
        <f>IF(Model!BR200&lt;&gt;"",Model!BQ200,"")</f>
        <v>0</v>
      </c>
      <c r="BR190" s="363"/>
      <c r="BS190" s="363"/>
      <c r="BT190" s="363">
        <f>IF(Model!BU200&lt;&gt;"",Model!BT200,"")</f>
        <v>0</v>
      </c>
      <c r="BU190" s="363"/>
      <c r="BV190" s="363"/>
      <c r="BW190" s="363">
        <f>IF(Model!BX200&lt;&gt;"",Model!BW200,"")</f>
        <v>0</v>
      </c>
      <c r="BX190" s="363"/>
      <c r="BY190" s="363"/>
      <c r="BZ190" s="363">
        <f>IF(Model!CA200&lt;&gt;"",Model!BZ200,"")</f>
        <v>0</v>
      </c>
      <c r="CA190" s="363"/>
      <c r="CB190" s="363"/>
      <c r="CC190" s="363">
        <f>IF(Model!CD200&lt;&gt;"",Model!CC200,"")</f>
        <v>0</v>
      </c>
      <c r="CD190" s="363"/>
      <c r="CE190" s="363"/>
      <c r="CF190" s="363">
        <f>IF(Model!CG200&lt;&gt;"",Model!CF200,"")</f>
        <v>0</v>
      </c>
      <c r="CG190" s="363"/>
      <c r="CH190" s="363"/>
      <c r="CI190" s="363">
        <f>IF(Model!CJ200&lt;&gt;"",Model!CI200,"")</f>
        <v>0</v>
      </c>
      <c r="CJ190" s="363"/>
      <c r="CK190" s="363"/>
      <c r="CL190" s="363">
        <f>IF(Model!CM200&lt;&gt;"",Model!CL200,"")</f>
        <v>0</v>
      </c>
      <c r="CM190" s="363"/>
      <c r="CN190" s="363"/>
      <c r="CO190" s="363">
        <f>IF(Model!CP200&lt;&gt;"",Model!CO200,"")</f>
        <v>0</v>
      </c>
      <c r="CP190" s="363"/>
      <c r="CQ190" s="363"/>
      <c r="CR190" s="363">
        <f>IF(Model!CS200&lt;&gt;"",Model!CR200,"")</f>
        <v>0</v>
      </c>
      <c r="CS190" s="363"/>
      <c r="CT190" s="363"/>
      <c r="CU190" s="363">
        <f>IF(Model!CV200&lt;&gt;"",Model!CU200,"")</f>
        <v>0</v>
      </c>
      <c r="CV190" s="363"/>
      <c r="CW190" s="363"/>
      <c r="CX190" s="363">
        <f>IF(Model!CY200&lt;&gt;"",Model!CX200,"")</f>
        <v>0</v>
      </c>
      <c r="CY190" s="363"/>
      <c r="CZ190" s="363"/>
      <c r="DA190" s="363">
        <f>IF(Model!DB200&lt;&gt;"",Model!DA200,"")</f>
        <v>0</v>
      </c>
      <c r="DB190" s="363"/>
      <c r="DC190" s="363"/>
      <c r="DD190" s="363">
        <f>IF(Model!DE200&lt;&gt;"",Model!DD200,"")</f>
        <v>0</v>
      </c>
      <c r="DE190" s="363"/>
      <c r="DF190" s="363"/>
      <c r="DG190" s="363">
        <f>IF(Model!DH200&lt;&gt;"",Model!DG200,"")</f>
        <v>0</v>
      </c>
      <c r="DH190" s="363"/>
      <c r="DI190" s="363"/>
      <c r="DJ190" s="363">
        <f>IF(Model!DK200&lt;&gt;"",Model!DJ200,"")</f>
        <v>0</v>
      </c>
      <c r="DK190" s="1210"/>
      <c r="DL190" s="363"/>
      <c r="DM190" s="363">
        <f>IF(Model!DN200&lt;&gt;"",Model!DM200,"")</f>
        <v>0</v>
      </c>
      <c r="DN190" s="1210"/>
      <c r="DO190" s="363"/>
      <c r="DP190" s="363">
        <f>IF(Model!DQ200&lt;&gt;"",Model!DP200,"")</f>
        <v>0</v>
      </c>
      <c r="DQ190" s="1210"/>
      <c r="DR190" s="363"/>
      <c r="DS190" s="363">
        <f>IF(Model!DT200&lt;&gt;"",Model!DS200,"")</f>
        <v>0</v>
      </c>
      <c r="DT190" s="1210"/>
      <c r="DU190" s="363"/>
      <c r="DV190" s="363">
        <f>IF(Model!DW200&lt;&gt;"",Model!DV200,"")</f>
        <v>0</v>
      </c>
      <c r="DW190" s="1210"/>
      <c r="DX190" s="363"/>
      <c r="DY190" s="363">
        <f>IF(Model!DZ200&lt;&gt;"",Model!DY200,"")</f>
        <v>0</v>
      </c>
      <c r="DZ190" s="1210"/>
      <c r="EA190" s="363"/>
      <c r="EB190" s="363">
        <f>IF(Model!EC200&lt;&gt;"",Model!EB200,"")</f>
        <v>0</v>
      </c>
      <c r="EC190" s="1210"/>
      <c r="ED190" s="363"/>
      <c r="EE190" s="363">
        <f>IF(Model!EF200&lt;&gt;"",Model!EE200,"")</f>
        <v>0</v>
      </c>
      <c r="EF190" s="1210"/>
      <c r="EG190" s="363"/>
      <c r="EH190" s="363">
        <f>IF(Model!EI200&lt;&gt;"",Model!EH200,"")</f>
        <v>0</v>
      </c>
      <c r="EI190" s="1210"/>
      <c r="EJ190" s="363"/>
      <c r="EK190" s="363">
        <f>IF(Model!EL200&lt;&gt;"",Model!EK200,"")</f>
        <v>0</v>
      </c>
      <c r="EL190" s="1210"/>
      <c r="EM190" s="363"/>
      <c r="EN190" s="363">
        <f>IF(Model!EO200&lt;&gt;"",Model!EN200,"")</f>
        <v>0</v>
      </c>
      <c r="EO190" s="1210"/>
      <c r="EP190" s="363"/>
      <c r="EQ190" s="363">
        <f>IF(Model!ER200&lt;&gt;"",Model!EQ200,"")</f>
        <v>0</v>
      </c>
      <c r="ER190" s="1210"/>
      <c r="ES190" s="363"/>
      <c r="ET190" s="363">
        <f>IF(Model!EU200&lt;&gt;"",Model!ET200,"")</f>
        <v>0</v>
      </c>
      <c r="EU190" s="1210"/>
      <c r="EV190" s="363"/>
      <c r="EW190" s="363">
        <f>IF(Model!EX200&lt;&gt;"",Model!EW200,"")</f>
        <v>0</v>
      </c>
      <c r="EX190" s="1210"/>
      <c r="EY190" s="363"/>
      <c r="EZ190" s="363">
        <f>IF(Model!FA200&lt;&gt;"",Model!EZ200,"")</f>
        <v>0</v>
      </c>
      <c r="FA190" s="363"/>
    </row>
    <row r="191" spans="1:157" ht="13.35" customHeight="1">
      <c r="A191" s="5"/>
      <c r="B191" s="401" t="s">
        <v>333</v>
      </c>
      <c r="C191" s="401"/>
      <c r="D191" s="5"/>
      <c r="E191" s="363" t="str">
        <f>IF(Model!E201&lt;&gt;"",Model!E201,"")</f>
        <v/>
      </c>
      <c r="F191" s="363" t="str">
        <f>IF(Model!G201&lt;&gt;"",Model!F201,"")</f>
        <v/>
      </c>
      <c r="G191" s="363" t="str">
        <f>IF(Model!G201&lt;&gt;"",Model!G201,"")</f>
        <v/>
      </c>
      <c r="H191" s="363" t="str">
        <f>IF(Model!H201&lt;&gt;"",Model!H201,"")</f>
        <v/>
      </c>
      <c r="I191" s="363" t="str">
        <f>IF(Model!J201&lt;&gt;"",Model!I201,"")</f>
        <v/>
      </c>
      <c r="J191" s="363" t="str">
        <f>IF(Model!J201&lt;&gt;"",Model!J201,"")</f>
        <v/>
      </c>
      <c r="K191" s="363" t="str">
        <f>IF(Model!K201&lt;&gt;"",Model!K201,"")</f>
        <v/>
      </c>
      <c r="L191" s="363" t="str">
        <f>IF(Model!M201&lt;&gt;"",Model!L201,"")</f>
        <v/>
      </c>
      <c r="M191" s="363" t="str">
        <f>IF(Model!M201&lt;&gt;"",Model!M201,"")</f>
        <v/>
      </c>
      <c r="N191" s="363" t="str">
        <f>IF(Model!N201&lt;&gt;"",Model!N201,"")</f>
        <v/>
      </c>
      <c r="O191" s="363" t="str">
        <f>IF(Model!P201&lt;&gt;"",Model!O201,"")</f>
        <v/>
      </c>
      <c r="P191" s="363" t="str">
        <f>IF(Model!P201&lt;&gt;"",Model!P201,"")</f>
        <v/>
      </c>
      <c r="Q191" s="363" t="str">
        <f>IF(Model!Q201&lt;&gt;"",Model!Q201,"")</f>
        <v/>
      </c>
      <c r="R191" s="363" t="str">
        <f>IF(Model!S201&lt;&gt;"",Model!R201,"")</f>
        <v/>
      </c>
      <c r="S191" s="363" t="str">
        <f>IF(Model!S201&lt;&gt;"",Model!S201,"")</f>
        <v/>
      </c>
      <c r="T191" s="363" t="str">
        <f>IF(Model!T201&lt;&gt;"",Model!T201,"")</f>
        <v/>
      </c>
      <c r="U191" s="363" t="str">
        <f>IF(Model!V201&lt;&gt;"",Model!U201,"")</f>
        <v/>
      </c>
      <c r="V191" s="363" t="str">
        <f>IF(Model!V201&lt;&gt;"",Model!V201,"")</f>
        <v/>
      </c>
      <c r="W191" s="363" t="str">
        <f>IF(Model!W201&lt;&gt;"",Model!W201,"")</f>
        <v/>
      </c>
      <c r="X191" s="363" t="str">
        <f>IF(Model!Y201&lt;&gt;"",Model!X201,"")</f>
        <v/>
      </c>
      <c r="Y191" s="363" t="str">
        <f>IF(Model!Y201&lt;&gt;"",Model!Y201,"")</f>
        <v/>
      </c>
      <c r="Z191" s="363" t="str">
        <f>IF(Model!Z201&lt;&gt;"",Model!Z201,"")</f>
        <v/>
      </c>
      <c r="AA191" s="363" t="str">
        <f>IF(Model!AB201&lt;&gt;"",Model!AA201,"")</f>
        <v/>
      </c>
      <c r="AB191" s="363" t="str">
        <f>IF(Model!AB201&lt;&gt;"",Model!AB201,"")</f>
        <v/>
      </c>
      <c r="AC191" s="363" t="str">
        <f>IF(Model!AC201&lt;&gt;"",Model!AC201,"")</f>
        <v/>
      </c>
      <c r="AD191" s="363" t="str">
        <f>IF(Model!AE201&lt;&gt;"",Model!AD201,"")</f>
        <v/>
      </c>
      <c r="AE191" s="363" t="str">
        <f>IF(Model!AE201&lt;&gt;"",Model!AE201,"")</f>
        <v/>
      </c>
      <c r="AF191" s="363" t="str">
        <f>IF(Model!AF201&lt;&gt;"",Model!AF201,"")</f>
        <v/>
      </c>
      <c r="AG191" s="363" t="str">
        <f>IF(Model!AH201&lt;&gt;"",Model!AG201,"")</f>
        <v/>
      </c>
      <c r="AH191" s="363" t="str">
        <f>IF(Model!AH201&lt;&gt;"",Model!AH201,"")</f>
        <v/>
      </c>
      <c r="AI191" s="363" t="str">
        <f>IF(Model!AI201&lt;&gt;"",Model!AI201,"")</f>
        <v/>
      </c>
      <c r="AJ191" s="363" t="str">
        <f>IF(Model!AK201&lt;&gt;"",Model!AJ201,"")</f>
        <v/>
      </c>
      <c r="AK191" s="363" t="str">
        <f>IF(Model!AK201&lt;&gt;"",Model!AK201,"")</f>
        <v/>
      </c>
      <c r="AL191" s="363" t="str">
        <f>IF(Model!AL201&lt;&gt;"",Model!AL201,"")</f>
        <v/>
      </c>
      <c r="AM191" s="363" t="str">
        <f>IF(Model!AN201&lt;&gt;"",Model!AM201,"")</f>
        <v/>
      </c>
      <c r="AN191" s="363" t="str">
        <f>IF(Model!AN201&lt;&gt;"",Model!AN201,"")</f>
        <v/>
      </c>
      <c r="AO191" s="363" t="str">
        <f>IF(Model!AO201&lt;&gt;"",Model!AO201,"")</f>
        <v/>
      </c>
      <c r="AP191" s="363" t="str">
        <f>IF(Model!AQ201&lt;&gt;"",Model!AP201,"")</f>
        <v/>
      </c>
      <c r="AQ191" s="363" t="str">
        <f>IF(Model!AQ201&lt;&gt;"",Model!AQ201,"")</f>
        <v/>
      </c>
      <c r="AR191" s="363" t="str">
        <f>IF(Model!AR201&lt;&gt;"",Model!AR201,"")</f>
        <v/>
      </c>
      <c r="AS191" s="363" t="str">
        <f>IF(Model!AT201&lt;&gt;"",Model!AS201,"")</f>
        <v/>
      </c>
      <c r="AT191" s="363" t="str">
        <f>IF(Model!AT201&lt;&gt;"",Model!AT201,"")</f>
        <v/>
      </c>
      <c r="AU191" s="363" t="str">
        <f>IF(Model!AU201&lt;&gt;"",Model!AU201,"")</f>
        <v/>
      </c>
      <c r="AV191" s="363" t="str">
        <f>IF(Model!AW201&lt;&gt;"",Model!AV201,"")</f>
        <v/>
      </c>
      <c r="AW191" s="363" t="str">
        <f>IF(Model!AW201&lt;&gt;"",Model!AW201,"")</f>
        <v/>
      </c>
      <c r="AX191" s="363">
        <f>IF(Model!AX201&lt;&gt;"",Model!AX201,"")</f>
        <v>0</v>
      </c>
      <c r="AY191" s="363">
        <f>IF(Model!AZ201&lt;&gt;"",Model!AY201,"")</f>
        <v>0</v>
      </c>
      <c r="AZ191" s="363">
        <f>IF(Model!AZ201&lt;&gt;"",Model!AZ201,"")</f>
        <v>0</v>
      </c>
      <c r="BA191" s="363">
        <f>IF(Model!BA201&lt;&gt;"",Model!BA201,"")</f>
        <v>0</v>
      </c>
      <c r="BB191" s="363">
        <f>IF(Model!BC201&lt;&gt;"",Model!BB201,"")</f>
        <v>0</v>
      </c>
      <c r="BC191" s="363">
        <f>IF(Model!BC201&lt;&gt;"",Model!BC201,"")</f>
        <v>0</v>
      </c>
      <c r="BD191" s="363"/>
      <c r="BE191" s="363">
        <f>IF(Model!BF201&lt;&gt;"",Model!BE201,"")</f>
        <v>0</v>
      </c>
      <c r="BF191" s="363"/>
      <c r="BG191" s="363"/>
      <c r="BH191" s="363">
        <f>IF(Model!BI201&lt;&gt;"",Model!BH201,"")</f>
        <v>0</v>
      </c>
      <c r="BI191" s="363"/>
      <c r="BJ191" s="363"/>
      <c r="BK191" s="363">
        <f>IF(Model!BL201&lt;&gt;"",Model!BK201,"")</f>
        <v>0</v>
      </c>
      <c r="BL191" s="363"/>
      <c r="BM191" s="363"/>
      <c r="BN191" s="363">
        <f>IF(Model!BO201&lt;&gt;"",Model!BN201,"")</f>
        <v>0</v>
      </c>
      <c r="BO191" s="363"/>
      <c r="BP191" s="363"/>
      <c r="BQ191" s="363">
        <f>IF(Model!BR201&lt;&gt;"",Model!BQ201,"")</f>
        <v>0</v>
      </c>
      <c r="BR191" s="363"/>
      <c r="BS191" s="363"/>
      <c r="BT191" s="363">
        <f>IF(Model!BU201&lt;&gt;"",Model!BT201,"")</f>
        <v>0</v>
      </c>
      <c r="BU191" s="363"/>
      <c r="BV191" s="363"/>
      <c r="BW191" s="363">
        <f>IF(Model!BX201&lt;&gt;"",Model!BW201,"")</f>
        <v>0</v>
      </c>
      <c r="BX191" s="363"/>
      <c r="BY191" s="363"/>
      <c r="BZ191" s="363">
        <f>IF(Model!CA201&lt;&gt;"",Model!BZ201,"")</f>
        <v>0</v>
      </c>
      <c r="CA191" s="363"/>
      <c r="CB191" s="363"/>
      <c r="CC191" s="363">
        <f>IF(Model!CD201&lt;&gt;"",Model!CC201,"")</f>
        <v>0</v>
      </c>
      <c r="CD191" s="363"/>
      <c r="CE191" s="363"/>
      <c r="CF191" s="363">
        <f>IF(Model!CG201&lt;&gt;"",Model!CF201,"")</f>
        <v>0</v>
      </c>
      <c r="CG191" s="363"/>
      <c r="CH191" s="363"/>
      <c r="CI191" s="363">
        <f>IF(Model!CJ201&lt;&gt;"",Model!CI201,"")</f>
        <v>0</v>
      </c>
      <c r="CJ191" s="363"/>
      <c r="CK191" s="363"/>
      <c r="CL191" s="363">
        <f>IF(Model!CM201&lt;&gt;"",Model!CL201,"")</f>
        <v>0</v>
      </c>
      <c r="CM191" s="363"/>
      <c r="CN191" s="363"/>
      <c r="CO191" s="363">
        <f>IF(Model!CP201&lt;&gt;"",Model!CO201,"")</f>
        <v>0</v>
      </c>
      <c r="CP191" s="363"/>
      <c r="CQ191" s="363"/>
      <c r="CR191" s="363">
        <f>IF(Model!CS201&lt;&gt;"",Model!CR201,"")</f>
        <v>0</v>
      </c>
      <c r="CS191" s="363"/>
      <c r="CT191" s="363"/>
      <c r="CU191" s="363">
        <f>IF(Model!CV201&lt;&gt;"",Model!CU201,"")</f>
        <v>0</v>
      </c>
      <c r="CV191" s="363"/>
      <c r="CW191" s="363"/>
      <c r="CX191" s="363">
        <f>IF(Model!CY201&lt;&gt;"",Model!CX201,"")</f>
        <v>0</v>
      </c>
      <c r="CY191" s="363"/>
      <c r="CZ191" s="363"/>
      <c r="DA191" s="363">
        <f>IF(Model!DB201&lt;&gt;"",Model!DA201,"")</f>
        <v>0</v>
      </c>
      <c r="DB191" s="363"/>
      <c r="DC191" s="363"/>
      <c r="DD191" s="363">
        <f>IF(Model!DE201&lt;&gt;"",Model!DD201,"")</f>
        <v>0</v>
      </c>
      <c r="DE191" s="363"/>
      <c r="DF191" s="363"/>
      <c r="DG191" s="363">
        <f>IF(Model!DH201&lt;&gt;"",Model!DG201,"")</f>
        <v>0</v>
      </c>
      <c r="DH191" s="363"/>
      <c r="DI191" s="363"/>
      <c r="DJ191" s="363">
        <f>IF(Model!DK201&lt;&gt;"",Model!DJ201,"")</f>
        <v>0</v>
      </c>
      <c r="DK191" s="1210"/>
      <c r="DL191" s="363"/>
      <c r="DM191" s="363">
        <f>IF(Model!DN201&lt;&gt;"",Model!DM201,"")</f>
        <v>0</v>
      </c>
      <c r="DN191" s="1210"/>
      <c r="DO191" s="363"/>
      <c r="DP191" s="363">
        <f>IF(Model!DQ201&lt;&gt;"",Model!DP201,"")</f>
        <v>0</v>
      </c>
      <c r="DQ191" s="1210"/>
      <c r="DR191" s="363"/>
      <c r="DS191" s="363">
        <f>IF(Model!DT201&lt;&gt;"",Model!DS201,"")</f>
        <v>0</v>
      </c>
      <c r="DT191" s="1210"/>
      <c r="DU191" s="363"/>
      <c r="DV191" s="363">
        <f>IF(Model!DW201&lt;&gt;"",Model!DV201,"")</f>
        <v>0</v>
      </c>
      <c r="DW191" s="1210"/>
      <c r="DX191" s="363"/>
      <c r="DY191" s="363">
        <f>IF(Model!DZ201&lt;&gt;"",Model!DY201,"")</f>
        <v>0</v>
      </c>
      <c r="DZ191" s="1210"/>
      <c r="EA191" s="363"/>
      <c r="EB191" s="363">
        <f>IF(Model!EC201&lt;&gt;"",Model!EB201,"")</f>
        <v>0</v>
      </c>
      <c r="EC191" s="1210"/>
      <c r="ED191" s="363"/>
      <c r="EE191" s="363">
        <f>IF(Model!EF201&lt;&gt;"",Model!EE201,"")</f>
        <v>0</v>
      </c>
      <c r="EF191" s="1210"/>
      <c r="EG191" s="363"/>
      <c r="EH191" s="363">
        <f>IF(Model!EI201&lt;&gt;"",Model!EH201,"")</f>
        <v>0</v>
      </c>
      <c r="EI191" s="1210"/>
      <c r="EJ191" s="363"/>
      <c r="EK191" s="363">
        <f>IF(Model!EL201&lt;&gt;"",Model!EK201,"")</f>
        <v>0</v>
      </c>
      <c r="EL191" s="1210"/>
      <c r="EM191" s="363"/>
      <c r="EN191" s="363">
        <f>IF(Model!EO201&lt;&gt;"",Model!EN201,"")</f>
        <v>0</v>
      </c>
      <c r="EO191" s="1210"/>
      <c r="EP191" s="363"/>
      <c r="EQ191" s="363">
        <f>IF(Model!ER201&lt;&gt;"",Model!EQ201,"")</f>
        <v>0</v>
      </c>
      <c r="ER191" s="1210"/>
      <c r="ES191" s="363"/>
      <c r="ET191" s="363">
        <f>IF(Model!EU201&lt;&gt;"",Model!ET201,"")</f>
        <v>0</v>
      </c>
      <c r="EU191" s="1210"/>
      <c r="EV191" s="363"/>
      <c r="EW191" s="363">
        <f>IF(Model!EX201&lt;&gt;"",Model!EW201,"")</f>
        <v>0</v>
      </c>
      <c r="EX191" s="1210"/>
      <c r="EY191" s="363"/>
      <c r="EZ191" s="363">
        <f>IF(Model!FA201&lt;&gt;"",Model!EZ201,"")</f>
        <v>0</v>
      </c>
      <c r="FA191" s="363"/>
    </row>
    <row r="192" spans="1:157" ht="13.35" customHeight="1">
      <c r="A192" s="5"/>
      <c r="B192" s="401" t="s">
        <v>334</v>
      </c>
      <c r="C192" s="401"/>
      <c r="D192" s="5"/>
      <c r="E192" s="363" t="str">
        <f>IF(Model!E202&lt;&gt;"",Model!E202,"")</f>
        <v/>
      </c>
      <c r="F192" s="363" t="str">
        <f>IF(Model!G202&lt;&gt;"",Model!F202,"")</f>
        <v/>
      </c>
      <c r="G192" s="363" t="str">
        <f>IF(Model!G202&lt;&gt;"",Model!G202,"")</f>
        <v/>
      </c>
      <c r="H192" s="363" t="str">
        <f>IF(Model!H202&lt;&gt;"",Model!H202,"")</f>
        <v/>
      </c>
      <c r="I192" s="363" t="str">
        <f>IF(Model!J202&lt;&gt;"",Model!I202,"")</f>
        <v/>
      </c>
      <c r="J192" s="363" t="str">
        <f>IF(Model!J202&lt;&gt;"",Model!J202,"")</f>
        <v/>
      </c>
      <c r="K192" s="363" t="str">
        <f>IF(Model!K202&lt;&gt;"",Model!K202,"")</f>
        <v/>
      </c>
      <c r="L192" s="363" t="str">
        <f>IF(Model!M202&lt;&gt;"",Model!L202,"")</f>
        <v/>
      </c>
      <c r="M192" s="363" t="str">
        <f>IF(Model!M202&lt;&gt;"",Model!M202,"")</f>
        <v/>
      </c>
      <c r="N192" s="363" t="str">
        <f>IF(Model!N202&lt;&gt;"",Model!N202,"")</f>
        <v/>
      </c>
      <c r="O192" s="363" t="str">
        <f>IF(Model!P202&lt;&gt;"",Model!O202,"")</f>
        <v/>
      </c>
      <c r="P192" s="363" t="str">
        <f>IF(Model!P202&lt;&gt;"",Model!P202,"")</f>
        <v/>
      </c>
      <c r="Q192" s="363" t="str">
        <f>IF(Model!Q202&lt;&gt;"",Model!Q202,"")</f>
        <v/>
      </c>
      <c r="R192" s="363" t="str">
        <f>IF(Model!S202&lt;&gt;"",Model!R202,"")</f>
        <v/>
      </c>
      <c r="S192" s="363" t="str">
        <f>IF(Model!S202&lt;&gt;"",Model!S202,"")</f>
        <v/>
      </c>
      <c r="T192" s="363" t="str">
        <f>IF(Model!T202&lt;&gt;"",Model!T202,"")</f>
        <v/>
      </c>
      <c r="U192" s="363" t="str">
        <f>IF(Model!V202&lt;&gt;"",Model!U202,"")</f>
        <v/>
      </c>
      <c r="V192" s="363" t="str">
        <f>IF(Model!V202&lt;&gt;"",Model!V202,"")</f>
        <v/>
      </c>
      <c r="W192" s="363" t="str">
        <f>IF(Model!W202&lt;&gt;"",Model!W202,"")</f>
        <v/>
      </c>
      <c r="X192" s="363" t="str">
        <f>IF(Model!Y202&lt;&gt;"",Model!X202,"")</f>
        <v/>
      </c>
      <c r="Y192" s="363" t="str">
        <f>IF(Model!Y202&lt;&gt;"",Model!Y202,"")</f>
        <v/>
      </c>
      <c r="Z192" s="363" t="str">
        <f>IF(Model!Z202&lt;&gt;"",Model!Z202,"")</f>
        <v/>
      </c>
      <c r="AA192" s="363" t="str">
        <f>IF(Model!AB202&lt;&gt;"",Model!AA202,"")</f>
        <v/>
      </c>
      <c r="AB192" s="363" t="str">
        <f>IF(Model!AB202&lt;&gt;"",Model!AB202,"")</f>
        <v/>
      </c>
      <c r="AC192" s="363" t="str">
        <f>IF(Model!AC202&lt;&gt;"",Model!AC202,"")</f>
        <v/>
      </c>
      <c r="AD192" s="363" t="str">
        <f>IF(Model!AE202&lt;&gt;"",Model!AD202,"")</f>
        <v/>
      </c>
      <c r="AE192" s="363" t="str">
        <f>IF(Model!AE202&lt;&gt;"",Model!AE202,"")</f>
        <v/>
      </c>
      <c r="AF192" s="363" t="str">
        <f>IF(Model!AF202&lt;&gt;"",Model!AF202,"")</f>
        <v/>
      </c>
      <c r="AG192" s="363" t="str">
        <f>IF(Model!AH202&lt;&gt;"",Model!AG202,"")</f>
        <v/>
      </c>
      <c r="AH192" s="363" t="str">
        <f>IF(Model!AH202&lt;&gt;"",Model!AH202,"")</f>
        <v/>
      </c>
      <c r="AI192" s="363" t="str">
        <f>IF(Model!AI202&lt;&gt;"",Model!AI202,"")</f>
        <v/>
      </c>
      <c r="AJ192" s="363" t="str">
        <f>IF(Model!AK202&lt;&gt;"",Model!AJ202,"")</f>
        <v/>
      </c>
      <c r="AK192" s="363" t="str">
        <f>IF(Model!AK202&lt;&gt;"",Model!AK202,"")</f>
        <v/>
      </c>
      <c r="AL192" s="363" t="str">
        <f>IF(Model!AL202&lt;&gt;"",Model!AL202,"")</f>
        <v/>
      </c>
      <c r="AM192" s="363" t="str">
        <f>IF(Model!AN202&lt;&gt;"",Model!AM202,"")</f>
        <v/>
      </c>
      <c r="AN192" s="363" t="str">
        <f>IF(Model!AN202&lt;&gt;"",Model!AN202,"")</f>
        <v/>
      </c>
      <c r="AO192" s="363" t="str">
        <f>IF(Model!AO202&lt;&gt;"",Model!AO202,"")</f>
        <v/>
      </c>
      <c r="AP192" s="363" t="str">
        <f>IF(Model!AQ202&lt;&gt;"",Model!AP202,"")</f>
        <v/>
      </c>
      <c r="AQ192" s="363" t="str">
        <f>IF(Model!AQ202&lt;&gt;"",Model!AQ202,"")</f>
        <v/>
      </c>
      <c r="AR192" s="363" t="str">
        <f>IF(Model!AR202&lt;&gt;"",Model!AR202,"")</f>
        <v/>
      </c>
      <c r="AS192" s="363" t="str">
        <f>IF(Model!AT202&lt;&gt;"",Model!AS202,"")</f>
        <v/>
      </c>
      <c r="AT192" s="363" t="str">
        <f>IF(Model!AT202&lt;&gt;"",Model!AT202,"")</f>
        <v/>
      </c>
      <c r="AU192" s="363" t="str">
        <f>IF(Model!AU202&lt;&gt;"",Model!AU202,"")</f>
        <v/>
      </c>
      <c r="AV192" s="363" t="str">
        <f>IF(Model!AW202&lt;&gt;"",Model!AV202,"")</f>
        <v/>
      </c>
      <c r="AW192" s="363" t="str">
        <f>IF(Model!AW202&lt;&gt;"",Model!AW202,"")</f>
        <v/>
      </c>
      <c r="AX192" s="363">
        <f>IF(Model!AX202&lt;&gt;"",Model!AX202,"")</f>
        <v>0</v>
      </c>
      <c r="AY192" s="363">
        <f>IF(Model!AZ202&lt;&gt;"",Model!AY202,"")</f>
        <v>0</v>
      </c>
      <c r="AZ192" s="363">
        <f>IF(Model!AZ202&lt;&gt;"",Model!AZ202,"")</f>
        <v>0</v>
      </c>
      <c r="BA192" s="363">
        <f>IF(Model!BA202&lt;&gt;"",Model!BA202,"")</f>
        <v>0</v>
      </c>
      <c r="BB192" s="363">
        <f>IF(Model!BC202&lt;&gt;"",Model!BB202,"")</f>
        <v>0</v>
      </c>
      <c r="BC192" s="363">
        <f>IF(Model!BC202&lt;&gt;"",Model!BC202,"")</f>
        <v>0</v>
      </c>
      <c r="BD192" s="363">
        <v>-4.3</v>
      </c>
      <c r="BE192" s="363">
        <f>IF(Model!BF202&lt;&gt;"",Model!BE202,"")</f>
        <v>0</v>
      </c>
      <c r="BF192" s="363">
        <v>-4.3</v>
      </c>
      <c r="BG192" s="363"/>
      <c r="BH192" s="363">
        <f>IF(Model!BI202&lt;&gt;"",Model!BH202,"")</f>
        <v>0</v>
      </c>
      <c r="BI192" s="363"/>
      <c r="BJ192" s="363"/>
      <c r="BK192" s="363">
        <f>IF(Model!BL202&lt;&gt;"",Model!BK202,"")</f>
        <v>0</v>
      </c>
      <c r="BL192" s="363"/>
      <c r="BM192" s="363"/>
      <c r="BN192" s="363">
        <f>IF(Model!BO202&lt;&gt;"",Model!BN202,"")</f>
        <v>-4.375</v>
      </c>
      <c r="BO192" s="363"/>
      <c r="BP192" s="363"/>
      <c r="BQ192" s="363">
        <f>IF(Model!BR202&lt;&gt;"",Model!BQ202,"")</f>
        <v>-0.17899999999999999</v>
      </c>
      <c r="BR192" s="363"/>
      <c r="BS192" s="363"/>
      <c r="BT192" s="363">
        <f>IF(Model!BU202&lt;&gt;"",Model!BT202,"")</f>
        <v>-0.375</v>
      </c>
      <c r="BU192" s="363"/>
      <c r="BV192" s="363"/>
      <c r="BW192" s="363">
        <f>IF(Model!BX202&lt;&gt;"",Model!BW202,"")</f>
        <v>0</v>
      </c>
      <c r="BX192" s="363"/>
      <c r="BY192" s="363"/>
      <c r="BZ192" s="363">
        <f>IF(Model!CA202&lt;&gt;"",Model!BZ202,"")</f>
        <v>-17.437000000000001</v>
      </c>
      <c r="CA192" s="363"/>
      <c r="CB192" s="363"/>
      <c r="CC192" s="363">
        <f>IF(Model!CD202&lt;&gt;"",Model!CC202,"")</f>
        <v>-1.5339999999999998</v>
      </c>
      <c r="CD192" s="363"/>
      <c r="CE192" s="363">
        <v>-3.6920000000000002</v>
      </c>
      <c r="CF192" s="363">
        <f>IF(Model!CG202&lt;&gt;"",Model!CF202,"")</f>
        <v>-0.52099999999999991</v>
      </c>
      <c r="CG192" s="363">
        <v>-3.6920000000000002</v>
      </c>
      <c r="CH192" s="363"/>
      <c r="CI192" s="363">
        <f>IF(Model!CJ202&lt;&gt;"",Model!CI202,"")</f>
        <v>3.7519999999999998</v>
      </c>
      <c r="CJ192" s="363"/>
      <c r="CK192" s="363"/>
      <c r="CL192" s="363">
        <f>IF(Model!CM202&lt;&gt;"",Model!CL202,"")</f>
        <v>0</v>
      </c>
      <c r="CM192" s="363"/>
      <c r="CN192" s="363"/>
      <c r="CO192" s="363">
        <f>IF(Model!CP202&lt;&gt;"",Model!CO202,"")</f>
        <v>0</v>
      </c>
      <c r="CP192" s="363"/>
      <c r="CQ192" s="363"/>
      <c r="CR192" s="363">
        <f>IF(Model!CS202&lt;&gt;"",Model!CR202,"")</f>
        <v>0</v>
      </c>
      <c r="CS192" s="363"/>
      <c r="CT192" s="363"/>
      <c r="CU192" s="363">
        <f>IF(Model!CV202&lt;&gt;"",Model!CU202,"")</f>
        <v>-1.1399999999999999</v>
      </c>
      <c r="CV192" s="363"/>
      <c r="CW192" s="363"/>
      <c r="CX192" s="363">
        <f>IF(Model!CY202&lt;&gt;"",Model!CX202,"")</f>
        <v>-8.2279999999999998</v>
      </c>
      <c r="CY192" s="363"/>
      <c r="CZ192" s="363"/>
      <c r="DA192" s="363">
        <f>IF(Model!DB202&lt;&gt;"",Model!DA202,"")</f>
        <v>-5.0999999999999996</v>
      </c>
      <c r="DB192" s="363"/>
      <c r="DC192" s="363"/>
      <c r="DD192" s="363">
        <f>IF(Model!DE202&lt;&gt;"",Model!DD202,"")</f>
        <v>-28</v>
      </c>
      <c r="DE192" s="363"/>
      <c r="DF192" s="363"/>
      <c r="DG192" s="363">
        <f>IF(Model!DH202&lt;&gt;"",Model!DG202,"")</f>
        <v>-8.3000000000000007</v>
      </c>
      <c r="DH192" s="363"/>
      <c r="DI192" s="363"/>
      <c r="DJ192" s="363">
        <f>IF(Model!DK202&lt;&gt;"",Model!DJ202,"")</f>
        <v>0</v>
      </c>
      <c r="DK192" s="1210"/>
      <c r="DL192" s="363"/>
      <c r="DM192" s="363">
        <f>IF(Model!DN202&lt;&gt;"",Model!DM202,"")</f>
        <v>0</v>
      </c>
      <c r="DN192" s="1210"/>
      <c r="DO192" s="363"/>
      <c r="DP192" s="363">
        <f>IF(Model!DQ202&lt;&gt;"",Model!DP202,"")</f>
        <v>0</v>
      </c>
      <c r="DQ192" s="1210"/>
      <c r="DR192" s="363"/>
      <c r="DS192" s="363">
        <f>IF(Model!DT202&lt;&gt;"",Model!DS202,"")</f>
        <v>0</v>
      </c>
      <c r="DT192" s="1210"/>
      <c r="DU192" s="363"/>
      <c r="DV192" s="363">
        <f>IF(Model!DW202&lt;&gt;"",Model!DV202,"")</f>
        <v>0</v>
      </c>
      <c r="DW192" s="1210"/>
      <c r="DX192" s="363"/>
      <c r="DY192" s="363">
        <f>IF(Model!DZ202&lt;&gt;"",Model!DY202,"")</f>
        <v>0</v>
      </c>
      <c r="DZ192" s="1210"/>
      <c r="EA192" s="363"/>
      <c r="EB192" s="363">
        <f>IF(Model!EC202&lt;&gt;"",Model!EB202,"")</f>
        <v>0</v>
      </c>
      <c r="EC192" s="1210"/>
      <c r="ED192" s="363"/>
      <c r="EE192" s="363">
        <f>IF(Model!EF202&lt;&gt;"",Model!EE202,"")</f>
        <v>0</v>
      </c>
      <c r="EF192" s="1210"/>
      <c r="EG192" s="363"/>
      <c r="EH192" s="363">
        <f>IF(Model!EI202&lt;&gt;"",Model!EH202,"")</f>
        <v>0</v>
      </c>
      <c r="EI192" s="1210"/>
      <c r="EJ192" s="363"/>
      <c r="EK192" s="363">
        <f>IF(Model!EL202&lt;&gt;"",Model!EK202,"")</f>
        <v>0</v>
      </c>
      <c r="EL192" s="1210"/>
      <c r="EM192" s="363"/>
      <c r="EN192" s="363">
        <f>IF(Model!EO202&lt;&gt;"",Model!EN202,"")</f>
        <v>0</v>
      </c>
      <c r="EO192" s="1210"/>
      <c r="EP192" s="363"/>
      <c r="EQ192" s="363">
        <f>IF(Model!ER202&lt;&gt;"",Model!EQ202,"")</f>
        <v>0</v>
      </c>
      <c r="ER192" s="1210"/>
      <c r="ES192" s="363"/>
      <c r="ET192" s="363">
        <f>IF(Model!EU202&lt;&gt;"",Model!ET202,"")</f>
        <v>0</v>
      </c>
      <c r="EU192" s="1210"/>
      <c r="EV192" s="363"/>
      <c r="EW192" s="363">
        <f>IF(Model!EX202&lt;&gt;"",Model!EW202,"")</f>
        <v>0</v>
      </c>
      <c r="EX192" s="1210"/>
      <c r="EY192" s="363"/>
      <c r="EZ192" s="363">
        <f>IF(Model!FA202&lt;&gt;"",Model!EZ202,"")</f>
        <v>0</v>
      </c>
      <c r="FA192" s="363"/>
    </row>
    <row r="193" spans="1:157" ht="13.35" customHeight="1">
      <c r="A193" s="5"/>
      <c r="B193" s="401" t="s">
        <v>335</v>
      </c>
      <c r="C193" s="401"/>
      <c r="D193" s="5"/>
      <c r="E193" s="363" t="str">
        <f>IF(Model!E203&lt;&gt;"",Model!E203,"")</f>
        <v/>
      </c>
      <c r="F193" s="363" t="str">
        <f>IF(Model!G203&lt;&gt;"",Model!F203,"")</f>
        <v/>
      </c>
      <c r="G193" s="363" t="str">
        <f>IF(Model!G203&lt;&gt;"",Model!G203,"")</f>
        <v/>
      </c>
      <c r="H193" s="363" t="str">
        <f>IF(Model!H203&lt;&gt;"",Model!H203,"")</f>
        <v/>
      </c>
      <c r="I193" s="363" t="str">
        <f>IF(Model!J203&lt;&gt;"",Model!I203,"")</f>
        <v/>
      </c>
      <c r="J193" s="363" t="str">
        <f>IF(Model!J203&lt;&gt;"",Model!J203,"")</f>
        <v/>
      </c>
      <c r="K193" s="363" t="str">
        <f>IF(Model!K203&lt;&gt;"",Model!K203,"")</f>
        <v/>
      </c>
      <c r="L193" s="363" t="str">
        <f>IF(Model!M203&lt;&gt;"",Model!L203,"")</f>
        <v/>
      </c>
      <c r="M193" s="363" t="str">
        <f>IF(Model!M203&lt;&gt;"",Model!M203,"")</f>
        <v/>
      </c>
      <c r="N193" s="363" t="str">
        <f>IF(Model!N203&lt;&gt;"",Model!N203,"")</f>
        <v/>
      </c>
      <c r="O193" s="363" t="str">
        <f>IF(Model!P203&lt;&gt;"",Model!O203,"")</f>
        <v/>
      </c>
      <c r="P193" s="363" t="str">
        <f>IF(Model!P203&lt;&gt;"",Model!P203,"")</f>
        <v/>
      </c>
      <c r="Q193" s="363" t="str">
        <f>IF(Model!Q203&lt;&gt;"",Model!Q203,"")</f>
        <v/>
      </c>
      <c r="R193" s="363" t="str">
        <f>IF(Model!S203&lt;&gt;"",Model!R203,"")</f>
        <v/>
      </c>
      <c r="S193" s="363" t="str">
        <f>IF(Model!S203&lt;&gt;"",Model!S203,"")</f>
        <v/>
      </c>
      <c r="T193" s="363" t="str">
        <f>IF(Model!T203&lt;&gt;"",Model!T203,"")</f>
        <v/>
      </c>
      <c r="U193" s="363" t="str">
        <f>IF(Model!V203&lt;&gt;"",Model!U203,"")</f>
        <v/>
      </c>
      <c r="V193" s="363" t="str">
        <f>IF(Model!V203&lt;&gt;"",Model!V203,"")</f>
        <v/>
      </c>
      <c r="W193" s="363" t="str">
        <f>IF(Model!W203&lt;&gt;"",Model!W203,"")</f>
        <v/>
      </c>
      <c r="X193" s="363" t="str">
        <f>IF(Model!Y203&lt;&gt;"",Model!X203,"")</f>
        <v/>
      </c>
      <c r="Y193" s="363" t="str">
        <f>IF(Model!Y203&lt;&gt;"",Model!Y203,"")</f>
        <v/>
      </c>
      <c r="Z193" s="363" t="str">
        <f>IF(Model!Z203&lt;&gt;"",Model!Z203,"")</f>
        <v/>
      </c>
      <c r="AA193" s="363" t="str">
        <f>IF(Model!AB203&lt;&gt;"",Model!AA203,"")</f>
        <v/>
      </c>
      <c r="AB193" s="363" t="str">
        <f>IF(Model!AB203&lt;&gt;"",Model!AB203,"")</f>
        <v/>
      </c>
      <c r="AC193" s="363" t="str">
        <f>IF(Model!AC203&lt;&gt;"",Model!AC203,"")</f>
        <v/>
      </c>
      <c r="AD193" s="363" t="str">
        <f>IF(Model!AE203&lt;&gt;"",Model!AD203,"")</f>
        <v/>
      </c>
      <c r="AE193" s="363" t="str">
        <f>IF(Model!AE203&lt;&gt;"",Model!AE203,"")</f>
        <v/>
      </c>
      <c r="AF193" s="363" t="str">
        <f>IF(Model!AF203&lt;&gt;"",Model!AF203,"")</f>
        <v/>
      </c>
      <c r="AG193" s="363" t="str">
        <f>IF(Model!AH203&lt;&gt;"",Model!AG203,"")</f>
        <v/>
      </c>
      <c r="AH193" s="363" t="str">
        <f>IF(Model!AH203&lt;&gt;"",Model!AH203,"")</f>
        <v/>
      </c>
      <c r="AI193" s="363" t="str">
        <f>IF(Model!AI203&lt;&gt;"",Model!AI203,"")</f>
        <v/>
      </c>
      <c r="AJ193" s="363" t="str">
        <f>IF(Model!AK203&lt;&gt;"",Model!AJ203,"")</f>
        <v/>
      </c>
      <c r="AK193" s="363" t="str">
        <f>IF(Model!AK203&lt;&gt;"",Model!AK203,"")</f>
        <v/>
      </c>
      <c r="AL193" s="363" t="str">
        <f>IF(Model!AL203&lt;&gt;"",Model!AL203,"")</f>
        <v/>
      </c>
      <c r="AM193" s="363" t="str">
        <f>IF(Model!AN203&lt;&gt;"",Model!AM203,"")</f>
        <v/>
      </c>
      <c r="AN193" s="363" t="str">
        <f>IF(Model!AN203&lt;&gt;"",Model!AN203,"")</f>
        <v/>
      </c>
      <c r="AO193" s="363" t="str">
        <f>IF(Model!AO203&lt;&gt;"",Model!AO203,"")</f>
        <v/>
      </c>
      <c r="AP193" s="363" t="str">
        <f>IF(Model!AQ203&lt;&gt;"",Model!AP203,"")</f>
        <v/>
      </c>
      <c r="AQ193" s="363" t="str">
        <f>IF(Model!AQ203&lt;&gt;"",Model!AQ203,"")</f>
        <v/>
      </c>
      <c r="AR193" s="363" t="str">
        <f>IF(Model!AR203&lt;&gt;"",Model!AR203,"")</f>
        <v/>
      </c>
      <c r="AS193" s="363" t="str">
        <f>IF(Model!AT203&lt;&gt;"",Model!AS203,"")</f>
        <v/>
      </c>
      <c r="AT193" s="363" t="str">
        <f>IF(Model!AT203&lt;&gt;"",Model!AT203,"")</f>
        <v/>
      </c>
      <c r="AU193" s="363" t="str">
        <f>IF(Model!AU203&lt;&gt;"",Model!AU203,"")</f>
        <v/>
      </c>
      <c r="AV193" s="363" t="str">
        <f>IF(Model!AW203&lt;&gt;"",Model!AV203,"")</f>
        <v/>
      </c>
      <c r="AW193" s="363" t="str">
        <f>IF(Model!AW203&lt;&gt;"",Model!AW203,"")</f>
        <v/>
      </c>
      <c r="AX193" s="363">
        <f>IF(Model!AX203&lt;&gt;"",Model!AX203,"")</f>
        <v>0</v>
      </c>
      <c r="AY193" s="363">
        <f>IF(Model!AZ203&lt;&gt;"",Model!AY203,"")</f>
        <v>0</v>
      </c>
      <c r="AZ193" s="363">
        <f>IF(Model!AZ203&lt;&gt;"",Model!AZ203,"")</f>
        <v>0</v>
      </c>
      <c r="BA193" s="363">
        <f>IF(Model!BA203&lt;&gt;"",Model!BA203,"")</f>
        <v>0</v>
      </c>
      <c r="BB193" s="363">
        <f>IF(Model!BC203&lt;&gt;"",Model!BB203,"")</f>
        <v>0</v>
      </c>
      <c r="BC193" s="363">
        <f>IF(Model!BC203&lt;&gt;"",Model!BC203,"")</f>
        <v>0</v>
      </c>
      <c r="BD193" s="363"/>
      <c r="BE193" s="363">
        <f>IF(Model!BF203&lt;&gt;"",Model!BE203,"")</f>
        <v>0</v>
      </c>
      <c r="BF193" s="363"/>
      <c r="BG193" s="363"/>
      <c r="BH193" s="363">
        <f>IF(Model!BI203&lt;&gt;"",Model!BH203,"")</f>
        <v>0</v>
      </c>
      <c r="BI193" s="363"/>
      <c r="BJ193" s="363"/>
      <c r="BK193" s="363">
        <f>IF(Model!BL203&lt;&gt;"",Model!BK203,"")</f>
        <v>0</v>
      </c>
      <c r="BL193" s="363"/>
      <c r="BM193" s="363"/>
      <c r="BN193" s="363">
        <f>IF(Model!BO203&lt;&gt;"",Model!BN203,"")</f>
        <v>0</v>
      </c>
      <c r="BO193" s="363"/>
      <c r="BP193" s="363"/>
      <c r="BQ193" s="363">
        <f>IF(Model!BR203&lt;&gt;"",Model!BQ203,"")</f>
        <v>0</v>
      </c>
      <c r="BR193" s="363"/>
      <c r="BS193" s="363"/>
      <c r="BT193" s="363">
        <f>IF(Model!BU203&lt;&gt;"",Model!BT203,"")</f>
        <v>0</v>
      </c>
      <c r="BU193" s="363"/>
      <c r="BV193" s="363"/>
      <c r="BW193" s="363">
        <f>IF(Model!BX203&lt;&gt;"",Model!BW203,"")</f>
        <v>0</v>
      </c>
      <c r="BX193" s="363"/>
      <c r="BY193" s="363"/>
      <c r="BZ193" s="363">
        <f>IF(Model!CA203&lt;&gt;"",Model!BZ203,"")</f>
        <v>0</v>
      </c>
      <c r="CA193" s="363"/>
      <c r="CB193" s="363"/>
      <c r="CC193" s="363">
        <f>IF(Model!CD203&lt;&gt;"",Model!CC203,"")</f>
        <v>0</v>
      </c>
      <c r="CD193" s="363"/>
      <c r="CE193" s="363"/>
      <c r="CF193" s="363">
        <f>IF(Model!CG203&lt;&gt;"",Model!CF203,"")</f>
        <v>0</v>
      </c>
      <c r="CG193" s="363"/>
      <c r="CH193" s="363"/>
      <c r="CI193" s="363">
        <f>IF(Model!CJ203&lt;&gt;"",Model!CI203,"")</f>
        <v>0</v>
      </c>
      <c r="CJ193" s="363"/>
      <c r="CK193" s="363"/>
      <c r="CL193" s="363">
        <f>IF(Model!CM203&lt;&gt;"",Model!CL203,"")</f>
        <v>0</v>
      </c>
      <c r="CM193" s="363"/>
      <c r="CN193" s="363"/>
      <c r="CO193" s="363">
        <f>IF(Model!CP203&lt;&gt;"",Model!CO203,"")</f>
        <v>0</v>
      </c>
      <c r="CP193" s="363"/>
      <c r="CQ193" s="363"/>
      <c r="CR193" s="363">
        <f>IF(Model!CS203&lt;&gt;"",Model!CR203,"")</f>
        <v>0</v>
      </c>
      <c r="CS193" s="363"/>
      <c r="CT193" s="363"/>
      <c r="CU193" s="363">
        <f>IF(Model!CV203&lt;&gt;"",Model!CU203,"")</f>
        <v>0</v>
      </c>
      <c r="CV193" s="363"/>
      <c r="CW193" s="363"/>
      <c r="CX193" s="363">
        <f>IF(Model!CY203&lt;&gt;"",Model!CX203,"")</f>
        <v>0</v>
      </c>
      <c r="CY193" s="363"/>
      <c r="CZ193" s="363"/>
      <c r="DA193" s="363">
        <f>IF(Model!DB203&lt;&gt;"",Model!DA203,"")</f>
        <v>0</v>
      </c>
      <c r="DB193" s="363"/>
      <c r="DC193" s="363"/>
      <c r="DD193" s="363">
        <f>IF(Model!DE203&lt;&gt;"",Model!DD203,"")</f>
        <v>0</v>
      </c>
      <c r="DE193" s="363"/>
      <c r="DF193" s="363"/>
      <c r="DG193" s="363">
        <f>IF(Model!DH203&lt;&gt;"",Model!DG203,"")</f>
        <v>0</v>
      </c>
      <c r="DH193" s="363"/>
      <c r="DI193" s="363"/>
      <c r="DJ193" s="363">
        <f>IF(Model!DK203&lt;&gt;"",Model!DJ203,"")</f>
        <v>0</v>
      </c>
      <c r="DK193" s="1210"/>
      <c r="DL193" s="363"/>
      <c r="DM193" s="363">
        <f>IF(Model!DN203&lt;&gt;"",Model!DM203,"")</f>
        <v>0</v>
      </c>
      <c r="DN193" s="1210"/>
      <c r="DO193" s="363"/>
      <c r="DP193" s="363">
        <f>IF(Model!DQ203&lt;&gt;"",Model!DP203,"")</f>
        <v>0</v>
      </c>
      <c r="DQ193" s="1210"/>
      <c r="DR193" s="363"/>
      <c r="DS193" s="363">
        <f>IF(Model!DT203&lt;&gt;"",Model!DS203,"")</f>
        <v>0</v>
      </c>
      <c r="DT193" s="1210"/>
      <c r="DU193" s="363"/>
      <c r="DV193" s="363">
        <f>IF(Model!DW203&lt;&gt;"",Model!DV203,"")</f>
        <v>0</v>
      </c>
      <c r="DW193" s="1210"/>
      <c r="DX193" s="363"/>
      <c r="DY193" s="363">
        <f>IF(Model!DZ203&lt;&gt;"",Model!DY203,"")</f>
        <v>0</v>
      </c>
      <c r="DZ193" s="1210"/>
      <c r="EA193" s="363"/>
      <c r="EB193" s="363">
        <f>IF(Model!EC203&lt;&gt;"",Model!EB203,"")</f>
        <v>0</v>
      </c>
      <c r="EC193" s="1210"/>
      <c r="ED193" s="363"/>
      <c r="EE193" s="363">
        <f>IF(Model!EF203&lt;&gt;"",Model!EE203,"")</f>
        <v>0</v>
      </c>
      <c r="EF193" s="1210"/>
      <c r="EG193" s="363"/>
      <c r="EH193" s="363">
        <f>IF(Model!EI203&lt;&gt;"",Model!EH203,"")</f>
        <v>0</v>
      </c>
      <c r="EI193" s="1210"/>
      <c r="EJ193" s="363"/>
      <c r="EK193" s="363">
        <f>IF(Model!EL203&lt;&gt;"",Model!EK203,"")</f>
        <v>0</v>
      </c>
      <c r="EL193" s="1210"/>
      <c r="EM193" s="363"/>
      <c r="EN193" s="363">
        <f>IF(Model!EO203&lt;&gt;"",Model!EN203,"")</f>
        <v>0</v>
      </c>
      <c r="EO193" s="1210"/>
      <c r="EP193" s="363"/>
      <c r="EQ193" s="363">
        <f>IF(Model!ER203&lt;&gt;"",Model!EQ203,"")</f>
        <v>0</v>
      </c>
      <c r="ER193" s="1210"/>
      <c r="ES193" s="363"/>
      <c r="ET193" s="363">
        <f>IF(Model!EU203&lt;&gt;"",Model!ET203,"")</f>
        <v>0</v>
      </c>
      <c r="EU193" s="1210"/>
      <c r="EV193" s="363"/>
      <c r="EW193" s="363">
        <f>IF(Model!EX203&lt;&gt;"",Model!EW203,"")</f>
        <v>0</v>
      </c>
      <c r="EX193" s="1210"/>
      <c r="EY193" s="363"/>
      <c r="EZ193" s="363">
        <f>IF(Model!FA203&lt;&gt;"",Model!EZ203,"")</f>
        <v>0</v>
      </c>
      <c r="FA193" s="363"/>
    </row>
    <row r="194" spans="1:157" ht="13.35" customHeight="1">
      <c r="A194" s="5"/>
      <c r="B194" s="401" t="s">
        <v>747</v>
      </c>
      <c r="C194" s="401"/>
      <c r="D194" s="5"/>
      <c r="E194" s="363" t="str">
        <f>IF(Model!E204&lt;&gt;"",Model!E204,"")</f>
        <v/>
      </c>
      <c r="F194" s="363" t="str">
        <f>IF(Model!G204&lt;&gt;"",Model!F204,"")</f>
        <v/>
      </c>
      <c r="G194" s="363" t="str">
        <f>IF(Model!G204&lt;&gt;"",Model!G204,"")</f>
        <v/>
      </c>
      <c r="H194" s="363" t="str">
        <f>IF(Model!H204&lt;&gt;"",Model!H204,"")</f>
        <v/>
      </c>
      <c r="I194" s="363" t="str">
        <f>IF(Model!J204&lt;&gt;"",Model!I204,"")</f>
        <v/>
      </c>
      <c r="J194" s="363" t="str">
        <f>IF(Model!J204&lt;&gt;"",Model!J204,"")</f>
        <v/>
      </c>
      <c r="K194" s="363" t="str">
        <f>IF(Model!K204&lt;&gt;"",Model!K204,"")</f>
        <v/>
      </c>
      <c r="L194" s="363" t="str">
        <f>IF(Model!M204&lt;&gt;"",Model!L204,"")</f>
        <v/>
      </c>
      <c r="M194" s="363" t="str">
        <f>IF(Model!M204&lt;&gt;"",Model!M204,"")</f>
        <v/>
      </c>
      <c r="N194" s="363" t="str">
        <f>IF(Model!N204&lt;&gt;"",Model!N204,"")</f>
        <v/>
      </c>
      <c r="O194" s="363" t="str">
        <f>IF(Model!P204&lt;&gt;"",Model!O204,"")</f>
        <v/>
      </c>
      <c r="P194" s="363" t="str">
        <f>IF(Model!P204&lt;&gt;"",Model!P204,"")</f>
        <v/>
      </c>
      <c r="Q194" s="363" t="str">
        <f>IF(Model!Q204&lt;&gt;"",Model!Q204,"")</f>
        <v/>
      </c>
      <c r="R194" s="363" t="str">
        <f>IF(Model!S204&lt;&gt;"",Model!R204,"")</f>
        <v/>
      </c>
      <c r="S194" s="363" t="str">
        <f>IF(Model!S204&lt;&gt;"",Model!S204,"")</f>
        <v/>
      </c>
      <c r="T194" s="363" t="str">
        <f>IF(Model!T204&lt;&gt;"",Model!T204,"")</f>
        <v/>
      </c>
      <c r="U194" s="363" t="str">
        <f>IF(Model!V204&lt;&gt;"",Model!U204,"")</f>
        <v/>
      </c>
      <c r="V194" s="363" t="str">
        <f>IF(Model!V204&lt;&gt;"",Model!V204,"")</f>
        <v/>
      </c>
      <c r="W194" s="363" t="str">
        <f>IF(Model!W204&lt;&gt;"",Model!W204,"")</f>
        <v/>
      </c>
      <c r="X194" s="363" t="str">
        <f>IF(Model!Y204&lt;&gt;"",Model!X204,"")</f>
        <v/>
      </c>
      <c r="Y194" s="363" t="str">
        <f>IF(Model!Y204&lt;&gt;"",Model!Y204,"")</f>
        <v/>
      </c>
      <c r="Z194" s="363" t="str">
        <f>IF(Model!Z204&lt;&gt;"",Model!Z204,"")</f>
        <v/>
      </c>
      <c r="AA194" s="363" t="str">
        <f>IF(Model!AB204&lt;&gt;"",Model!AA204,"")</f>
        <v/>
      </c>
      <c r="AB194" s="363" t="str">
        <f>IF(Model!AB204&lt;&gt;"",Model!AB204,"")</f>
        <v/>
      </c>
      <c r="AC194" s="363" t="str">
        <f>IF(Model!AC204&lt;&gt;"",Model!AC204,"")</f>
        <v/>
      </c>
      <c r="AD194" s="363" t="str">
        <f>IF(Model!AE204&lt;&gt;"",Model!AD204,"")</f>
        <v/>
      </c>
      <c r="AE194" s="363" t="str">
        <f>IF(Model!AE204&lt;&gt;"",Model!AE204,"")</f>
        <v/>
      </c>
      <c r="AF194" s="363" t="str">
        <f>IF(Model!AF204&lt;&gt;"",Model!AF204,"")</f>
        <v/>
      </c>
      <c r="AG194" s="363" t="str">
        <f>IF(Model!AH204&lt;&gt;"",Model!AG204,"")</f>
        <v/>
      </c>
      <c r="AH194" s="363" t="str">
        <f>IF(Model!AH204&lt;&gt;"",Model!AH204,"")</f>
        <v/>
      </c>
      <c r="AI194" s="363" t="str">
        <f>IF(Model!AI204&lt;&gt;"",Model!AI204,"")</f>
        <v/>
      </c>
      <c r="AJ194" s="363" t="str">
        <f>IF(Model!AK204&lt;&gt;"",Model!AJ204,"")</f>
        <v/>
      </c>
      <c r="AK194" s="363" t="str">
        <f>IF(Model!AK204&lt;&gt;"",Model!AK204,"")</f>
        <v/>
      </c>
      <c r="AL194" s="363" t="str">
        <f>IF(Model!AL204&lt;&gt;"",Model!AL204,"")</f>
        <v/>
      </c>
      <c r="AM194" s="363" t="str">
        <f>IF(Model!AN204&lt;&gt;"",Model!AM204,"")</f>
        <v/>
      </c>
      <c r="AN194" s="363" t="str">
        <f>IF(Model!AN204&lt;&gt;"",Model!AN204,"")</f>
        <v/>
      </c>
      <c r="AO194" s="363" t="str">
        <f>IF(Model!AO204&lt;&gt;"",Model!AO204,"")</f>
        <v/>
      </c>
      <c r="AP194" s="363" t="str">
        <f>IF(Model!AQ204&lt;&gt;"",Model!AP204,"")</f>
        <v/>
      </c>
      <c r="AQ194" s="363" t="str">
        <f>IF(Model!AQ204&lt;&gt;"",Model!AQ204,"")</f>
        <v/>
      </c>
      <c r="AR194" s="363" t="str">
        <f>IF(Model!AR204&lt;&gt;"",Model!AR204,"")</f>
        <v/>
      </c>
      <c r="AS194" s="363" t="str">
        <f>IF(Model!AT204&lt;&gt;"",Model!AS204,"")</f>
        <v/>
      </c>
      <c r="AT194" s="363" t="str">
        <f>IF(Model!AT204&lt;&gt;"",Model!AT204,"")</f>
        <v/>
      </c>
      <c r="AU194" s="363" t="str">
        <f>IF(Model!AU204&lt;&gt;"",Model!AU204,"")</f>
        <v/>
      </c>
      <c r="AV194" s="363" t="str">
        <f>IF(Model!AW204&lt;&gt;"",Model!AV204,"")</f>
        <v/>
      </c>
      <c r="AW194" s="363" t="str">
        <f>IF(Model!AW204&lt;&gt;"",Model!AW204,"")</f>
        <v/>
      </c>
      <c r="AX194" s="363">
        <f>IF(Model!AX204&lt;&gt;"",Model!AX204,"")</f>
        <v>0</v>
      </c>
      <c r="AY194" s="363">
        <f>IF(Model!AZ204&lt;&gt;"",Model!AY204,"")</f>
        <v>0</v>
      </c>
      <c r="AZ194" s="363">
        <f>IF(Model!AZ204&lt;&gt;"",Model!AZ204,"")</f>
        <v>0</v>
      </c>
      <c r="BA194" s="363">
        <f>IF(Model!BA204&lt;&gt;"",Model!BA204,"")</f>
        <v>0</v>
      </c>
      <c r="BB194" s="363">
        <f>IF(Model!BC204&lt;&gt;"",Model!BB204,"")</f>
        <v>0</v>
      </c>
      <c r="BC194" s="363">
        <f>IF(Model!BC204&lt;&gt;"",Model!BC204,"")</f>
        <v>0</v>
      </c>
      <c r="BD194" s="363"/>
      <c r="BE194" s="363"/>
      <c r="BF194" s="363"/>
      <c r="BG194" s="363"/>
      <c r="BH194" s="363"/>
      <c r="BI194" s="363"/>
      <c r="BJ194" s="363"/>
      <c r="BK194" s="363"/>
      <c r="BL194" s="363"/>
      <c r="BM194" s="363"/>
      <c r="BN194" s="363"/>
      <c r="BO194" s="363"/>
      <c r="BP194" s="363"/>
      <c r="BQ194" s="363"/>
      <c r="BR194" s="363"/>
      <c r="BS194" s="363"/>
      <c r="BT194" s="363"/>
      <c r="BU194" s="363"/>
      <c r="BV194" s="363"/>
      <c r="BW194" s="363"/>
      <c r="BX194" s="363"/>
      <c r="BY194" s="363"/>
      <c r="BZ194" s="363"/>
      <c r="CA194" s="363"/>
      <c r="CB194" s="363"/>
      <c r="CC194" s="363"/>
      <c r="CD194" s="363"/>
      <c r="CE194" s="363"/>
      <c r="CF194" s="363"/>
      <c r="CG194" s="363"/>
      <c r="CH194" s="363"/>
      <c r="CI194" s="363"/>
      <c r="CJ194" s="363"/>
      <c r="CK194" s="363"/>
      <c r="CL194" s="363"/>
      <c r="CM194" s="363"/>
      <c r="CN194" s="363"/>
      <c r="CO194" s="363"/>
      <c r="CP194" s="363"/>
      <c r="CQ194" s="363"/>
      <c r="CR194" s="363"/>
      <c r="CS194" s="363"/>
      <c r="CT194" s="363"/>
      <c r="CU194" s="363"/>
      <c r="CV194" s="363"/>
      <c r="CW194" s="363"/>
      <c r="CX194" s="363"/>
      <c r="CY194" s="363"/>
      <c r="CZ194" s="363"/>
      <c r="DA194" s="363"/>
      <c r="DB194" s="363"/>
      <c r="DC194" s="363"/>
      <c r="DD194" s="363"/>
      <c r="DE194" s="363"/>
      <c r="DF194" s="363"/>
      <c r="DG194" s="363"/>
      <c r="DH194" s="363"/>
      <c r="DI194" s="363"/>
      <c r="DJ194" s="363"/>
      <c r="DK194" s="1210"/>
      <c r="DL194" s="363"/>
      <c r="DM194" s="363"/>
      <c r="DN194" s="1210"/>
      <c r="DO194" s="363"/>
      <c r="DP194" s="363"/>
      <c r="DQ194" s="1210"/>
      <c r="DR194" s="363"/>
      <c r="DS194" s="363"/>
      <c r="DT194" s="1210"/>
      <c r="DU194" s="363"/>
      <c r="DV194" s="363"/>
      <c r="DW194" s="1210"/>
      <c r="DX194" s="363"/>
      <c r="DY194" s="363"/>
      <c r="DZ194" s="1210"/>
      <c r="EA194" s="363"/>
      <c r="EB194" s="363"/>
      <c r="EC194" s="1210"/>
      <c r="ED194" s="363"/>
      <c r="EE194" s="363"/>
      <c r="EF194" s="1210"/>
      <c r="EG194" s="363"/>
      <c r="EH194" s="363"/>
      <c r="EI194" s="1210"/>
      <c r="EJ194" s="363"/>
      <c r="EK194" s="363"/>
      <c r="EL194" s="1210"/>
      <c r="EM194" s="363"/>
      <c r="EN194" s="363"/>
      <c r="EO194" s="1210"/>
      <c r="EP194" s="363"/>
      <c r="EQ194" s="363"/>
      <c r="ER194" s="1210"/>
      <c r="ES194" s="363"/>
      <c r="ET194" s="363"/>
      <c r="EU194" s="1210"/>
      <c r="EV194" s="363"/>
      <c r="EW194" s="363"/>
      <c r="EX194" s="1210"/>
      <c r="EY194" s="363"/>
      <c r="EZ194" s="363"/>
      <c r="FA194" s="363"/>
    </row>
    <row r="195" spans="1:157" ht="13.35" customHeight="1">
      <c r="A195" s="5"/>
      <c r="B195" s="5" t="s">
        <v>344</v>
      </c>
      <c r="C195" s="401"/>
      <c r="D195" s="5"/>
      <c r="E195" s="363"/>
      <c r="F195" s="363"/>
      <c r="G195" s="363"/>
      <c r="H195" s="363"/>
      <c r="I195" s="363"/>
      <c r="J195" s="363"/>
      <c r="K195" s="363"/>
      <c r="L195" s="363"/>
      <c r="M195" s="363"/>
      <c r="N195" s="363"/>
      <c r="O195" s="363"/>
      <c r="P195" s="363"/>
      <c r="Q195" s="363"/>
      <c r="R195" s="363"/>
      <c r="S195" s="363"/>
      <c r="T195" s="363"/>
      <c r="U195" s="363"/>
      <c r="V195" s="363"/>
      <c r="W195" s="363"/>
      <c r="X195" s="363"/>
      <c r="Y195" s="363"/>
      <c r="Z195" s="363"/>
      <c r="AA195" s="363"/>
      <c r="AB195" s="363"/>
      <c r="AC195" s="363"/>
      <c r="AD195" s="363"/>
      <c r="AE195" s="363"/>
      <c r="AF195" s="363"/>
      <c r="AG195" s="363"/>
      <c r="AH195" s="363"/>
      <c r="AI195" s="363"/>
      <c r="AJ195" s="363"/>
      <c r="AK195" s="363"/>
      <c r="AL195" s="363"/>
      <c r="AM195" s="363"/>
      <c r="AN195" s="363"/>
      <c r="AO195" s="363"/>
      <c r="AP195" s="363"/>
      <c r="AQ195" s="363"/>
      <c r="AR195" s="363"/>
      <c r="AS195" s="363"/>
      <c r="AT195" s="363"/>
      <c r="AU195" s="363"/>
      <c r="AV195" s="363"/>
      <c r="AW195" s="363"/>
      <c r="AX195" s="363"/>
      <c r="AY195" s="363"/>
      <c r="AZ195" s="363"/>
      <c r="BA195" s="363"/>
      <c r="BB195" s="363"/>
      <c r="BC195" s="363"/>
      <c r="BD195" s="363"/>
      <c r="BE195" s="363"/>
      <c r="BF195" s="363"/>
      <c r="BG195" s="363"/>
      <c r="BH195" s="363"/>
      <c r="BI195" s="363"/>
      <c r="BJ195" s="363"/>
      <c r="BK195" s="363"/>
      <c r="BL195" s="363"/>
      <c r="BM195" s="363"/>
      <c r="BN195" s="363"/>
      <c r="BO195" s="363"/>
      <c r="BP195" s="363"/>
      <c r="BQ195" s="363"/>
      <c r="BR195" s="363"/>
      <c r="BS195" s="363"/>
      <c r="BT195" s="363"/>
      <c r="BU195" s="363"/>
      <c r="BV195" s="363"/>
      <c r="BW195" s="363"/>
      <c r="BX195" s="363"/>
      <c r="BY195" s="363"/>
      <c r="BZ195" s="363"/>
      <c r="CA195" s="363"/>
      <c r="CB195" s="363"/>
      <c r="CC195" s="363"/>
      <c r="CD195" s="363"/>
      <c r="CE195" s="363"/>
      <c r="CF195" s="363"/>
      <c r="CG195" s="363"/>
      <c r="CH195" s="363"/>
      <c r="CI195" s="363"/>
      <c r="CJ195" s="363"/>
      <c r="CK195" s="363"/>
      <c r="CL195" s="363"/>
      <c r="CM195" s="363"/>
      <c r="CN195" s="363"/>
      <c r="CO195" s="363"/>
      <c r="CP195" s="363"/>
      <c r="CQ195" s="363"/>
      <c r="CR195" s="363"/>
      <c r="CS195" s="363"/>
      <c r="CT195" s="363"/>
      <c r="CU195" s="363"/>
      <c r="CV195" s="363"/>
      <c r="CW195" s="363"/>
      <c r="CX195" s="363"/>
      <c r="CY195" s="363"/>
      <c r="CZ195" s="363"/>
      <c r="DA195" s="363"/>
      <c r="DB195" s="363"/>
      <c r="DC195" s="363"/>
      <c r="DD195" s="363"/>
      <c r="DE195" s="363"/>
      <c r="DF195" s="363"/>
      <c r="DG195" s="363"/>
      <c r="DH195" s="363"/>
      <c r="DI195" s="363"/>
      <c r="DJ195" s="363"/>
      <c r="DK195" s="1210"/>
      <c r="DL195" s="363"/>
      <c r="DM195" s="363"/>
      <c r="DN195" s="1210"/>
      <c r="DO195" s="363"/>
      <c r="DP195" s="363"/>
      <c r="DQ195" s="1210"/>
      <c r="DR195" s="363"/>
      <c r="DS195" s="363"/>
      <c r="DT195" s="1210"/>
      <c r="DU195" s="363"/>
      <c r="DV195" s="363"/>
      <c r="DW195" s="1210"/>
      <c r="DX195" s="363"/>
      <c r="DY195" s="363"/>
      <c r="DZ195" s="1210"/>
      <c r="EA195" s="363"/>
      <c r="EB195" s="363"/>
      <c r="EC195" s="1210"/>
      <c r="ED195" s="363"/>
      <c r="EE195" s="363"/>
      <c r="EF195" s="1210"/>
      <c r="EG195" s="363"/>
      <c r="EH195" s="363"/>
      <c r="EI195" s="1210"/>
      <c r="EJ195" s="363"/>
      <c r="EK195" s="363"/>
      <c r="EL195" s="1210"/>
      <c r="EM195" s="363"/>
      <c r="EN195" s="363"/>
      <c r="EO195" s="1210"/>
      <c r="EP195" s="363"/>
      <c r="EQ195" s="363"/>
      <c r="ER195" s="1210"/>
      <c r="ES195" s="363"/>
      <c r="ET195" s="363"/>
      <c r="EU195" s="1210"/>
      <c r="EV195" s="363"/>
      <c r="EW195" s="363"/>
      <c r="EX195" s="1210"/>
      <c r="EY195" s="363"/>
      <c r="EZ195" s="363"/>
      <c r="FA195" s="363"/>
    </row>
    <row r="196" spans="1:157" ht="13.35" customHeight="1">
      <c r="A196" s="5"/>
      <c r="B196" s="401" t="s">
        <v>345</v>
      </c>
      <c r="C196" s="401"/>
      <c r="D196" s="5"/>
      <c r="E196" s="363" t="str">
        <f t="shared" ref="E196:N196" si="421">IF(OR(E197&lt;&gt;"",E198&lt;&gt;""),SUM(E197:E198),"")</f>
        <v/>
      </c>
      <c r="F196" s="363" t="str">
        <f t="shared" si="421"/>
        <v/>
      </c>
      <c r="G196" s="363" t="str">
        <f t="shared" si="421"/>
        <v/>
      </c>
      <c r="H196" s="363" t="str">
        <f t="shared" si="421"/>
        <v/>
      </c>
      <c r="I196" s="363" t="str">
        <f t="shared" si="421"/>
        <v/>
      </c>
      <c r="J196" s="363" t="str">
        <f t="shared" si="421"/>
        <v/>
      </c>
      <c r="K196" s="363" t="str">
        <f t="shared" si="421"/>
        <v/>
      </c>
      <c r="L196" s="363" t="str">
        <f t="shared" si="421"/>
        <v/>
      </c>
      <c r="M196" s="363" t="str">
        <f t="shared" si="421"/>
        <v/>
      </c>
      <c r="N196" s="363" t="str">
        <f t="shared" si="421"/>
        <v/>
      </c>
      <c r="O196" s="363" t="str">
        <f t="shared" ref="O196:X196" si="422">IF(OR(O197&lt;&gt;"",O198&lt;&gt;""),SUM(O197:O198),"")</f>
        <v/>
      </c>
      <c r="P196" s="363" t="str">
        <f t="shared" si="422"/>
        <v/>
      </c>
      <c r="Q196" s="363" t="str">
        <f t="shared" si="422"/>
        <v/>
      </c>
      <c r="R196" s="363" t="str">
        <f t="shared" si="422"/>
        <v/>
      </c>
      <c r="S196" s="363" t="str">
        <f t="shared" si="422"/>
        <v/>
      </c>
      <c r="T196" s="363" t="str">
        <f t="shared" si="422"/>
        <v/>
      </c>
      <c r="U196" s="363" t="str">
        <f t="shared" si="422"/>
        <v/>
      </c>
      <c r="V196" s="363" t="str">
        <f t="shared" si="422"/>
        <v/>
      </c>
      <c r="W196" s="363" t="str">
        <f t="shared" si="422"/>
        <v/>
      </c>
      <c r="X196" s="363" t="str">
        <f t="shared" si="422"/>
        <v/>
      </c>
      <c r="Y196" s="363" t="str">
        <f t="shared" ref="Y196:AH196" si="423">IF(OR(Y197&lt;&gt;"",Y198&lt;&gt;""),SUM(Y197:Y198),"")</f>
        <v/>
      </c>
      <c r="Z196" s="363" t="str">
        <f t="shared" si="423"/>
        <v/>
      </c>
      <c r="AA196" s="363" t="str">
        <f t="shared" si="423"/>
        <v/>
      </c>
      <c r="AB196" s="363" t="str">
        <f t="shared" si="423"/>
        <v/>
      </c>
      <c r="AC196" s="363" t="str">
        <f t="shared" si="423"/>
        <v/>
      </c>
      <c r="AD196" s="363" t="str">
        <f t="shared" si="423"/>
        <v/>
      </c>
      <c r="AE196" s="363" t="str">
        <f t="shared" si="423"/>
        <v/>
      </c>
      <c r="AF196" s="363" t="str">
        <f t="shared" si="423"/>
        <v/>
      </c>
      <c r="AG196" s="363" t="str">
        <f t="shared" si="423"/>
        <v/>
      </c>
      <c r="AH196" s="363" t="str">
        <f t="shared" si="423"/>
        <v/>
      </c>
      <c r="AI196" s="363" t="str">
        <f t="shared" ref="AI196:AU196" si="424">IF(OR(AI197&lt;&gt;"",AI198&lt;&gt;""),SUM(AI197:AI198),"")</f>
        <v/>
      </c>
      <c r="AJ196" s="363" t="str">
        <f t="shared" si="424"/>
        <v/>
      </c>
      <c r="AK196" s="363" t="str">
        <f t="shared" si="424"/>
        <v/>
      </c>
      <c r="AL196" s="363" t="str">
        <f t="shared" si="424"/>
        <v/>
      </c>
      <c r="AM196" s="363" t="str">
        <f t="shared" si="424"/>
        <v/>
      </c>
      <c r="AN196" s="363" t="str">
        <f t="shared" si="424"/>
        <v/>
      </c>
      <c r="AO196" s="363" t="str">
        <f t="shared" si="424"/>
        <v/>
      </c>
      <c r="AP196" s="363" t="str">
        <f t="shared" si="424"/>
        <v/>
      </c>
      <c r="AQ196" s="363" t="str">
        <f t="shared" si="424"/>
        <v/>
      </c>
      <c r="AR196" s="363" t="str">
        <f t="shared" si="424"/>
        <v/>
      </c>
      <c r="AS196" s="363" t="str">
        <f t="shared" si="424"/>
        <v/>
      </c>
      <c r="AT196" s="363" t="str">
        <f t="shared" si="424"/>
        <v/>
      </c>
      <c r="AU196" s="363">
        <f t="shared" si="424"/>
        <v>1.383</v>
      </c>
      <c r="AV196" s="363">
        <f t="shared" ref="AV196:BC196" si="425">IF(OR(AV197&lt;&gt;"",AV198&lt;&gt;""),SUM(AV197:AV198),"")</f>
        <v>0</v>
      </c>
      <c r="AW196" s="363">
        <f t="shared" si="425"/>
        <v>1.383</v>
      </c>
      <c r="AX196" s="363">
        <f t="shared" si="425"/>
        <v>1.5469999999999999</v>
      </c>
      <c r="AY196" s="363">
        <f t="shared" si="425"/>
        <v>3.400000000000003E-2</v>
      </c>
      <c r="AZ196" s="363">
        <f t="shared" si="425"/>
        <v>1.581</v>
      </c>
      <c r="BA196" s="363">
        <f t="shared" si="425"/>
        <v>2.919</v>
      </c>
      <c r="BB196" s="363">
        <f t="shared" si="425"/>
        <v>0</v>
      </c>
      <c r="BC196" s="363">
        <f t="shared" si="425"/>
        <v>2.919</v>
      </c>
      <c r="BD196" s="363" t="str">
        <f t="shared" ref="BD196:BO196" si="426">IF(OR(BD197&lt;&gt;"",BD198&lt;&gt;""),SUM(BD197:BD198),"")</f>
        <v/>
      </c>
      <c r="BE196" s="363">
        <f t="shared" si="426"/>
        <v>0</v>
      </c>
      <c r="BF196" s="363" t="str">
        <f t="shared" si="426"/>
        <v/>
      </c>
      <c r="BG196" s="363" t="str">
        <f t="shared" si="426"/>
        <v/>
      </c>
      <c r="BH196" s="363">
        <f t="shared" si="426"/>
        <v>0</v>
      </c>
      <c r="BI196" s="363" t="str">
        <f t="shared" si="426"/>
        <v/>
      </c>
      <c r="BJ196" s="363" t="str">
        <f t="shared" si="426"/>
        <v/>
      </c>
      <c r="BK196" s="363">
        <f t="shared" si="426"/>
        <v>0</v>
      </c>
      <c r="BL196" s="363" t="str">
        <f t="shared" si="426"/>
        <v/>
      </c>
      <c r="BM196" s="363" t="str">
        <f t="shared" si="426"/>
        <v/>
      </c>
      <c r="BN196" s="363">
        <f t="shared" si="426"/>
        <v>0</v>
      </c>
      <c r="BO196" s="363" t="str">
        <f t="shared" si="426"/>
        <v/>
      </c>
      <c r="BP196" s="363" t="str">
        <f t="shared" ref="BP196:DK196" si="427">IF(OR(BP197&lt;&gt;"",BP198&lt;&gt;""),SUM(BP197:BP198),"")</f>
        <v/>
      </c>
      <c r="BQ196" s="363">
        <f t="shared" si="427"/>
        <v>17.288</v>
      </c>
      <c r="BR196" s="363" t="str">
        <f t="shared" si="427"/>
        <v/>
      </c>
      <c r="BS196" s="363" t="str">
        <f t="shared" si="427"/>
        <v/>
      </c>
      <c r="BT196" s="363">
        <f t="shared" si="427"/>
        <v>0</v>
      </c>
      <c r="BU196" s="363" t="str">
        <f t="shared" si="427"/>
        <v/>
      </c>
      <c r="BV196" s="363" t="str">
        <f t="shared" si="427"/>
        <v/>
      </c>
      <c r="BW196" s="363">
        <f t="shared" si="427"/>
        <v>9.9999999999944578E-4</v>
      </c>
      <c r="BX196" s="363" t="str">
        <f t="shared" si="427"/>
        <v/>
      </c>
      <c r="BY196" s="363" t="str">
        <f t="shared" si="427"/>
        <v/>
      </c>
      <c r="BZ196" s="363">
        <f t="shared" si="427"/>
        <v>4.9999999999998934E-2</v>
      </c>
      <c r="CA196" s="363" t="str">
        <f t="shared" si="427"/>
        <v/>
      </c>
      <c r="CB196" s="363" t="str">
        <f t="shared" si="427"/>
        <v/>
      </c>
      <c r="CC196" s="363">
        <f t="shared" si="427"/>
        <v>7.0640000000000001</v>
      </c>
      <c r="CD196" s="363" t="str">
        <f t="shared" si="427"/>
        <v/>
      </c>
      <c r="CE196" s="363">
        <f t="shared" si="427"/>
        <v>5.4880000000000004</v>
      </c>
      <c r="CF196" s="363">
        <f t="shared" si="427"/>
        <v>-2.7670000000000003</v>
      </c>
      <c r="CG196" s="363">
        <f t="shared" si="427"/>
        <v>5.4880000000000004</v>
      </c>
      <c r="CH196" s="363" t="str">
        <f t="shared" si="427"/>
        <v/>
      </c>
      <c r="CI196" s="363">
        <f t="shared" si="427"/>
        <v>-0.13500000000000001</v>
      </c>
      <c r="CJ196" s="363" t="str">
        <f t="shared" si="427"/>
        <v/>
      </c>
      <c r="CK196" s="363" t="str">
        <f t="shared" si="427"/>
        <v/>
      </c>
      <c r="CL196" s="363">
        <f t="shared" si="427"/>
        <v>0.34200000000000008</v>
      </c>
      <c r="CM196" s="363" t="str">
        <f t="shared" si="427"/>
        <v/>
      </c>
      <c r="CN196" s="363" t="str">
        <f t="shared" si="427"/>
        <v/>
      </c>
      <c r="CO196" s="363">
        <f t="shared" si="427"/>
        <v>0</v>
      </c>
      <c r="CP196" s="363" t="str">
        <f t="shared" si="427"/>
        <v/>
      </c>
      <c r="CQ196" s="363" t="str">
        <f t="shared" si="427"/>
        <v/>
      </c>
      <c r="CR196" s="363">
        <f t="shared" si="427"/>
        <v>0</v>
      </c>
      <c r="CS196" s="363" t="str">
        <f t="shared" si="427"/>
        <v/>
      </c>
      <c r="CT196" s="363" t="str">
        <f t="shared" si="427"/>
        <v/>
      </c>
      <c r="CU196" s="363">
        <f t="shared" si="427"/>
        <v>0</v>
      </c>
      <c r="CV196" s="363" t="str">
        <f t="shared" si="427"/>
        <v/>
      </c>
      <c r="CW196" s="363" t="str">
        <f t="shared" si="427"/>
        <v/>
      </c>
      <c r="CX196" s="363">
        <f t="shared" si="427"/>
        <v>-9.0079999999999991</v>
      </c>
      <c r="CY196" s="363" t="str">
        <f t="shared" si="427"/>
        <v/>
      </c>
      <c r="CZ196" s="363" t="str">
        <f t="shared" si="427"/>
        <v/>
      </c>
      <c r="DA196" s="363">
        <f t="shared" si="427"/>
        <v>0</v>
      </c>
      <c r="DB196" s="363" t="str">
        <f t="shared" si="427"/>
        <v/>
      </c>
      <c r="DC196" s="363" t="str">
        <f t="shared" si="427"/>
        <v/>
      </c>
      <c r="DD196" s="363">
        <f t="shared" si="427"/>
        <v>0</v>
      </c>
      <c r="DE196" s="363" t="str">
        <f t="shared" si="427"/>
        <v/>
      </c>
      <c r="DF196" s="363" t="str">
        <f t="shared" si="427"/>
        <v/>
      </c>
      <c r="DG196" s="363">
        <f t="shared" si="427"/>
        <v>1075.6000000000001</v>
      </c>
      <c r="DH196" s="363">
        <f t="shared" si="427"/>
        <v>850</v>
      </c>
      <c r="DI196" s="363" t="str">
        <f t="shared" si="427"/>
        <v/>
      </c>
      <c r="DJ196" s="363">
        <f t="shared" si="427"/>
        <v>0.39999999999999991</v>
      </c>
      <c r="DK196" s="1210" t="str">
        <f t="shared" si="427"/>
        <v/>
      </c>
      <c r="DL196" s="363" t="str">
        <f t="shared" ref="DL196:DQ196" si="428">IF(OR(DL197&lt;&gt;"",DL198&lt;&gt;""),SUM(DL197:DL198),"")</f>
        <v/>
      </c>
      <c r="DM196" s="363">
        <f t="shared" si="428"/>
        <v>9.9999999999999867E-2</v>
      </c>
      <c r="DN196" s="1210" t="str">
        <f t="shared" si="428"/>
        <v/>
      </c>
      <c r="DO196" s="363" t="str">
        <f t="shared" si="428"/>
        <v/>
      </c>
      <c r="DP196" s="363">
        <f t="shared" si="428"/>
        <v>-10.7</v>
      </c>
      <c r="DQ196" s="1210" t="str">
        <f t="shared" si="428"/>
        <v/>
      </c>
      <c r="DR196" s="363" t="str">
        <f t="shared" ref="DR196:DU196" si="429">IF(OR(DR197&lt;&gt;"",DR198&lt;&gt;""),SUM(DR197:DR198),"")</f>
        <v/>
      </c>
      <c r="DS196" s="363">
        <f t="shared" si="429"/>
        <v>-0.29999999999999982</v>
      </c>
      <c r="DT196" s="1210" t="str">
        <f t="shared" si="429"/>
        <v/>
      </c>
      <c r="DU196" s="363" t="str">
        <f t="shared" si="429"/>
        <v/>
      </c>
      <c r="DV196" s="363">
        <f t="shared" ref="DV196:DW196" si="430">IF(OR(DV197&lt;&gt;"",DV198&lt;&gt;""),SUM(DV197:DV198),"")</f>
        <v>-9</v>
      </c>
      <c r="DW196" s="1210" t="str">
        <f t="shared" si="430"/>
        <v/>
      </c>
      <c r="DX196" s="363" t="str">
        <f t="shared" ref="DX196:EF196" si="431">IF(OR(DX197&lt;&gt;"",DX198&lt;&gt;""),SUM(DX197:DX198),"")</f>
        <v/>
      </c>
      <c r="DY196" s="363">
        <f t="shared" si="431"/>
        <v>-37.5</v>
      </c>
      <c r="DZ196" s="1210" t="str">
        <f t="shared" si="431"/>
        <v/>
      </c>
      <c r="EA196" s="363" t="str">
        <f t="shared" si="431"/>
        <v/>
      </c>
      <c r="EB196" s="363">
        <f t="shared" si="431"/>
        <v>-50</v>
      </c>
      <c r="EC196" s="1210" t="str">
        <f t="shared" si="431"/>
        <v/>
      </c>
      <c r="ED196" s="363" t="str">
        <f t="shared" si="431"/>
        <v/>
      </c>
      <c r="EE196" s="363">
        <f t="shared" si="431"/>
        <v>-50</v>
      </c>
      <c r="EF196" s="1210" t="str">
        <f t="shared" si="431"/>
        <v/>
      </c>
      <c r="EG196" s="363" t="str">
        <f t="shared" ref="EG196:EL196" si="432">IF(OR(EG197&lt;&gt;"",EG198&lt;&gt;""),SUM(EG197:EG198),"")</f>
        <v/>
      </c>
      <c r="EH196" s="363">
        <f t="shared" si="432"/>
        <v>-50</v>
      </c>
      <c r="EI196" s="1210" t="str">
        <f t="shared" si="432"/>
        <v/>
      </c>
      <c r="EJ196" s="363" t="str">
        <f t="shared" si="432"/>
        <v/>
      </c>
      <c r="EK196" s="363">
        <f t="shared" si="432"/>
        <v>0</v>
      </c>
      <c r="EL196" s="1210" t="str">
        <f t="shared" si="432"/>
        <v/>
      </c>
      <c r="EM196" s="363" t="str">
        <f t="shared" ref="EM196:ER196" si="433">IF(OR(EM197&lt;&gt;"",EM198&lt;&gt;""),SUM(EM197:EM198),"")</f>
        <v/>
      </c>
      <c r="EN196" s="363">
        <f t="shared" si="433"/>
        <v>0</v>
      </c>
      <c r="EO196" s="1210" t="str">
        <f t="shared" si="433"/>
        <v/>
      </c>
      <c r="EP196" s="363" t="str">
        <f t="shared" si="433"/>
        <v/>
      </c>
      <c r="EQ196" s="363">
        <f t="shared" si="433"/>
        <v>0</v>
      </c>
      <c r="ER196" s="1210" t="str">
        <f t="shared" si="433"/>
        <v/>
      </c>
      <c r="ES196" s="363" t="str">
        <f t="shared" ref="ES196:EX196" si="434">IF(OR(ES197&lt;&gt;"",ES198&lt;&gt;""),SUM(ES197:ES198),"")</f>
        <v/>
      </c>
      <c r="ET196" s="363">
        <f t="shared" si="434"/>
        <v>0</v>
      </c>
      <c r="EU196" s="1210" t="str">
        <f t="shared" si="434"/>
        <v/>
      </c>
      <c r="EV196" s="363" t="str">
        <f t="shared" si="434"/>
        <v/>
      </c>
      <c r="EW196" s="363">
        <f t="shared" si="434"/>
        <v>0</v>
      </c>
      <c r="EX196" s="1210" t="str">
        <f t="shared" si="434"/>
        <v/>
      </c>
      <c r="EY196" s="363" t="str">
        <f t="shared" ref="EY196:FA196" si="435">IF(OR(EY197&lt;&gt;"",EY198&lt;&gt;""),SUM(EY197:EY198),"")</f>
        <v/>
      </c>
      <c r="EZ196" s="363">
        <f t="shared" si="435"/>
        <v>0</v>
      </c>
      <c r="FA196" s="363" t="str">
        <f t="shared" si="435"/>
        <v/>
      </c>
    </row>
    <row r="197" spans="1:157" ht="13.35" customHeight="1">
      <c r="A197" s="5"/>
      <c r="B197" s="401" t="s">
        <v>505</v>
      </c>
      <c r="C197" s="401"/>
      <c r="D197" s="5"/>
      <c r="E197" s="363" t="str">
        <f>IF(Model!E207&lt;&gt;"",Model!E207,"")</f>
        <v/>
      </c>
      <c r="F197" s="363" t="str">
        <f>IF(Model!G207&lt;&gt;"",Model!F207,"")</f>
        <v/>
      </c>
      <c r="G197" s="363" t="str">
        <f>IF(Model!G207&lt;&gt;"",Model!G207,"")</f>
        <v/>
      </c>
      <c r="H197" s="363" t="str">
        <f>IF(Model!H207&lt;&gt;"",Model!H207,"")</f>
        <v/>
      </c>
      <c r="I197" s="363" t="str">
        <f>IF(Model!J207&lt;&gt;"",Model!I207,"")</f>
        <v/>
      </c>
      <c r="J197" s="363" t="str">
        <f>IF(Model!J207&lt;&gt;"",Model!J207,"")</f>
        <v/>
      </c>
      <c r="K197" s="363" t="str">
        <f>IF(Model!K207&lt;&gt;"",Model!K207,"")</f>
        <v/>
      </c>
      <c r="L197" s="363" t="str">
        <f>IF(Model!M207&lt;&gt;"",Model!L207,"")</f>
        <v/>
      </c>
      <c r="M197" s="363" t="str">
        <f>IF(Model!M207&lt;&gt;"",Model!M207,"")</f>
        <v/>
      </c>
      <c r="N197" s="363" t="str">
        <f>IF(Model!N207&lt;&gt;"",Model!N207,"")</f>
        <v/>
      </c>
      <c r="O197" s="363" t="str">
        <f>IF(Model!P207&lt;&gt;"",Model!O207,"")</f>
        <v/>
      </c>
      <c r="P197" s="363" t="str">
        <f>IF(Model!P207&lt;&gt;"",Model!P207,"")</f>
        <v/>
      </c>
      <c r="Q197" s="363" t="str">
        <f>IF(Model!Q207&lt;&gt;"",Model!Q207,"")</f>
        <v/>
      </c>
      <c r="R197" s="363" t="str">
        <f>IF(Model!S207&lt;&gt;"",Model!R207,"")</f>
        <v/>
      </c>
      <c r="S197" s="363" t="str">
        <f>IF(Model!S207&lt;&gt;"",Model!S207,"")</f>
        <v/>
      </c>
      <c r="T197" s="363" t="str">
        <f>IF(Model!T207&lt;&gt;"",Model!T207,"")</f>
        <v/>
      </c>
      <c r="U197" s="363" t="str">
        <f>IF(Model!V207&lt;&gt;"",Model!U207,"")</f>
        <v/>
      </c>
      <c r="V197" s="363" t="str">
        <f>IF(Model!V207&lt;&gt;"",Model!V207,"")</f>
        <v/>
      </c>
      <c r="W197" s="363" t="str">
        <f>IF(Model!W207&lt;&gt;"",Model!W207,"")</f>
        <v/>
      </c>
      <c r="X197" s="363" t="str">
        <f>IF(Model!Y207&lt;&gt;"",Model!X207,"")</f>
        <v/>
      </c>
      <c r="Y197" s="363" t="str">
        <f>IF(Model!Y207&lt;&gt;"",Model!Y207,"")</f>
        <v/>
      </c>
      <c r="Z197" s="363" t="str">
        <f>IF(Model!Z207&lt;&gt;"",Model!Z207,"")</f>
        <v/>
      </c>
      <c r="AA197" s="363" t="str">
        <f>IF(Model!AB207&lt;&gt;"",Model!AA207,"")</f>
        <v/>
      </c>
      <c r="AB197" s="363" t="str">
        <f>IF(Model!AB207&lt;&gt;"",Model!AB207,"")</f>
        <v/>
      </c>
      <c r="AC197" s="363" t="str">
        <f>IF(Model!AC207&lt;&gt;"",Model!AC207,"")</f>
        <v/>
      </c>
      <c r="AD197" s="363" t="str">
        <f>IF(Model!AE207&lt;&gt;"",Model!AD207,"")</f>
        <v/>
      </c>
      <c r="AE197" s="363" t="str">
        <f>IF(Model!AE207&lt;&gt;"",Model!AE207,"")</f>
        <v/>
      </c>
      <c r="AF197" s="363" t="str">
        <f>IF(Model!AF207&lt;&gt;"",Model!AF207,"")</f>
        <v/>
      </c>
      <c r="AG197" s="363" t="str">
        <f>IF(Model!AH207&lt;&gt;"",Model!AG207,"")</f>
        <v/>
      </c>
      <c r="AH197" s="363" t="str">
        <f>IF(Model!AH207&lt;&gt;"",Model!AH207,"")</f>
        <v/>
      </c>
      <c r="AI197" s="363" t="str">
        <f>IF(Model!AI207&lt;&gt;"",Model!AI207,"")</f>
        <v/>
      </c>
      <c r="AJ197" s="363" t="str">
        <f>IF(Model!AK207&lt;&gt;"",Model!AJ207,"")</f>
        <v/>
      </c>
      <c r="AK197" s="363" t="str">
        <f>IF(Model!AK207&lt;&gt;"",Model!AK207,"")</f>
        <v/>
      </c>
      <c r="AL197" s="363" t="str">
        <f>IF(Model!AL207&lt;&gt;"",Model!AL207,"")</f>
        <v/>
      </c>
      <c r="AM197" s="363" t="str">
        <f>IF(Model!AN207&lt;&gt;"",Model!AM207,"")</f>
        <v/>
      </c>
      <c r="AN197" s="363" t="str">
        <f>IF(Model!AN207&lt;&gt;"",Model!AN207,"")</f>
        <v/>
      </c>
      <c r="AO197" s="363" t="str">
        <f>IF(Model!AO207&lt;&gt;"",Model!AO207,"")</f>
        <v/>
      </c>
      <c r="AP197" s="363" t="str">
        <f>IF(Model!AQ207&lt;&gt;"",Model!AP207,"")</f>
        <v/>
      </c>
      <c r="AQ197" s="363" t="str">
        <f>IF(Model!AQ207&lt;&gt;"",Model!AQ207,"")</f>
        <v/>
      </c>
      <c r="AR197" s="363" t="str">
        <f>IF(Model!AR207&lt;&gt;"",Model!AR207,"")</f>
        <v/>
      </c>
      <c r="AS197" s="363" t="str">
        <f>IF(Model!AT207&lt;&gt;"",Model!AS207,"")</f>
        <v/>
      </c>
      <c r="AT197" s="363" t="str">
        <f>IF(Model!AT207&lt;&gt;"",Model!AT207,"")</f>
        <v/>
      </c>
      <c r="AU197" s="363">
        <f>IF(Model!AU207&lt;&gt;"",Model!AU207,"")</f>
        <v>1.383</v>
      </c>
      <c r="AV197" s="363">
        <f>IF(Model!AW207&lt;&gt;"",Model!AV207,"")</f>
        <v>0</v>
      </c>
      <c r="AW197" s="363">
        <f>IF(Model!AW207&lt;&gt;"",Model!AW207,"")</f>
        <v>1.383</v>
      </c>
      <c r="AX197" s="363">
        <f>IF(Model!AX207&lt;&gt;"",Model!AX207,"")</f>
        <v>1.5469999999999999</v>
      </c>
      <c r="AY197" s="363">
        <f>IF(Model!AZ207&lt;&gt;"",Model!AY207,"")</f>
        <v>3.400000000000003E-2</v>
      </c>
      <c r="AZ197" s="363">
        <f>IF(Model!AZ207&lt;&gt;"",Model!AZ207,"")</f>
        <v>1.581</v>
      </c>
      <c r="BA197" s="363">
        <f>IF(Model!BA207&lt;&gt;"",Model!BA207,"")</f>
        <v>2.919</v>
      </c>
      <c r="BB197" s="363">
        <f>IF(Model!BC207&lt;&gt;"",Model!BB207,"")</f>
        <v>0</v>
      </c>
      <c r="BC197" s="363">
        <f>IF(Model!BC207&lt;&gt;"",Model!BC207,"")</f>
        <v>2.919</v>
      </c>
      <c r="BD197" s="363"/>
      <c r="BE197" s="363">
        <f>IF(Model!BF207&lt;&gt;"",Model!BE207,"")</f>
        <v>0</v>
      </c>
      <c r="BF197" s="363"/>
      <c r="BG197" s="363"/>
      <c r="BH197" s="363">
        <f>IF(Model!BI207&lt;&gt;"",Model!BH207,"")</f>
        <v>0</v>
      </c>
      <c r="BI197" s="363"/>
      <c r="BJ197" s="363"/>
      <c r="BK197" s="363">
        <f>IF(Model!BL207&lt;&gt;"",Model!BK207,"")</f>
        <v>0</v>
      </c>
      <c r="BL197" s="363"/>
      <c r="BM197" s="363"/>
      <c r="BN197" s="363">
        <f>IF(Model!BO207&lt;&gt;"",Model!BN207,"")</f>
        <v>0</v>
      </c>
      <c r="BO197" s="363"/>
      <c r="BP197" s="363"/>
      <c r="BQ197" s="363">
        <f>IF(Model!BR207&lt;&gt;"",Model!BQ207,"")</f>
        <v>17.288</v>
      </c>
      <c r="BR197" s="363"/>
      <c r="BS197" s="363"/>
      <c r="BT197" s="363">
        <f>IF(Model!BU207&lt;&gt;"",Model!BT207,"")</f>
        <v>0</v>
      </c>
      <c r="BU197" s="363"/>
      <c r="BV197" s="363"/>
      <c r="BW197" s="363">
        <f>IF(Model!BX207&lt;&gt;"",Model!BW207,"")</f>
        <v>9.9999999999944578E-4</v>
      </c>
      <c r="BX197" s="363"/>
      <c r="BY197" s="363"/>
      <c r="BZ197" s="363">
        <f>IF(Model!CA207&lt;&gt;"",Model!BZ207,"")</f>
        <v>4.9999999999998934E-2</v>
      </c>
      <c r="CA197" s="363"/>
      <c r="CB197" s="363"/>
      <c r="CC197" s="363">
        <f>IF(Model!CD207&lt;&gt;"",Model!CC207,"")</f>
        <v>7.0640000000000001</v>
      </c>
      <c r="CD197" s="363"/>
      <c r="CE197" s="363">
        <v>5.4880000000000004</v>
      </c>
      <c r="CF197" s="363">
        <f>IF(Model!CG207&lt;&gt;"",Model!CF207,"")</f>
        <v>-2.7670000000000003</v>
      </c>
      <c r="CG197" s="363">
        <v>5.4880000000000004</v>
      </c>
      <c r="CH197" s="363"/>
      <c r="CI197" s="363">
        <f>IF(Model!CJ207&lt;&gt;"",Model!CI207,"")</f>
        <v>-0.13500000000000001</v>
      </c>
      <c r="CJ197" s="363"/>
      <c r="CK197" s="363"/>
      <c r="CL197" s="363">
        <f>IF(Model!CM207&lt;&gt;"",Model!CL207,"")</f>
        <v>0.34200000000000008</v>
      </c>
      <c r="CM197" s="363"/>
      <c r="CN197" s="363"/>
      <c r="CO197" s="363">
        <f>IF(Model!CP207&lt;&gt;"",Model!CO207,"")</f>
        <v>0</v>
      </c>
      <c r="CP197" s="363"/>
      <c r="CQ197" s="363"/>
      <c r="CR197" s="363">
        <f>IF(Model!CS207&lt;&gt;"",Model!CR207,"")</f>
        <v>0</v>
      </c>
      <c r="CS197" s="363"/>
      <c r="CT197" s="363"/>
      <c r="CU197" s="363">
        <f>IF(Model!CV207&lt;&gt;"",Model!CU207,"")</f>
        <v>0</v>
      </c>
      <c r="CV197" s="363"/>
      <c r="CW197" s="363"/>
      <c r="CX197" s="363">
        <f>IF(Model!CY207&lt;&gt;"",Model!CX207,"")</f>
        <v>-9.0079999999999991</v>
      </c>
      <c r="CY197" s="363"/>
      <c r="CZ197" s="363"/>
      <c r="DA197" s="363">
        <f>IF(Model!DB207&lt;&gt;"",Model!DA207,"")</f>
        <v>0</v>
      </c>
      <c r="DB197" s="363"/>
      <c r="DC197" s="363"/>
      <c r="DD197" s="363">
        <f>IF(Model!DE207&lt;&gt;"",Model!DD207,"")</f>
        <v>0</v>
      </c>
      <c r="DE197" s="363"/>
      <c r="DF197" s="363"/>
      <c r="DG197" s="363">
        <f>IF(Model!DH207&lt;&gt;"",Model!DG207,"")</f>
        <v>1075.6000000000001</v>
      </c>
      <c r="DH197" s="363">
        <f>850</f>
        <v>850</v>
      </c>
      <c r="DI197" s="363"/>
      <c r="DJ197" s="363">
        <f>IF(Model!DK207&lt;&gt;"",Model!DJ207,"")</f>
        <v>0.39999999999999991</v>
      </c>
      <c r="DK197" s="1210"/>
      <c r="DL197" s="363"/>
      <c r="DM197" s="363">
        <f>IF(Model!DN207&lt;&gt;"",Model!DM207,"")</f>
        <v>9.9999999999999867E-2</v>
      </c>
      <c r="DN197" s="1210"/>
      <c r="DO197" s="363"/>
      <c r="DP197" s="363">
        <f>IF(Model!DQ207&lt;&gt;"",Model!DP207,"")</f>
        <v>-10.7</v>
      </c>
      <c r="DQ197" s="1210"/>
      <c r="DR197" s="363"/>
      <c r="DS197" s="363">
        <f>IF(Model!DT207&lt;&gt;"",Model!DS207,"")</f>
        <v>-0.29999999999999982</v>
      </c>
      <c r="DT197" s="1210"/>
      <c r="DU197" s="363"/>
      <c r="DV197" s="363">
        <f>IF(Model!DW207&lt;&gt;"",Model!DV207,"")</f>
        <v>-9</v>
      </c>
      <c r="DW197" s="1210"/>
      <c r="DX197" s="363"/>
      <c r="DY197" s="363">
        <f>IF(Model!DZ207&lt;&gt;"",Model!DY207,"")</f>
        <v>-37.5</v>
      </c>
      <c r="DZ197" s="1210"/>
      <c r="EA197" s="363"/>
      <c r="EB197" s="363">
        <f>IF(Model!EC207&lt;&gt;"",Model!EB207,"")</f>
        <v>-50</v>
      </c>
      <c r="EC197" s="1210"/>
      <c r="ED197" s="363"/>
      <c r="EE197" s="363">
        <f>IF(Model!EF207&lt;&gt;"",Model!EE207,"")</f>
        <v>-50</v>
      </c>
      <c r="EF197" s="1210"/>
      <c r="EG197" s="363"/>
      <c r="EH197" s="363">
        <f>IF(Model!EI207&lt;&gt;"",Model!EH207,"")</f>
        <v>-50</v>
      </c>
      <c r="EI197" s="1210"/>
      <c r="EJ197" s="363"/>
      <c r="EK197" s="363">
        <f>IF(Model!EL207&lt;&gt;"",Model!EK207,"")</f>
        <v>0</v>
      </c>
      <c r="EL197" s="1210"/>
      <c r="EM197" s="363"/>
      <c r="EN197" s="363">
        <f>IF(Model!EO207&lt;&gt;"",Model!EN207,"")</f>
        <v>0</v>
      </c>
      <c r="EO197" s="1210"/>
      <c r="EP197" s="363"/>
      <c r="EQ197" s="363">
        <f>IF(Model!ER207&lt;&gt;"",Model!EQ207,"")</f>
        <v>0</v>
      </c>
      <c r="ER197" s="1210"/>
      <c r="ES197" s="363"/>
      <c r="ET197" s="363">
        <f>IF(Model!EU207&lt;&gt;"",Model!ET207,"")</f>
        <v>0</v>
      </c>
      <c r="EU197" s="1210"/>
      <c r="EV197" s="363"/>
      <c r="EW197" s="363">
        <f>IF(Model!EX207&lt;&gt;"",Model!EW207,"")</f>
        <v>0</v>
      </c>
      <c r="EX197" s="1210"/>
      <c r="EY197" s="363"/>
      <c r="EZ197" s="363">
        <f>IF(Model!FA207&lt;&gt;"",Model!EZ207,"")</f>
        <v>0</v>
      </c>
      <c r="FA197" s="363"/>
    </row>
    <row r="198" spans="1:157" ht="13.35" customHeight="1">
      <c r="A198" s="5"/>
      <c r="B198" s="401" t="s">
        <v>869</v>
      </c>
      <c r="C198" s="401"/>
      <c r="D198" s="5"/>
      <c r="E198" s="363" t="str">
        <f>IF(Model!E208&lt;&gt;"",Model!E208,"")</f>
        <v/>
      </c>
      <c r="F198" s="363" t="str">
        <f>IF(Model!G208&lt;&gt;"",Model!F208,"")</f>
        <v/>
      </c>
      <c r="G198" s="363" t="str">
        <f>IF(Model!G208&lt;&gt;"",Model!G208,"")</f>
        <v/>
      </c>
      <c r="H198" s="363" t="str">
        <f>IF(Model!H208&lt;&gt;"",Model!H208,"")</f>
        <v/>
      </c>
      <c r="I198" s="363" t="str">
        <f>IF(Model!J208&lt;&gt;"",Model!I208,"")</f>
        <v/>
      </c>
      <c r="J198" s="363" t="str">
        <f>IF(Model!J208&lt;&gt;"",Model!J208,"")</f>
        <v/>
      </c>
      <c r="K198" s="363" t="str">
        <f>IF(Model!K208&lt;&gt;"",Model!K208,"")</f>
        <v/>
      </c>
      <c r="L198" s="363" t="str">
        <f>IF(Model!M208&lt;&gt;"",Model!L208,"")</f>
        <v/>
      </c>
      <c r="M198" s="363" t="str">
        <f>IF(Model!M208&lt;&gt;"",Model!M208,"")</f>
        <v/>
      </c>
      <c r="N198" s="363" t="str">
        <f>IF(Model!N208&lt;&gt;"",Model!N208,"")</f>
        <v/>
      </c>
      <c r="O198" s="363" t="str">
        <f>IF(Model!P208&lt;&gt;"",Model!O208,"")</f>
        <v/>
      </c>
      <c r="P198" s="363" t="str">
        <f>IF(Model!P208&lt;&gt;"",Model!P208,"")</f>
        <v/>
      </c>
      <c r="Q198" s="363" t="str">
        <f>IF(Model!Q208&lt;&gt;"",Model!Q208,"")</f>
        <v/>
      </c>
      <c r="R198" s="363" t="str">
        <f>IF(Model!S208&lt;&gt;"",Model!R208,"")</f>
        <v/>
      </c>
      <c r="S198" s="363" t="str">
        <f>IF(Model!S208&lt;&gt;"",Model!S208,"")</f>
        <v/>
      </c>
      <c r="T198" s="363" t="str">
        <f>IF(Model!T208&lt;&gt;"",Model!T208,"")</f>
        <v/>
      </c>
      <c r="U198" s="363" t="str">
        <f>IF(Model!V208&lt;&gt;"",Model!U208,"")</f>
        <v/>
      </c>
      <c r="V198" s="363" t="str">
        <f>IF(Model!V208&lt;&gt;"",Model!V208,"")</f>
        <v/>
      </c>
      <c r="W198" s="363" t="str">
        <f>IF(Model!W208&lt;&gt;"",Model!W208,"")</f>
        <v/>
      </c>
      <c r="X198" s="363" t="str">
        <f>IF(Model!Y208&lt;&gt;"",Model!X208,"")</f>
        <v/>
      </c>
      <c r="Y198" s="363" t="str">
        <f>IF(Model!Y208&lt;&gt;"",Model!Y208,"")</f>
        <v/>
      </c>
      <c r="Z198" s="363" t="str">
        <f>IF(Model!Z208&lt;&gt;"",Model!Z208,"")</f>
        <v/>
      </c>
      <c r="AA198" s="363" t="str">
        <f>IF(Model!AB208&lt;&gt;"",Model!AA208,"")</f>
        <v/>
      </c>
      <c r="AB198" s="363" t="str">
        <f>IF(Model!AB208&lt;&gt;"",Model!AB208,"")</f>
        <v/>
      </c>
      <c r="AC198" s="363" t="str">
        <f>IF(Model!AC208&lt;&gt;"",Model!AC208,"")</f>
        <v/>
      </c>
      <c r="AD198" s="363" t="str">
        <f>IF(Model!AE208&lt;&gt;"",Model!AD208,"")</f>
        <v/>
      </c>
      <c r="AE198" s="363" t="str">
        <f>IF(Model!AE208&lt;&gt;"",Model!AE208,"")</f>
        <v/>
      </c>
      <c r="AF198" s="363" t="str">
        <f>IF(Model!AF208&lt;&gt;"",Model!AF208,"")</f>
        <v/>
      </c>
      <c r="AG198" s="363" t="str">
        <f>IF(Model!AH208&lt;&gt;"",Model!AG208,"")</f>
        <v/>
      </c>
      <c r="AH198" s="363" t="str">
        <f>IF(Model!AH208&lt;&gt;"",Model!AH208,"")</f>
        <v/>
      </c>
      <c r="AI198" s="363" t="str">
        <f>IF(Model!AI208&lt;&gt;"",Model!AI208,"")</f>
        <v/>
      </c>
      <c r="AJ198" s="363" t="str">
        <f>IF(Model!AK208&lt;&gt;"",Model!AJ208,"")</f>
        <v/>
      </c>
      <c r="AK198" s="363" t="str">
        <f>IF(Model!AK208&lt;&gt;"",Model!AK208,"")</f>
        <v/>
      </c>
      <c r="AL198" s="363" t="str">
        <f>IF(Model!AL208&lt;&gt;"",Model!AL208,"")</f>
        <v/>
      </c>
      <c r="AM198" s="363" t="str">
        <f>IF(Model!AN208&lt;&gt;"",Model!AM208,"")</f>
        <v/>
      </c>
      <c r="AN198" s="363" t="str">
        <f>IF(Model!AN208&lt;&gt;"",Model!AN208,"")</f>
        <v/>
      </c>
      <c r="AO198" s="363" t="str">
        <f>IF(Model!AO208&lt;&gt;"",Model!AO208,"")</f>
        <v/>
      </c>
      <c r="AP198" s="363" t="str">
        <f>IF(Model!AQ208&lt;&gt;"",Model!AP208,"")</f>
        <v/>
      </c>
      <c r="AQ198" s="363" t="str">
        <f>IF(Model!AQ208&lt;&gt;"",Model!AQ208,"")</f>
        <v/>
      </c>
      <c r="AR198" s="363" t="str">
        <f>IF(Model!AR208&lt;&gt;"",Model!AR208,"")</f>
        <v/>
      </c>
      <c r="AS198" s="363" t="str">
        <f>IF(Model!AT208&lt;&gt;"",Model!AS208,"")</f>
        <v/>
      </c>
      <c r="AT198" s="363" t="str">
        <f>IF(Model!AT208&lt;&gt;"",Model!AT208,"")</f>
        <v/>
      </c>
      <c r="AU198" s="363" t="str">
        <f>IF(Model!AU208&lt;&gt;"",Model!AU208,"")</f>
        <v/>
      </c>
      <c r="AV198" s="363" t="str">
        <f>IF(Model!AW208&lt;&gt;"",Model!AV208,"")</f>
        <v/>
      </c>
      <c r="AW198" s="363" t="str">
        <f>IF(Model!AW208&lt;&gt;"",Model!AW208,"")</f>
        <v/>
      </c>
      <c r="AX198" s="363">
        <f>IF(Model!AX208&lt;&gt;"",Model!AX208,"")</f>
        <v>0</v>
      </c>
      <c r="AY198" s="363">
        <f>IF(Model!AZ208&lt;&gt;"",Model!AY208,"")</f>
        <v>0</v>
      </c>
      <c r="AZ198" s="363">
        <f>IF(Model!AZ208&lt;&gt;"",Model!AZ208,"")</f>
        <v>0</v>
      </c>
      <c r="BA198" s="363">
        <f>IF(Model!BA208&lt;&gt;"",Model!BA208,"")</f>
        <v>0</v>
      </c>
      <c r="BB198" s="363">
        <f>IF(Model!BC208&lt;&gt;"",Model!BB208,"")</f>
        <v>0</v>
      </c>
      <c r="BC198" s="363">
        <f>IF(Model!BC208&lt;&gt;"",Model!BC208,"")</f>
        <v>0</v>
      </c>
      <c r="BD198" s="363"/>
      <c r="BE198" s="363">
        <f>IF(Model!BF208&lt;&gt;"",Model!BE208,"")</f>
        <v>0</v>
      </c>
      <c r="BF198" s="363"/>
      <c r="BG198" s="363"/>
      <c r="BH198" s="363">
        <f>IF(Model!BI208&lt;&gt;"",Model!BH208,"")</f>
        <v>0</v>
      </c>
      <c r="BI198" s="363"/>
      <c r="BJ198" s="363"/>
      <c r="BK198" s="363">
        <f>IF(Model!BL208&lt;&gt;"",Model!BK208,"")</f>
        <v>0</v>
      </c>
      <c r="BL198" s="363"/>
      <c r="BM198" s="363"/>
      <c r="BN198" s="363">
        <f>IF(Model!BO208&lt;&gt;"",Model!BN208,"")</f>
        <v>0</v>
      </c>
      <c r="BO198" s="363"/>
      <c r="BP198" s="363"/>
      <c r="BQ198" s="363">
        <f>IF(Model!BR208&lt;&gt;"",Model!BQ208,"")</f>
        <v>0</v>
      </c>
      <c r="BR198" s="363"/>
      <c r="BS198" s="363"/>
      <c r="BT198" s="363">
        <f>IF(Model!BU208&lt;&gt;"",Model!BT208,"")</f>
        <v>0</v>
      </c>
      <c r="BU198" s="363"/>
      <c r="BV198" s="363"/>
      <c r="BW198" s="363">
        <f>IF(Model!BX208&lt;&gt;"",Model!BW208,"")</f>
        <v>0</v>
      </c>
      <c r="BX198" s="363"/>
      <c r="BY198" s="363"/>
      <c r="BZ198" s="363">
        <f>IF(Model!CA208&lt;&gt;"",Model!BZ208,"")</f>
        <v>0</v>
      </c>
      <c r="CA198" s="363"/>
      <c r="CB198" s="363"/>
      <c r="CC198" s="363">
        <f>IF(Model!CD208&lt;&gt;"",Model!CC208,"")</f>
        <v>0</v>
      </c>
      <c r="CD198" s="363"/>
      <c r="CE198" s="363"/>
      <c r="CF198" s="363">
        <f>IF(Model!CG208&lt;&gt;"",Model!CF208,"")</f>
        <v>0</v>
      </c>
      <c r="CG198" s="363"/>
      <c r="CH198" s="363"/>
      <c r="CI198" s="363">
        <f>IF(Model!CJ208&lt;&gt;"",Model!CI208,"")</f>
        <v>0</v>
      </c>
      <c r="CJ198" s="363"/>
      <c r="CK198" s="363"/>
      <c r="CL198" s="363">
        <f>IF(Model!CM208&lt;&gt;"",Model!CL208,"")</f>
        <v>0</v>
      </c>
      <c r="CM198" s="363"/>
      <c r="CN198" s="363"/>
      <c r="CO198" s="363">
        <f>IF(Model!CP208&lt;&gt;"",Model!CO208,"")</f>
        <v>0</v>
      </c>
      <c r="CP198" s="363"/>
      <c r="CQ198" s="363"/>
      <c r="CR198" s="363">
        <f>IF(Model!CS208&lt;&gt;"",Model!CR208,"")</f>
        <v>0</v>
      </c>
      <c r="CS198" s="363"/>
      <c r="CT198" s="363"/>
      <c r="CU198" s="363">
        <f>IF(Model!CV208&lt;&gt;"",Model!CU208,"")</f>
        <v>0</v>
      </c>
      <c r="CV198" s="363"/>
      <c r="CW198" s="363"/>
      <c r="CX198" s="363">
        <f>IF(Model!CY208&lt;&gt;"",Model!CX208,"")</f>
        <v>0</v>
      </c>
      <c r="CY198" s="363"/>
      <c r="CZ198" s="363"/>
      <c r="DA198" s="363">
        <f>IF(Model!DB208&lt;&gt;"",Model!DA208,"")</f>
        <v>0</v>
      </c>
      <c r="DB198" s="363"/>
      <c r="DC198" s="363"/>
      <c r="DD198" s="363">
        <f>IF(Model!DE208&lt;&gt;"",Model!DD208,"")</f>
        <v>0</v>
      </c>
      <c r="DE198" s="363"/>
      <c r="DF198" s="363"/>
      <c r="DG198" s="363">
        <f>IF(Model!DH208&lt;&gt;"",Model!DG208,"")</f>
        <v>0</v>
      </c>
      <c r="DH198" s="363"/>
      <c r="DI198" s="363"/>
      <c r="DJ198" s="363">
        <f>IF(Model!DK208&lt;&gt;"",Model!DJ208,"")</f>
        <v>0</v>
      </c>
      <c r="DK198" s="1210"/>
      <c r="DL198" s="363"/>
      <c r="DM198" s="363">
        <f>IF(Model!DN208&lt;&gt;"",Model!DM208,"")</f>
        <v>0</v>
      </c>
      <c r="DN198" s="1210"/>
      <c r="DO198" s="363"/>
      <c r="DP198" s="363">
        <f>IF(Model!DQ208&lt;&gt;"",Model!DP208,"")</f>
        <v>0</v>
      </c>
      <c r="DQ198" s="1210"/>
      <c r="DR198" s="363"/>
      <c r="DS198" s="363">
        <f>IF(Model!DT208&lt;&gt;"",Model!DS208,"")</f>
        <v>0</v>
      </c>
      <c r="DT198" s="1210"/>
      <c r="DU198" s="363"/>
      <c r="DV198" s="363">
        <f>IF(Model!DW208&lt;&gt;"",Model!DV208,"")</f>
        <v>0</v>
      </c>
      <c r="DW198" s="1210"/>
      <c r="DX198" s="363"/>
      <c r="DY198" s="363">
        <f>IF(Model!DZ208&lt;&gt;"",Model!DY208,"")</f>
        <v>0</v>
      </c>
      <c r="DZ198" s="1210"/>
      <c r="EA198" s="363"/>
      <c r="EB198" s="363">
        <f>IF(Model!EC208&lt;&gt;"",Model!EB208,"")</f>
        <v>0</v>
      </c>
      <c r="EC198" s="1210"/>
      <c r="ED198" s="363"/>
      <c r="EE198" s="363">
        <f>IF(Model!EF208&lt;&gt;"",Model!EE208,"")</f>
        <v>0</v>
      </c>
      <c r="EF198" s="1210"/>
      <c r="EG198" s="363"/>
      <c r="EH198" s="363">
        <f>IF(Model!EI208&lt;&gt;"",Model!EH208,"")</f>
        <v>0</v>
      </c>
      <c r="EI198" s="1210"/>
      <c r="EJ198" s="363"/>
      <c r="EK198" s="363">
        <f>IF(Model!EL208&lt;&gt;"",Model!EK208,"")</f>
        <v>0</v>
      </c>
      <c r="EL198" s="1210"/>
      <c r="EM198" s="363"/>
      <c r="EN198" s="363">
        <f>IF(Model!EO208&lt;&gt;"",Model!EN208,"")</f>
        <v>0</v>
      </c>
      <c r="EO198" s="1210"/>
      <c r="EP198" s="363"/>
      <c r="EQ198" s="363">
        <f>IF(Model!ER208&lt;&gt;"",Model!EQ208,"")</f>
        <v>0</v>
      </c>
      <c r="ER198" s="1210"/>
      <c r="ES198" s="363"/>
      <c r="ET198" s="363">
        <f>IF(Model!EU208&lt;&gt;"",Model!ET208,"")</f>
        <v>0</v>
      </c>
      <c r="EU198" s="1210"/>
      <c r="EV198" s="363"/>
      <c r="EW198" s="363">
        <f>IF(Model!EX208&lt;&gt;"",Model!EW208,"")</f>
        <v>0</v>
      </c>
      <c r="EX198" s="1210"/>
      <c r="EY198" s="363"/>
      <c r="EZ198" s="363">
        <f>IF(Model!FA208&lt;&gt;"",Model!EZ208,"")</f>
        <v>0</v>
      </c>
      <c r="FA198" s="363"/>
    </row>
    <row r="199" spans="1:157" ht="13.35" customHeight="1">
      <c r="A199" s="5"/>
      <c r="B199" s="401" t="s">
        <v>765</v>
      </c>
      <c r="C199" s="401"/>
      <c r="D199" s="5"/>
      <c r="E199" s="363" t="str">
        <f t="shared" ref="E199:N199" si="436">IF(OR(E200&lt;&gt;"",E201&lt;&gt;""),SUM(E200:E201),"")</f>
        <v/>
      </c>
      <c r="F199" s="363" t="str">
        <f t="shared" si="436"/>
        <v/>
      </c>
      <c r="G199" s="363" t="str">
        <f t="shared" si="436"/>
        <v/>
      </c>
      <c r="H199" s="363" t="str">
        <f t="shared" si="436"/>
        <v/>
      </c>
      <c r="I199" s="363" t="str">
        <f t="shared" si="436"/>
        <v/>
      </c>
      <c r="J199" s="363" t="str">
        <f t="shared" si="436"/>
        <v/>
      </c>
      <c r="K199" s="363" t="str">
        <f t="shared" si="436"/>
        <v/>
      </c>
      <c r="L199" s="363" t="str">
        <f t="shared" si="436"/>
        <v/>
      </c>
      <c r="M199" s="363" t="str">
        <f t="shared" si="436"/>
        <v/>
      </c>
      <c r="N199" s="363" t="str">
        <f t="shared" si="436"/>
        <v/>
      </c>
      <c r="O199" s="363" t="str">
        <f t="shared" ref="O199:X199" si="437">IF(OR(O200&lt;&gt;"",O201&lt;&gt;""),SUM(O200:O201),"")</f>
        <v/>
      </c>
      <c r="P199" s="363" t="str">
        <f t="shared" si="437"/>
        <v/>
      </c>
      <c r="Q199" s="363" t="str">
        <f t="shared" si="437"/>
        <v/>
      </c>
      <c r="R199" s="363" t="str">
        <f t="shared" si="437"/>
        <v/>
      </c>
      <c r="S199" s="363" t="str">
        <f t="shared" si="437"/>
        <v/>
      </c>
      <c r="T199" s="363" t="str">
        <f t="shared" si="437"/>
        <v/>
      </c>
      <c r="U199" s="363" t="str">
        <f t="shared" si="437"/>
        <v/>
      </c>
      <c r="V199" s="363" t="str">
        <f t="shared" si="437"/>
        <v/>
      </c>
      <c r="W199" s="363" t="str">
        <f t="shared" si="437"/>
        <v/>
      </c>
      <c r="X199" s="363" t="str">
        <f t="shared" si="437"/>
        <v/>
      </c>
      <c r="Y199" s="363" t="str">
        <f t="shared" ref="Y199:AH199" si="438">IF(OR(Y200&lt;&gt;"",Y201&lt;&gt;""),SUM(Y200:Y201),"")</f>
        <v/>
      </c>
      <c r="Z199" s="363" t="str">
        <f t="shared" si="438"/>
        <v/>
      </c>
      <c r="AA199" s="363" t="str">
        <f t="shared" si="438"/>
        <v/>
      </c>
      <c r="AB199" s="363" t="str">
        <f t="shared" si="438"/>
        <v/>
      </c>
      <c r="AC199" s="363" t="str">
        <f t="shared" si="438"/>
        <v/>
      </c>
      <c r="AD199" s="363" t="str">
        <f t="shared" si="438"/>
        <v/>
      </c>
      <c r="AE199" s="363" t="str">
        <f t="shared" si="438"/>
        <v/>
      </c>
      <c r="AF199" s="363" t="str">
        <f t="shared" si="438"/>
        <v/>
      </c>
      <c r="AG199" s="363" t="str">
        <f t="shared" si="438"/>
        <v/>
      </c>
      <c r="AH199" s="363" t="str">
        <f t="shared" si="438"/>
        <v/>
      </c>
      <c r="AI199" s="363" t="str">
        <f t="shared" ref="AI199:AU199" si="439">IF(OR(AI200&lt;&gt;"",AI201&lt;&gt;""),SUM(AI200:AI201),"")</f>
        <v/>
      </c>
      <c r="AJ199" s="363" t="str">
        <f t="shared" si="439"/>
        <v/>
      </c>
      <c r="AK199" s="363" t="str">
        <f t="shared" si="439"/>
        <v/>
      </c>
      <c r="AL199" s="363">
        <f t="shared" si="439"/>
        <v>0.13</v>
      </c>
      <c r="AM199" s="363">
        <f t="shared" si="439"/>
        <v>2.528</v>
      </c>
      <c r="AN199" s="363">
        <f t="shared" si="439"/>
        <v>2.6579999999999999</v>
      </c>
      <c r="AO199" s="363">
        <f t="shared" si="439"/>
        <v>-8.0000000000000016E-2</v>
      </c>
      <c r="AP199" s="363">
        <f t="shared" si="439"/>
        <v>-0.17699999999999999</v>
      </c>
      <c r="AQ199" s="363">
        <f t="shared" si="439"/>
        <v>-0.25700000000000001</v>
      </c>
      <c r="AR199" s="363" t="str">
        <f t="shared" si="439"/>
        <v/>
      </c>
      <c r="AS199" s="363" t="str">
        <f t="shared" si="439"/>
        <v/>
      </c>
      <c r="AT199" s="363" t="str">
        <f t="shared" si="439"/>
        <v/>
      </c>
      <c r="AU199" s="363" t="str">
        <f t="shared" si="439"/>
        <v/>
      </c>
      <c r="AV199" s="363" t="str">
        <f t="shared" ref="AV199:BC199" si="440">IF(OR(AV200&lt;&gt;"",AV201&lt;&gt;""),SUM(AV200:AV201),"")</f>
        <v/>
      </c>
      <c r="AW199" s="363" t="str">
        <f t="shared" si="440"/>
        <v/>
      </c>
      <c r="AX199" s="363">
        <f t="shared" si="440"/>
        <v>0</v>
      </c>
      <c r="AY199" s="363">
        <f t="shared" si="440"/>
        <v>-2.5289999999999999</v>
      </c>
      <c r="AZ199" s="363">
        <f t="shared" si="440"/>
        <v>-2.5289999999999999</v>
      </c>
      <c r="BA199" s="363">
        <f t="shared" si="440"/>
        <v>0.31900000000000001</v>
      </c>
      <c r="BB199" s="363">
        <f t="shared" si="440"/>
        <v>7.7190000000000003</v>
      </c>
      <c r="BC199" s="363">
        <f t="shared" si="440"/>
        <v>8.0380000000000003</v>
      </c>
      <c r="BD199" s="363">
        <f t="shared" ref="BD199:BO199" si="441">IF(OR(BD200&lt;&gt;"",BD201&lt;&gt;""),SUM(BD200:BD201),"")</f>
        <v>0</v>
      </c>
      <c r="BE199" s="363">
        <f t="shared" si="441"/>
        <v>8.8440000000000012</v>
      </c>
      <c r="BF199" s="363">
        <f t="shared" si="441"/>
        <v>0</v>
      </c>
      <c r="BG199" s="363">
        <f t="shared" si="441"/>
        <v>0</v>
      </c>
      <c r="BH199" s="363">
        <f t="shared" si="441"/>
        <v>1.984</v>
      </c>
      <c r="BI199" s="363">
        <f t="shared" si="441"/>
        <v>1.984</v>
      </c>
      <c r="BJ199" s="363">
        <f t="shared" si="441"/>
        <v>-4.383</v>
      </c>
      <c r="BK199" s="363">
        <f t="shared" si="441"/>
        <v>-2.7329999999999979</v>
      </c>
      <c r="BL199" s="363">
        <f t="shared" si="441"/>
        <v>0</v>
      </c>
      <c r="BM199" s="363" t="str">
        <f t="shared" si="441"/>
        <v/>
      </c>
      <c r="BN199" s="363">
        <f t="shared" si="441"/>
        <v>172.45000000000002</v>
      </c>
      <c r="BO199" s="363">
        <f t="shared" si="441"/>
        <v>178.81200000000001</v>
      </c>
      <c r="BP199" s="363">
        <f t="shared" ref="BP199:DK199" si="442">IF(OR(BP200&lt;&gt;"",BP201&lt;&gt;""),SUM(BP200:BP201),"")</f>
        <v>-18.215</v>
      </c>
      <c r="BQ199" s="363">
        <f t="shared" si="442"/>
        <v>-10.896999999999998</v>
      </c>
      <c r="BR199" s="363">
        <f t="shared" si="442"/>
        <v>3.6779999999999999</v>
      </c>
      <c r="BS199" s="363">
        <f t="shared" si="442"/>
        <v>0</v>
      </c>
      <c r="BT199" s="363">
        <f t="shared" si="442"/>
        <v>11.279000000000003</v>
      </c>
      <c r="BU199" s="363">
        <f t="shared" si="442"/>
        <v>-38.487000000000002</v>
      </c>
      <c r="BV199" s="363">
        <f t="shared" si="442"/>
        <v>0</v>
      </c>
      <c r="BW199" s="363">
        <f t="shared" si="442"/>
        <v>-23.024999999999999</v>
      </c>
      <c r="BX199" s="363">
        <f t="shared" si="442"/>
        <v>-25.685000000000002</v>
      </c>
      <c r="BY199" s="363">
        <f t="shared" si="442"/>
        <v>60.423999999999999</v>
      </c>
      <c r="BZ199" s="363">
        <f t="shared" si="442"/>
        <v>10.42799999999999</v>
      </c>
      <c r="CA199" s="363">
        <f t="shared" si="442"/>
        <v>16.85199999999999</v>
      </c>
      <c r="CB199" s="363">
        <f>IF(OR(CB200&lt;&gt;"",CB201&lt;&gt;""),SUM(CB200:CB201),"")</f>
        <v>53.469000000000001</v>
      </c>
      <c r="CC199" s="363">
        <f>IF(OR(CC200&lt;&gt;"",CC201&lt;&gt;""),SUM(CC200:CC201),"")</f>
        <v>-20.655000000000001</v>
      </c>
      <c r="CD199" s="363">
        <f>IF(OR(CD200&lt;&gt;"",CD201&lt;&gt;""),SUM(CD200:CD201),"")</f>
        <v>-158.5</v>
      </c>
      <c r="CE199" s="363">
        <f t="shared" si="442"/>
        <v>85.533000000000001</v>
      </c>
      <c r="CF199" s="363">
        <f t="shared" si="442"/>
        <v>-18</v>
      </c>
      <c r="CG199" s="363">
        <f t="shared" si="442"/>
        <v>0</v>
      </c>
      <c r="CH199" s="363" t="str">
        <f t="shared" si="442"/>
        <v/>
      </c>
      <c r="CI199" s="363">
        <f t="shared" si="442"/>
        <v>-297.48599999999999</v>
      </c>
      <c r="CJ199" s="363">
        <f t="shared" si="442"/>
        <v>0</v>
      </c>
      <c r="CK199" s="363">
        <f t="shared" si="442"/>
        <v>0</v>
      </c>
      <c r="CL199" s="363">
        <f t="shared" si="442"/>
        <v>29</v>
      </c>
      <c r="CM199" s="363">
        <f t="shared" si="442"/>
        <v>106</v>
      </c>
      <c r="CN199" s="363">
        <f t="shared" si="442"/>
        <v>56</v>
      </c>
      <c r="CO199" s="363">
        <f t="shared" si="442"/>
        <v>11</v>
      </c>
      <c r="CP199" s="363">
        <f t="shared" si="442"/>
        <v>146.5</v>
      </c>
      <c r="CQ199" s="363">
        <f t="shared" si="442"/>
        <v>-7</v>
      </c>
      <c r="CR199" s="363">
        <f t="shared" si="442"/>
        <v>-18</v>
      </c>
      <c r="CS199" s="363">
        <f t="shared" si="442"/>
        <v>123.70099999999999</v>
      </c>
      <c r="CT199" s="363" t="str">
        <f t="shared" si="442"/>
        <v/>
      </c>
      <c r="CU199" s="363">
        <f t="shared" si="442"/>
        <v>-20</v>
      </c>
      <c r="CV199" s="363">
        <f t="shared" si="442"/>
        <v>-20</v>
      </c>
      <c r="CW199" s="363">
        <f t="shared" si="442"/>
        <v>-20</v>
      </c>
      <c r="CX199" s="363">
        <f t="shared" si="442"/>
        <v>46.211999999999989</v>
      </c>
      <c r="CY199" s="363">
        <f t="shared" si="442"/>
        <v>0</v>
      </c>
      <c r="CZ199" s="363">
        <f t="shared" si="442"/>
        <v>25</v>
      </c>
      <c r="DA199" s="363">
        <f t="shared" si="442"/>
        <v>-96.6</v>
      </c>
      <c r="DB199" s="363">
        <f t="shared" si="442"/>
        <v>-0.4</v>
      </c>
      <c r="DC199" s="363">
        <f t="shared" si="442"/>
        <v>0</v>
      </c>
      <c r="DD199" s="363">
        <f t="shared" si="442"/>
        <v>318.5</v>
      </c>
      <c r="DE199" s="363">
        <f t="shared" si="442"/>
        <v>0</v>
      </c>
      <c r="DF199" s="363">
        <f t="shared" si="442"/>
        <v>52.099999999999994</v>
      </c>
      <c r="DG199" s="363">
        <f t="shared" si="442"/>
        <v>238.79999999999998</v>
      </c>
      <c r="DH199" s="363">
        <f t="shared" si="442"/>
        <v>52.099999999999994</v>
      </c>
      <c r="DI199" s="363">
        <f t="shared" si="442"/>
        <v>-337.5</v>
      </c>
      <c r="DJ199" s="363">
        <f t="shared" si="442"/>
        <v>-65.600000000000023</v>
      </c>
      <c r="DK199" s="1210">
        <f t="shared" si="442"/>
        <v>0</v>
      </c>
      <c r="DL199" s="363" t="str">
        <f t="shared" ref="DL199:DQ199" si="443">IF(OR(DL200&lt;&gt;"",DL201&lt;&gt;""),SUM(DL200:DL201),"")</f>
        <v/>
      </c>
      <c r="DM199" s="363">
        <f t="shared" si="443"/>
        <v>-2.4</v>
      </c>
      <c r="DN199" s="1210" t="str">
        <f t="shared" si="443"/>
        <v/>
      </c>
      <c r="DO199" s="363" t="str">
        <f t="shared" si="443"/>
        <v/>
      </c>
      <c r="DP199" s="363">
        <f t="shared" si="443"/>
        <v>0</v>
      </c>
      <c r="DQ199" s="1210">
        <f t="shared" si="443"/>
        <v>0</v>
      </c>
      <c r="DR199" s="363" t="str">
        <f t="shared" ref="DR199:DU199" si="444">IF(OR(DR200&lt;&gt;"",DR201&lt;&gt;""),SUM(DR200:DR201),"")</f>
        <v/>
      </c>
      <c r="DS199" s="363">
        <f t="shared" si="444"/>
        <v>0</v>
      </c>
      <c r="DT199" s="1210">
        <f t="shared" si="444"/>
        <v>0</v>
      </c>
      <c r="DU199" s="363">
        <f t="shared" si="444"/>
        <v>0</v>
      </c>
      <c r="DV199" s="363">
        <f t="shared" ref="DV199:DW199" si="445">IF(OR(DV200&lt;&gt;"",DV201&lt;&gt;""),SUM(DV200:DV201),"")</f>
        <v>0</v>
      </c>
      <c r="DW199" s="1210">
        <f t="shared" si="445"/>
        <v>0</v>
      </c>
      <c r="DX199" s="363">
        <f t="shared" ref="DX199:EF199" si="446">IF(OR(DX200&lt;&gt;"",DX201&lt;&gt;""),SUM(DX200:DX201),"")</f>
        <v>0</v>
      </c>
      <c r="DY199" s="363">
        <f t="shared" si="446"/>
        <v>0</v>
      </c>
      <c r="DZ199" s="1210">
        <f t="shared" si="446"/>
        <v>0</v>
      </c>
      <c r="EA199" s="363">
        <f t="shared" si="446"/>
        <v>0</v>
      </c>
      <c r="EB199" s="363">
        <f t="shared" si="446"/>
        <v>0</v>
      </c>
      <c r="EC199" s="1210">
        <f t="shared" si="446"/>
        <v>0</v>
      </c>
      <c r="ED199" s="363">
        <f t="shared" si="446"/>
        <v>0</v>
      </c>
      <c r="EE199" s="363">
        <f t="shared" si="446"/>
        <v>0</v>
      </c>
      <c r="EF199" s="1210">
        <f t="shared" si="446"/>
        <v>0</v>
      </c>
      <c r="EG199" s="363">
        <f t="shared" ref="EG199:EL199" si="447">IF(OR(EG200&lt;&gt;"",EG201&lt;&gt;""),SUM(EG200:EG201),"")</f>
        <v>0</v>
      </c>
      <c r="EH199" s="363">
        <f t="shared" si="447"/>
        <v>0</v>
      </c>
      <c r="EI199" s="1210">
        <f t="shared" si="447"/>
        <v>0</v>
      </c>
      <c r="EJ199" s="363">
        <f t="shared" si="447"/>
        <v>0</v>
      </c>
      <c r="EK199" s="363">
        <f t="shared" si="447"/>
        <v>0</v>
      </c>
      <c r="EL199" s="1210">
        <f t="shared" si="447"/>
        <v>0</v>
      </c>
      <c r="EM199" s="363">
        <f t="shared" ref="EM199:ER199" si="448">IF(OR(EM200&lt;&gt;"",EM201&lt;&gt;""),SUM(EM200:EM201),"")</f>
        <v>0</v>
      </c>
      <c r="EN199" s="363">
        <f t="shared" si="448"/>
        <v>0</v>
      </c>
      <c r="EO199" s="1210">
        <f t="shared" si="448"/>
        <v>0</v>
      </c>
      <c r="EP199" s="363">
        <f t="shared" si="448"/>
        <v>0</v>
      </c>
      <c r="EQ199" s="363">
        <f t="shared" si="448"/>
        <v>0</v>
      </c>
      <c r="ER199" s="1210">
        <f t="shared" si="448"/>
        <v>0</v>
      </c>
      <c r="ES199" s="363">
        <f t="shared" ref="ES199:EX199" si="449">IF(OR(ES200&lt;&gt;"",ES201&lt;&gt;""),SUM(ES200:ES201),"")</f>
        <v>0</v>
      </c>
      <c r="ET199" s="363">
        <f t="shared" si="449"/>
        <v>0</v>
      </c>
      <c r="EU199" s="1210">
        <f t="shared" si="449"/>
        <v>0</v>
      </c>
      <c r="EV199" s="363">
        <f t="shared" si="449"/>
        <v>0</v>
      </c>
      <c r="EW199" s="363">
        <f t="shared" si="449"/>
        <v>0</v>
      </c>
      <c r="EX199" s="1210">
        <f t="shared" si="449"/>
        <v>0</v>
      </c>
      <c r="EY199" s="363">
        <f t="shared" ref="EY199:FA199" si="450">IF(OR(EY200&lt;&gt;"",EY201&lt;&gt;""),SUM(EY200:EY201),"")</f>
        <v>0</v>
      </c>
      <c r="EZ199" s="363">
        <f t="shared" si="450"/>
        <v>0</v>
      </c>
      <c r="FA199" s="363">
        <f t="shared" si="450"/>
        <v>0</v>
      </c>
    </row>
    <row r="200" spans="1:157" ht="13.35" customHeight="1">
      <c r="A200" s="5"/>
      <c r="B200" s="401" t="s">
        <v>766</v>
      </c>
      <c r="C200" s="401"/>
      <c r="D200" s="399"/>
      <c r="E200" s="363" t="str">
        <f>IF(Model!E210&lt;&gt;"",Model!E210,"")</f>
        <v/>
      </c>
      <c r="F200" s="363" t="str">
        <f>IF(Model!G210&lt;&gt;"",Model!F210,"")</f>
        <v/>
      </c>
      <c r="G200" s="363" t="str">
        <f>IF(Model!G210&lt;&gt;"",Model!G210,"")</f>
        <v/>
      </c>
      <c r="H200" s="363" t="str">
        <f>IF(Model!H210&lt;&gt;"",Model!H210,"")</f>
        <v/>
      </c>
      <c r="I200" s="363" t="str">
        <f>IF(Model!J210&lt;&gt;"",Model!I210,"")</f>
        <v/>
      </c>
      <c r="J200" s="363" t="str">
        <f>IF(Model!J210&lt;&gt;"",Model!J210,"")</f>
        <v/>
      </c>
      <c r="K200" s="363" t="str">
        <f>IF(Model!K210&lt;&gt;"",Model!K210,"")</f>
        <v/>
      </c>
      <c r="L200" s="363" t="str">
        <f>IF(Model!M210&lt;&gt;"",Model!L210,"")</f>
        <v/>
      </c>
      <c r="M200" s="363" t="str">
        <f>IF(Model!M210&lt;&gt;"",Model!M210,"")</f>
        <v/>
      </c>
      <c r="N200" s="363" t="str">
        <f>IF(Model!N210&lt;&gt;"",Model!N210,"")</f>
        <v/>
      </c>
      <c r="O200" s="363" t="str">
        <f>IF(Model!P210&lt;&gt;"",Model!O210,"")</f>
        <v/>
      </c>
      <c r="P200" s="363" t="str">
        <f>IF(Model!P210&lt;&gt;"",Model!P210,"")</f>
        <v/>
      </c>
      <c r="Q200" s="363" t="str">
        <f>IF(Model!Q210&lt;&gt;"",Model!Q210,"")</f>
        <v/>
      </c>
      <c r="R200" s="363" t="str">
        <f>IF(Model!S210&lt;&gt;"",Model!R210,"")</f>
        <v/>
      </c>
      <c r="S200" s="363" t="str">
        <f>IF(Model!S210&lt;&gt;"",Model!S210,"")</f>
        <v/>
      </c>
      <c r="T200" s="363" t="str">
        <f>IF(Model!T210&lt;&gt;"",Model!T210,"")</f>
        <v/>
      </c>
      <c r="U200" s="363" t="str">
        <f>IF(Model!V210&lt;&gt;"",Model!U210,"")</f>
        <v/>
      </c>
      <c r="V200" s="363" t="str">
        <f>IF(Model!V210&lt;&gt;"",Model!V210,"")</f>
        <v/>
      </c>
      <c r="W200" s="363" t="str">
        <f>IF(Model!W210&lt;&gt;"",Model!W210,"")</f>
        <v/>
      </c>
      <c r="X200" s="363" t="str">
        <f>IF(Model!Y210&lt;&gt;"",Model!X210,"")</f>
        <v/>
      </c>
      <c r="Y200" s="363" t="str">
        <f>IF(Model!Y210&lt;&gt;"",Model!Y210,"")</f>
        <v/>
      </c>
      <c r="Z200" s="363" t="str">
        <f>IF(Model!Z210&lt;&gt;"",Model!Z210,"")</f>
        <v/>
      </c>
      <c r="AA200" s="363" t="str">
        <f>IF(Model!AB210&lt;&gt;"",Model!AA210,"")</f>
        <v/>
      </c>
      <c r="AB200" s="363" t="str">
        <f>IF(Model!AB210&lt;&gt;"",Model!AB210,"")</f>
        <v/>
      </c>
      <c r="AC200" s="363" t="str">
        <f>IF(Model!AC210&lt;&gt;"",Model!AC210,"")</f>
        <v/>
      </c>
      <c r="AD200" s="363" t="str">
        <f>IF(Model!AE210&lt;&gt;"",Model!AD210,"")</f>
        <v/>
      </c>
      <c r="AE200" s="363" t="str">
        <f>IF(Model!AE210&lt;&gt;"",Model!AE210,"")</f>
        <v/>
      </c>
      <c r="AF200" s="363" t="str">
        <f>IF(Model!AF210&lt;&gt;"",Model!AF210,"")</f>
        <v/>
      </c>
      <c r="AG200" s="363" t="str">
        <f>IF(Model!AH210&lt;&gt;"",Model!AG210,"")</f>
        <v/>
      </c>
      <c r="AH200" s="363" t="str">
        <f>IF(Model!AH210&lt;&gt;"",Model!AH210,"")</f>
        <v/>
      </c>
      <c r="AI200" s="363" t="str">
        <f>IF(Model!AI210&lt;&gt;"",Model!AI210,"")</f>
        <v/>
      </c>
      <c r="AJ200" s="363" t="str">
        <f>IF(Model!AK210&lt;&gt;"",Model!AJ210,"")</f>
        <v/>
      </c>
      <c r="AK200" s="363" t="str">
        <f>IF(Model!AK210&lt;&gt;"",Model!AK210,"")</f>
        <v/>
      </c>
      <c r="AL200" s="363">
        <f>IF(Model!AL210&lt;&gt;"",Model!AL210,"")</f>
        <v>0.13</v>
      </c>
      <c r="AM200" s="363">
        <f>IF(Model!AN210&lt;&gt;"",Model!AM210,"")</f>
        <v>2.528</v>
      </c>
      <c r="AN200" s="363">
        <f>IF(Model!AN210&lt;&gt;"",Model!AN210,"")</f>
        <v>2.6579999999999999</v>
      </c>
      <c r="AO200" s="363">
        <f>IF(Model!AO210&lt;&gt;"",Model!AO210,"")</f>
        <v>-8.0000000000000016E-2</v>
      </c>
      <c r="AP200" s="363">
        <f>IF(Model!AQ210&lt;&gt;"",Model!AP210,"")</f>
        <v>-0.17699999999999999</v>
      </c>
      <c r="AQ200" s="363">
        <f>IF(Model!AQ210&lt;&gt;"",Model!AQ210,"")</f>
        <v>-0.25700000000000001</v>
      </c>
      <c r="AR200" s="363" t="str">
        <f>IF(Model!AR210&lt;&gt;"",Model!AR210,"")</f>
        <v/>
      </c>
      <c r="AS200" s="363" t="str">
        <f>IF(Model!AT210&lt;&gt;"",Model!AS210,"")</f>
        <v/>
      </c>
      <c r="AT200" s="363" t="str">
        <f>IF(Model!AT210&lt;&gt;"",Model!AT210,"")</f>
        <v/>
      </c>
      <c r="AU200" s="363" t="str">
        <f>IF(Model!AU210&lt;&gt;"",Model!AU210,"")</f>
        <v/>
      </c>
      <c r="AV200" s="363" t="str">
        <f>IF(Model!AW210&lt;&gt;"",Model!AV210,"")</f>
        <v/>
      </c>
      <c r="AW200" s="363" t="str">
        <f>IF(Model!AW210&lt;&gt;"",Model!AW210,"")</f>
        <v/>
      </c>
      <c r="AX200" s="363">
        <f>IF(Model!AX210&lt;&gt;"",Model!AX210,"")</f>
        <v>0</v>
      </c>
      <c r="AY200" s="363">
        <f>IF(Model!AZ210&lt;&gt;"",Model!AY210,"")</f>
        <v>0</v>
      </c>
      <c r="AZ200" s="363">
        <f>IF(Model!AZ210&lt;&gt;"",Model!AZ210,"")</f>
        <v>0</v>
      </c>
      <c r="BA200" s="363">
        <f>IF(Model!BA210&lt;&gt;"",Model!BA210,"")</f>
        <v>0</v>
      </c>
      <c r="BB200" s="363">
        <f>IF(Model!BC210&lt;&gt;"",Model!BB210,"")</f>
        <v>0</v>
      </c>
      <c r="BC200" s="363">
        <f>IF(Model!BC210&lt;&gt;"",Model!BC210,"")</f>
        <v>0</v>
      </c>
      <c r="BD200" s="363"/>
      <c r="BE200" s="363">
        <f>IF(Model!BF210&lt;&gt;"",Model!BE210,"")</f>
        <v>8.8440000000000012</v>
      </c>
      <c r="BF200" s="363"/>
      <c r="BG200" s="363"/>
      <c r="BH200" s="363">
        <f>IF(Model!BI210&lt;&gt;"",Model!BH210,"")</f>
        <v>0</v>
      </c>
      <c r="BI200" s="363"/>
      <c r="BJ200" s="363"/>
      <c r="BK200" s="363">
        <f>IF(Model!BL210&lt;&gt;"",Model!BK210,"")</f>
        <v>-7.1159999999999979</v>
      </c>
      <c r="BL200" s="363"/>
      <c r="BM200" s="363"/>
      <c r="BN200" s="363">
        <f>IF(Model!BO210&lt;&gt;"",Model!BN210,"")</f>
        <v>-6.3620000000000001</v>
      </c>
      <c r="BO200" s="363"/>
      <c r="BP200" s="363"/>
      <c r="BQ200" s="363">
        <f>IF(Model!BR210&lt;&gt;"",Model!BQ210,"")</f>
        <v>-32.79</v>
      </c>
      <c r="BR200" s="363"/>
      <c r="BS200" s="363"/>
      <c r="BT200" s="363">
        <f>IF(Model!BU210&lt;&gt;"",Model!BT210,"")</f>
        <v>49.766000000000005</v>
      </c>
      <c r="BU200" s="363"/>
      <c r="BV200" s="363"/>
      <c r="BW200" s="363">
        <f>IF(Model!BX210&lt;&gt;"",Model!BW210,"")</f>
        <v>2.6600000000000037</v>
      </c>
      <c r="BX200" s="363"/>
      <c r="BY200" s="363"/>
      <c r="BZ200" s="363">
        <f>IF(Model!CA210&lt;&gt;"",Model!BZ210,"")</f>
        <v>54</v>
      </c>
      <c r="CA200" s="363"/>
      <c r="CB200" s="363"/>
      <c r="CC200" s="363">
        <f>IF(Model!CD210&lt;&gt;"",Model!CC210,"")</f>
        <v>191.31399999999999</v>
      </c>
      <c r="CD200" s="363"/>
      <c r="CE200" s="363"/>
      <c r="CF200" s="363">
        <f>IF(Model!CG210&lt;&gt;"",Model!CF210,"")</f>
        <v>67.533000000000001</v>
      </c>
      <c r="CG200" s="363">
        <v>0</v>
      </c>
      <c r="CH200" s="363"/>
      <c r="CI200" s="363">
        <f>IF(Model!CJ210&lt;&gt;"",Model!CI210,"")</f>
        <v>-297.48599999999999</v>
      </c>
      <c r="CJ200" s="363"/>
      <c r="CK200" s="363"/>
      <c r="CL200" s="363">
        <f>IF(Model!CM210&lt;&gt;"",Model!CL210,"")</f>
        <v>-77</v>
      </c>
      <c r="CM200" s="363"/>
      <c r="CN200" s="363"/>
      <c r="CO200" s="363">
        <f>IF(Model!CP210&lt;&gt;"",Model!CO210,"")</f>
        <v>-79.5</v>
      </c>
      <c r="CP200" s="363"/>
      <c r="CQ200" s="363"/>
      <c r="CR200" s="363">
        <f>IF(Model!CS210&lt;&gt;"",Model!CR210,"")</f>
        <v>-148.70099999999999</v>
      </c>
      <c r="CS200" s="363"/>
      <c r="CT200" s="363"/>
      <c r="CU200" s="363">
        <f>IF(Model!CV210&lt;&gt;"",Model!CU210,"")</f>
        <v>0</v>
      </c>
      <c r="CV200" s="363"/>
      <c r="CW200" s="363"/>
      <c r="CX200" s="363">
        <f>IF(Model!CY210&lt;&gt;"",Model!CX210,"")</f>
        <v>26.211999999999989</v>
      </c>
      <c r="CY200" s="363"/>
      <c r="CZ200" s="363"/>
      <c r="DA200" s="363">
        <f>IF(Model!DB210&lt;&gt;"",Model!DA210,"")</f>
        <v>-71.199999999999989</v>
      </c>
      <c r="DB200" s="363"/>
      <c r="DC200" s="363"/>
      <c r="DD200" s="363">
        <f>IF(Model!DE210&lt;&gt;"",Model!DD210,"")</f>
        <v>318.5</v>
      </c>
      <c r="DE200" s="363"/>
      <c r="DF200" s="363">
        <f>IF(Model!DG210&lt;&gt;"",Model!DF210,"")</f>
        <v>52.099999999999994</v>
      </c>
      <c r="DG200" s="363">
        <f>IF(Model!DH210&lt;&gt;"",Model!DG210,"")</f>
        <v>238.79999999999998</v>
      </c>
      <c r="DH200" s="363">
        <f>DF200</f>
        <v>52.099999999999994</v>
      </c>
      <c r="DI200" s="363">
        <f>IF(Model!DJ210&lt;&gt;"",Model!DI210,"")</f>
        <v>-337.5</v>
      </c>
      <c r="DJ200" s="363">
        <f>IF(Model!DK210&lt;&gt;"",Model!DJ210,"")</f>
        <v>-65.600000000000023</v>
      </c>
      <c r="DK200" s="1210"/>
      <c r="DL200" s="363"/>
      <c r="DM200" s="363">
        <f>IF(Model!DN210&lt;&gt;"",Model!DM210,"")</f>
        <v>-2.4</v>
      </c>
      <c r="DN200" s="1210"/>
      <c r="DO200" s="363"/>
      <c r="DP200" s="363">
        <f>IF(Model!DQ210&lt;&gt;"",Model!DP210,"")</f>
        <v>0</v>
      </c>
      <c r="DQ200" s="1210"/>
      <c r="DR200" s="363"/>
      <c r="DS200" s="363">
        <f>IF(Model!DT210&lt;&gt;"",Model!DS210,"")</f>
        <v>0</v>
      </c>
      <c r="DT200" s="1210"/>
      <c r="DU200" s="363"/>
      <c r="DV200" s="363">
        <f>IF(Model!DW210&lt;&gt;"",Model!DV210,"")</f>
        <v>0</v>
      </c>
      <c r="DW200" s="1210"/>
      <c r="DX200" s="363"/>
      <c r="DY200" s="363">
        <f>IF(Model!DZ210&lt;&gt;"",Model!DY210,"")</f>
        <v>0</v>
      </c>
      <c r="DZ200" s="1210"/>
      <c r="EA200" s="363"/>
      <c r="EB200" s="363">
        <f>IF(Model!EC210&lt;&gt;"",Model!EB210,"")</f>
        <v>0</v>
      </c>
      <c r="EC200" s="1210"/>
      <c r="ED200" s="363"/>
      <c r="EE200" s="363">
        <f>IF(Model!EF210&lt;&gt;"",Model!EE210,"")</f>
        <v>0</v>
      </c>
      <c r="EF200" s="1210"/>
      <c r="EG200" s="363"/>
      <c r="EH200" s="363">
        <f>IF(Model!EI210&lt;&gt;"",Model!EH210,"")</f>
        <v>0</v>
      </c>
      <c r="EI200" s="1210"/>
      <c r="EJ200" s="363"/>
      <c r="EK200" s="363">
        <f>IF(Model!EL210&lt;&gt;"",Model!EK210,"")</f>
        <v>0</v>
      </c>
      <c r="EL200" s="1210"/>
      <c r="EM200" s="363"/>
      <c r="EN200" s="363">
        <f>IF(Model!EO210&lt;&gt;"",Model!EN210,"")</f>
        <v>0</v>
      </c>
      <c r="EO200" s="1210"/>
      <c r="EP200" s="363"/>
      <c r="EQ200" s="363">
        <f>IF(Model!ER210&lt;&gt;"",Model!EQ210,"")</f>
        <v>0</v>
      </c>
      <c r="ER200" s="1210"/>
      <c r="ES200" s="363"/>
      <c r="ET200" s="363">
        <f>IF(Model!EU210&lt;&gt;"",Model!ET210,"")</f>
        <v>0</v>
      </c>
      <c r="EU200" s="1210"/>
      <c r="EV200" s="363"/>
      <c r="EW200" s="363">
        <f>IF(Model!EX210&lt;&gt;"",Model!EW210,"")</f>
        <v>0</v>
      </c>
      <c r="EX200" s="1210"/>
      <c r="EY200" s="363"/>
      <c r="EZ200" s="363">
        <f>IF(Model!FA210&lt;&gt;"",Model!EZ210,"")</f>
        <v>0</v>
      </c>
      <c r="FA200" s="363"/>
    </row>
    <row r="201" spans="1:157" ht="13.35" customHeight="1">
      <c r="A201" s="5"/>
      <c r="B201" s="401" t="s">
        <v>767</v>
      </c>
      <c r="C201" s="401"/>
      <c r="D201" s="399"/>
      <c r="E201" s="363" t="str">
        <f>IF(Model!E211&lt;&gt;"",Model!E211,"")</f>
        <v/>
      </c>
      <c r="F201" s="363" t="str">
        <f>IF(Model!G211&lt;&gt;"",Model!F211,"")</f>
        <v/>
      </c>
      <c r="G201" s="363" t="str">
        <f>IF(Model!G211&lt;&gt;"",Model!G211,"")</f>
        <v/>
      </c>
      <c r="H201" s="363" t="str">
        <f>IF(Model!H211&lt;&gt;"",Model!H211,"")</f>
        <v/>
      </c>
      <c r="I201" s="363" t="str">
        <f>IF(Model!J211&lt;&gt;"",Model!I211,"")</f>
        <v/>
      </c>
      <c r="J201" s="363" t="str">
        <f>IF(Model!J211&lt;&gt;"",Model!J211,"")</f>
        <v/>
      </c>
      <c r="K201" s="363" t="str">
        <f>IF(Model!K211&lt;&gt;"",Model!K211,"")</f>
        <v/>
      </c>
      <c r="L201" s="363" t="str">
        <f>IF(Model!M211&lt;&gt;"",Model!L211,"")</f>
        <v/>
      </c>
      <c r="M201" s="363" t="str">
        <f>IF(Model!M211&lt;&gt;"",Model!M211,"")</f>
        <v/>
      </c>
      <c r="N201" s="363" t="str">
        <f>IF(Model!N211&lt;&gt;"",Model!N211,"")</f>
        <v/>
      </c>
      <c r="O201" s="363" t="str">
        <f>IF(Model!P211&lt;&gt;"",Model!O211,"")</f>
        <v/>
      </c>
      <c r="P201" s="363" t="str">
        <f>IF(Model!P211&lt;&gt;"",Model!P211,"")</f>
        <v/>
      </c>
      <c r="Q201" s="363" t="str">
        <f>IF(Model!Q211&lt;&gt;"",Model!Q211,"")</f>
        <v/>
      </c>
      <c r="R201" s="363" t="str">
        <f>IF(Model!S211&lt;&gt;"",Model!R211,"")</f>
        <v/>
      </c>
      <c r="S201" s="363" t="str">
        <f>IF(Model!S211&lt;&gt;"",Model!S211,"")</f>
        <v/>
      </c>
      <c r="T201" s="363" t="str">
        <f>IF(Model!T211&lt;&gt;"",Model!T211,"")</f>
        <v/>
      </c>
      <c r="U201" s="363" t="str">
        <f>IF(Model!V211&lt;&gt;"",Model!U211,"")</f>
        <v/>
      </c>
      <c r="V201" s="363" t="str">
        <f>IF(Model!V211&lt;&gt;"",Model!V211,"")</f>
        <v/>
      </c>
      <c r="W201" s="363" t="str">
        <f>IF(Model!W211&lt;&gt;"",Model!W211,"")</f>
        <v/>
      </c>
      <c r="X201" s="363" t="str">
        <f>IF(Model!Y211&lt;&gt;"",Model!X211,"")</f>
        <v/>
      </c>
      <c r="Y201" s="363" t="str">
        <f>IF(Model!Y211&lt;&gt;"",Model!Y211,"")</f>
        <v/>
      </c>
      <c r="Z201" s="363" t="str">
        <f>IF(Model!Z211&lt;&gt;"",Model!Z211,"")</f>
        <v/>
      </c>
      <c r="AA201" s="363" t="str">
        <f>IF(Model!AB211&lt;&gt;"",Model!AA211,"")</f>
        <v/>
      </c>
      <c r="AB201" s="363" t="str">
        <f>IF(Model!AB211&lt;&gt;"",Model!AB211,"")</f>
        <v/>
      </c>
      <c r="AC201" s="363" t="str">
        <f>IF(Model!AC211&lt;&gt;"",Model!AC211,"")</f>
        <v/>
      </c>
      <c r="AD201" s="363" t="str">
        <f>IF(Model!AE211&lt;&gt;"",Model!AD211,"")</f>
        <v/>
      </c>
      <c r="AE201" s="363" t="str">
        <f>IF(Model!AE211&lt;&gt;"",Model!AE211,"")</f>
        <v/>
      </c>
      <c r="AF201" s="363" t="str">
        <f>IF(Model!AF211&lt;&gt;"",Model!AF211,"")</f>
        <v/>
      </c>
      <c r="AG201" s="363" t="str">
        <f>IF(Model!AH211&lt;&gt;"",Model!AG211,"")</f>
        <v/>
      </c>
      <c r="AH201" s="363" t="str">
        <f>IF(Model!AH211&lt;&gt;"",Model!AH211,"")</f>
        <v/>
      </c>
      <c r="AI201" s="363" t="str">
        <f>IF(Model!AI211&lt;&gt;"",Model!AI211,"")</f>
        <v/>
      </c>
      <c r="AJ201" s="363" t="str">
        <f>IF(Model!AK211&lt;&gt;"",Model!AJ211,"")</f>
        <v/>
      </c>
      <c r="AK201" s="363" t="str">
        <f>IF(Model!AK211&lt;&gt;"",Model!AK211,"")</f>
        <v/>
      </c>
      <c r="AL201" s="363" t="str">
        <f>IF(Model!AL211&lt;&gt;"",Model!AL211,"")</f>
        <v/>
      </c>
      <c r="AM201" s="363" t="str">
        <f>IF(Model!AN211&lt;&gt;"",Model!AM211,"")</f>
        <v/>
      </c>
      <c r="AN201" s="363" t="str">
        <f>IF(Model!AN211&lt;&gt;"",Model!AN211,"")</f>
        <v/>
      </c>
      <c r="AO201" s="363" t="str">
        <f>IF(Model!AO211&lt;&gt;"",Model!AO211,"")</f>
        <v/>
      </c>
      <c r="AP201" s="363" t="str">
        <f>IF(Model!AQ211&lt;&gt;"",Model!AP211,"")</f>
        <v/>
      </c>
      <c r="AQ201" s="363" t="str">
        <f>IF(Model!AQ211&lt;&gt;"",Model!AQ211,"")</f>
        <v/>
      </c>
      <c r="AR201" s="363" t="str">
        <f>IF(Model!AR211&lt;&gt;"",Model!AR211,"")</f>
        <v/>
      </c>
      <c r="AS201" s="363" t="str">
        <f>IF(Model!AT211&lt;&gt;"",Model!AS211,"")</f>
        <v/>
      </c>
      <c r="AT201" s="363" t="str">
        <f>IF(Model!AT211&lt;&gt;"",Model!AT211,"")</f>
        <v/>
      </c>
      <c r="AU201" s="363" t="str">
        <f>IF(Model!AU211&lt;&gt;"",Model!AU211,"")</f>
        <v/>
      </c>
      <c r="AV201" s="363" t="str">
        <f>IF(Model!AW211&lt;&gt;"",Model!AV211,"")</f>
        <v/>
      </c>
      <c r="AW201" s="363" t="str">
        <f>IF(Model!AW211&lt;&gt;"",Model!AW211,"")</f>
        <v/>
      </c>
      <c r="AX201" s="363">
        <f>IF(Model!AX211&lt;&gt;"",Model!AX211,"")</f>
        <v>0</v>
      </c>
      <c r="AY201" s="363">
        <f>IF(Model!AZ211&lt;&gt;"",Model!AY211,"")</f>
        <v>-2.5289999999999999</v>
      </c>
      <c r="AZ201" s="363">
        <f>IF(Model!AZ211&lt;&gt;"",Model!AZ211,"")</f>
        <v>-2.5289999999999999</v>
      </c>
      <c r="BA201" s="363">
        <f>IF(Model!BA211&lt;&gt;"",Model!BA211,"")</f>
        <v>0.31900000000000001</v>
      </c>
      <c r="BB201" s="363">
        <f>IF(Model!BC211&lt;&gt;"",Model!BB211,"")</f>
        <v>7.7190000000000003</v>
      </c>
      <c r="BC201" s="363">
        <f>IF(Model!BC211&lt;&gt;"",Model!BC211,"")</f>
        <v>8.0380000000000003</v>
      </c>
      <c r="BD201" s="363">
        <f>IF(Model!BD211&lt;&gt;"",Model!BD211,"")</f>
        <v>0</v>
      </c>
      <c r="BE201" s="363">
        <f>IF(Model!BF211&lt;&gt;"",Model!BE211,"")</f>
        <v>0</v>
      </c>
      <c r="BF201" s="363">
        <f>IF(Model!BF211&lt;&gt;"",Model!BF211,"")</f>
        <v>0</v>
      </c>
      <c r="BG201" s="363">
        <f>IF(Model!BG211&lt;&gt;"",Model!BG211,"")</f>
        <v>0</v>
      </c>
      <c r="BH201" s="363">
        <f>IF(Model!BI211&lt;&gt;"",Model!BH211,"")</f>
        <v>1.984</v>
      </c>
      <c r="BI201" s="363">
        <f>IF(Model!BI211&lt;&gt;"",Model!BI211,"")</f>
        <v>1.984</v>
      </c>
      <c r="BJ201" s="363">
        <f>IF(Model!BJ211&lt;&gt;"",Model!BJ211,"")</f>
        <v>-4.383</v>
      </c>
      <c r="BK201" s="363">
        <f>IF(Model!BL211&lt;&gt;"",Model!BK211,"")</f>
        <v>4.383</v>
      </c>
      <c r="BL201" s="363">
        <f>IF(Model!BL211&lt;&gt;"",Model!BL211,"")</f>
        <v>0</v>
      </c>
      <c r="BM201" s="363" t="str">
        <f>IF(Model!BM211&lt;&gt;"",Model!BM211,"")</f>
        <v/>
      </c>
      <c r="BN201" s="363">
        <f>IF(Model!BO211&lt;&gt;"",Model!BN211,"")</f>
        <v>178.81200000000001</v>
      </c>
      <c r="BO201" s="363">
        <f>IF(Model!BO211&lt;&gt;"",Model!BO211,"")</f>
        <v>178.81200000000001</v>
      </c>
      <c r="BP201" s="363">
        <f>IF(Model!BP211&lt;&gt;"",Model!BP211,"")</f>
        <v>-18.215</v>
      </c>
      <c r="BQ201" s="363">
        <f>IF(Model!BR211&lt;&gt;"",Model!BQ211,"")</f>
        <v>21.893000000000001</v>
      </c>
      <c r="BR201" s="363">
        <f>IF(Model!BR211&lt;&gt;"",Model!BR211,"")</f>
        <v>3.6779999999999999</v>
      </c>
      <c r="BS201" s="363">
        <f>IF(Model!BS211&lt;&gt;"",Model!BS211,"")</f>
        <v>0</v>
      </c>
      <c r="BT201" s="363">
        <f>IF(Model!BU211&lt;&gt;"",Model!BT211,"")</f>
        <v>-38.487000000000002</v>
      </c>
      <c r="BU201" s="363">
        <f>IF(Model!BU211&lt;&gt;"",Model!BU211,"")</f>
        <v>-38.487000000000002</v>
      </c>
      <c r="BV201" s="363">
        <f>IF(Model!BV211&lt;&gt;"",Model!BV211,"")</f>
        <v>0</v>
      </c>
      <c r="BW201" s="363">
        <f>IF(Model!BX211&lt;&gt;"",Model!BW211,"")</f>
        <v>-25.685000000000002</v>
      </c>
      <c r="BX201" s="363">
        <f>IF(Model!BX211&lt;&gt;"",Model!BX211,"")</f>
        <v>-25.685000000000002</v>
      </c>
      <c r="BY201" s="363">
        <f>IF(Model!BY211&lt;&gt;"",Model!BY211,"")</f>
        <v>60.423999999999999</v>
      </c>
      <c r="BZ201" s="363">
        <f>IF(Model!CA211&lt;&gt;"",Model!BZ211,"")</f>
        <v>-43.57200000000001</v>
      </c>
      <c r="CA201" s="363">
        <f>IF(Model!CA211&lt;&gt;"",Model!CA211,"")</f>
        <v>16.85199999999999</v>
      </c>
      <c r="CB201" s="363">
        <f>IF(Model!CB211&lt;&gt;"",Model!CB211,"")</f>
        <v>53.469000000000001</v>
      </c>
      <c r="CC201" s="363">
        <f>IF(Model!CD211&lt;&gt;"",Model!CC211,"")</f>
        <v>-211.96899999999999</v>
      </c>
      <c r="CD201" s="363">
        <f>IF(Model!CD211&lt;&gt;"",Model!CD211,"")</f>
        <v>-158.5</v>
      </c>
      <c r="CE201" s="363">
        <f>IF(Model!CE211&lt;&gt;"",Model!CE211,"")</f>
        <v>85.533000000000001</v>
      </c>
      <c r="CF201" s="363">
        <f>IF(Model!CG211&lt;&gt;"",Model!CF211,"")</f>
        <v>-85.533000000000001</v>
      </c>
      <c r="CG201" s="363">
        <f>IF(Model!CG211&lt;&gt;"",Model!CG211,"")</f>
        <v>0</v>
      </c>
      <c r="CH201" s="363" t="str">
        <f>IF(Model!CH211&lt;&gt;"",Model!CH211,"")</f>
        <v/>
      </c>
      <c r="CI201" s="363">
        <f>IF(Model!CJ211&lt;&gt;"",Model!CI211,"")</f>
        <v>0</v>
      </c>
      <c r="CJ201" s="363">
        <f>IF(Model!CJ211&lt;&gt;"",Model!CJ211,"")</f>
        <v>0</v>
      </c>
      <c r="CK201" s="363">
        <f>IF(Model!CK211&lt;&gt;"",Model!CK211,"")</f>
        <v>0</v>
      </c>
      <c r="CL201" s="363">
        <f>IF(Model!CM211&lt;&gt;"",Model!CL211,"")</f>
        <v>106</v>
      </c>
      <c r="CM201" s="363">
        <f>IF(Model!CM211&lt;&gt;"",Model!CM211,"")</f>
        <v>106</v>
      </c>
      <c r="CN201" s="363">
        <f>IF(Model!CN211&lt;&gt;"",Model!CN211,"")</f>
        <v>56</v>
      </c>
      <c r="CO201" s="363">
        <f>IF(Model!CP211&lt;&gt;"",Model!CO211,"")</f>
        <v>90.5</v>
      </c>
      <c r="CP201" s="363">
        <f>IF(Model!CP211&lt;&gt;"",Model!CP211,"")</f>
        <v>146.5</v>
      </c>
      <c r="CQ201" s="363">
        <f>IF(Model!CQ211&lt;&gt;"",Model!CQ211,"")</f>
        <v>-7</v>
      </c>
      <c r="CR201" s="363">
        <f>IF(Model!CS211&lt;&gt;"",Model!CR211,"")</f>
        <v>130.70099999999999</v>
      </c>
      <c r="CS201" s="363">
        <f>IF(Model!CS211&lt;&gt;"",Model!CS211,"")</f>
        <v>123.70099999999999</v>
      </c>
      <c r="CT201" s="363" t="str">
        <f>IF(Model!CT211&lt;&gt;"",Model!CT211,"")</f>
        <v/>
      </c>
      <c r="CU201" s="363">
        <f>IF(Model!CV211&lt;&gt;"",Model!CU211,"")</f>
        <v>-20</v>
      </c>
      <c r="CV201" s="363">
        <f>IF(Model!CV211&lt;&gt;"",Model!CV211,"")</f>
        <v>-20</v>
      </c>
      <c r="CW201" s="363">
        <f>IF(Model!CW211&lt;&gt;"",Model!CW211,"")</f>
        <v>-20</v>
      </c>
      <c r="CX201" s="363">
        <f>IF(Model!CY211&lt;&gt;"",Model!CX211,"")</f>
        <v>20</v>
      </c>
      <c r="CY201" s="363">
        <f>IF(Model!CY211&lt;&gt;"",Model!CY211,"")</f>
        <v>0</v>
      </c>
      <c r="CZ201" s="363">
        <f>IF(Model!CZ211&lt;&gt;"",Model!CZ211,"")</f>
        <v>25</v>
      </c>
      <c r="DA201" s="363">
        <f>IF(Model!DB211&lt;&gt;"",Model!DA211,"")</f>
        <v>-25.4</v>
      </c>
      <c r="DB201" s="363">
        <f>IF(Model!DB211&lt;&gt;"",Model!DB211,"")</f>
        <v>-0.4</v>
      </c>
      <c r="DC201" s="363">
        <f>IF(Model!DC211&lt;&gt;"",Model!DC211,"")</f>
        <v>0</v>
      </c>
      <c r="DD201" s="363">
        <f>IF(Model!DE211&lt;&gt;"",Model!DD211,"")</f>
        <v>0</v>
      </c>
      <c r="DE201" s="363">
        <f>IF(Model!DE211&lt;&gt;"",Model!DE211,"")</f>
        <v>0</v>
      </c>
      <c r="DF201" s="363">
        <f>IF(Model!DF211&lt;&gt;"",Model!DF211,"")</f>
        <v>0</v>
      </c>
      <c r="DG201" s="363">
        <f>IF(Model!DH211&lt;&gt;"",Model!DG211,"")</f>
        <v>0</v>
      </c>
      <c r="DH201" s="363">
        <f>IF(Model!DH211&lt;&gt;"",Model!DH211,"")</f>
        <v>0</v>
      </c>
      <c r="DI201" s="363">
        <f>IF(Model!DI211&lt;&gt;"",Model!DI211,"")</f>
        <v>0</v>
      </c>
      <c r="DJ201" s="363">
        <f>IF(Model!DK211&lt;&gt;"",Model!DJ211,"")</f>
        <v>0</v>
      </c>
      <c r="DK201" s="1210">
        <f>IF(Model!DK211&lt;&gt;"",Model!DK211,"")</f>
        <v>0</v>
      </c>
      <c r="DL201" s="363" t="str">
        <f>IF(Model!DL211&lt;&gt;"",Model!DL211,"")</f>
        <v/>
      </c>
      <c r="DM201" s="363" t="str">
        <f>IF(Model!DN211&lt;&gt;"",Model!DM211,"")</f>
        <v/>
      </c>
      <c r="DN201" s="1210" t="str">
        <f>IF(Model!DN211&lt;&gt;"",Model!DN211,"")</f>
        <v/>
      </c>
      <c r="DO201" s="363" t="str">
        <f>IF(Model!DO211&lt;&gt;"",Model!DO211,"")</f>
        <v/>
      </c>
      <c r="DP201" s="363">
        <f>IF(Model!DQ211&lt;&gt;"",Model!DP211,"")</f>
        <v>0</v>
      </c>
      <c r="DQ201" s="1210">
        <f>IF(Model!DQ211&lt;&gt;"",Model!DQ211,"")</f>
        <v>0</v>
      </c>
      <c r="DR201" s="363" t="str">
        <f>IF(Model!DR211&lt;&gt;"",Model!DR211,"")</f>
        <v/>
      </c>
      <c r="DS201" s="363">
        <f>IF(Model!DT211&lt;&gt;"",Model!DS211,"")</f>
        <v>0</v>
      </c>
      <c r="DT201" s="1210">
        <f>IF(Model!DT211&lt;&gt;"",Model!DT211,"")</f>
        <v>0</v>
      </c>
      <c r="DU201" s="363">
        <f>IF(Model!DU211&lt;&gt;"",Model!DU211,"")</f>
        <v>0</v>
      </c>
      <c r="DV201" s="363">
        <f>IF(Model!DW211&lt;&gt;"",Model!DV211,"")</f>
        <v>0</v>
      </c>
      <c r="DW201" s="1210">
        <f>IF(Model!DW211&lt;&gt;"",Model!DW211,"")</f>
        <v>0</v>
      </c>
      <c r="DX201" s="363">
        <f>IF(Model!DX211&lt;&gt;"",Model!DX211,"")</f>
        <v>0</v>
      </c>
      <c r="DY201" s="363">
        <f>IF(Model!DZ211&lt;&gt;"",Model!DY211,"")</f>
        <v>0</v>
      </c>
      <c r="DZ201" s="1210">
        <f>IF(Model!DZ211&lt;&gt;"",Model!DZ211,"")</f>
        <v>0</v>
      </c>
      <c r="EA201" s="363">
        <f>IF(Model!EA211&lt;&gt;"",Model!EA211,"")</f>
        <v>0</v>
      </c>
      <c r="EB201" s="363">
        <f>IF(Model!EC211&lt;&gt;"",Model!EB211,"")</f>
        <v>0</v>
      </c>
      <c r="EC201" s="1210">
        <f>IF(Model!EC211&lt;&gt;"",Model!EC211,"")</f>
        <v>0</v>
      </c>
      <c r="ED201" s="363">
        <f>IF(Model!ED211&lt;&gt;"",Model!ED211,"")</f>
        <v>0</v>
      </c>
      <c r="EE201" s="363">
        <f>IF(Model!EF211&lt;&gt;"",Model!EE211,"")</f>
        <v>0</v>
      </c>
      <c r="EF201" s="1210">
        <f>IF(Model!EF211&lt;&gt;"",Model!EF211,"")</f>
        <v>0</v>
      </c>
      <c r="EG201" s="363">
        <f>IF(Model!EG211&lt;&gt;"",Model!EG211,"")</f>
        <v>0</v>
      </c>
      <c r="EH201" s="363">
        <f>IF(Model!EI211&lt;&gt;"",Model!EH211,"")</f>
        <v>0</v>
      </c>
      <c r="EI201" s="1210">
        <f>IF(Model!EI211&lt;&gt;"",Model!EI211,"")</f>
        <v>0</v>
      </c>
      <c r="EJ201" s="363">
        <f>IF(Model!EJ211&lt;&gt;"",Model!EJ211,"")</f>
        <v>0</v>
      </c>
      <c r="EK201" s="363">
        <f>IF(Model!EL211&lt;&gt;"",Model!EK211,"")</f>
        <v>0</v>
      </c>
      <c r="EL201" s="1210">
        <f>IF(Model!EL211&lt;&gt;"",Model!EL211,"")</f>
        <v>0</v>
      </c>
      <c r="EM201" s="363">
        <f>IF(Model!EM211&lt;&gt;"",Model!EM211,"")</f>
        <v>0</v>
      </c>
      <c r="EN201" s="363">
        <f>IF(Model!EO211&lt;&gt;"",Model!EN211,"")</f>
        <v>0</v>
      </c>
      <c r="EO201" s="1210">
        <f>IF(Model!EO211&lt;&gt;"",Model!EO211,"")</f>
        <v>0</v>
      </c>
      <c r="EP201" s="363">
        <f>IF(Model!EP211&lt;&gt;"",Model!EP211,"")</f>
        <v>0</v>
      </c>
      <c r="EQ201" s="363">
        <f>IF(Model!ER211&lt;&gt;"",Model!EQ211,"")</f>
        <v>0</v>
      </c>
      <c r="ER201" s="1210">
        <f>IF(Model!ER211&lt;&gt;"",Model!ER211,"")</f>
        <v>0</v>
      </c>
      <c r="ES201" s="363">
        <f>IF(Model!ES211&lt;&gt;"",Model!ES211,"")</f>
        <v>0</v>
      </c>
      <c r="ET201" s="363">
        <f>IF(Model!EU211&lt;&gt;"",Model!ET211,"")</f>
        <v>0</v>
      </c>
      <c r="EU201" s="1210">
        <f>IF(Model!EU211&lt;&gt;"",Model!EU211,"")</f>
        <v>0</v>
      </c>
      <c r="EV201" s="363">
        <f>IF(Model!EV211&lt;&gt;"",Model!EV211,"")</f>
        <v>0</v>
      </c>
      <c r="EW201" s="363">
        <f>IF(Model!EX211&lt;&gt;"",Model!EW211,"")</f>
        <v>0</v>
      </c>
      <c r="EX201" s="1210">
        <f>IF(Model!EX211&lt;&gt;"",Model!EX211,"")</f>
        <v>0</v>
      </c>
      <c r="EY201" s="363">
        <f>IF(Model!EY211&lt;&gt;"",Model!EY211,"")</f>
        <v>0</v>
      </c>
      <c r="EZ201" s="363">
        <f>IF(Model!FA211&lt;&gt;"",Model!EZ211,"")</f>
        <v>0</v>
      </c>
      <c r="FA201" s="363">
        <f>IF(Model!FA211&lt;&gt;"",Model!FA211,"")</f>
        <v>0</v>
      </c>
    </row>
    <row r="202" spans="1:157" ht="13.35" customHeight="1">
      <c r="A202" s="5"/>
      <c r="B202" s="401" t="s">
        <v>768</v>
      </c>
      <c r="C202" s="401"/>
      <c r="D202" s="399"/>
      <c r="E202" s="363" t="str">
        <f>IF(AND(Model!E213&lt;&gt;"",Model!E90&lt;&gt;0),Model!E213,"")</f>
        <v/>
      </c>
      <c r="F202" s="363" t="str">
        <f>IF(AND(Model!G213&lt;&gt;"",Model!F90&lt;&gt;0),Model!F213,"")</f>
        <v/>
      </c>
      <c r="G202" s="363" t="str">
        <f>IF(AND(Model!G213&lt;&gt;"",Model!G90&lt;&gt;0),Model!G213,"")</f>
        <v/>
      </c>
      <c r="H202" s="363" t="str">
        <f>IF(AND(Model!H213&lt;&gt;"",Model!H90&lt;&gt;0),Model!H213,"")</f>
        <v/>
      </c>
      <c r="I202" s="363" t="str">
        <f>IF(AND(Model!J213&lt;&gt;"",Model!I90&lt;&gt;0),Model!I213,"")</f>
        <v/>
      </c>
      <c r="J202" s="363" t="str">
        <f>IF(AND(Model!J213&lt;&gt;"",Model!J90&lt;&gt;0),Model!J213,"")</f>
        <v/>
      </c>
      <c r="K202" s="363" t="str">
        <f>IF(AND(Model!K213&lt;&gt;"",Model!K90&lt;&gt;0),Model!K213,"")</f>
        <v/>
      </c>
      <c r="L202" s="363" t="str">
        <f>IF(AND(Model!M213&lt;&gt;"",Model!L90&lt;&gt;0),Model!L213,"")</f>
        <v/>
      </c>
      <c r="M202" s="363" t="str">
        <f>IF(AND(Model!M213&lt;&gt;"",Model!M90&lt;&gt;0),Model!M213,"")</f>
        <v/>
      </c>
      <c r="N202" s="363" t="str">
        <f>IF(AND(Model!N213&lt;&gt;"",Model!N90&lt;&gt;0),Model!N213,"")</f>
        <v/>
      </c>
      <c r="O202" s="363" t="str">
        <f>IF(AND(Model!P213&lt;&gt;"",Model!O90&lt;&gt;0),Model!O213,"")</f>
        <v/>
      </c>
      <c r="P202" s="363" t="str">
        <f>IF(AND(Model!P213&lt;&gt;"",Model!P90&lt;&gt;0),Model!P213,"")</f>
        <v/>
      </c>
      <c r="Q202" s="363" t="str">
        <f>IF(AND(Model!Q213&lt;&gt;"",Model!Q90&lt;&gt;0),Model!Q213,"")</f>
        <v/>
      </c>
      <c r="R202" s="363" t="str">
        <f>IF(AND(Model!S213&lt;&gt;"",Model!R90&lt;&gt;0),Model!R213,"")</f>
        <v/>
      </c>
      <c r="S202" s="363" t="str">
        <f>IF(AND(Model!S213&lt;&gt;"",Model!S90&lt;&gt;0),Model!S213,"")</f>
        <v/>
      </c>
      <c r="T202" s="363" t="str">
        <f>IF(AND(Model!T213&lt;&gt;"",Model!T90&lt;&gt;0),Model!T213,"")</f>
        <v/>
      </c>
      <c r="U202" s="363" t="str">
        <f>IF(AND(Model!V213&lt;&gt;"",Model!U90&lt;&gt;0),Model!U213,"")</f>
        <v/>
      </c>
      <c r="V202" s="363" t="str">
        <f>IF(AND(Model!V213&lt;&gt;"",Model!V90&lt;&gt;0),Model!V213,"")</f>
        <v/>
      </c>
      <c r="W202" s="363" t="str">
        <f>IF(AND(Model!W213&lt;&gt;"",Model!W90&lt;&gt;0),Model!W213,"")</f>
        <v/>
      </c>
      <c r="X202" s="363" t="str">
        <f>IF(AND(Model!Y213&lt;&gt;"",Model!X90&lt;&gt;0),Model!X213,"")</f>
        <v/>
      </c>
      <c r="Y202" s="363" t="str">
        <f>IF(AND(Model!Y213&lt;&gt;"",Model!Y90&lt;&gt;0),Model!Y213,"")</f>
        <v/>
      </c>
      <c r="Z202" s="363" t="str">
        <f>IF(AND(Model!Z213&lt;&gt;"",Model!Z90&lt;&gt;0),Model!Z213,"")</f>
        <v/>
      </c>
      <c r="AA202" s="363" t="str">
        <f>IF(AND(Model!AB213&lt;&gt;"",Model!AA90&lt;&gt;0),Model!AA213,"")</f>
        <v/>
      </c>
      <c r="AB202" s="363" t="str">
        <f>IF(AND(Model!AB213&lt;&gt;"",Model!AB90&lt;&gt;0),Model!AB213,"")</f>
        <v/>
      </c>
      <c r="AC202" s="363" t="str">
        <f>IF(AND(Model!AC213&lt;&gt;"",Model!AC90&lt;&gt;0),Model!AC213,"")</f>
        <v/>
      </c>
      <c r="AD202" s="363" t="str">
        <f>IF(AND(Model!AE213&lt;&gt;"",Model!AD90&lt;&gt;0),Model!AD213,"")</f>
        <v/>
      </c>
      <c r="AE202" s="363" t="str">
        <f>IF(AND(Model!AE213&lt;&gt;"",Model!AE90&lt;&gt;0),Model!AE213,"")</f>
        <v/>
      </c>
      <c r="AF202" s="363" t="str">
        <f>IF(AND(Model!AF213&lt;&gt;"",Model!AF90&lt;&gt;0),Model!AF213,"")</f>
        <v/>
      </c>
      <c r="AG202" s="363" t="str">
        <f>IF(AND(Model!AH213&lt;&gt;"",Model!AG90&lt;&gt;0),Model!AG213,"")</f>
        <v/>
      </c>
      <c r="AH202" s="363" t="str">
        <f>IF(AND(Model!AH213&lt;&gt;"",Model!AH90&lt;&gt;0),Model!AH213,"")</f>
        <v/>
      </c>
      <c r="AI202" s="363">
        <f>IF(AND(Model!AI213&lt;&gt;"",Model!AI90&lt;&gt;0),Model!AI213,"")</f>
        <v>0</v>
      </c>
      <c r="AJ202" s="363">
        <f>IF(AND(Model!AK213&lt;&gt;"",Model!AJ90&lt;&gt;0),Model!AJ213,"")</f>
        <v>0</v>
      </c>
      <c r="AK202" s="363">
        <f>IF(AND(Model!AK213&lt;&gt;"",Model!AK90&lt;&gt;0),Model!AK213,"")</f>
        <v>0</v>
      </c>
      <c r="AL202" s="363">
        <f>IF(AND(Model!AL213&lt;&gt;"",Model!AL90&lt;&gt;0),Model!AL213,"")</f>
        <v>-1.3322676295501878E-15</v>
      </c>
      <c r="AM202" s="363">
        <f>IF(AND(Model!AN213&lt;&gt;"",Model!AM90&lt;&gt;0),Model!AM213,"")</f>
        <v>3.9968028886505635E-15</v>
      </c>
      <c r="AN202" s="363">
        <f>IF(AND(Model!AN213&lt;&gt;"",Model!AN90&lt;&gt;0),Model!AN213,"")</f>
        <v>2.6645352591003757E-15</v>
      </c>
      <c r="AO202" s="363">
        <f>IF(AND(Model!AO213&lt;&gt;"",Model!AO90&lt;&gt;0),Model!AO213,"")</f>
        <v>-4.4408920985006262E-16</v>
      </c>
      <c r="AP202" s="363">
        <f>IF(AND(Model!AQ213&lt;&gt;"",Model!AP90&lt;&gt;0),Model!AP213,"")</f>
        <v>-3.4999999999999698E-2</v>
      </c>
      <c r="AQ202" s="363">
        <f>IF(AND(Model!AQ213&lt;&gt;"",Model!AQ90&lt;&gt;0),Model!AQ213,"")</f>
        <v>-3.5000000000000142E-2</v>
      </c>
      <c r="AR202" s="363">
        <f>IF(AND(Model!AR213&lt;&gt;"",Model!AR90&lt;&gt;0),Model!AR213,"")</f>
        <v>0</v>
      </c>
      <c r="AS202" s="363">
        <f>IF(AND(Model!AT213&lt;&gt;"",Model!AS90&lt;&gt;0),Model!AS213,"")</f>
        <v>-8.8817841970012523E-16</v>
      </c>
      <c r="AT202" s="363">
        <f>IF(AND(Model!AT213&lt;&gt;"",Model!AT90&lt;&gt;0),Model!AT213,"")</f>
        <v>-8.8817841970012523E-16</v>
      </c>
      <c r="AU202" s="363">
        <f>IF(AND(Model!AU213&lt;&gt;"",Model!AU90&lt;&gt;0),Model!AU213,"")</f>
        <v>0</v>
      </c>
      <c r="AV202" s="363">
        <f>IF(AND(Model!AW213&lt;&gt;"",Model!AV90&lt;&gt;0),Model!AV213,"")</f>
        <v>8.8817841970012523E-16</v>
      </c>
      <c r="AW202" s="363">
        <f>IF(AND(Model!AW213&lt;&gt;"",Model!AW90&lt;&gt;0),Model!AW213,"")</f>
        <v>8.8817841970012523E-16</v>
      </c>
      <c r="AX202" s="363">
        <f>IF(AND(Model!AX213&lt;&gt;"",Model!AX90&lt;&gt;0),Model!AX213,"")</f>
        <v>6.6613381477509392E-16</v>
      </c>
      <c r="AY202" s="363">
        <f>IF(AND(Model!AZ213&lt;&gt;"",Model!AY90&lt;&gt;0),Model!AY213,"")</f>
        <v>2.0000000000002016E-2</v>
      </c>
      <c r="AZ202" s="363">
        <f>IF(AND(Model!AZ213&lt;&gt;"",Model!AZ90&lt;&gt;0),Model!AZ213,"")</f>
        <v>2.0000000000002682E-2</v>
      </c>
      <c r="BA202" s="363">
        <f>IF(AND(Model!BA213&lt;&gt;"",Model!BA90&lt;&gt;0),Model!BA213,"")</f>
        <v>-4.4408920985006262E-16</v>
      </c>
      <c r="BB202" s="363">
        <f>IF(AND(Model!BC213&lt;&gt;"",Model!BB90&lt;&gt;0),Model!BB213,"")</f>
        <v>-2.6645352591003757E-15</v>
      </c>
      <c r="BC202" s="363">
        <f>IF(AND(Model!BC213&lt;&gt;"",Model!BC90&lt;&gt;0),Model!BC213,"")</f>
        <v>-3.1086244689504383E-15</v>
      </c>
      <c r="BD202" s="363">
        <f>IF(AND(Model!BD213&lt;&gt;"",Model!BD90&lt;&gt;0),Model!BD213,"")</f>
        <v>-8.8817841970012523E-16</v>
      </c>
      <c r="BE202" s="363">
        <f>IF(AND(Model!BF213&lt;&gt;"",Model!BE90&lt;&gt;0),Model!BE213,"")</f>
        <v>1.7763568394002505E-15</v>
      </c>
      <c r="BF202" s="363">
        <f>IF(AND(Model!BF213&lt;&gt;"",Model!BF90&lt;&gt;0),Model!BF213,"")</f>
        <v>8.8817841970012523E-16</v>
      </c>
      <c r="BG202" s="363">
        <f>IF(AND(Model!BG213&lt;&gt;"",Model!BG90&lt;&gt;0),Model!BG213,"")</f>
        <v>-16.074000000000005</v>
      </c>
      <c r="BH202" s="363">
        <f>IF(AND(Model!BI213&lt;&gt;"",Model!BH90&lt;&gt;0),Model!BH213,"")</f>
        <v>16.074000000000005</v>
      </c>
      <c r="BI202" s="363">
        <f>IF(AND(Model!BI213&lt;&gt;"",Model!BI90&lt;&gt;0),Model!BI213,"")</f>
        <v>1.7763568394002505E-15</v>
      </c>
      <c r="BJ202" s="363">
        <f>IF(AND(Model!BJ213&lt;&gt;"",Model!BJ90&lt;&gt;0),Model!BJ213,"")</f>
        <v>0.19500000000000028</v>
      </c>
      <c r="BK202" s="363">
        <f>IF(AND(Model!BL213&lt;&gt;"",Model!BK90&lt;&gt;0),Model!BK213,"")</f>
        <v>-0.19500000000000384</v>
      </c>
      <c r="BL202" s="363"/>
      <c r="BM202" s="363">
        <f>IF(AND(Model!BM213&lt;&gt;"",Model!BM90&lt;&gt;0),Model!BM213,"")</f>
        <v>0</v>
      </c>
      <c r="BN202" s="363">
        <f>IF(AND(Model!BO213&lt;&gt;"",Model!BN90&lt;&gt;0),Model!BN213,"")</f>
        <v>-1.4210854715202004E-14</v>
      </c>
      <c r="BO202" s="363">
        <f>IF(AND(Model!BO213&lt;&gt;"",Model!BO90&lt;&gt;0),Model!BO213,"")</f>
        <v>-1.4210854715202004E-14</v>
      </c>
      <c r="BP202" s="363">
        <f>IF(AND(Model!BP213&lt;&gt;"",Model!BP90&lt;&gt;0),Model!BP213,"")</f>
        <v>17.288</v>
      </c>
      <c r="BQ202" s="363">
        <f>IF(AND(Model!BR213&lt;&gt;"",Model!BQ90&lt;&gt;0),Model!BQ213,"")</f>
        <v>-17.287999999999997</v>
      </c>
      <c r="BR202" s="363">
        <f>IF(AND(Model!BR213&lt;&gt;"",Model!BR90&lt;&gt;0),Model!BR213,"")</f>
        <v>3.5527136788005009E-15</v>
      </c>
      <c r="BS202" s="363">
        <f>IF(AND(Model!BS213&lt;&gt;"",Model!BS90&lt;&gt;0),Model!BS213,"")</f>
        <v>4.4408920985006262E-15</v>
      </c>
      <c r="BT202" s="363">
        <f>IF(AND(Model!BU213&lt;&gt;"",Model!BT90&lt;&gt;0),Model!BT213,"")</f>
        <v>-2.0000000000000036</v>
      </c>
      <c r="BU202" s="363">
        <f>IF(AND(Model!BU213&lt;&gt;"",Model!BU90&lt;&gt;0),Model!BU213,"")</f>
        <v>-1.9999999999999991</v>
      </c>
      <c r="BV202" s="363">
        <f>IF(AND(Model!BV213&lt;&gt;"",Model!BV90&lt;&gt;0),Model!BV213,"")</f>
        <v>-1.7763568394002505E-15</v>
      </c>
      <c r="BW202" s="363">
        <f>IF(AND(Model!BX213&lt;&gt;"",Model!BW90&lt;&gt;0),Model!BW213,"")</f>
        <v>1.7763568394002505E-15</v>
      </c>
      <c r="BX202" s="363">
        <f>IF(AND(Model!BX213&lt;&gt;"",Model!BX90&lt;&gt;0),Model!BX213,"")</f>
        <v>0</v>
      </c>
      <c r="BY202" s="363">
        <f>IF(AND(Model!BY213&lt;&gt;"",Model!BY90&lt;&gt;0),Model!BY213,"")</f>
        <v>3.5527136788005009E-15</v>
      </c>
      <c r="BZ202" s="363">
        <f>IF(AND(Model!CA213&lt;&gt;"",Model!BZ90&lt;&gt;0),Model!BZ213,"")</f>
        <v>-3.5527136788005009E-15</v>
      </c>
      <c r="CA202" s="363">
        <f>IF(AND(Model!CA213&lt;&gt;"",Model!CA90&lt;&gt;0),Model!CA213,"")</f>
        <v>0</v>
      </c>
      <c r="CB202" s="363">
        <f>IF(AND(Model!CB213&lt;&gt;"",Model!CB90&lt;&gt;0),Model!CB213,"")</f>
        <v>-3.5527136788005009E-15</v>
      </c>
      <c r="CC202" s="363">
        <f>IF(AND(Model!CD213&lt;&gt;"",Model!CC90&lt;&gt;0),Model!CC213,"")</f>
        <v>-7.1054273576010019E-15</v>
      </c>
      <c r="CD202" s="363">
        <f>IF(AND(Model!CD213&lt;&gt;"",Model!CD90&lt;&gt;0),Model!CD213,"")</f>
        <v>-1.0658141036401503E-14</v>
      </c>
      <c r="CE202" s="363">
        <f>IF(AND(Model!CE213&lt;&gt;"",Model!CE90&lt;&gt;0),Model!CE213,"")</f>
        <v>-4.8310000000000111</v>
      </c>
      <c r="CF202" s="363">
        <f>IF(AND(Model!CG213&lt;&gt;"",Model!CF90&lt;&gt;0),Model!CF213,"")</f>
        <v>4.8310000000000146</v>
      </c>
      <c r="CG202" s="363">
        <f>IF(AND(Model!CG213&lt;&gt;"",Model!CG90&lt;&gt;0),Model!CG213,"")</f>
        <v>3.5527136788005009E-15</v>
      </c>
      <c r="CH202" s="363">
        <f>IF(AND(Model!CH213&lt;&gt;"",Model!CH90&lt;&gt;0),Model!CH213,"")</f>
        <v>5.9952043329758453E-15</v>
      </c>
      <c r="CI202" s="363">
        <f>IF(AND(Model!CJ213&lt;&gt;"",Model!CI90&lt;&gt;0),Model!CI213,"")</f>
        <v>279.48599999999999</v>
      </c>
      <c r="CJ202" s="363">
        <f>IF(AND(Model!CJ213&lt;&gt;"",Model!CJ90&lt;&gt;0),Model!CJ213,"")</f>
        <v>279.48599999999999</v>
      </c>
      <c r="CK202" s="363">
        <f>IF(AND(Model!CK213&lt;&gt;"",Model!CK90&lt;&gt;0),Model!CK213,"")</f>
        <v>-0.90600000000000369</v>
      </c>
      <c r="CL202" s="363">
        <f>IF(AND(Model!CM213&lt;&gt;"",Model!CL90&lt;&gt;0),Model!CL213,"")</f>
        <v>0.90599999999999037</v>
      </c>
      <c r="CM202" s="363">
        <f>IF(AND(Model!CM213&lt;&gt;"",Model!CM90&lt;&gt;0),Model!CM213,"")</f>
        <v>-1.3322676295501878E-14</v>
      </c>
      <c r="CN202" s="363">
        <f>IF(AND(Model!CN213&lt;&gt;"",Model!CN90&lt;&gt;0),Model!CN213,"")</f>
        <v>-1.4210854715202004E-14</v>
      </c>
      <c r="CO202" s="363">
        <f>IF(AND(Model!CP213&lt;&gt;"",Model!CO90&lt;&gt;0),Model!CO213,"")</f>
        <v>1.4210854715202004E-14</v>
      </c>
      <c r="CP202" s="363">
        <f>IF(AND(Model!CP213&lt;&gt;"",Model!CP90&lt;&gt;0),Model!CP213,"")</f>
        <v>0</v>
      </c>
      <c r="CQ202" s="363">
        <f>IF(AND(Model!CQ213&lt;&gt;"",Model!CQ90&lt;&gt;0),Model!CQ213,"")</f>
        <v>0</v>
      </c>
      <c r="CR202" s="363">
        <f>IF(AND(Model!CS213&lt;&gt;"",Model!CR90&lt;&gt;0),Model!CR213,"")</f>
        <v>1.4210854715202004E-14</v>
      </c>
      <c r="CS202" s="363">
        <f>IF(AND(Model!CS213&lt;&gt;"",Model!CS90&lt;&gt;0),Model!CS213,"")</f>
        <v>1.4210854715202004E-14</v>
      </c>
      <c r="CT202" s="363">
        <f>IF(AND(Model!CT213&lt;&gt;"",Model!CT90&lt;&gt;0),Model!CT213,"")</f>
        <v>7.5379999999999896</v>
      </c>
      <c r="CU202" s="363">
        <f>IF(AND(Model!CV213&lt;&gt;"",Model!CU90&lt;&gt;0),Model!CU213,"")</f>
        <v>1.6650000000000276</v>
      </c>
      <c r="CV202" s="363">
        <f>IF(AND(Model!CV213&lt;&gt;"",Model!CV90&lt;&gt;0),Model!CV213,"")</f>
        <v>9.2030000000000172</v>
      </c>
      <c r="CW202" s="363">
        <f>IF(AND(Model!CW213&lt;&gt;"",Model!CW90&lt;&gt;0),Model!CW213,"")</f>
        <v>-1.7763568394002505E-14</v>
      </c>
      <c r="CX202" s="363">
        <f>IF(AND(Model!CY213&lt;&gt;"",Model!CX90&lt;&gt;0),Model!CX213,"")</f>
        <v>11.039000000000033</v>
      </c>
      <c r="CY202" s="363">
        <f>IF(AND(Model!CY213&lt;&gt;"",Model!CY90&lt;&gt;0),Model!CY213,"")</f>
        <v>11.039000000000016</v>
      </c>
      <c r="CZ202" s="363">
        <f>IF(AND(Model!CZ213&lt;&gt;"",Model!CZ90&lt;&gt;0),Model!CZ213,"")</f>
        <v>0.30000000000001137</v>
      </c>
      <c r="DA202" s="363">
        <f>IF(AND(Model!DB213&lt;&gt;"",Model!DA90&lt;&gt;0),Model!DA213,"")</f>
        <v>-0.30000000000003979</v>
      </c>
      <c r="DB202" s="363">
        <f>IF(AND(Model!DB213&lt;&gt;"",Model!DB90&lt;&gt;0),Model!DB213,"")</f>
        <v>-2.8421709430404007E-14</v>
      </c>
      <c r="DC202" s="363">
        <f>IF(AND(Model!DC213&lt;&gt;"",Model!DC90&lt;&gt;0),Model!DC213,"")</f>
        <v>200.8</v>
      </c>
      <c r="DD202" s="363">
        <f>IF(AND(Model!DE213&lt;&gt;"",Model!DD90&lt;&gt;0),Model!DD213,"")</f>
        <v>-193.39999999999998</v>
      </c>
      <c r="DE202" s="363">
        <f>IF(AND(Model!DE213&lt;&gt;"",Model!DE90&lt;&gt;0),Model!DE213,"")</f>
        <v>7.4000000000000341</v>
      </c>
      <c r="DF202" s="363">
        <f>IF(AND(Model!DF213&lt;&gt;"",Model!DF90&lt;&gt;0),Model!DF213,"")</f>
        <v>6.2999999999999972</v>
      </c>
      <c r="DG202" s="363">
        <f>IF(AND(Model!DH213&lt;&gt;"",Model!DG90&lt;&gt;0),Model!DG213,"")</f>
        <v>-2.7000623958883807E-13</v>
      </c>
      <c r="DH202" s="363">
        <f>IF(AND(Model!DH213&lt;&gt;"",Model!DH90&lt;&gt;0),Model!DH213,"")</f>
        <v>6.2999999999997272</v>
      </c>
      <c r="DI202" s="363">
        <f>IF(AND(Model!DI213&lt;&gt;"",Model!DI90&lt;&gt;0),Model!DI213,"")</f>
        <v>0</v>
      </c>
      <c r="DJ202" s="363">
        <f>IF(AND(Model!DK213&lt;&gt;"",Model!DJ90&lt;&gt;0),Model!DJ213,"")</f>
        <v>-4.1999999999999833</v>
      </c>
      <c r="DK202" s="1210">
        <f>IF(AND(Model!DK213&lt;&gt;"",Model!DK90&lt;&gt;0),Model!DK213,"")</f>
        <v>-4.1999999999999833</v>
      </c>
      <c r="DL202" s="363">
        <f>IF(AND(Model!DL213&lt;&gt;"",Model!DL90&lt;&gt;0),Model!DL213,"")</f>
        <v>1.1324274851176597E-14</v>
      </c>
      <c r="DM202" s="363">
        <f>IF(AND(Model!DN213&lt;&gt;"",Model!DM90&lt;&gt;0),Model!DM213,"")</f>
        <v>-3.397282455352979E-14</v>
      </c>
      <c r="DN202" s="1210">
        <f>IF(AND(Model!DN213&lt;&gt;"",Model!DN90&lt;&gt;0),Model!DN213,"")</f>
        <v>-2.2648549702353193E-14</v>
      </c>
      <c r="DO202" s="363">
        <f>IF(AND(Model!DO213&lt;&gt;"",Model!DO90&lt;&gt;0),Model!DO213,"")</f>
        <v>22.399999999999991</v>
      </c>
      <c r="DP202" s="363">
        <f>IF(AND(Model!DQ213&lt;&gt;"",Model!DP90&lt;&gt;0),Model!DP213,"")</f>
        <v>-93.299999999999983</v>
      </c>
      <c r="DQ202" s="1210">
        <f>IF(AND(Model!DQ213&lt;&gt;"",Model!DQ90&lt;&gt;0),Model!DQ213,"")</f>
        <v>-70.899999999999991</v>
      </c>
      <c r="DR202" s="363">
        <f>IF(AND(Model!DR213&lt;&gt;"",Model!DR90&lt;&gt;0),Model!DR213,"")</f>
        <v>-42.899999999999963</v>
      </c>
      <c r="DS202" s="363">
        <f>IF(AND(Model!DT213&lt;&gt;"",Model!DS90&lt;&gt;0),Model!DS213,"")</f>
        <v>-8.5265128291212022E-14</v>
      </c>
      <c r="DT202" s="1210">
        <f>IF(AND(Model!DT213&lt;&gt;"",Model!DT90&lt;&gt;0),Model!DT213,"")</f>
        <v>-42.900000000000048</v>
      </c>
      <c r="DU202" s="363">
        <f>IF(AND(Model!DU213&lt;&gt;"",Model!DU90&lt;&gt;0),Model!DU213,"")</f>
        <v>0</v>
      </c>
      <c r="DV202" s="363">
        <f>IF(AND(Model!DW213&lt;&gt;"",Model!DV90&lt;&gt;0),Model!DV213,"")</f>
        <v>-2.1316282072803006E-14</v>
      </c>
      <c r="DW202" s="1210">
        <f>IF(AND(Model!DW213&lt;&gt;"",Model!DW90&lt;&gt;0),Model!DW213,"")</f>
        <v>-2.1316282072803006E-14</v>
      </c>
      <c r="DX202" s="363">
        <f>IF(AND(Model!DX213&lt;&gt;"",Model!DX90&lt;&gt;0),Model!DX213,"")</f>
        <v>0</v>
      </c>
      <c r="DY202" s="363">
        <f>IF(AND(Model!DZ213&lt;&gt;"",Model!DY90&lt;&gt;0),Model!DY213,"")</f>
        <v>0</v>
      </c>
      <c r="DZ202" s="1210">
        <f>IF(AND(Model!DZ213&lt;&gt;"",Model!DZ90&lt;&gt;0),Model!DZ213,"")</f>
        <v>0</v>
      </c>
      <c r="EA202" s="363">
        <f>IF(AND(Model!EA213&lt;&gt;"",Model!EA90&lt;&gt;0),Model!EA213,"")</f>
        <v>0</v>
      </c>
      <c r="EB202" s="363">
        <f>IF(AND(Model!EC213&lt;&gt;"",Model!EB90&lt;&gt;0),Model!EB213,"")</f>
        <v>0</v>
      </c>
      <c r="EC202" s="1210">
        <f>IF(AND(Model!EC213&lt;&gt;"",Model!EC90&lt;&gt;0),Model!EC213,"")</f>
        <v>0</v>
      </c>
      <c r="ED202" s="363">
        <f>IF(AND(Model!ED213&lt;&gt;"",Model!ED90&lt;&gt;0),Model!ED213,"")</f>
        <v>0</v>
      </c>
      <c r="EE202" s="363">
        <f>IF(AND(Model!EF213&lt;&gt;"",Model!EE90&lt;&gt;0),Model!EE213,"")</f>
        <v>0</v>
      </c>
      <c r="EF202" s="1210">
        <f>IF(AND(Model!EF213&lt;&gt;"",Model!EF90&lt;&gt;0),Model!EF213,"")</f>
        <v>0</v>
      </c>
      <c r="EG202" s="363">
        <f>IF(AND(Model!EG213&lt;&gt;"",Model!EG90&lt;&gt;0),Model!EG213,"")</f>
        <v>0</v>
      </c>
      <c r="EH202" s="363">
        <f>IF(AND(Model!EI213&lt;&gt;"",Model!EH90&lt;&gt;0),Model!EH213,"")</f>
        <v>0</v>
      </c>
      <c r="EI202" s="1210">
        <f>IF(AND(Model!EI213&lt;&gt;"",Model!EI90&lt;&gt;0),Model!EI213,"")</f>
        <v>0</v>
      </c>
      <c r="EJ202" s="363">
        <f>IF(AND(Model!EJ213&lt;&gt;"",Model!EJ90&lt;&gt;0),Model!EJ213,"")</f>
        <v>0</v>
      </c>
      <c r="EK202" s="363">
        <f>IF(AND(Model!EL213&lt;&gt;"",Model!EK90&lt;&gt;0),Model!EK213,"")</f>
        <v>0</v>
      </c>
      <c r="EL202" s="1210">
        <f>IF(AND(Model!EL213&lt;&gt;"",Model!EL90&lt;&gt;0),Model!EL213,"")</f>
        <v>0</v>
      </c>
      <c r="EM202" s="363">
        <f>IF(AND(Model!EM213&lt;&gt;"",Model!EM90&lt;&gt;0),Model!EM213,"")</f>
        <v>0</v>
      </c>
      <c r="EN202" s="363">
        <f>IF(AND(Model!EO213&lt;&gt;"",Model!EN90&lt;&gt;0),Model!EN213,"")</f>
        <v>0</v>
      </c>
      <c r="EO202" s="1210">
        <f>IF(AND(Model!EO213&lt;&gt;"",Model!EO90&lt;&gt;0),Model!EO213,"")</f>
        <v>0</v>
      </c>
      <c r="EP202" s="363">
        <f>IF(AND(Model!EP213&lt;&gt;"",Model!EP90&lt;&gt;0),Model!EP213,"")</f>
        <v>0</v>
      </c>
      <c r="EQ202" s="363">
        <f>IF(AND(Model!ER213&lt;&gt;"",Model!EQ90&lt;&gt;0),Model!EQ213,"")</f>
        <v>0</v>
      </c>
      <c r="ER202" s="1210">
        <f>IF(AND(Model!ER213&lt;&gt;"",Model!ER90&lt;&gt;0),Model!ER213,"")</f>
        <v>0</v>
      </c>
      <c r="ES202" s="363">
        <f>IF(AND(Model!ES213&lt;&gt;"",Model!ES90&lt;&gt;0),Model!ES213,"")</f>
        <v>0</v>
      </c>
      <c r="ET202" s="363">
        <f>IF(AND(Model!EU213&lt;&gt;"",Model!ET90&lt;&gt;0),Model!ET213,"")</f>
        <v>0</v>
      </c>
      <c r="EU202" s="1210">
        <f>IF(AND(Model!EU213&lt;&gt;"",Model!EU90&lt;&gt;0),Model!EU213,"")</f>
        <v>0</v>
      </c>
      <c r="EV202" s="363">
        <f>IF(AND(Model!EV213&lt;&gt;"",Model!EV90&lt;&gt;0),Model!EV213,"")</f>
        <v>0</v>
      </c>
      <c r="EW202" s="363">
        <f>IF(AND(Model!EX213&lt;&gt;"",Model!EW90&lt;&gt;0),Model!EW213,"")</f>
        <v>0</v>
      </c>
      <c r="EX202" s="1210">
        <f>IF(AND(Model!EX213&lt;&gt;"",Model!EX90&lt;&gt;0),Model!EX213,"")</f>
        <v>0</v>
      </c>
      <c r="EY202" s="363">
        <f>IF(AND(Model!EY213&lt;&gt;"",Model!EY90&lt;&gt;0),Model!EY213,"")</f>
        <v>0</v>
      </c>
      <c r="EZ202" s="363">
        <f>IF(AND(Model!FA213&lt;&gt;"",Model!EZ90&lt;&gt;0),Model!EZ213,"")</f>
        <v>0</v>
      </c>
      <c r="FA202" s="363">
        <f>IF(AND(Model!FA213&lt;&gt;"",Model!FA90&lt;&gt;0),Model!FA213,"")</f>
        <v>0</v>
      </c>
    </row>
    <row r="203" spans="1:157" ht="13.35" customHeight="1">
      <c r="A203" s="5"/>
      <c r="B203" s="401" t="s">
        <v>769</v>
      </c>
      <c r="C203" s="401"/>
      <c r="D203" s="399"/>
      <c r="E203" s="363" t="str">
        <f>IF(Model!E216&lt;&gt;"",Model!E216,"")</f>
        <v/>
      </c>
      <c r="F203" s="363" t="str">
        <f>IF(Model!G216&lt;&gt;"",Model!F216,"")</f>
        <v/>
      </c>
      <c r="G203" s="363" t="str">
        <f>IF(Model!G216&lt;&gt;"",Model!G216,"")</f>
        <v/>
      </c>
      <c r="H203" s="363" t="str">
        <f>IF(Model!H216&lt;&gt;"",Model!H216,"")</f>
        <v/>
      </c>
      <c r="I203" s="363" t="str">
        <f>IF(Model!J216&lt;&gt;"",Model!I216,"")</f>
        <v/>
      </c>
      <c r="J203" s="363" t="str">
        <f>IF(Model!J216&lt;&gt;"",Model!J216,"")</f>
        <v/>
      </c>
      <c r="K203" s="363" t="str">
        <f>IF(Model!K216&lt;&gt;"",Model!K216,"")</f>
        <v/>
      </c>
      <c r="L203" s="363" t="str">
        <f>IF(Model!M216&lt;&gt;"",Model!L216,"")</f>
        <v/>
      </c>
      <c r="M203" s="363" t="str">
        <f>IF(Model!M216&lt;&gt;"",Model!M216,"")</f>
        <v/>
      </c>
      <c r="N203" s="363" t="str">
        <f>IF(Model!N216&lt;&gt;"",Model!N216,"")</f>
        <v/>
      </c>
      <c r="O203" s="363" t="str">
        <f>IF(Model!P216&lt;&gt;"",Model!O216,"")</f>
        <v/>
      </c>
      <c r="P203" s="363" t="str">
        <f>IF(Model!P216&lt;&gt;"",Model!P216,"")</f>
        <v/>
      </c>
      <c r="Q203" s="363" t="str">
        <f>IF(Model!Q216&lt;&gt;"",Model!Q216,"")</f>
        <v/>
      </c>
      <c r="R203" s="363" t="str">
        <f>IF(Model!S216&lt;&gt;"",Model!R216,"")</f>
        <v/>
      </c>
      <c r="S203" s="363" t="str">
        <f>IF(Model!S216&lt;&gt;"",Model!S216,"")</f>
        <v/>
      </c>
      <c r="T203" s="363" t="str">
        <f>IF(Model!T216&lt;&gt;"",Model!T216,"")</f>
        <v/>
      </c>
      <c r="U203" s="363" t="str">
        <f>IF(Model!V216&lt;&gt;"",Model!U216,"")</f>
        <v/>
      </c>
      <c r="V203" s="363" t="str">
        <f>IF(Model!V216&lt;&gt;"",Model!V216,"")</f>
        <v/>
      </c>
      <c r="W203" s="363" t="str">
        <f>IF(Model!W216&lt;&gt;"",Model!W216,"")</f>
        <v/>
      </c>
      <c r="X203" s="363" t="str">
        <f>IF(Model!Y216&lt;&gt;"",Model!X216,"")</f>
        <v/>
      </c>
      <c r="Y203" s="363" t="str">
        <f>IF(Model!Y216&lt;&gt;"",Model!Y216,"")</f>
        <v/>
      </c>
      <c r="Z203" s="363" t="str">
        <f>IF(Model!Z216&lt;&gt;"",Model!Z216,"")</f>
        <v/>
      </c>
      <c r="AA203" s="363" t="str">
        <f>IF(Model!AB216&lt;&gt;"",Model!AA216,"")</f>
        <v/>
      </c>
      <c r="AB203" s="363" t="str">
        <f>IF(Model!AB216&lt;&gt;"",Model!AB216,"")</f>
        <v/>
      </c>
      <c r="AC203" s="363" t="str">
        <f>IF(Model!AC216&lt;&gt;"",Model!AC216,"")</f>
        <v/>
      </c>
      <c r="AD203" s="363" t="str">
        <f>IF(Model!AE216&lt;&gt;"",Model!AD216,"")</f>
        <v/>
      </c>
      <c r="AE203" s="363" t="str">
        <f>IF(Model!AE216&lt;&gt;"",Model!AE216,"")</f>
        <v/>
      </c>
      <c r="AF203" s="363" t="str">
        <f>IF(Model!AF216&lt;&gt;"",Model!AF216,"")</f>
        <v/>
      </c>
      <c r="AG203" s="363" t="str">
        <f>IF(Model!AH216&lt;&gt;"",Model!AG216,"")</f>
        <v/>
      </c>
      <c r="AH203" s="363" t="str">
        <f>IF(Model!AH216&lt;&gt;"",Model!AH216,"")</f>
        <v/>
      </c>
      <c r="AI203" s="363" t="str">
        <f>IF(Model!AI216&lt;&gt;"",Model!AI216,"")</f>
        <v/>
      </c>
      <c r="AJ203" s="363">
        <f>IF(Model!AK216&lt;&gt;"",Model!AJ216,"")</f>
        <v>0</v>
      </c>
      <c r="AK203" s="363">
        <f>IF(Model!AK216&lt;&gt;"",Model!AK216,"")</f>
        <v>0</v>
      </c>
      <c r="AL203" s="363">
        <f>IF(Model!AL216&lt;&gt;"",Model!AL216,"")</f>
        <v>9.2059999999999995</v>
      </c>
      <c r="AM203" s="363">
        <f>IF(Model!AN216&lt;&gt;"",Model!AM216,"")</f>
        <v>5.7220000000000013</v>
      </c>
      <c r="AN203" s="363">
        <f>IF(Model!AN216&lt;&gt;"",Model!AN216,"")</f>
        <v>14.928000000000001</v>
      </c>
      <c r="AO203" s="363">
        <f>IF(Model!AO216&lt;&gt;"",Model!AO216,"")</f>
        <v>-2.8250000000000002</v>
      </c>
      <c r="AP203" s="363">
        <f>IF(Model!AQ216&lt;&gt;"",Model!AP216,"")</f>
        <v>0.51000000000000023</v>
      </c>
      <c r="AQ203" s="363">
        <f>IF(Model!AQ216&lt;&gt;"",Model!AQ216,"")</f>
        <v>-2.3149999999999999</v>
      </c>
      <c r="AR203" s="363">
        <f>IF(Model!AR216&lt;&gt;"",Model!AR216,"")</f>
        <v>-0.78400000000000003</v>
      </c>
      <c r="AS203" s="363">
        <f>IF(Model!AT216&lt;&gt;"",Model!AS216,"")</f>
        <v>6.0629999999999997</v>
      </c>
      <c r="AT203" s="363">
        <f>IF(Model!AT216&lt;&gt;"",Model!AT216,"")</f>
        <v>5.2789999999999999</v>
      </c>
      <c r="AU203" s="363">
        <f>IF(Model!AU216&lt;&gt;"",Model!AU216,"")</f>
        <v>3.246</v>
      </c>
      <c r="AV203" s="363">
        <f>IF(Model!AW216&lt;&gt;"",Model!AV216,"")</f>
        <v>10.865</v>
      </c>
      <c r="AW203" s="363">
        <f>IF(Model!AW216&lt;&gt;"",Model!AW216,"")</f>
        <v>14.111000000000001</v>
      </c>
      <c r="AX203" s="363">
        <f>IF(Model!AX216&lt;&gt;"",Model!AX216,"")</f>
        <v>-3.8809999999999998</v>
      </c>
      <c r="AY203" s="363">
        <f>IF(Model!AZ216&lt;&gt;"",Model!AY216,"")</f>
        <v>-9.5299999999999994</v>
      </c>
      <c r="AZ203" s="363">
        <f>IF(Model!AZ216&lt;&gt;"",Model!AZ216,"")</f>
        <v>-13.411</v>
      </c>
      <c r="BA203" s="363">
        <f>IF(Model!BA216&lt;&gt;"",Model!BA216,"")</f>
        <v>2.327</v>
      </c>
      <c r="BB203" s="363">
        <f>IF(Model!BC216&lt;&gt;"",Model!BB216,"")</f>
        <v>4.774</v>
      </c>
      <c r="BC203" s="363">
        <f>IF(Model!BC216&lt;&gt;"",Model!BC216,"")</f>
        <v>7.101</v>
      </c>
      <c r="BD203" s="363">
        <v>10</v>
      </c>
      <c r="BE203" s="363">
        <f>IF(Model!BF216&lt;&gt;"",Model!BE216,"")</f>
        <v>-2.8000000000000007</v>
      </c>
      <c r="BF203" s="363">
        <v>0</v>
      </c>
      <c r="BG203" s="363">
        <v>5</v>
      </c>
      <c r="BH203" s="363">
        <f>IF(Model!BI216&lt;&gt;"",Model!BH216,"")</f>
        <v>30.159999999999997</v>
      </c>
      <c r="BI203" s="363">
        <v>54</v>
      </c>
      <c r="BJ203" s="363">
        <v>22.471</v>
      </c>
      <c r="BK203" s="363">
        <f>IF(Model!BL216&lt;&gt;"",Model!BK216,"")</f>
        <v>9.4639999999999986</v>
      </c>
      <c r="BL203" s="363">
        <v>80.7</v>
      </c>
      <c r="BM203" s="363"/>
      <c r="BN203" s="363">
        <f>IF(Model!BO216&lt;&gt;"",Model!BN216,"")</f>
        <v>33.747</v>
      </c>
      <c r="BO203" s="278">
        <v>79.000912976158588</v>
      </c>
      <c r="BP203" s="363"/>
      <c r="BQ203" s="363">
        <f>IF(Model!BR216&lt;&gt;"",Model!BQ216,"")</f>
        <v>-18.57</v>
      </c>
      <c r="BR203" s="402">
        <v>10</v>
      </c>
      <c r="BS203" s="363">
        <v>14</v>
      </c>
      <c r="BT203" s="363">
        <f>IF(Model!BU216&lt;&gt;"",Model!BT216,"")</f>
        <v>17.756</v>
      </c>
      <c r="BU203" s="403">
        <v>26</v>
      </c>
      <c r="BV203" s="363">
        <v>21</v>
      </c>
      <c r="BW203" s="363">
        <f>IF(Model!BX216&lt;&gt;"",Model!BW216,"")</f>
        <v>-21.274999999999999</v>
      </c>
      <c r="BX203" s="363">
        <v>70</v>
      </c>
      <c r="BY203" s="363"/>
      <c r="BZ203" s="363"/>
      <c r="CA203" s="363"/>
      <c r="CB203" s="363">
        <v>30</v>
      </c>
      <c r="CC203" s="363"/>
      <c r="CD203" s="363">
        <v>60</v>
      </c>
      <c r="CE203" s="363"/>
      <c r="CF203" s="363"/>
      <c r="CG203" s="363"/>
      <c r="CH203" s="363"/>
      <c r="CI203" s="363"/>
      <c r="CJ203" s="363"/>
      <c r="CK203" s="363"/>
      <c r="CL203" s="363"/>
      <c r="CM203" s="363"/>
      <c r="CN203" s="363"/>
      <c r="CO203" s="363"/>
      <c r="CP203" s="363"/>
      <c r="CQ203" s="363"/>
      <c r="CR203" s="363"/>
      <c r="CS203" s="363"/>
      <c r="CT203" s="363"/>
      <c r="CU203" s="363"/>
      <c r="CV203" s="363">
        <v>32</v>
      </c>
      <c r="CW203" s="363"/>
      <c r="CX203" s="363"/>
      <c r="CY203" s="363"/>
      <c r="CZ203" s="363"/>
      <c r="DA203" s="363"/>
      <c r="DB203" s="363">
        <v>50</v>
      </c>
      <c r="DC203" s="363"/>
      <c r="DD203" s="363"/>
      <c r="DE203" s="363"/>
      <c r="DF203" s="363">
        <v>0</v>
      </c>
      <c r="DG203" s="363"/>
      <c r="DH203" s="363">
        <v>0</v>
      </c>
      <c r="DI203" s="363">
        <v>0</v>
      </c>
      <c r="DJ203" s="363"/>
      <c r="DK203" s="1210">
        <v>0</v>
      </c>
      <c r="DL203" s="363">
        <v>0</v>
      </c>
      <c r="DM203" s="363"/>
      <c r="DN203" s="1210">
        <v>0</v>
      </c>
      <c r="DO203" s="363">
        <v>0</v>
      </c>
      <c r="DP203" s="363"/>
      <c r="DQ203" s="1210">
        <v>0</v>
      </c>
      <c r="DR203" s="363">
        <v>0</v>
      </c>
      <c r="DS203" s="363"/>
      <c r="DT203" s="1210">
        <v>130</v>
      </c>
      <c r="DU203" s="363">
        <v>0</v>
      </c>
      <c r="DV203" s="363"/>
      <c r="DW203" s="1210">
        <v>130</v>
      </c>
      <c r="DX203" s="363">
        <v>0</v>
      </c>
      <c r="DY203" s="363"/>
      <c r="DZ203" s="1210">
        <v>0</v>
      </c>
      <c r="EA203" s="363">
        <v>0</v>
      </c>
      <c r="EB203" s="363"/>
      <c r="EC203" s="1210">
        <v>0</v>
      </c>
      <c r="ED203" s="363">
        <v>0</v>
      </c>
      <c r="EE203" s="363"/>
      <c r="EF203" s="1210">
        <v>0</v>
      </c>
      <c r="EG203" s="363">
        <v>0</v>
      </c>
      <c r="EH203" s="363"/>
      <c r="EI203" s="1210">
        <v>0</v>
      </c>
      <c r="EJ203" s="363">
        <v>0</v>
      </c>
      <c r="EK203" s="363"/>
      <c r="EL203" s="1210">
        <v>0</v>
      </c>
      <c r="EM203" s="363">
        <v>0</v>
      </c>
      <c r="EN203" s="363"/>
      <c r="EO203" s="1210">
        <v>0</v>
      </c>
      <c r="EP203" s="363">
        <v>0</v>
      </c>
      <c r="EQ203" s="363"/>
      <c r="ER203" s="1210">
        <v>0</v>
      </c>
      <c r="ES203" s="363">
        <v>0</v>
      </c>
      <c r="ET203" s="363"/>
      <c r="EU203" s="1210">
        <v>0</v>
      </c>
      <c r="EV203" s="363">
        <v>0</v>
      </c>
      <c r="EW203" s="363"/>
      <c r="EX203" s="1210">
        <v>0</v>
      </c>
      <c r="EY203" s="363">
        <v>0</v>
      </c>
      <c r="EZ203" s="363"/>
      <c r="FA203" s="363">
        <v>0</v>
      </c>
    </row>
    <row r="204" spans="1:157" ht="13.35" customHeight="1">
      <c r="A204" s="5"/>
      <c r="B204" s="5"/>
      <c r="C204" s="5"/>
      <c r="D204" s="399"/>
      <c r="E204" s="363"/>
      <c r="F204" s="363"/>
      <c r="G204" s="363"/>
      <c r="H204" s="363"/>
      <c r="I204" s="363"/>
      <c r="J204" s="363"/>
      <c r="K204" s="363"/>
      <c r="L204" s="363"/>
      <c r="M204" s="363"/>
      <c r="N204" s="363"/>
      <c r="O204" s="363"/>
      <c r="P204" s="363"/>
      <c r="Q204" s="363"/>
      <c r="R204" s="363"/>
      <c r="S204" s="363"/>
      <c r="T204" s="363"/>
      <c r="U204" s="363"/>
      <c r="V204" s="363"/>
      <c r="W204" s="363"/>
      <c r="X204" s="363"/>
      <c r="Y204" s="363"/>
      <c r="Z204" s="363"/>
      <c r="AA204" s="363"/>
      <c r="AB204" s="363"/>
      <c r="AC204" s="363"/>
      <c r="AD204" s="363"/>
      <c r="AE204" s="363"/>
      <c r="AF204" s="363"/>
      <c r="AG204" s="363"/>
      <c r="AH204" s="363"/>
      <c r="AI204" s="363"/>
      <c r="AJ204" s="363"/>
      <c r="AK204" s="363"/>
      <c r="AL204" s="363"/>
      <c r="AM204" s="363"/>
      <c r="AN204" s="363"/>
      <c r="AO204" s="363"/>
      <c r="AP204" s="363"/>
      <c r="AQ204" s="363"/>
      <c r="AR204" s="363"/>
      <c r="AS204" s="363"/>
      <c r="AT204" s="363"/>
      <c r="AU204" s="363"/>
      <c r="AV204" s="363"/>
      <c r="AW204" s="363"/>
      <c r="AX204" s="363"/>
      <c r="AY204" s="363"/>
      <c r="AZ204" s="363"/>
      <c r="BA204" s="363"/>
      <c r="BB204" s="363"/>
      <c r="BC204" s="363"/>
      <c r="BD204" s="363"/>
      <c r="BE204" s="363"/>
      <c r="BF204" s="363"/>
      <c r="BG204" s="363"/>
      <c r="BH204" s="363"/>
      <c r="BI204" s="363"/>
      <c r="BJ204" s="363"/>
      <c r="BK204" s="363"/>
      <c r="BL204" s="363"/>
      <c r="BM204" s="363"/>
      <c r="BN204" s="363"/>
      <c r="BO204" s="363"/>
      <c r="BP204" s="363"/>
      <c r="BQ204" s="363"/>
      <c r="BR204" s="363"/>
      <c r="BS204" s="363"/>
      <c r="BT204" s="363"/>
      <c r="BU204" s="363"/>
      <c r="BV204" s="363"/>
      <c r="BW204" s="363"/>
      <c r="BX204" s="363"/>
      <c r="BY204" s="363"/>
      <c r="BZ204" s="363"/>
      <c r="CA204" s="363"/>
      <c r="CB204" s="363"/>
      <c r="CC204" s="363"/>
      <c r="CD204" s="363"/>
      <c r="CE204" s="363"/>
      <c r="CF204" s="363"/>
      <c r="CG204" s="363"/>
      <c r="CH204" s="363"/>
      <c r="CI204" s="363"/>
      <c r="CJ204" s="363"/>
      <c r="CK204" s="363"/>
      <c r="CL204" s="363"/>
      <c r="CM204" s="363"/>
      <c r="CN204" s="363"/>
      <c r="CO204" s="363"/>
      <c r="CP204" s="363"/>
      <c r="CQ204" s="363"/>
      <c r="CR204" s="363"/>
      <c r="CS204" s="363"/>
      <c r="CT204" s="363"/>
      <c r="CU204" s="363"/>
      <c r="CV204" s="363">
        <f>Model!CV290</f>
        <v>189.26</v>
      </c>
      <c r="CW204" s="363">
        <f>Model!CW290</f>
        <v>169.39699999999999</v>
      </c>
      <c r="CX204" s="363"/>
      <c r="CY204" s="363">
        <f>Model!CY290</f>
        <v>134.23500000000001</v>
      </c>
      <c r="CZ204" s="363">
        <f>Model!CZ290</f>
        <v>184.4</v>
      </c>
      <c r="DA204" s="363"/>
      <c r="DB204" s="363"/>
      <c r="DC204" s="363"/>
      <c r="DD204" s="363"/>
      <c r="DE204" s="363"/>
      <c r="DF204" s="363"/>
      <c r="DG204" s="363"/>
      <c r="DH204" s="363"/>
      <c r="DI204" s="363"/>
      <c r="DJ204" s="363"/>
      <c r="DK204" s="1210"/>
      <c r="DL204" s="363"/>
      <c r="DM204" s="363"/>
      <c r="DN204" s="1210"/>
      <c r="DO204" s="363"/>
      <c r="DP204" s="363"/>
      <c r="DQ204" s="1210"/>
      <c r="DR204" s="363"/>
      <c r="DS204" s="363"/>
      <c r="DT204" s="1210"/>
      <c r="DU204" s="363"/>
      <c r="DV204" s="363"/>
      <c r="DW204" s="1210"/>
      <c r="DX204" s="363"/>
      <c r="DY204" s="363"/>
      <c r="DZ204" s="1210"/>
      <c r="EA204" s="363"/>
      <c r="EB204" s="363"/>
      <c r="EC204" s="1210"/>
      <c r="ED204" s="363"/>
      <c r="EE204" s="363"/>
      <c r="EF204" s="1210"/>
      <c r="EG204" s="363"/>
      <c r="EH204" s="363"/>
      <c r="EI204" s="1210"/>
      <c r="EJ204" s="363"/>
      <c r="EK204" s="363"/>
      <c r="EL204" s="1210"/>
      <c r="EM204" s="363"/>
      <c r="EN204" s="363"/>
      <c r="EO204" s="1210"/>
      <c r="EP204" s="363"/>
      <c r="EQ204" s="363"/>
      <c r="ER204" s="1210"/>
      <c r="ES204" s="363"/>
      <c r="ET204" s="363"/>
      <c r="EU204" s="1210"/>
      <c r="EV204" s="363"/>
      <c r="EW204" s="363"/>
      <c r="EX204" s="1210"/>
      <c r="EY204" s="363"/>
      <c r="EZ204" s="363"/>
      <c r="FA204" s="363"/>
    </row>
    <row r="205" spans="1:157" ht="13.35" customHeight="1">
      <c r="A205" s="5"/>
      <c r="B205" s="5" t="s">
        <v>770</v>
      </c>
      <c r="C205" s="5"/>
      <c r="D205" s="5"/>
      <c r="E205" s="363"/>
      <c r="F205" s="363"/>
      <c r="G205" s="363"/>
      <c r="H205" s="363"/>
      <c r="I205" s="363"/>
      <c r="J205" s="363"/>
      <c r="K205" s="363"/>
      <c r="L205" s="363"/>
      <c r="M205" s="363"/>
      <c r="N205" s="363"/>
      <c r="O205" s="363"/>
      <c r="P205" s="363"/>
      <c r="Q205" s="363"/>
      <c r="R205" s="363"/>
      <c r="S205" s="363"/>
      <c r="T205" s="363"/>
      <c r="U205" s="363"/>
      <c r="V205" s="363"/>
      <c r="W205" s="363"/>
      <c r="X205" s="363"/>
      <c r="Y205" s="363"/>
      <c r="Z205" s="363"/>
      <c r="AA205" s="363"/>
      <c r="AB205" s="363"/>
      <c r="AC205" s="363"/>
      <c r="AD205" s="363"/>
      <c r="AE205" s="363"/>
      <c r="AF205" s="363"/>
      <c r="AG205" s="363"/>
      <c r="AH205" s="363"/>
      <c r="AI205" s="363"/>
      <c r="AJ205" s="363"/>
      <c r="AK205" s="363"/>
      <c r="AL205" s="363"/>
      <c r="AM205" s="363"/>
      <c r="AN205" s="363"/>
      <c r="AO205" s="363"/>
      <c r="AP205" s="363"/>
      <c r="AQ205" s="363"/>
      <c r="AR205" s="363"/>
      <c r="AS205" s="363"/>
      <c r="AT205" s="363"/>
      <c r="AU205" s="363"/>
      <c r="AV205" s="363"/>
      <c r="AW205" s="363"/>
      <c r="AX205" s="363"/>
      <c r="AY205" s="363"/>
      <c r="AZ205" s="363"/>
      <c r="BA205" s="363"/>
      <c r="BB205" s="363"/>
      <c r="BC205" s="363"/>
      <c r="BD205" s="359"/>
      <c r="BE205" s="359"/>
      <c r="BF205" s="359"/>
      <c r="BG205" s="359"/>
      <c r="BH205" s="359"/>
      <c r="BI205" s="359"/>
      <c r="BJ205" s="359"/>
      <c r="BK205" s="359"/>
      <c r="BL205" s="359"/>
      <c r="BM205" s="359"/>
      <c r="BN205" s="359"/>
      <c r="BO205" s="359"/>
      <c r="BP205" s="359"/>
      <c r="BQ205" s="359"/>
      <c r="BR205" s="359"/>
      <c r="BS205" s="359"/>
      <c r="BT205" s="359"/>
      <c r="BU205" s="359"/>
      <c r="BV205" s="359"/>
      <c r="BW205" s="359"/>
      <c r="BX205" s="359"/>
      <c r="BY205" s="359"/>
      <c r="BZ205" s="359"/>
      <c r="CA205" s="359"/>
      <c r="CB205" s="359"/>
      <c r="CC205" s="359"/>
      <c r="CD205" s="359"/>
      <c r="CE205" s="359"/>
      <c r="CF205" s="359"/>
      <c r="CG205" s="359"/>
      <c r="CH205" s="359"/>
      <c r="CI205" s="359"/>
      <c r="CJ205" s="359"/>
      <c r="CK205" s="359"/>
      <c r="CL205" s="359"/>
      <c r="CM205" s="359"/>
      <c r="CN205" s="359"/>
      <c r="CO205" s="359"/>
      <c r="CP205" s="359"/>
      <c r="CQ205" s="359"/>
      <c r="CR205" s="359"/>
      <c r="CS205" s="359"/>
      <c r="CT205" s="359"/>
      <c r="CU205" s="359"/>
      <c r="CV205" s="359"/>
      <c r="CW205" s="359"/>
      <c r="CX205" s="359"/>
      <c r="CY205" s="359"/>
      <c r="CZ205" s="359"/>
      <c r="DA205" s="359"/>
      <c r="DB205" s="359"/>
      <c r="DC205" s="359"/>
      <c r="DD205" s="359"/>
      <c r="DE205" s="359"/>
      <c r="DF205" s="359"/>
      <c r="DG205" s="359"/>
      <c r="DH205" s="359"/>
      <c r="DI205" s="359">
        <v>-20.45944043828851</v>
      </c>
      <c r="DJ205" s="359">
        <v>-92.802020370408314</v>
      </c>
      <c r="DK205" s="1208">
        <v>-92.802020370408314</v>
      </c>
      <c r="DL205" s="359">
        <v>-135.85076837301122</v>
      </c>
      <c r="DM205" s="359">
        <v>-143.29335463035014</v>
      </c>
      <c r="DN205" s="1208">
        <v>-143.29335463035014</v>
      </c>
      <c r="DO205" s="359">
        <v>-69.254186515685205</v>
      </c>
      <c r="DP205" s="359">
        <v>-88.977239808080242</v>
      </c>
      <c r="DQ205" s="1208">
        <v>-88.977239808083596</v>
      </c>
      <c r="DR205" s="359">
        <v>22.153927300543046</v>
      </c>
      <c r="DS205" s="359">
        <v>-21.357914860232199</v>
      </c>
      <c r="DT205" s="1208">
        <v>-21.357914861046311</v>
      </c>
      <c r="DU205" s="359">
        <v>-14.212126618582232</v>
      </c>
      <c r="DV205" s="359">
        <v>-21.357914860232199</v>
      </c>
      <c r="DW205" s="1208">
        <v>-21.357914861046311</v>
      </c>
      <c r="DX205" s="359">
        <v>-66.116371925012231</v>
      </c>
      <c r="DY205" s="359">
        <v>-100.38092062517075</v>
      </c>
      <c r="DZ205" s="1208">
        <v>-100.38092067595431</v>
      </c>
      <c r="EA205" s="359">
        <v>-138.25463646977022</v>
      </c>
      <c r="EB205" s="359">
        <v>-172.34023812725087</v>
      </c>
      <c r="EC205" s="1208">
        <v>-172.34023831249198</v>
      </c>
      <c r="ED205" s="359">
        <v>-178.11857566304252</v>
      </c>
      <c r="EE205" s="359">
        <v>-214.88658834529582</v>
      </c>
      <c r="EF205" s="1208">
        <v>-214.88658853298767</v>
      </c>
      <c r="EG205" s="359">
        <v>-178.11857566304252</v>
      </c>
      <c r="EH205" s="359">
        <v>-214.88658834529582</v>
      </c>
      <c r="EI205" s="1208">
        <v>-214.88658853298767</v>
      </c>
      <c r="EJ205" s="359">
        <v>-178.11857566304252</v>
      </c>
      <c r="EK205" s="359">
        <v>-214.88658834529582</v>
      </c>
      <c r="EL205" s="1208">
        <v>-214.88658853298767</v>
      </c>
      <c r="EM205" s="359">
        <v>-178.11857566304252</v>
      </c>
      <c r="EN205" s="359">
        <v>-214.88658834529582</v>
      </c>
      <c r="EO205" s="1208">
        <v>-214.88658853298767</v>
      </c>
      <c r="EP205" s="359">
        <v>-178.11857566304252</v>
      </c>
      <c r="EQ205" s="359">
        <v>-214.88658834529582</v>
      </c>
      <c r="ER205" s="1208">
        <v>-214.88658853298767</v>
      </c>
      <c r="ES205" s="359">
        <v>-178.11857566304252</v>
      </c>
      <c r="ET205" s="359">
        <v>-214.88658834529582</v>
      </c>
      <c r="EU205" s="1208">
        <v>-214.88658853298767</v>
      </c>
      <c r="EV205" s="359">
        <v>-178.11857566304252</v>
      </c>
      <c r="EW205" s="359">
        <v>-214.88658834529582</v>
      </c>
      <c r="EX205" s="1208">
        <v>-214.88658853298767</v>
      </c>
      <c r="EY205" s="359">
        <v>-178.11857566304252</v>
      </c>
      <c r="EZ205" s="359">
        <v>-214.88658834529582</v>
      </c>
      <c r="FA205" s="359">
        <v>-214.88658853298767</v>
      </c>
    </row>
    <row r="206" spans="1:157" ht="13.35" customHeight="1">
      <c r="A206" s="5"/>
      <c r="B206" s="5" t="s">
        <v>1</v>
      </c>
      <c r="C206" s="5"/>
      <c r="D206" s="5"/>
      <c r="E206" s="363" t="str">
        <f t="shared" ref="E206:N206" si="451">IF(OR(E207&lt;&gt;"",E208&lt;&gt;""),SUM(E207:E208),"")</f>
        <v/>
      </c>
      <c r="F206" s="363" t="str">
        <f t="shared" si="451"/>
        <v/>
      </c>
      <c r="G206" s="363" t="str">
        <f t="shared" si="451"/>
        <v/>
      </c>
      <c r="H206" s="363" t="str">
        <f t="shared" si="451"/>
        <v/>
      </c>
      <c r="I206" s="363" t="str">
        <f t="shared" si="451"/>
        <v/>
      </c>
      <c r="J206" s="363" t="str">
        <f t="shared" si="451"/>
        <v/>
      </c>
      <c r="K206" s="363" t="str">
        <f t="shared" si="451"/>
        <v/>
      </c>
      <c r="L206" s="363" t="str">
        <f t="shared" si="451"/>
        <v/>
      </c>
      <c r="M206" s="363" t="str">
        <f t="shared" si="451"/>
        <v/>
      </c>
      <c r="N206" s="363" t="str">
        <f t="shared" si="451"/>
        <v/>
      </c>
      <c r="O206" s="363" t="str">
        <f t="shared" ref="O206:X206" si="452">IF(OR(O207&lt;&gt;"",O208&lt;&gt;""),SUM(O207:O208),"")</f>
        <v/>
      </c>
      <c r="P206" s="363" t="str">
        <f t="shared" si="452"/>
        <v/>
      </c>
      <c r="Q206" s="363" t="str">
        <f t="shared" si="452"/>
        <v/>
      </c>
      <c r="R206" s="363" t="str">
        <f t="shared" si="452"/>
        <v/>
      </c>
      <c r="S206" s="363" t="str">
        <f t="shared" si="452"/>
        <v/>
      </c>
      <c r="T206" s="363" t="str">
        <f t="shared" si="452"/>
        <v/>
      </c>
      <c r="U206" s="363" t="str">
        <f t="shared" si="452"/>
        <v/>
      </c>
      <c r="V206" s="363" t="str">
        <f t="shared" si="452"/>
        <v/>
      </c>
      <c r="W206" s="363" t="str">
        <f t="shared" si="452"/>
        <v/>
      </c>
      <c r="X206" s="363" t="str">
        <f t="shared" si="452"/>
        <v/>
      </c>
      <c r="Y206" s="363" t="str">
        <f t="shared" ref="Y206:AH206" si="453">IF(OR(Y207&lt;&gt;"",Y208&lt;&gt;""),SUM(Y207:Y208),"")</f>
        <v/>
      </c>
      <c r="Z206" s="363" t="str">
        <f t="shared" si="453"/>
        <v/>
      </c>
      <c r="AA206" s="363" t="str">
        <f t="shared" si="453"/>
        <v/>
      </c>
      <c r="AB206" s="363" t="str">
        <f t="shared" si="453"/>
        <v/>
      </c>
      <c r="AC206" s="363" t="str">
        <f t="shared" si="453"/>
        <v/>
      </c>
      <c r="AD206" s="363" t="str">
        <f t="shared" si="453"/>
        <v/>
      </c>
      <c r="AE206" s="363" t="str">
        <f t="shared" si="453"/>
        <v/>
      </c>
      <c r="AF206" s="363" t="str">
        <f t="shared" si="453"/>
        <v/>
      </c>
      <c r="AG206" s="363" t="str">
        <f t="shared" si="453"/>
        <v/>
      </c>
      <c r="AH206" s="363" t="str">
        <f t="shared" si="453"/>
        <v/>
      </c>
      <c r="AI206" s="363">
        <f t="shared" ref="AI206:AU206" si="454">IF(OR(AI207&lt;&gt;"",AI208&lt;&gt;""),SUM(AI207:AI208),"")</f>
        <v>0.67500000000000004</v>
      </c>
      <c r="AJ206" s="363">
        <f t="shared" si="454"/>
        <v>0.82699999999999996</v>
      </c>
      <c r="AK206" s="363">
        <f t="shared" si="454"/>
        <v>0.82699999999999996</v>
      </c>
      <c r="AL206" s="363">
        <f t="shared" si="454"/>
        <v>0.38400000000000001</v>
      </c>
      <c r="AM206" s="363">
        <f t="shared" si="454"/>
        <v>1.5580000000000001</v>
      </c>
      <c r="AN206" s="363">
        <f t="shared" si="454"/>
        <v>1.5580000000000001</v>
      </c>
      <c r="AO206" s="363">
        <f t="shared" si="454"/>
        <v>1.6930000000000001</v>
      </c>
      <c r="AP206" s="363">
        <f t="shared" si="454"/>
        <v>1.6619999999999999</v>
      </c>
      <c r="AQ206" s="363">
        <f t="shared" si="454"/>
        <v>1.6619999999999999</v>
      </c>
      <c r="AR206" s="363">
        <f t="shared" si="454"/>
        <v>1.855</v>
      </c>
      <c r="AS206" s="363">
        <f t="shared" si="454"/>
        <v>1.4630000000000001</v>
      </c>
      <c r="AT206" s="363">
        <f t="shared" si="454"/>
        <v>1.4630000000000001</v>
      </c>
      <c r="AU206" s="363">
        <f t="shared" si="454"/>
        <v>1.9370000000000001</v>
      </c>
      <c r="AV206" s="363">
        <f t="shared" ref="AV206:BC206" si="455">IF(OR(AV207&lt;&gt;"",AV208&lt;&gt;""),SUM(AV207:AV208),"")</f>
        <v>1.806</v>
      </c>
      <c r="AW206" s="363">
        <f t="shared" si="455"/>
        <v>1.806</v>
      </c>
      <c r="AX206" s="363">
        <f t="shared" si="455"/>
        <v>2.3130000000000002</v>
      </c>
      <c r="AY206" s="363">
        <f t="shared" si="455"/>
        <v>2.9129999999999998</v>
      </c>
      <c r="AZ206" s="363">
        <f t="shared" si="455"/>
        <v>2.9129999999999998</v>
      </c>
      <c r="BA206" s="363">
        <f t="shared" si="455"/>
        <v>3.7069999999999999</v>
      </c>
      <c r="BB206" s="363">
        <f t="shared" si="455"/>
        <v>5.8339999999999996</v>
      </c>
      <c r="BC206" s="363">
        <f t="shared" si="455"/>
        <v>5.8339999999999996</v>
      </c>
      <c r="BD206" s="363">
        <f t="shared" ref="BD206:BN206" si="456">IF(OR(BD207&lt;&gt;"",BD208&lt;&gt;""),SUM(BD207:BD208),"")</f>
        <v>8.2870000000000008</v>
      </c>
      <c r="BE206" s="363">
        <f t="shared" si="456"/>
        <v>6.976</v>
      </c>
      <c r="BF206" s="363">
        <f t="shared" si="456"/>
        <v>6.976</v>
      </c>
      <c r="BG206" s="363">
        <f t="shared" si="456"/>
        <v>14.584999999999999</v>
      </c>
      <c r="BH206" s="363">
        <f t="shared" si="456"/>
        <v>11.99</v>
      </c>
      <c r="BI206" s="363">
        <f t="shared" si="456"/>
        <v>11.99</v>
      </c>
      <c r="BJ206" s="363">
        <f t="shared" si="456"/>
        <v>51.292000000000002</v>
      </c>
      <c r="BK206" s="363">
        <f t="shared" si="456"/>
        <v>12.963000000000001</v>
      </c>
      <c r="BL206" s="363">
        <f t="shared" si="456"/>
        <v>12.963000000000001</v>
      </c>
      <c r="BM206" s="363">
        <f t="shared" si="456"/>
        <v>14.226000000000001</v>
      </c>
      <c r="BN206" s="363">
        <f t="shared" si="456"/>
        <v>4.1859999999999999</v>
      </c>
      <c r="BO206" s="363"/>
      <c r="BP206" s="363">
        <f t="shared" ref="BP206:DK206" si="457">IF(OR(BP207&lt;&gt;"",BP208&lt;&gt;""),SUM(BP207:BP208),"")</f>
        <v>12.863</v>
      </c>
      <c r="BQ206" s="363">
        <f t="shared" si="457"/>
        <v>5.92</v>
      </c>
      <c r="BR206" s="363">
        <f t="shared" si="457"/>
        <v>5.92</v>
      </c>
      <c r="BS206" s="363">
        <f t="shared" si="457"/>
        <v>30.96</v>
      </c>
      <c r="BT206" s="363">
        <f t="shared" si="457"/>
        <v>5.39</v>
      </c>
      <c r="BU206" s="363">
        <f t="shared" si="457"/>
        <v>5.39</v>
      </c>
      <c r="BV206" s="363">
        <f t="shared" si="457"/>
        <v>5.6479999999999997</v>
      </c>
      <c r="BW206" s="363">
        <f t="shared" si="457"/>
        <v>12.974</v>
      </c>
      <c r="BX206" s="363">
        <f t="shared" si="457"/>
        <v>12.974</v>
      </c>
      <c r="BY206" s="363">
        <f t="shared" si="457"/>
        <v>13.2</v>
      </c>
      <c r="BZ206" s="363">
        <f t="shared" si="457"/>
        <v>12.103</v>
      </c>
      <c r="CA206" s="363">
        <f t="shared" si="457"/>
        <v>12.103</v>
      </c>
      <c r="CB206" s="363">
        <f t="shared" si="457"/>
        <v>49.101000000000006</v>
      </c>
      <c r="CC206" s="363">
        <f t="shared" si="457"/>
        <v>15.657</v>
      </c>
      <c r="CD206" s="363">
        <f t="shared" si="457"/>
        <v>15.657</v>
      </c>
      <c r="CE206" s="363">
        <f t="shared" si="457"/>
        <v>16.033999999999999</v>
      </c>
      <c r="CF206" s="363">
        <f t="shared" si="457"/>
        <v>16.033999999999999</v>
      </c>
      <c r="CG206" s="363">
        <f t="shared" si="457"/>
        <v>16.033999999999999</v>
      </c>
      <c r="CH206" s="363">
        <f t="shared" si="457"/>
        <v>16.033999999999999</v>
      </c>
      <c r="CI206" s="363">
        <f t="shared" si="457"/>
        <v>16.033999999999999</v>
      </c>
      <c r="CJ206" s="363">
        <f t="shared" si="457"/>
        <v>16.033999999999999</v>
      </c>
      <c r="CK206" s="363">
        <f t="shared" si="457"/>
        <v>16.033999999999999</v>
      </c>
      <c r="CL206" s="363">
        <f t="shared" si="457"/>
        <v>16.033999999999999</v>
      </c>
      <c r="CM206" s="363">
        <f t="shared" si="457"/>
        <v>16.033999999999999</v>
      </c>
      <c r="CN206" s="363">
        <f t="shared" si="457"/>
        <v>16.033999999999999</v>
      </c>
      <c r="CO206" s="363">
        <f t="shared" si="457"/>
        <v>16.033999999999999</v>
      </c>
      <c r="CP206" s="363">
        <f t="shared" si="457"/>
        <v>16.033999999999999</v>
      </c>
      <c r="CQ206" s="363">
        <f t="shared" si="457"/>
        <v>16.033999999999999</v>
      </c>
      <c r="CR206" s="363">
        <f t="shared" si="457"/>
        <v>16.033999999999999</v>
      </c>
      <c r="CS206" s="363">
        <f t="shared" si="457"/>
        <v>16.033999999999999</v>
      </c>
      <c r="CT206" s="363">
        <f t="shared" si="457"/>
        <v>16.033999999999999</v>
      </c>
      <c r="CU206" s="363">
        <f t="shared" si="457"/>
        <v>16.033999999999999</v>
      </c>
      <c r="CV206" s="363">
        <f t="shared" si="457"/>
        <v>16.033999999999999</v>
      </c>
      <c r="CW206" s="363">
        <f t="shared" si="457"/>
        <v>16.033999999999999</v>
      </c>
      <c r="CX206" s="363">
        <f t="shared" si="457"/>
        <v>16.033999999999999</v>
      </c>
      <c r="CY206" s="363">
        <f t="shared" si="457"/>
        <v>16.033999999999999</v>
      </c>
      <c r="CZ206" s="363">
        <f t="shared" si="457"/>
        <v>16.033999999999999</v>
      </c>
      <c r="DA206" s="363">
        <f t="shared" si="457"/>
        <v>16.033999999999999</v>
      </c>
      <c r="DB206" s="363">
        <f t="shared" si="457"/>
        <v>16.033999999999999</v>
      </c>
      <c r="DC206" s="363">
        <f t="shared" si="457"/>
        <v>16.033999999999999</v>
      </c>
      <c r="DD206" s="363">
        <f t="shared" si="457"/>
        <v>16.033999999999999</v>
      </c>
      <c r="DE206" s="363">
        <f t="shared" si="457"/>
        <v>16.033999999999999</v>
      </c>
      <c r="DF206" s="363">
        <f t="shared" si="457"/>
        <v>43.5</v>
      </c>
      <c r="DG206" s="363">
        <f t="shared" si="457"/>
        <v>453.20000000000005</v>
      </c>
      <c r="DH206" s="363">
        <f t="shared" si="457"/>
        <v>453.20000000000005</v>
      </c>
      <c r="DI206" s="363">
        <f t="shared" si="457"/>
        <v>145.9</v>
      </c>
      <c r="DJ206" s="363">
        <f t="shared" si="457"/>
        <v>145.9</v>
      </c>
      <c r="DK206" s="1210">
        <f t="shared" si="457"/>
        <v>145.9</v>
      </c>
      <c r="DL206" s="363">
        <f t="shared" ref="DL206:DQ206" si="458">IF(OR(DL207&lt;&gt;"",DL208&lt;&gt;""),SUM(DL207:DL208),"")</f>
        <v>93.2</v>
      </c>
      <c r="DM206" s="363">
        <f t="shared" si="458"/>
        <v>79</v>
      </c>
      <c r="DN206" s="1210">
        <f t="shared" si="458"/>
        <v>79</v>
      </c>
      <c r="DO206" s="363">
        <f t="shared" si="458"/>
        <v>92.100000000000009</v>
      </c>
      <c r="DP206" s="363">
        <f t="shared" si="458"/>
        <v>57</v>
      </c>
      <c r="DQ206" s="1210">
        <f t="shared" si="458"/>
        <v>57</v>
      </c>
      <c r="DR206" s="363">
        <f t="shared" ref="DR206:DU206" si="459">IF(OR(DR207&lt;&gt;"",DR208&lt;&gt;""),SUM(DR207:DR208),"")</f>
        <v>74.900000000000006</v>
      </c>
      <c r="DS206" s="363">
        <f t="shared" si="459"/>
        <v>56.2</v>
      </c>
      <c r="DT206" s="1210">
        <f t="shared" si="459"/>
        <v>56.2</v>
      </c>
      <c r="DU206" s="363">
        <f t="shared" si="459"/>
        <v>64.8</v>
      </c>
      <c r="DV206" s="363">
        <f t="shared" ref="DV206:DW206" si="460">IF(OR(DV207&lt;&gt;"",DV208&lt;&gt;""),SUM(DV207:DV208),"")</f>
        <v>55.800000000000004</v>
      </c>
      <c r="DW206" s="1210">
        <f t="shared" si="460"/>
        <v>55.800000000000004</v>
      </c>
      <c r="DX206" s="363">
        <f t="shared" ref="DX206:EF206" si="461">IF(OR(DX207&lt;&gt;"",DX208&lt;&gt;""),SUM(DX207:DX208),"")</f>
        <v>70</v>
      </c>
      <c r="DY206" s="363">
        <f t="shared" si="461"/>
        <v>70</v>
      </c>
      <c r="DZ206" s="1210">
        <f t="shared" si="461"/>
        <v>70</v>
      </c>
      <c r="EA206" s="363">
        <f t="shared" si="461"/>
        <v>70</v>
      </c>
      <c r="EB206" s="363">
        <f t="shared" si="461"/>
        <v>70</v>
      </c>
      <c r="EC206" s="1210">
        <f t="shared" si="461"/>
        <v>70</v>
      </c>
      <c r="ED206" s="363">
        <f t="shared" si="461"/>
        <v>70</v>
      </c>
      <c r="EE206" s="363">
        <f t="shared" si="461"/>
        <v>70</v>
      </c>
      <c r="EF206" s="1210">
        <f t="shared" si="461"/>
        <v>70</v>
      </c>
      <c r="EG206" s="363">
        <f t="shared" ref="EG206:EL206" si="462">IF(OR(EG207&lt;&gt;"",EG208&lt;&gt;""),SUM(EG207:EG208),"")</f>
        <v>70</v>
      </c>
      <c r="EH206" s="363">
        <f t="shared" si="462"/>
        <v>70</v>
      </c>
      <c r="EI206" s="1210">
        <f t="shared" si="462"/>
        <v>70</v>
      </c>
      <c r="EJ206" s="363">
        <f t="shared" si="462"/>
        <v>70</v>
      </c>
      <c r="EK206" s="363">
        <f t="shared" si="462"/>
        <v>70</v>
      </c>
      <c r="EL206" s="1210">
        <f t="shared" si="462"/>
        <v>70</v>
      </c>
      <c r="EM206" s="363">
        <f t="shared" ref="EM206:ER206" si="463">IF(OR(EM207&lt;&gt;"",EM208&lt;&gt;""),SUM(EM207:EM208),"")</f>
        <v>70</v>
      </c>
      <c r="EN206" s="363">
        <f t="shared" si="463"/>
        <v>70</v>
      </c>
      <c r="EO206" s="1210">
        <f t="shared" si="463"/>
        <v>70</v>
      </c>
      <c r="EP206" s="363">
        <f t="shared" si="463"/>
        <v>70</v>
      </c>
      <c r="EQ206" s="363">
        <f t="shared" si="463"/>
        <v>70</v>
      </c>
      <c r="ER206" s="1210">
        <f t="shared" si="463"/>
        <v>70</v>
      </c>
      <c r="ES206" s="363">
        <f t="shared" ref="ES206:EX206" si="464">IF(OR(ES207&lt;&gt;"",ES208&lt;&gt;""),SUM(ES207:ES208),"")</f>
        <v>70</v>
      </c>
      <c r="ET206" s="363">
        <f t="shared" si="464"/>
        <v>70</v>
      </c>
      <c r="EU206" s="1210">
        <f t="shared" si="464"/>
        <v>70</v>
      </c>
      <c r="EV206" s="363">
        <f t="shared" si="464"/>
        <v>70</v>
      </c>
      <c r="EW206" s="363">
        <f t="shared" si="464"/>
        <v>70</v>
      </c>
      <c r="EX206" s="1210">
        <f t="shared" si="464"/>
        <v>70</v>
      </c>
      <c r="EY206" s="363">
        <f t="shared" ref="EY206:FA206" si="465">IF(OR(EY207&lt;&gt;"",EY208&lt;&gt;""),SUM(EY207:EY208),"")</f>
        <v>70</v>
      </c>
      <c r="EZ206" s="363">
        <f t="shared" si="465"/>
        <v>70</v>
      </c>
      <c r="FA206" s="363">
        <f t="shared" si="465"/>
        <v>70</v>
      </c>
    </row>
    <row r="207" spans="1:157" ht="13.35" customHeight="1">
      <c r="A207" s="5"/>
      <c r="B207" s="5" t="s">
        <v>2</v>
      </c>
      <c r="C207" s="5"/>
      <c r="D207" s="5"/>
      <c r="E207" s="363" t="str">
        <f>IF(Model!E242&lt;&gt;"",Model!E242,"")</f>
        <v/>
      </c>
      <c r="F207" s="363" t="str">
        <f>IF(G207&lt;&gt;"",G207,"")</f>
        <v/>
      </c>
      <c r="G207" s="363" t="str">
        <f>IF(Model!G242&lt;&gt;"",Model!G242,"")</f>
        <v/>
      </c>
      <c r="H207" s="363" t="str">
        <f>IF(Model!H242&lt;&gt;"",Model!H242,"")</f>
        <v/>
      </c>
      <c r="I207" s="363" t="str">
        <f>IF(J207&lt;&gt;"",J207,"")</f>
        <v/>
      </c>
      <c r="J207" s="363" t="str">
        <f>IF(Model!J242&lt;&gt;"",Model!J242,"")</f>
        <v/>
      </c>
      <c r="K207" s="363" t="str">
        <f>IF(Model!K242&lt;&gt;"",Model!K242,"")</f>
        <v/>
      </c>
      <c r="L207" s="363" t="str">
        <f>IF(M207&lt;&gt;"",M207,"")</f>
        <v/>
      </c>
      <c r="M207" s="363" t="str">
        <f>IF(Model!M242&lt;&gt;"",Model!M242,"")</f>
        <v/>
      </c>
      <c r="N207" s="363" t="str">
        <f>IF(Model!N242&lt;&gt;"",Model!N242,"")</f>
        <v/>
      </c>
      <c r="O207" s="363" t="str">
        <f>IF(P207&lt;&gt;"",P207,"")</f>
        <v/>
      </c>
      <c r="P207" s="363" t="str">
        <f>IF(Model!P242&lt;&gt;"",Model!P242,"")</f>
        <v/>
      </c>
      <c r="Q207" s="363" t="str">
        <f>IF(Model!Q242&lt;&gt;"",Model!Q242,"")</f>
        <v/>
      </c>
      <c r="R207" s="363" t="str">
        <f>IF(S207&lt;&gt;"",S207,"")</f>
        <v/>
      </c>
      <c r="S207" s="363" t="str">
        <f>IF(Model!S242&lt;&gt;"",Model!S242,"")</f>
        <v/>
      </c>
      <c r="T207" s="363" t="str">
        <f>IF(Model!T242&lt;&gt;"",Model!T242,"")</f>
        <v/>
      </c>
      <c r="U207" s="363" t="str">
        <f>IF(V207&lt;&gt;"",V207,"")</f>
        <v/>
      </c>
      <c r="V207" s="363" t="str">
        <f>IF(Model!V242&lt;&gt;"",Model!V242,"")</f>
        <v/>
      </c>
      <c r="W207" s="363" t="str">
        <f>IF(Model!W242&lt;&gt;"",Model!W242,"")</f>
        <v/>
      </c>
      <c r="X207" s="363" t="str">
        <f>IF(Y207&lt;&gt;"",Y207,"")</f>
        <v/>
      </c>
      <c r="Y207" s="363" t="str">
        <f>IF(Model!Y242&lt;&gt;"",Model!Y242,"")</f>
        <v/>
      </c>
      <c r="Z207" s="363" t="str">
        <f>IF(Model!Z242&lt;&gt;"",Model!Z242,"")</f>
        <v/>
      </c>
      <c r="AA207" s="363" t="str">
        <f>IF(AB207&lt;&gt;"",AB207,"")</f>
        <v/>
      </c>
      <c r="AB207" s="363" t="str">
        <f>IF(Model!AB242&lt;&gt;"",Model!AB242,"")</f>
        <v/>
      </c>
      <c r="AC207" s="363" t="str">
        <f>IF(Model!AC242&lt;&gt;"",Model!AC242,"")</f>
        <v/>
      </c>
      <c r="AD207" s="363" t="str">
        <f>IF(AE207&lt;&gt;"",AE207,"")</f>
        <v/>
      </c>
      <c r="AE207" s="363" t="str">
        <f>IF(Model!AE242&lt;&gt;"",Model!AE242,"")</f>
        <v/>
      </c>
      <c r="AF207" s="363" t="str">
        <f>IF(Model!AF242&lt;&gt;"",Model!AF242,"")</f>
        <v/>
      </c>
      <c r="AG207" s="363" t="str">
        <f>IF(AH207&lt;&gt;"",AH207,"")</f>
        <v/>
      </c>
      <c r="AH207" s="363" t="str">
        <f>IF(Model!AH242&lt;&gt;"",Model!AH242,"")</f>
        <v/>
      </c>
      <c r="AI207" s="363" t="str">
        <f>IF(Model!AI242&lt;&gt;"",Model!AI242,"")</f>
        <v/>
      </c>
      <c r="AJ207" s="363" t="str">
        <f>IF(AK207&lt;&gt;"",AK207,"")</f>
        <v/>
      </c>
      <c r="AK207" s="363" t="str">
        <f>IF(Model!AK242&lt;&gt;"",Model!AK242,"")</f>
        <v/>
      </c>
      <c r="AL207" s="363" t="str">
        <f>IF(Model!AL242&lt;&gt;"",Model!AL242,"")</f>
        <v/>
      </c>
      <c r="AM207" s="363" t="str">
        <f>IF(AN207&lt;&gt;"",AN207,"")</f>
        <v/>
      </c>
      <c r="AN207" s="363" t="str">
        <f>IF(Model!AN242&lt;&gt;"",Model!AN242,"")</f>
        <v/>
      </c>
      <c r="AO207" s="363" t="str">
        <f>IF(Model!AO242&lt;&gt;"",Model!AO242,"")</f>
        <v/>
      </c>
      <c r="AP207" s="363" t="str">
        <f>IF(AQ207&lt;&gt;"",AQ207,"")</f>
        <v/>
      </c>
      <c r="AQ207" s="363" t="str">
        <f>IF(Model!AQ242&lt;&gt;"",Model!AQ242,"")</f>
        <v/>
      </c>
      <c r="AR207" s="363" t="str">
        <f>IF(Model!AR242&lt;&gt;"",Model!AR242,"")</f>
        <v/>
      </c>
      <c r="AS207" s="363" t="str">
        <f>IF(AT207&lt;&gt;"",AT207,"")</f>
        <v/>
      </c>
      <c r="AT207" s="363" t="str">
        <f>IF(Model!AT242&lt;&gt;"",Model!AT242,"")</f>
        <v/>
      </c>
      <c r="AU207" s="363" t="str">
        <f>IF(Model!AU242&lt;&gt;"",Model!AU242,"")</f>
        <v/>
      </c>
      <c r="AV207" s="363" t="str">
        <f>IF(AW207&lt;&gt;"",AW207,"")</f>
        <v/>
      </c>
      <c r="AW207" s="363" t="str">
        <f>IF(Model!AW242&lt;&gt;"",Model!AW242,"")</f>
        <v/>
      </c>
      <c r="AX207" s="363">
        <f>IF(Model!AX242&lt;&gt;"",Model!AX242,"")</f>
        <v>0</v>
      </c>
      <c r="AY207" s="363">
        <f>IF(AZ207&lt;&gt;"",AZ207,"")</f>
        <v>0</v>
      </c>
      <c r="AZ207" s="363">
        <f>IF(Model!AZ242&lt;&gt;"",Model!AZ242,"")</f>
        <v>0</v>
      </c>
      <c r="BA207" s="363">
        <f>IF(Model!BA242&lt;&gt;"",Model!BA242,"")</f>
        <v>0</v>
      </c>
      <c r="BB207" s="363">
        <f>IF(BC207&lt;&gt;"",BC207,"")</f>
        <v>0</v>
      </c>
      <c r="BC207" s="363">
        <f>IF(Model!BC242&lt;&gt;"",Model!BC242,"")</f>
        <v>0</v>
      </c>
      <c r="BD207" s="363"/>
      <c r="BE207" s="363" t="str">
        <f>IF(BF207&lt;&gt;"",BF207,"")</f>
        <v/>
      </c>
      <c r="BF207" s="363"/>
      <c r="BG207" s="363"/>
      <c r="BH207" s="363" t="str">
        <f>IF(BI207&lt;&gt;"",BI207,"")</f>
        <v/>
      </c>
      <c r="BI207" s="363"/>
      <c r="BJ207" s="363"/>
      <c r="BK207" s="363" t="str">
        <f>IF(BL207&lt;&gt;"",BL207,"")</f>
        <v/>
      </c>
      <c r="BL207" s="363"/>
      <c r="BM207" s="363"/>
      <c r="BN207" s="363" t="str">
        <f>IF(BO207&lt;&gt;"",BO207,"")</f>
        <v/>
      </c>
      <c r="BO207" s="363"/>
      <c r="BP207" s="363"/>
      <c r="BQ207" s="363" t="str">
        <f>IF(BR207&lt;&gt;"",BR207,"")</f>
        <v/>
      </c>
      <c r="BR207" s="363"/>
      <c r="BS207" s="363"/>
      <c r="BT207" s="363" t="str">
        <f>IF(BU207&lt;&gt;"",BU207,"")</f>
        <v/>
      </c>
      <c r="BU207" s="363"/>
      <c r="BV207" s="363"/>
      <c r="BW207" s="363" t="str">
        <f>IF(BX207&lt;&gt;"",BX207,"")</f>
        <v/>
      </c>
      <c r="BX207" s="363"/>
      <c r="BY207" s="363"/>
      <c r="BZ207" s="363" t="str">
        <f>IF(CA207&lt;&gt;"",CA207,"")</f>
        <v/>
      </c>
      <c r="CA207" s="363"/>
      <c r="CB207" s="363"/>
      <c r="CC207" s="363" t="str">
        <f>IF(CD207&lt;&gt;"",CD207,"")</f>
        <v/>
      </c>
      <c r="CD207" s="363"/>
      <c r="CE207" s="363">
        <v>8.0850000000000009</v>
      </c>
      <c r="CF207" s="363">
        <f>CE207</f>
        <v>8.0850000000000009</v>
      </c>
      <c r="CG207" s="363">
        <f t="shared" ref="CG207:DK207" si="466">CF207</f>
        <v>8.0850000000000009</v>
      </c>
      <c r="CH207" s="363">
        <f t="shared" si="466"/>
        <v>8.0850000000000009</v>
      </c>
      <c r="CI207" s="363">
        <f t="shared" si="466"/>
        <v>8.0850000000000009</v>
      </c>
      <c r="CJ207" s="363">
        <f t="shared" si="466"/>
        <v>8.0850000000000009</v>
      </c>
      <c r="CK207" s="363">
        <f t="shared" si="466"/>
        <v>8.0850000000000009</v>
      </c>
      <c r="CL207" s="363">
        <f t="shared" si="466"/>
        <v>8.0850000000000009</v>
      </c>
      <c r="CM207" s="363">
        <f t="shared" si="466"/>
        <v>8.0850000000000009</v>
      </c>
      <c r="CN207" s="363">
        <f t="shared" si="466"/>
        <v>8.0850000000000009</v>
      </c>
      <c r="CO207" s="363">
        <f t="shared" si="466"/>
        <v>8.0850000000000009</v>
      </c>
      <c r="CP207" s="363">
        <f t="shared" si="466"/>
        <v>8.0850000000000009</v>
      </c>
      <c r="CQ207" s="363">
        <f t="shared" si="466"/>
        <v>8.0850000000000009</v>
      </c>
      <c r="CR207" s="363">
        <f t="shared" si="466"/>
        <v>8.0850000000000009</v>
      </c>
      <c r="CS207" s="363">
        <f t="shared" si="466"/>
        <v>8.0850000000000009</v>
      </c>
      <c r="CT207" s="363">
        <f t="shared" si="466"/>
        <v>8.0850000000000009</v>
      </c>
      <c r="CU207" s="363">
        <f t="shared" si="466"/>
        <v>8.0850000000000009</v>
      </c>
      <c r="CV207" s="363">
        <f t="shared" si="466"/>
        <v>8.0850000000000009</v>
      </c>
      <c r="CW207" s="363">
        <f t="shared" si="466"/>
        <v>8.0850000000000009</v>
      </c>
      <c r="CX207" s="363">
        <f t="shared" si="466"/>
        <v>8.0850000000000009</v>
      </c>
      <c r="CY207" s="363">
        <f t="shared" si="466"/>
        <v>8.0850000000000009</v>
      </c>
      <c r="CZ207" s="363">
        <f t="shared" si="466"/>
        <v>8.0850000000000009</v>
      </c>
      <c r="DA207" s="363">
        <f t="shared" si="466"/>
        <v>8.0850000000000009</v>
      </c>
      <c r="DB207" s="363">
        <f t="shared" si="466"/>
        <v>8.0850000000000009</v>
      </c>
      <c r="DC207" s="363">
        <f t="shared" si="466"/>
        <v>8.0850000000000009</v>
      </c>
      <c r="DD207" s="363">
        <f t="shared" si="466"/>
        <v>8.0850000000000009</v>
      </c>
      <c r="DE207" s="363">
        <f t="shared" si="466"/>
        <v>8.0850000000000009</v>
      </c>
      <c r="DF207" s="363">
        <f>B_CA_PPE_H1_20</f>
        <v>30.8</v>
      </c>
      <c r="DG207" s="363">
        <f>DH207</f>
        <v>17.600000000000001</v>
      </c>
      <c r="DH207" s="363">
        <f>Model!DH242</f>
        <v>17.600000000000001</v>
      </c>
      <c r="DI207" s="363">
        <f t="shared" si="466"/>
        <v>17.600000000000001</v>
      </c>
      <c r="DJ207" s="363">
        <f t="shared" si="466"/>
        <v>17.600000000000001</v>
      </c>
      <c r="DK207" s="1210">
        <f t="shared" si="466"/>
        <v>17.600000000000001</v>
      </c>
      <c r="DL207" s="363">
        <f>+Model!DL242</f>
        <v>33.5</v>
      </c>
      <c r="DM207" s="363">
        <f>+Model!DM242</f>
        <v>28.7</v>
      </c>
      <c r="DN207" s="1210">
        <f>+Model!DN242</f>
        <v>28.7</v>
      </c>
      <c r="DO207" s="363">
        <f>+Model!DO242</f>
        <v>45.2</v>
      </c>
      <c r="DP207" s="363">
        <f>+Model!DP242</f>
        <v>33.299999999999997</v>
      </c>
      <c r="DQ207" s="1210">
        <f>+Model!DQ242</f>
        <v>33.299999999999997</v>
      </c>
      <c r="DR207" s="363">
        <f>+Model!DR242</f>
        <v>54.2</v>
      </c>
      <c r="DS207" s="363">
        <f>+Model!DS242</f>
        <v>37.200000000000003</v>
      </c>
      <c r="DT207" s="1210">
        <f>+Model!DT242</f>
        <v>37.200000000000003</v>
      </c>
      <c r="DU207" s="363">
        <f>+Model!DU242</f>
        <v>50.3</v>
      </c>
      <c r="DV207" s="363">
        <f>+Model!DV242</f>
        <v>37.1</v>
      </c>
      <c r="DW207" s="1210">
        <f>+Model!DW242</f>
        <v>37.1</v>
      </c>
      <c r="DX207" s="363">
        <f>Model!DX242</f>
        <v>44.7</v>
      </c>
      <c r="DY207" s="363">
        <f t="shared" ref="DY207:EF207" si="467">DX207</f>
        <v>44.7</v>
      </c>
      <c r="DZ207" s="1210">
        <f t="shared" si="467"/>
        <v>44.7</v>
      </c>
      <c r="EA207" s="363">
        <f t="shared" si="467"/>
        <v>44.7</v>
      </c>
      <c r="EB207" s="363">
        <f t="shared" si="467"/>
        <v>44.7</v>
      </c>
      <c r="EC207" s="1210">
        <f t="shared" si="467"/>
        <v>44.7</v>
      </c>
      <c r="ED207" s="363">
        <f t="shared" si="467"/>
        <v>44.7</v>
      </c>
      <c r="EE207" s="363">
        <f t="shared" si="467"/>
        <v>44.7</v>
      </c>
      <c r="EF207" s="1210">
        <f t="shared" si="467"/>
        <v>44.7</v>
      </c>
      <c r="EG207" s="363">
        <f t="shared" ref="EG207:EL207" si="468">EF207</f>
        <v>44.7</v>
      </c>
      <c r="EH207" s="363">
        <f t="shared" si="468"/>
        <v>44.7</v>
      </c>
      <c r="EI207" s="1210">
        <f t="shared" si="468"/>
        <v>44.7</v>
      </c>
      <c r="EJ207" s="363">
        <f t="shared" si="468"/>
        <v>44.7</v>
      </c>
      <c r="EK207" s="363">
        <f t="shared" si="468"/>
        <v>44.7</v>
      </c>
      <c r="EL207" s="1210">
        <f t="shared" si="468"/>
        <v>44.7</v>
      </c>
      <c r="EM207" s="363">
        <f t="shared" ref="EM207:ER207" si="469">EL207</f>
        <v>44.7</v>
      </c>
      <c r="EN207" s="363">
        <f t="shared" si="469"/>
        <v>44.7</v>
      </c>
      <c r="EO207" s="1210">
        <f t="shared" si="469"/>
        <v>44.7</v>
      </c>
      <c r="EP207" s="363">
        <f t="shared" si="469"/>
        <v>44.7</v>
      </c>
      <c r="EQ207" s="363">
        <f t="shared" si="469"/>
        <v>44.7</v>
      </c>
      <c r="ER207" s="1210">
        <f t="shared" si="469"/>
        <v>44.7</v>
      </c>
      <c r="ES207" s="363">
        <f t="shared" ref="ES207" si="470">ER207</f>
        <v>44.7</v>
      </c>
      <c r="ET207" s="363">
        <f t="shared" ref="ET207" si="471">ES207</f>
        <v>44.7</v>
      </c>
      <c r="EU207" s="1210">
        <f t="shared" ref="EU207" si="472">ET207</f>
        <v>44.7</v>
      </c>
      <c r="EV207" s="363">
        <f t="shared" ref="EV207" si="473">EU207</f>
        <v>44.7</v>
      </c>
      <c r="EW207" s="363">
        <f t="shared" ref="EW207" si="474">EV207</f>
        <v>44.7</v>
      </c>
      <c r="EX207" s="1210">
        <f t="shared" ref="EX207" si="475">EW207</f>
        <v>44.7</v>
      </c>
      <c r="EY207" s="363">
        <f t="shared" ref="EY207" si="476">EX207</f>
        <v>44.7</v>
      </c>
      <c r="EZ207" s="363">
        <f t="shared" ref="EZ207" si="477">EY207</f>
        <v>44.7</v>
      </c>
      <c r="FA207" s="363">
        <f t="shared" ref="FA207" si="478">EZ207</f>
        <v>44.7</v>
      </c>
    </row>
    <row r="208" spans="1:157" ht="13.35" customHeight="1">
      <c r="A208" s="5"/>
      <c r="B208" s="5" t="s">
        <v>814</v>
      </c>
      <c r="C208" s="5"/>
      <c r="D208" s="5"/>
      <c r="E208" s="363" t="str">
        <f>IF(Model!E243&lt;&gt;"",Model!E243,"")</f>
        <v/>
      </c>
      <c r="F208" s="363" t="str">
        <f>IF(G208&lt;&gt;"",G208,"")</f>
        <v/>
      </c>
      <c r="G208" s="363" t="str">
        <f>IF(Model!G243&lt;&gt;"",Model!G243,"")</f>
        <v/>
      </c>
      <c r="H208" s="363" t="str">
        <f>IF(Model!H243&lt;&gt;"",Model!H243,"")</f>
        <v/>
      </c>
      <c r="I208" s="363" t="str">
        <f>IF(J208&lt;&gt;"",J208,"")</f>
        <v/>
      </c>
      <c r="J208" s="363" t="str">
        <f>IF(Model!J243&lt;&gt;"",Model!J243,"")</f>
        <v/>
      </c>
      <c r="K208" s="363" t="str">
        <f>IF(Model!K243&lt;&gt;"",Model!K243,"")</f>
        <v/>
      </c>
      <c r="L208" s="363" t="str">
        <f>IF(M208&lt;&gt;"",M208,"")</f>
        <v/>
      </c>
      <c r="M208" s="363" t="str">
        <f>IF(Model!M243&lt;&gt;"",Model!M243,"")</f>
        <v/>
      </c>
      <c r="N208" s="363" t="str">
        <f>IF(Model!N243&lt;&gt;"",Model!N243,"")</f>
        <v/>
      </c>
      <c r="O208" s="363" t="str">
        <f>IF(P208&lt;&gt;"",P208,"")</f>
        <v/>
      </c>
      <c r="P208" s="363" t="str">
        <f>IF(Model!P243&lt;&gt;"",Model!P243,"")</f>
        <v/>
      </c>
      <c r="Q208" s="363" t="str">
        <f>IF(Model!Q243&lt;&gt;"",Model!Q243,"")</f>
        <v/>
      </c>
      <c r="R208" s="363" t="str">
        <f>IF(S208&lt;&gt;"",S208,"")</f>
        <v/>
      </c>
      <c r="S208" s="363" t="str">
        <f>IF(Model!S243&lt;&gt;"",Model!S243,"")</f>
        <v/>
      </c>
      <c r="T208" s="363" t="str">
        <f>IF(Model!T243&lt;&gt;"",Model!T243,"")</f>
        <v/>
      </c>
      <c r="U208" s="363" t="str">
        <f>IF(V208&lt;&gt;"",V208,"")</f>
        <v/>
      </c>
      <c r="V208" s="363" t="str">
        <f>IF(Model!V243&lt;&gt;"",Model!V243,"")</f>
        <v/>
      </c>
      <c r="W208" s="363" t="str">
        <f>IF(Model!W243&lt;&gt;"",Model!W243,"")</f>
        <v/>
      </c>
      <c r="X208" s="363" t="str">
        <f>IF(Y208&lt;&gt;"",Y208,"")</f>
        <v/>
      </c>
      <c r="Y208" s="363" t="str">
        <f>IF(Model!Y243&lt;&gt;"",Model!Y243,"")</f>
        <v/>
      </c>
      <c r="Z208" s="363" t="str">
        <f>IF(Model!Z243&lt;&gt;"",Model!Z243,"")</f>
        <v/>
      </c>
      <c r="AA208" s="363" t="str">
        <f>IF(AB208&lt;&gt;"",AB208,"")</f>
        <v/>
      </c>
      <c r="AB208" s="363" t="str">
        <f>IF(Model!AB243&lt;&gt;"",Model!AB243,"")</f>
        <v/>
      </c>
      <c r="AC208" s="363" t="str">
        <f>IF(Model!AC243&lt;&gt;"",Model!AC243,"")</f>
        <v/>
      </c>
      <c r="AD208" s="363" t="str">
        <f>IF(AE208&lt;&gt;"",AE208,"")</f>
        <v/>
      </c>
      <c r="AE208" s="363" t="str">
        <f>IF(Model!AE243&lt;&gt;"",Model!AE243,"")</f>
        <v/>
      </c>
      <c r="AF208" s="363" t="str">
        <f>IF(Model!AF243&lt;&gt;"",Model!AF243,"")</f>
        <v/>
      </c>
      <c r="AG208" s="363" t="str">
        <f>IF(AH208&lt;&gt;"",AH208,"")</f>
        <v/>
      </c>
      <c r="AH208" s="363" t="str">
        <f>IF(Model!AH243&lt;&gt;"",Model!AH243,"")</f>
        <v/>
      </c>
      <c r="AI208" s="363">
        <f>Model!AI241</f>
        <v>0.67500000000000004</v>
      </c>
      <c r="AJ208" s="363">
        <f>Model!AJ241</f>
        <v>0.82699999999999996</v>
      </c>
      <c r="AK208" s="363">
        <f>Model!AK241</f>
        <v>0.82699999999999996</v>
      </c>
      <c r="AL208" s="363">
        <f>Model!AL241</f>
        <v>0.38400000000000001</v>
      </c>
      <c r="AM208" s="363">
        <f>Model!AM241</f>
        <v>1.5580000000000001</v>
      </c>
      <c r="AN208" s="363">
        <f>Model!AN241</f>
        <v>1.5580000000000001</v>
      </c>
      <c r="AO208" s="363">
        <f>Model!AO241</f>
        <v>1.6930000000000001</v>
      </c>
      <c r="AP208" s="363">
        <f>Model!AP241</f>
        <v>1.6619999999999999</v>
      </c>
      <c r="AQ208" s="363">
        <f>Model!AQ241</f>
        <v>1.6619999999999999</v>
      </c>
      <c r="AR208" s="363">
        <f>Model!AR241</f>
        <v>1.855</v>
      </c>
      <c r="AS208" s="363">
        <f>Model!AS241</f>
        <v>1.4630000000000001</v>
      </c>
      <c r="AT208" s="363">
        <f>Model!AT241</f>
        <v>1.4630000000000001</v>
      </c>
      <c r="AU208" s="363">
        <f>Model!AU241</f>
        <v>1.9370000000000001</v>
      </c>
      <c r="AV208" s="363">
        <f>Model!AV241</f>
        <v>1.806</v>
      </c>
      <c r="AW208" s="363">
        <f>Model!AW241</f>
        <v>1.806</v>
      </c>
      <c r="AX208" s="363">
        <f>Model!AX241</f>
        <v>2.3130000000000002</v>
      </c>
      <c r="AY208" s="363">
        <f>Model!AY241</f>
        <v>2.9129999999999998</v>
      </c>
      <c r="AZ208" s="363">
        <f>Model!AZ241</f>
        <v>2.9129999999999998</v>
      </c>
      <c r="BA208" s="363">
        <f>Model!BA241</f>
        <v>3.7069999999999999</v>
      </c>
      <c r="BB208" s="363">
        <f>Model!BB241</f>
        <v>5.8339999999999996</v>
      </c>
      <c r="BC208" s="363">
        <f>Model!BC241</f>
        <v>5.8339999999999996</v>
      </c>
      <c r="BD208" s="363">
        <f>Model!BD241</f>
        <v>8.2870000000000008</v>
      </c>
      <c r="BE208" s="363">
        <f>Model!BE241</f>
        <v>6.976</v>
      </c>
      <c r="BF208" s="363">
        <f>Model!BF241</f>
        <v>6.976</v>
      </c>
      <c r="BG208" s="363">
        <f>Model!BG241</f>
        <v>14.584999999999999</v>
      </c>
      <c r="BH208" s="363">
        <f>Model!BH241</f>
        <v>11.99</v>
      </c>
      <c r="BI208" s="363">
        <f>Model!BI241</f>
        <v>11.99</v>
      </c>
      <c r="BJ208" s="363">
        <f>Model!BJ241</f>
        <v>51.292000000000002</v>
      </c>
      <c r="BK208" s="363">
        <f>Model!BK241</f>
        <v>12.963000000000001</v>
      </c>
      <c r="BL208" s="363">
        <f>Model!BL241</f>
        <v>12.963000000000001</v>
      </c>
      <c r="BM208" s="363">
        <f>Model!BM241</f>
        <v>14.226000000000001</v>
      </c>
      <c r="BN208" s="363">
        <f>Model!BN241</f>
        <v>4.1859999999999999</v>
      </c>
      <c r="BO208" s="363">
        <f>Model!BO241</f>
        <v>4.1859999999999999</v>
      </c>
      <c r="BP208" s="363">
        <f>Model!BP241</f>
        <v>12.863</v>
      </c>
      <c r="BQ208" s="363">
        <f>Model!BQ241</f>
        <v>5.92</v>
      </c>
      <c r="BR208" s="363">
        <f>Model!BR241</f>
        <v>5.92</v>
      </c>
      <c r="BS208" s="363">
        <f>Model!BS241</f>
        <v>30.96</v>
      </c>
      <c r="BT208" s="363">
        <f>Model!BT241</f>
        <v>5.39</v>
      </c>
      <c r="BU208" s="363">
        <f>Model!BU241</f>
        <v>5.39</v>
      </c>
      <c r="BV208" s="363">
        <f>Model!BV241</f>
        <v>5.6479999999999997</v>
      </c>
      <c r="BW208" s="363">
        <f>Model!BW241</f>
        <v>12.974</v>
      </c>
      <c r="BX208" s="363">
        <f>Model!BX241</f>
        <v>12.974</v>
      </c>
      <c r="BY208" s="363">
        <f>Model!BY241</f>
        <v>13.2</v>
      </c>
      <c r="BZ208" s="363">
        <f>Model!BZ241</f>
        <v>12.103</v>
      </c>
      <c r="CA208" s="363">
        <f>Model!CA241</f>
        <v>12.103</v>
      </c>
      <c r="CB208" s="363">
        <f>Model!CB241</f>
        <v>49.101000000000006</v>
      </c>
      <c r="CC208" s="363">
        <f>Model!CC241</f>
        <v>15.657</v>
      </c>
      <c r="CD208" s="363">
        <f>Model!CD241</f>
        <v>15.657</v>
      </c>
      <c r="CE208" s="363">
        <f>Model!CE243</f>
        <v>7.9489999999999998</v>
      </c>
      <c r="CF208" s="363">
        <f>IF(CG208&lt;&gt;"",CG208,"")</f>
        <v>7.9489999999999998</v>
      </c>
      <c r="CG208" s="363">
        <f>CE208</f>
        <v>7.9489999999999998</v>
      </c>
      <c r="CH208" s="363">
        <f>CG208</f>
        <v>7.9489999999999998</v>
      </c>
      <c r="CI208" s="363">
        <f>IF(CJ208&lt;&gt;"",CJ208,"")</f>
        <v>7.9489999999999998</v>
      </c>
      <c r="CJ208" s="363">
        <f>CH208</f>
        <v>7.9489999999999998</v>
      </c>
      <c r="CK208" s="363">
        <f>CJ208</f>
        <v>7.9489999999999998</v>
      </c>
      <c r="CL208" s="363">
        <f>IF(CM208&lt;&gt;"",CM208,"")</f>
        <v>7.9489999999999998</v>
      </c>
      <c r="CM208" s="363">
        <f>CK208</f>
        <v>7.9489999999999998</v>
      </c>
      <c r="CN208" s="363">
        <f>CM208</f>
        <v>7.9489999999999998</v>
      </c>
      <c r="CO208" s="363">
        <f>IF(CP208&lt;&gt;"",CP208,"")</f>
        <v>7.9489999999999998</v>
      </c>
      <c r="CP208" s="363">
        <f>CN208</f>
        <v>7.9489999999999998</v>
      </c>
      <c r="CQ208" s="363">
        <f>CP208</f>
        <v>7.9489999999999998</v>
      </c>
      <c r="CR208" s="363">
        <f>IF(CS208&lt;&gt;"",CS208,"")</f>
        <v>7.9489999999999998</v>
      </c>
      <c r="CS208" s="363">
        <f>CQ208</f>
        <v>7.9489999999999998</v>
      </c>
      <c r="CT208" s="363">
        <f>CS208</f>
        <v>7.9489999999999998</v>
      </c>
      <c r="CU208" s="363">
        <f>IF(CV208&lt;&gt;"",CV208,"")</f>
        <v>7.9489999999999998</v>
      </c>
      <c r="CV208" s="363">
        <f>CT208</f>
        <v>7.9489999999999998</v>
      </c>
      <c r="CW208" s="363">
        <f>CV208</f>
        <v>7.9489999999999998</v>
      </c>
      <c r="CX208" s="363">
        <f>IF(CY208&lt;&gt;"",CY208,"")</f>
        <v>7.9489999999999998</v>
      </c>
      <c r="CY208" s="363">
        <f>CW208</f>
        <v>7.9489999999999998</v>
      </c>
      <c r="CZ208" s="363">
        <f>CY208</f>
        <v>7.9489999999999998</v>
      </c>
      <c r="DA208" s="363">
        <f>IF(DB208&lt;&gt;"",DB208,"")</f>
        <v>7.9489999999999998</v>
      </c>
      <c r="DB208" s="363">
        <f>CZ208</f>
        <v>7.9489999999999998</v>
      </c>
      <c r="DC208" s="363">
        <f>DB208</f>
        <v>7.9489999999999998</v>
      </c>
      <c r="DD208" s="363">
        <f>IF(DE208&lt;&gt;"",DE208,"")</f>
        <v>7.9489999999999998</v>
      </c>
      <c r="DE208" s="363">
        <f>DC208</f>
        <v>7.9489999999999998</v>
      </c>
      <c r="DF208" s="363">
        <f>Model!DF243</f>
        <v>12.7</v>
      </c>
      <c r="DG208" s="363">
        <f>Model!DG243</f>
        <v>435.6</v>
      </c>
      <c r="DH208" s="363">
        <f>Model!DH243</f>
        <v>435.6</v>
      </c>
      <c r="DI208" s="363">
        <f>Model!DI243</f>
        <v>128.30000000000001</v>
      </c>
      <c r="DJ208" s="363">
        <f>IF(DK208&lt;&gt;"",DK208,"")</f>
        <v>128.30000000000001</v>
      </c>
      <c r="DK208" s="1210">
        <f>DI208</f>
        <v>128.30000000000001</v>
      </c>
      <c r="DL208" s="363">
        <f>+Model!DL243</f>
        <v>59.7</v>
      </c>
      <c r="DM208" s="363">
        <f>+Model!DM243</f>
        <v>50.3</v>
      </c>
      <c r="DN208" s="1210">
        <f>+Model!DN243</f>
        <v>50.3</v>
      </c>
      <c r="DO208" s="363">
        <f>+Model!DO243</f>
        <v>46.900000000000006</v>
      </c>
      <c r="DP208" s="363">
        <f>+Model!DP243</f>
        <v>23.7</v>
      </c>
      <c r="DQ208" s="1210">
        <f>+Model!DQ243</f>
        <v>23.7</v>
      </c>
      <c r="DR208" s="363">
        <f>+Model!DR243</f>
        <v>20.7</v>
      </c>
      <c r="DS208" s="363">
        <f>+Model!DS243</f>
        <v>19</v>
      </c>
      <c r="DT208" s="1210">
        <f>+Model!DT243</f>
        <v>19</v>
      </c>
      <c r="DU208" s="363">
        <f>+Model!DU243</f>
        <v>14.5</v>
      </c>
      <c r="DV208" s="363">
        <f>+Model!DV243</f>
        <v>18.700000000000003</v>
      </c>
      <c r="DW208" s="1210">
        <f>+Model!DW243</f>
        <v>18.700000000000003</v>
      </c>
      <c r="DX208" s="363">
        <f>Model!DX243</f>
        <v>25.3</v>
      </c>
      <c r="DY208" s="363">
        <f>IF(DZ208&lt;&gt;"",DZ208,"")</f>
        <v>25.3</v>
      </c>
      <c r="DZ208" s="1210">
        <f>DX208</f>
        <v>25.3</v>
      </c>
      <c r="EA208" s="363">
        <f>DZ208</f>
        <v>25.3</v>
      </c>
      <c r="EB208" s="363">
        <f>IF(EC208&lt;&gt;"",EC208,"")</f>
        <v>25.3</v>
      </c>
      <c r="EC208" s="1210">
        <f>EA208</f>
        <v>25.3</v>
      </c>
      <c r="ED208" s="363">
        <f>EC208</f>
        <v>25.3</v>
      </c>
      <c r="EE208" s="363">
        <f>IF(EF208&lt;&gt;"",EF208,"")</f>
        <v>25.3</v>
      </c>
      <c r="EF208" s="1210">
        <f>ED208</f>
        <v>25.3</v>
      </c>
      <c r="EG208" s="363">
        <f>EF208</f>
        <v>25.3</v>
      </c>
      <c r="EH208" s="363">
        <f>IF(EI208&lt;&gt;"",EI208,"")</f>
        <v>25.3</v>
      </c>
      <c r="EI208" s="1210">
        <f>EG208</f>
        <v>25.3</v>
      </c>
      <c r="EJ208" s="363">
        <f>EI208</f>
        <v>25.3</v>
      </c>
      <c r="EK208" s="363">
        <f>IF(EL208&lt;&gt;"",EL208,"")</f>
        <v>25.3</v>
      </c>
      <c r="EL208" s="1210">
        <f>EJ208</f>
        <v>25.3</v>
      </c>
      <c r="EM208" s="363">
        <f>EL208</f>
        <v>25.3</v>
      </c>
      <c r="EN208" s="363">
        <f>IF(EO208&lt;&gt;"",EO208,"")</f>
        <v>25.3</v>
      </c>
      <c r="EO208" s="1210">
        <f>EM208</f>
        <v>25.3</v>
      </c>
      <c r="EP208" s="363">
        <f>EO208</f>
        <v>25.3</v>
      </c>
      <c r="EQ208" s="363">
        <f>IF(ER208&lt;&gt;"",ER208,"")</f>
        <v>25.3</v>
      </c>
      <c r="ER208" s="1210">
        <f>EP208</f>
        <v>25.3</v>
      </c>
      <c r="ES208" s="363">
        <f>ER208</f>
        <v>25.3</v>
      </c>
      <c r="ET208" s="363">
        <f>IF(EU208&lt;&gt;"",EU208,"")</f>
        <v>25.3</v>
      </c>
      <c r="EU208" s="1210">
        <f>ES208</f>
        <v>25.3</v>
      </c>
      <c r="EV208" s="363">
        <f>EU208</f>
        <v>25.3</v>
      </c>
      <c r="EW208" s="363">
        <f>IF(EX208&lt;&gt;"",EX208,"")</f>
        <v>25.3</v>
      </c>
      <c r="EX208" s="1210">
        <f>EV208</f>
        <v>25.3</v>
      </c>
      <c r="EY208" s="363">
        <f>EX208</f>
        <v>25.3</v>
      </c>
      <c r="EZ208" s="363">
        <f>IF(FA208&lt;&gt;"",FA208,"")</f>
        <v>25.3</v>
      </c>
      <c r="FA208" s="363">
        <f>EY208</f>
        <v>25.3</v>
      </c>
    </row>
    <row r="209" spans="1:157" ht="13.35" customHeight="1">
      <c r="A209" s="5"/>
      <c r="B209" s="5" t="s">
        <v>75</v>
      </c>
      <c r="C209" s="5"/>
      <c r="D209" s="5"/>
      <c r="E209" s="363" t="str">
        <f>IF(Model!E246&lt;&gt;"",Model!E246,"")</f>
        <v/>
      </c>
      <c r="F209" s="363" t="str">
        <f>IF(G209&lt;&gt;"",G209,"")</f>
        <v/>
      </c>
      <c r="G209" s="363" t="str">
        <f>IF(Model!G246&lt;&gt;"",Model!G246,"")</f>
        <v/>
      </c>
      <c r="H209" s="363" t="str">
        <f>IF(Model!H246&lt;&gt;"",Model!H246,"")</f>
        <v/>
      </c>
      <c r="I209" s="363" t="str">
        <f>IF(J209&lt;&gt;"",J209,"")</f>
        <v/>
      </c>
      <c r="J209" s="363" t="str">
        <f>IF(Model!J246&lt;&gt;"",Model!J246,"")</f>
        <v/>
      </c>
      <c r="K209" s="363" t="str">
        <f>IF(Model!K246&lt;&gt;"",Model!K246,"")</f>
        <v/>
      </c>
      <c r="L209" s="363" t="str">
        <f>IF(M209&lt;&gt;"",M209,"")</f>
        <v/>
      </c>
      <c r="M209" s="363" t="str">
        <f>IF(Model!M246&lt;&gt;"",Model!M246,"")</f>
        <v/>
      </c>
      <c r="N209" s="363" t="str">
        <f>IF(Model!N246&lt;&gt;"",Model!N246,"")</f>
        <v/>
      </c>
      <c r="O209" s="363" t="str">
        <f>IF(P209&lt;&gt;"",P209,"")</f>
        <v/>
      </c>
      <c r="P209" s="363" t="str">
        <f>IF(Model!P246&lt;&gt;"",Model!P246,"")</f>
        <v/>
      </c>
      <c r="Q209" s="363" t="str">
        <f>IF(Model!Q246&lt;&gt;"",Model!Q246,"")</f>
        <v/>
      </c>
      <c r="R209" s="363" t="str">
        <f>IF(S209&lt;&gt;"",S209,"")</f>
        <v/>
      </c>
      <c r="S209" s="363" t="str">
        <f>IF(Model!S246&lt;&gt;"",Model!S246,"")</f>
        <v/>
      </c>
      <c r="T209" s="363" t="str">
        <f>IF(Model!T246&lt;&gt;"",Model!T246,"")</f>
        <v/>
      </c>
      <c r="U209" s="363" t="str">
        <f>IF(V209&lt;&gt;"",V209,"")</f>
        <v/>
      </c>
      <c r="V209" s="363" t="str">
        <f>IF(Model!V246&lt;&gt;"",Model!V246,"")</f>
        <v/>
      </c>
      <c r="W209" s="363" t="str">
        <f>IF(Model!W246&lt;&gt;"",Model!W246,"")</f>
        <v/>
      </c>
      <c r="X209" s="363" t="str">
        <f>IF(Y209&lt;&gt;"",Y209,"")</f>
        <v/>
      </c>
      <c r="Y209" s="363" t="str">
        <f>IF(Model!Y246&lt;&gt;"",Model!Y246,"")</f>
        <v/>
      </c>
      <c r="Z209" s="363" t="str">
        <f>IF(Model!Z246&lt;&gt;"",Model!Z246,"")</f>
        <v/>
      </c>
      <c r="AA209" s="363" t="str">
        <f>IF(AB209&lt;&gt;"",AB209,"")</f>
        <v/>
      </c>
      <c r="AB209" s="363" t="str">
        <f>IF(Model!AB246&lt;&gt;"",Model!AB246,"")</f>
        <v/>
      </c>
      <c r="AC209" s="363" t="str">
        <f>IF(Model!AC246&lt;&gt;"",Model!AC246,"")</f>
        <v/>
      </c>
      <c r="AD209" s="363" t="str">
        <f>IF(AE209&lt;&gt;"",AE209,"")</f>
        <v/>
      </c>
      <c r="AE209" s="363" t="str">
        <f>IF(Model!AE246&lt;&gt;"",Model!AE246,"")</f>
        <v/>
      </c>
      <c r="AF209" s="363" t="str">
        <f>IF(Model!AF246&lt;&gt;"",Model!AF246,"")</f>
        <v/>
      </c>
      <c r="AG209" s="363" t="str">
        <f>IF(AH209&lt;&gt;"",AH209,"")</f>
        <v/>
      </c>
      <c r="AH209" s="363" t="str">
        <f>IF(Model!AH246&lt;&gt;"",Model!AH246,"")</f>
        <v/>
      </c>
      <c r="AI209" s="363">
        <f>Model!AI246</f>
        <v>0.32900000000000001</v>
      </c>
      <c r="AJ209" s="363">
        <f>Model!AJ246</f>
        <v>0.38700000000000001</v>
      </c>
      <c r="AK209" s="363">
        <f>Model!AK246</f>
        <v>0.38700000000000001</v>
      </c>
      <c r="AL209" s="363">
        <f>Model!AL246</f>
        <v>0.30499999999999999</v>
      </c>
      <c r="AM209" s="363">
        <f>Model!AM246</f>
        <v>0.26700000000000002</v>
      </c>
      <c r="AN209" s="363">
        <f>Model!AN246</f>
        <v>0.26700000000000002</v>
      </c>
      <c r="AO209" s="363">
        <f>Model!AO246</f>
        <v>0.22</v>
      </c>
      <c r="AP209" s="363">
        <f>Model!AP246</f>
        <v>0.32600000000000001</v>
      </c>
      <c r="AQ209" s="363">
        <f>Model!AQ246</f>
        <v>0.32600000000000001</v>
      </c>
      <c r="AR209" s="363">
        <f>Model!AR246</f>
        <v>0.32600000000000001</v>
      </c>
      <c r="AS209" s="363">
        <f>Model!AS246</f>
        <v>0.32400000000000001</v>
      </c>
      <c r="AT209" s="363">
        <f>Model!AT246</f>
        <v>0.32400000000000001</v>
      </c>
      <c r="AU209" s="363">
        <f>Model!AU246</f>
        <v>0.38200000000000001</v>
      </c>
      <c r="AV209" s="363">
        <f>Model!AV246</f>
        <v>0.34399999999999997</v>
      </c>
      <c r="AW209" s="363">
        <f>Model!AW246</f>
        <v>0.34399999999999997</v>
      </c>
      <c r="AX209" s="363">
        <f>Model!AX246</f>
        <v>0.439</v>
      </c>
      <c r="AY209" s="363">
        <f>Model!AY246</f>
        <v>0.46300000000000002</v>
      </c>
      <c r="AZ209" s="363">
        <f>Model!AZ246</f>
        <v>0.46300000000000002</v>
      </c>
      <c r="BA209" s="363">
        <f>Model!BA246</f>
        <v>0.254</v>
      </c>
      <c r="BB209" s="363">
        <f>Model!BB246</f>
        <v>0.251</v>
      </c>
      <c r="BC209" s="363">
        <f>Model!BC246</f>
        <v>0.251</v>
      </c>
      <c r="BD209" s="363">
        <f>Model!BD246</f>
        <v>0.224</v>
      </c>
      <c r="BE209" s="363">
        <f>Model!BE246</f>
        <v>0.215</v>
      </c>
      <c r="BF209" s="363">
        <f>Model!BF246</f>
        <v>0.215</v>
      </c>
      <c r="BG209" s="363">
        <f>Model!BG246</f>
        <v>0.34899999999999998</v>
      </c>
      <c r="BH209" s="363">
        <f>Model!BH246</f>
        <v>9.7959999999999994</v>
      </c>
      <c r="BI209" s="363">
        <f>Model!BI246</f>
        <v>9.7959999999999994</v>
      </c>
      <c r="BJ209" s="363">
        <f>Model!BJ246</f>
        <v>11.782</v>
      </c>
      <c r="BK209" s="363">
        <f>Model!BK246</f>
        <v>9.6329999999999991</v>
      </c>
      <c r="BL209" s="363">
        <f>Model!BL246</f>
        <v>9.6329999999999991</v>
      </c>
      <c r="BM209" s="363">
        <f>Model!BM246</f>
        <v>11.175000000000001</v>
      </c>
      <c r="BN209" s="363">
        <f>Model!BN246</f>
        <v>9.9380000000000006</v>
      </c>
      <c r="BO209" s="363">
        <f>Model!BO246</f>
        <v>9.9380000000000006</v>
      </c>
      <c r="BP209" s="363">
        <f>Model!BP246</f>
        <v>4.4130000000000003</v>
      </c>
      <c r="BQ209" s="363">
        <f>Model!BQ246</f>
        <v>0</v>
      </c>
      <c r="BR209" s="363">
        <f>Model!BR246</f>
        <v>0</v>
      </c>
      <c r="BS209" s="363">
        <f>Model!BS246</f>
        <v>0</v>
      </c>
      <c r="BT209" s="363">
        <f>Model!BT246</f>
        <v>6.6550000000000002</v>
      </c>
      <c r="BU209" s="363">
        <f>Model!BU246</f>
        <v>6.6550000000000002</v>
      </c>
      <c r="BV209" s="363">
        <f>Model!BV246</f>
        <v>2.3559999999999999</v>
      </c>
      <c r="BW209" s="363">
        <f>Model!BW246</f>
        <v>15.962999999999999</v>
      </c>
      <c r="BX209" s="363">
        <f>Model!BX246</f>
        <v>15.962999999999999</v>
      </c>
      <c r="BY209" s="363">
        <f>BX209</f>
        <v>15.962999999999999</v>
      </c>
      <c r="BZ209" s="363">
        <f>IF(CA209&lt;&gt;"",CA209,"")</f>
        <v>15.962999999999999</v>
      </c>
      <c r="CA209" s="363">
        <f>BY209</f>
        <v>15.962999999999999</v>
      </c>
      <c r="CB209" s="363">
        <f>CA209</f>
        <v>15.962999999999999</v>
      </c>
      <c r="CC209" s="363">
        <f>IF(CD209&lt;&gt;"",CD209,"")</f>
        <v>15.962999999999999</v>
      </c>
      <c r="CD209" s="363">
        <f>CB209</f>
        <v>15.962999999999999</v>
      </c>
      <c r="CE209" s="363">
        <f>CD209</f>
        <v>15.962999999999999</v>
      </c>
      <c r="CF209" s="363">
        <f>IF(CG209&lt;&gt;"",CG209,"")</f>
        <v>15.962999999999999</v>
      </c>
      <c r="CG209" s="363">
        <f>CE209</f>
        <v>15.962999999999999</v>
      </c>
      <c r="CH209" s="363">
        <f>CG209</f>
        <v>15.962999999999999</v>
      </c>
      <c r="CI209" s="363">
        <f>IF(CJ209&lt;&gt;"",CJ209,"")</f>
        <v>15.962999999999999</v>
      </c>
      <c r="CJ209" s="363">
        <f>CH209</f>
        <v>15.962999999999999</v>
      </c>
      <c r="CK209" s="363">
        <f>CJ209</f>
        <v>15.962999999999999</v>
      </c>
      <c r="CL209" s="363">
        <f>IF(CM209&lt;&gt;"",CM209,"")</f>
        <v>15.962999999999999</v>
      </c>
      <c r="CM209" s="363">
        <f>CK209</f>
        <v>15.962999999999999</v>
      </c>
      <c r="CN209" s="363">
        <f>CM209</f>
        <v>15.962999999999999</v>
      </c>
      <c r="CO209" s="363">
        <f>IF(CP209&lt;&gt;"",CP209,"")</f>
        <v>15.962999999999999</v>
      </c>
      <c r="CP209" s="363">
        <f>CN209</f>
        <v>15.962999999999999</v>
      </c>
      <c r="CQ209" s="363">
        <f>CP209</f>
        <v>15.962999999999999</v>
      </c>
      <c r="CR209" s="363">
        <f>IF(CS209&lt;&gt;"",CS209,"")</f>
        <v>15.962999999999999</v>
      </c>
      <c r="CS209" s="363">
        <f>CQ209</f>
        <v>15.962999999999999</v>
      </c>
      <c r="CT209" s="363">
        <f>CS209</f>
        <v>15.962999999999999</v>
      </c>
      <c r="CU209" s="363">
        <f>IF(CV209&lt;&gt;"",CV209,"")</f>
        <v>15.962999999999999</v>
      </c>
      <c r="CV209" s="363">
        <f>CT209</f>
        <v>15.962999999999999</v>
      </c>
      <c r="CW209" s="363">
        <f>CV209</f>
        <v>15.962999999999999</v>
      </c>
      <c r="CX209" s="363">
        <f>IF(CY209&lt;&gt;"",CY209,"")</f>
        <v>15.962999999999999</v>
      </c>
      <c r="CY209" s="363">
        <f>CW209</f>
        <v>15.962999999999999</v>
      </c>
      <c r="CZ209" s="363">
        <f>CY209</f>
        <v>15.962999999999999</v>
      </c>
      <c r="DA209" s="363">
        <f>IF(DB209&lt;&gt;"",DB209,"")</f>
        <v>15.962999999999999</v>
      </c>
      <c r="DB209" s="363">
        <f>CZ209</f>
        <v>15.962999999999999</v>
      </c>
      <c r="DC209" s="363">
        <f>DB209</f>
        <v>15.962999999999999</v>
      </c>
      <c r="DD209" s="363">
        <f>IF(DE209&lt;&gt;"",DE209,"")</f>
        <v>15.962999999999999</v>
      </c>
      <c r="DE209" s="363">
        <f>DC209</f>
        <v>15.962999999999999</v>
      </c>
      <c r="DF209" s="363">
        <f>B_NCA_AR_H1_20</f>
        <v>9.8000000000000007</v>
      </c>
      <c r="DG209" s="363">
        <f>IF(DH209&lt;&gt;"",DH209,"")</f>
        <v>9.8000000000000007</v>
      </c>
      <c r="DH209" s="363">
        <f>DF209</f>
        <v>9.8000000000000007</v>
      </c>
      <c r="DI209" s="363">
        <f>DH209</f>
        <v>9.8000000000000007</v>
      </c>
      <c r="DJ209" s="363">
        <f>IF(DK209&lt;&gt;"",DK209,"")</f>
        <v>9.8000000000000007</v>
      </c>
      <c r="DK209" s="1210">
        <f>DI209</f>
        <v>9.8000000000000007</v>
      </c>
      <c r="DL209" s="363">
        <f>+Model!DL246</f>
        <v>60.7</v>
      </c>
      <c r="DM209" s="363">
        <f>+Model!DM246</f>
        <v>71.2</v>
      </c>
      <c r="DN209" s="1210">
        <f>+Model!DN246</f>
        <v>71.2</v>
      </c>
      <c r="DO209" s="363">
        <f>+Model!DO246</f>
        <v>86</v>
      </c>
      <c r="DP209" s="363">
        <f>+Model!DP246</f>
        <v>93.3</v>
      </c>
      <c r="DQ209" s="1210">
        <f>+Model!DQ246</f>
        <v>93.3</v>
      </c>
      <c r="DR209" s="363">
        <f>+Model!DR246</f>
        <v>102</v>
      </c>
      <c r="DS209" s="363">
        <f>+Model!DS246</f>
        <v>102.7</v>
      </c>
      <c r="DT209" s="1210">
        <f>+Model!DT246</f>
        <v>102.7</v>
      </c>
      <c r="DU209" s="363">
        <f>+Model!DU246</f>
        <v>105.8</v>
      </c>
      <c r="DV209" s="363">
        <f>+Model!DV246</f>
        <v>123.6</v>
      </c>
      <c r="DW209" s="1210">
        <f>+Model!DW246</f>
        <v>123.6</v>
      </c>
      <c r="DX209" s="363">
        <f>Model!DX246</f>
        <v>41.8</v>
      </c>
      <c r="DY209" s="363">
        <f>IF(DZ209&lt;&gt;"",DZ209,"")</f>
        <v>41.8</v>
      </c>
      <c r="DZ209" s="1210">
        <f>DX209</f>
        <v>41.8</v>
      </c>
      <c r="EA209" s="363">
        <f>DZ209</f>
        <v>41.8</v>
      </c>
      <c r="EB209" s="363">
        <f>IF(EC209&lt;&gt;"",EC209,"")</f>
        <v>41.8</v>
      </c>
      <c r="EC209" s="1210">
        <f>EA209</f>
        <v>41.8</v>
      </c>
      <c r="ED209" s="363">
        <f>EC209</f>
        <v>41.8</v>
      </c>
      <c r="EE209" s="363">
        <f>IF(EF209&lt;&gt;"",EF209,"")</f>
        <v>41.8</v>
      </c>
      <c r="EF209" s="1210">
        <f>ED209</f>
        <v>41.8</v>
      </c>
      <c r="EG209" s="363">
        <f>EF209</f>
        <v>41.8</v>
      </c>
      <c r="EH209" s="363">
        <f>IF(EI209&lt;&gt;"",EI209,"")</f>
        <v>41.8</v>
      </c>
      <c r="EI209" s="1210">
        <f>EG209</f>
        <v>41.8</v>
      </c>
      <c r="EJ209" s="363">
        <f>EI209</f>
        <v>41.8</v>
      </c>
      <c r="EK209" s="363">
        <f>IF(EL209&lt;&gt;"",EL209,"")</f>
        <v>41.8</v>
      </c>
      <c r="EL209" s="1210">
        <f>EJ209</f>
        <v>41.8</v>
      </c>
      <c r="EM209" s="363">
        <f>EL209</f>
        <v>41.8</v>
      </c>
      <c r="EN209" s="363">
        <f>IF(EO209&lt;&gt;"",EO209,"")</f>
        <v>41.8</v>
      </c>
      <c r="EO209" s="1210">
        <f>EM209</f>
        <v>41.8</v>
      </c>
      <c r="EP209" s="363">
        <f>EO209</f>
        <v>41.8</v>
      </c>
      <c r="EQ209" s="363">
        <f>IF(ER209&lt;&gt;"",ER209,"")</f>
        <v>41.8</v>
      </c>
      <c r="ER209" s="1210">
        <f>EP209</f>
        <v>41.8</v>
      </c>
      <c r="ES209" s="363">
        <f>ER209</f>
        <v>41.8</v>
      </c>
      <c r="ET209" s="363">
        <f>IF(EU209&lt;&gt;"",EU209,"")</f>
        <v>41.8</v>
      </c>
      <c r="EU209" s="1210">
        <f>ES209</f>
        <v>41.8</v>
      </c>
      <c r="EV209" s="363">
        <f>EU209</f>
        <v>41.8</v>
      </c>
      <c r="EW209" s="363">
        <f>IF(EX209&lt;&gt;"",EX209,"")</f>
        <v>41.8</v>
      </c>
      <c r="EX209" s="1210">
        <f>EV209</f>
        <v>41.8</v>
      </c>
      <c r="EY209" s="363">
        <f>EX209</f>
        <v>41.8</v>
      </c>
      <c r="EZ209" s="363">
        <f>IF(FA209&lt;&gt;"",FA209,"")</f>
        <v>41.8</v>
      </c>
      <c r="FA209" s="363">
        <f>EY209</f>
        <v>41.8</v>
      </c>
    </row>
    <row r="210" spans="1:157" ht="13.35" customHeight="1">
      <c r="A210" s="5"/>
      <c r="B210" s="5" t="s">
        <v>76</v>
      </c>
      <c r="C210" s="5"/>
      <c r="D210" s="5"/>
      <c r="E210" s="363" t="str">
        <f>IF(Model!E251&lt;&gt;"",Model!E251,"")</f>
        <v/>
      </c>
      <c r="F210" s="363" t="str">
        <f>IF(G210&lt;&gt;"",G210,"")</f>
        <v/>
      </c>
      <c r="G210" s="363" t="str">
        <f>IF(Model!G251&lt;&gt;"",Model!G251,"")</f>
        <v/>
      </c>
      <c r="H210" s="363" t="str">
        <f>IF(Model!H251&lt;&gt;"",Model!H251,"")</f>
        <v/>
      </c>
      <c r="I210" s="363" t="str">
        <f>IF(J210&lt;&gt;"",J210,"")</f>
        <v/>
      </c>
      <c r="J210" s="363" t="str">
        <f>IF(Model!J251&lt;&gt;"",Model!J251,"")</f>
        <v/>
      </c>
      <c r="K210" s="363" t="str">
        <f>IF(Model!K251&lt;&gt;"",Model!K251,"")</f>
        <v/>
      </c>
      <c r="L210" s="363" t="str">
        <f>IF(M210&lt;&gt;"",M210,"")</f>
        <v/>
      </c>
      <c r="M210" s="363" t="str">
        <f>IF(Model!M251&lt;&gt;"",Model!M251,"")</f>
        <v/>
      </c>
      <c r="N210" s="363" t="str">
        <f>IF(Model!N251&lt;&gt;"",Model!N251,"")</f>
        <v/>
      </c>
      <c r="O210" s="363" t="str">
        <f>IF(P210&lt;&gt;"",P210,"")</f>
        <v/>
      </c>
      <c r="P210" s="363" t="str">
        <f>IF(Model!P251&lt;&gt;"",Model!P251,"")</f>
        <v/>
      </c>
      <c r="Q210" s="363" t="str">
        <f>IF(Model!Q251&lt;&gt;"",Model!Q251,"")</f>
        <v/>
      </c>
      <c r="R210" s="363" t="str">
        <f>IF(S210&lt;&gt;"",S210,"")</f>
        <v/>
      </c>
      <c r="S210" s="363" t="str">
        <f>IF(Model!S251&lt;&gt;"",Model!S251,"")</f>
        <v/>
      </c>
      <c r="T210" s="363" t="str">
        <f>IF(Model!T251&lt;&gt;"",Model!T251,"")</f>
        <v/>
      </c>
      <c r="U210" s="363" t="str">
        <f>IF(V210&lt;&gt;"",V210,"")</f>
        <v/>
      </c>
      <c r="V210" s="363" t="str">
        <f>IF(Model!V251&lt;&gt;"",Model!V251,"")</f>
        <v/>
      </c>
      <c r="W210" s="363" t="str">
        <f>IF(Model!W251&lt;&gt;"",Model!W251,"")</f>
        <v/>
      </c>
      <c r="X210" s="363" t="str">
        <f>IF(Y210&lt;&gt;"",Y210,"")</f>
        <v/>
      </c>
      <c r="Y210" s="363" t="str">
        <f>IF(Model!Y251&lt;&gt;"",Model!Y251,"")</f>
        <v/>
      </c>
      <c r="Z210" s="363" t="str">
        <f>IF(Model!Z251&lt;&gt;"",Model!Z251,"")</f>
        <v/>
      </c>
      <c r="AA210" s="363" t="str">
        <f>IF(AB210&lt;&gt;"",AB210,"")</f>
        <v/>
      </c>
      <c r="AB210" s="363" t="str">
        <f>IF(Model!AB251&lt;&gt;"",Model!AB251,"")</f>
        <v/>
      </c>
      <c r="AC210" s="363" t="str">
        <f>IF(Model!AC251&lt;&gt;"",Model!AC251,"")</f>
        <v/>
      </c>
      <c r="AD210" s="363" t="str">
        <f>IF(AE210&lt;&gt;"",AE210,"")</f>
        <v/>
      </c>
      <c r="AE210" s="363" t="str">
        <f>IF(Model!AE251&lt;&gt;"",Model!AE251,"")</f>
        <v/>
      </c>
      <c r="AF210" s="363" t="str">
        <f>IF(Model!AF251&lt;&gt;"",Model!AF251,"")</f>
        <v/>
      </c>
      <c r="AG210" s="363" t="str">
        <f>IF(AH210&lt;&gt;"",AH210,"")</f>
        <v/>
      </c>
      <c r="AH210" s="363" t="str">
        <f>IF(Model!AH251&lt;&gt;"",Model!AH251,"")</f>
        <v/>
      </c>
      <c r="AI210" s="363" t="str">
        <f>IF(Model!AI251&lt;&gt;"",Model!AI251,"")</f>
        <v/>
      </c>
      <c r="AJ210" s="363" t="str">
        <f>IF(AK210&lt;&gt;"",AK210,"")</f>
        <v/>
      </c>
      <c r="AK210" s="363" t="str">
        <f>IF(Model!AK251&lt;&gt;"",Model!AK251,"")</f>
        <v/>
      </c>
      <c r="AL210" s="363" t="str">
        <f>IF(Model!AL251&lt;&gt;"",Model!AL251,"")</f>
        <v/>
      </c>
      <c r="AM210" s="363" t="str">
        <f>IF(AN210&lt;&gt;"",AN210,"")</f>
        <v/>
      </c>
      <c r="AN210" s="363" t="str">
        <f>IF(Model!AN251&lt;&gt;"",Model!AN251,"")</f>
        <v/>
      </c>
      <c r="AO210" s="363" t="str">
        <f>IF(Model!AO251&lt;&gt;"",Model!AO251,"")</f>
        <v/>
      </c>
      <c r="AP210" s="363" t="str">
        <f>IF(AQ210&lt;&gt;"",AQ210,"")</f>
        <v/>
      </c>
      <c r="AQ210" s="363" t="str">
        <f>IF(Model!AQ251&lt;&gt;"",Model!AQ251,"")</f>
        <v/>
      </c>
      <c r="AR210" s="363" t="str">
        <f>IF(Model!AR251&lt;&gt;"",Model!AR251,"")</f>
        <v/>
      </c>
      <c r="AS210" s="363" t="str">
        <f>IF(AT210&lt;&gt;"",AT210,"")</f>
        <v/>
      </c>
      <c r="AT210" s="363" t="str">
        <f>IF(Model!AT251&lt;&gt;"",Model!AT251,"")</f>
        <v/>
      </c>
      <c r="AU210" s="363" t="str">
        <f>IF(Model!AU251&lt;&gt;"",Model!AU251,"")</f>
        <v/>
      </c>
      <c r="AV210" s="363" t="str">
        <f>IF(AW210&lt;&gt;"",AW210,"")</f>
        <v/>
      </c>
      <c r="AW210" s="363" t="str">
        <f>IF(Model!AW251&lt;&gt;"",Model!AW251,"")</f>
        <v/>
      </c>
      <c r="AX210" s="363">
        <f>IF(Model!AX251&lt;&gt;"",Model!AX251,"")</f>
        <v>0</v>
      </c>
      <c r="AY210" s="363">
        <f>IF(AZ210&lt;&gt;"",AZ210,"")</f>
        <v>0</v>
      </c>
      <c r="AZ210" s="363">
        <f>IF(Model!AZ251&lt;&gt;"",Model!AZ251,"")</f>
        <v>0</v>
      </c>
      <c r="BA210" s="363">
        <f>IF(Model!BA251&lt;&gt;"",Model!BA251,"")</f>
        <v>0</v>
      </c>
      <c r="BB210" s="363">
        <f>IF(BC210&lt;&gt;"",BC210,"")</f>
        <v>0</v>
      </c>
      <c r="BC210" s="363">
        <f>IF(Model!BC251&lt;&gt;"",Model!BC251,"")</f>
        <v>0</v>
      </c>
      <c r="BD210" s="363"/>
      <c r="BE210" s="363" t="str">
        <f>IF(BF210&lt;&gt;"",BF210,"")</f>
        <v/>
      </c>
      <c r="BF210" s="363"/>
      <c r="BG210" s="363"/>
      <c r="BH210" s="363" t="str">
        <f>IF(BI210&lt;&gt;"",BI210,"")</f>
        <v/>
      </c>
      <c r="BI210" s="363"/>
      <c r="BJ210" s="363"/>
      <c r="BK210" s="363" t="str">
        <f>IF(BL210&lt;&gt;"",BL210,"")</f>
        <v/>
      </c>
      <c r="BL210" s="363"/>
      <c r="BM210" s="363"/>
      <c r="BN210" s="363" t="str">
        <f>IF(BO210&lt;&gt;"",BO210,"")</f>
        <v/>
      </c>
      <c r="BO210" s="363"/>
      <c r="BP210" s="363"/>
      <c r="BQ210" s="363" t="str">
        <f>IF(BR210&lt;&gt;"",BR210,"")</f>
        <v/>
      </c>
      <c r="BR210" s="363"/>
      <c r="BS210" s="363"/>
      <c r="BT210" s="363" t="str">
        <f>IF(BU210&lt;&gt;"",BU210,"")</f>
        <v/>
      </c>
      <c r="BU210" s="363"/>
      <c r="BV210" s="363"/>
      <c r="BW210" s="363" t="str">
        <f>IF(BX210&lt;&gt;"",BX210,"")</f>
        <v/>
      </c>
      <c r="BX210" s="363"/>
      <c r="BY210" s="363"/>
      <c r="BZ210" s="363" t="str">
        <f>IF(CA210&lt;&gt;"",CA210,"")</f>
        <v/>
      </c>
      <c r="CA210" s="363"/>
      <c r="CB210" s="363"/>
      <c r="CC210" s="363" t="str">
        <f>IF(CD210&lt;&gt;"",CD210,"")</f>
        <v/>
      </c>
      <c r="CD210" s="363"/>
      <c r="CE210" s="363"/>
      <c r="CF210" s="363" t="str">
        <f>IF(CG210&lt;&gt;"",CG210,"")</f>
        <v/>
      </c>
      <c r="CG210" s="363"/>
      <c r="CH210" s="363"/>
      <c r="CI210" s="363" t="str">
        <f>IF(CJ210&lt;&gt;"",CJ210,"")</f>
        <v/>
      </c>
      <c r="CJ210" s="363"/>
      <c r="CK210" s="363"/>
      <c r="CL210" s="363" t="str">
        <f>IF(CM210&lt;&gt;"",CM210,"")</f>
        <v/>
      </c>
      <c r="CM210" s="363"/>
      <c r="CN210" s="363"/>
      <c r="CO210" s="363" t="str">
        <f>IF(CP210&lt;&gt;"",CP210,"")</f>
        <v/>
      </c>
      <c r="CP210" s="363"/>
      <c r="CQ210" s="363"/>
      <c r="CR210" s="363" t="str">
        <f>IF(CS210&lt;&gt;"",CS210,"")</f>
        <v/>
      </c>
      <c r="CS210" s="363"/>
      <c r="CT210" s="363"/>
      <c r="CU210" s="363" t="str">
        <f>IF(CV210&lt;&gt;"",CV210,"")</f>
        <v/>
      </c>
      <c r="CV210" s="363"/>
      <c r="CW210" s="363"/>
      <c r="CX210" s="363" t="str">
        <f>IF(CY210&lt;&gt;"",CY210,"")</f>
        <v/>
      </c>
      <c r="CY210" s="363"/>
      <c r="CZ210" s="363"/>
      <c r="DA210" s="363" t="str">
        <f>IF(DB210&lt;&gt;"",DB210,"")</f>
        <v/>
      </c>
      <c r="DB210" s="363"/>
      <c r="DC210" s="363"/>
      <c r="DD210" s="363" t="str">
        <f>IF(DE210&lt;&gt;"",DE210,"")</f>
        <v/>
      </c>
      <c r="DE210" s="363"/>
      <c r="DF210" s="363"/>
      <c r="DG210" s="363" t="str">
        <f>IF(DH210&lt;&gt;"",DH210,"")</f>
        <v/>
      </c>
      <c r="DH210" s="363"/>
      <c r="DI210" s="363"/>
      <c r="DJ210" s="363" t="str">
        <f>IF(DK210&lt;&gt;"",DK210,"")</f>
        <v/>
      </c>
      <c r="DK210" s="1210"/>
      <c r="DL210" s="363"/>
      <c r="DM210" s="363" t="str">
        <f>IF(DN210&lt;&gt;"",DN210,"")</f>
        <v/>
      </c>
      <c r="DN210" s="1210"/>
      <c r="DO210" s="363"/>
      <c r="DP210" s="363" t="str">
        <f>IF(DQ210&lt;&gt;"",DQ210,"")</f>
        <v/>
      </c>
      <c r="DQ210" s="1210"/>
      <c r="DR210" s="363"/>
      <c r="DS210" s="363" t="str">
        <f>IF(DT210&lt;&gt;"",DT210,"")</f>
        <v/>
      </c>
      <c r="DT210" s="1210"/>
      <c r="DU210" s="363"/>
      <c r="DV210" s="363" t="str">
        <f>IF(DW210&lt;&gt;"",DW210,"")</f>
        <v/>
      </c>
      <c r="DW210" s="1210"/>
      <c r="DX210" s="363"/>
      <c r="DY210" s="363" t="str">
        <f>IF(DZ210&lt;&gt;"",DZ210,"")</f>
        <v/>
      </c>
      <c r="DZ210" s="1210"/>
      <c r="EA210" s="363"/>
      <c r="EB210" s="363" t="str">
        <f>IF(EC210&lt;&gt;"",EC210,"")</f>
        <v/>
      </c>
      <c r="EC210" s="1210"/>
      <c r="ED210" s="363"/>
      <c r="EE210" s="363" t="str">
        <f>IF(EF210&lt;&gt;"",EF210,"")</f>
        <v/>
      </c>
      <c r="EF210" s="1210"/>
      <c r="EG210" s="363"/>
      <c r="EH210" s="363" t="str">
        <f>IF(EI210&lt;&gt;"",EI210,"")</f>
        <v/>
      </c>
      <c r="EI210" s="1210"/>
      <c r="EJ210" s="363"/>
      <c r="EK210" s="363" t="str">
        <f>IF(EL210&lt;&gt;"",EL210,"")</f>
        <v/>
      </c>
      <c r="EL210" s="1210"/>
      <c r="EM210" s="363"/>
      <c r="EN210" s="363" t="str">
        <f>IF(EO210&lt;&gt;"",EO210,"")</f>
        <v/>
      </c>
      <c r="EO210" s="1210"/>
      <c r="EP210" s="363"/>
      <c r="EQ210" s="363" t="str">
        <f>IF(ER210&lt;&gt;"",ER210,"")</f>
        <v/>
      </c>
      <c r="ER210" s="1210"/>
      <c r="ES210" s="363"/>
      <c r="ET210" s="363" t="str">
        <f>IF(EU210&lt;&gt;"",EU210,"")</f>
        <v/>
      </c>
      <c r="EU210" s="1210"/>
      <c r="EV210" s="363"/>
      <c r="EW210" s="363" t="str">
        <f>IF(EX210&lt;&gt;"",EX210,"")</f>
        <v/>
      </c>
      <c r="EX210" s="1210"/>
      <c r="EY210" s="363"/>
      <c r="EZ210" s="363" t="str">
        <f>IF(FA210&lt;&gt;"",FA210,"")</f>
        <v/>
      </c>
      <c r="FA210" s="363"/>
    </row>
    <row r="211" spans="1:157" ht="13.35" customHeight="1">
      <c r="A211" s="5"/>
      <c r="B211" s="5" t="s">
        <v>77</v>
      </c>
      <c r="C211" s="5"/>
      <c r="D211" s="5"/>
      <c r="E211" s="363" t="str">
        <f t="shared" ref="E211:N211" si="479">IF(OR(E212&lt;&gt;"",E213&lt;&gt;"",E214&lt;&gt;""),SUM(E212:E214),"")</f>
        <v/>
      </c>
      <c r="F211" s="363" t="str">
        <f t="shared" si="479"/>
        <v/>
      </c>
      <c r="G211" s="363" t="str">
        <f t="shared" si="479"/>
        <v/>
      </c>
      <c r="H211" s="363" t="str">
        <f t="shared" si="479"/>
        <v/>
      </c>
      <c r="I211" s="363" t="str">
        <f t="shared" si="479"/>
        <v/>
      </c>
      <c r="J211" s="363" t="str">
        <f t="shared" si="479"/>
        <v/>
      </c>
      <c r="K211" s="363" t="str">
        <f t="shared" si="479"/>
        <v/>
      </c>
      <c r="L211" s="363" t="str">
        <f t="shared" si="479"/>
        <v/>
      </c>
      <c r="M211" s="363" t="str">
        <f t="shared" si="479"/>
        <v/>
      </c>
      <c r="N211" s="363" t="str">
        <f t="shared" si="479"/>
        <v/>
      </c>
      <c r="O211" s="363" t="str">
        <f t="shared" ref="O211:X211" si="480">IF(OR(O212&lt;&gt;"",O213&lt;&gt;"",O214&lt;&gt;""),SUM(O212:O214),"")</f>
        <v/>
      </c>
      <c r="P211" s="363" t="str">
        <f t="shared" si="480"/>
        <v/>
      </c>
      <c r="Q211" s="363" t="str">
        <f t="shared" si="480"/>
        <v/>
      </c>
      <c r="R211" s="363" t="str">
        <f t="shared" si="480"/>
        <v/>
      </c>
      <c r="S211" s="363" t="str">
        <f t="shared" si="480"/>
        <v/>
      </c>
      <c r="T211" s="363" t="str">
        <f t="shared" si="480"/>
        <v/>
      </c>
      <c r="U211" s="363" t="str">
        <f t="shared" si="480"/>
        <v/>
      </c>
      <c r="V211" s="363" t="str">
        <f t="shared" si="480"/>
        <v/>
      </c>
      <c r="W211" s="363" t="str">
        <f t="shared" si="480"/>
        <v/>
      </c>
      <c r="X211" s="363" t="str">
        <f t="shared" si="480"/>
        <v/>
      </c>
      <c r="Y211" s="363" t="str">
        <f t="shared" ref="Y211:AH211" si="481">IF(OR(Y212&lt;&gt;"",Y213&lt;&gt;"",Y214&lt;&gt;""),SUM(Y212:Y214),"")</f>
        <v/>
      </c>
      <c r="Z211" s="363" t="str">
        <f t="shared" si="481"/>
        <v/>
      </c>
      <c r="AA211" s="363" t="str">
        <f t="shared" si="481"/>
        <v/>
      </c>
      <c r="AB211" s="363" t="str">
        <f t="shared" si="481"/>
        <v/>
      </c>
      <c r="AC211" s="363" t="str">
        <f t="shared" si="481"/>
        <v/>
      </c>
      <c r="AD211" s="363" t="str">
        <f t="shared" si="481"/>
        <v/>
      </c>
      <c r="AE211" s="363" t="str">
        <f t="shared" si="481"/>
        <v/>
      </c>
      <c r="AF211" s="363" t="str">
        <f t="shared" si="481"/>
        <v/>
      </c>
      <c r="AG211" s="363" t="str">
        <f t="shared" si="481"/>
        <v/>
      </c>
      <c r="AH211" s="363" t="str">
        <f t="shared" si="481"/>
        <v/>
      </c>
      <c r="AI211" s="363">
        <f t="shared" ref="AI211:AU211" si="482">IF(OR(AI212&lt;&gt;"",AI213&lt;&gt;"",AI214&lt;&gt;""),SUM(AI212:AI214),"")</f>
        <v>5.1470000000000002</v>
      </c>
      <c r="AJ211" s="363">
        <f t="shared" si="482"/>
        <v>5.7960000000000003</v>
      </c>
      <c r="AK211" s="363">
        <f t="shared" si="482"/>
        <v>5.7960000000000003</v>
      </c>
      <c r="AL211" s="363">
        <f t="shared" si="482"/>
        <v>5.6360000000000001</v>
      </c>
      <c r="AM211" s="363">
        <f t="shared" si="482"/>
        <v>6.548</v>
      </c>
      <c r="AN211" s="363">
        <f t="shared" si="482"/>
        <v>6.548</v>
      </c>
      <c r="AO211" s="363">
        <f t="shared" si="482"/>
        <v>6.9729999999999999</v>
      </c>
      <c r="AP211" s="363">
        <f t="shared" si="482"/>
        <v>6.4790000000000001</v>
      </c>
      <c r="AQ211" s="363">
        <f t="shared" si="482"/>
        <v>6.4790000000000001</v>
      </c>
      <c r="AR211" s="363">
        <f t="shared" si="482"/>
        <v>7.2489999999999997</v>
      </c>
      <c r="AS211" s="363">
        <f t="shared" si="482"/>
        <v>9.4789999999999992</v>
      </c>
      <c r="AT211" s="363">
        <f t="shared" si="482"/>
        <v>9.4789999999999992</v>
      </c>
      <c r="AU211" s="363">
        <f t="shared" si="482"/>
        <v>10.98</v>
      </c>
      <c r="AV211" s="363">
        <f t="shared" ref="AV211:BC211" si="483">IF(OR(AV212&lt;&gt;"",AV213&lt;&gt;"",AV214&lt;&gt;""),SUM(AV212:AV214),"")</f>
        <v>11.362</v>
      </c>
      <c r="AW211" s="363">
        <f t="shared" si="483"/>
        <v>11.362</v>
      </c>
      <c r="AX211" s="363">
        <f t="shared" si="483"/>
        <v>11.583</v>
      </c>
      <c r="AY211" s="363">
        <f t="shared" si="483"/>
        <v>11.026</v>
      </c>
      <c r="AZ211" s="363">
        <f t="shared" si="483"/>
        <v>11.026</v>
      </c>
      <c r="BA211" s="363">
        <f t="shared" si="483"/>
        <v>13.195</v>
      </c>
      <c r="BB211" s="363">
        <f t="shared" si="483"/>
        <v>9.8179999999999996</v>
      </c>
      <c r="BC211" s="363">
        <f t="shared" si="483"/>
        <v>9.8179999999999996</v>
      </c>
      <c r="BD211" s="363">
        <f t="shared" ref="BD211:BO211" si="484">IF(OR(BD212&lt;&gt;"",BD213&lt;&gt;"",BD214&lt;&gt;""),SUM(BD212:BD214),"")</f>
        <v>10.244999999999999</v>
      </c>
      <c r="BE211" s="363">
        <f t="shared" si="484"/>
        <v>12.109</v>
      </c>
      <c r="BF211" s="363">
        <f t="shared" si="484"/>
        <v>12.109</v>
      </c>
      <c r="BG211" s="363">
        <f t="shared" si="484"/>
        <v>14.446</v>
      </c>
      <c r="BH211" s="363">
        <f t="shared" si="484"/>
        <v>13.965</v>
      </c>
      <c r="BI211" s="363">
        <f t="shared" si="484"/>
        <v>13.965</v>
      </c>
      <c r="BJ211" s="363">
        <f t="shared" si="484"/>
        <v>11.092000000000001</v>
      </c>
      <c r="BK211" s="363">
        <f t="shared" si="484"/>
        <v>17.791</v>
      </c>
      <c r="BL211" s="363">
        <f t="shared" si="484"/>
        <v>17.791</v>
      </c>
      <c r="BM211" s="363">
        <f t="shared" si="484"/>
        <v>19.466000000000001</v>
      </c>
      <c r="BN211" s="363">
        <f t="shared" si="484"/>
        <v>22.463999999999999</v>
      </c>
      <c r="BO211" s="363">
        <f t="shared" si="484"/>
        <v>22.463999999999999</v>
      </c>
      <c r="BP211" s="363">
        <f t="shared" ref="BP211:DK211" si="485">IF(OR(BP212&lt;&gt;"",BP213&lt;&gt;"",BP214&lt;&gt;""),SUM(BP212:BP214),"")</f>
        <v>26.61</v>
      </c>
      <c r="BQ211" s="363">
        <f t="shared" si="485"/>
        <v>30.266999999999999</v>
      </c>
      <c r="BR211" s="363">
        <f t="shared" si="485"/>
        <v>30.266999999999999</v>
      </c>
      <c r="BS211" s="363">
        <f t="shared" si="485"/>
        <v>29.751000000000001</v>
      </c>
      <c r="BT211" s="363">
        <f t="shared" si="485"/>
        <v>18.510999999999999</v>
      </c>
      <c r="BU211" s="363">
        <f t="shared" si="485"/>
        <v>18.510999999999999</v>
      </c>
      <c r="BV211" s="363">
        <f t="shared" si="485"/>
        <v>29.888999999999999</v>
      </c>
      <c r="BW211" s="363">
        <f t="shared" si="485"/>
        <v>17.678999999999998</v>
      </c>
      <c r="BX211" s="363">
        <f t="shared" si="485"/>
        <v>17.678999999999998</v>
      </c>
      <c r="BY211" s="363">
        <f t="shared" si="485"/>
        <v>70.319999999999993</v>
      </c>
      <c r="BZ211" s="363">
        <f t="shared" si="485"/>
        <v>21.899000000000001</v>
      </c>
      <c r="CA211" s="363">
        <f t="shared" si="485"/>
        <v>21.899000000000001</v>
      </c>
      <c r="CB211" s="363">
        <f t="shared" si="485"/>
        <v>22.097999999999999</v>
      </c>
      <c r="CC211" s="363">
        <f t="shared" si="485"/>
        <v>17.251999999999999</v>
      </c>
      <c r="CD211" s="363">
        <f t="shared" si="485"/>
        <v>17.251999999999999</v>
      </c>
      <c r="CE211" s="363">
        <f t="shared" si="485"/>
        <v>15.02</v>
      </c>
      <c r="CF211" s="363">
        <f t="shared" si="485"/>
        <v>16.071999999999999</v>
      </c>
      <c r="CG211" s="363">
        <f t="shared" si="485"/>
        <v>16.071999999999999</v>
      </c>
      <c r="CH211" s="363">
        <f t="shared" si="485"/>
        <v>37.718000000000004</v>
      </c>
      <c r="CI211" s="363">
        <f t="shared" si="485"/>
        <v>0</v>
      </c>
      <c r="CJ211" s="363">
        <f t="shared" si="485"/>
        <v>0</v>
      </c>
      <c r="CK211" s="363">
        <f t="shared" si="485"/>
        <v>42.232999999999997</v>
      </c>
      <c r="CL211" s="363">
        <f t="shared" si="485"/>
        <v>56.662999999999997</v>
      </c>
      <c r="CM211" s="363">
        <f t="shared" si="485"/>
        <v>56.662999999999997</v>
      </c>
      <c r="CN211" s="363">
        <f t="shared" si="485"/>
        <v>65.888999999999996</v>
      </c>
      <c r="CO211" s="363">
        <f t="shared" si="485"/>
        <v>52.761000000000003</v>
      </c>
      <c r="CP211" s="363">
        <f t="shared" si="485"/>
        <v>52.761000000000003</v>
      </c>
      <c r="CQ211" s="363">
        <f t="shared" si="485"/>
        <v>72.403000000000006</v>
      </c>
      <c r="CR211" s="363">
        <f t="shared" si="485"/>
        <v>68.716999999999999</v>
      </c>
      <c r="CS211" s="363">
        <f t="shared" si="485"/>
        <v>68.716999999999999</v>
      </c>
      <c r="CT211" s="363">
        <f t="shared" si="485"/>
        <v>78.557000000000002</v>
      </c>
      <c r="CU211" s="363">
        <f t="shared" si="485"/>
        <v>77.144000000000005</v>
      </c>
      <c r="CV211" s="363">
        <f t="shared" si="485"/>
        <v>77.144000000000005</v>
      </c>
      <c r="CW211" s="363">
        <f t="shared" si="485"/>
        <v>85.126999999999995</v>
      </c>
      <c r="CX211" s="363">
        <f t="shared" si="485"/>
        <v>66.585999999999999</v>
      </c>
      <c r="CY211" s="363">
        <f t="shared" si="485"/>
        <v>66.585999999999999</v>
      </c>
      <c r="CZ211" s="363">
        <f t="shared" si="485"/>
        <v>74.8</v>
      </c>
      <c r="DA211" s="363">
        <f t="shared" si="485"/>
        <v>80.7</v>
      </c>
      <c r="DB211" s="363">
        <f t="shared" si="485"/>
        <v>80.7</v>
      </c>
      <c r="DC211" s="363">
        <f t="shared" si="485"/>
        <v>97</v>
      </c>
      <c r="DD211" s="363">
        <f t="shared" si="485"/>
        <v>100.1</v>
      </c>
      <c r="DE211" s="363">
        <f t="shared" si="485"/>
        <v>100.1</v>
      </c>
      <c r="DF211" s="363">
        <f t="shared" si="485"/>
        <v>108.3</v>
      </c>
      <c r="DG211" s="363">
        <f t="shared" si="485"/>
        <v>147.1</v>
      </c>
      <c r="DH211" s="363">
        <f t="shared" si="485"/>
        <v>147.1</v>
      </c>
      <c r="DI211" s="363">
        <f t="shared" si="485"/>
        <v>179.8</v>
      </c>
      <c r="DJ211" s="363">
        <f t="shared" si="485"/>
        <v>146.80000000000001</v>
      </c>
      <c r="DK211" s="1210">
        <f t="shared" si="485"/>
        <v>146.80000000000001</v>
      </c>
      <c r="DL211" s="363">
        <f t="shared" ref="DL211:DQ211" si="486">IF(OR(DL212&lt;&gt;"",DL213&lt;&gt;"",DL214&lt;&gt;""),SUM(DL212:DL214),"")</f>
        <v>165.5</v>
      </c>
      <c r="DM211" s="363">
        <f t="shared" si="486"/>
        <v>116.1</v>
      </c>
      <c r="DN211" s="1210">
        <f t="shared" si="486"/>
        <v>116.1</v>
      </c>
      <c r="DO211" s="363">
        <f t="shared" si="486"/>
        <v>128.5</v>
      </c>
      <c r="DP211" s="363">
        <f t="shared" si="486"/>
        <v>128.80000000000001</v>
      </c>
      <c r="DQ211" s="1210">
        <f t="shared" si="486"/>
        <v>128.80000000000001</v>
      </c>
      <c r="DR211" s="363">
        <f t="shared" ref="DR211:DU211" si="487">IF(OR(DR212&lt;&gt;"",DR213&lt;&gt;"",DR214&lt;&gt;""),SUM(DR212:DR214),"")</f>
        <v>130.30000000000001</v>
      </c>
      <c r="DS211" s="363">
        <f t="shared" si="487"/>
        <v>141.6</v>
      </c>
      <c r="DT211" s="1210">
        <f t="shared" si="487"/>
        <v>141.6</v>
      </c>
      <c r="DU211" s="363">
        <f t="shared" si="487"/>
        <v>173.1</v>
      </c>
      <c r="DV211" s="363">
        <f t="shared" ref="DV211:DW211" si="488">IF(OR(DV212&lt;&gt;"",DV213&lt;&gt;"",DV214&lt;&gt;""),SUM(DV212:DV214),"")</f>
        <v>170.7</v>
      </c>
      <c r="DW211" s="1210">
        <f t="shared" si="488"/>
        <v>170.7</v>
      </c>
      <c r="DX211" s="363">
        <f t="shared" ref="DX211:EF211" si="489">IF(OR(DX212&lt;&gt;"",DX213&lt;&gt;"",DX214&lt;&gt;""),SUM(DX212:DX214),"")</f>
        <v>298.79999999999995</v>
      </c>
      <c r="DY211" s="363">
        <f t="shared" si="489"/>
        <v>298.79999999999995</v>
      </c>
      <c r="DZ211" s="1210">
        <f t="shared" si="489"/>
        <v>298.79999999999995</v>
      </c>
      <c r="EA211" s="363">
        <f t="shared" si="489"/>
        <v>298.79999999999995</v>
      </c>
      <c r="EB211" s="363">
        <f t="shared" si="489"/>
        <v>298.79999999999995</v>
      </c>
      <c r="EC211" s="1210">
        <f t="shared" si="489"/>
        <v>298.79999999999995</v>
      </c>
      <c r="ED211" s="363">
        <f t="shared" si="489"/>
        <v>298.79999999999995</v>
      </c>
      <c r="EE211" s="363">
        <f t="shared" si="489"/>
        <v>298.79999999999995</v>
      </c>
      <c r="EF211" s="1210">
        <f t="shared" si="489"/>
        <v>298.79999999999995</v>
      </c>
      <c r="EG211" s="363">
        <f t="shared" ref="EG211:EL211" si="490">IF(OR(EG212&lt;&gt;"",EG213&lt;&gt;"",EG214&lt;&gt;""),SUM(EG212:EG214),"")</f>
        <v>298.79999999999995</v>
      </c>
      <c r="EH211" s="363">
        <f t="shared" si="490"/>
        <v>298.79999999999995</v>
      </c>
      <c r="EI211" s="1210">
        <f t="shared" si="490"/>
        <v>298.79999999999995</v>
      </c>
      <c r="EJ211" s="363">
        <f t="shared" si="490"/>
        <v>298.79999999999995</v>
      </c>
      <c r="EK211" s="363">
        <f t="shared" si="490"/>
        <v>298.79999999999995</v>
      </c>
      <c r="EL211" s="1210">
        <f t="shared" si="490"/>
        <v>298.79999999999995</v>
      </c>
      <c r="EM211" s="363">
        <f t="shared" ref="EM211:ER211" si="491">IF(OR(EM212&lt;&gt;"",EM213&lt;&gt;"",EM214&lt;&gt;""),SUM(EM212:EM214),"")</f>
        <v>298.79999999999995</v>
      </c>
      <c r="EN211" s="363">
        <f t="shared" si="491"/>
        <v>298.79999999999995</v>
      </c>
      <c r="EO211" s="1210">
        <f t="shared" si="491"/>
        <v>298.79999999999995</v>
      </c>
      <c r="EP211" s="363">
        <f t="shared" si="491"/>
        <v>298.79999999999995</v>
      </c>
      <c r="EQ211" s="363">
        <f t="shared" si="491"/>
        <v>298.79999999999995</v>
      </c>
      <c r="ER211" s="1210">
        <f t="shared" si="491"/>
        <v>298.79999999999995</v>
      </c>
      <c r="ES211" s="363">
        <f t="shared" ref="ES211:EX211" si="492">IF(OR(ES212&lt;&gt;"",ES213&lt;&gt;"",ES214&lt;&gt;""),SUM(ES212:ES214),"")</f>
        <v>298.79999999999995</v>
      </c>
      <c r="ET211" s="363">
        <f t="shared" si="492"/>
        <v>298.79999999999995</v>
      </c>
      <c r="EU211" s="1210">
        <f t="shared" si="492"/>
        <v>298.79999999999995</v>
      </c>
      <c r="EV211" s="363">
        <f t="shared" si="492"/>
        <v>298.79999999999995</v>
      </c>
      <c r="EW211" s="363">
        <f t="shared" si="492"/>
        <v>298.79999999999995</v>
      </c>
      <c r="EX211" s="1210">
        <f t="shared" si="492"/>
        <v>298.79999999999995</v>
      </c>
      <c r="EY211" s="363">
        <f t="shared" ref="EY211:FA211" si="493">IF(OR(EY212&lt;&gt;"",EY213&lt;&gt;"",EY214&lt;&gt;""),SUM(EY212:EY214),"")</f>
        <v>298.79999999999995</v>
      </c>
      <c r="EZ211" s="363">
        <f t="shared" si="493"/>
        <v>298.79999999999995</v>
      </c>
      <c r="FA211" s="363">
        <f t="shared" si="493"/>
        <v>298.79999999999995</v>
      </c>
    </row>
    <row r="212" spans="1:157" ht="13.35" customHeight="1">
      <c r="A212" s="5"/>
      <c r="B212" s="5" t="s">
        <v>78</v>
      </c>
      <c r="C212" s="5"/>
      <c r="D212" s="5"/>
      <c r="E212" s="363" t="str">
        <f>IF(Model!E259&lt;&gt;"",Model!E259,"")</f>
        <v/>
      </c>
      <c r="F212" s="363" t="str">
        <f>IF(G212&lt;&gt;"",G212,"")</f>
        <v/>
      </c>
      <c r="G212" s="363" t="str">
        <f>IF(Model!G259&lt;&gt;"",Model!G259,"")</f>
        <v/>
      </c>
      <c r="H212" s="363" t="str">
        <f>IF(Model!H259&lt;&gt;"",Model!H259,"")</f>
        <v/>
      </c>
      <c r="I212" s="363" t="str">
        <f>IF(J212&lt;&gt;"",J212,"")</f>
        <v/>
      </c>
      <c r="J212" s="363" t="str">
        <f>IF(Model!J259&lt;&gt;"",Model!J259,"")</f>
        <v/>
      </c>
      <c r="K212" s="363" t="str">
        <f>IF(Model!K259&lt;&gt;"",Model!K259,"")</f>
        <v/>
      </c>
      <c r="L212" s="363" t="str">
        <f>IF(M212&lt;&gt;"",M212,"")</f>
        <v/>
      </c>
      <c r="M212" s="363" t="str">
        <f>IF(Model!M259&lt;&gt;"",Model!M259,"")</f>
        <v/>
      </c>
      <c r="N212" s="363" t="str">
        <f>IF(Model!N259&lt;&gt;"",Model!N259,"")</f>
        <v/>
      </c>
      <c r="O212" s="363" t="str">
        <f>IF(P212&lt;&gt;"",P212,"")</f>
        <v/>
      </c>
      <c r="P212" s="363" t="str">
        <f>IF(Model!P259&lt;&gt;"",Model!P259,"")</f>
        <v/>
      </c>
      <c r="Q212" s="363" t="str">
        <f>IF(Model!Q259&lt;&gt;"",Model!Q259,"")</f>
        <v/>
      </c>
      <c r="R212" s="363" t="str">
        <f>IF(S212&lt;&gt;"",S212,"")</f>
        <v/>
      </c>
      <c r="S212" s="363" t="str">
        <f>IF(Model!S259&lt;&gt;"",Model!S259,"")</f>
        <v/>
      </c>
      <c r="T212" s="363" t="str">
        <f>IF(Model!T259&lt;&gt;"",Model!T259,"")</f>
        <v/>
      </c>
      <c r="U212" s="363" t="str">
        <f>IF(V212&lt;&gt;"",V212,"")</f>
        <v/>
      </c>
      <c r="V212" s="363" t="str">
        <f>IF(Model!V259&lt;&gt;"",Model!V259,"")</f>
        <v/>
      </c>
      <c r="W212" s="363" t="str">
        <f>IF(Model!W259&lt;&gt;"",Model!W259,"")</f>
        <v/>
      </c>
      <c r="X212" s="363" t="str">
        <f>IF(Y212&lt;&gt;"",Y212,"")</f>
        <v/>
      </c>
      <c r="Y212" s="363" t="str">
        <f>IF(Model!Y259&lt;&gt;"",Model!Y259,"")</f>
        <v/>
      </c>
      <c r="Z212" s="363" t="str">
        <f>IF(Model!Z259&lt;&gt;"",Model!Z259,"")</f>
        <v/>
      </c>
      <c r="AA212" s="363" t="str">
        <f>IF(AB212&lt;&gt;"",AB212,"")</f>
        <v/>
      </c>
      <c r="AB212" s="363" t="str">
        <f>IF(Model!AB259&lt;&gt;"",Model!AB259,"")</f>
        <v/>
      </c>
      <c r="AC212" s="363" t="str">
        <f>IF(Model!AC259&lt;&gt;"",Model!AC259,"")</f>
        <v/>
      </c>
      <c r="AD212" s="363" t="str">
        <f>IF(AE212&lt;&gt;"",AE212,"")</f>
        <v/>
      </c>
      <c r="AE212" s="363" t="str">
        <f>IF(Model!AE259&lt;&gt;"",Model!AE259,"")</f>
        <v/>
      </c>
      <c r="AF212" s="363" t="str">
        <f>IF(Model!AF259&lt;&gt;"",Model!AF259,"")</f>
        <v/>
      </c>
      <c r="AG212" s="363" t="str">
        <f>IF(AH212&lt;&gt;"",AH212,"")</f>
        <v/>
      </c>
      <c r="AH212" s="363" t="str">
        <f>IF(Model!AH259&lt;&gt;"",Model!AH259,"")</f>
        <v/>
      </c>
      <c r="AI212" s="363" t="str">
        <f>IF(Model!AI259&lt;&gt;"",Model!AI259,"")</f>
        <v/>
      </c>
      <c r="AJ212" s="363" t="str">
        <f>IF(AK212&lt;&gt;"",AK212,"")</f>
        <v/>
      </c>
      <c r="AK212" s="363" t="str">
        <f>IF(Model!AK259&lt;&gt;"",Model!AK259,"")</f>
        <v/>
      </c>
      <c r="AL212" s="363" t="str">
        <f>IF(Model!AL259&lt;&gt;"",Model!AL259,"")</f>
        <v/>
      </c>
      <c r="AM212" s="363" t="str">
        <f>IF(AN212&lt;&gt;"",AN212,"")</f>
        <v/>
      </c>
      <c r="AN212" s="363" t="str">
        <f>IF(Model!AN259&lt;&gt;"",Model!AN259,"")</f>
        <v/>
      </c>
      <c r="AO212" s="363" t="str">
        <f>IF(Model!AO259&lt;&gt;"",Model!AO259,"")</f>
        <v/>
      </c>
      <c r="AP212" s="363" t="str">
        <f>IF(AQ212&lt;&gt;"",AQ212,"")</f>
        <v/>
      </c>
      <c r="AQ212" s="363" t="str">
        <f>IF(Model!AQ259&lt;&gt;"",Model!AQ259,"")</f>
        <v/>
      </c>
      <c r="AR212" s="363" t="str">
        <f>IF(Model!AR259&lt;&gt;"",Model!AR259,"")</f>
        <v/>
      </c>
      <c r="AS212" s="363" t="str">
        <f>IF(AT212&lt;&gt;"",AT212,"")</f>
        <v/>
      </c>
      <c r="AT212" s="363" t="str">
        <f>IF(Model!AT259&lt;&gt;"",Model!AT259,"")</f>
        <v/>
      </c>
      <c r="AU212" s="363" t="str">
        <f>IF(Model!AU259&lt;&gt;"",Model!AU259,"")</f>
        <v/>
      </c>
      <c r="AV212" s="363" t="str">
        <f>IF(AW212&lt;&gt;"",AW212,"")</f>
        <v/>
      </c>
      <c r="AW212" s="363" t="str">
        <f>IF(Model!AW259&lt;&gt;"",Model!AW259,"")</f>
        <v/>
      </c>
      <c r="AX212" s="363">
        <f>IF(Model!AX259&lt;&gt;"",Model!AX259,"")</f>
        <v>0</v>
      </c>
      <c r="AY212" s="363">
        <f>IF(AZ212&lt;&gt;"",AZ212,"")</f>
        <v>0</v>
      </c>
      <c r="AZ212" s="363">
        <f>IF(Model!AZ259&lt;&gt;"",Model!AZ259,"")</f>
        <v>0</v>
      </c>
      <c r="BA212" s="363">
        <f>IF(Model!BA259&lt;&gt;"",Model!BA259,"")</f>
        <v>0</v>
      </c>
      <c r="BB212" s="363">
        <f>IF(BC212&lt;&gt;"",BC212,"")</f>
        <v>0</v>
      </c>
      <c r="BC212" s="363">
        <f>IF(Model!BC259&lt;&gt;"",Model!BC259,"")</f>
        <v>0</v>
      </c>
      <c r="BD212" s="363"/>
      <c r="BE212" s="363" t="str">
        <f>IF(BF212&lt;&gt;"",BF212,"")</f>
        <v/>
      </c>
      <c r="BF212" s="363"/>
      <c r="BG212" s="363"/>
      <c r="BH212" s="363" t="str">
        <f>IF(BI212&lt;&gt;"",BI212,"")</f>
        <v/>
      </c>
      <c r="BI212" s="363"/>
      <c r="BJ212" s="363"/>
      <c r="BK212" s="363" t="str">
        <f>IF(BL212&lt;&gt;"",BL212,"")</f>
        <v/>
      </c>
      <c r="BL212" s="363"/>
      <c r="BM212" s="363"/>
      <c r="BN212" s="363" t="str">
        <f>IF(BO212&lt;&gt;"",BO212,"")</f>
        <v/>
      </c>
      <c r="BO212" s="363"/>
      <c r="BP212" s="363"/>
      <c r="BQ212" s="363" t="str">
        <f>IF(BR212&lt;&gt;"",BR212,"")</f>
        <v/>
      </c>
      <c r="BR212" s="363"/>
      <c r="BS212" s="363"/>
      <c r="BT212" s="363" t="str">
        <f>IF(BU212&lt;&gt;"",BU212,"")</f>
        <v/>
      </c>
      <c r="BU212" s="363"/>
      <c r="BV212" s="363"/>
      <c r="BW212" s="363" t="str">
        <f>IF(BX212&lt;&gt;"",BX212,"")</f>
        <v/>
      </c>
      <c r="BX212" s="363"/>
      <c r="BY212" s="363"/>
      <c r="BZ212" s="363" t="str">
        <f>IF(CA212&lt;&gt;"",CA212,"")</f>
        <v/>
      </c>
      <c r="CA212" s="363"/>
      <c r="CB212" s="363"/>
      <c r="CC212" s="363" t="str">
        <f>IF(CD212&lt;&gt;"",CD212,"")</f>
        <v/>
      </c>
      <c r="CD212" s="363"/>
      <c r="CE212" s="363"/>
      <c r="CF212" s="363" t="str">
        <f>IF(CG212&lt;&gt;"",CG212,"")</f>
        <v/>
      </c>
      <c r="CG212" s="363"/>
      <c r="CH212" s="363"/>
      <c r="CI212" s="363" t="str">
        <f>IF(CJ212&lt;&gt;"",CJ212,"")</f>
        <v/>
      </c>
      <c r="CJ212" s="363"/>
      <c r="CK212" s="363"/>
      <c r="CL212" s="363" t="str">
        <f>IF(CM212&lt;&gt;"",CM212,"")</f>
        <v/>
      </c>
      <c r="CM212" s="363"/>
      <c r="CN212" s="363"/>
      <c r="CO212" s="363" t="str">
        <f>IF(CP212&lt;&gt;"",CP212,"")</f>
        <v/>
      </c>
      <c r="CP212" s="363"/>
      <c r="CQ212" s="363"/>
      <c r="CR212" s="363" t="str">
        <f>IF(CS212&lt;&gt;"",CS212,"")</f>
        <v/>
      </c>
      <c r="CS212" s="363"/>
      <c r="CT212" s="363"/>
      <c r="CU212" s="363" t="str">
        <f>IF(CV212&lt;&gt;"",CV212,"")</f>
        <v/>
      </c>
      <c r="CV212" s="363"/>
      <c r="CW212" s="363"/>
      <c r="CX212" s="363" t="str">
        <f>IF(CY212&lt;&gt;"",CY212,"")</f>
        <v/>
      </c>
      <c r="CY212" s="363"/>
      <c r="CZ212" s="363"/>
      <c r="DA212" s="363" t="str">
        <f>IF(DB212&lt;&gt;"",DB212,"")</f>
        <v/>
      </c>
      <c r="DB212" s="363"/>
      <c r="DC212" s="363"/>
      <c r="DD212" s="363" t="str">
        <f>IF(DE212&lt;&gt;"",DE212,"")</f>
        <v/>
      </c>
      <c r="DE212" s="363"/>
      <c r="DF212" s="363"/>
      <c r="DG212" s="363" t="str">
        <f>IF(DH212&lt;&gt;"",DH212,"")</f>
        <v/>
      </c>
      <c r="DH212" s="363"/>
      <c r="DI212" s="363"/>
      <c r="DJ212" s="363" t="str">
        <f>IF(DK212&lt;&gt;"",DK212,"")</f>
        <v/>
      </c>
      <c r="DK212" s="1210"/>
      <c r="DL212" s="363"/>
      <c r="DM212" s="363" t="str">
        <f>IF(DN212&lt;&gt;"",DN212,"")</f>
        <v/>
      </c>
      <c r="DN212" s="1210"/>
      <c r="DO212" s="363"/>
      <c r="DP212" s="363" t="str">
        <f>IF(DQ212&lt;&gt;"",DQ212,"")</f>
        <v/>
      </c>
      <c r="DQ212" s="1210"/>
      <c r="DR212" s="363"/>
      <c r="DS212" s="363" t="str">
        <f>IF(DT212&lt;&gt;"",DT212,"")</f>
        <v/>
      </c>
      <c r="DT212" s="1210"/>
      <c r="DU212" s="363"/>
      <c r="DV212" s="363" t="str">
        <f>IF(DW212&lt;&gt;"",DW212,"")</f>
        <v/>
      </c>
      <c r="DW212" s="1210"/>
      <c r="DX212" s="363"/>
      <c r="DY212" s="363" t="str">
        <f>IF(DZ212&lt;&gt;"",DZ212,"")</f>
        <v/>
      </c>
      <c r="DZ212" s="1210"/>
      <c r="EA212" s="363"/>
      <c r="EB212" s="363" t="str">
        <f>IF(EC212&lt;&gt;"",EC212,"")</f>
        <v/>
      </c>
      <c r="EC212" s="1210"/>
      <c r="ED212" s="363"/>
      <c r="EE212" s="363" t="str">
        <f>IF(EF212&lt;&gt;"",EF212,"")</f>
        <v/>
      </c>
      <c r="EF212" s="1210"/>
      <c r="EG212" s="363"/>
      <c r="EH212" s="363" t="str">
        <f>IF(EI212&lt;&gt;"",EI212,"")</f>
        <v/>
      </c>
      <c r="EI212" s="1210"/>
      <c r="EJ212" s="363"/>
      <c r="EK212" s="363" t="str">
        <f>IF(EL212&lt;&gt;"",EL212,"")</f>
        <v/>
      </c>
      <c r="EL212" s="1210"/>
      <c r="EM212" s="363"/>
      <c r="EN212" s="363" t="str">
        <f>IF(EO212&lt;&gt;"",EO212,"")</f>
        <v/>
      </c>
      <c r="EO212" s="1210"/>
      <c r="EP212" s="363"/>
      <c r="EQ212" s="363" t="str">
        <f>IF(ER212&lt;&gt;"",ER212,"")</f>
        <v/>
      </c>
      <c r="ER212" s="1210"/>
      <c r="ES212" s="363"/>
      <c r="ET212" s="363" t="str">
        <f>IF(EU212&lt;&gt;"",EU212,"")</f>
        <v/>
      </c>
      <c r="EU212" s="1210"/>
      <c r="EV212" s="363"/>
      <c r="EW212" s="363" t="str">
        <f>IF(EX212&lt;&gt;"",EX212,"")</f>
        <v/>
      </c>
      <c r="EX212" s="1210"/>
      <c r="EY212" s="363"/>
      <c r="EZ212" s="363" t="str">
        <f>IF(FA212&lt;&gt;"",FA212,"")</f>
        <v/>
      </c>
      <c r="FA212" s="363"/>
    </row>
    <row r="213" spans="1:157" ht="13.35" customHeight="1">
      <c r="A213" s="5"/>
      <c r="B213" s="5" t="s">
        <v>79</v>
      </c>
      <c r="C213" s="5"/>
      <c r="D213" s="5"/>
      <c r="E213" s="363" t="str">
        <f>IF(Model!E260&lt;&gt;"",Model!E260,"")</f>
        <v/>
      </c>
      <c r="F213" s="363" t="str">
        <f>IF(G213&lt;&gt;"",G213,"")</f>
        <v/>
      </c>
      <c r="G213" s="363" t="str">
        <f>IF(Model!G260&lt;&gt;"",Model!G260,"")</f>
        <v/>
      </c>
      <c r="H213" s="363" t="str">
        <f>IF(Model!H260&lt;&gt;"",Model!H260,"")</f>
        <v/>
      </c>
      <c r="I213" s="363" t="str">
        <f>IF(J213&lt;&gt;"",J213,"")</f>
        <v/>
      </c>
      <c r="J213" s="363" t="str">
        <f>IF(Model!J260&lt;&gt;"",Model!J260,"")</f>
        <v/>
      </c>
      <c r="K213" s="363" t="str">
        <f>IF(Model!K260&lt;&gt;"",Model!K260,"")</f>
        <v/>
      </c>
      <c r="L213" s="363" t="str">
        <f>IF(M213&lt;&gt;"",M213,"")</f>
        <v/>
      </c>
      <c r="M213" s="363" t="str">
        <f>IF(Model!M260&lt;&gt;"",Model!M260,"")</f>
        <v/>
      </c>
      <c r="N213" s="363" t="str">
        <f>IF(Model!N260&lt;&gt;"",Model!N260,"")</f>
        <v/>
      </c>
      <c r="O213" s="363" t="str">
        <f>IF(P213&lt;&gt;"",P213,"")</f>
        <v/>
      </c>
      <c r="P213" s="363" t="str">
        <f>IF(Model!P260&lt;&gt;"",Model!P260,"")</f>
        <v/>
      </c>
      <c r="Q213" s="363" t="str">
        <f>IF(Model!Q260&lt;&gt;"",Model!Q260,"")</f>
        <v/>
      </c>
      <c r="R213" s="363" t="str">
        <f>IF(S213&lt;&gt;"",S213,"")</f>
        <v/>
      </c>
      <c r="S213" s="363" t="str">
        <f>IF(Model!S260&lt;&gt;"",Model!S260,"")</f>
        <v/>
      </c>
      <c r="T213" s="363" t="str">
        <f>IF(Model!T260&lt;&gt;"",Model!T260,"")</f>
        <v/>
      </c>
      <c r="U213" s="363" t="str">
        <f>IF(V213&lt;&gt;"",V213,"")</f>
        <v/>
      </c>
      <c r="V213" s="363" t="str">
        <f>IF(Model!V260&lt;&gt;"",Model!V260,"")</f>
        <v/>
      </c>
      <c r="W213" s="363" t="str">
        <f>IF(Model!W260&lt;&gt;"",Model!W260,"")</f>
        <v/>
      </c>
      <c r="X213" s="363" t="str">
        <f>IF(Y213&lt;&gt;"",Y213,"")</f>
        <v/>
      </c>
      <c r="Y213" s="363" t="str">
        <f>IF(Model!Y260&lt;&gt;"",Model!Y260,"")</f>
        <v/>
      </c>
      <c r="Z213" s="363" t="str">
        <f>IF(Model!Z260&lt;&gt;"",Model!Z260,"")</f>
        <v/>
      </c>
      <c r="AA213" s="363" t="str">
        <f>IF(AB213&lt;&gt;"",AB213,"")</f>
        <v/>
      </c>
      <c r="AB213" s="363" t="str">
        <f>IF(Model!AB260&lt;&gt;"",Model!AB260,"")</f>
        <v/>
      </c>
      <c r="AC213" s="363" t="str">
        <f>IF(Model!AC260&lt;&gt;"",Model!AC260,"")</f>
        <v/>
      </c>
      <c r="AD213" s="363" t="str">
        <f>IF(AE213&lt;&gt;"",AE213,"")</f>
        <v/>
      </c>
      <c r="AE213" s="363" t="str">
        <f>IF(Model!AE260&lt;&gt;"",Model!AE260,"")</f>
        <v/>
      </c>
      <c r="AF213" s="363" t="str">
        <f>IF(Model!AF260&lt;&gt;"",Model!AF260,"")</f>
        <v/>
      </c>
      <c r="AG213" s="363" t="str">
        <f>IF(AH213&lt;&gt;"",AH213,"")</f>
        <v/>
      </c>
      <c r="AH213" s="363" t="str">
        <f>IF(Model!AH260&lt;&gt;"",Model!AH260,"")</f>
        <v/>
      </c>
      <c r="AI213" s="363">
        <f>Model!AI260</f>
        <v>5.1470000000000002</v>
      </c>
      <c r="AJ213" s="363">
        <f>Model!AJ260</f>
        <v>5.7960000000000003</v>
      </c>
      <c r="AK213" s="363">
        <f>Model!AK260</f>
        <v>5.7960000000000003</v>
      </c>
      <c r="AL213" s="363">
        <f>Model!AL260</f>
        <v>5.6360000000000001</v>
      </c>
      <c r="AM213" s="363">
        <f>Model!AM260</f>
        <v>6.548</v>
      </c>
      <c r="AN213" s="363">
        <f>Model!AN260</f>
        <v>6.548</v>
      </c>
      <c r="AO213" s="363">
        <f>Model!AO260</f>
        <v>6.9729999999999999</v>
      </c>
      <c r="AP213" s="363">
        <f>Model!AP260</f>
        <v>6.4790000000000001</v>
      </c>
      <c r="AQ213" s="363">
        <f>Model!AQ260</f>
        <v>6.4790000000000001</v>
      </c>
      <c r="AR213" s="363">
        <f>Model!AR260</f>
        <v>7.2489999999999997</v>
      </c>
      <c r="AS213" s="363">
        <f>Model!AS260</f>
        <v>9.4789999999999992</v>
      </c>
      <c r="AT213" s="363">
        <f>Model!AT260</f>
        <v>9.4789999999999992</v>
      </c>
      <c r="AU213" s="363">
        <f>Model!AU260</f>
        <v>10.98</v>
      </c>
      <c r="AV213" s="363">
        <f>Model!AV260</f>
        <v>11.362</v>
      </c>
      <c r="AW213" s="363">
        <f>Model!AW260</f>
        <v>11.362</v>
      </c>
      <c r="AX213" s="363">
        <f>Model!AX260</f>
        <v>11.583</v>
      </c>
      <c r="AY213" s="363">
        <f>Model!AY260</f>
        <v>11.026</v>
      </c>
      <c r="AZ213" s="363">
        <f>Model!AZ260</f>
        <v>11.026</v>
      </c>
      <c r="BA213" s="363">
        <f>Model!BA260</f>
        <v>13.195</v>
      </c>
      <c r="BB213" s="363">
        <f>Model!BB260</f>
        <v>9.8179999999999996</v>
      </c>
      <c r="BC213" s="363">
        <f>Model!BC260</f>
        <v>9.8179999999999996</v>
      </c>
      <c r="BD213" s="363">
        <f>Model!BD260</f>
        <v>10.244999999999999</v>
      </c>
      <c r="BE213" s="363">
        <f>Model!BE260</f>
        <v>12.109</v>
      </c>
      <c r="BF213" s="363">
        <f>Model!BF260</f>
        <v>12.109</v>
      </c>
      <c r="BG213" s="363">
        <f>Model!BG260</f>
        <v>14.446</v>
      </c>
      <c r="BH213" s="363">
        <f>Model!BH260</f>
        <v>13.965</v>
      </c>
      <c r="BI213" s="363">
        <f>Model!BI260</f>
        <v>13.965</v>
      </c>
      <c r="BJ213" s="363">
        <f>Model!BJ260</f>
        <v>11.092000000000001</v>
      </c>
      <c r="BK213" s="363">
        <f>Model!BK260</f>
        <v>17.791</v>
      </c>
      <c r="BL213" s="363">
        <f>Model!BL260</f>
        <v>17.791</v>
      </c>
      <c r="BM213" s="363">
        <f>Model!BM260</f>
        <v>19.466000000000001</v>
      </c>
      <c r="BN213" s="363">
        <f>Model!BN260</f>
        <v>22.463999999999999</v>
      </c>
      <c r="BO213" s="363">
        <f>Model!BO260</f>
        <v>22.463999999999999</v>
      </c>
      <c r="BP213" s="363">
        <f>Model!BP260</f>
        <v>26.61</v>
      </c>
      <c r="BQ213" s="363">
        <f>Model!BQ260</f>
        <v>30.266999999999999</v>
      </c>
      <c r="BR213" s="363">
        <f>Model!BR260</f>
        <v>30.266999999999999</v>
      </c>
      <c r="BS213" s="363">
        <f>Model!BS260</f>
        <v>29.751000000000001</v>
      </c>
      <c r="BT213" s="363">
        <f>Model!BT260</f>
        <v>18.510999999999999</v>
      </c>
      <c r="BU213" s="363">
        <f>Model!BU260</f>
        <v>18.510999999999999</v>
      </c>
      <c r="BV213" s="363">
        <f>Model!BV260</f>
        <v>29.888999999999999</v>
      </c>
      <c r="BW213" s="363">
        <f>Model!BW260</f>
        <v>17.678999999999998</v>
      </c>
      <c r="BX213" s="363">
        <f>Model!BX260</f>
        <v>17.678999999999998</v>
      </c>
      <c r="BY213" s="363">
        <f>Model!BY260</f>
        <v>70.319999999999993</v>
      </c>
      <c r="BZ213" s="363">
        <f>Model!BZ260</f>
        <v>21.899000000000001</v>
      </c>
      <c r="CA213" s="363">
        <f>Model!CA260</f>
        <v>21.899000000000001</v>
      </c>
      <c r="CB213" s="363">
        <f>Model!CB260</f>
        <v>22.097999999999999</v>
      </c>
      <c r="CC213" s="363">
        <f>Model!CC260</f>
        <v>17.251999999999999</v>
      </c>
      <c r="CD213" s="363">
        <f>Model!CD260</f>
        <v>17.251999999999999</v>
      </c>
      <c r="CE213" s="363">
        <f>Model!CE260</f>
        <v>15.02</v>
      </c>
      <c r="CF213" s="363">
        <f>Model!CF260</f>
        <v>16.071999999999999</v>
      </c>
      <c r="CG213" s="363">
        <f>Model!CG260</f>
        <v>16.071999999999999</v>
      </c>
      <c r="CH213" s="363">
        <f>Model!CH260</f>
        <v>37.718000000000004</v>
      </c>
      <c r="CI213" s="363">
        <f>Model!CI260</f>
        <v>0</v>
      </c>
      <c r="CJ213" s="363">
        <f>Model!CJ260</f>
        <v>0</v>
      </c>
      <c r="CK213" s="363">
        <f>Model!CK260</f>
        <v>42.232999999999997</v>
      </c>
      <c r="CL213" s="363">
        <f>Model!CL260</f>
        <v>56.662999999999997</v>
      </c>
      <c r="CM213" s="363">
        <f>Model!CM260</f>
        <v>56.662999999999997</v>
      </c>
      <c r="CN213" s="363">
        <f>Model!CN260</f>
        <v>65.888999999999996</v>
      </c>
      <c r="CO213" s="363">
        <f>Model!CO260</f>
        <v>52.761000000000003</v>
      </c>
      <c r="CP213" s="363">
        <f>Model!CP260</f>
        <v>52.761000000000003</v>
      </c>
      <c r="CQ213" s="363">
        <f>Model!CQ260</f>
        <v>72.403000000000006</v>
      </c>
      <c r="CR213" s="363">
        <f>Model!CR260</f>
        <v>68.716999999999999</v>
      </c>
      <c r="CS213" s="363">
        <f>Model!CS260</f>
        <v>68.716999999999999</v>
      </c>
      <c r="CT213" s="363">
        <f>Model!CT260</f>
        <v>78.557000000000002</v>
      </c>
      <c r="CU213" s="363">
        <f>Model!CU260</f>
        <v>77.144000000000005</v>
      </c>
      <c r="CV213" s="363">
        <f>Model!CV260</f>
        <v>77.144000000000005</v>
      </c>
      <c r="CW213" s="363">
        <f>Model!CW260</f>
        <v>85.126999999999995</v>
      </c>
      <c r="CX213" s="363">
        <f>Model!CX260</f>
        <v>66.585999999999999</v>
      </c>
      <c r="CY213" s="363">
        <f>Model!CY260</f>
        <v>66.585999999999999</v>
      </c>
      <c r="CZ213" s="363">
        <f>Model!CZ260</f>
        <v>74.8</v>
      </c>
      <c r="DA213" s="363">
        <f>Model!DA260</f>
        <v>80.7</v>
      </c>
      <c r="DB213" s="363">
        <f>Model!DB260</f>
        <v>80.7</v>
      </c>
      <c r="DC213" s="363">
        <f>Model!DC260</f>
        <v>97</v>
      </c>
      <c r="DD213" s="363">
        <f>Model!DD260</f>
        <v>100.1</v>
      </c>
      <c r="DE213" s="363">
        <f>Model!DE260</f>
        <v>100.1</v>
      </c>
      <c r="DF213" s="363">
        <f>Model!DF260</f>
        <v>108.3</v>
      </c>
      <c r="DG213" s="363">
        <f>Model!DG260</f>
        <v>147.1</v>
      </c>
      <c r="DH213" s="363">
        <f>Model!DH260</f>
        <v>147.1</v>
      </c>
      <c r="DI213" s="363">
        <f>Model!DI260</f>
        <v>179.8</v>
      </c>
      <c r="DJ213" s="363">
        <f>Model!DJ260</f>
        <v>146.80000000000001</v>
      </c>
      <c r="DK213" s="1210">
        <f>Model!DK260</f>
        <v>146.80000000000001</v>
      </c>
      <c r="DL213" s="363">
        <f>Model!DL260</f>
        <v>165.5</v>
      </c>
      <c r="DM213" s="363">
        <f>Model!DM260</f>
        <v>116.1</v>
      </c>
      <c r="DN213" s="1210">
        <f>Model!DN260</f>
        <v>116.1</v>
      </c>
      <c r="DO213" s="363">
        <f>Model!DO260</f>
        <v>124.8</v>
      </c>
      <c r="DP213" s="363">
        <f>Model!DP260</f>
        <v>125.3</v>
      </c>
      <c r="DQ213" s="1210">
        <f>Model!DQ260</f>
        <v>125.3</v>
      </c>
      <c r="DR213" s="363">
        <f>Model!DR260</f>
        <v>127.2</v>
      </c>
      <c r="DS213" s="363">
        <f>Model!DS260</f>
        <v>138.69999999999999</v>
      </c>
      <c r="DT213" s="1210">
        <f>Model!DT260</f>
        <v>138.69999999999999</v>
      </c>
      <c r="DU213" s="363">
        <f>Model!DU260</f>
        <v>170.6</v>
      </c>
      <c r="DV213" s="363">
        <f>Model!DV260</f>
        <v>168.7</v>
      </c>
      <c r="DW213" s="1210">
        <f>Model!DW260</f>
        <v>168.7</v>
      </c>
      <c r="DX213" s="363">
        <f>Model!DX260</f>
        <v>180.2</v>
      </c>
      <c r="DY213" s="363">
        <f>Model!DY260</f>
        <v>180.2</v>
      </c>
      <c r="DZ213" s="1210">
        <f>Model!DZ260</f>
        <v>180.2</v>
      </c>
      <c r="EA213" s="363">
        <f>Model!EA260</f>
        <v>180.2</v>
      </c>
      <c r="EB213" s="363">
        <f>Model!EB260</f>
        <v>180.2</v>
      </c>
      <c r="EC213" s="1210">
        <f>Model!EC260</f>
        <v>180.2</v>
      </c>
      <c r="ED213" s="363">
        <f>Model!ED260</f>
        <v>180.2</v>
      </c>
      <c r="EE213" s="363">
        <f>Model!EE260</f>
        <v>180.2</v>
      </c>
      <c r="EF213" s="1210">
        <f>Model!EF260</f>
        <v>180.2</v>
      </c>
      <c r="EG213" s="363">
        <f>Model!EG260</f>
        <v>180.2</v>
      </c>
      <c r="EH213" s="363">
        <f>Model!EH260</f>
        <v>180.2</v>
      </c>
      <c r="EI213" s="1210">
        <f>Model!EI260</f>
        <v>180.2</v>
      </c>
      <c r="EJ213" s="363">
        <f>Model!EJ260</f>
        <v>180.2</v>
      </c>
      <c r="EK213" s="363">
        <f>Model!EK260</f>
        <v>180.2</v>
      </c>
      <c r="EL213" s="1210">
        <f>Model!EL260</f>
        <v>180.2</v>
      </c>
      <c r="EM213" s="363">
        <f>Model!EM260</f>
        <v>180.2</v>
      </c>
      <c r="EN213" s="363">
        <f>Model!EN260</f>
        <v>180.2</v>
      </c>
      <c r="EO213" s="1210">
        <f>Model!EO260</f>
        <v>180.2</v>
      </c>
      <c r="EP213" s="363">
        <f>Model!EP260</f>
        <v>180.2</v>
      </c>
      <c r="EQ213" s="363">
        <f>Model!EQ260</f>
        <v>180.2</v>
      </c>
      <c r="ER213" s="1210">
        <f>Model!ER260</f>
        <v>180.2</v>
      </c>
      <c r="ES213" s="363">
        <f>Model!ES260</f>
        <v>180.2</v>
      </c>
      <c r="ET213" s="363">
        <f>Model!ET260</f>
        <v>180.2</v>
      </c>
      <c r="EU213" s="1210">
        <f>Model!EU260</f>
        <v>180.2</v>
      </c>
      <c r="EV213" s="363">
        <f>Model!EV260</f>
        <v>180.2</v>
      </c>
      <c r="EW213" s="363">
        <f>Model!EW260</f>
        <v>180.2</v>
      </c>
      <c r="EX213" s="1210">
        <f>Model!EX260</f>
        <v>180.2</v>
      </c>
      <c r="EY213" s="363">
        <f>Model!EY260</f>
        <v>180.2</v>
      </c>
      <c r="EZ213" s="363">
        <f>Model!EZ260</f>
        <v>180.2</v>
      </c>
      <c r="FA213" s="363">
        <f>Model!FA260</f>
        <v>180.2</v>
      </c>
    </row>
    <row r="214" spans="1:157" ht="13.35" customHeight="1">
      <c r="A214" s="5"/>
      <c r="B214" s="5" t="s">
        <v>814</v>
      </c>
      <c r="C214" s="5"/>
      <c r="D214" s="5"/>
      <c r="E214" s="363" t="str">
        <f>IF(Model!E261&lt;&gt;"",Model!E261,"")</f>
        <v/>
      </c>
      <c r="F214" s="363" t="str">
        <f>IF(G214&lt;&gt;"",G214,"")</f>
        <v/>
      </c>
      <c r="G214" s="363" t="str">
        <f>IF(Model!G261&lt;&gt;"",Model!G261,"")</f>
        <v/>
      </c>
      <c r="H214" s="363" t="str">
        <f>IF(Model!H261&lt;&gt;"",Model!H261,"")</f>
        <v/>
      </c>
      <c r="I214" s="363" t="str">
        <f>IF(J214&lt;&gt;"",J214,"")</f>
        <v/>
      </c>
      <c r="J214" s="363" t="str">
        <f>IF(Model!J261&lt;&gt;"",Model!J261,"")</f>
        <v/>
      </c>
      <c r="K214" s="363" t="str">
        <f>IF(Model!K261&lt;&gt;"",Model!K261,"")</f>
        <v/>
      </c>
      <c r="L214" s="363" t="str">
        <f>IF(M214&lt;&gt;"",M214,"")</f>
        <v/>
      </c>
      <c r="M214" s="363" t="str">
        <f>IF(Model!M261&lt;&gt;"",Model!M261,"")</f>
        <v/>
      </c>
      <c r="N214" s="363" t="str">
        <f>IF(Model!N261&lt;&gt;"",Model!N261,"")</f>
        <v/>
      </c>
      <c r="O214" s="363" t="str">
        <f>IF(P214&lt;&gt;"",P214,"")</f>
        <v/>
      </c>
      <c r="P214" s="363" t="str">
        <f>IF(Model!P261&lt;&gt;"",Model!P261,"")</f>
        <v/>
      </c>
      <c r="Q214" s="363" t="str">
        <f>IF(Model!Q261&lt;&gt;"",Model!Q261,"")</f>
        <v/>
      </c>
      <c r="R214" s="363" t="str">
        <f>IF(S214&lt;&gt;"",S214,"")</f>
        <v/>
      </c>
      <c r="S214" s="363" t="str">
        <f>IF(Model!S261&lt;&gt;"",Model!S261,"")</f>
        <v/>
      </c>
      <c r="T214" s="363" t="str">
        <f>IF(Model!T261&lt;&gt;"",Model!T261,"")</f>
        <v/>
      </c>
      <c r="U214" s="363" t="str">
        <f>IF(V214&lt;&gt;"",V214,"")</f>
        <v/>
      </c>
      <c r="V214" s="363" t="str">
        <f>IF(Model!V261&lt;&gt;"",Model!V261,"")</f>
        <v/>
      </c>
      <c r="W214" s="363" t="str">
        <f>IF(Model!W261&lt;&gt;"",Model!W261,"")</f>
        <v/>
      </c>
      <c r="X214" s="363" t="str">
        <f>IF(Y214&lt;&gt;"",Y214,"")</f>
        <v/>
      </c>
      <c r="Y214" s="363" t="str">
        <f>IF(Model!Y261&lt;&gt;"",Model!Y261,"")</f>
        <v/>
      </c>
      <c r="Z214" s="363" t="str">
        <f>IF(Model!Z261&lt;&gt;"",Model!Z261,"")</f>
        <v/>
      </c>
      <c r="AA214" s="363" t="str">
        <f>IF(AB214&lt;&gt;"",AB214,"")</f>
        <v/>
      </c>
      <c r="AB214" s="363" t="str">
        <f>IF(Model!AB261&lt;&gt;"",Model!AB261,"")</f>
        <v/>
      </c>
      <c r="AC214" s="363" t="str">
        <f>IF(Model!AC261&lt;&gt;"",Model!AC261,"")</f>
        <v/>
      </c>
      <c r="AD214" s="363" t="str">
        <f>IF(AE214&lt;&gt;"",AE214,"")</f>
        <v/>
      </c>
      <c r="AE214" s="363" t="str">
        <f>IF(Model!AE261&lt;&gt;"",Model!AE261,"")</f>
        <v/>
      </c>
      <c r="AF214" s="363" t="str">
        <f>IF(Model!AF261&lt;&gt;"",Model!AF261,"")</f>
        <v/>
      </c>
      <c r="AG214" s="363" t="str">
        <f>IF(AH214&lt;&gt;"",AH214,"")</f>
        <v/>
      </c>
      <c r="AH214" s="363" t="str">
        <f>IF(Model!AH261&lt;&gt;"",Model!AH261,"")</f>
        <v/>
      </c>
      <c r="AI214" s="363" t="str">
        <f>IF(Model!AI261&lt;&gt;"",Model!AI261,"")</f>
        <v/>
      </c>
      <c r="AJ214" s="363" t="str">
        <f>IF(AK214&lt;&gt;"",AK214,"")</f>
        <v/>
      </c>
      <c r="AK214" s="363" t="str">
        <f>IF(Model!AK261&lt;&gt;"",Model!AK261,"")</f>
        <v/>
      </c>
      <c r="AL214" s="363" t="str">
        <f>IF(Model!AL261&lt;&gt;"",Model!AL261,"")</f>
        <v/>
      </c>
      <c r="AM214" s="363" t="str">
        <f>IF(AN214&lt;&gt;"",AN214,"")</f>
        <v/>
      </c>
      <c r="AN214" s="363" t="str">
        <f>IF(Model!AN261&lt;&gt;"",Model!AN261,"")</f>
        <v/>
      </c>
      <c r="AO214" s="363" t="str">
        <f>IF(Model!AO261&lt;&gt;"",Model!AO261,"")</f>
        <v/>
      </c>
      <c r="AP214" s="363" t="str">
        <f>IF(AQ214&lt;&gt;"",AQ214,"")</f>
        <v/>
      </c>
      <c r="AQ214" s="363" t="str">
        <f>IF(Model!AQ261&lt;&gt;"",Model!AQ261,"")</f>
        <v/>
      </c>
      <c r="AR214" s="363" t="str">
        <f>IF(Model!AR261&lt;&gt;"",Model!AR261,"")</f>
        <v/>
      </c>
      <c r="AS214" s="363" t="str">
        <f>IF(AT214&lt;&gt;"",AT214,"")</f>
        <v/>
      </c>
      <c r="AT214" s="363" t="str">
        <f>IF(Model!AT261&lt;&gt;"",Model!AT261,"")</f>
        <v/>
      </c>
      <c r="AU214" s="363" t="str">
        <f>IF(Model!AU261&lt;&gt;"",Model!AU261,"")</f>
        <v/>
      </c>
      <c r="AV214" s="363" t="str">
        <f>IF(AW214&lt;&gt;"",AW214,"")</f>
        <v/>
      </c>
      <c r="AW214" s="363" t="str">
        <f>IF(Model!AW261&lt;&gt;"",Model!AW261,"")</f>
        <v/>
      </c>
      <c r="AX214" s="363">
        <f>IF(Model!AX261&lt;&gt;"",Model!AX261,"")</f>
        <v>0</v>
      </c>
      <c r="AY214" s="363">
        <f>IF(AZ214&lt;&gt;"",AZ214,"")</f>
        <v>0</v>
      </c>
      <c r="AZ214" s="363">
        <f>IF(Model!AZ261&lt;&gt;"",Model!AZ261,"")</f>
        <v>0</v>
      </c>
      <c r="BA214" s="363">
        <f>IF(Model!BA261&lt;&gt;"",Model!BA261,"")</f>
        <v>0</v>
      </c>
      <c r="BB214" s="363">
        <f>IF(BC214&lt;&gt;"",BC214,"")</f>
        <v>0</v>
      </c>
      <c r="BC214" s="363">
        <f>IF(Model!BC261&lt;&gt;"",Model!BC261,"")</f>
        <v>0</v>
      </c>
      <c r="BD214" s="363"/>
      <c r="BE214" s="363" t="str">
        <f>IF(BF214&lt;&gt;"",BF214,"")</f>
        <v/>
      </c>
      <c r="BF214" s="363"/>
      <c r="BG214" s="363"/>
      <c r="BH214" s="363" t="str">
        <f>IF(BI214&lt;&gt;"",BI214,"")</f>
        <v/>
      </c>
      <c r="BI214" s="363"/>
      <c r="BJ214" s="363"/>
      <c r="BK214" s="363" t="str">
        <f>IF(BL214&lt;&gt;"",BL214,"")</f>
        <v/>
      </c>
      <c r="BL214" s="363"/>
      <c r="BM214" s="363"/>
      <c r="BN214" s="363" t="str">
        <f>IF(BO214&lt;&gt;"",BO214,"")</f>
        <v/>
      </c>
      <c r="BO214" s="363"/>
      <c r="BP214" s="363"/>
      <c r="BQ214" s="363" t="str">
        <f>IF(BR214&lt;&gt;"",BR214,"")</f>
        <v/>
      </c>
      <c r="BR214" s="363"/>
      <c r="BS214" s="363"/>
      <c r="BT214" s="363" t="str">
        <f>IF(BU214&lt;&gt;"",BU214,"")</f>
        <v/>
      </c>
      <c r="BU214" s="363"/>
      <c r="BV214" s="363"/>
      <c r="BW214" s="363" t="str">
        <f>IF(BX214&lt;&gt;"",BX214,"")</f>
        <v/>
      </c>
      <c r="BX214" s="363"/>
      <c r="BY214" s="363"/>
      <c r="BZ214" s="363" t="str">
        <f>IF(CA214&lt;&gt;"",CA214,"")</f>
        <v/>
      </c>
      <c r="CA214" s="363"/>
      <c r="CB214" s="363"/>
      <c r="CC214" s="363" t="str">
        <f>IF(CD214&lt;&gt;"",CD214,"")</f>
        <v/>
      </c>
      <c r="CD214" s="363"/>
      <c r="CE214" s="363"/>
      <c r="CF214" s="363" t="str">
        <f>IF(CG214&lt;&gt;"",CG214,"")</f>
        <v/>
      </c>
      <c r="CG214" s="363"/>
      <c r="CH214" s="363"/>
      <c r="CI214" s="363" t="str">
        <f>IF(CJ214&lt;&gt;"",CJ214,"")</f>
        <v/>
      </c>
      <c r="CJ214" s="363"/>
      <c r="CK214" s="363"/>
      <c r="CL214" s="363" t="str">
        <f>IF(CM214&lt;&gt;"",CM214,"")</f>
        <v/>
      </c>
      <c r="CM214" s="363"/>
      <c r="CN214" s="363"/>
      <c r="CO214" s="363" t="str">
        <f>IF(CP214&lt;&gt;"",CP214,"")</f>
        <v/>
      </c>
      <c r="CP214" s="363"/>
      <c r="CQ214" s="363"/>
      <c r="CR214" s="363" t="str">
        <f>IF(CS214&lt;&gt;"",CS214,"")</f>
        <v/>
      </c>
      <c r="CS214" s="363"/>
      <c r="CT214" s="363"/>
      <c r="CU214" s="363" t="str">
        <f>IF(CV214&lt;&gt;"",CV214,"")</f>
        <v/>
      </c>
      <c r="CV214" s="363"/>
      <c r="CW214" s="363"/>
      <c r="CX214" s="363" t="str">
        <f>IF(CY214&lt;&gt;"",CY214,"")</f>
        <v/>
      </c>
      <c r="CY214" s="363"/>
      <c r="CZ214" s="363"/>
      <c r="DA214" s="363" t="str">
        <f>IF(DB214&lt;&gt;"",DB214,"")</f>
        <v/>
      </c>
      <c r="DB214" s="363"/>
      <c r="DC214" s="363"/>
      <c r="DD214" s="363" t="str">
        <f>IF(DE214&lt;&gt;"",DE214,"")</f>
        <v/>
      </c>
      <c r="DE214" s="363"/>
      <c r="DF214" s="363"/>
      <c r="DG214" s="363" t="str">
        <f>IF(DH214&lt;&gt;"",DH214,"")</f>
        <v/>
      </c>
      <c r="DH214" s="363"/>
      <c r="DI214" s="363"/>
      <c r="DJ214" s="363" t="str">
        <f>IF(DK214&lt;&gt;"",DK214,"")</f>
        <v/>
      </c>
      <c r="DK214" s="1210"/>
      <c r="DL214" s="363"/>
      <c r="DM214" s="363" t="str">
        <f>IF(DN214&lt;&gt;"",DN214,"")</f>
        <v/>
      </c>
      <c r="DN214" s="1210"/>
      <c r="DO214" s="363">
        <f>+Model!DO261</f>
        <v>3.7</v>
      </c>
      <c r="DP214" s="363">
        <f>+Model!DP261</f>
        <v>3.5</v>
      </c>
      <c r="DQ214" s="1210">
        <f>+Model!DQ261</f>
        <v>3.5</v>
      </c>
      <c r="DR214" s="363">
        <f>+Model!DR261</f>
        <v>3.1</v>
      </c>
      <c r="DS214" s="363">
        <f>+Model!DS261</f>
        <v>2.9</v>
      </c>
      <c r="DT214" s="1210">
        <f>+Model!DT261</f>
        <v>2.9</v>
      </c>
      <c r="DU214" s="363">
        <f>+Model!DU261</f>
        <v>2.5</v>
      </c>
      <c r="DV214" s="363">
        <f>+Model!DV261</f>
        <v>2</v>
      </c>
      <c r="DW214" s="1210">
        <f>+Model!DW261</f>
        <v>2</v>
      </c>
      <c r="DX214" s="363">
        <f>Model!DX261</f>
        <v>118.6</v>
      </c>
      <c r="DY214" s="363">
        <f>IF(DZ214&lt;&gt;"",DZ214,"")</f>
        <v>118.6</v>
      </c>
      <c r="DZ214" s="1210">
        <f>+DX214</f>
        <v>118.6</v>
      </c>
      <c r="EA214" s="363">
        <f t="shared" ref="EA214" si="494">+DZ214</f>
        <v>118.6</v>
      </c>
      <c r="EB214" s="363">
        <f t="shared" ref="EB214" si="495">IF(EC214&lt;&gt;"",EC214,"")</f>
        <v>118.6</v>
      </c>
      <c r="EC214" s="1210">
        <f t="shared" ref="EC214" si="496">+EA214</f>
        <v>118.6</v>
      </c>
      <c r="ED214" s="363">
        <f t="shared" ref="ED214" si="497">+EC214</f>
        <v>118.6</v>
      </c>
      <c r="EE214" s="363">
        <f t="shared" ref="EE214" si="498">IF(EF214&lt;&gt;"",EF214,"")</f>
        <v>118.6</v>
      </c>
      <c r="EF214" s="1210">
        <f t="shared" ref="EF214" si="499">+ED214</f>
        <v>118.6</v>
      </c>
      <c r="EG214" s="363">
        <f t="shared" ref="EG214" si="500">+EF214</f>
        <v>118.6</v>
      </c>
      <c r="EH214" s="363">
        <f t="shared" ref="EH214" si="501">IF(EI214&lt;&gt;"",EI214,"")</f>
        <v>118.6</v>
      </c>
      <c r="EI214" s="1210">
        <f t="shared" ref="EI214" si="502">+EG214</f>
        <v>118.6</v>
      </c>
      <c r="EJ214" s="363">
        <f t="shared" ref="EJ214" si="503">+EI214</f>
        <v>118.6</v>
      </c>
      <c r="EK214" s="363">
        <f t="shared" ref="EK214" si="504">IF(EL214&lt;&gt;"",EL214,"")</f>
        <v>118.6</v>
      </c>
      <c r="EL214" s="1210">
        <f t="shared" ref="EL214" si="505">+EJ214</f>
        <v>118.6</v>
      </c>
      <c r="EM214" s="363">
        <f t="shared" ref="EM214" si="506">+EL214</f>
        <v>118.6</v>
      </c>
      <c r="EN214" s="363">
        <f t="shared" ref="EN214" si="507">IF(EO214&lt;&gt;"",EO214,"")</f>
        <v>118.6</v>
      </c>
      <c r="EO214" s="1210">
        <f t="shared" ref="EO214" si="508">+EM214</f>
        <v>118.6</v>
      </c>
      <c r="EP214" s="363">
        <f t="shared" ref="EP214" si="509">+EO214</f>
        <v>118.6</v>
      </c>
      <c r="EQ214" s="363">
        <f t="shared" ref="EQ214" si="510">IF(ER214&lt;&gt;"",ER214,"")</f>
        <v>118.6</v>
      </c>
      <c r="ER214" s="1210">
        <f t="shared" ref="ER214" si="511">+EP214</f>
        <v>118.6</v>
      </c>
      <c r="ES214" s="363">
        <f t="shared" ref="ES214" si="512">+ER214</f>
        <v>118.6</v>
      </c>
      <c r="ET214" s="363">
        <f t="shared" ref="ET214" si="513">IF(EU214&lt;&gt;"",EU214,"")</f>
        <v>118.6</v>
      </c>
      <c r="EU214" s="1210">
        <f t="shared" ref="EU214" si="514">+ES214</f>
        <v>118.6</v>
      </c>
      <c r="EV214" s="363">
        <f t="shared" ref="EV214" si="515">+EU214</f>
        <v>118.6</v>
      </c>
      <c r="EW214" s="363">
        <f t="shared" ref="EW214" si="516">IF(EX214&lt;&gt;"",EX214,"")</f>
        <v>118.6</v>
      </c>
      <c r="EX214" s="1210">
        <f t="shared" ref="EX214" si="517">+EV214</f>
        <v>118.6</v>
      </c>
      <c r="EY214" s="363">
        <f t="shared" ref="EY214" si="518">+EX214</f>
        <v>118.6</v>
      </c>
      <c r="EZ214" s="363">
        <f t="shared" ref="EZ214" si="519">IF(FA214&lt;&gt;"",FA214,"")</f>
        <v>118.6</v>
      </c>
      <c r="FA214" s="1210">
        <f t="shared" ref="FA214" si="520">+EY214</f>
        <v>118.6</v>
      </c>
    </row>
    <row r="215" spans="1:157" ht="13.35" customHeight="1">
      <c r="A215" s="5"/>
      <c r="B215" s="5" t="s">
        <v>451</v>
      </c>
      <c r="C215" s="5"/>
      <c r="D215" s="5"/>
      <c r="E215" s="363" t="str">
        <f t="shared" ref="E215:N215" si="521">IF(OR(E216&lt;&gt;"",E217&lt;&gt;""),SUM(E216:E217),"")</f>
        <v/>
      </c>
      <c r="F215" s="363" t="str">
        <f t="shared" si="521"/>
        <v/>
      </c>
      <c r="G215" s="363" t="str">
        <f t="shared" si="521"/>
        <v/>
      </c>
      <c r="H215" s="363" t="str">
        <f t="shared" si="521"/>
        <v/>
      </c>
      <c r="I215" s="363" t="str">
        <f t="shared" si="521"/>
        <v/>
      </c>
      <c r="J215" s="363" t="str">
        <f t="shared" si="521"/>
        <v/>
      </c>
      <c r="K215" s="363" t="str">
        <f t="shared" si="521"/>
        <v/>
      </c>
      <c r="L215" s="363" t="str">
        <f t="shared" si="521"/>
        <v/>
      </c>
      <c r="M215" s="363" t="str">
        <f t="shared" si="521"/>
        <v/>
      </c>
      <c r="N215" s="363" t="str">
        <f t="shared" si="521"/>
        <v/>
      </c>
      <c r="O215" s="363" t="str">
        <f t="shared" ref="O215:X215" si="522">IF(OR(O216&lt;&gt;"",O217&lt;&gt;""),SUM(O216:O217),"")</f>
        <v/>
      </c>
      <c r="P215" s="363" t="str">
        <f t="shared" si="522"/>
        <v/>
      </c>
      <c r="Q215" s="363" t="str">
        <f t="shared" si="522"/>
        <v/>
      </c>
      <c r="R215" s="363" t="str">
        <f t="shared" si="522"/>
        <v/>
      </c>
      <c r="S215" s="363" t="str">
        <f t="shared" si="522"/>
        <v/>
      </c>
      <c r="T215" s="363" t="str">
        <f t="shared" si="522"/>
        <v/>
      </c>
      <c r="U215" s="363" t="str">
        <f t="shared" si="522"/>
        <v/>
      </c>
      <c r="V215" s="363" t="str">
        <f t="shared" si="522"/>
        <v/>
      </c>
      <c r="W215" s="363" t="str">
        <f t="shared" si="522"/>
        <v/>
      </c>
      <c r="X215" s="363" t="str">
        <f t="shared" si="522"/>
        <v/>
      </c>
      <c r="Y215" s="363" t="str">
        <f t="shared" ref="Y215:AH215" si="523">IF(OR(Y216&lt;&gt;"",Y217&lt;&gt;""),SUM(Y216:Y217),"")</f>
        <v/>
      </c>
      <c r="Z215" s="363" t="str">
        <f t="shared" si="523"/>
        <v/>
      </c>
      <c r="AA215" s="363" t="str">
        <f t="shared" si="523"/>
        <v/>
      </c>
      <c r="AB215" s="363" t="str">
        <f t="shared" si="523"/>
        <v/>
      </c>
      <c r="AC215" s="363" t="str">
        <f t="shared" si="523"/>
        <v/>
      </c>
      <c r="AD215" s="363" t="str">
        <f t="shared" si="523"/>
        <v/>
      </c>
      <c r="AE215" s="363" t="str">
        <f t="shared" si="523"/>
        <v/>
      </c>
      <c r="AF215" s="363" t="str">
        <f t="shared" si="523"/>
        <v/>
      </c>
      <c r="AG215" s="363" t="str">
        <f t="shared" si="523"/>
        <v/>
      </c>
      <c r="AH215" s="363" t="str">
        <f t="shared" si="523"/>
        <v/>
      </c>
      <c r="AI215" s="363" t="str">
        <f t="shared" ref="AI215:AU215" si="524">IF(OR(AI216&lt;&gt;"",AI217&lt;&gt;""),SUM(AI216:AI217),"")</f>
        <v/>
      </c>
      <c r="AJ215" s="363" t="str">
        <f t="shared" si="524"/>
        <v/>
      </c>
      <c r="AK215" s="363" t="str">
        <f t="shared" si="524"/>
        <v/>
      </c>
      <c r="AL215" s="363" t="str">
        <f t="shared" si="524"/>
        <v/>
      </c>
      <c r="AM215" s="363" t="str">
        <f t="shared" si="524"/>
        <v/>
      </c>
      <c r="AN215" s="363" t="str">
        <f t="shared" si="524"/>
        <v/>
      </c>
      <c r="AO215" s="363" t="str">
        <f t="shared" si="524"/>
        <v/>
      </c>
      <c r="AP215" s="363" t="str">
        <f t="shared" si="524"/>
        <v/>
      </c>
      <c r="AQ215" s="363" t="str">
        <f t="shared" si="524"/>
        <v/>
      </c>
      <c r="AR215" s="363" t="str">
        <f t="shared" si="524"/>
        <v/>
      </c>
      <c r="AS215" s="363" t="str">
        <f t="shared" si="524"/>
        <v/>
      </c>
      <c r="AT215" s="363" t="str">
        <f t="shared" si="524"/>
        <v/>
      </c>
      <c r="AU215" s="363" t="str">
        <f t="shared" si="524"/>
        <v/>
      </c>
      <c r="AV215" s="363" t="str">
        <f t="shared" ref="AV215:BC215" si="525">IF(OR(AV216&lt;&gt;"",AV217&lt;&gt;""),SUM(AV216:AV217),"")</f>
        <v/>
      </c>
      <c r="AW215" s="363" t="str">
        <f t="shared" si="525"/>
        <v/>
      </c>
      <c r="AX215" s="363">
        <f t="shared" si="525"/>
        <v>45.873999999999995</v>
      </c>
      <c r="AY215" s="363">
        <f t="shared" si="525"/>
        <v>45.873999999999995</v>
      </c>
      <c r="AZ215" s="363">
        <f t="shared" si="525"/>
        <v>45.873999999999995</v>
      </c>
      <c r="BA215" s="363">
        <f t="shared" si="525"/>
        <v>45.873999999999995</v>
      </c>
      <c r="BB215" s="363">
        <f t="shared" si="525"/>
        <v>45.873999999999995</v>
      </c>
      <c r="BC215" s="363">
        <f t="shared" si="525"/>
        <v>45.873999999999995</v>
      </c>
      <c r="BD215" s="363">
        <f t="shared" ref="BD215:BO215" si="526">IF(OR(BD216&lt;&gt;"",BD217&lt;&gt;""),SUM(BD216:BD217),"")</f>
        <v>45.873999999999995</v>
      </c>
      <c r="BE215" s="363">
        <f t="shared" si="526"/>
        <v>45.873999999999995</v>
      </c>
      <c r="BF215" s="363">
        <f t="shared" si="526"/>
        <v>45.873999999999995</v>
      </c>
      <c r="BG215" s="363">
        <f t="shared" si="526"/>
        <v>45.873999999999995</v>
      </c>
      <c r="BH215" s="363">
        <f t="shared" si="526"/>
        <v>45.873999999999995</v>
      </c>
      <c r="BI215" s="363">
        <f t="shared" si="526"/>
        <v>45.873999999999995</v>
      </c>
      <c r="BJ215" s="363">
        <f t="shared" si="526"/>
        <v>45.873999999999995</v>
      </c>
      <c r="BK215" s="363">
        <f t="shared" si="526"/>
        <v>45.873999999999995</v>
      </c>
      <c r="BL215" s="363">
        <f t="shared" si="526"/>
        <v>45.873999999999995</v>
      </c>
      <c r="BM215" s="363">
        <f t="shared" si="526"/>
        <v>45.873999999999995</v>
      </c>
      <c r="BN215" s="363">
        <f t="shared" si="526"/>
        <v>45.873999999999995</v>
      </c>
      <c r="BO215" s="363">
        <f t="shared" si="526"/>
        <v>45.873999999999995</v>
      </c>
      <c r="BP215" s="363">
        <f t="shared" ref="BP215:DK215" si="527">IF(OR(BP216&lt;&gt;"",BP217&lt;&gt;""),SUM(BP216:BP217),"")</f>
        <v>45.873999999999995</v>
      </c>
      <c r="BQ215" s="363">
        <f t="shared" si="527"/>
        <v>45.873999999999995</v>
      </c>
      <c r="BR215" s="363">
        <f t="shared" si="527"/>
        <v>45.873999999999995</v>
      </c>
      <c r="BS215" s="363">
        <f t="shared" si="527"/>
        <v>45.873999999999995</v>
      </c>
      <c r="BT215" s="363">
        <f t="shared" si="527"/>
        <v>45.873999999999995</v>
      </c>
      <c r="BU215" s="363">
        <f t="shared" si="527"/>
        <v>45.873999999999995</v>
      </c>
      <c r="BV215" s="363">
        <f t="shared" si="527"/>
        <v>45.873999999999995</v>
      </c>
      <c r="BW215" s="363">
        <f t="shared" si="527"/>
        <v>45.873999999999995</v>
      </c>
      <c r="BX215" s="363">
        <f t="shared" si="527"/>
        <v>45.873999999999995</v>
      </c>
      <c r="BY215" s="363">
        <f t="shared" si="527"/>
        <v>45.873999999999995</v>
      </c>
      <c r="BZ215" s="363">
        <f t="shared" si="527"/>
        <v>45.873999999999995</v>
      </c>
      <c r="CA215" s="363">
        <f t="shared" si="527"/>
        <v>45.873999999999995</v>
      </c>
      <c r="CB215" s="363">
        <f t="shared" si="527"/>
        <v>45.873999999999995</v>
      </c>
      <c r="CC215" s="363">
        <f t="shared" si="527"/>
        <v>45.873999999999995</v>
      </c>
      <c r="CD215" s="363">
        <f t="shared" si="527"/>
        <v>45.873999999999995</v>
      </c>
      <c r="CE215" s="363">
        <f t="shared" si="527"/>
        <v>45.873999999999995</v>
      </c>
      <c r="CF215" s="363">
        <f t="shared" si="527"/>
        <v>45.873999999999995</v>
      </c>
      <c r="CG215" s="363">
        <f t="shared" si="527"/>
        <v>45.873999999999995</v>
      </c>
      <c r="CH215" s="363">
        <f t="shared" si="527"/>
        <v>45.873999999999995</v>
      </c>
      <c r="CI215" s="363">
        <f t="shared" si="527"/>
        <v>45.873999999999995</v>
      </c>
      <c r="CJ215" s="363">
        <f t="shared" si="527"/>
        <v>45.873999999999995</v>
      </c>
      <c r="CK215" s="363">
        <f t="shared" si="527"/>
        <v>45.873999999999995</v>
      </c>
      <c r="CL215" s="363">
        <f t="shared" si="527"/>
        <v>45.873999999999995</v>
      </c>
      <c r="CM215" s="363">
        <f t="shared" si="527"/>
        <v>45.873999999999995</v>
      </c>
      <c r="CN215" s="363">
        <f t="shared" si="527"/>
        <v>45.873999999999995</v>
      </c>
      <c r="CO215" s="363">
        <f t="shared" si="527"/>
        <v>45.873999999999995</v>
      </c>
      <c r="CP215" s="363">
        <f t="shared" si="527"/>
        <v>45.873999999999995</v>
      </c>
      <c r="CQ215" s="363">
        <f t="shared" si="527"/>
        <v>45.873999999999995</v>
      </c>
      <c r="CR215" s="363">
        <f t="shared" si="527"/>
        <v>45.873999999999995</v>
      </c>
      <c r="CS215" s="363">
        <f t="shared" si="527"/>
        <v>45.873999999999995</v>
      </c>
      <c r="CT215" s="363">
        <f t="shared" si="527"/>
        <v>45.873999999999995</v>
      </c>
      <c r="CU215" s="363">
        <f t="shared" si="527"/>
        <v>45.873999999999995</v>
      </c>
      <c r="CV215" s="363">
        <f t="shared" si="527"/>
        <v>45.873999999999995</v>
      </c>
      <c r="CW215" s="363">
        <f t="shared" si="527"/>
        <v>45.873999999999995</v>
      </c>
      <c r="CX215" s="363">
        <f t="shared" si="527"/>
        <v>45.873999999999995</v>
      </c>
      <c r="CY215" s="363">
        <f t="shared" si="527"/>
        <v>45.873999999999995</v>
      </c>
      <c r="CZ215" s="363">
        <f t="shared" si="527"/>
        <v>45.873999999999995</v>
      </c>
      <c r="DA215" s="363">
        <f t="shared" si="527"/>
        <v>45.873999999999995</v>
      </c>
      <c r="DB215" s="363">
        <f t="shared" si="527"/>
        <v>45.873999999999995</v>
      </c>
      <c r="DC215" s="363">
        <f t="shared" si="527"/>
        <v>45.873999999999995</v>
      </c>
      <c r="DD215" s="363">
        <f t="shared" si="527"/>
        <v>45.873999999999995</v>
      </c>
      <c r="DE215" s="363">
        <f t="shared" si="527"/>
        <v>45.873999999999995</v>
      </c>
      <c r="DF215" s="363">
        <f t="shared" si="527"/>
        <v>50.5</v>
      </c>
      <c r="DG215" s="363">
        <f t="shared" si="527"/>
        <v>47.3</v>
      </c>
      <c r="DH215" s="363">
        <f t="shared" si="527"/>
        <v>47.3</v>
      </c>
      <c r="DI215" s="363">
        <f t="shared" si="527"/>
        <v>47.3</v>
      </c>
      <c r="DJ215" s="363">
        <f t="shared" si="527"/>
        <v>47.3</v>
      </c>
      <c r="DK215" s="1210">
        <f t="shared" si="527"/>
        <v>47.3</v>
      </c>
      <c r="DL215" s="363">
        <f t="shared" ref="DL215:DQ215" si="528">IF(OR(DL216&lt;&gt;"",DL217&lt;&gt;""),SUM(DL216:DL217),"")</f>
        <v>58.9</v>
      </c>
      <c r="DM215" s="363">
        <f t="shared" si="528"/>
        <v>77</v>
      </c>
      <c r="DN215" s="1210">
        <f t="shared" si="528"/>
        <v>77</v>
      </c>
      <c r="DO215" s="363">
        <f t="shared" si="528"/>
        <v>92.7</v>
      </c>
      <c r="DP215" s="363">
        <f t="shared" si="528"/>
        <v>82.2</v>
      </c>
      <c r="DQ215" s="1210">
        <f t="shared" si="528"/>
        <v>82.2</v>
      </c>
      <c r="DR215" s="363">
        <f t="shared" ref="DR215:DU215" si="529">IF(OR(DR216&lt;&gt;"",DR217&lt;&gt;""),SUM(DR216:DR217),"")</f>
        <v>75.7</v>
      </c>
      <c r="DS215" s="363">
        <f t="shared" si="529"/>
        <v>75.2</v>
      </c>
      <c r="DT215" s="1210">
        <f t="shared" si="529"/>
        <v>75.2</v>
      </c>
      <c r="DU215" s="363">
        <f t="shared" si="529"/>
        <v>102.5</v>
      </c>
      <c r="DV215" s="363">
        <f t="shared" ref="DV215:DW215" si="530">IF(OR(DV216&lt;&gt;"",DV217&lt;&gt;""),SUM(DV216:DV217),"")</f>
        <v>92.9</v>
      </c>
      <c r="DW215" s="1210">
        <f t="shared" si="530"/>
        <v>92.9</v>
      </c>
      <c r="DX215" s="363">
        <f t="shared" ref="DX215:EF215" si="531">IF(OR(DX216&lt;&gt;"",DX217&lt;&gt;""),SUM(DX216:DX217),"")</f>
        <v>64.400000000000006</v>
      </c>
      <c r="DY215" s="363">
        <f t="shared" si="531"/>
        <v>64.400000000000006</v>
      </c>
      <c r="DZ215" s="1210">
        <f t="shared" si="531"/>
        <v>64.400000000000006</v>
      </c>
      <c r="EA215" s="363">
        <f t="shared" si="531"/>
        <v>64.400000000000006</v>
      </c>
      <c r="EB215" s="363">
        <f t="shared" si="531"/>
        <v>64.400000000000006</v>
      </c>
      <c r="EC215" s="1210">
        <f t="shared" si="531"/>
        <v>64.400000000000006</v>
      </c>
      <c r="ED215" s="363">
        <f t="shared" si="531"/>
        <v>64.400000000000006</v>
      </c>
      <c r="EE215" s="363">
        <f t="shared" si="531"/>
        <v>64.400000000000006</v>
      </c>
      <c r="EF215" s="1210">
        <f t="shared" si="531"/>
        <v>64.400000000000006</v>
      </c>
      <c r="EG215" s="363">
        <f t="shared" ref="EG215:EL215" si="532">IF(OR(EG216&lt;&gt;"",EG217&lt;&gt;""),SUM(EG216:EG217),"")</f>
        <v>64.400000000000006</v>
      </c>
      <c r="EH215" s="363">
        <f t="shared" si="532"/>
        <v>64.400000000000006</v>
      </c>
      <c r="EI215" s="1210">
        <f t="shared" si="532"/>
        <v>64.400000000000006</v>
      </c>
      <c r="EJ215" s="363">
        <f t="shared" si="532"/>
        <v>64.400000000000006</v>
      </c>
      <c r="EK215" s="363">
        <f t="shared" si="532"/>
        <v>64.400000000000006</v>
      </c>
      <c r="EL215" s="1210">
        <f t="shared" si="532"/>
        <v>64.400000000000006</v>
      </c>
      <c r="EM215" s="363">
        <f t="shared" ref="EM215:ER215" si="533">IF(OR(EM216&lt;&gt;"",EM217&lt;&gt;""),SUM(EM216:EM217),"")</f>
        <v>64.400000000000006</v>
      </c>
      <c r="EN215" s="363">
        <f t="shared" si="533"/>
        <v>64.400000000000006</v>
      </c>
      <c r="EO215" s="1210">
        <f t="shared" si="533"/>
        <v>64.400000000000006</v>
      </c>
      <c r="EP215" s="363">
        <f t="shared" si="533"/>
        <v>64.400000000000006</v>
      </c>
      <c r="EQ215" s="363">
        <f t="shared" si="533"/>
        <v>64.400000000000006</v>
      </c>
      <c r="ER215" s="1210">
        <f t="shared" si="533"/>
        <v>64.400000000000006</v>
      </c>
      <c r="ES215" s="363">
        <f t="shared" ref="ES215:EX215" si="534">IF(OR(ES216&lt;&gt;"",ES217&lt;&gt;""),SUM(ES216:ES217),"")</f>
        <v>64.400000000000006</v>
      </c>
      <c r="ET215" s="363">
        <f t="shared" si="534"/>
        <v>64.400000000000006</v>
      </c>
      <c r="EU215" s="1210">
        <f t="shared" si="534"/>
        <v>64.400000000000006</v>
      </c>
      <c r="EV215" s="363">
        <f t="shared" si="534"/>
        <v>64.400000000000006</v>
      </c>
      <c r="EW215" s="363">
        <f t="shared" si="534"/>
        <v>64.400000000000006</v>
      </c>
      <c r="EX215" s="1210">
        <f t="shared" si="534"/>
        <v>64.400000000000006</v>
      </c>
      <c r="EY215" s="363">
        <f t="shared" ref="EY215:FA215" si="535">IF(OR(EY216&lt;&gt;"",EY217&lt;&gt;""),SUM(EY216:EY217),"")</f>
        <v>64.400000000000006</v>
      </c>
      <c r="EZ215" s="363">
        <f t="shared" si="535"/>
        <v>64.400000000000006</v>
      </c>
      <c r="FA215" s="363">
        <f t="shared" si="535"/>
        <v>64.400000000000006</v>
      </c>
    </row>
    <row r="216" spans="1:157" ht="13.35" customHeight="1">
      <c r="A216" s="5"/>
      <c r="B216" s="5" t="s">
        <v>452</v>
      </c>
      <c r="C216" s="5"/>
      <c r="D216" s="5"/>
      <c r="E216" s="363" t="str">
        <f>IF(Model!E284&lt;&gt;"",Model!E284,"")</f>
        <v/>
      </c>
      <c r="F216" s="363" t="str">
        <f>IF(G216&lt;&gt;"",G216,"")</f>
        <v/>
      </c>
      <c r="G216" s="363" t="str">
        <f>IF(Model!G284&lt;&gt;"",Model!G284,"")</f>
        <v/>
      </c>
      <c r="H216" s="363" t="str">
        <f>IF(Model!H284&lt;&gt;"",Model!H284,"")</f>
        <v/>
      </c>
      <c r="I216" s="363" t="str">
        <f>IF(J216&lt;&gt;"",J216,"")</f>
        <v/>
      </c>
      <c r="J216" s="363" t="str">
        <f>IF(Model!J284&lt;&gt;"",Model!J284,"")</f>
        <v/>
      </c>
      <c r="K216" s="363" t="str">
        <f>IF(Model!K284&lt;&gt;"",Model!K284,"")</f>
        <v/>
      </c>
      <c r="L216" s="363" t="str">
        <f>IF(M216&lt;&gt;"",M216,"")</f>
        <v/>
      </c>
      <c r="M216" s="363" t="str">
        <f>IF(Model!M284&lt;&gt;"",Model!M284,"")</f>
        <v/>
      </c>
      <c r="N216" s="363" t="str">
        <f>IF(Model!N284&lt;&gt;"",Model!N284,"")</f>
        <v/>
      </c>
      <c r="O216" s="363" t="str">
        <f>IF(P216&lt;&gt;"",P216,"")</f>
        <v/>
      </c>
      <c r="P216" s="363" t="str">
        <f>IF(Model!P284&lt;&gt;"",Model!P284,"")</f>
        <v/>
      </c>
      <c r="Q216" s="363" t="str">
        <f>IF(Model!Q284&lt;&gt;"",Model!Q284,"")</f>
        <v/>
      </c>
      <c r="R216" s="363" t="str">
        <f>IF(S216&lt;&gt;"",S216,"")</f>
        <v/>
      </c>
      <c r="S216" s="363" t="str">
        <f>IF(Model!S284&lt;&gt;"",Model!S284,"")</f>
        <v/>
      </c>
      <c r="T216" s="363" t="str">
        <f>IF(Model!T284&lt;&gt;"",Model!T284,"")</f>
        <v/>
      </c>
      <c r="U216" s="363" t="str">
        <f>IF(V216&lt;&gt;"",V216,"")</f>
        <v/>
      </c>
      <c r="V216" s="363" t="str">
        <f>IF(Model!V284&lt;&gt;"",Model!V284,"")</f>
        <v/>
      </c>
      <c r="W216" s="363" t="str">
        <f>IF(Model!W284&lt;&gt;"",Model!W284,"")</f>
        <v/>
      </c>
      <c r="X216" s="363" t="str">
        <f>IF(Y216&lt;&gt;"",Y216,"")</f>
        <v/>
      </c>
      <c r="Y216" s="363" t="str">
        <f>IF(Model!Y284&lt;&gt;"",Model!Y284,"")</f>
        <v/>
      </c>
      <c r="Z216" s="363" t="str">
        <f>IF(Model!Z284&lt;&gt;"",Model!Z284,"")</f>
        <v/>
      </c>
      <c r="AA216" s="363" t="str">
        <f>IF(AB216&lt;&gt;"",AB216,"")</f>
        <v/>
      </c>
      <c r="AB216" s="363" t="str">
        <f>IF(Model!AB284&lt;&gt;"",Model!AB284,"")</f>
        <v/>
      </c>
      <c r="AC216" s="363" t="str">
        <f>IF(Model!AC284&lt;&gt;"",Model!AC284,"")</f>
        <v/>
      </c>
      <c r="AD216" s="363" t="str">
        <f>IF(AE216&lt;&gt;"",AE216,"")</f>
        <v/>
      </c>
      <c r="AE216" s="363" t="str">
        <f>IF(Model!AE284&lt;&gt;"",Model!AE284,"")</f>
        <v/>
      </c>
      <c r="AF216" s="363" t="str">
        <f>IF(Model!AF284&lt;&gt;"",Model!AF284,"")</f>
        <v/>
      </c>
      <c r="AG216" s="363" t="str">
        <f>IF(AH216&lt;&gt;"",AH216,"")</f>
        <v/>
      </c>
      <c r="AH216" s="363" t="str">
        <f>IF(Model!AH284&lt;&gt;"",Model!AH284,"")</f>
        <v/>
      </c>
      <c r="AI216" s="363" t="str">
        <f>IF(Model!AI284&lt;&gt;"",Model!AI284,"")</f>
        <v/>
      </c>
      <c r="AJ216" s="363" t="str">
        <f>IF(AK216&lt;&gt;"",AK216,"")</f>
        <v/>
      </c>
      <c r="AK216" s="363" t="str">
        <f>IF(Model!AK284&lt;&gt;"",Model!AK284,"")</f>
        <v/>
      </c>
      <c r="AL216" s="363" t="str">
        <f>IF(Model!AL284&lt;&gt;"",Model!AL284,"")</f>
        <v/>
      </c>
      <c r="AM216" s="363" t="str">
        <f>IF(AN216&lt;&gt;"",AN216,"")</f>
        <v/>
      </c>
      <c r="AN216" s="363" t="str">
        <f>IF(Model!AN284&lt;&gt;"",Model!AN284,"")</f>
        <v/>
      </c>
      <c r="AO216" s="363" t="str">
        <f>IF(Model!AO284&lt;&gt;"",Model!AO284,"")</f>
        <v/>
      </c>
      <c r="AP216" s="363" t="str">
        <f>IF(AQ216&lt;&gt;"",AQ216,"")</f>
        <v/>
      </c>
      <c r="AQ216" s="363" t="str">
        <f>IF(Model!AQ284&lt;&gt;"",Model!AQ284,"")</f>
        <v/>
      </c>
      <c r="AR216" s="363" t="str">
        <f>IF(Model!AR284&lt;&gt;"",Model!AR284,"")</f>
        <v/>
      </c>
      <c r="AS216" s="363" t="str">
        <f>IF(AT216&lt;&gt;"",AT216,"")</f>
        <v/>
      </c>
      <c r="AT216" s="363" t="str">
        <f>IF(Model!AT284&lt;&gt;"",Model!AT284,"")</f>
        <v/>
      </c>
      <c r="AU216" s="363" t="str">
        <f>IF(Model!AU284&lt;&gt;"",Model!AU284,"")</f>
        <v/>
      </c>
      <c r="AV216" s="363" t="str">
        <f>IF(AW216&lt;&gt;"",AW216,"")</f>
        <v/>
      </c>
      <c r="AW216" s="363" t="str">
        <f>IF(Model!AW284&lt;&gt;"",Model!AW284,"")</f>
        <v/>
      </c>
      <c r="AX216" s="363">
        <f>IF(Model!AX284&lt;&gt;"",Model!AX284,"")</f>
        <v>0</v>
      </c>
      <c r="AY216" s="363">
        <f>IF(AZ216&lt;&gt;"",AZ216,"")</f>
        <v>0</v>
      </c>
      <c r="AZ216" s="363">
        <f>IF(Model!AZ284&lt;&gt;"",Model!AZ284,"")</f>
        <v>0</v>
      </c>
      <c r="BA216" s="363">
        <f>IF(Model!BA284&lt;&gt;"",Model!BA284,"")</f>
        <v>0</v>
      </c>
      <c r="BB216" s="363">
        <f>IF(BC216&lt;&gt;"",BC216,"")</f>
        <v>0</v>
      </c>
      <c r="BC216" s="363">
        <f>IF(Model!BC284&lt;&gt;"",Model!BC284,"")</f>
        <v>0</v>
      </c>
      <c r="BD216" s="363"/>
      <c r="BE216" s="363" t="str">
        <f>IF(BF216&lt;&gt;"",BF216,"")</f>
        <v/>
      </c>
      <c r="BF216" s="363"/>
      <c r="BG216" s="363"/>
      <c r="BH216" s="363" t="str">
        <f>IF(BI216&lt;&gt;"",BI216,"")</f>
        <v/>
      </c>
      <c r="BI216" s="363"/>
      <c r="BJ216" s="363"/>
      <c r="BK216" s="363" t="str">
        <f>IF(BL216&lt;&gt;"",BL216,"")</f>
        <v/>
      </c>
      <c r="BL216" s="363"/>
      <c r="BM216" s="363"/>
      <c r="BN216" s="363" t="str">
        <f>IF(BO216&lt;&gt;"",BO216,"")</f>
        <v/>
      </c>
      <c r="BO216" s="363"/>
      <c r="BP216" s="363"/>
      <c r="BQ216" s="363" t="str">
        <f>IF(BR216&lt;&gt;"",BR216,"")</f>
        <v/>
      </c>
      <c r="BR216" s="363"/>
      <c r="BS216" s="363"/>
      <c r="BT216" s="363" t="str">
        <f>IF(BU216&lt;&gt;"",BU216,"")</f>
        <v/>
      </c>
      <c r="BU216" s="363"/>
      <c r="BV216" s="363"/>
      <c r="BW216" s="363" t="str">
        <f>IF(BX216&lt;&gt;"",BX216,"")</f>
        <v/>
      </c>
      <c r="BX216" s="363"/>
      <c r="BY216" s="363"/>
      <c r="BZ216" s="363" t="str">
        <f>IF(CA216&lt;&gt;"",CA216,"")</f>
        <v/>
      </c>
      <c r="CA216" s="363"/>
      <c r="CB216" s="363"/>
      <c r="CC216" s="363" t="str">
        <f>IF(CD216&lt;&gt;"",CD216,"")</f>
        <v/>
      </c>
      <c r="CD216" s="363"/>
      <c r="CE216" s="363"/>
      <c r="CF216" s="363" t="str">
        <f>IF(CG216&lt;&gt;"",CG216,"")</f>
        <v/>
      </c>
      <c r="CG216" s="363"/>
      <c r="CH216" s="363"/>
      <c r="CI216" s="363" t="str">
        <f>IF(CJ216&lt;&gt;"",CJ216,"")</f>
        <v/>
      </c>
      <c r="CJ216" s="363"/>
      <c r="CK216" s="363"/>
      <c r="CL216" s="363" t="str">
        <f>IF(CM216&lt;&gt;"",CM216,"")</f>
        <v/>
      </c>
      <c r="CM216" s="363"/>
      <c r="CN216" s="363"/>
      <c r="CO216" s="363" t="str">
        <f>IF(CP216&lt;&gt;"",CP216,"")</f>
        <v/>
      </c>
      <c r="CP216" s="363"/>
      <c r="CQ216" s="363"/>
      <c r="CR216" s="363" t="str">
        <f>IF(CS216&lt;&gt;"",CS216,"")</f>
        <v/>
      </c>
      <c r="CS216" s="363"/>
      <c r="CT216" s="363"/>
      <c r="CU216" s="363" t="str">
        <f>IF(CV216&lt;&gt;"",CV216,"")</f>
        <v/>
      </c>
      <c r="CV216" s="363"/>
      <c r="CW216" s="363"/>
      <c r="CX216" s="363" t="str">
        <f>IF(CY216&lt;&gt;"",CY216,"")</f>
        <v/>
      </c>
      <c r="CY216" s="363"/>
      <c r="CZ216" s="363"/>
      <c r="DA216" s="363" t="str">
        <f>IF(DB216&lt;&gt;"",DB216,"")</f>
        <v/>
      </c>
      <c r="DB216" s="363"/>
      <c r="DC216" s="363"/>
      <c r="DD216" s="363" t="str">
        <f>IF(DE216&lt;&gt;"",DE216,"")</f>
        <v/>
      </c>
      <c r="DE216" s="363"/>
      <c r="DF216" s="363"/>
      <c r="DG216" s="363" t="str">
        <f>IF(DH216&lt;&gt;"",DH216,"")</f>
        <v/>
      </c>
      <c r="DH216" s="363"/>
      <c r="DI216" s="363"/>
      <c r="DJ216" s="363" t="str">
        <f>IF(DK216&lt;&gt;"",DK216,"")</f>
        <v/>
      </c>
      <c r="DK216" s="1210"/>
      <c r="DL216" s="363"/>
      <c r="DM216" s="363" t="str">
        <f>IF(DN216&lt;&gt;"",DN216,"")</f>
        <v/>
      </c>
      <c r="DN216" s="1210"/>
      <c r="DO216" s="363"/>
      <c r="DP216" s="363" t="str">
        <f>IF(DQ216&lt;&gt;"",DQ216,"")</f>
        <v/>
      </c>
      <c r="DQ216" s="1210"/>
      <c r="DR216" s="363"/>
      <c r="DS216" s="363" t="str">
        <f>IF(DT216&lt;&gt;"",DT216,"")</f>
        <v/>
      </c>
      <c r="DT216" s="1210"/>
      <c r="DU216" s="363"/>
      <c r="DV216" s="363" t="str">
        <f>IF(DW216&lt;&gt;"",DW216,"")</f>
        <v/>
      </c>
      <c r="DW216" s="1210"/>
      <c r="DX216" s="363"/>
      <c r="DY216" s="363" t="str">
        <f>IF(DZ216&lt;&gt;"",DZ216,"")</f>
        <v/>
      </c>
      <c r="DZ216" s="1210"/>
      <c r="EA216" s="363"/>
      <c r="EB216" s="363" t="str">
        <f>IF(EC216&lt;&gt;"",EC216,"")</f>
        <v/>
      </c>
      <c r="EC216" s="1210"/>
      <c r="ED216" s="363"/>
      <c r="EE216" s="363" t="str">
        <f>IF(EF216&lt;&gt;"",EF216,"")</f>
        <v/>
      </c>
      <c r="EF216" s="1210"/>
      <c r="EG216" s="363"/>
      <c r="EH216" s="363" t="str">
        <f>IF(EI216&lt;&gt;"",EI216,"")</f>
        <v/>
      </c>
      <c r="EI216" s="1210"/>
      <c r="EJ216" s="363"/>
      <c r="EK216" s="363" t="str">
        <f>IF(EL216&lt;&gt;"",EL216,"")</f>
        <v/>
      </c>
      <c r="EL216" s="1210"/>
      <c r="EM216" s="363"/>
      <c r="EN216" s="363" t="str">
        <f>IF(EO216&lt;&gt;"",EO216,"")</f>
        <v/>
      </c>
      <c r="EO216" s="1210"/>
      <c r="EP216" s="363"/>
      <c r="EQ216" s="363" t="str">
        <f>IF(ER216&lt;&gt;"",ER216,"")</f>
        <v/>
      </c>
      <c r="ER216" s="1210"/>
      <c r="ES216" s="363"/>
      <c r="ET216" s="363" t="str">
        <f>IF(EU216&lt;&gt;"",EU216,"")</f>
        <v/>
      </c>
      <c r="EU216" s="1210"/>
      <c r="EV216" s="363"/>
      <c r="EW216" s="363" t="str">
        <f>IF(EX216&lt;&gt;"",EX216,"")</f>
        <v/>
      </c>
      <c r="EX216" s="1210"/>
      <c r="EY216" s="363"/>
      <c r="EZ216" s="363" t="str">
        <f>IF(FA216&lt;&gt;"",FA216,"")</f>
        <v/>
      </c>
      <c r="FA216" s="363"/>
    </row>
    <row r="217" spans="1:157" ht="13.35" customHeight="1">
      <c r="A217" s="5"/>
      <c r="B217" s="5" t="s">
        <v>814</v>
      </c>
      <c r="C217" s="5"/>
      <c r="D217" s="5"/>
      <c r="E217" s="363" t="str">
        <f>IF(Model!E285&lt;&gt;"",Model!E285,"")</f>
        <v/>
      </c>
      <c r="F217" s="363" t="str">
        <f>IF(G217&lt;&gt;"",G217,"")</f>
        <v/>
      </c>
      <c r="G217" s="363" t="str">
        <f>IF(Model!G285&lt;&gt;"",Model!G285,"")</f>
        <v/>
      </c>
      <c r="H217" s="363" t="str">
        <f>IF(Model!H285&lt;&gt;"",Model!H285,"")</f>
        <v/>
      </c>
      <c r="I217" s="363" t="str">
        <f>IF(J217&lt;&gt;"",J217,"")</f>
        <v/>
      </c>
      <c r="J217" s="363" t="str">
        <f>IF(Model!J285&lt;&gt;"",Model!J285,"")</f>
        <v/>
      </c>
      <c r="K217" s="363" t="str">
        <f>IF(Model!K285&lt;&gt;"",Model!K285,"")</f>
        <v/>
      </c>
      <c r="L217" s="363" t="str">
        <f>IF(M217&lt;&gt;"",M217,"")</f>
        <v/>
      </c>
      <c r="M217" s="363" t="str">
        <f>IF(Model!M285&lt;&gt;"",Model!M285,"")</f>
        <v/>
      </c>
      <c r="N217" s="363" t="str">
        <f>IF(Model!N285&lt;&gt;"",Model!N285,"")</f>
        <v/>
      </c>
      <c r="O217" s="363" t="str">
        <f>IF(P217&lt;&gt;"",P217,"")</f>
        <v/>
      </c>
      <c r="P217" s="363" t="str">
        <f>IF(Model!P285&lt;&gt;"",Model!P285,"")</f>
        <v/>
      </c>
      <c r="Q217" s="363" t="str">
        <f>IF(Model!Q285&lt;&gt;"",Model!Q285,"")</f>
        <v/>
      </c>
      <c r="R217" s="363" t="str">
        <f>IF(S217&lt;&gt;"",S217,"")</f>
        <v/>
      </c>
      <c r="S217" s="363" t="str">
        <f>IF(Model!S285&lt;&gt;"",Model!S285,"")</f>
        <v/>
      </c>
      <c r="T217" s="363" t="str">
        <f>IF(Model!T285&lt;&gt;"",Model!T285,"")</f>
        <v/>
      </c>
      <c r="U217" s="363" t="str">
        <f>IF(V217&lt;&gt;"",V217,"")</f>
        <v/>
      </c>
      <c r="V217" s="363" t="str">
        <f>IF(Model!V285&lt;&gt;"",Model!V285,"")</f>
        <v/>
      </c>
      <c r="W217" s="363" t="str">
        <f>IF(Model!W285&lt;&gt;"",Model!W285,"")</f>
        <v/>
      </c>
      <c r="X217" s="363" t="str">
        <f>IF(Y217&lt;&gt;"",Y217,"")</f>
        <v/>
      </c>
      <c r="Y217" s="363" t="str">
        <f>IF(Model!Y285&lt;&gt;"",Model!Y285,"")</f>
        <v/>
      </c>
      <c r="Z217" s="363" t="str">
        <f>IF(Model!Z285&lt;&gt;"",Model!Z285,"")</f>
        <v/>
      </c>
      <c r="AA217" s="363" t="str">
        <f>IF(AB217&lt;&gt;"",AB217,"")</f>
        <v/>
      </c>
      <c r="AB217" s="363" t="str">
        <f>IF(Model!AB285&lt;&gt;"",Model!AB285,"")</f>
        <v/>
      </c>
      <c r="AC217" s="363" t="str">
        <f>IF(Model!AC285&lt;&gt;"",Model!AC285,"")</f>
        <v/>
      </c>
      <c r="AD217" s="363" t="str">
        <f>IF(AE217&lt;&gt;"",AE217,"")</f>
        <v/>
      </c>
      <c r="AE217" s="363" t="str">
        <f>IF(Model!AE285&lt;&gt;"",Model!AE285,"")</f>
        <v/>
      </c>
      <c r="AF217" s="363" t="str">
        <f>IF(Model!AF285&lt;&gt;"",Model!AF285,"")</f>
        <v/>
      </c>
      <c r="AG217" s="363" t="str">
        <f>IF(AH217&lt;&gt;"",AH217,"")</f>
        <v/>
      </c>
      <c r="AH217" s="363" t="str">
        <f>IF(Model!AH285&lt;&gt;"",Model!AH285,"")</f>
        <v/>
      </c>
      <c r="AI217" s="363" t="str">
        <f>IF(Model!AI285&lt;&gt;"",Model!AI285,"")</f>
        <v/>
      </c>
      <c r="AJ217" s="363" t="str">
        <f>IF(AK217&lt;&gt;"",AK217,"")</f>
        <v/>
      </c>
      <c r="AK217" s="363" t="str">
        <f>IF(Model!AK285&lt;&gt;"",Model!AK285,"")</f>
        <v/>
      </c>
      <c r="AL217" s="363" t="str">
        <f>IF(Model!AL285&lt;&gt;"",Model!AL285,"")</f>
        <v/>
      </c>
      <c r="AM217" s="363" t="str">
        <f>IF(AN217&lt;&gt;"",AN217,"")</f>
        <v/>
      </c>
      <c r="AN217" s="363" t="str">
        <f>IF(Model!AN285&lt;&gt;"",Model!AN285,"")</f>
        <v/>
      </c>
      <c r="AO217" s="363" t="str">
        <f>IF(Model!AO285&lt;&gt;"",Model!AO285,"")</f>
        <v/>
      </c>
      <c r="AP217" s="363" t="str">
        <f>IF(AQ217&lt;&gt;"",AQ217,"")</f>
        <v/>
      </c>
      <c r="AQ217" s="363" t="str">
        <f>IF(Model!AQ285&lt;&gt;"",Model!AQ285,"")</f>
        <v/>
      </c>
      <c r="AR217" s="363" t="str">
        <f>IF(Model!AR285&lt;&gt;"",Model!AR285,"")</f>
        <v/>
      </c>
      <c r="AS217" s="363" t="str">
        <f>IF(AT217&lt;&gt;"",AT217,"")</f>
        <v/>
      </c>
      <c r="AT217" s="363" t="str">
        <f>IF(Model!AT285&lt;&gt;"",Model!AT285,"")</f>
        <v/>
      </c>
      <c r="AU217" s="363" t="str">
        <f>IF(Model!AU285&lt;&gt;"",Model!AU285,"")</f>
        <v/>
      </c>
      <c r="AV217" s="363" t="str">
        <f>IF(AW217&lt;&gt;"",AW217,"")</f>
        <v/>
      </c>
      <c r="AW217" s="363" t="str">
        <f>IF(Model!AW285&lt;&gt;"",Model!AW285,"")</f>
        <v/>
      </c>
      <c r="AX217" s="363">
        <f t="shared" ref="AX217:BX217" si="536">B_CL_Oth_08</f>
        <v>45.873999999999995</v>
      </c>
      <c r="AY217" s="363">
        <f t="shared" si="536"/>
        <v>45.873999999999995</v>
      </c>
      <c r="AZ217" s="363">
        <f t="shared" si="536"/>
        <v>45.873999999999995</v>
      </c>
      <c r="BA217" s="363">
        <f t="shared" si="536"/>
        <v>45.873999999999995</v>
      </c>
      <c r="BB217" s="363">
        <f t="shared" si="536"/>
        <v>45.873999999999995</v>
      </c>
      <c r="BC217" s="363">
        <f t="shared" si="536"/>
        <v>45.873999999999995</v>
      </c>
      <c r="BD217" s="363">
        <f t="shared" si="536"/>
        <v>45.873999999999995</v>
      </c>
      <c r="BE217" s="363">
        <f t="shared" si="536"/>
        <v>45.873999999999995</v>
      </c>
      <c r="BF217" s="363">
        <f t="shared" si="536"/>
        <v>45.873999999999995</v>
      </c>
      <c r="BG217" s="363">
        <f t="shared" si="536"/>
        <v>45.873999999999995</v>
      </c>
      <c r="BH217" s="363">
        <f t="shared" si="536"/>
        <v>45.873999999999995</v>
      </c>
      <c r="BI217" s="363">
        <f t="shared" si="536"/>
        <v>45.873999999999995</v>
      </c>
      <c r="BJ217" s="363">
        <f t="shared" si="536"/>
        <v>45.873999999999995</v>
      </c>
      <c r="BK217" s="363">
        <f t="shared" si="536"/>
        <v>45.873999999999995</v>
      </c>
      <c r="BL217" s="363">
        <f t="shared" si="536"/>
        <v>45.873999999999995</v>
      </c>
      <c r="BM217" s="363">
        <f t="shared" si="536"/>
        <v>45.873999999999995</v>
      </c>
      <c r="BN217" s="363">
        <f t="shared" si="536"/>
        <v>45.873999999999995</v>
      </c>
      <c r="BO217" s="363">
        <f t="shared" si="536"/>
        <v>45.873999999999995</v>
      </c>
      <c r="BP217" s="363">
        <f t="shared" si="536"/>
        <v>45.873999999999995</v>
      </c>
      <c r="BQ217" s="363">
        <f t="shared" si="536"/>
        <v>45.873999999999995</v>
      </c>
      <c r="BR217" s="363">
        <f t="shared" si="536"/>
        <v>45.873999999999995</v>
      </c>
      <c r="BS217" s="363">
        <f t="shared" si="536"/>
        <v>45.873999999999995</v>
      </c>
      <c r="BT217" s="363">
        <f t="shared" si="536"/>
        <v>45.873999999999995</v>
      </c>
      <c r="BU217" s="363">
        <f t="shared" si="536"/>
        <v>45.873999999999995</v>
      </c>
      <c r="BV217" s="363">
        <f t="shared" si="536"/>
        <v>45.873999999999995</v>
      </c>
      <c r="BW217" s="363">
        <f t="shared" si="536"/>
        <v>45.873999999999995</v>
      </c>
      <c r="BX217" s="363">
        <f t="shared" si="536"/>
        <v>45.873999999999995</v>
      </c>
      <c r="BY217" s="363">
        <f>BX217</f>
        <v>45.873999999999995</v>
      </c>
      <c r="BZ217" s="363">
        <f>IF(CA217&lt;&gt;"",CA217,"")</f>
        <v>45.873999999999995</v>
      </c>
      <c r="CA217" s="363">
        <f>BY217</f>
        <v>45.873999999999995</v>
      </c>
      <c r="CB217" s="363">
        <f>CA217</f>
        <v>45.873999999999995</v>
      </c>
      <c r="CC217" s="363">
        <f>IF(CD217&lt;&gt;"",CD217,"")</f>
        <v>45.873999999999995</v>
      </c>
      <c r="CD217" s="363">
        <f>CB217</f>
        <v>45.873999999999995</v>
      </c>
      <c r="CE217" s="363">
        <f>CD217</f>
        <v>45.873999999999995</v>
      </c>
      <c r="CF217" s="363">
        <f>IF(CG217&lt;&gt;"",CG217,"")</f>
        <v>45.873999999999995</v>
      </c>
      <c r="CG217" s="363">
        <f>CE217</f>
        <v>45.873999999999995</v>
      </c>
      <c r="CH217" s="363">
        <f>CG217</f>
        <v>45.873999999999995</v>
      </c>
      <c r="CI217" s="363">
        <f>IF(CJ217&lt;&gt;"",CJ217,"")</f>
        <v>45.873999999999995</v>
      </c>
      <c r="CJ217" s="363">
        <f>CH217</f>
        <v>45.873999999999995</v>
      </c>
      <c r="CK217" s="363">
        <f>CJ217</f>
        <v>45.873999999999995</v>
      </c>
      <c r="CL217" s="363">
        <f>IF(CM217&lt;&gt;"",CM217,"")</f>
        <v>45.873999999999995</v>
      </c>
      <c r="CM217" s="363">
        <f>CK217</f>
        <v>45.873999999999995</v>
      </c>
      <c r="CN217" s="363">
        <f>CM217</f>
        <v>45.873999999999995</v>
      </c>
      <c r="CO217" s="363">
        <f>IF(CP217&lt;&gt;"",CP217,"")</f>
        <v>45.873999999999995</v>
      </c>
      <c r="CP217" s="363">
        <f>CN217</f>
        <v>45.873999999999995</v>
      </c>
      <c r="CQ217" s="363">
        <f>CP217</f>
        <v>45.873999999999995</v>
      </c>
      <c r="CR217" s="363">
        <f>IF(CS217&lt;&gt;"",CS217,"")</f>
        <v>45.873999999999995</v>
      </c>
      <c r="CS217" s="363">
        <f>CQ217</f>
        <v>45.873999999999995</v>
      </c>
      <c r="CT217" s="363">
        <f>CS217</f>
        <v>45.873999999999995</v>
      </c>
      <c r="CU217" s="363">
        <f>IF(CV217&lt;&gt;"",CV217,"")</f>
        <v>45.873999999999995</v>
      </c>
      <c r="CV217" s="363">
        <f>CT217</f>
        <v>45.873999999999995</v>
      </c>
      <c r="CW217" s="363">
        <f>CV217</f>
        <v>45.873999999999995</v>
      </c>
      <c r="CX217" s="363">
        <f>IF(CY217&lt;&gt;"",CY217,"")</f>
        <v>45.873999999999995</v>
      </c>
      <c r="CY217" s="363">
        <f>CW217</f>
        <v>45.873999999999995</v>
      </c>
      <c r="CZ217" s="363">
        <f>CY217</f>
        <v>45.873999999999995</v>
      </c>
      <c r="DA217" s="363">
        <f>IF(DB217&lt;&gt;"",DB217,"")</f>
        <v>45.873999999999995</v>
      </c>
      <c r="DB217" s="363">
        <f>CZ217</f>
        <v>45.873999999999995</v>
      </c>
      <c r="DC217" s="363">
        <f>DB217</f>
        <v>45.873999999999995</v>
      </c>
      <c r="DD217" s="363">
        <f>IF(DE217&lt;&gt;"",DE217,"")</f>
        <v>45.873999999999995</v>
      </c>
      <c r="DE217" s="363">
        <f>DC217</f>
        <v>45.873999999999995</v>
      </c>
      <c r="DF217" s="404">
        <f>Model!DF285</f>
        <v>50.5</v>
      </c>
      <c r="DG217" s="363">
        <f>IF(DH217&lt;&gt;"",DH217,"")</f>
        <v>47.3</v>
      </c>
      <c r="DH217" s="404">
        <f>Model!DH285</f>
        <v>47.3</v>
      </c>
      <c r="DI217" s="363">
        <f>DH217</f>
        <v>47.3</v>
      </c>
      <c r="DJ217" s="363">
        <f>IF(DK217&lt;&gt;"",DK217,"")</f>
        <v>47.3</v>
      </c>
      <c r="DK217" s="1210">
        <f>DI217</f>
        <v>47.3</v>
      </c>
      <c r="DL217" s="363">
        <f>+Model!DL285</f>
        <v>58.9</v>
      </c>
      <c r="DM217" s="363">
        <f>+Model!DM285</f>
        <v>77</v>
      </c>
      <c r="DN217" s="1210">
        <f>+Model!DN285</f>
        <v>77</v>
      </c>
      <c r="DO217" s="363">
        <f>+Model!DO285</f>
        <v>92.7</v>
      </c>
      <c r="DP217" s="363">
        <f>+Model!DP285</f>
        <v>82.2</v>
      </c>
      <c r="DQ217" s="1210">
        <f>+Model!DQ285</f>
        <v>82.2</v>
      </c>
      <c r="DR217" s="363">
        <f>+Model!DR285</f>
        <v>75.7</v>
      </c>
      <c r="DS217" s="363">
        <f>+Model!DS285</f>
        <v>75.2</v>
      </c>
      <c r="DT217" s="1210">
        <f>+Model!DT285</f>
        <v>75.2</v>
      </c>
      <c r="DU217" s="363">
        <f>+Model!DU285</f>
        <v>102.5</v>
      </c>
      <c r="DV217" s="363">
        <f>+Model!DV285</f>
        <v>92.9</v>
      </c>
      <c r="DW217" s="1210">
        <f>+Model!DW285</f>
        <v>92.9</v>
      </c>
      <c r="DX217" s="363">
        <f>Model!DX285</f>
        <v>64.400000000000006</v>
      </c>
      <c r="DY217" s="363">
        <f>IF(DZ217&lt;&gt;"",DZ217,"")</f>
        <v>64.400000000000006</v>
      </c>
      <c r="DZ217" s="1210">
        <f>DX217</f>
        <v>64.400000000000006</v>
      </c>
      <c r="EA217" s="363">
        <f>DZ217</f>
        <v>64.400000000000006</v>
      </c>
      <c r="EB217" s="363">
        <f>IF(EC217&lt;&gt;"",EC217,"")</f>
        <v>64.400000000000006</v>
      </c>
      <c r="EC217" s="1210">
        <f>EA217</f>
        <v>64.400000000000006</v>
      </c>
      <c r="ED217" s="363">
        <f>EC217</f>
        <v>64.400000000000006</v>
      </c>
      <c r="EE217" s="363">
        <f>IF(EF217&lt;&gt;"",EF217,"")</f>
        <v>64.400000000000006</v>
      </c>
      <c r="EF217" s="1210">
        <f>ED217</f>
        <v>64.400000000000006</v>
      </c>
      <c r="EG217" s="363">
        <f>EF217</f>
        <v>64.400000000000006</v>
      </c>
      <c r="EH217" s="363">
        <f>IF(EI217&lt;&gt;"",EI217,"")</f>
        <v>64.400000000000006</v>
      </c>
      <c r="EI217" s="1210">
        <f>EG217</f>
        <v>64.400000000000006</v>
      </c>
      <c r="EJ217" s="363">
        <f>EI217</f>
        <v>64.400000000000006</v>
      </c>
      <c r="EK217" s="363">
        <f>IF(EL217&lt;&gt;"",EL217,"")</f>
        <v>64.400000000000006</v>
      </c>
      <c r="EL217" s="1210">
        <f>EJ217</f>
        <v>64.400000000000006</v>
      </c>
      <c r="EM217" s="363">
        <f>EL217</f>
        <v>64.400000000000006</v>
      </c>
      <c r="EN217" s="363">
        <f>IF(EO217&lt;&gt;"",EO217,"")</f>
        <v>64.400000000000006</v>
      </c>
      <c r="EO217" s="1210">
        <f>EM217</f>
        <v>64.400000000000006</v>
      </c>
      <c r="EP217" s="363">
        <f>EO217</f>
        <v>64.400000000000006</v>
      </c>
      <c r="EQ217" s="363">
        <f>IF(ER217&lt;&gt;"",ER217,"")</f>
        <v>64.400000000000006</v>
      </c>
      <c r="ER217" s="1210">
        <f>EP217</f>
        <v>64.400000000000006</v>
      </c>
      <c r="ES217" s="363">
        <f>ER217</f>
        <v>64.400000000000006</v>
      </c>
      <c r="ET217" s="363">
        <f>IF(EU217&lt;&gt;"",EU217,"")</f>
        <v>64.400000000000006</v>
      </c>
      <c r="EU217" s="1210">
        <f>ES217</f>
        <v>64.400000000000006</v>
      </c>
      <c r="EV217" s="363">
        <f>EU217</f>
        <v>64.400000000000006</v>
      </c>
      <c r="EW217" s="363">
        <f>IF(EX217&lt;&gt;"",EX217,"")</f>
        <v>64.400000000000006</v>
      </c>
      <c r="EX217" s="1210">
        <f>EV217</f>
        <v>64.400000000000006</v>
      </c>
      <c r="EY217" s="363">
        <f>EX217</f>
        <v>64.400000000000006</v>
      </c>
      <c r="EZ217" s="363">
        <f>IF(FA217&lt;&gt;"",FA217,"")</f>
        <v>64.400000000000006</v>
      </c>
      <c r="FA217" s="363">
        <f>EY217</f>
        <v>64.400000000000006</v>
      </c>
    </row>
    <row r="218" spans="1:157" ht="13.35" customHeight="1">
      <c r="A218" s="5"/>
      <c r="B218" s="5" t="s">
        <v>453</v>
      </c>
      <c r="C218" s="5"/>
      <c r="D218" s="5"/>
      <c r="E218" s="363" t="str">
        <f>IF(Model!E289&lt;&gt;"",Model!E289,"")</f>
        <v/>
      </c>
      <c r="F218" s="363" t="str">
        <f>IF(G218&lt;&gt;"",G218,"")</f>
        <v/>
      </c>
      <c r="G218" s="363" t="str">
        <f>IF(Model!G289&lt;&gt;"",Model!G289,"")</f>
        <v/>
      </c>
      <c r="H218" s="363" t="str">
        <f>IF(Model!H289&lt;&gt;"",Model!H289,"")</f>
        <v/>
      </c>
      <c r="I218" s="363" t="str">
        <f>IF(J218&lt;&gt;"",J218,"")</f>
        <v/>
      </c>
      <c r="J218" s="363" t="str">
        <f>IF(Model!J289&lt;&gt;"",Model!J289,"")</f>
        <v/>
      </c>
      <c r="K218" s="363" t="str">
        <f>IF(Model!K289&lt;&gt;"",Model!K289,"")</f>
        <v/>
      </c>
      <c r="L218" s="363" t="str">
        <f>IF(M218&lt;&gt;"",M218,"")</f>
        <v/>
      </c>
      <c r="M218" s="363" t="str">
        <f>IF(Model!M289&lt;&gt;"",Model!M289,"")</f>
        <v/>
      </c>
      <c r="N218" s="363" t="str">
        <f>IF(Model!N289&lt;&gt;"",Model!N289,"")</f>
        <v/>
      </c>
      <c r="O218" s="363" t="str">
        <f>IF(P218&lt;&gt;"",P218,"")</f>
        <v/>
      </c>
      <c r="P218" s="363" t="str">
        <f>IF(Model!P289&lt;&gt;"",Model!P289,"")</f>
        <v/>
      </c>
      <c r="Q218" s="363" t="str">
        <f>IF(Model!Q289&lt;&gt;"",Model!Q289,"")</f>
        <v/>
      </c>
      <c r="R218" s="363" t="str">
        <f>IF(S218&lt;&gt;"",S218,"")</f>
        <v/>
      </c>
      <c r="S218" s="363" t="str">
        <f>IF(Model!S289&lt;&gt;"",Model!S289,"")</f>
        <v/>
      </c>
      <c r="T218" s="363" t="str">
        <f>IF(Model!T289&lt;&gt;"",Model!T289,"")</f>
        <v/>
      </c>
      <c r="U218" s="363" t="str">
        <f>IF(V218&lt;&gt;"",V218,"")</f>
        <v/>
      </c>
      <c r="V218" s="363" t="str">
        <f>IF(Model!V289&lt;&gt;"",Model!V289,"")</f>
        <v/>
      </c>
      <c r="W218" s="363" t="str">
        <f>IF(Model!W289&lt;&gt;"",Model!W289,"")</f>
        <v/>
      </c>
      <c r="X218" s="363" t="str">
        <f>IF(Y218&lt;&gt;"",Y218,"")</f>
        <v/>
      </c>
      <c r="Y218" s="363" t="str">
        <f>IF(Model!Y289&lt;&gt;"",Model!Y289,"")</f>
        <v/>
      </c>
      <c r="Z218" s="363" t="str">
        <f>IF(Model!Z289&lt;&gt;"",Model!Z289,"")</f>
        <v/>
      </c>
      <c r="AA218" s="363" t="str">
        <f>IF(AB218&lt;&gt;"",AB218,"")</f>
        <v/>
      </c>
      <c r="AB218" s="363" t="str">
        <f>IF(Model!AB289&lt;&gt;"",Model!AB289,"")</f>
        <v/>
      </c>
      <c r="AC218" s="363" t="str">
        <f>IF(Model!AC289&lt;&gt;"",Model!AC289,"")</f>
        <v/>
      </c>
      <c r="AD218" s="363" t="str">
        <f>IF(AE218&lt;&gt;"",AE218,"")</f>
        <v/>
      </c>
      <c r="AE218" s="363" t="str">
        <f>IF(Model!AE289&lt;&gt;"",Model!AE289,"")</f>
        <v/>
      </c>
      <c r="AF218" s="363" t="str">
        <f>IF(Model!AF289&lt;&gt;"",Model!AF289,"")</f>
        <v/>
      </c>
      <c r="AG218" s="363" t="str">
        <f>IF(AH218&lt;&gt;"",AH218,"")</f>
        <v/>
      </c>
      <c r="AH218" s="363" t="str">
        <f>IF(Model!AH289&lt;&gt;"",Model!AH289,"")</f>
        <v/>
      </c>
      <c r="AI218" s="363">
        <f>IF(Model!AI289&lt;&gt;"",Model!AI289,"")</f>
        <v>4.4999999999999998E-2</v>
      </c>
      <c r="AJ218" s="363">
        <f>IF(AK218&lt;&gt;"",AK218,"")</f>
        <v>0.14199999999999999</v>
      </c>
      <c r="AK218" s="363">
        <f>IF(Model!AK289&lt;&gt;"",Model!AK289,"")</f>
        <v>0.14199999999999999</v>
      </c>
      <c r="AL218" s="363">
        <f>IF(Model!AL289&lt;&gt;"",Model!AL289,"")</f>
        <v>0.04</v>
      </c>
      <c r="AM218" s="363">
        <f>IF(AN218&lt;&gt;"",AN218,"")</f>
        <v>2.1000000000000001E-2</v>
      </c>
      <c r="AN218" s="363">
        <f>IF(Model!AN289&lt;&gt;"",Model!AN289,"")</f>
        <v>2.1000000000000001E-2</v>
      </c>
      <c r="AO218" s="363">
        <f>IF(Model!AO289&lt;&gt;"",Model!AO289,"")</f>
        <v>6.0000000000000001E-3</v>
      </c>
      <c r="AP218" s="363" t="str">
        <f>IF(AQ218&lt;&gt;"",AQ218,"")</f>
        <v/>
      </c>
      <c r="AQ218" s="363" t="str">
        <f>IF(Model!AQ289&lt;&gt;"",Model!AQ289,"")</f>
        <v/>
      </c>
      <c r="AR218" s="363">
        <f>IF(Model!AR289&lt;&gt;"",Model!AR289,"")</f>
        <v>0</v>
      </c>
      <c r="AS218" s="363">
        <f>IF(AT218&lt;&gt;"",AT218,"")</f>
        <v>0</v>
      </c>
      <c r="AT218" s="363">
        <f>IF(Model!AT289&lt;&gt;"",Model!AT289,"")</f>
        <v>0</v>
      </c>
      <c r="AU218" s="363" t="str">
        <f>IF(Model!AU289&lt;&gt;"",Model!AU289,"")</f>
        <v/>
      </c>
      <c r="AV218" s="363" t="str">
        <f>IF(AW218&lt;&gt;"",AW218,"")</f>
        <v/>
      </c>
      <c r="AW218" s="363" t="str">
        <f>IF(Model!AW289&lt;&gt;"",Model!AW289,"")</f>
        <v/>
      </c>
      <c r="AX218" s="363">
        <f>IF(Model!AX289&lt;&gt;"",Model!AX289,"")</f>
        <v>0</v>
      </c>
      <c r="AY218" s="363">
        <f>IF(AZ218&lt;&gt;"",AZ218,"")</f>
        <v>0</v>
      </c>
      <c r="AZ218" s="363">
        <f>IF(Model!AZ289&lt;&gt;"",Model!AZ289,"")</f>
        <v>0</v>
      </c>
      <c r="BA218" s="363">
        <f>IF(Model!BA289&lt;&gt;"",Model!BA289,"")</f>
        <v>0</v>
      </c>
      <c r="BB218" s="363">
        <f>IF(BC218&lt;&gt;"",BC218,"")</f>
        <v>0</v>
      </c>
      <c r="BC218" s="363">
        <f>IF(Model!BC289&lt;&gt;"",Model!BC289,"")</f>
        <v>0</v>
      </c>
      <c r="BD218" s="363"/>
      <c r="BE218" s="363" t="str">
        <f>IF(BF218&lt;&gt;"",BF218,"")</f>
        <v/>
      </c>
      <c r="BF218" s="363"/>
      <c r="BG218" s="363"/>
      <c r="BH218" s="363" t="str">
        <f>IF(BI218&lt;&gt;"",BI218,"")</f>
        <v/>
      </c>
      <c r="BI218" s="363"/>
      <c r="BJ218" s="363"/>
      <c r="BK218" s="363" t="str">
        <f>IF(BL218&lt;&gt;"",BL218,"")</f>
        <v/>
      </c>
      <c r="BL218" s="363"/>
      <c r="BM218" s="363"/>
      <c r="BN218" s="363" t="str">
        <f>IF(BO218&lt;&gt;"",BO218,"")</f>
        <v/>
      </c>
      <c r="BO218" s="363"/>
      <c r="BP218" s="363"/>
      <c r="BQ218" s="363" t="str">
        <f>IF(BR218&lt;&gt;"",BR218,"")</f>
        <v/>
      </c>
      <c r="BR218" s="363"/>
      <c r="BS218" s="363"/>
      <c r="BT218" s="363" t="str">
        <f>IF(BU218&lt;&gt;"",BU218,"")</f>
        <v/>
      </c>
      <c r="BU218" s="363"/>
      <c r="BV218" s="363"/>
      <c r="BW218" s="363" t="str">
        <f>IF(BX218&lt;&gt;"",BX218,"")</f>
        <v/>
      </c>
      <c r="BX218" s="363"/>
      <c r="BY218" s="363"/>
      <c r="BZ218" s="363" t="str">
        <f>IF(CA218&lt;&gt;"",CA218,"")</f>
        <v/>
      </c>
      <c r="CA218" s="363"/>
      <c r="CB218" s="363"/>
      <c r="CC218" s="363" t="str">
        <f>IF(CD218&lt;&gt;"",CD218,"")</f>
        <v/>
      </c>
      <c r="CD218" s="363"/>
      <c r="CE218" s="363"/>
      <c r="CF218" s="363" t="str">
        <f>IF(CG218&lt;&gt;"",CG218,"")</f>
        <v/>
      </c>
      <c r="CG218" s="363"/>
      <c r="CH218" s="363"/>
      <c r="CI218" s="363" t="str">
        <f>IF(CJ218&lt;&gt;"",CJ218,"")</f>
        <v/>
      </c>
      <c r="CJ218" s="363"/>
      <c r="CK218" s="363"/>
      <c r="CL218" s="363" t="str">
        <f>IF(CM218&lt;&gt;"",CM218,"")</f>
        <v/>
      </c>
      <c r="CM218" s="363"/>
      <c r="CN218" s="363"/>
      <c r="CO218" s="363" t="str">
        <f>IF(CP218&lt;&gt;"",CP218,"")</f>
        <v/>
      </c>
      <c r="CP218" s="363"/>
      <c r="CQ218" s="363"/>
      <c r="CR218" s="363" t="str">
        <f>IF(CS218&lt;&gt;"",CS218,"")</f>
        <v/>
      </c>
      <c r="CS218" s="363"/>
      <c r="CT218" s="363"/>
      <c r="CU218" s="363" t="str">
        <f>IF(CV218&lt;&gt;"",CV218,"")</f>
        <v/>
      </c>
      <c r="CV218" s="363"/>
      <c r="CW218" s="363"/>
      <c r="CX218" s="363" t="str">
        <f>IF(CY218&lt;&gt;"",CY218,"")</f>
        <v/>
      </c>
      <c r="CY218" s="363"/>
      <c r="CZ218" s="363"/>
      <c r="DA218" s="363" t="str">
        <f>IF(DB218&lt;&gt;"",DB218,"")</f>
        <v/>
      </c>
      <c r="DB218" s="363"/>
      <c r="DC218" s="363"/>
      <c r="DD218" s="363" t="str">
        <f>IF(DE218&lt;&gt;"",DE218,"")</f>
        <v/>
      </c>
      <c r="DE218" s="363"/>
      <c r="DF218" s="363">
        <f>B_NCL_AP_H1_20</f>
        <v>24.1</v>
      </c>
      <c r="DG218" s="363">
        <f>IF(DH218&lt;&gt;"",DH218,"")</f>
        <v>24.1</v>
      </c>
      <c r="DH218" s="363">
        <f>DF218</f>
        <v>24.1</v>
      </c>
      <c r="DI218" s="363"/>
      <c r="DJ218" s="363" t="str">
        <f>IF(DK218&lt;&gt;"",DK218,"")</f>
        <v/>
      </c>
      <c r="DK218" s="1210"/>
      <c r="DL218" s="363"/>
      <c r="DM218" s="363" t="str">
        <f>IF(DN218&lt;&gt;"",DN218,"")</f>
        <v/>
      </c>
      <c r="DN218" s="1210"/>
      <c r="DO218" s="363"/>
      <c r="DP218" s="363" t="str">
        <f>IF(DQ218&lt;&gt;"",DQ218,"")</f>
        <v/>
      </c>
      <c r="DQ218" s="1210"/>
      <c r="DR218" s="363"/>
      <c r="DS218" s="363" t="str">
        <f>IF(DT218&lt;&gt;"",DT218,"")</f>
        <v/>
      </c>
      <c r="DT218" s="1210"/>
      <c r="DU218" s="363"/>
      <c r="DV218" s="363" t="str">
        <f>IF(DW218&lt;&gt;"",DW218,"")</f>
        <v/>
      </c>
      <c r="DW218" s="1210"/>
      <c r="DX218" s="363"/>
      <c r="DY218" s="363" t="str">
        <f>IF(DZ218&lt;&gt;"",DZ218,"")</f>
        <v/>
      </c>
      <c r="DZ218" s="1210"/>
      <c r="EA218" s="363"/>
      <c r="EB218" s="363" t="str">
        <f>IF(EC218&lt;&gt;"",EC218,"")</f>
        <v/>
      </c>
      <c r="EC218" s="1210"/>
      <c r="ED218" s="363"/>
      <c r="EE218" s="363" t="str">
        <f>IF(EF218&lt;&gt;"",EF218,"")</f>
        <v/>
      </c>
      <c r="EF218" s="1210"/>
      <c r="EG218" s="363"/>
      <c r="EH218" s="363" t="str">
        <f>IF(EI218&lt;&gt;"",EI218,"")</f>
        <v/>
      </c>
      <c r="EI218" s="1210"/>
      <c r="EJ218" s="363"/>
      <c r="EK218" s="363" t="str">
        <f>IF(EL218&lt;&gt;"",EL218,"")</f>
        <v/>
      </c>
      <c r="EL218" s="1210"/>
      <c r="EM218" s="363"/>
      <c r="EN218" s="363" t="str">
        <f>IF(EO218&lt;&gt;"",EO218,"")</f>
        <v/>
      </c>
      <c r="EO218" s="1210"/>
      <c r="EP218" s="363"/>
      <c r="EQ218" s="363" t="str">
        <f>IF(ER218&lt;&gt;"",ER218,"")</f>
        <v/>
      </c>
      <c r="ER218" s="1210"/>
      <c r="ES218" s="363"/>
      <c r="ET218" s="363" t="str">
        <f>IF(EU218&lt;&gt;"",EU218,"")</f>
        <v/>
      </c>
      <c r="EU218" s="1210"/>
      <c r="EV218" s="363"/>
      <c r="EW218" s="363" t="str">
        <f>IF(EX218&lt;&gt;"",EX218,"")</f>
        <v/>
      </c>
      <c r="EX218" s="1210"/>
      <c r="EY218" s="363"/>
      <c r="EZ218" s="363" t="str">
        <f>IF(FA218&lt;&gt;"",FA218,"")</f>
        <v/>
      </c>
      <c r="FA218" s="363"/>
    </row>
    <row r="219" spans="1:157" ht="13.35" customHeight="1">
      <c r="A219" s="5"/>
      <c r="B219" s="5" t="s">
        <v>454</v>
      </c>
      <c r="C219" s="5"/>
      <c r="D219" s="5"/>
      <c r="E219" s="363" t="str">
        <f>IF(Model!E303&lt;&gt;"",Model!E303,"")</f>
        <v/>
      </c>
      <c r="F219" s="363" t="str">
        <f>IF(G219&lt;&gt;"",G219,"")</f>
        <v/>
      </c>
      <c r="G219" s="363" t="str">
        <f>IF(Model!G303&lt;&gt;"",Model!G303,"")</f>
        <v/>
      </c>
      <c r="H219" s="363" t="str">
        <f>IF(Model!H303&lt;&gt;"",Model!H303,"")</f>
        <v/>
      </c>
      <c r="I219" s="363" t="str">
        <f>IF(J219&lt;&gt;"",J219,"")</f>
        <v/>
      </c>
      <c r="J219" s="363" t="str">
        <f>IF(Model!J303&lt;&gt;"",Model!J303,"")</f>
        <v/>
      </c>
      <c r="K219" s="363" t="str">
        <f>IF(Model!K303&lt;&gt;"",Model!K303,"")</f>
        <v/>
      </c>
      <c r="L219" s="363" t="str">
        <f>IF(M219&lt;&gt;"",M219,"")</f>
        <v/>
      </c>
      <c r="M219" s="363" t="str">
        <f>IF(Model!M303&lt;&gt;"",Model!M303,"")</f>
        <v/>
      </c>
      <c r="N219" s="363" t="str">
        <f>IF(Model!N303&lt;&gt;"",Model!N303,"")</f>
        <v/>
      </c>
      <c r="O219" s="363" t="str">
        <f>IF(P219&lt;&gt;"",P219,"")</f>
        <v/>
      </c>
      <c r="P219" s="363" t="str">
        <f>IF(Model!P303&lt;&gt;"",Model!P303,"")</f>
        <v/>
      </c>
      <c r="Q219" s="363" t="str">
        <f>IF(Model!Q303&lt;&gt;"",Model!Q303,"")</f>
        <v/>
      </c>
      <c r="R219" s="363" t="str">
        <f>IF(S219&lt;&gt;"",S219,"")</f>
        <v/>
      </c>
      <c r="S219" s="363" t="str">
        <f>IF(Model!S303&lt;&gt;"",Model!S303,"")</f>
        <v/>
      </c>
      <c r="T219" s="363" t="str">
        <f>IF(Model!T303&lt;&gt;"",Model!T303,"")</f>
        <v/>
      </c>
      <c r="U219" s="363" t="str">
        <f>IF(V219&lt;&gt;"",V219,"")</f>
        <v/>
      </c>
      <c r="V219" s="363" t="str">
        <f>IF(Model!V303&lt;&gt;"",Model!V303,"")</f>
        <v/>
      </c>
      <c r="W219" s="363" t="str">
        <f>IF(Model!W303&lt;&gt;"",Model!W303,"")</f>
        <v/>
      </c>
      <c r="X219" s="363" t="str">
        <f>IF(Y219&lt;&gt;"",Y219,"")</f>
        <v/>
      </c>
      <c r="Y219" s="363" t="str">
        <f>IF(Model!Y303&lt;&gt;"",Model!Y303,"")</f>
        <v/>
      </c>
      <c r="Z219" s="363" t="str">
        <f>IF(Model!Z303&lt;&gt;"",Model!Z303,"")</f>
        <v/>
      </c>
      <c r="AA219" s="363" t="str">
        <f>IF(AB219&lt;&gt;"",AB219,"")</f>
        <v/>
      </c>
      <c r="AB219" s="363" t="str">
        <f>IF(Model!AB303&lt;&gt;"",Model!AB303,"")</f>
        <v/>
      </c>
      <c r="AC219" s="363" t="str">
        <f>IF(Model!AC303&lt;&gt;"",Model!AC303,"")</f>
        <v/>
      </c>
      <c r="AD219" s="363" t="str">
        <f>IF(AE219&lt;&gt;"",AE219,"")</f>
        <v/>
      </c>
      <c r="AE219" s="363" t="str">
        <f>IF(Model!AE303&lt;&gt;"",Model!AE303,"")</f>
        <v/>
      </c>
      <c r="AF219" s="363" t="str">
        <f>IF(Model!AF303&lt;&gt;"",Model!AF303,"")</f>
        <v/>
      </c>
      <c r="AG219" s="363" t="str">
        <f>IF(AH219&lt;&gt;"",AH219,"")</f>
        <v/>
      </c>
      <c r="AH219" s="363" t="str">
        <f>IF(Model!AH303&lt;&gt;"",Model!AH303,"")</f>
        <v/>
      </c>
      <c r="AI219" s="363" t="str">
        <f>IF(Model!AI303&lt;&gt;"",Model!AI303,"")</f>
        <v/>
      </c>
      <c r="AJ219" s="363" t="str">
        <f>IF(AK219&lt;&gt;"",AK219,"")</f>
        <v/>
      </c>
      <c r="AK219" s="363" t="str">
        <f>IF(Model!AK303&lt;&gt;"",Model!AK303,"")</f>
        <v/>
      </c>
      <c r="AL219" s="363" t="str">
        <f>IF(Model!AL303&lt;&gt;"",Model!AL303,"")</f>
        <v/>
      </c>
      <c r="AM219" s="363" t="str">
        <f>IF(AN219&lt;&gt;"",AN219,"")</f>
        <v/>
      </c>
      <c r="AN219" s="363" t="str">
        <f>IF(Model!AN303&lt;&gt;"",Model!AN303,"")</f>
        <v/>
      </c>
      <c r="AO219" s="363" t="str">
        <f>IF(Model!AO303&lt;&gt;"",Model!AO303,"")</f>
        <v/>
      </c>
      <c r="AP219" s="363" t="str">
        <f>IF(AQ219&lt;&gt;"",AQ219,"")</f>
        <v/>
      </c>
      <c r="AQ219" s="363" t="str">
        <f>IF(Model!AQ303&lt;&gt;"",Model!AQ303,"")</f>
        <v/>
      </c>
      <c r="AR219" s="363" t="str">
        <f>IF(Model!AR303&lt;&gt;"",Model!AR303,"")</f>
        <v/>
      </c>
      <c r="AS219" s="363">
        <f>IF(AT219&lt;&gt;"",AT219,"")</f>
        <v>0</v>
      </c>
      <c r="AT219" s="363">
        <f>IF(Model!AT303&lt;&gt;"",Model!AT303,"")</f>
        <v>0</v>
      </c>
      <c r="AU219" s="363">
        <f>IF(Model!AU303&lt;&gt;"",Model!AU303,"")</f>
        <v>0</v>
      </c>
      <c r="AV219" s="363" t="str">
        <f>IF(AW219&lt;&gt;"",AW219,"")</f>
        <v/>
      </c>
      <c r="AW219" s="363" t="str">
        <f>IF(Model!AW303&lt;&gt;"",Model!AW303,"")</f>
        <v/>
      </c>
      <c r="AX219" s="363">
        <f>IF(Model!AX303&lt;&gt;"",Model!AX303,"")</f>
        <v>0</v>
      </c>
      <c r="AY219" s="363">
        <f>IF(AZ219&lt;&gt;"",AZ219,"")</f>
        <v>0</v>
      </c>
      <c r="AZ219" s="363">
        <f>IF(Model!AZ303&lt;&gt;"",Model!AZ303,"")</f>
        <v>0</v>
      </c>
      <c r="BA219" s="363">
        <f>IF(Model!BA303&lt;&gt;"",Model!BA303,"")</f>
        <v>0</v>
      </c>
      <c r="BB219" s="363">
        <f>IF(BC219&lt;&gt;"",BC219,"")</f>
        <v>0</v>
      </c>
      <c r="BC219" s="363">
        <f>IF(Model!BC303&lt;&gt;"",Model!BC303,"")</f>
        <v>0</v>
      </c>
      <c r="BD219" s="363"/>
      <c r="BE219" s="363" t="str">
        <f>IF(BF219&lt;&gt;"",BF219,"")</f>
        <v/>
      </c>
      <c r="BF219" s="363"/>
      <c r="BG219" s="363"/>
      <c r="BH219" s="363" t="str">
        <f>IF(BI219&lt;&gt;"",BI219,"")</f>
        <v/>
      </c>
      <c r="BI219" s="363"/>
      <c r="BJ219" s="363"/>
      <c r="BK219" s="363" t="str">
        <f>IF(BL219&lt;&gt;"",BL219,"")</f>
        <v/>
      </c>
      <c r="BL219" s="363"/>
      <c r="BM219" s="363"/>
      <c r="BN219" s="363" t="str">
        <f>IF(BO219&lt;&gt;"",BO219,"")</f>
        <v/>
      </c>
      <c r="BO219" s="363"/>
      <c r="BP219" s="363"/>
      <c r="BQ219" s="363" t="str">
        <f>IF(BR219&lt;&gt;"",BR219,"")</f>
        <v/>
      </c>
      <c r="BR219" s="363"/>
      <c r="BS219" s="363"/>
      <c r="BT219" s="363"/>
      <c r="BU219" s="363"/>
      <c r="BV219" s="363"/>
      <c r="BW219" s="363"/>
      <c r="BX219" s="363"/>
      <c r="BY219" s="363"/>
      <c r="BZ219" s="363"/>
      <c r="CA219" s="363"/>
      <c r="CB219" s="363"/>
      <c r="CC219" s="363"/>
      <c r="CD219" s="363"/>
      <c r="CE219" s="363"/>
      <c r="CF219" s="363"/>
      <c r="CG219" s="363"/>
      <c r="CH219" s="363"/>
      <c r="CI219" s="363"/>
      <c r="CJ219" s="363"/>
      <c r="CK219" s="363"/>
      <c r="CL219" s="363"/>
      <c r="CM219" s="363"/>
      <c r="CN219" s="363"/>
      <c r="CO219" s="363"/>
      <c r="CP219" s="363"/>
      <c r="CQ219" s="363"/>
      <c r="CR219" s="363"/>
      <c r="CS219" s="363"/>
      <c r="CT219" s="363"/>
      <c r="CU219" s="363"/>
      <c r="CV219" s="363"/>
      <c r="CW219" s="363"/>
      <c r="CX219" s="363"/>
      <c r="CY219" s="363"/>
      <c r="CZ219" s="363"/>
      <c r="DA219" s="363"/>
      <c r="DB219" s="363"/>
      <c r="DC219" s="363"/>
      <c r="DD219" s="363"/>
      <c r="DE219" s="363"/>
      <c r="DF219" s="363">
        <f>B_NCL_Oth_H1_20</f>
        <v>3.8</v>
      </c>
      <c r="DG219" s="363"/>
      <c r="DH219" s="363">
        <f>DF219</f>
        <v>3.8</v>
      </c>
      <c r="DI219" s="363">
        <f>DH219</f>
        <v>3.8</v>
      </c>
      <c r="DJ219" s="363">
        <f>IF(DK219&lt;&gt;"",DK219,"")</f>
        <v>3.8</v>
      </c>
      <c r="DK219" s="1210">
        <f>DI219</f>
        <v>3.8</v>
      </c>
      <c r="DL219" s="363">
        <f>+Model!DL303</f>
        <v>9</v>
      </c>
      <c r="DM219" s="363">
        <f>+Model!DM303</f>
        <v>14.3</v>
      </c>
      <c r="DN219" s="1210">
        <f>+Model!DN303</f>
        <v>14.3</v>
      </c>
      <c r="DO219" s="363">
        <f>+Model!DO303</f>
        <v>11</v>
      </c>
      <c r="DP219" s="363">
        <f>+Model!DP303</f>
        <v>16.200000000000003</v>
      </c>
      <c r="DQ219" s="1210">
        <f>+Model!DQ303</f>
        <v>16.200000000000003</v>
      </c>
      <c r="DR219" s="363">
        <f>+Model!DR303</f>
        <v>9.5</v>
      </c>
      <c r="DS219" s="363">
        <f>+Model!DS303</f>
        <v>9</v>
      </c>
      <c r="DT219" s="1210">
        <f>+Model!DT303</f>
        <v>9</v>
      </c>
      <c r="DU219" s="363">
        <f>+Model!DU303</f>
        <v>20.9</v>
      </c>
      <c r="DV219" s="363">
        <f>+Model!DV303</f>
        <v>9.6</v>
      </c>
      <c r="DW219" s="1210">
        <f>+Model!DW303</f>
        <v>9.6</v>
      </c>
      <c r="DX219" s="363">
        <f>Model!DX303</f>
        <v>42.4</v>
      </c>
      <c r="DY219" s="363">
        <f>IF(DZ219&lt;&gt;"",DZ219,"")</f>
        <v>42.4</v>
      </c>
      <c r="DZ219" s="1210">
        <f>DX219</f>
        <v>42.4</v>
      </c>
      <c r="EA219" s="363">
        <f>DZ219</f>
        <v>42.4</v>
      </c>
      <c r="EB219" s="363">
        <f>IF(EC219&lt;&gt;"",EC219,"")</f>
        <v>42.4</v>
      </c>
      <c r="EC219" s="1210">
        <f>EA219</f>
        <v>42.4</v>
      </c>
      <c r="ED219" s="363">
        <f>EC219</f>
        <v>42.4</v>
      </c>
      <c r="EE219" s="363">
        <f>IF(EF219&lt;&gt;"",EF219,"")</f>
        <v>42.4</v>
      </c>
      <c r="EF219" s="1210">
        <f>ED219</f>
        <v>42.4</v>
      </c>
      <c r="EG219" s="363">
        <f>EF219</f>
        <v>42.4</v>
      </c>
      <c r="EH219" s="363">
        <f>IF(EI219&lt;&gt;"",EI219,"")</f>
        <v>42.4</v>
      </c>
      <c r="EI219" s="1210">
        <f>EG219</f>
        <v>42.4</v>
      </c>
      <c r="EJ219" s="363">
        <f>EI219</f>
        <v>42.4</v>
      </c>
      <c r="EK219" s="363">
        <f>IF(EL219&lt;&gt;"",EL219,"")</f>
        <v>42.4</v>
      </c>
      <c r="EL219" s="1210">
        <f>EJ219</f>
        <v>42.4</v>
      </c>
      <c r="EM219" s="363">
        <f>EL219</f>
        <v>42.4</v>
      </c>
      <c r="EN219" s="363">
        <f>IF(EO219&lt;&gt;"",EO219,"")</f>
        <v>42.4</v>
      </c>
      <c r="EO219" s="1210">
        <f>EM219</f>
        <v>42.4</v>
      </c>
      <c r="EP219" s="363">
        <f>EO219</f>
        <v>42.4</v>
      </c>
      <c r="EQ219" s="363">
        <f>IF(ER219&lt;&gt;"",ER219,"")</f>
        <v>42.4</v>
      </c>
      <c r="ER219" s="1210">
        <f>EP219</f>
        <v>42.4</v>
      </c>
      <c r="ES219" s="363">
        <f>ER219</f>
        <v>42.4</v>
      </c>
      <c r="ET219" s="363">
        <f>IF(EU219&lt;&gt;"",EU219,"")</f>
        <v>42.4</v>
      </c>
      <c r="EU219" s="1210">
        <f>ES219</f>
        <v>42.4</v>
      </c>
      <c r="EV219" s="363">
        <f>EU219</f>
        <v>42.4</v>
      </c>
      <c r="EW219" s="363">
        <f>IF(EX219&lt;&gt;"",EX219,"")</f>
        <v>42.4</v>
      </c>
      <c r="EX219" s="1210">
        <f>EV219</f>
        <v>42.4</v>
      </c>
      <c r="EY219" s="363">
        <f>EX219</f>
        <v>42.4</v>
      </c>
      <c r="EZ219" s="363">
        <f>IF(FA219&lt;&gt;"",FA219,"")</f>
        <v>42.4</v>
      </c>
      <c r="FA219" s="363">
        <f>EY219</f>
        <v>42.4</v>
      </c>
    </row>
    <row r="220" spans="1:157" ht="13.35" customHeight="1">
      <c r="A220" s="5"/>
      <c r="B220" s="5"/>
      <c r="C220" s="5"/>
      <c r="D220" s="5"/>
      <c r="E220" s="359"/>
      <c r="F220" s="359"/>
      <c r="G220" s="359"/>
      <c r="H220" s="359"/>
      <c r="I220" s="359"/>
      <c r="J220" s="359"/>
      <c r="K220" s="359"/>
      <c r="L220" s="359"/>
      <c r="M220" s="359"/>
      <c r="N220" s="359"/>
      <c r="O220" s="359"/>
      <c r="P220" s="359"/>
      <c r="Q220" s="359"/>
      <c r="R220" s="359"/>
      <c r="S220" s="359"/>
      <c r="T220" s="359"/>
      <c r="U220" s="359"/>
      <c r="V220" s="359"/>
      <c r="W220" s="359"/>
      <c r="X220" s="359"/>
      <c r="Y220" s="359"/>
      <c r="Z220" s="359"/>
      <c r="AA220" s="359"/>
      <c r="AB220" s="359"/>
      <c r="AC220" s="359"/>
      <c r="AD220" s="359"/>
      <c r="AE220" s="359"/>
      <c r="AF220" s="359"/>
      <c r="AG220" s="359"/>
      <c r="AH220" s="359"/>
      <c r="AI220" s="359"/>
      <c r="AJ220" s="359"/>
      <c r="AK220" s="359"/>
      <c r="AL220" s="359"/>
      <c r="AM220" s="359"/>
      <c r="AN220" s="359"/>
      <c r="AO220" s="359"/>
      <c r="AP220" s="359"/>
      <c r="AQ220" s="359"/>
      <c r="AR220" s="359"/>
      <c r="AS220" s="359"/>
      <c r="AT220" s="359"/>
      <c r="AU220" s="359"/>
      <c r="AV220" s="359"/>
      <c r="AW220" s="359"/>
      <c r="AX220" s="359"/>
      <c r="AY220" s="359"/>
      <c r="AZ220" s="359"/>
      <c r="BA220" s="359"/>
      <c r="BB220" s="359"/>
      <c r="BC220" s="359"/>
      <c r="BD220" s="359"/>
      <c r="BE220" s="359"/>
      <c r="BF220" s="359"/>
      <c r="BG220" s="359"/>
      <c r="BH220" s="359"/>
      <c r="BI220" s="359"/>
      <c r="BJ220" s="359"/>
      <c r="BK220" s="359"/>
      <c r="BL220" s="359"/>
      <c r="BM220" s="359"/>
      <c r="BN220" s="359"/>
      <c r="BO220" s="359"/>
      <c r="BP220" s="359"/>
      <c r="BQ220" s="359"/>
      <c r="BR220" s="359"/>
      <c r="BS220" s="359"/>
      <c r="BT220" s="359"/>
      <c r="BU220" s="359"/>
      <c r="BV220" s="359"/>
      <c r="BW220" s="359"/>
      <c r="BX220" s="359"/>
      <c r="BY220" s="405"/>
      <c r="BZ220" s="405"/>
      <c r="CA220" s="405"/>
      <c r="CB220" s="405"/>
      <c r="CC220" s="405"/>
      <c r="CD220" s="405"/>
      <c r="CE220" s="405"/>
      <c r="CF220" s="405"/>
      <c r="CG220" s="405"/>
      <c r="CH220" s="405"/>
      <c r="CI220" s="405"/>
      <c r="CJ220" s="405"/>
      <c r="CK220" s="405"/>
      <c r="CL220" s="405"/>
      <c r="CM220" s="405"/>
      <c r="CN220" s="405"/>
      <c r="CO220" s="405"/>
      <c r="CP220" s="405"/>
      <c r="CQ220" s="405"/>
      <c r="CR220" s="405"/>
      <c r="CS220" s="405"/>
      <c r="CT220" s="405"/>
      <c r="CU220" s="405"/>
      <c r="CV220" s="405"/>
      <c r="CW220" s="405"/>
      <c r="CX220" s="405"/>
      <c r="CY220" s="405"/>
      <c r="CZ220" s="405"/>
      <c r="DA220" s="405"/>
      <c r="DB220" s="405"/>
      <c r="DC220" s="405"/>
      <c r="DD220" s="405"/>
      <c r="DE220" s="405"/>
      <c r="DF220" s="405"/>
      <c r="DG220" s="405"/>
      <c r="DH220" s="405"/>
      <c r="DI220" s="405"/>
      <c r="DJ220" s="405"/>
      <c r="DK220" s="1224"/>
      <c r="DL220" s="405"/>
      <c r="DM220" s="405"/>
      <c r="DN220" s="1224"/>
      <c r="DO220" s="405"/>
      <c r="DP220" s="405"/>
      <c r="DQ220" s="1224"/>
      <c r="DR220" s="405"/>
      <c r="DS220" s="405"/>
      <c r="DT220" s="1224"/>
      <c r="DU220" s="405"/>
      <c r="DV220" s="405"/>
      <c r="DW220" s="1224"/>
      <c r="DX220" s="405"/>
      <c r="DY220" s="405"/>
      <c r="DZ220" s="1224"/>
      <c r="EA220" s="405"/>
      <c r="EB220" s="405"/>
      <c r="EC220" s="1224"/>
      <c r="ED220" s="405"/>
      <c r="EE220" s="405"/>
      <c r="EF220" s="1224"/>
      <c r="EG220" s="405"/>
      <c r="EH220" s="405"/>
      <c r="EI220" s="1224"/>
      <c r="EJ220" s="405"/>
      <c r="EK220" s="405"/>
      <c r="EL220" s="1224"/>
      <c r="EM220" s="405"/>
      <c r="EN220" s="405"/>
      <c r="EO220" s="1224"/>
      <c r="EP220" s="405"/>
      <c r="EQ220" s="405"/>
      <c r="ER220" s="1224"/>
      <c r="ES220" s="405"/>
      <c r="ET220" s="405"/>
      <c r="EU220" s="1224"/>
      <c r="EV220" s="405"/>
      <c r="EW220" s="405"/>
      <c r="EX220" s="1224"/>
      <c r="EY220" s="405"/>
      <c r="EZ220" s="405"/>
      <c r="FA220" s="405"/>
    </row>
    <row r="221" spans="1:157" ht="13.35" customHeight="1">
      <c r="A221" s="5"/>
      <c r="B221" s="5" t="s">
        <v>455</v>
      </c>
      <c r="C221" s="5"/>
      <c r="D221" s="5"/>
      <c r="E221" s="359"/>
      <c r="F221" s="359"/>
      <c r="G221" s="359"/>
      <c r="H221" s="359"/>
      <c r="I221" s="359"/>
      <c r="J221" s="359"/>
      <c r="K221" s="359"/>
      <c r="L221" s="359"/>
      <c r="M221" s="359"/>
      <c r="N221" s="359"/>
      <c r="O221" s="359"/>
      <c r="P221" s="359"/>
      <c r="Q221" s="359"/>
      <c r="R221" s="359"/>
      <c r="S221" s="359"/>
      <c r="T221" s="359"/>
      <c r="U221" s="359"/>
      <c r="V221" s="359"/>
      <c r="W221" s="359"/>
      <c r="X221" s="359"/>
      <c r="Y221" s="359"/>
      <c r="Z221" s="359"/>
      <c r="AA221" s="359"/>
      <c r="AB221" s="359"/>
      <c r="AC221" s="359"/>
      <c r="AD221" s="359"/>
      <c r="AE221" s="359"/>
      <c r="AF221" s="359"/>
      <c r="AG221" s="359"/>
      <c r="AH221" s="359"/>
      <c r="AI221" s="359"/>
      <c r="AJ221" s="359"/>
      <c r="AK221" s="359"/>
      <c r="AL221" s="359"/>
      <c r="AM221" s="359"/>
      <c r="AN221" s="359"/>
      <c r="AO221" s="359"/>
      <c r="AP221" s="359"/>
      <c r="AQ221" s="359"/>
      <c r="AR221" s="359"/>
      <c r="AS221" s="359"/>
      <c r="AT221" s="359"/>
      <c r="AU221" s="359"/>
      <c r="AV221" s="359"/>
      <c r="AW221" s="359"/>
      <c r="AX221" s="359"/>
      <c r="AY221" s="359"/>
      <c r="AZ221" s="359"/>
      <c r="BA221" s="359"/>
      <c r="BB221" s="359"/>
      <c r="BC221" s="359"/>
      <c r="BD221" s="359"/>
      <c r="BE221" s="359"/>
      <c r="BF221" s="359"/>
      <c r="BG221" s="359"/>
      <c r="BH221" s="359"/>
      <c r="BI221" s="359"/>
      <c r="BJ221" s="356">
        <v>0.24</v>
      </c>
      <c r="BK221" s="356">
        <f>BJ221</f>
        <v>0.24</v>
      </c>
      <c r="BL221" s="356">
        <v>0.23</v>
      </c>
      <c r="BM221" s="356">
        <f t="shared" ref="BM221:DK221" si="537">BL221</f>
        <v>0.23</v>
      </c>
      <c r="BN221" s="356">
        <f t="shared" si="537"/>
        <v>0.23</v>
      </c>
      <c r="BO221" s="356">
        <v>0.22</v>
      </c>
      <c r="BP221" s="356">
        <f t="shared" si="537"/>
        <v>0.22</v>
      </c>
      <c r="BQ221" s="356">
        <f t="shared" si="537"/>
        <v>0.22</v>
      </c>
      <c r="BR221" s="356">
        <f t="shared" si="537"/>
        <v>0.22</v>
      </c>
      <c r="BS221" s="356">
        <f t="shared" si="537"/>
        <v>0.22</v>
      </c>
      <c r="BT221" s="356">
        <f t="shared" si="537"/>
        <v>0.22</v>
      </c>
      <c r="BU221" s="356">
        <v>0.2</v>
      </c>
      <c r="BV221" s="356">
        <f t="shared" si="537"/>
        <v>0.2</v>
      </c>
      <c r="BW221" s="356">
        <f t="shared" si="537"/>
        <v>0.2</v>
      </c>
      <c r="BX221" s="356">
        <v>0.18</v>
      </c>
      <c r="BY221" s="356">
        <f t="shared" si="537"/>
        <v>0.18</v>
      </c>
      <c r="BZ221" s="356">
        <f t="shared" si="537"/>
        <v>0.18</v>
      </c>
      <c r="CA221" s="356">
        <v>0.17</v>
      </c>
      <c r="CB221" s="356">
        <f>CA221</f>
        <v>0.17</v>
      </c>
      <c r="CC221" s="356">
        <f>CB221</f>
        <v>0.17</v>
      </c>
      <c r="CD221" s="356">
        <v>0.17</v>
      </c>
      <c r="CE221" s="356">
        <v>0.15</v>
      </c>
      <c r="CF221" s="356">
        <f t="shared" si="537"/>
        <v>0.15</v>
      </c>
      <c r="CG221" s="356">
        <f t="shared" si="537"/>
        <v>0.15</v>
      </c>
      <c r="CH221" s="356">
        <v>0.14000000000000001</v>
      </c>
      <c r="CI221" s="356">
        <f t="shared" si="537"/>
        <v>0.14000000000000001</v>
      </c>
      <c r="CJ221" s="356">
        <f t="shared" si="537"/>
        <v>0.14000000000000001</v>
      </c>
      <c r="CK221" s="356">
        <v>0.13</v>
      </c>
      <c r="CL221" s="356">
        <f t="shared" si="537"/>
        <v>0.13</v>
      </c>
      <c r="CM221" s="356">
        <f t="shared" si="537"/>
        <v>0.13</v>
      </c>
      <c r="CN221" s="356">
        <v>0.12</v>
      </c>
      <c r="CO221" s="356">
        <f t="shared" si="537"/>
        <v>0.12</v>
      </c>
      <c r="CP221" s="356">
        <f t="shared" si="537"/>
        <v>0.12</v>
      </c>
      <c r="CQ221" s="356">
        <f t="shared" si="537"/>
        <v>0.12</v>
      </c>
      <c r="CR221" s="356">
        <f t="shared" si="537"/>
        <v>0.12</v>
      </c>
      <c r="CS221" s="356">
        <f t="shared" si="537"/>
        <v>0.12</v>
      </c>
      <c r="CT221" s="356">
        <f t="shared" si="537"/>
        <v>0.12</v>
      </c>
      <c r="CU221" s="356">
        <f t="shared" si="537"/>
        <v>0.12</v>
      </c>
      <c r="CV221" s="356">
        <f t="shared" si="537"/>
        <v>0.12</v>
      </c>
      <c r="CW221" s="356">
        <f t="shared" si="537"/>
        <v>0.12</v>
      </c>
      <c r="CX221" s="356">
        <f t="shared" si="537"/>
        <v>0.12</v>
      </c>
      <c r="CY221" s="356">
        <f t="shared" si="537"/>
        <v>0.12</v>
      </c>
      <c r="CZ221" s="356">
        <f t="shared" si="537"/>
        <v>0.12</v>
      </c>
      <c r="DA221" s="356">
        <f t="shared" si="537"/>
        <v>0.12</v>
      </c>
      <c r="DB221" s="356">
        <f t="shared" si="537"/>
        <v>0.12</v>
      </c>
      <c r="DC221" s="356">
        <f t="shared" si="537"/>
        <v>0.12</v>
      </c>
      <c r="DD221" s="356">
        <f t="shared" si="537"/>
        <v>0.12</v>
      </c>
      <c r="DE221" s="356">
        <f t="shared" si="537"/>
        <v>0.12</v>
      </c>
      <c r="DF221" s="356">
        <f t="shared" si="537"/>
        <v>0.12</v>
      </c>
      <c r="DG221" s="356">
        <f t="shared" si="537"/>
        <v>0.12</v>
      </c>
      <c r="DH221" s="356">
        <f t="shared" si="537"/>
        <v>0.12</v>
      </c>
      <c r="DI221" s="356">
        <f t="shared" si="537"/>
        <v>0.12</v>
      </c>
      <c r="DJ221" s="356">
        <f t="shared" si="537"/>
        <v>0.12</v>
      </c>
      <c r="DK221" s="1087">
        <f t="shared" si="537"/>
        <v>0.12</v>
      </c>
      <c r="DL221" s="356">
        <f t="shared" ref="DL221:DQ221" si="538">DK221</f>
        <v>0.12</v>
      </c>
      <c r="DM221" s="356">
        <f t="shared" si="538"/>
        <v>0.12</v>
      </c>
      <c r="DN221" s="1087">
        <f t="shared" si="538"/>
        <v>0.12</v>
      </c>
      <c r="DO221" s="356">
        <f t="shared" si="538"/>
        <v>0.12</v>
      </c>
      <c r="DP221" s="356">
        <f t="shared" si="538"/>
        <v>0.12</v>
      </c>
      <c r="DQ221" s="1087">
        <f t="shared" si="538"/>
        <v>0.12</v>
      </c>
      <c r="DR221" s="356">
        <f t="shared" ref="DR221:DU221" si="539">DQ221</f>
        <v>0.12</v>
      </c>
      <c r="DS221" s="356">
        <f t="shared" si="539"/>
        <v>0.12</v>
      </c>
      <c r="DT221" s="1087">
        <f t="shared" si="539"/>
        <v>0.12</v>
      </c>
      <c r="DU221" s="356">
        <f t="shared" si="539"/>
        <v>0.12</v>
      </c>
      <c r="DV221" s="356">
        <f t="shared" ref="DV221" si="540">DU221</f>
        <v>0.12</v>
      </c>
      <c r="DW221" s="1087">
        <f t="shared" ref="DW221" si="541">DV221</f>
        <v>0.12</v>
      </c>
      <c r="DX221" s="356">
        <f t="shared" ref="DX221:EF221" si="542">DW221</f>
        <v>0.12</v>
      </c>
      <c r="DY221" s="356">
        <f t="shared" si="542"/>
        <v>0.12</v>
      </c>
      <c r="DZ221" s="1087">
        <f t="shared" si="542"/>
        <v>0.12</v>
      </c>
      <c r="EA221" s="356">
        <f t="shared" si="542"/>
        <v>0.12</v>
      </c>
      <c r="EB221" s="356">
        <f t="shared" si="542"/>
        <v>0.12</v>
      </c>
      <c r="EC221" s="1087">
        <f t="shared" si="542"/>
        <v>0.12</v>
      </c>
      <c r="ED221" s="356">
        <f t="shared" si="542"/>
        <v>0.12</v>
      </c>
      <c r="EE221" s="356">
        <f t="shared" si="542"/>
        <v>0.12</v>
      </c>
      <c r="EF221" s="1087">
        <f t="shared" si="542"/>
        <v>0.12</v>
      </c>
      <c r="EG221" s="356">
        <f t="shared" ref="EG221:EL221" si="543">EF221</f>
        <v>0.12</v>
      </c>
      <c r="EH221" s="356">
        <f t="shared" si="543"/>
        <v>0.12</v>
      </c>
      <c r="EI221" s="1087">
        <f t="shared" si="543"/>
        <v>0.12</v>
      </c>
      <c r="EJ221" s="356">
        <f t="shared" si="543"/>
        <v>0.12</v>
      </c>
      <c r="EK221" s="356">
        <f t="shared" si="543"/>
        <v>0.12</v>
      </c>
      <c r="EL221" s="1087">
        <f t="shared" si="543"/>
        <v>0.12</v>
      </c>
      <c r="EM221" s="356">
        <f t="shared" ref="EM221:ER221" si="544">EL221</f>
        <v>0.12</v>
      </c>
      <c r="EN221" s="356">
        <f t="shared" si="544"/>
        <v>0.12</v>
      </c>
      <c r="EO221" s="1087">
        <f t="shared" si="544"/>
        <v>0.12</v>
      </c>
      <c r="EP221" s="356">
        <f t="shared" si="544"/>
        <v>0.12</v>
      </c>
      <c r="EQ221" s="356">
        <f t="shared" si="544"/>
        <v>0.12</v>
      </c>
      <c r="ER221" s="1087">
        <f t="shared" si="544"/>
        <v>0.12</v>
      </c>
      <c r="ES221" s="356">
        <f t="shared" ref="ES221" si="545">ER221</f>
        <v>0.12</v>
      </c>
      <c r="ET221" s="356">
        <f t="shared" ref="ET221" si="546">ES221</f>
        <v>0.12</v>
      </c>
      <c r="EU221" s="1087">
        <f t="shared" ref="EU221" si="547">ET221</f>
        <v>0.12</v>
      </c>
      <c r="EV221" s="356">
        <f t="shared" ref="EV221" si="548">EU221</f>
        <v>0.12</v>
      </c>
      <c r="EW221" s="356">
        <f t="shared" ref="EW221" si="549">EV221</f>
        <v>0.12</v>
      </c>
      <c r="EX221" s="1087">
        <f t="shared" ref="EX221" si="550">EW221</f>
        <v>0.12</v>
      </c>
      <c r="EY221" s="356">
        <f t="shared" ref="EY221" si="551">EX221</f>
        <v>0.12</v>
      </c>
      <c r="EZ221" s="356">
        <f t="shared" ref="EZ221" si="552">EY221</f>
        <v>0.12</v>
      </c>
      <c r="FA221" s="356">
        <f t="shared" ref="FA221" si="553">EZ221</f>
        <v>0.12</v>
      </c>
    </row>
    <row r="222" spans="1:157" ht="13.35" customHeight="1">
      <c r="A222" s="5"/>
      <c r="B222" s="5" t="s">
        <v>456</v>
      </c>
      <c r="C222" s="5"/>
      <c r="D222" s="363"/>
      <c r="E222" s="363" t="str">
        <f>IF(Model!E348&lt;&gt;"",Model!E348,"")</f>
        <v/>
      </c>
      <c r="F222" s="363" t="str">
        <f>IF(Model!F348&lt;&gt;"",Model!F348,"")</f>
        <v/>
      </c>
      <c r="G222" s="363" t="str">
        <f>IF(OR(E222&lt;&gt;"",F222&lt;&gt;""),SUM(E222:F222),"")</f>
        <v/>
      </c>
      <c r="H222" s="363" t="str">
        <f>IF(Model!H348&lt;&gt;"",Model!H348,"")</f>
        <v/>
      </c>
      <c r="I222" s="363" t="str">
        <f>IF(Model!I348&lt;&gt;"",Model!I348,"")</f>
        <v/>
      </c>
      <c r="J222" s="363" t="str">
        <f>IF(OR(H222&lt;&gt;"",I222&lt;&gt;""),SUM(H222:I222),"")</f>
        <v/>
      </c>
      <c r="K222" s="363" t="str">
        <f>IF(Model!K348&lt;&gt;"",Model!K348,"")</f>
        <v/>
      </c>
      <c r="L222" s="363" t="str">
        <f>IF(Model!L348&lt;&gt;"",Model!L348,"")</f>
        <v/>
      </c>
      <c r="M222" s="363" t="str">
        <f>IF(OR(K222&lt;&gt;"",L222&lt;&gt;""),SUM(K222:L222),"")</f>
        <v/>
      </c>
      <c r="N222" s="363" t="str">
        <f>IF(Model!N348&lt;&gt;"",Model!N348,"")</f>
        <v/>
      </c>
      <c r="O222" s="363" t="str">
        <f>IF(Model!O348&lt;&gt;"",Model!O348,"")</f>
        <v/>
      </c>
      <c r="P222" s="363" t="str">
        <f>IF(OR(N222&lt;&gt;"",O222&lt;&gt;""),SUM(N222:O222),"")</f>
        <v/>
      </c>
      <c r="Q222" s="363" t="str">
        <f>IF(Model!Q348&lt;&gt;"",Model!Q348,"")</f>
        <v/>
      </c>
      <c r="R222" s="363" t="str">
        <f>IF(Model!R348&lt;&gt;"",Model!R348,"")</f>
        <v/>
      </c>
      <c r="S222" s="363" t="str">
        <f>IF(OR(Q222&lt;&gt;"",R222&lt;&gt;""),SUM(Q222:R222),"")</f>
        <v/>
      </c>
      <c r="T222" s="363" t="str">
        <f>IF(Model!T348&lt;&gt;"",Model!T348,"")</f>
        <v/>
      </c>
      <c r="U222" s="363" t="str">
        <f>IF(Model!U348&lt;&gt;"",Model!U348,"")</f>
        <v/>
      </c>
      <c r="V222" s="363" t="str">
        <f>IF(OR(T222&lt;&gt;"",U222&lt;&gt;""),SUM(T222:U222),"")</f>
        <v/>
      </c>
      <c r="W222" s="363" t="str">
        <f>IF(Model!W348&lt;&gt;"",Model!W348,"")</f>
        <v/>
      </c>
      <c r="X222" s="363" t="str">
        <f>IF(Model!X348&lt;&gt;"",Model!X348,"")</f>
        <v/>
      </c>
      <c r="Y222" s="363" t="str">
        <f>IF(OR(W222&lt;&gt;"",X222&lt;&gt;""),SUM(W222:X222),"")</f>
        <v/>
      </c>
      <c r="Z222" s="363" t="str">
        <f>IF(Model!Z348&lt;&gt;"",Model!Z348,"")</f>
        <v/>
      </c>
      <c r="AA222" s="363" t="str">
        <f>IF(Model!AA348&lt;&gt;"",Model!AA348,"")</f>
        <v/>
      </c>
      <c r="AB222" s="363" t="str">
        <f>IF(OR(Z222&lt;&gt;"",AA222&lt;&gt;""),SUM(Z222:AA222),"")</f>
        <v/>
      </c>
      <c r="AC222" s="363" t="str">
        <f>IF(Model!AC348&lt;&gt;"",Model!AC348,"")</f>
        <v/>
      </c>
      <c r="AD222" s="363" t="str">
        <f>IF(Model!AD348&lt;&gt;"",Model!AD348,"")</f>
        <v/>
      </c>
      <c r="AE222" s="363" t="str">
        <f>IF(OR(AC222&lt;&gt;"",AD222&lt;&gt;""),SUM(AC222:AD222),"")</f>
        <v/>
      </c>
      <c r="AF222" s="363" t="str">
        <f>IF(Model!AF348&lt;&gt;"",Model!AF348,"")</f>
        <v/>
      </c>
      <c r="AG222" s="363" t="str">
        <f>IF(Model!AG348&lt;&gt;"",Model!AG348,"")</f>
        <v/>
      </c>
      <c r="AH222" s="363" t="str">
        <f>IF(OR(AF222&lt;&gt;"",AG222&lt;&gt;""),SUM(AF222:AG222),"")</f>
        <v/>
      </c>
      <c r="AI222" s="363">
        <f>IF(Model!AI348&lt;&gt;"",Model!AI348,"")</f>
        <v>0</v>
      </c>
      <c r="AJ222" s="363">
        <f>IF(Model!AJ348&lt;&gt;"",Model!AJ348,"")</f>
        <v>0</v>
      </c>
      <c r="AK222" s="363">
        <f>IF(OR(AI222&lt;&gt;"",AJ222&lt;&gt;""),SUM(AI222:AJ222),"")</f>
        <v>0</v>
      </c>
      <c r="AL222" s="363">
        <f>IF(Model!AL348&lt;&gt;"",Model!AL348,"")</f>
        <v>5</v>
      </c>
      <c r="AM222" s="363">
        <f>IF(Model!AM348&lt;&gt;"",Model!AM348,"")</f>
        <v>7.5</v>
      </c>
      <c r="AN222" s="363">
        <f>IF(OR(AL222&lt;&gt;"",AM222&lt;&gt;""),SUM(AL222:AM222),"")</f>
        <v>12.5</v>
      </c>
      <c r="AO222" s="363">
        <f>IF(Model!AO348&lt;&gt;"",Model!AO348,"")</f>
        <v>5</v>
      </c>
      <c r="AP222" s="363">
        <f>IF(Model!AP348&lt;&gt;"",Model!AP348,"")</f>
        <v>7.5</v>
      </c>
      <c r="AQ222" s="363">
        <f>IF(OR(AO222&lt;&gt;"",AP222&lt;&gt;""),SUM(AO222:AP222),"")</f>
        <v>12.5</v>
      </c>
      <c r="AR222" s="363">
        <f>IF(Model!AR348&lt;&gt;"",Model!AR348,"")</f>
        <v>6</v>
      </c>
      <c r="AS222" s="363">
        <f>IF(Model!AS348&lt;&gt;"",Model!AS348,"")</f>
        <v>9.5</v>
      </c>
      <c r="AT222" s="363">
        <f>IF(OR(AR222&lt;&gt;"",AS222&lt;&gt;""),SUM(AR222:AS222),"")</f>
        <v>15.5</v>
      </c>
      <c r="AU222" s="363">
        <f>IF(Model!AU348&lt;&gt;"",Model!AU348,"")</f>
        <v>8</v>
      </c>
      <c r="AV222" s="363">
        <f>IF(Model!AV348&lt;&gt;"",Model!AV348,"")</f>
        <v>20</v>
      </c>
      <c r="AW222" s="363">
        <f>IF(OR(AU222&lt;&gt;"",AV222&lt;&gt;""),SUM(AU222:AV222),"")</f>
        <v>28</v>
      </c>
      <c r="AX222" s="363">
        <f>IF(Model!AX348&lt;&gt;"",Model!AX348,"")</f>
        <v>15</v>
      </c>
      <c r="AY222" s="363">
        <f>IF(Model!AY348&lt;&gt;"",Model!AY348,"")</f>
        <v>15</v>
      </c>
      <c r="AZ222" s="363">
        <f>IF(OR(AX222&lt;&gt;"",AY222&lt;&gt;""),SUM(AX222:AY222),"")</f>
        <v>30</v>
      </c>
      <c r="BA222" s="363">
        <f>IF(Model!BA348&lt;&gt;"",Model!BA348,"")</f>
        <v>20</v>
      </c>
      <c r="BB222" s="363">
        <f>IF(Model!BB348&lt;&gt;"",Model!BB348,"")</f>
        <v>21</v>
      </c>
      <c r="BC222" s="363">
        <f>IF(OR(BA222&lt;&gt;"",BB222&lt;&gt;""),SUM(BA222:BB222),"")</f>
        <v>41</v>
      </c>
      <c r="BD222" s="359">
        <v>21</v>
      </c>
      <c r="BE222" s="359">
        <v>31</v>
      </c>
      <c r="BF222" s="363">
        <f>IF(OR(BD222&lt;&gt;"",BE222&lt;&gt;""),SUM(BD222:BE222),"")</f>
        <v>52</v>
      </c>
      <c r="BG222" s="359">
        <v>33</v>
      </c>
      <c r="BH222" s="359">
        <v>44</v>
      </c>
      <c r="BI222" s="363">
        <f>IF(OR(BG222&lt;&gt;"",BH222&lt;&gt;""),SUM(BG222:BH222),"")</f>
        <v>77</v>
      </c>
      <c r="BJ222" s="359">
        <v>35</v>
      </c>
      <c r="BK222" s="359">
        <v>44</v>
      </c>
      <c r="BL222" s="363">
        <f>IF(OR(BJ222&lt;&gt;"",BK222&lt;&gt;""),SUM(BJ222:BK222),"")</f>
        <v>79</v>
      </c>
      <c r="BM222" s="359">
        <v>33</v>
      </c>
      <c r="BN222" s="359">
        <v>45</v>
      </c>
      <c r="BO222" s="363">
        <f>IF(OR(BM222&lt;&gt;"",BN222&lt;&gt;""),SUM(BM222:BN222),"")</f>
        <v>78</v>
      </c>
      <c r="BP222" s="359">
        <v>45</v>
      </c>
      <c r="BQ222" s="359">
        <v>55</v>
      </c>
      <c r="BR222" s="363">
        <f>IF(OR(BP222&lt;&gt;"",BQ222&lt;&gt;""),SUM(BP222:BQ222),"")</f>
        <v>100</v>
      </c>
      <c r="BS222" s="359">
        <v>55</v>
      </c>
      <c r="BT222" s="359">
        <v>70</v>
      </c>
      <c r="BU222" s="363">
        <f>SUM(BS222:BT222)</f>
        <v>125</v>
      </c>
      <c r="BV222" s="359">
        <v>70</v>
      </c>
      <c r="BW222" s="359">
        <v>80</v>
      </c>
      <c r="BX222" s="363">
        <f>SUM(BV222:BW222)</f>
        <v>150</v>
      </c>
      <c r="BY222" s="359">
        <f>BY223*Model!BY11</f>
        <v>79.667743587008516</v>
      </c>
      <c r="BZ222" s="359">
        <f>BZ223*Model!BZ11</f>
        <v>68.8718768412092</v>
      </c>
      <c r="CA222" s="363">
        <f>SUM(BY222:BZ222)</f>
        <v>148.53962042821772</v>
      </c>
      <c r="CB222" s="359">
        <f>CB223*Model!CB11</f>
        <v>94.996488422557292</v>
      </c>
      <c r="CC222" s="359">
        <f>CC223*Model!CC11</f>
        <v>104.95775422895993</v>
      </c>
      <c r="CD222" s="363">
        <f>SUM(CB222:CC222)</f>
        <v>199.95424265151723</v>
      </c>
      <c r="CE222" s="359">
        <f>CE223*Model!CE11</f>
        <v>108.6825718911041</v>
      </c>
      <c r="CF222" s="359">
        <f>CF223*Model!CF11</f>
        <v>120</v>
      </c>
      <c r="CG222" s="363">
        <f>SUM(CE222:CF222)</f>
        <v>228.68257189110409</v>
      </c>
      <c r="CH222" s="359">
        <f>CH223*Model!CH11</f>
        <v>119.99381445636206</v>
      </c>
      <c r="CI222" s="359">
        <f>CI223*Model!CI11</f>
        <v>125.02944754269036</v>
      </c>
      <c r="CJ222" s="363">
        <f>SUM(CH222:CI222)</f>
        <v>245.02326199905241</v>
      </c>
      <c r="CK222" s="359">
        <f>CK223*Model!CK11</f>
        <v>125</v>
      </c>
      <c r="CL222" s="359">
        <f>CL223*Model!CL11</f>
        <v>127.50841865815565</v>
      </c>
      <c r="CM222" s="363">
        <f>SUM(CK222:CL222)</f>
        <v>252.50841865815565</v>
      </c>
      <c r="CN222" s="359">
        <f>CN223*Model!CN11</f>
        <v>126.99450367412967</v>
      </c>
      <c r="CO222" s="359">
        <f>CO223*Model!CO11</f>
        <v>127.3153552960391</v>
      </c>
      <c r="CP222" s="363">
        <f>SUM(CN222:CO222)</f>
        <v>254.30985897016876</v>
      </c>
      <c r="CQ222" s="359">
        <f>CQ223*Model!CQ11</f>
        <v>89.999999999999972</v>
      </c>
      <c r="CR222" s="359">
        <f>CR223*Model!CR11</f>
        <v>100.02440133586431</v>
      </c>
      <c r="CS222" s="363">
        <f>SUM(CQ222:CR222)</f>
        <v>190.0244013358643</v>
      </c>
      <c r="CT222" s="359">
        <f>CT223*Model!CT11</f>
        <v>109.45905852384651</v>
      </c>
      <c r="CU222" s="359">
        <f>CU223*Model!CU11</f>
        <v>120.30750617953255</v>
      </c>
      <c r="CV222" s="363">
        <f>SUM(CT222:CU222)</f>
        <v>229.76656470337906</v>
      </c>
      <c r="CW222" s="359">
        <f>CW223*Model!CW11</f>
        <v>135.7439256904006</v>
      </c>
      <c r="CX222" s="359">
        <f>CX223*Model!CX11</f>
        <v>136.91392292862966</v>
      </c>
      <c r="CY222" s="363">
        <f>SUM(CW222:CX222)</f>
        <v>272.65784861903023</v>
      </c>
      <c r="CZ222" s="359">
        <f>CZ223*Model!CZ11</f>
        <v>140</v>
      </c>
      <c r="DA222" s="359">
        <f>DA223*Model!DA11</f>
        <v>160</v>
      </c>
      <c r="DB222" s="363">
        <f>SUM(CZ222:DA222)</f>
        <v>300</v>
      </c>
      <c r="DC222" s="359">
        <f>DC223*Model!DC11</f>
        <v>154.36342199386965</v>
      </c>
      <c r="DD222" s="359">
        <f>DD223*Model!DD11</f>
        <v>175.60243983638472</v>
      </c>
      <c r="DE222" s="363">
        <f>SUM(DC222:DD222)</f>
        <v>329.96586183025437</v>
      </c>
      <c r="DF222" s="359">
        <f>DF223*Model!DF11</f>
        <v>160.12356527671443</v>
      </c>
      <c r="DG222" s="359">
        <f>DG223*Model!DG11</f>
        <v>23.938515186972857</v>
      </c>
      <c r="DH222" s="363">
        <f>SUM(DF222:DG222)</f>
        <v>184.06208046368729</v>
      </c>
      <c r="DI222" s="359">
        <f>DI223*Model!DI11</f>
        <v>115.31780066025546</v>
      </c>
      <c r="DJ222" s="359">
        <f>DJ223*Model!DJ11</f>
        <v>144.40738454597454</v>
      </c>
      <c r="DK222" s="1210">
        <f>SUM(DI222:DJ222)</f>
        <v>259.72518520622998</v>
      </c>
      <c r="DL222" s="359">
        <f>DL223*Model!DL11</f>
        <v>147.71234494979331</v>
      </c>
      <c r="DM222" s="359">
        <f>DM223*Model!DM11</f>
        <v>170.57319285753039</v>
      </c>
      <c r="DN222" s="1210">
        <f>SUM(DL222:DM222)</f>
        <v>318.28553780732369</v>
      </c>
      <c r="DO222" s="359">
        <f>DO223*Model!DO11</f>
        <v>168.27926542827873</v>
      </c>
      <c r="DP222" s="359">
        <f>DP223*Model!DP11</f>
        <v>190.87262027520498</v>
      </c>
      <c r="DQ222" s="1210">
        <f>SUM(DO222:DP222)</f>
        <v>359.15188570348369</v>
      </c>
      <c r="DR222" s="359">
        <f>DR223*Model!DR11</f>
        <v>212.41040267939533</v>
      </c>
      <c r="DS222" s="359">
        <f>DS223*Model!DS11</f>
        <v>220.03063728446679</v>
      </c>
      <c r="DT222" s="1210">
        <f>SUM(DR222:DS222)</f>
        <v>432.44103996386212</v>
      </c>
      <c r="DU222" s="359">
        <f>DU223*Model!DU11</f>
        <v>227.94977250815984</v>
      </c>
      <c r="DV222" s="359">
        <f>DV223*Model!DV11</f>
        <v>217.47075126816355</v>
      </c>
      <c r="DW222" s="1210">
        <f>SUM(DU222:DV222)</f>
        <v>445.42052377632342</v>
      </c>
      <c r="DX222" s="359">
        <f>DX223*Model!DX11</f>
        <v>210.4434281540594</v>
      </c>
      <c r="DY222" s="359">
        <f>DY223*Model!DY11</f>
        <v>235.47899065013735</v>
      </c>
      <c r="DZ222" s="1210">
        <f>SUM(DX222:DY222)</f>
        <v>445.92241880419675</v>
      </c>
      <c r="EA222" s="359">
        <f>EA223*Model!EA11</f>
        <v>254.28536114888956</v>
      </c>
      <c r="EB222" s="359">
        <f>EB223*Model!EB11</f>
        <v>263.02134238630254</v>
      </c>
      <c r="EC222" s="1210">
        <f>SUM(EA222:EB222)</f>
        <v>517.30670353519213</v>
      </c>
      <c r="ED222" s="359">
        <f>ED223*Model!ED11</f>
        <v>284.70780594644009</v>
      </c>
      <c r="EE222" s="359">
        <f>EE223*Model!EE11</f>
        <v>294.63378966695899</v>
      </c>
      <c r="EF222" s="1210">
        <f>SUM(ED222:EE222)</f>
        <v>579.34159561339902</v>
      </c>
      <c r="EG222" s="359">
        <f>EG223*Model!EG11</f>
        <v>318.38099359449359</v>
      </c>
      <c r="EH222" s="359">
        <f>EH223*Model!EH11</f>
        <v>328.33991281388234</v>
      </c>
      <c r="EI222" s="1210">
        <f>SUM(EG222:EH222)</f>
        <v>646.72090640837587</v>
      </c>
      <c r="EJ222" s="359">
        <f>EJ223*Model!EJ11</f>
        <v>351.09811092039644</v>
      </c>
      <c r="EK222" s="359">
        <f>EK223*Model!EK11</f>
        <v>362.0675830518876</v>
      </c>
      <c r="EL222" s="1210">
        <f>SUM(EJ222:EK222)</f>
        <v>713.16569397228409</v>
      </c>
      <c r="EM222" s="359">
        <f>EM223*Model!EM11</f>
        <v>385.43779400076556</v>
      </c>
      <c r="EN222" s="359">
        <f>EN223*Model!EN11</f>
        <v>397.44433170359861</v>
      </c>
      <c r="EO222" s="1210">
        <f>SUM(EM222:EN222)</f>
        <v>782.88212570436417</v>
      </c>
      <c r="EP222" s="359">
        <f>EP223*Model!EP11</f>
        <v>421.98871082936921</v>
      </c>
      <c r="EQ222" s="359">
        <f>EQ223*Model!EQ11</f>
        <v>435.07583692545757</v>
      </c>
      <c r="ER222" s="1210">
        <f>SUM(EP222:EQ222)</f>
        <v>857.06454775482678</v>
      </c>
      <c r="ES222" s="359">
        <f>ES223*Model!ES11</f>
        <v>461.89569750532934</v>
      </c>
      <c r="ET222" s="359">
        <f>ET223*Model!ET11</f>
        <v>476.1606649500655</v>
      </c>
      <c r="EU222" s="1210">
        <f>SUM(ES222:ET222)</f>
        <v>938.05636245539483</v>
      </c>
      <c r="EV222" s="359">
        <f>EV223*Model!EV11</f>
        <v>505.46841354317081</v>
      </c>
      <c r="EW222" s="359">
        <f>EW223*Model!EW11</f>
        <v>521.01722805793338</v>
      </c>
      <c r="EX222" s="1210">
        <f>SUM(EV222:EW222)</f>
        <v>1026.4856416011041</v>
      </c>
      <c r="EY222" s="359">
        <f>EY223*Model!EY11</f>
        <v>553.04619887859269</v>
      </c>
      <c r="EZ222" s="359">
        <f>EZ223*Model!EZ11</f>
        <v>569.99440669968385</v>
      </c>
      <c r="FA222" s="363">
        <f>SUM(EY222:EZ222)</f>
        <v>1123.0406055782764</v>
      </c>
    </row>
    <row r="223" spans="1:157" ht="13.35" customHeight="1">
      <c r="A223" s="5"/>
      <c r="B223" s="5" t="s">
        <v>330</v>
      </c>
      <c r="C223" s="5"/>
      <c r="D223" s="5"/>
      <c r="E223" s="356" t="str">
        <f>IF(ISERROR(Model!E365),"",IF(Model!E365&lt;&gt;"",Model!E365,""))</f>
        <v/>
      </c>
      <c r="F223" s="356" t="str">
        <f>IF(ISERROR(Model!F365),"",IF(Model!F365&lt;&gt;"",Model!F365,""))</f>
        <v/>
      </c>
      <c r="G223" s="356" t="str">
        <f>IF(ISERROR(Model!G365),"",IF(Model!G365&lt;&gt;"",Model!G365,""))</f>
        <v/>
      </c>
      <c r="H223" s="356" t="str">
        <f>IF(ISERROR(Model!H365),"",IF(Model!H365&lt;&gt;"",Model!H365,""))</f>
        <v/>
      </c>
      <c r="I223" s="356" t="str">
        <f>IF(ISERROR(Model!I365),"",IF(Model!I365&lt;&gt;"",Model!I365,""))</f>
        <v/>
      </c>
      <c r="J223" s="356" t="str">
        <f>IF(ISERROR(Model!J365),"",IF(Model!J365&lt;&gt;"",Model!J365,""))</f>
        <v/>
      </c>
      <c r="K223" s="356" t="str">
        <f>IF(ISERROR(Model!K365),"",IF(Model!K365&lt;&gt;"",Model!K365,""))</f>
        <v/>
      </c>
      <c r="L223" s="356" t="str">
        <f>IF(ISERROR(Model!L365),"",IF(Model!L365&lt;&gt;"",Model!L365,""))</f>
        <v/>
      </c>
      <c r="M223" s="356" t="str">
        <f>IF(ISERROR(Model!M365),"",IF(Model!M365&lt;&gt;"",Model!M365,""))</f>
        <v/>
      </c>
      <c r="N223" s="356" t="str">
        <f>IF(ISERROR(Model!N365),"",IF(Model!N365&lt;&gt;"",Model!N365,""))</f>
        <v/>
      </c>
      <c r="O223" s="356" t="str">
        <f>IF(ISERROR(Model!O365),"",IF(Model!O365&lt;&gt;"",Model!O365,""))</f>
        <v/>
      </c>
      <c r="P223" s="356" t="str">
        <f>IF(ISERROR(Model!P365),"",IF(Model!P365&lt;&gt;"",Model!P365,""))</f>
        <v/>
      </c>
      <c r="Q223" s="356" t="str">
        <f>IF(ISERROR(Model!Q365),"",IF(Model!Q365&lt;&gt;"",Model!Q365,""))</f>
        <v/>
      </c>
      <c r="R223" s="356" t="str">
        <f>IF(ISERROR(Model!R365),"",IF(Model!R365&lt;&gt;"",Model!R365,""))</f>
        <v/>
      </c>
      <c r="S223" s="356" t="str">
        <f>IF(ISERROR(Model!S365),"",IF(Model!S365&lt;&gt;"",Model!S365,""))</f>
        <v/>
      </c>
      <c r="T223" s="356" t="str">
        <f>IF(ISERROR(Model!T365),"",IF(Model!T365&lt;&gt;"",Model!T365,""))</f>
        <v/>
      </c>
      <c r="U223" s="356" t="str">
        <f>IF(ISERROR(Model!U365),"",IF(Model!U365&lt;&gt;"",Model!U365,""))</f>
        <v/>
      </c>
      <c r="V223" s="356" t="str">
        <f>IF(ISERROR(Model!V365),"",IF(Model!V365&lt;&gt;"",Model!V365,""))</f>
        <v/>
      </c>
      <c r="W223" s="356" t="str">
        <f>IF(ISERROR(Model!W365),"",IF(Model!W365&lt;&gt;"",Model!W365,""))</f>
        <v/>
      </c>
      <c r="X223" s="356" t="str">
        <f>IF(ISERROR(Model!X365),"",IF(Model!X365&lt;&gt;"",Model!X365,""))</f>
        <v/>
      </c>
      <c r="Y223" s="356" t="str">
        <f>IF(ISERROR(Model!Y365),"",IF(Model!Y365&lt;&gt;"",Model!Y365,""))</f>
        <v/>
      </c>
      <c r="Z223" s="356" t="str">
        <f>IF(ISERROR(Model!Z365),"",IF(Model!Z365&lt;&gt;"",Model!Z365,""))</f>
        <v/>
      </c>
      <c r="AA223" s="356" t="str">
        <f>IF(ISERROR(Model!AA365),"",IF(Model!AA365&lt;&gt;"",Model!AA365,""))</f>
        <v/>
      </c>
      <c r="AB223" s="356" t="str">
        <f>IF(ISERROR(Model!AB365),"",IF(Model!AB365&lt;&gt;"",Model!AB365,""))</f>
        <v/>
      </c>
      <c r="AC223" s="356" t="str">
        <f>IF(ISERROR(Model!AC365),"",IF(Model!AC365&lt;&gt;"",Model!AC365,""))</f>
        <v/>
      </c>
      <c r="AD223" s="356" t="str">
        <f>IF(ISERROR(Model!AD365),"",IF(Model!AD365&lt;&gt;"",Model!AD365,""))</f>
        <v/>
      </c>
      <c r="AE223" s="356" t="str">
        <f>IF(ISERROR(Model!AE365),"",IF(Model!AE365&lt;&gt;"",Model!AE365,""))</f>
        <v/>
      </c>
      <c r="AF223" s="356" t="str">
        <f>IF(ISERROR(Model!AF365),"",IF(Model!AF365&lt;&gt;"",Model!AF365,""))</f>
        <v/>
      </c>
      <c r="AG223" s="356" t="str">
        <f>IF(ISERROR(Model!AG365),"",IF(Model!AG365&lt;&gt;"",Model!AG365,""))</f>
        <v/>
      </c>
      <c r="AH223" s="356" t="str">
        <f>IF(ISERROR(Model!AH365),"",IF(Model!AH365&lt;&gt;"",Model!AH365,""))</f>
        <v/>
      </c>
      <c r="AI223" s="356">
        <f>IF(ISERROR(Model!AI365),"",IF(Model!AI365&lt;&gt;"",Model!AI365,""))</f>
        <v>0</v>
      </c>
      <c r="AJ223" s="356">
        <f>IF(ISERROR(Model!AJ365),"",IF(Model!AJ365&lt;&gt;"",Model!AJ365,""))</f>
        <v>0</v>
      </c>
      <c r="AK223" s="356">
        <f>IF(ISERROR(Model!AK365),"",IF(Model!AK365&lt;&gt;"",Model!AK365,""))</f>
        <v>0</v>
      </c>
      <c r="AL223" s="356">
        <f>IF(ISERROR(Model!AL365),"",IF(Model!AL365&lt;&gt;"",Model!AL365,""))</f>
        <v>0.50594889799102793</v>
      </c>
      <c r="AM223" s="356">
        <f>IF(ISERROR(Model!AM365),"",IF(Model!AM365&lt;&gt;"",Model!AM365,""))</f>
        <v>0.67834728033472813</v>
      </c>
      <c r="AN223" s="356">
        <f>IF(ISERROR(Model!AN365),"",IF(Model!AN365&lt;&gt;"",Model!AN365,""))</f>
        <v>0.596980576268066</v>
      </c>
      <c r="AO223" s="356">
        <f>IF(ISERROR(Model!AO365),"",IF(Model!AO365&lt;&gt;"",Model!AO365,""))</f>
        <v>0.57363998230871294</v>
      </c>
      <c r="AP223" s="356">
        <f>IF(ISERROR(Model!AP365),"",IF(Model!AP365&lt;&gt;"",Model!AP365,""))</f>
        <v>0.62121043422936206</v>
      </c>
      <c r="AQ223" s="356">
        <f>IF(ISERROR(Model!AQ365),"",IF(Model!AQ365&lt;&gt;"",Model!AQ365,""))</f>
        <v>0.60220649458784337</v>
      </c>
      <c r="AR223" s="356">
        <f>IF(ISERROR(Model!AR365),"",IF(Model!AR365&lt;&gt;"",Model!AR365,""))</f>
        <v>0.57593364055299534</v>
      </c>
      <c r="AS223" s="356">
        <f>IF(ISERROR(Model!AS365),"",IF(Model!AS365&lt;&gt;"",Model!AS365,""))</f>
        <v>0.62915139949109411</v>
      </c>
      <c r="AT223" s="356">
        <f>IF(ISERROR(Model!AT365),"",IF(Model!AT365&lt;&gt;"",Model!AT365,""))</f>
        <v>0.6073293187805795</v>
      </c>
      <c r="AU223" s="356">
        <f>IF(ISERROR(Model!AU365),"",IF(Model!AU365&lt;&gt;"",Model!AU365,""))</f>
        <v>0.62167710515508146</v>
      </c>
      <c r="AV223" s="356">
        <f>IF(ISERROR(Model!AV365),"",IF(Model!AV365&lt;&gt;"",Model!AV365,""))</f>
        <v>1.0819444444444446</v>
      </c>
      <c r="AW223" s="356">
        <f>IF(ISERROR(Model!AW365),"",IF(Model!AW365&lt;&gt;"",Model!AW365,""))</f>
        <v>0.89556665441931227</v>
      </c>
      <c r="AX223" s="356">
        <f>IF(ISERROR(Model!AX365),"",IF(Model!AX365&lt;&gt;"",Model!AX365,""))</f>
        <v>0.76518957015970224</v>
      </c>
      <c r="AY223" s="356">
        <f>IF(ISERROR(Model!AY365),"",IF(Model!AY365&lt;&gt;"",Model!AY365,""))</f>
        <v>0.57624724875250311</v>
      </c>
      <c r="AZ223" s="356">
        <f>IF(ISERROR(Model!AZ365),"",IF(Model!AZ365&lt;&gt;"",Model!AZ365,""))</f>
        <v>0.65716408928194081</v>
      </c>
      <c r="BA223" s="356">
        <f>IF(ISERROR(Model!BA365),"",IF(Model!BA365&lt;&gt;"",Model!BA365,""))</f>
        <v>0.67610145426583768</v>
      </c>
      <c r="BB223" s="356">
        <f>IF(ISERROR(Model!BB365),"",IF(Model!BB365&lt;&gt;"",Model!BB365,""))</f>
        <v>0.74365195883698143</v>
      </c>
      <c r="BC223" s="356">
        <f>IF(ISERROR(Model!BC365),"",IF(Model!BC365&lt;&gt;"",Model!BC365,""))</f>
        <v>0.70970091917860934</v>
      </c>
      <c r="BD223" s="356">
        <f>IF(ISERROR(Model!BD365),"",IF(Model!BD365&lt;&gt;"",Model!BD365,""))</f>
        <v>0.54719497067307699</v>
      </c>
      <c r="BE223" s="356">
        <f>IF(ISERROR(Model!BE365),"",IF(Model!BE365&lt;&gt;"",Model!BE365,""))</f>
        <v>0.74305588614102192</v>
      </c>
      <c r="BF223" s="356">
        <f>IF(ISERROR(Model!BF365),"",IF(Model!BF365&lt;&gt;"",Model!BF365,""))</f>
        <v>0.64909313295618376</v>
      </c>
      <c r="BG223" s="356">
        <f>IF(ISERROR(Model!BG365),"",IF(Model!BG365&lt;&gt;"",Model!BG365,""))</f>
        <v>0.66795401998889503</v>
      </c>
      <c r="BH223" s="356">
        <f>IF(ISERROR(Model!BH365),"",IF(Model!BH365&lt;&gt;"",Model!BH365,""))</f>
        <v>0.77985318561602057</v>
      </c>
      <c r="BI223" s="356">
        <f>IF(ISERROR(Model!BI365),"",IF(Model!BI365&lt;&gt;"",Model!BI365,""))</f>
        <v>0.72736627379790875</v>
      </c>
      <c r="BJ223" s="356">
        <f>IF(ISERROR(Model!BJ365),"",IF(Model!BJ365&lt;&gt;"",Model!BJ365,""))</f>
        <v>0.73343415204052487</v>
      </c>
      <c r="BK223" s="356">
        <f>IF(ISERROR(Model!BK365),"",IF(Model!BK365&lt;&gt;"",Model!BK365,""))</f>
        <v>2.5089346827244206</v>
      </c>
      <c r="BL223" s="356">
        <f>IF(ISERROR(Model!BL365),"",IF(Model!BL365&lt;&gt;"",Model!BL365,""))</f>
        <v>1.2106531646663954</v>
      </c>
      <c r="BM223" s="356">
        <f>IF(ISERROR(Model!BM365),"",IF(Model!BM365&lt;&gt;"",Model!BM365,""))</f>
        <v>0.63102283047683694</v>
      </c>
      <c r="BN223" s="356">
        <f>IF(ISERROR(Model!BN365),"",IF(Model!BN365&lt;&gt;"",Model!BN365,""))</f>
        <v>0.87401187562480587</v>
      </c>
      <c r="BO223" s="356">
        <f>IF(ISERROR(Model!BO365),"",IF(Model!BO365&lt;&gt;"",Model!BO365,""))</f>
        <v>0.7515698977323253</v>
      </c>
      <c r="BP223" s="356">
        <f>IF(ISERROR(Model!BP365),"",IF(Model!BP365&lt;&gt;"",Model!BP365,""))</f>
        <v>0.5895094166337278</v>
      </c>
      <c r="BQ223" s="356">
        <f>IF(ISERROR(Model!BQ365),"",IF(Model!BQ365&lt;&gt;"",Model!BQ365,""))</f>
        <v>0.83700617183912707</v>
      </c>
      <c r="BR223" s="356">
        <f>IF(ISERROR(Model!BR365),"",IF(Model!BR365&lt;&gt;"",Model!BR365,""))</f>
        <v>0.70400202419032387</v>
      </c>
      <c r="BS223" s="356">
        <f>IF(ISERROR(Model!BS365),"",IF(Model!BS365&lt;&gt;"",Model!BS365,""))</f>
        <v>0.6249049941834578</v>
      </c>
      <c r="BT223" s="356">
        <f>IF(ISERROR(Model!BT365),"",IF(Model!BT365&lt;&gt;"",Model!BT365,""))</f>
        <v>0.7561617419593637</v>
      </c>
      <c r="BU223" s="356">
        <f>IF(ISERROR(Model!BU365),"",IF(Model!BU365&lt;&gt;"",Model!BU365,""))</f>
        <v>0.69218913514392044</v>
      </c>
      <c r="BV223" s="356">
        <f>IF(ISERROR(Model!BV365),"",IF(Model!BV365&lt;&gt;"",Model!BV365,""))</f>
        <v>0.68223821546758168</v>
      </c>
      <c r="BW223" s="356">
        <f>IF(ISERROR(Model!BW365),"",IF(Model!BW365&lt;&gt;"",Model!BW365,""))</f>
        <v>0.77132279210612353</v>
      </c>
      <c r="BX223" s="356">
        <f>IF(ISERROR(Model!BX365),"",IF(Model!BX365&lt;&gt;"",Model!BX365,""))</f>
        <v>0.72618130065779207</v>
      </c>
      <c r="BY223" s="356">
        <v>0.63500000000000001</v>
      </c>
      <c r="BZ223" s="356">
        <f>BY223</f>
        <v>0.63500000000000001</v>
      </c>
      <c r="CA223" s="356">
        <f>BZ223</f>
        <v>0.63500000000000001</v>
      </c>
      <c r="CB223" s="356">
        <v>0.71199999999999997</v>
      </c>
      <c r="CC223" s="356">
        <v>0.74550000000000005</v>
      </c>
      <c r="CD223" s="356">
        <f>CC223</f>
        <v>0.74550000000000005</v>
      </c>
      <c r="CE223" s="356">
        <f>CD223</f>
        <v>0.74550000000000005</v>
      </c>
      <c r="CF223" s="356">
        <v>0.70299380730404715</v>
      </c>
      <c r="CG223" s="356">
        <f>CF223</f>
        <v>0.70299380730404715</v>
      </c>
      <c r="CH223" s="356">
        <v>0.85199999999999998</v>
      </c>
      <c r="CI223" s="356">
        <v>0.91700000000000004</v>
      </c>
      <c r="CJ223" s="356">
        <f>CI223</f>
        <v>0.91700000000000004</v>
      </c>
      <c r="CK223" s="356">
        <v>0.91824041060614214</v>
      </c>
      <c r="CL223" s="356">
        <v>1.325</v>
      </c>
      <c r="CM223" s="356">
        <f>CL223</f>
        <v>1.325</v>
      </c>
      <c r="CN223" s="356">
        <v>1.9692800195705356</v>
      </c>
      <c r="CO223" s="356">
        <v>0.99715464993122449</v>
      </c>
      <c r="CP223" s="356">
        <f>CO223</f>
        <v>0.99715464993122449</v>
      </c>
      <c r="CQ223" s="356">
        <v>0.72063208686514868</v>
      </c>
      <c r="CR223" s="356">
        <v>0.76863278050090611</v>
      </c>
      <c r="CS223" s="356">
        <f>CR223</f>
        <v>0.76863278050090611</v>
      </c>
      <c r="CT223" s="356">
        <v>0.66400000000000003</v>
      </c>
      <c r="CU223" s="356">
        <v>0.72715729935812501</v>
      </c>
      <c r="CV223" s="356">
        <f>CU223</f>
        <v>0.72715729935812501</v>
      </c>
      <c r="CW223" s="356">
        <v>0.7</v>
      </c>
      <c r="CX223" s="356">
        <f>CW223</f>
        <v>0.7</v>
      </c>
      <c r="CY223" s="356">
        <f>CX223</f>
        <v>0.7</v>
      </c>
      <c r="CZ223" s="356">
        <v>0.72746380505415176</v>
      </c>
      <c r="DA223" s="356">
        <v>0.6829557353192337</v>
      </c>
      <c r="DB223" s="356">
        <f>DB222/NEPS_18</f>
        <v>0.70302849471114714</v>
      </c>
      <c r="DC223" s="356">
        <v>0.69240398328149277</v>
      </c>
      <c r="DD223" s="356">
        <v>0.73844763103352995</v>
      </c>
      <c r="DE223" s="356">
        <f>DD223</f>
        <v>0.73844763103352995</v>
      </c>
      <c r="DF223" s="356">
        <v>0.69750000000000001</v>
      </c>
      <c r="DG223" s="356">
        <f>DF223</f>
        <v>0.69750000000000001</v>
      </c>
      <c r="DH223" s="356">
        <f>DG223</f>
        <v>0.69750000000000001</v>
      </c>
      <c r="DI223" s="356">
        <v>0.60299999999999998</v>
      </c>
      <c r="DJ223" s="356">
        <v>0.82599999999999996</v>
      </c>
      <c r="DK223" s="1087">
        <f>DJ223</f>
        <v>0.82599999999999996</v>
      </c>
      <c r="DL223" s="357">
        <v>0.60212439840519794</v>
      </c>
      <c r="DM223" s="356">
        <v>0.85785155864227736</v>
      </c>
      <c r="DN223" s="1087">
        <f>DN222/Model!DN11</f>
        <v>0.71646612808599441</v>
      </c>
      <c r="DO223" s="356">
        <v>0.72</v>
      </c>
      <c r="DP223" s="356">
        <v>0.70499999999999996</v>
      </c>
      <c r="DQ223" s="1087">
        <f>DP223</f>
        <v>0.70499999999999996</v>
      </c>
      <c r="DR223" s="356">
        <v>0.68540000000000001</v>
      </c>
      <c r="DS223" s="356">
        <v>0.70799999999999996</v>
      </c>
      <c r="DT223" s="1087">
        <f>DS223</f>
        <v>0.70799999999999996</v>
      </c>
      <c r="DU223" s="356">
        <v>0.7</v>
      </c>
      <c r="DV223" s="356">
        <v>0.70799999999999996</v>
      </c>
      <c r="DW223" s="1087">
        <f>DV223</f>
        <v>0.70799999999999996</v>
      </c>
      <c r="DX223" s="356">
        <f t="shared" ref="DX223:EF223" si="554">DW223</f>
        <v>0.70799999999999996</v>
      </c>
      <c r="DY223" s="356">
        <f t="shared" si="554"/>
        <v>0.70799999999999996</v>
      </c>
      <c r="DZ223" s="1087">
        <f t="shared" si="554"/>
        <v>0.70799999999999996</v>
      </c>
      <c r="EA223" s="356">
        <f t="shared" si="554"/>
        <v>0.70799999999999996</v>
      </c>
      <c r="EB223" s="356">
        <f t="shared" si="554"/>
        <v>0.70799999999999996</v>
      </c>
      <c r="EC223" s="1087">
        <f t="shared" si="554"/>
        <v>0.70799999999999996</v>
      </c>
      <c r="ED223" s="356">
        <f t="shared" si="554"/>
        <v>0.70799999999999996</v>
      </c>
      <c r="EE223" s="356">
        <f t="shared" si="554"/>
        <v>0.70799999999999996</v>
      </c>
      <c r="EF223" s="1087">
        <f t="shared" si="554"/>
        <v>0.70799999999999996</v>
      </c>
      <c r="EG223" s="356">
        <f t="shared" ref="EG223:EL223" si="555">EF223</f>
        <v>0.70799999999999996</v>
      </c>
      <c r="EH223" s="356">
        <f t="shared" si="555"/>
        <v>0.70799999999999996</v>
      </c>
      <c r="EI223" s="1087">
        <f t="shared" si="555"/>
        <v>0.70799999999999996</v>
      </c>
      <c r="EJ223" s="356">
        <f t="shared" si="555"/>
        <v>0.70799999999999996</v>
      </c>
      <c r="EK223" s="356">
        <f t="shared" si="555"/>
        <v>0.70799999999999996</v>
      </c>
      <c r="EL223" s="1087">
        <f t="shared" si="555"/>
        <v>0.70799999999999996</v>
      </c>
      <c r="EM223" s="356">
        <f t="shared" ref="EM223:ER223" si="556">EL223</f>
        <v>0.70799999999999996</v>
      </c>
      <c r="EN223" s="356">
        <f t="shared" si="556"/>
        <v>0.70799999999999996</v>
      </c>
      <c r="EO223" s="1087">
        <f t="shared" si="556"/>
        <v>0.70799999999999996</v>
      </c>
      <c r="EP223" s="356">
        <f t="shared" si="556"/>
        <v>0.70799999999999996</v>
      </c>
      <c r="EQ223" s="356">
        <f t="shared" si="556"/>
        <v>0.70799999999999996</v>
      </c>
      <c r="ER223" s="1087">
        <f t="shared" si="556"/>
        <v>0.70799999999999996</v>
      </c>
      <c r="ES223" s="356">
        <f t="shared" ref="ES223" si="557">ER223</f>
        <v>0.70799999999999996</v>
      </c>
      <c r="ET223" s="356">
        <f t="shared" ref="ET223" si="558">ES223</f>
        <v>0.70799999999999996</v>
      </c>
      <c r="EU223" s="1087">
        <f t="shared" ref="EU223" si="559">ET223</f>
        <v>0.70799999999999996</v>
      </c>
      <c r="EV223" s="356">
        <f t="shared" ref="EV223" si="560">EU223</f>
        <v>0.70799999999999996</v>
      </c>
      <c r="EW223" s="356">
        <f t="shared" ref="EW223" si="561">EV223</f>
        <v>0.70799999999999996</v>
      </c>
      <c r="EX223" s="1087">
        <f t="shared" ref="EX223" si="562">EW223</f>
        <v>0.70799999999999996</v>
      </c>
      <c r="EY223" s="356">
        <f t="shared" ref="EY223" si="563">EX223</f>
        <v>0.70799999999999996</v>
      </c>
      <c r="EZ223" s="356">
        <f t="shared" ref="EZ223" si="564">EY223</f>
        <v>0.70799999999999996</v>
      </c>
      <c r="FA223" s="356">
        <f t="shared" ref="FA223" si="565">EZ223</f>
        <v>0.70799999999999996</v>
      </c>
    </row>
    <row r="224" spans="1:157" ht="13.35" customHeight="1">
      <c r="A224" s="5"/>
      <c r="B224" s="5" t="s">
        <v>331</v>
      </c>
      <c r="C224" s="5"/>
      <c r="D224" s="5"/>
      <c r="E224" s="363" t="str">
        <f>IF(ISERROR(Model!E366),"",IF(Model!E366&lt;&gt;"",Model!E366,""))</f>
        <v/>
      </c>
      <c r="F224" s="363" t="str">
        <f>IF(ISERROR(Model!F366),"",IF(Model!F366&lt;&gt;"",Model!F366,""))</f>
        <v/>
      </c>
      <c r="G224" s="363" t="str">
        <f>IF(ISERROR(Model!G366),"",IF(Model!G366&lt;&gt;"",Model!G366,""))</f>
        <v/>
      </c>
      <c r="H224" s="363" t="str">
        <f>IF(ISERROR(Model!H366),"",IF(Model!H366&lt;&gt;"",Model!H366,""))</f>
        <v/>
      </c>
      <c r="I224" s="363" t="str">
        <f>IF(ISERROR(Model!I366),"",IF(Model!I366&lt;&gt;"",Model!I366,""))</f>
        <v/>
      </c>
      <c r="J224" s="363" t="str">
        <f>IF(ISERROR(Model!J366),"",IF(Model!J366&lt;&gt;"",Model!J366,""))</f>
        <v/>
      </c>
      <c r="K224" s="363" t="str">
        <f>IF(ISERROR(Model!K366),"",IF(Model!K366&lt;&gt;"",Model!K366,""))</f>
        <v/>
      </c>
      <c r="L224" s="363" t="str">
        <f>IF(ISERROR(Model!L366),"",IF(Model!L366&lt;&gt;"",Model!L366,""))</f>
        <v/>
      </c>
      <c r="M224" s="363" t="str">
        <f>IF(ISERROR(Model!M366),"",IF(Model!M366&lt;&gt;"",Model!M366,""))</f>
        <v/>
      </c>
      <c r="N224" s="363" t="str">
        <f>IF(ISERROR(Model!N366),"",IF(Model!N366&lt;&gt;"",Model!N366,""))</f>
        <v/>
      </c>
      <c r="O224" s="363" t="str">
        <f>IF(ISERROR(Model!O366),"",IF(Model!O366&lt;&gt;"",Model!O366,""))</f>
        <v/>
      </c>
      <c r="P224" s="363" t="str">
        <f>IF(ISERROR(Model!P366),"",IF(Model!P366&lt;&gt;"",Model!P366,""))</f>
        <v/>
      </c>
      <c r="Q224" s="363" t="str">
        <f>IF(ISERROR(Model!Q366),"",IF(Model!Q366&lt;&gt;"",Model!Q366,""))</f>
        <v/>
      </c>
      <c r="R224" s="363" t="str">
        <f>IF(ISERROR(Model!R366),"",IF(Model!R366&lt;&gt;"",Model!R366,""))</f>
        <v/>
      </c>
      <c r="S224" s="363" t="str">
        <f>IF(ISERROR(Model!S366),"",IF(Model!S366&lt;&gt;"",Model!S366,""))</f>
        <v/>
      </c>
      <c r="T224" s="363" t="str">
        <f>IF(ISERROR(Model!T366),"",IF(Model!T366&lt;&gt;"",Model!T366,""))</f>
        <v/>
      </c>
      <c r="U224" s="363" t="str">
        <f>IF(ISERROR(Model!U366),"",IF(Model!U366&lt;&gt;"",Model!U366,""))</f>
        <v/>
      </c>
      <c r="V224" s="363" t="str">
        <f>IF(ISERROR(Model!V366),"",IF(Model!V366&lt;&gt;"",Model!V366,""))</f>
        <v/>
      </c>
      <c r="W224" s="363" t="str">
        <f>IF(ISERROR(Model!W366),"",IF(Model!W366&lt;&gt;"",Model!W366,""))</f>
        <v/>
      </c>
      <c r="X224" s="363" t="str">
        <f>IF(ISERROR(Model!X366),"",IF(Model!X366&lt;&gt;"",Model!X366,""))</f>
        <v/>
      </c>
      <c r="Y224" s="363" t="str">
        <f>IF(ISERROR(Model!Y366),"",IF(Model!Y366&lt;&gt;"",Model!Y366,""))</f>
        <v/>
      </c>
      <c r="Z224" s="363" t="str">
        <f>IF(ISERROR(Model!Z366),"",IF(Model!Z366&lt;&gt;"",Model!Z366,""))</f>
        <v/>
      </c>
      <c r="AA224" s="363" t="str">
        <f>IF(ISERROR(Model!AA366),"",IF(Model!AA366&lt;&gt;"",Model!AA366,""))</f>
        <v/>
      </c>
      <c r="AB224" s="363" t="str">
        <f>IF(ISERROR(Model!AB366),"",IF(Model!AB366&lt;&gt;"",Model!AB366,""))</f>
        <v/>
      </c>
      <c r="AC224" s="363" t="str">
        <f>IF(ISERROR(Model!AC366),"",IF(Model!AC366&lt;&gt;"",Model!AC366,""))</f>
        <v/>
      </c>
      <c r="AD224" s="363" t="str">
        <f>IF(ISERROR(Model!AD366),"",IF(Model!AD366&lt;&gt;"",Model!AD366,""))</f>
        <v/>
      </c>
      <c r="AE224" s="363" t="str">
        <f>IF(ISERROR(Model!AE366),"",IF(Model!AE366&lt;&gt;"",Model!AE366,""))</f>
        <v/>
      </c>
      <c r="AF224" s="363" t="str">
        <f>IF(ISERROR(Model!AF366),"",IF(Model!AF366&lt;&gt;"",Model!AF366,""))</f>
        <v/>
      </c>
      <c r="AG224" s="363" t="str">
        <f>IF(ISERROR(Model!AG366),"",IF(Model!AG366&lt;&gt;"",Model!AG366,""))</f>
        <v/>
      </c>
      <c r="AH224" s="363" t="str">
        <f>IF(ISERROR(Model!AH366),"",IF(Model!AH366&lt;&gt;"",Model!AH366,""))</f>
        <v/>
      </c>
      <c r="AI224" s="363" t="str">
        <f>IF(ISERROR(Model!AI366),"",IF(Model!AI366&lt;&gt;"",Model!AI366,""))</f>
        <v/>
      </c>
      <c r="AJ224" s="363" t="str">
        <f>IF(ISERROR(Model!AJ366),"",IF(Model!AJ366&lt;&gt;"",Model!AJ366,""))</f>
        <v/>
      </c>
      <c r="AK224" s="363" t="str">
        <f>IF(ISERROR(Model!AK366),"",IF(Model!AK366&lt;&gt;"",Model!AK366,""))</f>
        <v/>
      </c>
      <c r="AL224" s="363">
        <f>IF(ISERROR(Model!AL366),"",IF(Model!AL366&lt;&gt;"",Model!AL366,""))</f>
        <v>1.9764841942945257</v>
      </c>
      <c r="AM224" s="363">
        <f>IF(ISERROR(Model!AM366),"",IF(Model!AM366&lt;&gt;"",Model!AM366,""))</f>
        <v>1.4741711642251347</v>
      </c>
      <c r="AN224" s="363">
        <f>IF(ISERROR(Model!AN366),"",IF(Model!AN366&lt;&gt;"",Model!AN366,""))</f>
        <v>1.6750963762528912</v>
      </c>
      <c r="AO224" s="363">
        <f>IF(ISERROR(Model!AO366),"",IF(Model!AO366&lt;&gt;"",Model!AO366,""))</f>
        <v>1.7432536622976098</v>
      </c>
      <c r="AP224" s="363">
        <f>IF(ISERROR(Model!AP366),"",IF(Model!AP366&lt;&gt;"",Model!AP366,""))</f>
        <v>1.6097604690760585</v>
      </c>
      <c r="AQ224" s="363">
        <f>IF(ISERROR(Model!AQ366),"",IF(Model!AQ366&lt;&gt;"",Model!AQ366,""))</f>
        <v>1.6605599723470448</v>
      </c>
      <c r="AR224" s="363">
        <f>IF(ISERROR(Model!AR366),"",IF(Model!AR366&lt;&gt;"",Model!AR366,""))</f>
        <v>1.736311146957535</v>
      </c>
      <c r="AS224" s="363">
        <f>IF(ISERROR(Model!AS366),"",IF(Model!AS366&lt;&gt;"",Model!AS366,""))</f>
        <v>1.5894425424609668</v>
      </c>
      <c r="AT224" s="363">
        <f>IF(ISERROR(Model!AT366),"",IF(Model!AT366&lt;&gt;"",Model!AT366,""))</f>
        <v>1.64655314518298</v>
      </c>
      <c r="AU224" s="363">
        <f>IF(ISERROR(Model!AU366),"",IF(Model!AU366&lt;&gt;"",Model!AU366,""))</f>
        <v>1.6085520790580561</v>
      </c>
      <c r="AV224" s="363">
        <f>IF(ISERROR(Model!AV366),"",IF(Model!AV366&lt;&gt;"",Model!AV366,""))</f>
        <v>0.92426187419768924</v>
      </c>
      <c r="AW224" s="363">
        <f>IF(ISERROR(Model!AW366),"",IF(Model!AW366&lt;&gt;"",Model!AW366,""))</f>
        <v>1.1166114717038036</v>
      </c>
      <c r="AX224" s="363">
        <f>IF(ISERROR(Model!AX366),"",IF(Model!AX366&lt;&gt;"",Model!AX366,""))</f>
        <v>1.3068656957664628</v>
      </c>
      <c r="AY224" s="363">
        <f>IF(ISERROR(Model!AY366),"",IF(Model!AY366&lt;&gt;"",Model!AY366,""))</f>
        <v>1.735366202901383</v>
      </c>
      <c r="AZ224" s="363">
        <f>IF(ISERROR(Model!AZ366),"",IF(Model!AZ366&lt;&gt;"",Model!AZ366,""))</f>
        <v>1.5216899649715543</v>
      </c>
      <c r="BA224" s="363">
        <f>IF(ISERROR(Model!BA366),"",IF(Model!BA366&lt;&gt;"",Model!BA366,""))</f>
        <v>1.4790679619020728</v>
      </c>
      <c r="BB224" s="363">
        <f>IF(ISERROR(Model!BB366),"",IF(Model!BB366&lt;&gt;"",Model!BB366,""))</f>
        <v>1.344715075536046</v>
      </c>
      <c r="BC224" s="363">
        <f>IF(ISERROR(Model!BC366),"",IF(Model!BC366&lt;&gt;"",Model!BC366,""))</f>
        <v>1.4090442508618644</v>
      </c>
      <c r="BD224" s="363">
        <f>IF(ISERROR(Model!BD366),"",IF(Model!BD366&lt;&gt;"",Model!BD366,""))</f>
        <v>1.8275021767286173</v>
      </c>
      <c r="BE224" s="363">
        <f>IF(ISERROR(Model!BE366),"",IF(Model!BE366&lt;&gt;"",Model!BE366,""))</f>
        <v>1.3457937937796156</v>
      </c>
      <c r="BF224" s="363">
        <f>IF(ISERROR(Model!BF366),"",IF(Model!BF366&lt;&gt;"",Model!BF366,""))</f>
        <v>1.5406109681759701</v>
      </c>
      <c r="BG224" s="363">
        <f>IF(ISERROR(Model!BG366),"",IF(Model!BG366&lt;&gt;"",Model!BG366,""))</f>
        <v>1.4971090375601384</v>
      </c>
      <c r="BH224" s="363">
        <f>IF(ISERROR(Model!BH366),"",IF(Model!BH366&lt;&gt;"",Model!BH366,""))</f>
        <v>1.2822926397487</v>
      </c>
      <c r="BI224" s="363">
        <f>IF(ISERROR(Model!BI366),"",IF(Model!BI366&lt;&gt;"",Model!BI366,""))</f>
        <v>1.3748231613469608</v>
      </c>
      <c r="BJ224" s="363">
        <f>IF(ISERROR(Model!BJ366),"",IF(Model!BJ366&lt;&gt;"",Model!BJ366,""))</f>
        <v>1.3634489166039632</v>
      </c>
      <c r="BK224" s="363">
        <f>IF(ISERROR(Model!BK366),"",IF(Model!BK366&lt;&gt;"",Model!BK366,""))</f>
        <v>0.39857554159764436</v>
      </c>
      <c r="BL224" s="363">
        <f>IF(ISERROR(Model!BL366),"",IF(Model!BL366&lt;&gt;"",Model!BL366,""))</f>
        <v>0.82600040142426556</v>
      </c>
      <c r="BM224" s="363">
        <f>IF(ISERROR(Model!BM366),"",IF(Model!BM366&lt;&gt;"",Model!BM366,""))</f>
        <v>1.5847287161454093</v>
      </c>
      <c r="BN224" s="363">
        <f>IF(ISERROR(Model!BN366),"",IF(Model!BN366&lt;&gt;"",Model!BN366,""))</f>
        <v>1.1441492134018532</v>
      </c>
      <c r="BO224" s="363">
        <f>IF(ISERROR(Model!BO366),"",IF(Model!BO366&lt;&gt;"",Model!BO366,""))</f>
        <v>1.3305482337933578</v>
      </c>
      <c r="BP224" s="363">
        <f>IF(ISERROR(Model!BP366),"",IF(Model!BP366&lt;&gt;"",Model!BP366,""))</f>
        <v>1.6963257443965767</v>
      </c>
      <c r="BQ224" s="363">
        <f>IF(ISERROR(Model!BQ366),"",IF(Model!BQ366&lt;&gt;"",Model!BQ366,""))</f>
        <v>1.194734320539993</v>
      </c>
      <c r="BR224" s="363">
        <f>IF(ISERROR(Model!BR366),"",IF(Model!BR366&lt;&gt;"",Model!BR366,""))</f>
        <v>1.4204504612754556</v>
      </c>
      <c r="BS224" s="363">
        <f>IF(ISERROR(Model!BS366),"",IF(Model!BS366&lt;&gt;"",Model!BS366,""))</f>
        <v>1.6002432518668954</v>
      </c>
      <c r="BT224" s="363">
        <f>IF(ISERROR(Model!BT366),"",IF(Model!BT366&lt;&gt;"",Model!BT366,""))</f>
        <v>1.3224683880578294</v>
      </c>
      <c r="BU224" s="363">
        <f>IF(ISERROR(Model!BU366),"",IF(Model!BU366&lt;&gt;"",Model!BU366,""))</f>
        <v>1.4446918468202758</v>
      </c>
      <c r="BV224" s="363">
        <f>IF(ISERROR(Model!BV366),"",IF(Model!BV366&lt;&gt;"",Model!BV366,""))</f>
        <v>1.4657636838983519</v>
      </c>
      <c r="BW224" s="363">
        <f>IF(ISERROR(Model!BW366),"",IF(Model!BW366&lt;&gt;"",Model!BW366,""))</f>
        <v>1.2964740705632016</v>
      </c>
      <c r="BX224" s="363">
        <f>IF(ISERROR(Model!BX366),"",IF(Model!BX366&lt;&gt;"",Model!BX366,""))</f>
        <v>1.3770665797841071</v>
      </c>
      <c r="BY224" s="363">
        <f>IF(ISERROR(Model!BY366),"",IF(Model!BY366&lt;&gt;"",Model!BY366,""))</f>
        <v>1.5682626690356007</v>
      </c>
      <c r="BZ224" s="363">
        <f>IF(ISERROR(Model!BZ366),"",IF(Model!BZ366&lt;&gt;"",Model!BZ366,""))</f>
        <v>1.1416805112508777</v>
      </c>
      <c r="CA224" s="363">
        <f>IF(ISERROR(Model!CA366),"",IF(Model!CA366&lt;&gt;"",Model!CA366,""))</f>
        <v>1.3324725374286575</v>
      </c>
      <c r="CB224" s="363">
        <f>IF(ISERROR(Model!CB366),"",IF(Model!CB366&lt;&gt;"",Model!CB366,""))</f>
        <v>1.404494382022472</v>
      </c>
      <c r="CC224" s="363">
        <f>IF(ISERROR(Model!CC366),"",IF(Model!CC366&lt;&gt;"",Model!CC366,""))</f>
        <v>1.3413816230717637</v>
      </c>
      <c r="CD224" s="363">
        <f>IF(ISERROR(Model!CD366),"",IF(Model!CD366&lt;&gt;"",Model!CD366,""))</f>
        <v>1.3653763054290107</v>
      </c>
      <c r="CE224" s="30">
        <f>IF(ISERROR(Model!CE366),"",IF(Model!CE366&lt;&gt;"",Model!CE366,""))</f>
        <v>1.3884267112657418</v>
      </c>
      <c r="CF224" s="363">
        <f>IF(ISERROR(Model!CF366),"",IF(Model!CF366&lt;&gt;"",Model!CF366,""))</f>
        <v>1.4224876373164077</v>
      </c>
      <c r="CG224" s="363">
        <f>IF(ISERROR(Model!CG366),"",IF(Model!CG366&lt;&gt;"",Model!CG366,""))</f>
        <v>1.4046680963922187</v>
      </c>
      <c r="CH224" s="363">
        <f>IF(ISERROR(Model!CH366),"",IF(Model!CH366&lt;&gt;"",Model!CH366,""))</f>
        <v>1.1736484199565929</v>
      </c>
      <c r="CI224" s="363">
        <f>IF(ISERROR(Model!CI366),"",IF(Model!CI366&lt;&gt;"",Model!CI366,""))</f>
        <v>1.0905125408942202</v>
      </c>
      <c r="CJ224" s="363">
        <f>IF(ISERROR(Model!CJ366),"",IF(Model!CJ366&lt;&gt;"",Model!CJ366,""))</f>
        <v>1.1368029496768119</v>
      </c>
      <c r="CK224" s="363">
        <f>IF(ISERROR(Model!CK366),"",IF(Model!CK366&lt;&gt;"",Model!CK366,""))</f>
        <v>1.0890394154401104</v>
      </c>
      <c r="CL224" s="363">
        <f>IF(ISERROR(Model!CL366),"",IF(Model!CL366&lt;&gt;"",Model!CL366,""))</f>
        <v>0.75471698113207542</v>
      </c>
      <c r="CM224" s="363">
        <f>IF(ISERROR(Model!CM366),"",IF(Model!CM366&lt;&gt;"",Model!CM366,""))</f>
        <v>0.92026503255287517</v>
      </c>
      <c r="CN224" s="363">
        <f>IF(ISERROR(Model!CN366),"",IF(Model!CN366&lt;&gt;"",Model!CN366,""))</f>
        <v>0.50779979995840407</v>
      </c>
      <c r="CO224" s="363">
        <f>IF(ISERROR(Model!CO366),"",IF(Model!CO366&lt;&gt;"",Model!CO366,""))</f>
        <v>1.0028534691875246</v>
      </c>
      <c r="CP224" s="363">
        <f>IF(ISERROR(Model!CP366),"",IF(Model!CP366&lt;&gt;"",Model!CP366,""))</f>
        <v>0.75624838521449811</v>
      </c>
      <c r="CQ224" s="363">
        <f>IF(ISERROR(Model!CQ366),"",IF(Model!CQ366&lt;&gt;"",Model!CQ366,""))</f>
        <v>1.3876706550080793</v>
      </c>
      <c r="CR224" s="363">
        <f>IF(ISERROR(Model!CR366),"",IF(Model!CR366&lt;&gt;"",Model!CR366,""))</f>
        <v>1.3010113871910531</v>
      </c>
      <c r="CS224" s="363">
        <f>IF(ISERROR(Model!CS366),"",IF(Model!CS366&lt;&gt;"",Model!CS366,""))</f>
        <v>1.3410868154147766</v>
      </c>
      <c r="CT224" s="363">
        <f>IF(ISERROR(Model!CT366),"",IF(Model!CT366&lt;&gt;"",Model!CT366,""))</f>
        <v>1.5060240963855422</v>
      </c>
      <c r="CU224" s="363">
        <f>IF(ISERROR(Model!CU366),"",IF(Model!CU366&lt;&gt;"",Model!CU366,""))</f>
        <v>1.3752182655427077</v>
      </c>
      <c r="CV224" s="363">
        <f>IF(ISERROR(Model!CV366),"",IF(Model!CV366&lt;&gt;"",Model!CV366,""))</f>
        <v>1.4363783686178662</v>
      </c>
      <c r="CW224" s="363">
        <f>IF(ISERROR(Model!CW366),"",IF(Model!CW366&lt;&gt;"",Model!CW366,""))</f>
        <v>1.4285714285714286</v>
      </c>
      <c r="CX224" s="363">
        <f>IF(ISERROR(Model!CX366),"",IF(Model!CX366&lt;&gt;"",Model!CX366,""))</f>
        <v>1.4285714285714288</v>
      </c>
      <c r="CY224" s="363">
        <f>IF(ISERROR(Model!CY366),"",IF(Model!CY366&lt;&gt;"",Model!CY366,""))</f>
        <v>1.4290960048450816</v>
      </c>
      <c r="CZ224" s="363">
        <f>IF(ISERROR(Model!CZ366),"",IF(Model!CZ366&lt;&gt;"",Model!CZ366,""))</f>
        <v>1.3746388384581703</v>
      </c>
      <c r="DA224" s="363">
        <f>IF(ISERROR(Model!DA366),"",IF(Model!DA366&lt;&gt;"",Model!DA366,""))</f>
        <v>1.4642237385012522</v>
      </c>
      <c r="DB224" s="363">
        <f>IF(ISERROR(Model!DB366),"",IF(Model!DB366&lt;&gt;"",Model!DB366,""))</f>
        <v>1.4224174518144805</v>
      </c>
      <c r="DC224" s="363">
        <f>IF(ISERROR(Model!DC366),"",IF(Model!DC366&lt;&gt;"",Model!DC366,""))</f>
        <v>1.4442435689938196</v>
      </c>
      <c r="DD224" s="363">
        <f>IF(ISERROR(Model!DD366),"",IF(Model!DD366&lt;&gt;"",Model!DD366,""))</f>
        <v>1.3541921701345319</v>
      </c>
      <c r="DE224" s="363">
        <f>IF(ISERROR(Model!DE366),"",IF(Model!DE366&lt;&gt;"",Model!DE366,""))</f>
        <v>1.39635904135668</v>
      </c>
      <c r="DF224" s="363">
        <f>IF(ISERROR(Model!DF366),"",IF(Model!DF366&lt;&gt;"",Model!DF366,""))</f>
        <v>1.4336917562724014</v>
      </c>
      <c r="DG224" s="363" t="str">
        <f>IF(ISERROR(Model!DG366),"",IF(Model!DG366&lt;&gt;"",Model!DG366,""))</f>
        <v/>
      </c>
      <c r="DH224" s="363">
        <f>IF(ISERROR(Model!DH366),"",IF(Model!DH366&lt;&gt;"",Model!DH366,""))</f>
        <v>1.6106558669634494</v>
      </c>
      <c r="DI224" s="363">
        <f>IF(ISERROR(Model!DI366),"",IF(Model!DI366&lt;&gt;"",Model!DI366,""))</f>
        <v>1.6583747927031509</v>
      </c>
      <c r="DJ224" s="363">
        <f>IF(ISERROR(Model!DJ366),"",IF(Model!DJ366&lt;&gt;"",Model!DJ366,""))</f>
        <v>1.2106537530266344</v>
      </c>
      <c r="DK224" s="1210">
        <f>IF(ISERROR(Model!DK366),"",IF(Model!DK366&lt;&gt;"",Model!DK366,""))</f>
        <v>1.4097452552996974</v>
      </c>
      <c r="DL224" s="363">
        <f>IF(ISERROR(Model!DL366),"",IF(Model!DL366&lt;&gt;"",Model!DL366,""))</f>
        <v>1.6607863801045524</v>
      </c>
      <c r="DM224" s="363">
        <f>IF(ISERROR(Model!DM366),"",IF(Model!DM366&lt;&gt;"",Model!DM366,""))</f>
        <v>1.1657028420892552</v>
      </c>
      <c r="DN224" s="1210">
        <f>IF(ISERROR(Model!DN366),"",IF(Model!DN366&lt;&gt;"",Model!DN366,""))</f>
        <v>1.3957393947868169</v>
      </c>
      <c r="DO224" s="363">
        <f>IF(ISERROR(Model!DO366),"",IF(Model!DO366&lt;&gt;"",Model!DO366,""))</f>
        <v>1.3888888888888891</v>
      </c>
      <c r="DP224" s="363">
        <f>IF(ISERROR(Model!DP366),"",IF(Model!DP366&lt;&gt;"",Model!DP366,""))</f>
        <v>1.4184397163120568</v>
      </c>
      <c r="DQ224" s="1210">
        <f>IF(ISERROR(Model!DQ366),"",IF(Model!DQ366&lt;&gt;"",Model!DQ366,""))</f>
        <v>1.4034321818731792</v>
      </c>
      <c r="DR224" s="363">
        <f>IF(ISERROR(Model!DR366),"",IF(Model!DR366&lt;&gt;"",Model!DR366,""))</f>
        <v>1.4590020426028596</v>
      </c>
      <c r="DS224" s="363">
        <f>IF(ISERROR(Model!DS366),"",IF(Model!DS366&lt;&gt;"",Model!DS366,""))</f>
        <v>1.4124293785310735</v>
      </c>
      <c r="DT224" s="1210">
        <f>IF(ISERROR(Model!DT366),"",IF(Model!DT366&lt;&gt;"",Model!DT366,""))</f>
        <v>1.4349247431057905</v>
      </c>
      <c r="DU224" s="363">
        <f>IF(ISERROR(Model!DU366),"",IF(Model!DU366&lt;&gt;"",Model!DU366,""))</f>
        <v>1.4285714285714286</v>
      </c>
      <c r="DV224" s="363">
        <f>IF(ISERROR(Model!DV366),"",IF(Model!DV366&lt;&gt;"",Model!DV366,""))</f>
        <v>1.4124293785310735</v>
      </c>
      <c r="DW224" s="1210">
        <f>IF(ISERROR(Model!DW366),"",IF(Model!DW366&lt;&gt;"",Model!DW366,""))</f>
        <v>1.4211378515798592</v>
      </c>
      <c r="DX224" s="363">
        <f>IF(ISERROR(Model!DX366),"",IF(Model!DX366&lt;&gt;"",Model!DX366,""))</f>
        <v>1.4124293785310735</v>
      </c>
      <c r="DY224" s="363">
        <f>IF(ISERROR(Model!DY366),"",IF(Model!DY366&lt;&gt;"",Model!DY366,""))</f>
        <v>1.4124293785310735</v>
      </c>
      <c r="DZ224" s="1210">
        <f>IF(ISERROR(Model!DZ366),"",IF(Model!DZ366&lt;&gt;"",Model!DZ366,""))</f>
        <v>1.4126766246849449</v>
      </c>
      <c r="EA224" s="363">
        <f>IF(ISERROR(Model!EA366),"",IF(Model!EA366&lt;&gt;"",Model!EA366,""))</f>
        <v>1.4124293785310735</v>
      </c>
      <c r="EB224" s="363">
        <f>IF(ISERROR(Model!EB366),"",IF(Model!EB366&lt;&gt;"",Model!EB366,""))</f>
        <v>1.4124293785310735</v>
      </c>
      <c r="EC224" s="1210">
        <f>IF(ISERROR(Model!EC366),"",IF(Model!EC366&lt;&gt;"",Model!EC366,""))</f>
        <v>1.4123878088683677</v>
      </c>
      <c r="ED224" s="363">
        <f>IF(ISERROR(Model!ED366),"",IF(Model!ED366&lt;&gt;"",Model!ED366,""))</f>
        <v>1.4124293785310735</v>
      </c>
      <c r="EE224" s="363">
        <f>IF(ISERROR(Model!EE366),"",IF(Model!EE366&lt;&gt;"",Model!EE366,""))</f>
        <v>1.4124293785310735</v>
      </c>
      <c r="EF224" s="1210">
        <f>IF(ISERROR(Model!EF366),"",IF(Model!EF366&lt;&gt;"",Model!EF366,""))</f>
        <v>1.4123880903464587</v>
      </c>
      <c r="EG224" s="363">
        <f>IF(ISERROR(Model!EG366),"",IF(Model!EG366&lt;&gt;"",Model!EG366,""))</f>
        <v>1.4124293785310735</v>
      </c>
      <c r="EH224" s="363">
        <f>IF(ISERROR(Model!EH366),"",IF(Model!EH366&lt;&gt;"",Model!EH366,""))</f>
        <v>1.4124293785310735</v>
      </c>
      <c r="EI224" s="1210">
        <f>IF(ISERROR(Model!EI366),"",IF(Model!EI366&lt;&gt;"",Model!EI366,""))</f>
        <v>1.4124293785310735</v>
      </c>
      <c r="EJ224" s="363">
        <f>IF(ISERROR(Model!EJ366),"",IF(Model!EJ366&lt;&gt;"",Model!EJ366,""))</f>
        <v>1.4124293785310735</v>
      </c>
      <c r="EK224" s="363">
        <f>IF(ISERROR(Model!EK366),"",IF(Model!EK366&lt;&gt;"",Model!EK366,""))</f>
        <v>1.4124293785310735</v>
      </c>
      <c r="EL224" s="1210">
        <f>IF(ISERROR(Model!EL366),"",IF(Model!EL366&lt;&gt;"",Model!EL366,""))</f>
        <v>1.4124293785310735</v>
      </c>
      <c r="EM224" s="363">
        <f>IF(ISERROR(Model!EM366),"",IF(Model!EM366&lt;&gt;"",Model!EM366,""))</f>
        <v>1.4124293785310735</v>
      </c>
      <c r="EN224" s="363">
        <f>IF(ISERROR(Model!EN366),"",IF(Model!EN366&lt;&gt;"",Model!EN366,""))</f>
        <v>1.4124293785310735</v>
      </c>
      <c r="EO224" s="1210">
        <f>IF(ISERROR(Model!EO366),"",IF(Model!EO366&lt;&gt;"",Model!EO366,""))</f>
        <v>1.4124293785310738</v>
      </c>
      <c r="EP224" s="363">
        <f>IF(ISERROR(Model!EP366),"",IF(Model!EP366&lt;&gt;"",Model!EP366,""))</f>
        <v>1.4124293785310735</v>
      </c>
      <c r="EQ224" s="363">
        <f>IF(ISERROR(Model!EQ366),"",IF(Model!EQ366&lt;&gt;"",Model!EQ366,""))</f>
        <v>1.4124293785310735</v>
      </c>
      <c r="ER224" s="1210">
        <f>IF(ISERROR(Model!ER366),"",IF(Model!ER366&lt;&gt;"",Model!ER366,""))</f>
        <v>1.4124293785310735</v>
      </c>
      <c r="ES224" s="363">
        <f>IF(ISERROR(Model!ES366),"",IF(Model!ES366&lt;&gt;"",Model!ES366,""))</f>
        <v>1.4124293785310735</v>
      </c>
      <c r="ET224" s="363">
        <f>IF(ISERROR(Model!ET366),"",IF(Model!ET366&lt;&gt;"",Model!ET366,""))</f>
        <v>1.4124293785310735</v>
      </c>
      <c r="EU224" s="1210">
        <f>IF(ISERROR(Model!EU366),"",IF(Model!EU366&lt;&gt;"",Model!EU366,""))</f>
        <v>1.4124293785310735</v>
      </c>
      <c r="EV224" s="363">
        <f>IF(ISERROR(Model!EV366),"",IF(Model!EV366&lt;&gt;"",Model!EV366,""))</f>
        <v>1.4124293785310735</v>
      </c>
      <c r="EW224" s="363">
        <f>IF(ISERROR(Model!EW366),"",IF(Model!EW366&lt;&gt;"",Model!EW366,""))</f>
        <v>1.4124293785310735</v>
      </c>
      <c r="EX224" s="1210">
        <f>IF(ISERROR(Model!EX366),"",IF(Model!EX366&lt;&gt;"",Model!EX366,""))</f>
        <v>1.4124293785310735</v>
      </c>
      <c r="EY224" s="363">
        <f>IF(ISERROR(Model!EY366),"",IF(Model!EY366&lt;&gt;"",Model!EY366,""))</f>
        <v>1.4124293785310735</v>
      </c>
      <c r="EZ224" s="363">
        <f>IF(ISERROR(Model!EZ366),"",IF(Model!EZ366&lt;&gt;"",Model!EZ366,""))</f>
        <v>1.4124293785310733</v>
      </c>
      <c r="FA224" s="363">
        <f>IF(ISERROR(Model!FA366),"",IF(Model!FA366&lt;&gt;"",Model!FA366,""))</f>
        <v>1.4124293785310738</v>
      </c>
    </row>
    <row r="225" spans="1:157" ht="13.35" customHeight="1">
      <c r="A225" s="5"/>
      <c r="B225" s="5" t="s">
        <v>403</v>
      </c>
      <c r="C225" s="5"/>
      <c r="D225" s="5"/>
      <c r="E225" s="363" t="str">
        <f>IF(Model!E349&lt;&gt;"",Model!E349,"")</f>
        <v/>
      </c>
      <c r="F225" s="363" t="str">
        <f>IF(AND(Model!F349&lt;&gt;"",G225&lt;&gt;""),Model!F349,"")</f>
        <v/>
      </c>
      <c r="G225" s="363" t="str">
        <f>IF(Model!G349&lt;&gt;"",Model!G349,"")</f>
        <v/>
      </c>
      <c r="H225" s="363" t="str">
        <f>IF(Model!H349&lt;&gt;"",Model!H349,"")</f>
        <v/>
      </c>
      <c r="I225" s="363" t="str">
        <f>IF(AND(Model!I349&lt;&gt;"",J225&lt;&gt;""),Model!I349,"")</f>
        <v/>
      </c>
      <c r="J225" s="363" t="str">
        <f>IF(Model!J349&lt;&gt;"",Model!J349,"")</f>
        <v/>
      </c>
      <c r="K225" s="363" t="str">
        <f>IF(Model!K349&lt;&gt;"",Model!K349,"")</f>
        <v/>
      </c>
      <c r="L225" s="363" t="str">
        <f>IF(AND(Model!L349&lt;&gt;"",M225&lt;&gt;""),Model!L349,"")</f>
        <v/>
      </c>
      <c r="M225" s="363" t="str">
        <f>IF(Model!M349&lt;&gt;"",Model!M349,"")</f>
        <v/>
      </c>
      <c r="N225" s="363" t="str">
        <f>IF(Model!N349&lt;&gt;"",Model!N349,"")</f>
        <v/>
      </c>
      <c r="O225" s="363" t="str">
        <f>IF(AND(Model!O349&lt;&gt;"",P225&lt;&gt;""),Model!O349,"")</f>
        <v/>
      </c>
      <c r="P225" s="363" t="str">
        <f>IF(Model!P349&lt;&gt;"",Model!P349,"")</f>
        <v/>
      </c>
      <c r="Q225" s="363" t="str">
        <f>IF(Model!Q349&lt;&gt;"",Model!Q349,"")</f>
        <v/>
      </c>
      <c r="R225" s="363" t="str">
        <f>IF(AND(Model!R349&lt;&gt;"",S225&lt;&gt;""),Model!R349,"")</f>
        <v/>
      </c>
      <c r="S225" s="363" t="str">
        <f>IF(Model!S349&lt;&gt;"",Model!S349,"")</f>
        <v/>
      </c>
      <c r="T225" s="363" t="str">
        <f>IF(Model!T349&lt;&gt;"",Model!T349,"")</f>
        <v/>
      </c>
      <c r="U225" s="363" t="str">
        <f>IF(AND(Model!U349&lt;&gt;"",V225&lt;&gt;""),Model!U349,"")</f>
        <v/>
      </c>
      <c r="V225" s="363" t="str">
        <f>IF(Model!V349&lt;&gt;"",Model!V349,"")</f>
        <v/>
      </c>
      <c r="W225" s="363" t="str">
        <f>IF(Model!W349&lt;&gt;"",Model!W349,"")</f>
        <v/>
      </c>
      <c r="X225" s="363" t="str">
        <f>IF(AND(Model!X349&lt;&gt;"",Y225&lt;&gt;""),Model!X349,"")</f>
        <v/>
      </c>
      <c r="Y225" s="363" t="str">
        <f>IF(Model!Y349&lt;&gt;"",Model!Y349,"")</f>
        <v/>
      </c>
      <c r="Z225" s="363" t="str">
        <f>IF(Model!Z349&lt;&gt;"",Model!Z349,"")</f>
        <v/>
      </c>
      <c r="AA225" s="363" t="str">
        <f>IF(AND(Model!AA349&lt;&gt;"",AB225&lt;&gt;""),Model!AA349,"")</f>
        <v/>
      </c>
      <c r="AB225" s="363" t="str">
        <f>IF(Model!AB349&lt;&gt;"",Model!AB349,"")</f>
        <v/>
      </c>
      <c r="AC225" s="363" t="str">
        <f>IF(Model!AC349&lt;&gt;"",Model!AC349,"")</f>
        <v/>
      </c>
      <c r="AD225" s="363" t="str">
        <f>IF(AND(Model!AD349&lt;&gt;"",AE225&lt;&gt;""),Model!AD349,"")</f>
        <v/>
      </c>
      <c r="AE225" s="363" t="str">
        <f>IF(Model!AE349&lt;&gt;"",Model!AE349,"")</f>
        <v/>
      </c>
      <c r="AF225" s="363" t="str">
        <f>IF(Model!AF349&lt;&gt;"",Model!AF349,"")</f>
        <v/>
      </c>
      <c r="AG225" s="363" t="str">
        <f>IF(AND(Model!AG349&lt;&gt;"",AH225&lt;&gt;""),Model!AG349,"")</f>
        <v/>
      </c>
      <c r="AH225" s="363" t="str">
        <f>IF(Model!AH349&lt;&gt;"",Model!AH349,"")</f>
        <v/>
      </c>
      <c r="AI225" s="363" t="str">
        <f>IF(Model!AI349&lt;&gt;"",Model!AI349,"")</f>
        <v/>
      </c>
      <c r="AJ225" s="363" t="str">
        <f>IF(AND(Model!AJ349&lt;&gt;"",AK225&lt;&gt;""),Model!AJ349,"")</f>
        <v/>
      </c>
      <c r="AK225" s="363" t="str">
        <f>IF(Model!AK349&lt;&gt;"",Model!AK349,"")</f>
        <v/>
      </c>
      <c r="AL225" s="363">
        <f>IF(Model!AL349&lt;&gt;"",Model!AL349,"")</f>
        <v>2.5</v>
      </c>
      <c r="AM225" s="363">
        <f>IF(AND(Model!AM349&lt;&gt;"",AN225&lt;&gt;""),Model!AM349,"")</f>
        <v>3.75</v>
      </c>
      <c r="AN225" s="363">
        <f>IF(Model!AN349&lt;&gt;"",Model!AN349,"")</f>
        <v>6.25</v>
      </c>
      <c r="AO225" s="363">
        <f>IF(Model!AO349&lt;&gt;"",Model!AO349,"")</f>
        <v>2.5</v>
      </c>
      <c r="AP225" s="363">
        <f>IF(AND(Model!AP349&lt;&gt;"",AQ225&lt;&gt;""),Model!AP349,"")</f>
        <v>3.75</v>
      </c>
      <c r="AQ225" s="363">
        <f>IF(Model!AQ349&lt;&gt;"",Model!AQ349,"")</f>
        <v>6.25</v>
      </c>
      <c r="AR225" s="363">
        <f>IF(AND(Model!AR349&lt;&gt;"",Model!AR348&lt;&gt;""),Model!AR349,"")</f>
        <v>3</v>
      </c>
      <c r="AS225" s="363">
        <f>IF(AND(Model!AS349&lt;&gt;"",AT225&lt;&gt;""),Model!AS349,"")</f>
        <v>4.75</v>
      </c>
      <c r="AT225" s="363">
        <f>IF(Model!AT349&lt;&gt;"",Model!AT349,"")</f>
        <v>7.75</v>
      </c>
      <c r="AU225" s="363">
        <f>IF(AND(Model!AU349&lt;&gt;"",Model!AU348&lt;&gt;""),Model!AU349,"")</f>
        <v>4.0430000000000001</v>
      </c>
      <c r="AV225" s="363">
        <f>IF(AND(Model!AV349&lt;&gt;"",AW225&lt;&gt;""),Model!AV349,"")</f>
        <v>10.106999999999999</v>
      </c>
      <c r="AW225" s="363">
        <f>IF(Model!AW349&lt;&gt;"",Model!AW349,"")</f>
        <v>14.15</v>
      </c>
      <c r="AX225" s="363">
        <f>IF(AND(Model!AX349&lt;&gt;"",Model!AX348&lt;&gt;""),Model!AX349,"")</f>
        <v>7.67</v>
      </c>
      <c r="AY225" s="363">
        <f>IF(AND(Model!AY349&lt;&gt;"",AZ225&lt;&gt;""),Model!AY349,"")</f>
        <v>7.6769999999999996</v>
      </c>
      <c r="AZ225" s="363">
        <f>IF(Model!AZ349&lt;&gt;"",Model!AZ349,"")</f>
        <v>15.347</v>
      </c>
      <c r="BA225" s="363">
        <f>IF(AND(Model!BA349&lt;&gt;"",Model!BA348&lt;&gt;""),Model!BA349,"")</f>
        <v>10.403</v>
      </c>
      <c r="BB225" s="363">
        <f>IF(AND(Model!BB349&lt;&gt;"",BC225&lt;&gt;""),Model!BB349,"")</f>
        <v>10.924000000000001</v>
      </c>
      <c r="BC225" s="363">
        <f>IF(Model!BC349&lt;&gt;"",Model!BC349,"")</f>
        <v>21.327000000000002</v>
      </c>
      <c r="BD225" s="363">
        <f>IF(AND(Model!BD349&lt;&gt;"",Model!BD348&lt;&gt;""),Model!BD349,"")</f>
        <v>10.923645389999999</v>
      </c>
      <c r="BE225" s="363">
        <f>IF(AND(Model!BE349&lt;&gt;"",BF225&lt;&gt;""),Model!BE349,"")</f>
        <v>16.37643001</v>
      </c>
      <c r="BF225" s="363">
        <f>IF(AND(Model!BF349&lt;&gt;"",Model!BE348&lt;&gt;""),Model!BF349,"")</f>
        <v>27.300075400000001</v>
      </c>
      <c r="BG225" s="363">
        <f>IF(AND(Model!BG349&lt;&gt;"",Model!BG348&lt;&gt;""),Model!BG349,"")</f>
        <v>17.325047850000001</v>
      </c>
      <c r="BH225" s="363">
        <f>IF(AND(Model!BH349&lt;&gt;"",BI225&lt;&gt;""),Model!BH349,"")</f>
        <v>15.946952149999998</v>
      </c>
      <c r="BI225" s="363">
        <f>IF(AND(Model!BI349&lt;&gt;"",Model!BH348&lt;&gt;""),Model!BI349,"")</f>
        <v>33.271999999999998</v>
      </c>
      <c r="BJ225" s="363">
        <f>IF(AND(Model!BJ349&lt;&gt;"",Model!BJ348&lt;&gt;""),Model!BJ349,"")</f>
        <v>23.355</v>
      </c>
      <c r="BK225" s="363">
        <f>IF(AND(Model!BK349&lt;&gt;"",BL225&lt;&gt;""),Model!BK349,"")</f>
        <v>19.432735099999999</v>
      </c>
      <c r="BL225" s="363">
        <f>IF(AND(Model!BL349&lt;&gt;"",Model!BK348&lt;&gt;""),Model!BL349,"")</f>
        <v>42.787735099999999</v>
      </c>
      <c r="BM225" s="363">
        <f>IF(AND(Model!BM349&lt;&gt;"",Model!BM348&lt;&gt;""),Model!BM349,"")</f>
        <v>17.8733577</v>
      </c>
      <c r="BN225" s="363">
        <f>IF(AND(Model!BN349&lt;&gt;"",BO225&lt;&gt;""),Model!BN349,"")</f>
        <v>24.372760500000005</v>
      </c>
      <c r="BO225" s="363">
        <f>IF(AND(Model!BO349&lt;&gt;"",Model!BN348&lt;&gt;""),Model!BO349,"")</f>
        <v>42.246118200000005</v>
      </c>
      <c r="BP225" s="363">
        <f>IF(AND(Model!BP349&lt;&gt;"",Model!BP348&lt;&gt;""),Model!BP349,"")</f>
        <v>24.372760500000002</v>
      </c>
      <c r="BQ225" s="363">
        <f>IF(AND(Model!BQ349&lt;&gt;"",BR225&lt;&gt;""),Model!BQ349,"")</f>
        <v>29.788929499999998</v>
      </c>
      <c r="BR225" s="363">
        <f>IF(AND(Model!BR349&lt;&gt;"",Model!BQ348&lt;&gt;""),Model!BR349,"")</f>
        <v>54.16169</v>
      </c>
      <c r="BS225" s="363">
        <f>IF(AND(Model!BS349&lt;&gt;"",Model!BS348&lt;&gt;""),Model!BS349,"")</f>
        <v>30.096379500000001</v>
      </c>
      <c r="BT225" s="363">
        <f>IF(AND(Model!BT349&lt;&gt;"",BU225&lt;&gt;""),Model!BT349,"")</f>
        <v>38.304483000000005</v>
      </c>
      <c r="BU225" s="363">
        <f>IF(AND(Model!BU349&lt;&gt;"",Model!BT348&lt;&gt;""),Model!BU349,"")</f>
        <v>68.400862500000002</v>
      </c>
      <c r="BV225" s="363">
        <f>IF(AND(Model!BV349&lt;&gt;"",Model!BV348&lt;&gt;""),Model!BV349,"")</f>
        <v>38.935994999999998</v>
      </c>
      <c r="BW225" s="363">
        <f>IF(AND(Model!BW349&lt;&gt;"",BX225&lt;&gt;""),Model!BW349,"")</f>
        <v>44.498280000000001</v>
      </c>
      <c r="BX225" s="363">
        <f>IF(AND(Model!BX349&lt;&gt;"",Model!BW348&lt;&gt;""),Model!BX349,"")</f>
        <v>83.434275</v>
      </c>
      <c r="BY225" s="363">
        <f>IF(AND(Model!BY349&lt;&gt;"",Model!BY348&lt;&gt;""),Model!BY349,"")</f>
        <v>44.594570400000002</v>
      </c>
      <c r="BZ225" s="363">
        <f>IF(AND(Model!BZ349&lt;&gt;"",CA225&lt;&gt;""),Model!BZ349,"")</f>
        <v>53.495979850000005</v>
      </c>
      <c r="CA225" s="363">
        <f>IF(AND(Model!CA349&lt;&gt;"",Model!BZ348&lt;&gt;""),Model!CA349,"")</f>
        <v>98.090550250000007</v>
      </c>
      <c r="CB225" s="363">
        <f>IF(AND(Model!CB349&lt;&gt;"",Model!CB348&lt;&gt;""),Model!CB349,"")</f>
        <v>53.327764521081463</v>
      </c>
      <c r="CC225" s="363">
        <f>IF(AND(Model!CC349&lt;&gt;"",CD225&lt;&gt;""),Model!CC349,"")</f>
        <v>59.06801892924112</v>
      </c>
      <c r="CD225" s="363">
        <f>IF(AND(Model!CD349&lt;&gt;"",Model!CC348&lt;&gt;""),Model!CD349,"")</f>
        <v>112.39578345032258</v>
      </c>
      <c r="CE225" s="356">
        <f>IF(ISERROR(Model!CE367),"",IF(Model!CE367&lt;&gt;"",Model!CE367,""))</f>
        <v>0</v>
      </c>
      <c r="CF225" s="363">
        <f>IF(AND(Model!CF349&lt;&gt;"",CG225&lt;&gt;""),Model!CF349,"")</f>
        <v>67.23360989999999</v>
      </c>
      <c r="CG225" s="363">
        <f>IF(AND(Model!CG349&lt;&gt;"",Model!CF348&lt;&gt;""),Model!CG349,"")</f>
        <v>126.59771925</v>
      </c>
      <c r="CH225" s="363">
        <f>IF(AND(Model!CH349&lt;&gt;"",Model!CH348&lt;&gt;""),Model!CH349,"")</f>
        <v>68.1358836</v>
      </c>
      <c r="CI225" s="363">
        <f>IF(AND(Model!CI349&lt;&gt;"",CJ225&lt;&gt;""),Model!CI349,"")</f>
        <v>71.357989118791579</v>
      </c>
      <c r="CJ225" s="363">
        <f>IF(AND(Model!CJ349&lt;&gt;"",Model!CI348&lt;&gt;""),Model!CJ349,"")</f>
        <v>139.49387271879158</v>
      </c>
      <c r="CK225" s="363">
        <f>IF(AND(Model!CK349&lt;&gt;"",Model!CK348&lt;&gt;""),Model!CK349,"")</f>
        <v>71.087440000000001</v>
      </c>
      <c r="CL225" s="363">
        <f>IF(AND(Model!CL349&lt;&gt;"",CM225&lt;&gt;""),Model!CL349,"")</f>
        <v>72.565258421597449</v>
      </c>
      <c r="CM225" s="363">
        <f>IF(AND(Model!CM349&lt;&gt;"",Model!CL348&lt;&gt;""),Model!CM349,"")</f>
        <v>143.65269842159745</v>
      </c>
      <c r="CN225" s="363">
        <f>IF(AND(Model!CN349&lt;&gt;"",Model!CN348&lt;&gt;""),Model!CN349,"")</f>
        <v>72.290833850575538</v>
      </c>
      <c r="CO225" s="363">
        <f>IF(AND(Model!CO349&lt;&gt;"",CP225&lt;&gt;""),Model!CO349,"")</f>
        <v>72.409827975564369</v>
      </c>
      <c r="CP225" s="363">
        <f>IF(AND(Model!CP349&lt;&gt;"",Model!CO348&lt;&gt;""),Model!CP349,"")</f>
        <v>144.70066182613991</v>
      </c>
      <c r="CQ225" s="363">
        <f>IF(AND(Model!CQ349&lt;&gt;"",Model!CQ348&lt;&gt;""),Model!CQ349,"")</f>
        <v>51.250724099999978</v>
      </c>
      <c r="CR225" s="363">
        <f>IF(AND(Model!CR349&lt;&gt;"",CS225&lt;&gt;""),Model!CR349,"")</f>
        <v>56.871928901986145</v>
      </c>
      <c r="CS225" s="363">
        <f>IF(AND(Model!CS349&lt;&gt;"",Model!CR348&lt;&gt;""),Model!CS349,"")</f>
        <v>108.12265300198612</v>
      </c>
      <c r="CT225" s="363">
        <f>IF(AND(Model!CT349&lt;&gt;"",Model!CT348&lt;&gt;""),Model!CT349,"")</f>
        <v>62.344895881247602</v>
      </c>
      <c r="CU225" s="363">
        <f>IF(AND(Model!CU349&lt;&gt;"",CV225&lt;&gt;""),Model!CU349,"")</f>
        <v>69.079888047168993</v>
      </c>
      <c r="CV225" s="363">
        <f>IF(AND(Model!CV349&lt;&gt;"",Model!CU348&lt;&gt;""),Model!CV349,"")</f>
        <v>131.42478392841659</v>
      </c>
      <c r="CW225" s="363">
        <f>IF(AND(Model!CW349&lt;&gt;"",Model!CW348&lt;&gt;""),Model!CW349,"")</f>
        <v>77.644526419616042</v>
      </c>
      <c r="CX225" s="363">
        <f>IF(AND(Model!CX349&lt;&gt;"",CY225&lt;&gt;""),Model!CX349,"")</f>
        <v>78.313756228703383</v>
      </c>
      <c r="CY225" s="363">
        <f>IF(AND(Model!CY349&lt;&gt;"",Model!CX348&lt;&gt;""),Model!CY349,"")</f>
        <v>155.95828264831943</v>
      </c>
      <c r="CZ225" s="363">
        <f>IF(AND(Model!CZ349&lt;&gt;"",Model!CZ348&lt;&gt;""),Model!CZ349,"")</f>
        <v>80.511377799999991</v>
      </c>
      <c r="DA225" s="363">
        <f>IF(AND(Model!DA349&lt;&gt;"",DB225&lt;&gt;""),Model!DA349,"")</f>
        <v>92.132082200000013</v>
      </c>
      <c r="DB225" s="363">
        <f>IF(AND(Model!DB349&lt;&gt;"",Model!DA348&lt;&gt;""),Model!DB349,"")</f>
        <v>172.64346</v>
      </c>
      <c r="DC225" s="363">
        <f>IF(AND(Model!DC349&lt;&gt;"",Model!DC348&lt;&gt;""),Model!DC349,"")</f>
        <v>89.007599266646366</v>
      </c>
      <c r="DD225" s="363">
        <f>IF(AND(Model!DD349&lt;&gt;"",DE225&lt;&gt;""),Model!DD349,"")</f>
        <v>101.43490690841057</v>
      </c>
      <c r="DE225" s="363">
        <f>IF(AND(Model!DE349&lt;&gt;"",Model!DD348&lt;&gt;""),Model!DE349,"")</f>
        <v>190.44250617505693</v>
      </c>
      <c r="DF225" s="363">
        <f>IF(AND(Model!DF349&lt;&gt;"",Model!DF348&lt;&gt;""),Model!DF349,"")</f>
        <v>92.535131359645334</v>
      </c>
      <c r="DG225" s="363">
        <f>IF(AND(Model!DG349&lt;&gt;"",DH225&lt;&gt;""),Model!DG349,"")</f>
        <v>12.645878660402502</v>
      </c>
      <c r="DH225" s="363">
        <f>IF(AND(Model!DH349&lt;&gt;"",Model!DG348&lt;&gt;""),Model!DH349,"")</f>
        <v>105.18101002004784</v>
      </c>
      <c r="DI225" s="363">
        <f>IF(AND(Model!DI349&lt;&gt;"",Model!DI348&lt;&gt;""),Model!DI349,"")</f>
        <v>75.790715974351983</v>
      </c>
      <c r="DJ225" s="363">
        <f>IF(AND(Model!DJ349&lt;&gt;"",DK225&lt;&gt;""),Model!DJ349,"")</f>
        <v>94.963212373276335</v>
      </c>
      <c r="DK225" s="1210">
        <f>IF(AND(Model!DK349&lt;&gt;"",Model!DJ348&lt;&gt;""),Model!DK349,"")</f>
        <v>170.75392834762832</v>
      </c>
      <c r="DL225" s="363">
        <f>IF(AND(Model!DL349&lt;&gt;"",Model!DL348&lt;&gt;""),Model!DL349,"")</f>
        <v>97.144075368127616</v>
      </c>
      <c r="DM225" s="363">
        <f>IF(AND(Model!DM349&lt;&gt;"",DN225&lt;&gt;""),Model!DM349,"")</f>
        <v>112.20931611261271</v>
      </c>
      <c r="DN225" s="1210">
        <f>IF(AND(Model!DN349&lt;&gt;"",Model!DM348&lt;&gt;""),Model!DN349,"")</f>
        <v>209.35339148074033</v>
      </c>
      <c r="DO225" s="363">
        <f>IF(AND(Model!DO349&lt;&gt;"",Model!DO348&lt;&gt;""),Model!DO349,"")</f>
        <v>110.69280000000001</v>
      </c>
      <c r="DP225" s="363">
        <f>IF(AND(Model!DP349&lt;&gt;"",DQ225&lt;&gt;""),Model!DP349,"")</f>
        <v>125.16816575607297</v>
      </c>
      <c r="DQ225" s="1210">
        <f>IF(AND(Model!DQ349&lt;&gt;"",Model!DP348&lt;&gt;""),Model!DQ349,"")</f>
        <v>235.86096575607297</v>
      </c>
      <c r="DR225" s="363">
        <f>IF(AND(Model!DR349&lt;&gt;"",Model!DR348&lt;&gt;""),Model!DR349,"")</f>
        <v>139.28100368441969</v>
      </c>
      <c r="DS225" s="363">
        <f>IF(AND(Model!DS349&lt;&gt;"",DT225&lt;&gt;""),Model!DS349,"")</f>
        <v>143.94262725958654</v>
      </c>
      <c r="DT225" s="1210">
        <f>IF(AND(Model!DT349&lt;&gt;"",Model!DS348&lt;&gt;""),Model!DT349,"")</f>
        <v>283.22363094400623</v>
      </c>
      <c r="DU225" s="363">
        <f>IF(AND(Model!DU349&lt;&gt;"",Model!DU348&lt;&gt;""),Model!DU349,"")</f>
        <v>149.29379100562795</v>
      </c>
      <c r="DV225" s="363">
        <f>IF(AND(Model!DV349&lt;&gt;"",DW225&lt;&gt;""),Model!DV349,"")</f>
        <v>142.23020472778126</v>
      </c>
      <c r="DW225" s="1210">
        <f>IF(AND(Model!DW349&lt;&gt;"",Model!DV348&lt;&gt;""),Model!DW349,"")</f>
        <v>291.52399573340921</v>
      </c>
      <c r="DX225" s="363">
        <f>IF(AND(Model!DX349&lt;&gt;"",Model!DX348&lt;&gt;""),Model!DX349,"")</f>
        <v>137.49119152576549</v>
      </c>
      <c r="DY225" s="363">
        <f>IF(AND(Model!DY349&lt;&gt;"",DZ225&lt;&gt;""),Model!DY349,"")</f>
        <v>153.05211936965441</v>
      </c>
      <c r="DZ225" s="1210">
        <f>IF(AND(Model!DZ349&lt;&gt;"",Model!DY348&lt;&gt;""),Model!DZ349,"")</f>
        <v>290.54331089541989</v>
      </c>
      <c r="EA225" s="363">
        <f>IF(AND(Model!EA349&lt;&gt;"",Model!EA348&lt;&gt;""),Model!EA349,"")</f>
        <v>165.0907631803972</v>
      </c>
      <c r="EB225" s="363">
        <f>IF(AND(Model!EB349&lt;&gt;"",EC225&lt;&gt;""),Model!EB349,"")</f>
        <v>169.59082546537329</v>
      </c>
      <c r="EC225" s="1210">
        <f>IF(AND(Model!EC349&lt;&gt;"",Model!EB348&lt;&gt;""),Model!EC349,"")</f>
        <v>334.68158864577049</v>
      </c>
      <c r="ED225" s="363">
        <f>IF(AND(Model!ED349&lt;&gt;"",Model!ED348&lt;&gt;""),Model!ED349,"")</f>
        <v>183.56812741804666</v>
      </c>
      <c r="EE225" s="363">
        <f>IF(AND(Model!EE349&lt;&gt;"",EF225&lt;&gt;""),Model!EE349,"")</f>
        <v>188.71909087266894</v>
      </c>
      <c r="EF225" s="1210">
        <f>IF(AND(Model!EF349&lt;&gt;"",Model!EE348&lt;&gt;""),Model!EF349,"")</f>
        <v>372.2872182907156</v>
      </c>
      <c r="EG225" s="363">
        <f>IF(AND(Model!EG349&lt;&gt;"",Model!EG348&lt;&gt;""),Model!EG349,"")</f>
        <v>204.59289538226764</v>
      </c>
      <c r="EH225" s="363">
        <f>IF(AND(Model!EH349&lt;&gt;"",EI225&lt;&gt;""),Model!EH349,"")</f>
        <v>210.99253656363774</v>
      </c>
      <c r="EI225" s="1210">
        <f>IF(AND(Model!EI349&lt;&gt;"",Model!EH348&lt;&gt;""),Model!EI349,"")</f>
        <v>415.58543194590538</v>
      </c>
      <c r="EJ225" s="363">
        <f>IF(AND(Model!EJ349&lt;&gt;"",Model!EJ348&lt;&gt;""),Model!EJ349,"")</f>
        <v>225.61704536903866</v>
      </c>
      <c r="EK225" s="363">
        <f>IF(AND(Model!EK349&lt;&gt;"",EL225&lt;&gt;""),Model!EK349,"")</f>
        <v>232.66607187925595</v>
      </c>
      <c r="EL225" s="1210">
        <f>IF(AND(Model!EL349&lt;&gt;"",Model!EK348&lt;&gt;""),Model!EL349,"")</f>
        <v>458.28311724829462</v>
      </c>
      <c r="EM225" s="363">
        <f>IF(AND(Model!EM349&lt;&gt;"",Model!EM348&lt;&gt;""),Model!EM349,"")</f>
        <v>247.68386257631965</v>
      </c>
      <c r="EN225" s="363">
        <f>IF(AND(Model!EN349&lt;&gt;"",EO225&lt;&gt;""),Model!EN349,"")</f>
        <v>255.39931155587664</v>
      </c>
      <c r="EO225" s="1210">
        <f>IF(AND(Model!EO349&lt;&gt;"",Model!EN348&lt;&gt;""),Model!EO349,"")</f>
        <v>503.08317413219629</v>
      </c>
      <c r="EP225" s="363">
        <f>IF(AND(Model!EP349&lt;&gt;"",Model!EP348&lt;&gt;""),Model!EP349,"")</f>
        <v>271.1716274030257</v>
      </c>
      <c r="EQ225" s="363">
        <f>IF(AND(Model!EQ349&lt;&gt;"",ER225&lt;&gt;""),Model!EQ349,"")</f>
        <v>279.58146679074309</v>
      </c>
      <c r="ER225" s="1210">
        <f>IF(AND(Model!ER349&lt;&gt;"",Model!EQ348&lt;&gt;""),Model!ER349,"")</f>
        <v>550.75309419376879</v>
      </c>
      <c r="ES225" s="363">
        <f>IF(AND(Model!ES349&lt;&gt;"",Model!ES348&lt;&gt;""),Model!ES349,"")</f>
        <v>296.81601608916446</v>
      </c>
      <c r="ET225" s="363">
        <f>IF(AND(Model!ET349&lt;&gt;"",EU225&lt;&gt;""),Model!ET349,"")</f>
        <v>305.98274102177641</v>
      </c>
      <c r="EU225" s="1210">
        <f>IF(AND(Model!EU349&lt;&gt;"",Model!ET348&lt;&gt;""),Model!EU349,"")</f>
        <v>602.79875711094087</v>
      </c>
      <c r="EV225" s="363">
        <f>IF(AND(Model!EV349&lt;&gt;"",Model!EV348&lt;&gt;""),Model!EV349,"")</f>
        <v>324.81601707290901</v>
      </c>
      <c r="EW225" s="363">
        <f>IF(AND(Model!EW349&lt;&gt;"",EX225&lt;&gt;""),Model!EW349,"")</f>
        <v>334.80774724945576</v>
      </c>
      <c r="EX225" s="1210">
        <f>IF(AND(Model!EX349&lt;&gt;"",Model!EW348&lt;&gt;""),Model!EX349,"")</f>
        <v>659.62376432236476</v>
      </c>
      <c r="EY225" s="363">
        <f>IF(AND(Model!EY349&lt;&gt;"",Model!EY348&lt;&gt;""),Model!EY349,"")</f>
        <v>355.38969154936899</v>
      </c>
      <c r="EZ225" s="363">
        <f>IF(AND(Model!EZ349&lt;&gt;"",FA225&lt;&gt;""),Model!EZ349,"")</f>
        <v>366.2806774418051</v>
      </c>
      <c r="FA225" s="363">
        <f>IF(AND(Model!FA349&lt;&gt;"",Model!EZ348&lt;&gt;""),Model!FA349,"")</f>
        <v>721.67036899117409</v>
      </c>
    </row>
    <row r="226" spans="1:157" ht="13.35" customHeight="1">
      <c r="A226" s="5"/>
      <c r="B226" s="5" t="s">
        <v>557</v>
      </c>
      <c r="C226" s="5"/>
      <c r="D226" s="5"/>
      <c r="E226" s="317">
        <f>IF(Model!E352&lt;&gt;"",Model!E352,"")</f>
        <v>0</v>
      </c>
      <c r="F226" s="317">
        <f>IF(Model!F352&lt;&gt;"",Model!F352,"")</f>
        <v>0</v>
      </c>
      <c r="G226" s="317" t="str">
        <f>IF(ISERROR(Model!G352),"",IF(Model!G352&lt;&gt;"",Model!G352,""))</f>
        <v/>
      </c>
      <c r="H226" s="317">
        <f>IF(Model!H352&lt;&gt;"",Model!H352,"")</f>
        <v>0</v>
      </c>
      <c r="I226" s="317">
        <f>IF(Model!I352&lt;&gt;"",Model!I352,"")</f>
        <v>0</v>
      </c>
      <c r="J226" s="317" t="str">
        <f>IF(ISERROR(Model!J352),"",IF(Model!J352&lt;&gt;"",Model!J352,""))</f>
        <v/>
      </c>
      <c r="K226" s="317">
        <f>IF(Model!K352&lt;&gt;"",Model!K352,"")</f>
        <v>0</v>
      </c>
      <c r="L226" s="317">
        <f>IF(Model!L352&lt;&gt;"",Model!L352,"")</f>
        <v>0</v>
      </c>
      <c r="M226" s="317" t="str">
        <f>IF(ISERROR(Model!M352),"",IF(Model!M352&lt;&gt;"",Model!M352,""))</f>
        <v/>
      </c>
      <c r="N226" s="317">
        <f>IF(Model!N352&lt;&gt;"",Model!N352,"")</f>
        <v>0</v>
      </c>
      <c r="O226" s="317">
        <f>IF(Model!O352&lt;&gt;"",Model!O352,"")</f>
        <v>0</v>
      </c>
      <c r="P226" s="317" t="str">
        <f>IF(ISERROR(Model!P352),"",IF(Model!P352&lt;&gt;"",Model!P352,""))</f>
        <v/>
      </c>
      <c r="Q226" s="317">
        <f>IF(Model!Q352&lt;&gt;"",Model!Q352,"")</f>
        <v>0</v>
      </c>
      <c r="R226" s="317">
        <f>IF(Model!R352&lt;&gt;"",Model!R352,"")</f>
        <v>0</v>
      </c>
      <c r="S226" s="317" t="str">
        <f>IF(ISERROR(Model!S352),"",IF(Model!S352&lt;&gt;"",Model!S352,""))</f>
        <v/>
      </c>
      <c r="T226" s="317">
        <f>IF(Model!T352&lt;&gt;"",Model!T352,"")</f>
        <v>0</v>
      </c>
      <c r="U226" s="317">
        <f>IF(Model!U352&lt;&gt;"",Model!U352,"")</f>
        <v>0</v>
      </c>
      <c r="V226" s="317" t="str">
        <f>IF(ISERROR(Model!V352),"",IF(Model!V352&lt;&gt;"",Model!V352,""))</f>
        <v/>
      </c>
      <c r="W226" s="317">
        <f>IF(Model!W352&lt;&gt;"",Model!W352,"")</f>
        <v>0</v>
      </c>
      <c r="X226" s="317">
        <f>IF(Model!X352&lt;&gt;"",Model!X352,"")</f>
        <v>0</v>
      </c>
      <c r="Y226" s="317" t="str">
        <f>IF(ISERROR(Model!Y352),"",IF(Model!Y352&lt;&gt;"",Model!Y352,""))</f>
        <v/>
      </c>
      <c r="Z226" s="317">
        <f>IF(Model!Z352&lt;&gt;"",Model!Z352,"")</f>
        <v>0</v>
      </c>
      <c r="AA226" s="317">
        <f>IF(Model!AA352&lt;&gt;"",Model!AA352,"")</f>
        <v>0</v>
      </c>
      <c r="AB226" s="317" t="str">
        <f>IF(ISERROR(Model!AB352),"",IF(Model!AB352&lt;&gt;"",Model!AB352,""))</f>
        <v/>
      </c>
      <c r="AC226" s="317">
        <f>IF(Model!AC352&lt;&gt;"",Model!AC352,"")</f>
        <v>0</v>
      </c>
      <c r="AD226" s="317">
        <f>IF(Model!AD352&lt;&gt;"",Model!AD352,"")</f>
        <v>0</v>
      </c>
      <c r="AE226" s="317" t="str">
        <f>IF(ISERROR(Model!AE352),"",IF(Model!AE352&lt;&gt;"",Model!AE352,""))</f>
        <v/>
      </c>
      <c r="AF226" s="317">
        <f>IF(Model!AF352&lt;&gt;"",Model!AF352,"")</f>
        <v>0</v>
      </c>
      <c r="AG226" s="317">
        <f>IF(Model!AG352&lt;&gt;"",Model!AG352,"")</f>
        <v>0</v>
      </c>
      <c r="AH226" s="317" t="str">
        <f>IF(ISERROR(Model!AH352),"",IF(Model!AH352&lt;&gt;"",Model!AH352,""))</f>
        <v/>
      </c>
      <c r="AI226" s="317">
        <f>IF(Model!AI352&lt;&gt;"",Model!AI352,"")</f>
        <v>0</v>
      </c>
      <c r="AJ226" s="317">
        <f>IF(Model!AJ352&lt;&gt;"",Model!AJ352,"")</f>
        <v>0</v>
      </c>
      <c r="AK226" s="317" t="str">
        <f>IF(ISERROR(Model!AK352),"",IF(Model!AK352&lt;&gt;"",Model!AK352,""))</f>
        <v/>
      </c>
      <c r="AL226" s="317">
        <f>IF(Model!AL352&lt;&gt;"",Model!AL352,"")</f>
        <v>0.39</v>
      </c>
      <c r="AM226" s="317">
        <f>IF(Model!AM352&lt;&gt;"",Model!AM352,"")</f>
        <v>0.39</v>
      </c>
      <c r="AN226" s="317">
        <f>IF(ISERROR(Model!AN352),"",IF(Model!AN352&lt;&gt;"",Model!AN352,""))</f>
        <v>0.39</v>
      </c>
      <c r="AO226" s="317">
        <f>IF(Model!AO352&lt;&gt;"",Model!AO352,"")</f>
        <v>1</v>
      </c>
      <c r="AP226" s="317">
        <f>IF(Model!AP352&lt;&gt;"",Model!AP352,"")</f>
        <v>0.38</v>
      </c>
      <c r="AQ226" s="317">
        <f>IF(ISERROR(Model!AQ352),"",IF(Model!AQ352&lt;&gt;"",Model!AQ352,""))</f>
        <v>0.628</v>
      </c>
      <c r="AR226" s="317">
        <f>IF(Model!AR352&lt;&gt;"",Model!AR352,"")</f>
        <v>1</v>
      </c>
      <c r="AS226" s="317">
        <f>IF(Model!AS352&lt;&gt;"",Model!AS352,"")</f>
        <v>1</v>
      </c>
      <c r="AT226" s="317">
        <f>IF(ISERROR(Model!AT352),"",IF(Model!AT352&lt;&gt;"",Model!AT352,""))</f>
        <v>1</v>
      </c>
      <c r="AU226" s="317">
        <f>IF(Model!AU352&lt;&gt;"",Model!AU352,"")</f>
        <v>1</v>
      </c>
      <c r="AV226" s="317">
        <f>IF(Model!AV352&lt;&gt;"",Model!AV352,"")</f>
        <v>1</v>
      </c>
      <c r="AW226" s="317">
        <f>IF(ISERROR(Model!AW352),"",IF(Model!AW352&lt;&gt;"",Model!AW352,""))</f>
        <v>1</v>
      </c>
      <c r="AX226" s="317">
        <f>IF(Model!AX352&lt;&gt;"",Model!AX352,"")</f>
        <v>1</v>
      </c>
      <c r="AY226" s="317">
        <f>IF(Model!AY352&lt;&gt;"",Model!AY352,"")</f>
        <v>1</v>
      </c>
      <c r="AZ226" s="317">
        <f>IF(ISERROR(Model!AZ352),"",IF(Model!AZ352&lt;&gt;"",Model!AZ352,""))</f>
        <v>1</v>
      </c>
      <c r="BA226" s="317">
        <f>IF(Model!BA352&lt;&gt;"",Model!BA352,"")</f>
        <v>1</v>
      </c>
      <c r="BB226" s="317">
        <f>IF(Model!BB352&lt;&gt;"",Model!BB352,"")</f>
        <v>1</v>
      </c>
      <c r="BC226" s="317">
        <f>IF(ISERROR(Model!BC352),"",IF(Model!BC352&lt;&gt;"",Model!BC352,""))</f>
        <v>1</v>
      </c>
      <c r="BD226" s="317">
        <v>1</v>
      </c>
      <c r="BE226" s="317">
        <v>1</v>
      </c>
      <c r="BF226" s="317">
        <f>IF(ISERROR(Model!BF352),"",IF(Model!BF352&lt;&gt;"",Model!BF352,""))</f>
        <v>1</v>
      </c>
      <c r="BG226" s="359">
        <v>1</v>
      </c>
      <c r="BH226" s="359">
        <v>1</v>
      </c>
      <c r="BI226" s="317">
        <f>IF(ISERROR(Model!BI352),"",IF(Model!BI352&lt;&gt;"",Model!BI352,""))</f>
        <v>1</v>
      </c>
      <c r="BJ226" s="356">
        <f>BI226</f>
        <v>1</v>
      </c>
      <c r="BK226" s="356">
        <f t="shared" ref="BK226:DK226" si="566">BJ226</f>
        <v>1</v>
      </c>
      <c r="BL226" s="356">
        <f t="shared" si="566"/>
        <v>1</v>
      </c>
      <c r="BM226" s="356">
        <f t="shared" si="566"/>
        <v>1</v>
      </c>
      <c r="BN226" s="356">
        <f t="shared" si="566"/>
        <v>1</v>
      </c>
      <c r="BO226" s="356">
        <f t="shared" si="566"/>
        <v>1</v>
      </c>
      <c r="BP226" s="356">
        <f t="shared" si="566"/>
        <v>1</v>
      </c>
      <c r="BQ226" s="356">
        <f t="shared" si="566"/>
        <v>1</v>
      </c>
      <c r="BR226" s="356">
        <f t="shared" si="566"/>
        <v>1</v>
      </c>
      <c r="BS226" s="356">
        <f t="shared" si="566"/>
        <v>1</v>
      </c>
      <c r="BT226" s="356">
        <f t="shared" si="566"/>
        <v>1</v>
      </c>
      <c r="BU226" s="356">
        <f t="shared" si="566"/>
        <v>1</v>
      </c>
      <c r="BV226" s="356">
        <f t="shared" si="566"/>
        <v>1</v>
      </c>
      <c r="BW226" s="356">
        <f t="shared" si="566"/>
        <v>1</v>
      </c>
      <c r="BX226" s="356">
        <f t="shared" si="566"/>
        <v>1</v>
      </c>
      <c r="BY226" s="356">
        <f>BX226</f>
        <v>1</v>
      </c>
      <c r="BZ226" s="356">
        <f t="shared" si="566"/>
        <v>1</v>
      </c>
      <c r="CA226" s="356">
        <f t="shared" si="566"/>
        <v>1</v>
      </c>
      <c r="CB226" s="356">
        <f>CA226</f>
        <v>1</v>
      </c>
      <c r="CC226" s="356">
        <f>CB226</f>
        <v>1</v>
      </c>
      <c r="CD226" s="356">
        <f>CC226</f>
        <v>1</v>
      </c>
      <c r="CE226" s="356" t="str">
        <f>IF(ISERROR(Model!CE368),"",IF(Model!CE368&lt;&gt;"",Model!CE368,""))</f>
        <v/>
      </c>
      <c r="CF226" s="356" t="str">
        <f t="shared" si="566"/>
        <v/>
      </c>
      <c r="CG226" s="356" t="str">
        <f t="shared" si="566"/>
        <v/>
      </c>
      <c r="CH226" s="356" t="str">
        <f t="shared" si="566"/>
        <v/>
      </c>
      <c r="CI226" s="356" t="str">
        <f t="shared" si="566"/>
        <v/>
      </c>
      <c r="CJ226" s="356" t="str">
        <f t="shared" si="566"/>
        <v/>
      </c>
      <c r="CK226" s="356" t="str">
        <f t="shared" si="566"/>
        <v/>
      </c>
      <c r="CL226" s="356" t="str">
        <f t="shared" si="566"/>
        <v/>
      </c>
      <c r="CM226" s="356" t="str">
        <f t="shared" si="566"/>
        <v/>
      </c>
      <c r="CN226" s="356" t="str">
        <f t="shared" si="566"/>
        <v/>
      </c>
      <c r="CO226" s="356" t="str">
        <f t="shared" si="566"/>
        <v/>
      </c>
      <c r="CP226" s="356" t="str">
        <f t="shared" si="566"/>
        <v/>
      </c>
      <c r="CQ226" s="356" t="str">
        <f t="shared" si="566"/>
        <v/>
      </c>
      <c r="CR226" s="356" t="str">
        <f t="shared" si="566"/>
        <v/>
      </c>
      <c r="CS226" s="356" t="str">
        <f t="shared" si="566"/>
        <v/>
      </c>
      <c r="CT226" s="356" t="str">
        <f t="shared" si="566"/>
        <v/>
      </c>
      <c r="CU226" s="356" t="str">
        <f t="shared" si="566"/>
        <v/>
      </c>
      <c r="CV226" s="356" t="str">
        <f t="shared" si="566"/>
        <v/>
      </c>
      <c r="CW226" s="356" t="str">
        <f t="shared" si="566"/>
        <v/>
      </c>
      <c r="CX226" s="356" t="str">
        <f t="shared" si="566"/>
        <v/>
      </c>
      <c r="CY226" s="356" t="str">
        <f t="shared" si="566"/>
        <v/>
      </c>
      <c r="CZ226" s="356" t="str">
        <f t="shared" si="566"/>
        <v/>
      </c>
      <c r="DA226" s="356" t="str">
        <f t="shared" si="566"/>
        <v/>
      </c>
      <c r="DB226" s="356" t="str">
        <f t="shared" si="566"/>
        <v/>
      </c>
      <c r="DC226" s="356" t="str">
        <f t="shared" si="566"/>
        <v/>
      </c>
      <c r="DD226" s="356" t="str">
        <f t="shared" si="566"/>
        <v/>
      </c>
      <c r="DE226" s="356" t="str">
        <f t="shared" si="566"/>
        <v/>
      </c>
      <c r="DF226" s="356" t="str">
        <f t="shared" si="566"/>
        <v/>
      </c>
      <c r="DG226" s="356" t="str">
        <f t="shared" si="566"/>
        <v/>
      </c>
      <c r="DH226" s="356" t="str">
        <f t="shared" si="566"/>
        <v/>
      </c>
      <c r="DI226" s="356" t="str">
        <f t="shared" si="566"/>
        <v/>
      </c>
      <c r="DJ226" s="356" t="str">
        <f t="shared" si="566"/>
        <v/>
      </c>
      <c r="DK226" s="1087" t="str">
        <f t="shared" si="566"/>
        <v/>
      </c>
      <c r="DL226" s="356" t="str">
        <f t="shared" ref="DL226:DQ226" si="567">DK226</f>
        <v/>
      </c>
      <c r="DM226" s="356" t="str">
        <f t="shared" si="567"/>
        <v/>
      </c>
      <c r="DN226" s="1087" t="str">
        <f t="shared" si="567"/>
        <v/>
      </c>
      <c r="DO226" s="356" t="str">
        <f t="shared" si="567"/>
        <v/>
      </c>
      <c r="DP226" s="356" t="str">
        <f t="shared" si="567"/>
        <v/>
      </c>
      <c r="DQ226" s="1087" t="str">
        <f t="shared" si="567"/>
        <v/>
      </c>
      <c r="DR226" s="356" t="str">
        <f t="shared" ref="DR226:DU226" si="568">DQ226</f>
        <v/>
      </c>
      <c r="DS226" s="356" t="str">
        <f t="shared" si="568"/>
        <v/>
      </c>
      <c r="DT226" s="1087" t="str">
        <f t="shared" si="568"/>
        <v/>
      </c>
      <c r="DU226" s="356" t="str">
        <f t="shared" si="568"/>
        <v/>
      </c>
      <c r="DV226" s="356" t="str">
        <f t="shared" ref="DV226" si="569">DU226</f>
        <v/>
      </c>
      <c r="DW226" s="1087" t="str">
        <f t="shared" ref="DW226" si="570">DV226</f>
        <v/>
      </c>
      <c r="DX226" s="356" t="str">
        <f t="shared" ref="DX226:EF226" si="571">DW226</f>
        <v/>
      </c>
      <c r="DY226" s="356" t="str">
        <f t="shared" si="571"/>
        <v/>
      </c>
      <c r="DZ226" s="1087" t="str">
        <f t="shared" si="571"/>
        <v/>
      </c>
      <c r="EA226" s="356" t="str">
        <f t="shared" si="571"/>
        <v/>
      </c>
      <c r="EB226" s="356" t="str">
        <f t="shared" si="571"/>
        <v/>
      </c>
      <c r="EC226" s="1087" t="str">
        <f t="shared" si="571"/>
        <v/>
      </c>
      <c r="ED226" s="356" t="str">
        <f t="shared" si="571"/>
        <v/>
      </c>
      <c r="EE226" s="356" t="str">
        <f t="shared" si="571"/>
        <v/>
      </c>
      <c r="EF226" s="1087" t="str">
        <f t="shared" si="571"/>
        <v/>
      </c>
      <c r="EG226" s="356" t="str">
        <f t="shared" ref="EG226:EL226" si="572">EF226</f>
        <v/>
      </c>
      <c r="EH226" s="356" t="str">
        <f t="shared" si="572"/>
        <v/>
      </c>
      <c r="EI226" s="1087" t="str">
        <f t="shared" si="572"/>
        <v/>
      </c>
      <c r="EJ226" s="356" t="str">
        <f t="shared" si="572"/>
        <v/>
      </c>
      <c r="EK226" s="356" t="str">
        <f t="shared" si="572"/>
        <v/>
      </c>
      <c r="EL226" s="1087" t="str">
        <f t="shared" si="572"/>
        <v/>
      </c>
      <c r="EM226" s="356" t="str">
        <f t="shared" ref="EM226:ER226" si="573">EL226</f>
        <v/>
      </c>
      <c r="EN226" s="356" t="str">
        <f t="shared" si="573"/>
        <v/>
      </c>
      <c r="EO226" s="1087" t="str">
        <f t="shared" si="573"/>
        <v/>
      </c>
      <c r="EP226" s="356" t="str">
        <f t="shared" si="573"/>
        <v/>
      </c>
      <c r="EQ226" s="356" t="str">
        <f t="shared" si="573"/>
        <v/>
      </c>
      <c r="ER226" s="1087" t="str">
        <f t="shared" si="573"/>
        <v/>
      </c>
      <c r="ES226" s="356" t="str">
        <f t="shared" ref="ES226" si="574">ER226</f>
        <v/>
      </c>
      <c r="ET226" s="356" t="str">
        <f t="shared" ref="ET226" si="575">ES226</f>
        <v/>
      </c>
      <c r="EU226" s="1087" t="str">
        <f t="shared" ref="EU226" si="576">ET226</f>
        <v/>
      </c>
      <c r="EV226" s="356" t="str">
        <f t="shared" ref="EV226" si="577">EU226</f>
        <v/>
      </c>
      <c r="EW226" s="356" t="str">
        <f t="shared" ref="EW226" si="578">EV226</f>
        <v/>
      </c>
      <c r="EX226" s="1087" t="str">
        <f t="shared" ref="EX226" si="579">EW226</f>
        <v/>
      </c>
      <c r="EY226" s="356" t="str">
        <f t="shared" ref="EY226" si="580">EX226</f>
        <v/>
      </c>
      <c r="EZ226" s="356" t="str">
        <f t="shared" ref="EZ226" si="581">EY226</f>
        <v/>
      </c>
      <c r="FA226" s="356" t="str">
        <f t="shared" ref="FA226" si="582">EZ226</f>
        <v/>
      </c>
    </row>
    <row r="227" spans="1:157" ht="13.35" customHeight="1">
      <c r="A227" s="5"/>
      <c r="B227" s="5" t="s">
        <v>497</v>
      </c>
      <c r="C227" s="5"/>
      <c r="D227" s="5"/>
      <c r="E227" s="317" t="str">
        <f>IF(Model!E354&lt;&gt;"",Model!E354,"")</f>
        <v/>
      </c>
      <c r="F227" s="317" t="str">
        <f>IF(Model!F354&lt;&gt;"",Model!F354,"")</f>
        <v/>
      </c>
      <c r="G227" s="317" t="str">
        <f>IF(Model!G354&lt;&gt;"",Model!G354,"")</f>
        <v/>
      </c>
      <c r="H227" s="317" t="str">
        <f>IF(Model!H354&lt;&gt;"",Model!H354,"")</f>
        <v/>
      </c>
      <c r="I227" s="317" t="str">
        <f>IF(Model!I354&lt;&gt;"",Model!I354,"")</f>
        <v/>
      </c>
      <c r="J227" s="317" t="str">
        <f>IF(Model!J354&lt;&gt;"",Model!J354,"")</f>
        <v/>
      </c>
      <c r="K227" s="317" t="str">
        <f>IF(Model!K354&lt;&gt;"",Model!K354,"")</f>
        <v/>
      </c>
      <c r="L227" s="317" t="str">
        <f>IF(Model!L354&lt;&gt;"",Model!L354,"")</f>
        <v/>
      </c>
      <c r="M227" s="317" t="str">
        <f>IF(Model!M354&lt;&gt;"",Model!M354,"")</f>
        <v/>
      </c>
      <c r="N227" s="317" t="str">
        <f>IF(Model!N354&lt;&gt;"",Model!N354,"")</f>
        <v/>
      </c>
      <c r="O227" s="317" t="str">
        <f>IF(Model!O354&lt;&gt;"",Model!O354,"")</f>
        <v/>
      </c>
      <c r="P227" s="317" t="str">
        <f>IF(Model!P354&lt;&gt;"",Model!P354,"")</f>
        <v/>
      </c>
      <c r="Q227" s="317" t="str">
        <f>IF(Model!Q354&lt;&gt;"",Model!Q354,"")</f>
        <v/>
      </c>
      <c r="R227" s="317" t="str">
        <f>IF(Model!R354&lt;&gt;"",Model!R354,"")</f>
        <v/>
      </c>
      <c r="S227" s="317" t="str">
        <f>IF(Model!S354&lt;&gt;"",Model!S354,"")</f>
        <v/>
      </c>
      <c r="T227" s="317" t="str">
        <f>IF(Model!T354&lt;&gt;"",Model!T354,"")</f>
        <v/>
      </c>
      <c r="U227" s="317" t="str">
        <f>IF(Model!U354&lt;&gt;"",Model!U354,"")</f>
        <v/>
      </c>
      <c r="V227" s="317" t="str">
        <f>IF(Model!V354&lt;&gt;"",Model!V354,"")</f>
        <v/>
      </c>
      <c r="W227" s="317" t="str">
        <f>IF(Model!W354&lt;&gt;"",Model!W354,"")</f>
        <v/>
      </c>
      <c r="X227" s="317" t="str">
        <f>IF(Model!X354&lt;&gt;"",Model!X354,"")</f>
        <v/>
      </c>
      <c r="Y227" s="317" t="str">
        <f>IF(Model!Y354&lt;&gt;"",Model!Y354,"")</f>
        <v/>
      </c>
      <c r="Z227" s="317" t="str">
        <f>IF(Model!Z354&lt;&gt;"",Model!Z354,"")</f>
        <v/>
      </c>
      <c r="AA227" s="317" t="str">
        <f>IF(Model!AA354&lt;&gt;"",Model!AA354,"")</f>
        <v/>
      </c>
      <c r="AB227" s="317" t="str">
        <f>IF(Model!AB354&lt;&gt;"",Model!AB354,"")</f>
        <v/>
      </c>
      <c r="AC227" s="317" t="str">
        <f>IF(Model!AC354&lt;&gt;"",Model!AC354,"")</f>
        <v/>
      </c>
      <c r="AD227" s="317" t="str">
        <f>IF(Model!AD354&lt;&gt;"",Model!AD354,"")</f>
        <v/>
      </c>
      <c r="AE227" s="317" t="str">
        <f>IF(Model!AE354&lt;&gt;"",Model!AE354,"")</f>
        <v/>
      </c>
      <c r="AF227" s="317" t="str">
        <f>IF(Model!AF354&lt;&gt;"",Model!AF354,"")</f>
        <v/>
      </c>
      <c r="AG227" s="317" t="str">
        <f>IF(Model!AG354&lt;&gt;"",Model!AG354,"")</f>
        <v/>
      </c>
      <c r="AH227" s="317" t="str">
        <f>IF(Model!AH354&lt;&gt;"",Model!AH354,"")</f>
        <v/>
      </c>
      <c r="AI227" s="317" t="str">
        <f>IF(Model!AI354&lt;&gt;"",Model!AI354,"")</f>
        <v/>
      </c>
      <c r="AJ227" s="317" t="str">
        <f>IF(Model!AJ354&lt;&gt;"",Model!AJ354,"")</f>
        <v/>
      </c>
      <c r="AK227" s="317" t="str">
        <f>IF(Model!AK354&lt;&gt;"",Model!AK354,"")</f>
        <v/>
      </c>
      <c r="AL227" s="317" t="str">
        <f>IF(Model!AL354&lt;&gt;"",Model!AL354,"")</f>
        <v/>
      </c>
      <c r="AM227" s="317" t="str">
        <f>IF(Model!AM354&lt;&gt;"",Model!AM354,"")</f>
        <v/>
      </c>
      <c r="AN227" s="317" t="str">
        <f>IF(Model!AN354&lt;&gt;"",Model!AN354,"")</f>
        <v/>
      </c>
      <c r="AO227" s="317" t="str">
        <f>IF(Model!AO354&lt;&gt;"",Model!AO354,"")</f>
        <v/>
      </c>
      <c r="AP227" s="317" t="str">
        <f>IF(Model!AP354&lt;&gt;"",Model!AP354,"")</f>
        <v/>
      </c>
      <c r="AQ227" s="317" t="str">
        <f>IF(Model!AQ354&lt;&gt;"",Model!AQ354,"")</f>
        <v/>
      </c>
      <c r="AR227" s="317" t="str">
        <f>IF(Model!AR354&lt;&gt;"",Model!AR354,"")</f>
        <v/>
      </c>
      <c r="AS227" s="317" t="str">
        <f>IF(Model!AS354&lt;&gt;"",Model!AS354,"")</f>
        <v/>
      </c>
      <c r="AT227" s="317" t="str">
        <f>IF(Model!AT354&lt;&gt;"",Model!AT354,"")</f>
        <v/>
      </c>
      <c r="AU227" s="317" t="str">
        <f>IF(Model!AU354&lt;&gt;"",Model!AU354,"")</f>
        <v/>
      </c>
      <c r="AV227" s="317" t="str">
        <f>IF(Model!AV354&lt;&gt;"",Model!AV354,"")</f>
        <v/>
      </c>
      <c r="AW227" s="317" t="str">
        <f>IF(Model!AW354&lt;&gt;"",Model!AW354,"")</f>
        <v/>
      </c>
      <c r="AX227" s="317" t="str">
        <f>IF(Model!AX354&lt;&gt;"",Model!AX354,"")</f>
        <v/>
      </c>
      <c r="AY227" s="317" t="str">
        <f>IF(Model!AY354&lt;&gt;"",Model!AY354,"")</f>
        <v/>
      </c>
      <c r="AZ227" s="317" t="str">
        <f>IF(Model!AZ354&lt;&gt;"",Model!AZ354,"")</f>
        <v/>
      </c>
      <c r="BA227" s="317" t="str">
        <f>IF(Model!BA354&lt;&gt;"",Model!BA354,"")</f>
        <v/>
      </c>
      <c r="BB227" s="317" t="str">
        <f>IF(Model!BB354&lt;&gt;"",Model!BB354,"")</f>
        <v/>
      </c>
      <c r="BC227" s="317" t="str">
        <f>IF(Model!BC354&lt;&gt;"",Model!BC354,"")</f>
        <v/>
      </c>
      <c r="BD227" s="359"/>
      <c r="BE227" s="359"/>
      <c r="BF227" s="317" t="str">
        <f>IF(Model!BF354&lt;&gt;"",Model!BF354,"")</f>
        <v/>
      </c>
      <c r="BG227" s="359"/>
      <c r="BH227" s="359"/>
      <c r="BI227" s="317" t="str">
        <f>IF(Model!BI354&lt;&gt;"",Model!BI354,"")</f>
        <v/>
      </c>
      <c r="BJ227" s="356"/>
      <c r="BK227" s="359"/>
      <c r="BL227" s="317" t="str">
        <f>IF(Model!BL354&lt;&gt;"",Model!BL354,"")</f>
        <v/>
      </c>
      <c r="BM227" s="359"/>
      <c r="BN227" s="359"/>
      <c r="BO227" s="317" t="str">
        <f>IF(Model!BO354&lt;&gt;"",Model!BO354,"")</f>
        <v/>
      </c>
      <c r="BP227" s="359"/>
      <c r="BQ227" s="359"/>
      <c r="BR227" s="317" t="str">
        <f>IF(Model!BR354&lt;&gt;"",Model!BR354,"")</f>
        <v/>
      </c>
      <c r="BS227" s="359"/>
      <c r="BT227" s="359"/>
      <c r="BU227" s="317" t="str">
        <f>IF(Model!BU354&lt;&gt;"",Model!BU354,"")</f>
        <v/>
      </c>
      <c r="BV227" s="359"/>
      <c r="BW227" s="359"/>
      <c r="BX227" s="317" t="str">
        <f>IF(Model!BX354&lt;&gt;"",Model!BX354,"")</f>
        <v/>
      </c>
      <c r="BY227" s="359"/>
      <c r="BZ227" s="359"/>
      <c r="CA227" s="317" t="str">
        <f>IF(Model!CA354&lt;&gt;"",Model!CA354,"")</f>
        <v/>
      </c>
      <c r="CB227" s="359"/>
      <c r="CC227" s="359"/>
      <c r="CD227" s="317" t="str">
        <f>IF(Model!CD354&lt;&gt;"",Model!CD354,"")</f>
        <v/>
      </c>
      <c r="CE227" s="359"/>
      <c r="CF227" s="359"/>
      <c r="CG227" s="317" t="str">
        <f>IF(Model!CG354&lt;&gt;"",Model!CG354,"")</f>
        <v/>
      </c>
      <c r="CH227" s="359"/>
      <c r="CI227" s="359"/>
      <c r="CJ227" s="317" t="str">
        <f>IF(Model!CJ354&lt;&gt;"",Model!CJ354,"")</f>
        <v/>
      </c>
      <c r="CK227" s="359"/>
      <c r="CL227" s="359"/>
      <c r="CM227" s="317" t="str">
        <f>IF(Model!CM354&lt;&gt;"",Model!CM354,"")</f>
        <v/>
      </c>
      <c r="CN227" s="359"/>
      <c r="CO227" s="359"/>
      <c r="CP227" s="317" t="str">
        <f>IF(Model!CP354&lt;&gt;"",Model!CP354,"")</f>
        <v/>
      </c>
      <c r="CQ227" s="359"/>
      <c r="CR227" s="359"/>
      <c r="CS227" s="317" t="str">
        <f>IF(Model!CS354&lt;&gt;"",Model!CS354,"")</f>
        <v/>
      </c>
      <c r="CT227" s="359"/>
      <c r="CU227" s="359"/>
      <c r="CV227" s="317" t="str">
        <f>IF(Model!CV354&lt;&gt;"",Model!CV354,"")</f>
        <v/>
      </c>
      <c r="CW227" s="359"/>
      <c r="CX227" s="359"/>
      <c r="CY227" s="317" t="str">
        <f>IF(Model!CY354&lt;&gt;"",Model!CY354,"")</f>
        <v/>
      </c>
      <c r="CZ227" s="359"/>
      <c r="DA227" s="359"/>
      <c r="DB227" s="317" t="str">
        <f>IF(Model!DB354&lt;&gt;"",Model!DB354,"")</f>
        <v/>
      </c>
      <c r="DC227" s="359"/>
      <c r="DD227" s="359"/>
      <c r="DE227" s="317" t="str">
        <f>IF(Model!DE354&lt;&gt;"",Model!DE354,"")</f>
        <v/>
      </c>
      <c r="DF227" s="359"/>
      <c r="DG227" s="359"/>
      <c r="DH227" s="317" t="str">
        <f>IF(Model!DH354&lt;&gt;"",Model!DH354,"")</f>
        <v/>
      </c>
      <c r="DI227" s="359"/>
      <c r="DJ227" s="359"/>
      <c r="DK227" s="1212" t="str">
        <f>IF(Model!DK354&lt;&gt;"",Model!DK354,"")</f>
        <v/>
      </c>
      <c r="DL227" s="359"/>
      <c r="DM227" s="359"/>
      <c r="DN227" s="1212" t="str">
        <f>IF(Model!DN354&lt;&gt;"",Model!DN354,"")</f>
        <v/>
      </c>
      <c r="DO227" s="359"/>
      <c r="DP227" s="359"/>
      <c r="DQ227" s="1212" t="str">
        <f>IF(Model!DQ354&lt;&gt;"",Model!DQ354,"")</f>
        <v/>
      </c>
      <c r="DR227" s="359"/>
      <c r="DS227" s="359"/>
      <c r="DT227" s="1212" t="str">
        <f>IF(Model!DT354&lt;&gt;"",Model!DT354,"")</f>
        <v/>
      </c>
      <c r="DU227" s="359"/>
      <c r="DV227" s="359"/>
      <c r="DW227" s="1212" t="str">
        <f>IF(Model!DW354&lt;&gt;"",Model!DW354,"")</f>
        <v/>
      </c>
      <c r="DX227" s="359"/>
      <c r="DY227" s="359"/>
      <c r="DZ227" s="1212" t="str">
        <f>IF(Model!DZ354&lt;&gt;"",Model!DZ354,"")</f>
        <v/>
      </c>
      <c r="EA227" s="359"/>
      <c r="EB227" s="359"/>
      <c r="EC227" s="1212" t="str">
        <f>IF(Model!EC354&lt;&gt;"",Model!EC354,"")</f>
        <v/>
      </c>
      <c r="ED227" s="359"/>
      <c r="EE227" s="359"/>
      <c r="EF227" s="1212" t="str">
        <f>IF(Model!EF354&lt;&gt;"",Model!EF354,"")</f>
        <v/>
      </c>
      <c r="EG227" s="359"/>
      <c r="EH227" s="359"/>
      <c r="EI227" s="1212" t="str">
        <f>IF(Model!EI354&lt;&gt;"",Model!EI354,"")</f>
        <v/>
      </c>
      <c r="EJ227" s="359"/>
      <c r="EK227" s="359"/>
      <c r="EL227" s="1212" t="str">
        <f>IF(Model!EL354&lt;&gt;"",Model!EL354,"")</f>
        <v/>
      </c>
      <c r="EM227" s="359"/>
      <c r="EN227" s="359"/>
      <c r="EO227" s="1212" t="str">
        <f>IF(Model!EO354&lt;&gt;"",Model!EO354,"")</f>
        <v/>
      </c>
      <c r="EP227" s="359"/>
      <c r="EQ227" s="359"/>
      <c r="ER227" s="1212" t="str">
        <f>IF(Model!ER354&lt;&gt;"",Model!ER354,"")</f>
        <v/>
      </c>
      <c r="ES227" s="359"/>
      <c r="ET227" s="359"/>
      <c r="EU227" s="1212" t="str">
        <f>IF(Model!EU354&lt;&gt;"",Model!EU354,"")</f>
        <v/>
      </c>
      <c r="EV227" s="359"/>
      <c r="EW227" s="359"/>
      <c r="EX227" s="1212" t="str">
        <f>IF(Model!EX354&lt;&gt;"",Model!EX354,"")</f>
        <v/>
      </c>
      <c r="EY227" s="359"/>
      <c r="EZ227" s="359"/>
      <c r="FA227" s="317" t="str">
        <f>IF(Model!FA354&lt;&gt;"",Model!FA354,"")</f>
        <v/>
      </c>
    </row>
    <row r="228" spans="1:157" ht="13.35" customHeight="1">
      <c r="A228" s="5"/>
      <c r="B228" s="5" t="s">
        <v>498</v>
      </c>
      <c r="C228" s="5"/>
      <c r="D228" s="5"/>
      <c r="E228" s="356" t="str">
        <f>IF(Model!E357&lt;&gt;"",Model!E357,"")</f>
        <v/>
      </c>
      <c r="F228" s="356" t="str">
        <f>IF(Model!F357&lt;&gt;"",Model!F357,"")</f>
        <v/>
      </c>
      <c r="G228" s="356" t="str">
        <f>IF(Model!G357&lt;&gt;"",Model!G357,"")</f>
        <v/>
      </c>
      <c r="H228" s="356" t="str">
        <f>IF(Model!H357&lt;&gt;"",Model!H357,"")</f>
        <v/>
      </c>
      <c r="I228" s="356" t="str">
        <f>IF(Model!I357&lt;&gt;"",Model!I357,"")</f>
        <v/>
      </c>
      <c r="J228" s="356" t="str">
        <f>IF(Model!J357&lt;&gt;"",Model!J357,"")</f>
        <v/>
      </c>
      <c r="K228" s="356" t="str">
        <f>IF(Model!K357&lt;&gt;"",Model!K357,"")</f>
        <v/>
      </c>
      <c r="L228" s="356" t="str">
        <f>IF(Model!L357&lt;&gt;"",Model!L357,"")</f>
        <v/>
      </c>
      <c r="M228" s="356" t="str">
        <f>IF(Model!M357&lt;&gt;"",Model!M357,"")</f>
        <v/>
      </c>
      <c r="N228" s="356" t="str">
        <f>IF(Model!N357&lt;&gt;"",Model!N357,"")</f>
        <v/>
      </c>
      <c r="O228" s="356" t="str">
        <f>IF(Model!O357&lt;&gt;"",Model!O357,"")</f>
        <v/>
      </c>
      <c r="P228" s="356" t="str">
        <f>IF(Model!P357&lt;&gt;"",Model!P357,"")</f>
        <v/>
      </c>
      <c r="Q228" s="356" t="str">
        <f>IF(Model!Q357&lt;&gt;"",Model!Q357,"")</f>
        <v/>
      </c>
      <c r="R228" s="356" t="str">
        <f>IF(Model!R357&lt;&gt;"",Model!R357,"")</f>
        <v/>
      </c>
      <c r="S228" s="356" t="str">
        <f>IF(Model!S357&lt;&gt;"",Model!S357,"")</f>
        <v/>
      </c>
      <c r="T228" s="356" t="str">
        <f>IF(Model!T357&lt;&gt;"",Model!T357,"")</f>
        <v/>
      </c>
      <c r="U228" s="356" t="str">
        <f>IF(Model!U357&lt;&gt;"",Model!U357,"")</f>
        <v/>
      </c>
      <c r="V228" s="356" t="str">
        <f>IF(Model!V357&lt;&gt;"",Model!V357,"")</f>
        <v/>
      </c>
      <c r="W228" s="356" t="str">
        <f>IF(Model!W357&lt;&gt;"",Model!W357,"")</f>
        <v/>
      </c>
      <c r="X228" s="356" t="str">
        <f>IF(Model!X357&lt;&gt;"",Model!X357,"")</f>
        <v/>
      </c>
      <c r="Y228" s="356" t="str">
        <f>IF(Model!Y357&lt;&gt;"",Model!Y357,"")</f>
        <v/>
      </c>
      <c r="Z228" s="356" t="str">
        <f>IF(Model!Z357&lt;&gt;"",Model!Z357,"")</f>
        <v/>
      </c>
      <c r="AA228" s="356" t="str">
        <f>IF(Model!AA357&lt;&gt;"",Model!AA357,"")</f>
        <v/>
      </c>
      <c r="AB228" s="356" t="str">
        <f>IF(Model!AB357&lt;&gt;"",Model!AB357,"")</f>
        <v/>
      </c>
      <c r="AC228" s="356" t="str">
        <f>IF(Model!AC357&lt;&gt;"",Model!AC357,"")</f>
        <v/>
      </c>
      <c r="AD228" s="356" t="str">
        <f>IF(Model!AD357&lt;&gt;"",Model!AD357,"")</f>
        <v/>
      </c>
      <c r="AE228" s="356" t="str">
        <f>IF(Model!AE357&lt;&gt;"",Model!AE357,"")</f>
        <v/>
      </c>
      <c r="AF228" s="356" t="str">
        <f>IF(Model!AF357&lt;&gt;"",Model!AF357,"")</f>
        <v/>
      </c>
      <c r="AG228" s="356" t="str">
        <f>IF(Model!AG357&lt;&gt;"",Model!AG357,"")</f>
        <v/>
      </c>
      <c r="AH228" s="356" t="str">
        <f>IF(Model!AH357&lt;&gt;"",Model!AH357,"")</f>
        <v/>
      </c>
      <c r="AI228" s="356" t="str">
        <f>IF(Model!AI357&lt;&gt;"",Model!AI357,"")</f>
        <v/>
      </c>
      <c r="AJ228" s="356" t="str">
        <f>IF(Model!AJ357&lt;&gt;"",Model!AJ357,"")</f>
        <v/>
      </c>
      <c r="AK228" s="356" t="str">
        <f>IF(Model!AK357&lt;&gt;"",Model!AK357,"")</f>
        <v/>
      </c>
      <c r="AL228" s="356" t="str">
        <f>IF(Model!AL357&lt;&gt;"",Model!AL357,"")</f>
        <v/>
      </c>
      <c r="AM228" s="356" t="str">
        <f>IF(Model!AM357&lt;&gt;"",Model!AM357,"")</f>
        <v/>
      </c>
      <c r="AN228" s="356" t="str">
        <f>IF(Model!AN357&lt;&gt;"",Model!AN357,"")</f>
        <v/>
      </c>
      <c r="AO228" s="356" t="str">
        <f>IF(Model!AO357&lt;&gt;"",Model!AO357,"")</f>
        <v/>
      </c>
      <c r="AP228" s="356" t="str">
        <f>IF(Model!AP357&lt;&gt;"",Model!AP357,"")</f>
        <v/>
      </c>
      <c r="AQ228" s="356" t="str">
        <f>IF(Model!AQ357&lt;&gt;"",Model!AQ357,"")</f>
        <v/>
      </c>
      <c r="AR228" s="356" t="str">
        <f>IF(Model!AR357&lt;&gt;"",Model!AR357,"")</f>
        <v/>
      </c>
      <c r="AS228" s="356" t="str">
        <f>IF(Model!AS357&lt;&gt;"",Model!AS357,"")</f>
        <v/>
      </c>
      <c r="AT228" s="356" t="str">
        <f>IF(Model!AT357&lt;&gt;"",Model!AT357,"")</f>
        <v/>
      </c>
      <c r="AU228" s="356" t="str">
        <f>IF(Model!AU357&lt;&gt;"",Model!AU357,"")</f>
        <v/>
      </c>
      <c r="AV228" s="356" t="str">
        <f>IF(Model!AV357&lt;&gt;"",Model!AV357,"")</f>
        <v/>
      </c>
      <c r="AW228" s="356" t="str">
        <f>IF(Model!AW357&lt;&gt;"",Model!AW357,"")</f>
        <v/>
      </c>
      <c r="AX228" s="356" t="str">
        <f>IF(Model!AX357&lt;&gt;"",Model!AX357,"")</f>
        <v/>
      </c>
      <c r="AY228" s="356" t="str">
        <f>IF(Model!AY357&lt;&gt;"",Model!AY357,"")</f>
        <v/>
      </c>
      <c r="AZ228" s="356" t="str">
        <f>IF(Model!AZ357&lt;&gt;"",Model!AZ357,"")</f>
        <v/>
      </c>
      <c r="BA228" s="356" t="str">
        <f>IF(Model!BA357&lt;&gt;"",Model!BA357,"")</f>
        <v/>
      </c>
      <c r="BB228" s="356" t="str">
        <f>IF(Model!BB357&lt;&gt;"",Model!BB357,"")</f>
        <v/>
      </c>
      <c r="BC228" s="356" t="str">
        <f>IF(Model!BC357&lt;&gt;"",Model!BC357,"")</f>
        <v/>
      </c>
      <c r="BD228" s="359"/>
      <c r="BE228" s="359"/>
      <c r="BF228" s="356" t="str">
        <f>IF(Model!BF357&lt;&gt;"",Model!BF357,"")</f>
        <v/>
      </c>
      <c r="BG228" s="359"/>
      <c r="BH228" s="359"/>
      <c r="BI228" s="356" t="str">
        <f>IF(Model!BI357&lt;&gt;"",Model!BI357,"")</f>
        <v/>
      </c>
      <c r="BJ228" s="359"/>
      <c r="BK228" s="359"/>
      <c r="BL228" s="356" t="str">
        <f>IF(Model!BL357&lt;&gt;"",Model!BL357,"")</f>
        <v/>
      </c>
      <c r="BM228" s="359"/>
      <c r="BN228" s="359"/>
      <c r="BO228" s="356" t="str">
        <f>IF(Model!BO357&lt;&gt;"",Model!BO357,"")</f>
        <v/>
      </c>
      <c r="BP228" s="359"/>
      <c r="BQ228" s="359"/>
      <c r="BR228" s="356" t="str">
        <f>IF(Model!BR357&lt;&gt;"",Model!BR357,"")</f>
        <v/>
      </c>
      <c r="BS228" s="359"/>
      <c r="BT228" s="359"/>
      <c r="BU228" s="356" t="str">
        <f>IF(Model!BU357&lt;&gt;"",Model!BU357,"")</f>
        <v/>
      </c>
      <c r="BV228" s="359"/>
      <c r="BW228" s="359"/>
      <c r="BX228" s="356" t="str">
        <f>IF(Model!BX357&lt;&gt;"",Model!BX357,"")</f>
        <v/>
      </c>
      <c r="BY228" s="359"/>
      <c r="BZ228" s="359"/>
      <c r="CA228" s="356" t="str">
        <f>IF(Model!CA357&lt;&gt;"",Model!CA357,"")</f>
        <v/>
      </c>
      <c r="CB228" s="359"/>
      <c r="CC228" s="359"/>
      <c r="CD228" s="356" t="str">
        <f>IF(Model!CD357&lt;&gt;"",Model!CD357,"")</f>
        <v/>
      </c>
      <c r="CE228" s="359"/>
      <c r="CF228" s="359"/>
      <c r="CG228" s="356" t="str">
        <f>IF(Model!CG357&lt;&gt;"",Model!CG357,"")</f>
        <v/>
      </c>
      <c r="CH228" s="359"/>
      <c r="CI228" s="359"/>
      <c r="CJ228" s="356" t="str">
        <f>IF(Model!CJ357&lt;&gt;"",Model!CJ357,"")</f>
        <v/>
      </c>
      <c r="CK228" s="359"/>
      <c r="CL228" s="359"/>
      <c r="CM228" s="356" t="str">
        <f>IF(Model!CM357&lt;&gt;"",Model!CM357,"")</f>
        <v/>
      </c>
      <c r="CN228" s="359"/>
      <c r="CO228" s="359"/>
      <c r="CP228" s="356" t="str">
        <f>IF(Model!CP357&lt;&gt;"",Model!CP357,"")</f>
        <v/>
      </c>
      <c r="CQ228" s="359"/>
      <c r="CR228" s="359"/>
      <c r="CS228" s="356" t="str">
        <f>IF(Model!CS357&lt;&gt;"",Model!CS357,"")</f>
        <v/>
      </c>
      <c r="CT228" s="359"/>
      <c r="CU228" s="359"/>
      <c r="CV228" s="356" t="str">
        <f>IF(Model!CV357&lt;&gt;"",Model!CV357,"")</f>
        <v/>
      </c>
      <c r="CW228" s="359"/>
      <c r="CX228" s="359"/>
      <c r="CY228" s="356" t="str">
        <f>IF(Model!CY357&lt;&gt;"",Model!CY357,"")</f>
        <v/>
      </c>
      <c r="CZ228" s="359"/>
      <c r="DA228" s="359"/>
      <c r="DB228" s="356" t="str">
        <f>IF(Model!DB357&lt;&gt;"",Model!DB357,"")</f>
        <v/>
      </c>
      <c r="DC228" s="359"/>
      <c r="DD228" s="359"/>
      <c r="DE228" s="356" t="str">
        <f>IF(Model!DE357&lt;&gt;"",Model!DE357,"")</f>
        <v/>
      </c>
      <c r="DF228" s="359"/>
      <c r="DG228" s="359"/>
      <c r="DH228" s="356" t="str">
        <f>IF(Model!DH357&lt;&gt;"",Model!DH357,"")</f>
        <v/>
      </c>
      <c r="DI228" s="359"/>
      <c r="DJ228" s="359"/>
      <c r="DK228" s="1087" t="str">
        <f>IF(Model!DK357&lt;&gt;"",Model!DK357,"")</f>
        <v/>
      </c>
      <c r="DL228" s="359"/>
      <c r="DM228" s="359"/>
      <c r="DN228" s="1087" t="str">
        <f>IF(Model!DN357&lt;&gt;"",Model!DN357,"")</f>
        <v/>
      </c>
      <c r="DO228" s="359"/>
      <c r="DP228" s="359"/>
      <c r="DQ228" s="1087" t="str">
        <f>IF(Model!DQ357&lt;&gt;"",Model!DQ357,"")</f>
        <v/>
      </c>
      <c r="DR228" s="359"/>
      <c r="DS228" s="359"/>
      <c r="DT228" s="1087" t="str">
        <f>IF(Model!DT357&lt;&gt;"",Model!DT357,"")</f>
        <v/>
      </c>
      <c r="DU228" s="359"/>
      <c r="DV228" s="359"/>
      <c r="DW228" s="1087" t="str">
        <f>IF(Model!DW357&lt;&gt;"",Model!DW357,"")</f>
        <v/>
      </c>
      <c r="DX228" s="359"/>
      <c r="DY228" s="359"/>
      <c r="DZ228" s="1087" t="str">
        <f>IF(Model!DZ357&lt;&gt;"",Model!DZ357,"")</f>
        <v/>
      </c>
      <c r="EA228" s="359"/>
      <c r="EB228" s="359"/>
      <c r="EC228" s="1087" t="str">
        <f>IF(Model!EC357&lt;&gt;"",Model!EC357,"")</f>
        <v/>
      </c>
      <c r="ED228" s="359"/>
      <c r="EE228" s="359"/>
      <c r="EF228" s="1087" t="str">
        <f>IF(Model!EF357&lt;&gt;"",Model!EF357,"")</f>
        <v/>
      </c>
      <c r="EG228" s="359"/>
      <c r="EH228" s="359"/>
      <c r="EI228" s="1087" t="str">
        <f>IF(Model!EI357&lt;&gt;"",Model!EI357,"")</f>
        <v/>
      </c>
      <c r="EJ228" s="359"/>
      <c r="EK228" s="359"/>
      <c r="EL228" s="1087" t="str">
        <f>IF(Model!EL357&lt;&gt;"",Model!EL357,"")</f>
        <v/>
      </c>
      <c r="EM228" s="359"/>
      <c r="EN228" s="359"/>
      <c r="EO228" s="1087" t="str">
        <f>IF(Model!EO357&lt;&gt;"",Model!EO357,"")</f>
        <v/>
      </c>
      <c r="EP228" s="359"/>
      <c r="EQ228" s="359"/>
      <c r="ER228" s="1087" t="str">
        <f>IF(Model!ER357&lt;&gt;"",Model!ER357,"")</f>
        <v/>
      </c>
      <c r="ES228" s="359"/>
      <c r="ET228" s="359"/>
      <c r="EU228" s="1087" t="str">
        <f>IF(Model!EU357&lt;&gt;"",Model!EU357,"")</f>
        <v/>
      </c>
      <c r="EV228" s="359"/>
      <c r="EW228" s="359"/>
      <c r="EX228" s="1087" t="str">
        <f>IF(Model!EX357&lt;&gt;"",Model!EX357,"")</f>
        <v/>
      </c>
      <c r="EY228" s="359"/>
      <c r="EZ228" s="359"/>
      <c r="FA228" s="356" t="str">
        <f>IF(Model!FA357&lt;&gt;"",Model!FA357,"")</f>
        <v/>
      </c>
    </row>
    <row r="229" spans="1:157" ht="13.35" customHeight="1">
      <c r="A229" s="5"/>
      <c r="B229" s="5" t="s">
        <v>304</v>
      </c>
      <c r="C229" s="5"/>
      <c r="D229" s="5"/>
      <c r="E229" s="398" t="str">
        <f>IF(Model!E360&lt;&gt;"",Model!E360,"")</f>
        <v/>
      </c>
      <c r="F229" s="398" t="str">
        <f>IF(Model!F360&lt;&gt;"",Model!F360,"")</f>
        <v/>
      </c>
      <c r="G229" s="398" t="str">
        <f>IF(Model!G360&lt;&gt;"",Model!G360,"")</f>
        <v/>
      </c>
      <c r="H229" s="398" t="str">
        <f>IF(Model!H360&lt;&gt;"",Model!H360,"")</f>
        <v/>
      </c>
      <c r="I229" s="398" t="str">
        <f>IF(Model!I360&lt;&gt;"",Model!I360,"")</f>
        <v/>
      </c>
      <c r="J229" s="398" t="str">
        <f>IF(Model!J360&lt;&gt;"",Model!J360,"")</f>
        <v/>
      </c>
      <c r="K229" s="398" t="str">
        <f>IF(Model!K360&lt;&gt;"",Model!K360,"")</f>
        <v/>
      </c>
      <c r="L229" s="398" t="str">
        <f>IF(Model!L360&lt;&gt;"",Model!L360,"")</f>
        <v/>
      </c>
      <c r="M229" s="398" t="str">
        <f>IF(Model!M360&lt;&gt;"",Model!M360,"")</f>
        <v/>
      </c>
      <c r="N229" s="398" t="str">
        <f>IF(Model!N360&lt;&gt;"",Model!N360,"")</f>
        <v/>
      </c>
      <c r="O229" s="398" t="str">
        <f>IF(Model!O360&lt;&gt;"",Model!O360,"")</f>
        <v/>
      </c>
      <c r="P229" s="398" t="str">
        <f>IF(Model!P360&lt;&gt;"",Model!P360,"")</f>
        <v/>
      </c>
      <c r="Q229" s="398" t="str">
        <f>IF(Model!Q360&lt;&gt;"",Model!Q360,"")</f>
        <v/>
      </c>
      <c r="R229" s="398" t="str">
        <f>IF(Model!R360&lt;&gt;"",Model!R360,"")</f>
        <v/>
      </c>
      <c r="S229" s="398" t="str">
        <f>IF(Model!S360&lt;&gt;"",Model!S360,"")</f>
        <v/>
      </c>
      <c r="T229" s="398" t="str">
        <f>IF(Model!T360&lt;&gt;"",Model!T360,"")</f>
        <v/>
      </c>
      <c r="U229" s="398" t="str">
        <f>IF(Model!U360&lt;&gt;"",Model!U360,"")</f>
        <v/>
      </c>
      <c r="V229" s="398" t="str">
        <f>IF(Model!V360&lt;&gt;"",Model!V360,"")</f>
        <v/>
      </c>
      <c r="W229" s="398" t="str">
        <f>IF(Model!W360&lt;&gt;"",Model!W360,"")</f>
        <v/>
      </c>
      <c r="X229" s="398" t="str">
        <f>IF(Model!X360&lt;&gt;"",Model!X360,"")</f>
        <v/>
      </c>
      <c r="Y229" s="398" t="str">
        <f>IF(Model!Y360&lt;&gt;"",Model!Y360,"")</f>
        <v/>
      </c>
      <c r="Z229" s="398" t="str">
        <f>IF(Model!Z360&lt;&gt;"",Model!Z360,"")</f>
        <v/>
      </c>
      <c r="AA229" s="398" t="str">
        <f>IF(Model!AA360&lt;&gt;"",Model!AA360,"")</f>
        <v/>
      </c>
      <c r="AB229" s="398" t="str">
        <f>IF(Model!AB360&lt;&gt;"",Model!AB360,"")</f>
        <v/>
      </c>
      <c r="AC229" s="398" t="str">
        <f>IF(Model!AC360&lt;&gt;"",Model!AC360,"")</f>
        <v/>
      </c>
      <c r="AD229" s="398" t="str">
        <f>IF(Model!AD360&lt;&gt;"",Model!AD360,"")</f>
        <v/>
      </c>
      <c r="AE229" s="398" t="str">
        <f>IF(Model!AE360&lt;&gt;"",Model!AE360,"")</f>
        <v/>
      </c>
      <c r="AF229" s="398" t="str">
        <f>IF(Model!AF360&lt;&gt;"",Model!AF360,"")</f>
        <v/>
      </c>
      <c r="AG229" s="398" t="str">
        <f>IF(Model!AG360&lt;&gt;"",Model!AG360,"")</f>
        <v/>
      </c>
      <c r="AH229" s="398" t="str">
        <f>IF(Model!AH360&lt;&gt;"",Model!AH360,"")</f>
        <v/>
      </c>
      <c r="AI229" s="398" t="str">
        <f>IF(Model!AI360&lt;&gt;"",Model!AI360,"")</f>
        <v/>
      </c>
      <c r="AJ229" s="398" t="str">
        <f>IF(Model!AJ360&lt;&gt;"",Model!AJ360,"")</f>
        <v/>
      </c>
      <c r="AK229" s="398" t="str">
        <f>IF(Model!AK360&lt;&gt;"",Model!AK360,"")</f>
        <v/>
      </c>
      <c r="AL229" s="398" t="str">
        <f>IF(Model!AL360&lt;&gt;"",Model!AL360,"")</f>
        <v/>
      </c>
      <c r="AM229" s="398" t="str">
        <f>IF(Model!AM360&lt;&gt;"",Model!AM360,"")</f>
        <v/>
      </c>
      <c r="AN229" s="398" t="str">
        <f>IF(Model!AN360&lt;&gt;"",Model!AN360,"")</f>
        <v/>
      </c>
      <c r="AO229" s="398" t="str">
        <f>IF(Model!AO360&lt;&gt;"",Model!AO360,"")</f>
        <v/>
      </c>
      <c r="AP229" s="398" t="str">
        <f>IF(Model!AP360&lt;&gt;"",Model!AP360,"")</f>
        <v/>
      </c>
      <c r="AQ229" s="398" t="str">
        <f>IF(Model!AQ360&lt;&gt;"",Model!AQ360,"")</f>
        <v/>
      </c>
      <c r="AR229" s="398" t="str">
        <f>IF(Model!AR360&lt;&gt;"",Model!AR360,"")</f>
        <v/>
      </c>
      <c r="AS229" s="398" t="str">
        <f>IF(Model!AS360&lt;&gt;"",Model!AS360,"")</f>
        <v/>
      </c>
      <c r="AT229" s="398" t="str">
        <f>IF(Model!AT360&lt;&gt;"",Model!AT360,"")</f>
        <v/>
      </c>
      <c r="AU229" s="398" t="str">
        <f>IF(Model!AU360&lt;&gt;"",Model!AU360,"")</f>
        <v/>
      </c>
      <c r="AV229" s="398" t="str">
        <f>IF(Model!AV360&lt;&gt;"",Model!AV360,"")</f>
        <v/>
      </c>
      <c r="AW229" s="398" t="str">
        <f>IF(Model!AW360&lt;&gt;"",Model!AW360,"")</f>
        <v/>
      </c>
      <c r="AX229" s="398" t="str">
        <f>IF(Model!AX360&lt;&gt;"",Model!AX360,"")</f>
        <v/>
      </c>
      <c r="AY229" s="398" t="str">
        <f>IF(Model!AY360&lt;&gt;"",Model!AY360,"")</f>
        <v/>
      </c>
      <c r="AZ229" s="398" t="str">
        <f>IF(Model!AZ360&lt;&gt;"",Model!AZ360,"")</f>
        <v/>
      </c>
      <c r="BA229" s="398" t="str">
        <f>IF(Model!BA360&lt;&gt;"",Model!BA360,"")</f>
        <v/>
      </c>
      <c r="BB229" s="398" t="str">
        <f>IF(Model!BB360&lt;&gt;"",Model!BB360,"")</f>
        <v/>
      </c>
      <c r="BC229" s="398" t="str">
        <f>IF(Model!BC360&lt;&gt;"",Model!BC360,"")</f>
        <v/>
      </c>
      <c r="BD229" s="359"/>
      <c r="BE229" s="359"/>
      <c r="BF229" s="398" t="str">
        <f>IF(Model!BF360&lt;&gt;"",Model!BF360,"")</f>
        <v/>
      </c>
      <c r="BG229" s="359"/>
      <c r="BH229" s="359"/>
      <c r="BI229" s="398" t="str">
        <f>IF(Model!BI360&lt;&gt;"",Model!BI360,"")</f>
        <v/>
      </c>
      <c r="BJ229" s="359"/>
      <c r="BK229" s="359"/>
      <c r="BL229" s="398" t="str">
        <f>IF(Model!BL360&lt;&gt;"",Model!BL360,"")</f>
        <v/>
      </c>
      <c r="BM229" s="359"/>
      <c r="BN229" s="359"/>
      <c r="BO229" s="398" t="str">
        <f>IF(Model!BO360&lt;&gt;"",Model!BO360,"")</f>
        <v/>
      </c>
      <c r="BP229" s="359"/>
      <c r="BQ229" s="359"/>
      <c r="BR229" s="398" t="str">
        <f>IF(Model!BR360&lt;&gt;"",Model!BR360,"")</f>
        <v/>
      </c>
      <c r="BS229" s="359"/>
      <c r="BT229" s="359"/>
      <c r="BU229" s="398" t="str">
        <f>IF(Model!BU360&lt;&gt;"",Model!BU360,"")</f>
        <v/>
      </c>
      <c r="BV229" s="359"/>
      <c r="BW229" s="359"/>
      <c r="BX229" s="398" t="str">
        <f>IF(Model!BX360&lt;&gt;"",Model!BX360,"")</f>
        <v/>
      </c>
      <c r="BY229" s="359"/>
      <c r="BZ229" s="359"/>
      <c r="CA229" s="398" t="str">
        <f>IF(Model!CA360&lt;&gt;"",Model!CA360,"")</f>
        <v/>
      </c>
      <c r="CB229" s="359"/>
      <c r="CC229" s="359"/>
      <c r="CD229" s="398" t="str">
        <f>IF(Model!CD360&lt;&gt;"",Model!CD360,"")</f>
        <v/>
      </c>
      <c r="CE229" s="359"/>
      <c r="CF229" s="359"/>
      <c r="CG229" s="398" t="str">
        <f>IF(Model!CG360&lt;&gt;"",Model!CG360,"")</f>
        <v/>
      </c>
      <c r="CH229" s="359"/>
      <c r="CI229" s="359"/>
      <c r="CJ229" s="398" t="str">
        <f>IF(Model!CJ360&lt;&gt;"",Model!CJ360,"")</f>
        <v/>
      </c>
      <c r="CK229" s="359"/>
      <c r="CL229" s="359"/>
      <c r="CM229" s="398" t="str">
        <f>IF(Model!CM360&lt;&gt;"",Model!CM360,"")</f>
        <v/>
      </c>
      <c r="CN229" s="359"/>
      <c r="CO229" s="359"/>
      <c r="CP229" s="398" t="str">
        <f>IF(Model!CP360&lt;&gt;"",Model!CP360,"")</f>
        <v/>
      </c>
      <c r="CQ229" s="359"/>
      <c r="CR229" s="359"/>
      <c r="CS229" s="398" t="str">
        <f>IF(Model!CS360&lt;&gt;"",Model!CS360,"")</f>
        <v/>
      </c>
      <c r="CT229" s="359"/>
      <c r="CU229" s="359"/>
      <c r="CV229" s="398" t="str">
        <f>IF(Model!CV360&lt;&gt;"",Model!CV360,"")</f>
        <v/>
      </c>
      <c r="CW229" s="359"/>
      <c r="CX229" s="359"/>
      <c r="CY229" s="398" t="str">
        <f>IF(Model!CY360&lt;&gt;"",Model!CY360,"")</f>
        <v/>
      </c>
      <c r="CZ229" s="359"/>
      <c r="DA229" s="359"/>
      <c r="DB229" s="398" t="str">
        <f>IF(Model!DB360&lt;&gt;"",Model!DB360,"")</f>
        <v/>
      </c>
      <c r="DC229" s="359"/>
      <c r="DD229" s="359"/>
      <c r="DE229" s="398" t="str">
        <f>IF(Model!DE360&lt;&gt;"",Model!DE360,"")</f>
        <v/>
      </c>
      <c r="DF229" s="359"/>
      <c r="DG229" s="359"/>
      <c r="DH229" s="398" t="str">
        <f>IF(Model!DH360&lt;&gt;"",Model!DH360,"")</f>
        <v/>
      </c>
      <c r="DI229" s="359"/>
      <c r="DJ229" s="359"/>
      <c r="DK229" s="1223" t="str">
        <f>IF(Model!DK360&lt;&gt;"",Model!DK360,"")</f>
        <v/>
      </c>
      <c r="DL229" s="359"/>
      <c r="DM229" s="359"/>
      <c r="DN229" s="1223" t="str">
        <f>IF(Model!DN360&lt;&gt;"",Model!DN360,"")</f>
        <v/>
      </c>
      <c r="DO229" s="359"/>
      <c r="DP229" s="359"/>
      <c r="DQ229" s="1223" t="str">
        <f>IF(Model!DQ360&lt;&gt;"",Model!DQ360,"")</f>
        <v/>
      </c>
      <c r="DR229" s="359"/>
      <c r="DS229" s="359"/>
      <c r="DT229" s="1223" t="str">
        <f>IF(Model!DT360&lt;&gt;"",Model!DT360,"")</f>
        <v/>
      </c>
      <c r="DU229" s="359"/>
      <c r="DV229" s="359"/>
      <c r="DW229" s="1223" t="str">
        <f>IF(Model!DW360&lt;&gt;"",Model!DW360,"")</f>
        <v/>
      </c>
      <c r="DX229" s="359"/>
      <c r="DY229" s="359"/>
      <c r="DZ229" s="1223" t="str">
        <f>IF(Model!DZ360&lt;&gt;"",Model!DZ360,"")</f>
        <v/>
      </c>
      <c r="EA229" s="359"/>
      <c r="EB229" s="359"/>
      <c r="EC229" s="1223" t="str">
        <f>IF(Model!EC360&lt;&gt;"",Model!EC360,"")</f>
        <v/>
      </c>
      <c r="ED229" s="359"/>
      <c r="EE229" s="359"/>
      <c r="EF229" s="1223" t="str">
        <f>IF(Model!EF360&lt;&gt;"",Model!EF360,"")</f>
        <v/>
      </c>
      <c r="EG229" s="359"/>
      <c r="EH229" s="359"/>
      <c r="EI229" s="1223" t="str">
        <f>IF(Model!EI360&lt;&gt;"",Model!EI360,"")</f>
        <v/>
      </c>
      <c r="EJ229" s="359"/>
      <c r="EK229" s="359"/>
      <c r="EL229" s="1223" t="str">
        <f>IF(Model!EL360&lt;&gt;"",Model!EL360,"")</f>
        <v/>
      </c>
      <c r="EM229" s="359"/>
      <c r="EN229" s="359"/>
      <c r="EO229" s="1223" t="str">
        <f>IF(Model!EO360&lt;&gt;"",Model!EO360,"")</f>
        <v/>
      </c>
      <c r="EP229" s="359"/>
      <c r="EQ229" s="359"/>
      <c r="ER229" s="1223" t="str">
        <f>IF(Model!ER360&lt;&gt;"",Model!ER360,"")</f>
        <v/>
      </c>
      <c r="ES229" s="359"/>
      <c r="ET229" s="359"/>
      <c r="EU229" s="1223" t="str">
        <f>IF(Model!EU360&lt;&gt;"",Model!EU360,"")</f>
        <v/>
      </c>
      <c r="EV229" s="359"/>
      <c r="EW229" s="359"/>
      <c r="EX229" s="1223" t="str">
        <f>IF(Model!EX360&lt;&gt;"",Model!EX360,"")</f>
        <v/>
      </c>
      <c r="EY229" s="359"/>
      <c r="EZ229" s="359"/>
      <c r="FA229" s="398" t="str">
        <f>IF(Model!FA360&lt;&gt;"",Model!FA360,"")</f>
        <v/>
      </c>
    </row>
    <row r="230" spans="1:157" ht="13.35" customHeight="1">
      <c r="A230" s="5"/>
      <c r="B230" s="401" t="s">
        <v>305</v>
      </c>
      <c r="C230" s="5"/>
      <c r="D230" s="5"/>
      <c r="E230" s="363" t="str">
        <f>IF(Model!E367&lt;&gt;"",Model!E367,"")</f>
        <v/>
      </c>
      <c r="F230" s="363" t="str">
        <f>IF(Model!G367&lt;&gt;"",Model!F367,"")</f>
        <v/>
      </c>
      <c r="G230" s="363" t="str">
        <f>IF(Model!G367&lt;&gt;"",Model!G367,"")</f>
        <v/>
      </c>
      <c r="H230" s="363" t="str">
        <f>IF(Model!H367&lt;&gt;"",Model!H367,"")</f>
        <v/>
      </c>
      <c r="I230" s="363" t="str">
        <f>IF(Model!J367&lt;&gt;"",Model!I367,"")</f>
        <v/>
      </c>
      <c r="J230" s="363" t="str">
        <f>IF(Model!J367&lt;&gt;"",Model!J367,"")</f>
        <v/>
      </c>
      <c r="K230" s="363" t="str">
        <f>IF(Model!K367&lt;&gt;"",Model!K367,"")</f>
        <v/>
      </c>
      <c r="L230" s="363" t="str">
        <f>IF(Model!M367&lt;&gt;"",Model!L367,"")</f>
        <v/>
      </c>
      <c r="M230" s="363" t="str">
        <f>IF(Model!M367&lt;&gt;"",Model!M367,"")</f>
        <v/>
      </c>
      <c r="N230" s="363" t="str">
        <f>IF(Model!N367&lt;&gt;"",Model!N367,"")</f>
        <v/>
      </c>
      <c r="O230" s="363" t="str">
        <f>IF(Model!P367&lt;&gt;"",Model!O367,"")</f>
        <v/>
      </c>
      <c r="P230" s="363" t="str">
        <f>IF(Model!P367&lt;&gt;"",Model!P367,"")</f>
        <v/>
      </c>
      <c r="Q230" s="363" t="str">
        <f>IF(Model!Q367&lt;&gt;"",Model!Q367,"")</f>
        <v/>
      </c>
      <c r="R230" s="363" t="str">
        <f>IF(Model!S367&lt;&gt;"",Model!R367,"")</f>
        <v/>
      </c>
      <c r="S230" s="363" t="str">
        <f>IF(Model!S367&lt;&gt;"",Model!S367,"")</f>
        <v/>
      </c>
      <c r="T230" s="363" t="str">
        <f>IF(Model!T367&lt;&gt;"",Model!T367,"")</f>
        <v/>
      </c>
      <c r="U230" s="363" t="str">
        <f>IF(Model!V367&lt;&gt;"",Model!U367,"")</f>
        <v/>
      </c>
      <c r="V230" s="363" t="str">
        <f>IF(Model!V367&lt;&gt;"",Model!V367,"")</f>
        <v/>
      </c>
      <c r="W230" s="363" t="str">
        <f>IF(Model!W367&lt;&gt;"",Model!W367,"")</f>
        <v/>
      </c>
      <c r="X230" s="363" t="str">
        <f>IF(Model!Y367&lt;&gt;"",Model!X367,"")</f>
        <v/>
      </c>
      <c r="Y230" s="363" t="str">
        <f>IF(Model!Y367&lt;&gt;"",Model!Y367,"")</f>
        <v/>
      </c>
      <c r="Z230" s="363" t="str">
        <f>IF(Model!Z367&lt;&gt;"",Model!Z367,"")</f>
        <v/>
      </c>
      <c r="AA230" s="363" t="str">
        <f>IF(Model!AB367&lt;&gt;"",Model!AA367,"")</f>
        <v/>
      </c>
      <c r="AB230" s="363" t="str">
        <f>IF(Model!AB367&lt;&gt;"",Model!AB367,"")</f>
        <v/>
      </c>
      <c r="AC230" s="363" t="str">
        <f>IF(Model!AC367&lt;&gt;"",Model!AC367,"")</f>
        <v/>
      </c>
      <c r="AD230" s="363" t="str">
        <f>IF(Model!AE367&lt;&gt;"",Model!AD367,"")</f>
        <v/>
      </c>
      <c r="AE230" s="363" t="str">
        <f>IF(Model!AE367&lt;&gt;"",Model!AE367,"")</f>
        <v/>
      </c>
      <c r="AF230" s="363" t="str">
        <f>IF(Model!AF367&lt;&gt;"",Model!AF367,"")</f>
        <v/>
      </c>
      <c r="AG230" s="363" t="str">
        <f>IF(Model!AH367&lt;&gt;"",Model!AG367,"")</f>
        <v/>
      </c>
      <c r="AH230" s="363" t="str">
        <f>IF(Model!AH367&lt;&gt;"",Model!AH367,"")</f>
        <v/>
      </c>
      <c r="AI230" s="363" t="str">
        <f>IF(Model!AI367&lt;&gt;"",Model!AI367,"")</f>
        <v/>
      </c>
      <c r="AJ230" s="363" t="str">
        <f>IF(Model!AK367&lt;&gt;"",Model!AJ367,"")</f>
        <v/>
      </c>
      <c r="AK230" s="363" t="str">
        <f>IF(Model!AK367&lt;&gt;"",Model!AK367,"")</f>
        <v/>
      </c>
      <c r="AL230" s="363" t="str">
        <f>IF(Model!AL367&lt;&gt;"",Model!AL367,"")</f>
        <v/>
      </c>
      <c r="AM230" s="363" t="str">
        <f>IF(Model!AN367&lt;&gt;"",Model!AM367,"")</f>
        <v/>
      </c>
      <c r="AN230" s="363" t="str">
        <f>IF(Model!AN367&lt;&gt;"",Model!AN367,"")</f>
        <v/>
      </c>
      <c r="AO230" s="363" t="str">
        <f>IF(Model!AO367&lt;&gt;"",Model!AO367,"")</f>
        <v/>
      </c>
      <c r="AP230" s="363" t="str">
        <f>IF(Model!AQ367&lt;&gt;"",Model!AP367,"")</f>
        <v/>
      </c>
      <c r="AQ230" s="363" t="str">
        <f>IF(Model!AQ367&lt;&gt;"",Model!AQ367,"")</f>
        <v/>
      </c>
      <c r="AR230" s="363" t="str">
        <f>IF(Model!AR367&lt;&gt;"",Model!AR367,"")</f>
        <v/>
      </c>
      <c r="AS230" s="363" t="str">
        <f>IF(Model!AT367&lt;&gt;"",Model!AS367,"")</f>
        <v/>
      </c>
      <c r="AT230" s="363" t="str">
        <f>IF(Model!AT367&lt;&gt;"",Model!AT367,"")</f>
        <v/>
      </c>
      <c r="AU230" s="363" t="str">
        <f>IF(Model!AU367&lt;&gt;"",Model!AU367,"")</f>
        <v/>
      </c>
      <c r="AV230" s="363" t="str">
        <f>IF(Model!AW367&lt;&gt;"",Model!AV367,"")</f>
        <v/>
      </c>
      <c r="AW230" s="363" t="str">
        <f>IF(Model!AW367&lt;&gt;"",Model!AW367,"")</f>
        <v/>
      </c>
      <c r="AX230" s="363" t="str">
        <f>IF(Model!AX367&lt;&gt;"",Model!AX367,"")</f>
        <v/>
      </c>
      <c r="AY230" s="363" t="str">
        <f>IF(Model!AZ367&lt;&gt;"",Model!AY367,"")</f>
        <v/>
      </c>
      <c r="AZ230" s="363" t="str">
        <f>IF(Model!AZ367&lt;&gt;"",Model!AZ367,"")</f>
        <v/>
      </c>
      <c r="BA230" s="363" t="str">
        <f>IF(Model!BA367&lt;&gt;"",Model!BA367,"")</f>
        <v/>
      </c>
      <c r="BB230" s="363" t="str">
        <f>IF(Model!BC367&lt;&gt;"",Model!BB367,"")</f>
        <v/>
      </c>
      <c r="BC230" s="363" t="str">
        <f>IF(Model!BC367&lt;&gt;"",Model!BC367,"")</f>
        <v/>
      </c>
      <c r="BD230" s="359"/>
      <c r="BE230" s="363">
        <f>IF(Model!BE367&lt;&gt;"",Model!BE367,"")</f>
        <v>0</v>
      </c>
      <c r="BF230" s="359"/>
      <c r="BG230" s="359"/>
      <c r="BH230" s="363">
        <f>IF(Model!BH367&lt;&gt;"",Model!BH367,"")</f>
        <v>0</v>
      </c>
      <c r="BI230" s="359"/>
      <c r="BJ230" s="359"/>
      <c r="BK230" s="363">
        <f>IF(Model!BK367&lt;&gt;"",Model!BK367,"")</f>
        <v>0</v>
      </c>
      <c r="BL230" s="359"/>
      <c r="BM230" s="359"/>
      <c r="BN230" s="363">
        <f>IF(Model!BN367&lt;&gt;"",Model!BN367,"")</f>
        <v>0</v>
      </c>
      <c r="BO230" s="359"/>
      <c r="BP230" s="359"/>
      <c r="BQ230" s="363">
        <f>IF(Model!BQ367&lt;&gt;"",Model!BQ367,"")</f>
        <v>0</v>
      </c>
      <c r="BR230" s="359"/>
      <c r="BS230" s="359"/>
      <c r="BT230" s="363">
        <f>IF(Model!BT367&lt;&gt;"",Model!BT367,"")</f>
        <v>0</v>
      </c>
      <c r="BU230" s="359"/>
      <c r="BV230" s="359"/>
      <c r="BW230" s="363">
        <f>IF(Model!BW367&lt;&gt;"",Model!BW367,"")</f>
        <v>0</v>
      </c>
      <c r="BX230" s="359"/>
      <c r="BY230" s="359"/>
      <c r="BZ230" s="363">
        <f>IF(Model!BZ367&lt;&gt;"",Model!BZ367,"")</f>
        <v>0</v>
      </c>
      <c r="CA230" s="359"/>
      <c r="CB230" s="359"/>
      <c r="CC230" s="363">
        <f>IF(Model!CC367&lt;&gt;"",Model!CC367,"")</f>
        <v>0</v>
      </c>
      <c r="CD230" s="359"/>
      <c r="CE230" s="359"/>
      <c r="CF230" s="363">
        <f>IF(Model!CF367&lt;&gt;"",Model!CF367,"")</f>
        <v>0</v>
      </c>
      <c r="CG230" s="359"/>
      <c r="CH230" s="359"/>
      <c r="CI230" s="363">
        <f>IF(Model!CI367&lt;&gt;"",Model!CI367,"")</f>
        <v>0</v>
      </c>
      <c r="CJ230" s="359"/>
      <c r="CK230" s="359"/>
      <c r="CL230" s="363">
        <f>IF(Model!CL367&lt;&gt;"",Model!CL367,"")</f>
        <v>0</v>
      </c>
      <c r="CM230" s="359"/>
      <c r="CN230" s="359"/>
      <c r="CO230" s="363">
        <f>IF(Model!CO367&lt;&gt;"",Model!CO367,"")</f>
        <v>0</v>
      </c>
      <c r="CP230" s="359"/>
      <c r="CQ230" s="359"/>
      <c r="CR230" s="363">
        <f>IF(Model!CR367&lt;&gt;"",Model!CR367,"")</f>
        <v>0</v>
      </c>
      <c r="CS230" s="359"/>
      <c r="CT230" s="359"/>
      <c r="CU230" s="363">
        <f>IF(Model!CU367&lt;&gt;"",Model!CU367,"")</f>
        <v>0</v>
      </c>
      <c r="CV230" s="359"/>
      <c r="CW230" s="359"/>
      <c r="CX230" s="363">
        <f>IF(Model!CX367&lt;&gt;"",Model!CX367,"")</f>
        <v>0</v>
      </c>
      <c r="CY230" s="359"/>
      <c r="CZ230" s="359"/>
      <c r="DA230" s="363">
        <f>IF(Model!DA367&lt;&gt;"",Model!DA367,"")</f>
        <v>0</v>
      </c>
      <c r="DB230" s="359"/>
      <c r="DC230" s="359"/>
      <c r="DD230" s="363">
        <f>IF(Model!DD367&lt;&gt;"",Model!DD367,"")</f>
        <v>0</v>
      </c>
      <c r="DE230" s="359"/>
      <c r="DF230" s="359"/>
      <c r="DG230" s="363">
        <f>IF(Model!DG367&lt;&gt;"",Model!DG367,"")</f>
        <v>0</v>
      </c>
      <c r="DH230" s="359"/>
      <c r="DI230" s="359"/>
      <c r="DJ230" s="363">
        <f>IF(Model!DJ367&lt;&gt;"",Model!DJ367,"")</f>
        <v>0</v>
      </c>
      <c r="DK230" s="1208"/>
      <c r="DL230" s="359"/>
      <c r="DM230" s="363">
        <f>IF(Model!DM367&lt;&gt;"",Model!DM367,"")</f>
        <v>0</v>
      </c>
      <c r="DN230" s="1208"/>
      <c r="DO230" s="359"/>
      <c r="DP230" s="363">
        <f>IF(Model!DP367&lt;&gt;"",Model!DP367,"")</f>
        <v>0</v>
      </c>
      <c r="DQ230" s="1208"/>
      <c r="DR230" s="359"/>
      <c r="DS230" s="363">
        <f>IF(Model!DS367&lt;&gt;"",Model!DS367,"")</f>
        <v>0</v>
      </c>
      <c r="DT230" s="1208"/>
      <c r="DU230" s="359"/>
      <c r="DV230" s="363">
        <f>IF(Model!DV367&lt;&gt;"",Model!DV367,"")</f>
        <v>0</v>
      </c>
      <c r="DW230" s="1208"/>
      <c r="DX230" s="359"/>
      <c r="DY230" s="363">
        <f>IF(Model!DY367&lt;&gt;"",Model!DY367,"")</f>
        <v>0</v>
      </c>
      <c r="DZ230" s="1208"/>
      <c r="EA230" s="359"/>
      <c r="EB230" s="363">
        <f>IF(Model!EB367&lt;&gt;"",Model!EB367,"")</f>
        <v>0</v>
      </c>
      <c r="EC230" s="1208"/>
      <c r="ED230" s="359"/>
      <c r="EE230" s="363">
        <f>IF(Model!EE367&lt;&gt;"",Model!EE367,"")</f>
        <v>0</v>
      </c>
      <c r="EF230" s="1208"/>
      <c r="EG230" s="359"/>
      <c r="EH230" s="363">
        <f>IF(Model!EH367&lt;&gt;"",Model!EH367,"")</f>
        <v>0</v>
      </c>
      <c r="EI230" s="1208"/>
      <c r="EJ230" s="359"/>
      <c r="EK230" s="363">
        <f>IF(Model!EK367&lt;&gt;"",Model!EK367,"")</f>
        <v>0</v>
      </c>
      <c r="EL230" s="1208"/>
      <c r="EM230" s="359"/>
      <c r="EN230" s="363">
        <f>IF(Model!EN367&lt;&gt;"",Model!EN367,"")</f>
        <v>0</v>
      </c>
      <c r="EO230" s="1208"/>
      <c r="EP230" s="359"/>
      <c r="EQ230" s="363">
        <f>IF(Model!EQ367&lt;&gt;"",Model!EQ367,"")</f>
        <v>0</v>
      </c>
      <c r="ER230" s="1208"/>
      <c r="ES230" s="359"/>
      <c r="ET230" s="363">
        <f>IF(Model!ET367&lt;&gt;"",Model!ET367,"")</f>
        <v>0</v>
      </c>
      <c r="EU230" s="1208"/>
      <c r="EV230" s="359"/>
      <c r="EW230" s="363">
        <f>IF(Model!EW367&lt;&gt;"",Model!EW367,"")</f>
        <v>0</v>
      </c>
      <c r="EX230" s="1208"/>
      <c r="EY230" s="359"/>
      <c r="EZ230" s="363">
        <f>IF(Model!EZ367&lt;&gt;"",Model!EZ367,"")</f>
        <v>0</v>
      </c>
      <c r="FA230" s="359"/>
    </row>
    <row r="231" spans="1:157" ht="13.35" customHeight="1">
      <c r="A231" s="5"/>
      <c r="B231" s="406" t="s">
        <v>306</v>
      </c>
      <c r="C231" s="5"/>
      <c r="D231" s="5"/>
      <c r="E231" s="407" t="str">
        <f>IF(Model!E368&lt;&gt;"",Model!E368,"")</f>
        <v/>
      </c>
      <c r="F231" s="407" t="str">
        <f>IF(Model!F368&lt;&gt;"",Model!F368,"")</f>
        <v/>
      </c>
      <c r="G231" s="407" t="str">
        <f>IF(Model!G368&lt;&gt;"",Model!G368,"")</f>
        <v/>
      </c>
      <c r="H231" s="407" t="str">
        <f>IF(Model!H368&lt;&gt;"",Model!H368,"")</f>
        <v/>
      </c>
      <c r="I231" s="407" t="str">
        <f>IF(Model!I368&lt;&gt;"",Model!I368,"")</f>
        <v/>
      </c>
      <c r="J231" s="407" t="str">
        <f>IF(Model!J368&lt;&gt;"",Model!J368,"")</f>
        <v/>
      </c>
      <c r="K231" s="407" t="str">
        <f>IF(Model!K368&lt;&gt;"",Model!K368,"")</f>
        <v/>
      </c>
      <c r="L231" s="407" t="str">
        <f>IF(Model!L368&lt;&gt;"",Model!L368,"")</f>
        <v/>
      </c>
      <c r="M231" s="407" t="str">
        <f>IF(Model!M368&lt;&gt;"",Model!M368,"")</f>
        <v/>
      </c>
      <c r="N231" s="407" t="str">
        <f>IF(Model!N368&lt;&gt;"",Model!N368,"")</f>
        <v/>
      </c>
      <c r="O231" s="407" t="str">
        <f>IF(Model!O368&lt;&gt;"",Model!O368,"")</f>
        <v/>
      </c>
      <c r="P231" s="407" t="str">
        <f>IF(Model!P368&lt;&gt;"",Model!P368,"")</f>
        <v/>
      </c>
      <c r="Q231" s="407" t="str">
        <f>IF(Model!Q368&lt;&gt;"",Model!Q368,"")</f>
        <v/>
      </c>
      <c r="R231" s="407" t="str">
        <f>IF(Model!R368&lt;&gt;"",Model!R368,"")</f>
        <v/>
      </c>
      <c r="S231" s="407" t="str">
        <f>IF(Model!S368&lt;&gt;"",Model!S368,"")</f>
        <v/>
      </c>
      <c r="T231" s="407" t="str">
        <f>IF(Model!T368&lt;&gt;"",Model!T368,"")</f>
        <v/>
      </c>
      <c r="U231" s="407" t="str">
        <f>IF(Model!U368&lt;&gt;"",Model!U368,"")</f>
        <v/>
      </c>
      <c r="V231" s="407" t="str">
        <f>IF(Model!V368&lt;&gt;"",Model!V368,"")</f>
        <v/>
      </c>
      <c r="W231" s="407" t="str">
        <f>IF(Model!W368&lt;&gt;"",Model!W368,"")</f>
        <v/>
      </c>
      <c r="X231" s="407" t="str">
        <f>IF(Model!X368&lt;&gt;"",Model!X368,"")</f>
        <v/>
      </c>
      <c r="Y231" s="407" t="str">
        <f>IF(Model!Y368&lt;&gt;"",Model!Y368,"")</f>
        <v/>
      </c>
      <c r="Z231" s="407" t="str">
        <f>IF(Model!Z368&lt;&gt;"",Model!Z368,"")</f>
        <v/>
      </c>
      <c r="AA231" s="407" t="str">
        <f>IF(Model!AA368&lt;&gt;"",Model!AA368,"")</f>
        <v/>
      </c>
      <c r="AB231" s="407" t="str">
        <f>IF(Model!AB368&lt;&gt;"",Model!AB368,"")</f>
        <v/>
      </c>
      <c r="AC231" s="407" t="str">
        <f>IF(Model!AC368&lt;&gt;"",Model!AC368,"")</f>
        <v/>
      </c>
      <c r="AD231" s="407" t="str">
        <f>IF(Model!AD368&lt;&gt;"",Model!AD368,"")</f>
        <v/>
      </c>
      <c r="AE231" s="407" t="str">
        <f>IF(Model!AE368&lt;&gt;"",Model!AE368,"")</f>
        <v/>
      </c>
      <c r="AF231" s="407" t="str">
        <f>IF(Model!AF368&lt;&gt;"",Model!AF368,"")</f>
        <v/>
      </c>
      <c r="AG231" s="407" t="str">
        <f>IF(Model!AG368&lt;&gt;"",Model!AG368,"")</f>
        <v/>
      </c>
      <c r="AH231" s="407" t="str">
        <f>IF(Model!AH368&lt;&gt;"",Model!AH368,"")</f>
        <v/>
      </c>
      <c r="AI231" s="407" t="str">
        <f>IF(Model!AI368&lt;&gt;"",Model!AI368,"")</f>
        <v/>
      </c>
      <c r="AJ231" s="407" t="str">
        <f>IF(Model!AJ368&lt;&gt;"",Model!AJ368,"")</f>
        <v/>
      </c>
      <c r="AK231" s="407" t="str">
        <f>IF(Model!AK368&lt;&gt;"",Model!AK368,"")</f>
        <v/>
      </c>
      <c r="AL231" s="407">
        <f>IF(Model!AL368&lt;&gt;"",Model!AL368,"")</f>
        <v>35166</v>
      </c>
      <c r="AM231" s="407">
        <f>IF(Model!AM368&lt;&gt;"",Model!AM368,"")</f>
        <v>35331</v>
      </c>
      <c r="AN231" s="407" t="str">
        <f>IF(Model!AN368&lt;&gt;"",Model!AN368,"")</f>
        <v/>
      </c>
      <c r="AO231" s="407">
        <f>IF(Model!AO368&lt;&gt;"",Model!AO368,"")</f>
        <v>35522</v>
      </c>
      <c r="AP231" s="407">
        <f>IF(Model!AP368&lt;&gt;"",Model!AP368,"")</f>
        <v>35696</v>
      </c>
      <c r="AQ231" s="407" t="str">
        <f>IF(Model!AQ368&lt;&gt;"",Model!AQ368,"")</f>
        <v/>
      </c>
      <c r="AR231" s="407">
        <f>IF(Model!AR368&lt;&gt;"",Model!AR368,"")</f>
        <v>35880</v>
      </c>
      <c r="AS231" s="407">
        <f>IF(Model!AS368&lt;&gt;"",Model!AS368,"")</f>
        <v>36031</v>
      </c>
      <c r="AT231" s="407" t="str">
        <f>IF(Model!AT368&lt;&gt;"",Model!AT368,"")</f>
        <v/>
      </c>
      <c r="AU231" s="407">
        <f>IF(Model!AU368&lt;&gt;"",Model!AU368,"")</f>
        <v>36215</v>
      </c>
      <c r="AV231" s="407">
        <f>IF(Model!AV368&lt;&gt;"",Model!AV368,"")</f>
        <v>36404</v>
      </c>
      <c r="AW231" s="407" t="str">
        <f>IF(Model!AW368&lt;&gt;"",Model!AW368,"")</f>
        <v/>
      </c>
      <c r="AX231" s="407">
        <f>IF(Model!AX368&lt;&gt;"",Model!AX368,"")</f>
        <v>36586</v>
      </c>
      <c r="AY231" s="407">
        <f>IF(Model!AY368&lt;&gt;"",Model!AY368,"")</f>
        <v>36774</v>
      </c>
      <c r="AZ231" s="407" t="str">
        <f>IF(Model!AZ368&lt;&gt;"",Model!AZ368,"")</f>
        <v/>
      </c>
      <c r="BA231" s="407">
        <f>IF(Model!BA368&lt;&gt;"",Model!BA368,"")</f>
        <v>36949</v>
      </c>
      <c r="BB231" s="407">
        <f>IF(Model!BB368&lt;&gt;"",Model!BB368,"")</f>
        <v>37138</v>
      </c>
      <c r="BC231" s="407" t="str">
        <f>IF(Model!BC368&lt;&gt;"",Model!BC368,"")</f>
        <v/>
      </c>
      <c r="BD231" s="407">
        <v>37311</v>
      </c>
      <c r="BE231" s="407">
        <v>37500</v>
      </c>
      <c r="BF231" s="359"/>
      <c r="BG231" s="407">
        <v>37689</v>
      </c>
      <c r="BH231" s="407">
        <v>37878</v>
      </c>
      <c r="BI231" s="359"/>
      <c r="BJ231" s="407">
        <v>38067</v>
      </c>
      <c r="BK231" s="407">
        <v>38256</v>
      </c>
      <c r="BL231" s="359"/>
      <c r="BM231" s="359"/>
      <c r="BN231" s="359"/>
      <c r="BO231" s="359"/>
      <c r="BP231" s="359"/>
      <c r="BQ231" s="359"/>
      <c r="BR231" s="359"/>
      <c r="BS231" s="359"/>
      <c r="BT231" s="359"/>
      <c r="BU231" s="359"/>
      <c r="BV231" s="359"/>
      <c r="BW231" s="359"/>
      <c r="BX231" s="359"/>
      <c r="BY231" s="359"/>
      <c r="BZ231" s="359"/>
      <c r="CA231" s="359"/>
      <c r="CB231" s="359"/>
      <c r="CC231" s="359"/>
      <c r="CD231" s="359"/>
      <c r="CE231" s="359"/>
      <c r="CF231" s="359"/>
      <c r="CG231" s="359"/>
      <c r="CH231" s="359"/>
      <c r="CI231" s="359"/>
      <c r="CJ231" s="359"/>
      <c r="CK231" s="359"/>
      <c r="CL231" s="359"/>
      <c r="CM231" s="359"/>
      <c r="CN231" s="359"/>
      <c r="CO231" s="359"/>
      <c r="CP231" s="359"/>
      <c r="CQ231" s="359"/>
      <c r="CR231" s="359"/>
      <c r="CS231" s="359"/>
      <c r="CT231" s="359"/>
      <c r="CU231" s="359"/>
      <c r="CV231" s="359"/>
      <c r="CW231" s="359"/>
      <c r="CX231" s="359"/>
      <c r="CY231" s="359"/>
      <c r="CZ231" s="359"/>
      <c r="DA231" s="359"/>
      <c r="DB231" s="359"/>
      <c r="DC231" s="359"/>
      <c r="DD231" s="359"/>
      <c r="DE231" s="359"/>
      <c r="DF231" s="359"/>
      <c r="DG231" s="359"/>
      <c r="DH231" s="359"/>
      <c r="DI231" s="359"/>
      <c r="DJ231" s="359"/>
      <c r="DK231" s="1208"/>
      <c r="DL231" s="359"/>
      <c r="DM231" s="359"/>
      <c r="DN231" s="1208"/>
      <c r="DO231" s="359"/>
      <c r="DP231" s="359"/>
      <c r="DQ231" s="1208"/>
      <c r="DR231" s="359"/>
      <c r="DS231" s="359"/>
      <c r="DT231" s="1208"/>
      <c r="DU231" s="359"/>
      <c r="DV231" s="359"/>
      <c r="DW231" s="1208"/>
      <c r="DX231" s="359"/>
      <c r="DY231" s="359"/>
      <c r="DZ231" s="1208"/>
      <c r="EA231" s="359"/>
      <c r="EB231" s="359"/>
      <c r="EC231" s="1208"/>
      <c r="ED231" s="359"/>
      <c r="EE231" s="359"/>
      <c r="EF231" s="1208"/>
      <c r="EG231" s="359"/>
      <c r="EH231" s="359"/>
      <c r="EI231" s="1208"/>
      <c r="EJ231" s="359"/>
      <c r="EK231" s="359"/>
      <c r="EL231" s="1208"/>
      <c r="EM231" s="359"/>
      <c r="EN231" s="359"/>
      <c r="EO231" s="1208"/>
      <c r="EP231" s="359"/>
      <c r="EQ231" s="359"/>
      <c r="ER231" s="1208"/>
      <c r="ES231" s="359"/>
      <c r="ET231" s="359"/>
      <c r="EU231" s="1208"/>
      <c r="EV231" s="359"/>
      <c r="EW231" s="359"/>
      <c r="EX231" s="1208"/>
      <c r="EY231" s="359"/>
      <c r="EZ231" s="359"/>
      <c r="FA231" s="359"/>
    </row>
    <row r="232" spans="1:157" ht="13.35" customHeight="1">
      <c r="A232" s="5"/>
      <c r="B232" s="406" t="s">
        <v>307</v>
      </c>
      <c r="C232" s="5"/>
      <c r="D232" s="5"/>
      <c r="E232" s="407" t="str">
        <f>IF(Model!E369&lt;&gt;"",Model!E369,"")</f>
        <v/>
      </c>
      <c r="F232" s="407" t="str">
        <f>IF(Model!F369&lt;&gt;"",Model!F369,"")</f>
        <v/>
      </c>
      <c r="G232" s="407" t="str">
        <f>IF(Model!G369&lt;&gt;"",Model!G369,"")</f>
        <v/>
      </c>
      <c r="H232" s="407" t="str">
        <f>IF(Model!H369&lt;&gt;"",Model!H369,"")</f>
        <v/>
      </c>
      <c r="I232" s="407" t="str">
        <f>IF(Model!I369&lt;&gt;"",Model!I369,"")</f>
        <v/>
      </c>
      <c r="J232" s="407" t="str">
        <f>IF(Model!J369&lt;&gt;"",Model!J369,"")</f>
        <v/>
      </c>
      <c r="K232" s="407" t="str">
        <f>IF(Model!K369&lt;&gt;"",Model!K369,"")</f>
        <v/>
      </c>
      <c r="L232" s="407" t="str">
        <f>IF(Model!L369&lt;&gt;"",Model!L369,"")</f>
        <v/>
      </c>
      <c r="M232" s="407" t="str">
        <f>IF(Model!M369&lt;&gt;"",Model!M369,"")</f>
        <v/>
      </c>
      <c r="N232" s="407" t="str">
        <f>IF(Model!N369&lt;&gt;"",Model!N369,"")</f>
        <v/>
      </c>
      <c r="O232" s="407" t="str">
        <f>IF(Model!O369&lt;&gt;"",Model!O369,"")</f>
        <v/>
      </c>
      <c r="P232" s="407" t="str">
        <f>IF(Model!P369&lt;&gt;"",Model!P369,"")</f>
        <v/>
      </c>
      <c r="Q232" s="407" t="str">
        <f>IF(Model!Q369&lt;&gt;"",Model!Q369,"")</f>
        <v/>
      </c>
      <c r="R232" s="407" t="str">
        <f>IF(Model!R369&lt;&gt;"",Model!R369,"")</f>
        <v/>
      </c>
      <c r="S232" s="407" t="str">
        <f>IF(Model!S369&lt;&gt;"",Model!S369,"")</f>
        <v/>
      </c>
      <c r="T232" s="407" t="str">
        <f>IF(Model!T369&lt;&gt;"",Model!T369,"")</f>
        <v/>
      </c>
      <c r="U232" s="407" t="str">
        <f>IF(Model!U369&lt;&gt;"",Model!U369,"")</f>
        <v/>
      </c>
      <c r="V232" s="407" t="str">
        <f>IF(Model!V369&lt;&gt;"",Model!V369,"")</f>
        <v/>
      </c>
      <c r="W232" s="407" t="str">
        <f>IF(Model!W369&lt;&gt;"",Model!W369,"")</f>
        <v/>
      </c>
      <c r="X232" s="407" t="str">
        <f>IF(Model!X369&lt;&gt;"",Model!X369,"")</f>
        <v/>
      </c>
      <c r="Y232" s="407" t="str">
        <f>IF(Model!Y369&lt;&gt;"",Model!Y369,"")</f>
        <v/>
      </c>
      <c r="Z232" s="407" t="str">
        <f>IF(Model!Z369&lt;&gt;"",Model!Z369,"")</f>
        <v/>
      </c>
      <c r="AA232" s="407" t="str">
        <f>IF(Model!AA369&lt;&gt;"",Model!AA369,"")</f>
        <v/>
      </c>
      <c r="AB232" s="407" t="str">
        <f>IF(Model!AB369&lt;&gt;"",Model!AB369,"")</f>
        <v/>
      </c>
      <c r="AC232" s="407" t="str">
        <f>IF(Model!AC369&lt;&gt;"",Model!AC369,"")</f>
        <v/>
      </c>
      <c r="AD232" s="407" t="str">
        <f>IF(Model!AD369&lt;&gt;"",Model!AD369,"")</f>
        <v/>
      </c>
      <c r="AE232" s="407" t="str">
        <f>IF(Model!AE369&lt;&gt;"",Model!AE369,"")</f>
        <v/>
      </c>
      <c r="AF232" s="407" t="str">
        <f>IF(Model!AF369&lt;&gt;"",Model!AF369,"")</f>
        <v/>
      </c>
      <c r="AG232" s="407" t="str">
        <f>IF(Model!AG369&lt;&gt;"",Model!AG369,"")</f>
        <v/>
      </c>
      <c r="AH232" s="407" t="str">
        <f>IF(Model!AH369&lt;&gt;"",Model!AH369,"")</f>
        <v/>
      </c>
      <c r="AI232" s="407" t="str">
        <f>IF(Model!AI369&lt;&gt;"",Model!AI369,"")</f>
        <v/>
      </c>
      <c r="AJ232" s="407" t="str">
        <f>IF(Model!AJ369&lt;&gt;"",Model!AJ369,"")</f>
        <v/>
      </c>
      <c r="AK232" s="407" t="str">
        <f>IF(Model!AK369&lt;&gt;"",Model!AK369,"")</f>
        <v/>
      </c>
      <c r="AL232" s="407">
        <f>IF(Model!AL369&lt;&gt;"",Model!AL369,"")</f>
        <v>35188</v>
      </c>
      <c r="AM232" s="407">
        <f>IF(Model!AM369&lt;&gt;"",Model!AM369,"")</f>
        <v>35360</v>
      </c>
      <c r="AN232" s="407" t="str">
        <f>IF(Model!AN369&lt;&gt;"",Model!AN369,"")</f>
        <v/>
      </c>
      <c r="AO232" s="407">
        <f>IF(Model!AO369&lt;&gt;"",Model!AO369,"")</f>
        <v>35544</v>
      </c>
      <c r="AP232" s="407">
        <f>IF(Model!AP369&lt;&gt;"",Model!AP369,"")</f>
        <v>35724</v>
      </c>
      <c r="AQ232" s="407" t="str">
        <f>IF(Model!AQ369&lt;&gt;"",Model!AQ369,"")</f>
        <v/>
      </c>
      <c r="AR232" s="407">
        <f>IF(Model!AR369&lt;&gt;"",Model!AR369,"")</f>
        <v>35902</v>
      </c>
      <c r="AS232" s="407">
        <f>IF(Model!AS369&lt;&gt;"",Model!AS369,"")</f>
        <v>36060</v>
      </c>
      <c r="AT232" s="407" t="str">
        <f>IF(Model!AT369&lt;&gt;"",Model!AT369,"")</f>
        <v/>
      </c>
      <c r="AU232" s="407">
        <f>IF(Model!AU369&lt;&gt;"",Model!AU369,"")</f>
        <v>36242</v>
      </c>
      <c r="AV232" s="407">
        <f>IF(Model!AV369&lt;&gt;"",Model!AV369,"")</f>
        <v>36425</v>
      </c>
      <c r="AW232" s="407" t="str">
        <f>IF(Model!AW369&lt;&gt;"",Model!AW369,"")</f>
        <v/>
      </c>
      <c r="AX232" s="407">
        <f>IF(Model!AX369&lt;&gt;"",Model!AX369,"")</f>
        <v>36607</v>
      </c>
      <c r="AY232" s="407">
        <f>IF(Model!AY369&lt;&gt;"",Model!AY369,"")</f>
        <v>36795</v>
      </c>
      <c r="AZ232" s="407" t="str">
        <f>IF(Model!AZ369&lt;&gt;"",Model!AZ369,"")</f>
        <v/>
      </c>
      <c r="BA232" s="407">
        <f>IF(Model!BA369&lt;&gt;"",Model!BA369,"")</f>
        <v>36970</v>
      </c>
      <c r="BB232" s="407">
        <f>IF(Model!BB369&lt;&gt;"",Model!BB369,"")</f>
        <v>37159</v>
      </c>
      <c r="BC232" s="407" t="str">
        <f>IF(Model!BC369&lt;&gt;"",Model!BC369,"")</f>
        <v/>
      </c>
      <c r="BD232" s="407">
        <v>37338</v>
      </c>
      <c r="BE232" s="407">
        <v>37521</v>
      </c>
      <c r="BF232" s="359"/>
      <c r="BG232" s="407">
        <v>37704</v>
      </c>
      <c r="BH232" s="407">
        <v>37887</v>
      </c>
      <c r="BI232" s="359"/>
      <c r="BJ232" s="407">
        <v>38070</v>
      </c>
      <c r="BK232" s="407">
        <v>38253</v>
      </c>
      <c r="BL232" s="359"/>
      <c r="BM232" s="359"/>
      <c r="BN232" s="359"/>
      <c r="BO232" s="359"/>
      <c r="BP232" s="359"/>
      <c r="BQ232" s="359"/>
      <c r="BR232" s="359"/>
      <c r="BS232" s="359"/>
      <c r="BT232" s="359"/>
      <c r="BU232" s="359"/>
      <c r="BV232" s="359"/>
      <c r="BW232" s="359"/>
      <c r="BX232" s="359"/>
      <c r="BY232" s="359"/>
      <c r="BZ232" s="359"/>
      <c r="CA232" s="359"/>
      <c r="CB232" s="359"/>
      <c r="CC232" s="359"/>
      <c r="CD232" s="359"/>
      <c r="CE232" s="359"/>
      <c r="CF232" s="359"/>
      <c r="CG232" s="359"/>
      <c r="CH232" s="359"/>
      <c r="CI232" s="359"/>
      <c r="CJ232" s="359"/>
      <c r="CK232" s="359"/>
      <c r="CL232" s="359"/>
      <c r="CM232" s="359"/>
      <c r="CN232" s="359"/>
      <c r="CO232" s="359"/>
      <c r="CP232" s="359"/>
      <c r="CQ232" s="359"/>
      <c r="CR232" s="359"/>
      <c r="CS232" s="359"/>
      <c r="CT232" s="359"/>
      <c r="CU232" s="359"/>
      <c r="CV232" s="359"/>
      <c r="CW232" s="359"/>
      <c r="CX232" s="359"/>
      <c r="CY232" s="359"/>
      <c r="CZ232" s="359"/>
      <c r="DA232" s="359"/>
      <c r="DB232" s="359"/>
      <c r="DC232" s="359"/>
      <c r="DD232" s="359"/>
      <c r="DE232" s="359"/>
      <c r="DF232" s="359"/>
      <c r="DG232" s="359"/>
      <c r="DH232" s="359"/>
      <c r="DI232" s="359"/>
      <c r="DJ232" s="359"/>
      <c r="DK232" s="1208"/>
      <c r="DL232" s="359"/>
      <c r="DM232" s="359"/>
      <c r="DN232" s="1208"/>
      <c r="DO232" s="359"/>
      <c r="DP232" s="359"/>
      <c r="DQ232" s="1208"/>
      <c r="DR232" s="359"/>
      <c r="DS232" s="359"/>
      <c r="DT232" s="1208"/>
      <c r="DU232" s="359"/>
      <c r="DV232" s="359"/>
      <c r="DW232" s="1208"/>
      <c r="DX232" s="359"/>
      <c r="DY232" s="359"/>
      <c r="DZ232" s="1208"/>
      <c r="EA232" s="359"/>
      <c r="EB232" s="359"/>
      <c r="EC232" s="1208"/>
      <c r="ED232" s="359"/>
      <c r="EE232" s="359"/>
      <c r="EF232" s="1208"/>
      <c r="EG232" s="359"/>
      <c r="EH232" s="359"/>
      <c r="EI232" s="1208"/>
      <c r="EJ232" s="359"/>
      <c r="EK232" s="359"/>
      <c r="EL232" s="1208"/>
      <c r="EM232" s="359"/>
      <c r="EN232" s="359"/>
      <c r="EO232" s="1208"/>
      <c r="EP232" s="359"/>
      <c r="EQ232" s="359"/>
      <c r="ER232" s="1208"/>
      <c r="ES232" s="359"/>
      <c r="ET232" s="359"/>
      <c r="EU232" s="1208"/>
      <c r="EV232" s="359"/>
      <c r="EW232" s="359"/>
      <c r="EX232" s="1208"/>
      <c r="EY232" s="359"/>
      <c r="EZ232" s="359"/>
      <c r="FA232" s="359"/>
    </row>
    <row r="233" spans="1:157" ht="13.35" customHeight="1">
      <c r="A233" s="5"/>
      <c r="B233" s="406" t="s">
        <v>392</v>
      </c>
      <c r="C233" s="5"/>
      <c r="D233" s="5"/>
      <c r="E233" s="408" t="str">
        <f>IF(Model!E359&lt;&gt;"",Model!E359,"")</f>
        <v/>
      </c>
      <c r="F233" s="408" t="str">
        <f>IF(Model!G359&lt;&gt;"",Model!F359,"")</f>
        <v/>
      </c>
      <c r="G233" s="408" t="str">
        <f>IF(Model!G359&lt;&gt;"",Model!G359,"")</f>
        <v/>
      </c>
      <c r="H233" s="408" t="str">
        <f>IF(Model!H359&lt;&gt;"",Model!H359,"")</f>
        <v/>
      </c>
      <c r="I233" s="408" t="str">
        <f>IF(Model!J359&lt;&gt;"",Model!I359,"")</f>
        <v/>
      </c>
      <c r="J233" s="408" t="str">
        <f>IF(Model!J359&lt;&gt;"",Model!J359,"")</f>
        <v/>
      </c>
      <c r="K233" s="408" t="str">
        <f>IF(Model!K359&lt;&gt;"",Model!K359,"")</f>
        <v/>
      </c>
      <c r="L233" s="408" t="str">
        <f>IF(Model!M359&lt;&gt;"",Model!L359,"")</f>
        <v/>
      </c>
      <c r="M233" s="408" t="str">
        <f>IF(Model!M359&lt;&gt;"",Model!M359,"")</f>
        <v/>
      </c>
      <c r="N233" s="408" t="str">
        <f>IF(Model!N359&lt;&gt;"",Model!N359,"")</f>
        <v/>
      </c>
      <c r="O233" s="408" t="str">
        <f>IF(Model!P359&lt;&gt;"",Model!O359,"")</f>
        <v/>
      </c>
      <c r="P233" s="408" t="str">
        <f>IF(Model!P359&lt;&gt;"",Model!P359,"")</f>
        <v/>
      </c>
      <c r="Q233" s="408" t="str">
        <f>IF(Model!Q359&lt;&gt;"",Model!Q359,"")</f>
        <v/>
      </c>
      <c r="R233" s="408" t="str">
        <f>IF(Model!S359&lt;&gt;"",Model!R359,"")</f>
        <v/>
      </c>
      <c r="S233" s="408" t="str">
        <f>IF(Model!S359&lt;&gt;"",Model!S359,"")</f>
        <v/>
      </c>
      <c r="T233" s="408" t="str">
        <f>IF(Model!T359&lt;&gt;"",Model!T359,"")</f>
        <v/>
      </c>
      <c r="U233" s="408" t="str">
        <f>IF(Model!V359&lt;&gt;"",Model!U359,"")</f>
        <v/>
      </c>
      <c r="V233" s="408" t="str">
        <f>IF(Model!V359&lt;&gt;"",Model!V359,"")</f>
        <v/>
      </c>
      <c r="W233" s="408" t="str">
        <f>IF(Model!W359&lt;&gt;"",Model!W359,"")</f>
        <v/>
      </c>
      <c r="X233" s="408" t="str">
        <f>IF(Model!Y359&lt;&gt;"",Model!X359,"")</f>
        <v/>
      </c>
      <c r="Y233" s="408" t="str">
        <f>IF(Model!Y359&lt;&gt;"",Model!Y359,"")</f>
        <v/>
      </c>
      <c r="Z233" s="408" t="str">
        <f>IF(Model!Z359&lt;&gt;"",Model!Z359,"")</f>
        <v/>
      </c>
      <c r="AA233" s="408" t="str">
        <f>IF(Model!AB359&lt;&gt;"",Model!AA359,"")</f>
        <v/>
      </c>
      <c r="AB233" s="408" t="str">
        <f>IF(Model!AB359&lt;&gt;"",Model!AB359,"")</f>
        <v/>
      </c>
      <c r="AC233" s="408" t="str">
        <f>IF(Model!AC359&lt;&gt;"",Model!AC359,"")</f>
        <v/>
      </c>
      <c r="AD233" s="408" t="str">
        <f>IF(Model!AE359&lt;&gt;"",Model!AD359,"")</f>
        <v/>
      </c>
      <c r="AE233" s="408" t="str">
        <f>IF(Model!AE359&lt;&gt;"",Model!AE359,"")</f>
        <v/>
      </c>
      <c r="AF233" s="408" t="str">
        <f>IF(Model!AF359&lt;&gt;"",Model!AF359,"")</f>
        <v/>
      </c>
      <c r="AG233" s="408" t="str">
        <f>IF(Model!AH359&lt;&gt;"",Model!AG359,"")</f>
        <v/>
      </c>
      <c r="AH233" s="408" t="str">
        <f>IF(Model!AH359&lt;&gt;"",Model!AH359,"")</f>
        <v/>
      </c>
      <c r="AI233" s="408" t="str">
        <f>IF(Model!AI359&lt;&gt;"",Model!AI359,"")</f>
        <v/>
      </c>
      <c r="AJ233" s="408" t="str">
        <f>IF(Model!AK359&lt;&gt;"",Model!AJ359,"")</f>
        <v/>
      </c>
      <c r="AK233" s="408" t="str">
        <f>IF(Model!AK359&lt;&gt;"",Model!AK359,"")</f>
        <v/>
      </c>
      <c r="AL233" s="408" t="str">
        <f>IF(Model!AL359&lt;&gt;"",Model!AL359,"")</f>
        <v/>
      </c>
      <c r="AM233" s="408" t="str">
        <f>IF(Model!AN359&lt;&gt;"",Model!AM359,"")</f>
        <v/>
      </c>
      <c r="AN233" s="408" t="str">
        <f>IF(Model!AN359&lt;&gt;"",Model!AN359,"")</f>
        <v/>
      </c>
      <c r="AO233" s="408" t="str">
        <f>IF(Model!AO359&lt;&gt;"",Model!AO359,"")</f>
        <v/>
      </c>
      <c r="AP233" s="408" t="str">
        <f>IF(Model!AQ359&lt;&gt;"",Model!AP359,"")</f>
        <v/>
      </c>
      <c r="AQ233" s="408" t="str">
        <f>IF(Model!AQ359&lt;&gt;"",Model!AQ359,"")</f>
        <v/>
      </c>
      <c r="AR233" s="408" t="str">
        <f>IF(Model!AR359&lt;&gt;"",Model!AR359,"")</f>
        <v/>
      </c>
      <c r="AS233" s="408" t="str">
        <f>IF(Model!AT359&lt;&gt;"",Model!AS359,"")</f>
        <v/>
      </c>
      <c r="AT233" s="408" t="str">
        <f>IF(Model!AT359&lt;&gt;"",Model!AT359,"")</f>
        <v/>
      </c>
      <c r="AU233" s="408" t="str">
        <f>IF(Model!AU359&lt;&gt;"",Model!AU359,"")</f>
        <v/>
      </c>
      <c r="AV233" s="408" t="str">
        <f>IF(Model!AW359&lt;&gt;"",Model!AV359,"")</f>
        <v/>
      </c>
      <c r="AW233" s="408" t="str">
        <f>IF(Model!AW359&lt;&gt;"",Model!AW359,"")</f>
        <v/>
      </c>
      <c r="AX233" s="408" t="str">
        <f>IF(Model!AX359&lt;&gt;"",Model!AX359,"")</f>
        <v/>
      </c>
      <c r="AY233" s="408" t="str">
        <f>IF(Model!AZ359&lt;&gt;"",Model!AY359,"")</f>
        <v/>
      </c>
      <c r="AZ233" s="408" t="str">
        <f>IF(Model!AZ359&lt;&gt;"",Model!AZ359,"")</f>
        <v/>
      </c>
      <c r="BA233" s="408" t="str">
        <f>IF(Model!BA359&lt;&gt;"",Model!BA359,"")</f>
        <v/>
      </c>
      <c r="BB233" s="408" t="str">
        <f>IF(Model!BC359&lt;&gt;"",Model!BB359,"")</f>
        <v/>
      </c>
      <c r="BC233" s="408" t="str">
        <f>IF(Model!BC359&lt;&gt;"",Model!BC359,"")</f>
        <v/>
      </c>
      <c r="BD233" s="408" t="str">
        <f>IF(OR(ISERROR(Model!BD359),Model!BD359=0),"",Model!BD359)</f>
        <v/>
      </c>
      <c r="BE233" s="408" t="str">
        <f>IF(OR(ISERROR(Model!BE359),Model!BE359=0),"",Model!BE359)</f>
        <v/>
      </c>
      <c r="BF233" s="408" t="str">
        <f>IF(OR(BD233&lt;&gt;"",BE233&lt;&gt;""),SUM(BD233:BE233),"")</f>
        <v/>
      </c>
      <c r="BG233" s="408" t="str">
        <f>IF(OR(ISERROR(Model!BG359),Model!BG359=0),"",Model!BG359)</f>
        <v/>
      </c>
      <c r="BH233" s="408" t="str">
        <f>IF(OR(ISERROR(Model!BH359),Model!BH359=0),"",Model!BH359)</f>
        <v/>
      </c>
      <c r="BI233" s="408" t="str">
        <f>IF(OR(BG233&lt;&gt;"",BH233&lt;&gt;""),SUM(BG233:BH233),"")</f>
        <v/>
      </c>
      <c r="BJ233" s="408" t="str">
        <f>IF(OR(ISERROR(Model!BJ359),Model!BJ359=0),"",Model!BJ359)</f>
        <v/>
      </c>
      <c r="BK233" s="408" t="str">
        <f>IF(OR(ISERROR(Model!BK359),Model!BK359=0),"",Model!BK359)</f>
        <v/>
      </c>
      <c r="BL233" s="408" t="str">
        <f>IF(OR(BJ233&lt;&gt;"",BK233&lt;&gt;""),SUM(BJ233:BK233),"")</f>
        <v/>
      </c>
      <c r="BM233" s="408" t="str">
        <f>IF(OR(ISERROR(Model!BM359),Model!BM359=0),"",Model!BM359)</f>
        <v/>
      </c>
      <c r="BN233" s="408" t="str">
        <f>IF(OR(ISERROR(Model!BN359),Model!BN359=0),"",Model!BN359)</f>
        <v/>
      </c>
      <c r="BO233" s="408" t="str">
        <f>IF(OR(BM233&lt;&gt;"",BN233&lt;&gt;""),SUM(BM233:BN233),"")</f>
        <v/>
      </c>
      <c r="BP233" s="408" t="str">
        <f>IF(OR(ISERROR(Model!BP359),Model!BP359=0),"",Model!BP359)</f>
        <v/>
      </c>
      <c r="BQ233" s="408" t="str">
        <f>IF(OR(ISERROR(Model!BQ359),Model!BQ359=0),"",Model!BQ359)</f>
        <v/>
      </c>
      <c r="BR233" s="408" t="str">
        <f>IF(OR(BP233&lt;&gt;"",BQ233&lt;&gt;""),SUM(BP233:BQ233),"")</f>
        <v/>
      </c>
      <c r="BS233" s="408" t="str">
        <f>IF(OR(ISERROR(Model!BS359),Model!BS359=0),"",Model!BS359)</f>
        <v/>
      </c>
      <c r="BT233" s="408" t="str">
        <f>IF(OR(ISERROR(Model!BT359),Model!BT359=0),"",Model!BT359)</f>
        <v/>
      </c>
      <c r="BU233" s="408" t="str">
        <f>IF(OR(BS233&lt;&gt;"",BT233&lt;&gt;""),SUM(BS233:BT233),"")</f>
        <v/>
      </c>
      <c r="BV233" s="408" t="str">
        <f>IF(OR(ISERROR(Model!BV359),Model!BV359=0),"",Model!BV359)</f>
        <v/>
      </c>
      <c r="BW233" s="408" t="str">
        <f>IF(OR(ISERROR(Model!BW359),Model!BW359=0),"",Model!BW359)</f>
        <v/>
      </c>
      <c r="BX233" s="408" t="str">
        <f>IF(OR(BV233&lt;&gt;"",BW233&lt;&gt;""),SUM(BV233:BW233),"")</f>
        <v/>
      </c>
      <c r="BY233" s="408" t="str">
        <f>IF(OR(ISERROR(Model!BY359),Model!BY359=0),"",Model!BY359)</f>
        <v/>
      </c>
      <c r="BZ233" s="408" t="str">
        <f>IF(OR(ISERROR(Model!BZ359),Model!BZ359=0),"",Model!BZ359)</f>
        <v/>
      </c>
      <c r="CA233" s="408" t="str">
        <f>IF(OR(BY233&lt;&gt;"",BZ233&lt;&gt;""),SUM(BY233:BZ233),"")</f>
        <v/>
      </c>
      <c r="CB233" s="408" t="str">
        <f>IF(OR(ISERROR(Model!CB359),Model!CB359=0),"",Model!CB359)</f>
        <v/>
      </c>
      <c r="CC233" s="408" t="str">
        <f>IF(OR(ISERROR(Model!CC359),Model!CC359=0),"",Model!CC359)</f>
        <v/>
      </c>
      <c r="CD233" s="408" t="str">
        <f>IF(OR(CB233&lt;&gt;"",CC233&lt;&gt;""),SUM(CB233:CC233),"")</f>
        <v/>
      </c>
      <c r="CE233" s="408" t="str">
        <f>IF(OR(ISERROR(Model!CE359),Model!CE359=0),"",Model!CE359)</f>
        <v/>
      </c>
      <c r="CF233" s="408" t="str">
        <f>IF(OR(ISERROR(Model!CF359),Model!CF359=0),"",Model!CF359)</f>
        <v/>
      </c>
      <c r="CG233" s="408" t="str">
        <f>IF(OR(CE233&lt;&gt;"",CF233&lt;&gt;""),SUM(CE233:CF233),"")</f>
        <v/>
      </c>
      <c r="CH233" s="408" t="str">
        <f>IF(OR(ISERROR(Model!CH359),Model!CH359=0),"",Model!CH359)</f>
        <v/>
      </c>
      <c r="CI233" s="408" t="str">
        <f>IF(OR(ISERROR(Model!CI359),Model!CI359=0),"",Model!CI359)</f>
        <v/>
      </c>
      <c r="CJ233" s="408" t="str">
        <f>IF(OR(CH233&lt;&gt;"",CI233&lt;&gt;""),SUM(CH233:CI233),"")</f>
        <v/>
      </c>
      <c r="CK233" s="408" t="str">
        <f>IF(OR(ISERROR(Model!CK359),Model!CK359=0),"",Model!CK359)</f>
        <v/>
      </c>
      <c r="CL233" s="408" t="str">
        <f>IF(OR(ISERROR(Model!CL359),Model!CL359=0),"",Model!CL359)</f>
        <v/>
      </c>
      <c r="CM233" s="408" t="str">
        <f>IF(OR(CK233&lt;&gt;"",CL233&lt;&gt;""),SUM(CK233:CL233),"")</f>
        <v/>
      </c>
      <c r="CN233" s="408" t="str">
        <f>IF(OR(ISERROR(Model!CN359),Model!CN359=0),"",Model!CN359)</f>
        <v/>
      </c>
      <c r="CO233" s="408" t="str">
        <f>IF(OR(ISERROR(Model!CO359),Model!CO359=0),"",Model!CO359)</f>
        <v/>
      </c>
      <c r="CP233" s="408" t="str">
        <f>IF(OR(CN233&lt;&gt;"",CO233&lt;&gt;""),SUM(CN233:CO233),"")</f>
        <v/>
      </c>
      <c r="CQ233" s="408" t="str">
        <f>IF(OR(ISERROR(Model!CQ359),Model!CQ359=0),"",Model!CQ359)</f>
        <v/>
      </c>
      <c r="CR233" s="408" t="str">
        <f>IF(OR(ISERROR(Model!CR359),Model!CR359=0),"",Model!CR359)</f>
        <v/>
      </c>
      <c r="CS233" s="408" t="str">
        <f>IF(OR(CQ233&lt;&gt;"",CR233&lt;&gt;""),SUM(CQ233:CR233),"")</f>
        <v/>
      </c>
      <c r="CT233" s="408" t="str">
        <f>IF(OR(ISERROR(Model!CT359),Model!CT359=0),"",Model!CT359)</f>
        <v/>
      </c>
      <c r="CU233" s="408" t="str">
        <f>IF(OR(ISERROR(Model!CU359),Model!CU359=0),"",Model!CU359)</f>
        <v/>
      </c>
      <c r="CV233" s="408" t="str">
        <f>IF(OR(CT233&lt;&gt;"",CU233&lt;&gt;""),SUM(CT233:CU233),"")</f>
        <v/>
      </c>
      <c r="CW233" s="408" t="str">
        <f>IF(OR(ISERROR(Model!CW359),Model!CW359=0),"",Model!CW359)</f>
        <v/>
      </c>
      <c r="CX233" s="408" t="str">
        <f>IF(OR(ISERROR(Model!CX359),Model!CX359=0),"",Model!CX359)</f>
        <v/>
      </c>
      <c r="CY233" s="408" t="str">
        <f>IF(OR(CW233&lt;&gt;"",CX233&lt;&gt;""),SUM(CW233:CX233),"")</f>
        <v/>
      </c>
      <c r="CZ233" s="408" t="str">
        <f>IF(OR(ISERROR(Model!CZ359),Model!CZ359=0),"",Model!CZ359)</f>
        <v/>
      </c>
      <c r="DA233" s="408" t="str">
        <f>IF(OR(ISERROR(Model!DA359),Model!DA359=0),"",Model!DA359)</f>
        <v/>
      </c>
      <c r="DB233" s="408" t="str">
        <f>IF(OR(CZ233&lt;&gt;"",DA233&lt;&gt;""),SUM(CZ233:DA233),"")</f>
        <v/>
      </c>
      <c r="DC233" s="408" t="str">
        <f>IF(OR(ISERROR(Model!DC359),Model!DC359=0),"",Model!DC359)</f>
        <v/>
      </c>
      <c r="DD233" s="408" t="str">
        <f>IF(OR(ISERROR(Model!DD359),Model!DD359=0),"",Model!DD359)</f>
        <v/>
      </c>
      <c r="DE233" s="408" t="str">
        <f>IF(OR(DC233&lt;&gt;"",DD233&lt;&gt;""),SUM(DC233:DD233),"")</f>
        <v/>
      </c>
      <c r="DF233" s="408" t="str">
        <f>IF(OR(ISERROR(Model!DF359),Model!DF359=0),"",Model!DF359)</f>
        <v/>
      </c>
      <c r="DG233" s="408" t="str">
        <f>IF(OR(ISERROR(Model!DG359),Model!DG359=0),"",Model!DG359)</f>
        <v/>
      </c>
      <c r="DH233" s="408" t="str">
        <f>IF(OR(DF233&lt;&gt;"",DG233&lt;&gt;""),SUM(DF233:DG233),"")</f>
        <v/>
      </c>
      <c r="DI233" s="408" t="str">
        <f>IF(OR(ISERROR(Model!DI359),Model!DI359=0),"",Model!DI359)</f>
        <v/>
      </c>
      <c r="DJ233" s="408" t="str">
        <f>IF(OR(ISERROR(Model!DJ359),Model!DJ359=0),"",Model!DJ359)</f>
        <v/>
      </c>
      <c r="DK233" s="1225" t="str">
        <f>IF(OR(DI233&lt;&gt;"",DJ233&lt;&gt;""),SUM(DI233:DJ233),"")</f>
        <v/>
      </c>
      <c r="DL233" s="408" t="str">
        <f>IF(OR(ISERROR(Model!DL359),Model!DL359=0),"",Model!DL359)</f>
        <v/>
      </c>
      <c r="DM233" s="408" t="str">
        <f>IF(OR(ISERROR(Model!DM359),Model!DM359=0),"",Model!DM359)</f>
        <v/>
      </c>
      <c r="DN233" s="1225" t="str">
        <f>IF(OR(DL233&lt;&gt;"",DM233&lt;&gt;""),SUM(DL233:DM233),"")</f>
        <v/>
      </c>
      <c r="DO233" s="408" t="str">
        <f>IF(OR(ISERROR(Model!DO359),Model!DO359=0),"",Model!DO359)</f>
        <v/>
      </c>
      <c r="DP233" s="408" t="str">
        <f>IF(OR(ISERROR(Model!DP359),Model!DP359=0),"",Model!DP359)</f>
        <v/>
      </c>
      <c r="DQ233" s="1225" t="str">
        <f>IF(OR(DO233&lt;&gt;"",DP233&lt;&gt;""),SUM(DO233:DP233),"")</f>
        <v/>
      </c>
      <c r="DR233" s="408" t="str">
        <f>IF(OR(ISERROR(Model!DR359),Model!DR359=0),"",Model!DR359)</f>
        <v/>
      </c>
      <c r="DS233" s="408" t="str">
        <f>IF(OR(ISERROR(Model!DS359),Model!DS359=0),"",Model!DS359)</f>
        <v/>
      </c>
      <c r="DT233" s="1225" t="str">
        <f>IF(OR(DR233&lt;&gt;"",DS233&lt;&gt;""),SUM(DR233:DS233),"")</f>
        <v/>
      </c>
      <c r="DU233" s="408" t="str">
        <f>IF(OR(ISERROR(Model!DU359),Model!DU359=0),"",Model!DU359)</f>
        <v/>
      </c>
      <c r="DV233" s="408" t="str">
        <f>IF(OR(ISERROR(Model!DV359),Model!DV359=0),"",Model!DV359)</f>
        <v/>
      </c>
      <c r="DW233" s="1225" t="str">
        <f>IF(OR(DU233&lt;&gt;"",DV233&lt;&gt;""),SUM(DU233:DV233),"")</f>
        <v/>
      </c>
      <c r="DX233" s="408" t="str">
        <f>IF(OR(ISERROR(Model!DX359),Model!DX359=0),"",Model!DX359)</f>
        <v/>
      </c>
      <c r="DY233" s="408" t="str">
        <f>IF(OR(ISERROR(Model!DY359),Model!DY359=0),"",Model!DY359)</f>
        <v/>
      </c>
      <c r="DZ233" s="1225" t="str">
        <f>IF(OR(DX233&lt;&gt;"",DY233&lt;&gt;""),SUM(DX233:DY233),"")</f>
        <v/>
      </c>
      <c r="EA233" s="408" t="str">
        <f>IF(OR(ISERROR(Model!EA359),Model!EA359=0),"",Model!EA359)</f>
        <v/>
      </c>
      <c r="EB233" s="408" t="str">
        <f>IF(OR(ISERROR(Model!EB359),Model!EB359=0),"",Model!EB359)</f>
        <v/>
      </c>
      <c r="EC233" s="1225" t="str">
        <f>IF(OR(EA233&lt;&gt;"",EB233&lt;&gt;""),SUM(EA233:EB233),"")</f>
        <v/>
      </c>
      <c r="ED233" s="408" t="str">
        <f>IF(OR(ISERROR(Model!ED359),Model!ED359=0),"",Model!ED359)</f>
        <v/>
      </c>
      <c r="EE233" s="408" t="str">
        <f>IF(OR(ISERROR(Model!EE359),Model!EE359=0),"",Model!EE359)</f>
        <v/>
      </c>
      <c r="EF233" s="1225" t="str">
        <f>IF(OR(ED233&lt;&gt;"",EE233&lt;&gt;""),SUM(ED233:EE233),"")</f>
        <v/>
      </c>
      <c r="EG233" s="408" t="str">
        <f>IF(OR(ISERROR(Model!EG359),Model!EG359=0),"",Model!EG359)</f>
        <v/>
      </c>
      <c r="EH233" s="408" t="str">
        <f>IF(OR(ISERROR(Model!EH359),Model!EH359=0),"",Model!EH359)</f>
        <v/>
      </c>
      <c r="EI233" s="1225" t="str">
        <f>IF(OR(EG233&lt;&gt;"",EH233&lt;&gt;""),SUM(EG233:EH233),"")</f>
        <v/>
      </c>
      <c r="EJ233" s="408" t="str">
        <f>IF(OR(ISERROR(Model!EJ359),Model!EJ359=0),"",Model!EJ359)</f>
        <v/>
      </c>
      <c r="EK233" s="408" t="str">
        <f>IF(OR(ISERROR(Model!EK359),Model!EK359=0),"",Model!EK359)</f>
        <v/>
      </c>
      <c r="EL233" s="1225" t="str">
        <f>IF(OR(EJ233&lt;&gt;"",EK233&lt;&gt;""),SUM(EJ233:EK233),"")</f>
        <v/>
      </c>
      <c r="EM233" s="408" t="str">
        <f>IF(OR(ISERROR(Model!EM359),Model!EM359=0),"",Model!EM359)</f>
        <v/>
      </c>
      <c r="EN233" s="408" t="str">
        <f>IF(OR(ISERROR(Model!EN359),Model!EN359=0),"",Model!EN359)</f>
        <v/>
      </c>
      <c r="EO233" s="1225" t="str">
        <f>IF(OR(EM233&lt;&gt;"",EN233&lt;&gt;""),SUM(EM233:EN233),"")</f>
        <v/>
      </c>
      <c r="EP233" s="408" t="str">
        <f>IF(OR(ISERROR(Model!EP359),Model!EP359=0),"",Model!EP359)</f>
        <v/>
      </c>
      <c r="EQ233" s="408" t="str">
        <f>IF(OR(ISERROR(Model!EQ359),Model!EQ359=0),"",Model!EQ359)</f>
        <v/>
      </c>
      <c r="ER233" s="1225" t="str">
        <f>IF(OR(EP233&lt;&gt;"",EQ233&lt;&gt;""),SUM(EP233:EQ233),"")</f>
        <v/>
      </c>
      <c r="ES233" s="408" t="str">
        <f>IF(OR(ISERROR(Model!ES359),Model!ES359=0),"",Model!ES359)</f>
        <v/>
      </c>
      <c r="ET233" s="408" t="str">
        <f>IF(OR(ISERROR(Model!ET359),Model!ET359=0),"",Model!ET359)</f>
        <v/>
      </c>
      <c r="EU233" s="1225" t="str">
        <f>IF(OR(ES233&lt;&gt;"",ET233&lt;&gt;""),SUM(ES233:ET233),"")</f>
        <v/>
      </c>
      <c r="EV233" s="408" t="str">
        <f>IF(OR(ISERROR(Model!EV359),Model!EV359=0),"",Model!EV359)</f>
        <v/>
      </c>
      <c r="EW233" s="408" t="str">
        <f>IF(OR(ISERROR(Model!EW359),Model!EW359=0),"",Model!EW359)</f>
        <v/>
      </c>
      <c r="EX233" s="1225" t="str">
        <f>IF(OR(EV233&lt;&gt;"",EW233&lt;&gt;""),SUM(EV233:EW233),"")</f>
        <v/>
      </c>
      <c r="EY233" s="408" t="str">
        <f>IF(OR(ISERROR(Model!EY359),Model!EY359=0),"",Model!EY359)</f>
        <v/>
      </c>
      <c r="EZ233" s="408" t="str">
        <f>IF(OR(ISERROR(Model!EZ359),Model!EZ359=0),"",Model!EZ359)</f>
        <v/>
      </c>
      <c r="FA233" s="408" t="str">
        <f>IF(OR(EY233&lt;&gt;"",EZ233&lt;&gt;""),SUM(EY233:EZ233),"")</f>
        <v/>
      </c>
    </row>
    <row r="234" spans="1:157" ht="13.35" customHeight="1">
      <c r="A234" s="5"/>
      <c r="B234" s="5" t="s">
        <v>393</v>
      </c>
      <c r="C234" s="5"/>
      <c r="D234" s="5"/>
      <c r="E234" s="359"/>
      <c r="F234" s="359"/>
      <c r="G234" s="359"/>
      <c r="H234" s="359"/>
      <c r="I234" s="359"/>
      <c r="J234" s="359"/>
      <c r="K234" s="359"/>
      <c r="L234" s="359"/>
      <c r="M234" s="359"/>
      <c r="N234" s="359"/>
      <c r="O234" s="359"/>
      <c r="P234" s="359"/>
      <c r="Q234" s="359"/>
      <c r="R234" s="359"/>
      <c r="S234" s="359"/>
      <c r="T234" s="359"/>
      <c r="U234" s="359"/>
      <c r="V234" s="359"/>
      <c r="W234" s="359"/>
      <c r="X234" s="359"/>
      <c r="Y234" s="359"/>
      <c r="Z234" s="359"/>
      <c r="AA234" s="359"/>
      <c r="AB234" s="359"/>
      <c r="AC234" s="359"/>
      <c r="AD234" s="359"/>
      <c r="AE234" s="359"/>
      <c r="AF234" s="359"/>
      <c r="AG234" s="359"/>
      <c r="AH234" s="359"/>
      <c r="AI234" s="359"/>
      <c r="AJ234" s="359"/>
      <c r="AK234" s="359"/>
      <c r="AL234" s="359"/>
      <c r="AM234" s="359"/>
      <c r="AN234" s="359"/>
      <c r="AO234" s="359"/>
      <c r="AP234" s="359"/>
      <c r="AQ234" s="359"/>
      <c r="AR234" s="359"/>
      <c r="AS234" s="359"/>
      <c r="AT234" s="359"/>
      <c r="AU234" s="359"/>
      <c r="AV234" s="359"/>
      <c r="AW234" s="359"/>
      <c r="AX234" s="359"/>
      <c r="AY234" s="359"/>
      <c r="AZ234" s="359"/>
      <c r="BA234" s="359"/>
      <c r="BB234" s="359"/>
      <c r="BC234" s="359"/>
      <c r="BD234" s="359"/>
      <c r="BE234" s="359"/>
      <c r="BF234" s="359"/>
      <c r="BG234" s="359"/>
      <c r="BH234" s="359"/>
      <c r="BI234" s="359"/>
      <c r="BJ234" s="359"/>
      <c r="BK234" s="359"/>
      <c r="BL234" s="359"/>
      <c r="BM234" s="359"/>
      <c r="BN234" s="359"/>
      <c r="BO234" s="359"/>
      <c r="BP234" s="359"/>
      <c r="BQ234" s="359"/>
      <c r="BR234" s="359"/>
      <c r="BS234" s="359"/>
      <c r="BT234" s="359"/>
      <c r="BU234" s="359"/>
      <c r="BV234" s="359"/>
      <c r="BW234" s="359"/>
      <c r="BX234" s="359"/>
      <c r="BY234" s="359"/>
      <c r="BZ234" s="359"/>
      <c r="CA234" s="359"/>
      <c r="CB234" s="359"/>
      <c r="CC234" s="359"/>
      <c r="CD234" s="359"/>
      <c r="CE234" s="359"/>
      <c r="CF234" s="359"/>
      <c r="CG234" s="359"/>
      <c r="CH234" s="359"/>
      <c r="CI234" s="359"/>
      <c r="CJ234" s="359"/>
      <c r="CK234" s="359"/>
      <c r="CL234" s="359"/>
      <c r="CM234" s="359"/>
      <c r="CN234" s="359"/>
      <c r="CO234" s="359"/>
      <c r="CP234" s="359"/>
      <c r="CQ234" s="359"/>
      <c r="CR234" s="359"/>
      <c r="CS234" s="359"/>
      <c r="CT234" s="359"/>
      <c r="CU234" s="359"/>
      <c r="CV234" s="359"/>
      <c r="CW234" s="359"/>
      <c r="CX234" s="359"/>
      <c r="CY234" s="359"/>
      <c r="CZ234" s="359"/>
      <c r="DA234" s="359"/>
      <c r="DB234" s="359"/>
      <c r="DC234" s="359"/>
      <c r="DD234" s="359"/>
      <c r="DE234" s="359"/>
      <c r="DF234" s="359"/>
      <c r="DG234" s="359"/>
      <c r="DH234" s="359"/>
      <c r="DI234" s="359"/>
      <c r="DJ234" s="359"/>
      <c r="DK234" s="1208"/>
      <c r="DL234" s="359"/>
      <c r="DM234" s="359"/>
      <c r="DN234" s="1208"/>
      <c r="DO234" s="359"/>
      <c r="DP234" s="359"/>
      <c r="DQ234" s="1208"/>
      <c r="DR234" s="359"/>
      <c r="DS234" s="359"/>
      <c r="DT234" s="1208"/>
      <c r="DU234" s="359"/>
      <c r="DV234" s="359"/>
      <c r="DW234" s="1208"/>
      <c r="DX234" s="359"/>
      <c r="DY234" s="359"/>
      <c r="DZ234" s="1208"/>
      <c r="EA234" s="359"/>
      <c r="EB234" s="359"/>
      <c r="EC234" s="1208"/>
      <c r="ED234" s="359"/>
      <c r="EE234" s="359"/>
      <c r="EF234" s="1208"/>
      <c r="EG234" s="359"/>
      <c r="EH234" s="359"/>
      <c r="EI234" s="1208"/>
      <c r="EJ234" s="359"/>
      <c r="EK234" s="359"/>
      <c r="EL234" s="1208"/>
      <c r="EM234" s="359"/>
      <c r="EN234" s="359"/>
      <c r="EO234" s="1208"/>
      <c r="EP234" s="359"/>
      <c r="EQ234" s="359"/>
      <c r="ER234" s="1208"/>
      <c r="ES234" s="359"/>
      <c r="ET234" s="359"/>
      <c r="EU234" s="1208"/>
      <c r="EV234" s="359"/>
      <c r="EW234" s="359"/>
      <c r="EX234" s="1208"/>
      <c r="EY234" s="359"/>
      <c r="EZ234" s="359"/>
      <c r="FA234" s="359"/>
    </row>
    <row r="235" spans="1:157" ht="13.35" customHeight="1">
      <c r="A235" s="5"/>
      <c r="B235" s="5"/>
      <c r="C235" s="5"/>
      <c r="D235" s="5"/>
      <c r="E235" s="359"/>
      <c r="F235" s="359"/>
      <c r="G235" s="359"/>
      <c r="H235" s="359"/>
      <c r="I235" s="359"/>
      <c r="J235" s="359"/>
      <c r="K235" s="359"/>
      <c r="L235" s="359"/>
      <c r="M235" s="359"/>
      <c r="N235" s="359"/>
      <c r="O235" s="359"/>
      <c r="P235" s="359"/>
      <c r="Q235" s="359"/>
      <c r="R235" s="359"/>
      <c r="S235" s="359"/>
      <c r="T235" s="359"/>
      <c r="U235" s="359"/>
      <c r="V235" s="359"/>
      <c r="W235" s="359"/>
      <c r="X235" s="359"/>
      <c r="Y235" s="359"/>
      <c r="Z235" s="359"/>
      <c r="AA235" s="359"/>
      <c r="AB235" s="359"/>
      <c r="AC235" s="359"/>
      <c r="AD235" s="359"/>
      <c r="AE235" s="359"/>
      <c r="AF235" s="359"/>
      <c r="AG235" s="359"/>
      <c r="AH235" s="359"/>
      <c r="AI235" s="359"/>
      <c r="AJ235" s="359"/>
      <c r="AK235" s="359"/>
      <c r="AL235" s="359"/>
      <c r="AM235" s="359"/>
      <c r="AN235" s="359"/>
      <c r="AO235" s="359"/>
      <c r="AP235" s="359"/>
      <c r="AQ235" s="359"/>
      <c r="AR235" s="359"/>
      <c r="AS235" s="359"/>
      <c r="AT235" s="359"/>
      <c r="AU235" s="359"/>
      <c r="AV235" s="359"/>
      <c r="AW235" s="359"/>
      <c r="AX235" s="359"/>
      <c r="AY235" s="359"/>
      <c r="AZ235" s="359"/>
      <c r="BA235" s="359"/>
      <c r="BB235" s="359"/>
      <c r="BC235" s="359"/>
      <c r="BD235" s="359"/>
      <c r="BE235" s="359"/>
      <c r="BF235" s="359"/>
      <c r="BG235" s="359"/>
      <c r="BH235" s="359"/>
      <c r="BI235" s="359"/>
      <c r="BJ235" s="359"/>
      <c r="BK235" s="359"/>
      <c r="BL235" s="359"/>
      <c r="BM235" s="359"/>
      <c r="BN235" s="359"/>
      <c r="BO235" s="359"/>
      <c r="BP235" s="359"/>
      <c r="BQ235" s="359"/>
      <c r="BR235" s="359"/>
      <c r="BS235" s="359"/>
      <c r="BT235" s="359"/>
      <c r="BU235" s="359"/>
      <c r="BV235" s="359"/>
      <c r="BW235" s="359">
        <f>Model!BW329</f>
        <v>133.29599999999999</v>
      </c>
      <c r="BX235" s="359">
        <f>Model!BX329</f>
        <v>133.29599999999999</v>
      </c>
      <c r="BY235" s="359">
        <f>Model!BY329</f>
        <v>134.36599999999999</v>
      </c>
      <c r="BZ235" s="359">
        <f>Model!BZ329</f>
        <v>108.56699999999999</v>
      </c>
      <c r="CA235" s="359">
        <f>Model!CA329</f>
        <v>108.56699999999999</v>
      </c>
      <c r="CB235" s="359">
        <f>Model!CB329</f>
        <v>68.890999999999991</v>
      </c>
      <c r="CC235" s="359">
        <f>Model!CC329</f>
        <v>113.93700000000001</v>
      </c>
      <c r="CD235" s="359">
        <f>Model!CD329</f>
        <v>113.93700000000001</v>
      </c>
      <c r="CE235" s="359">
        <f>Model!CE329</f>
        <v>17.378000000000007</v>
      </c>
      <c r="CF235" s="359">
        <f>Model!CF329</f>
        <v>-9.3830000000000027</v>
      </c>
      <c r="CG235" s="359">
        <f>Model!CG329</f>
        <v>-9.3830000000000027</v>
      </c>
      <c r="CH235" s="359">
        <f>Model!CH329</f>
        <v>8.5300000000000153</v>
      </c>
      <c r="CI235" s="359">
        <f>Model!CI329</f>
        <v>-2.8140000000000072</v>
      </c>
      <c r="CJ235" s="359">
        <f>Model!CJ329</f>
        <v>-2.8140000000000072</v>
      </c>
      <c r="CK235" s="359">
        <f>Model!CK329</f>
        <v>72.52300000000001</v>
      </c>
      <c r="CL235" s="359">
        <f>Model!CL329</f>
        <v>117.78</v>
      </c>
      <c r="CM235" s="359">
        <f>Model!CM329</f>
        <v>117.78</v>
      </c>
      <c r="CN235" s="359">
        <f>Model!CN329</f>
        <v>166.32900000000001</v>
      </c>
      <c r="CO235" s="359">
        <f>Model!CO329</f>
        <v>181.28799999999998</v>
      </c>
      <c r="CP235" s="359">
        <f>Model!CP329</f>
        <v>181.28799999999998</v>
      </c>
      <c r="CQ235" s="359">
        <f>Model!CQ329</f>
        <v>171.607</v>
      </c>
      <c r="CR235" s="359">
        <f>Model!CR329</f>
        <v>140.50299999999999</v>
      </c>
      <c r="CS235" s="359">
        <f>Model!CS329</f>
        <v>140.50299999999999</v>
      </c>
      <c r="CT235" s="359">
        <f>Model!CT329</f>
        <v>132.86199999999999</v>
      </c>
      <c r="CU235" s="359">
        <f>Model!CU329</f>
        <v>117.821</v>
      </c>
      <c r="CV235" s="359">
        <f>Model!CV329</f>
        <v>117.821</v>
      </c>
      <c r="CW235" s="359">
        <f>Model!CW329</f>
        <v>93.527999999999977</v>
      </c>
      <c r="CX235" s="359">
        <f>Model!CX329</f>
        <v>129.38200000000001</v>
      </c>
      <c r="CY235" s="359">
        <f>Model!CY329</f>
        <v>129.38200000000001</v>
      </c>
      <c r="CZ235" s="359">
        <f>Model!CZ329</f>
        <v>137.1</v>
      </c>
      <c r="DA235" s="359">
        <f>Model!DA329</f>
        <v>86.199999999999989</v>
      </c>
      <c r="DB235" s="359">
        <f>Model!DB329</f>
        <v>86.199999999999989</v>
      </c>
      <c r="DC235" s="359">
        <f>Model!DC329</f>
        <v>72.7</v>
      </c>
      <c r="DD235" s="359">
        <f>Model!DD329</f>
        <v>103.00000000000003</v>
      </c>
      <c r="DE235" s="359">
        <f>Model!DE329</f>
        <v>103.00000000000003</v>
      </c>
      <c r="DF235" s="359"/>
      <c r="DG235" s="359"/>
      <c r="DH235" s="359"/>
      <c r="DI235" s="359"/>
      <c r="DJ235" s="359"/>
      <c r="DK235" s="1208"/>
      <c r="DL235" s="359"/>
      <c r="DM235" s="359"/>
      <c r="DN235" s="1208"/>
      <c r="DO235" s="359"/>
      <c r="DP235" s="359"/>
      <c r="DQ235" s="1208"/>
      <c r="DR235" s="359"/>
      <c r="DS235" s="359"/>
      <c r="DT235" s="1208"/>
      <c r="DU235" s="359"/>
      <c r="DV235" s="359"/>
      <c r="DW235" s="1208"/>
      <c r="DX235" s="359"/>
      <c r="DY235" s="359"/>
      <c r="DZ235" s="1208"/>
      <c r="EA235" s="359"/>
      <c r="EB235" s="359"/>
      <c r="EC235" s="1208"/>
      <c r="ED235" s="359"/>
      <c r="EE235" s="359"/>
      <c r="EF235" s="1208"/>
      <c r="EG235" s="359"/>
      <c r="EH235" s="359"/>
      <c r="EI235" s="1208"/>
      <c r="EJ235" s="359"/>
      <c r="EK235" s="359"/>
      <c r="EL235" s="1208"/>
      <c r="EM235" s="359"/>
      <c r="EN235" s="359"/>
      <c r="EO235" s="1208"/>
      <c r="EP235" s="359"/>
      <c r="EQ235" s="359"/>
      <c r="ER235" s="1208"/>
      <c r="ES235" s="359"/>
      <c r="ET235" s="359"/>
      <c r="EU235" s="1208"/>
      <c r="EV235" s="359"/>
      <c r="EW235" s="359"/>
      <c r="EX235" s="1208"/>
      <c r="EY235" s="359"/>
      <c r="EZ235" s="359"/>
      <c r="FA235" s="359"/>
    </row>
    <row r="236" spans="1:157" ht="13.35" customHeight="1">
      <c r="A236" s="5"/>
      <c r="B236" s="5" t="s">
        <v>911</v>
      </c>
      <c r="C236" s="5"/>
      <c r="D236" s="5"/>
      <c r="E236" s="359"/>
      <c r="F236" s="359"/>
      <c r="G236" s="359"/>
      <c r="H236" s="359"/>
      <c r="I236" s="359"/>
      <c r="J236" s="359"/>
      <c r="K236" s="359"/>
      <c r="L236" s="359"/>
      <c r="M236" s="359"/>
      <c r="N236" s="359"/>
      <c r="O236" s="359"/>
      <c r="P236" s="359"/>
      <c r="Q236" s="359"/>
      <c r="R236" s="359"/>
      <c r="S236" s="359"/>
      <c r="T236" s="359"/>
      <c r="U236" s="359"/>
      <c r="V236" s="359"/>
      <c r="W236" s="359"/>
      <c r="X236" s="359"/>
      <c r="Y236" s="359"/>
      <c r="Z236" s="359"/>
      <c r="AA236" s="359"/>
      <c r="AB236" s="359"/>
      <c r="AC236" s="359"/>
      <c r="AD236" s="359"/>
      <c r="AE236" s="359"/>
      <c r="AF236" s="359"/>
      <c r="AG236" s="359"/>
      <c r="AH236" s="359"/>
      <c r="AI236" s="359"/>
      <c r="AJ236" s="359"/>
      <c r="AK236" s="359"/>
      <c r="AL236" s="359"/>
      <c r="AM236" s="359"/>
      <c r="AN236" s="359"/>
      <c r="AO236" s="359"/>
      <c r="AP236" s="359"/>
      <c r="AQ236" s="359"/>
      <c r="AR236" s="359"/>
      <c r="AS236" s="359"/>
      <c r="AT236" s="359"/>
      <c r="AU236" s="359"/>
      <c r="AV236" s="359"/>
      <c r="AW236" s="359"/>
      <c r="AX236" s="359"/>
      <c r="AY236" s="359"/>
      <c r="AZ236" s="359"/>
      <c r="BA236" s="359"/>
      <c r="BB236" s="359"/>
      <c r="BC236" s="359"/>
      <c r="BD236" s="359"/>
      <c r="BE236" s="359"/>
      <c r="BF236" s="359"/>
      <c r="BG236" s="359"/>
      <c r="BH236" s="359"/>
      <c r="BI236" s="359"/>
      <c r="BJ236" s="359"/>
      <c r="BK236" s="359"/>
      <c r="BL236" s="359"/>
      <c r="BM236" s="359"/>
      <c r="BN236" s="359"/>
      <c r="BO236" s="359"/>
      <c r="BP236" s="359"/>
      <c r="BQ236" s="359"/>
      <c r="BR236" s="359"/>
      <c r="BS236" s="359"/>
      <c r="BT236" s="359"/>
      <c r="BU236" s="359"/>
      <c r="BV236" s="359"/>
      <c r="BW236" s="203">
        <f>Model!BW328</f>
        <v>0.29448763578761789</v>
      </c>
      <c r="BX236" s="203">
        <f>Model!BX328</f>
        <v>0.29448763578761789</v>
      </c>
      <c r="BY236" s="203">
        <f>Model!BY328</f>
        <v>0.32309227532311391</v>
      </c>
      <c r="BZ236" s="203">
        <f>Model!BZ328</f>
        <v>0.22962514884697788</v>
      </c>
      <c r="CA236" s="203">
        <f>Model!CA328</f>
        <v>0.22962514884697788</v>
      </c>
      <c r="CB236" s="203">
        <f>Model!CB328</f>
        <v>0.14534150221310818</v>
      </c>
      <c r="CC236" s="203">
        <f>Model!CC328</f>
        <v>0.20631603726606851</v>
      </c>
      <c r="CD236" s="203">
        <f>Model!CD328</f>
        <v>0.20631603726606851</v>
      </c>
      <c r="CE236" s="203">
        <f>Model!CE328</f>
        <v>3.4426810834797678E-2</v>
      </c>
      <c r="CF236" s="203">
        <f>Model!CF328</f>
        <v>-1.89977728285078E-2</v>
      </c>
      <c r="CG236" s="203">
        <f>Model!CG328</f>
        <v>-1.89977728285078E-2</v>
      </c>
      <c r="CH236" s="203">
        <f>Model!CH328</f>
        <v>2.1125469936450262E-2</v>
      </c>
      <c r="CI236" s="203">
        <f>Model!CI328</f>
        <v>-7.3652196217407657E-3</v>
      </c>
      <c r="CJ236" s="203">
        <f>Model!CJ328</f>
        <v>-7.3652196217407657E-3</v>
      </c>
      <c r="CK236" s="203">
        <f>Model!CK328</f>
        <v>0.15643003970984423</v>
      </c>
      <c r="CL236" s="203">
        <f>Model!CL328</f>
        <v>0.24811825748431093</v>
      </c>
      <c r="CM236" s="203">
        <f>Model!CM328</f>
        <v>0.24811825748431093</v>
      </c>
      <c r="CN236" s="203">
        <f>Model!CN328</f>
        <v>0.34031439321863277</v>
      </c>
      <c r="CO236" s="203">
        <f>Model!CO328</f>
        <v>0.35512338073195909</v>
      </c>
      <c r="CP236" s="203">
        <f>Model!CP328</f>
        <v>0.35512338073195909</v>
      </c>
      <c r="CQ236" s="203">
        <f>Model!CQ328</f>
        <v>0.3480498039764488</v>
      </c>
      <c r="CR236" s="203">
        <f>Model!CR328</f>
        <v>0.28333558518136115</v>
      </c>
      <c r="CS236" s="203">
        <f>Model!CS328</f>
        <v>0.28333558518136115</v>
      </c>
      <c r="CT236" s="203">
        <f>Model!CT328</f>
        <v>0.24235735771341846</v>
      </c>
      <c r="CU236" s="203">
        <f>Model!CU328</f>
        <v>0.20802538234182824</v>
      </c>
      <c r="CV236" s="203">
        <f>Model!CV328</f>
        <v>0.20802538234182824</v>
      </c>
      <c r="CW236" s="203">
        <f>Model!CW328</f>
        <v>0.16091863051927605</v>
      </c>
      <c r="CX236" s="203">
        <f>Model!CX328</f>
        <v>0.19223837308644948</v>
      </c>
      <c r="CY236" s="203">
        <f>Model!CY328</f>
        <v>0.19223837308644948</v>
      </c>
      <c r="CZ236" s="203">
        <f>Model!CZ328</f>
        <v>0.19258322798145808</v>
      </c>
      <c r="DA236" s="203">
        <f>Model!DA328</f>
        <v>0.12367288378766139</v>
      </c>
      <c r="DB236" s="203">
        <f>Model!DB328</f>
        <v>0.12367288378766139</v>
      </c>
      <c r="DC236" s="203">
        <f>Model!DC328</f>
        <v>0.10011016248967226</v>
      </c>
      <c r="DD236" s="203">
        <f>Model!DD328</f>
        <v>0.12426106888647609</v>
      </c>
      <c r="DE236" s="203">
        <f>Model!DE328</f>
        <v>0.12426106888647609</v>
      </c>
      <c r="DF236" s="359"/>
      <c r="DG236" s="359"/>
      <c r="DH236" s="359"/>
      <c r="DI236" s="359"/>
      <c r="DJ236" s="359"/>
      <c r="DK236" s="1208"/>
      <c r="DL236" s="359"/>
      <c r="DM236" s="359"/>
      <c r="DN236" s="1208"/>
      <c r="DO236" s="359"/>
      <c r="DP236" s="359"/>
      <c r="DQ236" s="1208"/>
      <c r="DR236" s="359"/>
      <c r="DS236" s="359"/>
      <c r="DT236" s="1208"/>
      <c r="DU236" s="359"/>
      <c r="DV236" s="359"/>
      <c r="DW236" s="1208"/>
      <c r="DX236" s="359"/>
      <c r="DY236" s="359"/>
      <c r="DZ236" s="1208"/>
      <c r="EA236" s="359"/>
      <c r="EB236" s="359"/>
      <c r="EC236" s="1208"/>
      <c r="ED236" s="359"/>
      <c r="EE236" s="359"/>
      <c r="EF236" s="1208"/>
      <c r="EG236" s="359"/>
      <c r="EH236" s="359"/>
      <c r="EI236" s="1208"/>
      <c r="EJ236" s="359"/>
      <c r="EK236" s="359"/>
      <c r="EL236" s="1208"/>
      <c r="EM236" s="359"/>
      <c r="EN236" s="359"/>
      <c r="EO236" s="1208"/>
      <c r="EP236" s="359"/>
      <c r="EQ236" s="359"/>
      <c r="ER236" s="1208"/>
      <c r="ES236" s="359"/>
      <c r="ET236" s="359"/>
      <c r="EU236" s="1208"/>
      <c r="EV236" s="359"/>
      <c r="EW236" s="359"/>
      <c r="EX236" s="1208"/>
      <c r="EY236" s="359"/>
      <c r="EZ236" s="359"/>
      <c r="FA236" s="359"/>
    </row>
    <row r="237" spans="1:157" ht="13.35" customHeight="1">
      <c r="A237" s="5"/>
      <c r="B237" s="5"/>
      <c r="C237" s="5"/>
      <c r="D237" s="5"/>
      <c r="E237" s="359"/>
      <c r="F237" s="359"/>
      <c r="G237" s="359"/>
      <c r="H237" s="359"/>
      <c r="I237" s="359"/>
      <c r="J237" s="359"/>
      <c r="K237" s="359"/>
      <c r="L237" s="359"/>
      <c r="M237" s="359"/>
      <c r="N237" s="359"/>
      <c r="O237" s="359"/>
      <c r="P237" s="359"/>
      <c r="Q237" s="359"/>
      <c r="R237" s="359"/>
      <c r="S237" s="359"/>
      <c r="T237" s="359"/>
      <c r="U237" s="359"/>
      <c r="V237" s="359"/>
      <c r="W237" s="359"/>
      <c r="X237" s="359"/>
      <c r="Y237" s="359"/>
      <c r="Z237" s="359"/>
      <c r="AA237" s="359"/>
      <c r="AB237" s="359"/>
      <c r="AC237" s="359"/>
      <c r="AD237" s="359"/>
      <c r="AE237" s="359"/>
      <c r="AF237" s="359"/>
      <c r="AG237" s="359"/>
      <c r="AH237" s="359"/>
      <c r="AI237" s="359"/>
      <c r="AJ237" s="359"/>
      <c r="AK237" s="359"/>
      <c r="AL237" s="359"/>
      <c r="AM237" s="359"/>
      <c r="AN237" s="359"/>
      <c r="AO237" s="359"/>
      <c r="AP237" s="359"/>
      <c r="AQ237" s="359"/>
      <c r="AR237" s="359"/>
      <c r="AS237" s="359"/>
      <c r="AT237" s="359"/>
      <c r="AU237" s="359"/>
      <c r="AV237" s="359"/>
      <c r="AW237" s="359"/>
      <c r="AX237" s="359"/>
      <c r="AY237" s="359"/>
      <c r="AZ237" s="359"/>
      <c r="BA237" s="359"/>
      <c r="BB237" s="359"/>
      <c r="BC237" s="359"/>
      <c r="BD237" s="359"/>
      <c r="BE237" s="359"/>
      <c r="BF237" s="359"/>
      <c r="BG237" s="359"/>
      <c r="BH237" s="359"/>
      <c r="BI237" s="359"/>
      <c r="BJ237" s="359"/>
      <c r="BK237" s="359"/>
      <c r="BL237" s="359"/>
      <c r="BM237" s="359"/>
      <c r="BN237" s="359"/>
      <c r="BO237" s="359"/>
      <c r="BP237" s="359"/>
      <c r="BQ237" s="359"/>
      <c r="BR237" s="359"/>
      <c r="BS237" s="359"/>
      <c r="BT237" s="359"/>
      <c r="BU237" s="359"/>
      <c r="BV237" s="359"/>
      <c r="BW237" s="359"/>
      <c r="BX237" s="359"/>
      <c r="BY237" s="359"/>
      <c r="BZ237" s="359"/>
      <c r="CA237" s="359"/>
      <c r="CB237" s="359"/>
      <c r="CC237" s="359"/>
      <c r="CD237" s="359"/>
      <c r="CE237" s="359"/>
      <c r="CF237" s="359"/>
      <c r="CG237" s="359"/>
      <c r="CH237" s="359"/>
      <c r="CI237" s="359"/>
      <c r="CJ237" s="359"/>
      <c r="CK237" s="359"/>
      <c r="CL237" s="359"/>
      <c r="CM237" s="359"/>
      <c r="CN237" s="359"/>
      <c r="CO237" s="359"/>
      <c r="CP237" s="359"/>
      <c r="CQ237" s="359"/>
      <c r="CR237" s="359"/>
      <c r="CS237" s="359"/>
      <c r="CT237" s="359"/>
      <c r="CU237" s="359"/>
      <c r="CV237" s="359"/>
      <c r="CW237" s="359"/>
      <c r="CX237" s="359"/>
      <c r="CY237" s="359"/>
      <c r="CZ237" s="359"/>
      <c r="DA237" s="359"/>
      <c r="DB237" s="359"/>
      <c r="DC237" s="359"/>
      <c r="DD237" s="359"/>
      <c r="DE237" s="359"/>
      <c r="DF237" s="359"/>
      <c r="DG237" s="359"/>
      <c r="DH237" s="359"/>
      <c r="DI237" s="359"/>
      <c r="DJ237" s="359"/>
      <c r="DK237" s="1208"/>
      <c r="DL237" s="359"/>
      <c r="DM237" s="359"/>
      <c r="DN237" s="1208"/>
      <c r="DO237" s="359"/>
      <c r="DP237" s="359"/>
      <c r="DQ237" s="1208"/>
      <c r="DR237" s="359"/>
      <c r="DS237" s="359"/>
      <c r="DT237" s="1208"/>
      <c r="DU237" s="359"/>
      <c r="DV237" s="359"/>
      <c r="DW237" s="1208"/>
      <c r="DX237" s="359"/>
      <c r="DY237" s="359"/>
      <c r="DZ237" s="1208"/>
      <c r="EA237" s="359"/>
      <c r="EB237" s="359"/>
      <c r="EC237" s="1208"/>
      <c r="ED237" s="359"/>
      <c r="EE237" s="359"/>
      <c r="EF237" s="1208"/>
      <c r="EG237" s="359"/>
      <c r="EH237" s="359"/>
      <c r="EI237" s="1208"/>
      <c r="EJ237" s="359"/>
      <c r="EK237" s="359"/>
      <c r="EL237" s="1208"/>
      <c r="EM237" s="359"/>
      <c r="EN237" s="359"/>
      <c r="EO237" s="1208"/>
      <c r="EP237" s="359"/>
      <c r="EQ237" s="359"/>
      <c r="ER237" s="1208"/>
      <c r="ES237" s="359"/>
      <c r="ET237" s="359"/>
      <c r="EU237" s="1208"/>
      <c r="EV237" s="359"/>
      <c r="EW237" s="359"/>
      <c r="EX237" s="1208"/>
      <c r="EY237" s="359"/>
      <c r="EZ237" s="359"/>
      <c r="FA237" s="359"/>
    </row>
    <row r="238" spans="1:157" ht="13.35" customHeight="1">
      <c r="A238" s="5"/>
      <c r="B238" s="5" t="s">
        <v>912</v>
      </c>
      <c r="C238" s="5"/>
      <c r="D238" s="5"/>
      <c r="E238" s="359"/>
      <c r="F238" s="359"/>
      <c r="G238" s="359"/>
      <c r="H238" s="359"/>
      <c r="I238" s="359"/>
      <c r="J238" s="359"/>
      <c r="K238" s="359"/>
      <c r="L238" s="359"/>
      <c r="M238" s="359"/>
      <c r="N238" s="359"/>
      <c r="O238" s="359"/>
      <c r="P238" s="359"/>
      <c r="Q238" s="359"/>
      <c r="R238" s="359"/>
      <c r="S238" s="359"/>
      <c r="T238" s="359"/>
      <c r="U238" s="359"/>
      <c r="V238" s="359"/>
      <c r="W238" s="359"/>
      <c r="X238" s="359"/>
      <c r="Y238" s="359"/>
      <c r="Z238" s="359"/>
      <c r="AA238" s="359"/>
      <c r="AB238" s="359"/>
      <c r="AC238" s="359"/>
      <c r="AD238" s="359"/>
      <c r="AE238" s="359"/>
      <c r="AF238" s="359"/>
      <c r="AG238" s="359"/>
      <c r="AH238" s="359"/>
      <c r="AI238" s="359"/>
      <c r="AJ238" s="359"/>
      <c r="AK238" s="359"/>
      <c r="AL238" s="359"/>
      <c r="AM238" s="359"/>
      <c r="AN238" s="359"/>
      <c r="AO238" s="359"/>
      <c r="AP238" s="359"/>
      <c r="AQ238" s="359"/>
      <c r="AR238" s="359"/>
      <c r="AS238" s="359"/>
      <c r="AT238" s="359"/>
      <c r="AU238" s="359"/>
      <c r="AV238" s="359"/>
      <c r="AW238" s="359"/>
      <c r="AX238" s="359"/>
      <c r="AY238" s="359"/>
      <c r="AZ238" s="359"/>
      <c r="BA238" s="359"/>
      <c r="BB238" s="359"/>
      <c r="BC238" s="359"/>
      <c r="BD238" s="359"/>
      <c r="BE238" s="359"/>
      <c r="BF238" s="359"/>
      <c r="BG238" s="359"/>
      <c r="BH238" s="359"/>
      <c r="BI238" s="359"/>
      <c r="BJ238" s="359"/>
      <c r="BK238" s="359"/>
      <c r="BL238" s="359"/>
      <c r="BM238" s="359"/>
      <c r="BN238" s="359"/>
      <c r="BO238" s="359"/>
      <c r="BP238" s="359"/>
      <c r="BQ238" s="359"/>
      <c r="BR238" s="359"/>
      <c r="BS238" s="359"/>
      <c r="BT238" s="359"/>
      <c r="BU238" s="359"/>
      <c r="BV238" s="359"/>
      <c r="BW238" s="359"/>
      <c r="BX238" s="359"/>
      <c r="BY238" s="359"/>
      <c r="BZ238" s="359"/>
      <c r="CA238" s="359"/>
      <c r="CB238" s="359"/>
      <c r="CC238" s="359"/>
      <c r="CD238" s="359"/>
      <c r="CE238" s="359"/>
      <c r="CF238" s="359"/>
      <c r="CG238" s="359"/>
      <c r="CH238" s="359"/>
      <c r="CI238" s="359"/>
      <c r="CJ238" s="359"/>
      <c r="CK238" s="359"/>
      <c r="CL238" s="359"/>
      <c r="CM238" s="359"/>
      <c r="CN238" s="359"/>
      <c r="CO238" s="359"/>
      <c r="CP238" s="359"/>
      <c r="CQ238" s="359"/>
      <c r="CR238" s="359"/>
      <c r="CS238" s="359"/>
      <c r="CT238" s="359"/>
      <c r="CU238" s="359"/>
      <c r="CV238" s="359"/>
      <c r="CW238" s="359"/>
      <c r="CX238" s="359"/>
      <c r="CY238" s="359"/>
      <c r="CZ238" s="359"/>
      <c r="DA238" s="359"/>
      <c r="DB238" s="359"/>
      <c r="DC238" s="359"/>
      <c r="DD238" s="359"/>
      <c r="DE238" s="359"/>
      <c r="DF238" s="359"/>
      <c r="DG238" s="359"/>
      <c r="DH238" s="359"/>
      <c r="DI238" s="359"/>
      <c r="DJ238" s="359"/>
      <c r="DK238" s="1208"/>
      <c r="DL238" s="359"/>
      <c r="DM238" s="359"/>
      <c r="DN238" s="1208"/>
      <c r="DO238" s="359"/>
      <c r="DP238" s="359"/>
      <c r="DQ238" s="1208"/>
      <c r="DR238" s="359"/>
      <c r="DS238" s="359"/>
      <c r="DT238" s="1208"/>
      <c r="DU238" s="359"/>
      <c r="DV238" s="359"/>
      <c r="DW238" s="1208"/>
      <c r="DX238" s="359"/>
      <c r="DY238" s="359"/>
      <c r="DZ238" s="1208"/>
      <c r="EA238" s="359"/>
      <c r="EB238" s="359"/>
      <c r="EC238" s="1208"/>
      <c r="ED238" s="359"/>
      <c r="EE238" s="359"/>
      <c r="EF238" s="1208"/>
      <c r="EG238" s="359"/>
      <c r="EH238" s="359"/>
      <c r="EI238" s="1208"/>
      <c r="EJ238" s="359"/>
      <c r="EK238" s="359"/>
      <c r="EL238" s="1208"/>
      <c r="EM238" s="359"/>
      <c r="EN238" s="359"/>
      <c r="EO238" s="1208"/>
      <c r="EP238" s="359"/>
      <c r="EQ238" s="359"/>
      <c r="ER238" s="1208"/>
      <c r="ES238" s="359"/>
      <c r="ET238" s="359"/>
      <c r="EU238" s="1208"/>
      <c r="EV238" s="359"/>
      <c r="EW238" s="359"/>
      <c r="EX238" s="1208"/>
      <c r="EY238" s="359"/>
      <c r="EZ238" s="359"/>
      <c r="FA238" s="359"/>
    </row>
    <row r="239" spans="1:157" ht="13.35" customHeight="1">
      <c r="A239" s="5"/>
      <c r="B239" s="406" t="s">
        <v>913</v>
      </c>
      <c r="C239" s="5"/>
      <c r="D239" s="5"/>
      <c r="E239" s="363" t="str">
        <f>IF(Model!E298&lt;&gt;"",Model!E298,"")</f>
        <v/>
      </c>
      <c r="F239" s="363" t="str">
        <f>IF(G239&lt;&gt;"",G239,"")</f>
        <v/>
      </c>
      <c r="G239" s="363" t="str">
        <f>IF(Model!G298&lt;&gt;"",Model!G298,"")</f>
        <v/>
      </c>
      <c r="H239" s="363" t="str">
        <f>IF(Model!H298&lt;&gt;"",Model!H298,"")</f>
        <v/>
      </c>
      <c r="I239" s="363" t="str">
        <f>IF(J239&lt;&gt;"",J239,"")</f>
        <v/>
      </c>
      <c r="J239" s="363" t="str">
        <f>IF(Model!J298&lt;&gt;"",Model!J298,"")</f>
        <v/>
      </c>
      <c r="K239" s="363" t="str">
        <f>IF(Model!K298&lt;&gt;"",Model!K298,"")</f>
        <v/>
      </c>
      <c r="L239" s="363" t="str">
        <f>IF(M239&lt;&gt;"",M239,"")</f>
        <v/>
      </c>
      <c r="M239" s="363" t="str">
        <f>IF(Model!M298&lt;&gt;"",Model!M298,"")</f>
        <v/>
      </c>
      <c r="N239" s="363" t="str">
        <f>IF(Model!N298&lt;&gt;"",Model!N298,"")</f>
        <v/>
      </c>
      <c r="O239" s="363" t="str">
        <f>IF(P239&lt;&gt;"",P239,"")</f>
        <v/>
      </c>
      <c r="P239" s="363" t="str">
        <f>IF(Model!P298&lt;&gt;"",Model!P298,"")</f>
        <v/>
      </c>
      <c r="Q239" s="363" t="str">
        <f>IF(Model!Q298&lt;&gt;"",Model!Q298,"")</f>
        <v/>
      </c>
      <c r="R239" s="363" t="str">
        <f>IF(S239&lt;&gt;"",S239,"")</f>
        <v/>
      </c>
      <c r="S239" s="363" t="str">
        <f>IF(Model!S298&lt;&gt;"",Model!S298,"")</f>
        <v/>
      </c>
      <c r="T239" s="363" t="str">
        <f>IF(Model!T298&lt;&gt;"",Model!T298,"")</f>
        <v/>
      </c>
      <c r="U239" s="363" t="str">
        <f>IF(V239&lt;&gt;"",V239,"")</f>
        <v/>
      </c>
      <c r="V239" s="363" t="str">
        <f>IF(Model!V298&lt;&gt;"",Model!V298,"")</f>
        <v/>
      </c>
      <c r="W239" s="363" t="str">
        <f>IF(Model!W298&lt;&gt;"",Model!W298,"")</f>
        <v/>
      </c>
      <c r="X239" s="363" t="str">
        <f>IF(Y239&lt;&gt;"",Y239,"")</f>
        <v/>
      </c>
      <c r="Y239" s="363" t="str">
        <f>IF(Model!Y298&lt;&gt;"",Model!Y298,"")</f>
        <v/>
      </c>
      <c r="Z239" s="363" t="str">
        <f>IF(Model!Z298&lt;&gt;"",Model!Z298,"")</f>
        <v/>
      </c>
      <c r="AA239" s="363" t="str">
        <f>IF(AB239&lt;&gt;"",AB239,"")</f>
        <v/>
      </c>
      <c r="AB239" s="363" t="str">
        <f>IF(Model!AB298&lt;&gt;"",Model!AB298,"")</f>
        <v/>
      </c>
      <c r="AC239" s="363" t="str">
        <f>IF(Model!AC298&lt;&gt;"",Model!AC298,"")</f>
        <v/>
      </c>
      <c r="AD239" s="363" t="str">
        <f>IF(AE239&lt;&gt;"",AE239,"")</f>
        <v/>
      </c>
      <c r="AE239" s="363" t="str">
        <f>IF(Model!AE298&lt;&gt;"",Model!AE298,"")</f>
        <v/>
      </c>
      <c r="AF239" s="363" t="str">
        <f>IF(Model!AF298&lt;&gt;"",Model!AF298,"")</f>
        <v/>
      </c>
      <c r="AG239" s="363" t="str">
        <f>IF(AH239&lt;&gt;"",AH239,"")</f>
        <v/>
      </c>
      <c r="AH239" s="363" t="str">
        <f>IF(Model!AH298&lt;&gt;"",Model!AH298,"")</f>
        <v/>
      </c>
      <c r="AI239" s="363" t="str">
        <f>IF(Model!AI298&lt;&gt;"",Model!AI298,"")</f>
        <v/>
      </c>
      <c r="AJ239" s="363" t="str">
        <f>IF(AK239&lt;&gt;"",AK239,"")</f>
        <v/>
      </c>
      <c r="AK239" s="363" t="str">
        <f>IF(Model!AK298&lt;&gt;"",Model!AK298,"")</f>
        <v/>
      </c>
      <c r="AL239" s="363" t="str">
        <f>IF(Model!AL298&lt;&gt;"",Model!AL298,"")</f>
        <v/>
      </c>
      <c r="AM239" s="363" t="str">
        <f>IF(AN239&lt;&gt;"",AN239,"")</f>
        <v/>
      </c>
      <c r="AN239" s="363" t="str">
        <f>IF(Model!AN298&lt;&gt;"",Model!AN298,"")</f>
        <v/>
      </c>
      <c r="AO239" s="363" t="str">
        <f>IF(Model!AO298&lt;&gt;"",Model!AO298,"")</f>
        <v/>
      </c>
      <c r="AP239" s="363" t="str">
        <f>IF(AQ239&lt;&gt;"",AQ239,"")</f>
        <v/>
      </c>
      <c r="AQ239" s="363" t="str">
        <f>IF(Model!AQ298&lt;&gt;"",Model!AQ298,"")</f>
        <v/>
      </c>
      <c r="AR239" s="363" t="str">
        <f>IF(Model!AR298&lt;&gt;"",Model!AR298,"")</f>
        <v/>
      </c>
      <c r="AS239" s="363" t="str">
        <f>IF(AT239&lt;&gt;"",AT239,"")</f>
        <v/>
      </c>
      <c r="AT239" s="363" t="str">
        <f>IF(Model!AT298&lt;&gt;"",Model!AT298,"")</f>
        <v/>
      </c>
      <c r="AU239" s="363" t="str">
        <f>IF(Model!AU298&lt;&gt;"",Model!AU298,"")</f>
        <v/>
      </c>
      <c r="AV239" s="363" t="str">
        <f>IF(AW239&lt;&gt;"",AW239,"")</f>
        <v/>
      </c>
      <c r="AW239" s="363" t="str">
        <f>IF(Model!AW298&lt;&gt;"",Model!AW298,"")</f>
        <v/>
      </c>
      <c r="AX239" s="363">
        <f>IF(Model!AX298&lt;&gt;"",Model!AX298,"")</f>
        <v>0</v>
      </c>
      <c r="AY239" s="363">
        <f>IF(AZ239&lt;&gt;"",AZ239,"")</f>
        <v>0</v>
      </c>
      <c r="AZ239" s="363">
        <f>IF(Model!AZ298&lt;&gt;"",Model!AZ298,"")</f>
        <v>0</v>
      </c>
      <c r="BA239" s="363">
        <f>IF(Model!BA298&lt;&gt;"",Model!BA298,"")</f>
        <v>0</v>
      </c>
      <c r="BB239" s="363">
        <f>IF(BC239&lt;&gt;"",BC239,"")</f>
        <v>0</v>
      </c>
      <c r="BC239" s="363">
        <f>IF(Model!BC298&lt;&gt;"",Model!BC298,"")</f>
        <v>0</v>
      </c>
      <c r="BD239" s="363"/>
      <c r="BE239" s="363" t="str">
        <f>IF(BF239&lt;&gt;"",BF239,"")</f>
        <v/>
      </c>
      <c r="BF239" s="363"/>
      <c r="BG239" s="363"/>
      <c r="BH239" s="363" t="str">
        <f>IF(BI239&lt;&gt;"",BI239,"")</f>
        <v/>
      </c>
      <c r="BI239" s="363"/>
      <c r="BJ239" s="363"/>
      <c r="BK239" s="363" t="str">
        <f>IF(BL239&lt;&gt;"",BL239,"")</f>
        <v/>
      </c>
      <c r="BL239" s="363"/>
      <c r="BM239" s="363"/>
      <c r="BN239" s="363" t="str">
        <f>IF(BO239&lt;&gt;"",BO239,"")</f>
        <v/>
      </c>
      <c r="BO239" s="363"/>
      <c r="BP239" s="363"/>
      <c r="BQ239" s="363" t="str">
        <f>IF(BR239&lt;&gt;"",BR239,"")</f>
        <v/>
      </c>
      <c r="BR239" s="363"/>
      <c r="BS239" s="363"/>
      <c r="BT239" s="363" t="str">
        <f>IF(BU239&lt;&gt;"",BU239,"")</f>
        <v/>
      </c>
      <c r="BU239" s="363"/>
      <c r="BV239" s="363"/>
      <c r="BW239" s="363" t="str">
        <f>IF(BX239&lt;&gt;"",BX239,"")</f>
        <v/>
      </c>
      <c r="BX239" s="363"/>
      <c r="BY239" s="363"/>
      <c r="BZ239" s="363" t="str">
        <f>IF(CA239&lt;&gt;"",CA239,"")</f>
        <v/>
      </c>
      <c r="CA239" s="363"/>
      <c r="CB239" s="363"/>
      <c r="CC239" s="363" t="str">
        <f>IF(CD239&lt;&gt;"",CD239,"")</f>
        <v/>
      </c>
      <c r="CD239" s="363"/>
      <c r="CE239" s="363"/>
      <c r="CF239" s="363" t="str">
        <f>IF(CG239&lt;&gt;"",CG239,"")</f>
        <v/>
      </c>
      <c r="CG239" s="363"/>
      <c r="CH239" s="363">
        <f>CG239</f>
        <v>0</v>
      </c>
      <c r="CI239" s="363">
        <f t="shared" ref="CI239:DK239" si="583">CH239</f>
        <v>0</v>
      </c>
      <c r="CJ239" s="363">
        <f t="shared" si="583"/>
        <v>0</v>
      </c>
      <c r="CK239" s="363">
        <f t="shared" si="583"/>
        <v>0</v>
      </c>
      <c r="CL239" s="363">
        <f t="shared" si="583"/>
        <v>0</v>
      </c>
      <c r="CM239" s="363">
        <f t="shared" si="583"/>
        <v>0</v>
      </c>
      <c r="CN239" s="363">
        <f t="shared" si="583"/>
        <v>0</v>
      </c>
      <c r="CO239" s="363">
        <f t="shared" si="583"/>
        <v>0</v>
      </c>
      <c r="CP239" s="363">
        <f t="shared" si="583"/>
        <v>0</v>
      </c>
      <c r="CQ239" s="363">
        <f t="shared" si="583"/>
        <v>0</v>
      </c>
      <c r="CR239" s="363">
        <f t="shared" si="583"/>
        <v>0</v>
      </c>
      <c r="CS239" s="363">
        <f t="shared" si="583"/>
        <v>0</v>
      </c>
      <c r="CT239" s="363">
        <f t="shared" si="583"/>
        <v>0</v>
      </c>
      <c r="CU239" s="363">
        <f t="shared" si="583"/>
        <v>0</v>
      </c>
      <c r="CV239" s="363">
        <f t="shared" si="583"/>
        <v>0</v>
      </c>
      <c r="CW239" s="363">
        <f t="shared" si="583"/>
        <v>0</v>
      </c>
      <c r="CX239" s="363">
        <f t="shared" si="583"/>
        <v>0</v>
      </c>
      <c r="CY239" s="363">
        <f t="shared" si="583"/>
        <v>0</v>
      </c>
      <c r="CZ239" s="363">
        <f t="shared" si="583"/>
        <v>0</v>
      </c>
      <c r="DA239" s="363">
        <f t="shared" si="583"/>
        <v>0</v>
      </c>
      <c r="DB239" s="363">
        <f t="shared" si="583"/>
        <v>0</v>
      </c>
      <c r="DC239" s="363">
        <f t="shared" si="583"/>
        <v>0</v>
      </c>
      <c r="DD239" s="363">
        <f t="shared" si="583"/>
        <v>0</v>
      </c>
      <c r="DE239" s="363">
        <f t="shared" si="583"/>
        <v>0</v>
      </c>
      <c r="DF239" s="363">
        <f>B_NCL_DITL_H1_20</f>
        <v>15.8</v>
      </c>
      <c r="DG239" s="363">
        <f t="shared" si="583"/>
        <v>15.8</v>
      </c>
      <c r="DH239" s="363">
        <f t="shared" si="583"/>
        <v>15.8</v>
      </c>
      <c r="DI239" s="363">
        <f t="shared" si="583"/>
        <v>15.8</v>
      </c>
      <c r="DJ239" s="363">
        <f t="shared" si="583"/>
        <v>15.8</v>
      </c>
      <c r="DK239" s="1210">
        <f t="shared" si="583"/>
        <v>15.8</v>
      </c>
      <c r="DL239" s="363">
        <f>+Model!DL298</f>
        <v>42.3</v>
      </c>
      <c r="DM239" s="363">
        <f>+Model!DM298</f>
        <v>22.4</v>
      </c>
      <c r="DN239" s="1210">
        <f>+Model!DN298</f>
        <v>22.4</v>
      </c>
      <c r="DO239" s="363">
        <f>+Model!DO298</f>
        <v>23.3</v>
      </c>
      <c r="DP239" s="363">
        <f>+Model!DP298</f>
        <v>18.3</v>
      </c>
      <c r="DQ239" s="1210">
        <f>+Model!DQ298</f>
        <v>18.3</v>
      </c>
      <c r="DR239" s="363">
        <f>+Model!DR298</f>
        <v>17.399999999999999</v>
      </c>
      <c r="DS239" s="363">
        <f>+Model!DS298</f>
        <v>18.899999999999999</v>
      </c>
      <c r="DT239" s="1210">
        <f>+Model!DT298</f>
        <v>18.899999999999999</v>
      </c>
      <c r="DU239" s="363">
        <f>+Model!DU298</f>
        <v>22.6</v>
      </c>
      <c r="DV239" s="363">
        <f>+Model!DV298</f>
        <v>18</v>
      </c>
      <c r="DW239" s="1210">
        <f>+Model!DW298</f>
        <v>18</v>
      </c>
      <c r="DX239" s="363">
        <f>Model!DX298</f>
        <v>16.7</v>
      </c>
      <c r="DY239" s="363">
        <f t="shared" ref="DY239:EF239" si="584">DX239</f>
        <v>16.7</v>
      </c>
      <c r="DZ239" s="1210">
        <f t="shared" si="584"/>
        <v>16.7</v>
      </c>
      <c r="EA239" s="363">
        <f t="shared" si="584"/>
        <v>16.7</v>
      </c>
      <c r="EB239" s="363">
        <f t="shared" si="584"/>
        <v>16.7</v>
      </c>
      <c r="EC239" s="1210">
        <f t="shared" si="584"/>
        <v>16.7</v>
      </c>
      <c r="ED239" s="363">
        <f t="shared" si="584"/>
        <v>16.7</v>
      </c>
      <c r="EE239" s="363">
        <f t="shared" si="584"/>
        <v>16.7</v>
      </c>
      <c r="EF239" s="1210">
        <f t="shared" si="584"/>
        <v>16.7</v>
      </c>
      <c r="EG239" s="363">
        <f t="shared" ref="EG239:EL239" si="585">EF239</f>
        <v>16.7</v>
      </c>
      <c r="EH239" s="363">
        <f t="shared" si="585"/>
        <v>16.7</v>
      </c>
      <c r="EI239" s="1210">
        <f t="shared" si="585"/>
        <v>16.7</v>
      </c>
      <c r="EJ239" s="363">
        <f t="shared" si="585"/>
        <v>16.7</v>
      </c>
      <c r="EK239" s="363">
        <f t="shared" si="585"/>
        <v>16.7</v>
      </c>
      <c r="EL239" s="1210">
        <f t="shared" si="585"/>
        <v>16.7</v>
      </c>
      <c r="EM239" s="363">
        <f t="shared" ref="EM239:ER239" si="586">EL239</f>
        <v>16.7</v>
      </c>
      <c r="EN239" s="363">
        <f t="shared" si="586"/>
        <v>16.7</v>
      </c>
      <c r="EO239" s="1210">
        <f t="shared" si="586"/>
        <v>16.7</v>
      </c>
      <c r="EP239" s="363">
        <f t="shared" si="586"/>
        <v>16.7</v>
      </c>
      <c r="EQ239" s="363">
        <f t="shared" si="586"/>
        <v>16.7</v>
      </c>
      <c r="ER239" s="1210">
        <f t="shared" si="586"/>
        <v>16.7</v>
      </c>
      <c r="ES239" s="363">
        <f t="shared" ref="ES239" si="587">ER239</f>
        <v>16.7</v>
      </c>
      <c r="ET239" s="363">
        <f t="shared" ref="ET239" si="588">ES239</f>
        <v>16.7</v>
      </c>
      <c r="EU239" s="1210">
        <f t="shared" ref="EU239" si="589">ET239</f>
        <v>16.7</v>
      </c>
      <c r="EV239" s="363">
        <f t="shared" ref="EV239" si="590">EU239</f>
        <v>16.7</v>
      </c>
      <c r="EW239" s="363">
        <f t="shared" ref="EW239" si="591">EV239</f>
        <v>16.7</v>
      </c>
      <c r="EX239" s="1210">
        <f t="shared" ref="EX239" si="592">EW239</f>
        <v>16.7</v>
      </c>
      <c r="EY239" s="363">
        <f t="shared" ref="EY239" si="593">EX239</f>
        <v>16.7</v>
      </c>
      <c r="EZ239" s="363">
        <f t="shared" ref="EZ239" si="594">EY239</f>
        <v>16.7</v>
      </c>
      <c r="FA239" s="363">
        <f t="shared" ref="FA239" si="595">EZ239</f>
        <v>16.7</v>
      </c>
    </row>
    <row r="240" spans="1:157" ht="13.35" customHeight="1">
      <c r="A240" s="5"/>
      <c r="B240" s="5"/>
      <c r="C240" s="5"/>
      <c r="D240" s="5"/>
      <c r="E240" s="359"/>
      <c r="F240" s="359"/>
      <c r="G240" s="359"/>
      <c r="H240" s="359"/>
      <c r="I240" s="359"/>
      <c r="J240" s="359"/>
      <c r="K240" s="359"/>
      <c r="L240" s="359"/>
      <c r="M240" s="359"/>
      <c r="N240" s="359"/>
      <c r="O240" s="359"/>
      <c r="P240" s="359"/>
      <c r="Q240" s="359"/>
      <c r="R240" s="359"/>
      <c r="S240" s="359"/>
      <c r="T240" s="359"/>
      <c r="U240" s="359"/>
      <c r="V240" s="359"/>
      <c r="W240" s="359"/>
      <c r="X240" s="359"/>
      <c r="Y240" s="359"/>
      <c r="Z240" s="359"/>
      <c r="AA240" s="359"/>
      <c r="AB240" s="359"/>
      <c r="AC240" s="359"/>
      <c r="AD240" s="359"/>
      <c r="AE240" s="359"/>
      <c r="AF240" s="359"/>
      <c r="AG240" s="359"/>
      <c r="AH240" s="359"/>
      <c r="AI240" s="359"/>
      <c r="AJ240" s="359"/>
      <c r="AK240" s="359"/>
      <c r="AL240" s="359"/>
      <c r="AM240" s="359"/>
      <c r="AN240" s="359"/>
      <c r="AO240" s="359"/>
      <c r="AP240" s="359"/>
      <c r="AQ240" s="359"/>
      <c r="AR240" s="359"/>
      <c r="AS240" s="359"/>
      <c r="AT240" s="359"/>
      <c r="AU240" s="359"/>
      <c r="AV240" s="359"/>
      <c r="AW240" s="359"/>
      <c r="AX240" s="359"/>
      <c r="AY240" s="359"/>
      <c r="AZ240" s="359"/>
      <c r="BA240" s="359"/>
      <c r="BB240" s="359"/>
      <c r="BC240" s="359"/>
      <c r="BD240" s="359"/>
      <c r="BE240" s="359"/>
      <c r="BF240" s="359"/>
      <c r="BG240" s="359"/>
      <c r="BH240" s="359"/>
      <c r="BI240" s="359"/>
      <c r="BJ240" s="359"/>
      <c r="BK240" s="359"/>
      <c r="BL240" s="359"/>
      <c r="BM240" s="359"/>
      <c r="BN240" s="359"/>
      <c r="BO240" s="359"/>
      <c r="BP240" s="359"/>
      <c r="BQ240" s="359"/>
      <c r="BR240" s="359"/>
      <c r="BS240" s="359"/>
      <c r="BT240" s="359"/>
      <c r="BU240" s="359"/>
      <c r="BV240" s="359"/>
      <c r="BW240" s="359"/>
      <c r="BX240" s="359"/>
      <c r="BY240" s="359"/>
      <c r="BZ240" s="359"/>
      <c r="CA240" s="359"/>
      <c r="CB240" s="359"/>
      <c r="CC240" s="359"/>
      <c r="CD240" s="359"/>
      <c r="CE240" s="359"/>
      <c r="CF240" s="359"/>
      <c r="CG240" s="359"/>
      <c r="CH240" s="359"/>
      <c r="CI240" s="359"/>
      <c r="CJ240" s="359"/>
      <c r="CK240" s="359"/>
      <c r="CL240" s="359"/>
      <c r="CM240" s="359"/>
      <c r="CN240" s="359"/>
      <c r="CO240" s="359"/>
      <c r="CP240" s="359"/>
      <c r="CQ240" s="359"/>
      <c r="CR240" s="359"/>
      <c r="CS240" s="359"/>
      <c r="CT240" s="359"/>
      <c r="CU240" s="359"/>
      <c r="CV240" s="359"/>
      <c r="CW240" s="359"/>
      <c r="CX240" s="359"/>
      <c r="CY240" s="359"/>
      <c r="CZ240" s="359"/>
      <c r="DA240" s="359"/>
      <c r="DB240" s="359"/>
      <c r="DC240" s="359"/>
      <c r="DD240" s="359"/>
      <c r="DE240" s="359"/>
      <c r="DF240" s="359"/>
      <c r="DG240" s="359"/>
      <c r="DH240" s="359"/>
      <c r="DI240" s="359"/>
      <c r="DJ240" s="359"/>
      <c r="DK240" s="1208"/>
      <c r="DL240" s="359"/>
      <c r="DM240" s="359"/>
      <c r="DN240" s="1208"/>
      <c r="DO240" s="359"/>
      <c r="DP240" s="359"/>
      <c r="DQ240" s="1208"/>
      <c r="DR240" s="359"/>
      <c r="DS240" s="359"/>
      <c r="DT240" s="1208"/>
      <c r="DU240" s="359"/>
      <c r="DV240" s="359"/>
      <c r="DW240" s="1208"/>
      <c r="DX240" s="359"/>
      <c r="DY240" s="359"/>
      <c r="DZ240" s="1208"/>
      <c r="EA240" s="359"/>
      <c r="EB240" s="359"/>
      <c r="EC240" s="1208"/>
      <c r="ED240" s="359"/>
      <c r="EE240" s="359"/>
      <c r="EF240" s="1208"/>
      <c r="EG240" s="359"/>
      <c r="EH240" s="359"/>
      <c r="EI240" s="1208"/>
      <c r="EJ240" s="359"/>
      <c r="EK240" s="359"/>
      <c r="EL240" s="1208"/>
      <c r="EM240" s="359"/>
      <c r="EN240" s="359"/>
      <c r="EO240" s="1208"/>
      <c r="EP240" s="359"/>
      <c r="EQ240" s="359"/>
      <c r="ER240" s="1208"/>
      <c r="ES240" s="359"/>
      <c r="ET240" s="359"/>
      <c r="EU240" s="1208"/>
      <c r="EV240" s="359"/>
      <c r="EW240" s="359"/>
      <c r="EX240" s="1208"/>
      <c r="EY240" s="359"/>
      <c r="EZ240" s="359"/>
      <c r="FA240" s="359"/>
    </row>
    <row r="241" spans="1:157" ht="13.35" customHeight="1">
      <c r="A241" s="5"/>
      <c r="B241" s="5"/>
      <c r="C241" s="5"/>
      <c r="D241" s="5"/>
      <c r="E241" s="359"/>
      <c r="F241" s="359"/>
      <c r="G241" s="359"/>
      <c r="H241" s="359"/>
      <c r="I241" s="359"/>
      <c r="J241" s="359"/>
      <c r="K241" s="359"/>
      <c r="L241" s="359"/>
      <c r="M241" s="359"/>
      <c r="N241" s="359"/>
      <c r="O241" s="359"/>
      <c r="P241" s="359"/>
      <c r="Q241" s="359"/>
      <c r="R241" s="359"/>
      <c r="S241" s="359"/>
      <c r="T241" s="359"/>
      <c r="U241" s="359"/>
      <c r="V241" s="359"/>
      <c r="W241" s="359"/>
      <c r="X241" s="359"/>
      <c r="Y241" s="359"/>
      <c r="Z241" s="359"/>
      <c r="AA241" s="359"/>
      <c r="AB241" s="359"/>
      <c r="AC241" s="359"/>
      <c r="AD241" s="359"/>
      <c r="AE241" s="359"/>
      <c r="AF241" s="359"/>
      <c r="AG241" s="359"/>
      <c r="AH241" s="359"/>
      <c r="AI241" s="359"/>
      <c r="AJ241" s="359"/>
      <c r="AK241" s="359"/>
      <c r="AL241" s="359"/>
      <c r="AM241" s="359"/>
      <c r="AN241" s="359"/>
      <c r="AO241" s="359"/>
      <c r="AP241" s="359"/>
      <c r="AQ241" s="359"/>
      <c r="AR241" s="359"/>
      <c r="AS241" s="359"/>
      <c r="AT241" s="359"/>
      <c r="AU241" s="359"/>
      <c r="AV241" s="359"/>
      <c r="AW241" s="359"/>
      <c r="AX241" s="359"/>
      <c r="AY241" s="359"/>
      <c r="AZ241" s="359"/>
      <c r="BA241" s="359"/>
      <c r="BB241" s="359"/>
      <c r="BC241" s="359"/>
      <c r="BD241" s="359"/>
      <c r="BE241" s="359"/>
      <c r="BF241" s="359"/>
      <c r="BG241" s="359"/>
      <c r="BH241" s="359"/>
      <c r="BI241" s="359"/>
      <c r="BJ241" s="359"/>
      <c r="BK241" s="359"/>
      <c r="BL241" s="359"/>
      <c r="BM241" s="359"/>
      <c r="BN241" s="359"/>
      <c r="BO241" s="359"/>
      <c r="BP241" s="359"/>
      <c r="BQ241" s="359"/>
      <c r="BR241" s="359"/>
      <c r="BS241" s="359"/>
      <c r="BT241" s="359"/>
      <c r="BU241" s="359"/>
      <c r="BV241" s="359"/>
      <c r="BW241" s="359"/>
      <c r="BX241" s="359"/>
      <c r="BY241" s="359"/>
      <c r="BZ241" s="359"/>
      <c r="CA241" s="359"/>
      <c r="CB241" s="359"/>
      <c r="CC241" s="359"/>
      <c r="CD241" s="359"/>
      <c r="CE241" s="359"/>
      <c r="CF241" s="359"/>
      <c r="CG241" s="359"/>
      <c r="CH241" s="359"/>
      <c r="CI241" s="359"/>
      <c r="CJ241" s="359"/>
      <c r="CK241" s="359"/>
      <c r="CL241" s="359"/>
      <c r="CM241" s="359"/>
      <c r="CN241" s="359"/>
      <c r="CO241" s="359"/>
      <c r="CP241" s="359"/>
      <c r="CQ241" s="359"/>
      <c r="CR241" s="359"/>
      <c r="CS241" s="359"/>
      <c r="CT241" s="359"/>
      <c r="CU241" s="359"/>
      <c r="CV241" s="359"/>
      <c r="CW241" s="359"/>
      <c r="CX241" s="359"/>
      <c r="CY241" s="359"/>
      <c r="CZ241" s="359"/>
      <c r="DA241" s="359"/>
      <c r="DB241" s="359"/>
      <c r="DC241" s="359"/>
      <c r="DD241" s="359"/>
      <c r="DE241" s="359"/>
      <c r="DF241" s="359"/>
      <c r="DG241" s="359"/>
      <c r="DH241" s="359"/>
      <c r="DI241" s="359"/>
      <c r="DJ241" s="359"/>
      <c r="DK241" s="1208"/>
      <c r="DL241" s="359"/>
      <c r="DM241" s="359"/>
      <c r="DN241" s="1208"/>
      <c r="DO241" s="359"/>
      <c r="DP241" s="359"/>
      <c r="DQ241" s="1208"/>
      <c r="DR241" s="359"/>
      <c r="DS241" s="359"/>
      <c r="DT241" s="1208"/>
      <c r="DU241" s="359"/>
      <c r="DV241" s="359"/>
      <c r="DW241" s="1208"/>
      <c r="DX241" s="359"/>
      <c r="DY241" s="359"/>
      <c r="DZ241" s="1208"/>
      <c r="EA241" s="359"/>
      <c r="EB241" s="359"/>
      <c r="EC241" s="1208"/>
      <c r="ED241" s="359"/>
      <c r="EE241" s="359"/>
      <c r="EF241" s="1208"/>
      <c r="EG241" s="359"/>
      <c r="EH241" s="359"/>
      <c r="EI241" s="1208"/>
      <c r="EJ241" s="359"/>
      <c r="EK241" s="359"/>
      <c r="EL241" s="1208"/>
      <c r="EM241" s="359"/>
      <c r="EN241" s="359"/>
      <c r="EO241" s="1208"/>
      <c r="EP241" s="359"/>
      <c r="EQ241" s="359"/>
      <c r="ER241" s="1208"/>
      <c r="ES241" s="359"/>
      <c r="ET241" s="359"/>
      <c r="EU241" s="1208"/>
      <c r="EV241" s="359"/>
      <c r="EW241" s="359"/>
      <c r="EX241" s="1208"/>
      <c r="EY241" s="359"/>
      <c r="EZ241" s="359"/>
      <c r="FA241" s="359"/>
    </row>
    <row r="242" spans="1:157" ht="13.35" customHeight="1">
      <c r="A242" s="5"/>
      <c r="B242" s="5"/>
      <c r="C242" s="5"/>
      <c r="D242" s="5"/>
      <c r="E242" s="359"/>
      <c r="F242" s="359"/>
      <c r="G242" s="359"/>
      <c r="H242" s="359"/>
      <c r="I242" s="359"/>
      <c r="J242" s="359"/>
      <c r="K242" s="359"/>
      <c r="L242" s="359"/>
      <c r="M242" s="359"/>
      <c r="N242" s="359"/>
      <c r="O242" s="359"/>
      <c r="P242" s="359"/>
      <c r="Q242" s="359"/>
      <c r="R242" s="359"/>
      <c r="S242" s="359"/>
      <c r="T242" s="359"/>
      <c r="U242" s="359"/>
      <c r="V242" s="359"/>
      <c r="W242" s="359"/>
      <c r="X242" s="359"/>
      <c r="Y242" s="359"/>
      <c r="Z242" s="359"/>
      <c r="AA242" s="359"/>
      <c r="AB242" s="359"/>
      <c r="AC242" s="359"/>
      <c r="AD242" s="359"/>
      <c r="AE242" s="359"/>
      <c r="AF242" s="359"/>
      <c r="AG242" s="359"/>
      <c r="AH242" s="359"/>
      <c r="AI242" s="359"/>
      <c r="AJ242" s="359"/>
      <c r="AK242" s="359"/>
      <c r="AL242" s="359"/>
      <c r="AM242" s="359"/>
      <c r="AN242" s="359"/>
      <c r="AO242" s="359"/>
      <c r="AP242" s="359"/>
      <c r="AQ242" s="359"/>
      <c r="AR242" s="359"/>
      <c r="AS242" s="359"/>
      <c r="AT242" s="359"/>
      <c r="AU242" s="359"/>
      <c r="AV242" s="359"/>
      <c r="AW242" s="359"/>
      <c r="AX242" s="359"/>
      <c r="AY242" s="359"/>
      <c r="AZ242" s="359"/>
      <c r="BA242" s="359"/>
      <c r="BB242" s="359"/>
      <c r="BC242" s="359"/>
      <c r="BD242" s="359"/>
      <c r="BE242" s="359"/>
      <c r="BF242" s="359"/>
      <c r="BG242" s="359"/>
      <c r="BH242" s="359"/>
      <c r="BI242" s="356">
        <f>AVERAGE(AZ176,BC176,BF176,BI176,BL176)</f>
        <v>4.2162704238895128E-2</v>
      </c>
      <c r="BJ242" s="359"/>
      <c r="BK242" s="359"/>
      <c r="BL242" s="359"/>
      <c r="BM242" s="359"/>
      <c r="BN242" s="359"/>
      <c r="BO242" s="359"/>
      <c r="BP242" s="359"/>
      <c r="BQ242" s="359"/>
      <c r="BR242" s="359"/>
      <c r="BS242" s="359"/>
      <c r="BT242" s="359"/>
      <c r="BU242" s="359"/>
      <c r="BV242" s="359"/>
      <c r="BW242" s="359"/>
      <c r="BX242" s="359"/>
      <c r="BY242" s="359"/>
      <c r="BZ242" s="359"/>
      <c r="CA242" s="359"/>
      <c r="CB242" s="359"/>
      <c r="CC242" s="359"/>
      <c r="CD242" s="359"/>
      <c r="CE242" s="359"/>
      <c r="CF242" s="359"/>
      <c r="CG242" s="359"/>
      <c r="CH242" s="359"/>
      <c r="CI242" s="359"/>
      <c r="CJ242" s="359"/>
      <c r="CK242" s="359"/>
      <c r="CL242" s="359"/>
      <c r="CM242" s="359"/>
      <c r="CN242" s="359"/>
      <c r="CO242" s="359"/>
      <c r="CP242" s="359"/>
      <c r="CQ242" s="359"/>
      <c r="CR242" s="359"/>
      <c r="CS242" s="359"/>
      <c r="CT242" s="359"/>
      <c r="CU242" s="359"/>
      <c r="CV242" s="359"/>
      <c r="CW242" s="359"/>
      <c r="CX242" s="359"/>
      <c r="CY242" s="359"/>
      <c r="CZ242" s="359"/>
      <c r="DA242" s="359"/>
      <c r="DB242" s="359"/>
      <c r="DC242" s="359"/>
      <c r="DD242" s="359"/>
      <c r="DE242" s="359"/>
      <c r="DF242" s="359"/>
      <c r="DG242" s="359"/>
      <c r="DH242" s="359"/>
      <c r="DI242" s="359"/>
      <c r="DJ242" s="359"/>
      <c r="DK242" s="1208"/>
      <c r="DL242" s="359"/>
      <c r="DM242" s="359"/>
      <c r="DN242" s="1208"/>
      <c r="DO242" s="359"/>
      <c r="DP242" s="359"/>
      <c r="DQ242" s="1208"/>
      <c r="DR242" s="359"/>
      <c r="DS242" s="359"/>
      <c r="DT242" s="1208"/>
      <c r="DU242" s="359"/>
      <c r="DV242" s="359"/>
      <c r="DW242" s="1208"/>
      <c r="DX242" s="359"/>
      <c r="DY242" s="359"/>
      <c r="DZ242" s="1208"/>
      <c r="EA242" s="359"/>
      <c r="EB242" s="359"/>
      <c r="EC242" s="1208"/>
      <c r="ED242" s="359"/>
      <c r="EE242" s="359"/>
      <c r="EF242" s="1208"/>
      <c r="EG242" s="359"/>
      <c r="EH242" s="359"/>
      <c r="EI242" s="1208"/>
      <c r="EJ242" s="359"/>
      <c r="EK242" s="359"/>
      <c r="EL242" s="1208"/>
      <c r="EM242" s="359"/>
      <c r="EN242" s="359"/>
      <c r="EO242" s="1208"/>
      <c r="EP242" s="359"/>
      <c r="EQ242" s="359"/>
      <c r="ER242" s="1208"/>
      <c r="ES242" s="359"/>
      <c r="ET242" s="359"/>
      <c r="EU242" s="1208"/>
      <c r="EV242" s="359"/>
      <c r="EW242" s="359"/>
      <c r="EX242" s="1208"/>
      <c r="EY242" s="359"/>
      <c r="EZ242" s="359"/>
      <c r="FA242" s="359"/>
    </row>
    <row r="243" spans="1:157" ht="13.35" customHeight="1">
      <c r="A243" s="23"/>
      <c r="B243" s="409"/>
      <c r="C243" s="5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  <c r="AM243" s="23"/>
      <c r="AN243" s="23"/>
      <c r="AO243" s="23"/>
      <c r="AP243" s="23"/>
      <c r="AQ243" s="23"/>
      <c r="AR243" s="23"/>
      <c r="AS243" s="23"/>
      <c r="AT243" s="23"/>
      <c r="AU243" s="23"/>
      <c r="AV243" s="23"/>
      <c r="AW243" s="23"/>
      <c r="AX243" s="23"/>
      <c r="AY243" s="23"/>
      <c r="AZ243" s="23"/>
      <c r="BA243" s="23"/>
      <c r="BB243" s="23"/>
      <c r="BC243" s="23"/>
      <c r="BD243" s="23"/>
      <c r="BE243" s="23"/>
      <c r="BF243" s="23"/>
      <c r="BG243" s="23"/>
      <c r="BH243" s="23"/>
      <c r="BI243" s="23"/>
      <c r="BJ243" s="23"/>
      <c r="BK243" s="23"/>
      <c r="BL243" s="23"/>
      <c r="BM243" s="23"/>
      <c r="BN243" s="23"/>
      <c r="BO243" s="23"/>
      <c r="BP243" s="23"/>
      <c r="BQ243" s="23"/>
      <c r="BR243" s="23"/>
      <c r="BS243" s="23"/>
      <c r="BT243" s="23"/>
      <c r="BU243" s="23"/>
      <c r="BV243" s="23"/>
      <c r="BW243" s="23"/>
      <c r="BX243" s="23"/>
      <c r="BY243" s="23"/>
      <c r="BZ243" s="23"/>
      <c r="CA243" s="23"/>
      <c r="CB243" s="23"/>
      <c r="CC243" s="23"/>
      <c r="CD243" s="23"/>
      <c r="CE243" s="23"/>
      <c r="CF243" s="23"/>
      <c r="CG243" s="23"/>
      <c r="CH243" s="23"/>
      <c r="CI243" s="23"/>
      <c r="CJ243" s="23"/>
      <c r="CK243" s="23"/>
      <c r="CL243" s="23"/>
      <c r="CM243" s="23"/>
      <c r="CN243" s="23"/>
      <c r="CO243" s="23"/>
      <c r="CP243" s="23"/>
      <c r="CQ243" s="23"/>
      <c r="CR243" s="23"/>
      <c r="CS243" s="23"/>
      <c r="CT243" s="23"/>
      <c r="CU243" s="23"/>
      <c r="CV243" s="23"/>
      <c r="CW243" s="23"/>
      <c r="CX243" s="23"/>
      <c r="CY243" s="23"/>
      <c r="CZ243" s="23"/>
      <c r="DA243" s="23"/>
      <c r="DB243" s="23"/>
      <c r="DC243" s="23"/>
      <c r="DD243" s="23"/>
      <c r="DE243" s="23"/>
      <c r="DF243" s="23"/>
      <c r="DG243" s="23"/>
      <c r="DH243" s="23"/>
      <c r="DI243" s="23"/>
      <c r="DJ243" s="23"/>
      <c r="DK243" s="1075"/>
      <c r="DL243" s="23"/>
      <c r="DM243" s="23"/>
      <c r="DN243" s="1075"/>
      <c r="DO243" s="23"/>
      <c r="DP243" s="23"/>
      <c r="DQ243" s="1075"/>
      <c r="DR243" s="23"/>
      <c r="DS243" s="23"/>
      <c r="DT243" s="1075"/>
      <c r="DU243" s="23"/>
      <c r="DV243" s="23"/>
      <c r="DW243" s="1075"/>
      <c r="DX243" s="23"/>
      <c r="DY243" s="23"/>
      <c r="DZ243" s="1075"/>
      <c r="EA243" s="23"/>
      <c r="EB243" s="23"/>
      <c r="EC243" s="1075"/>
      <c r="ED243" s="23"/>
      <c r="EE243" s="23"/>
      <c r="EF243" s="1075"/>
      <c r="EG243" s="23"/>
      <c r="EH243" s="23"/>
      <c r="EI243" s="1075"/>
      <c r="EJ243" s="23"/>
      <c r="EK243" s="23"/>
      <c r="EL243" s="1075"/>
      <c r="EM243" s="23"/>
      <c r="EN243" s="23"/>
      <c r="EO243" s="1075"/>
      <c r="EP243" s="23"/>
      <c r="EQ243" s="23"/>
      <c r="ER243" s="1075"/>
      <c r="ES243" s="23"/>
      <c r="ET243" s="23"/>
      <c r="EU243" s="1075"/>
      <c r="EV243" s="23"/>
      <c r="EW243" s="23"/>
      <c r="EX243" s="1075"/>
      <c r="EY243" s="23"/>
      <c r="EZ243" s="23"/>
      <c r="FA243" s="23"/>
    </row>
    <row r="244" spans="1:157" ht="16.5" customHeight="1">
      <c r="A244" s="350"/>
      <c r="B244" s="350" t="s">
        <v>51</v>
      </c>
      <c r="C244" s="351"/>
      <c r="D244" s="352">
        <f t="shared" ref="D244:AI244" si="596">+D2</f>
        <v>0</v>
      </c>
      <c r="E244" s="352" t="str">
        <f t="shared" si="596"/>
        <v>1h85</v>
      </c>
      <c r="F244" s="352" t="str">
        <f t="shared" si="596"/>
        <v>2h85</v>
      </c>
      <c r="G244" s="352" t="str">
        <f t="shared" si="596"/>
        <v>1985</v>
      </c>
      <c r="H244" s="352" t="str">
        <f t="shared" si="596"/>
        <v>1h86</v>
      </c>
      <c r="I244" s="352" t="str">
        <f t="shared" si="596"/>
        <v>2h86</v>
      </c>
      <c r="J244" s="352" t="str">
        <f t="shared" si="596"/>
        <v>1986</v>
      </c>
      <c r="K244" s="352" t="str">
        <f t="shared" si="596"/>
        <v>1h87</v>
      </c>
      <c r="L244" s="352" t="str">
        <f t="shared" si="596"/>
        <v>2h87</v>
      </c>
      <c r="M244" s="352" t="str">
        <f t="shared" si="596"/>
        <v>1987</v>
      </c>
      <c r="N244" s="352" t="str">
        <f t="shared" si="596"/>
        <v>1h88</v>
      </c>
      <c r="O244" s="352" t="str">
        <f t="shared" si="596"/>
        <v>2h88</v>
      </c>
      <c r="P244" s="352" t="str">
        <f t="shared" si="596"/>
        <v>1988</v>
      </c>
      <c r="Q244" s="352" t="str">
        <f t="shared" si="596"/>
        <v>1h89</v>
      </c>
      <c r="R244" s="352" t="str">
        <f t="shared" si="596"/>
        <v>2h89</v>
      </c>
      <c r="S244" s="352" t="str">
        <f t="shared" si="596"/>
        <v>1989</v>
      </c>
      <c r="T244" s="352" t="str">
        <f t="shared" si="596"/>
        <v>1h90</v>
      </c>
      <c r="U244" s="352" t="str">
        <f t="shared" si="596"/>
        <v>2h90</v>
      </c>
      <c r="V244" s="352" t="str">
        <f t="shared" si="596"/>
        <v>1990</v>
      </c>
      <c r="W244" s="352" t="str">
        <f t="shared" si="596"/>
        <v>1h91</v>
      </c>
      <c r="X244" s="352" t="str">
        <f t="shared" si="596"/>
        <v>2h91</v>
      </c>
      <c r="Y244" s="352" t="str">
        <f t="shared" si="596"/>
        <v>1991</v>
      </c>
      <c r="Z244" s="352" t="str">
        <f t="shared" si="596"/>
        <v>1h92</v>
      </c>
      <c r="AA244" s="352" t="str">
        <f t="shared" si="596"/>
        <v>2h92</v>
      </c>
      <c r="AB244" s="352" t="str">
        <f t="shared" si="596"/>
        <v>1992</v>
      </c>
      <c r="AC244" s="352" t="str">
        <f t="shared" si="596"/>
        <v>1h93</v>
      </c>
      <c r="AD244" s="352" t="str">
        <f t="shared" si="596"/>
        <v>2h93</v>
      </c>
      <c r="AE244" s="352" t="str">
        <f t="shared" si="596"/>
        <v>1993</v>
      </c>
      <c r="AF244" s="352" t="str">
        <f t="shared" si="596"/>
        <v>1h94</v>
      </c>
      <c r="AG244" s="352" t="str">
        <f t="shared" si="596"/>
        <v>2h94</v>
      </c>
      <c r="AH244" s="352" t="str">
        <f t="shared" si="596"/>
        <v>1994</v>
      </c>
      <c r="AI244" s="352" t="str">
        <f t="shared" si="596"/>
        <v>1h95</v>
      </c>
      <c r="AJ244" s="352" t="str">
        <f t="shared" ref="AJ244:BO244" si="597">+AJ2</f>
        <v>2h95</v>
      </c>
      <c r="AK244" s="352" t="str">
        <f t="shared" si="597"/>
        <v>1995</v>
      </c>
      <c r="AL244" s="352" t="str">
        <f t="shared" si="597"/>
        <v>1h96</v>
      </c>
      <c r="AM244" s="352" t="str">
        <f t="shared" si="597"/>
        <v>2h96</v>
      </c>
      <c r="AN244" s="352" t="str">
        <f t="shared" si="597"/>
        <v>1996</v>
      </c>
      <c r="AO244" s="352" t="str">
        <f t="shared" si="597"/>
        <v>1h97</v>
      </c>
      <c r="AP244" s="352" t="str">
        <f t="shared" si="597"/>
        <v>2h97</v>
      </c>
      <c r="AQ244" s="352" t="str">
        <f t="shared" si="597"/>
        <v>FY97</v>
      </c>
      <c r="AR244" s="352" t="str">
        <f t="shared" si="597"/>
        <v>1H98</v>
      </c>
      <c r="AS244" s="352" t="str">
        <f t="shared" si="597"/>
        <v>2H98</v>
      </c>
      <c r="AT244" s="352" t="str">
        <f t="shared" si="597"/>
        <v>FY98</v>
      </c>
      <c r="AU244" s="352" t="str">
        <f t="shared" si="597"/>
        <v>1H99</v>
      </c>
      <c r="AV244" s="352" t="str">
        <f t="shared" si="597"/>
        <v>2H99</v>
      </c>
      <c r="AW244" s="352" t="str">
        <f t="shared" si="597"/>
        <v>FY99</v>
      </c>
      <c r="AX244" s="352" t="str">
        <f t="shared" si="597"/>
        <v>1H00</v>
      </c>
      <c r="AY244" s="352" t="str">
        <f t="shared" si="597"/>
        <v>2H00</v>
      </c>
      <c r="AZ244" s="352" t="str">
        <f t="shared" si="597"/>
        <v>FY00</v>
      </c>
      <c r="BA244" s="352" t="str">
        <f t="shared" si="597"/>
        <v>1H01</v>
      </c>
      <c r="BB244" s="352" t="str">
        <f t="shared" si="597"/>
        <v>2H01</v>
      </c>
      <c r="BC244" s="352" t="str">
        <f t="shared" si="597"/>
        <v>FY01</v>
      </c>
      <c r="BD244" s="352" t="str">
        <f t="shared" si="597"/>
        <v>1H02</v>
      </c>
      <c r="BE244" s="352" t="str">
        <f t="shared" si="597"/>
        <v>2H02</v>
      </c>
      <c r="BF244" s="352" t="str">
        <f t="shared" si="597"/>
        <v>FY02</v>
      </c>
      <c r="BG244" s="352" t="str">
        <f t="shared" si="597"/>
        <v>1H03</v>
      </c>
      <c r="BH244" s="352" t="str">
        <f t="shared" si="597"/>
        <v>2H03</v>
      </c>
      <c r="BI244" s="352" t="str">
        <f t="shared" si="597"/>
        <v>FY03</v>
      </c>
      <c r="BJ244" s="352" t="str">
        <f t="shared" si="597"/>
        <v>1H04</v>
      </c>
      <c r="BK244" s="352" t="str">
        <f t="shared" si="597"/>
        <v>2H04</v>
      </c>
      <c r="BL244" s="352" t="str">
        <f t="shared" si="597"/>
        <v>FY04</v>
      </c>
      <c r="BM244" s="352" t="str">
        <f t="shared" si="597"/>
        <v>1H05</v>
      </c>
      <c r="BN244" s="352" t="str">
        <f t="shared" si="597"/>
        <v>2H05</v>
      </c>
      <c r="BO244" s="352" t="str">
        <f t="shared" si="597"/>
        <v>FY05</v>
      </c>
      <c r="BP244" s="352" t="str">
        <f t="shared" ref="BP244:CU244" si="598">+BP2</f>
        <v>1H06</v>
      </c>
      <c r="BQ244" s="352" t="str">
        <f t="shared" si="598"/>
        <v>2H06</v>
      </c>
      <c r="BR244" s="352" t="str">
        <f t="shared" si="598"/>
        <v>FY06</v>
      </c>
      <c r="BS244" s="352" t="str">
        <f t="shared" si="598"/>
        <v>1H07</v>
      </c>
      <c r="BT244" s="352" t="str">
        <f t="shared" si="598"/>
        <v>2H07</v>
      </c>
      <c r="BU244" s="352" t="str">
        <f t="shared" si="598"/>
        <v>FY07</v>
      </c>
      <c r="BV244" s="352" t="str">
        <f t="shared" si="598"/>
        <v>1H08</v>
      </c>
      <c r="BW244" s="352" t="str">
        <f t="shared" si="598"/>
        <v>2H08</v>
      </c>
      <c r="BX244" s="352" t="str">
        <f t="shared" si="598"/>
        <v>FY08</v>
      </c>
      <c r="BY244" s="352" t="str">
        <f t="shared" si="598"/>
        <v>1H09</v>
      </c>
      <c r="BZ244" s="352" t="str">
        <f t="shared" si="598"/>
        <v>2H09</v>
      </c>
      <c r="CA244" s="352" t="str">
        <f t="shared" si="598"/>
        <v>FY09</v>
      </c>
      <c r="CB244" s="352" t="str">
        <f t="shared" si="598"/>
        <v>1H10</v>
      </c>
      <c r="CC244" s="352" t="str">
        <f t="shared" si="598"/>
        <v>2H10</v>
      </c>
      <c r="CD244" s="352" t="str">
        <f t="shared" si="598"/>
        <v>FY10</v>
      </c>
      <c r="CE244" s="352" t="str">
        <f t="shared" si="598"/>
        <v>1H11</v>
      </c>
      <c r="CF244" s="352" t="str">
        <f t="shared" si="598"/>
        <v>2H11</v>
      </c>
      <c r="CG244" s="352" t="str">
        <f t="shared" si="598"/>
        <v>FY11</v>
      </c>
      <c r="CH244" s="352" t="str">
        <f t="shared" si="598"/>
        <v>1H12</v>
      </c>
      <c r="CI244" s="352" t="str">
        <f t="shared" si="598"/>
        <v>2H12</v>
      </c>
      <c r="CJ244" s="352" t="str">
        <f t="shared" si="598"/>
        <v>FY12</v>
      </c>
      <c r="CK244" s="352" t="str">
        <f t="shared" si="598"/>
        <v>1H13</v>
      </c>
      <c r="CL244" s="352" t="str">
        <f t="shared" si="598"/>
        <v>2H13</v>
      </c>
      <c r="CM244" s="352" t="str">
        <f t="shared" si="598"/>
        <v>FY13</v>
      </c>
      <c r="CN244" s="352" t="str">
        <f t="shared" si="598"/>
        <v>1H14</v>
      </c>
      <c r="CO244" s="352" t="str">
        <f t="shared" si="598"/>
        <v>2H14</v>
      </c>
      <c r="CP244" s="352" t="str">
        <f t="shared" si="598"/>
        <v>FY14</v>
      </c>
      <c r="CQ244" s="352" t="str">
        <f t="shared" si="598"/>
        <v>1H15</v>
      </c>
      <c r="CR244" s="352" t="str">
        <f t="shared" si="598"/>
        <v>2H15</v>
      </c>
      <c r="CS244" s="352" t="str">
        <f t="shared" si="598"/>
        <v>FY15</v>
      </c>
      <c r="CT244" s="352" t="str">
        <f t="shared" si="598"/>
        <v>1H16</v>
      </c>
      <c r="CU244" s="352" t="str">
        <f t="shared" si="598"/>
        <v>2H16</v>
      </c>
      <c r="CV244" s="352" t="str">
        <f t="shared" ref="CV244:EF244" si="599">+CV2</f>
        <v>FY16</v>
      </c>
      <c r="CW244" s="352" t="str">
        <f t="shared" si="599"/>
        <v>1H17</v>
      </c>
      <c r="CX244" s="352" t="str">
        <f t="shared" si="599"/>
        <v>2H17</v>
      </c>
      <c r="CY244" s="352" t="str">
        <f t="shared" si="599"/>
        <v>FY17</v>
      </c>
      <c r="CZ244" s="352" t="str">
        <f t="shared" si="599"/>
        <v>1H18</v>
      </c>
      <c r="DA244" s="352" t="str">
        <f t="shared" si="599"/>
        <v>2H18</v>
      </c>
      <c r="DB244" s="352" t="str">
        <f t="shared" si="599"/>
        <v>FY18</v>
      </c>
      <c r="DC244" s="352" t="str">
        <f t="shared" si="599"/>
        <v>1H19</v>
      </c>
      <c r="DD244" s="352" t="str">
        <f t="shared" si="599"/>
        <v>2H19</v>
      </c>
      <c r="DE244" s="352" t="str">
        <f t="shared" si="599"/>
        <v>FY19</v>
      </c>
      <c r="DF244" s="352" t="str">
        <f t="shared" si="599"/>
        <v>1H20</v>
      </c>
      <c r="DG244" s="352" t="str">
        <f t="shared" si="599"/>
        <v>2H20</v>
      </c>
      <c r="DH244" s="352" t="str">
        <f t="shared" si="599"/>
        <v>FY20</v>
      </c>
      <c r="DI244" s="352" t="str">
        <f t="shared" si="599"/>
        <v>1H21</v>
      </c>
      <c r="DJ244" s="352" t="str">
        <f t="shared" si="599"/>
        <v>2H21</v>
      </c>
      <c r="DK244" s="1226" t="str">
        <f t="shared" si="599"/>
        <v>FY21</v>
      </c>
      <c r="DL244" s="352" t="str">
        <f t="shared" si="599"/>
        <v>1H22</v>
      </c>
      <c r="DM244" s="352" t="str">
        <f t="shared" si="599"/>
        <v>2H22</v>
      </c>
      <c r="DN244" s="1226" t="str">
        <f t="shared" si="599"/>
        <v>FY22</v>
      </c>
      <c r="DO244" s="352" t="str">
        <f t="shared" si="599"/>
        <v>1H23</v>
      </c>
      <c r="DP244" s="352" t="str">
        <f t="shared" si="599"/>
        <v>2H23</v>
      </c>
      <c r="DQ244" s="1226" t="str">
        <f t="shared" si="599"/>
        <v>FY23</v>
      </c>
      <c r="DR244" s="352" t="str">
        <f t="shared" si="599"/>
        <v>1H24</v>
      </c>
      <c r="DS244" s="352" t="str">
        <f t="shared" si="599"/>
        <v>2H24</v>
      </c>
      <c r="DT244" s="1226" t="str">
        <f t="shared" si="599"/>
        <v>FY24</v>
      </c>
      <c r="DU244" s="352" t="str">
        <f t="shared" si="599"/>
        <v>1H25</v>
      </c>
      <c r="DV244" s="352" t="str">
        <f t="shared" si="599"/>
        <v>2H25</v>
      </c>
      <c r="DW244" s="1226" t="str">
        <f t="shared" si="599"/>
        <v>FY25</v>
      </c>
      <c r="DX244" s="352" t="str">
        <f t="shared" si="599"/>
        <v>1H26</v>
      </c>
      <c r="DY244" s="352" t="str">
        <f t="shared" si="599"/>
        <v>2H26E</v>
      </c>
      <c r="DZ244" s="1226" t="str">
        <f t="shared" si="599"/>
        <v>FY26E</v>
      </c>
      <c r="EA244" s="352" t="str">
        <f t="shared" si="599"/>
        <v>1H27E</v>
      </c>
      <c r="EB244" s="352" t="str">
        <f t="shared" si="599"/>
        <v>2H27E</v>
      </c>
      <c r="EC244" s="1226" t="str">
        <f t="shared" si="599"/>
        <v>FY27E</v>
      </c>
      <c r="ED244" s="352" t="str">
        <f t="shared" si="599"/>
        <v>1H28E</v>
      </c>
      <c r="EE244" s="352" t="str">
        <f t="shared" si="599"/>
        <v>2H28E</v>
      </c>
      <c r="EF244" s="1226" t="str">
        <f t="shared" si="599"/>
        <v>FY28E</v>
      </c>
      <c r="EG244" s="352" t="str">
        <f t="shared" ref="EG244:EL244" si="600">+EG2</f>
        <v>1H29E</v>
      </c>
      <c r="EH244" s="352" t="str">
        <f t="shared" si="600"/>
        <v>2H29E</v>
      </c>
      <c r="EI244" s="1226" t="str">
        <f t="shared" si="600"/>
        <v>FY29E</v>
      </c>
      <c r="EJ244" s="352" t="str">
        <f t="shared" si="600"/>
        <v>1H30E</v>
      </c>
      <c r="EK244" s="352" t="str">
        <f t="shared" si="600"/>
        <v>2H30E</v>
      </c>
      <c r="EL244" s="1226" t="str">
        <f t="shared" si="600"/>
        <v>FY30E</v>
      </c>
      <c r="EM244" s="352" t="str">
        <f t="shared" ref="EM244:ER244" si="601">+EM2</f>
        <v>1H31E</v>
      </c>
      <c r="EN244" s="352" t="str">
        <f t="shared" si="601"/>
        <v>2H31E</v>
      </c>
      <c r="EO244" s="1226" t="str">
        <f t="shared" si="601"/>
        <v>FY31E</v>
      </c>
      <c r="EP244" s="352" t="str">
        <f t="shared" si="601"/>
        <v>1H32E</v>
      </c>
      <c r="EQ244" s="352" t="str">
        <f t="shared" si="601"/>
        <v>2H32E</v>
      </c>
      <c r="ER244" s="1226" t="str">
        <f t="shared" si="601"/>
        <v>FY32E</v>
      </c>
      <c r="ES244" s="352" t="str">
        <f t="shared" ref="ES244:EX244" si="602">+ES2</f>
        <v>1H33E</v>
      </c>
      <c r="ET244" s="352" t="str">
        <f t="shared" si="602"/>
        <v>2H33E</v>
      </c>
      <c r="EU244" s="1226" t="str">
        <f t="shared" si="602"/>
        <v>FY33E</v>
      </c>
      <c r="EV244" s="352" t="str">
        <f t="shared" si="602"/>
        <v>1H34E</v>
      </c>
      <c r="EW244" s="352" t="str">
        <f t="shared" si="602"/>
        <v>2H34E</v>
      </c>
      <c r="EX244" s="1226" t="str">
        <f t="shared" si="602"/>
        <v>FY34E</v>
      </c>
      <c r="EY244" s="352" t="str">
        <f t="shared" ref="EY244:FA244" si="603">+EY2</f>
        <v>1H35E</v>
      </c>
      <c r="EZ244" s="352" t="str">
        <f t="shared" si="603"/>
        <v>2H35E</v>
      </c>
      <c r="FA244" s="352" t="str">
        <f t="shared" si="603"/>
        <v>FY35E</v>
      </c>
    </row>
    <row r="245" spans="1:157" ht="13.35" customHeight="1" thickBot="1">
      <c r="A245" s="23"/>
      <c r="B245" s="46" t="s">
        <v>52</v>
      </c>
      <c r="C245" s="5"/>
      <c r="D245" s="23"/>
      <c r="E245" s="359"/>
      <c r="F245" s="359"/>
      <c r="G245" s="359"/>
      <c r="H245" s="359"/>
      <c r="I245" s="359"/>
      <c r="J245" s="359"/>
      <c r="K245" s="359"/>
      <c r="L245" s="359"/>
      <c r="M245" s="359"/>
      <c r="N245" s="359"/>
      <c r="O245" s="359"/>
      <c r="P245" s="359"/>
      <c r="Q245" s="359"/>
      <c r="R245" s="359"/>
      <c r="S245" s="359"/>
      <c r="T245" s="359"/>
      <c r="U245" s="359"/>
      <c r="V245" s="359"/>
      <c r="W245" s="359"/>
      <c r="X245" s="359"/>
      <c r="Y245" s="359"/>
      <c r="Z245" s="359"/>
      <c r="AA245" s="359"/>
      <c r="AB245" s="359"/>
      <c r="AC245" s="359"/>
      <c r="AD245" s="359"/>
      <c r="AE245" s="359"/>
      <c r="AF245" s="359"/>
      <c r="AG245" s="359"/>
      <c r="AH245" s="359"/>
      <c r="AI245" s="359"/>
      <c r="AJ245" s="359"/>
      <c r="AK245" s="359"/>
      <c r="AL245" s="359"/>
      <c r="AM245" s="359"/>
      <c r="AN245" s="359"/>
      <c r="AO245" s="359"/>
      <c r="AP245" s="359"/>
      <c r="AQ245" s="359"/>
      <c r="AR245" s="359"/>
      <c r="AS245" s="359"/>
      <c r="AT245" s="359"/>
      <c r="AU245" s="359"/>
      <c r="AV245" s="359"/>
      <c r="AW245" s="359"/>
      <c r="AX245" s="359"/>
      <c r="AY245" s="359"/>
      <c r="AZ245" s="359"/>
      <c r="BA245" s="359"/>
      <c r="BB245" s="359"/>
      <c r="BC245" s="359"/>
      <c r="BD245" s="359"/>
      <c r="BE245" s="359"/>
      <c r="BF245" s="359"/>
      <c r="BG245" s="359"/>
      <c r="BH245" s="359"/>
      <c r="BI245" s="359"/>
      <c r="BJ245" s="359"/>
      <c r="BK245" s="359"/>
      <c r="BL245" s="359"/>
      <c r="BM245" s="359"/>
      <c r="BN245" s="359"/>
      <c r="BO245" s="359"/>
      <c r="BP245" s="359"/>
      <c r="BQ245" s="359"/>
      <c r="BR245" s="359"/>
      <c r="BS245" s="359"/>
      <c r="BT245" s="359"/>
      <c r="BU245" s="359"/>
      <c r="BV245" s="359"/>
      <c r="BW245" s="359"/>
      <c r="BX245" s="359"/>
      <c r="BY245" s="359"/>
      <c r="BZ245" s="359"/>
      <c r="CA245" s="359"/>
      <c r="CB245" s="359"/>
      <c r="CC245" s="359"/>
      <c r="CD245" s="359"/>
      <c r="CE245" s="359"/>
      <c r="CF245" s="359"/>
      <c r="CG245" s="359"/>
      <c r="CH245" s="359"/>
      <c r="CI245" s="359"/>
      <c r="CJ245" s="359"/>
      <c r="CK245" s="359"/>
      <c r="CL245" s="359"/>
      <c r="CM245" s="359"/>
      <c r="CN245" s="359"/>
      <c r="CO245" s="359"/>
      <c r="CP245" s="359"/>
      <c r="CQ245" s="359"/>
      <c r="CR245" s="359"/>
      <c r="CS245" s="359"/>
      <c r="CT245" s="359"/>
      <c r="CU245" s="359"/>
      <c r="CV245" s="359"/>
      <c r="CW245" s="359"/>
      <c r="CX245" s="359"/>
      <c r="CY245" s="359"/>
      <c r="CZ245" s="359"/>
      <c r="DA245" s="359"/>
      <c r="DB245" s="359"/>
      <c r="DC245" s="359"/>
      <c r="DD245" s="359"/>
      <c r="DE245" s="359"/>
      <c r="DF245" s="359"/>
      <c r="DG245" s="359"/>
      <c r="DH245" s="359"/>
      <c r="DI245" s="359"/>
      <c r="DJ245" s="359"/>
      <c r="DK245" s="1208"/>
      <c r="DL245" s="359"/>
      <c r="DM245" s="359"/>
      <c r="DN245" s="1208"/>
      <c r="DO245" s="359"/>
      <c r="DP245" s="359"/>
      <c r="DQ245" s="1208"/>
      <c r="DR245" s="359"/>
      <c r="DS245" s="359"/>
      <c r="DT245" s="1208"/>
      <c r="DU245" s="359"/>
      <c r="DV245" s="359"/>
      <c r="DW245" s="1208"/>
      <c r="DX245" s="359"/>
      <c r="DY245" s="359"/>
      <c r="DZ245" s="1208"/>
      <c r="EA245" s="359"/>
      <c r="EB245" s="359"/>
      <c r="EC245" s="1208"/>
      <c r="ED245" s="359"/>
      <c r="EE245" s="359"/>
      <c r="EF245" s="1208"/>
      <c r="EG245" s="359"/>
      <c r="EH245" s="359"/>
      <c r="EI245" s="1208"/>
      <c r="EJ245" s="359"/>
      <c r="EK245" s="359"/>
      <c r="EL245" s="1208"/>
      <c r="EM245" s="359"/>
      <c r="EN245" s="359"/>
      <c r="EO245" s="1208"/>
      <c r="EP245" s="359"/>
      <c r="EQ245" s="359"/>
      <c r="ER245" s="1208"/>
      <c r="ES245" s="359"/>
      <c r="ET245" s="359"/>
      <c r="EU245" s="1208"/>
      <c r="EV245" s="359"/>
      <c r="EW245" s="359"/>
      <c r="EX245" s="1208"/>
      <c r="EY245" s="359"/>
      <c r="EZ245" s="359"/>
      <c r="FA245" s="359"/>
    </row>
    <row r="246" spans="1:157" ht="13.35" customHeight="1">
      <c r="A246" s="23"/>
      <c r="B246" s="5" t="s">
        <v>53</v>
      </c>
      <c r="C246" s="5"/>
      <c r="D246" s="410"/>
      <c r="E246" s="411"/>
      <c r="F246" s="412"/>
      <c r="G246" s="412"/>
      <c r="H246" s="412"/>
      <c r="I246" s="412"/>
      <c r="J246" s="412"/>
      <c r="K246" s="412"/>
      <c r="L246" s="412"/>
      <c r="M246" s="412"/>
      <c r="N246" s="412"/>
      <c r="O246" s="412"/>
      <c r="P246" s="412"/>
      <c r="Q246" s="412"/>
      <c r="R246" s="412"/>
      <c r="S246" s="412"/>
      <c r="T246" s="412"/>
      <c r="U246" s="412"/>
      <c r="V246" s="412"/>
      <c r="W246" s="412"/>
      <c r="X246" s="412"/>
      <c r="Y246" s="412"/>
      <c r="Z246" s="412"/>
      <c r="AA246" s="412"/>
      <c r="AB246" s="412"/>
      <c r="AC246" s="412"/>
      <c r="AD246" s="412"/>
      <c r="AE246" s="412"/>
      <c r="AF246" s="412"/>
      <c r="AG246" s="412"/>
      <c r="AH246" s="412"/>
      <c r="AI246" s="412"/>
      <c r="AJ246" s="412"/>
      <c r="AK246" s="412"/>
      <c r="AL246" s="412"/>
      <c r="AM246" s="412"/>
      <c r="AN246" s="412"/>
      <c r="AO246" s="412"/>
      <c r="AP246" s="412"/>
      <c r="AQ246" s="412"/>
      <c r="AR246" s="412"/>
      <c r="AS246" s="412"/>
      <c r="AT246" s="413"/>
      <c r="AU246" s="413"/>
      <c r="AV246" s="412"/>
      <c r="AW246" s="413"/>
      <c r="AX246" s="413"/>
      <c r="AY246" s="412"/>
      <c r="AZ246" s="413"/>
      <c r="BA246" s="413"/>
      <c r="BB246" s="412"/>
      <c r="BC246" s="413"/>
      <c r="BD246" s="412"/>
      <c r="BE246" s="412"/>
      <c r="BF246" s="412"/>
      <c r="BG246" s="412"/>
      <c r="BH246" s="412"/>
      <c r="BI246" s="412"/>
      <c r="BJ246" s="412"/>
      <c r="BK246" s="412"/>
      <c r="BL246" s="412"/>
      <c r="BM246" s="412"/>
      <c r="BN246" s="412"/>
      <c r="BO246" s="414"/>
      <c r="BP246" s="412"/>
      <c r="BQ246" s="412"/>
      <c r="BR246" s="414"/>
      <c r="BS246" s="412"/>
      <c r="BT246" s="412"/>
      <c r="BU246" s="414"/>
      <c r="BV246" s="412"/>
      <c r="BW246" s="412"/>
      <c r="BX246" s="414"/>
      <c r="BY246" s="412"/>
      <c r="BZ246" s="412"/>
      <c r="CA246" s="414"/>
      <c r="CB246" s="412"/>
      <c r="CC246" s="412"/>
      <c r="CD246" s="414"/>
      <c r="CE246" s="412"/>
      <c r="CF246" s="412"/>
      <c r="CG246" s="414"/>
      <c r="CH246" s="412"/>
      <c r="CI246" s="412"/>
      <c r="CJ246" s="414"/>
      <c r="CK246" s="412"/>
      <c r="CL246" s="412"/>
      <c r="CM246" s="414"/>
      <c r="CN246" s="412"/>
      <c r="CO246" s="412"/>
      <c r="CP246" s="414"/>
      <c r="CQ246" s="412"/>
      <c r="CR246" s="412"/>
      <c r="CS246" s="414"/>
      <c r="CT246" s="412"/>
      <c r="CU246" s="412"/>
      <c r="CV246" s="414"/>
      <c r="CW246" s="412"/>
      <c r="CX246" s="412"/>
      <c r="CY246" s="414"/>
      <c r="CZ246" s="412"/>
      <c r="DA246" s="412"/>
      <c r="DB246" s="414"/>
      <c r="DC246" s="412"/>
      <c r="DD246" s="412"/>
      <c r="DE246" s="414"/>
      <c r="DF246" s="412"/>
      <c r="DG246" s="412"/>
      <c r="DH246" s="414"/>
      <c r="DI246" s="412"/>
      <c r="DJ246" s="412"/>
      <c r="DK246" s="1227"/>
      <c r="DL246" s="412"/>
      <c r="DM246" s="412"/>
      <c r="DN246" s="1227"/>
      <c r="DO246" s="412"/>
      <c r="DP246" s="412"/>
      <c r="DQ246" s="1227"/>
      <c r="DR246" s="412"/>
      <c r="DS246" s="412"/>
      <c r="DT246" s="1227"/>
      <c r="DU246" s="412"/>
      <c r="DV246" s="412"/>
      <c r="DW246" s="1227"/>
      <c r="DX246" s="412"/>
      <c r="DY246" s="412"/>
      <c r="DZ246" s="1227"/>
      <c r="EA246" s="412"/>
      <c r="EB246" s="412"/>
      <c r="EC246" s="1227"/>
      <c r="ED246" s="412"/>
      <c r="EE246" s="412"/>
      <c r="EF246" s="1227"/>
      <c r="EG246" s="412"/>
      <c r="EH246" s="412"/>
      <c r="EI246" s="1227"/>
      <c r="EJ246" s="412"/>
      <c r="EK246" s="412"/>
      <c r="EL246" s="1227"/>
      <c r="EM246" s="412"/>
      <c r="EN246" s="412"/>
      <c r="EO246" s="1227"/>
      <c r="EP246" s="412"/>
      <c r="EQ246" s="412"/>
      <c r="ER246" s="1227"/>
      <c r="ES246" s="412"/>
      <c r="ET246" s="412"/>
      <c r="EU246" s="1227"/>
      <c r="EV246" s="412"/>
      <c r="EW246" s="412"/>
      <c r="EX246" s="1227"/>
      <c r="EY246" s="412"/>
      <c r="EZ246" s="412"/>
      <c r="FA246" s="414"/>
    </row>
    <row r="247" spans="1:157" ht="13.35" customHeight="1">
      <c r="A247" s="23"/>
      <c r="B247" s="5" t="s">
        <v>845</v>
      </c>
      <c r="C247" s="5"/>
      <c r="D247" s="410"/>
      <c r="E247" s="415"/>
      <c r="F247" s="356"/>
      <c r="G247" s="356"/>
      <c r="H247" s="356"/>
      <c r="I247" s="356"/>
      <c r="J247" s="356"/>
      <c r="K247" s="356"/>
      <c r="L247" s="356"/>
      <c r="M247" s="356"/>
      <c r="N247" s="356"/>
      <c r="O247" s="356"/>
      <c r="P247" s="356"/>
      <c r="Q247" s="356"/>
      <c r="R247" s="356"/>
      <c r="S247" s="356"/>
      <c r="T247" s="356"/>
      <c r="U247" s="356"/>
      <c r="V247" s="356"/>
      <c r="W247" s="356"/>
      <c r="X247" s="356"/>
      <c r="Y247" s="356"/>
      <c r="Z247" s="356"/>
      <c r="AA247" s="356"/>
      <c r="AB247" s="356"/>
      <c r="AC247" s="356"/>
      <c r="AD247" s="356"/>
      <c r="AE247" s="356"/>
      <c r="AF247" s="356"/>
      <c r="AG247" s="356"/>
      <c r="AH247" s="356"/>
      <c r="AI247" s="356"/>
      <c r="AJ247" s="356"/>
      <c r="AK247" s="356"/>
      <c r="AL247" s="356"/>
      <c r="AM247" s="356"/>
      <c r="AN247" s="356"/>
      <c r="AO247" s="356"/>
      <c r="AP247" s="356"/>
      <c r="AQ247" s="356"/>
      <c r="AR247" s="357"/>
      <c r="AS247" s="357"/>
      <c r="AT247" s="357"/>
      <c r="AU247" s="357"/>
      <c r="AV247" s="357"/>
      <c r="AW247" s="357"/>
      <c r="AX247" s="357"/>
      <c r="AY247" s="357"/>
      <c r="AZ247" s="357"/>
      <c r="BA247" s="357"/>
      <c r="BB247" s="357"/>
      <c r="BC247" s="357"/>
      <c r="BD247" s="357"/>
      <c r="BE247" s="357"/>
      <c r="BF247" s="357"/>
      <c r="BG247" s="357"/>
      <c r="BH247" s="357"/>
      <c r="BI247" s="357"/>
      <c r="BJ247" s="357"/>
      <c r="BK247" s="357"/>
      <c r="BL247" s="357"/>
      <c r="BM247" s="357"/>
      <c r="BN247" s="357"/>
      <c r="BO247" s="416"/>
      <c r="BP247" s="357"/>
      <c r="BQ247" s="357"/>
      <c r="BR247" s="416"/>
      <c r="BS247" s="357"/>
      <c r="BT247" s="357"/>
      <c r="BU247" s="416"/>
      <c r="BV247" s="357"/>
      <c r="BW247" s="357"/>
      <c r="BX247" s="416"/>
      <c r="BY247" s="357"/>
      <c r="BZ247" s="357"/>
      <c r="CA247" s="416"/>
      <c r="CB247" s="357"/>
      <c r="CC247" s="357"/>
      <c r="CD247" s="416"/>
      <c r="CE247" s="357"/>
      <c r="CF247" s="357"/>
      <c r="CG247" s="416"/>
      <c r="CH247" s="357"/>
      <c r="CI247" s="357"/>
      <c r="CJ247" s="416"/>
      <c r="CK247" s="357"/>
      <c r="CL247" s="357"/>
      <c r="CM247" s="416"/>
      <c r="CN247" s="357"/>
      <c r="CO247" s="357"/>
      <c r="CP247" s="416"/>
      <c r="CQ247" s="357"/>
      <c r="CR247" s="357"/>
      <c r="CS247" s="416"/>
      <c r="CT247" s="357"/>
      <c r="CU247" s="357"/>
      <c r="CV247" s="416"/>
      <c r="CW247" s="357"/>
      <c r="CX247" s="357"/>
      <c r="CY247" s="416"/>
      <c r="CZ247" s="357"/>
      <c r="DA247" s="357"/>
      <c r="DB247" s="416"/>
      <c r="DC247" s="357"/>
      <c r="DD247" s="357"/>
      <c r="DE247" s="416"/>
      <c r="DF247" s="357"/>
      <c r="DG247" s="357"/>
      <c r="DH247" s="416"/>
      <c r="DI247" s="357"/>
      <c r="DJ247" s="357"/>
      <c r="DK247" s="1205"/>
      <c r="DL247" s="357"/>
      <c r="DM247" s="357"/>
      <c r="DN247" s="1205"/>
      <c r="DO247" s="357"/>
      <c r="DP247" s="357"/>
      <c r="DQ247" s="1205"/>
      <c r="DR247" s="357"/>
      <c r="DS247" s="357"/>
      <c r="DT247" s="1205"/>
      <c r="DU247" s="357"/>
      <c r="DV247" s="357"/>
      <c r="DW247" s="1205"/>
      <c r="DX247" s="357"/>
      <c r="DY247" s="357"/>
      <c r="DZ247" s="1205"/>
      <c r="EA247" s="357"/>
      <c r="EB247" s="357"/>
      <c r="EC247" s="1205"/>
      <c r="ED247" s="357"/>
      <c r="EE247" s="357"/>
      <c r="EF247" s="1205"/>
      <c r="EG247" s="357"/>
      <c r="EH247" s="357"/>
      <c r="EI247" s="1205"/>
      <c r="EJ247" s="357"/>
      <c r="EK247" s="357"/>
      <c r="EL247" s="1205"/>
      <c r="EM247" s="357"/>
      <c r="EN247" s="357"/>
      <c r="EO247" s="1205"/>
      <c r="EP247" s="357"/>
      <c r="EQ247" s="357"/>
      <c r="ER247" s="1205"/>
      <c r="ES247" s="357"/>
      <c r="ET247" s="357"/>
      <c r="EU247" s="1205"/>
      <c r="EV247" s="357"/>
      <c r="EW247" s="357"/>
      <c r="EX247" s="1205"/>
      <c r="EY247" s="357"/>
      <c r="EZ247" s="357"/>
      <c r="FA247" s="416"/>
    </row>
    <row r="248" spans="1:157" ht="13.35" customHeight="1">
      <c r="A248" s="23"/>
      <c r="B248" s="417" t="s">
        <v>914</v>
      </c>
      <c r="C248" s="5"/>
      <c r="D248" s="410"/>
      <c r="E248" s="415"/>
      <c r="F248" s="356"/>
      <c r="G248" s="356"/>
      <c r="H248" s="356"/>
      <c r="I248" s="356"/>
      <c r="J248" s="356"/>
      <c r="K248" s="356"/>
      <c r="L248" s="356"/>
      <c r="M248" s="356"/>
      <c r="N248" s="356"/>
      <c r="O248" s="356"/>
      <c r="P248" s="356"/>
      <c r="Q248" s="356"/>
      <c r="R248" s="356"/>
      <c r="S248" s="356"/>
      <c r="T248" s="356"/>
      <c r="U248" s="356"/>
      <c r="V248" s="356"/>
      <c r="W248" s="356"/>
      <c r="X248" s="356"/>
      <c r="Y248" s="356"/>
      <c r="Z248" s="356"/>
      <c r="AA248" s="356"/>
      <c r="AB248" s="356"/>
      <c r="AC248" s="356"/>
      <c r="AD248" s="356"/>
      <c r="AE248" s="356"/>
      <c r="AF248" s="356"/>
      <c r="AG248" s="356"/>
      <c r="AH248" s="356"/>
      <c r="AI248" s="356"/>
      <c r="AJ248" s="356"/>
      <c r="AK248" s="356">
        <v>0.06</v>
      </c>
      <c r="AL248" s="356">
        <v>0.06</v>
      </c>
      <c r="AM248" s="356"/>
      <c r="AN248" s="356">
        <v>0.06</v>
      </c>
      <c r="AO248" s="356">
        <v>0.06</v>
      </c>
      <c r="AP248" s="356"/>
      <c r="AQ248" s="356">
        <v>0.06</v>
      </c>
      <c r="AR248" s="357">
        <v>0.06</v>
      </c>
      <c r="AS248" s="357"/>
      <c r="AT248" s="357">
        <v>0.06</v>
      </c>
      <c r="AU248" s="357">
        <v>0.05</v>
      </c>
      <c r="AV248" s="357"/>
      <c r="AW248" s="357">
        <f>IF(AU248&lt;&gt;"",AU248,"")</f>
        <v>0.05</v>
      </c>
      <c r="AX248" s="357">
        <f>AW248</f>
        <v>0.05</v>
      </c>
      <c r="AY248" s="357"/>
      <c r="AZ248" s="357"/>
      <c r="BA248" s="357"/>
      <c r="BB248" s="357"/>
      <c r="BC248" s="357"/>
      <c r="BD248" s="357" t="str">
        <f>IF(BC248&lt;&gt;"",BC248,"")</f>
        <v/>
      </c>
      <c r="BE248" s="357"/>
      <c r="BF248" s="357" t="str">
        <f>IF(BD248&lt;&gt;"",BD248,"")</f>
        <v/>
      </c>
      <c r="BG248" s="357" t="str">
        <f>IF(BF248&lt;&gt;"",BF248,"")</f>
        <v/>
      </c>
      <c r="BH248" s="357"/>
      <c r="BI248" s="357"/>
      <c r="BJ248" s="357"/>
      <c r="BK248" s="357"/>
      <c r="BL248" s="357"/>
      <c r="BM248" s="357"/>
      <c r="BN248" s="357"/>
      <c r="BO248" s="357"/>
      <c r="BP248" s="357"/>
      <c r="BQ248" s="357"/>
      <c r="BR248" s="357"/>
      <c r="BS248" s="357"/>
      <c r="BT248" s="357"/>
      <c r="BU248" s="357"/>
      <c r="BV248" s="357"/>
      <c r="BW248" s="357"/>
      <c r="BX248" s="357"/>
      <c r="BY248" s="357"/>
      <c r="BZ248" s="357"/>
      <c r="CA248" s="357"/>
      <c r="CB248" s="357"/>
      <c r="CC248" s="357"/>
      <c r="CD248" s="357"/>
      <c r="CE248" s="357"/>
      <c r="CF248" s="357"/>
      <c r="CG248" s="357"/>
      <c r="CH248" s="357"/>
      <c r="CI248" s="357"/>
      <c r="CJ248" s="357"/>
      <c r="CK248" s="357"/>
      <c r="CL248" s="357"/>
      <c r="CM248" s="357"/>
      <c r="CN248" s="357"/>
      <c r="CO248" s="357"/>
      <c r="CP248" s="357"/>
      <c r="CQ248" s="357"/>
      <c r="CR248" s="357"/>
      <c r="CS248" s="357"/>
      <c r="CT248" s="357"/>
      <c r="CU248" s="357"/>
      <c r="CV248" s="357"/>
      <c r="CW248" s="357"/>
      <c r="CX248" s="357"/>
      <c r="CY248" s="357"/>
      <c r="CZ248" s="357"/>
      <c r="DA248" s="357"/>
      <c r="DB248" s="357"/>
      <c r="DC248" s="357"/>
      <c r="DD248" s="357"/>
      <c r="DE248" s="357"/>
      <c r="DF248" s="357"/>
      <c r="DG248" s="357"/>
      <c r="DH248" s="357"/>
      <c r="DI248" s="357"/>
      <c r="DJ248" s="357"/>
      <c r="DK248" s="1205"/>
      <c r="DL248" s="357"/>
      <c r="DM248" s="357"/>
      <c r="DN248" s="1205"/>
      <c r="DO248" s="357"/>
      <c r="DP248" s="357"/>
      <c r="DQ248" s="1205"/>
      <c r="DR248" s="357"/>
      <c r="DS248" s="357"/>
      <c r="DT248" s="1205"/>
      <c r="DU248" s="357"/>
      <c r="DV248" s="357"/>
      <c r="DW248" s="1205"/>
      <c r="DX248" s="357"/>
      <c r="DY248" s="357"/>
      <c r="DZ248" s="1205"/>
      <c r="EA248" s="357"/>
      <c r="EB248" s="357"/>
      <c r="EC248" s="1205"/>
      <c r="ED248" s="357"/>
      <c r="EE248" s="357"/>
      <c r="EF248" s="1205"/>
      <c r="EG248" s="357"/>
      <c r="EH248" s="357"/>
      <c r="EI248" s="1205"/>
      <c r="EJ248" s="357"/>
      <c r="EK248" s="357"/>
      <c r="EL248" s="1205"/>
      <c r="EM248" s="357"/>
      <c r="EN248" s="357"/>
      <c r="EO248" s="1205"/>
      <c r="EP248" s="357"/>
      <c r="EQ248" s="357"/>
      <c r="ER248" s="1205"/>
      <c r="ES248" s="357"/>
      <c r="ET248" s="357"/>
      <c r="EU248" s="1205"/>
      <c r="EV248" s="357"/>
      <c r="EW248" s="357"/>
      <c r="EX248" s="1205"/>
      <c r="EY248" s="357"/>
      <c r="EZ248" s="357"/>
      <c r="FA248" s="416"/>
    </row>
    <row r="249" spans="1:157" ht="13.35" customHeight="1">
      <c r="A249" s="23"/>
      <c r="B249" s="5" t="s">
        <v>302</v>
      </c>
      <c r="C249" s="5"/>
      <c r="D249" s="410"/>
      <c r="E249" s="415"/>
      <c r="F249" s="356"/>
      <c r="G249" s="356"/>
      <c r="H249" s="356"/>
      <c r="I249" s="356"/>
      <c r="J249" s="356"/>
      <c r="K249" s="356"/>
      <c r="L249" s="356"/>
      <c r="M249" s="356"/>
      <c r="N249" s="356"/>
      <c r="O249" s="356"/>
      <c r="P249" s="356"/>
      <c r="Q249" s="356"/>
      <c r="R249" s="356"/>
      <c r="S249" s="356"/>
      <c r="T249" s="356"/>
      <c r="U249" s="356"/>
      <c r="V249" s="356"/>
      <c r="W249" s="356"/>
      <c r="X249" s="356"/>
      <c r="Y249" s="356"/>
      <c r="Z249" s="356"/>
      <c r="AA249" s="356"/>
      <c r="AB249" s="356"/>
      <c r="AC249" s="356"/>
      <c r="AD249" s="356"/>
      <c r="AE249" s="356"/>
      <c r="AF249" s="356"/>
      <c r="AG249" s="356"/>
      <c r="AH249" s="356"/>
      <c r="AI249" s="356"/>
      <c r="AJ249" s="356"/>
      <c r="AK249" s="356"/>
      <c r="AL249" s="356"/>
      <c r="AM249" s="356"/>
      <c r="AN249" s="356"/>
      <c r="AO249" s="356"/>
      <c r="AP249" s="356"/>
      <c r="AQ249" s="356"/>
      <c r="AR249" s="357"/>
      <c r="AS249" s="357"/>
      <c r="AT249" s="357"/>
      <c r="AU249" s="357"/>
      <c r="AV249" s="357"/>
      <c r="AW249" s="357"/>
      <c r="AX249" s="357"/>
      <c r="AY249" s="357"/>
      <c r="AZ249" s="357"/>
      <c r="BA249" s="357"/>
      <c r="BB249" s="357"/>
      <c r="BC249" s="357"/>
      <c r="BD249" s="357"/>
      <c r="BE249" s="357"/>
      <c r="BF249" s="357"/>
      <c r="BG249" s="357"/>
      <c r="BH249" s="357"/>
      <c r="BI249" s="357"/>
      <c r="BJ249" s="357"/>
      <c r="BK249" s="357"/>
      <c r="BL249" s="357"/>
      <c r="BM249" s="357"/>
      <c r="BN249" s="357"/>
      <c r="BO249" s="416"/>
      <c r="BP249" s="357"/>
      <c r="BQ249" s="357"/>
      <c r="BR249" s="416"/>
      <c r="BS249" s="357"/>
      <c r="BT249" s="357"/>
      <c r="BU249" s="416"/>
      <c r="BV249" s="357"/>
      <c r="BW249" s="357"/>
      <c r="BX249" s="416"/>
      <c r="BY249" s="357"/>
      <c r="BZ249" s="357"/>
      <c r="CA249" s="416"/>
      <c r="CB249" s="357"/>
      <c r="CC249" s="357"/>
      <c r="CD249" s="416"/>
      <c r="CE249" s="357"/>
      <c r="CF249" s="357"/>
      <c r="CG249" s="416"/>
      <c r="CH249" s="357"/>
      <c r="CI249" s="357"/>
      <c r="CJ249" s="416"/>
      <c r="CK249" s="357"/>
      <c r="CL249" s="357"/>
      <c r="CM249" s="416"/>
      <c r="CN249" s="357"/>
      <c r="CO249" s="357"/>
      <c r="CP249" s="416"/>
      <c r="CQ249" s="357"/>
      <c r="CR249" s="357"/>
      <c r="CS249" s="416"/>
      <c r="CT249" s="357"/>
      <c r="CU249" s="357"/>
      <c r="CV249" s="416"/>
      <c r="CW249" s="357"/>
      <c r="CX249" s="357"/>
      <c r="CY249" s="416"/>
      <c r="CZ249" s="357"/>
      <c r="DA249" s="357"/>
      <c r="DB249" s="416"/>
      <c r="DC249" s="357"/>
      <c r="DD249" s="357"/>
      <c r="DE249" s="416"/>
      <c r="DF249" s="357"/>
      <c r="DG249" s="357"/>
      <c r="DH249" s="416"/>
      <c r="DI249" s="357"/>
      <c r="DJ249" s="357"/>
      <c r="DK249" s="1205"/>
      <c r="DL249" s="357"/>
      <c r="DM249" s="357"/>
      <c r="DN249" s="1205"/>
      <c r="DO249" s="357"/>
      <c r="DP249" s="357"/>
      <c r="DQ249" s="1205"/>
      <c r="DR249" s="357"/>
      <c r="DS249" s="357"/>
      <c r="DT249" s="1205"/>
      <c r="DU249" s="357"/>
      <c r="DV249" s="357"/>
      <c r="DW249" s="1205"/>
      <c r="DX249" s="357"/>
      <c r="DY249" s="357"/>
      <c r="DZ249" s="1205"/>
      <c r="EA249" s="357"/>
      <c r="EB249" s="357"/>
      <c r="EC249" s="1205"/>
      <c r="ED249" s="357"/>
      <c r="EE249" s="357"/>
      <c r="EF249" s="1205"/>
      <c r="EG249" s="357"/>
      <c r="EH249" s="357"/>
      <c r="EI249" s="1205"/>
      <c r="EJ249" s="357"/>
      <c r="EK249" s="357"/>
      <c r="EL249" s="1205"/>
      <c r="EM249" s="357"/>
      <c r="EN249" s="357"/>
      <c r="EO249" s="1205"/>
      <c r="EP249" s="357"/>
      <c r="EQ249" s="357"/>
      <c r="ER249" s="1205"/>
      <c r="ES249" s="357"/>
      <c r="ET249" s="357"/>
      <c r="EU249" s="1205"/>
      <c r="EV249" s="357"/>
      <c r="EW249" s="357"/>
      <c r="EX249" s="1205"/>
      <c r="EY249" s="357"/>
      <c r="EZ249" s="357"/>
      <c r="FA249" s="416"/>
    </row>
    <row r="250" spans="1:157" ht="13.35" customHeight="1">
      <c r="A250" s="23"/>
      <c r="B250" s="417" t="s">
        <v>303</v>
      </c>
      <c r="C250" s="5"/>
      <c r="D250" s="410"/>
      <c r="E250" s="415"/>
      <c r="F250" s="356"/>
      <c r="G250" s="356"/>
      <c r="H250" s="356"/>
      <c r="I250" s="356"/>
      <c r="J250" s="356"/>
      <c r="K250" s="356"/>
      <c r="L250" s="356"/>
      <c r="M250" s="356"/>
      <c r="N250" s="356"/>
      <c r="O250" s="356"/>
      <c r="P250" s="356"/>
      <c r="Q250" s="356"/>
      <c r="R250" s="356"/>
      <c r="S250" s="356"/>
      <c r="T250" s="356"/>
      <c r="U250" s="356"/>
      <c r="V250" s="356"/>
      <c r="W250" s="356"/>
      <c r="X250" s="356"/>
      <c r="Y250" s="356"/>
      <c r="Z250" s="356"/>
      <c r="AA250" s="356"/>
      <c r="AB250" s="356"/>
      <c r="AC250" s="356"/>
      <c r="AD250" s="356"/>
      <c r="AE250" s="356"/>
      <c r="AF250" s="356"/>
      <c r="AG250" s="356"/>
      <c r="AH250" s="356"/>
      <c r="AI250" s="356"/>
      <c r="AJ250" s="356"/>
      <c r="AK250" s="356"/>
      <c r="AL250" s="356"/>
      <c r="AM250" s="356"/>
      <c r="AN250" s="356"/>
      <c r="AO250" s="356"/>
      <c r="AP250" s="356"/>
      <c r="AQ250" s="356"/>
      <c r="AR250" s="357"/>
      <c r="AS250" s="357"/>
      <c r="AT250" s="357"/>
      <c r="AU250" s="357"/>
      <c r="AV250" s="357"/>
      <c r="AW250" s="357"/>
      <c r="AX250" s="357"/>
      <c r="AY250" s="357"/>
      <c r="AZ250" s="357"/>
      <c r="BA250" s="357"/>
      <c r="BB250" s="357"/>
      <c r="BC250" s="357"/>
      <c r="BD250" s="357"/>
      <c r="BE250" s="357"/>
      <c r="BF250" s="357"/>
      <c r="BG250" s="357"/>
      <c r="BH250" s="357"/>
      <c r="BI250" s="357"/>
      <c r="BJ250" s="357"/>
      <c r="BK250" s="357"/>
      <c r="BL250" s="357"/>
      <c r="BM250" s="357"/>
      <c r="BN250" s="357"/>
      <c r="BO250" s="416"/>
      <c r="BP250" s="357"/>
      <c r="BQ250" s="357"/>
      <c r="BR250" s="416"/>
      <c r="BS250" s="357"/>
      <c r="BT250" s="357"/>
      <c r="BU250" s="416"/>
      <c r="BV250" s="357"/>
      <c r="BW250" s="357"/>
      <c r="BX250" s="416"/>
      <c r="BY250" s="357"/>
      <c r="BZ250" s="357"/>
      <c r="CA250" s="416"/>
      <c r="CB250" s="357"/>
      <c r="CC250" s="357"/>
      <c r="CD250" s="416"/>
      <c r="CE250" s="357"/>
      <c r="CF250" s="357"/>
      <c r="CG250" s="416"/>
      <c r="CH250" s="357"/>
      <c r="CI250" s="357"/>
      <c r="CJ250" s="416"/>
      <c r="CK250" s="357"/>
      <c r="CL250" s="357"/>
      <c r="CM250" s="416"/>
      <c r="CN250" s="357"/>
      <c r="CO250" s="357"/>
      <c r="CP250" s="416"/>
      <c r="CQ250" s="357"/>
      <c r="CR250" s="357"/>
      <c r="CS250" s="416"/>
      <c r="CT250" s="357"/>
      <c r="CU250" s="357"/>
      <c r="CV250" s="416"/>
      <c r="CW250" s="357"/>
      <c r="CX250" s="357"/>
      <c r="CY250" s="416"/>
      <c r="CZ250" s="357"/>
      <c r="DA250" s="357"/>
      <c r="DB250" s="416"/>
      <c r="DC250" s="357"/>
      <c r="DD250" s="357"/>
      <c r="DE250" s="416"/>
      <c r="DF250" s="357"/>
      <c r="DG250" s="357"/>
      <c r="DH250" s="416"/>
      <c r="DI250" s="357"/>
      <c r="DJ250" s="357"/>
      <c r="DK250" s="1205"/>
      <c r="DL250" s="357"/>
      <c r="DM250" s="357"/>
      <c r="DN250" s="1205"/>
      <c r="DO250" s="357"/>
      <c r="DP250" s="357"/>
      <c r="DQ250" s="1205"/>
      <c r="DR250" s="357"/>
      <c r="DS250" s="357"/>
      <c r="DT250" s="1205"/>
      <c r="DU250" s="357"/>
      <c r="DV250" s="357"/>
      <c r="DW250" s="1205"/>
      <c r="DX250" s="357"/>
      <c r="DY250" s="357"/>
      <c r="DZ250" s="1205"/>
      <c r="EA250" s="357"/>
      <c r="EB250" s="357"/>
      <c r="EC250" s="1205"/>
      <c r="ED250" s="357"/>
      <c r="EE250" s="357"/>
      <c r="EF250" s="1205"/>
      <c r="EG250" s="357"/>
      <c r="EH250" s="357"/>
      <c r="EI250" s="1205"/>
      <c r="EJ250" s="357"/>
      <c r="EK250" s="357"/>
      <c r="EL250" s="1205"/>
      <c r="EM250" s="357"/>
      <c r="EN250" s="357"/>
      <c r="EO250" s="1205"/>
      <c r="EP250" s="357"/>
      <c r="EQ250" s="357"/>
      <c r="ER250" s="1205"/>
      <c r="ES250" s="357"/>
      <c r="ET250" s="357"/>
      <c r="EU250" s="1205"/>
      <c r="EV250" s="357"/>
      <c r="EW250" s="357"/>
      <c r="EX250" s="1205"/>
      <c r="EY250" s="357"/>
      <c r="EZ250" s="357"/>
      <c r="FA250" s="416"/>
    </row>
    <row r="251" spans="1:157" ht="13.35" customHeight="1">
      <c r="A251" s="23"/>
      <c r="B251" s="5" t="s">
        <v>915</v>
      </c>
      <c r="C251" s="5"/>
      <c r="D251" s="410"/>
      <c r="E251" s="415"/>
      <c r="F251" s="356"/>
      <c r="G251" s="356"/>
      <c r="H251" s="356"/>
      <c r="I251" s="356"/>
      <c r="J251" s="356"/>
      <c r="K251" s="356"/>
      <c r="L251" s="356"/>
      <c r="M251" s="356"/>
      <c r="N251" s="356"/>
      <c r="O251" s="356"/>
      <c r="P251" s="356"/>
      <c r="Q251" s="356"/>
      <c r="R251" s="356"/>
      <c r="S251" s="356"/>
      <c r="T251" s="356"/>
      <c r="U251" s="356"/>
      <c r="V251" s="356"/>
      <c r="W251" s="356"/>
      <c r="X251" s="356"/>
      <c r="Y251" s="356"/>
      <c r="Z251" s="356"/>
      <c r="AA251" s="356"/>
      <c r="AB251" s="356"/>
      <c r="AC251" s="356"/>
      <c r="AD251" s="356"/>
      <c r="AE251" s="356"/>
      <c r="AF251" s="356"/>
      <c r="AG251" s="356"/>
      <c r="AH251" s="356"/>
      <c r="AI251" s="356"/>
      <c r="AJ251" s="356"/>
      <c r="AK251" s="356"/>
      <c r="AL251" s="356"/>
      <c r="AM251" s="356"/>
      <c r="AN251" s="356"/>
      <c r="AO251" s="356"/>
      <c r="AP251" s="356"/>
      <c r="AQ251" s="356"/>
      <c r="AR251" s="357"/>
      <c r="AS251" s="357"/>
      <c r="AT251" s="357"/>
      <c r="AU251" s="357"/>
      <c r="AV251" s="357"/>
      <c r="AW251" s="357"/>
      <c r="AX251" s="357"/>
      <c r="AY251" s="357"/>
      <c r="AZ251" s="357"/>
      <c r="BA251" s="357"/>
      <c r="BB251" s="357"/>
      <c r="BC251" s="357"/>
      <c r="BD251" s="357"/>
      <c r="BE251" s="357"/>
      <c r="BF251" s="357"/>
      <c r="BG251" s="357"/>
      <c r="BH251" s="357"/>
      <c r="BI251" s="357"/>
      <c r="BJ251" s="357"/>
      <c r="BK251" s="357"/>
      <c r="BL251" s="357"/>
      <c r="BM251" s="357"/>
      <c r="BN251" s="357"/>
      <c r="BO251" s="416"/>
      <c r="BP251" s="357"/>
      <c r="BQ251" s="357"/>
      <c r="BR251" s="416"/>
      <c r="BS251" s="357"/>
      <c r="BT251" s="357"/>
      <c r="BU251" s="416"/>
      <c r="BV251" s="357"/>
      <c r="BW251" s="357"/>
      <c r="BX251" s="416"/>
      <c r="BY251" s="357"/>
      <c r="BZ251" s="357"/>
      <c r="CA251" s="416"/>
      <c r="CB251" s="357"/>
      <c r="CC251" s="357"/>
      <c r="CD251" s="416"/>
      <c r="CE251" s="357"/>
      <c r="CF251" s="357"/>
      <c r="CG251" s="416"/>
      <c r="CH251" s="357"/>
      <c r="CI251" s="357"/>
      <c r="CJ251" s="416"/>
      <c r="CK251" s="357"/>
      <c r="CL251" s="357"/>
      <c r="CM251" s="416"/>
      <c r="CN251" s="357"/>
      <c r="CO251" s="357"/>
      <c r="CP251" s="416"/>
      <c r="CQ251" s="357"/>
      <c r="CR251" s="357"/>
      <c r="CS251" s="416"/>
      <c r="CT251" s="357"/>
      <c r="CU251" s="357"/>
      <c r="CV251" s="416"/>
      <c r="CW251" s="357"/>
      <c r="CX251" s="357"/>
      <c r="CY251" s="416"/>
      <c r="CZ251" s="357"/>
      <c r="DA251" s="357"/>
      <c r="DB251" s="416"/>
      <c r="DC251" s="357"/>
      <c r="DD251" s="357"/>
      <c r="DE251" s="416"/>
      <c r="DF251" s="357"/>
      <c r="DG251" s="357"/>
      <c r="DH251" s="416"/>
      <c r="DI251" s="357"/>
      <c r="DJ251" s="357"/>
      <c r="DK251" s="1205"/>
      <c r="DL251" s="357"/>
      <c r="DM251" s="357"/>
      <c r="DN251" s="1205"/>
      <c r="DO251" s="357"/>
      <c r="DP251" s="357"/>
      <c r="DQ251" s="1205"/>
      <c r="DR251" s="357"/>
      <c r="DS251" s="357"/>
      <c r="DT251" s="1205"/>
      <c r="DU251" s="357"/>
      <c r="DV251" s="357"/>
      <c r="DW251" s="1205"/>
      <c r="DX251" s="357"/>
      <c r="DY251" s="357"/>
      <c r="DZ251" s="1205"/>
      <c r="EA251" s="357"/>
      <c r="EB251" s="357"/>
      <c r="EC251" s="1205"/>
      <c r="ED251" s="357"/>
      <c r="EE251" s="357"/>
      <c r="EF251" s="1205"/>
      <c r="EG251" s="357"/>
      <c r="EH251" s="357"/>
      <c r="EI251" s="1205"/>
      <c r="EJ251" s="357"/>
      <c r="EK251" s="357"/>
      <c r="EL251" s="1205"/>
      <c r="EM251" s="357"/>
      <c r="EN251" s="357"/>
      <c r="EO251" s="1205"/>
      <c r="EP251" s="357"/>
      <c r="EQ251" s="357"/>
      <c r="ER251" s="1205"/>
      <c r="ES251" s="357"/>
      <c r="ET251" s="357"/>
      <c r="EU251" s="1205"/>
      <c r="EV251" s="357"/>
      <c r="EW251" s="357"/>
      <c r="EX251" s="1205"/>
      <c r="EY251" s="357"/>
      <c r="EZ251" s="357"/>
      <c r="FA251" s="416"/>
    </row>
    <row r="252" spans="1:157" ht="13.35" customHeight="1">
      <c r="A252" s="23"/>
      <c r="B252" s="5" t="s">
        <v>915</v>
      </c>
      <c r="C252" s="5"/>
      <c r="D252" s="410"/>
      <c r="E252" s="415"/>
      <c r="F252" s="356"/>
      <c r="G252" s="356"/>
      <c r="H252" s="356"/>
      <c r="I252" s="356"/>
      <c r="J252" s="356"/>
      <c r="K252" s="356"/>
      <c r="L252" s="356"/>
      <c r="M252" s="356"/>
      <c r="N252" s="356"/>
      <c r="O252" s="356"/>
      <c r="P252" s="356"/>
      <c r="Q252" s="356"/>
      <c r="R252" s="356"/>
      <c r="S252" s="356"/>
      <c r="T252" s="356"/>
      <c r="U252" s="356"/>
      <c r="V252" s="356"/>
      <c r="W252" s="356"/>
      <c r="X252" s="356"/>
      <c r="Y252" s="356"/>
      <c r="Z252" s="356"/>
      <c r="AA252" s="356"/>
      <c r="AB252" s="356"/>
      <c r="AC252" s="356"/>
      <c r="AD252" s="356"/>
      <c r="AE252" s="356"/>
      <c r="AF252" s="356"/>
      <c r="AG252" s="356"/>
      <c r="AH252" s="356"/>
      <c r="AI252" s="356"/>
      <c r="AJ252" s="356"/>
      <c r="AK252" s="356"/>
      <c r="AL252" s="356"/>
      <c r="AM252" s="356"/>
      <c r="AN252" s="356"/>
      <c r="AO252" s="356"/>
      <c r="AP252" s="356"/>
      <c r="AQ252" s="356"/>
      <c r="AR252" s="357"/>
      <c r="AS252" s="357"/>
      <c r="AT252" s="357"/>
      <c r="AU252" s="357"/>
      <c r="AV252" s="357"/>
      <c r="AW252" s="357"/>
      <c r="AX252" s="357"/>
      <c r="AY252" s="357"/>
      <c r="AZ252" s="357"/>
      <c r="BA252" s="357"/>
      <c r="BB252" s="357"/>
      <c r="BC252" s="357"/>
      <c r="BD252" s="357"/>
      <c r="BE252" s="357"/>
      <c r="BF252" s="357"/>
      <c r="BG252" s="357"/>
      <c r="BH252" s="357"/>
      <c r="BI252" s="357"/>
      <c r="BJ252" s="357"/>
      <c r="BK252" s="357"/>
      <c r="BL252" s="357"/>
      <c r="BM252" s="357"/>
      <c r="BN252" s="357"/>
      <c r="BO252" s="416"/>
      <c r="BP252" s="357"/>
      <c r="BQ252" s="357"/>
      <c r="BR252" s="416"/>
      <c r="BS252" s="357"/>
      <c r="BT252" s="357"/>
      <c r="BU252" s="416"/>
      <c r="BV252" s="357"/>
      <c r="BW252" s="357"/>
      <c r="BX252" s="416"/>
      <c r="BY252" s="357"/>
      <c r="BZ252" s="357"/>
      <c r="CA252" s="416"/>
      <c r="CB252" s="357"/>
      <c r="CC252" s="357"/>
      <c r="CD252" s="416"/>
      <c r="CE252" s="357"/>
      <c r="CF252" s="357"/>
      <c r="CG252" s="416"/>
      <c r="CH252" s="357"/>
      <c r="CI252" s="357"/>
      <c r="CJ252" s="416"/>
      <c r="CK252" s="357"/>
      <c r="CL252" s="357"/>
      <c r="CM252" s="416"/>
      <c r="CN252" s="357"/>
      <c r="CO252" s="357"/>
      <c r="CP252" s="416"/>
      <c r="CQ252" s="357"/>
      <c r="CR252" s="357"/>
      <c r="CS252" s="416"/>
      <c r="CT252" s="357"/>
      <c r="CU252" s="357"/>
      <c r="CV252" s="416"/>
      <c r="CW252" s="357"/>
      <c r="CX252" s="357"/>
      <c r="CY252" s="416"/>
      <c r="CZ252" s="357"/>
      <c r="DA252" s="357"/>
      <c r="DB252" s="416"/>
      <c r="DC252" s="357"/>
      <c r="DD252" s="357"/>
      <c r="DE252" s="416"/>
      <c r="DF252" s="357"/>
      <c r="DG252" s="357"/>
      <c r="DH252" s="416"/>
      <c r="DI252" s="357"/>
      <c r="DJ252" s="357"/>
      <c r="DK252" s="1205"/>
      <c r="DL252" s="357"/>
      <c r="DM252" s="357"/>
      <c r="DN252" s="1205"/>
      <c r="DO252" s="357"/>
      <c r="DP252" s="357"/>
      <c r="DQ252" s="1205"/>
      <c r="DR252" s="357"/>
      <c r="DS252" s="357"/>
      <c r="DT252" s="1205"/>
      <c r="DU252" s="357"/>
      <c r="DV252" s="357"/>
      <c r="DW252" s="1205"/>
      <c r="DX252" s="357"/>
      <c r="DY252" s="357"/>
      <c r="DZ252" s="1205"/>
      <c r="EA252" s="357"/>
      <c r="EB252" s="357"/>
      <c r="EC252" s="1205"/>
      <c r="ED252" s="357"/>
      <c r="EE252" s="357"/>
      <c r="EF252" s="1205"/>
      <c r="EG252" s="357"/>
      <c r="EH252" s="357"/>
      <c r="EI252" s="1205"/>
      <c r="EJ252" s="357"/>
      <c r="EK252" s="357"/>
      <c r="EL252" s="1205"/>
      <c r="EM252" s="357"/>
      <c r="EN252" s="357"/>
      <c r="EO252" s="1205"/>
      <c r="EP252" s="357"/>
      <c r="EQ252" s="357"/>
      <c r="ER252" s="1205"/>
      <c r="ES252" s="357"/>
      <c r="ET252" s="357"/>
      <c r="EU252" s="1205"/>
      <c r="EV252" s="357"/>
      <c r="EW252" s="357"/>
      <c r="EX252" s="1205"/>
      <c r="EY252" s="357"/>
      <c r="EZ252" s="357"/>
      <c r="FA252" s="416"/>
    </row>
    <row r="253" spans="1:157" ht="13.35" customHeight="1">
      <c r="A253" s="23"/>
      <c r="B253" s="5" t="s">
        <v>915</v>
      </c>
      <c r="C253" s="5"/>
      <c r="D253" s="410"/>
      <c r="E253" s="415"/>
      <c r="F253" s="356"/>
      <c r="G253" s="356"/>
      <c r="H253" s="356"/>
      <c r="I253" s="356"/>
      <c r="J253" s="356"/>
      <c r="K253" s="356"/>
      <c r="L253" s="356"/>
      <c r="M253" s="356"/>
      <c r="N253" s="356"/>
      <c r="O253" s="356"/>
      <c r="P253" s="356"/>
      <c r="Q253" s="356"/>
      <c r="R253" s="356"/>
      <c r="S253" s="356"/>
      <c r="T253" s="356"/>
      <c r="U253" s="356"/>
      <c r="V253" s="356"/>
      <c r="W253" s="356"/>
      <c r="X253" s="356"/>
      <c r="Y253" s="356"/>
      <c r="Z253" s="356"/>
      <c r="AA253" s="356"/>
      <c r="AB253" s="356"/>
      <c r="AC253" s="356"/>
      <c r="AD253" s="356"/>
      <c r="AE253" s="356"/>
      <c r="AF253" s="356"/>
      <c r="AG253" s="356"/>
      <c r="AH253" s="356"/>
      <c r="AI253" s="356"/>
      <c r="AJ253" s="356"/>
      <c r="AK253" s="356"/>
      <c r="AL253" s="356"/>
      <c r="AM253" s="356"/>
      <c r="AN253" s="356"/>
      <c r="AO253" s="356"/>
      <c r="AP253" s="356"/>
      <c r="AQ253" s="356"/>
      <c r="AR253" s="357"/>
      <c r="AS253" s="357"/>
      <c r="AT253" s="357"/>
      <c r="AU253" s="357"/>
      <c r="AV253" s="357"/>
      <c r="AW253" s="357"/>
      <c r="AX253" s="357"/>
      <c r="AY253" s="357"/>
      <c r="AZ253" s="357"/>
      <c r="BA253" s="357"/>
      <c r="BB253" s="357"/>
      <c r="BC253" s="357"/>
      <c r="BD253" s="357"/>
      <c r="BE253" s="357"/>
      <c r="BF253" s="357"/>
      <c r="BG253" s="357"/>
      <c r="BH253" s="357"/>
      <c r="BI253" s="357"/>
      <c r="BJ253" s="357"/>
      <c r="BK253" s="357"/>
      <c r="BL253" s="357"/>
      <c r="BM253" s="357"/>
      <c r="BN253" s="357"/>
      <c r="BO253" s="416"/>
      <c r="BP253" s="357"/>
      <c r="BQ253" s="357"/>
      <c r="BR253" s="416"/>
      <c r="BS253" s="357"/>
      <c r="BT253" s="357"/>
      <c r="BU253" s="416"/>
      <c r="BV253" s="357"/>
      <c r="BW253" s="357"/>
      <c r="BX253" s="416"/>
      <c r="BY253" s="357"/>
      <c r="BZ253" s="357"/>
      <c r="CA253" s="416"/>
      <c r="CB253" s="357"/>
      <c r="CC253" s="357"/>
      <c r="CD253" s="416"/>
      <c r="CE253" s="357"/>
      <c r="CF253" s="357"/>
      <c r="CG253" s="416"/>
      <c r="CH253" s="357"/>
      <c r="CI253" s="357"/>
      <c r="CJ253" s="416"/>
      <c r="CK253" s="357"/>
      <c r="CL253" s="357"/>
      <c r="CM253" s="416"/>
      <c r="CN253" s="357"/>
      <c r="CO253" s="357"/>
      <c r="CP253" s="416"/>
      <c r="CQ253" s="357"/>
      <c r="CR253" s="357"/>
      <c r="CS253" s="416"/>
      <c r="CT253" s="357"/>
      <c r="CU253" s="357"/>
      <c r="CV253" s="416"/>
      <c r="CW253" s="357"/>
      <c r="CX253" s="357"/>
      <c r="CY253" s="416"/>
      <c r="CZ253" s="357"/>
      <c r="DA253" s="357"/>
      <c r="DB253" s="416"/>
      <c r="DC253" s="357"/>
      <c r="DD253" s="357"/>
      <c r="DE253" s="416"/>
      <c r="DF253" s="357"/>
      <c r="DG253" s="357"/>
      <c r="DH253" s="416"/>
      <c r="DI253" s="357"/>
      <c r="DJ253" s="357"/>
      <c r="DK253" s="1205"/>
      <c r="DL253" s="357"/>
      <c r="DM253" s="357"/>
      <c r="DN253" s="1205"/>
      <c r="DO253" s="357"/>
      <c r="DP253" s="357"/>
      <c r="DQ253" s="1205"/>
      <c r="DR253" s="357"/>
      <c r="DS253" s="357"/>
      <c r="DT253" s="1205"/>
      <c r="DU253" s="357"/>
      <c r="DV253" s="357"/>
      <c r="DW253" s="1205"/>
      <c r="DX253" s="357"/>
      <c r="DY253" s="357"/>
      <c r="DZ253" s="1205"/>
      <c r="EA253" s="357"/>
      <c r="EB253" s="357"/>
      <c r="EC253" s="1205"/>
      <c r="ED253" s="357"/>
      <c r="EE253" s="357"/>
      <c r="EF253" s="1205"/>
      <c r="EG253" s="357"/>
      <c r="EH253" s="357"/>
      <c r="EI253" s="1205"/>
      <c r="EJ253" s="357"/>
      <c r="EK253" s="357"/>
      <c r="EL253" s="1205"/>
      <c r="EM253" s="357"/>
      <c r="EN253" s="357"/>
      <c r="EO253" s="1205"/>
      <c r="EP253" s="357"/>
      <c r="EQ253" s="357"/>
      <c r="ER253" s="1205"/>
      <c r="ES253" s="357"/>
      <c r="ET253" s="357"/>
      <c r="EU253" s="1205"/>
      <c r="EV253" s="357"/>
      <c r="EW253" s="357"/>
      <c r="EX253" s="1205"/>
      <c r="EY253" s="357"/>
      <c r="EZ253" s="357"/>
      <c r="FA253" s="416"/>
    </row>
    <row r="254" spans="1:157" ht="13.35" customHeight="1">
      <c r="A254" s="23"/>
      <c r="B254" s="5" t="s">
        <v>915</v>
      </c>
      <c r="C254" s="5"/>
      <c r="D254" s="410"/>
      <c r="E254" s="415"/>
      <c r="F254" s="356"/>
      <c r="G254" s="356"/>
      <c r="H254" s="356"/>
      <c r="I254" s="356"/>
      <c r="J254" s="356"/>
      <c r="K254" s="356"/>
      <c r="L254" s="356"/>
      <c r="M254" s="356"/>
      <c r="N254" s="356"/>
      <c r="O254" s="356"/>
      <c r="P254" s="356"/>
      <c r="Q254" s="356"/>
      <c r="R254" s="356"/>
      <c r="S254" s="356"/>
      <c r="T254" s="356"/>
      <c r="U254" s="356"/>
      <c r="V254" s="356"/>
      <c r="W254" s="356"/>
      <c r="X254" s="356"/>
      <c r="Y254" s="356"/>
      <c r="Z254" s="356"/>
      <c r="AA254" s="356"/>
      <c r="AB254" s="356"/>
      <c r="AC254" s="356"/>
      <c r="AD254" s="356"/>
      <c r="AE254" s="356"/>
      <c r="AF254" s="356"/>
      <c r="AG254" s="356"/>
      <c r="AH254" s="356"/>
      <c r="AI254" s="356"/>
      <c r="AJ254" s="356"/>
      <c r="AK254" s="356"/>
      <c r="AL254" s="356"/>
      <c r="AM254" s="356"/>
      <c r="AN254" s="356"/>
      <c r="AO254" s="356"/>
      <c r="AP254" s="356"/>
      <c r="AQ254" s="356"/>
      <c r="AR254" s="357"/>
      <c r="AS254" s="357"/>
      <c r="AT254" s="357"/>
      <c r="AU254" s="357"/>
      <c r="AV254" s="357"/>
      <c r="AW254" s="357"/>
      <c r="AX254" s="357"/>
      <c r="AY254" s="357"/>
      <c r="AZ254" s="357"/>
      <c r="BA254" s="357"/>
      <c r="BB254" s="357"/>
      <c r="BC254" s="357"/>
      <c r="BD254" s="357"/>
      <c r="BE254" s="357"/>
      <c r="BF254" s="357"/>
      <c r="BG254" s="357"/>
      <c r="BH254" s="357"/>
      <c r="BI254" s="357"/>
      <c r="BJ254" s="357"/>
      <c r="BK254" s="357"/>
      <c r="BL254" s="357"/>
      <c r="BM254" s="357"/>
      <c r="BN254" s="357"/>
      <c r="BO254" s="416"/>
      <c r="BP254" s="357"/>
      <c r="BQ254" s="357"/>
      <c r="BR254" s="416"/>
      <c r="BS254" s="357"/>
      <c r="BT254" s="357"/>
      <c r="BU254" s="416"/>
      <c r="BV254" s="357"/>
      <c r="BW254" s="357"/>
      <c r="BX254" s="416"/>
      <c r="BY254" s="357"/>
      <c r="BZ254" s="357"/>
      <c r="CA254" s="416"/>
      <c r="CB254" s="357"/>
      <c r="CC254" s="357"/>
      <c r="CD254" s="416"/>
      <c r="CE254" s="357"/>
      <c r="CF254" s="357"/>
      <c r="CG254" s="416"/>
      <c r="CH254" s="357"/>
      <c r="CI254" s="357"/>
      <c r="CJ254" s="416"/>
      <c r="CK254" s="357"/>
      <c r="CL254" s="357"/>
      <c r="CM254" s="416"/>
      <c r="CN254" s="357"/>
      <c r="CO254" s="357"/>
      <c r="CP254" s="416"/>
      <c r="CQ254" s="357"/>
      <c r="CR254" s="357"/>
      <c r="CS254" s="416"/>
      <c r="CT254" s="357"/>
      <c r="CU254" s="357"/>
      <c r="CV254" s="416"/>
      <c r="CW254" s="357"/>
      <c r="CX254" s="357"/>
      <c r="CY254" s="416"/>
      <c r="CZ254" s="357"/>
      <c r="DA254" s="357"/>
      <c r="DB254" s="416"/>
      <c r="DC254" s="357"/>
      <c r="DD254" s="357"/>
      <c r="DE254" s="416"/>
      <c r="DF254" s="357"/>
      <c r="DG254" s="357"/>
      <c r="DH254" s="416"/>
      <c r="DI254" s="357"/>
      <c r="DJ254" s="357"/>
      <c r="DK254" s="1205"/>
      <c r="DL254" s="357"/>
      <c r="DM254" s="357"/>
      <c r="DN254" s="1205"/>
      <c r="DO254" s="357"/>
      <c r="DP254" s="357"/>
      <c r="DQ254" s="1205"/>
      <c r="DR254" s="357"/>
      <c r="DS254" s="357"/>
      <c r="DT254" s="1205"/>
      <c r="DU254" s="357"/>
      <c r="DV254" s="357"/>
      <c r="DW254" s="1205"/>
      <c r="DX254" s="357"/>
      <c r="DY254" s="357"/>
      <c r="DZ254" s="1205"/>
      <c r="EA254" s="357"/>
      <c r="EB254" s="357"/>
      <c r="EC254" s="1205"/>
      <c r="ED254" s="357"/>
      <c r="EE254" s="357"/>
      <c r="EF254" s="1205"/>
      <c r="EG254" s="357"/>
      <c r="EH254" s="357"/>
      <c r="EI254" s="1205"/>
      <c r="EJ254" s="357"/>
      <c r="EK254" s="357"/>
      <c r="EL254" s="1205"/>
      <c r="EM254" s="357"/>
      <c r="EN254" s="357"/>
      <c r="EO254" s="1205"/>
      <c r="EP254" s="357"/>
      <c r="EQ254" s="357"/>
      <c r="ER254" s="1205"/>
      <c r="ES254" s="357"/>
      <c r="ET254" s="357"/>
      <c r="EU254" s="1205"/>
      <c r="EV254" s="357"/>
      <c r="EW254" s="357"/>
      <c r="EX254" s="1205"/>
      <c r="EY254" s="357"/>
      <c r="EZ254" s="357"/>
      <c r="FA254" s="416"/>
    </row>
    <row r="255" spans="1:157" ht="13.35" customHeight="1">
      <c r="A255" s="23"/>
      <c r="B255" s="5" t="s">
        <v>915</v>
      </c>
      <c r="C255" s="5"/>
      <c r="D255" s="410"/>
      <c r="E255" s="415"/>
      <c r="F255" s="356"/>
      <c r="G255" s="356"/>
      <c r="H255" s="356"/>
      <c r="I255" s="356"/>
      <c r="J255" s="356"/>
      <c r="K255" s="356"/>
      <c r="L255" s="356"/>
      <c r="M255" s="356"/>
      <c r="N255" s="356"/>
      <c r="O255" s="356"/>
      <c r="P255" s="356"/>
      <c r="Q255" s="356"/>
      <c r="R255" s="356"/>
      <c r="S255" s="356"/>
      <c r="T255" s="356"/>
      <c r="U255" s="356"/>
      <c r="V255" s="356"/>
      <c r="W255" s="356"/>
      <c r="X255" s="356"/>
      <c r="Y255" s="356"/>
      <c r="Z255" s="356"/>
      <c r="AA255" s="356"/>
      <c r="AB255" s="356"/>
      <c r="AC255" s="356"/>
      <c r="AD255" s="356"/>
      <c r="AE255" s="356"/>
      <c r="AF255" s="356"/>
      <c r="AG255" s="356"/>
      <c r="AH255" s="356"/>
      <c r="AI255" s="356"/>
      <c r="AJ255" s="356"/>
      <c r="AK255" s="356"/>
      <c r="AL255" s="356"/>
      <c r="AM255" s="356"/>
      <c r="AN255" s="356"/>
      <c r="AO255" s="356"/>
      <c r="AP255" s="356"/>
      <c r="AQ255" s="356"/>
      <c r="AR255" s="357"/>
      <c r="AS255" s="357"/>
      <c r="AT255" s="357"/>
      <c r="AU255" s="357"/>
      <c r="AV255" s="357"/>
      <c r="AW255" s="357"/>
      <c r="AX255" s="357"/>
      <c r="AY255" s="357"/>
      <c r="AZ255" s="357"/>
      <c r="BA255" s="357"/>
      <c r="BB255" s="357"/>
      <c r="BC255" s="357"/>
      <c r="BD255" s="357"/>
      <c r="BE255" s="357"/>
      <c r="BF255" s="357"/>
      <c r="BG255" s="357"/>
      <c r="BH255" s="357"/>
      <c r="BI255" s="357"/>
      <c r="BJ255" s="357"/>
      <c r="BK255" s="357"/>
      <c r="BL255" s="357"/>
      <c r="BM255" s="357"/>
      <c r="BN255" s="357"/>
      <c r="BO255" s="416"/>
      <c r="BP255" s="357"/>
      <c r="BQ255" s="357"/>
      <c r="BR255" s="416"/>
      <c r="BS255" s="357"/>
      <c r="BT255" s="357"/>
      <c r="BU255" s="416"/>
      <c r="BV255" s="357"/>
      <c r="BW255" s="357"/>
      <c r="BX255" s="416"/>
      <c r="BY255" s="357"/>
      <c r="BZ255" s="357"/>
      <c r="CA255" s="416"/>
      <c r="CB255" s="357"/>
      <c r="CC255" s="357"/>
      <c r="CD255" s="416"/>
      <c r="CE255" s="357"/>
      <c r="CF255" s="357"/>
      <c r="CG255" s="416"/>
      <c r="CH255" s="357"/>
      <c r="CI255" s="357"/>
      <c r="CJ255" s="416"/>
      <c r="CK255" s="357"/>
      <c r="CL255" s="357"/>
      <c r="CM255" s="416"/>
      <c r="CN255" s="357"/>
      <c r="CO255" s="357"/>
      <c r="CP255" s="416"/>
      <c r="CQ255" s="357"/>
      <c r="CR255" s="357"/>
      <c r="CS255" s="416"/>
      <c r="CT255" s="357"/>
      <c r="CU255" s="357"/>
      <c r="CV255" s="416"/>
      <c r="CW255" s="357"/>
      <c r="CX255" s="357"/>
      <c r="CY255" s="416"/>
      <c r="CZ255" s="357"/>
      <c r="DA255" s="357"/>
      <c r="DB255" s="416"/>
      <c r="DC255" s="357"/>
      <c r="DD255" s="357"/>
      <c r="DE255" s="416"/>
      <c r="DF255" s="357"/>
      <c r="DG255" s="357"/>
      <c r="DH255" s="416"/>
      <c r="DI255" s="357"/>
      <c r="DJ255" s="357"/>
      <c r="DK255" s="1205"/>
      <c r="DL255" s="357"/>
      <c r="DM255" s="357"/>
      <c r="DN255" s="1205"/>
      <c r="DO255" s="357"/>
      <c r="DP255" s="357"/>
      <c r="DQ255" s="1205"/>
      <c r="DR255" s="357"/>
      <c r="DS255" s="357"/>
      <c r="DT255" s="1205"/>
      <c r="DU255" s="357"/>
      <c r="DV255" s="357"/>
      <c r="DW255" s="1205"/>
      <c r="DX255" s="357"/>
      <c r="DY255" s="357"/>
      <c r="DZ255" s="1205"/>
      <c r="EA255" s="357"/>
      <c r="EB255" s="357"/>
      <c r="EC255" s="1205"/>
      <c r="ED255" s="357"/>
      <c r="EE255" s="357"/>
      <c r="EF255" s="1205"/>
      <c r="EG255" s="357"/>
      <c r="EH255" s="357"/>
      <c r="EI255" s="1205"/>
      <c r="EJ255" s="357"/>
      <c r="EK255" s="357"/>
      <c r="EL255" s="1205"/>
      <c r="EM255" s="357"/>
      <c r="EN255" s="357"/>
      <c r="EO255" s="1205"/>
      <c r="EP255" s="357"/>
      <c r="EQ255" s="357"/>
      <c r="ER255" s="1205"/>
      <c r="ES255" s="357"/>
      <c r="ET255" s="357"/>
      <c r="EU255" s="1205"/>
      <c r="EV255" s="357"/>
      <c r="EW255" s="357"/>
      <c r="EX255" s="1205"/>
      <c r="EY255" s="357"/>
      <c r="EZ255" s="357"/>
      <c r="FA255" s="416"/>
    </row>
    <row r="256" spans="1:157" ht="13.35" customHeight="1">
      <c r="A256" s="23"/>
      <c r="B256" s="5" t="s">
        <v>915</v>
      </c>
      <c r="C256" s="5"/>
      <c r="D256" s="410"/>
      <c r="E256" s="415"/>
      <c r="F256" s="356"/>
      <c r="G256" s="356"/>
      <c r="H256" s="356"/>
      <c r="I256" s="356"/>
      <c r="J256" s="356"/>
      <c r="K256" s="356"/>
      <c r="L256" s="356"/>
      <c r="M256" s="356"/>
      <c r="N256" s="356"/>
      <c r="O256" s="356"/>
      <c r="P256" s="356"/>
      <c r="Q256" s="356"/>
      <c r="R256" s="356"/>
      <c r="S256" s="356"/>
      <c r="T256" s="356"/>
      <c r="U256" s="356"/>
      <c r="V256" s="356"/>
      <c r="W256" s="356"/>
      <c r="X256" s="356"/>
      <c r="Y256" s="356"/>
      <c r="Z256" s="356"/>
      <c r="AA256" s="356"/>
      <c r="AB256" s="356"/>
      <c r="AC256" s="356"/>
      <c r="AD256" s="356"/>
      <c r="AE256" s="356"/>
      <c r="AF256" s="356"/>
      <c r="AG256" s="356"/>
      <c r="AH256" s="356"/>
      <c r="AI256" s="356"/>
      <c r="AJ256" s="356"/>
      <c r="AK256" s="356"/>
      <c r="AL256" s="356"/>
      <c r="AM256" s="356"/>
      <c r="AN256" s="356"/>
      <c r="AO256" s="356"/>
      <c r="AP256" s="356"/>
      <c r="AQ256" s="356"/>
      <c r="AR256" s="357"/>
      <c r="AS256" s="357"/>
      <c r="AT256" s="357"/>
      <c r="AU256" s="357"/>
      <c r="AV256" s="357"/>
      <c r="AW256" s="357"/>
      <c r="AX256" s="357"/>
      <c r="AY256" s="357"/>
      <c r="AZ256" s="357"/>
      <c r="BA256" s="357"/>
      <c r="BB256" s="357"/>
      <c r="BC256" s="357"/>
      <c r="BD256" s="357"/>
      <c r="BE256" s="357"/>
      <c r="BF256" s="357"/>
      <c r="BG256" s="357"/>
      <c r="BH256" s="357"/>
      <c r="BI256" s="357"/>
      <c r="BJ256" s="357"/>
      <c r="BK256" s="357"/>
      <c r="BL256" s="357"/>
      <c r="BM256" s="357"/>
      <c r="BN256" s="357"/>
      <c r="BO256" s="416"/>
      <c r="BP256" s="357"/>
      <c r="BQ256" s="357"/>
      <c r="BR256" s="416"/>
      <c r="BS256" s="357"/>
      <c r="BT256" s="357"/>
      <c r="BU256" s="416"/>
      <c r="BV256" s="357"/>
      <c r="BW256" s="357"/>
      <c r="BX256" s="416"/>
      <c r="BY256" s="357"/>
      <c r="BZ256" s="357"/>
      <c r="CA256" s="416"/>
      <c r="CB256" s="357"/>
      <c r="CC256" s="357"/>
      <c r="CD256" s="416"/>
      <c r="CE256" s="357"/>
      <c r="CF256" s="357"/>
      <c r="CG256" s="416"/>
      <c r="CH256" s="357"/>
      <c r="CI256" s="357"/>
      <c r="CJ256" s="416"/>
      <c r="CK256" s="357"/>
      <c r="CL256" s="357"/>
      <c r="CM256" s="416"/>
      <c r="CN256" s="357"/>
      <c r="CO256" s="357"/>
      <c r="CP256" s="416"/>
      <c r="CQ256" s="357"/>
      <c r="CR256" s="357"/>
      <c r="CS256" s="416"/>
      <c r="CT256" s="357"/>
      <c r="CU256" s="357"/>
      <c r="CV256" s="416"/>
      <c r="CW256" s="357"/>
      <c r="CX256" s="357"/>
      <c r="CY256" s="416"/>
      <c r="CZ256" s="357"/>
      <c r="DA256" s="357"/>
      <c r="DB256" s="416"/>
      <c r="DC256" s="357"/>
      <c r="DD256" s="357"/>
      <c r="DE256" s="416"/>
      <c r="DF256" s="357"/>
      <c r="DG256" s="357"/>
      <c r="DH256" s="416"/>
      <c r="DI256" s="357"/>
      <c r="DJ256" s="357"/>
      <c r="DK256" s="1205"/>
      <c r="DL256" s="357"/>
      <c r="DM256" s="357"/>
      <c r="DN256" s="1205"/>
      <c r="DO256" s="357"/>
      <c r="DP256" s="357"/>
      <c r="DQ256" s="1205"/>
      <c r="DR256" s="357"/>
      <c r="DS256" s="357"/>
      <c r="DT256" s="1205"/>
      <c r="DU256" s="357"/>
      <c r="DV256" s="357"/>
      <c r="DW256" s="1205"/>
      <c r="DX256" s="357"/>
      <c r="DY256" s="357"/>
      <c r="DZ256" s="1205"/>
      <c r="EA256" s="357"/>
      <c r="EB256" s="357"/>
      <c r="EC256" s="1205"/>
      <c r="ED256" s="357"/>
      <c r="EE256" s="357"/>
      <c r="EF256" s="1205"/>
      <c r="EG256" s="357"/>
      <c r="EH256" s="357"/>
      <c r="EI256" s="1205"/>
      <c r="EJ256" s="357"/>
      <c r="EK256" s="357"/>
      <c r="EL256" s="1205"/>
      <c r="EM256" s="357"/>
      <c r="EN256" s="357"/>
      <c r="EO256" s="1205"/>
      <c r="EP256" s="357"/>
      <c r="EQ256" s="357"/>
      <c r="ER256" s="1205"/>
      <c r="ES256" s="357"/>
      <c r="ET256" s="357"/>
      <c r="EU256" s="1205"/>
      <c r="EV256" s="357"/>
      <c r="EW256" s="357"/>
      <c r="EX256" s="1205"/>
      <c r="EY256" s="357"/>
      <c r="EZ256" s="357"/>
      <c r="FA256" s="416"/>
    </row>
    <row r="257" spans="1:157" ht="13.35" customHeight="1">
      <c r="A257" s="23"/>
      <c r="B257" s="5" t="s">
        <v>915</v>
      </c>
      <c r="C257" s="5"/>
      <c r="D257" s="410"/>
      <c r="E257" s="415"/>
      <c r="F257" s="356"/>
      <c r="G257" s="356"/>
      <c r="H257" s="356"/>
      <c r="I257" s="356"/>
      <c r="J257" s="356"/>
      <c r="K257" s="356"/>
      <c r="L257" s="356"/>
      <c r="M257" s="356"/>
      <c r="N257" s="356"/>
      <c r="O257" s="356"/>
      <c r="P257" s="356"/>
      <c r="Q257" s="356"/>
      <c r="R257" s="356"/>
      <c r="S257" s="356"/>
      <c r="T257" s="356"/>
      <c r="U257" s="356"/>
      <c r="V257" s="356"/>
      <c r="W257" s="356"/>
      <c r="X257" s="356"/>
      <c r="Y257" s="356"/>
      <c r="Z257" s="356"/>
      <c r="AA257" s="356"/>
      <c r="AB257" s="356"/>
      <c r="AC257" s="356"/>
      <c r="AD257" s="356"/>
      <c r="AE257" s="356"/>
      <c r="AF257" s="356"/>
      <c r="AG257" s="356"/>
      <c r="AH257" s="356"/>
      <c r="AI257" s="356"/>
      <c r="AJ257" s="356"/>
      <c r="AK257" s="356"/>
      <c r="AL257" s="356"/>
      <c r="AM257" s="356"/>
      <c r="AN257" s="356"/>
      <c r="AO257" s="356"/>
      <c r="AP257" s="356"/>
      <c r="AQ257" s="356"/>
      <c r="AR257" s="357"/>
      <c r="AS257" s="357"/>
      <c r="AT257" s="357"/>
      <c r="AU257" s="357"/>
      <c r="AV257" s="357"/>
      <c r="AW257" s="357"/>
      <c r="AX257" s="357"/>
      <c r="AY257" s="357"/>
      <c r="AZ257" s="357"/>
      <c r="BA257" s="357"/>
      <c r="BB257" s="357"/>
      <c r="BC257" s="357"/>
      <c r="BD257" s="357"/>
      <c r="BE257" s="357"/>
      <c r="BF257" s="357"/>
      <c r="BG257" s="357"/>
      <c r="BH257" s="357"/>
      <c r="BI257" s="357"/>
      <c r="BJ257" s="357"/>
      <c r="BK257" s="357"/>
      <c r="BL257" s="357"/>
      <c r="BM257" s="357"/>
      <c r="BN257" s="357"/>
      <c r="BO257" s="416"/>
      <c r="BP257" s="357"/>
      <c r="BQ257" s="357"/>
      <c r="BR257" s="416"/>
      <c r="BS257" s="357"/>
      <c r="BT257" s="357"/>
      <c r="BU257" s="416"/>
      <c r="BV257" s="357"/>
      <c r="BW257" s="357"/>
      <c r="BX257" s="416"/>
      <c r="BY257" s="357"/>
      <c r="BZ257" s="357"/>
      <c r="CA257" s="416"/>
      <c r="CB257" s="357"/>
      <c r="CC257" s="357"/>
      <c r="CD257" s="416"/>
      <c r="CE257" s="357"/>
      <c r="CF257" s="357"/>
      <c r="CG257" s="416"/>
      <c r="CH257" s="357"/>
      <c r="CI257" s="357"/>
      <c r="CJ257" s="416"/>
      <c r="CK257" s="357"/>
      <c r="CL257" s="357"/>
      <c r="CM257" s="416"/>
      <c r="CN257" s="357"/>
      <c r="CO257" s="357"/>
      <c r="CP257" s="416"/>
      <c r="CQ257" s="357"/>
      <c r="CR257" s="357"/>
      <c r="CS257" s="416"/>
      <c r="CT257" s="357"/>
      <c r="CU257" s="357"/>
      <c r="CV257" s="416"/>
      <c r="CW257" s="357"/>
      <c r="CX257" s="357"/>
      <c r="CY257" s="416"/>
      <c r="CZ257" s="357"/>
      <c r="DA257" s="357"/>
      <c r="DB257" s="416"/>
      <c r="DC257" s="357"/>
      <c r="DD257" s="357"/>
      <c r="DE257" s="416"/>
      <c r="DF257" s="357"/>
      <c r="DG257" s="357"/>
      <c r="DH257" s="416"/>
      <c r="DI257" s="357"/>
      <c r="DJ257" s="357"/>
      <c r="DK257" s="1205"/>
      <c r="DL257" s="357"/>
      <c r="DM257" s="357"/>
      <c r="DN257" s="1205"/>
      <c r="DO257" s="357"/>
      <c r="DP257" s="357"/>
      <c r="DQ257" s="1205"/>
      <c r="DR257" s="357"/>
      <c r="DS257" s="357"/>
      <c r="DT257" s="1205"/>
      <c r="DU257" s="357"/>
      <c r="DV257" s="357"/>
      <c r="DW257" s="1205"/>
      <c r="DX257" s="357"/>
      <c r="DY257" s="357"/>
      <c r="DZ257" s="1205"/>
      <c r="EA257" s="357"/>
      <c r="EB257" s="357"/>
      <c r="EC257" s="1205"/>
      <c r="ED257" s="357"/>
      <c r="EE257" s="357"/>
      <c r="EF257" s="1205"/>
      <c r="EG257" s="357"/>
      <c r="EH257" s="357"/>
      <c r="EI257" s="1205"/>
      <c r="EJ257" s="357"/>
      <c r="EK257" s="357"/>
      <c r="EL257" s="1205"/>
      <c r="EM257" s="357"/>
      <c r="EN257" s="357"/>
      <c r="EO257" s="1205"/>
      <c r="EP257" s="357"/>
      <c r="EQ257" s="357"/>
      <c r="ER257" s="1205"/>
      <c r="ES257" s="357"/>
      <c r="ET257" s="357"/>
      <c r="EU257" s="1205"/>
      <c r="EV257" s="357"/>
      <c r="EW257" s="357"/>
      <c r="EX257" s="1205"/>
      <c r="EY257" s="357"/>
      <c r="EZ257" s="357"/>
      <c r="FA257" s="416"/>
    </row>
    <row r="258" spans="1:157" ht="13.35" customHeight="1">
      <c r="A258" s="23"/>
      <c r="B258" s="5" t="s">
        <v>915</v>
      </c>
      <c r="C258" s="5"/>
      <c r="D258" s="410"/>
      <c r="E258" s="415"/>
      <c r="F258" s="356"/>
      <c r="G258" s="356"/>
      <c r="H258" s="356"/>
      <c r="I258" s="356"/>
      <c r="J258" s="356"/>
      <c r="K258" s="356"/>
      <c r="L258" s="356"/>
      <c r="M258" s="356"/>
      <c r="N258" s="356"/>
      <c r="O258" s="356"/>
      <c r="P258" s="356"/>
      <c r="Q258" s="356"/>
      <c r="R258" s="356"/>
      <c r="S258" s="356"/>
      <c r="T258" s="356"/>
      <c r="U258" s="356"/>
      <c r="V258" s="356"/>
      <c r="W258" s="356"/>
      <c r="X258" s="356"/>
      <c r="Y258" s="356"/>
      <c r="Z258" s="356"/>
      <c r="AA258" s="356"/>
      <c r="AB258" s="356"/>
      <c r="AC258" s="356"/>
      <c r="AD258" s="356"/>
      <c r="AE258" s="356"/>
      <c r="AF258" s="356"/>
      <c r="AG258" s="356"/>
      <c r="AH258" s="356"/>
      <c r="AI258" s="356"/>
      <c r="AJ258" s="356"/>
      <c r="AK258" s="356"/>
      <c r="AL258" s="356"/>
      <c r="AM258" s="356"/>
      <c r="AN258" s="356"/>
      <c r="AO258" s="356"/>
      <c r="AP258" s="356"/>
      <c r="AQ258" s="356"/>
      <c r="AR258" s="357"/>
      <c r="AS258" s="357"/>
      <c r="AT258" s="357"/>
      <c r="AU258" s="357"/>
      <c r="AV258" s="357"/>
      <c r="AW258" s="357"/>
      <c r="AX258" s="357"/>
      <c r="AY258" s="357"/>
      <c r="AZ258" s="357"/>
      <c r="BA258" s="357"/>
      <c r="BB258" s="357"/>
      <c r="BC258" s="357"/>
      <c r="BD258" s="357"/>
      <c r="BE258" s="357"/>
      <c r="BF258" s="357"/>
      <c r="BG258" s="357"/>
      <c r="BH258" s="357"/>
      <c r="BI258" s="357"/>
      <c r="BJ258" s="357"/>
      <c r="BK258" s="357"/>
      <c r="BL258" s="357"/>
      <c r="BM258" s="357"/>
      <c r="BN258" s="357"/>
      <c r="BO258" s="416"/>
      <c r="BP258" s="357"/>
      <c r="BQ258" s="357"/>
      <c r="BR258" s="416"/>
      <c r="BS258" s="357"/>
      <c r="BT258" s="357"/>
      <c r="BU258" s="416"/>
      <c r="BV258" s="357"/>
      <c r="BW258" s="357"/>
      <c r="BX258" s="416"/>
      <c r="BY258" s="357"/>
      <c r="BZ258" s="357"/>
      <c r="CA258" s="416"/>
      <c r="CB258" s="357"/>
      <c r="CC258" s="357"/>
      <c r="CD258" s="416"/>
      <c r="CE258" s="357"/>
      <c r="CF258" s="357"/>
      <c r="CG258" s="416"/>
      <c r="CH258" s="357"/>
      <c r="CI258" s="357"/>
      <c r="CJ258" s="416"/>
      <c r="CK258" s="357"/>
      <c r="CL258" s="357"/>
      <c r="CM258" s="416"/>
      <c r="CN258" s="357"/>
      <c r="CO258" s="357"/>
      <c r="CP258" s="416"/>
      <c r="CQ258" s="357"/>
      <c r="CR258" s="357"/>
      <c r="CS258" s="416"/>
      <c r="CT258" s="357"/>
      <c r="CU258" s="357"/>
      <c r="CV258" s="416"/>
      <c r="CW258" s="357"/>
      <c r="CX258" s="357"/>
      <c r="CY258" s="416"/>
      <c r="CZ258" s="357"/>
      <c r="DA258" s="357"/>
      <c r="DB258" s="416"/>
      <c r="DC258" s="357"/>
      <c r="DD258" s="357"/>
      <c r="DE258" s="416"/>
      <c r="DF258" s="357"/>
      <c r="DG258" s="357"/>
      <c r="DH258" s="416"/>
      <c r="DI258" s="357"/>
      <c r="DJ258" s="357"/>
      <c r="DK258" s="1205"/>
      <c r="DL258" s="357"/>
      <c r="DM258" s="357"/>
      <c r="DN258" s="1205"/>
      <c r="DO258" s="357"/>
      <c r="DP258" s="357"/>
      <c r="DQ258" s="1205"/>
      <c r="DR258" s="357"/>
      <c r="DS258" s="357"/>
      <c r="DT258" s="1205"/>
      <c r="DU258" s="357"/>
      <c r="DV258" s="357"/>
      <c r="DW258" s="1205"/>
      <c r="DX258" s="357"/>
      <c r="DY258" s="357"/>
      <c r="DZ258" s="1205"/>
      <c r="EA258" s="357"/>
      <c r="EB258" s="357"/>
      <c r="EC258" s="1205"/>
      <c r="ED258" s="357"/>
      <c r="EE258" s="357"/>
      <c r="EF258" s="1205"/>
      <c r="EG258" s="357"/>
      <c r="EH258" s="357"/>
      <c r="EI258" s="1205"/>
      <c r="EJ258" s="357"/>
      <c r="EK258" s="357"/>
      <c r="EL258" s="1205"/>
      <c r="EM258" s="357"/>
      <c r="EN258" s="357"/>
      <c r="EO258" s="1205"/>
      <c r="EP258" s="357"/>
      <c r="EQ258" s="357"/>
      <c r="ER258" s="1205"/>
      <c r="ES258" s="357"/>
      <c r="ET258" s="357"/>
      <c r="EU258" s="1205"/>
      <c r="EV258" s="357"/>
      <c r="EW258" s="357"/>
      <c r="EX258" s="1205"/>
      <c r="EY258" s="357"/>
      <c r="EZ258" s="357"/>
      <c r="FA258" s="416"/>
    </row>
    <row r="259" spans="1:157" ht="13.35" customHeight="1">
      <c r="A259" s="23"/>
      <c r="B259" s="5" t="s">
        <v>915</v>
      </c>
      <c r="C259" s="5"/>
      <c r="D259" s="410"/>
      <c r="E259" s="415"/>
      <c r="F259" s="356"/>
      <c r="G259" s="356"/>
      <c r="H259" s="356"/>
      <c r="I259" s="356"/>
      <c r="J259" s="356"/>
      <c r="K259" s="356"/>
      <c r="L259" s="356"/>
      <c r="M259" s="356"/>
      <c r="N259" s="356"/>
      <c r="O259" s="356"/>
      <c r="P259" s="356"/>
      <c r="Q259" s="356"/>
      <c r="R259" s="356"/>
      <c r="S259" s="356"/>
      <c r="T259" s="356"/>
      <c r="U259" s="356"/>
      <c r="V259" s="356"/>
      <c r="W259" s="356"/>
      <c r="X259" s="356"/>
      <c r="Y259" s="356"/>
      <c r="Z259" s="356"/>
      <c r="AA259" s="356"/>
      <c r="AB259" s="356"/>
      <c r="AC259" s="356"/>
      <c r="AD259" s="356"/>
      <c r="AE259" s="356"/>
      <c r="AF259" s="356"/>
      <c r="AG259" s="356"/>
      <c r="AH259" s="356"/>
      <c r="AI259" s="356"/>
      <c r="AJ259" s="356"/>
      <c r="AK259" s="356"/>
      <c r="AL259" s="356"/>
      <c r="AM259" s="356"/>
      <c r="AN259" s="356"/>
      <c r="AO259" s="356"/>
      <c r="AP259" s="356"/>
      <c r="AQ259" s="356"/>
      <c r="AR259" s="357"/>
      <c r="AS259" s="357"/>
      <c r="AT259" s="357"/>
      <c r="AU259" s="357"/>
      <c r="AV259" s="357"/>
      <c r="AW259" s="357"/>
      <c r="AX259" s="357"/>
      <c r="AY259" s="357"/>
      <c r="AZ259" s="357"/>
      <c r="BA259" s="357"/>
      <c r="BB259" s="357"/>
      <c r="BC259" s="357"/>
      <c r="BD259" s="357"/>
      <c r="BE259" s="357"/>
      <c r="BF259" s="357"/>
      <c r="BG259" s="357"/>
      <c r="BH259" s="357"/>
      <c r="BI259" s="357"/>
      <c r="BJ259" s="357"/>
      <c r="BK259" s="357"/>
      <c r="BL259" s="357"/>
      <c r="BM259" s="357"/>
      <c r="BN259" s="357"/>
      <c r="BO259" s="416"/>
      <c r="BP259" s="357"/>
      <c r="BQ259" s="357"/>
      <c r="BR259" s="416"/>
      <c r="BS259" s="357"/>
      <c r="BT259" s="357"/>
      <c r="BU259" s="416"/>
      <c r="BV259" s="357"/>
      <c r="BW259" s="357"/>
      <c r="BX259" s="416"/>
      <c r="BY259" s="357"/>
      <c r="BZ259" s="357"/>
      <c r="CA259" s="416"/>
      <c r="CB259" s="357"/>
      <c r="CC259" s="357"/>
      <c r="CD259" s="416"/>
      <c r="CE259" s="357"/>
      <c r="CF259" s="357"/>
      <c r="CG259" s="416"/>
      <c r="CH259" s="357"/>
      <c r="CI259" s="357"/>
      <c r="CJ259" s="416"/>
      <c r="CK259" s="357"/>
      <c r="CL259" s="357"/>
      <c r="CM259" s="416"/>
      <c r="CN259" s="357"/>
      <c r="CO259" s="357"/>
      <c r="CP259" s="416"/>
      <c r="CQ259" s="357"/>
      <c r="CR259" s="357"/>
      <c r="CS259" s="416"/>
      <c r="CT259" s="357"/>
      <c r="CU259" s="357"/>
      <c r="CV259" s="416"/>
      <c r="CW259" s="357"/>
      <c r="CX259" s="357"/>
      <c r="CY259" s="416"/>
      <c r="CZ259" s="357"/>
      <c r="DA259" s="357"/>
      <c r="DB259" s="416"/>
      <c r="DC259" s="357"/>
      <c r="DD259" s="357"/>
      <c r="DE259" s="416"/>
      <c r="DF259" s="357"/>
      <c r="DG259" s="357"/>
      <c r="DH259" s="416"/>
      <c r="DI259" s="357"/>
      <c r="DJ259" s="357"/>
      <c r="DK259" s="1205"/>
      <c r="DL259" s="357"/>
      <c r="DM259" s="357"/>
      <c r="DN259" s="1205"/>
      <c r="DO259" s="357"/>
      <c r="DP259" s="357"/>
      <c r="DQ259" s="1205"/>
      <c r="DR259" s="357"/>
      <c r="DS259" s="357"/>
      <c r="DT259" s="1205"/>
      <c r="DU259" s="357"/>
      <c r="DV259" s="357"/>
      <c r="DW259" s="1205"/>
      <c r="DX259" s="357"/>
      <c r="DY259" s="357"/>
      <c r="DZ259" s="1205"/>
      <c r="EA259" s="357"/>
      <c r="EB259" s="357"/>
      <c r="EC259" s="1205"/>
      <c r="ED259" s="357"/>
      <c r="EE259" s="357"/>
      <c r="EF259" s="1205"/>
      <c r="EG259" s="357"/>
      <c r="EH259" s="357"/>
      <c r="EI259" s="1205"/>
      <c r="EJ259" s="357"/>
      <c r="EK259" s="357"/>
      <c r="EL259" s="1205"/>
      <c r="EM259" s="357"/>
      <c r="EN259" s="357"/>
      <c r="EO259" s="1205"/>
      <c r="EP259" s="357"/>
      <c r="EQ259" s="357"/>
      <c r="ER259" s="1205"/>
      <c r="ES259" s="357"/>
      <c r="ET259" s="357"/>
      <c r="EU259" s="1205"/>
      <c r="EV259" s="357"/>
      <c r="EW259" s="357"/>
      <c r="EX259" s="1205"/>
      <c r="EY259" s="357"/>
      <c r="EZ259" s="357"/>
      <c r="FA259" s="416"/>
    </row>
    <row r="260" spans="1:157" ht="13.35" customHeight="1">
      <c r="A260" s="23"/>
      <c r="B260" s="5" t="s">
        <v>915</v>
      </c>
      <c r="C260" s="5"/>
      <c r="D260" s="410"/>
      <c r="E260" s="415"/>
      <c r="F260" s="356"/>
      <c r="G260" s="356"/>
      <c r="H260" s="356"/>
      <c r="I260" s="356"/>
      <c r="J260" s="356"/>
      <c r="K260" s="356"/>
      <c r="L260" s="356"/>
      <c r="M260" s="356"/>
      <c r="N260" s="356"/>
      <c r="O260" s="356"/>
      <c r="P260" s="356"/>
      <c r="Q260" s="356"/>
      <c r="R260" s="356"/>
      <c r="S260" s="356"/>
      <c r="T260" s="356"/>
      <c r="U260" s="356"/>
      <c r="V260" s="356"/>
      <c r="W260" s="356"/>
      <c r="X260" s="356"/>
      <c r="Y260" s="357"/>
      <c r="Z260" s="356"/>
      <c r="AA260" s="356"/>
      <c r="AB260" s="357"/>
      <c r="AC260" s="356"/>
      <c r="AD260" s="356"/>
      <c r="AE260" s="357"/>
      <c r="AF260" s="356"/>
      <c r="AG260" s="356"/>
      <c r="AH260" s="357"/>
      <c r="AI260" s="356"/>
      <c r="AJ260" s="356"/>
      <c r="AK260" s="357"/>
      <c r="AL260" s="356"/>
      <c r="AM260" s="356"/>
      <c r="AN260" s="357"/>
      <c r="AO260" s="356"/>
      <c r="AP260" s="356"/>
      <c r="AQ260" s="357"/>
      <c r="AR260" s="356"/>
      <c r="AS260" s="356"/>
      <c r="AT260" s="357"/>
      <c r="AU260" s="357"/>
      <c r="AV260" s="357"/>
      <c r="AW260" s="357"/>
      <c r="AX260" s="357"/>
      <c r="AY260" s="357"/>
      <c r="AZ260" s="357"/>
      <c r="BA260" s="357"/>
      <c r="BB260" s="357"/>
      <c r="BC260" s="357"/>
      <c r="BD260" s="357"/>
      <c r="BE260" s="357"/>
      <c r="BF260" s="357"/>
      <c r="BG260" s="357"/>
      <c r="BH260" s="357"/>
      <c r="BI260" s="357"/>
      <c r="BJ260" s="357"/>
      <c r="BK260" s="357"/>
      <c r="BL260" s="357"/>
      <c r="BM260" s="357"/>
      <c r="BN260" s="357"/>
      <c r="BO260" s="416"/>
      <c r="BP260" s="357"/>
      <c r="BQ260" s="357"/>
      <c r="BR260" s="416"/>
      <c r="BS260" s="357"/>
      <c r="BT260" s="357"/>
      <c r="BU260" s="416"/>
      <c r="BV260" s="357"/>
      <c r="BW260" s="357"/>
      <c r="BX260" s="416"/>
      <c r="BY260" s="357"/>
      <c r="BZ260" s="357"/>
      <c r="CA260" s="416"/>
      <c r="CB260" s="357"/>
      <c r="CC260" s="357"/>
      <c r="CD260" s="416"/>
      <c r="CE260" s="357"/>
      <c r="CF260" s="357"/>
      <c r="CG260" s="416"/>
      <c r="CH260" s="357"/>
      <c r="CI260" s="357"/>
      <c r="CJ260" s="416"/>
      <c r="CK260" s="357"/>
      <c r="CL260" s="357"/>
      <c r="CM260" s="416"/>
      <c r="CN260" s="357"/>
      <c r="CO260" s="357"/>
      <c r="CP260" s="416"/>
      <c r="CQ260" s="357"/>
      <c r="CR260" s="357"/>
      <c r="CS260" s="416"/>
      <c r="CT260" s="357"/>
      <c r="CU260" s="357"/>
      <c r="CV260" s="416"/>
      <c r="CW260" s="357"/>
      <c r="CX260" s="357"/>
      <c r="CY260" s="416"/>
      <c r="CZ260" s="357"/>
      <c r="DA260" s="357"/>
      <c r="DB260" s="416"/>
      <c r="DC260" s="357"/>
      <c r="DD260" s="357"/>
      <c r="DE260" s="416"/>
      <c r="DF260" s="357"/>
      <c r="DG260" s="357"/>
      <c r="DH260" s="416"/>
      <c r="DI260" s="357"/>
      <c r="DJ260" s="357"/>
      <c r="DK260" s="1205"/>
      <c r="DL260" s="357"/>
      <c r="DM260" s="357"/>
      <c r="DN260" s="1205"/>
      <c r="DO260" s="357"/>
      <c r="DP260" s="357"/>
      <c r="DQ260" s="1205"/>
      <c r="DR260" s="357"/>
      <c r="DS260" s="357"/>
      <c r="DT260" s="1205"/>
      <c r="DU260" s="357"/>
      <c r="DV260" s="357"/>
      <c r="DW260" s="1205"/>
      <c r="DX260" s="357"/>
      <c r="DY260" s="357"/>
      <c r="DZ260" s="1205"/>
      <c r="EA260" s="357"/>
      <c r="EB260" s="357"/>
      <c r="EC260" s="1205"/>
      <c r="ED260" s="357"/>
      <c r="EE260" s="357"/>
      <c r="EF260" s="1205"/>
      <c r="EG260" s="357"/>
      <c r="EH260" s="357"/>
      <c r="EI260" s="1205"/>
      <c r="EJ260" s="357"/>
      <c r="EK260" s="357"/>
      <c r="EL260" s="1205"/>
      <c r="EM260" s="357"/>
      <c r="EN260" s="357"/>
      <c r="EO260" s="1205"/>
      <c r="EP260" s="357"/>
      <c r="EQ260" s="357"/>
      <c r="ER260" s="1205"/>
      <c r="ES260" s="357"/>
      <c r="ET260" s="357"/>
      <c r="EU260" s="1205"/>
      <c r="EV260" s="357"/>
      <c r="EW260" s="357"/>
      <c r="EX260" s="1205"/>
      <c r="EY260" s="357"/>
      <c r="EZ260" s="357"/>
      <c r="FA260" s="416"/>
    </row>
    <row r="261" spans="1:157" ht="13.35" customHeight="1">
      <c r="A261" s="23"/>
      <c r="B261" s="5" t="s">
        <v>915</v>
      </c>
      <c r="C261" s="5"/>
      <c r="D261" s="418"/>
      <c r="E261" s="415"/>
      <c r="F261" s="356"/>
      <c r="G261" s="356"/>
      <c r="H261" s="356"/>
      <c r="I261" s="356"/>
      <c r="J261" s="356"/>
      <c r="K261" s="356"/>
      <c r="L261" s="356"/>
      <c r="M261" s="356"/>
      <c r="N261" s="356"/>
      <c r="O261" s="356"/>
      <c r="P261" s="356"/>
      <c r="Q261" s="356"/>
      <c r="R261" s="356"/>
      <c r="S261" s="356"/>
      <c r="T261" s="356"/>
      <c r="U261" s="356"/>
      <c r="V261" s="356"/>
      <c r="W261" s="356"/>
      <c r="X261" s="356"/>
      <c r="Y261" s="356"/>
      <c r="Z261" s="356"/>
      <c r="AA261" s="356"/>
      <c r="AB261" s="356"/>
      <c r="AC261" s="356"/>
      <c r="AD261" s="356"/>
      <c r="AE261" s="356"/>
      <c r="AF261" s="356"/>
      <c r="AG261" s="356"/>
      <c r="AH261" s="356"/>
      <c r="AI261" s="356"/>
      <c r="AJ261" s="356"/>
      <c r="AK261" s="356"/>
      <c r="AL261" s="356"/>
      <c r="AM261" s="356"/>
      <c r="AN261" s="356"/>
      <c r="AO261" s="356"/>
      <c r="AP261" s="356"/>
      <c r="AQ261" s="356"/>
      <c r="AR261" s="356"/>
      <c r="AS261" s="356"/>
      <c r="AT261" s="357"/>
      <c r="AU261" s="357"/>
      <c r="AV261" s="357"/>
      <c r="AW261" s="357"/>
      <c r="AX261" s="357"/>
      <c r="AY261" s="357"/>
      <c r="AZ261" s="357"/>
      <c r="BA261" s="357"/>
      <c r="BB261" s="357"/>
      <c r="BC261" s="357"/>
      <c r="BD261" s="357"/>
      <c r="BE261" s="357"/>
      <c r="BF261" s="357"/>
      <c r="BG261" s="357"/>
      <c r="BH261" s="357"/>
      <c r="BI261" s="357"/>
      <c r="BJ261" s="357"/>
      <c r="BK261" s="357"/>
      <c r="BL261" s="357"/>
      <c r="BM261" s="357"/>
      <c r="BN261" s="357"/>
      <c r="BO261" s="416"/>
      <c r="BP261" s="357"/>
      <c r="BQ261" s="357"/>
      <c r="BR261" s="416"/>
      <c r="BS261" s="357"/>
      <c r="BT261" s="357"/>
      <c r="BU261" s="416"/>
      <c r="BV261" s="357"/>
      <c r="BW261" s="357"/>
      <c r="BX261" s="416"/>
      <c r="BY261" s="357"/>
      <c r="BZ261" s="357"/>
      <c r="CA261" s="416"/>
      <c r="CB261" s="357"/>
      <c r="CC261" s="357"/>
      <c r="CD261" s="416"/>
      <c r="CE261" s="357"/>
      <c r="CF261" s="357"/>
      <c r="CG261" s="416"/>
      <c r="CH261" s="357"/>
      <c r="CI261" s="357"/>
      <c r="CJ261" s="416"/>
      <c r="CK261" s="357"/>
      <c r="CL261" s="357"/>
      <c r="CM261" s="416"/>
      <c r="CN261" s="357"/>
      <c r="CO261" s="357"/>
      <c r="CP261" s="416"/>
      <c r="CQ261" s="357"/>
      <c r="CR261" s="357"/>
      <c r="CS261" s="416"/>
      <c r="CT261" s="357"/>
      <c r="CU261" s="357"/>
      <c r="CV261" s="416"/>
      <c r="CW261" s="357"/>
      <c r="CX261" s="357"/>
      <c r="CY261" s="416"/>
      <c r="CZ261" s="357"/>
      <c r="DA261" s="357"/>
      <c r="DB261" s="416"/>
      <c r="DC261" s="357"/>
      <c r="DD261" s="357"/>
      <c r="DE261" s="416"/>
      <c r="DF261" s="357"/>
      <c r="DG261" s="357"/>
      <c r="DH261" s="416"/>
      <c r="DI261" s="357"/>
      <c r="DJ261" s="357"/>
      <c r="DK261" s="1205"/>
      <c r="DL261" s="357"/>
      <c r="DM261" s="357"/>
      <c r="DN261" s="1205"/>
      <c r="DO261" s="357"/>
      <c r="DP261" s="357"/>
      <c r="DQ261" s="1205"/>
      <c r="DR261" s="357"/>
      <c r="DS261" s="357"/>
      <c r="DT261" s="1205"/>
      <c r="DU261" s="357"/>
      <c r="DV261" s="357"/>
      <c r="DW261" s="1205"/>
      <c r="DX261" s="357"/>
      <c r="DY261" s="357"/>
      <c r="DZ261" s="1205"/>
      <c r="EA261" s="357"/>
      <c r="EB261" s="357"/>
      <c r="EC261" s="1205"/>
      <c r="ED261" s="357"/>
      <c r="EE261" s="357"/>
      <c r="EF261" s="1205"/>
      <c r="EG261" s="357"/>
      <c r="EH261" s="357"/>
      <c r="EI261" s="1205"/>
      <c r="EJ261" s="357"/>
      <c r="EK261" s="357"/>
      <c r="EL261" s="1205"/>
      <c r="EM261" s="357"/>
      <c r="EN261" s="357"/>
      <c r="EO261" s="1205"/>
      <c r="EP261" s="357"/>
      <c r="EQ261" s="357"/>
      <c r="ER261" s="1205"/>
      <c r="ES261" s="357"/>
      <c r="ET261" s="357"/>
      <c r="EU261" s="1205"/>
      <c r="EV261" s="357"/>
      <c r="EW261" s="357"/>
      <c r="EX261" s="1205"/>
      <c r="EY261" s="357"/>
      <c r="EZ261" s="357"/>
      <c r="FA261" s="416"/>
    </row>
    <row r="262" spans="1:157" ht="13.35" customHeight="1">
      <c r="A262" s="23"/>
      <c r="B262" s="5" t="s">
        <v>915</v>
      </c>
      <c r="C262" s="5"/>
      <c r="D262" s="418"/>
      <c r="E262" s="415"/>
      <c r="F262" s="356"/>
      <c r="G262" s="356"/>
      <c r="H262" s="356"/>
      <c r="I262" s="356"/>
      <c r="J262" s="356"/>
      <c r="K262" s="356"/>
      <c r="L262" s="356"/>
      <c r="M262" s="356"/>
      <c r="N262" s="356"/>
      <c r="O262" s="356"/>
      <c r="P262" s="356"/>
      <c r="Q262" s="356"/>
      <c r="R262" s="356"/>
      <c r="S262" s="356"/>
      <c r="T262" s="356"/>
      <c r="U262" s="356"/>
      <c r="V262" s="356"/>
      <c r="W262" s="356"/>
      <c r="X262" s="356"/>
      <c r="Y262" s="356"/>
      <c r="Z262" s="356"/>
      <c r="AA262" s="356"/>
      <c r="AB262" s="356"/>
      <c r="AC262" s="356"/>
      <c r="AD262" s="356"/>
      <c r="AE262" s="356"/>
      <c r="AF262" s="356"/>
      <c r="AG262" s="356"/>
      <c r="AH262" s="356"/>
      <c r="AI262" s="356"/>
      <c r="AJ262" s="356"/>
      <c r="AK262" s="356"/>
      <c r="AL262" s="356"/>
      <c r="AM262" s="356"/>
      <c r="AN262" s="356"/>
      <c r="AO262" s="356"/>
      <c r="AP262" s="356"/>
      <c r="AQ262" s="356"/>
      <c r="AR262" s="356"/>
      <c r="AS262" s="356"/>
      <c r="AT262" s="357"/>
      <c r="AU262" s="357"/>
      <c r="AV262" s="357"/>
      <c r="AW262" s="357"/>
      <c r="AX262" s="357"/>
      <c r="AY262" s="357"/>
      <c r="AZ262" s="357"/>
      <c r="BA262" s="357"/>
      <c r="BB262" s="357"/>
      <c r="BC262" s="357"/>
      <c r="BD262" s="357"/>
      <c r="BE262" s="357"/>
      <c r="BF262" s="357"/>
      <c r="BG262" s="357"/>
      <c r="BH262" s="357"/>
      <c r="BI262" s="357"/>
      <c r="BJ262" s="357"/>
      <c r="BK262" s="357"/>
      <c r="BL262" s="357"/>
      <c r="BM262" s="357"/>
      <c r="BN262" s="357"/>
      <c r="BO262" s="416"/>
      <c r="BP262" s="357"/>
      <c r="BQ262" s="357"/>
      <c r="BR262" s="416"/>
      <c r="BS262" s="357"/>
      <c r="BT262" s="357"/>
      <c r="BU262" s="416"/>
      <c r="BV262" s="357"/>
      <c r="BW262" s="357"/>
      <c r="BX262" s="416"/>
      <c r="BY262" s="357"/>
      <c r="BZ262" s="357"/>
      <c r="CA262" s="416"/>
      <c r="CB262" s="357"/>
      <c r="CC262" s="357"/>
      <c r="CD262" s="416"/>
      <c r="CE262" s="357"/>
      <c r="CF262" s="357"/>
      <c r="CG262" s="416"/>
      <c r="CH262" s="357"/>
      <c r="CI262" s="357"/>
      <c r="CJ262" s="416"/>
      <c r="CK262" s="357"/>
      <c r="CL262" s="357"/>
      <c r="CM262" s="416"/>
      <c r="CN262" s="357"/>
      <c r="CO262" s="357"/>
      <c r="CP262" s="416"/>
      <c r="CQ262" s="357"/>
      <c r="CR262" s="357"/>
      <c r="CS262" s="416"/>
      <c r="CT262" s="357"/>
      <c r="CU262" s="357"/>
      <c r="CV262" s="416"/>
      <c r="CW262" s="357"/>
      <c r="CX262" s="357"/>
      <c r="CY262" s="416"/>
      <c r="CZ262" s="357"/>
      <c r="DA262" s="357"/>
      <c r="DB262" s="416"/>
      <c r="DC262" s="357"/>
      <c r="DD262" s="357"/>
      <c r="DE262" s="416"/>
      <c r="DF262" s="357"/>
      <c r="DG262" s="357"/>
      <c r="DH262" s="416"/>
      <c r="DI262" s="357"/>
      <c r="DJ262" s="357"/>
      <c r="DK262" s="1205"/>
      <c r="DL262" s="357"/>
      <c r="DM262" s="357"/>
      <c r="DN262" s="1205"/>
      <c r="DO262" s="357"/>
      <c r="DP262" s="357"/>
      <c r="DQ262" s="1205"/>
      <c r="DR262" s="357"/>
      <c r="DS262" s="357"/>
      <c r="DT262" s="1205"/>
      <c r="DU262" s="357"/>
      <c r="DV262" s="357"/>
      <c r="DW262" s="1205"/>
      <c r="DX262" s="357"/>
      <c r="DY262" s="357"/>
      <c r="DZ262" s="1205"/>
      <c r="EA262" s="357"/>
      <c r="EB262" s="357"/>
      <c r="EC262" s="1205"/>
      <c r="ED262" s="357"/>
      <c r="EE262" s="357"/>
      <c r="EF262" s="1205"/>
      <c r="EG262" s="357"/>
      <c r="EH262" s="357"/>
      <c r="EI262" s="1205"/>
      <c r="EJ262" s="357"/>
      <c r="EK262" s="357"/>
      <c r="EL262" s="1205"/>
      <c r="EM262" s="357"/>
      <c r="EN262" s="357"/>
      <c r="EO262" s="1205"/>
      <c r="EP262" s="357"/>
      <c r="EQ262" s="357"/>
      <c r="ER262" s="1205"/>
      <c r="ES262" s="357"/>
      <c r="ET262" s="357"/>
      <c r="EU262" s="1205"/>
      <c r="EV262" s="357"/>
      <c r="EW262" s="357"/>
      <c r="EX262" s="1205"/>
      <c r="EY262" s="357"/>
      <c r="EZ262" s="357"/>
      <c r="FA262" s="416"/>
    </row>
    <row r="263" spans="1:157" ht="13.35" customHeight="1">
      <c r="A263" s="23"/>
      <c r="B263" s="5" t="s">
        <v>915</v>
      </c>
      <c r="C263" s="5"/>
      <c r="D263" s="418"/>
      <c r="E263" s="415"/>
      <c r="F263" s="356"/>
      <c r="G263" s="356"/>
      <c r="H263" s="356"/>
      <c r="I263" s="356"/>
      <c r="J263" s="356"/>
      <c r="K263" s="356"/>
      <c r="L263" s="356"/>
      <c r="M263" s="356"/>
      <c r="N263" s="356"/>
      <c r="O263" s="356"/>
      <c r="P263" s="356"/>
      <c r="Q263" s="356"/>
      <c r="R263" s="356"/>
      <c r="S263" s="356"/>
      <c r="T263" s="356"/>
      <c r="U263" s="356"/>
      <c r="V263" s="356"/>
      <c r="W263" s="356"/>
      <c r="X263" s="356"/>
      <c r="Y263" s="356"/>
      <c r="Z263" s="356"/>
      <c r="AA263" s="356"/>
      <c r="AB263" s="356"/>
      <c r="AC263" s="356"/>
      <c r="AD263" s="356"/>
      <c r="AE263" s="356"/>
      <c r="AF263" s="356"/>
      <c r="AG263" s="356"/>
      <c r="AH263" s="356"/>
      <c r="AI263" s="356"/>
      <c r="AJ263" s="356"/>
      <c r="AK263" s="356"/>
      <c r="AL263" s="356"/>
      <c r="AM263" s="356"/>
      <c r="AN263" s="356"/>
      <c r="AO263" s="356"/>
      <c r="AP263" s="356"/>
      <c r="AQ263" s="356"/>
      <c r="AR263" s="356"/>
      <c r="AS263" s="356"/>
      <c r="AT263" s="357"/>
      <c r="AU263" s="357"/>
      <c r="AV263" s="357"/>
      <c r="AW263" s="357"/>
      <c r="AX263" s="357"/>
      <c r="AY263" s="357"/>
      <c r="AZ263" s="357"/>
      <c r="BA263" s="357"/>
      <c r="BB263" s="357"/>
      <c r="BC263" s="357"/>
      <c r="BD263" s="357"/>
      <c r="BE263" s="357"/>
      <c r="BF263" s="357"/>
      <c r="BG263" s="357"/>
      <c r="BH263" s="357"/>
      <c r="BI263" s="357"/>
      <c r="BJ263" s="357"/>
      <c r="BK263" s="357"/>
      <c r="BL263" s="357"/>
      <c r="BM263" s="357"/>
      <c r="BN263" s="357"/>
      <c r="BO263" s="416"/>
      <c r="BP263" s="357"/>
      <c r="BQ263" s="357"/>
      <c r="BR263" s="416"/>
      <c r="BS263" s="357"/>
      <c r="BT263" s="357"/>
      <c r="BU263" s="416"/>
      <c r="BV263" s="357"/>
      <c r="BW263" s="357"/>
      <c r="BX263" s="416"/>
      <c r="BY263" s="357"/>
      <c r="BZ263" s="357"/>
      <c r="CA263" s="416"/>
      <c r="CB263" s="357"/>
      <c r="CC263" s="357"/>
      <c r="CD263" s="416"/>
      <c r="CE263" s="357"/>
      <c r="CF263" s="357"/>
      <c r="CG263" s="416"/>
      <c r="CH263" s="357"/>
      <c r="CI263" s="357"/>
      <c r="CJ263" s="416"/>
      <c r="CK263" s="357"/>
      <c r="CL263" s="357"/>
      <c r="CM263" s="416"/>
      <c r="CN263" s="357"/>
      <c r="CO263" s="357"/>
      <c r="CP263" s="416"/>
      <c r="CQ263" s="357"/>
      <c r="CR263" s="357"/>
      <c r="CS263" s="416"/>
      <c r="CT263" s="357"/>
      <c r="CU263" s="357"/>
      <c r="CV263" s="416"/>
      <c r="CW263" s="357"/>
      <c r="CX263" s="357"/>
      <c r="CY263" s="416"/>
      <c r="CZ263" s="357"/>
      <c r="DA263" s="357"/>
      <c r="DB263" s="416"/>
      <c r="DC263" s="357"/>
      <c r="DD263" s="357"/>
      <c r="DE263" s="416"/>
      <c r="DF263" s="357"/>
      <c r="DG263" s="357"/>
      <c r="DH263" s="416"/>
      <c r="DI263" s="357"/>
      <c r="DJ263" s="357"/>
      <c r="DK263" s="1205"/>
      <c r="DL263" s="357"/>
      <c r="DM263" s="357"/>
      <c r="DN263" s="1205"/>
      <c r="DO263" s="357"/>
      <c r="DP263" s="357"/>
      <c r="DQ263" s="1205"/>
      <c r="DR263" s="357"/>
      <c r="DS263" s="357"/>
      <c r="DT263" s="1205"/>
      <c r="DU263" s="357"/>
      <c r="DV263" s="357"/>
      <c r="DW263" s="1205"/>
      <c r="DX263" s="357"/>
      <c r="DY263" s="357"/>
      <c r="DZ263" s="1205"/>
      <c r="EA263" s="357"/>
      <c r="EB263" s="357"/>
      <c r="EC263" s="1205"/>
      <c r="ED263" s="357"/>
      <c r="EE263" s="357"/>
      <c r="EF263" s="1205"/>
      <c r="EG263" s="357"/>
      <c r="EH263" s="357"/>
      <c r="EI263" s="1205"/>
      <c r="EJ263" s="357"/>
      <c r="EK263" s="357"/>
      <c r="EL263" s="1205"/>
      <c r="EM263" s="357"/>
      <c r="EN263" s="357"/>
      <c r="EO263" s="1205"/>
      <c r="EP263" s="357"/>
      <c r="EQ263" s="357"/>
      <c r="ER263" s="1205"/>
      <c r="ES263" s="357"/>
      <c r="ET263" s="357"/>
      <c r="EU263" s="1205"/>
      <c r="EV263" s="357"/>
      <c r="EW263" s="357"/>
      <c r="EX263" s="1205"/>
      <c r="EY263" s="357"/>
      <c r="EZ263" s="357"/>
      <c r="FA263" s="416"/>
    </row>
    <row r="264" spans="1:157" ht="13.35" customHeight="1">
      <c r="A264" s="23"/>
      <c r="B264" s="5" t="s">
        <v>915</v>
      </c>
      <c r="C264" s="5"/>
      <c r="D264" s="410"/>
      <c r="E264" s="415"/>
      <c r="F264" s="356"/>
      <c r="G264" s="356"/>
      <c r="H264" s="356"/>
      <c r="I264" s="356"/>
      <c r="J264" s="356"/>
      <c r="K264" s="356"/>
      <c r="L264" s="356"/>
      <c r="M264" s="356"/>
      <c r="N264" s="356"/>
      <c r="O264" s="356"/>
      <c r="P264" s="356"/>
      <c r="Q264" s="356"/>
      <c r="R264" s="356"/>
      <c r="S264" s="356"/>
      <c r="T264" s="356"/>
      <c r="U264" s="356"/>
      <c r="V264" s="356"/>
      <c r="W264" s="356"/>
      <c r="X264" s="356"/>
      <c r="Y264" s="356"/>
      <c r="Z264" s="356"/>
      <c r="AA264" s="356"/>
      <c r="AB264" s="356"/>
      <c r="AC264" s="356"/>
      <c r="AD264" s="356"/>
      <c r="AE264" s="356"/>
      <c r="AF264" s="356"/>
      <c r="AG264" s="356"/>
      <c r="AH264" s="356"/>
      <c r="AI264" s="356"/>
      <c r="AJ264" s="356"/>
      <c r="AK264" s="356"/>
      <c r="AL264" s="356"/>
      <c r="AM264" s="356"/>
      <c r="AN264" s="356"/>
      <c r="AO264" s="356"/>
      <c r="AP264" s="356"/>
      <c r="AQ264" s="356"/>
      <c r="AR264" s="356"/>
      <c r="AS264" s="356"/>
      <c r="AT264" s="356"/>
      <c r="AU264" s="356"/>
      <c r="AV264" s="356"/>
      <c r="AW264" s="356"/>
      <c r="AX264" s="356"/>
      <c r="AY264" s="356"/>
      <c r="AZ264" s="356"/>
      <c r="BA264" s="356"/>
      <c r="BB264" s="356"/>
      <c r="BC264" s="356"/>
      <c r="BD264" s="356"/>
      <c r="BE264" s="356"/>
      <c r="BF264" s="356"/>
      <c r="BG264" s="356"/>
      <c r="BH264" s="356"/>
      <c r="BI264" s="356"/>
      <c r="BJ264" s="356"/>
      <c r="BK264" s="356"/>
      <c r="BL264" s="356"/>
      <c r="BM264" s="356"/>
      <c r="BN264" s="356"/>
      <c r="BO264" s="419"/>
      <c r="BP264" s="356"/>
      <c r="BQ264" s="356"/>
      <c r="BR264" s="419"/>
      <c r="BS264" s="356"/>
      <c r="BT264" s="356"/>
      <c r="BU264" s="419"/>
      <c r="BV264" s="356"/>
      <c r="BW264" s="356"/>
      <c r="BX264" s="419"/>
      <c r="BY264" s="356"/>
      <c r="BZ264" s="356"/>
      <c r="CA264" s="419"/>
      <c r="CB264" s="356"/>
      <c r="CC264" s="356"/>
      <c r="CD264" s="419"/>
      <c r="CE264" s="356"/>
      <c r="CF264" s="356"/>
      <c r="CG264" s="419"/>
      <c r="CH264" s="356"/>
      <c r="CI264" s="356"/>
      <c r="CJ264" s="419"/>
      <c r="CK264" s="356"/>
      <c r="CL264" s="356"/>
      <c r="CM264" s="419"/>
      <c r="CN264" s="356"/>
      <c r="CO264" s="356"/>
      <c r="CP264" s="419"/>
      <c r="CQ264" s="356"/>
      <c r="CR264" s="356"/>
      <c r="CS264" s="419"/>
      <c r="CT264" s="356"/>
      <c r="CU264" s="356"/>
      <c r="CV264" s="419"/>
      <c r="CW264" s="356"/>
      <c r="CX264" s="356"/>
      <c r="CY264" s="419"/>
      <c r="CZ264" s="356"/>
      <c r="DA264" s="356"/>
      <c r="DB264" s="419"/>
      <c r="DC264" s="356"/>
      <c r="DD264" s="356"/>
      <c r="DE264" s="419"/>
      <c r="DF264" s="356"/>
      <c r="DG264" s="356"/>
      <c r="DH264" s="419"/>
      <c r="DI264" s="356"/>
      <c r="DJ264" s="356"/>
      <c r="DK264" s="1087"/>
      <c r="DL264" s="356"/>
      <c r="DM264" s="356"/>
      <c r="DN264" s="1087"/>
      <c r="DO264" s="356"/>
      <c r="DP264" s="356"/>
      <c r="DQ264" s="1087"/>
      <c r="DR264" s="356"/>
      <c r="DS264" s="356"/>
      <c r="DT264" s="1087"/>
      <c r="DU264" s="356"/>
      <c r="DV264" s="356"/>
      <c r="DW264" s="1087"/>
      <c r="DX264" s="356"/>
      <c r="DY264" s="356"/>
      <c r="DZ264" s="1087"/>
      <c r="EA264" s="356"/>
      <c r="EB264" s="356"/>
      <c r="EC264" s="1087"/>
      <c r="ED264" s="356"/>
      <c r="EE264" s="356"/>
      <c r="EF264" s="1087"/>
      <c r="EG264" s="356"/>
      <c r="EH264" s="356"/>
      <c r="EI264" s="1087"/>
      <c r="EJ264" s="356"/>
      <c r="EK264" s="356"/>
      <c r="EL264" s="1087"/>
      <c r="EM264" s="356"/>
      <c r="EN264" s="356"/>
      <c r="EO264" s="1087"/>
      <c r="EP264" s="356"/>
      <c r="EQ264" s="356"/>
      <c r="ER264" s="1087"/>
      <c r="ES264" s="356"/>
      <c r="ET264" s="356"/>
      <c r="EU264" s="1087"/>
      <c r="EV264" s="356"/>
      <c r="EW264" s="356"/>
      <c r="EX264" s="1087"/>
      <c r="EY264" s="356"/>
      <c r="EZ264" s="356"/>
      <c r="FA264" s="419"/>
    </row>
    <row r="265" spans="1:157" ht="13.35" customHeight="1">
      <c r="A265" s="23"/>
      <c r="B265" s="5" t="s">
        <v>915</v>
      </c>
      <c r="C265" s="5"/>
      <c r="D265" s="410"/>
      <c r="E265" s="415"/>
      <c r="F265" s="356"/>
      <c r="G265" s="356"/>
      <c r="H265" s="356"/>
      <c r="I265" s="356"/>
      <c r="J265" s="356"/>
      <c r="K265" s="356"/>
      <c r="L265" s="356"/>
      <c r="M265" s="356"/>
      <c r="N265" s="356"/>
      <c r="O265" s="356"/>
      <c r="P265" s="356"/>
      <c r="Q265" s="356"/>
      <c r="R265" s="356"/>
      <c r="S265" s="356"/>
      <c r="T265" s="356"/>
      <c r="U265" s="356"/>
      <c r="V265" s="356"/>
      <c r="W265" s="356"/>
      <c r="X265" s="356"/>
      <c r="Y265" s="356"/>
      <c r="Z265" s="356"/>
      <c r="AA265" s="356"/>
      <c r="AB265" s="356"/>
      <c r="AC265" s="356"/>
      <c r="AD265" s="356"/>
      <c r="AE265" s="356"/>
      <c r="AF265" s="356"/>
      <c r="AG265" s="356"/>
      <c r="AH265" s="356"/>
      <c r="AI265" s="356"/>
      <c r="AJ265" s="356"/>
      <c r="AK265" s="356"/>
      <c r="AL265" s="356"/>
      <c r="AM265" s="356"/>
      <c r="AN265" s="356"/>
      <c r="AO265" s="356"/>
      <c r="AP265" s="356"/>
      <c r="AQ265" s="356"/>
      <c r="AR265" s="356"/>
      <c r="AS265" s="356"/>
      <c r="AT265" s="356"/>
      <c r="AU265" s="356"/>
      <c r="AV265" s="356"/>
      <c r="AW265" s="356"/>
      <c r="AX265" s="356"/>
      <c r="AY265" s="356"/>
      <c r="AZ265" s="356"/>
      <c r="BA265" s="356"/>
      <c r="BB265" s="356"/>
      <c r="BC265" s="356"/>
      <c r="BD265" s="356"/>
      <c r="BE265" s="356"/>
      <c r="BF265" s="356"/>
      <c r="BG265" s="356"/>
      <c r="BH265" s="356"/>
      <c r="BI265" s="356"/>
      <c r="BJ265" s="356"/>
      <c r="BK265" s="356"/>
      <c r="BL265" s="356"/>
      <c r="BM265" s="356"/>
      <c r="BN265" s="356"/>
      <c r="BO265" s="419"/>
      <c r="BP265" s="356"/>
      <c r="BQ265" s="356"/>
      <c r="BR265" s="419"/>
      <c r="BS265" s="356"/>
      <c r="BT265" s="356"/>
      <c r="BU265" s="419"/>
      <c r="BV265" s="356"/>
      <c r="BW265" s="356"/>
      <c r="BX265" s="419"/>
      <c r="BY265" s="356"/>
      <c r="BZ265" s="356"/>
      <c r="CA265" s="419"/>
      <c r="CB265" s="356"/>
      <c r="CC265" s="356"/>
      <c r="CD265" s="419"/>
      <c r="CE265" s="356"/>
      <c r="CF265" s="356"/>
      <c r="CG265" s="419"/>
      <c r="CH265" s="356"/>
      <c r="CI265" s="356"/>
      <c r="CJ265" s="419"/>
      <c r="CK265" s="356"/>
      <c r="CL265" s="356"/>
      <c r="CM265" s="419"/>
      <c r="CN265" s="356"/>
      <c r="CO265" s="356"/>
      <c r="CP265" s="419"/>
      <c r="CQ265" s="356"/>
      <c r="CR265" s="356"/>
      <c r="CS265" s="419"/>
      <c r="CT265" s="356"/>
      <c r="CU265" s="356"/>
      <c r="CV265" s="419"/>
      <c r="CW265" s="356"/>
      <c r="CX265" s="356"/>
      <c r="CY265" s="419"/>
      <c r="CZ265" s="356"/>
      <c r="DA265" s="356"/>
      <c r="DB265" s="419"/>
      <c r="DC265" s="356"/>
      <c r="DD265" s="356"/>
      <c r="DE265" s="419"/>
      <c r="DF265" s="356"/>
      <c r="DG265" s="356"/>
      <c r="DH265" s="419"/>
      <c r="DI265" s="356"/>
      <c r="DJ265" s="356"/>
      <c r="DK265" s="1087"/>
      <c r="DL265" s="356"/>
      <c r="DM265" s="356"/>
      <c r="DN265" s="1087"/>
      <c r="DO265" s="356"/>
      <c r="DP265" s="356"/>
      <c r="DQ265" s="1087"/>
      <c r="DR265" s="356"/>
      <c r="DS265" s="356"/>
      <c r="DT265" s="1087"/>
      <c r="DU265" s="356"/>
      <c r="DV265" s="356"/>
      <c r="DW265" s="1087"/>
      <c r="DX265" s="356"/>
      <c r="DY265" s="356"/>
      <c r="DZ265" s="1087"/>
      <c r="EA265" s="356"/>
      <c r="EB265" s="356"/>
      <c r="EC265" s="1087"/>
      <c r="ED265" s="356"/>
      <c r="EE265" s="356"/>
      <c r="EF265" s="1087"/>
      <c r="EG265" s="356"/>
      <c r="EH265" s="356"/>
      <c r="EI265" s="1087"/>
      <c r="EJ265" s="356"/>
      <c r="EK265" s="356"/>
      <c r="EL265" s="1087"/>
      <c r="EM265" s="356"/>
      <c r="EN265" s="356"/>
      <c r="EO265" s="1087"/>
      <c r="EP265" s="356"/>
      <c r="EQ265" s="356"/>
      <c r="ER265" s="1087"/>
      <c r="ES265" s="356"/>
      <c r="ET265" s="356"/>
      <c r="EU265" s="1087"/>
      <c r="EV265" s="356"/>
      <c r="EW265" s="356"/>
      <c r="EX265" s="1087"/>
      <c r="EY265" s="356"/>
      <c r="EZ265" s="356"/>
      <c r="FA265" s="419"/>
    </row>
    <row r="266" spans="1:157" ht="13.35" customHeight="1">
      <c r="A266" s="23"/>
      <c r="B266" s="5" t="s">
        <v>915</v>
      </c>
      <c r="C266" s="5"/>
      <c r="D266" s="410"/>
      <c r="E266" s="415"/>
      <c r="F266" s="356"/>
      <c r="G266" s="356"/>
      <c r="H266" s="356"/>
      <c r="I266" s="356"/>
      <c r="J266" s="356"/>
      <c r="K266" s="356"/>
      <c r="L266" s="356"/>
      <c r="M266" s="356"/>
      <c r="N266" s="356"/>
      <c r="O266" s="356"/>
      <c r="P266" s="356"/>
      <c r="Q266" s="356"/>
      <c r="R266" s="356"/>
      <c r="S266" s="356"/>
      <c r="T266" s="356"/>
      <c r="U266" s="356"/>
      <c r="V266" s="356"/>
      <c r="W266" s="356"/>
      <c r="X266" s="356"/>
      <c r="Y266" s="356"/>
      <c r="Z266" s="356"/>
      <c r="AA266" s="356"/>
      <c r="AB266" s="356"/>
      <c r="AC266" s="356"/>
      <c r="AD266" s="356"/>
      <c r="AE266" s="356"/>
      <c r="AF266" s="356"/>
      <c r="AG266" s="356"/>
      <c r="AH266" s="356"/>
      <c r="AI266" s="356"/>
      <c r="AJ266" s="356"/>
      <c r="AK266" s="356"/>
      <c r="AL266" s="356"/>
      <c r="AM266" s="356"/>
      <c r="AN266" s="356"/>
      <c r="AO266" s="356"/>
      <c r="AP266" s="356"/>
      <c r="AQ266" s="356"/>
      <c r="AR266" s="356"/>
      <c r="AS266" s="356"/>
      <c r="AT266" s="356"/>
      <c r="AU266" s="356"/>
      <c r="AV266" s="356"/>
      <c r="AW266" s="356"/>
      <c r="AX266" s="356"/>
      <c r="AY266" s="356"/>
      <c r="AZ266" s="356"/>
      <c r="BA266" s="356"/>
      <c r="BB266" s="356"/>
      <c r="BC266" s="356"/>
      <c r="BD266" s="356"/>
      <c r="BE266" s="356"/>
      <c r="BF266" s="356"/>
      <c r="BG266" s="356"/>
      <c r="BH266" s="356"/>
      <c r="BI266" s="356"/>
      <c r="BJ266" s="356"/>
      <c r="BK266" s="356"/>
      <c r="BL266" s="356"/>
      <c r="BM266" s="356"/>
      <c r="BN266" s="356"/>
      <c r="BO266" s="419"/>
      <c r="BP266" s="356"/>
      <c r="BQ266" s="356"/>
      <c r="BR266" s="419"/>
      <c r="BS266" s="356"/>
      <c r="BT266" s="356"/>
      <c r="BU266" s="419"/>
      <c r="BV266" s="356"/>
      <c r="BW266" s="356"/>
      <c r="BX266" s="419"/>
      <c r="BY266" s="356"/>
      <c r="BZ266" s="356"/>
      <c r="CA266" s="419"/>
      <c r="CB266" s="356"/>
      <c r="CC266" s="356"/>
      <c r="CD266" s="419"/>
      <c r="CE266" s="356"/>
      <c r="CF266" s="356"/>
      <c r="CG266" s="419"/>
      <c r="CH266" s="356"/>
      <c r="CI266" s="356"/>
      <c r="CJ266" s="419"/>
      <c r="CK266" s="356"/>
      <c r="CL266" s="356"/>
      <c r="CM266" s="419"/>
      <c r="CN266" s="356"/>
      <c r="CO266" s="356"/>
      <c r="CP266" s="419"/>
      <c r="CQ266" s="356"/>
      <c r="CR266" s="356"/>
      <c r="CS266" s="419"/>
      <c r="CT266" s="356"/>
      <c r="CU266" s="356"/>
      <c r="CV266" s="419"/>
      <c r="CW266" s="356"/>
      <c r="CX266" s="356"/>
      <c r="CY266" s="419"/>
      <c r="CZ266" s="356"/>
      <c r="DA266" s="356"/>
      <c r="DB266" s="419"/>
      <c r="DC266" s="356"/>
      <c r="DD266" s="356"/>
      <c r="DE266" s="419"/>
      <c r="DF266" s="356"/>
      <c r="DG266" s="356"/>
      <c r="DH266" s="419"/>
      <c r="DI266" s="356"/>
      <c r="DJ266" s="356"/>
      <c r="DK266" s="1087"/>
      <c r="DL266" s="356"/>
      <c r="DM266" s="356"/>
      <c r="DN266" s="1087"/>
      <c r="DO266" s="356"/>
      <c r="DP266" s="356"/>
      <c r="DQ266" s="1087"/>
      <c r="DR266" s="356"/>
      <c r="DS266" s="356"/>
      <c r="DT266" s="1087"/>
      <c r="DU266" s="356"/>
      <c r="DV266" s="356"/>
      <c r="DW266" s="1087"/>
      <c r="DX266" s="356"/>
      <c r="DY266" s="356"/>
      <c r="DZ266" s="1087"/>
      <c r="EA266" s="356"/>
      <c r="EB266" s="356"/>
      <c r="EC266" s="1087"/>
      <c r="ED266" s="356"/>
      <c r="EE266" s="356"/>
      <c r="EF266" s="1087"/>
      <c r="EG266" s="356"/>
      <c r="EH266" s="356"/>
      <c r="EI266" s="1087"/>
      <c r="EJ266" s="356"/>
      <c r="EK266" s="356"/>
      <c r="EL266" s="1087"/>
      <c r="EM266" s="356"/>
      <c r="EN266" s="356"/>
      <c r="EO266" s="1087"/>
      <c r="EP266" s="356"/>
      <c r="EQ266" s="356"/>
      <c r="ER266" s="1087"/>
      <c r="ES266" s="356"/>
      <c r="ET266" s="356"/>
      <c r="EU266" s="1087"/>
      <c r="EV266" s="356"/>
      <c r="EW266" s="356"/>
      <c r="EX266" s="1087"/>
      <c r="EY266" s="356"/>
      <c r="EZ266" s="356"/>
      <c r="FA266" s="419"/>
    </row>
    <row r="267" spans="1:157" ht="13.35" customHeight="1">
      <c r="A267" s="23"/>
      <c r="B267" s="5" t="s">
        <v>915</v>
      </c>
      <c r="C267" s="5"/>
      <c r="D267" s="410"/>
      <c r="E267" s="415"/>
      <c r="F267" s="356"/>
      <c r="G267" s="356"/>
      <c r="H267" s="356"/>
      <c r="I267" s="356"/>
      <c r="J267" s="356"/>
      <c r="K267" s="356"/>
      <c r="L267" s="356"/>
      <c r="M267" s="356"/>
      <c r="N267" s="356"/>
      <c r="O267" s="356"/>
      <c r="P267" s="356"/>
      <c r="Q267" s="356"/>
      <c r="R267" s="356"/>
      <c r="S267" s="356"/>
      <c r="T267" s="356"/>
      <c r="U267" s="356"/>
      <c r="V267" s="356"/>
      <c r="W267" s="356"/>
      <c r="X267" s="356"/>
      <c r="Y267" s="356"/>
      <c r="Z267" s="356"/>
      <c r="AA267" s="356"/>
      <c r="AB267" s="356"/>
      <c r="AC267" s="356"/>
      <c r="AD267" s="356"/>
      <c r="AE267" s="356"/>
      <c r="AF267" s="356"/>
      <c r="AG267" s="356"/>
      <c r="AH267" s="356"/>
      <c r="AI267" s="356"/>
      <c r="AJ267" s="356"/>
      <c r="AK267" s="356"/>
      <c r="AL267" s="356"/>
      <c r="AM267" s="356"/>
      <c r="AN267" s="356"/>
      <c r="AO267" s="356"/>
      <c r="AP267" s="356"/>
      <c r="AQ267" s="356"/>
      <c r="AR267" s="356"/>
      <c r="AS267" s="356"/>
      <c r="AT267" s="356"/>
      <c r="AU267" s="356"/>
      <c r="AV267" s="356"/>
      <c r="AW267" s="356"/>
      <c r="AX267" s="356"/>
      <c r="AY267" s="356"/>
      <c r="AZ267" s="356"/>
      <c r="BA267" s="356"/>
      <c r="BB267" s="356"/>
      <c r="BC267" s="356"/>
      <c r="BD267" s="356"/>
      <c r="BE267" s="356"/>
      <c r="BF267" s="356"/>
      <c r="BG267" s="356"/>
      <c r="BH267" s="356"/>
      <c r="BI267" s="356"/>
      <c r="BJ267" s="356"/>
      <c r="BK267" s="356"/>
      <c r="BL267" s="356"/>
      <c r="BM267" s="356"/>
      <c r="BN267" s="356"/>
      <c r="BO267" s="419"/>
      <c r="BP267" s="356"/>
      <c r="BQ267" s="356"/>
      <c r="BR267" s="419"/>
      <c r="BS267" s="356"/>
      <c r="BT267" s="356"/>
      <c r="BU267" s="419"/>
      <c r="BV267" s="356"/>
      <c r="BW267" s="356"/>
      <c r="BX267" s="419"/>
      <c r="BY267" s="356"/>
      <c r="BZ267" s="356"/>
      <c r="CA267" s="419"/>
      <c r="CB267" s="356"/>
      <c r="CC267" s="356"/>
      <c r="CD267" s="419"/>
      <c r="CE267" s="356"/>
      <c r="CF267" s="356"/>
      <c r="CG267" s="419"/>
      <c r="CH267" s="356"/>
      <c r="CI267" s="356"/>
      <c r="CJ267" s="419"/>
      <c r="CK267" s="356"/>
      <c r="CL267" s="356"/>
      <c r="CM267" s="419"/>
      <c r="CN267" s="356"/>
      <c r="CO267" s="356"/>
      <c r="CP267" s="419"/>
      <c r="CQ267" s="356"/>
      <c r="CR267" s="356"/>
      <c r="CS267" s="419"/>
      <c r="CT267" s="356"/>
      <c r="CU267" s="356"/>
      <c r="CV267" s="419"/>
      <c r="CW267" s="356"/>
      <c r="CX267" s="356"/>
      <c r="CY267" s="419"/>
      <c r="CZ267" s="356"/>
      <c r="DA267" s="356"/>
      <c r="DB267" s="419"/>
      <c r="DC267" s="356"/>
      <c r="DD267" s="356"/>
      <c r="DE267" s="419"/>
      <c r="DF267" s="356"/>
      <c r="DG267" s="356"/>
      <c r="DH267" s="419"/>
      <c r="DI267" s="356"/>
      <c r="DJ267" s="356"/>
      <c r="DK267" s="1087"/>
      <c r="DL267" s="356"/>
      <c r="DM267" s="356"/>
      <c r="DN267" s="1087"/>
      <c r="DO267" s="356"/>
      <c r="DP267" s="356"/>
      <c r="DQ267" s="1087"/>
      <c r="DR267" s="356"/>
      <c r="DS267" s="356"/>
      <c r="DT267" s="1087"/>
      <c r="DU267" s="356"/>
      <c r="DV267" s="356"/>
      <c r="DW267" s="1087"/>
      <c r="DX267" s="356"/>
      <c r="DY267" s="356"/>
      <c r="DZ267" s="1087"/>
      <c r="EA267" s="356"/>
      <c r="EB267" s="356"/>
      <c r="EC267" s="1087"/>
      <c r="ED267" s="356"/>
      <c r="EE267" s="356"/>
      <c r="EF267" s="1087"/>
      <c r="EG267" s="356"/>
      <c r="EH267" s="356"/>
      <c r="EI267" s="1087"/>
      <c r="EJ267" s="356"/>
      <c r="EK267" s="356"/>
      <c r="EL267" s="1087"/>
      <c r="EM267" s="356"/>
      <c r="EN267" s="356"/>
      <c r="EO267" s="1087"/>
      <c r="EP267" s="356"/>
      <c r="EQ267" s="356"/>
      <c r="ER267" s="1087"/>
      <c r="ES267" s="356"/>
      <c r="ET267" s="356"/>
      <c r="EU267" s="1087"/>
      <c r="EV267" s="356"/>
      <c r="EW267" s="356"/>
      <c r="EX267" s="1087"/>
      <c r="EY267" s="356"/>
      <c r="EZ267" s="356"/>
      <c r="FA267" s="419"/>
    </row>
    <row r="268" spans="1:157" ht="13.35" customHeight="1">
      <c r="A268" s="23"/>
      <c r="B268" s="5" t="s">
        <v>915</v>
      </c>
      <c r="C268" s="5"/>
      <c r="D268" s="410"/>
      <c r="E268" s="415"/>
      <c r="F268" s="356"/>
      <c r="G268" s="356"/>
      <c r="H268" s="356"/>
      <c r="I268" s="356"/>
      <c r="J268" s="356"/>
      <c r="K268" s="356"/>
      <c r="L268" s="356"/>
      <c r="M268" s="356"/>
      <c r="N268" s="356"/>
      <c r="O268" s="356"/>
      <c r="P268" s="356"/>
      <c r="Q268" s="356"/>
      <c r="R268" s="356"/>
      <c r="S268" s="356"/>
      <c r="T268" s="356"/>
      <c r="U268" s="356"/>
      <c r="V268" s="356"/>
      <c r="W268" s="356"/>
      <c r="X268" s="356"/>
      <c r="Y268" s="356"/>
      <c r="Z268" s="356"/>
      <c r="AA268" s="356"/>
      <c r="AB268" s="356"/>
      <c r="AC268" s="356"/>
      <c r="AD268" s="356"/>
      <c r="AE268" s="356"/>
      <c r="AF268" s="356"/>
      <c r="AG268" s="356"/>
      <c r="AH268" s="356"/>
      <c r="AI268" s="356"/>
      <c r="AJ268" s="356"/>
      <c r="AK268" s="356"/>
      <c r="AL268" s="356"/>
      <c r="AM268" s="356"/>
      <c r="AN268" s="356"/>
      <c r="AO268" s="356"/>
      <c r="AP268" s="356"/>
      <c r="AQ268" s="356"/>
      <c r="AR268" s="356"/>
      <c r="AS268" s="356"/>
      <c r="AT268" s="356"/>
      <c r="AU268" s="356"/>
      <c r="AV268" s="356"/>
      <c r="AW268" s="356"/>
      <c r="AX268" s="356"/>
      <c r="AY268" s="356"/>
      <c r="AZ268" s="356"/>
      <c r="BA268" s="356"/>
      <c r="BB268" s="356"/>
      <c r="BC268" s="356"/>
      <c r="BD268" s="356"/>
      <c r="BE268" s="356"/>
      <c r="BF268" s="356"/>
      <c r="BG268" s="356"/>
      <c r="BH268" s="356"/>
      <c r="BI268" s="356"/>
      <c r="BJ268" s="356"/>
      <c r="BK268" s="356"/>
      <c r="BL268" s="356"/>
      <c r="BM268" s="356"/>
      <c r="BN268" s="356"/>
      <c r="BO268" s="419"/>
      <c r="BP268" s="356"/>
      <c r="BQ268" s="356"/>
      <c r="BR268" s="419"/>
      <c r="BS268" s="356"/>
      <c r="BT268" s="356"/>
      <c r="BU268" s="419"/>
      <c r="BV268" s="356"/>
      <c r="BW268" s="356"/>
      <c r="BX268" s="419"/>
      <c r="BY268" s="356"/>
      <c r="BZ268" s="356"/>
      <c r="CA268" s="419"/>
      <c r="CB268" s="356"/>
      <c r="CC268" s="356"/>
      <c r="CD268" s="419"/>
      <c r="CE268" s="356"/>
      <c r="CF268" s="356"/>
      <c r="CG268" s="419"/>
      <c r="CH268" s="356"/>
      <c r="CI268" s="356"/>
      <c r="CJ268" s="419"/>
      <c r="CK268" s="356"/>
      <c r="CL268" s="356"/>
      <c r="CM268" s="419"/>
      <c r="CN268" s="356"/>
      <c r="CO268" s="356"/>
      <c r="CP268" s="419"/>
      <c r="CQ268" s="356"/>
      <c r="CR268" s="356"/>
      <c r="CS268" s="419"/>
      <c r="CT268" s="356"/>
      <c r="CU268" s="356"/>
      <c r="CV268" s="419"/>
      <c r="CW268" s="356"/>
      <c r="CX268" s="356"/>
      <c r="CY268" s="419"/>
      <c r="CZ268" s="356"/>
      <c r="DA268" s="356"/>
      <c r="DB268" s="419"/>
      <c r="DC268" s="356"/>
      <c r="DD268" s="356"/>
      <c r="DE268" s="419"/>
      <c r="DF268" s="356"/>
      <c r="DG268" s="356"/>
      <c r="DH268" s="419"/>
      <c r="DI268" s="356"/>
      <c r="DJ268" s="356"/>
      <c r="DK268" s="1087"/>
      <c r="DL268" s="356"/>
      <c r="DM268" s="356"/>
      <c r="DN268" s="1087"/>
      <c r="DO268" s="356"/>
      <c r="DP268" s="356"/>
      <c r="DQ268" s="1087"/>
      <c r="DR268" s="356"/>
      <c r="DS268" s="356"/>
      <c r="DT268" s="1087"/>
      <c r="DU268" s="356"/>
      <c r="DV268" s="356"/>
      <c r="DW268" s="1087"/>
      <c r="DX268" s="356"/>
      <c r="DY268" s="356"/>
      <c r="DZ268" s="1087"/>
      <c r="EA268" s="356"/>
      <c r="EB268" s="356"/>
      <c r="EC268" s="1087"/>
      <c r="ED268" s="356"/>
      <c r="EE268" s="356"/>
      <c r="EF268" s="1087"/>
      <c r="EG268" s="356"/>
      <c r="EH268" s="356"/>
      <c r="EI268" s="1087"/>
      <c r="EJ268" s="356"/>
      <c r="EK268" s="356"/>
      <c r="EL268" s="1087"/>
      <c r="EM268" s="356"/>
      <c r="EN268" s="356"/>
      <c r="EO268" s="1087"/>
      <c r="EP268" s="356"/>
      <c r="EQ268" s="356"/>
      <c r="ER268" s="1087"/>
      <c r="ES268" s="356"/>
      <c r="ET268" s="356"/>
      <c r="EU268" s="1087"/>
      <c r="EV268" s="356"/>
      <c r="EW268" s="356"/>
      <c r="EX268" s="1087"/>
      <c r="EY268" s="356"/>
      <c r="EZ268" s="356"/>
      <c r="FA268" s="419"/>
    </row>
    <row r="269" spans="1:157" ht="13.35" customHeight="1">
      <c r="A269" s="23"/>
      <c r="B269" s="5" t="s">
        <v>915</v>
      </c>
      <c r="C269" s="5"/>
      <c r="D269" s="410"/>
      <c r="E269" s="415"/>
      <c r="F269" s="356"/>
      <c r="G269" s="356"/>
      <c r="H269" s="356"/>
      <c r="I269" s="356"/>
      <c r="J269" s="356"/>
      <c r="K269" s="356"/>
      <c r="L269" s="356"/>
      <c r="M269" s="356"/>
      <c r="N269" s="356"/>
      <c r="O269" s="356"/>
      <c r="P269" s="356"/>
      <c r="Q269" s="356"/>
      <c r="R269" s="356"/>
      <c r="S269" s="356"/>
      <c r="T269" s="356"/>
      <c r="U269" s="356"/>
      <c r="V269" s="356"/>
      <c r="W269" s="356"/>
      <c r="X269" s="356"/>
      <c r="Y269" s="356"/>
      <c r="Z269" s="356"/>
      <c r="AA269" s="356"/>
      <c r="AB269" s="356"/>
      <c r="AC269" s="356"/>
      <c r="AD269" s="356"/>
      <c r="AE269" s="356"/>
      <c r="AF269" s="356"/>
      <c r="AG269" s="356"/>
      <c r="AH269" s="356"/>
      <c r="AI269" s="356"/>
      <c r="AJ269" s="356"/>
      <c r="AK269" s="356"/>
      <c r="AL269" s="356"/>
      <c r="AM269" s="356"/>
      <c r="AN269" s="356"/>
      <c r="AO269" s="356"/>
      <c r="AP269" s="356"/>
      <c r="AQ269" s="356"/>
      <c r="AR269" s="356"/>
      <c r="AS269" s="356"/>
      <c r="AT269" s="356"/>
      <c r="AU269" s="356"/>
      <c r="AV269" s="356"/>
      <c r="AW269" s="356"/>
      <c r="AX269" s="356"/>
      <c r="AY269" s="356"/>
      <c r="AZ269" s="356"/>
      <c r="BA269" s="356"/>
      <c r="BB269" s="356"/>
      <c r="BC269" s="356"/>
      <c r="BD269" s="356"/>
      <c r="BE269" s="356"/>
      <c r="BF269" s="356"/>
      <c r="BG269" s="356"/>
      <c r="BH269" s="356"/>
      <c r="BI269" s="356"/>
      <c r="BJ269" s="356"/>
      <c r="BK269" s="356"/>
      <c r="BL269" s="356"/>
      <c r="BM269" s="356"/>
      <c r="BN269" s="356"/>
      <c r="BO269" s="419"/>
      <c r="BP269" s="356"/>
      <c r="BQ269" s="356"/>
      <c r="BR269" s="419"/>
      <c r="BS269" s="356"/>
      <c r="BT269" s="356"/>
      <c r="BU269" s="419"/>
      <c r="BV269" s="356"/>
      <c r="BW269" s="356"/>
      <c r="BX269" s="419"/>
      <c r="BY269" s="356"/>
      <c r="BZ269" s="356"/>
      <c r="CA269" s="419"/>
      <c r="CB269" s="356"/>
      <c r="CC269" s="356"/>
      <c r="CD269" s="419"/>
      <c r="CE269" s="356"/>
      <c r="CF269" s="356"/>
      <c r="CG269" s="419"/>
      <c r="CH269" s="356"/>
      <c r="CI269" s="356"/>
      <c r="CJ269" s="419"/>
      <c r="CK269" s="356"/>
      <c r="CL269" s="356"/>
      <c r="CM269" s="419"/>
      <c r="CN269" s="356"/>
      <c r="CO269" s="356"/>
      <c r="CP269" s="419"/>
      <c r="CQ269" s="356"/>
      <c r="CR269" s="356"/>
      <c r="CS269" s="419"/>
      <c r="CT269" s="356"/>
      <c r="CU269" s="356"/>
      <c r="CV269" s="419"/>
      <c r="CW269" s="356"/>
      <c r="CX269" s="356"/>
      <c r="CY269" s="419"/>
      <c r="CZ269" s="356"/>
      <c r="DA269" s="356"/>
      <c r="DB269" s="419"/>
      <c r="DC269" s="356"/>
      <c r="DD269" s="356"/>
      <c r="DE269" s="419"/>
      <c r="DF269" s="356"/>
      <c r="DG269" s="356"/>
      <c r="DH269" s="419"/>
      <c r="DI269" s="356"/>
      <c r="DJ269" s="356"/>
      <c r="DK269" s="1087"/>
      <c r="DL269" s="356"/>
      <c r="DM269" s="356"/>
      <c r="DN269" s="1087"/>
      <c r="DO269" s="356"/>
      <c r="DP269" s="356"/>
      <c r="DQ269" s="1087"/>
      <c r="DR269" s="356"/>
      <c r="DS269" s="356"/>
      <c r="DT269" s="1087"/>
      <c r="DU269" s="356"/>
      <c r="DV269" s="356"/>
      <c r="DW269" s="1087"/>
      <c r="DX269" s="356"/>
      <c r="DY269" s="356"/>
      <c r="DZ269" s="1087"/>
      <c r="EA269" s="356"/>
      <c r="EB269" s="356"/>
      <c r="EC269" s="1087"/>
      <c r="ED269" s="356"/>
      <c r="EE269" s="356"/>
      <c r="EF269" s="1087"/>
      <c r="EG269" s="356"/>
      <c r="EH269" s="356"/>
      <c r="EI269" s="1087"/>
      <c r="EJ269" s="356"/>
      <c r="EK269" s="356"/>
      <c r="EL269" s="1087"/>
      <c r="EM269" s="356"/>
      <c r="EN269" s="356"/>
      <c r="EO269" s="1087"/>
      <c r="EP269" s="356"/>
      <c r="EQ269" s="356"/>
      <c r="ER269" s="1087"/>
      <c r="ES269" s="356"/>
      <c r="ET269" s="356"/>
      <c r="EU269" s="1087"/>
      <c r="EV269" s="356"/>
      <c r="EW269" s="356"/>
      <c r="EX269" s="1087"/>
      <c r="EY269" s="356"/>
      <c r="EZ269" s="356"/>
      <c r="FA269" s="419"/>
    </row>
    <row r="270" spans="1:157" ht="13.35" customHeight="1">
      <c r="A270" s="23"/>
      <c r="B270" s="5" t="s">
        <v>915</v>
      </c>
      <c r="C270" s="5"/>
      <c r="D270" s="410"/>
      <c r="E270" s="415"/>
      <c r="F270" s="356"/>
      <c r="G270" s="356"/>
      <c r="H270" s="356"/>
      <c r="I270" s="356"/>
      <c r="J270" s="356"/>
      <c r="K270" s="356"/>
      <c r="L270" s="356"/>
      <c r="M270" s="356"/>
      <c r="N270" s="356"/>
      <c r="O270" s="356"/>
      <c r="P270" s="356"/>
      <c r="Q270" s="356"/>
      <c r="R270" s="356"/>
      <c r="S270" s="356"/>
      <c r="T270" s="356"/>
      <c r="U270" s="356"/>
      <c r="V270" s="356"/>
      <c r="W270" s="356"/>
      <c r="X270" s="356"/>
      <c r="Y270" s="356"/>
      <c r="Z270" s="356"/>
      <c r="AA270" s="356"/>
      <c r="AB270" s="356"/>
      <c r="AC270" s="356"/>
      <c r="AD270" s="356"/>
      <c r="AE270" s="356"/>
      <c r="AF270" s="356"/>
      <c r="AG270" s="356"/>
      <c r="AH270" s="356"/>
      <c r="AI270" s="356"/>
      <c r="AJ270" s="356"/>
      <c r="AK270" s="356"/>
      <c r="AL270" s="356"/>
      <c r="AM270" s="356"/>
      <c r="AN270" s="356"/>
      <c r="AO270" s="356"/>
      <c r="AP270" s="356"/>
      <c r="AQ270" s="356"/>
      <c r="AR270" s="356"/>
      <c r="AS270" s="356"/>
      <c r="AT270" s="356"/>
      <c r="AU270" s="356"/>
      <c r="AV270" s="356"/>
      <c r="AW270" s="356"/>
      <c r="AX270" s="356"/>
      <c r="AY270" s="356"/>
      <c r="AZ270" s="356"/>
      <c r="BA270" s="356"/>
      <c r="BB270" s="356"/>
      <c r="BC270" s="356"/>
      <c r="BD270" s="356"/>
      <c r="BE270" s="356"/>
      <c r="BF270" s="356"/>
      <c r="BG270" s="356"/>
      <c r="BH270" s="356"/>
      <c r="BI270" s="356"/>
      <c r="BJ270" s="356"/>
      <c r="BK270" s="356"/>
      <c r="BL270" s="356"/>
      <c r="BM270" s="356"/>
      <c r="BN270" s="356"/>
      <c r="BO270" s="419"/>
      <c r="BP270" s="356"/>
      <c r="BQ270" s="356"/>
      <c r="BR270" s="419"/>
      <c r="BS270" s="356"/>
      <c r="BT270" s="356"/>
      <c r="BU270" s="419"/>
      <c r="BV270" s="356"/>
      <c r="BW270" s="356"/>
      <c r="BX270" s="419"/>
      <c r="BY270" s="356"/>
      <c r="BZ270" s="356"/>
      <c r="CA270" s="419"/>
      <c r="CB270" s="356"/>
      <c r="CC270" s="356"/>
      <c r="CD270" s="419"/>
      <c r="CE270" s="356"/>
      <c r="CF270" s="356"/>
      <c r="CG270" s="419"/>
      <c r="CH270" s="356"/>
      <c r="CI270" s="356"/>
      <c r="CJ270" s="419"/>
      <c r="CK270" s="356"/>
      <c r="CL270" s="356"/>
      <c r="CM270" s="419"/>
      <c r="CN270" s="356"/>
      <c r="CO270" s="356"/>
      <c r="CP270" s="419"/>
      <c r="CQ270" s="356"/>
      <c r="CR270" s="356"/>
      <c r="CS270" s="419"/>
      <c r="CT270" s="356"/>
      <c r="CU270" s="356"/>
      <c r="CV270" s="419"/>
      <c r="CW270" s="356"/>
      <c r="CX270" s="356"/>
      <c r="CY270" s="419"/>
      <c r="CZ270" s="356"/>
      <c r="DA270" s="356"/>
      <c r="DB270" s="419"/>
      <c r="DC270" s="356"/>
      <c r="DD270" s="356"/>
      <c r="DE270" s="419"/>
      <c r="DF270" s="356"/>
      <c r="DG270" s="356"/>
      <c r="DH270" s="419"/>
      <c r="DI270" s="356"/>
      <c r="DJ270" s="356"/>
      <c r="DK270" s="1087"/>
      <c r="DL270" s="356"/>
      <c r="DM270" s="356"/>
      <c r="DN270" s="1087"/>
      <c r="DO270" s="356"/>
      <c r="DP270" s="356"/>
      <c r="DQ270" s="1087"/>
      <c r="DR270" s="356"/>
      <c r="DS270" s="356"/>
      <c r="DT270" s="1087"/>
      <c r="DU270" s="356"/>
      <c r="DV270" s="356"/>
      <c r="DW270" s="1087"/>
      <c r="DX270" s="356"/>
      <c r="DY270" s="356"/>
      <c r="DZ270" s="1087"/>
      <c r="EA270" s="356"/>
      <c r="EB270" s="356"/>
      <c r="EC270" s="1087"/>
      <c r="ED270" s="356"/>
      <c r="EE270" s="356"/>
      <c r="EF270" s="1087"/>
      <c r="EG270" s="356"/>
      <c r="EH270" s="356"/>
      <c r="EI270" s="1087"/>
      <c r="EJ270" s="356"/>
      <c r="EK270" s="356"/>
      <c r="EL270" s="1087"/>
      <c r="EM270" s="356"/>
      <c r="EN270" s="356"/>
      <c r="EO270" s="1087"/>
      <c r="EP270" s="356"/>
      <c r="EQ270" s="356"/>
      <c r="ER270" s="1087"/>
      <c r="ES270" s="356"/>
      <c r="ET270" s="356"/>
      <c r="EU270" s="1087"/>
      <c r="EV270" s="356"/>
      <c r="EW270" s="356"/>
      <c r="EX270" s="1087"/>
      <c r="EY270" s="356"/>
      <c r="EZ270" s="356"/>
      <c r="FA270" s="419"/>
    </row>
    <row r="271" spans="1:157" ht="13.35" customHeight="1">
      <c r="A271" s="23"/>
      <c r="B271" s="5" t="s">
        <v>915</v>
      </c>
      <c r="C271" s="5"/>
      <c r="D271" s="410"/>
      <c r="E271" s="415"/>
      <c r="F271" s="356"/>
      <c r="G271" s="356"/>
      <c r="H271" s="356"/>
      <c r="I271" s="356"/>
      <c r="J271" s="356"/>
      <c r="K271" s="356"/>
      <c r="L271" s="356"/>
      <c r="M271" s="356"/>
      <c r="N271" s="356"/>
      <c r="O271" s="356"/>
      <c r="P271" s="356"/>
      <c r="Q271" s="356"/>
      <c r="R271" s="356"/>
      <c r="S271" s="356"/>
      <c r="T271" s="356"/>
      <c r="U271" s="356"/>
      <c r="V271" s="356"/>
      <c r="W271" s="356"/>
      <c r="X271" s="356"/>
      <c r="Y271" s="356"/>
      <c r="Z271" s="356"/>
      <c r="AA271" s="356"/>
      <c r="AB271" s="356"/>
      <c r="AC271" s="356"/>
      <c r="AD271" s="356"/>
      <c r="AE271" s="356"/>
      <c r="AF271" s="356"/>
      <c r="AG271" s="356"/>
      <c r="AH271" s="356"/>
      <c r="AI271" s="356"/>
      <c r="AJ271" s="356"/>
      <c r="AK271" s="356"/>
      <c r="AL271" s="356"/>
      <c r="AM271" s="356"/>
      <c r="AN271" s="356"/>
      <c r="AO271" s="356"/>
      <c r="AP271" s="356"/>
      <c r="AQ271" s="356"/>
      <c r="AR271" s="356"/>
      <c r="AS271" s="356"/>
      <c r="AT271" s="356"/>
      <c r="AU271" s="356"/>
      <c r="AV271" s="356"/>
      <c r="AW271" s="356"/>
      <c r="AX271" s="356"/>
      <c r="AY271" s="356"/>
      <c r="AZ271" s="356"/>
      <c r="BA271" s="356"/>
      <c r="BB271" s="356"/>
      <c r="BC271" s="356"/>
      <c r="BD271" s="356"/>
      <c r="BE271" s="356"/>
      <c r="BF271" s="356"/>
      <c r="BG271" s="356"/>
      <c r="BH271" s="356"/>
      <c r="BI271" s="356"/>
      <c r="BJ271" s="356"/>
      <c r="BK271" s="356"/>
      <c r="BL271" s="356"/>
      <c r="BM271" s="356"/>
      <c r="BN271" s="356"/>
      <c r="BO271" s="419"/>
      <c r="BP271" s="356"/>
      <c r="BQ271" s="356"/>
      <c r="BR271" s="419"/>
      <c r="BS271" s="356"/>
      <c r="BT271" s="356"/>
      <c r="BU271" s="419"/>
      <c r="BV271" s="356"/>
      <c r="BW271" s="356"/>
      <c r="BX271" s="419"/>
      <c r="BY271" s="356"/>
      <c r="BZ271" s="356"/>
      <c r="CA271" s="419"/>
      <c r="CB271" s="356"/>
      <c r="CC271" s="356"/>
      <c r="CD271" s="419"/>
      <c r="CE271" s="356"/>
      <c r="CF271" s="356"/>
      <c r="CG271" s="419"/>
      <c r="CH271" s="356"/>
      <c r="CI271" s="356"/>
      <c r="CJ271" s="419"/>
      <c r="CK271" s="356"/>
      <c r="CL271" s="356"/>
      <c r="CM271" s="419"/>
      <c r="CN271" s="356"/>
      <c r="CO271" s="356"/>
      <c r="CP271" s="419"/>
      <c r="CQ271" s="356"/>
      <c r="CR271" s="356"/>
      <c r="CS271" s="419"/>
      <c r="CT271" s="356"/>
      <c r="CU271" s="356"/>
      <c r="CV271" s="419"/>
      <c r="CW271" s="356"/>
      <c r="CX271" s="356"/>
      <c r="CY271" s="419"/>
      <c r="CZ271" s="356"/>
      <c r="DA271" s="356"/>
      <c r="DB271" s="419"/>
      <c r="DC271" s="356"/>
      <c r="DD271" s="356"/>
      <c r="DE271" s="419"/>
      <c r="DF271" s="356"/>
      <c r="DG271" s="356"/>
      <c r="DH271" s="419"/>
      <c r="DI271" s="356"/>
      <c r="DJ271" s="356"/>
      <c r="DK271" s="1087"/>
      <c r="DL271" s="356"/>
      <c r="DM271" s="356"/>
      <c r="DN271" s="1087"/>
      <c r="DO271" s="356"/>
      <c r="DP271" s="356"/>
      <c r="DQ271" s="1087"/>
      <c r="DR271" s="356"/>
      <c r="DS271" s="356"/>
      <c r="DT271" s="1087"/>
      <c r="DU271" s="356"/>
      <c r="DV271" s="356"/>
      <c r="DW271" s="1087"/>
      <c r="DX271" s="356"/>
      <c r="DY271" s="356"/>
      <c r="DZ271" s="1087"/>
      <c r="EA271" s="356"/>
      <c r="EB271" s="356"/>
      <c r="EC271" s="1087"/>
      <c r="ED271" s="356"/>
      <c r="EE271" s="356"/>
      <c r="EF271" s="1087"/>
      <c r="EG271" s="356"/>
      <c r="EH271" s="356"/>
      <c r="EI271" s="1087"/>
      <c r="EJ271" s="356"/>
      <c r="EK271" s="356"/>
      <c r="EL271" s="1087"/>
      <c r="EM271" s="356"/>
      <c r="EN271" s="356"/>
      <c r="EO271" s="1087"/>
      <c r="EP271" s="356"/>
      <c r="EQ271" s="356"/>
      <c r="ER271" s="1087"/>
      <c r="ES271" s="356"/>
      <c r="ET271" s="356"/>
      <c r="EU271" s="1087"/>
      <c r="EV271" s="356"/>
      <c r="EW271" s="356"/>
      <c r="EX271" s="1087"/>
      <c r="EY271" s="356"/>
      <c r="EZ271" s="356"/>
      <c r="FA271" s="419"/>
    </row>
    <row r="272" spans="1:157" ht="13.35" customHeight="1">
      <c r="A272" s="23"/>
      <c r="B272" s="5" t="s">
        <v>915</v>
      </c>
      <c r="C272" s="5"/>
      <c r="D272" s="410"/>
      <c r="E272" s="415"/>
      <c r="F272" s="356"/>
      <c r="G272" s="356"/>
      <c r="H272" s="356"/>
      <c r="I272" s="356"/>
      <c r="J272" s="356"/>
      <c r="K272" s="356"/>
      <c r="L272" s="356"/>
      <c r="M272" s="356"/>
      <c r="N272" s="356"/>
      <c r="O272" s="356"/>
      <c r="P272" s="356"/>
      <c r="Q272" s="356"/>
      <c r="R272" s="356"/>
      <c r="S272" s="356"/>
      <c r="T272" s="356"/>
      <c r="U272" s="356"/>
      <c r="V272" s="356"/>
      <c r="W272" s="356"/>
      <c r="X272" s="356"/>
      <c r="Y272" s="356"/>
      <c r="Z272" s="356"/>
      <c r="AA272" s="356"/>
      <c r="AB272" s="356"/>
      <c r="AC272" s="356"/>
      <c r="AD272" s="356"/>
      <c r="AE272" s="356"/>
      <c r="AF272" s="356"/>
      <c r="AG272" s="356"/>
      <c r="AH272" s="356"/>
      <c r="AI272" s="356"/>
      <c r="AJ272" s="356"/>
      <c r="AK272" s="356"/>
      <c r="AL272" s="356"/>
      <c r="AM272" s="356"/>
      <c r="AN272" s="356"/>
      <c r="AO272" s="356"/>
      <c r="AP272" s="356"/>
      <c r="AQ272" s="356"/>
      <c r="AR272" s="356"/>
      <c r="AS272" s="356"/>
      <c r="AT272" s="356"/>
      <c r="AU272" s="356"/>
      <c r="AV272" s="356"/>
      <c r="AW272" s="356"/>
      <c r="AX272" s="356"/>
      <c r="AY272" s="356"/>
      <c r="AZ272" s="356"/>
      <c r="BA272" s="356"/>
      <c r="BB272" s="356"/>
      <c r="BC272" s="356"/>
      <c r="BD272" s="356"/>
      <c r="BE272" s="356"/>
      <c r="BF272" s="356"/>
      <c r="BG272" s="356"/>
      <c r="BH272" s="356"/>
      <c r="BI272" s="356"/>
      <c r="BJ272" s="356"/>
      <c r="BK272" s="356"/>
      <c r="BL272" s="356"/>
      <c r="BM272" s="356"/>
      <c r="BN272" s="356"/>
      <c r="BO272" s="419"/>
      <c r="BP272" s="356"/>
      <c r="BQ272" s="356"/>
      <c r="BR272" s="419"/>
      <c r="BS272" s="356"/>
      <c r="BT272" s="356"/>
      <c r="BU272" s="419"/>
      <c r="BV272" s="356"/>
      <c r="BW272" s="356"/>
      <c r="BX272" s="419"/>
      <c r="BY272" s="356"/>
      <c r="BZ272" s="356"/>
      <c r="CA272" s="419"/>
      <c r="CB272" s="356"/>
      <c r="CC272" s="356"/>
      <c r="CD272" s="419"/>
      <c r="CE272" s="356"/>
      <c r="CF272" s="356"/>
      <c r="CG272" s="419"/>
      <c r="CH272" s="356"/>
      <c r="CI272" s="356"/>
      <c r="CJ272" s="419"/>
      <c r="CK272" s="356"/>
      <c r="CL272" s="356"/>
      <c r="CM272" s="419"/>
      <c r="CN272" s="356"/>
      <c r="CO272" s="356"/>
      <c r="CP272" s="419"/>
      <c r="CQ272" s="356"/>
      <c r="CR272" s="356"/>
      <c r="CS272" s="419"/>
      <c r="CT272" s="356"/>
      <c r="CU272" s="356"/>
      <c r="CV272" s="419"/>
      <c r="CW272" s="356"/>
      <c r="CX272" s="356"/>
      <c r="CY272" s="419"/>
      <c r="CZ272" s="356"/>
      <c r="DA272" s="356"/>
      <c r="DB272" s="419"/>
      <c r="DC272" s="356"/>
      <c r="DD272" s="356"/>
      <c r="DE272" s="419"/>
      <c r="DF272" s="356"/>
      <c r="DG272" s="356"/>
      <c r="DH272" s="419"/>
      <c r="DI272" s="356"/>
      <c r="DJ272" s="356"/>
      <c r="DK272" s="1087"/>
      <c r="DL272" s="356"/>
      <c r="DM272" s="356"/>
      <c r="DN272" s="1087"/>
      <c r="DO272" s="356"/>
      <c r="DP272" s="356"/>
      <c r="DQ272" s="1087"/>
      <c r="DR272" s="356"/>
      <c r="DS272" s="356"/>
      <c r="DT272" s="1087"/>
      <c r="DU272" s="356"/>
      <c r="DV272" s="356"/>
      <c r="DW272" s="1087"/>
      <c r="DX272" s="356"/>
      <c r="DY272" s="356"/>
      <c r="DZ272" s="1087"/>
      <c r="EA272" s="356"/>
      <c r="EB272" s="356"/>
      <c r="EC272" s="1087"/>
      <c r="ED272" s="356"/>
      <c r="EE272" s="356"/>
      <c r="EF272" s="1087"/>
      <c r="EG272" s="356"/>
      <c r="EH272" s="356"/>
      <c r="EI272" s="1087"/>
      <c r="EJ272" s="356"/>
      <c r="EK272" s="356"/>
      <c r="EL272" s="1087"/>
      <c r="EM272" s="356"/>
      <c r="EN272" s="356"/>
      <c r="EO272" s="1087"/>
      <c r="EP272" s="356"/>
      <c r="EQ272" s="356"/>
      <c r="ER272" s="1087"/>
      <c r="ES272" s="356"/>
      <c r="ET272" s="356"/>
      <c r="EU272" s="1087"/>
      <c r="EV272" s="356"/>
      <c r="EW272" s="356"/>
      <c r="EX272" s="1087"/>
      <c r="EY272" s="356"/>
      <c r="EZ272" s="356"/>
      <c r="FA272" s="419"/>
    </row>
    <row r="273" spans="1:157" ht="13.35" customHeight="1">
      <c r="A273" s="23"/>
      <c r="B273" s="5" t="s">
        <v>915</v>
      </c>
      <c r="C273" s="5"/>
      <c r="D273" s="410"/>
      <c r="E273" s="415"/>
      <c r="F273" s="356"/>
      <c r="G273" s="356"/>
      <c r="H273" s="356"/>
      <c r="I273" s="356"/>
      <c r="J273" s="356"/>
      <c r="K273" s="356"/>
      <c r="L273" s="356"/>
      <c r="M273" s="356"/>
      <c r="N273" s="356"/>
      <c r="O273" s="356"/>
      <c r="P273" s="356"/>
      <c r="Q273" s="356"/>
      <c r="R273" s="356"/>
      <c r="S273" s="356"/>
      <c r="T273" s="356"/>
      <c r="U273" s="356"/>
      <c r="V273" s="356"/>
      <c r="W273" s="356"/>
      <c r="X273" s="356"/>
      <c r="Y273" s="356"/>
      <c r="Z273" s="356"/>
      <c r="AA273" s="356"/>
      <c r="AB273" s="356"/>
      <c r="AC273" s="356"/>
      <c r="AD273" s="356"/>
      <c r="AE273" s="356"/>
      <c r="AF273" s="356"/>
      <c r="AG273" s="356"/>
      <c r="AH273" s="356"/>
      <c r="AI273" s="356"/>
      <c r="AJ273" s="356"/>
      <c r="AK273" s="356"/>
      <c r="AL273" s="356"/>
      <c r="AM273" s="356"/>
      <c r="AN273" s="356"/>
      <c r="AO273" s="356"/>
      <c r="AP273" s="356"/>
      <c r="AQ273" s="356"/>
      <c r="AR273" s="356"/>
      <c r="AS273" s="356"/>
      <c r="AT273" s="356"/>
      <c r="AU273" s="356"/>
      <c r="AV273" s="356"/>
      <c r="AW273" s="356"/>
      <c r="AX273" s="356"/>
      <c r="AY273" s="356"/>
      <c r="AZ273" s="356"/>
      <c r="BA273" s="356"/>
      <c r="BB273" s="356"/>
      <c r="BC273" s="356"/>
      <c r="BD273" s="356"/>
      <c r="BE273" s="356"/>
      <c r="BF273" s="356"/>
      <c r="BG273" s="356"/>
      <c r="BH273" s="356"/>
      <c r="BI273" s="356"/>
      <c r="BJ273" s="356"/>
      <c r="BK273" s="356"/>
      <c r="BL273" s="356"/>
      <c r="BM273" s="356"/>
      <c r="BN273" s="356"/>
      <c r="BO273" s="419"/>
      <c r="BP273" s="356"/>
      <c r="BQ273" s="356"/>
      <c r="BR273" s="419"/>
      <c r="BS273" s="356"/>
      <c r="BT273" s="356"/>
      <c r="BU273" s="419"/>
      <c r="BV273" s="356"/>
      <c r="BW273" s="356"/>
      <c r="BX273" s="419"/>
      <c r="BY273" s="356"/>
      <c r="BZ273" s="356"/>
      <c r="CA273" s="419"/>
      <c r="CB273" s="356"/>
      <c r="CC273" s="356"/>
      <c r="CD273" s="419"/>
      <c r="CE273" s="356"/>
      <c r="CF273" s="356"/>
      <c r="CG273" s="419"/>
      <c r="CH273" s="356"/>
      <c r="CI273" s="356"/>
      <c r="CJ273" s="419"/>
      <c r="CK273" s="356"/>
      <c r="CL273" s="356"/>
      <c r="CM273" s="419"/>
      <c r="CN273" s="356"/>
      <c r="CO273" s="356"/>
      <c r="CP273" s="419"/>
      <c r="CQ273" s="356"/>
      <c r="CR273" s="356"/>
      <c r="CS273" s="419"/>
      <c r="CT273" s="356"/>
      <c r="CU273" s="356"/>
      <c r="CV273" s="419"/>
      <c r="CW273" s="356"/>
      <c r="CX273" s="356"/>
      <c r="CY273" s="419"/>
      <c r="CZ273" s="356"/>
      <c r="DA273" s="356"/>
      <c r="DB273" s="419"/>
      <c r="DC273" s="356"/>
      <c r="DD273" s="356"/>
      <c r="DE273" s="419"/>
      <c r="DF273" s="356"/>
      <c r="DG273" s="356"/>
      <c r="DH273" s="419"/>
      <c r="DI273" s="356"/>
      <c r="DJ273" s="356"/>
      <c r="DK273" s="1087"/>
      <c r="DL273" s="356"/>
      <c r="DM273" s="356"/>
      <c r="DN273" s="1087"/>
      <c r="DO273" s="356"/>
      <c r="DP273" s="356"/>
      <c r="DQ273" s="1087"/>
      <c r="DR273" s="356"/>
      <c r="DS273" s="356"/>
      <c r="DT273" s="1087"/>
      <c r="DU273" s="356"/>
      <c r="DV273" s="356"/>
      <c r="DW273" s="1087"/>
      <c r="DX273" s="356"/>
      <c r="DY273" s="356"/>
      <c r="DZ273" s="1087"/>
      <c r="EA273" s="356"/>
      <c r="EB273" s="356"/>
      <c r="EC273" s="1087"/>
      <c r="ED273" s="356"/>
      <c r="EE273" s="356"/>
      <c r="EF273" s="1087"/>
      <c r="EG273" s="356"/>
      <c r="EH273" s="356"/>
      <c r="EI273" s="1087"/>
      <c r="EJ273" s="356"/>
      <c r="EK273" s="356"/>
      <c r="EL273" s="1087"/>
      <c r="EM273" s="356"/>
      <c r="EN273" s="356"/>
      <c r="EO273" s="1087"/>
      <c r="EP273" s="356"/>
      <c r="EQ273" s="356"/>
      <c r="ER273" s="1087"/>
      <c r="ES273" s="356"/>
      <c r="ET273" s="356"/>
      <c r="EU273" s="1087"/>
      <c r="EV273" s="356"/>
      <c r="EW273" s="356"/>
      <c r="EX273" s="1087"/>
      <c r="EY273" s="356"/>
      <c r="EZ273" s="356"/>
      <c r="FA273" s="419"/>
    </row>
    <row r="274" spans="1:157" ht="13.35" customHeight="1">
      <c r="A274" s="23"/>
      <c r="B274" s="5" t="s">
        <v>915</v>
      </c>
      <c r="C274" s="5"/>
      <c r="D274" s="410"/>
      <c r="E274" s="415"/>
      <c r="F274" s="356"/>
      <c r="G274" s="356"/>
      <c r="H274" s="356"/>
      <c r="I274" s="356"/>
      <c r="J274" s="356"/>
      <c r="K274" s="356"/>
      <c r="L274" s="356"/>
      <c r="M274" s="356"/>
      <c r="N274" s="356"/>
      <c r="O274" s="356"/>
      <c r="P274" s="356"/>
      <c r="Q274" s="356"/>
      <c r="R274" s="356"/>
      <c r="S274" s="356"/>
      <c r="T274" s="356"/>
      <c r="U274" s="356"/>
      <c r="V274" s="356"/>
      <c r="W274" s="356"/>
      <c r="X274" s="356"/>
      <c r="Y274" s="356"/>
      <c r="Z274" s="356"/>
      <c r="AA274" s="356"/>
      <c r="AB274" s="356"/>
      <c r="AC274" s="356"/>
      <c r="AD274" s="356"/>
      <c r="AE274" s="356"/>
      <c r="AF274" s="356"/>
      <c r="AG274" s="356"/>
      <c r="AH274" s="356"/>
      <c r="AI274" s="356"/>
      <c r="AJ274" s="356"/>
      <c r="AK274" s="356"/>
      <c r="AL274" s="356"/>
      <c r="AM274" s="356"/>
      <c r="AN274" s="356"/>
      <c r="AO274" s="356"/>
      <c r="AP274" s="356"/>
      <c r="AQ274" s="356"/>
      <c r="AR274" s="356"/>
      <c r="AS274" s="356"/>
      <c r="AT274" s="356"/>
      <c r="AU274" s="356"/>
      <c r="AV274" s="356"/>
      <c r="AW274" s="356"/>
      <c r="AX274" s="356"/>
      <c r="AY274" s="356"/>
      <c r="AZ274" s="356"/>
      <c r="BA274" s="356"/>
      <c r="BB274" s="356"/>
      <c r="BC274" s="356"/>
      <c r="BD274" s="356"/>
      <c r="BE274" s="356"/>
      <c r="BF274" s="356"/>
      <c r="BG274" s="356"/>
      <c r="BH274" s="356"/>
      <c r="BI274" s="356"/>
      <c r="BJ274" s="356"/>
      <c r="BK274" s="356"/>
      <c r="BL274" s="356"/>
      <c r="BM274" s="356"/>
      <c r="BN274" s="356"/>
      <c r="BO274" s="419"/>
      <c r="BP274" s="356"/>
      <c r="BQ274" s="356"/>
      <c r="BR274" s="419"/>
      <c r="BS274" s="356"/>
      <c r="BT274" s="356"/>
      <c r="BU274" s="419"/>
      <c r="BV274" s="356"/>
      <c r="BW274" s="356"/>
      <c r="BX274" s="419"/>
      <c r="BY274" s="356"/>
      <c r="BZ274" s="356"/>
      <c r="CA274" s="419"/>
      <c r="CB274" s="356"/>
      <c r="CC274" s="356"/>
      <c r="CD274" s="419"/>
      <c r="CE274" s="356"/>
      <c r="CF274" s="356"/>
      <c r="CG274" s="419"/>
      <c r="CH274" s="356"/>
      <c r="CI274" s="356"/>
      <c r="CJ274" s="419"/>
      <c r="CK274" s="356"/>
      <c r="CL274" s="356"/>
      <c r="CM274" s="419"/>
      <c r="CN274" s="356"/>
      <c r="CO274" s="356"/>
      <c r="CP274" s="419"/>
      <c r="CQ274" s="356"/>
      <c r="CR274" s="356"/>
      <c r="CS274" s="419"/>
      <c r="CT274" s="356"/>
      <c r="CU274" s="356"/>
      <c r="CV274" s="419"/>
      <c r="CW274" s="356"/>
      <c r="CX274" s="356"/>
      <c r="CY274" s="419"/>
      <c r="CZ274" s="356"/>
      <c r="DA274" s="356"/>
      <c r="DB274" s="419"/>
      <c r="DC274" s="356"/>
      <c r="DD274" s="356"/>
      <c r="DE274" s="419"/>
      <c r="DF274" s="356"/>
      <c r="DG274" s="356"/>
      <c r="DH274" s="419"/>
      <c r="DI274" s="356"/>
      <c r="DJ274" s="356"/>
      <c r="DK274" s="1087"/>
      <c r="DL274" s="356"/>
      <c r="DM274" s="356"/>
      <c r="DN274" s="1087"/>
      <c r="DO274" s="356"/>
      <c r="DP274" s="356"/>
      <c r="DQ274" s="1087"/>
      <c r="DR274" s="356"/>
      <c r="DS274" s="356"/>
      <c r="DT274" s="1087"/>
      <c r="DU274" s="356"/>
      <c r="DV274" s="356"/>
      <c r="DW274" s="1087"/>
      <c r="DX274" s="356"/>
      <c r="DY274" s="356"/>
      <c r="DZ274" s="1087"/>
      <c r="EA274" s="356"/>
      <c r="EB274" s="356"/>
      <c r="EC274" s="1087"/>
      <c r="ED274" s="356"/>
      <c r="EE274" s="356"/>
      <c r="EF274" s="1087"/>
      <c r="EG274" s="356"/>
      <c r="EH274" s="356"/>
      <c r="EI274" s="1087"/>
      <c r="EJ274" s="356"/>
      <c r="EK274" s="356"/>
      <c r="EL274" s="1087"/>
      <c r="EM274" s="356"/>
      <c r="EN274" s="356"/>
      <c r="EO274" s="1087"/>
      <c r="EP274" s="356"/>
      <c r="EQ274" s="356"/>
      <c r="ER274" s="1087"/>
      <c r="ES274" s="356"/>
      <c r="ET274" s="356"/>
      <c r="EU274" s="1087"/>
      <c r="EV274" s="356"/>
      <c r="EW274" s="356"/>
      <c r="EX274" s="1087"/>
      <c r="EY274" s="356"/>
      <c r="EZ274" s="356"/>
      <c r="FA274" s="419"/>
    </row>
    <row r="275" spans="1:157" ht="13.35" customHeight="1" thickBot="1">
      <c r="A275" s="23"/>
      <c r="B275" s="5" t="s">
        <v>915</v>
      </c>
      <c r="C275" s="5"/>
      <c r="D275" s="410"/>
      <c r="E275" s="420"/>
      <c r="F275" s="421"/>
      <c r="G275" s="421"/>
      <c r="H275" s="421"/>
      <c r="I275" s="421"/>
      <c r="J275" s="421"/>
      <c r="K275" s="421"/>
      <c r="L275" s="421"/>
      <c r="M275" s="421"/>
      <c r="N275" s="421"/>
      <c r="O275" s="421"/>
      <c r="P275" s="421"/>
      <c r="Q275" s="421"/>
      <c r="R275" s="421"/>
      <c r="S275" s="421"/>
      <c r="T275" s="421"/>
      <c r="U275" s="421"/>
      <c r="V275" s="421"/>
      <c r="W275" s="421"/>
      <c r="X275" s="421"/>
      <c r="Y275" s="421"/>
      <c r="Z275" s="421"/>
      <c r="AA275" s="421"/>
      <c r="AB275" s="421"/>
      <c r="AC275" s="421"/>
      <c r="AD275" s="421"/>
      <c r="AE275" s="421"/>
      <c r="AF275" s="421"/>
      <c r="AG275" s="421"/>
      <c r="AH275" s="421"/>
      <c r="AI275" s="421"/>
      <c r="AJ275" s="421"/>
      <c r="AK275" s="421"/>
      <c r="AL275" s="421"/>
      <c r="AM275" s="421"/>
      <c r="AN275" s="421"/>
      <c r="AO275" s="421"/>
      <c r="AP275" s="421"/>
      <c r="AQ275" s="421"/>
      <c r="AR275" s="421"/>
      <c r="AS275" s="421"/>
      <c r="AT275" s="421"/>
      <c r="AU275" s="421"/>
      <c r="AV275" s="421"/>
      <c r="AW275" s="421"/>
      <c r="AX275" s="421"/>
      <c r="AY275" s="421"/>
      <c r="AZ275" s="421"/>
      <c r="BA275" s="421"/>
      <c r="BB275" s="421"/>
      <c r="BC275" s="421"/>
      <c r="BD275" s="421"/>
      <c r="BE275" s="421"/>
      <c r="BF275" s="421"/>
      <c r="BG275" s="421"/>
      <c r="BH275" s="421"/>
      <c r="BI275" s="421"/>
      <c r="BJ275" s="421"/>
      <c r="BK275" s="421"/>
      <c r="BL275" s="421"/>
      <c r="BM275" s="421"/>
      <c r="BN275" s="421"/>
      <c r="BO275" s="422"/>
      <c r="BP275" s="421"/>
      <c r="BQ275" s="421"/>
      <c r="BR275" s="422"/>
      <c r="BS275" s="421"/>
      <c r="BT275" s="421"/>
      <c r="BU275" s="422"/>
      <c r="BV275" s="421"/>
      <c r="BW275" s="421"/>
      <c r="BX275" s="422"/>
      <c r="BY275" s="421"/>
      <c r="BZ275" s="421"/>
      <c r="CA275" s="422"/>
      <c r="CB275" s="421"/>
      <c r="CC275" s="421"/>
      <c r="CD275" s="422"/>
      <c r="CE275" s="421"/>
      <c r="CF275" s="421"/>
      <c r="CG275" s="422"/>
      <c r="CH275" s="421"/>
      <c r="CI275" s="421"/>
      <c r="CJ275" s="422"/>
      <c r="CK275" s="421"/>
      <c r="CL275" s="421"/>
      <c r="CM275" s="422"/>
      <c r="CN275" s="421"/>
      <c r="CO275" s="421"/>
      <c r="CP275" s="422"/>
      <c r="CQ275" s="421"/>
      <c r="CR275" s="421"/>
      <c r="CS275" s="422"/>
      <c r="CT275" s="421"/>
      <c r="CU275" s="421"/>
      <c r="CV275" s="422"/>
      <c r="CW275" s="421"/>
      <c r="CX275" s="421"/>
      <c r="CY275" s="422"/>
      <c r="CZ275" s="421"/>
      <c r="DA275" s="421"/>
      <c r="DB275" s="422"/>
      <c r="DC275" s="421"/>
      <c r="DD275" s="421"/>
      <c r="DE275" s="422"/>
      <c r="DF275" s="421"/>
      <c r="DG275" s="421"/>
      <c r="DH275" s="422"/>
      <c r="DI275" s="421"/>
      <c r="DJ275" s="421"/>
      <c r="DK275" s="1228"/>
      <c r="DL275" s="421"/>
      <c r="DM275" s="421"/>
      <c r="DN275" s="1228"/>
      <c r="DO275" s="421"/>
      <c r="DP275" s="421"/>
      <c r="DQ275" s="1228"/>
      <c r="DR275" s="421"/>
      <c r="DS275" s="421"/>
      <c r="DT275" s="1228"/>
      <c r="DU275" s="421"/>
      <c r="DV275" s="421"/>
      <c r="DW275" s="1228"/>
      <c r="DX275" s="421"/>
      <c r="DY275" s="421"/>
      <c r="DZ275" s="1228"/>
      <c r="EA275" s="421"/>
      <c r="EB275" s="421"/>
      <c r="EC275" s="1228"/>
      <c r="ED275" s="421"/>
      <c r="EE275" s="421"/>
      <c r="EF275" s="1228"/>
      <c r="EG275" s="421"/>
      <c r="EH275" s="421"/>
      <c r="EI275" s="1228"/>
      <c r="EJ275" s="421"/>
      <c r="EK275" s="421"/>
      <c r="EL275" s="1228"/>
      <c r="EM275" s="421"/>
      <c r="EN275" s="421"/>
      <c r="EO275" s="1228"/>
      <c r="EP275" s="421"/>
      <c r="EQ275" s="421"/>
      <c r="ER275" s="1228"/>
      <c r="ES275" s="421"/>
      <c r="ET275" s="421"/>
      <c r="EU275" s="1228"/>
      <c r="EV275" s="421"/>
      <c r="EW275" s="421"/>
      <c r="EX275" s="1228"/>
      <c r="EY275" s="421"/>
      <c r="EZ275" s="421"/>
      <c r="FA275" s="422"/>
    </row>
    <row r="276" spans="1:157" ht="13.35" customHeight="1">
      <c r="A276" s="23"/>
      <c r="B276" s="5"/>
      <c r="C276" s="5"/>
      <c r="D276" s="23"/>
      <c r="E276" s="423"/>
      <c r="F276" s="423"/>
      <c r="G276" s="423"/>
      <c r="H276" s="423"/>
      <c r="I276" s="423"/>
      <c r="J276" s="423"/>
      <c r="K276" s="423"/>
      <c r="L276" s="423"/>
      <c r="M276" s="423"/>
      <c r="N276" s="423"/>
      <c r="O276" s="423"/>
      <c r="P276" s="423"/>
      <c r="Q276" s="423"/>
      <c r="R276" s="423"/>
      <c r="S276" s="423"/>
      <c r="T276" s="423"/>
      <c r="U276" s="423"/>
      <c r="V276" s="423"/>
      <c r="W276" s="423"/>
      <c r="X276" s="423"/>
      <c r="Y276" s="423"/>
      <c r="Z276" s="423"/>
      <c r="AA276" s="423"/>
      <c r="AB276" s="423"/>
      <c r="AC276" s="423"/>
      <c r="AD276" s="423"/>
      <c r="AE276" s="423"/>
      <c r="AF276" s="423"/>
      <c r="AG276" s="423"/>
      <c r="AH276" s="423"/>
      <c r="AI276" s="423"/>
      <c r="AJ276" s="423"/>
      <c r="AK276" s="423"/>
      <c r="AL276" s="423"/>
      <c r="AM276" s="423"/>
      <c r="AN276" s="423"/>
      <c r="AO276" s="423"/>
      <c r="AP276" s="423"/>
      <c r="AQ276" s="423"/>
      <c r="AR276" s="423"/>
      <c r="AS276" s="423"/>
      <c r="AT276" s="423"/>
      <c r="AU276" s="423"/>
      <c r="AV276" s="423"/>
      <c r="AW276" s="423"/>
      <c r="AX276" s="423"/>
      <c r="AY276" s="423"/>
      <c r="AZ276" s="423"/>
      <c r="BA276" s="423"/>
      <c r="BB276" s="423"/>
      <c r="BC276" s="423"/>
      <c r="BD276" s="423"/>
      <c r="BE276" s="423"/>
      <c r="BF276" s="423"/>
      <c r="BG276" s="423"/>
      <c r="BH276" s="423"/>
      <c r="BI276" s="423"/>
      <c r="BJ276" s="423"/>
      <c r="BK276" s="423"/>
      <c r="BL276" s="423"/>
      <c r="BM276" s="423"/>
      <c r="BN276" s="423"/>
      <c r="BO276" s="423"/>
      <c r="BP276" s="423"/>
      <c r="BQ276" s="423"/>
      <c r="BR276" s="423"/>
      <c r="BS276" s="423"/>
      <c r="BT276" s="423"/>
      <c r="BU276" s="423"/>
      <c r="BV276" s="423"/>
      <c r="BW276" s="423"/>
      <c r="BX276" s="423"/>
      <c r="BY276" s="423"/>
      <c r="BZ276" s="423"/>
      <c r="CA276" s="423"/>
      <c r="CB276" s="423"/>
      <c r="CC276" s="423"/>
      <c r="CD276" s="423"/>
      <c r="CE276" s="423"/>
      <c r="CF276" s="423"/>
      <c r="CG276" s="423"/>
      <c r="CH276" s="423"/>
      <c r="CI276" s="423"/>
      <c r="CJ276" s="423"/>
      <c r="CK276" s="423"/>
      <c r="CL276" s="423"/>
      <c r="CM276" s="423"/>
      <c r="CN276" s="423"/>
      <c r="CO276" s="423"/>
      <c r="CP276" s="423"/>
      <c r="CQ276" s="423"/>
      <c r="CR276" s="423"/>
      <c r="CS276" s="423"/>
      <c r="CT276" s="423"/>
      <c r="CU276" s="423"/>
      <c r="CV276" s="423"/>
      <c r="CW276" s="423"/>
      <c r="CX276" s="423"/>
      <c r="CY276" s="423"/>
      <c r="CZ276" s="423"/>
      <c r="DA276" s="423"/>
      <c r="DB276" s="423"/>
      <c r="DC276" s="423"/>
      <c r="DD276" s="423"/>
      <c r="DE276" s="423"/>
      <c r="DF276" s="423"/>
      <c r="DG276" s="423"/>
      <c r="DH276" s="423"/>
      <c r="DI276" s="423"/>
      <c r="DJ276" s="423"/>
      <c r="DK276" s="1229"/>
      <c r="DL276" s="423"/>
      <c r="DM276" s="423"/>
      <c r="DN276" s="1229"/>
      <c r="DO276" s="423"/>
      <c r="DP276" s="423"/>
      <c r="DQ276" s="1229"/>
      <c r="DR276" s="423"/>
      <c r="DS276" s="423"/>
      <c r="DT276" s="1229"/>
      <c r="DU276" s="423"/>
      <c r="DV276" s="423"/>
      <c r="DW276" s="1229"/>
      <c r="DX276" s="423"/>
      <c r="DY276" s="423"/>
      <c r="DZ276" s="1229"/>
      <c r="EA276" s="423"/>
      <c r="EB276" s="423"/>
      <c r="EC276" s="1229"/>
      <c r="ED276" s="423"/>
      <c r="EE276" s="423"/>
      <c r="EF276" s="1229"/>
      <c r="EG276" s="423"/>
      <c r="EH276" s="423"/>
      <c r="EI276" s="1229"/>
      <c r="EJ276" s="423"/>
      <c r="EK276" s="423"/>
      <c r="EL276" s="1229"/>
      <c r="EM276" s="423"/>
      <c r="EN276" s="423"/>
      <c r="EO276" s="1229"/>
      <c r="EP276" s="423"/>
      <c r="EQ276" s="423"/>
      <c r="ER276" s="1229"/>
      <c r="ES276" s="423"/>
      <c r="ET276" s="423"/>
      <c r="EU276" s="1229"/>
      <c r="EV276" s="423"/>
      <c r="EW276" s="423"/>
      <c r="EX276" s="1229"/>
      <c r="EY276" s="423"/>
      <c r="EZ276" s="423"/>
      <c r="FA276" s="423"/>
    </row>
    <row r="277" spans="1:157" ht="13.35" customHeight="1">
      <c r="A277" s="23"/>
      <c r="B277" s="46" t="s">
        <v>897</v>
      </c>
      <c r="C277" s="5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23"/>
      <c r="AN277" s="23"/>
      <c r="AO277" s="23"/>
      <c r="AP277" s="23"/>
      <c r="AQ277" s="23"/>
      <c r="AR277" s="23"/>
      <c r="AS277" s="23"/>
      <c r="AT277" s="23"/>
      <c r="AU277" s="23"/>
      <c r="AV277" s="23"/>
      <c r="AW277" s="23"/>
      <c r="AX277" s="23"/>
      <c r="AY277" s="23"/>
      <c r="AZ277" s="23"/>
      <c r="BA277" s="23"/>
      <c r="BB277" s="23"/>
      <c r="BC277" s="23"/>
      <c r="BD277" s="23"/>
      <c r="BE277" s="23"/>
      <c r="BF277" s="23"/>
      <c r="BG277" s="23"/>
      <c r="BH277" s="23"/>
      <c r="BI277" s="23"/>
      <c r="BJ277" s="23"/>
      <c r="BK277" s="23"/>
      <c r="BL277" s="23"/>
      <c r="BM277" s="23"/>
      <c r="BN277" s="23"/>
      <c r="BO277" s="23"/>
      <c r="BP277" s="23"/>
      <c r="BQ277" s="23"/>
      <c r="BR277" s="23"/>
      <c r="BS277" s="23"/>
      <c r="BT277" s="23"/>
      <c r="BU277" s="23"/>
      <c r="BV277" s="23"/>
      <c r="BW277" s="23"/>
      <c r="BX277" s="23"/>
      <c r="BY277" s="23"/>
      <c r="BZ277" s="23"/>
      <c r="CA277" s="23"/>
      <c r="CB277" s="23"/>
      <c r="CC277" s="23"/>
      <c r="CD277" s="23"/>
      <c r="CE277" s="23"/>
      <c r="CF277" s="23"/>
      <c r="CG277" s="23"/>
      <c r="CH277" s="23"/>
      <c r="CI277" s="23"/>
      <c r="CJ277" s="23"/>
      <c r="CK277" s="23"/>
      <c r="CL277" s="23"/>
      <c r="CM277" s="23"/>
      <c r="CN277" s="23"/>
      <c r="CO277" s="23"/>
      <c r="CP277" s="23"/>
      <c r="CQ277" s="23"/>
      <c r="CR277" s="23"/>
      <c r="CS277" s="23"/>
      <c r="CT277" s="23"/>
      <c r="CU277" s="23"/>
      <c r="CV277" s="23"/>
      <c r="CW277" s="23"/>
      <c r="CX277" s="23"/>
      <c r="CY277" s="23"/>
      <c r="CZ277" s="23"/>
      <c r="DA277" s="23"/>
      <c r="DB277" s="23"/>
      <c r="DC277" s="23"/>
      <c r="DD277" s="23"/>
      <c r="DE277" s="23"/>
      <c r="DF277" s="23"/>
      <c r="DG277" s="23"/>
      <c r="DH277" s="23"/>
      <c r="DI277" s="23"/>
      <c r="DJ277" s="23"/>
      <c r="DK277" s="1075"/>
      <c r="DL277" s="23"/>
      <c r="DM277" s="23"/>
      <c r="DN277" s="1075"/>
      <c r="DO277" s="23"/>
      <c r="DP277" s="23"/>
      <c r="DQ277" s="1075"/>
      <c r="DR277" s="23"/>
      <c r="DS277" s="23"/>
      <c r="DT277" s="1075"/>
      <c r="DU277" s="23"/>
      <c r="DV277" s="23"/>
      <c r="DW277" s="1075"/>
      <c r="DX277" s="23"/>
      <c r="DY277" s="23"/>
      <c r="DZ277" s="1075"/>
      <c r="EA277" s="23"/>
      <c r="EB277" s="23"/>
      <c r="EC277" s="1075"/>
      <c r="ED277" s="23"/>
      <c r="EE277" s="23"/>
      <c r="EF277" s="1075"/>
      <c r="EG277" s="23"/>
      <c r="EH277" s="23"/>
      <c r="EI277" s="1075"/>
      <c r="EJ277" s="23"/>
      <c r="EK277" s="23"/>
      <c r="EL277" s="1075"/>
      <c r="EM277" s="23"/>
      <c r="EN277" s="23"/>
      <c r="EO277" s="1075"/>
      <c r="EP277" s="23"/>
      <c r="EQ277" s="23"/>
      <c r="ER277" s="1075"/>
      <c r="ES277" s="23"/>
      <c r="ET277" s="23"/>
      <c r="EU277" s="1075"/>
      <c r="EV277" s="23"/>
      <c r="EW277" s="23"/>
      <c r="EX277" s="1075"/>
      <c r="EY277" s="23"/>
      <c r="EZ277" s="23"/>
      <c r="FA277" s="23"/>
    </row>
    <row r="278" spans="1:157" ht="13.35" customHeight="1" outlineLevel="1">
      <c r="A278" s="23"/>
      <c r="B278" s="409" t="str">
        <f t="shared" ref="B278:B307" si="604">IF(B246&lt;&gt;"",B246,"")</f>
        <v xml:space="preserve">     Benchmark cash rate (received on deposits)</v>
      </c>
      <c r="C278" s="5"/>
      <c r="D278" s="23"/>
      <c r="E278" s="354"/>
      <c r="F278" s="354"/>
      <c r="G278" s="354"/>
      <c r="H278" s="354"/>
      <c r="I278" s="354"/>
      <c r="J278" s="354"/>
      <c r="K278" s="354"/>
      <c r="L278" s="354"/>
      <c r="M278" s="354"/>
      <c r="N278" s="354"/>
      <c r="O278" s="354"/>
      <c r="P278" s="354"/>
      <c r="Q278" s="354"/>
      <c r="R278" s="354"/>
      <c r="S278" s="354"/>
      <c r="T278" s="354"/>
      <c r="U278" s="354"/>
      <c r="V278" s="354"/>
      <c r="W278" s="354"/>
      <c r="X278" s="354"/>
      <c r="Y278" s="354"/>
      <c r="Z278" s="354"/>
      <c r="AA278" s="354"/>
      <c r="AB278" s="354"/>
      <c r="AC278" s="354"/>
      <c r="AD278" s="354"/>
      <c r="AE278" s="354"/>
      <c r="AF278" s="354"/>
      <c r="AG278" s="354"/>
      <c r="AH278" s="354"/>
      <c r="AI278" s="354"/>
      <c r="AJ278" s="354"/>
      <c r="AK278" s="354"/>
      <c r="AL278" s="354"/>
      <c r="AM278" s="354"/>
      <c r="AN278" s="354"/>
      <c r="AO278" s="354"/>
      <c r="AP278" s="354"/>
      <c r="AQ278" s="354"/>
      <c r="AR278" s="354"/>
      <c r="AS278" s="354"/>
      <c r="AT278" s="354"/>
      <c r="AU278" s="354"/>
      <c r="AV278" s="354"/>
      <c r="AW278" s="354"/>
      <c r="AX278" s="354"/>
      <c r="AY278" s="354"/>
      <c r="AZ278" s="354"/>
      <c r="BA278" s="354"/>
      <c r="BB278" s="354"/>
      <c r="BC278" s="354"/>
      <c r="BD278" s="354"/>
      <c r="BE278" s="354"/>
      <c r="BF278" s="354"/>
      <c r="BG278" s="354"/>
      <c r="BH278" s="354"/>
      <c r="BI278" s="354"/>
      <c r="BJ278" s="354"/>
      <c r="BK278" s="354"/>
      <c r="BL278" s="354"/>
      <c r="BM278" s="354"/>
      <c r="BN278" s="354"/>
      <c r="BO278" s="354"/>
      <c r="BP278" s="354"/>
      <c r="BQ278" s="354"/>
      <c r="BR278" s="354"/>
      <c r="BS278" s="354"/>
      <c r="BT278" s="354"/>
      <c r="BU278" s="354"/>
      <c r="BV278" s="354"/>
      <c r="BW278" s="354"/>
      <c r="BX278" s="354"/>
      <c r="BY278" s="354"/>
      <c r="BZ278" s="354"/>
      <c r="CA278" s="354"/>
      <c r="CB278" s="354"/>
      <c r="CC278" s="354"/>
      <c r="CD278" s="354"/>
      <c r="CE278" s="354"/>
      <c r="CF278" s="354"/>
      <c r="CG278" s="354"/>
      <c r="CH278" s="354"/>
      <c r="CI278" s="354"/>
      <c r="CJ278" s="354"/>
      <c r="CK278" s="354"/>
      <c r="CL278" s="354"/>
      <c r="CM278" s="354"/>
      <c r="CN278" s="354"/>
      <c r="CO278" s="354"/>
      <c r="CP278" s="354"/>
      <c r="CQ278" s="354"/>
      <c r="CR278" s="354"/>
      <c r="CS278" s="354"/>
      <c r="CT278" s="354"/>
      <c r="CU278" s="354"/>
      <c r="CV278" s="354"/>
      <c r="CW278" s="354"/>
      <c r="CX278" s="354"/>
      <c r="CY278" s="354"/>
      <c r="CZ278" s="354"/>
      <c r="DA278" s="354"/>
      <c r="DB278" s="354"/>
      <c r="DC278" s="354"/>
      <c r="DD278" s="354"/>
      <c r="DE278" s="354"/>
      <c r="DF278" s="354"/>
      <c r="DG278" s="354"/>
      <c r="DH278" s="354"/>
      <c r="DI278" s="354"/>
      <c r="DJ278" s="354"/>
      <c r="DK278" s="1203"/>
      <c r="DL278" s="354"/>
      <c r="DM278" s="354"/>
      <c r="DN278" s="1203"/>
      <c r="DO278" s="354"/>
      <c r="DP278" s="354"/>
      <c r="DQ278" s="1203"/>
      <c r="DR278" s="354"/>
      <c r="DS278" s="354"/>
      <c r="DT278" s="1203"/>
      <c r="DU278" s="354"/>
      <c r="DV278" s="354"/>
      <c r="DW278" s="1203"/>
      <c r="DX278" s="354"/>
      <c r="DY278" s="354"/>
      <c r="DZ278" s="1203"/>
      <c r="EA278" s="354"/>
      <c r="EB278" s="354"/>
      <c r="EC278" s="1203"/>
      <c r="ED278" s="354"/>
      <c r="EE278" s="354"/>
      <c r="EF278" s="1203"/>
      <c r="EG278" s="354"/>
      <c r="EH278" s="354"/>
      <c r="EI278" s="1203"/>
      <c r="EJ278" s="354"/>
      <c r="EK278" s="354"/>
      <c r="EL278" s="1203"/>
      <c r="EM278" s="354"/>
      <c r="EN278" s="354"/>
      <c r="EO278" s="1203"/>
      <c r="EP278" s="354"/>
      <c r="EQ278" s="354"/>
      <c r="ER278" s="1203"/>
      <c r="ES278" s="354"/>
      <c r="ET278" s="354"/>
      <c r="EU278" s="1203"/>
      <c r="EV278" s="354"/>
      <c r="EW278" s="354"/>
      <c r="EX278" s="1203"/>
      <c r="EY278" s="354"/>
      <c r="EZ278" s="354"/>
      <c r="FA278" s="354"/>
    </row>
    <row r="279" spans="1:157" ht="13.35" customHeight="1" outlineLevel="1">
      <c r="A279" s="23"/>
      <c r="B279" s="409" t="str">
        <f t="shared" si="604"/>
        <v xml:space="preserve">     90 day bank bill rate</v>
      </c>
      <c r="C279" s="5"/>
      <c r="D279" s="23"/>
      <c r="E279" s="356"/>
      <c r="F279" s="356"/>
      <c r="G279" s="356"/>
      <c r="H279" s="356"/>
      <c r="I279" s="356"/>
      <c r="J279" s="356"/>
      <c r="K279" s="356"/>
      <c r="L279" s="356"/>
      <c r="M279" s="356"/>
      <c r="N279" s="356"/>
      <c r="O279" s="356"/>
      <c r="P279" s="356"/>
      <c r="Q279" s="356"/>
      <c r="R279" s="356"/>
      <c r="S279" s="356"/>
      <c r="T279" s="356"/>
      <c r="U279" s="356"/>
      <c r="V279" s="356"/>
      <c r="W279" s="356"/>
      <c r="X279" s="356"/>
      <c r="Y279" s="356"/>
      <c r="Z279" s="356"/>
      <c r="AA279" s="356"/>
      <c r="AB279" s="356"/>
      <c r="AC279" s="356"/>
      <c r="AD279" s="356"/>
      <c r="AE279" s="356"/>
      <c r="AF279" s="356"/>
      <c r="AG279" s="356"/>
      <c r="AH279" s="356"/>
      <c r="AI279" s="356"/>
      <c r="AJ279" s="356"/>
      <c r="AK279" s="356"/>
      <c r="AL279" s="356"/>
      <c r="AM279" s="356"/>
      <c r="AN279" s="356"/>
      <c r="AO279" s="356"/>
      <c r="AP279" s="356"/>
      <c r="AQ279" s="356"/>
      <c r="AR279" s="356"/>
      <c r="AS279" s="356"/>
      <c r="AT279" s="356"/>
      <c r="AU279" s="356"/>
      <c r="AV279" s="356"/>
      <c r="AW279" s="356"/>
      <c r="AX279" s="356"/>
      <c r="AY279" s="356"/>
      <c r="AZ279" s="356"/>
      <c r="BA279" s="356"/>
      <c r="BB279" s="356"/>
      <c r="BC279" s="356"/>
      <c r="BD279" s="356"/>
      <c r="BE279" s="356"/>
      <c r="BF279" s="356"/>
      <c r="BG279" s="356"/>
      <c r="BH279" s="356"/>
      <c r="BI279" s="356"/>
      <c r="BJ279" s="356"/>
      <c r="BK279" s="356"/>
      <c r="BL279" s="356"/>
      <c r="BM279" s="356"/>
      <c r="BN279" s="356"/>
      <c r="BO279" s="356"/>
      <c r="BP279" s="356"/>
      <c r="BQ279" s="356"/>
      <c r="BR279" s="356"/>
      <c r="BS279" s="356"/>
      <c r="BT279" s="356"/>
      <c r="BU279" s="356"/>
      <c r="BV279" s="356"/>
      <c r="BW279" s="356"/>
      <c r="BX279" s="356"/>
      <c r="BY279" s="356"/>
      <c r="BZ279" s="356"/>
      <c r="CA279" s="356"/>
      <c r="CB279" s="356"/>
      <c r="CC279" s="356"/>
      <c r="CD279" s="356"/>
      <c r="CE279" s="356"/>
      <c r="CF279" s="356"/>
      <c r="CG279" s="356"/>
      <c r="CH279" s="356"/>
      <c r="CI279" s="356"/>
      <c r="CJ279" s="356"/>
      <c r="CK279" s="356"/>
      <c r="CL279" s="356"/>
      <c r="CM279" s="356"/>
      <c r="CN279" s="356"/>
      <c r="CO279" s="356"/>
      <c r="CP279" s="356"/>
      <c r="CQ279" s="356"/>
      <c r="CR279" s="356"/>
      <c r="CS279" s="356"/>
      <c r="CT279" s="356"/>
      <c r="CU279" s="356"/>
      <c r="CV279" s="356"/>
      <c r="CW279" s="356"/>
      <c r="CX279" s="356"/>
      <c r="CY279" s="356"/>
      <c r="CZ279" s="356"/>
      <c r="DA279" s="356"/>
      <c r="DB279" s="356"/>
      <c r="DC279" s="356"/>
      <c r="DD279" s="356"/>
      <c r="DE279" s="356"/>
      <c r="DF279" s="356"/>
      <c r="DG279" s="356"/>
      <c r="DH279" s="356"/>
      <c r="DI279" s="356"/>
      <c r="DJ279" s="356"/>
      <c r="DK279" s="1087"/>
      <c r="DL279" s="356"/>
      <c r="DM279" s="356"/>
      <c r="DN279" s="1087"/>
      <c r="DO279" s="356"/>
      <c r="DP279" s="356"/>
      <c r="DQ279" s="1087"/>
      <c r="DR279" s="356"/>
      <c r="DS279" s="356"/>
      <c r="DT279" s="1087"/>
      <c r="DU279" s="356"/>
      <c r="DV279" s="356"/>
      <c r="DW279" s="1087"/>
      <c r="DX279" s="356"/>
      <c r="DY279" s="356"/>
      <c r="DZ279" s="1087"/>
      <c r="EA279" s="356"/>
      <c r="EB279" s="356"/>
      <c r="EC279" s="1087"/>
      <c r="ED279" s="356"/>
      <c r="EE279" s="356"/>
      <c r="EF279" s="1087"/>
      <c r="EG279" s="356"/>
      <c r="EH279" s="356"/>
      <c r="EI279" s="1087"/>
      <c r="EJ279" s="356"/>
      <c r="EK279" s="356"/>
      <c r="EL279" s="1087"/>
      <c r="EM279" s="356"/>
      <c r="EN279" s="356"/>
      <c r="EO279" s="1087"/>
      <c r="EP279" s="356"/>
      <c r="EQ279" s="356"/>
      <c r="ER279" s="1087"/>
      <c r="ES279" s="356"/>
      <c r="ET279" s="356"/>
      <c r="EU279" s="1087"/>
      <c r="EV279" s="356"/>
      <c r="EW279" s="356"/>
      <c r="EX279" s="1087"/>
      <c r="EY279" s="356"/>
      <c r="EZ279" s="356"/>
      <c r="FA279" s="356"/>
    </row>
    <row r="280" spans="1:157" ht="13.35" customHeight="1" outlineLevel="1">
      <c r="A280" s="23"/>
      <c r="B280" s="409" t="str">
        <f t="shared" si="604"/>
        <v xml:space="preserve">     180 day bank bill rate</v>
      </c>
      <c r="C280" s="5"/>
      <c r="D280" s="23"/>
      <c r="E280" s="356"/>
      <c r="F280" s="356"/>
      <c r="G280" s="356"/>
      <c r="H280" s="356"/>
      <c r="I280" s="356"/>
      <c r="J280" s="356"/>
      <c r="K280" s="356"/>
      <c r="L280" s="356"/>
      <c r="M280" s="356"/>
      <c r="N280" s="356"/>
      <c r="O280" s="356"/>
      <c r="P280" s="356"/>
      <c r="Q280" s="356"/>
      <c r="R280" s="356"/>
      <c r="S280" s="356"/>
      <c r="T280" s="356"/>
      <c r="U280" s="356"/>
      <c r="V280" s="356"/>
      <c r="W280" s="356"/>
      <c r="X280" s="356"/>
      <c r="Y280" s="356"/>
      <c r="Z280" s="356"/>
      <c r="AA280" s="356"/>
      <c r="AB280" s="356"/>
      <c r="AC280" s="356"/>
      <c r="AD280" s="356"/>
      <c r="AE280" s="356"/>
      <c r="AF280" s="356"/>
      <c r="AG280" s="356"/>
      <c r="AH280" s="356"/>
      <c r="AI280" s="356"/>
      <c r="AJ280" s="356"/>
      <c r="AK280" s="356"/>
      <c r="AL280" s="356"/>
      <c r="AM280" s="356"/>
      <c r="AN280" s="356"/>
      <c r="AO280" s="356"/>
      <c r="AP280" s="356"/>
      <c r="AQ280" s="356"/>
      <c r="AR280" s="356"/>
      <c r="AS280" s="356"/>
      <c r="AT280" s="356"/>
      <c r="AU280" s="356"/>
      <c r="AV280" s="356"/>
      <c r="AW280" s="356"/>
      <c r="AX280" s="356"/>
      <c r="AY280" s="356"/>
      <c r="AZ280" s="356"/>
      <c r="BA280" s="356"/>
      <c r="BB280" s="356"/>
      <c r="BC280" s="356"/>
      <c r="BD280" s="356"/>
      <c r="BE280" s="356"/>
      <c r="BF280" s="356"/>
      <c r="BG280" s="356"/>
      <c r="BH280" s="356"/>
      <c r="BI280" s="356"/>
      <c r="BJ280" s="356"/>
      <c r="BK280" s="356"/>
      <c r="BL280" s="356"/>
      <c r="BM280" s="356"/>
      <c r="BN280" s="356"/>
      <c r="BO280" s="356"/>
      <c r="BP280" s="356"/>
      <c r="BQ280" s="356"/>
      <c r="BR280" s="356"/>
      <c r="BS280" s="356"/>
      <c r="BT280" s="356"/>
      <c r="BU280" s="356"/>
      <c r="BV280" s="356"/>
      <c r="BW280" s="356"/>
      <c r="BX280" s="356"/>
      <c r="BY280" s="356"/>
      <c r="BZ280" s="356"/>
      <c r="CA280" s="356"/>
      <c r="CB280" s="356"/>
      <c r="CC280" s="356"/>
      <c r="CD280" s="356"/>
      <c r="CE280" s="356"/>
      <c r="CF280" s="356"/>
      <c r="CG280" s="356"/>
      <c r="CH280" s="356"/>
      <c r="CI280" s="356"/>
      <c r="CJ280" s="356"/>
      <c r="CK280" s="356"/>
      <c r="CL280" s="356"/>
      <c r="CM280" s="356"/>
      <c r="CN280" s="356"/>
      <c r="CO280" s="356"/>
      <c r="CP280" s="356"/>
      <c r="CQ280" s="356"/>
      <c r="CR280" s="356"/>
      <c r="CS280" s="356"/>
      <c r="CT280" s="356"/>
      <c r="CU280" s="356"/>
      <c r="CV280" s="356"/>
      <c r="CW280" s="356"/>
      <c r="CX280" s="356"/>
      <c r="CY280" s="356"/>
      <c r="CZ280" s="356"/>
      <c r="DA280" s="356"/>
      <c r="DB280" s="356"/>
      <c r="DC280" s="356"/>
      <c r="DD280" s="356"/>
      <c r="DE280" s="356"/>
      <c r="DF280" s="356"/>
      <c r="DG280" s="356"/>
      <c r="DH280" s="356"/>
      <c r="DI280" s="356"/>
      <c r="DJ280" s="356"/>
      <c r="DK280" s="1087"/>
      <c r="DL280" s="356"/>
      <c r="DM280" s="356"/>
      <c r="DN280" s="1087"/>
      <c r="DO280" s="356"/>
      <c r="DP280" s="356"/>
      <c r="DQ280" s="1087"/>
      <c r="DR280" s="356"/>
      <c r="DS280" s="356"/>
      <c r="DT280" s="1087"/>
      <c r="DU280" s="356"/>
      <c r="DV280" s="356"/>
      <c r="DW280" s="1087"/>
      <c r="DX280" s="356"/>
      <c r="DY280" s="356"/>
      <c r="DZ280" s="1087"/>
      <c r="EA280" s="356"/>
      <c r="EB280" s="356"/>
      <c r="EC280" s="1087"/>
      <c r="ED280" s="356"/>
      <c r="EE280" s="356"/>
      <c r="EF280" s="1087"/>
      <c r="EG280" s="356"/>
      <c r="EH280" s="356"/>
      <c r="EI280" s="1087"/>
      <c r="EJ280" s="356"/>
      <c r="EK280" s="356"/>
      <c r="EL280" s="1087"/>
      <c r="EM280" s="356"/>
      <c r="EN280" s="356"/>
      <c r="EO280" s="1087"/>
      <c r="EP280" s="356"/>
      <c r="EQ280" s="356"/>
      <c r="ER280" s="1087"/>
      <c r="ES280" s="356"/>
      <c r="ET280" s="356"/>
      <c r="EU280" s="1087"/>
      <c r="EV280" s="356"/>
      <c r="EW280" s="356"/>
      <c r="EX280" s="1087"/>
      <c r="EY280" s="356"/>
      <c r="EZ280" s="356"/>
      <c r="FA280" s="356"/>
    </row>
    <row r="281" spans="1:157" ht="13.35" customHeight="1" outlineLevel="1">
      <c r="A281" s="23"/>
      <c r="B281" s="409" t="str">
        <f t="shared" si="604"/>
        <v xml:space="preserve">     Proxy interest rate for fixed rate debt (need to establish)</v>
      </c>
      <c r="C281" s="5"/>
      <c r="D281" s="23"/>
      <c r="E281" s="356"/>
      <c r="F281" s="356"/>
      <c r="G281" s="356"/>
      <c r="H281" s="356"/>
      <c r="I281" s="356"/>
      <c r="J281" s="356"/>
      <c r="K281" s="356"/>
      <c r="L281" s="356"/>
      <c r="M281" s="356"/>
      <c r="N281" s="356"/>
      <c r="O281" s="356"/>
      <c r="P281" s="356"/>
      <c r="Q281" s="356"/>
      <c r="R281" s="356"/>
      <c r="S281" s="356"/>
      <c r="T281" s="356"/>
      <c r="U281" s="356"/>
      <c r="V281" s="356"/>
      <c r="W281" s="356"/>
      <c r="X281" s="356"/>
      <c r="Y281" s="356"/>
      <c r="Z281" s="356"/>
      <c r="AA281" s="356"/>
      <c r="AB281" s="356"/>
      <c r="AC281" s="356"/>
      <c r="AD281" s="356"/>
      <c r="AE281" s="356"/>
      <c r="AF281" s="356"/>
      <c r="AG281" s="356"/>
      <c r="AH281" s="356"/>
      <c r="AI281" s="356"/>
      <c r="AJ281" s="356"/>
      <c r="AK281" s="356"/>
      <c r="AL281" s="356"/>
      <c r="AM281" s="356"/>
      <c r="AN281" s="356"/>
      <c r="AO281" s="356"/>
      <c r="AP281" s="356"/>
      <c r="AQ281" s="356"/>
      <c r="AR281" s="356"/>
      <c r="AS281" s="356"/>
      <c r="AT281" s="356"/>
      <c r="AU281" s="356"/>
      <c r="AV281" s="356"/>
      <c r="AW281" s="356"/>
      <c r="AX281" s="356"/>
      <c r="AY281" s="356"/>
      <c r="AZ281" s="356"/>
      <c r="BA281" s="356"/>
      <c r="BB281" s="356"/>
      <c r="BC281" s="356"/>
      <c r="BD281" s="356"/>
      <c r="BE281" s="356"/>
      <c r="BF281" s="356"/>
      <c r="BG281" s="356"/>
      <c r="BH281" s="356"/>
      <c r="BI281" s="356"/>
      <c r="BJ281" s="356"/>
      <c r="BK281" s="356"/>
      <c r="BL281" s="356"/>
      <c r="BM281" s="356"/>
      <c r="BN281" s="356"/>
      <c r="BO281" s="356"/>
      <c r="BP281" s="356"/>
      <c r="BQ281" s="356"/>
      <c r="BR281" s="356"/>
      <c r="BS281" s="356"/>
      <c r="BT281" s="356"/>
      <c r="BU281" s="356"/>
      <c r="BV281" s="356"/>
      <c r="BW281" s="356"/>
      <c r="BX281" s="356"/>
      <c r="BY281" s="356"/>
      <c r="BZ281" s="356"/>
      <c r="CA281" s="356"/>
      <c r="CB281" s="356"/>
      <c r="CC281" s="356"/>
      <c r="CD281" s="356"/>
      <c r="CE281" s="356"/>
      <c r="CF281" s="356"/>
      <c r="CG281" s="356"/>
      <c r="CH281" s="356"/>
      <c r="CI281" s="356"/>
      <c r="CJ281" s="356"/>
      <c r="CK281" s="356"/>
      <c r="CL281" s="356"/>
      <c r="CM281" s="356"/>
      <c r="CN281" s="356"/>
      <c r="CO281" s="356"/>
      <c r="CP281" s="356"/>
      <c r="CQ281" s="356"/>
      <c r="CR281" s="356"/>
      <c r="CS281" s="356"/>
      <c r="CT281" s="356"/>
      <c r="CU281" s="356"/>
      <c r="CV281" s="356"/>
      <c r="CW281" s="356"/>
      <c r="CX281" s="356"/>
      <c r="CY281" s="356"/>
      <c r="CZ281" s="356"/>
      <c r="DA281" s="356"/>
      <c r="DB281" s="356"/>
      <c r="DC281" s="356"/>
      <c r="DD281" s="356"/>
      <c r="DE281" s="356"/>
      <c r="DF281" s="356"/>
      <c r="DG281" s="356"/>
      <c r="DH281" s="356"/>
      <c r="DI281" s="356"/>
      <c r="DJ281" s="356"/>
      <c r="DK281" s="1087"/>
      <c r="DL281" s="356"/>
      <c r="DM281" s="356"/>
      <c r="DN281" s="1087"/>
      <c r="DO281" s="356"/>
      <c r="DP281" s="356"/>
      <c r="DQ281" s="1087"/>
      <c r="DR281" s="356"/>
      <c r="DS281" s="356"/>
      <c r="DT281" s="1087"/>
      <c r="DU281" s="356"/>
      <c r="DV281" s="356"/>
      <c r="DW281" s="1087"/>
      <c r="DX281" s="356"/>
      <c r="DY281" s="356"/>
      <c r="DZ281" s="1087"/>
      <c r="EA281" s="356"/>
      <c r="EB281" s="356"/>
      <c r="EC281" s="1087"/>
      <c r="ED281" s="356"/>
      <c r="EE281" s="356"/>
      <c r="EF281" s="1087"/>
      <c r="EG281" s="356"/>
      <c r="EH281" s="356"/>
      <c r="EI281" s="1087"/>
      <c r="EJ281" s="356"/>
      <c r="EK281" s="356"/>
      <c r="EL281" s="1087"/>
      <c r="EM281" s="356"/>
      <c r="EN281" s="356"/>
      <c r="EO281" s="1087"/>
      <c r="EP281" s="356"/>
      <c r="EQ281" s="356"/>
      <c r="ER281" s="1087"/>
      <c r="ES281" s="356"/>
      <c r="ET281" s="356"/>
      <c r="EU281" s="1087"/>
      <c r="EV281" s="356"/>
      <c r="EW281" s="356"/>
      <c r="EX281" s="1087"/>
      <c r="EY281" s="356"/>
      <c r="EZ281" s="356"/>
      <c r="FA281" s="356"/>
    </row>
    <row r="282" spans="1:157" ht="13.35" customHeight="1" outlineLevel="1">
      <c r="A282" s="23"/>
      <c r="B282" s="409" t="str">
        <f t="shared" si="604"/>
        <v xml:space="preserve">    10 year bond rate</v>
      </c>
      <c r="C282" s="5"/>
      <c r="D282" s="23"/>
      <c r="E282" s="356"/>
      <c r="F282" s="356"/>
      <c r="G282" s="356"/>
      <c r="H282" s="356"/>
      <c r="I282" s="356"/>
      <c r="J282" s="356"/>
      <c r="K282" s="356"/>
      <c r="L282" s="356"/>
      <c r="M282" s="356"/>
      <c r="N282" s="356"/>
      <c r="O282" s="356"/>
      <c r="P282" s="356"/>
      <c r="Q282" s="356"/>
      <c r="R282" s="356"/>
      <c r="S282" s="356"/>
      <c r="T282" s="356"/>
      <c r="U282" s="356"/>
      <c r="V282" s="356"/>
      <c r="W282" s="356"/>
      <c r="X282" s="356"/>
      <c r="Y282" s="356"/>
      <c r="Z282" s="356"/>
      <c r="AA282" s="356"/>
      <c r="AB282" s="356"/>
      <c r="AC282" s="356"/>
      <c r="AD282" s="356"/>
      <c r="AE282" s="356"/>
      <c r="AF282" s="356"/>
      <c r="AG282" s="356"/>
      <c r="AH282" s="356"/>
      <c r="AI282" s="356"/>
      <c r="AJ282" s="356"/>
      <c r="AK282" s="356"/>
      <c r="AL282" s="356"/>
      <c r="AM282" s="356"/>
      <c r="AN282" s="356"/>
      <c r="AO282" s="356"/>
      <c r="AP282" s="356"/>
      <c r="AQ282" s="356"/>
      <c r="AR282" s="356"/>
      <c r="AS282" s="356"/>
      <c r="AT282" s="356"/>
      <c r="AU282" s="356"/>
      <c r="AV282" s="356"/>
      <c r="AW282" s="356"/>
      <c r="AX282" s="356"/>
      <c r="AY282" s="356"/>
      <c r="AZ282" s="356"/>
      <c r="BA282" s="356"/>
      <c r="BB282" s="356"/>
      <c r="BC282" s="356"/>
      <c r="BD282" s="356"/>
      <c r="BE282" s="356"/>
      <c r="BF282" s="356"/>
      <c r="BG282" s="356"/>
      <c r="BH282" s="356"/>
      <c r="BI282" s="356"/>
      <c r="BJ282" s="356"/>
      <c r="BK282" s="356"/>
      <c r="BL282" s="356"/>
      <c r="BM282" s="356"/>
      <c r="BN282" s="356"/>
      <c r="BO282" s="356"/>
      <c r="BP282" s="356"/>
      <c r="BQ282" s="356"/>
      <c r="BR282" s="356"/>
      <c r="BS282" s="356"/>
      <c r="BT282" s="356"/>
      <c r="BU282" s="356"/>
      <c r="BV282" s="356"/>
      <c r="BW282" s="356"/>
      <c r="BX282" s="356"/>
      <c r="BY282" s="356"/>
      <c r="BZ282" s="356"/>
      <c r="CA282" s="356"/>
      <c r="CB282" s="356"/>
      <c r="CC282" s="356"/>
      <c r="CD282" s="356"/>
      <c r="CE282" s="356"/>
      <c r="CF282" s="356"/>
      <c r="CG282" s="356"/>
      <c r="CH282" s="356"/>
      <c r="CI282" s="356"/>
      <c r="CJ282" s="356"/>
      <c r="CK282" s="356"/>
      <c r="CL282" s="356"/>
      <c r="CM282" s="356"/>
      <c r="CN282" s="356"/>
      <c r="CO282" s="356"/>
      <c r="CP282" s="356"/>
      <c r="CQ282" s="356"/>
      <c r="CR282" s="356"/>
      <c r="CS282" s="356"/>
      <c r="CT282" s="356"/>
      <c r="CU282" s="356"/>
      <c r="CV282" s="356"/>
      <c r="CW282" s="356"/>
      <c r="CX282" s="356"/>
      <c r="CY282" s="356"/>
      <c r="CZ282" s="356"/>
      <c r="DA282" s="356"/>
      <c r="DB282" s="356"/>
      <c r="DC282" s="356"/>
      <c r="DD282" s="356"/>
      <c r="DE282" s="356"/>
      <c r="DF282" s="356"/>
      <c r="DG282" s="356"/>
      <c r="DH282" s="356"/>
      <c r="DI282" s="356"/>
      <c r="DJ282" s="356"/>
      <c r="DK282" s="1087"/>
      <c r="DL282" s="356"/>
      <c r="DM282" s="356"/>
      <c r="DN282" s="1087"/>
      <c r="DO282" s="356"/>
      <c r="DP282" s="356"/>
      <c r="DQ282" s="1087"/>
      <c r="DR282" s="356"/>
      <c r="DS282" s="356"/>
      <c r="DT282" s="1087"/>
      <c r="DU282" s="356"/>
      <c r="DV282" s="356"/>
      <c r="DW282" s="1087"/>
      <c r="DX282" s="356"/>
      <c r="DY282" s="356"/>
      <c r="DZ282" s="1087"/>
      <c r="EA282" s="356"/>
      <c r="EB282" s="356"/>
      <c r="EC282" s="1087"/>
      <c r="ED282" s="356"/>
      <c r="EE282" s="356"/>
      <c r="EF282" s="1087"/>
      <c r="EG282" s="356"/>
      <c r="EH282" s="356"/>
      <c r="EI282" s="1087"/>
      <c r="EJ282" s="356"/>
      <c r="EK282" s="356"/>
      <c r="EL282" s="1087"/>
      <c r="EM282" s="356"/>
      <c r="EN282" s="356"/>
      <c r="EO282" s="1087"/>
      <c r="EP282" s="356"/>
      <c r="EQ282" s="356"/>
      <c r="ER282" s="1087"/>
      <c r="ES282" s="356"/>
      <c r="ET282" s="356"/>
      <c r="EU282" s="1087"/>
      <c r="EV282" s="356"/>
      <c r="EW282" s="356"/>
      <c r="EX282" s="1087"/>
      <c r="EY282" s="356"/>
      <c r="EZ282" s="356"/>
      <c r="FA282" s="356"/>
    </row>
    <row r="283" spans="1:157" ht="13.35" customHeight="1" outlineLevel="1">
      <c r="A283" s="23"/>
      <c r="B283" s="409" t="str">
        <f t="shared" si="604"/>
        <v xml:space="preserve">     Economic driver</v>
      </c>
      <c r="C283" s="5"/>
      <c r="D283" s="23"/>
      <c r="E283" s="356"/>
      <c r="F283" s="356"/>
      <c r="G283" s="356"/>
      <c r="H283" s="356"/>
      <c r="I283" s="356"/>
      <c r="J283" s="356"/>
      <c r="K283" s="356"/>
      <c r="L283" s="356"/>
      <c r="M283" s="356"/>
      <c r="N283" s="356"/>
      <c r="O283" s="356"/>
      <c r="P283" s="356"/>
      <c r="Q283" s="356"/>
      <c r="R283" s="356"/>
      <c r="S283" s="356"/>
      <c r="T283" s="356"/>
      <c r="U283" s="356"/>
      <c r="V283" s="356"/>
      <c r="W283" s="356"/>
      <c r="X283" s="356"/>
      <c r="Y283" s="356"/>
      <c r="Z283" s="356"/>
      <c r="AA283" s="356"/>
      <c r="AB283" s="356"/>
      <c r="AC283" s="356"/>
      <c r="AD283" s="356"/>
      <c r="AE283" s="356"/>
      <c r="AF283" s="356"/>
      <c r="AG283" s="356"/>
      <c r="AH283" s="356"/>
      <c r="AI283" s="356"/>
      <c r="AJ283" s="356"/>
      <c r="AK283" s="356"/>
      <c r="AL283" s="356"/>
      <c r="AM283" s="356"/>
      <c r="AN283" s="356"/>
      <c r="AO283" s="356"/>
      <c r="AP283" s="356"/>
      <c r="AQ283" s="356"/>
      <c r="AR283" s="356"/>
      <c r="AS283" s="356"/>
      <c r="AT283" s="356"/>
      <c r="AU283" s="356"/>
      <c r="AV283" s="356"/>
      <c r="AW283" s="356"/>
      <c r="AX283" s="356"/>
      <c r="AY283" s="356"/>
      <c r="AZ283" s="356"/>
      <c r="BA283" s="356"/>
      <c r="BB283" s="356"/>
      <c r="BC283" s="356"/>
      <c r="BD283" s="356"/>
      <c r="BE283" s="356"/>
      <c r="BF283" s="356"/>
      <c r="BG283" s="356"/>
      <c r="BH283" s="356"/>
      <c r="BI283" s="356"/>
      <c r="BJ283" s="356"/>
      <c r="BK283" s="356"/>
      <c r="BL283" s="356"/>
      <c r="BM283" s="356"/>
      <c r="BN283" s="356"/>
      <c r="BO283" s="356"/>
      <c r="BP283" s="356"/>
      <c r="BQ283" s="356"/>
      <c r="BR283" s="356"/>
      <c r="BS283" s="356"/>
      <c r="BT283" s="356"/>
      <c r="BU283" s="356"/>
      <c r="BV283" s="356"/>
      <c r="BW283" s="356"/>
      <c r="BX283" s="356"/>
      <c r="BY283" s="356"/>
      <c r="BZ283" s="356"/>
      <c r="CA283" s="356"/>
      <c r="CB283" s="356"/>
      <c r="CC283" s="356"/>
      <c r="CD283" s="356"/>
      <c r="CE283" s="356"/>
      <c r="CF283" s="356"/>
      <c r="CG283" s="356"/>
      <c r="CH283" s="356"/>
      <c r="CI283" s="356"/>
      <c r="CJ283" s="356"/>
      <c r="CK283" s="356"/>
      <c r="CL283" s="356"/>
      <c r="CM283" s="356"/>
      <c r="CN283" s="356"/>
      <c r="CO283" s="356"/>
      <c r="CP283" s="356"/>
      <c r="CQ283" s="356"/>
      <c r="CR283" s="356"/>
      <c r="CS283" s="356"/>
      <c r="CT283" s="356"/>
      <c r="CU283" s="356"/>
      <c r="CV283" s="356"/>
      <c r="CW283" s="356"/>
      <c r="CX283" s="356"/>
      <c r="CY283" s="356"/>
      <c r="CZ283" s="356"/>
      <c r="DA283" s="356"/>
      <c r="DB283" s="356"/>
      <c r="DC283" s="356"/>
      <c r="DD283" s="356"/>
      <c r="DE283" s="356"/>
      <c r="DF283" s="356"/>
      <c r="DG283" s="356"/>
      <c r="DH283" s="356"/>
      <c r="DI283" s="356"/>
      <c r="DJ283" s="356"/>
      <c r="DK283" s="1087"/>
      <c r="DL283" s="356"/>
      <c r="DM283" s="356"/>
      <c r="DN283" s="1087"/>
      <c r="DO283" s="356"/>
      <c r="DP283" s="356"/>
      <c r="DQ283" s="1087"/>
      <c r="DR283" s="356"/>
      <c r="DS283" s="356"/>
      <c r="DT283" s="1087"/>
      <c r="DU283" s="356"/>
      <c r="DV283" s="356"/>
      <c r="DW283" s="1087"/>
      <c r="DX283" s="356"/>
      <c r="DY283" s="356"/>
      <c r="DZ283" s="1087"/>
      <c r="EA283" s="356"/>
      <c r="EB283" s="356"/>
      <c r="EC283" s="1087"/>
      <c r="ED283" s="356"/>
      <c r="EE283" s="356"/>
      <c r="EF283" s="1087"/>
      <c r="EG283" s="356"/>
      <c r="EH283" s="356"/>
      <c r="EI283" s="1087"/>
      <c r="EJ283" s="356"/>
      <c r="EK283" s="356"/>
      <c r="EL283" s="1087"/>
      <c r="EM283" s="356"/>
      <c r="EN283" s="356"/>
      <c r="EO283" s="1087"/>
      <c r="EP283" s="356"/>
      <c r="EQ283" s="356"/>
      <c r="ER283" s="1087"/>
      <c r="ES283" s="356"/>
      <c r="ET283" s="356"/>
      <c r="EU283" s="1087"/>
      <c r="EV283" s="356"/>
      <c r="EW283" s="356"/>
      <c r="EX283" s="1087"/>
      <c r="EY283" s="356"/>
      <c r="EZ283" s="356"/>
      <c r="FA283" s="356"/>
    </row>
    <row r="284" spans="1:157" ht="13.35" customHeight="1" outlineLevel="1">
      <c r="A284" s="23"/>
      <c r="B284" s="409" t="str">
        <f t="shared" si="604"/>
        <v xml:space="preserve">     Economic driver</v>
      </c>
      <c r="C284" s="5"/>
      <c r="D284" s="23"/>
      <c r="E284" s="356"/>
      <c r="F284" s="356"/>
      <c r="G284" s="356"/>
      <c r="H284" s="356"/>
      <c r="I284" s="356"/>
      <c r="J284" s="356"/>
      <c r="K284" s="356"/>
      <c r="L284" s="356"/>
      <c r="M284" s="356"/>
      <c r="N284" s="356"/>
      <c r="O284" s="356"/>
      <c r="P284" s="356"/>
      <c r="Q284" s="356"/>
      <c r="R284" s="356"/>
      <c r="S284" s="356"/>
      <c r="T284" s="356"/>
      <c r="U284" s="356"/>
      <c r="V284" s="356"/>
      <c r="W284" s="356"/>
      <c r="X284" s="356"/>
      <c r="Y284" s="356"/>
      <c r="Z284" s="356"/>
      <c r="AA284" s="356"/>
      <c r="AB284" s="356"/>
      <c r="AC284" s="356"/>
      <c r="AD284" s="356"/>
      <c r="AE284" s="356"/>
      <c r="AF284" s="356"/>
      <c r="AG284" s="356"/>
      <c r="AH284" s="356"/>
      <c r="AI284" s="356"/>
      <c r="AJ284" s="356"/>
      <c r="AK284" s="356"/>
      <c r="AL284" s="356"/>
      <c r="AM284" s="356"/>
      <c r="AN284" s="356"/>
      <c r="AO284" s="356"/>
      <c r="AP284" s="356"/>
      <c r="AQ284" s="356"/>
      <c r="AR284" s="356"/>
      <c r="AS284" s="356"/>
      <c r="AT284" s="356"/>
      <c r="AU284" s="356"/>
      <c r="AV284" s="356"/>
      <c r="AW284" s="356"/>
      <c r="AX284" s="356"/>
      <c r="AY284" s="356"/>
      <c r="AZ284" s="356"/>
      <c r="BA284" s="356"/>
      <c r="BB284" s="356"/>
      <c r="BC284" s="356"/>
      <c r="BD284" s="356"/>
      <c r="BE284" s="356"/>
      <c r="BF284" s="356"/>
      <c r="BG284" s="356"/>
      <c r="BH284" s="356"/>
      <c r="BI284" s="356"/>
      <c r="BJ284" s="356"/>
      <c r="BK284" s="356"/>
      <c r="BL284" s="356"/>
      <c r="BM284" s="356"/>
      <c r="BN284" s="356"/>
      <c r="BO284" s="356"/>
      <c r="BP284" s="356"/>
      <c r="BQ284" s="356"/>
      <c r="BR284" s="356"/>
      <c r="BS284" s="356"/>
      <c r="BT284" s="356"/>
      <c r="BU284" s="356"/>
      <c r="BV284" s="356"/>
      <c r="BW284" s="356"/>
      <c r="BX284" s="356"/>
      <c r="BY284" s="356"/>
      <c r="BZ284" s="356"/>
      <c r="CA284" s="356"/>
      <c r="CB284" s="356"/>
      <c r="CC284" s="356"/>
      <c r="CD284" s="356"/>
      <c r="CE284" s="356"/>
      <c r="CF284" s="356"/>
      <c r="CG284" s="356"/>
      <c r="CH284" s="356"/>
      <c r="CI284" s="356"/>
      <c r="CJ284" s="356"/>
      <c r="CK284" s="356"/>
      <c r="CL284" s="356"/>
      <c r="CM284" s="356"/>
      <c r="CN284" s="356"/>
      <c r="CO284" s="356"/>
      <c r="CP284" s="356"/>
      <c r="CQ284" s="356"/>
      <c r="CR284" s="356"/>
      <c r="CS284" s="356"/>
      <c r="CT284" s="356"/>
      <c r="CU284" s="356"/>
      <c r="CV284" s="356"/>
      <c r="CW284" s="356"/>
      <c r="CX284" s="356"/>
      <c r="CY284" s="356"/>
      <c r="CZ284" s="356"/>
      <c r="DA284" s="356"/>
      <c r="DB284" s="356"/>
      <c r="DC284" s="356"/>
      <c r="DD284" s="356"/>
      <c r="DE284" s="356"/>
      <c r="DF284" s="356"/>
      <c r="DG284" s="356"/>
      <c r="DH284" s="356"/>
      <c r="DI284" s="356"/>
      <c r="DJ284" s="356"/>
      <c r="DK284" s="1087"/>
      <c r="DL284" s="356"/>
      <c r="DM284" s="356"/>
      <c r="DN284" s="1087"/>
      <c r="DO284" s="356"/>
      <c r="DP284" s="356"/>
      <c r="DQ284" s="1087"/>
      <c r="DR284" s="356"/>
      <c r="DS284" s="356"/>
      <c r="DT284" s="1087"/>
      <c r="DU284" s="356"/>
      <c r="DV284" s="356"/>
      <c r="DW284" s="1087"/>
      <c r="DX284" s="356"/>
      <c r="DY284" s="356"/>
      <c r="DZ284" s="1087"/>
      <c r="EA284" s="356"/>
      <c r="EB284" s="356"/>
      <c r="EC284" s="1087"/>
      <c r="ED284" s="356"/>
      <c r="EE284" s="356"/>
      <c r="EF284" s="1087"/>
      <c r="EG284" s="356"/>
      <c r="EH284" s="356"/>
      <c r="EI284" s="1087"/>
      <c r="EJ284" s="356"/>
      <c r="EK284" s="356"/>
      <c r="EL284" s="1087"/>
      <c r="EM284" s="356"/>
      <c r="EN284" s="356"/>
      <c r="EO284" s="1087"/>
      <c r="EP284" s="356"/>
      <c r="EQ284" s="356"/>
      <c r="ER284" s="1087"/>
      <c r="ES284" s="356"/>
      <c r="ET284" s="356"/>
      <c r="EU284" s="1087"/>
      <c r="EV284" s="356"/>
      <c r="EW284" s="356"/>
      <c r="EX284" s="1087"/>
      <c r="EY284" s="356"/>
      <c r="EZ284" s="356"/>
      <c r="FA284" s="356"/>
    </row>
    <row r="285" spans="1:157" ht="13.35" customHeight="1" outlineLevel="1">
      <c r="A285" s="23"/>
      <c r="B285" s="409" t="str">
        <f t="shared" si="604"/>
        <v xml:space="preserve">     Economic driver</v>
      </c>
      <c r="C285" s="5"/>
      <c r="D285" s="23"/>
      <c r="E285" s="356"/>
      <c r="F285" s="356"/>
      <c r="G285" s="356"/>
      <c r="H285" s="356"/>
      <c r="I285" s="356"/>
      <c r="J285" s="356"/>
      <c r="K285" s="356"/>
      <c r="L285" s="356"/>
      <c r="M285" s="356"/>
      <c r="N285" s="356"/>
      <c r="O285" s="356"/>
      <c r="P285" s="356"/>
      <c r="Q285" s="356"/>
      <c r="R285" s="356"/>
      <c r="S285" s="356"/>
      <c r="T285" s="356"/>
      <c r="U285" s="356"/>
      <c r="V285" s="356"/>
      <c r="W285" s="356"/>
      <c r="X285" s="356"/>
      <c r="Y285" s="356"/>
      <c r="Z285" s="356"/>
      <c r="AA285" s="356"/>
      <c r="AB285" s="356"/>
      <c r="AC285" s="356"/>
      <c r="AD285" s="356"/>
      <c r="AE285" s="356"/>
      <c r="AF285" s="356"/>
      <c r="AG285" s="356"/>
      <c r="AH285" s="356"/>
      <c r="AI285" s="356"/>
      <c r="AJ285" s="356"/>
      <c r="AK285" s="356"/>
      <c r="AL285" s="356"/>
      <c r="AM285" s="356"/>
      <c r="AN285" s="356"/>
      <c r="AO285" s="356"/>
      <c r="AP285" s="356"/>
      <c r="AQ285" s="356"/>
      <c r="AR285" s="356"/>
      <c r="AS285" s="356"/>
      <c r="AT285" s="356"/>
      <c r="AU285" s="356"/>
      <c r="AV285" s="356"/>
      <c r="AW285" s="356"/>
      <c r="AX285" s="356"/>
      <c r="AY285" s="356"/>
      <c r="AZ285" s="356"/>
      <c r="BA285" s="356"/>
      <c r="BB285" s="356"/>
      <c r="BC285" s="356"/>
      <c r="BD285" s="356"/>
      <c r="BE285" s="356"/>
      <c r="BF285" s="356"/>
      <c r="BG285" s="356"/>
      <c r="BH285" s="356"/>
      <c r="BI285" s="356"/>
      <c r="BJ285" s="356"/>
      <c r="BK285" s="356"/>
      <c r="BL285" s="356"/>
      <c r="BM285" s="356"/>
      <c r="BN285" s="356"/>
      <c r="BO285" s="356"/>
      <c r="BP285" s="356"/>
      <c r="BQ285" s="356"/>
      <c r="BR285" s="356"/>
      <c r="BS285" s="356"/>
      <c r="BT285" s="356"/>
      <c r="BU285" s="356"/>
      <c r="BV285" s="356"/>
      <c r="BW285" s="356"/>
      <c r="BX285" s="356"/>
      <c r="BY285" s="356"/>
      <c r="BZ285" s="356"/>
      <c r="CA285" s="356"/>
      <c r="CB285" s="356"/>
      <c r="CC285" s="356"/>
      <c r="CD285" s="356"/>
      <c r="CE285" s="356"/>
      <c r="CF285" s="356"/>
      <c r="CG285" s="356"/>
      <c r="CH285" s="356"/>
      <c r="CI285" s="356"/>
      <c r="CJ285" s="356"/>
      <c r="CK285" s="356"/>
      <c r="CL285" s="356"/>
      <c r="CM285" s="356"/>
      <c r="CN285" s="356"/>
      <c r="CO285" s="356"/>
      <c r="CP285" s="356"/>
      <c r="CQ285" s="356"/>
      <c r="CR285" s="356"/>
      <c r="CS285" s="356"/>
      <c r="CT285" s="356"/>
      <c r="CU285" s="356"/>
      <c r="CV285" s="356"/>
      <c r="CW285" s="356"/>
      <c r="CX285" s="356"/>
      <c r="CY285" s="356"/>
      <c r="CZ285" s="356"/>
      <c r="DA285" s="356"/>
      <c r="DB285" s="356"/>
      <c r="DC285" s="356"/>
      <c r="DD285" s="356"/>
      <c r="DE285" s="356"/>
      <c r="DF285" s="356"/>
      <c r="DG285" s="356"/>
      <c r="DH285" s="356"/>
      <c r="DI285" s="356"/>
      <c r="DJ285" s="356"/>
      <c r="DK285" s="1087"/>
      <c r="DL285" s="356"/>
      <c r="DM285" s="356"/>
      <c r="DN285" s="1087"/>
      <c r="DO285" s="356"/>
      <c r="DP285" s="356"/>
      <c r="DQ285" s="1087"/>
      <c r="DR285" s="356"/>
      <c r="DS285" s="356"/>
      <c r="DT285" s="1087"/>
      <c r="DU285" s="356"/>
      <c r="DV285" s="356"/>
      <c r="DW285" s="1087"/>
      <c r="DX285" s="356"/>
      <c r="DY285" s="356"/>
      <c r="DZ285" s="1087"/>
      <c r="EA285" s="356"/>
      <c r="EB285" s="356"/>
      <c r="EC285" s="1087"/>
      <c r="ED285" s="356"/>
      <c r="EE285" s="356"/>
      <c r="EF285" s="1087"/>
      <c r="EG285" s="356"/>
      <c r="EH285" s="356"/>
      <c r="EI285" s="1087"/>
      <c r="EJ285" s="356"/>
      <c r="EK285" s="356"/>
      <c r="EL285" s="1087"/>
      <c r="EM285" s="356"/>
      <c r="EN285" s="356"/>
      <c r="EO285" s="1087"/>
      <c r="EP285" s="356"/>
      <c r="EQ285" s="356"/>
      <c r="ER285" s="1087"/>
      <c r="ES285" s="356"/>
      <c r="ET285" s="356"/>
      <c r="EU285" s="1087"/>
      <c r="EV285" s="356"/>
      <c r="EW285" s="356"/>
      <c r="EX285" s="1087"/>
      <c r="EY285" s="356"/>
      <c r="EZ285" s="356"/>
      <c r="FA285" s="356"/>
    </row>
    <row r="286" spans="1:157" ht="13.35" customHeight="1" outlineLevel="1">
      <c r="A286" s="23"/>
      <c r="B286" s="409" t="str">
        <f t="shared" si="604"/>
        <v xml:space="preserve">     Economic driver</v>
      </c>
      <c r="C286" s="5"/>
      <c r="D286" s="23"/>
      <c r="E286" s="356"/>
      <c r="F286" s="356"/>
      <c r="G286" s="356"/>
      <c r="H286" s="356"/>
      <c r="I286" s="356"/>
      <c r="J286" s="356"/>
      <c r="K286" s="356"/>
      <c r="L286" s="356"/>
      <c r="M286" s="356"/>
      <c r="N286" s="356"/>
      <c r="O286" s="356"/>
      <c r="P286" s="356"/>
      <c r="Q286" s="356"/>
      <c r="R286" s="356"/>
      <c r="S286" s="356"/>
      <c r="T286" s="356"/>
      <c r="U286" s="356"/>
      <c r="V286" s="356"/>
      <c r="W286" s="356"/>
      <c r="X286" s="356"/>
      <c r="Y286" s="356"/>
      <c r="Z286" s="356"/>
      <c r="AA286" s="356"/>
      <c r="AB286" s="356"/>
      <c r="AC286" s="356"/>
      <c r="AD286" s="356"/>
      <c r="AE286" s="356"/>
      <c r="AF286" s="356"/>
      <c r="AG286" s="356"/>
      <c r="AH286" s="356"/>
      <c r="AI286" s="356"/>
      <c r="AJ286" s="356"/>
      <c r="AK286" s="356"/>
      <c r="AL286" s="356"/>
      <c r="AM286" s="356"/>
      <c r="AN286" s="356"/>
      <c r="AO286" s="356"/>
      <c r="AP286" s="356"/>
      <c r="AQ286" s="356"/>
      <c r="AR286" s="356"/>
      <c r="AS286" s="356"/>
      <c r="AT286" s="356"/>
      <c r="AU286" s="356"/>
      <c r="AV286" s="356"/>
      <c r="AW286" s="356"/>
      <c r="AX286" s="356"/>
      <c r="AY286" s="356"/>
      <c r="AZ286" s="356"/>
      <c r="BA286" s="356"/>
      <c r="BB286" s="356"/>
      <c r="BC286" s="356"/>
      <c r="BD286" s="356"/>
      <c r="BE286" s="356"/>
      <c r="BF286" s="356"/>
      <c r="BG286" s="356"/>
      <c r="BH286" s="356"/>
      <c r="BI286" s="356"/>
      <c r="BJ286" s="356"/>
      <c r="BK286" s="356"/>
      <c r="BL286" s="356"/>
      <c r="BM286" s="356"/>
      <c r="BN286" s="356"/>
      <c r="BO286" s="356"/>
      <c r="BP286" s="356"/>
      <c r="BQ286" s="356"/>
      <c r="BR286" s="356"/>
      <c r="BS286" s="356"/>
      <c r="BT286" s="356"/>
      <c r="BU286" s="356"/>
      <c r="BV286" s="356"/>
      <c r="BW286" s="356"/>
      <c r="BX286" s="356"/>
      <c r="BY286" s="356"/>
      <c r="BZ286" s="356"/>
      <c r="CA286" s="356"/>
      <c r="CB286" s="356"/>
      <c r="CC286" s="356"/>
      <c r="CD286" s="356"/>
      <c r="CE286" s="356"/>
      <c r="CF286" s="356"/>
      <c r="CG286" s="356"/>
      <c r="CH286" s="356"/>
      <c r="CI286" s="356"/>
      <c r="CJ286" s="356"/>
      <c r="CK286" s="356"/>
      <c r="CL286" s="356"/>
      <c r="CM286" s="356"/>
      <c r="CN286" s="356"/>
      <c r="CO286" s="356"/>
      <c r="CP286" s="356"/>
      <c r="CQ286" s="356"/>
      <c r="CR286" s="356"/>
      <c r="CS286" s="356"/>
      <c r="CT286" s="356"/>
      <c r="CU286" s="356"/>
      <c r="CV286" s="356"/>
      <c r="CW286" s="356"/>
      <c r="CX286" s="356"/>
      <c r="CY286" s="356"/>
      <c r="CZ286" s="356"/>
      <c r="DA286" s="356"/>
      <c r="DB286" s="356"/>
      <c r="DC286" s="356"/>
      <c r="DD286" s="356"/>
      <c r="DE286" s="356"/>
      <c r="DF286" s="356"/>
      <c r="DG286" s="356"/>
      <c r="DH286" s="356"/>
      <c r="DI286" s="356"/>
      <c r="DJ286" s="356"/>
      <c r="DK286" s="1087"/>
      <c r="DL286" s="356"/>
      <c r="DM286" s="356"/>
      <c r="DN286" s="1087"/>
      <c r="DO286" s="356"/>
      <c r="DP286" s="356"/>
      <c r="DQ286" s="1087"/>
      <c r="DR286" s="356"/>
      <c r="DS286" s="356"/>
      <c r="DT286" s="1087"/>
      <c r="DU286" s="356"/>
      <c r="DV286" s="356"/>
      <c r="DW286" s="1087"/>
      <c r="DX286" s="356"/>
      <c r="DY286" s="356"/>
      <c r="DZ286" s="1087"/>
      <c r="EA286" s="356"/>
      <c r="EB286" s="356"/>
      <c r="EC286" s="1087"/>
      <c r="ED286" s="356"/>
      <c r="EE286" s="356"/>
      <c r="EF286" s="1087"/>
      <c r="EG286" s="356"/>
      <c r="EH286" s="356"/>
      <c r="EI286" s="1087"/>
      <c r="EJ286" s="356"/>
      <c r="EK286" s="356"/>
      <c r="EL286" s="1087"/>
      <c r="EM286" s="356"/>
      <c r="EN286" s="356"/>
      <c r="EO286" s="1087"/>
      <c r="EP286" s="356"/>
      <c r="EQ286" s="356"/>
      <c r="ER286" s="1087"/>
      <c r="ES286" s="356"/>
      <c r="ET286" s="356"/>
      <c r="EU286" s="1087"/>
      <c r="EV286" s="356"/>
      <c r="EW286" s="356"/>
      <c r="EX286" s="1087"/>
      <c r="EY286" s="356"/>
      <c r="EZ286" s="356"/>
      <c r="FA286" s="356"/>
    </row>
    <row r="287" spans="1:157" ht="13.35" customHeight="1" outlineLevel="1">
      <c r="A287" s="23"/>
      <c r="B287" s="409" t="str">
        <f t="shared" si="604"/>
        <v xml:space="preserve">     Economic driver</v>
      </c>
      <c r="C287" s="5"/>
      <c r="D287" s="23"/>
      <c r="E287" s="356"/>
      <c r="F287" s="356"/>
      <c r="G287" s="356"/>
      <c r="H287" s="356"/>
      <c r="I287" s="356"/>
      <c r="J287" s="356"/>
      <c r="K287" s="356"/>
      <c r="L287" s="356"/>
      <c r="M287" s="356"/>
      <c r="N287" s="356"/>
      <c r="O287" s="356"/>
      <c r="P287" s="356"/>
      <c r="Q287" s="356"/>
      <c r="R287" s="356"/>
      <c r="S287" s="356"/>
      <c r="T287" s="356"/>
      <c r="U287" s="356"/>
      <c r="V287" s="356"/>
      <c r="W287" s="356"/>
      <c r="X287" s="356"/>
      <c r="Y287" s="356"/>
      <c r="Z287" s="356"/>
      <c r="AA287" s="356"/>
      <c r="AB287" s="356"/>
      <c r="AC287" s="356"/>
      <c r="AD287" s="356"/>
      <c r="AE287" s="356"/>
      <c r="AF287" s="356"/>
      <c r="AG287" s="356"/>
      <c r="AH287" s="356"/>
      <c r="AI287" s="356"/>
      <c r="AJ287" s="356"/>
      <c r="AK287" s="356"/>
      <c r="AL287" s="356"/>
      <c r="AM287" s="356"/>
      <c r="AN287" s="356"/>
      <c r="AO287" s="356"/>
      <c r="AP287" s="356"/>
      <c r="AQ287" s="356"/>
      <c r="AR287" s="356"/>
      <c r="AS287" s="356"/>
      <c r="AT287" s="356"/>
      <c r="AU287" s="356"/>
      <c r="AV287" s="356"/>
      <c r="AW287" s="356"/>
      <c r="AX287" s="356"/>
      <c r="AY287" s="356"/>
      <c r="AZ287" s="356"/>
      <c r="BA287" s="356"/>
      <c r="BB287" s="356"/>
      <c r="BC287" s="356"/>
      <c r="BD287" s="356"/>
      <c r="BE287" s="356"/>
      <c r="BF287" s="356"/>
      <c r="BG287" s="356"/>
      <c r="BH287" s="356"/>
      <c r="BI287" s="356"/>
      <c r="BJ287" s="356"/>
      <c r="BK287" s="356"/>
      <c r="BL287" s="356"/>
      <c r="BM287" s="356"/>
      <c r="BN287" s="356"/>
      <c r="BO287" s="356"/>
      <c r="BP287" s="356"/>
      <c r="BQ287" s="356"/>
      <c r="BR287" s="356"/>
      <c r="BS287" s="356"/>
      <c r="BT287" s="356"/>
      <c r="BU287" s="356"/>
      <c r="BV287" s="356"/>
      <c r="BW287" s="356"/>
      <c r="BX287" s="356"/>
      <c r="BY287" s="356"/>
      <c r="BZ287" s="356"/>
      <c r="CA287" s="356"/>
      <c r="CB287" s="356"/>
      <c r="CC287" s="356"/>
      <c r="CD287" s="356"/>
      <c r="CE287" s="356"/>
      <c r="CF287" s="356"/>
      <c r="CG287" s="356"/>
      <c r="CH287" s="356"/>
      <c r="CI287" s="356"/>
      <c r="CJ287" s="356"/>
      <c r="CK287" s="356"/>
      <c r="CL287" s="356"/>
      <c r="CM287" s="356"/>
      <c r="CN287" s="356"/>
      <c r="CO287" s="356"/>
      <c r="CP287" s="356"/>
      <c r="CQ287" s="356"/>
      <c r="CR287" s="356"/>
      <c r="CS287" s="356"/>
      <c r="CT287" s="356"/>
      <c r="CU287" s="356"/>
      <c r="CV287" s="356"/>
      <c r="CW287" s="356"/>
      <c r="CX287" s="356"/>
      <c r="CY287" s="356"/>
      <c r="CZ287" s="356"/>
      <c r="DA287" s="356"/>
      <c r="DB287" s="356"/>
      <c r="DC287" s="356"/>
      <c r="DD287" s="356"/>
      <c r="DE287" s="356"/>
      <c r="DF287" s="356"/>
      <c r="DG287" s="356"/>
      <c r="DH287" s="356"/>
      <c r="DI287" s="356"/>
      <c r="DJ287" s="356"/>
      <c r="DK287" s="1087"/>
      <c r="DL287" s="356"/>
      <c r="DM287" s="356"/>
      <c r="DN287" s="1087"/>
      <c r="DO287" s="356"/>
      <c r="DP287" s="356"/>
      <c r="DQ287" s="1087"/>
      <c r="DR287" s="356"/>
      <c r="DS287" s="356"/>
      <c r="DT287" s="1087"/>
      <c r="DU287" s="356"/>
      <c r="DV287" s="356"/>
      <c r="DW287" s="1087"/>
      <c r="DX287" s="356"/>
      <c r="DY287" s="356"/>
      <c r="DZ287" s="1087"/>
      <c r="EA287" s="356"/>
      <c r="EB287" s="356"/>
      <c r="EC287" s="1087"/>
      <c r="ED287" s="356"/>
      <c r="EE287" s="356"/>
      <c r="EF287" s="1087"/>
      <c r="EG287" s="356"/>
      <c r="EH287" s="356"/>
      <c r="EI287" s="1087"/>
      <c r="EJ287" s="356"/>
      <c r="EK287" s="356"/>
      <c r="EL287" s="1087"/>
      <c r="EM287" s="356"/>
      <c r="EN287" s="356"/>
      <c r="EO287" s="1087"/>
      <c r="EP287" s="356"/>
      <c r="EQ287" s="356"/>
      <c r="ER287" s="1087"/>
      <c r="ES287" s="356"/>
      <c r="ET287" s="356"/>
      <c r="EU287" s="1087"/>
      <c r="EV287" s="356"/>
      <c r="EW287" s="356"/>
      <c r="EX287" s="1087"/>
      <c r="EY287" s="356"/>
      <c r="EZ287" s="356"/>
      <c r="FA287" s="356"/>
    </row>
    <row r="288" spans="1:157" ht="13.35" customHeight="1" outlineLevel="1">
      <c r="A288" s="23"/>
      <c r="B288" s="409" t="str">
        <f t="shared" si="604"/>
        <v xml:space="preserve">     Economic driver</v>
      </c>
      <c r="C288" s="5"/>
      <c r="D288" s="23"/>
      <c r="E288" s="356"/>
      <c r="F288" s="356"/>
      <c r="G288" s="356"/>
      <c r="H288" s="356"/>
      <c r="I288" s="356"/>
      <c r="J288" s="356"/>
      <c r="K288" s="356"/>
      <c r="L288" s="356"/>
      <c r="M288" s="356"/>
      <c r="N288" s="356"/>
      <c r="O288" s="356"/>
      <c r="P288" s="356"/>
      <c r="Q288" s="356"/>
      <c r="R288" s="356"/>
      <c r="S288" s="356"/>
      <c r="T288" s="356"/>
      <c r="U288" s="356"/>
      <c r="V288" s="356"/>
      <c r="W288" s="356"/>
      <c r="X288" s="356"/>
      <c r="Y288" s="356"/>
      <c r="Z288" s="356"/>
      <c r="AA288" s="356"/>
      <c r="AB288" s="356"/>
      <c r="AC288" s="356"/>
      <c r="AD288" s="356"/>
      <c r="AE288" s="356"/>
      <c r="AF288" s="356"/>
      <c r="AG288" s="356"/>
      <c r="AH288" s="356"/>
      <c r="AI288" s="356"/>
      <c r="AJ288" s="356"/>
      <c r="AK288" s="356"/>
      <c r="AL288" s="356"/>
      <c r="AM288" s="356"/>
      <c r="AN288" s="356"/>
      <c r="AO288" s="356"/>
      <c r="AP288" s="356"/>
      <c r="AQ288" s="356"/>
      <c r="AR288" s="356"/>
      <c r="AS288" s="356"/>
      <c r="AT288" s="356"/>
      <c r="AU288" s="356"/>
      <c r="AV288" s="356"/>
      <c r="AW288" s="356"/>
      <c r="AX288" s="356"/>
      <c r="AY288" s="356"/>
      <c r="AZ288" s="356"/>
      <c r="BA288" s="356"/>
      <c r="BB288" s="356"/>
      <c r="BC288" s="356"/>
      <c r="BD288" s="356"/>
      <c r="BE288" s="356"/>
      <c r="BF288" s="356"/>
      <c r="BG288" s="356"/>
      <c r="BH288" s="356"/>
      <c r="BI288" s="356"/>
      <c r="BJ288" s="356"/>
      <c r="BK288" s="356"/>
      <c r="BL288" s="356"/>
      <c r="BM288" s="356"/>
      <c r="BN288" s="356"/>
      <c r="BO288" s="356"/>
      <c r="BP288" s="356"/>
      <c r="BQ288" s="356"/>
      <c r="BR288" s="356"/>
      <c r="BS288" s="356"/>
      <c r="BT288" s="356"/>
      <c r="BU288" s="356"/>
      <c r="BV288" s="356"/>
      <c r="BW288" s="356"/>
      <c r="BX288" s="356"/>
      <c r="BY288" s="356"/>
      <c r="BZ288" s="356"/>
      <c r="CA288" s="356"/>
      <c r="CB288" s="356"/>
      <c r="CC288" s="356"/>
      <c r="CD288" s="356"/>
      <c r="CE288" s="356"/>
      <c r="CF288" s="356"/>
      <c r="CG288" s="356"/>
      <c r="CH288" s="356"/>
      <c r="CI288" s="356"/>
      <c r="CJ288" s="356"/>
      <c r="CK288" s="356"/>
      <c r="CL288" s="356"/>
      <c r="CM288" s="356"/>
      <c r="CN288" s="356"/>
      <c r="CO288" s="356"/>
      <c r="CP288" s="356"/>
      <c r="CQ288" s="356"/>
      <c r="CR288" s="356"/>
      <c r="CS288" s="356"/>
      <c r="CT288" s="356"/>
      <c r="CU288" s="356"/>
      <c r="CV288" s="356"/>
      <c r="CW288" s="356"/>
      <c r="CX288" s="356"/>
      <c r="CY288" s="356"/>
      <c r="CZ288" s="356"/>
      <c r="DA288" s="356"/>
      <c r="DB288" s="356"/>
      <c r="DC288" s="356"/>
      <c r="DD288" s="356"/>
      <c r="DE288" s="356"/>
      <c r="DF288" s="356"/>
      <c r="DG288" s="356"/>
      <c r="DH288" s="356"/>
      <c r="DI288" s="356"/>
      <c r="DJ288" s="356"/>
      <c r="DK288" s="1087"/>
      <c r="DL288" s="356"/>
      <c r="DM288" s="356"/>
      <c r="DN288" s="1087"/>
      <c r="DO288" s="356"/>
      <c r="DP288" s="356"/>
      <c r="DQ288" s="1087"/>
      <c r="DR288" s="356"/>
      <c r="DS288" s="356"/>
      <c r="DT288" s="1087"/>
      <c r="DU288" s="356"/>
      <c r="DV288" s="356"/>
      <c r="DW288" s="1087"/>
      <c r="DX288" s="356"/>
      <c r="DY288" s="356"/>
      <c r="DZ288" s="1087"/>
      <c r="EA288" s="356"/>
      <c r="EB288" s="356"/>
      <c r="EC288" s="1087"/>
      <c r="ED288" s="356"/>
      <c r="EE288" s="356"/>
      <c r="EF288" s="1087"/>
      <c r="EG288" s="356"/>
      <c r="EH288" s="356"/>
      <c r="EI288" s="1087"/>
      <c r="EJ288" s="356"/>
      <c r="EK288" s="356"/>
      <c r="EL288" s="1087"/>
      <c r="EM288" s="356"/>
      <c r="EN288" s="356"/>
      <c r="EO288" s="1087"/>
      <c r="EP288" s="356"/>
      <c r="EQ288" s="356"/>
      <c r="ER288" s="1087"/>
      <c r="ES288" s="356"/>
      <c r="ET288" s="356"/>
      <c r="EU288" s="1087"/>
      <c r="EV288" s="356"/>
      <c r="EW288" s="356"/>
      <c r="EX288" s="1087"/>
      <c r="EY288" s="356"/>
      <c r="EZ288" s="356"/>
      <c r="FA288" s="356"/>
    </row>
    <row r="289" spans="1:157" ht="13.35" customHeight="1" outlineLevel="1">
      <c r="A289" s="23"/>
      <c r="B289" s="409" t="str">
        <f t="shared" si="604"/>
        <v xml:space="preserve">     Economic driver</v>
      </c>
      <c r="C289" s="5"/>
      <c r="D289" s="23"/>
      <c r="E289" s="356"/>
      <c r="F289" s="356"/>
      <c r="G289" s="356"/>
      <c r="H289" s="356"/>
      <c r="I289" s="356"/>
      <c r="J289" s="356"/>
      <c r="K289" s="356"/>
      <c r="L289" s="356"/>
      <c r="M289" s="356"/>
      <c r="N289" s="356"/>
      <c r="O289" s="356"/>
      <c r="P289" s="356"/>
      <c r="Q289" s="356"/>
      <c r="R289" s="356"/>
      <c r="S289" s="356"/>
      <c r="T289" s="356"/>
      <c r="U289" s="356"/>
      <c r="V289" s="356"/>
      <c r="W289" s="356"/>
      <c r="X289" s="356"/>
      <c r="Y289" s="356"/>
      <c r="Z289" s="356"/>
      <c r="AA289" s="356"/>
      <c r="AB289" s="356"/>
      <c r="AC289" s="356"/>
      <c r="AD289" s="356"/>
      <c r="AE289" s="356"/>
      <c r="AF289" s="356"/>
      <c r="AG289" s="356"/>
      <c r="AH289" s="356"/>
      <c r="AI289" s="356"/>
      <c r="AJ289" s="356"/>
      <c r="AK289" s="356"/>
      <c r="AL289" s="356"/>
      <c r="AM289" s="356"/>
      <c r="AN289" s="356"/>
      <c r="AO289" s="356"/>
      <c r="AP289" s="356"/>
      <c r="AQ289" s="356"/>
      <c r="AR289" s="356"/>
      <c r="AS289" s="356"/>
      <c r="AT289" s="356"/>
      <c r="AU289" s="356"/>
      <c r="AV289" s="356"/>
      <c r="AW289" s="356"/>
      <c r="AX289" s="356"/>
      <c r="AY289" s="356"/>
      <c r="AZ289" s="356"/>
      <c r="BA289" s="356"/>
      <c r="BB289" s="356"/>
      <c r="BC289" s="356"/>
      <c r="BD289" s="356"/>
      <c r="BE289" s="356"/>
      <c r="BF289" s="356"/>
      <c r="BG289" s="356"/>
      <c r="BH289" s="356"/>
      <c r="BI289" s="356"/>
      <c r="BJ289" s="356"/>
      <c r="BK289" s="356"/>
      <c r="BL289" s="356"/>
      <c r="BM289" s="356"/>
      <c r="BN289" s="356"/>
      <c r="BO289" s="356"/>
      <c r="BP289" s="356"/>
      <c r="BQ289" s="356"/>
      <c r="BR289" s="356"/>
      <c r="BS289" s="356"/>
      <c r="BT289" s="356"/>
      <c r="BU289" s="356"/>
      <c r="BV289" s="356"/>
      <c r="BW289" s="356"/>
      <c r="BX289" s="356"/>
      <c r="BY289" s="356"/>
      <c r="BZ289" s="356"/>
      <c r="CA289" s="356"/>
      <c r="CB289" s="356"/>
      <c r="CC289" s="356"/>
      <c r="CD289" s="356"/>
      <c r="CE289" s="356"/>
      <c r="CF289" s="356"/>
      <c r="CG289" s="356"/>
      <c r="CH289" s="356"/>
      <c r="CI289" s="356"/>
      <c r="CJ289" s="356"/>
      <c r="CK289" s="356"/>
      <c r="CL289" s="356"/>
      <c r="CM289" s="356"/>
      <c r="CN289" s="356"/>
      <c r="CO289" s="356"/>
      <c r="CP289" s="356"/>
      <c r="CQ289" s="356"/>
      <c r="CR289" s="356"/>
      <c r="CS289" s="356"/>
      <c r="CT289" s="356"/>
      <c r="CU289" s="356"/>
      <c r="CV289" s="356"/>
      <c r="CW289" s="356"/>
      <c r="CX289" s="356"/>
      <c r="CY289" s="356"/>
      <c r="CZ289" s="356"/>
      <c r="DA289" s="356"/>
      <c r="DB289" s="356"/>
      <c r="DC289" s="356"/>
      <c r="DD289" s="356"/>
      <c r="DE289" s="356"/>
      <c r="DF289" s="356"/>
      <c r="DG289" s="356"/>
      <c r="DH289" s="356"/>
      <c r="DI289" s="356"/>
      <c r="DJ289" s="356"/>
      <c r="DK289" s="1087"/>
      <c r="DL289" s="356"/>
      <c r="DM289" s="356"/>
      <c r="DN289" s="1087"/>
      <c r="DO289" s="356"/>
      <c r="DP289" s="356"/>
      <c r="DQ289" s="1087"/>
      <c r="DR289" s="356"/>
      <c r="DS289" s="356"/>
      <c r="DT289" s="1087"/>
      <c r="DU289" s="356"/>
      <c r="DV289" s="356"/>
      <c r="DW289" s="1087"/>
      <c r="DX289" s="356"/>
      <c r="DY289" s="356"/>
      <c r="DZ289" s="1087"/>
      <c r="EA289" s="356"/>
      <c r="EB289" s="356"/>
      <c r="EC289" s="1087"/>
      <c r="ED289" s="356"/>
      <c r="EE289" s="356"/>
      <c r="EF289" s="1087"/>
      <c r="EG289" s="356"/>
      <c r="EH289" s="356"/>
      <c r="EI289" s="1087"/>
      <c r="EJ289" s="356"/>
      <c r="EK289" s="356"/>
      <c r="EL289" s="1087"/>
      <c r="EM289" s="356"/>
      <c r="EN289" s="356"/>
      <c r="EO289" s="1087"/>
      <c r="EP289" s="356"/>
      <c r="EQ289" s="356"/>
      <c r="ER289" s="1087"/>
      <c r="ES289" s="356"/>
      <c r="ET289" s="356"/>
      <c r="EU289" s="1087"/>
      <c r="EV289" s="356"/>
      <c r="EW289" s="356"/>
      <c r="EX289" s="1087"/>
      <c r="EY289" s="356"/>
      <c r="EZ289" s="356"/>
      <c r="FA289" s="356"/>
    </row>
    <row r="290" spans="1:157" ht="13.35" customHeight="1" outlineLevel="1">
      <c r="A290" s="23"/>
      <c r="B290" s="409" t="str">
        <f t="shared" si="604"/>
        <v xml:space="preserve">     Economic driver</v>
      </c>
      <c r="C290" s="5"/>
      <c r="D290" s="23"/>
      <c r="E290" s="356"/>
      <c r="F290" s="356"/>
      <c r="G290" s="356"/>
      <c r="H290" s="356"/>
      <c r="I290" s="356"/>
      <c r="J290" s="356"/>
      <c r="K290" s="356"/>
      <c r="L290" s="356"/>
      <c r="M290" s="356"/>
      <c r="N290" s="356"/>
      <c r="O290" s="356"/>
      <c r="P290" s="356"/>
      <c r="Q290" s="356"/>
      <c r="R290" s="356"/>
      <c r="S290" s="356"/>
      <c r="T290" s="356"/>
      <c r="U290" s="356"/>
      <c r="V290" s="356"/>
      <c r="W290" s="356"/>
      <c r="X290" s="356"/>
      <c r="Y290" s="356"/>
      <c r="Z290" s="356"/>
      <c r="AA290" s="356"/>
      <c r="AB290" s="356"/>
      <c r="AC290" s="356"/>
      <c r="AD290" s="356"/>
      <c r="AE290" s="356"/>
      <c r="AF290" s="356"/>
      <c r="AG290" s="356"/>
      <c r="AH290" s="356"/>
      <c r="AI290" s="356"/>
      <c r="AJ290" s="356"/>
      <c r="AK290" s="356"/>
      <c r="AL290" s="356"/>
      <c r="AM290" s="356"/>
      <c r="AN290" s="356"/>
      <c r="AO290" s="356"/>
      <c r="AP290" s="356"/>
      <c r="AQ290" s="356"/>
      <c r="AR290" s="356"/>
      <c r="AS290" s="356"/>
      <c r="AT290" s="356"/>
      <c r="AU290" s="356"/>
      <c r="AV290" s="356"/>
      <c r="AW290" s="356"/>
      <c r="AX290" s="356"/>
      <c r="AY290" s="356"/>
      <c r="AZ290" s="356"/>
      <c r="BA290" s="356"/>
      <c r="BB290" s="356"/>
      <c r="BC290" s="356"/>
      <c r="BD290" s="356"/>
      <c r="BE290" s="356"/>
      <c r="BF290" s="356"/>
      <c r="BG290" s="356"/>
      <c r="BH290" s="356"/>
      <c r="BI290" s="356"/>
      <c r="BJ290" s="356"/>
      <c r="BK290" s="356"/>
      <c r="BL290" s="356"/>
      <c r="BM290" s="356"/>
      <c r="BN290" s="356"/>
      <c r="BO290" s="356"/>
      <c r="BP290" s="356"/>
      <c r="BQ290" s="356"/>
      <c r="BR290" s="356"/>
      <c r="BS290" s="356"/>
      <c r="BT290" s="356"/>
      <c r="BU290" s="356"/>
      <c r="BV290" s="356"/>
      <c r="BW290" s="356"/>
      <c r="BX290" s="356"/>
      <c r="BY290" s="356"/>
      <c r="BZ290" s="356"/>
      <c r="CA290" s="356"/>
      <c r="CB290" s="356"/>
      <c r="CC290" s="356"/>
      <c r="CD290" s="356"/>
      <c r="CE290" s="356"/>
      <c r="CF290" s="356"/>
      <c r="CG290" s="356"/>
      <c r="CH290" s="356"/>
      <c r="CI290" s="356"/>
      <c r="CJ290" s="356"/>
      <c r="CK290" s="356"/>
      <c r="CL290" s="356"/>
      <c r="CM290" s="356"/>
      <c r="CN290" s="356"/>
      <c r="CO290" s="356"/>
      <c r="CP290" s="356"/>
      <c r="CQ290" s="356"/>
      <c r="CR290" s="356"/>
      <c r="CS290" s="356"/>
      <c r="CT290" s="356"/>
      <c r="CU290" s="356"/>
      <c r="CV290" s="356"/>
      <c r="CW290" s="356"/>
      <c r="CX290" s="356"/>
      <c r="CY290" s="356"/>
      <c r="CZ290" s="356"/>
      <c r="DA290" s="356"/>
      <c r="DB290" s="356"/>
      <c r="DC290" s="356"/>
      <c r="DD290" s="356"/>
      <c r="DE290" s="356"/>
      <c r="DF290" s="356"/>
      <c r="DG290" s="356"/>
      <c r="DH290" s="356"/>
      <c r="DI290" s="356"/>
      <c r="DJ290" s="356"/>
      <c r="DK290" s="1087"/>
      <c r="DL290" s="356"/>
      <c r="DM290" s="356"/>
      <c r="DN290" s="1087"/>
      <c r="DO290" s="356"/>
      <c r="DP290" s="356"/>
      <c r="DQ290" s="1087"/>
      <c r="DR290" s="356"/>
      <c r="DS290" s="356"/>
      <c r="DT290" s="1087"/>
      <c r="DU290" s="356"/>
      <c r="DV290" s="356"/>
      <c r="DW290" s="1087"/>
      <c r="DX290" s="356"/>
      <c r="DY290" s="356"/>
      <c r="DZ290" s="1087"/>
      <c r="EA290" s="356"/>
      <c r="EB290" s="356"/>
      <c r="EC290" s="1087"/>
      <c r="ED290" s="356"/>
      <c r="EE290" s="356"/>
      <c r="EF290" s="1087"/>
      <c r="EG290" s="356"/>
      <c r="EH290" s="356"/>
      <c r="EI290" s="1087"/>
      <c r="EJ290" s="356"/>
      <c r="EK290" s="356"/>
      <c r="EL290" s="1087"/>
      <c r="EM290" s="356"/>
      <c r="EN290" s="356"/>
      <c r="EO290" s="1087"/>
      <c r="EP290" s="356"/>
      <c r="EQ290" s="356"/>
      <c r="ER290" s="1087"/>
      <c r="ES290" s="356"/>
      <c r="ET290" s="356"/>
      <c r="EU290" s="1087"/>
      <c r="EV290" s="356"/>
      <c r="EW290" s="356"/>
      <c r="EX290" s="1087"/>
      <c r="EY290" s="356"/>
      <c r="EZ290" s="356"/>
      <c r="FA290" s="356"/>
    </row>
    <row r="291" spans="1:157" ht="13.35" customHeight="1" outlineLevel="1">
      <c r="A291" s="23"/>
      <c r="B291" s="409" t="str">
        <f t="shared" si="604"/>
        <v xml:space="preserve">     Economic driver</v>
      </c>
      <c r="C291" s="5"/>
      <c r="D291" s="23"/>
      <c r="E291" s="356"/>
      <c r="F291" s="356"/>
      <c r="G291" s="356"/>
      <c r="H291" s="356"/>
      <c r="I291" s="356"/>
      <c r="J291" s="356"/>
      <c r="K291" s="356"/>
      <c r="L291" s="356"/>
      <c r="M291" s="356"/>
      <c r="N291" s="356"/>
      <c r="O291" s="356"/>
      <c r="P291" s="356"/>
      <c r="Q291" s="356"/>
      <c r="R291" s="356"/>
      <c r="S291" s="356"/>
      <c r="T291" s="356"/>
      <c r="U291" s="356"/>
      <c r="V291" s="356"/>
      <c r="W291" s="356"/>
      <c r="X291" s="356"/>
      <c r="Y291" s="356"/>
      <c r="Z291" s="356"/>
      <c r="AA291" s="356"/>
      <c r="AB291" s="356"/>
      <c r="AC291" s="356"/>
      <c r="AD291" s="356"/>
      <c r="AE291" s="356"/>
      <c r="AF291" s="356"/>
      <c r="AG291" s="356"/>
      <c r="AH291" s="356"/>
      <c r="AI291" s="356"/>
      <c r="AJ291" s="356"/>
      <c r="AK291" s="356"/>
      <c r="AL291" s="356"/>
      <c r="AM291" s="356"/>
      <c r="AN291" s="356"/>
      <c r="AO291" s="356"/>
      <c r="AP291" s="356"/>
      <c r="AQ291" s="356"/>
      <c r="AR291" s="356"/>
      <c r="AS291" s="356"/>
      <c r="AT291" s="356"/>
      <c r="AU291" s="356"/>
      <c r="AV291" s="356"/>
      <c r="AW291" s="356"/>
      <c r="AX291" s="356"/>
      <c r="AY291" s="356"/>
      <c r="AZ291" s="356"/>
      <c r="BA291" s="356"/>
      <c r="BB291" s="356"/>
      <c r="BC291" s="356"/>
      <c r="BD291" s="356"/>
      <c r="BE291" s="356"/>
      <c r="BF291" s="356"/>
      <c r="BG291" s="356"/>
      <c r="BH291" s="356"/>
      <c r="BI291" s="356"/>
      <c r="BJ291" s="356"/>
      <c r="BK291" s="356"/>
      <c r="BL291" s="356"/>
      <c r="BM291" s="356"/>
      <c r="BN291" s="356"/>
      <c r="BO291" s="356"/>
      <c r="BP291" s="356"/>
      <c r="BQ291" s="356"/>
      <c r="BR291" s="356"/>
      <c r="BS291" s="356"/>
      <c r="BT291" s="356"/>
      <c r="BU291" s="356"/>
      <c r="BV291" s="356"/>
      <c r="BW291" s="356"/>
      <c r="BX291" s="356"/>
      <c r="BY291" s="356"/>
      <c r="BZ291" s="356"/>
      <c r="CA291" s="356"/>
      <c r="CB291" s="356"/>
      <c r="CC291" s="356"/>
      <c r="CD291" s="356"/>
      <c r="CE291" s="356"/>
      <c r="CF291" s="356"/>
      <c r="CG291" s="356"/>
      <c r="CH291" s="356"/>
      <c r="CI291" s="356"/>
      <c r="CJ291" s="356"/>
      <c r="CK291" s="356"/>
      <c r="CL291" s="356"/>
      <c r="CM291" s="356"/>
      <c r="CN291" s="356"/>
      <c r="CO291" s="356"/>
      <c r="CP291" s="356"/>
      <c r="CQ291" s="356"/>
      <c r="CR291" s="356"/>
      <c r="CS291" s="356"/>
      <c r="CT291" s="356"/>
      <c r="CU291" s="356"/>
      <c r="CV291" s="356"/>
      <c r="CW291" s="356"/>
      <c r="CX291" s="356"/>
      <c r="CY291" s="356"/>
      <c r="CZ291" s="356"/>
      <c r="DA291" s="356"/>
      <c r="DB291" s="356"/>
      <c r="DC291" s="356"/>
      <c r="DD291" s="356"/>
      <c r="DE291" s="356"/>
      <c r="DF291" s="356"/>
      <c r="DG291" s="356"/>
      <c r="DH291" s="356"/>
      <c r="DI291" s="356"/>
      <c r="DJ291" s="356"/>
      <c r="DK291" s="1087"/>
      <c r="DL291" s="356"/>
      <c r="DM291" s="356"/>
      <c r="DN291" s="1087"/>
      <c r="DO291" s="356"/>
      <c r="DP291" s="356"/>
      <c r="DQ291" s="1087"/>
      <c r="DR291" s="356"/>
      <c r="DS291" s="356"/>
      <c r="DT291" s="1087"/>
      <c r="DU291" s="356"/>
      <c r="DV291" s="356"/>
      <c r="DW291" s="1087"/>
      <c r="DX291" s="356"/>
      <c r="DY291" s="356"/>
      <c r="DZ291" s="1087"/>
      <c r="EA291" s="356"/>
      <c r="EB291" s="356"/>
      <c r="EC291" s="1087"/>
      <c r="ED291" s="356"/>
      <c r="EE291" s="356"/>
      <c r="EF291" s="1087"/>
      <c r="EG291" s="356"/>
      <c r="EH291" s="356"/>
      <c r="EI291" s="1087"/>
      <c r="EJ291" s="356"/>
      <c r="EK291" s="356"/>
      <c r="EL291" s="1087"/>
      <c r="EM291" s="356"/>
      <c r="EN291" s="356"/>
      <c r="EO291" s="1087"/>
      <c r="EP291" s="356"/>
      <c r="EQ291" s="356"/>
      <c r="ER291" s="1087"/>
      <c r="ES291" s="356"/>
      <c r="ET291" s="356"/>
      <c r="EU291" s="1087"/>
      <c r="EV291" s="356"/>
      <c r="EW291" s="356"/>
      <c r="EX291" s="1087"/>
      <c r="EY291" s="356"/>
      <c r="EZ291" s="356"/>
      <c r="FA291" s="356"/>
    </row>
    <row r="292" spans="1:157" ht="13.35" customHeight="1" outlineLevel="1">
      <c r="A292" s="23"/>
      <c r="B292" s="409" t="str">
        <f t="shared" si="604"/>
        <v xml:space="preserve">     Economic driver</v>
      </c>
      <c r="C292" s="5"/>
      <c r="D292" s="424"/>
      <c r="E292" s="356"/>
      <c r="F292" s="356"/>
      <c r="G292" s="356"/>
      <c r="H292" s="356"/>
      <c r="I292" s="356"/>
      <c r="J292" s="356"/>
      <c r="K292" s="356"/>
      <c r="L292" s="356"/>
      <c r="M292" s="356"/>
      <c r="N292" s="356"/>
      <c r="O292" s="356"/>
      <c r="P292" s="356"/>
      <c r="Q292" s="356"/>
      <c r="R292" s="356"/>
      <c r="S292" s="356"/>
      <c r="T292" s="356"/>
      <c r="U292" s="356"/>
      <c r="V292" s="356"/>
      <c r="W292" s="356"/>
      <c r="X292" s="356"/>
      <c r="Y292" s="356"/>
      <c r="Z292" s="356"/>
      <c r="AA292" s="356"/>
      <c r="AB292" s="356"/>
      <c r="AC292" s="356"/>
      <c r="AD292" s="356"/>
      <c r="AE292" s="356"/>
      <c r="AF292" s="356"/>
      <c r="AG292" s="356"/>
      <c r="AH292" s="356"/>
      <c r="AI292" s="356"/>
      <c r="AJ292" s="356"/>
      <c r="AK292" s="356"/>
      <c r="AL292" s="356"/>
      <c r="AM292" s="356"/>
      <c r="AN292" s="356"/>
      <c r="AO292" s="356"/>
      <c r="AP292" s="356"/>
      <c r="AQ292" s="356"/>
      <c r="AR292" s="356"/>
      <c r="AS292" s="356"/>
      <c r="AT292" s="356"/>
      <c r="AU292" s="356"/>
      <c r="AV292" s="356"/>
      <c r="AW292" s="356"/>
      <c r="AX292" s="356"/>
      <c r="AY292" s="356"/>
      <c r="AZ292" s="356"/>
      <c r="BA292" s="356"/>
      <c r="BB292" s="356"/>
      <c r="BC292" s="356"/>
      <c r="BD292" s="356"/>
      <c r="BE292" s="356"/>
      <c r="BF292" s="356"/>
      <c r="BG292" s="356"/>
      <c r="BH292" s="356"/>
      <c r="BI292" s="356"/>
      <c r="BJ292" s="356"/>
      <c r="BK292" s="356"/>
      <c r="BL292" s="356"/>
      <c r="BM292" s="356"/>
      <c r="BN292" s="356"/>
      <c r="BO292" s="356"/>
      <c r="BP292" s="356"/>
      <c r="BQ292" s="356"/>
      <c r="BR292" s="356"/>
      <c r="BS292" s="356"/>
      <c r="BT292" s="356"/>
      <c r="BU292" s="356"/>
      <c r="BV292" s="356"/>
      <c r="BW292" s="356"/>
      <c r="BX292" s="356"/>
      <c r="BY292" s="356"/>
      <c r="BZ292" s="356"/>
      <c r="CA292" s="356"/>
      <c r="CB292" s="356"/>
      <c r="CC292" s="356"/>
      <c r="CD292" s="356"/>
      <c r="CE292" s="356"/>
      <c r="CF292" s="356"/>
      <c r="CG292" s="356"/>
      <c r="CH292" s="356"/>
      <c r="CI292" s="356"/>
      <c r="CJ292" s="356"/>
      <c r="CK292" s="356"/>
      <c r="CL292" s="356"/>
      <c r="CM292" s="356"/>
      <c r="CN292" s="356"/>
      <c r="CO292" s="356"/>
      <c r="CP292" s="356"/>
      <c r="CQ292" s="356"/>
      <c r="CR292" s="356"/>
      <c r="CS292" s="356"/>
      <c r="CT292" s="356"/>
      <c r="CU292" s="356"/>
      <c r="CV292" s="356"/>
      <c r="CW292" s="356"/>
      <c r="CX292" s="356"/>
      <c r="CY292" s="356"/>
      <c r="CZ292" s="356"/>
      <c r="DA292" s="356"/>
      <c r="DB292" s="356"/>
      <c r="DC292" s="356"/>
      <c r="DD292" s="356"/>
      <c r="DE292" s="356"/>
      <c r="DF292" s="356"/>
      <c r="DG292" s="356"/>
      <c r="DH292" s="356"/>
      <c r="DI292" s="356"/>
      <c r="DJ292" s="356"/>
      <c r="DK292" s="1087"/>
      <c r="DL292" s="356"/>
      <c r="DM292" s="356"/>
      <c r="DN292" s="1087"/>
      <c r="DO292" s="356"/>
      <c r="DP292" s="356"/>
      <c r="DQ292" s="1087"/>
      <c r="DR292" s="356"/>
      <c r="DS292" s="356"/>
      <c r="DT292" s="1087"/>
      <c r="DU292" s="356"/>
      <c r="DV292" s="356"/>
      <c r="DW292" s="1087"/>
      <c r="DX292" s="356"/>
      <c r="DY292" s="356"/>
      <c r="DZ292" s="1087"/>
      <c r="EA292" s="356"/>
      <c r="EB292" s="356"/>
      <c r="EC292" s="1087"/>
      <c r="ED292" s="356"/>
      <c r="EE292" s="356"/>
      <c r="EF292" s="1087"/>
      <c r="EG292" s="356"/>
      <c r="EH292" s="356"/>
      <c r="EI292" s="1087"/>
      <c r="EJ292" s="356"/>
      <c r="EK292" s="356"/>
      <c r="EL292" s="1087"/>
      <c r="EM292" s="356"/>
      <c r="EN292" s="356"/>
      <c r="EO292" s="1087"/>
      <c r="EP292" s="356"/>
      <c r="EQ292" s="356"/>
      <c r="ER292" s="1087"/>
      <c r="ES292" s="356"/>
      <c r="ET292" s="356"/>
      <c r="EU292" s="1087"/>
      <c r="EV292" s="356"/>
      <c r="EW292" s="356"/>
      <c r="EX292" s="1087"/>
      <c r="EY292" s="356"/>
      <c r="EZ292" s="356"/>
      <c r="FA292" s="356"/>
    </row>
    <row r="293" spans="1:157" ht="13.35" customHeight="1" outlineLevel="1">
      <c r="A293" s="23"/>
      <c r="B293" s="409" t="str">
        <f t="shared" si="604"/>
        <v xml:space="preserve">     Economic driver</v>
      </c>
      <c r="C293" s="5"/>
      <c r="D293" s="424"/>
      <c r="E293" s="356"/>
      <c r="F293" s="356"/>
      <c r="G293" s="356"/>
      <c r="H293" s="356"/>
      <c r="I293" s="356"/>
      <c r="J293" s="356"/>
      <c r="K293" s="356"/>
      <c r="L293" s="356"/>
      <c r="M293" s="356"/>
      <c r="N293" s="356"/>
      <c r="O293" s="356"/>
      <c r="P293" s="356"/>
      <c r="Q293" s="356"/>
      <c r="R293" s="356"/>
      <c r="S293" s="356"/>
      <c r="T293" s="356"/>
      <c r="U293" s="356"/>
      <c r="V293" s="356"/>
      <c r="W293" s="356"/>
      <c r="X293" s="356"/>
      <c r="Y293" s="356"/>
      <c r="Z293" s="356"/>
      <c r="AA293" s="356"/>
      <c r="AB293" s="356"/>
      <c r="AC293" s="356"/>
      <c r="AD293" s="356"/>
      <c r="AE293" s="356"/>
      <c r="AF293" s="356"/>
      <c r="AG293" s="356"/>
      <c r="AH293" s="356"/>
      <c r="AI293" s="356"/>
      <c r="AJ293" s="356"/>
      <c r="AK293" s="356"/>
      <c r="AL293" s="356"/>
      <c r="AM293" s="356"/>
      <c r="AN293" s="356"/>
      <c r="AO293" s="356"/>
      <c r="AP293" s="356"/>
      <c r="AQ293" s="356"/>
      <c r="AR293" s="356"/>
      <c r="AS293" s="356"/>
      <c r="AT293" s="356"/>
      <c r="AU293" s="356"/>
      <c r="AV293" s="356"/>
      <c r="AW293" s="356"/>
      <c r="AX293" s="356"/>
      <c r="AY293" s="356"/>
      <c r="AZ293" s="356"/>
      <c r="BA293" s="356"/>
      <c r="BB293" s="356"/>
      <c r="BC293" s="356"/>
      <c r="BD293" s="356"/>
      <c r="BE293" s="356"/>
      <c r="BF293" s="356"/>
      <c r="BG293" s="356"/>
      <c r="BH293" s="356"/>
      <c r="BI293" s="356"/>
      <c r="BJ293" s="356"/>
      <c r="BK293" s="356"/>
      <c r="BL293" s="356"/>
      <c r="BM293" s="356"/>
      <c r="BN293" s="356"/>
      <c r="BO293" s="356"/>
      <c r="BP293" s="356"/>
      <c r="BQ293" s="356"/>
      <c r="BR293" s="356"/>
      <c r="BS293" s="356"/>
      <c r="BT293" s="356"/>
      <c r="BU293" s="356"/>
      <c r="BV293" s="356"/>
      <c r="BW293" s="356"/>
      <c r="BX293" s="356"/>
      <c r="BY293" s="356"/>
      <c r="BZ293" s="356"/>
      <c r="CA293" s="356"/>
      <c r="CB293" s="356"/>
      <c r="CC293" s="356"/>
      <c r="CD293" s="356"/>
      <c r="CE293" s="356"/>
      <c r="CF293" s="356"/>
      <c r="CG293" s="356"/>
      <c r="CH293" s="356"/>
      <c r="CI293" s="356"/>
      <c r="CJ293" s="356"/>
      <c r="CK293" s="356"/>
      <c r="CL293" s="356"/>
      <c r="CM293" s="356"/>
      <c r="CN293" s="356"/>
      <c r="CO293" s="356"/>
      <c r="CP293" s="356"/>
      <c r="CQ293" s="356"/>
      <c r="CR293" s="356"/>
      <c r="CS293" s="356"/>
      <c r="CT293" s="356"/>
      <c r="CU293" s="356"/>
      <c r="CV293" s="356"/>
      <c r="CW293" s="356"/>
      <c r="CX293" s="356"/>
      <c r="CY293" s="356"/>
      <c r="CZ293" s="356"/>
      <c r="DA293" s="356"/>
      <c r="DB293" s="356"/>
      <c r="DC293" s="356"/>
      <c r="DD293" s="356"/>
      <c r="DE293" s="356"/>
      <c r="DF293" s="356"/>
      <c r="DG293" s="356"/>
      <c r="DH293" s="356"/>
      <c r="DI293" s="356"/>
      <c r="DJ293" s="356"/>
      <c r="DK293" s="1087"/>
      <c r="DL293" s="356"/>
      <c r="DM293" s="356"/>
      <c r="DN293" s="1087"/>
      <c r="DO293" s="356"/>
      <c r="DP293" s="356"/>
      <c r="DQ293" s="1087"/>
      <c r="DR293" s="356"/>
      <c r="DS293" s="356"/>
      <c r="DT293" s="1087"/>
      <c r="DU293" s="356"/>
      <c r="DV293" s="356"/>
      <c r="DW293" s="1087"/>
      <c r="DX293" s="356"/>
      <c r="DY293" s="356"/>
      <c r="DZ293" s="1087"/>
      <c r="EA293" s="356"/>
      <c r="EB293" s="356"/>
      <c r="EC293" s="1087"/>
      <c r="ED293" s="356"/>
      <c r="EE293" s="356"/>
      <c r="EF293" s="1087"/>
      <c r="EG293" s="356"/>
      <c r="EH293" s="356"/>
      <c r="EI293" s="1087"/>
      <c r="EJ293" s="356"/>
      <c r="EK293" s="356"/>
      <c r="EL293" s="1087"/>
      <c r="EM293" s="356"/>
      <c r="EN293" s="356"/>
      <c r="EO293" s="1087"/>
      <c r="EP293" s="356"/>
      <c r="EQ293" s="356"/>
      <c r="ER293" s="1087"/>
      <c r="ES293" s="356"/>
      <c r="ET293" s="356"/>
      <c r="EU293" s="1087"/>
      <c r="EV293" s="356"/>
      <c r="EW293" s="356"/>
      <c r="EX293" s="1087"/>
      <c r="EY293" s="356"/>
      <c r="EZ293" s="356"/>
      <c r="FA293" s="356"/>
    </row>
    <row r="294" spans="1:157" ht="13.35" customHeight="1" outlineLevel="1">
      <c r="A294" s="23"/>
      <c r="B294" s="409" t="str">
        <f t="shared" si="604"/>
        <v xml:space="preserve">     Economic driver</v>
      </c>
      <c r="C294" s="5"/>
      <c r="D294" s="424"/>
      <c r="E294" s="356"/>
      <c r="F294" s="356"/>
      <c r="G294" s="356"/>
      <c r="H294" s="356"/>
      <c r="I294" s="356"/>
      <c r="J294" s="356"/>
      <c r="K294" s="356"/>
      <c r="L294" s="356"/>
      <c r="M294" s="356"/>
      <c r="N294" s="356"/>
      <c r="O294" s="356"/>
      <c r="P294" s="356"/>
      <c r="Q294" s="356"/>
      <c r="R294" s="356"/>
      <c r="S294" s="356"/>
      <c r="T294" s="356"/>
      <c r="U294" s="356"/>
      <c r="V294" s="356"/>
      <c r="W294" s="356"/>
      <c r="X294" s="356"/>
      <c r="Y294" s="356"/>
      <c r="Z294" s="356"/>
      <c r="AA294" s="356"/>
      <c r="AB294" s="356"/>
      <c r="AC294" s="356"/>
      <c r="AD294" s="356"/>
      <c r="AE294" s="356"/>
      <c r="AF294" s="356"/>
      <c r="AG294" s="356"/>
      <c r="AH294" s="356"/>
      <c r="AI294" s="356"/>
      <c r="AJ294" s="356"/>
      <c r="AK294" s="356"/>
      <c r="AL294" s="356"/>
      <c r="AM294" s="356"/>
      <c r="AN294" s="356"/>
      <c r="AO294" s="356"/>
      <c r="AP294" s="356"/>
      <c r="AQ294" s="356"/>
      <c r="AR294" s="356"/>
      <c r="AS294" s="356"/>
      <c r="AT294" s="356"/>
      <c r="AU294" s="356"/>
      <c r="AV294" s="356"/>
      <c r="AW294" s="356"/>
      <c r="AX294" s="356"/>
      <c r="AY294" s="356"/>
      <c r="AZ294" s="356"/>
      <c r="BA294" s="356"/>
      <c r="BB294" s="356"/>
      <c r="BC294" s="356"/>
      <c r="BD294" s="356"/>
      <c r="BE294" s="356"/>
      <c r="BF294" s="356"/>
      <c r="BG294" s="356"/>
      <c r="BH294" s="356"/>
      <c r="BI294" s="356"/>
      <c r="BJ294" s="356"/>
      <c r="BK294" s="356"/>
      <c r="BL294" s="356"/>
      <c r="BM294" s="356"/>
      <c r="BN294" s="356"/>
      <c r="BO294" s="356"/>
      <c r="BP294" s="356"/>
      <c r="BQ294" s="356"/>
      <c r="BR294" s="356"/>
      <c r="BS294" s="356"/>
      <c r="BT294" s="356"/>
      <c r="BU294" s="356"/>
      <c r="BV294" s="356"/>
      <c r="BW294" s="356"/>
      <c r="BX294" s="356"/>
      <c r="BY294" s="356"/>
      <c r="BZ294" s="356"/>
      <c r="CA294" s="356"/>
      <c r="CB294" s="356"/>
      <c r="CC294" s="356"/>
      <c r="CD294" s="356"/>
      <c r="CE294" s="356"/>
      <c r="CF294" s="356"/>
      <c r="CG294" s="356"/>
      <c r="CH294" s="356"/>
      <c r="CI294" s="356"/>
      <c r="CJ294" s="356"/>
      <c r="CK294" s="356"/>
      <c r="CL294" s="356"/>
      <c r="CM294" s="356"/>
      <c r="CN294" s="356"/>
      <c r="CO294" s="356"/>
      <c r="CP294" s="356"/>
      <c r="CQ294" s="356"/>
      <c r="CR294" s="356"/>
      <c r="CS294" s="356"/>
      <c r="CT294" s="356"/>
      <c r="CU294" s="356"/>
      <c r="CV294" s="356"/>
      <c r="CW294" s="356"/>
      <c r="CX294" s="356"/>
      <c r="CY294" s="356"/>
      <c r="CZ294" s="356"/>
      <c r="DA294" s="356"/>
      <c r="DB294" s="356"/>
      <c r="DC294" s="356"/>
      <c r="DD294" s="356"/>
      <c r="DE294" s="356"/>
      <c r="DF294" s="356"/>
      <c r="DG294" s="356"/>
      <c r="DH294" s="356"/>
      <c r="DI294" s="356"/>
      <c r="DJ294" s="356"/>
      <c r="DK294" s="1087"/>
      <c r="DL294" s="356"/>
      <c r="DM294" s="356"/>
      <c r="DN294" s="1087"/>
      <c r="DO294" s="356"/>
      <c r="DP294" s="356"/>
      <c r="DQ294" s="1087"/>
      <c r="DR294" s="356"/>
      <c r="DS294" s="356"/>
      <c r="DT294" s="1087"/>
      <c r="DU294" s="356"/>
      <c r="DV294" s="356"/>
      <c r="DW294" s="1087"/>
      <c r="DX294" s="356"/>
      <c r="DY294" s="356"/>
      <c r="DZ294" s="1087"/>
      <c r="EA294" s="356"/>
      <c r="EB294" s="356"/>
      <c r="EC294" s="1087"/>
      <c r="ED294" s="356"/>
      <c r="EE294" s="356"/>
      <c r="EF294" s="1087"/>
      <c r="EG294" s="356"/>
      <c r="EH294" s="356"/>
      <c r="EI294" s="1087"/>
      <c r="EJ294" s="356"/>
      <c r="EK294" s="356"/>
      <c r="EL294" s="1087"/>
      <c r="EM294" s="356"/>
      <c r="EN294" s="356"/>
      <c r="EO294" s="1087"/>
      <c r="EP294" s="356"/>
      <c r="EQ294" s="356"/>
      <c r="ER294" s="1087"/>
      <c r="ES294" s="356"/>
      <c r="ET294" s="356"/>
      <c r="EU294" s="1087"/>
      <c r="EV294" s="356"/>
      <c r="EW294" s="356"/>
      <c r="EX294" s="1087"/>
      <c r="EY294" s="356"/>
      <c r="EZ294" s="356"/>
      <c r="FA294" s="356"/>
    </row>
    <row r="295" spans="1:157" ht="13.35" customHeight="1" outlineLevel="1">
      <c r="A295" s="23"/>
      <c r="B295" s="409" t="str">
        <f t="shared" si="604"/>
        <v xml:space="preserve">     Economic driver</v>
      </c>
      <c r="C295" s="5"/>
      <c r="D295" s="23"/>
      <c r="E295" s="356"/>
      <c r="F295" s="356"/>
      <c r="G295" s="356"/>
      <c r="H295" s="356"/>
      <c r="I295" s="356"/>
      <c r="J295" s="356"/>
      <c r="K295" s="356"/>
      <c r="L295" s="356"/>
      <c r="M295" s="356"/>
      <c r="N295" s="356"/>
      <c r="O295" s="356"/>
      <c r="P295" s="356"/>
      <c r="Q295" s="356"/>
      <c r="R295" s="356"/>
      <c r="S295" s="356"/>
      <c r="T295" s="356"/>
      <c r="U295" s="356"/>
      <c r="V295" s="356"/>
      <c r="W295" s="356"/>
      <c r="X295" s="356"/>
      <c r="Y295" s="356"/>
      <c r="Z295" s="356"/>
      <c r="AA295" s="356"/>
      <c r="AB295" s="356"/>
      <c r="AC295" s="356"/>
      <c r="AD295" s="356"/>
      <c r="AE295" s="356"/>
      <c r="AF295" s="356"/>
      <c r="AG295" s="356"/>
      <c r="AH295" s="356"/>
      <c r="AI295" s="356"/>
      <c r="AJ295" s="356"/>
      <c r="AK295" s="356"/>
      <c r="AL295" s="356"/>
      <c r="AM295" s="356"/>
      <c r="AN295" s="356"/>
      <c r="AO295" s="356"/>
      <c r="AP295" s="356"/>
      <c r="AQ295" s="356"/>
      <c r="AR295" s="356"/>
      <c r="AS295" s="356"/>
      <c r="AT295" s="356"/>
      <c r="AU295" s="356"/>
      <c r="AV295" s="356"/>
      <c r="AW295" s="356"/>
      <c r="AX295" s="356"/>
      <c r="AY295" s="356"/>
      <c r="AZ295" s="356"/>
      <c r="BA295" s="356"/>
      <c r="BB295" s="356"/>
      <c r="BC295" s="356"/>
      <c r="BD295" s="356"/>
      <c r="BE295" s="356"/>
      <c r="BF295" s="356"/>
      <c r="BG295" s="356"/>
      <c r="BH295" s="356"/>
      <c r="BI295" s="356"/>
      <c r="BJ295" s="356"/>
      <c r="BK295" s="356"/>
      <c r="BL295" s="356"/>
      <c r="BM295" s="356"/>
      <c r="BN295" s="356"/>
      <c r="BO295" s="356"/>
      <c r="BP295" s="356"/>
      <c r="BQ295" s="356"/>
      <c r="BR295" s="356"/>
      <c r="BS295" s="356"/>
      <c r="BT295" s="356"/>
      <c r="BU295" s="356"/>
      <c r="BV295" s="356"/>
      <c r="BW295" s="356"/>
      <c r="BX295" s="356"/>
      <c r="BY295" s="356"/>
      <c r="BZ295" s="356"/>
      <c r="CA295" s="356"/>
      <c r="CB295" s="356"/>
      <c r="CC295" s="356"/>
      <c r="CD295" s="356"/>
      <c r="CE295" s="356"/>
      <c r="CF295" s="356"/>
      <c r="CG295" s="356"/>
      <c r="CH295" s="356"/>
      <c r="CI295" s="356"/>
      <c r="CJ295" s="356"/>
      <c r="CK295" s="356"/>
      <c r="CL295" s="356"/>
      <c r="CM295" s="356"/>
      <c r="CN295" s="356"/>
      <c r="CO295" s="356"/>
      <c r="CP295" s="356"/>
      <c r="CQ295" s="356"/>
      <c r="CR295" s="356"/>
      <c r="CS295" s="356"/>
      <c r="CT295" s="356"/>
      <c r="CU295" s="356"/>
      <c r="CV295" s="356"/>
      <c r="CW295" s="356"/>
      <c r="CX295" s="356"/>
      <c r="CY295" s="356"/>
      <c r="CZ295" s="356"/>
      <c r="DA295" s="356"/>
      <c r="DB295" s="356"/>
      <c r="DC295" s="356"/>
      <c r="DD295" s="356"/>
      <c r="DE295" s="356"/>
      <c r="DF295" s="356"/>
      <c r="DG295" s="356"/>
      <c r="DH295" s="356"/>
      <c r="DI295" s="356"/>
      <c r="DJ295" s="356"/>
      <c r="DK295" s="1087"/>
      <c r="DL295" s="356"/>
      <c r="DM295" s="356"/>
      <c r="DN295" s="1087"/>
      <c r="DO295" s="356"/>
      <c r="DP295" s="356"/>
      <c r="DQ295" s="1087"/>
      <c r="DR295" s="356"/>
      <c r="DS295" s="356"/>
      <c r="DT295" s="1087"/>
      <c r="DU295" s="356"/>
      <c r="DV295" s="356"/>
      <c r="DW295" s="1087"/>
      <c r="DX295" s="356"/>
      <c r="DY295" s="356"/>
      <c r="DZ295" s="1087"/>
      <c r="EA295" s="356"/>
      <c r="EB295" s="356"/>
      <c r="EC295" s="1087"/>
      <c r="ED295" s="356"/>
      <c r="EE295" s="356"/>
      <c r="EF295" s="1087"/>
      <c r="EG295" s="356"/>
      <c r="EH295" s="356"/>
      <c r="EI295" s="1087"/>
      <c r="EJ295" s="356"/>
      <c r="EK295" s="356"/>
      <c r="EL295" s="1087"/>
      <c r="EM295" s="356"/>
      <c r="EN295" s="356"/>
      <c r="EO295" s="1087"/>
      <c r="EP295" s="356"/>
      <c r="EQ295" s="356"/>
      <c r="ER295" s="1087"/>
      <c r="ES295" s="356"/>
      <c r="ET295" s="356"/>
      <c r="EU295" s="1087"/>
      <c r="EV295" s="356"/>
      <c r="EW295" s="356"/>
      <c r="EX295" s="1087"/>
      <c r="EY295" s="356"/>
      <c r="EZ295" s="356"/>
      <c r="FA295" s="356"/>
    </row>
    <row r="296" spans="1:157" ht="13.35" customHeight="1" outlineLevel="1">
      <c r="A296" s="23"/>
      <c r="B296" s="409" t="str">
        <f t="shared" si="604"/>
        <v xml:space="preserve">     Economic driver</v>
      </c>
      <c r="C296" s="5"/>
      <c r="D296" s="23"/>
      <c r="E296" s="356"/>
      <c r="F296" s="356"/>
      <c r="G296" s="356"/>
      <c r="H296" s="356"/>
      <c r="I296" s="356"/>
      <c r="J296" s="356"/>
      <c r="K296" s="356"/>
      <c r="L296" s="356"/>
      <c r="M296" s="356"/>
      <c r="N296" s="356"/>
      <c r="O296" s="356"/>
      <c r="P296" s="356"/>
      <c r="Q296" s="356"/>
      <c r="R296" s="356"/>
      <c r="S296" s="356"/>
      <c r="T296" s="356"/>
      <c r="U296" s="356"/>
      <c r="V296" s="356"/>
      <c r="W296" s="356"/>
      <c r="X296" s="356"/>
      <c r="Y296" s="356"/>
      <c r="Z296" s="356"/>
      <c r="AA296" s="356"/>
      <c r="AB296" s="356"/>
      <c r="AC296" s="356"/>
      <c r="AD296" s="356"/>
      <c r="AE296" s="356"/>
      <c r="AF296" s="356"/>
      <c r="AG296" s="356"/>
      <c r="AH296" s="356"/>
      <c r="AI296" s="356"/>
      <c r="AJ296" s="356"/>
      <c r="AK296" s="356"/>
      <c r="AL296" s="356"/>
      <c r="AM296" s="356"/>
      <c r="AN296" s="356"/>
      <c r="AO296" s="356"/>
      <c r="AP296" s="356"/>
      <c r="AQ296" s="356"/>
      <c r="AR296" s="356"/>
      <c r="AS296" s="356"/>
      <c r="AT296" s="356"/>
      <c r="AU296" s="356"/>
      <c r="AV296" s="356"/>
      <c r="AW296" s="356"/>
      <c r="AX296" s="356"/>
      <c r="AY296" s="356"/>
      <c r="AZ296" s="356"/>
      <c r="BA296" s="356"/>
      <c r="BB296" s="356"/>
      <c r="BC296" s="356"/>
      <c r="BD296" s="356"/>
      <c r="BE296" s="356"/>
      <c r="BF296" s="356"/>
      <c r="BG296" s="356"/>
      <c r="BH296" s="356"/>
      <c r="BI296" s="356"/>
      <c r="BJ296" s="356"/>
      <c r="BK296" s="356"/>
      <c r="BL296" s="356"/>
      <c r="BM296" s="356"/>
      <c r="BN296" s="356"/>
      <c r="BO296" s="356"/>
      <c r="BP296" s="356"/>
      <c r="BQ296" s="356"/>
      <c r="BR296" s="356"/>
      <c r="BS296" s="356"/>
      <c r="BT296" s="356"/>
      <c r="BU296" s="356"/>
      <c r="BV296" s="356"/>
      <c r="BW296" s="356"/>
      <c r="BX296" s="356"/>
      <c r="BY296" s="356"/>
      <c r="BZ296" s="356"/>
      <c r="CA296" s="356"/>
      <c r="CB296" s="356"/>
      <c r="CC296" s="356"/>
      <c r="CD296" s="356"/>
      <c r="CE296" s="356"/>
      <c r="CF296" s="356"/>
      <c r="CG296" s="356"/>
      <c r="CH296" s="356"/>
      <c r="CI296" s="356"/>
      <c r="CJ296" s="356"/>
      <c r="CK296" s="356"/>
      <c r="CL296" s="356"/>
      <c r="CM296" s="356"/>
      <c r="CN296" s="356"/>
      <c r="CO296" s="356"/>
      <c r="CP296" s="356"/>
      <c r="CQ296" s="356"/>
      <c r="CR296" s="356"/>
      <c r="CS296" s="356"/>
      <c r="CT296" s="356"/>
      <c r="CU296" s="356"/>
      <c r="CV296" s="356"/>
      <c r="CW296" s="356"/>
      <c r="CX296" s="356"/>
      <c r="CY296" s="356"/>
      <c r="CZ296" s="356"/>
      <c r="DA296" s="356"/>
      <c r="DB296" s="356"/>
      <c r="DC296" s="356"/>
      <c r="DD296" s="356"/>
      <c r="DE296" s="356"/>
      <c r="DF296" s="356"/>
      <c r="DG296" s="356"/>
      <c r="DH296" s="356"/>
      <c r="DI296" s="356"/>
      <c r="DJ296" s="356"/>
      <c r="DK296" s="1087"/>
      <c r="DL296" s="356"/>
      <c r="DM296" s="356"/>
      <c r="DN296" s="1087"/>
      <c r="DO296" s="356"/>
      <c r="DP296" s="356"/>
      <c r="DQ296" s="1087"/>
      <c r="DR296" s="356"/>
      <c r="DS296" s="356"/>
      <c r="DT296" s="1087"/>
      <c r="DU296" s="356"/>
      <c r="DV296" s="356"/>
      <c r="DW296" s="1087"/>
      <c r="DX296" s="356"/>
      <c r="DY296" s="356"/>
      <c r="DZ296" s="1087"/>
      <c r="EA296" s="356"/>
      <c r="EB296" s="356"/>
      <c r="EC296" s="1087"/>
      <c r="ED296" s="356"/>
      <c r="EE296" s="356"/>
      <c r="EF296" s="1087"/>
      <c r="EG296" s="356"/>
      <c r="EH296" s="356"/>
      <c r="EI296" s="1087"/>
      <c r="EJ296" s="356"/>
      <c r="EK296" s="356"/>
      <c r="EL296" s="1087"/>
      <c r="EM296" s="356"/>
      <c r="EN296" s="356"/>
      <c r="EO296" s="1087"/>
      <c r="EP296" s="356"/>
      <c r="EQ296" s="356"/>
      <c r="ER296" s="1087"/>
      <c r="ES296" s="356"/>
      <c r="ET296" s="356"/>
      <c r="EU296" s="1087"/>
      <c r="EV296" s="356"/>
      <c r="EW296" s="356"/>
      <c r="EX296" s="1087"/>
      <c r="EY296" s="356"/>
      <c r="EZ296" s="356"/>
      <c r="FA296" s="356"/>
    </row>
    <row r="297" spans="1:157" ht="13.35" customHeight="1" outlineLevel="1">
      <c r="A297" s="23"/>
      <c r="B297" s="409" t="str">
        <f t="shared" si="604"/>
        <v xml:space="preserve">     Economic driver</v>
      </c>
      <c r="C297" s="5"/>
      <c r="D297" s="23"/>
      <c r="E297" s="356"/>
      <c r="F297" s="356"/>
      <c r="G297" s="356"/>
      <c r="H297" s="356"/>
      <c r="I297" s="356"/>
      <c r="J297" s="356"/>
      <c r="K297" s="356"/>
      <c r="L297" s="356"/>
      <c r="M297" s="356"/>
      <c r="N297" s="356"/>
      <c r="O297" s="356"/>
      <c r="P297" s="356"/>
      <c r="Q297" s="356"/>
      <c r="R297" s="356"/>
      <c r="S297" s="356"/>
      <c r="T297" s="356"/>
      <c r="U297" s="356"/>
      <c r="V297" s="356"/>
      <c r="W297" s="356"/>
      <c r="X297" s="356"/>
      <c r="Y297" s="356"/>
      <c r="Z297" s="356"/>
      <c r="AA297" s="356"/>
      <c r="AB297" s="356"/>
      <c r="AC297" s="356"/>
      <c r="AD297" s="356"/>
      <c r="AE297" s="356"/>
      <c r="AF297" s="356"/>
      <c r="AG297" s="356"/>
      <c r="AH297" s="356"/>
      <c r="AI297" s="356"/>
      <c r="AJ297" s="356"/>
      <c r="AK297" s="356"/>
      <c r="AL297" s="356"/>
      <c r="AM297" s="356"/>
      <c r="AN297" s="356"/>
      <c r="AO297" s="356"/>
      <c r="AP297" s="356"/>
      <c r="AQ297" s="356"/>
      <c r="AR297" s="356"/>
      <c r="AS297" s="356"/>
      <c r="AT297" s="356"/>
      <c r="AU297" s="356"/>
      <c r="AV297" s="356"/>
      <c r="AW297" s="356"/>
      <c r="AX297" s="356"/>
      <c r="AY297" s="356"/>
      <c r="AZ297" s="356"/>
      <c r="BA297" s="356"/>
      <c r="BB297" s="356"/>
      <c r="BC297" s="356"/>
      <c r="BD297" s="356"/>
      <c r="BE297" s="356"/>
      <c r="BF297" s="356"/>
      <c r="BG297" s="356"/>
      <c r="BH297" s="356"/>
      <c r="BI297" s="356"/>
      <c r="BJ297" s="356"/>
      <c r="BK297" s="356"/>
      <c r="BL297" s="356"/>
      <c r="BM297" s="356"/>
      <c r="BN297" s="356"/>
      <c r="BO297" s="356"/>
      <c r="BP297" s="356"/>
      <c r="BQ297" s="356"/>
      <c r="BR297" s="356"/>
      <c r="BS297" s="356"/>
      <c r="BT297" s="356"/>
      <c r="BU297" s="356"/>
      <c r="BV297" s="356"/>
      <c r="BW297" s="356"/>
      <c r="BX297" s="356"/>
      <c r="BY297" s="356"/>
      <c r="BZ297" s="356"/>
      <c r="CA297" s="356"/>
      <c r="CB297" s="356"/>
      <c r="CC297" s="356"/>
      <c r="CD297" s="356"/>
      <c r="CE297" s="356"/>
      <c r="CF297" s="356"/>
      <c r="CG297" s="356"/>
      <c r="CH297" s="356"/>
      <c r="CI297" s="356"/>
      <c r="CJ297" s="356"/>
      <c r="CK297" s="356"/>
      <c r="CL297" s="356"/>
      <c r="CM297" s="356"/>
      <c r="CN297" s="356"/>
      <c r="CO297" s="356"/>
      <c r="CP297" s="356"/>
      <c r="CQ297" s="356"/>
      <c r="CR297" s="356"/>
      <c r="CS297" s="356"/>
      <c r="CT297" s="356"/>
      <c r="CU297" s="356"/>
      <c r="CV297" s="356"/>
      <c r="CW297" s="356"/>
      <c r="CX297" s="356"/>
      <c r="CY297" s="356"/>
      <c r="CZ297" s="356"/>
      <c r="DA297" s="356"/>
      <c r="DB297" s="356"/>
      <c r="DC297" s="356"/>
      <c r="DD297" s="356"/>
      <c r="DE297" s="356"/>
      <c r="DF297" s="356"/>
      <c r="DG297" s="356"/>
      <c r="DH297" s="356"/>
      <c r="DI297" s="356"/>
      <c r="DJ297" s="356"/>
      <c r="DK297" s="1087"/>
      <c r="DL297" s="356"/>
      <c r="DM297" s="356"/>
      <c r="DN297" s="1087"/>
      <c r="DO297" s="356"/>
      <c r="DP297" s="356"/>
      <c r="DQ297" s="1087"/>
      <c r="DR297" s="356"/>
      <c r="DS297" s="356"/>
      <c r="DT297" s="1087"/>
      <c r="DU297" s="356"/>
      <c r="DV297" s="356"/>
      <c r="DW297" s="1087"/>
      <c r="DX297" s="356"/>
      <c r="DY297" s="356"/>
      <c r="DZ297" s="1087"/>
      <c r="EA297" s="356"/>
      <c r="EB297" s="356"/>
      <c r="EC297" s="1087"/>
      <c r="ED297" s="356"/>
      <c r="EE297" s="356"/>
      <c r="EF297" s="1087"/>
      <c r="EG297" s="356"/>
      <c r="EH297" s="356"/>
      <c r="EI297" s="1087"/>
      <c r="EJ297" s="356"/>
      <c r="EK297" s="356"/>
      <c r="EL297" s="1087"/>
      <c r="EM297" s="356"/>
      <c r="EN297" s="356"/>
      <c r="EO297" s="1087"/>
      <c r="EP297" s="356"/>
      <c r="EQ297" s="356"/>
      <c r="ER297" s="1087"/>
      <c r="ES297" s="356"/>
      <c r="ET297" s="356"/>
      <c r="EU297" s="1087"/>
      <c r="EV297" s="356"/>
      <c r="EW297" s="356"/>
      <c r="EX297" s="1087"/>
      <c r="EY297" s="356"/>
      <c r="EZ297" s="356"/>
      <c r="FA297" s="356"/>
    </row>
    <row r="298" spans="1:157" ht="13.35" customHeight="1" outlineLevel="1">
      <c r="A298" s="23"/>
      <c r="B298" s="409" t="str">
        <f t="shared" si="604"/>
        <v xml:space="preserve">     Economic driver</v>
      </c>
      <c r="C298" s="5"/>
      <c r="D298" s="23"/>
      <c r="E298" s="356"/>
      <c r="F298" s="356"/>
      <c r="G298" s="356"/>
      <c r="H298" s="356"/>
      <c r="I298" s="356"/>
      <c r="J298" s="356"/>
      <c r="K298" s="356"/>
      <c r="L298" s="356"/>
      <c r="M298" s="356"/>
      <c r="N298" s="356"/>
      <c r="O298" s="356"/>
      <c r="P298" s="356"/>
      <c r="Q298" s="356"/>
      <c r="R298" s="356"/>
      <c r="S298" s="356"/>
      <c r="T298" s="356"/>
      <c r="U298" s="356"/>
      <c r="V298" s="356"/>
      <c r="W298" s="356"/>
      <c r="X298" s="356"/>
      <c r="Y298" s="356"/>
      <c r="Z298" s="356"/>
      <c r="AA298" s="356"/>
      <c r="AB298" s="356"/>
      <c r="AC298" s="356"/>
      <c r="AD298" s="356"/>
      <c r="AE298" s="356"/>
      <c r="AF298" s="356"/>
      <c r="AG298" s="356"/>
      <c r="AH298" s="356"/>
      <c r="AI298" s="356"/>
      <c r="AJ298" s="356"/>
      <c r="AK298" s="356"/>
      <c r="AL298" s="356"/>
      <c r="AM298" s="356"/>
      <c r="AN298" s="356"/>
      <c r="AO298" s="356"/>
      <c r="AP298" s="356"/>
      <c r="AQ298" s="356"/>
      <c r="AR298" s="356"/>
      <c r="AS298" s="356"/>
      <c r="AT298" s="356"/>
      <c r="AU298" s="356"/>
      <c r="AV298" s="356"/>
      <c r="AW298" s="356"/>
      <c r="AX298" s="356"/>
      <c r="AY298" s="356"/>
      <c r="AZ298" s="356"/>
      <c r="BA298" s="356"/>
      <c r="BB298" s="356"/>
      <c r="BC298" s="356"/>
      <c r="BD298" s="356"/>
      <c r="BE298" s="356"/>
      <c r="BF298" s="356"/>
      <c r="BG298" s="356"/>
      <c r="BH298" s="356"/>
      <c r="BI298" s="356"/>
      <c r="BJ298" s="356"/>
      <c r="BK298" s="356"/>
      <c r="BL298" s="356"/>
      <c r="BM298" s="356"/>
      <c r="BN298" s="356"/>
      <c r="BO298" s="356"/>
      <c r="BP298" s="356"/>
      <c r="BQ298" s="356"/>
      <c r="BR298" s="356"/>
      <c r="BS298" s="356"/>
      <c r="BT298" s="356"/>
      <c r="BU298" s="356"/>
      <c r="BV298" s="356"/>
      <c r="BW298" s="356"/>
      <c r="BX298" s="356"/>
      <c r="BY298" s="356"/>
      <c r="BZ298" s="356"/>
      <c r="CA298" s="356"/>
      <c r="CB298" s="356"/>
      <c r="CC298" s="356"/>
      <c r="CD298" s="356"/>
      <c r="CE298" s="356"/>
      <c r="CF298" s="356"/>
      <c r="CG298" s="356"/>
      <c r="CH298" s="356"/>
      <c r="CI298" s="356"/>
      <c r="CJ298" s="356"/>
      <c r="CK298" s="356"/>
      <c r="CL298" s="356"/>
      <c r="CM298" s="356"/>
      <c r="CN298" s="356"/>
      <c r="CO298" s="356"/>
      <c r="CP298" s="356"/>
      <c r="CQ298" s="356"/>
      <c r="CR298" s="356"/>
      <c r="CS298" s="356"/>
      <c r="CT298" s="356"/>
      <c r="CU298" s="356"/>
      <c r="CV298" s="356"/>
      <c r="CW298" s="356"/>
      <c r="CX298" s="356"/>
      <c r="CY298" s="356"/>
      <c r="CZ298" s="356"/>
      <c r="DA298" s="356"/>
      <c r="DB298" s="356"/>
      <c r="DC298" s="356"/>
      <c r="DD298" s="356"/>
      <c r="DE298" s="356"/>
      <c r="DF298" s="356"/>
      <c r="DG298" s="356"/>
      <c r="DH298" s="356"/>
      <c r="DI298" s="356"/>
      <c r="DJ298" s="356"/>
      <c r="DK298" s="1087"/>
      <c r="DL298" s="356"/>
      <c r="DM298" s="356"/>
      <c r="DN298" s="1087"/>
      <c r="DO298" s="356"/>
      <c r="DP298" s="356"/>
      <c r="DQ298" s="1087"/>
      <c r="DR298" s="356"/>
      <c r="DS298" s="356"/>
      <c r="DT298" s="1087"/>
      <c r="DU298" s="356"/>
      <c r="DV298" s="356"/>
      <c r="DW298" s="1087"/>
      <c r="DX298" s="356"/>
      <c r="DY298" s="356"/>
      <c r="DZ298" s="1087"/>
      <c r="EA298" s="356"/>
      <c r="EB298" s="356"/>
      <c r="EC298" s="1087"/>
      <c r="ED298" s="356"/>
      <c r="EE298" s="356"/>
      <c r="EF298" s="1087"/>
      <c r="EG298" s="356"/>
      <c r="EH298" s="356"/>
      <c r="EI298" s="1087"/>
      <c r="EJ298" s="356"/>
      <c r="EK298" s="356"/>
      <c r="EL298" s="1087"/>
      <c r="EM298" s="356"/>
      <c r="EN298" s="356"/>
      <c r="EO298" s="1087"/>
      <c r="EP298" s="356"/>
      <c r="EQ298" s="356"/>
      <c r="ER298" s="1087"/>
      <c r="ES298" s="356"/>
      <c r="ET298" s="356"/>
      <c r="EU298" s="1087"/>
      <c r="EV298" s="356"/>
      <c r="EW298" s="356"/>
      <c r="EX298" s="1087"/>
      <c r="EY298" s="356"/>
      <c r="EZ298" s="356"/>
      <c r="FA298" s="356"/>
    </row>
    <row r="299" spans="1:157" ht="13.35" customHeight="1" outlineLevel="1">
      <c r="A299" s="23"/>
      <c r="B299" s="409" t="str">
        <f t="shared" si="604"/>
        <v xml:space="preserve">     Economic driver</v>
      </c>
      <c r="C299" s="5"/>
      <c r="D299" s="23"/>
      <c r="E299" s="356"/>
      <c r="F299" s="356"/>
      <c r="G299" s="356"/>
      <c r="H299" s="356"/>
      <c r="I299" s="356"/>
      <c r="J299" s="356"/>
      <c r="K299" s="356"/>
      <c r="L299" s="356"/>
      <c r="M299" s="356"/>
      <c r="N299" s="356"/>
      <c r="O299" s="356"/>
      <c r="P299" s="356"/>
      <c r="Q299" s="356"/>
      <c r="R299" s="356"/>
      <c r="S299" s="356"/>
      <c r="T299" s="356"/>
      <c r="U299" s="356"/>
      <c r="V299" s="356"/>
      <c r="W299" s="356"/>
      <c r="X299" s="356"/>
      <c r="Y299" s="356"/>
      <c r="Z299" s="356"/>
      <c r="AA299" s="356"/>
      <c r="AB299" s="356"/>
      <c r="AC299" s="356"/>
      <c r="AD299" s="356"/>
      <c r="AE299" s="356"/>
      <c r="AF299" s="356"/>
      <c r="AG299" s="356"/>
      <c r="AH299" s="356"/>
      <c r="AI299" s="356"/>
      <c r="AJ299" s="356"/>
      <c r="AK299" s="356"/>
      <c r="AL299" s="356"/>
      <c r="AM299" s="356"/>
      <c r="AN299" s="356"/>
      <c r="AO299" s="356"/>
      <c r="AP299" s="356"/>
      <c r="AQ299" s="356"/>
      <c r="AR299" s="356"/>
      <c r="AS299" s="356"/>
      <c r="AT299" s="356"/>
      <c r="AU299" s="356"/>
      <c r="AV299" s="356"/>
      <c r="AW299" s="356"/>
      <c r="AX299" s="356"/>
      <c r="AY299" s="356"/>
      <c r="AZ299" s="356"/>
      <c r="BA299" s="356"/>
      <c r="BB299" s="356"/>
      <c r="BC299" s="356"/>
      <c r="BD299" s="356"/>
      <c r="BE299" s="356"/>
      <c r="BF299" s="356"/>
      <c r="BG299" s="356"/>
      <c r="BH299" s="356"/>
      <c r="BI299" s="356"/>
      <c r="BJ299" s="356"/>
      <c r="BK299" s="356"/>
      <c r="BL299" s="356"/>
      <c r="BM299" s="356"/>
      <c r="BN299" s="356"/>
      <c r="BO299" s="356"/>
      <c r="BP299" s="356"/>
      <c r="BQ299" s="356"/>
      <c r="BR299" s="356"/>
      <c r="BS299" s="356"/>
      <c r="BT299" s="356"/>
      <c r="BU299" s="356"/>
      <c r="BV299" s="356"/>
      <c r="BW299" s="356"/>
      <c r="BX299" s="356"/>
      <c r="BY299" s="356"/>
      <c r="BZ299" s="356"/>
      <c r="CA299" s="356"/>
      <c r="CB299" s="356"/>
      <c r="CC299" s="356"/>
      <c r="CD299" s="356"/>
      <c r="CE299" s="356"/>
      <c r="CF299" s="356"/>
      <c r="CG299" s="356"/>
      <c r="CH299" s="356"/>
      <c r="CI299" s="356"/>
      <c r="CJ299" s="356"/>
      <c r="CK299" s="356"/>
      <c r="CL299" s="356"/>
      <c r="CM299" s="356"/>
      <c r="CN299" s="356"/>
      <c r="CO299" s="356"/>
      <c r="CP299" s="356"/>
      <c r="CQ299" s="356"/>
      <c r="CR299" s="356"/>
      <c r="CS299" s="356"/>
      <c r="CT299" s="356"/>
      <c r="CU299" s="356"/>
      <c r="CV299" s="356"/>
      <c r="CW299" s="356"/>
      <c r="CX299" s="356"/>
      <c r="CY299" s="356"/>
      <c r="CZ299" s="356"/>
      <c r="DA299" s="356"/>
      <c r="DB299" s="356"/>
      <c r="DC299" s="356"/>
      <c r="DD299" s="356"/>
      <c r="DE299" s="356"/>
      <c r="DF299" s="356"/>
      <c r="DG299" s="356"/>
      <c r="DH299" s="356"/>
      <c r="DI299" s="356"/>
      <c r="DJ299" s="356"/>
      <c r="DK299" s="1087"/>
      <c r="DL299" s="356"/>
      <c r="DM299" s="356"/>
      <c r="DN299" s="1087"/>
      <c r="DO299" s="356"/>
      <c r="DP299" s="356"/>
      <c r="DQ299" s="1087"/>
      <c r="DR299" s="356"/>
      <c r="DS299" s="356"/>
      <c r="DT299" s="1087"/>
      <c r="DU299" s="356"/>
      <c r="DV299" s="356"/>
      <c r="DW299" s="1087"/>
      <c r="DX299" s="356"/>
      <c r="DY299" s="356"/>
      <c r="DZ299" s="1087"/>
      <c r="EA299" s="356"/>
      <c r="EB299" s="356"/>
      <c r="EC299" s="1087"/>
      <c r="ED299" s="356"/>
      <c r="EE299" s="356"/>
      <c r="EF299" s="1087"/>
      <c r="EG299" s="356"/>
      <c r="EH299" s="356"/>
      <c r="EI299" s="1087"/>
      <c r="EJ299" s="356"/>
      <c r="EK299" s="356"/>
      <c r="EL299" s="1087"/>
      <c r="EM299" s="356"/>
      <c r="EN299" s="356"/>
      <c r="EO299" s="1087"/>
      <c r="EP299" s="356"/>
      <c r="EQ299" s="356"/>
      <c r="ER299" s="1087"/>
      <c r="ES299" s="356"/>
      <c r="ET299" s="356"/>
      <c r="EU299" s="1087"/>
      <c r="EV299" s="356"/>
      <c r="EW299" s="356"/>
      <c r="EX299" s="1087"/>
      <c r="EY299" s="356"/>
      <c r="EZ299" s="356"/>
      <c r="FA299" s="356"/>
    </row>
    <row r="300" spans="1:157" ht="13.35" customHeight="1" outlineLevel="1">
      <c r="A300" s="23"/>
      <c r="B300" s="409" t="str">
        <f t="shared" si="604"/>
        <v xml:space="preserve">     Economic driver</v>
      </c>
      <c r="C300" s="5"/>
      <c r="D300" s="23"/>
      <c r="E300" s="356"/>
      <c r="F300" s="356"/>
      <c r="G300" s="356"/>
      <c r="H300" s="356"/>
      <c r="I300" s="356"/>
      <c r="J300" s="356"/>
      <c r="K300" s="356"/>
      <c r="L300" s="356"/>
      <c r="M300" s="356"/>
      <c r="N300" s="356"/>
      <c r="O300" s="356"/>
      <c r="P300" s="356"/>
      <c r="Q300" s="356"/>
      <c r="R300" s="356"/>
      <c r="S300" s="356"/>
      <c r="T300" s="356"/>
      <c r="U300" s="356"/>
      <c r="V300" s="356"/>
      <c r="W300" s="356"/>
      <c r="X300" s="356"/>
      <c r="Y300" s="356"/>
      <c r="Z300" s="356"/>
      <c r="AA300" s="356"/>
      <c r="AB300" s="356"/>
      <c r="AC300" s="356"/>
      <c r="AD300" s="356"/>
      <c r="AE300" s="356"/>
      <c r="AF300" s="356"/>
      <c r="AG300" s="356"/>
      <c r="AH300" s="356"/>
      <c r="AI300" s="356"/>
      <c r="AJ300" s="356"/>
      <c r="AK300" s="356"/>
      <c r="AL300" s="356"/>
      <c r="AM300" s="356"/>
      <c r="AN300" s="356"/>
      <c r="AO300" s="356"/>
      <c r="AP300" s="356"/>
      <c r="AQ300" s="356"/>
      <c r="AR300" s="356"/>
      <c r="AS300" s="356"/>
      <c r="AT300" s="356"/>
      <c r="AU300" s="356"/>
      <c r="AV300" s="356"/>
      <c r="AW300" s="356"/>
      <c r="AX300" s="356"/>
      <c r="AY300" s="356"/>
      <c r="AZ300" s="356"/>
      <c r="BA300" s="356"/>
      <c r="BB300" s="356"/>
      <c r="BC300" s="356"/>
      <c r="BD300" s="356"/>
      <c r="BE300" s="356"/>
      <c r="BF300" s="356"/>
      <c r="BG300" s="356"/>
      <c r="BH300" s="356"/>
      <c r="BI300" s="356"/>
      <c r="BJ300" s="356"/>
      <c r="BK300" s="356"/>
      <c r="BL300" s="356"/>
      <c r="BM300" s="356"/>
      <c r="BN300" s="356"/>
      <c r="BO300" s="356"/>
      <c r="BP300" s="356"/>
      <c r="BQ300" s="356"/>
      <c r="BR300" s="356"/>
      <c r="BS300" s="356"/>
      <c r="BT300" s="356"/>
      <c r="BU300" s="356"/>
      <c r="BV300" s="356"/>
      <c r="BW300" s="356"/>
      <c r="BX300" s="356"/>
      <c r="BY300" s="356"/>
      <c r="BZ300" s="356"/>
      <c r="CA300" s="356"/>
      <c r="CB300" s="356"/>
      <c r="CC300" s="356"/>
      <c r="CD300" s="356"/>
      <c r="CE300" s="356"/>
      <c r="CF300" s="356"/>
      <c r="CG300" s="356"/>
      <c r="CH300" s="356"/>
      <c r="CI300" s="356"/>
      <c r="CJ300" s="356"/>
      <c r="CK300" s="356"/>
      <c r="CL300" s="356"/>
      <c r="CM300" s="356"/>
      <c r="CN300" s="356"/>
      <c r="CO300" s="356"/>
      <c r="CP300" s="356"/>
      <c r="CQ300" s="356"/>
      <c r="CR300" s="356"/>
      <c r="CS300" s="356"/>
      <c r="CT300" s="356"/>
      <c r="CU300" s="356"/>
      <c r="CV300" s="356"/>
      <c r="CW300" s="356"/>
      <c r="CX300" s="356"/>
      <c r="CY300" s="356"/>
      <c r="CZ300" s="356"/>
      <c r="DA300" s="356"/>
      <c r="DB300" s="356"/>
      <c r="DC300" s="356"/>
      <c r="DD300" s="356"/>
      <c r="DE300" s="356"/>
      <c r="DF300" s="356"/>
      <c r="DG300" s="356"/>
      <c r="DH300" s="356"/>
      <c r="DI300" s="356"/>
      <c r="DJ300" s="356"/>
      <c r="DK300" s="1087"/>
      <c r="DL300" s="356"/>
      <c r="DM300" s="356"/>
      <c r="DN300" s="1087"/>
      <c r="DO300" s="356"/>
      <c r="DP300" s="356"/>
      <c r="DQ300" s="1087"/>
      <c r="DR300" s="356"/>
      <c r="DS300" s="356"/>
      <c r="DT300" s="1087"/>
      <c r="DU300" s="356"/>
      <c r="DV300" s="356"/>
      <c r="DW300" s="1087"/>
      <c r="DX300" s="356"/>
      <c r="DY300" s="356"/>
      <c r="DZ300" s="1087"/>
      <c r="EA300" s="356"/>
      <c r="EB300" s="356"/>
      <c r="EC300" s="1087"/>
      <c r="ED300" s="356"/>
      <c r="EE300" s="356"/>
      <c r="EF300" s="1087"/>
      <c r="EG300" s="356"/>
      <c r="EH300" s="356"/>
      <c r="EI300" s="1087"/>
      <c r="EJ300" s="356"/>
      <c r="EK300" s="356"/>
      <c r="EL300" s="1087"/>
      <c r="EM300" s="356"/>
      <c r="EN300" s="356"/>
      <c r="EO300" s="1087"/>
      <c r="EP300" s="356"/>
      <c r="EQ300" s="356"/>
      <c r="ER300" s="1087"/>
      <c r="ES300" s="356"/>
      <c r="ET300" s="356"/>
      <c r="EU300" s="1087"/>
      <c r="EV300" s="356"/>
      <c r="EW300" s="356"/>
      <c r="EX300" s="1087"/>
      <c r="EY300" s="356"/>
      <c r="EZ300" s="356"/>
      <c r="FA300" s="356"/>
    </row>
    <row r="301" spans="1:157" ht="13.35" customHeight="1" outlineLevel="1">
      <c r="A301" s="23"/>
      <c r="B301" s="409" t="str">
        <f t="shared" si="604"/>
        <v xml:space="preserve">     Economic driver</v>
      </c>
      <c r="C301" s="5"/>
      <c r="D301" s="23"/>
      <c r="E301" s="356"/>
      <c r="F301" s="356"/>
      <c r="G301" s="356"/>
      <c r="H301" s="356"/>
      <c r="I301" s="356"/>
      <c r="J301" s="356"/>
      <c r="K301" s="356"/>
      <c r="L301" s="356"/>
      <c r="M301" s="356"/>
      <c r="N301" s="356"/>
      <c r="O301" s="356"/>
      <c r="P301" s="356"/>
      <c r="Q301" s="356"/>
      <c r="R301" s="356"/>
      <c r="S301" s="356"/>
      <c r="T301" s="356"/>
      <c r="U301" s="356"/>
      <c r="V301" s="356"/>
      <c r="W301" s="356"/>
      <c r="X301" s="356"/>
      <c r="Y301" s="356"/>
      <c r="Z301" s="356"/>
      <c r="AA301" s="356"/>
      <c r="AB301" s="356"/>
      <c r="AC301" s="356"/>
      <c r="AD301" s="356"/>
      <c r="AE301" s="356"/>
      <c r="AF301" s="356"/>
      <c r="AG301" s="356"/>
      <c r="AH301" s="356"/>
      <c r="AI301" s="356"/>
      <c r="AJ301" s="356"/>
      <c r="AK301" s="356"/>
      <c r="AL301" s="356"/>
      <c r="AM301" s="356"/>
      <c r="AN301" s="356"/>
      <c r="AO301" s="356"/>
      <c r="AP301" s="356"/>
      <c r="AQ301" s="356"/>
      <c r="AR301" s="356"/>
      <c r="AS301" s="356"/>
      <c r="AT301" s="356"/>
      <c r="AU301" s="356"/>
      <c r="AV301" s="356"/>
      <c r="AW301" s="356"/>
      <c r="AX301" s="356"/>
      <c r="AY301" s="356"/>
      <c r="AZ301" s="356"/>
      <c r="BA301" s="356"/>
      <c r="BB301" s="356"/>
      <c r="BC301" s="356"/>
      <c r="BD301" s="356"/>
      <c r="BE301" s="356"/>
      <c r="BF301" s="356"/>
      <c r="BG301" s="356"/>
      <c r="BH301" s="356"/>
      <c r="BI301" s="356"/>
      <c r="BJ301" s="356"/>
      <c r="BK301" s="356"/>
      <c r="BL301" s="356"/>
      <c r="BM301" s="356"/>
      <c r="BN301" s="356"/>
      <c r="BO301" s="356"/>
      <c r="BP301" s="356"/>
      <c r="BQ301" s="356"/>
      <c r="BR301" s="356"/>
      <c r="BS301" s="356"/>
      <c r="BT301" s="356"/>
      <c r="BU301" s="356"/>
      <c r="BV301" s="356"/>
      <c r="BW301" s="356"/>
      <c r="BX301" s="356"/>
      <c r="BY301" s="356"/>
      <c r="BZ301" s="356"/>
      <c r="CA301" s="356"/>
      <c r="CB301" s="356"/>
      <c r="CC301" s="356"/>
      <c r="CD301" s="356"/>
      <c r="CE301" s="356"/>
      <c r="CF301" s="356"/>
      <c r="CG301" s="356"/>
      <c r="CH301" s="356"/>
      <c r="CI301" s="356"/>
      <c r="CJ301" s="356"/>
      <c r="CK301" s="356"/>
      <c r="CL301" s="356"/>
      <c r="CM301" s="356"/>
      <c r="CN301" s="356"/>
      <c r="CO301" s="356"/>
      <c r="CP301" s="356"/>
      <c r="CQ301" s="356"/>
      <c r="CR301" s="356"/>
      <c r="CS301" s="356"/>
      <c r="CT301" s="356"/>
      <c r="CU301" s="356"/>
      <c r="CV301" s="356"/>
      <c r="CW301" s="356"/>
      <c r="CX301" s="356"/>
      <c r="CY301" s="356"/>
      <c r="CZ301" s="356"/>
      <c r="DA301" s="356"/>
      <c r="DB301" s="356"/>
      <c r="DC301" s="356"/>
      <c r="DD301" s="356"/>
      <c r="DE301" s="356"/>
      <c r="DF301" s="356"/>
      <c r="DG301" s="356"/>
      <c r="DH301" s="356"/>
      <c r="DI301" s="356"/>
      <c r="DJ301" s="356"/>
      <c r="DK301" s="1087"/>
      <c r="DL301" s="356"/>
      <c r="DM301" s="356"/>
      <c r="DN301" s="1087"/>
      <c r="DO301" s="356"/>
      <c r="DP301" s="356"/>
      <c r="DQ301" s="1087"/>
      <c r="DR301" s="356"/>
      <c r="DS301" s="356"/>
      <c r="DT301" s="1087"/>
      <c r="DU301" s="356"/>
      <c r="DV301" s="356"/>
      <c r="DW301" s="1087"/>
      <c r="DX301" s="356"/>
      <c r="DY301" s="356"/>
      <c r="DZ301" s="1087"/>
      <c r="EA301" s="356"/>
      <c r="EB301" s="356"/>
      <c r="EC301" s="1087"/>
      <c r="ED301" s="356"/>
      <c r="EE301" s="356"/>
      <c r="EF301" s="1087"/>
      <c r="EG301" s="356"/>
      <c r="EH301" s="356"/>
      <c r="EI301" s="1087"/>
      <c r="EJ301" s="356"/>
      <c r="EK301" s="356"/>
      <c r="EL301" s="1087"/>
      <c r="EM301" s="356"/>
      <c r="EN301" s="356"/>
      <c r="EO301" s="1087"/>
      <c r="EP301" s="356"/>
      <c r="EQ301" s="356"/>
      <c r="ER301" s="1087"/>
      <c r="ES301" s="356"/>
      <c r="ET301" s="356"/>
      <c r="EU301" s="1087"/>
      <c r="EV301" s="356"/>
      <c r="EW301" s="356"/>
      <c r="EX301" s="1087"/>
      <c r="EY301" s="356"/>
      <c r="EZ301" s="356"/>
      <c r="FA301" s="356"/>
    </row>
    <row r="302" spans="1:157" ht="13.35" customHeight="1" outlineLevel="1">
      <c r="A302" s="23"/>
      <c r="B302" s="409" t="str">
        <f t="shared" si="604"/>
        <v xml:space="preserve">     Economic driver</v>
      </c>
      <c r="C302" s="5"/>
      <c r="D302" s="23"/>
      <c r="E302" s="356"/>
      <c r="F302" s="356"/>
      <c r="G302" s="356"/>
      <c r="H302" s="356"/>
      <c r="I302" s="356"/>
      <c r="J302" s="356"/>
      <c r="K302" s="356"/>
      <c r="L302" s="356"/>
      <c r="M302" s="356"/>
      <c r="N302" s="356"/>
      <c r="O302" s="356"/>
      <c r="P302" s="356"/>
      <c r="Q302" s="356"/>
      <c r="R302" s="356"/>
      <c r="S302" s="356"/>
      <c r="T302" s="356"/>
      <c r="U302" s="356"/>
      <c r="V302" s="356"/>
      <c r="W302" s="356"/>
      <c r="X302" s="356"/>
      <c r="Y302" s="356"/>
      <c r="Z302" s="356"/>
      <c r="AA302" s="356"/>
      <c r="AB302" s="356"/>
      <c r="AC302" s="356"/>
      <c r="AD302" s="356"/>
      <c r="AE302" s="356"/>
      <c r="AF302" s="356"/>
      <c r="AG302" s="356"/>
      <c r="AH302" s="356"/>
      <c r="AI302" s="356"/>
      <c r="AJ302" s="356"/>
      <c r="AK302" s="356"/>
      <c r="AL302" s="356"/>
      <c r="AM302" s="356"/>
      <c r="AN302" s="356"/>
      <c r="AO302" s="356"/>
      <c r="AP302" s="356"/>
      <c r="AQ302" s="356"/>
      <c r="AR302" s="356"/>
      <c r="AS302" s="356"/>
      <c r="AT302" s="356"/>
      <c r="AU302" s="356"/>
      <c r="AV302" s="356"/>
      <c r="AW302" s="356"/>
      <c r="AX302" s="356"/>
      <c r="AY302" s="356"/>
      <c r="AZ302" s="356"/>
      <c r="BA302" s="356"/>
      <c r="BB302" s="356"/>
      <c r="BC302" s="356"/>
      <c r="BD302" s="356"/>
      <c r="BE302" s="356"/>
      <c r="BF302" s="356"/>
      <c r="BG302" s="356"/>
      <c r="BH302" s="356"/>
      <c r="BI302" s="356"/>
      <c r="BJ302" s="356"/>
      <c r="BK302" s="356"/>
      <c r="BL302" s="356"/>
      <c r="BM302" s="356"/>
      <c r="BN302" s="356"/>
      <c r="BO302" s="356"/>
      <c r="BP302" s="356"/>
      <c r="BQ302" s="356"/>
      <c r="BR302" s="356"/>
      <c r="BS302" s="356"/>
      <c r="BT302" s="356"/>
      <c r="BU302" s="356"/>
      <c r="BV302" s="356"/>
      <c r="BW302" s="356"/>
      <c r="BX302" s="356"/>
      <c r="BY302" s="356"/>
      <c r="BZ302" s="356"/>
      <c r="CA302" s="356"/>
      <c r="CB302" s="356"/>
      <c r="CC302" s="356"/>
      <c r="CD302" s="356"/>
      <c r="CE302" s="356"/>
      <c r="CF302" s="356"/>
      <c r="CG302" s="356"/>
      <c r="CH302" s="356"/>
      <c r="CI302" s="356"/>
      <c r="CJ302" s="356"/>
      <c r="CK302" s="356"/>
      <c r="CL302" s="356"/>
      <c r="CM302" s="356"/>
      <c r="CN302" s="356"/>
      <c r="CO302" s="356"/>
      <c r="CP302" s="356"/>
      <c r="CQ302" s="356"/>
      <c r="CR302" s="356"/>
      <c r="CS302" s="356"/>
      <c r="CT302" s="356"/>
      <c r="CU302" s="356"/>
      <c r="CV302" s="356"/>
      <c r="CW302" s="356"/>
      <c r="CX302" s="356"/>
      <c r="CY302" s="356"/>
      <c r="CZ302" s="356"/>
      <c r="DA302" s="356"/>
      <c r="DB302" s="356"/>
      <c r="DC302" s="356"/>
      <c r="DD302" s="356"/>
      <c r="DE302" s="356"/>
      <c r="DF302" s="356"/>
      <c r="DG302" s="356"/>
      <c r="DH302" s="356"/>
      <c r="DI302" s="356"/>
      <c r="DJ302" s="356"/>
      <c r="DK302" s="1087"/>
      <c r="DL302" s="356"/>
      <c r="DM302" s="356"/>
      <c r="DN302" s="1087"/>
      <c r="DO302" s="356"/>
      <c r="DP302" s="356"/>
      <c r="DQ302" s="1087"/>
      <c r="DR302" s="356"/>
      <c r="DS302" s="356"/>
      <c r="DT302" s="1087"/>
      <c r="DU302" s="356"/>
      <c r="DV302" s="356"/>
      <c r="DW302" s="1087"/>
      <c r="DX302" s="356"/>
      <c r="DY302" s="356"/>
      <c r="DZ302" s="1087"/>
      <c r="EA302" s="356"/>
      <c r="EB302" s="356"/>
      <c r="EC302" s="1087"/>
      <c r="ED302" s="356"/>
      <c r="EE302" s="356"/>
      <c r="EF302" s="1087"/>
      <c r="EG302" s="356"/>
      <c r="EH302" s="356"/>
      <c r="EI302" s="1087"/>
      <c r="EJ302" s="356"/>
      <c r="EK302" s="356"/>
      <c r="EL302" s="1087"/>
      <c r="EM302" s="356"/>
      <c r="EN302" s="356"/>
      <c r="EO302" s="1087"/>
      <c r="EP302" s="356"/>
      <c r="EQ302" s="356"/>
      <c r="ER302" s="1087"/>
      <c r="ES302" s="356"/>
      <c r="ET302" s="356"/>
      <c r="EU302" s="1087"/>
      <c r="EV302" s="356"/>
      <c r="EW302" s="356"/>
      <c r="EX302" s="1087"/>
      <c r="EY302" s="356"/>
      <c r="EZ302" s="356"/>
      <c r="FA302" s="356"/>
    </row>
    <row r="303" spans="1:157" ht="13.35" customHeight="1" outlineLevel="1">
      <c r="A303" s="23"/>
      <c r="B303" s="409" t="str">
        <f t="shared" si="604"/>
        <v xml:space="preserve">     Economic driver</v>
      </c>
      <c r="C303" s="5"/>
      <c r="D303" s="23"/>
      <c r="E303" s="356"/>
      <c r="F303" s="356"/>
      <c r="G303" s="356"/>
      <c r="H303" s="356"/>
      <c r="I303" s="356"/>
      <c r="J303" s="356"/>
      <c r="K303" s="356"/>
      <c r="L303" s="356"/>
      <c r="M303" s="356"/>
      <c r="N303" s="356"/>
      <c r="O303" s="356"/>
      <c r="P303" s="356"/>
      <c r="Q303" s="356"/>
      <c r="R303" s="356"/>
      <c r="S303" s="356"/>
      <c r="T303" s="356"/>
      <c r="U303" s="356"/>
      <c r="V303" s="356"/>
      <c r="W303" s="356"/>
      <c r="X303" s="356"/>
      <c r="Y303" s="356"/>
      <c r="Z303" s="356"/>
      <c r="AA303" s="356"/>
      <c r="AB303" s="356"/>
      <c r="AC303" s="356"/>
      <c r="AD303" s="356"/>
      <c r="AE303" s="356"/>
      <c r="AF303" s="356"/>
      <c r="AG303" s="356"/>
      <c r="AH303" s="356"/>
      <c r="AI303" s="356"/>
      <c r="AJ303" s="356"/>
      <c r="AK303" s="356"/>
      <c r="AL303" s="356"/>
      <c r="AM303" s="356"/>
      <c r="AN303" s="356"/>
      <c r="AO303" s="356"/>
      <c r="AP303" s="356"/>
      <c r="AQ303" s="356"/>
      <c r="AR303" s="356"/>
      <c r="AS303" s="356"/>
      <c r="AT303" s="356"/>
      <c r="AU303" s="356"/>
      <c r="AV303" s="356"/>
      <c r="AW303" s="356"/>
      <c r="AX303" s="356"/>
      <c r="AY303" s="356"/>
      <c r="AZ303" s="356"/>
      <c r="BA303" s="356"/>
      <c r="BB303" s="356"/>
      <c r="BC303" s="356"/>
      <c r="BD303" s="356"/>
      <c r="BE303" s="356"/>
      <c r="BF303" s="356"/>
      <c r="BG303" s="356"/>
      <c r="BH303" s="356"/>
      <c r="BI303" s="356"/>
      <c r="BJ303" s="356"/>
      <c r="BK303" s="356"/>
      <c r="BL303" s="356"/>
      <c r="BM303" s="356"/>
      <c r="BN303" s="356"/>
      <c r="BO303" s="356"/>
      <c r="BP303" s="356"/>
      <c r="BQ303" s="356"/>
      <c r="BR303" s="356"/>
      <c r="BS303" s="356"/>
      <c r="BT303" s="356"/>
      <c r="BU303" s="356"/>
      <c r="BV303" s="356"/>
      <c r="BW303" s="356"/>
      <c r="BX303" s="356"/>
      <c r="BY303" s="356"/>
      <c r="BZ303" s="356"/>
      <c r="CA303" s="356"/>
      <c r="CB303" s="356"/>
      <c r="CC303" s="356"/>
      <c r="CD303" s="356"/>
      <c r="CE303" s="356"/>
      <c r="CF303" s="356"/>
      <c r="CG303" s="356"/>
      <c r="CH303" s="356"/>
      <c r="CI303" s="356"/>
      <c r="CJ303" s="356"/>
      <c r="CK303" s="356"/>
      <c r="CL303" s="356"/>
      <c r="CM303" s="356"/>
      <c r="CN303" s="356"/>
      <c r="CO303" s="356"/>
      <c r="CP303" s="356"/>
      <c r="CQ303" s="356"/>
      <c r="CR303" s="356"/>
      <c r="CS303" s="356"/>
      <c r="CT303" s="356"/>
      <c r="CU303" s="356"/>
      <c r="CV303" s="356"/>
      <c r="CW303" s="356"/>
      <c r="CX303" s="356"/>
      <c r="CY303" s="356"/>
      <c r="CZ303" s="356"/>
      <c r="DA303" s="356"/>
      <c r="DB303" s="356"/>
      <c r="DC303" s="356"/>
      <c r="DD303" s="356"/>
      <c r="DE303" s="356"/>
      <c r="DF303" s="356"/>
      <c r="DG303" s="356"/>
      <c r="DH303" s="356"/>
      <c r="DI303" s="356"/>
      <c r="DJ303" s="356"/>
      <c r="DK303" s="1087"/>
      <c r="DL303" s="356"/>
      <c r="DM303" s="356"/>
      <c r="DN303" s="1087"/>
      <c r="DO303" s="356"/>
      <c r="DP303" s="356"/>
      <c r="DQ303" s="1087"/>
      <c r="DR303" s="356"/>
      <c r="DS303" s="356"/>
      <c r="DT303" s="1087"/>
      <c r="DU303" s="356"/>
      <c r="DV303" s="356"/>
      <c r="DW303" s="1087"/>
      <c r="DX303" s="356"/>
      <c r="DY303" s="356"/>
      <c r="DZ303" s="1087"/>
      <c r="EA303" s="356"/>
      <c r="EB303" s="356"/>
      <c r="EC303" s="1087"/>
      <c r="ED303" s="356"/>
      <c r="EE303" s="356"/>
      <c r="EF303" s="1087"/>
      <c r="EG303" s="356"/>
      <c r="EH303" s="356"/>
      <c r="EI303" s="1087"/>
      <c r="EJ303" s="356"/>
      <c r="EK303" s="356"/>
      <c r="EL303" s="1087"/>
      <c r="EM303" s="356"/>
      <c r="EN303" s="356"/>
      <c r="EO303" s="1087"/>
      <c r="EP303" s="356"/>
      <c r="EQ303" s="356"/>
      <c r="ER303" s="1087"/>
      <c r="ES303" s="356"/>
      <c r="ET303" s="356"/>
      <c r="EU303" s="1087"/>
      <c r="EV303" s="356"/>
      <c r="EW303" s="356"/>
      <c r="EX303" s="1087"/>
      <c r="EY303" s="356"/>
      <c r="EZ303" s="356"/>
      <c r="FA303" s="356"/>
    </row>
    <row r="304" spans="1:157" ht="13.35" customHeight="1" outlineLevel="1">
      <c r="A304" s="23"/>
      <c r="B304" s="409" t="str">
        <f t="shared" si="604"/>
        <v xml:space="preserve">     Economic driver</v>
      </c>
      <c r="C304" s="5"/>
      <c r="D304" s="23"/>
      <c r="E304" s="356"/>
      <c r="F304" s="356"/>
      <c r="G304" s="356"/>
      <c r="H304" s="356"/>
      <c r="I304" s="356"/>
      <c r="J304" s="356"/>
      <c r="K304" s="356"/>
      <c r="L304" s="356"/>
      <c r="M304" s="356"/>
      <c r="N304" s="356"/>
      <c r="O304" s="356"/>
      <c r="P304" s="356"/>
      <c r="Q304" s="356"/>
      <c r="R304" s="356"/>
      <c r="S304" s="356"/>
      <c r="T304" s="356"/>
      <c r="U304" s="356"/>
      <c r="V304" s="356"/>
      <c r="W304" s="356"/>
      <c r="X304" s="356"/>
      <c r="Y304" s="356"/>
      <c r="Z304" s="356"/>
      <c r="AA304" s="356"/>
      <c r="AB304" s="356"/>
      <c r="AC304" s="356"/>
      <c r="AD304" s="356"/>
      <c r="AE304" s="356"/>
      <c r="AF304" s="356"/>
      <c r="AG304" s="356"/>
      <c r="AH304" s="356"/>
      <c r="AI304" s="356"/>
      <c r="AJ304" s="356"/>
      <c r="AK304" s="356"/>
      <c r="AL304" s="356"/>
      <c r="AM304" s="356"/>
      <c r="AN304" s="356"/>
      <c r="AO304" s="356"/>
      <c r="AP304" s="356"/>
      <c r="AQ304" s="356"/>
      <c r="AR304" s="356"/>
      <c r="AS304" s="356"/>
      <c r="AT304" s="356"/>
      <c r="AU304" s="356"/>
      <c r="AV304" s="356"/>
      <c r="AW304" s="356"/>
      <c r="AX304" s="356"/>
      <c r="AY304" s="356"/>
      <c r="AZ304" s="356"/>
      <c r="BA304" s="356"/>
      <c r="BB304" s="356"/>
      <c r="BC304" s="356"/>
      <c r="BD304" s="356"/>
      <c r="BE304" s="356"/>
      <c r="BF304" s="356"/>
      <c r="BG304" s="356"/>
      <c r="BH304" s="356"/>
      <c r="BI304" s="356"/>
      <c r="BJ304" s="356"/>
      <c r="BK304" s="356"/>
      <c r="BL304" s="356"/>
      <c r="BM304" s="356"/>
      <c r="BN304" s="356"/>
      <c r="BO304" s="356"/>
      <c r="BP304" s="356"/>
      <c r="BQ304" s="356"/>
      <c r="BR304" s="356"/>
      <c r="BS304" s="356"/>
      <c r="BT304" s="356"/>
      <c r="BU304" s="356"/>
      <c r="BV304" s="356"/>
      <c r="BW304" s="356"/>
      <c r="BX304" s="356"/>
      <c r="BY304" s="356"/>
      <c r="BZ304" s="356"/>
      <c r="CA304" s="356"/>
      <c r="CB304" s="356"/>
      <c r="CC304" s="356"/>
      <c r="CD304" s="356"/>
      <c r="CE304" s="356"/>
      <c r="CF304" s="356"/>
      <c r="CG304" s="356"/>
      <c r="CH304" s="356"/>
      <c r="CI304" s="356"/>
      <c r="CJ304" s="356"/>
      <c r="CK304" s="356"/>
      <c r="CL304" s="356"/>
      <c r="CM304" s="356"/>
      <c r="CN304" s="356"/>
      <c r="CO304" s="356"/>
      <c r="CP304" s="356"/>
      <c r="CQ304" s="356"/>
      <c r="CR304" s="356"/>
      <c r="CS304" s="356"/>
      <c r="CT304" s="356"/>
      <c r="CU304" s="356"/>
      <c r="CV304" s="356"/>
      <c r="CW304" s="356"/>
      <c r="CX304" s="356"/>
      <c r="CY304" s="356"/>
      <c r="CZ304" s="356"/>
      <c r="DA304" s="356"/>
      <c r="DB304" s="356"/>
      <c r="DC304" s="356"/>
      <c r="DD304" s="356"/>
      <c r="DE304" s="356"/>
      <c r="DF304" s="356"/>
      <c r="DG304" s="356"/>
      <c r="DH304" s="356"/>
      <c r="DI304" s="356"/>
      <c r="DJ304" s="356"/>
      <c r="DK304" s="1087"/>
      <c r="DL304" s="356"/>
      <c r="DM304" s="356"/>
      <c r="DN304" s="1087"/>
      <c r="DO304" s="356"/>
      <c r="DP304" s="356"/>
      <c r="DQ304" s="1087"/>
      <c r="DR304" s="356"/>
      <c r="DS304" s="356"/>
      <c r="DT304" s="1087"/>
      <c r="DU304" s="356"/>
      <c r="DV304" s="356"/>
      <c r="DW304" s="1087"/>
      <c r="DX304" s="356"/>
      <c r="DY304" s="356"/>
      <c r="DZ304" s="1087"/>
      <c r="EA304" s="356"/>
      <c r="EB304" s="356"/>
      <c r="EC304" s="1087"/>
      <c r="ED304" s="356"/>
      <c r="EE304" s="356"/>
      <c r="EF304" s="1087"/>
      <c r="EG304" s="356"/>
      <c r="EH304" s="356"/>
      <c r="EI304" s="1087"/>
      <c r="EJ304" s="356"/>
      <c r="EK304" s="356"/>
      <c r="EL304" s="1087"/>
      <c r="EM304" s="356"/>
      <c r="EN304" s="356"/>
      <c r="EO304" s="1087"/>
      <c r="EP304" s="356"/>
      <c r="EQ304" s="356"/>
      <c r="ER304" s="1087"/>
      <c r="ES304" s="356"/>
      <c r="ET304" s="356"/>
      <c r="EU304" s="1087"/>
      <c r="EV304" s="356"/>
      <c r="EW304" s="356"/>
      <c r="EX304" s="1087"/>
      <c r="EY304" s="356"/>
      <c r="EZ304" s="356"/>
      <c r="FA304" s="356"/>
    </row>
    <row r="305" spans="1:157" ht="13.35" customHeight="1" outlineLevel="1">
      <c r="A305" s="23"/>
      <c r="B305" s="409" t="str">
        <f t="shared" si="604"/>
        <v xml:space="preserve">     Economic driver</v>
      </c>
      <c r="C305" s="5"/>
      <c r="D305" s="23"/>
      <c r="E305" s="356"/>
      <c r="F305" s="356"/>
      <c r="G305" s="356"/>
      <c r="H305" s="356"/>
      <c r="I305" s="356"/>
      <c r="J305" s="356"/>
      <c r="K305" s="356"/>
      <c r="L305" s="356"/>
      <c r="M305" s="356"/>
      <c r="N305" s="356"/>
      <c r="O305" s="356"/>
      <c r="P305" s="356"/>
      <c r="Q305" s="356"/>
      <c r="R305" s="356"/>
      <c r="S305" s="356"/>
      <c r="T305" s="356"/>
      <c r="U305" s="356"/>
      <c r="V305" s="356"/>
      <c r="W305" s="356"/>
      <c r="X305" s="356"/>
      <c r="Y305" s="356"/>
      <c r="Z305" s="356"/>
      <c r="AA305" s="356"/>
      <c r="AB305" s="356"/>
      <c r="AC305" s="356"/>
      <c r="AD305" s="356"/>
      <c r="AE305" s="356"/>
      <c r="AF305" s="356"/>
      <c r="AG305" s="356"/>
      <c r="AH305" s="356"/>
      <c r="AI305" s="356"/>
      <c r="AJ305" s="356"/>
      <c r="AK305" s="356"/>
      <c r="AL305" s="356"/>
      <c r="AM305" s="356"/>
      <c r="AN305" s="356"/>
      <c r="AO305" s="356"/>
      <c r="AP305" s="356"/>
      <c r="AQ305" s="356"/>
      <c r="AR305" s="356"/>
      <c r="AS305" s="356"/>
      <c r="AT305" s="356"/>
      <c r="AU305" s="356"/>
      <c r="AV305" s="356"/>
      <c r="AW305" s="356"/>
      <c r="AX305" s="356"/>
      <c r="AY305" s="356"/>
      <c r="AZ305" s="356"/>
      <c r="BA305" s="356"/>
      <c r="BB305" s="356"/>
      <c r="BC305" s="356"/>
      <c r="BD305" s="356"/>
      <c r="BE305" s="356"/>
      <c r="BF305" s="356"/>
      <c r="BG305" s="356"/>
      <c r="BH305" s="356"/>
      <c r="BI305" s="356"/>
      <c r="BJ305" s="356"/>
      <c r="BK305" s="356"/>
      <c r="BL305" s="356"/>
      <c r="BM305" s="356"/>
      <c r="BN305" s="356"/>
      <c r="BO305" s="356"/>
      <c r="BP305" s="356"/>
      <c r="BQ305" s="356"/>
      <c r="BR305" s="356"/>
      <c r="BS305" s="356"/>
      <c r="BT305" s="356"/>
      <c r="BU305" s="356"/>
      <c r="BV305" s="356"/>
      <c r="BW305" s="356"/>
      <c r="BX305" s="356"/>
      <c r="BY305" s="356"/>
      <c r="BZ305" s="356"/>
      <c r="CA305" s="356"/>
      <c r="CB305" s="356"/>
      <c r="CC305" s="356"/>
      <c r="CD305" s="356"/>
      <c r="CE305" s="356"/>
      <c r="CF305" s="356"/>
      <c r="CG305" s="356"/>
      <c r="CH305" s="356"/>
      <c r="CI305" s="356"/>
      <c r="CJ305" s="356"/>
      <c r="CK305" s="356"/>
      <c r="CL305" s="356"/>
      <c r="CM305" s="356"/>
      <c r="CN305" s="356"/>
      <c r="CO305" s="356"/>
      <c r="CP305" s="356"/>
      <c r="CQ305" s="356"/>
      <c r="CR305" s="356"/>
      <c r="CS305" s="356"/>
      <c r="CT305" s="356"/>
      <c r="CU305" s="356"/>
      <c r="CV305" s="356"/>
      <c r="CW305" s="356"/>
      <c r="CX305" s="356"/>
      <c r="CY305" s="356"/>
      <c r="CZ305" s="356"/>
      <c r="DA305" s="356"/>
      <c r="DB305" s="356"/>
      <c r="DC305" s="356"/>
      <c r="DD305" s="356"/>
      <c r="DE305" s="356"/>
      <c r="DF305" s="356"/>
      <c r="DG305" s="356"/>
      <c r="DH305" s="356"/>
      <c r="DI305" s="356"/>
      <c r="DJ305" s="356"/>
      <c r="DK305" s="1087"/>
      <c r="DL305" s="356"/>
      <c r="DM305" s="356"/>
      <c r="DN305" s="1087"/>
      <c r="DO305" s="356"/>
      <c r="DP305" s="356"/>
      <c r="DQ305" s="1087"/>
      <c r="DR305" s="356"/>
      <c r="DS305" s="356"/>
      <c r="DT305" s="1087"/>
      <c r="DU305" s="356"/>
      <c r="DV305" s="356"/>
      <c r="DW305" s="1087"/>
      <c r="DX305" s="356"/>
      <c r="DY305" s="356"/>
      <c r="DZ305" s="1087"/>
      <c r="EA305" s="356"/>
      <c r="EB305" s="356"/>
      <c r="EC305" s="1087"/>
      <c r="ED305" s="356"/>
      <c r="EE305" s="356"/>
      <c r="EF305" s="1087"/>
      <c r="EG305" s="356"/>
      <c r="EH305" s="356"/>
      <c r="EI305" s="1087"/>
      <c r="EJ305" s="356"/>
      <c r="EK305" s="356"/>
      <c r="EL305" s="1087"/>
      <c r="EM305" s="356"/>
      <c r="EN305" s="356"/>
      <c r="EO305" s="1087"/>
      <c r="EP305" s="356"/>
      <c r="EQ305" s="356"/>
      <c r="ER305" s="1087"/>
      <c r="ES305" s="356"/>
      <c r="ET305" s="356"/>
      <c r="EU305" s="1087"/>
      <c r="EV305" s="356"/>
      <c r="EW305" s="356"/>
      <c r="EX305" s="1087"/>
      <c r="EY305" s="356"/>
      <c r="EZ305" s="356"/>
      <c r="FA305" s="356"/>
    </row>
    <row r="306" spans="1:157" ht="13.35" customHeight="1" outlineLevel="1">
      <c r="A306" s="23"/>
      <c r="B306" s="409" t="str">
        <f t="shared" si="604"/>
        <v xml:space="preserve">     Economic driver</v>
      </c>
      <c r="C306" s="5"/>
      <c r="D306" s="23"/>
      <c r="E306" s="356"/>
      <c r="F306" s="356"/>
      <c r="G306" s="356"/>
      <c r="H306" s="356"/>
      <c r="I306" s="356"/>
      <c r="J306" s="356"/>
      <c r="K306" s="356"/>
      <c r="L306" s="356"/>
      <c r="M306" s="356"/>
      <c r="N306" s="356"/>
      <c r="O306" s="356"/>
      <c r="P306" s="356"/>
      <c r="Q306" s="356"/>
      <c r="R306" s="356"/>
      <c r="S306" s="356"/>
      <c r="T306" s="356"/>
      <c r="U306" s="356"/>
      <c r="V306" s="356"/>
      <c r="W306" s="356"/>
      <c r="X306" s="356"/>
      <c r="Y306" s="356"/>
      <c r="Z306" s="356"/>
      <c r="AA306" s="356"/>
      <c r="AB306" s="356"/>
      <c r="AC306" s="356"/>
      <c r="AD306" s="356"/>
      <c r="AE306" s="356"/>
      <c r="AF306" s="356"/>
      <c r="AG306" s="356"/>
      <c r="AH306" s="356"/>
      <c r="AI306" s="356"/>
      <c r="AJ306" s="356"/>
      <c r="AK306" s="356"/>
      <c r="AL306" s="356"/>
      <c r="AM306" s="356"/>
      <c r="AN306" s="356"/>
      <c r="AO306" s="356"/>
      <c r="AP306" s="356"/>
      <c r="AQ306" s="356"/>
      <c r="AR306" s="356"/>
      <c r="AS306" s="356"/>
      <c r="AT306" s="356"/>
      <c r="AU306" s="356"/>
      <c r="AV306" s="356"/>
      <c r="AW306" s="356"/>
      <c r="AX306" s="356"/>
      <c r="AY306" s="356"/>
      <c r="AZ306" s="356"/>
      <c r="BA306" s="356"/>
      <c r="BB306" s="356"/>
      <c r="BC306" s="356"/>
      <c r="BD306" s="356"/>
      <c r="BE306" s="356"/>
      <c r="BF306" s="356"/>
      <c r="BG306" s="356"/>
      <c r="BH306" s="356"/>
      <c r="BI306" s="356"/>
      <c r="BJ306" s="356"/>
      <c r="BK306" s="356"/>
      <c r="BL306" s="356"/>
      <c r="BM306" s="356"/>
      <c r="BN306" s="356"/>
      <c r="BO306" s="356"/>
      <c r="BP306" s="356"/>
      <c r="BQ306" s="356"/>
      <c r="BR306" s="356"/>
      <c r="BS306" s="356"/>
      <c r="BT306" s="356"/>
      <c r="BU306" s="356"/>
      <c r="BV306" s="356"/>
      <c r="BW306" s="356"/>
      <c r="BX306" s="356"/>
      <c r="BY306" s="356"/>
      <c r="BZ306" s="356"/>
      <c r="CA306" s="356"/>
      <c r="CB306" s="356"/>
      <c r="CC306" s="356"/>
      <c r="CD306" s="356"/>
      <c r="CE306" s="356"/>
      <c r="CF306" s="356"/>
      <c r="CG306" s="356"/>
      <c r="CH306" s="356"/>
      <c r="CI306" s="356"/>
      <c r="CJ306" s="356"/>
      <c r="CK306" s="356"/>
      <c r="CL306" s="356"/>
      <c r="CM306" s="356"/>
      <c r="CN306" s="356"/>
      <c r="CO306" s="356"/>
      <c r="CP306" s="356"/>
      <c r="CQ306" s="356"/>
      <c r="CR306" s="356"/>
      <c r="CS306" s="356"/>
      <c r="CT306" s="356"/>
      <c r="CU306" s="356"/>
      <c r="CV306" s="356"/>
      <c r="CW306" s="356"/>
      <c r="CX306" s="356"/>
      <c r="CY306" s="356"/>
      <c r="CZ306" s="356"/>
      <c r="DA306" s="356"/>
      <c r="DB306" s="356"/>
      <c r="DC306" s="356"/>
      <c r="DD306" s="356"/>
      <c r="DE306" s="356"/>
      <c r="DF306" s="356"/>
      <c r="DG306" s="356"/>
      <c r="DH306" s="356"/>
      <c r="DI306" s="356"/>
      <c r="DJ306" s="356"/>
      <c r="DK306" s="1087"/>
      <c r="DL306" s="356"/>
      <c r="DM306" s="356"/>
      <c r="DN306" s="1087"/>
      <c r="DO306" s="356"/>
      <c r="DP306" s="356"/>
      <c r="DQ306" s="1087"/>
      <c r="DR306" s="356"/>
      <c r="DS306" s="356"/>
      <c r="DT306" s="1087"/>
      <c r="DU306" s="356"/>
      <c r="DV306" s="356"/>
      <c r="DW306" s="1087"/>
      <c r="DX306" s="356"/>
      <c r="DY306" s="356"/>
      <c r="DZ306" s="1087"/>
      <c r="EA306" s="356"/>
      <c r="EB306" s="356"/>
      <c r="EC306" s="1087"/>
      <c r="ED306" s="356"/>
      <c r="EE306" s="356"/>
      <c r="EF306" s="1087"/>
      <c r="EG306" s="356"/>
      <c r="EH306" s="356"/>
      <c r="EI306" s="1087"/>
      <c r="EJ306" s="356"/>
      <c r="EK306" s="356"/>
      <c r="EL306" s="1087"/>
      <c r="EM306" s="356"/>
      <c r="EN306" s="356"/>
      <c r="EO306" s="1087"/>
      <c r="EP306" s="356"/>
      <c r="EQ306" s="356"/>
      <c r="ER306" s="1087"/>
      <c r="ES306" s="356"/>
      <c r="ET306" s="356"/>
      <c r="EU306" s="1087"/>
      <c r="EV306" s="356"/>
      <c r="EW306" s="356"/>
      <c r="EX306" s="1087"/>
      <c r="EY306" s="356"/>
      <c r="EZ306" s="356"/>
      <c r="FA306" s="356"/>
    </row>
    <row r="307" spans="1:157" ht="13.35" customHeight="1" outlineLevel="1">
      <c r="A307" s="23"/>
      <c r="B307" s="409" t="str">
        <f t="shared" si="604"/>
        <v xml:space="preserve">     Economic driver</v>
      </c>
      <c r="C307" s="5"/>
      <c r="D307" s="23"/>
      <c r="E307" s="356"/>
      <c r="F307" s="356"/>
      <c r="G307" s="356"/>
      <c r="H307" s="356"/>
      <c r="I307" s="356"/>
      <c r="J307" s="356"/>
      <c r="K307" s="356"/>
      <c r="L307" s="356"/>
      <c r="M307" s="356"/>
      <c r="N307" s="356"/>
      <c r="O307" s="356"/>
      <c r="P307" s="356"/>
      <c r="Q307" s="356"/>
      <c r="R307" s="356"/>
      <c r="S307" s="356"/>
      <c r="T307" s="356"/>
      <c r="U307" s="356"/>
      <c r="V307" s="356"/>
      <c r="W307" s="356"/>
      <c r="X307" s="356"/>
      <c r="Y307" s="356"/>
      <c r="Z307" s="356"/>
      <c r="AA307" s="356"/>
      <c r="AB307" s="356"/>
      <c r="AC307" s="356"/>
      <c r="AD307" s="356"/>
      <c r="AE307" s="356"/>
      <c r="AF307" s="356"/>
      <c r="AG307" s="356"/>
      <c r="AH307" s="356"/>
      <c r="AI307" s="356"/>
      <c r="AJ307" s="356"/>
      <c r="AK307" s="356"/>
      <c r="AL307" s="356"/>
      <c r="AM307" s="356"/>
      <c r="AN307" s="356"/>
      <c r="AO307" s="356"/>
      <c r="AP307" s="356"/>
      <c r="AQ307" s="356"/>
      <c r="AR307" s="356"/>
      <c r="AS307" s="356"/>
      <c r="AT307" s="356"/>
      <c r="AU307" s="356"/>
      <c r="AV307" s="356"/>
      <c r="AW307" s="356"/>
      <c r="AX307" s="356"/>
      <c r="AY307" s="356"/>
      <c r="AZ307" s="356"/>
      <c r="BA307" s="356"/>
      <c r="BB307" s="356"/>
      <c r="BC307" s="356"/>
      <c r="BD307" s="356"/>
      <c r="BE307" s="356"/>
      <c r="BF307" s="356"/>
      <c r="BG307" s="356"/>
      <c r="BH307" s="356"/>
      <c r="BI307" s="356"/>
      <c r="BJ307" s="356"/>
      <c r="BK307" s="356"/>
      <c r="BL307" s="356"/>
      <c r="BM307" s="356"/>
      <c r="BN307" s="356"/>
      <c r="BO307" s="356"/>
      <c r="BP307" s="356"/>
      <c r="BQ307" s="356"/>
      <c r="BR307" s="356"/>
      <c r="BS307" s="356"/>
      <c r="BT307" s="356"/>
      <c r="BU307" s="356"/>
      <c r="BV307" s="356"/>
      <c r="BW307" s="356"/>
      <c r="BX307" s="356"/>
      <c r="BY307" s="356"/>
      <c r="BZ307" s="356"/>
      <c r="CA307" s="356"/>
      <c r="CB307" s="356"/>
      <c r="CC307" s="356"/>
      <c r="CD307" s="356"/>
      <c r="CE307" s="356"/>
      <c r="CF307" s="356"/>
      <c r="CG307" s="356"/>
      <c r="CH307" s="356"/>
      <c r="CI307" s="356"/>
      <c r="CJ307" s="356"/>
      <c r="CK307" s="356"/>
      <c r="CL307" s="356"/>
      <c r="CM307" s="356"/>
      <c r="CN307" s="356"/>
      <c r="CO307" s="356"/>
      <c r="CP307" s="356"/>
      <c r="CQ307" s="356"/>
      <c r="CR307" s="356"/>
      <c r="CS307" s="356"/>
      <c r="CT307" s="356"/>
      <c r="CU307" s="356"/>
      <c r="CV307" s="356"/>
      <c r="CW307" s="356"/>
      <c r="CX307" s="356"/>
      <c r="CY307" s="356"/>
      <c r="CZ307" s="356"/>
      <c r="DA307" s="356"/>
      <c r="DB307" s="356"/>
      <c r="DC307" s="356"/>
      <c r="DD307" s="356"/>
      <c r="DE307" s="356"/>
      <c r="DF307" s="356"/>
      <c r="DG307" s="356"/>
      <c r="DH307" s="356"/>
      <c r="DI307" s="356"/>
      <c r="DJ307" s="356"/>
      <c r="DK307" s="1087"/>
      <c r="DL307" s="356"/>
      <c r="DM307" s="356"/>
      <c r="DN307" s="1087"/>
      <c r="DO307" s="356"/>
      <c r="DP307" s="356"/>
      <c r="DQ307" s="1087"/>
      <c r="DR307" s="356"/>
      <c r="DS307" s="356"/>
      <c r="DT307" s="1087"/>
      <c r="DU307" s="356"/>
      <c r="DV307" s="356"/>
      <c r="DW307" s="1087"/>
      <c r="DX307" s="356"/>
      <c r="DY307" s="356"/>
      <c r="DZ307" s="1087"/>
      <c r="EA307" s="356"/>
      <c r="EB307" s="356"/>
      <c r="EC307" s="1087"/>
      <c r="ED307" s="356"/>
      <c r="EE307" s="356"/>
      <c r="EF307" s="1087"/>
      <c r="EG307" s="356"/>
      <c r="EH307" s="356"/>
      <c r="EI307" s="1087"/>
      <c r="EJ307" s="356"/>
      <c r="EK307" s="356"/>
      <c r="EL307" s="1087"/>
      <c r="EM307" s="356"/>
      <c r="EN307" s="356"/>
      <c r="EO307" s="1087"/>
      <c r="EP307" s="356"/>
      <c r="EQ307" s="356"/>
      <c r="ER307" s="1087"/>
      <c r="ES307" s="356"/>
      <c r="ET307" s="356"/>
      <c r="EU307" s="1087"/>
      <c r="EV307" s="356"/>
      <c r="EW307" s="356"/>
      <c r="EX307" s="1087"/>
      <c r="EY307" s="356"/>
      <c r="EZ307" s="356"/>
      <c r="FA307" s="356"/>
    </row>
    <row r="308" spans="1:157" ht="13.35" customHeight="1">
      <c r="A308" s="23"/>
      <c r="B308" s="409"/>
      <c r="C308" s="5"/>
      <c r="D308" s="23"/>
      <c r="E308" s="359"/>
      <c r="F308" s="359"/>
      <c r="G308" s="359"/>
      <c r="H308" s="359"/>
      <c r="I308" s="359"/>
      <c r="J308" s="359"/>
      <c r="K308" s="359"/>
      <c r="L308" s="359"/>
      <c r="M308" s="359"/>
      <c r="N308" s="359"/>
      <c r="O308" s="359"/>
      <c r="P308" s="359"/>
      <c r="Q308" s="359"/>
      <c r="R308" s="359"/>
      <c r="S308" s="359"/>
      <c r="T308" s="359"/>
      <c r="U308" s="359"/>
      <c r="V308" s="359"/>
      <c r="W308" s="359"/>
      <c r="X308" s="359"/>
      <c r="Y308" s="359"/>
      <c r="Z308" s="359"/>
      <c r="AA308" s="359"/>
      <c r="AB308" s="359"/>
      <c r="AC308" s="359"/>
      <c r="AD308" s="359"/>
      <c r="AE308" s="359"/>
      <c r="AF308" s="359"/>
      <c r="AG308" s="359"/>
      <c r="AH308" s="359"/>
      <c r="AI308" s="359"/>
      <c r="AJ308" s="359"/>
      <c r="AK308" s="359"/>
      <c r="AL308" s="359"/>
      <c r="AM308" s="359"/>
      <c r="AN308" s="359"/>
      <c r="AO308" s="359"/>
      <c r="AP308" s="359"/>
      <c r="AQ308" s="359"/>
      <c r="AR308" s="359"/>
      <c r="AS308" s="359"/>
      <c r="AT308" s="359"/>
      <c r="AU308" s="359"/>
      <c r="AV308" s="359"/>
      <c r="AW308" s="359"/>
      <c r="AX308" s="359"/>
      <c r="AY308" s="359"/>
      <c r="AZ308" s="359"/>
      <c r="BA308" s="359"/>
      <c r="BB308" s="359"/>
      <c r="BC308" s="359"/>
      <c r="BD308" s="359"/>
      <c r="BE308" s="359"/>
      <c r="BF308" s="359"/>
      <c r="BG308" s="359"/>
      <c r="BH308" s="359"/>
      <c r="BI308" s="359"/>
      <c r="BJ308" s="359"/>
      <c r="BK308" s="359"/>
      <c r="BL308" s="359"/>
      <c r="BM308" s="359"/>
      <c r="BN308" s="359"/>
      <c r="BO308" s="359"/>
      <c r="BP308" s="359"/>
      <c r="BQ308" s="359"/>
      <c r="BR308" s="359"/>
      <c r="BS308" s="359"/>
      <c r="BT308" s="359"/>
      <c r="BU308" s="359"/>
      <c r="BV308" s="359"/>
      <c r="BW308" s="359"/>
      <c r="BX308" s="359"/>
      <c r="BY308" s="359"/>
      <c r="BZ308" s="359"/>
      <c r="CA308" s="359"/>
      <c r="CB308" s="359"/>
      <c r="CC308" s="359"/>
      <c r="CD308" s="359"/>
      <c r="CE308" s="359"/>
      <c r="CF308" s="359"/>
      <c r="CG308" s="359"/>
      <c r="CH308" s="359"/>
      <c r="CI308" s="359"/>
      <c r="CJ308" s="359"/>
      <c r="CK308" s="359"/>
      <c r="CL308" s="359"/>
      <c r="CM308" s="359"/>
      <c r="CN308" s="359"/>
      <c r="CO308" s="359"/>
      <c r="CP308" s="359"/>
      <c r="CQ308" s="359"/>
      <c r="CR308" s="359"/>
      <c r="CS308" s="359"/>
      <c r="CT308" s="359"/>
      <c r="CU308" s="359"/>
      <c r="CV308" s="359"/>
      <c r="CW308" s="359"/>
      <c r="CX308" s="359"/>
      <c r="CY308" s="359"/>
      <c r="CZ308" s="359"/>
      <c r="DA308" s="359"/>
      <c r="DB308" s="359"/>
      <c r="DC308" s="359"/>
      <c r="DD308" s="359"/>
      <c r="DE308" s="359"/>
      <c r="DF308" s="359"/>
      <c r="DG308" s="359"/>
      <c r="DH308" s="359"/>
      <c r="DI308" s="359"/>
      <c r="DJ308" s="359"/>
      <c r="DK308" s="1208"/>
      <c r="DL308" s="359"/>
      <c r="DM308" s="359"/>
      <c r="DN308" s="1208"/>
      <c r="DO308" s="359"/>
      <c r="DP308" s="359"/>
      <c r="DQ308" s="1208"/>
      <c r="DR308" s="359"/>
      <c r="DS308" s="359"/>
      <c r="DT308" s="1208"/>
      <c r="DU308" s="359"/>
      <c r="DV308" s="359"/>
      <c r="DW308" s="1208"/>
      <c r="DX308" s="359"/>
      <c r="DY308" s="359"/>
      <c r="DZ308" s="1208"/>
      <c r="EA308" s="359"/>
      <c r="EB308" s="359"/>
      <c r="EC308" s="1208"/>
      <c r="ED308" s="359"/>
      <c r="EE308" s="359"/>
      <c r="EF308" s="1208"/>
      <c r="EG308" s="359"/>
      <c r="EH308" s="359"/>
      <c r="EI308" s="1208"/>
      <c r="EJ308" s="359"/>
      <c r="EK308" s="359"/>
      <c r="EL308" s="1208"/>
      <c r="EM308" s="359"/>
      <c r="EN308" s="359"/>
      <c r="EO308" s="1208"/>
      <c r="EP308" s="359"/>
      <c r="EQ308" s="359"/>
      <c r="ER308" s="1208"/>
      <c r="ES308" s="359"/>
      <c r="ET308" s="359"/>
      <c r="EU308" s="1208"/>
      <c r="EV308" s="359"/>
      <c r="EW308" s="359"/>
      <c r="EX308" s="1208"/>
      <c r="EY308" s="359"/>
      <c r="EZ308" s="359"/>
      <c r="FA308" s="359"/>
    </row>
    <row r="309" spans="1:157" ht="16.5" customHeight="1">
      <c r="A309" s="350"/>
      <c r="B309" s="350" t="s">
        <v>898</v>
      </c>
      <c r="C309" s="351"/>
      <c r="D309" s="352">
        <f>+$D$2</f>
        <v>0</v>
      </c>
      <c r="E309" s="352" t="str">
        <f>+$E$2</f>
        <v>1h85</v>
      </c>
      <c r="F309" s="352" t="str">
        <f>+$F$2</f>
        <v>2h85</v>
      </c>
      <c r="G309" s="352" t="str">
        <f>+$G$2</f>
        <v>1985</v>
      </c>
      <c r="H309" s="352" t="str">
        <f>+$H$2</f>
        <v>1h86</v>
      </c>
      <c r="I309" s="352" t="str">
        <f>+$I$2</f>
        <v>2h86</v>
      </c>
      <c r="J309" s="352" t="str">
        <f>+$J$2</f>
        <v>1986</v>
      </c>
      <c r="K309" s="352" t="str">
        <f>+$K$2</f>
        <v>1h87</v>
      </c>
      <c r="L309" s="352" t="str">
        <f>+$L$2</f>
        <v>2h87</v>
      </c>
      <c r="M309" s="352" t="str">
        <f>+$M$2</f>
        <v>1987</v>
      </c>
      <c r="N309" s="352" t="str">
        <f>+$N$2</f>
        <v>1h88</v>
      </c>
      <c r="O309" s="352" t="str">
        <f>+$O$2</f>
        <v>2h88</v>
      </c>
      <c r="P309" s="352" t="str">
        <f>+$P$2</f>
        <v>1988</v>
      </c>
      <c r="Q309" s="352" t="str">
        <f>+$Q$2</f>
        <v>1h89</v>
      </c>
      <c r="R309" s="352" t="str">
        <f>+$R$2</f>
        <v>2h89</v>
      </c>
      <c r="S309" s="352" t="str">
        <f>+$S$2</f>
        <v>1989</v>
      </c>
      <c r="T309" s="352" t="str">
        <f>+$T$2</f>
        <v>1h90</v>
      </c>
      <c r="U309" s="352" t="str">
        <f>+$U$2</f>
        <v>2h90</v>
      </c>
      <c r="V309" s="352" t="str">
        <f>+$V$2</f>
        <v>1990</v>
      </c>
      <c r="W309" s="352" t="str">
        <f>+$W$2</f>
        <v>1h91</v>
      </c>
      <c r="X309" s="352" t="str">
        <f>+$X$2</f>
        <v>2h91</v>
      </c>
      <c r="Y309" s="352" t="str">
        <f>+$Y$2</f>
        <v>1991</v>
      </c>
      <c r="Z309" s="352" t="str">
        <f>+$Z$2</f>
        <v>1h92</v>
      </c>
      <c r="AA309" s="352" t="str">
        <f>+$AA$2</f>
        <v>2h92</v>
      </c>
      <c r="AB309" s="352" t="str">
        <f>+$AB$2</f>
        <v>1992</v>
      </c>
      <c r="AC309" s="352" t="str">
        <f>+$AC$2</f>
        <v>1h93</v>
      </c>
      <c r="AD309" s="352" t="str">
        <f>+$AD$2</f>
        <v>2h93</v>
      </c>
      <c r="AE309" s="352" t="str">
        <f>+$AE$2</f>
        <v>1993</v>
      </c>
      <c r="AF309" s="352" t="str">
        <f>+$AF$2</f>
        <v>1h94</v>
      </c>
      <c r="AG309" s="352" t="str">
        <f>+$AG$2</f>
        <v>2h94</v>
      </c>
      <c r="AH309" s="352" t="str">
        <f>+$AH$2</f>
        <v>1994</v>
      </c>
      <c r="AI309" s="352" t="str">
        <f>+$AI$2</f>
        <v>1h95</v>
      </c>
      <c r="AJ309" s="352" t="str">
        <f>+$AJ$2</f>
        <v>2h95</v>
      </c>
      <c r="AK309" s="352" t="str">
        <f>+$AK$2</f>
        <v>1995</v>
      </c>
      <c r="AL309" s="352" t="str">
        <f>+$AL$2</f>
        <v>1h96</v>
      </c>
      <c r="AM309" s="352" t="str">
        <f>+$AM$2</f>
        <v>2h96</v>
      </c>
      <c r="AN309" s="352" t="str">
        <f>+$AN$2</f>
        <v>1996</v>
      </c>
      <c r="AO309" s="352" t="str">
        <f>+$AO$2</f>
        <v>1h97</v>
      </c>
      <c r="AP309" s="352" t="str">
        <f>+$AP$2</f>
        <v>2h97</v>
      </c>
      <c r="AQ309" s="352" t="str">
        <f>+$AQ$2</f>
        <v>FY97</v>
      </c>
      <c r="AR309" s="352" t="str">
        <f>+$AR$2</f>
        <v>1H98</v>
      </c>
      <c r="AS309" s="352" t="str">
        <f>+$AS$2</f>
        <v>2H98</v>
      </c>
      <c r="AT309" s="352" t="str">
        <f>+$AT$2</f>
        <v>FY98</v>
      </c>
      <c r="AU309" s="352" t="str">
        <f>+$AU$2</f>
        <v>1H99</v>
      </c>
      <c r="AV309" s="352" t="str">
        <f>+$AV$2</f>
        <v>2H99</v>
      </c>
      <c r="AW309" s="352" t="str">
        <f>+$AW$2</f>
        <v>FY99</v>
      </c>
      <c r="AX309" s="352" t="str">
        <f>+$AX$2</f>
        <v>1H00</v>
      </c>
      <c r="AY309" s="352" t="str">
        <f>+$AY$2</f>
        <v>2H00</v>
      </c>
      <c r="AZ309" s="352" t="str">
        <f>+$AZ$2</f>
        <v>FY00</v>
      </c>
      <c r="BA309" s="352" t="str">
        <f>+$BA$2</f>
        <v>1H01</v>
      </c>
      <c r="BB309" s="352" t="str">
        <f>+$BB$2</f>
        <v>2H01</v>
      </c>
      <c r="BC309" s="352" t="str">
        <f>+$BC$2</f>
        <v>FY01</v>
      </c>
      <c r="BD309" s="352" t="str">
        <f>+$BD$2</f>
        <v>1H02</v>
      </c>
      <c r="BE309" s="352" t="str">
        <f>+$BE$2</f>
        <v>2H02</v>
      </c>
      <c r="BF309" s="352" t="str">
        <f>+$BF$2</f>
        <v>FY02</v>
      </c>
      <c r="BG309" s="352" t="str">
        <f>+$BG$2</f>
        <v>1H03</v>
      </c>
      <c r="BH309" s="352" t="str">
        <f>+$BH$2</f>
        <v>2H03</v>
      </c>
      <c r="BI309" s="352" t="str">
        <f>+$BI$2</f>
        <v>FY03</v>
      </c>
      <c r="BJ309" s="352" t="str">
        <f>+$BJ$2</f>
        <v>1H04</v>
      </c>
      <c r="BK309" s="352" t="str">
        <f>+$BK$2</f>
        <v>2H04</v>
      </c>
      <c r="BL309" s="352" t="str">
        <f>+$BL$2</f>
        <v>FY04</v>
      </c>
      <c r="BM309" s="352" t="str">
        <f>+$BM$2</f>
        <v>1H05</v>
      </c>
      <c r="BN309" s="352" t="str">
        <f>+$BN$2</f>
        <v>2H05</v>
      </c>
      <c r="BO309" s="352" t="str">
        <f>+$BO$2</f>
        <v>FY05</v>
      </c>
      <c r="BP309" s="352" t="str">
        <f>+$BM$2</f>
        <v>1H05</v>
      </c>
      <c r="BQ309" s="352" t="str">
        <f>+$BN$2</f>
        <v>2H05</v>
      </c>
      <c r="BR309" s="352" t="str">
        <f>+$BO$2</f>
        <v>FY05</v>
      </c>
      <c r="BS309" s="352" t="str">
        <f>+$BM$2</f>
        <v>1H05</v>
      </c>
      <c r="BT309" s="352" t="str">
        <f>+$BN$2</f>
        <v>2H05</v>
      </c>
      <c r="BU309" s="352" t="str">
        <f>+$BO$2</f>
        <v>FY05</v>
      </c>
      <c r="BV309" s="352" t="str">
        <f>+$BM$2</f>
        <v>1H05</v>
      </c>
      <c r="BW309" s="352" t="str">
        <f>+$BN$2</f>
        <v>2H05</v>
      </c>
      <c r="BX309" s="352" t="str">
        <f>+$BO$2</f>
        <v>FY05</v>
      </c>
      <c r="BY309" s="352" t="str">
        <f>+$BM$2</f>
        <v>1H05</v>
      </c>
      <c r="BZ309" s="352" t="str">
        <f>+$BN$2</f>
        <v>2H05</v>
      </c>
      <c r="CA309" s="352" t="str">
        <f>+$BO$2</f>
        <v>FY05</v>
      </c>
      <c r="CB309" s="352" t="str">
        <f>+$BM$2</f>
        <v>1H05</v>
      </c>
      <c r="CC309" s="352" t="str">
        <f>+$BN$2</f>
        <v>2H05</v>
      </c>
      <c r="CD309" s="352" t="str">
        <f>+$BO$2</f>
        <v>FY05</v>
      </c>
      <c r="CE309" s="352" t="str">
        <f>+$BM$2</f>
        <v>1H05</v>
      </c>
      <c r="CF309" s="352" t="str">
        <f>+$BN$2</f>
        <v>2H05</v>
      </c>
      <c r="CG309" s="352" t="str">
        <f>+$BO$2</f>
        <v>FY05</v>
      </c>
      <c r="CH309" s="352" t="str">
        <f>+$BM$2</f>
        <v>1H05</v>
      </c>
      <c r="CI309" s="352" t="str">
        <f>+$BN$2</f>
        <v>2H05</v>
      </c>
      <c r="CJ309" s="352" t="str">
        <f>+$BO$2</f>
        <v>FY05</v>
      </c>
      <c r="CK309" s="352" t="str">
        <f>+$BM$2</f>
        <v>1H05</v>
      </c>
      <c r="CL309" s="352" t="str">
        <f>+$BN$2</f>
        <v>2H05</v>
      </c>
      <c r="CM309" s="352" t="str">
        <f>+$BO$2</f>
        <v>FY05</v>
      </c>
      <c r="CN309" s="352" t="str">
        <f>+$BM$2</f>
        <v>1H05</v>
      </c>
      <c r="CO309" s="352" t="str">
        <f>+$BN$2</f>
        <v>2H05</v>
      </c>
      <c r="CP309" s="352" t="str">
        <f>+$BO$2</f>
        <v>FY05</v>
      </c>
      <c r="CQ309" s="352" t="str">
        <f>+$BM$2</f>
        <v>1H05</v>
      </c>
      <c r="CR309" s="352" t="str">
        <f>+$BN$2</f>
        <v>2H05</v>
      </c>
      <c r="CS309" s="352" t="str">
        <f>+$BO$2</f>
        <v>FY05</v>
      </c>
      <c r="CT309" s="352" t="str">
        <f>+$BM$2</f>
        <v>1H05</v>
      </c>
      <c r="CU309" s="352" t="str">
        <f>+$BN$2</f>
        <v>2H05</v>
      </c>
      <c r="CV309" s="352" t="str">
        <f>+$BO$2</f>
        <v>FY05</v>
      </c>
      <c r="CW309" s="352" t="str">
        <f>+$BM$2</f>
        <v>1H05</v>
      </c>
      <c r="CX309" s="352" t="str">
        <f>+$BN$2</f>
        <v>2H05</v>
      </c>
      <c r="CY309" s="352" t="str">
        <f>+$BO$2</f>
        <v>FY05</v>
      </c>
      <c r="CZ309" s="352" t="str">
        <f>+$BM$2</f>
        <v>1H05</v>
      </c>
      <c r="DA309" s="352" t="str">
        <f>+$BN$2</f>
        <v>2H05</v>
      </c>
      <c r="DB309" s="352" t="str">
        <f>+$BO$2</f>
        <v>FY05</v>
      </c>
      <c r="DC309" s="352" t="str">
        <f>+$BM$2</f>
        <v>1H05</v>
      </c>
      <c r="DD309" s="352" t="str">
        <f>+$BN$2</f>
        <v>2H05</v>
      </c>
      <c r="DE309" s="352" t="str">
        <f>+$BO$2</f>
        <v>FY05</v>
      </c>
      <c r="DF309" s="352" t="str">
        <f>+$BM$2</f>
        <v>1H05</v>
      </c>
      <c r="DG309" s="352" t="str">
        <f>+$BN$2</f>
        <v>2H05</v>
      </c>
      <c r="DH309" s="352" t="str">
        <f>+$BO$2</f>
        <v>FY05</v>
      </c>
      <c r="DI309" s="352" t="str">
        <f>+$BM$2</f>
        <v>1H05</v>
      </c>
      <c r="DJ309" s="352" t="str">
        <f>+$BN$2</f>
        <v>2H05</v>
      </c>
      <c r="DK309" s="1206" t="str">
        <f>+DK2</f>
        <v>FY21</v>
      </c>
      <c r="DL309" s="352" t="str">
        <f t="shared" ref="DL309:ER309" si="605">+DL2</f>
        <v>1H22</v>
      </c>
      <c r="DM309" s="352" t="str">
        <f t="shared" si="605"/>
        <v>2H22</v>
      </c>
      <c r="DN309" s="1226" t="str">
        <f t="shared" si="605"/>
        <v>FY22</v>
      </c>
      <c r="DO309" s="352" t="str">
        <f t="shared" si="605"/>
        <v>1H23</v>
      </c>
      <c r="DP309" s="352" t="str">
        <f t="shared" si="605"/>
        <v>2H23</v>
      </c>
      <c r="DQ309" s="1226" t="str">
        <f t="shared" si="605"/>
        <v>FY23</v>
      </c>
      <c r="DR309" s="352" t="str">
        <f t="shared" si="605"/>
        <v>1H24</v>
      </c>
      <c r="DS309" s="352" t="str">
        <f t="shared" si="605"/>
        <v>2H24</v>
      </c>
      <c r="DT309" s="1226" t="str">
        <f t="shared" si="605"/>
        <v>FY24</v>
      </c>
      <c r="DU309" s="352" t="str">
        <f t="shared" si="605"/>
        <v>1H25</v>
      </c>
      <c r="DV309" s="352" t="str">
        <f t="shared" si="605"/>
        <v>2H25</v>
      </c>
      <c r="DW309" s="1226" t="str">
        <f t="shared" si="605"/>
        <v>FY25</v>
      </c>
      <c r="DX309" s="352" t="str">
        <f t="shared" si="605"/>
        <v>1H26</v>
      </c>
      <c r="DY309" s="352" t="str">
        <f t="shared" si="605"/>
        <v>2H26E</v>
      </c>
      <c r="DZ309" s="1226" t="str">
        <f t="shared" si="605"/>
        <v>FY26E</v>
      </c>
      <c r="EA309" s="352" t="str">
        <f t="shared" si="605"/>
        <v>1H27E</v>
      </c>
      <c r="EB309" s="352" t="str">
        <f t="shared" si="605"/>
        <v>2H27E</v>
      </c>
      <c r="EC309" s="1226" t="str">
        <f t="shared" si="605"/>
        <v>FY27E</v>
      </c>
      <c r="ED309" s="352" t="str">
        <f t="shared" si="605"/>
        <v>1H28E</v>
      </c>
      <c r="EE309" s="352" t="str">
        <f t="shared" si="605"/>
        <v>2H28E</v>
      </c>
      <c r="EF309" s="1226" t="str">
        <f t="shared" si="605"/>
        <v>FY28E</v>
      </c>
      <c r="EG309" s="352" t="str">
        <f t="shared" si="605"/>
        <v>1H29E</v>
      </c>
      <c r="EH309" s="352" t="str">
        <f t="shared" si="605"/>
        <v>2H29E</v>
      </c>
      <c r="EI309" s="1226" t="str">
        <f t="shared" si="605"/>
        <v>FY29E</v>
      </c>
      <c r="EJ309" s="352" t="str">
        <f t="shared" si="605"/>
        <v>1H30E</v>
      </c>
      <c r="EK309" s="352" t="str">
        <f t="shared" si="605"/>
        <v>2H30E</v>
      </c>
      <c r="EL309" s="1226" t="str">
        <f t="shared" si="605"/>
        <v>FY30E</v>
      </c>
      <c r="EM309" s="352" t="str">
        <f t="shared" si="605"/>
        <v>1H31E</v>
      </c>
      <c r="EN309" s="352" t="str">
        <f t="shared" si="605"/>
        <v>2H31E</v>
      </c>
      <c r="EO309" s="1226" t="str">
        <f t="shared" si="605"/>
        <v>FY31E</v>
      </c>
      <c r="EP309" s="352" t="str">
        <f t="shared" si="605"/>
        <v>1H32E</v>
      </c>
      <c r="EQ309" s="352" t="str">
        <f t="shared" si="605"/>
        <v>2H32E</v>
      </c>
      <c r="ER309" s="1226" t="str">
        <f t="shared" si="605"/>
        <v>FY32E</v>
      </c>
      <c r="ES309" s="352" t="str">
        <f t="shared" ref="ES309:EX309" si="606">+ES2</f>
        <v>1H33E</v>
      </c>
      <c r="ET309" s="352" t="str">
        <f t="shared" si="606"/>
        <v>2H33E</v>
      </c>
      <c r="EU309" s="1226" t="str">
        <f t="shared" si="606"/>
        <v>FY33E</v>
      </c>
      <c r="EV309" s="352" t="str">
        <f t="shared" si="606"/>
        <v>1H34E</v>
      </c>
      <c r="EW309" s="352" t="str">
        <f t="shared" si="606"/>
        <v>2H34E</v>
      </c>
      <c r="EX309" s="1226" t="str">
        <f t="shared" si="606"/>
        <v>FY34E</v>
      </c>
      <c r="EY309" s="352" t="str">
        <f t="shared" ref="EY309:FA309" si="607">+EY2</f>
        <v>1H35E</v>
      </c>
      <c r="EZ309" s="352" t="str">
        <f t="shared" si="607"/>
        <v>2H35E</v>
      </c>
      <c r="FA309" s="352" t="str">
        <f t="shared" si="607"/>
        <v>FY35E</v>
      </c>
    </row>
    <row r="310" spans="1:157" ht="13.35" customHeight="1" thickBot="1">
      <c r="A310" s="425"/>
      <c r="B310" s="324" t="s">
        <v>899</v>
      </c>
      <c r="C310" s="426"/>
      <c r="D310" s="425"/>
      <c r="E310" s="427"/>
      <c r="F310" s="427"/>
      <c r="G310" s="427"/>
      <c r="H310" s="427"/>
      <c r="I310" s="427"/>
      <c r="J310" s="427"/>
      <c r="K310" s="427"/>
      <c r="L310" s="427"/>
      <c r="M310" s="427"/>
      <c r="N310" s="427"/>
      <c r="O310" s="427"/>
      <c r="P310" s="427"/>
      <c r="Q310" s="427"/>
      <c r="R310" s="427"/>
      <c r="S310" s="427"/>
      <c r="T310" s="427"/>
      <c r="U310" s="427"/>
      <c r="V310" s="427"/>
      <c r="W310" s="427"/>
      <c r="X310" s="427"/>
      <c r="Y310" s="427"/>
      <c r="Z310" s="427"/>
      <c r="AA310" s="427"/>
      <c r="AB310" s="427"/>
      <c r="AC310" s="427"/>
      <c r="AD310" s="427"/>
      <c r="AE310" s="427"/>
      <c r="AF310" s="427"/>
      <c r="AG310" s="427"/>
      <c r="AH310" s="427"/>
      <c r="AI310" s="427"/>
      <c r="AJ310" s="427"/>
      <c r="AK310" s="427"/>
      <c r="AL310" s="427"/>
      <c r="AM310" s="427"/>
      <c r="AN310" s="427"/>
      <c r="AO310" s="427"/>
      <c r="AP310" s="427"/>
      <c r="AQ310" s="427"/>
      <c r="AR310" s="427"/>
      <c r="AS310" s="427"/>
      <c r="AT310" s="427"/>
      <c r="AU310" s="427"/>
      <c r="AV310" s="427"/>
      <c r="AW310" s="427"/>
      <c r="AX310" s="427"/>
      <c r="AY310" s="427"/>
      <c r="AZ310" s="427"/>
      <c r="BA310" s="427"/>
      <c r="BB310" s="427"/>
      <c r="BC310" s="427"/>
      <c r="BD310" s="427"/>
      <c r="BE310" s="427"/>
      <c r="BF310" s="427"/>
      <c r="BG310" s="427"/>
      <c r="BH310" s="427"/>
      <c r="BI310" s="427"/>
      <c r="BJ310" s="427"/>
      <c r="BK310" s="427"/>
      <c r="BL310" s="427"/>
      <c r="BM310" s="427"/>
      <c r="BN310" s="427"/>
      <c r="BO310" s="427"/>
      <c r="BP310" s="427"/>
      <c r="BQ310" s="427"/>
      <c r="BR310" s="427"/>
      <c r="BS310" s="427"/>
      <c r="BT310" s="427"/>
      <c r="BU310" s="427"/>
      <c r="BV310" s="427"/>
      <c r="BW310" s="427"/>
      <c r="BX310" s="427"/>
      <c r="BY310" s="427"/>
      <c r="BZ310" s="427"/>
      <c r="CA310" s="427"/>
      <c r="CB310" s="427"/>
      <c r="CC310" s="427"/>
      <c r="CD310" s="427"/>
      <c r="CE310" s="427"/>
      <c r="CF310" s="427"/>
      <c r="CG310" s="427"/>
      <c r="CH310" s="427"/>
      <c r="CI310" s="427"/>
      <c r="CJ310" s="427"/>
      <c r="CK310" s="427"/>
      <c r="CL310" s="427"/>
      <c r="CM310" s="427"/>
      <c r="CN310" s="427"/>
      <c r="CO310" s="427"/>
      <c r="CP310" s="427"/>
      <c r="CQ310" s="427"/>
      <c r="CR310" s="427"/>
      <c r="CS310" s="427"/>
      <c r="CT310" s="427"/>
      <c r="CU310" s="427"/>
      <c r="CV310" s="427"/>
      <c r="CW310" s="427"/>
      <c r="CX310" s="427"/>
      <c r="CY310" s="427"/>
      <c r="CZ310" s="427"/>
      <c r="DA310" s="427"/>
      <c r="DB310" s="427"/>
      <c r="DC310" s="427"/>
      <c r="DD310" s="427"/>
      <c r="DE310" s="427"/>
      <c r="DF310" s="427"/>
      <c r="DG310" s="427"/>
      <c r="DH310" s="427"/>
      <c r="DI310" s="427"/>
      <c r="DJ310" s="427"/>
      <c r="DK310" s="1208"/>
      <c r="DL310" s="359"/>
      <c r="DM310" s="359"/>
      <c r="DN310" s="1208"/>
      <c r="DO310" s="359"/>
      <c r="DP310" s="359"/>
      <c r="DQ310" s="1208"/>
      <c r="DR310" s="359"/>
      <c r="DS310" s="359"/>
      <c r="DT310" s="1208"/>
      <c r="DU310" s="359"/>
      <c r="DV310" s="359"/>
      <c r="DW310" s="1208"/>
      <c r="DX310" s="359"/>
      <c r="DY310" s="359"/>
      <c r="DZ310" s="1208"/>
      <c r="EA310" s="359"/>
      <c r="EB310" s="359"/>
      <c r="EC310" s="1208"/>
      <c r="ED310" s="359"/>
      <c r="EE310" s="359"/>
      <c r="EF310" s="1208"/>
      <c r="EG310" s="359"/>
      <c r="EH310" s="359"/>
      <c r="EI310" s="1208"/>
      <c r="EJ310" s="359"/>
      <c r="EK310" s="359"/>
      <c r="EL310" s="1208"/>
      <c r="EM310" s="359"/>
      <c r="EN310" s="359"/>
      <c r="EO310" s="1208"/>
      <c r="EP310" s="359"/>
      <c r="EQ310" s="359"/>
      <c r="ER310" s="1208"/>
      <c r="ES310" s="359"/>
      <c r="ET310" s="359"/>
      <c r="EU310" s="1208"/>
      <c r="EV310" s="359"/>
      <c r="EW310" s="359"/>
      <c r="EX310" s="1208"/>
      <c r="EY310" s="359"/>
      <c r="EZ310" s="359"/>
      <c r="FA310" s="359"/>
    </row>
    <row r="311" spans="1:157" ht="13.35" customHeight="1">
      <c r="A311" s="23"/>
      <c r="B311" s="5" t="s">
        <v>900</v>
      </c>
      <c r="C311" s="5"/>
      <c r="D311" s="428"/>
      <c r="E311" s="363"/>
      <c r="F311" s="363"/>
      <c r="G311" s="363"/>
      <c r="H311" s="363"/>
      <c r="I311" s="363"/>
      <c r="J311" s="363"/>
      <c r="K311" s="363"/>
      <c r="L311" s="363"/>
      <c r="M311" s="363"/>
      <c r="N311" s="363"/>
      <c r="O311" s="363"/>
      <c r="P311" s="363"/>
      <c r="Q311" s="363"/>
      <c r="R311" s="363"/>
      <c r="S311" s="363"/>
      <c r="T311" s="363"/>
      <c r="U311" s="363"/>
      <c r="V311" s="429"/>
      <c r="W311" s="272"/>
      <c r="X311" s="272"/>
      <c r="Y311" s="429"/>
      <c r="Z311" s="272"/>
      <c r="AA311" s="272"/>
      <c r="AB311" s="429"/>
      <c r="AC311" s="272"/>
      <c r="AD311" s="272"/>
      <c r="AE311" s="429"/>
      <c r="AF311" s="272"/>
      <c r="AG311" s="272"/>
      <c r="AH311" s="429"/>
      <c r="AI311" s="272"/>
      <c r="AJ311" s="272"/>
      <c r="AK311" s="429"/>
      <c r="AL311" s="272"/>
      <c r="AM311" s="272"/>
      <c r="AN311" s="429"/>
      <c r="AO311" s="272"/>
      <c r="AP311" s="272"/>
      <c r="AQ311" s="429"/>
      <c r="AR311" s="430"/>
      <c r="AS311" s="430"/>
      <c r="AT311" s="431"/>
      <c r="AU311" s="430"/>
      <c r="AV311" s="430"/>
      <c r="AW311" s="431"/>
      <c r="AX311" s="430"/>
      <c r="AY311" s="430"/>
      <c r="AZ311" s="431"/>
      <c r="BA311" s="430"/>
      <c r="BB311" s="430"/>
      <c r="BC311" s="431"/>
      <c r="BD311" s="430"/>
      <c r="BE311" s="430"/>
      <c r="BF311" s="431"/>
      <c r="BG311" s="430"/>
      <c r="BH311" s="430"/>
      <c r="BI311" s="431"/>
      <c r="BJ311" s="430"/>
      <c r="BK311" s="430"/>
      <c r="BL311" s="431"/>
      <c r="BM311" s="430"/>
      <c r="BN311" s="430"/>
      <c r="BO311" s="431"/>
      <c r="BP311" s="430"/>
      <c r="BQ311" s="430"/>
      <c r="BR311" s="431"/>
      <c r="BS311" s="430"/>
      <c r="BT311" s="430"/>
      <c r="BU311" s="431"/>
      <c r="BV311" s="430"/>
      <c r="BW311" s="430"/>
      <c r="BX311" s="431"/>
      <c r="BY311" s="430"/>
      <c r="BZ311" s="430"/>
      <c r="CA311" s="431"/>
      <c r="CB311" s="430"/>
      <c r="CC311" s="430"/>
      <c r="CD311" s="431"/>
      <c r="CE311" s="430"/>
      <c r="CF311" s="430"/>
      <c r="CG311" s="431"/>
      <c r="CH311" s="430"/>
      <c r="CI311" s="430"/>
      <c r="CJ311" s="431"/>
      <c r="CK311" s="430"/>
      <c r="CL311" s="430"/>
      <c r="CM311" s="431"/>
      <c r="CN311" s="430"/>
      <c r="CO311" s="430"/>
      <c r="CP311" s="431"/>
      <c r="CQ311" s="430"/>
      <c r="CR311" s="430"/>
      <c r="CS311" s="431"/>
      <c r="CT311" s="430"/>
      <c r="CU311" s="430"/>
      <c r="CV311" s="431"/>
      <c r="CW311" s="430"/>
      <c r="CX311" s="430"/>
      <c r="CY311" s="431"/>
      <c r="CZ311" s="430"/>
      <c r="DA311" s="430"/>
      <c r="DB311" s="431"/>
      <c r="DC311" s="430"/>
      <c r="DD311" s="430"/>
      <c r="DE311" s="431"/>
      <c r="DF311" s="430"/>
      <c r="DG311" s="430"/>
      <c r="DH311" s="431"/>
      <c r="DI311" s="430"/>
      <c r="DJ311" s="430"/>
      <c r="DK311" s="1227"/>
      <c r="DL311" s="412"/>
      <c r="DM311" s="412"/>
      <c r="DN311" s="1227"/>
      <c r="DO311" s="412"/>
      <c r="DP311" s="412"/>
      <c r="DQ311" s="1227"/>
      <c r="DR311" s="412"/>
      <c r="DS311" s="412"/>
      <c r="DT311" s="1227"/>
      <c r="DU311" s="412"/>
      <c r="DV311" s="412"/>
      <c r="DW311" s="1227"/>
      <c r="DX311" s="412"/>
      <c r="DY311" s="412"/>
      <c r="DZ311" s="1227"/>
      <c r="EA311" s="412"/>
      <c r="EB311" s="412"/>
      <c r="EC311" s="1227"/>
      <c r="ED311" s="412"/>
      <c r="EE311" s="412"/>
      <c r="EF311" s="1227"/>
      <c r="EG311" s="412"/>
      <c r="EH311" s="412"/>
      <c r="EI311" s="1227"/>
      <c r="EJ311" s="412"/>
      <c r="EK311" s="412"/>
      <c r="EL311" s="1227"/>
      <c r="EM311" s="412"/>
      <c r="EN311" s="412"/>
      <c r="EO311" s="1227"/>
      <c r="EP311" s="412"/>
      <c r="EQ311" s="412"/>
      <c r="ER311" s="1227"/>
      <c r="ES311" s="412"/>
      <c r="ET311" s="412"/>
      <c r="EU311" s="1227"/>
      <c r="EV311" s="412"/>
      <c r="EW311" s="412"/>
      <c r="EX311" s="1227"/>
      <c r="EY311" s="412"/>
      <c r="EZ311" s="412"/>
      <c r="FA311" s="414"/>
    </row>
    <row r="312" spans="1:157" ht="13.35" customHeight="1">
      <c r="A312" s="23"/>
      <c r="B312" s="5" t="s">
        <v>900</v>
      </c>
      <c r="C312" s="5"/>
      <c r="D312" s="410"/>
      <c r="E312" s="432"/>
      <c r="F312" s="432"/>
      <c r="G312" s="356"/>
      <c r="H312" s="356"/>
      <c r="I312" s="356"/>
      <c r="J312" s="356"/>
      <c r="K312" s="356"/>
      <c r="L312" s="356"/>
      <c r="M312" s="356"/>
      <c r="N312" s="356"/>
      <c r="O312" s="356"/>
      <c r="P312" s="356"/>
      <c r="Q312" s="356"/>
      <c r="R312" s="356"/>
      <c r="S312" s="356"/>
      <c r="T312" s="356"/>
      <c r="U312" s="356"/>
      <c r="V312" s="356"/>
      <c r="W312" s="356"/>
      <c r="X312" s="356"/>
      <c r="Y312" s="356"/>
      <c r="Z312" s="356"/>
      <c r="AA312" s="356"/>
      <c r="AB312" s="356"/>
      <c r="AC312" s="356"/>
      <c r="AD312" s="356"/>
      <c r="AE312" s="356"/>
      <c r="AF312" s="356"/>
      <c r="AG312" s="356"/>
      <c r="AH312" s="356"/>
      <c r="AI312" s="356"/>
      <c r="AJ312" s="356"/>
      <c r="AK312" s="356"/>
      <c r="AL312" s="356"/>
      <c r="AM312" s="356"/>
      <c r="AN312" s="356"/>
      <c r="AO312" s="356"/>
      <c r="AP312" s="356"/>
      <c r="AQ312" s="356"/>
      <c r="AR312" s="357"/>
      <c r="AS312" s="357"/>
      <c r="AT312" s="357"/>
      <c r="AU312" s="357"/>
      <c r="AV312" s="357"/>
      <c r="AW312" s="357"/>
      <c r="AX312" s="357"/>
      <c r="AY312" s="357"/>
      <c r="AZ312" s="357"/>
      <c r="BA312" s="357"/>
      <c r="BB312" s="357"/>
      <c r="BC312" s="357"/>
      <c r="BD312" s="357"/>
      <c r="BE312" s="357"/>
      <c r="BF312" s="357"/>
      <c r="BG312" s="357"/>
      <c r="BH312" s="357"/>
      <c r="BI312" s="357"/>
      <c r="BJ312" s="357"/>
      <c r="BK312" s="357"/>
      <c r="BL312" s="357"/>
      <c r="BM312" s="357"/>
      <c r="BN312" s="357"/>
      <c r="BO312" s="416"/>
      <c r="BP312" s="357"/>
      <c r="BQ312" s="357"/>
      <c r="BR312" s="416"/>
      <c r="BS312" s="357"/>
      <c r="BT312" s="357"/>
      <c r="BU312" s="416"/>
      <c r="BV312" s="357"/>
      <c r="BW312" s="357"/>
      <c r="BX312" s="416"/>
      <c r="BY312" s="357"/>
      <c r="BZ312" s="357"/>
      <c r="CA312" s="416"/>
      <c r="CB312" s="357"/>
      <c r="CC312" s="357"/>
      <c r="CD312" s="416"/>
      <c r="CE312" s="357"/>
      <c r="CF312" s="357"/>
      <c r="CG312" s="416"/>
      <c r="CH312" s="357"/>
      <c r="CI312" s="357"/>
      <c r="CJ312" s="416"/>
      <c r="CK312" s="357"/>
      <c r="CL312" s="357"/>
      <c r="CM312" s="416"/>
      <c r="CN312" s="357"/>
      <c r="CO312" s="357"/>
      <c r="CP312" s="416"/>
      <c r="CQ312" s="357"/>
      <c r="CR312" s="357"/>
      <c r="CS312" s="416"/>
      <c r="CT312" s="357"/>
      <c r="CU312" s="357"/>
      <c r="CV312" s="416"/>
      <c r="CW312" s="357"/>
      <c r="CX312" s="357"/>
      <c r="CY312" s="416"/>
      <c r="CZ312" s="357"/>
      <c r="DA312" s="357"/>
      <c r="DB312" s="416"/>
      <c r="DC312" s="357"/>
      <c r="DD312" s="357"/>
      <c r="DE312" s="416"/>
      <c r="DF312" s="357"/>
      <c r="DG312" s="357"/>
      <c r="DH312" s="416"/>
      <c r="DI312" s="357"/>
      <c r="DJ312" s="357"/>
      <c r="DK312" s="1205"/>
      <c r="DL312" s="357"/>
      <c r="DM312" s="357"/>
      <c r="DN312" s="1205"/>
      <c r="DO312" s="357"/>
      <c r="DP312" s="357"/>
      <c r="DQ312" s="1205"/>
      <c r="DR312" s="357"/>
      <c r="DS312" s="357"/>
      <c r="DT312" s="1205"/>
      <c r="DU312" s="357"/>
      <c r="DV312" s="357"/>
      <c r="DW312" s="1205"/>
      <c r="DX312" s="357"/>
      <c r="DY312" s="357"/>
      <c r="DZ312" s="1205"/>
      <c r="EA312" s="357"/>
      <c r="EB312" s="357"/>
      <c r="EC312" s="1205"/>
      <c r="ED312" s="357"/>
      <c r="EE312" s="357"/>
      <c r="EF312" s="1205"/>
      <c r="EG312" s="357"/>
      <c r="EH312" s="357"/>
      <c r="EI312" s="1205"/>
      <c r="EJ312" s="357"/>
      <c r="EK312" s="357"/>
      <c r="EL312" s="1205"/>
      <c r="EM312" s="357"/>
      <c r="EN312" s="357"/>
      <c r="EO312" s="1205"/>
      <c r="EP312" s="357"/>
      <c r="EQ312" s="357"/>
      <c r="ER312" s="1205"/>
      <c r="ES312" s="357"/>
      <c r="ET312" s="357"/>
      <c r="EU312" s="1205"/>
      <c r="EV312" s="357"/>
      <c r="EW312" s="357"/>
      <c r="EX312" s="1205"/>
      <c r="EY312" s="357"/>
      <c r="EZ312" s="357"/>
      <c r="FA312" s="416"/>
    </row>
    <row r="313" spans="1:157" ht="13.35" customHeight="1">
      <c r="A313" s="23"/>
      <c r="B313" s="5" t="s">
        <v>900</v>
      </c>
      <c r="C313" s="5"/>
      <c r="D313" s="428"/>
      <c r="E313" s="363"/>
      <c r="F313" s="363"/>
      <c r="G313" s="363"/>
      <c r="H313" s="363"/>
      <c r="I313" s="363"/>
      <c r="J313" s="363"/>
      <c r="K313" s="363"/>
      <c r="L313" s="363"/>
      <c r="M313" s="363"/>
      <c r="N313" s="363"/>
      <c r="O313" s="363"/>
      <c r="P313" s="363"/>
      <c r="Q313" s="363"/>
      <c r="R313" s="363"/>
      <c r="S313" s="363"/>
      <c r="T313" s="363"/>
      <c r="U313" s="363"/>
      <c r="V313" s="429"/>
      <c r="W313" s="272"/>
      <c r="X313" s="272"/>
      <c r="Y313" s="429"/>
      <c r="Z313" s="272"/>
      <c r="AA313" s="272"/>
      <c r="AB313" s="429"/>
      <c r="AC313" s="272"/>
      <c r="AD313" s="272"/>
      <c r="AE313" s="429"/>
      <c r="AF313" s="272"/>
      <c r="AG313" s="272"/>
      <c r="AH313" s="429"/>
      <c r="AI313" s="272"/>
      <c r="AJ313" s="272"/>
      <c r="AK313" s="429"/>
      <c r="AL313" s="272"/>
      <c r="AM313" s="272"/>
      <c r="AN313" s="429"/>
      <c r="AO313" s="272"/>
      <c r="AP313" s="272"/>
      <c r="AQ313" s="363"/>
      <c r="AR313" s="433"/>
      <c r="AS313" s="433"/>
      <c r="AT313" s="433"/>
      <c r="AU313" s="433"/>
      <c r="AV313" s="433"/>
      <c r="AW313" s="433"/>
      <c r="AX313" s="433"/>
      <c r="AY313" s="433"/>
      <c r="AZ313" s="433"/>
      <c r="BA313" s="433"/>
      <c r="BB313" s="433"/>
      <c r="BC313" s="433"/>
      <c r="BD313" s="433"/>
      <c r="BE313" s="433"/>
      <c r="BF313" s="433"/>
      <c r="BG313" s="433"/>
      <c r="BH313" s="433"/>
      <c r="BI313" s="433"/>
      <c r="BJ313" s="433"/>
      <c r="BK313" s="433"/>
      <c r="BL313" s="433"/>
      <c r="BM313" s="433"/>
      <c r="BN313" s="433"/>
      <c r="BO313" s="434"/>
      <c r="BP313" s="433"/>
      <c r="BQ313" s="433"/>
      <c r="BR313" s="434"/>
      <c r="BS313" s="433"/>
      <c r="BT313" s="433"/>
      <c r="BU313" s="434"/>
      <c r="BV313" s="433"/>
      <c r="BW313" s="433"/>
      <c r="BX313" s="434"/>
      <c r="BY313" s="433"/>
      <c r="BZ313" s="433"/>
      <c r="CA313" s="434"/>
      <c r="CB313" s="433"/>
      <c r="CC313" s="433"/>
      <c r="CD313" s="434"/>
      <c r="CE313" s="433"/>
      <c r="CF313" s="433"/>
      <c r="CG313" s="434"/>
      <c r="CH313" s="433"/>
      <c r="CI313" s="433"/>
      <c r="CJ313" s="434"/>
      <c r="CK313" s="433"/>
      <c r="CL313" s="433"/>
      <c r="CM313" s="434"/>
      <c r="CN313" s="433"/>
      <c r="CO313" s="433"/>
      <c r="CP313" s="434"/>
      <c r="CQ313" s="433"/>
      <c r="CR313" s="433"/>
      <c r="CS313" s="434"/>
      <c r="CT313" s="433"/>
      <c r="CU313" s="433"/>
      <c r="CV313" s="434"/>
      <c r="CW313" s="433"/>
      <c r="CX313" s="433"/>
      <c r="CY313" s="434"/>
      <c r="CZ313" s="433"/>
      <c r="DA313" s="433"/>
      <c r="DB313" s="434"/>
      <c r="DC313" s="433"/>
      <c r="DD313" s="433"/>
      <c r="DE313" s="434"/>
      <c r="DF313" s="433"/>
      <c r="DG313" s="433"/>
      <c r="DH313" s="434"/>
      <c r="DI313" s="433"/>
      <c r="DJ313" s="433"/>
      <c r="DK313" s="1230"/>
      <c r="DL313" s="433"/>
      <c r="DM313" s="433"/>
      <c r="DN313" s="1230"/>
      <c r="DO313" s="433"/>
      <c r="DP313" s="433"/>
      <c r="DQ313" s="1230"/>
      <c r="DR313" s="433"/>
      <c r="DS313" s="433"/>
      <c r="DT313" s="1230"/>
      <c r="DU313" s="433"/>
      <c r="DV313" s="433"/>
      <c r="DW313" s="1230"/>
      <c r="DX313" s="433"/>
      <c r="DY313" s="433"/>
      <c r="DZ313" s="1230"/>
      <c r="EA313" s="433"/>
      <c r="EB313" s="433"/>
      <c r="EC313" s="1230"/>
      <c r="ED313" s="433"/>
      <c r="EE313" s="433"/>
      <c r="EF313" s="1230"/>
      <c r="EG313" s="433"/>
      <c r="EH313" s="433"/>
      <c r="EI313" s="1230"/>
      <c r="EJ313" s="433"/>
      <c r="EK313" s="433"/>
      <c r="EL313" s="1230"/>
      <c r="EM313" s="433"/>
      <c r="EN313" s="433"/>
      <c r="EO313" s="1230"/>
      <c r="EP313" s="433"/>
      <c r="EQ313" s="433"/>
      <c r="ER313" s="1230"/>
      <c r="ES313" s="433"/>
      <c r="ET313" s="433"/>
      <c r="EU313" s="1230"/>
      <c r="EV313" s="433"/>
      <c r="EW313" s="433"/>
      <c r="EX313" s="1230"/>
      <c r="EY313" s="433"/>
      <c r="EZ313" s="433"/>
      <c r="FA313" s="434"/>
    </row>
    <row r="314" spans="1:157" ht="13.35" customHeight="1">
      <c r="A314" s="23"/>
      <c r="B314" s="5" t="s">
        <v>900</v>
      </c>
      <c r="C314" s="5"/>
      <c r="D314" s="410"/>
      <c r="E314" s="328"/>
      <c r="F314" s="328"/>
      <c r="G314" s="356"/>
      <c r="H314" s="356"/>
      <c r="I314" s="356"/>
      <c r="J314" s="356"/>
      <c r="K314" s="356"/>
      <c r="L314" s="356"/>
      <c r="M314" s="356"/>
      <c r="N314" s="356"/>
      <c r="O314" s="356"/>
      <c r="P314" s="356"/>
      <c r="Q314" s="356"/>
      <c r="R314" s="356"/>
      <c r="S314" s="356"/>
      <c r="T314" s="356"/>
      <c r="U314" s="356"/>
      <c r="V314" s="356"/>
      <c r="W314" s="356"/>
      <c r="X314" s="356"/>
      <c r="Y314" s="356"/>
      <c r="Z314" s="356"/>
      <c r="AA314" s="356"/>
      <c r="AB314" s="356"/>
      <c r="AC314" s="356"/>
      <c r="AD314" s="356"/>
      <c r="AE314" s="356"/>
      <c r="AF314" s="356"/>
      <c r="AG314" s="356"/>
      <c r="AH314" s="356"/>
      <c r="AI314" s="356"/>
      <c r="AJ314" s="356"/>
      <c r="AK314" s="356"/>
      <c r="AL314" s="356"/>
      <c r="AM314" s="356"/>
      <c r="AN314" s="356"/>
      <c r="AO314" s="356"/>
      <c r="AP314" s="356"/>
      <c r="AQ314" s="356"/>
      <c r="AR314" s="357"/>
      <c r="AS314" s="357"/>
      <c r="AT314" s="357"/>
      <c r="AU314" s="357"/>
      <c r="AV314" s="357"/>
      <c r="AW314" s="357"/>
      <c r="AX314" s="357"/>
      <c r="AY314" s="357"/>
      <c r="AZ314" s="357"/>
      <c r="BA314" s="357"/>
      <c r="BB314" s="357"/>
      <c r="BC314" s="357"/>
      <c r="BD314" s="357"/>
      <c r="BE314" s="357"/>
      <c r="BF314" s="357"/>
      <c r="BG314" s="357"/>
      <c r="BH314" s="357"/>
      <c r="BI314" s="357"/>
      <c r="BJ314" s="357"/>
      <c r="BK314" s="357"/>
      <c r="BL314" s="357"/>
      <c r="BM314" s="357"/>
      <c r="BN314" s="357"/>
      <c r="BO314" s="416"/>
      <c r="BP314" s="357"/>
      <c r="BQ314" s="357"/>
      <c r="BR314" s="416"/>
      <c r="BS314" s="357"/>
      <c r="BT314" s="357"/>
      <c r="BU314" s="416"/>
      <c r="BV314" s="357"/>
      <c r="BW314" s="357"/>
      <c r="BX314" s="416"/>
      <c r="BY314" s="357"/>
      <c r="BZ314" s="357"/>
      <c r="CA314" s="416"/>
      <c r="CB314" s="357"/>
      <c r="CC314" s="357"/>
      <c r="CD314" s="416"/>
      <c r="CE314" s="357"/>
      <c r="CF314" s="357"/>
      <c r="CG314" s="416"/>
      <c r="CH314" s="357"/>
      <c r="CI314" s="357"/>
      <c r="CJ314" s="416"/>
      <c r="CK314" s="357"/>
      <c r="CL314" s="357"/>
      <c r="CM314" s="416"/>
      <c r="CN314" s="357"/>
      <c r="CO314" s="357"/>
      <c r="CP314" s="416"/>
      <c r="CQ314" s="357"/>
      <c r="CR314" s="357"/>
      <c r="CS314" s="416"/>
      <c r="CT314" s="357"/>
      <c r="CU314" s="357"/>
      <c r="CV314" s="416"/>
      <c r="CW314" s="357"/>
      <c r="CX314" s="357"/>
      <c r="CY314" s="416"/>
      <c r="CZ314" s="357"/>
      <c r="DA314" s="357"/>
      <c r="DB314" s="416"/>
      <c r="DC314" s="357"/>
      <c r="DD314" s="357"/>
      <c r="DE314" s="416"/>
      <c r="DF314" s="357"/>
      <c r="DG314" s="357"/>
      <c r="DH314" s="416"/>
      <c r="DI314" s="357"/>
      <c r="DJ314" s="357"/>
      <c r="DK314" s="1205"/>
      <c r="DL314" s="357"/>
      <c r="DM314" s="357"/>
      <c r="DN314" s="1205"/>
      <c r="DO314" s="357"/>
      <c r="DP314" s="357"/>
      <c r="DQ314" s="1205"/>
      <c r="DR314" s="357"/>
      <c r="DS314" s="357"/>
      <c r="DT314" s="1205"/>
      <c r="DU314" s="357"/>
      <c r="DV314" s="357"/>
      <c r="DW314" s="1205"/>
      <c r="DX314" s="357"/>
      <c r="DY314" s="357"/>
      <c r="DZ314" s="1205"/>
      <c r="EA314" s="357"/>
      <c r="EB314" s="357"/>
      <c r="EC314" s="1205"/>
      <c r="ED314" s="357"/>
      <c r="EE314" s="357"/>
      <c r="EF314" s="1205"/>
      <c r="EG314" s="357"/>
      <c r="EH314" s="357"/>
      <c r="EI314" s="1205"/>
      <c r="EJ314" s="357"/>
      <c r="EK314" s="357"/>
      <c r="EL314" s="1205"/>
      <c r="EM314" s="357"/>
      <c r="EN314" s="357"/>
      <c r="EO314" s="1205"/>
      <c r="EP314" s="357"/>
      <c r="EQ314" s="357"/>
      <c r="ER314" s="1205"/>
      <c r="ES314" s="357"/>
      <c r="ET314" s="357"/>
      <c r="EU314" s="1205"/>
      <c r="EV314" s="357"/>
      <c r="EW314" s="357"/>
      <c r="EX314" s="1205"/>
      <c r="EY314" s="357"/>
      <c r="EZ314" s="357"/>
      <c r="FA314" s="416"/>
    </row>
    <row r="315" spans="1:157" ht="13.35" customHeight="1">
      <c r="A315" s="23"/>
      <c r="B315" s="5" t="s">
        <v>900</v>
      </c>
      <c r="C315" s="5"/>
      <c r="D315" s="428"/>
      <c r="E315" s="363"/>
      <c r="F315" s="363"/>
      <c r="G315" s="363"/>
      <c r="H315" s="363"/>
      <c r="I315" s="363"/>
      <c r="J315" s="363"/>
      <c r="K315" s="363"/>
      <c r="L315" s="363"/>
      <c r="M315" s="363"/>
      <c r="N315" s="363"/>
      <c r="O315" s="363"/>
      <c r="P315" s="363"/>
      <c r="Q315" s="363"/>
      <c r="R315" s="363"/>
      <c r="S315" s="363"/>
      <c r="T315" s="363"/>
      <c r="U315" s="363"/>
      <c r="V315" s="429"/>
      <c r="W315" s="272"/>
      <c r="X315" s="272"/>
      <c r="Y315" s="429"/>
      <c r="Z315" s="272"/>
      <c r="AA315" s="272"/>
      <c r="AB315" s="429"/>
      <c r="AC315" s="272"/>
      <c r="AD315" s="272"/>
      <c r="AE315" s="429"/>
      <c r="AF315" s="272"/>
      <c r="AG315" s="272"/>
      <c r="AH315" s="429"/>
      <c r="AI315" s="272"/>
      <c r="AJ315" s="272"/>
      <c r="AK315" s="429"/>
      <c r="AL315" s="272"/>
      <c r="AM315" s="272"/>
      <c r="AN315" s="429"/>
      <c r="AO315" s="272"/>
      <c r="AP315" s="272"/>
      <c r="AQ315" s="363"/>
      <c r="AR315" s="433"/>
      <c r="AS315" s="433"/>
      <c r="AT315" s="433"/>
      <c r="AU315" s="433"/>
      <c r="AV315" s="433"/>
      <c r="AW315" s="433"/>
      <c r="AX315" s="433"/>
      <c r="AY315" s="433"/>
      <c r="AZ315" s="433"/>
      <c r="BA315" s="433"/>
      <c r="BB315" s="433"/>
      <c r="BC315" s="433"/>
      <c r="BD315" s="433"/>
      <c r="BE315" s="433"/>
      <c r="BF315" s="433"/>
      <c r="BG315" s="433"/>
      <c r="BH315" s="433"/>
      <c r="BI315" s="433"/>
      <c r="BJ315" s="433"/>
      <c r="BK315" s="433"/>
      <c r="BL315" s="433"/>
      <c r="BM315" s="433"/>
      <c r="BN315" s="433"/>
      <c r="BO315" s="434"/>
      <c r="BP315" s="433"/>
      <c r="BQ315" s="433"/>
      <c r="BR315" s="434"/>
      <c r="BS315" s="433"/>
      <c r="BT315" s="433"/>
      <c r="BU315" s="434"/>
      <c r="BV315" s="433"/>
      <c r="BW315" s="433"/>
      <c r="BX315" s="434"/>
      <c r="BY315" s="433"/>
      <c r="BZ315" s="433"/>
      <c r="CA315" s="434"/>
      <c r="CB315" s="433"/>
      <c r="CC315" s="433"/>
      <c r="CD315" s="434"/>
      <c r="CE315" s="433"/>
      <c r="CF315" s="433"/>
      <c r="CG315" s="434"/>
      <c r="CH315" s="433"/>
      <c r="CI315" s="433"/>
      <c r="CJ315" s="434"/>
      <c r="CK315" s="433"/>
      <c r="CL315" s="433"/>
      <c r="CM315" s="434"/>
      <c r="CN315" s="433"/>
      <c r="CO315" s="433"/>
      <c r="CP315" s="434"/>
      <c r="CQ315" s="433"/>
      <c r="CR315" s="433"/>
      <c r="CS315" s="434"/>
      <c r="CT315" s="433"/>
      <c r="CU315" s="433"/>
      <c r="CV315" s="434"/>
      <c r="CW315" s="433"/>
      <c r="CX315" s="433"/>
      <c r="CY315" s="434"/>
      <c r="CZ315" s="433"/>
      <c r="DA315" s="433"/>
      <c r="DB315" s="434"/>
      <c r="DC315" s="433"/>
      <c r="DD315" s="433"/>
      <c r="DE315" s="434"/>
      <c r="DF315" s="433"/>
      <c r="DG315" s="433"/>
      <c r="DH315" s="434"/>
      <c r="DI315" s="433"/>
      <c r="DJ315" s="433"/>
      <c r="DK315" s="1230"/>
      <c r="DL315" s="433"/>
      <c r="DM315" s="433"/>
      <c r="DN315" s="1230"/>
      <c r="DO315" s="433"/>
      <c r="DP315" s="433"/>
      <c r="DQ315" s="1230"/>
      <c r="DR315" s="433"/>
      <c r="DS315" s="433"/>
      <c r="DT315" s="1230"/>
      <c r="DU315" s="433"/>
      <c r="DV315" s="433"/>
      <c r="DW315" s="1230"/>
      <c r="DX315" s="433"/>
      <c r="DY315" s="433"/>
      <c r="DZ315" s="1230"/>
      <c r="EA315" s="433"/>
      <c r="EB315" s="433"/>
      <c r="EC315" s="1230"/>
      <c r="ED315" s="433"/>
      <c r="EE315" s="433"/>
      <c r="EF315" s="1230"/>
      <c r="EG315" s="433"/>
      <c r="EH315" s="433"/>
      <c r="EI315" s="1230"/>
      <c r="EJ315" s="433"/>
      <c r="EK315" s="433"/>
      <c r="EL315" s="1230"/>
      <c r="EM315" s="433"/>
      <c r="EN315" s="433"/>
      <c r="EO315" s="1230"/>
      <c r="EP315" s="433"/>
      <c r="EQ315" s="433"/>
      <c r="ER315" s="1230"/>
      <c r="ES315" s="433"/>
      <c r="ET315" s="433"/>
      <c r="EU315" s="1230"/>
      <c r="EV315" s="433"/>
      <c r="EW315" s="433"/>
      <c r="EX315" s="1230"/>
      <c r="EY315" s="433"/>
      <c r="EZ315" s="433"/>
      <c r="FA315" s="434"/>
    </row>
    <row r="316" spans="1:157" ht="13.35" customHeight="1">
      <c r="A316" s="23"/>
      <c r="B316" s="5" t="s">
        <v>900</v>
      </c>
      <c r="C316" s="5"/>
      <c r="D316" s="410"/>
      <c r="E316" s="328"/>
      <c r="F316" s="328"/>
      <c r="G316" s="356"/>
      <c r="H316" s="356"/>
      <c r="I316" s="356"/>
      <c r="J316" s="356"/>
      <c r="K316" s="356"/>
      <c r="L316" s="356"/>
      <c r="M316" s="356"/>
      <c r="N316" s="356"/>
      <c r="O316" s="356"/>
      <c r="P316" s="356"/>
      <c r="Q316" s="356"/>
      <c r="R316" s="356"/>
      <c r="S316" s="356"/>
      <c r="T316" s="356"/>
      <c r="U316" s="356"/>
      <c r="V316" s="356"/>
      <c r="W316" s="356"/>
      <c r="X316" s="356"/>
      <c r="Y316" s="356"/>
      <c r="Z316" s="356"/>
      <c r="AA316" s="356"/>
      <c r="AB316" s="356"/>
      <c r="AC316" s="356"/>
      <c r="AD316" s="356"/>
      <c r="AE316" s="356"/>
      <c r="AF316" s="356"/>
      <c r="AG316" s="356"/>
      <c r="AH316" s="356"/>
      <c r="AI316" s="356"/>
      <c r="AJ316" s="356"/>
      <c r="AK316" s="356"/>
      <c r="AL316" s="356"/>
      <c r="AM316" s="356"/>
      <c r="AN316" s="356"/>
      <c r="AO316" s="356"/>
      <c r="AP316" s="356"/>
      <c r="AQ316" s="356"/>
      <c r="AR316" s="357"/>
      <c r="AS316" s="357"/>
      <c r="AT316" s="357"/>
      <c r="AU316" s="357"/>
      <c r="AV316" s="357"/>
      <c r="AW316" s="357"/>
      <c r="AX316" s="357"/>
      <c r="AY316" s="357"/>
      <c r="AZ316" s="357"/>
      <c r="BA316" s="357"/>
      <c r="BB316" s="357"/>
      <c r="BC316" s="357"/>
      <c r="BD316" s="357"/>
      <c r="BE316" s="357"/>
      <c r="BF316" s="357"/>
      <c r="BG316" s="357"/>
      <c r="BH316" s="357"/>
      <c r="BI316" s="357"/>
      <c r="BJ316" s="357"/>
      <c r="BK316" s="357"/>
      <c r="BL316" s="357"/>
      <c r="BM316" s="357"/>
      <c r="BN316" s="357"/>
      <c r="BO316" s="416"/>
      <c r="BP316" s="357"/>
      <c r="BQ316" s="357"/>
      <c r="BR316" s="416"/>
      <c r="BS316" s="357"/>
      <c r="BT316" s="357"/>
      <c r="BU316" s="416"/>
      <c r="BV316" s="357"/>
      <c r="BW316" s="357"/>
      <c r="BX316" s="416"/>
      <c r="BY316" s="357"/>
      <c r="BZ316" s="357"/>
      <c r="CA316" s="416"/>
      <c r="CB316" s="357"/>
      <c r="CC316" s="357"/>
      <c r="CD316" s="416"/>
      <c r="CE316" s="357"/>
      <c r="CF316" s="357"/>
      <c r="CG316" s="416"/>
      <c r="CH316" s="357"/>
      <c r="CI316" s="357"/>
      <c r="CJ316" s="416"/>
      <c r="CK316" s="357"/>
      <c r="CL316" s="357"/>
      <c r="CM316" s="416"/>
      <c r="CN316" s="357"/>
      <c r="CO316" s="357"/>
      <c r="CP316" s="416"/>
      <c r="CQ316" s="357"/>
      <c r="CR316" s="357"/>
      <c r="CS316" s="416"/>
      <c r="CT316" s="357"/>
      <c r="CU316" s="357"/>
      <c r="CV316" s="416"/>
      <c r="CW316" s="357"/>
      <c r="CX316" s="357"/>
      <c r="CY316" s="416"/>
      <c r="CZ316" s="357"/>
      <c r="DA316" s="357"/>
      <c r="DB316" s="416"/>
      <c r="DC316" s="357"/>
      <c r="DD316" s="357"/>
      <c r="DE316" s="416"/>
      <c r="DF316" s="357"/>
      <c r="DG316" s="357"/>
      <c r="DH316" s="416"/>
      <c r="DI316" s="357"/>
      <c r="DJ316" s="357"/>
      <c r="DK316" s="1205"/>
      <c r="DL316" s="357"/>
      <c r="DM316" s="357"/>
      <c r="DN316" s="1205"/>
      <c r="DO316" s="357"/>
      <c r="DP316" s="357"/>
      <c r="DQ316" s="1205"/>
      <c r="DR316" s="357"/>
      <c r="DS316" s="357"/>
      <c r="DT316" s="1205"/>
      <c r="DU316" s="357"/>
      <c r="DV316" s="357"/>
      <c r="DW316" s="1205"/>
      <c r="DX316" s="357"/>
      <c r="DY316" s="357"/>
      <c r="DZ316" s="1205"/>
      <c r="EA316" s="357"/>
      <c r="EB316" s="357"/>
      <c r="EC316" s="1205"/>
      <c r="ED316" s="357"/>
      <c r="EE316" s="357"/>
      <c r="EF316" s="1205"/>
      <c r="EG316" s="357"/>
      <c r="EH316" s="357"/>
      <c r="EI316" s="1205"/>
      <c r="EJ316" s="357"/>
      <c r="EK316" s="357"/>
      <c r="EL316" s="1205"/>
      <c r="EM316" s="357"/>
      <c r="EN316" s="357"/>
      <c r="EO316" s="1205"/>
      <c r="EP316" s="357"/>
      <c r="EQ316" s="357"/>
      <c r="ER316" s="1205"/>
      <c r="ES316" s="357"/>
      <c r="ET316" s="357"/>
      <c r="EU316" s="1205"/>
      <c r="EV316" s="357"/>
      <c r="EW316" s="357"/>
      <c r="EX316" s="1205"/>
      <c r="EY316" s="357"/>
      <c r="EZ316" s="357"/>
      <c r="FA316" s="416"/>
    </row>
    <row r="317" spans="1:157" ht="13.35" customHeight="1">
      <c r="A317" s="23"/>
      <c r="B317" s="5" t="s">
        <v>900</v>
      </c>
      <c r="C317" s="5"/>
      <c r="D317" s="410"/>
      <c r="E317" s="359"/>
      <c r="F317" s="359"/>
      <c r="G317" s="363"/>
      <c r="H317" s="363"/>
      <c r="I317" s="363"/>
      <c r="J317" s="363"/>
      <c r="K317" s="363"/>
      <c r="L317" s="363"/>
      <c r="M317" s="363"/>
      <c r="N317" s="363"/>
      <c r="O317" s="363"/>
      <c r="P317" s="363"/>
      <c r="Q317" s="363"/>
      <c r="R317" s="363"/>
      <c r="S317" s="363"/>
      <c r="T317" s="363"/>
      <c r="U317" s="363"/>
      <c r="V317" s="429"/>
      <c r="W317" s="272"/>
      <c r="X317" s="272"/>
      <c r="Y317" s="429"/>
      <c r="Z317" s="272"/>
      <c r="AA317" s="272"/>
      <c r="AB317" s="429"/>
      <c r="AC317" s="272"/>
      <c r="AD317" s="272"/>
      <c r="AE317" s="429"/>
      <c r="AF317" s="272"/>
      <c r="AG317" s="272"/>
      <c r="AH317" s="429"/>
      <c r="AI317" s="272"/>
      <c r="AJ317" s="272"/>
      <c r="AK317" s="429"/>
      <c r="AL317" s="272"/>
      <c r="AM317" s="272"/>
      <c r="AN317" s="429"/>
      <c r="AO317" s="272"/>
      <c r="AP317" s="272"/>
      <c r="AQ317" s="363"/>
      <c r="AR317" s="433"/>
      <c r="AS317" s="433"/>
      <c r="AT317" s="433"/>
      <c r="AU317" s="433"/>
      <c r="AV317" s="433"/>
      <c r="AW317" s="433"/>
      <c r="AX317" s="433"/>
      <c r="AY317" s="433"/>
      <c r="AZ317" s="433"/>
      <c r="BA317" s="433"/>
      <c r="BB317" s="433"/>
      <c r="BC317" s="433"/>
      <c r="BD317" s="433"/>
      <c r="BE317" s="433"/>
      <c r="BF317" s="433"/>
      <c r="BG317" s="433"/>
      <c r="BH317" s="433"/>
      <c r="BI317" s="433"/>
      <c r="BJ317" s="433"/>
      <c r="BK317" s="433"/>
      <c r="BL317" s="433"/>
      <c r="BM317" s="433"/>
      <c r="BN317" s="433"/>
      <c r="BO317" s="434"/>
      <c r="BP317" s="433"/>
      <c r="BQ317" s="433"/>
      <c r="BR317" s="434"/>
      <c r="BS317" s="433"/>
      <c r="BT317" s="433"/>
      <c r="BU317" s="434"/>
      <c r="BV317" s="433"/>
      <c r="BW317" s="433"/>
      <c r="BX317" s="434"/>
      <c r="BY317" s="433"/>
      <c r="BZ317" s="433"/>
      <c r="CA317" s="434"/>
      <c r="CB317" s="433"/>
      <c r="CC317" s="433"/>
      <c r="CD317" s="434"/>
      <c r="CE317" s="433"/>
      <c r="CF317" s="433"/>
      <c r="CG317" s="434"/>
      <c r="CH317" s="433"/>
      <c r="CI317" s="433"/>
      <c r="CJ317" s="434"/>
      <c r="CK317" s="433"/>
      <c r="CL317" s="433"/>
      <c r="CM317" s="434"/>
      <c r="CN317" s="433"/>
      <c r="CO317" s="433"/>
      <c r="CP317" s="434"/>
      <c r="CQ317" s="433"/>
      <c r="CR317" s="433"/>
      <c r="CS317" s="434"/>
      <c r="CT317" s="433"/>
      <c r="CU317" s="433"/>
      <c r="CV317" s="434"/>
      <c r="CW317" s="433"/>
      <c r="CX317" s="433"/>
      <c r="CY317" s="434"/>
      <c r="CZ317" s="433"/>
      <c r="DA317" s="433"/>
      <c r="DB317" s="434"/>
      <c r="DC317" s="433"/>
      <c r="DD317" s="433"/>
      <c r="DE317" s="434"/>
      <c r="DF317" s="433"/>
      <c r="DG317" s="433"/>
      <c r="DH317" s="434"/>
      <c r="DI317" s="433"/>
      <c r="DJ317" s="433"/>
      <c r="DK317" s="1230"/>
      <c r="DL317" s="433"/>
      <c r="DM317" s="433"/>
      <c r="DN317" s="1230"/>
      <c r="DO317" s="433"/>
      <c r="DP317" s="433"/>
      <c r="DQ317" s="1230"/>
      <c r="DR317" s="433"/>
      <c r="DS317" s="433"/>
      <c r="DT317" s="1230"/>
      <c r="DU317" s="433"/>
      <c r="DV317" s="433"/>
      <c r="DW317" s="1230"/>
      <c r="DX317" s="433"/>
      <c r="DY317" s="433"/>
      <c r="DZ317" s="1230"/>
      <c r="EA317" s="433"/>
      <c r="EB317" s="433"/>
      <c r="EC317" s="1230"/>
      <c r="ED317" s="433"/>
      <c r="EE317" s="433"/>
      <c r="EF317" s="1230"/>
      <c r="EG317" s="433"/>
      <c r="EH317" s="433"/>
      <c r="EI317" s="1230"/>
      <c r="EJ317" s="433"/>
      <c r="EK317" s="433"/>
      <c r="EL317" s="1230"/>
      <c r="EM317" s="433"/>
      <c r="EN317" s="433"/>
      <c r="EO317" s="1230"/>
      <c r="EP317" s="433"/>
      <c r="EQ317" s="433"/>
      <c r="ER317" s="1230"/>
      <c r="ES317" s="433"/>
      <c r="ET317" s="433"/>
      <c r="EU317" s="1230"/>
      <c r="EV317" s="433"/>
      <c r="EW317" s="433"/>
      <c r="EX317" s="1230"/>
      <c r="EY317" s="433"/>
      <c r="EZ317" s="433"/>
      <c r="FA317" s="434"/>
    </row>
    <row r="318" spans="1:157" ht="13.35" customHeight="1">
      <c r="A318" s="23"/>
      <c r="B318" s="5" t="s">
        <v>900</v>
      </c>
      <c r="C318" s="5"/>
      <c r="D318" s="410"/>
      <c r="E318" s="359"/>
      <c r="F318" s="359"/>
      <c r="G318" s="363"/>
      <c r="H318" s="363"/>
      <c r="I318" s="363"/>
      <c r="J318" s="363"/>
      <c r="K318" s="363"/>
      <c r="L318" s="363"/>
      <c r="M318" s="363"/>
      <c r="N318" s="363"/>
      <c r="O318" s="363"/>
      <c r="P318" s="363"/>
      <c r="Q318" s="363"/>
      <c r="R318" s="363"/>
      <c r="S318" s="363"/>
      <c r="T318" s="363"/>
      <c r="U318" s="363"/>
      <c r="V318" s="429"/>
      <c r="W318" s="272"/>
      <c r="X318" s="272"/>
      <c r="Y318" s="429"/>
      <c r="Z318" s="272"/>
      <c r="AA318" s="272"/>
      <c r="AB318" s="429"/>
      <c r="AC318" s="272"/>
      <c r="AD318" s="272"/>
      <c r="AE318" s="429"/>
      <c r="AF318" s="272"/>
      <c r="AG318" s="272"/>
      <c r="AH318" s="429"/>
      <c r="AI318" s="272"/>
      <c r="AJ318" s="272"/>
      <c r="AK318" s="429"/>
      <c r="AL318" s="272"/>
      <c r="AM318" s="272"/>
      <c r="AN318" s="429"/>
      <c r="AO318" s="272"/>
      <c r="AP318" s="272"/>
      <c r="AQ318" s="363"/>
      <c r="AR318" s="433"/>
      <c r="AS318" s="433"/>
      <c r="AT318" s="433"/>
      <c r="AU318" s="433"/>
      <c r="AV318" s="433"/>
      <c r="AW318" s="433"/>
      <c r="AX318" s="433"/>
      <c r="AY318" s="433"/>
      <c r="AZ318" s="433"/>
      <c r="BA318" s="433"/>
      <c r="BB318" s="433"/>
      <c r="BC318" s="433"/>
      <c r="BD318" s="433"/>
      <c r="BE318" s="433"/>
      <c r="BF318" s="433"/>
      <c r="BG318" s="433"/>
      <c r="BH318" s="433"/>
      <c r="BI318" s="433"/>
      <c r="BJ318" s="433"/>
      <c r="BK318" s="433"/>
      <c r="BL318" s="433"/>
      <c r="BM318" s="433"/>
      <c r="BN318" s="433"/>
      <c r="BO318" s="434"/>
      <c r="BP318" s="433"/>
      <c r="BQ318" s="433"/>
      <c r="BR318" s="434"/>
      <c r="BS318" s="433"/>
      <c r="BT318" s="433"/>
      <c r="BU318" s="434"/>
      <c r="BV318" s="433"/>
      <c r="BW318" s="433"/>
      <c r="BX318" s="434"/>
      <c r="BY318" s="433"/>
      <c r="BZ318" s="433"/>
      <c r="CA318" s="434"/>
      <c r="CB318" s="433"/>
      <c r="CC318" s="433"/>
      <c r="CD318" s="434"/>
      <c r="CE318" s="433"/>
      <c r="CF318" s="433"/>
      <c r="CG318" s="434"/>
      <c r="CH318" s="433"/>
      <c r="CI318" s="433"/>
      <c r="CJ318" s="434"/>
      <c r="CK318" s="433"/>
      <c r="CL318" s="433"/>
      <c r="CM318" s="434"/>
      <c r="CN318" s="433"/>
      <c r="CO318" s="433"/>
      <c r="CP318" s="434"/>
      <c r="CQ318" s="433"/>
      <c r="CR318" s="433"/>
      <c r="CS318" s="434"/>
      <c r="CT318" s="433"/>
      <c r="CU318" s="433"/>
      <c r="CV318" s="434"/>
      <c r="CW318" s="433"/>
      <c r="CX318" s="433"/>
      <c r="CY318" s="434"/>
      <c r="CZ318" s="433"/>
      <c r="DA318" s="433"/>
      <c r="DB318" s="434"/>
      <c r="DC318" s="433"/>
      <c r="DD318" s="433"/>
      <c r="DE318" s="434"/>
      <c r="DF318" s="433"/>
      <c r="DG318" s="433"/>
      <c r="DH318" s="434"/>
      <c r="DI318" s="433"/>
      <c r="DJ318" s="433"/>
      <c r="DK318" s="1230"/>
      <c r="DL318" s="433"/>
      <c r="DM318" s="433"/>
      <c r="DN318" s="1230"/>
      <c r="DO318" s="433"/>
      <c r="DP318" s="433"/>
      <c r="DQ318" s="1230"/>
      <c r="DR318" s="433"/>
      <c r="DS318" s="433"/>
      <c r="DT318" s="1230"/>
      <c r="DU318" s="433"/>
      <c r="DV318" s="433"/>
      <c r="DW318" s="1230"/>
      <c r="DX318" s="433"/>
      <c r="DY318" s="433"/>
      <c r="DZ318" s="1230"/>
      <c r="EA318" s="433"/>
      <c r="EB318" s="433"/>
      <c r="EC318" s="1230"/>
      <c r="ED318" s="433"/>
      <c r="EE318" s="433"/>
      <c r="EF318" s="1230"/>
      <c r="EG318" s="433"/>
      <c r="EH318" s="433"/>
      <c r="EI318" s="1230"/>
      <c r="EJ318" s="433"/>
      <c r="EK318" s="433"/>
      <c r="EL318" s="1230"/>
      <c r="EM318" s="433"/>
      <c r="EN318" s="433"/>
      <c r="EO318" s="1230"/>
      <c r="EP318" s="433"/>
      <c r="EQ318" s="433"/>
      <c r="ER318" s="1230"/>
      <c r="ES318" s="433"/>
      <c r="ET318" s="433"/>
      <c r="EU318" s="1230"/>
      <c r="EV318" s="433"/>
      <c r="EW318" s="433"/>
      <c r="EX318" s="1230"/>
      <c r="EY318" s="433"/>
      <c r="EZ318" s="433"/>
      <c r="FA318" s="434"/>
    </row>
    <row r="319" spans="1:157" ht="13.35" customHeight="1">
      <c r="A319" s="23"/>
      <c r="B319" s="5" t="s">
        <v>900</v>
      </c>
      <c r="C319" s="5"/>
      <c r="D319" s="410"/>
      <c r="E319" s="359"/>
      <c r="F319" s="359"/>
      <c r="G319" s="363"/>
      <c r="H319" s="363"/>
      <c r="I319" s="363"/>
      <c r="J319" s="363"/>
      <c r="K319" s="363"/>
      <c r="L319" s="363"/>
      <c r="M319" s="363"/>
      <c r="N319" s="363"/>
      <c r="O319" s="363"/>
      <c r="P319" s="363"/>
      <c r="Q319" s="363"/>
      <c r="R319" s="363"/>
      <c r="S319" s="363"/>
      <c r="T319" s="363"/>
      <c r="U319" s="363"/>
      <c r="V319" s="429"/>
      <c r="W319" s="272"/>
      <c r="X319" s="272"/>
      <c r="Y319" s="429"/>
      <c r="Z319" s="272"/>
      <c r="AA319" s="272"/>
      <c r="AB319" s="429"/>
      <c r="AC319" s="272"/>
      <c r="AD319" s="272"/>
      <c r="AE319" s="429"/>
      <c r="AF319" s="272"/>
      <c r="AG319" s="272"/>
      <c r="AH319" s="429"/>
      <c r="AI319" s="272"/>
      <c r="AJ319" s="272"/>
      <c r="AK319" s="429"/>
      <c r="AL319" s="272"/>
      <c r="AM319" s="272"/>
      <c r="AN319" s="429"/>
      <c r="AO319" s="272"/>
      <c r="AP319" s="272"/>
      <c r="AQ319" s="363"/>
      <c r="AR319" s="433"/>
      <c r="AS319" s="433"/>
      <c r="AT319" s="433"/>
      <c r="AU319" s="433"/>
      <c r="AV319" s="433"/>
      <c r="AW319" s="433"/>
      <c r="AX319" s="433"/>
      <c r="AY319" s="433"/>
      <c r="AZ319" s="433"/>
      <c r="BA319" s="433"/>
      <c r="BB319" s="433"/>
      <c r="BC319" s="433"/>
      <c r="BD319" s="433"/>
      <c r="BE319" s="433"/>
      <c r="BF319" s="433"/>
      <c r="BG319" s="433"/>
      <c r="BH319" s="433"/>
      <c r="BI319" s="433"/>
      <c r="BJ319" s="433"/>
      <c r="BK319" s="433"/>
      <c r="BL319" s="433"/>
      <c r="BM319" s="433"/>
      <c r="BN319" s="433"/>
      <c r="BO319" s="434"/>
      <c r="BP319" s="433"/>
      <c r="BQ319" s="433"/>
      <c r="BR319" s="434"/>
      <c r="BS319" s="433"/>
      <c r="BT319" s="433"/>
      <c r="BU319" s="434"/>
      <c r="BV319" s="433"/>
      <c r="BW319" s="433"/>
      <c r="BX319" s="434"/>
      <c r="BY319" s="433"/>
      <c r="BZ319" s="433"/>
      <c r="CA319" s="434"/>
      <c r="CB319" s="433"/>
      <c r="CC319" s="433"/>
      <c r="CD319" s="434"/>
      <c r="CE319" s="433"/>
      <c r="CF319" s="433"/>
      <c r="CG319" s="434"/>
      <c r="CH319" s="433"/>
      <c r="CI319" s="433"/>
      <c r="CJ319" s="434"/>
      <c r="CK319" s="433"/>
      <c r="CL319" s="433"/>
      <c r="CM319" s="434"/>
      <c r="CN319" s="433"/>
      <c r="CO319" s="433"/>
      <c r="CP319" s="434"/>
      <c r="CQ319" s="433"/>
      <c r="CR319" s="433"/>
      <c r="CS319" s="434"/>
      <c r="CT319" s="433"/>
      <c r="CU319" s="433"/>
      <c r="CV319" s="434"/>
      <c r="CW319" s="433"/>
      <c r="CX319" s="433"/>
      <c r="CY319" s="434"/>
      <c r="CZ319" s="433"/>
      <c r="DA319" s="433"/>
      <c r="DB319" s="434"/>
      <c r="DC319" s="433"/>
      <c r="DD319" s="433"/>
      <c r="DE319" s="434"/>
      <c r="DF319" s="433"/>
      <c r="DG319" s="433"/>
      <c r="DH319" s="434"/>
      <c r="DI319" s="433"/>
      <c r="DJ319" s="433"/>
      <c r="DK319" s="1230"/>
      <c r="DL319" s="433"/>
      <c r="DM319" s="433"/>
      <c r="DN319" s="1230"/>
      <c r="DO319" s="433"/>
      <c r="DP319" s="433"/>
      <c r="DQ319" s="1230"/>
      <c r="DR319" s="433"/>
      <c r="DS319" s="433"/>
      <c r="DT319" s="1230"/>
      <c r="DU319" s="433"/>
      <c r="DV319" s="433"/>
      <c r="DW319" s="1230"/>
      <c r="DX319" s="433"/>
      <c r="DY319" s="433"/>
      <c r="DZ319" s="1230"/>
      <c r="EA319" s="433"/>
      <c r="EB319" s="433"/>
      <c r="EC319" s="1230"/>
      <c r="ED319" s="433"/>
      <c r="EE319" s="433"/>
      <c r="EF319" s="1230"/>
      <c r="EG319" s="433"/>
      <c r="EH319" s="433"/>
      <c r="EI319" s="1230"/>
      <c r="EJ319" s="433"/>
      <c r="EK319" s="433"/>
      <c r="EL319" s="1230"/>
      <c r="EM319" s="433"/>
      <c r="EN319" s="433"/>
      <c r="EO319" s="1230"/>
      <c r="EP319" s="433"/>
      <c r="EQ319" s="433"/>
      <c r="ER319" s="1230"/>
      <c r="ES319" s="433"/>
      <c r="ET319" s="433"/>
      <c r="EU319" s="1230"/>
      <c r="EV319" s="433"/>
      <c r="EW319" s="433"/>
      <c r="EX319" s="1230"/>
      <c r="EY319" s="433"/>
      <c r="EZ319" s="433"/>
      <c r="FA319" s="434"/>
    </row>
    <row r="320" spans="1:157" ht="13.35" customHeight="1">
      <c r="A320" s="23"/>
      <c r="B320" s="5" t="s">
        <v>900</v>
      </c>
      <c r="C320" s="5"/>
      <c r="D320" s="410"/>
      <c r="E320" s="359"/>
      <c r="F320" s="359"/>
      <c r="G320" s="363"/>
      <c r="H320" s="363"/>
      <c r="I320" s="363"/>
      <c r="J320" s="363"/>
      <c r="K320" s="363"/>
      <c r="L320" s="363"/>
      <c r="M320" s="363"/>
      <c r="N320" s="363"/>
      <c r="O320" s="363"/>
      <c r="P320" s="363"/>
      <c r="Q320" s="363"/>
      <c r="R320" s="363"/>
      <c r="S320" s="363"/>
      <c r="T320" s="363"/>
      <c r="U320" s="363"/>
      <c r="V320" s="429"/>
      <c r="W320" s="272"/>
      <c r="X320" s="272"/>
      <c r="Y320" s="429"/>
      <c r="Z320" s="272"/>
      <c r="AA320" s="272"/>
      <c r="AB320" s="429"/>
      <c r="AC320" s="272"/>
      <c r="AD320" s="272"/>
      <c r="AE320" s="429"/>
      <c r="AF320" s="272"/>
      <c r="AG320" s="272"/>
      <c r="AH320" s="429"/>
      <c r="AI320" s="272"/>
      <c r="AJ320" s="272"/>
      <c r="AK320" s="429"/>
      <c r="AL320" s="272"/>
      <c r="AM320" s="272"/>
      <c r="AN320" s="429"/>
      <c r="AO320" s="272"/>
      <c r="AP320" s="272"/>
      <c r="AQ320" s="363"/>
      <c r="AR320" s="433"/>
      <c r="AS320" s="433"/>
      <c r="AT320" s="433"/>
      <c r="AU320" s="433"/>
      <c r="AV320" s="433"/>
      <c r="AW320" s="433"/>
      <c r="AX320" s="433"/>
      <c r="AY320" s="433"/>
      <c r="AZ320" s="433"/>
      <c r="BA320" s="433"/>
      <c r="BB320" s="433"/>
      <c r="BC320" s="433"/>
      <c r="BD320" s="433"/>
      <c r="BE320" s="433"/>
      <c r="BF320" s="433"/>
      <c r="BG320" s="433"/>
      <c r="BH320" s="433"/>
      <c r="BI320" s="433"/>
      <c r="BJ320" s="433"/>
      <c r="BK320" s="433"/>
      <c r="BL320" s="433"/>
      <c r="BM320" s="433"/>
      <c r="BN320" s="433"/>
      <c r="BO320" s="434"/>
      <c r="BP320" s="433"/>
      <c r="BQ320" s="433"/>
      <c r="BR320" s="434"/>
      <c r="BS320" s="433"/>
      <c r="BT320" s="433"/>
      <c r="BU320" s="434"/>
      <c r="BV320" s="433"/>
      <c r="BW320" s="433"/>
      <c r="BX320" s="434"/>
      <c r="BY320" s="433"/>
      <c r="BZ320" s="433"/>
      <c r="CA320" s="434"/>
      <c r="CB320" s="433"/>
      <c r="CC320" s="433"/>
      <c r="CD320" s="434"/>
      <c r="CE320" s="433"/>
      <c r="CF320" s="433"/>
      <c r="CG320" s="434"/>
      <c r="CH320" s="433"/>
      <c r="CI320" s="433"/>
      <c r="CJ320" s="434"/>
      <c r="CK320" s="433"/>
      <c r="CL320" s="433"/>
      <c r="CM320" s="434"/>
      <c r="CN320" s="433"/>
      <c r="CO320" s="433"/>
      <c r="CP320" s="434"/>
      <c r="CQ320" s="433"/>
      <c r="CR320" s="433"/>
      <c r="CS320" s="434"/>
      <c r="CT320" s="433"/>
      <c r="CU320" s="433"/>
      <c r="CV320" s="434"/>
      <c r="CW320" s="433"/>
      <c r="CX320" s="433"/>
      <c r="CY320" s="434"/>
      <c r="CZ320" s="433"/>
      <c r="DA320" s="433"/>
      <c r="DB320" s="434"/>
      <c r="DC320" s="433"/>
      <c r="DD320" s="433"/>
      <c r="DE320" s="434"/>
      <c r="DF320" s="433"/>
      <c r="DG320" s="433"/>
      <c r="DH320" s="434"/>
      <c r="DI320" s="433"/>
      <c r="DJ320" s="433"/>
      <c r="DK320" s="1230"/>
      <c r="DL320" s="433"/>
      <c r="DM320" s="433"/>
      <c r="DN320" s="1230"/>
      <c r="DO320" s="433"/>
      <c r="DP320" s="433"/>
      <c r="DQ320" s="1230"/>
      <c r="DR320" s="433"/>
      <c r="DS320" s="433"/>
      <c r="DT320" s="1230"/>
      <c r="DU320" s="433"/>
      <c r="DV320" s="433"/>
      <c r="DW320" s="1230"/>
      <c r="DX320" s="433"/>
      <c r="DY320" s="433"/>
      <c r="DZ320" s="1230"/>
      <c r="EA320" s="433"/>
      <c r="EB320" s="433"/>
      <c r="EC320" s="1230"/>
      <c r="ED320" s="433"/>
      <c r="EE320" s="433"/>
      <c r="EF320" s="1230"/>
      <c r="EG320" s="433"/>
      <c r="EH320" s="433"/>
      <c r="EI320" s="1230"/>
      <c r="EJ320" s="433"/>
      <c r="EK320" s="433"/>
      <c r="EL320" s="1230"/>
      <c r="EM320" s="433"/>
      <c r="EN320" s="433"/>
      <c r="EO320" s="1230"/>
      <c r="EP320" s="433"/>
      <c r="EQ320" s="433"/>
      <c r="ER320" s="1230"/>
      <c r="ES320" s="433"/>
      <c r="ET320" s="433"/>
      <c r="EU320" s="1230"/>
      <c r="EV320" s="433"/>
      <c r="EW320" s="433"/>
      <c r="EX320" s="1230"/>
      <c r="EY320" s="433"/>
      <c r="EZ320" s="433"/>
      <c r="FA320" s="434"/>
    </row>
    <row r="321" spans="1:157" ht="13.35" customHeight="1">
      <c r="A321" s="23"/>
      <c r="B321" s="5" t="s">
        <v>900</v>
      </c>
      <c r="C321" s="5"/>
      <c r="D321" s="410"/>
      <c r="E321" s="359"/>
      <c r="F321" s="359"/>
      <c r="G321" s="363"/>
      <c r="H321" s="363"/>
      <c r="I321" s="363"/>
      <c r="J321" s="363"/>
      <c r="K321" s="363"/>
      <c r="L321" s="363"/>
      <c r="M321" s="363"/>
      <c r="N321" s="363"/>
      <c r="O321" s="363"/>
      <c r="P321" s="363"/>
      <c r="Q321" s="363"/>
      <c r="R321" s="363"/>
      <c r="S321" s="363"/>
      <c r="T321" s="363"/>
      <c r="U321" s="363"/>
      <c r="V321" s="429"/>
      <c r="W321" s="272"/>
      <c r="X321" s="272"/>
      <c r="Y321" s="429"/>
      <c r="Z321" s="272"/>
      <c r="AA321" s="272"/>
      <c r="AB321" s="429"/>
      <c r="AC321" s="272"/>
      <c r="AD321" s="272"/>
      <c r="AE321" s="429"/>
      <c r="AF321" s="272"/>
      <c r="AG321" s="272"/>
      <c r="AH321" s="429"/>
      <c r="AI321" s="272"/>
      <c r="AJ321" s="272"/>
      <c r="AK321" s="429"/>
      <c r="AL321" s="272"/>
      <c r="AM321" s="272"/>
      <c r="AN321" s="429"/>
      <c r="AO321" s="272"/>
      <c r="AP321" s="272"/>
      <c r="AQ321" s="363"/>
      <c r="AR321" s="433"/>
      <c r="AS321" s="433"/>
      <c r="AT321" s="433"/>
      <c r="AU321" s="433"/>
      <c r="AV321" s="433"/>
      <c r="AW321" s="433"/>
      <c r="AX321" s="433"/>
      <c r="AY321" s="433"/>
      <c r="AZ321" s="433"/>
      <c r="BA321" s="433"/>
      <c r="BB321" s="433"/>
      <c r="BC321" s="433"/>
      <c r="BD321" s="433"/>
      <c r="BE321" s="433"/>
      <c r="BF321" s="433"/>
      <c r="BG321" s="433"/>
      <c r="BH321" s="433"/>
      <c r="BI321" s="433"/>
      <c r="BJ321" s="433"/>
      <c r="BK321" s="433"/>
      <c r="BL321" s="433"/>
      <c r="BM321" s="433"/>
      <c r="BN321" s="433"/>
      <c r="BO321" s="434"/>
      <c r="BP321" s="433"/>
      <c r="BQ321" s="433"/>
      <c r="BR321" s="434"/>
      <c r="BS321" s="433"/>
      <c r="BT321" s="433"/>
      <c r="BU321" s="434"/>
      <c r="BV321" s="433"/>
      <c r="BW321" s="433"/>
      <c r="BX321" s="434"/>
      <c r="BY321" s="433"/>
      <c r="BZ321" s="433"/>
      <c r="CA321" s="434"/>
      <c r="CB321" s="433"/>
      <c r="CC321" s="433"/>
      <c r="CD321" s="434"/>
      <c r="CE321" s="433"/>
      <c r="CF321" s="433"/>
      <c r="CG321" s="434"/>
      <c r="CH321" s="433"/>
      <c r="CI321" s="433"/>
      <c r="CJ321" s="434"/>
      <c r="CK321" s="433"/>
      <c r="CL321" s="433"/>
      <c r="CM321" s="434"/>
      <c r="CN321" s="433"/>
      <c r="CO321" s="433"/>
      <c r="CP321" s="434"/>
      <c r="CQ321" s="433"/>
      <c r="CR321" s="433"/>
      <c r="CS321" s="434"/>
      <c r="CT321" s="433"/>
      <c r="CU321" s="433"/>
      <c r="CV321" s="434"/>
      <c r="CW321" s="433"/>
      <c r="CX321" s="433"/>
      <c r="CY321" s="434"/>
      <c r="CZ321" s="433"/>
      <c r="DA321" s="433"/>
      <c r="DB321" s="434"/>
      <c r="DC321" s="433"/>
      <c r="DD321" s="433"/>
      <c r="DE321" s="434"/>
      <c r="DF321" s="433"/>
      <c r="DG321" s="433"/>
      <c r="DH321" s="434"/>
      <c r="DI321" s="433"/>
      <c r="DJ321" s="433"/>
      <c r="DK321" s="1230"/>
      <c r="DL321" s="433"/>
      <c r="DM321" s="433"/>
      <c r="DN321" s="1230"/>
      <c r="DO321" s="433"/>
      <c r="DP321" s="433"/>
      <c r="DQ321" s="1230"/>
      <c r="DR321" s="433"/>
      <c r="DS321" s="433"/>
      <c r="DT321" s="1230"/>
      <c r="DU321" s="433"/>
      <c r="DV321" s="433"/>
      <c r="DW321" s="1230"/>
      <c r="DX321" s="433"/>
      <c r="DY321" s="433"/>
      <c r="DZ321" s="1230"/>
      <c r="EA321" s="433"/>
      <c r="EB321" s="433"/>
      <c r="EC321" s="1230"/>
      <c r="ED321" s="433"/>
      <c r="EE321" s="433"/>
      <c r="EF321" s="1230"/>
      <c r="EG321" s="433"/>
      <c r="EH321" s="433"/>
      <c r="EI321" s="1230"/>
      <c r="EJ321" s="433"/>
      <c r="EK321" s="433"/>
      <c r="EL321" s="1230"/>
      <c r="EM321" s="433"/>
      <c r="EN321" s="433"/>
      <c r="EO321" s="1230"/>
      <c r="EP321" s="433"/>
      <c r="EQ321" s="433"/>
      <c r="ER321" s="1230"/>
      <c r="ES321" s="433"/>
      <c r="ET321" s="433"/>
      <c r="EU321" s="1230"/>
      <c r="EV321" s="433"/>
      <c r="EW321" s="433"/>
      <c r="EX321" s="1230"/>
      <c r="EY321" s="433"/>
      <c r="EZ321" s="433"/>
      <c r="FA321" s="434"/>
    </row>
    <row r="322" spans="1:157" ht="13.35" customHeight="1">
      <c r="A322" s="23"/>
      <c r="B322" s="5" t="s">
        <v>900</v>
      </c>
      <c r="C322" s="5"/>
      <c r="D322" s="410"/>
      <c r="E322" s="359"/>
      <c r="F322" s="359"/>
      <c r="G322" s="363"/>
      <c r="H322" s="363"/>
      <c r="I322" s="363"/>
      <c r="J322" s="363"/>
      <c r="K322" s="363"/>
      <c r="L322" s="363"/>
      <c r="M322" s="363"/>
      <c r="N322" s="363"/>
      <c r="O322" s="363"/>
      <c r="P322" s="363"/>
      <c r="Q322" s="363"/>
      <c r="R322" s="363"/>
      <c r="S322" s="363"/>
      <c r="T322" s="363"/>
      <c r="U322" s="363"/>
      <c r="V322" s="429"/>
      <c r="W322" s="272"/>
      <c r="X322" s="272"/>
      <c r="Y322" s="429"/>
      <c r="Z322" s="272"/>
      <c r="AA322" s="272"/>
      <c r="AB322" s="429"/>
      <c r="AC322" s="272"/>
      <c r="AD322" s="272"/>
      <c r="AE322" s="429"/>
      <c r="AF322" s="272"/>
      <c r="AG322" s="272"/>
      <c r="AH322" s="429"/>
      <c r="AI322" s="272"/>
      <c r="AJ322" s="272"/>
      <c r="AK322" s="429"/>
      <c r="AL322" s="272"/>
      <c r="AM322" s="272"/>
      <c r="AN322" s="429"/>
      <c r="AO322" s="272"/>
      <c r="AP322" s="272"/>
      <c r="AQ322" s="363"/>
      <c r="AR322" s="433"/>
      <c r="AS322" s="433"/>
      <c r="AT322" s="433"/>
      <c r="AU322" s="433"/>
      <c r="AV322" s="433"/>
      <c r="AW322" s="433"/>
      <c r="AX322" s="433"/>
      <c r="AY322" s="433"/>
      <c r="AZ322" s="433"/>
      <c r="BA322" s="433"/>
      <c r="BB322" s="433"/>
      <c r="BC322" s="433"/>
      <c r="BD322" s="433"/>
      <c r="BE322" s="433"/>
      <c r="BF322" s="433"/>
      <c r="BG322" s="433"/>
      <c r="BH322" s="433"/>
      <c r="BI322" s="433"/>
      <c r="BJ322" s="433"/>
      <c r="BK322" s="433"/>
      <c r="BL322" s="433"/>
      <c r="BM322" s="433"/>
      <c r="BN322" s="433"/>
      <c r="BO322" s="434"/>
      <c r="BP322" s="433"/>
      <c r="BQ322" s="433"/>
      <c r="BR322" s="434"/>
      <c r="BS322" s="433"/>
      <c r="BT322" s="433"/>
      <c r="BU322" s="434"/>
      <c r="BV322" s="433"/>
      <c r="BW322" s="433"/>
      <c r="BX322" s="434"/>
      <c r="BY322" s="433"/>
      <c r="BZ322" s="433"/>
      <c r="CA322" s="434"/>
      <c r="CB322" s="433"/>
      <c r="CC322" s="433"/>
      <c r="CD322" s="434"/>
      <c r="CE322" s="433"/>
      <c r="CF322" s="433"/>
      <c r="CG322" s="434"/>
      <c r="CH322" s="433"/>
      <c r="CI322" s="433"/>
      <c r="CJ322" s="434"/>
      <c r="CK322" s="433"/>
      <c r="CL322" s="433"/>
      <c r="CM322" s="434"/>
      <c r="CN322" s="433"/>
      <c r="CO322" s="433"/>
      <c r="CP322" s="434"/>
      <c r="CQ322" s="433"/>
      <c r="CR322" s="433"/>
      <c r="CS322" s="434"/>
      <c r="CT322" s="433"/>
      <c r="CU322" s="433"/>
      <c r="CV322" s="434"/>
      <c r="CW322" s="433"/>
      <c r="CX322" s="433"/>
      <c r="CY322" s="434"/>
      <c r="CZ322" s="433"/>
      <c r="DA322" s="433"/>
      <c r="DB322" s="434"/>
      <c r="DC322" s="433"/>
      <c r="DD322" s="433"/>
      <c r="DE322" s="434"/>
      <c r="DF322" s="433"/>
      <c r="DG322" s="433"/>
      <c r="DH322" s="434"/>
      <c r="DI322" s="433"/>
      <c r="DJ322" s="433"/>
      <c r="DK322" s="1230"/>
      <c r="DL322" s="433"/>
      <c r="DM322" s="433"/>
      <c r="DN322" s="1230"/>
      <c r="DO322" s="433"/>
      <c r="DP322" s="433"/>
      <c r="DQ322" s="1230"/>
      <c r="DR322" s="433"/>
      <c r="DS322" s="433"/>
      <c r="DT322" s="1230"/>
      <c r="DU322" s="433"/>
      <c r="DV322" s="433"/>
      <c r="DW322" s="1230"/>
      <c r="DX322" s="433"/>
      <c r="DY322" s="433"/>
      <c r="DZ322" s="1230"/>
      <c r="EA322" s="433"/>
      <c r="EB322" s="433"/>
      <c r="EC322" s="1230"/>
      <c r="ED322" s="433"/>
      <c r="EE322" s="433"/>
      <c r="EF322" s="1230"/>
      <c r="EG322" s="433"/>
      <c r="EH322" s="433"/>
      <c r="EI322" s="1230"/>
      <c r="EJ322" s="433"/>
      <c r="EK322" s="433"/>
      <c r="EL322" s="1230"/>
      <c r="EM322" s="433"/>
      <c r="EN322" s="433"/>
      <c r="EO322" s="1230"/>
      <c r="EP322" s="433"/>
      <c r="EQ322" s="433"/>
      <c r="ER322" s="1230"/>
      <c r="ES322" s="433"/>
      <c r="ET322" s="433"/>
      <c r="EU322" s="1230"/>
      <c r="EV322" s="433"/>
      <c r="EW322" s="433"/>
      <c r="EX322" s="1230"/>
      <c r="EY322" s="433"/>
      <c r="EZ322" s="433"/>
      <c r="FA322" s="434"/>
    </row>
    <row r="323" spans="1:157" ht="13.35" customHeight="1">
      <c r="A323" s="23"/>
      <c r="B323" s="5" t="s">
        <v>900</v>
      </c>
      <c r="C323" s="5"/>
      <c r="D323" s="410"/>
      <c r="E323" s="359"/>
      <c r="F323" s="359"/>
      <c r="G323" s="363"/>
      <c r="H323" s="363"/>
      <c r="I323" s="363"/>
      <c r="J323" s="363"/>
      <c r="K323" s="363"/>
      <c r="L323" s="363"/>
      <c r="M323" s="363"/>
      <c r="N323" s="363"/>
      <c r="O323" s="363"/>
      <c r="P323" s="363"/>
      <c r="Q323" s="363"/>
      <c r="R323" s="363"/>
      <c r="S323" s="363"/>
      <c r="T323" s="363"/>
      <c r="U323" s="363"/>
      <c r="V323" s="429"/>
      <c r="W323" s="272"/>
      <c r="X323" s="272"/>
      <c r="Y323" s="429"/>
      <c r="Z323" s="272"/>
      <c r="AA323" s="272"/>
      <c r="AB323" s="429"/>
      <c r="AC323" s="272"/>
      <c r="AD323" s="272"/>
      <c r="AE323" s="429"/>
      <c r="AF323" s="272"/>
      <c r="AG323" s="272"/>
      <c r="AH323" s="429"/>
      <c r="AI323" s="272"/>
      <c r="AJ323" s="272"/>
      <c r="AK323" s="429"/>
      <c r="AL323" s="272"/>
      <c r="AM323" s="272"/>
      <c r="AN323" s="429"/>
      <c r="AO323" s="272"/>
      <c r="AP323" s="272"/>
      <c r="AQ323" s="363"/>
      <c r="AR323" s="433"/>
      <c r="AS323" s="433"/>
      <c r="AT323" s="433"/>
      <c r="AU323" s="433"/>
      <c r="AV323" s="433"/>
      <c r="AW323" s="433"/>
      <c r="AX323" s="433"/>
      <c r="AY323" s="433"/>
      <c r="AZ323" s="433"/>
      <c r="BA323" s="433"/>
      <c r="BB323" s="433"/>
      <c r="BC323" s="433"/>
      <c r="BD323" s="433"/>
      <c r="BE323" s="433"/>
      <c r="BF323" s="433"/>
      <c r="BG323" s="433"/>
      <c r="BH323" s="433"/>
      <c r="BI323" s="433"/>
      <c r="BJ323" s="433"/>
      <c r="BK323" s="433"/>
      <c r="BL323" s="433"/>
      <c r="BM323" s="433"/>
      <c r="BN323" s="433"/>
      <c r="BO323" s="434"/>
      <c r="BP323" s="433"/>
      <c r="BQ323" s="433"/>
      <c r="BR323" s="434"/>
      <c r="BS323" s="433"/>
      <c r="BT323" s="433"/>
      <c r="BU323" s="434"/>
      <c r="BV323" s="433"/>
      <c r="BW323" s="433"/>
      <c r="BX323" s="434"/>
      <c r="BY323" s="433"/>
      <c r="BZ323" s="433"/>
      <c r="CA323" s="434"/>
      <c r="CB323" s="433"/>
      <c r="CC323" s="433"/>
      <c r="CD323" s="434"/>
      <c r="CE323" s="433"/>
      <c r="CF323" s="433"/>
      <c r="CG323" s="434"/>
      <c r="CH323" s="433"/>
      <c r="CI323" s="433"/>
      <c r="CJ323" s="434"/>
      <c r="CK323" s="433"/>
      <c r="CL323" s="433"/>
      <c r="CM323" s="434"/>
      <c r="CN323" s="433"/>
      <c r="CO323" s="433"/>
      <c r="CP323" s="434"/>
      <c r="CQ323" s="433"/>
      <c r="CR323" s="433"/>
      <c r="CS323" s="434"/>
      <c r="CT323" s="433"/>
      <c r="CU323" s="433"/>
      <c r="CV323" s="434"/>
      <c r="CW323" s="433"/>
      <c r="CX323" s="433"/>
      <c r="CY323" s="434"/>
      <c r="CZ323" s="433"/>
      <c r="DA323" s="433"/>
      <c r="DB323" s="434"/>
      <c r="DC323" s="433"/>
      <c r="DD323" s="433"/>
      <c r="DE323" s="434"/>
      <c r="DF323" s="433"/>
      <c r="DG323" s="433"/>
      <c r="DH323" s="434"/>
      <c r="DI323" s="433"/>
      <c r="DJ323" s="433"/>
      <c r="DK323" s="1230"/>
      <c r="DL323" s="433"/>
      <c r="DM323" s="433"/>
      <c r="DN323" s="1230"/>
      <c r="DO323" s="433"/>
      <c r="DP323" s="433"/>
      <c r="DQ323" s="1230"/>
      <c r="DR323" s="433"/>
      <c r="DS323" s="433"/>
      <c r="DT323" s="1230"/>
      <c r="DU323" s="433"/>
      <c r="DV323" s="433"/>
      <c r="DW323" s="1230"/>
      <c r="DX323" s="433"/>
      <c r="DY323" s="433"/>
      <c r="DZ323" s="1230"/>
      <c r="EA323" s="433"/>
      <c r="EB323" s="433"/>
      <c r="EC323" s="1230"/>
      <c r="ED323" s="433"/>
      <c r="EE323" s="433"/>
      <c r="EF323" s="1230"/>
      <c r="EG323" s="433"/>
      <c r="EH323" s="433"/>
      <c r="EI323" s="1230"/>
      <c r="EJ323" s="433"/>
      <c r="EK323" s="433"/>
      <c r="EL323" s="1230"/>
      <c r="EM323" s="433"/>
      <c r="EN323" s="433"/>
      <c r="EO323" s="1230"/>
      <c r="EP323" s="433"/>
      <c r="EQ323" s="433"/>
      <c r="ER323" s="1230"/>
      <c r="ES323" s="433"/>
      <c r="ET323" s="433"/>
      <c r="EU323" s="1230"/>
      <c r="EV323" s="433"/>
      <c r="EW323" s="433"/>
      <c r="EX323" s="1230"/>
      <c r="EY323" s="433"/>
      <c r="EZ323" s="433"/>
      <c r="FA323" s="434"/>
    </row>
    <row r="324" spans="1:157" ht="13.35" customHeight="1">
      <c r="A324" s="23"/>
      <c r="B324" s="5" t="s">
        <v>900</v>
      </c>
      <c r="C324" s="5"/>
      <c r="D324" s="410"/>
      <c r="E324" s="359"/>
      <c r="F324" s="359"/>
      <c r="G324" s="363"/>
      <c r="H324" s="363"/>
      <c r="I324" s="363"/>
      <c r="J324" s="363"/>
      <c r="K324" s="363"/>
      <c r="L324" s="363"/>
      <c r="M324" s="363"/>
      <c r="N324" s="363"/>
      <c r="O324" s="363"/>
      <c r="P324" s="363"/>
      <c r="Q324" s="363"/>
      <c r="R324" s="363"/>
      <c r="S324" s="363"/>
      <c r="T324" s="363"/>
      <c r="U324" s="363"/>
      <c r="V324" s="429"/>
      <c r="W324" s="272"/>
      <c r="X324" s="272"/>
      <c r="Y324" s="429"/>
      <c r="Z324" s="272"/>
      <c r="AA324" s="272"/>
      <c r="AB324" s="429"/>
      <c r="AC324" s="272"/>
      <c r="AD324" s="272"/>
      <c r="AE324" s="429"/>
      <c r="AF324" s="272"/>
      <c r="AG324" s="272"/>
      <c r="AH324" s="429"/>
      <c r="AI324" s="272"/>
      <c r="AJ324" s="272"/>
      <c r="AK324" s="429"/>
      <c r="AL324" s="272"/>
      <c r="AM324" s="272"/>
      <c r="AN324" s="429"/>
      <c r="AO324" s="272"/>
      <c r="AP324" s="272"/>
      <c r="AQ324" s="363"/>
      <c r="AR324" s="433"/>
      <c r="AS324" s="433"/>
      <c r="AT324" s="433"/>
      <c r="AU324" s="433"/>
      <c r="AV324" s="433"/>
      <c r="AW324" s="433"/>
      <c r="AX324" s="433"/>
      <c r="AY324" s="433"/>
      <c r="AZ324" s="433"/>
      <c r="BA324" s="433"/>
      <c r="BB324" s="433"/>
      <c r="BC324" s="433"/>
      <c r="BD324" s="433"/>
      <c r="BE324" s="433"/>
      <c r="BF324" s="433"/>
      <c r="BG324" s="433"/>
      <c r="BH324" s="433"/>
      <c r="BI324" s="433"/>
      <c r="BJ324" s="433"/>
      <c r="BK324" s="433"/>
      <c r="BL324" s="433"/>
      <c r="BM324" s="433"/>
      <c r="BN324" s="433"/>
      <c r="BO324" s="434"/>
      <c r="BP324" s="433"/>
      <c r="BQ324" s="433"/>
      <c r="BR324" s="434"/>
      <c r="BS324" s="433"/>
      <c r="BT324" s="433"/>
      <c r="BU324" s="434"/>
      <c r="BV324" s="433"/>
      <c r="BW324" s="433"/>
      <c r="BX324" s="434"/>
      <c r="BY324" s="433"/>
      <c r="BZ324" s="433"/>
      <c r="CA324" s="434"/>
      <c r="CB324" s="433"/>
      <c r="CC324" s="433"/>
      <c r="CD324" s="434"/>
      <c r="CE324" s="433"/>
      <c r="CF324" s="433"/>
      <c r="CG324" s="434"/>
      <c r="CH324" s="433"/>
      <c r="CI324" s="433"/>
      <c r="CJ324" s="434"/>
      <c r="CK324" s="433"/>
      <c r="CL324" s="433"/>
      <c r="CM324" s="434"/>
      <c r="CN324" s="433"/>
      <c r="CO324" s="433"/>
      <c r="CP324" s="434"/>
      <c r="CQ324" s="433"/>
      <c r="CR324" s="433"/>
      <c r="CS324" s="434"/>
      <c r="CT324" s="433"/>
      <c r="CU324" s="433"/>
      <c r="CV324" s="434"/>
      <c r="CW324" s="433"/>
      <c r="CX324" s="433"/>
      <c r="CY324" s="434"/>
      <c r="CZ324" s="433"/>
      <c r="DA324" s="433"/>
      <c r="DB324" s="434"/>
      <c r="DC324" s="433"/>
      <c r="DD324" s="433"/>
      <c r="DE324" s="434"/>
      <c r="DF324" s="433"/>
      <c r="DG324" s="433"/>
      <c r="DH324" s="434"/>
      <c r="DI324" s="433"/>
      <c r="DJ324" s="433"/>
      <c r="DK324" s="1230"/>
      <c r="DL324" s="433"/>
      <c r="DM324" s="433"/>
      <c r="DN324" s="1230"/>
      <c r="DO324" s="433"/>
      <c r="DP324" s="433"/>
      <c r="DQ324" s="1230"/>
      <c r="DR324" s="433"/>
      <c r="DS324" s="433"/>
      <c r="DT324" s="1230"/>
      <c r="DU324" s="433"/>
      <c r="DV324" s="433"/>
      <c r="DW324" s="1230"/>
      <c r="DX324" s="433"/>
      <c r="DY324" s="433"/>
      <c r="DZ324" s="1230"/>
      <c r="EA324" s="433"/>
      <c r="EB324" s="433"/>
      <c r="EC324" s="1230"/>
      <c r="ED324" s="433"/>
      <c r="EE324" s="433"/>
      <c r="EF324" s="1230"/>
      <c r="EG324" s="433"/>
      <c r="EH324" s="433"/>
      <c r="EI324" s="1230"/>
      <c r="EJ324" s="433"/>
      <c r="EK324" s="433"/>
      <c r="EL324" s="1230"/>
      <c r="EM324" s="433"/>
      <c r="EN324" s="433"/>
      <c r="EO324" s="1230"/>
      <c r="EP324" s="433"/>
      <c r="EQ324" s="433"/>
      <c r="ER324" s="1230"/>
      <c r="ES324" s="433"/>
      <c r="ET324" s="433"/>
      <c r="EU324" s="1230"/>
      <c r="EV324" s="433"/>
      <c r="EW324" s="433"/>
      <c r="EX324" s="1230"/>
      <c r="EY324" s="433"/>
      <c r="EZ324" s="433"/>
      <c r="FA324" s="434"/>
    </row>
    <row r="325" spans="1:157" ht="13.35" customHeight="1">
      <c r="A325" s="23"/>
      <c r="B325" s="5" t="s">
        <v>900</v>
      </c>
      <c r="C325" s="5"/>
      <c r="D325" s="410"/>
      <c r="E325" s="359"/>
      <c r="F325" s="359"/>
      <c r="G325" s="363"/>
      <c r="H325" s="363"/>
      <c r="I325" s="363"/>
      <c r="J325" s="363"/>
      <c r="K325" s="363"/>
      <c r="L325" s="363"/>
      <c r="M325" s="363"/>
      <c r="N325" s="363"/>
      <c r="O325" s="363"/>
      <c r="P325" s="363"/>
      <c r="Q325" s="363"/>
      <c r="R325" s="363"/>
      <c r="S325" s="363"/>
      <c r="T325" s="363"/>
      <c r="U325" s="363"/>
      <c r="V325" s="429"/>
      <c r="W325" s="272"/>
      <c r="X325" s="272"/>
      <c r="Y325" s="429"/>
      <c r="Z325" s="272"/>
      <c r="AA325" s="272"/>
      <c r="AB325" s="429"/>
      <c r="AC325" s="272"/>
      <c r="AD325" s="272"/>
      <c r="AE325" s="429"/>
      <c r="AF325" s="272"/>
      <c r="AG325" s="272"/>
      <c r="AH325" s="429"/>
      <c r="AI325" s="272"/>
      <c r="AJ325" s="272"/>
      <c r="AK325" s="429"/>
      <c r="AL325" s="272"/>
      <c r="AM325" s="272"/>
      <c r="AN325" s="429"/>
      <c r="AO325" s="272"/>
      <c r="AP325" s="272"/>
      <c r="AQ325" s="363"/>
      <c r="AR325" s="433"/>
      <c r="AS325" s="433"/>
      <c r="AT325" s="433"/>
      <c r="AU325" s="433"/>
      <c r="AV325" s="433"/>
      <c r="AW325" s="433"/>
      <c r="AX325" s="433"/>
      <c r="AY325" s="433"/>
      <c r="AZ325" s="433"/>
      <c r="BA325" s="433"/>
      <c r="BB325" s="433"/>
      <c r="BC325" s="433"/>
      <c r="BD325" s="433"/>
      <c r="BE325" s="433"/>
      <c r="BF325" s="433"/>
      <c r="BG325" s="433"/>
      <c r="BH325" s="433"/>
      <c r="BI325" s="433"/>
      <c r="BJ325" s="433"/>
      <c r="BK325" s="433"/>
      <c r="BL325" s="433"/>
      <c r="BM325" s="433"/>
      <c r="BN325" s="433"/>
      <c r="BO325" s="434"/>
      <c r="BP325" s="433"/>
      <c r="BQ325" s="433"/>
      <c r="BR325" s="434"/>
      <c r="BS325" s="433"/>
      <c r="BT325" s="433"/>
      <c r="BU325" s="434"/>
      <c r="BV325" s="433"/>
      <c r="BW325" s="433"/>
      <c r="BX325" s="434"/>
      <c r="BY325" s="433"/>
      <c r="BZ325" s="433"/>
      <c r="CA325" s="434"/>
      <c r="CB325" s="433"/>
      <c r="CC325" s="433"/>
      <c r="CD325" s="434"/>
      <c r="CE325" s="433"/>
      <c r="CF325" s="433"/>
      <c r="CG325" s="434"/>
      <c r="CH325" s="433"/>
      <c r="CI325" s="433"/>
      <c r="CJ325" s="434"/>
      <c r="CK325" s="433"/>
      <c r="CL325" s="433"/>
      <c r="CM325" s="434"/>
      <c r="CN325" s="433"/>
      <c r="CO325" s="433"/>
      <c r="CP325" s="434"/>
      <c r="CQ325" s="433"/>
      <c r="CR325" s="433"/>
      <c r="CS325" s="434"/>
      <c r="CT325" s="433"/>
      <c r="CU325" s="433"/>
      <c r="CV325" s="434"/>
      <c r="CW325" s="433"/>
      <c r="CX325" s="433"/>
      <c r="CY325" s="434"/>
      <c r="CZ325" s="433"/>
      <c r="DA325" s="433"/>
      <c r="DB325" s="434"/>
      <c r="DC325" s="433"/>
      <c r="DD325" s="433"/>
      <c r="DE325" s="434"/>
      <c r="DF325" s="433"/>
      <c r="DG325" s="433"/>
      <c r="DH325" s="434"/>
      <c r="DI325" s="433"/>
      <c r="DJ325" s="433"/>
      <c r="DK325" s="1230"/>
      <c r="DL325" s="433"/>
      <c r="DM325" s="433"/>
      <c r="DN325" s="1230"/>
      <c r="DO325" s="433"/>
      <c r="DP325" s="433"/>
      <c r="DQ325" s="1230"/>
      <c r="DR325" s="433"/>
      <c r="DS325" s="433"/>
      <c r="DT325" s="1230"/>
      <c r="DU325" s="433"/>
      <c r="DV325" s="433"/>
      <c r="DW325" s="1230"/>
      <c r="DX325" s="433"/>
      <c r="DY325" s="433"/>
      <c r="DZ325" s="1230"/>
      <c r="EA325" s="433"/>
      <c r="EB325" s="433"/>
      <c r="EC325" s="1230"/>
      <c r="ED325" s="433"/>
      <c r="EE325" s="433"/>
      <c r="EF325" s="1230"/>
      <c r="EG325" s="433"/>
      <c r="EH325" s="433"/>
      <c r="EI325" s="1230"/>
      <c r="EJ325" s="433"/>
      <c r="EK325" s="433"/>
      <c r="EL325" s="1230"/>
      <c r="EM325" s="433"/>
      <c r="EN325" s="433"/>
      <c r="EO325" s="1230"/>
      <c r="EP325" s="433"/>
      <c r="EQ325" s="433"/>
      <c r="ER325" s="1230"/>
      <c r="ES325" s="433"/>
      <c r="ET325" s="433"/>
      <c r="EU325" s="1230"/>
      <c r="EV325" s="433"/>
      <c r="EW325" s="433"/>
      <c r="EX325" s="1230"/>
      <c r="EY325" s="433"/>
      <c r="EZ325" s="433"/>
      <c r="FA325" s="434"/>
    </row>
    <row r="326" spans="1:157" ht="13.35" customHeight="1">
      <c r="A326" s="23"/>
      <c r="B326" s="5" t="s">
        <v>900</v>
      </c>
      <c r="C326" s="5"/>
      <c r="D326" s="410"/>
      <c r="E326" s="359"/>
      <c r="F326" s="359"/>
      <c r="G326" s="363"/>
      <c r="H326" s="363"/>
      <c r="I326" s="363"/>
      <c r="J326" s="363"/>
      <c r="K326" s="363"/>
      <c r="L326" s="363"/>
      <c r="M326" s="363"/>
      <c r="N326" s="363"/>
      <c r="O326" s="363"/>
      <c r="P326" s="363"/>
      <c r="Q326" s="363"/>
      <c r="R326" s="363"/>
      <c r="S326" s="363"/>
      <c r="T326" s="363"/>
      <c r="U326" s="363"/>
      <c r="V326" s="429"/>
      <c r="W326" s="272"/>
      <c r="X326" s="272"/>
      <c r="Y326" s="429"/>
      <c r="Z326" s="272"/>
      <c r="AA326" s="272"/>
      <c r="AB326" s="429"/>
      <c r="AC326" s="272"/>
      <c r="AD326" s="272"/>
      <c r="AE326" s="429"/>
      <c r="AF326" s="272"/>
      <c r="AG326" s="272"/>
      <c r="AH326" s="429"/>
      <c r="AI326" s="272"/>
      <c r="AJ326" s="272"/>
      <c r="AK326" s="429"/>
      <c r="AL326" s="272"/>
      <c r="AM326" s="272"/>
      <c r="AN326" s="429"/>
      <c r="AO326" s="272"/>
      <c r="AP326" s="272"/>
      <c r="AQ326" s="363"/>
      <c r="AR326" s="433"/>
      <c r="AS326" s="433"/>
      <c r="AT326" s="433"/>
      <c r="AU326" s="433"/>
      <c r="AV326" s="433"/>
      <c r="AW326" s="433"/>
      <c r="AX326" s="433"/>
      <c r="AY326" s="433"/>
      <c r="AZ326" s="433"/>
      <c r="BA326" s="433"/>
      <c r="BB326" s="433"/>
      <c r="BC326" s="433"/>
      <c r="BD326" s="433"/>
      <c r="BE326" s="433"/>
      <c r="BF326" s="433"/>
      <c r="BG326" s="433"/>
      <c r="BH326" s="433"/>
      <c r="BI326" s="433"/>
      <c r="BJ326" s="433"/>
      <c r="BK326" s="433"/>
      <c r="BL326" s="433"/>
      <c r="BM326" s="433"/>
      <c r="BN326" s="433"/>
      <c r="BO326" s="434"/>
      <c r="BP326" s="433"/>
      <c r="BQ326" s="433"/>
      <c r="BR326" s="434"/>
      <c r="BS326" s="433"/>
      <c r="BT326" s="433"/>
      <c r="BU326" s="434"/>
      <c r="BV326" s="433"/>
      <c r="BW326" s="433"/>
      <c r="BX326" s="434"/>
      <c r="BY326" s="433"/>
      <c r="BZ326" s="433"/>
      <c r="CA326" s="434"/>
      <c r="CB326" s="433"/>
      <c r="CC326" s="433"/>
      <c r="CD326" s="434"/>
      <c r="CE326" s="433"/>
      <c r="CF326" s="433"/>
      <c r="CG326" s="434"/>
      <c r="CH326" s="433"/>
      <c r="CI326" s="433"/>
      <c r="CJ326" s="434"/>
      <c r="CK326" s="433"/>
      <c r="CL326" s="433"/>
      <c r="CM326" s="434"/>
      <c r="CN326" s="433"/>
      <c r="CO326" s="433"/>
      <c r="CP326" s="434"/>
      <c r="CQ326" s="433"/>
      <c r="CR326" s="433"/>
      <c r="CS326" s="434"/>
      <c r="CT326" s="433"/>
      <c r="CU326" s="433"/>
      <c r="CV326" s="434"/>
      <c r="CW326" s="433"/>
      <c r="CX326" s="433"/>
      <c r="CY326" s="434"/>
      <c r="CZ326" s="433"/>
      <c r="DA326" s="433"/>
      <c r="DB326" s="434"/>
      <c r="DC326" s="433"/>
      <c r="DD326" s="433"/>
      <c r="DE326" s="434"/>
      <c r="DF326" s="433"/>
      <c r="DG326" s="433"/>
      <c r="DH326" s="434"/>
      <c r="DI326" s="433"/>
      <c r="DJ326" s="433"/>
      <c r="DK326" s="1230"/>
      <c r="DL326" s="433"/>
      <c r="DM326" s="433"/>
      <c r="DN326" s="1230"/>
      <c r="DO326" s="433"/>
      <c r="DP326" s="433"/>
      <c r="DQ326" s="1230"/>
      <c r="DR326" s="433"/>
      <c r="DS326" s="433"/>
      <c r="DT326" s="1230"/>
      <c r="DU326" s="433"/>
      <c r="DV326" s="433"/>
      <c r="DW326" s="1230"/>
      <c r="DX326" s="433"/>
      <c r="DY326" s="433"/>
      <c r="DZ326" s="1230"/>
      <c r="EA326" s="433"/>
      <c r="EB326" s="433"/>
      <c r="EC326" s="1230"/>
      <c r="ED326" s="433"/>
      <c r="EE326" s="433"/>
      <c r="EF326" s="1230"/>
      <c r="EG326" s="433"/>
      <c r="EH326" s="433"/>
      <c r="EI326" s="1230"/>
      <c r="EJ326" s="433"/>
      <c r="EK326" s="433"/>
      <c r="EL326" s="1230"/>
      <c r="EM326" s="433"/>
      <c r="EN326" s="433"/>
      <c r="EO326" s="1230"/>
      <c r="EP326" s="433"/>
      <c r="EQ326" s="433"/>
      <c r="ER326" s="1230"/>
      <c r="ES326" s="433"/>
      <c r="ET326" s="433"/>
      <c r="EU326" s="1230"/>
      <c r="EV326" s="433"/>
      <c r="EW326" s="433"/>
      <c r="EX326" s="1230"/>
      <c r="EY326" s="433"/>
      <c r="EZ326" s="433"/>
      <c r="FA326" s="434"/>
    </row>
    <row r="327" spans="1:157" ht="13.35" customHeight="1">
      <c r="A327" s="23"/>
      <c r="B327" s="5" t="s">
        <v>900</v>
      </c>
      <c r="C327" s="5"/>
      <c r="D327" s="410"/>
      <c r="E327" s="359"/>
      <c r="F327" s="359"/>
      <c r="G327" s="363"/>
      <c r="H327" s="363"/>
      <c r="I327" s="363"/>
      <c r="J327" s="363"/>
      <c r="K327" s="363"/>
      <c r="L327" s="363"/>
      <c r="M327" s="363"/>
      <c r="N327" s="363"/>
      <c r="O327" s="363"/>
      <c r="P327" s="363"/>
      <c r="Q327" s="363"/>
      <c r="R327" s="363"/>
      <c r="S327" s="363"/>
      <c r="T327" s="363"/>
      <c r="U327" s="363"/>
      <c r="V327" s="429"/>
      <c r="W327" s="272"/>
      <c r="X327" s="272"/>
      <c r="Y327" s="429"/>
      <c r="Z327" s="272"/>
      <c r="AA327" s="272"/>
      <c r="AB327" s="429"/>
      <c r="AC327" s="272"/>
      <c r="AD327" s="272"/>
      <c r="AE327" s="429"/>
      <c r="AF327" s="272"/>
      <c r="AG327" s="272"/>
      <c r="AH327" s="429"/>
      <c r="AI327" s="272"/>
      <c r="AJ327" s="272"/>
      <c r="AK327" s="429"/>
      <c r="AL327" s="272"/>
      <c r="AM327" s="272"/>
      <c r="AN327" s="429"/>
      <c r="AO327" s="272"/>
      <c r="AP327" s="272"/>
      <c r="AQ327" s="363"/>
      <c r="AR327" s="433"/>
      <c r="AS327" s="433"/>
      <c r="AT327" s="433"/>
      <c r="AU327" s="433"/>
      <c r="AV327" s="433"/>
      <c r="AW327" s="433"/>
      <c r="AX327" s="433"/>
      <c r="AY327" s="433"/>
      <c r="AZ327" s="433"/>
      <c r="BA327" s="433"/>
      <c r="BB327" s="433"/>
      <c r="BC327" s="433"/>
      <c r="BD327" s="433"/>
      <c r="BE327" s="433"/>
      <c r="BF327" s="433"/>
      <c r="BG327" s="433"/>
      <c r="BH327" s="433"/>
      <c r="BI327" s="433"/>
      <c r="BJ327" s="433"/>
      <c r="BK327" s="433"/>
      <c r="BL327" s="433"/>
      <c r="BM327" s="433"/>
      <c r="BN327" s="433"/>
      <c r="BO327" s="434"/>
      <c r="BP327" s="433"/>
      <c r="BQ327" s="433"/>
      <c r="BR327" s="434"/>
      <c r="BS327" s="433"/>
      <c r="BT327" s="433"/>
      <c r="BU327" s="434"/>
      <c r="BV327" s="433"/>
      <c r="BW327" s="433"/>
      <c r="BX327" s="434"/>
      <c r="BY327" s="433"/>
      <c r="BZ327" s="433"/>
      <c r="CA327" s="434"/>
      <c r="CB327" s="433"/>
      <c r="CC327" s="433"/>
      <c r="CD327" s="434"/>
      <c r="CE327" s="433"/>
      <c r="CF327" s="433"/>
      <c r="CG327" s="434"/>
      <c r="CH327" s="433"/>
      <c r="CI327" s="433"/>
      <c r="CJ327" s="434"/>
      <c r="CK327" s="433"/>
      <c r="CL327" s="433"/>
      <c r="CM327" s="434"/>
      <c r="CN327" s="433"/>
      <c r="CO327" s="433"/>
      <c r="CP327" s="434"/>
      <c r="CQ327" s="433"/>
      <c r="CR327" s="433"/>
      <c r="CS327" s="434"/>
      <c r="CT327" s="433"/>
      <c r="CU327" s="433"/>
      <c r="CV327" s="434"/>
      <c r="CW327" s="433"/>
      <c r="CX327" s="433"/>
      <c r="CY327" s="434"/>
      <c r="CZ327" s="433"/>
      <c r="DA327" s="433"/>
      <c r="DB327" s="434"/>
      <c r="DC327" s="433"/>
      <c r="DD327" s="433"/>
      <c r="DE327" s="434"/>
      <c r="DF327" s="433"/>
      <c r="DG327" s="433"/>
      <c r="DH327" s="434"/>
      <c r="DI327" s="433"/>
      <c r="DJ327" s="433"/>
      <c r="DK327" s="1230"/>
      <c r="DL327" s="433"/>
      <c r="DM327" s="433"/>
      <c r="DN327" s="1230"/>
      <c r="DO327" s="433"/>
      <c r="DP327" s="433"/>
      <c r="DQ327" s="1230"/>
      <c r="DR327" s="433"/>
      <c r="DS327" s="433"/>
      <c r="DT327" s="1230"/>
      <c r="DU327" s="433"/>
      <c r="DV327" s="433"/>
      <c r="DW327" s="1230"/>
      <c r="DX327" s="433"/>
      <c r="DY327" s="433"/>
      <c r="DZ327" s="1230"/>
      <c r="EA327" s="433"/>
      <c r="EB327" s="433"/>
      <c r="EC327" s="1230"/>
      <c r="ED327" s="433"/>
      <c r="EE327" s="433"/>
      <c r="EF327" s="1230"/>
      <c r="EG327" s="433"/>
      <c r="EH327" s="433"/>
      <c r="EI327" s="1230"/>
      <c r="EJ327" s="433"/>
      <c r="EK327" s="433"/>
      <c r="EL327" s="1230"/>
      <c r="EM327" s="433"/>
      <c r="EN327" s="433"/>
      <c r="EO327" s="1230"/>
      <c r="EP327" s="433"/>
      <c r="EQ327" s="433"/>
      <c r="ER327" s="1230"/>
      <c r="ES327" s="433"/>
      <c r="ET327" s="433"/>
      <c r="EU327" s="1230"/>
      <c r="EV327" s="433"/>
      <c r="EW327" s="433"/>
      <c r="EX327" s="1230"/>
      <c r="EY327" s="433"/>
      <c r="EZ327" s="433"/>
      <c r="FA327" s="434"/>
    </row>
    <row r="328" spans="1:157" ht="13.35" customHeight="1">
      <c r="A328" s="23"/>
      <c r="B328" s="5" t="s">
        <v>900</v>
      </c>
      <c r="C328" s="5"/>
      <c r="D328" s="410"/>
      <c r="E328" s="359"/>
      <c r="F328" s="359"/>
      <c r="G328" s="363"/>
      <c r="H328" s="363"/>
      <c r="I328" s="363"/>
      <c r="J328" s="363"/>
      <c r="K328" s="363"/>
      <c r="L328" s="363"/>
      <c r="M328" s="363"/>
      <c r="N328" s="363"/>
      <c r="O328" s="363"/>
      <c r="P328" s="363"/>
      <c r="Q328" s="363"/>
      <c r="R328" s="363"/>
      <c r="S328" s="363"/>
      <c r="T328" s="363"/>
      <c r="U328" s="363"/>
      <c r="V328" s="429"/>
      <c r="W328" s="272"/>
      <c r="X328" s="272"/>
      <c r="Y328" s="429"/>
      <c r="Z328" s="272"/>
      <c r="AA328" s="272"/>
      <c r="AB328" s="429"/>
      <c r="AC328" s="272"/>
      <c r="AD328" s="272"/>
      <c r="AE328" s="429"/>
      <c r="AF328" s="272"/>
      <c r="AG328" s="272"/>
      <c r="AH328" s="429"/>
      <c r="AI328" s="272"/>
      <c r="AJ328" s="272"/>
      <c r="AK328" s="429"/>
      <c r="AL328" s="272"/>
      <c r="AM328" s="272"/>
      <c r="AN328" s="429"/>
      <c r="AO328" s="272"/>
      <c r="AP328" s="272"/>
      <c r="AQ328" s="363"/>
      <c r="AR328" s="433"/>
      <c r="AS328" s="433"/>
      <c r="AT328" s="433"/>
      <c r="AU328" s="433"/>
      <c r="AV328" s="433"/>
      <c r="AW328" s="433"/>
      <c r="AX328" s="433"/>
      <c r="AY328" s="433"/>
      <c r="AZ328" s="433"/>
      <c r="BA328" s="433"/>
      <c r="BB328" s="433"/>
      <c r="BC328" s="433"/>
      <c r="BD328" s="433"/>
      <c r="BE328" s="433"/>
      <c r="BF328" s="433"/>
      <c r="BG328" s="433"/>
      <c r="BH328" s="433"/>
      <c r="BI328" s="433"/>
      <c r="BJ328" s="433"/>
      <c r="BK328" s="433"/>
      <c r="BL328" s="433"/>
      <c r="BM328" s="433"/>
      <c r="BN328" s="433"/>
      <c r="BO328" s="434"/>
      <c r="BP328" s="433"/>
      <c r="BQ328" s="433"/>
      <c r="BR328" s="434"/>
      <c r="BS328" s="433"/>
      <c r="BT328" s="433"/>
      <c r="BU328" s="434"/>
      <c r="BV328" s="433"/>
      <c r="BW328" s="433"/>
      <c r="BX328" s="434"/>
      <c r="BY328" s="433"/>
      <c r="BZ328" s="433"/>
      <c r="CA328" s="434"/>
      <c r="CB328" s="433"/>
      <c r="CC328" s="433"/>
      <c r="CD328" s="434"/>
      <c r="CE328" s="433"/>
      <c r="CF328" s="433"/>
      <c r="CG328" s="434"/>
      <c r="CH328" s="433"/>
      <c r="CI328" s="433"/>
      <c r="CJ328" s="434"/>
      <c r="CK328" s="433"/>
      <c r="CL328" s="433"/>
      <c r="CM328" s="434"/>
      <c r="CN328" s="433"/>
      <c r="CO328" s="433"/>
      <c r="CP328" s="434"/>
      <c r="CQ328" s="433"/>
      <c r="CR328" s="433"/>
      <c r="CS328" s="434"/>
      <c r="CT328" s="433"/>
      <c r="CU328" s="433"/>
      <c r="CV328" s="434"/>
      <c r="CW328" s="433"/>
      <c r="CX328" s="433"/>
      <c r="CY328" s="434"/>
      <c r="CZ328" s="433"/>
      <c r="DA328" s="433"/>
      <c r="DB328" s="434"/>
      <c r="DC328" s="433"/>
      <c r="DD328" s="433"/>
      <c r="DE328" s="434"/>
      <c r="DF328" s="433"/>
      <c r="DG328" s="433"/>
      <c r="DH328" s="434"/>
      <c r="DI328" s="433"/>
      <c r="DJ328" s="433"/>
      <c r="DK328" s="1230"/>
      <c r="DL328" s="433"/>
      <c r="DM328" s="433"/>
      <c r="DN328" s="1230"/>
      <c r="DO328" s="433"/>
      <c r="DP328" s="433"/>
      <c r="DQ328" s="1230"/>
      <c r="DR328" s="433"/>
      <c r="DS328" s="433"/>
      <c r="DT328" s="1230"/>
      <c r="DU328" s="433"/>
      <c r="DV328" s="433"/>
      <c r="DW328" s="1230"/>
      <c r="DX328" s="433"/>
      <c r="DY328" s="433"/>
      <c r="DZ328" s="1230"/>
      <c r="EA328" s="433"/>
      <c r="EB328" s="433"/>
      <c r="EC328" s="1230"/>
      <c r="ED328" s="433"/>
      <c r="EE328" s="433"/>
      <c r="EF328" s="1230"/>
      <c r="EG328" s="433"/>
      <c r="EH328" s="433"/>
      <c r="EI328" s="1230"/>
      <c r="EJ328" s="433"/>
      <c r="EK328" s="433"/>
      <c r="EL328" s="1230"/>
      <c r="EM328" s="433"/>
      <c r="EN328" s="433"/>
      <c r="EO328" s="1230"/>
      <c r="EP328" s="433"/>
      <c r="EQ328" s="433"/>
      <c r="ER328" s="1230"/>
      <c r="ES328" s="433"/>
      <c r="ET328" s="433"/>
      <c r="EU328" s="1230"/>
      <c r="EV328" s="433"/>
      <c r="EW328" s="433"/>
      <c r="EX328" s="1230"/>
      <c r="EY328" s="433"/>
      <c r="EZ328" s="433"/>
      <c r="FA328" s="434"/>
    </row>
    <row r="329" spans="1:157" ht="13.35" customHeight="1">
      <c r="A329" s="23"/>
      <c r="B329" s="5" t="s">
        <v>900</v>
      </c>
      <c r="C329" s="5"/>
      <c r="D329" s="410"/>
      <c r="E329" s="359"/>
      <c r="F329" s="359"/>
      <c r="G329" s="363"/>
      <c r="H329" s="363"/>
      <c r="I329" s="363"/>
      <c r="J329" s="363"/>
      <c r="K329" s="363"/>
      <c r="L329" s="363"/>
      <c r="M329" s="363"/>
      <c r="N329" s="363"/>
      <c r="O329" s="363"/>
      <c r="P329" s="363"/>
      <c r="Q329" s="363"/>
      <c r="R329" s="363"/>
      <c r="S329" s="363"/>
      <c r="T329" s="363"/>
      <c r="U329" s="363"/>
      <c r="V329" s="429"/>
      <c r="W329" s="272"/>
      <c r="X329" s="272"/>
      <c r="Y329" s="429"/>
      <c r="Z329" s="272"/>
      <c r="AA329" s="272"/>
      <c r="AB329" s="429"/>
      <c r="AC329" s="272"/>
      <c r="AD329" s="272"/>
      <c r="AE329" s="429"/>
      <c r="AF329" s="272"/>
      <c r="AG329" s="272"/>
      <c r="AH329" s="429"/>
      <c r="AI329" s="272"/>
      <c r="AJ329" s="272"/>
      <c r="AK329" s="429"/>
      <c r="AL329" s="272"/>
      <c r="AM329" s="272"/>
      <c r="AN329" s="429"/>
      <c r="AO329" s="272"/>
      <c r="AP329" s="272"/>
      <c r="AQ329" s="363"/>
      <c r="AR329" s="433"/>
      <c r="AS329" s="433"/>
      <c r="AT329" s="433"/>
      <c r="AU329" s="433"/>
      <c r="AV329" s="433"/>
      <c r="AW329" s="433"/>
      <c r="AX329" s="433"/>
      <c r="AY329" s="433"/>
      <c r="AZ329" s="433"/>
      <c r="BA329" s="433"/>
      <c r="BB329" s="433"/>
      <c r="BC329" s="433"/>
      <c r="BD329" s="433"/>
      <c r="BE329" s="433"/>
      <c r="BF329" s="433"/>
      <c r="BG329" s="433"/>
      <c r="BH329" s="433"/>
      <c r="BI329" s="433"/>
      <c r="BJ329" s="433"/>
      <c r="BK329" s="433"/>
      <c r="BL329" s="433"/>
      <c r="BM329" s="433"/>
      <c r="BN329" s="433"/>
      <c r="BO329" s="434"/>
      <c r="BP329" s="433"/>
      <c r="BQ329" s="433"/>
      <c r="BR329" s="434"/>
      <c r="BS329" s="433"/>
      <c r="BT329" s="433"/>
      <c r="BU329" s="434"/>
      <c r="BV329" s="433"/>
      <c r="BW329" s="433"/>
      <c r="BX329" s="434"/>
      <c r="BY329" s="433"/>
      <c r="BZ329" s="433"/>
      <c r="CA329" s="434"/>
      <c r="CB329" s="433"/>
      <c r="CC329" s="433"/>
      <c r="CD329" s="434"/>
      <c r="CE329" s="433"/>
      <c r="CF329" s="433"/>
      <c r="CG329" s="434"/>
      <c r="CH329" s="433"/>
      <c r="CI329" s="433"/>
      <c r="CJ329" s="434"/>
      <c r="CK329" s="433"/>
      <c r="CL329" s="433"/>
      <c r="CM329" s="434"/>
      <c r="CN329" s="433"/>
      <c r="CO329" s="433"/>
      <c r="CP329" s="434"/>
      <c r="CQ329" s="433"/>
      <c r="CR329" s="433"/>
      <c r="CS329" s="434"/>
      <c r="CT329" s="433"/>
      <c r="CU329" s="433"/>
      <c r="CV329" s="434"/>
      <c r="CW329" s="433"/>
      <c r="CX329" s="433"/>
      <c r="CY329" s="434"/>
      <c r="CZ329" s="433"/>
      <c r="DA329" s="433"/>
      <c r="DB329" s="434"/>
      <c r="DC329" s="433"/>
      <c r="DD329" s="433"/>
      <c r="DE329" s="434"/>
      <c r="DF329" s="433"/>
      <c r="DG329" s="433"/>
      <c r="DH329" s="434"/>
      <c r="DI329" s="433"/>
      <c r="DJ329" s="433"/>
      <c r="DK329" s="1230"/>
      <c r="DL329" s="433"/>
      <c r="DM329" s="433"/>
      <c r="DN329" s="1230"/>
      <c r="DO329" s="433"/>
      <c r="DP329" s="433"/>
      <c r="DQ329" s="1230"/>
      <c r="DR329" s="433"/>
      <c r="DS329" s="433"/>
      <c r="DT329" s="1230"/>
      <c r="DU329" s="433"/>
      <c r="DV329" s="433"/>
      <c r="DW329" s="1230"/>
      <c r="DX329" s="433"/>
      <c r="DY329" s="433"/>
      <c r="DZ329" s="1230"/>
      <c r="EA329" s="433"/>
      <c r="EB329" s="433"/>
      <c r="EC329" s="1230"/>
      <c r="ED329" s="433"/>
      <c r="EE329" s="433"/>
      <c r="EF329" s="1230"/>
      <c r="EG329" s="433"/>
      <c r="EH329" s="433"/>
      <c r="EI329" s="1230"/>
      <c r="EJ329" s="433"/>
      <c r="EK329" s="433"/>
      <c r="EL329" s="1230"/>
      <c r="EM329" s="433"/>
      <c r="EN329" s="433"/>
      <c r="EO329" s="1230"/>
      <c r="EP329" s="433"/>
      <c r="EQ329" s="433"/>
      <c r="ER329" s="1230"/>
      <c r="ES329" s="433"/>
      <c r="ET329" s="433"/>
      <c r="EU329" s="1230"/>
      <c r="EV329" s="433"/>
      <c r="EW329" s="433"/>
      <c r="EX329" s="1230"/>
      <c r="EY329" s="433"/>
      <c r="EZ329" s="433"/>
      <c r="FA329" s="434"/>
    </row>
    <row r="330" spans="1:157" ht="13.35" customHeight="1">
      <c r="A330" s="23"/>
      <c r="B330" s="5" t="s">
        <v>900</v>
      </c>
      <c r="C330" s="5"/>
      <c r="D330" s="410"/>
      <c r="E330" s="359"/>
      <c r="F330" s="359"/>
      <c r="G330" s="363"/>
      <c r="H330" s="363"/>
      <c r="I330" s="363"/>
      <c r="J330" s="363"/>
      <c r="K330" s="363"/>
      <c r="L330" s="363"/>
      <c r="M330" s="363"/>
      <c r="N330" s="363"/>
      <c r="O330" s="363"/>
      <c r="P330" s="363"/>
      <c r="Q330" s="363"/>
      <c r="R330" s="363"/>
      <c r="S330" s="363"/>
      <c r="T330" s="363"/>
      <c r="U330" s="363"/>
      <c r="V330" s="429"/>
      <c r="W330" s="272"/>
      <c r="X330" s="272"/>
      <c r="Y330" s="429"/>
      <c r="Z330" s="272"/>
      <c r="AA330" s="272"/>
      <c r="AB330" s="429"/>
      <c r="AC330" s="272"/>
      <c r="AD330" s="272"/>
      <c r="AE330" s="429"/>
      <c r="AF330" s="272"/>
      <c r="AG330" s="272"/>
      <c r="AH330" s="429"/>
      <c r="AI330" s="272"/>
      <c r="AJ330" s="272"/>
      <c r="AK330" s="429"/>
      <c r="AL330" s="272"/>
      <c r="AM330" s="272"/>
      <c r="AN330" s="429"/>
      <c r="AO330" s="272"/>
      <c r="AP330" s="272"/>
      <c r="AQ330" s="363"/>
      <c r="AR330" s="433"/>
      <c r="AS330" s="433"/>
      <c r="AT330" s="433"/>
      <c r="AU330" s="433"/>
      <c r="AV330" s="433"/>
      <c r="AW330" s="433"/>
      <c r="AX330" s="433"/>
      <c r="AY330" s="433"/>
      <c r="AZ330" s="433"/>
      <c r="BA330" s="433"/>
      <c r="BB330" s="433"/>
      <c r="BC330" s="433"/>
      <c r="BD330" s="433"/>
      <c r="BE330" s="433"/>
      <c r="BF330" s="433"/>
      <c r="BG330" s="433"/>
      <c r="BH330" s="433"/>
      <c r="BI330" s="433"/>
      <c r="BJ330" s="433"/>
      <c r="BK330" s="433"/>
      <c r="BL330" s="433"/>
      <c r="BM330" s="433"/>
      <c r="BN330" s="433"/>
      <c r="BO330" s="434"/>
      <c r="BP330" s="433"/>
      <c r="BQ330" s="433"/>
      <c r="BR330" s="434"/>
      <c r="BS330" s="433"/>
      <c r="BT330" s="433"/>
      <c r="BU330" s="434"/>
      <c r="BV330" s="433"/>
      <c r="BW330" s="433"/>
      <c r="BX330" s="434"/>
      <c r="BY330" s="433"/>
      <c r="BZ330" s="433"/>
      <c r="CA330" s="434"/>
      <c r="CB330" s="433"/>
      <c r="CC330" s="433"/>
      <c r="CD330" s="434"/>
      <c r="CE330" s="433"/>
      <c r="CF330" s="433"/>
      <c r="CG330" s="434"/>
      <c r="CH330" s="433"/>
      <c r="CI330" s="433"/>
      <c r="CJ330" s="434"/>
      <c r="CK330" s="433"/>
      <c r="CL330" s="433"/>
      <c r="CM330" s="434"/>
      <c r="CN330" s="433"/>
      <c r="CO330" s="433"/>
      <c r="CP330" s="434"/>
      <c r="CQ330" s="433"/>
      <c r="CR330" s="433"/>
      <c r="CS330" s="434"/>
      <c r="CT330" s="433"/>
      <c r="CU330" s="433"/>
      <c r="CV330" s="434"/>
      <c r="CW330" s="433"/>
      <c r="CX330" s="433"/>
      <c r="CY330" s="434"/>
      <c r="CZ330" s="433"/>
      <c r="DA330" s="433"/>
      <c r="DB330" s="434"/>
      <c r="DC330" s="433"/>
      <c r="DD330" s="433"/>
      <c r="DE330" s="434"/>
      <c r="DF330" s="433"/>
      <c r="DG330" s="433"/>
      <c r="DH330" s="434"/>
      <c r="DI330" s="433"/>
      <c r="DJ330" s="433"/>
      <c r="DK330" s="1230"/>
      <c r="DL330" s="433"/>
      <c r="DM330" s="433"/>
      <c r="DN330" s="1230"/>
      <c r="DO330" s="433"/>
      <c r="DP330" s="433"/>
      <c r="DQ330" s="1230"/>
      <c r="DR330" s="433"/>
      <c r="DS330" s="433"/>
      <c r="DT330" s="1230"/>
      <c r="DU330" s="433"/>
      <c r="DV330" s="433"/>
      <c r="DW330" s="1230"/>
      <c r="DX330" s="433"/>
      <c r="DY330" s="433"/>
      <c r="DZ330" s="1230"/>
      <c r="EA330" s="433"/>
      <c r="EB330" s="433"/>
      <c r="EC330" s="1230"/>
      <c r="ED330" s="433"/>
      <c r="EE330" s="433"/>
      <c r="EF330" s="1230"/>
      <c r="EG330" s="433"/>
      <c r="EH330" s="433"/>
      <c r="EI330" s="1230"/>
      <c r="EJ330" s="433"/>
      <c r="EK330" s="433"/>
      <c r="EL330" s="1230"/>
      <c r="EM330" s="433"/>
      <c r="EN330" s="433"/>
      <c r="EO330" s="1230"/>
      <c r="EP330" s="433"/>
      <c r="EQ330" s="433"/>
      <c r="ER330" s="1230"/>
      <c r="ES330" s="433"/>
      <c r="ET330" s="433"/>
      <c r="EU330" s="1230"/>
      <c r="EV330" s="433"/>
      <c r="EW330" s="433"/>
      <c r="EX330" s="1230"/>
      <c r="EY330" s="433"/>
      <c r="EZ330" s="433"/>
      <c r="FA330" s="434"/>
    </row>
    <row r="331" spans="1:157" ht="13.35" customHeight="1">
      <c r="A331" s="23"/>
      <c r="B331" s="5" t="s">
        <v>900</v>
      </c>
      <c r="C331" s="5"/>
      <c r="D331" s="410"/>
      <c r="E331" s="359"/>
      <c r="F331" s="359"/>
      <c r="G331" s="363"/>
      <c r="H331" s="363"/>
      <c r="I331" s="363"/>
      <c r="J331" s="363"/>
      <c r="K331" s="363"/>
      <c r="L331" s="363"/>
      <c r="M331" s="363"/>
      <c r="N331" s="363"/>
      <c r="O331" s="363"/>
      <c r="P331" s="363"/>
      <c r="Q331" s="363"/>
      <c r="R331" s="363"/>
      <c r="S331" s="363"/>
      <c r="T331" s="363"/>
      <c r="U331" s="363"/>
      <c r="V331" s="429"/>
      <c r="W331" s="272"/>
      <c r="X331" s="272"/>
      <c r="Y331" s="429"/>
      <c r="Z331" s="272"/>
      <c r="AA331" s="272"/>
      <c r="AB331" s="429"/>
      <c r="AC331" s="272"/>
      <c r="AD331" s="272"/>
      <c r="AE331" s="429"/>
      <c r="AF331" s="272"/>
      <c r="AG331" s="272"/>
      <c r="AH331" s="429"/>
      <c r="AI331" s="272"/>
      <c r="AJ331" s="272"/>
      <c r="AK331" s="429"/>
      <c r="AL331" s="272"/>
      <c r="AM331" s="272"/>
      <c r="AN331" s="429"/>
      <c r="AO331" s="272"/>
      <c r="AP331" s="272"/>
      <c r="AQ331" s="363"/>
      <c r="AR331" s="433"/>
      <c r="AS331" s="433"/>
      <c r="AT331" s="433"/>
      <c r="AU331" s="433"/>
      <c r="AV331" s="433"/>
      <c r="AW331" s="433"/>
      <c r="AX331" s="433"/>
      <c r="AY331" s="433"/>
      <c r="AZ331" s="433"/>
      <c r="BA331" s="433"/>
      <c r="BB331" s="433"/>
      <c r="BC331" s="433"/>
      <c r="BD331" s="433"/>
      <c r="BE331" s="433"/>
      <c r="BF331" s="433"/>
      <c r="BG331" s="433"/>
      <c r="BH331" s="433"/>
      <c r="BI331" s="433"/>
      <c r="BJ331" s="433"/>
      <c r="BK331" s="433"/>
      <c r="BL331" s="433"/>
      <c r="BM331" s="433"/>
      <c r="BN331" s="433"/>
      <c r="BO331" s="434"/>
      <c r="BP331" s="433"/>
      <c r="BQ331" s="433"/>
      <c r="BR331" s="434"/>
      <c r="BS331" s="433"/>
      <c r="BT331" s="433"/>
      <c r="BU331" s="434"/>
      <c r="BV331" s="433"/>
      <c r="BW331" s="433"/>
      <c r="BX331" s="434"/>
      <c r="BY331" s="433"/>
      <c r="BZ331" s="433"/>
      <c r="CA331" s="434"/>
      <c r="CB331" s="433"/>
      <c r="CC331" s="433"/>
      <c r="CD331" s="434"/>
      <c r="CE331" s="433"/>
      <c r="CF331" s="433"/>
      <c r="CG331" s="434"/>
      <c r="CH331" s="433"/>
      <c r="CI331" s="433"/>
      <c r="CJ331" s="434"/>
      <c r="CK331" s="433"/>
      <c r="CL331" s="433"/>
      <c r="CM331" s="434"/>
      <c r="CN331" s="433"/>
      <c r="CO331" s="433"/>
      <c r="CP331" s="434"/>
      <c r="CQ331" s="433"/>
      <c r="CR331" s="433"/>
      <c r="CS331" s="434"/>
      <c r="CT331" s="433"/>
      <c r="CU331" s="433"/>
      <c r="CV331" s="434"/>
      <c r="CW331" s="433"/>
      <c r="CX331" s="433"/>
      <c r="CY331" s="434"/>
      <c r="CZ331" s="433"/>
      <c r="DA331" s="433"/>
      <c r="DB331" s="434"/>
      <c r="DC331" s="433"/>
      <c r="DD331" s="433"/>
      <c r="DE331" s="434"/>
      <c r="DF331" s="433"/>
      <c r="DG331" s="433"/>
      <c r="DH331" s="434"/>
      <c r="DI331" s="433"/>
      <c r="DJ331" s="433"/>
      <c r="DK331" s="1230"/>
      <c r="DL331" s="433"/>
      <c r="DM331" s="433"/>
      <c r="DN331" s="1230"/>
      <c r="DO331" s="433"/>
      <c r="DP331" s="433"/>
      <c r="DQ331" s="1230"/>
      <c r="DR331" s="433"/>
      <c r="DS331" s="433"/>
      <c r="DT331" s="1230"/>
      <c r="DU331" s="433"/>
      <c r="DV331" s="433"/>
      <c r="DW331" s="1230"/>
      <c r="DX331" s="433"/>
      <c r="DY331" s="433"/>
      <c r="DZ331" s="1230"/>
      <c r="EA331" s="433"/>
      <c r="EB331" s="433"/>
      <c r="EC331" s="1230"/>
      <c r="ED331" s="433"/>
      <c r="EE331" s="433"/>
      <c r="EF331" s="1230"/>
      <c r="EG331" s="433"/>
      <c r="EH331" s="433"/>
      <c r="EI331" s="1230"/>
      <c r="EJ331" s="433"/>
      <c r="EK331" s="433"/>
      <c r="EL331" s="1230"/>
      <c r="EM331" s="433"/>
      <c r="EN331" s="433"/>
      <c r="EO331" s="1230"/>
      <c r="EP331" s="433"/>
      <c r="EQ331" s="433"/>
      <c r="ER331" s="1230"/>
      <c r="ES331" s="433"/>
      <c r="ET331" s="433"/>
      <c r="EU331" s="1230"/>
      <c r="EV331" s="433"/>
      <c r="EW331" s="433"/>
      <c r="EX331" s="1230"/>
      <c r="EY331" s="433"/>
      <c r="EZ331" s="433"/>
      <c r="FA331" s="434"/>
    </row>
    <row r="332" spans="1:157" ht="13.35" customHeight="1">
      <c r="A332" s="23"/>
      <c r="B332" s="5" t="s">
        <v>900</v>
      </c>
      <c r="C332" s="5"/>
      <c r="D332" s="410"/>
      <c r="E332" s="359"/>
      <c r="F332" s="359"/>
      <c r="G332" s="363"/>
      <c r="H332" s="363"/>
      <c r="I332" s="363"/>
      <c r="J332" s="363"/>
      <c r="K332" s="363"/>
      <c r="L332" s="363"/>
      <c r="M332" s="363"/>
      <c r="N332" s="363"/>
      <c r="O332" s="363"/>
      <c r="P332" s="363"/>
      <c r="Q332" s="363"/>
      <c r="R332" s="363"/>
      <c r="S332" s="363"/>
      <c r="T332" s="363"/>
      <c r="U332" s="363"/>
      <c r="V332" s="429"/>
      <c r="W332" s="272"/>
      <c r="X332" s="272"/>
      <c r="Y332" s="429"/>
      <c r="Z332" s="272"/>
      <c r="AA332" s="272"/>
      <c r="AB332" s="429"/>
      <c r="AC332" s="272"/>
      <c r="AD332" s="272"/>
      <c r="AE332" s="429"/>
      <c r="AF332" s="272"/>
      <c r="AG332" s="272"/>
      <c r="AH332" s="429"/>
      <c r="AI332" s="272"/>
      <c r="AJ332" s="272"/>
      <c r="AK332" s="429"/>
      <c r="AL332" s="272"/>
      <c r="AM332" s="272"/>
      <c r="AN332" s="429"/>
      <c r="AO332" s="272"/>
      <c r="AP332" s="272"/>
      <c r="AQ332" s="363"/>
      <c r="AR332" s="433"/>
      <c r="AS332" s="433"/>
      <c r="AT332" s="433"/>
      <c r="AU332" s="433"/>
      <c r="AV332" s="433"/>
      <c r="AW332" s="433"/>
      <c r="AX332" s="433"/>
      <c r="AY332" s="433"/>
      <c r="AZ332" s="433"/>
      <c r="BA332" s="433"/>
      <c r="BB332" s="433"/>
      <c r="BC332" s="433"/>
      <c r="BD332" s="433"/>
      <c r="BE332" s="433"/>
      <c r="BF332" s="433"/>
      <c r="BG332" s="433"/>
      <c r="BH332" s="433"/>
      <c r="BI332" s="433"/>
      <c r="BJ332" s="433"/>
      <c r="BK332" s="433"/>
      <c r="BL332" s="433"/>
      <c r="BM332" s="433"/>
      <c r="BN332" s="433"/>
      <c r="BO332" s="434"/>
      <c r="BP332" s="433"/>
      <c r="BQ332" s="433"/>
      <c r="BR332" s="434"/>
      <c r="BS332" s="433"/>
      <c r="BT332" s="433"/>
      <c r="BU332" s="434"/>
      <c r="BV332" s="433"/>
      <c r="BW332" s="433"/>
      <c r="BX332" s="434"/>
      <c r="BY332" s="433"/>
      <c r="BZ332" s="433"/>
      <c r="CA332" s="434"/>
      <c r="CB332" s="433"/>
      <c r="CC332" s="433"/>
      <c r="CD332" s="434"/>
      <c r="CE332" s="433"/>
      <c r="CF332" s="433"/>
      <c r="CG332" s="434"/>
      <c r="CH332" s="433"/>
      <c r="CI332" s="433"/>
      <c r="CJ332" s="434"/>
      <c r="CK332" s="433"/>
      <c r="CL332" s="433"/>
      <c r="CM332" s="434"/>
      <c r="CN332" s="433"/>
      <c r="CO332" s="433"/>
      <c r="CP332" s="434"/>
      <c r="CQ332" s="433"/>
      <c r="CR332" s="433"/>
      <c r="CS332" s="434"/>
      <c r="CT332" s="433"/>
      <c r="CU332" s="433"/>
      <c r="CV332" s="434"/>
      <c r="CW332" s="433"/>
      <c r="CX332" s="433"/>
      <c r="CY332" s="434"/>
      <c r="CZ332" s="433"/>
      <c r="DA332" s="433"/>
      <c r="DB332" s="434"/>
      <c r="DC332" s="433"/>
      <c r="DD332" s="433"/>
      <c r="DE332" s="434"/>
      <c r="DF332" s="433"/>
      <c r="DG332" s="433"/>
      <c r="DH332" s="434"/>
      <c r="DI332" s="433"/>
      <c r="DJ332" s="433"/>
      <c r="DK332" s="1230"/>
      <c r="DL332" s="433"/>
      <c r="DM332" s="433"/>
      <c r="DN332" s="1230"/>
      <c r="DO332" s="433"/>
      <c r="DP332" s="433"/>
      <c r="DQ332" s="1230"/>
      <c r="DR332" s="433"/>
      <c r="DS332" s="433"/>
      <c r="DT332" s="1230"/>
      <c r="DU332" s="433"/>
      <c r="DV332" s="433"/>
      <c r="DW332" s="1230"/>
      <c r="DX332" s="433"/>
      <c r="DY332" s="433"/>
      <c r="DZ332" s="1230"/>
      <c r="EA332" s="433"/>
      <c r="EB332" s="433"/>
      <c r="EC332" s="1230"/>
      <c r="ED332" s="433"/>
      <c r="EE332" s="433"/>
      <c r="EF332" s="1230"/>
      <c r="EG332" s="433"/>
      <c r="EH332" s="433"/>
      <c r="EI332" s="1230"/>
      <c r="EJ332" s="433"/>
      <c r="EK332" s="433"/>
      <c r="EL332" s="1230"/>
      <c r="EM332" s="433"/>
      <c r="EN332" s="433"/>
      <c r="EO332" s="1230"/>
      <c r="EP332" s="433"/>
      <c r="EQ332" s="433"/>
      <c r="ER332" s="1230"/>
      <c r="ES332" s="433"/>
      <c r="ET332" s="433"/>
      <c r="EU332" s="1230"/>
      <c r="EV332" s="433"/>
      <c r="EW332" s="433"/>
      <c r="EX332" s="1230"/>
      <c r="EY332" s="433"/>
      <c r="EZ332" s="433"/>
      <c r="FA332" s="434"/>
    </row>
    <row r="333" spans="1:157" ht="13.35" customHeight="1">
      <c r="A333" s="23"/>
      <c r="B333" s="5" t="s">
        <v>900</v>
      </c>
      <c r="C333" s="5"/>
      <c r="D333" s="410"/>
      <c r="E333" s="359"/>
      <c r="F333" s="359"/>
      <c r="G333" s="363"/>
      <c r="H333" s="363"/>
      <c r="I333" s="363"/>
      <c r="J333" s="363"/>
      <c r="K333" s="363"/>
      <c r="L333" s="363"/>
      <c r="M333" s="363"/>
      <c r="N333" s="363"/>
      <c r="O333" s="363"/>
      <c r="P333" s="363"/>
      <c r="Q333" s="363"/>
      <c r="R333" s="363"/>
      <c r="S333" s="363"/>
      <c r="T333" s="363"/>
      <c r="U333" s="363"/>
      <c r="V333" s="429"/>
      <c r="W333" s="272"/>
      <c r="X333" s="272"/>
      <c r="Y333" s="429"/>
      <c r="Z333" s="272"/>
      <c r="AA333" s="272"/>
      <c r="AB333" s="429"/>
      <c r="AC333" s="272"/>
      <c r="AD333" s="272"/>
      <c r="AE333" s="429"/>
      <c r="AF333" s="272"/>
      <c r="AG333" s="272"/>
      <c r="AH333" s="429"/>
      <c r="AI333" s="272"/>
      <c r="AJ333" s="272"/>
      <c r="AK333" s="429"/>
      <c r="AL333" s="272"/>
      <c r="AM333" s="272"/>
      <c r="AN333" s="429"/>
      <c r="AO333" s="272"/>
      <c r="AP333" s="272"/>
      <c r="AQ333" s="363"/>
      <c r="AR333" s="433"/>
      <c r="AS333" s="433"/>
      <c r="AT333" s="433"/>
      <c r="AU333" s="433"/>
      <c r="AV333" s="433"/>
      <c r="AW333" s="433"/>
      <c r="AX333" s="433"/>
      <c r="AY333" s="433"/>
      <c r="AZ333" s="433"/>
      <c r="BA333" s="433"/>
      <c r="BB333" s="433"/>
      <c r="BC333" s="433"/>
      <c r="BD333" s="433"/>
      <c r="BE333" s="433"/>
      <c r="BF333" s="433"/>
      <c r="BG333" s="433"/>
      <c r="BH333" s="433"/>
      <c r="BI333" s="433"/>
      <c r="BJ333" s="433"/>
      <c r="BK333" s="433"/>
      <c r="BL333" s="433"/>
      <c r="BM333" s="433"/>
      <c r="BN333" s="433"/>
      <c r="BO333" s="434"/>
      <c r="BP333" s="433"/>
      <c r="BQ333" s="433"/>
      <c r="BR333" s="434"/>
      <c r="BS333" s="433"/>
      <c r="BT333" s="433"/>
      <c r="BU333" s="434"/>
      <c r="BV333" s="433"/>
      <c r="BW333" s="433"/>
      <c r="BX333" s="434"/>
      <c r="BY333" s="433"/>
      <c r="BZ333" s="433"/>
      <c r="CA333" s="434"/>
      <c r="CB333" s="433"/>
      <c r="CC333" s="433"/>
      <c r="CD333" s="434"/>
      <c r="CE333" s="433"/>
      <c r="CF333" s="433"/>
      <c r="CG333" s="434"/>
      <c r="CH333" s="433"/>
      <c r="CI333" s="433"/>
      <c r="CJ333" s="434"/>
      <c r="CK333" s="433"/>
      <c r="CL333" s="433"/>
      <c r="CM333" s="434"/>
      <c r="CN333" s="433"/>
      <c r="CO333" s="433"/>
      <c r="CP333" s="434"/>
      <c r="CQ333" s="433"/>
      <c r="CR333" s="433"/>
      <c r="CS333" s="434"/>
      <c r="CT333" s="433"/>
      <c r="CU333" s="433"/>
      <c r="CV333" s="434"/>
      <c r="CW333" s="433"/>
      <c r="CX333" s="433"/>
      <c r="CY333" s="434"/>
      <c r="CZ333" s="433"/>
      <c r="DA333" s="433"/>
      <c r="DB333" s="434"/>
      <c r="DC333" s="433"/>
      <c r="DD333" s="433"/>
      <c r="DE333" s="434"/>
      <c r="DF333" s="433"/>
      <c r="DG333" s="433"/>
      <c r="DH333" s="434"/>
      <c r="DI333" s="433"/>
      <c r="DJ333" s="433"/>
      <c r="DK333" s="1230"/>
      <c r="DL333" s="433"/>
      <c r="DM333" s="433"/>
      <c r="DN333" s="1230"/>
      <c r="DO333" s="433"/>
      <c r="DP333" s="433"/>
      <c r="DQ333" s="1230"/>
      <c r="DR333" s="433"/>
      <c r="DS333" s="433"/>
      <c r="DT333" s="1230"/>
      <c r="DU333" s="433"/>
      <c r="DV333" s="433"/>
      <c r="DW333" s="1230"/>
      <c r="DX333" s="433"/>
      <c r="DY333" s="433"/>
      <c r="DZ333" s="1230"/>
      <c r="EA333" s="433"/>
      <c r="EB333" s="433"/>
      <c r="EC333" s="1230"/>
      <c r="ED333" s="433"/>
      <c r="EE333" s="433"/>
      <c r="EF333" s="1230"/>
      <c r="EG333" s="433"/>
      <c r="EH333" s="433"/>
      <c r="EI333" s="1230"/>
      <c r="EJ333" s="433"/>
      <c r="EK333" s="433"/>
      <c r="EL333" s="1230"/>
      <c r="EM333" s="433"/>
      <c r="EN333" s="433"/>
      <c r="EO333" s="1230"/>
      <c r="EP333" s="433"/>
      <c r="EQ333" s="433"/>
      <c r="ER333" s="1230"/>
      <c r="ES333" s="433"/>
      <c r="ET333" s="433"/>
      <c r="EU333" s="1230"/>
      <c r="EV333" s="433"/>
      <c r="EW333" s="433"/>
      <c r="EX333" s="1230"/>
      <c r="EY333" s="433"/>
      <c r="EZ333" s="433"/>
      <c r="FA333" s="434"/>
    </row>
    <row r="334" spans="1:157" ht="13.35" customHeight="1">
      <c r="A334" s="23"/>
      <c r="B334" s="5" t="s">
        <v>900</v>
      </c>
      <c r="C334" s="5"/>
      <c r="D334" s="410"/>
      <c r="E334" s="359"/>
      <c r="F334" s="359"/>
      <c r="G334" s="363"/>
      <c r="H334" s="363"/>
      <c r="I334" s="363"/>
      <c r="J334" s="363"/>
      <c r="K334" s="363"/>
      <c r="L334" s="363"/>
      <c r="M334" s="363"/>
      <c r="N334" s="363"/>
      <c r="O334" s="363"/>
      <c r="P334" s="363"/>
      <c r="Q334" s="363"/>
      <c r="R334" s="363"/>
      <c r="S334" s="363"/>
      <c r="T334" s="363"/>
      <c r="U334" s="363"/>
      <c r="V334" s="429"/>
      <c r="W334" s="272"/>
      <c r="X334" s="272"/>
      <c r="Y334" s="429"/>
      <c r="Z334" s="272"/>
      <c r="AA334" s="272"/>
      <c r="AB334" s="429"/>
      <c r="AC334" s="272"/>
      <c r="AD334" s="272"/>
      <c r="AE334" s="429"/>
      <c r="AF334" s="272"/>
      <c r="AG334" s="272"/>
      <c r="AH334" s="429"/>
      <c r="AI334" s="272"/>
      <c r="AJ334" s="272"/>
      <c r="AK334" s="429"/>
      <c r="AL334" s="272"/>
      <c r="AM334" s="272"/>
      <c r="AN334" s="429"/>
      <c r="AO334" s="272"/>
      <c r="AP334" s="272"/>
      <c r="AQ334" s="363"/>
      <c r="AR334" s="433"/>
      <c r="AS334" s="433"/>
      <c r="AT334" s="433"/>
      <c r="AU334" s="433"/>
      <c r="AV334" s="433"/>
      <c r="AW334" s="433"/>
      <c r="AX334" s="433"/>
      <c r="AY334" s="433"/>
      <c r="AZ334" s="433"/>
      <c r="BA334" s="433"/>
      <c r="BB334" s="433"/>
      <c r="BC334" s="433"/>
      <c r="BD334" s="433"/>
      <c r="BE334" s="433"/>
      <c r="BF334" s="433"/>
      <c r="BG334" s="433"/>
      <c r="BH334" s="433"/>
      <c r="BI334" s="433"/>
      <c r="BJ334" s="433"/>
      <c r="BK334" s="433"/>
      <c r="BL334" s="433"/>
      <c r="BM334" s="433"/>
      <c r="BN334" s="433"/>
      <c r="BO334" s="434"/>
      <c r="BP334" s="433"/>
      <c r="BQ334" s="433"/>
      <c r="BR334" s="434"/>
      <c r="BS334" s="433"/>
      <c r="BT334" s="433"/>
      <c r="BU334" s="434"/>
      <c r="BV334" s="433"/>
      <c r="BW334" s="433"/>
      <c r="BX334" s="434"/>
      <c r="BY334" s="433"/>
      <c r="BZ334" s="433"/>
      <c r="CA334" s="434"/>
      <c r="CB334" s="433"/>
      <c r="CC334" s="433"/>
      <c r="CD334" s="434"/>
      <c r="CE334" s="433"/>
      <c r="CF334" s="433"/>
      <c r="CG334" s="434"/>
      <c r="CH334" s="433"/>
      <c r="CI334" s="433"/>
      <c r="CJ334" s="434"/>
      <c r="CK334" s="433"/>
      <c r="CL334" s="433"/>
      <c r="CM334" s="434"/>
      <c r="CN334" s="433"/>
      <c r="CO334" s="433"/>
      <c r="CP334" s="434"/>
      <c r="CQ334" s="433"/>
      <c r="CR334" s="433"/>
      <c r="CS334" s="434"/>
      <c r="CT334" s="433"/>
      <c r="CU334" s="433"/>
      <c r="CV334" s="434"/>
      <c r="CW334" s="433"/>
      <c r="CX334" s="433"/>
      <c r="CY334" s="434"/>
      <c r="CZ334" s="433"/>
      <c r="DA334" s="433"/>
      <c r="DB334" s="434"/>
      <c r="DC334" s="433"/>
      <c r="DD334" s="433"/>
      <c r="DE334" s="434"/>
      <c r="DF334" s="433"/>
      <c r="DG334" s="433"/>
      <c r="DH334" s="434"/>
      <c r="DI334" s="433"/>
      <c r="DJ334" s="433"/>
      <c r="DK334" s="1230"/>
      <c r="DL334" s="433"/>
      <c r="DM334" s="433"/>
      <c r="DN334" s="1230"/>
      <c r="DO334" s="433"/>
      <c r="DP334" s="433"/>
      <c r="DQ334" s="1230"/>
      <c r="DR334" s="433"/>
      <c r="DS334" s="433"/>
      <c r="DT334" s="1230"/>
      <c r="DU334" s="433"/>
      <c r="DV334" s="433"/>
      <c r="DW334" s="1230"/>
      <c r="DX334" s="433"/>
      <c r="DY334" s="433"/>
      <c r="DZ334" s="1230"/>
      <c r="EA334" s="433"/>
      <c r="EB334" s="433"/>
      <c r="EC334" s="1230"/>
      <c r="ED334" s="433"/>
      <c r="EE334" s="433"/>
      <c r="EF334" s="1230"/>
      <c r="EG334" s="433"/>
      <c r="EH334" s="433"/>
      <c r="EI334" s="1230"/>
      <c r="EJ334" s="433"/>
      <c r="EK334" s="433"/>
      <c r="EL334" s="1230"/>
      <c r="EM334" s="433"/>
      <c r="EN334" s="433"/>
      <c r="EO334" s="1230"/>
      <c r="EP334" s="433"/>
      <c r="EQ334" s="433"/>
      <c r="ER334" s="1230"/>
      <c r="ES334" s="433"/>
      <c r="ET334" s="433"/>
      <c r="EU334" s="1230"/>
      <c r="EV334" s="433"/>
      <c r="EW334" s="433"/>
      <c r="EX334" s="1230"/>
      <c r="EY334" s="433"/>
      <c r="EZ334" s="433"/>
      <c r="FA334" s="434"/>
    </row>
    <row r="335" spans="1:157" ht="13.35" customHeight="1">
      <c r="A335" s="23"/>
      <c r="B335" s="5" t="s">
        <v>900</v>
      </c>
      <c r="C335" s="5"/>
      <c r="D335" s="410"/>
      <c r="E335" s="359"/>
      <c r="F335" s="359"/>
      <c r="G335" s="363"/>
      <c r="H335" s="363"/>
      <c r="I335" s="363"/>
      <c r="J335" s="363"/>
      <c r="K335" s="363"/>
      <c r="L335" s="363"/>
      <c r="M335" s="363"/>
      <c r="N335" s="363"/>
      <c r="O335" s="363"/>
      <c r="P335" s="363"/>
      <c r="Q335" s="363"/>
      <c r="R335" s="363"/>
      <c r="S335" s="363"/>
      <c r="T335" s="363"/>
      <c r="U335" s="363"/>
      <c r="V335" s="429"/>
      <c r="W335" s="272"/>
      <c r="X335" s="272"/>
      <c r="Y335" s="429"/>
      <c r="Z335" s="272"/>
      <c r="AA335" s="272"/>
      <c r="AB335" s="429"/>
      <c r="AC335" s="272"/>
      <c r="AD335" s="272"/>
      <c r="AE335" s="429"/>
      <c r="AF335" s="272"/>
      <c r="AG335" s="272"/>
      <c r="AH335" s="429"/>
      <c r="AI335" s="272"/>
      <c r="AJ335" s="272"/>
      <c r="AK335" s="429"/>
      <c r="AL335" s="272"/>
      <c r="AM335" s="272"/>
      <c r="AN335" s="429"/>
      <c r="AO335" s="272"/>
      <c r="AP335" s="272"/>
      <c r="AQ335" s="363"/>
      <c r="AR335" s="433"/>
      <c r="AS335" s="433"/>
      <c r="AT335" s="433"/>
      <c r="AU335" s="433"/>
      <c r="AV335" s="433"/>
      <c r="AW335" s="433"/>
      <c r="AX335" s="433"/>
      <c r="AY335" s="433"/>
      <c r="AZ335" s="433"/>
      <c r="BA335" s="433"/>
      <c r="BB335" s="433"/>
      <c r="BC335" s="433"/>
      <c r="BD335" s="433"/>
      <c r="BE335" s="433"/>
      <c r="BF335" s="433"/>
      <c r="BG335" s="433"/>
      <c r="BH335" s="433"/>
      <c r="BI335" s="433"/>
      <c r="BJ335" s="433"/>
      <c r="BK335" s="433"/>
      <c r="BL335" s="433"/>
      <c r="BM335" s="433"/>
      <c r="BN335" s="433"/>
      <c r="BO335" s="434"/>
      <c r="BP335" s="433"/>
      <c r="BQ335" s="433"/>
      <c r="BR335" s="434"/>
      <c r="BS335" s="433"/>
      <c r="BT335" s="433"/>
      <c r="BU335" s="434"/>
      <c r="BV335" s="433"/>
      <c r="BW335" s="433"/>
      <c r="BX335" s="434"/>
      <c r="BY335" s="433"/>
      <c r="BZ335" s="433"/>
      <c r="CA335" s="434"/>
      <c r="CB335" s="433"/>
      <c r="CC335" s="433"/>
      <c r="CD335" s="434"/>
      <c r="CE335" s="433"/>
      <c r="CF335" s="433"/>
      <c r="CG335" s="434"/>
      <c r="CH335" s="433"/>
      <c r="CI335" s="433"/>
      <c r="CJ335" s="434"/>
      <c r="CK335" s="433"/>
      <c r="CL335" s="433"/>
      <c r="CM335" s="434"/>
      <c r="CN335" s="433"/>
      <c r="CO335" s="433"/>
      <c r="CP335" s="434"/>
      <c r="CQ335" s="433"/>
      <c r="CR335" s="433"/>
      <c r="CS335" s="434"/>
      <c r="CT335" s="433"/>
      <c r="CU335" s="433"/>
      <c r="CV335" s="434"/>
      <c r="CW335" s="433"/>
      <c r="CX335" s="433"/>
      <c r="CY335" s="434"/>
      <c r="CZ335" s="433"/>
      <c r="DA335" s="433"/>
      <c r="DB335" s="434"/>
      <c r="DC335" s="433"/>
      <c r="DD335" s="433"/>
      <c r="DE335" s="434"/>
      <c r="DF335" s="433"/>
      <c r="DG335" s="433"/>
      <c r="DH335" s="434"/>
      <c r="DI335" s="433"/>
      <c r="DJ335" s="433"/>
      <c r="DK335" s="1230"/>
      <c r="DL335" s="433"/>
      <c r="DM335" s="433"/>
      <c r="DN335" s="1230"/>
      <c r="DO335" s="433"/>
      <c r="DP335" s="433"/>
      <c r="DQ335" s="1230"/>
      <c r="DR335" s="433"/>
      <c r="DS335" s="433"/>
      <c r="DT335" s="1230"/>
      <c r="DU335" s="433"/>
      <c r="DV335" s="433"/>
      <c r="DW335" s="1230"/>
      <c r="DX335" s="433"/>
      <c r="DY335" s="433"/>
      <c r="DZ335" s="1230"/>
      <c r="EA335" s="433"/>
      <c r="EB335" s="433"/>
      <c r="EC335" s="1230"/>
      <c r="ED335" s="433"/>
      <c r="EE335" s="433"/>
      <c r="EF335" s="1230"/>
      <c r="EG335" s="433"/>
      <c r="EH335" s="433"/>
      <c r="EI335" s="1230"/>
      <c r="EJ335" s="433"/>
      <c r="EK335" s="433"/>
      <c r="EL335" s="1230"/>
      <c r="EM335" s="433"/>
      <c r="EN335" s="433"/>
      <c r="EO335" s="1230"/>
      <c r="EP335" s="433"/>
      <c r="EQ335" s="433"/>
      <c r="ER335" s="1230"/>
      <c r="ES335" s="433"/>
      <c r="ET335" s="433"/>
      <c r="EU335" s="1230"/>
      <c r="EV335" s="433"/>
      <c r="EW335" s="433"/>
      <c r="EX335" s="1230"/>
      <c r="EY335" s="433"/>
      <c r="EZ335" s="433"/>
      <c r="FA335" s="434"/>
    </row>
    <row r="336" spans="1:157" ht="13.35" customHeight="1">
      <c r="A336" s="23"/>
      <c r="B336" s="5" t="s">
        <v>900</v>
      </c>
      <c r="C336" s="5"/>
      <c r="D336" s="410"/>
      <c r="E336" s="359"/>
      <c r="F336" s="359"/>
      <c r="G336" s="363"/>
      <c r="H336" s="363"/>
      <c r="I336" s="363"/>
      <c r="J336" s="363"/>
      <c r="K336" s="363"/>
      <c r="L336" s="363"/>
      <c r="M336" s="363"/>
      <c r="N336" s="363"/>
      <c r="O336" s="363"/>
      <c r="P336" s="363"/>
      <c r="Q336" s="363"/>
      <c r="R336" s="363"/>
      <c r="S336" s="363"/>
      <c r="T336" s="363"/>
      <c r="U336" s="363"/>
      <c r="V336" s="429"/>
      <c r="W336" s="272"/>
      <c r="X336" s="272"/>
      <c r="Y336" s="429"/>
      <c r="Z336" s="272"/>
      <c r="AA336" s="272"/>
      <c r="AB336" s="429"/>
      <c r="AC336" s="272"/>
      <c r="AD336" s="272"/>
      <c r="AE336" s="429"/>
      <c r="AF336" s="272"/>
      <c r="AG336" s="272"/>
      <c r="AH336" s="429"/>
      <c r="AI336" s="272"/>
      <c r="AJ336" s="272"/>
      <c r="AK336" s="429"/>
      <c r="AL336" s="272"/>
      <c r="AM336" s="272"/>
      <c r="AN336" s="429"/>
      <c r="AO336" s="272"/>
      <c r="AP336" s="272"/>
      <c r="AQ336" s="363"/>
      <c r="AR336" s="433"/>
      <c r="AS336" s="433"/>
      <c r="AT336" s="433"/>
      <c r="AU336" s="433"/>
      <c r="AV336" s="433"/>
      <c r="AW336" s="433"/>
      <c r="AX336" s="433"/>
      <c r="AY336" s="433"/>
      <c r="AZ336" s="433"/>
      <c r="BA336" s="433"/>
      <c r="BB336" s="433"/>
      <c r="BC336" s="433"/>
      <c r="BD336" s="433"/>
      <c r="BE336" s="433"/>
      <c r="BF336" s="433"/>
      <c r="BG336" s="433"/>
      <c r="BH336" s="433"/>
      <c r="BI336" s="433"/>
      <c r="BJ336" s="433"/>
      <c r="BK336" s="433"/>
      <c r="BL336" s="433"/>
      <c r="BM336" s="433"/>
      <c r="BN336" s="433"/>
      <c r="BO336" s="434"/>
      <c r="BP336" s="433"/>
      <c r="BQ336" s="433"/>
      <c r="BR336" s="434"/>
      <c r="BS336" s="433"/>
      <c r="BT336" s="433"/>
      <c r="BU336" s="434"/>
      <c r="BV336" s="433"/>
      <c r="BW336" s="433"/>
      <c r="BX336" s="434"/>
      <c r="BY336" s="433"/>
      <c r="BZ336" s="433"/>
      <c r="CA336" s="434"/>
      <c r="CB336" s="433"/>
      <c r="CC336" s="433"/>
      <c r="CD336" s="434"/>
      <c r="CE336" s="433"/>
      <c r="CF336" s="433"/>
      <c r="CG336" s="434"/>
      <c r="CH336" s="433"/>
      <c r="CI336" s="433"/>
      <c r="CJ336" s="434"/>
      <c r="CK336" s="433"/>
      <c r="CL336" s="433"/>
      <c r="CM336" s="434"/>
      <c r="CN336" s="433"/>
      <c r="CO336" s="433"/>
      <c r="CP336" s="434"/>
      <c r="CQ336" s="433"/>
      <c r="CR336" s="433"/>
      <c r="CS336" s="434"/>
      <c r="CT336" s="433"/>
      <c r="CU336" s="433"/>
      <c r="CV336" s="434"/>
      <c r="CW336" s="433"/>
      <c r="CX336" s="433"/>
      <c r="CY336" s="434"/>
      <c r="CZ336" s="433"/>
      <c r="DA336" s="433"/>
      <c r="DB336" s="434"/>
      <c r="DC336" s="433"/>
      <c r="DD336" s="433"/>
      <c r="DE336" s="434"/>
      <c r="DF336" s="433"/>
      <c r="DG336" s="433"/>
      <c r="DH336" s="434"/>
      <c r="DI336" s="433"/>
      <c r="DJ336" s="433"/>
      <c r="DK336" s="1230"/>
      <c r="DL336" s="433"/>
      <c r="DM336" s="433"/>
      <c r="DN336" s="1230"/>
      <c r="DO336" s="433"/>
      <c r="DP336" s="433"/>
      <c r="DQ336" s="1230"/>
      <c r="DR336" s="433"/>
      <c r="DS336" s="433"/>
      <c r="DT336" s="1230"/>
      <c r="DU336" s="433"/>
      <c r="DV336" s="433"/>
      <c r="DW336" s="1230"/>
      <c r="DX336" s="433"/>
      <c r="DY336" s="433"/>
      <c r="DZ336" s="1230"/>
      <c r="EA336" s="433"/>
      <c r="EB336" s="433"/>
      <c r="EC336" s="1230"/>
      <c r="ED336" s="433"/>
      <c r="EE336" s="433"/>
      <c r="EF336" s="1230"/>
      <c r="EG336" s="433"/>
      <c r="EH336" s="433"/>
      <c r="EI336" s="1230"/>
      <c r="EJ336" s="433"/>
      <c r="EK336" s="433"/>
      <c r="EL336" s="1230"/>
      <c r="EM336" s="433"/>
      <c r="EN336" s="433"/>
      <c r="EO336" s="1230"/>
      <c r="EP336" s="433"/>
      <c r="EQ336" s="433"/>
      <c r="ER336" s="1230"/>
      <c r="ES336" s="433"/>
      <c r="ET336" s="433"/>
      <c r="EU336" s="1230"/>
      <c r="EV336" s="433"/>
      <c r="EW336" s="433"/>
      <c r="EX336" s="1230"/>
      <c r="EY336" s="433"/>
      <c r="EZ336" s="433"/>
      <c r="FA336" s="434"/>
    </row>
    <row r="337" spans="1:157" ht="13.35" customHeight="1">
      <c r="A337" s="23"/>
      <c r="B337" s="5" t="s">
        <v>900</v>
      </c>
      <c r="C337" s="5"/>
      <c r="D337" s="410"/>
      <c r="E337" s="359"/>
      <c r="F337" s="359"/>
      <c r="G337" s="363"/>
      <c r="H337" s="363"/>
      <c r="I337" s="363"/>
      <c r="J337" s="363"/>
      <c r="K337" s="363"/>
      <c r="L337" s="363"/>
      <c r="M337" s="363"/>
      <c r="N337" s="363"/>
      <c r="O337" s="363"/>
      <c r="P337" s="363"/>
      <c r="Q337" s="363"/>
      <c r="R337" s="363"/>
      <c r="S337" s="363"/>
      <c r="T337" s="363"/>
      <c r="U337" s="363"/>
      <c r="V337" s="429"/>
      <c r="W337" s="272"/>
      <c r="X337" s="272"/>
      <c r="Y337" s="429"/>
      <c r="Z337" s="272"/>
      <c r="AA337" s="272"/>
      <c r="AB337" s="429"/>
      <c r="AC337" s="272"/>
      <c r="AD337" s="272"/>
      <c r="AE337" s="429"/>
      <c r="AF337" s="272"/>
      <c r="AG337" s="272"/>
      <c r="AH337" s="429"/>
      <c r="AI337" s="272"/>
      <c r="AJ337" s="272"/>
      <c r="AK337" s="429"/>
      <c r="AL337" s="272"/>
      <c r="AM337" s="272"/>
      <c r="AN337" s="429"/>
      <c r="AO337" s="272"/>
      <c r="AP337" s="272"/>
      <c r="AQ337" s="363"/>
      <c r="AR337" s="433"/>
      <c r="AS337" s="433"/>
      <c r="AT337" s="433"/>
      <c r="AU337" s="433"/>
      <c r="AV337" s="433"/>
      <c r="AW337" s="433"/>
      <c r="AX337" s="433"/>
      <c r="AY337" s="433"/>
      <c r="AZ337" s="433"/>
      <c r="BA337" s="433"/>
      <c r="BB337" s="433"/>
      <c r="BC337" s="433"/>
      <c r="BD337" s="433"/>
      <c r="BE337" s="433"/>
      <c r="BF337" s="433"/>
      <c r="BG337" s="433"/>
      <c r="BH337" s="433"/>
      <c r="BI337" s="433"/>
      <c r="BJ337" s="433"/>
      <c r="BK337" s="433"/>
      <c r="BL337" s="433"/>
      <c r="BM337" s="433"/>
      <c r="BN337" s="433"/>
      <c r="BO337" s="434"/>
      <c r="BP337" s="433"/>
      <c r="BQ337" s="433"/>
      <c r="BR337" s="434"/>
      <c r="BS337" s="433"/>
      <c r="BT337" s="433"/>
      <c r="BU337" s="434"/>
      <c r="BV337" s="433"/>
      <c r="BW337" s="433"/>
      <c r="BX337" s="434"/>
      <c r="BY337" s="433"/>
      <c r="BZ337" s="433"/>
      <c r="CA337" s="434"/>
      <c r="CB337" s="433"/>
      <c r="CC337" s="433"/>
      <c r="CD337" s="434"/>
      <c r="CE337" s="433"/>
      <c r="CF337" s="433"/>
      <c r="CG337" s="434"/>
      <c r="CH337" s="433"/>
      <c r="CI337" s="433"/>
      <c r="CJ337" s="434"/>
      <c r="CK337" s="433"/>
      <c r="CL337" s="433"/>
      <c r="CM337" s="434"/>
      <c r="CN337" s="433"/>
      <c r="CO337" s="433"/>
      <c r="CP337" s="434"/>
      <c r="CQ337" s="433"/>
      <c r="CR337" s="433"/>
      <c r="CS337" s="434"/>
      <c r="CT337" s="433"/>
      <c r="CU337" s="433"/>
      <c r="CV337" s="434"/>
      <c r="CW337" s="433"/>
      <c r="CX337" s="433"/>
      <c r="CY337" s="434"/>
      <c r="CZ337" s="433"/>
      <c r="DA337" s="433"/>
      <c r="DB337" s="434"/>
      <c r="DC337" s="433"/>
      <c r="DD337" s="433"/>
      <c r="DE337" s="434"/>
      <c r="DF337" s="433"/>
      <c r="DG337" s="433"/>
      <c r="DH337" s="434"/>
      <c r="DI337" s="433"/>
      <c r="DJ337" s="433"/>
      <c r="DK337" s="1230"/>
      <c r="DL337" s="433"/>
      <c r="DM337" s="433"/>
      <c r="DN337" s="1230"/>
      <c r="DO337" s="433"/>
      <c r="DP337" s="433"/>
      <c r="DQ337" s="1230"/>
      <c r="DR337" s="433"/>
      <c r="DS337" s="433"/>
      <c r="DT337" s="1230"/>
      <c r="DU337" s="433"/>
      <c r="DV337" s="433"/>
      <c r="DW337" s="1230"/>
      <c r="DX337" s="433"/>
      <c r="DY337" s="433"/>
      <c r="DZ337" s="1230"/>
      <c r="EA337" s="433"/>
      <c r="EB337" s="433"/>
      <c r="EC337" s="1230"/>
      <c r="ED337" s="433"/>
      <c r="EE337" s="433"/>
      <c r="EF337" s="1230"/>
      <c r="EG337" s="433"/>
      <c r="EH337" s="433"/>
      <c r="EI337" s="1230"/>
      <c r="EJ337" s="433"/>
      <c r="EK337" s="433"/>
      <c r="EL337" s="1230"/>
      <c r="EM337" s="433"/>
      <c r="EN337" s="433"/>
      <c r="EO337" s="1230"/>
      <c r="EP337" s="433"/>
      <c r="EQ337" s="433"/>
      <c r="ER337" s="1230"/>
      <c r="ES337" s="433"/>
      <c r="ET337" s="433"/>
      <c r="EU337" s="1230"/>
      <c r="EV337" s="433"/>
      <c r="EW337" s="433"/>
      <c r="EX337" s="1230"/>
      <c r="EY337" s="433"/>
      <c r="EZ337" s="433"/>
      <c r="FA337" s="434"/>
    </row>
    <row r="338" spans="1:157" ht="13.35" customHeight="1">
      <c r="A338" s="23"/>
      <c r="B338" s="5" t="s">
        <v>900</v>
      </c>
      <c r="C338" s="5"/>
      <c r="D338" s="410"/>
      <c r="E338" s="359"/>
      <c r="F338" s="359"/>
      <c r="G338" s="356"/>
      <c r="H338" s="356"/>
      <c r="I338" s="356"/>
      <c r="J338" s="356"/>
      <c r="K338" s="356"/>
      <c r="L338" s="356"/>
      <c r="M338" s="356"/>
      <c r="N338" s="356"/>
      <c r="O338" s="356"/>
      <c r="P338" s="356"/>
      <c r="Q338" s="356"/>
      <c r="R338" s="356"/>
      <c r="S338" s="356"/>
      <c r="T338" s="356"/>
      <c r="U338" s="356"/>
      <c r="V338" s="356"/>
      <c r="W338" s="356"/>
      <c r="X338" s="356"/>
      <c r="Y338" s="356"/>
      <c r="Z338" s="356"/>
      <c r="AA338" s="356"/>
      <c r="AB338" s="356"/>
      <c r="AC338" s="356"/>
      <c r="AD338" s="356"/>
      <c r="AE338" s="356"/>
      <c r="AF338" s="356"/>
      <c r="AG338" s="356"/>
      <c r="AH338" s="356"/>
      <c r="AI338" s="356"/>
      <c r="AJ338" s="356"/>
      <c r="AK338" s="356"/>
      <c r="AL338" s="356"/>
      <c r="AM338" s="356"/>
      <c r="AN338" s="356"/>
      <c r="AO338" s="356"/>
      <c r="AP338" s="356"/>
      <c r="AQ338" s="356"/>
      <c r="AR338" s="357"/>
      <c r="AS338" s="357"/>
      <c r="AT338" s="357"/>
      <c r="AU338" s="357"/>
      <c r="AV338" s="357"/>
      <c r="AW338" s="357"/>
      <c r="AX338" s="357"/>
      <c r="AY338" s="357"/>
      <c r="AZ338" s="357"/>
      <c r="BA338" s="357"/>
      <c r="BB338" s="357"/>
      <c r="BC338" s="357"/>
      <c r="BD338" s="357"/>
      <c r="BE338" s="357"/>
      <c r="BF338" s="357"/>
      <c r="BG338" s="357"/>
      <c r="BH338" s="357"/>
      <c r="BI338" s="357"/>
      <c r="BJ338" s="357"/>
      <c r="BK338" s="357"/>
      <c r="BL338" s="357"/>
      <c r="BM338" s="357"/>
      <c r="BN338" s="357"/>
      <c r="BO338" s="416"/>
      <c r="BP338" s="357"/>
      <c r="BQ338" s="357"/>
      <c r="BR338" s="416"/>
      <c r="BS338" s="357"/>
      <c r="BT338" s="357"/>
      <c r="BU338" s="416"/>
      <c r="BV338" s="357"/>
      <c r="BW338" s="357"/>
      <c r="BX338" s="416"/>
      <c r="BY338" s="357"/>
      <c r="BZ338" s="357"/>
      <c r="CA338" s="416"/>
      <c r="CB338" s="357"/>
      <c r="CC338" s="357"/>
      <c r="CD338" s="416"/>
      <c r="CE338" s="357"/>
      <c r="CF338" s="357"/>
      <c r="CG338" s="416"/>
      <c r="CH338" s="357"/>
      <c r="CI338" s="357"/>
      <c r="CJ338" s="416"/>
      <c r="CK338" s="357"/>
      <c r="CL338" s="357"/>
      <c r="CM338" s="416"/>
      <c r="CN338" s="357"/>
      <c r="CO338" s="357"/>
      <c r="CP338" s="416"/>
      <c r="CQ338" s="357"/>
      <c r="CR338" s="357"/>
      <c r="CS338" s="416"/>
      <c r="CT338" s="357"/>
      <c r="CU338" s="357"/>
      <c r="CV338" s="416"/>
      <c r="CW338" s="357"/>
      <c r="CX338" s="357"/>
      <c r="CY338" s="416"/>
      <c r="CZ338" s="357"/>
      <c r="DA338" s="357"/>
      <c r="DB338" s="416"/>
      <c r="DC338" s="357"/>
      <c r="DD338" s="357"/>
      <c r="DE338" s="416"/>
      <c r="DF338" s="357"/>
      <c r="DG338" s="357"/>
      <c r="DH338" s="416"/>
      <c r="DI338" s="357"/>
      <c r="DJ338" s="357"/>
      <c r="DK338" s="1205"/>
      <c r="DL338" s="357"/>
      <c r="DM338" s="357"/>
      <c r="DN338" s="1205"/>
      <c r="DO338" s="357"/>
      <c r="DP338" s="357"/>
      <c r="DQ338" s="1205"/>
      <c r="DR338" s="357"/>
      <c r="DS338" s="357"/>
      <c r="DT338" s="1205"/>
      <c r="DU338" s="357"/>
      <c r="DV338" s="357"/>
      <c r="DW338" s="1205"/>
      <c r="DX338" s="357"/>
      <c r="DY338" s="357"/>
      <c r="DZ338" s="1205"/>
      <c r="EA338" s="357"/>
      <c r="EB338" s="357"/>
      <c r="EC338" s="1205"/>
      <c r="ED338" s="357"/>
      <c r="EE338" s="357"/>
      <c r="EF338" s="1205"/>
      <c r="EG338" s="357"/>
      <c r="EH338" s="357"/>
      <c r="EI338" s="1205"/>
      <c r="EJ338" s="357"/>
      <c r="EK338" s="357"/>
      <c r="EL338" s="1205"/>
      <c r="EM338" s="357"/>
      <c r="EN338" s="357"/>
      <c r="EO338" s="1205"/>
      <c r="EP338" s="357"/>
      <c r="EQ338" s="357"/>
      <c r="ER338" s="1205"/>
      <c r="ES338" s="357"/>
      <c r="ET338" s="357"/>
      <c r="EU338" s="1205"/>
      <c r="EV338" s="357"/>
      <c r="EW338" s="357"/>
      <c r="EX338" s="1205"/>
      <c r="EY338" s="357"/>
      <c r="EZ338" s="357"/>
      <c r="FA338" s="416"/>
    </row>
    <row r="339" spans="1:157" ht="13.35" customHeight="1">
      <c r="A339" s="23"/>
      <c r="B339" s="5" t="s">
        <v>900</v>
      </c>
      <c r="C339" s="5"/>
      <c r="D339" s="410"/>
      <c r="E339" s="359"/>
      <c r="F339" s="359"/>
      <c r="G339" s="363"/>
      <c r="H339" s="363"/>
      <c r="I339" s="363"/>
      <c r="J339" s="363"/>
      <c r="K339" s="363"/>
      <c r="L339" s="363"/>
      <c r="M339" s="363"/>
      <c r="N339" s="363"/>
      <c r="O339" s="363"/>
      <c r="P339" s="363"/>
      <c r="Q339" s="363"/>
      <c r="R339" s="363"/>
      <c r="S339" s="363"/>
      <c r="T339" s="363"/>
      <c r="U339" s="363"/>
      <c r="V339" s="363"/>
      <c r="W339" s="363"/>
      <c r="X339" s="363"/>
      <c r="Y339" s="363"/>
      <c r="Z339" s="363"/>
      <c r="AA339" s="363"/>
      <c r="AB339" s="363"/>
      <c r="AC339" s="363"/>
      <c r="AD339" s="363"/>
      <c r="AE339" s="363"/>
      <c r="AF339" s="363"/>
      <c r="AG339" s="363"/>
      <c r="AH339" s="363"/>
      <c r="AI339" s="363"/>
      <c r="AJ339" s="363"/>
      <c r="AK339" s="363"/>
      <c r="AL339" s="363"/>
      <c r="AM339" s="363"/>
      <c r="AN339" s="363"/>
      <c r="AO339" s="363"/>
      <c r="AP339" s="363"/>
      <c r="AQ339" s="363"/>
      <c r="AR339" s="363"/>
      <c r="AS339" s="363"/>
      <c r="AT339" s="433"/>
      <c r="AU339" s="433"/>
      <c r="AV339" s="433"/>
      <c r="AW339" s="433"/>
      <c r="AX339" s="433"/>
      <c r="AY339" s="433"/>
      <c r="AZ339" s="433"/>
      <c r="BA339" s="433"/>
      <c r="BB339" s="433"/>
      <c r="BC339" s="433"/>
      <c r="BD339" s="433"/>
      <c r="BE339" s="433"/>
      <c r="BF339" s="433"/>
      <c r="BG339" s="433"/>
      <c r="BH339" s="433"/>
      <c r="BI339" s="433"/>
      <c r="BJ339" s="433"/>
      <c r="BK339" s="433"/>
      <c r="BL339" s="433"/>
      <c r="BM339" s="433"/>
      <c r="BN339" s="433"/>
      <c r="BO339" s="434"/>
      <c r="BP339" s="433"/>
      <c r="BQ339" s="433"/>
      <c r="BR339" s="434"/>
      <c r="BS339" s="433"/>
      <c r="BT339" s="433"/>
      <c r="BU339" s="434"/>
      <c r="BV339" s="433"/>
      <c r="BW339" s="433"/>
      <c r="BX339" s="434"/>
      <c r="BY339" s="433"/>
      <c r="BZ339" s="433"/>
      <c r="CA339" s="434"/>
      <c r="CB339" s="433"/>
      <c r="CC339" s="433"/>
      <c r="CD339" s="434"/>
      <c r="CE339" s="433"/>
      <c r="CF339" s="433"/>
      <c r="CG339" s="434"/>
      <c r="CH339" s="433"/>
      <c r="CI339" s="433"/>
      <c r="CJ339" s="434"/>
      <c r="CK339" s="433"/>
      <c r="CL339" s="433"/>
      <c r="CM339" s="434"/>
      <c r="CN339" s="433"/>
      <c r="CO339" s="433"/>
      <c r="CP339" s="434"/>
      <c r="CQ339" s="433"/>
      <c r="CR339" s="433"/>
      <c r="CS339" s="434"/>
      <c r="CT339" s="433"/>
      <c r="CU339" s="433"/>
      <c r="CV339" s="434"/>
      <c r="CW339" s="433"/>
      <c r="CX339" s="433"/>
      <c r="CY339" s="434"/>
      <c r="CZ339" s="433"/>
      <c r="DA339" s="433"/>
      <c r="DB339" s="434"/>
      <c r="DC339" s="433"/>
      <c r="DD339" s="433"/>
      <c r="DE339" s="434"/>
      <c r="DF339" s="433"/>
      <c r="DG339" s="433"/>
      <c r="DH339" s="434"/>
      <c r="DI339" s="433"/>
      <c r="DJ339" s="433"/>
      <c r="DK339" s="1230"/>
      <c r="DL339" s="433"/>
      <c r="DM339" s="433"/>
      <c r="DN339" s="1230"/>
      <c r="DO339" s="433"/>
      <c r="DP339" s="433"/>
      <c r="DQ339" s="1230"/>
      <c r="DR339" s="433"/>
      <c r="DS339" s="433"/>
      <c r="DT339" s="1230"/>
      <c r="DU339" s="433"/>
      <c r="DV339" s="433"/>
      <c r="DW339" s="1230"/>
      <c r="DX339" s="433"/>
      <c r="DY339" s="433"/>
      <c r="DZ339" s="1230"/>
      <c r="EA339" s="433"/>
      <c r="EB339" s="433"/>
      <c r="EC339" s="1230"/>
      <c r="ED339" s="433"/>
      <c r="EE339" s="433"/>
      <c r="EF339" s="1230"/>
      <c r="EG339" s="433"/>
      <c r="EH339" s="433"/>
      <c r="EI339" s="1230"/>
      <c r="EJ339" s="433"/>
      <c r="EK339" s="433"/>
      <c r="EL339" s="1230"/>
      <c r="EM339" s="433"/>
      <c r="EN339" s="433"/>
      <c r="EO339" s="1230"/>
      <c r="EP339" s="433"/>
      <c r="EQ339" s="433"/>
      <c r="ER339" s="1230"/>
      <c r="ES339" s="433"/>
      <c r="ET339" s="433"/>
      <c r="EU339" s="1230"/>
      <c r="EV339" s="433"/>
      <c r="EW339" s="433"/>
      <c r="EX339" s="1230"/>
      <c r="EY339" s="433"/>
      <c r="EZ339" s="433"/>
      <c r="FA339" s="434"/>
    </row>
    <row r="340" spans="1:157" ht="13.35" customHeight="1" thickBot="1">
      <c r="A340" s="23"/>
      <c r="B340" s="5" t="s">
        <v>900</v>
      </c>
      <c r="C340" s="5"/>
      <c r="D340" s="410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410"/>
      <c r="BP340" s="36"/>
      <c r="BQ340" s="36"/>
      <c r="BR340" s="410"/>
      <c r="BS340" s="36"/>
      <c r="BT340" s="36"/>
      <c r="BU340" s="410"/>
      <c r="BV340" s="36"/>
      <c r="BW340" s="36"/>
      <c r="BX340" s="410"/>
      <c r="BY340" s="36"/>
      <c r="BZ340" s="36"/>
      <c r="CA340" s="410"/>
      <c r="CB340" s="36"/>
      <c r="CC340" s="36"/>
      <c r="CD340" s="410"/>
      <c r="CE340" s="36"/>
      <c r="CF340" s="36"/>
      <c r="CG340" s="410"/>
      <c r="CH340" s="36"/>
      <c r="CI340" s="36"/>
      <c r="CJ340" s="410"/>
      <c r="CK340" s="36"/>
      <c r="CL340" s="36"/>
      <c r="CM340" s="410"/>
      <c r="CN340" s="36"/>
      <c r="CO340" s="36"/>
      <c r="CP340" s="410"/>
      <c r="CQ340" s="36"/>
      <c r="CR340" s="36"/>
      <c r="CS340" s="410"/>
      <c r="CT340" s="36"/>
      <c r="CU340" s="36"/>
      <c r="CV340" s="410"/>
      <c r="CW340" s="36"/>
      <c r="CX340" s="36"/>
      <c r="CY340" s="410"/>
      <c r="CZ340" s="36"/>
      <c r="DA340" s="36"/>
      <c r="DB340" s="410"/>
      <c r="DC340" s="36"/>
      <c r="DD340" s="36"/>
      <c r="DE340" s="410"/>
      <c r="DF340" s="36"/>
      <c r="DG340" s="36"/>
      <c r="DH340" s="410"/>
      <c r="DI340" s="36"/>
      <c r="DJ340" s="36"/>
      <c r="DK340" s="1075"/>
      <c r="DL340" s="36"/>
      <c r="DM340" s="36"/>
      <c r="DN340" s="1075"/>
      <c r="DO340" s="36"/>
      <c r="DP340" s="36"/>
      <c r="DQ340" s="1075"/>
      <c r="DR340" s="36"/>
      <c r="DS340" s="36"/>
      <c r="DT340" s="1075"/>
      <c r="DU340" s="36"/>
      <c r="DV340" s="36"/>
      <c r="DW340" s="1075"/>
      <c r="DX340" s="36"/>
      <c r="DY340" s="36"/>
      <c r="DZ340" s="1075"/>
      <c r="EA340" s="36"/>
      <c r="EB340" s="36"/>
      <c r="EC340" s="1075"/>
      <c r="ED340" s="36"/>
      <c r="EE340" s="36"/>
      <c r="EF340" s="1075"/>
      <c r="EG340" s="36"/>
      <c r="EH340" s="36"/>
      <c r="EI340" s="1075"/>
      <c r="EJ340" s="36"/>
      <c r="EK340" s="36"/>
      <c r="EL340" s="1075"/>
      <c r="EM340" s="36"/>
      <c r="EN340" s="36"/>
      <c r="EO340" s="1075"/>
      <c r="EP340" s="36"/>
      <c r="EQ340" s="36"/>
      <c r="ER340" s="1075"/>
      <c r="ES340" s="36"/>
      <c r="ET340" s="36"/>
      <c r="EU340" s="1075"/>
      <c r="EV340" s="36"/>
      <c r="EW340" s="36"/>
      <c r="EX340" s="1075"/>
      <c r="EY340" s="36"/>
      <c r="EZ340" s="36"/>
      <c r="FA340" s="410"/>
    </row>
    <row r="341" spans="1:157" ht="13.35" customHeight="1">
      <c r="A341" s="23"/>
      <c r="B341" s="409"/>
      <c r="C341" s="5"/>
      <c r="D341" s="23"/>
      <c r="E341" s="435"/>
      <c r="F341" s="435"/>
      <c r="G341" s="435"/>
      <c r="H341" s="435"/>
      <c r="I341" s="435"/>
      <c r="J341" s="435"/>
      <c r="K341" s="435"/>
      <c r="L341" s="435"/>
      <c r="M341" s="435"/>
      <c r="N341" s="435"/>
      <c r="O341" s="435"/>
      <c r="P341" s="435"/>
      <c r="Q341" s="435"/>
      <c r="R341" s="435"/>
      <c r="S341" s="435"/>
      <c r="T341" s="435"/>
      <c r="U341" s="435"/>
      <c r="V341" s="435"/>
      <c r="W341" s="435"/>
      <c r="X341" s="435"/>
      <c r="Y341" s="435"/>
      <c r="Z341" s="435"/>
      <c r="AA341" s="435"/>
      <c r="AB341" s="435"/>
      <c r="AC341" s="435"/>
      <c r="AD341" s="435"/>
      <c r="AE341" s="435"/>
      <c r="AF341" s="435"/>
      <c r="AG341" s="435"/>
      <c r="AH341" s="435"/>
      <c r="AI341" s="435"/>
      <c r="AJ341" s="435"/>
      <c r="AK341" s="435"/>
      <c r="AL341" s="435"/>
      <c r="AM341" s="435"/>
      <c r="AN341" s="435"/>
      <c r="AO341" s="435"/>
      <c r="AP341" s="435"/>
      <c r="AQ341" s="435"/>
      <c r="AR341" s="435"/>
      <c r="AS341" s="435"/>
      <c r="AT341" s="435"/>
      <c r="AU341" s="435"/>
      <c r="AV341" s="435"/>
      <c r="AW341" s="435"/>
      <c r="AX341" s="435"/>
      <c r="AY341" s="435"/>
      <c r="AZ341" s="435"/>
      <c r="BA341" s="435"/>
      <c r="BB341" s="435"/>
      <c r="BC341" s="435"/>
      <c r="BD341" s="435"/>
      <c r="BE341" s="435"/>
      <c r="BF341" s="435"/>
      <c r="BG341" s="435"/>
      <c r="BH341" s="435"/>
      <c r="BI341" s="435"/>
      <c r="BJ341" s="435"/>
      <c r="BK341" s="435"/>
      <c r="BL341" s="435"/>
      <c r="BM341" s="435"/>
      <c r="BN341" s="435"/>
      <c r="BO341" s="436"/>
      <c r="BP341" s="435"/>
      <c r="BQ341" s="435"/>
      <c r="BR341" s="436"/>
      <c r="BS341" s="435"/>
      <c r="BT341" s="435"/>
      <c r="BU341" s="436"/>
      <c r="BV341" s="435"/>
      <c r="BW341" s="435"/>
      <c r="BX341" s="436"/>
      <c r="BY341" s="435"/>
      <c r="BZ341" s="435"/>
      <c r="CA341" s="436"/>
      <c r="CB341" s="435"/>
      <c r="CC341" s="435"/>
      <c r="CD341" s="436"/>
      <c r="CE341" s="435"/>
      <c r="CF341" s="435"/>
      <c r="CG341" s="436"/>
      <c r="CH341" s="435"/>
      <c r="CI341" s="435"/>
      <c r="CJ341" s="436"/>
      <c r="CK341" s="435"/>
      <c r="CL341" s="435"/>
      <c r="CM341" s="436"/>
      <c r="CN341" s="435"/>
      <c r="CO341" s="435"/>
      <c r="CP341" s="436"/>
      <c r="CQ341" s="435"/>
      <c r="CR341" s="435"/>
      <c r="CS341" s="436"/>
      <c r="CT341" s="435"/>
      <c r="CU341" s="435"/>
      <c r="CV341" s="436"/>
      <c r="CW341" s="435"/>
      <c r="CX341" s="435"/>
      <c r="CY341" s="436"/>
      <c r="CZ341" s="435"/>
      <c r="DA341" s="435"/>
      <c r="DB341" s="436"/>
      <c r="DC341" s="435"/>
      <c r="DD341" s="435"/>
      <c r="DE341" s="436"/>
      <c r="DF341" s="435"/>
      <c r="DG341" s="435"/>
      <c r="DH341" s="436"/>
      <c r="DI341" s="435"/>
      <c r="DJ341" s="435"/>
      <c r="DK341" s="1231"/>
      <c r="DL341" s="435"/>
      <c r="DM341" s="435"/>
      <c r="DN341" s="1231"/>
      <c r="DO341" s="435"/>
      <c r="DP341" s="435"/>
      <c r="DQ341" s="1231"/>
      <c r="DR341" s="435"/>
      <c r="DS341" s="435"/>
      <c r="DT341" s="1231"/>
      <c r="DU341" s="435"/>
      <c r="DV341" s="435"/>
      <c r="DW341" s="1231"/>
      <c r="DX341" s="435"/>
      <c r="DY341" s="435"/>
      <c r="DZ341" s="1231"/>
      <c r="EA341" s="435"/>
      <c r="EB341" s="435"/>
      <c r="EC341" s="1231"/>
      <c r="ED341" s="435"/>
      <c r="EE341" s="435"/>
      <c r="EF341" s="1231"/>
      <c r="EG341" s="435"/>
      <c r="EH341" s="435"/>
      <c r="EI341" s="1231"/>
      <c r="EJ341" s="435"/>
      <c r="EK341" s="435"/>
      <c r="EL341" s="1231"/>
      <c r="EM341" s="435"/>
      <c r="EN341" s="435"/>
      <c r="EO341" s="1231"/>
      <c r="EP341" s="435"/>
      <c r="EQ341" s="435"/>
      <c r="ER341" s="1231"/>
      <c r="ES341" s="435"/>
      <c r="ET341" s="435"/>
      <c r="EU341" s="1231"/>
      <c r="EV341" s="435"/>
      <c r="EW341" s="435"/>
      <c r="EX341" s="1231"/>
      <c r="EY341" s="435"/>
      <c r="EZ341" s="435"/>
      <c r="FA341" s="436"/>
    </row>
    <row r="342" spans="1:157" ht="13.35" customHeight="1">
      <c r="A342" s="23"/>
      <c r="B342" s="46" t="s">
        <v>901</v>
      </c>
      <c r="C342" s="5"/>
      <c r="D342" s="23"/>
      <c r="E342" s="22"/>
      <c r="F342" s="22"/>
      <c r="G342" s="23"/>
      <c r="H342" s="22"/>
      <c r="I342" s="22"/>
      <c r="J342" s="23"/>
      <c r="K342" s="22"/>
      <c r="L342" s="22"/>
      <c r="M342" s="23"/>
      <c r="N342" s="22"/>
      <c r="O342" s="22"/>
      <c r="P342" s="23"/>
      <c r="Q342" s="22"/>
      <c r="R342" s="22"/>
      <c r="S342" s="23"/>
      <c r="T342" s="22"/>
      <c r="U342" s="22"/>
      <c r="V342" s="23"/>
      <c r="W342" s="22"/>
      <c r="X342" s="22"/>
      <c r="Y342" s="23"/>
      <c r="Z342" s="22"/>
      <c r="AA342" s="22"/>
      <c r="AB342" s="23"/>
      <c r="AC342" s="22"/>
      <c r="AD342" s="22"/>
      <c r="AE342" s="23"/>
      <c r="AF342" s="22"/>
      <c r="AG342" s="22"/>
      <c r="AH342" s="23"/>
      <c r="AI342" s="22"/>
      <c r="AJ342" s="22"/>
      <c r="AK342" s="23"/>
      <c r="AL342" s="22"/>
      <c r="AM342" s="22"/>
      <c r="AN342" s="23"/>
      <c r="AO342" s="22"/>
      <c r="AP342" s="22"/>
      <c r="AQ342" s="23"/>
      <c r="AR342" s="22"/>
      <c r="AS342" s="22"/>
      <c r="AT342" s="23"/>
      <c r="AU342" s="22"/>
      <c r="AV342" s="22"/>
      <c r="AW342" s="23"/>
      <c r="AX342" s="22"/>
      <c r="AY342" s="22"/>
      <c r="AZ342" s="23"/>
      <c r="BA342" s="22"/>
      <c r="BB342" s="22"/>
      <c r="BC342" s="23"/>
      <c r="BD342" s="22"/>
      <c r="BE342" s="22"/>
      <c r="BF342" s="23"/>
      <c r="BG342" s="22"/>
      <c r="BH342" s="22"/>
      <c r="BI342" s="23"/>
      <c r="BJ342" s="22"/>
      <c r="BK342" s="22"/>
      <c r="BL342" s="23"/>
      <c r="BM342" s="22"/>
      <c r="BN342" s="22"/>
      <c r="BO342" s="23"/>
      <c r="BP342" s="22"/>
      <c r="BQ342" s="22"/>
      <c r="BR342" s="23"/>
      <c r="BS342" s="22"/>
      <c r="BT342" s="22"/>
      <c r="BU342" s="23"/>
      <c r="BV342" s="22"/>
      <c r="BW342" s="22"/>
      <c r="BX342" s="23"/>
      <c r="BY342" s="22"/>
      <c r="BZ342" s="22"/>
      <c r="CA342" s="23"/>
      <c r="CB342" s="22"/>
      <c r="CC342" s="22"/>
      <c r="CD342" s="23"/>
      <c r="CE342" s="22"/>
      <c r="CF342" s="22"/>
      <c r="CG342" s="23"/>
      <c r="CH342" s="22"/>
      <c r="CI342" s="22"/>
      <c r="CJ342" s="23"/>
      <c r="CK342" s="22"/>
      <c r="CL342" s="22"/>
      <c r="CM342" s="23"/>
      <c r="CN342" s="22"/>
      <c r="CO342" s="22"/>
      <c r="CP342" s="23"/>
      <c r="CQ342" s="22"/>
      <c r="CR342" s="22"/>
      <c r="CS342" s="23"/>
      <c r="CT342" s="22"/>
      <c r="CU342" s="22"/>
      <c r="CV342" s="23"/>
      <c r="CW342" s="22"/>
      <c r="CX342" s="22"/>
      <c r="CY342" s="23"/>
      <c r="CZ342" s="22"/>
      <c r="DA342" s="22"/>
      <c r="DB342" s="23"/>
      <c r="DC342" s="22"/>
      <c r="DD342" s="22"/>
      <c r="DE342" s="23"/>
      <c r="DF342" s="22"/>
      <c r="DG342" s="22"/>
      <c r="DH342" s="23"/>
      <c r="DI342" s="22"/>
      <c r="DJ342" s="22"/>
      <c r="DK342" s="1075"/>
      <c r="DL342" s="22"/>
      <c r="DM342" s="22"/>
      <c r="DN342" s="1075"/>
      <c r="DO342" s="22"/>
      <c r="DP342" s="22"/>
      <c r="DQ342" s="1075"/>
      <c r="DR342" s="22"/>
      <c r="DS342" s="22"/>
      <c r="DT342" s="1075"/>
      <c r="DU342" s="22"/>
      <c r="DV342" s="22"/>
      <c r="DW342" s="1075"/>
      <c r="DX342" s="22"/>
      <c r="DY342" s="22"/>
      <c r="DZ342" s="1075"/>
      <c r="EA342" s="22"/>
      <c r="EB342" s="22"/>
      <c r="EC342" s="1075"/>
      <c r="ED342" s="22"/>
      <c r="EE342" s="22"/>
      <c r="EF342" s="1075"/>
      <c r="EG342" s="22"/>
      <c r="EH342" s="22"/>
      <c r="EI342" s="1075"/>
      <c r="EJ342" s="22"/>
      <c r="EK342" s="22"/>
      <c r="EL342" s="1075"/>
      <c r="EM342" s="22"/>
      <c r="EN342" s="22"/>
      <c r="EO342" s="1075"/>
      <c r="EP342" s="22"/>
      <c r="EQ342" s="22"/>
      <c r="ER342" s="1075"/>
      <c r="ES342" s="22"/>
      <c r="ET342" s="22"/>
      <c r="EU342" s="1075"/>
      <c r="EV342" s="22"/>
      <c r="EW342" s="22"/>
      <c r="EX342" s="1075"/>
      <c r="EY342" s="22"/>
      <c r="EZ342" s="22"/>
      <c r="FA342" s="23"/>
    </row>
    <row r="343" spans="1:157" ht="13.35" customHeight="1" outlineLevel="1">
      <c r="A343" s="23"/>
      <c r="B343" s="409" t="str">
        <f t="shared" ref="B343:B372" si="608">+B311</f>
        <v xml:space="preserve">     Industry driver</v>
      </c>
      <c r="C343" s="5"/>
      <c r="D343" s="23"/>
      <c r="E343" s="437"/>
      <c r="F343" s="437"/>
      <c r="G343" s="354"/>
      <c r="H343" s="437"/>
      <c r="I343" s="437"/>
      <c r="J343" s="354"/>
      <c r="K343" s="437"/>
      <c r="L343" s="437"/>
      <c r="M343" s="354"/>
      <c r="N343" s="437"/>
      <c r="O343" s="437"/>
      <c r="P343" s="354"/>
      <c r="Q343" s="437"/>
      <c r="R343" s="437"/>
      <c r="S343" s="354"/>
      <c r="T343" s="437"/>
      <c r="U343" s="437"/>
      <c r="V343" s="354"/>
      <c r="W343" s="437"/>
      <c r="X343" s="437"/>
      <c r="Y343" s="354"/>
      <c r="Z343" s="437"/>
      <c r="AA343" s="437"/>
      <c r="AB343" s="354"/>
      <c r="AC343" s="437"/>
      <c r="AD343" s="437"/>
      <c r="AE343" s="354"/>
      <c r="AF343" s="437"/>
      <c r="AG343" s="437"/>
      <c r="AH343" s="354"/>
      <c r="AI343" s="437"/>
      <c r="AJ343" s="437"/>
      <c r="AK343" s="354"/>
      <c r="AL343" s="437"/>
      <c r="AM343" s="437"/>
      <c r="AN343" s="354"/>
      <c r="AO343" s="437"/>
      <c r="AP343" s="437"/>
      <c r="AQ343" s="354"/>
      <c r="AR343" s="437"/>
      <c r="AS343" s="437"/>
      <c r="AT343" s="354"/>
      <c r="AU343" s="437"/>
      <c r="AV343" s="437"/>
      <c r="AW343" s="354"/>
      <c r="AX343" s="437"/>
      <c r="AY343" s="437"/>
      <c r="AZ343" s="354"/>
      <c r="BA343" s="437"/>
      <c r="BB343" s="437"/>
      <c r="BC343" s="354"/>
      <c r="BD343" s="437"/>
      <c r="BE343" s="437"/>
      <c r="BF343" s="354"/>
      <c r="BG343" s="437"/>
      <c r="BH343" s="437"/>
      <c r="BI343" s="354"/>
      <c r="BJ343" s="437"/>
      <c r="BK343" s="437"/>
      <c r="BL343" s="354"/>
      <c r="BM343" s="437"/>
      <c r="BN343" s="437"/>
      <c r="BO343" s="354"/>
      <c r="BP343" s="437"/>
      <c r="BQ343" s="437"/>
      <c r="BR343" s="354"/>
      <c r="BS343" s="437"/>
      <c r="BT343" s="437"/>
      <c r="BU343" s="354"/>
      <c r="BV343" s="437"/>
      <c r="BW343" s="437"/>
      <c r="BX343" s="354"/>
      <c r="BY343" s="437"/>
      <c r="BZ343" s="437"/>
      <c r="CA343" s="354"/>
      <c r="CB343" s="437"/>
      <c r="CC343" s="437"/>
      <c r="CD343" s="354"/>
      <c r="CE343" s="437"/>
      <c r="CF343" s="437"/>
      <c r="CG343" s="354"/>
      <c r="CH343" s="437"/>
      <c r="CI343" s="437"/>
      <c r="CJ343" s="354"/>
      <c r="CK343" s="437"/>
      <c r="CL343" s="437"/>
      <c r="CM343" s="354"/>
      <c r="CN343" s="437"/>
      <c r="CO343" s="437"/>
      <c r="CP343" s="354"/>
      <c r="CQ343" s="437"/>
      <c r="CR343" s="437"/>
      <c r="CS343" s="354"/>
      <c r="CT343" s="437"/>
      <c r="CU343" s="437"/>
      <c r="CV343" s="354"/>
      <c r="CW343" s="437"/>
      <c r="CX343" s="437"/>
      <c r="CY343" s="354"/>
      <c r="CZ343" s="437"/>
      <c r="DA343" s="437"/>
      <c r="DB343" s="354"/>
      <c r="DC343" s="437"/>
      <c r="DD343" s="437"/>
      <c r="DE343" s="354"/>
      <c r="DF343" s="437"/>
      <c r="DG343" s="437"/>
      <c r="DH343" s="354"/>
      <c r="DI343" s="437"/>
      <c r="DJ343" s="437"/>
      <c r="DK343" s="1203"/>
      <c r="DL343" s="437"/>
      <c r="DM343" s="437"/>
      <c r="DN343" s="1203"/>
      <c r="DO343" s="437"/>
      <c r="DP343" s="437"/>
      <c r="DQ343" s="1203"/>
      <c r="DR343" s="437"/>
      <c r="DS343" s="437"/>
      <c r="DT343" s="1203"/>
      <c r="DU343" s="437"/>
      <c r="DV343" s="437"/>
      <c r="DW343" s="1203"/>
      <c r="DX343" s="437"/>
      <c r="DY343" s="437"/>
      <c r="DZ343" s="1203"/>
      <c r="EA343" s="437"/>
      <c r="EB343" s="437"/>
      <c r="EC343" s="1203"/>
      <c r="ED343" s="437"/>
      <c r="EE343" s="437"/>
      <c r="EF343" s="1203"/>
      <c r="EG343" s="437"/>
      <c r="EH343" s="437"/>
      <c r="EI343" s="1203"/>
      <c r="EJ343" s="437"/>
      <c r="EK343" s="437"/>
      <c r="EL343" s="1203"/>
      <c r="EM343" s="437"/>
      <c r="EN343" s="437"/>
      <c r="EO343" s="1203"/>
      <c r="EP343" s="437"/>
      <c r="EQ343" s="437"/>
      <c r="ER343" s="1203"/>
      <c r="ES343" s="437"/>
      <c r="ET343" s="437"/>
      <c r="EU343" s="1203"/>
      <c r="EV343" s="437"/>
      <c r="EW343" s="437"/>
      <c r="EX343" s="1203"/>
      <c r="EY343" s="437"/>
      <c r="EZ343" s="437"/>
      <c r="FA343" s="354"/>
    </row>
    <row r="344" spans="1:157" ht="13.35" customHeight="1" outlineLevel="1">
      <c r="A344" s="23"/>
      <c r="B344" s="409" t="str">
        <f t="shared" si="608"/>
        <v xml:space="preserve">     Industry driver</v>
      </c>
      <c r="C344" s="5"/>
      <c r="D344" s="23"/>
      <c r="E344" s="13"/>
      <c r="F344" s="13"/>
      <c r="G344" s="356"/>
      <c r="H344" s="13"/>
      <c r="I344" s="13"/>
      <c r="J344" s="356"/>
      <c r="K344" s="13"/>
      <c r="L344" s="13"/>
      <c r="M344" s="356"/>
      <c r="N344" s="13"/>
      <c r="O344" s="13"/>
      <c r="P344" s="356"/>
      <c r="Q344" s="13"/>
      <c r="R344" s="13"/>
      <c r="S344" s="356"/>
      <c r="T344" s="13"/>
      <c r="U344" s="13"/>
      <c r="V344" s="356"/>
      <c r="W344" s="13"/>
      <c r="X344" s="13"/>
      <c r="Y344" s="356"/>
      <c r="Z344" s="13"/>
      <c r="AA344" s="13"/>
      <c r="AB344" s="356"/>
      <c r="AC344" s="13"/>
      <c r="AD344" s="13"/>
      <c r="AE344" s="356"/>
      <c r="AF344" s="13"/>
      <c r="AG344" s="13"/>
      <c r="AH344" s="356"/>
      <c r="AI344" s="13"/>
      <c r="AJ344" s="13"/>
      <c r="AK344" s="356"/>
      <c r="AL344" s="13"/>
      <c r="AM344" s="13"/>
      <c r="AN344" s="356"/>
      <c r="AO344" s="13"/>
      <c r="AP344" s="13"/>
      <c r="AQ344" s="356"/>
      <c r="AR344" s="13"/>
      <c r="AS344" s="13"/>
      <c r="AT344" s="356"/>
      <c r="AU344" s="13"/>
      <c r="AV344" s="13"/>
      <c r="AW344" s="356"/>
      <c r="AX344" s="13"/>
      <c r="AY344" s="13"/>
      <c r="AZ344" s="356"/>
      <c r="BA344" s="13"/>
      <c r="BB344" s="13"/>
      <c r="BC344" s="356"/>
      <c r="BD344" s="13"/>
      <c r="BE344" s="13"/>
      <c r="BF344" s="356"/>
      <c r="BG344" s="13"/>
      <c r="BH344" s="13"/>
      <c r="BI344" s="356"/>
      <c r="BJ344" s="13"/>
      <c r="BK344" s="13"/>
      <c r="BL344" s="356"/>
      <c r="BM344" s="13"/>
      <c r="BN344" s="13"/>
      <c r="BO344" s="356"/>
      <c r="BP344" s="13"/>
      <c r="BQ344" s="13"/>
      <c r="BR344" s="356"/>
      <c r="BS344" s="13"/>
      <c r="BT344" s="13"/>
      <c r="BU344" s="356"/>
      <c r="BV344" s="13"/>
      <c r="BW344" s="13"/>
      <c r="BX344" s="356"/>
      <c r="BY344" s="13"/>
      <c r="BZ344" s="13"/>
      <c r="CA344" s="356"/>
      <c r="CB344" s="13"/>
      <c r="CC344" s="13"/>
      <c r="CD344" s="356"/>
      <c r="CE344" s="13"/>
      <c r="CF344" s="13"/>
      <c r="CG344" s="356"/>
      <c r="CH344" s="13"/>
      <c r="CI344" s="13"/>
      <c r="CJ344" s="356"/>
      <c r="CK344" s="13"/>
      <c r="CL344" s="13"/>
      <c r="CM344" s="356"/>
      <c r="CN344" s="13"/>
      <c r="CO344" s="13"/>
      <c r="CP344" s="356"/>
      <c r="CQ344" s="13"/>
      <c r="CR344" s="13"/>
      <c r="CS344" s="356"/>
      <c r="CT344" s="13"/>
      <c r="CU344" s="13"/>
      <c r="CV344" s="356"/>
      <c r="CW344" s="13"/>
      <c r="CX344" s="13"/>
      <c r="CY344" s="356"/>
      <c r="CZ344" s="13"/>
      <c r="DA344" s="13"/>
      <c r="DB344" s="356"/>
      <c r="DC344" s="13"/>
      <c r="DD344" s="13"/>
      <c r="DE344" s="356"/>
      <c r="DF344" s="13"/>
      <c r="DG344" s="13"/>
      <c r="DH344" s="356"/>
      <c r="DI344" s="13"/>
      <c r="DJ344" s="13"/>
      <c r="DK344" s="1087"/>
      <c r="DL344" s="13"/>
      <c r="DM344" s="13"/>
      <c r="DN344" s="1087"/>
      <c r="DO344" s="13"/>
      <c r="DP344" s="13"/>
      <c r="DQ344" s="1087"/>
      <c r="DR344" s="13"/>
      <c r="DS344" s="13"/>
      <c r="DT344" s="1087"/>
      <c r="DU344" s="13"/>
      <c r="DV344" s="13"/>
      <c r="DW344" s="1087"/>
      <c r="DX344" s="13"/>
      <c r="DY344" s="13"/>
      <c r="DZ344" s="1087"/>
      <c r="EA344" s="13"/>
      <c r="EB344" s="13"/>
      <c r="EC344" s="1087"/>
      <c r="ED344" s="13"/>
      <c r="EE344" s="13"/>
      <c r="EF344" s="1087"/>
      <c r="EG344" s="13"/>
      <c r="EH344" s="13"/>
      <c r="EI344" s="1087"/>
      <c r="EJ344" s="13"/>
      <c r="EK344" s="13"/>
      <c r="EL344" s="1087"/>
      <c r="EM344" s="13"/>
      <c r="EN344" s="13"/>
      <c r="EO344" s="1087"/>
      <c r="EP344" s="13"/>
      <c r="EQ344" s="13"/>
      <c r="ER344" s="1087"/>
      <c r="ES344" s="13"/>
      <c r="ET344" s="13"/>
      <c r="EU344" s="1087"/>
      <c r="EV344" s="13"/>
      <c r="EW344" s="13"/>
      <c r="EX344" s="1087"/>
      <c r="EY344" s="13"/>
      <c r="EZ344" s="13"/>
      <c r="FA344" s="356"/>
    </row>
    <row r="345" spans="1:157" ht="13.35" customHeight="1" outlineLevel="1">
      <c r="A345" s="23"/>
      <c r="B345" s="409" t="str">
        <f t="shared" si="608"/>
        <v xml:space="preserve">     Industry driver</v>
      </c>
      <c r="C345" s="5"/>
      <c r="D345" s="23"/>
      <c r="E345" s="13"/>
      <c r="F345" s="13"/>
      <c r="G345" s="356"/>
      <c r="H345" s="13"/>
      <c r="I345" s="13"/>
      <c r="J345" s="356"/>
      <c r="K345" s="13"/>
      <c r="L345" s="13"/>
      <c r="M345" s="356"/>
      <c r="N345" s="13"/>
      <c r="O345" s="13"/>
      <c r="P345" s="356"/>
      <c r="Q345" s="13"/>
      <c r="R345" s="13"/>
      <c r="S345" s="356"/>
      <c r="T345" s="13"/>
      <c r="U345" s="13"/>
      <c r="V345" s="356"/>
      <c r="W345" s="13"/>
      <c r="X345" s="13"/>
      <c r="Y345" s="356"/>
      <c r="Z345" s="13"/>
      <c r="AA345" s="13"/>
      <c r="AB345" s="356"/>
      <c r="AC345" s="13"/>
      <c r="AD345" s="13"/>
      <c r="AE345" s="356"/>
      <c r="AF345" s="13"/>
      <c r="AG345" s="13"/>
      <c r="AH345" s="356"/>
      <c r="AI345" s="13"/>
      <c r="AJ345" s="13"/>
      <c r="AK345" s="356"/>
      <c r="AL345" s="13"/>
      <c r="AM345" s="13"/>
      <c r="AN345" s="356"/>
      <c r="AO345" s="13"/>
      <c r="AP345" s="13"/>
      <c r="AQ345" s="356"/>
      <c r="AR345" s="13"/>
      <c r="AS345" s="13"/>
      <c r="AT345" s="356"/>
      <c r="AU345" s="13"/>
      <c r="AV345" s="13"/>
      <c r="AW345" s="356"/>
      <c r="AX345" s="13"/>
      <c r="AY345" s="13"/>
      <c r="AZ345" s="356"/>
      <c r="BA345" s="13"/>
      <c r="BB345" s="13"/>
      <c r="BC345" s="356"/>
      <c r="BD345" s="13"/>
      <c r="BE345" s="13"/>
      <c r="BF345" s="356"/>
      <c r="BG345" s="13"/>
      <c r="BH345" s="13"/>
      <c r="BI345" s="356"/>
      <c r="BJ345" s="13"/>
      <c r="BK345" s="13"/>
      <c r="BL345" s="356"/>
      <c r="BM345" s="13"/>
      <c r="BN345" s="13"/>
      <c r="BO345" s="356"/>
      <c r="BP345" s="13"/>
      <c r="BQ345" s="13"/>
      <c r="BR345" s="356"/>
      <c r="BS345" s="13"/>
      <c r="BT345" s="13"/>
      <c r="BU345" s="356"/>
      <c r="BV345" s="13"/>
      <c r="BW345" s="13"/>
      <c r="BX345" s="356"/>
      <c r="BY345" s="13"/>
      <c r="BZ345" s="13"/>
      <c r="CA345" s="356"/>
      <c r="CB345" s="13"/>
      <c r="CC345" s="13"/>
      <c r="CD345" s="356"/>
      <c r="CE345" s="13"/>
      <c r="CF345" s="13"/>
      <c r="CG345" s="356"/>
      <c r="CH345" s="13"/>
      <c r="CI345" s="13"/>
      <c r="CJ345" s="356"/>
      <c r="CK345" s="13"/>
      <c r="CL345" s="13"/>
      <c r="CM345" s="356"/>
      <c r="CN345" s="13"/>
      <c r="CO345" s="13"/>
      <c r="CP345" s="356"/>
      <c r="CQ345" s="13"/>
      <c r="CR345" s="13"/>
      <c r="CS345" s="356"/>
      <c r="CT345" s="13"/>
      <c r="CU345" s="13"/>
      <c r="CV345" s="356"/>
      <c r="CW345" s="13"/>
      <c r="CX345" s="13"/>
      <c r="CY345" s="356"/>
      <c r="CZ345" s="13"/>
      <c r="DA345" s="13"/>
      <c r="DB345" s="356"/>
      <c r="DC345" s="13"/>
      <c r="DD345" s="13"/>
      <c r="DE345" s="356"/>
      <c r="DF345" s="13"/>
      <c r="DG345" s="13"/>
      <c r="DH345" s="356"/>
      <c r="DI345" s="13"/>
      <c r="DJ345" s="13"/>
      <c r="DK345" s="1087"/>
      <c r="DL345" s="13"/>
      <c r="DM345" s="13"/>
      <c r="DN345" s="1087"/>
      <c r="DO345" s="13"/>
      <c r="DP345" s="13"/>
      <c r="DQ345" s="1087"/>
      <c r="DR345" s="13"/>
      <c r="DS345" s="13"/>
      <c r="DT345" s="1087"/>
      <c r="DU345" s="13"/>
      <c r="DV345" s="13"/>
      <c r="DW345" s="1087"/>
      <c r="DX345" s="13"/>
      <c r="DY345" s="13"/>
      <c r="DZ345" s="1087"/>
      <c r="EA345" s="13"/>
      <c r="EB345" s="13"/>
      <c r="EC345" s="1087"/>
      <c r="ED345" s="13"/>
      <c r="EE345" s="13"/>
      <c r="EF345" s="1087"/>
      <c r="EG345" s="13"/>
      <c r="EH345" s="13"/>
      <c r="EI345" s="1087"/>
      <c r="EJ345" s="13"/>
      <c r="EK345" s="13"/>
      <c r="EL345" s="1087"/>
      <c r="EM345" s="13"/>
      <c r="EN345" s="13"/>
      <c r="EO345" s="1087"/>
      <c r="EP345" s="13"/>
      <c r="EQ345" s="13"/>
      <c r="ER345" s="1087"/>
      <c r="ES345" s="13"/>
      <c r="ET345" s="13"/>
      <c r="EU345" s="1087"/>
      <c r="EV345" s="13"/>
      <c r="EW345" s="13"/>
      <c r="EX345" s="1087"/>
      <c r="EY345" s="13"/>
      <c r="EZ345" s="13"/>
      <c r="FA345" s="356"/>
    </row>
    <row r="346" spans="1:157" ht="13.35" customHeight="1" outlineLevel="1">
      <c r="A346" s="23"/>
      <c r="B346" s="409" t="str">
        <f t="shared" si="608"/>
        <v xml:space="preserve">     Industry driver</v>
      </c>
      <c r="C346" s="5"/>
      <c r="D346" s="23"/>
      <c r="E346" s="13"/>
      <c r="F346" s="13"/>
      <c r="G346" s="356"/>
      <c r="H346" s="13"/>
      <c r="I346" s="13"/>
      <c r="J346" s="356"/>
      <c r="K346" s="13"/>
      <c r="L346" s="13"/>
      <c r="M346" s="356"/>
      <c r="N346" s="13"/>
      <c r="O346" s="13"/>
      <c r="P346" s="356"/>
      <c r="Q346" s="13"/>
      <c r="R346" s="13"/>
      <c r="S346" s="356"/>
      <c r="T346" s="13"/>
      <c r="U346" s="13"/>
      <c r="V346" s="356"/>
      <c r="W346" s="13"/>
      <c r="X346" s="13"/>
      <c r="Y346" s="356"/>
      <c r="Z346" s="13"/>
      <c r="AA346" s="13"/>
      <c r="AB346" s="356"/>
      <c r="AC346" s="13"/>
      <c r="AD346" s="13"/>
      <c r="AE346" s="356"/>
      <c r="AF346" s="13"/>
      <c r="AG346" s="13"/>
      <c r="AH346" s="356"/>
      <c r="AI346" s="13"/>
      <c r="AJ346" s="13"/>
      <c r="AK346" s="356"/>
      <c r="AL346" s="13"/>
      <c r="AM346" s="13"/>
      <c r="AN346" s="356"/>
      <c r="AO346" s="13"/>
      <c r="AP346" s="13"/>
      <c r="AQ346" s="356"/>
      <c r="AR346" s="13"/>
      <c r="AS346" s="13"/>
      <c r="AT346" s="356"/>
      <c r="AU346" s="13"/>
      <c r="AV346" s="13"/>
      <c r="AW346" s="356"/>
      <c r="AX346" s="13"/>
      <c r="AY346" s="13"/>
      <c r="AZ346" s="356"/>
      <c r="BA346" s="13"/>
      <c r="BB346" s="13"/>
      <c r="BC346" s="356"/>
      <c r="BD346" s="13"/>
      <c r="BE346" s="13"/>
      <c r="BF346" s="356"/>
      <c r="BG346" s="13"/>
      <c r="BH346" s="13"/>
      <c r="BI346" s="356"/>
      <c r="BJ346" s="13"/>
      <c r="BK346" s="13"/>
      <c r="BL346" s="356"/>
      <c r="BM346" s="13"/>
      <c r="BN346" s="13"/>
      <c r="BO346" s="356"/>
      <c r="BP346" s="13"/>
      <c r="BQ346" s="13"/>
      <c r="BR346" s="356"/>
      <c r="BS346" s="13"/>
      <c r="BT346" s="13"/>
      <c r="BU346" s="356"/>
      <c r="BV346" s="13"/>
      <c r="BW346" s="13"/>
      <c r="BX346" s="356"/>
      <c r="BY346" s="13"/>
      <c r="BZ346" s="13"/>
      <c r="CA346" s="356"/>
      <c r="CB346" s="13"/>
      <c r="CC346" s="13"/>
      <c r="CD346" s="356"/>
      <c r="CE346" s="13"/>
      <c r="CF346" s="13"/>
      <c r="CG346" s="356"/>
      <c r="CH346" s="13"/>
      <c r="CI346" s="13"/>
      <c r="CJ346" s="356"/>
      <c r="CK346" s="13"/>
      <c r="CL346" s="13"/>
      <c r="CM346" s="356"/>
      <c r="CN346" s="13"/>
      <c r="CO346" s="13"/>
      <c r="CP346" s="356"/>
      <c r="CQ346" s="13"/>
      <c r="CR346" s="13"/>
      <c r="CS346" s="356"/>
      <c r="CT346" s="13"/>
      <c r="CU346" s="13"/>
      <c r="CV346" s="356"/>
      <c r="CW346" s="13"/>
      <c r="CX346" s="13"/>
      <c r="CY346" s="356"/>
      <c r="CZ346" s="13"/>
      <c r="DA346" s="13"/>
      <c r="DB346" s="356"/>
      <c r="DC346" s="13"/>
      <c r="DD346" s="13"/>
      <c r="DE346" s="356"/>
      <c r="DF346" s="13"/>
      <c r="DG346" s="13"/>
      <c r="DH346" s="356"/>
      <c r="DI346" s="13"/>
      <c r="DJ346" s="13"/>
      <c r="DK346" s="1087"/>
      <c r="DL346" s="13"/>
      <c r="DM346" s="13"/>
      <c r="DN346" s="1087"/>
      <c r="DO346" s="13"/>
      <c r="DP346" s="13"/>
      <c r="DQ346" s="1087"/>
      <c r="DR346" s="13"/>
      <c r="DS346" s="13"/>
      <c r="DT346" s="1087"/>
      <c r="DU346" s="13"/>
      <c r="DV346" s="13"/>
      <c r="DW346" s="1087"/>
      <c r="DX346" s="13"/>
      <c r="DY346" s="13"/>
      <c r="DZ346" s="1087"/>
      <c r="EA346" s="13"/>
      <c r="EB346" s="13"/>
      <c r="EC346" s="1087"/>
      <c r="ED346" s="13"/>
      <c r="EE346" s="13"/>
      <c r="EF346" s="1087"/>
      <c r="EG346" s="13"/>
      <c r="EH346" s="13"/>
      <c r="EI346" s="1087"/>
      <c r="EJ346" s="13"/>
      <c r="EK346" s="13"/>
      <c r="EL346" s="1087"/>
      <c r="EM346" s="13"/>
      <c r="EN346" s="13"/>
      <c r="EO346" s="1087"/>
      <c r="EP346" s="13"/>
      <c r="EQ346" s="13"/>
      <c r="ER346" s="1087"/>
      <c r="ES346" s="13"/>
      <c r="ET346" s="13"/>
      <c r="EU346" s="1087"/>
      <c r="EV346" s="13"/>
      <c r="EW346" s="13"/>
      <c r="EX346" s="1087"/>
      <c r="EY346" s="13"/>
      <c r="EZ346" s="13"/>
      <c r="FA346" s="356"/>
    </row>
    <row r="347" spans="1:157" ht="13.35" customHeight="1" outlineLevel="1">
      <c r="A347" s="23"/>
      <c r="B347" s="409" t="str">
        <f t="shared" si="608"/>
        <v xml:space="preserve">     Industry driver</v>
      </c>
      <c r="C347" s="5"/>
      <c r="D347" s="23"/>
      <c r="E347" s="13"/>
      <c r="F347" s="13"/>
      <c r="G347" s="356"/>
      <c r="H347" s="13"/>
      <c r="I347" s="13"/>
      <c r="J347" s="356"/>
      <c r="K347" s="13"/>
      <c r="L347" s="13"/>
      <c r="M347" s="356"/>
      <c r="N347" s="13"/>
      <c r="O347" s="13"/>
      <c r="P347" s="356"/>
      <c r="Q347" s="13"/>
      <c r="R347" s="13"/>
      <c r="S347" s="356"/>
      <c r="T347" s="13"/>
      <c r="U347" s="13"/>
      <c r="V347" s="356"/>
      <c r="W347" s="13"/>
      <c r="X347" s="13"/>
      <c r="Y347" s="356"/>
      <c r="Z347" s="13"/>
      <c r="AA347" s="13"/>
      <c r="AB347" s="356"/>
      <c r="AC347" s="13"/>
      <c r="AD347" s="13"/>
      <c r="AE347" s="356"/>
      <c r="AF347" s="13"/>
      <c r="AG347" s="13"/>
      <c r="AH347" s="356"/>
      <c r="AI347" s="13"/>
      <c r="AJ347" s="13"/>
      <c r="AK347" s="356"/>
      <c r="AL347" s="13"/>
      <c r="AM347" s="13"/>
      <c r="AN347" s="356"/>
      <c r="AO347" s="13"/>
      <c r="AP347" s="13"/>
      <c r="AQ347" s="356"/>
      <c r="AR347" s="13"/>
      <c r="AS347" s="13"/>
      <c r="AT347" s="356"/>
      <c r="AU347" s="13"/>
      <c r="AV347" s="13"/>
      <c r="AW347" s="356"/>
      <c r="AX347" s="13"/>
      <c r="AY347" s="13"/>
      <c r="AZ347" s="356"/>
      <c r="BA347" s="13"/>
      <c r="BB347" s="13"/>
      <c r="BC347" s="356"/>
      <c r="BD347" s="13"/>
      <c r="BE347" s="13"/>
      <c r="BF347" s="356"/>
      <c r="BG347" s="13"/>
      <c r="BH347" s="13"/>
      <c r="BI347" s="356"/>
      <c r="BJ347" s="13"/>
      <c r="BK347" s="13"/>
      <c r="BL347" s="356"/>
      <c r="BM347" s="13"/>
      <c r="BN347" s="13"/>
      <c r="BO347" s="356"/>
      <c r="BP347" s="13"/>
      <c r="BQ347" s="13"/>
      <c r="BR347" s="356"/>
      <c r="BS347" s="13"/>
      <c r="BT347" s="13"/>
      <c r="BU347" s="356"/>
      <c r="BV347" s="13"/>
      <c r="BW347" s="13"/>
      <c r="BX347" s="356"/>
      <c r="BY347" s="13"/>
      <c r="BZ347" s="13"/>
      <c r="CA347" s="356"/>
      <c r="CB347" s="13"/>
      <c r="CC347" s="13"/>
      <c r="CD347" s="356"/>
      <c r="CE347" s="13"/>
      <c r="CF347" s="13"/>
      <c r="CG347" s="356"/>
      <c r="CH347" s="13"/>
      <c r="CI347" s="13"/>
      <c r="CJ347" s="356"/>
      <c r="CK347" s="13"/>
      <c r="CL347" s="13"/>
      <c r="CM347" s="356"/>
      <c r="CN347" s="13"/>
      <c r="CO347" s="13"/>
      <c r="CP347" s="356"/>
      <c r="CQ347" s="13"/>
      <c r="CR347" s="13"/>
      <c r="CS347" s="356"/>
      <c r="CT347" s="13"/>
      <c r="CU347" s="13"/>
      <c r="CV347" s="356"/>
      <c r="CW347" s="13"/>
      <c r="CX347" s="13"/>
      <c r="CY347" s="356"/>
      <c r="CZ347" s="13"/>
      <c r="DA347" s="13"/>
      <c r="DB347" s="356"/>
      <c r="DC347" s="13"/>
      <c r="DD347" s="13"/>
      <c r="DE347" s="356"/>
      <c r="DF347" s="13"/>
      <c r="DG347" s="13"/>
      <c r="DH347" s="356"/>
      <c r="DI347" s="13"/>
      <c r="DJ347" s="13"/>
      <c r="DK347" s="1087"/>
      <c r="DL347" s="13"/>
      <c r="DM347" s="13"/>
      <c r="DN347" s="1087"/>
      <c r="DO347" s="13"/>
      <c r="DP347" s="13"/>
      <c r="DQ347" s="1087"/>
      <c r="DR347" s="13"/>
      <c r="DS347" s="13"/>
      <c r="DT347" s="1087"/>
      <c r="DU347" s="13"/>
      <c r="DV347" s="13"/>
      <c r="DW347" s="1087"/>
      <c r="DX347" s="13"/>
      <c r="DY347" s="13"/>
      <c r="DZ347" s="1087"/>
      <c r="EA347" s="13"/>
      <c r="EB347" s="13"/>
      <c r="EC347" s="1087"/>
      <c r="ED347" s="13"/>
      <c r="EE347" s="13"/>
      <c r="EF347" s="1087"/>
      <c r="EG347" s="13"/>
      <c r="EH347" s="13"/>
      <c r="EI347" s="1087"/>
      <c r="EJ347" s="13"/>
      <c r="EK347" s="13"/>
      <c r="EL347" s="1087"/>
      <c r="EM347" s="13"/>
      <c r="EN347" s="13"/>
      <c r="EO347" s="1087"/>
      <c r="EP347" s="13"/>
      <c r="EQ347" s="13"/>
      <c r="ER347" s="1087"/>
      <c r="ES347" s="13"/>
      <c r="ET347" s="13"/>
      <c r="EU347" s="1087"/>
      <c r="EV347" s="13"/>
      <c r="EW347" s="13"/>
      <c r="EX347" s="1087"/>
      <c r="EY347" s="13"/>
      <c r="EZ347" s="13"/>
      <c r="FA347" s="356"/>
    </row>
    <row r="348" spans="1:157" ht="13.35" customHeight="1" outlineLevel="1">
      <c r="A348" s="23"/>
      <c r="B348" s="409" t="str">
        <f t="shared" si="608"/>
        <v xml:space="preserve">     Industry driver</v>
      </c>
      <c r="C348" s="5"/>
      <c r="D348" s="23"/>
      <c r="E348" s="13"/>
      <c r="F348" s="13"/>
      <c r="G348" s="356"/>
      <c r="H348" s="13"/>
      <c r="I348" s="13"/>
      <c r="J348" s="356"/>
      <c r="K348" s="13"/>
      <c r="L348" s="13"/>
      <c r="M348" s="356"/>
      <c r="N348" s="13"/>
      <c r="O348" s="13"/>
      <c r="P348" s="356"/>
      <c r="Q348" s="13"/>
      <c r="R348" s="13"/>
      <c r="S348" s="356"/>
      <c r="T348" s="13"/>
      <c r="U348" s="13"/>
      <c r="V348" s="356"/>
      <c r="W348" s="13"/>
      <c r="X348" s="13"/>
      <c r="Y348" s="356"/>
      <c r="Z348" s="13"/>
      <c r="AA348" s="13"/>
      <c r="AB348" s="356"/>
      <c r="AC348" s="13"/>
      <c r="AD348" s="13"/>
      <c r="AE348" s="356"/>
      <c r="AF348" s="13"/>
      <c r="AG348" s="13"/>
      <c r="AH348" s="356"/>
      <c r="AI348" s="13"/>
      <c r="AJ348" s="13"/>
      <c r="AK348" s="356"/>
      <c r="AL348" s="13"/>
      <c r="AM348" s="13"/>
      <c r="AN348" s="356"/>
      <c r="AO348" s="13"/>
      <c r="AP348" s="13"/>
      <c r="AQ348" s="356"/>
      <c r="AR348" s="13"/>
      <c r="AS348" s="13"/>
      <c r="AT348" s="356"/>
      <c r="AU348" s="13"/>
      <c r="AV348" s="13"/>
      <c r="AW348" s="356"/>
      <c r="AX348" s="13"/>
      <c r="AY348" s="13"/>
      <c r="AZ348" s="356"/>
      <c r="BA348" s="13"/>
      <c r="BB348" s="13"/>
      <c r="BC348" s="356"/>
      <c r="BD348" s="13"/>
      <c r="BE348" s="13"/>
      <c r="BF348" s="356"/>
      <c r="BG348" s="13"/>
      <c r="BH348" s="13"/>
      <c r="BI348" s="356"/>
      <c r="BJ348" s="13"/>
      <c r="BK348" s="13"/>
      <c r="BL348" s="356"/>
      <c r="BM348" s="13"/>
      <c r="BN348" s="13"/>
      <c r="BO348" s="356"/>
      <c r="BP348" s="13"/>
      <c r="BQ348" s="13"/>
      <c r="BR348" s="356"/>
      <c r="BS348" s="13"/>
      <c r="BT348" s="13"/>
      <c r="BU348" s="356"/>
      <c r="BV348" s="13"/>
      <c r="BW348" s="13"/>
      <c r="BX348" s="356"/>
      <c r="BY348" s="13"/>
      <c r="BZ348" s="13"/>
      <c r="CA348" s="356"/>
      <c r="CB348" s="13"/>
      <c r="CC348" s="13"/>
      <c r="CD348" s="356"/>
      <c r="CE348" s="13"/>
      <c r="CF348" s="13"/>
      <c r="CG348" s="356"/>
      <c r="CH348" s="13"/>
      <c r="CI348" s="13"/>
      <c r="CJ348" s="356"/>
      <c r="CK348" s="13"/>
      <c r="CL348" s="13"/>
      <c r="CM348" s="356"/>
      <c r="CN348" s="13"/>
      <c r="CO348" s="13"/>
      <c r="CP348" s="356"/>
      <c r="CQ348" s="13"/>
      <c r="CR348" s="13"/>
      <c r="CS348" s="356"/>
      <c r="CT348" s="13"/>
      <c r="CU348" s="13"/>
      <c r="CV348" s="356"/>
      <c r="CW348" s="13"/>
      <c r="CX348" s="13"/>
      <c r="CY348" s="356"/>
      <c r="CZ348" s="13"/>
      <c r="DA348" s="13"/>
      <c r="DB348" s="356"/>
      <c r="DC348" s="13"/>
      <c r="DD348" s="13"/>
      <c r="DE348" s="356"/>
      <c r="DF348" s="13"/>
      <c r="DG348" s="13"/>
      <c r="DH348" s="356"/>
      <c r="DI348" s="13"/>
      <c r="DJ348" s="13"/>
      <c r="DK348" s="1087"/>
      <c r="DL348" s="13"/>
      <c r="DM348" s="13"/>
      <c r="DN348" s="1087"/>
      <c r="DO348" s="13"/>
      <c r="DP348" s="13"/>
      <c r="DQ348" s="1087"/>
      <c r="DR348" s="13"/>
      <c r="DS348" s="13"/>
      <c r="DT348" s="1087"/>
      <c r="DU348" s="13"/>
      <c r="DV348" s="13"/>
      <c r="DW348" s="1087"/>
      <c r="DX348" s="13"/>
      <c r="DY348" s="13"/>
      <c r="DZ348" s="1087"/>
      <c r="EA348" s="13"/>
      <c r="EB348" s="13"/>
      <c r="EC348" s="1087"/>
      <c r="ED348" s="13"/>
      <c r="EE348" s="13"/>
      <c r="EF348" s="1087"/>
      <c r="EG348" s="13"/>
      <c r="EH348" s="13"/>
      <c r="EI348" s="1087"/>
      <c r="EJ348" s="13"/>
      <c r="EK348" s="13"/>
      <c r="EL348" s="1087"/>
      <c r="EM348" s="13"/>
      <c r="EN348" s="13"/>
      <c r="EO348" s="1087"/>
      <c r="EP348" s="13"/>
      <c r="EQ348" s="13"/>
      <c r="ER348" s="1087"/>
      <c r="ES348" s="13"/>
      <c r="ET348" s="13"/>
      <c r="EU348" s="1087"/>
      <c r="EV348" s="13"/>
      <c r="EW348" s="13"/>
      <c r="EX348" s="1087"/>
      <c r="EY348" s="13"/>
      <c r="EZ348" s="13"/>
      <c r="FA348" s="356"/>
    </row>
    <row r="349" spans="1:157" ht="13.35" customHeight="1" outlineLevel="1">
      <c r="A349" s="23"/>
      <c r="B349" s="409" t="str">
        <f t="shared" si="608"/>
        <v xml:space="preserve">     Industry driver</v>
      </c>
      <c r="C349" s="5"/>
      <c r="D349" s="23"/>
      <c r="E349" s="13"/>
      <c r="F349" s="13"/>
      <c r="G349" s="356"/>
      <c r="H349" s="13"/>
      <c r="I349" s="13"/>
      <c r="J349" s="356"/>
      <c r="K349" s="13"/>
      <c r="L349" s="13"/>
      <c r="M349" s="356"/>
      <c r="N349" s="13"/>
      <c r="O349" s="13"/>
      <c r="P349" s="356"/>
      <c r="Q349" s="13"/>
      <c r="R349" s="13"/>
      <c r="S349" s="356"/>
      <c r="T349" s="13"/>
      <c r="U349" s="13"/>
      <c r="V349" s="356"/>
      <c r="W349" s="13"/>
      <c r="X349" s="13"/>
      <c r="Y349" s="356"/>
      <c r="Z349" s="13"/>
      <c r="AA349" s="13"/>
      <c r="AB349" s="356"/>
      <c r="AC349" s="13"/>
      <c r="AD349" s="13"/>
      <c r="AE349" s="356"/>
      <c r="AF349" s="13"/>
      <c r="AG349" s="13"/>
      <c r="AH349" s="356"/>
      <c r="AI349" s="13"/>
      <c r="AJ349" s="13"/>
      <c r="AK349" s="356"/>
      <c r="AL349" s="13"/>
      <c r="AM349" s="13"/>
      <c r="AN349" s="356"/>
      <c r="AO349" s="13"/>
      <c r="AP349" s="13"/>
      <c r="AQ349" s="356"/>
      <c r="AR349" s="13"/>
      <c r="AS349" s="13"/>
      <c r="AT349" s="356"/>
      <c r="AU349" s="13"/>
      <c r="AV349" s="13"/>
      <c r="AW349" s="356"/>
      <c r="AX349" s="13"/>
      <c r="AY349" s="13"/>
      <c r="AZ349" s="356"/>
      <c r="BA349" s="13"/>
      <c r="BB349" s="13"/>
      <c r="BC349" s="356"/>
      <c r="BD349" s="13"/>
      <c r="BE349" s="13"/>
      <c r="BF349" s="356"/>
      <c r="BG349" s="13"/>
      <c r="BH349" s="13"/>
      <c r="BI349" s="356"/>
      <c r="BJ349" s="13"/>
      <c r="BK349" s="13"/>
      <c r="BL349" s="356"/>
      <c r="BM349" s="13"/>
      <c r="BN349" s="13"/>
      <c r="BO349" s="356"/>
      <c r="BP349" s="13"/>
      <c r="BQ349" s="13"/>
      <c r="BR349" s="356"/>
      <c r="BS349" s="13"/>
      <c r="BT349" s="13"/>
      <c r="BU349" s="356"/>
      <c r="BV349" s="13"/>
      <c r="BW349" s="13"/>
      <c r="BX349" s="356"/>
      <c r="BY349" s="13"/>
      <c r="BZ349" s="13"/>
      <c r="CA349" s="356"/>
      <c r="CB349" s="13"/>
      <c r="CC349" s="13"/>
      <c r="CD349" s="356"/>
      <c r="CE349" s="13"/>
      <c r="CF349" s="13"/>
      <c r="CG349" s="356"/>
      <c r="CH349" s="13"/>
      <c r="CI349" s="13"/>
      <c r="CJ349" s="356"/>
      <c r="CK349" s="13"/>
      <c r="CL349" s="13"/>
      <c r="CM349" s="356"/>
      <c r="CN349" s="13"/>
      <c r="CO349" s="13"/>
      <c r="CP349" s="356"/>
      <c r="CQ349" s="13"/>
      <c r="CR349" s="13"/>
      <c r="CS349" s="356"/>
      <c r="CT349" s="13"/>
      <c r="CU349" s="13"/>
      <c r="CV349" s="356"/>
      <c r="CW349" s="13"/>
      <c r="CX349" s="13"/>
      <c r="CY349" s="356"/>
      <c r="CZ349" s="13"/>
      <c r="DA349" s="13"/>
      <c r="DB349" s="356"/>
      <c r="DC349" s="13"/>
      <c r="DD349" s="13"/>
      <c r="DE349" s="356"/>
      <c r="DF349" s="13"/>
      <c r="DG349" s="13"/>
      <c r="DH349" s="356"/>
      <c r="DI349" s="13"/>
      <c r="DJ349" s="13"/>
      <c r="DK349" s="1087"/>
      <c r="DL349" s="13"/>
      <c r="DM349" s="13"/>
      <c r="DN349" s="1087"/>
      <c r="DO349" s="13"/>
      <c r="DP349" s="13"/>
      <c r="DQ349" s="1087"/>
      <c r="DR349" s="13"/>
      <c r="DS349" s="13"/>
      <c r="DT349" s="1087"/>
      <c r="DU349" s="13"/>
      <c r="DV349" s="13"/>
      <c r="DW349" s="1087"/>
      <c r="DX349" s="13"/>
      <c r="DY349" s="13"/>
      <c r="DZ349" s="1087"/>
      <c r="EA349" s="13"/>
      <c r="EB349" s="13"/>
      <c r="EC349" s="1087"/>
      <c r="ED349" s="13"/>
      <c r="EE349" s="13"/>
      <c r="EF349" s="1087"/>
      <c r="EG349" s="13"/>
      <c r="EH349" s="13"/>
      <c r="EI349" s="1087"/>
      <c r="EJ349" s="13"/>
      <c r="EK349" s="13"/>
      <c r="EL349" s="1087"/>
      <c r="EM349" s="13"/>
      <c r="EN349" s="13"/>
      <c r="EO349" s="1087"/>
      <c r="EP349" s="13"/>
      <c r="EQ349" s="13"/>
      <c r="ER349" s="1087"/>
      <c r="ES349" s="13"/>
      <c r="ET349" s="13"/>
      <c r="EU349" s="1087"/>
      <c r="EV349" s="13"/>
      <c r="EW349" s="13"/>
      <c r="EX349" s="1087"/>
      <c r="EY349" s="13"/>
      <c r="EZ349" s="13"/>
      <c r="FA349" s="356"/>
    </row>
    <row r="350" spans="1:157" ht="13.35" customHeight="1" outlineLevel="1">
      <c r="A350" s="23"/>
      <c r="B350" s="409" t="str">
        <f t="shared" si="608"/>
        <v xml:space="preserve">     Industry driver</v>
      </c>
      <c r="C350" s="5"/>
      <c r="D350" s="23"/>
      <c r="E350" s="13"/>
      <c r="F350" s="13"/>
      <c r="G350" s="356"/>
      <c r="H350" s="13"/>
      <c r="I350" s="13"/>
      <c r="J350" s="356"/>
      <c r="K350" s="13"/>
      <c r="L350" s="13"/>
      <c r="M350" s="356"/>
      <c r="N350" s="13"/>
      <c r="O350" s="13"/>
      <c r="P350" s="356"/>
      <c r="Q350" s="13"/>
      <c r="R350" s="13"/>
      <c r="S350" s="356"/>
      <c r="T350" s="13"/>
      <c r="U350" s="13"/>
      <c r="V350" s="356"/>
      <c r="W350" s="13"/>
      <c r="X350" s="13"/>
      <c r="Y350" s="356"/>
      <c r="Z350" s="13"/>
      <c r="AA350" s="13"/>
      <c r="AB350" s="356"/>
      <c r="AC350" s="13"/>
      <c r="AD350" s="13"/>
      <c r="AE350" s="356"/>
      <c r="AF350" s="13"/>
      <c r="AG350" s="13"/>
      <c r="AH350" s="356"/>
      <c r="AI350" s="13"/>
      <c r="AJ350" s="13"/>
      <c r="AK350" s="356"/>
      <c r="AL350" s="13"/>
      <c r="AM350" s="13"/>
      <c r="AN350" s="356"/>
      <c r="AO350" s="13"/>
      <c r="AP350" s="13"/>
      <c r="AQ350" s="356"/>
      <c r="AR350" s="13"/>
      <c r="AS350" s="13"/>
      <c r="AT350" s="356"/>
      <c r="AU350" s="13"/>
      <c r="AV350" s="13"/>
      <c r="AW350" s="356"/>
      <c r="AX350" s="13"/>
      <c r="AY350" s="13"/>
      <c r="AZ350" s="356"/>
      <c r="BA350" s="13"/>
      <c r="BB350" s="13"/>
      <c r="BC350" s="356"/>
      <c r="BD350" s="13"/>
      <c r="BE350" s="13"/>
      <c r="BF350" s="356"/>
      <c r="BG350" s="13"/>
      <c r="BH350" s="13"/>
      <c r="BI350" s="356"/>
      <c r="BJ350" s="13"/>
      <c r="BK350" s="13"/>
      <c r="BL350" s="356"/>
      <c r="BM350" s="13"/>
      <c r="BN350" s="13"/>
      <c r="BO350" s="356"/>
      <c r="BP350" s="13"/>
      <c r="BQ350" s="13"/>
      <c r="BR350" s="356"/>
      <c r="BS350" s="13"/>
      <c r="BT350" s="13"/>
      <c r="BU350" s="356"/>
      <c r="BV350" s="13"/>
      <c r="BW350" s="13"/>
      <c r="BX350" s="356"/>
      <c r="BY350" s="13"/>
      <c r="BZ350" s="13"/>
      <c r="CA350" s="356"/>
      <c r="CB350" s="13"/>
      <c r="CC350" s="13"/>
      <c r="CD350" s="356"/>
      <c r="CE350" s="13"/>
      <c r="CF350" s="13"/>
      <c r="CG350" s="356"/>
      <c r="CH350" s="13"/>
      <c r="CI350" s="13"/>
      <c r="CJ350" s="356"/>
      <c r="CK350" s="13"/>
      <c r="CL350" s="13"/>
      <c r="CM350" s="356"/>
      <c r="CN350" s="13"/>
      <c r="CO350" s="13"/>
      <c r="CP350" s="356"/>
      <c r="CQ350" s="13"/>
      <c r="CR350" s="13"/>
      <c r="CS350" s="356"/>
      <c r="CT350" s="13"/>
      <c r="CU350" s="13"/>
      <c r="CV350" s="356"/>
      <c r="CW350" s="13"/>
      <c r="CX350" s="13"/>
      <c r="CY350" s="356"/>
      <c r="CZ350" s="13"/>
      <c r="DA350" s="13"/>
      <c r="DB350" s="356"/>
      <c r="DC350" s="13"/>
      <c r="DD350" s="13"/>
      <c r="DE350" s="356"/>
      <c r="DF350" s="13"/>
      <c r="DG350" s="13"/>
      <c r="DH350" s="356"/>
      <c r="DI350" s="13"/>
      <c r="DJ350" s="13"/>
      <c r="DK350" s="1087"/>
      <c r="DL350" s="13"/>
      <c r="DM350" s="13"/>
      <c r="DN350" s="1087"/>
      <c r="DO350" s="13"/>
      <c r="DP350" s="13"/>
      <c r="DQ350" s="1087"/>
      <c r="DR350" s="13"/>
      <c r="DS350" s="13"/>
      <c r="DT350" s="1087"/>
      <c r="DU350" s="13"/>
      <c r="DV350" s="13"/>
      <c r="DW350" s="1087"/>
      <c r="DX350" s="13"/>
      <c r="DY350" s="13"/>
      <c r="DZ350" s="1087"/>
      <c r="EA350" s="13"/>
      <c r="EB350" s="13"/>
      <c r="EC350" s="1087"/>
      <c r="ED350" s="13"/>
      <c r="EE350" s="13"/>
      <c r="EF350" s="1087"/>
      <c r="EG350" s="13"/>
      <c r="EH350" s="13"/>
      <c r="EI350" s="1087"/>
      <c r="EJ350" s="13"/>
      <c r="EK350" s="13"/>
      <c r="EL350" s="1087"/>
      <c r="EM350" s="13"/>
      <c r="EN350" s="13"/>
      <c r="EO350" s="1087"/>
      <c r="EP350" s="13"/>
      <c r="EQ350" s="13"/>
      <c r="ER350" s="1087"/>
      <c r="ES350" s="13"/>
      <c r="ET350" s="13"/>
      <c r="EU350" s="1087"/>
      <c r="EV350" s="13"/>
      <c r="EW350" s="13"/>
      <c r="EX350" s="1087"/>
      <c r="EY350" s="13"/>
      <c r="EZ350" s="13"/>
      <c r="FA350" s="356"/>
    </row>
    <row r="351" spans="1:157" ht="13.35" customHeight="1" outlineLevel="1">
      <c r="A351" s="23"/>
      <c r="B351" s="409" t="str">
        <f t="shared" si="608"/>
        <v xml:space="preserve">     Industry driver</v>
      </c>
      <c r="C351" s="5"/>
      <c r="D351" s="23"/>
      <c r="E351" s="13"/>
      <c r="F351" s="13"/>
      <c r="G351" s="356"/>
      <c r="H351" s="13"/>
      <c r="I351" s="13"/>
      <c r="J351" s="356"/>
      <c r="K351" s="13"/>
      <c r="L351" s="13"/>
      <c r="M351" s="356"/>
      <c r="N351" s="13"/>
      <c r="O351" s="13"/>
      <c r="P351" s="356"/>
      <c r="Q351" s="13"/>
      <c r="R351" s="13"/>
      <c r="S351" s="356"/>
      <c r="T351" s="13"/>
      <c r="U351" s="13"/>
      <c r="V351" s="356"/>
      <c r="W351" s="13"/>
      <c r="X351" s="13"/>
      <c r="Y351" s="356"/>
      <c r="Z351" s="13"/>
      <c r="AA351" s="13"/>
      <c r="AB351" s="356"/>
      <c r="AC351" s="13"/>
      <c r="AD351" s="13"/>
      <c r="AE351" s="356"/>
      <c r="AF351" s="13"/>
      <c r="AG351" s="13"/>
      <c r="AH351" s="356"/>
      <c r="AI351" s="13"/>
      <c r="AJ351" s="13"/>
      <c r="AK351" s="356"/>
      <c r="AL351" s="13"/>
      <c r="AM351" s="13"/>
      <c r="AN351" s="356"/>
      <c r="AO351" s="13"/>
      <c r="AP351" s="13"/>
      <c r="AQ351" s="356"/>
      <c r="AR351" s="13"/>
      <c r="AS351" s="13"/>
      <c r="AT351" s="356"/>
      <c r="AU351" s="13"/>
      <c r="AV351" s="13"/>
      <c r="AW351" s="356"/>
      <c r="AX351" s="13"/>
      <c r="AY351" s="13"/>
      <c r="AZ351" s="356"/>
      <c r="BA351" s="13"/>
      <c r="BB351" s="13"/>
      <c r="BC351" s="356"/>
      <c r="BD351" s="13"/>
      <c r="BE351" s="13"/>
      <c r="BF351" s="356"/>
      <c r="BG351" s="13"/>
      <c r="BH351" s="13"/>
      <c r="BI351" s="356"/>
      <c r="BJ351" s="13"/>
      <c r="BK351" s="13"/>
      <c r="BL351" s="356"/>
      <c r="BM351" s="13"/>
      <c r="BN351" s="13"/>
      <c r="BO351" s="356"/>
      <c r="BP351" s="13"/>
      <c r="BQ351" s="13"/>
      <c r="BR351" s="356"/>
      <c r="BS351" s="13"/>
      <c r="BT351" s="13"/>
      <c r="BU351" s="356"/>
      <c r="BV351" s="13"/>
      <c r="BW351" s="13"/>
      <c r="BX351" s="356"/>
      <c r="BY351" s="13"/>
      <c r="BZ351" s="13"/>
      <c r="CA351" s="356"/>
      <c r="CB351" s="13"/>
      <c r="CC351" s="13"/>
      <c r="CD351" s="356"/>
      <c r="CE351" s="13"/>
      <c r="CF351" s="13"/>
      <c r="CG351" s="356"/>
      <c r="CH351" s="13"/>
      <c r="CI351" s="13"/>
      <c r="CJ351" s="356"/>
      <c r="CK351" s="13"/>
      <c r="CL351" s="13"/>
      <c r="CM351" s="356"/>
      <c r="CN351" s="13"/>
      <c r="CO351" s="13"/>
      <c r="CP351" s="356"/>
      <c r="CQ351" s="13"/>
      <c r="CR351" s="13"/>
      <c r="CS351" s="356"/>
      <c r="CT351" s="13"/>
      <c r="CU351" s="13"/>
      <c r="CV351" s="356"/>
      <c r="CW351" s="13"/>
      <c r="CX351" s="13"/>
      <c r="CY351" s="356"/>
      <c r="CZ351" s="13"/>
      <c r="DA351" s="13"/>
      <c r="DB351" s="356"/>
      <c r="DC351" s="13"/>
      <c r="DD351" s="13"/>
      <c r="DE351" s="356"/>
      <c r="DF351" s="13"/>
      <c r="DG351" s="13"/>
      <c r="DH351" s="356"/>
      <c r="DI351" s="13"/>
      <c r="DJ351" s="13"/>
      <c r="DK351" s="1087"/>
      <c r="DL351" s="13"/>
      <c r="DM351" s="13"/>
      <c r="DN351" s="1087"/>
      <c r="DO351" s="13"/>
      <c r="DP351" s="13"/>
      <c r="DQ351" s="1087"/>
      <c r="DR351" s="13"/>
      <c r="DS351" s="13"/>
      <c r="DT351" s="1087"/>
      <c r="DU351" s="13"/>
      <c r="DV351" s="13"/>
      <c r="DW351" s="1087"/>
      <c r="DX351" s="13"/>
      <c r="DY351" s="13"/>
      <c r="DZ351" s="1087"/>
      <c r="EA351" s="13"/>
      <c r="EB351" s="13"/>
      <c r="EC351" s="1087"/>
      <c r="ED351" s="13"/>
      <c r="EE351" s="13"/>
      <c r="EF351" s="1087"/>
      <c r="EG351" s="13"/>
      <c r="EH351" s="13"/>
      <c r="EI351" s="1087"/>
      <c r="EJ351" s="13"/>
      <c r="EK351" s="13"/>
      <c r="EL351" s="1087"/>
      <c r="EM351" s="13"/>
      <c r="EN351" s="13"/>
      <c r="EO351" s="1087"/>
      <c r="EP351" s="13"/>
      <c r="EQ351" s="13"/>
      <c r="ER351" s="1087"/>
      <c r="ES351" s="13"/>
      <c r="ET351" s="13"/>
      <c r="EU351" s="1087"/>
      <c r="EV351" s="13"/>
      <c r="EW351" s="13"/>
      <c r="EX351" s="1087"/>
      <c r="EY351" s="13"/>
      <c r="EZ351" s="13"/>
      <c r="FA351" s="356"/>
    </row>
    <row r="352" spans="1:157" ht="13.35" customHeight="1" outlineLevel="1">
      <c r="A352" s="23"/>
      <c r="B352" s="409" t="str">
        <f t="shared" si="608"/>
        <v xml:space="preserve">     Industry driver</v>
      </c>
      <c r="C352" s="5"/>
      <c r="D352" s="23"/>
      <c r="E352" s="13"/>
      <c r="F352" s="13"/>
      <c r="G352" s="356"/>
      <c r="H352" s="13"/>
      <c r="I352" s="13"/>
      <c r="J352" s="356"/>
      <c r="K352" s="13"/>
      <c r="L352" s="13"/>
      <c r="M352" s="356"/>
      <c r="N352" s="13"/>
      <c r="O352" s="13"/>
      <c r="P352" s="356"/>
      <c r="Q352" s="13"/>
      <c r="R352" s="13"/>
      <c r="S352" s="356"/>
      <c r="T352" s="13"/>
      <c r="U352" s="13"/>
      <c r="V352" s="356"/>
      <c r="W352" s="13"/>
      <c r="X352" s="13"/>
      <c r="Y352" s="356"/>
      <c r="Z352" s="13"/>
      <c r="AA352" s="13"/>
      <c r="AB352" s="356"/>
      <c r="AC352" s="13"/>
      <c r="AD352" s="13"/>
      <c r="AE352" s="356"/>
      <c r="AF352" s="13"/>
      <c r="AG352" s="13"/>
      <c r="AH352" s="356"/>
      <c r="AI352" s="13"/>
      <c r="AJ352" s="13"/>
      <c r="AK352" s="356"/>
      <c r="AL352" s="13"/>
      <c r="AM352" s="13"/>
      <c r="AN352" s="356"/>
      <c r="AO352" s="13"/>
      <c r="AP352" s="13"/>
      <c r="AQ352" s="356"/>
      <c r="AR352" s="13"/>
      <c r="AS352" s="13"/>
      <c r="AT352" s="356"/>
      <c r="AU352" s="13"/>
      <c r="AV352" s="13"/>
      <c r="AW352" s="356"/>
      <c r="AX352" s="13"/>
      <c r="AY352" s="13"/>
      <c r="AZ352" s="356"/>
      <c r="BA352" s="13"/>
      <c r="BB352" s="13"/>
      <c r="BC352" s="356"/>
      <c r="BD352" s="13"/>
      <c r="BE352" s="13"/>
      <c r="BF352" s="356"/>
      <c r="BG352" s="13"/>
      <c r="BH352" s="13"/>
      <c r="BI352" s="356"/>
      <c r="BJ352" s="13"/>
      <c r="BK352" s="13"/>
      <c r="BL352" s="356"/>
      <c r="BM352" s="13"/>
      <c r="BN352" s="13"/>
      <c r="BO352" s="356"/>
      <c r="BP352" s="13"/>
      <c r="BQ352" s="13"/>
      <c r="BR352" s="356"/>
      <c r="BS352" s="13"/>
      <c r="BT352" s="13"/>
      <c r="BU352" s="356"/>
      <c r="BV352" s="13"/>
      <c r="BW352" s="13"/>
      <c r="BX352" s="356"/>
      <c r="BY352" s="13"/>
      <c r="BZ352" s="13"/>
      <c r="CA352" s="356"/>
      <c r="CB352" s="13"/>
      <c r="CC352" s="13"/>
      <c r="CD352" s="356"/>
      <c r="CE352" s="13"/>
      <c r="CF352" s="13"/>
      <c r="CG352" s="356"/>
      <c r="CH352" s="13"/>
      <c r="CI352" s="13"/>
      <c r="CJ352" s="356"/>
      <c r="CK352" s="13"/>
      <c r="CL352" s="13"/>
      <c r="CM352" s="356"/>
      <c r="CN352" s="13"/>
      <c r="CO352" s="13"/>
      <c r="CP352" s="356"/>
      <c r="CQ352" s="13"/>
      <c r="CR352" s="13"/>
      <c r="CS352" s="356"/>
      <c r="CT352" s="13"/>
      <c r="CU352" s="13"/>
      <c r="CV352" s="356"/>
      <c r="CW352" s="13"/>
      <c r="CX352" s="13"/>
      <c r="CY352" s="356"/>
      <c r="CZ352" s="13"/>
      <c r="DA352" s="13"/>
      <c r="DB352" s="356"/>
      <c r="DC352" s="13"/>
      <c r="DD352" s="13"/>
      <c r="DE352" s="356"/>
      <c r="DF352" s="13"/>
      <c r="DG352" s="13"/>
      <c r="DH352" s="356"/>
      <c r="DI352" s="13"/>
      <c r="DJ352" s="13"/>
      <c r="DK352" s="1087"/>
      <c r="DL352" s="13"/>
      <c r="DM352" s="13"/>
      <c r="DN352" s="1087"/>
      <c r="DO352" s="13"/>
      <c r="DP352" s="13"/>
      <c r="DQ352" s="1087"/>
      <c r="DR352" s="13"/>
      <c r="DS352" s="13"/>
      <c r="DT352" s="1087"/>
      <c r="DU352" s="13"/>
      <c r="DV352" s="13"/>
      <c r="DW352" s="1087"/>
      <c r="DX352" s="13"/>
      <c r="DY352" s="13"/>
      <c r="DZ352" s="1087"/>
      <c r="EA352" s="13"/>
      <c r="EB352" s="13"/>
      <c r="EC352" s="1087"/>
      <c r="ED352" s="13"/>
      <c r="EE352" s="13"/>
      <c r="EF352" s="1087"/>
      <c r="EG352" s="13"/>
      <c r="EH352" s="13"/>
      <c r="EI352" s="1087"/>
      <c r="EJ352" s="13"/>
      <c r="EK352" s="13"/>
      <c r="EL352" s="1087"/>
      <c r="EM352" s="13"/>
      <c r="EN352" s="13"/>
      <c r="EO352" s="1087"/>
      <c r="EP352" s="13"/>
      <c r="EQ352" s="13"/>
      <c r="ER352" s="1087"/>
      <c r="ES352" s="13"/>
      <c r="ET352" s="13"/>
      <c r="EU352" s="1087"/>
      <c r="EV352" s="13"/>
      <c r="EW352" s="13"/>
      <c r="EX352" s="1087"/>
      <c r="EY352" s="13"/>
      <c r="EZ352" s="13"/>
      <c r="FA352" s="356"/>
    </row>
    <row r="353" spans="1:157" ht="13.35" customHeight="1">
      <c r="A353" s="5"/>
      <c r="B353" s="409" t="str">
        <f t="shared" si="608"/>
        <v xml:space="preserve">     Industry driver</v>
      </c>
      <c r="C353" s="23"/>
      <c r="D353" s="23"/>
      <c r="E353" s="13"/>
      <c r="F353" s="13"/>
      <c r="G353" s="356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/>
      <c r="BM353" s="13"/>
      <c r="BN353" s="13"/>
      <c r="BO353" s="13"/>
      <c r="BP353" s="13"/>
      <c r="BQ353" s="13"/>
      <c r="BR353" s="13"/>
      <c r="BS353" s="13"/>
      <c r="BT353" s="13"/>
      <c r="BU353" s="13"/>
      <c r="BV353" s="13"/>
      <c r="BW353" s="13"/>
      <c r="BX353" s="13"/>
      <c r="BY353" s="13"/>
      <c r="BZ353" s="13"/>
      <c r="CA353" s="13"/>
      <c r="CB353" s="13"/>
      <c r="CC353" s="13"/>
      <c r="CD353" s="13"/>
      <c r="CE353" s="13"/>
      <c r="CF353" s="13"/>
      <c r="CG353" s="13"/>
      <c r="CH353" s="13"/>
      <c r="CI353" s="13"/>
      <c r="CJ353" s="13"/>
      <c r="CK353" s="13"/>
      <c r="CL353" s="13"/>
      <c r="CM353" s="13"/>
      <c r="CN353" s="13"/>
      <c r="CO353" s="13"/>
      <c r="CP353" s="13"/>
      <c r="CQ353" s="13"/>
      <c r="CR353" s="13"/>
      <c r="CS353" s="13"/>
      <c r="CT353" s="13"/>
      <c r="CU353" s="13"/>
      <c r="CV353" s="13"/>
      <c r="CW353" s="13"/>
      <c r="CX353" s="13"/>
      <c r="CY353" s="13"/>
      <c r="CZ353" s="13"/>
      <c r="DA353" s="13"/>
      <c r="DB353" s="13"/>
      <c r="DC353" s="13"/>
      <c r="DD353" s="13"/>
      <c r="DE353" s="13"/>
      <c r="DF353" s="13"/>
      <c r="DG353" s="13"/>
      <c r="DH353" s="13"/>
      <c r="DI353" s="13"/>
      <c r="DJ353" s="13"/>
      <c r="DK353" s="1110"/>
      <c r="DL353" s="13"/>
      <c r="DM353" s="13"/>
      <c r="DN353" s="1110"/>
      <c r="DO353" s="13"/>
      <c r="DP353" s="13"/>
      <c r="DQ353" s="1110"/>
      <c r="DR353" s="13"/>
      <c r="DS353" s="13"/>
      <c r="DT353" s="1110"/>
      <c r="DU353" s="13"/>
      <c r="DV353" s="13"/>
      <c r="DW353" s="1110"/>
      <c r="DX353" s="13"/>
      <c r="DY353" s="13"/>
      <c r="DZ353" s="1110"/>
      <c r="EA353" s="13"/>
      <c r="EB353" s="13"/>
      <c r="EC353" s="1110"/>
      <c r="ED353" s="13"/>
      <c r="EE353" s="13"/>
      <c r="EF353" s="1110"/>
      <c r="EG353" s="13"/>
      <c r="EH353" s="13"/>
      <c r="EI353" s="1110"/>
      <c r="EJ353" s="13"/>
      <c r="EK353" s="13"/>
      <c r="EL353" s="1110"/>
      <c r="EM353" s="13"/>
      <c r="EN353" s="13"/>
      <c r="EO353" s="1110"/>
      <c r="EP353" s="13"/>
      <c r="EQ353" s="13"/>
      <c r="ER353" s="1110"/>
      <c r="ES353" s="13"/>
      <c r="ET353" s="13"/>
      <c r="EU353" s="1110"/>
      <c r="EV353" s="13"/>
      <c r="EW353" s="13"/>
      <c r="EX353" s="1110"/>
      <c r="EY353" s="13"/>
      <c r="EZ353" s="13"/>
      <c r="FA353" s="13"/>
    </row>
    <row r="354" spans="1:157" ht="13.35" customHeight="1">
      <c r="A354" s="5"/>
      <c r="B354" s="409" t="str">
        <f t="shared" si="608"/>
        <v xml:space="preserve">     Industry driver</v>
      </c>
      <c r="C354" s="23"/>
      <c r="D354" s="23"/>
      <c r="E354" s="13"/>
      <c r="F354" s="13"/>
      <c r="G354" s="356"/>
      <c r="H354" s="13"/>
      <c r="I354" s="13"/>
      <c r="J354" s="356"/>
      <c r="K354" s="13"/>
      <c r="L354" s="13"/>
      <c r="M354" s="356"/>
      <c r="N354" s="13"/>
      <c r="O354" s="13"/>
      <c r="P354" s="356"/>
      <c r="Q354" s="13"/>
      <c r="R354" s="13"/>
      <c r="S354" s="356"/>
      <c r="T354" s="13"/>
      <c r="U354" s="13"/>
      <c r="V354" s="356"/>
      <c r="W354" s="13"/>
      <c r="X354" s="13"/>
      <c r="Y354" s="356"/>
      <c r="Z354" s="13"/>
      <c r="AA354" s="13"/>
      <c r="AB354" s="356"/>
      <c r="AC354" s="13"/>
      <c r="AD354" s="13"/>
      <c r="AE354" s="356"/>
      <c r="AF354" s="13"/>
      <c r="AG354" s="13"/>
      <c r="AH354" s="356"/>
      <c r="AI354" s="13"/>
      <c r="AJ354" s="13"/>
      <c r="AK354" s="356"/>
      <c r="AL354" s="13"/>
      <c r="AM354" s="13"/>
      <c r="AN354" s="356"/>
      <c r="AO354" s="13"/>
      <c r="AP354" s="13"/>
      <c r="AQ354" s="356"/>
      <c r="AR354" s="13"/>
      <c r="AS354" s="13"/>
      <c r="AT354" s="356"/>
      <c r="AU354" s="13"/>
      <c r="AV354" s="13"/>
      <c r="AW354" s="356"/>
      <c r="AX354" s="13"/>
      <c r="AY354" s="13"/>
      <c r="AZ354" s="356"/>
      <c r="BA354" s="13"/>
      <c r="BB354" s="13"/>
      <c r="BC354" s="356"/>
      <c r="BD354" s="13"/>
      <c r="BE354" s="13"/>
      <c r="BF354" s="356"/>
      <c r="BG354" s="13"/>
      <c r="BH354" s="13"/>
      <c r="BI354" s="356"/>
      <c r="BJ354" s="13"/>
      <c r="BK354" s="13"/>
      <c r="BL354" s="356"/>
      <c r="BM354" s="13"/>
      <c r="BN354" s="13"/>
      <c r="BO354" s="356"/>
      <c r="BP354" s="13"/>
      <c r="BQ354" s="13"/>
      <c r="BR354" s="356"/>
      <c r="BS354" s="13"/>
      <c r="BT354" s="13"/>
      <c r="BU354" s="356"/>
      <c r="BV354" s="13"/>
      <c r="BW354" s="13"/>
      <c r="BX354" s="356"/>
      <c r="BY354" s="13"/>
      <c r="BZ354" s="13"/>
      <c r="CA354" s="356"/>
      <c r="CB354" s="13"/>
      <c r="CC354" s="13"/>
      <c r="CD354" s="356"/>
      <c r="CE354" s="13"/>
      <c r="CF354" s="13"/>
      <c r="CG354" s="356"/>
      <c r="CH354" s="13"/>
      <c r="CI354" s="13"/>
      <c r="CJ354" s="356"/>
      <c r="CK354" s="13"/>
      <c r="CL354" s="13"/>
      <c r="CM354" s="356"/>
      <c r="CN354" s="13"/>
      <c r="CO354" s="13"/>
      <c r="CP354" s="356"/>
      <c r="CQ354" s="13"/>
      <c r="CR354" s="13"/>
      <c r="CS354" s="356"/>
      <c r="CT354" s="13"/>
      <c r="CU354" s="13"/>
      <c r="CV354" s="356"/>
      <c r="CW354" s="13"/>
      <c r="CX354" s="13"/>
      <c r="CY354" s="356"/>
      <c r="CZ354" s="13"/>
      <c r="DA354" s="13"/>
      <c r="DB354" s="356"/>
      <c r="DC354" s="13"/>
      <c r="DD354" s="13"/>
      <c r="DE354" s="356"/>
      <c r="DF354" s="13"/>
      <c r="DG354" s="13"/>
      <c r="DH354" s="356"/>
      <c r="DI354" s="13"/>
      <c r="DJ354" s="13"/>
      <c r="DK354" s="1087"/>
      <c r="DL354" s="13"/>
      <c r="DM354" s="13"/>
      <c r="DN354" s="1087"/>
      <c r="DO354" s="13"/>
      <c r="DP354" s="13"/>
      <c r="DQ354" s="1087"/>
      <c r="DR354" s="13"/>
      <c r="DS354" s="13"/>
      <c r="DT354" s="1087"/>
      <c r="DU354" s="13"/>
      <c r="DV354" s="13"/>
      <c r="DW354" s="1087"/>
      <c r="DX354" s="13"/>
      <c r="DY354" s="13"/>
      <c r="DZ354" s="1087"/>
      <c r="EA354" s="13"/>
      <c r="EB354" s="13"/>
      <c r="EC354" s="1087"/>
      <c r="ED354" s="13"/>
      <c r="EE354" s="13"/>
      <c r="EF354" s="1087"/>
      <c r="EG354" s="13"/>
      <c r="EH354" s="13"/>
      <c r="EI354" s="1087"/>
      <c r="EJ354" s="13"/>
      <c r="EK354" s="13"/>
      <c r="EL354" s="1087"/>
      <c r="EM354" s="13"/>
      <c r="EN354" s="13"/>
      <c r="EO354" s="1087"/>
      <c r="EP354" s="13"/>
      <c r="EQ354" s="13"/>
      <c r="ER354" s="1087"/>
      <c r="ES354" s="13"/>
      <c r="ET354" s="13"/>
      <c r="EU354" s="1087"/>
      <c r="EV354" s="13"/>
      <c r="EW354" s="13"/>
      <c r="EX354" s="1087"/>
      <c r="EY354" s="13"/>
      <c r="EZ354" s="13"/>
      <c r="FA354" s="356"/>
    </row>
    <row r="355" spans="1:157" ht="13.35" customHeight="1">
      <c r="A355" s="5"/>
      <c r="B355" s="409" t="str">
        <f t="shared" si="608"/>
        <v xml:space="preserve">     Industry driver</v>
      </c>
      <c r="C355" s="23"/>
      <c r="D355" s="23"/>
      <c r="E355" s="13"/>
      <c r="F355" s="13"/>
      <c r="G355" s="356"/>
      <c r="H355" s="13"/>
      <c r="I355" s="13"/>
      <c r="J355" s="356"/>
      <c r="K355" s="13"/>
      <c r="L355" s="13"/>
      <c r="M355" s="356"/>
      <c r="N355" s="13"/>
      <c r="O355" s="13"/>
      <c r="P355" s="356"/>
      <c r="Q355" s="13"/>
      <c r="R355" s="13"/>
      <c r="S355" s="356"/>
      <c r="T355" s="13"/>
      <c r="U355" s="13"/>
      <c r="V355" s="356"/>
      <c r="W355" s="13"/>
      <c r="X355" s="13"/>
      <c r="Y355" s="356"/>
      <c r="Z355" s="13"/>
      <c r="AA355" s="13"/>
      <c r="AB355" s="356"/>
      <c r="AC355" s="13"/>
      <c r="AD355" s="13"/>
      <c r="AE355" s="356"/>
      <c r="AF355" s="13"/>
      <c r="AG355" s="13"/>
      <c r="AH355" s="356"/>
      <c r="AI355" s="13"/>
      <c r="AJ355" s="13"/>
      <c r="AK355" s="356"/>
      <c r="AL355" s="13"/>
      <c r="AM355" s="13"/>
      <c r="AN355" s="356"/>
      <c r="AO355" s="13"/>
      <c r="AP355" s="13"/>
      <c r="AQ355" s="356"/>
      <c r="AR355" s="13"/>
      <c r="AS355" s="13"/>
      <c r="AT355" s="356"/>
      <c r="AU355" s="13"/>
      <c r="AV355" s="13"/>
      <c r="AW355" s="356"/>
      <c r="AX355" s="13"/>
      <c r="AY355" s="13"/>
      <c r="AZ355" s="356"/>
      <c r="BA355" s="13"/>
      <c r="BB355" s="13"/>
      <c r="BC355" s="356"/>
      <c r="BD355" s="13"/>
      <c r="BE355" s="13"/>
      <c r="BF355" s="356"/>
      <c r="BG355" s="13"/>
      <c r="BH355" s="13"/>
      <c r="BI355" s="356"/>
      <c r="BJ355" s="13"/>
      <c r="BK355" s="13"/>
      <c r="BL355" s="356"/>
      <c r="BM355" s="13"/>
      <c r="BN355" s="13"/>
      <c r="BO355" s="356"/>
      <c r="BP355" s="13"/>
      <c r="BQ355" s="13"/>
      <c r="BR355" s="356"/>
      <c r="BS355" s="13"/>
      <c r="BT355" s="13"/>
      <c r="BU355" s="356"/>
      <c r="BV355" s="13"/>
      <c r="BW355" s="13"/>
      <c r="BX355" s="356"/>
      <c r="BY355" s="13"/>
      <c r="BZ355" s="13"/>
      <c r="CA355" s="356"/>
      <c r="CB355" s="13"/>
      <c r="CC355" s="13"/>
      <c r="CD355" s="356"/>
      <c r="CE355" s="13"/>
      <c r="CF355" s="13"/>
      <c r="CG355" s="356"/>
      <c r="CH355" s="13"/>
      <c r="CI355" s="13"/>
      <c r="CJ355" s="356"/>
      <c r="CK355" s="13"/>
      <c r="CL355" s="13"/>
      <c r="CM355" s="356"/>
      <c r="CN355" s="13"/>
      <c r="CO355" s="13"/>
      <c r="CP355" s="356"/>
      <c r="CQ355" s="13"/>
      <c r="CR355" s="13"/>
      <c r="CS355" s="356"/>
      <c r="CT355" s="13"/>
      <c r="CU355" s="13"/>
      <c r="CV355" s="356"/>
      <c r="CW355" s="13"/>
      <c r="CX355" s="13"/>
      <c r="CY355" s="356"/>
      <c r="CZ355" s="13"/>
      <c r="DA355" s="13"/>
      <c r="DB355" s="356"/>
      <c r="DC355" s="13"/>
      <c r="DD355" s="13"/>
      <c r="DE355" s="356"/>
      <c r="DF355" s="13"/>
      <c r="DG355" s="13"/>
      <c r="DH355" s="356"/>
      <c r="DI355" s="13"/>
      <c r="DJ355" s="13"/>
      <c r="DK355" s="1087"/>
      <c r="DL355" s="13"/>
      <c r="DM355" s="13"/>
      <c r="DN355" s="1087"/>
      <c r="DO355" s="13"/>
      <c r="DP355" s="13"/>
      <c r="DQ355" s="1087"/>
      <c r="DR355" s="13"/>
      <c r="DS355" s="13"/>
      <c r="DT355" s="1087"/>
      <c r="DU355" s="13"/>
      <c r="DV355" s="13"/>
      <c r="DW355" s="1087"/>
      <c r="DX355" s="13"/>
      <c r="DY355" s="13"/>
      <c r="DZ355" s="1087"/>
      <c r="EA355" s="13"/>
      <c r="EB355" s="13"/>
      <c r="EC355" s="1087"/>
      <c r="ED355" s="13"/>
      <c r="EE355" s="13"/>
      <c r="EF355" s="1087"/>
      <c r="EG355" s="13"/>
      <c r="EH355" s="13"/>
      <c r="EI355" s="1087"/>
      <c r="EJ355" s="13"/>
      <c r="EK355" s="13"/>
      <c r="EL355" s="1087"/>
      <c r="EM355" s="13"/>
      <c r="EN355" s="13"/>
      <c r="EO355" s="1087"/>
      <c r="EP355" s="13"/>
      <c r="EQ355" s="13"/>
      <c r="ER355" s="1087"/>
      <c r="ES355" s="13"/>
      <c r="ET355" s="13"/>
      <c r="EU355" s="1087"/>
      <c r="EV355" s="13"/>
      <c r="EW355" s="13"/>
      <c r="EX355" s="1087"/>
      <c r="EY355" s="13"/>
      <c r="EZ355" s="13"/>
      <c r="FA355" s="356"/>
    </row>
    <row r="356" spans="1:157" ht="13.35" customHeight="1">
      <c r="A356" s="5"/>
      <c r="B356" s="409" t="str">
        <f t="shared" si="608"/>
        <v xml:space="preserve">     Industry driver</v>
      </c>
      <c r="C356" s="23"/>
      <c r="D356" s="23"/>
      <c r="E356" s="13"/>
      <c r="F356" s="13"/>
      <c r="G356" s="356"/>
      <c r="H356" s="13"/>
      <c r="I356" s="13"/>
      <c r="J356" s="356"/>
      <c r="K356" s="13"/>
      <c r="L356" s="13"/>
      <c r="M356" s="356"/>
      <c r="N356" s="13"/>
      <c r="O356" s="13"/>
      <c r="P356" s="356"/>
      <c r="Q356" s="13"/>
      <c r="R356" s="13"/>
      <c r="S356" s="356"/>
      <c r="T356" s="13"/>
      <c r="U356" s="13"/>
      <c r="V356" s="356"/>
      <c r="W356" s="13"/>
      <c r="X356" s="13"/>
      <c r="Y356" s="356"/>
      <c r="Z356" s="13"/>
      <c r="AA356" s="13"/>
      <c r="AB356" s="356"/>
      <c r="AC356" s="13"/>
      <c r="AD356" s="13"/>
      <c r="AE356" s="356"/>
      <c r="AF356" s="13"/>
      <c r="AG356" s="13"/>
      <c r="AH356" s="356"/>
      <c r="AI356" s="13"/>
      <c r="AJ356" s="13"/>
      <c r="AK356" s="356"/>
      <c r="AL356" s="13"/>
      <c r="AM356" s="13"/>
      <c r="AN356" s="356"/>
      <c r="AO356" s="13"/>
      <c r="AP356" s="13"/>
      <c r="AQ356" s="356"/>
      <c r="AR356" s="13"/>
      <c r="AS356" s="13"/>
      <c r="AT356" s="356"/>
      <c r="AU356" s="13"/>
      <c r="AV356" s="13"/>
      <c r="AW356" s="356"/>
      <c r="AX356" s="13"/>
      <c r="AY356" s="13"/>
      <c r="AZ356" s="356"/>
      <c r="BA356" s="13"/>
      <c r="BB356" s="13"/>
      <c r="BC356" s="356"/>
      <c r="BD356" s="13"/>
      <c r="BE356" s="13"/>
      <c r="BF356" s="356"/>
      <c r="BG356" s="13"/>
      <c r="BH356" s="13"/>
      <c r="BI356" s="356"/>
      <c r="BJ356" s="13"/>
      <c r="BK356" s="13"/>
      <c r="BL356" s="356"/>
      <c r="BM356" s="13"/>
      <c r="BN356" s="13"/>
      <c r="BO356" s="356"/>
      <c r="BP356" s="13"/>
      <c r="BQ356" s="13"/>
      <c r="BR356" s="356"/>
      <c r="BS356" s="13"/>
      <c r="BT356" s="13"/>
      <c r="BU356" s="356"/>
      <c r="BV356" s="13"/>
      <c r="BW356" s="13"/>
      <c r="BX356" s="356"/>
      <c r="BY356" s="13"/>
      <c r="BZ356" s="13"/>
      <c r="CA356" s="356"/>
      <c r="CB356" s="13"/>
      <c r="CC356" s="13"/>
      <c r="CD356" s="356"/>
      <c r="CE356" s="13"/>
      <c r="CF356" s="13"/>
      <c r="CG356" s="356"/>
      <c r="CH356" s="13"/>
      <c r="CI356" s="13"/>
      <c r="CJ356" s="356"/>
      <c r="CK356" s="13"/>
      <c r="CL356" s="13"/>
      <c r="CM356" s="356"/>
      <c r="CN356" s="13"/>
      <c r="CO356" s="13"/>
      <c r="CP356" s="356"/>
      <c r="CQ356" s="13"/>
      <c r="CR356" s="13"/>
      <c r="CS356" s="356"/>
      <c r="CT356" s="13"/>
      <c r="CU356" s="13"/>
      <c r="CV356" s="356"/>
      <c r="CW356" s="13"/>
      <c r="CX356" s="13"/>
      <c r="CY356" s="356"/>
      <c r="CZ356" s="13"/>
      <c r="DA356" s="13"/>
      <c r="DB356" s="356"/>
      <c r="DC356" s="13"/>
      <c r="DD356" s="13"/>
      <c r="DE356" s="356"/>
      <c r="DF356" s="13"/>
      <c r="DG356" s="13"/>
      <c r="DH356" s="356"/>
      <c r="DI356" s="13"/>
      <c r="DJ356" s="13"/>
      <c r="DK356" s="1087"/>
      <c r="DL356" s="13"/>
      <c r="DM356" s="13"/>
      <c r="DN356" s="1087"/>
      <c r="DO356" s="13"/>
      <c r="DP356" s="13"/>
      <c r="DQ356" s="1087"/>
      <c r="DR356" s="13"/>
      <c r="DS356" s="13"/>
      <c r="DT356" s="1087"/>
      <c r="DU356" s="13"/>
      <c r="DV356" s="13"/>
      <c r="DW356" s="1087"/>
      <c r="DX356" s="13"/>
      <c r="DY356" s="13"/>
      <c r="DZ356" s="1087"/>
      <c r="EA356" s="13"/>
      <c r="EB356" s="13"/>
      <c r="EC356" s="1087"/>
      <c r="ED356" s="13"/>
      <c r="EE356" s="13"/>
      <c r="EF356" s="1087"/>
      <c r="EG356" s="13"/>
      <c r="EH356" s="13"/>
      <c r="EI356" s="1087"/>
      <c r="EJ356" s="13"/>
      <c r="EK356" s="13"/>
      <c r="EL356" s="1087"/>
      <c r="EM356" s="13"/>
      <c r="EN356" s="13"/>
      <c r="EO356" s="1087"/>
      <c r="EP356" s="13"/>
      <c r="EQ356" s="13"/>
      <c r="ER356" s="1087"/>
      <c r="ES356" s="13"/>
      <c r="ET356" s="13"/>
      <c r="EU356" s="1087"/>
      <c r="EV356" s="13"/>
      <c r="EW356" s="13"/>
      <c r="EX356" s="1087"/>
      <c r="EY356" s="13"/>
      <c r="EZ356" s="13"/>
      <c r="FA356" s="356"/>
    </row>
    <row r="357" spans="1:157">
      <c r="A357" s="186"/>
      <c r="B357" s="409" t="str">
        <f t="shared" si="608"/>
        <v xml:space="preserve">     Industry driver</v>
      </c>
      <c r="C357" s="186"/>
      <c r="D357" s="186"/>
      <c r="E357" s="4"/>
      <c r="F357" s="4"/>
      <c r="G357" s="10"/>
      <c r="H357" s="4"/>
      <c r="I357" s="4"/>
      <c r="J357" s="10"/>
      <c r="K357" s="4"/>
      <c r="L357" s="4"/>
      <c r="M357" s="10"/>
      <c r="N357" s="4"/>
      <c r="O357" s="4"/>
      <c r="P357" s="10"/>
      <c r="Q357" s="4"/>
      <c r="R357" s="4"/>
      <c r="S357" s="10"/>
      <c r="T357" s="4"/>
      <c r="U357" s="4"/>
      <c r="V357" s="10"/>
      <c r="W357" s="4"/>
      <c r="X357" s="4"/>
      <c r="Y357" s="10"/>
      <c r="Z357" s="4"/>
      <c r="AA357" s="4"/>
      <c r="AB357" s="10"/>
      <c r="AC357" s="4"/>
      <c r="AD357" s="4"/>
      <c r="AE357" s="10"/>
      <c r="AF357" s="4"/>
      <c r="AG357" s="4"/>
      <c r="AH357" s="10"/>
      <c r="AI357" s="4"/>
      <c r="AJ357" s="4"/>
      <c r="AK357" s="10"/>
      <c r="AL357" s="4"/>
      <c r="AM357" s="4"/>
      <c r="AN357" s="10"/>
      <c r="AO357" s="4"/>
      <c r="AP357" s="4"/>
      <c r="AQ357" s="10"/>
      <c r="AR357" s="4"/>
      <c r="AS357" s="4"/>
      <c r="AT357" s="10"/>
      <c r="AU357" s="4"/>
      <c r="AV357" s="4"/>
      <c r="AW357" s="10"/>
      <c r="AX357" s="4"/>
      <c r="AY357" s="4"/>
      <c r="AZ357" s="10"/>
      <c r="BA357" s="4"/>
      <c r="BB357" s="4"/>
      <c r="BC357" s="10"/>
      <c r="BD357" s="4"/>
      <c r="BE357" s="4"/>
      <c r="BF357" s="10"/>
      <c r="BG357" s="4"/>
      <c r="BH357" s="4"/>
      <c r="BI357" s="10"/>
      <c r="BJ357" s="4"/>
      <c r="BK357" s="4"/>
      <c r="BL357" s="10"/>
      <c r="BM357" s="4"/>
      <c r="BN357" s="4"/>
      <c r="BO357" s="10"/>
      <c r="BP357" s="4"/>
      <c r="BQ357" s="4"/>
      <c r="BR357" s="10"/>
      <c r="BS357" s="4"/>
      <c r="BT357" s="4"/>
      <c r="BU357" s="10"/>
      <c r="BV357" s="4"/>
      <c r="BW357" s="4"/>
      <c r="BX357" s="10"/>
      <c r="BY357" s="4"/>
      <c r="BZ357" s="4"/>
      <c r="CA357" s="10"/>
      <c r="CB357" s="4"/>
      <c r="CC357" s="4"/>
      <c r="CD357" s="10"/>
      <c r="CE357" s="4"/>
      <c r="CF357" s="4"/>
      <c r="CG357" s="10"/>
      <c r="CH357" s="4"/>
      <c r="CI357" s="4"/>
      <c r="CJ357" s="10"/>
      <c r="CK357" s="4"/>
      <c r="CL357" s="4"/>
      <c r="CM357" s="10"/>
      <c r="CN357" s="4"/>
      <c r="CO357" s="4"/>
      <c r="CP357" s="10"/>
      <c r="CQ357" s="4"/>
      <c r="CR357" s="4"/>
      <c r="CS357" s="10"/>
      <c r="CT357" s="4"/>
      <c r="CU357" s="4"/>
      <c r="CV357" s="10"/>
      <c r="CW357" s="4"/>
      <c r="CX357" s="4"/>
      <c r="CY357" s="10"/>
      <c r="CZ357" s="4"/>
      <c r="DA357" s="4"/>
      <c r="DB357" s="10"/>
      <c r="DC357" s="4"/>
      <c r="DD357" s="4"/>
      <c r="DE357" s="10"/>
      <c r="DF357" s="4"/>
      <c r="DG357" s="4"/>
      <c r="DH357" s="10"/>
      <c r="DI357" s="4"/>
      <c r="DJ357" s="4"/>
      <c r="DK357" s="1087"/>
      <c r="DL357" s="4"/>
      <c r="DM357" s="4"/>
      <c r="DN357" s="1087"/>
      <c r="DO357" s="4"/>
      <c r="DP357" s="4"/>
      <c r="DQ357" s="1087"/>
      <c r="DR357" s="4"/>
      <c r="DS357" s="4"/>
      <c r="DT357" s="1087"/>
      <c r="DU357" s="4"/>
      <c r="DV357" s="4"/>
      <c r="DW357" s="1087"/>
      <c r="DX357" s="4"/>
      <c r="DY357" s="4"/>
      <c r="DZ357" s="1087"/>
      <c r="EA357" s="4"/>
      <c r="EB357" s="4"/>
      <c r="EC357" s="1087"/>
      <c r="ED357" s="4"/>
      <c r="EE357" s="4"/>
      <c r="EF357" s="1087"/>
      <c r="EG357" s="4"/>
      <c r="EH357" s="4"/>
      <c r="EI357" s="1087"/>
      <c r="EJ357" s="4"/>
      <c r="EK357" s="4"/>
      <c r="EL357" s="1087"/>
      <c r="EM357" s="4"/>
      <c r="EN357" s="4"/>
      <c r="EO357" s="1087"/>
      <c r="EP357" s="4"/>
      <c r="EQ357" s="4"/>
      <c r="ER357" s="1087"/>
      <c r="ES357" s="4"/>
      <c r="ET357" s="4"/>
      <c r="EU357" s="1087"/>
      <c r="EV357" s="4"/>
      <c r="EW357" s="4"/>
      <c r="EX357" s="1087"/>
      <c r="EY357" s="4"/>
      <c r="EZ357" s="4"/>
      <c r="FA357" s="10"/>
    </row>
    <row r="358" spans="1:157">
      <c r="A358" s="186"/>
      <c r="B358" s="409" t="str">
        <f t="shared" si="608"/>
        <v xml:space="preserve">     Industry driver</v>
      </c>
      <c r="C358" s="186"/>
      <c r="D358" s="186"/>
      <c r="E358" s="4"/>
      <c r="F358" s="4"/>
      <c r="G358" s="10"/>
      <c r="H358" s="4"/>
      <c r="I358" s="4"/>
      <c r="J358" s="10"/>
      <c r="K358" s="4"/>
      <c r="L358" s="4"/>
      <c r="M358" s="10"/>
      <c r="N358" s="4"/>
      <c r="O358" s="4"/>
      <c r="P358" s="10"/>
      <c r="Q358" s="4"/>
      <c r="R358" s="4"/>
      <c r="S358" s="10"/>
      <c r="T358" s="4"/>
      <c r="U358" s="4"/>
      <c r="V358" s="10"/>
      <c r="W358" s="4"/>
      <c r="X358" s="4"/>
      <c r="Y358" s="10"/>
      <c r="Z358" s="4"/>
      <c r="AA358" s="4"/>
      <c r="AB358" s="10"/>
      <c r="AC358" s="4"/>
      <c r="AD358" s="4"/>
      <c r="AE358" s="10"/>
      <c r="AF358" s="4"/>
      <c r="AG358" s="4"/>
      <c r="AH358" s="10"/>
      <c r="AI358" s="4"/>
      <c r="AJ358" s="4"/>
      <c r="AK358" s="10"/>
      <c r="AL358" s="4"/>
      <c r="AM358" s="4"/>
      <c r="AN358" s="10"/>
      <c r="AO358" s="4"/>
      <c r="AP358" s="4"/>
      <c r="AQ358" s="10"/>
      <c r="AR358" s="4"/>
      <c r="AS358" s="4"/>
      <c r="AT358" s="10"/>
      <c r="AU358" s="4"/>
      <c r="AV358" s="4"/>
      <c r="AW358" s="10"/>
      <c r="AX358" s="4"/>
      <c r="AY358" s="4"/>
      <c r="AZ358" s="10"/>
      <c r="BA358" s="4"/>
      <c r="BB358" s="4"/>
      <c r="BC358" s="10"/>
      <c r="BD358" s="4"/>
      <c r="BE358" s="4"/>
      <c r="BF358" s="10"/>
      <c r="BG358" s="4"/>
      <c r="BH358" s="4"/>
      <c r="BI358" s="10"/>
      <c r="BJ358" s="4"/>
      <c r="BK358" s="4"/>
      <c r="BL358" s="10"/>
      <c r="BM358" s="4"/>
      <c r="BN358" s="4"/>
      <c r="BO358" s="10"/>
      <c r="BP358" s="4"/>
      <c r="BQ358" s="4"/>
      <c r="BR358" s="10"/>
      <c r="BS358" s="4"/>
      <c r="BT358" s="4"/>
      <c r="BU358" s="10"/>
      <c r="BV358" s="4"/>
      <c r="BW358" s="4"/>
      <c r="BX358" s="10"/>
      <c r="BY358" s="4"/>
      <c r="BZ358" s="4"/>
      <c r="CA358" s="10"/>
      <c r="CB358" s="4"/>
      <c r="CC358" s="4"/>
      <c r="CD358" s="10"/>
      <c r="CE358" s="4"/>
      <c r="CF358" s="4"/>
      <c r="CG358" s="10"/>
      <c r="CH358" s="4"/>
      <c r="CI358" s="4"/>
      <c r="CJ358" s="10"/>
      <c r="CK358" s="4"/>
      <c r="CL358" s="4"/>
      <c r="CM358" s="10"/>
      <c r="CN358" s="4"/>
      <c r="CO358" s="4"/>
      <c r="CP358" s="10"/>
      <c r="CQ358" s="4"/>
      <c r="CR358" s="4"/>
      <c r="CS358" s="10"/>
      <c r="CT358" s="4"/>
      <c r="CU358" s="4"/>
      <c r="CV358" s="10"/>
      <c r="CW358" s="4"/>
      <c r="CX358" s="4"/>
      <c r="CY358" s="10"/>
      <c r="CZ358" s="4"/>
      <c r="DA358" s="4"/>
      <c r="DB358" s="10"/>
      <c r="DC358" s="4"/>
      <c r="DD358" s="4"/>
      <c r="DE358" s="10"/>
      <c r="DF358" s="4"/>
      <c r="DG358" s="4"/>
      <c r="DH358" s="10"/>
      <c r="DI358" s="4"/>
      <c r="DJ358" s="4"/>
      <c r="DK358" s="1087"/>
      <c r="DL358" s="4"/>
      <c r="DM358" s="4"/>
      <c r="DN358" s="1087"/>
      <c r="DO358" s="4"/>
      <c r="DP358" s="4"/>
      <c r="DQ358" s="1087"/>
      <c r="DR358" s="4"/>
      <c r="DS358" s="4"/>
      <c r="DT358" s="1087"/>
      <c r="DU358" s="4"/>
      <c r="DV358" s="4"/>
      <c r="DW358" s="1087"/>
      <c r="DX358" s="4"/>
      <c r="DY358" s="4"/>
      <c r="DZ358" s="1087"/>
      <c r="EA358" s="4"/>
      <c r="EB358" s="4"/>
      <c r="EC358" s="1087"/>
      <c r="ED358" s="4"/>
      <c r="EE358" s="4"/>
      <c r="EF358" s="1087"/>
      <c r="EG358" s="4"/>
      <c r="EH358" s="4"/>
      <c r="EI358" s="1087"/>
      <c r="EJ358" s="4"/>
      <c r="EK358" s="4"/>
      <c r="EL358" s="1087"/>
      <c r="EM358" s="4"/>
      <c r="EN358" s="4"/>
      <c r="EO358" s="1087"/>
      <c r="EP358" s="4"/>
      <c r="EQ358" s="4"/>
      <c r="ER358" s="1087"/>
      <c r="ES358" s="4"/>
      <c r="ET358" s="4"/>
      <c r="EU358" s="1087"/>
      <c r="EV358" s="4"/>
      <c r="EW358" s="4"/>
      <c r="EX358" s="1087"/>
      <c r="EY358" s="4"/>
      <c r="EZ358" s="4"/>
      <c r="FA358" s="10"/>
    </row>
    <row r="359" spans="1:157">
      <c r="A359" s="186"/>
      <c r="B359" s="409" t="str">
        <f t="shared" si="608"/>
        <v xml:space="preserve">     Industry driver</v>
      </c>
      <c r="C359" s="186"/>
      <c r="D359" s="186"/>
      <c r="E359" s="4"/>
      <c r="F359" s="4"/>
      <c r="G359" s="10"/>
      <c r="H359" s="4"/>
      <c r="I359" s="4"/>
      <c r="J359" s="10"/>
      <c r="K359" s="4"/>
      <c r="L359" s="4"/>
      <c r="M359" s="10"/>
      <c r="N359" s="4"/>
      <c r="O359" s="4"/>
      <c r="P359" s="10"/>
      <c r="Q359" s="4"/>
      <c r="R359" s="4"/>
      <c r="S359" s="10"/>
      <c r="T359" s="4"/>
      <c r="U359" s="4"/>
      <c r="V359" s="10"/>
      <c r="W359" s="4"/>
      <c r="X359" s="4"/>
      <c r="Y359" s="10"/>
      <c r="Z359" s="4"/>
      <c r="AA359" s="4"/>
      <c r="AB359" s="10"/>
      <c r="AC359" s="4"/>
      <c r="AD359" s="4"/>
      <c r="AE359" s="10"/>
      <c r="AF359" s="4"/>
      <c r="AG359" s="4"/>
      <c r="AH359" s="10"/>
      <c r="AI359" s="4"/>
      <c r="AJ359" s="4"/>
      <c r="AK359" s="10"/>
      <c r="AL359" s="4"/>
      <c r="AM359" s="4"/>
      <c r="AN359" s="10"/>
      <c r="AO359" s="4"/>
      <c r="AP359" s="4"/>
      <c r="AQ359" s="10"/>
      <c r="AR359" s="4"/>
      <c r="AS359" s="4"/>
      <c r="AT359" s="10"/>
      <c r="AU359" s="4"/>
      <c r="AV359" s="4"/>
      <c r="AW359" s="10"/>
      <c r="AX359" s="4"/>
      <c r="AY359" s="4"/>
      <c r="AZ359" s="10"/>
      <c r="BA359" s="4"/>
      <c r="BB359" s="4"/>
      <c r="BC359" s="10"/>
      <c r="BD359" s="4"/>
      <c r="BE359" s="4"/>
      <c r="BF359" s="10"/>
      <c r="BG359" s="4"/>
      <c r="BH359" s="4"/>
      <c r="BI359" s="10"/>
      <c r="BJ359" s="4"/>
      <c r="BK359" s="4"/>
      <c r="BL359" s="10"/>
      <c r="BM359" s="4"/>
      <c r="BN359" s="4"/>
      <c r="BO359" s="10"/>
      <c r="BP359" s="4"/>
      <c r="BQ359" s="4"/>
      <c r="BR359" s="10"/>
      <c r="BS359" s="4"/>
      <c r="BT359" s="4"/>
      <c r="BU359" s="10"/>
      <c r="BV359" s="4"/>
      <c r="BW359" s="4"/>
      <c r="BX359" s="10"/>
      <c r="BY359" s="4"/>
      <c r="BZ359" s="4"/>
      <c r="CA359" s="10"/>
      <c r="CB359" s="4"/>
      <c r="CC359" s="4"/>
      <c r="CD359" s="10"/>
      <c r="CE359" s="4"/>
      <c r="CF359" s="4"/>
      <c r="CG359" s="10"/>
      <c r="CH359" s="4"/>
      <c r="CI359" s="4"/>
      <c r="CJ359" s="10"/>
      <c r="CK359" s="4"/>
      <c r="CL359" s="4"/>
      <c r="CM359" s="10"/>
      <c r="CN359" s="4"/>
      <c r="CO359" s="4"/>
      <c r="CP359" s="10"/>
      <c r="CQ359" s="4"/>
      <c r="CR359" s="4"/>
      <c r="CS359" s="10"/>
      <c r="CT359" s="4"/>
      <c r="CU359" s="4"/>
      <c r="CV359" s="10"/>
      <c r="CW359" s="4"/>
      <c r="CX359" s="4"/>
      <c r="CY359" s="10"/>
      <c r="CZ359" s="4"/>
      <c r="DA359" s="4"/>
      <c r="DB359" s="10"/>
      <c r="DC359" s="4"/>
      <c r="DD359" s="4"/>
      <c r="DE359" s="10"/>
      <c r="DF359" s="4"/>
      <c r="DG359" s="4"/>
      <c r="DH359" s="10"/>
      <c r="DI359" s="4"/>
      <c r="DJ359" s="4"/>
      <c r="DK359" s="1087"/>
      <c r="DL359" s="4"/>
      <c r="DM359" s="4"/>
      <c r="DN359" s="1087"/>
      <c r="DO359" s="4"/>
      <c r="DP359" s="4"/>
      <c r="DQ359" s="1087"/>
      <c r="DR359" s="4"/>
      <c r="DS359" s="4"/>
      <c r="DT359" s="1087"/>
      <c r="DU359" s="4"/>
      <c r="DV359" s="4"/>
      <c r="DW359" s="1087"/>
      <c r="DX359" s="4"/>
      <c r="DY359" s="4"/>
      <c r="DZ359" s="1087"/>
      <c r="EA359" s="4"/>
      <c r="EB359" s="4"/>
      <c r="EC359" s="1087"/>
      <c r="ED359" s="4"/>
      <c r="EE359" s="4"/>
      <c r="EF359" s="1087"/>
      <c r="EG359" s="4"/>
      <c r="EH359" s="4"/>
      <c r="EI359" s="1087"/>
      <c r="EJ359" s="4"/>
      <c r="EK359" s="4"/>
      <c r="EL359" s="1087"/>
      <c r="EM359" s="4"/>
      <c r="EN359" s="4"/>
      <c r="EO359" s="1087"/>
      <c r="EP359" s="4"/>
      <c r="EQ359" s="4"/>
      <c r="ER359" s="1087"/>
      <c r="ES359" s="4"/>
      <c r="ET359" s="4"/>
      <c r="EU359" s="1087"/>
      <c r="EV359" s="4"/>
      <c r="EW359" s="4"/>
      <c r="EX359" s="1087"/>
      <c r="EY359" s="4"/>
      <c r="EZ359" s="4"/>
      <c r="FA359" s="10"/>
    </row>
    <row r="360" spans="1:157">
      <c r="A360" s="186"/>
      <c r="B360" s="409" t="str">
        <f t="shared" si="608"/>
        <v xml:space="preserve">     Industry driver</v>
      </c>
      <c r="C360" s="186"/>
      <c r="D360" s="186"/>
      <c r="E360" s="4"/>
      <c r="F360" s="4"/>
      <c r="G360" s="10"/>
      <c r="H360" s="4"/>
      <c r="I360" s="4"/>
      <c r="J360" s="10"/>
      <c r="K360" s="4"/>
      <c r="L360" s="4"/>
      <c r="M360" s="10"/>
      <c r="N360" s="4"/>
      <c r="O360" s="4"/>
      <c r="P360" s="10"/>
      <c r="Q360" s="4"/>
      <c r="R360" s="4"/>
      <c r="S360" s="10"/>
      <c r="T360" s="4"/>
      <c r="U360" s="4"/>
      <c r="V360" s="10"/>
      <c r="W360" s="4"/>
      <c r="X360" s="4"/>
      <c r="Y360" s="10"/>
      <c r="Z360" s="4"/>
      <c r="AA360" s="4"/>
      <c r="AB360" s="10"/>
      <c r="AC360" s="4"/>
      <c r="AD360" s="4"/>
      <c r="AE360" s="10"/>
      <c r="AF360" s="4"/>
      <c r="AG360" s="4"/>
      <c r="AH360" s="10"/>
      <c r="AI360" s="4"/>
      <c r="AJ360" s="4"/>
      <c r="AK360" s="10"/>
      <c r="AL360" s="4"/>
      <c r="AM360" s="4"/>
      <c r="AN360" s="10"/>
      <c r="AO360" s="4"/>
      <c r="AP360" s="4"/>
      <c r="AQ360" s="10"/>
      <c r="AR360" s="4"/>
      <c r="AS360" s="4"/>
      <c r="AT360" s="10"/>
      <c r="AU360" s="4"/>
      <c r="AV360" s="4"/>
      <c r="AW360" s="10"/>
      <c r="AX360" s="4"/>
      <c r="AY360" s="4"/>
      <c r="AZ360" s="10"/>
      <c r="BA360" s="4"/>
      <c r="BB360" s="4"/>
      <c r="BC360" s="10"/>
      <c r="BD360" s="4"/>
      <c r="BE360" s="4"/>
      <c r="BF360" s="10"/>
      <c r="BG360" s="4"/>
      <c r="BH360" s="4"/>
      <c r="BI360" s="10"/>
      <c r="BJ360" s="4"/>
      <c r="BK360" s="4"/>
      <c r="BL360" s="10"/>
      <c r="BM360" s="4"/>
      <c r="BN360" s="4"/>
      <c r="BO360" s="10"/>
      <c r="BP360" s="4"/>
      <c r="BQ360" s="4"/>
      <c r="BR360" s="10"/>
      <c r="BS360" s="4"/>
      <c r="BT360" s="4"/>
      <c r="BU360" s="10"/>
      <c r="BV360" s="4"/>
      <c r="BW360" s="4"/>
      <c r="BX360" s="10"/>
      <c r="BY360" s="4"/>
      <c r="BZ360" s="4"/>
      <c r="CA360" s="10"/>
      <c r="CB360" s="4"/>
      <c r="CC360" s="4"/>
      <c r="CD360" s="10"/>
      <c r="CE360" s="4"/>
      <c r="CF360" s="4"/>
      <c r="CG360" s="10"/>
      <c r="CH360" s="4"/>
      <c r="CI360" s="4"/>
      <c r="CJ360" s="10"/>
      <c r="CK360" s="4"/>
      <c r="CL360" s="4"/>
      <c r="CM360" s="10"/>
      <c r="CN360" s="4"/>
      <c r="CO360" s="4"/>
      <c r="CP360" s="10"/>
      <c r="CQ360" s="4"/>
      <c r="CR360" s="4"/>
      <c r="CS360" s="10"/>
      <c r="CT360" s="4"/>
      <c r="CU360" s="4"/>
      <c r="CV360" s="10"/>
      <c r="CW360" s="4"/>
      <c r="CX360" s="4"/>
      <c r="CY360" s="10"/>
      <c r="CZ360" s="4"/>
      <c r="DA360" s="4"/>
      <c r="DB360" s="10"/>
      <c r="DC360" s="4"/>
      <c r="DD360" s="4"/>
      <c r="DE360" s="10"/>
      <c r="DF360" s="4"/>
      <c r="DG360" s="4"/>
      <c r="DH360" s="10"/>
      <c r="DI360" s="4"/>
      <c r="DJ360" s="4"/>
      <c r="DK360" s="1087"/>
      <c r="DL360" s="4"/>
      <c r="DM360" s="4"/>
      <c r="DN360" s="1087"/>
      <c r="DO360" s="4"/>
      <c r="DP360" s="4"/>
      <c r="DQ360" s="1087"/>
      <c r="DR360" s="4"/>
      <c r="DS360" s="4"/>
      <c r="DT360" s="1087"/>
      <c r="DU360" s="4"/>
      <c r="DV360" s="4"/>
      <c r="DW360" s="1087"/>
      <c r="DX360" s="4"/>
      <c r="DY360" s="4"/>
      <c r="DZ360" s="1087"/>
      <c r="EA360" s="4"/>
      <c r="EB360" s="4"/>
      <c r="EC360" s="1087"/>
      <c r="ED360" s="4"/>
      <c r="EE360" s="4"/>
      <c r="EF360" s="1087"/>
      <c r="EG360" s="4"/>
      <c r="EH360" s="4"/>
      <c r="EI360" s="1087"/>
      <c r="EJ360" s="4"/>
      <c r="EK360" s="4"/>
      <c r="EL360" s="1087"/>
      <c r="EM360" s="4"/>
      <c r="EN360" s="4"/>
      <c r="EO360" s="1087"/>
      <c r="EP360" s="4"/>
      <c r="EQ360" s="4"/>
      <c r="ER360" s="1087"/>
      <c r="ES360" s="4"/>
      <c r="ET360" s="4"/>
      <c r="EU360" s="1087"/>
      <c r="EV360" s="4"/>
      <c r="EW360" s="4"/>
      <c r="EX360" s="1087"/>
      <c r="EY360" s="4"/>
      <c r="EZ360" s="4"/>
      <c r="FA360" s="10"/>
    </row>
    <row r="361" spans="1:157">
      <c r="A361" s="186"/>
      <c r="B361" s="409" t="str">
        <f t="shared" si="608"/>
        <v xml:space="preserve">     Industry driver</v>
      </c>
      <c r="C361" s="186"/>
      <c r="D361" s="186"/>
      <c r="E361" s="4"/>
      <c r="F361" s="4"/>
      <c r="G361" s="10"/>
      <c r="H361" s="4"/>
      <c r="I361" s="4"/>
      <c r="J361" s="10"/>
      <c r="K361" s="4"/>
      <c r="L361" s="4"/>
      <c r="M361" s="10"/>
      <c r="N361" s="4"/>
      <c r="O361" s="4"/>
      <c r="P361" s="10"/>
      <c r="Q361" s="4"/>
      <c r="R361" s="4"/>
      <c r="S361" s="10"/>
      <c r="T361" s="4"/>
      <c r="U361" s="4"/>
      <c r="V361" s="10"/>
      <c r="W361" s="4"/>
      <c r="X361" s="4"/>
      <c r="Y361" s="10"/>
      <c r="Z361" s="4"/>
      <c r="AA361" s="4"/>
      <c r="AB361" s="10"/>
      <c r="AC361" s="4"/>
      <c r="AD361" s="4"/>
      <c r="AE361" s="10"/>
      <c r="AF361" s="4"/>
      <c r="AG361" s="4"/>
      <c r="AH361" s="10"/>
      <c r="AI361" s="4"/>
      <c r="AJ361" s="4"/>
      <c r="AK361" s="10"/>
      <c r="AL361" s="4"/>
      <c r="AM361" s="4"/>
      <c r="AN361" s="10"/>
      <c r="AO361" s="4"/>
      <c r="AP361" s="4"/>
      <c r="AQ361" s="10"/>
      <c r="AR361" s="4"/>
      <c r="AS361" s="4"/>
      <c r="AT361" s="10"/>
      <c r="AU361" s="4"/>
      <c r="AV361" s="4"/>
      <c r="AW361" s="10"/>
      <c r="AX361" s="4"/>
      <c r="AY361" s="4"/>
      <c r="AZ361" s="10"/>
      <c r="BA361" s="4"/>
      <c r="BB361" s="4"/>
      <c r="BC361" s="10"/>
      <c r="BD361" s="4"/>
      <c r="BE361" s="4"/>
      <c r="BF361" s="10"/>
      <c r="BG361" s="4"/>
      <c r="BH361" s="4"/>
      <c r="BI361" s="10"/>
      <c r="BJ361" s="4"/>
      <c r="BK361" s="4"/>
      <c r="BL361" s="10"/>
      <c r="BM361" s="4"/>
      <c r="BN361" s="4"/>
      <c r="BO361" s="10"/>
      <c r="BP361" s="4"/>
      <c r="BQ361" s="4"/>
      <c r="BR361" s="10"/>
      <c r="BS361" s="4"/>
      <c r="BT361" s="4"/>
      <c r="BU361" s="10"/>
      <c r="BV361" s="4"/>
      <c r="BW361" s="4"/>
      <c r="BX361" s="10"/>
      <c r="BY361" s="4"/>
      <c r="BZ361" s="4"/>
      <c r="CA361" s="10"/>
      <c r="CB361" s="4"/>
      <c r="CC361" s="4"/>
      <c r="CD361" s="10"/>
      <c r="CE361" s="4"/>
      <c r="CF361" s="4"/>
      <c r="CG361" s="10"/>
      <c r="CH361" s="4"/>
      <c r="CI361" s="4"/>
      <c r="CJ361" s="10"/>
      <c r="CK361" s="4"/>
      <c r="CL361" s="4"/>
      <c r="CM361" s="10"/>
      <c r="CN361" s="4"/>
      <c r="CO361" s="4"/>
      <c r="CP361" s="10"/>
      <c r="CQ361" s="4"/>
      <c r="CR361" s="4"/>
      <c r="CS361" s="10"/>
      <c r="CT361" s="4"/>
      <c r="CU361" s="4"/>
      <c r="CV361" s="10"/>
      <c r="CW361" s="4"/>
      <c r="CX361" s="4"/>
      <c r="CY361" s="10"/>
      <c r="CZ361" s="4"/>
      <c r="DA361" s="4"/>
      <c r="DB361" s="10"/>
      <c r="DC361" s="4"/>
      <c r="DD361" s="4"/>
      <c r="DE361" s="10"/>
      <c r="DF361" s="4"/>
      <c r="DG361" s="4"/>
      <c r="DH361" s="10"/>
      <c r="DI361" s="4"/>
      <c r="DJ361" s="4"/>
      <c r="DK361" s="1087"/>
      <c r="DL361" s="4"/>
      <c r="DM361" s="4"/>
      <c r="DN361" s="1087"/>
      <c r="DO361" s="4"/>
      <c r="DP361" s="4"/>
      <c r="DQ361" s="1087"/>
      <c r="DR361" s="4"/>
      <c r="DS361" s="4"/>
      <c r="DT361" s="1087"/>
      <c r="DU361" s="4"/>
      <c r="DV361" s="4"/>
      <c r="DW361" s="1087"/>
      <c r="DX361" s="4"/>
      <c r="DY361" s="4"/>
      <c r="DZ361" s="1087"/>
      <c r="EA361" s="4"/>
      <c r="EB361" s="4"/>
      <c r="EC361" s="1087"/>
      <c r="ED361" s="4"/>
      <c r="EE361" s="4"/>
      <c r="EF361" s="1087"/>
      <c r="EG361" s="4"/>
      <c r="EH361" s="4"/>
      <c r="EI361" s="1087"/>
      <c r="EJ361" s="4"/>
      <c r="EK361" s="4"/>
      <c r="EL361" s="1087"/>
      <c r="EM361" s="4"/>
      <c r="EN361" s="4"/>
      <c r="EO361" s="1087"/>
      <c r="EP361" s="4"/>
      <c r="EQ361" s="4"/>
      <c r="ER361" s="1087"/>
      <c r="ES361" s="4"/>
      <c r="ET361" s="4"/>
      <c r="EU361" s="1087"/>
      <c r="EV361" s="4"/>
      <c r="EW361" s="4"/>
      <c r="EX361" s="1087"/>
      <c r="EY361" s="4"/>
      <c r="EZ361" s="4"/>
      <c r="FA361" s="10"/>
    </row>
    <row r="362" spans="1:157">
      <c r="A362" s="186"/>
      <c r="B362" s="409" t="str">
        <f t="shared" si="608"/>
        <v xml:space="preserve">     Industry driver</v>
      </c>
      <c r="C362" s="186"/>
      <c r="D362" s="186"/>
      <c r="E362" s="4"/>
      <c r="F362" s="4"/>
      <c r="G362" s="10"/>
      <c r="H362" s="4"/>
      <c r="I362" s="4"/>
      <c r="J362" s="10"/>
      <c r="K362" s="4"/>
      <c r="L362" s="4"/>
      <c r="M362" s="10"/>
      <c r="N362" s="4"/>
      <c r="O362" s="4"/>
      <c r="P362" s="10"/>
      <c r="Q362" s="4"/>
      <c r="R362" s="4"/>
      <c r="S362" s="10"/>
      <c r="T362" s="4"/>
      <c r="U362" s="4"/>
      <c r="V362" s="10"/>
      <c r="W362" s="4"/>
      <c r="X362" s="4"/>
      <c r="Y362" s="10"/>
      <c r="Z362" s="4"/>
      <c r="AA362" s="4"/>
      <c r="AB362" s="10"/>
      <c r="AC362" s="4"/>
      <c r="AD362" s="4"/>
      <c r="AE362" s="10"/>
      <c r="AF362" s="4"/>
      <c r="AG362" s="4"/>
      <c r="AH362" s="10"/>
      <c r="AI362" s="4"/>
      <c r="AJ362" s="4"/>
      <c r="AK362" s="10"/>
      <c r="AL362" s="4"/>
      <c r="AM362" s="4"/>
      <c r="AN362" s="10"/>
      <c r="AO362" s="4"/>
      <c r="AP362" s="4"/>
      <c r="AQ362" s="10"/>
      <c r="AR362" s="4"/>
      <c r="AS362" s="4"/>
      <c r="AT362" s="10"/>
      <c r="AU362" s="4"/>
      <c r="AV362" s="4"/>
      <c r="AW362" s="10"/>
      <c r="AX362" s="4"/>
      <c r="AY362" s="4"/>
      <c r="AZ362" s="10"/>
      <c r="BA362" s="4"/>
      <c r="BB362" s="4"/>
      <c r="BC362" s="10"/>
      <c r="BD362" s="4"/>
      <c r="BE362" s="4"/>
      <c r="BF362" s="10"/>
      <c r="BG362" s="4"/>
      <c r="BH362" s="4"/>
      <c r="BI362" s="10"/>
      <c r="BJ362" s="4"/>
      <c r="BK362" s="4"/>
      <c r="BL362" s="10"/>
      <c r="BM362" s="4"/>
      <c r="BN362" s="4"/>
      <c r="BO362" s="10"/>
      <c r="BP362" s="4"/>
      <c r="BQ362" s="4"/>
      <c r="BR362" s="10"/>
      <c r="BS362" s="4"/>
      <c r="BT362" s="4"/>
      <c r="BU362" s="10"/>
      <c r="BV362" s="4"/>
      <c r="BW362" s="4"/>
      <c r="BX362" s="10"/>
      <c r="BY362" s="4"/>
      <c r="BZ362" s="4"/>
      <c r="CA362" s="10"/>
      <c r="CB362" s="4"/>
      <c r="CC362" s="4"/>
      <c r="CD362" s="10"/>
      <c r="CE362" s="4"/>
      <c r="CF362" s="4"/>
      <c r="CG362" s="10"/>
      <c r="CH362" s="4"/>
      <c r="CI362" s="4"/>
      <c r="CJ362" s="10"/>
      <c r="CK362" s="4"/>
      <c r="CL362" s="4"/>
      <c r="CM362" s="10"/>
      <c r="CN362" s="4"/>
      <c r="CO362" s="4"/>
      <c r="CP362" s="10"/>
      <c r="CQ362" s="4"/>
      <c r="CR362" s="4"/>
      <c r="CS362" s="10"/>
      <c r="CT362" s="4"/>
      <c r="CU362" s="4"/>
      <c r="CV362" s="10"/>
      <c r="CW362" s="4"/>
      <c r="CX362" s="4"/>
      <c r="CY362" s="10"/>
      <c r="CZ362" s="4"/>
      <c r="DA362" s="4"/>
      <c r="DB362" s="10"/>
      <c r="DC362" s="4"/>
      <c r="DD362" s="4"/>
      <c r="DE362" s="10"/>
      <c r="DF362" s="4"/>
      <c r="DG362" s="4"/>
      <c r="DH362" s="10"/>
      <c r="DI362" s="4"/>
      <c r="DJ362" s="4"/>
      <c r="DK362" s="1087"/>
      <c r="DL362" s="4"/>
      <c r="DM362" s="4"/>
      <c r="DN362" s="1087"/>
      <c r="DO362" s="4"/>
      <c r="DP362" s="4"/>
      <c r="DQ362" s="1087"/>
      <c r="DR362" s="4"/>
      <c r="DS362" s="4"/>
      <c r="DT362" s="1087"/>
      <c r="DU362" s="4"/>
      <c r="DV362" s="4"/>
      <c r="DW362" s="1087"/>
      <c r="DX362" s="4"/>
      <c r="DY362" s="4"/>
      <c r="DZ362" s="1087"/>
      <c r="EA362" s="4"/>
      <c r="EB362" s="4"/>
      <c r="EC362" s="1087"/>
      <c r="ED362" s="4"/>
      <c r="EE362" s="4"/>
      <c r="EF362" s="1087"/>
      <c r="EG362" s="4"/>
      <c r="EH362" s="4"/>
      <c r="EI362" s="1087"/>
      <c r="EJ362" s="4"/>
      <c r="EK362" s="4"/>
      <c r="EL362" s="1087"/>
      <c r="EM362" s="4"/>
      <c r="EN362" s="4"/>
      <c r="EO362" s="1087"/>
      <c r="EP362" s="4"/>
      <c r="EQ362" s="4"/>
      <c r="ER362" s="1087"/>
      <c r="ES362" s="4"/>
      <c r="ET362" s="4"/>
      <c r="EU362" s="1087"/>
      <c r="EV362" s="4"/>
      <c r="EW362" s="4"/>
      <c r="EX362" s="1087"/>
      <c r="EY362" s="4"/>
      <c r="EZ362" s="4"/>
      <c r="FA362" s="10"/>
    </row>
    <row r="363" spans="1:157">
      <c r="A363" s="186"/>
      <c r="B363" s="409" t="str">
        <f t="shared" si="608"/>
        <v xml:space="preserve">     Industry driver</v>
      </c>
      <c r="C363" s="186"/>
      <c r="D363" s="186"/>
      <c r="E363" s="4"/>
      <c r="F363" s="4"/>
      <c r="G363" s="10"/>
      <c r="H363" s="4"/>
      <c r="I363" s="4"/>
      <c r="J363" s="10"/>
      <c r="K363" s="4"/>
      <c r="L363" s="4"/>
      <c r="M363" s="10"/>
      <c r="N363" s="4"/>
      <c r="O363" s="4"/>
      <c r="P363" s="10"/>
      <c r="Q363" s="4"/>
      <c r="R363" s="4"/>
      <c r="S363" s="10"/>
      <c r="T363" s="4"/>
      <c r="U363" s="4"/>
      <c r="V363" s="10"/>
      <c r="W363" s="4"/>
      <c r="X363" s="4"/>
      <c r="Y363" s="10"/>
      <c r="Z363" s="4"/>
      <c r="AA363" s="4"/>
      <c r="AB363" s="10"/>
      <c r="AC363" s="4"/>
      <c r="AD363" s="4"/>
      <c r="AE363" s="10"/>
      <c r="AF363" s="4"/>
      <c r="AG363" s="4"/>
      <c r="AH363" s="10"/>
      <c r="AI363" s="4"/>
      <c r="AJ363" s="4"/>
      <c r="AK363" s="10"/>
      <c r="AL363" s="4"/>
      <c r="AM363" s="4"/>
      <c r="AN363" s="10"/>
      <c r="AO363" s="4"/>
      <c r="AP363" s="4"/>
      <c r="AQ363" s="10"/>
      <c r="AR363" s="4"/>
      <c r="AS363" s="4"/>
      <c r="AT363" s="10"/>
      <c r="AU363" s="4"/>
      <c r="AV363" s="4"/>
      <c r="AW363" s="10"/>
      <c r="AX363" s="4"/>
      <c r="AY363" s="4"/>
      <c r="AZ363" s="10"/>
      <c r="BA363" s="4"/>
      <c r="BB363" s="4"/>
      <c r="BC363" s="10"/>
      <c r="BD363" s="4"/>
      <c r="BE363" s="4"/>
      <c r="BF363" s="10"/>
      <c r="BG363" s="4"/>
      <c r="BH363" s="4"/>
      <c r="BI363" s="10"/>
      <c r="BJ363" s="4"/>
      <c r="BK363" s="4"/>
      <c r="BL363" s="10"/>
      <c r="BM363" s="4"/>
      <c r="BN363" s="4"/>
      <c r="BO363" s="10"/>
      <c r="BP363" s="4"/>
      <c r="BQ363" s="4"/>
      <c r="BR363" s="10"/>
      <c r="BS363" s="4"/>
      <c r="BT363" s="4"/>
      <c r="BU363" s="10"/>
      <c r="BV363" s="4"/>
      <c r="BW363" s="4"/>
      <c r="BX363" s="10"/>
      <c r="BY363" s="4"/>
      <c r="BZ363" s="4"/>
      <c r="CA363" s="10"/>
      <c r="CB363" s="4"/>
      <c r="CC363" s="4"/>
      <c r="CD363" s="10"/>
      <c r="CE363" s="4"/>
      <c r="CF363" s="4"/>
      <c r="CG363" s="10"/>
      <c r="CH363" s="4"/>
      <c r="CI363" s="4"/>
      <c r="CJ363" s="10"/>
      <c r="CK363" s="4"/>
      <c r="CL363" s="4"/>
      <c r="CM363" s="10"/>
      <c r="CN363" s="4"/>
      <c r="CO363" s="4"/>
      <c r="CP363" s="10"/>
      <c r="CQ363" s="4"/>
      <c r="CR363" s="4"/>
      <c r="CS363" s="10"/>
      <c r="CT363" s="4"/>
      <c r="CU363" s="4"/>
      <c r="CV363" s="10"/>
      <c r="CW363" s="4"/>
      <c r="CX363" s="4"/>
      <c r="CY363" s="10"/>
      <c r="CZ363" s="4"/>
      <c r="DA363" s="4"/>
      <c r="DB363" s="10"/>
      <c r="DC363" s="4"/>
      <c r="DD363" s="4"/>
      <c r="DE363" s="10"/>
      <c r="DF363" s="4"/>
      <c r="DG363" s="4"/>
      <c r="DH363" s="10"/>
      <c r="DI363" s="4"/>
      <c r="DJ363" s="4"/>
      <c r="DK363" s="1087"/>
      <c r="DL363" s="4"/>
      <c r="DM363" s="4"/>
      <c r="DN363" s="1087"/>
      <c r="DO363" s="4"/>
      <c r="DP363" s="4"/>
      <c r="DQ363" s="1087"/>
      <c r="DR363" s="4"/>
      <c r="DS363" s="4"/>
      <c r="DT363" s="1087"/>
      <c r="DU363" s="4"/>
      <c r="DV363" s="4"/>
      <c r="DW363" s="1087"/>
      <c r="DX363" s="4"/>
      <c r="DY363" s="4"/>
      <c r="DZ363" s="1087"/>
      <c r="EA363" s="4"/>
      <c r="EB363" s="4"/>
      <c r="EC363" s="1087"/>
      <c r="ED363" s="4"/>
      <c r="EE363" s="4"/>
      <c r="EF363" s="1087"/>
      <c r="EG363" s="4"/>
      <c r="EH363" s="4"/>
      <c r="EI363" s="1087"/>
      <c r="EJ363" s="4"/>
      <c r="EK363" s="4"/>
      <c r="EL363" s="1087"/>
      <c r="EM363" s="4"/>
      <c r="EN363" s="4"/>
      <c r="EO363" s="1087"/>
      <c r="EP363" s="4"/>
      <c r="EQ363" s="4"/>
      <c r="ER363" s="1087"/>
      <c r="ES363" s="4"/>
      <c r="ET363" s="4"/>
      <c r="EU363" s="1087"/>
      <c r="EV363" s="4"/>
      <c r="EW363" s="4"/>
      <c r="EX363" s="1087"/>
      <c r="EY363" s="4"/>
      <c r="EZ363" s="4"/>
      <c r="FA363" s="10"/>
    </row>
    <row r="364" spans="1:157">
      <c r="A364" s="186"/>
      <c r="B364" s="409" t="str">
        <f t="shared" si="608"/>
        <v xml:space="preserve">     Industry driver</v>
      </c>
      <c r="C364" s="186"/>
      <c r="D364" s="186"/>
      <c r="E364" s="4"/>
      <c r="F364" s="4"/>
      <c r="G364" s="10"/>
      <c r="H364" s="4"/>
      <c r="I364" s="4"/>
      <c r="J364" s="10"/>
      <c r="K364" s="4"/>
      <c r="L364" s="4"/>
      <c r="M364" s="10"/>
      <c r="N364" s="4"/>
      <c r="O364" s="4"/>
      <c r="P364" s="10"/>
      <c r="Q364" s="4"/>
      <c r="R364" s="4"/>
      <c r="S364" s="10"/>
      <c r="T364" s="4"/>
      <c r="U364" s="4"/>
      <c r="V364" s="10"/>
      <c r="W364" s="4"/>
      <c r="X364" s="4"/>
      <c r="Y364" s="10"/>
      <c r="Z364" s="4"/>
      <c r="AA364" s="4"/>
      <c r="AB364" s="10"/>
      <c r="AC364" s="4"/>
      <c r="AD364" s="4"/>
      <c r="AE364" s="10"/>
      <c r="AF364" s="4"/>
      <c r="AG364" s="4"/>
      <c r="AH364" s="10"/>
      <c r="AI364" s="4"/>
      <c r="AJ364" s="4"/>
      <c r="AK364" s="10"/>
      <c r="AL364" s="4"/>
      <c r="AM364" s="4"/>
      <c r="AN364" s="10"/>
      <c r="AO364" s="4"/>
      <c r="AP364" s="4"/>
      <c r="AQ364" s="10"/>
      <c r="AR364" s="4"/>
      <c r="AS364" s="4"/>
      <c r="AT364" s="10"/>
      <c r="AU364" s="4"/>
      <c r="AV364" s="4"/>
      <c r="AW364" s="10"/>
      <c r="AX364" s="4"/>
      <c r="AY364" s="4"/>
      <c r="AZ364" s="10"/>
      <c r="BA364" s="4"/>
      <c r="BB364" s="4"/>
      <c r="BC364" s="10"/>
      <c r="BD364" s="4"/>
      <c r="BE364" s="4"/>
      <c r="BF364" s="10"/>
      <c r="BG364" s="4"/>
      <c r="BH364" s="4"/>
      <c r="BI364" s="10"/>
      <c r="BJ364" s="4"/>
      <c r="BK364" s="4"/>
      <c r="BL364" s="10"/>
      <c r="BM364" s="4"/>
      <c r="BN364" s="4"/>
      <c r="BO364" s="10"/>
      <c r="BP364" s="4"/>
      <c r="BQ364" s="4"/>
      <c r="BR364" s="10"/>
      <c r="BS364" s="4"/>
      <c r="BT364" s="4"/>
      <c r="BU364" s="10"/>
      <c r="BV364" s="4"/>
      <c r="BW364" s="4"/>
      <c r="BX364" s="10"/>
      <c r="BY364" s="4"/>
      <c r="BZ364" s="4"/>
      <c r="CA364" s="10"/>
      <c r="CB364" s="4"/>
      <c r="CC364" s="4"/>
      <c r="CD364" s="10"/>
      <c r="CE364" s="4"/>
      <c r="CF364" s="4"/>
      <c r="CG364" s="10"/>
      <c r="CH364" s="4"/>
      <c r="CI364" s="4"/>
      <c r="CJ364" s="10"/>
      <c r="CK364" s="4"/>
      <c r="CL364" s="4"/>
      <c r="CM364" s="10"/>
      <c r="CN364" s="4"/>
      <c r="CO364" s="4"/>
      <c r="CP364" s="10"/>
      <c r="CQ364" s="4"/>
      <c r="CR364" s="4"/>
      <c r="CS364" s="10"/>
      <c r="CT364" s="4"/>
      <c r="CU364" s="4"/>
      <c r="CV364" s="10"/>
      <c r="CW364" s="4"/>
      <c r="CX364" s="4"/>
      <c r="CY364" s="10"/>
      <c r="CZ364" s="4"/>
      <c r="DA364" s="4"/>
      <c r="DB364" s="10"/>
      <c r="DC364" s="4"/>
      <c r="DD364" s="4"/>
      <c r="DE364" s="10"/>
      <c r="DF364" s="4"/>
      <c r="DG364" s="4"/>
      <c r="DH364" s="10"/>
      <c r="DI364" s="4"/>
      <c r="DJ364" s="4"/>
      <c r="DK364" s="1087"/>
      <c r="DL364" s="4"/>
      <c r="DM364" s="4"/>
      <c r="DN364" s="1087"/>
      <c r="DO364" s="4"/>
      <c r="DP364" s="4"/>
      <c r="DQ364" s="1087"/>
      <c r="DR364" s="4"/>
      <c r="DS364" s="4"/>
      <c r="DT364" s="1087"/>
      <c r="DU364" s="4"/>
      <c r="DV364" s="4"/>
      <c r="DW364" s="1087"/>
      <c r="DX364" s="4"/>
      <c r="DY364" s="4"/>
      <c r="DZ364" s="1087"/>
      <c r="EA364" s="4"/>
      <c r="EB364" s="4"/>
      <c r="EC364" s="1087"/>
      <c r="ED364" s="4"/>
      <c r="EE364" s="4"/>
      <c r="EF364" s="1087"/>
      <c r="EG364" s="4"/>
      <c r="EH364" s="4"/>
      <c r="EI364" s="1087"/>
      <c r="EJ364" s="4"/>
      <c r="EK364" s="4"/>
      <c r="EL364" s="1087"/>
      <c r="EM364" s="4"/>
      <c r="EN364" s="4"/>
      <c r="EO364" s="1087"/>
      <c r="EP364" s="4"/>
      <c r="EQ364" s="4"/>
      <c r="ER364" s="1087"/>
      <c r="ES364" s="4"/>
      <c r="ET364" s="4"/>
      <c r="EU364" s="1087"/>
      <c r="EV364" s="4"/>
      <c r="EW364" s="4"/>
      <c r="EX364" s="1087"/>
      <c r="EY364" s="4"/>
      <c r="EZ364" s="4"/>
      <c r="FA364" s="10"/>
    </row>
    <row r="365" spans="1:157">
      <c r="A365" s="186"/>
      <c r="B365" s="409" t="str">
        <f t="shared" si="608"/>
        <v xml:space="preserve">     Industry driver</v>
      </c>
      <c r="C365" s="186"/>
      <c r="D365" s="186"/>
      <c r="E365" s="4"/>
      <c r="F365" s="4"/>
      <c r="G365" s="10"/>
      <c r="H365" s="4"/>
      <c r="I365" s="4"/>
      <c r="J365" s="10"/>
      <c r="K365" s="4"/>
      <c r="L365" s="4"/>
      <c r="M365" s="10"/>
      <c r="N365" s="4"/>
      <c r="O365" s="4"/>
      <c r="P365" s="10"/>
      <c r="Q365" s="4"/>
      <c r="R365" s="4"/>
      <c r="S365" s="10"/>
      <c r="T365" s="4"/>
      <c r="U365" s="4"/>
      <c r="V365" s="10"/>
      <c r="W365" s="4"/>
      <c r="X365" s="4"/>
      <c r="Y365" s="10"/>
      <c r="Z365" s="4"/>
      <c r="AA365" s="4"/>
      <c r="AB365" s="10"/>
      <c r="AC365" s="4"/>
      <c r="AD365" s="4"/>
      <c r="AE365" s="10"/>
      <c r="AF365" s="4"/>
      <c r="AG365" s="4"/>
      <c r="AH365" s="10"/>
      <c r="AI365" s="4"/>
      <c r="AJ365" s="4"/>
      <c r="AK365" s="10"/>
      <c r="AL365" s="4"/>
      <c r="AM365" s="4"/>
      <c r="AN365" s="10"/>
      <c r="AO365" s="4"/>
      <c r="AP365" s="4"/>
      <c r="AQ365" s="10"/>
      <c r="AR365" s="4"/>
      <c r="AS365" s="4"/>
      <c r="AT365" s="10"/>
      <c r="AU365" s="4"/>
      <c r="AV365" s="4"/>
      <c r="AW365" s="10"/>
      <c r="AX365" s="4"/>
      <c r="AY365" s="4"/>
      <c r="AZ365" s="10"/>
      <c r="BA365" s="4"/>
      <c r="BB365" s="4"/>
      <c r="BC365" s="10"/>
      <c r="BD365" s="4"/>
      <c r="BE365" s="4"/>
      <c r="BF365" s="10"/>
      <c r="BG365" s="4"/>
      <c r="BH365" s="4"/>
      <c r="BI365" s="10"/>
      <c r="BJ365" s="4"/>
      <c r="BK365" s="4"/>
      <c r="BL365" s="10"/>
      <c r="BM365" s="4"/>
      <c r="BN365" s="4"/>
      <c r="BO365" s="10"/>
      <c r="BP365" s="4"/>
      <c r="BQ365" s="4"/>
      <c r="BR365" s="10"/>
      <c r="BS365" s="4"/>
      <c r="BT365" s="4"/>
      <c r="BU365" s="10"/>
      <c r="BV365" s="4"/>
      <c r="BW365" s="4"/>
      <c r="BX365" s="10"/>
      <c r="BY365" s="4"/>
      <c r="BZ365" s="4"/>
      <c r="CA365" s="10"/>
      <c r="CB365" s="4"/>
      <c r="CC365" s="4"/>
      <c r="CD365" s="10"/>
      <c r="CE365" s="4"/>
      <c r="CF365" s="4"/>
      <c r="CG365" s="10"/>
      <c r="CH365" s="4"/>
      <c r="CI365" s="4"/>
      <c r="CJ365" s="10"/>
      <c r="CK365" s="4"/>
      <c r="CL365" s="4"/>
      <c r="CM365" s="10"/>
      <c r="CN365" s="4"/>
      <c r="CO365" s="4"/>
      <c r="CP365" s="10"/>
      <c r="CQ365" s="4"/>
      <c r="CR365" s="4"/>
      <c r="CS365" s="10"/>
      <c r="CT365" s="4"/>
      <c r="CU365" s="4"/>
      <c r="CV365" s="10"/>
      <c r="CW365" s="4"/>
      <c r="CX365" s="4"/>
      <c r="CY365" s="10"/>
      <c r="CZ365" s="4"/>
      <c r="DA365" s="4"/>
      <c r="DB365" s="10"/>
      <c r="DC365" s="4"/>
      <c r="DD365" s="4"/>
      <c r="DE365" s="10"/>
      <c r="DF365" s="4"/>
      <c r="DG365" s="4"/>
      <c r="DH365" s="10"/>
      <c r="DI365" s="4"/>
      <c r="DJ365" s="4"/>
      <c r="DK365" s="1087"/>
      <c r="DL365" s="4"/>
      <c r="DM365" s="4"/>
      <c r="DN365" s="1087"/>
      <c r="DO365" s="4"/>
      <c r="DP365" s="4"/>
      <c r="DQ365" s="1087"/>
      <c r="DR365" s="4"/>
      <c r="DS365" s="4"/>
      <c r="DT365" s="1087"/>
      <c r="DU365" s="4"/>
      <c r="DV365" s="4"/>
      <c r="DW365" s="1087"/>
      <c r="DX365" s="4"/>
      <c r="DY365" s="4"/>
      <c r="DZ365" s="1087"/>
      <c r="EA365" s="4"/>
      <c r="EB365" s="4"/>
      <c r="EC365" s="1087"/>
      <c r="ED365" s="4"/>
      <c r="EE365" s="4"/>
      <c r="EF365" s="1087"/>
      <c r="EG365" s="4"/>
      <c r="EH365" s="4"/>
      <c r="EI365" s="1087"/>
      <c r="EJ365" s="4"/>
      <c r="EK365" s="4"/>
      <c r="EL365" s="1087"/>
      <c r="EM365" s="4"/>
      <c r="EN365" s="4"/>
      <c r="EO365" s="1087"/>
      <c r="EP365" s="4"/>
      <c r="EQ365" s="4"/>
      <c r="ER365" s="1087"/>
      <c r="ES365" s="4"/>
      <c r="ET365" s="4"/>
      <c r="EU365" s="1087"/>
      <c r="EV365" s="4"/>
      <c r="EW365" s="4"/>
      <c r="EX365" s="1087"/>
      <c r="EY365" s="4"/>
      <c r="EZ365" s="4"/>
      <c r="FA365" s="10"/>
    </row>
    <row r="366" spans="1:157">
      <c r="A366" s="186"/>
      <c r="B366" s="409" t="str">
        <f t="shared" si="608"/>
        <v xml:space="preserve">     Industry driver</v>
      </c>
      <c r="C366" s="186"/>
      <c r="D366" s="186"/>
      <c r="E366" s="4"/>
      <c r="F366" s="4"/>
      <c r="G366" s="10"/>
      <c r="H366" s="4"/>
      <c r="I366" s="4"/>
      <c r="J366" s="10"/>
      <c r="K366" s="4"/>
      <c r="L366" s="4"/>
      <c r="M366" s="10"/>
      <c r="N366" s="4"/>
      <c r="O366" s="4"/>
      <c r="P366" s="10"/>
      <c r="Q366" s="4"/>
      <c r="R366" s="4"/>
      <c r="S366" s="10"/>
      <c r="T366" s="4"/>
      <c r="U366" s="4"/>
      <c r="V366" s="10"/>
      <c r="W366" s="4"/>
      <c r="X366" s="4"/>
      <c r="Y366" s="10"/>
      <c r="Z366" s="4"/>
      <c r="AA366" s="4"/>
      <c r="AB366" s="10"/>
      <c r="AC366" s="4"/>
      <c r="AD366" s="4"/>
      <c r="AE366" s="10"/>
      <c r="AF366" s="4"/>
      <c r="AG366" s="4"/>
      <c r="AH366" s="10"/>
      <c r="AI366" s="4"/>
      <c r="AJ366" s="4"/>
      <c r="AK366" s="10"/>
      <c r="AL366" s="4"/>
      <c r="AM366" s="4"/>
      <c r="AN366" s="10"/>
      <c r="AO366" s="4"/>
      <c r="AP366" s="4"/>
      <c r="AQ366" s="10"/>
      <c r="AR366" s="4"/>
      <c r="AS366" s="4"/>
      <c r="AT366" s="10"/>
      <c r="AU366" s="4"/>
      <c r="AV366" s="4"/>
      <c r="AW366" s="10"/>
      <c r="AX366" s="4"/>
      <c r="AY366" s="4"/>
      <c r="AZ366" s="10"/>
      <c r="BA366" s="4"/>
      <c r="BB366" s="4"/>
      <c r="BC366" s="10"/>
      <c r="BD366" s="4"/>
      <c r="BE366" s="4"/>
      <c r="BF366" s="10"/>
      <c r="BG366" s="4"/>
      <c r="BH366" s="4"/>
      <c r="BI366" s="10"/>
      <c r="BJ366" s="4"/>
      <c r="BK366" s="4"/>
      <c r="BL366" s="10"/>
      <c r="BM366" s="4"/>
      <c r="BN366" s="4"/>
      <c r="BO366" s="10"/>
      <c r="BP366" s="4"/>
      <c r="BQ366" s="4"/>
      <c r="BR366" s="10"/>
      <c r="BS366" s="4"/>
      <c r="BT366" s="4"/>
      <c r="BU366" s="10"/>
      <c r="BV366" s="4"/>
      <c r="BW366" s="4"/>
      <c r="BX366" s="10"/>
      <c r="BY366" s="4"/>
      <c r="BZ366" s="4"/>
      <c r="CA366" s="10"/>
      <c r="CB366" s="4"/>
      <c r="CC366" s="4"/>
      <c r="CD366" s="10"/>
      <c r="CE366" s="4"/>
      <c r="CF366" s="4"/>
      <c r="CG366" s="10"/>
      <c r="CH366" s="4"/>
      <c r="CI366" s="4"/>
      <c r="CJ366" s="10"/>
      <c r="CK366" s="4"/>
      <c r="CL366" s="4"/>
      <c r="CM366" s="10"/>
      <c r="CN366" s="4"/>
      <c r="CO366" s="4"/>
      <c r="CP366" s="10"/>
      <c r="CQ366" s="4"/>
      <c r="CR366" s="4"/>
      <c r="CS366" s="10"/>
      <c r="CT366" s="4"/>
      <c r="CU366" s="4"/>
      <c r="CV366" s="10"/>
      <c r="CW366" s="4"/>
      <c r="CX366" s="4"/>
      <c r="CY366" s="10"/>
      <c r="CZ366" s="4"/>
      <c r="DA366" s="4"/>
      <c r="DB366" s="10"/>
      <c r="DC366" s="4"/>
      <c r="DD366" s="4"/>
      <c r="DE366" s="10"/>
      <c r="DF366" s="4"/>
      <c r="DG366" s="4"/>
      <c r="DH366" s="10"/>
      <c r="DI366" s="4"/>
      <c r="DJ366" s="4"/>
      <c r="DK366" s="1087"/>
      <c r="DL366" s="4"/>
      <c r="DM366" s="4"/>
      <c r="DN366" s="1087"/>
      <c r="DO366" s="4"/>
      <c r="DP366" s="4"/>
      <c r="DQ366" s="1087"/>
      <c r="DR366" s="4"/>
      <c r="DS366" s="4"/>
      <c r="DT366" s="1087"/>
      <c r="DU366" s="4"/>
      <c r="DV366" s="4"/>
      <c r="DW366" s="1087"/>
      <c r="DX366" s="4"/>
      <c r="DY366" s="4"/>
      <c r="DZ366" s="1087"/>
      <c r="EA366" s="4"/>
      <c r="EB366" s="4"/>
      <c r="EC366" s="1087"/>
      <c r="ED366" s="4"/>
      <c r="EE366" s="4"/>
      <c r="EF366" s="1087"/>
      <c r="EG366" s="4"/>
      <c r="EH366" s="4"/>
      <c r="EI366" s="1087"/>
      <c r="EJ366" s="4"/>
      <c r="EK366" s="4"/>
      <c r="EL366" s="1087"/>
      <c r="EM366" s="4"/>
      <c r="EN366" s="4"/>
      <c r="EO366" s="1087"/>
      <c r="EP366" s="4"/>
      <c r="EQ366" s="4"/>
      <c r="ER366" s="1087"/>
      <c r="ES366" s="4"/>
      <c r="ET366" s="4"/>
      <c r="EU366" s="1087"/>
      <c r="EV366" s="4"/>
      <c r="EW366" s="4"/>
      <c r="EX366" s="1087"/>
      <c r="EY366" s="4"/>
      <c r="EZ366" s="4"/>
      <c r="FA366" s="10"/>
    </row>
    <row r="367" spans="1:157">
      <c r="A367" s="186"/>
      <c r="B367" s="409" t="str">
        <f t="shared" si="608"/>
        <v xml:space="preserve">     Industry driver</v>
      </c>
      <c r="C367" s="186"/>
      <c r="D367" s="186"/>
      <c r="E367" s="4"/>
      <c r="F367" s="4"/>
      <c r="G367" s="10"/>
      <c r="H367" s="4"/>
      <c r="I367" s="4"/>
      <c r="J367" s="10"/>
      <c r="K367" s="4"/>
      <c r="L367" s="4"/>
      <c r="M367" s="10"/>
      <c r="N367" s="4"/>
      <c r="O367" s="4"/>
      <c r="P367" s="10"/>
      <c r="Q367" s="4"/>
      <c r="R367" s="4"/>
      <c r="S367" s="10"/>
      <c r="T367" s="4"/>
      <c r="U367" s="4"/>
      <c r="V367" s="10"/>
      <c r="W367" s="4"/>
      <c r="X367" s="4"/>
      <c r="Y367" s="10"/>
      <c r="Z367" s="4"/>
      <c r="AA367" s="4"/>
      <c r="AB367" s="10"/>
      <c r="AC367" s="4"/>
      <c r="AD367" s="4"/>
      <c r="AE367" s="10"/>
      <c r="AF367" s="4"/>
      <c r="AG367" s="4"/>
      <c r="AH367" s="10"/>
      <c r="AI367" s="4"/>
      <c r="AJ367" s="4"/>
      <c r="AK367" s="10"/>
      <c r="AL367" s="4"/>
      <c r="AM367" s="4"/>
      <c r="AN367" s="10"/>
      <c r="AO367" s="4"/>
      <c r="AP367" s="4"/>
      <c r="AQ367" s="10"/>
      <c r="AR367" s="4"/>
      <c r="AS367" s="4"/>
      <c r="AT367" s="10"/>
      <c r="AU367" s="4"/>
      <c r="AV367" s="4"/>
      <c r="AW367" s="10"/>
      <c r="AX367" s="4"/>
      <c r="AY367" s="4"/>
      <c r="AZ367" s="10"/>
      <c r="BA367" s="4"/>
      <c r="BB367" s="4"/>
      <c r="BC367" s="10"/>
      <c r="BD367" s="4"/>
      <c r="BE367" s="4"/>
      <c r="BF367" s="10"/>
      <c r="BG367" s="4"/>
      <c r="BH367" s="4"/>
      <c r="BI367" s="10"/>
      <c r="BJ367" s="4"/>
      <c r="BK367" s="4"/>
      <c r="BL367" s="10"/>
      <c r="BM367" s="4"/>
      <c r="BN367" s="4"/>
      <c r="BO367" s="10"/>
      <c r="BP367" s="4"/>
      <c r="BQ367" s="4"/>
      <c r="BR367" s="10"/>
      <c r="BS367" s="4"/>
      <c r="BT367" s="4"/>
      <c r="BU367" s="10"/>
      <c r="BV367" s="4"/>
      <c r="BW367" s="4"/>
      <c r="BX367" s="10"/>
      <c r="BY367" s="4"/>
      <c r="BZ367" s="4"/>
      <c r="CA367" s="10"/>
      <c r="CB367" s="4"/>
      <c r="CC367" s="4"/>
      <c r="CD367" s="10"/>
      <c r="CE367" s="4"/>
      <c r="CF367" s="4"/>
      <c r="CG367" s="10"/>
      <c r="CH367" s="4"/>
      <c r="CI367" s="4"/>
      <c r="CJ367" s="10"/>
      <c r="CK367" s="4"/>
      <c r="CL367" s="4"/>
      <c r="CM367" s="10"/>
      <c r="CN367" s="4"/>
      <c r="CO367" s="4"/>
      <c r="CP367" s="10"/>
      <c r="CQ367" s="4"/>
      <c r="CR367" s="4"/>
      <c r="CS367" s="10"/>
      <c r="CT367" s="4"/>
      <c r="CU367" s="4"/>
      <c r="CV367" s="10"/>
      <c r="CW367" s="4"/>
      <c r="CX367" s="4"/>
      <c r="CY367" s="10"/>
      <c r="CZ367" s="4"/>
      <c r="DA367" s="4"/>
      <c r="DB367" s="10"/>
      <c r="DC367" s="4"/>
      <c r="DD367" s="4"/>
      <c r="DE367" s="10"/>
      <c r="DF367" s="4"/>
      <c r="DG367" s="4"/>
      <c r="DH367" s="10"/>
      <c r="DI367" s="4"/>
      <c r="DJ367" s="4"/>
      <c r="DK367" s="1087"/>
      <c r="DL367" s="4"/>
      <c r="DM367" s="4"/>
      <c r="DN367" s="1087"/>
      <c r="DO367" s="4"/>
      <c r="DP367" s="4"/>
      <c r="DQ367" s="1087"/>
      <c r="DR367" s="4"/>
      <c r="DS367" s="4"/>
      <c r="DT367" s="1087"/>
      <c r="DU367" s="4"/>
      <c r="DV367" s="4"/>
      <c r="DW367" s="1087"/>
      <c r="DX367" s="4"/>
      <c r="DY367" s="4"/>
      <c r="DZ367" s="1087"/>
      <c r="EA367" s="4"/>
      <c r="EB367" s="4"/>
      <c r="EC367" s="1087"/>
      <c r="ED367" s="4"/>
      <c r="EE367" s="4"/>
      <c r="EF367" s="1087"/>
      <c r="EG367" s="4"/>
      <c r="EH367" s="4"/>
      <c r="EI367" s="1087"/>
      <c r="EJ367" s="4"/>
      <c r="EK367" s="4"/>
      <c r="EL367" s="1087"/>
      <c r="EM367" s="4"/>
      <c r="EN367" s="4"/>
      <c r="EO367" s="1087"/>
      <c r="EP367" s="4"/>
      <c r="EQ367" s="4"/>
      <c r="ER367" s="1087"/>
      <c r="ES367" s="4"/>
      <c r="ET367" s="4"/>
      <c r="EU367" s="1087"/>
      <c r="EV367" s="4"/>
      <c r="EW367" s="4"/>
      <c r="EX367" s="1087"/>
      <c r="EY367" s="4"/>
      <c r="EZ367" s="4"/>
      <c r="FA367" s="10"/>
    </row>
    <row r="368" spans="1:157">
      <c r="A368" s="186"/>
      <c r="B368" s="409" t="str">
        <f t="shared" si="608"/>
        <v xml:space="preserve">     Industry driver</v>
      </c>
      <c r="C368" s="186"/>
      <c r="D368" s="186"/>
      <c r="E368" s="4"/>
      <c r="F368" s="4"/>
      <c r="G368" s="10"/>
      <c r="H368" s="4"/>
      <c r="I368" s="4"/>
      <c r="J368" s="10"/>
      <c r="K368" s="4"/>
      <c r="L368" s="4"/>
      <c r="M368" s="10"/>
      <c r="N368" s="4"/>
      <c r="O368" s="4"/>
      <c r="P368" s="10"/>
      <c r="Q368" s="4"/>
      <c r="R368" s="4"/>
      <c r="S368" s="10"/>
      <c r="T368" s="4"/>
      <c r="U368" s="4"/>
      <c r="V368" s="10"/>
      <c r="W368" s="4"/>
      <c r="X368" s="4"/>
      <c r="Y368" s="10"/>
      <c r="Z368" s="4"/>
      <c r="AA368" s="4"/>
      <c r="AB368" s="10"/>
      <c r="AC368" s="4"/>
      <c r="AD368" s="4"/>
      <c r="AE368" s="10"/>
      <c r="AF368" s="4"/>
      <c r="AG368" s="4"/>
      <c r="AH368" s="10"/>
      <c r="AI368" s="4"/>
      <c r="AJ368" s="4"/>
      <c r="AK368" s="10"/>
      <c r="AL368" s="4"/>
      <c r="AM368" s="4"/>
      <c r="AN368" s="10"/>
      <c r="AO368" s="4"/>
      <c r="AP368" s="4"/>
      <c r="AQ368" s="10"/>
      <c r="AR368" s="4"/>
      <c r="AS368" s="4"/>
      <c r="AT368" s="10"/>
      <c r="AU368" s="4"/>
      <c r="AV368" s="4"/>
      <c r="AW368" s="10"/>
      <c r="AX368" s="4"/>
      <c r="AY368" s="4"/>
      <c r="AZ368" s="10"/>
      <c r="BA368" s="4"/>
      <c r="BB368" s="4"/>
      <c r="BC368" s="10"/>
      <c r="BD368" s="4"/>
      <c r="BE368" s="4"/>
      <c r="BF368" s="10"/>
      <c r="BG368" s="4"/>
      <c r="BH368" s="4"/>
      <c r="BI368" s="10"/>
      <c r="BJ368" s="4"/>
      <c r="BK368" s="4"/>
      <c r="BL368" s="10"/>
      <c r="BM368" s="4"/>
      <c r="BN368" s="4"/>
      <c r="BO368" s="10"/>
      <c r="BP368" s="4"/>
      <c r="BQ368" s="4"/>
      <c r="BR368" s="10"/>
      <c r="BS368" s="4"/>
      <c r="BT368" s="4"/>
      <c r="BU368" s="10"/>
      <c r="BV368" s="4"/>
      <c r="BW368" s="4"/>
      <c r="BX368" s="10"/>
      <c r="BY368" s="4"/>
      <c r="BZ368" s="4"/>
      <c r="CA368" s="10"/>
      <c r="CB368" s="4"/>
      <c r="CC368" s="4"/>
      <c r="CD368" s="10"/>
      <c r="CE368" s="4"/>
      <c r="CF368" s="4"/>
      <c r="CG368" s="10"/>
      <c r="CH368" s="4"/>
      <c r="CI368" s="4"/>
      <c r="CJ368" s="10"/>
      <c r="CK368" s="4"/>
      <c r="CL368" s="4"/>
      <c r="CM368" s="10"/>
      <c r="CN368" s="4"/>
      <c r="CO368" s="4"/>
      <c r="CP368" s="10"/>
      <c r="CQ368" s="4"/>
      <c r="CR368" s="4"/>
      <c r="CS368" s="10"/>
      <c r="CT368" s="4"/>
      <c r="CU368" s="4"/>
      <c r="CV368" s="10"/>
      <c r="CW368" s="4"/>
      <c r="CX368" s="4"/>
      <c r="CY368" s="10"/>
      <c r="CZ368" s="4"/>
      <c r="DA368" s="4"/>
      <c r="DB368" s="10"/>
      <c r="DC368" s="4"/>
      <c r="DD368" s="4"/>
      <c r="DE368" s="10"/>
      <c r="DF368" s="4"/>
      <c r="DG368" s="4"/>
      <c r="DH368" s="10"/>
      <c r="DI368" s="4"/>
      <c r="DJ368" s="4"/>
      <c r="DK368" s="1087"/>
      <c r="DL368" s="4"/>
      <c r="DM368" s="4"/>
      <c r="DN368" s="1087"/>
      <c r="DO368" s="4"/>
      <c r="DP368" s="4"/>
      <c r="DQ368" s="1087"/>
      <c r="DR368" s="4"/>
      <c r="DS368" s="4"/>
      <c r="DT368" s="1087"/>
      <c r="DU368" s="4"/>
      <c r="DV368" s="4"/>
      <c r="DW368" s="1087"/>
      <c r="DX368" s="4"/>
      <c r="DY368" s="4"/>
      <c r="DZ368" s="1087"/>
      <c r="EA368" s="4"/>
      <c r="EB368" s="4"/>
      <c r="EC368" s="1087"/>
      <c r="ED368" s="4"/>
      <c r="EE368" s="4"/>
      <c r="EF368" s="1087"/>
      <c r="EG368" s="4"/>
      <c r="EH368" s="4"/>
      <c r="EI368" s="1087"/>
      <c r="EJ368" s="4"/>
      <c r="EK368" s="4"/>
      <c r="EL368" s="1087"/>
      <c r="EM368" s="4"/>
      <c r="EN368" s="4"/>
      <c r="EO368" s="1087"/>
      <c r="EP368" s="4"/>
      <c r="EQ368" s="4"/>
      <c r="ER368" s="1087"/>
      <c r="ES368" s="4"/>
      <c r="ET368" s="4"/>
      <c r="EU368" s="1087"/>
      <c r="EV368" s="4"/>
      <c r="EW368" s="4"/>
      <c r="EX368" s="1087"/>
      <c r="EY368" s="4"/>
      <c r="EZ368" s="4"/>
      <c r="FA368" s="10"/>
    </row>
    <row r="369" spans="1:157">
      <c r="A369" s="186"/>
      <c r="B369" s="409" t="str">
        <f t="shared" si="608"/>
        <v xml:space="preserve">     Industry driver</v>
      </c>
      <c r="C369" s="186"/>
      <c r="D369" s="186"/>
      <c r="E369" s="4"/>
      <c r="F369" s="4"/>
      <c r="G369" s="10"/>
      <c r="H369" s="4"/>
      <c r="I369" s="4"/>
      <c r="J369" s="10"/>
      <c r="K369" s="4"/>
      <c r="L369" s="4"/>
      <c r="M369" s="10"/>
      <c r="N369" s="4"/>
      <c r="O369" s="4"/>
      <c r="P369" s="10"/>
      <c r="Q369" s="4"/>
      <c r="R369" s="4"/>
      <c r="S369" s="10"/>
      <c r="T369" s="4"/>
      <c r="U369" s="4"/>
      <c r="V369" s="10"/>
      <c r="W369" s="4"/>
      <c r="X369" s="4"/>
      <c r="Y369" s="10"/>
      <c r="Z369" s="4"/>
      <c r="AA369" s="4"/>
      <c r="AB369" s="10"/>
      <c r="AC369" s="4"/>
      <c r="AD369" s="4"/>
      <c r="AE369" s="10"/>
      <c r="AF369" s="4"/>
      <c r="AG369" s="4"/>
      <c r="AH369" s="10"/>
      <c r="AI369" s="4"/>
      <c r="AJ369" s="4"/>
      <c r="AK369" s="10"/>
      <c r="AL369" s="4"/>
      <c r="AM369" s="4"/>
      <c r="AN369" s="10"/>
      <c r="AO369" s="4"/>
      <c r="AP369" s="4"/>
      <c r="AQ369" s="10"/>
      <c r="AR369" s="4"/>
      <c r="AS369" s="4"/>
      <c r="AT369" s="10"/>
      <c r="AU369" s="4"/>
      <c r="AV369" s="4"/>
      <c r="AW369" s="10"/>
      <c r="AX369" s="4"/>
      <c r="AY369" s="4"/>
      <c r="AZ369" s="10"/>
      <c r="BA369" s="4"/>
      <c r="BB369" s="4"/>
      <c r="BC369" s="10"/>
      <c r="BD369" s="4"/>
      <c r="BE369" s="4"/>
      <c r="BF369" s="10"/>
      <c r="BG369" s="4"/>
      <c r="BH369" s="4"/>
      <c r="BI369" s="10"/>
      <c r="BJ369" s="4"/>
      <c r="BK369" s="4"/>
      <c r="BL369" s="10"/>
      <c r="BM369" s="4"/>
      <c r="BN369" s="4"/>
      <c r="BO369" s="10"/>
      <c r="BP369" s="4"/>
      <c r="BQ369" s="4"/>
      <c r="BR369" s="10"/>
      <c r="BS369" s="4"/>
      <c r="BT369" s="4"/>
      <c r="BU369" s="10"/>
      <c r="BV369" s="4"/>
      <c r="BW369" s="4"/>
      <c r="BX369" s="10"/>
      <c r="BY369" s="4"/>
      <c r="BZ369" s="4"/>
      <c r="CA369" s="10"/>
      <c r="CB369" s="4"/>
      <c r="CC369" s="4"/>
      <c r="CD369" s="10"/>
      <c r="CE369" s="4"/>
      <c r="CF369" s="4"/>
      <c r="CG369" s="10"/>
      <c r="CH369" s="4"/>
      <c r="CI369" s="4"/>
      <c r="CJ369" s="10"/>
      <c r="CK369" s="4"/>
      <c r="CL369" s="4"/>
      <c r="CM369" s="10"/>
      <c r="CN369" s="4"/>
      <c r="CO369" s="4"/>
      <c r="CP369" s="10"/>
      <c r="CQ369" s="4"/>
      <c r="CR369" s="4"/>
      <c r="CS369" s="10"/>
      <c r="CT369" s="4"/>
      <c r="CU369" s="4"/>
      <c r="CV369" s="10"/>
      <c r="CW369" s="4"/>
      <c r="CX369" s="4"/>
      <c r="CY369" s="10"/>
      <c r="CZ369" s="4"/>
      <c r="DA369" s="4"/>
      <c r="DB369" s="10"/>
      <c r="DC369" s="4"/>
      <c r="DD369" s="4"/>
      <c r="DE369" s="10"/>
      <c r="DF369" s="4"/>
      <c r="DG369" s="4"/>
      <c r="DH369" s="10"/>
      <c r="DI369" s="4"/>
      <c r="DJ369" s="4"/>
      <c r="DK369" s="1087"/>
      <c r="DL369" s="4"/>
      <c r="DM369" s="4"/>
      <c r="DN369" s="1087"/>
      <c r="DO369" s="4"/>
      <c r="DP369" s="4"/>
      <c r="DQ369" s="1087"/>
      <c r="DR369" s="4"/>
      <c r="DS369" s="4"/>
      <c r="DT369" s="1087"/>
      <c r="DU369" s="4"/>
      <c r="DV369" s="4"/>
      <c r="DW369" s="1087"/>
      <c r="DX369" s="4"/>
      <c r="DY369" s="4"/>
      <c r="DZ369" s="1087"/>
      <c r="EA369" s="4"/>
      <c r="EB369" s="4"/>
      <c r="EC369" s="1087"/>
      <c r="ED369" s="4"/>
      <c r="EE369" s="4"/>
      <c r="EF369" s="1087"/>
      <c r="EG369" s="4"/>
      <c r="EH369" s="4"/>
      <c r="EI369" s="1087"/>
      <c r="EJ369" s="4"/>
      <c r="EK369" s="4"/>
      <c r="EL369" s="1087"/>
      <c r="EM369" s="4"/>
      <c r="EN369" s="4"/>
      <c r="EO369" s="1087"/>
      <c r="EP369" s="4"/>
      <c r="EQ369" s="4"/>
      <c r="ER369" s="1087"/>
      <c r="ES369" s="4"/>
      <c r="ET369" s="4"/>
      <c r="EU369" s="1087"/>
      <c r="EV369" s="4"/>
      <c r="EW369" s="4"/>
      <c r="EX369" s="1087"/>
      <c r="EY369" s="4"/>
      <c r="EZ369" s="4"/>
      <c r="FA369" s="10"/>
    </row>
    <row r="370" spans="1:157">
      <c r="A370" s="186"/>
      <c r="B370" s="409" t="str">
        <f t="shared" si="608"/>
        <v xml:space="preserve">     Industry driver</v>
      </c>
      <c r="C370" s="186"/>
      <c r="D370" s="186"/>
      <c r="E370" s="4"/>
      <c r="F370" s="4"/>
      <c r="G370" s="10"/>
      <c r="H370" s="4"/>
      <c r="I370" s="4"/>
      <c r="J370" s="10"/>
      <c r="K370" s="4"/>
      <c r="L370" s="4"/>
      <c r="M370" s="10"/>
      <c r="N370" s="4"/>
      <c r="O370" s="4"/>
      <c r="P370" s="10"/>
      <c r="Q370" s="4"/>
      <c r="R370" s="4"/>
      <c r="S370" s="10"/>
      <c r="T370" s="4"/>
      <c r="U370" s="4"/>
      <c r="V370" s="10"/>
      <c r="W370" s="4"/>
      <c r="X370" s="4"/>
      <c r="Y370" s="10"/>
      <c r="Z370" s="4"/>
      <c r="AA370" s="4"/>
      <c r="AB370" s="10"/>
      <c r="AC370" s="4"/>
      <c r="AD370" s="4"/>
      <c r="AE370" s="10"/>
      <c r="AF370" s="4"/>
      <c r="AG370" s="4"/>
      <c r="AH370" s="10"/>
      <c r="AI370" s="4"/>
      <c r="AJ370" s="4"/>
      <c r="AK370" s="10"/>
      <c r="AL370" s="4"/>
      <c r="AM370" s="4"/>
      <c r="AN370" s="10"/>
      <c r="AO370" s="4"/>
      <c r="AP370" s="4"/>
      <c r="AQ370" s="10"/>
      <c r="AR370" s="4"/>
      <c r="AS370" s="4"/>
      <c r="AT370" s="10"/>
      <c r="AU370" s="4"/>
      <c r="AV370" s="4"/>
      <c r="AW370" s="10"/>
      <c r="AX370" s="4"/>
      <c r="AY370" s="4"/>
      <c r="AZ370" s="10"/>
      <c r="BA370" s="4"/>
      <c r="BB370" s="4"/>
      <c r="BC370" s="10"/>
      <c r="BD370" s="4"/>
      <c r="BE370" s="4"/>
      <c r="BF370" s="10"/>
      <c r="BG370" s="4"/>
      <c r="BH370" s="4"/>
      <c r="BI370" s="10"/>
      <c r="BJ370" s="4"/>
      <c r="BK370" s="4"/>
      <c r="BL370" s="10"/>
      <c r="BM370" s="4"/>
      <c r="BN370" s="4"/>
      <c r="BO370" s="10"/>
      <c r="BP370" s="4"/>
      <c r="BQ370" s="4"/>
      <c r="BR370" s="10"/>
      <c r="BS370" s="4"/>
      <c r="BT370" s="4"/>
      <c r="BU370" s="10"/>
      <c r="BV370" s="4"/>
      <c r="BW370" s="4"/>
      <c r="BX370" s="10"/>
      <c r="BY370" s="4"/>
      <c r="BZ370" s="4"/>
      <c r="CA370" s="10"/>
      <c r="CB370" s="4"/>
      <c r="CC370" s="4"/>
      <c r="CD370" s="10"/>
      <c r="CE370" s="4"/>
      <c r="CF370" s="4"/>
      <c r="CG370" s="10"/>
      <c r="CH370" s="4"/>
      <c r="CI370" s="4"/>
      <c r="CJ370" s="10"/>
      <c r="CK370" s="4"/>
      <c r="CL370" s="4"/>
      <c r="CM370" s="10"/>
      <c r="CN370" s="4"/>
      <c r="CO370" s="4"/>
      <c r="CP370" s="10"/>
      <c r="CQ370" s="4"/>
      <c r="CR370" s="4"/>
      <c r="CS370" s="10"/>
      <c r="CT370" s="4"/>
      <c r="CU370" s="4"/>
      <c r="CV370" s="10"/>
      <c r="CW370" s="4"/>
      <c r="CX370" s="4"/>
      <c r="CY370" s="10"/>
      <c r="CZ370" s="4"/>
      <c r="DA370" s="4"/>
      <c r="DB370" s="10"/>
      <c r="DC370" s="4"/>
      <c r="DD370" s="4"/>
      <c r="DE370" s="10"/>
      <c r="DF370" s="4"/>
      <c r="DG370" s="4"/>
      <c r="DH370" s="10"/>
      <c r="DI370" s="4"/>
      <c r="DJ370" s="4"/>
      <c r="DK370" s="1087"/>
      <c r="DL370" s="4"/>
      <c r="DM370" s="4"/>
      <c r="DN370" s="1087"/>
      <c r="DO370" s="4"/>
      <c r="DP370" s="4"/>
      <c r="DQ370" s="1087"/>
      <c r="DR370" s="4"/>
      <c r="DS370" s="4"/>
      <c r="DT370" s="1087"/>
      <c r="DU370" s="4"/>
      <c r="DV370" s="4"/>
      <c r="DW370" s="1087"/>
      <c r="DX370" s="4"/>
      <c r="DY370" s="4"/>
      <c r="DZ370" s="1087"/>
      <c r="EA370" s="4"/>
      <c r="EB370" s="4"/>
      <c r="EC370" s="1087"/>
      <c r="ED370" s="4"/>
      <c r="EE370" s="4"/>
      <c r="EF370" s="1087"/>
      <c r="EG370" s="4"/>
      <c r="EH370" s="4"/>
      <c r="EI370" s="1087"/>
      <c r="EJ370" s="4"/>
      <c r="EK370" s="4"/>
      <c r="EL370" s="1087"/>
      <c r="EM370" s="4"/>
      <c r="EN370" s="4"/>
      <c r="EO370" s="1087"/>
      <c r="EP370" s="4"/>
      <c r="EQ370" s="4"/>
      <c r="ER370" s="1087"/>
      <c r="ES370" s="4"/>
      <c r="ET370" s="4"/>
      <c r="EU370" s="1087"/>
      <c r="EV370" s="4"/>
      <c r="EW370" s="4"/>
      <c r="EX370" s="1087"/>
      <c r="EY370" s="4"/>
      <c r="EZ370" s="4"/>
      <c r="FA370" s="10"/>
    </row>
    <row r="371" spans="1:157">
      <c r="A371" s="186"/>
      <c r="B371" s="409" t="str">
        <f t="shared" si="608"/>
        <v xml:space="preserve">     Industry driver</v>
      </c>
      <c r="C371" s="186"/>
      <c r="D371" s="186"/>
      <c r="E371" s="4"/>
      <c r="F371" s="4"/>
      <c r="G371" s="10"/>
      <c r="H371" s="4"/>
      <c r="I371" s="4"/>
      <c r="J371" s="10"/>
      <c r="K371" s="4"/>
      <c r="L371" s="4"/>
      <c r="M371" s="10"/>
      <c r="N371" s="4"/>
      <c r="O371" s="4"/>
      <c r="P371" s="10"/>
      <c r="Q371" s="4"/>
      <c r="R371" s="4"/>
      <c r="S371" s="10"/>
      <c r="T371" s="4"/>
      <c r="U371" s="4"/>
      <c r="V371" s="10"/>
      <c r="W371" s="4"/>
      <c r="X371" s="4"/>
      <c r="Y371" s="10"/>
      <c r="Z371" s="4"/>
      <c r="AA371" s="4"/>
      <c r="AB371" s="10"/>
      <c r="AC371" s="4"/>
      <c r="AD371" s="4"/>
      <c r="AE371" s="10"/>
      <c r="AF371" s="4"/>
      <c r="AG371" s="4"/>
      <c r="AH371" s="10"/>
      <c r="AI371" s="4"/>
      <c r="AJ371" s="4"/>
      <c r="AK371" s="10"/>
      <c r="AL371" s="4"/>
      <c r="AM371" s="4"/>
      <c r="AN371" s="10"/>
      <c r="AO371" s="4"/>
      <c r="AP371" s="4"/>
      <c r="AQ371" s="10"/>
      <c r="AR371" s="4"/>
      <c r="AS371" s="4"/>
      <c r="AT371" s="10"/>
      <c r="AU371" s="4"/>
      <c r="AV371" s="4"/>
      <c r="AW371" s="10"/>
      <c r="AX371" s="4"/>
      <c r="AY371" s="4"/>
      <c r="AZ371" s="10"/>
      <c r="BA371" s="4"/>
      <c r="BB371" s="4"/>
      <c r="BC371" s="10"/>
      <c r="BD371" s="4"/>
      <c r="BE371" s="4"/>
      <c r="BF371" s="10"/>
      <c r="BG371" s="4"/>
      <c r="BH371" s="4"/>
      <c r="BI371" s="10"/>
      <c r="BJ371" s="4"/>
      <c r="BK371" s="4"/>
      <c r="BL371" s="10"/>
      <c r="BM371" s="4"/>
      <c r="BN371" s="4"/>
      <c r="BO371" s="10"/>
      <c r="BP371" s="4"/>
      <c r="BQ371" s="4"/>
      <c r="BR371" s="10"/>
      <c r="BS371" s="4"/>
      <c r="BT371" s="4"/>
      <c r="BU371" s="10"/>
      <c r="BV371" s="4"/>
      <c r="BW371" s="4"/>
      <c r="BX371" s="10"/>
      <c r="BY371" s="4"/>
      <c r="BZ371" s="4"/>
      <c r="CA371" s="10"/>
      <c r="CB371" s="4"/>
      <c r="CC371" s="4"/>
      <c r="CD371" s="10"/>
      <c r="CE371" s="4"/>
      <c r="CF371" s="4"/>
      <c r="CG371" s="10"/>
      <c r="CH371" s="4"/>
      <c r="CI371" s="4"/>
      <c r="CJ371" s="10"/>
      <c r="CK371" s="4"/>
      <c r="CL371" s="4"/>
      <c r="CM371" s="10"/>
      <c r="CN371" s="4"/>
      <c r="CO371" s="4"/>
      <c r="CP371" s="10"/>
      <c r="CQ371" s="4"/>
      <c r="CR371" s="4"/>
      <c r="CS371" s="10"/>
      <c r="CT371" s="4"/>
      <c r="CU371" s="4"/>
      <c r="CV371" s="10"/>
      <c r="CW371" s="4"/>
      <c r="CX371" s="4"/>
      <c r="CY371" s="10"/>
      <c r="CZ371" s="4"/>
      <c r="DA371" s="4"/>
      <c r="DB371" s="10"/>
      <c r="DC371" s="4"/>
      <c r="DD371" s="4"/>
      <c r="DE371" s="10"/>
      <c r="DF371" s="4"/>
      <c r="DG371" s="4"/>
      <c r="DH371" s="10"/>
      <c r="DI371" s="4"/>
      <c r="DJ371" s="4"/>
      <c r="DK371" s="1087"/>
      <c r="DL371" s="4"/>
      <c r="DM371" s="4"/>
      <c r="DN371" s="1087"/>
      <c r="DO371" s="4"/>
      <c r="DP371" s="4"/>
      <c r="DQ371" s="1087"/>
      <c r="DR371" s="4"/>
      <c r="DS371" s="4"/>
      <c r="DT371" s="1087"/>
      <c r="DU371" s="4"/>
      <c r="DV371" s="4"/>
      <c r="DW371" s="1087"/>
      <c r="DX371" s="4"/>
      <c r="DY371" s="4"/>
      <c r="DZ371" s="1087"/>
      <c r="EA371" s="4"/>
      <c r="EB371" s="4"/>
      <c r="EC371" s="1087"/>
      <c r="ED371" s="4"/>
      <c r="EE371" s="4"/>
      <c r="EF371" s="1087"/>
      <c r="EG371" s="4"/>
      <c r="EH371" s="4"/>
      <c r="EI371" s="1087"/>
      <c r="EJ371" s="4"/>
      <c r="EK371" s="4"/>
      <c r="EL371" s="1087"/>
      <c r="EM371" s="4"/>
      <c r="EN371" s="4"/>
      <c r="EO371" s="1087"/>
      <c r="EP371" s="4"/>
      <c r="EQ371" s="4"/>
      <c r="ER371" s="1087"/>
      <c r="ES371" s="4"/>
      <c r="ET371" s="4"/>
      <c r="EU371" s="1087"/>
      <c r="EV371" s="4"/>
      <c r="EW371" s="4"/>
      <c r="EX371" s="1087"/>
      <c r="EY371" s="4"/>
      <c r="EZ371" s="4"/>
      <c r="FA371" s="10"/>
    </row>
    <row r="372" spans="1:157">
      <c r="A372" s="186"/>
      <c r="B372" s="409" t="str">
        <f t="shared" si="608"/>
        <v xml:space="preserve">     Industry driver</v>
      </c>
      <c r="C372" s="186"/>
      <c r="D372" s="186"/>
      <c r="E372" s="4"/>
      <c r="F372" s="4"/>
      <c r="G372" s="10"/>
      <c r="H372" s="4"/>
      <c r="I372" s="4"/>
      <c r="J372" s="10"/>
      <c r="K372" s="4"/>
      <c r="L372" s="4"/>
      <c r="M372" s="10"/>
      <c r="N372" s="4"/>
      <c r="O372" s="4"/>
      <c r="P372" s="10"/>
      <c r="Q372" s="4"/>
      <c r="R372" s="4"/>
      <c r="S372" s="10"/>
      <c r="T372" s="4"/>
      <c r="U372" s="4"/>
      <c r="V372" s="10"/>
      <c r="W372" s="4"/>
      <c r="X372" s="4"/>
      <c r="Y372" s="10"/>
      <c r="Z372" s="4"/>
      <c r="AA372" s="4"/>
      <c r="AB372" s="10"/>
      <c r="AC372" s="4"/>
      <c r="AD372" s="4"/>
      <c r="AE372" s="10"/>
      <c r="AF372" s="4"/>
      <c r="AG372" s="4"/>
      <c r="AH372" s="10"/>
      <c r="AI372" s="4"/>
      <c r="AJ372" s="4"/>
      <c r="AK372" s="10"/>
      <c r="AL372" s="4"/>
      <c r="AM372" s="4"/>
      <c r="AN372" s="10"/>
      <c r="AO372" s="4"/>
      <c r="AP372" s="4"/>
      <c r="AQ372" s="10"/>
      <c r="AR372" s="4"/>
      <c r="AS372" s="4"/>
      <c r="AT372" s="10"/>
      <c r="AU372" s="4"/>
      <c r="AV372" s="4"/>
      <c r="AW372" s="10"/>
      <c r="AX372" s="4"/>
      <c r="AY372" s="4"/>
      <c r="AZ372" s="10"/>
      <c r="BA372" s="4"/>
      <c r="BB372" s="4"/>
      <c r="BC372" s="10"/>
      <c r="BD372" s="4"/>
      <c r="BE372" s="4"/>
      <c r="BF372" s="10"/>
      <c r="BG372" s="4"/>
      <c r="BH372" s="4"/>
      <c r="BI372" s="10"/>
      <c r="BJ372" s="4"/>
      <c r="BK372" s="4"/>
      <c r="BL372" s="10"/>
      <c r="BM372" s="4"/>
      <c r="BN372" s="4"/>
      <c r="BO372" s="10"/>
      <c r="BP372" s="4"/>
      <c r="BQ372" s="4"/>
      <c r="BR372" s="10"/>
      <c r="BS372" s="4"/>
      <c r="BT372" s="4"/>
      <c r="BU372" s="10"/>
      <c r="BV372" s="4"/>
      <c r="BW372" s="4"/>
      <c r="BX372" s="10"/>
      <c r="BY372" s="4"/>
      <c r="BZ372" s="4"/>
      <c r="CA372" s="10"/>
      <c r="CB372" s="4"/>
      <c r="CC372" s="4"/>
      <c r="CD372" s="10"/>
      <c r="CE372" s="4"/>
      <c r="CF372" s="4"/>
      <c r="CG372" s="10"/>
      <c r="CH372" s="4"/>
      <c r="CI372" s="4"/>
      <c r="CJ372" s="10"/>
      <c r="CK372" s="4"/>
      <c r="CL372" s="4"/>
      <c r="CM372" s="10"/>
      <c r="CN372" s="4"/>
      <c r="CO372" s="4"/>
      <c r="CP372" s="10"/>
      <c r="CQ372" s="4"/>
      <c r="CR372" s="4"/>
      <c r="CS372" s="10"/>
      <c r="CT372" s="4"/>
      <c r="CU372" s="4"/>
      <c r="CV372" s="10"/>
      <c r="CW372" s="4"/>
      <c r="CX372" s="4"/>
      <c r="CY372" s="10"/>
      <c r="CZ372" s="4"/>
      <c r="DA372" s="4"/>
      <c r="DB372" s="10"/>
      <c r="DC372" s="4"/>
      <c r="DD372" s="4"/>
      <c r="DE372" s="10"/>
      <c r="DF372" s="4"/>
      <c r="DG372" s="4"/>
      <c r="DH372" s="10"/>
      <c r="DI372" s="4"/>
      <c r="DJ372" s="4"/>
      <c r="DK372" s="1087"/>
      <c r="DL372" s="4"/>
      <c r="DM372" s="4"/>
      <c r="DN372" s="1087"/>
      <c r="DO372" s="4"/>
      <c r="DP372" s="4"/>
      <c r="DQ372" s="1087"/>
      <c r="DR372" s="4"/>
      <c r="DS372" s="4"/>
      <c r="DT372" s="1087"/>
      <c r="DU372" s="4"/>
      <c r="DV372" s="4"/>
      <c r="DW372" s="1087"/>
      <c r="DX372" s="4"/>
      <c r="DY372" s="4"/>
      <c r="DZ372" s="1087"/>
      <c r="EA372" s="4"/>
      <c r="EB372" s="4"/>
      <c r="EC372" s="1087"/>
      <c r="ED372" s="4"/>
      <c r="EE372" s="4"/>
      <c r="EF372" s="1087"/>
      <c r="EG372" s="4"/>
      <c r="EH372" s="4"/>
      <c r="EI372" s="1087"/>
      <c r="EJ372" s="4"/>
      <c r="EK372" s="4"/>
      <c r="EL372" s="1087"/>
      <c r="EM372" s="4"/>
      <c r="EN372" s="4"/>
      <c r="EO372" s="1087"/>
      <c r="EP372" s="4"/>
      <c r="EQ372" s="4"/>
      <c r="ER372" s="1087"/>
      <c r="ES372" s="4"/>
      <c r="ET372" s="4"/>
      <c r="EU372" s="1087"/>
      <c r="EV372" s="4"/>
      <c r="EW372" s="4"/>
      <c r="EX372" s="1087"/>
      <c r="EY372" s="4"/>
      <c r="EZ372" s="4"/>
      <c r="FA372" s="10"/>
    </row>
  </sheetData>
  <phoneticPr fontId="8" type="noConversion"/>
  <printOptions gridLinesSet="0"/>
  <pageMargins left="0.74803149606299213" right="0.74803149606299213" top="0.39370078740157483" bottom="0.39370078740157483" header="0.51181102362204722" footer="0.51181102362204722"/>
  <pageSetup paperSize="9" orientation="landscape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3FA88-EF3A-4207-9016-CF101F7C13A1}">
  <sheetPr codeName="Sheet2"/>
  <dimension ref="A1:B44"/>
  <sheetViews>
    <sheetView workbookViewId="0"/>
  </sheetViews>
  <sheetFormatPr defaultRowHeight="12.75"/>
  <cols>
    <col min="1" max="1" width="29" customWidth="1"/>
  </cols>
  <sheetData>
    <row r="1" spans="1:2">
      <c r="A1" s="1653" t="s">
        <v>1446</v>
      </c>
      <c r="B1" s="1661" t="s">
        <v>1447</v>
      </c>
    </row>
    <row r="2" spans="1:2">
      <c r="A2" s="1653" t="s">
        <v>1448</v>
      </c>
      <c r="B2" s="1653" t="s">
        <v>1449</v>
      </c>
    </row>
    <row r="3" spans="1:2">
      <c r="A3" s="1653" t="s">
        <v>1450</v>
      </c>
      <c r="B3" s="1653" t="s">
        <v>1451</v>
      </c>
    </row>
    <row r="4" spans="1:2">
      <c r="A4" s="1653" t="s">
        <v>1452</v>
      </c>
      <c r="B4" s="1653" t="s">
        <v>1054</v>
      </c>
    </row>
    <row r="5" spans="1:2">
      <c r="A5" s="1653" t="s">
        <v>1453</v>
      </c>
      <c r="B5" s="1653" t="s">
        <v>1454</v>
      </c>
    </row>
    <row r="6" spans="1:2">
      <c r="A6" s="1653" t="s">
        <v>1455</v>
      </c>
      <c r="B6" s="1653"/>
    </row>
    <row r="7" spans="1:2">
      <c r="A7" s="1653" t="s">
        <v>1456</v>
      </c>
      <c r="B7" s="1653" t="s">
        <v>1457</v>
      </c>
    </row>
    <row r="8" spans="1:2">
      <c r="A8" s="1653" t="s">
        <v>1458</v>
      </c>
      <c r="B8" s="1653" t="s">
        <v>1459</v>
      </c>
    </row>
    <row r="9" spans="1:2">
      <c r="A9" s="1653" t="s">
        <v>1053</v>
      </c>
      <c r="B9" s="1653" t="s">
        <v>1460</v>
      </c>
    </row>
    <row r="10" spans="1:2">
      <c r="A10" s="1653" t="s">
        <v>1461</v>
      </c>
      <c r="B10" s="1653"/>
    </row>
    <row r="11" spans="1:2">
      <c r="A11" s="1653" t="s">
        <v>1462</v>
      </c>
      <c r="B11" s="1653"/>
    </row>
    <row r="12" spans="1:2">
      <c r="A12" s="1653" t="s">
        <v>1463</v>
      </c>
      <c r="B12" s="1653"/>
    </row>
    <row r="13" spans="1:2">
      <c r="A13" s="1653" t="s">
        <v>1464</v>
      </c>
      <c r="B13" s="1653"/>
    </row>
    <row r="14" spans="1:2">
      <c r="A14" s="1653" t="s">
        <v>1465</v>
      </c>
      <c r="B14" s="1653"/>
    </row>
    <row r="15" spans="1:2">
      <c r="A15" s="1653" t="s">
        <v>1466</v>
      </c>
      <c r="B15" s="1653"/>
    </row>
    <row r="16" spans="1:2">
      <c r="A16" s="1653" t="s">
        <v>1467</v>
      </c>
      <c r="B16" s="1653"/>
    </row>
    <row r="17" spans="1:2">
      <c r="A17" s="1653" t="s">
        <v>1468</v>
      </c>
      <c r="B17" s="1653" t="s">
        <v>1469</v>
      </c>
    </row>
    <row r="18" spans="1:2">
      <c r="A18" s="1653" t="s">
        <v>1470</v>
      </c>
      <c r="B18" s="1653" t="s">
        <v>1471</v>
      </c>
    </row>
    <row r="19" spans="1:2">
      <c r="A19" s="1653" t="s">
        <v>1472</v>
      </c>
      <c r="B19" s="1653" t="s">
        <v>391</v>
      </c>
    </row>
    <row r="20" spans="1:2">
      <c r="A20" s="1653" t="s">
        <v>1473</v>
      </c>
      <c r="B20" s="1653"/>
    </row>
    <row r="21" spans="1:2">
      <c r="A21" s="1653" t="s">
        <v>1474</v>
      </c>
      <c r="B21" s="1653" t="s">
        <v>391</v>
      </c>
    </row>
    <row r="22" spans="1:2">
      <c r="A22" s="1653" t="s">
        <v>1475</v>
      </c>
      <c r="B22" s="1653" t="s">
        <v>1476</v>
      </c>
    </row>
    <row r="23" spans="1:2">
      <c r="A23" s="1653" t="s">
        <v>1477</v>
      </c>
      <c r="B23" s="1661" t="s">
        <v>1478</v>
      </c>
    </row>
    <row r="24" spans="1:2">
      <c r="A24" s="1653" t="s">
        <v>1068</v>
      </c>
      <c r="B24" s="1653" t="s">
        <v>490</v>
      </c>
    </row>
    <row r="25" spans="1:2">
      <c r="A25" s="1653" t="s">
        <v>1479</v>
      </c>
      <c r="B25" s="1653" t="s">
        <v>1480</v>
      </c>
    </row>
    <row r="26" spans="1:2">
      <c r="A26" s="1653" t="s">
        <v>1481</v>
      </c>
      <c r="B26" s="1653" t="s">
        <v>1482</v>
      </c>
    </row>
    <row r="27" spans="1:2">
      <c r="A27" s="1653" t="s">
        <v>1483</v>
      </c>
      <c r="B27" s="1653" t="s">
        <v>1484</v>
      </c>
    </row>
    <row r="28" spans="1:2">
      <c r="A28" s="1653" t="s">
        <v>1485</v>
      </c>
      <c r="B28" s="1653" t="s">
        <v>1486</v>
      </c>
    </row>
    <row r="29" spans="1:2">
      <c r="A29" s="1653" t="s">
        <v>1487</v>
      </c>
      <c r="B29" s="1653"/>
    </row>
    <row r="30" spans="1:2">
      <c r="A30" s="1653" t="s">
        <v>1488</v>
      </c>
      <c r="B30" s="1653"/>
    </row>
    <row r="31" spans="1:2">
      <c r="A31" s="1653" t="s">
        <v>1489</v>
      </c>
      <c r="B31" s="1653"/>
    </row>
    <row r="32" spans="1:2">
      <c r="A32" s="1653" t="s">
        <v>1490</v>
      </c>
      <c r="B32" s="1653"/>
    </row>
    <row r="33" spans="1:2">
      <c r="A33" s="1653" t="s">
        <v>1491</v>
      </c>
      <c r="B33" s="1653"/>
    </row>
    <row r="34" spans="1:2">
      <c r="A34" s="1653" t="s">
        <v>1492</v>
      </c>
      <c r="B34" s="1653"/>
    </row>
    <row r="35" spans="1:2">
      <c r="A35" s="1653" t="s">
        <v>1493</v>
      </c>
      <c r="B35" s="1653" t="s">
        <v>1494</v>
      </c>
    </row>
    <row r="36" spans="1:2">
      <c r="A36" s="1653" t="s">
        <v>1495</v>
      </c>
      <c r="B36" s="1653" t="s">
        <v>1496</v>
      </c>
    </row>
    <row r="37" spans="1:2">
      <c r="A37" s="1653" t="s">
        <v>1497</v>
      </c>
      <c r="B37" s="1653" t="s">
        <v>1498</v>
      </c>
    </row>
    <row r="38" spans="1:2">
      <c r="A38" s="1653" t="s">
        <v>1499</v>
      </c>
      <c r="B38" s="1653" t="s">
        <v>1500</v>
      </c>
    </row>
    <row r="39" spans="1:2">
      <c r="A39" s="1653" t="s">
        <v>1501</v>
      </c>
      <c r="B39" s="1653" t="s">
        <v>1502</v>
      </c>
    </row>
    <row r="40" spans="1:2">
      <c r="A40" s="1653" t="s">
        <v>1503</v>
      </c>
      <c r="B40" s="1653" t="s">
        <v>1504</v>
      </c>
    </row>
    <row r="41" spans="1:2">
      <c r="A41" s="1653" t="s">
        <v>1505</v>
      </c>
      <c r="B41" s="1653" t="s">
        <v>1506</v>
      </c>
    </row>
    <row r="42" spans="1:2">
      <c r="A42" s="1653" t="s">
        <v>1507</v>
      </c>
      <c r="B42" s="1653"/>
    </row>
    <row r="43" spans="1:2">
      <c r="A43" s="1653" t="s">
        <v>1508</v>
      </c>
      <c r="B43" s="1653"/>
    </row>
    <row r="44" spans="1:2">
      <c r="A44" s="1653" t="s">
        <v>1509</v>
      </c>
      <c r="B44" s="1653" t="s">
        <v>1510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84906-338A-4120-9990-833F4F66DCAD}">
  <sheetPr codeName="Sheet5"/>
  <dimension ref="A1:A13"/>
  <sheetViews>
    <sheetView workbookViewId="0">
      <selection activeCell="Z1" sqref="Z1"/>
    </sheetView>
  </sheetViews>
  <sheetFormatPr defaultRowHeight="12.75"/>
  <cols>
    <col min="1" max="1" width="29.140625" bestFit="1" customWidth="1"/>
  </cols>
  <sheetData>
    <row r="1" spans="1:1">
      <c r="A1" s="1653" t="s">
        <v>1511</v>
      </c>
    </row>
    <row r="2" spans="1:1">
      <c r="A2" s="1653" t="s">
        <v>1512</v>
      </c>
    </row>
    <row r="3" spans="1:1">
      <c r="A3" s="1653" t="s">
        <v>1513</v>
      </c>
    </row>
    <row r="4" spans="1:1">
      <c r="A4" s="1653" t="s">
        <v>1514</v>
      </c>
    </row>
    <row r="5" spans="1:1">
      <c r="A5" s="1653" t="s">
        <v>1515</v>
      </c>
    </row>
    <row r="6" spans="1:1">
      <c r="A6" s="1653" t="s">
        <v>1516</v>
      </c>
    </row>
    <row r="7" spans="1:1">
      <c r="A7" s="1653" t="s">
        <v>1517</v>
      </c>
    </row>
    <row r="8" spans="1:1">
      <c r="A8" s="1653" t="s">
        <v>1518</v>
      </c>
    </row>
    <row r="9" spans="1:1">
      <c r="A9" s="1653" t="s">
        <v>1519</v>
      </c>
    </row>
    <row r="10" spans="1:1">
      <c r="A10" s="1653" t="s">
        <v>1520</v>
      </c>
    </row>
    <row r="11" spans="1:1">
      <c r="A11" s="1653" t="s">
        <v>1521</v>
      </c>
    </row>
    <row r="12" spans="1:1">
      <c r="A12" s="1653" t="s">
        <v>1522</v>
      </c>
    </row>
    <row r="13" spans="1:1">
      <c r="A13" s="1653" t="s">
        <v>1523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FdsFormulaCache xmlns="urn:fdsformulacache" version="2" timestamp="1770972711"><![CDATA[{"COH-AU^FG_PRICE(0)":268.51}]]></FdsFormulaCache>
</file>

<file path=customXml/item2.xml><?xml version="1.0" encoding="utf-8"?>
<lk:Links xmlns:lk="thomsonreuters.linking.metadata"/>
</file>

<file path=customXml/item3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4A92FB7A-829D-4306-98D2-653E7084D437}">
  <ds:schemaRefs>
    <ds:schemaRef ds:uri="urn:fdsformulacache"/>
  </ds:schemaRefs>
</ds:datastoreItem>
</file>

<file path=customXml/itemProps2.xml><?xml version="1.0" encoding="utf-8"?>
<ds:datastoreItem xmlns:ds="http://schemas.openxmlformats.org/officeDocument/2006/customXml" ds:itemID="{09E9E02A-C2FC-44F3-A3C1-EB7A61690C72}">
  <ds:schemaRefs>
    <ds:schemaRef ds:uri="thomsonreuters.linking.metadata"/>
  </ds:schemaRefs>
</ds:datastoreItem>
</file>

<file path=customXml/itemProps3.xml><?xml version="1.0" encoding="utf-8"?>
<ds:datastoreItem xmlns:ds="http://schemas.openxmlformats.org/officeDocument/2006/customXml" ds:itemID="{4CDC770D-0575-400A-8F9B-75248BDF0F08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12453</vt:i4>
      </vt:variant>
    </vt:vector>
  </HeadingPairs>
  <TitlesOfParts>
    <vt:vector size="12461" baseType="lpstr">
      <vt:lpstr>ImportantDisclosures</vt:lpstr>
      <vt:lpstr>Fin Sum</vt:lpstr>
      <vt:lpstr>DCF tables</vt:lpstr>
      <vt:lpstr>Model</vt:lpstr>
      <vt:lpstr>Segment</vt:lpstr>
      <vt:lpstr>Assumptions</vt:lpstr>
      <vt:lpstr>IndexInformation</vt:lpstr>
      <vt:lpstr>ModPubIndex</vt:lpstr>
      <vt:lpstr>B_CA_PPE_H1_00</vt:lpstr>
      <vt:lpstr>B_CA_PPE_H1_01</vt:lpstr>
      <vt:lpstr>B_CA_PPE_H1_02</vt:lpstr>
      <vt:lpstr>B_CA_PPE_H1_03</vt:lpstr>
      <vt:lpstr>B_CA_PPE_H1_04</vt:lpstr>
      <vt:lpstr>B_CA_PPE_H1_05</vt:lpstr>
      <vt:lpstr>B_CA_PPE_H1_06</vt:lpstr>
      <vt:lpstr>B_CA_PPE_H1_07</vt:lpstr>
      <vt:lpstr>B_CA_PPE_H1_08</vt:lpstr>
      <vt:lpstr>B_CA_PPE_H1_09</vt:lpstr>
      <vt:lpstr>B_CA_PPE_H1_10</vt:lpstr>
      <vt:lpstr>B_CA_PPE_H1_11</vt:lpstr>
      <vt:lpstr>B_CA_PPE_H1_12</vt:lpstr>
      <vt:lpstr>B_CA_PPE_H1_13</vt:lpstr>
      <vt:lpstr>B_CA_PPE_H1_14</vt:lpstr>
      <vt:lpstr>B_CA_PPE_H1_15</vt:lpstr>
      <vt:lpstr>B_CA_PPE_H1_16</vt:lpstr>
      <vt:lpstr>B_CA_PPE_H1_17</vt:lpstr>
      <vt:lpstr>B_CA_PPE_H1_18</vt:lpstr>
      <vt:lpstr>B_CA_PPE_H1_19</vt:lpstr>
      <vt:lpstr>B_CA_PPE_H1_20</vt:lpstr>
      <vt:lpstr>B_CA_PPE_H2_00</vt:lpstr>
      <vt:lpstr>B_CA_PPE_H2_01</vt:lpstr>
      <vt:lpstr>B_CA_PPE_H2_02</vt:lpstr>
      <vt:lpstr>B_CA_PPE_H2_03</vt:lpstr>
      <vt:lpstr>B_CA_PPE_H2_04</vt:lpstr>
      <vt:lpstr>B_CA_PPE_H2_05</vt:lpstr>
      <vt:lpstr>B_CA_PPE_H2_06</vt:lpstr>
      <vt:lpstr>B_CA_PPE_H2_07</vt:lpstr>
      <vt:lpstr>B_CA_PPE_H2_08</vt:lpstr>
      <vt:lpstr>B_CA_PPE_H2_09</vt:lpstr>
      <vt:lpstr>B_CA_PPE_H2_10</vt:lpstr>
      <vt:lpstr>B_CA_PPE_H2_11</vt:lpstr>
      <vt:lpstr>B_CA_PPE_H2_12</vt:lpstr>
      <vt:lpstr>B_CA_PPE_H2_13</vt:lpstr>
      <vt:lpstr>B_CA_PPE_H2_14</vt:lpstr>
      <vt:lpstr>B_CA_PPE_H2_15</vt:lpstr>
      <vt:lpstr>B_CA_PPE_H2_16</vt:lpstr>
      <vt:lpstr>B_CA_PPE_H2_17</vt:lpstr>
      <vt:lpstr>B_CA_PPE_H2_18</vt:lpstr>
      <vt:lpstr>B_CA_PPE_H2_19</vt:lpstr>
      <vt:lpstr>B_CA_PPE_H2_20</vt:lpstr>
      <vt:lpstr>B_CB_00</vt:lpstr>
      <vt:lpstr>B_CB_01</vt:lpstr>
      <vt:lpstr>B_CB_02</vt:lpstr>
      <vt:lpstr>B_CB_03</vt:lpstr>
      <vt:lpstr>B_CB_04</vt:lpstr>
      <vt:lpstr>B_CB_05</vt:lpstr>
      <vt:lpstr>B_CB_06</vt:lpstr>
      <vt:lpstr>B_CB_07</vt:lpstr>
      <vt:lpstr>B_CB_08</vt:lpstr>
      <vt:lpstr>B_CB_09</vt:lpstr>
      <vt:lpstr>B_CB_10</vt:lpstr>
      <vt:lpstr>B_CB_11</vt:lpstr>
      <vt:lpstr>B_CB_12</vt:lpstr>
      <vt:lpstr>B_CB_13</vt:lpstr>
      <vt:lpstr>B_CB_14</vt:lpstr>
      <vt:lpstr>B_CB_15</vt:lpstr>
      <vt:lpstr>B_CB_16</vt:lpstr>
      <vt:lpstr>B_CB_17</vt:lpstr>
      <vt:lpstr>B_CB_18</vt:lpstr>
      <vt:lpstr>B_CB_19</vt:lpstr>
      <vt:lpstr>B_CB_20</vt:lpstr>
      <vt:lpstr>B_CB_95</vt:lpstr>
      <vt:lpstr>B_CB_96</vt:lpstr>
      <vt:lpstr>B_CB_97</vt:lpstr>
      <vt:lpstr>B_CB_98</vt:lpstr>
      <vt:lpstr>B_CB_99</vt:lpstr>
      <vt:lpstr>B_CL_AP_00</vt:lpstr>
      <vt:lpstr>B_CL_AP_01</vt:lpstr>
      <vt:lpstr>B_CL_AP_02</vt:lpstr>
      <vt:lpstr>B_CL_AP_03</vt:lpstr>
      <vt:lpstr>B_CL_AP_04</vt:lpstr>
      <vt:lpstr>B_CL_AP_05</vt:lpstr>
      <vt:lpstr>B_CL_AP_06</vt:lpstr>
      <vt:lpstr>B_CL_AP_07</vt:lpstr>
      <vt:lpstr>B_CL_AP_08</vt:lpstr>
      <vt:lpstr>B_CL_AP_09</vt:lpstr>
      <vt:lpstr>B_CL_AP_10</vt:lpstr>
      <vt:lpstr>B_CL_AP_11</vt:lpstr>
      <vt:lpstr>B_CL_AP_12</vt:lpstr>
      <vt:lpstr>B_CL_AP_13</vt:lpstr>
      <vt:lpstr>B_CL_AP_14</vt:lpstr>
      <vt:lpstr>B_CL_AP_15</vt:lpstr>
      <vt:lpstr>B_CL_AP_16</vt:lpstr>
      <vt:lpstr>B_CL_AP_17</vt:lpstr>
      <vt:lpstr>B_CL_AP_18</vt:lpstr>
      <vt:lpstr>B_CL_AP_19</vt:lpstr>
      <vt:lpstr>B_CL_AP_20</vt:lpstr>
      <vt:lpstr>B_CL_AP_H1_00</vt:lpstr>
      <vt:lpstr>B_CL_AP_H1_01</vt:lpstr>
      <vt:lpstr>B_CL_AP_H1_02</vt:lpstr>
      <vt:lpstr>B_CL_AP_H1_03</vt:lpstr>
      <vt:lpstr>B_CL_AP_H1_04</vt:lpstr>
      <vt:lpstr>B_CL_AP_H1_05</vt:lpstr>
      <vt:lpstr>B_CL_AP_H1_06</vt:lpstr>
      <vt:lpstr>B_CL_AP_H1_07</vt:lpstr>
      <vt:lpstr>B_CL_AP_H1_08</vt:lpstr>
      <vt:lpstr>B_CL_AP_H1_09</vt:lpstr>
      <vt:lpstr>B_CL_AP_H1_10</vt:lpstr>
      <vt:lpstr>B_CL_AP_H1_11</vt:lpstr>
      <vt:lpstr>B_CL_AP_H1_12</vt:lpstr>
      <vt:lpstr>B_CL_AP_H1_13</vt:lpstr>
      <vt:lpstr>B_CL_AP_H1_14</vt:lpstr>
      <vt:lpstr>B_CL_AP_H1_15</vt:lpstr>
      <vt:lpstr>B_CL_AP_H1_16</vt:lpstr>
      <vt:lpstr>B_CL_AP_H1_17</vt:lpstr>
      <vt:lpstr>B_CL_AP_H1_18</vt:lpstr>
      <vt:lpstr>B_CL_AP_H1_19</vt:lpstr>
      <vt:lpstr>B_CL_AP_H1_20</vt:lpstr>
      <vt:lpstr>B_CL_AP_H2_00</vt:lpstr>
      <vt:lpstr>B_CL_AP_H2_01</vt:lpstr>
      <vt:lpstr>B_CL_AP_H2_02</vt:lpstr>
      <vt:lpstr>B_CL_AP_H2_03</vt:lpstr>
      <vt:lpstr>B_CL_AP_H2_04</vt:lpstr>
      <vt:lpstr>B_CL_AP_H2_05</vt:lpstr>
      <vt:lpstr>B_CL_AP_H2_06</vt:lpstr>
      <vt:lpstr>B_CL_AP_H2_07</vt:lpstr>
      <vt:lpstr>B_CL_AP_H2_08</vt:lpstr>
      <vt:lpstr>B_CL_AP_H2_09</vt:lpstr>
      <vt:lpstr>B_CL_AP_H2_10</vt:lpstr>
      <vt:lpstr>B_CL_AP_H2_11</vt:lpstr>
      <vt:lpstr>B_CL_AP_H2_12</vt:lpstr>
      <vt:lpstr>B_CL_AP_H2_13</vt:lpstr>
      <vt:lpstr>B_CL_AP_H2_14</vt:lpstr>
      <vt:lpstr>B_CL_AP_H2_15</vt:lpstr>
      <vt:lpstr>B_CL_AP_H2_16</vt:lpstr>
      <vt:lpstr>B_CL_AP_H2_17</vt:lpstr>
      <vt:lpstr>B_CL_AP_H2_18</vt:lpstr>
      <vt:lpstr>B_CL_AP_H2_19</vt:lpstr>
      <vt:lpstr>B_CL_AP_H2_20</vt:lpstr>
      <vt:lpstr>B_CL_Con_Notes_00</vt:lpstr>
      <vt:lpstr>B_CL_Con_Notes_01</vt:lpstr>
      <vt:lpstr>B_CL_Con_Notes_02</vt:lpstr>
      <vt:lpstr>B_CL_Con_Notes_03</vt:lpstr>
      <vt:lpstr>B_CL_Con_Notes_04</vt:lpstr>
      <vt:lpstr>B_CL_Con_Notes_05</vt:lpstr>
      <vt:lpstr>B_CL_Con_Notes_06</vt:lpstr>
      <vt:lpstr>B_CL_Con_Notes_07</vt:lpstr>
      <vt:lpstr>B_CL_Con_Notes_08</vt:lpstr>
      <vt:lpstr>B_CL_Con_Notes_09</vt:lpstr>
      <vt:lpstr>B_CL_Con_Notes_10</vt:lpstr>
      <vt:lpstr>B_CL_Con_Notes_11</vt:lpstr>
      <vt:lpstr>B_CL_Con_Notes_12</vt:lpstr>
      <vt:lpstr>B_CL_Con_Notes_13</vt:lpstr>
      <vt:lpstr>B_CL_Con_Notes_14</vt:lpstr>
      <vt:lpstr>B_CL_Con_Notes_15</vt:lpstr>
      <vt:lpstr>B_CL_Con_Notes_16</vt:lpstr>
      <vt:lpstr>B_CL_Con_Notes_17</vt:lpstr>
      <vt:lpstr>B_CL_Con_Notes_18</vt:lpstr>
      <vt:lpstr>B_CL_Con_Notes_19</vt:lpstr>
      <vt:lpstr>B_CL_Con_Notes_20</vt:lpstr>
      <vt:lpstr>B_CL_Con_Notes_H1_00</vt:lpstr>
      <vt:lpstr>B_CL_Con_Notes_H1_01</vt:lpstr>
      <vt:lpstr>B_CL_Con_Notes_H1_02</vt:lpstr>
      <vt:lpstr>B_CL_Con_Notes_H1_03</vt:lpstr>
      <vt:lpstr>B_CL_Con_Notes_H1_04</vt:lpstr>
      <vt:lpstr>B_CL_Con_Notes_H1_05</vt:lpstr>
      <vt:lpstr>B_CL_Con_Notes_H1_06</vt:lpstr>
      <vt:lpstr>B_CL_Con_Notes_H1_07</vt:lpstr>
      <vt:lpstr>B_CL_Con_Notes_H1_08</vt:lpstr>
      <vt:lpstr>B_CL_Con_Notes_H1_09</vt:lpstr>
      <vt:lpstr>B_CL_Con_Notes_H1_10</vt:lpstr>
      <vt:lpstr>B_CL_Con_Notes_H1_11</vt:lpstr>
      <vt:lpstr>B_CL_Con_Notes_H1_12</vt:lpstr>
      <vt:lpstr>B_CL_Con_Notes_H1_13</vt:lpstr>
      <vt:lpstr>B_CL_Con_Notes_H1_14</vt:lpstr>
      <vt:lpstr>B_CL_Con_Notes_H1_15</vt:lpstr>
      <vt:lpstr>B_CL_Con_Notes_H1_16</vt:lpstr>
      <vt:lpstr>B_CL_Con_Notes_H1_17</vt:lpstr>
      <vt:lpstr>B_CL_Con_Notes_H1_18</vt:lpstr>
      <vt:lpstr>B_CL_Con_Notes_H1_19</vt:lpstr>
      <vt:lpstr>B_CL_Con_Notes_H1_20</vt:lpstr>
      <vt:lpstr>B_CL_Con_Notes_H2_00</vt:lpstr>
      <vt:lpstr>B_CL_Con_Notes_H2_01</vt:lpstr>
      <vt:lpstr>B_CL_Con_Notes_H2_02</vt:lpstr>
      <vt:lpstr>B_CL_Con_Notes_H2_03</vt:lpstr>
      <vt:lpstr>B_CL_Con_Notes_H2_04</vt:lpstr>
      <vt:lpstr>B_CL_Con_Notes_H2_05</vt:lpstr>
      <vt:lpstr>B_CL_Con_Notes_H2_06</vt:lpstr>
      <vt:lpstr>B_CL_Con_Notes_H2_07</vt:lpstr>
      <vt:lpstr>B_CL_Con_Notes_H2_08</vt:lpstr>
      <vt:lpstr>B_CL_Con_Notes_H2_09</vt:lpstr>
      <vt:lpstr>B_CL_Con_Notes_H2_10</vt:lpstr>
      <vt:lpstr>B_CL_Con_Notes_H2_11</vt:lpstr>
      <vt:lpstr>B_CL_Con_Notes_H2_12</vt:lpstr>
      <vt:lpstr>B_CL_Con_Notes_H2_13</vt:lpstr>
      <vt:lpstr>B_CL_Con_Notes_H2_14</vt:lpstr>
      <vt:lpstr>B_CL_Con_Notes_H2_15</vt:lpstr>
      <vt:lpstr>B_CL_Con_Notes_H2_16</vt:lpstr>
      <vt:lpstr>B_CL_Con_Notes_H2_17</vt:lpstr>
      <vt:lpstr>B_CL_Con_Notes_H2_18</vt:lpstr>
      <vt:lpstr>B_CL_Con_Notes_H2_19</vt:lpstr>
      <vt:lpstr>B_CL_Con_Notes_H2_20</vt:lpstr>
      <vt:lpstr>B_CL_Div_00</vt:lpstr>
      <vt:lpstr>B_CL_Div_01</vt:lpstr>
      <vt:lpstr>B_CL_Div_02</vt:lpstr>
      <vt:lpstr>B_CL_Div_03</vt:lpstr>
      <vt:lpstr>B_CL_Div_04</vt:lpstr>
      <vt:lpstr>B_CL_Div_05</vt:lpstr>
      <vt:lpstr>B_CL_Div_06</vt:lpstr>
      <vt:lpstr>B_CL_Div_07</vt:lpstr>
      <vt:lpstr>B_CL_Div_08</vt:lpstr>
      <vt:lpstr>B_CL_Div_09</vt:lpstr>
      <vt:lpstr>B_CL_Div_10</vt:lpstr>
      <vt:lpstr>B_CL_Div_11</vt:lpstr>
      <vt:lpstr>B_CL_Div_12</vt:lpstr>
      <vt:lpstr>B_CL_Div_13</vt:lpstr>
      <vt:lpstr>B_CL_Div_14</vt:lpstr>
      <vt:lpstr>B_CL_Div_15</vt:lpstr>
      <vt:lpstr>B_CL_Div_16</vt:lpstr>
      <vt:lpstr>B_CL_Div_17</vt:lpstr>
      <vt:lpstr>B_CL_Div_18</vt:lpstr>
      <vt:lpstr>B_CL_Div_19</vt:lpstr>
      <vt:lpstr>B_CL_Div_20</vt:lpstr>
      <vt:lpstr>B_CL_Div_H1_00</vt:lpstr>
      <vt:lpstr>B_CL_Div_H1_01</vt:lpstr>
      <vt:lpstr>B_CL_Div_H1_02</vt:lpstr>
      <vt:lpstr>B_CL_Div_H1_03</vt:lpstr>
      <vt:lpstr>B_CL_Div_H1_04</vt:lpstr>
      <vt:lpstr>B_CL_Div_H1_05</vt:lpstr>
      <vt:lpstr>B_CL_Div_H1_06</vt:lpstr>
      <vt:lpstr>B_CL_Div_H1_07</vt:lpstr>
      <vt:lpstr>B_CL_Div_H1_08</vt:lpstr>
      <vt:lpstr>B_CL_Div_H1_09</vt:lpstr>
      <vt:lpstr>B_CL_Div_H1_10</vt:lpstr>
      <vt:lpstr>B_CL_Div_H1_11</vt:lpstr>
      <vt:lpstr>B_CL_Div_H1_12</vt:lpstr>
      <vt:lpstr>B_CL_Div_H1_13</vt:lpstr>
      <vt:lpstr>B_CL_Div_H1_14</vt:lpstr>
      <vt:lpstr>B_CL_Div_H1_15</vt:lpstr>
      <vt:lpstr>B_CL_Div_H1_16</vt:lpstr>
      <vt:lpstr>B_CL_Div_H1_17</vt:lpstr>
      <vt:lpstr>B_CL_Div_H1_18</vt:lpstr>
      <vt:lpstr>B_CL_Div_H1_19</vt:lpstr>
      <vt:lpstr>B_CL_Div_H1_20</vt:lpstr>
      <vt:lpstr>B_CL_Div_H2_00</vt:lpstr>
      <vt:lpstr>B_CL_Div_H2_01</vt:lpstr>
      <vt:lpstr>B_CL_Div_H2_02</vt:lpstr>
      <vt:lpstr>B_CL_Div_H2_03</vt:lpstr>
      <vt:lpstr>B_CL_Div_H2_04</vt:lpstr>
      <vt:lpstr>B_CL_Div_H2_05</vt:lpstr>
      <vt:lpstr>B_CL_Div_H2_06</vt:lpstr>
      <vt:lpstr>B_CL_Div_H2_07</vt:lpstr>
      <vt:lpstr>B_CL_Div_H2_08</vt:lpstr>
      <vt:lpstr>B_CL_Div_H2_09</vt:lpstr>
      <vt:lpstr>B_CL_Div_H2_10</vt:lpstr>
      <vt:lpstr>B_CL_Div_H2_11</vt:lpstr>
      <vt:lpstr>B_CL_Div_H2_12</vt:lpstr>
      <vt:lpstr>B_CL_Div_H2_13</vt:lpstr>
      <vt:lpstr>B_CL_Div_H2_14</vt:lpstr>
      <vt:lpstr>B_CL_Div_H2_15</vt:lpstr>
      <vt:lpstr>B_CL_Div_H2_16</vt:lpstr>
      <vt:lpstr>B_CL_Div_H2_17</vt:lpstr>
      <vt:lpstr>B_CL_Div_H2_18</vt:lpstr>
      <vt:lpstr>B_CL_Div_H2_19</vt:lpstr>
      <vt:lpstr>B_CL_Div_H2_20</vt:lpstr>
      <vt:lpstr>B_CL_Eent_00</vt:lpstr>
      <vt:lpstr>B_CL_Eent_01</vt:lpstr>
      <vt:lpstr>B_CL_Eent_02</vt:lpstr>
      <vt:lpstr>B_CL_Eent_03</vt:lpstr>
      <vt:lpstr>B_CL_Eent_04</vt:lpstr>
      <vt:lpstr>B_CL_Eent_05</vt:lpstr>
      <vt:lpstr>B_CL_Eent_06</vt:lpstr>
      <vt:lpstr>B_CL_Eent_07</vt:lpstr>
      <vt:lpstr>B_CL_Eent_08</vt:lpstr>
      <vt:lpstr>B_CL_Eent_09</vt:lpstr>
      <vt:lpstr>B_CL_Eent_10</vt:lpstr>
      <vt:lpstr>B_CL_Eent_11</vt:lpstr>
      <vt:lpstr>B_CL_Eent_12</vt:lpstr>
      <vt:lpstr>B_CL_Eent_13</vt:lpstr>
      <vt:lpstr>B_CL_Eent_14</vt:lpstr>
      <vt:lpstr>B_CL_Eent_15</vt:lpstr>
      <vt:lpstr>B_CL_Eent_16</vt:lpstr>
      <vt:lpstr>B_CL_Eent_17</vt:lpstr>
      <vt:lpstr>B_CL_Eent_18</vt:lpstr>
      <vt:lpstr>B_CL_Eent_19</vt:lpstr>
      <vt:lpstr>B_CL_Eent_20</vt:lpstr>
      <vt:lpstr>B_CL_Eent_H1_00</vt:lpstr>
      <vt:lpstr>B_CL_Eent_H1_01</vt:lpstr>
      <vt:lpstr>B_CL_Eent_H1_02</vt:lpstr>
      <vt:lpstr>B_CL_Eent_H1_03</vt:lpstr>
      <vt:lpstr>B_CL_Eent_H1_04</vt:lpstr>
      <vt:lpstr>B_CL_Eent_H1_05</vt:lpstr>
      <vt:lpstr>B_CL_Eent_H1_06</vt:lpstr>
      <vt:lpstr>B_CL_Eent_H1_07</vt:lpstr>
      <vt:lpstr>B_CL_Eent_H1_08</vt:lpstr>
      <vt:lpstr>B_CL_Eent_H1_09</vt:lpstr>
      <vt:lpstr>B_CL_Eent_H1_10</vt:lpstr>
      <vt:lpstr>B_CL_Eent_H1_11</vt:lpstr>
      <vt:lpstr>B_CL_Eent_H1_12</vt:lpstr>
      <vt:lpstr>B_CL_Eent_H1_13</vt:lpstr>
      <vt:lpstr>B_CL_Eent_H1_14</vt:lpstr>
      <vt:lpstr>B_CL_Eent_H1_15</vt:lpstr>
      <vt:lpstr>B_CL_Eent_H1_16</vt:lpstr>
      <vt:lpstr>B_CL_Eent_H1_17</vt:lpstr>
      <vt:lpstr>B_CL_Eent_H1_18</vt:lpstr>
      <vt:lpstr>B_CL_Eent_H1_19</vt:lpstr>
      <vt:lpstr>B_CL_Eent_H1_20</vt:lpstr>
      <vt:lpstr>B_CL_Eent_H2_00</vt:lpstr>
      <vt:lpstr>B_CL_Eent_H2_01</vt:lpstr>
      <vt:lpstr>B_CL_Eent_H2_02</vt:lpstr>
      <vt:lpstr>B_CL_Eent_H2_03</vt:lpstr>
      <vt:lpstr>B_CL_Eent_H2_04</vt:lpstr>
      <vt:lpstr>B_CL_Eent_H2_05</vt:lpstr>
      <vt:lpstr>B_CL_Eent_H2_06</vt:lpstr>
      <vt:lpstr>B_CL_Eent_H2_07</vt:lpstr>
      <vt:lpstr>B_CL_Eent_H2_08</vt:lpstr>
      <vt:lpstr>B_CL_Eent_H2_09</vt:lpstr>
      <vt:lpstr>B_CL_Eent_H2_10</vt:lpstr>
      <vt:lpstr>B_CL_Eent_H2_11</vt:lpstr>
      <vt:lpstr>B_CL_Eent_H2_12</vt:lpstr>
      <vt:lpstr>B_CL_Eent_H2_13</vt:lpstr>
      <vt:lpstr>B_CL_Eent_H2_14</vt:lpstr>
      <vt:lpstr>B_CL_Eent_H2_15</vt:lpstr>
      <vt:lpstr>B_CL_Eent_H2_16</vt:lpstr>
      <vt:lpstr>B_CL_Eent_H2_17</vt:lpstr>
      <vt:lpstr>B_CL_Eent_H2_18</vt:lpstr>
      <vt:lpstr>B_CL_Eent_H2_19</vt:lpstr>
      <vt:lpstr>B_CL_Eent_H2_20</vt:lpstr>
      <vt:lpstr>B_CL_IBDebt_00</vt:lpstr>
      <vt:lpstr>B_CL_IBDebt_01</vt:lpstr>
      <vt:lpstr>B_CL_IBDebt_02</vt:lpstr>
      <vt:lpstr>B_CL_IBDebt_03</vt:lpstr>
      <vt:lpstr>B_CL_IBDebt_04</vt:lpstr>
      <vt:lpstr>B_CL_IBDebt_05</vt:lpstr>
      <vt:lpstr>B_CL_IBDebt_06</vt:lpstr>
      <vt:lpstr>B_CL_IBDebt_07</vt:lpstr>
      <vt:lpstr>B_CL_IBDebt_08</vt:lpstr>
      <vt:lpstr>B_CL_IBDebt_09</vt:lpstr>
      <vt:lpstr>B_CL_IBDebt_10</vt:lpstr>
      <vt:lpstr>B_CL_IBDebt_11</vt:lpstr>
      <vt:lpstr>B_CL_IBDebt_12</vt:lpstr>
      <vt:lpstr>B_CL_IBDebt_13</vt:lpstr>
      <vt:lpstr>B_CL_IBDebt_14</vt:lpstr>
      <vt:lpstr>B_CL_IBDebt_15</vt:lpstr>
      <vt:lpstr>B_CL_IBDebt_16</vt:lpstr>
      <vt:lpstr>B_CL_IBDebt_17</vt:lpstr>
      <vt:lpstr>B_CL_IBDebt_18</vt:lpstr>
      <vt:lpstr>B_CL_IBDebt_19</vt:lpstr>
      <vt:lpstr>B_CL_IBDebt_20</vt:lpstr>
      <vt:lpstr>B_CL_IBDebt_H1_00</vt:lpstr>
      <vt:lpstr>B_CL_IBDebt_H1_01</vt:lpstr>
      <vt:lpstr>B_CL_IBDebt_H1_02</vt:lpstr>
      <vt:lpstr>B_CL_IBDebt_H1_03</vt:lpstr>
      <vt:lpstr>B_CL_IBDebt_H1_04</vt:lpstr>
      <vt:lpstr>B_CL_IBDebt_H1_05</vt:lpstr>
      <vt:lpstr>B_CL_IBDebt_H1_06</vt:lpstr>
      <vt:lpstr>B_CL_IBDebt_H1_07</vt:lpstr>
      <vt:lpstr>B_CL_IBDebt_H1_08</vt:lpstr>
      <vt:lpstr>B_CL_IBDebt_H1_09</vt:lpstr>
      <vt:lpstr>B_CL_IBDebt_H1_10</vt:lpstr>
      <vt:lpstr>B_CL_IBDebt_H1_11</vt:lpstr>
      <vt:lpstr>B_CL_IBDebt_H1_12</vt:lpstr>
      <vt:lpstr>B_CL_IBDebt_H1_13</vt:lpstr>
      <vt:lpstr>B_CL_IBDebt_H1_14</vt:lpstr>
      <vt:lpstr>B_CL_IBDebt_H1_15</vt:lpstr>
      <vt:lpstr>B_CL_IBDebt_H1_16</vt:lpstr>
      <vt:lpstr>B_CL_IBDebt_H1_17</vt:lpstr>
      <vt:lpstr>B_CL_IBDebt_H1_18</vt:lpstr>
      <vt:lpstr>B_CL_IBDebt_H1_19</vt:lpstr>
      <vt:lpstr>B_CL_IBDebt_H1_20</vt:lpstr>
      <vt:lpstr>B_CL_IBDebt_H2_00</vt:lpstr>
      <vt:lpstr>B_CL_IBDebt_H2_01</vt:lpstr>
      <vt:lpstr>B_CL_IBDebt_H2_02</vt:lpstr>
      <vt:lpstr>B_CL_IBDebt_H2_03</vt:lpstr>
      <vt:lpstr>B_CL_IBDebt_H2_04</vt:lpstr>
      <vt:lpstr>B_CL_IBDebt_H2_05</vt:lpstr>
      <vt:lpstr>B_CL_IBDebt_H2_06</vt:lpstr>
      <vt:lpstr>B_CL_IBDebt_H2_07</vt:lpstr>
      <vt:lpstr>B_CL_IBDebt_H2_08</vt:lpstr>
      <vt:lpstr>B_CL_IBDebt_H2_09</vt:lpstr>
      <vt:lpstr>B_CL_IBDebt_H2_10</vt:lpstr>
      <vt:lpstr>B_CL_IBDebt_H2_11</vt:lpstr>
      <vt:lpstr>B_CL_IBDebt_H2_12</vt:lpstr>
      <vt:lpstr>B_CL_IBDebt_H2_13</vt:lpstr>
      <vt:lpstr>B_CL_IBDebt_H2_14</vt:lpstr>
      <vt:lpstr>B_CL_IBDebt_H2_15</vt:lpstr>
      <vt:lpstr>B_CL_IBDebt_H2_16</vt:lpstr>
      <vt:lpstr>B_CL_IBDebt_H2_17</vt:lpstr>
      <vt:lpstr>B_CL_IBDebt_H2_18</vt:lpstr>
      <vt:lpstr>B_CL_IBDebt_H2_19</vt:lpstr>
      <vt:lpstr>B_CL_IBDebt_H2_20</vt:lpstr>
      <vt:lpstr>B_CL_LLiab_00</vt:lpstr>
      <vt:lpstr>B_CL_LLiab_01</vt:lpstr>
      <vt:lpstr>B_CL_LLiab_02</vt:lpstr>
      <vt:lpstr>B_CL_LLiab_03</vt:lpstr>
      <vt:lpstr>B_CL_LLiab_04</vt:lpstr>
      <vt:lpstr>B_CL_LLiab_05</vt:lpstr>
      <vt:lpstr>B_CL_LLiab_06</vt:lpstr>
      <vt:lpstr>B_CL_LLiab_07</vt:lpstr>
      <vt:lpstr>B_CL_LLiab_08</vt:lpstr>
      <vt:lpstr>B_CL_LLiab_09</vt:lpstr>
      <vt:lpstr>B_CL_LLiab_10</vt:lpstr>
      <vt:lpstr>B_CL_LLiab_11</vt:lpstr>
      <vt:lpstr>B_CL_LLiab_12</vt:lpstr>
      <vt:lpstr>B_CL_LLiab_13</vt:lpstr>
      <vt:lpstr>B_CL_LLiab_14</vt:lpstr>
      <vt:lpstr>B_CL_LLiab_15</vt:lpstr>
      <vt:lpstr>B_CL_LLiab_16</vt:lpstr>
      <vt:lpstr>B_CL_LLiab_17</vt:lpstr>
      <vt:lpstr>B_CL_LLiab_18</vt:lpstr>
      <vt:lpstr>B_CL_LLiab_19</vt:lpstr>
      <vt:lpstr>B_CL_LLiab_20</vt:lpstr>
      <vt:lpstr>B_CL_LLiab_H1_00</vt:lpstr>
      <vt:lpstr>B_CL_LLiab_H1_01</vt:lpstr>
      <vt:lpstr>B_CL_LLiab_H1_02</vt:lpstr>
      <vt:lpstr>B_CL_LLiab_H1_03</vt:lpstr>
      <vt:lpstr>B_CL_LLiab_H1_04</vt:lpstr>
      <vt:lpstr>B_CL_LLiab_H1_05</vt:lpstr>
      <vt:lpstr>B_CL_LLiab_H1_06</vt:lpstr>
      <vt:lpstr>B_CL_LLiab_H1_07</vt:lpstr>
      <vt:lpstr>B_CL_LLiab_H1_08</vt:lpstr>
      <vt:lpstr>B_CL_LLiab_H1_09</vt:lpstr>
      <vt:lpstr>B_CL_LLiab_H1_10</vt:lpstr>
      <vt:lpstr>B_CL_LLiab_H1_11</vt:lpstr>
      <vt:lpstr>B_CL_LLiab_H1_12</vt:lpstr>
      <vt:lpstr>B_CL_LLiab_H1_13</vt:lpstr>
      <vt:lpstr>B_CL_LLiab_H1_14</vt:lpstr>
      <vt:lpstr>B_CL_LLiab_H1_15</vt:lpstr>
      <vt:lpstr>B_CL_LLiab_H1_16</vt:lpstr>
      <vt:lpstr>B_CL_LLiab_H1_17</vt:lpstr>
      <vt:lpstr>B_CL_LLiab_H1_18</vt:lpstr>
      <vt:lpstr>B_CL_LLiab_H1_19</vt:lpstr>
      <vt:lpstr>B_CL_LLiab_H1_20</vt:lpstr>
      <vt:lpstr>B_CL_LLiab_H2_00</vt:lpstr>
      <vt:lpstr>B_CL_LLiab_H2_01</vt:lpstr>
      <vt:lpstr>B_CL_LLiab_H2_02</vt:lpstr>
      <vt:lpstr>B_CL_LLiab_H2_03</vt:lpstr>
      <vt:lpstr>B_CL_LLiab_H2_04</vt:lpstr>
      <vt:lpstr>B_CL_LLiab_H2_05</vt:lpstr>
      <vt:lpstr>B_CL_LLiab_H2_06</vt:lpstr>
      <vt:lpstr>B_CL_LLiab_H2_07</vt:lpstr>
      <vt:lpstr>B_CL_LLiab_H2_08</vt:lpstr>
      <vt:lpstr>B_CL_LLiab_H2_09</vt:lpstr>
      <vt:lpstr>B_CL_LLiab_H2_10</vt:lpstr>
      <vt:lpstr>B_CL_LLiab_H2_11</vt:lpstr>
      <vt:lpstr>B_CL_LLiab_H2_12</vt:lpstr>
      <vt:lpstr>B_CL_LLiab_H2_13</vt:lpstr>
      <vt:lpstr>B_CL_LLiab_H2_14</vt:lpstr>
      <vt:lpstr>B_CL_LLiab_H2_15</vt:lpstr>
      <vt:lpstr>B_CL_LLiab_H2_16</vt:lpstr>
      <vt:lpstr>B_CL_LLiab_H2_17</vt:lpstr>
      <vt:lpstr>B_CL_LLiab_H2_18</vt:lpstr>
      <vt:lpstr>B_CL_LLiab_H2_19</vt:lpstr>
      <vt:lpstr>B_CL_LLiab_H2_20</vt:lpstr>
      <vt:lpstr>B_CL_NIBDebt_00</vt:lpstr>
      <vt:lpstr>B_CL_NIBDebt_01</vt:lpstr>
      <vt:lpstr>B_CL_NIBDebt_02</vt:lpstr>
      <vt:lpstr>B_CL_NIBDebt_03</vt:lpstr>
      <vt:lpstr>B_CL_NIBDebt_04</vt:lpstr>
      <vt:lpstr>B_CL_NIBDebt_05</vt:lpstr>
      <vt:lpstr>B_CL_NIBDebt_06</vt:lpstr>
      <vt:lpstr>B_CL_NIBDebt_07</vt:lpstr>
      <vt:lpstr>B_CL_NIBDebt_08</vt:lpstr>
      <vt:lpstr>B_CL_NIBDebt_09</vt:lpstr>
      <vt:lpstr>B_CL_NIBDebt_10</vt:lpstr>
      <vt:lpstr>B_CL_NIBDebt_11</vt:lpstr>
      <vt:lpstr>B_CL_NIBDebt_12</vt:lpstr>
      <vt:lpstr>B_CL_NIBDebt_13</vt:lpstr>
      <vt:lpstr>B_CL_NIBDebt_14</vt:lpstr>
      <vt:lpstr>B_CL_NIBDebt_15</vt:lpstr>
      <vt:lpstr>B_CL_NIBDebt_16</vt:lpstr>
      <vt:lpstr>B_CL_NIBDebt_17</vt:lpstr>
      <vt:lpstr>B_CL_NIBDebt_18</vt:lpstr>
      <vt:lpstr>B_CL_NIBDebt_19</vt:lpstr>
      <vt:lpstr>B_CL_NIBDebt_20</vt:lpstr>
      <vt:lpstr>B_CL_NIBDebt_H1_00</vt:lpstr>
      <vt:lpstr>B_CL_NIBDebt_H1_01</vt:lpstr>
      <vt:lpstr>B_CL_NIBDebt_H1_02</vt:lpstr>
      <vt:lpstr>B_CL_NIBDebt_H1_03</vt:lpstr>
      <vt:lpstr>B_CL_NIBDebt_H1_04</vt:lpstr>
      <vt:lpstr>B_CL_NIBDebt_H1_05</vt:lpstr>
      <vt:lpstr>B_CL_NIBDebt_H1_06</vt:lpstr>
      <vt:lpstr>B_CL_NIBDebt_H1_07</vt:lpstr>
      <vt:lpstr>B_CL_NIBDebt_H1_08</vt:lpstr>
      <vt:lpstr>B_CL_NIBDebt_H1_09</vt:lpstr>
      <vt:lpstr>B_CL_NIBDebt_H1_10</vt:lpstr>
      <vt:lpstr>B_CL_NIBDebt_H1_11</vt:lpstr>
      <vt:lpstr>B_CL_NIBDebt_H1_12</vt:lpstr>
      <vt:lpstr>B_CL_NIBDebt_H1_13</vt:lpstr>
      <vt:lpstr>B_CL_NIBDebt_H1_14</vt:lpstr>
      <vt:lpstr>B_CL_NIBDebt_H1_15</vt:lpstr>
      <vt:lpstr>B_CL_NIBDebt_H1_16</vt:lpstr>
      <vt:lpstr>B_CL_NIBDebt_H1_17</vt:lpstr>
      <vt:lpstr>B_CL_NIBDebt_H1_18</vt:lpstr>
      <vt:lpstr>B_CL_NIBDebt_H1_19</vt:lpstr>
      <vt:lpstr>B_CL_NIBDebt_H1_20</vt:lpstr>
      <vt:lpstr>B_CL_NIBDebt_H2_00</vt:lpstr>
      <vt:lpstr>B_CL_NIBDebt_H2_01</vt:lpstr>
      <vt:lpstr>B_CL_NIBDebt_H2_02</vt:lpstr>
      <vt:lpstr>B_CL_NIBDebt_H2_03</vt:lpstr>
      <vt:lpstr>B_CL_NIBDebt_H2_04</vt:lpstr>
      <vt:lpstr>B_CL_NIBDebt_H2_05</vt:lpstr>
      <vt:lpstr>B_CL_NIBDebt_H2_06</vt:lpstr>
      <vt:lpstr>B_CL_NIBDebt_H2_07</vt:lpstr>
      <vt:lpstr>B_CL_NIBDebt_H2_08</vt:lpstr>
      <vt:lpstr>B_CL_NIBDebt_H2_09</vt:lpstr>
      <vt:lpstr>B_CL_NIBDebt_H2_10</vt:lpstr>
      <vt:lpstr>B_CL_NIBDebt_H2_11</vt:lpstr>
      <vt:lpstr>B_CL_NIBDebt_H2_12</vt:lpstr>
      <vt:lpstr>B_CL_NIBDebt_H2_13</vt:lpstr>
      <vt:lpstr>B_CL_NIBDebt_H2_14</vt:lpstr>
      <vt:lpstr>B_CL_NIBDebt_H2_15</vt:lpstr>
      <vt:lpstr>B_CL_NIBDebt_H2_16</vt:lpstr>
      <vt:lpstr>B_CL_NIBDebt_H2_17</vt:lpstr>
      <vt:lpstr>B_CL_NIBDebt_H2_18</vt:lpstr>
      <vt:lpstr>B_CL_NIBDebt_H2_19</vt:lpstr>
      <vt:lpstr>B_CL_NIBDebt_H2_20</vt:lpstr>
      <vt:lpstr>B_CL_Oth_00</vt:lpstr>
      <vt:lpstr>B_CL_Oth_01</vt:lpstr>
      <vt:lpstr>B_CL_Oth_02</vt:lpstr>
      <vt:lpstr>B_CL_Oth_03</vt:lpstr>
      <vt:lpstr>B_CL_Oth_04</vt:lpstr>
      <vt:lpstr>B_CL_Oth_05</vt:lpstr>
      <vt:lpstr>B_CL_Oth_06</vt:lpstr>
      <vt:lpstr>B_CL_Oth_07</vt:lpstr>
      <vt:lpstr>B_CL_Oth_08</vt:lpstr>
      <vt:lpstr>B_CL_Oth_09</vt:lpstr>
      <vt:lpstr>B_CL_Oth_10</vt:lpstr>
      <vt:lpstr>B_CL_Oth_11</vt:lpstr>
      <vt:lpstr>B_CL_Oth_12</vt:lpstr>
      <vt:lpstr>B_CL_Oth_13</vt:lpstr>
      <vt:lpstr>B_CL_Oth_14</vt:lpstr>
      <vt:lpstr>B_CL_Oth_15</vt:lpstr>
      <vt:lpstr>B_CL_Oth_16</vt:lpstr>
      <vt:lpstr>B_CL_Oth_17</vt:lpstr>
      <vt:lpstr>B_CL_Oth_18</vt:lpstr>
      <vt:lpstr>B_CL_Oth_19</vt:lpstr>
      <vt:lpstr>B_CL_Oth_20</vt:lpstr>
      <vt:lpstr>B_CL_Oth_H1_00</vt:lpstr>
      <vt:lpstr>B_CL_Oth_H1_01</vt:lpstr>
      <vt:lpstr>B_CL_Oth_H1_02</vt:lpstr>
      <vt:lpstr>B_CL_Oth_H1_03</vt:lpstr>
      <vt:lpstr>B_CL_Oth_H1_04</vt:lpstr>
      <vt:lpstr>B_CL_Oth_H1_05</vt:lpstr>
      <vt:lpstr>B_CL_Oth_H1_06</vt:lpstr>
      <vt:lpstr>B_CL_Oth_H1_07</vt:lpstr>
      <vt:lpstr>B_CL_Oth_H1_08</vt:lpstr>
      <vt:lpstr>B_CL_Oth_H1_09</vt:lpstr>
      <vt:lpstr>B_CL_Oth_H1_10</vt:lpstr>
      <vt:lpstr>B_CL_Oth_H1_11</vt:lpstr>
      <vt:lpstr>B_CL_Oth_H1_12</vt:lpstr>
      <vt:lpstr>B_CL_Oth_H1_13</vt:lpstr>
      <vt:lpstr>B_CL_Oth_H1_14</vt:lpstr>
      <vt:lpstr>B_CL_Oth_H1_15</vt:lpstr>
      <vt:lpstr>B_CL_Oth_H1_16</vt:lpstr>
      <vt:lpstr>B_CL_Oth_H1_17</vt:lpstr>
      <vt:lpstr>B_CL_Oth_H1_18</vt:lpstr>
      <vt:lpstr>B_CL_Oth_H1_19</vt:lpstr>
      <vt:lpstr>B_CL_Oth_H1_20</vt:lpstr>
      <vt:lpstr>B_CL_Oth_H2_00</vt:lpstr>
      <vt:lpstr>B_CL_Oth_H2_01</vt:lpstr>
      <vt:lpstr>B_CL_Oth_H2_02</vt:lpstr>
      <vt:lpstr>B_CL_Oth_H2_03</vt:lpstr>
      <vt:lpstr>B_CL_Oth_H2_04</vt:lpstr>
      <vt:lpstr>B_CL_Oth_H2_05</vt:lpstr>
      <vt:lpstr>B_CL_Oth_H2_06</vt:lpstr>
      <vt:lpstr>B_CL_Oth_H2_07</vt:lpstr>
      <vt:lpstr>B_CL_Oth_H2_08</vt:lpstr>
      <vt:lpstr>B_CL_Oth_H2_09</vt:lpstr>
      <vt:lpstr>B_CL_Oth_H2_10</vt:lpstr>
      <vt:lpstr>B_CL_Oth_H2_11</vt:lpstr>
      <vt:lpstr>B_CL_Oth_H2_12</vt:lpstr>
      <vt:lpstr>B_CL_Oth_H2_13</vt:lpstr>
      <vt:lpstr>B_CL_Oth_H2_14</vt:lpstr>
      <vt:lpstr>B_CL_Oth_H2_15</vt:lpstr>
      <vt:lpstr>B_CL_Oth_H2_16</vt:lpstr>
      <vt:lpstr>B_CL_Oth_H2_17</vt:lpstr>
      <vt:lpstr>B_CL_Oth_H2_18</vt:lpstr>
      <vt:lpstr>B_CL_Oth_H2_19</vt:lpstr>
      <vt:lpstr>B_CL_Oth_H2_20</vt:lpstr>
      <vt:lpstr>B_CL_OthProv_00</vt:lpstr>
      <vt:lpstr>B_CL_OthProv_01</vt:lpstr>
      <vt:lpstr>B_CL_OthProv_02</vt:lpstr>
      <vt:lpstr>B_CL_OthProv_03</vt:lpstr>
      <vt:lpstr>B_CL_OthProv_04</vt:lpstr>
      <vt:lpstr>B_CL_OthProv_05</vt:lpstr>
      <vt:lpstr>B_CL_OthProv_06</vt:lpstr>
      <vt:lpstr>B_CL_OthProv_07</vt:lpstr>
      <vt:lpstr>B_CL_OthProv_08</vt:lpstr>
      <vt:lpstr>B_CL_OthProv_09</vt:lpstr>
      <vt:lpstr>B_CL_OthProv_10</vt:lpstr>
      <vt:lpstr>B_CL_OthProv_11</vt:lpstr>
      <vt:lpstr>B_CL_OthProv_12</vt:lpstr>
      <vt:lpstr>B_CL_OthProv_13</vt:lpstr>
      <vt:lpstr>B_CL_OthProv_14</vt:lpstr>
      <vt:lpstr>B_CL_OthProv_15</vt:lpstr>
      <vt:lpstr>B_CL_OthProv_16</vt:lpstr>
      <vt:lpstr>B_CL_OthProv_17</vt:lpstr>
      <vt:lpstr>B_CL_OthProv_18</vt:lpstr>
      <vt:lpstr>B_CL_OthProv_19</vt:lpstr>
      <vt:lpstr>B_CL_OthProv_20</vt:lpstr>
      <vt:lpstr>B_CL_OthProv_H1_00</vt:lpstr>
      <vt:lpstr>B_CL_OthProv_H1_01</vt:lpstr>
      <vt:lpstr>B_CL_OthProv_H1_02</vt:lpstr>
      <vt:lpstr>B_CL_OthProv_H1_03</vt:lpstr>
      <vt:lpstr>B_CL_OthProv_H1_04</vt:lpstr>
      <vt:lpstr>B_CL_OthProv_H1_05</vt:lpstr>
      <vt:lpstr>B_CL_OthProv_H1_06</vt:lpstr>
      <vt:lpstr>B_CL_OthProv_H1_07</vt:lpstr>
      <vt:lpstr>B_CL_OthProv_H1_08</vt:lpstr>
      <vt:lpstr>B_CL_OthProv_H1_09</vt:lpstr>
      <vt:lpstr>B_CL_OthProv_H1_10</vt:lpstr>
      <vt:lpstr>B_CL_OthProv_H1_11</vt:lpstr>
      <vt:lpstr>B_CL_OthProv_H1_12</vt:lpstr>
      <vt:lpstr>B_CL_OthProv_H1_13</vt:lpstr>
      <vt:lpstr>B_CL_OthProv_H1_14</vt:lpstr>
      <vt:lpstr>B_CL_OthProv_H1_15</vt:lpstr>
      <vt:lpstr>B_CL_OthProv_H1_16</vt:lpstr>
      <vt:lpstr>B_CL_OthProv_H1_17</vt:lpstr>
      <vt:lpstr>B_CL_OthProv_H1_18</vt:lpstr>
      <vt:lpstr>B_CL_OthProv_H1_19</vt:lpstr>
      <vt:lpstr>B_CL_OthProv_H1_20</vt:lpstr>
      <vt:lpstr>B_CL_OthProv_H2_00</vt:lpstr>
      <vt:lpstr>B_CL_OthProv_H2_01</vt:lpstr>
      <vt:lpstr>B_CL_OthProv_H2_02</vt:lpstr>
      <vt:lpstr>B_CL_OthProv_H2_03</vt:lpstr>
      <vt:lpstr>B_CL_OthProv_H2_04</vt:lpstr>
      <vt:lpstr>B_CL_OthProv_H2_05</vt:lpstr>
      <vt:lpstr>B_CL_OthProv_H2_06</vt:lpstr>
      <vt:lpstr>B_CL_OthProv_H2_07</vt:lpstr>
      <vt:lpstr>B_CL_OthProv_H2_08</vt:lpstr>
      <vt:lpstr>B_CL_OthProv_H2_09</vt:lpstr>
      <vt:lpstr>B_CL_OthProv_H2_10</vt:lpstr>
      <vt:lpstr>B_CL_OthProv_H2_11</vt:lpstr>
      <vt:lpstr>B_CL_OthProv_H2_12</vt:lpstr>
      <vt:lpstr>B_CL_OthProv_H2_13</vt:lpstr>
      <vt:lpstr>B_CL_OthProv_H2_14</vt:lpstr>
      <vt:lpstr>B_CL_OthProv_H2_15</vt:lpstr>
      <vt:lpstr>B_CL_OthProv_H2_16</vt:lpstr>
      <vt:lpstr>B_CL_OthProv_H2_17</vt:lpstr>
      <vt:lpstr>B_CL_OthProv_H2_18</vt:lpstr>
      <vt:lpstr>B_CL_OthProv_H2_19</vt:lpstr>
      <vt:lpstr>B_CL_OthProv_H2_20</vt:lpstr>
      <vt:lpstr>B_CL_Tx_00</vt:lpstr>
      <vt:lpstr>B_CL_Tx_01</vt:lpstr>
      <vt:lpstr>B_CL_Tx_02</vt:lpstr>
      <vt:lpstr>B_CL_Tx_03</vt:lpstr>
      <vt:lpstr>B_CL_Tx_04</vt:lpstr>
      <vt:lpstr>B_CL_Tx_05</vt:lpstr>
      <vt:lpstr>B_CL_Tx_06</vt:lpstr>
      <vt:lpstr>B_CL_Tx_07</vt:lpstr>
      <vt:lpstr>B_CL_Tx_08</vt:lpstr>
      <vt:lpstr>B_CL_Tx_09</vt:lpstr>
      <vt:lpstr>B_CL_Tx_10</vt:lpstr>
      <vt:lpstr>B_CL_Tx_11</vt:lpstr>
      <vt:lpstr>B_CL_Tx_12</vt:lpstr>
      <vt:lpstr>B_CL_Tx_13</vt:lpstr>
      <vt:lpstr>B_CL_Tx_14</vt:lpstr>
      <vt:lpstr>B_CL_Tx_15</vt:lpstr>
      <vt:lpstr>B_CL_Tx_16</vt:lpstr>
      <vt:lpstr>B_CL_Tx_17</vt:lpstr>
      <vt:lpstr>B_CL_Tx_18</vt:lpstr>
      <vt:lpstr>B_CL_Tx_19</vt:lpstr>
      <vt:lpstr>B_CL_Tx_20</vt:lpstr>
      <vt:lpstr>B_CL_Tx_H1_00</vt:lpstr>
      <vt:lpstr>B_CL_Tx_H1_01</vt:lpstr>
      <vt:lpstr>B_CL_Tx_H1_02</vt:lpstr>
      <vt:lpstr>B_CL_Tx_H1_03</vt:lpstr>
      <vt:lpstr>B_CL_Tx_H1_04</vt:lpstr>
      <vt:lpstr>B_CL_Tx_H1_05</vt:lpstr>
      <vt:lpstr>B_CL_Tx_H1_06</vt:lpstr>
      <vt:lpstr>B_CL_Tx_H1_07</vt:lpstr>
      <vt:lpstr>B_CL_Tx_H1_08</vt:lpstr>
      <vt:lpstr>B_CL_Tx_H1_09</vt:lpstr>
      <vt:lpstr>B_CL_Tx_H1_10</vt:lpstr>
      <vt:lpstr>B_CL_Tx_H1_11</vt:lpstr>
      <vt:lpstr>B_CL_Tx_H1_12</vt:lpstr>
      <vt:lpstr>B_CL_Tx_H1_13</vt:lpstr>
      <vt:lpstr>B_CL_Tx_H1_14</vt:lpstr>
      <vt:lpstr>B_CL_Tx_H1_15</vt:lpstr>
      <vt:lpstr>B_CL_Tx_H1_16</vt:lpstr>
      <vt:lpstr>B_CL_Tx_H1_17</vt:lpstr>
      <vt:lpstr>B_CL_Tx_H1_18</vt:lpstr>
      <vt:lpstr>B_CL_Tx_H1_19</vt:lpstr>
      <vt:lpstr>B_CL_Tx_H1_20</vt:lpstr>
      <vt:lpstr>B_CL_Tx_H2_00</vt:lpstr>
      <vt:lpstr>B_CL_Tx_H2_01</vt:lpstr>
      <vt:lpstr>B_CL_Tx_H2_02</vt:lpstr>
      <vt:lpstr>B_CL_Tx_H2_03</vt:lpstr>
      <vt:lpstr>B_CL_Tx_H2_04</vt:lpstr>
      <vt:lpstr>B_CL_Tx_H2_05</vt:lpstr>
      <vt:lpstr>B_CL_Tx_H2_06</vt:lpstr>
      <vt:lpstr>B_CL_Tx_H2_07</vt:lpstr>
      <vt:lpstr>B_CL_Tx_H2_08</vt:lpstr>
      <vt:lpstr>B_CL_Tx_H2_09</vt:lpstr>
      <vt:lpstr>B_CL_Tx_H2_10</vt:lpstr>
      <vt:lpstr>B_CL_Tx_H2_11</vt:lpstr>
      <vt:lpstr>B_CL_Tx_H2_12</vt:lpstr>
      <vt:lpstr>B_CL_Tx_H2_13</vt:lpstr>
      <vt:lpstr>B_CL_Tx_H2_14</vt:lpstr>
      <vt:lpstr>B_CL_Tx_H2_15</vt:lpstr>
      <vt:lpstr>B_CL_Tx_H2_16</vt:lpstr>
      <vt:lpstr>B_CL_Tx_H2_17</vt:lpstr>
      <vt:lpstr>B_CL_Tx_H2_18</vt:lpstr>
      <vt:lpstr>B_CL_Tx_H2_19</vt:lpstr>
      <vt:lpstr>B_CL_Tx_H2_20</vt:lpstr>
      <vt:lpstr>B_CP_00</vt:lpstr>
      <vt:lpstr>B_CP_01</vt:lpstr>
      <vt:lpstr>B_CP_02</vt:lpstr>
      <vt:lpstr>B_CP_03</vt:lpstr>
      <vt:lpstr>B_CP_04</vt:lpstr>
      <vt:lpstr>B_CP_05</vt:lpstr>
      <vt:lpstr>B_CP_06</vt:lpstr>
      <vt:lpstr>B_CP_07</vt:lpstr>
      <vt:lpstr>B_CP_08</vt:lpstr>
      <vt:lpstr>B_CP_09</vt:lpstr>
      <vt:lpstr>B_CP_10</vt:lpstr>
      <vt:lpstr>B_CP_11</vt:lpstr>
      <vt:lpstr>B_CP_12</vt:lpstr>
      <vt:lpstr>B_CP_13</vt:lpstr>
      <vt:lpstr>B_CP_14</vt:lpstr>
      <vt:lpstr>B_CP_15</vt:lpstr>
      <vt:lpstr>B_CP_16</vt:lpstr>
      <vt:lpstr>B_CP_17</vt:lpstr>
      <vt:lpstr>B_CP_18</vt:lpstr>
      <vt:lpstr>B_CP_19</vt:lpstr>
      <vt:lpstr>B_CP_20</vt:lpstr>
      <vt:lpstr>B_CP_95</vt:lpstr>
      <vt:lpstr>B_CP_96</vt:lpstr>
      <vt:lpstr>B_CP_97</vt:lpstr>
      <vt:lpstr>B_CP_98</vt:lpstr>
      <vt:lpstr>B_CP_99</vt:lpstr>
      <vt:lpstr>B_CR_00</vt:lpstr>
      <vt:lpstr>B_CR_01</vt:lpstr>
      <vt:lpstr>B_CR_02</vt:lpstr>
      <vt:lpstr>B_CR_03</vt:lpstr>
      <vt:lpstr>B_CR_04</vt:lpstr>
      <vt:lpstr>B_CR_05</vt:lpstr>
      <vt:lpstr>B_CR_06</vt:lpstr>
      <vt:lpstr>B_CR_07</vt:lpstr>
      <vt:lpstr>B_CR_08</vt:lpstr>
      <vt:lpstr>B_CR_09</vt:lpstr>
      <vt:lpstr>B_CR_10</vt:lpstr>
      <vt:lpstr>B_CR_11</vt:lpstr>
      <vt:lpstr>B_CR_12</vt:lpstr>
      <vt:lpstr>B_CR_13</vt:lpstr>
      <vt:lpstr>B_CR_14</vt:lpstr>
      <vt:lpstr>B_CR_15</vt:lpstr>
      <vt:lpstr>B_CR_16</vt:lpstr>
      <vt:lpstr>B_CR_17</vt:lpstr>
      <vt:lpstr>B_CR_18</vt:lpstr>
      <vt:lpstr>B_CR_19</vt:lpstr>
      <vt:lpstr>B_CR_20</vt:lpstr>
      <vt:lpstr>B_CR_95</vt:lpstr>
      <vt:lpstr>B_CR_96</vt:lpstr>
      <vt:lpstr>B_CR_97</vt:lpstr>
      <vt:lpstr>B_CR_98</vt:lpstr>
      <vt:lpstr>B_CR_99</vt:lpstr>
      <vt:lpstr>B_DB_00</vt:lpstr>
      <vt:lpstr>B_DB_01</vt:lpstr>
      <vt:lpstr>B_DB_02</vt:lpstr>
      <vt:lpstr>B_DB_03</vt:lpstr>
      <vt:lpstr>B_DB_04</vt:lpstr>
      <vt:lpstr>B_DB_05</vt:lpstr>
      <vt:lpstr>B_DB_06</vt:lpstr>
      <vt:lpstr>B_DB_07</vt:lpstr>
      <vt:lpstr>B_DB_08</vt:lpstr>
      <vt:lpstr>B_DB_09</vt:lpstr>
      <vt:lpstr>B_DB_10</vt:lpstr>
      <vt:lpstr>B_DB_11</vt:lpstr>
      <vt:lpstr>B_DB_12</vt:lpstr>
      <vt:lpstr>B_DB_13</vt:lpstr>
      <vt:lpstr>B_DB_14</vt:lpstr>
      <vt:lpstr>B_DB_15</vt:lpstr>
      <vt:lpstr>B_DB_16</vt:lpstr>
      <vt:lpstr>B_DB_17</vt:lpstr>
      <vt:lpstr>B_DB_18</vt:lpstr>
      <vt:lpstr>B_DB_19</vt:lpstr>
      <vt:lpstr>B_DB_20</vt:lpstr>
      <vt:lpstr>B_DB_95</vt:lpstr>
      <vt:lpstr>B_DB_96</vt:lpstr>
      <vt:lpstr>B_DB_97</vt:lpstr>
      <vt:lpstr>B_DB_98</vt:lpstr>
      <vt:lpstr>B_DB_99</vt:lpstr>
      <vt:lpstr>B_FkCred_00</vt:lpstr>
      <vt:lpstr>B_FkCred_01</vt:lpstr>
      <vt:lpstr>B_FkCred_02</vt:lpstr>
      <vt:lpstr>B_FkCred_03</vt:lpstr>
      <vt:lpstr>B_FkCred_04</vt:lpstr>
      <vt:lpstr>B_FkCred_05</vt:lpstr>
      <vt:lpstr>B_FkCred_06</vt:lpstr>
      <vt:lpstr>B_FkCred_07</vt:lpstr>
      <vt:lpstr>B_FkCred_08</vt:lpstr>
      <vt:lpstr>B_FkCred_09</vt:lpstr>
      <vt:lpstr>B_FkCred_10</vt:lpstr>
      <vt:lpstr>B_FkCred_11</vt:lpstr>
      <vt:lpstr>B_FkCred_12</vt:lpstr>
      <vt:lpstr>B_FkCred_13</vt:lpstr>
      <vt:lpstr>B_FkCred_14</vt:lpstr>
      <vt:lpstr>B_FkCred_15</vt:lpstr>
      <vt:lpstr>B_FkCred_16</vt:lpstr>
      <vt:lpstr>B_FkCred_17</vt:lpstr>
      <vt:lpstr>B_FkCred_18</vt:lpstr>
      <vt:lpstr>B_FkCred_19</vt:lpstr>
      <vt:lpstr>B_FkCred_20</vt:lpstr>
      <vt:lpstr>B_FkCred_H1_00</vt:lpstr>
      <vt:lpstr>B_FkCred_H1_01</vt:lpstr>
      <vt:lpstr>B_FkCred_H1_02</vt:lpstr>
      <vt:lpstr>B_FkCred_H1_03</vt:lpstr>
      <vt:lpstr>B_FkCred_H1_04</vt:lpstr>
      <vt:lpstr>B_FkCred_H1_05</vt:lpstr>
      <vt:lpstr>B_FkCred_H1_06</vt:lpstr>
      <vt:lpstr>B_FkCred_H1_07</vt:lpstr>
      <vt:lpstr>B_FkCred_H1_08</vt:lpstr>
      <vt:lpstr>B_FkCred_H1_09</vt:lpstr>
      <vt:lpstr>B_FkCred_H1_10</vt:lpstr>
      <vt:lpstr>B_FkCred_H1_11</vt:lpstr>
      <vt:lpstr>B_FkCred_H1_12</vt:lpstr>
      <vt:lpstr>B_FkCred_H1_13</vt:lpstr>
      <vt:lpstr>B_FkCred_H1_14</vt:lpstr>
      <vt:lpstr>B_FkCred_H1_15</vt:lpstr>
      <vt:lpstr>B_FkCred_H1_16</vt:lpstr>
      <vt:lpstr>B_FkCred_H1_17</vt:lpstr>
      <vt:lpstr>B_FkCred_H1_18</vt:lpstr>
      <vt:lpstr>B_FkCred_H1_19</vt:lpstr>
      <vt:lpstr>B_FkCred_H1_20</vt:lpstr>
      <vt:lpstr>B_FkCred_H2_00</vt:lpstr>
      <vt:lpstr>B_FkCred_H2_01</vt:lpstr>
      <vt:lpstr>B_FkCred_H2_02</vt:lpstr>
      <vt:lpstr>B_FkCred_H2_03</vt:lpstr>
      <vt:lpstr>B_FkCred_H2_04</vt:lpstr>
      <vt:lpstr>B_FkCred_H2_05</vt:lpstr>
      <vt:lpstr>B_FkCred_H2_06</vt:lpstr>
      <vt:lpstr>B_FkCred_H2_07</vt:lpstr>
      <vt:lpstr>B_FkCred_H2_08</vt:lpstr>
      <vt:lpstr>B_FkCred_H2_09</vt:lpstr>
      <vt:lpstr>B_FkCred_H2_10</vt:lpstr>
      <vt:lpstr>B_FkCred_H2_11</vt:lpstr>
      <vt:lpstr>B_FkCred_H2_12</vt:lpstr>
      <vt:lpstr>B_FkCred_H2_13</vt:lpstr>
      <vt:lpstr>B_FkCred_H2_14</vt:lpstr>
      <vt:lpstr>B_FkCred_H2_15</vt:lpstr>
      <vt:lpstr>B_FkCred_H2_16</vt:lpstr>
      <vt:lpstr>B_FkCred_H2_17</vt:lpstr>
      <vt:lpstr>B_FkCred_H2_18</vt:lpstr>
      <vt:lpstr>B_FkCred_H2_19</vt:lpstr>
      <vt:lpstr>B_FkCred_H2_20</vt:lpstr>
      <vt:lpstr>B_INT_00</vt:lpstr>
      <vt:lpstr>B_INT_01</vt:lpstr>
      <vt:lpstr>B_INT_02</vt:lpstr>
      <vt:lpstr>B_INT_03</vt:lpstr>
      <vt:lpstr>B_INT_04</vt:lpstr>
      <vt:lpstr>B_INT_05</vt:lpstr>
      <vt:lpstr>B_INT_06</vt:lpstr>
      <vt:lpstr>B_INT_07</vt:lpstr>
      <vt:lpstr>B_INT_08</vt:lpstr>
      <vt:lpstr>B_INT_09</vt:lpstr>
      <vt:lpstr>B_INT_10</vt:lpstr>
      <vt:lpstr>B_INT_11</vt:lpstr>
      <vt:lpstr>B_INT_12</vt:lpstr>
      <vt:lpstr>B_INT_13</vt:lpstr>
      <vt:lpstr>B_INT_14</vt:lpstr>
      <vt:lpstr>B_INT_15</vt:lpstr>
      <vt:lpstr>B_INT_16</vt:lpstr>
      <vt:lpstr>B_INT_17</vt:lpstr>
      <vt:lpstr>B_INT_18</vt:lpstr>
      <vt:lpstr>B_INT_19</vt:lpstr>
      <vt:lpstr>B_INT_20</vt:lpstr>
      <vt:lpstr>B_INT_95</vt:lpstr>
      <vt:lpstr>B_INT_96</vt:lpstr>
      <vt:lpstr>B_INT_97</vt:lpstr>
      <vt:lpstr>B_INT_98</vt:lpstr>
      <vt:lpstr>B_INT_99</vt:lpstr>
      <vt:lpstr>B_INV_00</vt:lpstr>
      <vt:lpstr>B_INV_01</vt:lpstr>
      <vt:lpstr>B_INV_02</vt:lpstr>
      <vt:lpstr>B_INV_03</vt:lpstr>
      <vt:lpstr>B_INV_04</vt:lpstr>
      <vt:lpstr>B_INV_05</vt:lpstr>
      <vt:lpstr>B_INV_06</vt:lpstr>
      <vt:lpstr>B_INV_07</vt:lpstr>
      <vt:lpstr>B_INV_08</vt:lpstr>
      <vt:lpstr>B_INV_09</vt:lpstr>
      <vt:lpstr>B_INV_10</vt:lpstr>
      <vt:lpstr>B_INV_11</vt:lpstr>
      <vt:lpstr>B_INV_12</vt:lpstr>
      <vt:lpstr>B_INV_13</vt:lpstr>
      <vt:lpstr>B_INV_14</vt:lpstr>
      <vt:lpstr>B_INV_15</vt:lpstr>
      <vt:lpstr>B_INV_16</vt:lpstr>
      <vt:lpstr>B_INV_17</vt:lpstr>
      <vt:lpstr>B_INV_18</vt:lpstr>
      <vt:lpstr>B_INV_19</vt:lpstr>
      <vt:lpstr>B_INV_20</vt:lpstr>
      <vt:lpstr>B_INV_95</vt:lpstr>
      <vt:lpstr>B_INV_96</vt:lpstr>
      <vt:lpstr>B_INV_97</vt:lpstr>
      <vt:lpstr>B_INV_98</vt:lpstr>
      <vt:lpstr>B_INV_99</vt:lpstr>
      <vt:lpstr>B_IVT_00</vt:lpstr>
      <vt:lpstr>B_IVT_01</vt:lpstr>
      <vt:lpstr>B_IVT_02</vt:lpstr>
      <vt:lpstr>B_IVT_03</vt:lpstr>
      <vt:lpstr>B_IVT_04</vt:lpstr>
      <vt:lpstr>B_IVT_05</vt:lpstr>
      <vt:lpstr>B_IVT_06</vt:lpstr>
      <vt:lpstr>B_IVT_07</vt:lpstr>
      <vt:lpstr>B_IVT_08</vt:lpstr>
      <vt:lpstr>B_IVT_09</vt:lpstr>
      <vt:lpstr>B_IVT_10</vt:lpstr>
      <vt:lpstr>B_IVT_11</vt:lpstr>
      <vt:lpstr>B_IVT_12</vt:lpstr>
      <vt:lpstr>B_IVT_13</vt:lpstr>
      <vt:lpstr>B_IVT_14</vt:lpstr>
      <vt:lpstr>B_IVT_15</vt:lpstr>
      <vt:lpstr>B_IVT_16</vt:lpstr>
      <vt:lpstr>B_IVT_17</vt:lpstr>
      <vt:lpstr>B_IVT_18</vt:lpstr>
      <vt:lpstr>B_IVT_19</vt:lpstr>
      <vt:lpstr>B_IVT_20</vt:lpstr>
      <vt:lpstr>B_IVT_95</vt:lpstr>
      <vt:lpstr>B_IVT_96</vt:lpstr>
      <vt:lpstr>B_IVT_97</vt:lpstr>
      <vt:lpstr>B_IVT_98</vt:lpstr>
      <vt:lpstr>B_IVT_99</vt:lpstr>
      <vt:lpstr>B_MI_00</vt:lpstr>
      <vt:lpstr>B_MI_01</vt:lpstr>
      <vt:lpstr>B_MI_02</vt:lpstr>
      <vt:lpstr>B_MI_03</vt:lpstr>
      <vt:lpstr>B_MI_04</vt:lpstr>
      <vt:lpstr>B_MI_05</vt:lpstr>
      <vt:lpstr>B_MI_06</vt:lpstr>
      <vt:lpstr>B_MI_07</vt:lpstr>
      <vt:lpstr>B_MI_08</vt:lpstr>
      <vt:lpstr>B_MI_09</vt:lpstr>
      <vt:lpstr>B_MI_10</vt:lpstr>
      <vt:lpstr>B_MI_11</vt:lpstr>
      <vt:lpstr>B_MI_12</vt:lpstr>
      <vt:lpstr>B_MI_13</vt:lpstr>
      <vt:lpstr>B_MI_14</vt:lpstr>
      <vt:lpstr>B_MI_15</vt:lpstr>
      <vt:lpstr>B_MI_16</vt:lpstr>
      <vt:lpstr>B_MI_17</vt:lpstr>
      <vt:lpstr>B_MI_18</vt:lpstr>
      <vt:lpstr>B_MI_19</vt:lpstr>
      <vt:lpstr>B_MI_20</vt:lpstr>
      <vt:lpstr>B_MI_95</vt:lpstr>
      <vt:lpstr>B_MI_96</vt:lpstr>
      <vt:lpstr>B_MI_97</vt:lpstr>
      <vt:lpstr>B_MI_98</vt:lpstr>
      <vt:lpstr>B_MI_99</vt:lpstr>
      <vt:lpstr>B_NA_00</vt:lpstr>
      <vt:lpstr>B_NA_01</vt:lpstr>
      <vt:lpstr>B_NA_02</vt:lpstr>
      <vt:lpstr>B_NA_03</vt:lpstr>
      <vt:lpstr>B_NA_04</vt:lpstr>
      <vt:lpstr>B_NA_05</vt:lpstr>
      <vt:lpstr>B_NA_06</vt:lpstr>
      <vt:lpstr>B_NA_07</vt:lpstr>
      <vt:lpstr>B_NA_08</vt:lpstr>
      <vt:lpstr>B_NA_09</vt:lpstr>
      <vt:lpstr>B_NA_10</vt:lpstr>
      <vt:lpstr>B_NA_11</vt:lpstr>
      <vt:lpstr>B_NA_12</vt:lpstr>
      <vt:lpstr>B_NA_13</vt:lpstr>
      <vt:lpstr>B_NA_14</vt:lpstr>
      <vt:lpstr>B_NA_15</vt:lpstr>
      <vt:lpstr>B_NA_16</vt:lpstr>
      <vt:lpstr>B_NA_17</vt:lpstr>
      <vt:lpstr>B_NA_18</vt:lpstr>
      <vt:lpstr>B_NA_19</vt:lpstr>
      <vt:lpstr>B_NA_20</vt:lpstr>
      <vt:lpstr>B_NA_95</vt:lpstr>
      <vt:lpstr>B_NA_96</vt:lpstr>
      <vt:lpstr>B_NA_97</vt:lpstr>
      <vt:lpstr>B_NA_98</vt:lpstr>
      <vt:lpstr>B_NA_99</vt:lpstr>
      <vt:lpstr>B_NA_H1_00</vt:lpstr>
      <vt:lpstr>B_NA_H1_01</vt:lpstr>
      <vt:lpstr>B_NA_H1_02</vt:lpstr>
      <vt:lpstr>B_NA_H1_03</vt:lpstr>
      <vt:lpstr>B_NA_H1_04</vt:lpstr>
      <vt:lpstr>B_NA_H1_05</vt:lpstr>
      <vt:lpstr>B_NA_H1_06</vt:lpstr>
      <vt:lpstr>B_NA_H1_07</vt:lpstr>
      <vt:lpstr>B_NA_H1_08</vt:lpstr>
      <vt:lpstr>B_NA_H1_09</vt:lpstr>
      <vt:lpstr>B_NA_H1_10</vt:lpstr>
      <vt:lpstr>B_NA_H1_11</vt:lpstr>
      <vt:lpstr>B_NA_H1_12</vt:lpstr>
      <vt:lpstr>B_NA_H1_13</vt:lpstr>
      <vt:lpstr>B_NA_H1_14</vt:lpstr>
      <vt:lpstr>B_NA_H1_15</vt:lpstr>
      <vt:lpstr>B_NA_H1_16</vt:lpstr>
      <vt:lpstr>B_NA_H1_17</vt:lpstr>
      <vt:lpstr>B_NA_H1_18</vt:lpstr>
      <vt:lpstr>B_NA_H1_19</vt:lpstr>
      <vt:lpstr>B_NA_H1_20</vt:lpstr>
      <vt:lpstr>B_NA_H2_00</vt:lpstr>
      <vt:lpstr>B_NA_H2_01</vt:lpstr>
      <vt:lpstr>B_NA_H2_02</vt:lpstr>
      <vt:lpstr>B_NA_H2_03</vt:lpstr>
      <vt:lpstr>B_NA_H2_04</vt:lpstr>
      <vt:lpstr>B_NA_H2_05</vt:lpstr>
      <vt:lpstr>B_NA_H2_06</vt:lpstr>
      <vt:lpstr>B_NA_H2_07</vt:lpstr>
      <vt:lpstr>B_NA_H2_08</vt:lpstr>
      <vt:lpstr>B_NA_H2_09</vt:lpstr>
      <vt:lpstr>B_NA_H2_10</vt:lpstr>
      <vt:lpstr>B_NA_H2_11</vt:lpstr>
      <vt:lpstr>B_NA_H2_12</vt:lpstr>
      <vt:lpstr>B_NA_H2_13</vt:lpstr>
      <vt:lpstr>B_NA_H2_14</vt:lpstr>
      <vt:lpstr>B_NA_H2_15</vt:lpstr>
      <vt:lpstr>B_NA_H2_16</vt:lpstr>
      <vt:lpstr>B_NA_H2_17</vt:lpstr>
      <vt:lpstr>B_NA_H2_18</vt:lpstr>
      <vt:lpstr>B_NA_H2_19</vt:lpstr>
      <vt:lpstr>B_NA_H2_20</vt:lpstr>
      <vt:lpstr>B_NCA_AR_00</vt:lpstr>
      <vt:lpstr>B_NCA_AR_01</vt:lpstr>
      <vt:lpstr>B_NCA_AR_02</vt:lpstr>
      <vt:lpstr>B_NCA_AR_03</vt:lpstr>
      <vt:lpstr>B_NCA_AR_04</vt:lpstr>
      <vt:lpstr>B_NCA_AR_05</vt:lpstr>
      <vt:lpstr>B_NCA_AR_06</vt:lpstr>
      <vt:lpstr>B_NCA_AR_07</vt:lpstr>
      <vt:lpstr>B_NCA_AR_08</vt:lpstr>
      <vt:lpstr>B_NCA_AR_09</vt:lpstr>
      <vt:lpstr>B_NCA_AR_10</vt:lpstr>
      <vt:lpstr>B_NCA_AR_11</vt:lpstr>
      <vt:lpstr>B_NCA_AR_12</vt:lpstr>
      <vt:lpstr>B_NCA_AR_13</vt:lpstr>
      <vt:lpstr>B_NCA_AR_14</vt:lpstr>
      <vt:lpstr>B_NCA_AR_15</vt:lpstr>
      <vt:lpstr>B_NCA_AR_16</vt:lpstr>
      <vt:lpstr>B_NCA_AR_17</vt:lpstr>
      <vt:lpstr>B_NCA_AR_18</vt:lpstr>
      <vt:lpstr>B_NCA_AR_19</vt:lpstr>
      <vt:lpstr>B_NCA_AR_20</vt:lpstr>
      <vt:lpstr>B_NCA_AR_H1_00</vt:lpstr>
      <vt:lpstr>B_NCA_AR_H1_01</vt:lpstr>
      <vt:lpstr>B_NCA_AR_H1_02</vt:lpstr>
      <vt:lpstr>B_NCA_AR_H1_03</vt:lpstr>
      <vt:lpstr>B_NCA_AR_H1_04</vt:lpstr>
      <vt:lpstr>B_NCA_AR_H1_05</vt:lpstr>
      <vt:lpstr>B_NCA_AR_H1_06</vt:lpstr>
      <vt:lpstr>B_NCA_AR_H1_07</vt:lpstr>
      <vt:lpstr>B_NCA_AR_H1_08</vt:lpstr>
      <vt:lpstr>B_NCA_AR_H1_09</vt:lpstr>
      <vt:lpstr>B_NCA_AR_H1_10</vt:lpstr>
      <vt:lpstr>B_NCA_AR_H1_11</vt:lpstr>
      <vt:lpstr>B_NCA_AR_H1_12</vt:lpstr>
      <vt:lpstr>B_NCA_AR_H1_13</vt:lpstr>
      <vt:lpstr>B_NCA_AR_H1_14</vt:lpstr>
      <vt:lpstr>B_NCA_AR_H1_15</vt:lpstr>
      <vt:lpstr>B_NCA_AR_H1_16</vt:lpstr>
      <vt:lpstr>B_NCA_AR_H1_17</vt:lpstr>
      <vt:lpstr>B_NCA_AR_H1_18</vt:lpstr>
      <vt:lpstr>B_NCA_AR_H1_19</vt:lpstr>
      <vt:lpstr>B_NCA_AR_H1_20</vt:lpstr>
      <vt:lpstr>B_NCA_AR_H2_00</vt:lpstr>
      <vt:lpstr>B_NCA_AR_H2_01</vt:lpstr>
      <vt:lpstr>B_NCA_AR_H2_02</vt:lpstr>
      <vt:lpstr>B_NCA_AR_H2_03</vt:lpstr>
      <vt:lpstr>B_NCA_AR_H2_04</vt:lpstr>
      <vt:lpstr>B_NCA_AR_H2_05</vt:lpstr>
      <vt:lpstr>B_NCA_AR_H2_06</vt:lpstr>
      <vt:lpstr>B_NCA_AR_H2_07</vt:lpstr>
      <vt:lpstr>B_NCA_AR_H2_08</vt:lpstr>
      <vt:lpstr>B_NCA_AR_H2_09</vt:lpstr>
      <vt:lpstr>B_NCA_AR_H2_10</vt:lpstr>
      <vt:lpstr>B_NCA_AR_H2_11</vt:lpstr>
      <vt:lpstr>B_NCA_AR_H2_12</vt:lpstr>
      <vt:lpstr>B_NCA_AR_H2_13</vt:lpstr>
      <vt:lpstr>B_NCA_AR_H2_14</vt:lpstr>
      <vt:lpstr>B_NCA_AR_H2_15</vt:lpstr>
      <vt:lpstr>B_NCA_AR_H2_16</vt:lpstr>
      <vt:lpstr>B_NCA_AR_H2_17</vt:lpstr>
      <vt:lpstr>B_NCA_AR_H2_18</vt:lpstr>
      <vt:lpstr>B_NCA_AR_H2_19</vt:lpstr>
      <vt:lpstr>B_NCA_AR_H2_20</vt:lpstr>
      <vt:lpstr>B_NCA_Brand_00</vt:lpstr>
      <vt:lpstr>B_NCA_Brand_01</vt:lpstr>
      <vt:lpstr>B_NCA_Brand_02</vt:lpstr>
      <vt:lpstr>B_NCA_Brand_03</vt:lpstr>
      <vt:lpstr>B_NCA_Brand_04</vt:lpstr>
      <vt:lpstr>B_NCA_Brand_05</vt:lpstr>
      <vt:lpstr>B_NCA_Brand_06</vt:lpstr>
      <vt:lpstr>B_NCA_Brand_07</vt:lpstr>
      <vt:lpstr>B_NCA_Brand_08</vt:lpstr>
      <vt:lpstr>B_NCA_Brand_09</vt:lpstr>
      <vt:lpstr>B_NCA_Brand_10</vt:lpstr>
      <vt:lpstr>B_NCA_Brand_11</vt:lpstr>
      <vt:lpstr>B_NCA_Brand_12</vt:lpstr>
      <vt:lpstr>B_NCA_Brand_13</vt:lpstr>
      <vt:lpstr>B_NCA_Brand_14</vt:lpstr>
      <vt:lpstr>B_NCA_Brand_15</vt:lpstr>
      <vt:lpstr>B_NCA_Brand_16</vt:lpstr>
      <vt:lpstr>B_NCA_Brand_17</vt:lpstr>
      <vt:lpstr>B_NCA_Brand_18</vt:lpstr>
      <vt:lpstr>B_NCA_Brand_19</vt:lpstr>
      <vt:lpstr>B_NCA_Brand_20</vt:lpstr>
      <vt:lpstr>B_NCA_Brand_H1_00</vt:lpstr>
      <vt:lpstr>B_NCA_Brand_H1_01</vt:lpstr>
      <vt:lpstr>B_NCA_Brand_H1_02</vt:lpstr>
      <vt:lpstr>B_NCA_Brand_H1_03</vt:lpstr>
      <vt:lpstr>B_NCA_Brand_H1_04</vt:lpstr>
      <vt:lpstr>B_NCA_Brand_H1_05</vt:lpstr>
      <vt:lpstr>B_NCA_Brand_H1_06</vt:lpstr>
      <vt:lpstr>B_NCA_Brand_H1_07</vt:lpstr>
      <vt:lpstr>B_NCA_Brand_H1_08</vt:lpstr>
      <vt:lpstr>B_NCA_Brand_H1_09</vt:lpstr>
      <vt:lpstr>B_NCA_Brand_H1_10</vt:lpstr>
      <vt:lpstr>B_NCA_Brand_H1_11</vt:lpstr>
      <vt:lpstr>B_NCA_Brand_H1_12</vt:lpstr>
      <vt:lpstr>B_NCA_Brand_H1_13</vt:lpstr>
      <vt:lpstr>B_NCA_Brand_H1_14</vt:lpstr>
      <vt:lpstr>B_NCA_Brand_H1_15</vt:lpstr>
      <vt:lpstr>B_NCA_Brand_H1_16</vt:lpstr>
      <vt:lpstr>B_NCA_Brand_H1_17</vt:lpstr>
      <vt:lpstr>B_NCA_Brand_H1_18</vt:lpstr>
      <vt:lpstr>B_NCA_Brand_H1_19</vt:lpstr>
      <vt:lpstr>B_NCA_Brand_H1_20</vt:lpstr>
      <vt:lpstr>B_NCA_Brand_H2_00</vt:lpstr>
      <vt:lpstr>B_NCA_Brand_H2_01</vt:lpstr>
      <vt:lpstr>B_NCA_Brand_H2_02</vt:lpstr>
      <vt:lpstr>B_NCA_Brand_H2_03</vt:lpstr>
      <vt:lpstr>B_NCA_Brand_H2_04</vt:lpstr>
      <vt:lpstr>B_NCA_Brand_H2_05</vt:lpstr>
      <vt:lpstr>B_NCA_Brand_H2_06</vt:lpstr>
      <vt:lpstr>B_NCA_Brand_H2_07</vt:lpstr>
      <vt:lpstr>B_NCA_Brand_H2_08</vt:lpstr>
      <vt:lpstr>B_NCA_Brand_H2_09</vt:lpstr>
      <vt:lpstr>B_NCA_Brand_H2_10</vt:lpstr>
      <vt:lpstr>B_NCA_Brand_H2_11</vt:lpstr>
      <vt:lpstr>B_NCA_Brand_H2_12</vt:lpstr>
      <vt:lpstr>B_NCA_Brand_H2_13</vt:lpstr>
      <vt:lpstr>B_NCA_Brand_H2_14</vt:lpstr>
      <vt:lpstr>B_NCA_Brand_H2_15</vt:lpstr>
      <vt:lpstr>B_NCA_Brand_H2_16</vt:lpstr>
      <vt:lpstr>B_NCA_Brand_H2_17</vt:lpstr>
      <vt:lpstr>B_NCA_Brand_H2_18</vt:lpstr>
      <vt:lpstr>B_NCA_Brand_H2_19</vt:lpstr>
      <vt:lpstr>B_NCA_Brand_H2_20</vt:lpstr>
      <vt:lpstr>B_NCA_FITB_00</vt:lpstr>
      <vt:lpstr>B_NCA_FITB_01</vt:lpstr>
      <vt:lpstr>B_NCA_FITB_02</vt:lpstr>
      <vt:lpstr>B_NCA_FITB_03</vt:lpstr>
      <vt:lpstr>B_NCA_FITB_04</vt:lpstr>
      <vt:lpstr>B_NCA_FITB_05</vt:lpstr>
      <vt:lpstr>B_NCA_FITB_06</vt:lpstr>
      <vt:lpstr>B_NCA_FITB_07</vt:lpstr>
      <vt:lpstr>B_NCA_FITB_08</vt:lpstr>
      <vt:lpstr>B_NCA_FITB_09</vt:lpstr>
      <vt:lpstr>B_NCA_FITB_10</vt:lpstr>
      <vt:lpstr>B_NCA_FITB_11</vt:lpstr>
      <vt:lpstr>B_NCA_FITB_12</vt:lpstr>
      <vt:lpstr>B_NCA_FITB_13</vt:lpstr>
      <vt:lpstr>B_NCA_FITB_14</vt:lpstr>
      <vt:lpstr>B_NCA_FITB_15</vt:lpstr>
      <vt:lpstr>B_NCA_FITB_16</vt:lpstr>
      <vt:lpstr>B_NCA_FITB_17</vt:lpstr>
      <vt:lpstr>B_NCA_FITB_18</vt:lpstr>
      <vt:lpstr>B_NCA_FITB_19</vt:lpstr>
      <vt:lpstr>B_NCA_FITB_20</vt:lpstr>
      <vt:lpstr>B_NCA_FITB_H1_00</vt:lpstr>
      <vt:lpstr>B_NCA_FITB_H1_01</vt:lpstr>
      <vt:lpstr>B_NCA_FITB_H1_02</vt:lpstr>
      <vt:lpstr>B_NCA_FITB_H1_03</vt:lpstr>
      <vt:lpstr>B_NCA_FITB_H1_04</vt:lpstr>
      <vt:lpstr>B_NCA_FITB_H1_05</vt:lpstr>
      <vt:lpstr>B_NCA_FITB_H1_06</vt:lpstr>
      <vt:lpstr>B_NCA_FITB_H1_07</vt:lpstr>
      <vt:lpstr>B_NCA_FITB_H1_08</vt:lpstr>
      <vt:lpstr>B_NCA_FITB_H1_09</vt:lpstr>
      <vt:lpstr>B_NCA_FITB_H1_10</vt:lpstr>
      <vt:lpstr>B_NCA_FITB_H1_11</vt:lpstr>
      <vt:lpstr>B_NCA_FITB_H1_12</vt:lpstr>
      <vt:lpstr>B_NCA_FITB_H1_13</vt:lpstr>
      <vt:lpstr>B_NCA_FITB_H1_14</vt:lpstr>
      <vt:lpstr>B_NCA_FITB_H1_15</vt:lpstr>
      <vt:lpstr>B_NCA_FITB_H1_16</vt:lpstr>
      <vt:lpstr>B_NCA_FITB_H1_17</vt:lpstr>
      <vt:lpstr>B_NCA_FITB_H1_18</vt:lpstr>
      <vt:lpstr>B_NCA_FITB_H1_19</vt:lpstr>
      <vt:lpstr>B_NCA_FITB_H1_20</vt:lpstr>
      <vt:lpstr>B_NCA_FITB_H2_00</vt:lpstr>
      <vt:lpstr>B_NCA_FITB_H2_01</vt:lpstr>
      <vt:lpstr>B_NCA_FITB_H2_02</vt:lpstr>
      <vt:lpstr>B_NCA_FITB_H2_03</vt:lpstr>
      <vt:lpstr>B_NCA_FITB_H2_04</vt:lpstr>
      <vt:lpstr>B_NCA_FITB_H2_05</vt:lpstr>
      <vt:lpstr>B_NCA_FITB_H2_06</vt:lpstr>
      <vt:lpstr>B_NCA_FITB_H2_07</vt:lpstr>
      <vt:lpstr>B_NCA_FITB_H2_08</vt:lpstr>
      <vt:lpstr>B_NCA_FITB_H2_09</vt:lpstr>
      <vt:lpstr>B_NCA_FITB_H2_10</vt:lpstr>
      <vt:lpstr>B_NCA_FITB_H2_11</vt:lpstr>
      <vt:lpstr>B_NCA_FITB_H2_12</vt:lpstr>
      <vt:lpstr>B_NCA_FITB_H2_13</vt:lpstr>
      <vt:lpstr>B_NCA_FITB_H2_14</vt:lpstr>
      <vt:lpstr>B_NCA_FITB_H2_15</vt:lpstr>
      <vt:lpstr>B_NCA_FITB_H2_16</vt:lpstr>
      <vt:lpstr>B_NCA_FITB_H2_17</vt:lpstr>
      <vt:lpstr>B_NCA_FITB_H2_18</vt:lpstr>
      <vt:lpstr>B_NCA_FITB_H2_19</vt:lpstr>
      <vt:lpstr>B_NCA_FITB_H2_20</vt:lpstr>
      <vt:lpstr>B_NCA_GW_00</vt:lpstr>
      <vt:lpstr>B_NCA_GW_01</vt:lpstr>
      <vt:lpstr>B_NCA_GW_02</vt:lpstr>
      <vt:lpstr>B_NCA_GW_03</vt:lpstr>
      <vt:lpstr>B_NCA_GW_04</vt:lpstr>
      <vt:lpstr>B_NCA_GW_05</vt:lpstr>
      <vt:lpstr>B_NCA_GW_06</vt:lpstr>
      <vt:lpstr>B_NCA_GW_07</vt:lpstr>
      <vt:lpstr>B_NCA_GW_08</vt:lpstr>
      <vt:lpstr>B_NCA_GW_09</vt:lpstr>
      <vt:lpstr>B_NCA_GW_10</vt:lpstr>
      <vt:lpstr>B_NCA_GW_11</vt:lpstr>
      <vt:lpstr>B_NCA_GW_12</vt:lpstr>
      <vt:lpstr>B_NCA_GW_13</vt:lpstr>
      <vt:lpstr>B_NCA_GW_14</vt:lpstr>
      <vt:lpstr>B_NCA_GW_15</vt:lpstr>
      <vt:lpstr>B_NCA_GW_16</vt:lpstr>
      <vt:lpstr>B_NCA_GW_17</vt:lpstr>
      <vt:lpstr>B_NCA_GW_18</vt:lpstr>
      <vt:lpstr>B_NCA_GW_19</vt:lpstr>
      <vt:lpstr>B_NCA_GW_20</vt:lpstr>
      <vt:lpstr>B_NCA_GW_H1_00</vt:lpstr>
      <vt:lpstr>B_NCA_GW_H1_01</vt:lpstr>
      <vt:lpstr>B_NCA_GW_H1_02</vt:lpstr>
      <vt:lpstr>B_NCA_GW_H1_03</vt:lpstr>
      <vt:lpstr>B_NCA_GW_H1_04</vt:lpstr>
      <vt:lpstr>B_NCA_GW_H1_05</vt:lpstr>
      <vt:lpstr>B_NCA_GW_H1_06</vt:lpstr>
      <vt:lpstr>B_NCA_GW_H1_07</vt:lpstr>
      <vt:lpstr>B_NCA_GW_H1_08</vt:lpstr>
      <vt:lpstr>B_NCA_GW_H1_09</vt:lpstr>
      <vt:lpstr>B_NCA_GW_H1_10</vt:lpstr>
      <vt:lpstr>B_NCA_GW_H1_11</vt:lpstr>
      <vt:lpstr>B_NCA_GW_H1_12</vt:lpstr>
      <vt:lpstr>B_NCA_GW_H1_13</vt:lpstr>
      <vt:lpstr>B_NCA_GW_H1_14</vt:lpstr>
      <vt:lpstr>B_NCA_GW_H1_15</vt:lpstr>
      <vt:lpstr>B_NCA_GW_H1_16</vt:lpstr>
      <vt:lpstr>B_NCA_GW_H1_17</vt:lpstr>
      <vt:lpstr>B_NCA_GW_H1_18</vt:lpstr>
      <vt:lpstr>B_NCA_GW_H1_19</vt:lpstr>
      <vt:lpstr>B_NCA_GW_H1_20</vt:lpstr>
      <vt:lpstr>B_NCA_GW_H2_00</vt:lpstr>
      <vt:lpstr>B_NCA_GW_H2_01</vt:lpstr>
      <vt:lpstr>B_NCA_GW_H2_02</vt:lpstr>
      <vt:lpstr>B_NCA_GW_H2_03</vt:lpstr>
      <vt:lpstr>B_NCA_GW_H2_04</vt:lpstr>
      <vt:lpstr>B_NCA_GW_H2_05</vt:lpstr>
      <vt:lpstr>B_NCA_GW_H2_06</vt:lpstr>
      <vt:lpstr>B_NCA_GW_H2_07</vt:lpstr>
      <vt:lpstr>B_NCA_GW_H2_08</vt:lpstr>
      <vt:lpstr>B_NCA_GW_H2_09</vt:lpstr>
      <vt:lpstr>B_NCA_GW_H2_10</vt:lpstr>
      <vt:lpstr>B_NCA_GW_H2_11</vt:lpstr>
      <vt:lpstr>B_NCA_GW_H2_12</vt:lpstr>
      <vt:lpstr>B_NCA_GW_H2_13</vt:lpstr>
      <vt:lpstr>B_NCA_GW_H2_14</vt:lpstr>
      <vt:lpstr>B_NCA_GW_H2_15</vt:lpstr>
      <vt:lpstr>B_NCA_GW_H2_16</vt:lpstr>
      <vt:lpstr>B_NCA_GW_H2_17</vt:lpstr>
      <vt:lpstr>B_NCA_GW_H2_18</vt:lpstr>
      <vt:lpstr>B_NCA_GW_H2_19</vt:lpstr>
      <vt:lpstr>B_NCA_GW_H2_20</vt:lpstr>
      <vt:lpstr>B_NCA_InvA_00</vt:lpstr>
      <vt:lpstr>B_NCA_InvA_01</vt:lpstr>
      <vt:lpstr>B_NCA_InvA_02</vt:lpstr>
      <vt:lpstr>B_NCA_InvA_03</vt:lpstr>
      <vt:lpstr>B_NCA_InvA_04</vt:lpstr>
      <vt:lpstr>B_NCA_InvA_05</vt:lpstr>
      <vt:lpstr>B_NCA_InvA_06</vt:lpstr>
      <vt:lpstr>B_NCA_InvA_07</vt:lpstr>
      <vt:lpstr>B_NCA_InvA_08</vt:lpstr>
      <vt:lpstr>B_NCA_InvA_09</vt:lpstr>
      <vt:lpstr>B_NCA_InvA_10</vt:lpstr>
      <vt:lpstr>B_NCA_InvA_11</vt:lpstr>
      <vt:lpstr>B_NCA_InvA_12</vt:lpstr>
      <vt:lpstr>B_NCA_InvA_13</vt:lpstr>
      <vt:lpstr>B_NCA_InvA_14</vt:lpstr>
      <vt:lpstr>B_NCA_InvA_15</vt:lpstr>
      <vt:lpstr>B_NCA_InvA_16</vt:lpstr>
      <vt:lpstr>B_NCA_InvA_17</vt:lpstr>
      <vt:lpstr>B_NCA_InvA_18</vt:lpstr>
      <vt:lpstr>B_NCA_InvA_19</vt:lpstr>
      <vt:lpstr>B_NCA_InvA_20</vt:lpstr>
      <vt:lpstr>B_NCA_InvA_H1_00</vt:lpstr>
      <vt:lpstr>B_NCA_InvA_H1_01</vt:lpstr>
      <vt:lpstr>B_NCA_InvA_H1_02</vt:lpstr>
      <vt:lpstr>B_NCA_InvA_H1_03</vt:lpstr>
      <vt:lpstr>B_NCA_InvA_H1_04</vt:lpstr>
      <vt:lpstr>B_NCA_InvA_H1_05</vt:lpstr>
      <vt:lpstr>B_NCA_InvA_H1_06</vt:lpstr>
      <vt:lpstr>B_NCA_InvA_H1_07</vt:lpstr>
      <vt:lpstr>B_NCA_InvA_H1_08</vt:lpstr>
      <vt:lpstr>B_NCA_InvA_H1_09</vt:lpstr>
      <vt:lpstr>B_NCA_InvA_H1_10</vt:lpstr>
      <vt:lpstr>B_NCA_InvA_H1_11</vt:lpstr>
      <vt:lpstr>B_NCA_InvA_H1_12</vt:lpstr>
      <vt:lpstr>B_NCA_InvA_H1_13</vt:lpstr>
      <vt:lpstr>B_NCA_InvA_H1_14</vt:lpstr>
      <vt:lpstr>B_NCA_InvA_H1_15</vt:lpstr>
      <vt:lpstr>B_NCA_InvA_H1_16</vt:lpstr>
      <vt:lpstr>B_NCA_InvA_H1_17</vt:lpstr>
      <vt:lpstr>B_NCA_InvA_H1_18</vt:lpstr>
      <vt:lpstr>B_NCA_InvA_H1_19</vt:lpstr>
      <vt:lpstr>B_NCA_InvA_H1_20</vt:lpstr>
      <vt:lpstr>B_NCA_InvA_H2_00</vt:lpstr>
      <vt:lpstr>B_NCA_InvA_H2_01</vt:lpstr>
      <vt:lpstr>B_NCA_InvA_H2_02</vt:lpstr>
      <vt:lpstr>B_NCA_InvA_H2_03</vt:lpstr>
      <vt:lpstr>B_NCA_InvA_H2_04</vt:lpstr>
      <vt:lpstr>B_NCA_InvA_H2_05</vt:lpstr>
      <vt:lpstr>B_NCA_InvA_H2_06</vt:lpstr>
      <vt:lpstr>B_NCA_InvA_H2_07</vt:lpstr>
      <vt:lpstr>B_NCA_InvA_H2_08</vt:lpstr>
      <vt:lpstr>B_NCA_InvA_H2_09</vt:lpstr>
      <vt:lpstr>B_NCA_InvA_H2_10</vt:lpstr>
      <vt:lpstr>B_NCA_InvA_H2_11</vt:lpstr>
      <vt:lpstr>B_NCA_InvA_H2_12</vt:lpstr>
      <vt:lpstr>B_NCA_InvA_H2_13</vt:lpstr>
      <vt:lpstr>B_NCA_InvA_H2_14</vt:lpstr>
      <vt:lpstr>B_NCA_InvA_H2_15</vt:lpstr>
      <vt:lpstr>B_NCA_InvA_H2_16</vt:lpstr>
      <vt:lpstr>B_NCA_InvA_H2_17</vt:lpstr>
      <vt:lpstr>B_NCA_InvA_H2_18</vt:lpstr>
      <vt:lpstr>B_NCA_InvA_H2_19</vt:lpstr>
      <vt:lpstr>B_NCA_InvA_H2_20</vt:lpstr>
      <vt:lpstr>B_NCA_Invent_00</vt:lpstr>
      <vt:lpstr>B_NCA_Invent_01</vt:lpstr>
      <vt:lpstr>B_NCA_Invent_02</vt:lpstr>
      <vt:lpstr>B_NCA_Invent_03</vt:lpstr>
      <vt:lpstr>B_NCA_Invent_04</vt:lpstr>
      <vt:lpstr>B_NCA_Invent_05</vt:lpstr>
      <vt:lpstr>B_NCA_Invent_06</vt:lpstr>
      <vt:lpstr>B_NCA_Invent_07</vt:lpstr>
      <vt:lpstr>B_NCA_Invent_08</vt:lpstr>
      <vt:lpstr>B_NCA_Invent_09</vt:lpstr>
      <vt:lpstr>B_NCA_Invent_10</vt:lpstr>
      <vt:lpstr>B_NCA_Invent_11</vt:lpstr>
      <vt:lpstr>B_NCA_Invent_12</vt:lpstr>
      <vt:lpstr>B_NCA_Invent_13</vt:lpstr>
      <vt:lpstr>B_NCA_Invent_14</vt:lpstr>
      <vt:lpstr>B_NCA_Invent_15</vt:lpstr>
      <vt:lpstr>B_NCA_Invent_16</vt:lpstr>
      <vt:lpstr>B_NCA_Invent_17</vt:lpstr>
      <vt:lpstr>B_NCA_Invent_18</vt:lpstr>
      <vt:lpstr>B_NCA_Invent_19</vt:lpstr>
      <vt:lpstr>B_NCA_Invent_20</vt:lpstr>
      <vt:lpstr>B_NCA_Invent_H1_00</vt:lpstr>
      <vt:lpstr>B_NCA_Invent_H1_01</vt:lpstr>
      <vt:lpstr>B_NCA_Invent_H1_02</vt:lpstr>
      <vt:lpstr>B_NCA_Invent_H1_03</vt:lpstr>
      <vt:lpstr>B_NCA_Invent_H1_04</vt:lpstr>
      <vt:lpstr>B_NCA_Invent_H1_05</vt:lpstr>
      <vt:lpstr>B_NCA_Invent_H1_06</vt:lpstr>
      <vt:lpstr>B_NCA_Invent_H1_07</vt:lpstr>
      <vt:lpstr>B_NCA_Invent_H1_08</vt:lpstr>
      <vt:lpstr>B_NCA_Invent_H1_09</vt:lpstr>
      <vt:lpstr>B_NCA_Invent_H1_10</vt:lpstr>
      <vt:lpstr>B_NCA_Invent_H1_11</vt:lpstr>
      <vt:lpstr>B_NCA_Invent_H1_12</vt:lpstr>
      <vt:lpstr>B_NCA_Invent_H1_13</vt:lpstr>
      <vt:lpstr>B_NCA_Invent_H1_14</vt:lpstr>
      <vt:lpstr>B_NCA_Invent_H1_15</vt:lpstr>
      <vt:lpstr>B_NCA_Invent_H1_16</vt:lpstr>
      <vt:lpstr>B_NCA_Invent_H1_17</vt:lpstr>
      <vt:lpstr>B_NCA_Invent_H1_18</vt:lpstr>
      <vt:lpstr>B_NCA_Invent_H1_19</vt:lpstr>
      <vt:lpstr>B_NCA_Invent_H1_20</vt:lpstr>
      <vt:lpstr>B_NCA_Invent_H2_00</vt:lpstr>
      <vt:lpstr>B_NCA_Invent_H2_01</vt:lpstr>
      <vt:lpstr>B_NCA_Invent_H2_02</vt:lpstr>
      <vt:lpstr>B_NCA_Invent_H2_03</vt:lpstr>
      <vt:lpstr>B_NCA_Invent_H2_04</vt:lpstr>
      <vt:lpstr>B_NCA_Invent_H2_05</vt:lpstr>
      <vt:lpstr>B_NCA_Invent_H2_06</vt:lpstr>
      <vt:lpstr>B_NCA_Invent_H2_07</vt:lpstr>
      <vt:lpstr>B_NCA_Invent_H2_08</vt:lpstr>
      <vt:lpstr>B_NCA_Invent_H2_09</vt:lpstr>
      <vt:lpstr>B_NCA_Invent_H2_10</vt:lpstr>
      <vt:lpstr>B_NCA_Invent_H2_11</vt:lpstr>
      <vt:lpstr>B_NCA_Invent_H2_12</vt:lpstr>
      <vt:lpstr>B_NCA_Invent_H2_13</vt:lpstr>
      <vt:lpstr>B_NCA_Invent_H2_14</vt:lpstr>
      <vt:lpstr>B_NCA_Invent_H2_15</vt:lpstr>
      <vt:lpstr>B_NCA_Invent_H2_16</vt:lpstr>
      <vt:lpstr>B_NCA_Invent_H2_17</vt:lpstr>
      <vt:lpstr>B_NCA_Invent_H2_18</vt:lpstr>
      <vt:lpstr>B_NCA_Invent_H2_19</vt:lpstr>
      <vt:lpstr>B_NCA_Invent_H2_20</vt:lpstr>
      <vt:lpstr>B_NCA_InvO_00</vt:lpstr>
      <vt:lpstr>B_NCA_InvO_01</vt:lpstr>
      <vt:lpstr>B_NCA_InvO_02</vt:lpstr>
      <vt:lpstr>B_NCA_InvO_03</vt:lpstr>
      <vt:lpstr>B_NCA_InvO_04</vt:lpstr>
      <vt:lpstr>B_NCA_InvO_05</vt:lpstr>
      <vt:lpstr>B_NCA_InvO_06</vt:lpstr>
      <vt:lpstr>B_NCA_InvO_07</vt:lpstr>
      <vt:lpstr>B_NCA_InvO_08</vt:lpstr>
      <vt:lpstr>B_NCA_InvO_09</vt:lpstr>
      <vt:lpstr>B_NCA_InvO_10</vt:lpstr>
      <vt:lpstr>B_NCA_InvO_11</vt:lpstr>
      <vt:lpstr>B_NCA_InvO_12</vt:lpstr>
      <vt:lpstr>B_NCA_InvO_13</vt:lpstr>
      <vt:lpstr>B_NCA_InvO_14</vt:lpstr>
      <vt:lpstr>B_NCA_InvO_15</vt:lpstr>
      <vt:lpstr>B_NCA_InvO_16</vt:lpstr>
      <vt:lpstr>B_NCA_InvO_17</vt:lpstr>
      <vt:lpstr>B_NCA_InvO_18</vt:lpstr>
      <vt:lpstr>B_NCA_InvO_19</vt:lpstr>
      <vt:lpstr>B_NCA_InvO_20</vt:lpstr>
      <vt:lpstr>B_NCA_InvO_H1_00</vt:lpstr>
      <vt:lpstr>B_NCA_InvO_H1_01</vt:lpstr>
      <vt:lpstr>B_NCA_InvO_H1_02</vt:lpstr>
      <vt:lpstr>B_NCA_InvO_H1_03</vt:lpstr>
      <vt:lpstr>B_NCA_InvO_H1_04</vt:lpstr>
      <vt:lpstr>B_NCA_InvO_H1_05</vt:lpstr>
      <vt:lpstr>B_NCA_InvO_H1_06</vt:lpstr>
      <vt:lpstr>B_NCA_InvO_H1_07</vt:lpstr>
      <vt:lpstr>B_NCA_InvO_H1_08</vt:lpstr>
      <vt:lpstr>B_NCA_InvO_H1_09</vt:lpstr>
      <vt:lpstr>B_NCA_InvO_H1_10</vt:lpstr>
      <vt:lpstr>B_NCA_InvO_H1_11</vt:lpstr>
      <vt:lpstr>B_NCA_InvO_H1_12</vt:lpstr>
      <vt:lpstr>B_NCA_InvO_H1_13</vt:lpstr>
      <vt:lpstr>B_NCA_InvO_H1_14</vt:lpstr>
      <vt:lpstr>B_NCA_InvO_H1_15</vt:lpstr>
      <vt:lpstr>B_NCA_InvO_H1_16</vt:lpstr>
      <vt:lpstr>B_NCA_InvO_H1_17</vt:lpstr>
      <vt:lpstr>B_NCA_InvO_H1_18</vt:lpstr>
      <vt:lpstr>B_NCA_InvO_H1_19</vt:lpstr>
      <vt:lpstr>B_NCA_InvO_H1_20</vt:lpstr>
      <vt:lpstr>B_NCA_InvO_H2_00</vt:lpstr>
      <vt:lpstr>B_NCA_InvO_H2_01</vt:lpstr>
      <vt:lpstr>B_NCA_InvO_H2_02</vt:lpstr>
      <vt:lpstr>B_NCA_InvO_H2_03</vt:lpstr>
      <vt:lpstr>B_NCA_InvO_H2_04</vt:lpstr>
      <vt:lpstr>B_NCA_InvO_H2_05</vt:lpstr>
      <vt:lpstr>B_NCA_InvO_H2_06</vt:lpstr>
      <vt:lpstr>B_NCA_InvO_H2_07</vt:lpstr>
      <vt:lpstr>B_NCA_InvO_H2_08</vt:lpstr>
      <vt:lpstr>B_NCA_InvO_H2_09</vt:lpstr>
      <vt:lpstr>B_NCA_InvO_H2_10</vt:lpstr>
      <vt:lpstr>B_NCA_InvO_H2_11</vt:lpstr>
      <vt:lpstr>B_NCA_InvO_H2_12</vt:lpstr>
      <vt:lpstr>B_NCA_InvO_H2_13</vt:lpstr>
      <vt:lpstr>B_NCA_InvO_H2_14</vt:lpstr>
      <vt:lpstr>B_NCA_InvO_H2_15</vt:lpstr>
      <vt:lpstr>B_NCA_InvO_H2_16</vt:lpstr>
      <vt:lpstr>B_NCA_InvO_H2_17</vt:lpstr>
      <vt:lpstr>B_NCA_InvO_H2_18</vt:lpstr>
      <vt:lpstr>B_NCA_InvO_H2_19</vt:lpstr>
      <vt:lpstr>B_NCA_InvO_H2_20</vt:lpstr>
      <vt:lpstr>B_NCA_Lic_00</vt:lpstr>
      <vt:lpstr>B_NCA_Lic_01</vt:lpstr>
      <vt:lpstr>B_NCA_Lic_02</vt:lpstr>
      <vt:lpstr>B_NCA_Lic_03</vt:lpstr>
      <vt:lpstr>B_NCA_Lic_04</vt:lpstr>
      <vt:lpstr>B_NCA_Lic_05</vt:lpstr>
      <vt:lpstr>B_NCA_Lic_06</vt:lpstr>
      <vt:lpstr>B_NCA_Lic_07</vt:lpstr>
      <vt:lpstr>B_NCA_Lic_08</vt:lpstr>
      <vt:lpstr>B_NCA_Lic_09</vt:lpstr>
      <vt:lpstr>B_NCA_Lic_10</vt:lpstr>
      <vt:lpstr>B_NCA_Lic_11</vt:lpstr>
      <vt:lpstr>B_NCA_Lic_12</vt:lpstr>
      <vt:lpstr>B_NCA_Lic_13</vt:lpstr>
      <vt:lpstr>B_NCA_Lic_14</vt:lpstr>
      <vt:lpstr>B_NCA_Lic_15</vt:lpstr>
      <vt:lpstr>B_NCA_Lic_16</vt:lpstr>
      <vt:lpstr>B_NCA_Lic_17</vt:lpstr>
      <vt:lpstr>B_NCA_Lic_18</vt:lpstr>
      <vt:lpstr>B_NCA_Lic_19</vt:lpstr>
      <vt:lpstr>B_NCA_Lic_20</vt:lpstr>
      <vt:lpstr>B_NCA_Lic_H1_00</vt:lpstr>
      <vt:lpstr>B_NCA_Lic_H1_01</vt:lpstr>
      <vt:lpstr>B_NCA_Lic_H1_02</vt:lpstr>
      <vt:lpstr>B_NCA_Lic_H1_03</vt:lpstr>
      <vt:lpstr>B_NCA_Lic_H1_04</vt:lpstr>
      <vt:lpstr>B_NCA_Lic_H1_05</vt:lpstr>
      <vt:lpstr>B_NCA_Lic_H1_06</vt:lpstr>
      <vt:lpstr>B_NCA_Lic_H1_07</vt:lpstr>
      <vt:lpstr>B_NCA_Lic_H1_08</vt:lpstr>
      <vt:lpstr>B_NCA_Lic_H1_09</vt:lpstr>
      <vt:lpstr>B_NCA_Lic_H1_10</vt:lpstr>
      <vt:lpstr>B_NCA_Lic_H1_11</vt:lpstr>
      <vt:lpstr>B_NCA_Lic_H1_12</vt:lpstr>
      <vt:lpstr>B_NCA_Lic_H1_13</vt:lpstr>
      <vt:lpstr>B_NCA_Lic_H1_14</vt:lpstr>
      <vt:lpstr>B_NCA_Lic_H1_15</vt:lpstr>
      <vt:lpstr>B_NCA_Lic_H1_16</vt:lpstr>
      <vt:lpstr>B_NCA_Lic_H1_17</vt:lpstr>
      <vt:lpstr>B_NCA_Lic_H1_18</vt:lpstr>
      <vt:lpstr>B_NCA_Lic_H1_19</vt:lpstr>
      <vt:lpstr>B_NCA_Lic_H1_20</vt:lpstr>
      <vt:lpstr>B_NCA_Lic_H2_00</vt:lpstr>
      <vt:lpstr>B_NCA_Lic_H2_01</vt:lpstr>
      <vt:lpstr>B_NCA_Lic_H2_02</vt:lpstr>
      <vt:lpstr>B_NCA_Lic_H2_03</vt:lpstr>
      <vt:lpstr>B_NCA_Lic_H2_04</vt:lpstr>
      <vt:lpstr>B_NCA_Lic_H2_05</vt:lpstr>
      <vt:lpstr>B_NCA_Lic_H2_06</vt:lpstr>
      <vt:lpstr>B_NCA_Lic_H2_07</vt:lpstr>
      <vt:lpstr>B_NCA_Lic_H2_08</vt:lpstr>
      <vt:lpstr>B_NCA_Lic_H2_09</vt:lpstr>
      <vt:lpstr>B_NCA_Lic_H2_10</vt:lpstr>
      <vt:lpstr>B_NCA_Lic_H2_11</vt:lpstr>
      <vt:lpstr>B_NCA_Lic_H2_12</vt:lpstr>
      <vt:lpstr>B_NCA_Lic_H2_13</vt:lpstr>
      <vt:lpstr>B_NCA_Lic_H2_14</vt:lpstr>
      <vt:lpstr>B_NCA_Lic_H2_15</vt:lpstr>
      <vt:lpstr>B_NCA_Lic_H2_16</vt:lpstr>
      <vt:lpstr>B_NCA_Lic_H2_17</vt:lpstr>
      <vt:lpstr>B_NCA_Lic_H2_18</vt:lpstr>
      <vt:lpstr>B_NCA_Lic_H2_19</vt:lpstr>
      <vt:lpstr>B_NCA_Lic_H2_20</vt:lpstr>
      <vt:lpstr>B_NCA_Oth_00</vt:lpstr>
      <vt:lpstr>B_NCA_Oth_01</vt:lpstr>
      <vt:lpstr>B_NCA_Oth_02</vt:lpstr>
      <vt:lpstr>B_NCA_Oth_03</vt:lpstr>
      <vt:lpstr>B_NCA_Oth_04</vt:lpstr>
      <vt:lpstr>B_NCA_Oth_05</vt:lpstr>
      <vt:lpstr>B_NCA_Oth_06</vt:lpstr>
      <vt:lpstr>B_NCA_Oth_07</vt:lpstr>
      <vt:lpstr>B_NCA_Oth_08</vt:lpstr>
      <vt:lpstr>B_NCA_Oth_09</vt:lpstr>
      <vt:lpstr>B_NCA_Oth_10</vt:lpstr>
      <vt:lpstr>B_NCA_Oth_11</vt:lpstr>
      <vt:lpstr>B_NCA_Oth_12</vt:lpstr>
      <vt:lpstr>B_NCA_Oth_13</vt:lpstr>
      <vt:lpstr>B_NCA_Oth_14</vt:lpstr>
      <vt:lpstr>B_NCA_Oth_15</vt:lpstr>
      <vt:lpstr>B_NCA_Oth_16</vt:lpstr>
      <vt:lpstr>B_NCA_Oth_17</vt:lpstr>
      <vt:lpstr>B_NCA_Oth_18</vt:lpstr>
      <vt:lpstr>B_NCA_Oth_19</vt:lpstr>
      <vt:lpstr>B_NCA_Oth_20</vt:lpstr>
      <vt:lpstr>B_NCA_Oth_H1_00</vt:lpstr>
      <vt:lpstr>B_NCA_Oth_H1_01</vt:lpstr>
      <vt:lpstr>B_NCA_Oth_H1_02</vt:lpstr>
      <vt:lpstr>B_NCA_Oth_H1_03</vt:lpstr>
      <vt:lpstr>B_NCA_Oth_H1_04</vt:lpstr>
      <vt:lpstr>B_NCA_Oth_H1_05</vt:lpstr>
      <vt:lpstr>B_NCA_Oth_H1_06</vt:lpstr>
      <vt:lpstr>B_NCA_Oth_H1_07</vt:lpstr>
      <vt:lpstr>B_NCA_Oth_H1_08</vt:lpstr>
      <vt:lpstr>B_NCA_Oth_H1_09</vt:lpstr>
      <vt:lpstr>B_NCA_Oth_H1_10</vt:lpstr>
      <vt:lpstr>B_NCA_Oth_H1_11</vt:lpstr>
      <vt:lpstr>B_NCA_Oth_H1_12</vt:lpstr>
      <vt:lpstr>B_NCA_Oth_H1_13</vt:lpstr>
      <vt:lpstr>B_NCA_Oth_H1_14</vt:lpstr>
      <vt:lpstr>B_NCA_Oth_H1_15</vt:lpstr>
      <vt:lpstr>B_NCA_Oth_H1_16</vt:lpstr>
      <vt:lpstr>B_NCA_Oth_H1_17</vt:lpstr>
      <vt:lpstr>B_NCA_Oth_H1_18</vt:lpstr>
      <vt:lpstr>B_NCA_Oth_H1_19</vt:lpstr>
      <vt:lpstr>B_NCA_Oth_H1_20</vt:lpstr>
      <vt:lpstr>B_NCA_Oth_H2_00</vt:lpstr>
      <vt:lpstr>B_NCA_Oth_H2_01</vt:lpstr>
      <vt:lpstr>B_NCA_Oth_H2_02</vt:lpstr>
      <vt:lpstr>B_NCA_Oth_H2_03</vt:lpstr>
      <vt:lpstr>B_NCA_Oth_H2_04</vt:lpstr>
      <vt:lpstr>B_NCA_Oth_H2_05</vt:lpstr>
      <vt:lpstr>B_NCA_Oth_H2_06</vt:lpstr>
      <vt:lpstr>B_NCA_Oth_H2_07</vt:lpstr>
      <vt:lpstr>B_NCA_Oth_H2_08</vt:lpstr>
      <vt:lpstr>B_NCA_Oth_H2_09</vt:lpstr>
      <vt:lpstr>B_NCA_Oth_H2_10</vt:lpstr>
      <vt:lpstr>B_NCA_Oth_H2_11</vt:lpstr>
      <vt:lpstr>B_NCA_Oth_H2_12</vt:lpstr>
      <vt:lpstr>B_NCA_Oth_H2_13</vt:lpstr>
      <vt:lpstr>B_NCA_Oth_H2_14</vt:lpstr>
      <vt:lpstr>B_NCA_Oth_H2_15</vt:lpstr>
      <vt:lpstr>B_NCA_Oth_H2_16</vt:lpstr>
      <vt:lpstr>B_NCA_Oth_H2_17</vt:lpstr>
      <vt:lpstr>B_NCA_Oth_H2_18</vt:lpstr>
      <vt:lpstr>B_NCA_Oth_H2_19</vt:lpstr>
      <vt:lpstr>B_NCA_Oth_H2_20</vt:lpstr>
      <vt:lpstr>B_NCA_OthInt_00</vt:lpstr>
      <vt:lpstr>B_NCA_OthInt_01</vt:lpstr>
      <vt:lpstr>B_NCA_OthInt_02</vt:lpstr>
      <vt:lpstr>B_NCA_OthInt_03</vt:lpstr>
      <vt:lpstr>B_NCA_OthInt_04</vt:lpstr>
      <vt:lpstr>B_NCA_OthInt_05</vt:lpstr>
      <vt:lpstr>B_NCA_OthInt_06</vt:lpstr>
      <vt:lpstr>B_NCA_OthInt_07</vt:lpstr>
      <vt:lpstr>B_NCA_OthInt_08</vt:lpstr>
      <vt:lpstr>B_NCA_OthInt_09</vt:lpstr>
      <vt:lpstr>B_NCA_OthInt_10</vt:lpstr>
      <vt:lpstr>B_NCA_OthInt_11</vt:lpstr>
      <vt:lpstr>B_NCA_OthInt_12</vt:lpstr>
      <vt:lpstr>B_NCA_OthInt_13</vt:lpstr>
      <vt:lpstr>B_NCA_OthInt_14</vt:lpstr>
      <vt:lpstr>B_NCA_OthInt_15</vt:lpstr>
      <vt:lpstr>B_NCA_OthInt_16</vt:lpstr>
      <vt:lpstr>B_NCA_OthInt_17</vt:lpstr>
      <vt:lpstr>B_NCA_OthInt_18</vt:lpstr>
      <vt:lpstr>B_NCA_OthInt_19</vt:lpstr>
      <vt:lpstr>B_NCA_OthInt_20</vt:lpstr>
      <vt:lpstr>B_NCA_OthInt_H1_00</vt:lpstr>
      <vt:lpstr>B_NCA_OthInt_H1_01</vt:lpstr>
      <vt:lpstr>B_NCA_OthInt_H1_02</vt:lpstr>
      <vt:lpstr>B_NCA_OthInt_H1_03</vt:lpstr>
      <vt:lpstr>B_NCA_OthInt_H1_04</vt:lpstr>
      <vt:lpstr>B_NCA_OthInt_H1_05</vt:lpstr>
      <vt:lpstr>B_NCA_OthInt_H1_06</vt:lpstr>
      <vt:lpstr>B_NCA_OthInt_H1_07</vt:lpstr>
      <vt:lpstr>B_NCA_OthInt_H1_08</vt:lpstr>
      <vt:lpstr>B_NCA_OthInt_H1_09</vt:lpstr>
      <vt:lpstr>B_NCA_OthInt_H1_10</vt:lpstr>
      <vt:lpstr>B_NCA_OthInt_H1_11</vt:lpstr>
      <vt:lpstr>B_NCA_OthInt_H1_12</vt:lpstr>
      <vt:lpstr>B_NCA_OthInt_H1_13</vt:lpstr>
      <vt:lpstr>B_NCA_OthInt_H1_14</vt:lpstr>
      <vt:lpstr>B_NCA_OthInt_H1_15</vt:lpstr>
      <vt:lpstr>B_NCA_OthInt_H1_16</vt:lpstr>
      <vt:lpstr>B_NCA_OthInt_H1_17</vt:lpstr>
      <vt:lpstr>B_NCA_OthInt_H1_18</vt:lpstr>
      <vt:lpstr>B_NCA_OthInt_H1_19</vt:lpstr>
      <vt:lpstr>B_NCA_OthInt_H1_20</vt:lpstr>
      <vt:lpstr>B_NCA_OthInt_H2_00</vt:lpstr>
      <vt:lpstr>B_NCA_OthInt_H2_01</vt:lpstr>
      <vt:lpstr>B_NCA_OthInt_H2_02</vt:lpstr>
      <vt:lpstr>B_NCA_OthInt_H2_03</vt:lpstr>
      <vt:lpstr>B_NCA_OthInt_H2_04</vt:lpstr>
      <vt:lpstr>B_NCA_OthInt_H2_05</vt:lpstr>
      <vt:lpstr>B_NCA_OthInt_H2_06</vt:lpstr>
      <vt:lpstr>B_NCA_OthInt_H2_07</vt:lpstr>
      <vt:lpstr>B_NCA_OthInt_H2_08</vt:lpstr>
      <vt:lpstr>B_NCA_OthInt_H2_09</vt:lpstr>
      <vt:lpstr>B_NCA_OthInt_H2_10</vt:lpstr>
      <vt:lpstr>B_NCA_OthInt_H2_11</vt:lpstr>
      <vt:lpstr>B_NCA_OthInt_H2_12</vt:lpstr>
      <vt:lpstr>B_NCA_OthInt_H2_13</vt:lpstr>
      <vt:lpstr>B_NCA_OthInt_H2_14</vt:lpstr>
      <vt:lpstr>B_NCA_OthInt_H2_15</vt:lpstr>
      <vt:lpstr>B_NCA_OthInt_H2_16</vt:lpstr>
      <vt:lpstr>B_NCA_OthInt_H2_17</vt:lpstr>
      <vt:lpstr>B_NCA_OthInt_H2_18</vt:lpstr>
      <vt:lpstr>B_NCA_OthInt_H2_19</vt:lpstr>
      <vt:lpstr>B_NCA_OthInt_H2_20</vt:lpstr>
      <vt:lpstr>B_NCA_PPE_00</vt:lpstr>
      <vt:lpstr>B_NCA_PPE_01</vt:lpstr>
      <vt:lpstr>B_NCA_PPE_02</vt:lpstr>
      <vt:lpstr>B_NCA_PPE_03</vt:lpstr>
      <vt:lpstr>B_NCA_PPE_04</vt:lpstr>
      <vt:lpstr>B_NCA_PPE_05</vt:lpstr>
      <vt:lpstr>B_NCA_PPE_06</vt:lpstr>
      <vt:lpstr>B_NCA_PPE_07</vt:lpstr>
      <vt:lpstr>B_NCA_PPE_08</vt:lpstr>
      <vt:lpstr>B_NCA_PPE_09</vt:lpstr>
      <vt:lpstr>B_NCA_PPE_10</vt:lpstr>
      <vt:lpstr>B_NCA_PPE_11</vt:lpstr>
      <vt:lpstr>B_NCA_PPE_12</vt:lpstr>
      <vt:lpstr>B_NCA_PPE_13</vt:lpstr>
      <vt:lpstr>B_NCA_PPE_14</vt:lpstr>
      <vt:lpstr>B_NCA_PPE_15</vt:lpstr>
      <vt:lpstr>B_NCA_PPE_16</vt:lpstr>
      <vt:lpstr>B_NCA_PPE_17</vt:lpstr>
      <vt:lpstr>B_NCA_PPE_18</vt:lpstr>
      <vt:lpstr>B_NCA_PPE_19</vt:lpstr>
      <vt:lpstr>B_NCA_PPE_20</vt:lpstr>
      <vt:lpstr>B_NCA_PPE_H1_00</vt:lpstr>
      <vt:lpstr>B_NCA_PPE_H1_01</vt:lpstr>
      <vt:lpstr>B_NCA_PPE_H1_02</vt:lpstr>
      <vt:lpstr>B_NCA_PPE_H1_03</vt:lpstr>
      <vt:lpstr>B_NCA_PPE_H1_04</vt:lpstr>
      <vt:lpstr>B_NCA_PPE_H1_05</vt:lpstr>
      <vt:lpstr>B_NCA_PPE_H1_06</vt:lpstr>
      <vt:lpstr>B_NCA_PPE_H1_07</vt:lpstr>
      <vt:lpstr>B_NCA_PPE_H1_08</vt:lpstr>
      <vt:lpstr>B_NCA_PPE_H1_09</vt:lpstr>
      <vt:lpstr>B_NCA_PPE_H1_10</vt:lpstr>
      <vt:lpstr>B_NCA_PPE_H1_11</vt:lpstr>
      <vt:lpstr>B_NCA_PPE_H1_12</vt:lpstr>
      <vt:lpstr>B_NCA_PPE_H1_13</vt:lpstr>
      <vt:lpstr>B_NCA_PPE_H1_14</vt:lpstr>
      <vt:lpstr>B_NCA_PPE_H1_15</vt:lpstr>
      <vt:lpstr>B_NCA_PPE_H1_16</vt:lpstr>
      <vt:lpstr>B_NCA_PPE_H1_17</vt:lpstr>
      <vt:lpstr>B_NCA_PPE_H1_18</vt:lpstr>
      <vt:lpstr>B_NCA_PPE_H1_19</vt:lpstr>
      <vt:lpstr>B_NCA_PPE_H1_20</vt:lpstr>
      <vt:lpstr>B_NCA_PPE_H2_00</vt:lpstr>
      <vt:lpstr>B_NCA_PPE_H2_01</vt:lpstr>
      <vt:lpstr>B_NCA_PPE_H2_02</vt:lpstr>
      <vt:lpstr>B_NCA_PPE_H2_03</vt:lpstr>
      <vt:lpstr>B_NCA_PPE_H2_04</vt:lpstr>
      <vt:lpstr>B_NCA_PPE_H2_05</vt:lpstr>
      <vt:lpstr>B_NCA_PPE_H2_06</vt:lpstr>
      <vt:lpstr>B_NCA_PPE_H2_07</vt:lpstr>
      <vt:lpstr>B_NCA_PPE_H2_08</vt:lpstr>
      <vt:lpstr>B_NCA_PPE_H2_09</vt:lpstr>
      <vt:lpstr>B_NCA_PPE_H2_10</vt:lpstr>
      <vt:lpstr>B_NCA_PPE_H2_11</vt:lpstr>
      <vt:lpstr>B_NCA_PPE_H2_12</vt:lpstr>
      <vt:lpstr>B_NCA_PPE_H2_13</vt:lpstr>
      <vt:lpstr>B_NCA_PPE_H2_14</vt:lpstr>
      <vt:lpstr>B_NCA_PPE_H2_15</vt:lpstr>
      <vt:lpstr>B_NCA_PPE_H2_16</vt:lpstr>
      <vt:lpstr>B_NCA_PPE_H2_17</vt:lpstr>
      <vt:lpstr>B_NCA_PPE_H2_18</vt:lpstr>
      <vt:lpstr>B_NCA_PPE_H2_19</vt:lpstr>
      <vt:lpstr>B_NCA_PPE_H2_20</vt:lpstr>
      <vt:lpstr>B_NCA_TInt_00</vt:lpstr>
      <vt:lpstr>B_NCA_TInt_01</vt:lpstr>
      <vt:lpstr>B_NCA_TInt_02</vt:lpstr>
      <vt:lpstr>B_NCA_TInt_03</vt:lpstr>
      <vt:lpstr>B_NCA_TInt_04</vt:lpstr>
      <vt:lpstr>B_NCA_TInt_05</vt:lpstr>
      <vt:lpstr>B_NCA_TInt_06</vt:lpstr>
      <vt:lpstr>B_NCA_TInt_07</vt:lpstr>
      <vt:lpstr>B_NCA_TInt_08</vt:lpstr>
      <vt:lpstr>B_NCA_TInt_09</vt:lpstr>
      <vt:lpstr>B_NCA_TInt_10</vt:lpstr>
      <vt:lpstr>B_NCA_TInt_11</vt:lpstr>
      <vt:lpstr>B_NCA_TInt_12</vt:lpstr>
      <vt:lpstr>B_NCA_TInt_13</vt:lpstr>
      <vt:lpstr>B_NCA_TInt_14</vt:lpstr>
      <vt:lpstr>B_NCA_TInt_15</vt:lpstr>
      <vt:lpstr>B_NCA_TInt_16</vt:lpstr>
      <vt:lpstr>B_NCA_TInt_17</vt:lpstr>
      <vt:lpstr>B_NCA_TInt_18</vt:lpstr>
      <vt:lpstr>B_NCA_TInt_19</vt:lpstr>
      <vt:lpstr>B_NCA_TInt_20</vt:lpstr>
      <vt:lpstr>B_NCA_TInt_H1_00</vt:lpstr>
      <vt:lpstr>B_NCA_TInt_H1_01</vt:lpstr>
      <vt:lpstr>B_NCA_TInt_H1_02</vt:lpstr>
      <vt:lpstr>B_NCA_TInt_H1_03</vt:lpstr>
      <vt:lpstr>B_NCA_TInt_H1_04</vt:lpstr>
      <vt:lpstr>B_NCA_TInt_H1_05</vt:lpstr>
      <vt:lpstr>B_NCA_TInt_H1_06</vt:lpstr>
      <vt:lpstr>B_NCA_TInt_H1_07</vt:lpstr>
      <vt:lpstr>B_NCA_TInt_H1_08</vt:lpstr>
      <vt:lpstr>B_NCA_TInt_H1_09</vt:lpstr>
      <vt:lpstr>B_NCA_TInt_H1_10</vt:lpstr>
      <vt:lpstr>B_NCA_TInt_H1_11</vt:lpstr>
      <vt:lpstr>B_NCA_TInt_H1_12</vt:lpstr>
      <vt:lpstr>B_NCA_TInt_H1_13</vt:lpstr>
      <vt:lpstr>B_NCA_TInt_H1_14</vt:lpstr>
      <vt:lpstr>B_NCA_TInt_H1_15</vt:lpstr>
      <vt:lpstr>B_NCA_TInt_H1_16</vt:lpstr>
      <vt:lpstr>B_NCA_TInt_H1_17</vt:lpstr>
      <vt:lpstr>B_NCA_TInt_H1_18</vt:lpstr>
      <vt:lpstr>B_NCA_TInt_H1_19</vt:lpstr>
      <vt:lpstr>B_NCA_TInt_H1_20</vt:lpstr>
      <vt:lpstr>B_NCA_TInt_H2_00</vt:lpstr>
      <vt:lpstr>B_NCA_TInt_H2_01</vt:lpstr>
      <vt:lpstr>B_NCA_TInt_H2_02</vt:lpstr>
      <vt:lpstr>B_NCA_TInt_H2_03</vt:lpstr>
      <vt:lpstr>B_NCA_TInt_H2_04</vt:lpstr>
      <vt:lpstr>B_NCA_TInt_H2_05</vt:lpstr>
      <vt:lpstr>B_NCA_TInt_H2_06</vt:lpstr>
      <vt:lpstr>B_NCA_TInt_H2_07</vt:lpstr>
      <vt:lpstr>B_NCA_TInt_H2_08</vt:lpstr>
      <vt:lpstr>B_NCA_TInt_H2_09</vt:lpstr>
      <vt:lpstr>B_NCA_TInt_H2_10</vt:lpstr>
      <vt:lpstr>B_NCA_TInt_H2_11</vt:lpstr>
      <vt:lpstr>B_NCA_TInt_H2_12</vt:lpstr>
      <vt:lpstr>B_NCA_TInt_H2_13</vt:lpstr>
      <vt:lpstr>B_NCA_TInt_H2_14</vt:lpstr>
      <vt:lpstr>B_NCA_TInt_H2_15</vt:lpstr>
      <vt:lpstr>B_NCA_TInt_H2_16</vt:lpstr>
      <vt:lpstr>B_NCA_TInt_H2_17</vt:lpstr>
      <vt:lpstr>B_NCA_TInt_H2_18</vt:lpstr>
      <vt:lpstr>B_NCA_TInt_H2_19</vt:lpstr>
      <vt:lpstr>B_NCA_TInt_H2_20</vt:lpstr>
      <vt:lpstr>b_ncb</vt:lpstr>
      <vt:lpstr>B_NCB_00</vt:lpstr>
      <vt:lpstr>B_NCB_01</vt:lpstr>
      <vt:lpstr>B_NCB_02</vt:lpstr>
      <vt:lpstr>B_NCB_03</vt:lpstr>
      <vt:lpstr>B_NCB_04</vt:lpstr>
      <vt:lpstr>B_NCB_05</vt:lpstr>
      <vt:lpstr>B_NCB_06</vt:lpstr>
      <vt:lpstr>B_NCB_07</vt:lpstr>
      <vt:lpstr>B_NCB_08</vt:lpstr>
      <vt:lpstr>B_NCB_09</vt:lpstr>
      <vt:lpstr>B_NCB_10</vt:lpstr>
      <vt:lpstr>B_NCB_11</vt:lpstr>
      <vt:lpstr>B_NCB_12</vt:lpstr>
      <vt:lpstr>B_NCB_13</vt:lpstr>
      <vt:lpstr>B_NCB_14</vt:lpstr>
      <vt:lpstr>B_NCB_15</vt:lpstr>
      <vt:lpstr>B_NCB_16</vt:lpstr>
      <vt:lpstr>B_NCB_17</vt:lpstr>
      <vt:lpstr>B_NCB_18</vt:lpstr>
      <vt:lpstr>B_NCB_19</vt:lpstr>
      <vt:lpstr>B_NCB_20</vt:lpstr>
      <vt:lpstr>B_NCB_95</vt:lpstr>
      <vt:lpstr>B_NCB_96</vt:lpstr>
      <vt:lpstr>B_NCB_97</vt:lpstr>
      <vt:lpstr>B_NCB_98</vt:lpstr>
      <vt:lpstr>B_NCB_99</vt:lpstr>
      <vt:lpstr>B_NCCR_00</vt:lpstr>
      <vt:lpstr>B_NCCR_01</vt:lpstr>
      <vt:lpstr>B_NCCR_02</vt:lpstr>
      <vt:lpstr>B_NCCR_03</vt:lpstr>
      <vt:lpstr>B_NCCR_04</vt:lpstr>
      <vt:lpstr>B_NCCR_05</vt:lpstr>
      <vt:lpstr>B_NCCR_06</vt:lpstr>
      <vt:lpstr>B_NCCR_07</vt:lpstr>
      <vt:lpstr>B_NCCR_08</vt:lpstr>
      <vt:lpstr>B_NCCR_09</vt:lpstr>
      <vt:lpstr>B_NCCR_10</vt:lpstr>
      <vt:lpstr>B_NCCR_11</vt:lpstr>
      <vt:lpstr>B_NCCR_12</vt:lpstr>
      <vt:lpstr>B_NCCR_13</vt:lpstr>
      <vt:lpstr>B_NCCR_14</vt:lpstr>
      <vt:lpstr>B_NCCR_15</vt:lpstr>
      <vt:lpstr>B_NCCR_16</vt:lpstr>
      <vt:lpstr>B_NCCR_17</vt:lpstr>
      <vt:lpstr>B_NCCR_18</vt:lpstr>
      <vt:lpstr>B_NCCR_19</vt:lpstr>
      <vt:lpstr>B_NCCR_20</vt:lpstr>
      <vt:lpstr>B_NCCR_95</vt:lpstr>
      <vt:lpstr>B_NCCR_96</vt:lpstr>
      <vt:lpstr>B_NCCR_97</vt:lpstr>
      <vt:lpstr>B_NCCR_98</vt:lpstr>
      <vt:lpstr>B_NCCR_99</vt:lpstr>
      <vt:lpstr>B_NCDB_00</vt:lpstr>
      <vt:lpstr>B_NCDB_01</vt:lpstr>
      <vt:lpstr>B_NCDB_02</vt:lpstr>
      <vt:lpstr>B_NCDB_03</vt:lpstr>
      <vt:lpstr>B_NCDB_04</vt:lpstr>
      <vt:lpstr>B_NCDB_05</vt:lpstr>
      <vt:lpstr>B_NCDB_06</vt:lpstr>
      <vt:lpstr>B_NCDB_07</vt:lpstr>
      <vt:lpstr>B_NCDB_08</vt:lpstr>
      <vt:lpstr>B_NCDB_09</vt:lpstr>
      <vt:lpstr>B_NCDB_10</vt:lpstr>
      <vt:lpstr>B_NCDB_11</vt:lpstr>
      <vt:lpstr>B_NCDB_12</vt:lpstr>
      <vt:lpstr>B_NCDB_13</vt:lpstr>
      <vt:lpstr>B_NCDB_14</vt:lpstr>
      <vt:lpstr>B_NCDB_15</vt:lpstr>
      <vt:lpstr>B_NCDB_16</vt:lpstr>
      <vt:lpstr>B_NCDB_17</vt:lpstr>
      <vt:lpstr>B_NCDB_18</vt:lpstr>
      <vt:lpstr>B_NCDB_19</vt:lpstr>
      <vt:lpstr>B_NCDB_20</vt:lpstr>
      <vt:lpstr>B_NCDB_95</vt:lpstr>
      <vt:lpstr>B_NCDB_96</vt:lpstr>
      <vt:lpstr>B_NCDB_97</vt:lpstr>
      <vt:lpstr>B_NCDB_98</vt:lpstr>
      <vt:lpstr>B_NCDB_99</vt:lpstr>
      <vt:lpstr>B_NCL_AP_00</vt:lpstr>
      <vt:lpstr>B_NCL_AP_01</vt:lpstr>
      <vt:lpstr>B_NCL_AP_02</vt:lpstr>
      <vt:lpstr>B_NCL_AP_03</vt:lpstr>
      <vt:lpstr>B_NCL_AP_04</vt:lpstr>
      <vt:lpstr>B_NCL_AP_05</vt:lpstr>
      <vt:lpstr>B_NCL_AP_06</vt:lpstr>
      <vt:lpstr>B_NCL_AP_07</vt:lpstr>
      <vt:lpstr>B_NCL_AP_08</vt:lpstr>
      <vt:lpstr>B_NCL_AP_09</vt:lpstr>
      <vt:lpstr>B_NCL_AP_10</vt:lpstr>
      <vt:lpstr>B_NCL_AP_11</vt:lpstr>
      <vt:lpstr>B_NCL_AP_12</vt:lpstr>
      <vt:lpstr>B_NCL_AP_13</vt:lpstr>
      <vt:lpstr>B_NCL_AP_14</vt:lpstr>
      <vt:lpstr>B_NCL_AP_15</vt:lpstr>
      <vt:lpstr>B_NCL_AP_16</vt:lpstr>
      <vt:lpstr>B_NCL_AP_17</vt:lpstr>
      <vt:lpstr>B_NCL_AP_18</vt:lpstr>
      <vt:lpstr>B_NCL_AP_19</vt:lpstr>
      <vt:lpstr>B_NCL_AP_20</vt:lpstr>
      <vt:lpstr>B_NCL_AP_H1_00</vt:lpstr>
      <vt:lpstr>B_NCL_AP_H1_01</vt:lpstr>
      <vt:lpstr>B_NCL_AP_H1_02</vt:lpstr>
      <vt:lpstr>B_NCL_AP_H1_03</vt:lpstr>
      <vt:lpstr>B_NCL_AP_H1_04</vt:lpstr>
      <vt:lpstr>B_NCL_AP_H1_05</vt:lpstr>
      <vt:lpstr>B_NCL_AP_H1_06</vt:lpstr>
      <vt:lpstr>B_NCL_AP_H1_07</vt:lpstr>
      <vt:lpstr>B_NCL_AP_H1_08</vt:lpstr>
      <vt:lpstr>B_NCL_AP_H1_09</vt:lpstr>
      <vt:lpstr>B_NCL_AP_H1_10</vt:lpstr>
      <vt:lpstr>B_NCL_AP_H1_11</vt:lpstr>
      <vt:lpstr>B_NCL_AP_H1_12</vt:lpstr>
      <vt:lpstr>B_NCL_AP_H1_13</vt:lpstr>
      <vt:lpstr>B_NCL_AP_H1_14</vt:lpstr>
      <vt:lpstr>B_NCL_AP_H1_15</vt:lpstr>
      <vt:lpstr>B_NCL_AP_H1_16</vt:lpstr>
      <vt:lpstr>B_NCL_AP_H1_17</vt:lpstr>
      <vt:lpstr>B_NCL_AP_H1_18</vt:lpstr>
      <vt:lpstr>B_NCL_AP_H1_19</vt:lpstr>
      <vt:lpstr>B_NCL_AP_H1_20</vt:lpstr>
      <vt:lpstr>B_NCL_AP_H2_00</vt:lpstr>
      <vt:lpstr>B_NCL_AP_H2_01</vt:lpstr>
      <vt:lpstr>B_NCL_AP_H2_02</vt:lpstr>
      <vt:lpstr>B_NCL_AP_H2_03</vt:lpstr>
      <vt:lpstr>B_NCL_AP_H2_04</vt:lpstr>
      <vt:lpstr>B_NCL_AP_H2_05</vt:lpstr>
      <vt:lpstr>B_NCL_AP_H2_06</vt:lpstr>
      <vt:lpstr>B_NCL_AP_H2_07</vt:lpstr>
      <vt:lpstr>B_NCL_AP_H2_08</vt:lpstr>
      <vt:lpstr>B_NCL_AP_H2_09</vt:lpstr>
      <vt:lpstr>B_NCL_AP_H2_10</vt:lpstr>
      <vt:lpstr>B_NCL_AP_H2_11</vt:lpstr>
      <vt:lpstr>B_NCL_AP_H2_12</vt:lpstr>
      <vt:lpstr>B_NCL_AP_H2_13</vt:lpstr>
      <vt:lpstr>B_NCL_AP_H2_14</vt:lpstr>
      <vt:lpstr>B_NCL_AP_H2_15</vt:lpstr>
      <vt:lpstr>B_NCL_AP_H2_16</vt:lpstr>
      <vt:lpstr>B_NCL_AP_H2_17</vt:lpstr>
      <vt:lpstr>B_NCL_AP_H2_18</vt:lpstr>
      <vt:lpstr>B_NCL_AP_H2_19</vt:lpstr>
      <vt:lpstr>B_NCL_AP_H2_20</vt:lpstr>
      <vt:lpstr>B_NCL_Con_Notes_00</vt:lpstr>
      <vt:lpstr>B_NCL_Con_Notes_01</vt:lpstr>
      <vt:lpstr>B_NCL_Con_Notes_02</vt:lpstr>
      <vt:lpstr>B_NCL_Con_Notes_03</vt:lpstr>
      <vt:lpstr>B_NCL_Con_Notes_04</vt:lpstr>
      <vt:lpstr>B_NCL_Con_Notes_05</vt:lpstr>
      <vt:lpstr>B_NCL_Con_Notes_06</vt:lpstr>
      <vt:lpstr>B_NCL_Con_Notes_07</vt:lpstr>
      <vt:lpstr>B_NCL_Con_Notes_08</vt:lpstr>
      <vt:lpstr>B_NCL_Con_Notes_09</vt:lpstr>
      <vt:lpstr>B_NCL_Con_Notes_10</vt:lpstr>
      <vt:lpstr>B_NCL_Con_Notes_11</vt:lpstr>
      <vt:lpstr>B_NCL_Con_Notes_12</vt:lpstr>
      <vt:lpstr>B_NCL_Con_Notes_13</vt:lpstr>
      <vt:lpstr>B_NCL_Con_Notes_14</vt:lpstr>
      <vt:lpstr>B_NCL_Con_Notes_15</vt:lpstr>
      <vt:lpstr>B_NCL_Con_Notes_16</vt:lpstr>
      <vt:lpstr>B_NCL_Con_Notes_17</vt:lpstr>
      <vt:lpstr>B_NCL_Con_Notes_18</vt:lpstr>
      <vt:lpstr>B_NCL_Con_Notes_19</vt:lpstr>
      <vt:lpstr>B_NCL_Con_Notes_20</vt:lpstr>
      <vt:lpstr>B_NCL_Con_Notes_H1_00</vt:lpstr>
      <vt:lpstr>B_NCL_Con_Notes_H1_01</vt:lpstr>
      <vt:lpstr>B_NCL_Con_Notes_H1_02</vt:lpstr>
      <vt:lpstr>B_NCL_Con_Notes_H1_03</vt:lpstr>
      <vt:lpstr>B_NCL_Con_Notes_H1_04</vt:lpstr>
      <vt:lpstr>B_NCL_Con_Notes_H1_05</vt:lpstr>
      <vt:lpstr>B_NCL_Con_Notes_H1_06</vt:lpstr>
      <vt:lpstr>B_NCL_Con_Notes_H1_07</vt:lpstr>
      <vt:lpstr>B_NCL_Con_Notes_H1_08</vt:lpstr>
      <vt:lpstr>B_NCL_Con_Notes_H1_09</vt:lpstr>
      <vt:lpstr>B_NCL_Con_Notes_H1_10</vt:lpstr>
      <vt:lpstr>B_NCL_Con_Notes_H1_11</vt:lpstr>
      <vt:lpstr>B_NCL_Con_Notes_H1_12</vt:lpstr>
      <vt:lpstr>B_NCL_Con_Notes_H1_13</vt:lpstr>
      <vt:lpstr>B_NCL_Con_Notes_H1_14</vt:lpstr>
      <vt:lpstr>B_NCL_Con_Notes_H1_15</vt:lpstr>
      <vt:lpstr>B_NCL_Con_Notes_H1_16</vt:lpstr>
      <vt:lpstr>B_NCL_Con_Notes_H1_17</vt:lpstr>
      <vt:lpstr>B_NCL_Con_Notes_H1_18</vt:lpstr>
      <vt:lpstr>B_NCL_Con_Notes_H1_19</vt:lpstr>
      <vt:lpstr>B_NCL_Con_Notes_H1_20</vt:lpstr>
      <vt:lpstr>B_NCL_Con_Notes_H2_00</vt:lpstr>
      <vt:lpstr>B_NCL_Con_Notes_H2_01</vt:lpstr>
      <vt:lpstr>B_NCL_Con_Notes_H2_02</vt:lpstr>
      <vt:lpstr>B_NCL_Con_Notes_H2_03</vt:lpstr>
      <vt:lpstr>B_NCL_Con_Notes_H2_04</vt:lpstr>
      <vt:lpstr>B_NCL_Con_Notes_H2_05</vt:lpstr>
      <vt:lpstr>B_NCL_Con_Notes_H2_06</vt:lpstr>
      <vt:lpstr>B_NCL_Con_Notes_H2_07</vt:lpstr>
      <vt:lpstr>B_NCL_Con_Notes_H2_08</vt:lpstr>
      <vt:lpstr>B_NCL_Con_Notes_H2_09</vt:lpstr>
      <vt:lpstr>B_NCL_Con_Notes_H2_10</vt:lpstr>
      <vt:lpstr>B_NCL_Con_Notes_H2_11</vt:lpstr>
      <vt:lpstr>B_NCL_Con_Notes_H2_12</vt:lpstr>
      <vt:lpstr>B_NCL_Con_Notes_H2_13</vt:lpstr>
      <vt:lpstr>B_NCL_Con_Notes_H2_14</vt:lpstr>
      <vt:lpstr>B_NCL_Con_Notes_H2_15</vt:lpstr>
      <vt:lpstr>B_NCL_Con_Notes_H2_16</vt:lpstr>
      <vt:lpstr>B_NCL_Con_Notes_H2_17</vt:lpstr>
      <vt:lpstr>B_NCL_Con_Notes_H2_18</vt:lpstr>
      <vt:lpstr>B_NCL_Con_Notes_H2_19</vt:lpstr>
      <vt:lpstr>B_NCL_Con_Notes_H2_20</vt:lpstr>
      <vt:lpstr>B_NCL_DITL_00</vt:lpstr>
      <vt:lpstr>B_NCL_DITL_01</vt:lpstr>
      <vt:lpstr>B_NCL_DITL_02</vt:lpstr>
      <vt:lpstr>B_NCL_DITL_03</vt:lpstr>
      <vt:lpstr>B_NCL_DITL_04</vt:lpstr>
      <vt:lpstr>B_NCL_DITL_05</vt:lpstr>
      <vt:lpstr>B_NCL_DITL_06</vt:lpstr>
      <vt:lpstr>B_NCL_DITL_07</vt:lpstr>
      <vt:lpstr>B_NCL_DITL_08</vt:lpstr>
      <vt:lpstr>B_NCL_DITL_09</vt:lpstr>
      <vt:lpstr>B_NCL_DITL_10</vt:lpstr>
      <vt:lpstr>B_NCL_DITL_11</vt:lpstr>
      <vt:lpstr>B_NCL_DITL_12</vt:lpstr>
      <vt:lpstr>B_NCL_DITL_13</vt:lpstr>
      <vt:lpstr>B_NCL_DITL_14</vt:lpstr>
      <vt:lpstr>B_NCL_DITL_15</vt:lpstr>
      <vt:lpstr>B_NCL_DITL_16</vt:lpstr>
      <vt:lpstr>B_NCL_DITL_17</vt:lpstr>
      <vt:lpstr>B_NCL_DITL_18</vt:lpstr>
      <vt:lpstr>B_NCL_DITL_19</vt:lpstr>
      <vt:lpstr>B_NCL_DITL_20</vt:lpstr>
      <vt:lpstr>B_NCL_DITL_H1_00</vt:lpstr>
      <vt:lpstr>B_NCL_DITL_H1_01</vt:lpstr>
      <vt:lpstr>B_NCL_DITL_H1_02</vt:lpstr>
      <vt:lpstr>B_NCL_DITL_H1_03</vt:lpstr>
      <vt:lpstr>B_NCL_DITL_H1_04</vt:lpstr>
      <vt:lpstr>B_NCL_DITL_H1_05</vt:lpstr>
      <vt:lpstr>B_NCL_DITL_H1_06</vt:lpstr>
      <vt:lpstr>B_NCL_DITL_H1_07</vt:lpstr>
      <vt:lpstr>B_NCL_DITL_H1_08</vt:lpstr>
      <vt:lpstr>B_NCL_DITL_H1_09</vt:lpstr>
      <vt:lpstr>B_NCL_DITL_H1_10</vt:lpstr>
      <vt:lpstr>B_NCL_DITL_H1_11</vt:lpstr>
      <vt:lpstr>B_NCL_DITL_H1_12</vt:lpstr>
      <vt:lpstr>B_NCL_DITL_H1_13</vt:lpstr>
      <vt:lpstr>B_NCL_DITL_H1_14</vt:lpstr>
      <vt:lpstr>B_NCL_DITL_H1_15</vt:lpstr>
      <vt:lpstr>B_NCL_DITL_H1_16</vt:lpstr>
      <vt:lpstr>B_NCL_DITL_H1_17</vt:lpstr>
      <vt:lpstr>B_NCL_DITL_H1_18</vt:lpstr>
      <vt:lpstr>B_NCL_DITL_H1_19</vt:lpstr>
      <vt:lpstr>B_NCL_DITL_H1_20</vt:lpstr>
      <vt:lpstr>B_NCL_DITL_H2_00</vt:lpstr>
      <vt:lpstr>B_NCL_DITL_H2_01</vt:lpstr>
      <vt:lpstr>B_NCL_DITL_H2_02</vt:lpstr>
      <vt:lpstr>B_NCL_DITL_H2_03</vt:lpstr>
      <vt:lpstr>B_NCL_DITL_H2_04</vt:lpstr>
      <vt:lpstr>B_NCL_DITL_H2_05</vt:lpstr>
      <vt:lpstr>B_NCL_DITL_H2_06</vt:lpstr>
      <vt:lpstr>B_NCL_DITL_H2_07</vt:lpstr>
      <vt:lpstr>B_NCL_DITL_H2_08</vt:lpstr>
      <vt:lpstr>B_NCL_DITL_H2_09</vt:lpstr>
      <vt:lpstr>B_NCL_DITL_H2_10</vt:lpstr>
      <vt:lpstr>B_NCL_DITL_H2_11</vt:lpstr>
      <vt:lpstr>B_NCL_DITL_H2_12</vt:lpstr>
      <vt:lpstr>B_NCL_DITL_H2_13</vt:lpstr>
      <vt:lpstr>B_NCL_DITL_H2_14</vt:lpstr>
      <vt:lpstr>B_NCL_DITL_H2_15</vt:lpstr>
      <vt:lpstr>B_NCL_DITL_H2_16</vt:lpstr>
      <vt:lpstr>B_NCL_DITL_H2_17</vt:lpstr>
      <vt:lpstr>B_NCL_DITL_H2_18</vt:lpstr>
      <vt:lpstr>B_NCL_DITL_H2_19</vt:lpstr>
      <vt:lpstr>B_NCL_DITL_H2_20</vt:lpstr>
      <vt:lpstr>B_NCL_Div_00</vt:lpstr>
      <vt:lpstr>B_NCL_Div_01</vt:lpstr>
      <vt:lpstr>B_NCL_Div_02</vt:lpstr>
      <vt:lpstr>B_NCL_Div_03</vt:lpstr>
      <vt:lpstr>B_NCL_Div_04</vt:lpstr>
      <vt:lpstr>B_NCL_Div_05</vt:lpstr>
      <vt:lpstr>B_NCL_Div_06</vt:lpstr>
      <vt:lpstr>B_NCL_Div_07</vt:lpstr>
      <vt:lpstr>B_NCL_Div_08</vt:lpstr>
      <vt:lpstr>B_NCL_Div_09</vt:lpstr>
      <vt:lpstr>B_NCL_Div_10</vt:lpstr>
      <vt:lpstr>B_NCL_Div_11</vt:lpstr>
      <vt:lpstr>B_NCL_Div_12</vt:lpstr>
      <vt:lpstr>B_NCL_Div_13</vt:lpstr>
      <vt:lpstr>B_NCL_Div_14</vt:lpstr>
      <vt:lpstr>B_NCL_Div_15</vt:lpstr>
      <vt:lpstr>B_NCL_Div_16</vt:lpstr>
      <vt:lpstr>B_NCL_Div_17</vt:lpstr>
      <vt:lpstr>B_NCL_Div_18</vt:lpstr>
      <vt:lpstr>B_NCL_Div_19</vt:lpstr>
      <vt:lpstr>B_NCL_Div_20</vt:lpstr>
      <vt:lpstr>B_NCL_Div_H1_00</vt:lpstr>
      <vt:lpstr>B_NCL_Div_H1_01</vt:lpstr>
      <vt:lpstr>B_NCL_Div_H1_02</vt:lpstr>
      <vt:lpstr>B_NCL_Div_H1_03</vt:lpstr>
      <vt:lpstr>B_NCL_Div_H1_04</vt:lpstr>
      <vt:lpstr>B_NCL_Div_H1_05</vt:lpstr>
      <vt:lpstr>B_NCL_Div_H1_06</vt:lpstr>
      <vt:lpstr>B_NCL_Div_H1_07</vt:lpstr>
      <vt:lpstr>B_NCL_Div_H1_08</vt:lpstr>
      <vt:lpstr>B_NCL_Div_H1_09</vt:lpstr>
      <vt:lpstr>B_NCL_Div_H1_10</vt:lpstr>
      <vt:lpstr>B_NCL_Div_H1_11</vt:lpstr>
      <vt:lpstr>B_NCL_Div_H1_12</vt:lpstr>
      <vt:lpstr>B_NCL_Div_H1_13</vt:lpstr>
      <vt:lpstr>B_NCL_Div_H1_14</vt:lpstr>
      <vt:lpstr>B_NCL_Div_H1_15</vt:lpstr>
      <vt:lpstr>B_NCL_Div_H1_16</vt:lpstr>
      <vt:lpstr>B_NCL_Div_H1_17</vt:lpstr>
      <vt:lpstr>B_NCL_Div_H1_18</vt:lpstr>
      <vt:lpstr>B_NCL_Div_H1_19</vt:lpstr>
      <vt:lpstr>B_NCL_Div_H1_20</vt:lpstr>
      <vt:lpstr>B_NCL_Div_H2_00</vt:lpstr>
      <vt:lpstr>B_NCL_Div_H2_01</vt:lpstr>
      <vt:lpstr>B_NCL_Div_H2_02</vt:lpstr>
      <vt:lpstr>B_NCL_Div_H2_03</vt:lpstr>
      <vt:lpstr>B_NCL_Div_H2_04</vt:lpstr>
      <vt:lpstr>B_NCL_Div_H2_05</vt:lpstr>
      <vt:lpstr>B_NCL_Div_H2_06</vt:lpstr>
      <vt:lpstr>B_NCL_Div_H2_07</vt:lpstr>
      <vt:lpstr>B_NCL_Div_H2_08</vt:lpstr>
      <vt:lpstr>B_NCL_Div_H2_09</vt:lpstr>
      <vt:lpstr>B_NCL_Div_H2_10</vt:lpstr>
      <vt:lpstr>B_NCL_Div_H2_11</vt:lpstr>
      <vt:lpstr>B_NCL_Div_H2_12</vt:lpstr>
      <vt:lpstr>B_NCL_Div_H2_13</vt:lpstr>
      <vt:lpstr>B_NCL_Div_H2_14</vt:lpstr>
      <vt:lpstr>B_NCL_Div_H2_15</vt:lpstr>
      <vt:lpstr>B_NCL_Div_H2_16</vt:lpstr>
      <vt:lpstr>B_NCL_Div_H2_17</vt:lpstr>
      <vt:lpstr>B_NCL_Div_H2_18</vt:lpstr>
      <vt:lpstr>B_NCL_Div_H2_19</vt:lpstr>
      <vt:lpstr>B_NCL_Div_H2_20</vt:lpstr>
      <vt:lpstr>B_NCL_IBDebt_00</vt:lpstr>
      <vt:lpstr>B_NCL_IBDebt_01</vt:lpstr>
      <vt:lpstr>B_NCL_IBDebt_02</vt:lpstr>
      <vt:lpstr>B_NCL_IBDebt_03</vt:lpstr>
      <vt:lpstr>B_NCL_IBDebt_04</vt:lpstr>
      <vt:lpstr>B_NCL_IBDebt_05</vt:lpstr>
      <vt:lpstr>B_NCL_IBDebt_06</vt:lpstr>
      <vt:lpstr>B_NCL_IBDebt_07</vt:lpstr>
      <vt:lpstr>B_NCL_IBDebt_08</vt:lpstr>
      <vt:lpstr>B_NCL_IBDebt_09</vt:lpstr>
      <vt:lpstr>B_NCL_IBDebt_10</vt:lpstr>
      <vt:lpstr>B_NCL_IBDebt_11</vt:lpstr>
      <vt:lpstr>B_NCL_IBDebt_12</vt:lpstr>
      <vt:lpstr>B_NCL_IBDebt_13</vt:lpstr>
      <vt:lpstr>B_NCL_IBDebt_14</vt:lpstr>
      <vt:lpstr>B_NCL_IBDebt_15</vt:lpstr>
      <vt:lpstr>B_NCL_IBDebt_16</vt:lpstr>
      <vt:lpstr>B_NCL_IBDebt_17</vt:lpstr>
      <vt:lpstr>B_NCL_IBDebt_18</vt:lpstr>
      <vt:lpstr>B_NCL_IBDebt_19</vt:lpstr>
      <vt:lpstr>B_NCL_IBDebt_20</vt:lpstr>
      <vt:lpstr>B_NCL_IBDebt_H1_00</vt:lpstr>
      <vt:lpstr>B_NCL_IBDebt_H1_01</vt:lpstr>
      <vt:lpstr>B_NCL_IBDebt_H1_02</vt:lpstr>
      <vt:lpstr>B_NCL_IBDebt_H1_03</vt:lpstr>
      <vt:lpstr>B_NCL_IBDebt_H1_04</vt:lpstr>
      <vt:lpstr>B_NCL_IBDebt_H1_05</vt:lpstr>
      <vt:lpstr>B_NCL_IBDebt_H1_06</vt:lpstr>
      <vt:lpstr>B_NCL_IBDebt_H1_07</vt:lpstr>
      <vt:lpstr>B_NCL_IBDebt_H1_08</vt:lpstr>
      <vt:lpstr>B_NCL_IBDebt_H1_09</vt:lpstr>
      <vt:lpstr>B_NCL_IBDebt_H1_10</vt:lpstr>
      <vt:lpstr>B_NCL_IBDebt_H1_11</vt:lpstr>
      <vt:lpstr>B_NCL_IBDebt_H1_12</vt:lpstr>
      <vt:lpstr>B_NCL_IBDebt_H1_13</vt:lpstr>
      <vt:lpstr>B_NCL_IBDebt_H1_14</vt:lpstr>
      <vt:lpstr>B_NCL_IBDebt_H1_15</vt:lpstr>
      <vt:lpstr>B_NCL_IBDebt_H1_16</vt:lpstr>
      <vt:lpstr>B_NCL_IBDebt_H1_17</vt:lpstr>
      <vt:lpstr>B_NCL_IBDebt_H1_18</vt:lpstr>
      <vt:lpstr>B_NCL_IBDebt_H1_19</vt:lpstr>
      <vt:lpstr>B_NCL_IBDebt_H1_20</vt:lpstr>
      <vt:lpstr>B_NCL_IBDebt_H2_00</vt:lpstr>
      <vt:lpstr>B_NCL_IBDebt_H2_01</vt:lpstr>
      <vt:lpstr>B_NCL_IBDebt_H2_02</vt:lpstr>
      <vt:lpstr>B_NCL_IBDebt_H2_03</vt:lpstr>
      <vt:lpstr>B_NCL_IBDebt_H2_04</vt:lpstr>
      <vt:lpstr>B_NCL_IBDebt_H2_05</vt:lpstr>
      <vt:lpstr>B_NCL_IBDebt_H2_06</vt:lpstr>
      <vt:lpstr>B_NCL_IBDebt_H2_07</vt:lpstr>
      <vt:lpstr>B_NCL_IBDebt_H2_08</vt:lpstr>
      <vt:lpstr>B_NCL_IBDebt_H2_09</vt:lpstr>
      <vt:lpstr>B_NCL_IBDebt_H2_10</vt:lpstr>
      <vt:lpstr>B_NCL_IBDebt_H2_11</vt:lpstr>
      <vt:lpstr>B_NCL_IBDebt_H2_12</vt:lpstr>
      <vt:lpstr>B_NCL_IBDebt_H2_13</vt:lpstr>
      <vt:lpstr>B_NCL_IBDebt_H2_14</vt:lpstr>
      <vt:lpstr>B_NCL_IBDebt_H2_15</vt:lpstr>
      <vt:lpstr>B_NCL_IBDebt_H2_16</vt:lpstr>
      <vt:lpstr>B_NCL_IBDebt_H2_17</vt:lpstr>
      <vt:lpstr>B_NCL_IBDebt_H2_18</vt:lpstr>
      <vt:lpstr>B_NCL_IBDebt_H2_19</vt:lpstr>
      <vt:lpstr>B_NCL_IBDebt_H2_20</vt:lpstr>
      <vt:lpstr>B_NCL_LLiab_00</vt:lpstr>
      <vt:lpstr>B_NCL_LLiab_01</vt:lpstr>
      <vt:lpstr>B_NCL_LLiab_02</vt:lpstr>
      <vt:lpstr>B_NCL_LLiab_03</vt:lpstr>
      <vt:lpstr>B_NCL_LLiab_04</vt:lpstr>
      <vt:lpstr>B_NCL_LLiab_05</vt:lpstr>
      <vt:lpstr>B_NCL_LLiab_06</vt:lpstr>
      <vt:lpstr>B_NCL_LLiab_07</vt:lpstr>
      <vt:lpstr>B_NCL_LLiab_08</vt:lpstr>
      <vt:lpstr>B_NCL_LLiab_09</vt:lpstr>
      <vt:lpstr>B_NCL_LLiab_10</vt:lpstr>
      <vt:lpstr>B_NCL_LLiab_11</vt:lpstr>
      <vt:lpstr>B_NCL_LLiab_12</vt:lpstr>
      <vt:lpstr>B_NCL_LLiab_13</vt:lpstr>
      <vt:lpstr>B_NCL_LLiab_14</vt:lpstr>
      <vt:lpstr>B_NCL_LLiab_15</vt:lpstr>
      <vt:lpstr>B_NCL_LLiab_16</vt:lpstr>
      <vt:lpstr>B_NCL_LLiab_17</vt:lpstr>
      <vt:lpstr>B_NCL_LLiab_18</vt:lpstr>
      <vt:lpstr>B_NCL_LLiab_19</vt:lpstr>
      <vt:lpstr>B_NCL_LLiab_20</vt:lpstr>
      <vt:lpstr>B_NCL_LLiab_H1_00</vt:lpstr>
      <vt:lpstr>B_NCL_LLiab_H1_01</vt:lpstr>
      <vt:lpstr>B_NCL_LLiab_H1_02</vt:lpstr>
      <vt:lpstr>B_NCL_LLiab_H1_03</vt:lpstr>
      <vt:lpstr>B_NCL_LLiab_H1_04</vt:lpstr>
      <vt:lpstr>B_NCL_LLiab_H1_05</vt:lpstr>
      <vt:lpstr>B_NCL_LLiab_H1_06</vt:lpstr>
      <vt:lpstr>B_NCL_LLiab_H1_07</vt:lpstr>
      <vt:lpstr>B_NCL_LLiab_H1_08</vt:lpstr>
      <vt:lpstr>B_NCL_LLiab_H1_09</vt:lpstr>
      <vt:lpstr>B_NCL_LLiab_H1_10</vt:lpstr>
      <vt:lpstr>B_NCL_LLiab_H1_11</vt:lpstr>
      <vt:lpstr>B_NCL_LLiab_H1_12</vt:lpstr>
      <vt:lpstr>B_NCL_LLiab_H1_13</vt:lpstr>
      <vt:lpstr>B_NCL_LLiab_H1_14</vt:lpstr>
      <vt:lpstr>B_NCL_LLiab_H1_15</vt:lpstr>
      <vt:lpstr>B_NCL_LLiab_H1_16</vt:lpstr>
      <vt:lpstr>B_NCL_LLiab_H1_17</vt:lpstr>
      <vt:lpstr>B_NCL_LLiab_H1_18</vt:lpstr>
      <vt:lpstr>B_NCL_LLiab_H1_19</vt:lpstr>
      <vt:lpstr>B_NCL_LLiab_H1_20</vt:lpstr>
      <vt:lpstr>B_NCL_LLiab_H2_00</vt:lpstr>
      <vt:lpstr>B_NCL_LLiab_H2_01</vt:lpstr>
      <vt:lpstr>B_NCL_LLiab_H2_02</vt:lpstr>
      <vt:lpstr>B_NCL_LLiab_H2_03</vt:lpstr>
      <vt:lpstr>B_NCL_LLiab_H2_04</vt:lpstr>
      <vt:lpstr>B_NCL_LLiab_H2_05</vt:lpstr>
      <vt:lpstr>B_NCL_LLiab_H2_06</vt:lpstr>
      <vt:lpstr>B_NCL_LLiab_H2_07</vt:lpstr>
      <vt:lpstr>B_NCL_LLiab_H2_08</vt:lpstr>
      <vt:lpstr>B_NCL_LLiab_H2_09</vt:lpstr>
      <vt:lpstr>B_NCL_LLiab_H2_10</vt:lpstr>
      <vt:lpstr>B_NCL_LLiab_H2_11</vt:lpstr>
      <vt:lpstr>B_NCL_LLiab_H2_12</vt:lpstr>
      <vt:lpstr>B_NCL_LLiab_H2_13</vt:lpstr>
      <vt:lpstr>B_NCL_LLiab_H2_14</vt:lpstr>
      <vt:lpstr>B_NCL_LLiab_H2_15</vt:lpstr>
      <vt:lpstr>B_NCL_LLiab_H2_16</vt:lpstr>
      <vt:lpstr>B_NCL_LLiab_H2_17</vt:lpstr>
      <vt:lpstr>B_NCL_LLiab_H2_18</vt:lpstr>
      <vt:lpstr>B_NCL_LLiab_H2_19</vt:lpstr>
      <vt:lpstr>B_NCL_LLiab_H2_20</vt:lpstr>
      <vt:lpstr>B_NCL_NIBDebt_00</vt:lpstr>
      <vt:lpstr>B_NCL_NIBDebt_01</vt:lpstr>
      <vt:lpstr>B_NCL_NIBDebt_02</vt:lpstr>
      <vt:lpstr>B_NCL_NIBDebt_03</vt:lpstr>
      <vt:lpstr>B_NCL_NIBDebt_04</vt:lpstr>
      <vt:lpstr>B_NCL_NIBDebt_05</vt:lpstr>
      <vt:lpstr>B_NCL_NIBDebt_06</vt:lpstr>
      <vt:lpstr>B_NCL_NIBDebt_07</vt:lpstr>
      <vt:lpstr>B_NCL_NIBDebt_08</vt:lpstr>
      <vt:lpstr>B_NCL_NIBDebt_09</vt:lpstr>
      <vt:lpstr>B_NCL_NIBDebt_10</vt:lpstr>
      <vt:lpstr>B_NCL_NIBDebt_11</vt:lpstr>
      <vt:lpstr>B_NCL_NIBDebt_12</vt:lpstr>
      <vt:lpstr>B_NCL_NIBDebt_13</vt:lpstr>
      <vt:lpstr>B_NCL_NIBDebt_14</vt:lpstr>
      <vt:lpstr>B_NCL_NIBDebt_15</vt:lpstr>
      <vt:lpstr>B_NCL_NIBDebt_16</vt:lpstr>
      <vt:lpstr>B_NCL_NIBDebt_17</vt:lpstr>
      <vt:lpstr>B_NCL_NIBDebt_18</vt:lpstr>
      <vt:lpstr>B_NCL_NIBDebt_19</vt:lpstr>
      <vt:lpstr>B_NCL_NIBDebt_20</vt:lpstr>
      <vt:lpstr>B_NCL_NIBDebt_H1_00</vt:lpstr>
      <vt:lpstr>B_NCL_NIBDebt_H1_01</vt:lpstr>
      <vt:lpstr>B_NCL_NIBDebt_H1_02</vt:lpstr>
      <vt:lpstr>B_NCL_NIBDebt_H1_03</vt:lpstr>
      <vt:lpstr>B_NCL_NIBDebt_H1_04</vt:lpstr>
      <vt:lpstr>B_NCL_NIBDebt_H1_05</vt:lpstr>
      <vt:lpstr>B_NCL_NIBDebt_H1_06</vt:lpstr>
      <vt:lpstr>B_NCL_NIBDebt_H1_07</vt:lpstr>
      <vt:lpstr>B_NCL_NIBDebt_H1_08</vt:lpstr>
      <vt:lpstr>B_NCL_NIBDebt_H1_09</vt:lpstr>
      <vt:lpstr>B_NCL_NIBDebt_H1_10</vt:lpstr>
      <vt:lpstr>B_NCL_NIBDebt_H1_11</vt:lpstr>
      <vt:lpstr>B_NCL_NIBDebt_H1_12</vt:lpstr>
      <vt:lpstr>B_NCL_NIBDebt_H1_13</vt:lpstr>
      <vt:lpstr>B_NCL_NIBDebt_H1_14</vt:lpstr>
      <vt:lpstr>B_NCL_NIBDebt_H1_15</vt:lpstr>
      <vt:lpstr>B_NCL_NIBDebt_H1_16</vt:lpstr>
      <vt:lpstr>B_NCL_NIBDebt_H1_17</vt:lpstr>
      <vt:lpstr>B_NCL_NIBDebt_H1_18</vt:lpstr>
      <vt:lpstr>B_NCL_NIBDebt_H1_19</vt:lpstr>
      <vt:lpstr>B_NCL_NIBDebt_H1_20</vt:lpstr>
      <vt:lpstr>B_NCL_NIBDebt_H2_00</vt:lpstr>
      <vt:lpstr>B_NCL_NIBDebt_H2_01</vt:lpstr>
      <vt:lpstr>B_NCL_NIBDebt_H2_02</vt:lpstr>
      <vt:lpstr>B_NCL_NIBDebt_H2_03</vt:lpstr>
      <vt:lpstr>B_NCL_NIBDebt_H2_04</vt:lpstr>
      <vt:lpstr>B_NCL_NIBDebt_H2_05</vt:lpstr>
      <vt:lpstr>B_NCL_NIBDebt_H2_06</vt:lpstr>
      <vt:lpstr>B_NCL_NIBDebt_H2_07</vt:lpstr>
      <vt:lpstr>B_NCL_NIBDebt_H2_08</vt:lpstr>
      <vt:lpstr>B_NCL_NIBDebt_H2_09</vt:lpstr>
      <vt:lpstr>B_NCL_NIBDebt_H2_10</vt:lpstr>
      <vt:lpstr>B_NCL_NIBDebt_H2_11</vt:lpstr>
      <vt:lpstr>B_NCL_NIBDebt_H2_12</vt:lpstr>
      <vt:lpstr>B_NCL_NIBDebt_H2_13</vt:lpstr>
      <vt:lpstr>B_NCL_NIBDebt_H2_14</vt:lpstr>
      <vt:lpstr>B_NCL_NIBDebt_H2_15</vt:lpstr>
      <vt:lpstr>B_NCL_NIBDebt_H2_16</vt:lpstr>
      <vt:lpstr>B_NCL_NIBDebt_H2_17</vt:lpstr>
      <vt:lpstr>B_NCL_NIBDebt_H2_18</vt:lpstr>
      <vt:lpstr>B_NCL_NIBDebt_H2_19</vt:lpstr>
      <vt:lpstr>B_NCL_NIBDebt_H2_20</vt:lpstr>
      <vt:lpstr>B_NCL_Oth_00</vt:lpstr>
      <vt:lpstr>B_NCL_Oth_01</vt:lpstr>
      <vt:lpstr>B_NCL_Oth_02</vt:lpstr>
      <vt:lpstr>B_NCL_Oth_03</vt:lpstr>
      <vt:lpstr>B_NCL_Oth_04</vt:lpstr>
      <vt:lpstr>B_NCL_Oth_05</vt:lpstr>
      <vt:lpstr>B_NCL_Oth_06</vt:lpstr>
      <vt:lpstr>B_NCL_Oth_07</vt:lpstr>
      <vt:lpstr>B_NCL_Oth_08</vt:lpstr>
      <vt:lpstr>B_NCL_Oth_09</vt:lpstr>
      <vt:lpstr>B_NCL_Oth_10</vt:lpstr>
      <vt:lpstr>B_NCL_Oth_11</vt:lpstr>
      <vt:lpstr>B_NCL_Oth_12</vt:lpstr>
      <vt:lpstr>B_NCL_Oth_13</vt:lpstr>
      <vt:lpstr>B_NCL_Oth_14</vt:lpstr>
      <vt:lpstr>B_NCL_Oth_15</vt:lpstr>
      <vt:lpstr>B_NCL_Oth_16</vt:lpstr>
      <vt:lpstr>B_NCL_Oth_17</vt:lpstr>
      <vt:lpstr>B_NCL_Oth_18</vt:lpstr>
      <vt:lpstr>B_NCL_Oth_19</vt:lpstr>
      <vt:lpstr>B_NCL_Oth_20</vt:lpstr>
      <vt:lpstr>B_NCL_Oth_H1_00</vt:lpstr>
      <vt:lpstr>B_NCL_Oth_H1_01</vt:lpstr>
      <vt:lpstr>B_NCL_Oth_H1_02</vt:lpstr>
      <vt:lpstr>B_NCL_Oth_H1_03</vt:lpstr>
      <vt:lpstr>B_NCL_Oth_H1_04</vt:lpstr>
      <vt:lpstr>B_NCL_Oth_H1_05</vt:lpstr>
      <vt:lpstr>B_NCL_Oth_H1_06</vt:lpstr>
      <vt:lpstr>B_NCL_Oth_H1_07</vt:lpstr>
      <vt:lpstr>B_NCL_Oth_H1_08</vt:lpstr>
      <vt:lpstr>B_NCL_Oth_H1_09</vt:lpstr>
      <vt:lpstr>B_NCL_Oth_H1_10</vt:lpstr>
      <vt:lpstr>B_NCL_Oth_H1_11</vt:lpstr>
      <vt:lpstr>B_NCL_Oth_H1_12</vt:lpstr>
      <vt:lpstr>B_NCL_Oth_H1_13</vt:lpstr>
      <vt:lpstr>B_NCL_Oth_H1_14</vt:lpstr>
      <vt:lpstr>B_NCL_Oth_H1_15</vt:lpstr>
      <vt:lpstr>B_NCL_Oth_H1_16</vt:lpstr>
      <vt:lpstr>B_NCL_Oth_H1_17</vt:lpstr>
      <vt:lpstr>B_NCL_Oth_H1_18</vt:lpstr>
      <vt:lpstr>B_NCL_Oth_H1_19</vt:lpstr>
      <vt:lpstr>B_NCL_Oth_H1_20</vt:lpstr>
      <vt:lpstr>B_NCL_Oth_H2_00</vt:lpstr>
      <vt:lpstr>B_NCL_Oth_H2_01</vt:lpstr>
      <vt:lpstr>B_NCL_Oth_H2_02</vt:lpstr>
      <vt:lpstr>B_NCL_Oth_H2_03</vt:lpstr>
      <vt:lpstr>B_NCL_Oth_H2_04</vt:lpstr>
      <vt:lpstr>B_NCL_Oth_H2_05</vt:lpstr>
      <vt:lpstr>B_NCL_Oth_H2_06</vt:lpstr>
      <vt:lpstr>B_NCL_Oth_H2_07</vt:lpstr>
      <vt:lpstr>B_NCL_Oth_H2_08</vt:lpstr>
      <vt:lpstr>B_NCL_Oth_H2_09</vt:lpstr>
      <vt:lpstr>B_NCL_Oth_H2_10</vt:lpstr>
      <vt:lpstr>B_NCL_Oth_H2_11</vt:lpstr>
      <vt:lpstr>B_NCL_Oth_H2_12</vt:lpstr>
      <vt:lpstr>B_NCL_Oth_H2_13</vt:lpstr>
      <vt:lpstr>B_NCL_Oth_H2_14</vt:lpstr>
      <vt:lpstr>B_NCL_Oth_H2_15</vt:lpstr>
      <vt:lpstr>B_NCL_Oth_H2_16</vt:lpstr>
      <vt:lpstr>B_NCL_Oth_H2_17</vt:lpstr>
      <vt:lpstr>B_NCL_Oth_H2_18</vt:lpstr>
      <vt:lpstr>B_NCL_Oth_H2_19</vt:lpstr>
      <vt:lpstr>B_NCL_Oth_H2_20</vt:lpstr>
      <vt:lpstr>B_NCL_OthProv_00</vt:lpstr>
      <vt:lpstr>B_NCL_OthProv_01</vt:lpstr>
      <vt:lpstr>B_NCL_OthProv_02</vt:lpstr>
      <vt:lpstr>B_NCL_OthProv_03</vt:lpstr>
      <vt:lpstr>B_NCL_OthProv_04</vt:lpstr>
      <vt:lpstr>B_NCL_OthProv_05</vt:lpstr>
      <vt:lpstr>B_NCL_OthProv_06</vt:lpstr>
      <vt:lpstr>B_NCL_OthProv_07</vt:lpstr>
      <vt:lpstr>B_NCL_OthProv_08</vt:lpstr>
      <vt:lpstr>B_NCL_OthProv_09</vt:lpstr>
      <vt:lpstr>B_NCL_OthProv_10</vt:lpstr>
      <vt:lpstr>B_NCL_OthProv_11</vt:lpstr>
      <vt:lpstr>B_NCL_OthProv_12</vt:lpstr>
      <vt:lpstr>B_NCL_OthProv_13</vt:lpstr>
      <vt:lpstr>B_NCL_OthProv_14</vt:lpstr>
      <vt:lpstr>B_NCL_OthProv_15</vt:lpstr>
      <vt:lpstr>B_NCL_OthProv_16</vt:lpstr>
      <vt:lpstr>B_NCL_OthProv_17</vt:lpstr>
      <vt:lpstr>B_NCL_OthProv_18</vt:lpstr>
      <vt:lpstr>B_NCL_OthProv_19</vt:lpstr>
      <vt:lpstr>B_NCL_OthProv_20</vt:lpstr>
      <vt:lpstr>B_NCL_OthProv_H1_00</vt:lpstr>
      <vt:lpstr>B_NCL_OthProv_H1_01</vt:lpstr>
      <vt:lpstr>B_NCL_OthProv_H1_02</vt:lpstr>
      <vt:lpstr>B_NCL_OthProv_H1_03</vt:lpstr>
      <vt:lpstr>B_NCL_OthProv_H1_04</vt:lpstr>
      <vt:lpstr>B_NCL_OthProv_H1_05</vt:lpstr>
      <vt:lpstr>B_NCL_OthProv_H1_06</vt:lpstr>
      <vt:lpstr>B_NCL_OthProv_H1_07</vt:lpstr>
      <vt:lpstr>B_NCL_OthProv_H1_08</vt:lpstr>
      <vt:lpstr>B_NCL_OthProv_H1_09</vt:lpstr>
      <vt:lpstr>B_NCL_OthProv_H1_10</vt:lpstr>
      <vt:lpstr>B_NCL_OthProv_H1_11</vt:lpstr>
      <vt:lpstr>B_NCL_OthProv_H1_12</vt:lpstr>
      <vt:lpstr>B_NCL_OthProv_H1_13</vt:lpstr>
      <vt:lpstr>B_NCL_OthProv_H1_14</vt:lpstr>
      <vt:lpstr>B_NCL_OthProv_H1_15</vt:lpstr>
      <vt:lpstr>B_NCL_OthProv_H1_16</vt:lpstr>
      <vt:lpstr>B_NCL_OthProv_H1_17</vt:lpstr>
      <vt:lpstr>B_NCL_OthProv_H1_18</vt:lpstr>
      <vt:lpstr>B_NCL_OthProv_H1_19</vt:lpstr>
      <vt:lpstr>B_NCL_OthProv_H1_20</vt:lpstr>
      <vt:lpstr>B_NCL_OthProv_H2_00</vt:lpstr>
      <vt:lpstr>B_NCL_OthProv_H2_01</vt:lpstr>
      <vt:lpstr>B_NCL_OthProv_H2_02</vt:lpstr>
      <vt:lpstr>B_NCL_OthProv_H2_03</vt:lpstr>
      <vt:lpstr>B_NCL_OthProv_H2_04</vt:lpstr>
      <vt:lpstr>B_NCL_OthProv_H2_05</vt:lpstr>
      <vt:lpstr>B_NCL_OthProv_H2_06</vt:lpstr>
      <vt:lpstr>B_NCL_OthProv_H2_07</vt:lpstr>
      <vt:lpstr>B_NCL_OthProv_H2_08</vt:lpstr>
      <vt:lpstr>B_NCL_OthProv_H2_09</vt:lpstr>
      <vt:lpstr>B_NCL_OthProv_H2_10</vt:lpstr>
      <vt:lpstr>B_NCL_OthProv_H2_11</vt:lpstr>
      <vt:lpstr>B_NCL_OthProv_H2_12</vt:lpstr>
      <vt:lpstr>B_NCL_OthProv_H2_13</vt:lpstr>
      <vt:lpstr>B_NCL_OthProv_H2_14</vt:lpstr>
      <vt:lpstr>B_NCL_OthProv_H2_15</vt:lpstr>
      <vt:lpstr>B_NCL_OthProv_H2_16</vt:lpstr>
      <vt:lpstr>B_NCL_OthProv_H2_17</vt:lpstr>
      <vt:lpstr>B_NCL_OthProv_H2_18</vt:lpstr>
      <vt:lpstr>B_NCL_OthProv_H2_19</vt:lpstr>
      <vt:lpstr>B_NCL_OthProv_H2_20</vt:lpstr>
      <vt:lpstr>B_NCP_00</vt:lpstr>
      <vt:lpstr>B_NCP_01</vt:lpstr>
      <vt:lpstr>B_NCP_02</vt:lpstr>
      <vt:lpstr>B_NCP_03</vt:lpstr>
      <vt:lpstr>B_NCP_04</vt:lpstr>
      <vt:lpstr>B_NCP_05</vt:lpstr>
      <vt:lpstr>B_NCP_06</vt:lpstr>
      <vt:lpstr>B_NCP_07</vt:lpstr>
      <vt:lpstr>B_NCP_08</vt:lpstr>
      <vt:lpstr>B_NCP_09</vt:lpstr>
      <vt:lpstr>B_NCP_10</vt:lpstr>
      <vt:lpstr>B_NCP_11</vt:lpstr>
      <vt:lpstr>B_NCP_12</vt:lpstr>
      <vt:lpstr>B_NCP_13</vt:lpstr>
      <vt:lpstr>B_NCP_14</vt:lpstr>
      <vt:lpstr>B_NCP_15</vt:lpstr>
      <vt:lpstr>B_NCP_16</vt:lpstr>
      <vt:lpstr>B_NCP_17</vt:lpstr>
      <vt:lpstr>B_NCP_18</vt:lpstr>
      <vt:lpstr>B_NCP_19</vt:lpstr>
      <vt:lpstr>B_NCP_20</vt:lpstr>
      <vt:lpstr>B_NCP_95</vt:lpstr>
      <vt:lpstr>B_NCP_96</vt:lpstr>
      <vt:lpstr>B_NCP_97</vt:lpstr>
      <vt:lpstr>B_NCP_98</vt:lpstr>
      <vt:lpstr>B_NCP_99</vt:lpstr>
      <vt:lpstr>B_ND_00</vt:lpstr>
      <vt:lpstr>B_ND_01</vt:lpstr>
      <vt:lpstr>B_ND_02</vt:lpstr>
      <vt:lpstr>B_ND_03</vt:lpstr>
      <vt:lpstr>B_ND_04</vt:lpstr>
      <vt:lpstr>B_ND_05</vt:lpstr>
      <vt:lpstr>B_ND_06</vt:lpstr>
      <vt:lpstr>B_ND_07</vt:lpstr>
      <vt:lpstr>B_ND_08</vt:lpstr>
      <vt:lpstr>B_ND_09</vt:lpstr>
      <vt:lpstr>B_ND_10</vt:lpstr>
      <vt:lpstr>B_ND_11</vt:lpstr>
      <vt:lpstr>B_ND_12</vt:lpstr>
      <vt:lpstr>B_ND_13</vt:lpstr>
      <vt:lpstr>B_ND_14</vt:lpstr>
      <vt:lpstr>B_ND_15</vt:lpstr>
      <vt:lpstr>B_ND_16</vt:lpstr>
      <vt:lpstr>B_ND_17</vt:lpstr>
      <vt:lpstr>B_ND_18</vt:lpstr>
      <vt:lpstr>B_ND_19</vt:lpstr>
      <vt:lpstr>B_ND_20</vt:lpstr>
      <vt:lpstr>B_ND_95</vt:lpstr>
      <vt:lpstr>B_ND_96</vt:lpstr>
      <vt:lpstr>B_ND_97</vt:lpstr>
      <vt:lpstr>B_ND_98</vt:lpstr>
      <vt:lpstr>B_ND_99</vt:lpstr>
      <vt:lpstr>B_ND_H1_00</vt:lpstr>
      <vt:lpstr>B_ND_H1_01</vt:lpstr>
      <vt:lpstr>B_ND_H1_02</vt:lpstr>
      <vt:lpstr>B_ND_H1_03</vt:lpstr>
      <vt:lpstr>B_ND_H1_04</vt:lpstr>
      <vt:lpstr>B_ND_H1_05</vt:lpstr>
      <vt:lpstr>B_ND_H1_06</vt:lpstr>
      <vt:lpstr>B_ND_H1_07</vt:lpstr>
      <vt:lpstr>B_ND_H1_08</vt:lpstr>
      <vt:lpstr>B_ND_H1_09</vt:lpstr>
      <vt:lpstr>B_ND_H1_10</vt:lpstr>
      <vt:lpstr>B_ND_H1_11</vt:lpstr>
      <vt:lpstr>B_ND_H1_12</vt:lpstr>
      <vt:lpstr>B_ND_H1_13</vt:lpstr>
      <vt:lpstr>B_ND_H1_14</vt:lpstr>
      <vt:lpstr>B_ND_H1_15</vt:lpstr>
      <vt:lpstr>B_ND_H1_16</vt:lpstr>
      <vt:lpstr>B_ND_H1_17</vt:lpstr>
      <vt:lpstr>B_ND_H1_18</vt:lpstr>
      <vt:lpstr>B_ND_H1_19</vt:lpstr>
      <vt:lpstr>B_ND_H1_20</vt:lpstr>
      <vt:lpstr>B_ND_H2_00</vt:lpstr>
      <vt:lpstr>B_ND_H2_01</vt:lpstr>
      <vt:lpstr>B_ND_H2_02</vt:lpstr>
      <vt:lpstr>B_ND_H2_03</vt:lpstr>
      <vt:lpstr>B_ND_H2_04</vt:lpstr>
      <vt:lpstr>B_ND_H2_05</vt:lpstr>
      <vt:lpstr>B_ND_H2_06</vt:lpstr>
      <vt:lpstr>B_ND_H2_07</vt:lpstr>
      <vt:lpstr>B_ND_H2_08</vt:lpstr>
      <vt:lpstr>B_ND_H2_09</vt:lpstr>
      <vt:lpstr>B_ND_H2_10</vt:lpstr>
      <vt:lpstr>B_ND_H2_11</vt:lpstr>
      <vt:lpstr>B_ND_H2_12</vt:lpstr>
      <vt:lpstr>B_ND_H2_13</vt:lpstr>
      <vt:lpstr>B_ND_H2_14</vt:lpstr>
      <vt:lpstr>B_ND_H2_15</vt:lpstr>
      <vt:lpstr>B_ND_H2_16</vt:lpstr>
      <vt:lpstr>B_ND_H2_17</vt:lpstr>
      <vt:lpstr>B_ND_H2_18</vt:lpstr>
      <vt:lpstr>B_ND_H2_19</vt:lpstr>
      <vt:lpstr>B_ND_H2_20</vt:lpstr>
      <vt:lpstr>B_OCA_00</vt:lpstr>
      <vt:lpstr>B_OCA_01</vt:lpstr>
      <vt:lpstr>B_OCA_02</vt:lpstr>
      <vt:lpstr>B_OCA_03</vt:lpstr>
      <vt:lpstr>B_OCA_04</vt:lpstr>
      <vt:lpstr>B_OCA_05</vt:lpstr>
      <vt:lpstr>B_OCA_06</vt:lpstr>
      <vt:lpstr>B_OCA_07</vt:lpstr>
      <vt:lpstr>B_OCA_08</vt:lpstr>
      <vt:lpstr>B_OCA_09</vt:lpstr>
      <vt:lpstr>B_OCA_10</vt:lpstr>
      <vt:lpstr>B_OCA_11</vt:lpstr>
      <vt:lpstr>B_OCA_12</vt:lpstr>
      <vt:lpstr>B_OCA_13</vt:lpstr>
      <vt:lpstr>B_OCA_14</vt:lpstr>
      <vt:lpstr>B_OCA_15</vt:lpstr>
      <vt:lpstr>B_OCA_16</vt:lpstr>
      <vt:lpstr>B_OCA_17</vt:lpstr>
      <vt:lpstr>B_OCA_18</vt:lpstr>
      <vt:lpstr>B_OCA_19</vt:lpstr>
      <vt:lpstr>B_OCA_20</vt:lpstr>
      <vt:lpstr>B_OCA_95</vt:lpstr>
      <vt:lpstr>B_OCA_96</vt:lpstr>
      <vt:lpstr>B_OCA_97</vt:lpstr>
      <vt:lpstr>B_OCA_98</vt:lpstr>
      <vt:lpstr>B_OCA_99</vt:lpstr>
      <vt:lpstr>B_OCL_00</vt:lpstr>
      <vt:lpstr>B_OCL_01</vt:lpstr>
      <vt:lpstr>B_OCL_02</vt:lpstr>
      <vt:lpstr>B_OCL_03</vt:lpstr>
      <vt:lpstr>B_OCL_04</vt:lpstr>
      <vt:lpstr>B_OCL_05</vt:lpstr>
      <vt:lpstr>B_OCL_06</vt:lpstr>
      <vt:lpstr>B_OCL_07</vt:lpstr>
      <vt:lpstr>B_OCL_08</vt:lpstr>
      <vt:lpstr>B_OCL_09</vt:lpstr>
      <vt:lpstr>B_OCL_10</vt:lpstr>
      <vt:lpstr>B_OCL_11</vt:lpstr>
      <vt:lpstr>B_OCL_12</vt:lpstr>
      <vt:lpstr>B_OCL_13</vt:lpstr>
      <vt:lpstr>B_OCL_14</vt:lpstr>
      <vt:lpstr>B_OCL_15</vt:lpstr>
      <vt:lpstr>B_OCL_16</vt:lpstr>
      <vt:lpstr>B_OCL_17</vt:lpstr>
      <vt:lpstr>B_OCL_18</vt:lpstr>
      <vt:lpstr>B_OCL_19</vt:lpstr>
      <vt:lpstr>B_OCL_20</vt:lpstr>
      <vt:lpstr>B_OCL_95</vt:lpstr>
      <vt:lpstr>B_OCL_96</vt:lpstr>
      <vt:lpstr>B_OCL_97</vt:lpstr>
      <vt:lpstr>B_OCL_98</vt:lpstr>
      <vt:lpstr>B_OCL_99</vt:lpstr>
      <vt:lpstr>B_OE_00</vt:lpstr>
      <vt:lpstr>B_OE_01</vt:lpstr>
      <vt:lpstr>B_OE_02</vt:lpstr>
      <vt:lpstr>B_OE_03</vt:lpstr>
      <vt:lpstr>B_OE_04</vt:lpstr>
      <vt:lpstr>B_OE_05</vt:lpstr>
      <vt:lpstr>B_OE_06</vt:lpstr>
      <vt:lpstr>B_OE_07</vt:lpstr>
      <vt:lpstr>B_OE_08</vt:lpstr>
      <vt:lpstr>B_OE_09</vt:lpstr>
      <vt:lpstr>B_OE_10</vt:lpstr>
      <vt:lpstr>B_OE_11</vt:lpstr>
      <vt:lpstr>B_OE_12</vt:lpstr>
      <vt:lpstr>B_OE_13</vt:lpstr>
      <vt:lpstr>B_OE_14</vt:lpstr>
      <vt:lpstr>B_OE_15</vt:lpstr>
      <vt:lpstr>B_OE_16</vt:lpstr>
      <vt:lpstr>B_OE_17</vt:lpstr>
      <vt:lpstr>B_OE_18</vt:lpstr>
      <vt:lpstr>B_OE_19</vt:lpstr>
      <vt:lpstr>B_OE_20</vt:lpstr>
      <vt:lpstr>B_OE_95</vt:lpstr>
      <vt:lpstr>B_OE_96</vt:lpstr>
      <vt:lpstr>B_OE_97</vt:lpstr>
      <vt:lpstr>B_OE_98</vt:lpstr>
      <vt:lpstr>B_OE_99</vt:lpstr>
      <vt:lpstr>B_ONCA_00</vt:lpstr>
      <vt:lpstr>B_ONCA_01</vt:lpstr>
      <vt:lpstr>B_ONCA_02</vt:lpstr>
      <vt:lpstr>B_ONCA_03</vt:lpstr>
      <vt:lpstr>B_ONCA_04</vt:lpstr>
      <vt:lpstr>B_ONCA_05</vt:lpstr>
      <vt:lpstr>B_ONCA_06</vt:lpstr>
      <vt:lpstr>B_ONCA_07</vt:lpstr>
      <vt:lpstr>B_ONCA_08</vt:lpstr>
      <vt:lpstr>B_ONCA_09</vt:lpstr>
      <vt:lpstr>B_ONCA_10</vt:lpstr>
      <vt:lpstr>B_ONCA_11</vt:lpstr>
      <vt:lpstr>B_ONCA_12</vt:lpstr>
      <vt:lpstr>B_ONCA_13</vt:lpstr>
      <vt:lpstr>B_ONCA_14</vt:lpstr>
      <vt:lpstr>B_ONCA_15</vt:lpstr>
      <vt:lpstr>B_ONCA_16</vt:lpstr>
      <vt:lpstr>B_ONCA_17</vt:lpstr>
      <vt:lpstr>B_ONCA_18</vt:lpstr>
      <vt:lpstr>B_ONCA_19</vt:lpstr>
      <vt:lpstr>B_ONCA_20</vt:lpstr>
      <vt:lpstr>B_ONCA_95</vt:lpstr>
      <vt:lpstr>B_ONCA_96</vt:lpstr>
      <vt:lpstr>B_ONCA_97</vt:lpstr>
      <vt:lpstr>B_ONCA_98</vt:lpstr>
      <vt:lpstr>B_ONCA_99</vt:lpstr>
      <vt:lpstr>B_ONCL_00</vt:lpstr>
      <vt:lpstr>B_ONCL_01</vt:lpstr>
      <vt:lpstr>B_ONCL_02</vt:lpstr>
      <vt:lpstr>B_ONCL_03</vt:lpstr>
      <vt:lpstr>B_ONCL_04</vt:lpstr>
      <vt:lpstr>B_ONCL_05</vt:lpstr>
      <vt:lpstr>B_ONCL_06</vt:lpstr>
      <vt:lpstr>B_ONCL_07</vt:lpstr>
      <vt:lpstr>B_ONCL_08</vt:lpstr>
      <vt:lpstr>B_ONCL_09</vt:lpstr>
      <vt:lpstr>B_ONCL_10</vt:lpstr>
      <vt:lpstr>B_ONCL_11</vt:lpstr>
      <vt:lpstr>B_ONCL_12</vt:lpstr>
      <vt:lpstr>B_ONCL_13</vt:lpstr>
      <vt:lpstr>B_ONCL_14</vt:lpstr>
      <vt:lpstr>B_ONCL_15</vt:lpstr>
      <vt:lpstr>B_ONCL_16</vt:lpstr>
      <vt:lpstr>B_ONCL_17</vt:lpstr>
      <vt:lpstr>B_ONCL_18</vt:lpstr>
      <vt:lpstr>B_ONCL_19</vt:lpstr>
      <vt:lpstr>B_ONCL_20</vt:lpstr>
      <vt:lpstr>B_ONCL_95</vt:lpstr>
      <vt:lpstr>B_ONCL_96</vt:lpstr>
      <vt:lpstr>B_ONCL_97</vt:lpstr>
      <vt:lpstr>B_ONCL_98</vt:lpstr>
      <vt:lpstr>B_ONCL_99</vt:lpstr>
      <vt:lpstr>B_PPE_00</vt:lpstr>
      <vt:lpstr>B_PPE_01</vt:lpstr>
      <vt:lpstr>B_PPE_02</vt:lpstr>
      <vt:lpstr>B_PPE_03</vt:lpstr>
      <vt:lpstr>B_PPE_04</vt:lpstr>
      <vt:lpstr>B_PPE_05</vt:lpstr>
      <vt:lpstr>B_PPE_06</vt:lpstr>
      <vt:lpstr>B_PPE_07</vt:lpstr>
      <vt:lpstr>B_PPE_08</vt:lpstr>
      <vt:lpstr>B_PPE_09</vt:lpstr>
      <vt:lpstr>B_PPE_10</vt:lpstr>
      <vt:lpstr>B_PPE_11</vt:lpstr>
      <vt:lpstr>B_PPE_12</vt:lpstr>
      <vt:lpstr>B_PPE_13</vt:lpstr>
      <vt:lpstr>B_PPE_14</vt:lpstr>
      <vt:lpstr>B_PPE_15</vt:lpstr>
      <vt:lpstr>B_PPE_16</vt:lpstr>
      <vt:lpstr>B_PPE_17</vt:lpstr>
      <vt:lpstr>B_PPE_18</vt:lpstr>
      <vt:lpstr>B_PPE_19</vt:lpstr>
      <vt:lpstr>B_PPE_20</vt:lpstr>
      <vt:lpstr>B_PPE_95</vt:lpstr>
      <vt:lpstr>B_PPE_96</vt:lpstr>
      <vt:lpstr>B_PPE_97</vt:lpstr>
      <vt:lpstr>B_PPE_98</vt:lpstr>
      <vt:lpstr>B_PPE_99</vt:lpstr>
      <vt:lpstr>B_RP_00</vt:lpstr>
      <vt:lpstr>B_RP_01</vt:lpstr>
      <vt:lpstr>B_RP_02</vt:lpstr>
      <vt:lpstr>B_RP_03</vt:lpstr>
      <vt:lpstr>B_RP_04</vt:lpstr>
      <vt:lpstr>B_RP_05</vt:lpstr>
      <vt:lpstr>B_RP_06</vt:lpstr>
      <vt:lpstr>B_RP_07</vt:lpstr>
      <vt:lpstr>B_RP_08</vt:lpstr>
      <vt:lpstr>B_RP_09</vt:lpstr>
      <vt:lpstr>B_RP_10</vt:lpstr>
      <vt:lpstr>B_RP_11</vt:lpstr>
      <vt:lpstr>B_RP_12</vt:lpstr>
      <vt:lpstr>B_RP_13</vt:lpstr>
      <vt:lpstr>B_RP_14</vt:lpstr>
      <vt:lpstr>B_RP_15</vt:lpstr>
      <vt:lpstr>B_RP_16</vt:lpstr>
      <vt:lpstr>B_RP_17</vt:lpstr>
      <vt:lpstr>B_RP_18</vt:lpstr>
      <vt:lpstr>B_RP_19</vt:lpstr>
      <vt:lpstr>B_RP_20</vt:lpstr>
      <vt:lpstr>B_RP_90</vt:lpstr>
      <vt:lpstr>B_RP_91</vt:lpstr>
      <vt:lpstr>B_RP_92</vt:lpstr>
      <vt:lpstr>B_RP_93</vt:lpstr>
      <vt:lpstr>B_RP_94</vt:lpstr>
      <vt:lpstr>B_RP_95</vt:lpstr>
      <vt:lpstr>B_RP_96</vt:lpstr>
      <vt:lpstr>B_RP_97</vt:lpstr>
      <vt:lpstr>B_RP_98</vt:lpstr>
      <vt:lpstr>B_RP_99</vt:lpstr>
      <vt:lpstr>B_SE_Cov_00</vt:lpstr>
      <vt:lpstr>B_SE_Cov_01</vt:lpstr>
      <vt:lpstr>B_SE_Cov_02</vt:lpstr>
      <vt:lpstr>B_SE_Cov_03</vt:lpstr>
      <vt:lpstr>B_SE_Cov_04</vt:lpstr>
      <vt:lpstr>B_SE_Cov_05</vt:lpstr>
      <vt:lpstr>B_SE_Cov_06</vt:lpstr>
      <vt:lpstr>B_SE_Cov_07</vt:lpstr>
      <vt:lpstr>B_SE_Cov_08</vt:lpstr>
      <vt:lpstr>B_SE_Cov_09</vt:lpstr>
      <vt:lpstr>B_SE_Cov_10</vt:lpstr>
      <vt:lpstr>B_SE_Cov_11</vt:lpstr>
      <vt:lpstr>B_SE_Cov_12</vt:lpstr>
      <vt:lpstr>B_SE_Cov_13</vt:lpstr>
      <vt:lpstr>B_SE_Cov_14</vt:lpstr>
      <vt:lpstr>B_SE_Cov_15</vt:lpstr>
      <vt:lpstr>B_SE_Cov_16</vt:lpstr>
      <vt:lpstr>B_SE_Cov_17</vt:lpstr>
      <vt:lpstr>B_SE_Cov_18</vt:lpstr>
      <vt:lpstr>B_SE_Cov_19</vt:lpstr>
      <vt:lpstr>B_SE_Cov_20</vt:lpstr>
      <vt:lpstr>B_SE_Cov_H1_00</vt:lpstr>
      <vt:lpstr>B_SE_Cov_H1_01</vt:lpstr>
      <vt:lpstr>B_SE_Cov_H1_02</vt:lpstr>
      <vt:lpstr>B_SE_Cov_H1_03</vt:lpstr>
      <vt:lpstr>B_SE_Cov_H1_04</vt:lpstr>
      <vt:lpstr>B_SE_Cov_H1_05</vt:lpstr>
      <vt:lpstr>B_SE_Cov_H1_06</vt:lpstr>
      <vt:lpstr>B_SE_Cov_H1_07</vt:lpstr>
      <vt:lpstr>B_SE_Cov_H1_08</vt:lpstr>
      <vt:lpstr>B_SE_Cov_H1_09</vt:lpstr>
      <vt:lpstr>B_SE_Cov_H1_10</vt:lpstr>
      <vt:lpstr>B_SE_Cov_H1_11</vt:lpstr>
      <vt:lpstr>B_SE_Cov_H1_12</vt:lpstr>
      <vt:lpstr>B_SE_Cov_H1_13</vt:lpstr>
      <vt:lpstr>B_SE_Cov_H1_14</vt:lpstr>
      <vt:lpstr>B_SE_Cov_H1_15</vt:lpstr>
      <vt:lpstr>B_SE_Cov_H1_16</vt:lpstr>
      <vt:lpstr>B_SE_Cov_H1_17</vt:lpstr>
      <vt:lpstr>B_SE_Cov_H1_18</vt:lpstr>
      <vt:lpstr>B_SE_Cov_H1_19</vt:lpstr>
      <vt:lpstr>B_SE_Cov_H1_20</vt:lpstr>
      <vt:lpstr>B_SE_Cov_H2_00</vt:lpstr>
      <vt:lpstr>B_SE_Cov_H2_01</vt:lpstr>
      <vt:lpstr>B_SE_Cov_H2_02</vt:lpstr>
      <vt:lpstr>B_SE_Cov_H2_03</vt:lpstr>
      <vt:lpstr>B_SE_Cov_H2_04</vt:lpstr>
      <vt:lpstr>B_SE_Cov_H2_05</vt:lpstr>
      <vt:lpstr>B_SE_Cov_H2_06</vt:lpstr>
      <vt:lpstr>B_SE_Cov_H2_07</vt:lpstr>
      <vt:lpstr>B_SE_Cov_H2_08</vt:lpstr>
      <vt:lpstr>B_SE_Cov_H2_09</vt:lpstr>
      <vt:lpstr>B_SE_Cov_H2_10</vt:lpstr>
      <vt:lpstr>B_SE_Cov_H2_11</vt:lpstr>
      <vt:lpstr>B_SE_Cov_H2_12</vt:lpstr>
      <vt:lpstr>B_SE_Cov_H2_13</vt:lpstr>
      <vt:lpstr>B_SE_Cov_H2_14</vt:lpstr>
      <vt:lpstr>B_SE_Cov_H2_15</vt:lpstr>
      <vt:lpstr>B_SE_Cov_H2_16</vt:lpstr>
      <vt:lpstr>B_SE_Cov_H2_17</vt:lpstr>
      <vt:lpstr>B_SE_Cov_H2_18</vt:lpstr>
      <vt:lpstr>B_SE_Cov_H2_19</vt:lpstr>
      <vt:lpstr>B_SE_Cov_H2_20</vt:lpstr>
      <vt:lpstr>B_SE_Min_00</vt:lpstr>
      <vt:lpstr>B_SE_Min_01</vt:lpstr>
      <vt:lpstr>B_SE_Min_02</vt:lpstr>
      <vt:lpstr>B_SE_Min_03</vt:lpstr>
      <vt:lpstr>B_SE_Min_04</vt:lpstr>
      <vt:lpstr>B_SE_Min_05</vt:lpstr>
      <vt:lpstr>B_SE_Min_06</vt:lpstr>
      <vt:lpstr>B_SE_Min_07</vt:lpstr>
      <vt:lpstr>B_SE_Min_08</vt:lpstr>
      <vt:lpstr>B_SE_Min_09</vt:lpstr>
      <vt:lpstr>B_SE_Min_10</vt:lpstr>
      <vt:lpstr>B_SE_Min_11</vt:lpstr>
      <vt:lpstr>B_SE_Min_12</vt:lpstr>
      <vt:lpstr>B_SE_Min_13</vt:lpstr>
      <vt:lpstr>B_SE_Min_14</vt:lpstr>
      <vt:lpstr>B_SE_Min_15</vt:lpstr>
      <vt:lpstr>B_SE_Min_16</vt:lpstr>
      <vt:lpstr>B_SE_Min_17</vt:lpstr>
      <vt:lpstr>B_SE_Min_18</vt:lpstr>
      <vt:lpstr>B_SE_Min_19</vt:lpstr>
      <vt:lpstr>B_SE_Min_20</vt:lpstr>
      <vt:lpstr>B_SE_Min_H1_00</vt:lpstr>
      <vt:lpstr>B_SE_Min_H1_01</vt:lpstr>
      <vt:lpstr>B_SE_Min_H1_02</vt:lpstr>
      <vt:lpstr>B_SE_Min_H1_03</vt:lpstr>
      <vt:lpstr>B_SE_Min_H1_04</vt:lpstr>
      <vt:lpstr>B_SE_Min_H1_05</vt:lpstr>
      <vt:lpstr>B_SE_Min_H1_06</vt:lpstr>
      <vt:lpstr>B_SE_Min_H1_07</vt:lpstr>
      <vt:lpstr>B_SE_Min_H1_08</vt:lpstr>
      <vt:lpstr>B_SE_Min_H1_09</vt:lpstr>
      <vt:lpstr>B_SE_Min_H1_10</vt:lpstr>
      <vt:lpstr>B_SE_Min_H1_11</vt:lpstr>
      <vt:lpstr>B_SE_Min_H1_12</vt:lpstr>
      <vt:lpstr>B_SE_Min_H1_13</vt:lpstr>
      <vt:lpstr>B_SE_Min_H1_14</vt:lpstr>
      <vt:lpstr>B_SE_Min_H1_15</vt:lpstr>
      <vt:lpstr>B_SE_Min_H1_16</vt:lpstr>
      <vt:lpstr>B_SE_Min_H1_17</vt:lpstr>
      <vt:lpstr>B_SE_Min_H1_18</vt:lpstr>
      <vt:lpstr>B_SE_Min_H1_19</vt:lpstr>
      <vt:lpstr>B_SE_Min_H1_20</vt:lpstr>
      <vt:lpstr>B_SE_Min_H2_00</vt:lpstr>
      <vt:lpstr>B_SE_Min_H2_01</vt:lpstr>
      <vt:lpstr>B_SE_Min_H2_02</vt:lpstr>
      <vt:lpstr>B_SE_Min_H2_03</vt:lpstr>
      <vt:lpstr>B_SE_Min_H2_04</vt:lpstr>
      <vt:lpstr>B_SE_Min_H2_05</vt:lpstr>
      <vt:lpstr>B_SE_Min_H2_06</vt:lpstr>
      <vt:lpstr>B_SE_Min_H2_07</vt:lpstr>
      <vt:lpstr>B_SE_Min_H2_08</vt:lpstr>
      <vt:lpstr>B_SE_Min_H2_09</vt:lpstr>
      <vt:lpstr>B_SE_Min_H2_10</vt:lpstr>
      <vt:lpstr>B_SE_Min_H2_11</vt:lpstr>
      <vt:lpstr>B_SE_Min_H2_12</vt:lpstr>
      <vt:lpstr>B_SE_Min_H2_13</vt:lpstr>
      <vt:lpstr>B_SE_Min_H2_14</vt:lpstr>
      <vt:lpstr>B_SE_Min_H2_15</vt:lpstr>
      <vt:lpstr>B_SE_Min_H2_16</vt:lpstr>
      <vt:lpstr>B_SE_Min_H2_17</vt:lpstr>
      <vt:lpstr>B_SE_Min_H2_18</vt:lpstr>
      <vt:lpstr>B_SE_Min_H2_19</vt:lpstr>
      <vt:lpstr>B_SE_Min_H2_20</vt:lpstr>
      <vt:lpstr>B_SE_Non_EClass_00</vt:lpstr>
      <vt:lpstr>B_SE_Non_EClass_01</vt:lpstr>
      <vt:lpstr>B_SE_Non_EClass_02</vt:lpstr>
      <vt:lpstr>B_SE_Non_EClass_03</vt:lpstr>
      <vt:lpstr>B_SE_Non_EClass_04</vt:lpstr>
      <vt:lpstr>B_SE_Non_EClass_05</vt:lpstr>
      <vt:lpstr>B_SE_Non_EClass_06</vt:lpstr>
      <vt:lpstr>B_SE_Non_EClass_07</vt:lpstr>
      <vt:lpstr>B_SE_Non_EClass_08</vt:lpstr>
      <vt:lpstr>B_SE_Non_EClass_09</vt:lpstr>
      <vt:lpstr>B_SE_Non_EClass_10</vt:lpstr>
      <vt:lpstr>B_SE_Non_EClass_11</vt:lpstr>
      <vt:lpstr>B_SE_Non_EClass_12</vt:lpstr>
      <vt:lpstr>B_SE_Non_EClass_13</vt:lpstr>
      <vt:lpstr>B_SE_Non_EClass_14</vt:lpstr>
      <vt:lpstr>B_SE_Non_EClass_15</vt:lpstr>
      <vt:lpstr>B_SE_Non_EClass_16</vt:lpstr>
      <vt:lpstr>B_SE_Non_EClass_17</vt:lpstr>
      <vt:lpstr>B_SE_Non_EClass_18</vt:lpstr>
      <vt:lpstr>B_SE_Non_EClass_19</vt:lpstr>
      <vt:lpstr>B_SE_Non_EClass_20</vt:lpstr>
      <vt:lpstr>B_SE_Non_EClass_H1_00</vt:lpstr>
      <vt:lpstr>B_SE_Non_EClass_H1_01</vt:lpstr>
      <vt:lpstr>B_SE_Non_EClass_H1_02</vt:lpstr>
      <vt:lpstr>B_SE_Non_EClass_H1_03</vt:lpstr>
      <vt:lpstr>B_SE_Non_EClass_H1_04</vt:lpstr>
      <vt:lpstr>B_SE_Non_EClass_H1_05</vt:lpstr>
      <vt:lpstr>B_SE_Non_EClass_H1_06</vt:lpstr>
      <vt:lpstr>B_SE_Non_EClass_H1_07</vt:lpstr>
      <vt:lpstr>B_SE_Non_EClass_H1_08</vt:lpstr>
      <vt:lpstr>B_SE_Non_EClass_H1_09</vt:lpstr>
      <vt:lpstr>B_SE_Non_EClass_H1_10</vt:lpstr>
      <vt:lpstr>B_SE_Non_EClass_H1_11</vt:lpstr>
      <vt:lpstr>B_SE_Non_EClass_H1_12</vt:lpstr>
      <vt:lpstr>B_SE_Non_EClass_H1_13</vt:lpstr>
      <vt:lpstr>B_SE_Non_EClass_H1_14</vt:lpstr>
      <vt:lpstr>B_SE_Non_EClass_H1_15</vt:lpstr>
      <vt:lpstr>B_SE_Non_EClass_H1_16</vt:lpstr>
      <vt:lpstr>B_SE_Non_EClass_H1_17</vt:lpstr>
      <vt:lpstr>B_SE_Non_EClass_H1_18</vt:lpstr>
      <vt:lpstr>B_SE_Non_EClass_H1_19</vt:lpstr>
      <vt:lpstr>B_SE_Non_EClass_H1_20</vt:lpstr>
      <vt:lpstr>B_SE_Non_EClass_H2_00</vt:lpstr>
      <vt:lpstr>B_SE_Non_EClass_H2_01</vt:lpstr>
      <vt:lpstr>B_SE_Non_EClass_H2_02</vt:lpstr>
      <vt:lpstr>B_SE_Non_EClass_H2_03</vt:lpstr>
      <vt:lpstr>B_SE_Non_EClass_H2_04</vt:lpstr>
      <vt:lpstr>B_SE_Non_EClass_H2_05</vt:lpstr>
      <vt:lpstr>B_SE_Non_EClass_H2_06</vt:lpstr>
      <vt:lpstr>B_SE_Non_EClass_H2_07</vt:lpstr>
      <vt:lpstr>B_SE_Non_EClass_H2_08</vt:lpstr>
      <vt:lpstr>B_SE_Non_EClass_H2_09</vt:lpstr>
      <vt:lpstr>B_SE_Non_EClass_H2_10</vt:lpstr>
      <vt:lpstr>B_SE_Non_EClass_H2_11</vt:lpstr>
      <vt:lpstr>B_SE_Non_EClass_H2_12</vt:lpstr>
      <vt:lpstr>B_SE_Non_EClass_H2_13</vt:lpstr>
      <vt:lpstr>B_SE_Non_EClass_H2_14</vt:lpstr>
      <vt:lpstr>B_SE_Non_EClass_H2_15</vt:lpstr>
      <vt:lpstr>B_SE_Non_EClass_H2_16</vt:lpstr>
      <vt:lpstr>B_SE_Non_EClass_H2_17</vt:lpstr>
      <vt:lpstr>B_SE_Non_EClass_H2_18</vt:lpstr>
      <vt:lpstr>B_SE_Non_EClass_H2_19</vt:lpstr>
      <vt:lpstr>B_SE_Non_EClass_H2_20</vt:lpstr>
      <vt:lpstr>B_SE_OE_00</vt:lpstr>
      <vt:lpstr>B_SE_OE_01</vt:lpstr>
      <vt:lpstr>B_SE_OE_02</vt:lpstr>
      <vt:lpstr>B_SE_OE_03</vt:lpstr>
      <vt:lpstr>B_SE_OE_04</vt:lpstr>
      <vt:lpstr>B_SE_OE_05</vt:lpstr>
      <vt:lpstr>B_SE_OE_06</vt:lpstr>
      <vt:lpstr>B_SE_OE_07</vt:lpstr>
      <vt:lpstr>B_SE_OE_08</vt:lpstr>
      <vt:lpstr>B_SE_OE_09</vt:lpstr>
      <vt:lpstr>B_SE_OE_10</vt:lpstr>
      <vt:lpstr>B_SE_OE_11</vt:lpstr>
      <vt:lpstr>B_SE_OE_12</vt:lpstr>
      <vt:lpstr>B_SE_OE_13</vt:lpstr>
      <vt:lpstr>B_SE_OE_14</vt:lpstr>
      <vt:lpstr>B_SE_OE_15</vt:lpstr>
      <vt:lpstr>B_SE_OE_16</vt:lpstr>
      <vt:lpstr>B_SE_OE_17</vt:lpstr>
      <vt:lpstr>B_SE_OE_18</vt:lpstr>
      <vt:lpstr>B_SE_OE_19</vt:lpstr>
      <vt:lpstr>B_SE_OE_20</vt:lpstr>
      <vt:lpstr>B_SE_OE_H1_00</vt:lpstr>
      <vt:lpstr>B_SE_OE_H1_01</vt:lpstr>
      <vt:lpstr>B_SE_OE_H1_02</vt:lpstr>
      <vt:lpstr>B_SE_OE_H1_03</vt:lpstr>
      <vt:lpstr>B_SE_OE_H1_04</vt:lpstr>
      <vt:lpstr>B_SE_OE_H1_05</vt:lpstr>
      <vt:lpstr>B_SE_OE_H1_06</vt:lpstr>
      <vt:lpstr>B_SE_OE_H1_07</vt:lpstr>
      <vt:lpstr>B_SE_OE_H1_08</vt:lpstr>
      <vt:lpstr>B_SE_OE_H1_09</vt:lpstr>
      <vt:lpstr>B_SE_OE_H1_10</vt:lpstr>
      <vt:lpstr>B_SE_OE_H1_11</vt:lpstr>
      <vt:lpstr>B_SE_OE_H1_12</vt:lpstr>
      <vt:lpstr>B_SE_OE_H1_13</vt:lpstr>
      <vt:lpstr>B_SE_OE_H1_14</vt:lpstr>
      <vt:lpstr>B_SE_OE_H1_15</vt:lpstr>
      <vt:lpstr>B_SE_OE_H1_16</vt:lpstr>
      <vt:lpstr>B_SE_OE_H1_17</vt:lpstr>
      <vt:lpstr>B_SE_OE_H1_18</vt:lpstr>
      <vt:lpstr>B_SE_OE_H1_19</vt:lpstr>
      <vt:lpstr>B_SE_OE_H1_20</vt:lpstr>
      <vt:lpstr>B_SE_OE_H2_00</vt:lpstr>
      <vt:lpstr>B_SE_OE_H2_01</vt:lpstr>
      <vt:lpstr>B_SE_OE_H2_02</vt:lpstr>
      <vt:lpstr>B_SE_OE_H2_03</vt:lpstr>
      <vt:lpstr>B_SE_OE_H2_04</vt:lpstr>
      <vt:lpstr>B_SE_OE_H2_05</vt:lpstr>
      <vt:lpstr>B_SE_OE_H2_06</vt:lpstr>
      <vt:lpstr>B_SE_OE_H2_07</vt:lpstr>
      <vt:lpstr>B_SE_OE_H2_08</vt:lpstr>
      <vt:lpstr>B_SE_OE_H2_09</vt:lpstr>
      <vt:lpstr>B_SE_OE_H2_10</vt:lpstr>
      <vt:lpstr>B_SE_OE_H2_11</vt:lpstr>
      <vt:lpstr>B_SE_OE_H2_12</vt:lpstr>
      <vt:lpstr>B_SE_OE_H2_13</vt:lpstr>
      <vt:lpstr>B_SE_OE_H2_14</vt:lpstr>
      <vt:lpstr>B_SE_OE_H2_15</vt:lpstr>
      <vt:lpstr>B_SE_OE_H2_16</vt:lpstr>
      <vt:lpstr>B_SE_OE_H2_17</vt:lpstr>
      <vt:lpstr>B_SE_OE_H2_18</vt:lpstr>
      <vt:lpstr>B_SE_OE_H2_19</vt:lpstr>
      <vt:lpstr>B_SE_OE_H2_20</vt:lpstr>
      <vt:lpstr>B_SE_Res_00</vt:lpstr>
      <vt:lpstr>B_SE_Res_01</vt:lpstr>
      <vt:lpstr>B_SE_Res_02</vt:lpstr>
      <vt:lpstr>B_SE_Res_03</vt:lpstr>
      <vt:lpstr>B_SE_Res_04</vt:lpstr>
      <vt:lpstr>B_SE_Res_05</vt:lpstr>
      <vt:lpstr>B_SE_Res_06</vt:lpstr>
      <vt:lpstr>B_SE_Res_07</vt:lpstr>
      <vt:lpstr>B_SE_Res_08</vt:lpstr>
      <vt:lpstr>B_SE_Res_09</vt:lpstr>
      <vt:lpstr>B_SE_Res_10</vt:lpstr>
      <vt:lpstr>B_SE_Res_11</vt:lpstr>
      <vt:lpstr>B_SE_Res_12</vt:lpstr>
      <vt:lpstr>B_SE_Res_13</vt:lpstr>
      <vt:lpstr>B_SE_Res_14</vt:lpstr>
      <vt:lpstr>B_SE_Res_15</vt:lpstr>
      <vt:lpstr>B_SE_Res_16</vt:lpstr>
      <vt:lpstr>B_SE_Res_17</vt:lpstr>
      <vt:lpstr>B_SE_Res_18</vt:lpstr>
      <vt:lpstr>B_SE_Res_19</vt:lpstr>
      <vt:lpstr>B_SE_Res_20</vt:lpstr>
      <vt:lpstr>B_SE_Res_H1_00</vt:lpstr>
      <vt:lpstr>B_SE_Res_H1_01</vt:lpstr>
      <vt:lpstr>B_SE_Res_H1_02</vt:lpstr>
      <vt:lpstr>B_SE_Res_H1_03</vt:lpstr>
      <vt:lpstr>B_SE_Res_H1_04</vt:lpstr>
      <vt:lpstr>B_SE_Res_H1_05</vt:lpstr>
      <vt:lpstr>B_SE_Res_H1_06</vt:lpstr>
      <vt:lpstr>B_SE_Res_H1_07</vt:lpstr>
      <vt:lpstr>B_SE_Res_H1_08</vt:lpstr>
      <vt:lpstr>B_SE_Res_H1_09</vt:lpstr>
      <vt:lpstr>B_SE_Res_H1_10</vt:lpstr>
      <vt:lpstr>B_SE_Res_H1_11</vt:lpstr>
      <vt:lpstr>B_SE_Res_H1_12</vt:lpstr>
      <vt:lpstr>B_SE_Res_H1_13</vt:lpstr>
      <vt:lpstr>B_SE_Res_H1_14</vt:lpstr>
      <vt:lpstr>B_SE_Res_H1_15</vt:lpstr>
      <vt:lpstr>B_SE_Res_H1_16</vt:lpstr>
      <vt:lpstr>B_SE_Res_H1_17</vt:lpstr>
      <vt:lpstr>B_SE_Res_H1_18</vt:lpstr>
      <vt:lpstr>B_SE_Res_H1_19</vt:lpstr>
      <vt:lpstr>B_SE_Res_H1_20</vt:lpstr>
      <vt:lpstr>B_SE_Res_H2_00</vt:lpstr>
      <vt:lpstr>B_SE_Res_H2_01</vt:lpstr>
      <vt:lpstr>B_SE_Res_H2_02</vt:lpstr>
      <vt:lpstr>B_SE_Res_H2_03</vt:lpstr>
      <vt:lpstr>B_SE_Res_H2_04</vt:lpstr>
      <vt:lpstr>B_SE_Res_H2_05</vt:lpstr>
      <vt:lpstr>B_SE_Res_H2_06</vt:lpstr>
      <vt:lpstr>B_SE_Res_H2_07</vt:lpstr>
      <vt:lpstr>B_SE_Res_H2_08</vt:lpstr>
      <vt:lpstr>B_SE_Res_H2_09</vt:lpstr>
      <vt:lpstr>B_SE_Res_H2_10</vt:lpstr>
      <vt:lpstr>B_SE_Res_H2_11</vt:lpstr>
      <vt:lpstr>B_SE_Res_H2_12</vt:lpstr>
      <vt:lpstr>B_SE_Res_H2_13</vt:lpstr>
      <vt:lpstr>B_SE_Res_H2_14</vt:lpstr>
      <vt:lpstr>B_SE_Res_H2_15</vt:lpstr>
      <vt:lpstr>B_SE_Res_H2_16</vt:lpstr>
      <vt:lpstr>B_SE_Res_H2_17</vt:lpstr>
      <vt:lpstr>B_SE_Res_H2_18</vt:lpstr>
      <vt:lpstr>B_SE_Res_H2_19</vt:lpstr>
      <vt:lpstr>B_SE_Res_H2_20</vt:lpstr>
      <vt:lpstr>B_SE_RP_00</vt:lpstr>
      <vt:lpstr>B_SE_RP_01</vt:lpstr>
      <vt:lpstr>B_SE_RP_02</vt:lpstr>
      <vt:lpstr>B_SE_RP_03</vt:lpstr>
      <vt:lpstr>B_SE_RP_04</vt:lpstr>
      <vt:lpstr>B_SE_RP_05</vt:lpstr>
      <vt:lpstr>B_SE_RP_06</vt:lpstr>
      <vt:lpstr>B_SE_RP_07</vt:lpstr>
      <vt:lpstr>B_SE_RP_08</vt:lpstr>
      <vt:lpstr>B_SE_RP_09</vt:lpstr>
      <vt:lpstr>B_SE_RP_10</vt:lpstr>
      <vt:lpstr>B_SE_RP_11</vt:lpstr>
      <vt:lpstr>B_SE_RP_12</vt:lpstr>
      <vt:lpstr>B_SE_RP_13</vt:lpstr>
      <vt:lpstr>B_SE_RP_14</vt:lpstr>
      <vt:lpstr>B_SE_RP_15</vt:lpstr>
      <vt:lpstr>B_SE_RP_16</vt:lpstr>
      <vt:lpstr>B_SE_RP_17</vt:lpstr>
      <vt:lpstr>B_SE_RP_18</vt:lpstr>
      <vt:lpstr>B_SE_RP_19</vt:lpstr>
      <vt:lpstr>B_SE_RP_20</vt:lpstr>
      <vt:lpstr>B_SE_RP_H1_00</vt:lpstr>
      <vt:lpstr>B_SE_RP_H1_01</vt:lpstr>
      <vt:lpstr>B_SE_RP_H1_02</vt:lpstr>
      <vt:lpstr>B_SE_RP_H1_03</vt:lpstr>
      <vt:lpstr>B_SE_RP_H1_04</vt:lpstr>
      <vt:lpstr>B_SE_RP_H1_05</vt:lpstr>
      <vt:lpstr>B_SE_RP_H1_06</vt:lpstr>
      <vt:lpstr>B_SE_RP_H1_07</vt:lpstr>
      <vt:lpstr>B_SE_RP_H1_08</vt:lpstr>
      <vt:lpstr>B_SE_RP_H1_09</vt:lpstr>
      <vt:lpstr>B_SE_RP_H1_10</vt:lpstr>
      <vt:lpstr>B_SE_RP_H1_11</vt:lpstr>
      <vt:lpstr>B_SE_RP_H1_12</vt:lpstr>
      <vt:lpstr>B_SE_RP_H1_13</vt:lpstr>
      <vt:lpstr>B_SE_RP_H1_14</vt:lpstr>
      <vt:lpstr>B_SE_RP_H1_15</vt:lpstr>
      <vt:lpstr>B_SE_RP_H1_16</vt:lpstr>
      <vt:lpstr>B_SE_RP_H1_17</vt:lpstr>
      <vt:lpstr>B_SE_RP_H1_18</vt:lpstr>
      <vt:lpstr>B_SE_RP_H1_19</vt:lpstr>
      <vt:lpstr>B_SE_RP_H1_20</vt:lpstr>
      <vt:lpstr>B_SE_RP_H2_00</vt:lpstr>
      <vt:lpstr>B_SE_RP_H2_01</vt:lpstr>
      <vt:lpstr>B_SE_RP_H2_02</vt:lpstr>
      <vt:lpstr>B_SE_RP_H2_03</vt:lpstr>
      <vt:lpstr>B_SE_RP_H2_04</vt:lpstr>
      <vt:lpstr>B_SE_RP_H2_05</vt:lpstr>
      <vt:lpstr>B_SE_RP_H2_06</vt:lpstr>
      <vt:lpstr>B_SE_RP_H2_07</vt:lpstr>
      <vt:lpstr>B_SE_RP_H2_08</vt:lpstr>
      <vt:lpstr>B_SE_RP_H2_09</vt:lpstr>
      <vt:lpstr>B_SE_RP_H2_10</vt:lpstr>
      <vt:lpstr>B_SE_RP_H2_11</vt:lpstr>
      <vt:lpstr>B_SE_RP_H2_12</vt:lpstr>
      <vt:lpstr>B_SE_RP_H2_13</vt:lpstr>
      <vt:lpstr>B_SE_RP_H2_14</vt:lpstr>
      <vt:lpstr>B_SE_RP_H2_15</vt:lpstr>
      <vt:lpstr>B_SE_RP_H2_16</vt:lpstr>
      <vt:lpstr>B_SE_RP_H2_17</vt:lpstr>
      <vt:lpstr>B_SE_RP_H2_18</vt:lpstr>
      <vt:lpstr>B_SE_RP_H2_19</vt:lpstr>
      <vt:lpstr>B_SE_RP_H2_20</vt:lpstr>
      <vt:lpstr>B_TA_00</vt:lpstr>
      <vt:lpstr>B_TA_01</vt:lpstr>
      <vt:lpstr>B_TA_02</vt:lpstr>
      <vt:lpstr>B_TA_03</vt:lpstr>
      <vt:lpstr>B_TA_04</vt:lpstr>
      <vt:lpstr>B_TA_05</vt:lpstr>
      <vt:lpstr>B_TA_06</vt:lpstr>
      <vt:lpstr>B_TA_07</vt:lpstr>
      <vt:lpstr>B_TA_08</vt:lpstr>
      <vt:lpstr>B_TA_09</vt:lpstr>
      <vt:lpstr>B_TA_10</vt:lpstr>
      <vt:lpstr>B_TA_11</vt:lpstr>
      <vt:lpstr>B_TA_12</vt:lpstr>
      <vt:lpstr>B_TA_13</vt:lpstr>
      <vt:lpstr>B_TA_14</vt:lpstr>
      <vt:lpstr>B_TA_15</vt:lpstr>
      <vt:lpstr>B_TA_16</vt:lpstr>
      <vt:lpstr>B_TA_17</vt:lpstr>
      <vt:lpstr>B_TA_18</vt:lpstr>
      <vt:lpstr>B_TA_19</vt:lpstr>
      <vt:lpstr>B_TA_20</vt:lpstr>
      <vt:lpstr>B_TA_95</vt:lpstr>
      <vt:lpstr>B_TA_96</vt:lpstr>
      <vt:lpstr>B_TA_97</vt:lpstr>
      <vt:lpstr>B_TA_98</vt:lpstr>
      <vt:lpstr>B_TA_99</vt:lpstr>
      <vt:lpstr>B_TA_H1_00</vt:lpstr>
      <vt:lpstr>B_TA_H1_01</vt:lpstr>
      <vt:lpstr>B_TA_H1_02</vt:lpstr>
      <vt:lpstr>B_TA_H1_03</vt:lpstr>
      <vt:lpstr>B_TA_H1_04</vt:lpstr>
      <vt:lpstr>B_TA_H1_05</vt:lpstr>
      <vt:lpstr>B_TA_H1_06</vt:lpstr>
      <vt:lpstr>B_TA_H1_07</vt:lpstr>
      <vt:lpstr>B_TA_H1_08</vt:lpstr>
      <vt:lpstr>B_TA_H1_09</vt:lpstr>
      <vt:lpstr>B_TA_H1_10</vt:lpstr>
      <vt:lpstr>B_TA_H1_11</vt:lpstr>
      <vt:lpstr>B_TA_H1_12</vt:lpstr>
      <vt:lpstr>B_TA_H1_13</vt:lpstr>
      <vt:lpstr>B_TA_H1_14</vt:lpstr>
      <vt:lpstr>B_TA_H1_15</vt:lpstr>
      <vt:lpstr>B_TA_H1_16</vt:lpstr>
      <vt:lpstr>B_TA_H1_17</vt:lpstr>
      <vt:lpstr>B_TA_H1_18</vt:lpstr>
      <vt:lpstr>B_TA_H1_19</vt:lpstr>
      <vt:lpstr>B_TA_H1_20</vt:lpstr>
      <vt:lpstr>B_TA_H2_00</vt:lpstr>
      <vt:lpstr>B_TA_H2_01</vt:lpstr>
      <vt:lpstr>B_TA_H2_02</vt:lpstr>
      <vt:lpstr>B_TA_H2_03</vt:lpstr>
      <vt:lpstr>B_TA_H2_04</vt:lpstr>
      <vt:lpstr>B_TA_H2_05</vt:lpstr>
      <vt:lpstr>B_TA_H2_06</vt:lpstr>
      <vt:lpstr>B_TA_H2_07</vt:lpstr>
      <vt:lpstr>B_TA_H2_08</vt:lpstr>
      <vt:lpstr>B_TA_H2_09</vt:lpstr>
      <vt:lpstr>B_TA_H2_10</vt:lpstr>
      <vt:lpstr>B_TA_H2_11</vt:lpstr>
      <vt:lpstr>B_TA_H2_12</vt:lpstr>
      <vt:lpstr>B_TA_H2_13</vt:lpstr>
      <vt:lpstr>B_TA_H2_14</vt:lpstr>
      <vt:lpstr>B_TA_H2_15</vt:lpstr>
      <vt:lpstr>B_TA_H2_16</vt:lpstr>
      <vt:lpstr>B_TA_H2_17</vt:lpstr>
      <vt:lpstr>B_TA_H2_18</vt:lpstr>
      <vt:lpstr>B_TA_H2_19</vt:lpstr>
      <vt:lpstr>B_TA_H2_20</vt:lpstr>
      <vt:lpstr>B_TCA_00</vt:lpstr>
      <vt:lpstr>B_TCA_01</vt:lpstr>
      <vt:lpstr>B_TCA_02</vt:lpstr>
      <vt:lpstr>B_TCA_03</vt:lpstr>
      <vt:lpstr>B_TCA_04</vt:lpstr>
      <vt:lpstr>B_TCA_05</vt:lpstr>
      <vt:lpstr>B_TCA_06</vt:lpstr>
      <vt:lpstr>B_TCA_07</vt:lpstr>
      <vt:lpstr>B_TCA_08</vt:lpstr>
      <vt:lpstr>B_TCA_09</vt:lpstr>
      <vt:lpstr>B_TCA_10</vt:lpstr>
      <vt:lpstr>B_TCA_11</vt:lpstr>
      <vt:lpstr>B_TCA_12</vt:lpstr>
      <vt:lpstr>B_TCA_13</vt:lpstr>
      <vt:lpstr>B_TCA_14</vt:lpstr>
      <vt:lpstr>B_TCA_15</vt:lpstr>
      <vt:lpstr>B_TCA_16</vt:lpstr>
      <vt:lpstr>B_TCA_17</vt:lpstr>
      <vt:lpstr>B_TCA_18</vt:lpstr>
      <vt:lpstr>B_TCA_19</vt:lpstr>
      <vt:lpstr>B_TCA_20</vt:lpstr>
      <vt:lpstr>B_TCA_95</vt:lpstr>
      <vt:lpstr>B_TCA_96</vt:lpstr>
      <vt:lpstr>B_TCA_97</vt:lpstr>
      <vt:lpstr>B_TCA_98</vt:lpstr>
      <vt:lpstr>B_TCA_99</vt:lpstr>
      <vt:lpstr>B_TCB_00</vt:lpstr>
      <vt:lpstr>B_TCB_01</vt:lpstr>
      <vt:lpstr>B_TCB_02</vt:lpstr>
      <vt:lpstr>B_TCB_03</vt:lpstr>
      <vt:lpstr>B_TCB_04</vt:lpstr>
      <vt:lpstr>B_TCB_05</vt:lpstr>
      <vt:lpstr>B_TCB_06</vt:lpstr>
      <vt:lpstr>B_TCB_07</vt:lpstr>
      <vt:lpstr>B_TCB_08</vt:lpstr>
      <vt:lpstr>B_TCB_09</vt:lpstr>
      <vt:lpstr>B_TCB_10</vt:lpstr>
      <vt:lpstr>B_TCB_11</vt:lpstr>
      <vt:lpstr>B_TCB_12</vt:lpstr>
      <vt:lpstr>B_TCB_13</vt:lpstr>
      <vt:lpstr>B_TCB_14</vt:lpstr>
      <vt:lpstr>B_TCB_15</vt:lpstr>
      <vt:lpstr>B_TCB_16</vt:lpstr>
      <vt:lpstr>B_TCB_17</vt:lpstr>
      <vt:lpstr>B_TCB_18</vt:lpstr>
      <vt:lpstr>B_TCB_19</vt:lpstr>
      <vt:lpstr>B_TCB_20</vt:lpstr>
      <vt:lpstr>B_TCB_H1_00</vt:lpstr>
      <vt:lpstr>B_TCB_H1_01</vt:lpstr>
      <vt:lpstr>B_TCB_H1_02</vt:lpstr>
      <vt:lpstr>B_TCB_H1_03</vt:lpstr>
      <vt:lpstr>B_TCB_H1_04</vt:lpstr>
      <vt:lpstr>B_TCB_H1_05</vt:lpstr>
      <vt:lpstr>B_TCB_H1_06</vt:lpstr>
      <vt:lpstr>B_TCB_H1_07</vt:lpstr>
      <vt:lpstr>B_TCB_H1_08</vt:lpstr>
      <vt:lpstr>B_TCB_H1_09</vt:lpstr>
      <vt:lpstr>B_TCB_H1_10</vt:lpstr>
      <vt:lpstr>B_TCB_H1_11</vt:lpstr>
      <vt:lpstr>B_TCB_H1_12</vt:lpstr>
      <vt:lpstr>B_TCB_H1_13</vt:lpstr>
      <vt:lpstr>B_TCB_H1_14</vt:lpstr>
      <vt:lpstr>B_TCB_H1_15</vt:lpstr>
      <vt:lpstr>B_TCB_H1_16</vt:lpstr>
      <vt:lpstr>B_TCB_H1_17</vt:lpstr>
      <vt:lpstr>B_TCB_H1_18</vt:lpstr>
      <vt:lpstr>B_TCB_H1_19</vt:lpstr>
      <vt:lpstr>B_TCB_H1_20</vt:lpstr>
      <vt:lpstr>B_TCB_H2_00</vt:lpstr>
      <vt:lpstr>B_TCB_H2_01</vt:lpstr>
      <vt:lpstr>B_TCB_H2_02</vt:lpstr>
      <vt:lpstr>B_TCB_H2_03</vt:lpstr>
      <vt:lpstr>B_TCB_H2_04</vt:lpstr>
      <vt:lpstr>B_TCB_H2_05</vt:lpstr>
      <vt:lpstr>B_TCB_H2_06</vt:lpstr>
      <vt:lpstr>B_TCB_H2_07</vt:lpstr>
      <vt:lpstr>B_TCB_H2_08</vt:lpstr>
      <vt:lpstr>B_TCB_H2_09</vt:lpstr>
      <vt:lpstr>B_TCB_H2_10</vt:lpstr>
      <vt:lpstr>B_TCB_H2_11</vt:lpstr>
      <vt:lpstr>B_TCB_H2_12</vt:lpstr>
      <vt:lpstr>B_TCB_H2_13</vt:lpstr>
      <vt:lpstr>B_TCB_H2_14</vt:lpstr>
      <vt:lpstr>B_TCB_H2_15</vt:lpstr>
      <vt:lpstr>B_TCB_H2_16</vt:lpstr>
      <vt:lpstr>B_TCB_H2_17</vt:lpstr>
      <vt:lpstr>B_TCB_H2_18</vt:lpstr>
      <vt:lpstr>B_TCB_H2_19</vt:lpstr>
      <vt:lpstr>B_TCB_H2_20</vt:lpstr>
      <vt:lpstr>B_TCL_00</vt:lpstr>
      <vt:lpstr>B_TCL_01</vt:lpstr>
      <vt:lpstr>B_TCL_02</vt:lpstr>
      <vt:lpstr>B_TCL_03</vt:lpstr>
      <vt:lpstr>B_TCL_04</vt:lpstr>
      <vt:lpstr>B_TCL_05</vt:lpstr>
      <vt:lpstr>B_TCL_06</vt:lpstr>
      <vt:lpstr>B_TCL_07</vt:lpstr>
      <vt:lpstr>B_TCL_08</vt:lpstr>
      <vt:lpstr>B_TCL_09</vt:lpstr>
      <vt:lpstr>B_TCL_10</vt:lpstr>
      <vt:lpstr>B_TCL_11</vt:lpstr>
      <vt:lpstr>B_TCL_12</vt:lpstr>
      <vt:lpstr>B_TCL_13</vt:lpstr>
      <vt:lpstr>B_TCL_14</vt:lpstr>
      <vt:lpstr>B_TCL_15</vt:lpstr>
      <vt:lpstr>B_TCL_16</vt:lpstr>
      <vt:lpstr>B_TCL_17</vt:lpstr>
      <vt:lpstr>B_TCL_18</vt:lpstr>
      <vt:lpstr>B_TCL_19</vt:lpstr>
      <vt:lpstr>B_TCL_20</vt:lpstr>
      <vt:lpstr>B_TCL_95</vt:lpstr>
      <vt:lpstr>B_TCL_96</vt:lpstr>
      <vt:lpstr>B_TCL_97</vt:lpstr>
      <vt:lpstr>B_TCL_98</vt:lpstr>
      <vt:lpstr>B_TCL_99</vt:lpstr>
      <vt:lpstr>B_TCL_H1_00</vt:lpstr>
      <vt:lpstr>B_TCL_H1_01</vt:lpstr>
      <vt:lpstr>B_TCL_H1_02</vt:lpstr>
      <vt:lpstr>B_TCL_H1_03</vt:lpstr>
      <vt:lpstr>B_TCL_H1_04</vt:lpstr>
      <vt:lpstr>B_TCL_H1_05</vt:lpstr>
      <vt:lpstr>B_TCL_H1_06</vt:lpstr>
      <vt:lpstr>B_TCL_H1_07</vt:lpstr>
      <vt:lpstr>B_TCL_H1_08</vt:lpstr>
      <vt:lpstr>B_TCL_H1_09</vt:lpstr>
      <vt:lpstr>B_TCL_H1_10</vt:lpstr>
      <vt:lpstr>B_TCL_H1_11</vt:lpstr>
      <vt:lpstr>B_TCL_H1_12</vt:lpstr>
      <vt:lpstr>B_TCL_H1_13</vt:lpstr>
      <vt:lpstr>B_TCL_H1_14</vt:lpstr>
      <vt:lpstr>B_TCL_H1_15</vt:lpstr>
      <vt:lpstr>B_TCL_H1_16</vt:lpstr>
      <vt:lpstr>B_TCL_H1_17</vt:lpstr>
      <vt:lpstr>B_TCL_H1_18</vt:lpstr>
      <vt:lpstr>B_TCL_H1_19</vt:lpstr>
      <vt:lpstr>B_TCL_H1_20</vt:lpstr>
      <vt:lpstr>B_TCL_H2_00</vt:lpstr>
      <vt:lpstr>B_TCL_H2_01</vt:lpstr>
      <vt:lpstr>B_TCL_H2_02</vt:lpstr>
      <vt:lpstr>B_TCL_H2_03</vt:lpstr>
      <vt:lpstr>B_TCL_H2_04</vt:lpstr>
      <vt:lpstr>B_TCL_H2_05</vt:lpstr>
      <vt:lpstr>B_TCL_H2_06</vt:lpstr>
      <vt:lpstr>B_TCL_H2_07</vt:lpstr>
      <vt:lpstr>B_TCL_H2_08</vt:lpstr>
      <vt:lpstr>B_TCL_H2_09</vt:lpstr>
      <vt:lpstr>B_TCL_H2_10</vt:lpstr>
      <vt:lpstr>B_TCL_H2_11</vt:lpstr>
      <vt:lpstr>B_TCL_H2_12</vt:lpstr>
      <vt:lpstr>B_TCL_H2_13</vt:lpstr>
      <vt:lpstr>B_TCL_H2_14</vt:lpstr>
      <vt:lpstr>B_TCL_H2_15</vt:lpstr>
      <vt:lpstr>B_TCL_H2_16</vt:lpstr>
      <vt:lpstr>B_TCL_H2_17</vt:lpstr>
      <vt:lpstr>B_TCL_H2_18</vt:lpstr>
      <vt:lpstr>B_TCL_H2_19</vt:lpstr>
      <vt:lpstr>B_TCL_H2_20</vt:lpstr>
      <vt:lpstr>B_TCP_00</vt:lpstr>
      <vt:lpstr>B_TCP_01</vt:lpstr>
      <vt:lpstr>B_TCP_02</vt:lpstr>
      <vt:lpstr>B_TCP_03</vt:lpstr>
      <vt:lpstr>B_TCP_04</vt:lpstr>
      <vt:lpstr>B_TCP_05</vt:lpstr>
      <vt:lpstr>B_TCP_06</vt:lpstr>
      <vt:lpstr>B_TCP_07</vt:lpstr>
      <vt:lpstr>B_TCP_08</vt:lpstr>
      <vt:lpstr>B_TCP_09</vt:lpstr>
      <vt:lpstr>B_TCP_10</vt:lpstr>
      <vt:lpstr>B_TCP_11</vt:lpstr>
      <vt:lpstr>B_TCP_12</vt:lpstr>
      <vt:lpstr>B_TCP_13</vt:lpstr>
      <vt:lpstr>B_TCP_14</vt:lpstr>
      <vt:lpstr>B_TCP_15</vt:lpstr>
      <vt:lpstr>B_TCP_16</vt:lpstr>
      <vt:lpstr>B_TCP_17</vt:lpstr>
      <vt:lpstr>B_TCP_18</vt:lpstr>
      <vt:lpstr>B_TCP_19</vt:lpstr>
      <vt:lpstr>B_TCP_20</vt:lpstr>
      <vt:lpstr>B_TCP_H1_00</vt:lpstr>
      <vt:lpstr>B_TCP_H1_01</vt:lpstr>
      <vt:lpstr>B_TCP_H1_02</vt:lpstr>
      <vt:lpstr>B_TCP_H1_03</vt:lpstr>
      <vt:lpstr>B_TCP_H1_04</vt:lpstr>
      <vt:lpstr>B_TCP_H1_05</vt:lpstr>
      <vt:lpstr>B_TCP_H1_06</vt:lpstr>
      <vt:lpstr>B_TCP_H1_07</vt:lpstr>
      <vt:lpstr>B_TCP_H1_08</vt:lpstr>
      <vt:lpstr>B_TCP_H1_09</vt:lpstr>
      <vt:lpstr>B_TCP_H1_10</vt:lpstr>
      <vt:lpstr>B_TCP_H1_11</vt:lpstr>
      <vt:lpstr>B_TCP_H1_12</vt:lpstr>
      <vt:lpstr>B_TCP_H1_13</vt:lpstr>
      <vt:lpstr>B_TCP_H1_14</vt:lpstr>
      <vt:lpstr>B_TCP_H1_15</vt:lpstr>
      <vt:lpstr>B_TCP_H1_16</vt:lpstr>
      <vt:lpstr>B_TCP_H1_17</vt:lpstr>
      <vt:lpstr>B_TCP_H1_18</vt:lpstr>
      <vt:lpstr>B_TCP_H1_19</vt:lpstr>
      <vt:lpstr>B_TCP_H1_20</vt:lpstr>
      <vt:lpstr>B_TCP_H2_00</vt:lpstr>
      <vt:lpstr>B_TCP_H2_01</vt:lpstr>
      <vt:lpstr>B_TCP_H2_02</vt:lpstr>
      <vt:lpstr>B_TCP_H2_03</vt:lpstr>
      <vt:lpstr>B_TCP_H2_04</vt:lpstr>
      <vt:lpstr>B_TCP_H2_05</vt:lpstr>
      <vt:lpstr>B_TCP_H2_06</vt:lpstr>
      <vt:lpstr>B_TCP_H2_07</vt:lpstr>
      <vt:lpstr>B_TCP_H2_08</vt:lpstr>
      <vt:lpstr>B_TCP_H2_09</vt:lpstr>
      <vt:lpstr>B_TCP_H2_10</vt:lpstr>
      <vt:lpstr>B_TCP_H2_11</vt:lpstr>
      <vt:lpstr>B_TCP_H2_12</vt:lpstr>
      <vt:lpstr>B_TCP_H2_13</vt:lpstr>
      <vt:lpstr>B_TCP_H2_14</vt:lpstr>
      <vt:lpstr>B_TCP_H2_15</vt:lpstr>
      <vt:lpstr>B_TCP_H2_16</vt:lpstr>
      <vt:lpstr>B_TCP_H2_17</vt:lpstr>
      <vt:lpstr>B_TCP_H2_18</vt:lpstr>
      <vt:lpstr>B_TCP_H2_19</vt:lpstr>
      <vt:lpstr>B_TCP_H2_20</vt:lpstr>
      <vt:lpstr>B_TEC_00</vt:lpstr>
      <vt:lpstr>B_TEC_01</vt:lpstr>
      <vt:lpstr>B_TEC_02</vt:lpstr>
      <vt:lpstr>B_TEC_03</vt:lpstr>
      <vt:lpstr>B_TEC_04</vt:lpstr>
      <vt:lpstr>B_TEC_05</vt:lpstr>
      <vt:lpstr>B_TEC_06</vt:lpstr>
      <vt:lpstr>B_TEC_07</vt:lpstr>
      <vt:lpstr>B_TEC_08</vt:lpstr>
      <vt:lpstr>B_TEC_09</vt:lpstr>
      <vt:lpstr>B_TEC_10</vt:lpstr>
      <vt:lpstr>B_TEC_11</vt:lpstr>
      <vt:lpstr>B_TEC_12</vt:lpstr>
      <vt:lpstr>B_TEC_13</vt:lpstr>
      <vt:lpstr>B_TEC_14</vt:lpstr>
      <vt:lpstr>B_TEC_15</vt:lpstr>
      <vt:lpstr>B_TEC_16</vt:lpstr>
      <vt:lpstr>B_TEC_17</vt:lpstr>
      <vt:lpstr>B_TEC_18</vt:lpstr>
      <vt:lpstr>B_TEC_19</vt:lpstr>
      <vt:lpstr>B_TEC_20</vt:lpstr>
      <vt:lpstr>B_TEC_H1_00</vt:lpstr>
      <vt:lpstr>B_TEC_H1_01</vt:lpstr>
      <vt:lpstr>B_TEC_H1_02</vt:lpstr>
      <vt:lpstr>B_TEC_H1_03</vt:lpstr>
      <vt:lpstr>B_TEC_H1_04</vt:lpstr>
      <vt:lpstr>B_TEC_H1_05</vt:lpstr>
      <vt:lpstr>B_TEC_H1_06</vt:lpstr>
      <vt:lpstr>B_TEC_H1_07</vt:lpstr>
      <vt:lpstr>B_TEC_H1_08</vt:lpstr>
      <vt:lpstr>B_TEC_H1_09</vt:lpstr>
      <vt:lpstr>B_TEC_H1_10</vt:lpstr>
      <vt:lpstr>B_TEC_H1_11</vt:lpstr>
      <vt:lpstr>B_TEC_H1_12</vt:lpstr>
      <vt:lpstr>B_TEC_H1_13</vt:lpstr>
      <vt:lpstr>B_TEC_H1_14</vt:lpstr>
      <vt:lpstr>B_TEC_H1_15</vt:lpstr>
      <vt:lpstr>B_TEC_H1_16</vt:lpstr>
      <vt:lpstr>B_TEC_H1_17</vt:lpstr>
      <vt:lpstr>B_TEC_H1_18</vt:lpstr>
      <vt:lpstr>B_TEC_H1_19</vt:lpstr>
      <vt:lpstr>B_TEC_H1_20</vt:lpstr>
      <vt:lpstr>B_TEC_H2_00</vt:lpstr>
      <vt:lpstr>B_TEC_H2_01</vt:lpstr>
      <vt:lpstr>B_TEC_H2_02</vt:lpstr>
      <vt:lpstr>B_TEC_H2_03</vt:lpstr>
      <vt:lpstr>B_TEC_H2_04</vt:lpstr>
      <vt:lpstr>B_TEC_H2_05</vt:lpstr>
      <vt:lpstr>B_TEC_H2_06</vt:lpstr>
      <vt:lpstr>B_TEC_H2_07</vt:lpstr>
      <vt:lpstr>B_TEC_H2_08</vt:lpstr>
      <vt:lpstr>B_TEC_H2_09</vt:lpstr>
      <vt:lpstr>B_TEC_H2_10</vt:lpstr>
      <vt:lpstr>B_TEC_H2_11</vt:lpstr>
      <vt:lpstr>B_TEC_H2_12</vt:lpstr>
      <vt:lpstr>B_TEC_H2_13</vt:lpstr>
      <vt:lpstr>B_TEC_H2_14</vt:lpstr>
      <vt:lpstr>B_TEC_H2_15</vt:lpstr>
      <vt:lpstr>B_TEC_H2_16</vt:lpstr>
      <vt:lpstr>B_TEC_H2_17</vt:lpstr>
      <vt:lpstr>B_TEC_H2_18</vt:lpstr>
      <vt:lpstr>B_TEC_H2_19</vt:lpstr>
      <vt:lpstr>B_TEC_H2_20</vt:lpstr>
      <vt:lpstr>B_TL_00</vt:lpstr>
      <vt:lpstr>B_TL_01</vt:lpstr>
      <vt:lpstr>B_TL_02</vt:lpstr>
      <vt:lpstr>B_TL_03</vt:lpstr>
      <vt:lpstr>B_TL_04</vt:lpstr>
      <vt:lpstr>B_TL_05</vt:lpstr>
      <vt:lpstr>B_TL_06</vt:lpstr>
      <vt:lpstr>B_TL_07</vt:lpstr>
      <vt:lpstr>B_TL_08</vt:lpstr>
      <vt:lpstr>B_TL_09</vt:lpstr>
      <vt:lpstr>B_TL_10</vt:lpstr>
      <vt:lpstr>B_TL_11</vt:lpstr>
      <vt:lpstr>B_TL_12</vt:lpstr>
      <vt:lpstr>B_TL_13</vt:lpstr>
      <vt:lpstr>B_TL_14</vt:lpstr>
      <vt:lpstr>B_TL_15</vt:lpstr>
      <vt:lpstr>B_TL_16</vt:lpstr>
      <vt:lpstr>B_TL_17</vt:lpstr>
      <vt:lpstr>B_TL_18</vt:lpstr>
      <vt:lpstr>B_TL_19</vt:lpstr>
      <vt:lpstr>B_TL_20</vt:lpstr>
      <vt:lpstr>B_TL_95</vt:lpstr>
      <vt:lpstr>B_TL_96</vt:lpstr>
      <vt:lpstr>B_TL_97</vt:lpstr>
      <vt:lpstr>B_TL_98</vt:lpstr>
      <vt:lpstr>B_TL_99</vt:lpstr>
      <vt:lpstr>B_TL_H1_00</vt:lpstr>
      <vt:lpstr>B_TL_H1_01</vt:lpstr>
      <vt:lpstr>B_TL_H1_02</vt:lpstr>
      <vt:lpstr>B_TL_H1_03</vt:lpstr>
      <vt:lpstr>B_TL_H1_04</vt:lpstr>
      <vt:lpstr>B_TL_H1_05</vt:lpstr>
      <vt:lpstr>B_TL_H1_06</vt:lpstr>
      <vt:lpstr>B_TL_H1_07</vt:lpstr>
      <vt:lpstr>B_TL_H1_08</vt:lpstr>
      <vt:lpstr>B_TL_H1_09</vt:lpstr>
      <vt:lpstr>B_TL_H1_10</vt:lpstr>
      <vt:lpstr>B_TL_H1_11</vt:lpstr>
      <vt:lpstr>B_TL_H1_12</vt:lpstr>
      <vt:lpstr>B_TL_H1_13</vt:lpstr>
      <vt:lpstr>B_TL_H1_14</vt:lpstr>
      <vt:lpstr>B_TL_H1_15</vt:lpstr>
      <vt:lpstr>B_TL_H1_16</vt:lpstr>
      <vt:lpstr>B_TL_H1_17</vt:lpstr>
      <vt:lpstr>B_TL_H1_18</vt:lpstr>
      <vt:lpstr>B_TL_H1_19</vt:lpstr>
      <vt:lpstr>B_TL_H1_20</vt:lpstr>
      <vt:lpstr>B_TL_H2_00</vt:lpstr>
      <vt:lpstr>B_TL_H2_01</vt:lpstr>
      <vt:lpstr>B_TL_H2_02</vt:lpstr>
      <vt:lpstr>B_TL_H2_03</vt:lpstr>
      <vt:lpstr>B_TL_H2_04</vt:lpstr>
      <vt:lpstr>B_TL_H2_05</vt:lpstr>
      <vt:lpstr>B_TL_H2_06</vt:lpstr>
      <vt:lpstr>B_TL_H2_07</vt:lpstr>
      <vt:lpstr>B_TL_H2_08</vt:lpstr>
      <vt:lpstr>B_TL_H2_09</vt:lpstr>
      <vt:lpstr>B_TL_H2_10</vt:lpstr>
      <vt:lpstr>B_TL_H2_11</vt:lpstr>
      <vt:lpstr>B_TL_H2_12</vt:lpstr>
      <vt:lpstr>B_TL_H2_13</vt:lpstr>
      <vt:lpstr>B_TL_H2_14</vt:lpstr>
      <vt:lpstr>B_TL_H2_15</vt:lpstr>
      <vt:lpstr>B_TL_H2_16</vt:lpstr>
      <vt:lpstr>B_TL_H2_17</vt:lpstr>
      <vt:lpstr>B_TL_H2_18</vt:lpstr>
      <vt:lpstr>B_TL_H2_19</vt:lpstr>
      <vt:lpstr>B_TL_H2_20</vt:lpstr>
      <vt:lpstr>B_TNCA_00</vt:lpstr>
      <vt:lpstr>B_TNCA_01</vt:lpstr>
      <vt:lpstr>B_TNCA_02</vt:lpstr>
      <vt:lpstr>B_TNCA_03</vt:lpstr>
      <vt:lpstr>B_TNCA_04</vt:lpstr>
      <vt:lpstr>B_TNCA_05</vt:lpstr>
      <vt:lpstr>B_TNCA_06</vt:lpstr>
      <vt:lpstr>B_TNCA_07</vt:lpstr>
      <vt:lpstr>B_TNCA_08</vt:lpstr>
      <vt:lpstr>B_TNCA_09</vt:lpstr>
      <vt:lpstr>B_TNCA_10</vt:lpstr>
      <vt:lpstr>B_TNCA_11</vt:lpstr>
      <vt:lpstr>B_TNCA_12</vt:lpstr>
      <vt:lpstr>B_TNCA_13</vt:lpstr>
      <vt:lpstr>B_TNCA_14</vt:lpstr>
      <vt:lpstr>B_TNCA_15</vt:lpstr>
      <vt:lpstr>B_TNCA_16</vt:lpstr>
      <vt:lpstr>B_TNCA_17</vt:lpstr>
      <vt:lpstr>B_TNCA_18</vt:lpstr>
      <vt:lpstr>B_TNCA_19</vt:lpstr>
      <vt:lpstr>B_TNCA_20</vt:lpstr>
      <vt:lpstr>B_TNCA_95</vt:lpstr>
      <vt:lpstr>B_TNCA_96</vt:lpstr>
      <vt:lpstr>B_TNCA_97</vt:lpstr>
      <vt:lpstr>B_TNCA_98</vt:lpstr>
      <vt:lpstr>B_TNCA_99</vt:lpstr>
      <vt:lpstr>B_TNCA_H1_00</vt:lpstr>
      <vt:lpstr>B_TNCA_H1_01</vt:lpstr>
      <vt:lpstr>B_TNCA_H1_02</vt:lpstr>
      <vt:lpstr>B_TNCA_H1_03</vt:lpstr>
      <vt:lpstr>B_TNCA_H1_04</vt:lpstr>
      <vt:lpstr>B_TNCA_H1_05</vt:lpstr>
      <vt:lpstr>B_TNCA_H1_06</vt:lpstr>
      <vt:lpstr>B_TNCA_H1_07</vt:lpstr>
      <vt:lpstr>B_TNCA_H1_08</vt:lpstr>
      <vt:lpstr>B_TNCA_H1_09</vt:lpstr>
      <vt:lpstr>B_TNCA_H1_10</vt:lpstr>
      <vt:lpstr>B_TNCA_H1_11</vt:lpstr>
      <vt:lpstr>B_TNCA_H1_12</vt:lpstr>
      <vt:lpstr>B_TNCA_H1_13</vt:lpstr>
      <vt:lpstr>B_TNCA_H1_14</vt:lpstr>
      <vt:lpstr>B_TNCA_H1_15</vt:lpstr>
      <vt:lpstr>B_TNCA_H1_16</vt:lpstr>
      <vt:lpstr>B_TNCA_H1_17</vt:lpstr>
      <vt:lpstr>B_TNCA_H1_18</vt:lpstr>
      <vt:lpstr>B_TNCA_H1_19</vt:lpstr>
      <vt:lpstr>B_TNCA_H1_20</vt:lpstr>
      <vt:lpstr>B_TNCA_H2_00</vt:lpstr>
      <vt:lpstr>B_TNCA_H2_01</vt:lpstr>
      <vt:lpstr>B_TNCA_H2_02</vt:lpstr>
      <vt:lpstr>B_TNCA_H2_03</vt:lpstr>
      <vt:lpstr>B_TNCA_H2_04</vt:lpstr>
      <vt:lpstr>B_TNCA_H2_05</vt:lpstr>
      <vt:lpstr>B_TNCA_H2_06</vt:lpstr>
      <vt:lpstr>B_TNCA_H2_07</vt:lpstr>
      <vt:lpstr>B_TNCA_H2_08</vt:lpstr>
      <vt:lpstr>B_TNCA_H2_09</vt:lpstr>
      <vt:lpstr>B_TNCA_H2_10</vt:lpstr>
      <vt:lpstr>B_TNCA_H2_11</vt:lpstr>
      <vt:lpstr>B_TNCA_H2_12</vt:lpstr>
      <vt:lpstr>B_TNCA_H2_13</vt:lpstr>
      <vt:lpstr>B_TNCA_H2_14</vt:lpstr>
      <vt:lpstr>B_TNCA_H2_15</vt:lpstr>
      <vt:lpstr>B_TNCA_H2_16</vt:lpstr>
      <vt:lpstr>B_TNCA_H2_17</vt:lpstr>
      <vt:lpstr>B_TNCA_H2_18</vt:lpstr>
      <vt:lpstr>B_TNCA_H2_19</vt:lpstr>
      <vt:lpstr>B_TNCA_H2_20</vt:lpstr>
      <vt:lpstr>B_TNCB_00</vt:lpstr>
      <vt:lpstr>B_TNCB_01</vt:lpstr>
      <vt:lpstr>B_TNCB_02</vt:lpstr>
      <vt:lpstr>B_TNCB_03</vt:lpstr>
      <vt:lpstr>B_TNCB_04</vt:lpstr>
      <vt:lpstr>B_TNCB_05</vt:lpstr>
      <vt:lpstr>B_TNCB_06</vt:lpstr>
      <vt:lpstr>B_TNCB_07</vt:lpstr>
      <vt:lpstr>B_TNCB_08</vt:lpstr>
      <vt:lpstr>B_TNCB_09</vt:lpstr>
      <vt:lpstr>B_TNCB_10</vt:lpstr>
      <vt:lpstr>B_TNCB_11</vt:lpstr>
      <vt:lpstr>B_TNCB_12</vt:lpstr>
      <vt:lpstr>B_TNCB_13</vt:lpstr>
      <vt:lpstr>B_TNCB_14</vt:lpstr>
      <vt:lpstr>B_TNCB_15</vt:lpstr>
      <vt:lpstr>B_TNCB_16</vt:lpstr>
      <vt:lpstr>B_TNCB_17</vt:lpstr>
      <vt:lpstr>B_TNCB_18</vt:lpstr>
      <vt:lpstr>B_TNCB_19</vt:lpstr>
      <vt:lpstr>B_TNCB_20</vt:lpstr>
      <vt:lpstr>B_TNCB_H1_00</vt:lpstr>
      <vt:lpstr>B_TNCB_H1_01</vt:lpstr>
      <vt:lpstr>B_TNCB_H1_02</vt:lpstr>
      <vt:lpstr>B_TNCB_H1_03</vt:lpstr>
      <vt:lpstr>B_TNCB_H1_04</vt:lpstr>
      <vt:lpstr>B_TNCB_H1_05</vt:lpstr>
      <vt:lpstr>B_TNCB_H1_06</vt:lpstr>
      <vt:lpstr>B_TNCB_H1_07</vt:lpstr>
      <vt:lpstr>B_TNCB_H1_08</vt:lpstr>
      <vt:lpstr>B_TNCB_H1_09</vt:lpstr>
      <vt:lpstr>B_TNCB_H1_10</vt:lpstr>
      <vt:lpstr>B_TNCB_H1_11</vt:lpstr>
      <vt:lpstr>B_TNCB_H1_12</vt:lpstr>
      <vt:lpstr>B_TNCB_H1_13</vt:lpstr>
      <vt:lpstr>B_TNCB_H1_14</vt:lpstr>
      <vt:lpstr>B_TNCB_H1_15</vt:lpstr>
      <vt:lpstr>B_TNCB_H1_16</vt:lpstr>
      <vt:lpstr>B_TNCB_H1_17</vt:lpstr>
      <vt:lpstr>B_TNCB_H1_18</vt:lpstr>
      <vt:lpstr>B_TNCB_H1_19</vt:lpstr>
      <vt:lpstr>B_TNCB_H1_20</vt:lpstr>
      <vt:lpstr>B_TNCB_H2_00</vt:lpstr>
      <vt:lpstr>B_TNCB_H2_01</vt:lpstr>
      <vt:lpstr>B_TNCB_H2_02</vt:lpstr>
      <vt:lpstr>B_TNCB_H2_03</vt:lpstr>
      <vt:lpstr>B_TNCB_H2_04</vt:lpstr>
      <vt:lpstr>B_TNCB_H2_05</vt:lpstr>
      <vt:lpstr>B_TNCB_H2_06</vt:lpstr>
      <vt:lpstr>B_TNCB_H2_07</vt:lpstr>
      <vt:lpstr>B_TNCB_H2_08</vt:lpstr>
      <vt:lpstr>B_TNCB_H2_09</vt:lpstr>
      <vt:lpstr>B_TNCB_H2_10</vt:lpstr>
      <vt:lpstr>B_TNCB_H2_11</vt:lpstr>
      <vt:lpstr>B_TNCB_H2_12</vt:lpstr>
      <vt:lpstr>B_TNCB_H2_13</vt:lpstr>
      <vt:lpstr>B_TNCB_H2_14</vt:lpstr>
      <vt:lpstr>B_TNCB_H2_15</vt:lpstr>
      <vt:lpstr>B_TNCB_H2_16</vt:lpstr>
      <vt:lpstr>B_TNCB_H2_17</vt:lpstr>
      <vt:lpstr>B_TNCB_H2_18</vt:lpstr>
      <vt:lpstr>B_TNCB_H2_19</vt:lpstr>
      <vt:lpstr>B_TNCB_H2_20</vt:lpstr>
      <vt:lpstr>B_TNCL_00</vt:lpstr>
      <vt:lpstr>B_TNCL_01</vt:lpstr>
      <vt:lpstr>B_TNCL_02</vt:lpstr>
      <vt:lpstr>B_TNCL_03</vt:lpstr>
      <vt:lpstr>B_TNCL_04</vt:lpstr>
      <vt:lpstr>B_TNCL_05</vt:lpstr>
      <vt:lpstr>B_TNCL_06</vt:lpstr>
      <vt:lpstr>B_TNCL_07</vt:lpstr>
      <vt:lpstr>B_TNCL_08</vt:lpstr>
      <vt:lpstr>B_TNCL_09</vt:lpstr>
      <vt:lpstr>B_TNCL_10</vt:lpstr>
      <vt:lpstr>B_TNCL_11</vt:lpstr>
      <vt:lpstr>B_TNCL_12</vt:lpstr>
      <vt:lpstr>B_TNCL_13</vt:lpstr>
      <vt:lpstr>B_TNCL_14</vt:lpstr>
      <vt:lpstr>B_TNCL_15</vt:lpstr>
      <vt:lpstr>B_TNCL_16</vt:lpstr>
      <vt:lpstr>B_TNCL_17</vt:lpstr>
      <vt:lpstr>B_TNCL_18</vt:lpstr>
      <vt:lpstr>B_TNCL_19</vt:lpstr>
      <vt:lpstr>B_TNCL_20</vt:lpstr>
      <vt:lpstr>B_TNCL_95</vt:lpstr>
      <vt:lpstr>B_TNCL_96</vt:lpstr>
      <vt:lpstr>B_TNCL_97</vt:lpstr>
      <vt:lpstr>B_TNCL_98</vt:lpstr>
      <vt:lpstr>B_TNCL_99</vt:lpstr>
      <vt:lpstr>B_TNCL_H1_00</vt:lpstr>
      <vt:lpstr>B_TNCL_H1_01</vt:lpstr>
      <vt:lpstr>B_TNCL_H1_02</vt:lpstr>
      <vt:lpstr>B_TNCL_H1_03</vt:lpstr>
      <vt:lpstr>B_TNCL_H1_04</vt:lpstr>
      <vt:lpstr>B_TNCL_H1_05</vt:lpstr>
      <vt:lpstr>B_TNCL_H1_06</vt:lpstr>
      <vt:lpstr>B_TNCL_H1_07</vt:lpstr>
      <vt:lpstr>B_TNCL_H1_08</vt:lpstr>
      <vt:lpstr>B_TNCL_H1_09</vt:lpstr>
      <vt:lpstr>B_TNCL_H1_10</vt:lpstr>
      <vt:lpstr>B_TNCL_H1_11</vt:lpstr>
      <vt:lpstr>B_TNCL_H1_12</vt:lpstr>
      <vt:lpstr>B_TNCL_H1_13</vt:lpstr>
      <vt:lpstr>B_TNCL_H1_14</vt:lpstr>
      <vt:lpstr>B_TNCL_H1_15</vt:lpstr>
      <vt:lpstr>B_TNCL_H1_16</vt:lpstr>
      <vt:lpstr>B_TNCL_H1_17</vt:lpstr>
      <vt:lpstr>B_TNCL_H1_18</vt:lpstr>
      <vt:lpstr>B_TNCL_H1_19</vt:lpstr>
      <vt:lpstr>B_TNCL_H1_20</vt:lpstr>
      <vt:lpstr>B_TNCL_H2_00</vt:lpstr>
      <vt:lpstr>B_TNCL_H2_01</vt:lpstr>
      <vt:lpstr>B_TNCL_H2_02</vt:lpstr>
      <vt:lpstr>B_TNCL_H2_03</vt:lpstr>
      <vt:lpstr>B_TNCL_H2_04</vt:lpstr>
      <vt:lpstr>B_TNCL_H2_05</vt:lpstr>
      <vt:lpstr>B_TNCL_H2_06</vt:lpstr>
      <vt:lpstr>B_TNCL_H2_07</vt:lpstr>
      <vt:lpstr>B_TNCL_H2_08</vt:lpstr>
      <vt:lpstr>B_TNCL_H2_09</vt:lpstr>
      <vt:lpstr>B_TNCL_H2_10</vt:lpstr>
      <vt:lpstr>B_TNCL_H2_11</vt:lpstr>
      <vt:lpstr>B_TNCL_H2_12</vt:lpstr>
      <vt:lpstr>B_TNCL_H2_13</vt:lpstr>
      <vt:lpstr>B_TNCL_H2_14</vt:lpstr>
      <vt:lpstr>B_TNCL_H2_15</vt:lpstr>
      <vt:lpstr>B_TNCL_H2_16</vt:lpstr>
      <vt:lpstr>B_TNCL_H2_17</vt:lpstr>
      <vt:lpstr>B_TNCL_H2_18</vt:lpstr>
      <vt:lpstr>B_TNCL_H2_19</vt:lpstr>
      <vt:lpstr>B_TNCL_H2_20</vt:lpstr>
      <vt:lpstr>B_TNCP_00</vt:lpstr>
      <vt:lpstr>B_TNCP_01</vt:lpstr>
      <vt:lpstr>B_TNCP_02</vt:lpstr>
      <vt:lpstr>B_TNCP_03</vt:lpstr>
      <vt:lpstr>B_TNCP_04</vt:lpstr>
      <vt:lpstr>B_TNCP_05</vt:lpstr>
      <vt:lpstr>B_TNCP_06</vt:lpstr>
      <vt:lpstr>B_TNCP_07</vt:lpstr>
      <vt:lpstr>B_TNCP_08</vt:lpstr>
      <vt:lpstr>B_TNCP_09</vt:lpstr>
      <vt:lpstr>B_TNCP_10</vt:lpstr>
      <vt:lpstr>B_TNCP_11</vt:lpstr>
      <vt:lpstr>B_TNCP_12</vt:lpstr>
      <vt:lpstr>B_TNCP_13</vt:lpstr>
      <vt:lpstr>B_TNCP_14</vt:lpstr>
      <vt:lpstr>B_TNCP_15</vt:lpstr>
      <vt:lpstr>B_TNCP_16</vt:lpstr>
      <vt:lpstr>B_TNCP_17</vt:lpstr>
      <vt:lpstr>B_TNCP_18</vt:lpstr>
      <vt:lpstr>B_TNCP_19</vt:lpstr>
      <vt:lpstr>B_TNCP_20</vt:lpstr>
      <vt:lpstr>B_TNCP_H1_00</vt:lpstr>
      <vt:lpstr>B_TNCP_H1_01</vt:lpstr>
      <vt:lpstr>B_TNCP_H1_02</vt:lpstr>
      <vt:lpstr>B_TNCP_H1_03</vt:lpstr>
      <vt:lpstr>B_TNCP_H1_04</vt:lpstr>
      <vt:lpstr>B_TNCP_H1_05</vt:lpstr>
      <vt:lpstr>B_TNCP_H1_06</vt:lpstr>
      <vt:lpstr>B_TNCP_H1_07</vt:lpstr>
      <vt:lpstr>B_TNCP_H1_08</vt:lpstr>
      <vt:lpstr>B_TNCP_H1_09</vt:lpstr>
      <vt:lpstr>B_TNCP_H1_10</vt:lpstr>
      <vt:lpstr>B_TNCP_H1_11</vt:lpstr>
      <vt:lpstr>B_TNCP_H1_12</vt:lpstr>
      <vt:lpstr>B_TNCP_H1_13</vt:lpstr>
      <vt:lpstr>B_TNCP_H1_14</vt:lpstr>
      <vt:lpstr>B_TNCP_H1_15</vt:lpstr>
      <vt:lpstr>B_TNCP_H1_16</vt:lpstr>
      <vt:lpstr>B_TNCP_H1_17</vt:lpstr>
      <vt:lpstr>B_TNCP_H1_18</vt:lpstr>
      <vt:lpstr>B_TNCP_H1_19</vt:lpstr>
      <vt:lpstr>B_TNCP_H1_20</vt:lpstr>
      <vt:lpstr>B_TNCP_H2_00</vt:lpstr>
      <vt:lpstr>B_TNCP_H2_01</vt:lpstr>
      <vt:lpstr>B_TNCP_H2_02</vt:lpstr>
      <vt:lpstr>B_TNCP_H2_03</vt:lpstr>
      <vt:lpstr>B_TNCP_H2_04</vt:lpstr>
      <vt:lpstr>B_TNCP_H2_05</vt:lpstr>
      <vt:lpstr>B_TNCP_H2_06</vt:lpstr>
      <vt:lpstr>B_TNCP_H2_07</vt:lpstr>
      <vt:lpstr>B_TNCP_H2_08</vt:lpstr>
      <vt:lpstr>B_TNCP_H2_09</vt:lpstr>
      <vt:lpstr>B_TNCP_H2_10</vt:lpstr>
      <vt:lpstr>B_TNCP_H2_11</vt:lpstr>
      <vt:lpstr>B_TNCP_H2_12</vt:lpstr>
      <vt:lpstr>B_TNCP_H2_13</vt:lpstr>
      <vt:lpstr>B_TNCP_H2_14</vt:lpstr>
      <vt:lpstr>B_TNCP_H2_15</vt:lpstr>
      <vt:lpstr>B_TNCP_H2_16</vt:lpstr>
      <vt:lpstr>B_TNCP_H2_17</vt:lpstr>
      <vt:lpstr>B_TNCP_H2_18</vt:lpstr>
      <vt:lpstr>B_TNCP_H2_19</vt:lpstr>
      <vt:lpstr>B_TNCP_H2_20</vt:lpstr>
      <vt:lpstr>B_TSHE_00</vt:lpstr>
      <vt:lpstr>B_TSHE_01</vt:lpstr>
      <vt:lpstr>B_TSHE_02</vt:lpstr>
      <vt:lpstr>B_TSHE_03</vt:lpstr>
      <vt:lpstr>B_TSHE_04</vt:lpstr>
      <vt:lpstr>B_TSHE_05</vt:lpstr>
      <vt:lpstr>B_TSHE_06</vt:lpstr>
      <vt:lpstr>B_TSHE_07</vt:lpstr>
      <vt:lpstr>B_TSHE_08</vt:lpstr>
      <vt:lpstr>B_TSHE_09</vt:lpstr>
      <vt:lpstr>B_TSHE_10</vt:lpstr>
      <vt:lpstr>B_TSHE_11</vt:lpstr>
      <vt:lpstr>B_TSHE_12</vt:lpstr>
      <vt:lpstr>B_TSHE_13</vt:lpstr>
      <vt:lpstr>B_TSHE_14</vt:lpstr>
      <vt:lpstr>B_TSHE_15</vt:lpstr>
      <vt:lpstr>B_TSHE_16</vt:lpstr>
      <vt:lpstr>B_TSHE_17</vt:lpstr>
      <vt:lpstr>B_TSHE_18</vt:lpstr>
      <vt:lpstr>B_TSHE_19</vt:lpstr>
      <vt:lpstr>B_TSHE_20</vt:lpstr>
      <vt:lpstr>B_TSHE_95</vt:lpstr>
      <vt:lpstr>B_TSHE_96</vt:lpstr>
      <vt:lpstr>B_TSHE_97</vt:lpstr>
      <vt:lpstr>B_TSHE_98</vt:lpstr>
      <vt:lpstr>B_TSHE_99</vt:lpstr>
      <vt:lpstr>B_TSHE_H1_00</vt:lpstr>
      <vt:lpstr>B_TSHE_H1_01</vt:lpstr>
      <vt:lpstr>B_TSHE_H1_02</vt:lpstr>
      <vt:lpstr>B_TSHE_H1_03</vt:lpstr>
      <vt:lpstr>B_TSHE_H1_04</vt:lpstr>
      <vt:lpstr>B_TSHE_H1_05</vt:lpstr>
      <vt:lpstr>B_TSHE_H1_06</vt:lpstr>
      <vt:lpstr>B_TSHE_H1_07</vt:lpstr>
      <vt:lpstr>B_TSHE_H1_08</vt:lpstr>
      <vt:lpstr>B_TSHE_H1_09</vt:lpstr>
      <vt:lpstr>B_TSHE_H1_10</vt:lpstr>
      <vt:lpstr>B_TSHE_H1_11</vt:lpstr>
      <vt:lpstr>B_TSHE_H1_12</vt:lpstr>
      <vt:lpstr>B_TSHE_H1_13</vt:lpstr>
      <vt:lpstr>B_TSHE_H1_14</vt:lpstr>
      <vt:lpstr>B_TSHE_H1_15</vt:lpstr>
      <vt:lpstr>B_TSHE_H1_16</vt:lpstr>
      <vt:lpstr>B_TSHE_H1_17</vt:lpstr>
      <vt:lpstr>B_TSHE_H1_18</vt:lpstr>
      <vt:lpstr>B_TSHE_H1_19</vt:lpstr>
      <vt:lpstr>B_TSHE_H1_20</vt:lpstr>
      <vt:lpstr>B_TSHE_H2_00</vt:lpstr>
      <vt:lpstr>B_TSHE_H2_01</vt:lpstr>
      <vt:lpstr>B_TSHE_H2_02</vt:lpstr>
      <vt:lpstr>B_TSHE_H2_03</vt:lpstr>
      <vt:lpstr>B_TSHE_H2_04</vt:lpstr>
      <vt:lpstr>B_TSHE_H2_05</vt:lpstr>
      <vt:lpstr>B_TSHE_H2_06</vt:lpstr>
      <vt:lpstr>B_TSHE_H2_07</vt:lpstr>
      <vt:lpstr>B_TSHE_H2_08</vt:lpstr>
      <vt:lpstr>B_TSHE_H2_09</vt:lpstr>
      <vt:lpstr>B_TSHE_H2_10</vt:lpstr>
      <vt:lpstr>B_TSHE_H2_11</vt:lpstr>
      <vt:lpstr>B_TSHE_H2_12</vt:lpstr>
      <vt:lpstr>B_TSHE_H2_13</vt:lpstr>
      <vt:lpstr>B_TSHE_H2_14</vt:lpstr>
      <vt:lpstr>B_TSHE_H2_15</vt:lpstr>
      <vt:lpstr>B_TSHE_H2_16</vt:lpstr>
      <vt:lpstr>B_TSHE_H2_17</vt:lpstr>
      <vt:lpstr>B_TSHE_H2_18</vt:lpstr>
      <vt:lpstr>B_TSHE_H2_19</vt:lpstr>
      <vt:lpstr>B_TSHE_H2_20</vt:lpstr>
      <vt:lpstr>B_WC_00</vt:lpstr>
      <vt:lpstr>B_WC_01</vt:lpstr>
      <vt:lpstr>B_WC_02</vt:lpstr>
      <vt:lpstr>B_WC_03</vt:lpstr>
      <vt:lpstr>B_WC_04</vt:lpstr>
      <vt:lpstr>B_WC_05</vt:lpstr>
      <vt:lpstr>B_WC_06</vt:lpstr>
      <vt:lpstr>B_WC_07</vt:lpstr>
      <vt:lpstr>B_WC_08</vt:lpstr>
      <vt:lpstr>B_WC_09</vt:lpstr>
      <vt:lpstr>B_WC_10</vt:lpstr>
      <vt:lpstr>B_WC_11</vt:lpstr>
      <vt:lpstr>B_WC_12</vt:lpstr>
      <vt:lpstr>B_WC_13</vt:lpstr>
      <vt:lpstr>B_WC_14</vt:lpstr>
      <vt:lpstr>B_WC_15</vt:lpstr>
      <vt:lpstr>B_WC_16</vt:lpstr>
      <vt:lpstr>B_WC_17</vt:lpstr>
      <vt:lpstr>B_WC_18</vt:lpstr>
      <vt:lpstr>B_WC_19</vt:lpstr>
      <vt:lpstr>B_WC_20</vt:lpstr>
      <vt:lpstr>B_WC_96</vt:lpstr>
      <vt:lpstr>B_WC_97</vt:lpstr>
      <vt:lpstr>B_WC_98</vt:lpstr>
      <vt:lpstr>B_WC_99</vt:lpstr>
      <vt:lpstr>B_WC_H1_00</vt:lpstr>
      <vt:lpstr>B_WC_H1_01</vt:lpstr>
      <vt:lpstr>B_WC_H1_02</vt:lpstr>
      <vt:lpstr>B_WC_H1_03</vt:lpstr>
      <vt:lpstr>B_WC_H1_04</vt:lpstr>
      <vt:lpstr>B_WC_H1_05</vt:lpstr>
      <vt:lpstr>B_WC_H1_06</vt:lpstr>
      <vt:lpstr>B_WC_H1_07</vt:lpstr>
      <vt:lpstr>B_WC_H1_08</vt:lpstr>
      <vt:lpstr>B_WC_H1_09</vt:lpstr>
      <vt:lpstr>B_WC_H1_10</vt:lpstr>
      <vt:lpstr>B_WC_H1_11</vt:lpstr>
      <vt:lpstr>B_WC_H1_12</vt:lpstr>
      <vt:lpstr>B_WC_H1_13</vt:lpstr>
      <vt:lpstr>B_WC_H1_14</vt:lpstr>
      <vt:lpstr>B_WC_H1_15</vt:lpstr>
      <vt:lpstr>B_WC_H1_16</vt:lpstr>
      <vt:lpstr>B_WC_H1_17</vt:lpstr>
      <vt:lpstr>B_WC_H1_18</vt:lpstr>
      <vt:lpstr>B_WC_H1_19</vt:lpstr>
      <vt:lpstr>B_WC_H1_20</vt:lpstr>
      <vt:lpstr>B_WC_H2_00</vt:lpstr>
      <vt:lpstr>B_WC_H2_01</vt:lpstr>
      <vt:lpstr>B_WC_H2_02</vt:lpstr>
      <vt:lpstr>B_WC_H2_03</vt:lpstr>
      <vt:lpstr>B_WC_H2_04</vt:lpstr>
      <vt:lpstr>B_WC_H2_05</vt:lpstr>
      <vt:lpstr>B_WC_H2_06</vt:lpstr>
      <vt:lpstr>B_WC_H2_07</vt:lpstr>
      <vt:lpstr>B_WC_H2_08</vt:lpstr>
      <vt:lpstr>B_WC_H2_09</vt:lpstr>
      <vt:lpstr>B_WC_H2_10</vt:lpstr>
      <vt:lpstr>B_WC_H2_11</vt:lpstr>
      <vt:lpstr>B_WC_H2_12</vt:lpstr>
      <vt:lpstr>B_WC_H2_13</vt:lpstr>
      <vt:lpstr>B_WC_H2_14</vt:lpstr>
      <vt:lpstr>B_WC_H2_15</vt:lpstr>
      <vt:lpstr>B_WC_H2_16</vt:lpstr>
      <vt:lpstr>B_WC_H2_17</vt:lpstr>
      <vt:lpstr>B_WC_H2_18</vt:lpstr>
      <vt:lpstr>B_WC_H2_19</vt:lpstr>
      <vt:lpstr>B_WC_H2_20</vt:lpstr>
      <vt:lpstr>C_AS_00</vt:lpstr>
      <vt:lpstr>C_AS_01</vt:lpstr>
      <vt:lpstr>C_AS_02</vt:lpstr>
      <vt:lpstr>C_AS_03</vt:lpstr>
      <vt:lpstr>C_AS_04</vt:lpstr>
      <vt:lpstr>C_AS_05</vt:lpstr>
      <vt:lpstr>C_AS_06</vt:lpstr>
      <vt:lpstr>C_AS_07</vt:lpstr>
      <vt:lpstr>C_AS_08</vt:lpstr>
      <vt:lpstr>C_AS_09</vt:lpstr>
      <vt:lpstr>C_AS_10</vt:lpstr>
      <vt:lpstr>C_AS_11</vt:lpstr>
      <vt:lpstr>C_AS_12</vt:lpstr>
      <vt:lpstr>C_AS_13</vt:lpstr>
      <vt:lpstr>C_AS_14</vt:lpstr>
      <vt:lpstr>C_AS_15</vt:lpstr>
      <vt:lpstr>C_AS_16</vt:lpstr>
      <vt:lpstr>C_AS_17</vt:lpstr>
      <vt:lpstr>C_AS_18</vt:lpstr>
      <vt:lpstr>C_AS_19</vt:lpstr>
      <vt:lpstr>C_AS_20</vt:lpstr>
      <vt:lpstr>C_AS_95</vt:lpstr>
      <vt:lpstr>C_AS_96</vt:lpstr>
      <vt:lpstr>C_AS_97</vt:lpstr>
      <vt:lpstr>C_AS_98</vt:lpstr>
      <vt:lpstr>C_AS_99</vt:lpstr>
      <vt:lpstr>C_CashBP_00</vt:lpstr>
      <vt:lpstr>C_CashBP_01</vt:lpstr>
      <vt:lpstr>C_CashBP_02</vt:lpstr>
      <vt:lpstr>C_CashBP_03</vt:lpstr>
      <vt:lpstr>C_CashBP_04</vt:lpstr>
      <vt:lpstr>C_CashBP_05</vt:lpstr>
      <vt:lpstr>C_CashBP_06</vt:lpstr>
      <vt:lpstr>C_CashBP_07</vt:lpstr>
      <vt:lpstr>C_CashBP_08</vt:lpstr>
      <vt:lpstr>C_CashBP_09</vt:lpstr>
      <vt:lpstr>C_CashBP_10</vt:lpstr>
      <vt:lpstr>C_CashBP_11</vt:lpstr>
      <vt:lpstr>C_CashBP_12</vt:lpstr>
      <vt:lpstr>C_CashBP_13</vt:lpstr>
      <vt:lpstr>C_CashBP_14</vt:lpstr>
      <vt:lpstr>C_CashBP_15</vt:lpstr>
      <vt:lpstr>C_CashBP_16</vt:lpstr>
      <vt:lpstr>C_CashBP_17</vt:lpstr>
      <vt:lpstr>C_CashBP_18</vt:lpstr>
      <vt:lpstr>C_CashBP_19</vt:lpstr>
      <vt:lpstr>C_CashBP_20</vt:lpstr>
      <vt:lpstr>C_CashBP_H1_00</vt:lpstr>
      <vt:lpstr>C_CashBP_H1_01</vt:lpstr>
      <vt:lpstr>C_CashBP_H1_02</vt:lpstr>
      <vt:lpstr>C_CashBP_H1_03</vt:lpstr>
      <vt:lpstr>C_CashBP_H1_04</vt:lpstr>
      <vt:lpstr>C_CashBP_H1_05</vt:lpstr>
      <vt:lpstr>C_CashBP_H1_06</vt:lpstr>
      <vt:lpstr>C_CashBP_H1_07</vt:lpstr>
      <vt:lpstr>C_CashBP_H1_08</vt:lpstr>
      <vt:lpstr>C_CashBP_H1_09</vt:lpstr>
      <vt:lpstr>C_CashBP_H1_10</vt:lpstr>
      <vt:lpstr>C_CashBP_H1_11</vt:lpstr>
      <vt:lpstr>C_CashBP_H1_12</vt:lpstr>
      <vt:lpstr>C_CashBP_H1_13</vt:lpstr>
      <vt:lpstr>C_CashBP_H1_14</vt:lpstr>
      <vt:lpstr>C_CashBP_H1_15</vt:lpstr>
      <vt:lpstr>C_CashBP_H1_16</vt:lpstr>
      <vt:lpstr>C_CashBP_H1_17</vt:lpstr>
      <vt:lpstr>C_CashBP_H1_18</vt:lpstr>
      <vt:lpstr>C_CashBP_H1_19</vt:lpstr>
      <vt:lpstr>C_CashBP_H1_20</vt:lpstr>
      <vt:lpstr>C_CashBP_H2_00</vt:lpstr>
      <vt:lpstr>C_CashBP_H2_01</vt:lpstr>
      <vt:lpstr>C_CashBP_H2_02</vt:lpstr>
      <vt:lpstr>C_CashBP_H2_03</vt:lpstr>
      <vt:lpstr>C_CashBP_H2_04</vt:lpstr>
      <vt:lpstr>C_CashBP_H2_05</vt:lpstr>
      <vt:lpstr>C_CashBP_H2_06</vt:lpstr>
      <vt:lpstr>C_CashBP_H2_07</vt:lpstr>
      <vt:lpstr>C_CashBP_H2_08</vt:lpstr>
      <vt:lpstr>C_CashBP_H2_09</vt:lpstr>
      <vt:lpstr>C_CashBP_H2_10</vt:lpstr>
      <vt:lpstr>C_CashBP_H2_11</vt:lpstr>
      <vt:lpstr>C_CashBP_H2_12</vt:lpstr>
      <vt:lpstr>C_CashBP_H2_13</vt:lpstr>
      <vt:lpstr>C_CashBP_H2_14</vt:lpstr>
      <vt:lpstr>C_CashBP_H2_15</vt:lpstr>
      <vt:lpstr>C_CashBP_H2_16</vt:lpstr>
      <vt:lpstr>C_CashBP_H2_17</vt:lpstr>
      <vt:lpstr>C_CashBP_H2_18</vt:lpstr>
      <vt:lpstr>C_CashBP_H2_19</vt:lpstr>
      <vt:lpstr>C_CashBP_H2_20</vt:lpstr>
      <vt:lpstr>C_CashEP_00</vt:lpstr>
      <vt:lpstr>C_CashEP_01</vt:lpstr>
      <vt:lpstr>C_CashEP_02</vt:lpstr>
      <vt:lpstr>C_CashEP_03</vt:lpstr>
      <vt:lpstr>C_CashEP_04</vt:lpstr>
      <vt:lpstr>C_CashEP_05</vt:lpstr>
      <vt:lpstr>C_CashEP_06</vt:lpstr>
      <vt:lpstr>C_CashEP_07</vt:lpstr>
      <vt:lpstr>C_CashEP_08</vt:lpstr>
      <vt:lpstr>C_CashEP_09</vt:lpstr>
      <vt:lpstr>C_CashEP_10</vt:lpstr>
      <vt:lpstr>C_CashEP_11</vt:lpstr>
      <vt:lpstr>C_CashEP_12</vt:lpstr>
      <vt:lpstr>C_CashEP_13</vt:lpstr>
      <vt:lpstr>C_CashEP_14</vt:lpstr>
      <vt:lpstr>C_CashEP_15</vt:lpstr>
      <vt:lpstr>C_CashEP_16</vt:lpstr>
      <vt:lpstr>C_CashEP_17</vt:lpstr>
      <vt:lpstr>C_CashEP_18</vt:lpstr>
      <vt:lpstr>C_CashEP_19</vt:lpstr>
      <vt:lpstr>C_CashEP_20</vt:lpstr>
      <vt:lpstr>C_CashEP_H1_00</vt:lpstr>
      <vt:lpstr>C_CashEP_H1_01</vt:lpstr>
      <vt:lpstr>C_CashEP_H1_02</vt:lpstr>
      <vt:lpstr>C_CashEP_H1_03</vt:lpstr>
      <vt:lpstr>C_CashEP_H1_04</vt:lpstr>
      <vt:lpstr>C_CashEP_H1_05</vt:lpstr>
      <vt:lpstr>C_CashEP_H1_06</vt:lpstr>
      <vt:lpstr>C_CashEP_H1_07</vt:lpstr>
      <vt:lpstr>C_CashEP_H1_08</vt:lpstr>
      <vt:lpstr>C_CashEP_H1_09</vt:lpstr>
      <vt:lpstr>C_CashEP_H1_10</vt:lpstr>
      <vt:lpstr>C_CashEP_H1_11</vt:lpstr>
      <vt:lpstr>C_CashEP_H1_12</vt:lpstr>
      <vt:lpstr>C_CashEP_H1_13</vt:lpstr>
      <vt:lpstr>C_CashEP_H1_14</vt:lpstr>
      <vt:lpstr>C_CashEP_H1_15</vt:lpstr>
      <vt:lpstr>C_CashEP_H1_16</vt:lpstr>
      <vt:lpstr>C_CashEP_H1_17</vt:lpstr>
      <vt:lpstr>C_CashEP_H1_18</vt:lpstr>
      <vt:lpstr>C_CashEP_H1_19</vt:lpstr>
      <vt:lpstr>C_CashEP_H1_20</vt:lpstr>
      <vt:lpstr>C_CashEP_H2_00</vt:lpstr>
      <vt:lpstr>C_CashEP_H2_01</vt:lpstr>
      <vt:lpstr>C_CashEP_H2_02</vt:lpstr>
      <vt:lpstr>C_CashEP_H2_03</vt:lpstr>
      <vt:lpstr>C_CashEP_H2_04</vt:lpstr>
      <vt:lpstr>C_CashEP_H2_05</vt:lpstr>
      <vt:lpstr>C_CashEP_H2_06</vt:lpstr>
      <vt:lpstr>C_CashEP_H2_07</vt:lpstr>
      <vt:lpstr>C_CashEP_H2_08</vt:lpstr>
      <vt:lpstr>C_CashEP_H2_09</vt:lpstr>
      <vt:lpstr>C_CashEP_H2_10</vt:lpstr>
      <vt:lpstr>C_CashEP_H2_11</vt:lpstr>
      <vt:lpstr>C_CashEP_H2_12</vt:lpstr>
      <vt:lpstr>C_CashEP_H2_13</vt:lpstr>
      <vt:lpstr>C_CashEP_H2_14</vt:lpstr>
      <vt:lpstr>C_CashEP_H2_15</vt:lpstr>
      <vt:lpstr>C_CashEP_H2_16</vt:lpstr>
      <vt:lpstr>C_CashEP_H2_17</vt:lpstr>
      <vt:lpstr>C_CashEP_H2_18</vt:lpstr>
      <vt:lpstr>C_CashEP_H2_19</vt:lpstr>
      <vt:lpstr>C_CashEP_H2_20</vt:lpstr>
      <vt:lpstr>C_CashTx_Pd_00</vt:lpstr>
      <vt:lpstr>C_CashTx_Pd_01</vt:lpstr>
      <vt:lpstr>C_CashTx_Pd_02</vt:lpstr>
      <vt:lpstr>C_CashTx_Pd_03</vt:lpstr>
      <vt:lpstr>C_CashTx_Pd_04</vt:lpstr>
      <vt:lpstr>C_CashTx_Pd_05</vt:lpstr>
      <vt:lpstr>C_CashTx_Pd_06</vt:lpstr>
      <vt:lpstr>C_CashTx_Pd_07</vt:lpstr>
      <vt:lpstr>C_CashTx_Pd_08</vt:lpstr>
      <vt:lpstr>C_CashTx_Pd_09</vt:lpstr>
      <vt:lpstr>C_CashTx_Pd_10</vt:lpstr>
      <vt:lpstr>C_CashTx_Pd_11</vt:lpstr>
      <vt:lpstr>C_CashTx_Pd_12</vt:lpstr>
      <vt:lpstr>C_CashTx_Pd_13</vt:lpstr>
      <vt:lpstr>C_CashTx_Pd_14</vt:lpstr>
      <vt:lpstr>C_CashTx_Pd_15</vt:lpstr>
      <vt:lpstr>C_CashTx_Pd_16</vt:lpstr>
      <vt:lpstr>C_CashTx_Pd_17</vt:lpstr>
      <vt:lpstr>C_CashTx_Pd_18</vt:lpstr>
      <vt:lpstr>C_CashTx_Pd_19</vt:lpstr>
      <vt:lpstr>C_CashTx_Pd_20</vt:lpstr>
      <vt:lpstr>C_CashTx_Pd_H1_00</vt:lpstr>
      <vt:lpstr>C_CashTx_Pd_H1_01</vt:lpstr>
      <vt:lpstr>C_CashTx_Pd_H1_02</vt:lpstr>
      <vt:lpstr>C_CashTx_Pd_H1_03</vt:lpstr>
      <vt:lpstr>C_CashTx_Pd_H1_04</vt:lpstr>
      <vt:lpstr>C_CashTx_Pd_H1_05</vt:lpstr>
      <vt:lpstr>C_CashTx_Pd_H1_06</vt:lpstr>
      <vt:lpstr>C_CashTx_Pd_H1_07</vt:lpstr>
      <vt:lpstr>C_CashTx_Pd_H1_08</vt:lpstr>
      <vt:lpstr>C_CashTx_Pd_H1_09</vt:lpstr>
      <vt:lpstr>C_CashTx_Pd_H1_10</vt:lpstr>
      <vt:lpstr>C_CashTx_Pd_H1_11</vt:lpstr>
      <vt:lpstr>C_CashTx_Pd_H1_12</vt:lpstr>
      <vt:lpstr>C_CashTx_Pd_H1_13</vt:lpstr>
      <vt:lpstr>C_CashTx_Pd_H1_14</vt:lpstr>
      <vt:lpstr>C_CashTx_Pd_H1_15</vt:lpstr>
      <vt:lpstr>C_CashTx_Pd_H1_16</vt:lpstr>
      <vt:lpstr>C_CashTx_Pd_H1_17</vt:lpstr>
      <vt:lpstr>C_CashTx_Pd_H1_18</vt:lpstr>
      <vt:lpstr>C_CashTx_Pd_H1_19</vt:lpstr>
      <vt:lpstr>C_CashTx_Pd_H1_20</vt:lpstr>
      <vt:lpstr>C_CashTx_Pd_H2_00</vt:lpstr>
      <vt:lpstr>C_CashTx_Pd_H2_01</vt:lpstr>
      <vt:lpstr>C_CashTx_Pd_H2_02</vt:lpstr>
      <vt:lpstr>C_CashTx_Pd_H2_03</vt:lpstr>
      <vt:lpstr>C_CashTx_Pd_H2_04</vt:lpstr>
      <vt:lpstr>C_CashTx_Pd_H2_05</vt:lpstr>
      <vt:lpstr>C_CashTx_Pd_H2_06</vt:lpstr>
      <vt:lpstr>C_CashTx_Pd_H2_07</vt:lpstr>
      <vt:lpstr>C_CashTx_Pd_H2_08</vt:lpstr>
      <vt:lpstr>C_CashTx_Pd_H2_09</vt:lpstr>
      <vt:lpstr>C_CashTx_Pd_H2_10</vt:lpstr>
      <vt:lpstr>C_CashTx_Pd_H2_11</vt:lpstr>
      <vt:lpstr>C_CashTx_Pd_H2_12</vt:lpstr>
      <vt:lpstr>C_CashTx_Pd_H2_13</vt:lpstr>
      <vt:lpstr>C_CashTx_Pd_H2_14</vt:lpstr>
      <vt:lpstr>C_CashTx_Pd_H2_15</vt:lpstr>
      <vt:lpstr>C_CashTx_Pd_H2_16</vt:lpstr>
      <vt:lpstr>C_CashTx_Pd_H2_17</vt:lpstr>
      <vt:lpstr>C_CashTx_Pd_H2_18</vt:lpstr>
      <vt:lpstr>C_CashTx_Pd_H2_19</vt:lpstr>
      <vt:lpstr>C_CashTx_Pd_H2_20</vt:lpstr>
      <vt:lpstr>C_CB_00</vt:lpstr>
      <vt:lpstr>C_CB_01</vt:lpstr>
      <vt:lpstr>C_CB_02</vt:lpstr>
      <vt:lpstr>C_CB_03</vt:lpstr>
      <vt:lpstr>C_CB_04</vt:lpstr>
      <vt:lpstr>C_CB_05</vt:lpstr>
      <vt:lpstr>C_CB_06</vt:lpstr>
      <vt:lpstr>C_CB_07</vt:lpstr>
      <vt:lpstr>C_CB_08</vt:lpstr>
      <vt:lpstr>C_CB_09</vt:lpstr>
      <vt:lpstr>C_CB_10</vt:lpstr>
      <vt:lpstr>C_CB_11</vt:lpstr>
      <vt:lpstr>C_CB_12</vt:lpstr>
      <vt:lpstr>C_CB_13</vt:lpstr>
      <vt:lpstr>C_CB_14</vt:lpstr>
      <vt:lpstr>C_CB_15</vt:lpstr>
      <vt:lpstr>C_CB_16</vt:lpstr>
      <vt:lpstr>C_CB_17</vt:lpstr>
      <vt:lpstr>C_CB_18</vt:lpstr>
      <vt:lpstr>C_CB_19</vt:lpstr>
      <vt:lpstr>C_CB_20</vt:lpstr>
      <vt:lpstr>C_CB_95</vt:lpstr>
      <vt:lpstr>C_CB_96</vt:lpstr>
      <vt:lpstr>C_CB_97</vt:lpstr>
      <vt:lpstr>C_CB_98</vt:lpstr>
      <vt:lpstr>C_CB_99</vt:lpstr>
      <vt:lpstr>C_CE_00</vt:lpstr>
      <vt:lpstr>C_CE_01</vt:lpstr>
      <vt:lpstr>C_CE_02</vt:lpstr>
      <vt:lpstr>C_CE_03</vt:lpstr>
      <vt:lpstr>C_CE_04</vt:lpstr>
      <vt:lpstr>C_CE_05</vt:lpstr>
      <vt:lpstr>C_CE_06</vt:lpstr>
      <vt:lpstr>C_CE_07</vt:lpstr>
      <vt:lpstr>C_CE_08</vt:lpstr>
      <vt:lpstr>C_CE_09</vt:lpstr>
      <vt:lpstr>C_CE_10</vt:lpstr>
      <vt:lpstr>C_CE_11</vt:lpstr>
      <vt:lpstr>C_CE_12</vt:lpstr>
      <vt:lpstr>C_CE_13</vt:lpstr>
      <vt:lpstr>C_CE_14</vt:lpstr>
      <vt:lpstr>C_CE_15</vt:lpstr>
      <vt:lpstr>C_CE_16</vt:lpstr>
      <vt:lpstr>C_CE_17</vt:lpstr>
      <vt:lpstr>C_CE_18</vt:lpstr>
      <vt:lpstr>C_CE_19</vt:lpstr>
      <vt:lpstr>C_CE_20</vt:lpstr>
      <vt:lpstr>C_CE_95</vt:lpstr>
      <vt:lpstr>C_CE_96</vt:lpstr>
      <vt:lpstr>C_CE_97</vt:lpstr>
      <vt:lpstr>C_CE_98</vt:lpstr>
      <vt:lpstr>C_CE_99</vt:lpstr>
      <vt:lpstr>C_CNC_00</vt:lpstr>
      <vt:lpstr>C_CNC_01</vt:lpstr>
      <vt:lpstr>C_CNC_02</vt:lpstr>
      <vt:lpstr>C_CNC_03</vt:lpstr>
      <vt:lpstr>C_CNC_04</vt:lpstr>
      <vt:lpstr>C_CNC_05</vt:lpstr>
      <vt:lpstr>C_CNC_06</vt:lpstr>
      <vt:lpstr>C_CNC_07</vt:lpstr>
      <vt:lpstr>C_CNC_08</vt:lpstr>
      <vt:lpstr>C_CNC_09</vt:lpstr>
      <vt:lpstr>C_CNC_10</vt:lpstr>
      <vt:lpstr>C_CNC_11</vt:lpstr>
      <vt:lpstr>C_CNC_12</vt:lpstr>
      <vt:lpstr>C_CNC_13</vt:lpstr>
      <vt:lpstr>C_CNC_14</vt:lpstr>
      <vt:lpstr>C_CNC_15</vt:lpstr>
      <vt:lpstr>C_CNC_16</vt:lpstr>
      <vt:lpstr>C_CNC_17</vt:lpstr>
      <vt:lpstr>C_CNC_18</vt:lpstr>
      <vt:lpstr>C_CNC_19</vt:lpstr>
      <vt:lpstr>C_CNC_20</vt:lpstr>
      <vt:lpstr>C_CNC_95</vt:lpstr>
      <vt:lpstr>C_CNC_96</vt:lpstr>
      <vt:lpstr>C_CNC_97</vt:lpstr>
      <vt:lpstr>C_CNC_98</vt:lpstr>
      <vt:lpstr>C_CNC_99</vt:lpstr>
      <vt:lpstr>C_CWC_00</vt:lpstr>
      <vt:lpstr>C_CWC_01</vt:lpstr>
      <vt:lpstr>C_CWC_02</vt:lpstr>
      <vt:lpstr>C_CWC_03</vt:lpstr>
      <vt:lpstr>C_CWC_04</vt:lpstr>
      <vt:lpstr>C_CWC_05</vt:lpstr>
      <vt:lpstr>C_CWC_06</vt:lpstr>
      <vt:lpstr>C_CWC_07</vt:lpstr>
      <vt:lpstr>C_CWC_08</vt:lpstr>
      <vt:lpstr>C_CWC_09</vt:lpstr>
      <vt:lpstr>C_CWC_10</vt:lpstr>
      <vt:lpstr>C_CWC_11</vt:lpstr>
      <vt:lpstr>C_CWC_12</vt:lpstr>
      <vt:lpstr>C_CWC_13</vt:lpstr>
      <vt:lpstr>C_CWC_14</vt:lpstr>
      <vt:lpstr>C_CWC_15</vt:lpstr>
      <vt:lpstr>C_CWC_16</vt:lpstr>
      <vt:lpstr>C_CWC_17</vt:lpstr>
      <vt:lpstr>C_CWC_18</vt:lpstr>
      <vt:lpstr>C_CWC_19</vt:lpstr>
      <vt:lpstr>C_CWC_20</vt:lpstr>
      <vt:lpstr>C_CWC_95</vt:lpstr>
      <vt:lpstr>C_CWC_96</vt:lpstr>
      <vt:lpstr>C_CWC_97</vt:lpstr>
      <vt:lpstr>C_CWC_98</vt:lpstr>
      <vt:lpstr>C_CWC_99</vt:lpstr>
      <vt:lpstr>C_DCE_00</vt:lpstr>
      <vt:lpstr>C_DCE_01</vt:lpstr>
      <vt:lpstr>C_DCE_02</vt:lpstr>
      <vt:lpstr>C_DCE_03</vt:lpstr>
      <vt:lpstr>C_DCE_04</vt:lpstr>
      <vt:lpstr>C_DCE_05</vt:lpstr>
      <vt:lpstr>C_DCE_06</vt:lpstr>
      <vt:lpstr>C_DCE_07</vt:lpstr>
      <vt:lpstr>C_DCE_08</vt:lpstr>
      <vt:lpstr>C_DCE_09</vt:lpstr>
      <vt:lpstr>C_DCE_10</vt:lpstr>
      <vt:lpstr>C_DCE_11</vt:lpstr>
      <vt:lpstr>C_DCE_12</vt:lpstr>
      <vt:lpstr>C_DCE_13</vt:lpstr>
      <vt:lpstr>C_DCE_14</vt:lpstr>
      <vt:lpstr>C_DCE_15</vt:lpstr>
      <vt:lpstr>C_DCE_16</vt:lpstr>
      <vt:lpstr>C_DCE_17</vt:lpstr>
      <vt:lpstr>C_DCE_18</vt:lpstr>
      <vt:lpstr>C_DCE_19</vt:lpstr>
      <vt:lpstr>C_DCE_20</vt:lpstr>
      <vt:lpstr>C_DCE_95</vt:lpstr>
      <vt:lpstr>C_DCE_96</vt:lpstr>
      <vt:lpstr>C_DCE_97</vt:lpstr>
      <vt:lpstr>C_DCE_98</vt:lpstr>
      <vt:lpstr>C_DCE_99</vt:lpstr>
      <vt:lpstr>C_Div_Recvd_00</vt:lpstr>
      <vt:lpstr>C_Div_Recvd_01</vt:lpstr>
      <vt:lpstr>C_Div_Recvd_02</vt:lpstr>
      <vt:lpstr>C_Div_Recvd_03</vt:lpstr>
      <vt:lpstr>C_Div_Recvd_04</vt:lpstr>
      <vt:lpstr>C_Div_Recvd_05</vt:lpstr>
      <vt:lpstr>C_Div_Recvd_06</vt:lpstr>
      <vt:lpstr>C_Div_Recvd_07</vt:lpstr>
      <vt:lpstr>C_Div_Recvd_08</vt:lpstr>
      <vt:lpstr>C_Div_Recvd_09</vt:lpstr>
      <vt:lpstr>C_Div_Recvd_10</vt:lpstr>
      <vt:lpstr>C_Div_Recvd_11</vt:lpstr>
      <vt:lpstr>C_Div_Recvd_12</vt:lpstr>
      <vt:lpstr>C_Div_Recvd_13</vt:lpstr>
      <vt:lpstr>C_Div_Recvd_14</vt:lpstr>
      <vt:lpstr>C_Div_Recvd_15</vt:lpstr>
      <vt:lpstr>C_Div_Recvd_16</vt:lpstr>
      <vt:lpstr>C_Div_Recvd_17</vt:lpstr>
      <vt:lpstr>C_Div_Recvd_18</vt:lpstr>
      <vt:lpstr>C_Div_Recvd_19</vt:lpstr>
      <vt:lpstr>C_Div_Recvd_20</vt:lpstr>
      <vt:lpstr>C_Div_Recvd_H1_00</vt:lpstr>
      <vt:lpstr>C_Div_Recvd_H1_01</vt:lpstr>
      <vt:lpstr>C_Div_Recvd_H1_02</vt:lpstr>
      <vt:lpstr>C_Div_Recvd_H1_03</vt:lpstr>
      <vt:lpstr>C_Div_Recvd_H1_04</vt:lpstr>
      <vt:lpstr>C_Div_Recvd_H1_05</vt:lpstr>
      <vt:lpstr>C_Div_Recvd_H1_06</vt:lpstr>
      <vt:lpstr>C_Div_Recvd_H1_07</vt:lpstr>
      <vt:lpstr>C_Div_Recvd_H1_08</vt:lpstr>
      <vt:lpstr>C_Div_Recvd_H1_09</vt:lpstr>
      <vt:lpstr>C_Div_Recvd_H1_10</vt:lpstr>
      <vt:lpstr>C_Div_Recvd_H1_11</vt:lpstr>
      <vt:lpstr>C_Div_Recvd_H1_12</vt:lpstr>
      <vt:lpstr>C_Div_Recvd_H1_13</vt:lpstr>
      <vt:lpstr>C_Div_Recvd_H1_14</vt:lpstr>
      <vt:lpstr>C_Div_Recvd_H1_15</vt:lpstr>
      <vt:lpstr>C_Div_Recvd_H1_16</vt:lpstr>
      <vt:lpstr>C_Div_Recvd_H1_17</vt:lpstr>
      <vt:lpstr>C_Div_Recvd_H1_18</vt:lpstr>
      <vt:lpstr>C_Div_Recvd_H1_19</vt:lpstr>
      <vt:lpstr>C_Div_Recvd_H1_20</vt:lpstr>
      <vt:lpstr>C_Div_Recvd_H2_00</vt:lpstr>
      <vt:lpstr>C_Div_Recvd_H2_01</vt:lpstr>
      <vt:lpstr>C_Div_Recvd_H2_02</vt:lpstr>
      <vt:lpstr>C_Div_Recvd_H2_03</vt:lpstr>
      <vt:lpstr>C_Div_Recvd_H2_04</vt:lpstr>
      <vt:lpstr>C_Div_Recvd_H2_05</vt:lpstr>
      <vt:lpstr>C_Div_Recvd_H2_06</vt:lpstr>
      <vt:lpstr>C_Div_Recvd_H2_07</vt:lpstr>
      <vt:lpstr>C_Div_Recvd_H2_08</vt:lpstr>
      <vt:lpstr>C_Div_Recvd_H2_09</vt:lpstr>
      <vt:lpstr>C_Div_Recvd_H2_10</vt:lpstr>
      <vt:lpstr>C_Div_Recvd_H2_11</vt:lpstr>
      <vt:lpstr>C_Div_Recvd_H2_12</vt:lpstr>
      <vt:lpstr>C_Div_Recvd_H2_13</vt:lpstr>
      <vt:lpstr>C_Div_Recvd_H2_14</vt:lpstr>
      <vt:lpstr>C_Div_Recvd_H2_15</vt:lpstr>
      <vt:lpstr>C_Div_Recvd_H2_16</vt:lpstr>
      <vt:lpstr>C_Div_Recvd_H2_17</vt:lpstr>
      <vt:lpstr>C_Div_Recvd_H2_18</vt:lpstr>
      <vt:lpstr>C_Div_Recvd_H2_19</vt:lpstr>
      <vt:lpstr>C_Div_Recvd_H2_20</vt:lpstr>
      <vt:lpstr>C_DP_00</vt:lpstr>
      <vt:lpstr>C_DP_01</vt:lpstr>
      <vt:lpstr>C_DP_02</vt:lpstr>
      <vt:lpstr>C_DP_03</vt:lpstr>
      <vt:lpstr>C_DP_04</vt:lpstr>
      <vt:lpstr>C_DP_05</vt:lpstr>
      <vt:lpstr>C_DP_06</vt:lpstr>
      <vt:lpstr>C_DP_07</vt:lpstr>
      <vt:lpstr>C_DP_08</vt:lpstr>
      <vt:lpstr>C_DP_09</vt:lpstr>
      <vt:lpstr>C_DP_10</vt:lpstr>
      <vt:lpstr>C_DP_11</vt:lpstr>
      <vt:lpstr>C_DP_12</vt:lpstr>
      <vt:lpstr>C_DP_13</vt:lpstr>
      <vt:lpstr>C_DP_14</vt:lpstr>
      <vt:lpstr>C_DP_15</vt:lpstr>
      <vt:lpstr>C_DP_16</vt:lpstr>
      <vt:lpstr>C_DP_17</vt:lpstr>
      <vt:lpstr>C_DP_18</vt:lpstr>
      <vt:lpstr>C_DP_19</vt:lpstr>
      <vt:lpstr>C_DP_20</vt:lpstr>
      <vt:lpstr>C_DP_95</vt:lpstr>
      <vt:lpstr>C_DP_96</vt:lpstr>
      <vt:lpstr>C_DP_97</vt:lpstr>
      <vt:lpstr>C_DP_98</vt:lpstr>
      <vt:lpstr>C_DP_99</vt:lpstr>
      <vt:lpstr>C_EqtyIssue_00</vt:lpstr>
      <vt:lpstr>C_EqtyIssue_01</vt:lpstr>
      <vt:lpstr>C_EqtyIssue_02</vt:lpstr>
      <vt:lpstr>C_EqtyIssue_03</vt:lpstr>
      <vt:lpstr>C_EqtyIssue_04</vt:lpstr>
      <vt:lpstr>C_EqtyIssue_05</vt:lpstr>
      <vt:lpstr>C_EqtyIssue_06</vt:lpstr>
      <vt:lpstr>C_EqtyIssue_07</vt:lpstr>
      <vt:lpstr>C_EqtyIssue_08</vt:lpstr>
      <vt:lpstr>C_EqtyIssue_09</vt:lpstr>
      <vt:lpstr>C_EqtyIssue_10</vt:lpstr>
      <vt:lpstr>C_EqtyIssue_11</vt:lpstr>
      <vt:lpstr>C_EqtyIssue_12</vt:lpstr>
      <vt:lpstr>C_EqtyIssue_13</vt:lpstr>
      <vt:lpstr>C_EqtyIssue_14</vt:lpstr>
      <vt:lpstr>C_EqtyIssue_15</vt:lpstr>
      <vt:lpstr>C_EqtyIssue_16</vt:lpstr>
      <vt:lpstr>C_EqtyIssue_17</vt:lpstr>
      <vt:lpstr>C_EqtyIssue_18</vt:lpstr>
      <vt:lpstr>C_EqtyIssue_19</vt:lpstr>
      <vt:lpstr>C_EqtyIssue_20</vt:lpstr>
      <vt:lpstr>C_EqtyIssue_H1_00</vt:lpstr>
      <vt:lpstr>C_EqtyIssue_H1_01</vt:lpstr>
      <vt:lpstr>C_EqtyIssue_H1_02</vt:lpstr>
      <vt:lpstr>C_EqtyIssue_H1_03</vt:lpstr>
      <vt:lpstr>C_EqtyIssue_H1_04</vt:lpstr>
      <vt:lpstr>C_EqtyIssue_H1_05</vt:lpstr>
      <vt:lpstr>C_EqtyIssue_H1_06</vt:lpstr>
      <vt:lpstr>C_EqtyIssue_H1_07</vt:lpstr>
      <vt:lpstr>C_EqtyIssue_H1_08</vt:lpstr>
      <vt:lpstr>C_EqtyIssue_H1_09</vt:lpstr>
      <vt:lpstr>C_EqtyIssue_H1_10</vt:lpstr>
      <vt:lpstr>C_EqtyIssue_H1_11</vt:lpstr>
      <vt:lpstr>C_EqtyIssue_H1_12</vt:lpstr>
      <vt:lpstr>C_EqtyIssue_H1_13</vt:lpstr>
      <vt:lpstr>C_EqtyIssue_H1_14</vt:lpstr>
      <vt:lpstr>C_EqtyIssue_H1_15</vt:lpstr>
      <vt:lpstr>C_EqtyIssue_H1_16</vt:lpstr>
      <vt:lpstr>C_EqtyIssue_H1_17</vt:lpstr>
      <vt:lpstr>C_EqtyIssue_H1_18</vt:lpstr>
      <vt:lpstr>C_EqtyIssue_H1_19</vt:lpstr>
      <vt:lpstr>C_EqtyIssue_H1_20</vt:lpstr>
      <vt:lpstr>C_EqtyIssue_H2_00</vt:lpstr>
      <vt:lpstr>C_EqtyIssue_H2_01</vt:lpstr>
      <vt:lpstr>C_EqtyIssue_H2_02</vt:lpstr>
      <vt:lpstr>C_EqtyIssue_H2_03</vt:lpstr>
      <vt:lpstr>C_EqtyIssue_H2_04</vt:lpstr>
      <vt:lpstr>C_EqtyIssue_H2_05</vt:lpstr>
      <vt:lpstr>C_EqtyIssue_H2_06</vt:lpstr>
      <vt:lpstr>C_EqtyIssue_H2_07</vt:lpstr>
      <vt:lpstr>C_EqtyIssue_H2_08</vt:lpstr>
      <vt:lpstr>C_EqtyIssue_H2_09</vt:lpstr>
      <vt:lpstr>C_EqtyIssue_H2_10</vt:lpstr>
      <vt:lpstr>C_EqtyIssue_H2_11</vt:lpstr>
      <vt:lpstr>C_EqtyIssue_H2_12</vt:lpstr>
      <vt:lpstr>C_EqtyIssue_H2_13</vt:lpstr>
      <vt:lpstr>C_EqtyIssue_H2_14</vt:lpstr>
      <vt:lpstr>C_EqtyIssue_H2_15</vt:lpstr>
      <vt:lpstr>C_EqtyIssue_H2_16</vt:lpstr>
      <vt:lpstr>C_EqtyIssue_H2_17</vt:lpstr>
      <vt:lpstr>C_EqtyIssue_H2_18</vt:lpstr>
      <vt:lpstr>C_EqtyIssue_H2_19</vt:lpstr>
      <vt:lpstr>C_EqtyIssue_H2_20</vt:lpstr>
      <vt:lpstr>C_ER_00</vt:lpstr>
      <vt:lpstr>C_ER_01</vt:lpstr>
      <vt:lpstr>C_ER_02</vt:lpstr>
      <vt:lpstr>C_ER_03</vt:lpstr>
      <vt:lpstr>C_ER_04</vt:lpstr>
      <vt:lpstr>C_ER_05</vt:lpstr>
      <vt:lpstr>C_ER_06</vt:lpstr>
      <vt:lpstr>C_ER_07</vt:lpstr>
      <vt:lpstr>C_ER_08</vt:lpstr>
      <vt:lpstr>C_ER_09</vt:lpstr>
      <vt:lpstr>C_ER_10</vt:lpstr>
      <vt:lpstr>C_ER_11</vt:lpstr>
      <vt:lpstr>C_ER_12</vt:lpstr>
      <vt:lpstr>C_ER_13</vt:lpstr>
      <vt:lpstr>C_ER_14</vt:lpstr>
      <vt:lpstr>C_ER_15</vt:lpstr>
      <vt:lpstr>C_ER_16</vt:lpstr>
      <vt:lpstr>C_ER_17</vt:lpstr>
      <vt:lpstr>C_ER_18</vt:lpstr>
      <vt:lpstr>C_ER_19</vt:lpstr>
      <vt:lpstr>C_ER_20</vt:lpstr>
      <vt:lpstr>C_ER_95</vt:lpstr>
      <vt:lpstr>C_ER_96</vt:lpstr>
      <vt:lpstr>C_ER_97</vt:lpstr>
      <vt:lpstr>C_ER_98</vt:lpstr>
      <vt:lpstr>C_ER_99</vt:lpstr>
      <vt:lpstr>C_FCF_00</vt:lpstr>
      <vt:lpstr>C_FCF_01</vt:lpstr>
      <vt:lpstr>C_FCF_02</vt:lpstr>
      <vt:lpstr>C_FCF_03</vt:lpstr>
      <vt:lpstr>C_FCF_04</vt:lpstr>
      <vt:lpstr>C_FCF_05</vt:lpstr>
      <vt:lpstr>C_FCF_06</vt:lpstr>
      <vt:lpstr>C_FCF_07</vt:lpstr>
      <vt:lpstr>C_FCF_08</vt:lpstr>
      <vt:lpstr>C_FCF_09</vt:lpstr>
      <vt:lpstr>C_FCF_10</vt:lpstr>
      <vt:lpstr>C_FCF_11</vt:lpstr>
      <vt:lpstr>C_FCF_12</vt:lpstr>
      <vt:lpstr>C_FCF_13</vt:lpstr>
      <vt:lpstr>C_FCF_14</vt:lpstr>
      <vt:lpstr>C_FCF_15</vt:lpstr>
      <vt:lpstr>C_FCF_16</vt:lpstr>
      <vt:lpstr>C_FCF_17</vt:lpstr>
      <vt:lpstr>C_FCF_18</vt:lpstr>
      <vt:lpstr>C_FCF_19</vt:lpstr>
      <vt:lpstr>C_FCF_20</vt:lpstr>
      <vt:lpstr>C_FCF_95</vt:lpstr>
      <vt:lpstr>C_FCF_96</vt:lpstr>
      <vt:lpstr>C_FCF_97</vt:lpstr>
      <vt:lpstr>C_FCF_98</vt:lpstr>
      <vt:lpstr>C_FCF_99</vt:lpstr>
      <vt:lpstr>C_FXAdj_00</vt:lpstr>
      <vt:lpstr>C_FXAdj_01</vt:lpstr>
      <vt:lpstr>C_FXAdj_02</vt:lpstr>
      <vt:lpstr>C_FXAdj_03</vt:lpstr>
      <vt:lpstr>C_FXAdj_04</vt:lpstr>
      <vt:lpstr>C_FXAdj_05</vt:lpstr>
      <vt:lpstr>C_FXAdj_06</vt:lpstr>
      <vt:lpstr>C_FXAdj_07</vt:lpstr>
      <vt:lpstr>C_FXAdj_08</vt:lpstr>
      <vt:lpstr>C_FXAdj_09</vt:lpstr>
      <vt:lpstr>C_FXAdj_10</vt:lpstr>
      <vt:lpstr>C_FXAdj_11</vt:lpstr>
      <vt:lpstr>C_FXAdj_12</vt:lpstr>
      <vt:lpstr>C_FXAdj_13</vt:lpstr>
      <vt:lpstr>C_FXAdj_14</vt:lpstr>
      <vt:lpstr>C_FXAdj_15</vt:lpstr>
      <vt:lpstr>C_FXAdj_16</vt:lpstr>
      <vt:lpstr>C_FXAdj_17</vt:lpstr>
      <vt:lpstr>C_FXAdj_18</vt:lpstr>
      <vt:lpstr>C_FXAdj_19</vt:lpstr>
      <vt:lpstr>C_FXAdj_20</vt:lpstr>
      <vt:lpstr>C_FXAdj_H1_00</vt:lpstr>
      <vt:lpstr>C_FXAdj_H1_01</vt:lpstr>
      <vt:lpstr>C_FXAdj_H1_02</vt:lpstr>
      <vt:lpstr>C_FXAdj_H1_03</vt:lpstr>
      <vt:lpstr>C_FXAdj_H1_04</vt:lpstr>
      <vt:lpstr>C_FXAdj_H1_05</vt:lpstr>
      <vt:lpstr>C_FXAdj_H1_06</vt:lpstr>
      <vt:lpstr>C_FXAdj_H1_07</vt:lpstr>
      <vt:lpstr>C_FXAdj_H1_08</vt:lpstr>
      <vt:lpstr>C_FXAdj_H1_09</vt:lpstr>
      <vt:lpstr>C_FXAdj_H1_10</vt:lpstr>
      <vt:lpstr>C_FXAdj_H1_11</vt:lpstr>
      <vt:lpstr>C_FXAdj_H1_12</vt:lpstr>
      <vt:lpstr>C_FXAdj_H1_13</vt:lpstr>
      <vt:lpstr>C_FXAdj_H1_14</vt:lpstr>
      <vt:lpstr>C_FXAdj_H1_15</vt:lpstr>
      <vt:lpstr>C_FXAdj_H1_16</vt:lpstr>
      <vt:lpstr>C_FXAdj_H1_17</vt:lpstr>
      <vt:lpstr>C_FXAdj_H1_18</vt:lpstr>
      <vt:lpstr>C_FXAdj_H1_19</vt:lpstr>
      <vt:lpstr>C_FXAdj_H1_20</vt:lpstr>
      <vt:lpstr>C_FXAdj_H2_00</vt:lpstr>
      <vt:lpstr>C_FXAdj_H2_01</vt:lpstr>
      <vt:lpstr>C_FXAdj_H2_02</vt:lpstr>
      <vt:lpstr>C_FXAdj_H2_03</vt:lpstr>
      <vt:lpstr>C_FXAdj_H2_04</vt:lpstr>
      <vt:lpstr>C_FXAdj_H2_05</vt:lpstr>
      <vt:lpstr>C_FXAdj_H2_06</vt:lpstr>
      <vt:lpstr>C_FXAdj_H2_07</vt:lpstr>
      <vt:lpstr>C_FXAdj_H2_08</vt:lpstr>
      <vt:lpstr>C_FXAdj_H2_09</vt:lpstr>
      <vt:lpstr>C_FXAdj_H2_10</vt:lpstr>
      <vt:lpstr>C_FXAdj_H2_11</vt:lpstr>
      <vt:lpstr>C_FXAdj_H2_12</vt:lpstr>
      <vt:lpstr>C_FXAdj_H2_13</vt:lpstr>
      <vt:lpstr>C_FXAdj_H2_14</vt:lpstr>
      <vt:lpstr>C_FXAdj_H2_15</vt:lpstr>
      <vt:lpstr>C_FXAdj_H2_16</vt:lpstr>
      <vt:lpstr>C_FXAdj_H2_17</vt:lpstr>
      <vt:lpstr>C_FXAdj_H2_18</vt:lpstr>
      <vt:lpstr>C_FXAdj_H2_19</vt:lpstr>
      <vt:lpstr>C_FXAdj_H2_20</vt:lpstr>
      <vt:lpstr>C_ICF_00</vt:lpstr>
      <vt:lpstr>C_ICF_01</vt:lpstr>
      <vt:lpstr>C_ICF_02</vt:lpstr>
      <vt:lpstr>C_ICF_03</vt:lpstr>
      <vt:lpstr>C_ICF_04</vt:lpstr>
      <vt:lpstr>C_ICF_05</vt:lpstr>
      <vt:lpstr>C_ICF_06</vt:lpstr>
      <vt:lpstr>C_ICF_07</vt:lpstr>
      <vt:lpstr>C_ICF_08</vt:lpstr>
      <vt:lpstr>C_ICF_09</vt:lpstr>
      <vt:lpstr>C_ICF_10</vt:lpstr>
      <vt:lpstr>C_ICF_11</vt:lpstr>
      <vt:lpstr>C_ICF_12</vt:lpstr>
      <vt:lpstr>C_ICF_13</vt:lpstr>
      <vt:lpstr>C_ICF_14</vt:lpstr>
      <vt:lpstr>C_ICF_15</vt:lpstr>
      <vt:lpstr>C_ICF_16</vt:lpstr>
      <vt:lpstr>C_ICF_17</vt:lpstr>
      <vt:lpstr>C_ICF_18</vt:lpstr>
      <vt:lpstr>C_ICF_19</vt:lpstr>
      <vt:lpstr>C_ICF_20</vt:lpstr>
      <vt:lpstr>C_ICF_95</vt:lpstr>
      <vt:lpstr>C_ICF_96</vt:lpstr>
      <vt:lpstr>C_ICF_97</vt:lpstr>
      <vt:lpstr>C_ICF_98</vt:lpstr>
      <vt:lpstr>C_ICF_99</vt:lpstr>
      <vt:lpstr>C_Int_Pd_00</vt:lpstr>
      <vt:lpstr>C_Int_Pd_01</vt:lpstr>
      <vt:lpstr>C_Int_Pd_02</vt:lpstr>
      <vt:lpstr>C_Int_Pd_03</vt:lpstr>
      <vt:lpstr>C_Int_Pd_04</vt:lpstr>
      <vt:lpstr>C_Int_Pd_05</vt:lpstr>
      <vt:lpstr>C_Int_Pd_06</vt:lpstr>
      <vt:lpstr>C_Int_Pd_07</vt:lpstr>
      <vt:lpstr>C_Int_Pd_08</vt:lpstr>
      <vt:lpstr>C_Int_Pd_09</vt:lpstr>
      <vt:lpstr>C_Int_Pd_10</vt:lpstr>
      <vt:lpstr>C_Int_Pd_11</vt:lpstr>
      <vt:lpstr>C_Int_Pd_12</vt:lpstr>
      <vt:lpstr>C_Int_Pd_13</vt:lpstr>
      <vt:lpstr>C_Int_Pd_14</vt:lpstr>
      <vt:lpstr>C_Int_Pd_15</vt:lpstr>
      <vt:lpstr>C_Int_Pd_16</vt:lpstr>
      <vt:lpstr>C_Int_Pd_17</vt:lpstr>
      <vt:lpstr>C_Int_Pd_18</vt:lpstr>
      <vt:lpstr>C_Int_Pd_19</vt:lpstr>
      <vt:lpstr>C_Int_Pd_20</vt:lpstr>
      <vt:lpstr>C_Int_Pd_H1_00</vt:lpstr>
      <vt:lpstr>C_Int_Pd_H1_01</vt:lpstr>
      <vt:lpstr>C_Int_Pd_H1_02</vt:lpstr>
      <vt:lpstr>C_Int_Pd_H1_03</vt:lpstr>
      <vt:lpstr>C_Int_Pd_H1_04</vt:lpstr>
      <vt:lpstr>C_Int_Pd_H1_05</vt:lpstr>
      <vt:lpstr>C_Int_Pd_H1_06</vt:lpstr>
      <vt:lpstr>C_Int_Pd_H1_07</vt:lpstr>
      <vt:lpstr>C_Int_Pd_H1_08</vt:lpstr>
      <vt:lpstr>C_Int_Pd_H1_09</vt:lpstr>
      <vt:lpstr>C_Int_Pd_H1_10</vt:lpstr>
      <vt:lpstr>C_Int_Pd_H1_11</vt:lpstr>
      <vt:lpstr>C_Int_Pd_H1_12</vt:lpstr>
      <vt:lpstr>C_Int_Pd_H1_13</vt:lpstr>
      <vt:lpstr>C_Int_Pd_H1_14</vt:lpstr>
      <vt:lpstr>C_Int_Pd_H1_15</vt:lpstr>
      <vt:lpstr>C_Int_Pd_H1_16</vt:lpstr>
      <vt:lpstr>C_Int_Pd_H1_17</vt:lpstr>
      <vt:lpstr>C_Int_Pd_H1_18</vt:lpstr>
      <vt:lpstr>C_Int_Pd_H1_19</vt:lpstr>
      <vt:lpstr>C_Int_Pd_H1_20</vt:lpstr>
      <vt:lpstr>C_Int_Pd_H2_00</vt:lpstr>
      <vt:lpstr>C_Int_Pd_H2_01</vt:lpstr>
      <vt:lpstr>C_Int_Pd_H2_02</vt:lpstr>
      <vt:lpstr>C_Int_Pd_H2_03</vt:lpstr>
      <vt:lpstr>C_Int_Pd_H2_04</vt:lpstr>
      <vt:lpstr>C_Int_Pd_H2_05</vt:lpstr>
      <vt:lpstr>C_Int_Pd_H2_06</vt:lpstr>
      <vt:lpstr>C_Int_Pd_H2_07</vt:lpstr>
      <vt:lpstr>C_Int_Pd_H2_08</vt:lpstr>
      <vt:lpstr>C_Int_Pd_H2_09</vt:lpstr>
      <vt:lpstr>C_Int_Pd_H2_10</vt:lpstr>
      <vt:lpstr>C_Int_Pd_H2_11</vt:lpstr>
      <vt:lpstr>C_Int_Pd_H2_12</vt:lpstr>
      <vt:lpstr>C_Int_Pd_H2_13</vt:lpstr>
      <vt:lpstr>C_Int_Pd_H2_14</vt:lpstr>
      <vt:lpstr>C_Int_Pd_H2_15</vt:lpstr>
      <vt:lpstr>C_Int_Pd_H2_16</vt:lpstr>
      <vt:lpstr>C_Int_Pd_H2_17</vt:lpstr>
      <vt:lpstr>C_Int_Pd_H2_18</vt:lpstr>
      <vt:lpstr>C_Int_Pd_H2_19</vt:lpstr>
      <vt:lpstr>C_Int_Pd_H2_20</vt:lpstr>
      <vt:lpstr>C_Int_Recvd_00</vt:lpstr>
      <vt:lpstr>C_Int_Recvd_01</vt:lpstr>
      <vt:lpstr>C_Int_Recvd_02</vt:lpstr>
      <vt:lpstr>C_Int_Recvd_03</vt:lpstr>
      <vt:lpstr>C_Int_Recvd_04</vt:lpstr>
      <vt:lpstr>C_Int_Recvd_05</vt:lpstr>
      <vt:lpstr>C_Int_Recvd_06</vt:lpstr>
      <vt:lpstr>C_Int_Recvd_07</vt:lpstr>
      <vt:lpstr>C_Int_Recvd_08</vt:lpstr>
      <vt:lpstr>C_Int_Recvd_09</vt:lpstr>
      <vt:lpstr>C_Int_Recvd_10</vt:lpstr>
      <vt:lpstr>C_Int_Recvd_11</vt:lpstr>
      <vt:lpstr>C_Int_Recvd_12</vt:lpstr>
      <vt:lpstr>C_Int_Recvd_13</vt:lpstr>
      <vt:lpstr>C_Int_Recvd_14</vt:lpstr>
      <vt:lpstr>C_Int_Recvd_15</vt:lpstr>
      <vt:lpstr>C_Int_Recvd_16</vt:lpstr>
      <vt:lpstr>C_Int_Recvd_17</vt:lpstr>
      <vt:lpstr>C_Int_Recvd_18</vt:lpstr>
      <vt:lpstr>C_Int_Recvd_19</vt:lpstr>
      <vt:lpstr>C_Int_Recvd_20</vt:lpstr>
      <vt:lpstr>C_Int_Recvd_H1_00</vt:lpstr>
      <vt:lpstr>C_Int_Recvd_H1_01</vt:lpstr>
      <vt:lpstr>C_Int_Recvd_H1_02</vt:lpstr>
      <vt:lpstr>C_Int_Recvd_H1_03</vt:lpstr>
      <vt:lpstr>C_Int_Recvd_H1_04</vt:lpstr>
      <vt:lpstr>C_Int_Recvd_H1_05</vt:lpstr>
      <vt:lpstr>C_Int_Recvd_H1_06</vt:lpstr>
      <vt:lpstr>C_Int_Recvd_H1_07</vt:lpstr>
      <vt:lpstr>C_Int_Recvd_H1_08</vt:lpstr>
      <vt:lpstr>C_Int_Recvd_H1_09</vt:lpstr>
      <vt:lpstr>C_Int_Recvd_H1_10</vt:lpstr>
      <vt:lpstr>C_Int_Recvd_H1_11</vt:lpstr>
      <vt:lpstr>C_Int_Recvd_H1_12</vt:lpstr>
      <vt:lpstr>C_Int_Recvd_H1_13</vt:lpstr>
      <vt:lpstr>C_Int_Recvd_H1_14</vt:lpstr>
      <vt:lpstr>C_Int_Recvd_H1_15</vt:lpstr>
      <vt:lpstr>C_Int_Recvd_H1_16</vt:lpstr>
      <vt:lpstr>C_Int_Recvd_H1_17</vt:lpstr>
      <vt:lpstr>C_Int_Recvd_H1_18</vt:lpstr>
      <vt:lpstr>C_Int_Recvd_H1_19</vt:lpstr>
      <vt:lpstr>C_Int_Recvd_H1_20</vt:lpstr>
      <vt:lpstr>C_Int_Recvd_H2_00</vt:lpstr>
      <vt:lpstr>C_Int_Recvd_H2_01</vt:lpstr>
      <vt:lpstr>C_Int_Recvd_H2_02</vt:lpstr>
      <vt:lpstr>C_Int_Recvd_H2_03</vt:lpstr>
      <vt:lpstr>C_Int_Recvd_H2_04</vt:lpstr>
      <vt:lpstr>C_Int_Recvd_H2_05</vt:lpstr>
      <vt:lpstr>C_Int_Recvd_H2_06</vt:lpstr>
      <vt:lpstr>C_Int_Recvd_H2_07</vt:lpstr>
      <vt:lpstr>C_Int_Recvd_H2_08</vt:lpstr>
      <vt:lpstr>C_Int_Recvd_H2_09</vt:lpstr>
      <vt:lpstr>C_Int_Recvd_H2_10</vt:lpstr>
      <vt:lpstr>C_Int_Recvd_H2_11</vt:lpstr>
      <vt:lpstr>C_Int_Recvd_H2_12</vt:lpstr>
      <vt:lpstr>C_Int_Recvd_H2_13</vt:lpstr>
      <vt:lpstr>C_Int_Recvd_H2_14</vt:lpstr>
      <vt:lpstr>C_Int_Recvd_H2_15</vt:lpstr>
      <vt:lpstr>C_Int_Recvd_H2_16</vt:lpstr>
      <vt:lpstr>C_Int_Recvd_H2_17</vt:lpstr>
      <vt:lpstr>C_Int_Recvd_H2_18</vt:lpstr>
      <vt:lpstr>C_Int_Recvd_H2_19</vt:lpstr>
      <vt:lpstr>C_Int_Recvd_H2_20</vt:lpstr>
      <vt:lpstr>C_INTN_00</vt:lpstr>
      <vt:lpstr>C_INTN_01</vt:lpstr>
      <vt:lpstr>C_INTN_02</vt:lpstr>
      <vt:lpstr>C_INTN_03</vt:lpstr>
      <vt:lpstr>C_INTN_04</vt:lpstr>
      <vt:lpstr>C_INTN_05</vt:lpstr>
      <vt:lpstr>C_INTN_06</vt:lpstr>
      <vt:lpstr>C_INTN_07</vt:lpstr>
      <vt:lpstr>C_INTN_08</vt:lpstr>
      <vt:lpstr>C_INTN_09</vt:lpstr>
      <vt:lpstr>C_INTN_10</vt:lpstr>
      <vt:lpstr>C_INTN_11</vt:lpstr>
      <vt:lpstr>C_INTN_12</vt:lpstr>
      <vt:lpstr>C_INTN_13</vt:lpstr>
      <vt:lpstr>C_INTN_14</vt:lpstr>
      <vt:lpstr>C_INTN_15</vt:lpstr>
      <vt:lpstr>C_INTN_16</vt:lpstr>
      <vt:lpstr>C_INTN_17</vt:lpstr>
      <vt:lpstr>C_INTN_18</vt:lpstr>
      <vt:lpstr>C_INTN_19</vt:lpstr>
      <vt:lpstr>C_INTN_20</vt:lpstr>
      <vt:lpstr>C_INTN_95</vt:lpstr>
      <vt:lpstr>C_INTN_96</vt:lpstr>
      <vt:lpstr>C_INTN_97</vt:lpstr>
      <vt:lpstr>C_INTN_98</vt:lpstr>
      <vt:lpstr>C_INTN_99</vt:lpstr>
      <vt:lpstr>C_IP_00</vt:lpstr>
      <vt:lpstr>C_IP_01</vt:lpstr>
      <vt:lpstr>C_IP_02</vt:lpstr>
      <vt:lpstr>C_IP_03</vt:lpstr>
      <vt:lpstr>C_IP_04</vt:lpstr>
      <vt:lpstr>C_IP_05</vt:lpstr>
      <vt:lpstr>C_IP_06</vt:lpstr>
      <vt:lpstr>C_IP_07</vt:lpstr>
      <vt:lpstr>C_IP_08</vt:lpstr>
      <vt:lpstr>C_IP_09</vt:lpstr>
      <vt:lpstr>C_IP_10</vt:lpstr>
      <vt:lpstr>C_IP_11</vt:lpstr>
      <vt:lpstr>C_IP_12</vt:lpstr>
      <vt:lpstr>C_IP_13</vt:lpstr>
      <vt:lpstr>C_IP_14</vt:lpstr>
      <vt:lpstr>C_IP_15</vt:lpstr>
      <vt:lpstr>C_IP_16</vt:lpstr>
      <vt:lpstr>C_IP_17</vt:lpstr>
      <vt:lpstr>C_IP_18</vt:lpstr>
      <vt:lpstr>C_IP_19</vt:lpstr>
      <vt:lpstr>C_IP_20</vt:lpstr>
      <vt:lpstr>C_IP_95</vt:lpstr>
      <vt:lpstr>C_IP_96</vt:lpstr>
      <vt:lpstr>C_IP_97</vt:lpstr>
      <vt:lpstr>C_IP_98</vt:lpstr>
      <vt:lpstr>C_IP_99</vt:lpstr>
      <vt:lpstr>C_Loans_00</vt:lpstr>
      <vt:lpstr>C_Loans_01</vt:lpstr>
      <vt:lpstr>C_Loans_02</vt:lpstr>
      <vt:lpstr>C_Loans_03</vt:lpstr>
      <vt:lpstr>C_Loans_04</vt:lpstr>
      <vt:lpstr>C_Loans_05</vt:lpstr>
      <vt:lpstr>C_Loans_06</vt:lpstr>
      <vt:lpstr>C_Loans_07</vt:lpstr>
      <vt:lpstr>C_Loans_08</vt:lpstr>
      <vt:lpstr>C_Loans_09</vt:lpstr>
      <vt:lpstr>C_Loans_10</vt:lpstr>
      <vt:lpstr>C_Loans_11</vt:lpstr>
      <vt:lpstr>C_Loans_12</vt:lpstr>
      <vt:lpstr>C_Loans_13</vt:lpstr>
      <vt:lpstr>C_Loans_14</vt:lpstr>
      <vt:lpstr>C_Loans_15</vt:lpstr>
      <vt:lpstr>C_Loans_16</vt:lpstr>
      <vt:lpstr>C_Loans_17</vt:lpstr>
      <vt:lpstr>C_Loans_18</vt:lpstr>
      <vt:lpstr>C_Loans_19</vt:lpstr>
      <vt:lpstr>C_Loans_20</vt:lpstr>
      <vt:lpstr>C_Loans_H1_00</vt:lpstr>
      <vt:lpstr>C_Loans_H1_01</vt:lpstr>
      <vt:lpstr>C_Loans_H1_02</vt:lpstr>
      <vt:lpstr>C_Loans_H1_03</vt:lpstr>
      <vt:lpstr>C_Loans_H1_04</vt:lpstr>
      <vt:lpstr>C_Loans_H1_05</vt:lpstr>
      <vt:lpstr>C_Loans_H1_06</vt:lpstr>
      <vt:lpstr>C_Loans_H1_07</vt:lpstr>
      <vt:lpstr>C_Loans_H1_08</vt:lpstr>
      <vt:lpstr>C_Loans_H1_09</vt:lpstr>
      <vt:lpstr>C_Loans_H1_10</vt:lpstr>
      <vt:lpstr>C_Loans_H1_11</vt:lpstr>
      <vt:lpstr>C_Loans_H1_12</vt:lpstr>
      <vt:lpstr>C_Loans_H1_13</vt:lpstr>
      <vt:lpstr>C_Loans_H1_14</vt:lpstr>
      <vt:lpstr>C_Loans_H1_15</vt:lpstr>
      <vt:lpstr>C_Loans_H1_16</vt:lpstr>
      <vt:lpstr>C_Loans_H1_17</vt:lpstr>
      <vt:lpstr>C_Loans_H1_18</vt:lpstr>
      <vt:lpstr>C_Loans_H1_19</vt:lpstr>
      <vt:lpstr>C_Loans_H1_20</vt:lpstr>
      <vt:lpstr>C_Loans_H2_00</vt:lpstr>
      <vt:lpstr>C_Loans_H2_01</vt:lpstr>
      <vt:lpstr>C_Loans_H2_02</vt:lpstr>
      <vt:lpstr>C_Loans_H2_03</vt:lpstr>
      <vt:lpstr>C_Loans_H2_04</vt:lpstr>
      <vt:lpstr>C_Loans_H2_05</vt:lpstr>
      <vt:lpstr>C_Loans_H2_06</vt:lpstr>
      <vt:lpstr>C_Loans_H2_07</vt:lpstr>
      <vt:lpstr>C_Loans_H2_08</vt:lpstr>
      <vt:lpstr>C_Loans_H2_09</vt:lpstr>
      <vt:lpstr>C_Loans_H2_10</vt:lpstr>
      <vt:lpstr>C_Loans_H2_11</vt:lpstr>
      <vt:lpstr>C_Loans_H2_12</vt:lpstr>
      <vt:lpstr>C_Loans_H2_13</vt:lpstr>
      <vt:lpstr>C_Loans_H2_14</vt:lpstr>
      <vt:lpstr>C_Loans_H2_15</vt:lpstr>
      <vt:lpstr>C_Loans_H2_16</vt:lpstr>
      <vt:lpstr>C_Loans_H2_17</vt:lpstr>
      <vt:lpstr>C_Loans_H2_18</vt:lpstr>
      <vt:lpstr>C_Loans_H2_19</vt:lpstr>
      <vt:lpstr>C_Loans_H2_20</vt:lpstr>
      <vt:lpstr>C_MCE_00</vt:lpstr>
      <vt:lpstr>C_MCE_01</vt:lpstr>
      <vt:lpstr>C_MCE_02</vt:lpstr>
      <vt:lpstr>C_MCE_03</vt:lpstr>
      <vt:lpstr>C_MCE_04</vt:lpstr>
      <vt:lpstr>C_MCE_05</vt:lpstr>
      <vt:lpstr>C_MCE_06</vt:lpstr>
      <vt:lpstr>C_MCE_07</vt:lpstr>
      <vt:lpstr>C_MCE_08</vt:lpstr>
      <vt:lpstr>C_MCE_09</vt:lpstr>
      <vt:lpstr>C_MCE_10</vt:lpstr>
      <vt:lpstr>C_MCE_11</vt:lpstr>
      <vt:lpstr>C_MCE_12</vt:lpstr>
      <vt:lpstr>C_MCE_13</vt:lpstr>
      <vt:lpstr>C_MCE_14</vt:lpstr>
      <vt:lpstr>C_MCE_15</vt:lpstr>
      <vt:lpstr>C_MCE_16</vt:lpstr>
      <vt:lpstr>C_MCE_17</vt:lpstr>
      <vt:lpstr>C_MCE_18</vt:lpstr>
      <vt:lpstr>C_MCE_19</vt:lpstr>
      <vt:lpstr>C_MCE_20</vt:lpstr>
      <vt:lpstr>C_MCE_95</vt:lpstr>
      <vt:lpstr>C_MCE_96</vt:lpstr>
      <vt:lpstr>C_MCE_97</vt:lpstr>
      <vt:lpstr>C_MCE_98</vt:lpstr>
      <vt:lpstr>C_MCE_99</vt:lpstr>
      <vt:lpstr>C_NA_00</vt:lpstr>
      <vt:lpstr>C_NA_01</vt:lpstr>
      <vt:lpstr>C_NA_02</vt:lpstr>
      <vt:lpstr>C_NA_03</vt:lpstr>
      <vt:lpstr>C_NA_04</vt:lpstr>
      <vt:lpstr>C_NA_05</vt:lpstr>
      <vt:lpstr>C_NA_06</vt:lpstr>
      <vt:lpstr>C_NA_07</vt:lpstr>
      <vt:lpstr>C_NA_08</vt:lpstr>
      <vt:lpstr>C_NA_09</vt:lpstr>
      <vt:lpstr>C_NA_10</vt:lpstr>
      <vt:lpstr>C_NA_11</vt:lpstr>
      <vt:lpstr>C_NA_12</vt:lpstr>
      <vt:lpstr>C_NA_13</vt:lpstr>
      <vt:lpstr>C_NA_14</vt:lpstr>
      <vt:lpstr>C_NA_15</vt:lpstr>
      <vt:lpstr>C_NA_16</vt:lpstr>
      <vt:lpstr>C_NA_17</vt:lpstr>
      <vt:lpstr>C_NA_18</vt:lpstr>
      <vt:lpstr>C_NA_19</vt:lpstr>
      <vt:lpstr>C_NA_20</vt:lpstr>
      <vt:lpstr>C_NA_95</vt:lpstr>
      <vt:lpstr>C_NA_96</vt:lpstr>
      <vt:lpstr>C_NA_97</vt:lpstr>
      <vt:lpstr>C_NA_98</vt:lpstr>
      <vt:lpstr>C_NA_99</vt:lpstr>
      <vt:lpstr>C_NetChgC_00</vt:lpstr>
      <vt:lpstr>C_NetChgC_01</vt:lpstr>
      <vt:lpstr>C_NetChgC_02</vt:lpstr>
      <vt:lpstr>C_NetChgC_03</vt:lpstr>
      <vt:lpstr>C_NetChgC_04</vt:lpstr>
      <vt:lpstr>C_NetChgC_05</vt:lpstr>
      <vt:lpstr>C_NetChgC_06</vt:lpstr>
      <vt:lpstr>C_NetChgC_07</vt:lpstr>
      <vt:lpstr>C_NetChgC_08</vt:lpstr>
      <vt:lpstr>C_NetChgC_09</vt:lpstr>
      <vt:lpstr>C_NetChgC_10</vt:lpstr>
      <vt:lpstr>C_NetChgC_11</vt:lpstr>
      <vt:lpstr>C_NetChgC_12</vt:lpstr>
      <vt:lpstr>C_NetChgC_13</vt:lpstr>
      <vt:lpstr>C_NetChgC_14</vt:lpstr>
      <vt:lpstr>C_NetChgC_15</vt:lpstr>
      <vt:lpstr>C_NetChgC_16</vt:lpstr>
      <vt:lpstr>C_NetChgC_17</vt:lpstr>
      <vt:lpstr>C_NetChgC_18</vt:lpstr>
      <vt:lpstr>C_NetChgC_19</vt:lpstr>
      <vt:lpstr>C_NetChgC_20</vt:lpstr>
      <vt:lpstr>C_NetChgC_H1_00</vt:lpstr>
      <vt:lpstr>C_NetChgC_H1_01</vt:lpstr>
      <vt:lpstr>C_NetChgC_H1_02</vt:lpstr>
      <vt:lpstr>C_NetChgC_H1_03</vt:lpstr>
      <vt:lpstr>C_NetChgC_H1_04</vt:lpstr>
      <vt:lpstr>C_NetChgC_H1_05</vt:lpstr>
      <vt:lpstr>C_NetChgC_H1_06</vt:lpstr>
      <vt:lpstr>C_NetChgC_H1_07</vt:lpstr>
      <vt:lpstr>C_NetChgC_H1_08</vt:lpstr>
      <vt:lpstr>C_NetChgC_H1_09</vt:lpstr>
      <vt:lpstr>C_NetChgC_H1_10</vt:lpstr>
      <vt:lpstr>C_NetChgC_H1_11</vt:lpstr>
      <vt:lpstr>C_NetChgC_H1_12</vt:lpstr>
      <vt:lpstr>C_NetChgC_H1_13</vt:lpstr>
      <vt:lpstr>C_NetChgC_H1_14</vt:lpstr>
      <vt:lpstr>C_NetChgC_H1_15</vt:lpstr>
      <vt:lpstr>C_NetChgC_H1_16</vt:lpstr>
      <vt:lpstr>C_NetChgC_H1_17</vt:lpstr>
      <vt:lpstr>C_NetChgC_H1_18</vt:lpstr>
      <vt:lpstr>C_NetChgC_H1_19</vt:lpstr>
      <vt:lpstr>C_NetChgC_H1_20</vt:lpstr>
      <vt:lpstr>C_NetChgC_H2_00</vt:lpstr>
      <vt:lpstr>C_NetChgC_H2_01</vt:lpstr>
      <vt:lpstr>C_NetChgC_H2_02</vt:lpstr>
      <vt:lpstr>C_NetChgC_H2_03</vt:lpstr>
      <vt:lpstr>C_NetChgC_H2_04</vt:lpstr>
      <vt:lpstr>C_NetChgC_H2_05</vt:lpstr>
      <vt:lpstr>C_NetChgC_H2_06</vt:lpstr>
      <vt:lpstr>C_NetChgC_H2_07</vt:lpstr>
      <vt:lpstr>C_NetChgC_H2_08</vt:lpstr>
      <vt:lpstr>C_NetChgC_H2_09</vt:lpstr>
      <vt:lpstr>C_NetChgC_H2_10</vt:lpstr>
      <vt:lpstr>C_NetChgC_H2_11</vt:lpstr>
      <vt:lpstr>C_NetChgC_H2_12</vt:lpstr>
      <vt:lpstr>C_NetChgC_H2_13</vt:lpstr>
      <vt:lpstr>C_NetChgC_H2_14</vt:lpstr>
      <vt:lpstr>C_NetChgC_H2_15</vt:lpstr>
      <vt:lpstr>C_NetChgC_H2_16</vt:lpstr>
      <vt:lpstr>C_NetChgC_H2_17</vt:lpstr>
      <vt:lpstr>C_NetChgC_H2_18</vt:lpstr>
      <vt:lpstr>C_NetChgC_H2_19</vt:lpstr>
      <vt:lpstr>C_NetChgC_H2_20</vt:lpstr>
      <vt:lpstr>C_OCF_00</vt:lpstr>
      <vt:lpstr>C_OCF_01</vt:lpstr>
      <vt:lpstr>C_OCF_02</vt:lpstr>
      <vt:lpstr>C_OCF_03</vt:lpstr>
      <vt:lpstr>C_OCF_04</vt:lpstr>
      <vt:lpstr>C_OCF_05</vt:lpstr>
      <vt:lpstr>C_OCF_06</vt:lpstr>
      <vt:lpstr>C_OCF_07</vt:lpstr>
      <vt:lpstr>C_OCF_08</vt:lpstr>
      <vt:lpstr>C_OCF_09</vt:lpstr>
      <vt:lpstr>C_OCF_10</vt:lpstr>
      <vt:lpstr>C_OCF_11</vt:lpstr>
      <vt:lpstr>C_OCF_12</vt:lpstr>
      <vt:lpstr>C_OCF_13</vt:lpstr>
      <vt:lpstr>C_OCF_14</vt:lpstr>
      <vt:lpstr>C_OCF_15</vt:lpstr>
      <vt:lpstr>C_OCF_16</vt:lpstr>
      <vt:lpstr>C_OCF_17</vt:lpstr>
      <vt:lpstr>C_OCF_18</vt:lpstr>
      <vt:lpstr>C_OCF_19</vt:lpstr>
      <vt:lpstr>C_OCF_20</vt:lpstr>
      <vt:lpstr>C_OCF_95</vt:lpstr>
      <vt:lpstr>C_OCF_96</vt:lpstr>
      <vt:lpstr>C_OCF_97</vt:lpstr>
      <vt:lpstr>C_OCF_98</vt:lpstr>
      <vt:lpstr>C_OCF_99</vt:lpstr>
      <vt:lpstr>C_OF_00</vt:lpstr>
      <vt:lpstr>C_OF_01</vt:lpstr>
      <vt:lpstr>C_OF_02</vt:lpstr>
      <vt:lpstr>C_OF_03</vt:lpstr>
      <vt:lpstr>C_OF_04</vt:lpstr>
      <vt:lpstr>C_OF_05</vt:lpstr>
      <vt:lpstr>C_OF_06</vt:lpstr>
      <vt:lpstr>C_OF_07</vt:lpstr>
      <vt:lpstr>C_OF_08</vt:lpstr>
      <vt:lpstr>C_OF_09</vt:lpstr>
      <vt:lpstr>C_OF_10</vt:lpstr>
      <vt:lpstr>C_OF_11</vt:lpstr>
      <vt:lpstr>C_OF_12</vt:lpstr>
      <vt:lpstr>C_OF_13</vt:lpstr>
      <vt:lpstr>C_OF_14</vt:lpstr>
      <vt:lpstr>C_OF_15</vt:lpstr>
      <vt:lpstr>C_OF_16</vt:lpstr>
      <vt:lpstr>C_OF_17</vt:lpstr>
      <vt:lpstr>C_OF_18</vt:lpstr>
      <vt:lpstr>C_OF_19</vt:lpstr>
      <vt:lpstr>C_OF_20</vt:lpstr>
      <vt:lpstr>C_OF_95</vt:lpstr>
      <vt:lpstr>C_OF_96</vt:lpstr>
      <vt:lpstr>C_OF_97</vt:lpstr>
      <vt:lpstr>C_OF_98</vt:lpstr>
      <vt:lpstr>C_OF_99</vt:lpstr>
      <vt:lpstr>C_OI_00</vt:lpstr>
      <vt:lpstr>C_OI_01</vt:lpstr>
      <vt:lpstr>C_OI_02</vt:lpstr>
      <vt:lpstr>C_OI_03</vt:lpstr>
      <vt:lpstr>C_OI_04</vt:lpstr>
      <vt:lpstr>C_OI_05</vt:lpstr>
      <vt:lpstr>C_OI_06</vt:lpstr>
      <vt:lpstr>C_OI_07</vt:lpstr>
      <vt:lpstr>C_OI_08</vt:lpstr>
      <vt:lpstr>C_OI_09</vt:lpstr>
      <vt:lpstr>C_OI_10</vt:lpstr>
      <vt:lpstr>C_OI_11</vt:lpstr>
      <vt:lpstr>C_OI_12</vt:lpstr>
      <vt:lpstr>C_OI_13</vt:lpstr>
      <vt:lpstr>C_OI_14</vt:lpstr>
      <vt:lpstr>C_OI_15</vt:lpstr>
      <vt:lpstr>C_OI_16</vt:lpstr>
      <vt:lpstr>C_OI_17</vt:lpstr>
      <vt:lpstr>C_OI_18</vt:lpstr>
      <vt:lpstr>C_OI_19</vt:lpstr>
      <vt:lpstr>C_OI_20</vt:lpstr>
      <vt:lpstr>C_OI_95</vt:lpstr>
      <vt:lpstr>C_OI_96</vt:lpstr>
      <vt:lpstr>C_OI_97</vt:lpstr>
      <vt:lpstr>C_OI_98</vt:lpstr>
      <vt:lpstr>C_OI_99</vt:lpstr>
      <vt:lpstr>C_ONFI_00</vt:lpstr>
      <vt:lpstr>C_ONFI_01</vt:lpstr>
      <vt:lpstr>C_ONFI_02</vt:lpstr>
      <vt:lpstr>C_ONFI_03</vt:lpstr>
      <vt:lpstr>C_ONFI_04</vt:lpstr>
      <vt:lpstr>C_ONFI_05</vt:lpstr>
      <vt:lpstr>C_ONFI_06</vt:lpstr>
      <vt:lpstr>C_ONFI_07</vt:lpstr>
      <vt:lpstr>C_ONFI_08</vt:lpstr>
      <vt:lpstr>C_ONFI_09</vt:lpstr>
      <vt:lpstr>C_ONFI_10</vt:lpstr>
      <vt:lpstr>C_ONFI_11</vt:lpstr>
      <vt:lpstr>C_ONFI_12</vt:lpstr>
      <vt:lpstr>C_ONFI_13</vt:lpstr>
      <vt:lpstr>C_ONFI_14</vt:lpstr>
      <vt:lpstr>C_ONFI_15</vt:lpstr>
      <vt:lpstr>C_ONFI_16</vt:lpstr>
      <vt:lpstr>C_ONFI_17</vt:lpstr>
      <vt:lpstr>C_ONFI_18</vt:lpstr>
      <vt:lpstr>C_ONFI_19</vt:lpstr>
      <vt:lpstr>C_ONFI_20</vt:lpstr>
      <vt:lpstr>C_ONFI_95</vt:lpstr>
      <vt:lpstr>C_ONFI_96</vt:lpstr>
      <vt:lpstr>C_ONFI_97</vt:lpstr>
      <vt:lpstr>C_ONFI_98</vt:lpstr>
      <vt:lpstr>C_ONFI_99</vt:lpstr>
      <vt:lpstr>C_OtherDivP_00</vt:lpstr>
      <vt:lpstr>C_OtherDivP_01</vt:lpstr>
      <vt:lpstr>C_OtherDivP_02</vt:lpstr>
      <vt:lpstr>C_OtherDivP_03</vt:lpstr>
      <vt:lpstr>C_OtherDivP_04</vt:lpstr>
      <vt:lpstr>C_OtherDivP_05</vt:lpstr>
      <vt:lpstr>C_OtherDivP_06</vt:lpstr>
      <vt:lpstr>C_OtherDivP_07</vt:lpstr>
      <vt:lpstr>C_OtherDivP_08</vt:lpstr>
      <vt:lpstr>C_OtherDivP_09</vt:lpstr>
      <vt:lpstr>C_OtherDivP_10</vt:lpstr>
      <vt:lpstr>C_OtherDivP_11</vt:lpstr>
      <vt:lpstr>C_OtherDivP_12</vt:lpstr>
      <vt:lpstr>C_OtherDivP_13</vt:lpstr>
      <vt:lpstr>C_OtherDivP_14</vt:lpstr>
      <vt:lpstr>C_OtherDivP_15</vt:lpstr>
      <vt:lpstr>C_OtherDivP_16</vt:lpstr>
      <vt:lpstr>C_OtherDivP_17</vt:lpstr>
      <vt:lpstr>C_OtherDivP_18</vt:lpstr>
      <vt:lpstr>C_OtherDivP_19</vt:lpstr>
      <vt:lpstr>C_OtherDivP_20</vt:lpstr>
      <vt:lpstr>C_OtherDivP_H1_00</vt:lpstr>
      <vt:lpstr>C_OtherDivP_H1_01</vt:lpstr>
      <vt:lpstr>C_OtherDivP_H1_02</vt:lpstr>
      <vt:lpstr>C_OtherDivP_H1_03</vt:lpstr>
      <vt:lpstr>C_OtherDivP_H1_04</vt:lpstr>
      <vt:lpstr>C_OtherDivP_H1_05</vt:lpstr>
      <vt:lpstr>C_OtherDivP_H1_06</vt:lpstr>
      <vt:lpstr>C_OtherDivP_H1_07</vt:lpstr>
      <vt:lpstr>C_OtherDivP_H1_08</vt:lpstr>
      <vt:lpstr>C_OtherDivP_H1_09</vt:lpstr>
      <vt:lpstr>C_OtherDivP_H1_10</vt:lpstr>
      <vt:lpstr>C_OtherDivP_H1_11</vt:lpstr>
      <vt:lpstr>C_OtherDivP_H1_12</vt:lpstr>
      <vt:lpstr>C_OtherDivP_H1_13</vt:lpstr>
      <vt:lpstr>C_OtherDivP_H1_14</vt:lpstr>
      <vt:lpstr>C_OtherDivP_H1_15</vt:lpstr>
      <vt:lpstr>C_OtherDivP_H1_16</vt:lpstr>
      <vt:lpstr>C_OtherDivP_H1_17</vt:lpstr>
      <vt:lpstr>C_OtherDivP_H1_18</vt:lpstr>
      <vt:lpstr>C_OtherDivP_H1_19</vt:lpstr>
      <vt:lpstr>C_OtherDivP_H1_20</vt:lpstr>
      <vt:lpstr>C_OtherDivP_H2_00</vt:lpstr>
      <vt:lpstr>C_OtherDivP_H2_01</vt:lpstr>
      <vt:lpstr>C_OtherDivP_H2_02</vt:lpstr>
      <vt:lpstr>C_OtherDivP_H2_03</vt:lpstr>
      <vt:lpstr>C_OtherDivP_H2_04</vt:lpstr>
      <vt:lpstr>C_OtherDivP_H2_05</vt:lpstr>
      <vt:lpstr>C_OtherDivP_H2_06</vt:lpstr>
      <vt:lpstr>C_OtherDivP_H2_07</vt:lpstr>
      <vt:lpstr>C_OtherDivP_H2_08</vt:lpstr>
      <vt:lpstr>C_OtherDivP_H2_09</vt:lpstr>
      <vt:lpstr>C_OtherDivP_H2_10</vt:lpstr>
      <vt:lpstr>C_OtherDivP_H2_11</vt:lpstr>
      <vt:lpstr>C_OtherDivP_H2_12</vt:lpstr>
      <vt:lpstr>C_OtherDivP_H2_13</vt:lpstr>
      <vt:lpstr>C_OtherDivP_H2_14</vt:lpstr>
      <vt:lpstr>C_OtherDivP_H2_15</vt:lpstr>
      <vt:lpstr>C_OtherDivP_H2_16</vt:lpstr>
      <vt:lpstr>C_OtherDivP_H2_17</vt:lpstr>
      <vt:lpstr>C_OtherDivP_H2_18</vt:lpstr>
      <vt:lpstr>C_OtherDivP_H2_19</vt:lpstr>
      <vt:lpstr>C_OtherDivP_H2_20</vt:lpstr>
      <vt:lpstr>C_OtherF_00</vt:lpstr>
      <vt:lpstr>C_OtherF_01</vt:lpstr>
      <vt:lpstr>C_OtherF_02</vt:lpstr>
      <vt:lpstr>C_OtherF_03</vt:lpstr>
      <vt:lpstr>C_OtherF_04</vt:lpstr>
      <vt:lpstr>C_OtherF_05</vt:lpstr>
      <vt:lpstr>C_OtherF_06</vt:lpstr>
      <vt:lpstr>C_OtherF_07</vt:lpstr>
      <vt:lpstr>C_OtherF_08</vt:lpstr>
      <vt:lpstr>C_OtherF_09</vt:lpstr>
      <vt:lpstr>C_OtherF_10</vt:lpstr>
      <vt:lpstr>C_OtherF_11</vt:lpstr>
      <vt:lpstr>C_OtherF_12</vt:lpstr>
      <vt:lpstr>C_OtherF_13</vt:lpstr>
      <vt:lpstr>C_OtherF_14</vt:lpstr>
      <vt:lpstr>C_OtherF_15</vt:lpstr>
      <vt:lpstr>C_OtherF_16</vt:lpstr>
      <vt:lpstr>C_OtherF_17</vt:lpstr>
      <vt:lpstr>C_OtherF_18</vt:lpstr>
      <vt:lpstr>C_OtherF_19</vt:lpstr>
      <vt:lpstr>C_OtherF_20</vt:lpstr>
      <vt:lpstr>C_OtherF_H1_00</vt:lpstr>
      <vt:lpstr>C_OtherF_H1_01</vt:lpstr>
      <vt:lpstr>C_OtherF_H1_02</vt:lpstr>
      <vt:lpstr>C_OtherF_H1_03</vt:lpstr>
      <vt:lpstr>C_OtherF_H1_04</vt:lpstr>
      <vt:lpstr>C_OtherF_H1_05</vt:lpstr>
      <vt:lpstr>C_OtherF_H1_06</vt:lpstr>
      <vt:lpstr>C_OtherF_H1_07</vt:lpstr>
      <vt:lpstr>C_OtherF_H1_08</vt:lpstr>
      <vt:lpstr>C_OtherF_H1_09</vt:lpstr>
      <vt:lpstr>C_OtherF_H1_10</vt:lpstr>
      <vt:lpstr>C_OtherF_H1_11</vt:lpstr>
      <vt:lpstr>C_OtherF_H1_12</vt:lpstr>
      <vt:lpstr>C_OtherF_H1_13</vt:lpstr>
      <vt:lpstr>C_OtherF_H1_14</vt:lpstr>
      <vt:lpstr>C_OtherF_H1_15</vt:lpstr>
      <vt:lpstr>C_OtherF_H1_16</vt:lpstr>
      <vt:lpstr>C_OtherF_H1_17</vt:lpstr>
      <vt:lpstr>C_OtherF_H1_18</vt:lpstr>
      <vt:lpstr>C_OtherF_H1_19</vt:lpstr>
      <vt:lpstr>C_OtherF_H1_20</vt:lpstr>
      <vt:lpstr>C_OtherF_H2_00</vt:lpstr>
      <vt:lpstr>C_OtherF_H2_01</vt:lpstr>
      <vt:lpstr>C_OtherF_H2_02</vt:lpstr>
      <vt:lpstr>C_OtherF_H2_03</vt:lpstr>
      <vt:lpstr>C_OtherF_H2_04</vt:lpstr>
      <vt:lpstr>C_OtherF_H2_05</vt:lpstr>
      <vt:lpstr>C_OtherF_H2_06</vt:lpstr>
      <vt:lpstr>C_OtherF_H2_07</vt:lpstr>
      <vt:lpstr>C_OtherF_H2_08</vt:lpstr>
      <vt:lpstr>C_OtherF_H2_09</vt:lpstr>
      <vt:lpstr>C_OtherF_H2_10</vt:lpstr>
      <vt:lpstr>C_OtherF_H2_11</vt:lpstr>
      <vt:lpstr>C_OtherF_H2_12</vt:lpstr>
      <vt:lpstr>C_OtherF_H2_13</vt:lpstr>
      <vt:lpstr>C_OtherF_H2_14</vt:lpstr>
      <vt:lpstr>C_OtherF_H2_15</vt:lpstr>
      <vt:lpstr>C_OtherF_H2_16</vt:lpstr>
      <vt:lpstr>C_OtherF_H2_17</vt:lpstr>
      <vt:lpstr>C_OtherF_H2_18</vt:lpstr>
      <vt:lpstr>C_OtherF_H2_19</vt:lpstr>
      <vt:lpstr>C_OtherF_H2_20</vt:lpstr>
      <vt:lpstr>C_OtherIn_00</vt:lpstr>
      <vt:lpstr>C_OtherIn_01</vt:lpstr>
      <vt:lpstr>C_OtherIn_02</vt:lpstr>
      <vt:lpstr>C_OtherIn_03</vt:lpstr>
      <vt:lpstr>C_OtherIn_04</vt:lpstr>
      <vt:lpstr>C_OtherIn_05</vt:lpstr>
      <vt:lpstr>C_OtherIn_06</vt:lpstr>
      <vt:lpstr>C_OtherIn_07</vt:lpstr>
      <vt:lpstr>C_OtherIn_08</vt:lpstr>
      <vt:lpstr>C_OtherIn_09</vt:lpstr>
      <vt:lpstr>C_OtherIn_10</vt:lpstr>
      <vt:lpstr>C_OtherIn_11</vt:lpstr>
      <vt:lpstr>C_OtherIn_12</vt:lpstr>
      <vt:lpstr>C_OtherIn_13</vt:lpstr>
      <vt:lpstr>C_OtherIn_14</vt:lpstr>
      <vt:lpstr>C_OtherIn_15</vt:lpstr>
      <vt:lpstr>C_OtherIn_16</vt:lpstr>
      <vt:lpstr>C_OtherIn_17</vt:lpstr>
      <vt:lpstr>C_OtherIn_18</vt:lpstr>
      <vt:lpstr>C_OtherIn_19</vt:lpstr>
      <vt:lpstr>C_OtherIn_20</vt:lpstr>
      <vt:lpstr>C_OtherIn_H1_00</vt:lpstr>
      <vt:lpstr>C_OtherIn_H1_01</vt:lpstr>
      <vt:lpstr>C_OtherIn_H1_02</vt:lpstr>
      <vt:lpstr>C_OtherIn_H1_03</vt:lpstr>
      <vt:lpstr>C_OtherIn_H1_04</vt:lpstr>
      <vt:lpstr>C_OtherIn_H1_05</vt:lpstr>
      <vt:lpstr>C_OtherIn_H1_06</vt:lpstr>
      <vt:lpstr>C_OtherIn_H1_07</vt:lpstr>
      <vt:lpstr>C_OtherIn_H1_08</vt:lpstr>
      <vt:lpstr>C_OtherIn_H1_09</vt:lpstr>
      <vt:lpstr>C_OtherIn_H1_10</vt:lpstr>
      <vt:lpstr>C_OtherIn_H1_11</vt:lpstr>
      <vt:lpstr>C_OtherIn_H1_12</vt:lpstr>
      <vt:lpstr>C_OtherIn_H1_13</vt:lpstr>
      <vt:lpstr>C_OtherIn_H1_14</vt:lpstr>
      <vt:lpstr>C_OtherIn_H1_15</vt:lpstr>
      <vt:lpstr>C_OtherIn_H1_16</vt:lpstr>
      <vt:lpstr>C_OtherIn_H1_17</vt:lpstr>
      <vt:lpstr>C_OtherIn_H1_18</vt:lpstr>
      <vt:lpstr>C_OtherIn_H1_19</vt:lpstr>
      <vt:lpstr>C_OtherIn_H1_20</vt:lpstr>
      <vt:lpstr>C_OtherIn_H2_00</vt:lpstr>
      <vt:lpstr>C_OtherIn_H2_01</vt:lpstr>
      <vt:lpstr>C_OtherIn_H2_02</vt:lpstr>
      <vt:lpstr>C_OtherIn_H2_03</vt:lpstr>
      <vt:lpstr>C_OtherIn_H2_04</vt:lpstr>
      <vt:lpstr>C_OtherIn_H2_05</vt:lpstr>
      <vt:lpstr>C_OtherIn_H2_06</vt:lpstr>
      <vt:lpstr>C_OtherIn_H2_07</vt:lpstr>
      <vt:lpstr>C_OtherIn_H2_08</vt:lpstr>
      <vt:lpstr>C_OtherIn_H2_09</vt:lpstr>
      <vt:lpstr>C_OtherIn_H2_10</vt:lpstr>
      <vt:lpstr>C_OtherIn_H2_11</vt:lpstr>
      <vt:lpstr>C_OtherIn_H2_12</vt:lpstr>
      <vt:lpstr>C_OtherIn_H2_13</vt:lpstr>
      <vt:lpstr>C_OtherIn_H2_14</vt:lpstr>
      <vt:lpstr>C_OtherIn_H2_15</vt:lpstr>
      <vt:lpstr>C_OtherIn_H2_16</vt:lpstr>
      <vt:lpstr>C_OtherIn_H2_17</vt:lpstr>
      <vt:lpstr>C_OtherIn_H2_18</vt:lpstr>
      <vt:lpstr>C_OtherIn_H2_19</vt:lpstr>
      <vt:lpstr>C_OtherIn_H2_20</vt:lpstr>
      <vt:lpstr>C_OtherOp_00</vt:lpstr>
      <vt:lpstr>C_OtherOp_01</vt:lpstr>
      <vt:lpstr>C_OtherOp_02</vt:lpstr>
      <vt:lpstr>C_OtherOp_03</vt:lpstr>
      <vt:lpstr>C_OtherOp_04</vt:lpstr>
      <vt:lpstr>C_OtherOp_05</vt:lpstr>
      <vt:lpstr>C_OtherOp_06</vt:lpstr>
      <vt:lpstr>C_OtherOp_07</vt:lpstr>
      <vt:lpstr>C_OtherOp_08</vt:lpstr>
      <vt:lpstr>C_OtherOp_09</vt:lpstr>
      <vt:lpstr>C_OtherOp_10</vt:lpstr>
      <vt:lpstr>C_OtherOp_11</vt:lpstr>
      <vt:lpstr>C_OtherOp_12</vt:lpstr>
      <vt:lpstr>C_OtherOp_13</vt:lpstr>
      <vt:lpstr>C_OtherOp_14</vt:lpstr>
      <vt:lpstr>C_OtherOp_15</vt:lpstr>
      <vt:lpstr>C_OtherOp_16</vt:lpstr>
      <vt:lpstr>C_OtherOp_17</vt:lpstr>
      <vt:lpstr>C_OtherOp_18</vt:lpstr>
      <vt:lpstr>C_OtherOp_19</vt:lpstr>
      <vt:lpstr>C_OtherOp_20</vt:lpstr>
      <vt:lpstr>C_OtherOp_H1_00</vt:lpstr>
      <vt:lpstr>C_OtherOp_H1_01</vt:lpstr>
      <vt:lpstr>C_OtherOp_H1_02</vt:lpstr>
      <vt:lpstr>C_OtherOp_H1_03</vt:lpstr>
      <vt:lpstr>C_OtherOp_H1_04</vt:lpstr>
      <vt:lpstr>C_OtherOp_H1_05</vt:lpstr>
      <vt:lpstr>C_OtherOp_H1_06</vt:lpstr>
      <vt:lpstr>C_OtherOp_H1_07</vt:lpstr>
      <vt:lpstr>C_OtherOp_H1_08</vt:lpstr>
      <vt:lpstr>C_OtherOp_H1_09</vt:lpstr>
      <vt:lpstr>C_OtherOp_H1_10</vt:lpstr>
      <vt:lpstr>C_OtherOp_H1_11</vt:lpstr>
      <vt:lpstr>C_OtherOp_H1_12</vt:lpstr>
      <vt:lpstr>C_OtherOp_H1_13</vt:lpstr>
      <vt:lpstr>C_OtherOp_H1_14</vt:lpstr>
      <vt:lpstr>C_OtherOp_H1_15</vt:lpstr>
      <vt:lpstr>C_OtherOp_H1_16</vt:lpstr>
      <vt:lpstr>C_OtherOp_H1_17</vt:lpstr>
      <vt:lpstr>C_OtherOp_H1_18</vt:lpstr>
      <vt:lpstr>C_OtherOp_H1_19</vt:lpstr>
      <vt:lpstr>C_OtherOp_H1_20</vt:lpstr>
      <vt:lpstr>C_OtherOp_H2_00</vt:lpstr>
      <vt:lpstr>C_OtherOp_H2_01</vt:lpstr>
      <vt:lpstr>C_OtherOp_H2_02</vt:lpstr>
      <vt:lpstr>C_OtherOp_H2_03</vt:lpstr>
      <vt:lpstr>C_OtherOp_H2_04</vt:lpstr>
      <vt:lpstr>C_OtherOp_H2_05</vt:lpstr>
      <vt:lpstr>C_OtherOp_H2_06</vt:lpstr>
      <vt:lpstr>C_OtherOp_H2_07</vt:lpstr>
      <vt:lpstr>C_OtherOp_H2_08</vt:lpstr>
      <vt:lpstr>C_OtherOp_H2_09</vt:lpstr>
      <vt:lpstr>C_OtherOp_H2_10</vt:lpstr>
      <vt:lpstr>C_OtherOp_H2_11</vt:lpstr>
      <vt:lpstr>C_OtherOp_H2_12</vt:lpstr>
      <vt:lpstr>C_OtherOp_H2_13</vt:lpstr>
      <vt:lpstr>C_OtherOp_H2_14</vt:lpstr>
      <vt:lpstr>C_OtherOp_H2_15</vt:lpstr>
      <vt:lpstr>C_OtherOp_H2_16</vt:lpstr>
      <vt:lpstr>C_OtherOp_H2_17</vt:lpstr>
      <vt:lpstr>C_OtherOp_H2_18</vt:lpstr>
      <vt:lpstr>C_OtherOp_H2_19</vt:lpstr>
      <vt:lpstr>C_OtherOp_H2_20</vt:lpstr>
      <vt:lpstr>C_PrefDivP_00</vt:lpstr>
      <vt:lpstr>C_PrefDivP_01</vt:lpstr>
      <vt:lpstr>C_PrefDivP_02</vt:lpstr>
      <vt:lpstr>C_PrefDivP_03</vt:lpstr>
      <vt:lpstr>C_PrefDivP_04</vt:lpstr>
      <vt:lpstr>C_PrefDivP_05</vt:lpstr>
      <vt:lpstr>C_PrefDivP_06</vt:lpstr>
      <vt:lpstr>C_PrefDivP_07</vt:lpstr>
      <vt:lpstr>C_PrefDivP_08</vt:lpstr>
      <vt:lpstr>C_PrefDivP_09</vt:lpstr>
      <vt:lpstr>C_PrefDivP_10</vt:lpstr>
      <vt:lpstr>C_PrefDivP_11</vt:lpstr>
      <vt:lpstr>C_PrefDivP_12</vt:lpstr>
      <vt:lpstr>C_PrefDivP_13</vt:lpstr>
      <vt:lpstr>C_PrefDivP_14</vt:lpstr>
      <vt:lpstr>C_PrefDivP_15</vt:lpstr>
      <vt:lpstr>C_PrefDivP_16</vt:lpstr>
      <vt:lpstr>C_PrefDivP_17</vt:lpstr>
      <vt:lpstr>C_PrefDivP_18</vt:lpstr>
      <vt:lpstr>C_PrefDivP_19</vt:lpstr>
      <vt:lpstr>C_PrefDivP_20</vt:lpstr>
      <vt:lpstr>C_PrefDivP_H1_00</vt:lpstr>
      <vt:lpstr>C_PrefDivP_H1_01</vt:lpstr>
      <vt:lpstr>C_PrefDivP_H1_02</vt:lpstr>
      <vt:lpstr>C_PrefDivP_H1_03</vt:lpstr>
      <vt:lpstr>C_PrefDivP_H1_04</vt:lpstr>
      <vt:lpstr>C_PrefDivP_H1_05</vt:lpstr>
      <vt:lpstr>C_PrefDivP_H1_06</vt:lpstr>
      <vt:lpstr>C_PrefDivP_H1_07</vt:lpstr>
      <vt:lpstr>C_PrefDivP_H1_08</vt:lpstr>
      <vt:lpstr>C_PrefDivP_H1_09</vt:lpstr>
      <vt:lpstr>C_PrefDivP_H1_10</vt:lpstr>
      <vt:lpstr>C_PrefDivP_H1_11</vt:lpstr>
      <vt:lpstr>C_PrefDivP_H1_12</vt:lpstr>
      <vt:lpstr>C_PrefDivP_H1_13</vt:lpstr>
      <vt:lpstr>C_PrefDivP_H1_14</vt:lpstr>
      <vt:lpstr>C_PrefDivP_H1_15</vt:lpstr>
      <vt:lpstr>C_PrefDivP_H1_16</vt:lpstr>
      <vt:lpstr>C_PrefDivP_H1_17</vt:lpstr>
      <vt:lpstr>C_PrefDivP_H1_18</vt:lpstr>
      <vt:lpstr>C_PrefDivP_H1_19</vt:lpstr>
      <vt:lpstr>C_PrefDivP_H1_20</vt:lpstr>
      <vt:lpstr>C_PrefDivP_H2_00</vt:lpstr>
      <vt:lpstr>C_PrefDivP_H2_01</vt:lpstr>
      <vt:lpstr>C_PrefDivP_H2_02</vt:lpstr>
      <vt:lpstr>C_PrefDivP_H2_03</vt:lpstr>
      <vt:lpstr>C_PrefDivP_H2_04</vt:lpstr>
      <vt:lpstr>C_PrefDivP_H2_05</vt:lpstr>
      <vt:lpstr>C_PrefDivP_H2_06</vt:lpstr>
      <vt:lpstr>C_PrefDivP_H2_07</vt:lpstr>
      <vt:lpstr>C_PrefDivP_H2_08</vt:lpstr>
      <vt:lpstr>C_PrefDivP_H2_09</vt:lpstr>
      <vt:lpstr>C_PrefDivP_H2_10</vt:lpstr>
      <vt:lpstr>C_PrefDivP_H2_11</vt:lpstr>
      <vt:lpstr>C_PrefDivP_H2_12</vt:lpstr>
      <vt:lpstr>C_PrefDivP_H2_13</vt:lpstr>
      <vt:lpstr>C_PrefDivP_H2_14</vt:lpstr>
      <vt:lpstr>C_PrefDivP_H2_15</vt:lpstr>
      <vt:lpstr>C_PrefDivP_H2_16</vt:lpstr>
      <vt:lpstr>C_PrefDivP_H2_17</vt:lpstr>
      <vt:lpstr>C_PrefDivP_H2_18</vt:lpstr>
      <vt:lpstr>C_PrefDivP_H2_19</vt:lpstr>
      <vt:lpstr>C_PrefDivP_H2_20</vt:lpstr>
      <vt:lpstr>C_ProcBorr_00</vt:lpstr>
      <vt:lpstr>C_ProcBorr_01</vt:lpstr>
      <vt:lpstr>C_ProcBorr_02</vt:lpstr>
      <vt:lpstr>C_ProcBorr_03</vt:lpstr>
      <vt:lpstr>C_ProcBorr_04</vt:lpstr>
      <vt:lpstr>C_ProcBorr_05</vt:lpstr>
      <vt:lpstr>C_ProcBorr_06</vt:lpstr>
      <vt:lpstr>C_ProcBorr_07</vt:lpstr>
      <vt:lpstr>C_ProcBorr_08</vt:lpstr>
      <vt:lpstr>C_ProcBorr_09</vt:lpstr>
      <vt:lpstr>C_ProcBorr_10</vt:lpstr>
      <vt:lpstr>C_ProcBorr_11</vt:lpstr>
      <vt:lpstr>C_ProcBorr_12</vt:lpstr>
      <vt:lpstr>C_ProcBorr_13</vt:lpstr>
      <vt:lpstr>C_ProcBorr_14</vt:lpstr>
      <vt:lpstr>C_ProcBorr_15</vt:lpstr>
      <vt:lpstr>C_ProcBorr_16</vt:lpstr>
      <vt:lpstr>C_ProcBorr_17</vt:lpstr>
      <vt:lpstr>C_ProcBorr_18</vt:lpstr>
      <vt:lpstr>C_ProcBorr_19</vt:lpstr>
      <vt:lpstr>C_ProcBorr_20</vt:lpstr>
      <vt:lpstr>C_ProcBorr_H1_00</vt:lpstr>
      <vt:lpstr>C_ProcBorr_H1_01</vt:lpstr>
      <vt:lpstr>C_ProcBorr_H1_02</vt:lpstr>
      <vt:lpstr>C_ProcBorr_H1_03</vt:lpstr>
      <vt:lpstr>C_ProcBorr_H1_04</vt:lpstr>
      <vt:lpstr>C_ProcBorr_H1_05</vt:lpstr>
      <vt:lpstr>C_ProcBorr_H1_06</vt:lpstr>
      <vt:lpstr>C_ProcBorr_H1_07</vt:lpstr>
      <vt:lpstr>C_ProcBorr_H1_08</vt:lpstr>
      <vt:lpstr>C_ProcBorr_H1_09</vt:lpstr>
      <vt:lpstr>C_ProcBorr_H1_10</vt:lpstr>
      <vt:lpstr>C_ProcBorr_H1_11</vt:lpstr>
      <vt:lpstr>C_ProcBorr_H1_12</vt:lpstr>
      <vt:lpstr>C_ProcBorr_H1_13</vt:lpstr>
      <vt:lpstr>C_ProcBorr_H1_14</vt:lpstr>
      <vt:lpstr>C_ProcBorr_H1_15</vt:lpstr>
      <vt:lpstr>C_ProcBorr_H1_16</vt:lpstr>
      <vt:lpstr>C_ProcBorr_H1_17</vt:lpstr>
      <vt:lpstr>C_ProcBorr_H1_18</vt:lpstr>
      <vt:lpstr>C_ProcBorr_H1_19</vt:lpstr>
      <vt:lpstr>C_ProcBorr_H1_20</vt:lpstr>
      <vt:lpstr>C_ProcBorr_H2_00</vt:lpstr>
      <vt:lpstr>C_ProcBorr_H2_01</vt:lpstr>
      <vt:lpstr>C_ProcBorr_H2_02</vt:lpstr>
      <vt:lpstr>C_ProcBorr_H2_03</vt:lpstr>
      <vt:lpstr>C_ProcBorr_H2_04</vt:lpstr>
      <vt:lpstr>C_ProcBorr_H2_05</vt:lpstr>
      <vt:lpstr>C_ProcBorr_H2_06</vt:lpstr>
      <vt:lpstr>C_ProcBorr_H2_07</vt:lpstr>
      <vt:lpstr>C_ProcBorr_H2_08</vt:lpstr>
      <vt:lpstr>C_ProcBorr_H2_09</vt:lpstr>
      <vt:lpstr>C_ProcBorr_H2_10</vt:lpstr>
      <vt:lpstr>C_ProcBorr_H2_11</vt:lpstr>
      <vt:lpstr>C_ProcBorr_H2_12</vt:lpstr>
      <vt:lpstr>C_ProcBorr_H2_13</vt:lpstr>
      <vt:lpstr>C_ProcBorr_H2_14</vt:lpstr>
      <vt:lpstr>C_ProcBorr_H2_15</vt:lpstr>
      <vt:lpstr>C_ProcBorr_H2_16</vt:lpstr>
      <vt:lpstr>C_ProcBorr_H2_17</vt:lpstr>
      <vt:lpstr>C_ProcBorr_H2_18</vt:lpstr>
      <vt:lpstr>C_ProcBorr_H2_19</vt:lpstr>
      <vt:lpstr>C_ProcBorr_H2_20</vt:lpstr>
      <vt:lpstr>C_Prov_00</vt:lpstr>
      <vt:lpstr>C_Prov_01</vt:lpstr>
      <vt:lpstr>C_Prov_02</vt:lpstr>
      <vt:lpstr>C_Prov_03</vt:lpstr>
      <vt:lpstr>C_Prov_04</vt:lpstr>
      <vt:lpstr>C_Prov_05</vt:lpstr>
      <vt:lpstr>C_Prov_06</vt:lpstr>
      <vt:lpstr>C_Prov_07</vt:lpstr>
      <vt:lpstr>C_Prov_08</vt:lpstr>
      <vt:lpstr>C_Prov_09</vt:lpstr>
      <vt:lpstr>C_Prov_10</vt:lpstr>
      <vt:lpstr>C_Prov_11</vt:lpstr>
      <vt:lpstr>C_Prov_12</vt:lpstr>
      <vt:lpstr>C_Prov_13</vt:lpstr>
      <vt:lpstr>C_Prov_14</vt:lpstr>
      <vt:lpstr>C_Prov_15</vt:lpstr>
      <vt:lpstr>C_Prov_16</vt:lpstr>
      <vt:lpstr>C_Prov_17</vt:lpstr>
      <vt:lpstr>C_Prov_18</vt:lpstr>
      <vt:lpstr>C_Prov_19</vt:lpstr>
      <vt:lpstr>C_Prov_20</vt:lpstr>
      <vt:lpstr>C_Prov_H1_00</vt:lpstr>
      <vt:lpstr>C_Prov_H1_01</vt:lpstr>
      <vt:lpstr>C_Prov_H1_02</vt:lpstr>
      <vt:lpstr>C_Prov_H1_03</vt:lpstr>
      <vt:lpstr>C_Prov_H1_04</vt:lpstr>
      <vt:lpstr>C_Prov_H1_05</vt:lpstr>
      <vt:lpstr>C_Prov_H1_06</vt:lpstr>
      <vt:lpstr>C_Prov_H1_07</vt:lpstr>
      <vt:lpstr>C_Prov_H1_08</vt:lpstr>
      <vt:lpstr>C_Prov_H1_09</vt:lpstr>
      <vt:lpstr>C_Prov_H1_10</vt:lpstr>
      <vt:lpstr>C_Prov_H1_11</vt:lpstr>
      <vt:lpstr>C_Prov_H1_12</vt:lpstr>
      <vt:lpstr>C_Prov_H1_13</vt:lpstr>
      <vt:lpstr>C_Prov_H1_14</vt:lpstr>
      <vt:lpstr>C_Prov_H1_15</vt:lpstr>
      <vt:lpstr>C_Prov_H1_16</vt:lpstr>
      <vt:lpstr>C_Prov_H1_17</vt:lpstr>
      <vt:lpstr>C_Prov_H1_18</vt:lpstr>
      <vt:lpstr>C_Prov_H1_19</vt:lpstr>
      <vt:lpstr>C_Prov_H1_20</vt:lpstr>
      <vt:lpstr>C_Prov_H2_00</vt:lpstr>
      <vt:lpstr>C_Prov_H2_01</vt:lpstr>
      <vt:lpstr>C_Prov_H2_02</vt:lpstr>
      <vt:lpstr>C_Prov_H2_03</vt:lpstr>
      <vt:lpstr>C_Prov_H2_04</vt:lpstr>
      <vt:lpstr>C_Prov_H2_05</vt:lpstr>
      <vt:lpstr>C_Prov_H2_06</vt:lpstr>
      <vt:lpstr>C_Prov_H2_07</vt:lpstr>
      <vt:lpstr>C_Prov_H2_08</vt:lpstr>
      <vt:lpstr>C_Prov_H2_09</vt:lpstr>
      <vt:lpstr>C_Prov_H2_10</vt:lpstr>
      <vt:lpstr>C_Prov_H2_11</vt:lpstr>
      <vt:lpstr>C_Prov_H2_12</vt:lpstr>
      <vt:lpstr>C_Prov_H2_13</vt:lpstr>
      <vt:lpstr>C_Prov_H2_14</vt:lpstr>
      <vt:lpstr>C_Prov_H2_15</vt:lpstr>
      <vt:lpstr>C_Prov_H2_16</vt:lpstr>
      <vt:lpstr>C_Prov_H2_17</vt:lpstr>
      <vt:lpstr>C_Prov_H2_18</vt:lpstr>
      <vt:lpstr>C_Prov_H2_19</vt:lpstr>
      <vt:lpstr>C_Prov_H2_20</vt:lpstr>
      <vt:lpstr>C_PurEI_00</vt:lpstr>
      <vt:lpstr>C_PurEI_01</vt:lpstr>
      <vt:lpstr>C_PurEI_02</vt:lpstr>
      <vt:lpstr>C_PurEI_03</vt:lpstr>
      <vt:lpstr>C_PurEI_04</vt:lpstr>
      <vt:lpstr>C_PurEI_05</vt:lpstr>
      <vt:lpstr>C_PurEI_06</vt:lpstr>
      <vt:lpstr>C_PurEI_07</vt:lpstr>
      <vt:lpstr>C_PurEI_08</vt:lpstr>
      <vt:lpstr>C_PurEI_09</vt:lpstr>
      <vt:lpstr>C_PurEI_10</vt:lpstr>
      <vt:lpstr>C_PurEI_11</vt:lpstr>
      <vt:lpstr>C_PurEI_12</vt:lpstr>
      <vt:lpstr>C_PurEI_13</vt:lpstr>
      <vt:lpstr>C_PurEI_14</vt:lpstr>
      <vt:lpstr>C_PurEI_15</vt:lpstr>
      <vt:lpstr>C_PurEI_16</vt:lpstr>
      <vt:lpstr>C_PurEI_17</vt:lpstr>
      <vt:lpstr>C_PurEI_18</vt:lpstr>
      <vt:lpstr>C_PurEI_19</vt:lpstr>
      <vt:lpstr>C_PurEI_20</vt:lpstr>
      <vt:lpstr>C_PurEI_H1_00</vt:lpstr>
      <vt:lpstr>C_PurEI_H1_01</vt:lpstr>
      <vt:lpstr>C_PurEI_H1_02</vt:lpstr>
      <vt:lpstr>C_PurEI_H1_03</vt:lpstr>
      <vt:lpstr>C_PurEI_H1_04</vt:lpstr>
      <vt:lpstr>C_PurEI_H1_05</vt:lpstr>
      <vt:lpstr>C_PurEI_H1_06</vt:lpstr>
      <vt:lpstr>C_PurEI_H1_07</vt:lpstr>
      <vt:lpstr>C_PurEI_H1_08</vt:lpstr>
      <vt:lpstr>C_PurEI_H1_09</vt:lpstr>
      <vt:lpstr>C_PurEI_H1_10</vt:lpstr>
      <vt:lpstr>C_PurEI_H1_11</vt:lpstr>
      <vt:lpstr>C_PurEI_H1_12</vt:lpstr>
      <vt:lpstr>C_PurEI_H1_13</vt:lpstr>
      <vt:lpstr>C_PurEI_H1_14</vt:lpstr>
      <vt:lpstr>C_PurEI_H1_15</vt:lpstr>
      <vt:lpstr>C_PurEI_H1_16</vt:lpstr>
      <vt:lpstr>C_PurEI_H1_17</vt:lpstr>
      <vt:lpstr>C_PurEI_H1_18</vt:lpstr>
      <vt:lpstr>C_PurEI_H1_19</vt:lpstr>
      <vt:lpstr>C_PurEI_H1_20</vt:lpstr>
      <vt:lpstr>C_PurEI_H2_00</vt:lpstr>
      <vt:lpstr>C_PurEI_H2_01</vt:lpstr>
      <vt:lpstr>C_PurEI_H2_02</vt:lpstr>
      <vt:lpstr>C_PurEI_H2_03</vt:lpstr>
      <vt:lpstr>C_PurEI_H2_04</vt:lpstr>
      <vt:lpstr>C_PurEI_H2_05</vt:lpstr>
      <vt:lpstr>C_PurEI_H2_06</vt:lpstr>
      <vt:lpstr>C_PurEI_H2_07</vt:lpstr>
      <vt:lpstr>C_PurEI_H2_08</vt:lpstr>
      <vt:lpstr>C_PurEI_H2_09</vt:lpstr>
      <vt:lpstr>C_PurEI_H2_10</vt:lpstr>
      <vt:lpstr>C_PurEI_H2_11</vt:lpstr>
      <vt:lpstr>C_PurEI_H2_12</vt:lpstr>
      <vt:lpstr>C_PurEI_H2_13</vt:lpstr>
      <vt:lpstr>C_PurEI_H2_14</vt:lpstr>
      <vt:lpstr>C_PurEI_H2_15</vt:lpstr>
      <vt:lpstr>C_PurEI_H2_16</vt:lpstr>
      <vt:lpstr>C_PurEI_H2_17</vt:lpstr>
      <vt:lpstr>C_PurEI_H2_18</vt:lpstr>
      <vt:lpstr>C_PurEI_H2_19</vt:lpstr>
      <vt:lpstr>C_PurEI_H2_20</vt:lpstr>
      <vt:lpstr>C_PurPPE_00</vt:lpstr>
      <vt:lpstr>C_PurPPE_01</vt:lpstr>
      <vt:lpstr>C_PurPPE_02</vt:lpstr>
      <vt:lpstr>C_PurPPE_03</vt:lpstr>
      <vt:lpstr>C_PurPPE_04</vt:lpstr>
      <vt:lpstr>C_PurPPE_05</vt:lpstr>
      <vt:lpstr>C_PurPPE_06</vt:lpstr>
      <vt:lpstr>C_PurPPE_07</vt:lpstr>
      <vt:lpstr>C_PurPPE_08</vt:lpstr>
      <vt:lpstr>C_PurPPE_09</vt:lpstr>
      <vt:lpstr>C_PurPPE_10</vt:lpstr>
      <vt:lpstr>C_PurPPE_11</vt:lpstr>
      <vt:lpstr>C_PurPPE_12</vt:lpstr>
      <vt:lpstr>C_PurPPE_13</vt:lpstr>
      <vt:lpstr>C_PurPPE_14</vt:lpstr>
      <vt:lpstr>C_PurPPE_15</vt:lpstr>
      <vt:lpstr>C_PurPPE_16</vt:lpstr>
      <vt:lpstr>C_PurPPE_17</vt:lpstr>
      <vt:lpstr>C_PurPPE_18</vt:lpstr>
      <vt:lpstr>C_PurPPE_19</vt:lpstr>
      <vt:lpstr>C_PurPPE_20</vt:lpstr>
      <vt:lpstr>C_PurPPE_H1_00</vt:lpstr>
      <vt:lpstr>C_PurPPE_H1_01</vt:lpstr>
      <vt:lpstr>C_PurPPE_H1_02</vt:lpstr>
      <vt:lpstr>C_PurPPE_H1_03</vt:lpstr>
      <vt:lpstr>C_PurPPE_H1_04</vt:lpstr>
      <vt:lpstr>C_PurPPE_H1_05</vt:lpstr>
      <vt:lpstr>C_PurPPE_H1_06</vt:lpstr>
      <vt:lpstr>C_PurPPE_H1_07</vt:lpstr>
      <vt:lpstr>C_PurPPE_H1_08</vt:lpstr>
      <vt:lpstr>C_PurPPE_H1_09</vt:lpstr>
      <vt:lpstr>C_PurPPE_H1_10</vt:lpstr>
      <vt:lpstr>C_PurPPE_H1_11</vt:lpstr>
      <vt:lpstr>C_PurPPE_H1_12</vt:lpstr>
      <vt:lpstr>C_PurPPE_H1_13</vt:lpstr>
      <vt:lpstr>C_PurPPE_H1_14</vt:lpstr>
      <vt:lpstr>C_PurPPE_H1_15</vt:lpstr>
      <vt:lpstr>C_PurPPE_H1_16</vt:lpstr>
      <vt:lpstr>C_PurPPE_H1_17</vt:lpstr>
      <vt:lpstr>C_PurPPE_H1_18</vt:lpstr>
      <vt:lpstr>C_PurPPE_H1_19</vt:lpstr>
      <vt:lpstr>C_PurPPE_H1_20</vt:lpstr>
      <vt:lpstr>C_PurPPE_H2_00</vt:lpstr>
      <vt:lpstr>C_PurPPE_H2_01</vt:lpstr>
      <vt:lpstr>C_PurPPE_H2_02</vt:lpstr>
      <vt:lpstr>C_PurPPE_H2_03</vt:lpstr>
      <vt:lpstr>C_PurPPE_H2_04</vt:lpstr>
      <vt:lpstr>C_PurPPE_H2_05</vt:lpstr>
      <vt:lpstr>C_PurPPE_H2_06</vt:lpstr>
      <vt:lpstr>C_PurPPE_H2_07</vt:lpstr>
      <vt:lpstr>C_PurPPE_H2_08</vt:lpstr>
      <vt:lpstr>C_PurPPE_H2_09</vt:lpstr>
      <vt:lpstr>C_PurPPE_H2_10</vt:lpstr>
      <vt:lpstr>C_PurPPE_H2_11</vt:lpstr>
      <vt:lpstr>C_PurPPE_H2_12</vt:lpstr>
      <vt:lpstr>C_PurPPE_H2_13</vt:lpstr>
      <vt:lpstr>C_PurPPE_H2_14</vt:lpstr>
      <vt:lpstr>C_PurPPE_H2_15</vt:lpstr>
      <vt:lpstr>C_PurPPE_H2_16</vt:lpstr>
      <vt:lpstr>C_PurPPE_H2_17</vt:lpstr>
      <vt:lpstr>C_PurPPE_H2_18</vt:lpstr>
      <vt:lpstr>C_PurPPE_H2_19</vt:lpstr>
      <vt:lpstr>C_PurPPE_H2_20</vt:lpstr>
      <vt:lpstr>C_Rborr_00</vt:lpstr>
      <vt:lpstr>C_Rborr_01</vt:lpstr>
      <vt:lpstr>C_Rborr_02</vt:lpstr>
      <vt:lpstr>C_Rborr_03</vt:lpstr>
      <vt:lpstr>C_Rborr_04</vt:lpstr>
      <vt:lpstr>C_Rborr_05</vt:lpstr>
      <vt:lpstr>C_Rborr_06</vt:lpstr>
      <vt:lpstr>C_Rborr_07</vt:lpstr>
      <vt:lpstr>C_Rborr_08</vt:lpstr>
      <vt:lpstr>C_Rborr_09</vt:lpstr>
      <vt:lpstr>C_Rborr_10</vt:lpstr>
      <vt:lpstr>C_Rborr_11</vt:lpstr>
      <vt:lpstr>C_Rborr_12</vt:lpstr>
      <vt:lpstr>C_Rborr_13</vt:lpstr>
      <vt:lpstr>C_Rborr_14</vt:lpstr>
      <vt:lpstr>C_Rborr_15</vt:lpstr>
      <vt:lpstr>C_Rborr_16</vt:lpstr>
      <vt:lpstr>C_Rborr_17</vt:lpstr>
      <vt:lpstr>C_Rborr_18</vt:lpstr>
      <vt:lpstr>C_Rborr_19</vt:lpstr>
      <vt:lpstr>C_Rborr_20</vt:lpstr>
      <vt:lpstr>C_Rborr_H1_00</vt:lpstr>
      <vt:lpstr>C_Rborr_H1_01</vt:lpstr>
      <vt:lpstr>C_Rborr_H1_02</vt:lpstr>
      <vt:lpstr>C_Rborr_H1_03</vt:lpstr>
      <vt:lpstr>C_Rborr_H1_04</vt:lpstr>
      <vt:lpstr>C_Rborr_H1_05</vt:lpstr>
      <vt:lpstr>C_Rborr_H1_06</vt:lpstr>
      <vt:lpstr>C_Rborr_H1_07</vt:lpstr>
      <vt:lpstr>C_Rborr_H1_08</vt:lpstr>
      <vt:lpstr>C_Rborr_H1_09</vt:lpstr>
      <vt:lpstr>C_Rborr_H1_10</vt:lpstr>
      <vt:lpstr>C_Rborr_H1_11</vt:lpstr>
      <vt:lpstr>C_Rborr_H1_12</vt:lpstr>
      <vt:lpstr>C_Rborr_H1_13</vt:lpstr>
      <vt:lpstr>C_Rborr_H1_14</vt:lpstr>
      <vt:lpstr>C_Rborr_H1_15</vt:lpstr>
      <vt:lpstr>C_Rborr_H1_16</vt:lpstr>
      <vt:lpstr>C_Rborr_H1_17</vt:lpstr>
      <vt:lpstr>C_Rborr_H1_18</vt:lpstr>
      <vt:lpstr>C_Rborr_H1_19</vt:lpstr>
      <vt:lpstr>C_Rborr_H1_20</vt:lpstr>
      <vt:lpstr>C_Rborr_H2_00</vt:lpstr>
      <vt:lpstr>C_Rborr_H2_01</vt:lpstr>
      <vt:lpstr>C_Rborr_H2_02</vt:lpstr>
      <vt:lpstr>C_Rborr_H2_03</vt:lpstr>
      <vt:lpstr>C_Rborr_H2_04</vt:lpstr>
      <vt:lpstr>C_Rborr_H2_05</vt:lpstr>
      <vt:lpstr>C_Rborr_H2_06</vt:lpstr>
      <vt:lpstr>C_Rborr_H2_07</vt:lpstr>
      <vt:lpstr>C_Rborr_H2_08</vt:lpstr>
      <vt:lpstr>C_Rborr_H2_09</vt:lpstr>
      <vt:lpstr>C_Rborr_H2_10</vt:lpstr>
      <vt:lpstr>C_Rborr_H2_11</vt:lpstr>
      <vt:lpstr>C_Rborr_H2_12</vt:lpstr>
      <vt:lpstr>C_Rborr_H2_13</vt:lpstr>
      <vt:lpstr>C_Rborr_H2_14</vt:lpstr>
      <vt:lpstr>C_Rborr_H2_15</vt:lpstr>
      <vt:lpstr>C_Rborr_H2_16</vt:lpstr>
      <vt:lpstr>C_Rborr_H2_17</vt:lpstr>
      <vt:lpstr>C_Rborr_H2_18</vt:lpstr>
      <vt:lpstr>C_Rborr_H2_19</vt:lpstr>
      <vt:lpstr>C_Rborr_H2_20</vt:lpstr>
      <vt:lpstr>C_SaleEI_00</vt:lpstr>
      <vt:lpstr>C_SaleEI_01</vt:lpstr>
      <vt:lpstr>C_SaleEI_02</vt:lpstr>
      <vt:lpstr>C_SaleEI_03</vt:lpstr>
      <vt:lpstr>C_SaleEI_04</vt:lpstr>
      <vt:lpstr>C_SaleEI_05</vt:lpstr>
      <vt:lpstr>C_SaleEI_06</vt:lpstr>
      <vt:lpstr>C_SaleEI_07</vt:lpstr>
      <vt:lpstr>C_SaleEI_08</vt:lpstr>
      <vt:lpstr>C_SaleEI_09</vt:lpstr>
      <vt:lpstr>C_SaleEI_10</vt:lpstr>
      <vt:lpstr>C_SaleEI_11</vt:lpstr>
      <vt:lpstr>C_SaleEI_12</vt:lpstr>
      <vt:lpstr>C_SaleEI_13</vt:lpstr>
      <vt:lpstr>C_SaleEI_14</vt:lpstr>
      <vt:lpstr>C_SaleEI_15</vt:lpstr>
      <vt:lpstr>C_SaleEI_16</vt:lpstr>
      <vt:lpstr>C_SaleEI_17</vt:lpstr>
      <vt:lpstr>C_SaleEI_18</vt:lpstr>
      <vt:lpstr>C_SaleEI_19</vt:lpstr>
      <vt:lpstr>C_SaleEI_20</vt:lpstr>
      <vt:lpstr>C_SaleEI_H1_00</vt:lpstr>
      <vt:lpstr>C_SaleEI_H1_01</vt:lpstr>
      <vt:lpstr>C_SaleEI_H1_02</vt:lpstr>
      <vt:lpstr>C_SaleEI_H1_03</vt:lpstr>
      <vt:lpstr>C_SaleEI_H1_04</vt:lpstr>
      <vt:lpstr>C_SaleEI_H1_05</vt:lpstr>
      <vt:lpstr>C_SaleEI_H1_06</vt:lpstr>
      <vt:lpstr>C_SaleEI_H1_07</vt:lpstr>
      <vt:lpstr>C_SaleEI_H1_08</vt:lpstr>
      <vt:lpstr>C_SaleEI_H1_09</vt:lpstr>
      <vt:lpstr>C_SaleEI_H1_10</vt:lpstr>
      <vt:lpstr>C_SaleEI_H1_11</vt:lpstr>
      <vt:lpstr>C_SaleEI_H1_12</vt:lpstr>
      <vt:lpstr>C_SaleEI_H1_13</vt:lpstr>
      <vt:lpstr>C_SaleEI_H1_14</vt:lpstr>
      <vt:lpstr>C_SaleEI_H1_15</vt:lpstr>
      <vt:lpstr>C_SaleEI_H1_16</vt:lpstr>
      <vt:lpstr>C_SaleEI_H1_17</vt:lpstr>
      <vt:lpstr>C_SaleEI_H1_18</vt:lpstr>
      <vt:lpstr>C_SaleEI_H1_19</vt:lpstr>
      <vt:lpstr>C_SaleEI_H1_20</vt:lpstr>
      <vt:lpstr>C_SaleEI_H2_00</vt:lpstr>
      <vt:lpstr>C_SaleEI_H2_01</vt:lpstr>
      <vt:lpstr>C_SaleEI_H2_02</vt:lpstr>
      <vt:lpstr>C_SaleEI_H2_03</vt:lpstr>
      <vt:lpstr>C_SaleEI_H2_04</vt:lpstr>
      <vt:lpstr>C_SaleEI_H2_05</vt:lpstr>
      <vt:lpstr>C_SaleEI_H2_06</vt:lpstr>
      <vt:lpstr>C_SaleEI_H2_07</vt:lpstr>
      <vt:lpstr>C_SaleEI_H2_08</vt:lpstr>
      <vt:lpstr>C_SaleEI_H2_09</vt:lpstr>
      <vt:lpstr>C_SaleEI_H2_10</vt:lpstr>
      <vt:lpstr>C_SaleEI_H2_11</vt:lpstr>
      <vt:lpstr>C_SaleEI_H2_12</vt:lpstr>
      <vt:lpstr>C_SaleEI_H2_13</vt:lpstr>
      <vt:lpstr>C_SaleEI_H2_14</vt:lpstr>
      <vt:lpstr>C_SaleEI_H2_15</vt:lpstr>
      <vt:lpstr>C_SaleEI_H2_16</vt:lpstr>
      <vt:lpstr>C_SaleEI_H2_17</vt:lpstr>
      <vt:lpstr>C_SaleEI_H2_18</vt:lpstr>
      <vt:lpstr>C_SaleEI_H2_19</vt:lpstr>
      <vt:lpstr>C_SaleEI_H2_20</vt:lpstr>
      <vt:lpstr>C_SalePPE_00</vt:lpstr>
      <vt:lpstr>C_SalePPE_01</vt:lpstr>
      <vt:lpstr>C_SalePPE_02</vt:lpstr>
      <vt:lpstr>C_SalePPE_03</vt:lpstr>
      <vt:lpstr>C_SalePPE_04</vt:lpstr>
      <vt:lpstr>C_SalePPE_05</vt:lpstr>
      <vt:lpstr>C_SalePPE_06</vt:lpstr>
      <vt:lpstr>C_SalePPE_07</vt:lpstr>
      <vt:lpstr>C_SalePPE_08</vt:lpstr>
      <vt:lpstr>C_SalePPE_09</vt:lpstr>
      <vt:lpstr>C_SalePPE_10</vt:lpstr>
      <vt:lpstr>C_SalePPE_11</vt:lpstr>
      <vt:lpstr>C_SalePPE_12</vt:lpstr>
      <vt:lpstr>C_SalePPE_13</vt:lpstr>
      <vt:lpstr>C_SalePPE_14</vt:lpstr>
      <vt:lpstr>C_SalePPE_15</vt:lpstr>
      <vt:lpstr>C_SalePPE_16</vt:lpstr>
      <vt:lpstr>C_SalePPE_17</vt:lpstr>
      <vt:lpstr>C_SalePPE_18</vt:lpstr>
      <vt:lpstr>C_SalePPE_19</vt:lpstr>
      <vt:lpstr>C_SalePPE_20</vt:lpstr>
      <vt:lpstr>C_SalePPE_H1_00</vt:lpstr>
      <vt:lpstr>C_SalePPE_H1_01</vt:lpstr>
      <vt:lpstr>C_SalePPE_H1_02</vt:lpstr>
      <vt:lpstr>C_SalePPE_H1_03</vt:lpstr>
      <vt:lpstr>C_SalePPE_H1_04</vt:lpstr>
      <vt:lpstr>C_SalePPE_H1_05</vt:lpstr>
      <vt:lpstr>C_SalePPE_H1_06</vt:lpstr>
      <vt:lpstr>C_SalePPE_H1_07</vt:lpstr>
      <vt:lpstr>C_SalePPE_H1_08</vt:lpstr>
      <vt:lpstr>C_SalePPE_H1_09</vt:lpstr>
      <vt:lpstr>C_SalePPE_H1_10</vt:lpstr>
      <vt:lpstr>C_SalePPE_H1_11</vt:lpstr>
      <vt:lpstr>C_SalePPE_H1_12</vt:lpstr>
      <vt:lpstr>C_SalePPE_H1_13</vt:lpstr>
      <vt:lpstr>C_SalePPE_H1_14</vt:lpstr>
      <vt:lpstr>C_SalePPE_H1_15</vt:lpstr>
      <vt:lpstr>C_SalePPE_H1_16</vt:lpstr>
      <vt:lpstr>C_SalePPE_H1_17</vt:lpstr>
      <vt:lpstr>C_SalePPE_H1_18</vt:lpstr>
      <vt:lpstr>C_SalePPE_H1_19</vt:lpstr>
      <vt:lpstr>C_SalePPE_H1_20</vt:lpstr>
      <vt:lpstr>C_SalePPE_H2_00</vt:lpstr>
      <vt:lpstr>C_SalePPE_H2_01</vt:lpstr>
      <vt:lpstr>C_SalePPE_H2_02</vt:lpstr>
      <vt:lpstr>C_SalePPE_H2_03</vt:lpstr>
      <vt:lpstr>C_SalePPE_H2_04</vt:lpstr>
      <vt:lpstr>C_SalePPE_H2_05</vt:lpstr>
      <vt:lpstr>C_SalePPE_H2_06</vt:lpstr>
      <vt:lpstr>C_SalePPE_H2_07</vt:lpstr>
      <vt:lpstr>C_SalePPE_H2_08</vt:lpstr>
      <vt:lpstr>C_SalePPE_H2_09</vt:lpstr>
      <vt:lpstr>C_SalePPE_H2_10</vt:lpstr>
      <vt:lpstr>C_SalePPE_H2_11</vt:lpstr>
      <vt:lpstr>C_SalePPE_H2_12</vt:lpstr>
      <vt:lpstr>C_SalePPE_H2_13</vt:lpstr>
      <vt:lpstr>C_SalePPE_H2_14</vt:lpstr>
      <vt:lpstr>C_SalePPE_H2_15</vt:lpstr>
      <vt:lpstr>C_SalePPE_H2_16</vt:lpstr>
      <vt:lpstr>C_SalePPE_H2_17</vt:lpstr>
      <vt:lpstr>C_SalePPE_H2_18</vt:lpstr>
      <vt:lpstr>C_SalePPE_H2_19</vt:lpstr>
      <vt:lpstr>C_SalePPE_H2_20</vt:lpstr>
      <vt:lpstr>C_Tot_Fin_00</vt:lpstr>
      <vt:lpstr>C_Tot_Fin_01</vt:lpstr>
      <vt:lpstr>C_Tot_Fin_02</vt:lpstr>
      <vt:lpstr>C_Tot_Fin_03</vt:lpstr>
      <vt:lpstr>C_Tot_Fin_04</vt:lpstr>
      <vt:lpstr>C_Tot_Fin_05</vt:lpstr>
      <vt:lpstr>C_Tot_Fin_06</vt:lpstr>
      <vt:lpstr>C_Tot_Fin_07</vt:lpstr>
      <vt:lpstr>C_Tot_Fin_08</vt:lpstr>
      <vt:lpstr>C_Tot_Fin_09</vt:lpstr>
      <vt:lpstr>C_Tot_Fin_10</vt:lpstr>
      <vt:lpstr>C_Tot_Fin_11</vt:lpstr>
      <vt:lpstr>C_Tot_Fin_12</vt:lpstr>
      <vt:lpstr>C_Tot_Fin_13</vt:lpstr>
      <vt:lpstr>C_Tot_Fin_14</vt:lpstr>
      <vt:lpstr>C_Tot_Fin_15</vt:lpstr>
      <vt:lpstr>C_Tot_Fin_16</vt:lpstr>
      <vt:lpstr>C_Tot_Fin_17</vt:lpstr>
      <vt:lpstr>C_Tot_Fin_18</vt:lpstr>
      <vt:lpstr>C_Tot_Fin_19</vt:lpstr>
      <vt:lpstr>C_Tot_Fin_20</vt:lpstr>
      <vt:lpstr>C_Tot_Fin_H1_00</vt:lpstr>
      <vt:lpstr>C_Tot_Fin_H1_01</vt:lpstr>
      <vt:lpstr>C_Tot_Fin_H1_02</vt:lpstr>
      <vt:lpstr>C_Tot_Fin_H1_03</vt:lpstr>
      <vt:lpstr>C_Tot_Fin_H1_04</vt:lpstr>
      <vt:lpstr>C_Tot_Fin_H1_05</vt:lpstr>
      <vt:lpstr>C_Tot_Fin_H1_06</vt:lpstr>
      <vt:lpstr>C_Tot_Fin_H1_07</vt:lpstr>
      <vt:lpstr>C_Tot_Fin_H1_08</vt:lpstr>
      <vt:lpstr>C_Tot_Fin_H1_09</vt:lpstr>
      <vt:lpstr>C_Tot_Fin_H1_10</vt:lpstr>
      <vt:lpstr>C_Tot_Fin_H1_11</vt:lpstr>
      <vt:lpstr>C_Tot_Fin_H1_12</vt:lpstr>
      <vt:lpstr>C_Tot_Fin_H1_13</vt:lpstr>
      <vt:lpstr>C_Tot_Fin_H1_14</vt:lpstr>
      <vt:lpstr>C_Tot_Fin_H1_15</vt:lpstr>
      <vt:lpstr>C_Tot_Fin_H1_16</vt:lpstr>
      <vt:lpstr>C_Tot_Fin_H1_17</vt:lpstr>
      <vt:lpstr>C_Tot_Fin_H1_18</vt:lpstr>
      <vt:lpstr>C_Tot_Fin_H1_19</vt:lpstr>
      <vt:lpstr>C_Tot_Fin_H1_20</vt:lpstr>
      <vt:lpstr>C_Tot_Fin_H2_00</vt:lpstr>
      <vt:lpstr>C_Tot_Fin_H2_01</vt:lpstr>
      <vt:lpstr>C_Tot_Fin_H2_02</vt:lpstr>
      <vt:lpstr>C_Tot_Fin_H2_03</vt:lpstr>
      <vt:lpstr>C_Tot_Fin_H2_04</vt:lpstr>
      <vt:lpstr>C_Tot_Fin_H2_05</vt:lpstr>
      <vt:lpstr>C_Tot_Fin_H2_06</vt:lpstr>
      <vt:lpstr>C_Tot_Fin_H2_07</vt:lpstr>
      <vt:lpstr>C_Tot_Fin_H2_08</vt:lpstr>
      <vt:lpstr>C_Tot_Fin_H2_09</vt:lpstr>
      <vt:lpstr>C_Tot_Fin_H2_10</vt:lpstr>
      <vt:lpstr>C_Tot_Fin_H2_11</vt:lpstr>
      <vt:lpstr>C_Tot_Fin_H2_12</vt:lpstr>
      <vt:lpstr>C_Tot_Fin_H2_13</vt:lpstr>
      <vt:lpstr>C_Tot_Fin_H2_14</vt:lpstr>
      <vt:lpstr>C_Tot_Fin_H2_15</vt:lpstr>
      <vt:lpstr>C_Tot_Fin_H2_16</vt:lpstr>
      <vt:lpstr>C_Tot_Fin_H2_17</vt:lpstr>
      <vt:lpstr>C_Tot_Fin_H2_18</vt:lpstr>
      <vt:lpstr>C_Tot_Fin_H2_19</vt:lpstr>
      <vt:lpstr>C_Tot_Fin_H2_20</vt:lpstr>
      <vt:lpstr>C_Tot_InvAct_00</vt:lpstr>
      <vt:lpstr>C_Tot_InvAct_01</vt:lpstr>
      <vt:lpstr>C_Tot_InvAct_02</vt:lpstr>
      <vt:lpstr>C_Tot_InvAct_03</vt:lpstr>
      <vt:lpstr>C_Tot_InvAct_04</vt:lpstr>
      <vt:lpstr>C_Tot_InvAct_05</vt:lpstr>
      <vt:lpstr>C_Tot_InvAct_06</vt:lpstr>
      <vt:lpstr>C_Tot_InvAct_07</vt:lpstr>
      <vt:lpstr>C_Tot_InvAct_08</vt:lpstr>
      <vt:lpstr>C_Tot_InvAct_09</vt:lpstr>
      <vt:lpstr>C_Tot_InvAct_10</vt:lpstr>
      <vt:lpstr>C_Tot_InvAct_11</vt:lpstr>
      <vt:lpstr>C_Tot_InvAct_12</vt:lpstr>
      <vt:lpstr>C_Tot_InvAct_13</vt:lpstr>
      <vt:lpstr>C_Tot_InvAct_14</vt:lpstr>
      <vt:lpstr>C_Tot_InvAct_15</vt:lpstr>
      <vt:lpstr>C_Tot_InvAct_16</vt:lpstr>
      <vt:lpstr>C_Tot_InvAct_17</vt:lpstr>
      <vt:lpstr>C_Tot_InvAct_18</vt:lpstr>
      <vt:lpstr>C_Tot_InvAct_19</vt:lpstr>
      <vt:lpstr>C_Tot_InvAct_20</vt:lpstr>
      <vt:lpstr>C_Tot_InvAct_H1_00</vt:lpstr>
      <vt:lpstr>C_Tot_InvAct_H1_01</vt:lpstr>
      <vt:lpstr>C_Tot_InvAct_H1_02</vt:lpstr>
      <vt:lpstr>C_Tot_InvAct_H1_03</vt:lpstr>
      <vt:lpstr>C_Tot_InvAct_H1_04</vt:lpstr>
      <vt:lpstr>C_Tot_InvAct_H1_05</vt:lpstr>
      <vt:lpstr>C_Tot_InvAct_H1_06</vt:lpstr>
      <vt:lpstr>C_Tot_InvAct_H1_07</vt:lpstr>
      <vt:lpstr>C_Tot_InvAct_H1_08</vt:lpstr>
      <vt:lpstr>C_Tot_InvAct_H1_09</vt:lpstr>
      <vt:lpstr>C_Tot_InvAct_H1_10</vt:lpstr>
      <vt:lpstr>C_Tot_InvAct_H1_11</vt:lpstr>
      <vt:lpstr>C_Tot_InvAct_H1_12</vt:lpstr>
      <vt:lpstr>C_Tot_InvAct_H1_13</vt:lpstr>
      <vt:lpstr>C_Tot_InvAct_H1_14</vt:lpstr>
      <vt:lpstr>C_Tot_InvAct_H1_15</vt:lpstr>
      <vt:lpstr>C_Tot_InvAct_H1_16</vt:lpstr>
      <vt:lpstr>C_Tot_InvAct_H1_17</vt:lpstr>
      <vt:lpstr>C_Tot_InvAct_H1_18</vt:lpstr>
      <vt:lpstr>C_Tot_InvAct_H1_19</vt:lpstr>
      <vt:lpstr>C_Tot_InvAct_H1_20</vt:lpstr>
      <vt:lpstr>C_Tot_InvAct_H2_00</vt:lpstr>
      <vt:lpstr>C_Tot_InvAct_H2_01</vt:lpstr>
      <vt:lpstr>C_Tot_InvAct_H2_02</vt:lpstr>
      <vt:lpstr>C_Tot_InvAct_H2_03</vt:lpstr>
      <vt:lpstr>C_Tot_InvAct_H2_04</vt:lpstr>
      <vt:lpstr>C_Tot_InvAct_H2_05</vt:lpstr>
      <vt:lpstr>C_Tot_InvAct_H2_06</vt:lpstr>
      <vt:lpstr>C_Tot_InvAct_H2_07</vt:lpstr>
      <vt:lpstr>C_Tot_InvAct_H2_08</vt:lpstr>
      <vt:lpstr>C_Tot_InvAct_H2_09</vt:lpstr>
      <vt:lpstr>C_Tot_InvAct_H2_10</vt:lpstr>
      <vt:lpstr>C_Tot_InvAct_H2_11</vt:lpstr>
      <vt:lpstr>C_Tot_InvAct_H2_12</vt:lpstr>
      <vt:lpstr>C_Tot_InvAct_H2_13</vt:lpstr>
      <vt:lpstr>C_Tot_InvAct_H2_14</vt:lpstr>
      <vt:lpstr>C_Tot_InvAct_H2_15</vt:lpstr>
      <vt:lpstr>C_Tot_InvAct_H2_16</vt:lpstr>
      <vt:lpstr>C_Tot_InvAct_H2_17</vt:lpstr>
      <vt:lpstr>C_Tot_InvAct_H2_18</vt:lpstr>
      <vt:lpstr>C_Tot_InvAct_H2_19</vt:lpstr>
      <vt:lpstr>C_Tot_InvAct_H2_20</vt:lpstr>
      <vt:lpstr>C_Tot_Op_00</vt:lpstr>
      <vt:lpstr>C_Tot_Op_01</vt:lpstr>
      <vt:lpstr>C_Tot_Op_02</vt:lpstr>
      <vt:lpstr>C_Tot_Op_03</vt:lpstr>
      <vt:lpstr>C_Tot_Op_04</vt:lpstr>
      <vt:lpstr>C_Tot_Op_05</vt:lpstr>
      <vt:lpstr>C_Tot_Op_06</vt:lpstr>
      <vt:lpstr>C_Tot_Op_07</vt:lpstr>
      <vt:lpstr>C_Tot_Op_08</vt:lpstr>
      <vt:lpstr>C_Tot_Op_09</vt:lpstr>
      <vt:lpstr>C_Tot_Op_10</vt:lpstr>
      <vt:lpstr>C_Tot_Op_11</vt:lpstr>
      <vt:lpstr>C_Tot_Op_12</vt:lpstr>
      <vt:lpstr>C_Tot_Op_13</vt:lpstr>
      <vt:lpstr>C_Tot_Op_14</vt:lpstr>
      <vt:lpstr>C_Tot_Op_15</vt:lpstr>
      <vt:lpstr>C_Tot_Op_16</vt:lpstr>
      <vt:lpstr>C_Tot_Op_17</vt:lpstr>
      <vt:lpstr>C_Tot_Op_18</vt:lpstr>
      <vt:lpstr>C_Tot_Op_19</vt:lpstr>
      <vt:lpstr>C_Tot_Op_20</vt:lpstr>
      <vt:lpstr>C_Tot_Op_H1_00</vt:lpstr>
      <vt:lpstr>C_Tot_Op_H1_01</vt:lpstr>
      <vt:lpstr>C_Tot_Op_H1_02</vt:lpstr>
      <vt:lpstr>C_Tot_Op_H1_03</vt:lpstr>
      <vt:lpstr>C_Tot_Op_H1_04</vt:lpstr>
      <vt:lpstr>C_Tot_Op_H1_05</vt:lpstr>
      <vt:lpstr>C_Tot_Op_H1_06</vt:lpstr>
      <vt:lpstr>C_Tot_Op_H1_07</vt:lpstr>
      <vt:lpstr>C_Tot_Op_H1_08</vt:lpstr>
      <vt:lpstr>C_Tot_Op_H1_09</vt:lpstr>
      <vt:lpstr>C_Tot_Op_H1_10</vt:lpstr>
      <vt:lpstr>C_Tot_Op_H1_11</vt:lpstr>
      <vt:lpstr>C_Tot_Op_H1_12</vt:lpstr>
      <vt:lpstr>C_Tot_Op_H1_13</vt:lpstr>
      <vt:lpstr>C_Tot_Op_H1_14</vt:lpstr>
      <vt:lpstr>C_Tot_Op_H1_15</vt:lpstr>
      <vt:lpstr>C_Tot_Op_H1_16</vt:lpstr>
      <vt:lpstr>C_Tot_Op_H1_17</vt:lpstr>
      <vt:lpstr>C_Tot_Op_H1_18</vt:lpstr>
      <vt:lpstr>C_Tot_Op_H1_19</vt:lpstr>
      <vt:lpstr>C_Tot_Op_H1_20</vt:lpstr>
      <vt:lpstr>C_Tot_Op_H2_00</vt:lpstr>
      <vt:lpstr>C_Tot_Op_H2_01</vt:lpstr>
      <vt:lpstr>C_Tot_Op_H2_02</vt:lpstr>
      <vt:lpstr>C_Tot_Op_H2_03</vt:lpstr>
      <vt:lpstr>C_Tot_Op_H2_04</vt:lpstr>
      <vt:lpstr>C_Tot_Op_H2_05</vt:lpstr>
      <vt:lpstr>C_Tot_Op_H2_06</vt:lpstr>
      <vt:lpstr>C_Tot_Op_H2_07</vt:lpstr>
      <vt:lpstr>C_Tot_Op_H2_08</vt:lpstr>
      <vt:lpstr>C_Tot_Op_H2_09</vt:lpstr>
      <vt:lpstr>C_Tot_Op_H2_10</vt:lpstr>
      <vt:lpstr>C_Tot_Op_H2_11</vt:lpstr>
      <vt:lpstr>C_Tot_Op_H2_12</vt:lpstr>
      <vt:lpstr>C_Tot_Op_H2_13</vt:lpstr>
      <vt:lpstr>C_Tot_Op_H2_14</vt:lpstr>
      <vt:lpstr>C_Tot_Op_H2_15</vt:lpstr>
      <vt:lpstr>C_Tot_Op_H2_16</vt:lpstr>
      <vt:lpstr>C_Tot_Op_H2_17</vt:lpstr>
      <vt:lpstr>C_Tot_Op_H2_18</vt:lpstr>
      <vt:lpstr>C_Tot_Op_H2_19</vt:lpstr>
      <vt:lpstr>C_Tot_Op_H2_20</vt:lpstr>
      <vt:lpstr>C_TP_00</vt:lpstr>
      <vt:lpstr>C_TP_01</vt:lpstr>
      <vt:lpstr>C_TP_02</vt:lpstr>
      <vt:lpstr>C_TP_03</vt:lpstr>
      <vt:lpstr>C_TP_04</vt:lpstr>
      <vt:lpstr>C_TP_05</vt:lpstr>
      <vt:lpstr>C_TP_06</vt:lpstr>
      <vt:lpstr>C_TP_07</vt:lpstr>
      <vt:lpstr>C_TP_08</vt:lpstr>
      <vt:lpstr>C_TP_09</vt:lpstr>
      <vt:lpstr>C_TP_10</vt:lpstr>
      <vt:lpstr>C_TP_11</vt:lpstr>
      <vt:lpstr>C_TP_12</vt:lpstr>
      <vt:lpstr>C_TP_13</vt:lpstr>
      <vt:lpstr>C_TP_14</vt:lpstr>
      <vt:lpstr>C_TP_15</vt:lpstr>
      <vt:lpstr>C_TP_16</vt:lpstr>
      <vt:lpstr>C_TP_17</vt:lpstr>
      <vt:lpstr>C_TP_18</vt:lpstr>
      <vt:lpstr>C_TP_19</vt:lpstr>
      <vt:lpstr>C_TP_20</vt:lpstr>
      <vt:lpstr>C_TP_95</vt:lpstr>
      <vt:lpstr>C_TP_96</vt:lpstr>
      <vt:lpstr>C_TP_97</vt:lpstr>
      <vt:lpstr>C_TP_98</vt:lpstr>
      <vt:lpstr>C_TP_99</vt:lpstr>
      <vt:lpstr>C_WC_00</vt:lpstr>
      <vt:lpstr>C_WC_01</vt:lpstr>
      <vt:lpstr>C_WC_02</vt:lpstr>
      <vt:lpstr>C_WC_03</vt:lpstr>
      <vt:lpstr>C_WC_04</vt:lpstr>
      <vt:lpstr>C_WC_05</vt:lpstr>
      <vt:lpstr>C_WC_06</vt:lpstr>
      <vt:lpstr>C_WC_07</vt:lpstr>
      <vt:lpstr>C_WC_08</vt:lpstr>
      <vt:lpstr>C_WC_09</vt:lpstr>
      <vt:lpstr>C_WC_10</vt:lpstr>
      <vt:lpstr>C_WC_11</vt:lpstr>
      <vt:lpstr>C_WC_12</vt:lpstr>
      <vt:lpstr>C_WC_13</vt:lpstr>
      <vt:lpstr>C_WC_14</vt:lpstr>
      <vt:lpstr>C_WC_15</vt:lpstr>
      <vt:lpstr>C_WC_16</vt:lpstr>
      <vt:lpstr>C_WC_17</vt:lpstr>
      <vt:lpstr>C_WC_18</vt:lpstr>
      <vt:lpstr>C_WC_19</vt:lpstr>
      <vt:lpstr>C_WC_20</vt:lpstr>
      <vt:lpstr>C_WC_H1_00</vt:lpstr>
      <vt:lpstr>C_WC_H1_01</vt:lpstr>
      <vt:lpstr>C_WC_H1_02</vt:lpstr>
      <vt:lpstr>C_WC_H1_03</vt:lpstr>
      <vt:lpstr>C_WC_H1_04</vt:lpstr>
      <vt:lpstr>C_WC_H1_05</vt:lpstr>
      <vt:lpstr>C_WC_H1_06</vt:lpstr>
      <vt:lpstr>C_WC_H1_07</vt:lpstr>
      <vt:lpstr>C_WC_H1_08</vt:lpstr>
      <vt:lpstr>C_WC_H1_09</vt:lpstr>
      <vt:lpstr>C_WC_H1_10</vt:lpstr>
      <vt:lpstr>C_WC_H1_11</vt:lpstr>
      <vt:lpstr>C_WC_H1_12</vt:lpstr>
      <vt:lpstr>C_WC_H1_13</vt:lpstr>
      <vt:lpstr>C_WC_H1_14</vt:lpstr>
      <vt:lpstr>C_WC_H1_15</vt:lpstr>
      <vt:lpstr>C_WC_H1_16</vt:lpstr>
      <vt:lpstr>C_WC_H1_17</vt:lpstr>
      <vt:lpstr>C_WC_H1_18</vt:lpstr>
      <vt:lpstr>C_WC_H1_19</vt:lpstr>
      <vt:lpstr>C_WC_H1_20</vt:lpstr>
      <vt:lpstr>C_WC_H2_00</vt:lpstr>
      <vt:lpstr>C_WC_H2_01</vt:lpstr>
      <vt:lpstr>C_WC_H2_02</vt:lpstr>
      <vt:lpstr>C_WC_H2_03</vt:lpstr>
      <vt:lpstr>C_WC_H2_04</vt:lpstr>
      <vt:lpstr>C_WC_H2_05</vt:lpstr>
      <vt:lpstr>C_WC_H2_06</vt:lpstr>
      <vt:lpstr>C_WC_H2_07</vt:lpstr>
      <vt:lpstr>C_WC_H2_08</vt:lpstr>
      <vt:lpstr>C_WC_H2_09</vt:lpstr>
      <vt:lpstr>C_WC_H2_10</vt:lpstr>
      <vt:lpstr>C_WC_H2_11</vt:lpstr>
      <vt:lpstr>C_WC_H2_12</vt:lpstr>
      <vt:lpstr>C_WC_H2_13</vt:lpstr>
      <vt:lpstr>C_WC_H2_14</vt:lpstr>
      <vt:lpstr>C_WC_H2_15</vt:lpstr>
      <vt:lpstr>C_WC_H2_16</vt:lpstr>
      <vt:lpstr>C_WC_H2_17</vt:lpstr>
      <vt:lpstr>C_WC_H2_18</vt:lpstr>
      <vt:lpstr>C_WC_H2_19</vt:lpstr>
      <vt:lpstr>C_WC_H2_20</vt:lpstr>
      <vt:lpstr>CFPS_00</vt:lpstr>
      <vt:lpstr>CFPS_01</vt:lpstr>
      <vt:lpstr>CFPS_02</vt:lpstr>
      <vt:lpstr>CFPS_03</vt:lpstr>
      <vt:lpstr>CFPS_04</vt:lpstr>
      <vt:lpstr>CFPS_05</vt:lpstr>
      <vt:lpstr>CFPS_06</vt:lpstr>
      <vt:lpstr>CFPS_07</vt:lpstr>
      <vt:lpstr>CFPS_08</vt:lpstr>
      <vt:lpstr>CFPS_09</vt:lpstr>
      <vt:lpstr>CFPS_10</vt:lpstr>
      <vt:lpstr>CFPS_11</vt:lpstr>
      <vt:lpstr>CFPS_12</vt:lpstr>
      <vt:lpstr>CFPS_13</vt:lpstr>
      <vt:lpstr>CFPS_14</vt:lpstr>
      <vt:lpstr>CFPS_15</vt:lpstr>
      <vt:lpstr>CFPS_16</vt:lpstr>
      <vt:lpstr>CFPS_17</vt:lpstr>
      <vt:lpstr>CFPS_18</vt:lpstr>
      <vt:lpstr>CFPS_19</vt:lpstr>
      <vt:lpstr>CFPS_20</vt:lpstr>
      <vt:lpstr>CFPS_95</vt:lpstr>
      <vt:lpstr>CFPS_96</vt:lpstr>
      <vt:lpstr>CFPS_97</vt:lpstr>
      <vt:lpstr>CFPS_98</vt:lpstr>
      <vt:lpstr>CFPS_99</vt:lpstr>
      <vt:lpstr>CS_Adj_Fact_00</vt:lpstr>
      <vt:lpstr>CS_Adj_Fact_01</vt:lpstr>
      <vt:lpstr>CS_Adj_Fact_02</vt:lpstr>
      <vt:lpstr>CS_Adj_Fact_03</vt:lpstr>
      <vt:lpstr>CS_Adj_Fact_04</vt:lpstr>
      <vt:lpstr>CS_Adj_Fact_05</vt:lpstr>
      <vt:lpstr>CS_Adj_Fact_06</vt:lpstr>
      <vt:lpstr>CS_Adj_Fact_07</vt:lpstr>
      <vt:lpstr>CS_Adj_Fact_08</vt:lpstr>
      <vt:lpstr>CS_Adj_Fact_09</vt:lpstr>
      <vt:lpstr>CS_Adj_Fact_10</vt:lpstr>
      <vt:lpstr>CS_Adj_Fact_11</vt:lpstr>
      <vt:lpstr>CS_Adj_Fact_12</vt:lpstr>
      <vt:lpstr>CS_Adj_Fact_13</vt:lpstr>
      <vt:lpstr>CS_Adj_Fact_14</vt:lpstr>
      <vt:lpstr>CS_Adj_Fact_15</vt:lpstr>
      <vt:lpstr>CS_Adj_Fact_16</vt:lpstr>
      <vt:lpstr>CS_Adj_Fact_17</vt:lpstr>
      <vt:lpstr>CS_Adj_Fact_18</vt:lpstr>
      <vt:lpstr>CS_Adj_Fact_19</vt:lpstr>
      <vt:lpstr>CS_Adj_Fact_20</vt:lpstr>
      <vt:lpstr>CS_Adj_Fact_H1_00</vt:lpstr>
      <vt:lpstr>CS_Adj_Fact_H1_01</vt:lpstr>
      <vt:lpstr>CS_Adj_Fact_H1_02</vt:lpstr>
      <vt:lpstr>CS_Adj_Fact_H1_03</vt:lpstr>
      <vt:lpstr>CS_Adj_Fact_H1_04</vt:lpstr>
      <vt:lpstr>CS_Adj_Fact_H1_05</vt:lpstr>
      <vt:lpstr>CS_Adj_Fact_H1_06</vt:lpstr>
      <vt:lpstr>CS_Adj_Fact_H1_07</vt:lpstr>
      <vt:lpstr>CS_Adj_Fact_H1_08</vt:lpstr>
      <vt:lpstr>CS_Adj_Fact_H1_09</vt:lpstr>
      <vt:lpstr>CS_Adj_Fact_H1_10</vt:lpstr>
      <vt:lpstr>CS_Adj_Fact_H1_11</vt:lpstr>
      <vt:lpstr>CS_Adj_Fact_H1_12</vt:lpstr>
      <vt:lpstr>CS_Adj_Fact_H1_13</vt:lpstr>
      <vt:lpstr>CS_Adj_Fact_H1_14</vt:lpstr>
      <vt:lpstr>CS_Adj_Fact_H1_15</vt:lpstr>
      <vt:lpstr>CS_Adj_Fact_H1_16</vt:lpstr>
      <vt:lpstr>CS_Adj_Fact_H1_17</vt:lpstr>
      <vt:lpstr>CS_Adj_Fact_H1_18</vt:lpstr>
      <vt:lpstr>CS_Adj_Fact_H1_19</vt:lpstr>
      <vt:lpstr>CS_Adj_Fact_H1_20</vt:lpstr>
      <vt:lpstr>CS_Adj_Fact_H2_00</vt:lpstr>
      <vt:lpstr>CS_Adj_Fact_H2_01</vt:lpstr>
      <vt:lpstr>CS_Adj_Fact_H2_02</vt:lpstr>
      <vt:lpstr>CS_Adj_Fact_H2_03</vt:lpstr>
      <vt:lpstr>CS_Adj_Fact_H2_04</vt:lpstr>
      <vt:lpstr>CS_Adj_Fact_H2_05</vt:lpstr>
      <vt:lpstr>CS_Adj_Fact_H2_06</vt:lpstr>
      <vt:lpstr>CS_Adj_Fact_H2_07</vt:lpstr>
      <vt:lpstr>CS_Adj_Fact_H2_08</vt:lpstr>
      <vt:lpstr>CS_Adj_Fact_H2_09</vt:lpstr>
      <vt:lpstr>CS_Adj_Fact_H2_10</vt:lpstr>
      <vt:lpstr>CS_Adj_Fact_H2_11</vt:lpstr>
      <vt:lpstr>CS_Adj_Fact_H2_12</vt:lpstr>
      <vt:lpstr>CS_Adj_Fact_H2_13</vt:lpstr>
      <vt:lpstr>CS_Adj_Fact_H2_14</vt:lpstr>
      <vt:lpstr>CS_Adj_Fact_H2_15</vt:lpstr>
      <vt:lpstr>CS_Adj_Fact_H2_16</vt:lpstr>
      <vt:lpstr>CS_Adj_Fact_H2_17</vt:lpstr>
      <vt:lpstr>CS_Adj_Fact_H2_18</vt:lpstr>
      <vt:lpstr>CS_Adj_Fact_H2_19</vt:lpstr>
      <vt:lpstr>CS_Adj_Fact_H2_20</vt:lpstr>
      <vt:lpstr>CS_Adj_WAC_00</vt:lpstr>
      <vt:lpstr>CS_Adj_WAC_01</vt:lpstr>
      <vt:lpstr>CS_Adj_WAC_02</vt:lpstr>
      <vt:lpstr>CS_Adj_WAC_03</vt:lpstr>
      <vt:lpstr>CS_Adj_WAC_04</vt:lpstr>
      <vt:lpstr>CS_Adj_WAC_05</vt:lpstr>
      <vt:lpstr>CS_Adj_WAC_06</vt:lpstr>
      <vt:lpstr>CS_Adj_WAC_07</vt:lpstr>
      <vt:lpstr>CS_Adj_WAC_08</vt:lpstr>
      <vt:lpstr>CS_Adj_WAC_09</vt:lpstr>
      <vt:lpstr>CS_Adj_WAC_10</vt:lpstr>
      <vt:lpstr>CS_Adj_WAC_11</vt:lpstr>
      <vt:lpstr>CS_Adj_WAC_12</vt:lpstr>
      <vt:lpstr>CS_Adj_WAC_13</vt:lpstr>
      <vt:lpstr>CS_Adj_WAC_14</vt:lpstr>
      <vt:lpstr>CS_Adj_WAC_15</vt:lpstr>
      <vt:lpstr>CS_Adj_WAC_16</vt:lpstr>
      <vt:lpstr>CS_Adj_WAC_17</vt:lpstr>
      <vt:lpstr>CS_Adj_WAC_18</vt:lpstr>
      <vt:lpstr>CS_Adj_WAC_19</vt:lpstr>
      <vt:lpstr>CS_Adj_WAC_20</vt:lpstr>
      <vt:lpstr>CS_Adj_WAC_H1_00</vt:lpstr>
      <vt:lpstr>CS_Adj_WAC_H1_01</vt:lpstr>
      <vt:lpstr>CS_Adj_WAC_H1_02</vt:lpstr>
      <vt:lpstr>CS_Adj_WAC_H1_03</vt:lpstr>
      <vt:lpstr>CS_Adj_WAC_H1_04</vt:lpstr>
      <vt:lpstr>CS_Adj_WAC_H1_05</vt:lpstr>
      <vt:lpstr>CS_Adj_WAC_H1_06</vt:lpstr>
      <vt:lpstr>CS_Adj_WAC_H1_07</vt:lpstr>
      <vt:lpstr>CS_Adj_WAC_H1_08</vt:lpstr>
      <vt:lpstr>CS_Adj_WAC_H1_09</vt:lpstr>
      <vt:lpstr>CS_Adj_WAC_H1_10</vt:lpstr>
      <vt:lpstr>CS_Adj_WAC_H1_11</vt:lpstr>
      <vt:lpstr>CS_Adj_WAC_H1_12</vt:lpstr>
      <vt:lpstr>CS_Adj_WAC_H1_13</vt:lpstr>
      <vt:lpstr>CS_Adj_WAC_H1_14</vt:lpstr>
      <vt:lpstr>CS_Adj_WAC_H1_15</vt:lpstr>
      <vt:lpstr>CS_Adj_WAC_H1_16</vt:lpstr>
      <vt:lpstr>CS_Adj_WAC_H1_17</vt:lpstr>
      <vt:lpstr>CS_Adj_WAC_H1_18</vt:lpstr>
      <vt:lpstr>CS_Adj_WAC_H1_19</vt:lpstr>
      <vt:lpstr>CS_Adj_WAC_H1_20</vt:lpstr>
      <vt:lpstr>CS_Adj_WAC_H2_00</vt:lpstr>
      <vt:lpstr>CS_Adj_WAC_H2_01</vt:lpstr>
      <vt:lpstr>CS_Adj_WAC_H2_02</vt:lpstr>
      <vt:lpstr>CS_Adj_WAC_H2_03</vt:lpstr>
      <vt:lpstr>CS_Adj_WAC_H2_04</vt:lpstr>
      <vt:lpstr>CS_Adj_WAC_H2_05</vt:lpstr>
      <vt:lpstr>CS_Adj_WAC_H2_06</vt:lpstr>
      <vt:lpstr>CS_Adj_WAC_H2_07</vt:lpstr>
      <vt:lpstr>CS_Adj_WAC_H2_08</vt:lpstr>
      <vt:lpstr>CS_Adj_WAC_H2_09</vt:lpstr>
      <vt:lpstr>CS_Adj_WAC_H2_10</vt:lpstr>
      <vt:lpstr>CS_Adj_WAC_H2_11</vt:lpstr>
      <vt:lpstr>CS_Adj_WAC_H2_12</vt:lpstr>
      <vt:lpstr>CS_Adj_WAC_H2_13</vt:lpstr>
      <vt:lpstr>CS_Adj_WAC_H2_14</vt:lpstr>
      <vt:lpstr>CS_Adj_WAC_H2_15</vt:lpstr>
      <vt:lpstr>CS_Adj_WAC_H2_16</vt:lpstr>
      <vt:lpstr>CS_Adj_WAC_H2_17</vt:lpstr>
      <vt:lpstr>CS_Adj_WAC_H2_18</vt:lpstr>
      <vt:lpstr>CS_Adj_WAC_H2_19</vt:lpstr>
      <vt:lpstr>CS_Adj_WAC_H2_20</vt:lpstr>
      <vt:lpstr>CS_CN_Avg_00</vt:lpstr>
      <vt:lpstr>CS_CN_Avg_01</vt:lpstr>
      <vt:lpstr>CS_CN_Avg_02</vt:lpstr>
      <vt:lpstr>CS_CN_Avg_03</vt:lpstr>
      <vt:lpstr>CS_CN_Avg_04</vt:lpstr>
      <vt:lpstr>CS_CN_Avg_05</vt:lpstr>
      <vt:lpstr>CS_CN_Avg_06</vt:lpstr>
      <vt:lpstr>CS_CN_Avg_07</vt:lpstr>
      <vt:lpstr>CS_CN_Avg_08</vt:lpstr>
      <vt:lpstr>CS_CN_Avg_09</vt:lpstr>
      <vt:lpstr>CS_CN_Avg_10</vt:lpstr>
      <vt:lpstr>CS_CN_Avg_11</vt:lpstr>
      <vt:lpstr>CS_CN_Avg_12</vt:lpstr>
      <vt:lpstr>CS_CN_Avg_13</vt:lpstr>
      <vt:lpstr>CS_CN_Avg_14</vt:lpstr>
      <vt:lpstr>CS_CN_Avg_15</vt:lpstr>
      <vt:lpstr>CS_CN_Avg_16</vt:lpstr>
      <vt:lpstr>CS_CN_Avg_17</vt:lpstr>
      <vt:lpstr>CS_CN_Avg_18</vt:lpstr>
      <vt:lpstr>CS_CN_Avg_19</vt:lpstr>
      <vt:lpstr>CS_CN_Avg_20</vt:lpstr>
      <vt:lpstr>CS_CN_Avg_H1_00</vt:lpstr>
      <vt:lpstr>CS_CN_Avg_H1_01</vt:lpstr>
      <vt:lpstr>CS_CN_Avg_H1_02</vt:lpstr>
      <vt:lpstr>CS_CN_Avg_H1_03</vt:lpstr>
      <vt:lpstr>CS_CN_Avg_H1_04</vt:lpstr>
      <vt:lpstr>CS_CN_Avg_H1_05</vt:lpstr>
      <vt:lpstr>CS_CN_Avg_H1_06</vt:lpstr>
      <vt:lpstr>CS_CN_Avg_H1_07</vt:lpstr>
      <vt:lpstr>CS_CN_Avg_H1_08</vt:lpstr>
      <vt:lpstr>CS_CN_Avg_H1_09</vt:lpstr>
      <vt:lpstr>CS_CN_Avg_H1_10</vt:lpstr>
      <vt:lpstr>CS_CN_Avg_H1_11</vt:lpstr>
      <vt:lpstr>CS_CN_Avg_H1_12</vt:lpstr>
      <vt:lpstr>CS_CN_Avg_H1_13</vt:lpstr>
      <vt:lpstr>CS_CN_Avg_H1_14</vt:lpstr>
      <vt:lpstr>CS_CN_Avg_H1_15</vt:lpstr>
      <vt:lpstr>CS_CN_Avg_H1_16</vt:lpstr>
      <vt:lpstr>CS_CN_Avg_H1_17</vt:lpstr>
      <vt:lpstr>CS_CN_Avg_H1_18</vt:lpstr>
      <vt:lpstr>CS_CN_Avg_H1_19</vt:lpstr>
      <vt:lpstr>CS_CN_Avg_H1_20</vt:lpstr>
      <vt:lpstr>CS_CN_Avg_H2_00</vt:lpstr>
      <vt:lpstr>CS_CN_Avg_H2_01</vt:lpstr>
      <vt:lpstr>CS_CN_Avg_H2_02</vt:lpstr>
      <vt:lpstr>CS_CN_Avg_H2_03</vt:lpstr>
      <vt:lpstr>CS_CN_Avg_H2_04</vt:lpstr>
      <vt:lpstr>CS_CN_Avg_H2_05</vt:lpstr>
      <vt:lpstr>CS_CN_Avg_H2_06</vt:lpstr>
      <vt:lpstr>CS_CN_Avg_H2_07</vt:lpstr>
      <vt:lpstr>CS_CN_Avg_H2_08</vt:lpstr>
      <vt:lpstr>CS_CN_Avg_H2_09</vt:lpstr>
      <vt:lpstr>CS_CN_Avg_H2_10</vt:lpstr>
      <vt:lpstr>CS_CN_Avg_H2_11</vt:lpstr>
      <vt:lpstr>CS_CN_Avg_H2_12</vt:lpstr>
      <vt:lpstr>CS_CN_Avg_H2_13</vt:lpstr>
      <vt:lpstr>CS_CN_Avg_H2_14</vt:lpstr>
      <vt:lpstr>CS_CN_Avg_H2_15</vt:lpstr>
      <vt:lpstr>CS_CN_Avg_H2_16</vt:lpstr>
      <vt:lpstr>CS_CN_Avg_H2_17</vt:lpstr>
      <vt:lpstr>CS_CN_Avg_H2_18</vt:lpstr>
      <vt:lpstr>CS_CN_Avg_H2_19</vt:lpstr>
      <vt:lpstr>CS_CN_Avg_H2_20</vt:lpstr>
      <vt:lpstr>CS_CN_Clos_00</vt:lpstr>
      <vt:lpstr>CS_CN_Clos_01</vt:lpstr>
      <vt:lpstr>CS_CN_Clos_02</vt:lpstr>
      <vt:lpstr>CS_CN_Clos_03</vt:lpstr>
      <vt:lpstr>CS_CN_Clos_04</vt:lpstr>
      <vt:lpstr>CS_CN_Clos_05</vt:lpstr>
      <vt:lpstr>CS_CN_Clos_06</vt:lpstr>
      <vt:lpstr>CS_CN_Clos_07</vt:lpstr>
      <vt:lpstr>CS_CN_Clos_08</vt:lpstr>
      <vt:lpstr>CS_CN_Clos_09</vt:lpstr>
      <vt:lpstr>CS_CN_Clos_10</vt:lpstr>
      <vt:lpstr>CS_CN_Clos_11</vt:lpstr>
      <vt:lpstr>CS_CN_Clos_12</vt:lpstr>
      <vt:lpstr>CS_CN_Clos_13</vt:lpstr>
      <vt:lpstr>CS_CN_Clos_14</vt:lpstr>
      <vt:lpstr>CS_CN_Clos_15</vt:lpstr>
      <vt:lpstr>CS_CN_Clos_16</vt:lpstr>
      <vt:lpstr>CS_CN_Clos_17</vt:lpstr>
      <vt:lpstr>CS_CN_Clos_18</vt:lpstr>
      <vt:lpstr>CS_CN_Clos_19</vt:lpstr>
      <vt:lpstr>CS_CN_Clos_20</vt:lpstr>
      <vt:lpstr>CS_CN_Clos_H1_00</vt:lpstr>
      <vt:lpstr>CS_CN_Clos_H1_01</vt:lpstr>
      <vt:lpstr>CS_CN_Clos_H1_02</vt:lpstr>
      <vt:lpstr>CS_CN_Clos_H1_03</vt:lpstr>
      <vt:lpstr>CS_CN_Clos_H1_04</vt:lpstr>
      <vt:lpstr>CS_CN_Clos_H1_05</vt:lpstr>
      <vt:lpstr>CS_CN_Clos_H1_06</vt:lpstr>
      <vt:lpstr>CS_CN_Clos_H1_07</vt:lpstr>
      <vt:lpstr>CS_CN_Clos_H1_08</vt:lpstr>
      <vt:lpstr>CS_CN_Clos_H1_09</vt:lpstr>
      <vt:lpstr>CS_CN_Clos_H1_10</vt:lpstr>
      <vt:lpstr>CS_CN_Clos_H1_11</vt:lpstr>
      <vt:lpstr>CS_CN_Clos_H1_12</vt:lpstr>
      <vt:lpstr>CS_CN_Clos_H1_13</vt:lpstr>
      <vt:lpstr>CS_CN_Clos_H1_14</vt:lpstr>
      <vt:lpstr>CS_CN_Clos_H1_15</vt:lpstr>
      <vt:lpstr>CS_CN_Clos_H1_16</vt:lpstr>
      <vt:lpstr>CS_CN_Clos_H1_17</vt:lpstr>
      <vt:lpstr>CS_CN_Clos_H1_18</vt:lpstr>
      <vt:lpstr>CS_CN_Clos_H1_19</vt:lpstr>
      <vt:lpstr>CS_CN_Clos_H1_20</vt:lpstr>
      <vt:lpstr>CS_CN_Clos_H2_00</vt:lpstr>
      <vt:lpstr>CS_CN_Clos_H2_01</vt:lpstr>
      <vt:lpstr>CS_CN_Clos_H2_02</vt:lpstr>
      <vt:lpstr>CS_CN_Clos_H2_03</vt:lpstr>
      <vt:lpstr>CS_CN_Clos_H2_04</vt:lpstr>
      <vt:lpstr>CS_CN_Clos_H2_05</vt:lpstr>
      <vt:lpstr>CS_CN_Clos_H2_06</vt:lpstr>
      <vt:lpstr>CS_CN_Clos_H2_07</vt:lpstr>
      <vt:lpstr>CS_CN_Clos_H2_08</vt:lpstr>
      <vt:lpstr>CS_CN_Clos_H2_09</vt:lpstr>
      <vt:lpstr>CS_CN_Clos_H2_10</vt:lpstr>
      <vt:lpstr>CS_CN_Clos_H2_11</vt:lpstr>
      <vt:lpstr>CS_CN_Clos_H2_12</vt:lpstr>
      <vt:lpstr>CS_CN_Clos_H2_13</vt:lpstr>
      <vt:lpstr>CS_CN_Clos_H2_14</vt:lpstr>
      <vt:lpstr>CS_CN_Clos_H2_15</vt:lpstr>
      <vt:lpstr>CS_CN_Clos_H2_16</vt:lpstr>
      <vt:lpstr>CS_CN_Clos_H2_17</vt:lpstr>
      <vt:lpstr>CS_CN_Clos_H2_18</vt:lpstr>
      <vt:lpstr>CS_CN_Clos_H2_19</vt:lpstr>
      <vt:lpstr>CS_CN_Clos_H2_20</vt:lpstr>
      <vt:lpstr>CS_CN_Conv_00</vt:lpstr>
      <vt:lpstr>CS_CN_Conv_01</vt:lpstr>
      <vt:lpstr>CS_CN_Conv_02</vt:lpstr>
      <vt:lpstr>CS_CN_Conv_03</vt:lpstr>
      <vt:lpstr>CS_CN_Conv_04</vt:lpstr>
      <vt:lpstr>CS_CN_Conv_05</vt:lpstr>
      <vt:lpstr>CS_CN_Conv_06</vt:lpstr>
      <vt:lpstr>CS_CN_Conv_07</vt:lpstr>
      <vt:lpstr>CS_CN_Conv_08</vt:lpstr>
      <vt:lpstr>CS_CN_Conv_09</vt:lpstr>
      <vt:lpstr>CS_CN_Conv_10</vt:lpstr>
      <vt:lpstr>CS_CN_Conv_11</vt:lpstr>
      <vt:lpstr>CS_CN_Conv_12</vt:lpstr>
      <vt:lpstr>CS_CN_Conv_13</vt:lpstr>
      <vt:lpstr>CS_CN_Conv_14</vt:lpstr>
      <vt:lpstr>CS_CN_Conv_15</vt:lpstr>
      <vt:lpstr>CS_CN_Conv_16</vt:lpstr>
      <vt:lpstr>CS_CN_Conv_17</vt:lpstr>
      <vt:lpstr>CS_CN_Conv_18</vt:lpstr>
      <vt:lpstr>CS_CN_Conv_19</vt:lpstr>
      <vt:lpstr>CS_CN_Conv_20</vt:lpstr>
      <vt:lpstr>CS_CN_Conv_H1_00</vt:lpstr>
      <vt:lpstr>CS_CN_Conv_H1_01</vt:lpstr>
      <vt:lpstr>CS_CN_Conv_H1_02</vt:lpstr>
      <vt:lpstr>CS_CN_Conv_H1_03</vt:lpstr>
      <vt:lpstr>CS_CN_Conv_H1_04</vt:lpstr>
      <vt:lpstr>CS_CN_Conv_H1_05</vt:lpstr>
      <vt:lpstr>CS_CN_Conv_H1_06</vt:lpstr>
      <vt:lpstr>CS_CN_Conv_H1_07</vt:lpstr>
      <vt:lpstr>CS_CN_Conv_H1_08</vt:lpstr>
      <vt:lpstr>CS_CN_Conv_H1_09</vt:lpstr>
      <vt:lpstr>CS_CN_Conv_H1_10</vt:lpstr>
      <vt:lpstr>CS_CN_Conv_H1_11</vt:lpstr>
      <vt:lpstr>CS_CN_Conv_H1_12</vt:lpstr>
      <vt:lpstr>CS_CN_Conv_H1_13</vt:lpstr>
      <vt:lpstr>CS_CN_Conv_H1_14</vt:lpstr>
      <vt:lpstr>CS_CN_Conv_H1_15</vt:lpstr>
      <vt:lpstr>CS_CN_Conv_H1_16</vt:lpstr>
      <vt:lpstr>CS_CN_Conv_H1_17</vt:lpstr>
      <vt:lpstr>CS_CN_Conv_H1_18</vt:lpstr>
      <vt:lpstr>CS_CN_Conv_H1_19</vt:lpstr>
      <vt:lpstr>CS_CN_Conv_H1_20</vt:lpstr>
      <vt:lpstr>CS_CN_Conv_H2_00</vt:lpstr>
      <vt:lpstr>CS_CN_Conv_H2_01</vt:lpstr>
      <vt:lpstr>CS_CN_Conv_H2_02</vt:lpstr>
      <vt:lpstr>CS_CN_Conv_H2_03</vt:lpstr>
      <vt:lpstr>CS_CN_Conv_H2_04</vt:lpstr>
      <vt:lpstr>CS_CN_Conv_H2_05</vt:lpstr>
      <vt:lpstr>CS_CN_Conv_H2_06</vt:lpstr>
      <vt:lpstr>CS_CN_Conv_H2_07</vt:lpstr>
      <vt:lpstr>CS_CN_Conv_H2_08</vt:lpstr>
      <vt:lpstr>CS_CN_Conv_H2_09</vt:lpstr>
      <vt:lpstr>CS_CN_Conv_H2_10</vt:lpstr>
      <vt:lpstr>CS_CN_Conv_H2_11</vt:lpstr>
      <vt:lpstr>CS_CN_Conv_H2_12</vt:lpstr>
      <vt:lpstr>CS_CN_Conv_H2_13</vt:lpstr>
      <vt:lpstr>CS_CN_Conv_H2_14</vt:lpstr>
      <vt:lpstr>CS_CN_Conv_H2_15</vt:lpstr>
      <vt:lpstr>CS_CN_Conv_H2_16</vt:lpstr>
      <vt:lpstr>CS_CN_Conv_H2_17</vt:lpstr>
      <vt:lpstr>CS_CN_Conv_H2_18</vt:lpstr>
      <vt:lpstr>CS_CN_Conv_H2_19</vt:lpstr>
      <vt:lpstr>CS_CN_Conv_H2_20</vt:lpstr>
      <vt:lpstr>CS_CN_Issue_00</vt:lpstr>
      <vt:lpstr>CS_CN_Issue_01</vt:lpstr>
      <vt:lpstr>CS_CN_Issue_02</vt:lpstr>
      <vt:lpstr>CS_CN_Issue_03</vt:lpstr>
      <vt:lpstr>CS_CN_Issue_04</vt:lpstr>
      <vt:lpstr>CS_CN_Issue_05</vt:lpstr>
      <vt:lpstr>CS_CN_Issue_06</vt:lpstr>
      <vt:lpstr>CS_CN_Issue_07</vt:lpstr>
      <vt:lpstr>CS_CN_Issue_08</vt:lpstr>
      <vt:lpstr>CS_CN_Issue_09</vt:lpstr>
      <vt:lpstr>CS_CN_Issue_10</vt:lpstr>
      <vt:lpstr>CS_CN_Issue_11</vt:lpstr>
      <vt:lpstr>CS_CN_Issue_12</vt:lpstr>
      <vt:lpstr>CS_CN_Issue_13</vt:lpstr>
      <vt:lpstr>CS_CN_Issue_14</vt:lpstr>
      <vt:lpstr>CS_CN_Issue_15</vt:lpstr>
      <vt:lpstr>CS_CN_Issue_16</vt:lpstr>
      <vt:lpstr>CS_CN_Issue_17</vt:lpstr>
      <vt:lpstr>CS_CN_Issue_18</vt:lpstr>
      <vt:lpstr>CS_CN_Issue_19</vt:lpstr>
      <vt:lpstr>CS_CN_Issue_20</vt:lpstr>
      <vt:lpstr>CS_CN_Issue_H1_00</vt:lpstr>
      <vt:lpstr>CS_CN_Issue_H1_01</vt:lpstr>
      <vt:lpstr>CS_CN_Issue_H1_02</vt:lpstr>
      <vt:lpstr>CS_CN_Issue_H1_03</vt:lpstr>
      <vt:lpstr>CS_CN_Issue_H1_04</vt:lpstr>
      <vt:lpstr>CS_CN_Issue_H1_05</vt:lpstr>
      <vt:lpstr>CS_CN_Issue_H1_06</vt:lpstr>
      <vt:lpstr>CS_CN_Issue_H1_07</vt:lpstr>
      <vt:lpstr>CS_CN_Issue_H1_08</vt:lpstr>
      <vt:lpstr>CS_CN_Issue_H1_09</vt:lpstr>
      <vt:lpstr>CS_CN_Issue_H1_10</vt:lpstr>
      <vt:lpstr>CS_CN_Issue_H1_11</vt:lpstr>
      <vt:lpstr>CS_CN_Issue_H1_12</vt:lpstr>
      <vt:lpstr>CS_CN_Issue_H1_13</vt:lpstr>
      <vt:lpstr>CS_CN_Issue_H1_14</vt:lpstr>
      <vt:lpstr>CS_CN_Issue_H1_15</vt:lpstr>
      <vt:lpstr>CS_CN_Issue_H1_16</vt:lpstr>
      <vt:lpstr>CS_CN_Issue_H1_17</vt:lpstr>
      <vt:lpstr>CS_CN_Issue_H1_18</vt:lpstr>
      <vt:lpstr>CS_CN_Issue_H1_19</vt:lpstr>
      <vt:lpstr>CS_CN_Issue_H1_20</vt:lpstr>
      <vt:lpstr>CS_CN_Issue_H2_00</vt:lpstr>
      <vt:lpstr>CS_CN_Issue_H2_01</vt:lpstr>
      <vt:lpstr>CS_CN_Issue_H2_02</vt:lpstr>
      <vt:lpstr>CS_CN_Issue_H2_03</vt:lpstr>
      <vt:lpstr>CS_CN_Issue_H2_04</vt:lpstr>
      <vt:lpstr>CS_CN_Issue_H2_05</vt:lpstr>
      <vt:lpstr>CS_CN_Issue_H2_06</vt:lpstr>
      <vt:lpstr>CS_CN_Issue_H2_07</vt:lpstr>
      <vt:lpstr>CS_CN_Issue_H2_08</vt:lpstr>
      <vt:lpstr>CS_CN_Issue_H2_09</vt:lpstr>
      <vt:lpstr>CS_CN_Issue_H2_10</vt:lpstr>
      <vt:lpstr>CS_CN_Issue_H2_11</vt:lpstr>
      <vt:lpstr>CS_CN_Issue_H2_12</vt:lpstr>
      <vt:lpstr>CS_CN_Issue_H2_13</vt:lpstr>
      <vt:lpstr>CS_CN_Issue_H2_14</vt:lpstr>
      <vt:lpstr>CS_CN_Issue_H2_15</vt:lpstr>
      <vt:lpstr>CS_CN_Issue_H2_16</vt:lpstr>
      <vt:lpstr>CS_CN_Issue_H2_17</vt:lpstr>
      <vt:lpstr>CS_CN_Issue_H2_18</vt:lpstr>
      <vt:lpstr>CS_CN_Issue_H2_19</vt:lpstr>
      <vt:lpstr>CS_CN_Issue_H2_20</vt:lpstr>
      <vt:lpstr>CS_CN_Op_00</vt:lpstr>
      <vt:lpstr>CS_CN_Op_01</vt:lpstr>
      <vt:lpstr>CS_CN_Op_02</vt:lpstr>
      <vt:lpstr>CS_CN_Op_03</vt:lpstr>
      <vt:lpstr>CS_CN_Op_04</vt:lpstr>
      <vt:lpstr>CS_CN_Op_05</vt:lpstr>
      <vt:lpstr>CS_CN_Op_06</vt:lpstr>
      <vt:lpstr>CS_CN_Op_07</vt:lpstr>
      <vt:lpstr>CS_CN_Op_08</vt:lpstr>
      <vt:lpstr>CS_CN_Op_09</vt:lpstr>
      <vt:lpstr>CS_CN_Op_10</vt:lpstr>
      <vt:lpstr>CS_CN_Op_11</vt:lpstr>
      <vt:lpstr>CS_CN_Op_12</vt:lpstr>
      <vt:lpstr>CS_CN_Op_13</vt:lpstr>
      <vt:lpstr>CS_CN_Op_14</vt:lpstr>
      <vt:lpstr>CS_CN_Op_15</vt:lpstr>
      <vt:lpstr>CS_CN_Op_16</vt:lpstr>
      <vt:lpstr>CS_CN_Op_17</vt:lpstr>
      <vt:lpstr>CS_CN_Op_18</vt:lpstr>
      <vt:lpstr>CS_CN_Op_19</vt:lpstr>
      <vt:lpstr>CS_CN_Op_20</vt:lpstr>
      <vt:lpstr>CS_CN_Op_H1_00</vt:lpstr>
      <vt:lpstr>CS_CN_Op_H1_01</vt:lpstr>
      <vt:lpstr>CS_CN_Op_H1_02</vt:lpstr>
      <vt:lpstr>CS_CN_Op_H1_03</vt:lpstr>
      <vt:lpstr>CS_CN_Op_H1_04</vt:lpstr>
      <vt:lpstr>CS_CN_Op_H1_05</vt:lpstr>
      <vt:lpstr>CS_CN_Op_H1_06</vt:lpstr>
      <vt:lpstr>CS_CN_Op_H1_07</vt:lpstr>
      <vt:lpstr>CS_CN_Op_H1_08</vt:lpstr>
      <vt:lpstr>CS_CN_Op_H1_09</vt:lpstr>
      <vt:lpstr>CS_CN_Op_H1_10</vt:lpstr>
      <vt:lpstr>CS_CN_Op_H1_11</vt:lpstr>
      <vt:lpstr>CS_CN_Op_H1_12</vt:lpstr>
      <vt:lpstr>CS_CN_Op_H1_13</vt:lpstr>
      <vt:lpstr>CS_CN_Op_H1_14</vt:lpstr>
      <vt:lpstr>CS_CN_Op_H1_15</vt:lpstr>
      <vt:lpstr>CS_CN_Op_H1_16</vt:lpstr>
      <vt:lpstr>CS_CN_Op_H1_17</vt:lpstr>
      <vt:lpstr>CS_CN_Op_H1_18</vt:lpstr>
      <vt:lpstr>CS_CN_Op_H1_19</vt:lpstr>
      <vt:lpstr>CS_CN_Op_H1_20</vt:lpstr>
      <vt:lpstr>CS_CN_Op_H2_00</vt:lpstr>
      <vt:lpstr>CS_CN_Op_H2_01</vt:lpstr>
      <vt:lpstr>CS_CN_Op_H2_02</vt:lpstr>
      <vt:lpstr>CS_CN_Op_H2_03</vt:lpstr>
      <vt:lpstr>CS_CN_Op_H2_04</vt:lpstr>
      <vt:lpstr>CS_CN_Op_H2_05</vt:lpstr>
      <vt:lpstr>CS_CN_Op_H2_06</vt:lpstr>
      <vt:lpstr>CS_CN_Op_H2_07</vt:lpstr>
      <vt:lpstr>CS_CN_Op_H2_08</vt:lpstr>
      <vt:lpstr>CS_CN_Op_H2_09</vt:lpstr>
      <vt:lpstr>CS_CN_Op_H2_10</vt:lpstr>
      <vt:lpstr>CS_CN_Op_H2_11</vt:lpstr>
      <vt:lpstr>CS_CN_Op_H2_12</vt:lpstr>
      <vt:lpstr>CS_CN_Op_H2_13</vt:lpstr>
      <vt:lpstr>CS_CN_Op_H2_14</vt:lpstr>
      <vt:lpstr>CS_CN_Op_H2_15</vt:lpstr>
      <vt:lpstr>CS_CN_Op_H2_16</vt:lpstr>
      <vt:lpstr>CS_CN_Op_H2_17</vt:lpstr>
      <vt:lpstr>CS_CN_Op_H2_18</vt:lpstr>
      <vt:lpstr>CS_CN_Op_H2_19</vt:lpstr>
      <vt:lpstr>CS_CN_Op_H2_20</vt:lpstr>
      <vt:lpstr>CS_CN_Repaid_00</vt:lpstr>
      <vt:lpstr>CS_CN_Repaid_01</vt:lpstr>
      <vt:lpstr>CS_CN_Repaid_02</vt:lpstr>
      <vt:lpstr>CS_CN_Repaid_03</vt:lpstr>
      <vt:lpstr>CS_CN_Repaid_04</vt:lpstr>
      <vt:lpstr>CS_CN_Repaid_05</vt:lpstr>
      <vt:lpstr>CS_CN_Repaid_06</vt:lpstr>
      <vt:lpstr>CS_CN_Repaid_07</vt:lpstr>
      <vt:lpstr>CS_CN_Repaid_08</vt:lpstr>
      <vt:lpstr>CS_CN_Repaid_09</vt:lpstr>
      <vt:lpstr>CS_CN_Repaid_10</vt:lpstr>
      <vt:lpstr>CS_CN_Repaid_11</vt:lpstr>
      <vt:lpstr>CS_CN_Repaid_12</vt:lpstr>
      <vt:lpstr>CS_CN_Repaid_13</vt:lpstr>
      <vt:lpstr>CS_CN_Repaid_14</vt:lpstr>
      <vt:lpstr>CS_CN_Repaid_15</vt:lpstr>
      <vt:lpstr>CS_CN_Repaid_16</vt:lpstr>
      <vt:lpstr>CS_CN_Repaid_17</vt:lpstr>
      <vt:lpstr>CS_CN_Repaid_18</vt:lpstr>
      <vt:lpstr>CS_CN_Repaid_19</vt:lpstr>
      <vt:lpstr>CS_CN_Repaid_20</vt:lpstr>
      <vt:lpstr>CS_CN_Repaid_H1_00</vt:lpstr>
      <vt:lpstr>CS_CN_Repaid_H1_01</vt:lpstr>
      <vt:lpstr>CS_CN_Repaid_H1_02</vt:lpstr>
      <vt:lpstr>CS_CN_Repaid_H1_03</vt:lpstr>
      <vt:lpstr>CS_CN_Repaid_H1_04</vt:lpstr>
      <vt:lpstr>CS_CN_Repaid_H1_05</vt:lpstr>
      <vt:lpstr>CS_CN_Repaid_H1_06</vt:lpstr>
      <vt:lpstr>CS_CN_Repaid_H1_07</vt:lpstr>
      <vt:lpstr>CS_CN_Repaid_H1_08</vt:lpstr>
      <vt:lpstr>CS_CN_Repaid_H1_09</vt:lpstr>
      <vt:lpstr>CS_CN_Repaid_H1_10</vt:lpstr>
      <vt:lpstr>CS_CN_Repaid_H1_11</vt:lpstr>
      <vt:lpstr>CS_CN_Repaid_H1_12</vt:lpstr>
      <vt:lpstr>CS_CN_Repaid_H1_13</vt:lpstr>
      <vt:lpstr>CS_CN_Repaid_H1_14</vt:lpstr>
      <vt:lpstr>CS_CN_Repaid_H1_15</vt:lpstr>
      <vt:lpstr>CS_CN_Repaid_H1_16</vt:lpstr>
      <vt:lpstr>CS_CN_Repaid_H1_17</vt:lpstr>
      <vt:lpstr>CS_CN_Repaid_H1_18</vt:lpstr>
      <vt:lpstr>CS_CN_Repaid_H1_19</vt:lpstr>
      <vt:lpstr>CS_CN_Repaid_H1_20</vt:lpstr>
      <vt:lpstr>CS_CN_Repaid_H2_00</vt:lpstr>
      <vt:lpstr>CS_CN_Repaid_H2_01</vt:lpstr>
      <vt:lpstr>CS_CN_Repaid_H2_02</vt:lpstr>
      <vt:lpstr>CS_CN_Repaid_H2_03</vt:lpstr>
      <vt:lpstr>CS_CN_Repaid_H2_04</vt:lpstr>
      <vt:lpstr>CS_CN_Repaid_H2_05</vt:lpstr>
      <vt:lpstr>CS_CN_Repaid_H2_06</vt:lpstr>
      <vt:lpstr>CS_CN_Repaid_H2_07</vt:lpstr>
      <vt:lpstr>CS_CN_Repaid_H2_08</vt:lpstr>
      <vt:lpstr>CS_CN_Repaid_H2_09</vt:lpstr>
      <vt:lpstr>CS_CN_Repaid_H2_10</vt:lpstr>
      <vt:lpstr>CS_CN_Repaid_H2_11</vt:lpstr>
      <vt:lpstr>CS_CN_Repaid_H2_12</vt:lpstr>
      <vt:lpstr>CS_CN_Repaid_H2_13</vt:lpstr>
      <vt:lpstr>CS_CN_Repaid_H2_14</vt:lpstr>
      <vt:lpstr>CS_CN_Repaid_H2_15</vt:lpstr>
      <vt:lpstr>CS_CN_Repaid_H2_16</vt:lpstr>
      <vt:lpstr>CS_CN_Repaid_H2_17</vt:lpstr>
      <vt:lpstr>CS_CN_Repaid_H2_18</vt:lpstr>
      <vt:lpstr>CS_CN_Repaid_H2_19</vt:lpstr>
      <vt:lpstr>CS_CN_Repaid_H2_20</vt:lpstr>
      <vt:lpstr>CS_NonCon_Clos_00</vt:lpstr>
      <vt:lpstr>CS_NonCon_Clos_01</vt:lpstr>
      <vt:lpstr>CS_NonCon_Clos_02</vt:lpstr>
      <vt:lpstr>CS_NonCon_Clos_03</vt:lpstr>
      <vt:lpstr>CS_NonCon_Clos_04</vt:lpstr>
      <vt:lpstr>CS_NonCon_Clos_05</vt:lpstr>
      <vt:lpstr>CS_NonCon_Clos_06</vt:lpstr>
      <vt:lpstr>CS_NonCon_Clos_07</vt:lpstr>
      <vt:lpstr>CS_NonCon_Clos_08</vt:lpstr>
      <vt:lpstr>CS_NonCon_Clos_09</vt:lpstr>
      <vt:lpstr>CS_NonCon_Clos_10</vt:lpstr>
      <vt:lpstr>CS_NonCon_Clos_11</vt:lpstr>
      <vt:lpstr>CS_NonCon_Clos_12</vt:lpstr>
      <vt:lpstr>CS_NonCon_Clos_13</vt:lpstr>
      <vt:lpstr>CS_NonCon_Clos_14</vt:lpstr>
      <vt:lpstr>CS_NonCon_Clos_15</vt:lpstr>
      <vt:lpstr>CS_NonCon_Clos_16</vt:lpstr>
      <vt:lpstr>CS_NonCon_Clos_17</vt:lpstr>
      <vt:lpstr>CS_NonCon_Clos_18</vt:lpstr>
      <vt:lpstr>CS_NonCon_Clos_19</vt:lpstr>
      <vt:lpstr>CS_NonCon_Clos_20</vt:lpstr>
      <vt:lpstr>CS_NonCon_Clos_H1_00</vt:lpstr>
      <vt:lpstr>CS_NonCon_Clos_H1_01</vt:lpstr>
      <vt:lpstr>CS_NonCon_Clos_H1_02</vt:lpstr>
      <vt:lpstr>CS_NonCon_Clos_H1_03</vt:lpstr>
      <vt:lpstr>CS_NonCon_Clos_H1_04</vt:lpstr>
      <vt:lpstr>CS_NonCon_Clos_H1_05</vt:lpstr>
      <vt:lpstr>CS_NonCon_Clos_H1_06</vt:lpstr>
      <vt:lpstr>CS_NonCon_Clos_H1_07</vt:lpstr>
      <vt:lpstr>CS_NonCon_Clos_H1_08</vt:lpstr>
      <vt:lpstr>CS_NonCon_Clos_H1_09</vt:lpstr>
      <vt:lpstr>CS_NonCon_Clos_H1_10</vt:lpstr>
      <vt:lpstr>CS_NonCon_Clos_H1_11</vt:lpstr>
      <vt:lpstr>CS_NonCon_Clos_H1_12</vt:lpstr>
      <vt:lpstr>CS_NonCon_Clos_H1_13</vt:lpstr>
      <vt:lpstr>CS_NonCon_Clos_H1_14</vt:lpstr>
      <vt:lpstr>CS_NonCon_Clos_H1_15</vt:lpstr>
      <vt:lpstr>CS_NonCon_Clos_H1_16</vt:lpstr>
      <vt:lpstr>CS_NonCon_Clos_H1_17</vt:lpstr>
      <vt:lpstr>CS_NonCon_Clos_H1_18</vt:lpstr>
      <vt:lpstr>CS_NonCon_Clos_H1_19</vt:lpstr>
      <vt:lpstr>CS_NonCon_Clos_H1_20</vt:lpstr>
      <vt:lpstr>CS_NonCon_Clos_H2_00</vt:lpstr>
      <vt:lpstr>CS_NonCon_Clos_H2_01</vt:lpstr>
      <vt:lpstr>CS_NonCon_Clos_H2_02</vt:lpstr>
      <vt:lpstr>CS_NonCon_Clos_H2_03</vt:lpstr>
      <vt:lpstr>CS_NonCon_Clos_H2_04</vt:lpstr>
      <vt:lpstr>CS_NonCon_Clos_H2_05</vt:lpstr>
      <vt:lpstr>CS_NonCon_Clos_H2_06</vt:lpstr>
      <vt:lpstr>CS_NonCon_Clos_H2_07</vt:lpstr>
      <vt:lpstr>CS_NonCon_Clos_H2_08</vt:lpstr>
      <vt:lpstr>CS_NonCon_Clos_H2_09</vt:lpstr>
      <vt:lpstr>CS_NonCon_Clos_H2_10</vt:lpstr>
      <vt:lpstr>CS_NonCon_Clos_H2_11</vt:lpstr>
      <vt:lpstr>CS_NonCon_Clos_H2_12</vt:lpstr>
      <vt:lpstr>CS_NonCon_Clos_H2_13</vt:lpstr>
      <vt:lpstr>CS_NonCon_Clos_H2_14</vt:lpstr>
      <vt:lpstr>CS_NonCon_Clos_H2_15</vt:lpstr>
      <vt:lpstr>CS_NonCon_Clos_H2_16</vt:lpstr>
      <vt:lpstr>CS_NonCon_Clos_H2_17</vt:lpstr>
      <vt:lpstr>CS_NonCon_Clos_H2_18</vt:lpstr>
      <vt:lpstr>CS_NonCon_Clos_H2_19</vt:lpstr>
      <vt:lpstr>CS_NonCon_Clos_H2_20</vt:lpstr>
      <vt:lpstr>CS_NonCon_Issue_00</vt:lpstr>
      <vt:lpstr>CS_NonCon_Issue_01</vt:lpstr>
      <vt:lpstr>CS_NonCon_Issue_02</vt:lpstr>
      <vt:lpstr>CS_NonCon_Issue_03</vt:lpstr>
      <vt:lpstr>CS_NonCon_Issue_04</vt:lpstr>
      <vt:lpstr>CS_NonCon_Issue_05</vt:lpstr>
      <vt:lpstr>CS_NonCon_Issue_06</vt:lpstr>
      <vt:lpstr>CS_NonCon_Issue_07</vt:lpstr>
      <vt:lpstr>CS_NonCon_Issue_08</vt:lpstr>
      <vt:lpstr>CS_NonCon_Issue_09</vt:lpstr>
      <vt:lpstr>CS_NonCon_Issue_10</vt:lpstr>
      <vt:lpstr>CS_NonCon_Issue_11</vt:lpstr>
      <vt:lpstr>CS_NonCon_Issue_12</vt:lpstr>
      <vt:lpstr>CS_NonCon_Issue_13</vt:lpstr>
      <vt:lpstr>CS_NonCon_Issue_14</vt:lpstr>
      <vt:lpstr>CS_NonCon_Issue_15</vt:lpstr>
      <vt:lpstr>CS_NonCon_Issue_16</vt:lpstr>
      <vt:lpstr>CS_NonCon_Issue_17</vt:lpstr>
      <vt:lpstr>CS_NonCon_Issue_18</vt:lpstr>
      <vt:lpstr>CS_NonCon_Issue_19</vt:lpstr>
      <vt:lpstr>CS_NonCon_Issue_20</vt:lpstr>
      <vt:lpstr>CS_NonCon_Issue_H1_00</vt:lpstr>
      <vt:lpstr>CS_NonCon_Issue_H1_01</vt:lpstr>
      <vt:lpstr>CS_NonCon_Issue_H1_02</vt:lpstr>
      <vt:lpstr>CS_NonCon_Issue_H1_03</vt:lpstr>
      <vt:lpstr>CS_NonCon_Issue_H1_04</vt:lpstr>
      <vt:lpstr>CS_NonCon_Issue_H1_05</vt:lpstr>
      <vt:lpstr>CS_NonCon_Issue_H1_06</vt:lpstr>
      <vt:lpstr>CS_NonCon_Issue_H1_07</vt:lpstr>
      <vt:lpstr>CS_NonCon_Issue_H1_08</vt:lpstr>
      <vt:lpstr>CS_NonCon_Issue_H1_09</vt:lpstr>
      <vt:lpstr>CS_NonCon_Issue_H1_10</vt:lpstr>
      <vt:lpstr>CS_NonCon_Issue_H1_11</vt:lpstr>
      <vt:lpstr>CS_NonCon_Issue_H1_12</vt:lpstr>
      <vt:lpstr>CS_NonCon_Issue_H1_13</vt:lpstr>
      <vt:lpstr>CS_NonCon_Issue_H1_14</vt:lpstr>
      <vt:lpstr>CS_NonCon_Issue_H1_15</vt:lpstr>
      <vt:lpstr>CS_NonCon_Issue_H1_16</vt:lpstr>
      <vt:lpstr>CS_NonCon_Issue_H1_17</vt:lpstr>
      <vt:lpstr>CS_NonCon_Issue_H1_18</vt:lpstr>
      <vt:lpstr>CS_NonCon_Issue_H1_19</vt:lpstr>
      <vt:lpstr>CS_NonCon_Issue_H1_20</vt:lpstr>
      <vt:lpstr>CS_NonCon_Issue_H2_00</vt:lpstr>
      <vt:lpstr>CS_NonCon_Issue_H2_01</vt:lpstr>
      <vt:lpstr>CS_NonCon_Issue_H2_02</vt:lpstr>
      <vt:lpstr>CS_NonCon_Issue_H2_03</vt:lpstr>
      <vt:lpstr>CS_NonCon_Issue_H2_04</vt:lpstr>
      <vt:lpstr>CS_NonCon_Issue_H2_05</vt:lpstr>
      <vt:lpstr>CS_NonCon_Issue_H2_06</vt:lpstr>
      <vt:lpstr>CS_NonCon_Issue_H2_07</vt:lpstr>
      <vt:lpstr>CS_NonCon_Issue_H2_08</vt:lpstr>
      <vt:lpstr>CS_NonCon_Issue_H2_09</vt:lpstr>
      <vt:lpstr>CS_NonCon_Issue_H2_10</vt:lpstr>
      <vt:lpstr>CS_NonCon_Issue_H2_11</vt:lpstr>
      <vt:lpstr>CS_NonCon_Issue_H2_12</vt:lpstr>
      <vt:lpstr>CS_NonCon_Issue_H2_13</vt:lpstr>
      <vt:lpstr>CS_NonCon_Issue_H2_14</vt:lpstr>
      <vt:lpstr>CS_NonCon_Issue_H2_15</vt:lpstr>
      <vt:lpstr>CS_NonCon_Issue_H2_16</vt:lpstr>
      <vt:lpstr>CS_NonCon_Issue_H2_17</vt:lpstr>
      <vt:lpstr>CS_NonCon_Issue_H2_18</vt:lpstr>
      <vt:lpstr>CS_NonCon_Issue_H2_19</vt:lpstr>
      <vt:lpstr>CS_NonCon_Issue_H2_20</vt:lpstr>
      <vt:lpstr>CS_NonCon_Op_00</vt:lpstr>
      <vt:lpstr>CS_NonCon_Op_01</vt:lpstr>
      <vt:lpstr>CS_NonCon_Op_02</vt:lpstr>
      <vt:lpstr>CS_NonCon_Op_03</vt:lpstr>
      <vt:lpstr>CS_NonCon_Op_04</vt:lpstr>
      <vt:lpstr>CS_NonCon_Op_05</vt:lpstr>
      <vt:lpstr>CS_NonCon_Op_06</vt:lpstr>
      <vt:lpstr>CS_NonCon_Op_07</vt:lpstr>
      <vt:lpstr>CS_NonCon_Op_08</vt:lpstr>
      <vt:lpstr>CS_NonCon_Op_09</vt:lpstr>
      <vt:lpstr>CS_NonCon_Op_10</vt:lpstr>
      <vt:lpstr>CS_NonCon_Op_11</vt:lpstr>
      <vt:lpstr>CS_NonCon_Op_12</vt:lpstr>
      <vt:lpstr>CS_NonCon_Op_13</vt:lpstr>
      <vt:lpstr>CS_NonCon_Op_14</vt:lpstr>
      <vt:lpstr>CS_NonCon_Op_15</vt:lpstr>
      <vt:lpstr>CS_NonCon_Op_16</vt:lpstr>
      <vt:lpstr>CS_NonCon_Op_17</vt:lpstr>
      <vt:lpstr>CS_NonCon_Op_18</vt:lpstr>
      <vt:lpstr>CS_NonCon_Op_19</vt:lpstr>
      <vt:lpstr>CS_NonCon_Op_20</vt:lpstr>
      <vt:lpstr>CS_NonCon_Op_H1_00</vt:lpstr>
      <vt:lpstr>CS_NonCon_Op_H1_01</vt:lpstr>
      <vt:lpstr>CS_NonCon_Op_H1_02</vt:lpstr>
      <vt:lpstr>CS_NonCon_Op_H1_03</vt:lpstr>
      <vt:lpstr>CS_NonCon_Op_H1_04</vt:lpstr>
      <vt:lpstr>CS_NonCon_Op_H1_05</vt:lpstr>
      <vt:lpstr>CS_NonCon_Op_H1_06</vt:lpstr>
      <vt:lpstr>CS_NonCon_Op_H1_07</vt:lpstr>
      <vt:lpstr>CS_NonCon_Op_H1_08</vt:lpstr>
      <vt:lpstr>CS_NonCon_Op_H1_09</vt:lpstr>
      <vt:lpstr>CS_NonCon_Op_H1_10</vt:lpstr>
      <vt:lpstr>CS_NonCon_Op_H1_11</vt:lpstr>
      <vt:lpstr>CS_NonCon_Op_H1_12</vt:lpstr>
      <vt:lpstr>CS_NonCon_Op_H1_13</vt:lpstr>
      <vt:lpstr>CS_NonCon_Op_H1_14</vt:lpstr>
      <vt:lpstr>CS_NonCon_Op_H1_15</vt:lpstr>
      <vt:lpstr>CS_NonCon_Op_H1_16</vt:lpstr>
      <vt:lpstr>CS_NonCon_Op_H1_17</vt:lpstr>
      <vt:lpstr>CS_NonCon_Op_H1_18</vt:lpstr>
      <vt:lpstr>CS_NonCon_Op_H1_19</vt:lpstr>
      <vt:lpstr>CS_NonCon_Op_H1_20</vt:lpstr>
      <vt:lpstr>CS_NonCon_Op_H2_00</vt:lpstr>
      <vt:lpstr>CS_NonCon_Op_H2_01</vt:lpstr>
      <vt:lpstr>CS_NonCon_Op_H2_02</vt:lpstr>
      <vt:lpstr>CS_NonCon_Op_H2_03</vt:lpstr>
      <vt:lpstr>CS_NonCon_Op_H2_04</vt:lpstr>
      <vt:lpstr>CS_NonCon_Op_H2_05</vt:lpstr>
      <vt:lpstr>CS_NonCon_Op_H2_06</vt:lpstr>
      <vt:lpstr>CS_NonCon_Op_H2_07</vt:lpstr>
      <vt:lpstr>CS_NonCon_Op_H2_08</vt:lpstr>
      <vt:lpstr>CS_NonCon_Op_H2_09</vt:lpstr>
      <vt:lpstr>CS_NonCon_Op_H2_10</vt:lpstr>
      <vt:lpstr>CS_NonCon_Op_H2_11</vt:lpstr>
      <vt:lpstr>CS_NonCon_Op_H2_12</vt:lpstr>
      <vt:lpstr>CS_NonCon_Op_H2_13</vt:lpstr>
      <vt:lpstr>CS_NonCon_Op_H2_14</vt:lpstr>
      <vt:lpstr>CS_NonCon_Op_H2_15</vt:lpstr>
      <vt:lpstr>CS_NonCon_Op_H2_16</vt:lpstr>
      <vt:lpstr>CS_NonCon_Op_H2_17</vt:lpstr>
      <vt:lpstr>CS_NonCon_Op_H2_18</vt:lpstr>
      <vt:lpstr>CS_NonCon_Op_H2_19</vt:lpstr>
      <vt:lpstr>CS_NonCon_Op_H2_20</vt:lpstr>
      <vt:lpstr>CS_NonCon_RC_00</vt:lpstr>
      <vt:lpstr>CS_NonCon_RC_01</vt:lpstr>
      <vt:lpstr>CS_NonCon_RC_02</vt:lpstr>
      <vt:lpstr>CS_NonCon_RC_03</vt:lpstr>
      <vt:lpstr>CS_NonCon_RC_04</vt:lpstr>
      <vt:lpstr>CS_NonCon_RC_05</vt:lpstr>
      <vt:lpstr>CS_NonCon_RC_06</vt:lpstr>
      <vt:lpstr>CS_NonCon_RC_07</vt:lpstr>
      <vt:lpstr>CS_NonCon_RC_08</vt:lpstr>
      <vt:lpstr>CS_NonCon_RC_09</vt:lpstr>
      <vt:lpstr>CS_NonCon_RC_10</vt:lpstr>
      <vt:lpstr>CS_NonCon_RC_11</vt:lpstr>
      <vt:lpstr>CS_NonCon_RC_12</vt:lpstr>
      <vt:lpstr>CS_NonCon_RC_13</vt:lpstr>
      <vt:lpstr>CS_NonCon_RC_14</vt:lpstr>
      <vt:lpstr>CS_NonCon_RC_15</vt:lpstr>
      <vt:lpstr>CS_NonCon_RC_16</vt:lpstr>
      <vt:lpstr>CS_NonCon_RC_17</vt:lpstr>
      <vt:lpstr>CS_NonCon_RC_18</vt:lpstr>
      <vt:lpstr>CS_NonCon_RC_19</vt:lpstr>
      <vt:lpstr>CS_NonCon_RC_20</vt:lpstr>
      <vt:lpstr>CS_NonCon_RC_H1_00</vt:lpstr>
      <vt:lpstr>CS_NonCon_RC_H1_01</vt:lpstr>
      <vt:lpstr>CS_NonCon_RC_H1_02</vt:lpstr>
      <vt:lpstr>CS_NonCon_RC_H1_03</vt:lpstr>
      <vt:lpstr>CS_NonCon_RC_H1_04</vt:lpstr>
      <vt:lpstr>CS_NonCon_RC_H1_05</vt:lpstr>
      <vt:lpstr>CS_NonCon_RC_H1_06</vt:lpstr>
      <vt:lpstr>CS_NonCon_RC_H1_07</vt:lpstr>
      <vt:lpstr>CS_NonCon_RC_H1_08</vt:lpstr>
      <vt:lpstr>CS_NonCon_RC_H1_09</vt:lpstr>
      <vt:lpstr>CS_NonCon_RC_H1_10</vt:lpstr>
      <vt:lpstr>CS_NonCon_RC_H1_11</vt:lpstr>
      <vt:lpstr>CS_NonCon_RC_H1_12</vt:lpstr>
      <vt:lpstr>CS_NonCon_RC_H1_13</vt:lpstr>
      <vt:lpstr>CS_NonCon_RC_H1_14</vt:lpstr>
      <vt:lpstr>CS_NonCon_RC_H1_15</vt:lpstr>
      <vt:lpstr>CS_NonCon_RC_H1_16</vt:lpstr>
      <vt:lpstr>CS_NonCon_RC_H1_17</vt:lpstr>
      <vt:lpstr>CS_NonCon_RC_H1_18</vt:lpstr>
      <vt:lpstr>CS_NonCon_RC_H1_19</vt:lpstr>
      <vt:lpstr>CS_NonCon_RC_H1_20</vt:lpstr>
      <vt:lpstr>CS_NonCon_RC_H2_00</vt:lpstr>
      <vt:lpstr>CS_NonCon_RC_H2_01</vt:lpstr>
      <vt:lpstr>CS_NonCon_RC_H2_02</vt:lpstr>
      <vt:lpstr>CS_NonCon_RC_H2_03</vt:lpstr>
      <vt:lpstr>CS_NonCon_RC_H2_04</vt:lpstr>
      <vt:lpstr>CS_NonCon_RC_H2_05</vt:lpstr>
      <vt:lpstr>CS_NonCon_RC_H2_06</vt:lpstr>
      <vt:lpstr>CS_NonCon_RC_H2_07</vt:lpstr>
      <vt:lpstr>CS_NonCon_RC_H2_08</vt:lpstr>
      <vt:lpstr>CS_NonCon_RC_H2_09</vt:lpstr>
      <vt:lpstr>CS_NonCon_RC_H2_10</vt:lpstr>
      <vt:lpstr>CS_NonCon_RC_H2_11</vt:lpstr>
      <vt:lpstr>CS_NonCon_RC_H2_12</vt:lpstr>
      <vt:lpstr>CS_NonCon_RC_H2_13</vt:lpstr>
      <vt:lpstr>CS_NonCon_RC_H2_14</vt:lpstr>
      <vt:lpstr>CS_NonCon_RC_H2_15</vt:lpstr>
      <vt:lpstr>CS_NonCon_RC_H2_16</vt:lpstr>
      <vt:lpstr>CS_NonCon_RC_H2_17</vt:lpstr>
      <vt:lpstr>CS_NonCon_RC_H2_18</vt:lpstr>
      <vt:lpstr>CS_NonCon_RC_H2_19</vt:lpstr>
      <vt:lpstr>CS_NonCon_RC_H2_20</vt:lpstr>
      <vt:lpstr>CS_OpSum_Avg_00</vt:lpstr>
      <vt:lpstr>CS_OpSum_Avg_01</vt:lpstr>
      <vt:lpstr>CS_OpSum_Avg_02</vt:lpstr>
      <vt:lpstr>CS_OpSum_Avg_03</vt:lpstr>
      <vt:lpstr>CS_OpSum_Avg_04</vt:lpstr>
      <vt:lpstr>CS_OpSum_Avg_05</vt:lpstr>
      <vt:lpstr>CS_OpSum_Avg_06</vt:lpstr>
      <vt:lpstr>CS_OpSum_Avg_07</vt:lpstr>
      <vt:lpstr>CS_OpSum_Avg_08</vt:lpstr>
      <vt:lpstr>CS_OpSum_Avg_09</vt:lpstr>
      <vt:lpstr>CS_OpSum_Avg_10</vt:lpstr>
      <vt:lpstr>CS_OpSum_Avg_11</vt:lpstr>
      <vt:lpstr>CS_OpSum_Avg_12</vt:lpstr>
      <vt:lpstr>CS_OpSum_Avg_13</vt:lpstr>
      <vt:lpstr>CS_OpSum_Avg_14</vt:lpstr>
      <vt:lpstr>CS_OpSum_Avg_15</vt:lpstr>
      <vt:lpstr>CS_OpSum_Avg_16</vt:lpstr>
      <vt:lpstr>CS_OpSum_Avg_17</vt:lpstr>
      <vt:lpstr>CS_OpSum_Avg_18</vt:lpstr>
      <vt:lpstr>CS_OpSum_Avg_19</vt:lpstr>
      <vt:lpstr>CS_OpSum_Avg_20</vt:lpstr>
      <vt:lpstr>CS_OpSum_Avg_H1_00</vt:lpstr>
      <vt:lpstr>CS_OpSum_Avg_H1_01</vt:lpstr>
      <vt:lpstr>CS_OpSum_Avg_H1_02</vt:lpstr>
      <vt:lpstr>CS_OpSum_Avg_H1_03</vt:lpstr>
      <vt:lpstr>CS_OpSum_Avg_H1_04</vt:lpstr>
      <vt:lpstr>CS_OpSum_Avg_H1_05</vt:lpstr>
      <vt:lpstr>CS_OpSum_Avg_H1_06</vt:lpstr>
      <vt:lpstr>CS_OpSum_Avg_H1_07</vt:lpstr>
      <vt:lpstr>CS_OpSum_Avg_H1_08</vt:lpstr>
      <vt:lpstr>CS_OpSum_Avg_H1_09</vt:lpstr>
      <vt:lpstr>CS_OpSum_Avg_H1_10</vt:lpstr>
      <vt:lpstr>CS_OpSum_Avg_H1_11</vt:lpstr>
      <vt:lpstr>CS_OpSum_Avg_H1_12</vt:lpstr>
      <vt:lpstr>CS_OpSum_Avg_H1_13</vt:lpstr>
      <vt:lpstr>CS_OpSum_Avg_H1_14</vt:lpstr>
      <vt:lpstr>CS_OpSum_Avg_H1_15</vt:lpstr>
      <vt:lpstr>CS_OpSum_Avg_H1_16</vt:lpstr>
      <vt:lpstr>CS_OpSum_Avg_H1_17</vt:lpstr>
      <vt:lpstr>CS_OpSum_Avg_H1_18</vt:lpstr>
      <vt:lpstr>CS_OpSum_Avg_H1_19</vt:lpstr>
      <vt:lpstr>CS_OpSum_Avg_H1_20</vt:lpstr>
      <vt:lpstr>CS_OpSum_Avg_H2_00</vt:lpstr>
      <vt:lpstr>CS_OpSum_Avg_H2_01</vt:lpstr>
      <vt:lpstr>CS_OpSum_Avg_H2_02</vt:lpstr>
      <vt:lpstr>CS_OpSum_Avg_H2_03</vt:lpstr>
      <vt:lpstr>CS_OpSum_Avg_H2_04</vt:lpstr>
      <vt:lpstr>CS_OpSum_Avg_H2_05</vt:lpstr>
      <vt:lpstr>CS_OpSum_Avg_H2_06</vt:lpstr>
      <vt:lpstr>CS_OpSum_Avg_H2_07</vt:lpstr>
      <vt:lpstr>CS_OpSum_Avg_H2_08</vt:lpstr>
      <vt:lpstr>CS_OpSum_Avg_H2_09</vt:lpstr>
      <vt:lpstr>CS_OpSum_Avg_H2_10</vt:lpstr>
      <vt:lpstr>CS_OpSum_Avg_H2_11</vt:lpstr>
      <vt:lpstr>CS_OpSum_Avg_H2_12</vt:lpstr>
      <vt:lpstr>CS_OpSum_Avg_H2_13</vt:lpstr>
      <vt:lpstr>CS_OpSum_Avg_H2_14</vt:lpstr>
      <vt:lpstr>CS_OpSum_Avg_H2_15</vt:lpstr>
      <vt:lpstr>CS_OpSum_Avg_H2_16</vt:lpstr>
      <vt:lpstr>CS_OpSum_Avg_H2_17</vt:lpstr>
      <vt:lpstr>CS_OpSum_Avg_H2_18</vt:lpstr>
      <vt:lpstr>CS_OpSum_Avg_H2_19</vt:lpstr>
      <vt:lpstr>CS_OpSum_Avg_H2_20</vt:lpstr>
      <vt:lpstr>CS_OpSum_Clos_00</vt:lpstr>
      <vt:lpstr>CS_OpSum_Clos_01</vt:lpstr>
      <vt:lpstr>CS_OpSum_Clos_02</vt:lpstr>
      <vt:lpstr>CS_OpSum_Clos_03</vt:lpstr>
      <vt:lpstr>CS_OpSum_Clos_04</vt:lpstr>
      <vt:lpstr>CS_OpSum_Clos_05</vt:lpstr>
      <vt:lpstr>CS_OpSum_Clos_06</vt:lpstr>
      <vt:lpstr>CS_OpSum_Clos_07</vt:lpstr>
      <vt:lpstr>CS_OpSum_Clos_08</vt:lpstr>
      <vt:lpstr>CS_OpSum_Clos_09</vt:lpstr>
      <vt:lpstr>CS_OpSum_Clos_10</vt:lpstr>
      <vt:lpstr>CS_OpSum_Clos_11</vt:lpstr>
      <vt:lpstr>CS_OpSum_Clos_12</vt:lpstr>
      <vt:lpstr>CS_OpSum_Clos_13</vt:lpstr>
      <vt:lpstr>CS_OpSum_Clos_14</vt:lpstr>
      <vt:lpstr>CS_OpSum_Clos_15</vt:lpstr>
      <vt:lpstr>CS_OpSum_Clos_16</vt:lpstr>
      <vt:lpstr>CS_OpSum_Clos_17</vt:lpstr>
      <vt:lpstr>CS_OpSum_Clos_18</vt:lpstr>
      <vt:lpstr>CS_OpSum_Clos_19</vt:lpstr>
      <vt:lpstr>CS_OpSum_Clos_20</vt:lpstr>
      <vt:lpstr>CS_OpSum_Clos_H1_00</vt:lpstr>
      <vt:lpstr>CS_OpSum_Clos_H1_01</vt:lpstr>
      <vt:lpstr>CS_OpSum_Clos_H1_02</vt:lpstr>
      <vt:lpstr>CS_OpSum_Clos_H1_03</vt:lpstr>
      <vt:lpstr>CS_OpSum_Clos_H1_04</vt:lpstr>
      <vt:lpstr>CS_OpSum_Clos_H1_05</vt:lpstr>
      <vt:lpstr>CS_OpSum_Clos_H1_06</vt:lpstr>
      <vt:lpstr>CS_OpSum_Clos_H1_07</vt:lpstr>
      <vt:lpstr>CS_OpSum_Clos_H1_08</vt:lpstr>
      <vt:lpstr>CS_OpSum_Clos_H1_09</vt:lpstr>
      <vt:lpstr>CS_OpSum_Clos_H1_10</vt:lpstr>
      <vt:lpstr>CS_OpSum_Clos_H1_11</vt:lpstr>
      <vt:lpstr>CS_OpSum_Clos_H1_12</vt:lpstr>
      <vt:lpstr>CS_OpSum_Clos_H1_13</vt:lpstr>
      <vt:lpstr>CS_OpSum_Clos_H1_14</vt:lpstr>
      <vt:lpstr>CS_OpSum_Clos_H1_15</vt:lpstr>
      <vt:lpstr>CS_OpSum_Clos_H1_16</vt:lpstr>
      <vt:lpstr>CS_OpSum_Clos_H1_17</vt:lpstr>
      <vt:lpstr>CS_OpSum_Clos_H1_18</vt:lpstr>
      <vt:lpstr>CS_OpSum_Clos_H1_19</vt:lpstr>
      <vt:lpstr>CS_OpSum_Clos_H1_20</vt:lpstr>
      <vt:lpstr>CS_OpSum_Clos_H2_00</vt:lpstr>
      <vt:lpstr>CS_OpSum_Clos_H2_01</vt:lpstr>
      <vt:lpstr>CS_OpSum_Clos_H2_02</vt:lpstr>
      <vt:lpstr>CS_OpSum_Clos_H2_03</vt:lpstr>
      <vt:lpstr>CS_OpSum_Clos_H2_04</vt:lpstr>
      <vt:lpstr>CS_OpSum_Clos_H2_05</vt:lpstr>
      <vt:lpstr>CS_OpSum_Clos_H2_06</vt:lpstr>
      <vt:lpstr>CS_OpSum_Clos_H2_07</vt:lpstr>
      <vt:lpstr>CS_OpSum_Clos_H2_08</vt:lpstr>
      <vt:lpstr>CS_OpSum_Clos_H2_09</vt:lpstr>
      <vt:lpstr>CS_OpSum_Clos_H2_10</vt:lpstr>
      <vt:lpstr>CS_OpSum_Clos_H2_11</vt:lpstr>
      <vt:lpstr>CS_OpSum_Clos_H2_12</vt:lpstr>
      <vt:lpstr>CS_OpSum_Clos_H2_13</vt:lpstr>
      <vt:lpstr>CS_OpSum_Clos_H2_14</vt:lpstr>
      <vt:lpstr>CS_OpSum_Clos_H2_15</vt:lpstr>
      <vt:lpstr>CS_OpSum_Clos_H2_16</vt:lpstr>
      <vt:lpstr>CS_OpSum_Clos_H2_17</vt:lpstr>
      <vt:lpstr>CS_OpSum_Clos_H2_18</vt:lpstr>
      <vt:lpstr>CS_OpSum_Clos_H2_19</vt:lpstr>
      <vt:lpstr>CS_OpSum_Clos_H2_20</vt:lpstr>
      <vt:lpstr>CS_OpSum_Exer_00</vt:lpstr>
      <vt:lpstr>CS_OpSum_Exer_01</vt:lpstr>
      <vt:lpstr>CS_OpSum_Exer_02</vt:lpstr>
      <vt:lpstr>CS_OpSum_Exer_03</vt:lpstr>
      <vt:lpstr>CS_OpSum_Exer_04</vt:lpstr>
      <vt:lpstr>CS_OpSum_Exer_05</vt:lpstr>
      <vt:lpstr>CS_OpSum_Exer_06</vt:lpstr>
      <vt:lpstr>CS_OpSum_Exer_07</vt:lpstr>
      <vt:lpstr>CS_OpSum_Exer_08</vt:lpstr>
      <vt:lpstr>CS_OpSum_Exer_09</vt:lpstr>
      <vt:lpstr>CS_OpSum_Exer_10</vt:lpstr>
      <vt:lpstr>CS_OpSum_Exer_11</vt:lpstr>
      <vt:lpstr>CS_OpSum_Exer_12</vt:lpstr>
      <vt:lpstr>CS_OpSum_Exer_13</vt:lpstr>
      <vt:lpstr>CS_OpSum_Exer_14</vt:lpstr>
      <vt:lpstr>CS_OpSum_Exer_15</vt:lpstr>
      <vt:lpstr>CS_OpSum_Exer_16</vt:lpstr>
      <vt:lpstr>CS_OpSum_Exer_17</vt:lpstr>
      <vt:lpstr>CS_OpSum_Exer_18</vt:lpstr>
      <vt:lpstr>CS_OpSum_Exer_19</vt:lpstr>
      <vt:lpstr>CS_OpSum_Exer_20</vt:lpstr>
      <vt:lpstr>CS_OpSum_Exer_H1_00</vt:lpstr>
      <vt:lpstr>CS_OpSum_Exer_H1_01</vt:lpstr>
      <vt:lpstr>CS_OpSum_Exer_H1_02</vt:lpstr>
      <vt:lpstr>CS_OpSum_Exer_H1_03</vt:lpstr>
      <vt:lpstr>CS_OpSum_Exer_H1_04</vt:lpstr>
      <vt:lpstr>CS_OpSum_Exer_H1_05</vt:lpstr>
      <vt:lpstr>CS_OpSum_Exer_H1_06</vt:lpstr>
      <vt:lpstr>CS_OpSum_Exer_H1_07</vt:lpstr>
      <vt:lpstr>CS_OpSum_Exer_H1_08</vt:lpstr>
      <vt:lpstr>CS_OpSum_Exer_H1_09</vt:lpstr>
      <vt:lpstr>CS_OpSum_Exer_H1_10</vt:lpstr>
      <vt:lpstr>CS_OpSum_Exer_H1_11</vt:lpstr>
      <vt:lpstr>CS_OpSum_Exer_H1_12</vt:lpstr>
      <vt:lpstr>CS_OpSum_Exer_H1_13</vt:lpstr>
      <vt:lpstr>CS_OpSum_Exer_H1_14</vt:lpstr>
      <vt:lpstr>CS_OpSum_Exer_H1_15</vt:lpstr>
      <vt:lpstr>CS_OpSum_Exer_H1_16</vt:lpstr>
      <vt:lpstr>CS_OpSum_Exer_H1_17</vt:lpstr>
      <vt:lpstr>CS_OpSum_Exer_H1_18</vt:lpstr>
      <vt:lpstr>CS_OpSum_Exer_H1_19</vt:lpstr>
      <vt:lpstr>CS_OpSum_Exer_H1_20</vt:lpstr>
      <vt:lpstr>CS_OpSum_Exer_H2_00</vt:lpstr>
      <vt:lpstr>CS_OpSum_Exer_H2_01</vt:lpstr>
      <vt:lpstr>CS_OpSum_Exer_H2_02</vt:lpstr>
      <vt:lpstr>CS_OpSum_Exer_H2_03</vt:lpstr>
      <vt:lpstr>CS_OpSum_Exer_H2_04</vt:lpstr>
      <vt:lpstr>CS_OpSum_Exer_H2_05</vt:lpstr>
      <vt:lpstr>CS_OpSum_Exer_H2_06</vt:lpstr>
      <vt:lpstr>CS_OpSum_Exer_H2_07</vt:lpstr>
      <vt:lpstr>CS_OpSum_Exer_H2_08</vt:lpstr>
      <vt:lpstr>CS_OpSum_Exer_H2_09</vt:lpstr>
      <vt:lpstr>CS_OpSum_Exer_H2_10</vt:lpstr>
      <vt:lpstr>CS_OpSum_Exer_H2_11</vt:lpstr>
      <vt:lpstr>CS_OpSum_Exer_H2_12</vt:lpstr>
      <vt:lpstr>CS_OpSum_Exer_H2_13</vt:lpstr>
      <vt:lpstr>CS_OpSum_Exer_H2_14</vt:lpstr>
      <vt:lpstr>CS_OpSum_Exer_H2_15</vt:lpstr>
      <vt:lpstr>CS_OpSum_Exer_H2_16</vt:lpstr>
      <vt:lpstr>CS_OpSum_Exer_H2_17</vt:lpstr>
      <vt:lpstr>CS_OpSum_Exer_H2_18</vt:lpstr>
      <vt:lpstr>CS_OpSum_Exer_H2_19</vt:lpstr>
      <vt:lpstr>CS_OpSum_Exer_H2_20</vt:lpstr>
      <vt:lpstr>CS_OpSum_Exp_00</vt:lpstr>
      <vt:lpstr>CS_OpSum_Exp_01</vt:lpstr>
      <vt:lpstr>CS_OpSum_Exp_02</vt:lpstr>
      <vt:lpstr>CS_OpSum_Exp_03</vt:lpstr>
      <vt:lpstr>CS_OpSum_Exp_04</vt:lpstr>
      <vt:lpstr>CS_OpSum_Exp_05</vt:lpstr>
      <vt:lpstr>CS_OpSum_Exp_06</vt:lpstr>
      <vt:lpstr>CS_OpSum_Exp_07</vt:lpstr>
      <vt:lpstr>CS_OpSum_Exp_08</vt:lpstr>
      <vt:lpstr>CS_OpSum_Exp_09</vt:lpstr>
      <vt:lpstr>CS_OpSum_Exp_10</vt:lpstr>
      <vt:lpstr>CS_OpSum_Exp_11</vt:lpstr>
      <vt:lpstr>CS_OpSum_Exp_12</vt:lpstr>
      <vt:lpstr>CS_OpSum_Exp_13</vt:lpstr>
      <vt:lpstr>CS_OpSum_Exp_14</vt:lpstr>
      <vt:lpstr>CS_OpSum_Exp_15</vt:lpstr>
      <vt:lpstr>CS_OpSum_Exp_16</vt:lpstr>
      <vt:lpstr>CS_OpSum_Exp_17</vt:lpstr>
      <vt:lpstr>CS_OpSum_Exp_18</vt:lpstr>
      <vt:lpstr>CS_OpSum_Exp_19</vt:lpstr>
      <vt:lpstr>CS_OpSum_Exp_20</vt:lpstr>
      <vt:lpstr>CS_OpSum_Exp_H1_00</vt:lpstr>
      <vt:lpstr>CS_OpSum_Exp_H1_01</vt:lpstr>
      <vt:lpstr>CS_OpSum_Exp_H1_02</vt:lpstr>
      <vt:lpstr>CS_OpSum_Exp_H1_03</vt:lpstr>
      <vt:lpstr>CS_OpSum_Exp_H1_04</vt:lpstr>
      <vt:lpstr>CS_OpSum_Exp_H1_05</vt:lpstr>
      <vt:lpstr>CS_OpSum_Exp_H1_06</vt:lpstr>
      <vt:lpstr>CS_OpSum_Exp_H1_07</vt:lpstr>
      <vt:lpstr>CS_OpSum_Exp_H1_08</vt:lpstr>
      <vt:lpstr>CS_OpSum_Exp_H1_09</vt:lpstr>
      <vt:lpstr>CS_OpSum_Exp_H1_10</vt:lpstr>
      <vt:lpstr>CS_OpSum_Exp_H1_11</vt:lpstr>
      <vt:lpstr>CS_OpSum_Exp_H1_12</vt:lpstr>
      <vt:lpstr>CS_OpSum_Exp_H1_13</vt:lpstr>
      <vt:lpstr>CS_OpSum_Exp_H1_14</vt:lpstr>
      <vt:lpstr>CS_OpSum_Exp_H1_15</vt:lpstr>
      <vt:lpstr>CS_OpSum_Exp_H1_16</vt:lpstr>
      <vt:lpstr>CS_OpSum_Exp_H1_17</vt:lpstr>
      <vt:lpstr>CS_OpSum_Exp_H1_18</vt:lpstr>
      <vt:lpstr>CS_OpSum_Exp_H1_19</vt:lpstr>
      <vt:lpstr>CS_OpSum_Exp_H1_20</vt:lpstr>
      <vt:lpstr>CS_OpSum_Exp_H2_00</vt:lpstr>
      <vt:lpstr>CS_OpSum_Exp_H2_01</vt:lpstr>
      <vt:lpstr>CS_OpSum_Exp_H2_02</vt:lpstr>
      <vt:lpstr>CS_OpSum_Exp_H2_03</vt:lpstr>
      <vt:lpstr>CS_OpSum_Exp_H2_04</vt:lpstr>
      <vt:lpstr>CS_OpSum_Exp_H2_05</vt:lpstr>
      <vt:lpstr>CS_OpSum_Exp_H2_06</vt:lpstr>
      <vt:lpstr>CS_OpSum_Exp_H2_07</vt:lpstr>
      <vt:lpstr>CS_OpSum_Exp_H2_08</vt:lpstr>
      <vt:lpstr>CS_OpSum_Exp_H2_09</vt:lpstr>
      <vt:lpstr>CS_OpSum_Exp_H2_10</vt:lpstr>
      <vt:lpstr>CS_OpSum_Exp_H2_11</vt:lpstr>
      <vt:lpstr>CS_OpSum_Exp_H2_12</vt:lpstr>
      <vt:lpstr>CS_OpSum_Exp_H2_13</vt:lpstr>
      <vt:lpstr>CS_OpSum_Exp_H2_14</vt:lpstr>
      <vt:lpstr>CS_OpSum_Exp_H2_15</vt:lpstr>
      <vt:lpstr>CS_OpSum_Exp_H2_16</vt:lpstr>
      <vt:lpstr>CS_OpSum_Exp_H2_17</vt:lpstr>
      <vt:lpstr>CS_OpSum_Exp_H2_18</vt:lpstr>
      <vt:lpstr>CS_OpSum_Exp_H2_19</vt:lpstr>
      <vt:lpstr>CS_OpSum_Exp_H2_20</vt:lpstr>
      <vt:lpstr>CS_OpSum_Issue_00</vt:lpstr>
      <vt:lpstr>CS_OpSum_Issue_01</vt:lpstr>
      <vt:lpstr>CS_OpSum_Issue_02</vt:lpstr>
      <vt:lpstr>CS_OpSum_Issue_03</vt:lpstr>
      <vt:lpstr>CS_OpSum_Issue_04</vt:lpstr>
      <vt:lpstr>CS_OpSum_Issue_05</vt:lpstr>
      <vt:lpstr>CS_OpSum_Issue_06</vt:lpstr>
      <vt:lpstr>CS_OpSum_Issue_07</vt:lpstr>
      <vt:lpstr>CS_OpSum_Issue_08</vt:lpstr>
      <vt:lpstr>CS_OpSum_Issue_09</vt:lpstr>
      <vt:lpstr>CS_OpSum_Issue_10</vt:lpstr>
      <vt:lpstr>CS_OpSum_Issue_11</vt:lpstr>
      <vt:lpstr>CS_OpSum_Issue_12</vt:lpstr>
      <vt:lpstr>CS_OpSum_Issue_13</vt:lpstr>
      <vt:lpstr>CS_OpSum_Issue_14</vt:lpstr>
      <vt:lpstr>CS_OpSum_Issue_15</vt:lpstr>
      <vt:lpstr>CS_OpSum_Issue_16</vt:lpstr>
      <vt:lpstr>CS_OpSum_Issue_17</vt:lpstr>
      <vt:lpstr>CS_OpSum_Issue_18</vt:lpstr>
      <vt:lpstr>CS_OpSum_Issue_19</vt:lpstr>
      <vt:lpstr>CS_OpSum_Issue_20</vt:lpstr>
      <vt:lpstr>CS_OpSum_Issue_H1_00</vt:lpstr>
      <vt:lpstr>CS_OpSum_Issue_H1_01</vt:lpstr>
      <vt:lpstr>CS_OpSum_Issue_H1_02</vt:lpstr>
      <vt:lpstr>CS_OpSum_Issue_H1_03</vt:lpstr>
      <vt:lpstr>CS_OpSum_Issue_H1_04</vt:lpstr>
      <vt:lpstr>CS_OpSum_Issue_H1_05</vt:lpstr>
      <vt:lpstr>CS_OpSum_Issue_H1_06</vt:lpstr>
      <vt:lpstr>CS_OpSum_Issue_H1_07</vt:lpstr>
      <vt:lpstr>CS_OpSum_Issue_H1_08</vt:lpstr>
      <vt:lpstr>CS_OpSum_Issue_H1_09</vt:lpstr>
      <vt:lpstr>CS_OpSum_Issue_H1_10</vt:lpstr>
      <vt:lpstr>CS_OpSum_Issue_H1_11</vt:lpstr>
      <vt:lpstr>CS_OpSum_Issue_H1_12</vt:lpstr>
      <vt:lpstr>CS_OpSum_Issue_H1_13</vt:lpstr>
      <vt:lpstr>CS_OpSum_Issue_H1_14</vt:lpstr>
      <vt:lpstr>CS_OpSum_Issue_H1_15</vt:lpstr>
      <vt:lpstr>CS_OpSum_Issue_H1_16</vt:lpstr>
      <vt:lpstr>CS_OpSum_Issue_H1_17</vt:lpstr>
      <vt:lpstr>CS_OpSum_Issue_H1_18</vt:lpstr>
      <vt:lpstr>CS_OpSum_Issue_H1_19</vt:lpstr>
      <vt:lpstr>CS_OpSum_Issue_H1_20</vt:lpstr>
      <vt:lpstr>CS_OpSum_Issue_H2_00</vt:lpstr>
      <vt:lpstr>CS_OpSum_Issue_H2_01</vt:lpstr>
      <vt:lpstr>CS_OpSum_Issue_H2_02</vt:lpstr>
      <vt:lpstr>CS_OpSum_Issue_H2_03</vt:lpstr>
      <vt:lpstr>CS_OpSum_Issue_H2_04</vt:lpstr>
      <vt:lpstr>CS_OpSum_Issue_H2_05</vt:lpstr>
      <vt:lpstr>CS_OpSum_Issue_H2_06</vt:lpstr>
      <vt:lpstr>CS_OpSum_Issue_H2_07</vt:lpstr>
      <vt:lpstr>CS_OpSum_Issue_H2_08</vt:lpstr>
      <vt:lpstr>CS_OpSum_Issue_H2_09</vt:lpstr>
      <vt:lpstr>CS_OpSum_Issue_H2_10</vt:lpstr>
      <vt:lpstr>CS_OpSum_Issue_H2_11</vt:lpstr>
      <vt:lpstr>CS_OpSum_Issue_H2_12</vt:lpstr>
      <vt:lpstr>CS_OpSum_Issue_H2_13</vt:lpstr>
      <vt:lpstr>CS_OpSum_Issue_H2_14</vt:lpstr>
      <vt:lpstr>CS_OpSum_Issue_H2_15</vt:lpstr>
      <vt:lpstr>CS_OpSum_Issue_H2_16</vt:lpstr>
      <vt:lpstr>CS_OpSum_Issue_H2_17</vt:lpstr>
      <vt:lpstr>CS_OpSum_Issue_H2_18</vt:lpstr>
      <vt:lpstr>CS_OpSum_Issue_H2_19</vt:lpstr>
      <vt:lpstr>CS_OpSum_Issue_H2_20</vt:lpstr>
      <vt:lpstr>CS_OpSum_Op_00</vt:lpstr>
      <vt:lpstr>CS_OpSum_Op_01</vt:lpstr>
      <vt:lpstr>CS_OpSum_Op_02</vt:lpstr>
      <vt:lpstr>CS_OpSum_Op_03</vt:lpstr>
      <vt:lpstr>CS_OpSum_Op_04</vt:lpstr>
      <vt:lpstr>CS_OpSum_Op_05</vt:lpstr>
      <vt:lpstr>CS_OpSum_Op_06</vt:lpstr>
      <vt:lpstr>CS_OpSum_Op_07</vt:lpstr>
      <vt:lpstr>CS_OpSum_Op_08</vt:lpstr>
      <vt:lpstr>CS_OpSum_Op_09</vt:lpstr>
      <vt:lpstr>CS_OpSum_Op_10</vt:lpstr>
      <vt:lpstr>CS_OpSum_Op_11</vt:lpstr>
      <vt:lpstr>CS_OpSum_Op_12</vt:lpstr>
      <vt:lpstr>CS_OpSum_Op_13</vt:lpstr>
      <vt:lpstr>CS_OpSum_Op_14</vt:lpstr>
      <vt:lpstr>CS_OpSum_Op_15</vt:lpstr>
      <vt:lpstr>CS_OpSum_Op_16</vt:lpstr>
      <vt:lpstr>CS_OpSum_Op_17</vt:lpstr>
      <vt:lpstr>CS_OpSum_Op_18</vt:lpstr>
      <vt:lpstr>CS_OpSum_Op_19</vt:lpstr>
      <vt:lpstr>CS_OpSum_Op_20</vt:lpstr>
      <vt:lpstr>CS_OpSum_Op_H1_00</vt:lpstr>
      <vt:lpstr>CS_OpSum_Op_H1_01</vt:lpstr>
      <vt:lpstr>CS_OpSum_Op_H1_02</vt:lpstr>
      <vt:lpstr>CS_OpSum_Op_H1_03</vt:lpstr>
      <vt:lpstr>CS_OpSum_Op_H1_04</vt:lpstr>
      <vt:lpstr>CS_OpSum_Op_H1_05</vt:lpstr>
      <vt:lpstr>CS_OpSum_Op_H1_06</vt:lpstr>
      <vt:lpstr>CS_OpSum_Op_H1_07</vt:lpstr>
      <vt:lpstr>CS_OpSum_Op_H1_08</vt:lpstr>
      <vt:lpstr>CS_OpSum_Op_H1_09</vt:lpstr>
      <vt:lpstr>CS_OpSum_Op_H1_10</vt:lpstr>
      <vt:lpstr>CS_OpSum_Op_H1_11</vt:lpstr>
      <vt:lpstr>CS_OpSum_Op_H1_12</vt:lpstr>
      <vt:lpstr>CS_OpSum_Op_H1_13</vt:lpstr>
      <vt:lpstr>CS_OpSum_Op_H1_14</vt:lpstr>
      <vt:lpstr>CS_OpSum_Op_H1_15</vt:lpstr>
      <vt:lpstr>CS_OpSum_Op_H1_16</vt:lpstr>
      <vt:lpstr>CS_OpSum_Op_H1_17</vt:lpstr>
      <vt:lpstr>CS_OpSum_Op_H1_18</vt:lpstr>
      <vt:lpstr>CS_OpSum_Op_H1_19</vt:lpstr>
      <vt:lpstr>CS_OpSum_Op_H1_20</vt:lpstr>
      <vt:lpstr>CS_OpSum_Op_H2_00</vt:lpstr>
      <vt:lpstr>CS_OpSum_Op_H2_01</vt:lpstr>
      <vt:lpstr>CS_OpSum_Op_H2_02</vt:lpstr>
      <vt:lpstr>CS_OpSum_Op_H2_03</vt:lpstr>
      <vt:lpstr>CS_OpSum_Op_H2_04</vt:lpstr>
      <vt:lpstr>CS_OpSum_Op_H2_05</vt:lpstr>
      <vt:lpstr>CS_OpSum_Op_H2_06</vt:lpstr>
      <vt:lpstr>CS_OpSum_Op_H2_07</vt:lpstr>
      <vt:lpstr>CS_OpSum_Op_H2_08</vt:lpstr>
      <vt:lpstr>CS_OpSum_Op_H2_09</vt:lpstr>
      <vt:lpstr>CS_OpSum_Op_H2_10</vt:lpstr>
      <vt:lpstr>CS_OpSum_Op_H2_11</vt:lpstr>
      <vt:lpstr>CS_OpSum_Op_H2_12</vt:lpstr>
      <vt:lpstr>CS_OpSum_Op_H2_13</vt:lpstr>
      <vt:lpstr>CS_OpSum_Op_H2_14</vt:lpstr>
      <vt:lpstr>CS_OpSum_Op_H2_15</vt:lpstr>
      <vt:lpstr>CS_OpSum_Op_H2_16</vt:lpstr>
      <vt:lpstr>CS_OpSum_Op_H2_17</vt:lpstr>
      <vt:lpstr>CS_OpSum_Op_H2_18</vt:lpstr>
      <vt:lpstr>CS_OpSum_Op_H2_19</vt:lpstr>
      <vt:lpstr>CS_OpSum_Op_H2_20</vt:lpstr>
      <vt:lpstr>CS_OrdShr_BBack_00</vt:lpstr>
      <vt:lpstr>CS_OrdShr_BBack_01</vt:lpstr>
      <vt:lpstr>CS_OrdShr_BBack_02</vt:lpstr>
      <vt:lpstr>CS_OrdShr_BBack_03</vt:lpstr>
      <vt:lpstr>CS_OrdShr_BBack_04</vt:lpstr>
      <vt:lpstr>CS_OrdShr_BBack_05</vt:lpstr>
      <vt:lpstr>CS_OrdShr_BBack_06</vt:lpstr>
      <vt:lpstr>CS_OrdShr_BBack_07</vt:lpstr>
      <vt:lpstr>CS_OrdShr_BBack_08</vt:lpstr>
      <vt:lpstr>CS_OrdShr_BBack_09</vt:lpstr>
      <vt:lpstr>CS_OrdShr_BBack_10</vt:lpstr>
      <vt:lpstr>CS_OrdShr_BBack_11</vt:lpstr>
      <vt:lpstr>CS_OrdShr_BBack_12</vt:lpstr>
      <vt:lpstr>CS_OrdShr_BBack_13</vt:lpstr>
      <vt:lpstr>CS_OrdShr_BBack_14</vt:lpstr>
      <vt:lpstr>CS_OrdShr_BBack_15</vt:lpstr>
      <vt:lpstr>CS_OrdShr_BBack_16</vt:lpstr>
      <vt:lpstr>CS_OrdShr_BBack_17</vt:lpstr>
      <vt:lpstr>CS_OrdShr_BBack_18</vt:lpstr>
      <vt:lpstr>CS_OrdShr_BBack_19</vt:lpstr>
      <vt:lpstr>CS_OrdShr_BBack_20</vt:lpstr>
      <vt:lpstr>CS_OrdShr_BBack_H1_00</vt:lpstr>
      <vt:lpstr>CS_OrdShr_BBack_H1_01</vt:lpstr>
      <vt:lpstr>CS_OrdShr_BBack_H1_02</vt:lpstr>
      <vt:lpstr>CS_OrdShr_BBack_H1_03</vt:lpstr>
      <vt:lpstr>CS_OrdShr_BBack_H1_04</vt:lpstr>
      <vt:lpstr>CS_OrdShr_BBack_H1_05</vt:lpstr>
      <vt:lpstr>CS_OrdShr_BBack_H1_06</vt:lpstr>
      <vt:lpstr>CS_OrdShr_BBack_H1_07</vt:lpstr>
      <vt:lpstr>CS_OrdShr_BBack_H1_08</vt:lpstr>
      <vt:lpstr>CS_OrdShr_BBack_H1_09</vt:lpstr>
      <vt:lpstr>CS_OrdShr_BBack_H1_10</vt:lpstr>
      <vt:lpstr>CS_OrdShr_BBack_H1_11</vt:lpstr>
      <vt:lpstr>CS_OrdShr_BBack_H1_12</vt:lpstr>
      <vt:lpstr>CS_OrdShr_BBack_H1_13</vt:lpstr>
      <vt:lpstr>CS_OrdShr_BBack_H1_14</vt:lpstr>
      <vt:lpstr>CS_OrdShr_BBack_H1_15</vt:lpstr>
      <vt:lpstr>CS_OrdShr_BBack_H1_16</vt:lpstr>
      <vt:lpstr>CS_OrdShr_BBack_H1_17</vt:lpstr>
      <vt:lpstr>CS_OrdShr_BBack_H1_18</vt:lpstr>
      <vt:lpstr>CS_OrdShr_BBack_H1_19</vt:lpstr>
      <vt:lpstr>CS_OrdShr_BBack_H1_20</vt:lpstr>
      <vt:lpstr>CS_OrdShr_BBack_H2_00</vt:lpstr>
      <vt:lpstr>CS_OrdShr_BBack_H2_01</vt:lpstr>
      <vt:lpstr>CS_OrdShr_BBack_H2_02</vt:lpstr>
      <vt:lpstr>CS_OrdShr_BBack_H2_03</vt:lpstr>
      <vt:lpstr>CS_OrdShr_BBack_H2_04</vt:lpstr>
      <vt:lpstr>CS_OrdShr_BBack_H2_05</vt:lpstr>
      <vt:lpstr>CS_OrdShr_BBack_H2_06</vt:lpstr>
      <vt:lpstr>CS_OrdShr_BBack_H2_07</vt:lpstr>
      <vt:lpstr>CS_OrdShr_BBack_H2_08</vt:lpstr>
      <vt:lpstr>CS_OrdShr_BBack_H2_09</vt:lpstr>
      <vt:lpstr>CS_OrdShr_BBack_H2_10</vt:lpstr>
      <vt:lpstr>CS_OrdShr_BBack_H2_11</vt:lpstr>
      <vt:lpstr>CS_OrdShr_BBack_H2_12</vt:lpstr>
      <vt:lpstr>CS_OrdShr_BBack_H2_13</vt:lpstr>
      <vt:lpstr>CS_OrdShr_BBack_H2_14</vt:lpstr>
      <vt:lpstr>CS_OrdShr_BBack_H2_15</vt:lpstr>
      <vt:lpstr>CS_OrdShr_BBack_H2_16</vt:lpstr>
      <vt:lpstr>CS_OrdShr_BBack_H2_17</vt:lpstr>
      <vt:lpstr>CS_OrdShr_BBack_H2_18</vt:lpstr>
      <vt:lpstr>CS_OrdShr_BBack_H2_19</vt:lpstr>
      <vt:lpstr>CS_OrdShr_BBack_H2_20</vt:lpstr>
      <vt:lpstr>CS_OrdShr_Conv_N_00</vt:lpstr>
      <vt:lpstr>CS_OrdShr_Conv_N_01</vt:lpstr>
      <vt:lpstr>CS_OrdShr_Conv_N_02</vt:lpstr>
      <vt:lpstr>CS_OrdShr_Conv_N_03</vt:lpstr>
      <vt:lpstr>CS_OrdShr_Conv_N_04</vt:lpstr>
      <vt:lpstr>CS_OrdShr_Conv_N_05</vt:lpstr>
      <vt:lpstr>CS_OrdShr_Conv_N_06</vt:lpstr>
      <vt:lpstr>CS_OrdShr_Conv_N_07</vt:lpstr>
      <vt:lpstr>CS_OrdShr_Conv_N_08</vt:lpstr>
      <vt:lpstr>CS_OrdShr_Conv_N_09</vt:lpstr>
      <vt:lpstr>CS_OrdShr_Conv_N_10</vt:lpstr>
      <vt:lpstr>CS_OrdShr_Conv_N_11</vt:lpstr>
      <vt:lpstr>CS_OrdShr_Conv_N_12</vt:lpstr>
      <vt:lpstr>CS_OrdShr_Conv_N_13</vt:lpstr>
      <vt:lpstr>CS_OrdShr_Conv_N_14</vt:lpstr>
      <vt:lpstr>CS_OrdShr_Conv_N_15</vt:lpstr>
      <vt:lpstr>CS_OrdShr_Conv_N_16</vt:lpstr>
      <vt:lpstr>CS_OrdShr_Conv_N_17</vt:lpstr>
      <vt:lpstr>CS_OrdShr_Conv_N_18</vt:lpstr>
      <vt:lpstr>CS_OrdShr_Conv_N_19</vt:lpstr>
      <vt:lpstr>CS_OrdShr_Conv_N_20</vt:lpstr>
      <vt:lpstr>CS_OrdShr_Conv_N_H1_00</vt:lpstr>
      <vt:lpstr>CS_OrdShr_Conv_N_H1_01</vt:lpstr>
      <vt:lpstr>CS_OrdShr_Conv_N_H1_02</vt:lpstr>
      <vt:lpstr>CS_OrdShr_Conv_N_H1_03</vt:lpstr>
      <vt:lpstr>CS_OrdShr_Conv_N_H1_04</vt:lpstr>
      <vt:lpstr>CS_OrdShr_Conv_N_H1_05</vt:lpstr>
      <vt:lpstr>CS_OrdShr_Conv_N_H1_06</vt:lpstr>
      <vt:lpstr>CS_OrdShr_Conv_N_H1_07</vt:lpstr>
      <vt:lpstr>CS_OrdShr_Conv_N_H1_08</vt:lpstr>
      <vt:lpstr>CS_OrdShr_Conv_N_H1_09</vt:lpstr>
      <vt:lpstr>CS_OrdShr_Conv_N_H1_10</vt:lpstr>
      <vt:lpstr>CS_OrdShr_Conv_N_H1_11</vt:lpstr>
      <vt:lpstr>CS_OrdShr_Conv_N_H1_12</vt:lpstr>
      <vt:lpstr>CS_OrdShr_Conv_N_H1_13</vt:lpstr>
      <vt:lpstr>CS_OrdShr_Conv_N_H1_14</vt:lpstr>
      <vt:lpstr>CS_OrdShr_Conv_N_H1_15</vt:lpstr>
      <vt:lpstr>CS_OrdShr_Conv_N_H1_16</vt:lpstr>
      <vt:lpstr>CS_OrdShr_Conv_N_H1_17</vt:lpstr>
      <vt:lpstr>CS_OrdShr_Conv_N_H1_18</vt:lpstr>
      <vt:lpstr>CS_OrdShr_Conv_N_H1_19</vt:lpstr>
      <vt:lpstr>CS_OrdShr_Conv_N_H1_20</vt:lpstr>
      <vt:lpstr>CS_OrdShr_Conv_N_H2_00</vt:lpstr>
      <vt:lpstr>CS_OrdShr_Conv_N_H2_01</vt:lpstr>
      <vt:lpstr>CS_OrdShr_Conv_N_H2_02</vt:lpstr>
      <vt:lpstr>CS_OrdShr_Conv_N_H2_03</vt:lpstr>
      <vt:lpstr>CS_OrdShr_Conv_N_H2_04</vt:lpstr>
      <vt:lpstr>CS_OrdShr_Conv_N_H2_05</vt:lpstr>
      <vt:lpstr>CS_OrdShr_Conv_N_H2_06</vt:lpstr>
      <vt:lpstr>CS_OrdShr_Conv_N_H2_07</vt:lpstr>
      <vt:lpstr>CS_OrdShr_Conv_N_H2_08</vt:lpstr>
      <vt:lpstr>CS_OrdShr_Conv_N_H2_09</vt:lpstr>
      <vt:lpstr>CS_OrdShr_Conv_N_H2_10</vt:lpstr>
      <vt:lpstr>CS_OrdShr_Conv_N_H2_11</vt:lpstr>
      <vt:lpstr>CS_OrdShr_Conv_N_H2_12</vt:lpstr>
      <vt:lpstr>CS_OrdShr_Conv_N_H2_13</vt:lpstr>
      <vt:lpstr>CS_OrdShr_Conv_N_H2_14</vt:lpstr>
      <vt:lpstr>CS_OrdShr_Conv_N_H2_15</vt:lpstr>
      <vt:lpstr>CS_OrdShr_Conv_N_H2_16</vt:lpstr>
      <vt:lpstr>CS_OrdShr_Conv_N_H2_17</vt:lpstr>
      <vt:lpstr>CS_OrdShr_Conv_N_H2_18</vt:lpstr>
      <vt:lpstr>CS_OrdShr_Conv_N_H2_19</vt:lpstr>
      <vt:lpstr>CS_OrdShr_Conv_N_H2_20</vt:lpstr>
      <vt:lpstr>CS_OrdShr_DRP_00</vt:lpstr>
      <vt:lpstr>CS_OrdShr_DRP_01</vt:lpstr>
      <vt:lpstr>CS_OrdShr_DRP_02</vt:lpstr>
      <vt:lpstr>CS_OrdShr_DRP_03</vt:lpstr>
      <vt:lpstr>CS_OrdShr_DRP_04</vt:lpstr>
      <vt:lpstr>CS_OrdShr_DRP_05</vt:lpstr>
      <vt:lpstr>CS_OrdShr_DRP_06</vt:lpstr>
      <vt:lpstr>CS_OrdShr_DRP_07</vt:lpstr>
      <vt:lpstr>CS_OrdShr_DRP_08</vt:lpstr>
      <vt:lpstr>CS_OrdShr_DRP_09</vt:lpstr>
      <vt:lpstr>CS_OrdShr_DRP_10</vt:lpstr>
      <vt:lpstr>CS_OrdShr_DRP_11</vt:lpstr>
      <vt:lpstr>CS_OrdShr_DRP_12</vt:lpstr>
      <vt:lpstr>CS_OrdShr_DRP_13</vt:lpstr>
      <vt:lpstr>CS_OrdShr_DRP_14</vt:lpstr>
      <vt:lpstr>CS_OrdShr_DRP_15</vt:lpstr>
      <vt:lpstr>CS_OrdShr_DRP_16</vt:lpstr>
      <vt:lpstr>CS_OrdShr_DRP_17</vt:lpstr>
      <vt:lpstr>CS_OrdShr_DRP_18</vt:lpstr>
      <vt:lpstr>CS_OrdShr_DRP_19</vt:lpstr>
      <vt:lpstr>CS_OrdShr_DRP_20</vt:lpstr>
      <vt:lpstr>CS_OrdShr_DRP_H1_00</vt:lpstr>
      <vt:lpstr>CS_OrdShr_DRP_H1_01</vt:lpstr>
      <vt:lpstr>CS_OrdShr_DRP_H1_02</vt:lpstr>
      <vt:lpstr>CS_OrdShr_DRP_H1_03</vt:lpstr>
      <vt:lpstr>CS_OrdShr_DRP_H1_04</vt:lpstr>
      <vt:lpstr>CS_OrdShr_DRP_H1_05</vt:lpstr>
      <vt:lpstr>CS_OrdShr_DRP_H1_06</vt:lpstr>
      <vt:lpstr>CS_OrdShr_DRP_H1_07</vt:lpstr>
      <vt:lpstr>CS_OrdShr_DRP_H1_08</vt:lpstr>
      <vt:lpstr>CS_OrdShr_DRP_H1_09</vt:lpstr>
      <vt:lpstr>CS_OrdShr_DRP_H1_10</vt:lpstr>
      <vt:lpstr>CS_OrdShr_DRP_H1_11</vt:lpstr>
      <vt:lpstr>CS_OrdShr_DRP_H1_12</vt:lpstr>
      <vt:lpstr>CS_OrdShr_DRP_H1_13</vt:lpstr>
      <vt:lpstr>CS_OrdShr_DRP_H1_14</vt:lpstr>
      <vt:lpstr>CS_OrdShr_DRP_H1_15</vt:lpstr>
      <vt:lpstr>CS_OrdShr_DRP_H1_16</vt:lpstr>
      <vt:lpstr>CS_OrdShr_DRP_H1_17</vt:lpstr>
      <vt:lpstr>CS_OrdShr_DRP_H1_18</vt:lpstr>
      <vt:lpstr>CS_OrdShr_DRP_H1_19</vt:lpstr>
      <vt:lpstr>CS_OrdShr_DRP_H1_20</vt:lpstr>
      <vt:lpstr>CS_OrdShr_DRP_H2_00</vt:lpstr>
      <vt:lpstr>CS_OrdShr_DRP_H2_01</vt:lpstr>
      <vt:lpstr>CS_OrdShr_DRP_H2_02</vt:lpstr>
      <vt:lpstr>CS_OrdShr_DRP_H2_03</vt:lpstr>
      <vt:lpstr>CS_OrdShr_DRP_H2_04</vt:lpstr>
      <vt:lpstr>CS_OrdShr_DRP_H2_05</vt:lpstr>
      <vt:lpstr>CS_OrdShr_DRP_H2_06</vt:lpstr>
      <vt:lpstr>CS_OrdShr_DRP_H2_07</vt:lpstr>
      <vt:lpstr>CS_OrdShr_DRP_H2_08</vt:lpstr>
      <vt:lpstr>CS_OrdShr_DRP_H2_09</vt:lpstr>
      <vt:lpstr>CS_OrdShr_DRP_H2_10</vt:lpstr>
      <vt:lpstr>CS_OrdShr_DRP_H2_11</vt:lpstr>
      <vt:lpstr>CS_OrdShr_DRP_H2_12</vt:lpstr>
      <vt:lpstr>CS_OrdShr_DRP_H2_13</vt:lpstr>
      <vt:lpstr>CS_OrdShr_DRP_H2_14</vt:lpstr>
      <vt:lpstr>CS_OrdShr_DRP_H2_15</vt:lpstr>
      <vt:lpstr>CS_OrdShr_DRP_H2_16</vt:lpstr>
      <vt:lpstr>CS_OrdShr_DRP_H2_17</vt:lpstr>
      <vt:lpstr>CS_OrdShr_DRP_H2_18</vt:lpstr>
      <vt:lpstr>CS_OrdShr_DRP_H2_19</vt:lpstr>
      <vt:lpstr>CS_OrdShr_DRP_H2_20</vt:lpstr>
      <vt:lpstr>CS_OrdShr_Iss_00</vt:lpstr>
      <vt:lpstr>CS_OrdShr_Iss_01</vt:lpstr>
      <vt:lpstr>CS_OrdShr_Iss_02</vt:lpstr>
      <vt:lpstr>CS_OrdShr_Iss_03</vt:lpstr>
      <vt:lpstr>CS_OrdShr_Iss_04</vt:lpstr>
      <vt:lpstr>CS_OrdShr_Iss_05</vt:lpstr>
      <vt:lpstr>CS_OrdShr_Iss_06</vt:lpstr>
      <vt:lpstr>CS_OrdShr_Iss_07</vt:lpstr>
      <vt:lpstr>CS_OrdShr_Iss_08</vt:lpstr>
      <vt:lpstr>CS_OrdShr_Iss_09</vt:lpstr>
      <vt:lpstr>CS_OrdShr_Iss_10</vt:lpstr>
      <vt:lpstr>CS_OrdShr_Iss_11</vt:lpstr>
      <vt:lpstr>CS_OrdShr_Iss_12</vt:lpstr>
      <vt:lpstr>CS_OrdShr_Iss_13</vt:lpstr>
      <vt:lpstr>CS_OrdShr_Iss_14</vt:lpstr>
      <vt:lpstr>CS_OrdShr_Iss_15</vt:lpstr>
      <vt:lpstr>CS_OrdShr_Iss_16</vt:lpstr>
      <vt:lpstr>CS_OrdShr_Iss_17</vt:lpstr>
      <vt:lpstr>CS_OrdShr_Iss_18</vt:lpstr>
      <vt:lpstr>CS_OrdShr_Iss_19</vt:lpstr>
      <vt:lpstr>CS_OrdShr_Iss_20</vt:lpstr>
      <vt:lpstr>CS_OrdShr_Iss_H1_00</vt:lpstr>
      <vt:lpstr>CS_OrdShr_Iss_H1_01</vt:lpstr>
      <vt:lpstr>CS_OrdShr_Iss_H1_02</vt:lpstr>
      <vt:lpstr>CS_OrdShr_Iss_H1_03</vt:lpstr>
      <vt:lpstr>CS_OrdShr_Iss_H1_04</vt:lpstr>
      <vt:lpstr>CS_OrdShr_Iss_H1_05</vt:lpstr>
      <vt:lpstr>CS_OrdShr_Iss_H1_06</vt:lpstr>
      <vt:lpstr>CS_OrdShr_Iss_H1_07</vt:lpstr>
      <vt:lpstr>CS_OrdShr_Iss_H1_08</vt:lpstr>
      <vt:lpstr>CS_OrdShr_Iss_H1_09</vt:lpstr>
      <vt:lpstr>CS_OrdShr_Iss_H1_10</vt:lpstr>
      <vt:lpstr>CS_OrdShr_Iss_H1_11</vt:lpstr>
      <vt:lpstr>CS_OrdShr_Iss_H1_12</vt:lpstr>
      <vt:lpstr>CS_OrdShr_Iss_H1_13</vt:lpstr>
      <vt:lpstr>CS_OrdShr_Iss_H1_14</vt:lpstr>
      <vt:lpstr>CS_OrdShr_Iss_H1_15</vt:lpstr>
      <vt:lpstr>CS_OrdShr_Iss_H1_16</vt:lpstr>
      <vt:lpstr>CS_OrdShr_Iss_H1_17</vt:lpstr>
      <vt:lpstr>CS_OrdShr_Iss_H1_18</vt:lpstr>
      <vt:lpstr>CS_OrdShr_Iss_H1_19</vt:lpstr>
      <vt:lpstr>CS_OrdShr_Iss_H1_20</vt:lpstr>
      <vt:lpstr>CS_OrdShr_Iss_H2_00</vt:lpstr>
      <vt:lpstr>CS_OrdShr_Iss_H2_01</vt:lpstr>
      <vt:lpstr>CS_OrdShr_Iss_H2_02</vt:lpstr>
      <vt:lpstr>CS_OrdShr_Iss_H2_03</vt:lpstr>
      <vt:lpstr>CS_OrdShr_Iss_H2_04</vt:lpstr>
      <vt:lpstr>CS_OrdShr_Iss_H2_05</vt:lpstr>
      <vt:lpstr>CS_OrdShr_Iss_H2_06</vt:lpstr>
      <vt:lpstr>CS_OrdShr_Iss_H2_07</vt:lpstr>
      <vt:lpstr>CS_OrdShr_Iss_H2_08</vt:lpstr>
      <vt:lpstr>CS_OrdShr_Iss_H2_09</vt:lpstr>
      <vt:lpstr>CS_OrdShr_Iss_H2_10</vt:lpstr>
      <vt:lpstr>CS_OrdShr_Iss_H2_11</vt:lpstr>
      <vt:lpstr>CS_OrdShr_Iss_H2_12</vt:lpstr>
      <vt:lpstr>CS_OrdShr_Iss_H2_13</vt:lpstr>
      <vt:lpstr>CS_OrdShr_Iss_H2_14</vt:lpstr>
      <vt:lpstr>CS_OrdShr_Iss_H2_15</vt:lpstr>
      <vt:lpstr>CS_OrdShr_Iss_H2_16</vt:lpstr>
      <vt:lpstr>CS_OrdShr_Iss_H2_17</vt:lpstr>
      <vt:lpstr>CS_OrdShr_Iss_H2_18</vt:lpstr>
      <vt:lpstr>CS_OrdShr_Iss_H2_19</vt:lpstr>
      <vt:lpstr>CS_OrdShr_Iss_H2_20</vt:lpstr>
      <vt:lpstr>CS_OrdShr_Open_00</vt:lpstr>
      <vt:lpstr>CS_OrdShr_Open_01</vt:lpstr>
      <vt:lpstr>CS_OrdShr_Open_02</vt:lpstr>
      <vt:lpstr>CS_OrdShr_Open_03</vt:lpstr>
      <vt:lpstr>CS_OrdShr_Open_04</vt:lpstr>
      <vt:lpstr>CS_OrdShr_Open_05</vt:lpstr>
      <vt:lpstr>CS_OrdShr_Open_06</vt:lpstr>
      <vt:lpstr>CS_OrdShr_Open_07</vt:lpstr>
      <vt:lpstr>CS_OrdShr_Open_08</vt:lpstr>
      <vt:lpstr>CS_OrdShr_Open_09</vt:lpstr>
      <vt:lpstr>CS_OrdShr_Open_10</vt:lpstr>
      <vt:lpstr>CS_OrdShr_Open_11</vt:lpstr>
      <vt:lpstr>CS_OrdShr_Open_12</vt:lpstr>
      <vt:lpstr>CS_OrdShr_Open_13</vt:lpstr>
      <vt:lpstr>CS_OrdShr_Open_14</vt:lpstr>
      <vt:lpstr>CS_OrdShr_Open_15</vt:lpstr>
      <vt:lpstr>CS_OrdShr_Open_16</vt:lpstr>
      <vt:lpstr>CS_OrdShr_Open_17</vt:lpstr>
      <vt:lpstr>CS_OrdShr_Open_18</vt:lpstr>
      <vt:lpstr>CS_OrdShr_Open_19</vt:lpstr>
      <vt:lpstr>CS_OrdShr_Open_20</vt:lpstr>
      <vt:lpstr>CS_OrdShr_Open_H1_00</vt:lpstr>
      <vt:lpstr>CS_OrdShr_Open_H1_01</vt:lpstr>
      <vt:lpstr>CS_OrdShr_Open_H1_02</vt:lpstr>
      <vt:lpstr>CS_OrdShr_Open_H1_03</vt:lpstr>
      <vt:lpstr>CS_OrdShr_Open_H1_04</vt:lpstr>
      <vt:lpstr>CS_OrdShr_Open_H1_05</vt:lpstr>
      <vt:lpstr>CS_OrdShr_Open_H1_06</vt:lpstr>
      <vt:lpstr>CS_OrdShr_Open_H1_07</vt:lpstr>
      <vt:lpstr>CS_OrdShr_Open_H1_08</vt:lpstr>
      <vt:lpstr>CS_OrdShr_Open_H1_09</vt:lpstr>
      <vt:lpstr>CS_OrdShr_Open_H1_10</vt:lpstr>
      <vt:lpstr>CS_OrdShr_Open_H1_11</vt:lpstr>
      <vt:lpstr>CS_OrdShr_Open_H1_12</vt:lpstr>
      <vt:lpstr>CS_OrdShr_Open_H1_13</vt:lpstr>
      <vt:lpstr>CS_OrdShr_Open_H1_14</vt:lpstr>
      <vt:lpstr>CS_OrdShr_Open_H1_15</vt:lpstr>
      <vt:lpstr>CS_OrdShr_Open_H1_16</vt:lpstr>
      <vt:lpstr>CS_OrdShr_Open_H1_17</vt:lpstr>
      <vt:lpstr>CS_OrdShr_Open_H1_18</vt:lpstr>
      <vt:lpstr>CS_OrdShr_Open_H1_19</vt:lpstr>
      <vt:lpstr>CS_OrdShr_Open_H1_20</vt:lpstr>
      <vt:lpstr>CS_OrdShr_Open_H2_00</vt:lpstr>
      <vt:lpstr>CS_OrdShr_Open_H2_01</vt:lpstr>
      <vt:lpstr>CS_OrdShr_Open_H2_02</vt:lpstr>
      <vt:lpstr>CS_OrdShr_Open_H2_03</vt:lpstr>
      <vt:lpstr>CS_OrdShr_Open_H2_04</vt:lpstr>
      <vt:lpstr>CS_OrdShr_Open_H2_05</vt:lpstr>
      <vt:lpstr>CS_OrdShr_Open_H2_06</vt:lpstr>
      <vt:lpstr>CS_OrdShr_Open_H2_07</vt:lpstr>
      <vt:lpstr>CS_OrdShr_Open_H2_08</vt:lpstr>
      <vt:lpstr>CS_OrdShr_Open_H2_09</vt:lpstr>
      <vt:lpstr>CS_OrdShr_Open_H2_10</vt:lpstr>
      <vt:lpstr>CS_OrdShr_Open_H2_11</vt:lpstr>
      <vt:lpstr>CS_OrdShr_Open_H2_12</vt:lpstr>
      <vt:lpstr>CS_OrdShr_Open_H2_13</vt:lpstr>
      <vt:lpstr>CS_OrdShr_Open_H2_14</vt:lpstr>
      <vt:lpstr>CS_OrdShr_Open_H2_15</vt:lpstr>
      <vt:lpstr>CS_OrdShr_Open_H2_16</vt:lpstr>
      <vt:lpstr>CS_OrdShr_Open_H2_17</vt:lpstr>
      <vt:lpstr>CS_OrdShr_Open_H2_18</vt:lpstr>
      <vt:lpstr>CS_OrdShr_Open_H2_19</vt:lpstr>
      <vt:lpstr>CS_OrdShr_Open_H2_20</vt:lpstr>
      <vt:lpstr>CS_OrdShr_Opt_00</vt:lpstr>
      <vt:lpstr>CS_OrdShr_Opt_01</vt:lpstr>
      <vt:lpstr>CS_OrdShr_Opt_02</vt:lpstr>
      <vt:lpstr>CS_OrdShr_Opt_03</vt:lpstr>
      <vt:lpstr>CS_OrdShr_Opt_04</vt:lpstr>
      <vt:lpstr>CS_OrdShr_Opt_05</vt:lpstr>
      <vt:lpstr>CS_OrdShr_Opt_06</vt:lpstr>
      <vt:lpstr>CS_OrdShr_Opt_07</vt:lpstr>
      <vt:lpstr>CS_OrdShr_Opt_08</vt:lpstr>
      <vt:lpstr>CS_OrdShr_Opt_09</vt:lpstr>
      <vt:lpstr>CS_OrdShr_Opt_10</vt:lpstr>
      <vt:lpstr>CS_OrdShr_Opt_11</vt:lpstr>
      <vt:lpstr>CS_OrdShr_Opt_12</vt:lpstr>
      <vt:lpstr>CS_OrdShr_Opt_13</vt:lpstr>
      <vt:lpstr>CS_OrdShr_Opt_14</vt:lpstr>
      <vt:lpstr>CS_OrdShr_Opt_15</vt:lpstr>
      <vt:lpstr>CS_OrdShr_Opt_16</vt:lpstr>
      <vt:lpstr>CS_OrdShr_Opt_17</vt:lpstr>
      <vt:lpstr>CS_OrdShr_Opt_18</vt:lpstr>
      <vt:lpstr>CS_OrdShr_Opt_19</vt:lpstr>
      <vt:lpstr>CS_OrdShr_Opt_20</vt:lpstr>
      <vt:lpstr>CS_OrdShr_Opt_H1_00</vt:lpstr>
      <vt:lpstr>CS_OrdShr_Opt_H1_01</vt:lpstr>
      <vt:lpstr>CS_OrdShr_Opt_H1_02</vt:lpstr>
      <vt:lpstr>CS_OrdShr_Opt_H1_03</vt:lpstr>
      <vt:lpstr>CS_OrdShr_Opt_H1_04</vt:lpstr>
      <vt:lpstr>CS_OrdShr_Opt_H1_05</vt:lpstr>
      <vt:lpstr>CS_OrdShr_Opt_H1_06</vt:lpstr>
      <vt:lpstr>CS_OrdShr_Opt_H1_07</vt:lpstr>
      <vt:lpstr>CS_OrdShr_Opt_H1_08</vt:lpstr>
      <vt:lpstr>CS_OrdShr_Opt_H1_09</vt:lpstr>
      <vt:lpstr>CS_OrdShr_Opt_H1_10</vt:lpstr>
      <vt:lpstr>CS_OrdShr_Opt_H1_11</vt:lpstr>
      <vt:lpstr>CS_OrdShr_Opt_H1_12</vt:lpstr>
      <vt:lpstr>CS_OrdShr_Opt_H1_13</vt:lpstr>
      <vt:lpstr>CS_OrdShr_Opt_H1_14</vt:lpstr>
      <vt:lpstr>CS_OrdShr_Opt_H1_15</vt:lpstr>
      <vt:lpstr>CS_OrdShr_Opt_H1_16</vt:lpstr>
      <vt:lpstr>CS_OrdShr_Opt_H1_17</vt:lpstr>
      <vt:lpstr>CS_OrdShr_Opt_H1_18</vt:lpstr>
      <vt:lpstr>CS_OrdShr_Opt_H1_19</vt:lpstr>
      <vt:lpstr>CS_OrdShr_Opt_H1_20</vt:lpstr>
      <vt:lpstr>CS_OrdShr_Opt_H2_00</vt:lpstr>
      <vt:lpstr>CS_OrdShr_Opt_H2_01</vt:lpstr>
      <vt:lpstr>CS_OrdShr_Opt_H2_02</vt:lpstr>
      <vt:lpstr>CS_OrdShr_Opt_H2_03</vt:lpstr>
      <vt:lpstr>CS_OrdShr_Opt_H2_04</vt:lpstr>
      <vt:lpstr>CS_OrdShr_Opt_H2_05</vt:lpstr>
      <vt:lpstr>CS_OrdShr_Opt_H2_06</vt:lpstr>
      <vt:lpstr>CS_OrdShr_Opt_H2_07</vt:lpstr>
      <vt:lpstr>CS_OrdShr_Opt_H2_08</vt:lpstr>
      <vt:lpstr>CS_OrdShr_Opt_H2_09</vt:lpstr>
      <vt:lpstr>CS_OrdShr_Opt_H2_10</vt:lpstr>
      <vt:lpstr>CS_OrdShr_Opt_H2_11</vt:lpstr>
      <vt:lpstr>CS_OrdShr_Opt_H2_12</vt:lpstr>
      <vt:lpstr>CS_OrdShr_Opt_H2_13</vt:lpstr>
      <vt:lpstr>CS_OrdShr_Opt_H2_14</vt:lpstr>
      <vt:lpstr>CS_OrdShr_Opt_H2_15</vt:lpstr>
      <vt:lpstr>CS_OrdShr_Opt_H2_16</vt:lpstr>
      <vt:lpstr>CS_OrdShr_Opt_H2_17</vt:lpstr>
      <vt:lpstr>CS_OrdShr_Opt_H2_18</vt:lpstr>
      <vt:lpstr>CS_OrdShr_Opt_H2_19</vt:lpstr>
      <vt:lpstr>CS_OrdShr_Opt_H2_20</vt:lpstr>
      <vt:lpstr>CS_OrdShr_Oth_00</vt:lpstr>
      <vt:lpstr>CS_OrdShr_Oth_01</vt:lpstr>
      <vt:lpstr>CS_OrdShr_Oth_02</vt:lpstr>
      <vt:lpstr>CS_OrdShr_Oth_03</vt:lpstr>
      <vt:lpstr>CS_OrdShr_Oth_04</vt:lpstr>
      <vt:lpstr>CS_OrdShr_Oth_05</vt:lpstr>
      <vt:lpstr>CS_OrdShr_Oth_06</vt:lpstr>
      <vt:lpstr>CS_OrdShr_Oth_07</vt:lpstr>
      <vt:lpstr>CS_OrdShr_Oth_08</vt:lpstr>
      <vt:lpstr>CS_OrdShr_Oth_09</vt:lpstr>
      <vt:lpstr>CS_OrdShr_Oth_10</vt:lpstr>
      <vt:lpstr>CS_OrdShr_Oth_11</vt:lpstr>
      <vt:lpstr>CS_OrdShr_Oth_12</vt:lpstr>
      <vt:lpstr>CS_OrdShr_Oth_13</vt:lpstr>
      <vt:lpstr>CS_OrdShr_Oth_14</vt:lpstr>
      <vt:lpstr>CS_OrdShr_Oth_15</vt:lpstr>
      <vt:lpstr>CS_OrdShr_Oth_16</vt:lpstr>
      <vt:lpstr>CS_OrdShr_Oth_17</vt:lpstr>
      <vt:lpstr>CS_OrdShr_Oth_18</vt:lpstr>
      <vt:lpstr>CS_OrdShr_Oth_19</vt:lpstr>
      <vt:lpstr>CS_OrdShr_Oth_20</vt:lpstr>
      <vt:lpstr>CS_OrdShr_Oth_H1_00</vt:lpstr>
      <vt:lpstr>CS_OrdShr_Oth_H1_01</vt:lpstr>
      <vt:lpstr>CS_OrdShr_Oth_H1_02</vt:lpstr>
      <vt:lpstr>CS_OrdShr_Oth_H1_03</vt:lpstr>
      <vt:lpstr>CS_OrdShr_Oth_H1_04</vt:lpstr>
      <vt:lpstr>CS_OrdShr_Oth_H1_05</vt:lpstr>
      <vt:lpstr>CS_OrdShr_Oth_H1_06</vt:lpstr>
      <vt:lpstr>CS_OrdShr_Oth_H1_07</vt:lpstr>
      <vt:lpstr>CS_OrdShr_Oth_H1_08</vt:lpstr>
      <vt:lpstr>CS_OrdShr_Oth_H1_09</vt:lpstr>
      <vt:lpstr>CS_OrdShr_Oth_H1_10</vt:lpstr>
      <vt:lpstr>CS_OrdShr_Oth_H1_11</vt:lpstr>
      <vt:lpstr>CS_OrdShr_Oth_H1_12</vt:lpstr>
      <vt:lpstr>CS_OrdShr_Oth_H1_13</vt:lpstr>
      <vt:lpstr>CS_OrdShr_Oth_H1_14</vt:lpstr>
      <vt:lpstr>CS_OrdShr_Oth_H1_15</vt:lpstr>
      <vt:lpstr>CS_OrdShr_Oth_H1_16</vt:lpstr>
      <vt:lpstr>CS_OrdShr_Oth_H1_17</vt:lpstr>
      <vt:lpstr>CS_OrdShr_Oth_H1_18</vt:lpstr>
      <vt:lpstr>CS_OrdShr_Oth_H1_19</vt:lpstr>
      <vt:lpstr>CS_OrdShr_Oth_H1_20</vt:lpstr>
      <vt:lpstr>CS_OrdShr_Oth_H2_00</vt:lpstr>
      <vt:lpstr>CS_OrdShr_Oth_H2_01</vt:lpstr>
      <vt:lpstr>CS_OrdShr_Oth_H2_02</vt:lpstr>
      <vt:lpstr>CS_OrdShr_Oth_H2_03</vt:lpstr>
      <vt:lpstr>CS_OrdShr_Oth_H2_04</vt:lpstr>
      <vt:lpstr>CS_OrdShr_Oth_H2_05</vt:lpstr>
      <vt:lpstr>CS_OrdShr_Oth_H2_06</vt:lpstr>
      <vt:lpstr>CS_OrdShr_Oth_H2_07</vt:lpstr>
      <vt:lpstr>CS_OrdShr_Oth_H2_08</vt:lpstr>
      <vt:lpstr>CS_OrdShr_Oth_H2_09</vt:lpstr>
      <vt:lpstr>CS_OrdShr_Oth_H2_10</vt:lpstr>
      <vt:lpstr>CS_OrdShr_Oth_H2_11</vt:lpstr>
      <vt:lpstr>CS_OrdShr_Oth_H2_12</vt:lpstr>
      <vt:lpstr>CS_OrdShr_Oth_H2_13</vt:lpstr>
      <vt:lpstr>CS_OrdShr_Oth_H2_14</vt:lpstr>
      <vt:lpstr>CS_OrdShr_Oth_H2_15</vt:lpstr>
      <vt:lpstr>CS_OrdShr_Oth_H2_16</vt:lpstr>
      <vt:lpstr>CS_OrdShr_Oth_H2_17</vt:lpstr>
      <vt:lpstr>CS_OrdShr_Oth_H2_18</vt:lpstr>
      <vt:lpstr>CS_OrdShr_Oth_H2_19</vt:lpstr>
      <vt:lpstr>CS_OrdShr_Oth_H2_20</vt:lpstr>
      <vt:lpstr>CS_OrdShr_Plac_00</vt:lpstr>
      <vt:lpstr>CS_OrdShr_Plac_01</vt:lpstr>
      <vt:lpstr>CS_OrdShr_Plac_02</vt:lpstr>
      <vt:lpstr>CS_OrdShr_Plac_03</vt:lpstr>
      <vt:lpstr>CS_OrdShr_Plac_04</vt:lpstr>
      <vt:lpstr>CS_OrdShr_Plac_05</vt:lpstr>
      <vt:lpstr>CS_OrdShr_Plac_06</vt:lpstr>
      <vt:lpstr>CS_OrdShr_Plac_07</vt:lpstr>
      <vt:lpstr>CS_OrdShr_Plac_08</vt:lpstr>
      <vt:lpstr>CS_OrdShr_Plac_09</vt:lpstr>
      <vt:lpstr>CS_OrdShr_Plac_10</vt:lpstr>
      <vt:lpstr>CS_OrdShr_Plac_11</vt:lpstr>
      <vt:lpstr>CS_OrdShr_Plac_12</vt:lpstr>
      <vt:lpstr>CS_OrdShr_Plac_13</vt:lpstr>
      <vt:lpstr>CS_OrdShr_Plac_14</vt:lpstr>
      <vt:lpstr>CS_OrdShr_Plac_15</vt:lpstr>
      <vt:lpstr>CS_OrdShr_Plac_16</vt:lpstr>
      <vt:lpstr>CS_OrdShr_Plac_17</vt:lpstr>
      <vt:lpstr>CS_OrdShr_Plac_18</vt:lpstr>
      <vt:lpstr>CS_OrdShr_Plac_19</vt:lpstr>
      <vt:lpstr>CS_OrdShr_Plac_20</vt:lpstr>
      <vt:lpstr>CS_OrdShr_Plac_H1_00</vt:lpstr>
      <vt:lpstr>CS_OrdShr_Plac_H1_01</vt:lpstr>
      <vt:lpstr>CS_OrdShr_Plac_H1_02</vt:lpstr>
      <vt:lpstr>CS_OrdShr_Plac_H1_03</vt:lpstr>
      <vt:lpstr>CS_OrdShr_Plac_H1_04</vt:lpstr>
      <vt:lpstr>CS_OrdShr_Plac_H1_05</vt:lpstr>
      <vt:lpstr>CS_OrdShr_Plac_H1_06</vt:lpstr>
      <vt:lpstr>CS_OrdShr_Plac_H1_07</vt:lpstr>
      <vt:lpstr>CS_OrdShr_Plac_H1_08</vt:lpstr>
      <vt:lpstr>CS_OrdShr_Plac_H1_09</vt:lpstr>
      <vt:lpstr>CS_OrdShr_Plac_H1_10</vt:lpstr>
      <vt:lpstr>CS_OrdShr_Plac_H1_11</vt:lpstr>
      <vt:lpstr>CS_OrdShr_Plac_H1_12</vt:lpstr>
      <vt:lpstr>CS_OrdShr_Plac_H1_13</vt:lpstr>
      <vt:lpstr>CS_OrdShr_Plac_H1_14</vt:lpstr>
      <vt:lpstr>CS_OrdShr_Plac_H1_15</vt:lpstr>
      <vt:lpstr>CS_OrdShr_Plac_H1_16</vt:lpstr>
      <vt:lpstr>CS_OrdShr_Plac_H1_17</vt:lpstr>
      <vt:lpstr>CS_OrdShr_Plac_H1_18</vt:lpstr>
      <vt:lpstr>CS_OrdShr_Plac_H1_19</vt:lpstr>
      <vt:lpstr>CS_OrdShr_Plac_H1_20</vt:lpstr>
      <vt:lpstr>CS_OrdShr_Plac_H2_00</vt:lpstr>
      <vt:lpstr>CS_OrdShr_Plac_H2_01</vt:lpstr>
      <vt:lpstr>CS_OrdShr_Plac_H2_02</vt:lpstr>
      <vt:lpstr>CS_OrdShr_Plac_H2_03</vt:lpstr>
      <vt:lpstr>CS_OrdShr_Plac_H2_04</vt:lpstr>
      <vt:lpstr>CS_OrdShr_Plac_H2_05</vt:lpstr>
      <vt:lpstr>CS_OrdShr_Plac_H2_06</vt:lpstr>
      <vt:lpstr>CS_OrdShr_Plac_H2_07</vt:lpstr>
      <vt:lpstr>CS_OrdShr_Plac_H2_08</vt:lpstr>
      <vt:lpstr>CS_OrdShr_Plac_H2_09</vt:lpstr>
      <vt:lpstr>CS_OrdShr_Plac_H2_10</vt:lpstr>
      <vt:lpstr>CS_OrdShr_Plac_H2_11</vt:lpstr>
      <vt:lpstr>CS_OrdShr_Plac_H2_12</vt:lpstr>
      <vt:lpstr>CS_OrdShr_Plac_H2_13</vt:lpstr>
      <vt:lpstr>CS_OrdShr_Plac_H2_14</vt:lpstr>
      <vt:lpstr>CS_OrdShr_Plac_H2_15</vt:lpstr>
      <vt:lpstr>CS_OrdShr_Plac_H2_16</vt:lpstr>
      <vt:lpstr>CS_OrdShr_Plac_H2_17</vt:lpstr>
      <vt:lpstr>CS_OrdShr_Plac_H2_18</vt:lpstr>
      <vt:lpstr>CS_OrdShr_Plac_H2_19</vt:lpstr>
      <vt:lpstr>CS_OrdShr_Plac_H2_20</vt:lpstr>
      <vt:lpstr>CS_OrdShr_Pref_00</vt:lpstr>
      <vt:lpstr>CS_OrdShr_Pref_01</vt:lpstr>
      <vt:lpstr>CS_OrdShr_Pref_02</vt:lpstr>
      <vt:lpstr>CS_OrdShr_Pref_03</vt:lpstr>
      <vt:lpstr>CS_OrdShr_Pref_04</vt:lpstr>
      <vt:lpstr>CS_OrdShr_Pref_05</vt:lpstr>
      <vt:lpstr>CS_OrdShr_Pref_06</vt:lpstr>
      <vt:lpstr>CS_OrdShr_Pref_07</vt:lpstr>
      <vt:lpstr>CS_OrdShr_Pref_08</vt:lpstr>
      <vt:lpstr>CS_OrdShr_Pref_09</vt:lpstr>
      <vt:lpstr>CS_OrdShr_Pref_10</vt:lpstr>
      <vt:lpstr>CS_OrdShr_Pref_11</vt:lpstr>
      <vt:lpstr>CS_OrdShr_Pref_12</vt:lpstr>
      <vt:lpstr>CS_OrdShr_Pref_13</vt:lpstr>
      <vt:lpstr>CS_OrdShr_Pref_14</vt:lpstr>
      <vt:lpstr>CS_OrdShr_Pref_15</vt:lpstr>
      <vt:lpstr>CS_OrdShr_Pref_16</vt:lpstr>
      <vt:lpstr>CS_OrdShr_Pref_17</vt:lpstr>
      <vt:lpstr>CS_OrdShr_Pref_18</vt:lpstr>
      <vt:lpstr>CS_OrdShr_Pref_19</vt:lpstr>
      <vt:lpstr>CS_OrdShr_Pref_20</vt:lpstr>
      <vt:lpstr>CS_OrdShr_Pref_H1_00</vt:lpstr>
      <vt:lpstr>CS_OrdShr_Pref_H1_01</vt:lpstr>
      <vt:lpstr>CS_OrdShr_Pref_H1_02</vt:lpstr>
      <vt:lpstr>CS_OrdShr_Pref_H1_03</vt:lpstr>
      <vt:lpstr>CS_OrdShr_Pref_H1_04</vt:lpstr>
      <vt:lpstr>CS_OrdShr_Pref_H1_05</vt:lpstr>
      <vt:lpstr>CS_OrdShr_Pref_H1_06</vt:lpstr>
      <vt:lpstr>CS_OrdShr_Pref_H1_07</vt:lpstr>
      <vt:lpstr>CS_OrdShr_Pref_H1_08</vt:lpstr>
      <vt:lpstr>CS_OrdShr_Pref_H1_09</vt:lpstr>
      <vt:lpstr>CS_OrdShr_Pref_H1_10</vt:lpstr>
      <vt:lpstr>CS_OrdShr_Pref_H1_11</vt:lpstr>
      <vt:lpstr>CS_OrdShr_Pref_H1_12</vt:lpstr>
      <vt:lpstr>CS_OrdShr_Pref_H1_13</vt:lpstr>
      <vt:lpstr>CS_OrdShr_Pref_H1_14</vt:lpstr>
      <vt:lpstr>CS_OrdShr_Pref_H1_15</vt:lpstr>
      <vt:lpstr>CS_OrdShr_Pref_H1_16</vt:lpstr>
      <vt:lpstr>CS_OrdShr_Pref_H1_17</vt:lpstr>
      <vt:lpstr>CS_OrdShr_Pref_H1_18</vt:lpstr>
      <vt:lpstr>CS_OrdShr_Pref_H1_19</vt:lpstr>
      <vt:lpstr>CS_OrdShr_Pref_H1_20</vt:lpstr>
      <vt:lpstr>CS_OrdShr_Pref_H2_00</vt:lpstr>
      <vt:lpstr>CS_OrdShr_Pref_H2_01</vt:lpstr>
      <vt:lpstr>CS_OrdShr_Pref_H2_02</vt:lpstr>
      <vt:lpstr>CS_OrdShr_Pref_H2_03</vt:lpstr>
      <vt:lpstr>CS_OrdShr_Pref_H2_04</vt:lpstr>
      <vt:lpstr>CS_OrdShr_Pref_H2_05</vt:lpstr>
      <vt:lpstr>CS_OrdShr_Pref_H2_06</vt:lpstr>
      <vt:lpstr>CS_OrdShr_Pref_H2_07</vt:lpstr>
      <vt:lpstr>CS_OrdShr_Pref_H2_08</vt:lpstr>
      <vt:lpstr>CS_OrdShr_Pref_H2_09</vt:lpstr>
      <vt:lpstr>CS_OrdShr_Pref_H2_10</vt:lpstr>
      <vt:lpstr>CS_OrdShr_Pref_H2_11</vt:lpstr>
      <vt:lpstr>CS_OrdShr_Pref_H2_12</vt:lpstr>
      <vt:lpstr>CS_OrdShr_Pref_H2_13</vt:lpstr>
      <vt:lpstr>CS_OrdShr_Pref_H2_14</vt:lpstr>
      <vt:lpstr>CS_OrdShr_Pref_H2_15</vt:lpstr>
      <vt:lpstr>CS_OrdShr_Pref_H2_16</vt:lpstr>
      <vt:lpstr>CS_OrdShr_Pref_H2_17</vt:lpstr>
      <vt:lpstr>CS_OrdShr_Pref_H2_18</vt:lpstr>
      <vt:lpstr>CS_OrdShr_Pref_H2_19</vt:lpstr>
      <vt:lpstr>CS_OrdShr_Pref_H2_20</vt:lpstr>
      <vt:lpstr>CS_PC_Avg_00</vt:lpstr>
      <vt:lpstr>CS_PC_Avg_01</vt:lpstr>
      <vt:lpstr>CS_PC_Avg_02</vt:lpstr>
      <vt:lpstr>CS_PC_Avg_03</vt:lpstr>
      <vt:lpstr>CS_PC_Avg_04</vt:lpstr>
      <vt:lpstr>CS_PC_Avg_05</vt:lpstr>
      <vt:lpstr>CS_PC_Avg_06</vt:lpstr>
      <vt:lpstr>CS_PC_Avg_07</vt:lpstr>
      <vt:lpstr>CS_PC_Avg_08</vt:lpstr>
      <vt:lpstr>CS_PC_Avg_09</vt:lpstr>
      <vt:lpstr>CS_PC_Avg_10</vt:lpstr>
      <vt:lpstr>CS_PC_Avg_11</vt:lpstr>
      <vt:lpstr>CS_PC_Avg_12</vt:lpstr>
      <vt:lpstr>CS_PC_Avg_13</vt:lpstr>
      <vt:lpstr>CS_PC_Avg_14</vt:lpstr>
      <vt:lpstr>CS_PC_Avg_15</vt:lpstr>
      <vt:lpstr>CS_PC_Avg_16</vt:lpstr>
      <vt:lpstr>CS_PC_Avg_17</vt:lpstr>
      <vt:lpstr>CS_PC_Avg_18</vt:lpstr>
      <vt:lpstr>CS_PC_Avg_19</vt:lpstr>
      <vt:lpstr>CS_PC_Avg_20</vt:lpstr>
      <vt:lpstr>CS_PC_Avg_H1_00</vt:lpstr>
      <vt:lpstr>CS_PC_Avg_H1_01</vt:lpstr>
      <vt:lpstr>CS_PC_Avg_H1_02</vt:lpstr>
      <vt:lpstr>CS_PC_Avg_H1_03</vt:lpstr>
      <vt:lpstr>CS_PC_Avg_H1_04</vt:lpstr>
      <vt:lpstr>CS_PC_Avg_H1_05</vt:lpstr>
      <vt:lpstr>CS_PC_Avg_H1_06</vt:lpstr>
      <vt:lpstr>CS_PC_Avg_H1_07</vt:lpstr>
      <vt:lpstr>CS_PC_Avg_H1_08</vt:lpstr>
      <vt:lpstr>CS_PC_Avg_H1_09</vt:lpstr>
      <vt:lpstr>CS_PC_Avg_H1_10</vt:lpstr>
      <vt:lpstr>CS_PC_Avg_H1_11</vt:lpstr>
      <vt:lpstr>CS_PC_Avg_H1_12</vt:lpstr>
      <vt:lpstr>CS_PC_Avg_H1_13</vt:lpstr>
      <vt:lpstr>CS_PC_Avg_H1_14</vt:lpstr>
      <vt:lpstr>CS_PC_Avg_H1_15</vt:lpstr>
      <vt:lpstr>CS_PC_Avg_H1_16</vt:lpstr>
      <vt:lpstr>CS_PC_Avg_H1_17</vt:lpstr>
      <vt:lpstr>CS_PC_Avg_H1_18</vt:lpstr>
      <vt:lpstr>CS_PC_Avg_H1_19</vt:lpstr>
      <vt:lpstr>CS_PC_Avg_H1_20</vt:lpstr>
      <vt:lpstr>CS_PC_Avg_H2_00</vt:lpstr>
      <vt:lpstr>CS_PC_Avg_H2_01</vt:lpstr>
      <vt:lpstr>CS_PC_Avg_H2_02</vt:lpstr>
      <vt:lpstr>CS_PC_Avg_H2_03</vt:lpstr>
      <vt:lpstr>CS_PC_Avg_H2_04</vt:lpstr>
      <vt:lpstr>CS_PC_Avg_H2_05</vt:lpstr>
      <vt:lpstr>CS_PC_Avg_H2_06</vt:lpstr>
      <vt:lpstr>CS_PC_Avg_H2_07</vt:lpstr>
      <vt:lpstr>CS_PC_Avg_H2_08</vt:lpstr>
      <vt:lpstr>CS_PC_Avg_H2_09</vt:lpstr>
      <vt:lpstr>CS_PC_Avg_H2_10</vt:lpstr>
      <vt:lpstr>CS_PC_Avg_H2_11</vt:lpstr>
      <vt:lpstr>CS_PC_Avg_H2_12</vt:lpstr>
      <vt:lpstr>CS_PC_Avg_H2_13</vt:lpstr>
      <vt:lpstr>CS_PC_Avg_H2_14</vt:lpstr>
      <vt:lpstr>CS_PC_Avg_H2_15</vt:lpstr>
      <vt:lpstr>CS_PC_Avg_H2_16</vt:lpstr>
      <vt:lpstr>CS_PC_Avg_H2_17</vt:lpstr>
      <vt:lpstr>CS_PC_Avg_H2_18</vt:lpstr>
      <vt:lpstr>CS_PC_Avg_H2_19</vt:lpstr>
      <vt:lpstr>CS_PC_Avg_H2_20</vt:lpstr>
      <vt:lpstr>CS_PC_Clos_00</vt:lpstr>
      <vt:lpstr>CS_PC_Clos_01</vt:lpstr>
      <vt:lpstr>CS_PC_Clos_02</vt:lpstr>
      <vt:lpstr>CS_PC_Clos_03</vt:lpstr>
      <vt:lpstr>CS_PC_Clos_04</vt:lpstr>
      <vt:lpstr>CS_PC_Clos_05</vt:lpstr>
      <vt:lpstr>CS_PC_Clos_06</vt:lpstr>
      <vt:lpstr>CS_PC_Clos_07</vt:lpstr>
      <vt:lpstr>CS_PC_Clos_08</vt:lpstr>
      <vt:lpstr>CS_PC_Clos_09</vt:lpstr>
      <vt:lpstr>CS_PC_Clos_10</vt:lpstr>
      <vt:lpstr>CS_PC_Clos_11</vt:lpstr>
      <vt:lpstr>CS_PC_Clos_12</vt:lpstr>
      <vt:lpstr>CS_PC_Clos_13</vt:lpstr>
      <vt:lpstr>CS_PC_Clos_14</vt:lpstr>
      <vt:lpstr>CS_PC_Clos_15</vt:lpstr>
      <vt:lpstr>CS_PC_Clos_16</vt:lpstr>
      <vt:lpstr>CS_PC_Clos_17</vt:lpstr>
      <vt:lpstr>CS_PC_Clos_18</vt:lpstr>
      <vt:lpstr>CS_PC_Clos_19</vt:lpstr>
      <vt:lpstr>CS_PC_Clos_20</vt:lpstr>
      <vt:lpstr>CS_PC_Clos_H1_00</vt:lpstr>
      <vt:lpstr>CS_PC_Clos_H1_01</vt:lpstr>
      <vt:lpstr>CS_PC_Clos_H1_02</vt:lpstr>
      <vt:lpstr>CS_PC_Clos_H1_03</vt:lpstr>
      <vt:lpstr>CS_PC_Clos_H1_04</vt:lpstr>
      <vt:lpstr>CS_PC_Clos_H1_05</vt:lpstr>
      <vt:lpstr>CS_PC_Clos_H1_06</vt:lpstr>
      <vt:lpstr>CS_PC_Clos_H1_07</vt:lpstr>
      <vt:lpstr>CS_PC_Clos_H1_08</vt:lpstr>
      <vt:lpstr>CS_PC_Clos_H1_09</vt:lpstr>
      <vt:lpstr>CS_PC_Clos_H1_10</vt:lpstr>
      <vt:lpstr>CS_PC_Clos_H1_11</vt:lpstr>
      <vt:lpstr>CS_PC_Clos_H1_12</vt:lpstr>
      <vt:lpstr>CS_PC_Clos_H1_13</vt:lpstr>
      <vt:lpstr>CS_PC_Clos_H1_14</vt:lpstr>
      <vt:lpstr>CS_PC_Clos_H1_15</vt:lpstr>
      <vt:lpstr>CS_PC_Clos_H1_16</vt:lpstr>
      <vt:lpstr>CS_PC_Clos_H1_17</vt:lpstr>
      <vt:lpstr>CS_PC_Clos_H1_18</vt:lpstr>
      <vt:lpstr>CS_PC_Clos_H1_19</vt:lpstr>
      <vt:lpstr>CS_PC_Clos_H1_20</vt:lpstr>
      <vt:lpstr>CS_PC_Clos_H2_00</vt:lpstr>
      <vt:lpstr>CS_PC_Clos_H2_01</vt:lpstr>
      <vt:lpstr>CS_PC_Clos_H2_02</vt:lpstr>
      <vt:lpstr>CS_PC_Clos_H2_03</vt:lpstr>
      <vt:lpstr>CS_PC_Clos_H2_04</vt:lpstr>
      <vt:lpstr>CS_PC_Clos_H2_05</vt:lpstr>
      <vt:lpstr>CS_PC_Clos_H2_06</vt:lpstr>
      <vt:lpstr>CS_PC_Clos_H2_07</vt:lpstr>
      <vt:lpstr>CS_PC_Clos_H2_08</vt:lpstr>
      <vt:lpstr>CS_PC_Clos_H2_09</vt:lpstr>
      <vt:lpstr>CS_PC_Clos_H2_10</vt:lpstr>
      <vt:lpstr>CS_PC_Clos_H2_11</vt:lpstr>
      <vt:lpstr>CS_PC_Clos_H2_12</vt:lpstr>
      <vt:lpstr>CS_PC_Clos_H2_13</vt:lpstr>
      <vt:lpstr>CS_PC_Clos_H2_14</vt:lpstr>
      <vt:lpstr>CS_PC_Clos_H2_15</vt:lpstr>
      <vt:lpstr>CS_PC_Clos_H2_16</vt:lpstr>
      <vt:lpstr>CS_PC_Clos_H2_17</vt:lpstr>
      <vt:lpstr>CS_PC_Clos_H2_18</vt:lpstr>
      <vt:lpstr>CS_PC_Clos_H2_19</vt:lpstr>
      <vt:lpstr>CS_PC_Clos_H2_20</vt:lpstr>
      <vt:lpstr>CS_PC_Issue_00</vt:lpstr>
      <vt:lpstr>CS_PC_Issue_01</vt:lpstr>
      <vt:lpstr>CS_PC_Issue_02</vt:lpstr>
      <vt:lpstr>CS_PC_Issue_03</vt:lpstr>
      <vt:lpstr>CS_PC_Issue_04</vt:lpstr>
      <vt:lpstr>CS_PC_Issue_05</vt:lpstr>
      <vt:lpstr>CS_PC_Issue_06</vt:lpstr>
      <vt:lpstr>CS_PC_Issue_07</vt:lpstr>
      <vt:lpstr>CS_PC_Issue_08</vt:lpstr>
      <vt:lpstr>CS_PC_Issue_09</vt:lpstr>
      <vt:lpstr>CS_PC_Issue_10</vt:lpstr>
      <vt:lpstr>CS_PC_Issue_11</vt:lpstr>
      <vt:lpstr>CS_PC_Issue_12</vt:lpstr>
      <vt:lpstr>CS_PC_Issue_13</vt:lpstr>
      <vt:lpstr>CS_PC_Issue_14</vt:lpstr>
      <vt:lpstr>CS_PC_Issue_15</vt:lpstr>
      <vt:lpstr>CS_PC_Issue_16</vt:lpstr>
      <vt:lpstr>CS_PC_Issue_17</vt:lpstr>
      <vt:lpstr>CS_PC_Issue_18</vt:lpstr>
      <vt:lpstr>CS_PC_Issue_19</vt:lpstr>
      <vt:lpstr>CS_PC_Issue_20</vt:lpstr>
      <vt:lpstr>CS_PC_Issue_H1_00</vt:lpstr>
      <vt:lpstr>CS_PC_Issue_H1_01</vt:lpstr>
      <vt:lpstr>CS_PC_Issue_H1_02</vt:lpstr>
      <vt:lpstr>CS_PC_Issue_H1_03</vt:lpstr>
      <vt:lpstr>CS_PC_Issue_H1_04</vt:lpstr>
      <vt:lpstr>CS_PC_Issue_H1_05</vt:lpstr>
      <vt:lpstr>CS_PC_Issue_H1_06</vt:lpstr>
      <vt:lpstr>CS_PC_Issue_H1_07</vt:lpstr>
      <vt:lpstr>CS_PC_Issue_H1_08</vt:lpstr>
      <vt:lpstr>CS_PC_Issue_H1_09</vt:lpstr>
      <vt:lpstr>CS_PC_Issue_H1_10</vt:lpstr>
      <vt:lpstr>CS_PC_Issue_H1_11</vt:lpstr>
      <vt:lpstr>CS_PC_Issue_H1_12</vt:lpstr>
      <vt:lpstr>CS_PC_Issue_H1_13</vt:lpstr>
      <vt:lpstr>CS_PC_Issue_H1_14</vt:lpstr>
      <vt:lpstr>CS_PC_Issue_H1_15</vt:lpstr>
      <vt:lpstr>CS_PC_Issue_H1_16</vt:lpstr>
      <vt:lpstr>CS_PC_Issue_H1_17</vt:lpstr>
      <vt:lpstr>CS_PC_Issue_H1_18</vt:lpstr>
      <vt:lpstr>CS_PC_Issue_H1_19</vt:lpstr>
      <vt:lpstr>CS_PC_Issue_H1_20</vt:lpstr>
      <vt:lpstr>CS_PC_Issue_H2_00</vt:lpstr>
      <vt:lpstr>CS_PC_Issue_H2_01</vt:lpstr>
      <vt:lpstr>CS_PC_Issue_H2_02</vt:lpstr>
      <vt:lpstr>CS_PC_Issue_H2_03</vt:lpstr>
      <vt:lpstr>CS_PC_Issue_H2_04</vt:lpstr>
      <vt:lpstr>CS_PC_Issue_H2_05</vt:lpstr>
      <vt:lpstr>CS_PC_Issue_H2_06</vt:lpstr>
      <vt:lpstr>CS_PC_Issue_H2_07</vt:lpstr>
      <vt:lpstr>CS_PC_Issue_H2_08</vt:lpstr>
      <vt:lpstr>CS_PC_Issue_H2_09</vt:lpstr>
      <vt:lpstr>CS_PC_Issue_H2_10</vt:lpstr>
      <vt:lpstr>CS_PC_Issue_H2_11</vt:lpstr>
      <vt:lpstr>CS_PC_Issue_H2_12</vt:lpstr>
      <vt:lpstr>CS_PC_Issue_H2_13</vt:lpstr>
      <vt:lpstr>CS_PC_Issue_H2_14</vt:lpstr>
      <vt:lpstr>CS_PC_Issue_H2_15</vt:lpstr>
      <vt:lpstr>CS_PC_Issue_H2_16</vt:lpstr>
      <vt:lpstr>CS_PC_Issue_H2_17</vt:lpstr>
      <vt:lpstr>CS_PC_Issue_H2_18</vt:lpstr>
      <vt:lpstr>CS_PC_Issue_H2_19</vt:lpstr>
      <vt:lpstr>CS_PC_Issue_H2_20</vt:lpstr>
      <vt:lpstr>CS_PC_Op_00</vt:lpstr>
      <vt:lpstr>CS_PC_Op_01</vt:lpstr>
      <vt:lpstr>CS_PC_Op_02</vt:lpstr>
      <vt:lpstr>CS_PC_Op_03</vt:lpstr>
      <vt:lpstr>CS_PC_Op_04</vt:lpstr>
      <vt:lpstr>CS_PC_Op_05</vt:lpstr>
      <vt:lpstr>CS_PC_Op_06</vt:lpstr>
      <vt:lpstr>CS_PC_Op_07</vt:lpstr>
      <vt:lpstr>CS_PC_Op_08</vt:lpstr>
      <vt:lpstr>CS_PC_Op_09</vt:lpstr>
      <vt:lpstr>CS_PC_Op_10</vt:lpstr>
      <vt:lpstr>CS_PC_Op_11</vt:lpstr>
      <vt:lpstr>CS_PC_Op_12</vt:lpstr>
      <vt:lpstr>CS_PC_Op_13</vt:lpstr>
      <vt:lpstr>CS_PC_Op_14</vt:lpstr>
      <vt:lpstr>CS_PC_Op_15</vt:lpstr>
      <vt:lpstr>CS_PC_Op_16</vt:lpstr>
      <vt:lpstr>CS_PC_Op_17</vt:lpstr>
      <vt:lpstr>CS_PC_Op_18</vt:lpstr>
      <vt:lpstr>CS_PC_Op_19</vt:lpstr>
      <vt:lpstr>CS_PC_Op_20</vt:lpstr>
      <vt:lpstr>CS_PC_Op_H1_00</vt:lpstr>
      <vt:lpstr>CS_PC_Op_H1_01</vt:lpstr>
      <vt:lpstr>CS_PC_Op_H1_02</vt:lpstr>
      <vt:lpstr>CS_PC_Op_H1_03</vt:lpstr>
      <vt:lpstr>CS_PC_Op_H1_04</vt:lpstr>
      <vt:lpstr>CS_PC_Op_H1_05</vt:lpstr>
      <vt:lpstr>CS_PC_Op_H1_06</vt:lpstr>
      <vt:lpstr>CS_PC_Op_H1_07</vt:lpstr>
      <vt:lpstr>CS_PC_Op_H1_08</vt:lpstr>
      <vt:lpstr>CS_PC_Op_H1_09</vt:lpstr>
      <vt:lpstr>CS_PC_Op_H1_10</vt:lpstr>
      <vt:lpstr>CS_PC_Op_H1_11</vt:lpstr>
      <vt:lpstr>CS_PC_Op_H1_12</vt:lpstr>
      <vt:lpstr>CS_PC_Op_H1_13</vt:lpstr>
      <vt:lpstr>CS_PC_Op_H1_14</vt:lpstr>
      <vt:lpstr>CS_PC_Op_H1_15</vt:lpstr>
      <vt:lpstr>CS_PC_Op_H1_16</vt:lpstr>
      <vt:lpstr>CS_PC_Op_H1_17</vt:lpstr>
      <vt:lpstr>CS_PC_Op_H1_18</vt:lpstr>
      <vt:lpstr>CS_PC_Op_H1_19</vt:lpstr>
      <vt:lpstr>CS_PC_Op_H1_20</vt:lpstr>
      <vt:lpstr>CS_PC_Op_H2_00</vt:lpstr>
      <vt:lpstr>CS_PC_Op_H2_01</vt:lpstr>
      <vt:lpstr>CS_PC_Op_H2_02</vt:lpstr>
      <vt:lpstr>CS_PC_Op_H2_03</vt:lpstr>
      <vt:lpstr>CS_PC_Op_H2_04</vt:lpstr>
      <vt:lpstr>CS_PC_Op_H2_05</vt:lpstr>
      <vt:lpstr>CS_PC_Op_H2_06</vt:lpstr>
      <vt:lpstr>CS_PC_Op_H2_07</vt:lpstr>
      <vt:lpstr>CS_PC_Op_H2_08</vt:lpstr>
      <vt:lpstr>CS_PC_Op_H2_09</vt:lpstr>
      <vt:lpstr>CS_PC_Op_H2_10</vt:lpstr>
      <vt:lpstr>CS_PC_Op_H2_11</vt:lpstr>
      <vt:lpstr>CS_PC_Op_H2_12</vt:lpstr>
      <vt:lpstr>CS_PC_Op_H2_13</vt:lpstr>
      <vt:lpstr>CS_PC_Op_H2_14</vt:lpstr>
      <vt:lpstr>CS_PC_Op_H2_15</vt:lpstr>
      <vt:lpstr>CS_PC_Op_H2_16</vt:lpstr>
      <vt:lpstr>CS_PC_Op_H2_17</vt:lpstr>
      <vt:lpstr>CS_PC_Op_H2_18</vt:lpstr>
      <vt:lpstr>CS_PC_Op_H2_19</vt:lpstr>
      <vt:lpstr>CS_PC_Op_H2_20</vt:lpstr>
      <vt:lpstr>CS_PC_Shr_BB_00</vt:lpstr>
      <vt:lpstr>CS_PC_Shr_BB_01</vt:lpstr>
      <vt:lpstr>CS_PC_Shr_BB_02</vt:lpstr>
      <vt:lpstr>CS_PC_Shr_BB_03</vt:lpstr>
      <vt:lpstr>CS_PC_Shr_BB_04</vt:lpstr>
      <vt:lpstr>CS_PC_Shr_BB_05</vt:lpstr>
      <vt:lpstr>CS_PC_Shr_BB_06</vt:lpstr>
      <vt:lpstr>CS_PC_Shr_BB_07</vt:lpstr>
      <vt:lpstr>CS_PC_Shr_BB_08</vt:lpstr>
      <vt:lpstr>CS_PC_Shr_BB_09</vt:lpstr>
      <vt:lpstr>CS_PC_Shr_BB_10</vt:lpstr>
      <vt:lpstr>CS_PC_Shr_BB_11</vt:lpstr>
      <vt:lpstr>CS_PC_Shr_BB_12</vt:lpstr>
      <vt:lpstr>CS_PC_Shr_BB_13</vt:lpstr>
      <vt:lpstr>CS_PC_Shr_BB_14</vt:lpstr>
      <vt:lpstr>CS_PC_Shr_BB_15</vt:lpstr>
      <vt:lpstr>CS_PC_Shr_BB_16</vt:lpstr>
      <vt:lpstr>CS_PC_Shr_BB_17</vt:lpstr>
      <vt:lpstr>CS_PC_Shr_BB_18</vt:lpstr>
      <vt:lpstr>CS_PC_Shr_BB_19</vt:lpstr>
      <vt:lpstr>CS_PC_Shr_BB_20</vt:lpstr>
      <vt:lpstr>CS_PC_Shr_BB_H1_00</vt:lpstr>
      <vt:lpstr>CS_PC_Shr_BB_H1_01</vt:lpstr>
      <vt:lpstr>CS_PC_Shr_BB_H1_02</vt:lpstr>
      <vt:lpstr>CS_PC_Shr_BB_H1_03</vt:lpstr>
      <vt:lpstr>CS_PC_Shr_BB_H1_04</vt:lpstr>
      <vt:lpstr>CS_PC_Shr_BB_H1_05</vt:lpstr>
      <vt:lpstr>CS_PC_Shr_BB_H1_06</vt:lpstr>
      <vt:lpstr>CS_PC_Shr_BB_H1_07</vt:lpstr>
      <vt:lpstr>CS_PC_Shr_BB_H1_08</vt:lpstr>
      <vt:lpstr>CS_PC_Shr_BB_H1_09</vt:lpstr>
      <vt:lpstr>CS_PC_Shr_BB_H1_10</vt:lpstr>
      <vt:lpstr>CS_PC_Shr_BB_H1_11</vt:lpstr>
      <vt:lpstr>CS_PC_Shr_BB_H1_12</vt:lpstr>
      <vt:lpstr>CS_PC_Shr_BB_H1_13</vt:lpstr>
      <vt:lpstr>CS_PC_Shr_BB_H1_14</vt:lpstr>
      <vt:lpstr>CS_PC_Shr_BB_H1_15</vt:lpstr>
      <vt:lpstr>CS_PC_Shr_BB_H1_16</vt:lpstr>
      <vt:lpstr>CS_PC_Shr_BB_H1_17</vt:lpstr>
      <vt:lpstr>CS_PC_Shr_BB_H1_18</vt:lpstr>
      <vt:lpstr>CS_PC_Shr_BB_H1_19</vt:lpstr>
      <vt:lpstr>CS_PC_Shr_BB_H1_20</vt:lpstr>
      <vt:lpstr>CS_PC_Shr_BB_H2_00</vt:lpstr>
      <vt:lpstr>CS_PC_Shr_BB_H2_01</vt:lpstr>
      <vt:lpstr>CS_PC_Shr_BB_H2_02</vt:lpstr>
      <vt:lpstr>CS_PC_Shr_BB_H2_03</vt:lpstr>
      <vt:lpstr>CS_PC_Shr_BB_H2_04</vt:lpstr>
      <vt:lpstr>CS_PC_Shr_BB_H2_05</vt:lpstr>
      <vt:lpstr>CS_PC_Shr_BB_H2_06</vt:lpstr>
      <vt:lpstr>CS_PC_Shr_BB_H2_07</vt:lpstr>
      <vt:lpstr>CS_PC_Shr_BB_H2_08</vt:lpstr>
      <vt:lpstr>CS_PC_Shr_BB_H2_09</vt:lpstr>
      <vt:lpstr>CS_PC_Shr_BB_H2_10</vt:lpstr>
      <vt:lpstr>CS_PC_Shr_BB_H2_11</vt:lpstr>
      <vt:lpstr>CS_PC_Shr_BB_H2_12</vt:lpstr>
      <vt:lpstr>CS_PC_Shr_BB_H2_13</vt:lpstr>
      <vt:lpstr>CS_PC_Shr_BB_H2_14</vt:lpstr>
      <vt:lpstr>CS_PC_Shr_BB_H2_15</vt:lpstr>
      <vt:lpstr>CS_PC_Shr_BB_H2_16</vt:lpstr>
      <vt:lpstr>CS_PC_Shr_BB_H2_17</vt:lpstr>
      <vt:lpstr>CS_PC_Shr_BB_H2_18</vt:lpstr>
      <vt:lpstr>CS_PC_Shr_BB_H2_19</vt:lpstr>
      <vt:lpstr>CS_PC_Shr_BB_H2_20</vt:lpstr>
      <vt:lpstr>CS_PC_Shr_Conv_00</vt:lpstr>
      <vt:lpstr>CS_PC_Shr_Conv_01</vt:lpstr>
      <vt:lpstr>CS_PC_Shr_Conv_02</vt:lpstr>
      <vt:lpstr>CS_PC_Shr_Conv_03</vt:lpstr>
      <vt:lpstr>CS_PC_Shr_Conv_04</vt:lpstr>
      <vt:lpstr>CS_PC_Shr_Conv_05</vt:lpstr>
      <vt:lpstr>CS_PC_Shr_Conv_06</vt:lpstr>
      <vt:lpstr>CS_PC_Shr_Conv_07</vt:lpstr>
      <vt:lpstr>CS_PC_Shr_Conv_08</vt:lpstr>
      <vt:lpstr>CS_PC_Shr_Conv_09</vt:lpstr>
      <vt:lpstr>CS_PC_Shr_Conv_10</vt:lpstr>
      <vt:lpstr>CS_PC_Shr_Conv_11</vt:lpstr>
      <vt:lpstr>CS_PC_Shr_Conv_12</vt:lpstr>
      <vt:lpstr>CS_PC_Shr_Conv_13</vt:lpstr>
      <vt:lpstr>CS_PC_Shr_Conv_14</vt:lpstr>
      <vt:lpstr>CS_PC_Shr_Conv_15</vt:lpstr>
      <vt:lpstr>CS_PC_Shr_Conv_16</vt:lpstr>
      <vt:lpstr>CS_PC_Shr_Conv_17</vt:lpstr>
      <vt:lpstr>CS_PC_Shr_Conv_18</vt:lpstr>
      <vt:lpstr>CS_PC_Shr_Conv_19</vt:lpstr>
      <vt:lpstr>CS_PC_Shr_Conv_20</vt:lpstr>
      <vt:lpstr>CS_PC_Shr_Conv_H1_00</vt:lpstr>
      <vt:lpstr>CS_PC_Shr_Conv_H1_01</vt:lpstr>
      <vt:lpstr>CS_PC_Shr_Conv_H1_02</vt:lpstr>
      <vt:lpstr>CS_PC_Shr_Conv_H1_03</vt:lpstr>
      <vt:lpstr>CS_PC_Shr_Conv_H1_04</vt:lpstr>
      <vt:lpstr>CS_PC_Shr_Conv_H1_05</vt:lpstr>
      <vt:lpstr>CS_PC_Shr_Conv_H1_06</vt:lpstr>
      <vt:lpstr>CS_PC_Shr_Conv_H1_07</vt:lpstr>
      <vt:lpstr>CS_PC_Shr_Conv_H1_08</vt:lpstr>
      <vt:lpstr>CS_PC_Shr_Conv_H1_09</vt:lpstr>
      <vt:lpstr>CS_PC_Shr_Conv_H1_10</vt:lpstr>
      <vt:lpstr>CS_PC_Shr_Conv_H1_11</vt:lpstr>
      <vt:lpstr>CS_PC_Shr_Conv_H1_12</vt:lpstr>
      <vt:lpstr>CS_PC_Shr_Conv_H1_13</vt:lpstr>
      <vt:lpstr>CS_PC_Shr_Conv_H1_14</vt:lpstr>
      <vt:lpstr>CS_PC_Shr_Conv_H1_15</vt:lpstr>
      <vt:lpstr>CS_PC_Shr_Conv_H1_16</vt:lpstr>
      <vt:lpstr>CS_PC_Shr_Conv_H1_17</vt:lpstr>
      <vt:lpstr>CS_PC_Shr_Conv_H1_18</vt:lpstr>
      <vt:lpstr>CS_PC_Shr_Conv_H1_19</vt:lpstr>
      <vt:lpstr>CS_PC_Shr_Conv_H1_20</vt:lpstr>
      <vt:lpstr>CS_PC_Shr_Conv_H2_00</vt:lpstr>
      <vt:lpstr>CS_PC_Shr_Conv_H2_01</vt:lpstr>
      <vt:lpstr>CS_PC_Shr_Conv_H2_02</vt:lpstr>
      <vt:lpstr>CS_PC_Shr_Conv_H2_03</vt:lpstr>
      <vt:lpstr>CS_PC_Shr_Conv_H2_04</vt:lpstr>
      <vt:lpstr>CS_PC_Shr_Conv_H2_05</vt:lpstr>
      <vt:lpstr>CS_PC_Shr_Conv_H2_06</vt:lpstr>
      <vt:lpstr>CS_PC_Shr_Conv_H2_07</vt:lpstr>
      <vt:lpstr>CS_PC_Shr_Conv_H2_08</vt:lpstr>
      <vt:lpstr>CS_PC_Shr_Conv_H2_09</vt:lpstr>
      <vt:lpstr>CS_PC_Shr_Conv_H2_10</vt:lpstr>
      <vt:lpstr>CS_PC_Shr_Conv_H2_11</vt:lpstr>
      <vt:lpstr>CS_PC_Shr_Conv_H2_12</vt:lpstr>
      <vt:lpstr>CS_PC_Shr_Conv_H2_13</vt:lpstr>
      <vt:lpstr>CS_PC_Shr_Conv_H2_14</vt:lpstr>
      <vt:lpstr>CS_PC_Shr_Conv_H2_15</vt:lpstr>
      <vt:lpstr>CS_PC_Shr_Conv_H2_16</vt:lpstr>
      <vt:lpstr>CS_PC_Shr_Conv_H2_17</vt:lpstr>
      <vt:lpstr>CS_PC_Shr_Conv_H2_18</vt:lpstr>
      <vt:lpstr>CS_PC_Shr_Conv_H2_19</vt:lpstr>
      <vt:lpstr>CS_PC_Shr_Conv_H2_20</vt:lpstr>
      <vt:lpstr>CS_Simp_Avg_00</vt:lpstr>
      <vt:lpstr>CS_Simp_Avg_01</vt:lpstr>
      <vt:lpstr>CS_Simp_Avg_02</vt:lpstr>
      <vt:lpstr>CS_Simp_Avg_03</vt:lpstr>
      <vt:lpstr>CS_Simp_Avg_04</vt:lpstr>
      <vt:lpstr>CS_Simp_Avg_05</vt:lpstr>
      <vt:lpstr>CS_Simp_Avg_06</vt:lpstr>
      <vt:lpstr>CS_Simp_Avg_07</vt:lpstr>
      <vt:lpstr>CS_Simp_Avg_08</vt:lpstr>
      <vt:lpstr>CS_Simp_Avg_09</vt:lpstr>
      <vt:lpstr>CS_Simp_Avg_10</vt:lpstr>
      <vt:lpstr>CS_Simp_Avg_11</vt:lpstr>
      <vt:lpstr>CS_Simp_Avg_12</vt:lpstr>
      <vt:lpstr>CS_Simp_Avg_13</vt:lpstr>
      <vt:lpstr>CS_Simp_Avg_14</vt:lpstr>
      <vt:lpstr>CS_Simp_Avg_15</vt:lpstr>
      <vt:lpstr>CS_Simp_Avg_16</vt:lpstr>
      <vt:lpstr>CS_Simp_Avg_17</vt:lpstr>
      <vt:lpstr>CS_Simp_Avg_18</vt:lpstr>
      <vt:lpstr>CS_Simp_Avg_19</vt:lpstr>
      <vt:lpstr>CS_Simp_Avg_20</vt:lpstr>
      <vt:lpstr>CS_Simp_Avg_H1_00</vt:lpstr>
      <vt:lpstr>CS_Simp_Avg_H1_01</vt:lpstr>
      <vt:lpstr>CS_Simp_Avg_H1_02</vt:lpstr>
      <vt:lpstr>CS_Simp_Avg_H1_03</vt:lpstr>
      <vt:lpstr>CS_Simp_Avg_H1_04</vt:lpstr>
      <vt:lpstr>CS_Simp_Avg_H1_05</vt:lpstr>
      <vt:lpstr>CS_Simp_Avg_H1_06</vt:lpstr>
      <vt:lpstr>CS_Simp_Avg_H1_07</vt:lpstr>
      <vt:lpstr>CS_Simp_Avg_H1_08</vt:lpstr>
      <vt:lpstr>CS_Simp_Avg_H1_09</vt:lpstr>
      <vt:lpstr>CS_Simp_Avg_H1_10</vt:lpstr>
      <vt:lpstr>CS_Simp_Avg_H1_11</vt:lpstr>
      <vt:lpstr>CS_Simp_Avg_H1_12</vt:lpstr>
      <vt:lpstr>CS_Simp_Avg_H1_13</vt:lpstr>
      <vt:lpstr>CS_Simp_Avg_H1_14</vt:lpstr>
      <vt:lpstr>CS_Simp_Avg_H1_15</vt:lpstr>
      <vt:lpstr>CS_Simp_Avg_H1_16</vt:lpstr>
      <vt:lpstr>CS_Simp_Avg_H1_17</vt:lpstr>
      <vt:lpstr>CS_Simp_Avg_H1_18</vt:lpstr>
      <vt:lpstr>CS_Simp_Avg_H1_19</vt:lpstr>
      <vt:lpstr>CS_Simp_Avg_H1_20</vt:lpstr>
      <vt:lpstr>CS_Simp_Avg_H2_00</vt:lpstr>
      <vt:lpstr>CS_Simp_Avg_H2_01</vt:lpstr>
      <vt:lpstr>CS_Simp_Avg_H2_02</vt:lpstr>
      <vt:lpstr>CS_Simp_Avg_H2_03</vt:lpstr>
      <vt:lpstr>CS_Simp_Avg_H2_04</vt:lpstr>
      <vt:lpstr>CS_Simp_Avg_H2_05</vt:lpstr>
      <vt:lpstr>CS_Simp_Avg_H2_06</vt:lpstr>
      <vt:lpstr>CS_Simp_Avg_H2_07</vt:lpstr>
      <vt:lpstr>CS_Simp_Avg_H2_08</vt:lpstr>
      <vt:lpstr>CS_Simp_Avg_H2_09</vt:lpstr>
      <vt:lpstr>CS_Simp_Avg_H2_10</vt:lpstr>
      <vt:lpstr>CS_Simp_Avg_H2_11</vt:lpstr>
      <vt:lpstr>CS_Simp_Avg_H2_12</vt:lpstr>
      <vt:lpstr>CS_Simp_Avg_H2_13</vt:lpstr>
      <vt:lpstr>CS_Simp_Avg_H2_14</vt:lpstr>
      <vt:lpstr>CS_Simp_Avg_H2_15</vt:lpstr>
      <vt:lpstr>CS_Simp_Avg_H2_16</vt:lpstr>
      <vt:lpstr>CS_Simp_Avg_H2_17</vt:lpstr>
      <vt:lpstr>CS_Simp_Avg_H2_18</vt:lpstr>
      <vt:lpstr>CS_Simp_Avg_H2_19</vt:lpstr>
      <vt:lpstr>CS_Simp_Avg_H2_20</vt:lpstr>
      <vt:lpstr>CS_W_Avg_00</vt:lpstr>
      <vt:lpstr>CS_W_Avg_01</vt:lpstr>
      <vt:lpstr>CS_W_Avg_02</vt:lpstr>
      <vt:lpstr>CS_W_Avg_03</vt:lpstr>
      <vt:lpstr>CS_W_Avg_04</vt:lpstr>
      <vt:lpstr>CS_W_Avg_05</vt:lpstr>
      <vt:lpstr>CS_W_Avg_06</vt:lpstr>
      <vt:lpstr>CS_W_Avg_07</vt:lpstr>
      <vt:lpstr>CS_W_Avg_08</vt:lpstr>
      <vt:lpstr>CS_W_Avg_09</vt:lpstr>
      <vt:lpstr>CS_W_Avg_10</vt:lpstr>
      <vt:lpstr>CS_W_Avg_11</vt:lpstr>
      <vt:lpstr>CS_W_Avg_12</vt:lpstr>
      <vt:lpstr>CS_W_Avg_13</vt:lpstr>
      <vt:lpstr>CS_W_Avg_14</vt:lpstr>
      <vt:lpstr>CS_W_Avg_15</vt:lpstr>
      <vt:lpstr>CS_W_Avg_16</vt:lpstr>
      <vt:lpstr>CS_W_Avg_17</vt:lpstr>
      <vt:lpstr>CS_W_Avg_18</vt:lpstr>
      <vt:lpstr>CS_W_Avg_19</vt:lpstr>
      <vt:lpstr>CS_W_Avg_20</vt:lpstr>
      <vt:lpstr>CS_W_Avg_H1_00</vt:lpstr>
      <vt:lpstr>CS_W_Avg_H1_01</vt:lpstr>
      <vt:lpstr>CS_W_Avg_H1_02</vt:lpstr>
      <vt:lpstr>CS_W_Avg_H1_03</vt:lpstr>
      <vt:lpstr>CS_W_Avg_H1_04</vt:lpstr>
      <vt:lpstr>CS_W_Avg_H1_05</vt:lpstr>
      <vt:lpstr>CS_W_Avg_H1_06</vt:lpstr>
      <vt:lpstr>CS_W_Avg_H1_07</vt:lpstr>
      <vt:lpstr>CS_W_Avg_H1_08</vt:lpstr>
      <vt:lpstr>CS_W_Avg_H1_09</vt:lpstr>
      <vt:lpstr>CS_W_Avg_H1_10</vt:lpstr>
      <vt:lpstr>CS_W_Avg_H1_11</vt:lpstr>
      <vt:lpstr>CS_W_Avg_H1_12</vt:lpstr>
      <vt:lpstr>CS_W_Avg_H1_13</vt:lpstr>
      <vt:lpstr>CS_W_Avg_H1_14</vt:lpstr>
      <vt:lpstr>CS_W_Avg_H1_15</vt:lpstr>
      <vt:lpstr>CS_W_Avg_H1_16</vt:lpstr>
      <vt:lpstr>CS_W_Avg_H1_17</vt:lpstr>
      <vt:lpstr>CS_W_Avg_H1_18</vt:lpstr>
      <vt:lpstr>CS_W_Avg_H1_19</vt:lpstr>
      <vt:lpstr>CS_W_Avg_H1_20</vt:lpstr>
      <vt:lpstr>CS_W_Avg_H2_00</vt:lpstr>
      <vt:lpstr>CS_W_Avg_H2_01</vt:lpstr>
      <vt:lpstr>CS_W_Avg_H2_02</vt:lpstr>
      <vt:lpstr>CS_W_Avg_H2_03</vt:lpstr>
      <vt:lpstr>CS_W_Avg_H2_04</vt:lpstr>
      <vt:lpstr>CS_W_Avg_H2_05</vt:lpstr>
      <vt:lpstr>CS_W_Avg_H2_06</vt:lpstr>
      <vt:lpstr>CS_W_Avg_H2_07</vt:lpstr>
      <vt:lpstr>CS_W_Avg_H2_08</vt:lpstr>
      <vt:lpstr>CS_W_Avg_H2_09</vt:lpstr>
      <vt:lpstr>CS_W_Avg_H2_10</vt:lpstr>
      <vt:lpstr>CS_W_Avg_H2_11</vt:lpstr>
      <vt:lpstr>CS_W_Avg_H2_12</vt:lpstr>
      <vt:lpstr>CS_W_Avg_H2_13</vt:lpstr>
      <vt:lpstr>CS_W_Avg_H2_14</vt:lpstr>
      <vt:lpstr>CS_W_Avg_H2_15</vt:lpstr>
      <vt:lpstr>CS_W_Avg_H2_16</vt:lpstr>
      <vt:lpstr>CS_W_Avg_H2_17</vt:lpstr>
      <vt:lpstr>CS_W_Avg_H2_18</vt:lpstr>
      <vt:lpstr>CS_W_Avg_H2_19</vt:lpstr>
      <vt:lpstr>CS_W_Avg_H2_20</vt:lpstr>
      <vt:lpstr>CS_WAC_00</vt:lpstr>
      <vt:lpstr>CS_WAC_01</vt:lpstr>
      <vt:lpstr>CS_WAC_02</vt:lpstr>
      <vt:lpstr>CS_WAC_03</vt:lpstr>
      <vt:lpstr>CS_WAC_04</vt:lpstr>
      <vt:lpstr>CS_WAC_05</vt:lpstr>
      <vt:lpstr>CS_WAC_06</vt:lpstr>
      <vt:lpstr>CS_WAC_07</vt:lpstr>
      <vt:lpstr>CS_WAC_08</vt:lpstr>
      <vt:lpstr>CS_WAC_09</vt:lpstr>
      <vt:lpstr>CS_WAC_10</vt:lpstr>
      <vt:lpstr>CS_WAC_11</vt:lpstr>
      <vt:lpstr>CS_WAC_12</vt:lpstr>
      <vt:lpstr>CS_WAC_13</vt:lpstr>
      <vt:lpstr>CS_WAC_14</vt:lpstr>
      <vt:lpstr>CS_WAC_15</vt:lpstr>
      <vt:lpstr>CS_WAC_16</vt:lpstr>
      <vt:lpstr>CS_WAC_17</vt:lpstr>
      <vt:lpstr>CS_WAC_18</vt:lpstr>
      <vt:lpstr>CS_WAC_19</vt:lpstr>
      <vt:lpstr>CS_WAC_20</vt:lpstr>
      <vt:lpstr>CS_WAC_H1_00</vt:lpstr>
      <vt:lpstr>CS_WAC_H1_01</vt:lpstr>
      <vt:lpstr>CS_WAC_H1_02</vt:lpstr>
      <vt:lpstr>CS_WAC_H1_03</vt:lpstr>
      <vt:lpstr>CS_WAC_H1_04</vt:lpstr>
      <vt:lpstr>CS_WAC_H1_05</vt:lpstr>
      <vt:lpstr>CS_WAC_H1_06</vt:lpstr>
      <vt:lpstr>CS_WAC_H1_07</vt:lpstr>
      <vt:lpstr>CS_WAC_H1_08</vt:lpstr>
      <vt:lpstr>CS_WAC_H1_09</vt:lpstr>
      <vt:lpstr>CS_WAC_H1_10</vt:lpstr>
      <vt:lpstr>CS_WAC_H1_11</vt:lpstr>
      <vt:lpstr>CS_WAC_H1_12</vt:lpstr>
      <vt:lpstr>CS_WAC_H1_13</vt:lpstr>
      <vt:lpstr>CS_WAC_H1_14</vt:lpstr>
      <vt:lpstr>CS_WAC_H1_15</vt:lpstr>
      <vt:lpstr>CS_WAC_H1_16</vt:lpstr>
      <vt:lpstr>CS_WAC_H1_17</vt:lpstr>
      <vt:lpstr>CS_WAC_H1_18</vt:lpstr>
      <vt:lpstr>CS_WAC_H1_19</vt:lpstr>
      <vt:lpstr>CS_WAC_H1_20</vt:lpstr>
      <vt:lpstr>CS_WAC_H2_00</vt:lpstr>
      <vt:lpstr>CS_WAC_H2_01</vt:lpstr>
      <vt:lpstr>CS_WAC_H2_02</vt:lpstr>
      <vt:lpstr>CS_WAC_H2_03</vt:lpstr>
      <vt:lpstr>CS_WAC_H2_04</vt:lpstr>
      <vt:lpstr>CS_WAC_H2_05</vt:lpstr>
      <vt:lpstr>CS_WAC_H2_06</vt:lpstr>
      <vt:lpstr>CS_WAC_H2_07</vt:lpstr>
      <vt:lpstr>CS_WAC_H2_08</vt:lpstr>
      <vt:lpstr>CS_WAC_H2_09</vt:lpstr>
      <vt:lpstr>CS_WAC_H2_10</vt:lpstr>
      <vt:lpstr>CS_WAC_H2_11</vt:lpstr>
      <vt:lpstr>CS_WAC_H2_12</vt:lpstr>
      <vt:lpstr>CS_WAC_H2_13</vt:lpstr>
      <vt:lpstr>CS_WAC_H2_14</vt:lpstr>
      <vt:lpstr>CS_WAC_H2_15</vt:lpstr>
      <vt:lpstr>CS_WAC_H2_16</vt:lpstr>
      <vt:lpstr>CS_WAC_H2_17</vt:lpstr>
      <vt:lpstr>CS_WAC_H2_18</vt:lpstr>
      <vt:lpstr>CS_WAC_H2_19</vt:lpstr>
      <vt:lpstr>CS_WAC_H2_20</vt:lpstr>
      <vt:lpstr>D1_NAME</vt:lpstr>
      <vt:lpstr>DA_00</vt:lpstr>
      <vt:lpstr>DA_01</vt:lpstr>
      <vt:lpstr>DA_02</vt:lpstr>
      <vt:lpstr>DA_03</vt:lpstr>
      <vt:lpstr>DA_04</vt:lpstr>
      <vt:lpstr>DA_05</vt:lpstr>
      <vt:lpstr>DA_06</vt:lpstr>
      <vt:lpstr>DA_07</vt:lpstr>
      <vt:lpstr>DA_08</vt:lpstr>
      <vt:lpstr>DA_09</vt:lpstr>
      <vt:lpstr>DA_10</vt:lpstr>
      <vt:lpstr>DA_11</vt:lpstr>
      <vt:lpstr>DA_12</vt:lpstr>
      <vt:lpstr>DA_13</vt:lpstr>
      <vt:lpstr>DA_14</vt:lpstr>
      <vt:lpstr>DA_15</vt:lpstr>
      <vt:lpstr>DA_16</vt:lpstr>
      <vt:lpstr>DA_17</vt:lpstr>
      <vt:lpstr>DA_18</vt:lpstr>
      <vt:lpstr>DA_19</vt:lpstr>
      <vt:lpstr>DA_20</vt:lpstr>
      <vt:lpstr>DA_95</vt:lpstr>
      <vt:lpstr>DA_96</vt:lpstr>
      <vt:lpstr>DA_97</vt:lpstr>
      <vt:lpstr>DA_98</vt:lpstr>
      <vt:lpstr>DA_99</vt:lpstr>
      <vt:lpstr>EBIT_11</vt:lpstr>
      <vt:lpstr>EBIT_12</vt:lpstr>
      <vt:lpstr>EBIT_13</vt:lpstr>
      <vt:lpstr>EBIT_14</vt:lpstr>
      <vt:lpstr>EBIT_15</vt:lpstr>
      <vt:lpstr>EBIT_16</vt:lpstr>
      <vt:lpstr>EBIT_17</vt:lpstr>
      <vt:lpstr>EBIT_18</vt:lpstr>
      <vt:lpstr>EBIT_19</vt:lpstr>
      <vt:lpstr>EBIT_20</vt:lpstr>
      <vt:lpstr>EBIT_95</vt:lpstr>
      <vt:lpstr>EBIT_96</vt:lpstr>
      <vt:lpstr>EBIT_97</vt:lpstr>
      <vt:lpstr>EBIT_98</vt:lpstr>
      <vt:lpstr>EBIT_99</vt:lpstr>
      <vt:lpstr>EBIT_D1_01</vt:lpstr>
      <vt:lpstr>EBIT_D1_02</vt:lpstr>
      <vt:lpstr>EBIT_D1_03</vt:lpstr>
      <vt:lpstr>EBIT_D1_04</vt:lpstr>
      <vt:lpstr>EBIT_D1_05</vt:lpstr>
      <vt:lpstr>EBIT_D1_06</vt:lpstr>
      <vt:lpstr>EBIT_D1_07</vt:lpstr>
      <vt:lpstr>EBIT_D1_08</vt:lpstr>
      <vt:lpstr>EBIT_D1_09</vt:lpstr>
      <vt:lpstr>EBIT_D1_10</vt:lpstr>
      <vt:lpstr>EBIT_D1_11</vt:lpstr>
      <vt:lpstr>EBIT_D1_12</vt:lpstr>
      <vt:lpstr>EBIT_D1_13</vt:lpstr>
      <vt:lpstr>EBIT_D1_14</vt:lpstr>
      <vt:lpstr>EBIT_D1_15</vt:lpstr>
      <vt:lpstr>EBIT_D1_16</vt:lpstr>
      <vt:lpstr>EBIT_D1_17</vt:lpstr>
      <vt:lpstr>EBIT_D1_18</vt:lpstr>
      <vt:lpstr>EBIT_D1_19</vt:lpstr>
      <vt:lpstr>EBIT_D1_20</vt:lpstr>
      <vt:lpstr>EBIT_D1_95</vt:lpstr>
      <vt:lpstr>EBIT_D1_96</vt:lpstr>
      <vt:lpstr>EBIT_D1_97</vt:lpstr>
      <vt:lpstr>EBIT_D1_98</vt:lpstr>
      <vt:lpstr>EBIT_D1_99</vt:lpstr>
      <vt:lpstr>EFPO_00</vt:lpstr>
      <vt:lpstr>EFPO_01</vt:lpstr>
      <vt:lpstr>EFPO_02</vt:lpstr>
      <vt:lpstr>EFPO_03</vt:lpstr>
      <vt:lpstr>EFPO_04</vt:lpstr>
      <vt:lpstr>EFPO_05</vt:lpstr>
      <vt:lpstr>EFPO_06</vt:lpstr>
      <vt:lpstr>EFPO_07</vt:lpstr>
      <vt:lpstr>EFPO_08</vt:lpstr>
      <vt:lpstr>EFPO_09</vt:lpstr>
      <vt:lpstr>EFPO_10</vt:lpstr>
      <vt:lpstr>EFPO_11</vt:lpstr>
      <vt:lpstr>EFPO_12</vt:lpstr>
      <vt:lpstr>EFPO_13</vt:lpstr>
      <vt:lpstr>EFPO_14</vt:lpstr>
      <vt:lpstr>EFPO_15</vt:lpstr>
      <vt:lpstr>EFPO_16</vt:lpstr>
      <vt:lpstr>EFPO_17</vt:lpstr>
      <vt:lpstr>EFPO_18</vt:lpstr>
      <vt:lpstr>EFPO_19</vt:lpstr>
      <vt:lpstr>EFPO_20</vt:lpstr>
      <vt:lpstr>EFPOWA_00</vt:lpstr>
      <vt:lpstr>EFPOWA_01</vt:lpstr>
      <vt:lpstr>EFPOWA_02</vt:lpstr>
      <vt:lpstr>EFPOWA_03</vt:lpstr>
      <vt:lpstr>EFPOWA_04</vt:lpstr>
      <vt:lpstr>EFPOWA_05</vt:lpstr>
      <vt:lpstr>EFPOWA_06</vt:lpstr>
      <vt:lpstr>EFPOWA_07</vt:lpstr>
      <vt:lpstr>EFPOWA_08</vt:lpstr>
      <vt:lpstr>EFPOWA_09</vt:lpstr>
      <vt:lpstr>EFPOWA_10</vt:lpstr>
      <vt:lpstr>EFPOWA_11</vt:lpstr>
      <vt:lpstr>EFPOWA_12</vt:lpstr>
      <vt:lpstr>EFPOWA_13</vt:lpstr>
      <vt:lpstr>EFPOWA_14</vt:lpstr>
      <vt:lpstr>EFPOWA_15</vt:lpstr>
      <vt:lpstr>EFPOWA_16</vt:lpstr>
      <vt:lpstr>EFPOWA_17</vt:lpstr>
      <vt:lpstr>EFPOWA_18</vt:lpstr>
      <vt:lpstr>EFPOWA_19</vt:lpstr>
      <vt:lpstr>EFPOWA_20</vt:lpstr>
      <vt:lpstr>EFPOWA_H1_00</vt:lpstr>
      <vt:lpstr>EFPOWA_H1_01</vt:lpstr>
      <vt:lpstr>EFPOWA_H1_02</vt:lpstr>
      <vt:lpstr>EFPOWA_H1_03</vt:lpstr>
      <vt:lpstr>EFPOWA_H1_04</vt:lpstr>
      <vt:lpstr>EFPOWA_H1_05</vt:lpstr>
      <vt:lpstr>EFPOWA_H1_06</vt:lpstr>
      <vt:lpstr>EFPOWA_H1_07</vt:lpstr>
      <vt:lpstr>EFPOWA_H1_08</vt:lpstr>
      <vt:lpstr>EFPOWA_H1_09</vt:lpstr>
      <vt:lpstr>EFPOWA_H1_10</vt:lpstr>
      <vt:lpstr>EFPOWA_H1_11</vt:lpstr>
      <vt:lpstr>EFPOWA_H1_12</vt:lpstr>
      <vt:lpstr>EFPOWA_H1_13</vt:lpstr>
      <vt:lpstr>EFPOWA_H1_14</vt:lpstr>
      <vt:lpstr>EFPOWA_H1_15</vt:lpstr>
      <vt:lpstr>EFPOWA_H1_16</vt:lpstr>
      <vt:lpstr>EFPOWA_H1_17</vt:lpstr>
      <vt:lpstr>EFPOWA_H1_18</vt:lpstr>
      <vt:lpstr>EFPOWA_H1_19</vt:lpstr>
      <vt:lpstr>EFPOWA_H1_20</vt:lpstr>
      <vt:lpstr>EFPOWA_H2_00</vt:lpstr>
      <vt:lpstr>EFPOWA_H2_01</vt:lpstr>
      <vt:lpstr>EFPOWA_H2_02</vt:lpstr>
      <vt:lpstr>EFPOWA_H2_03</vt:lpstr>
      <vt:lpstr>EFPOWA_H2_04</vt:lpstr>
      <vt:lpstr>EFPOWA_H2_05</vt:lpstr>
      <vt:lpstr>EFPOWA_H2_06</vt:lpstr>
      <vt:lpstr>EFPOWA_H2_07</vt:lpstr>
      <vt:lpstr>EFPOWA_H2_08</vt:lpstr>
      <vt:lpstr>EFPOWA_H2_09</vt:lpstr>
      <vt:lpstr>EFPOWA_H2_10</vt:lpstr>
      <vt:lpstr>EFPOWA_H2_11</vt:lpstr>
      <vt:lpstr>EFPOWA_H2_12</vt:lpstr>
      <vt:lpstr>EFPOWA_H2_13</vt:lpstr>
      <vt:lpstr>EFPOWA_H2_14</vt:lpstr>
      <vt:lpstr>EFPOWA_H2_15</vt:lpstr>
      <vt:lpstr>EFPOWA_H2_16</vt:lpstr>
      <vt:lpstr>EFPOWA_H2_17</vt:lpstr>
      <vt:lpstr>EFPOWA_H2_18</vt:lpstr>
      <vt:lpstr>EFPOWA_H2_19</vt:lpstr>
      <vt:lpstr>EFPOWA_H2_20</vt:lpstr>
      <vt:lpstr>FRANK_00</vt:lpstr>
      <vt:lpstr>FRANK_01</vt:lpstr>
      <vt:lpstr>FRANK_02</vt:lpstr>
      <vt:lpstr>FRANK_03</vt:lpstr>
      <vt:lpstr>FRANK_04</vt:lpstr>
      <vt:lpstr>FRANK_05</vt:lpstr>
      <vt:lpstr>FRANK_06</vt:lpstr>
      <vt:lpstr>FRANK_07</vt:lpstr>
      <vt:lpstr>FRANK_08</vt:lpstr>
      <vt:lpstr>FRANK_09</vt:lpstr>
      <vt:lpstr>FRANK_10</vt:lpstr>
      <vt:lpstr>FRANK_11</vt:lpstr>
      <vt:lpstr>FRANK_12</vt:lpstr>
      <vt:lpstr>FRANK_13</vt:lpstr>
      <vt:lpstr>FRANK_14</vt:lpstr>
      <vt:lpstr>FRANK_15</vt:lpstr>
      <vt:lpstr>FRANK_16</vt:lpstr>
      <vt:lpstr>FRANK_17</vt:lpstr>
      <vt:lpstr>FRANK_18</vt:lpstr>
      <vt:lpstr>FRANK_19</vt:lpstr>
      <vt:lpstr>FRANK_20</vt:lpstr>
      <vt:lpstr>FRANK_96</vt:lpstr>
      <vt:lpstr>FRANK_97</vt:lpstr>
      <vt:lpstr>FRANK_98</vt:lpstr>
      <vt:lpstr>FRANK_99</vt:lpstr>
      <vt:lpstr>INC_00</vt:lpstr>
      <vt:lpstr>INC_01</vt:lpstr>
      <vt:lpstr>INC_02</vt:lpstr>
      <vt:lpstr>INC_03</vt:lpstr>
      <vt:lpstr>INC_04</vt:lpstr>
      <vt:lpstr>INC_05</vt:lpstr>
      <vt:lpstr>INC_06</vt:lpstr>
      <vt:lpstr>INC_07</vt:lpstr>
      <vt:lpstr>INC_08</vt:lpstr>
      <vt:lpstr>INC_09</vt:lpstr>
      <vt:lpstr>INC_10</vt:lpstr>
      <vt:lpstr>INC_11</vt:lpstr>
      <vt:lpstr>INC_12</vt:lpstr>
      <vt:lpstr>INC_13</vt:lpstr>
      <vt:lpstr>INC_14</vt:lpstr>
      <vt:lpstr>INC_15</vt:lpstr>
      <vt:lpstr>INC_16</vt:lpstr>
      <vt:lpstr>INC_17</vt:lpstr>
      <vt:lpstr>INC_18</vt:lpstr>
      <vt:lpstr>INC_19</vt:lpstr>
      <vt:lpstr>INC_20</vt:lpstr>
      <vt:lpstr>INC_95</vt:lpstr>
      <vt:lpstr>INC_96</vt:lpstr>
      <vt:lpstr>INC_97</vt:lpstr>
      <vt:lpstr>INC_98</vt:lpstr>
      <vt:lpstr>INC_99</vt:lpstr>
      <vt:lpstr>Linking_116</vt:lpstr>
      <vt:lpstr>Linking_122</vt:lpstr>
      <vt:lpstr>Linking_124</vt:lpstr>
      <vt:lpstr>Linking_125</vt:lpstr>
      <vt:lpstr>Linking_126</vt:lpstr>
      <vt:lpstr>Linking_128</vt:lpstr>
      <vt:lpstr>Linking_129</vt:lpstr>
      <vt:lpstr>Linking_130</vt:lpstr>
      <vt:lpstr>Linking_131</vt:lpstr>
      <vt:lpstr>Linking_133</vt:lpstr>
      <vt:lpstr>Linking_20</vt:lpstr>
      <vt:lpstr>Linking_34</vt:lpstr>
      <vt:lpstr>Linking_41</vt:lpstr>
      <vt:lpstr>Linking_67</vt:lpstr>
      <vt:lpstr>Linking_74</vt:lpstr>
      <vt:lpstr>Linking_77</vt:lpstr>
      <vt:lpstr>Linking_88</vt:lpstr>
      <vt:lpstr>Linking_99</vt:lpstr>
      <vt:lpstr>Linking_Range_1</vt:lpstr>
      <vt:lpstr>Linking_Range_18</vt:lpstr>
      <vt:lpstr>Linking_Range_2</vt:lpstr>
      <vt:lpstr>Linking_Range_27</vt:lpstr>
      <vt:lpstr>Linking_Range_40</vt:lpstr>
      <vt:lpstr>Linking_Range_8</vt:lpstr>
      <vt:lpstr>NEPS_00</vt:lpstr>
      <vt:lpstr>NEPS_01</vt:lpstr>
      <vt:lpstr>NEPS_02</vt:lpstr>
      <vt:lpstr>NEPS_03</vt:lpstr>
      <vt:lpstr>NEPS_04</vt:lpstr>
      <vt:lpstr>NEPS_05</vt:lpstr>
      <vt:lpstr>NEPS_06</vt:lpstr>
      <vt:lpstr>NEPS_07</vt:lpstr>
      <vt:lpstr>NEPS_08</vt:lpstr>
      <vt:lpstr>NEPS_09</vt:lpstr>
      <vt:lpstr>NEPS_10</vt:lpstr>
      <vt:lpstr>NEPS_11</vt:lpstr>
      <vt:lpstr>NEPS_12</vt:lpstr>
      <vt:lpstr>NEPS_13</vt:lpstr>
      <vt:lpstr>NEPS_14</vt:lpstr>
      <vt:lpstr>NEPS_15</vt:lpstr>
      <vt:lpstr>NEPS_16</vt:lpstr>
      <vt:lpstr>NEPS_17</vt:lpstr>
      <vt:lpstr>NEPS_18</vt:lpstr>
      <vt:lpstr>NEPS_19</vt:lpstr>
      <vt:lpstr>NEPS_20</vt:lpstr>
      <vt:lpstr>NEPS_95</vt:lpstr>
      <vt:lpstr>NEPS_96</vt:lpstr>
      <vt:lpstr>NEPS_97</vt:lpstr>
      <vt:lpstr>NEPS_98</vt:lpstr>
      <vt:lpstr>NEPS_99</vt:lpstr>
      <vt:lpstr>NTA_00</vt:lpstr>
      <vt:lpstr>NTA_01</vt:lpstr>
      <vt:lpstr>NTA_02</vt:lpstr>
      <vt:lpstr>NTA_03</vt:lpstr>
      <vt:lpstr>NTA_04</vt:lpstr>
      <vt:lpstr>NTA_05</vt:lpstr>
      <vt:lpstr>NTA_06</vt:lpstr>
      <vt:lpstr>NTA_07</vt:lpstr>
      <vt:lpstr>NTA_08</vt:lpstr>
      <vt:lpstr>NTA_09</vt:lpstr>
      <vt:lpstr>NTA_10</vt:lpstr>
      <vt:lpstr>NTA_11</vt:lpstr>
      <vt:lpstr>NTA_12</vt:lpstr>
      <vt:lpstr>NTA_13</vt:lpstr>
      <vt:lpstr>NTA_14</vt:lpstr>
      <vt:lpstr>NTA_15</vt:lpstr>
      <vt:lpstr>NTA_16</vt:lpstr>
      <vt:lpstr>NTA_17</vt:lpstr>
      <vt:lpstr>NTA_18</vt:lpstr>
      <vt:lpstr>NTA_19</vt:lpstr>
      <vt:lpstr>NTA_20</vt:lpstr>
      <vt:lpstr>NTA_95</vt:lpstr>
      <vt:lpstr>NTA_96</vt:lpstr>
      <vt:lpstr>NTA_97</vt:lpstr>
      <vt:lpstr>NTA_98</vt:lpstr>
      <vt:lpstr>NTA_99</vt:lpstr>
      <vt:lpstr>P_AB_00</vt:lpstr>
      <vt:lpstr>P_AB_01</vt:lpstr>
      <vt:lpstr>P_AB_02</vt:lpstr>
      <vt:lpstr>P_AB_03</vt:lpstr>
      <vt:lpstr>P_AB_04</vt:lpstr>
      <vt:lpstr>P_AB_05</vt:lpstr>
      <vt:lpstr>P_AB_06</vt:lpstr>
      <vt:lpstr>P_AB_07</vt:lpstr>
      <vt:lpstr>P_AB_08</vt:lpstr>
      <vt:lpstr>P_AB_09</vt:lpstr>
      <vt:lpstr>P_AB_10</vt:lpstr>
      <vt:lpstr>P_AB_11</vt:lpstr>
      <vt:lpstr>P_AB_12</vt:lpstr>
      <vt:lpstr>P_AB_13</vt:lpstr>
      <vt:lpstr>P_AB_14</vt:lpstr>
      <vt:lpstr>P_AB_15</vt:lpstr>
      <vt:lpstr>P_AB_16</vt:lpstr>
      <vt:lpstr>P_AB_17</vt:lpstr>
      <vt:lpstr>P_AB_18</vt:lpstr>
      <vt:lpstr>P_AB_19</vt:lpstr>
      <vt:lpstr>P_AB_20</vt:lpstr>
      <vt:lpstr>P_AB_95</vt:lpstr>
      <vt:lpstr>P_AB_96</vt:lpstr>
      <vt:lpstr>P_AB_97</vt:lpstr>
      <vt:lpstr>P_AB_98</vt:lpstr>
      <vt:lpstr>P_AB_99</vt:lpstr>
      <vt:lpstr>P_ABTAX_00</vt:lpstr>
      <vt:lpstr>P_ABTAX_01</vt:lpstr>
      <vt:lpstr>P_ABTAX_02</vt:lpstr>
      <vt:lpstr>P_ABTAX_03</vt:lpstr>
      <vt:lpstr>P_ABTAX_04</vt:lpstr>
      <vt:lpstr>P_ABTAX_05</vt:lpstr>
      <vt:lpstr>P_ABTAX_06</vt:lpstr>
      <vt:lpstr>P_ABTAX_07</vt:lpstr>
      <vt:lpstr>P_ABTAX_08</vt:lpstr>
      <vt:lpstr>P_ABTAX_09</vt:lpstr>
      <vt:lpstr>P_ABTAX_10</vt:lpstr>
      <vt:lpstr>P_ABTAX_11</vt:lpstr>
      <vt:lpstr>P_ABTAX_12</vt:lpstr>
      <vt:lpstr>P_ABTAX_13</vt:lpstr>
      <vt:lpstr>P_ABTAX_14</vt:lpstr>
      <vt:lpstr>P_ABTAX_15</vt:lpstr>
      <vt:lpstr>P_ABTAX_16</vt:lpstr>
      <vt:lpstr>P_ABTAX_17</vt:lpstr>
      <vt:lpstr>P_ABTAX_18</vt:lpstr>
      <vt:lpstr>P_ABTAX_19</vt:lpstr>
      <vt:lpstr>P_ABTAX_20</vt:lpstr>
      <vt:lpstr>P_ABTAX_95</vt:lpstr>
      <vt:lpstr>P_ABTAX_96</vt:lpstr>
      <vt:lpstr>P_ABTAX_97</vt:lpstr>
      <vt:lpstr>P_ABTAX_98</vt:lpstr>
      <vt:lpstr>P_ABTAX_99</vt:lpstr>
      <vt:lpstr>P_AG_00</vt:lpstr>
      <vt:lpstr>P_AG_01</vt:lpstr>
      <vt:lpstr>P_AG_02</vt:lpstr>
      <vt:lpstr>P_AG_03</vt:lpstr>
      <vt:lpstr>P_AG_04</vt:lpstr>
      <vt:lpstr>P_AG_05</vt:lpstr>
      <vt:lpstr>P_AG_06</vt:lpstr>
      <vt:lpstr>P_AG_07</vt:lpstr>
      <vt:lpstr>P_AG_08</vt:lpstr>
      <vt:lpstr>P_AG_09</vt:lpstr>
      <vt:lpstr>P_AG_10</vt:lpstr>
      <vt:lpstr>P_AG_11</vt:lpstr>
      <vt:lpstr>P_AG_12</vt:lpstr>
      <vt:lpstr>P_AG_13</vt:lpstr>
      <vt:lpstr>P_AG_14</vt:lpstr>
      <vt:lpstr>P_AG_15</vt:lpstr>
      <vt:lpstr>P_AG_16</vt:lpstr>
      <vt:lpstr>P_AG_17</vt:lpstr>
      <vt:lpstr>P_AG_18</vt:lpstr>
      <vt:lpstr>P_AG_19</vt:lpstr>
      <vt:lpstr>P_AG_20</vt:lpstr>
      <vt:lpstr>P_AG_95</vt:lpstr>
      <vt:lpstr>P_AG_96</vt:lpstr>
      <vt:lpstr>P_AG_97</vt:lpstr>
      <vt:lpstr>P_AG_98</vt:lpstr>
      <vt:lpstr>P_AG_99</vt:lpstr>
      <vt:lpstr>P_AI_00</vt:lpstr>
      <vt:lpstr>P_AI_01</vt:lpstr>
      <vt:lpstr>P_AI_02</vt:lpstr>
      <vt:lpstr>P_AI_03</vt:lpstr>
      <vt:lpstr>P_AI_04</vt:lpstr>
      <vt:lpstr>P_AI_05</vt:lpstr>
      <vt:lpstr>P_AI_06</vt:lpstr>
      <vt:lpstr>P_AI_07</vt:lpstr>
      <vt:lpstr>P_AI_08</vt:lpstr>
      <vt:lpstr>P_AI_09</vt:lpstr>
      <vt:lpstr>P_AI_10</vt:lpstr>
      <vt:lpstr>P_AI_11</vt:lpstr>
      <vt:lpstr>P_AI_12</vt:lpstr>
      <vt:lpstr>P_AI_13</vt:lpstr>
      <vt:lpstr>P_AI_14</vt:lpstr>
      <vt:lpstr>P_AI_15</vt:lpstr>
      <vt:lpstr>P_AI_16</vt:lpstr>
      <vt:lpstr>P_AI_17</vt:lpstr>
      <vt:lpstr>P_AI_18</vt:lpstr>
      <vt:lpstr>P_AI_19</vt:lpstr>
      <vt:lpstr>P_AI_20</vt:lpstr>
      <vt:lpstr>P_AI_95</vt:lpstr>
      <vt:lpstr>P_AI_96</vt:lpstr>
      <vt:lpstr>P_AI_97</vt:lpstr>
      <vt:lpstr>P_AI_98</vt:lpstr>
      <vt:lpstr>P_AI_99</vt:lpstr>
      <vt:lpstr>P_D_00</vt:lpstr>
      <vt:lpstr>P_D_01</vt:lpstr>
      <vt:lpstr>P_D_02</vt:lpstr>
      <vt:lpstr>P_D_03</vt:lpstr>
      <vt:lpstr>P_D_04</vt:lpstr>
      <vt:lpstr>P_D_05</vt:lpstr>
      <vt:lpstr>P_D_06</vt:lpstr>
      <vt:lpstr>P_D_07</vt:lpstr>
      <vt:lpstr>P_D_08</vt:lpstr>
      <vt:lpstr>P_D_09</vt:lpstr>
      <vt:lpstr>P_D_10</vt:lpstr>
      <vt:lpstr>P_D_11</vt:lpstr>
      <vt:lpstr>P_D_12</vt:lpstr>
      <vt:lpstr>P_D_13</vt:lpstr>
      <vt:lpstr>P_D_14</vt:lpstr>
      <vt:lpstr>P_D_15</vt:lpstr>
      <vt:lpstr>P_D_16</vt:lpstr>
      <vt:lpstr>P_D_17</vt:lpstr>
      <vt:lpstr>P_D_18</vt:lpstr>
      <vt:lpstr>P_D_19</vt:lpstr>
      <vt:lpstr>P_D_20</vt:lpstr>
      <vt:lpstr>P_D_95</vt:lpstr>
      <vt:lpstr>P_D_96</vt:lpstr>
      <vt:lpstr>P_D_97</vt:lpstr>
      <vt:lpstr>P_D_98</vt:lpstr>
      <vt:lpstr>P_D_99</vt:lpstr>
      <vt:lpstr>P_IE_00</vt:lpstr>
      <vt:lpstr>P_IE_01</vt:lpstr>
      <vt:lpstr>P_IE_02</vt:lpstr>
      <vt:lpstr>P_IE_03</vt:lpstr>
      <vt:lpstr>P_IE_04</vt:lpstr>
      <vt:lpstr>P_IE_05</vt:lpstr>
      <vt:lpstr>P_IE_06</vt:lpstr>
      <vt:lpstr>P_IE_07</vt:lpstr>
      <vt:lpstr>P_IE_08</vt:lpstr>
      <vt:lpstr>P_IE_09</vt:lpstr>
      <vt:lpstr>P_IE_10</vt:lpstr>
      <vt:lpstr>P_IE_11</vt:lpstr>
      <vt:lpstr>P_IE_12</vt:lpstr>
      <vt:lpstr>P_IE_13</vt:lpstr>
      <vt:lpstr>P_IE_14</vt:lpstr>
      <vt:lpstr>P_IE_15</vt:lpstr>
      <vt:lpstr>P_IE_16</vt:lpstr>
      <vt:lpstr>P_IE_17</vt:lpstr>
      <vt:lpstr>P_IE_18</vt:lpstr>
      <vt:lpstr>P_IE_19</vt:lpstr>
      <vt:lpstr>P_IE_20</vt:lpstr>
      <vt:lpstr>P_IE_95</vt:lpstr>
      <vt:lpstr>P_IE_96</vt:lpstr>
      <vt:lpstr>P_IE_97</vt:lpstr>
      <vt:lpstr>P_IE_98</vt:lpstr>
      <vt:lpstr>P_IE_99</vt:lpstr>
      <vt:lpstr>P_IR_00</vt:lpstr>
      <vt:lpstr>P_IR_01</vt:lpstr>
      <vt:lpstr>P_IR_02</vt:lpstr>
      <vt:lpstr>P_IR_03</vt:lpstr>
      <vt:lpstr>P_IR_04</vt:lpstr>
      <vt:lpstr>P_IR_05</vt:lpstr>
      <vt:lpstr>P_IR_06</vt:lpstr>
      <vt:lpstr>P_IR_07</vt:lpstr>
      <vt:lpstr>P_IR_08</vt:lpstr>
      <vt:lpstr>P_IR_09</vt:lpstr>
      <vt:lpstr>P_IR_10</vt:lpstr>
      <vt:lpstr>P_IR_11</vt:lpstr>
      <vt:lpstr>P_IR_12</vt:lpstr>
      <vt:lpstr>P_IR_13</vt:lpstr>
      <vt:lpstr>P_IR_14</vt:lpstr>
      <vt:lpstr>P_IR_15</vt:lpstr>
      <vt:lpstr>P_IR_16</vt:lpstr>
      <vt:lpstr>P_IR_17</vt:lpstr>
      <vt:lpstr>P_IR_18</vt:lpstr>
      <vt:lpstr>P_IR_19</vt:lpstr>
      <vt:lpstr>P_IR_20</vt:lpstr>
      <vt:lpstr>P_IR_95</vt:lpstr>
      <vt:lpstr>P_IR_96</vt:lpstr>
      <vt:lpstr>P_IR_97</vt:lpstr>
      <vt:lpstr>P_IR_98</vt:lpstr>
      <vt:lpstr>P_IR_99</vt:lpstr>
      <vt:lpstr>P_MI_00</vt:lpstr>
      <vt:lpstr>P_MI_01</vt:lpstr>
      <vt:lpstr>P_MI_02</vt:lpstr>
      <vt:lpstr>P_MI_03</vt:lpstr>
      <vt:lpstr>P_MI_04</vt:lpstr>
      <vt:lpstr>P_MI_05</vt:lpstr>
      <vt:lpstr>P_MI_06</vt:lpstr>
      <vt:lpstr>P_MI_07</vt:lpstr>
      <vt:lpstr>P_MI_08</vt:lpstr>
      <vt:lpstr>P_MI_09</vt:lpstr>
      <vt:lpstr>P_MI_10</vt:lpstr>
      <vt:lpstr>P_MI_11</vt:lpstr>
      <vt:lpstr>P_MI_12</vt:lpstr>
      <vt:lpstr>P_MI_13</vt:lpstr>
      <vt:lpstr>P_MI_14</vt:lpstr>
      <vt:lpstr>P_MI_15</vt:lpstr>
      <vt:lpstr>P_MI_16</vt:lpstr>
      <vt:lpstr>P_MI_17</vt:lpstr>
      <vt:lpstr>P_MI_18</vt:lpstr>
      <vt:lpstr>P_MI_19</vt:lpstr>
      <vt:lpstr>P_MI_20</vt:lpstr>
      <vt:lpstr>P_MI_95</vt:lpstr>
      <vt:lpstr>P_MI_96</vt:lpstr>
      <vt:lpstr>P_MI_97</vt:lpstr>
      <vt:lpstr>P_MI_98</vt:lpstr>
      <vt:lpstr>P_MI_99</vt:lpstr>
      <vt:lpstr>P_NIE_00</vt:lpstr>
      <vt:lpstr>P_NIE_01</vt:lpstr>
      <vt:lpstr>P_NIE_02</vt:lpstr>
      <vt:lpstr>P_NIE_03</vt:lpstr>
      <vt:lpstr>P_NIE_04</vt:lpstr>
      <vt:lpstr>P_NIE_05</vt:lpstr>
      <vt:lpstr>P_NIE_06</vt:lpstr>
      <vt:lpstr>P_NIE_07</vt:lpstr>
      <vt:lpstr>P_NIE_08</vt:lpstr>
      <vt:lpstr>P_NIE_09</vt:lpstr>
      <vt:lpstr>P_NIE_10</vt:lpstr>
      <vt:lpstr>P_NIE_11</vt:lpstr>
      <vt:lpstr>P_NIE_12</vt:lpstr>
      <vt:lpstr>P_NIE_13</vt:lpstr>
      <vt:lpstr>P_NIE_14</vt:lpstr>
      <vt:lpstr>P_NIE_15</vt:lpstr>
      <vt:lpstr>P_NIE_16</vt:lpstr>
      <vt:lpstr>P_NIE_17</vt:lpstr>
      <vt:lpstr>P_NIE_18</vt:lpstr>
      <vt:lpstr>P_NIE_19</vt:lpstr>
      <vt:lpstr>P_NIE_20</vt:lpstr>
      <vt:lpstr>P_NIE_95</vt:lpstr>
      <vt:lpstr>P_NIE_96</vt:lpstr>
      <vt:lpstr>P_NIE_97</vt:lpstr>
      <vt:lpstr>P_NIE_98</vt:lpstr>
      <vt:lpstr>P_NIE_99</vt:lpstr>
      <vt:lpstr>P_NPATC_00</vt:lpstr>
      <vt:lpstr>P_NPATC_01</vt:lpstr>
      <vt:lpstr>P_NPATC_02</vt:lpstr>
      <vt:lpstr>P_NPATC_03</vt:lpstr>
      <vt:lpstr>P_NPATC_04</vt:lpstr>
      <vt:lpstr>P_NPATC_05</vt:lpstr>
      <vt:lpstr>P_NPATC_06</vt:lpstr>
      <vt:lpstr>P_NPATC_07</vt:lpstr>
      <vt:lpstr>P_NPATC_08</vt:lpstr>
      <vt:lpstr>P_NPATC_09</vt:lpstr>
      <vt:lpstr>P_NPATC_10</vt:lpstr>
      <vt:lpstr>P_NPATC_11</vt:lpstr>
      <vt:lpstr>P_NPATC_12</vt:lpstr>
      <vt:lpstr>P_NPATC_13</vt:lpstr>
      <vt:lpstr>P_NPATC_14</vt:lpstr>
      <vt:lpstr>P_NPATC_15</vt:lpstr>
      <vt:lpstr>P_NPATC_16</vt:lpstr>
      <vt:lpstr>P_NPATC_17</vt:lpstr>
      <vt:lpstr>P_NPATC_18</vt:lpstr>
      <vt:lpstr>P_NPATC_19</vt:lpstr>
      <vt:lpstr>P_NPATC_20</vt:lpstr>
      <vt:lpstr>P_NPATC_95</vt:lpstr>
      <vt:lpstr>P_NPATC_96</vt:lpstr>
      <vt:lpstr>P_NPATC_97</vt:lpstr>
      <vt:lpstr>P_NPATC_98</vt:lpstr>
      <vt:lpstr>P_NPATC_99</vt:lpstr>
      <vt:lpstr>P_PTP_00</vt:lpstr>
      <vt:lpstr>P_PTP_01</vt:lpstr>
      <vt:lpstr>P_PTP_02</vt:lpstr>
      <vt:lpstr>P_PTP_03</vt:lpstr>
      <vt:lpstr>P_PTP_04</vt:lpstr>
      <vt:lpstr>P_PTP_05</vt:lpstr>
      <vt:lpstr>P_PTP_06</vt:lpstr>
      <vt:lpstr>P_PTP_07</vt:lpstr>
      <vt:lpstr>P_PTP_08</vt:lpstr>
      <vt:lpstr>P_PTP_09</vt:lpstr>
      <vt:lpstr>P_PTP_10</vt:lpstr>
      <vt:lpstr>P_PTP_11</vt:lpstr>
      <vt:lpstr>P_PTP_12</vt:lpstr>
      <vt:lpstr>P_PTP_13</vt:lpstr>
      <vt:lpstr>P_PTP_14</vt:lpstr>
      <vt:lpstr>P_PTP_15</vt:lpstr>
      <vt:lpstr>P_PTP_16</vt:lpstr>
      <vt:lpstr>P_PTP_17</vt:lpstr>
      <vt:lpstr>P_PTP_18</vt:lpstr>
      <vt:lpstr>P_PTP_19</vt:lpstr>
      <vt:lpstr>P_PTP_20</vt:lpstr>
      <vt:lpstr>P_PTP_95</vt:lpstr>
      <vt:lpstr>P_PTP_96</vt:lpstr>
      <vt:lpstr>P_PTP_97</vt:lpstr>
      <vt:lpstr>P_PTP_98</vt:lpstr>
      <vt:lpstr>P_PTP_99</vt:lpstr>
      <vt:lpstr>P_TE_00</vt:lpstr>
      <vt:lpstr>P_TE_01</vt:lpstr>
      <vt:lpstr>P_TE_02</vt:lpstr>
      <vt:lpstr>P_TE_03</vt:lpstr>
      <vt:lpstr>P_TE_04</vt:lpstr>
      <vt:lpstr>P_TE_05</vt:lpstr>
      <vt:lpstr>P_TE_06</vt:lpstr>
      <vt:lpstr>P_TE_07</vt:lpstr>
      <vt:lpstr>P_TE_08</vt:lpstr>
      <vt:lpstr>P_TE_09</vt:lpstr>
      <vt:lpstr>P_TE_10</vt:lpstr>
      <vt:lpstr>P_TE_11</vt:lpstr>
      <vt:lpstr>P_TE_12</vt:lpstr>
      <vt:lpstr>P_TE_13</vt:lpstr>
      <vt:lpstr>P_TE_14</vt:lpstr>
      <vt:lpstr>P_TE_15</vt:lpstr>
      <vt:lpstr>P_TE_16</vt:lpstr>
      <vt:lpstr>P_TE_17</vt:lpstr>
      <vt:lpstr>P_TE_18</vt:lpstr>
      <vt:lpstr>P_TE_19</vt:lpstr>
      <vt:lpstr>P_TE_20</vt:lpstr>
      <vt:lpstr>P_TE_95</vt:lpstr>
      <vt:lpstr>P_TE_96</vt:lpstr>
      <vt:lpstr>P_TE_97</vt:lpstr>
      <vt:lpstr>P_TE_98</vt:lpstr>
      <vt:lpstr>P_TE_99</vt:lpstr>
      <vt:lpstr>PL_Abnorm_Tx_00</vt:lpstr>
      <vt:lpstr>PL_Abnorm_Tx_01</vt:lpstr>
      <vt:lpstr>PL_Abnorm_Tx_02</vt:lpstr>
      <vt:lpstr>PL_Abnorm_Tx_03</vt:lpstr>
      <vt:lpstr>PL_Abnorm_Tx_04</vt:lpstr>
      <vt:lpstr>PL_Abnorm_Tx_05</vt:lpstr>
      <vt:lpstr>PL_Abnorm_Tx_06</vt:lpstr>
      <vt:lpstr>PL_Abnorm_Tx_07</vt:lpstr>
      <vt:lpstr>PL_Abnorm_Tx_08</vt:lpstr>
      <vt:lpstr>PL_Abnorm_Tx_09</vt:lpstr>
      <vt:lpstr>PL_Abnorm_Tx_10</vt:lpstr>
      <vt:lpstr>PL_Abnorm_Tx_11</vt:lpstr>
      <vt:lpstr>PL_Abnorm_Tx_12</vt:lpstr>
      <vt:lpstr>PL_Abnorm_Tx_13</vt:lpstr>
      <vt:lpstr>PL_Abnorm_Tx_14</vt:lpstr>
      <vt:lpstr>PL_Abnorm_Tx_15</vt:lpstr>
      <vt:lpstr>PL_Abnorm_Tx_16</vt:lpstr>
      <vt:lpstr>PL_Abnorm_Tx_17</vt:lpstr>
      <vt:lpstr>PL_Abnorm_Tx_18</vt:lpstr>
      <vt:lpstr>PL_Abnorm_Tx_19</vt:lpstr>
      <vt:lpstr>PL_Abnorm_Tx_20</vt:lpstr>
      <vt:lpstr>PL_Abnorm_Tx_H1_00</vt:lpstr>
      <vt:lpstr>PL_Abnorm_Tx_H1_01</vt:lpstr>
      <vt:lpstr>PL_Abnorm_Tx_H1_02</vt:lpstr>
      <vt:lpstr>PL_Abnorm_Tx_H1_03</vt:lpstr>
      <vt:lpstr>PL_Abnorm_Tx_H1_04</vt:lpstr>
      <vt:lpstr>PL_Abnorm_Tx_H1_05</vt:lpstr>
      <vt:lpstr>PL_Abnorm_Tx_H1_06</vt:lpstr>
      <vt:lpstr>PL_Abnorm_Tx_H1_07</vt:lpstr>
      <vt:lpstr>PL_Abnorm_Tx_H1_08</vt:lpstr>
      <vt:lpstr>PL_Abnorm_Tx_H1_09</vt:lpstr>
      <vt:lpstr>PL_Abnorm_Tx_H1_10</vt:lpstr>
      <vt:lpstr>PL_Abnorm_Tx_H1_11</vt:lpstr>
      <vt:lpstr>PL_Abnorm_Tx_H1_12</vt:lpstr>
      <vt:lpstr>PL_Abnorm_Tx_H1_13</vt:lpstr>
      <vt:lpstr>PL_Abnorm_Tx_H1_14</vt:lpstr>
      <vt:lpstr>PL_Abnorm_Tx_H1_15</vt:lpstr>
      <vt:lpstr>PL_Abnorm_Tx_H1_16</vt:lpstr>
      <vt:lpstr>PL_Abnorm_Tx_H1_17</vt:lpstr>
      <vt:lpstr>PL_Abnorm_Tx_H1_18</vt:lpstr>
      <vt:lpstr>PL_Abnorm_Tx_H1_19</vt:lpstr>
      <vt:lpstr>PL_Abnorm_Tx_H1_20</vt:lpstr>
      <vt:lpstr>PL_Abnorm_Tx_H2_00</vt:lpstr>
      <vt:lpstr>PL_Abnorm_Tx_H2_01</vt:lpstr>
      <vt:lpstr>PL_Abnorm_Tx_H2_02</vt:lpstr>
      <vt:lpstr>PL_Abnorm_Tx_H2_03</vt:lpstr>
      <vt:lpstr>PL_Abnorm_Tx_H2_04</vt:lpstr>
      <vt:lpstr>PL_Abnorm_Tx_H2_05</vt:lpstr>
      <vt:lpstr>PL_Abnorm_Tx_H2_06</vt:lpstr>
      <vt:lpstr>PL_Abnorm_Tx_H2_07</vt:lpstr>
      <vt:lpstr>PL_Abnorm_Tx_H2_08</vt:lpstr>
      <vt:lpstr>PL_Abnorm_Tx_H2_09</vt:lpstr>
      <vt:lpstr>PL_Abnorm_Tx_H2_10</vt:lpstr>
      <vt:lpstr>PL_Abnorm_Tx_H2_11</vt:lpstr>
      <vt:lpstr>PL_Abnorm_Tx_H2_12</vt:lpstr>
      <vt:lpstr>PL_Abnorm_Tx_H2_13</vt:lpstr>
      <vt:lpstr>PL_Abnorm_Tx_H2_14</vt:lpstr>
      <vt:lpstr>PL_Abnorm_Tx_H2_15</vt:lpstr>
      <vt:lpstr>PL_Abnorm_Tx_H2_16</vt:lpstr>
      <vt:lpstr>PL_Abnorm_Tx_H2_17</vt:lpstr>
      <vt:lpstr>PL_Abnorm_Tx_H2_18</vt:lpstr>
      <vt:lpstr>PL_Abnorm_Tx_H2_19</vt:lpstr>
      <vt:lpstr>PL_Abnorm_Tx_H2_20</vt:lpstr>
      <vt:lpstr>PL_adj_GW_00</vt:lpstr>
      <vt:lpstr>PL_adj_GW_01</vt:lpstr>
      <vt:lpstr>PL_adj_GW_02</vt:lpstr>
      <vt:lpstr>PL_adj_GW_03</vt:lpstr>
      <vt:lpstr>PL_adj_GW_04</vt:lpstr>
      <vt:lpstr>PL_adj_GW_05</vt:lpstr>
      <vt:lpstr>PL_adj_GW_06</vt:lpstr>
      <vt:lpstr>PL_adj_GW_07</vt:lpstr>
      <vt:lpstr>PL_adj_GW_08</vt:lpstr>
      <vt:lpstr>PL_adj_GW_09</vt:lpstr>
      <vt:lpstr>PL_adj_GW_10</vt:lpstr>
      <vt:lpstr>PL_adj_GW_11</vt:lpstr>
      <vt:lpstr>PL_adj_GW_12</vt:lpstr>
      <vt:lpstr>PL_adj_GW_13</vt:lpstr>
      <vt:lpstr>PL_adj_GW_14</vt:lpstr>
      <vt:lpstr>PL_adj_GW_15</vt:lpstr>
      <vt:lpstr>PL_adj_GW_16</vt:lpstr>
      <vt:lpstr>PL_adj_GW_17</vt:lpstr>
      <vt:lpstr>PL_adj_GW_18</vt:lpstr>
      <vt:lpstr>PL_adj_GW_19</vt:lpstr>
      <vt:lpstr>PL_adj_GW_20</vt:lpstr>
      <vt:lpstr>PL_adj_GW_H1_00</vt:lpstr>
      <vt:lpstr>PL_adj_GW_H1_01</vt:lpstr>
      <vt:lpstr>PL_adj_GW_H1_02</vt:lpstr>
      <vt:lpstr>PL_adj_GW_H1_03</vt:lpstr>
      <vt:lpstr>PL_adj_GW_H1_04</vt:lpstr>
      <vt:lpstr>PL_adj_GW_H1_05</vt:lpstr>
      <vt:lpstr>PL_adj_GW_H1_06</vt:lpstr>
      <vt:lpstr>PL_adj_GW_H1_07</vt:lpstr>
      <vt:lpstr>PL_adj_GW_H1_08</vt:lpstr>
      <vt:lpstr>PL_adj_GW_H1_09</vt:lpstr>
      <vt:lpstr>PL_adj_GW_H1_10</vt:lpstr>
      <vt:lpstr>PL_adj_GW_H1_11</vt:lpstr>
      <vt:lpstr>PL_adj_GW_H1_12</vt:lpstr>
      <vt:lpstr>PL_adj_GW_H1_13</vt:lpstr>
      <vt:lpstr>PL_adj_GW_H1_14</vt:lpstr>
      <vt:lpstr>PL_adj_GW_H1_15</vt:lpstr>
      <vt:lpstr>PL_adj_GW_H1_16</vt:lpstr>
      <vt:lpstr>PL_adj_GW_H1_17</vt:lpstr>
      <vt:lpstr>PL_adj_GW_H1_18</vt:lpstr>
      <vt:lpstr>PL_adj_GW_H1_19</vt:lpstr>
      <vt:lpstr>PL_adj_GW_H1_20</vt:lpstr>
      <vt:lpstr>PL_adj_GW_H2_00</vt:lpstr>
      <vt:lpstr>PL_adj_GW_H2_01</vt:lpstr>
      <vt:lpstr>PL_adj_GW_H2_02</vt:lpstr>
      <vt:lpstr>PL_adj_GW_H2_03</vt:lpstr>
      <vt:lpstr>PL_adj_GW_H2_04</vt:lpstr>
      <vt:lpstr>PL_adj_GW_H2_05</vt:lpstr>
      <vt:lpstr>PL_adj_GW_H2_06</vt:lpstr>
      <vt:lpstr>PL_adj_GW_H2_07</vt:lpstr>
      <vt:lpstr>PL_adj_GW_H2_08</vt:lpstr>
      <vt:lpstr>PL_adj_GW_H2_09</vt:lpstr>
      <vt:lpstr>PL_adj_GW_H2_10</vt:lpstr>
      <vt:lpstr>PL_adj_GW_H2_11</vt:lpstr>
      <vt:lpstr>PL_adj_GW_H2_12</vt:lpstr>
      <vt:lpstr>PL_adj_GW_H2_13</vt:lpstr>
      <vt:lpstr>PL_adj_GW_H2_14</vt:lpstr>
      <vt:lpstr>PL_adj_GW_H2_15</vt:lpstr>
      <vt:lpstr>PL_adj_GW_H2_16</vt:lpstr>
      <vt:lpstr>PL_adj_GW_H2_17</vt:lpstr>
      <vt:lpstr>PL_adj_GW_H2_18</vt:lpstr>
      <vt:lpstr>PL_adj_GW_H2_19</vt:lpstr>
      <vt:lpstr>PL_adj_GW_H2_20</vt:lpstr>
      <vt:lpstr>PL_adj_Intang_00</vt:lpstr>
      <vt:lpstr>PL_adj_Intang_01</vt:lpstr>
      <vt:lpstr>PL_adj_Intang_02</vt:lpstr>
      <vt:lpstr>PL_adj_Intang_03</vt:lpstr>
      <vt:lpstr>PL_adj_Intang_04</vt:lpstr>
      <vt:lpstr>PL_adj_Intang_05</vt:lpstr>
      <vt:lpstr>PL_adj_Intang_06</vt:lpstr>
      <vt:lpstr>PL_adj_Intang_07</vt:lpstr>
      <vt:lpstr>PL_adj_Intang_08</vt:lpstr>
      <vt:lpstr>PL_adj_Intang_09</vt:lpstr>
      <vt:lpstr>PL_adj_Intang_10</vt:lpstr>
      <vt:lpstr>PL_adj_Intang_11</vt:lpstr>
      <vt:lpstr>PL_adj_Intang_12</vt:lpstr>
      <vt:lpstr>PL_adj_Intang_13</vt:lpstr>
      <vt:lpstr>PL_adj_Intang_14</vt:lpstr>
      <vt:lpstr>PL_adj_Intang_15</vt:lpstr>
      <vt:lpstr>PL_adj_Intang_16</vt:lpstr>
      <vt:lpstr>PL_adj_Intang_17</vt:lpstr>
      <vt:lpstr>PL_adj_Intang_18</vt:lpstr>
      <vt:lpstr>PL_adj_Intang_19</vt:lpstr>
      <vt:lpstr>PL_adj_Intang_20</vt:lpstr>
      <vt:lpstr>PL_adj_Intang_H1_00</vt:lpstr>
      <vt:lpstr>PL_adj_Intang_H1_01</vt:lpstr>
      <vt:lpstr>PL_adj_Intang_H1_02</vt:lpstr>
      <vt:lpstr>PL_adj_Intang_H1_03</vt:lpstr>
      <vt:lpstr>PL_adj_Intang_H1_04</vt:lpstr>
      <vt:lpstr>PL_adj_Intang_H1_05</vt:lpstr>
      <vt:lpstr>PL_adj_Intang_H1_06</vt:lpstr>
      <vt:lpstr>PL_adj_Intang_H1_07</vt:lpstr>
      <vt:lpstr>PL_adj_Intang_H1_08</vt:lpstr>
      <vt:lpstr>PL_adj_Intang_H1_09</vt:lpstr>
      <vt:lpstr>PL_adj_Intang_H1_10</vt:lpstr>
      <vt:lpstr>PL_adj_Intang_H1_11</vt:lpstr>
      <vt:lpstr>PL_adj_Intang_H1_12</vt:lpstr>
      <vt:lpstr>PL_adj_Intang_H1_13</vt:lpstr>
      <vt:lpstr>PL_adj_Intang_H1_14</vt:lpstr>
      <vt:lpstr>PL_adj_Intang_H1_15</vt:lpstr>
      <vt:lpstr>PL_adj_Intang_H1_16</vt:lpstr>
      <vt:lpstr>PL_adj_Intang_H1_17</vt:lpstr>
      <vt:lpstr>PL_adj_Intang_H1_18</vt:lpstr>
      <vt:lpstr>PL_adj_Intang_H1_19</vt:lpstr>
      <vt:lpstr>PL_adj_Intang_H1_20</vt:lpstr>
      <vt:lpstr>PL_adj_Intang_H2_00</vt:lpstr>
      <vt:lpstr>PL_adj_Intang_H2_01</vt:lpstr>
      <vt:lpstr>PL_adj_Intang_H2_02</vt:lpstr>
      <vt:lpstr>PL_adj_Intang_H2_03</vt:lpstr>
      <vt:lpstr>PL_adj_Intang_H2_04</vt:lpstr>
      <vt:lpstr>PL_adj_Intang_H2_05</vt:lpstr>
      <vt:lpstr>PL_adj_Intang_H2_06</vt:lpstr>
      <vt:lpstr>PL_adj_Intang_H2_07</vt:lpstr>
      <vt:lpstr>PL_adj_Intang_H2_08</vt:lpstr>
      <vt:lpstr>PL_adj_Intang_H2_09</vt:lpstr>
      <vt:lpstr>PL_adj_Intang_H2_10</vt:lpstr>
      <vt:lpstr>PL_adj_Intang_H2_11</vt:lpstr>
      <vt:lpstr>PL_adj_Intang_H2_12</vt:lpstr>
      <vt:lpstr>PL_adj_Intang_H2_13</vt:lpstr>
      <vt:lpstr>PL_adj_Intang_H2_14</vt:lpstr>
      <vt:lpstr>PL_adj_Intang_H2_15</vt:lpstr>
      <vt:lpstr>PL_adj_Intang_H2_16</vt:lpstr>
      <vt:lpstr>PL_adj_Intang_H2_17</vt:lpstr>
      <vt:lpstr>PL_adj_Intang_H2_18</vt:lpstr>
      <vt:lpstr>PL_adj_Intang_H2_19</vt:lpstr>
      <vt:lpstr>PL_adj_Intang_H2_20</vt:lpstr>
      <vt:lpstr>PL_adj_Other_00</vt:lpstr>
      <vt:lpstr>PL_adj_Other_01</vt:lpstr>
      <vt:lpstr>PL_adj_Other_02</vt:lpstr>
      <vt:lpstr>PL_adj_Other_03</vt:lpstr>
      <vt:lpstr>PL_adj_Other_04</vt:lpstr>
      <vt:lpstr>PL_adj_Other_05</vt:lpstr>
      <vt:lpstr>PL_adj_Other_06</vt:lpstr>
      <vt:lpstr>PL_adj_Other_07</vt:lpstr>
      <vt:lpstr>PL_adj_Other_08</vt:lpstr>
      <vt:lpstr>PL_adj_Other_09</vt:lpstr>
      <vt:lpstr>PL_adj_Other_10</vt:lpstr>
      <vt:lpstr>PL_adj_Other_11</vt:lpstr>
      <vt:lpstr>PL_adj_Other_12</vt:lpstr>
      <vt:lpstr>PL_adj_Other_13</vt:lpstr>
      <vt:lpstr>PL_adj_Other_14</vt:lpstr>
      <vt:lpstr>PL_adj_Other_15</vt:lpstr>
      <vt:lpstr>PL_adj_Other_16</vt:lpstr>
      <vt:lpstr>PL_adj_Other_17</vt:lpstr>
      <vt:lpstr>PL_adj_Other_18</vt:lpstr>
      <vt:lpstr>PL_adj_Other_19</vt:lpstr>
      <vt:lpstr>PL_adj_Other_20</vt:lpstr>
      <vt:lpstr>PL_adj_Other_H1_00</vt:lpstr>
      <vt:lpstr>PL_adj_Other_H1_01</vt:lpstr>
      <vt:lpstr>PL_adj_Other_H1_02</vt:lpstr>
      <vt:lpstr>PL_adj_Other_H1_03</vt:lpstr>
      <vt:lpstr>PL_adj_Other_H1_04</vt:lpstr>
      <vt:lpstr>PL_adj_Other_H1_05</vt:lpstr>
      <vt:lpstr>PL_adj_Other_H1_06</vt:lpstr>
      <vt:lpstr>PL_adj_Other_H1_07</vt:lpstr>
      <vt:lpstr>PL_adj_Other_H1_08</vt:lpstr>
      <vt:lpstr>PL_adj_Other_H1_09</vt:lpstr>
      <vt:lpstr>PL_adj_Other_H1_10</vt:lpstr>
      <vt:lpstr>PL_adj_Other_H1_11</vt:lpstr>
      <vt:lpstr>PL_adj_Other_H1_12</vt:lpstr>
      <vt:lpstr>PL_adj_Other_H1_13</vt:lpstr>
      <vt:lpstr>PL_adj_Other_H1_14</vt:lpstr>
      <vt:lpstr>PL_adj_Other_H1_15</vt:lpstr>
      <vt:lpstr>PL_adj_Other_H1_16</vt:lpstr>
      <vt:lpstr>PL_adj_Other_H1_17</vt:lpstr>
      <vt:lpstr>PL_adj_Other_H1_18</vt:lpstr>
      <vt:lpstr>PL_adj_Other_H1_19</vt:lpstr>
      <vt:lpstr>PL_adj_Other_H1_20</vt:lpstr>
      <vt:lpstr>PL_adj_Other_H2_00</vt:lpstr>
      <vt:lpstr>PL_adj_Other_H2_01</vt:lpstr>
      <vt:lpstr>PL_adj_Other_H2_02</vt:lpstr>
      <vt:lpstr>PL_adj_Other_H2_03</vt:lpstr>
      <vt:lpstr>PL_adj_Other_H2_04</vt:lpstr>
      <vt:lpstr>PL_adj_Other_H2_05</vt:lpstr>
      <vt:lpstr>PL_adj_Other_H2_06</vt:lpstr>
      <vt:lpstr>PL_adj_Other_H2_07</vt:lpstr>
      <vt:lpstr>PL_adj_Other_H2_08</vt:lpstr>
      <vt:lpstr>PL_adj_Other_H2_09</vt:lpstr>
      <vt:lpstr>PL_adj_Other_H2_10</vt:lpstr>
      <vt:lpstr>PL_adj_Other_H2_11</vt:lpstr>
      <vt:lpstr>PL_adj_Other_H2_12</vt:lpstr>
      <vt:lpstr>PL_adj_Other_H2_13</vt:lpstr>
      <vt:lpstr>PL_adj_Other_H2_14</vt:lpstr>
      <vt:lpstr>PL_adj_Other_H2_15</vt:lpstr>
      <vt:lpstr>PL_adj_Other_H2_16</vt:lpstr>
      <vt:lpstr>PL_adj_Other_H2_17</vt:lpstr>
      <vt:lpstr>PL_adj_Other_H2_18</vt:lpstr>
      <vt:lpstr>PL_adj_Other_H2_19</vt:lpstr>
      <vt:lpstr>PL_adj_Other_H2_20</vt:lpstr>
      <vt:lpstr>PL_AG_00</vt:lpstr>
      <vt:lpstr>PL_AG_01</vt:lpstr>
      <vt:lpstr>PL_AG_02</vt:lpstr>
      <vt:lpstr>PL_AG_03</vt:lpstr>
      <vt:lpstr>PL_AG_04</vt:lpstr>
      <vt:lpstr>PL_AG_05</vt:lpstr>
      <vt:lpstr>PL_AG_06</vt:lpstr>
      <vt:lpstr>PL_AG_07</vt:lpstr>
      <vt:lpstr>PL_AG_08</vt:lpstr>
      <vt:lpstr>PL_AG_09</vt:lpstr>
      <vt:lpstr>PL_AG_10</vt:lpstr>
      <vt:lpstr>PL_AG_11</vt:lpstr>
      <vt:lpstr>PL_AG_12</vt:lpstr>
      <vt:lpstr>PL_AG_13</vt:lpstr>
      <vt:lpstr>PL_AG_14</vt:lpstr>
      <vt:lpstr>PL_AG_15</vt:lpstr>
      <vt:lpstr>PL_AG_16</vt:lpstr>
      <vt:lpstr>PL_AG_17</vt:lpstr>
      <vt:lpstr>PL_AG_18</vt:lpstr>
      <vt:lpstr>PL_AG_19</vt:lpstr>
      <vt:lpstr>PL_AG_20</vt:lpstr>
      <vt:lpstr>PL_AG_H1_00</vt:lpstr>
      <vt:lpstr>PL_AG_H1_01</vt:lpstr>
      <vt:lpstr>PL_AG_H1_02</vt:lpstr>
      <vt:lpstr>PL_AG_H1_03</vt:lpstr>
      <vt:lpstr>PL_AG_H1_04</vt:lpstr>
      <vt:lpstr>PL_AG_H1_05</vt:lpstr>
      <vt:lpstr>PL_AG_H1_06</vt:lpstr>
      <vt:lpstr>PL_AG_H1_07</vt:lpstr>
      <vt:lpstr>PL_AG_H1_08</vt:lpstr>
      <vt:lpstr>PL_AG_H1_09</vt:lpstr>
      <vt:lpstr>PL_AG_H1_10</vt:lpstr>
      <vt:lpstr>PL_AG_H1_11</vt:lpstr>
      <vt:lpstr>PL_AG_H1_12</vt:lpstr>
      <vt:lpstr>PL_AG_H1_13</vt:lpstr>
      <vt:lpstr>PL_AG_H1_14</vt:lpstr>
      <vt:lpstr>PL_AG_H1_15</vt:lpstr>
      <vt:lpstr>PL_AG_H1_16</vt:lpstr>
      <vt:lpstr>PL_AG_H1_17</vt:lpstr>
      <vt:lpstr>PL_AG_H1_18</vt:lpstr>
      <vt:lpstr>PL_AG_H1_19</vt:lpstr>
      <vt:lpstr>PL_AG_H1_20</vt:lpstr>
      <vt:lpstr>PL_AG_H2_00</vt:lpstr>
      <vt:lpstr>PL_AG_H2_01</vt:lpstr>
      <vt:lpstr>PL_AG_H2_02</vt:lpstr>
      <vt:lpstr>PL_AG_H2_03</vt:lpstr>
      <vt:lpstr>PL_AG_H2_04</vt:lpstr>
      <vt:lpstr>PL_AG_H2_05</vt:lpstr>
      <vt:lpstr>PL_AG_H2_06</vt:lpstr>
      <vt:lpstr>PL_AG_H2_07</vt:lpstr>
      <vt:lpstr>PL_AG_H2_08</vt:lpstr>
      <vt:lpstr>PL_AG_H2_09</vt:lpstr>
      <vt:lpstr>PL_AG_H2_10</vt:lpstr>
      <vt:lpstr>PL_AG_H2_11</vt:lpstr>
      <vt:lpstr>PL_AG_H2_12</vt:lpstr>
      <vt:lpstr>PL_AG_H2_13</vt:lpstr>
      <vt:lpstr>PL_AG_H2_14</vt:lpstr>
      <vt:lpstr>PL_AG_H2_15</vt:lpstr>
      <vt:lpstr>PL_AG_H2_16</vt:lpstr>
      <vt:lpstr>PL_AG_H2_17</vt:lpstr>
      <vt:lpstr>PL_AG_H2_18</vt:lpstr>
      <vt:lpstr>PL_AG_H2_19</vt:lpstr>
      <vt:lpstr>PL_AG_H2_20</vt:lpstr>
      <vt:lpstr>PL_Amort_Brand_00</vt:lpstr>
      <vt:lpstr>PL_Amort_Brand_01</vt:lpstr>
      <vt:lpstr>PL_Amort_Brand_02</vt:lpstr>
      <vt:lpstr>PL_Amort_Brand_03</vt:lpstr>
      <vt:lpstr>PL_Amort_Brand_04</vt:lpstr>
      <vt:lpstr>PL_Amort_Brand_05</vt:lpstr>
      <vt:lpstr>PL_Amort_Brand_06</vt:lpstr>
      <vt:lpstr>PL_Amort_Brand_07</vt:lpstr>
      <vt:lpstr>PL_Amort_Brand_08</vt:lpstr>
      <vt:lpstr>PL_Amort_Brand_09</vt:lpstr>
      <vt:lpstr>PL_Amort_Brand_10</vt:lpstr>
      <vt:lpstr>PL_Amort_Brand_11</vt:lpstr>
      <vt:lpstr>PL_Amort_Brand_12</vt:lpstr>
      <vt:lpstr>PL_Amort_Brand_13</vt:lpstr>
      <vt:lpstr>PL_Amort_Brand_14</vt:lpstr>
      <vt:lpstr>PL_Amort_Brand_15</vt:lpstr>
      <vt:lpstr>PL_Amort_Brand_16</vt:lpstr>
      <vt:lpstr>PL_Amort_Brand_17</vt:lpstr>
      <vt:lpstr>PL_Amort_Brand_18</vt:lpstr>
      <vt:lpstr>PL_Amort_Brand_19</vt:lpstr>
      <vt:lpstr>PL_Amort_Brand_20</vt:lpstr>
      <vt:lpstr>PL_Amort_Brand_H1_00</vt:lpstr>
      <vt:lpstr>PL_Amort_Brand_H1_01</vt:lpstr>
      <vt:lpstr>PL_Amort_Brand_H1_02</vt:lpstr>
      <vt:lpstr>PL_Amort_Brand_H1_03</vt:lpstr>
      <vt:lpstr>PL_Amort_Brand_H1_04</vt:lpstr>
      <vt:lpstr>PL_Amort_Brand_H1_05</vt:lpstr>
      <vt:lpstr>PL_Amort_Brand_H1_06</vt:lpstr>
      <vt:lpstr>PL_Amort_Brand_H1_07</vt:lpstr>
      <vt:lpstr>PL_Amort_Brand_H1_08</vt:lpstr>
      <vt:lpstr>PL_Amort_Brand_H1_09</vt:lpstr>
      <vt:lpstr>PL_Amort_Brand_H1_10</vt:lpstr>
      <vt:lpstr>PL_Amort_Brand_H1_12</vt:lpstr>
      <vt:lpstr>PL_Amort_Brand_H1_13</vt:lpstr>
      <vt:lpstr>PL_Amort_Brand_H1_14</vt:lpstr>
      <vt:lpstr>PL_Amort_Brand_H1_15</vt:lpstr>
      <vt:lpstr>PL_Amort_Brand_H1_16</vt:lpstr>
      <vt:lpstr>PL_Amort_Brand_H1_17</vt:lpstr>
      <vt:lpstr>PL_Amort_Brand_H1_18</vt:lpstr>
      <vt:lpstr>PL_Amort_Brand_H1_19</vt:lpstr>
      <vt:lpstr>PL_Amort_Brand_H2_00</vt:lpstr>
      <vt:lpstr>PL_Amort_Brand_H2_01</vt:lpstr>
      <vt:lpstr>PL_Amort_Brand_H2_02</vt:lpstr>
      <vt:lpstr>PL_Amort_Brand_H2_03</vt:lpstr>
      <vt:lpstr>PL_Amort_Brand_H2_04</vt:lpstr>
      <vt:lpstr>PL_Amort_Brand_H2_05</vt:lpstr>
      <vt:lpstr>PL_Amort_Brand_H2_06</vt:lpstr>
      <vt:lpstr>PL_Amort_Brand_H2_08</vt:lpstr>
      <vt:lpstr>PL_Amort_Brand_H2_09</vt:lpstr>
      <vt:lpstr>PL_Amort_Brand_H2_10</vt:lpstr>
      <vt:lpstr>PL_Amort_Brand_H2_11</vt:lpstr>
      <vt:lpstr>PL_Amort_Brand_H2_12</vt:lpstr>
      <vt:lpstr>PL_Amort_Brand_H2_13</vt:lpstr>
      <vt:lpstr>PL_Amort_Brand_H2_15</vt:lpstr>
      <vt:lpstr>PL_Amort_Brand_H2_16</vt:lpstr>
      <vt:lpstr>PL_Amort_Brand_H2_17</vt:lpstr>
      <vt:lpstr>PL_Amort_Brand_H2_18</vt:lpstr>
      <vt:lpstr>PL_Amort_Brand_H2_19</vt:lpstr>
      <vt:lpstr>PL_Amort_Other_00</vt:lpstr>
      <vt:lpstr>PL_Amort_Other_01</vt:lpstr>
      <vt:lpstr>PL_Amort_Other_02</vt:lpstr>
      <vt:lpstr>PL_Amort_Other_03</vt:lpstr>
      <vt:lpstr>PL_Amort_Other_04</vt:lpstr>
      <vt:lpstr>PL_Amort_Other_06</vt:lpstr>
      <vt:lpstr>PL_Amort_Other_07</vt:lpstr>
      <vt:lpstr>PL_Amort_Other_08</vt:lpstr>
      <vt:lpstr>PL_Amort_Other_09</vt:lpstr>
      <vt:lpstr>PL_Amort_Other_10</vt:lpstr>
      <vt:lpstr>PL_Amort_Other_11</vt:lpstr>
      <vt:lpstr>PL_Amort_Other_13</vt:lpstr>
      <vt:lpstr>PL_Amort_Other_14</vt:lpstr>
      <vt:lpstr>PL_Amort_Other_15</vt:lpstr>
      <vt:lpstr>PL_Amort_Other_16</vt:lpstr>
      <vt:lpstr>PL_Amort_Other_18</vt:lpstr>
      <vt:lpstr>PL_Amort_Other_19</vt:lpstr>
      <vt:lpstr>PL_Amort_Other_20</vt:lpstr>
      <vt:lpstr>PL_Amort_Other_H1_01</vt:lpstr>
      <vt:lpstr>PL_Amort_Other_H1_02</vt:lpstr>
      <vt:lpstr>PL_Amort_Other_H1_03</vt:lpstr>
      <vt:lpstr>PL_Amort_Other_H1_04</vt:lpstr>
      <vt:lpstr>PL_Amort_Other_H1_05</vt:lpstr>
      <vt:lpstr>PL_Amort_Other_H1_07</vt:lpstr>
      <vt:lpstr>PL_Amort_Other_H1_08</vt:lpstr>
      <vt:lpstr>PL_Amort_Other_H1_09</vt:lpstr>
      <vt:lpstr>PL_Amort_Other_H1_10</vt:lpstr>
      <vt:lpstr>PL_Amort_Other_H1_11</vt:lpstr>
      <vt:lpstr>PL_Amort_Other_H1_12</vt:lpstr>
      <vt:lpstr>PL_Amort_Other_H1_14</vt:lpstr>
      <vt:lpstr>PL_Amort_Other_H1_15</vt:lpstr>
      <vt:lpstr>PL_Amort_Other_H1_16</vt:lpstr>
      <vt:lpstr>PL_Amort_Other_H1_17</vt:lpstr>
      <vt:lpstr>PL_Amort_Other_H1_18</vt:lpstr>
      <vt:lpstr>PL_Amort_Other_H1_19</vt:lpstr>
      <vt:lpstr>PL_Amort_Other_H1_20</vt:lpstr>
      <vt:lpstr>PL_Amort_Other_H2_01</vt:lpstr>
      <vt:lpstr>PL_Amort_Other_H2_02</vt:lpstr>
      <vt:lpstr>PL_Amort_Other_H2_03</vt:lpstr>
      <vt:lpstr>PL_Amort_Other_H2_04</vt:lpstr>
      <vt:lpstr>PL_Amort_Other_H2_05</vt:lpstr>
      <vt:lpstr>PL_Amort_Other_H2_06</vt:lpstr>
      <vt:lpstr>PL_Amort_Other_H2_07</vt:lpstr>
      <vt:lpstr>PL_Amort_Other_H2_08</vt:lpstr>
      <vt:lpstr>PL_Amort_Other_H2_09</vt:lpstr>
      <vt:lpstr>PL_Amort_Other_H2_10</vt:lpstr>
      <vt:lpstr>PL_Amort_Other_H2_11</vt:lpstr>
      <vt:lpstr>PL_Amort_Other_H2_12</vt:lpstr>
      <vt:lpstr>PL_Amort_Other_H2_13</vt:lpstr>
      <vt:lpstr>PL_Amort_Other_H2_14</vt:lpstr>
      <vt:lpstr>PL_Amort_Other_H2_15</vt:lpstr>
      <vt:lpstr>PL_Amort_Other_H2_16</vt:lpstr>
      <vt:lpstr>PL_Amort_Other_H2_17</vt:lpstr>
      <vt:lpstr>PL_Amort_Other_H2_18</vt:lpstr>
      <vt:lpstr>PL_Amort_Other_H2_19</vt:lpstr>
      <vt:lpstr>PL_Amort_Other_H2_20</vt:lpstr>
      <vt:lpstr>PL_DA_00</vt:lpstr>
      <vt:lpstr>PL_DA_01</vt:lpstr>
      <vt:lpstr>PL_DA_02</vt:lpstr>
      <vt:lpstr>PL_DA_03</vt:lpstr>
      <vt:lpstr>PL_DA_04</vt:lpstr>
      <vt:lpstr>PL_DA_05</vt:lpstr>
      <vt:lpstr>PL_DA_06</vt:lpstr>
      <vt:lpstr>PL_DA_07</vt:lpstr>
      <vt:lpstr>PL_DA_08</vt:lpstr>
      <vt:lpstr>PL_DA_09</vt:lpstr>
      <vt:lpstr>PL_DA_10</vt:lpstr>
      <vt:lpstr>PL_DA_11</vt:lpstr>
      <vt:lpstr>PL_DA_12</vt:lpstr>
      <vt:lpstr>PL_DA_13</vt:lpstr>
      <vt:lpstr>PL_DA_14</vt:lpstr>
      <vt:lpstr>PL_DA_15</vt:lpstr>
      <vt:lpstr>PL_DA_16</vt:lpstr>
      <vt:lpstr>PL_DA_17</vt:lpstr>
      <vt:lpstr>PL_DA_18</vt:lpstr>
      <vt:lpstr>PL_DA_19</vt:lpstr>
      <vt:lpstr>PL_DA_20</vt:lpstr>
      <vt:lpstr>PL_DA_H1_00</vt:lpstr>
      <vt:lpstr>PL_DA_H1_01</vt:lpstr>
      <vt:lpstr>PL_DA_H1_02</vt:lpstr>
      <vt:lpstr>PL_DA_H1_03</vt:lpstr>
      <vt:lpstr>PL_DA_H1_04</vt:lpstr>
      <vt:lpstr>PL_DA_H1_05</vt:lpstr>
      <vt:lpstr>PL_DA_H1_06</vt:lpstr>
      <vt:lpstr>PL_DA_H1_07</vt:lpstr>
      <vt:lpstr>PL_DA_H1_08</vt:lpstr>
      <vt:lpstr>PL_DA_H1_09</vt:lpstr>
      <vt:lpstr>PL_DA_H1_10</vt:lpstr>
      <vt:lpstr>PL_DA_H1_11</vt:lpstr>
      <vt:lpstr>PL_DA_H1_12</vt:lpstr>
      <vt:lpstr>PL_DA_H1_13</vt:lpstr>
      <vt:lpstr>PL_DA_H1_14</vt:lpstr>
      <vt:lpstr>PL_DA_H1_15</vt:lpstr>
      <vt:lpstr>PL_DA_H1_16</vt:lpstr>
      <vt:lpstr>PL_DA_H1_17</vt:lpstr>
      <vt:lpstr>PL_DA_H1_18</vt:lpstr>
      <vt:lpstr>PL_DA_H1_19</vt:lpstr>
      <vt:lpstr>PL_DA_H1_20</vt:lpstr>
      <vt:lpstr>PL_DA_H2_00</vt:lpstr>
      <vt:lpstr>PL_DA_H2_01</vt:lpstr>
      <vt:lpstr>PL_DA_H2_02</vt:lpstr>
      <vt:lpstr>PL_DA_H2_03</vt:lpstr>
      <vt:lpstr>PL_DA_H2_04</vt:lpstr>
      <vt:lpstr>PL_DA_H2_05</vt:lpstr>
      <vt:lpstr>PL_DA_H2_06</vt:lpstr>
      <vt:lpstr>PL_DA_H2_07</vt:lpstr>
      <vt:lpstr>PL_DA_H2_08</vt:lpstr>
      <vt:lpstr>PL_DA_H2_09</vt:lpstr>
      <vt:lpstr>PL_DA_H2_10</vt:lpstr>
      <vt:lpstr>PL_DA_H2_11</vt:lpstr>
      <vt:lpstr>PL_DA_H2_12</vt:lpstr>
      <vt:lpstr>PL_DA_H2_13</vt:lpstr>
      <vt:lpstr>PL_DA_H2_14</vt:lpstr>
      <vt:lpstr>PL_DA_H2_15</vt:lpstr>
      <vt:lpstr>PL_DA_H2_16</vt:lpstr>
      <vt:lpstr>PL_DA_H2_17</vt:lpstr>
      <vt:lpstr>PL_DA_H2_18</vt:lpstr>
      <vt:lpstr>PL_DA_H2_19</vt:lpstr>
      <vt:lpstr>PL_DA_H2_20</vt:lpstr>
      <vt:lpstr>PL_DEPN_00</vt:lpstr>
      <vt:lpstr>PL_DEPN_01</vt:lpstr>
      <vt:lpstr>PL_DEPN_02</vt:lpstr>
      <vt:lpstr>PL_DEPN_03</vt:lpstr>
      <vt:lpstr>PL_DEPN_04</vt:lpstr>
      <vt:lpstr>PL_DEPN_05</vt:lpstr>
      <vt:lpstr>PL_DEPN_06</vt:lpstr>
      <vt:lpstr>PL_DEPN_07</vt:lpstr>
      <vt:lpstr>PL_DEPN_08</vt:lpstr>
      <vt:lpstr>PL_DEPN_09</vt:lpstr>
      <vt:lpstr>PL_DEPN_10</vt:lpstr>
      <vt:lpstr>PL_DEPN_11</vt:lpstr>
      <vt:lpstr>PL_DEPN_12</vt:lpstr>
      <vt:lpstr>PL_DEPN_13</vt:lpstr>
      <vt:lpstr>PL_DEPN_14</vt:lpstr>
      <vt:lpstr>PL_DEPN_15</vt:lpstr>
      <vt:lpstr>PL_DEPN_16</vt:lpstr>
      <vt:lpstr>PL_DEPN_17</vt:lpstr>
      <vt:lpstr>PL_DEPN_18</vt:lpstr>
      <vt:lpstr>PL_DEPN_19</vt:lpstr>
      <vt:lpstr>PL_DEPN_20</vt:lpstr>
      <vt:lpstr>PL_DEPN_H1_00</vt:lpstr>
      <vt:lpstr>PL_DEPN_H1_01</vt:lpstr>
      <vt:lpstr>PL_DEPN_H1_02</vt:lpstr>
      <vt:lpstr>PL_DEPN_H1_03</vt:lpstr>
      <vt:lpstr>PL_DEPN_H1_04</vt:lpstr>
      <vt:lpstr>PL_DEPN_H1_05</vt:lpstr>
      <vt:lpstr>PL_DEPN_H1_06</vt:lpstr>
      <vt:lpstr>PL_DEPN_H1_07</vt:lpstr>
      <vt:lpstr>PL_DEPN_H1_08</vt:lpstr>
      <vt:lpstr>PL_DEPN_H1_09</vt:lpstr>
      <vt:lpstr>PL_DEPN_H1_10</vt:lpstr>
      <vt:lpstr>PL_DEPN_H1_11</vt:lpstr>
      <vt:lpstr>PL_DEPN_H1_12</vt:lpstr>
      <vt:lpstr>PL_DEPN_H1_13</vt:lpstr>
      <vt:lpstr>PL_DEPN_H1_14</vt:lpstr>
      <vt:lpstr>PL_DEPN_H1_15</vt:lpstr>
      <vt:lpstr>PL_DEPN_H1_16</vt:lpstr>
      <vt:lpstr>PL_DEPN_H1_17</vt:lpstr>
      <vt:lpstr>PL_DEPN_H1_18</vt:lpstr>
      <vt:lpstr>PL_DEPN_H1_19</vt:lpstr>
      <vt:lpstr>PL_DEPN_H1_20</vt:lpstr>
      <vt:lpstr>PL_DEPN_H2_00</vt:lpstr>
      <vt:lpstr>PL_DEPN_H2_01</vt:lpstr>
      <vt:lpstr>PL_DEPN_H2_02</vt:lpstr>
      <vt:lpstr>PL_DEPN_H2_03</vt:lpstr>
      <vt:lpstr>PL_DEPN_H2_04</vt:lpstr>
      <vt:lpstr>PL_DEPN_H2_05</vt:lpstr>
      <vt:lpstr>PL_DEPN_H2_06</vt:lpstr>
      <vt:lpstr>PL_DEPN_H2_07</vt:lpstr>
      <vt:lpstr>PL_DEPN_H2_08</vt:lpstr>
      <vt:lpstr>PL_DEPN_H2_09</vt:lpstr>
      <vt:lpstr>PL_DEPN_H2_10</vt:lpstr>
      <vt:lpstr>PL_DEPN_H2_11</vt:lpstr>
      <vt:lpstr>PL_DEPN_H2_12</vt:lpstr>
      <vt:lpstr>PL_DEPN_H2_13</vt:lpstr>
      <vt:lpstr>PL_DEPN_H2_14</vt:lpstr>
      <vt:lpstr>PL_DEPN_H2_15</vt:lpstr>
      <vt:lpstr>PL_DEPN_H2_16</vt:lpstr>
      <vt:lpstr>PL_DEPN_H2_17</vt:lpstr>
      <vt:lpstr>PL_DEPN_H2_18</vt:lpstr>
      <vt:lpstr>PL_DEPN_H2_19</vt:lpstr>
      <vt:lpstr>PL_DEPN_H2_20</vt:lpstr>
      <vt:lpstr>PL_Div_Assoc_00</vt:lpstr>
      <vt:lpstr>PL_Div_Assoc_01</vt:lpstr>
      <vt:lpstr>PL_Div_Assoc_02</vt:lpstr>
      <vt:lpstr>PL_Div_Assoc_03</vt:lpstr>
      <vt:lpstr>PL_Div_Assoc_04</vt:lpstr>
      <vt:lpstr>PL_Div_Assoc_05</vt:lpstr>
      <vt:lpstr>PL_Div_Assoc_06</vt:lpstr>
      <vt:lpstr>PL_Div_Assoc_07</vt:lpstr>
      <vt:lpstr>PL_Div_Assoc_08</vt:lpstr>
      <vt:lpstr>PL_Div_Assoc_09</vt:lpstr>
      <vt:lpstr>PL_Div_Assoc_10</vt:lpstr>
      <vt:lpstr>PL_Div_Assoc_11</vt:lpstr>
      <vt:lpstr>PL_Div_Assoc_12</vt:lpstr>
      <vt:lpstr>PL_Div_Assoc_13</vt:lpstr>
      <vt:lpstr>PL_Div_Assoc_14</vt:lpstr>
      <vt:lpstr>PL_Div_Assoc_15</vt:lpstr>
      <vt:lpstr>PL_Div_Assoc_16</vt:lpstr>
      <vt:lpstr>PL_Div_Assoc_17</vt:lpstr>
      <vt:lpstr>PL_Div_Assoc_18</vt:lpstr>
      <vt:lpstr>PL_Div_Assoc_19</vt:lpstr>
      <vt:lpstr>PL_Div_Assoc_20</vt:lpstr>
      <vt:lpstr>PL_Div_Assoc_H1_00</vt:lpstr>
      <vt:lpstr>PL_Div_Assoc_H1_01</vt:lpstr>
      <vt:lpstr>PL_Div_Assoc_H1_02</vt:lpstr>
      <vt:lpstr>PL_Div_Assoc_H1_03</vt:lpstr>
      <vt:lpstr>PL_Div_Assoc_H1_04</vt:lpstr>
      <vt:lpstr>PL_Div_Assoc_H1_05</vt:lpstr>
      <vt:lpstr>PL_Div_Assoc_H1_06</vt:lpstr>
      <vt:lpstr>PL_Div_Assoc_H1_07</vt:lpstr>
      <vt:lpstr>PL_Div_Assoc_H1_08</vt:lpstr>
      <vt:lpstr>PL_Div_Assoc_H1_09</vt:lpstr>
      <vt:lpstr>PL_Div_Assoc_H1_10</vt:lpstr>
      <vt:lpstr>PL_Div_Assoc_H1_11</vt:lpstr>
      <vt:lpstr>PL_Div_Assoc_H1_12</vt:lpstr>
      <vt:lpstr>PL_Div_Assoc_H1_13</vt:lpstr>
      <vt:lpstr>PL_Div_Assoc_H1_14</vt:lpstr>
      <vt:lpstr>PL_Div_Assoc_H1_15</vt:lpstr>
      <vt:lpstr>PL_Div_Assoc_H1_16</vt:lpstr>
      <vt:lpstr>PL_Div_Assoc_H1_17</vt:lpstr>
      <vt:lpstr>PL_Div_Assoc_H1_18</vt:lpstr>
      <vt:lpstr>PL_Div_Assoc_H1_19</vt:lpstr>
      <vt:lpstr>PL_Div_Assoc_H1_20</vt:lpstr>
      <vt:lpstr>PL_Div_Assoc_H2_00</vt:lpstr>
      <vt:lpstr>PL_Div_Assoc_H2_01</vt:lpstr>
      <vt:lpstr>PL_Div_Assoc_H2_02</vt:lpstr>
      <vt:lpstr>PL_Div_Assoc_H2_03</vt:lpstr>
      <vt:lpstr>PL_Div_Assoc_H2_04</vt:lpstr>
      <vt:lpstr>PL_Div_Assoc_H2_05</vt:lpstr>
      <vt:lpstr>PL_Div_Assoc_H2_06</vt:lpstr>
      <vt:lpstr>PL_Div_Assoc_H2_07</vt:lpstr>
      <vt:lpstr>PL_Div_Assoc_H2_08</vt:lpstr>
      <vt:lpstr>PL_Div_Assoc_H2_09</vt:lpstr>
      <vt:lpstr>PL_Div_Assoc_H2_10</vt:lpstr>
      <vt:lpstr>PL_Div_Assoc_H2_11</vt:lpstr>
      <vt:lpstr>PL_Div_Assoc_H2_12</vt:lpstr>
      <vt:lpstr>PL_Div_Assoc_H2_13</vt:lpstr>
      <vt:lpstr>PL_Div_Assoc_H2_14</vt:lpstr>
      <vt:lpstr>PL_Div_Assoc_H2_15</vt:lpstr>
      <vt:lpstr>PL_Div_Assoc_H2_16</vt:lpstr>
      <vt:lpstr>PL_Div_Assoc_H2_17</vt:lpstr>
      <vt:lpstr>PL_Div_Assoc_H2_18</vt:lpstr>
      <vt:lpstr>PL_Div_Assoc_H2_19</vt:lpstr>
      <vt:lpstr>PL_Div_Assoc_H2_20</vt:lpstr>
      <vt:lpstr>PL_Div_Other_00</vt:lpstr>
      <vt:lpstr>PL_Div_Other_01</vt:lpstr>
      <vt:lpstr>PL_Div_Other_02</vt:lpstr>
      <vt:lpstr>PL_Div_Other_03</vt:lpstr>
      <vt:lpstr>PL_Div_Other_04</vt:lpstr>
      <vt:lpstr>PL_Div_Other_05</vt:lpstr>
      <vt:lpstr>PL_Div_Other_06</vt:lpstr>
      <vt:lpstr>PL_Div_Other_07</vt:lpstr>
      <vt:lpstr>PL_Div_Other_08</vt:lpstr>
      <vt:lpstr>PL_Div_Other_09</vt:lpstr>
      <vt:lpstr>PL_Div_Other_10</vt:lpstr>
      <vt:lpstr>PL_Div_Other_11</vt:lpstr>
      <vt:lpstr>PL_Div_Other_12</vt:lpstr>
      <vt:lpstr>PL_Div_Other_13</vt:lpstr>
      <vt:lpstr>PL_Div_Other_14</vt:lpstr>
      <vt:lpstr>PL_Div_Other_15</vt:lpstr>
      <vt:lpstr>PL_Div_Other_16</vt:lpstr>
      <vt:lpstr>PL_Div_Other_17</vt:lpstr>
      <vt:lpstr>PL_Div_Other_18</vt:lpstr>
      <vt:lpstr>PL_Div_Other_19</vt:lpstr>
      <vt:lpstr>PL_Div_Other_20</vt:lpstr>
      <vt:lpstr>PL_Div_Other_H1_00</vt:lpstr>
      <vt:lpstr>PL_Div_Other_H1_01</vt:lpstr>
      <vt:lpstr>PL_Div_Other_H1_02</vt:lpstr>
      <vt:lpstr>PL_Div_Other_H1_03</vt:lpstr>
      <vt:lpstr>PL_Div_Other_H1_04</vt:lpstr>
      <vt:lpstr>PL_Div_Other_H1_05</vt:lpstr>
      <vt:lpstr>PL_Div_Other_H1_06</vt:lpstr>
      <vt:lpstr>PL_Div_Other_H1_07</vt:lpstr>
      <vt:lpstr>PL_Div_Other_H1_08</vt:lpstr>
      <vt:lpstr>PL_Div_Other_H1_09</vt:lpstr>
      <vt:lpstr>PL_Div_Other_H1_10</vt:lpstr>
      <vt:lpstr>PL_Div_Other_H1_11</vt:lpstr>
      <vt:lpstr>PL_Div_Other_H1_12</vt:lpstr>
      <vt:lpstr>PL_Div_Other_H1_13</vt:lpstr>
      <vt:lpstr>PL_Div_Other_H1_14</vt:lpstr>
      <vt:lpstr>PL_Div_Other_H1_15</vt:lpstr>
      <vt:lpstr>PL_Div_Other_H1_16</vt:lpstr>
      <vt:lpstr>PL_Div_Other_H1_17</vt:lpstr>
      <vt:lpstr>PL_Div_Other_H1_18</vt:lpstr>
      <vt:lpstr>PL_Div_Other_H1_19</vt:lpstr>
      <vt:lpstr>PL_Div_Other_H1_20</vt:lpstr>
      <vt:lpstr>PL_Div_Other_H2_00</vt:lpstr>
      <vt:lpstr>PL_Div_Other_H2_01</vt:lpstr>
      <vt:lpstr>PL_Div_Other_H2_02</vt:lpstr>
      <vt:lpstr>PL_Div_Other_H2_03</vt:lpstr>
      <vt:lpstr>PL_Div_Other_H2_04</vt:lpstr>
      <vt:lpstr>PL_Div_Other_H2_05</vt:lpstr>
      <vt:lpstr>PL_Div_Other_H2_06</vt:lpstr>
      <vt:lpstr>PL_Div_Other_H2_07</vt:lpstr>
      <vt:lpstr>PL_Div_Other_H2_08</vt:lpstr>
      <vt:lpstr>PL_Div_Other_H2_09</vt:lpstr>
      <vt:lpstr>PL_Div_Other_H2_10</vt:lpstr>
      <vt:lpstr>PL_Div_Other_H2_11</vt:lpstr>
      <vt:lpstr>PL_Div_Other_H2_12</vt:lpstr>
      <vt:lpstr>PL_Div_Other_H2_13</vt:lpstr>
      <vt:lpstr>PL_Div_Other_H2_14</vt:lpstr>
      <vt:lpstr>PL_Div_Other_H2_15</vt:lpstr>
      <vt:lpstr>PL_Div_Other_H2_16</vt:lpstr>
      <vt:lpstr>PL_Div_Other_H2_17</vt:lpstr>
      <vt:lpstr>PL_Div_Other_H2_18</vt:lpstr>
      <vt:lpstr>PL_Div_Other_H2_19</vt:lpstr>
      <vt:lpstr>PL_Div_Other_H2_20</vt:lpstr>
      <vt:lpstr>PL_Equit_assoc_03</vt:lpstr>
      <vt:lpstr>PL_Equit_assoc_07</vt:lpstr>
      <vt:lpstr>PL_Equit_assoc_09</vt:lpstr>
      <vt:lpstr>PL_Equit_assoc_10</vt:lpstr>
      <vt:lpstr>PL_Equit_assoc_11</vt:lpstr>
      <vt:lpstr>PL_Equit_assoc_12</vt:lpstr>
      <vt:lpstr>PL_Equit_assoc_13</vt:lpstr>
      <vt:lpstr>PL_Equit_assoc_14</vt:lpstr>
      <vt:lpstr>PL_Equit_assoc_15</vt:lpstr>
      <vt:lpstr>PL_Equit_assoc_16</vt:lpstr>
      <vt:lpstr>PL_Equit_assoc_17</vt:lpstr>
      <vt:lpstr>PL_Equit_assoc_18</vt:lpstr>
      <vt:lpstr>PL_Equit_assoc_19</vt:lpstr>
      <vt:lpstr>PL_Equit_assoc_20</vt:lpstr>
      <vt:lpstr>PL_Equit_assoc_95</vt:lpstr>
      <vt:lpstr>PL_Equit_assoc_96</vt:lpstr>
      <vt:lpstr>PL_Equit_assoc_97</vt:lpstr>
      <vt:lpstr>PL_Equit_assoc_98</vt:lpstr>
      <vt:lpstr>PL_Equit_assoc_99</vt:lpstr>
      <vt:lpstr>PL_Equit_assoc_H1_00</vt:lpstr>
      <vt:lpstr>PL_Equit_assoc_H1_01</vt:lpstr>
      <vt:lpstr>PL_Equit_assoc_H1_02</vt:lpstr>
      <vt:lpstr>PL_Equit_assoc_H1_03</vt:lpstr>
      <vt:lpstr>PL_Equit_assoc_H1_04</vt:lpstr>
      <vt:lpstr>PL_Equit_assoc_H1_05</vt:lpstr>
      <vt:lpstr>PL_Equit_assoc_H1_06</vt:lpstr>
      <vt:lpstr>PL_Equit_assoc_H1_07</vt:lpstr>
      <vt:lpstr>PL_Equit_assoc_H1_08</vt:lpstr>
      <vt:lpstr>PL_Equit_assoc_H1_09</vt:lpstr>
      <vt:lpstr>PL_Equit_assoc_H1_10</vt:lpstr>
      <vt:lpstr>PL_Equit_assoc_H1_11</vt:lpstr>
      <vt:lpstr>PL_Equit_assoc_H1_12</vt:lpstr>
      <vt:lpstr>PL_Equit_assoc_H1_13</vt:lpstr>
      <vt:lpstr>PL_Equit_assoc_H1_14</vt:lpstr>
      <vt:lpstr>PL_Equit_assoc_H1_15</vt:lpstr>
      <vt:lpstr>PL_Equit_assoc_H1_16</vt:lpstr>
      <vt:lpstr>PL_Equit_assoc_H1_17</vt:lpstr>
      <vt:lpstr>PL_Equit_assoc_H1_18</vt:lpstr>
      <vt:lpstr>PL_Equit_assoc_H1_19</vt:lpstr>
      <vt:lpstr>PL_Equit_assoc_H1_20</vt:lpstr>
      <vt:lpstr>PL_Equit_assoc_H2_00</vt:lpstr>
      <vt:lpstr>PL_Equit_assoc_H2_01</vt:lpstr>
      <vt:lpstr>PL_Equit_assoc_H2_02</vt:lpstr>
      <vt:lpstr>PL_Equit_assoc_H2_03</vt:lpstr>
      <vt:lpstr>PL_Equit_assoc_H2_04</vt:lpstr>
      <vt:lpstr>PL_Equit_assoc_H2_05</vt:lpstr>
      <vt:lpstr>PL_Equit_assoc_H2_06</vt:lpstr>
      <vt:lpstr>PL_Equit_assoc_H2_07</vt:lpstr>
      <vt:lpstr>PL_Equit_assoc_H2_08</vt:lpstr>
      <vt:lpstr>PL_Equit_assoc_H2_09</vt:lpstr>
      <vt:lpstr>PL_Equit_assoc_H2_10</vt:lpstr>
      <vt:lpstr>PL_Equit_assoc_H2_11</vt:lpstr>
      <vt:lpstr>PL_Equit_assoc_H2_12</vt:lpstr>
      <vt:lpstr>PL_Equit_assoc_H2_13</vt:lpstr>
      <vt:lpstr>PL_Equit_assoc_H2_14</vt:lpstr>
      <vt:lpstr>PL_Equit_assoc_H2_15</vt:lpstr>
      <vt:lpstr>PL_Equit_assoc_H2_16</vt:lpstr>
      <vt:lpstr>PL_Equit_assoc_H2_17</vt:lpstr>
      <vt:lpstr>PL_Equit_assoc_H2_18</vt:lpstr>
      <vt:lpstr>PL_Equit_assoc_H2_19</vt:lpstr>
      <vt:lpstr>PL_Equit_assoc_H2_20</vt:lpstr>
      <vt:lpstr>PL_Explor_00</vt:lpstr>
      <vt:lpstr>PL_Explor_01</vt:lpstr>
      <vt:lpstr>PL_Explor_02</vt:lpstr>
      <vt:lpstr>PL_Explor_03</vt:lpstr>
      <vt:lpstr>PL_Explor_04</vt:lpstr>
      <vt:lpstr>PL_Explor_05</vt:lpstr>
      <vt:lpstr>PL_Explor_06</vt:lpstr>
      <vt:lpstr>PL_Explor_07</vt:lpstr>
      <vt:lpstr>PL_Explor_08</vt:lpstr>
      <vt:lpstr>PL_Explor_09</vt:lpstr>
      <vt:lpstr>PL_Explor_10</vt:lpstr>
      <vt:lpstr>PL_Explor_11</vt:lpstr>
      <vt:lpstr>PL_Explor_12</vt:lpstr>
      <vt:lpstr>PL_Explor_13</vt:lpstr>
      <vt:lpstr>PL_Explor_14</vt:lpstr>
      <vt:lpstr>PL_Explor_15</vt:lpstr>
      <vt:lpstr>PL_Explor_16</vt:lpstr>
      <vt:lpstr>PL_Explor_17</vt:lpstr>
      <vt:lpstr>PL_Explor_18</vt:lpstr>
      <vt:lpstr>PL_Explor_19</vt:lpstr>
      <vt:lpstr>PL_Explor_20</vt:lpstr>
      <vt:lpstr>PL_Explor_H1_00</vt:lpstr>
      <vt:lpstr>PL_Explor_H1_01</vt:lpstr>
      <vt:lpstr>PL_Explor_H1_02</vt:lpstr>
      <vt:lpstr>PL_Explor_H1_03</vt:lpstr>
      <vt:lpstr>PL_Explor_H1_04</vt:lpstr>
      <vt:lpstr>PL_Explor_H1_05</vt:lpstr>
      <vt:lpstr>PL_Explor_H1_06</vt:lpstr>
      <vt:lpstr>PL_Explor_H1_07</vt:lpstr>
      <vt:lpstr>PL_Explor_H1_08</vt:lpstr>
      <vt:lpstr>PL_Explor_H1_09</vt:lpstr>
      <vt:lpstr>PL_Explor_H1_10</vt:lpstr>
      <vt:lpstr>PL_Explor_H1_11</vt:lpstr>
      <vt:lpstr>PL_Explor_H1_12</vt:lpstr>
      <vt:lpstr>PL_Explor_H1_13</vt:lpstr>
      <vt:lpstr>PL_Explor_H1_14</vt:lpstr>
      <vt:lpstr>PL_Explor_H1_15</vt:lpstr>
      <vt:lpstr>PL_Explor_H1_16</vt:lpstr>
      <vt:lpstr>PL_Explor_H1_17</vt:lpstr>
      <vt:lpstr>PL_Explor_H1_18</vt:lpstr>
      <vt:lpstr>PL_Explor_H1_19</vt:lpstr>
      <vt:lpstr>PL_Explor_H1_20</vt:lpstr>
      <vt:lpstr>PL_Explor_H2_00</vt:lpstr>
      <vt:lpstr>PL_Explor_H2_01</vt:lpstr>
      <vt:lpstr>PL_Explor_H2_02</vt:lpstr>
      <vt:lpstr>PL_Explor_H2_03</vt:lpstr>
      <vt:lpstr>PL_Explor_H2_04</vt:lpstr>
      <vt:lpstr>PL_Explor_H2_05</vt:lpstr>
      <vt:lpstr>PL_Explor_H2_06</vt:lpstr>
      <vt:lpstr>PL_Explor_H2_07</vt:lpstr>
      <vt:lpstr>PL_Explor_H2_08</vt:lpstr>
      <vt:lpstr>PL_Explor_H2_09</vt:lpstr>
      <vt:lpstr>PL_Explor_H2_10</vt:lpstr>
      <vt:lpstr>PL_Explor_H2_11</vt:lpstr>
      <vt:lpstr>PL_Explor_H2_12</vt:lpstr>
      <vt:lpstr>PL_Explor_H2_13</vt:lpstr>
      <vt:lpstr>PL_Explor_H2_14</vt:lpstr>
      <vt:lpstr>PL_Explor_H2_15</vt:lpstr>
      <vt:lpstr>PL_Explor_H2_16</vt:lpstr>
      <vt:lpstr>PL_Explor_H2_17</vt:lpstr>
      <vt:lpstr>PL_Explor_H2_18</vt:lpstr>
      <vt:lpstr>PL_Explor_H2_19</vt:lpstr>
      <vt:lpstr>PL_Explor_H2_20</vt:lpstr>
      <vt:lpstr>PL_Frank_00</vt:lpstr>
      <vt:lpstr>PL_Frank_01</vt:lpstr>
      <vt:lpstr>PL_Frank_02</vt:lpstr>
      <vt:lpstr>PL_Frank_03</vt:lpstr>
      <vt:lpstr>PL_Frank_04</vt:lpstr>
      <vt:lpstr>PL_Frank_05</vt:lpstr>
      <vt:lpstr>PL_Frank_06</vt:lpstr>
      <vt:lpstr>PL_Frank_07</vt:lpstr>
      <vt:lpstr>PL_Frank_08</vt:lpstr>
      <vt:lpstr>PL_Frank_09</vt:lpstr>
      <vt:lpstr>PL_Frank_10</vt:lpstr>
      <vt:lpstr>PL_Frank_11</vt:lpstr>
      <vt:lpstr>PL_Frank_12</vt:lpstr>
      <vt:lpstr>PL_Frank_13</vt:lpstr>
      <vt:lpstr>PL_Frank_14</vt:lpstr>
      <vt:lpstr>PL_Frank_15</vt:lpstr>
      <vt:lpstr>PL_Frank_16</vt:lpstr>
      <vt:lpstr>PL_Frank_17</vt:lpstr>
      <vt:lpstr>PL_Frank_18</vt:lpstr>
      <vt:lpstr>PL_Frank_19</vt:lpstr>
      <vt:lpstr>PL_Frank_20</vt:lpstr>
      <vt:lpstr>PL_Frank_H1_00</vt:lpstr>
      <vt:lpstr>PL_Frank_H1_01</vt:lpstr>
      <vt:lpstr>PL_Frank_H1_02</vt:lpstr>
      <vt:lpstr>PL_Frank_H1_03</vt:lpstr>
      <vt:lpstr>PL_Frank_H1_04</vt:lpstr>
      <vt:lpstr>PL_Frank_H1_05</vt:lpstr>
      <vt:lpstr>PL_Frank_H1_06</vt:lpstr>
      <vt:lpstr>PL_Frank_H1_07</vt:lpstr>
      <vt:lpstr>PL_Frank_H1_08</vt:lpstr>
      <vt:lpstr>PL_Frank_H1_09</vt:lpstr>
      <vt:lpstr>PL_Frank_H1_10</vt:lpstr>
      <vt:lpstr>PL_Frank_H1_11</vt:lpstr>
      <vt:lpstr>PL_Frank_H1_12</vt:lpstr>
      <vt:lpstr>PL_Frank_H1_13</vt:lpstr>
      <vt:lpstr>PL_Frank_H1_14</vt:lpstr>
      <vt:lpstr>PL_Frank_H1_15</vt:lpstr>
      <vt:lpstr>PL_Frank_H1_16</vt:lpstr>
      <vt:lpstr>PL_Frank_H1_17</vt:lpstr>
      <vt:lpstr>PL_Frank_H1_18</vt:lpstr>
      <vt:lpstr>PL_Frank_H1_19</vt:lpstr>
      <vt:lpstr>PL_Frank_H1_20</vt:lpstr>
      <vt:lpstr>PL_Frank_H2_00</vt:lpstr>
      <vt:lpstr>PL_Frank_H2_01</vt:lpstr>
      <vt:lpstr>PL_Frank_H2_02</vt:lpstr>
      <vt:lpstr>PL_Frank_H2_03</vt:lpstr>
      <vt:lpstr>PL_Frank_H2_04</vt:lpstr>
      <vt:lpstr>PL_Frank_H2_05</vt:lpstr>
      <vt:lpstr>PL_Frank_H2_06</vt:lpstr>
      <vt:lpstr>PL_Frank_H2_07</vt:lpstr>
      <vt:lpstr>PL_Frank_H2_08</vt:lpstr>
      <vt:lpstr>PL_Frank_H2_09</vt:lpstr>
      <vt:lpstr>PL_Frank_H2_10</vt:lpstr>
      <vt:lpstr>PL_Frank_H2_11</vt:lpstr>
      <vt:lpstr>PL_Frank_H2_12</vt:lpstr>
      <vt:lpstr>PL_Frank_H2_13</vt:lpstr>
      <vt:lpstr>PL_Frank_H2_14</vt:lpstr>
      <vt:lpstr>PL_Frank_H2_15</vt:lpstr>
      <vt:lpstr>PL_Frank_H2_16</vt:lpstr>
      <vt:lpstr>PL_Frank_H2_17</vt:lpstr>
      <vt:lpstr>PL_Frank_H2_18</vt:lpstr>
      <vt:lpstr>PL_Frank_H2_19</vt:lpstr>
      <vt:lpstr>PL_Frank_H2_20</vt:lpstr>
      <vt:lpstr>PL_FX_00</vt:lpstr>
      <vt:lpstr>PL_FX_01</vt:lpstr>
      <vt:lpstr>PL_FX_02</vt:lpstr>
      <vt:lpstr>PL_FX_03</vt:lpstr>
      <vt:lpstr>PL_FX_04</vt:lpstr>
      <vt:lpstr>PL_FX_05</vt:lpstr>
      <vt:lpstr>PL_FX_06</vt:lpstr>
      <vt:lpstr>PL_FX_07</vt:lpstr>
      <vt:lpstr>PL_FX_08</vt:lpstr>
      <vt:lpstr>PL_FX_09</vt:lpstr>
      <vt:lpstr>PL_FX_10</vt:lpstr>
      <vt:lpstr>PL_FX_11</vt:lpstr>
      <vt:lpstr>PL_FX_12</vt:lpstr>
      <vt:lpstr>PL_FX_13</vt:lpstr>
      <vt:lpstr>PL_FX_14</vt:lpstr>
      <vt:lpstr>PL_FX_15</vt:lpstr>
      <vt:lpstr>PL_FX_16</vt:lpstr>
      <vt:lpstr>PL_FX_17</vt:lpstr>
      <vt:lpstr>PL_FX_18</vt:lpstr>
      <vt:lpstr>PL_FX_19</vt:lpstr>
      <vt:lpstr>PL_FX_20</vt:lpstr>
      <vt:lpstr>PL_FX_H1_00</vt:lpstr>
      <vt:lpstr>PL_FX_H1_01</vt:lpstr>
      <vt:lpstr>PL_FX_H1_02</vt:lpstr>
      <vt:lpstr>PL_FX_H1_03</vt:lpstr>
      <vt:lpstr>PL_FX_H1_04</vt:lpstr>
      <vt:lpstr>PL_FX_H1_05</vt:lpstr>
      <vt:lpstr>PL_FX_H1_06</vt:lpstr>
      <vt:lpstr>PL_FX_H1_07</vt:lpstr>
      <vt:lpstr>PL_FX_H1_08</vt:lpstr>
      <vt:lpstr>PL_FX_H1_09</vt:lpstr>
      <vt:lpstr>PL_FX_H1_10</vt:lpstr>
      <vt:lpstr>PL_FX_H1_11</vt:lpstr>
      <vt:lpstr>PL_FX_H1_12</vt:lpstr>
      <vt:lpstr>PL_FX_H1_13</vt:lpstr>
      <vt:lpstr>PL_FX_H1_14</vt:lpstr>
      <vt:lpstr>PL_FX_H1_15</vt:lpstr>
      <vt:lpstr>PL_FX_H1_16</vt:lpstr>
      <vt:lpstr>PL_FX_H1_17</vt:lpstr>
      <vt:lpstr>PL_FX_H1_18</vt:lpstr>
      <vt:lpstr>PL_FX_H1_19</vt:lpstr>
      <vt:lpstr>PL_FX_H1_20</vt:lpstr>
      <vt:lpstr>PL_FX_H2_00</vt:lpstr>
      <vt:lpstr>PL_FX_H2_01</vt:lpstr>
      <vt:lpstr>PL_FX_H2_02</vt:lpstr>
      <vt:lpstr>PL_FX_H2_03</vt:lpstr>
      <vt:lpstr>PL_FX_H2_04</vt:lpstr>
      <vt:lpstr>PL_FX_H2_05</vt:lpstr>
      <vt:lpstr>PL_FX_H2_06</vt:lpstr>
      <vt:lpstr>PL_FX_H2_07</vt:lpstr>
      <vt:lpstr>PL_FX_H2_08</vt:lpstr>
      <vt:lpstr>PL_FX_H2_09</vt:lpstr>
      <vt:lpstr>PL_FX_H2_10</vt:lpstr>
      <vt:lpstr>PL_FX_H2_11</vt:lpstr>
      <vt:lpstr>PL_FX_H2_12</vt:lpstr>
      <vt:lpstr>PL_FX_H2_13</vt:lpstr>
      <vt:lpstr>PL_FX_H2_14</vt:lpstr>
      <vt:lpstr>PL_FX_H2_15</vt:lpstr>
      <vt:lpstr>PL_FX_H2_16</vt:lpstr>
      <vt:lpstr>PL_FX_H2_17</vt:lpstr>
      <vt:lpstr>PL_FX_H2_18</vt:lpstr>
      <vt:lpstr>PL_FX_H2_19</vt:lpstr>
      <vt:lpstr>PL_FX_H2_20</vt:lpstr>
      <vt:lpstr>PL_FX_Loss_00</vt:lpstr>
      <vt:lpstr>PL_FX_Loss_01</vt:lpstr>
      <vt:lpstr>PL_FX_Loss_02</vt:lpstr>
      <vt:lpstr>PL_FX_Loss_03</vt:lpstr>
      <vt:lpstr>PL_FX_Loss_04</vt:lpstr>
      <vt:lpstr>PL_FX_Loss_05</vt:lpstr>
      <vt:lpstr>PL_FX_Loss_06</vt:lpstr>
      <vt:lpstr>PL_FX_Loss_07</vt:lpstr>
      <vt:lpstr>PL_FX_Loss_08</vt:lpstr>
      <vt:lpstr>PL_FX_Loss_09</vt:lpstr>
      <vt:lpstr>PL_FX_Loss_10</vt:lpstr>
      <vt:lpstr>PL_FX_Loss_11</vt:lpstr>
      <vt:lpstr>PL_FX_Loss_12</vt:lpstr>
      <vt:lpstr>PL_FX_Loss_13</vt:lpstr>
      <vt:lpstr>PL_FX_Loss_14</vt:lpstr>
      <vt:lpstr>PL_FX_Loss_15</vt:lpstr>
      <vt:lpstr>PL_FX_Loss_16</vt:lpstr>
      <vt:lpstr>PL_FX_Loss_17</vt:lpstr>
      <vt:lpstr>PL_FX_Loss_18</vt:lpstr>
      <vt:lpstr>PL_FX_Loss_19</vt:lpstr>
      <vt:lpstr>PL_FX_Loss_20</vt:lpstr>
      <vt:lpstr>PL_FX_Loss_H1_00</vt:lpstr>
      <vt:lpstr>PL_FX_Loss_H1_01</vt:lpstr>
      <vt:lpstr>PL_FX_Loss_H1_02</vt:lpstr>
      <vt:lpstr>PL_FX_Loss_H1_03</vt:lpstr>
      <vt:lpstr>PL_FX_Loss_H1_04</vt:lpstr>
      <vt:lpstr>PL_FX_Loss_H1_05</vt:lpstr>
      <vt:lpstr>PL_FX_Loss_H1_06</vt:lpstr>
      <vt:lpstr>PL_FX_Loss_H1_07</vt:lpstr>
      <vt:lpstr>PL_FX_Loss_H1_08</vt:lpstr>
      <vt:lpstr>PL_FX_Loss_H1_09</vt:lpstr>
      <vt:lpstr>PL_FX_Loss_H1_10</vt:lpstr>
      <vt:lpstr>PL_FX_Loss_H1_11</vt:lpstr>
      <vt:lpstr>PL_FX_Loss_H1_12</vt:lpstr>
      <vt:lpstr>PL_FX_Loss_H1_13</vt:lpstr>
      <vt:lpstr>PL_FX_Loss_H1_14</vt:lpstr>
      <vt:lpstr>PL_FX_Loss_H1_15</vt:lpstr>
      <vt:lpstr>PL_FX_Loss_H1_16</vt:lpstr>
      <vt:lpstr>PL_FX_Loss_H1_17</vt:lpstr>
      <vt:lpstr>PL_FX_Loss_H1_18</vt:lpstr>
      <vt:lpstr>PL_FX_Loss_H1_19</vt:lpstr>
      <vt:lpstr>PL_FX_Loss_H1_20</vt:lpstr>
      <vt:lpstr>PL_FX_Loss_H2_00</vt:lpstr>
      <vt:lpstr>PL_FX_Loss_H2_01</vt:lpstr>
      <vt:lpstr>PL_FX_Loss_H2_02</vt:lpstr>
      <vt:lpstr>PL_FX_Loss_H2_03</vt:lpstr>
      <vt:lpstr>PL_FX_Loss_H2_04</vt:lpstr>
      <vt:lpstr>PL_FX_Loss_H2_05</vt:lpstr>
      <vt:lpstr>PL_FX_Loss_H2_06</vt:lpstr>
      <vt:lpstr>PL_FX_Loss_H2_07</vt:lpstr>
      <vt:lpstr>PL_FX_Loss_H2_08</vt:lpstr>
      <vt:lpstr>PL_FX_Loss_H2_09</vt:lpstr>
      <vt:lpstr>PL_FX_Loss_H2_10</vt:lpstr>
      <vt:lpstr>PL_FX_Loss_H2_11</vt:lpstr>
      <vt:lpstr>PL_FX_Loss_H2_12</vt:lpstr>
      <vt:lpstr>PL_FX_Loss_H2_13</vt:lpstr>
      <vt:lpstr>PL_FX_Loss_H2_14</vt:lpstr>
      <vt:lpstr>PL_FX_Loss_H2_15</vt:lpstr>
      <vt:lpstr>PL_FX_Loss_H2_16</vt:lpstr>
      <vt:lpstr>PL_FX_Loss_H2_17</vt:lpstr>
      <vt:lpstr>PL_FX_Loss_H2_18</vt:lpstr>
      <vt:lpstr>PL_FX_Loss_H2_19</vt:lpstr>
      <vt:lpstr>PL_FX_Loss_H2_20</vt:lpstr>
      <vt:lpstr>PL_In_Conv_00</vt:lpstr>
      <vt:lpstr>PL_In_Conv_01</vt:lpstr>
      <vt:lpstr>PL_In_Conv_02</vt:lpstr>
      <vt:lpstr>PL_In_Conv_03</vt:lpstr>
      <vt:lpstr>PL_In_Conv_04</vt:lpstr>
      <vt:lpstr>PL_In_Conv_05</vt:lpstr>
      <vt:lpstr>PL_In_Conv_06</vt:lpstr>
      <vt:lpstr>PL_In_Conv_07</vt:lpstr>
      <vt:lpstr>PL_In_Conv_08</vt:lpstr>
      <vt:lpstr>PL_In_Conv_09</vt:lpstr>
      <vt:lpstr>PL_In_Conv_10</vt:lpstr>
      <vt:lpstr>PL_In_Conv_11</vt:lpstr>
      <vt:lpstr>PL_In_Conv_12</vt:lpstr>
      <vt:lpstr>PL_In_Conv_13</vt:lpstr>
      <vt:lpstr>PL_In_Conv_14</vt:lpstr>
      <vt:lpstr>PL_In_Conv_15</vt:lpstr>
      <vt:lpstr>PL_In_Conv_16</vt:lpstr>
      <vt:lpstr>PL_In_Conv_17</vt:lpstr>
      <vt:lpstr>PL_In_Conv_18</vt:lpstr>
      <vt:lpstr>PL_In_Conv_19</vt:lpstr>
      <vt:lpstr>PL_In_Conv_20</vt:lpstr>
      <vt:lpstr>PL_In_Conv_H1_00</vt:lpstr>
      <vt:lpstr>PL_In_Conv_H1_01</vt:lpstr>
      <vt:lpstr>PL_In_Conv_H1_02</vt:lpstr>
      <vt:lpstr>PL_In_Conv_H1_03</vt:lpstr>
      <vt:lpstr>PL_In_Conv_H1_04</vt:lpstr>
      <vt:lpstr>PL_In_Conv_H1_05</vt:lpstr>
      <vt:lpstr>PL_In_Conv_H1_06</vt:lpstr>
      <vt:lpstr>PL_In_Conv_H1_07</vt:lpstr>
      <vt:lpstr>PL_In_Conv_H1_08</vt:lpstr>
      <vt:lpstr>PL_In_Conv_H1_09</vt:lpstr>
      <vt:lpstr>PL_In_Conv_H1_10</vt:lpstr>
      <vt:lpstr>PL_In_Conv_H1_11</vt:lpstr>
      <vt:lpstr>PL_In_Conv_H1_12</vt:lpstr>
      <vt:lpstr>PL_In_Conv_H1_13</vt:lpstr>
      <vt:lpstr>PL_In_Conv_H1_14</vt:lpstr>
      <vt:lpstr>PL_In_Conv_H1_15</vt:lpstr>
      <vt:lpstr>PL_In_Conv_H1_16</vt:lpstr>
      <vt:lpstr>PL_In_Conv_H1_17</vt:lpstr>
      <vt:lpstr>PL_In_Conv_H1_18</vt:lpstr>
      <vt:lpstr>PL_In_Conv_H1_19</vt:lpstr>
      <vt:lpstr>PL_In_Conv_H1_20</vt:lpstr>
      <vt:lpstr>PL_In_Conv_H2_00</vt:lpstr>
      <vt:lpstr>PL_In_Conv_H2_01</vt:lpstr>
      <vt:lpstr>PL_In_Conv_H2_02</vt:lpstr>
      <vt:lpstr>PL_In_Conv_H2_03</vt:lpstr>
      <vt:lpstr>PL_In_Conv_H2_04</vt:lpstr>
      <vt:lpstr>PL_In_Conv_H2_05</vt:lpstr>
      <vt:lpstr>PL_In_Conv_H2_06</vt:lpstr>
      <vt:lpstr>PL_In_Conv_H2_07</vt:lpstr>
      <vt:lpstr>PL_In_Conv_H2_08</vt:lpstr>
      <vt:lpstr>PL_In_Conv_H2_09</vt:lpstr>
      <vt:lpstr>PL_In_Conv_H2_10</vt:lpstr>
      <vt:lpstr>PL_In_Conv_H2_11</vt:lpstr>
      <vt:lpstr>PL_In_Conv_H2_12</vt:lpstr>
      <vt:lpstr>PL_In_Conv_H2_13</vt:lpstr>
      <vt:lpstr>PL_In_Conv_H2_14</vt:lpstr>
      <vt:lpstr>PL_In_Conv_H2_15</vt:lpstr>
      <vt:lpstr>PL_In_Conv_H2_16</vt:lpstr>
      <vt:lpstr>PL_In_Conv_H2_17</vt:lpstr>
      <vt:lpstr>PL_In_Conv_H2_18</vt:lpstr>
      <vt:lpstr>PL_In_Conv_H2_19</vt:lpstr>
      <vt:lpstr>PL_In_Conv_H2_20</vt:lpstr>
      <vt:lpstr>PL_Int_Cap_00</vt:lpstr>
      <vt:lpstr>PL_Int_Cap_01</vt:lpstr>
      <vt:lpstr>PL_Int_Cap_02</vt:lpstr>
      <vt:lpstr>PL_Int_Cap_03</vt:lpstr>
      <vt:lpstr>PL_Int_Cap_04</vt:lpstr>
      <vt:lpstr>PL_Int_Cap_05</vt:lpstr>
      <vt:lpstr>PL_Int_Cap_06</vt:lpstr>
      <vt:lpstr>PL_Int_Cap_07</vt:lpstr>
      <vt:lpstr>PL_Int_Cap_08</vt:lpstr>
      <vt:lpstr>PL_Int_Cap_09</vt:lpstr>
      <vt:lpstr>PL_Int_Cap_10</vt:lpstr>
      <vt:lpstr>PL_Int_Cap_11</vt:lpstr>
      <vt:lpstr>PL_Int_Cap_12</vt:lpstr>
      <vt:lpstr>PL_Int_Cap_13</vt:lpstr>
      <vt:lpstr>PL_Int_Cap_14</vt:lpstr>
      <vt:lpstr>PL_Int_Cap_15</vt:lpstr>
      <vt:lpstr>PL_Int_Cap_16</vt:lpstr>
      <vt:lpstr>PL_Int_Cap_17</vt:lpstr>
      <vt:lpstr>PL_Int_Cap_18</vt:lpstr>
      <vt:lpstr>PL_Int_Cap_19</vt:lpstr>
      <vt:lpstr>PL_Int_Cap_20</vt:lpstr>
      <vt:lpstr>PL_Int_Cap_H1_00</vt:lpstr>
      <vt:lpstr>PL_Int_Cap_H1_01</vt:lpstr>
      <vt:lpstr>PL_Int_Cap_H1_02</vt:lpstr>
      <vt:lpstr>PL_Int_Cap_H1_03</vt:lpstr>
      <vt:lpstr>PL_Int_Cap_H1_04</vt:lpstr>
      <vt:lpstr>PL_Int_Cap_H1_05</vt:lpstr>
      <vt:lpstr>PL_Int_Cap_H1_06</vt:lpstr>
      <vt:lpstr>PL_Int_Cap_H1_07</vt:lpstr>
      <vt:lpstr>PL_Int_Cap_H1_08</vt:lpstr>
      <vt:lpstr>PL_Int_Cap_H1_09</vt:lpstr>
      <vt:lpstr>PL_Int_Cap_H1_10</vt:lpstr>
      <vt:lpstr>PL_Int_Cap_H1_11</vt:lpstr>
      <vt:lpstr>PL_Int_Cap_H1_12</vt:lpstr>
      <vt:lpstr>PL_Int_Cap_H1_13</vt:lpstr>
      <vt:lpstr>PL_Int_Cap_H1_14</vt:lpstr>
      <vt:lpstr>PL_Int_Cap_H1_15</vt:lpstr>
      <vt:lpstr>PL_Int_Cap_H1_16</vt:lpstr>
      <vt:lpstr>PL_Int_Cap_H1_17</vt:lpstr>
      <vt:lpstr>PL_Int_Cap_H1_18</vt:lpstr>
      <vt:lpstr>PL_Int_Cap_H1_19</vt:lpstr>
      <vt:lpstr>PL_Int_Cap_H1_20</vt:lpstr>
      <vt:lpstr>PL_Int_Cap_H2_00</vt:lpstr>
      <vt:lpstr>PL_Int_Cap_H2_01</vt:lpstr>
      <vt:lpstr>PL_Int_Cap_H2_02</vt:lpstr>
      <vt:lpstr>PL_Int_Cap_H2_03</vt:lpstr>
      <vt:lpstr>PL_Int_Cap_H2_04</vt:lpstr>
      <vt:lpstr>PL_Int_Cap_H2_05</vt:lpstr>
      <vt:lpstr>PL_Int_Cap_H2_06</vt:lpstr>
      <vt:lpstr>PL_Int_Cap_H2_07</vt:lpstr>
      <vt:lpstr>PL_Int_Cap_H2_08</vt:lpstr>
      <vt:lpstr>PL_Int_Cap_H2_09</vt:lpstr>
      <vt:lpstr>PL_Int_Cap_H2_10</vt:lpstr>
      <vt:lpstr>PL_Int_Cap_H2_11</vt:lpstr>
      <vt:lpstr>PL_Int_Cap_H2_12</vt:lpstr>
      <vt:lpstr>PL_Int_Cap_H2_13</vt:lpstr>
      <vt:lpstr>PL_Int_Cap_H2_14</vt:lpstr>
      <vt:lpstr>PL_Int_Cap_H2_15</vt:lpstr>
      <vt:lpstr>PL_Int_Cap_H2_16</vt:lpstr>
      <vt:lpstr>PL_Int_Cap_H2_17</vt:lpstr>
      <vt:lpstr>PL_Int_Cap_H2_18</vt:lpstr>
      <vt:lpstr>PL_Int_Cap_H2_19</vt:lpstr>
      <vt:lpstr>PL_Int_Cap_H2_20</vt:lpstr>
      <vt:lpstr>PL_Int_Exp_00</vt:lpstr>
      <vt:lpstr>PL_Int_Exp_01</vt:lpstr>
      <vt:lpstr>PL_Int_Exp_02</vt:lpstr>
      <vt:lpstr>PL_Int_Exp_03</vt:lpstr>
      <vt:lpstr>PL_Int_Exp_04</vt:lpstr>
      <vt:lpstr>PL_Int_Exp_05</vt:lpstr>
      <vt:lpstr>PL_Int_Exp_06</vt:lpstr>
      <vt:lpstr>PL_Int_Exp_07</vt:lpstr>
      <vt:lpstr>PL_Int_Exp_08</vt:lpstr>
      <vt:lpstr>PL_Int_Exp_09</vt:lpstr>
      <vt:lpstr>PL_Int_Exp_10</vt:lpstr>
      <vt:lpstr>PL_Int_Exp_11</vt:lpstr>
      <vt:lpstr>PL_Int_Exp_12</vt:lpstr>
      <vt:lpstr>PL_Int_Exp_13</vt:lpstr>
      <vt:lpstr>PL_Int_Exp_14</vt:lpstr>
      <vt:lpstr>PL_Int_Exp_15</vt:lpstr>
      <vt:lpstr>PL_Int_Exp_16</vt:lpstr>
      <vt:lpstr>PL_Int_Exp_17</vt:lpstr>
      <vt:lpstr>PL_Int_Exp_18</vt:lpstr>
      <vt:lpstr>PL_Int_Exp_19</vt:lpstr>
      <vt:lpstr>PL_Int_Exp_20</vt:lpstr>
      <vt:lpstr>PL_Int_Exp_H1_00</vt:lpstr>
      <vt:lpstr>PL_Int_Exp_H1_01</vt:lpstr>
      <vt:lpstr>PL_Int_Exp_H1_02</vt:lpstr>
      <vt:lpstr>PL_Int_Exp_H1_03</vt:lpstr>
      <vt:lpstr>PL_Int_Exp_H1_04</vt:lpstr>
      <vt:lpstr>PL_Int_Exp_H1_05</vt:lpstr>
      <vt:lpstr>PL_Int_Exp_H1_06</vt:lpstr>
      <vt:lpstr>PL_Int_Exp_H1_07</vt:lpstr>
      <vt:lpstr>PL_Int_Exp_H1_08</vt:lpstr>
      <vt:lpstr>PL_Int_Exp_H1_09</vt:lpstr>
      <vt:lpstr>PL_Int_Exp_H1_10</vt:lpstr>
      <vt:lpstr>PL_Int_Exp_H1_11</vt:lpstr>
      <vt:lpstr>PL_Int_Exp_H1_12</vt:lpstr>
      <vt:lpstr>PL_Int_Exp_H1_13</vt:lpstr>
      <vt:lpstr>PL_Int_Exp_H1_14</vt:lpstr>
      <vt:lpstr>PL_Int_Exp_H1_15</vt:lpstr>
      <vt:lpstr>PL_Int_Exp_H1_16</vt:lpstr>
      <vt:lpstr>PL_Int_Exp_H1_17</vt:lpstr>
      <vt:lpstr>PL_Int_Exp_H1_18</vt:lpstr>
      <vt:lpstr>PL_Int_Exp_H1_19</vt:lpstr>
      <vt:lpstr>PL_Int_Exp_H1_20</vt:lpstr>
      <vt:lpstr>PL_Int_Exp_H2_00</vt:lpstr>
      <vt:lpstr>PL_Int_Exp_H2_01</vt:lpstr>
      <vt:lpstr>PL_Int_Exp_H2_02</vt:lpstr>
      <vt:lpstr>PL_Int_Exp_H2_03</vt:lpstr>
      <vt:lpstr>PL_Int_Exp_H2_04</vt:lpstr>
      <vt:lpstr>PL_Int_Exp_H2_05</vt:lpstr>
      <vt:lpstr>PL_Int_Exp_H2_06</vt:lpstr>
      <vt:lpstr>PL_Int_Exp_H2_07</vt:lpstr>
      <vt:lpstr>PL_Int_Exp_H2_08</vt:lpstr>
      <vt:lpstr>PL_Int_Exp_H2_09</vt:lpstr>
      <vt:lpstr>PL_Int_Exp_H2_10</vt:lpstr>
      <vt:lpstr>PL_Int_Exp_H2_11</vt:lpstr>
      <vt:lpstr>PL_Int_Exp_H2_12</vt:lpstr>
      <vt:lpstr>PL_Int_Exp_H2_13</vt:lpstr>
      <vt:lpstr>PL_Int_Exp_H2_14</vt:lpstr>
      <vt:lpstr>PL_Int_Exp_H2_15</vt:lpstr>
      <vt:lpstr>PL_Int_Exp_H2_16</vt:lpstr>
      <vt:lpstr>PL_Int_Exp_H2_17</vt:lpstr>
      <vt:lpstr>PL_Int_Exp_H2_18</vt:lpstr>
      <vt:lpstr>PL_Int_Exp_H2_19</vt:lpstr>
      <vt:lpstr>PL_Int_Exp_H2_20</vt:lpstr>
      <vt:lpstr>PL_Int_Income_00</vt:lpstr>
      <vt:lpstr>PL_Int_Income_01</vt:lpstr>
      <vt:lpstr>PL_Int_Income_02</vt:lpstr>
      <vt:lpstr>PL_Int_Income_03</vt:lpstr>
      <vt:lpstr>PL_Int_Income_04</vt:lpstr>
      <vt:lpstr>PL_Int_Income_05</vt:lpstr>
      <vt:lpstr>PL_Int_Income_06</vt:lpstr>
      <vt:lpstr>PL_Int_Income_07</vt:lpstr>
      <vt:lpstr>PL_Int_Income_08</vt:lpstr>
      <vt:lpstr>PL_Int_Income_09</vt:lpstr>
      <vt:lpstr>PL_Int_Income_10</vt:lpstr>
      <vt:lpstr>PL_Int_Income_11</vt:lpstr>
      <vt:lpstr>PL_Int_Income_12</vt:lpstr>
      <vt:lpstr>PL_Int_Income_13</vt:lpstr>
      <vt:lpstr>PL_Int_Income_14</vt:lpstr>
      <vt:lpstr>PL_Int_Income_15</vt:lpstr>
      <vt:lpstr>PL_Int_Income_16</vt:lpstr>
      <vt:lpstr>PL_Int_Income_17</vt:lpstr>
      <vt:lpstr>PL_Int_Income_18</vt:lpstr>
      <vt:lpstr>PL_Int_Income_19</vt:lpstr>
      <vt:lpstr>PL_Int_Income_20</vt:lpstr>
      <vt:lpstr>PL_Int_Income_H1_00</vt:lpstr>
      <vt:lpstr>PL_Int_Income_H1_01</vt:lpstr>
      <vt:lpstr>PL_Int_Income_H1_02</vt:lpstr>
      <vt:lpstr>PL_Int_Income_H1_03</vt:lpstr>
      <vt:lpstr>PL_Int_Income_H1_04</vt:lpstr>
      <vt:lpstr>PL_Int_Income_H1_05</vt:lpstr>
      <vt:lpstr>PL_Int_Income_H1_06</vt:lpstr>
      <vt:lpstr>PL_Int_Income_H1_07</vt:lpstr>
      <vt:lpstr>PL_Int_Income_H1_08</vt:lpstr>
      <vt:lpstr>PL_Int_Income_H1_09</vt:lpstr>
      <vt:lpstr>PL_Int_Income_H1_10</vt:lpstr>
      <vt:lpstr>PL_Int_Income_H1_11</vt:lpstr>
      <vt:lpstr>PL_Int_Income_H1_12</vt:lpstr>
      <vt:lpstr>PL_Int_Income_H1_13</vt:lpstr>
      <vt:lpstr>PL_Int_Income_H1_14</vt:lpstr>
      <vt:lpstr>PL_Int_Income_H1_15</vt:lpstr>
      <vt:lpstr>PL_Int_Income_H1_16</vt:lpstr>
      <vt:lpstr>PL_Int_Income_H1_17</vt:lpstr>
      <vt:lpstr>PL_Int_Income_H1_18</vt:lpstr>
      <vt:lpstr>PL_Int_Income_H1_19</vt:lpstr>
      <vt:lpstr>PL_Int_Income_H1_20</vt:lpstr>
      <vt:lpstr>PL_Int_Income_H2_00</vt:lpstr>
      <vt:lpstr>PL_Int_Income_H2_01</vt:lpstr>
      <vt:lpstr>PL_Int_Income_H2_02</vt:lpstr>
      <vt:lpstr>PL_Int_Income_H2_03</vt:lpstr>
      <vt:lpstr>PL_Int_Income_H2_04</vt:lpstr>
      <vt:lpstr>PL_Int_Income_H2_05</vt:lpstr>
      <vt:lpstr>PL_Int_Income_H2_06</vt:lpstr>
      <vt:lpstr>PL_Int_Income_H2_07</vt:lpstr>
      <vt:lpstr>PL_Int_Income_H2_08</vt:lpstr>
      <vt:lpstr>PL_Int_Income_H2_09</vt:lpstr>
      <vt:lpstr>PL_Int_Income_H2_10</vt:lpstr>
      <vt:lpstr>PL_Int_Income_H2_11</vt:lpstr>
      <vt:lpstr>PL_Int_Income_H2_12</vt:lpstr>
      <vt:lpstr>PL_Int_Income_H2_13</vt:lpstr>
      <vt:lpstr>PL_Int_Income_H2_14</vt:lpstr>
      <vt:lpstr>PL_Int_Income_H2_15</vt:lpstr>
      <vt:lpstr>PL_Int_Income_H2_16</vt:lpstr>
      <vt:lpstr>PL_Int_Income_H2_17</vt:lpstr>
      <vt:lpstr>PL_Int_Income_H2_18</vt:lpstr>
      <vt:lpstr>PL_Int_Income_H2_19</vt:lpstr>
      <vt:lpstr>PL_Int_Income_H2_20</vt:lpstr>
      <vt:lpstr>PL_Int_Incur_00</vt:lpstr>
      <vt:lpstr>PL_Int_Incur_01</vt:lpstr>
      <vt:lpstr>PL_Int_Incur_02</vt:lpstr>
      <vt:lpstr>PL_Int_Incur_03</vt:lpstr>
      <vt:lpstr>PL_Int_Incur_04</vt:lpstr>
      <vt:lpstr>PL_Int_Incur_05</vt:lpstr>
      <vt:lpstr>PL_Int_Incur_06</vt:lpstr>
      <vt:lpstr>PL_Int_Incur_07</vt:lpstr>
      <vt:lpstr>PL_Int_Incur_08</vt:lpstr>
      <vt:lpstr>PL_Int_Incur_09</vt:lpstr>
      <vt:lpstr>PL_Int_Incur_10</vt:lpstr>
      <vt:lpstr>PL_Int_Incur_11</vt:lpstr>
      <vt:lpstr>PL_Int_Incur_12</vt:lpstr>
      <vt:lpstr>PL_Int_Incur_13</vt:lpstr>
      <vt:lpstr>PL_Int_Incur_14</vt:lpstr>
      <vt:lpstr>PL_Int_Incur_15</vt:lpstr>
      <vt:lpstr>PL_Int_Incur_16</vt:lpstr>
      <vt:lpstr>PL_Int_Incur_17</vt:lpstr>
      <vt:lpstr>PL_Int_Incur_18</vt:lpstr>
      <vt:lpstr>PL_Int_Incur_19</vt:lpstr>
      <vt:lpstr>PL_Int_Incur_20</vt:lpstr>
      <vt:lpstr>PL_Int_Incur_H1_00</vt:lpstr>
      <vt:lpstr>PL_Int_Incur_H1_01</vt:lpstr>
      <vt:lpstr>PL_Int_Incur_H1_02</vt:lpstr>
      <vt:lpstr>PL_Int_Incur_H1_03</vt:lpstr>
      <vt:lpstr>PL_Int_Incur_H1_04</vt:lpstr>
      <vt:lpstr>PL_Int_Incur_H1_05</vt:lpstr>
      <vt:lpstr>PL_Int_Incur_H1_06</vt:lpstr>
      <vt:lpstr>PL_Int_Incur_H1_07</vt:lpstr>
      <vt:lpstr>PL_Int_Incur_H1_08</vt:lpstr>
      <vt:lpstr>PL_Int_Incur_H1_09</vt:lpstr>
      <vt:lpstr>PL_Int_Incur_H1_10</vt:lpstr>
      <vt:lpstr>PL_Int_Incur_H1_11</vt:lpstr>
      <vt:lpstr>PL_Int_Incur_H1_12</vt:lpstr>
      <vt:lpstr>PL_Int_Incur_H1_13</vt:lpstr>
      <vt:lpstr>PL_Int_Incur_H1_14</vt:lpstr>
      <vt:lpstr>PL_Int_Incur_H1_15</vt:lpstr>
      <vt:lpstr>PL_Int_Incur_H1_16</vt:lpstr>
      <vt:lpstr>PL_Int_Incur_H1_17</vt:lpstr>
      <vt:lpstr>PL_Int_Incur_H1_18</vt:lpstr>
      <vt:lpstr>PL_Int_Incur_H1_19</vt:lpstr>
      <vt:lpstr>PL_Int_Incur_H1_20</vt:lpstr>
      <vt:lpstr>PL_Int_Incur_H2_00</vt:lpstr>
      <vt:lpstr>PL_Int_Incur_H2_01</vt:lpstr>
      <vt:lpstr>PL_Int_Incur_H2_02</vt:lpstr>
      <vt:lpstr>PL_Int_Incur_H2_03</vt:lpstr>
      <vt:lpstr>PL_Int_Incur_H2_04</vt:lpstr>
      <vt:lpstr>PL_Int_Incur_H2_05</vt:lpstr>
      <vt:lpstr>PL_Int_Incur_H2_06</vt:lpstr>
      <vt:lpstr>PL_Int_Incur_H2_07</vt:lpstr>
      <vt:lpstr>PL_Int_Incur_H2_08</vt:lpstr>
      <vt:lpstr>PL_Int_Incur_H2_09</vt:lpstr>
      <vt:lpstr>PL_Int_Incur_H2_10</vt:lpstr>
      <vt:lpstr>PL_Int_Incur_H2_11</vt:lpstr>
      <vt:lpstr>PL_Int_Incur_H2_12</vt:lpstr>
      <vt:lpstr>PL_Int_Incur_H2_13</vt:lpstr>
      <vt:lpstr>PL_Int_Incur_H2_14</vt:lpstr>
      <vt:lpstr>PL_Int_Incur_H2_15</vt:lpstr>
      <vt:lpstr>PL_Int_Incur_H2_16</vt:lpstr>
      <vt:lpstr>PL_Int_Incur_H2_17</vt:lpstr>
      <vt:lpstr>PL_Int_Incur_H2_18</vt:lpstr>
      <vt:lpstr>PL_Int_Incur_H2_19</vt:lpstr>
      <vt:lpstr>PL_Int_Incur_H2_20</vt:lpstr>
      <vt:lpstr>PL_Int_Leases_00</vt:lpstr>
      <vt:lpstr>PL_Int_Leases_01</vt:lpstr>
      <vt:lpstr>PL_Int_Leases_02</vt:lpstr>
      <vt:lpstr>PL_Int_Leases_03</vt:lpstr>
      <vt:lpstr>PL_Int_Leases_04</vt:lpstr>
      <vt:lpstr>PL_Int_Leases_05</vt:lpstr>
      <vt:lpstr>PL_Int_Leases_06</vt:lpstr>
      <vt:lpstr>PL_Int_Leases_07</vt:lpstr>
      <vt:lpstr>PL_Int_Leases_08</vt:lpstr>
      <vt:lpstr>PL_Int_Leases_09</vt:lpstr>
      <vt:lpstr>PL_Int_Leases_10</vt:lpstr>
      <vt:lpstr>PL_Int_Leases_11</vt:lpstr>
      <vt:lpstr>PL_Int_Leases_12</vt:lpstr>
      <vt:lpstr>PL_Int_Leases_13</vt:lpstr>
      <vt:lpstr>PL_Int_Leases_14</vt:lpstr>
      <vt:lpstr>PL_Int_Leases_15</vt:lpstr>
      <vt:lpstr>PL_Int_Leases_16</vt:lpstr>
      <vt:lpstr>PL_Int_Leases_17</vt:lpstr>
      <vt:lpstr>PL_Int_Leases_18</vt:lpstr>
      <vt:lpstr>PL_Int_Leases_19</vt:lpstr>
      <vt:lpstr>PL_Int_Leases_20</vt:lpstr>
      <vt:lpstr>PL_Int_Leases_H1_00</vt:lpstr>
      <vt:lpstr>PL_Int_Leases_H1_01</vt:lpstr>
      <vt:lpstr>PL_Int_Leases_H1_02</vt:lpstr>
      <vt:lpstr>PL_Int_Leases_H1_03</vt:lpstr>
      <vt:lpstr>PL_Int_Leases_H1_04</vt:lpstr>
      <vt:lpstr>PL_Int_Leases_H1_05</vt:lpstr>
      <vt:lpstr>PL_Int_Leases_H1_06</vt:lpstr>
      <vt:lpstr>PL_Int_Leases_H1_07</vt:lpstr>
      <vt:lpstr>PL_Int_Leases_H1_08</vt:lpstr>
      <vt:lpstr>PL_Int_Leases_H1_09</vt:lpstr>
      <vt:lpstr>PL_Int_Leases_H1_10</vt:lpstr>
      <vt:lpstr>PL_Int_Leases_H1_11</vt:lpstr>
      <vt:lpstr>PL_Int_Leases_H1_12</vt:lpstr>
      <vt:lpstr>PL_Int_Leases_H1_13</vt:lpstr>
      <vt:lpstr>PL_Int_Leases_H1_14</vt:lpstr>
      <vt:lpstr>PL_Int_Leases_H1_15</vt:lpstr>
      <vt:lpstr>PL_Int_Leases_H1_16</vt:lpstr>
      <vt:lpstr>PL_Int_Leases_H1_17</vt:lpstr>
      <vt:lpstr>PL_Int_Leases_H1_18</vt:lpstr>
      <vt:lpstr>PL_Int_Leases_H1_19</vt:lpstr>
      <vt:lpstr>PL_Int_Leases_H1_20</vt:lpstr>
      <vt:lpstr>PL_Int_Leases_H2_00</vt:lpstr>
      <vt:lpstr>PL_Int_Leases_H2_01</vt:lpstr>
      <vt:lpstr>PL_Int_Leases_H2_02</vt:lpstr>
      <vt:lpstr>PL_Int_Leases_H2_03</vt:lpstr>
      <vt:lpstr>PL_Int_Leases_H2_04</vt:lpstr>
      <vt:lpstr>PL_Int_Leases_H2_05</vt:lpstr>
      <vt:lpstr>PL_Int_Leases_H2_06</vt:lpstr>
      <vt:lpstr>PL_Int_Leases_H2_07</vt:lpstr>
      <vt:lpstr>PL_Int_Leases_H2_08</vt:lpstr>
      <vt:lpstr>PL_Int_Leases_H2_09</vt:lpstr>
      <vt:lpstr>PL_Int_Leases_H2_10</vt:lpstr>
      <vt:lpstr>PL_Int_Leases_H2_11</vt:lpstr>
      <vt:lpstr>PL_Int_Leases_H2_12</vt:lpstr>
      <vt:lpstr>PL_Int_Leases_H2_13</vt:lpstr>
      <vt:lpstr>PL_Int_Leases_H2_14</vt:lpstr>
      <vt:lpstr>PL_Int_Leases_H2_15</vt:lpstr>
      <vt:lpstr>PL_Int_Leases_H2_16</vt:lpstr>
      <vt:lpstr>PL_Int_Leases_H2_17</vt:lpstr>
      <vt:lpstr>PL_Int_Leases_H2_18</vt:lpstr>
      <vt:lpstr>PL_Int_Leases_H2_19</vt:lpstr>
      <vt:lpstr>PL_Int_Leases_H2_20</vt:lpstr>
      <vt:lpstr>PL_Int_Rev_00</vt:lpstr>
      <vt:lpstr>PL_Int_Rev_01</vt:lpstr>
      <vt:lpstr>PL_Int_Rev_02</vt:lpstr>
      <vt:lpstr>PL_Int_Rev_03</vt:lpstr>
      <vt:lpstr>PL_Int_Rev_04</vt:lpstr>
      <vt:lpstr>PL_Int_Rev_05</vt:lpstr>
      <vt:lpstr>PL_Int_Rev_06</vt:lpstr>
      <vt:lpstr>PL_Int_Rev_07</vt:lpstr>
      <vt:lpstr>PL_Int_Rev_08</vt:lpstr>
      <vt:lpstr>PL_Int_Rev_09</vt:lpstr>
      <vt:lpstr>PL_Int_Rev_10</vt:lpstr>
      <vt:lpstr>PL_Int_Rev_11</vt:lpstr>
      <vt:lpstr>PL_Int_Rev_12</vt:lpstr>
      <vt:lpstr>PL_Int_Rev_13</vt:lpstr>
      <vt:lpstr>PL_Int_Rev_14</vt:lpstr>
      <vt:lpstr>PL_Int_Rev_15</vt:lpstr>
      <vt:lpstr>PL_Int_Rev_16</vt:lpstr>
      <vt:lpstr>PL_Int_Rev_17</vt:lpstr>
      <vt:lpstr>PL_Int_Rev_18</vt:lpstr>
      <vt:lpstr>PL_Int_Rev_19</vt:lpstr>
      <vt:lpstr>PL_Int_Rev_20</vt:lpstr>
      <vt:lpstr>PL_Int_Rev_H1_00</vt:lpstr>
      <vt:lpstr>PL_Int_Rev_H1_01</vt:lpstr>
      <vt:lpstr>PL_Int_Rev_H1_02</vt:lpstr>
      <vt:lpstr>PL_Int_Rev_H1_03</vt:lpstr>
      <vt:lpstr>PL_Int_Rev_H1_04</vt:lpstr>
      <vt:lpstr>PL_Int_Rev_H1_05</vt:lpstr>
      <vt:lpstr>PL_Int_Rev_H1_06</vt:lpstr>
      <vt:lpstr>PL_Int_Rev_H1_07</vt:lpstr>
      <vt:lpstr>PL_Int_Rev_H1_08</vt:lpstr>
      <vt:lpstr>PL_Int_Rev_H1_09</vt:lpstr>
      <vt:lpstr>PL_Int_Rev_H1_10</vt:lpstr>
      <vt:lpstr>PL_Int_Rev_H1_11</vt:lpstr>
      <vt:lpstr>PL_Int_Rev_H1_12</vt:lpstr>
      <vt:lpstr>PL_Int_Rev_H1_13</vt:lpstr>
      <vt:lpstr>PL_Int_Rev_H1_14</vt:lpstr>
      <vt:lpstr>PL_Int_Rev_H1_15</vt:lpstr>
      <vt:lpstr>PL_Int_Rev_H1_16</vt:lpstr>
      <vt:lpstr>PL_Int_Rev_H1_17</vt:lpstr>
      <vt:lpstr>PL_Int_Rev_H1_18</vt:lpstr>
      <vt:lpstr>PL_Int_Rev_H1_19</vt:lpstr>
      <vt:lpstr>PL_Int_Rev_H1_20</vt:lpstr>
      <vt:lpstr>PL_Int_Rev_H2_00</vt:lpstr>
      <vt:lpstr>PL_Int_Rev_H2_01</vt:lpstr>
      <vt:lpstr>PL_Int_Rev_H2_02</vt:lpstr>
      <vt:lpstr>PL_Int_Rev_H2_03</vt:lpstr>
      <vt:lpstr>PL_Int_Rev_H2_04</vt:lpstr>
      <vt:lpstr>PL_Int_Rev_H2_05</vt:lpstr>
      <vt:lpstr>PL_Int_Rev_H2_06</vt:lpstr>
      <vt:lpstr>PL_Int_Rev_H2_07</vt:lpstr>
      <vt:lpstr>PL_Int_Rev_H2_08</vt:lpstr>
      <vt:lpstr>PL_Int_Rev_H2_09</vt:lpstr>
      <vt:lpstr>PL_Int_Rev_H2_10</vt:lpstr>
      <vt:lpstr>PL_Int_Rev_H2_11</vt:lpstr>
      <vt:lpstr>PL_Int_Rev_H2_12</vt:lpstr>
      <vt:lpstr>PL_Int_Rev_H2_13</vt:lpstr>
      <vt:lpstr>PL_Int_Rev_H2_14</vt:lpstr>
      <vt:lpstr>PL_Int_Rev_H2_15</vt:lpstr>
      <vt:lpstr>PL_Int_Rev_H2_16</vt:lpstr>
      <vt:lpstr>PL_Int_Rev_H2_17</vt:lpstr>
      <vt:lpstr>PL_Int_Rev_H2_18</vt:lpstr>
      <vt:lpstr>PL_Int_Rev_H2_19</vt:lpstr>
      <vt:lpstr>PL_Int_Rev_H2_20</vt:lpstr>
      <vt:lpstr>PL_Leas_Rent_00</vt:lpstr>
      <vt:lpstr>PL_Leas_Rent_01</vt:lpstr>
      <vt:lpstr>PL_Leas_Rent_02</vt:lpstr>
      <vt:lpstr>PL_Leas_Rent_03</vt:lpstr>
      <vt:lpstr>PL_Leas_Rent_04</vt:lpstr>
      <vt:lpstr>PL_Leas_Rent_05</vt:lpstr>
      <vt:lpstr>PL_Leas_Rent_06</vt:lpstr>
      <vt:lpstr>PL_Leas_Rent_07</vt:lpstr>
      <vt:lpstr>PL_Leas_Rent_08</vt:lpstr>
      <vt:lpstr>PL_Leas_Rent_09</vt:lpstr>
      <vt:lpstr>PL_Leas_Rent_10</vt:lpstr>
      <vt:lpstr>PL_Leas_Rent_11</vt:lpstr>
      <vt:lpstr>PL_Leas_Rent_12</vt:lpstr>
      <vt:lpstr>PL_Leas_Rent_13</vt:lpstr>
      <vt:lpstr>PL_Leas_Rent_14</vt:lpstr>
      <vt:lpstr>PL_Leas_Rent_15</vt:lpstr>
      <vt:lpstr>PL_Leas_Rent_16</vt:lpstr>
      <vt:lpstr>PL_Leas_Rent_17</vt:lpstr>
      <vt:lpstr>PL_Leas_Rent_18</vt:lpstr>
      <vt:lpstr>PL_Leas_Rent_19</vt:lpstr>
      <vt:lpstr>PL_Leas_Rent_20</vt:lpstr>
      <vt:lpstr>PL_Leas_Rent_H1_00</vt:lpstr>
      <vt:lpstr>PL_Leas_Rent_H1_01</vt:lpstr>
      <vt:lpstr>PL_Leas_Rent_H1_02</vt:lpstr>
      <vt:lpstr>PL_Leas_Rent_H1_03</vt:lpstr>
      <vt:lpstr>PL_Leas_Rent_H1_04</vt:lpstr>
      <vt:lpstr>PL_Leas_Rent_H1_05</vt:lpstr>
      <vt:lpstr>PL_Leas_Rent_H1_06</vt:lpstr>
      <vt:lpstr>PL_Leas_Rent_H1_07</vt:lpstr>
      <vt:lpstr>PL_Leas_Rent_H1_08</vt:lpstr>
      <vt:lpstr>PL_Leas_Rent_H1_09</vt:lpstr>
      <vt:lpstr>PL_Leas_Rent_H1_10</vt:lpstr>
      <vt:lpstr>PL_Leas_Rent_H1_11</vt:lpstr>
      <vt:lpstr>PL_Leas_Rent_H1_12</vt:lpstr>
      <vt:lpstr>PL_Leas_Rent_H1_13</vt:lpstr>
      <vt:lpstr>PL_Leas_Rent_H1_14</vt:lpstr>
      <vt:lpstr>PL_Leas_Rent_H1_15</vt:lpstr>
      <vt:lpstr>PL_Leas_Rent_H1_16</vt:lpstr>
      <vt:lpstr>PL_Leas_Rent_H1_17</vt:lpstr>
      <vt:lpstr>PL_Leas_Rent_H1_18</vt:lpstr>
      <vt:lpstr>PL_Leas_Rent_H1_19</vt:lpstr>
      <vt:lpstr>PL_Leas_Rent_H1_20</vt:lpstr>
      <vt:lpstr>PL_Leas_Rent_H2_00</vt:lpstr>
      <vt:lpstr>PL_Leas_Rent_H2_01</vt:lpstr>
      <vt:lpstr>PL_Leas_Rent_H2_02</vt:lpstr>
      <vt:lpstr>PL_Leas_Rent_H2_03</vt:lpstr>
      <vt:lpstr>PL_Leas_Rent_H2_04</vt:lpstr>
      <vt:lpstr>PL_Leas_Rent_H2_05</vt:lpstr>
      <vt:lpstr>PL_Leas_Rent_H2_06</vt:lpstr>
      <vt:lpstr>PL_Leas_Rent_H2_07</vt:lpstr>
      <vt:lpstr>PL_Leas_Rent_H2_08</vt:lpstr>
      <vt:lpstr>PL_Leas_Rent_H2_09</vt:lpstr>
      <vt:lpstr>PL_Leas_Rent_H2_10</vt:lpstr>
      <vt:lpstr>PL_Leas_Rent_H2_11</vt:lpstr>
      <vt:lpstr>PL_Leas_Rent_H2_12</vt:lpstr>
      <vt:lpstr>PL_Leas_Rent_H2_13</vt:lpstr>
      <vt:lpstr>PL_Leas_Rent_H2_14</vt:lpstr>
      <vt:lpstr>PL_Leas_Rent_H2_15</vt:lpstr>
      <vt:lpstr>PL_Leas_Rent_H2_16</vt:lpstr>
      <vt:lpstr>PL_Leas_Rent_H2_17</vt:lpstr>
      <vt:lpstr>PL_Leas_Rent_H2_18</vt:lpstr>
      <vt:lpstr>PL_Leas_Rent_H2_19</vt:lpstr>
      <vt:lpstr>PL_Leas_Rent_H2_20</vt:lpstr>
      <vt:lpstr>PL_Minor_Intr_00</vt:lpstr>
      <vt:lpstr>PL_Minor_Intr_01</vt:lpstr>
      <vt:lpstr>PL_Minor_Intr_02</vt:lpstr>
      <vt:lpstr>PL_Minor_Intr_03</vt:lpstr>
      <vt:lpstr>PL_Minor_Intr_04</vt:lpstr>
      <vt:lpstr>PL_Minor_Intr_05</vt:lpstr>
      <vt:lpstr>PL_Minor_Intr_06</vt:lpstr>
      <vt:lpstr>PL_Minor_Intr_07</vt:lpstr>
      <vt:lpstr>PL_Minor_Intr_08</vt:lpstr>
      <vt:lpstr>PL_Minor_Intr_09</vt:lpstr>
      <vt:lpstr>PL_Minor_Intr_10</vt:lpstr>
      <vt:lpstr>PL_Minor_Intr_11</vt:lpstr>
      <vt:lpstr>PL_Minor_Intr_12</vt:lpstr>
      <vt:lpstr>PL_Minor_Intr_13</vt:lpstr>
      <vt:lpstr>PL_Minor_Intr_14</vt:lpstr>
      <vt:lpstr>PL_Minor_Intr_15</vt:lpstr>
      <vt:lpstr>PL_Minor_Intr_16</vt:lpstr>
      <vt:lpstr>PL_Minor_Intr_17</vt:lpstr>
      <vt:lpstr>PL_Minor_Intr_18</vt:lpstr>
      <vt:lpstr>PL_Minor_Intr_19</vt:lpstr>
      <vt:lpstr>PL_Minor_Intr_20</vt:lpstr>
      <vt:lpstr>PL_Minor_Intr_H1_00</vt:lpstr>
      <vt:lpstr>PL_Minor_Intr_H1_01</vt:lpstr>
      <vt:lpstr>PL_Minor_Intr_H1_02</vt:lpstr>
      <vt:lpstr>PL_Minor_Intr_H1_03</vt:lpstr>
      <vt:lpstr>PL_Minor_Intr_H1_04</vt:lpstr>
      <vt:lpstr>PL_Minor_Intr_H1_05</vt:lpstr>
      <vt:lpstr>PL_Minor_Intr_H1_06</vt:lpstr>
      <vt:lpstr>PL_Minor_Intr_H1_07</vt:lpstr>
      <vt:lpstr>PL_Minor_Intr_H1_08</vt:lpstr>
      <vt:lpstr>PL_Minor_Intr_H1_09</vt:lpstr>
      <vt:lpstr>PL_Minor_Intr_H1_10</vt:lpstr>
      <vt:lpstr>PL_Minor_Intr_H1_11</vt:lpstr>
      <vt:lpstr>PL_Minor_Intr_H1_12</vt:lpstr>
      <vt:lpstr>PL_Minor_Intr_H1_13</vt:lpstr>
      <vt:lpstr>PL_Minor_Intr_H1_14</vt:lpstr>
      <vt:lpstr>PL_Minor_Intr_H1_15</vt:lpstr>
      <vt:lpstr>PL_Minor_Intr_H1_16</vt:lpstr>
      <vt:lpstr>PL_Minor_Intr_H1_17</vt:lpstr>
      <vt:lpstr>PL_Minor_Intr_H1_18</vt:lpstr>
      <vt:lpstr>PL_Minor_Intr_H1_19</vt:lpstr>
      <vt:lpstr>PL_Minor_Intr_H1_20</vt:lpstr>
      <vt:lpstr>PL_Minor_Intr_H2_00</vt:lpstr>
      <vt:lpstr>PL_Minor_Intr_H2_01</vt:lpstr>
      <vt:lpstr>PL_Minor_Intr_H2_02</vt:lpstr>
      <vt:lpstr>PL_Minor_Intr_H2_03</vt:lpstr>
      <vt:lpstr>PL_Minor_Intr_H2_04</vt:lpstr>
      <vt:lpstr>PL_Minor_Intr_H2_05</vt:lpstr>
      <vt:lpstr>PL_Minor_Intr_H2_06</vt:lpstr>
      <vt:lpstr>PL_Minor_Intr_H2_07</vt:lpstr>
      <vt:lpstr>PL_Minor_Intr_H2_08</vt:lpstr>
      <vt:lpstr>PL_Minor_Intr_H2_09</vt:lpstr>
      <vt:lpstr>PL_Minor_Intr_H2_10</vt:lpstr>
      <vt:lpstr>PL_Minor_Intr_H2_11</vt:lpstr>
      <vt:lpstr>PL_Minor_Intr_H2_12</vt:lpstr>
      <vt:lpstr>PL_Minor_Intr_H2_13</vt:lpstr>
      <vt:lpstr>PL_Minor_Intr_H2_14</vt:lpstr>
      <vt:lpstr>PL_Minor_Intr_H2_15</vt:lpstr>
      <vt:lpstr>PL_Minor_Intr_H2_16</vt:lpstr>
      <vt:lpstr>PL_Minor_Intr_H2_17</vt:lpstr>
      <vt:lpstr>PL_Minor_Intr_H2_18</vt:lpstr>
      <vt:lpstr>PL_Minor_Intr_H2_19</vt:lpstr>
      <vt:lpstr>PL_Minor_Intr_H2_20</vt:lpstr>
      <vt:lpstr>PL_NCA_00</vt:lpstr>
      <vt:lpstr>PL_NCA_01</vt:lpstr>
      <vt:lpstr>PL_NCA_02</vt:lpstr>
      <vt:lpstr>PL_NCA_03</vt:lpstr>
      <vt:lpstr>PL_NCA_04</vt:lpstr>
      <vt:lpstr>PL_NCA_05</vt:lpstr>
      <vt:lpstr>PL_NCA_06</vt:lpstr>
      <vt:lpstr>PL_NCA_07</vt:lpstr>
      <vt:lpstr>PL_NCA_08</vt:lpstr>
      <vt:lpstr>PL_NCA_09</vt:lpstr>
      <vt:lpstr>PL_NCA_10</vt:lpstr>
      <vt:lpstr>PL_NCA_11</vt:lpstr>
      <vt:lpstr>PL_NCA_12</vt:lpstr>
      <vt:lpstr>PL_NCA_13</vt:lpstr>
      <vt:lpstr>PL_NCA_14</vt:lpstr>
      <vt:lpstr>PL_NCA_15</vt:lpstr>
      <vt:lpstr>PL_NCA_16</vt:lpstr>
      <vt:lpstr>PL_NCA_17</vt:lpstr>
      <vt:lpstr>PL_NCA_18</vt:lpstr>
      <vt:lpstr>PL_NCA_19</vt:lpstr>
      <vt:lpstr>PL_NCA_20</vt:lpstr>
      <vt:lpstr>PL_NCA_H1_00</vt:lpstr>
      <vt:lpstr>PL_NCA_H1_01</vt:lpstr>
      <vt:lpstr>PL_NCA_H1_02</vt:lpstr>
      <vt:lpstr>PL_NCA_H1_03</vt:lpstr>
      <vt:lpstr>PL_NCA_H1_04</vt:lpstr>
      <vt:lpstr>PL_NCA_H1_05</vt:lpstr>
      <vt:lpstr>PL_NCA_H1_06</vt:lpstr>
      <vt:lpstr>PL_NCA_H1_07</vt:lpstr>
      <vt:lpstr>PL_NCA_H1_08</vt:lpstr>
      <vt:lpstr>PL_NCA_H1_09</vt:lpstr>
      <vt:lpstr>PL_NCA_H1_10</vt:lpstr>
      <vt:lpstr>PL_NCA_H1_11</vt:lpstr>
      <vt:lpstr>PL_NCA_H1_12</vt:lpstr>
      <vt:lpstr>PL_NCA_H1_13</vt:lpstr>
      <vt:lpstr>PL_NCA_H1_14</vt:lpstr>
      <vt:lpstr>PL_NCA_H1_15</vt:lpstr>
      <vt:lpstr>PL_NCA_H1_16</vt:lpstr>
      <vt:lpstr>PL_NCA_H1_17</vt:lpstr>
      <vt:lpstr>PL_NCA_H1_18</vt:lpstr>
      <vt:lpstr>PL_NCA_H1_19</vt:lpstr>
      <vt:lpstr>PL_NCA_H1_20</vt:lpstr>
      <vt:lpstr>PL_NCA_H2_00</vt:lpstr>
      <vt:lpstr>PL_NCA_H2_01</vt:lpstr>
      <vt:lpstr>PL_NCA_H2_02</vt:lpstr>
      <vt:lpstr>PL_NCA_H2_03</vt:lpstr>
      <vt:lpstr>PL_NCA_H2_04</vt:lpstr>
      <vt:lpstr>PL_NCA_H2_05</vt:lpstr>
      <vt:lpstr>PL_NCA_H2_06</vt:lpstr>
      <vt:lpstr>PL_NCA_H2_07</vt:lpstr>
      <vt:lpstr>PL_NCA_H2_08</vt:lpstr>
      <vt:lpstr>PL_NCA_H2_09</vt:lpstr>
      <vt:lpstr>PL_NCA_H2_10</vt:lpstr>
      <vt:lpstr>PL_NCA_H2_11</vt:lpstr>
      <vt:lpstr>PL_NCA_H2_12</vt:lpstr>
      <vt:lpstr>PL_NCA_H2_13</vt:lpstr>
      <vt:lpstr>PL_NCA_H2_14</vt:lpstr>
      <vt:lpstr>PL_NCA_H2_15</vt:lpstr>
      <vt:lpstr>PL_NCA_H2_16</vt:lpstr>
      <vt:lpstr>PL_NCA_H2_17</vt:lpstr>
      <vt:lpstr>PL_NCA_H2_18</vt:lpstr>
      <vt:lpstr>PL_NCA_H2_19</vt:lpstr>
      <vt:lpstr>PL_NCA_H2_20</vt:lpstr>
      <vt:lpstr>PL_NEPS_00</vt:lpstr>
      <vt:lpstr>PL_NEPS_01</vt:lpstr>
      <vt:lpstr>PL_NEPS_02</vt:lpstr>
      <vt:lpstr>PL_NEPS_03</vt:lpstr>
      <vt:lpstr>PL_NEPS_04</vt:lpstr>
      <vt:lpstr>PL_NEPS_05</vt:lpstr>
      <vt:lpstr>PL_NEPS_06</vt:lpstr>
      <vt:lpstr>PL_NEPS_07</vt:lpstr>
      <vt:lpstr>PL_NEPS_08</vt:lpstr>
      <vt:lpstr>PL_NEPS_09</vt:lpstr>
      <vt:lpstr>PL_NEPS_10</vt:lpstr>
      <vt:lpstr>PL_NEPS_11</vt:lpstr>
      <vt:lpstr>PL_NEPS_12</vt:lpstr>
      <vt:lpstr>PL_NEPS_13</vt:lpstr>
      <vt:lpstr>PL_NEPS_14</vt:lpstr>
      <vt:lpstr>PL_NEPS_15</vt:lpstr>
      <vt:lpstr>PL_NEPS_16</vt:lpstr>
      <vt:lpstr>PL_NEPS_17</vt:lpstr>
      <vt:lpstr>PL_NEPS_18</vt:lpstr>
      <vt:lpstr>PL_NEPS_19</vt:lpstr>
      <vt:lpstr>PL_NEPS_20</vt:lpstr>
      <vt:lpstr>PL_NEPS_H1_00</vt:lpstr>
      <vt:lpstr>PL_NEPS_H1_01</vt:lpstr>
      <vt:lpstr>PL_NEPS_H1_02</vt:lpstr>
      <vt:lpstr>PL_NEPS_H1_03</vt:lpstr>
      <vt:lpstr>PL_NEPS_H1_04</vt:lpstr>
      <vt:lpstr>PL_NEPS_H1_05</vt:lpstr>
      <vt:lpstr>PL_NEPS_H1_06</vt:lpstr>
      <vt:lpstr>PL_NEPS_H1_07</vt:lpstr>
      <vt:lpstr>PL_NEPS_H1_08</vt:lpstr>
      <vt:lpstr>PL_NEPS_H1_09</vt:lpstr>
      <vt:lpstr>PL_NEPS_H1_10</vt:lpstr>
      <vt:lpstr>PL_NEPS_H1_11</vt:lpstr>
      <vt:lpstr>PL_NEPS_H1_12</vt:lpstr>
      <vt:lpstr>PL_NEPS_H1_13</vt:lpstr>
      <vt:lpstr>PL_NEPS_H1_14</vt:lpstr>
      <vt:lpstr>PL_NEPS_H1_15</vt:lpstr>
      <vt:lpstr>PL_NEPS_H1_16</vt:lpstr>
      <vt:lpstr>PL_NEPS_H1_17</vt:lpstr>
      <vt:lpstr>PL_NEPS_H1_18</vt:lpstr>
      <vt:lpstr>PL_NEPS_H1_19</vt:lpstr>
      <vt:lpstr>PL_NEPS_H1_20</vt:lpstr>
      <vt:lpstr>PL_NEPS_H2_00</vt:lpstr>
      <vt:lpstr>PL_NEPS_H2_01</vt:lpstr>
      <vt:lpstr>PL_NEPS_H2_02</vt:lpstr>
      <vt:lpstr>PL_NEPS_H2_03</vt:lpstr>
      <vt:lpstr>PL_NEPS_H2_04</vt:lpstr>
      <vt:lpstr>PL_NEPS_H2_05</vt:lpstr>
      <vt:lpstr>PL_NEPS_H2_06</vt:lpstr>
      <vt:lpstr>PL_NEPS_H2_07</vt:lpstr>
      <vt:lpstr>PL_NEPS_H2_08</vt:lpstr>
      <vt:lpstr>PL_NEPS_H2_09</vt:lpstr>
      <vt:lpstr>PL_NEPS_H2_10</vt:lpstr>
      <vt:lpstr>PL_NEPS_H2_11</vt:lpstr>
      <vt:lpstr>PL_NEPS_H2_12</vt:lpstr>
      <vt:lpstr>PL_NEPS_H2_13</vt:lpstr>
      <vt:lpstr>PL_NEPS_H2_14</vt:lpstr>
      <vt:lpstr>PL_NEPS_H2_15</vt:lpstr>
      <vt:lpstr>PL_NEPS_H2_16</vt:lpstr>
      <vt:lpstr>PL_NEPS_H2_17</vt:lpstr>
      <vt:lpstr>PL_NEPS_H2_18</vt:lpstr>
      <vt:lpstr>PL_NEPS_H2_19</vt:lpstr>
      <vt:lpstr>PL_NEPS_H2_20</vt:lpstr>
      <vt:lpstr>PL_NPAT_05</vt:lpstr>
      <vt:lpstr>PL_NPAT_06</vt:lpstr>
      <vt:lpstr>PL_NPAT_07</vt:lpstr>
      <vt:lpstr>PL_NPAT_08</vt:lpstr>
      <vt:lpstr>PL_NPAT_09</vt:lpstr>
      <vt:lpstr>PL_NPAT_10</vt:lpstr>
      <vt:lpstr>PL_NPAT_11</vt:lpstr>
      <vt:lpstr>PL_NPAT_12</vt:lpstr>
      <vt:lpstr>PL_NPAT_13</vt:lpstr>
      <vt:lpstr>PL_NPAT_14</vt:lpstr>
      <vt:lpstr>PL_NPAT_15</vt:lpstr>
      <vt:lpstr>PL_NPAT_16</vt:lpstr>
      <vt:lpstr>PL_NPAT_17</vt:lpstr>
      <vt:lpstr>PL_NPAT_18</vt:lpstr>
      <vt:lpstr>PL_NPAT_19</vt:lpstr>
      <vt:lpstr>PL_NPAT_20</vt:lpstr>
      <vt:lpstr>PL_NPAT_att_00</vt:lpstr>
      <vt:lpstr>PL_NPAT_att_01</vt:lpstr>
      <vt:lpstr>PL_NPAT_att_02</vt:lpstr>
      <vt:lpstr>PL_NPAT_att_03</vt:lpstr>
      <vt:lpstr>PL_NPAT_att_04</vt:lpstr>
      <vt:lpstr>PL_NPAT_att_05</vt:lpstr>
      <vt:lpstr>PL_NPAT_att_06</vt:lpstr>
      <vt:lpstr>PL_NPAT_att_07</vt:lpstr>
      <vt:lpstr>PL_NPAT_att_08</vt:lpstr>
      <vt:lpstr>PL_NPAT_att_09</vt:lpstr>
      <vt:lpstr>PL_NPAT_att_10</vt:lpstr>
      <vt:lpstr>PL_NPAT_att_11</vt:lpstr>
      <vt:lpstr>PL_NPAT_att_12</vt:lpstr>
      <vt:lpstr>PL_NPAT_att_13</vt:lpstr>
      <vt:lpstr>PL_NPAT_att_14</vt:lpstr>
      <vt:lpstr>PL_NPAT_att_15</vt:lpstr>
      <vt:lpstr>PL_NPAT_att_16</vt:lpstr>
      <vt:lpstr>PL_NPAT_att_17</vt:lpstr>
      <vt:lpstr>PL_NPAT_att_18</vt:lpstr>
      <vt:lpstr>PL_NPAT_att_19</vt:lpstr>
      <vt:lpstr>PL_NPAT_att_20</vt:lpstr>
      <vt:lpstr>PL_NPAT_att_H1_00</vt:lpstr>
      <vt:lpstr>PL_NPAT_att_H1_01</vt:lpstr>
      <vt:lpstr>PL_NPAT_att_H1_02</vt:lpstr>
      <vt:lpstr>PL_NPAT_att_H1_03</vt:lpstr>
      <vt:lpstr>PL_NPAT_att_H1_04</vt:lpstr>
      <vt:lpstr>PL_NPAT_att_H1_05</vt:lpstr>
      <vt:lpstr>PL_NPAT_att_H1_06</vt:lpstr>
      <vt:lpstr>PL_NPAT_att_H1_07</vt:lpstr>
      <vt:lpstr>PL_NPAT_att_H1_08</vt:lpstr>
      <vt:lpstr>PL_NPAT_att_H1_09</vt:lpstr>
      <vt:lpstr>PL_NPAT_att_H1_10</vt:lpstr>
      <vt:lpstr>PL_NPAT_att_H1_11</vt:lpstr>
      <vt:lpstr>PL_NPAT_att_H1_12</vt:lpstr>
      <vt:lpstr>PL_NPAT_att_H1_13</vt:lpstr>
      <vt:lpstr>PL_NPAT_att_H1_14</vt:lpstr>
      <vt:lpstr>PL_NPAT_att_H1_15</vt:lpstr>
      <vt:lpstr>PL_NPAT_att_H1_16</vt:lpstr>
      <vt:lpstr>PL_NPAT_att_H1_17</vt:lpstr>
      <vt:lpstr>PL_NPAT_att_H1_18</vt:lpstr>
      <vt:lpstr>PL_NPAT_att_H1_19</vt:lpstr>
      <vt:lpstr>PL_NPAT_att_H1_20</vt:lpstr>
      <vt:lpstr>PL_NPAT_att_H2_00</vt:lpstr>
      <vt:lpstr>PL_NPAT_att_H2_01</vt:lpstr>
      <vt:lpstr>PL_NPAT_att_H2_02</vt:lpstr>
      <vt:lpstr>PL_NPAT_att_H2_03</vt:lpstr>
      <vt:lpstr>PL_NPAT_att_H2_04</vt:lpstr>
      <vt:lpstr>PL_NPAT_att_H2_05</vt:lpstr>
      <vt:lpstr>PL_NPAT_att_H2_06</vt:lpstr>
      <vt:lpstr>PL_NPAT_att_H2_07</vt:lpstr>
      <vt:lpstr>PL_NPAT_att_H2_08</vt:lpstr>
      <vt:lpstr>PL_NPAT_att_H2_09</vt:lpstr>
      <vt:lpstr>PL_NPAT_att_H2_10</vt:lpstr>
      <vt:lpstr>PL_NPAT_att_H2_11</vt:lpstr>
      <vt:lpstr>PL_NPAT_att_H2_12</vt:lpstr>
      <vt:lpstr>PL_NPAT_att_H2_13</vt:lpstr>
      <vt:lpstr>PL_NPAT_att_H2_14</vt:lpstr>
      <vt:lpstr>PL_NPAT_att_H2_15</vt:lpstr>
      <vt:lpstr>PL_NPAT_att_H2_16</vt:lpstr>
      <vt:lpstr>PL_NPAT_att_H2_17</vt:lpstr>
      <vt:lpstr>PL_NPAT_att_H2_18</vt:lpstr>
      <vt:lpstr>PL_NPAT_att_H2_19</vt:lpstr>
      <vt:lpstr>PL_NPAT_att_H2_20</vt:lpstr>
      <vt:lpstr>PL_NPAT_H1_00</vt:lpstr>
      <vt:lpstr>PL_NPAT_H1_01</vt:lpstr>
      <vt:lpstr>PL_NPAT_H1_02</vt:lpstr>
      <vt:lpstr>PL_NPAT_H1_03</vt:lpstr>
      <vt:lpstr>PL_NPAT_H1_04</vt:lpstr>
      <vt:lpstr>PL_NPAT_H1_05</vt:lpstr>
      <vt:lpstr>PL_NPAT_H1_06</vt:lpstr>
      <vt:lpstr>PL_NPAT_H1_07</vt:lpstr>
      <vt:lpstr>PL_NPAT_H1_08</vt:lpstr>
      <vt:lpstr>PL_NPAT_H1_09</vt:lpstr>
      <vt:lpstr>PL_NPAT_H1_10</vt:lpstr>
      <vt:lpstr>PL_NPAT_H1_11</vt:lpstr>
      <vt:lpstr>PL_NPAT_H1_12</vt:lpstr>
      <vt:lpstr>PL_NPAT_H1_13</vt:lpstr>
      <vt:lpstr>PL_NPAT_H1_14</vt:lpstr>
      <vt:lpstr>PL_NPAT_H1_15</vt:lpstr>
      <vt:lpstr>PL_NPAT_H1_16</vt:lpstr>
      <vt:lpstr>PL_NPAT_H1_17</vt:lpstr>
      <vt:lpstr>PL_NPAT_H1_18</vt:lpstr>
      <vt:lpstr>PL_NPAT_H1_19</vt:lpstr>
      <vt:lpstr>PL_NPAT_H1_20</vt:lpstr>
      <vt:lpstr>PL_NPAT_H2_00</vt:lpstr>
      <vt:lpstr>PL_NPAT_H2_01</vt:lpstr>
      <vt:lpstr>PL_NPAT_H2_02</vt:lpstr>
      <vt:lpstr>PL_NPAT_H2_03</vt:lpstr>
      <vt:lpstr>PL_NPAT_H2_04</vt:lpstr>
      <vt:lpstr>PL_NPAT_H2_05</vt:lpstr>
      <vt:lpstr>PL_NPAT_H2_06</vt:lpstr>
      <vt:lpstr>PL_NPAT_H2_07</vt:lpstr>
      <vt:lpstr>PL_NPAT_H2_08</vt:lpstr>
      <vt:lpstr>PL_NPAT_H2_09</vt:lpstr>
      <vt:lpstr>PL_NPAT_H2_10</vt:lpstr>
      <vt:lpstr>PL_NPAT_H2_11</vt:lpstr>
      <vt:lpstr>PL_NPAT_H2_12</vt:lpstr>
      <vt:lpstr>PL_NPAT_H2_13</vt:lpstr>
      <vt:lpstr>PL_NPAT_H2_14</vt:lpstr>
      <vt:lpstr>PL_NPAT_H2_15</vt:lpstr>
      <vt:lpstr>PL_NPAT_H2_16</vt:lpstr>
      <vt:lpstr>PL_NPAT_H2_17</vt:lpstr>
      <vt:lpstr>PL_NPAT_H2_18</vt:lpstr>
      <vt:lpstr>PL_NPAT_H2_19</vt:lpstr>
      <vt:lpstr>PL_NPAT_H2_20</vt:lpstr>
      <vt:lpstr>PL_NPAT_N_00</vt:lpstr>
      <vt:lpstr>PL_NPAT_N_01</vt:lpstr>
      <vt:lpstr>PL_NPAT_N_02</vt:lpstr>
      <vt:lpstr>PL_NPAT_N_03</vt:lpstr>
      <vt:lpstr>PL_NPAT_N_04</vt:lpstr>
      <vt:lpstr>PL_NPAT_N_05</vt:lpstr>
      <vt:lpstr>PL_NPAT_N_06</vt:lpstr>
      <vt:lpstr>PL_NPAT_N_07</vt:lpstr>
      <vt:lpstr>PL_NPAT_N_08</vt:lpstr>
      <vt:lpstr>PL_NPAT_N_09</vt:lpstr>
      <vt:lpstr>PL_NPAT_N_10</vt:lpstr>
      <vt:lpstr>PL_NPAT_N_11</vt:lpstr>
      <vt:lpstr>PL_NPAT_N_12</vt:lpstr>
      <vt:lpstr>PL_NPAT_N_13</vt:lpstr>
      <vt:lpstr>PL_NPAT_N_14</vt:lpstr>
      <vt:lpstr>PL_NPAT_N_15</vt:lpstr>
      <vt:lpstr>PL_NPAT_N_16</vt:lpstr>
      <vt:lpstr>PL_NPAT_N_17</vt:lpstr>
      <vt:lpstr>PL_NPAT_N_18</vt:lpstr>
      <vt:lpstr>PL_NPAT_N_19</vt:lpstr>
      <vt:lpstr>PL_NPAT_N_20</vt:lpstr>
      <vt:lpstr>PL_NPAT_N_H1_00</vt:lpstr>
      <vt:lpstr>PL_NPAT_N_H1_01</vt:lpstr>
      <vt:lpstr>PL_NPAT_N_H1_02</vt:lpstr>
      <vt:lpstr>PL_NPAT_N_H1_03</vt:lpstr>
      <vt:lpstr>PL_NPAT_N_H1_04</vt:lpstr>
      <vt:lpstr>PL_NPAT_N_H1_05</vt:lpstr>
      <vt:lpstr>PL_NPAT_N_H1_06</vt:lpstr>
      <vt:lpstr>PL_NPAT_N_H1_07</vt:lpstr>
      <vt:lpstr>PL_NPAT_N_H1_08</vt:lpstr>
      <vt:lpstr>PL_NPAT_N_H1_09</vt:lpstr>
      <vt:lpstr>PL_NPAT_N_H1_10</vt:lpstr>
      <vt:lpstr>PL_NPAT_N_H1_11</vt:lpstr>
      <vt:lpstr>PL_NPAT_N_H1_12</vt:lpstr>
      <vt:lpstr>PL_NPAT_N_H1_13</vt:lpstr>
      <vt:lpstr>PL_NPAT_N_H1_14</vt:lpstr>
      <vt:lpstr>PL_NPAT_N_H1_15</vt:lpstr>
      <vt:lpstr>PL_NPAT_N_H1_16</vt:lpstr>
      <vt:lpstr>PL_NPAT_N_H1_17</vt:lpstr>
      <vt:lpstr>PL_NPAT_N_H1_18</vt:lpstr>
      <vt:lpstr>PL_NPAT_N_H1_19</vt:lpstr>
      <vt:lpstr>PL_NPAT_N_H1_20</vt:lpstr>
      <vt:lpstr>PL_NPAT_N_H2_00</vt:lpstr>
      <vt:lpstr>PL_NPAT_N_H2_01</vt:lpstr>
      <vt:lpstr>PL_NPAT_N_H2_02</vt:lpstr>
      <vt:lpstr>PL_NPAT_N_H2_03</vt:lpstr>
      <vt:lpstr>PL_NPAT_N_H2_04</vt:lpstr>
      <vt:lpstr>PL_NPAT_N_H2_05</vt:lpstr>
      <vt:lpstr>PL_NPAT_N_H2_06</vt:lpstr>
      <vt:lpstr>PL_NPAT_N_H2_07</vt:lpstr>
      <vt:lpstr>PL_NPAT_N_H2_08</vt:lpstr>
      <vt:lpstr>PL_NPAT_N_H2_09</vt:lpstr>
      <vt:lpstr>PL_NPAT_N_H2_10</vt:lpstr>
      <vt:lpstr>PL_NPAT_N_H2_11</vt:lpstr>
      <vt:lpstr>PL_NPAT_N_H2_12</vt:lpstr>
      <vt:lpstr>PL_NPAT_N_H2_13</vt:lpstr>
      <vt:lpstr>PL_NPAT_N_H2_14</vt:lpstr>
      <vt:lpstr>PL_NPAT_N_H2_15</vt:lpstr>
      <vt:lpstr>PL_NPAT_N_H2_16</vt:lpstr>
      <vt:lpstr>PL_NPAT_N_H2_17</vt:lpstr>
      <vt:lpstr>PL_NPAT_N_H2_18</vt:lpstr>
      <vt:lpstr>PL_NPAT_N_H2_19</vt:lpstr>
      <vt:lpstr>PL_NPAT_N_H2_20</vt:lpstr>
      <vt:lpstr>PL_ODPS_00</vt:lpstr>
      <vt:lpstr>PL_ODPS_01</vt:lpstr>
      <vt:lpstr>PL_ODPS_02</vt:lpstr>
      <vt:lpstr>PL_ODPS_03</vt:lpstr>
      <vt:lpstr>PL_ODPS_04</vt:lpstr>
      <vt:lpstr>PL_ODPS_05</vt:lpstr>
      <vt:lpstr>PL_ODPS_06</vt:lpstr>
      <vt:lpstr>PL_ODPS_07</vt:lpstr>
      <vt:lpstr>PL_ODPS_08</vt:lpstr>
      <vt:lpstr>PL_ODPS_09</vt:lpstr>
      <vt:lpstr>PL_ODPS_10</vt:lpstr>
      <vt:lpstr>PL_ODPS_11</vt:lpstr>
      <vt:lpstr>PL_ODPS_12</vt:lpstr>
      <vt:lpstr>PL_ODPS_13</vt:lpstr>
      <vt:lpstr>PL_ODPS_14</vt:lpstr>
      <vt:lpstr>PL_ODPS_15</vt:lpstr>
      <vt:lpstr>PL_ODPS_16</vt:lpstr>
      <vt:lpstr>PL_ODPS_17</vt:lpstr>
      <vt:lpstr>PL_ODPS_18</vt:lpstr>
      <vt:lpstr>PL_ODPS_19</vt:lpstr>
      <vt:lpstr>PL_ODPS_20</vt:lpstr>
      <vt:lpstr>PL_ODPS_H1_00</vt:lpstr>
      <vt:lpstr>PL_ODPS_H1_01</vt:lpstr>
      <vt:lpstr>PL_ODPS_H1_02</vt:lpstr>
      <vt:lpstr>PL_ODPS_H1_03</vt:lpstr>
      <vt:lpstr>PL_ODPS_H1_04</vt:lpstr>
      <vt:lpstr>PL_ODPS_H1_05</vt:lpstr>
      <vt:lpstr>PL_ODPS_H1_06</vt:lpstr>
      <vt:lpstr>PL_ODPS_H1_07</vt:lpstr>
      <vt:lpstr>PL_ODPS_H1_08</vt:lpstr>
      <vt:lpstr>PL_ODPS_H1_09</vt:lpstr>
      <vt:lpstr>PL_ODPS_H1_10</vt:lpstr>
      <vt:lpstr>PL_ODPS_H1_11</vt:lpstr>
      <vt:lpstr>PL_ODPS_H1_12</vt:lpstr>
      <vt:lpstr>PL_ODPS_H1_13</vt:lpstr>
      <vt:lpstr>PL_ODPS_H1_14</vt:lpstr>
      <vt:lpstr>PL_ODPS_H1_15</vt:lpstr>
      <vt:lpstr>PL_ODPS_H1_16</vt:lpstr>
      <vt:lpstr>PL_ODPS_H1_17</vt:lpstr>
      <vt:lpstr>PL_ODPS_H1_18</vt:lpstr>
      <vt:lpstr>PL_ODPS_H1_19</vt:lpstr>
      <vt:lpstr>PL_ODPS_H1_20</vt:lpstr>
      <vt:lpstr>PL_ODPS_H2_00</vt:lpstr>
      <vt:lpstr>PL_ODPS_H2_01</vt:lpstr>
      <vt:lpstr>PL_ODPS_H2_02</vt:lpstr>
      <vt:lpstr>PL_ODPS_H2_03</vt:lpstr>
      <vt:lpstr>PL_ODPS_H2_04</vt:lpstr>
      <vt:lpstr>PL_ODPS_H2_05</vt:lpstr>
      <vt:lpstr>PL_ODPS_H2_06</vt:lpstr>
      <vt:lpstr>PL_ODPS_H2_07</vt:lpstr>
      <vt:lpstr>PL_ODPS_H2_08</vt:lpstr>
      <vt:lpstr>PL_ODPS_H2_09</vt:lpstr>
      <vt:lpstr>PL_ODPS_H2_10</vt:lpstr>
      <vt:lpstr>PL_ODPS_H2_11</vt:lpstr>
      <vt:lpstr>PL_ODPS_H2_12</vt:lpstr>
      <vt:lpstr>PL_ODPS_H2_13</vt:lpstr>
      <vt:lpstr>PL_ODPS_H2_14</vt:lpstr>
      <vt:lpstr>PL_ODPS_H2_15</vt:lpstr>
      <vt:lpstr>PL_ODPS_H2_16</vt:lpstr>
      <vt:lpstr>PL_ODPS_H2_17</vt:lpstr>
      <vt:lpstr>PL_ODPS_H2_18</vt:lpstr>
      <vt:lpstr>PL_ODPS_H2_19</vt:lpstr>
      <vt:lpstr>PL_ODPS_H2_20</vt:lpstr>
      <vt:lpstr>PL_Oth_OpRev_00</vt:lpstr>
      <vt:lpstr>PL_Oth_OpRev_01</vt:lpstr>
      <vt:lpstr>PL_Oth_OpRev_02</vt:lpstr>
      <vt:lpstr>PL_Oth_OpRev_03</vt:lpstr>
      <vt:lpstr>PL_Oth_OpRev_04</vt:lpstr>
      <vt:lpstr>PL_Oth_OpRev_05</vt:lpstr>
      <vt:lpstr>PL_Oth_OpRev_06</vt:lpstr>
      <vt:lpstr>PL_Oth_OpRev_07</vt:lpstr>
      <vt:lpstr>PL_Oth_OpRev_08</vt:lpstr>
      <vt:lpstr>PL_Oth_OpRev_09</vt:lpstr>
      <vt:lpstr>PL_Oth_OpRev_10</vt:lpstr>
      <vt:lpstr>PL_Oth_OpRev_11</vt:lpstr>
      <vt:lpstr>PL_Oth_OpRev_12</vt:lpstr>
      <vt:lpstr>PL_Oth_OpRev_13</vt:lpstr>
      <vt:lpstr>PL_Oth_OpRev_14</vt:lpstr>
      <vt:lpstr>PL_Oth_OpRev_15</vt:lpstr>
      <vt:lpstr>PL_Oth_OpRev_16</vt:lpstr>
      <vt:lpstr>PL_Oth_OpRev_17</vt:lpstr>
      <vt:lpstr>PL_Oth_OpRev_18</vt:lpstr>
      <vt:lpstr>PL_Oth_OpRev_19</vt:lpstr>
      <vt:lpstr>PL_Oth_OpRev_20</vt:lpstr>
      <vt:lpstr>PL_Oth_OpRev_H1_00</vt:lpstr>
      <vt:lpstr>PL_Oth_OpRev_H1_01</vt:lpstr>
      <vt:lpstr>PL_Oth_OpRev_H1_02</vt:lpstr>
      <vt:lpstr>PL_Oth_OpRev_H1_04</vt:lpstr>
      <vt:lpstr>PL_Oth_OpRev_H1_05</vt:lpstr>
      <vt:lpstr>PL_Oth_OpRev_H1_06</vt:lpstr>
      <vt:lpstr>PL_Oth_OpRev_H1_07</vt:lpstr>
      <vt:lpstr>PL_Oth_OpRev_H1_08</vt:lpstr>
      <vt:lpstr>PL_Oth_OpRev_H1_09</vt:lpstr>
      <vt:lpstr>PL_Oth_OpRev_H1_10</vt:lpstr>
      <vt:lpstr>PL_Oth_OpRev_H1_11</vt:lpstr>
      <vt:lpstr>PL_Oth_OpRev_H1_12</vt:lpstr>
      <vt:lpstr>PL_Oth_OpRev_H1_13</vt:lpstr>
      <vt:lpstr>PL_Oth_OpRev_H1_14</vt:lpstr>
      <vt:lpstr>PL_Oth_OpRev_H1_15</vt:lpstr>
      <vt:lpstr>PL_Oth_OpRev_H1_16</vt:lpstr>
      <vt:lpstr>PL_Oth_OpRev_H1_17</vt:lpstr>
      <vt:lpstr>PL_Oth_OpRev_H1_18</vt:lpstr>
      <vt:lpstr>PL_Oth_OpRev_H1_19</vt:lpstr>
      <vt:lpstr>PL_Oth_OpRev_H1_20</vt:lpstr>
      <vt:lpstr>PL_Oth_OpRev_H2_00</vt:lpstr>
      <vt:lpstr>PL_Oth_OpRev_H2_01</vt:lpstr>
      <vt:lpstr>PL_Oth_OpRev_H2_02</vt:lpstr>
      <vt:lpstr>PL_Oth_OpRev_H2_04</vt:lpstr>
      <vt:lpstr>PL_Oth_OpRev_H2_05</vt:lpstr>
      <vt:lpstr>PL_Oth_OpRev_H2_06</vt:lpstr>
      <vt:lpstr>PL_Oth_OpRev_H2_07</vt:lpstr>
      <vt:lpstr>PL_Oth_OpRev_H2_08</vt:lpstr>
      <vt:lpstr>PL_Oth_OpRev_H2_09</vt:lpstr>
      <vt:lpstr>PL_Oth_OpRev_H2_10</vt:lpstr>
      <vt:lpstr>PL_Oth_OpRev_H2_11</vt:lpstr>
      <vt:lpstr>PL_Oth_OpRev_H2_12</vt:lpstr>
      <vt:lpstr>PL_Oth_OpRev_H2_13</vt:lpstr>
      <vt:lpstr>PL_Oth_OpRev_H2_14</vt:lpstr>
      <vt:lpstr>PL_Oth_OpRev_H2_15</vt:lpstr>
      <vt:lpstr>PL_Oth_OpRev_H2_16</vt:lpstr>
      <vt:lpstr>PL_Oth_OpRev_H2_17</vt:lpstr>
      <vt:lpstr>PL_Oth_OpRev_H2_18</vt:lpstr>
      <vt:lpstr>PL_Oth_OpRev_H2_19</vt:lpstr>
      <vt:lpstr>PL_Oth_OpRev_H2_20</vt:lpstr>
      <vt:lpstr>PL_Other_00</vt:lpstr>
      <vt:lpstr>PL_Other_01</vt:lpstr>
      <vt:lpstr>PL_Other_02</vt:lpstr>
      <vt:lpstr>PL_Other_03</vt:lpstr>
      <vt:lpstr>PL_Other_04</vt:lpstr>
      <vt:lpstr>PL_Other_05</vt:lpstr>
      <vt:lpstr>PL_Other_06</vt:lpstr>
      <vt:lpstr>PL_Other_07</vt:lpstr>
      <vt:lpstr>PL_Other_08</vt:lpstr>
      <vt:lpstr>PL_Other_09</vt:lpstr>
      <vt:lpstr>PL_Other_10</vt:lpstr>
      <vt:lpstr>PL_Other_11</vt:lpstr>
      <vt:lpstr>PL_Other_12</vt:lpstr>
      <vt:lpstr>PL_Other_13</vt:lpstr>
      <vt:lpstr>PL_Other_14</vt:lpstr>
      <vt:lpstr>PL_Other_15</vt:lpstr>
      <vt:lpstr>PL_Other_16</vt:lpstr>
      <vt:lpstr>PL_Other_17</vt:lpstr>
      <vt:lpstr>PL_Other_18</vt:lpstr>
      <vt:lpstr>PL_Other_19</vt:lpstr>
      <vt:lpstr>PL_Other_20</vt:lpstr>
      <vt:lpstr>PL_Other_H1_00</vt:lpstr>
      <vt:lpstr>PL_Other_H1_01</vt:lpstr>
      <vt:lpstr>PL_Other_H1_02</vt:lpstr>
      <vt:lpstr>PL_Other_H1_04</vt:lpstr>
      <vt:lpstr>PL_Other_H1_05</vt:lpstr>
      <vt:lpstr>PL_Other_H1_06</vt:lpstr>
      <vt:lpstr>PL_Other_H1_07</vt:lpstr>
      <vt:lpstr>PL_Other_H1_08</vt:lpstr>
      <vt:lpstr>PL_Other_H1_09</vt:lpstr>
      <vt:lpstr>PL_Other_H1_10</vt:lpstr>
      <vt:lpstr>PL_Other_H1_11</vt:lpstr>
      <vt:lpstr>PL_Other_H1_12</vt:lpstr>
      <vt:lpstr>PL_Other_H1_13</vt:lpstr>
      <vt:lpstr>PL_Other_H1_14</vt:lpstr>
      <vt:lpstr>PL_Other_H1_15</vt:lpstr>
      <vt:lpstr>PL_Other_H1_16</vt:lpstr>
      <vt:lpstr>PL_Other_H1_17</vt:lpstr>
      <vt:lpstr>PL_Other_H1_18</vt:lpstr>
      <vt:lpstr>PL_Other_H1_19</vt:lpstr>
      <vt:lpstr>PL_Other_H1_20</vt:lpstr>
      <vt:lpstr>PL_Other_H2_00</vt:lpstr>
      <vt:lpstr>PL_Other_H2_01</vt:lpstr>
      <vt:lpstr>PL_Other_H2_02</vt:lpstr>
      <vt:lpstr>PL_Other_H2_04</vt:lpstr>
      <vt:lpstr>PL_Other_H2_05</vt:lpstr>
      <vt:lpstr>PL_Other_H2_06</vt:lpstr>
      <vt:lpstr>PL_Other_H2_07</vt:lpstr>
      <vt:lpstr>PL_Other_H2_08</vt:lpstr>
      <vt:lpstr>PL_Other_H2_09</vt:lpstr>
      <vt:lpstr>PL_Other_H2_10</vt:lpstr>
      <vt:lpstr>PL_Other_H2_11</vt:lpstr>
      <vt:lpstr>PL_Other_H2_12</vt:lpstr>
      <vt:lpstr>PL_Other_H2_13</vt:lpstr>
      <vt:lpstr>PL_Other_H2_14</vt:lpstr>
      <vt:lpstr>PL_Other_H2_15</vt:lpstr>
      <vt:lpstr>PL_Other_H2_16</vt:lpstr>
      <vt:lpstr>PL_Other_H2_17</vt:lpstr>
      <vt:lpstr>PL_Other_H2_18</vt:lpstr>
      <vt:lpstr>PL_Other_H2_19</vt:lpstr>
      <vt:lpstr>PL_Other_H2_20</vt:lpstr>
      <vt:lpstr>PL_Other_Rev_00</vt:lpstr>
      <vt:lpstr>PL_Other_Rev_01</vt:lpstr>
      <vt:lpstr>PL_Other_Rev_02</vt:lpstr>
      <vt:lpstr>PL_Other_Rev_03</vt:lpstr>
      <vt:lpstr>PL_Other_Rev_04</vt:lpstr>
      <vt:lpstr>PL_Other_Rev_05</vt:lpstr>
      <vt:lpstr>PL_Other_Rev_06</vt:lpstr>
      <vt:lpstr>PL_Other_Rev_07</vt:lpstr>
      <vt:lpstr>PL_Other_Rev_08</vt:lpstr>
      <vt:lpstr>PL_Other_Rev_09</vt:lpstr>
      <vt:lpstr>PL_Other_Rev_10</vt:lpstr>
      <vt:lpstr>PL_Other_Rev_11</vt:lpstr>
      <vt:lpstr>PL_Other_Rev_12</vt:lpstr>
      <vt:lpstr>PL_Other_Rev_13</vt:lpstr>
      <vt:lpstr>PL_Other_Rev_14</vt:lpstr>
      <vt:lpstr>PL_Other_Rev_15</vt:lpstr>
      <vt:lpstr>PL_Other_Rev_16</vt:lpstr>
      <vt:lpstr>PL_Other_Rev_17</vt:lpstr>
      <vt:lpstr>PL_Other_Rev_18</vt:lpstr>
      <vt:lpstr>PL_Other_Rev_19</vt:lpstr>
      <vt:lpstr>PL_Other_Rev_20</vt:lpstr>
      <vt:lpstr>PL_Other_Rev_H1_00</vt:lpstr>
      <vt:lpstr>PL_Other_Rev_H1_01</vt:lpstr>
      <vt:lpstr>PL_Other_Rev_H1_02</vt:lpstr>
      <vt:lpstr>PL_Other_Rev_H1_03</vt:lpstr>
      <vt:lpstr>PL_Other_Rev_H1_04</vt:lpstr>
      <vt:lpstr>PL_Other_Rev_H1_05</vt:lpstr>
      <vt:lpstr>PL_Other_Rev_H1_06</vt:lpstr>
      <vt:lpstr>PL_Other_Rev_H1_07</vt:lpstr>
      <vt:lpstr>PL_Other_Rev_H1_08</vt:lpstr>
      <vt:lpstr>PL_Other_Rev_H1_09</vt:lpstr>
      <vt:lpstr>PL_Other_Rev_H1_10</vt:lpstr>
      <vt:lpstr>PL_Other_Rev_H1_11</vt:lpstr>
      <vt:lpstr>PL_Other_Rev_H1_12</vt:lpstr>
      <vt:lpstr>PL_Other_Rev_H1_13</vt:lpstr>
      <vt:lpstr>PL_Other_Rev_H1_14</vt:lpstr>
      <vt:lpstr>PL_Other_Rev_H1_15</vt:lpstr>
      <vt:lpstr>PL_Other_Rev_H1_16</vt:lpstr>
      <vt:lpstr>PL_Other_Rev_H1_17</vt:lpstr>
      <vt:lpstr>PL_Other_Rev_H1_18</vt:lpstr>
      <vt:lpstr>PL_Other_Rev_H1_19</vt:lpstr>
      <vt:lpstr>PL_Other_Rev_H1_20</vt:lpstr>
      <vt:lpstr>PL_Other_Rev_H2_00</vt:lpstr>
      <vt:lpstr>PL_Other_Rev_H2_01</vt:lpstr>
      <vt:lpstr>PL_Other_Rev_H2_02</vt:lpstr>
      <vt:lpstr>PL_Other_Rev_H2_03</vt:lpstr>
      <vt:lpstr>PL_Other_Rev_H2_04</vt:lpstr>
      <vt:lpstr>PL_Other_Rev_H2_05</vt:lpstr>
      <vt:lpstr>PL_Other_Rev_H2_06</vt:lpstr>
      <vt:lpstr>PL_Other_Rev_H2_07</vt:lpstr>
      <vt:lpstr>PL_Other_Rev_H2_08</vt:lpstr>
      <vt:lpstr>PL_Other_Rev_H2_09</vt:lpstr>
      <vt:lpstr>PL_Other_Rev_H2_10</vt:lpstr>
      <vt:lpstr>PL_Other_Rev_H2_11</vt:lpstr>
      <vt:lpstr>PL_Other_Rev_H2_12</vt:lpstr>
      <vt:lpstr>PL_Other_Rev_H2_13</vt:lpstr>
      <vt:lpstr>PL_Other_Rev_H2_14</vt:lpstr>
      <vt:lpstr>PL_Other_Rev_H2_15</vt:lpstr>
      <vt:lpstr>PL_Other_Rev_H2_16</vt:lpstr>
      <vt:lpstr>PL_Other_Rev_H2_17</vt:lpstr>
      <vt:lpstr>PL_Other_Rev_H2_18</vt:lpstr>
      <vt:lpstr>PL_Other_Rev_H2_19</vt:lpstr>
      <vt:lpstr>PL_Other_Rev_H2_20</vt:lpstr>
      <vt:lpstr>PL_PrefDividend_00</vt:lpstr>
      <vt:lpstr>PL_PrefDividend_01</vt:lpstr>
      <vt:lpstr>PL_PrefDividend_02</vt:lpstr>
      <vt:lpstr>PL_PrefDividend_03</vt:lpstr>
      <vt:lpstr>PL_PrefDividend_04</vt:lpstr>
      <vt:lpstr>PL_PrefDividend_05</vt:lpstr>
      <vt:lpstr>PL_PrefDividend_06</vt:lpstr>
      <vt:lpstr>PL_PrefDividend_07</vt:lpstr>
      <vt:lpstr>PL_PrefDividend_08</vt:lpstr>
      <vt:lpstr>PL_PrefDividend_09</vt:lpstr>
      <vt:lpstr>PL_PrefDividend_10</vt:lpstr>
      <vt:lpstr>PL_PrefDividend_11</vt:lpstr>
      <vt:lpstr>PL_PrefDividend_12</vt:lpstr>
      <vt:lpstr>PL_PrefDividend_13</vt:lpstr>
      <vt:lpstr>PL_PrefDividend_14</vt:lpstr>
      <vt:lpstr>PL_PrefDividend_15</vt:lpstr>
      <vt:lpstr>PL_PrefDividend_16</vt:lpstr>
      <vt:lpstr>PL_PrefDividend_17</vt:lpstr>
      <vt:lpstr>PL_PrefDividend_18</vt:lpstr>
      <vt:lpstr>PL_PrefDividend_19</vt:lpstr>
      <vt:lpstr>PL_PrefDividend_20</vt:lpstr>
      <vt:lpstr>PL_PrefDividend_H1_00</vt:lpstr>
      <vt:lpstr>PL_PrefDividend_H1_01</vt:lpstr>
      <vt:lpstr>PL_PrefDividend_H1_02</vt:lpstr>
      <vt:lpstr>PL_PrefDividend_H1_03</vt:lpstr>
      <vt:lpstr>PL_PrefDividend_H1_04</vt:lpstr>
      <vt:lpstr>PL_PrefDividend_H1_05</vt:lpstr>
      <vt:lpstr>PL_PrefDividend_H1_06</vt:lpstr>
      <vt:lpstr>PL_PrefDividend_H1_07</vt:lpstr>
      <vt:lpstr>PL_PrefDividend_H1_08</vt:lpstr>
      <vt:lpstr>PL_PrefDividend_H1_09</vt:lpstr>
      <vt:lpstr>PL_PrefDividend_H1_10</vt:lpstr>
      <vt:lpstr>PL_PrefDividend_H1_11</vt:lpstr>
      <vt:lpstr>PL_PrefDividend_H1_12</vt:lpstr>
      <vt:lpstr>PL_PrefDividend_H1_13</vt:lpstr>
      <vt:lpstr>PL_PrefDividend_H1_14</vt:lpstr>
      <vt:lpstr>PL_PrefDividend_H1_15</vt:lpstr>
      <vt:lpstr>PL_PrefDividend_H1_16</vt:lpstr>
      <vt:lpstr>PL_PrefDividend_H1_17</vt:lpstr>
      <vt:lpstr>PL_PrefDividend_H1_18</vt:lpstr>
      <vt:lpstr>PL_PrefDividend_H1_19</vt:lpstr>
      <vt:lpstr>PL_PrefDividend_H1_20</vt:lpstr>
      <vt:lpstr>PL_PrefDividend_H2_00</vt:lpstr>
      <vt:lpstr>PL_PrefDividend_H2_01</vt:lpstr>
      <vt:lpstr>PL_PrefDividend_H2_02</vt:lpstr>
      <vt:lpstr>PL_PrefDividend_H2_03</vt:lpstr>
      <vt:lpstr>PL_PrefDividend_H2_04</vt:lpstr>
      <vt:lpstr>PL_PrefDividend_H2_05</vt:lpstr>
      <vt:lpstr>PL_PrefDividend_H2_06</vt:lpstr>
      <vt:lpstr>PL_PrefDividend_H2_07</vt:lpstr>
      <vt:lpstr>PL_PrefDividend_H2_08</vt:lpstr>
      <vt:lpstr>PL_PrefDividend_H2_09</vt:lpstr>
      <vt:lpstr>PL_PrefDividend_H2_10</vt:lpstr>
      <vt:lpstr>PL_PrefDividend_H2_11</vt:lpstr>
      <vt:lpstr>PL_PrefDividend_H2_12</vt:lpstr>
      <vt:lpstr>PL_PrefDividend_H2_13</vt:lpstr>
      <vt:lpstr>PL_PrefDividend_H2_14</vt:lpstr>
      <vt:lpstr>PL_PrefDividend_H2_15</vt:lpstr>
      <vt:lpstr>PL_PrefDividend_H2_16</vt:lpstr>
      <vt:lpstr>PL_PrefDividend_H2_17</vt:lpstr>
      <vt:lpstr>PL_PrefDividend_H2_18</vt:lpstr>
      <vt:lpstr>PL_PrefDividend_H2_19</vt:lpstr>
      <vt:lpstr>PL_PrefDividend_H2_20</vt:lpstr>
      <vt:lpstr>PL_Prov_00</vt:lpstr>
      <vt:lpstr>PL_Prov_01</vt:lpstr>
      <vt:lpstr>PL_Prov_02</vt:lpstr>
      <vt:lpstr>PL_Prov_03</vt:lpstr>
      <vt:lpstr>PL_Prov_04</vt:lpstr>
      <vt:lpstr>PL_Prov_05</vt:lpstr>
      <vt:lpstr>PL_Prov_06</vt:lpstr>
      <vt:lpstr>PL_Prov_07</vt:lpstr>
      <vt:lpstr>PL_Prov_08</vt:lpstr>
      <vt:lpstr>PL_Prov_09</vt:lpstr>
      <vt:lpstr>PL_Prov_10</vt:lpstr>
      <vt:lpstr>PL_Prov_11</vt:lpstr>
      <vt:lpstr>PL_Prov_12</vt:lpstr>
      <vt:lpstr>PL_Prov_13</vt:lpstr>
      <vt:lpstr>PL_Prov_14</vt:lpstr>
      <vt:lpstr>PL_Prov_15</vt:lpstr>
      <vt:lpstr>PL_Prov_16</vt:lpstr>
      <vt:lpstr>PL_Prov_17</vt:lpstr>
      <vt:lpstr>PL_Prov_18</vt:lpstr>
      <vt:lpstr>PL_Prov_19</vt:lpstr>
      <vt:lpstr>PL_Prov_20</vt:lpstr>
      <vt:lpstr>PL_Prov_H1_00</vt:lpstr>
      <vt:lpstr>PL_Prov_H1_01</vt:lpstr>
      <vt:lpstr>PL_Prov_H1_02</vt:lpstr>
      <vt:lpstr>PL_Prov_H1_03</vt:lpstr>
      <vt:lpstr>PL_Prov_H1_04</vt:lpstr>
      <vt:lpstr>PL_Prov_H1_05</vt:lpstr>
      <vt:lpstr>PL_Prov_H1_06</vt:lpstr>
      <vt:lpstr>PL_Prov_H1_07</vt:lpstr>
      <vt:lpstr>PL_Prov_H1_08</vt:lpstr>
      <vt:lpstr>PL_Prov_H1_09</vt:lpstr>
      <vt:lpstr>PL_Prov_H1_10</vt:lpstr>
      <vt:lpstr>PL_Prov_H1_11</vt:lpstr>
      <vt:lpstr>PL_Prov_H1_12</vt:lpstr>
      <vt:lpstr>PL_Prov_H1_13</vt:lpstr>
      <vt:lpstr>PL_Prov_H1_14</vt:lpstr>
      <vt:lpstr>PL_Prov_H1_15</vt:lpstr>
      <vt:lpstr>PL_Prov_H1_16</vt:lpstr>
      <vt:lpstr>PL_Prov_H1_17</vt:lpstr>
      <vt:lpstr>PL_Prov_H1_18</vt:lpstr>
      <vt:lpstr>PL_Prov_H1_19</vt:lpstr>
      <vt:lpstr>PL_Prov_H1_20</vt:lpstr>
      <vt:lpstr>PL_Prov_H2_00</vt:lpstr>
      <vt:lpstr>PL_Prov_H2_01</vt:lpstr>
      <vt:lpstr>PL_Prov_H2_02</vt:lpstr>
      <vt:lpstr>PL_Prov_H2_03</vt:lpstr>
      <vt:lpstr>PL_Prov_H2_04</vt:lpstr>
      <vt:lpstr>PL_Prov_H2_05</vt:lpstr>
      <vt:lpstr>PL_Prov_H2_06</vt:lpstr>
      <vt:lpstr>PL_Prov_H2_07</vt:lpstr>
      <vt:lpstr>PL_Prov_H2_08</vt:lpstr>
      <vt:lpstr>PL_Prov_H2_09</vt:lpstr>
      <vt:lpstr>PL_Prov_H2_10</vt:lpstr>
      <vt:lpstr>PL_Prov_H2_11</vt:lpstr>
      <vt:lpstr>PL_Prov_H2_12</vt:lpstr>
      <vt:lpstr>PL_Prov_H2_13</vt:lpstr>
      <vt:lpstr>PL_Prov_H2_14</vt:lpstr>
      <vt:lpstr>PL_Prov_H2_15</vt:lpstr>
      <vt:lpstr>PL_Prov_H2_16</vt:lpstr>
      <vt:lpstr>PL_Prov_H2_17</vt:lpstr>
      <vt:lpstr>PL_Prov_H2_18</vt:lpstr>
      <vt:lpstr>PL_Prov_H2_19</vt:lpstr>
      <vt:lpstr>PL_Prov_H2_20</vt:lpstr>
      <vt:lpstr>PL_PTP_00</vt:lpstr>
      <vt:lpstr>PL_PTP_01</vt:lpstr>
      <vt:lpstr>PL_PTP_02</vt:lpstr>
      <vt:lpstr>PL_PTP_03</vt:lpstr>
      <vt:lpstr>PL_PTP_04</vt:lpstr>
      <vt:lpstr>PL_PTP_05</vt:lpstr>
      <vt:lpstr>PL_PTP_06</vt:lpstr>
      <vt:lpstr>PL_PTP_07</vt:lpstr>
      <vt:lpstr>PL_PTP_08</vt:lpstr>
      <vt:lpstr>PL_PTP_09</vt:lpstr>
      <vt:lpstr>PL_PTP_10</vt:lpstr>
      <vt:lpstr>PL_PTP_11</vt:lpstr>
      <vt:lpstr>PL_PTP_12</vt:lpstr>
      <vt:lpstr>PL_PTP_13</vt:lpstr>
      <vt:lpstr>PL_PTP_14</vt:lpstr>
      <vt:lpstr>PL_PTP_15</vt:lpstr>
      <vt:lpstr>PL_PTP_16</vt:lpstr>
      <vt:lpstr>PL_PTP_17</vt:lpstr>
      <vt:lpstr>PL_PTP_18</vt:lpstr>
      <vt:lpstr>PL_PTP_19</vt:lpstr>
      <vt:lpstr>PL_PTP_20</vt:lpstr>
      <vt:lpstr>PL_PTP_H1_00</vt:lpstr>
      <vt:lpstr>PL_PTP_H1_01</vt:lpstr>
      <vt:lpstr>PL_PTP_H1_02</vt:lpstr>
      <vt:lpstr>PL_PTP_H1_03</vt:lpstr>
      <vt:lpstr>PL_PTP_H1_04</vt:lpstr>
      <vt:lpstr>PL_PTP_H1_05</vt:lpstr>
      <vt:lpstr>PL_PTP_H1_06</vt:lpstr>
      <vt:lpstr>PL_PTP_H1_07</vt:lpstr>
      <vt:lpstr>PL_PTP_H1_08</vt:lpstr>
      <vt:lpstr>PL_PTP_H1_09</vt:lpstr>
      <vt:lpstr>PL_PTP_H1_10</vt:lpstr>
      <vt:lpstr>PL_PTP_H1_11</vt:lpstr>
      <vt:lpstr>PL_PTP_H1_12</vt:lpstr>
      <vt:lpstr>PL_PTP_H1_13</vt:lpstr>
      <vt:lpstr>PL_PTP_H1_14</vt:lpstr>
      <vt:lpstr>PL_PTP_H1_15</vt:lpstr>
      <vt:lpstr>PL_PTP_H1_16</vt:lpstr>
      <vt:lpstr>PL_PTP_H1_17</vt:lpstr>
      <vt:lpstr>PL_PTP_H1_18</vt:lpstr>
      <vt:lpstr>PL_PTP_H1_19</vt:lpstr>
      <vt:lpstr>PL_PTP_H1_20</vt:lpstr>
      <vt:lpstr>PL_PTP_H2_00</vt:lpstr>
      <vt:lpstr>PL_PTP_H2_01</vt:lpstr>
      <vt:lpstr>PL_PTP_H2_02</vt:lpstr>
      <vt:lpstr>PL_PTP_H2_03</vt:lpstr>
      <vt:lpstr>PL_PTP_H2_04</vt:lpstr>
      <vt:lpstr>PL_PTP_H2_05</vt:lpstr>
      <vt:lpstr>PL_PTP_H2_06</vt:lpstr>
      <vt:lpstr>PL_PTP_H2_07</vt:lpstr>
      <vt:lpstr>PL_PTP_H2_08</vt:lpstr>
      <vt:lpstr>PL_PTP_H2_09</vt:lpstr>
      <vt:lpstr>PL_PTP_H2_10</vt:lpstr>
      <vt:lpstr>PL_PTP_H2_11</vt:lpstr>
      <vt:lpstr>PL_PTP_H2_12</vt:lpstr>
      <vt:lpstr>PL_PTP_H2_13</vt:lpstr>
      <vt:lpstr>PL_PTP_H2_14</vt:lpstr>
      <vt:lpstr>PL_PTP_H2_15</vt:lpstr>
      <vt:lpstr>PL_PTP_H2_16</vt:lpstr>
      <vt:lpstr>PL_PTP_H2_17</vt:lpstr>
      <vt:lpstr>PL_PTP_H2_18</vt:lpstr>
      <vt:lpstr>PL_PTP_H2_19</vt:lpstr>
      <vt:lpstr>PL_PTP_H2_20</vt:lpstr>
      <vt:lpstr>PL_RD_00</vt:lpstr>
      <vt:lpstr>PL_RD_01</vt:lpstr>
      <vt:lpstr>PL_RD_02</vt:lpstr>
      <vt:lpstr>PL_RD_03</vt:lpstr>
      <vt:lpstr>PL_RD_04</vt:lpstr>
      <vt:lpstr>PL_RD_05</vt:lpstr>
      <vt:lpstr>PL_RD_06</vt:lpstr>
      <vt:lpstr>PL_RD_07</vt:lpstr>
      <vt:lpstr>PL_RD_08</vt:lpstr>
      <vt:lpstr>PL_RD_09</vt:lpstr>
      <vt:lpstr>PL_RD_10</vt:lpstr>
      <vt:lpstr>PL_RD_11</vt:lpstr>
      <vt:lpstr>PL_RD_12</vt:lpstr>
      <vt:lpstr>PL_RD_13</vt:lpstr>
      <vt:lpstr>PL_RD_14</vt:lpstr>
      <vt:lpstr>PL_RD_15</vt:lpstr>
      <vt:lpstr>PL_RD_16</vt:lpstr>
      <vt:lpstr>PL_RD_17</vt:lpstr>
      <vt:lpstr>PL_RD_18</vt:lpstr>
      <vt:lpstr>PL_RD_19</vt:lpstr>
      <vt:lpstr>PL_RD_20</vt:lpstr>
      <vt:lpstr>PL_RD_H1_00</vt:lpstr>
      <vt:lpstr>PL_RD_H1_01</vt:lpstr>
      <vt:lpstr>PL_RD_H1_02</vt:lpstr>
      <vt:lpstr>PL_RD_H1_03</vt:lpstr>
      <vt:lpstr>PL_RD_H1_04</vt:lpstr>
      <vt:lpstr>PL_RD_H1_05</vt:lpstr>
      <vt:lpstr>PL_RD_H1_06</vt:lpstr>
      <vt:lpstr>PL_RD_H1_07</vt:lpstr>
      <vt:lpstr>PL_RD_H1_08</vt:lpstr>
      <vt:lpstr>PL_RD_H1_09</vt:lpstr>
      <vt:lpstr>PL_RD_H1_10</vt:lpstr>
      <vt:lpstr>PL_RD_H1_11</vt:lpstr>
      <vt:lpstr>PL_RD_H1_12</vt:lpstr>
      <vt:lpstr>PL_RD_H1_13</vt:lpstr>
      <vt:lpstr>PL_RD_H1_14</vt:lpstr>
      <vt:lpstr>PL_RD_H1_15</vt:lpstr>
      <vt:lpstr>PL_RD_H1_16</vt:lpstr>
      <vt:lpstr>PL_RD_H1_17</vt:lpstr>
      <vt:lpstr>PL_RD_H1_18</vt:lpstr>
      <vt:lpstr>PL_RD_H1_19</vt:lpstr>
      <vt:lpstr>PL_RD_H1_20</vt:lpstr>
      <vt:lpstr>PL_RD_H2_00</vt:lpstr>
      <vt:lpstr>PL_RD_H2_01</vt:lpstr>
      <vt:lpstr>PL_RD_H2_02</vt:lpstr>
      <vt:lpstr>PL_RD_H2_03</vt:lpstr>
      <vt:lpstr>PL_RD_H2_04</vt:lpstr>
      <vt:lpstr>PL_RD_H2_05</vt:lpstr>
      <vt:lpstr>PL_RD_H2_06</vt:lpstr>
      <vt:lpstr>PL_RD_H2_07</vt:lpstr>
      <vt:lpstr>PL_RD_H2_08</vt:lpstr>
      <vt:lpstr>PL_RD_H2_09</vt:lpstr>
      <vt:lpstr>PL_RD_H2_10</vt:lpstr>
      <vt:lpstr>PL_RD_H2_11</vt:lpstr>
      <vt:lpstr>PL_RD_H2_12</vt:lpstr>
      <vt:lpstr>PL_RD_H2_13</vt:lpstr>
      <vt:lpstr>PL_RD_H2_14</vt:lpstr>
      <vt:lpstr>PL_RD_H2_15</vt:lpstr>
      <vt:lpstr>PL_RD_H2_16</vt:lpstr>
      <vt:lpstr>PL_RD_H2_17</vt:lpstr>
      <vt:lpstr>PL_RD_H2_18</vt:lpstr>
      <vt:lpstr>PL_RD_H2_19</vt:lpstr>
      <vt:lpstr>PL_RD_H2_20</vt:lpstr>
      <vt:lpstr>PL_REPS_00</vt:lpstr>
      <vt:lpstr>PL_REPS_01</vt:lpstr>
      <vt:lpstr>PL_REPS_02</vt:lpstr>
      <vt:lpstr>PL_REPS_03</vt:lpstr>
      <vt:lpstr>PL_REPS_04</vt:lpstr>
      <vt:lpstr>PL_REPS_05</vt:lpstr>
      <vt:lpstr>PL_REPS_06</vt:lpstr>
      <vt:lpstr>PL_REPS_07</vt:lpstr>
      <vt:lpstr>PL_REPS_08</vt:lpstr>
      <vt:lpstr>PL_REPS_09</vt:lpstr>
      <vt:lpstr>PL_REPS_10</vt:lpstr>
      <vt:lpstr>PL_REPS_11</vt:lpstr>
      <vt:lpstr>PL_REPS_12</vt:lpstr>
      <vt:lpstr>PL_REPS_13</vt:lpstr>
      <vt:lpstr>PL_REPS_14</vt:lpstr>
      <vt:lpstr>PL_REPS_15</vt:lpstr>
      <vt:lpstr>PL_REPS_16</vt:lpstr>
      <vt:lpstr>PL_REPS_17</vt:lpstr>
      <vt:lpstr>PL_REPS_18</vt:lpstr>
      <vt:lpstr>PL_REPS_19</vt:lpstr>
      <vt:lpstr>PL_REPS_20</vt:lpstr>
      <vt:lpstr>PL_REPS_BA_00</vt:lpstr>
      <vt:lpstr>PL_REPS_BA_01</vt:lpstr>
      <vt:lpstr>PL_REPS_BA_02</vt:lpstr>
      <vt:lpstr>PL_REPS_BA_03</vt:lpstr>
      <vt:lpstr>PL_REPS_BA_04</vt:lpstr>
      <vt:lpstr>PL_REPS_BA_05</vt:lpstr>
      <vt:lpstr>PL_REPS_BA_06</vt:lpstr>
      <vt:lpstr>PL_REPS_BA_07</vt:lpstr>
      <vt:lpstr>PL_REPS_BA_08</vt:lpstr>
      <vt:lpstr>PL_REPS_BA_09</vt:lpstr>
      <vt:lpstr>PL_REPS_BA_10</vt:lpstr>
      <vt:lpstr>PL_REPS_BA_11</vt:lpstr>
      <vt:lpstr>PL_REPS_BA_12</vt:lpstr>
      <vt:lpstr>PL_REPS_BA_13</vt:lpstr>
      <vt:lpstr>PL_REPS_BA_14</vt:lpstr>
      <vt:lpstr>PL_REPS_BA_15</vt:lpstr>
      <vt:lpstr>PL_REPS_BA_16</vt:lpstr>
      <vt:lpstr>PL_REPS_BA_17</vt:lpstr>
      <vt:lpstr>PL_REPS_BA_18</vt:lpstr>
      <vt:lpstr>PL_REPS_BA_19</vt:lpstr>
      <vt:lpstr>PL_REPS_BA_20</vt:lpstr>
      <vt:lpstr>PL_REPS_BA_H1_00</vt:lpstr>
      <vt:lpstr>PL_REPS_BA_H1_01</vt:lpstr>
      <vt:lpstr>PL_REPS_BA_H1_02</vt:lpstr>
      <vt:lpstr>PL_REPS_BA_H1_03</vt:lpstr>
      <vt:lpstr>PL_REPS_BA_H1_04</vt:lpstr>
      <vt:lpstr>PL_REPS_BA_H1_05</vt:lpstr>
      <vt:lpstr>PL_REPS_BA_H1_06</vt:lpstr>
      <vt:lpstr>PL_REPS_BA_H1_07</vt:lpstr>
      <vt:lpstr>PL_REPS_BA_H1_08</vt:lpstr>
      <vt:lpstr>PL_REPS_BA_H1_09</vt:lpstr>
      <vt:lpstr>PL_REPS_BA_H1_10</vt:lpstr>
      <vt:lpstr>PL_REPS_BA_H1_11</vt:lpstr>
      <vt:lpstr>PL_REPS_BA_H1_12</vt:lpstr>
      <vt:lpstr>PL_REPS_BA_H1_13</vt:lpstr>
      <vt:lpstr>PL_REPS_BA_H1_14</vt:lpstr>
      <vt:lpstr>PL_REPS_BA_H1_15</vt:lpstr>
      <vt:lpstr>PL_REPS_BA_H1_16</vt:lpstr>
      <vt:lpstr>PL_REPS_BA_H1_17</vt:lpstr>
      <vt:lpstr>PL_REPS_BA_H1_18</vt:lpstr>
      <vt:lpstr>PL_REPS_BA_H1_19</vt:lpstr>
      <vt:lpstr>PL_REPS_BA_H1_20</vt:lpstr>
      <vt:lpstr>PL_REPS_BA_H2_00</vt:lpstr>
      <vt:lpstr>PL_REPS_BA_H2_01</vt:lpstr>
      <vt:lpstr>PL_REPS_BA_H2_02</vt:lpstr>
      <vt:lpstr>PL_REPS_BA_H2_03</vt:lpstr>
      <vt:lpstr>PL_REPS_BA_H2_04</vt:lpstr>
      <vt:lpstr>PL_REPS_BA_H2_05</vt:lpstr>
      <vt:lpstr>PL_REPS_BA_H2_06</vt:lpstr>
      <vt:lpstr>PL_REPS_BA_H2_07</vt:lpstr>
      <vt:lpstr>PL_REPS_BA_H2_08</vt:lpstr>
      <vt:lpstr>PL_REPS_BA_H2_09</vt:lpstr>
      <vt:lpstr>PL_REPS_BA_H2_10</vt:lpstr>
      <vt:lpstr>PL_REPS_BA_H2_11</vt:lpstr>
      <vt:lpstr>PL_REPS_BA_H2_12</vt:lpstr>
      <vt:lpstr>PL_REPS_BA_H2_13</vt:lpstr>
      <vt:lpstr>PL_REPS_BA_H2_14</vt:lpstr>
      <vt:lpstr>PL_REPS_BA_H2_15</vt:lpstr>
      <vt:lpstr>PL_REPS_BA_H2_16</vt:lpstr>
      <vt:lpstr>PL_REPS_BA_H2_17</vt:lpstr>
      <vt:lpstr>PL_REPS_BA_H2_18</vt:lpstr>
      <vt:lpstr>PL_REPS_BA_H2_19</vt:lpstr>
      <vt:lpstr>PL_REPS_BA_H2_20</vt:lpstr>
      <vt:lpstr>PL_REPS_H1_00</vt:lpstr>
      <vt:lpstr>PL_REPS_H1_01</vt:lpstr>
      <vt:lpstr>PL_REPS_H1_02</vt:lpstr>
      <vt:lpstr>PL_REPS_H1_03</vt:lpstr>
      <vt:lpstr>PL_REPS_H1_04</vt:lpstr>
      <vt:lpstr>PL_REPS_H1_05</vt:lpstr>
      <vt:lpstr>PL_REPS_H1_06</vt:lpstr>
      <vt:lpstr>PL_REPS_H1_07</vt:lpstr>
      <vt:lpstr>PL_REPS_H1_08</vt:lpstr>
      <vt:lpstr>PL_REPS_H1_09</vt:lpstr>
      <vt:lpstr>PL_REPS_H1_10</vt:lpstr>
      <vt:lpstr>PL_REPS_H1_11</vt:lpstr>
      <vt:lpstr>PL_REPS_H1_12</vt:lpstr>
      <vt:lpstr>PL_REPS_H1_13</vt:lpstr>
      <vt:lpstr>PL_REPS_H1_14</vt:lpstr>
      <vt:lpstr>PL_REPS_H1_15</vt:lpstr>
      <vt:lpstr>PL_REPS_H1_16</vt:lpstr>
      <vt:lpstr>PL_REPS_H1_17</vt:lpstr>
      <vt:lpstr>PL_REPS_H1_18</vt:lpstr>
      <vt:lpstr>PL_REPS_H1_19</vt:lpstr>
      <vt:lpstr>PL_REPS_H1_20</vt:lpstr>
      <vt:lpstr>PL_REPS_H2_00</vt:lpstr>
      <vt:lpstr>PL_REPS_H2_01</vt:lpstr>
      <vt:lpstr>PL_REPS_H2_02</vt:lpstr>
      <vt:lpstr>PL_REPS_H2_03</vt:lpstr>
      <vt:lpstr>PL_REPS_H2_04</vt:lpstr>
      <vt:lpstr>PL_REPS_H2_05</vt:lpstr>
      <vt:lpstr>PL_REPS_H2_06</vt:lpstr>
      <vt:lpstr>PL_REPS_H2_07</vt:lpstr>
      <vt:lpstr>PL_REPS_H2_08</vt:lpstr>
      <vt:lpstr>PL_REPS_H2_09</vt:lpstr>
      <vt:lpstr>PL_REPS_H2_10</vt:lpstr>
      <vt:lpstr>PL_REPS_H2_11</vt:lpstr>
      <vt:lpstr>PL_REPS_H2_12</vt:lpstr>
      <vt:lpstr>PL_REPS_H2_13</vt:lpstr>
      <vt:lpstr>PL_REPS_H2_14</vt:lpstr>
      <vt:lpstr>PL_REPS_H2_15</vt:lpstr>
      <vt:lpstr>PL_REPS_H2_16</vt:lpstr>
      <vt:lpstr>PL_REPS_H2_17</vt:lpstr>
      <vt:lpstr>PL_REPS_H2_18</vt:lpstr>
      <vt:lpstr>PL_REPS_H2_19</vt:lpstr>
      <vt:lpstr>PL_REPS_H2_20</vt:lpstr>
      <vt:lpstr>PL_Rev_NCA_00</vt:lpstr>
      <vt:lpstr>PL_Rev_NCA_01</vt:lpstr>
      <vt:lpstr>PL_Rev_NCA_02</vt:lpstr>
      <vt:lpstr>PL_Rev_NCA_03</vt:lpstr>
      <vt:lpstr>PL_Rev_NCA_04</vt:lpstr>
      <vt:lpstr>PL_Rev_NCA_05</vt:lpstr>
      <vt:lpstr>PL_Rev_NCA_06</vt:lpstr>
      <vt:lpstr>PL_Rev_NCA_07</vt:lpstr>
      <vt:lpstr>PL_Rev_NCA_08</vt:lpstr>
      <vt:lpstr>PL_Rev_NCA_09</vt:lpstr>
      <vt:lpstr>PL_Rev_NCA_10</vt:lpstr>
      <vt:lpstr>PL_Rev_NCA_11</vt:lpstr>
      <vt:lpstr>PL_Rev_NCA_12</vt:lpstr>
      <vt:lpstr>PL_Rev_NCA_13</vt:lpstr>
      <vt:lpstr>PL_Rev_NCA_14</vt:lpstr>
      <vt:lpstr>PL_Rev_NCA_15</vt:lpstr>
      <vt:lpstr>PL_Rev_NCA_16</vt:lpstr>
      <vt:lpstr>PL_Rev_NCA_17</vt:lpstr>
      <vt:lpstr>PL_Rev_NCA_18</vt:lpstr>
      <vt:lpstr>PL_Rev_NCA_19</vt:lpstr>
      <vt:lpstr>PL_Rev_NCA_20</vt:lpstr>
      <vt:lpstr>PL_Rev_NCA_H1_00</vt:lpstr>
      <vt:lpstr>PL_Rev_NCA_H1_01</vt:lpstr>
      <vt:lpstr>PL_Rev_NCA_H1_02</vt:lpstr>
      <vt:lpstr>PL_Rev_NCA_H1_03</vt:lpstr>
      <vt:lpstr>PL_Rev_NCA_H1_04</vt:lpstr>
      <vt:lpstr>PL_Rev_NCA_H1_05</vt:lpstr>
      <vt:lpstr>PL_Rev_NCA_H1_06</vt:lpstr>
      <vt:lpstr>PL_Rev_NCA_H1_07</vt:lpstr>
      <vt:lpstr>PL_Rev_NCA_H1_08</vt:lpstr>
      <vt:lpstr>PL_Rev_NCA_H1_09</vt:lpstr>
      <vt:lpstr>PL_Rev_NCA_H1_10</vt:lpstr>
      <vt:lpstr>PL_Rev_NCA_H1_11</vt:lpstr>
      <vt:lpstr>PL_Rev_NCA_H1_12</vt:lpstr>
      <vt:lpstr>PL_Rev_NCA_H1_13</vt:lpstr>
      <vt:lpstr>PL_Rev_NCA_H1_14</vt:lpstr>
      <vt:lpstr>PL_Rev_NCA_H1_15</vt:lpstr>
      <vt:lpstr>PL_Rev_NCA_H1_16</vt:lpstr>
      <vt:lpstr>PL_Rev_NCA_H1_17</vt:lpstr>
      <vt:lpstr>PL_Rev_NCA_H1_18</vt:lpstr>
      <vt:lpstr>PL_Rev_NCA_H1_19</vt:lpstr>
      <vt:lpstr>PL_Rev_NCA_H1_20</vt:lpstr>
      <vt:lpstr>PL_Rev_NCA_H2_00</vt:lpstr>
      <vt:lpstr>PL_Rev_NCA_H2_01</vt:lpstr>
      <vt:lpstr>PL_Rev_NCA_H2_02</vt:lpstr>
      <vt:lpstr>PL_Rev_NCA_H2_03</vt:lpstr>
      <vt:lpstr>PL_Rev_NCA_H2_04</vt:lpstr>
      <vt:lpstr>PL_Rev_NCA_H2_05</vt:lpstr>
      <vt:lpstr>PL_Rev_NCA_H2_06</vt:lpstr>
      <vt:lpstr>PL_Rev_NCA_H2_07</vt:lpstr>
      <vt:lpstr>PL_Rev_NCA_H2_08</vt:lpstr>
      <vt:lpstr>PL_Rev_NCA_H2_09</vt:lpstr>
      <vt:lpstr>PL_Rev_NCA_H2_10</vt:lpstr>
      <vt:lpstr>PL_Rev_NCA_H2_11</vt:lpstr>
      <vt:lpstr>PL_Rev_NCA_H2_12</vt:lpstr>
      <vt:lpstr>PL_Rev_NCA_H2_13</vt:lpstr>
      <vt:lpstr>PL_Rev_NCA_H2_14</vt:lpstr>
      <vt:lpstr>PL_Rev_NCA_H2_15</vt:lpstr>
      <vt:lpstr>PL_Rev_NCA_H2_16</vt:lpstr>
      <vt:lpstr>PL_Rev_NCA_H2_17</vt:lpstr>
      <vt:lpstr>PL_Rev_NCA_H2_18</vt:lpstr>
      <vt:lpstr>PL_Rev_NCA_H2_19</vt:lpstr>
      <vt:lpstr>PL_Rev_NCA_H2_20</vt:lpstr>
      <vt:lpstr>PL_Royal_Pd_00</vt:lpstr>
      <vt:lpstr>PL_Royal_Pd_01</vt:lpstr>
      <vt:lpstr>PL_Royal_Pd_02</vt:lpstr>
      <vt:lpstr>PL_Royal_Pd_03</vt:lpstr>
      <vt:lpstr>PL_Royal_Pd_04</vt:lpstr>
      <vt:lpstr>PL_Royal_Pd_05</vt:lpstr>
      <vt:lpstr>PL_Royal_Pd_06</vt:lpstr>
      <vt:lpstr>PL_Royal_Pd_07</vt:lpstr>
      <vt:lpstr>PL_Royal_Pd_08</vt:lpstr>
      <vt:lpstr>PL_Royal_Pd_09</vt:lpstr>
      <vt:lpstr>PL_Royal_Pd_10</vt:lpstr>
      <vt:lpstr>PL_Royal_Pd_11</vt:lpstr>
      <vt:lpstr>PL_Royal_Pd_12</vt:lpstr>
      <vt:lpstr>PL_Royal_Pd_13</vt:lpstr>
      <vt:lpstr>PL_Royal_Pd_14</vt:lpstr>
      <vt:lpstr>PL_Royal_Pd_15</vt:lpstr>
      <vt:lpstr>PL_Royal_Pd_16</vt:lpstr>
      <vt:lpstr>PL_Royal_Pd_17</vt:lpstr>
      <vt:lpstr>PL_Royal_Pd_18</vt:lpstr>
      <vt:lpstr>PL_Royal_Pd_19</vt:lpstr>
      <vt:lpstr>PL_Royal_Pd_20</vt:lpstr>
      <vt:lpstr>PL_Royal_Pd_H1_00</vt:lpstr>
      <vt:lpstr>PL_Royal_Pd_H1_01</vt:lpstr>
      <vt:lpstr>PL_Royal_Pd_H1_02</vt:lpstr>
      <vt:lpstr>PL_Royal_Pd_H1_03</vt:lpstr>
      <vt:lpstr>PL_Royal_Pd_H1_04</vt:lpstr>
      <vt:lpstr>PL_Royal_Pd_H1_05</vt:lpstr>
      <vt:lpstr>PL_Royal_Pd_H1_06</vt:lpstr>
      <vt:lpstr>PL_Royal_Pd_H1_07</vt:lpstr>
      <vt:lpstr>PL_Royal_Pd_H1_08</vt:lpstr>
      <vt:lpstr>PL_Royal_Pd_H1_09</vt:lpstr>
      <vt:lpstr>PL_Royal_Pd_H1_10</vt:lpstr>
      <vt:lpstr>PL_Royal_Pd_H1_11</vt:lpstr>
      <vt:lpstr>PL_Royal_Pd_H1_12</vt:lpstr>
      <vt:lpstr>PL_Royal_Pd_H1_13</vt:lpstr>
      <vt:lpstr>PL_Royal_Pd_H1_14</vt:lpstr>
      <vt:lpstr>PL_Royal_Pd_H1_15</vt:lpstr>
      <vt:lpstr>PL_Royal_Pd_H1_16</vt:lpstr>
      <vt:lpstr>PL_Royal_Pd_H1_17</vt:lpstr>
      <vt:lpstr>PL_Royal_Pd_H1_18</vt:lpstr>
      <vt:lpstr>PL_Royal_Pd_H1_19</vt:lpstr>
      <vt:lpstr>PL_Royal_Pd_H1_20</vt:lpstr>
      <vt:lpstr>PL_Royal_Pd_H2_00</vt:lpstr>
      <vt:lpstr>PL_Royal_Pd_H2_01</vt:lpstr>
      <vt:lpstr>PL_Royal_Pd_H2_02</vt:lpstr>
      <vt:lpstr>PL_Royal_Pd_H2_03</vt:lpstr>
      <vt:lpstr>PL_Royal_Pd_H2_04</vt:lpstr>
      <vt:lpstr>PL_Royal_Pd_H2_05</vt:lpstr>
      <vt:lpstr>PL_Royal_Pd_H2_06</vt:lpstr>
      <vt:lpstr>PL_Royal_Pd_H2_07</vt:lpstr>
      <vt:lpstr>PL_Royal_Pd_H2_08</vt:lpstr>
      <vt:lpstr>PL_Royal_Pd_H2_09</vt:lpstr>
      <vt:lpstr>PL_Royal_Pd_H2_10</vt:lpstr>
      <vt:lpstr>PL_Royal_Pd_H2_11</vt:lpstr>
      <vt:lpstr>PL_Royal_Pd_H2_12</vt:lpstr>
      <vt:lpstr>PL_Royal_Pd_H2_13</vt:lpstr>
      <vt:lpstr>PL_Royal_Pd_H2_14</vt:lpstr>
      <vt:lpstr>PL_Royal_Pd_H2_15</vt:lpstr>
      <vt:lpstr>PL_Royal_Pd_H2_16</vt:lpstr>
      <vt:lpstr>PL_Royal_Pd_H2_17</vt:lpstr>
      <vt:lpstr>PL_Royal_Pd_H2_18</vt:lpstr>
      <vt:lpstr>PL_Royal_Pd_H2_19</vt:lpstr>
      <vt:lpstr>PL_Royal_Pd_H2_20</vt:lpstr>
      <vt:lpstr>PL_Sales_00</vt:lpstr>
      <vt:lpstr>PL_Sales_01</vt:lpstr>
      <vt:lpstr>PL_Sales_02</vt:lpstr>
      <vt:lpstr>PL_Sales_03</vt:lpstr>
      <vt:lpstr>PL_Sales_04</vt:lpstr>
      <vt:lpstr>PL_Sales_05</vt:lpstr>
      <vt:lpstr>PL_Sales_06</vt:lpstr>
      <vt:lpstr>PL_Sales_07</vt:lpstr>
      <vt:lpstr>PL_Sales_08</vt:lpstr>
      <vt:lpstr>PL_Sales_09</vt:lpstr>
      <vt:lpstr>PL_Sales_10</vt:lpstr>
      <vt:lpstr>PL_Sales_11</vt:lpstr>
      <vt:lpstr>PL_Sales_12</vt:lpstr>
      <vt:lpstr>PL_Sales_13</vt:lpstr>
      <vt:lpstr>PL_Sales_14</vt:lpstr>
      <vt:lpstr>PL_Sales_15</vt:lpstr>
      <vt:lpstr>PL_Sales_16</vt:lpstr>
      <vt:lpstr>PL_Sales_17</vt:lpstr>
      <vt:lpstr>PL_Sales_18</vt:lpstr>
      <vt:lpstr>PL_Sales_19</vt:lpstr>
      <vt:lpstr>PL_Sales_20</vt:lpstr>
      <vt:lpstr>PL_Sales_H1_00</vt:lpstr>
      <vt:lpstr>PL_Sales_H1_01</vt:lpstr>
      <vt:lpstr>PL_Sales_H1_02</vt:lpstr>
      <vt:lpstr>PL_Sales_H1_03</vt:lpstr>
      <vt:lpstr>PL_Sales_H1_04</vt:lpstr>
      <vt:lpstr>PL_Sales_H1_05</vt:lpstr>
      <vt:lpstr>PL_Sales_H1_06</vt:lpstr>
      <vt:lpstr>PL_Sales_H1_07</vt:lpstr>
      <vt:lpstr>PL_Sales_H1_08</vt:lpstr>
      <vt:lpstr>PL_Sales_H1_09</vt:lpstr>
      <vt:lpstr>PL_Sales_H1_10</vt:lpstr>
      <vt:lpstr>PL_Sales_H1_11</vt:lpstr>
      <vt:lpstr>PL_Sales_H1_12</vt:lpstr>
      <vt:lpstr>PL_Sales_H1_13</vt:lpstr>
      <vt:lpstr>PL_Sales_H1_14</vt:lpstr>
      <vt:lpstr>PL_Sales_H1_15</vt:lpstr>
      <vt:lpstr>PL_Sales_H1_16</vt:lpstr>
      <vt:lpstr>PL_Sales_H1_17</vt:lpstr>
      <vt:lpstr>PL_Sales_H1_18</vt:lpstr>
      <vt:lpstr>PL_Sales_H1_19</vt:lpstr>
      <vt:lpstr>PL_Sales_H1_20</vt:lpstr>
      <vt:lpstr>PL_Sales_H2_00</vt:lpstr>
      <vt:lpstr>PL_Sales_H2_01</vt:lpstr>
      <vt:lpstr>PL_Sales_H2_02</vt:lpstr>
      <vt:lpstr>PL_Sales_H2_03</vt:lpstr>
      <vt:lpstr>PL_Sales_H2_04</vt:lpstr>
      <vt:lpstr>PL_Sales_H2_05</vt:lpstr>
      <vt:lpstr>PL_Sales_H2_06</vt:lpstr>
      <vt:lpstr>PL_Sales_H2_07</vt:lpstr>
      <vt:lpstr>PL_Sales_H2_08</vt:lpstr>
      <vt:lpstr>PL_Sales_H2_09</vt:lpstr>
      <vt:lpstr>PL_Sales_H2_10</vt:lpstr>
      <vt:lpstr>PL_Sales_H2_11</vt:lpstr>
      <vt:lpstr>PL_Sales_H2_12</vt:lpstr>
      <vt:lpstr>PL_Sales_H2_13</vt:lpstr>
      <vt:lpstr>PL_Sales_H2_14</vt:lpstr>
      <vt:lpstr>PL_Sales_H2_15</vt:lpstr>
      <vt:lpstr>PL_Sales_H2_16</vt:lpstr>
      <vt:lpstr>PL_Sales_H2_17</vt:lpstr>
      <vt:lpstr>PL_Sales_H2_18</vt:lpstr>
      <vt:lpstr>PL_Sales_H2_19</vt:lpstr>
      <vt:lpstr>PL_Sales_H2_20</vt:lpstr>
      <vt:lpstr>PL_Tot_OE_00</vt:lpstr>
      <vt:lpstr>PL_Tot_OE_01</vt:lpstr>
      <vt:lpstr>PL_Tot_OE_02</vt:lpstr>
      <vt:lpstr>PL_Tot_OE_03</vt:lpstr>
      <vt:lpstr>PL_Tot_OE_04</vt:lpstr>
      <vt:lpstr>PL_Tot_OE_05</vt:lpstr>
      <vt:lpstr>PL_Tot_OE_06</vt:lpstr>
      <vt:lpstr>PL_Tot_OE_07</vt:lpstr>
      <vt:lpstr>PL_Tot_OE_08</vt:lpstr>
      <vt:lpstr>PL_Tot_OE_09</vt:lpstr>
      <vt:lpstr>PL_Tot_OE_10</vt:lpstr>
      <vt:lpstr>PL_Tot_OE_11</vt:lpstr>
      <vt:lpstr>PL_Tot_OE_12</vt:lpstr>
      <vt:lpstr>PL_Tot_OE_13</vt:lpstr>
      <vt:lpstr>PL_Tot_OE_14</vt:lpstr>
      <vt:lpstr>PL_Tot_OE_15</vt:lpstr>
      <vt:lpstr>PL_Tot_OE_16</vt:lpstr>
      <vt:lpstr>PL_Tot_OE_17</vt:lpstr>
      <vt:lpstr>PL_Tot_OE_18</vt:lpstr>
      <vt:lpstr>PL_Tot_OE_19</vt:lpstr>
      <vt:lpstr>PL_Tot_OE_20</vt:lpstr>
      <vt:lpstr>PL_Tot_OE_H1_00</vt:lpstr>
      <vt:lpstr>PL_Tot_OE_H1_01</vt:lpstr>
      <vt:lpstr>PL_Tot_OE_H1_02</vt:lpstr>
      <vt:lpstr>PL_Tot_OE_H1_04</vt:lpstr>
      <vt:lpstr>PL_Tot_OE_H1_05</vt:lpstr>
      <vt:lpstr>PL_Tot_OE_H1_06</vt:lpstr>
      <vt:lpstr>PL_Tot_OE_H1_07</vt:lpstr>
      <vt:lpstr>PL_Tot_OE_H1_08</vt:lpstr>
      <vt:lpstr>PL_Tot_OE_H1_09</vt:lpstr>
      <vt:lpstr>PL_Tot_OE_H1_10</vt:lpstr>
      <vt:lpstr>PL_Tot_OE_H1_11</vt:lpstr>
      <vt:lpstr>PL_Tot_OE_H1_12</vt:lpstr>
      <vt:lpstr>PL_Tot_OE_H1_13</vt:lpstr>
      <vt:lpstr>PL_Tot_OE_H1_14</vt:lpstr>
      <vt:lpstr>PL_Tot_OE_H1_15</vt:lpstr>
      <vt:lpstr>PL_Tot_OE_H1_16</vt:lpstr>
      <vt:lpstr>PL_Tot_OE_H1_17</vt:lpstr>
      <vt:lpstr>PL_Tot_OE_H1_18</vt:lpstr>
      <vt:lpstr>PL_Tot_OE_H1_19</vt:lpstr>
      <vt:lpstr>PL_Tot_OE_H1_20</vt:lpstr>
      <vt:lpstr>PL_Tot_OE_H2_00</vt:lpstr>
      <vt:lpstr>PL_Tot_OE_H2_01</vt:lpstr>
      <vt:lpstr>PL_Tot_OE_H2_02</vt:lpstr>
      <vt:lpstr>PL_Tot_OE_H2_04</vt:lpstr>
      <vt:lpstr>PL_Tot_OE_H2_05</vt:lpstr>
      <vt:lpstr>PL_Tot_OE_H2_06</vt:lpstr>
      <vt:lpstr>PL_Tot_OE_H2_07</vt:lpstr>
      <vt:lpstr>PL_Tot_OE_H2_08</vt:lpstr>
      <vt:lpstr>PL_Tot_OE_H2_09</vt:lpstr>
      <vt:lpstr>PL_Tot_OE_H2_10</vt:lpstr>
      <vt:lpstr>PL_Tot_OE_H2_11</vt:lpstr>
      <vt:lpstr>PL_Tot_OE_H2_13</vt:lpstr>
      <vt:lpstr>PL_Tot_OE_H2_14</vt:lpstr>
      <vt:lpstr>PL_Tot_OE_H2_15</vt:lpstr>
      <vt:lpstr>PL_Tot_OE_H2_16</vt:lpstr>
      <vt:lpstr>PL_Tot_OE_H2_17</vt:lpstr>
      <vt:lpstr>PL_Tot_OE_H2_18</vt:lpstr>
      <vt:lpstr>PL_Tot_OE_H2_19</vt:lpstr>
      <vt:lpstr>PL_Tot_OE_H2_20</vt:lpstr>
      <vt:lpstr>PL_Tot_Tx_03</vt:lpstr>
      <vt:lpstr>PL_Tot_Tx_04</vt:lpstr>
      <vt:lpstr>PL_Tot_Tx_05</vt:lpstr>
      <vt:lpstr>PL_Tot_Tx_06</vt:lpstr>
      <vt:lpstr>PL_Tot_Tx_07</vt:lpstr>
      <vt:lpstr>PL_Tot_Tx_08</vt:lpstr>
      <vt:lpstr>PL_Tot_Tx_09</vt:lpstr>
      <vt:lpstr>PL_Tot_Tx_10</vt:lpstr>
      <vt:lpstr>PL_Tot_Tx_11</vt:lpstr>
      <vt:lpstr>PL_Tot_Tx_12</vt:lpstr>
      <vt:lpstr>PL_Tot_Tx_13</vt:lpstr>
      <vt:lpstr>PL_Tot_Tx_14</vt:lpstr>
      <vt:lpstr>PL_Tot_Tx_15</vt:lpstr>
      <vt:lpstr>PL_Tot_Tx_16</vt:lpstr>
      <vt:lpstr>PL_Tot_Tx_17</vt:lpstr>
      <vt:lpstr>PL_Tot_Tx_18</vt:lpstr>
      <vt:lpstr>PL_Tot_Tx_19</vt:lpstr>
      <vt:lpstr>PL_Tot_Tx_20</vt:lpstr>
      <vt:lpstr>PL_Tot_Tx_H1_00</vt:lpstr>
      <vt:lpstr>PL_Tot_Tx_H1_01</vt:lpstr>
      <vt:lpstr>PL_Tot_Tx_H1_02</vt:lpstr>
      <vt:lpstr>PL_Tot_Tx_H1_03</vt:lpstr>
      <vt:lpstr>PL_Tot_Tx_H1_04</vt:lpstr>
      <vt:lpstr>PL_Tot_Tx_H1_05</vt:lpstr>
      <vt:lpstr>PL_Tot_Tx_H1_06</vt:lpstr>
      <vt:lpstr>PL_Tot_Tx_H1_07</vt:lpstr>
      <vt:lpstr>PL_Tot_Tx_H1_08</vt:lpstr>
      <vt:lpstr>PL_Tot_Tx_H1_09</vt:lpstr>
      <vt:lpstr>PL_Tot_Tx_H1_10</vt:lpstr>
      <vt:lpstr>PL_Tot_Tx_H1_11</vt:lpstr>
      <vt:lpstr>PL_Tot_Tx_H1_12</vt:lpstr>
      <vt:lpstr>PL_Tot_Tx_H1_13</vt:lpstr>
      <vt:lpstr>PL_Tot_Tx_H1_14</vt:lpstr>
      <vt:lpstr>PL_Tot_Tx_H1_15</vt:lpstr>
      <vt:lpstr>PL_Tot_Tx_H1_16</vt:lpstr>
      <vt:lpstr>PL_Tot_Tx_H1_17</vt:lpstr>
      <vt:lpstr>PL_Tot_Tx_H1_18</vt:lpstr>
      <vt:lpstr>PL_Tot_Tx_H1_19</vt:lpstr>
      <vt:lpstr>PL_Tot_Tx_H1_20</vt:lpstr>
      <vt:lpstr>PL_Tot_Tx_H2_00</vt:lpstr>
      <vt:lpstr>PL_Tot_Tx_H2_01</vt:lpstr>
      <vt:lpstr>PL_Tot_Tx_H2_02</vt:lpstr>
      <vt:lpstr>PL_Tot_Tx_H2_03</vt:lpstr>
      <vt:lpstr>PL_Tot_Tx_H2_04</vt:lpstr>
      <vt:lpstr>PL_Tot_Tx_H2_05</vt:lpstr>
      <vt:lpstr>PL_Tot_Tx_H2_06</vt:lpstr>
      <vt:lpstr>PL_Tot_Tx_H2_07</vt:lpstr>
      <vt:lpstr>PL_Tot_Tx_H2_08</vt:lpstr>
      <vt:lpstr>PL_Tot_Tx_H2_09</vt:lpstr>
      <vt:lpstr>PL_Tot_Tx_H2_10</vt:lpstr>
      <vt:lpstr>PL_Tot_Tx_H2_11</vt:lpstr>
      <vt:lpstr>PL_Tot_Tx_H2_12</vt:lpstr>
      <vt:lpstr>PL_Tot_Tx_H2_13</vt:lpstr>
      <vt:lpstr>PL_Tot_Tx_H2_14</vt:lpstr>
      <vt:lpstr>PL_Tot_Tx_H2_15</vt:lpstr>
      <vt:lpstr>PL_Tot_Tx_H2_16</vt:lpstr>
      <vt:lpstr>PL_Tot_Tx_H2_17</vt:lpstr>
      <vt:lpstr>PL_Tot_Tx_H2_18</vt:lpstr>
      <vt:lpstr>PL_Tot_Tx_H2_19</vt:lpstr>
      <vt:lpstr>PL_Tot_Tx_H2_20</vt:lpstr>
      <vt:lpstr>PL_Total_Rev_00</vt:lpstr>
      <vt:lpstr>PL_Total_Rev_01</vt:lpstr>
      <vt:lpstr>PL_Total_Rev_02</vt:lpstr>
      <vt:lpstr>PL_Total_Rev_03</vt:lpstr>
      <vt:lpstr>PL_Total_Rev_04</vt:lpstr>
      <vt:lpstr>PL_Total_Rev_05</vt:lpstr>
      <vt:lpstr>PL_Total_Rev_06</vt:lpstr>
      <vt:lpstr>PL_Total_Rev_07</vt:lpstr>
      <vt:lpstr>PL_Total_Rev_08</vt:lpstr>
      <vt:lpstr>PL_Total_Rev_09</vt:lpstr>
      <vt:lpstr>PL_Total_Rev_10</vt:lpstr>
      <vt:lpstr>PL_Total_Rev_11</vt:lpstr>
      <vt:lpstr>PL_Total_Rev_12</vt:lpstr>
      <vt:lpstr>PL_Total_Rev_13</vt:lpstr>
      <vt:lpstr>PL_Total_Rev_14</vt:lpstr>
      <vt:lpstr>PL_Total_Rev_15</vt:lpstr>
      <vt:lpstr>PL_Total_Rev_16</vt:lpstr>
      <vt:lpstr>PL_Total_Rev_17</vt:lpstr>
      <vt:lpstr>PL_Total_Rev_18</vt:lpstr>
      <vt:lpstr>PL_Total_Rev_19</vt:lpstr>
      <vt:lpstr>PL_Total_Rev_20</vt:lpstr>
      <vt:lpstr>PL_Total_Rev_H1_00</vt:lpstr>
      <vt:lpstr>PL_Total_Rev_H1_01</vt:lpstr>
      <vt:lpstr>PL_Total_Rev_H1_02</vt:lpstr>
      <vt:lpstr>PL_Total_Rev_H1_04</vt:lpstr>
      <vt:lpstr>PL_Total_Rev_H1_05</vt:lpstr>
      <vt:lpstr>PL_Total_Rev_H1_06</vt:lpstr>
      <vt:lpstr>PL_Total_Rev_H1_07</vt:lpstr>
      <vt:lpstr>PL_Total_Rev_H1_08</vt:lpstr>
      <vt:lpstr>PL_Total_Rev_H1_09</vt:lpstr>
      <vt:lpstr>PL_Total_Rev_H1_10</vt:lpstr>
      <vt:lpstr>PL_Total_Rev_H1_11</vt:lpstr>
      <vt:lpstr>PL_Total_Rev_H1_12</vt:lpstr>
      <vt:lpstr>PL_Total_Rev_H1_13</vt:lpstr>
      <vt:lpstr>PL_Total_Rev_H1_14</vt:lpstr>
      <vt:lpstr>PL_Total_Rev_H1_15</vt:lpstr>
      <vt:lpstr>PL_Total_Rev_H1_16</vt:lpstr>
      <vt:lpstr>PL_Total_Rev_H1_17</vt:lpstr>
      <vt:lpstr>PL_Total_Rev_H1_18</vt:lpstr>
      <vt:lpstr>PL_Total_Rev_H1_19</vt:lpstr>
      <vt:lpstr>PL_Total_Rev_H1_20</vt:lpstr>
      <vt:lpstr>PL_Total_Rev_H2_00</vt:lpstr>
      <vt:lpstr>PL_Total_Rev_H2_01</vt:lpstr>
      <vt:lpstr>PL_Total_Rev_H2_02</vt:lpstr>
      <vt:lpstr>PL_Total_Rev_H2_04</vt:lpstr>
      <vt:lpstr>PL_Total_Rev_H2_05</vt:lpstr>
      <vt:lpstr>PL_Total_Rev_H2_06</vt:lpstr>
      <vt:lpstr>PL_Total_Rev_H2_07</vt:lpstr>
      <vt:lpstr>PL_Total_Rev_H2_08</vt:lpstr>
      <vt:lpstr>PL_Total_Rev_H2_09</vt:lpstr>
      <vt:lpstr>PL_Total_Rev_H2_10</vt:lpstr>
      <vt:lpstr>PL_Total_Rev_H2_11</vt:lpstr>
      <vt:lpstr>PL_Total_Rev_H2_12</vt:lpstr>
      <vt:lpstr>PL_Total_Rev_H2_13</vt:lpstr>
      <vt:lpstr>PL_Total_Rev_H2_14</vt:lpstr>
      <vt:lpstr>PL_Total_Rev_H2_15</vt:lpstr>
      <vt:lpstr>PL_Total_Rev_H2_16</vt:lpstr>
      <vt:lpstr>PL_Total_Rev_H2_17</vt:lpstr>
      <vt:lpstr>PL_Total_Rev_H2_18</vt:lpstr>
      <vt:lpstr>PL_Total_Rev_H2_19</vt:lpstr>
      <vt:lpstr>PL_Total_Rev_H2_20</vt:lpstr>
      <vt:lpstr>PL_Tx_Abnorm_00</vt:lpstr>
      <vt:lpstr>PL_Tx_Abnorm_01</vt:lpstr>
      <vt:lpstr>PL_Tx_Abnorm_02</vt:lpstr>
      <vt:lpstr>PL_Tx_Abnorm_03</vt:lpstr>
      <vt:lpstr>PL_Tx_Abnorm_04</vt:lpstr>
      <vt:lpstr>PL_Tx_Abnorm_05</vt:lpstr>
      <vt:lpstr>PL_Tx_Abnorm_06</vt:lpstr>
      <vt:lpstr>PL_Tx_Abnorm_07</vt:lpstr>
      <vt:lpstr>PL_Tx_Abnorm_08</vt:lpstr>
      <vt:lpstr>PL_Tx_Abnorm_09</vt:lpstr>
      <vt:lpstr>PL_Tx_Abnorm_10</vt:lpstr>
      <vt:lpstr>PL_Tx_Abnorm_11</vt:lpstr>
      <vt:lpstr>PL_Tx_Abnorm_12</vt:lpstr>
      <vt:lpstr>PL_Tx_Abnorm_13</vt:lpstr>
      <vt:lpstr>PL_Tx_Abnorm_14</vt:lpstr>
      <vt:lpstr>PL_Tx_Abnorm_15</vt:lpstr>
      <vt:lpstr>PL_Tx_Abnorm_16</vt:lpstr>
      <vt:lpstr>PL_Tx_Abnorm_17</vt:lpstr>
      <vt:lpstr>PL_Tx_Abnorm_18</vt:lpstr>
      <vt:lpstr>PL_Tx_Abnorm_19</vt:lpstr>
      <vt:lpstr>PL_Tx_Abnorm_20</vt:lpstr>
      <vt:lpstr>PL_Tx_Abnorm_H1_00</vt:lpstr>
      <vt:lpstr>PL_Tx_Abnorm_H1_01</vt:lpstr>
      <vt:lpstr>PL_Tx_Abnorm_H1_02</vt:lpstr>
      <vt:lpstr>PL_Tx_Abnorm_H1_03</vt:lpstr>
      <vt:lpstr>PL_Tx_Abnorm_H1_04</vt:lpstr>
      <vt:lpstr>PL_Tx_Abnorm_H1_05</vt:lpstr>
      <vt:lpstr>PL_Tx_Abnorm_H1_06</vt:lpstr>
      <vt:lpstr>PL_Tx_Abnorm_H1_07</vt:lpstr>
      <vt:lpstr>PL_Tx_Abnorm_H1_08</vt:lpstr>
      <vt:lpstr>PL_Tx_Abnorm_H1_09</vt:lpstr>
      <vt:lpstr>PL_Tx_Abnorm_H1_10</vt:lpstr>
      <vt:lpstr>PL_Tx_Abnorm_H1_11</vt:lpstr>
      <vt:lpstr>PL_Tx_Abnorm_H1_12</vt:lpstr>
      <vt:lpstr>PL_Tx_Abnorm_H1_13</vt:lpstr>
      <vt:lpstr>PL_Tx_Abnorm_H1_14</vt:lpstr>
      <vt:lpstr>PL_Tx_Abnorm_H1_15</vt:lpstr>
      <vt:lpstr>PL_Tx_Abnorm_H1_16</vt:lpstr>
      <vt:lpstr>PL_Tx_Abnorm_H1_17</vt:lpstr>
      <vt:lpstr>PL_Tx_Abnorm_H1_18</vt:lpstr>
      <vt:lpstr>PL_Tx_Abnorm_H1_19</vt:lpstr>
      <vt:lpstr>PL_Tx_Abnorm_H1_20</vt:lpstr>
      <vt:lpstr>PL_Tx_Abnorm_H2_00</vt:lpstr>
      <vt:lpstr>PL_Tx_Abnorm_H2_01</vt:lpstr>
      <vt:lpstr>PL_Tx_Abnorm_H2_02</vt:lpstr>
      <vt:lpstr>PL_Tx_Abnorm_H2_03</vt:lpstr>
      <vt:lpstr>PL_Tx_Abnorm_H2_04</vt:lpstr>
      <vt:lpstr>PL_Tx_Abnorm_H2_05</vt:lpstr>
      <vt:lpstr>PL_Tx_Abnorm_H2_06</vt:lpstr>
      <vt:lpstr>PL_Tx_Abnorm_H2_07</vt:lpstr>
      <vt:lpstr>PL_Tx_Abnorm_H2_08</vt:lpstr>
      <vt:lpstr>PL_Tx_Abnorm_H2_09</vt:lpstr>
      <vt:lpstr>PL_Tx_Abnorm_H2_10</vt:lpstr>
      <vt:lpstr>PL_Tx_Abnorm_H2_11</vt:lpstr>
      <vt:lpstr>PL_Tx_Abnorm_H2_12</vt:lpstr>
      <vt:lpstr>PL_Tx_Abnorm_H2_13</vt:lpstr>
      <vt:lpstr>PL_Tx_Abnorm_H2_14</vt:lpstr>
      <vt:lpstr>PL_Tx_Abnorm_H2_15</vt:lpstr>
      <vt:lpstr>PL_Tx_Abnorm_H2_16</vt:lpstr>
      <vt:lpstr>PL_Tx_Abnorm_H2_17</vt:lpstr>
      <vt:lpstr>PL_Tx_Abnorm_H2_18</vt:lpstr>
      <vt:lpstr>PL_Tx_Abnorm_H2_19</vt:lpstr>
      <vt:lpstr>PL_Tx_Abnorm_H2_20</vt:lpstr>
      <vt:lpstr>PL_Yield_00</vt:lpstr>
      <vt:lpstr>PL_Yield_01</vt:lpstr>
      <vt:lpstr>PL_Yield_02</vt:lpstr>
      <vt:lpstr>PL_Yield_03</vt:lpstr>
      <vt:lpstr>PL_Yield_04</vt:lpstr>
      <vt:lpstr>PL_Yield_05</vt:lpstr>
      <vt:lpstr>PL_Yield_06</vt:lpstr>
      <vt:lpstr>PL_Yield_07</vt:lpstr>
      <vt:lpstr>PL_Yield_08</vt:lpstr>
      <vt:lpstr>PL_Yield_09</vt:lpstr>
      <vt:lpstr>PL_Yield_10</vt:lpstr>
      <vt:lpstr>PL_Yield_11</vt:lpstr>
      <vt:lpstr>PL_Yield_12</vt:lpstr>
      <vt:lpstr>PL_Yield_13</vt:lpstr>
      <vt:lpstr>PL_Yield_14</vt:lpstr>
      <vt:lpstr>PL_Yield_15</vt:lpstr>
      <vt:lpstr>PL_Yield_16</vt:lpstr>
      <vt:lpstr>PL_Yield_17</vt:lpstr>
      <vt:lpstr>PL_Yield_18</vt:lpstr>
      <vt:lpstr>PL_Yield_19</vt:lpstr>
      <vt:lpstr>PL_Yield_20</vt:lpstr>
      <vt:lpstr>PL_Yield_H1_00</vt:lpstr>
      <vt:lpstr>PL_Yield_H1_01</vt:lpstr>
      <vt:lpstr>PL_Yield_H1_02</vt:lpstr>
      <vt:lpstr>PL_Yield_H1_03</vt:lpstr>
      <vt:lpstr>PL_Yield_H1_04</vt:lpstr>
      <vt:lpstr>PL_Yield_H1_05</vt:lpstr>
      <vt:lpstr>PL_Yield_H1_06</vt:lpstr>
      <vt:lpstr>PL_Yield_H1_07</vt:lpstr>
      <vt:lpstr>PL_Yield_H1_08</vt:lpstr>
      <vt:lpstr>PL_Yield_H1_09</vt:lpstr>
      <vt:lpstr>PL_Yield_H1_10</vt:lpstr>
      <vt:lpstr>PL_Yield_H1_11</vt:lpstr>
      <vt:lpstr>PL_Yield_H1_12</vt:lpstr>
      <vt:lpstr>PL_Yield_H1_13</vt:lpstr>
      <vt:lpstr>PL_Yield_H1_14</vt:lpstr>
      <vt:lpstr>PL_Yield_H1_15</vt:lpstr>
      <vt:lpstr>PL_Yield_H1_16</vt:lpstr>
      <vt:lpstr>PL_Yield_H1_17</vt:lpstr>
      <vt:lpstr>PL_Yield_H1_18</vt:lpstr>
      <vt:lpstr>PL_Yield_H1_19</vt:lpstr>
      <vt:lpstr>PL_Yield_H1_20</vt:lpstr>
      <vt:lpstr>PL_Yield_H2_00</vt:lpstr>
      <vt:lpstr>PL_Yield_H2_01</vt:lpstr>
      <vt:lpstr>PL_Yield_H2_02</vt:lpstr>
      <vt:lpstr>PL_Yield_H2_03</vt:lpstr>
      <vt:lpstr>PL_Yield_H2_04</vt:lpstr>
      <vt:lpstr>PL_Yield_H2_05</vt:lpstr>
      <vt:lpstr>PL_Yield_H2_06</vt:lpstr>
      <vt:lpstr>PL_Yield_H2_07</vt:lpstr>
      <vt:lpstr>PL_Yield_H2_08</vt:lpstr>
      <vt:lpstr>PL_Yield_H2_09</vt:lpstr>
      <vt:lpstr>PL_Yield_H2_10</vt:lpstr>
      <vt:lpstr>PL_Yield_H2_11</vt:lpstr>
      <vt:lpstr>PL_Yield_H2_12</vt:lpstr>
      <vt:lpstr>PL_Yield_H2_13</vt:lpstr>
      <vt:lpstr>PL_Yield_H2_14</vt:lpstr>
      <vt:lpstr>PL_Yield_H2_15</vt:lpstr>
      <vt:lpstr>PL_Yield_H2_16</vt:lpstr>
      <vt:lpstr>PL_Yield_H2_17</vt:lpstr>
      <vt:lpstr>PL_Yield_H2_18</vt:lpstr>
      <vt:lpstr>PL_Yield_H2_19</vt:lpstr>
      <vt:lpstr>PL_Yield_H2_20</vt:lpstr>
      <vt:lpstr>Assumptions!Print_Area</vt:lpstr>
      <vt:lpstr>'Fin Sum'!Print_Area</vt:lpstr>
      <vt:lpstr>R_EProfit_04</vt:lpstr>
      <vt:lpstr>R_EProfit_05</vt:lpstr>
      <vt:lpstr>R_EProfit_06</vt:lpstr>
      <vt:lpstr>R_EProfit_H1_04</vt:lpstr>
      <vt:lpstr>R_EProfit_H1_05</vt:lpstr>
      <vt:lpstr>R_EProfit_H1_06</vt:lpstr>
      <vt:lpstr>R_EProfit_H1_07</vt:lpstr>
      <vt:lpstr>R_EProfit_H2_04</vt:lpstr>
      <vt:lpstr>R_EProfit_H2_05</vt:lpstr>
      <vt:lpstr>R_EProfit_H2_06</vt:lpstr>
      <vt:lpstr>R_NOPLAT_00</vt:lpstr>
      <vt:lpstr>R_NOPLAT_01</vt:lpstr>
      <vt:lpstr>R_NOPLAT_02</vt:lpstr>
      <vt:lpstr>R_NOPLAT_03</vt:lpstr>
      <vt:lpstr>R_NOPLAT_04</vt:lpstr>
      <vt:lpstr>R_NOPLAT_05</vt:lpstr>
      <vt:lpstr>R_NOPLAT_06</vt:lpstr>
      <vt:lpstr>R_NOPLAT_07</vt:lpstr>
      <vt:lpstr>R_NOPLAT_08</vt:lpstr>
      <vt:lpstr>R_NOPLAT_09</vt:lpstr>
      <vt:lpstr>R_NOPLAT_10</vt:lpstr>
      <vt:lpstr>R_NOPLAT_11</vt:lpstr>
      <vt:lpstr>R_NOPLAT_12</vt:lpstr>
      <vt:lpstr>R_NOPLAT_13</vt:lpstr>
      <vt:lpstr>R_NOPLAT_14</vt:lpstr>
      <vt:lpstr>R_NOPLAT_15</vt:lpstr>
      <vt:lpstr>R_NOPLAT_16</vt:lpstr>
      <vt:lpstr>R_NOPLAT_17</vt:lpstr>
      <vt:lpstr>R_NOPLAT_18</vt:lpstr>
      <vt:lpstr>R_NOPLAT_19</vt:lpstr>
      <vt:lpstr>R_NOPLAT_20</vt:lpstr>
      <vt:lpstr>R_NOPLAT_H1_00</vt:lpstr>
      <vt:lpstr>R_NOPLAT_H1_01</vt:lpstr>
      <vt:lpstr>R_NOPLAT_H1_02</vt:lpstr>
      <vt:lpstr>R_NOPLAT_H1_03</vt:lpstr>
      <vt:lpstr>R_NOPLAT_H1_04</vt:lpstr>
      <vt:lpstr>R_NOPLAT_H1_05</vt:lpstr>
      <vt:lpstr>R_NOPLAT_H1_06</vt:lpstr>
      <vt:lpstr>R_NOPLAT_H1_07</vt:lpstr>
      <vt:lpstr>R_NOPLAT_H1_08</vt:lpstr>
      <vt:lpstr>R_NOPLAT_H1_09</vt:lpstr>
      <vt:lpstr>R_NOPLAT_H1_10</vt:lpstr>
      <vt:lpstr>R_NOPLAT_H1_11</vt:lpstr>
      <vt:lpstr>R_NOPLAT_H1_12</vt:lpstr>
      <vt:lpstr>R_NOPLAT_H1_13</vt:lpstr>
      <vt:lpstr>R_NOPLAT_H1_14</vt:lpstr>
      <vt:lpstr>R_NOPLAT_H1_15</vt:lpstr>
      <vt:lpstr>R_NOPLAT_H1_16</vt:lpstr>
      <vt:lpstr>R_NOPLAT_H1_17</vt:lpstr>
      <vt:lpstr>R_NOPLAT_H1_18</vt:lpstr>
      <vt:lpstr>R_NOPLAT_H1_19</vt:lpstr>
      <vt:lpstr>R_NOPLAT_H1_20</vt:lpstr>
      <vt:lpstr>R_NOPLAT_H2_00</vt:lpstr>
      <vt:lpstr>R_NOPLAT_H2_01</vt:lpstr>
      <vt:lpstr>R_NOPLAT_H2_02</vt:lpstr>
      <vt:lpstr>R_NOPLAT_H2_03</vt:lpstr>
      <vt:lpstr>R_NOPLAT_H2_04</vt:lpstr>
      <vt:lpstr>R_NOPLAT_H2_05</vt:lpstr>
      <vt:lpstr>R_NOPLAT_H2_06</vt:lpstr>
      <vt:lpstr>R_NOPLAT_H2_07</vt:lpstr>
      <vt:lpstr>R_NOPLAT_H2_08</vt:lpstr>
      <vt:lpstr>R_NOPLAT_H2_09</vt:lpstr>
      <vt:lpstr>R_NOPLAT_H2_10</vt:lpstr>
      <vt:lpstr>R_NOPLAT_H2_11</vt:lpstr>
      <vt:lpstr>R_NOPLAT_H2_12</vt:lpstr>
      <vt:lpstr>R_NOPLAT_H2_13</vt:lpstr>
      <vt:lpstr>R_NOPLAT_H2_14</vt:lpstr>
      <vt:lpstr>R_NOPLAT_H2_15</vt:lpstr>
      <vt:lpstr>R_NOPLAT_H2_16</vt:lpstr>
      <vt:lpstr>R_NOPLAT_H2_17</vt:lpstr>
      <vt:lpstr>R_NOPLAT_H2_18</vt:lpstr>
      <vt:lpstr>R_NOPLAT_H2_19</vt:lpstr>
      <vt:lpstr>R_NOPLAT_H2_20</vt:lpstr>
      <vt:lpstr>R_NTA_00</vt:lpstr>
      <vt:lpstr>R_NTA_01</vt:lpstr>
      <vt:lpstr>R_NTA_02</vt:lpstr>
      <vt:lpstr>R_NTA_03</vt:lpstr>
      <vt:lpstr>R_NTA_04</vt:lpstr>
      <vt:lpstr>R_NTA_05</vt:lpstr>
      <vt:lpstr>R_NTA_06</vt:lpstr>
      <vt:lpstr>R_NTA_07</vt:lpstr>
      <vt:lpstr>R_NTA_08</vt:lpstr>
      <vt:lpstr>R_NTA_09</vt:lpstr>
      <vt:lpstr>R_NTA_10</vt:lpstr>
      <vt:lpstr>R_NTA_11</vt:lpstr>
      <vt:lpstr>R_NTA_12</vt:lpstr>
      <vt:lpstr>R_NTA_13</vt:lpstr>
      <vt:lpstr>R_NTA_14</vt:lpstr>
      <vt:lpstr>R_NTA_15</vt:lpstr>
      <vt:lpstr>R_NTA_16</vt:lpstr>
      <vt:lpstr>R_NTA_17</vt:lpstr>
      <vt:lpstr>R_NTA_18</vt:lpstr>
      <vt:lpstr>R_NTA_19</vt:lpstr>
      <vt:lpstr>R_NTA_20</vt:lpstr>
      <vt:lpstr>R_NTA_H1_00</vt:lpstr>
      <vt:lpstr>R_NTA_H1_01</vt:lpstr>
      <vt:lpstr>R_NTA_H1_02</vt:lpstr>
      <vt:lpstr>R_NTA_H1_03</vt:lpstr>
      <vt:lpstr>R_NTA_H1_04</vt:lpstr>
      <vt:lpstr>R_NTA_H1_05</vt:lpstr>
      <vt:lpstr>R_NTA_H1_06</vt:lpstr>
      <vt:lpstr>R_NTA_H1_07</vt:lpstr>
      <vt:lpstr>R_NTA_H1_08</vt:lpstr>
      <vt:lpstr>R_NTA_H1_09</vt:lpstr>
      <vt:lpstr>R_NTA_H1_10</vt:lpstr>
      <vt:lpstr>R_NTA_H1_11</vt:lpstr>
      <vt:lpstr>R_NTA_H1_12</vt:lpstr>
      <vt:lpstr>R_NTA_H1_13</vt:lpstr>
      <vt:lpstr>R_NTA_H1_14</vt:lpstr>
      <vt:lpstr>R_NTA_H1_15</vt:lpstr>
      <vt:lpstr>R_NTA_H1_16</vt:lpstr>
      <vt:lpstr>R_NTA_H1_17</vt:lpstr>
      <vt:lpstr>R_NTA_H1_18</vt:lpstr>
      <vt:lpstr>R_NTA_H1_19</vt:lpstr>
      <vt:lpstr>R_NTA_H1_20</vt:lpstr>
      <vt:lpstr>R_NTA_H2_00</vt:lpstr>
      <vt:lpstr>R_NTA_H2_01</vt:lpstr>
      <vt:lpstr>R_NTA_H2_02</vt:lpstr>
      <vt:lpstr>R_NTA_H2_03</vt:lpstr>
      <vt:lpstr>R_NTA_H2_04</vt:lpstr>
      <vt:lpstr>R_NTA_H2_05</vt:lpstr>
      <vt:lpstr>R_NTA_H2_06</vt:lpstr>
      <vt:lpstr>R_NTA_H2_07</vt:lpstr>
      <vt:lpstr>R_NTA_H2_08</vt:lpstr>
      <vt:lpstr>R_NTA_H2_09</vt:lpstr>
      <vt:lpstr>R_NTA_H2_10</vt:lpstr>
      <vt:lpstr>R_NTA_H2_11</vt:lpstr>
      <vt:lpstr>R_NTA_H2_12</vt:lpstr>
      <vt:lpstr>R_NTA_H2_13</vt:lpstr>
      <vt:lpstr>R_NTA_H2_14</vt:lpstr>
      <vt:lpstr>R_NTA_H2_15</vt:lpstr>
      <vt:lpstr>R_NTA_H2_16</vt:lpstr>
      <vt:lpstr>R_NTA_H2_17</vt:lpstr>
      <vt:lpstr>R_NTA_H2_18</vt:lpstr>
      <vt:lpstr>R_NTA_H2_19</vt:lpstr>
      <vt:lpstr>R_NTA_H2_20</vt:lpstr>
      <vt:lpstr>R_ROA_00</vt:lpstr>
      <vt:lpstr>R_ROA_01</vt:lpstr>
      <vt:lpstr>R_ROA_02</vt:lpstr>
      <vt:lpstr>R_ROA_03</vt:lpstr>
      <vt:lpstr>R_ROA_04</vt:lpstr>
      <vt:lpstr>R_ROA_05</vt:lpstr>
      <vt:lpstr>R_ROA_06</vt:lpstr>
      <vt:lpstr>R_ROA_07</vt:lpstr>
      <vt:lpstr>R_ROA_08</vt:lpstr>
      <vt:lpstr>R_ROA_09</vt:lpstr>
      <vt:lpstr>R_ROA_10</vt:lpstr>
      <vt:lpstr>R_ROA_11</vt:lpstr>
      <vt:lpstr>R_ROA_12</vt:lpstr>
      <vt:lpstr>R_ROA_13</vt:lpstr>
      <vt:lpstr>R_ROA_14</vt:lpstr>
      <vt:lpstr>R_ROA_15</vt:lpstr>
      <vt:lpstr>R_ROA_16</vt:lpstr>
      <vt:lpstr>R_ROA_17</vt:lpstr>
      <vt:lpstr>R_ROA_18</vt:lpstr>
      <vt:lpstr>R_ROA_19</vt:lpstr>
      <vt:lpstr>R_ROA_20</vt:lpstr>
      <vt:lpstr>R_ROA_H1_00</vt:lpstr>
      <vt:lpstr>R_ROA_H1_01</vt:lpstr>
      <vt:lpstr>R_ROA_H1_02</vt:lpstr>
      <vt:lpstr>R_ROA_H1_03</vt:lpstr>
      <vt:lpstr>R_ROA_H1_04</vt:lpstr>
      <vt:lpstr>R_ROA_H1_05</vt:lpstr>
      <vt:lpstr>R_ROA_H1_06</vt:lpstr>
      <vt:lpstr>R_ROA_H1_07</vt:lpstr>
      <vt:lpstr>R_ROA_H1_08</vt:lpstr>
      <vt:lpstr>R_ROA_H1_09</vt:lpstr>
      <vt:lpstr>R_ROA_H1_10</vt:lpstr>
      <vt:lpstr>R_ROA_H1_11</vt:lpstr>
      <vt:lpstr>R_ROA_H1_12</vt:lpstr>
      <vt:lpstr>R_ROA_H1_13</vt:lpstr>
      <vt:lpstr>R_ROA_H1_14</vt:lpstr>
      <vt:lpstr>R_ROA_H1_15</vt:lpstr>
      <vt:lpstr>R_ROA_H1_16</vt:lpstr>
      <vt:lpstr>R_ROA_H1_17</vt:lpstr>
      <vt:lpstr>R_ROA_H1_18</vt:lpstr>
      <vt:lpstr>R_ROA_H1_19</vt:lpstr>
      <vt:lpstr>R_ROA_H1_20</vt:lpstr>
      <vt:lpstr>R_ROA_H2_00</vt:lpstr>
      <vt:lpstr>R_ROA_H2_01</vt:lpstr>
      <vt:lpstr>R_ROA_H2_02</vt:lpstr>
      <vt:lpstr>R_ROA_H2_03</vt:lpstr>
      <vt:lpstr>R_ROA_H2_04</vt:lpstr>
      <vt:lpstr>R_ROA_H2_05</vt:lpstr>
      <vt:lpstr>R_ROA_H2_06</vt:lpstr>
      <vt:lpstr>R_ROA_H2_07</vt:lpstr>
      <vt:lpstr>R_ROA_H2_08</vt:lpstr>
      <vt:lpstr>R_ROA_H2_09</vt:lpstr>
      <vt:lpstr>R_ROA_H2_10</vt:lpstr>
      <vt:lpstr>R_ROA_H2_11</vt:lpstr>
      <vt:lpstr>R_ROA_H2_12</vt:lpstr>
      <vt:lpstr>R_ROA_H2_13</vt:lpstr>
      <vt:lpstr>R_ROA_H2_14</vt:lpstr>
      <vt:lpstr>R_ROA_H2_15</vt:lpstr>
      <vt:lpstr>R_ROA_H2_16</vt:lpstr>
      <vt:lpstr>R_ROA_H2_17</vt:lpstr>
      <vt:lpstr>R_ROA_H2_18</vt:lpstr>
      <vt:lpstr>R_ROA_H2_19</vt:lpstr>
      <vt:lpstr>R_ROA_H2_20</vt:lpstr>
      <vt:lpstr>R_ROE_00</vt:lpstr>
      <vt:lpstr>R_ROE_01</vt:lpstr>
      <vt:lpstr>R_ROE_02</vt:lpstr>
      <vt:lpstr>R_ROE_03</vt:lpstr>
      <vt:lpstr>R_ROE_04</vt:lpstr>
      <vt:lpstr>R_ROE_05</vt:lpstr>
      <vt:lpstr>R_ROE_06</vt:lpstr>
      <vt:lpstr>R_ROE_07</vt:lpstr>
      <vt:lpstr>R_ROE_08</vt:lpstr>
      <vt:lpstr>R_ROE_09</vt:lpstr>
      <vt:lpstr>R_ROE_10</vt:lpstr>
      <vt:lpstr>R_ROE_11</vt:lpstr>
      <vt:lpstr>R_ROE_12</vt:lpstr>
      <vt:lpstr>R_ROE_13</vt:lpstr>
      <vt:lpstr>R_ROE_14</vt:lpstr>
      <vt:lpstr>R_ROE_15</vt:lpstr>
      <vt:lpstr>R_ROE_16</vt:lpstr>
      <vt:lpstr>R_ROE_17</vt:lpstr>
      <vt:lpstr>R_ROE_18</vt:lpstr>
      <vt:lpstr>R_ROE_19</vt:lpstr>
      <vt:lpstr>R_ROE_20</vt:lpstr>
      <vt:lpstr>R_ROE_H1_00</vt:lpstr>
      <vt:lpstr>R_ROE_H1_01</vt:lpstr>
      <vt:lpstr>R_ROE_H1_02</vt:lpstr>
      <vt:lpstr>R_ROE_H1_03</vt:lpstr>
      <vt:lpstr>R_ROE_H1_04</vt:lpstr>
      <vt:lpstr>R_ROE_H1_05</vt:lpstr>
      <vt:lpstr>R_ROE_H1_06</vt:lpstr>
      <vt:lpstr>R_ROE_H1_07</vt:lpstr>
      <vt:lpstr>R_ROE_H1_08</vt:lpstr>
      <vt:lpstr>R_ROE_H1_09</vt:lpstr>
      <vt:lpstr>R_ROE_H1_10</vt:lpstr>
      <vt:lpstr>R_ROE_H1_11</vt:lpstr>
      <vt:lpstr>R_ROE_H1_12</vt:lpstr>
      <vt:lpstr>R_ROE_H1_13</vt:lpstr>
      <vt:lpstr>R_ROE_H1_14</vt:lpstr>
      <vt:lpstr>R_ROE_H1_15</vt:lpstr>
      <vt:lpstr>R_ROE_H1_16</vt:lpstr>
      <vt:lpstr>R_ROE_H1_17</vt:lpstr>
      <vt:lpstr>R_ROE_H1_18</vt:lpstr>
      <vt:lpstr>R_ROE_H1_19</vt:lpstr>
      <vt:lpstr>R_ROE_H1_20</vt:lpstr>
      <vt:lpstr>R_ROE_H2_00</vt:lpstr>
      <vt:lpstr>R_ROE_H2_01</vt:lpstr>
      <vt:lpstr>R_ROE_H2_02</vt:lpstr>
      <vt:lpstr>R_ROE_H2_03</vt:lpstr>
      <vt:lpstr>R_ROE_H2_04</vt:lpstr>
      <vt:lpstr>R_ROE_H2_05</vt:lpstr>
      <vt:lpstr>R_ROE_H2_06</vt:lpstr>
      <vt:lpstr>R_ROE_H2_07</vt:lpstr>
      <vt:lpstr>R_ROE_H2_08</vt:lpstr>
      <vt:lpstr>R_ROE_H2_09</vt:lpstr>
      <vt:lpstr>R_ROE_H2_10</vt:lpstr>
      <vt:lpstr>R_ROE_H2_11</vt:lpstr>
      <vt:lpstr>R_ROE_H2_12</vt:lpstr>
      <vt:lpstr>R_ROE_H2_13</vt:lpstr>
      <vt:lpstr>R_ROE_H2_14</vt:lpstr>
      <vt:lpstr>R_ROE_H2_15</vt:lpstr>
      <vt:lpstr>R_ROE_H2_16</vt:lpstr>
      <vt:lpstr>R_ROE_H2_17</vt:lpstr>
      <vt:lpstr>R_ROE_H2_18</vt:lpstr>
      <vt:lpstr>R_ROE_H2_19</vt:lpstr>
      <vt:lpstr>R_ROE_H2_20</vt:lpstr>
      <vt:lpstr>R_ROIC_04</vt:lpstr>
      <vt:lpstr>R_ROIC_05</vt:lpstr>
      <vt:lpstr>R_ROIC_06</vt:lpstr>
      <vt:lpstr>R_ROIC_07</vt:lpstr>
      <vt:lpstr>R_ROIC_08</vt:lpstr>
      <vt:lpstr>R_ROIC_09</vt:lpstr>
      <vt:lpstr>R_ROIC_10</vt:lpstr>
      <vt:lpstr>R_ROIC_11</vt:lpstr>
      <vt:lpstr>R_ROIC_12</vt:lpstr>
      <vt:lpstr>R_ROIC_13</vt:lpstr>
      <vt:lpstr>R_ROIC_14</vt:lpstr>
      <vt:lpstr>R_ROIC_15</vt:lpstr>
      <vt:lpstr>R_ROIC_16</vt:lpstr>
      <vt:lpstr>R_ROIC_17</vt:lpstr>
      <vt:lpstr>R_ROIC_18</vt:lpstr>
      <vt:lpstr>R_ROIC_19</vt:lpstr>
      <vt:lpstr>R_ROIC_20</vt:lpstr>
      <vt:lpstr>R_ROIC_H1_04</vt:lpstr>
      <vt:lpstr>R_ROIC_H1_05</vt:lpstr>
      <vt:lpstr>R_ROIC_H1_06</vt:lpstr>
      <vt:lpstr>R_ROIC_H1_07</vt:lpstr>
      <vt:lpstr>R_ROIC_H1_08</vt:lpstr>
      <vt:lpstr>R_ROIC_H1_09</vt:lpstr>
      <vt:lpstr>R_ROIC_H1_10</vt:lpstr>
      <vt:lpstr>R_ROIC_H1_11</vt:lpstr>
      <vt:lpstr>R_ROIC_H1_12</vt:lpstr>
      <vt:lpstr>R_ROIC_H1_13</vt:lpstr>
      <vt:lpstr>R_ROIC_H1_14</vt:lpstr>
      <vt:lpstr>R_ROIC_H1_15</vt:lpstr>
      <vt:lpstr>R_ROIC_H1_16</vt:lpstr>
      <vt:lpstr>R_ROIC_H1_17</vt:lpstr>
      <vt:lpstr>R_ROIC_H1_18</vt:lpstr>
      <vt:lpstr>R_ROIC_H1_19</vt:lpstr>
      <vt:lpstr>R_ROIC_H1_20</vt:lpstr>
      <vt:lpstr>R_ROIC_H2_04</vt:lpstr>
      <vt:lpstr>R_ROIC_H2_05</vt:lpstr>
      <vt:lpstr>R_ROIC_H2_06</vt:lpstr>
      <vt:lpstr>R_ROIC_H2_07</vt:lpstr>
      <vt:lpstr>R_ROIC_H2_08</vt:lpstr>
      <vt:lpstr>R_ROIC_H2_09</vt:lpstr>
      <vt:lpstr>R_ROIC_H2_10</vt:lpstr>
      <vt:lpstr>R_ROIC_H2_11</vt:lpstr>
      <vt:lpstr>R_ROIC_H2_12</vt:lpstr>
      <vt:lpstr>R_ROIC_H2_13</vt:lpstr>
      <vt:lpstr>R_ROIC_H2_14</vt:lpstr>
      <vt:lpstr>R_ROIC_H2_15</vt:lpstr>
      <vt:lpstr>R_ROIC_H2_16</vt:lpstr>
      <vt:lpstr>R_ROIC_H2_17</vt:lpstr>
      <vt:lpstr>R_ROIC_H2_18</vt:lpstr>
      <vt:lpstr>R_ROIC_H2_19</vt:lpstr>
      <vt:lpstr>R_ROIC_H2_20</vt:lpstr>
      <vt:lpstr>R_STxRt_00</vt:lpstr>
      <vt:lpstr>R_STxRt_01</vt:lpstr>
      <vt:lpstr>R_STxRt_02</vt:lpstr>
      <vt:lpstr>R_STxRt_03</vt:lpstr>
      <vt:lpstr>R_STxRt_04</vt:lpstr>
      <vt:lpstr>R_STxRt_05</vt:lpstr>
      <vt:lpstr>R_STxRt_06</vt:lpstr>
      <vt:lpstr>R_STxRt_07</vt:lpstr>
      <vt:lpstr>R_STxRt_08</vt:lpstr>
      <vt:lpstr>R_STxRt_09</vt:lpstr>
      <vt:lpstr>R_STxRt_10</vt:lpstr>
      <vt:lpstr>R_STxRt_11</vt:lpstr>
      <vt:lpstr>R_STxRt_12</vt:lpstr>
      <vt:lpstr>R_STxRt_13</vt:lpstr>
      <vt:lpstr>R_STxRt_14</vt:lpstr>
      <vt:lpstr>R_STxRt_15</vt:lpstr>
      <vt:lpstr>R_STxRt_16</vt:lpstr>
      <vt:lpstr>R_STxRt_17</vt:lpstr>
      <vt:lpstr>R_STxRt_18</vt:lpstr>
      <vt:lpstr>R_STxRt_19</vt:lpstr>
      <vt:lpstr>R_STxRt_20</vt:lpstr>
      <vt:lpstr>R_STxRt_H1_00</vt:lpstr>
      <vt:lpstr>R_STxRt_H1_01</vt:lpstr>
      <vt:lpstr>R_STxRt_H1_02</vt:lpstr>
      <vt:lpstr>R_STxRt_H1_03</vt:lpstr>
      <vt:lpstr>R_STxRt_H1_04</vt:lpstr>
      <vt:lpstr>R_STxRt_H1_05</vt:lpstr>
      <vt:lpstr>R_STxRt_H1_06</vt:lpstr>
      <vt:lpstr>R_STxRt_H1_07</vt:lpstr>
      <vt:lpstr>R_STxRt_H1_08</vt:lpstr>
      <vt:lpstr>R_STxRt_H1_09</vt:lpstr>
      <vt:lpstr>R_STxRt_H1_10</vt:lpstr>
      <vt:lpstr>R_STxRt_H1_11</vt:lpstr>
      <vt:lpstr>R_STxRt_H1_12</vt:lpstr>
      <vt:lpstr>R_STxRt_H1_13</vt:lpstr>
      <vt:lpstr>R_STxRt_H1_14</vt:lpstr>
      <vt:lpstr>R_STxRt_H1_15</vt:lpstr>
      <vt:lpstr>R_STxRt_H1_16</vt:lpstr>
      <vt:lpstr>R_STxRt_H1_17</vt:lpstr>
      <vt:lpstr>R_STxRt_H1_18</vt:lpstr>
      <vt:lpstr>R_STxRt_H1_19</vt:lpstr>
      <vt:lpstr>R_STxRt_H1_20</vt:lpstr>
      <vt:lpstr>R_STxRt_H2_00</vt:lpstr>
      <vt:lpstr>R_STxRt_H2_01</vt:lpstr>
      <vt:lpstr>R_STxRt_H2_02</vt:lpstr>
      <vt:lpstr>R_STxRt_H2_03</vt:lpstr>
      <vt:lpstr>R_STxRt_H2_04</vt:lpstr>
      <vt:lpstr>R_STxRt_H2_05</vt:lpstr>
      <vt:lpstr>R_STxRt_H2_06</vt:lpstr>
      <vt:lpstr>R_STxRt_H2_07</vt:lpstr>
      <vt:lpstr>R_STxRt_H2_08</vt:lpstr>
      <vt:lpstr>R_STxRt_H2_09</vt:lpstr>
      <vt:lpstr>R_STxRt_H2_10</vt:lpstr>
      <vt:lpstr>R_STxRt_H2_11</vt:lpstr>
      <vt:lpstr>R_STxRt_H2_12</vt:lpstr>
      <vt:lpstr>R_STxRt_H2_13</vt:lpstr>
      <vt:lpstr>R_STxRt_H2_14</vt:lpstr>
      <vt:lpstr>R_STxRt_H2_15</vt:lpstr>
      <vt:lpstr>R_STxRt_H2_16</vt:lpstr>
      <vt:lpstr>R_STxRt_H2_17</vt:lpstr>
      <vt:lpstr>R_STxRt_H2_18</vt:lpstr>
      <vt:lpstr>R_STxRt_H2_19</vt:lpstr>
      <vt:lpstr>R_STxRt_H2_20</vt:lpstr>
      <vt:lpstr>REPSEA_00</vt:lpstr>
      <vt:lpstr>REPSEA_01</vt:lpstr>
      <vt:lpstr>REPSEA_02</vt:lpstr>
      <vt:lpstr>REPSEA_03</vt:lpstr>
      <vt:lpstr>REPSEA_04</vt:lpstr>
      <vt:lpstr>REPSEA_05</vt:lpstr>
      <vt:lpstr>REPSEA_06</vt:lpstr>
      <vt:lpstr>REPSEA_07</vt:lpstr>
      <vt:lpstr>REPSEA_08</vt:lpstr>
      <vt:lpstr>REPSEA_09</vt:lpstr>
      <vt:lpstr>REPSEA_10</vt:lpstr>
      <vt:lpstr>REPSEA_11</vt:lpstr>
      <vt:lpstr>REPSEA_12</vt:lpstr>
      <vt:lpstr>REPSEA_13</vt:lpstr>
      <vt:lpstr>REPSEA_14</vt:lpstr>
      <vt:lpstr>REPSEA_15</vt:lpstr>
      <vt:lpstr>REPSEA_16</vt:lpstr>
      <vt:lpstr>REPSEA_17</vt:lpstr>
      <vt:lpstr>REPSEA_18</vt:lpstr>
      <vt:lpstr>REPSEA_19</vt:lpstr>
      <vt:lpstr>REPSEA_20</vt:lpstr>
      <vt:lpstr>REPSEA_95</vt:lpstr>
      <vt:lpstr>REPSEA_96</vt:lpstr>
      <vt:lpstr>REPSEA_97</vt:lpstr>
      <vt:lpstr>REPSEA_98</vt:lpstr>
      <vt:lpstr>REPSEA_99</vt:lpstr>
      <vt:lpstr>REPSIA_00</vt:lpstr>
      <vt:lpstr>REPSIA_01</vt:lpstr>
      <vt:lpstr>REPSIA_02</vt:lpstr>
      <vt:lpstr>REPSIA_03</vt:lpstr>
      <vt:lpstr>REPSIA_04</vt:lpstr>
      <vt:lpstr>REPSIA_05</vt:lpstr>
      <vt:lpstr>REPSIA_06</vt:lpstr>
      <vt:lpstr>REPSIA_07</vt:lpstr>
      <vt:lpstr>REPSIA_08</vt:lpstr>
      <vt:lpstr>REPSIA_09</vt:lpstr>
      <vt:lpstr>REPSIA_10</vt:lpstr>
      <vt:lpstr>REPSIA_11</vt:lpstr>
      <vt:lpstr>REPSIA_12</vt:lpstr>
      <vt:lpstr>REPSIA_13</vt:lpstr>
      <vt:lpstr>REPSIA_14</vt:lpstr>
      <vt:lpstr>REPSIA_15</vt:lpstr>
      <vt:lpstr>REPSIA_16</vt:lpstr>
      <vt:lpstr>REPSIA_17</vt:lpstr>
      <vt:lpstr>REPSIA_18</vt:lpstr>
      <vt:lpstr>REPSIA_19</vt:lpstr>
      <vt:lpstr>REPSIA_20</vt:lpstr>
      <vt:lpstr>REPSIA_95</vt:lpstr>
      <vt:lpstr>REPSIA_96</vt:lpstr>
      <vt:lpstr>REPSIA_97</vt:lpstr>
      <vt:lpstr>REPSIA_98</vt:lpstr>
      <vt:lpstr>REPSIA_99</vt:lpstr>
      <vt:lpstr>RPIA_00</vt:lpstr>
      <vt:lpstr>RPIA_01</vt:lpstr>
      <vt:lpstr>RPIA_02</vt:lpstr>
      <vt:lpstr>RPIA_03</vt:lpstr>
      <vt:lpstr>RPIA_04</vt:lpstr>
      <vt:lpstr>RPIA_05</vt:lpstr>
      <vt:lpstr>RPIA_06</vt:lpstr>
      <vt:lpstr>RPIA_07</vt:lpstr>
      <vt:lpstr>RPIA_08</vt:lpstr>
      <vt:lpstr>RPIA_09</vt:lpstr>
      <vt:lpstr>RPIA_10</vt:lpstr>
      <vt:lpstr>RPIA_11</vt:lpstr>
      <vt:lpstr>RPIA_12</vt:lpstr>
      <vt:lpstr>RPIA_13</vt:lpstr>
      <vt:lpstr>RPIA_14</vt:lpstr>
      <vt:lpstr>RPIA_15</vt:lpstr>
      <vt:lpstr>RPIA_16</vt:lpstr>
      <vt:lpstr>RPIA_17</vt:lpstr>
      <vt:lpstr>RPIA_18</vt:lpstr>
      <vt:lpstr>RPIA_19</vt:lpstr>
      <vt:lpstr>RPIA_20</vt:lpstr>
      <vt:lpstr>RPIA_95</vt:lpstr>
      <vt:lpstr>WAC_00</vt:lpstr>
      <vt:lpstr>WAC_01</vt:lpstr>
      <vt:lpstr>WAC_02</vt:lpstr>
      <vt:lpstr>WAC_03</vt:lpstr>
      <vt:lpstr>WAC_04</vt:lpstr>
      <vt:lpstr>WAC_05</vt:lpstr>
      <vt:lpstr>WAC_06</vt:lpstr>
      <vt:lpstr>WAC_07</vt:lpstr>
      <vt:lpstr>WAC_08</vt:lpstr>
      <vt:lpstr>WAC_09</vt:lpstr>
      <vt:lpstr>WAC_10</vt:lpstr>
      <vt:lpstr>WAC_11</vt:lpstr>
      <vt:lpstr>WAC_12</vt:lpstr>
      <vt:lpstr>WAC_13</vt:lpstr>
      <vt:lpstr>WAC_14</vt:lpstr>
      <vt:lpstr>WAC_15</vt:lpstr>
      <vt:lpstr>WAC_16</vt:lpstr>
      <vt:lpstr>WAC_17</vt:lpstr>
      <vt:lpstr>WAC_18</vt:lpstr>
      <vt:lpstr>WAC_19</vt:lpstr>
      <vt:lpstr>WAC_20</vt:lpstr>
      <vt:lpstr>WAC_95</vt:lpstr>
      <vt:lpstr>WAC_96</vt:lpstr>
      <vt:lpstr>WAC_97</vt:lpstr>
      <vt:lpstr>WAC_98</vt:lpstr>
      <vt:lpstr>WAC_99</vt:lpstr>
      <vt:lpstr>WACB_00</vt:lpstr>
      <vt:lpstr>WACB_01</vt:lpstr>
      <vt:lpstr>WACB_02</vt:lpstr>
      <vt:lpstr>WACB_03</vt:lpstr>
      <vt:lpstr>WACB_04</vt:lpstr>
      <vt:lpstr>WACB_05</vt:lpstr>
      <vt:lpstr>WACB_06</vt:lpstr>
      <vt:lpstr>WACB_07</vt:lpstr>
      <vt:lpstr>WACB_08</vt:lpstr>
      <vt:lpstr>WACB_09</vt:lpstr>
      <vt:lpstr>WACB_10</vt:lpstr>
      <vt:lpstr>WACB_11</vt:lpstr>
      <vt:lpstr>WACB_12</vt:lpstr>
      <vt:lpstr>WACB_13</vt:lpstr>
      <vt:lpstr>WACB_14</vt:lpstr>
      <vt:lpstr>WACB_15</vt:lpstr>
      <vt:lpstr>WACB_16</vt:lpstr>
      <vt:lpstr>WACB_17</vt:lpstr>
      <vt:lpstr>WACB_18</vt:lpstr>
      <vt:lpstr>WACB_19</vt:lpstr>
      <vt:lpstr>WACB_20</vt:lpstr>
      <vt:lpstr>WACB_95</vt:lpstr>
      <vt:lpstr>WACB_96</vt:lpstr>
      <vt:lpstr>WACB_97</vt:lpstr>
      <vt:lpstr>WACB_98</vt:lpstr>
      <vt:lpstr>WACB_99</vt:lpstr>
      <vt:lpstr>WAOT_00</vt:lpstr>
      <vt:lpstr>WAOT_01</vt:lpstr>
      <vt:lpstr>WAOT_02</vt:lpstr>
      <vt:lpstr>WAOT_03</vt:lpstr>
      <vt:lpstr>WAOT_04</vt:lpstr>
      <vt:lpstr>WAOT_05</vt:lpstr>
      <vt:lpstr>WAOT_06</vt:lpstr>
      <vt:lpstr>WAOT_07</vt:lpstr>
      <vt:lpstr>WAOT_08</vt:lpstr>
      <vt:lpstr>WAOT_09</vt:lpstr>
      <vt:lpstr>WAOT_10</vt:lpstr>
      <vt:lpstr>WAOT_11</vt:lpstr>
      <vt:lpstr>WAOT_12</vt:lpstr>
      <vt:lpstr>WAOT_13</vt:lpstr>
      <vt:lpstr>WAOT_14</vt:lpstr>
      <vt:lpstr>WAOT_15</vt:lpstr>
      <vt:lpstr>WAOT_16</vt:lpstr>
      <vt:lpstr>WAOT_17</vt:lpstr>
      <vt:lpstr>WAOT_18</vt:lpstr>
      <vt:lpstr>WAOT_19</vt:lpstr>
      <vt:lpstr>WAOT_20</vt:lpstr>
      <vt:lpstr>WAOT_95</vt:lpstr>
      <vt:lpstr>WAOT_96</vt:lpstr>
      <vt:lpstr>WAOT_97</vt:lpstr>
      <vt:lpstr>WAOT_98</vt:lpstr>
      <vt:lpstr>WAOT_99</vt:lpstr>
      <vt:lpstr>YEC_00</vt:lpstr>
      <vt:lpstr>YEC_01</vt:lpstr>
      <vt:lpstr>YEC_02</vt:lpstr>
      <vt:lpstr>YEC_03</vt:lpstr>
      <vt:lpstr>YEC_04</vt:lpstr>
      <vt:lpstr>YEC_05</vt:lpstr>
      <vt:lpstr>YEC_06</vt:lpstr>
      <vt:lpstr>YEC_07</vt:lpstr>
      <vt:lpstr>YEC_08</vt:lpstr>
      <vt:lpstr>YEC_09</vt:lpstr>
      <vt:lpstr>YEC_10</vt:lpstr>
      <vt:lpstr>YEC_11</vt:lpstr>
      <vt:lpstr>YEC_12</vt:lpstr>
      <vt:lpstr>YEC_13</vt:lpstr>
      <vt:lpstr>YEC_14</vt:lpstr>
      <vt:lpstr>YEC_15</vt:lpstr>
      <vt:lpstr>YEC_16</vt:lpstr>
      <vt:lpstr>YEC_17</vt:lpstr>
      <vt:lpstr>YEC_18</vt:lpstr>
      <vt:lpstr>YEC_19</vt:lpstr>
      <vt:lpstr>YEC_20</vt:lpstr>
      <vt:lpstr>YEC_95</vt:lpstr>
      <vt:lpstr>YEC_96</vt:lpstr>
      <vt:lpstr>YEC_97</vt:lpstr>
      <vt:lpstr>YEC_98</vt:lpstr>
      <vt:lpstr>YEC_99</vt:lpstr>
    </vt:vector>
  </TitlesOfParts>
  <Company>Morgan Stanley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Laaman</dc:creator>
  <cp:lastModifiedBy>Bailey, David L (Research)</cp:lastModifiedBy>
  <cp:lastPrinted>2026-02-13T06:09:35Z</cp:lastPrinted>
  <dcterms:created xsi:type="dcterms:W3CDTF">1998-07-31T06:21:52Z</dcterms:created>
  <dcterms:modified xsi:type="dcterms:W3CDTF">2026-02-15T08:49:32Z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odelwareExpressVersionNumber">
    <vt:lpwstr>3.00</vt:lpwstr>
  </property>
  <property fmtid="{D5CDD505-2E9C-101B-9397-08002B2CF9AE}" pid="3" name="IsInternalOnly">
    <vt:lpwstr>True</vt:lpwstr>
  </property>
  <property fmtid="{D5CDD505-2E9C-101B-9397-08002B2CF9AE}" pid="4" name="LinkingAutoNameNumberLinking_Range_">
    <vt:lpwstr>52</vt:lpwstr>
  </property>
  <property fmtid="{D5CDD505-2E9C-101B-9397-08002B2CF9AE}" pid="5" name="MSIP_Label_07f119e6-c6cd-44b0-a5ee-ac1aff68c56e_Enabled">
    <vt:lpwstr>true</vt:lpwstr>
  </property>
  <property fmtid="{D5CDD505-2E9C-101B-9397-08002B2CF9AE}" pid="6" name="MSIP_Label_07f119e6-c6cd-44b0-a5ee-ac1aff68c56e_SetDate">
    <vt:lpwstr>2021-05-06T17:59:56Z</vt:lpwstr>
  </property>
  <property fmtid="{D5CDD505-2E9C-101B-9397-08002B2CF9AE}" pid="7" name="MSIP_Label_07f119e6-c6cd-44b0-a5ee-ac1aff68c56e_Method">
    <vt:lpwstr>Standard</vt:lpwstr>
  </property>
  <property fmtid="{D5CDD505-2E9C-101B-9397-08002B2CF9AE}" pid="8" name="MSIP_Label_07f119e6-c6cd-44b0-a5ee-ac1aff68c56e_Name">
    <vt:lpwstr>Confidential v1</vt:lpwstr>
  </property>
  <property fmtid="{D5CDD505-2E9C-101B-9397-08002B2CF9AE}" pid="9" name="MSIP_Label_07f119e6-c6cd-44b0-a5ee-ac1aff68c56e_SiteId">
    <vt:lpwstr>e29b8111-49f8-418d-ac2a-935335a52614</vt:lpwstr>
  </property>
  <property fmtid="{D5CDD505-2E9C-101B-9397-08002B2CF9AE}" pid="10" name="MSIP_Label_07f119e6-c6cd-44b0-a5ee-ac1aff68c56e_ActionId">
    <vt:lpwstr>dbf9cd69-bca5-488c-a154-16eac75fe9b5</vt:lpwstr>
  </property>
  <property fmtid="{D5CDD505-2E9C-101B-9397-08002B2CF9AE}" pid="11" name="MSIP_Label_07f119e6-c6cd-44b0-a5ee-ac1aff68c56e_ContentBits">
    <vt:lpwstr>0</vt:lpwstr>
  </property>
  <property fmtid="{D5CDD505-2E9C-101B-9397-08002B2CF9AE}" pid="12" name="=fdsSearchOrder">
    <vt:i4>0</vt:i4>
  </property>
  <property fmtid="{D5CDD505-2E9C-101B-9397-08002B2CF9AE}" pid="13" name="ERModPubTicket">
    <vt:lpwstr>NA</vt:lpwstr>
  </property>
  <property fmtid="{D5CDD505-2E9C-101B-9397-08002B2CF9AE}" pid="14" name="ERModPubFileName">
    <vt:lpwstr>COH.AX.xls</vt:lpwstr>
  </property>
  <property fmtid="{D5CDD505-2E9C-101B-9397-08002B2CF9AE}" pid="15" name="ERModPubConfirmEmail">
    <vt:bool>false</vt:bool>
  </property>
  <property fmtid="{D5CDD505-2E9C-101B-9397-08002B2CF9AE}" pid="16" name="ERModPubUserEmail">
    <vt:lpwstr>bailedav@ms.com</vt:lpwstr>
  </property>
  <property fmtid="{D5CDD505-2E9C-101B-9397-08002B2CF9AE}" pid="17" name="ERModPubGCIMTagged">
    <vt:bool>true</vt:bool>
  </property>
  <property fmtid="{D5CDD505-2E9C-101B-9397-08002B2CF9AE}" pid="18" name="ERCompanyUploadState">
    <vt:lpwstr>P</vt:lpwstr>
  </property>
  <property fmtid="{D5CDD505-2E9C-101B-9397-08002B2CF9AE}" pid="19" name="ERModPubCurrentYear">
    <vt:i4>2026</vt:i4>
  </property>
  <property fmtid="{D5CDD505-2E9C-101B-9397-08002B2CF9AE}" pid="20" name="ModelId">
    <vt:lpwstr>9786226</vt:lpwstr>
  </property>
  <property fmtid="{D5CDD505-2E9C-101B-9397-08002B2CF9AE}" pid="21" name="ERModPubCompanyName">
    <vt:lpwstr>Cochlear</vt:lpwstr>
  </property>
</Properties>
</file>